
<file path=[Content_Types].xml><?xml version="1.0" encoding="utf-8"?>
<Types xmlns="http://schemas.openxmlformats.org/package/2006/content-types">
  <Override PartName="/xl/externalLinks/externalLink9.xml" ContentType="application/vnd.openxmlformats-officedocument.spreadsheetml.externalLink+xml"/>
  <Override PartName="/xl/externalLinks/externalLink38.xml" ContentType="application/vnd.openxmlformats-officedocument.spreadsheetml.externalLink+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ml.chartshapes+xml"/>
  <Override PartName="/xl/comments8.xml" ContentType="application/vnd.openxmlformats-officedocument.spreadsheetml.comments+xml"/>
  <Override PartName="/xl/worksheets/sheet7.xml" ContentType="application/vnd.openxmlformats-officedocument.spreadsheetml.worksheet+xml"/>
  <Override PartName="/xl/externalLinks/externalLink27.xml" ContentType="application/vnd.openxmlformats-officedocument.spreadsheetml.externalLink+xml"/>
  <Override PartName="/xl/embeddings/oleObject4.bin" ContentType="application/vnd.openxmlformats-officedocument.oleObject"/>
  <Override PartName="/xl/vbaProject.bin" ContentType="application/vnd.ms-office.vbaProject"/>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externalLinks/externalLink16.xml" ContentType="application/vnd.openxmlformats-officedocument.spreadsheetml.externalLink+xml"/>
  <Override PartName="/xl/externalLinks/externalLink25.xml" ContentType="application/vnd.openxmlformats-officedocument.spreadsheetml.externalLink+xml"/>
  <Override PartName="/xl/externalLinks/externalLink34.xml" ContentType="application/vnd.openxmlformats-officedocument.spreadsheetml.externalLink+xml"/>
  <Override PartName="/xl/drawings/drawing2.xml" ContentType="application/vnd.openxmlformats-officedocument.drawing+xml"/>
  <Override PartName="/xl/comments4.xml" ContentType="application/vnd.openxmlformats-officedocument.spreadsheetml.comments+xml"/>
  <Override PartName="/xl/embeddings/oleObject2.bin" ContentType="application/vnd.openxmlformats-officedocument.oleObject"/>
  <Override PartName="/xl/drawings/drawing15.xml" ContentType="application/vnd.openxmlformats-officedocument.drawingml.chartshapes+xml"/>
  <Override PartName="/xl/worksheets/sheet3.xml" ContentType="application/vnd.openxmlformats-officedocument.spreadsheetml.worksheet+xml"/>
  <Override PartName="/xl/externalLinks/externalLink3.xml" ContentType="application/vnd.openxmlformats-officedocument.spreadsheetml.externalLink+xml"/>
  <Override PartName="/xl/externalLinks/externalLink14.xml" ContentType="application/vnd.openxmlformats-officedocument.spreadsheetml.externalLink+xml"/>
  <Override PartName="/xl/externalLinks/externalLink23.xml" ContentType="application/vnd.openxmlformats-officedocument.spreadsheetml.externalLink+xml"/>
  <Override PartName="/xl/externalLinks/externalLink32.xml" ContentType="application/vnd.openxmlformats-officedocument.spreadsheetml.externalLink+xml"/>
  <Override PartName="/xl/comments2.xml" ContentType="application/vnd.openxmlformats-officedocument.spreadsheetml.comments+xml"/>
  <Override PartName="/xl/charts/chart18.xml" ContentType="application/vnd.openxmlformats-officedocument.drawingml.chart+xml"/>
  <Override PartName="/xl/drawings/drawing13.xml" ContentType="application/vnd.openxmlformats-officedocument.drawingml.chartshapes+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21.xml" ContentType="application/vnd.openxmlformats-officedocument.spreadsheetml.externalLink+xml"/>
  <Override PartName="/xl/externalLinks/externalLink30.xml" ContentType="application/vnd.openxmlformats-officedocument.spreadsheetml.externalLink+xml"/>
  <Override PartName="/xl/charts/chart16.xml" ContentType="application/vnd.openxmlformats-officedocument.drawingml.chart+xml"/>
  <Override PartName="/xl/drawings/drawing11.xml" ContentType="application/vnd.openxmlformats-officedocument.drawing+xml"/>
  <Override PartName="/xl/externalLinks/externalLink10.xml" ContentType="application/vnd.openxmlformats-officedocument.spreadsheetml.externalLink+xml"/>
  <Override PartName="/xl/sharedStrings.xml" ContentType="application/vnd.openxmlformats-officedocument.spreadsheetml.sharedStrings+xml"/>
  <Override PartName="/xl/charts/chart14.xml" ContentType="application/vnd.openxmlformats-officedocument.drawingml.chart+xml"/>
  <Override PartName="/xl/charts/chart9.xml" ContentType="application/vnd.openxmlformats-officedocument.drawingml.chart+xml"/>
  <Override PartName="/xl/charts/chart12.xml" ContentType="application/vnd.openxmlformats-officedocument.drawingml.chart+xml"/>
  <Override PartName="/xl/comments10.xml" ContentType="application/vnd.openxmlformats-officedocument.spreadsheetml.comments+xml"/>
  <Default Extension="bin" ContentType="application/vnd.openxmlformats-officedocument.spreadsheetml.printerSettings"/>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externalLinks/externalLink8.xml" ContentType="application/vnd.openxmlformats-officedocument.spreadsheetml.externalLink+xml"/>
  <Override PartName="/xl/externalLinks/externalLink19.xml" ContentType="application/vnd.openxmlformats-officedocument.spreadsheetml.externalLink+xml"/>
  <Override PartName="/xl/charts/chart5.xml" ContentType="application/vnd.openxmlformats-officedocument.drawingml.chart+xml"/>
  <Override PartName="/xl/drawings/drawing7.xml" ContentType="application/vnd.openxmlformats-officedocument.drawing+xml"/>
  <Override PartName="/xl/comments9.xml" ContentType="application/vnd.openxmlformats-officedocument.spreadsheetml.comments+xml"/>
  <Override PartName="/xl/embeddings/oleObject5.bin" ContentType="application/vnd.openxmlformats-officedocument.oleObject"/>
  <Override PartName="/xl/worksheets/sheet6.xml" ContentType="application/vnd.openxmlformats-officedocument.spreadsheetml.worksheet+xml"/>
  <Override PartName="/xl/worksheets/sheet8.xml" ContentType="application/vnd.openxmlformats-officedocument.spreadsheetml.worksheet+xml"/>
  <Override PartName="/xl/externalLinks/externalLink6.xml" ContentType="application/vnd.openxmlformats-officedocument.spreadsheetml.externalLink+xml"/>
  <Override PartName="/xl/externalLinks/externalLink17.xml" ContentType="application/vnd.openxmlformats-officedocument.spreadsheetml.externalLink+xml"/>
  <Override PartName="/xl/externalLinks/externalLink28.xml" ContentType="application/vnd.openxmlformats-officedocument.spreadsheetml.externalLink+xml"/>
  <Override PartName="/xl/externalLinks/externalLink37.xml" ContentType="application/vnd.openxmlformats-officedocument.spreadsheetml.externalLink+xml"/>
  <Default Extension="emf" ContentType="image/x-emf"/>
  <Override PartName="/xl/charts/chart3.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embeddings/oleObject3.bin" ContentType="application/vnd.openxmlformats-officedocument.oleObject"/>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15.xml" ContentType="application/vnd.openxmlformats-officedocument.spreadsheetml.externalLink+xml"/>
  <Override PartName="/xl/externalLinks/externalLink24.xml" ContentType="application/vnd.openxmlformats-officedocument.spreadsheetml.externalLink+xml"/>
  <Override PartName="/xl/externalLinks/externalLink26.xml" ContentType="application/vnd.openxmlformats-officedocument.spreadsheetml.externalLink+xml"/>
  <Override PartName="/xl/externalLinks/externalLink35.xml" ContentType="application/vnd.openxmlformats-officedocument.spreadsheetml.externalLink+xml"/>
  <Override PartName="/xl/charts/chart1.xml" ContentType="application/vnd.openxmlformats-officedocument.drawingml.chart+xml"/>
  <Override PartName="/xl/drawings/drawing3.xml" ContentType="application/vnd.openxmlformats-officedocument.drawing+xml"/>
  <Override PartName="/xl/embeddings/oleObject1.bin" ContentType="application/vnd.openxmlformats-officedocument.oleObject"/>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externalLinks/externalLink13.xml" ContentType="application/vnd.openxmlformats-officedocument.spreadsheetml.externalLink+xml"/>
  <Override PartName="/xl/externalLinks/externalLink22.xml" ContentType="application/vnd.openxmlformats-officedocument.spreadsheetml.externalLink+xml"/>
  <Override PartName="/xl/externalLinks/externalLink33.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drawings/drawing14.xml" ContentType="application/vnd.openxmlformats-officedocument.drawing+xml"/>
  <Override PartName="/xl/externalLinks/externalLink11.xml" ContentType="application/vnd.openxmlformats-officedocument.spreadsheetml.externalLink+xml"/>
  <Override PartName="/xl/externalLinks/externalLink20.xml" ContentType="application/vnd.openxmlformats-officedocument.spreadsheetml.externalLink+xml"/>
  <Override PartName="/xl/externalLinks/externalLink3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drawings/drawing12.xml" ContentType="application/vnd.openxmlformats-officedocument.drawing+xml"/>
  <Override PartName="/xl/calcChain.xml" ContentType="application/vnd.openxmlformats-officedocument.spreadsheetml.calcChain+xml"/>
  <Override PartName="/xl/charts/chart13.xml" ContentType="application/vnd.openxmlformats-officedocument.drawingml.chart+xml"/>
  <Override PartName="/xl/charts/chart15.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harts/chart11.xml" ContentType="application/vnd.openxmlformats-officedocument.drawingml.chart+xml"/>
  <Override PartName="/xl/comments11.xml" ContentType="application/vnd.openxmlformats-officedocument.spreadsheetml.comments+xml"/>
  <Override PartName="/docProps/core.xml" ContentType="application/vnd.openxmlformats-package.core-properties+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externalLinks/externalLink29.xml" ContentType="application/vnd.openxmlformats-officedocument.spreadsheetml.externalLink+xml"/>
  <Override PartName="/xl/theme/theme1.xml" ContentType="application/vnd.openxmlformats-officedocument.theme+xml"/>
  <Override PartName="/xl/drawings/drawing8.xml" ContentType="application/vnd.openxmlformats-officedocument.drawing+xml"/>
  <Override PartName="/xl/worksheets/sheet11.xml" ContentType="application/vnd.openxmlformats-officedocument.spreadsheetml.worksheet+xml"/>
  <Override PartName="/xl/externalLinks/externalLink7.xml" ContentType="application/vnd.openxmlformats-officedocument.spreadsheetml.externalLink+xml"/>
  <Override PartName="/xl/externalLinks/externalLink18.xml" ContentType="application/vnd.openxmlformats-officedocument.spreadsheetml.externalLink+xml"/>
  <Override PartName="/xl/externalLinks/externalLink36.xml" ContentType="application/vnd.openxmlformats-officedocument.spreadsheetml.externalLink+xml"/>
  <Override PartName="/xl/charts/chart2.xml" ContentType="application/vnd.openxmlformats-officedocument.drawingml.chart+xml"/>
  <Override PartName="/xl/drawings/drawing4.xml" ContentType="application/vnd.openxmlformats-officedocument.drawingml.chartshapes+xml"/>
  <Override PartName="/xl/comments6.xml" ContentType="application/vnd.openxmlformats-officedocument.spreadsheetml.comments+xml"/>
  <Default Extension="rels" ContentType="application/vnd.openxmlformats-package.relationship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updateLinks="never" codeName="ThisWorkbook"/>
  <bookViews>
    <workbookView xWindow="390" yWindow="15" windowWidth="7950" windowHeight="4755"/>
  </bookViews>
  <sheets>
    <sheet name="Intro" sheetId="3" r:id="rId1"/>
    <sheet name="Describe" sheetId="2" r:id="rId2"/>
    <sheet name="Normal" sheetId="4" r:id="rId3"/>
    <sheet name="Normal and t" sheetId="5" r:id="rId4"/>
    <sheet name="CIjumping" sheetId="6" r:id="rId5"/>
    <sheet name="CI and p" sheetId="7" r:id="rId6"/>
    <sheet name="Data two" sheetId="8" r:id="rId7"/>
    <sheet name="Summary two" sheetId="10" r:id="rId8"/>
    <sheet name="d picture" sheetId="12" r:id="rId9"/>
    <sheet name="Data paired" sheetId="9" r:id="rId10"/>
    <sheet name="Summary paired" sheetId="11" r:id="rId11"/>
  </sheets>
  <functionGroup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s>
  <definedNames>
    <definedName name="_big1" localSheetId="5">'[1]MA  Standardised units'!$AG$6:$AH$6</definedName>
    <definedName name="_big1" localSheetId="4">'[1]MA  Standardised units'!$AG$6:$AH$6</definedName>
    <definedName name="_big1" localSheetId="8">'[2]MA  Standardised units'!$AG$6:$AH$6</definedName>
    <definedName name="_big1" localSheetId="9">'[3]MA  Standardised units'!$AG$6:$AH$6</definedName>
    <definedName name="_big1" localSheetId="6">'[3]MA  Standardised units'!$AG$6:$AH$6</definedName>
    <definedName name="_big1" localSheetId="0">'[2]MA  Standardised units'!$AG$6:$AH$6</definedName>
    <definedName name="_big1" localSheetId="2">'[1]MA  Standardised units'!$AG$6:$AH$6</definedName>
    <definedName name="_big1" localSheetId="3">'[1]MA  Standardised units'!$AG$6:$AH$6</definedName>
    <definedName name="_big1" localSheetId="10">'[3]MA  Standardised units'!$AG$6:$AH$6</definedName>
    <definedName name="_big1" localSheetId="7">'[3]MA  Standardised units'!$AG$6:$AH$6</definedName>
    <definedName name="_big1">'[1]MA  Standardised units'!$AG$6:$AH$6</definedName>
    <definedName name="_big10" localSheetId="5">'[1]MA  Standardised units'!$AG$15:$AH$15</definedName>
    <definedName name="_big10" localSheetId="4">'[1]MA  Standardised units'!$AG$15:$AH$15</definedName>
    <definedName name="_big10" localSheetId="8">'[2]MA  Standardised units'!$AG$15:$AH$15</definedName>
    <definedName name="_big10" localSheetId="9">'[3]MA  Standardised units'!$AG$15:$AH$15</definedName>
    <definedName name="_big10" localSheetId="6">'[3]MA  Standardised units'!$AG$15:$AH$15</definedName>
    <definedName name="_big10" localSheetId="0">'[2]MA  Standardised units'!$AG$15:$AH$15</definedName>
    <definedName name="_big10" localSheetId="2">'[1]MA  Standardised units'!$AG$15:$AH$15</definedName>
    <definedName name="_big10" localSheetId="3">'[1]MA  Standardised units'!$AG$15:$AH$15</definedName>
    <definedName name="_big10" localSheetId="10">'[3]MA  Standardised units'!$AG$15:$AH$15</definedName>
    <definedName name="_big10" localSheetId="7">'[3]MA  Standardised units'!$AG$15:$AH$15</definedName>
    <definedName name="_big10">'[1]MA  Standardised units'!$AG$15:$AH$15</definedName>
    <definedName name="_big11" localSheetId="5">'[1]MA  Standardised units'!$AG$18:$AH$18</definedName>
    <definedName name="_big11" localSheetId="4">'[1]MA  Standardised units'!$AG$18:$AH$18</definedName>
    <definedName name="_big11" localSheetId="8">'[2]MA  Standardised units'!$AG$18:$AH$18</definedName>
    <definedName name="_big11" localSheetId="9">'[3]MA  Standardised units'!$AG$18:$AH$18</definedName>
    <definedName name="_big11" localSheetId="6">'[3]MA  Standardised units'!$AG$18:$AH$18</definedName>
    <definedName name="_big11" localSheetId="0">'[2]MA  Standardised units'!$AG$18:$AH$18</definedName>
    <definedName name="_big11" localSheetId="2">'[1]MA  Standardised units'!$AG$18:$AH$18</definedName>
    <definedName name="_big11" localSheetId="3">'[1]MA  Standardised units'!$AG$18:$AH$18</definedName>
    <definedName name="_big11" localSheetId="10">'[3]MA  Standardised units'!$AG$18:$AH$18</definedName>
    <definedName name="_big11" localSheetId="7">'[3]MA  Standardised units'!$AG$18:$AH$18</definedName>
    <definedName name="_big11">'[1]MA  Standardised units'!$AG$18:$AH$18</definedName>
    <definedName name="_big12" localSheetId="5">'[1]MA  Standardised units'!$AG$21:$AH$21</definedName>
    <definedName name="_big12" localSheetId="4">'[1]MA  Standardised units'!$AG$21:$AH$21</definedName>
    <definedName name="_big12" localSheetId="8">'[2]MA  Standardised units'!$AG$21:$AH$21</definedName>
    <definedName name="_big12" localSheetId="9">'[3]MA  Standardised units'!$AG$21:$AH$21</definedName>
    <definedName name="_big12" localSheetId="6">'[3]MA  Standardised units'!$AG$21:$AH$21</definedName>
    <definedName name="_big12" localSheetId="0">'[2]MA  Standardised units'!$AG$21:$AH$21</definedName>
    <definedName name="_big12" localSheetId="2">'[1]MA  Standardised units'!$AG$21:$AH$21</definedName>
    <definedName name="_big12" localSheetId="3">'[1]MA  Standardised units'!$AG$21:$AH$21</definedName>
    <definedName name="_big12" localSheetId="10">'[3]MA  Standardised units'!$AG$21:$AH$21</definedName>
    <definedName name="_big12" localSheetId="7">'[3]MA  Standardised units'!$AG$21:$AH$21</definedName>
    <definedName name="_big12">'[1]MA  Standardised units'!$AG$21:$AH$21</definedName>
    <definedName name="_big13" localSheetId="5">'[1]MA  Standardised units'!$AG$24:$AH$24</definedName>
    <definedName name="_big13" localSheetId="4">'[1]MA  Standardised units'!$AG$24:$AH$24</definedName>
    <definedName name="_big13" localSheetId="8">'[2]MA  Standardised units'!$AG$24:$AH$24</definedName>
    <definedName name="_big13" localSheetId="9">'[3]MA  Standardised units'!$AG$24:$AH$24</definedName>
    <definedName name="_big13" localSheetId="6">'[3]MA  Standardised units'!$AG$24:$AH$24</definedName>
    <definedName name="_big13" localSheetId="0">'[2]MA  Standardised units'!$AG$24:$AH$24</definedName>
    <definedName name="_big13" localSheetId="2">'[1]MA  Standardised units'!$AG$24:$AH$24</definedName>
    <definedName name="_big13" localSheetId="3">'[1]MA  Standardised units'!$AG$24:$AH$24</definedName>
    <definedName name="_big13" localSheetId="10">'[3]MA  Standardised units'!$AG$24:$AH$24</definedName>
    <definedName name="_big13" localSheetId="7">'[3]MA  Standardised units'!$AG$24:$AH$24</definedName>
    <definedName name="_big13">'[1]MA  Standardised units'!$AG$24:$AH$24</definedName>
    <definedName name="_big2" localSheetId="5">'[1]MA  Standardised units'!$AG$7:$AH$7</definedName>
    <definedName name="_big2" localSheetId="4">'[1]MA  Standardised units'!$AG$7:$AH$7</definedName>
    <definedName name="_big2" localSheetId="8">'[2]MA  Standardised units'!$AG$7:$AH$7</definedName>
    <definedName name="_big2" localSheetId="9">'[3]MA  Standardised units'!$AG$7:$AH$7</definedName>
    <definedName name="_big2" localSheetId="6">'[3]MA  Standardised units'!$AG$7:$AH$7</definedName>
    <definedName name="_big2" localSheetId="0">'[2]MA  Standardised units'!$AG$7:$AH$7</definedName>
    <definedName name="_big2" localSheetId="2">'[1]MA  Standardised units'!$AG$7:$AH$7</definedName>
    <definedName name="_big2" localSheetId="3">'[1]MA  Standardised units'!$AG$7:$AH$7</definedName>
    <definedName name="_big2" localSheetId="10">'[3]MA  Standardised units'!$AG$7:$AH$7</definedName>
    <definedName name="_big2" localSheetId="7">'[3]MA  Standardised units'!$AG$7:$AH$7</definedName>
    <definedName name="_big2">'[1]MA  Standardised units'!$AG$7:$AH$7</definedName>
    <definedName name="_big3" localSheetId="5">'[1]MA  Standardised units'!$AG$8:$AH$8</definedName>
    <definedName name="_big3" localSheetId="4">'[1]MA  Standardised units'!$AG$8:$AH$8</definedName>
    <definedName name="_big3" localSheetId="8">'[2]MA  Standardised units'!$AG$8:$AH$8</definedName>
    <definedName name="_big3" localSheetId="9">'[3]MA  Standardised units'!$AG$8:$AH$8</definedName>
    <definedName name="_big3" localSheetId="6">'[3]MA  Standardised units'!$AG$8:$AH$8</definedName>
    <definedName name="_big3" localSheetId="0">'[2]MA  Standardised units'!$AG$8:$AH$8</definedName>
    <definedName name="_big3" localSheetId="2">'[1]MA  Standardised units'!$AG$8:$AH$8</definedName>
    <definedName name="_big3" localSheetId="3">'[1]MA  Standardised units'!$AG$8:$AH$8</definedName>
    <definedName name="_big3" localSheetId="10">'[3]MA  Standardised units'!$AG$8:$AH$8</definedName>
    <definedName name="_big3" localSheetId="7">'[3]MA  Standardised units'!$AG$8:$AH$8</definedName>
    <definedName name="_big3">'[1]MA  Standardised units'!$AG$8:$AH$8</definedName>
    <definedName name="_big4" localSheetId="5">'[1]MA  Standardised units'!$AG$9:$AH$9</definedName>
    <definedName name="_big4" localSheetId="4">'[1]MA  Standardised units'!$AG$9:$AH$9</definedName>
    <definedName name="_big4" localSheetId="8">'[2]MA  Standardised units'!$AG$9:$AH$9</definedName>
    <definedName name="_big4" localSheetId="9">'[3]MA  Standardised units'!$AG$9:$AH$9</definedName>
    <definedName name="_big4" localSheetId="6">'[3]MA  Standardised units'!$AG$9:$AH$9</definedName>
    <definedName name="_big4" localSheetId="0">'[2]MA  Standardised units'!$AG$9:$AH$9</definedName>
    <definedName name="_big4" localSheetId="2">'[1]MA  Standardised units'!$AG$9:$AH$9</definedName>
    <definedName name="_big4" localSheetId="3">'[1]MA  Standardised units'!$AG$9:$AH$9</definedName>
    <definedName name="_big4" localSheetId="10">'[3]MA  Standardised units'!$AG$9:$AH$9</definedName>
    <definedName name="_big4" localSheetId="7">'[3]MA  Standardised units'!$AG$9:$AH$9</definedName>
    <definedName name="_big4">'[1]MA  Standardised units'!$AG$9:$AH$9</definedName>
    <definedName name="_big5" localSheetId="5">'[1]MA  Standardised units'!$AG$10:$AH$10</definedName>
    <definedName name="_big5" localSheetId="4">'[1]MA  Standardised units'!$AG$10:$AH$10</definedName>
    <definedName name="_big5" localSheetId="8">'[2]MA  Standardised units'!$AG$10:$AH$10</definedName>
    <definedName name="_big5" localSheetId="9">'[3]MA  Standardised units'!$AG$10:$AH$10</definedName>
    <definedName name="_big5" localSheetId="6">'[3]MA  Standardised units'!$AG$10:$AH$10</definedName>
    <definedName name="_big5" localSheetId="0">'[2]MA  Standardised units'!$AG$10:$AH$10</definedName>
    <definedName name="_big5" localSheetId="2">'[1]MA  Standardised units'!$AG$10:$AH$10</definedName>
    <definedName name="_big5" localSheetId="3">'[1]MA  Standardised units'!$AG$10:$AH$10</definedName>
    <definedName name="_big5" localSheetId="10">'[3]MA  Standardised units'!$AG$10:$AH$10</definedName>
    <definedName name="_big5" localSheetId="7">'[3]MA  Standardised units'!$AG$10:$AH$10</definedName>
    <definedName name="_big5">'[1]MA  Standardised units'!$AG$10:$AH$10</definedName>
    <definedName name="_big6" localSheetId="5">'[1]MA  Standardised units'!$AG$11:$AH$11</definedName>
    <definedName name="_big6" localSheetId="4">'[1]MA  Standardised units'!$AG$11:$AH$11</definedName>
    <definedName name="_big6" localSheetId="8">'[2]MA  Standardised units'!$AG$11:$AH$11</definedName>
    <definedName name="_big6" localSheetId="9">'[3]MA  Standardised units'!$AG$11:$AH$11</definedName>
    <definedName name="_big6" localSheetId="6">'[3]MA  Standardised units'!$AG$11:$AH$11</definedName>
    <definedName name="_big6" localSheetId="0">'[2]MA  Standardised units'!$AG$11:$AH$11</definedName>
    <definedName name="_big6" localSheetId="2">'[1]MA  Standardised units'!$AG$11:$AH$11</definedName>
    <definedName name="_big6" localSheetId="3">'[1]MA  Standardised units'!$AG$11:$AH$11</definedName>
    <definedName name="_big6" localSheetId="10">'[3]MA  Standardised units'!$AG$11:$AH$11</definedName>
    <definedName name="_big6" localSheetId="7">'[3]MA  Standardised units'!$AG$11:$AH$11</definedName>
    <definedName name="_big6">'[1]MA  Standardised units'!$AG$11:$AH$11</definedName>
    <definedName name="_big7" localSheetId="5">'[1]MA  Standardised units'!$AG$12:$AH$12</definedName>
    <definedName name="_big7" localSheetId="4">'[1]MA  Standardised units'!$AG$12:$AH$12</definedName>
    <definedName name="_big7" localSheetId="8">'[2]MA  Standardised units'!$AG$12:$AH$12</definedName>
    <definedName name="_big7" localSheetId="9">'[3]MA  Standardised units'!$AG$12:$AH$12</definedName>
    <definedName name="_big7" localSheetId="6">'[3]MA  Standardised units'!$AG$12:$AH$12</definedName>
    <definedName name="_big7" localSheetId="0">'[2]MA  Standardised units'!$AG$12:$AH$12</definedName>
    <definedName name="_big7" localSheetId="2">'[1]MA  Standardised units'!$AG$12:$AH$12</definedName>
    <definedName name="_big7" localSheetId="3">'[1]MA  Standardised units'!$AG$12:$AH$12</definedName>
    <definedName name="_big7" localSheetId="10">'[3]MA  Standardised units'!$AG$12:$AH$12</definedName>
    <definedName name="_big7" localSheetId="7">'[3]MA  Standardised units'!$AG$12:$AH$12</definedName>
    <definedName name="_big7">'[1]MA  Standardised units'!$AG$12:$AH$12</definedName>
    <definedName name="_big8" localSheetId="5">'[1]MA  Standardised units'!$AG$13:$AH$13</definedName>
    <definedName name="_big8" localSheetId="4">'[1]MA  Standardised units'!$AG$13:$AH$13</definedName>
    <definedName name="_big8" localSheetId="8">'[2]MA  Standardised units'!$AG$13:$AH$13</definedName>
    <definedName name="_big8" localSheetId="9">'[3]MA  Standardised units'!$AG$13:$AH$13</definedName>
    <definedName name="_big8" localSheetId="6">'[3]MA  Standardised units'!$AG$13:$AH$13</definedName>
    <definedName name="_big8" localSheetId="0">'[2]MA  Standardised units'!$AG$13:$AH$13</definedName>
    <definedName name="_big8" localSheetId="2">'[1]MA  Standardised units'!$AG$13:$AH$13</definedName>
    <definedName name="_big8" localSheetId="3">'[1]MA  Standardised units'!$AG$13:$AH$13</definedName>
    <definedName name="_big8" localSheetId="10">'[3]MA  Standardised units'!$AG$13:$AH$13</definedName>
    <definedName name="_big8" localSheetId="7">'[3]MA  Standardised units'!$AG$13:$AH$13</definedName>
    <definedName name="_big8">'[1]MA  Standardised units'!$AG$13:$AH$13</definedName>
    <definedName name="_big9" localSheetId="5">'[1]MA  Standardised units'!$AG$14:$AH$14</definedName>
    <definedName name="_big9" localSheetId="4">'[1]MA  Standardised units'!$AG$14:$AH$14</definedName>
    <definedName name="_big9" localSheetId="8">'[2]MA  Standardised units'!$AG$14:$AH$14</definedName>
    <definedName name="_big9" localSheetId="9">'[3]MA  Standardised units'!$AG$14:$AH$14</definedName>
    <definedName name="_big9" localSheetId="6">'[3]MA  Standardised units'!$AG$14:$AH$14</definedName>
    <definedName name="_big9" localSheetId="0">'[2]MA  Standardised units'!$AG$14:$AH$14</definedName>
    <definedName name="_big9" localSheetId="2">'[1]MA  Standardised units'!$AG$14:$AH$14</definedName>
    <definedName name="_big9" localSheetId="3">'[1]MA  Standardised units'!$AG$14:$AH$14</definedName>
    <definedName name="_big9" localSheetId="10">'[3]MA  Standardised units'!$AG$14:$AH$14</definedName>
    <definedName name="_big9" localSheetId="7">'[3]MA  Standardised units'!$AG$14:$AH$14</definedName>
    <definedName name="_big9">'[1]MA  Standardised units'!$AG$14:$AH$14</definedName>
    <definedName name="_cid1" localSheetId="5">'[1]MA  Standardised units'!$J$6</definedName>
    <definedName name="_cid1" localSheetId="4">'[1]MA  Standardised units'!$J$6</definedName>
    <definedName name="_cid1" localSheetId="8">'[2]MA  Standardised units'!$J$6</definedName>
    <definedName name="_cid1" localSheetId="9">'[3]MA  Standardised units'!$J$6</definedName>
    <definedName name="_cid1" localSheetId="6">'[3]MA  Standardised units'!$J$6</definedName>
    <definedName name="_cid1" localSheetId="2">'[1]MA  Standardised units'!$J$6</definedName>
    <definedName name="_cid1" localSheetId="3">'[1]MA  Standardised units'!$J$6</definedName>
    <definedName name="_cid1" localSheetId="10">'[3]MA  Standardised units'!$J$6</definedName>
    <definedName name="_cid1" localSheetId="7">'[3]MA  Standardised units'!$J$6</definedName>
    <definedName name="_cid1">'[1]MA  Standardised units'!$J$6</definedName>
    <definedName name="_cid10" localSheetId="5">'[1]MA  Standardised units'!$J$15</definedName>
    <definedName name="_cid10" localSheetId="4">'[1]MA  Standardised units'!$J$15</definedName>
    <definedName name="_cid10" localSheetId="8">'[2]MA  Standardised units'!$J$15</definedName>
    <definedName name="_cid10" localSheetId="9">'[3]MA  Standardised units'!$J$15</definedName>
    <definedName name="_cid10" localSheetId="6">'[3]MA  Standardised units'!$J$15</definedName>
    <definedName name="_cid10" localSheetId="0">'[2]MA  Standardised units'!$J$15</definedName>
    <definedName name="_cid10" localSheetId="2">'[1]MA  Standardised units'!$J$15</definedName>
    <definedName name="_cid10" localSheetId="3">'[1]MA  Standardised units'!$J$15</definedName>
    <definedName name="_cid10" localSheetId="10">'[3]MA  Standardised units'!$J$15</definedName>
    <definedName name="_cid10" localSheetId="7">'[3]MA  Standardised units'!$J$15</definedName>
    <definedName name="_cid10">'[1]MA  Standardised units'!$J$15</definedName>
    <definedName name="_cid11" localSheetId="5">'[1]MA  Standardised units'!$J$18</definedName>
    <definedName name="_cid11" localSheetId="4">'[1]MA  Standardised units'!$J$18</definedName>
    <definedName name="_cid11" localSheetId="8">'[2]MA  Standardised units'!$J$18</definedName>
    <definedName name="_cid11" localSheetId="9">'[3]MA  Standardised units'!$J$18</definedName>
    <definedName name="_cid11" localSheetId="6">'[3]MA  Standardised units'!$J$18</definedName>
    <definedName name="_cid11" localSheetId="0">'[2]MA  Standardised units'!$J$18</definedName>
    <definedName name="_cid11" localSheetId="2">'[1]MA  Standardised units'!$J$18</definedName>
    <definedName name="_cid11" localSheetId="3">'[1]MA  Standardised units'!$J$18</definedName>
    <definedName name="_cid11" localSheetId="10">'[3]MA  Standardised units'!$J$18</definedName>
    <definedName name="_cid11" localSheetId="7">'[3]MA  Standardised units'!$J$18</definedName>
    <definedName name="_cid11">'[1]MA  Standardised units'!$J$18</definedName>
    <definedName name="_cid12" localSheetId="5">'[1]MA  Standardised units'!$J$21</definedName>
    <definedName name="_cid12" localSheetId="4">'[1]MA  Standardised units'!$J$21</definedName>
    <definedName name="_cid12" localSheetId="8">'[2]MA  Standardised units'!$J$21</definedName>
    <definedName name="_cid12" localSheetId="9">'[3]MA  Standardised units'!$J$21</definedName>
    <definedName name="_cid12" localSheetId="6">'[3]MA  Standardised units'!$J$21</definedName>
    <definedName name="_cid12" localSheetId="0">'[2]MA  Standardised units'!$J$21</definedName>
    <definedName name="_cid12" localSheetId="2">'[1]MA  Standardised units'!$J$21</definedName>
    <definedName name="_cid12" localSheetId="3">'[1]MA  Standardised units'!$J$21</definedName>
    <definedName name="_cid12" localSheetId="10">'[3]MA  Standardised units'!$J$21</definedName>
    <definedName name="_cid12" localSheetId="7">'[3]MA  Standardised units'!$J$21</definedName>
    <definedName name="_cid12">'[1]MA  Standardised units'!$J$21</definedName>
    <definedName name="_cid13" localSheetId="5">'[1]MA  Standardised units'!$J$24</definedName>
    <definedName name="_cid13" localSheetId="4">'[1]MA  Standardised units'!$J$24</definedName>
    <definedName name="_cid13" localSheetId="8">'[2]MA  Standardised units'!$J$24</definedName>
    <definedName name="_cid13" localSheetId="9">'[3]MA  Standardised units'!$J$24</definedName>
    <definedName name="_cid13" localSheetId="6">'[3]MA  Standardised units'!$J$24</definedName>
    <definedName name="_cid13" localSheetId="0">'[2]MA  Standardised units'!$J$24</definedName>
    <definedName name="_cid13" localSheetId="2">'[1]MA  Standardised units'!$J$24</definedName>
    <definedName name="_cid13" localSheetId="3">'[1]MA  Standardised units'!$J$24</definedName>
    <definedName name="_cid13" localSheetId="10">'[3]MA  Standardised units'!$J$24</definedName>
    <definedName name="_cid13" localSheetId="7">'[3]MA  Standardised units'!$J$24</definedName>
    <definedName name="_cid13">'[1]MA  Standardised units'!$J$24</definedName>
    <definedName name="_cid2" localSheetId="5">'[1]MA  Standardised units'!$J$7</definedName>
    <definedName name="_cid2" localSheetId="4">'[1]MA  Standardised units'!$J$7</definedName>
    <definedName name="_cid2" localSheetId="8">'[2]MA  Standardised units'!$J$7</definedName>
    <definedName name="_cid2" localSheetId="9">'[3]MA  Standardised units'!$J$7</definedName>
    <definedName name="_cid2" localSheetId="6">'[3]MA  Standardised units'!$J$7</definedName>
    <definedName name="_cid2" localSheetId="0">'[2]MA  Standardised units'!$J$7</definedName>
    <definedName name="_cid2" localSheetId="2">'[1]MA  Standardised units'!$J$7</definedName>
    <definedName name="_cid2" localSheetId="3">'[1]MA  Standardised units'!$J$7</definedName>
    <definedName name="_cid2" localSheetId="10">'[3]MA  Standardised units'!$J$7</definedName>
    <definedName name="_cid2" localSheetId="7">'[3]MA  Standardised units'!$J$7</definedName>
    <definedName name="_cid2">'[1]MA  Standardised units'!$J$7</definedName>
    <definedName name="_cid3" localSheetId="5">'[1]MA  Standardised units'!$J$8</definedName>
    <definedName name="_cid3" localSheetId="4">'[1]MA  Standardised units'!$J$8</definedName>
    <definedName name="_cid3" localSheetId="8">'[2]MA  Standardised units'!$J$8</definedName>
    <definedName name="_cid3" localSheetId="9">'[3]MA  Standardised units'!$J$8</definedName>
    <definedName name="_cid3" localSheetId="6">'[3]MA  Standardised units'!$J$8</definedName>
    <definedName name="_cid3" localSheetId="0">'[2]MA  Standardised units'!$J$8</definedName>
    <definedName name="_cid3" localSheetId="2">'[1]MA  Standardised units'!$J$8</definedName>
    <definedName name="_cid3" localSheetId="3">'[1]MA  Standardised units'!$J$8</definedName>
    <definedName name="_cid3" localSheetId="10">'[3]MA  Standardised units'!$J$8</definedName>
    <definedName name="_cid3" localSheetId="7">'[3]MA  Standardised units'!$J$8</definedName>
    <definedName name="_cid3">'[1]MA  Standardised units'!$J$8</definedName>
    <definedName name="_cid4" localSheetId="5">'[1]MA  Standardised units'!$J$9</definedName>
    <definedName name="_cid4" localSheetId="4">'[1]MA  Standardised units'!$J$9</definedName>
    <definedName name="_cid4" localSheetId="8">'[2]MA  Standardised units'!$J$9</definedName>
    <definedName name="_cid4" localSheetId="9">'[3]MA  Standardised units'!$J$9</definedName>
    <definedName name="_cid4" localSheetId="6">'[3]MA  Standardised units'!$J$9</definedName>
    <definedName name="_cid4" localSheetId="0">'[2]MA  Standardised units'!$J$9</definedName>
    <definedName name="_cid4" localSheetId="2">'[1]MA  Standardised units'!$J$9</definedName>
    <definedName name="_cid4" localSheetId="3">'[1]MA  Standardised units'!$J$9</definedName>
    <definedName name="_cid4" localSheetId="10">'[3]MA  Standardised units'!$J$9</definedName>
    <definedName name="_cid4" localSheetId="7">'[3]MA  Standardised units'!$J$9</definedName>
    <definedName name="_cid4">'[1]MA  Standardised units'!$J$9</definedName>
    <definedName name="_cid5" localSheetId="5">'[1]MA  Standardised units'!$J$10</definedName>
    <definedName name="_cid5" localSheetId="4">'[1]MA  Standardised units'!$J$10</definedName>
    <definedName name="_cid5" localSheetId="8">'[2]MA  Standardised units'!$J$10</definedName>
    <definedName name="_cid5" localSheetId="9">'[3]MA  Standardised units'!$J$10</definedName>
    <definedName name="_cid5" localSheetId="6">'[3]MA  Standardised units'!$J$10</definedName>
    <definedName name="_cid5" localSheetId="0">'[2]MA  Standardised units'!$J$10</definedName>
    <definedName name="_cid5" localSheetId="2">'[1]MA  Standardised units'!$J$10</definedName>
    <definedName name="_cid5" localSheetId="3">'[1]MA  Standardised units'!$J$10</definedName>
    <definedName name="_cid5" localSheetId="10">'[3]MA  Standardised units'!$J$10</definedName>
    <definedName name="_cid5" localSheetId="7">'[3]MA  Standardised units'!$J$10</definedName>
    <definedName name="_cid5">'[1]MA  Standardised units'!$J$10</definedName>
    <definedName name="_cid6" localSheetId="5">'[1]MA  Standardised units'!$J$11</definedName>
    <definedName name="_cid6" localSheetId="4">'[1]MA  Standardised units'!$J$11</definedName>
    <definedName name="_cid6" localSheetId="8">'[2]MA  Standardised units'!$J$11</definedName>
    <definedName name="_cid6" localSheetId="9">'[3]MA  Standardised units'!$J$11</definedName>
    <definedName name="_cid6" localSheetId="6">'[3]MA  Standardised units'!$J$11</definedName>
    <definedName name="_cid6" localSheetId="0">'[2]MA  Standardised units'!$J$11</definedName>
    <definedName name="_cid6" localSheetId="2">'[1]MA  Standardised units'!$J$11</definedName>
    <definedName name="_cid6" localSheetId="3">'[1]MA  Standardised units'!$J$11</definedName>
    <definedName name="_cid6" localSheetId="10">'[3]MA  Standardised units'!$J$11</definedName>
    <definedName name="_cid6" localSheetId="7">'[3]MA  Standardised units'!$J$11</definedName>
    <definedName name="_cid6">'[1]MA  Standardised units'!$J$11</definedName>
    <definedName name="_cid7" localSheetId="5">'[1]MA  Standardised units'!$J$12</definedName>
    <definedName name="_cid7" localSheetId="4">'[1]MA  Standardised units'!$J$12</definedName>
    <definedName name="_cid7" localSheetId="8">'[2]MA  Standardised units'!$J$12</definedName>
    <definedName name="_cid7" localSheetId="9">'[3]MA  Standardised units'!$J$12</definedName>
    <definedName name="_cid7" localSheetId="6">'[3]MA  Standardised units'!$J$12</definedName>
    <definedName name="_cid7" localSheetId="0">'[2]MA  Standardised units'!$J$12</definedName>
    <definedName name="_cid7" localSheetId="2">'[1]MA  Standardised units'!$J$12</definedName>
    <definedName name="_cid7" localSheetId="3">'[1]MA  Standardised units'!$J$12</definedName>
    <definedName name="_cid7" localSheetId="10">'[3]MA  Standardised units'!$J$12</definedName>
    <definedName name="_cid7" localSheetId="7">'[3]MA  Standardised units'!$J$12</definedName>
    <definedName name="_cid7">'[1]MA  Standardised units'!$J$12</definedName>
    <definedName name="_cid8" localSheetId="5">'[1]MA  Standardised units'!$J$13</definedName>
    <definedName name="_cid8" localSheetId="4">'[1]MA  Standardised units'!$J$13</definedName>
    <definedName name="_cid8" localSheetId="8">'[2]MA  Standardised units'!$J$13</definedName>
    <definedName name="_cid8" localSheetId="9">'[3]MA  Standardised units'!$J$13</definedName>
    <definedName name="_cid8" localSheetId="6">'[3]MA  Standardised units'!$J$13</definedName>
    <definedName name="_cid8" localSheetId="0">'[2]MA  Standardised units'!$J$13</definedName>
    <definedName name="_cid8" localSheetId="2">'[1]MA  Standardised units'!$J$13</definedName>
    <definedName name="_cid8" localSheetId="3">'[1]MA  Standardised units'!$J$13</definedName>
    <definedName name="_cid8" localSheetId="10">'[3]MA  Standardised units'!$J$13</definedName>
    <definedName name="_cid8" localSheetId="7">'[3]MA  Standardised units'!$J$13</definedName>
    <definedName name="_cid8">'[1]MA  Standardised units'!$J$13</definedName>
    <definedName name="_cid9" localSheetId="5">'[1]MA  Standardised units'!$J$14</definedName>
    <definedName name="_cid9" localSheetId="4">'[1]MA  Standardised units'!$J$14</definedName>
    <definedName name="_cid9" localSheetId="8">'[2]MA  Standardised units'!$J$14</definedName>
    <definedName name="_cid9" localSheetId="9">'[3]MA  Standardised units'!$J$14</definedName>
    <definedName name="_cid9" localSheetId="6">'[3]MA  Standardised units'!$J$14</definedName>
    <definedName name="_cid9" localSheetId="0">'[2]MA  Standardised units'!$J$14</definedName>
    <definedName name="_cid9" localSheetId="2">'[1]MA  Standardised units'!$J$14</definedName>
    <definedName name="_cid9" localSheetId="3">'[1]MA  Standardised units'!$J$14</definedName>
    <definedName name="_cid9" localSheetId="10">'[3]MA  Standardised units'!$J$14</definedName>
    <definedName name="_cid9" localSheetId="7">'[3]MA  Standardised units'!$J$14</definedName>
    <definedName name="_cid9">'[1]MA  Standardised units'!$J$14</definedName>
    <definedName name="_frr1" localSheetId="8">'[4]Overlap two correlations (n1)'!$O$5</definedName>
    <definedName name="_frr1" localSheetId="9">'[5]Overlap two correlations (n1)'!$O$5</definedName>
    <definedName name="_frr1" localSheetId="6">'[5]Overlap two correlations (n1)'!$O$5</definedName>
    <definedName name="_frr1" localSheetId="10">'[5]Overlap two correlations (n1)'!$O$5</definedName>
    <definedName name="_frr1" localSheetId="7">'[5]Overlap two correlations (n1)'!$O$5</definedName>
    <definedName name="_frr1">'[4]Overlap two correlations (n1)'!$O$5</definedName>
    <definedName name="_frr10" localSheetId="8">'[4]Overlap two correlations (n1)'!$O$14</definedName>
    <definedName name="_frr10" localSheetId="9">'[5]Overlap two correlations (n1)'!$O$14</definedName>
    <definedName name="_frr10" localSheetId="6">'[5]Overlap two correlations (n1)'!$O$14</definedName>
    <definedName name="_frr10" localSheetId="10">'[5]Overlap two correlations (n1)'!$O$14</definedName>
    <definedName name="_frr10" localSheetId="7">'[5]Overlap two correlations (n1)'!$O$14</definedName>
    <definedName name="_frr10">'[4]Overlap two correlations (n1)'!$O$14</definedName>
    <definedName name="_frr11" localSheetId="8">'[4]Overlap two correlations (n1)'!$O$15</definedName>
    <definedName name="_frr11" localSheetId="9">'[5]Overlap two correlations (n1)'!$O$15</definedName>
    <definedName name="_frr11" localSheetId="6">'[5]Overlap two correlations (n1)'!$O$15</definedName>
    <definedName name="_frr11" localSheetId="10">'[5]Overlap two correlations (n1)'!$O$15</definedName>
    <definedName name="_frr11" localSheetId="7">'[5]Overlap two correlations (n1)'!$O$15</definedName>
    <definedName name="_frr11">'[4]Overlap two correlations (n1)'!$O$15</definedName>
    <definedName name="_frr12" localSheetId="8">'[4]Overlap two correlations (n1)'!$O$16</definedName>
    <definedName name="_frr12" localSheetId="9">'[5]Overlap two correlations (n1)'!$O$16</definedName>
    <definedName name="_frr12" localSheetId="6">'[5]Overlap two correlations (n1)'!$O$16</definedName>
    <definedName name="_frr12" localSheetId="10">'[5]Overlap two correlations (n1)'!$O$16</definedName>
    <definedName name="_frr12" localSheetId="7">'[5]Overlap two correlations (n1)'!$O$16</definedName>
    <definedName name="_frr12">'[4]Overlap two correlations (n1)'!$O$16</definedName>
    <definedName name="_frr13" localSheetId="8">'[4]Overlap two correlations (n1)'!$O$17</definedName>
    <definedName name="_frr13" localSheetId="9">'[5]Overlap two correlations (n1)'!$O$17</definedName>
    <definedName name="_frr13" localSheetId="6">'[5]Overlap two correlations (n1)'!$O$17</definedName>
    <definedName name="_frr13" localSheetId="10">'[5]Overlap two correlations (n1)'!$O$17</definedName>
    <definedName name="_frr13" localSheetId="7">'[5]Overlap two correlations (n1)'!$O$17</definedName>
    <definedName name="_frr13">'[4]Overlap two correlations (n1)'!$O$17</definedName>
    <definedName name="_frr14" localSheetId="8">'[4]Overlap two correlations (n1)'!$O$18</definedName>
    <definedName name="_frr14" localSheetId="9">'[5]Overlap two correlations (n1)'!$O$18</definedName>
    <definedName name="_frr14" localSheetId="6">'[5]Overlap two correlations (n1)'!$O$18</definedName>
    <definedName name="_frr14" localSheetId="10">'[5]Overlap two correlations (n1)'!$O$18</definedName>
    <definedName name="_frr14" localSheetId="7">'[5]Overlap two correlations (n1)'!$O$18</definedName>
    <definedName name="_frr14">'[4]Overlap two correlations (n1)'!$O$18</definedName>
    <definedName name="_frr15" localSheetId="8">'[4]Overlap two correlations (n1)'!$O$19</definedName>
    <definedName name="_frr15" localSheetId="9">'[5]Overlap two correlations (n1)'!$O$19</definedName>
    <definedName name="_frr15" localSheetId="6">'[5]Overlap two correlations (n1)'!$O$19</definedName>
    <definedName name="_frr15" localSheetId="10">'[5]Overlap two correlations (n1)'!$O$19</definedName>
    <definedName name="_frr15" localSheetId="7">'[5]Overlap two correlations (n1)'!$O$19</definedName>
    <definedName name="_frr15">'[4]Overlap two correlations (n1)'!$O$19</definedName>
    <definedName name="_frr16" localSheetId="8">'[4]Overlap two correlations (n1)'!$O$20</definedName>
    <definedName name="_frr16" localSheetId="9">'[5]Overlap two correlations (n1)'!$O$20</definedName>
    <definedName name="_frr16" localSheetId="6">'[5]Overlap two correlations (n1)'!$O$20</definedName>
    <definedName name="_frr16" localSheetId="10">'[5]Overlap two correlations (n1)'!$O$20</definedName>
    <definedName name="_frr16" localSheetId="7">'[5]Overlap two correlations (n1)'!$O$20</definedName>
    <definedName name="_frr16">'[4]Overlap two correlations (n1)'!$O$20</definedName>
    <definedName name="_frr17" localSheetId="8">'[4]Overlap two correlations (n1)'!$O$21</definedName>
    <definedName name="_frr17" localSheetId="9">'[5]Overlap two correlations (n1)'!$O$21</definedName>
    <definedName name="_frr17" localSheetId="6">'[5]Overlap two correlations (n1)'!$O$21</definedName>
    <definedName name="_frr17" localSheetId="10">'[5]Overlap two correlations (n1)'!$O$21</definedName>
    <definedName name="_frr17" localSheetId="7">'[5]Overlap two correlations (n1)'!$O$21</definedName>
    <definedName name="_frr17">'[4]Overlap two correlations (n1)'!$O$21</definedName>
    <definedName name="_frr18" localSheetId="8">'[4]Overlap two correlations (n1)'!$O$22</definedName>
    <definedName name="_frr18" localSheetId="9">'[5]Overlap two correlations (n1)'!$O$22</definedName>
    <definedName name="_frr18" localSheetId="6">'[5]Overlap two correlations (n1)'!$O$22</definedName>
    <definedName name="_frr18" localSheetId="10">'[5]Overlap two correlations (n1)'!$O$22</definedName>
    <definedName name="_frr18" localSheetId="7">'[5]Overlap two correlations (n1)'!$O$22</definedName>
    <definedName name="_frr18">'[4]Overlap two correlations (n1)'!$O$22</definedName>
    <definedName name="_frr19" localSheetId="8">'[4]Overlap two correlations (n1)'!$O$23</definedName>
    <definedName name="_frr19" localSheetId="9">'[5]Overlap two correlations (n1)'!$O$23</definedName>
    <definedName name="_frr19" localSheetId="6">'[5]Overlap two correlations (n1)'!$O$23</definedName>
    <definedName name="_frr19" localSheetId="10">'[5]Overlap two correlations (n1)'!$O$23</definedName>
    <definedName name="_frr19" localSheetId="7">'[5]Overlap two correlations (n1)'!$O$23</definedName>
    <definedName name="_frr19">'[4]Overlap two correlations (n1)'!$O$23</definedName>
    <definedName name="_frr2" localSheetId="8">'[4]Overlap two correlations (n1)'!$O$6</definedName>
    <definedName name="_frr2" localSheetId="9">'[5]Overlap two correlations (n1)'!$O$6</definedName>
    <definedName name="_frr2" localSheetId="6">'[5]Overlap two correlations (n1)'!$O$6</definedName>
    <definedName name="_frr2" localSheetId="10">'[5]Overlap two correlations (n1)'!$O$6</definedName>
    <definedName name="_frr2" localSheetId="7">'[5]Overlap two correlations (n1)'!$O$6</definedName>
    <definedName name="_frr2">'[4]Overlap two correlations (n1)'!$O$6</definedName>
    <definedName name="_frr20" localSheetId="8">'[4]Overlap two correlations (n1)'!$O$24</definedName>
    <definedName name="_frr20" localSheetId="9">'[5]Overlap two correlations (n1)'!$O$24</definedName>
    <definedName name="_frr20" localSheetId="6">'[5]Overlap two correlations (n1)'!$O$24</definedName>
    <definedName name="_frr20" localSheetId="10">'[5]Overlap two correlations (n1)'!$O$24</definedName>
    <definedName name="_frr20" localSheetId="7">'[5]Overlap two correlations (n1)'!$O$24</definedName>
    <definedName name="_frr20">'[4]Overlap two correlations (n1)'!$O$24</definedName>
    <definedName name="_frr21" localSheetId="8">'[4]Overlap two correlations (n1)'!$O$25</definedName>
    <definedName name="_frr21" localSheetId="9">'[5]Overlap two correlations (n1)'!$O$25</definedName>
    <definedName name="_frr21" localSheetId="6">'[5]Overlap two correlations (n1)'!$O$25</definedName>
    <definedName name="_frr21" localSheetId="10">'[5]Overlap two correlations (n1)'!$O$25</definedName>
    <definedName name="_frr21" localSheetId="7">'[5]Overlap two correlations (n1)'!$O$25</definedName>
    <definedName name="_frr21">'[4]Overlap two correlations (n1)'!$O$25</definedName>
    <definedName name="_frr22" localSheetId="8">'[4]Overlap two correlations (n1)'!$O$26</definedName>
    <definedName name="_frr22" localSheetId="9">'[5]Overlap two correlations (n1)'!$O$26</definedName>
    <definedName name="_frr22" localSheetId="6">'[5]Overlap two correlations (n1)'!$O$26</definedName>
    <definedName name="_frr22" localSheetId="10">'[5]Overlap two correlations (n1)'!$O$26</definedName>
    <definedName name="_frr22" localSheetId="7">'[5]Overlap two correlations (n1)'!$O$26</definedName>
    <definedName name="_frr22">'[4]Overlap two correlations (n1)'!$O$26</definedName>
    <definedName name="_frr23" localSheetId="8">'[4]Overlap two correlations (n1)'!$O$27</definedName>
    <definedName name="_frr23" localSheetId="9">'[5]Overlap two correlations (n1)'!$O$27</definedName>
    <definedName name="_frr23" localSheetId="6">'[5]Overlap two correlations (n1)'!$O$27</definedName>
    <definedName name="_frr23" localSheetId="10">'[5]Overlap two correlations (n1)'!$O$27</definedName>
    <definedName name="_frr23" localSheetId="7">'[5]Overlap two correlations (n1)'!$O$27</definedName>
    <definedName name="_frr23">'[4]Overlap two correlations (n1)'!$O$27</definedName>
    <definedName name="_frr24" localSheetId="8">'[4]Overlap two correlations (n1)'!$O$28</definedName>
    <definedName name="_frr24" localSheetId="9">'[5]Overlap two correlations (n1)'!$O$28</definedName>
    <definedName name="_frr24" localSheetId="6">'[5]Overlap two correlations (n1)'!$O$28</definedName>
    <definedName name="_frr24" localSheetId="10">'[5]Overlap two correlations (n1)'!$O$28</definedName>
    <definedName name="_frr24" localSheetId="7">'[5]Overlap two correlations (n1)'!$O$28</definedName>
    <definedName name="_frr24">'[4]Overlap two correlations (n1)'!$O$28</definedName>
    <definedName name="_frr25" localSheetId="8">'[4]Overlap two correlations (n1)'!$O$29</definedName>
    <definedName name="_frr25" localSheetId="9">'[5]Overlap two correlations (n1)'!$O$29</definedName>
    <definedName name="_frr25" localSheetId="6">'[5]Overlap two correlations (n1)'!$O$29</definedName>
    <definedName name="_frr25" localSheetId="10">'[5]Overlap two correlations (n1)'!$O$29</definedName>
    <definedName name="_frr25" localSheetId="7">'[5]Overlap two correlations (n1)'!$O$29</definedName>
    <definedName name="_frr25">'[4]Overlap two correlations (n1)'!$O$29</definedName>
    <definedName name="_frr26" localSheetId="8">'[4]Overlap two correlations (n1)'!$O$30</definedName>
    <definedName name="_frr26" localSheetId="9">'[5]Overlap two correlations (n1)'!$O$30</definedName>
    <definedName name="_frr26" localSheetId="6">'[5]Overlap two correlations (n1)'!$O$30</definedName>
    <definedName name="_frr26" localSheetId="10">'[5]Overlap two correlations (n1)'!$O$30</definedName>
    <definedName name="_frr26" localSheetId="7">'[5]Overlap two correlations (n1)'!$O$30</definedName>
    <definedName name="_frr26">'[4]Overlap two correlations (n1)'!$O$30</definedName>
    <definedName name="_frr27" localSheetId="8">'[4]Overlap two correlations (n1)'!$O$31</definedName>
    <definedName name="_frr27" localSheetId="9">'[5]Overlap two correlations (n1)'!$O$31</definedName>
    <definedName name="_frr27" localSheetId="6">'[5]Overlap two correlations (n1)'!$O$31</definedName>
    <definedName name="_frr27" localSheetId="10">'[5]Overlap two correlations (n1)'!$O$31</definedName>
    <definedName name="_frr27" localSheetId="7">'[5]Overlap two correlations (n1)'!$O$31</definedName>
    <definedName name="_frr27">'[4]Overlap two correlations (n1)'!$O$31</definedName>
    <definedName name="_frr28" localSheetId="8">'[4]Overlap two correlations (n1)'!$O$32</definedName>
    <definedName name="_frr28" localSheetId="9">'[5]Overlap two correlations (n1)'!$O$32</definedName>
    <definedName name="_frr28" localSheetId="6">'[5]Overlap two correlations (n1)'!$O$32</definedName>
    <definedName name="_frr28" localSheetId="10">'[5]Overlap two correlations (n1)'!$O$32</definedName>
    <definedName name="_frr28" localSheetId="7">'[5]Overlap two correlations (n1)'!$O$32</definedName>
    <definedName name="_frr28">'[4]Overlap two correlations (n1)'!$O$32</definedName>
    <definedName name="_frr29" localSheetId="8">'[4]Overlap two correlations (n1)'!$O$33</definedName>
    <definedName name="_frr29" localSheetId="9">'[5]Overlap two correlations (n1)'!$O$33</definedName>
    <definedName name="_frr29" localSheetId="6">'[5]Overlap two correlations (n1)'!$O$33</definedName>
    <definedName name="_frr29" localSheetId="10">'[5]Overlap two correlations (n1)'!$O$33</definedName>
    <definedName name="_frr29" localSheetId="7">'[5]Overlap two correlations (n1)'!$O$33</definedName>
    <definedName name="_frr29">'[4]Overlap two correlations (n1)'!$O$33</definedName>
    <definedName name="_frr3" localSheetId="8">'[4]Overlap two correlations (n1)'!$O$7</definedName>
    <definedName name="_frr3" localSheetId="9">'[5]Overlap two correlations (n1)'!$O$7</definedName>
    <definedName name="_frr3" localSheetId="6">'[5]Overlap two correlations (n1)'!$O$7</definedName>
    <definedName name="_frr3" localSheetId="10">'[5]Overlap two correlations (n1)'!$O$7</definedName>
    <definedName name="_frr3" localSheetId="7">'[5]Overlap two correlations (n1)'!$O$7</definedName>
    <definedName name="_frr3">'[4]Overlap two correlations (n1)'!$O$7</definedName>
    <definedName name="_frr30" localSheetId="8">'[4]Overlap two correlations (n1)'!$O$34</definedName>
    <definedName name="_frr30" localSheetId="9">'[5]Overlap two correlations (n1)'!$O$34</definedName>
    <definedName name="_frr30" localSheetId="6">'[5]Overlap two correlations (n1)'!$O$34</definedName>
    <definedName name="_frr30" localSheetId="10">'[5]Overlap two correlations (n1)'!$O$34</definedName>
    <definedName name="_frr30" localSheetId="7">'[5]Overlap two correlations (n1)'!$O$34</definedName>
    <definedName name="_frr30">'[4]Overlap two correlations (n1)'!$O$34</definedName>
    <definedName name="_frr31" localSheetId="8">'[4]Overlap two correlations (n1)'!$O$35</definedName>
    <definedName name="_frr31" localSheetId="9">'[5]Overlap two correlations (n1)'!$O$35</definedName>
    <definedName name="_frr31" localSheetId="6">'[5]Overlap two correlations (n1)'!$O$35</definedName>
    <definedName name="_frr31" localSheetId="10">'[5]Overlap two correlations (n1)'!$O$35</definedName>
    <definedName name="_frr31" localSheetId="7">'[5]Overlap two correlations (n1)'!$O$35</definedName>
    <definedName name="_frr31">'[4]Overlap two correlations (n1)'!$O$35</definedName>
    <definedName name="_frr32" localSheetId="8">'[4]Overlap two correlations (n1)'!$O$36</definedName>
    <definedName name="_frr32" localSheetId="9">'[5]Overlap two correlations (n1)'!$O$36</definedName>
    <definedName name="_frr32" localSheetId="6">'[5]Overlap two correlations (n1)'!$O$36</definedName>
    <definedName name="_frr32" localSheetId="10">'[5]Overlap two correlations (n1)'!$O$36</definedName>
    <definedName name="_frr32" localSheetId="7">'[5]Overlap two correlations (n1)'!$O$36</definedName>
    <definedName name="_frr32">'[4]Overlap two correlations (n1)'!$O$36</definedName>
    <definedName name="_frr33" localSheetId="8">'[4]Overlap two correlations (n1)'!$O$37</definedName>
    <definedName name="_frr33" localSheetId="9">'[5]Overlap two correlations (n1)'!$O$37</definedName>
    <definedName name="_frr33" localSheetId="6">'[5]Overlap two correlations (n1)'!$O$37</definedName>
    <definedName name="_frr33" localSheetId="10">'[5]Overlap two correlations (n1)'!$O$37</definedName>
    <definedName name="_frr33" localSheetId="7">'[5]Overlap two correlations (n1)'!$O$37</definedName>
    <definedName name="_frr33">'[4]Overlap two correlations (n1)'!$O$37</definedName>
    <definedName name="_frr34" localSheetId="8">'[4]Overlap two correlations (n1)'!$O$38</definedName>
    <definedName name="_frr34" localSheetId="9">'[5]Overlap two correlations (n1)'!$O$38</definedName>
    <definedName name="_frr34" localSheetId="6">'[5]Overlap two correlations (n1)'!$O$38</definedName>
    <definedName name="_frr34" localSheetId="10">'[5]Overlap two correlations (n1)'!$O$38</definedName>
    <definedName name="_frr34" localSheetId="7">'[5]Overlap two correlations (n1)'!$O$38</definedName>
    <definedName name="_frr34">'[4]Overlap two correlations (n1)'!$O$38</definedName>
    <definedName name="_frr35" localSheetId="8">'[4]Overlap two correlations (n1)'!$O$39</definedName>
    <definedName name="_frr35" localSheetId="9">'[5]Overlap two correlations (n1)'!$O$39</definedName>
    <definedName name="_frr35" localSheetId="6">'[5]Overlap two correlations (n1)'!$O$39</definedName>
    <definedName name="_frr35" localSheetId="10">'[5]Overlap two correlations (n1)'!$O$39</definedName>
    <definedName name="_frr35" localSheetId="7">'[5]Overlap two correlations (n1)'!$O$39</definedName>
    <definedName name="_frr35">'[4]Overlap two correlations (n1)'!$O$39</definedName>
    <definedName name="_frr36" localSheetId="8">'[4]Overlap two correlations (n1)'!$O$40</definedName>
    <definedName name="_frr36" localSheetId="9">'[5]Overlap two correlations (n1)'!$O$40</definedName>
    <definedName name="_frr36" localSheetId="6">'[5]Overlap two correlations (n1)'!$O$40</definedName>
    <definedName name="_frr36" localSheetId="10">'[5]Overlap two correlations (n1)'!$O$40</definedName>
    <definedName name="_frr36" localSheetId="7">'[5]Overlap two correlations (n1)'!$O$40</definedName>
    <definedName name="_frr36">'[4]Overlap two correlations (n1)'!$O$40</definedName>
    <definedName name="_frr37" localSheetId="8">'[4]Overlap two correlations (n1)'!$O$41</definedName>
    <definedName name="_frr37" localSheetId="9">'[5]Overlap two correlations (n1)'!$O$41</definedName>
    <definedName name="_frr37" localSheetId="6">'[5]Overlap two correlations (n1)'!$O$41</definedName>
    <definedName name="_frr37" localSheetId="10">'[5]Overlap two correlations (n1)'!$O$41</definedName>
    <definedName name="_frr37" localSheetId="7">'[5]Overlap two correlations (n1)'!$O$41</definedName>
    <definedName name="_frr37">'[4]Overlap two correlations (n1)'!$O$41</definedName>
    <definedName name="_frr38" localSheetId="8">'[4]Overlap two correlations (n1)'!$O$42</definedName>
    <definedName name="_frr38" localSheetId="9">'[5]Overlap two correlations (n1)'!$O$42</definedName>
    <definedName name="_frr38" localSheetId="6">'[5]Overlap two correlations (n1)'!$O$42</definedName>
    <definedName name="_frr38" localSheetId="10">'[5]Overlap two correlations (n1)'!$O$42</definedName>
    <definedName name="_frr38" localSheetId="7">'[5]Overlap two correlations (n1)'!$O$42</definedName>
    <definedName name="_frr38">'[4]Overlap two correlations (n1)'!$O$42</definedName>
    <definedName name="_frr39" localSheetId="8">'[4]Overlap two correlations (n1)'!$O$43</definedName>
    <definedName name="_frr39" localSheetId="9">'[5]Overlap two correlations (n1)'!$O$43</definedName>
    <definedName name="_frr39" localSheetId="6">'[5]Overlap two correlations (n1)'!$O$43</definedName>
    <definedName name="_frr39" localSheetId="10">'[5]Overlap two correlations (n1)'!$O$43</definedName>
    <definedName name="_frr39" localSheetId="7">'[5]Overlap two correlations (n1)'!$O$43</definedName>
    <definedName name="_frr39">'[4]Overlap two correlations (n1)'!$O$43</definedName>
    <definedName name="_frr4" localSheetId="8">'[4]Overlap two correlations (n1)'!$O$8</definedName>
    <definedName name="_frr4" localSheetId="9">'[5]Overlap two correlations (n1)'!$O$8</definedName>
    <definedName name="_frr4" localSheetId="6">'[5]Overlap two correlations (n1)'!$O$8</definedName>
    <definedName name="_frr4" localSheetId="10">'[5]Overlap two correlations (n1)'!$O$8</definedName>
    <definedName name="_frr4" localSheetId="7">'[5]Overlap two correlations (n1)'!$O$8</definedName>
    <definedName name="_frr4">'[4]Overlap two correlations (n1)'!$O$8</definedName>
    <definedName name="_frr40" localSheetId="8">'[4]Overlap two correlations (n1)'!$O$44</definedName>
    <definedName name="_frr40" localSheetId="9">'[5]Overlap two correlations (n1)'!$O$44</definedName>
    <definedName name="_frr40" localSheetId="6">'[5]Overlap two correlations (n1)'!$O$44</definedName>
    <definedName name="_frr40" localSheetId="10">'[5]Overlap two correlations (n1)'!$O$44</definedName>
    <definedName name="_frr40" localSheetId="7">'[5]Overlap two correlations (n1)'!$O$44</definedName>
    <definedName name="_frr40">'[4]Overlap two correlations (n1)'!$O$44</definedName>
    <definedName name="_frr41" localSheetId="8">'[4]Overlap two correlations (n1)'!$O$45</definedName>
    <definedName name="_frr41" localSheetId="9">'[5]Overlap two correlations (n1)'!$O$45</definedName>
    <definedName name="_frr41" localSheetId="6">'[5]Overlap two correlations (n1)'!$O$45</definedName>
    <definedName name="_frr41" localSheetId="10">'[5]Overlap two correlations (n1)'!$O$45</definedName>
    <definedName name="_frr41" localSheetId="7">'[5]Overlap two correlations (n1)'!$O$45</definedName>
    <definedName name="_frr41">'[4]Overlap two correlations (n1)'!$O$45</definedName>
    <definedName name="_frr42" localSheetId="8">'[4]Overlap two correlations (n1)'!$O$46</definedName>
    <definedName name="_frr42" localSheetId="9">'[5]Overlap two correlations (n1)'!$O$46</definedName>
    <definedName name="_frr42" localSheetId="6">'[5]Overlap two correlations (n1)'!$O$46</definedName>
    <definedName name="_frr42" localSheetId="10">'[5]Overlap two correlations (n1)'!$O$46</definedName>
    <definedName name="_frr42" localSheetId="7">'[5]Overlap two correlations (n1)'!$O$46</definedName>
    <definedName name="_frr42">'[4]Overlap two correlations (n1)'!$O$46</definedName>
    <definedName name="_frr43" localSheetId="8">'[4]Overlap two correlations (n1)'!$O$47</definedName>
    <definedName name="_frr43" localSheetId="9">'[5]Overlap two correlations (n1)'!$O$47</definedName>
    <definedName name="_frr43" localSheetId="6">'[5]Overlap two correlations (n1)'!$O$47</definedName>
    <definedName name="_frr43" localSheetId="10">'[5]Overlap two correlations (n1)'!$O$47</definedName>
    <definedName name="_frr43" localSheetId="7">'[5]Overlap two correlations (n1)'!$O$47</definedName>
    <definedName name="_frr43">'[4]Overlap two correlations (n1)'!$O$47</definedName>
    <definedName name="_frr44" localSheetId="8">'[4]Overlap two correlations (n1)'!$O$48</definedName>
    <definedName name="_frr44" localSheetId="9">'[5]Overlap two correlations (n1)'!$O$48</definedName>
    <definedName name="_frr44" localSheetId="6">'[5]Overlap two correlations (n1)'!$O$48</definedName>
    <definedName name="_frr44" localSheetId="10">'[5]Overlap two correlations (n1)'!$O$48</definedName>
    <definedName name="_frr44" localSheetId="7">'[5]Overlap two correlations (n1)'!$O$48</definedName>
    <definedName name="_frr44">'[4]Overlap two correlations (n1)'!$O$48</definedName>
    <definedName name="_frr45" localSheetId="8">'[4]Overlap two correlations (n1)'!$O$49</definedName>
    <definedName name="_frr45" localSheetId="9">'[5]Overlap two correlations (n1)'!$O$49</definedName>
    <definedName name="_frr45" localSheetId="6">'[5]Overlap two correlations (n1)'!$O$49</definedName>
    <definedName name="_frr45" localSheetId="10">'[5]Overlap two correlations (n1)'!$O$49</definedName>
    <definedName name="_frr45" localSheetId="7">'[5]Overlap two correlations (n1)'!$O$49</definedName>
    <definedName name="_frr45">'[4]Overlap two correlations (n1)'!$O$49</definedName>
    <definedName name="_frr46" localSheetId="8">'[4]Overlap two correlations (n1)'!$O$50</definedName>
    <definedName name="_frr46" localSheetId="9">'[5]Overlap two correlations (n1)'!$O$50</definedName>
    <definedName name="_frr46" localSheetId="6">'[5]Overlap two correlations (n1)'!$O$50</definedName>
    <definedName name="_frr46" localSheetId="10">'[5]Overlap two correlations (n1)'!$O$50</definedName>
    <definedName name="_frr46" localSheetId="7">'[5]Overlap two correlations (n1)'!$O$50</definedName>
    <definedName name="_frr46">'[4]Overlap two correlations (n1)'!$O$50</definedName>
    <definedName name="_frr47" localSheetId="8">'[4]Overlap two correlations (n1)'!$O$51</definedName>
    <definedName name="_frr47" localSheetId="9">'[5]Overlap two correlations (n1)'!$O$51</definedName>
    <definedName name="_frr47" localSheetId="6">'[5]Overlap two correlations (n1)'!$O$51</definedName>
    <definedName name="_frr47" localSheetId="10">'[5]Overlap two correlations (n1)'!$O$51</definedName>
    <definedName name="_frr47" localSheetId="7">'[5]Overlap two correlations (n1)'!$O$51</definedName>
    <definedName name="_frr47">'[4]Overlap two correlations (n1)'!$O$51</definedName>
    <definedName name="_frr48" localSheetId="8">'[4]Overlap two correlations (n1)'!$O$52</definedName>
    <definedName name="_frr48" localSheetId="9">'[5]Overlap two correlations (n1)'!$O$52</definedName>
    <definedName name="_frr48" localSheetId="6">'[5]Overlap two correlations (n1)'!$O$52</definedName>
    <definedName name="_frr48" localSheetId="10">'[5]Overlap two correlations (n1)'!$O$52</definedName>
    <definedName name="_frr48" localSheetId="7">'[5]Overlap two correlations (n1)'!$O$52</definedName>
    <definedName name="_frr48">'[4]Overlap two correlations (n1)'!$O$52</definedName>
    <definedName name="_frr49" localSheetId="8">'[4]Overlap two correlations (n1)'!$O$53</definedName>
    <definedName name="_frr49" localSheetId="9">'[5]Overlap two correlations (n1)'!$O$53</definedName>
    <definedName name="_frr49" localSheetId="6">'[5]Overlap two correlations (n1)'!$O$53</definedName>
    <definedName name="_frr49" localSheetId="10">'[5]Overlap two correlations (n1)'!$O$53</definedName>
    <definedName name="_frr49" localSheetId="7">'[5]Overlap two correlations (n1)'!$O$53</definedName>
    <definedName name="_frr49">'[4]Overlap two correlations (n1)'!$O$53</definedName>
    <definedName name="_frr5" localSheetId="8">'[4]Overlap two correlations (n1)'!$O$9</definedName>
    <definedName name="_frr5" localSheetId="9">'[5]Overlap two correlations (n1)'!$O$9</definedName>
    <definedName name="_frr5" localSheetId="6">'[5]Overlap two correlations (n1)'!$O$9</definedName>
    <definedName name="_frr5" localSheetId="10">'[5]Overlap two correlations (n1)'!$O$9</definedName>
    <definedName name="_frr5" localSheetId="7">'[5]Overlap two correlations (n1)'!$O$9</definedName>
    <definedName name="_frr5">'[4]Overlap two correlations (n1)'!$O$9</definedName>
    <definedName name="_frr50" localSheetId="8">'[4]Overlap two correlations (n1)'!$O$54</definedName>
    <definedName name="_frr50" localSheetId="9">'[5]Overlap two correlations (n1)'!$O$54</definedName>
    <definedName name="_frr50" localSheetId="6">'[5]Overlap two correlations (n1)'!$O$54</definedName>
    <definedName name="_frr50" localSheetId="10">'[5]Overlap two correlations (n1)'!$O$54</definedName>
    <definedName name="_frr50" localSheetId="7">'[5]Overlap two correlations (n1)'!$O$54</definedName>
    <definedName name="_frr50">'[4]Overlap two correlations (n1)'!$O$54</definedName>
    <definedName name="_frr51" localSheetId="8">'[4]Overlap two correlations (n1)'!$O$55</definedName>
    <definedName name="_frr51" localSheetId="9">'[5]Overlap two correlations (n1)'!$O$55</definedName>
    <definedName name="_frr51" localSheetId="6">'[5]Overlap two correlations (n1)'!$O$55</definedName>
    <definedName name="_frr51" localSheetId="10">'[5]Overlap two correlations (n1)'!$O$55</definedName>
    <definedName name="_frr51" localSheetId="7">'[5]Overlap two correlations (n1)'!$O$55</definedName>
    <definedName name="_frr51">'[4]Overlap two correlations (n1)'!$O$55</definedName>
    <definedName name="_frr52" localSheetId="8">'[4]Overlap two correlations (n1)'!$O$56</definedName>
    <definedName name="_frr52" localSheetId="9">'[5]Overlap two correlations (n1)'!$O$56</definedName>
    <definedName name="_frr52" localSheetId="6">'[5]Overlap two correlations (n1)'!$O$56</definedName>
    <definedName name="_frr52" localSheetId="10">'[5]Overlap two correlations (n1)'!$O$56</definedName>
    <definedName name="_frr52" localSheetId="7">'[5]Overlap two correlations (n1)'!$O$56</definedName>
    <definedName name="_frr52">'[4]Overlap two correlations (n1)'!$O$56</definedName>
    <definedName name="_frr53" localSheetId="8">'[4]Overlap two correlations (n1)'!$O$57</definedName>
    <definedName name="_frr53" localSheetId="9">'[5]Overlap two correlations (n1)'!$O$57</definedName>
    <definedName name="_frr53" localSheetId="6">'[5]Overlap two correlations (n1)'!$O$57</definedName>
    <definedName name="_frr53" localSheetId="10">'[5]Overlap two correlations (n1)'!$O$57</definedName>
    <definedName name="_frr53" localSheetId="7">'[5]Overlap two correlations (n1)'!$O$57</definedName>
    <definedName name="_frr53">'[4]Overlap two correlations (n1)'!$O$57</definedName>
    <definedName name="_frr54" localSheetId="8">'[4]Overlap two correlations (n1)'!$O$58</definedName>
    <definedName name="_frr54" localSheetId="9">'[5]Overlap two correlations (n1)'!$O$58</definedName>
    <definedName name="_frr54" localSheetId="6">'[5]Overlap two correlations (n1)'!$O$58</definedName>
    <definedName name="_frr54" localSheetId="10">'[5]Overlap two correlations (n1)'!$O$58</definedName>
    <definedName name="_frr54" localSheetId="7">'[5]Overlap two correlations (n1)'!$O$58</definedName>
    <definedName name="_frr54">'[4]Overlap two correlations (n1)'!$O$58</definedName>
    <definedName name="_frr55" localSheetId="8">'[4]Overlap two correlations (n1)'!$O$59</definedName>
    <definedName name="_frr55" localSheetId="9">'[5]Overlap two correlations (n1)'!$O$59</definedName>
    <definedName name="_frr55" localSheetId="6">'[5]Overlap two correlations (n1)'!$O$59</definedName>
    <definedName name="_frr55" localSheetId="10">'[5]Overlap two correlations (n1)'!$O$59</definedName>
    <definedName name="_frr55" localSheetId="7">'[5]Overlap two correlations (n1)'!$O$59</definedName>
    <definedName name="_frr55">'[4]Overlap two correlations (n1)'!$O$59</definedName>
    <definedName name="_frr56" localSheetId="8">'[4]Overlap two correlations (n1)'!$O$60</definedName>
    <definedName name="_frr56" localSheetId="9">'[5]Overlap two correlations (n1)'!$O$60</definedName>
    <definedName name="_frr56" localSheetId="6">'[5]Overlap two correlations (n1)'!$O$60</definedName>
    <definedName name="_frr56" localSheetId="10">'[5]Overlap two correlations (n1)'!$O$60</definedName>
    <definedName name="_frr56" localSheetId="7">'[5]Overlap two correlations (n1)'!$O$60</definedName>
    <definedName name="_frr56">'[4]Overlap two correlations (n1)'!$O$60</definedName>
    <definedName name="_frr57" localSheetId="8">'[4]Overlap two correlations (n1)'!$O$61</definedName>
    <definedName name="_frr57" localSheetId="9">'[5]Overlap two correlations (n1)'!$O$61</definedName>
    <definedName name="_frr57" localSheetId="6">'[5]Overlap two correlations (n1)'!$O$61</definedName>
    <definedName name="_frr57" localSheetId="10">'[5]Overlap two correlations (n1)'!$O$61</definedName>
    <definedName name="_frr57" localSheetId="7">'[5]Overlap two correlations (n1)'!$O$61</definedName>
    <definedName name="_frr57">'[4]Overlap two correlations (n1)'!$O$61</definedName>
    <definedName name="_frr58" localSheetId="8">'[4]Overlap two correlations (n1)'!$O$62</definedName>
    <definedName name="_frr58" localSheetId="9">'[5]Overlap two correlations (n1)'!$O$62</definedName>
    <definedName name="_frr58" localSheetId="6">'[5]Overlap two correlations (n1)'!$O$62</definedName>
    <definedName name="_frr58" localSheetId="10">'[5]Overlap two correlations (n1)'!$O$62</definedName>
    <definedName name="_frr58" localSheetId="7">'[5]Overlap two correlations (n1)'!$O$62</definedName>
    <definedName name="_frr58">'[4]Overlap two correlations (n1)'!$O$62</definedName>
    <definedName name="_frr59" localSheetId="8">'[4]Overlap two correlations (n1)'!$O$63</definedName>
    <definedName name="_frr59" localSheetId="9">'[5]Overlap two correlations (n1)'!$O$63</definedName>
    <definedName name="_frr59" localSheetId="6">'[5]Overlap two correlations (n1)'!$O$63</definedName>
    <definedName name="_frr59" localSheetId="10">'[5]Overlap two correlations (n1)'!$O$63</definedName>
    <definedName name="_frr59" localSheetId="7">'[5]Overlap two correlations (n1)'!$O$63</definedName>
    <definedName name="_frr59">'[4]Overlap two correlations (n1)'!$O$63</definedName>
    <definedName name="_frr6" localSheetId="8">'[4]Overlap two correlations (n1)'!$O$10</definedName>
    <definedName name="_frr6" localSheetId="9">'[5]Overlap two correlations (n1)'!$O$10</definedName>
    <definedName name="_frr6" localSheetId="6">'[5]Overlap two correlations (n1)'!$O$10</definedName>
    <definedName name="_frr6" localSheetId="10">'[5]Overlap two correlations (n1)'!$O$10</definedName>
    <definedName name="_frr6" localSheetId="7">'[5]Overlap two correlations (n1)'!$O$10</definedName>
    <definedName name="_frr6">'[4]Overlap two correlations (n1)'!$O$10</definedName>
    <definedName name="_frr60" localSheetId="8">'[4]Overlap two correlations (n1)'!$O$64</definedName>
    <definedName name="_frr60" localSheetId="9">'[5]Overlap two correlations (n1)'!$O$64</definedName>
    <definedName name="_frr60" localSheetId="6">'[5]Overlap two correlations (n1)'!$O$64</definedName>
    <definedName name="_frr60" localSheetId="10">'[5]Overlap two correlations (n1)'!$O$64</definedName>
    <definedName name="_frr60" localSheetId="7">'[5]Overlap two correlations (n1)'!$O$64</definedName>
    <definedName name="_frr60">'[4]Overlap two correlations (n1)'!$O$64</definedName>
    <definedName name="_frr7" localSheetId="8">'[4]Overlap two correlations (n1)'!$O$11</definedName>
    <definedName name="_frr7" localSheetId="9">'[5]Overlap two correlations (n1)'!$O$11</definedName>
    <definedName name="_frr7" localSheetId="6">'[5]Overlap two correlations (n1)'!$O$11</definedName>
    <definedName name="_frr7" localSheetId="10">'[5]Overlap two correlations (n1)'!$O$11</definedName>
    <definedName name="_frr7" localSheetId="7">'[5]Overlap two correlations (n1)'!$O$11</definedName>
    <definedName name="_frr7">'[4]Overlap two correlations (n1)'!$O$11</definedName>
    <definedName name="_frr8" localSheetId="8">'[4]Overlap two correlations (n1)'!$O$12</definedName>
    <definedName name="_frr8" localSheetId="9">'[5]Overlap two correlations (n1)'!$O$12</definedName>
    <definedName name="_frr8" localSheetId="6">'[5]Overlap two correlations (n1)'!$O$12</definedName>
    <definedName name="_frr8" localSheetId="10">'[5]Overlap two correlations (n1)'!$O$12</definedName>
    <definedName name="_frr8" localSheetId="7">'[5]Overlap two correlations (n1)'!$O$12</definedName>
    <definedName name="_frr8">'[4]Overlap two correlations (n1)'!$O$12</definedName>
    <definedName name="_frr9" localSheetId="8">'[4]Overlap two correlations (n1)'!$O$13</definedName>
    <definedName name="_frr9" localSheetId="9">'[5]Overlap two correlations (n1)'!$O$13</definedName>
    <definedName name="_frr9" localSheetId="6">'[5]Overlap two correlations (n1)'!$O$13</definedName>
    <definedName name="_frr9" localSheetId="10">'[5]Overlap two correlations (n1)'!$O$13</definedName>
    <definedName name="_frr9" localSheetId="7">'[5]Overlap two correlations (n1)'!$O$13</definedName>
    <definedName name="_frr9">'[4]Overlap two correlations (n1)'!$O$13</definedName>
    <definedName name="_tbz1" localSheetId="8">'[4]Overlap two proportions'!$AI$8</definedName>
    <definedName name="_tbz1" localSheetId="9">'[5]Overlap two proportions'!$AI$8</definedName>
    <definedName name="_tbz1" localSheetId="6">'[5]Overlap two proportions'!$AI$8</definedName>
    <definedName name="_tbz1" localSheetId="10">'[5]Overlap two proportions'!$AI$8</definedName>
    <definedName name="_tbz1" localSheetId="7">'[5]Overlap two proportions'!$AI$8</definedName>
    <definedName name="_tbz1">'[4]Overlap two proportions'!$AI$8</definedName>
    <definedName name="_tbz10" localSheetId="8">'[4]Overlap two proportions'!$AI$17</definedName>
    <definedName name="_tbz10" localSheetId="9">'[5]Overlap two proportions'!$AI$17</definedName>
    <definedName name="_tbz10" localSheetId="6">'[5]Overlap two proportions'!$AI$17</definedName>
    <definedName name="_tbz10" localSheetId="10">'[5]Overlap two proportions'!$AI$17</definedName>
    <definedName name="_tbz10" localSheetId="7">'[5]Overlap two proportions'!$AI$17</definedName>
    <definedName name="_tbz10">'[4]Overlap two proportions'!$AI$17</definedName>
    <definedName name="_tbz11" localSheetId="8">'[4]Overlap two proportions'!$AI$18</definedName>
    <definedName name="_tbz11" localSheetId="9">'[5]Overlap two proportions'!$AI$18</definedName>
    <definedName name="_tbz11" localSheetId="6">'[5]Overlap two proportions'!$AI$18</definedName>
    <definedName name="_tbz11" localSheetId="10">'[5]Overlap two proportions'!$AI$18</definedName>
    <definedName name="_tbz11" localSheetId="7">'[5]Overlap two proportions'!$AI$18</definedName>
    <definedName name="_tbz11">'[4]Overlap two proportions'!$AI$18</definedName>
    <definedName name="_tbz12" localSheetId="8">'[4]Overlap two proportions'!$AI$19</definedName>
    <definedName name="_tbz12" localSheetId="9">'[5]Overlap two proportions'!$AI$19</definedName>
    <definedName name="_tbz12" localSheetId="6">'[5]Overlap two proportions'!$AI$19</definedName>
    <definedName name="_tbz12" localSheetId="10">'[5]Overlap two proportions'!$AI$19</definedName>
    <definedName name="_tbz12" localSheetId="7">'[5]Overlap two proportions'!$AI$19</definedName>
    <definedName name="_tbz12">'[4]Overlap two proportions'!$AI$19</definedName>
    <definedName name="_tbz13" localSheetId="8">'[4]Overlap two proportions'!$AI$20</definedName>
    <definedName name="_tbz13" localSheetId="9">'[5]Overlap two proportions'!$AI$20</definedName>
    <definedName name="_tbz13" localSheetId="6">'[5]Overlap two proportions'!$AI$20</definedName>
    <definedName name="_tbz13" localSheetId="10">'[5]Overlap two proportions'!$AI$20</definedName>
    <definedName name="_tbz13" localSheetId="7">'[5]Overlap two proportions'!$AI$20</definedName>
    <definedName name="_tbz13">'[4]Overlap two proportions'!$AI$20</definedName>
    <definedName name="_tbz14" localSheetId="8">'[4]Overlap two proportions'!$AI$21</definedName>
    <definedName name="_tbz14" localSheetId="9">'[5]Overlap two proportions'!$AI$21</definedName>
    <definedName name="_tbz14" localSheetId="6">'[5]Overlap two proportions'!$AI$21</definedName>
    <definedName name="_tbz14" localSheetId="10">'[5]Overlap two proportions'!$AI$21</definedName>
    <definedName name="_tbz14" localSheetId="7">'[5]Overlap two proportions'!$AI$21</definedName>
    <definedName name="_tbz14">'[4]Overlap two proportions'!$AI$21</definedName>
    <definedName name="_tbz15" localSheetId="8">'[4]Overlap two proportions'!$AI$22</definedName>
    <definedName name="_tbz15" localSheetId="9">'[5]Overlap two proportions'!$AI$22</definedName>
    <definedName name="_tbz15" localSheetId="6">'[5]Overlap two proportions'!$AI$22</definedName>
    <definedName name="_tbz15" localSheetId="10">'[5]Overlap two proportions'!$AI$22</definedName>
    <definedName name="_tbz15" localSheetId="7">'[5]Overlap two proportions'!$AI$22</definedName>
    <definedName name="_tbz15">'[4]Overlap two proportions'!$AI$22</definedName>
    <definedName name="_tbz16" localSheetId="8">'[4]Overlap two proportions'!$AI$23</definedName>
    <definedName name="_tbz16" localSheetId="9">'[5]Overlap two proportions'!$AI$23</definedName>
    <definedName name="_tbz16" localSheetId="6">'[5]Overlap two proportions'!$AI$23</definedName>
    <definedName name="_tbz16" localSheetId="10">'[5]Overlap two proportions'!$AI$23</definedName>
    <definedName name="_tbz16" localSheetId="7">'[5]Overlap two proportions'!$AI$23</definedName>
    <definedName name="_tbz16">'[4]Overlap two proportions'!$AI$23</definedName>
    <definedName name="_tbz17" localSheetId="8">'[4]Overlap two proportions'!$AI$24</definedName>
    <definedName name="_tbz17" localSheetId="9">'[5]Overlap two proportions'!$AI$24</definedName>
    <definedName name="_tbz17" localSheetId="6">'[5]Overlap two proportions'!$AI$24</definedName>
    <definedName name="_tbz17" localSheetId="10">'[5]Overlap two proportions'!$AI$24</definedName>
    <definedName name="_tbz17" localSheetId="7">'[5]Overlap two proportions'!$AI$24</definedName>
    <definedName name="_tbz17">'[4]Overlap two proportions'!$AI$24</definedName>
    <definedName name="_tbz18" localSheetId="8">'[4]Overlap two proportions'!$AI$25</definedName>
    <definedName name="_tbz18" localSheetId="9">'[5]Overlap two proportions'!$AI$25</definedName>
    <definedName name="_tbz18" localSheetId="6">'[5]Overlap two proportions'!$AI$25</definedName>
    <definedName name="_tbz18" localSheetId="10">'[5]Overlap two proportions'!$AI$25</definedName>
    <definedName name="_tbz18" localSheetId="7">'[5]Overlap two proportions'!$AI$25</definedName>
    <definedName name="_tbz18">'[4]Overlap two proportions'!$AI$25</definedName>
    <definedName name="_tbz19" localSheetId="8">'[4]Overlap two proportions'!$AI$26</definedName>
    <definedName name="_tbz19" localSheetId="9">'[5]Overlap two proportions'!$AI$26</definedName>
    <definedName name="_tbz19" localSheetId="6">'[5]Overlap two proportions'!$AI$26</definedName>
    <definedName name="_tbz19" localSheetId="10">'[5]Overlap two proportions'!$AI$26</definedName>
    <definedName name="_tbz19" localSheetId="7">'[5]Overlap two proportions'!$AI$26</definedName>
    <definedName name="_tbz19">'[4]Overlap two proportions'!$AI$26</definedName>
    <definedName name="_tbz2" localSheetId="8">'[4]Overlap two proportions'!$AI$9</definedName>
    <definedName name="_tbz2" localSheetId="9">'[5]Overlap two proportions'!$AI$9</definedName>
    <definedName name="_tbz2" localSheetId="6">'[5]Overlap two proportions'!$AI$9</definedName>
    <definedName name="_tbz2" localSheetId="10">'[5]Overlap two proportions'!$AI$9</definedName>
    <definedName name="_tbz2" localSheetId="7">'[5]Overlap two proportions'!$AI$9</definedName>
    <definedName name="_tbz2">'[4]Overlap two proportions'!$AI$9</definedName>
    <definedName name="_tbz20" localSheetId="8">'[4]Overlap two proportions'!$AI$27</definedName>
    <definedName name="_tbz20" localSheetId="9">'[5]Overlap two proportions'!$AI$27</definedName>
    <definedName name="_tbz20" localSheetId="6">'[5]Overlap two proportions'!$AI$27</definedName>
    <definedName name="_tbz20" localSheetId="10">'[5]Overlap two proportions'!$AI$27</definedName>
    <definedName name="_tbz20" localSheetId="7">'[5]Overlap two proportions'!$AI$27</definedName>
    <definedName name="_tbz20">'[4]Overlap two proportions'!$AI$27</definedName>
    <definedName name="_tbz21" localSheetId="8">'[4]Overlap two proportions'!$AI$28</definedName>
    <definedName name="_tbz21" localSheetId="9">'[5]Overlap two proportions'!$AI$28</definedName>
    <definedName name="_tbz21" localSheetId="6">'[5]Overlap two proportions'!$AI$28</definedName>
    <definedName name="_tbz21" localSheetId="10">'[5]Overlap two proportions'!$AI$28</definedName>
    <definedName name="_tbz21" localSheetId="7">'[5]Overlap two proportions'!$AI$28</definedName>
    <definedName name="_tbz21">'[4]Overlap two proportions'!$AI$28</definedName>
    <definedName name="_tbz22" localSheetId="8">'[4]Overlap two proportions'!$AI$29</definedName>
    <definedName name="_tbz22" localSheetId="9">'[5]Overlap two proportions'!$AI$29</definedName>
    <definedName name="_tbz22" localSheetId="6">'[5]Overlap two proportions'!$AI$29</definedName>
    <definedName name="_tbz22" localSheetId="10">'[5]Overlap two proportions'!$AI$29</definedName>
    <definedName name="_tbz22" localSheetId="7">'[5]Overlap two proportions'!$AI$29</definedName>
    <definedName name="_tbz22">'[4]Overlap two proportions'!$AI$29</definedName>
    <definedName name="_tbz23" localSheetId="8">'[4]Overlap two proportions'!$AI$30</definedName>
    <definedName name="_tbz23" localSheetId="9">'[5]Overlap two proportions'!$AI$30</definedName>
    <definedName name="_tbz23" localSheetId="6">'[5]Overlap two proportions'!$AI$30</definedName>
    <definedName name="_tbz23" localSheetId="10">'[5]Overlap two proportions'!$AI$30</definedName>
    <definedName name="_tbz23" localSheetId="7">'[5]Overlap two proportions'!$AI$30</definedName>
    <definedName name="_tbz23">'[4]Overlap two proportions'!$AI$30</definedName>
    <definedName name="_tbz24" localSheetId="8">'[4]Overlap two proportions'!$AI$31</definedName>
    <definedName name="_tbz24" localSheetId="9">'[5]Overlap two proportions'!$AI$31</definedName>
    <definedName name="_tbz24" localSheetId="6">'[5]Overlap two proportions'!$AI$31</definedName>
    <definedName name="_tbz24" localSheetId="10">'[5]Overlap two proportions'!$AI$31</definedName>
    <definedName name="_tbz24" localSheetId="7">'[5]Overlap two proportions'!$AI$31</definedName>
    <definedName name="_tbz24">'[4]Overlap two proportions'!$AI$31</definedName>
    <definedName name="_tbz25" localSheetId="8">'[4]Overlap two proportions'!$AI$32</definedName>
    <definedName name="_tbz25" localSheetId="9">'[5]Overlap two proportions'!$AI$32</definedName>
    <definedName name="_tbz25" localSheetId="6">'[5]Overlap two proportions'!$AI$32</definedName>
    <definedName name="_tbz25" localSheetId="10">'[5]Overlap two proportions'!$AI$32</definedName>
    <definedName name="_tbz25" localSheetId="7">'[5]Overlap two proportions'!$AI$32</definedName>
    <definedName name="_tbz25">'[4]Overlap two proportions'!$AI$32</definedName>
    <definedName name="_tbz26" localSheetId="8">'[4]Overlap two proportions'!$AI$33</definedName>
    <definedName name="_tbz26" localSheetId="9">'[5]Overlap two proportions'!$AI$33</definedName>
    <definedName name="_tbz26" localSheetId="6">'[5]Overlap two proportions'!$AI$33</definedName>
    <definedName name="_tbz26" localSheetId="10">'[5]Overlap two proportions'!$AI$33</definedName>
    <definedName name="_tbz26" localSheetId="7">'[5]Overlap two proportions'!$AI$33</definedName>
    <definedName name="_tbz26">'[4]Overlap two proportions'!$AI$33</definedName>
    <definedName name="_tbz27" localSheetId="8">'[4]Overlap two proportions'!$AI$34</definedName>
    <definedName name="_tbz27" localSheetId="9">'[5]Overlap two proportions'!$AI$34</definedName>
    <definedName name="_tbz27" localSheetId="6">'[5]Overlap two proportions'!$AI$34</definedName>
    <definedName name="_tbz27" localSheetId="10">'[5]Overlap two proportions'!$AI$34</definedName>
    <definedName name="_tbz27" localSheetId="7">'[5]Overlap two proportions'!$AI$34</definedName>
    <definedName name="_tbz27">'[4]Overlap two proportions'!$AI$34</definedName>
    <definedName name="_tbz28" localSheetId="8">'[4]Overlap two proportions'!$AI$35</definedName>
    <definedName name="_tbz28" localSheetId="9">'[5]Overlap two proportions'!$AI$35</definedName>
    <definedName name="_tbz28" localSheetId="6">'[5]Overlap two proportions'!$AI$35</definedName>
    <definedName name="_tbz28" localSheetId="10">'[5]Overlap two proportions'!$AI$35</definedName>
    <definedName name="_tbz28" localSheetId="7">'[5]Overlap two proportions'!$AI$35</definedName>
    <definedName name="_tbz28">'[4]Overlap two proportions'!$AI$35</definedName>
    <definedName name="_tbz29" localSheetId="8">'[4]Overlap two proportions'!$AI$36</definedName>
    <definedName name="_tbz29" localSheetId="9">'[5]Overlap two proportions'!$AI$36</definedName>
    <definedName name="_tbz29" localSheetId="6">'[5]Overlap two proportions'!$AI$36</definedName>
    <definedName name="_tbz29" localSheetId="10">'[5]Overlap two proportions'!$AI$36</definedName>
    <definedName name="_tbz29" localSheetId="7">'[5]Overlap two proportions'!$AI$36</definedName>
    <definedName name="_tbz29">'[4]Overlap two proportions'!$AI$36</definedName>
    <definedName name="_tbz3" localSheetId="8">'[4]Overlap two proportions'!$AI$10</definedName>
    <definedName name="_tbz3" localSheetId="9">'[5]Overlap two proportions'!$AI$10</definedName>
    <definedName name="_tbz3" localSheetId="6">'[5]Overlap two proportions'!$AI$10</definedName>
    <definedName name="_tbz3" localSheetId="10">'[5]Overlap two proportions'!$AI$10</definedName>
    <definedName name="_tbz3" localSheetId="7">'[5]Overlap two proportions'!$AI$10</definedName>
    <definedName name="_tbz3">'[4]Overlap two proportions'!$AI$10</definedName>
    <definedName name="_tbz30" localSheetId="8">'[4]Overlap two proportions'!$AI$37</definedName>
    <definedName name="_tbz30" localSheetId="9">'[5]Overlap two proportions'!$AI$37</definedName>
    <definedName name="_tbz30" localSheetId="6">'[5]Overlap two proportions'!$AI$37</definedName>
    <definedName name="_tbz30" localSheetId="10">'[5]Overlap two proportions'!$AI$37</definedName>
    <definedName name="_tbz30" localSheetId="7">'[5]Overlap two proportions'!$AI$37</definedName>
    <definedName name="_tbz30">'[4]Overlap two proportions'!$AI$37</definedName>
    <definedName name="_tbz31" localSheetId="8">'[4]Overlap two proportions'!$AI$38</definedName>
    <definedName name="_tbz31" localSheetId="9">'[5]Overlap two proportions'!$AI$38</definedName>
    <definedName name="_tbz31" localSheetId="6">'[5]Overlap two proportions'!$AI$38</definedName>
    <definedName name="_tbz31" localSheetId="10">'[5]Overlap two proportions'!$AI$38</definedName>
    <definedName name="_tbz31" localSheetId="7">'[5]Overlap two proportions'!$AI$38</definedName>
    <definedName name="_tbz31">'[4]Overlap two proportions'!$AI$38</definedName>
    <definedName name="_tbz32" localSheetId="8">'[4]Overlap two proportions'!$AI$39</definedName>
    <definedName name="_tbz32" localSheetId="9">'[5]Overlap two proportions'!$AI$39</definedName>
    <definedName name="_tbz32" localSheetId="6">'[5]Overlap two proportions'!$AI$39</definedName>
    <definedName name="_tbz32" localSheetId="10">'[5]Overlap two proportions'!$AI$39</definedName>
    <definedName name="_tbz32" localSheetId="7">'[5]Overlap two proportions'!$AI$39</definedName>
    <definedName name="_tbz32">'[4]Overlap two proportions'!$AI$39</definedName>
    <definedName name="_tbz33" localSheetId="8">'[4]Overlap two proportions'!$AI$40</definedName>
    <definedName name="_tbz33" localSheetId="9">'[5]Overlap two proportions'!$AI$40</definedName>
    <definedName name="_tbz33" localSheetId="6">'[5]Overlap two proportions'!$AI$40</definedName>
    <definedName name="_tbz33" localSheetId="10">'[5]Overlap two proportions'!$AI$40</definedName>
    <definedName name="_tbz33" localSheetId="7">'[5]Overlap two proportions'!$AI$40</definedName>
    <definedName name="_tbz33">'[4]Overlap two proportions'!$AI$40</definedName>
    <definedName name="_tbz34" localSheetId="8">'[4]Overlap two proportions'!$AI$41</definedName>
    <definedName name="_tbz34" localSheetId="9">'[5]Overlap two proportions'!$AI$41</definedName>
    <definedName name="_tbz34" localSheetId="6">'[5]Overlap two proportions'!$AI$41</definedName>
    <definedName name="_tbz34" localSheetId="10">'[5]Overlap two proportions'!$AI$41</definedName>
    <definedName name="_tbz34" localSheetId="7">'[5]Overlap two proportions'!$AI$41</definedName>
    <definedName name="_tbz34">'[4]Overlap two proportions'!$AI$41</definedName>
    <definedName name="_tbz35" localSheetId="8">'[4]Overlap two proportions'!$AI$42</definedName>
    <definedName name="_tbz35" localSheetId="9">'[5]Overlap two proportions'!$AI$42</definedName>
    <definedName name="_tbz35" localSheetId="6">'[5]Overlap two proportions'!$AI$42</definedName>
    <definedName name="_tbz35" localSheetId="10">'[5]Overlap two proportions'!$AI$42</definedName>
    <definedName name="_tbz35" localSheetId="7">'[5]Overlap two proportions'!$AI$42</definedName>
    <definedName name="_tbz35">'[4]Overlap two proportions'!$AI$42</definedName>
    <definedName name="_tbz36" localSheetId="8">'[4]Overlap two proportions'!$AI$43</definedName>
    <definedName name="_tbz36" localSheetId="9">'[5]Overlap two proportions'!$AI$43</definedName>
    <definedName name="_tbz36" localSheetId="6">'[5]Overlap two proportions'!$AI$43</definedName>
    <definedName name="_tbz36" localSheetId="10">'[5]Overlap two proportions'!$AI$43</definedName>
    <definedName name="_tbz36" localSheetId="7">'[5]Overlap two proportions'!$AI$43</definedName>
    <definedName name="_tbz36">'[4]Overlap two proportions'!$AI$43</definedName>
    <definedName name="_tbz37" localSheetId="8">'[4]Overlap two proportions'!$AI$44</definedName>
    <definedName name="_tbz37" localSheetId="9">'[5]Overlap two proportions'!$AI$44</definedName>
    <definedName name="_tbz37" localSheetId="6">'[5]Overlap two proportions'!$AI$44</definedName>
    <definedName name="_tbz37" localSheetId="10">'[5]Overlap two proportions'!$AI$44</definedName>
    <definedName name="_tbz37" localSheetId="7">'[5]Overlap two proportions'!$AI$44</definedName>
    <definedName name="_tbz37">'[4]Overlap two proportions'!$AI$44</definedName>
    <definedName name="_tbz38" localSheetId="8">'[4]Overlap two proportions'!$AI$45</definedName>
    <definedName name="_tbz38" localSheetId="9">'[5]Overlap two proportions'!$AI$45</definedName>
    <definedName name="_tbz38" localSheetId="6">'[5]Overlap two proportions'!$AI$45</definedName>
    <definedName name="_tbz38" localSheetId="10">'[5]Overlap two proportions'!$AI$45</definedName>
    <definedName name="_tbz38" localSheetId="7">'[5]Overlap two proportions'!$AI$45</definedName>
    <definedName name="_tbz38">'[4]Overlap two proportions'!$AI$45</definedName>
    <definedName name="_tbz39" localSheetId="8">'[4]Overlap two proportions'!$AI$46</definedName>
    <definedName name="_tbz39" localSheetId="9">'[5]Overlap two proportions'!$AI$46</definedName>
    <definedName name="_tbz39" localSheetId="6">'[5]Overlap two proportions'!$AI$46</definedName>
    <definedName name="_tbz39" localSheetId="10">'[5]Overlap two proportions'!$AI$46</definedName>
    <definedName name="_tbz39" localSheetId="7">'[5]Overlap two proportions'!$AI$46</definedName>
    <definedName name="_tbz39">'[4]Overlap two proportions'!$AI$46</definedName>
    <definedName name="_tbz4" localSheetId="8">'[4]Overlap two proportions'!$AI$11</definedName>
    <definedName name="_tbz4" localSheetId="9">'[5]Overlap two proportions'!$AI$11</definedName>
    <definedName name="_tbz4" localSheetId="6">'[5]Overlap two proportions'!$AI$11</definedName>
    <definedName name="_tbz4" localSheetId="10">'[5]Overlap two proportions'!$AI$11</definedName>
    <definedName name="_tbz4" localSheetId="7">'[5]Overlap two proportions'!$AI$11</definedName>
    <definedName name="_tbz4">'[4]Overlap two proportions'!$AI$11</definedName>
    <definedName name="_tbz40" localSheetId="8">'[4]Overlap two proportions'!$AI$47</definedName>
    <definedName name="_tbz40" localSheetId="9">'[5]Overlap two proportions'!$AI$47</definedName>
    <definedName name="_tbz40" localSheetId="6">'[5]Overlap two proportions'!$AI$47</definedName>
    <definedName name="_tbz40" localSheetId="10">'[5]Overlap two proportions'!$AI$47</definedName>
    <definedName name="_tbz40" localSheetId="7">'[5]Overlap two proportions'!$AI$47</definedName>
    <definedName name="_tbz40">'[4]Overlap two proportions'!$AI$47</definedName>
    <definedName name="_tbz41" localSheetId="8">'[4]Overlap two proportions'!$AI$48</definedName>
    <definedName name="_tbz41" localSheetId="9">'[5]Overlap two proportions'!$AI$48</definedName>
    <definedName name="_tbz41" localSheetId="6">'[5]Overlap two proportions'!$AI$48</definedName>
    <definedName name="_tbz41" localSheetId="10">'[5]Overlap two proportions'!$AI$48</definedName>
    <definedName name="_tbz41" localSheetId="7">'[5]Overlap two proportions'!$AI$48</definedName>
    <definedName name="_tbz41">'[4]Overlap two proportions'!$AI$48</definedName>
    <definedName name="_tbz42" localSheetId="8">'[4]Overlap two proportions'!$AI$49</definedName>
    <definedName name="_tbz42" localSheetId="9">'[5]Overlap two proportions'!$AI$49</definedName>
    <definedName name="_tbz42" localSheetId="6">'[5]Overlap two proportions'!$AI$49</definedName>
    <definedName name="_tbz42" localSheetId="10">'[5]Overlap two proportions'!$AI$49</definedName>
    <definedName name="_tbz42" localSheetId="7">'[5]Overlap two proportions'!$AI$49</definedName>
    <definedName name="_tbz42">'[4]Overlap two proportions'!$AI$49</definedName>
    <definedName name="_tbz43" localSheetId="8">'[4]Overlap two proportions'!$AI$50</definedName>
    <definedName name="_tbz43" localSheetId="9">'[5]Overlap two proportions'!$AI$50</definedName>
    <definedName name="_tbz43" localSheetId="6">'[5]Overlap two proportions'!$AI$50</definedName>
    <definedName name="_tbz43" localSheetId="10">'[5]Overlap two proportions'!$AI$50</definedName>
    <definedName name="_tbz43" localSheetId="7">'[5]Overlap two proportions'!$AI$50</definedName>
    <definedName name="_tbz43">'[4]Overlap two proportions'!$AI$50</definedName>
    <definedName name="_tbz44" localSheetId="8">'[4]Overlap two proportions'!$AI$51</definedName>
    <definedName name="_tbz44" localSheetId="9">'[5]Overlap two proportions'!$AI$51</definedName>
    <definedName name="_tbz44" localSheetId="6">'[5]Overlap two proportions'!$AI$51</definedName>
    <definedName name="_tbz44" localSheetId="10">'[5]Overlap two proportions'!$AI$51</definedName>
    <definedName name="_tbz44" localSheetId="7">'[5]Overlap two proportions'!$AI$51</definedName>
    <definedName name="_tbz44">'[4]Overlap two proportions'!$AI$51</definedName>
    <definedName name="_tbz45" localSheetId="8">'[4]Overlap two proportions'!$AI$52</definedName>
    <definedName name="_tbz45" localSheetId="9">'[5]Overlap two proportions'!$AI$52</definedName>
    <definedName name="_tbz45" localSheetId="6">'[5]Overlap two proportions'!$AI$52</definedName>
    <definedName name="_tbz45" localSheetId="10">'[5]Overlap two proportions'!$AI$52</definedName>
    <definedName name="_tbz45" localSheetId="7">'[5]Overlap two proportions'!$AI$52</definedName>
    <definedName name="_tbz45">'[4]Overlap two proportions'!$AI$52</definedName>
    <definedName name="_tbz46" localSheetId="8">'[4]Overlap two proportions'!$AI$53</definedName>
    <definedName name="_tbz46" localSheetId="9">'[5]Overlap two proportions'!$AI$53</definedName>
    <definedName name="_tbz46" localSheetId="6">'[5]Overlap two proportions'!$AI$53</definedName>
    <definedName name="_tbz46" localSheetId="10">'[5]Overlap two proportions'!$AI$53</definedName>
    <definedName name="_tbz46" localSheetId="7">'[5]Overlap two proportions'!$AI$53</definedName>
    <definedName name="_tbz46">'[4]Overlap two proportions'!$AI$53</definedName>
    <definedName name="_tbz47" localSheetId="8">'[4]Overlap two proportions'!$AI$54</definedName>
    <definedName name="_tbz47" localSheetId="9">'[5]Overlap two proportions'!$AI$54</definedName>
    <definedName name="_tbz47" localSheetId="6">'[5]Overlap two proportions'!$AI$54</definedName>
    <definedName name="_tbz47" localSheetId="10">'[5]Overlap two proportions'!$AI$54</definedName>
    <definedName name="_tbz47" localSheetId="7">'[5]Overlap two proportions'!$AI$54</definedName>
    <definedName name="_tbz47">'[4]Overlap two proportions'!$AI$54</definedName>
    <definedName name="_tbz48" localSheetId="8">'[4]Overlap two proportions'!$AI$55</definedName>
    <definedName name="_tbz48" localSheetId="9">'[5]Overlap two proportions'!$AI$55</definedName>
    <definedName name="_tbz48" localSheetId="6">'[5]Overlap two proportions'!$AI$55</definedName>
    <definedName name="_tbz48" localSheetId="10">'[5]Overlap two proportions'!$AI$55</definedName>
    <definedName name="_tbz48" localSheetId="7">'[5]Overlap two proportions'!$AI$55</definedName>
    <definedName name="_tbz48">'[4]Overlap two proportions'!$AI$55</definedName>
    <definedName name="_tbz49" localSheetId="8">'[4]Overlap two proportions'!$AI$56</definedName>
    <definedName name="_tbz49" localSheetId="9">'[5]Overlap two proportions'!$AI$56</definedName>
    <definedName name="_tbz49" localSheetId="6">'[5]Overlap two proportions'!$AI$56</definedName>
    <definedName name="_tbz49" localSheetId="10">'[5]Overlap two proportions'!$AI$56</definedName>
    <definedName name="_tbz49" localSheetId="7">'[5]Overlap two proportions'!$AI$56</definedName>
    <definedName name="_tbz49">'[4]Overlap two proportions'!$AI$56</definedName>
    <definedName name="_tbz5" localSheetId="8">'[4]Overlap two proportions'!$AI$12</definedName>
    <definedName name="_tbz5" localSheetId="9">'[5]Overlap two proportions'!$AI$12</definedName>
    <definedName name="_tbz5" localSheetId="6">'[5]Overlap two proportions'!$AI$12</definedName>
    <definedName name="_tbz5" localSheetId="10">'[5]Overlap two proportions'!$AI$12</definedName>
    <definedName name="_tbz5" localSheetId="7">'[5]Overlap two proportions'!$AI$12</definedName>
    <definedName name="_tbz5">'[4]Overlap two proportions'!$AI$12</definedName>
    <definedName name="_tbz50" localSheetId="8">'[4]Overlap two proportions'!$AI$57</definedName>
    <definedName name="_tbz50" localSheetId="9">'[5]Overlap two proportions'!$AI$57</definedName>
    <definedName name="_tbz50" localSheetId="6">'[5]Overlap two proportions'!$AI$57</definedName>
    <definedName name="_tbz50" localSheetId="10">'[5]Overlap two proportions'!$AI$57</definedName>
    <definedName name="_tbz50" localSheetId="7">'[5]Overlap two proportions'!$AI$57</definedName>
    <definedName name="_tbz50">'[4]Overlap two proportions'!$AI$57</definedName>
    <definedName name="_tbz51" localSheetId="8">'[4]Overlap two proportions'!$AI$58</definedName>
    <definedName name="_tbz51" localSheetId="9">'[5]Overlap two proportions'!$AI$58</definedName>
    <definedName name="_tbz51" localSheetId="6">'[5]Overlap two proportions'!$AI$58</definedName>
    <definedName name="_tbz51" localSheetId="10">'[5]Overlap two proportions'!$AI$58</definedName>
    <definedName name="_tbz51" localSheetId="7">'[5]Overlap two proportions'!$AI$58</definedName>
    <definedName name="_tbz51">'[4]Overlap two proportions'!$AI$58</definedName>
    <definedName name="_tbz52" localSheetId="8">'[4]Overlap two proportions'!$AI$59</definedName>
    <definedName name="_tbz52" localSheetId="9">'[5]Overlap two proportions'!$AI$59</definedName>
    <definedName name="_tbz52" localSheetId="6">'[5]Overlap two proportions'!$AI$59</definedName>
    <definedName name="_tbz52" localSheetId="10">'[5]Overlap two proportions'!$AI$59</definedName>
    <definedName name="_tbz52" localSheetId="7">'[5]Overlap two proportions'!$AI$59</definedName>
    <definedName name="_tbz52">'[4]Overlap two proportions'!$AI$59</definedName>
    <definedName name="_tbz53" localSheetId="8">'[4]Overlap two proportions'!$AI$60</definedName>
    <definedName name="_tbz53" localSheetId="9">'[5]Overlap two proportions'!$AI$60</definedName>
    <definedName name="_tbz53" localSheetId="6">'[5]Overlap two proportions'!$AI$60</definedName>
    <definedName name="_tbz53" localSheetId="10">'[5]Overlap two proportions'!$AI$60</definedName>
    <definedName name="_tbz53" localSheetId="7">'[5]Overlap two proportions'!$AI$60</definedName>
    <definedName name="_tbz53">'[4]Overlap two proportions'!$AI$60</definedName>
    <definedName name="_tbz54" localSheetId="8">'[4]Overlap two proportions'!$AI$61</definedName>
    <definedName name="_tbz54" localSheetId="9">'[5]Overlap two proportions'!$AI$61</definedName>
    <definedName name="_tbz54" localSheetId="6">'[5]Overlap two proportions'!$AI$61</definedName>
    <definedName name="_tbz54" localSheetId="10">'[5]Overlap two proportions'!$AI$61</definedName>
    <definedName name="_tbz54" localSheetId="7">'[5]Overlap two proportions'!$AI$61</definedName>
    <definedName name="_tbz54">'[4]Overlap two proportions'!$AI$61</definedName>
    <definedName name="_tbz55" localSheetId="8">'[4]Overlap two proportions'!$AI$62</definedName>
    <definedName name="_tbz55" localSheetId="9">'[5]Overlap two proportions'!$AI$62</definedName>
    <definedName name="_tbz55" localSheetId="6">'[5]Overlap two proportions'!$AI$62</definedName>
    <definedName name="_tbz55" localSheetId="10">'[5]Overlap two proportions'!$AI$62</definedName>
    <definedName name="_tbz55" localSheetId="7">'[5]Overlap two proportions'!$AI$62</definedName>
    <definedName name="_tbz55">'[4]Overlap two proportions'!$AI$62</definedName>
    <definedName name="_tbz56" localSheetId="8">'[4]Overlap two proportions'!$AI$63</definedName>
    <definedName name="_tbz56" localSheetId="9">'[5]Overlap two proportions'!$AI$63</definedName>
    <definedName name="_tbz56" localSheetId="6">'[5]Overlap two proportions'!$AI$63</definedName>
    <definedName name="_tbz56" localSheetId="10">'[5]Overlap two proportions'!$AI$63</definedName>
    <definedName name="_tbz56" localSheetId="7">'[5]Overlap two proportions'!$AI$63</definedName>
    <definedName name="_tbz56">'[4]Overlap two proportions'!$AI$63</definedName>
    <definedName name="_tbz57" localSheetId="8">'[4]Overlap two proportions'!$AI$64</definedName>
    <definedName name="_tbz57" localSheetId="9">'[5]Overlap two proportions'!$AI$64</definedName>
    <definedName name="_tbz57" localSheetId="6">'[5]Overlap two proportions'!$AI$64</definedName>
    <definedName name="_tbz57" localSheetId="10">'[5]Overlap two proportions'!$AI$64</definedName>
    <definedName name="_tbz57" localSheetId="7">'[5]Overlap two proportions'!$AI$64</definedName>
    <definedName name="_tbz57">'[4]Overlap two proportions'!$AI$64</definedName>
    <definedName name="_tbz58" localSheetId="8">'[4]Overlap two proportions'!$AI$65</definedName>
    <definedName name="_tbz58" localSheetId="9">'[5]Overlap two proportions'!$AI$65</definedName>
    <definedName name="_tbz58" localSheetId="6">'[5]Overlap two proportions'!$AI$65</definedName>
    <definedName name="_tbz58" localSheetId="10">'[5]Overlap two proportions'!$AI$65</definedName>
    <definedName name="_tbz58" localSheetId="7">'[5]Overlap two proportions'!$AI$65</definedName>
    <definedName name="_tbz58">'[4]Overlap two proportions'!$AI$65</definedName>
    <definedName name="_tbz59" localSheetId="8">'[4]Overlap two proportions'!$AI$66</definedName>
    <definedName name="_tbz59" localSheetId="9">'[5]Overlap two proportions'!$AI$66</definedName>
    <definedName name="_tbz59" localSheetId="6">'[5]Overlap two proportions'!$AI$66</definedName>
    <definedName name="_tbz59" localSheetId="10">'[5]Overlap two proportions'!$AI$66</definedName>
    <definedName name="_tbz59" localSheetId="7">'[5]Overlap two proportions'!$AI$66</definedName>
    <definedName name="_tbz59">'[4]Overlap two proportions'!$AI$66</definedName>
    <definedName name="_tbz6" localSheetId="8">'[4]Overlap two proportions'!$AI$13</definedName>
    <definedName name="_tbz6" localSheetId="9">'[5]Overlap two proportions'!$AI$13</definedName>
    <definedName name="_tbz6" localSheetId="6">'[5]Overlap two proportions'!$AI$13</definedName>
    <definedName name="_tbz6" localSheetId="10">'[5]Overlap two proportions'!$AI$13</definedName>
    <definedName name="_tbz6" localSheetId="7">'[5]Overlap two proportions'!$AI$13</definedName>
    <definedName name="_tbz6">'[4]Overlap two proportions'!$AI$13</definedName>
    <definedName name="_tbz60" localSheetId="8">'[4]Overlap two proportions'!$AI$67</definedName>
    <definedName name="_tbz60" localSheetId="9">'[5]Overlap two proportions'!$AI$67</definedName>
    <definedName name="_tbz60" localSheetId="6">'[5]Overlap two proportions'!$AI$67</definedName>
    <definedName name="_tbz60" localSheetId="10">'[5]Overlap two proportions'!$AI$67</definedName>
    <definedName name="_tbz60" localSheetId="7">'[5]Overlap two proportions'!$AI$67</definedName>
    <definedName name="_tbz60">'[4]Overlap two proportions'!$AI$67</definedName>
    <definedName name="_tbz7" localSheetId="8">'[4]Overlap two proportions'!$AI$14</definedName>
    <definedName name="_tbz7" localSheetId="9">'[5]Overlap two proportions'!$AI$14</definedName>
    <definedName name="_tbz7" localSheetId="6">'[5]Overlap two proportions'!$AI$14</definedName>
    <definedName name="_tbz7" localSheetId="10">'[5]Overlap two proportions'!$AI$14</definedName>
    <definedName name="_tbz7" localSheetId="7">'[5]Overlap two proportions'!$AI$14</definedName>
    <definedName name="_tbz7">'[4]Overlap two proportions'!$AI$14</definedName>
    <definedName name="_tbz8" localSheetId="8">'[4]Overlap two proportions'!$AI$15</definedName>
    <definedName name="_tbz8" localSheetId="9">'[5]Overlap two proportions'!$AI$15</definedName>
    <definedName name="_tbz8" localSheetId="6">'[5]Overlap two proportions'!$AI$15</definedName>
    <definedName name="_tbz8" localSheetId="10">'[5]Overlap two proportions'!$AI$15</definedName>
    <definedName name="_tbz8" localSheetId="7">'[5]Overlap two proportions'!$AI$15</definedName>
    <definedName name="_tbz8">'[4]Overlap two proportions'!$AI$15</definedName>
    <definedName name="_tbz9" localSheetId="8">'[4]Overlap two proportions'!$AI$16</definedName>
    <definedName name="_tbz9" localSheetId="9">'[5]Overlap two proportions'!$AI$16</definedName>
    <definedName name="_tbz9" localSheetId="6">'[5]Overlap two proportions'!$AI$16</definedName>
    <definedName name="_tbz9" localSheetId="10">'[5]Overlap two proportions'!$AI$16</definedName>
    <definedName name="_tbz9" localSheetId="7">'[5]Overlap two proportions'!$AI$16</definedName>
    <definedName name="_tbz9">'[4]Overlap two proportions'!$AI$16</definedName>
    <definedName name="ally" localSheetId="8">[6]Describe!$AU$4:$AU$703</definedName>
    <definedName name="ally" localSheetId="9">[6]Describe!$AU$4:$AU$703</definedName>
    <definedName name="ally" localSheetId="6">[6]Describe!$AU$4:$AU$703</definedName>
    <definedName name="ally" localSheetId="10">[6]Describe!$AU$4:$AU$703</definedName>
    <definedName name="ally" localSheetId="7">[6]Describe!$AU$4:$AU$703</definedName>
    <definedName name="ally">Describe!$BX$4:$BX$307</definedName>
    <definedName name="alph">'[7]Precision one'!$AP$140</definedName>
    <definedName name="ancount">#REF!</definedName>
    <definedName name="approxll">'[7]CI for d'!$AS$8</definedName>
    <definedName name="approxul">'[7]CI for d'!$AS$9</definedName>
    <definedName name="approxz">'[8]One proportion'!$B$11</definedName>
    <definedName name="approxzz">'[9]Two proportions'!$C$12</definedName>
    <definedName name="barsind" localSheetId="5">#REF!</definedName>
    <definedName name="barsind" localSheetId="4">CIjumping!$BZ$2</definedName>
    <definedName name="barsind" localSheetId="8">#REF!</definedName>
    <definedName name="barsind" localSheetId="9">#REF!</definedName>
    <definedName name="barsind" localSheetId="6">#REF!</definedName>
    <definedName name="barsind" localSheetId="0">#REF!</definedName>
    <definedName name="barsind" localSheetId="2">Normal!#REF!</definedName>
    <definedName name="barsind" localSheetId="3">'Normal and t'!#REF!</definedName>
    <definedName name="barsind" localSheetId="10">#REF!</definedName>
    <definedName name="barsind" localSheetId="7">#REF!</definedName>
    <definedName name="barsind">[10]CIjumping!$AI$2</definedName>
    <definedName name="botty" localSheetId="8">[6]Describe!$AQ$35</definedName>
    <definedName name="botty" localSheetId="9">[6]Describe!$AQ$35</definedName>
    <definedName name="botty" localSheetId="6">[6]Describe!$AQ$35</definedName>
    <definedName name="botty" localSheetId="10">[6]Describe!$AQ$35</definedName>
    <definedName name="botty" localSheetId="7">[6]Describe!$AQ$35</definedName>
    <definedName name="botty">Describe!$AX$35</definedName>
    <definedName name="calc20switch" localSheetId="8">'[11]Fig 1'!$M$12</definedName>
    <definedName name="calc20switch" localSheetId="9">'[12]Fig 1'!$M$12</definedName>
    <definedName name="calc20switch" localSheetId="6">'[12]Fig 1'!$M$12</definedName>
    <definedName name="calc20switch" localSheetId="10">'[12]Fig 1'!$M$12</definedName>
    <definedName name="calc20switch" localSheetId="7">'[12]Fig 1'!$M$12</definedName>
    <definedName name="calc20switch">'[11]Fig 1'!$M$12</definedName>
    <definedName name="calcddp" localSheetId="9">'Data paired'!$C$11</definedName>
    <definedName name="calcddp" localSheetId="10">'Summary paired'!$C$12</definedName>
    <definedName name="calcddp">'[8]Data paired'!$C$11</definedName>
    <definedName name="calcddt" localSheetId="7">'Summary two'!$C$11</definedName>
    <definedName name="calcddt">'Data two'!$C$11</definedName>
    <definedName name="calcdst">#REF!</definedName>
    <definedName name="calcswitch" localSheetId="5">#REF!</definedName>
    <definedName name="calcswitch" localSheetId="4">CIjumping!$N$2</definedName>
    <definedName name="calcswitch" localSheetId="8">#REF!</definedName>
    <definedName name="calcswitch" localSheetId="9">#REF!</definedName>
    <definedName name="calcswitch" localSheetId="6">#REF!</definedName>
    <definedName name="calcswitch" localSheetId="0">#REF!</definedName>
    <definedName name="calcswitch" localSheetId="2">Normal!#REF!</definedName>
    <definedName name="calcswitch" localSheetId="3">'Normal and t'!#REF!</definedName>
    <definedName name="calcswitch" localSheetId="10">#REF!</definedName>
    <definedName name="calcswitch" localSheetId="7">#REF!</definedName>
    <definedName name="calcswitch">[10]CIjumping!$U$2</definedName>
    <definedName name="calcswitch2prop" localSheetId="8">'[4]Two proportions'!$O$4</definedName>
    <definedName name="calcswitch2prop" localSheetId="9">'[5]Two proportions'!$O$4</definedName>
    <definedName name="calcswitch2prop" localSheetId="6">'[5]Two proportions'!$O$4</definedName>
    <definedName name="calcswitch2prop" localSheetId="10">'[5]Two proportions'!$O$4</definedName>
    <definedName name="calcswitch2prop" localSheetId="7">'[5]Two proportions'!$O$4</definedName>
    <definedName name="calcswitch2prop">'[4]Two proportions'!$O$4</definedName>
    <definedName name="calcswitchone" localSheetId="5">#REF!</definedName>
    <definedName name="calcswitchone" localSheetId="4">#REF!</definedName>
    <definedName name="calcswitchone" localSheetId="8">#REF!</definedName>
    <definedName name="calcswitchone" localSheetId="9">#REF!</definedName>
    <definedName name="calcswitchone" localSheetId="6">#REF!</definedName>
    <definedName name="calcswitchone" localSheetId="0">#REF!</definedName>
    <definedName name="calcswitchone" localSheetId="2">#REF!</definedName>
    <definedName name="calcswitchone" localSheetId="3">#REF!</definedName>
    <definedName name="calcswitchone" localSheetId="10">#REF!</definedName>
    <definedName name="calcswitchone" localSheetId="7">#REF!</definedName>
    <definedName name="calcswitchone">#REF!</definedName>
    <definedName name="calcswitchpair" localSheetId="5">#REF!</definedName>
    <definedName name="calcswitchpair" localSheetId="4">#REF!</definedName>
    <definedName name="calcswitchpair" localSheetId="8">#REF!</definedName>
    <definedName name="calcswitchpair" localSheetId="9">'Data paired'!$U$11</definedName>
    <definedName name="calcswitchpair" localSheetId="6">#REF!</definedName>
    <definedName name="calcswitchpair" localSheetId="0">#REF!</definedName>
    <definedName name="calcswitchpair" localSheetId="2">#REF!</definedName>
    <definedName name="calcswitchpair" localSheetId="3">#REF!</definedName>
    <definedName name="calcswitchpair" localSheetId="10">'Summary paired'!$W$108</definedName>
    <definedName name="calcswitchpair" localSheetId="7">#REF!</definedName>
    <definedName name="calcswitchpair">#REF!</definedName>
    <definedName name="calcswitchtwo" localSheetId="5">#REF!</definedName>
    <definedName name="calcswitchtwo" localSheetId="4">#REF!</definedName>
    <definedName name="calcswitchtwo" localSheetId="8">#REF!</definedName>
    <definedName name="calcswitchtwo" localSheetId="9">#REF!</definedName>
    <definedName name="calcswitchtwo" localSheetId="6">#REF!</definedName>
    <definedName name="calcswitchtwo" localSheetId="0">#REF!</definedName>
    <definedName name="calcswitchtwo" localSheetId="2">#REF!</definedName>
    <definedName name="calcswitchtwo" localSheetId="3">#REF!</definedName>
    <definedName name="calcswitchtwo" localSheetId="10">#REF!</definedName>
    <definedName name="calcswitchtwo" localSheetId="7">#REF!</definedName>
    <definedName name="calcswitchtwo">#REF!</definedName>
    <definedName name="calct1" localSheetId="5">'[1]MA  Standardised units'!$X$6</definedName>
    <definedName name="calct1" localSheetId="4">'[1]MA  Standardised units'!$X$6</definedName>
    <definedName name="calct1" localSheetId="8">'[2]MA  Standardised units'!$X$6</definedName>
    <definedName name="calct1" localSheetId="9">'[3]MA  Standardised units'!$X$6</definedName>
    <definedName name="calct1" localSheetId="6">'[3]MA  Standardised units'!$X$6</definedName>
    <definedName name="calct1" localSheetId="0">'[2]MA  Standardised units'!$X$6</definedName>
    <definedName name="calct1" localSheetId="2">'[1]MA  Standardised units'!$X$6</definedName>
    <definedName name="calct1" localSheetId="3">'[1]MA  Standardised units'!$X$6</definedName>
    <definedName name="calct1" localSheetId="10">'[3]MA  Standardised units'!$X$6</definedName>
    <definedName name="calct1" localSheetId="7">'[3]MA  Standardised units'!$X$6</definedName>
    <definedName name="calct1">'[1]MA  Standardised units'!$X$6</definedName>
    <definedName name="calct10" localSheetId="5">'[1]MA  Standardised units'!$X$15</definedName>
    <definedName name="calct10" localSheetId="4">'[1]MA  Standardised units'!$X$15</definedName>
    <definedName name="calct10" localSheetId="8">'[2]MA  Standardised units'!$X$15</definedName>
    <definedName name="calct10" localSheetId="9">'[3]MA  Standardised units'!$X$15</definedName>
    <definedName name="calct10" localSheetId="6">'[3]MA  Standardised units'!$X$15</definedName>
    <definedName name="calct10" localSheetId="0">'[2]MA  Standardised units'!$X$15</definedName>
    <definedName name="calct10" localSheetId="2">'[1]MA  Standardised units'!$X$15</definedName>
    <definedName name="calct10" localSheetId="3">'[1]MA  Standardised units'!$X$15</definedName>
    <definedName name="calct10" localSheetId="10">'[3]MA  Standardised units'!$X$15</definedName>
    <definedName name="calct10" localSheetId="7">'[3]MA  Standardised units'!$X$15</definedName>
    <definedName name="calct10">'[1]MA  Standardised units'!$X$15</definedName>
    <definedName name="calct11" localSheetId="5">'[1]MA  Standardised units'!$X$18</definedName>
    <definedName name="calct11" localSheetId="4">'[1]MA  Standardised units'!$X$18</definedName>
    <definedName name="calct11" localSheetId="8">'[2]MA  Standardised units'!$X$18</definedName>
    <definedName name="calct11" localSheetId="9">'[3]MA  Standardised units'!$X$18</definedName>
    <definedName name="calct11" localSheetId="6">'[3]MA  Standardised units'!$X$18</definedName>
    <definedName name="calct11" localSheetId="0">'[2]MA  Standardised units'!$X$18</definedName>
    <definedName name="calct11" localSheetId="2">'[1]MA  Standardised units'!$X$18</definedName>
    <definedName name="calct11" localSheetId="3">'[1]MA  Standardised units'!$X$18</definedName>
    <definedName name="calct11" localSheetId="10">'[3]MA  Standardised units'!$X$18</definedName>
    <definedName name="calct11" localSheetId="7">'[3]MA  Standardised units'!$X$18</definedName>
    <definedName name="calct11">'[1]MA  Standardised units'!$X$18</definedName>
    <definedName name="calct12" localSheetId="5">'[1]MA  Standardised units'!$X$21</definedName>
    <definedName name="calct12" localSheetId="4">'[1]MA  Standardised units'!$X$21</definedName>
    <definedName name="calct12" localSheetId="8">'[2]MA  Standardised units'!$X$21</definedName>
    <definedName name="calct12" localSheetId="9">'[3]MA  Standardised units'!$X$21</definedName>
    <definedName name="calct12" localSheetId="6">'[3]MA  Standardised units'!$X$21</definedName>
    <definedName name="calct12" localSheetId="0">'[2]MA  Standardised units'!$X$21</definedName>
    <definedName name="calct12" localSheetId="2">'[1]MA  Standardised units'!$X$21</definedName>
    <definedName name="calct12" localSheetId="3">'[1]MA  Standardised units'!$X$21</definedName>
    <definedName name="calct12" localSheetId="10">'[3]MA  Standardised units'!$X$21</definedName>
    <definedName name="calct12" localSheetId="7">'[3]MA  Standardised units'!$X$21</definedName>
    <definedName name="calct12">'[1]MA  Standardised units'!$X$21</definedName>
    <definedName name="calct13" localSheetId="5">'[1]MA  Standardised units'!$X$24</definedName>
    <definedName name="calct13" localSheetId="4">'[1]MA  Standardised units'!$X$24</definedName>
    <definedName name="calct13" localSheetId="8">'[2]MA  Standardised units'!$X$24</definedName>
    <definedName name="calct13" localSheetId="9">'[3]MA  Standardised units'!$X$24</definedName>
    <definedName name="calct13" localSheetId="6">'[3]MA  Standardised units'!$X$24</definedName>
    <definedName name="calct13" localSheetId="0">'[2]MA  Standardised units'!$X$24</definedName>
    <definedName name="calct13" localSheetId="2">'[1]MA  Standardised units'!$X$24</definedName>
    <definedName name="calct13" localSheetId="3">'[1]MA  Standardised units'!$X$24</definedName>
    <definedName name="calct13" localSheetId="10">'[3]MA  Standardised units'!$X$24</definedName>
    <definedName name="calct13" localSheetId="7">'[3]MA  Standardised units'!$X$24</definedName>
    <definedName name="calct13">'[1]MA  Standardised units'!$X$24</definedName>
    <definedName name="calct2" localSheetId="5">'[1]MA  Standardised units'!$X$7</definedName>
    <definedName name="calct2" localSheetId="4">'[1]MA  Standardised units'!$X$7</definedName>
    <definedName name="calct2" localSheetId="8">'[2]MA  Standardised units'!$X$7</definedName>
    <definedName name="calct2" localSheetId="9">'[3]MA  Standardised units'!$X$7</definedName>
    <definedName name="calct2" localSheetId="6">'[3]MA  Standardised units'!$X$7</definedName>
    <definedName name="calct2" localSheetId="0">'[2]MA  Standardised units'!$X$7</definedName>
    <definedName name="calct2" localSheetId="2">'[1]MA  Standardised units'!$X$7</definedName>
    <definedName name="calct2" localSheetId="3">'[1]MA  Standardised units'!$X$7</definedName>
    <definedName name="calct2" localSheetId="10">'[3]MA  Standardised units'!$X$7</definedName>
    <definedName name="calct2" localSheetId="7">'[3]MA  Standardised units'!$X$7</definedName>
    <definedName name="calct2">'[1]MA  Standardised units'!$X$7</definedName>
    <definedName name="calct3" localSheetId="5">'[1]MA  Standardised units'!$X$8</definedName>
    <definedName name="calct3" localSheetId="4">'[1]MA  Standardised units'!$X$8</definedName>
    <definedName name="calct3" localSheetId="8">'[2]MA  Standardised units'!$X$8</definedName>
    <definedName name="calct3" localSheetId="9">'[3]MA  Standardised units'!$X$8</definedName>
    <definedName name="calct3" localSheetId="6">'[3]MA  Standardised units'!$X$8</definedName>
    <definedName name="calct3" localSheetId="0">'[2]MA  Standardised units'!$X$8</definedName>
    <definedName name="calct3" localSheetId="2">'[1]MA  Standardised units'!$X$8</definedName>
    <definedName name="calct3" localSheetId="3">'[1]MA  Standardised units'!$X$8</definedName>
    <definedName name="calct3" localSheetId="10">'[3]MA  Standardised units'!$X$8</definedName>
    <definedName name="calct3" localSheetId="7">'[3]MA  Standardised units'!$X$8</definedName>
    <definedName name="calct3">'[1]MA  Standardised units'!$X$8</definedName>
    <definedName name="calct4" localSheetId="5">'[1]MA  Standardised units'!$X$9</definedName>
    <definedName name="calct4" localSheetId="4">'[1]MA  Standardised units'!$X$9</definedName>
    <definedName name="calct4" localSheetId="8">'[2]MA  Standardised units'!$X$9</definedName>
    <definedName name="calct4" localSheetId="9">'[3]MA  Standardised units'!$X$9</definedName>
    <definedName name="calct4" localSheetId="6">'[3]MA  Standardised units'!$X$9</definedName>
    <definedName name="calct4" localSheetId="0">'[2]MA  Standardised units'!$X$9</definedName>
    <definedName name="calct4" localSheetId="2">'[1]MA  Standardised units'!$X$9</definedName>
    <definedName name="calct4" localSheetId="3">'[1]MA  Standardised units'!$X$9</definedName>
    <definedName name="calct4" localSheetId="10">'[3]MA  Standardised units'!$X$9</definedName>
    <definedName name="calct4" localSheetId="7">'[3]MA  Standardised units'!$X$9</definedName>
    <definedName name="calct4">'[1]MA  Standardised units'!$X$9</definedName>
    <definedName name="calct5" localSheetId="5">'[1]MA  Standardised units'!$X$10</definedName>
    <definedName name="calct5" localSheetId="4">'[1]MA  Standardised units'!$X$10</definedName>
    <definedName name="calct5" localSheetId="8">'[2]MA  Standardised units'!$X$10</definedName>
    <definedName name="calct5" localSheetId="9">'[3]MA  Standardised units'!$X$10</definedName>
    <definedName name="calct5" localSheetId="6">'[3]MA  Standardised units'!$X$10</definedName>
    <definedName name="calct5" localSheetId="0">'[2]MA  Standardised units'!$X$10</definedName>
    <definedName name="calct5" localSheetId="2">'[1]MA  Standardised units'!$X$10</definedName>
    <definedName name="calct5" localSheetId="3">'[1]MA  Standardised units'!$X$10</definedName>
    <definedName name="calct5" localSheetId="10">'[3]MA  Standardised units'!$X$10</definedName>
    <definedName name="calct5" localSheetId="7">'[3]MA  Standardised units'!$X$10</definedName>
    <definedName name="calct5">'[1]MA  Standardised units'!$X$10</definedName>
    <definedName name="calct6" localSheetId="5">'[1]MA  Standardised units'!$X$11</definedName>
    <definedName name="calct6" localSheetId="4">'[1]MA  Standardised units'!$X$11</definedName>
    <definedName name="calct6" localSheetId="8">'[2]MA  Standardised units'!$X$11</definedName>
    <definedName name="calct6" localSheetId="9">'[3]MA  Standardised units'!$X$11</definedName>
    <definedName name="calct6" localSheetId="6">'[3]MA  Standardised units'!$X$11</definedName>
    <definedName name="calct6" localSheetId="0">'[2]MA  Standardised units'!$X$11</definedName>
    <definedName name="calct6" localSheetId="2">'[1]MA  Standardised units'!$X$11</definedName>
    <definedName name="calct6" localSheetId="3">'[1]MA  Standardised units'!$X$11</definedName>
    <definedName name="calct6" localSheetId="10">'[3]MA  Standardised units'!$X$11</definedName>
    <definedName name="calct6" localSheetId="7">'[3]MA  Standardised units'!$X$11</definedName>
    <definedName name="calct6">'[1]MA  Standardised units'!$X$11</definedName>
    <definedName name="calct7" localSheetId="5">'[1]MA  Standardised units'!$X$12</definedName>
    <definedName name="calct7" localSheetId="4">'[1]MA  Standardised units'!$X$12</definedName>
    <definedName name="calct7" localSheetId="8">'[2]MA  Standardised units'!$X$12</definedName>
    <definedName name="calct7" localSheetId="9">'[3]MA  Standardised units'!$X$12</definedName>
    <definedName name="calct7" localSheetId="6">'[3]MA  Standardised units'!$X$12</definedName>
    <definedName name="calct7" localSheetId="0">'[2]MA  Standardised units'!$X$12</definedName>
    <definedName name="calct7" localSheetId="2">'[1]MA  Standardised units'!$X$12</definedName>
    <definedName name="calct7" localSheetId="3">'[1]MA  Standardised units'!$X$12</definedName>
    <definedName name="calct7" localSheetId="10">'[3]MA  Standardised units'!$X$12</definedName>
    <definedName name="calct7" localSheetId="7">'[3]MA  Standardised units'!$X$12</definedName>
    <definedName name="calct7">'[1]MA  Standardised units'!$X$12</definedName>
    <definedName name="calct8" localSheetId="5">'[1]MA  Standardised units'!$X$13</definedName>
    <definedName name="calct8" localSheetId="4">'[1]MA  Standardised units'!$X$13</definedName>
    <definedName name="calct8" localSheetId="8">'[2]MA  Standardised units'!$X$13</definedName>
    <definedName name="calct8" localSheetId="9">'[3]MA  Standardised units'!$X$13</definedName>
    <definedName name="calct8" localSheetId="6">'[3]MA  Standardised units'!$X$13</definedName>
    <definedName name="calct8" localSheetId="0">'[2]MA  Standardised units'!$X$13</definedName>
    <definedName name="calct8" localSheetId="2">'[1]MA  Standardised units'!$X$13</definedName>
    <definedName name="calct8" localSheetId="3">'[1]MA  Standardised units'!$X$13</definedName>
    <definedName name="calct8" localSheetId="10">'[3]MA  Standardised units'!$X$13</definedName>
    <definedName name="calct8" localSheetId="7">'[3]MA  Standardised units'!$X$13</definedName>
    <definedName name="calct8">'[1]MA  Standardised units'!$X$13</definedName>
    <definedName name="calct9" localSheetId="5">'[1]MA  Standardised units'!$X$14</definedName>
    <definedName name="calct9" localSheetId="4">'[1]MA  Standardised units'!$X$14</definedName>
    <definedName name="calct9" localSheetId="8">'[2]MA  Standardised units'!$X$14</definedName>
    <definedName name="calct9" localSheetId="9">'[3]MA  Standardised units'!$X$14</definedName>
    <definedName name="calct9" localSheetId="6">'[3]MA  Standardised units'!$X$14</definedName>
    <definedName name="calct9" localSheetId="0">'[2]MA  Standardised units'!$X$14</definedName>
    <definedName name="calct9" localSheetId="2">'[1]MA  Standardised units'!$X$14</definedName>
    <definedName name="calct9" localSheetId="3">'[1]MA  Standardised units'!$X$14</definedName>
    <definedName name="calct9" localSheetId="10">'[3]MA  Standardised units'!$X$14</definedName>
    <definedName name="calct9" localSheetId="7">'[3]MA  Standardised units'!$X$14</definedName>
    <definedName name="calct9">'[1]MA  Standardised units'!$X$14</definedName>
    <definedName name="calib1" localSheetId="8">[6]Describe!$T$34</definedName>
    <definedName name="calib1" localSheetId="9">[6]Describe!$T$34</definedName>
    <definedName name="calib1" localSheetId="6">[6]Describe!$T$34</definedName>
    <definedName name="calib1" localSheetId="10">[6]Describe!$T$34</definedName>
    <definedName name="calib1" localSheetId="7">[6]Describe!$T$34</definedName>
    <definedName name="calib1">Describe!$X$34</definedName>
    <definedName name="calib2" localSheetId="8">[6]Describe!$T$35</definedName>
    <definedName name="calib2" localSheetId="9">[6]Describe!$T$35</definedName>
    <definedName name="calib2" localSheetId="6">[6]Describe!$T$35</definedName>
    <definedName name="calib2" localSheetId="10">[6]Describe!$T$35</definedName>
    <definedName name="calib2" localSheetId="7">[6]Describe!$T$35</definedName>
    <definedName name="calib2">Describe!$X$35</definedName>
    <definedName name="calibpark" localSheetId="8">[6]Describe!$AO$31</definedName>
    <definedName name="calibpark" localSheetId="9">[6]Describe!$AO$31</definedName>
    <definedName name="calibpark" localSheetId="6">[6]Describe!$AO$31</definedName>
    <definedName name="calibpark" localSheetId="10">[6]Describe!$AO$31</definedName>
    <definedName name="calibpark" localSheetId="7">[6]Describe!$AO$31</definedName>
    <definedName name="calibpark">Describe!$AV$31</definedName>
    <definedName name="caporigget" localSheetId="8">'[13]Capture probabilities'!$R$21:$S$520</definedName>
    <definedName name="caporigget" localSheetId="9">'[14]Capture probabilities'!$R$21:$S$520</definedName>
    <definedName name="caporigget" localSheetId="6">'[14]Capture probabilities'!$R$21:$S$520</definedName>
    <definedName name="caporigget" localSheetId="10">'[14]Capture probabilities'!$R$21:$S$520</definedName>
    <definedName name="caporigget" localSheetId="7">'[14]Capture probabilities'!$R$21:$S$520</definedName>
    <definedName name="caporigget">'[13]Capture probabilities'!$R$21:$S$520</definedName>
    <definedName name="caporigput" localSheetId="8">'[13]Capture probabilities'!$R$22:$S$521</definedName>
    <definedName name="caporigput" localSheetId="9">'[14]Capture probabilities'!$R$22:$S$521</definedName>
    <definedName name="caporigput" localSheetId="6">'[14]Capture probabilities'!$R$22:$S$521</definedName>
    <definedName name="caporigput" localSheetId="10">'[14]Capture probabilities'!$R$22:$S$521</definedName>
    <definedName name="caporigput" localSheetId="7">'[14]Capture probabilities'!$R$22:$S$521</definedName>
    <definedName name="caporigput">'[13]Capture probabilities'!$R$22:$S$521</definedName>
    <definedName name="cdata1000" localSheetId="8">'[15]Sample r'!$I$15:$K$1014</definedName>
    <definedName name="cdata1000" localSheetId="9">'[16]Sample r'!$I$15:$K$1014</definedName>
    <definedName name="cdata1000" localSheetId="6">'[16]Sample r'!$I$15:$K$1014</definedName>
    <definedName name="cdata1000" localSheetId="10">'[16]Sample r'!$I$15:$K$1014</definedName>
    <definedName name="cdata1000" localSheetId="7">'[16]Sample r'!$I$15:$K$1014</definedName>
    <definedName name="cdata1000">'[15]Sample r'!$I$15:$K$1014</definedName>
    <definedName name="cdatanew" localSheetId="8">'[15]Sample r'!$I$16:$K$16</definedName>
    <definedName name="cdatanew" localSheetId="9">'[16]Sample r'!$I$16:$K$16</definedName>
    <definedName name="cdatanew" localSheetId="6">'[16]Sample r'!$I$16:$K$16</definedName>
    <definedName name="cdatanew" localSheetId="10">'[16]Sample r'!$I$16:$K$16</definedName>
    <definedName name="cdatanew" localSheetId="7">'[16]Sample r'!$I$16:$K$16</definedName>
    <definedName name="cdatanew">'[15]Sample r'!$I$16:$K$16</definedName>
    <definedName name="cdatath">'[17]Sample r'!$A$11:$C$1010</definedName>
    <definedName name="CElabel">#REF!</definedName>
    <definedName name="CforC" localSheetId="5">#REF!</definedName>
    <definedName name="CforC" localSheetId="8">'[18]Vary C'!$C$20</definedName>
    <definedName name="CforC" localSheetId="9">'[19]Vary C'!$C$20</definedName>
    <definedName name="CforC" localSheetId="6">'[19]Vary C'!$C$20</definedName>
    <definedName name="CforC" localSheetId="10">'[19]Vary C'!$C$20</definedName>
    <definedName name="CforC" localSheetId="7">'[19]Vary C'!$C$20</definedName>
    <definedName name="CforC">'[18]Vary C'!$C$20</definedName>
    <definedName name="Cforcalculator" localSheetId="8">#REF!</definedName>
    <definedName name="Cforcalculator" localSheetId="9">#REF!</definedName>
    <definedName name="Cforcalculator" localSheetId="6">#REF!</definedName>
    <definedName name="Cforcalculator" localSheetId="10">#REF!</definedName>
    <definedName name="Cforcalculator" localSheetId="7">#REF!</definedName>
    <definedName name="Cforcalculator">#REF!</definedName>
    <definedName name="Cformula" localSheetId="8">#REF!</definedName>
    <definedName name="Cformula" localSheetId="9">#REF!</definedName>
    <definedName name="Cformula" localSheetId="6">#REF!</definedName>
    <definedName name="Cformula" localSheetId="10">#REF!</definedName>
    <definedName name="Cformula" localSheetId="7">#REF!</definedName>
    <definedName name="Cformula">#REF!</definedName>
    <definedName name="ChooseMod" localSheetId="8">'[4]Two proportions'!$R$14</definedName>
    <definedName name="ChooseMod" localSheetId="9">'[5]Two proportions'!$R$14</definedName>
    <definedName name="ChooseMod" localSheetId="6">'[5]Two proportions'!$R$14</definedName>
    <definedName name="ChooseMod" localSheetId="10">'[5]Two proportions'!$R$14</definedName>
    <definedName name="ChooseMod" localSheetId="7">'[5]Two proportions'!$R$14</definedName>
    <definedName name="ChooseMod">'[4]Two proportions'!$R$14</definedName>
    <definedName name="CI1L" localSheetId="8">'[11]p value function'!$M$4</definedName>
    <definedName name="CI1L">'[12]p value function'!$M$4</definedName>
    <definedName name="CI1R" localSheetId="8">'[11]p value function'!$M$5</definedName>
    <definedName name="CI1R">'[12]p value function'!$M$5</definedName>
    <definedName name="CI2s" localSheetId="5">'CI and p'!#REF!</definedName>
    <definedName name="CI2s" localSheetId="8">'[11]p value function'!$M$3</definedName>
    <definedName name="CI2s">'[12]p value function'!$M$3</definedName>
    <definedName name="cid" localSheetId="5">'[1]MA  Standardised units'!$Z$4:$AA$4</definedName>
    <definedName name="cid" localSheetId="4">'[1]MA  Standardised units'!$Z$4:$AA$4</definedName>
    <definedName name="cid" localSheetId="8">'[2]MA  Standardised units'!$Z$4:$AA$4</definedName>
    <definedName name="cid" localSheetId="9">'[3]MA  Standardised units'!$Z$4:$AA$4</definedName>
    <definedName name="cid" localSheetId="6">'[3]MA  Standardised units'!$Z$4:$AA$4</definedName>
    <definedName name="cid" localSheetId="0">'[2]MA  Standardised units'!$Z$4:$AA$4</definedName>
    <definedName name="cid" localSheetId="2">'[1]MA  Standardised units'!$Z$4:$AA$4</definedName>
    <definedName name="cid" localSheetId="3">'[1]MA  Standardised units'!$Z$4:$AA$4</definedName>
    <definedName name="cid" localSheetId="10">'[3]MA  Standardised units'!$Z$4:$AA$4</definedName>
    <definedName name="cid" localSheetId="7">'[3]MA  Standardised units'!$Z$4:$AA$4</definedName>
    <definedName name="cid">'[1]MA  Standardised units'!$Z$4:$AA$4</definedName>
    <definedName name="cidpl" localSheetId="9">'Data paired'!$B$17</definedName>
    <definedName name="cidpl" localSheetId="10">'Summary paired'!$B$18</definedName>
    <definedName name="cidpl">'[8]Data paired'!$B$17</definedName>
    <definedName name="cidptbzl" localSheetId="9">'Data paired'!$B$15</definedName>
    <definedName name="cidptbzl" localSheetId="10">'Summary paired'!$B$16</definedName>
    <definedName name="cidptbzl">'[8]Data paired'!$B$15</definedName>
    <definedName name="cidptbzu" localSheetId="9">'Data paired'!$C$15</definedName>
    <definedName name="cidptbzu" localSheetId="10">'Summary paired'!$C$16</definedName>
    <definedName name="cidptbzu">'[8]Data paired'!$C$15</definedName>
    <definedName name="cidpu" localSheetId="9">'Data paired'!$C$17</definedName>
    <definedName name="cidpu" localSheetId="10">'Summary paired'!$C$18</definedName>
    <definedName name="cidpu">'[8]Data paired'!$C$17</definedName>
    <definedName name="cidtl" localSheetId="7">'Summary two'!$B$16</definedName>
    <definedName name="cidtl">'Data two'!$B$16</definedName>
    <definedName name="cidttbzl" localSheetId="7">'Summary two'!$B$14</definedName>
    <definedName name="cidttbzl">'Data two'!$B$14</definedName>
    <definedName name="cidttbzu" localSheetId="7">'Summary two'!$C$14</definedName>
    <definedName name="cidttbzu">'Data two'!$C$14</definedName>
    <definedName name="cidtu" localSheetId="7">'Summary two'!$C$16</definedName>
    <definedName name="cidtu">'Data two'!$C$16</definedName>
    <definedName name="cijgrab" localSheetId="5">#REF!</definedName>
    <definedName name="cijgrab" localSheetId="4">CIjumping!$P$17</definedName>
    <definedName name="cijgrab" localSheetId="8">#REF!</definedName>
    <definedName name="cijgrab" localSheetId="9">#REF!</definedName>
    <definedName name="cijgrab" localSheetId="6">#REF!</definedName>
    <definedName name="cijgrab" localSheetId="0">#REF!</definedName>
    <definedName name="cijgrab" localSheetId="2">Normal!#REF!</definedName>
    <definedName name="cijgrab" localSheetId="3">'Normal and t'!#REF!</definedName>
    <definedName name="cijgrab" localSheetId="10">#REF!</definedName>
    <definedName name="cijgrab" localSheetId="7">#REF!</definedName>
    <definedName name="cijgrab">[10]CIjumping!$W$14</definedName>
    <definedName name="cijput" localSheetId="5">#REF!</definedName>
    <definedName name="cijput" localSheetId="4">CIjumping!$P$18</definedName>
    <definedName name="cijput" localSheetId="8">#REF!</definedName>
    <definedName name="cijput" localSheetId="9">#REF!</definedName>
    <definedName name="cijput" localSheetId="6">#REF!</definedName>
    <definedName name="cijput" localSheetId="0">#REF!</definedName>
    <definedName name="cijput" localSheetId="2">Normal!#REF!</definedName>
    <definedName name="cijput" localSheetId="3">'Normal and t'!#REF!</definedName>
    <definedName name="cijput" localSheetId="10">#REF!</definedName>
    <definedName name="cijput" localSheetId="7">#REF!</definedName>
    <definedName name="cijput">[10]CIjumping!$W$15</definedName>
    <definedName name="cilh1" localSheetId="5">'[1]MA  Standardised units'!$Z$6</definedName>
    <definedName name="cilh1" localSheetId="4">'[1]MA  Standardised units'!$Z$6</definedName>
    <definedName name="cilh1" localSheetId="8">'[2]MA  Standardised units'!$Z$6</definedName>
    <definedName name="cilh1" localSheetId="9">'[3]MA  Standardised units'!$Z$6</definedName>
    <definedName name="cilh1" localSheetId="6">'[3]MA  Standardised units'!$Z$6</definedName>
    <definedName name="cilh1" localSheetId="0">'[2]MA  Standardised units'!$Z$6</definedName>
    <definedName name="cilh1" localSheetId="2">'[1]MA  Standardised units'!$Z$6</definedName>
    <definedName name="cilh1" localSheetId="3">'[1]MA  Standardised units'!$Z$6</definedName>
    <definedName name="cilh1" localSheetId="10">'[3]MA  Standardised units'!$Z$6</definedName>
    <definedName name="cilh1" localSheetId="7">'[3]MA  Standardised units'!$Z$6</definedName>
    <definedName name="cilh1">'[1]MA  Standardised units'!$Z$6</definedName>
    <definedName name="cilh10" localSheetId="5">'[1]MA  Standardised units'!$Z$15</definedName>
    <definedName name="cilh10" localSheetId="4">'[1]MA  Standardised units'!$Z$15</definedName>
    <definedName name="cilh10" localSheetId="8">'[2]MA  Standardised units'!$Z$15</definedName>
    <definedName name="cilh10" localSheetId="9">'[3]MA  Standardised units'!$Z$15</definedName>
    <definedName name="cilh10" localSheetId="6">'[3]MA  Standardised units'!$Z$15</definedName>
    <definedName name="cilh10" localSheetId="0">'[2]MA  Standardised units'!$Z$15</definedName>
    <definedName name="cilh10" localSheetId="2">'[1]MA  Standardised units'!$Z$15</definedName>
    <definedName name="cilh10" localSheetId="3">'[1]MA  Standardised units'!$Z$15</definedName>
    <definedName name="cilh10" localSheetId="10">'[3]MA  Standardised units'!$Z$15</definedName>
    <definedName name="cilh10" localSheetId="7">'[3]MA  Standardised units'!$Z$15</definedName>
    <definedName name="cilh10">'[1]MA  Standardised units'!$Z$15</definedName>
    <definedName name="cilh11" localSheetId="5">'[1]MA  Standardised units'!$Z$18</definedName>
    <definedName name="cilh11" localSheetId="4">'[1]MA  Standardised units'!$Z$18</definedName>
    <definedName name="cilh11" localSheetId="8">'[2]MA  Standardised units'!$Z$18</definedName>
    <definedName name="cilh11" localSheetId="9">'[3]MA  Standardised units'!$Z$18</definedName>
    <definedName name="cilh11" localSheetId="6">'[3]MA  Standardised units'!$Z$18</definedName>
    <definedName name="cilh11" localSheetId="0">'[2]MA  Standardised units'!$Z$18</definedName>
    <definedName name="cilh11" localSheetId="2">'[1]MA  Standardised units'!$Z$18</definedName>
    <definedName name="cilh11" localSheetId="3">'[1]MA  Standardised units'!$Z$18</definedName>
    <definedName name="cilh11" localSheetId="10">'[3]MA  Standardised units'!$Z$18</definedName>
    <definedName name="cilh11" localSheetId="7">'[3]MA  Standardised units'!$Z$18</definedName>
    <definedName name="cilh11">'[1]MA  Standardised units'!$Z$18</definedName>
    <definedName name="cilh12" localSheetId="5">'[1]MA  Standardised units'!$Z$21</definedName>
    <definedName name="cilh12" localSheetId="4">'[1]MA  Standardised units'!$Z$21</definedName>
    <definedName name="cilh12" localSheetId="8">'[2]MA  Standardised units'!$Z$21</definedName>
    <definedName name="cilh12" localSheetId="9">'[3]MA  Standardised units'!$Z$21</definedName>
    <definedName name="cilh12" localSheetId="6">'[3]MA  Standardised units'!$Z$21</definedName>
    <definedName name="cilh12" localSheetId="0">'[2]MA  Standardised units'!$Z$21</definedName>
    <definedName name="cilh12" localSheetId="2">'[1]MA  Standardised units'!$Z$21</definedName>
    <definedName name="cilh12" localSheetId="3">'[1]MA  Standardised units'!$Z$21</definedName>
    <definedName name="cilh12" localSheetId="10">'[3]MA  Standardised units'!$Z$21</definedName>
    <definedName name="cilh12" localSheetId="7">'[3]MA  Standardised units'!$Z$21</definedName>
    <definedName name="cilh12">'[1]MA  Standardised units'!$Z$21</definedName>
    <definedName name="cilh13" localSheetId="5">'[1]MA  Standardised units'!$Z$24</definedName>
    <definedName name="cilh13" localSheetId="4">'[1]MA  Standardised units'!$Z$24</definedName>
    <definedName name="cilh13" localSheetId="8">'[2]MA  Standardised units'!$Z$24</definedName>
    <definedName name="cilh13" localSheetId="9">'[3]MA  Standardised units'!$Z$24</definedName>
    <definedName name="cilh13" localSheetId="6">'[3]MA  Standardised units'!$Z$24</definedName>
    <definedName name="cilh13" localSheetId="0">'[2]MA  Standardised units'!$Z$24</definedName>
    <definedName name="cilh13" localSheetId="2">'[1]MA  Standardised units'!$Z$24</definedName>
    <definedName name="cilh13" localSheetId="3">'[1]MA  Standardised units'!$Z$24</definedName>
    <definedName name="cilh13" localSheetId="10">'[3]MA  Standardised units'!$Z$24</definedName>
    <definedName name="cilh13" localSheetId="7">'[3]MA  Standardised units'!$Z$24</definedName>
    <definedName name="cilh13">'[1]MA  Standardised units'!$Z$24</definedName>
    <definedName name="cilh2" localSheetId="5">'[1]MA  Standardised units'!$Z$7</definedName>
    <definedName name="cilh2" localSheetId="4">'[1]MA  Standardised units'!$Z$7</definedName>
    <definedName name="cilh2" localSheetId="8">'[2]MA  Standardised units'!$Z$7</definedName>
    <definedName name="cilh2" localSheetId="9">'[3]MA  Standardised units'!$Z$7</definedName>
    <definedName name="cilh2" localSheetId="6">'[3]MA  Standardised units'!$Z$7</definedName>
    <definedName name="cilh2" localSheetId="0">'[2]MA  Standardised units'!$Z$7</definedName>
    <definedName name="cilh2" localSheetId="2">'[1]MA  Standardised units'!$Z$7</definedName>
    <definedName name="cilh2" localSheetId="3">'[1]MA  Standardised units'!$Z$7</definedName>
    <definedName name="cilh2" localSheetId="10">'[3]MA  Standardised units'!$Z$7</definedName>
    <definedName name="cilh2" localSheetId="7">'[3]MA  Standardised units'!$Z$7</definedName>
    <definedName name="cilh2">'[1]MA  Standardised units'!$Z$7</definedName>
    <definedName name="cilh3" localSheetId="5">'[1]MA  Standardised units'!$Z$8</definedName>
    <definedName name="cilh3" localSheetId="4">'[1]MA  Standardised units'!$Z$8</definedName>
    <definedName name="cilh3" localSheetId="8">'[2]MA  Standardised units'!$Z$8</definedName>
    <definedName name="cilh3" localSheetId="9">'[3]MA  Standardised units'!$Z$8</definedName>
    <definedName name="cilh3" localSheetId="6">'[3]MA  Standardised units'!$Z$8</definedName>
    <definedName name="cilh3" localSheetId="0">'[2]MA  Standardised units'!$Z$8</definedName>
    <definedName name="cilh3" localSheetId="2">'[1]MA  Standardised units'!$Z$8</definedName>
    <definedName name="cilh3" localSheetId="3">'[1]MA  Standardised units'!$Z$8</definedName>
    <definedName name="cilh3" localSheetId="10">'[3]MA  Standardised units'!$Z$8</definedName>
    <definedName name="cilh3" localSheetId="7">'[3]MA  Standardised units'!$Z$8</definedName>
    <definedName name="cilh3">'[1]MA  Standardised units'!$Z$8</definedName>
    <definedName name="cilh4" localSheetId="5">'[1]MA  Standardised units'!$Z$9</definedName>
    <definedName name="cilh4" localSheetId="4">'[1]MA  Standardised units'!$Z$9</definedName>
    <definedName name="cilh4" localSheetId="8">'[2]MA  Standardised units'!$Z$9</definedName>
    <definedName name="cilh4" localSheetId="9">'[3]MA  Standardised units'!$Z$9</definedName>
    <definedName name="cilh4" localSheetId="6">'[3]MA  Standardised units'!$Z$9</definedName>
    <definedName name="cilh4" localSheetId="0">'[2]MA  Standardised units'!$Z$9</definedName>
    <definedName name="cilh4" localSheetId="2">'[1]MA  Standardised units'!$Z$9</definedName>
    <definedName name="cilh4" localSheetId="3">'[1]MA  Standardised units'!$Z$9</definedName>
    <definedName name="cilh4" localSheetId="10">'[3]MA  Standardised units'!$Z$9</definedName>
    <definedName name="cilh4" localSheetId="7">'[3]MA  Standardised units'!$Z$9</definedName>
    <definedName name="cilh4">'[1]MA  Standardised units'!$Z$9</definedName>
    <definedName name="cilh5" localSheetId="5">'[1]MA  Standardised units'!$Z$10</definedName>
    <definedName name="cilh5" localSheetId="4">'[1]MA  Standardised units'!$Z$10</definedName>
    <definedName name="cilh5" localSheetId="8">'[2]MA  Standardised units'!$Z$10</definedName>
    <definedName name="cilh5" localSheetId="9">'[3]MA  Standardised units'!$Z$10</definedName>
    <definedName name="cilh5" localSheetId="6">'[3]MA  Standardised units'!$Z$10</definedName>
    <definedName name="cilh5" localSheetId="0">'[2]MA  Standardised units'!$Z$10</definedName>
    <definedName name="cilh5" localSheetId="2">'[1]MA  Standardised units'!$Z$10</definedName>
    <definedName name="cilh5" localSheetId="3">'[1]MA  Standardised units'!$Z$10</definedName>
    <definedName name="cilh5" localSheetId="10">'[3]MA  Standardised units'!$Z$10</definedName>
    <definedName name="cilh5" localSheetId="7">'[3]MA  Standardised units'!$Z$10</definedName>
    <definedName name="cilh5">'[1]MA  Standardised units'!$Z$10</definedName>
    <definedName name="cilh6" localSheetId="5">'[1]MA  Standardised units'!$Z$11</definedName>
    <definedName name="cilh6" localSheetId="4">'[1]MA  Standardised units'!$Z$11</definedName>
    <definedName name="cilh6" localSheetId="8">'[2]MA  Standardised units'!$Z$11</definedName>
    <definedName name="cilh6" localSheetId="9">'[3]MA  Standardised units'!$Z$11</definedName>
    <definedName name="cilh6" localSheetId="6">'[3]MA  Standardised units'!$Z$11</definedName>
    <definedName name="cilh6" localSheetId="0">'[2]MA  Standardised units'!$Z$11</definedName>
    <definedName name="cilh6" localSheetId="2">'[1]MA  Standardised units'!$Z$11</definedName>
    <definedName name="cilh6" localSheetId="3">'[1]MA  Standardised units'!$Z$11</definedName>
    <definedName name="cilh6" localSheetId="10">'[3]MA  Standardised units'!$Z$11</definedName>
    <definedName name="cilh6" localSheetId="7">'[3]MA  Standardised units'!$Z$11</definedName>
    <definedName name="cilh6">'[1]MA  Standardised units'!$Z$11</definedName>
    <definedName name="cilh7" localSheetId="5">'[1]MA  Standardised units'!$Z$12</definedName>
    <definedName name="cilh7" localSheetId="4">'[1]MA  Standardised units'!$Z$12</definedName>
    <definedName name="cilh7" localSheetId="8">'[2]MA  Standardised units'!$Z$12</definedName>
    <definedName name="cilh7" localSheetId="9">'[3]MA  Standardised units'!$Z$12</definedName>
    <definedName name="cilh7" localSheetId="6">'[3]MA  Standardised units'!$Z$12</definedName>
    <definedName name="cilh7" localSheetId="0">'[2]MA  Standardised units'!$Z$12</definedName>
    <definedName name="cilh7" localSheetId="2">'[1]MA  Standardised units'!$Z$12</definedName>
    <definedName name="cilh7" localSheetId="3">'[1]MA  Standardised units'!$Z$12</definedName>
    <definedName name="cilh7" localSheetId="10">'[3]MA  Standardised units'!$Z$12</definedName>
    <definedName name="cilh7" localSheetId="7">'[3]MA  Standardised units'!$Z$12</definedName>
    <definedName name="cilh7">'[1]MA  Standardised units'!$Z$12</definedName>
    <definedName name="cilh8" localSheetId="5">'[1]MA  Standardised units'!$Z$13</definedName>
    <definedName name="cilh8" localSheetId="4">'[1]MA  Standardised units'!$Z$13</definedName>
    <definedName name="cilh8" localSheetId="8">'[2]MA  Standardised units'!$Z$13</definedName>
    <definedName name="cilh8" localSheetId="9">'[3]MA  Standardised units'!$Z$13</definedName>
    <definedName name="cilh8" localSheetId="6">'[3]MA  Standardised units'!$Z$13</definedName>
    <definedName name="cilh8" localSheetId="0">'[2]MA  Standardised units'!$Z$13</definedName>
    <definedName name="cilh8" localSheetId="2">'[1]MA  Standardised units'!$Z$13</definedName>
    <definedName name="cilh8" localSheetId="3">'[1]MA  Standardised units'!$Z$13</definedName>
    <definedName name="cilh8" localSheetId="10">'[3]MA  Standardised units'!$Z$13</definedName>
    <definedName name="cilh8" localSheetId="7">'[3]MA  Standardised units'!$Z$13</definedName>
    <definedName name="cilh8">'[1]MA  Standardised units'!$Z$13</definedName>
    <definedName name="cilh9" localSheetId="5">'[1]MA  Standardised units'!$Z$14</definedName>
    <definedName name="cilh9" localSheetId="4">'[1]MA  Standardised units'!$Z$14</definedName>
    <definedName name="cilh9" localSheetId="8">'[2]MA  Standardised units'!$Z$14</definedName>
    <definedName name="cilh9" localSheetId="9">'[3]MA  Standardised units'!$Z$14</definedName>
    <definedName name="cilh9" localSheetId="6">'[3]MA  Standardised units'!$Z$14</definedName>
    <definedName name="cilh9" localSheetId="0">'[2]MA  Standardised units'!$Z$14</definedName>
    <definedName name="cilh9" localSheetId="2">'[1]MA  Standardised units'!$Z$14</definedName>
    <definedName name="cilh9" localSheetId="3">'[1]MA  Standardised units'!$Z$14</definedName>
    <definedName name="cilh9" localSheetId="10">'[3]MA  Standardised units'!$Z$14</definedName>
    <definedName name="cilh9" localSheetId="7">'[3]MA  Standardised units'!$Z$14</definedName>
    <definedName name="cilh9">'[1]MA  Standardised units'!$Z$14</definedName>
    <definedName name="CIoL" localSheetId="5">'CI and p'!$AF$1</definedName>
    <definedName name="CIoL">'[20]CI and p'!$O$3</definedName>
    <definedName name="CIoR" localSheetId="5">'CI and p'!$AF$8</definedName>
    <definedName name="CIoR">'[20]CI and p'!$O$5</definedName>
    <definedName name="cispl">#REF!</definedName>
    <definedName name="cisptbzl">#REF!</definedName>
    <definedName name="cisptbzu">#REF!</definedName>
    <definedName name="cispu">#REF!</definedName>
    <definedName name="cistl">#REF!</definedName>
    <definedName name="cisttbzl">#REF!</definedName>
    <definedName name="cisttbzu">#REF!</definedName>
    <definedName name="cistu">#REF!</definedName>
    <definedName name="CIts">'[20]CI function'!$AK$3</definedName>
    <definedName name="cldata1000" localSheetId="8">'[15]Sample r'!$I$16:$K$1015</definedName>
    <definedName name="cldata1000" localSheetId="9">'[16]Sample r'!$I$16:$K$1015</definedName>
    <definedName name="cldata1000" localSheetId="6">'[16]Sample r'!$I$16:$K$1015</definedName>
    <definedName name="cldata1000" localSheetId="10">'[16]Sample r'!$I$16:$K$1015</definedName>
    <definedName name="cldata1000" localSheetId="7">'[16]Sample r'!$I$16:$K$1015</definedName>
    <definedName name="cldata1000">'[15]Sample r'!$I$16:$K$1015</definedName>
    <definedName name="cldatath">'[17]Sample r'!$A$12:$C$1011</definedName>
    <definedName name="clear20" localSheetId="8">'[11]Fig 1'!$M$11</definedName>
    <definedName name="clear20" localSheetId="9">'[12]Fig 1'!$M$11</definedName>
    <definedName name="clear20" localSheetId="6">'[12]Fig 1'!$M$11</definedName>
    <definedName name="clear20" localSheetId="10">'[12]Fig 1'!$M$11</definedName>
    <definedName name="clear20" localSheetId="7">'[12]Fig 1'!$M$11</definedName>
    <definedName name="clear20">'[11]Fig 1'!$M$11</definedName>
    <definedName name="cleardisp" localSheetId="5">#REF!</definedName>
    <definedName name="cleardisp" localSheetId="4">CIjumping!$CB$6</definedName>
    <definedName name="cleardisp" localSheetId="8">#REF!</definedName>
    <definedName name="cleardisp" localSheetId="9">#REF!</definedName>
    <definedName name="cleardisp" localSheetId="6">#REF!</definedName>
    <definedName name="cleardisp" localSheetId="0">#REF!</definedName>
    <definedName name="cleardisp" localSheetId="2">Normal!#REF!</definedName>
    <definedName name="cleardisp" localSheetId="3">'Normal and t'!#REF!</definedName>
    <definedName name="cleardisp" localSheetId="10">#REF!</definedName>
    <definedName name="cleardisp" localSheetId="7">#REF!</definedName>
    <definedName name="cleardisp">[10]CIjumping!$AK$6</definedName>
    <definedName name="cleardisp1" localSheetId="5">#REF!</definedName>
    <definedName name="cleardisp1" localSheetId="4">#REF!</definedName>
    <definedName name="cleardisp1" localSheetId="8">#REF!</definedName>
    <definedName name="cleardisp1" localSheetId="9">#REF!</definedName>
    <definedName name="cleardisp1" localSheetId="6">#REF!</definedName>
    <definedName name="cleardisp1" localSheetId="0">#REF!</definedName>
    <definedName name="cleardisp1" localSheetId="2">#REF!</definedName>
    <definedName name="cleardisp1" localSheetId="3">#REF!</definedName>
    <definedName name="cleardisp1" localSheetId="10">#REF!</definedName>
    <definedName name="cleardisp1" localSheetId="7">#REF!</definedName>
    <definedName name="cleardisp1">#REF!</definedName>
    <definedName name="cleardispo">'[7]d heap'!$BD$4</definedName>
    <definedName name="cleardisps">[7]Sampling!$BD$4</definedName>
    <definedName name="conf" localSheetId="5">'[1]MA  Standardised units'!$K$2</definedName>
    <definedName name="conf" localSheetId="4">'[1]MA  Standardised units'!$K$2</definedName>
    <definedName name="conf" localSheetId="8">'[2]MA  Standardised units'!$K$2</definedName>
    <definedName name="conf" localSheetId="9">'[3]MA  Standardised units'!$K$2</definedName>
    <definedName name="conf" localSheetId="6">'[3]MA  Standardised units'!$K$2</definedName>
    <definedName name="conf" localSheetId="0">'[2]MA  Standardised units'!$K$2</definedName>
    <definedName name="conf" localSheetId="2">'[1]MA  Standardised units'!$K$2</definedName>
    <definedName name="conf" localSheetId="3">'[1]MA  Standardised units'!$K$2</definedName>
    <definedName name="conf" localSheetId="10">'[3]MA  Standardised units'!$K$2</definedName>
    <definedName name="conf" localSheetId="7">'[3]MA  Standardised units'!$K$2</definedName>
    <definedName name="conf">'[1]MA  Standardised units'!$K$2</definedName>
    <definedName name="conf1" localSheetId="5">'[1]MA  Standardised units'!$AD$6</definedName>
    <definedName name="conf1" localSheetId="4">'[1]MA  Standardised units'!$AD$6</definedName>
    <definedName name="conf1" localSheetId="8">'[2]MA  Standardised units'!$AD$6</definedName>
    <definedName name="conf1" localSheetId="9">'[3]MA  Standardised units'!$AD$6</definedName>
    <definedName name="conf1" localSheetId="6">'[3]MA  Standardised units'!$AD$6</definedName>
    <definedName name="conf1" localSheetId="0">'[2]MA  Standardised units'!$AD$6</definedName>
    <definedName name="conf1" localSheetId="2">'[1]MA  Standardised units'!$AD$6</definedName>
    <definedName name="conf1" localSheetId="3">'[1]MA  Standardised units'!$AD$6</definedName>
    <definedName name="conf1" localSheetId="10">'[3]MA  Standardised units'!$AD$6</definedName>
    <definedName name="conf1" localSheetId="7">'[3]MA  Standardised units'!$AD$6</definedName>
    <definedName name="conf1">'[1]MA  Standardised units'!$AD$6</definedName>
    <definedName name="conf10" localSheetId="5">'[1]MA  Standardised units'!$AD$15</definedName>
    <definedName name="conf10" localSheetId="4">'[1]MA  Standardised units'!$AD$15</definedName>
    <definedName name="conf10" localSheetId="8">'[2]MA  Standardised units'!$AD$15</definedName>
    <definedName name="conf10" localSheetId="9">'[3]MA  Standardised units'!$AD$15</definedName>
    <definedName name="conf10" localSheetId="6">'[3]MA  Standardised units'!$AD$15</definedName>
    <definedName name="conf10" localSheetId="0">'[2]MA  Standardised units'!$AD$15</definedName>
    <definedName name="conf10" localSheetId="2">'[1]MA  Standardised units'!$AD$15</definedName>
    <definedName name="conf10" localSheetId="3">'[1]MA  Standardised units'!$AD$15</definedName>
    <definedName name="conf10" localSheetId="10">'[3]MA  Standardised units'!$AD$15</definedName>
    <definedName name="conf10" localSheetId="7">'[3]MA  Standardised units'!$AD$15</definedName>
    <definedName name="conf10">'[1]MA  Standardised units'!$AD$15</definedName>
    <definedName name="conf11" localSheetId="5">'[1]MA  Standardised units'!$AD$18</definedName>
    <definedName name="conf11" localSheetId="4">'[1]MA  Standardised units'!$AD$18</definedName>
    <definedName name="conf11" localSheetId="8">'[2]MA  Standardised units'!$AD$18</definedName>
    <definedName name="conf11" localSheetId="9">'[3]MA  Standardised units'!$AD$18</definedName>
    <definedName name="conf11" localSheetId="6">'[3]MA  Standardised units'!$AD$18</definedName>
    <definedName name="conf11" localSheetId="0">'[2]MA  Standardised units'!$AD$18</definedName>
    <definedName name="conf11" localSheetId="2">'[1]MA  Standardised units'!$AD$18</definedName>
    <definedName name="conf11" localSheetId="3">'[1]MA  Standardised units'!$AD$18</definedName>
    <definedName name="conf11" localSheetId="10">'[3]MA  Standardised units'!$AD$18</definedName>
    <definedName name="conf11" localSheetId="7">'[3]MA  Standardised units'!$AD$18</definedName>
    <definedName name="conf11">'[1]MA  Standardised units'!$AD$18</definedName>
    <definedName name="conf12" localSheetId="5">'[1]MA  Standardised units'!$AD$21</definedName>
    <definedName name="conf12" localSheetId="4">'[1]MA  Standardised units'!$AD$21</definedName>
    <definedName name="conf12" localSheetId="8">'[2]MA  Standardised units'!$AD$21</definedName>
    <definedName name="conf12" localSheetId="9">'[3]MA  Standardised units'!$AD$21</definedName>
    <definedName name="conf12" localSheetId="6">'[3]MA  Standardised units'!$AD$21</definedName>
    <definedName name="conf12" localSheetId="0">'[2]MA  Standardised units'!$AD$21</definedName>
    <definedName name="conf12" localSheetId="2">'[1]MA  Standardised units'!$AD$21</definedName>
    <definedName name="conf12" localSheetId="3">'[1]MA  Standardised units'!$AD$21</definedName>
    <definedName name="conf12" localSheetId="10">'[3]MA  Standardised units'!$AD$21</definedName>
    <definedName name="conf12" localSheetId="7">'[3]MA  Standardised units'!$AD$21</definedName>
    <definedName name="conf12">'[1]MA  Standardised units'!$AD$21</definedName>
    <definedName name="conf13" localSheetId="5">'[1]MA  Standardised units'!$AD$24</definedName>
    <definedName name="conf13" localSheetId="4">'[1]MA  Standardised units'!$AD$24</definedName>
    <definedName name="conf13" localSheetId="8">'[2]MA  Standardised units'!$AD$24</definedName>
    <definedName name="conf13" localSheetId="9">'[3]MA  Standardised units'!$AD$24</definedName>
    <definedName name="conf13" localSheetId="6">'[3]MA  Standardised units'!$AD$24</definedName>
    <definedName name="conf13" localSheetId="0">'[2]MA  Standardised units'!$AD$24</definedName>
    <definedName name="conf13" localSheetId="2">'[1]MA  Standardised units'!$AD$24</definedName>
    <definedName name="conf13" localSheetId="3">'[1]MA  Standardised units'!$AD$24</definedName>
    <definedName name="conf13" localSheetId="10">'[3]MA  Standardised units'!$AD$24</definedName>
    <definedName name="conf13" localSheetId="7">'[3]MA  Standardised units'!$AD$24</definedName>
    <definedName name="conf13">'[1]MA  Standardised units'!$AD$24</definedName>
    <definedName name="conf2" localSheetId="5">'[1]MA  Standardised units'!$AD$7</definedName>
    <definedName name="conf2" localSheetId="4">'[1]MA  Standardised units'!$AD$7</definedName>
    <definedName name="conf2" localSheetId="8">'[2]MA  Standardised units'!$AD$7</definedName>
    <definedName name="conf2" localSheetId="9">'[3]MA  Standardised units'!$AD$7</definedName>
    <definedName name="conf2" localSheetId="6">'[3]MA  Standardised units'!$AD$7</definedName>
    <definedName name="conf2" localSheetId="0">'[2]MA  Standardised units'!$AD$7</definedName>
    <definedName name="conf2" localSheetId="2">'[1]MA  Standardised units'!$AD$7</definedName>
    <definedName name="conf2" localSheetId="3">'[1]MA  Standardised units'!$AD$7</definedName>
    <definedName name="conf2" localSheetId="10">'[3]MA  Standardised units'!$AD$7</definedName>
    <definedName name="conf2" localSheetId="7">'[3]MA  Standardised units'!$AD$7</definedName>
    <definedName name="conf2">'[1]MA  Standardised units'!$AD$7</definedName>
    <definedName name="conf3" localSheetId="5">'[1]MA  Standardised units'!$AD$8</definedName>
    <definedName name="conf3" localSheetId="4">'[1]MA  Standardised units'!$AD$8</definedName>
    <definedName name="conf3" localSheetId="8">'[2]MA  Standardised units'!$AD$8</definedName>
    <definedName name="conf3" localSheetId="9">'[3]MA  Standardised units'!$AD$8</definedName>
    <definedName name="conf3" localSheetId="6">'[3]MA  Standardised units'!$AD$8</definedName>
    <definedName name="conf3" localSheetId="0">'[2]MA  Standardised units'!$AD$8</definedName>
    <definedName name="conf3" localSheetId="2">'[1]MA  Standardised units'!$AD$8</definedName>
    <definedName name="conf3" localSheetId="3">'[1]MA  Standardised units'!$AD$8</definedName>
    <definedName name="conf3" localSheetId="10">'[3]MA  Standardised units'!$AD$8</definedName>
    <definedName name="conf3" localSheetId="7">'[3]MA  Standardised units'!$AD$8</definedName>
    <definedName name="conf3">'[1]MA  Standardised units'!$AD$8</definedName>
    <definedName name="conf4" localSheetId="5">'[1]MA  Standardised units'!$AD$9</definedName>
    <definedName name="conf4" localSheetId="4">'[1]MA  Standardised units'!$AD$9</definedName>
    <definedName name="conf4" localSheetId="8">'[2]MA  Standardised units'!$AD$9</definedName>
    <definedName name="conf4" localSheetId="9">'[3]MA  Standardised units'!$AD$9</definedName>
    <definedName name="conf4" localSheetId="6">'[3]MA  Standardised units'!$AD$9</definedName>
    <definedName name="conf4" localSheetId="0">'[2]MA  Standardised units'!$AD$9</definedName>
    <definedName name="conf4" localSheetId="2">'[1]MA  Standardised units'!$AD$9</definedName>
    <definedName name="conf4" localSheetId="3">'[1]MA  Standardised units'!$AD$9</definedName>
    <definedName name="conf4" localSheetId="10">'[3]MA  Standardised units'!$AD$9</definedName>
    <definedName name="conf4" localSheetId="7">'[3]MA  Standardised units'!$AD$9</definedName>
    <definedName name="conf4">'[1]MA  Standardised units'!$AD$9</definedName>
    <definedName name="conf5" localSheetId="5">'[1]MA  Standardised units'!$AD$10</definedName>
    <definedName name="conf5" localSheetId="4">'[1]MA  Standardised units'!$AD$10</definedName>
    <definedName name="conf5" localSheetId="8">'[2]MA  Standardised units'!$AD$10</definedName>
    <definedName name="conf5" localSheetId="9">'[3]MA  Standardised units'!$AD$10</definedName>
    <definedName name="conf5" localSheetId="6">'[3]MA  Standardised units'!$AD$10</definedName>
    <definedName name="conf5" localSheetId="0">'[2]MA  Standardised units'!$AD$10</definedName>
    <definedName name="conf5" localSheetId="2">'[1]MA  Standardised units'!$AD$10</definedName>
    <definedName name="conf5" localSheetId="3">'[1]MA  Standardised units'!$AD$10</definedName>
    <definedName name="conf5" localSheetId="10">'[3]MA  Standardised units'!$AD$10</definedName>
    <definedName name="conf5" localSheetId="7">'[3]MA  Standardised units'!$AD$10</definedName>
    <definedName name="conf5">'[1]MA  Standardised units'!$AD$10</definedName>
    <definedName name="conf6" localSheetId="5">'[1]MA  Standardised units'!$AD$11</definedName>
    <definedName name="conf6" localSheetId="4">'[1]MA  Standardised units'!$AD$11</definedName>
    <definedName name="conf6" localSheetId="8">'[2]MA  Standardised units'!$AD$11</definedName>
    <definedName name="conf6" localSheetId="9">'[3]MA  Standardised units'!$AD$11</definedName>
    <definedName name="conf6" localSheetId="6">'[3]MA  Standardised units'!$AD$11</definedName>
    <definedName name="conf6" localSheetId="0">'[2]MA  Standardised units'!$AD$11</definedName>
    <definedName name="conf6" localSheetId="2">'[1]MA  Standardised units'!$AD$11</definedName>
    <definedName name="conf6" localSheetId="3">'[1]MA  Standardised units'!$AD$11</definedName>
    <definedName name="conf6" localSheetId="10">'[3]MA  Standardised units'!$AD$11</definedName>
    <definedName name="conf6" localSheetId="7">'[3]MA  Standardised units'!$AD$11</definedName>
    <definedName name="conf6">'[1]MA  Standardised units'!$AD$11</definedName>
    <definedName name="conf7" localSheetId="5">'[1]MA  Standardised units'!$AD$12</definedName>
    <definedName name="conf7" localSheetId="4">'[1]MA  Standardised units'!$AD$12</definedName>
    <definedName name="conf7" localSheetId="8">'[2]MA  Standardised units'!$AD$12</definedName>
    <definedName name="conf7" localSheetId="9">'[3]MA  Standardised units'!$AD$12</definedName>
    <definedName name="conf7" localSheetId="6">'[3]MA  Standardised units'!$AD$12</definedName>
    <definedName name="conf7" localSheetId="0">'[2]MA  Standardised units'!$AD$12</definedName>
    <definedName name="conf7" localSheetId="2">'[1]MA  Standardised units'!$AD$12</definedName>
    <definedName name="conf7" localSheetId="3">'[1]MA  Standardised units'!$AD$12</definedName>
    <definedName name="conf7" localSheetId="10">'[3]MA  Standardised units'!$AD$12</definedName>
    <definedName name="conf7" localSheetId="7">'[3]MA  Standardised units'!$AD$12</definedName>
    <definedName name="conf7">'[1]MA  Standardised units'!$AD$12</definedName>
    <definedName name="conf8" localSheetId="5">'[1]MA  Standardised units'!$AD$13</definedName>
    <definedName name="conf8" localSheetId="4">'[1]MA  Standardised units'!$AD$13</definedName>
    <definedName name="conf8" localSheetId="8">'[2]MA  Standardised units'!$AD$13</definedName>
    <definedName name="conf8" localSheetId="9">'[3]MA  Standardised units'!$AD$13</definedName>
    <definedName name="conf8" localSheetId="6">'[3]MA  Standardised units'!$AD$13</definedName>
    <definedName name="conf8" localSheetId="0">'[2]MA  Standardised units'!$AD$13</definedName>
    <definedName name="conf8" localSheetId="2">'[1]MA  Standardised units'!$AD$13</definedName>
    <definedName name="conf8" localSheetId="3">'[1]MA  Standardised units'!$AD$13</definedName>
    <definedName name="conf8" localSheetId="10">'[3]MA  Standardised units'!$AD$13</definedName>
    <definedName name="conf8" localSheetId="7">'[3]MA  Standardised units'!$AD$13</definedName>
    <definedName name="conf8">'[1]MA  Standardised units'!$AD$13</definedName>
    <definedName name="conf9" localSheetId="5">'[1]MA  Standardised units'!$AD$14</definedName>
    <definedName name="conf9" localSheetId="4">'[1]MA  Standardised units'!$AD$14</definedName>
    <definedName name="conf9" localSheetId="8">'[2]MA  Standardised units'!$AD$14</definedName>
    <definedName name="conf9" localSheetId="9">'[3]MA  Standardised units'!$AD$14</definedName>
    <definedName name="conf9" localSheetId="6">'[3]MA  Standardised units'!$AD$14</definedName>
    <definedName name="conf9" localSheetId="0">'[2]MA  Standardised units'!$AD$14</definedName>
    <definedName name="conf9" localSheetId="2">'[1]MA  Standardised units'!$AD$14</definedName>
    <definedName name="conf9" localSheetId="3">'[1]MA  Standardised units'!$AD$14</definedName>
    <definedName name="conf9" localSheetId="10">'[3]MA  Standardised units'!$AD$14</definedName>
    <definedName name="conf9" localSheetId="7">'[3]MA  Standardised units'!$AD$14</definedName>
    <definedName name="conf9">'[1]MA  Standardised units'!$AD$14</definedName>
    <definedName name="copyn" localSheetId="5">'[1]MA  Standardised units'!$AC$2</definedName>
    <definedName name="copyn" localSheetId="4">'[1]MA  Standardised units'!$AC$2</definedName>
    <definedName name="copyn" localSheetId="8">'[2]MA  Standardised units'!$AC$2</definedName>
    <definedName name="copyn" localSheetId="9">'[3]MA  Standardised units'!$AC$2</definedName>
    <definedName name="copyn" localSheetId="6">'[3]MA  Standardised units'!$AC$2</definedName>
    <definedName name="copyn" localSheetId="0">'[2]MA  Standardised units'!$AC$2</definedName>
    <definedName name="copyn" localSheetId="2">'[1]MA  Standardised units'!$AC$2</definedName>
    <definedName name="copyn" localSheetId="3">'[1]MA  Standardised units'!$AC$2</definedName>
    <definedName name="copyn" localSheetId="10">'[3]MA  Standardised units'!$AC$2</definedName>
    <definedName name="copyn" localSheetId="7">'[3]MA  Standardised units'!$AC$2</definedName>
    <definedName name="copyn">'[1]MA  Standardised units'!$AC$2</definedName>
    <definedName name="copyt" localSheetId="5">'[1]MA  Standardised units'!$AC$3</definedName>
    <definedName name="copyt" localSheetId="4">'[1]MA  Standardised units'!$AC$3</definedName>
    <definedName name="copyt" localSheetId="8">'[2]MA  Standardised units'!$AC$3</definedName>
    <definedName name="copyt" localSheetId="9">'[3]MA  Standardised units'!$AC$3</definedName>
    <definedName name="copyt" localSheetId="6">'[3]MA  Standardised units'!$AC$3</definedName>
    <definedName name="copyt" localSheetId="0">'[2]MA  Standardised units'!$AC$3</definedName>
    <definedName name="copyt" localSheetId="2">'[1]MA  Standardised units'!$AC$3</definedName>
    <definedName name="copyt" localSheetId="3">'[1]MA  Standardised units'!$AC$3</definedName>
    <definedName name="copyt" localSheetId="10">'[3]MA  Standardised units'!$AC$3</definedName>
    <definedName name="copyt" localSheetId="7">'[3]MA  Standardised units'!$AC$3</definedName>
    <definedName name="copyt">'[1]MA  Standardised units'!$AC$3</definedName>
    <definedName name="copyt1" localSheetId="5">'[1]MA  Standardised units'!$Y$6</definedName>
    <definedName name="copyt1" localSheetId="4">'[1]MA  Standardised units'!$Y$6</definedName>
    <definedName name="copyt1" localSheetId="8">'[2]MA  Standardised units'!$Y$6</definedName>
    <definedName name="copyt1" localSheetId="9">'[3]MA  Standardised units'!$Y$6</definedName>
    <definedName name="copyt1" localSheetId="6">'[3]MA  Standardised units'!$Y$6</definedName>
    <definedName name="copyt1" localSheetId="0">'[2]MA  Standardised units'!$Y$6</definedName>
    <definedName name="copyt1" localSheetId="2">'[1]MA  Standardised units'!$Y$6</definedName>
    <definedName name="copyt1" localSheetId="3">'[1]MA  Standardised units'!$Y$6</definedName>
    <definedName name="copyt1" localSheetId="10">'[3]MA  Standardised units'!$Y$6</definedName>
    <definedName name="copyt1" localSheetId="7">'[3]MA  Standardised units'!$Y$6</definedName>
    <definedName name="copyt1">'[1]MA  Standardised units'!$Y$6</definedName>
    <definedName name="copyt10" localSheetId="5">'[1]MA  Standardised units'!$Y$15</definedName>
    <definedName name="copyt10" localSheetId="4">'[1]MA  Standardised units'!$Y$15</definedName>
    <definedName name="copyt10" localSheetId="8">'[2]MA  Standardised units'!$Y$15</definedName>
    <definedName name="copyt10" localSheetId="9">'[3]MA  Standardised units'!$Y$15</definedName>
    <definedName name="copyt10" localSheetId="6">'[3]MA  Standardised units'!$Y$15</definedName>
    <definedName name="copyt10" localSheetId="0">'[2]MA  Standardised units'!$Y$15</definedName>
    <definedName name="copyt10" localSheetId="2">'[1]MA  Standardised units'!$Y$15</definedName>
    <definedName name="copyt10" localSheetId="3">'[1]MA  Standardised units'!$Y$15</definedName>
    <definedName name="copyt10" localSheetId="10">'[3]MA  Standardised units'!$Y$15</definedName>
    <definedName name="copyt10" localSheetId="7">'[3]MA  Standardised units'!$Y$15</definedName>
    <definedName name="copyt10">'[1]MA  Standardised units'!$Y$15</definedName>
    <definedName name="copyt11" localSheetId="5">'[1]MA  Standardised units'!$Y$18</definedName>
    <definedName name="copyt11" localSheetId="4">'[1]MA  Standardised units'!$Y$18</definedName>
    <definedName name="copyt11" localSheetId="8">'[2]MA  Standardised units'!$Y$18</definedName>
    <definedName name="copyt11" localSheetId="9">'[3]MA  Standardised units'!$Y$18</definedName>
    <definedName name="copyt11" localSheetId="6">'[3]MA  Standardised units'!$Y$18</definedName>
    <definedName name="copyt11" localSheetId="0">'[2]MA  Standardised units'!$Y$18</definedName>
    <definedName name="copyt11" localSheetId="2">'[1]MA  Standardised units'!$Y$18</definedName>
    <definedName name="copyt11" localSheetId="3">'[1]MA  Standardised units'!$Y$18</definedName>
    <definedName name="copyt11" localSheetId="10">'[3]MA  Standardised units'!$Y$18</definedName>
    <definedName name="copyt11" localSheetId="7">'[3]MA  Standardised units'!$Y$18</definedName>
    <definedName name="copyt11">'[1]MA  Standardised units'!$Y$18</definedName>
    <definedName name="copyt12" localSheetId="5">'[1]MA  Standardised units'!$Y$21</definedName>
    <definedName name="copyt12" localSheetId="4">'[1]MA  Standardised units'!$Y$21</definedName>
    <definedName name="copyt12" localSheetId="8">'[2]MA  Standardised units'!$Y$21</definedName>
    <definedName name="copyt12" localSheetId="9">'[3]MA  Standardised units'!$Y$21</definedName>
    <definedName name="copyt12" localSheetId="6">'[3]MA  Standardised units'!$Y$21</definedName>
    <definedName name="copyt12" localSheetId="0">'[2]MA  Standardised units'!$Y$21</definedName>
    <definedName name="copyt12" localSheetId="2">'[1]MA  Standardised units'!$Y$21</definedName>
    <definedName name="copyt12" localSheetId="3">'[1]MA  Standardised units'!$Y$21</definedName>
    <definedName name="copyt12" localSheetId="10">'[3]MA  Standardised units'!$Y$21</definedName>
    <definedName name="copyt12" localSheetId="7">'[3]MA  Standardised units'!$Y$21</definedName>
    <definedName name="copyt12">'[1]MA  Standardised units'!$Y$21</definedName>
    <definedName name="copyt13" localSheetId="5">'[1]MA  Standardised units'!$Y$24</definedName>
    <definedName name="copyt13" localSheetId="4">'[1]MA  Standardised units'!$Y$24</definedName>
    <definedName name="copyt13" localSheetId="8">'[2]MA  Standardised units'!$Y$24</definedName>
    <definedName name="copyt13" localSheetId="9">'[3]MA  Standardised units'!$Y$24</definedName>
    <definedName name="copyt13" localSheetId="6">'[3]MA  Standardised units'!$Y$24</definedName>
    <definedName name="copyt13" localSheetId="0">'[2]MA  Standardised units'!$Y$24</definedName>
    <definedName name="copyt13" localSheetId="2">'[1]MA  Standardised units'!$Y$24</definedName>
    <definedName name="copyt13" localSheetId="3">'[1]MA  Standardised units'!$Y$24</definedName>
    <definedName name="copyt13" localSheetId="10">'[3]MA  Standardised units'!$Y$24</definedName>
    <definedName name="copyt13" localSheetId="7">'[3]MA  Standardised units'!$Y$24</definedName>
    <definedName name="copyt13">'[1]MA  Standardised units'!$Y$24</definedName>
    <definedName name="copyt2" localSheetId="5">'[1]MA  Standardised units'!$Y$7</definedName>
    <definedName name="copyt2" localSheetId="4">'[1]MA  Standardised units'!$Y$7</definedName>
    <definedName name="copyt2" localSheetId="8">'[2]MA  Standardised units'!$Y$7</definedName>
    <definedName name="copyt2" localSheetId="9">'[3]MA  Standardised units'!$Y$7</definedName>
    <definedName name="copyt2" localSheetId="6">'[3]MA  Standardised units'!$Y$7</definedName>
    <definedName name="copyt2" localSheetId="0">'[2]MA  Standardised units'!$Y$7</definedName>
    <definedName name="copyt2" localSheetId="2">'[1]MA  Standardised units'!$Y$7</definedName>
    <definedName name="copyt2" localSheetId="3">'[1]MA  Standardised units'!$Y$7</definedName>
    <definedName name="copyt2" localSheetId="10">'[3]MA  Standardised units'!$Y$7</definedName>
    <definedName name="copyt2" localSheetId="7">'[3]MA  Standardised units'!$Y$7</definedName>
    <definedName name="copyt2">'[1]MA  Standardised units'!$Y$7</definedName>
    <definedName name="copyt3" localSheetId="5">'[1]MA  Standardised units'!$Y$8</definedName>
    <definedName name="copyt3" localSheetId="4">'[1]MA  Standardised units'!$Y$8</definedName>
    <definedName name="copyt3" localSheetId="8">'[2]MA  Standardised units'!$Y$8</definedName>
    <definedName name="copyt3" localSheetId="9">'[3]MA  Standardised units'!$Y$8</definedName>
    <definedName name="copyt3" localSheetId="6">'[3]MA  Standardised units'!$Y$8</definedName>
    <definedName name="copyt3" localSheetId="0">'[2]MA  Standardised units'!$Y$8</definedName>
    <definedName name="copyt3" localSheetId="2">'[1]MA  Standardised units'!$Y$8</definedName>
    <definedName name="copyt3" localSheetId="3">'[1]MA  Standardised units'!$Y$8</definedName>
    <definedName name="copyt3" localSheetId="10">'[3]MA  Standardised units'!$Y$8</definedName>
    <definedName name="copyt3" localSheetId="7">'[3]MA  Standardised units'!$Y$8</definedName>
    <definedName name="copyt3">'[1]MA  Standardised units'!$Y$8</definedName>
    <definedName name="copyt4" localSheetId="5">'[1]MA  Standardised units'!$Y$9</definedName>
    <definedName name="copyt4" localSheetId="4">'[1]MA  Standardised units'!$Y$9</definedName>
    <definedName name="copyt4" localSheetId="8">'[2]MA  Standardised units'!$Y$9</definedName>
    <definedName name="copyt4" localSheetId="9">'[3]MA  Standardised units'!$Y$9</definedName>
    <definedName name="copyt4" localSheetId="6">'[3]MA  Standardised units'!$Y$9</definedName>
    <definedName name="copyt4" localSheetId="0">'[2]MA  Standardised units'!$Y$9</definedName>
    <definedName name="copyt4" localSheetId="2">'[1]MA  Standardised units'!$Y$9</definedName>
    <definedName name="copyt4" localSheetId="3">'[1]MA  Standardised units'!$Y$9</definedName>
    <definedName name="copyt4" localSheetId="10">'[3]MA  Standardised units'!$Y$9</definedName>
    <definedName name="copyt4" localSheetId="7">'[3]MA  Standardised units'!$Y$9</definedName>
    <definedName name="copyt4">'[1]MA  Standardised units'!$Y$9</definedName>
    <definedName name="copyt5" localSheetId="5">'[1]MA  Standardised units'!$Y$10</definedName>
    <definedName name="copyt5" localSheetId="4">'[1]MA  Standardised units'!$Y$10</definedName>
    <definedName name="copyt5" localSheetId="8">'[2]MA  Standardised units'!$Y$10</definedName>
    <definedName name="copyt5" localSheetId="9">'[3]MA  Standardised units'!$Y$10</definedName>
    <definedName name="copyt5" localSheetId="6">'[3]MA  Standardised units'!$Y$10</definedName>
    <definedName name="copyt5" localSheetId="0">'[2]MA  Standardised units'!$Y$10</definedName>
    <definedName name="copyt5" localSheetId="2">'[1]MA  Standardised units'!$Y$10</definedName>
    <definedName name="copyt5" localSheetId="3">'[1]MA  Standardised units'!$Y$10</definedName>
    <definedName name="copyt5" localSheetId="10">'[3]MA  Standardised units'!$Y$10</definedName>
    <definedName name="copyt5" localSheetId="7">'[3]MA  Standardised units'!$Y$10</definedName>
    <definedName name="copyt5">'[1]MA  Standardised units'!$Y$10</definedName>
    <definedName name="copyt6" localSheetId="5">'[1]MA  Standardised units'!$Y$11</definedName>
    <definedName name="copyt6" localSheetId="4">'[1]MA  Standardised units'!$Y$11</definedName>
    <definedName name="copyt6" localSheetId="8">'[2]MA  Standardised units'!$Y$11</definedName>
    <definedName name="copyt6" localSheetId="9">'[3]MA  Standardised units'!$Y$11</definedName>
    <definedName name="copyt6" localSheetId="6">'[3]MA  Standardised units'!$Y$11</definedName>
    <definedName name="copyt6" localSheetId="0">'[2]MA  Standardised units'!$Y$11</definedName>
    <definedName name="copyt6" localSheetId="2">'[1]MA  Standardised units'!$Y$11</definedName>
    <definedName name="copyt6" localSheetId="3">'[1]MA  Standardised units'!$Y$11</definedName>
    <definedName name="copyt6" localSheetId="10">'[3]MA  Standardised units'!$Y$11</definedName>
    <definedName name="copyt6" localSheetId="7">'[3]MA  Standardised units'!$Y$11</definedName>
    <definedName name="copyt6">'[1]MA  Standardised units'!$Y$11</definedName>
    <definedName name="copyt7" localSheetId="5">'[1]MA  Standardised units'!$Y$12</definedName>
    <definedName name="copyt7" localSheetId="4">'[1]MA  Standardised units'!$Y$12</definedName>
    <definedName name="copyt7" localSheetId="8">'[2]MA  Standardised units'!$Y$12</definedName>
    <definedName name="copyt7" localSheetId="9">'[3]MA  Standardised units'!$Y$12</definedName>
    <definedName name="copyt7" localSheetId="6">'[3]MA  Standardised units'!$Y$12</definedName>
    <definedName name="copyt7" localSheetId="0">'[2]MA  Standardised units'!$Y$12</definedName>
    <definedName name="copyt7" localSheetId="2">'[1]MA  Standardised units'!$Y$12</definedName>
    <definedName name="copyt7" localSheetId="3">'[1]MA  Standardised units'!$Y$12</definedName>
    <definedName name="copyt7" localSheetId="10">'[3]MA  Standardised units'!$Y$12</definedName>
    <definedName name="copyt7" localSheetId="7">'[3]MA  Standardised units'!$Y$12</definedName>
    <definedName name="copyt7">'[1]MA  Standardised units'!$Y$12</definedName>
    <definedName name="copyt8" localSheetId="5">'[1]MA  Standardised units'!$Y$13</definedName>
    <definedName name="copyt8" localSheetId="4">'[1]MA  Standardised units'!$Y$13</definedName>
    <definedName name="copyt8" localSheetId="8">'[2]MA  Standardised units'!$Y$13</definedName>
    <definedName name="copyt8" localSheetId="9">'[3]MA  Standardised units'!$Y$13</definedName>
    <definedName name="copyt8" localSheetId="6">'[3]MA  Standardised units'!$Y$13</definedName>
    <definedName name="copyt8" localSheetId="0">'[2]MA  Standardised units'!$Y$13</definedName>
    <definedName name="copyt8" localSheetId="2">'[1]MA  Standardised units'!$Y$13</definedName>
    <definedName name="copyt8" localSheetId="3">'[1]MA  Standardised units'!$Y$13</definedName>
    <definedName name="copyt8" localSheetId="10">'[3]MA  Standardised units'!$Y$13</definedName>
    <definedName name="copyt8" localSheetId="7">'[3]MA  Standardised units'!$Y$13</definedName>
    <definedName name="copyt8">'[1]MA  Standardised units'!$Y$13</definedName>
    <definedName name="copyt9" localSheetId="5">'[1]MA  Standardised units'!$Y$14</definedName>
    <definedName name="copyt9" localSheetId="4">'[1]MA  Standardised units'!$Y$14</definedName>
    <definedName name="copyt9" localSheetId="8">'[2]MA  Standardised units'!$Y$14</definedName>
    <definedName name="copyt9" localSheetId="9">'[3]MA  Standardised units'!$Y$14</definedName>
    <definedName name="copyt9" localSheetId="6">'[3]MA  Standardised units'!$Y$14</definedName>
    <definedName name="copyt9" localSheetId="0">'[2]MA  Standardised units'!$Y$14</definedName>
    <definedName name="copyt9" localSheetId="2">'[1]MA  Standardised units'!$Y$14</definedName>
    <definedName name="copyt9" localSheetId="3">'[1]MA  Standardised units'!$Y$14</definedName>
    <definedName name="copyt9" localSheetId="10">'[3]MA  Standardised units'!$Y$14</definedName>
    <definedName name="copyt9" localSheetId="7">'[3]MA  Standardised units'!$Y$14</definedName>
    <definedName name="copyt9">'[1]MA  Standardised units'!$Y$14</definedName>
    <definedName name="countcapt" localSheetId="5">#REF!</definedName>
    <definedName name="countcapt" localSheetId="4">CIjumping!$CD$8</definedName>
    <definedName name="countcapt" localSheetId="8">#REF!</definedName>
    <definedName name="countcapt" localSheetId="9">#REF!</definedName>
    <definedName name="countcapt" localSheetId="6">#REF!</definedName>
    <definedName name="countcapt" localSheetId="0">#REF!</definedName>
    <definedName name="countcapt" localSheetId="2">Normal!$BB$15</definedName>
    <definedName name="countcapt" localSheetId="3">'Normal and t'!$BG$15</definedName>
    <definedName name="countcapt" localSheetId="10">#REF!</definedName>
    <definedName name="countcapt" localSheetId="7">#REF!</definedName>
    <definedName name="countcapt">[10]CIjumping!$AM$8</definedName>
    <definedName name="countcaptM" localSheetId="8">[21]Replication!$AS$6</definedName>
    <definedName name="countcaptM" localSheetId="9">[22]Replication!$AS$6</definedName>
    <definedName name="countcaptM" localSheetId="6">[22]Replication!$AS$6</definedName>
    <definedName name="countcaptM" localSheetId="10">[22]Replication!$AS$6</definedName>
    <definedName name="countcaptM" localSheetId="7">[22]Replication!$AS$6</definedName>
    <definedName name="countcaptM">[21]Replication!$AS$6</definedName>
    <definedName name="countnextcapt" localSheetId="8">[6]CIjumping!$BM$11</definedName>
    <definedName name="countnextcapt" localSheetId="9">[6]CIjumping!$BM$11</definedName>
    <definedName name="countnextcapt" localSheetId="6">[6]CIjumping!$BM$11</definedName>
    <definedName name="countnextcapt" localSheetId="10">[6]CIjumping!$BM$11</definedName>
    <definedName name="countnextcapt" localSheetId="7">[6]CIjumping!$BM$11</definedName>
    <definedName name="countnextcapt">CIjumping!$CZ$11</definedName>
    <definedName name="countsone" localSheetId="5">#REF!</definedName>
    <definedName name="countsone" localSheetId="4">#REF!</definedName>
    <definedName name="countsone" localSheetId="8">#REF!</definedName>
    <definedName name="countsone" localSheetId="9">#REF!</definedName>
    <definedName name="countsone" localSheetId="6">#REF!</definedName>
    <definedName name="countsone" localSheetId="0">#REF!</definedName>
    <definedName name="countsone" localSheetId="2">#REF!</definedName>
    <definedName name="countsone" localSheetId="3">#REF!</definedName>
    <definedName name="countsone" localSheetId="10">#REF!</definedName>
    <definedName name="countsone" localSheetId="7">#REF!</definedName>
    <definedName name="countsone">#REF!</definedName>
    <definedName name="ctgforseed">#REF!</definedName>
    <definedName name="ctgseed">#REF!</definedName>
    <definedName name="Ctobezero" localSheetId="5">#REF!</definedName>
    <definedName name="Ctobezero" localSheetId="8">'[18]Vary C'!$N$8</definedName>
    <definedName name="Ctobezero" localSheetId="9">'[19]Vary C'!$N$8</definedName>
    <definedName name="Ctobezero" localSheetId="6">'[19]Vary C'!$N$8</definedName>
    <definedName name="Ctobezero" localSheetId="10">'[19]Vary C'!$N$8</definedName>
    <definedName name="Ctobezero" localSheetId="7">'[19]Vary C'!$N$8</definedName>
    <definedName name="Ctobezero">'[18]Vary C'!$N$8</definedName>
    <definedName name="dancep">#REF!</definedName>
    <definedName name="dancespeed">#REF!</definedName>
    <definedName name="dat11two">'Data two'!$BJ$8:$BJ$1008</definedName>
    <definedName name="dat12two">'Data two'!$BM$8:$BM$1008</definedName>
    <definedName name="dat1two" localSheetId="8">'[8]Data two'!$BJ$8:$BJ$1008,'[8]Data two'!$BM$8:$BM$1008</definedName>
    <definedName name="dat1two" localSheetId="9">'[8]Data two'!$BJ$8:$BJ$1008,'[8]Data two'!$BM$8:$BM$1008</definedName>
    <definedName name="dat1two" localSheetId="10">'[8]Data two'!$BJ$8:$BJ$1008,'[8]Data two'!$BM$8:$BM$1008</definedName>
    <definedName name="dat1two" localSheetId="7">'[8]Data two'!$BJ$8:$BJ$1008,'[8]Data two'!$BM$8:$BM$1008</definedName>
    <definedName name="dat1two">'Data two'!$BJ$8:$BJ$1008,'Data two'!$BM$8:$BM$1008</definedName>
    <definedName name="dat21two">'Data two'!$BR$8:$BR$1008</definedName>
    <definedName name="dat22two">'Data two'!$BU$8:$BU$1008</definedName>
    <definedName name="dat31two">'Data two'!$BZ$8:$BZ$1008</definedName>
    <definedName name="dat32two">'Data two'!$CC$8:$CC$1008</definedName>
    <definedName name="data1two">'Data two'!$F$8</definedName>
    <definedName name="data2two">'Data two'!$I$8</definedName>
    <definedName name="data300" localSheetId="8">[6]Describe!$AC$4:$AC$303</definedName>
    <definedName name="data300" localSheetId="9">[6]Describe!$AC$4:$AC$303</definedName>
    <definedName name="data300" localSheetId="6">[6]Describe!$AC$4:$AC$303</definedName>
    <definedName name="data300" localSheetId="10">[6]Describe!$AC$4:$AC$303</definedName>
    <definedName name="data300" localSheetId="7">[6]Describe!$AC$4:$AC$303</definedName>
    <definedName name="data300a">Describe!$BJ$9:$BJ$308</definedName>
    <definedName name="data300b">Describe!$BQ$9:$BQ$308</definedName>
    <definedName name="data300c">Describe!$BX$9:$BX$308</definedName>
    <definedName name="data300x">Describe!$F$2:$F$301</definedName>
    <definedName name="DataPairedGrab" localSheetId="9">'Data paired'!$C$5:$C$10</definedName>
    <definedName name="DataPairedGrab" localSheetId="10">'Summary paired'!$C$5:$C$11</definedName>
    <definedName name="DataPairedGrab">'[8]Data paired'!$C$5:$C$10</definedName>
    <definedName name="DataPairedPut" localSheetId="9">'Data paired'!$B$5:$B$10</definedName>
    <definedName name="DataPairedPut" localSheetId="10">'Summary paired'!$B$5:$B$11</definedName>
    <definedName name="DataPairedPut">'[8]Data paired'!$B$5:$B$10</definedName>
    <definedName name="dataport" localSheetId="8">[6]Describe!$F$2:$F$37</definedName>
    <definedName name="dataport" localSheetId="9">[6]Describe!$F$2:$F$37</definedName>
    <definedName name="dataport" localSheetId="6">[6]Describe!$F$2:$F$37</definedName>
    <definedName name="dataport" localSheetId="10">[6]Describe!$F$2:$F$37</definedName>
    <definedName name="dataport" localSheetId="7">[6]Describe!$F$2:$F$37</definedName>
    <definedName name="dataport">Describe!#REF!</definedName>
    <definedName name="dataportkbins" localSheetId="5">[23]Data!$F$2:$F$37,[23]Data!$T$37</definedName>
    <definedName name="dataportkbins" localSheetId="4">[24]Data!$F$2:$F$37,[24]Data!$T$37</definedName>
    <definedName name="dataportkbins" localSheetId="8">[23]Data!$F$2:$F$37,[23]Data!$T$37</definedName>
    <definedName name="dataportkbins" localSheetId="9">[25]Data!$F$2:$F$37,[25]Data!$T$37</definedName>
    <definedName name="dataportkbins" localSheetId="6">[25]Data!$F$2:$F$37,[25]Data!$T$37</definedName>
    <definedName name="dataportkbins" localSheetId="0">[26]Data!$F$2:$F$37,[26]Data!$T$37</definedName>
    <definedName name="dataportkbins" localSheetId="2">[24]Data!$F$2:$F$37,[24]Data!$T$37</definedName>
    <definedName name="dataportkbins" localSheetId="3">[24]Data!$F$2:$F$37,[24]Data!$T$37</definedName>
    <definedName name="dataportkbins" localSheetId="10">[25]Data!$F$2:$F$37,[25]Data!$T$37</definedName>
    <definedName name="dataportkbins" localSheetId="7">[25]Data!$F$2:$F$37,[25]Data!$T$37</definedName>
    <definedName name="dataportkbins">Describe!#REF!,Describe!$X$37</definedName>
    <definedName name="datapts">'[27]Case 1 Single Group'!$C$7:$C$106</definedName>
    <definedName name="datapts1">#REF!</definedName>
    <definedName name="datapts2">#REF!</definedName>
    <definedName name="dataput" localSheetId="8">[6]Describe!$AC$4</definedName>
    <definedName name="dataput" localSheetId="9">[6]Describe!$AC$4</definedName>
    <definedName name="dataput" localSheetId="6">[6]Describe!$AC$4</definedName>
    <definedName name="dataput" localSheetId="10">[6]Describe!$AC$4</definedName>
    <definedName name="dataput" localSheetId="7">[6]Describe!$AC$4</definedName>
    <definedName name="dataput">Describe!$F$2</definedName>
    <definedName name="DataTwoGrab" localSheetId="7">'Summary two'!$C$4:$C$10</definedName>
    <definedName name="DataTwoGrab">'Data two'!$C$4:$C$10</definedName>
    <definedName name="DataTwoPut" localSheetId="7">'Summary two'!$B$4:$B$10</definedName>
    <definedName name="DataTwoPut">'Data two'!$B$4:$B$10</definedName>
    <definedName name="descaone">Describe!$BL$5:$BL$6</definedName>
    <definedName name="descathree">Describe!$BZ$5:$BZ$6</definedName>
    <definedName name="descatwo">Describe!$BS$5:$BS$6</definedName>
    <definedName name="descbone">Describe!$BJ$8</definedName>
    <definedName name="descbthree">Describe!$BX$8</definedName>
    <definedName name="descbtwo">Describe!$BQ$8</definedName>
    <definedName name="desclaba">Describe!$C$6:$C$7</definedName>
    <definedName name="desclabb">Describe!$C$9</definedName>
    <definedName name="diffzero" localSheetId="8">'[4]Two proportions'!$AC$3</definedName>
    <definedName name="diffzero" localSheetId="9">'[5]Two proportions'!$AC$3</definedName>
    <definedName name="diffzero" localSheetId="6">'[5]Two proportions'!$AC$3</definedName>
    <definedName name="diffzero" localSheetId="10">'[5]Two proportions'!$AC$3</definedName>
    <definedName name="diffzero" localSheetId="7">'[5]Two proportions'!$AC$3</definedName>
    <definedName name="diffzero">'[4]Two proportions'!$AC$3</definedName>
    <definedName name="dispaxes" localSheetId="8">'[15]Calculate r'!$AX$4</definedName>
    <definedName name="dispaxes" localSheetId="9">'[16]Calculate r'!$AX$4</definedName>
    <definedName name="dispaxes" localSheetId="6">'[16]Calculate r'!$AX$4</definedName>
    <definedName name="dispaxes" localSheetId="10">'[16]Calculate r'!$AX$4</definedName>
    <definedName name="dispaxes" localSheetId="7">'[16]Calculate r'!$AX$4</definedName>
    <definedName name="dispaxes">'[15]Calculate r'!$AX$4</definedName>
    <definedName name="DispBin" localSheetId="8">'[4]Two proportions'!$AT$6</definedName>
    <definedName name="DispBin" localSheetId="9">'[5]Two proportions'!$AT$6</definedName>
    <definedName name="DispBin" localSheetId="6">'[5]Two proportions'!$AT$6</definedName>
    <definedName name="DispBin" localSheetId="10">'[5]Two proportions'!$AT$6</definedName>
    <definedName name="DispBin" localSheetId="7">'[5]Two proportions'!$AT$6</definedName>
    <definedName name="DispBin">'[4]Two proportions'!$AT$6</definedName>
    <definedName name="dispcidsp">#REF!</definedName>
    <definedName name="DispComp" localSheetId="8">'[4]Two proportions'!$P$22</definedName>
    <definedName name="DispComp" localSheetId="9">'[5]Two proportions'!$P$22</definedName>
    <definedName name="DispComp" localSheetId="6">'[5]Two proportions'!$P$22</definedName>
    <definedName name="DispComp" localSheetId="10">'[5]Two proportions'!$P$22</definedName>
    <definedName name="DispComp" localSheetId="7">'[5]Two proportions'!$P$22</definedName>
    <definedName name="DispComp">'[4]Two proportions'!$P$22</definedName>
    <definedName name="dispddp" localSheetId="9">'Data paired'!$C$3</definedName>
    <definedName name="dispddp" localSheetId="10">'Summary paired'!$C$3</definedName>
    <definedName name="dispddp">'[8]Data paired'!$C$3</definedName>
    <definedName name="dispddt" localSheetId="7">'Summary two'!$S$77</definedName>
    <definedName name="dispddt">'Data two'!$X$77</definedName>
    <definedName name="dispdiffaxis">#REF!</definedName>
    <definedName name="DispDiffProp" localSheetId="8">'[4]Two proportions'!$R$23</definedName>
    <definedName name="DispDiffProp" localSheetId="9">'[5]Two proportions'!$R$23</definedName>
    <definedName name="DispDiffProp" localSheetId="6">'[5]Two proportions'!$R$23</definedName>
    <definedName name="DispDiffProp" localSheetId="10">'[5]Two proportions'!$R$23</definedName>
    <definedName name="DispDiffProp" localSheetId="7">'[5]Two proportions'!$R$23</definedName>
    <definedName name="DispDiffProp">'[4]Two proportions'!$R$23</definedName>
    <definedName name="DispDiffsData" localSheetId="8">'[4]Two proportions'!$AO$6</definedName>
    <definedName name="DispDiffsData" localSheetId="9">'[5]Two proportions'!$AO$6</definedName>
    <definedName name="DispDiffsData" localSheetId="6">'[5]Two proportions'!$AO$6</definedName>
    <definedName name="DispDiffsData" localSheetId="10">'[5]Two proportions'!$AO$6</definedName>
    <definedName name="DispDiffsData" localSheetId="7">'[5]Two proportions'!$AO$6</definedName>
    <definedName name="DispDiffsData">'[4]Two proportions'!$AO$6</definedName>
    <definedName name="dispdsp">#REF!</definedName>
    <definedName name="dispdst">#REF!</definedName>
    <definedName name="disph">'[8]One proportion'!$B$7</definedName>
    <definedName name="dispmean">CIjumping!$CD$6</definedName>
    <definedName name="dispmeans" localSheetId="8">'[15]Calculate r'!$AX$3</definedName>
    <definedName name="dispmeans" localSheetId="9">'[16]Calculate r'!$AX$3</definedName>
    <definedName name="dispmeans" localSheetId="6">'[16]Calculate r'!$AX$3</definedName>
    <definedName name="dispmeans" localSheetId="10">'[16]Calculate r'!$AX$3</definedName>
    <definedName name="dispmeans" localSheetId="7">'[16]Calculate r'!$AX$3</definedName>
    <definedName name="dispmeans">'[15]Calculate r'!$AX$3</definedName>
    <definedName name="dispnow">#REF!</definedName>
    <definedName name="dispOK" localSheetId="8">'[15]Sample r'!$N$19</definedName>
    <definedName name="dispOK" localSheetId="9">'[16]Sample r'!$N$19</definedName>
    <definedName name="dispOK" localSheetId="6">'[16]Sample r'!$N$19</definedName>
    <definedName name="dispOK" localSheetId="10">'[16]Sample r'!$N$19</definedName>
    <definedName name="dispOK" localSheetId="7">'[16]Sample r'!$N$19</definedName>
    <definedName name="dispOK">'[15]Sample r'!$N$19</definedName>
    <definedName name="dispp">'[9]Two proportions'!$C$9</definedName>
    <definedName name="disppowerspair">#REF!</definedName>
    <definedName name="disppowerst">#REF!</definedName>
    <definedName name="dispreg">[8]Scatterplots!$DS$2</definedName>
    <definedName name="Dispt" localSheetId="5">'CI and p'!#REF!</definedName>
    <definedName name="Dispt" localSheetId="8">'[11]Fig 5'!$O$2</definedName>
    <definedName name="Dispt" localSheetId="9">'[12]Fig 5'!$O$2</definedName>
    <definedName name="Dispt" localSheetId="6">'[12]Fig 5'!$O$2</definedName>
    <definedName name="Dispt" localSheetId="10">'[12]Fig 5'!$O$2</definedName>
    <definedName name="Dispt" localSheetId="7">'[12]Fig 5'!$O$2</definedName>
    <definedName name="Dispt">'[11]Fig 5'!$O$2</definedName>
    <definedName name="dispzplot">[8]Scatterplots!$DH$1</definedName>
    <definedName name="dispzzplot">[8]Scatterplots!$DK$1</definedName>
    <definedName name="dlend" localSheetId="8">'d picture'!$AL$5</definedName>
    <definedName name="dlend">#REF!</definedName>
    <definedName name="dll">'[7]CI for d'!$Q$32</definedName>
    <definedName name="dotstf" localSheetId="8">[6]Describe!$T$36</definedName>
    <definedName name="dotstf" localSheetId="9">[6]Describe!$T$36</definedName>
    <definedName name="dotstf" localSheetId="6">[6]Describe!$T$36</definedName>
    <definedName name="dotstf" localSheetId="10">[6]Describe!$T$36</definedName>
    <definedName name="dotstf" localSheetId="7">[6]Describe!$T$36</definedName>
    <definedName name="dotstf">Describe!$X$36</definedName>
    <definedName name="dpark" localSheetId="8">'d picture'!$I$2</definedName>
    <definedName name="dpark">#REF!</definedName>
    <definedName name="dpd1dat" localSheetId="9">'Data paired'!$BH$7:$BI$307</definedName>
    <definedName name="dpd1dat">'[8]Data paired'!$BH$7:$BI$307</definedName>
    <definedName name="dpd1name" localSheetId="9">'Data paired'!$BI$4:$BI$5</definedName>
    <definedName name="dpd1name">'[8]Data paired'!$BI$4:$BI$5</definedName>
    <definedName name="dpd2dat" localSheetId="9">'Data paired'!$BM$7:$BN$307</definedName>
    <definedName name="dpd2dat">'[8]Data paired'!$BM$7:$BN$307</definedName>
    <definedName name="dpd2name" localSheetId="9">'Data paired'!$BN$4:$BN$5</definedName>
    <definedName name="dpd2name">'[8]Data paired'!$BN$4:$BN$5</definedName>
    <definedName name="dpd3dat" localSheetId="9">'Data paired'!$BR$7:$BS$307</definedName>
    <definedName name="dpd3dat">'[8]Data paired'!$BR$7:$BS$307</definedName>
    <definedName name="dpd3name" localSheetId="9">'Data paired'!$BS$4:$BS$5</definedName>
    <definedName name="dpd3name">'[8]Data paired'!$BS$4:$BS$5</definedName>
    <definedName name="dpddat" localSheetId="9">'Data paired'!$F$8:$G$8</definedName>
    <definedName name="dpddat">'[8]Data paired'!$F$8:$G$8</definedName>
    <definedName name="dpdname" localSheetId="9">'Data paired'!$G$5:$G$6</definedName>
    <definedName name="dpdname">'[8]Data paired'!$G$5:$G$6</definedName>
    <definedName name="dptsone" localSheetId="5">#REF!</definedName>
    <definedName name="dptsone" localSheetId="4">#REF!</definedName>
    <definedName name="dptsone" localSheetId="8">#REF!</definedName>
    <definedName name="dptsone" localSheetId="9">#REF!</definedName>
    <definedName name="dptsone" localSheetId="6">#REF!</definedName>
    <definedName name="dptsone" localSheetId="0">#REF!</definedName>
    <definedName name="dptsone" localSheetId="2">#REF!</definedName>
    <definedName name="dptsone" localSheetId="3">#REF!</definedName>
    <definedName name="dptsone" localSheetId="10">#REF!</definedName>
    <definedName name="dptsone" localSheetId="7">#REF!</definedName>
    <definedName name="dptsone">#REF!</definedName>
    <definedName name="dptspair" localSheetId="5">#REF!</definedName>
    <definedName name="dptspair" localSheetId="4">#REF!</definedName>
    <definedName name="dptspair" localSheetId="8">#REF!</definedName>
    <definedName name="dptspair" localSheetId="9">'Data paired'!$F$9:$G$1008</definedName>
    <definedName name="dptspair" localSheetId="6">#REF!</definedName>
    <definedName name="dptspair" localSheetId="0">#REF!</definedName>
    <definedName name="dptspair" localSheetId="2">#REF!</definedName>
    <definedName name="dptspair" localSheetId="3">#REF!</definedName>
    <definedName name="dptspair" localSheetId="10">'Summary paired'!#REF!</definedName>
    <definedName name="dptspair" localSheetId="7">#REF!</definedName>
    <definedName name="dptspair">#REF!</definedName>
    <definedName name="dptsprops" localSheetId="5">'[28]Two proportions'!$G$8,'[28]Two proportions'!$I$8,'[28]Two proportions'!$G$11,'[28]Two proportions'!$I$11</definedName>
    <definedName name="dptsprops" localSheetId="4">#REF!,#REF!,#REF!,#REF!</definedName>
    <definedName name="dptsprops" localSheetId="8">#REF!,#REF!,#REF!,#REF!</definedName>
    <definedName name="dptsprops" localSheetId="9">#REF!,#REF!,#REF!,#REF!</definedName>
    <definedName name="dptsprops" localSheetId="6">#REF!,#REF!,#REF!,#REF!</definedName>
    <definedName name="dptsprops" localSheetId="0">#REF!,#REF!,#REF!,#REF!</definedName>
    <definedName name="dptsprops" localSheetId="2">#REF!,#REF!,#REF!,#REF!</definedName>
    <definedName name="dptsprops" localSheetId="3">#REF!,#REF!,#REF!,#REF!</definedName>
    <definedName name="dptsprops" localSheetId="10">#REF!,#REF!,#REF!,#REF!</definedName>
    <definedName name="dptsprops" localSheetId="7">#REF!,#REF!,#REF!,#REF!</definedName>
    <definedName name="dptsprops">#REF!,#REF!,#REF!,#REF!</definedName>
    <definedName name="dptstwo" localSheetId="5">#REF!,#REF!</definedName>
    <definedName name="dptstwo" localSheetId="4">'[29]Data Two'!$B$7:$B$1006,'[29]Data Two'!$E$7:$E$1006</definedName>
    <definedName name="dptstwo" localSheetId="8">#REF!,#REF!</definedName>
    <definedName name="dptstwo" localSheetId="9">'[30]Data Two'!$B$7:$B$1006,'[30]Data Two'!$E$7:$E$1006</definedName>
    <definedName name="dptstwo" localSheetId="6">'Data two'!$F$8:$F$1008,'Data two'!$I$8:$I$1008</definedName>
    <definedName name="dptstwo" localSheetId="0">#REF!,#REF!</definedName>
    <definedName name="dptstwo" localSheetId="2">'[29]Data Two'!$B$7:$B$1006,'[29]Data Two'!$E$7:$E$1006</definedName>
    <definedName name="dptstwo" localSheetId="3">'[29]Data Two'!$B$7:$B$1006,'[29]Data Two'!$E$7:$E$1006</definedName>
    <definedName name="dptstwo" localSheetId="10">'[30]Data Two'!$B$7:$B$1006,'[30]Data Two'!$E$7:$E$1006</definedName>
    <definedName name="dptstwo" localSheetId="7">'Summary two'!#REF!,'Summary two'!#REF!</definedName>
    <definedName name="dptstwo">#REF!,#REF!</definedName>
    <definedName name="drawdata300" localSheetId="8">[6]Describe!$BH$4:$BH$303</definedName>
    <definedName name="drawdata300" localSheetId="9">[6]Describe!$BH$4:$BH$303</definedName>
    <definedName name="drawdata300" localSheetId="6">[6]Describe!$BH$4:$BH$303</definedName>
    <definedName name="drawdata300" localSheetId="10">[6]Describe!$BH$4:$BH$303</definedName>
    <definedName name="drawdata300" localSheetId="7">[6]Describe!$BH$4:$BH$303</definedName>
    <definedName name="drawdata300">Describe!$CS$4:$CS$303</definedName>
    <definedName name="drend" localSheetId="8">'d picture'!$AL$6</definedName>
    <definedName name="drend">#REF!</definedName>
    <definedName name="dropmean">CIjumping!$CG$2</definedName>
    <definedName name="dul">'[7]CI for d'!$U$32</definedName>
    <definedName name="Dunits">Describe!$C$7</definedName>
    <definedName name="dval1" localSheetId="5">'[1]MA  Standardised units'!$F$6</definedName>
    <definedName name="dval1" localSheetId="4">'[1]MA  Standardised units'!$F$6</definedName>
    <definedName name="dval1" localSheetId="8">'[2]MA  Standardised units'!$F$6</definedName>
    <definedName name="dval1" localSheetId="9">'[3]MA  Standardised units'!$F$6</definedName>
    <definedName name="dval1" localSheetId="6">'[3]MA  Standardised units'!$F$6</definedName>
    <definedName name="dval1" localSheetId="0">'[2]MA  Standardised units'!$F$6</definedName>
    <definedName name="dval1" localSheetId="2">'[1]MA  Standardised units'!$F$6</definedName>
    <definedName name="dval1" localSheetId="3">'[1]MA  Standardised units'!$F$6</definedName>
    <definedName name="dval1" localSheetId="10">'[3]MA  Standardised units'!$F$6</definedName>
    <definedName name="dval1" localSheetId="7">'[3]MA  Standardised units'!$F$6</definedName>
    <definedName name="dval1">'[1]MA  Standardised units'!$F$6</definedName>
    <definedName name="dval10" localSheetId="5">'[1]MA  Standardised units'!$F$15</definedName>
    <definedName name="dval10" localSheetId="4">'[1]MA  Standardised units'!$F$15</definedName>
    <definedName name="dval10" localSheetId="8">'[2]MA  Standardised units'!$F$15</definedName>
    <definedName name="dval10" localSheetId="9">'[3]MA  Standardised units'!$F$15</definedName>
    <definedName name="dval10" localSheetId="6">'[3]MA  Standardised units'!$F$15</definedName>
    <definedName name="dval10" localSheetId="0">'[2]MA  Standardised units'!$F$15</definedName>
    <definedName name="dval10" localSheetId="2">'[1]MA  Standardised units'!$F$15</definedName>
    <definedName name="dval10" localSheetId="3">'[1]MA  Standardised units'!$F$15</definedName>
    <definedName name="dval10" localSheetId="10">'[3]MA  Standardised units'!$F$15</definedName>
    <definedName name="dval10" localSheetId="7">'[3]MA  Standardised units'!$F$15</definedName>
    <definedName name="dval10">'[1]MA  Standardised units'!$F$15</definedName>
    <definedName name="dval11" localSheetId="5">'[1]MA  Standardised units'!$F$18</definedName>
    <definedName name="dval11" localSheetId="4">'[1]MA  Standardised units'!$F$18</definedName>
    <definedName name="dval11" localSheetId="8">'[2]MA  Standardised units'!$F$18</definedName>
    <definedName name="dval11" localSheetId="9">'[3]MA  Standardised units'!$F$18</definedName>
    <definedName name="dval11" localSheetId="6">'[3]MA  Standardised units'!$F$18</definedName>
    <definedName name="dval11" localSheetId="0">'[2]MA  Standardised units'!$F$18</definedName>
    <definedName name="dval11" localSheetId="2">'[1]MA  Standardised units'!$F$18</definedName>
    <definedName name="dval11" localSheetId="3">'[1]MA  Standardised units'!$F$18</definedName>
    <definedName name="dval11" localSheetId="10">'[3]MA  Standardised units'!$F$18</definedName>
    <definedName name="dval11" localSheetId="7">'[3]MA  Standardised units'!$F$18</definedName>
    <definedName name="dval11">'[1]MA  Standardised units'!$F$18</definedName>
    <definedName name="dval12" localSheetId="5">'[1]MA  Standardised units'!$F$21</definedName>
    <definedName name="dval12" localSheetId="4">'[1]MA  Standardised units'!$F$21</definedName>
    <definedName name="dval12" localSheetId="8">'[2]MA  Standardised units'!$F$21</definedName>
    <definedName name="dval12" localSheetId="9">'[3]MA  Standardised units'!$F$21</definedName>
    <definedName name="dval12" localSheetId="6">'[3]MA  Standardised units'!$F$21</definedName>
    <definedName name="dval12" localSheetId="0">'[2]MA  Standardised units'!$F$21</definedName>
    <definedName name="dval12" localSheetId="2">'[1]MA  Standardised units'!$F$21</definedName>
    <definedName name="dval12" localSheetId="3">'[1]MA  Standardised units'!$F$21</definedName>
    <definedName name="dval12" localSheetId="10">'[3]MA  Standardised units'!$F$21</definedName>
    <definedName name="dval12" localSheetId="7">'[3]MA  Standardised units'!$F$21</definedName>
    <definedName name="dval12">'[1]MA  Standardised units'!$F$21</definedName>
    <definedName name="dval13" localSheetId="5">'[1]MA  Standardised units'!$F$24</definedName>
    <definedName name="dval13" localSheetId="4">'[1]MA  Standardised units'!$F$24</definedName>
    <definedName name="dval13" localSheetId="8">'[2]MA  Standardised units'!$F$24</definedName>
    <definedName name="dval13" localSheetId="9">'[3]MA  Standardised units'!$F$24</definedName>
    <definedName name="dval13" localSheetId="6">'[3]MA  Standardised units'!$F$24</definedName>
    <definedName name="dval13" localSheetId="0">'[2]MA  Standardised units'!$F$24</definedName>
    <definedName name="dval13" localSheetId="2">'[1]MA  Standardised units'!$F$24</definedName>
    <definedName name="dval13" localSheetId="3">'[1]MA  Standardised units'!$F$24</definedName>
    <definedName name="dval13" localSheetId="10">'[3]MA  Standardised units'!$F$24</definedName>
    <definedName name="dval13" localSheetId="7">'[3]MA  Standardised units'!$F$24</definedName>
    <definedName name="dval13">'[1]MA  Standardised units'!$F$24</definedName>
    <definedName name="dval2" localSheetId="5">'[1]MA  Standardised units'!$F$7</definedName>
    <definedName name="dval2" localSheetId="4">'[1]MA  Standardised units'!$F$7</definedName>
    <definedName name="dval2" localSheetId="8">'[2]MA  Standardised units'!$F$7</definedName>
    <definedName name="dval2" localSheetId="9">'[3]MA  Standardised units'!$F$7</definedName>
    <definedName name="dval2" localSheetId="6">'[3]MA  Standardised units'!$F$7</definedName>
    <definedName name="dval2" localSheetId="0">'[2]MA  Standardised units'!$F$7</definedName>
    <definedName name="dval2" localSheetId="2">'[1]MA  Standardised units'!$F$7</definedName>
    <definedName name="dval2" localSheetId="3">'[1]MA  Standardised units'!$F$7</definedName>
    <definedName name="dval2" localSheetId="10">'[3]MA  Standardised units'!$F$7</definedName>
    <definedName name="dval2" localSheetId="7">'[3]MA  Standardised units'!$F$7</definedName>
    <definedName name="dval2">'[1]MA  Standardised units'!$F$7</definedName>
    <definedName name="dval3" localSheetId="5">'[1]MA  Standardised units'!$F$8</definedName>
    <definedName name="dval3" localSheetId="4">'[1]MA  Standardised units'!$F$8</definedName>
    <definedName name="dval3" localSheetId="8">'[2]MA  Standardised units'!$F$8</definedName>
    <definedName name="dval3" localSheetId="9">'[3]MA  Standardised units'!$F$8</definedName>
    <definedName name="dval3" localSheetId="6">'[3]MA  Standardised units'!$F$8</definedName>
    <definedName name="dval3" localSheetId="0">'[2]MA  Standardised units'!$F$8</definedName>
    <definedName name="dval3" localSheetId="2">'[1]MA  Standardised units'!$F$8</definedName>
    <definedName name="dval3" localSheetId="3">'[1]MA  Standardised units'!$F$8</definedName>
    <definedName name="dval3" localSheetId="10">'[3]MA  Standardised units'!$F$8</definedName>
    <definedName name="dval3" localSheetId="7">'[3]MA  Standardised units'!$F$8</definedName>
    <definedName name="dval3">'[1]MA  Standardised units'!$F$8</definedName>
    <definedName name="dval4" localSheetId="5">'[1]MA  Standardised units'!$F$9</definedName>
    <definedName name="dval4" localSheetId="4">'[1]MA  Standardised units'!$F$9</definedName>
    <definedName name="dval4" localSheetId="8">'[2]MA  Standardised units'!$F$9</definedName>
    <definedName name="dval4" localSheetId="9">'[3]MA  Standardised units'!$F$9</definedName>
    <definedName name="dval4" localSheetId="6">'[3]MA  Standardised units'!$F$9</definedName>
    <definedName name="dval4" localSheetId="0">'[2]MA  Standardised units'!$F$9</definedName>
    <definedName name="dval4" localSheetId="2">'[1]MA  Standardised units'!$F$9</definedName>
    <definedName name="dval4" localSheetId="3">'[1]MA  Standardised units'!$F$9</definedName>
    <definedName name="dval4" localSheetId="10">'[3]MA  Standardised units'!$F$9</definedName>
    <definedName name="dval4" localSheetId="7">'[3]MA  Standardised units'!$F$9</definedName>
    <definedName name="dval4">'[1]MA  Standardised units'!$F$9</definedName>
    <definedName name="dval5" localSheetId="5">'[1]MA  Standardised units'!$F$10</definedName>
    <definedName name="dval5" localSheetId="4">'[1]MA  Standardised units'!$F$10</definedName>
    <definedName name="dval5" localSheetId="8">'[2]MA  Standardised units'!$F$10</definedName>
    <definedName name="dval5" localSheetId="9">'[3]MA  Standardised units'!$F$10</definedName>
    <definedName name="dval5" localSheetId="6">'[3]MA  Standardised units'!$F$10</definedName>
    <definedName name="dval5" localSheetId="0">'[2]MA  Standardised units'!$F$10</definedName>
    <definedName name="dval5" localSheetId="2">'[1]MA  Standardised units'!$F$10</definedName>
    <definedName name="dval5" localSheetId="3">'[1]MA  Standardised units'!$F$10</definedName>
    <definedName name="dval5" localSheetId="10">'[3]MA  Standardised units'!$F$10</definedName>
    <definedName name="dval5" localSheetId="7">'[3]MA  Standardised units'!$F$10</definedName>
    <definedName name="dval5">'[1]MA  Standardised units'!$F$10</definedName>
    <definedName name="dval6" localSheetId="5">'[1]MA  Standardised units'!$F$11</definedName>
    <definedName name="dval6" localSheetId="4">'[1]MA  Standardised units'!$F$11</definedName>
    <definedName name="dval6" localSheetId="8">'[2]MA  Standardised units'!$F$11</definedName>
    <definedName name="dval6" localSheetId="9">'[3]MA  Standardised units'!$F$11</definedName>
    <definedName name="dval6" localSheetId="6">'[3]MA  Standardised units'!$F$11</definedName>
    <definedName name="dval6" localSheetId="0">'[2]MA  Standardised units'!$F$11</definedName>
    <definedName name="dval6" localSheetId="2">'[1]MA  Standardised units'!$F$11</definedName>
    <definedName name="dval6" localSheetId="3">'[1]MA  Standardised units'!$F$11</definedName>
    <definedName name="dval6" localSheetId="10">'[3]MA  Standardised units'!$F$11</definedName>
    <definedName name="dval6" localSheetId="7">'[3]MA  Standardised units'!$F$11</definedName>
    <definedName name="dval6">'[1]MA  Standardised units'!$F$11</definedName>
    <definedName name="dval7" localSheetId="5">'[1]MA  Standardised units'!$F$12</definedName>
    <definedName name="dval7" localSheetId="4">'[1]MA  Standardised units'!$F$12</definedName>
    <definedName name="dval7" localSheetId="8">'[2]MA  Standardised units'!$F$12</definedName>
    <definedName name="dval7" localSheetId="9">'[3]MA  Standardised units'!$F$12</definedName>
    <definedName name="dval7" localSheetId="6">'[3]MA  Standardised units'!$F$12</definedName>
    <definedName name="dval7" localSheetId="0">'[2]MA  Standardised units'!$F$12</definedName>
    <definedName name="dval7" localSheetId="2">'[1]MA  Standardised units'!$F$12</definedName>
    <definedName name="dval7" localSheetId="3">'[1]MA  Standardised units'!$F$12</definedName>
    <definedName name="dval7" localSheetId="10">'[3]MA  Standardised units'!$F$12</definedName>
    <definedName name="dval7" localSheetId="7">'[3]MA  Standardised units'!$F$12</definedName>
    <definedName name="dval7">'[1]MA  Standardised units'!$F$12</definedName>
    <definedName name="dval8" localSheetId="5">'[1]MA  Standardised units'!$F$13</definedName>
    <definedName name="dval8" localSheetId="4">'[1]MA  Standardised units'!$F$13</definedName>
    <definedName name="dval8" localSheetId="8">'[2]MA  Standardised units'!$F$13</definedName>
    <definedName name="dval8" localSheetId="9">'[3]MA  Standardised units'!$F$13</definedName>
    <definedName name="dval8" localSheetId="6">'[3]MA  Standardised units'!$F$13</definedName>
    <definedName name="dval8" localSheetId="0">'[2]MA  Standardised units'!$F$13</definedName>
    <definedName name="dval8" localSheetId="2">'[1]MA  Standardised units'!$F$13</definedName>
    <definedName name="dval8" localSheetId="3">'[1]MA  Standardised units'!$F$13</definedName>
    <definedName name="dval8" localSheetId="10">'[3]MA  Standardised units'!$F$13</definedName>
    <definedName name="dval8" localSheetId="7">'[3]MA  Standardised units'!$F$13</definedName>
    <definedName name="dval8">'[1]MA  Standardised units'!$F$13</definedName>
    <definedName name="dval9" localSheetId="5">'[1]MA  Standardised units'!$F$14</definedName>
    <definedName name="dval9" localSheetId="4">'[1]MA  Standardised units'!$F$14</definedName>
    <definedName name="dval9" localSheetId="8">'[2]MA  Standardised units'!$F$14</definedName>
    <definedName name="dval9" localSheetId="9">'[3]MA  Standardised units'!$F$14</definedName>
    <definedName name="dval9" localSheetId="6">'[3]MA  Standardised units'!$F$14</definedName>
    <definedName name="dval9" localSheetId="0">'[2]MA  Standardised units'!$F$14</definedName>
    <definedName name="dval9" localSheetId="2">'[1]MA  Standardised units'!$F$14</definedName>
    <definedName name="dval9" localSheetId="3">'[1]MA  Standardised units'!$F$14</definedName>
    <definedName name="dval9" localSheetId="10">'[3]MA  Standardised units'!$F$14</definedName>
    <definedName name="dval9" localSheetId="7">'[3]MA  Standardised units'!$F$14</definedName>
    <definedName name="dval9">'[1]MA  Standardised units'!$F$14</definedName>
    <definedName name="equivncpdp" localSheetId="9">'Data paired'!$B$21:$C$21</definedName>
    <definedName name="equivncpdp" localSheetId="10">'Summary paired'!$B$22:$C$22</definedName>
    <definedName name="equivncpdp">'[8]Data paired'!$B$21:$C$21</definedName>
    <definedName name="equivncpdt" localSheetId="7">'Summary two'!$B$20:$C$20</definedName>
    <definedName name="equivncpdt">'Data two'!$B$20:$C$20</definedName>
    <definedName name="equivncpsp">#REF!</definedName>
    <definedName name="equivncpst">#REF!</definedName>
    <definedName name="f9za1">#REF!</definedName>
    <definedName name="f9za2">#REF!</definedName>
    <definedName name="f9za3">#REF!</definedName>
    <definedName name="f9za4">#REF!</definedName>
    <definedName name="f9zb3">#REF!</definedName>
    <definedName name="f9zb4">#REF!</definedName>
    <definedName name="fig1disp">#REF!</definedName>
    <definedName name="Fig1Rand" localSheetId="8">'[11]Fig 1'!$M$8:$R$8</definedName>
    <definedName name="Fig1Rand" localSheetId="9">'[12]Fig 1'!$M$8:$R$8</definedName>
    <definedName name="Fig1Rand" localSheetId="6">'[12]Fig 1'!$M$8:$R$8</definedName>
    <definedName name="Fig1Rand" localSheetId="10">'[12]Fig 1'!$M$8:$R$8</definedName>
    <definedName name="Fig1Rand" localSheetId="7">'[12]Fig 1'!$M$8:$R$8</definedName>
    <definedName name="Fig1Rand">'[11]Fig 1'!$M$8:$R$8</definedName>
    <definedName name="Fig1SeedN" localSheetId="8">'[11]Fig 1'!$M$9</definedName>
    <definedName name="Fig1SeedN" localSheetId="9">'[12]Fig 1'!$M$9</definedName>
    <definedName name="Fig1SeedN" localSheetId="6">'[12]Fig 1'!$M$9</definedName>
    <definedName name="Fig1SeedN" localSheetId="10">'[12]Fig 1'!$M$9</definedName>
    <definedName name="Fig1SeedN" localSheetId="7">'[12]Fig 1'!$M$9</definedName>
    <definedName name="Fig1SeedN">'[11]Fig 1'!$M$9</definedName>
    <definedName name="fig2disp">#REF!</definedName>
    <definedName name="Fig2Rand" localSheetId="8">'[18]Fig 2'!$J$13:$L$13</definedName>
    <definedName name="Fig2Rand" localSheetId="9">'[19]Fig 2'!$J$13:$L$13</definedName>
    <definedName name="Fig2Rand" localSheetId="6">'[19]Fig 2'!$J$13:$L$13</definedName>
    <definedName name="Fig2Rand" localSheetId="10">'[19]Fig 2'!$J$13:$L$13</definedName>
    <definedName name="Fig2Rand" localSheetId="7">'[19]Fig 2'!$J$13:$L$13</definedName>
    <definedName name="Fig2Rand">'[18]Fig 2'!$J$13:$L$13</definedName>
    <definedName name="Fig2SeedN" localSheetId="8">'[18]Fig 2'!$J$14:$L$14</definedName>
    <definedName name="Fig2SeedN" localSheetId="9">'[19]Fig 2'!$J$14:$L$14</definedName>
    <definedName name="Fig2SeedN" localSheetId="6">'[19]Fig 2'!$J$14:$L$14</definedName>
    <definedName name="Fig2SeedN" localSheetId="10">'[19]Fig 2'!$J$14:$L$14</definedName>
    <definedName name="Fig2SeedN" localSheetId="7">'[19]Fig 2'!$J$14:$L$14</definedName>
    <definedName name="Fig2SeedN">'[18]Fig 2'!$J$14:$L$14</definedName>
    <definedName name="fig3disp">#REF!</definedName>
    <definedName name="fig4disp">#REF!</definedName>
    <definedName name="fig5disp">#REF!</definedName>
    <definedName name="figdisplength">#REF!</definedName>
    <definedName name="figfivedisp">#REF!</definedName>
    <definedName name="figfourdisp">#REF!</definedName>
    <definedName name="figonedisp">#REF!</definedName>
    <definedName name="figthreedisp">#REF!</definedName>
    <definedName name="figtwodisp">#REF!</definedName>
    <definedName name="firstptdp" localSheetId="9">'Data paired'!$F$9</definedName>
    <definedName name="firstptdp" localSheetId="10">'Summary paired'!#REF!</definedName>
    <definedName name="firstptdp">'[8]Data paired'!$F$9</definedName>
    <definedName name="firstptdt" localSheetId="7">'Summary two'!#REF!</definedName>
    <definedName name="firstptdt">'Data two'!$F$9</definedName>
    <definedName name="firstptxy">[8]Scatterplots!$B$13</definedName>
    <definedName name="fninezafour">#REF!</definedName>
    <definedName name="fninezaone">#REF!</definedName>
    <definedName name="fninezathree">#REF!</definedName>
    <definedName name="fninezatwo">#REF!</definedName>
    <definedName name="fninezbfour">#REF!</definedName>
    <definedName name="fninezbthree">#REF!</definedName>
    <definedName name="for2p1" localSheetId="8">'[4]Overlap two proportions'!$N$8</definedName>
    <definedName name="for2p1" localSheetId="9">'[5]Overlap two proportions'!$N$8</definedName>
    <definedName name="for2p1" localSheetId="6">'[5]Overlap two proportions'!$N$8</definedName>
    <definedName name="for2p1" localSheetId="10">'[5]Overlap two proportions'!$N$8</definedName>
    <definedName name="for2p1" localSheetId="7">'[5]Overlap two proportions'!$N$8</definedName>
    <definedName name="for2p1">'[4]Overlap two proportions'!$N$8</definedName>
    <definedName name="for2p10" localSheetId="8">'[4]Overlap two proportions'!$N$17</definedName>
    <definedName name="for2p10" localSheetId="9">'[5]Overlap two proportions'!$N$17</definedName>
    <definedName name="for2p10" localSheetId="6">'[5]Overlap two proportions'!$N$17</definedName>
    <definedName name="for2p10" localSheetId="10">'[5]Overlap two proportions'!$N$17</definedName>
    <definedName name="for2p10" localSheetId="7">'[5]Overlap two proportions'!$N$17</definedName>
    <definedName name="for2p10">'[4]Overlap two proportions'!$N$17</definedName>
    <definedName name="for2p11" localSheetId="8">'[4]Overlap two proportions'!$N$18</definedName>
    <definedName name="for2p11" localSheetId="9">'[5]Overlap two proportions'!$N$18</definedName>
    <definedName name="for2p11" localSheetId="6">'[5]Overlap two proportions'!$N$18</definedName>
    <definedName name="for2p11" localSheetId="10">'[5]Overlap two proportions'!$N$18</definedName>
    <definedName name="for2p11" localSheetId="7">'[5]Overlap two proportions'!$N$18</definedName>
    <definedName name="for2p11">'[4]Overlap two proportions'!$N$18</definedName>
    <definedName name="for2p12" localSheetId="8">'[4]Overlap two proportions'!$N$19</definedName>
    <definedName name="for2p12" localSheetId="9">'[5]Overlap two proportions'!$N$19</definedName>
    <definedName name="for2p12" localSheetId="6">'[5]Overlap two proportions'!$N$19</definedName>
    <definedName name="for2p12" localSheetId="10">'[5]Overlap two proportions'!$N$19</definedName>
    <definedName name="for2p12" localSheetId="7">'[5]Overlap two proportions'!$N$19</definedName>
    <definedName name="for2p12">'[4]Overlap two proportions'!$N$19</definedName>
    <definedName name="for2p13" localSheetId="8">'[4]Overlap two proportions'!$N$20</definedName>
    <definedName name="for2p13" localSheetId="9">'[5]Overlap two proportions'!$N$20</definedName>
    <definedName name="for2p13" localSheetId="6">'[5]Overlap two proportions'!$N$20</definedName>
    <definedName name="for2p13" localSheetId="10">'[5]Overlap two proportions'!$N$20</definedName>
    <definedName name="for2p13" localSheetId="7">'[5]Overlap two proportions'!$N$20</definedName>
    <definedName name="for2p13">'[4]Overlap two proportions'!$N$20</definedName>
    <definedName name="for2p14" localSheetId="8">'[4]Overlap two proportions'!$N$21</definedName>
    <definedName name="for2p14" localSheetId="9">'[5]Overlap two proportions'!$N$21</definedName>
    <definedName name="for2p14" localSheetId="6">'[5]Overlap two proportions'!$N$21</definedName>
    <definedName name="for2p14" localSheetId="10">'[5]Overlap two proportions'!$N$21</definedName>
    <definedName name="for2p14" localSheetId="7">'[5]Overlap two proportions'!$N$21</definedName>
    <definedName name="for2p14">'[4]Overlap two proportions'!$N$21</definedName>
    <definedName name="for2p15" localSheetId="8">'[4]Overlap two proportions'!$N$22</definedName>
    <definedName name="for2p15" localSheetId="9">'[5]Overlap two proportions'!$N$22</definedName>
    <definedName name="for2p15" localSheetId="6">'[5]Overlap two proportions'!$N$22</definedName>
    <definedName name="for2p15" localSheetId="10">'[5]Overlap two proportions'!$N$22</definedName>
    <definedName name="for2p15" localSheetId="7">'[5]Overlap two proportions'!$N$22</definedName>
    <definedName name="for2p15">'[4]Overlap two proportions'!$N$22</definedName>
    <definedName name="for2p16" localSheetId="8">'[4]Overlap two proportions'!$N$23</definedName>
    <definedName name="for2p16" localSheetId="9">'[5]Overlap two proportions'!$N$23</definedName>
    <definedName name="for2p16" localSheetId="6">'[5]Overlap two proportions'!$N$23</definedName>
    <definedName name="for2p16" localSheetId="10">'[5]Overlap two proportions'!$N$23</definedName>
    <definedName name="for2p16" localSheetId="7">'[5]Overlap two proportions'!$N$23</definedName>
    <definedName name="for2p16">'[4]Overlap two proportions'!$N$23</definedName>
    <definedName name="for2p17" localSheetId="8">'[4]Overlap two proportions'!$N$24</definedName>
    <definedName name="for2p17" localSheetId="9">'[5]Overlap two proportions'!$N$24</definedName>
    <definedName name="for2p17" localSheetId="6">'[5]Overlap two proportions'!$N$24</definedName>
    <definedName name="for2p17" localSheetId="10">'[5]Overlap two proportions'!$N$24</definedName>
    <definedName name="for2p17" localSheetId="7">'[5]Overlap two proportions'!$N$24</definedName>
    <definedName name="for2p17">'[4]Overlap two proportions'!$N$24</definedName>
    <definedName name="for2p18" localSheetId="8">'[4]Overlap two proportions'!$N$25</definedName>
    <definedName name="for2p18" localSheetId="9">'[5]Overlap two proportions'!$N$25</definedName>
    <definedName name="for2p18" localSheetId="6">'[5]Overlap two proportions'!$N$25</definedName>
    <definedName name="for2p18" localSheetId="10">'[5]Overlap two proportions'!$N$25</definedName>
    <definedName name="for2p18" localSheetId="7">'[5]Overlap two proportions'!$N$25</definedName>
    <definedName name="for2p18">'[4]Overlap two proportions'!$N$25</definedName>
    <definedName name="for2p19" localSheetId="8">'[4]Overlap two proportions'!$N$26</definedName>
    <definedName name="for2p19" localSheetId="9">'[5]Overlap two proportions'!$N$26</definedName>
    <definedName name="for2p19" localSheetId="6">'[5]Overlap two proportions'!$N$26</definedName>
    <definedName name="for2p19" localSheetId="10">'[5]Overlap two proportions'!$N$26</definedName>
    <definedName name="for2p19" localSheetId="7">'[5]Overlap two proportions'!$N$26</definedName>
    <definedName name="for2p19">'[4]Overlap two proportions'!$N$26</definedName>
    <definedName name="for2p2" localSheetId="8">'[4]Overlap two proportions'!$N$9</definedName>
    <definedName name="for2p2" localSheetId="9">'[5]Overlap two proportions'!$N$9</definedName>
    <definedName name="for2p2" localSheetId="6">'[5]Overlap two proportions'!$N$9</definedName>
    <definedName name="for2p2" localSheetId="10">'[5]Overlap two proportions'!$N$9</definedName>
    <definedName name="for2p2" localSheetId="7">'[5]Overlap two proportions'!$N$9</definedName>
    <definedName name="for2p2">'[4]Overlap two proportions'!$N$9</definedName>
    <definedName name="for2p20" localSheetId="8">'[4]Overlap two proportions'!$N$27</definedName>
    <definedName name="for2p20" localSheetId="9">'[5]Overlap two proportions'!$N$27</definedName>
    <definedName name="for2p20" localSheetId="6">'[5]Overlap two proportions'!$N$27</definedName>
    <definedName name="for2p20" localSheetId="10">'[5]Overlap two proportions'!$N$27</definedName>
    <definedName name="for2p20" localSheetId="7">'[5]Overlap two proportions'!$N$27</definedName>
    <definedName name="for2p20">'[4]Overlap two proportions'!$N$27</definedName>
    <definedName name="for2p21" localSheetId="8">'[4]Overlap two proportions'!$N$28</definedName>
    <definedName name="for2p21" localSheetId="9">'[5]Overlap two proportions'!$N$28</definedName>
    <definedName name="for2p21" localSheetId="6">'[5]Overlap two proportions'!$N$28</definedName>
    <definedName name="for2p21" localSheetId="10">'[5]Overlap two proportions'!$N$28</definedName>
    <definedName name="for2p21" localSheetId="7">'[5]Overlap two proportions'!$N$28</definedName>
    <definedName name="for2p21">'[4]Overlap two proportions'!$N$28</definedName>
    <definedName name="for2p22" localSheetId="8">'[4]Overlap two proportions'!$N$29</definedName>
    <definedName name="for2p22" localSheetId="9">'[5]Overlap two proportions'!$N$29</definedName>
    <definedName name="for2p22" localSheetId="6">'[5]Overlap two proportions'!$N$29</definedName>
    <definedName name="for2p22" localSheetId="10">'[5]Overlap two proportions'!$N$29</definedName>
    <definedName name="for2p22" localSheetId="7">'[5]Overlap two proportions'!$N$29</definedName>
    <definedName name="for2p22">'[4]Overlap two proportions'!$N$29</definedName>
    <definedName name="for2p23" localSheetId="8">'[4]Overlap two proportions'!$N$30</definedName>
    <definedName name="for2p23" localSheetId="9">'[5]Overlap two proportions'!$N$30</definedName>
    <definedName name="for2p23" localSheetId="6">'[5]Overlap two proportions'!$N$30</definedName>
    <definedName name="for2p23" localSheetId="10">'[5]Overlap two proportions'!$N$30</definedName>
    <definedName name="for2p23" localSheetId="7">'[5]Overlap two proportions'!$N$30</definedName>
    <definedName name="for2p23">'[4]Overlap two proportions'!$N$30</definedName>
    <definedName name="for2p24" localSheetId="8">'[4]Overlap two proportions'!$N$31</definedName>
    <definedName name="for2p24" localSheetId="9">'[5]Overlap two proportions'!$N$31</definedName>
    <definedName name="for2p24" localSheetId="6">'[5]Overlap two proportions'!$N$31</definedName>
    <definedName name="for2p24" localSheetId="10">'[5]Overlap two proportions'!$N$31</definedName>
    <definedName name="for2p24" localSheetId="7">'[5]Overlap two proportions'!$N$31</definedName>
    <definedName name="for2p24">'[4]Overlap two proportions'!$N$31</definedName>
    <definedName name="for2p25" localSheetId="8">'[4]Overlap two proportions'!$N$32</definedName>
    <definedName name="for2p25" localSheetId="9">'[5]Overlap two proportions'!$N$32</definedName>
    <definedName name="for2p25" localSheetId="6">'[5]Overlap two proportions'!$N$32</definedName>
    <definedName name="for2p25" localSheetId="10">'[5]Overlap two proportions'!$N$32</definedName>
    <definedName name="for2p25" localSheetId="7">'[5]Overlap two proportions'!$N$32</definedName>
    <definedName name="for2p25">'[4]Overlap two proportions'!$N$32</definedName>
    <definedName name="for2p26" localSheetId="8">'[4]Overlap two proportions'!$N$33</definedName>
    <definedName name="for2p26" localSheetId="9">'[5]Overlap two proportions'!$N$33</definedName>
    <definedName name="for2p26" localSheetId="6">'[5]Overlap two proportions'!$N$33</definedName>
    <definedName name="for2p26" localSheetId="10">'[5]Overlap two proportions'!$N$33</definedName>
    <definedName name="for2p26" localSheetId="7">'[5]Overlap two proportions'!$N$33</definedName>
    <definedName name="for2p26">'[4]Overlap two proportions'!$N$33</definedName>
    <definedName name="for2p27" localSheetId="8">'[4]Overlap two proportions'!$N$34</definedName>
    <definedName name="for2p27" localSheetId="9">'[5]Overlap two proportions'!$N$34</definedName>
    <definedName name="for2p27" localSheetId="6">'[5]Overlap two proportions'!$N$34</definedName>
    <definedName name="for2p27" localSheetId="10">'[5]Overlap two proportions'!$N$34</definedName>
    <definedName name="for2p27" localSheetId="7">'[5]Overlap two proportions'!$N$34</definedName>
    <definedName name="for2p27">'[4]Overlap two proportions'!$N$34</definedName>
    <definedName name="for2p28" localSheetId="8">'[4]Overlap two proportions'!$N$35</definedName>
    <definedName name="for2p28" localSheetId="9">'[5]Overlap two proportions'!$N$35</definedName>
    <definedName name="for2p28" localSheetId="6">'[5]Overlap two proportions'!$N$35</definedName>
    <definedName name="for2p28" localSheetId="10">'[5]Overlap two proportions'!$N$35</definedName>
    <definedName name="for2p28" localSheetId="7">'[5]Overlap two proportions'!$N$35</definedName>
    <definedName name="for2p28">'[4]Overlap two proportions'!$N$35</definedName>
    <definedName name="for2p29" localSheetId="8">'[4]Overlap two proportions'!$N$36</definedName>
    <definedName name="for2p29" localSheetId="9">'[5]Overlap two proportions'!$N$36</definedName>
    <definedName name="for2p29" localSheetId="6">'[5]Overlap two proportions'!$N$36</definedName>
    <definedName name="for2p29" localSheetId="10">'[5]Overlap two proportions'!$N$36</definedName>
    <definedName name="for2p29" localSheetId="7">'[5]Overlap two proportions'!$N$36</definedName>
    <definedName name="for2p29">'[4]Overlap two proportions'!$N$36</definedName>
    <definedName name="for2p3" localSheetId="8">'[4]Overlap two proportions'!$N$10</definedName>
    <definedName name="for2p3" localSheetId="9">'[5]Overlap two proportions'!$N$10</definedName>
    <definedName name="for2p3" localSheetId="6">'[5]Overlap two proportions'!$N$10</definedName>
    <definedName name="for2p3" localSheetId="10">'[5]Overlap two proportions'!$N$10</definedName>
    <definedName name="for2p3" localSheetId="7">'[5]Overlap two proportions'!$N$10</definedName>
    <definedName name="for2p3">'[4]Overlap two proportions'!$N$10</definedName>
    <definedName name="for2p30" localSheetId="8">'[4]Overlap two proportions'!$N$37</definedName>
    <definedName name="for2p30" localSheetId="9">'[5]Overlap two proportions'!$N$37</definedName>
    <definedName name="for2p30" localSheetId="6">'[5]Overlap two proportions'!$N$37</definedName>
    <definedName name="for2p30" localSheetId="10">'[5]Overlap two proportions'!$N$37</definedName>
    <definedName name="for2p30" localSheetId="7">'[5]Overlap two proportions'!$N$37</definedName>
    <definedName name="for2p30">'[4]Overlap two proportions'!$N$37</definedName>
    <definedName name="for2p31" localSheetId="8">'[4]Overlap two proportions'!$N$38</definedName>
    <definedName name="for2p31" localSheetId="9">'[5]Overlap two proportions'!$N$38</definedName>
    <definedName name="for2p31" localSheetId="6">'[5]Overlap two proportions'!$N$38</definedName>
    <definedName name="for2p31" localSheetId="10">'[5]Overlap two proportions'!$N$38</definedName>
    <definedName name="for2p31" localSheetId="7">'[5]Overlap two proportions'!$N$38</definedName>
    <definedName name="for2p31">'[4]Overlap two proportions'!$N$38</definedName>
    <definedName name="for2p32" localSheetId="8">'[4]Overlap two proportions'!$N$39</definedName>
    <definedName name="for2p32" localSheetId="9">'[5]Overlap two proportions'!$N$39</definedName>
    <definedName name="for2p32" localSheetId="6">'[5]Overlap two proportions'!$N$39</definedName>
    <definedName name="for2p32" localSheetId="10">'[5]Overlap two proportions'!$N$39</definedName>
    <definedName name="for2p32" localSheetId="7">'[5]Overlap two proportions'!$N$39</definedName>
    <definedName name="for2p32">'[4]Overlap two proportions'!$N$39</definedName>
    <definedName name="for2p33" localSheetId="8">'[4]Overlap two proportions'!$N$40</definedName>
    <definedName name="for2p33" localSheetId="9">'[5]Overlap two proportions'!$N$40</definedName>
    <definedName name="for2p33" localSheetId="6">'[5]Overlap two proportions'!$N$40</definedName>
    <definedName name="for2p33" localSheetId="10">'[5]Overlap two proportions'!$N$40</definedName>
    <definedName name="for2p33" localSheetId="7">'[5]Overlap two proportions'!$N$40</definedName>
    <definedName name="for2p33">'[4]Overlap two proportions'!$N$40</definedName>
    <definedName name="for2p34" localSheetId="8">'[4]Overlap two proportions'!$N$41</definedName>
    <definedName name="for2p34" localSheetId="9">'[5]Overlap two proportions'!$N$41</definedName>
    <definedName name="for2p34" localSheetId="6">'[5]Overlap two proportions'!$N$41</definedName>
    <definedName name="for2p34" localSheetId="10">'[5]Overlap two proportions'!$N$41</definedName>
    <definedName name="for2p34" localSheetId="7">'[5]Overlap two proportions'!$N$41</definedName>
    <definedName name="for2p34">'[4]Overlap two proportions'!$N$41</definedName>
    <definedName name="for2p35" localSheetId="8">'[4]Overlap two proportions'!$N$42</definedName>
    <definedName name="for2p35" localSheetId="9">'[5]Overlap two proportions'!$N$42</definedName>
    <definedName name="for2p35" localSheetId="6">'[5]Overlap two proportions'!$N$42</definedName>
    <definedName name="for2p35" localSheetId="10">'[5]Overlap two proportions'!$N$42</definedName>
    <definedName name="for2p35" localSheetId="7">'[5]Overlap two proportions'!$N$42</definedName>
    <definedName name="for2p35">'[4]Overlap two proportions'!$N$42</definedName>
    <definedName name="for2p36" localSheetId="8">'[4]Overlap two proportions'!$N$43</definedName>
    <definedName name="for2p36" localSheetId="9">'[5]Overlap two proportions'!$N$43</definedName>
    <definedName name="for2p36" localSheetId="6">'[5]Overlap two proportions'!$N$43</definedName>
    <definedName name="for2p36" localSheetId="10">'[5]Overlap two proportions'!$N$43</definedName>
    <definedName name="for2p36" localSheetId="7">'[5]Overlap two proportions'!$N$43</definedName>
    <definedName name="for2p36">'[4]Overlap two proportions'!$N$43</definedName>
    <definedName name="for2p37" localSheetId="8">'[4]Overlap two proportions'!$N$44</definedName>
    <definedName name="for2p37" localSheetId="9">'[5]Overlap two proportions'!$N$44</definedName>
    <definedName name="for2p37" localSheetId="6">'[5]Overlap two proportions'!$N$44</definedName>
    <definedName name="for2p37" localSheetId="10">'[5]Overlap two proportions'!$N$44</definedName>
    <definedName name="for2p37" localSheetId="7">'[5]Overlap two proportions'!$N$44</definedName>
    <definedName name="for2p37">'[4]Overlap two proportions'!$N$44</definedName>
    <definedName name="for2p38" localSheetId="8">'[4]Overlap two proportions'!$N$45</definedName>
    <definedName name="for2p38" localSheetId="9">'[5]Overlap two proportions'!$N$45</definedName>
    <definedName name="for2p38" localSheetId="6">'[5]Overlap two proportions'!$N$45</definedName>
    <definedName name="for2p38" localSheetId="10">'[5]Overlap two proportions'!$N$45</definedName>
    <definedName name="for2p38" localSheetId="7">'[5]Overlap two proportions'!$N$45</definedName>
    <definedName name="for2p38">'[4]Overlap two proportions'!$N$45</definedName>
    <definedName name="for2p39" localSheetId="8">'[4]Overlap two proportions'!$N$46</definedName>
    <definedName name="for2p39" localSheetId="9">'[5]Overlap two proportions'!$N$46</definedName>
    <definedName name="for2p39" localSheetId="6">'[5]Overlap two proportions'!$N$46</definedName>
    <definedName name="for2p39" localSheetId="10">'[5]Overlap two proportions'!$N$46</definedName>
    <definedName name="for2p39" localSheetId="7">'[5]Overlap two proportions'!$N$46</definedName>
    <definedName name="for2p39">'[4]Overlap two proportions'!$N$46</definedName>
    <definedName name="for2p4" localSheetId="8">'[4]Overlap two proportions'!$N$11</definedName>
    <definedName name="for2p4" localSheetId="9">'[5]Overlap two proportions'!$N$11</definedName>
    <definedName name="for2p4" localSheetId="6">'[5]Overlap two proportions'!$N$11</definedName>
    <definedName name="for2p4" localSheetId="10">'[5]Overlap two proportions'!$N$11</definedName>
    <definedName name="for2p4" localSheetId="7">'[5]Overlap two proportions'!$N$11</definedName>
    <definedName name="for2p4">'[4]Overlap two proportions'!$N$11</definedName>
    <definedName name="for2p40" localSheetId="8">'[4]Overlap two proportions'!$N$47</definedName>
    <definedName name="for2p40" localSheetId="9">'[5]Overlap two proportions'!$N$47</definedName>
    <definedName name="for2p40" localSheetId="6">'[5]Overlap two proportions'!$N$47</definedName>
    <definedName name="for2p40" localSheetId="10">'[5]Overlap two proportions'!$N$47</definedName>
    <definedName name="for2p40" localSheetId="7">'[5]Overlap two proportions'!$N$47</definedName>
    <definedName name="for2p40">'[4]Overlap two proportions'!$N$47</definedName>
    <definedName name="for2p41" localSheetId="8">'[4]Overlap two proportions'!$N$48</definedName>
    <definedName name="for2p41" localSheetId="9">'[5]Overlap two proportions'!$N$48</definedName>
    <definedName name="for2p41" localSheetId="6">'[5]Overlap two proportions'!$N$48</definedName>
    <definedName name="for2p41" localSheetId="10">'[5]Overlap two proportions'!$N$48</definedName>
    <definedName name="for2p41" localSheetId="7">'[5]Overlap two proportions'!$N$48</definedName>
    <definedName name="for2p41">'[4]Overlap two proportions'!$N$48</definedName>
    <definedName name="for2p42" localSheetId="8">'[4]Overlap two proportions'!$N$49</definedName>
    <definedName name="for2p42" localSheetId="9">'[5]Overlap two proportions'!$N$49</definedName>
    <definedName name="for2p42" localSheetId="6">'[5]Overlap two proportions'!$N$49</definedName>
    <definedName name="for2p42" localSheetId="10">'[5]Overlap two proportions'!$N$49</definedName>
    <definedName name="for2p42" localSheetId="7">'[5]Overlap two proportions'!$N$49</definedName>
    <definedName name="for2p42">'[4]Overlap two proportions'!$N$49</definedName>
    <definedName name="for2p43" localSheetId="8">'[4]Overlap two proportions'!$N$50</definedName>
    <definedName name="for2p43" localSheetId="9">'[5]Overlap two proportions'!$N$50</definedName>
    <definedName name="for2p43" localSheetId="6">'[5]Overlap two proportions'!$N$50</definedName>
    <definedName name="for2p43" localSheetId="10">'[5]Overlap two proportions'!$N$50</definedName>
    <definedName name="for2p43" localSheetId="7">'[5]Overlap two proportions'!$N$50</definedName>
    <definedName name="for2p43">'[4]Overlap two proportions'!$N$50</definedName>
    <definedName name="for2p44" localSheetId="8">'[4]Overlap two proportions'!$N$51</definedName>
    <definedName name="for2p44" localSheetId="9">'[5]Overlap two proportions'!$N$51</definedName>
    <definedName name="for2p44" localSheetId="6">'[5]Overlap two proportions'!$N$51</definedName>
    <definedName name="for2p44" localSheetId="10">'[5]Overlap two proportions'!$N$51</definedName>
    <definedName name="for2p44" localSheetId="7">'[5]Overlap two proportions'!$N$51</definedName>
    <definedName name="for2p44">'[4]Overlap two proportions'!$N$51</definedName>
    <definedName name="for2p45" localSheetId="8">'[4]Overlap two proportions'!$N$52</definedName>
    <definedName name="for2p45" localSheetId="9">'[5]Overlap two proportions'!$N$52</definedName>
    <definedName name="for2p45" localSheetId="6">'[5]Overlap two proportions'!$N$52</definedName>
    <definedName name="for2p45" localSheetId="10">'[5]Overlap two proportions'!$N$52</definedName>
    <definedName name="for2p45" localSheetId="7">'[5]Overlap two proportions'!$N$52</definedName>
    <definedName name="for2p45">'[4]Overlap two proportions'!$N$52</definedName>
    <definedName name="for2p46" localSheetId="8">'[4]Overlap two proportions'!$N$53</definedName>
    <definedName name="for2p46" localSheetId="9">'[5]Overlap two proportions'!$N$53</definedName>
    <definedName name="for2p46" localSheetId="6">'[5]Overlap two proportions'!$N$53</definedName>
    <definedName name="for2p46" localSheetId="10">'[5]Overlap two proportions'!$N$53</definedName>
    <definedName name="for2p46" localSheetId="7">'[5]Overlap two proportions'!$N$53</definedName>
    <definedName name="for2p46">'[4]Overlap two proportions'!$N$53</definedName>
    <definedName name="for2p47" localSheetId="8">'[4]Overlap two proportions'!$N$54</definedName>
    <definedName name="for2p47" localSheetId="9">'[5]Overlap two proportions'!$N$54</definedName>
    <definedName name="for2p47" localSheetId="6">'[5]Overlap two proportions'!$N$54</definedName>
    <definedName name="for2p47" localSheetId="10">'[5]Overlap two proportions'!$N$54</definedName>
    <definedName name="for2p47" localSheetId="7">'[5]Overlap two proportions'!$N$54</definedName>
    <definedName name="for2p47">'[4]Overlap two proportions'!$N$54</definedName>
    <definedName name="for2p48" localSheetId="8">'[4]Overlap two proportions'!$N$55</definedName>
    <definedName name="for2p48" localSheetId="9">'[5]Overlap two proportions'!$N$55</definedName>
    <definedName name="for2p48" localSheetId="6">'[5]Overlap two proportions'!$N$55</definedName>
    <definedName name="for2p48" localSheetId="10">'[5]Overlap two proportions'!$N$55</definedName>
    <definedName name="for2p48" localSheetId="7">'[5]Overlap two proportions'!$N$55</definedName>
    <definedName name="for2p48">'[4]Overlap two proportions'!$N$55</definedName>
    <definedName name="for2p49" localSheetId="8">'[4]Overlap two proportions'!$N$56</definedName>
    <definedName name="for2p49" localSheetId="9">'[5]Overlap two proportions'!$N$56</definedName>
    <definedName name="for2p49" localSheetId="6">'[5]Overlap two proportions'!$N$56</definedName>
    <definedName name="for2p49" localSheetId="10">'[5]Overlap two proportions'!$N$56</definedName>
    <definedName name="for2p49" localSheetId="7">'[5]Overlap two proportions'!$N$56</definedName>
    <definedName name="for2p49">'[4]Overlap two proportions'!$N$56</definedName>
    <definedName name="for2p5" localSheetId="8">'[4]Overlap two proportions'!$N$12</definedName>
    <definedName name="for2p5" localSheetId="9">'[5]Overlap two proportions'!$N$12</definedName>
    <definedName name="for2p5" localSheetId="6">'[5]Overlap two proportions'!$N$12</definedName>
    <definedName name="for2p5" localSheetId="10">'[5]Overlap two proportions'!$N$12</definedName>
    <definedName name="for2p5" localSheetId="7">'[5]Overlap two proportions'!$N$12</definedName>
    <definedName name="for2p5">'[4]Overlap two proportions'!$N$12</definedName>
    <definedName name="for2p50" localSheetId="8">'[4]Overlap two proportions'!$N$57</definedName>
    <definedName name="for2p50" localSheetId="9">'[5]Overlap two proportions'!$N$57</definedName>
    <definedName name="for2p50" localSheetId="6">'[5]Overlap two proportions'!$N$57</definedName>
    <definedName name="for2p50" localSheetId="10">'[5]Overlap two proportions'!$N$57</definedName>
    <definedName name="for2p50" localSheetId="7">'[5]Overlap two proportions'!$N$57</definedName>
    <definedName name="for2p50">'[4]Overlap two proportions'!$N$57</definedName>
    <definedName name="for2p51" localSheetId="8">'[4]Overlap two proportions'!$N$58</definedName>
    <definedName name="for2p51" localSheetId="9">'[5]Overlap two proportions'!$N$58</definedName>
    <definedName name="for2p51" localSheetId="6">'[5]Overlap two proportions'!$N$58</definedName>
    <definedName name="for2p51" localSheetId="10">'[5]Overlap two proportions'!$N$58</definedName>
    <definedName name="for2p51" localSheetId="7">'[5]Overlap two proportions'!$N$58</definedName>
    <definedName name="for2p51">'[4]Overlap two proportions'!$N$58</definedName>
    <definedName name="for2p52" localSheetId="8">'[4]Overlap two proportions'!$N$59</definedName>
    <definedName name="for2p52" localSheetId="9">'[5]Overlap two proportions'!$N$59</definedName>
    <definedName name="for2p52" localSheetId="6">'[5]Overlap two proportions'!$N$59</definedName>
    <definedName name="for2p52" localSheetId="10">'[5]Overlap two proportions'!$N$59</definedName>
    <definedName name="for2p52" localSheetId="7">'[5]Overlap two proportions'!$N$59</definedName>
    <definedName name="for2p52">'[4]Overlap two proportions'!$N$59</definedName>
    <definedName name="for2p53" localSheetId="8">'[4]Overlap two proportions'!$N$60</definedName>
    <definedName name="for2p53" localSheetId="9">'[5]Overlap two proportions'!$N$60</definedName>
    <definedName name="for2p53" localSheetId="6">'[5]Overlap two proportions'!$N$60</definedName>
    <definedName name="for2p53" localSheetId="10">'[5]Overlap two proportions'!$N$60</definedName>
    <definedName name="for2p53" localSheetId="7">'[5]Overlap two proportions'!$N$60</definedName>
    <definedName name="for2p53">'[4]Overlap two proportions'!$N$60</definedName>
    <definedName name="for2p54" localSheetId="8">'[4]Overlap two proportions'!$N$61</definedName>
    <definedName name="for2p54" localSheetId="9">'[5]Overlap two proportions'!$N$61</definedName>
    <definedName name="for2p54" localSheetId="6">'[5]Overlap two proportions'!$N$61</definedName>
    <definedName name="for2p54" localSheetId="10">'[5]Overlap two proportions'!$N$61</definedName>
    <definedName name="for2p54" localSheetId="7">'[5]Overlap two proportions'!$N$61</definedName>
    <definedName name="for2p54">'[4]Overlap two proportions'!$N$61</definedName>
    <definedName name="for2p55" localSheetId="8">'[4]Overlap two proportions'!$N$62</definedName>
    <definedName name="for2p55" localSheetId="9">'[5]Overlap two proportions'!$N$62</definedName>
    <definedName name="for2p55" localSheetId="6">'[5]Overlap two proportions'!$N$62</definedName>
    <definedName name="for2p55" localSheetId="10">'[5]Overlap two proportions'!$N$62</definedName>
    <definedName name="for2p55" localSheetId="7">'[5]Overlap two proportions'!$N$62</definedName>
    <definedName name="for2p55">'[4]Overlap two proportions'!$N$62</definedName>
    <definedName name="for2p56" localSheetId="8">'[4]Overlap two proportions'!$N$63</definedName>
    <definedName name="for2p56" localSheetId="9">'[5]Overlap two proportions'!$N$63</definedName>
    <definedName name="for2p56" localSheetId="6">'[5]Overlap two proportions'!$N$63</definedName>
    <definedName name="for2p56" localSheetId="10">'[5]Overlap two proportions'!$N$63</definedName>
    <definedName name="for2p56" localSheetId="7">'[5]Overlap two proportions'!$N$63</definedName>
    <definedName name="for2p56">'[4]Overlap two proportions'!$N$63</definedName>
    <definedName name="for2p57" localSheetId="8">'[4]Overlap two proportions'!$N$64</definedName>
    <definedName name="for2p57" localSheetId="9">'[5]Overlap two proportions'!$N$64</definedName>
    <definedName name="for2p57" localSheetId="6">'[5]Overlap two proportions'!$N$64</definedName>
    <definedName name="for2p57" localSheetId="10">'[5]Overlap two proportions'!$N$64</definedName>
    <definedName name="for2p57" localSheetId="7">'[5]Overlap two proportions'!$N$64</definedName>
    <definedName name="for2p57">'[4]Overlap two proportions'!$N$64</definedName>
    <definedName name="for2p58" localSheetId="8">'[4]Overlap two proportions'!$N$65</definedName>
    <definedName name="for2p58" localSheetId="9">'[5]Overlap two proportions'!$N$65</definedName>
    <definedName name="for2p58" localSheetId="6">'[5]Overlap two proportions'!$N$65</definedName>
    <definedName name="for2p58" localSheetId="10">'[5]Overlap two proportions'!$N$65</definedName>
    <definedName name="for2p58" localSheetId="7">'[5]Overlap two proportions'!$N$65</definedName>
    <definedName name="for2p58">'[4]Overlap two proportions'!$N$65</definedName>
    <definedName name="for2p59" localSheetId="8">'[4]Overlap two proportions'!$N$66</definedName>
    <definedName name="for2p59" localSheetId="9">'[5]Overlap two proportions'!$N$66</definedName>
    <definedName name="for2p59" localSheetId="6">'[5]Overlap two proportions'!$N$66</definedName>
    <definedName name="for2p59" localSheetId="10">'[5]Overlap two proportions'!$N$66</definedName>
    <definedName name="for2p59" localSheetId="7">'[5]Overlap two proportions'!$N$66</definedName>
    <definedName name="for2p59">'[4]Overlap two proportions'!$N$66</definedName>
    <definedName name="for2p6" localSheetId="8">'[4]Overlap two proportions'!$N$13</definedName>
    <definedName name="for2p6" localSheetId="9">'[5]Overlap two proportions'!$N$13</definedName>
    <definedName name="for2p6" localSheetId="6">'[5]Overlap two proportions'!$N$13</definedName>
    <definedName name="for2p6" localSheetId="10">'[5]Overlap two proportions'!$N$13</definedName>
    <definedName name="for2p6" localSheetId="7">'[5]Overlap two proportions'!$N$13</definedName>
    <definedName name="for2p6">'[4]Overlap two proportions'!$N$13</definedName>
    <definedName name="for2p60" localSheetId="8">'[4]Overlap two proportions'!$N$67</definedName>
    <definedName name="for2p60" localSheetId="9">'[5]Overlap two proportions'!$N$67</definedName>
    <definedName name="for2p60" localSheetId="6">'[5]Overlap two proportions'!$N$67</definedName>
    <definedName name="for2p60" localSheetId="10">'[5]Overlap two proportions'!$N$67</definedName>
    <definedName name="for2p60" localSheetId="7">'[5]Overlap two proportions'!$N$67</definedName>
    <definedName name="for2p60">'[4]Overlap two proportions'!$N$67</definedName>
    <definedName name="for2p7" localSheetId="8">'[4]Overlap two proportions'!$N$14</definedName>
    <definedName name="for2p7" localSheetId="9">'[5]Overlap two proportions'!$N$14</definedName>
    <definedName name="for2p7" localSheetId="6">'[5]Overlap two proportions'!$N$14</definedName>
    <definedName name="for2p7" localSheetId="10">'[5]Overlap two proportions'!$N$14</definedName>
    <definedName name="for2p7" localSheetId="7">'[5]Overlap two proportions'!$N$14</definedName>
    <definedName name="for2p7">'[4]Overlap two proportions'!$N$14</definedName>
    <definedName name="for2p8" localSheetId="8">'[4]Overlap two proportions'!$N$15</definedName>
    <definedName name="for2p8" localSheetId="9">'[5]Overlap two proportions'!$N$15</definedName>
    <definedName name="for2p8" localSheetId="6">'[5]Overlap two proportions'!$N$15</definedName>
    <definedName name="for2p8" localSheetId="10">'[5]Overlap two proportions'!$N$15</definedName>
    <definedName name="for2p8" localSheetId="7">'[5]Overlap two proportions'!$N$15</definedName>
    <definedName name="for2p8">'[4]Overlap two proportions'!$N$15</definedName>
    <definedName name="for2p9" localSheetId="8">'[4]Overlap two proportions'!$N$16</definedName>
    <definedName name="for2p9" localSheetId="9">'[5]Overlap two proportions'!$N$16</definedName>
    <definedName name="for2p9" localSheetId="6">'[5]Overlap two proportions'!$N$16</definedName>
    <definedName name="for2p9" localSheetId="10">'[5]Overlap two proportions'!$N$16</definedName>
    <definedName name="for2p9" localSheetId="7">'[5]Overlap two proportions'!$N$16</definedName>
    <definedName name="for2p9">'[4]Overlap two proportions'!$N$16</definedName>
    <definedName name="ForC" localSheetId="8">'[4]Two proportions'!$AL$5</definedName>
    <definedName name="ForC" localSheetId="9">'[5]Two proportions'!$AL$5</definedName>
    <definedName name="ForC" localSheetId="6">'[5]Two proportions'!$AL$5</definedName>
    <definedName name="ForC" localSheetId="10">'[5]Two proportions'!$AL$5</definedName>
    <definedName name="ForC" localSheetId="7">'[5]Two proportions'!$AL$5</definedName>
    <definedName name="ForC">'[4]Two proportions'!$AL$5</definedName>
    <definedName name="forC1" localSheetId="8">'[4]Overlap two proportions'!$AL$8</definedName>
    <definedName name="forC1" localSheetId="9">'[5]Overlap two proportions'!$AL$8</definedName>
    <definedName name="forC1" localSheetId="6">'[5]Overlap two proportions'!$AL$8</definedName>
    <definedName name="forC1" localSheetId="10">'[5]Overlap two proportions'!$AL$8</definedName>
    <definedName name="forC1" localSheetId="7">'[5]Overlap two proportions'!$AL$8</definedName>
    <definedName name="forC1">'[4]Overlap two proportions'!$AL$8</definedName>
    <definedName name="forC10" localSheetId="8">'[4]Overlap two proportions'!$AL$17</definedName>
    <definedName name="forC10" localSheetId="9">'[5]Overlap two proportions'!$AL$17</definedName>
    <definedName name="forC10" localSheetId="6">'[5]Overlap two proportions'!$AL$17</definedName>
    <definedName name="forC10" localSheetId="10">'[5]Overlap two proportions'!$AL$17</definedName>
    <definedName name="forC10" localSheetId="7">'[5]Overlap two proportions'!$AL$17</definedName>
    <definedName name="forC10">'[4]Overlap two proportions'!$AL$17</definedName>
    <definedName name="forC11" localSheetId="8">'[4]Overlap two proportions'!$AL$18</definedName>
    <definedName name="forC11" localSheetId="9">'[5]Overlap two proportions'!$AL$18</definedName>
    <definedName name="forC11" localSheetId="6">'[5]Overlap two proportions'!$AL$18</definedName>
    <definedName name="forC11" localSheetId="10">'[5]Overlap two proportions'!$AL$18</definedName>
    <definedName name="forC11" localSheetId="7">'[5]Overlap two proportions'!$AL$18</definedName>
    <definedName name="forC11">'[4]Overlap two proportions'!$AL$18</definedName>
    <definedName name="forC12" localSheetId="8">'[4]Overlap two proportions'!$AL$19</definedName>
    <definedName name="forC12" localSheetId="9">'[5]Overlap two proportions'!$AL$19</definedName>
    <definedName name="forC12" localSheetId="6">'[5]Overlap two proportions'!$AL$19</definedName>
    <definedName name="forC12" localSheetId="10">'[5]Overlap two proportions'!$AL$19</definedName>
    <definedName name="forC12" localSheetId="7">'[5]Overlap two proportions'!$AL$19</definedName>
    <definedName name="forC12">'[4]Overlap two proportions'!$AL$19</definedName>
    <definedName name="forC13" localSheetId="8">'[4]Overlap two proportions'!$AL$20</definedName>
    <definedName name="forC13" localSheetId="9">'[5]Overlap two proportions'!$AL$20</definedName>
    <definedName name="forC13" localSheetId="6">'[5]Overlap two proportions'!$AL$20</definedName>
    <definedName name="forC13" localSheetId="10">'[5]Overlap two proportions'!$AL$20</definedName>
    <definedName name="forC13" localSheetId="7">'[5]Overlap two proportions'!$AL$20</definedName>
    <definedName name="forC13">'[4]Overlap two proportions'!$AL$20</definedName>
    <definedName name="forC14" localSheetId="8">'[4]Overlap two proportions'!$AL$21</definedName>
    <definedName name="forC14" localSheetId="9">'[5]Overlap two proportions'!$AL$21</definedName>
    <definedName name="forC14" localSheetId="6">'[5]Overlap two proportions'!$AL$21</definedName>
    <definedName name="forC14" localSheetId="10">'[5]Overlap two proportions'!$AL$21</definedName>
    <definedName name="forC14" localSheetId="7">'[5]Overlap two proportions'!$AL$21</definedName>
    <definedName name="forC14">'[4]Overlap two proportions'!$AL$21</definedName>
    <definedName name="forC15" localSheetId="8">'[4]Overlap two proportions'!$AL$22</definedName>
    <definedName name="forC15" localSheetId="9">'[5]Overlap two proportions'!$AL$22</definedName>
    <definedName name="forC15" localSheetId="6">'[5]Overlap two proportions'!$AL$22</definedName>
    <definedName name="forC15" localSheetId="10">'[5]Overlap two proportions'!$AL$22</definedName>
    <definedName name="forC15" localSheetId="7">'[5]Overlap two proportions'!$AL$22</definedName>
    <definedName name="forC15">'[4]Overlap two proportions'!$AL$22</definedName>
    <definedName name="forC16" localSheetId="8">'[4]Overlap two proportions'!$AL$23</definedName>
    <definedName name="forC16" localSheetId="9">'[5]Overlap two proportions'!$AL$23</definedName>
    <definedName name="forC16" localSheetId="6">'[5]Overlap two proportions'!$AL$23</definedName>
    <definedName name="forC16" localSheetId="10">'[5]Overlap two proportions'!$AL$23</definedName>
    <definedName name="forC16" localSheetId="7">'[5]Overlap two proportions'!$AL$23</definedName>
    <definedName name="forC16">'[4]Overlap two proportions'!$AL$23</definedName>
    <definedName name="forC17" localSheetId="8">'[4]Overlap two proportions'!$AL$24</definedName>
    <definedName name="forC17" localSheetId="9">'[5]Overlap two proportions'!$AL$24</definedName>
    <definedName name="forC17" localSheetId="6">'[5]Overlap two proportions'!$AL$24</definedName>
    <definedName name="forC17" localSheetId="10">'[5]Overlap two proportions'!$AL$24</definedName>
    <definedName name="forC17" localSheetId="7">'[5]Overlap two proportions'!$AL$24</definedName>
    <definedName name="forC17">'[4]Overlap two proportions'!$AL$24</definedName>
    <definedName name="forC18" localSheetId="8">'[4]Overlap two proportions'!$AL$25</definedName>
    <definedName name="forC18" localSheetId="9">'[5]Overlap two proportions'!$AL$25</definedName>
    <definedName name="forC18" localSheetId="6">'[5]Overlap two proportions'!$AL$25</definedName>
    <definedName name="forC18" localSheetId="10">'[5]Overlap two proportions'!$AL$25</definedName>
    <definedName name="forC18" localSheetId="7">'[5]Overlap two proportions'!$AL$25</definedName>
    <definedName name="forC18">'[4]Overlap two proportions'!$AL$25</definedName>
    <definedName name="forC19" localSheetId="8">'[4]Overlap two proportions'!$AL$26</definedName>
    <definedName name="forC19" localSheetId="9">'[5]Overlap two proportions'!$AL$26</definedName>
    <definedName name="forC19" localSheetId="6">'[5]Overlap two proportions'!$AL$26</definedName>
    <definedName name="forC19" localSheetId="10">'[5]Overlap two proportions'!$AL$26</definedName>
    <definedName name="forC19" localSheetId="7">'[5]Overlap two proportions'!$AL$26</definedName>
    <definedName name="forC19">'[4]Overlap two proportions'!$AL$26</definedName>
    <definedName name="forC2" localSheetId="8">'[4]Overlap two proportions'!$AL$9</definedName>
    <definedName name="forC2" localSheetId="9">'[5]Overlap two proportions'!$AL$9</definedName>
    <definedName name="forC2" localSheetId="6">'[5]Overlap two proportions'!$AL$9</definedName>
    <definedName name="forC2" localSheetId="10">'[5]Overlap two proportions'!$AL$9</definedName>
    <definedName name="forC2" localSheetId="7">'[5]Overlap two proportions'!$AL$9</definedName>
    <definedName name="forC2">'[4]Overlap two proportions'!$AL$9</definedName>
    <definedName name="forC20" localSheetId="8">'[4]Overlap two proportions'!$AL$27</definedName>
    <definedName name="forC20" localSheetId="9">'[5]Overlap two proportions'!$AL$27</definedName>
    <definedName name="forC20" localSheetId="6">'[5]Overlap two proportions'!$AL$27</definedName>
    <definedName name="forC20" localSheetId="10">'[5]Overlap two proportions'!$AL$27</definedName>
    <definedName name="forC20" localSheetId="7">'[5]Overlap two proportions'!$AL$27</definedName>
    <definedName name="forC20">'[4]Overlap two proportions'!$AL$27</definedName>
    <definedName name="forC21" localSheetId="8">'[4]Overlap two proportions'!$AL$28</definedName>
    <definedName name="forC21" localSheetId="9">'[5]Overlap two proportions'!$AL$28</definedName>
    <definedName name="forC21" localSheetId="6">'[5]Overlap two proportions'!$AL$28</definedName>
    <definedName name="forC21" localSheetId="10">'[5]Overlap two proportions'!$AL$28</definedName>
    <definedName name="forC21" localSheetId="7">'[5]Overlap two proportions'!$AL$28</definedName>
    <definedName name="forC21">'[4]Overlap two proportions'!$AL$28</definedName>
    <definedName name="forC22" localSheetId="8">'[4]Overlap two proportions'!$AL$29</definedName>
    <definedName name="forC22" localSheetId="9">'[5]Overlap two proportions'!$AL$29</definedName>
    <definedName name="forC22" localSheetId="6">'[5]Overlap two proportions'!$AL$29</definedName>
    <definedName name="forC22" localSheetId="10">'[5]Overlap two proportions'!$AL$29</definedName>
    <definedName name="forC22" localSheetId="7">'[5]Overlap two proportions'!$AL$29</definedName>
    <definedName name="forC22">'[4]Overlap two proportions'!$AL$29</definedName>
    <definedName name="forC23" localSheetId="8">'[4]Overlap two proportions'!$AL$30</definedName>
    <definedName name="forC23" localSheetId="9">'[5]Overlap two proportions'!$AL$30</definedName>
    <definedName name="forC23" localSheetId="6">'[5]Overlap two proportions'!$AL$30</definedName>
    <definedName name="forC23" localSheetId="10">'[5]Overlap two proportions'!$AL$30</definedName>
    <definedName name="forC23" localSheetId="7">'[5]Overlap two proportions'!$AL$30</definedName>
    <definedName name="forC23">'[4]Overlap two proportions'!$AL$30</definedName>
    <definedName name="forC24" localSheetId="8">'[4]Overlap two proportions'!$AL$31</definedName>
    <definedName name="forC24" localSheetId="9">'[5]Overlap two proportions'!$AL$31</definedName>
    <definedName name="forC24" localSheetId="6">'[5]Overlap two proportions'!$AL$31</definedName>
    <definedName name="forC24" localSheetId="10">'[5]Overlap two proportions'!$AL$31</definedName>
    <definedName name="forC24" localSheetId="7">'[5]Overlap two proportions'!$AL$31</definedName>
    <definedName name="forC24">'[4]Overlap two proportions'!$AL$31</definedName>
    <definedName name="forC25" localSheetId="8">'[4]Overlap two proportions'!$AL$32</definedName>
    <definedName name="forC25" localSheetId="9">'[5]Overlap two proportions'!$AL$32</definedName>
    <definedName name="forC25" localSheetId="6">'[5]Overlap two proportions'!$AL$32</definedName>
    <definedName name="forC25" localSheetId="10">'[5]Overlap two proportions'!$AL$32</definedName>
    <definedName name="forC25" localSheetId="7">'[5]Overlap two proportions'!$AL$32</definedName>
    <definedName name="forC25">'[4]Overlap two proportions'!$AL$32</definedName>
    <definedName name="forC26" localSheetId="8">'[4]Overlap two proportions'!$AL$33</definedName>
    <definedName name="forC26" localSheetId="9">'[5]Overlap two proportions'!$AL$33</definedName>
    <definedName name="forC26" localSheetId="6">'[5]Overlap two proportions'!$AL$33</definedName>
    <definedName name="forC26" localSheetId="10">'[5]Overlap two proportions'!$AL$33</definedName>
    <definedName name="forC26" localSheetId="7">'[5]Overlap two proportions'!$AL$33</definedName>
    <definedName name="forC26">'[4]Overlap two proportions'!$AL$33</definedName>
    <definedName name="forC27" localSheetId="8">'[4]Overlap two proportions'!$AL$34</definedName>
    <definedName name="forC27" localSheetId="9">'[5]Overlap two proportions'!$AL$34</definedName>
    <definedName name="forC27" localSheetId="6">'[5]Overlap two proportions'!$AL$34</definedName>
    <definedName name="forC27" localSheetId="10">'[5]Overlap two proportions'!$AL$34</definedName>
    <definedName name="forC27" localSheetId="7">'[5]Overlap two proportions'!$AL$34</definedName>
    <definedName name="forC27">'[4]Overlap two proportions'!$AL$34</definedName>
    <definedName name="forC28" localSheetId="8">'[4]Overlap two proportions'!$AL$35</definedName>
    <definedName name="forC28" localSheetId="9">'[5]Overlap two proportions'!$AL$35</definedName>
    <definedName name="forC28" localSheetId="6">'[5]Overlap two proportions'!$AL$35</definedName>
    <definedName name="forC28" localSheetId="10">'[5]Overlap two proportions'!$AL$35</definedName>
    <definedName name="forC28" localSheetId="7">'[5]Overlap two proportions'!$AL$35</definedName>
    <definedName name="forC28">'[4]Overlap two proportions'!$AL$35</definedName>
    <definedName name="forC29" localSheetId="8">'[4]Overlap two proportions'!$AL$36</definedName>
    <definedName name="forC29" localSheetId="9">'[5]Overlap two proportions'!$AL$36</definedName>
    <definedName name="forC29" localSheetId="6">'[5]Overlap two proportions'!$AL$36</definedName>
    <definedName name="forC29" localSheetId="10">'[5]Overlap two proportions'!$AL$36</definedName>
    <definedName name="forC29" localSheetId="7">'[5]Overlap two proportions'!$AL$36</definedName>
    <definedName name="forC29">'[4]Overlap two proportions'!$AL$36</definedName>
    <definedName name="forC3" localSheetId="8">'[4]Overlap two proportions'!$AL$10</definedName>
    <definedName name="forC3" localSheetId="9">'[5]Overlap two proportions'!$AL$10</definedName>
    <definedName name="forC3" localSheetId="6">'[5]Overlap two proportions'!$AL$10</definedName>
    <definedName name="forC3" localSheetId="10">'[5]Overlap two proportions'!$AL$10</definedName>
    <definedName name="forC3" localSheetId="7">'[5]Overlap two proportions'!$AL$10</definedName>
    <definedName name="forC3">'[4]Overlap two proportions'!$AL$10</definedName>
    <definedName name="forC30" localSheetId="8">'[4]Overlap two proportions'!$AL$37</definedName>
    <definedName name="forC30" localSheetId="9">'[5]Overlap two proportions'!$AL$37</definedName>
    <definedName name="forC30" localSheetId="6">'[5]Overlap two proportions'!$AL$37</definedName>
    <definedName name="forC30" localSheetId="10">'[5]Overlap two proportions'!$AL$37</definedName>
    <definedName name="forC30" localSheetId="7">'[5]Overlap two proportions'!$AL$37</definedName>
    <definedName name="forC30">'[4]Overlap two proportions'!$AL$37</definedName>
    <definedName name="forC31" localSheetId="8">'[4]Overlap two proportions'!$AL$38</definedName>
    <definedName name="forC31" localSheetId="9">'[5]Overlap two proportions'!$AL$38</definedName>
    <definedName name="forC31" localSheetId="6">'[5]Overlap two proportions'!$AL$38</definedName>
    <definedName name="forC31" localSheetId="10">'[5]Overlap two proportions'!$AL$38</definedName>
    <definedName name="forC31" localSheetId="7">'[5]Overlap two proportions'!$AL$38</definedName>
    <definedName name="forC31">'[4]Overlap two proportions'!$AL$38</definedName>
    <definedName name="forC32" localSheetId="8">'[4]Overlap two proportions'!$AL$39</definedName>
    <definedName name="forC32" localSheetId="9">'[5]Overlap two proportions'!$AL$39</definedName>
    <definedName name="forC32" localSheetId="6">'[5]Overlap two proportions'!$AL$39</definedName>
    <definedName name="forC32" localSheetId="10">'[5]Overlap two proportions'!$AL$39</definedName>
    <definedName name="forC32" localSheetId="7">'[5]Overlap two proportions'!$AL$39</definedName>
    <definedName name="forC32">'[4]Overlap two proportions'!$AL$39</definedName>
    <definedName name="forC33" localSheetId="8">'[4]Overlap two proportions'!$AL$40</definedName>
    <definedName name="forC33" localSheetId="9">'[5]Overlap two proportions'!$AL$40</definedName>
    <definedName name="forC33" localSheetId="6">'[5]Overlap two proportions'!$AL$40</definedName>
    <definedName name="forC33" localSheetId="10">'[5]Overlap two proportions'!$AL$40</definedName>
    <definedName name="forC33" localSheetId="7">'[5]Overlap two proportions'!$AL$40</definedName>
    <definedName name="forC33">'[4]Overlap two proportions'!$AL$40</definedName>
    <definedName name="forC34" localSheetId="8">'[4]Overlap two proportions'!$AL$41</definedName>
    <definedName name="forC34" localSheetId="9">'[5]Overlap two proportions'!$AL$41</definedName>
    <definedName name="forC34" localSheetId="6">'[5]Overlap two proportions'!$AL$41</definedName>
    <definedName name="forC34" localSheetId="10">'[5]Overlap two proportions'!$AL$41</definedName>
    <definedName name="forC34" localSheetId="7">'[5]Overlap two proportions'!$AL$41</definedName>
    <definedName name="forC34">'[4]Overlap two proportions'!$AL$41</definedName>
    <definedName name="forC35" localSheetId="8">'[4]Overlap two proportions'!$AL$42</definedName>
    <definedName name="forC35" localSheetId="9">'[5]Overlap two proportions'!$AL$42</definedName>
    <definedName name="forC35" localSheetId="6">'[5]Overlap two proportions'!$AL$42</definedName>
    <definedName name="forC35" localSheetId="10">'[5]Overlap two proportions'!$AL$42</definedName>
    <definedName name="forC35" localSheetId="7">'[5]Overlap two proportions'!$AL$42</definedName>
    <definedName name="forC35">'[4]Overlap two proportions'!$AL$42</definedName>
    <definedName name="forC36" localSheetId="8">'[4]Overlap two proportions'!$AL$43</definedName>
    <definedName name="forC36" localSheetId="9">'[5]Overlap two proportions'!$AL$43</definedName>
    <definedName name="forC36" localSheetId="6">'[5]Overlap two proportions'!$AL$43</definedName>
    <definedName name="forC36" localSheetId="10">'[5]Overlap two proportions'!$AL$43</definedName>
    <definedName name="forC36" localSheetId="7">'[5]Overlap two proportions'!$AL$43</definedName>
    <definedName name="forC36">'[4]Overlap two proportions'!$AL$43</definedName>
    <definedName name="forC37" localSheetId="8">'[4]Overlap two proportions'!$AL$44</definedName>
    <definedName name="forC37" localSheetId="9">'[5]Overlap two proportions'!$AL$44</definedName>
    <definedName name="forC37" localSheetId="6">'[5]Overlap two proportions'!$AL$44</definedName>
    <definedName name="forC37" localSheetId="10">'[5]Overlap two proportions'!$AL$44</definedName>
    <definedName name="forC37" localSheetId="7">'[5]Overlap two proportions'!$AL$44</definedName>
    <definedName name="forC37">'[4]Overlap two proportions'!$AL$44</definedName>
    <definedName name="forC38" localSheetId="8">'[4]Overlap two proportions'!$AL$45</definedName>
    <definedName name="forC38" localSheetId="9">'[5]Overlap two proportions'!$AL$45</definedName>
    <definedName name="forC38" localSheetId="6">'[5]Overlap two proportions'!$AL$45</definedName>
    <definedName name="forC38" localSheetId="10">'[5]Overlap two proportions'!$AL$45</definedName>
    <definedName name="forC38" localSheetId="7">'[5]Overlap two proportions'!$AL$45</definedName>
    <definedName name="forC38">'[4]Overlap two proportions'!$AL$45</definedName>
    <definedName name="forC39" localSheetId="8">'[4]Overlap two proportions'!$AL$46</definedName>
    <definedName name="forC39" localSheetId="9">'[5]Overlap two proportions'!$AL$46</definedName>
    <definedName name="forC39" localSheetId="6">'[5]Overlap two proportions'!$AL$46</definedName>
    <definedName name="forC39" localSheetId="10">'[5]Overlap two proportions'!$AL$46</definedName>
    <definedName name="forC39" localSheetId="7">'[5]Overlap two proportions'!$AL$46</definedName>
    <definedName name="forC39">'[4]Overlap two proportions'!$AL$46</definedName>
    <definedName name="forC4" localSheetId="8">'[4]Overlap two proportions'!$AL$11</definedName>
    <definedName name="forC4" localSheetId="9">'[5]Overlap two proportions'!$AL$11</definedName>
    <definedName name="forC4" localSheetId="6">'[5]Overlap two proportions'!$AL$11</definedName>
    <definedName name="forC4" localSheetId="10">'[5]Overlap two proportions'!$AL$11</definedName>
    <definedName name="forC4" localSheetId="7">'[5]Overlap two proportions'!$AL$11</definedName>
    <definedName name="forC4">'[4]Overlap two proportions'!$AL$11</definedName>
    <definedName name="forC40" localSheetId="8">'[4]Overlap two proportions'!$AL$47</definedName>
    <definedName name="forC40" localSheetId="9">'[5]Overlap two proportions'!$AL$47</definedName>
    <definedName name="forC40" localSheetId="6">'[5]Overlap two proportions'!$AL$47</definedName>
    <definedName name="forC40" localSheetId="10">'[5]Overlap two proportions'!$AL$47</definedName>
    <definedName name="forC40" localSheetId="7">'[5]Overlap two proportions'!$AL$47</definedName>
    <definedName name="forC40">'[4]Overlap two proportions'!$AL$47</definedName>
    <definedName name="forC41" localSheetId="8">'[4]Overlap two proportions'!$AL$48</definedName>
    <definedName name="forC41" localSheetId="9">'[5]Overlap two proportions'!$AL$48</definedName>
    <definedName name="forC41" localSheetId="6">'[5]Overlap two proportions'!$AL$48</definedName>
    <definedName name="forC41" localSheetId="10">'[5]Overlap two proportions'!$AL$48</definedName>
    <definedName name="forC41" localSheetId="7">'[5]Overlap two proportions'!$AL$48</definedName>
    <definedName name="forC41">'[4]Overlap two proportions'!$AL$48</definedName>
    <definedName name="forC42" localSheetId="8">'[4]Overlap two proportions'!$AL$49</definedName>
    <definedName name="forC42" localSheetId="9">'[5]Overlap two proportions'!$AL$49</definedName>
    <definedName name="forC42" localSheetId="6">'[5]Overlap two proportions'!$AL$49</definedName>
    <definedName name="forC42" localSheetId="10">'[5]Overlap two proportions'!$AL$49</definedName>
    <definedName name="forC42" localSheetId="7">'[5]Overlap two proportions'!$AL$49</definedName>
    <definedName name="forC42">'[4]Overlap two proportions'!$AL$49</definedName>
    <definedName name="forC43" localSheetId="8">'[4]Overlap two proportions'!$AL$50</definedName>
    <definedName name="forC43" localSheetId="9">'[5]Overlap two proportions'!$AL$50</definedName>
    <definedName name="forC43" localSheetId="6">'[5]Overlap two proportions'!$AL$50</definedName>
    <definedName name="forC43" localSheetId="10">'[5]Overlap two proportions'!$AL$50</definedName>
    <definedName name="forC43" localSheetId="7">'[5]Overlap two proportions'!$AL$50</definedName>
    <definedName name="forC43">'[4]Overlap two proportions'!$AL$50</definedName>
    <definedName name="forC44" localSheetId="8">'[4]Overlap two proportions'!$AL$51</definedName>
    <definedName name="forC44" localSheetId="9">'[5]Overlap two proportions'!$AL$51</definedName>
    <definedName name="forC44" localSheetId="6">'[5]Overlap two proportions'!$AL$51</definedName>
    <definedName name="forC44" localSheetId="10">'[5]Overlap two proportions'!$AL$51</definedName>
    <definedName name="forC44" localSheetId="7">'[5]Overlap two proportions'!$AL$51</definedName>
    <definedName name="forC44">'[4]Overlap two proportions'!$AL$51</definedName>
    <definedName name="forC45" localSheetId="8">'[4]Overlap two proportions'!$AL$52</definedName>
    <definedName name="forC45" localSheetId="9">'[5]Overlap two proportions'!$AL$52</definedName>
    <definedName name="forC45" localSheetId="6">'[5]Overlap two proportions'!$AL$52</definedName>
    <definedName name="forC45" localSheetId="10">'[5]Overlap two proportions'!$AL$52</definedName>
    <definedName name="forC45" localSheetId="7">'[5]Overlap two proportions'!$AL$52</definedName>
    <definedName name="forC45">'[4]Overlap two proportions'!$AL$52</definedName>
    <definedName name="forC46" localSheetId="8">'[4]Overlap two proportions'!$AL$53</definedName>
    <definedName name="forC46" localSheetId="9">'[5]Overlap two proportions'!$AL$53</definedName>
    <definedName name="forC46" localSheetId="6">'[5]Overlap two proportions'!$AL$53</definedName>
    <definedName name="forC46" localSheetId="10">'[5]Overlap two proportions'!$AL$53</definedName>
    <definedName name="forC46" localSheetId="7">'[5]Overlap two proportions'!$AL$53</definedName>
    <definedName name="forC46">'[4]Overlap two proportions'!$AL$53</definedName>
    <definedName name="forC47" localSheetId="8">'[4]Overlap two proportions'!$AL$54</definedName>
    <definedName name="forC47" localSheetId="9">'[5]Overlap two proportions'!$AL$54</definedName>
    <definedName name="forC47" localSheetId="6">'[5]Overlap two proportions'!$AL$54</definedName>
    <definedName name="forC47" localSheetId="10">'[5]Overlap two proportions'!$AL$54</definedName>
    <definedName name="forC47" localSheetId="7">'[5]Overlap two proportions'!$AL$54</definedName>
    <definedName name="forC47">'[4]Overlap two proportions'!$AL$54</definedName>
    <definedName name="forC48" localSheetId="8">'[4]Overlap two proportions'!$AL$55</definedName>
    <definedName name="forC48" localSheetId="9">'[5]Overlap two proportions'!$AL$55</definedName>
    <definedName name="forC48" localSheetId="6">'[5]Overlap two proportions'!$AL$55</definedName>
    <definedName name="forC48" localSheetId="10">'[5]Overlap two proportions'!$AL$55</definedName>
    <definedName name="forC48" localSheetId="7">'[5]Overlap two proportions'!$AL$55</definedName>
    <definedName name="forC48">'[4]Overlap two proportions'!$AL$55</definedName>
    <definedName name="forC49" localSheetId="8">'[4]Overlap two proportions'!$AL$56</definedName>
    <definedName name="forC49" localSheetId="9">'[5]Overlap two proportions'!$AL$56</definedName>
    <definedName name="forC49" localSheetId="6">'[5]Overlap two proportions'!$AL$56</definedName>
    <definedName name="forC49" localSheetId="10">'[5]Overlap two proportions'!$AL$56</definedName>
    <definedName name="forC49" localSheetId="7">'[5]Overlap two proportions'!$AL$56</definedName>
    <definedName name="forC49">'[4]Overlap two proportions'!$AL$56</definedName>
    <definedName name="forC5" localSheetId="8">'[4]Overlap two proportions'!$AL$12</definedName>
    <definedName name="forC5" localSheetId="9">'[5]Overlap two proportions'!$AL$12</definedName>
    <definedName name="forC5" localSheetId="6">'[5]Overlap two proportions'!$AL$12</definedName>
    <definedName name="forC5" localSheetId="10">'[5]Overlap two proportions'!$AL$12</definedName>
    <definedName name="forC5" localSheetId="7">'[5]Overlap two proportions'!$AL$12</definedName>
    <definedName name="forC5">'[4]Overlap two proportions'!$AL$12</definedName>
    <definedName name="forC50" localSheetId="8">'[4]Overlap two proportions'!$AL$57</definedName>
    <definedName name="forC50" localSheetId="9">'[5]Overlap two proportions'!$AL$57</definedName>
    <definedName name="forC50" localSheetId="6">'[5]Overlap two proportions'!$AL$57</definedName>
    <definedName name="forC50" localSheetId="10">'[5]Overlap two proportions'!$AL$57</definedName>
    <definedName name="forC50" localSheetId="7">'[5]Overlap two proportions'!$AL$57</definedName>
    <definedName name="forC50">'[4]Overlap two proportions'!$AL$57</definedName>
    <definedName name="forC51" localSheetId="8">'[4]Overlap two proportions'!$AL$58</definedName>
    <definedName name="forC51" localSheetId="9">'[5]Overlap two proportions'!$AL$58</definedName>
    <definedName name="forC51" localSheetId="6">'[5]Overlap two proportions'!$AL$58</definedName>
    <definedName name="forC51" localSheetId="10">'[5]Overlap two proportions'!$AL$58</definedName>
    <definedName name="forC51" localSheetId="7">'[5]Overlap two proportions'!$AL$58</definedName>
    <definedName name="forC51">'[4]Overlap two proportions'!$AL$58</definedName>
    <definedName name="forC52" localSheetId="8">'[4]Overlap two proportions'!$AL$59</definedName>
    <definedName name="forC52" localSheetId="9">'[5]Overlap two proportions'!$AL$59</definedName>
    <definedName name="forC52" localSheetId="6">'[5]Overlap two proportions'!$AL$59</definedName>
    <definedName name="forC52" localSheetId="10">'[5]Overlap two proportions'!$AL$59</definedName>
    <definedName name="forC52" localSheetId="7">'[5]Overlap two proportions'!$AL$59</definedName>
    <definedName name="forC52">'[4]Overlap two proportions'!$AL$59</definedName>
    <definedName name="forC53" localSheetId="8">'[4]Overlap two proportions'!$AL$60</definedName>
    <definedName name="forC53" localSheetId="9">'[5]Overlap two proportions'!$AL$60</definedName>
    <definedName name="forC53" localSheetId="6">'[5]Overlap two proportions'!$AL$60</definedName>
    <definedName name="forC53" localSheetId="10">'[5]Overlap two proportions'!$AL$60</definedName>
    <definedName name="forC53" localSheetId="7">'[5]Overlap two proportions'!$AL$60</definedName>
    <definedName name="forC53">'[4]Overlap two proportions'!$AL$60</definedName>
    <definedName name="forC54" localSheetId="8">'[4]Overlap two proportions'!$AL$61</definedName>
    <definedName name="forC54" localSheetId="9">'[5]Overlap two proportions'!$AL$61</definedName>
    <definedName name="forC54" localSheetId="6">'[5]Overlap two proportions'!$AL$61</definedName>
    <definedName name="forC54" localSheetId="10">'[5]Overlap two proportions'!$AL$61</definedName>
    <definedName name="forC54" localSheetId="7">'[5]Overlap two proportions'!$AL$61</definedName>
    <definedName name="forC54">'[4]Overlap two proportions'!$AL$61</definedName>
    <definedName name="forC55" localSheetId="8">'[4]Overlap two proportions'!$AL$62</definedName>
    <definedName name="forC55" localSheetId="9">'[5]Overlap two proportions'!$AL$62</definedName>
    <definedName name="forC55" localSheetId="6">'[5]Overlap two proportions'!$AL$62</definedName>
    <definedName name="forC55" localSheetId="10">'[5]Overlap two proportions'!$AL$62</definedName>
    <definedName name="forC55" localSheetId="7">'[5]Overlap two proportions'!$AL$62</definedName>
    <definedName name="forC55">'[4]Overlap two proportions'!$AL$62</definedName>
    <definedName name="forC56" localSheetId="8">'[4]Overlap two proportions'!$AL$63</definedName>
    <definedName name="forC56" localSheetId="9">'[5]Overlap two proportions'!$AL$63</definedName>
    <definedName name="forC56" localSheetId="6">'[5]Overlap two proportions'!$AL$63</definedName>
    <definedName name="forC56" localSheetId="10">'[5]Overlap two proportions'!$AL$63</definedName>
    <definedName name="forC56" localSheetId="7">'[5]Overlap two proportions'!$AL$63</definedName>
    <definedName name="forC56">'[4]Overlap two proportions'!$AL$63</definedName>
    <definedName name="forC57" localSheetId="8">'[4]Overlap two proportions'!$AL$64</definedName>
    <definedName name="forC57" localSheetId="9">'[5]Overlap two proportions'!$AL$64</definedName>
    <definedName name="forC57" localSheetId="6">'[5]Overlap two proportions'!$AL$64</definedName>
    <definedName name="forC57" localSheetId="10">'[5]Overlap two proportions'!$AL$64</definedName>
    <definedName name="forC57" localSheetId="7">'[5]Overlap two proportions'!$AL$64</definedName>
    <definedName name="forC57">'[4]Overlap two proportions'!$AL$64</definedName>
    <definedName name="forC58" localSheetId="8">'[4]Overlap two proportions'!$AL$65</definedName>
    <definedName name="forC58" localSheetId="9">'[5]Overlap two proportions'!$AL$65</definedName>
    <definedName name="forC58" localSheetId="6">'[5]Overlap two proportions'!$AL$65</definedName>
    <definedName name="forC58" localSheetId="10">'[5]Overlap two proportions'!$AL$65</definedName>
    <definedName name="forC58" localSheetId="7">'[5]Overlap two proportions'!$AL$65</definedName>
    <definedName name="forC58">'[4]Overlap two proportions'!$AL$65</definedName>
    <definedName name="forC59" localSheetId="8">'[4]Overlap two proportions'!$AL$66</definedName>
    <definedName name="forC59" localSheetId="9">'[5]Overlap two proportions'!$AL$66</definedName>
    <definedName name="forC59" localSheetId="6">'[5]Overlap two proportions'!$AL$66</definedName>
    <definedName name="forC59" localSheetId="10">'[5]Overlap two proportions'!$AL$66</definedName>
    <definedName name="forC59" localSheetId="7">'[5]Overlap two proportions'!$AL$66</definedName>
    <definedName name="forC59">'[4]Overlap two proportions'!$AL$66</definedName>
    <definedName name="forC6" localSheetId="8">'[4]Overlap two proportions'!$AL$13</definedName>
    <definedName name="forC6" localSheetId="9">'[5]Overlap two proportions'!$AL$13</definedName>
    <definedName name="forC6" localSheetId="6">'[5]Overlap two proportions'!$AL$13</definedName>
    <definedName name="forC6" localSheetId="10">'[5]Overlap two proportions'!$AL$13</definedName>
    <definedName name="forC6" localSheetId="7">'[5]Overlap two proportions'!$AL$13</definedName>
    <definedName name="forC6">'[4]Overlap two proportions'!$AL$13</definedName>
    <definedName name="forC60" localSheetId="8">'[4]Overlap two proportions'!$AL$67</definedName>
    <definedName name="forC60" localSheetId="9">'[5]Overlap two proportions'!$AL$67</definedName>
    <definedName name="forC60" localSheetId="6">'[5]Overlap two proportions'!$AL$67</definedName>
    <definedName name="forC60" localSheetId="10">'[5]Overlap two proportions'!$AL$67</definedName>
    <definedName name="forC60" localSheetId="7">'[5]Overlap two proportions'!$AL$67</definedName>
    <definedName name="forC60">'[4]Overlap two proportions'!$AL$67</definedName>
    <definedName name="forC7" localSheetId="8">'[4]Overlap two proportions'!$AL$14</definedName>
    <definedName name="forC7" localSheetId="9">'[5]Overlap two proportions'!$AL$14</definedName>
    <definedName name="forC7" localSheetId="6">'[5]Overlap two proportions'!$AL$14</definedName>
    <definedName name="forC7" localSheetId="10">'[5]Overlap two proportions'!$AL$14</definedName>
    <definedName name="forC7" localSheetId="7">'[5]Overlap two proportions'!$AL$14</definedName>
    <definedName name="forC7">'[4]Overlap two proportions'!$AL$14</definedName>
    <definedName name="forC8" localSheetId="8">'[4]Overlap two proportions'!$AL$15</definedName>
    <definedName name="forC8" localSheetId="9">'[5]Overlap two proportions'!$AL$15</definedName>
    <definedName name="forC8" localSheetId="6">'[5]Overlap two proportions'!$AL$15</definedName>
    <definedName name="forC8" localSheetId="10">'[5]Overlap two proportions'!$AL$15</definedName>
    <definedName name="forC8" localSheetId="7">'[5]Overlap two proportions'!$AL$15</definedName>
    <definedName name="forC8">'[4]Overlap two proportions'!$AL$15</definedName>
    <definedName name="forC9" localSheetId="8">'[4]Overlap two proportions'!$AL$16</definedName>
    <definedName name="forC9" localSheetId="9">'[5]Overlap two proportions'!$AL$16</definedName>
    <definedName name="forC9" localSheetId="6">'[5]Overlap two proportions'!$AL$16</definedName>
    <definedName name="forC9" localSheetId="10">'[5]Overlap two proportions'!$AL$16</definedName>
    <definedName name="forC9" localSheetId="7">'[5]Overlap two proportions'!$AL$16</definedName>
    <definedName name="forC9">'[4]Overlap two proportions'!$AL$16</definedName>
    <definedName name="forCd1" localSheetId="8">'[4]Overlap two proportions'!$BN$8</definedName>
    <definedName name="forCd1" localSheetId="9">'[5]Overlap two proportions'!$BN$8</definedName>
    <definedName name="forCd1" localSheetId="6">'[5]Overlap two proportions'!$BN$8</definedName>
    <definedName name="forCd1" localSheetId="10">'[5]Overlap two proportions'!$BN$8</definedName>
    <definedName name="forCd1" localSheetId="7">'[5]Overlap two proportions'!$BN$8</definedName>
    <definedName name="forCd1">'[4]Overlap two proportions'!$BN$8</definedName>
    <definedName name="forCd10" localSheetId="8">'[4]Overlap two proportions'!$BN$17</definedName>
    <definedName name="forCd10" localSheetId="9">'[5]Overlap two proportions'!$BN$17</definedName>
    <definedName name="forCd10" localSheetId="6">'[5]Overlap two proportions'!$BN$17</definedName>
    <definedName name="forCd10" localSheetId="10">'[5]Overlap two proportions'!$BN$17</definedName>
    <definedName name="forCd10" localSheetId="7">'[5]Overlap two proportions'!$BN$17</definedName>
    <definedName name="forCd10">'[4]Overlap two proportions'!$BN$17</definedName>
    <definedName name="forCd11" localSheetId="8">'[4]Overlap two proportions'!$BN$18</definedName>
    <definedName name="forCd11" localSheetId="9">'[5]Overlap two proportions'!$BN$18</definedName>
    <definedName name="forCd11" localSheetId="6">'[5]Overlap two proportions'!$BN$18</definedName>
    <definedName name="forCd11" localSheetId="10">'[5]Overlap two proportions'!$BN$18</definedName>
    <definedName name="forCd11" localSheetId="7">'[5]Overlap two proportions'!$BN$18</definedName>
    <definedName name="forCd11">'[4]Overlap two proportions'!$BN$18</definedName>
    <definedName name="forCd12" localSheetId="8">'[4]Overlap two proportions'!$BN$19</definedName>
    <definedName name="forCd12" localSheetId="9">'[5]Overlap two proportions'!$BN$19</definedName>
    <definedName name="forCd12" localSheetId="6">'[5]Overlap two proportions'!$BN$19</definedName>
    <definedName name="forCd12" localSheetId="10">'[5]Overlap two proportions'!$BN$19</definedName>
    <definedName name="forCd12" localSheetId="7">'[5]Overlap two proportions'!$BN$19</definedName>
    <definedName name="forCd12">'[4]Overlap two proportions'!$BN$19</definedName>
    <definedName name="forCd13" localSheetId="8">'[4]Overlap two proportions'!$BN$20</definedName>
    <definedName name="forCd13" localSheetId="9">'[5]Overlap two proportions'!$BN$20</definedName>
    <definedName name="forCd13" localSheetId="6">'[5]Overlap two proportions'!$BN$20</definedName>
    <definedName name="forCd13" localSheetId="10">'[5]Overlap two proportions'!$BN$20</definedName>
    <definedName name="forCd13" localSheetId="7">'[5]Overlap two proportions'!$BN$20</definedName>
    <definedName name="forCd13">'[4]Overlap two proportions'!$BN$20</definedName>
    <definedName name="forCd14" localSheetId="8">'[4]Overlap two proportions'!$BN$21</definedName>
    <definedName name="forCd14" localSheetId="9">'[5]Overlap two proportions'!$BN$21</definedName>
    <definedName name="forCd14" localSheetId="6">'[5]Overlap two proportions'!$BN$21</definedName>
    <definedName name="forCd14" localSheetId="10">'[5]Overlap two proportions'!$BN$21</definedName>
    <definedName name="forCd14" localSheetId="7">'[5]Overlap two proportions'!$BN$21</definedName>
    <definedName name="forCd14">'[4]Overlap two proportions'!$BN$21</definedName>
    <definedName name="forCd15" localSheetId="8">'[4]Overlap two proportions'!$BN$22</definedName>
    <definedName name="forCd15" localSheetId="9">'[5]Overlap two proportions'!$BN$22</definedName>
    <definedName name="forCd15" localSheetId="6">'[5]Overlap two proportions'!$BN$22</definedName>
    <definedName name="forCd15" localSheetId="10">'[5]Overlap two proportions'!$BN$22</definedName>
    <definedName name="forCd15" localSheetId="7">'[5]Overlap two proportions'!$BN$22</definedName>
    <definedName name="forCd15">'[4]Overlap two proportions'!$BN$22</definedName>
    <definedName name="forCd16" localSheetId="8">'[4]Overlap two proportions'!$BN$23</definedName>
    <definedName name="forCd16" localSheetId="9">'[5]Overlap two proportions'!$BN$23</definedName>
    <definedName name="forCd16" localSheetId="6">'[5]Overlap two proportions'!$BN$23</definedName>
    <definedName name="forCd16" localSheetId="10">'[5]Overlap two proportions'!$BN$23</definedName>
    <definedName name="forCd16" localSheetId="7">'[5]Overlap two proportions'!$BN$23</definedName>
    <definedName name="forCd16">'[4]Overlap two proportions'!$BN$23</definedName>
    <definedName name="forCd17" localSheetId="8">'[4]Overlap two proportions'!$BN$24</definedName>
    <definedName name="forCd17" localSheetId="9">'[5]Overlap two proportions'!$BN$24</definedName>
    <definedName name="forCd17" localSheetId="6">'[5]Overlap two proportions'!$BN$24</definedName>
    <definedName name="forCd17" localSheetId="10">'[5]Overlap two proportions'!$BN$24</definedName>
    <definedName name="forCd17" localSheetId="7">'[5]Overlap two proportions'!$BN$24</definedName>
    <definedName name="forCd17">'[4]Overlap two proportions'!$BN$24</definedName>
    <definedName name="forCd18" localSheetId="8">'[4]Overlap two proportions'!$BN$25</definedName>
    <definedName name="forCd18" localSheetId="9">'[5]Overlap two proportions'!$BN$25</definedName>
    <definedName name="forCd18" localSheetId="6">'[5]Overlap two proportions'!$BN$25</definedName>
    <definedName name="forCd18" localSheetId="10">'[5]Overlap two proportions'!$BN$25</definedName>
    <definedName name="forCd18" localSheetId="7">'[5]Overlap two proportions'!$BN$25</definedName>
    <definedName name="forCd18">'[4]Overlap two proportions'!$BN$25</definedName>
    <definedName name="forCd19" localSheetId="8">'[4]Overlap two proportions'!$BN$26</definedName>
    <definedName name="forCd19" localSheetId="9">'[5]Overlap two proportions'!$BN$26</definedName>
    <definedName name="forCd19" localSheetId="6">'[5]Overlap two proportions'!$BN$26</definedName>
    <definedName name="forCd19" localSheetId="10">'[5]Overlap two proportions'!$BN$26</definedName>
    <definedName name="forCd19" localSheetId="7">'[5]Overlap two proportions'!$BN$26</definedName>
    <definedName name="forCd19">'[4]Overlap two proportions'!$BN$26</definedName>
    <definedName name="forCd2" localSheetId="8">'[4]Overlap two proportions'!$BN$9</definedName>
    <definedName name="forCd2" localSheetId="9">'[5]Overlap two proportions'!$BN$9</definedName>
    <definedName name="forCd2" localSheetId="6">'[5]Overlap two proportions'!$BN$9</definedName>
    <definedName name="forCd2" localSheetId="10">'[5]Overlap two proportions'!$BN$9</definedName>
    <definedName name="forCd2" localSheetId="7">'[5]Overlap two proportions'!$BN$9</definedName>
    <definedName name="forCd2">'[4]Overlap two proportions'!$BN$9</definedName>
    <definedName name="forCd20" localSheetId="8">'[4]Overlap two proportions'!$BN$27</definedName>
    <definedName name="forCd20" localSheetId="9">'[5]Overlap two proportions'!$BN$27</definedName>
    <definedName name="forCd20" localSheetId="6">'[5]Overlap two proportions'!$BN$27</definedName>
    <definedName name="forCd20" localSheetId="10">'[5]Overlap two proportions'!$BN$27</definedName>
    <definedName name="forCd20" localSheetId="7">'[5]Overlap two proportions'!$BN$27</definedName>
    <definedName name="forCd20">'[4]Overlap two proportions'!$BN$27</definedName>
    <definedName name="forCd21" localSheetId="8">'[4]Overlap two proportions'!$BN$28</definedName>
    <definedName name="forCd21" localSheetId="9">'[5]Overlap two proportions'!$BN$28</definedName>
    <definedName name="forCd21" localSheetId="6">'[5]Overlap two proportions'!$BN$28</definedName>
    <definedName name="forCd21" localSheetId="10">'[5]Overlap two proportions'!$BN$28</definedName>
    <definedName name="forCd21" localSheetId="7">'[5]Overlap two proportions'!$BN$28</definedName>
    <definedName name="forCd21">'[4]Overlap two proportions'!$BN$28</definedName>
    <definedName name="forCd22" localSheetId="8">'[4]Overlap two proportions'!$BN$29</definedName>
    <definedName name="forCd22" localSheetId="9">'[5]Overlap two proportions'!$BN$29</definedName>
    <definedName name="forCd22" localSheetId="6">'[5]Overlap two proportions'!$BN$29</definedName>
    <definedName name="forCd22" localSheetId="10">'[5]Overlap two proportions'!$BN$29</definedName>
    <definedName name="forCd22" localSheetId="7">'[5]Overlap two proportions'!$BN$29</definedName>
    <definedName name="forCd22">'[4]Overlap two proportions'!$BN$29</definedName>
    <definedName name="forCd23" localSheetId="8">'[4]Overlap two proportions'!$BN$30</definedName>
    <definedName name="forCd23" localSheetId="9">'[5]Overlap two proportions'!$BN$30</definedName>
    <definedName name="forCd23" localSheetId="6">'[5]Overlap two proportions'!$BN$30</definedName>
    <definedName name="forCd23" localSheetId="10">'[5]Overlap two proportions'!$BN$30</definedName>
    <definedName name="forCd23" localSheetId="7">'[5]Overlap two proportions'!$BN$30</definedName>
    <definedName name="forCd23">'[4]Overlap two proportions'!$BN$30</definedName>
    <definedName name="forCd24" localSheetId="8">'[4]Overlap two proportions'!$BN$31</definedName>
    <definedName name="forCd24" localSheetId="9">'[5]Overlap two proportions'!$BN$31</definedName>
    <definedName name="forCd24" localSheetId="6">'[5]Overlap two proportions'!$BN$31</definedName>
    <definedName name="forCd24" localSheetId="10">'[5]Overlap two proportions'!$BN$31</definedName>
    <definedName name="forCd24" localSheetId="7">'[5]Overlap two proportions'!$BN$31</definedName>
    <definedName name="forCd24">'[4]Overlap two proportions'!$BN$31</definedName>
    <definedName name="forCd25" localSheetId="8">'[4]Overlap two proportions'!$BN$32</definedName>
    <definedName name="forCd25" localSheetId="9">'[5]Overlap two proportions'!$BN$32</definedName>
    <definedName name="forCd25" localSheetId="6">'[5]Overlap two proportions'!$BN$32</definedName>
    <definedName name="forCd25" localSheetId="10">'[5]Overlap two proportions'!$BN$32</definedName>
    <definedName name="forCd25" localSheetId="7">'[5]Overlap two proportions'!$BN$32</definedName>
    <definedName name="forCd25">'[4]Overlap two proportions'!$BN$32</definedName>
    <definedName name="forCd26" localSheetId="8">'[4]Overlap two proportions'!$BN$33</definedName>
    <definedName name="forCd26" localSheetId="9">'[5]Overlap two proportions'!$BN$33</definedName>
    <definedName name="forCd26" localSheetId="6">'[5]Overlap two proportions'!$BN$33</definedName>
    <definedName name="forCd26" localSheetId="10">'[5]Overlap two proportions'!$BN$33</definedName>
    <definedName name="forCd26" localSheetId="7">'[5]Overlap two proportions'!$BN$33</definedName>
    <definedName name="forCd26">'[4]Overlap two proportions'!$BN$33</definedName>
    <definedName name="forCd27" localSheetId="8">'[4]Overlap two proportions'!$BN$34</definedName>
    <definedName name="forCd27" localSheetId="9">'[5]Overlap two proportions'!$BN$34</definedName>
    <definedName name="forCd27" localSheetId="6">'[5]Overlap two proportions'!$BN$34</definedName>
    <definedName name="forCd27" localSheetId="10">'[5]Overlap two proportions'!$BN$34</definedName>
    <definedName name="forCd27" localSheetId="7">'[5]Overlap two proportions'!$BN$34</definedName>
    <definedName name="forCd27">'[4]Overlap two proportions'!$BN$34</definedName>
    <definedName name="forCd28" localSheetId="8">'[4]Overlap two proportions'!$BN$35</definedName>
    <definedName name="forCd28" localSheetId="9">'[5]Overlap two proportions'!$BN$35</definedName>
    <definedName name="forCd28" localSheetId="6">'[5]Overlap two proportions'!$BN$35</definedName>
    <definedName name="forCd28" localSheetId="10">'[5]Overlap two proportions'!$BN$35</definedName>
    <definedName name="forCd28" localSheetId="7">'[5]Overlap two proportions'!$BN$35</definedName>
    <definedName name="forCd28">'[4]Overlap two proportions'!$BN$35</definedName>
    <definedName name="forCd29" localSheetId="8">'[4]Overlap two proportions'!$BN$36</definedName>
    <definedName name="forCd29" localSheetId="9">'[5]Overlap two proportions'!$BN$36</definedName>
    <definedName name="forCd29" localSheetId="6">'[5]Overlap two proportions'!$BN$36</definedName>
    <definedName name="forCd29" localSheetId="10">'[5]Overlap two proportions'!$BN$36</definedName>
    <definedName name="forCd29" localSheetId="7">'[5]Overlap two proportions'!$BN$36</definedName>
    <definedName name="forCd29">'[4]Overlap two proportions'!$BN$36</definedName>
    <definedName name="forCd3" localSheetId="8">'[4]Overlap two proportions'!$BN$10</definedName>
    <definedName name="forCd3" localSheetId="9">'[5]Overlap two proportions'!$BN$10</definedName>
    <definedName name="forCd3" localSheetId="6">'[5]Overlap two proportions'!$BN$10</definedName>
    <definedName name="forCd3" localSheetId="10">'[5]Overlap two proportions'!$BN$10</definedName>
    <definedName name="forCd3" localSheetId="7">'[5]Overlap two proportions'!$BN$10</definedName>
    <definedName name="forCd3">'[4]Overlap two proportions'!$BN$10</definedName>
    <definedName name="forCd30" localSheetId="8">'[4]Overlap two proportions'!$BN$37</definedName>
    <definedName name="forCd30" localSheetId="9">'[5]Overlap two proportions'!$BN$37</definedName>
    <definedName name="forCd30" localSheetId="6">'[5]Overlap two proportions'!$BN$37</definedName>
    <definedName name="forCd30" localSheetId="10">'[5]Overlap two proportions'!$BN$37</definedName>
    <definedName name="forCd30" localSheetId="7">'[5]Overlap two proportions'!$BN$37</definedName>
    <definedName name="forCd30">'[4]Overlap two proportions'!$BN$37</definedName>
    <definedName name="forCd31" localSheetId="8">'[4]Overlap two proportions'!$BN$38</definedName>
    <definedName name="forCd31" localSheetId="9">'[5]Overlap two proportions'!$BN$38</definedName>
    <definedName name="forCd31" localSheetId="6">'[5]Overlap two proportions'!$BN$38</definedName>
    <definedName name="forCd31" localSheetId="10">'[5]Overlap two proportions'!$BN$38</definedName>
    <definedName name="forCd31" localSheetId="7">'[5]Overlap two proportions'!$BN$38</definedName>
    <definedName name="forCd31">'[4]Overlap two proportions'!$BN$38</definedName>
    <definedName name="forCd32" localSheetId="8">'[4]Overlap two proportions'!$BN$39</definedName>
    <definedName name="forCd32" localSheetId="9">'[5]Overlap two proportions'!$BN$39</definedName>
    <definedName name="forCd32" localSheetId="6">'[5]Overlap two proportions'!$BN$39</definedName>
    <definedName name="forCd32" localSheetId="10">'[5]Overlap two proportions'!$BN$39</definedName>
    <definedName name="forCd32" localSheetId="7">'[5]Overlap two proportions'!$BN$39</definedName>
    <definedName name="forCd32">'[4]Overlap two proportions'!$BN$39</definedName>
    <definedName name="forCd33" localSheetId="8">'[4]Overlap two proportions'!$BN$40</definedName>
    <definedName name="forCd33" localSheetId="9">'[5]Overlap two proportions'!$BN$40</definedName>
    <definedName name="forCd33" localSheetId="6">'[5]Overlap two proportions'!$BN$40</definedName>
    <definedName name="forCd33" localSheetId="10">'[5]Overlap two proportions'!$BN$40</definedName>
    <definedName name="forCd33" localSheetId="7">'[5]Overlap two proportions'!$BN$40</definedName>
    <definedName name="forCd33">'[4]Overlap two proportions'!$BN$40</definedName>
    <definedName name="forCd34" localSheetId="8">'[4]Overlap two proportions'!$BN$41</definedName>
    <definedName name="forCd34" localSheetId="9">'[5]Overlap two proportions'!$BN$41</definedName>
    <definedName name="forCd34" localSheetId="6">'[5]Overlap two proportions'!$BN$41</definedName>
    <definedName name="forCd34" localSheetId="10">'[5]Overlap two proportions'!$BN$41</definedName>
    <definedName name="forCd34" localSheetId="7">'[5]Overlap two proportions'!$BN$41</definedName>
    <definedName name="forCd34">'[4]Overlap two proportions'!$BN$41</definedName>
    <definedName name="forCd35" localSheetId="8">'[4]Overlap two proportions'!$BN$42</definedName>
    <definedName name="forCd35" localSheetId="9">'[5]Overlap two proportions'!$BN$42</definedName>
    <definedName name="forCd35" localSheetId="6">'[5]Overlap two proportions'!$BN$42</definedName>
    <definedName name="forCd35" localSheetId="10">'[5]Overlap two proportions'!$BN$42</definedName>
    <definedName name="forCd35" localSheetId="7">'[5]Overlap two proportions'!$BN$42</definedName>
    <definedName name="forCd35">'[4]Overlap two proportions'!$BN$42</definedName>
    <definedName name="forCd36" localSheetId="8">'[4]Overlap two proportions'!$BN$43</definedName>
    <definedName name="forCd36" localSheetId="9">'[5]Overlap two proportions'!$BN$43</definedName>
    <definedName name="forCd36" localSheetId="6">'[5]Overlap two proportions'!$BN$43</definedName>
    <definedName name="forCd36" localSheetId="10">'[5]Overlap two proportions'!$BN$43</definedName>
    <definedName name="forCd36" localSheetId="7">'[5]Overlap two proportions'!$BN$43</definedName>
    <definedName name="forCd36">'[4]Overlap two proportions'!$BN$43</definedName>
    <definedName name="forCd37" localSheetId="8">'[4]Overlap two proportions'!$BN$44</definedName>
    <definedName name="forCd37" localSheetId="9">'[5]Overlap two proportions'!$BN$44</definedName>
    <definedName name="forCd37" localSheetId="6">'[5]Overlap two proportions'!$BN$44</definedName>
    <definedName name="forCd37" localSheetId="10">'[5]Overlap two proportions'!$BN$44</definedName>
    <definedName name="forCd37" localSheetId="7">'[5]Overlap two proportions'!$BN$44</definedName>
    <definedName name="forCd37">'[4]Overlap two proportions'!$BN$44</definedName>
    <definedName name="forCd38" localSheetId="8">'[4]Overlap two proportions'!$BN$45</definedName>
    <definedName name="forCd38" localSheetId="9">'[5]Overlap two proportions'!$BN$45</definedName>
    <definedName name="forCd38" localSheetId="6">'[5]Overlap two proportions'!$BN$45</definedName>
    <definedName name="forCd38" localSheetId="10">'[5]Overlap two proportions'!$BN$45</definedName>
    <definedName name="forCd38" localSheetId="7">'[5]Overlap two proportions'!$BN$45</definedName>
    <definedName name="forCd38">'[4]Overlap two proportions'!$BN$45</definedName>
    <definedName name="forCd39" localSheetId="8">'[4]Overlap two proportions'!$BN$46</definedName>
    <definedName name="forCd39" localSheetId="9">'[5]Overlap two proportions'!$BN$46</definedName>
    <definedName name="forCd39" localSheetId="6">'[5]Overlap two proportions'!$BN$46</definedName>
    <definedName name="forCd39" localSheetId="10">'[5]Overlap two proportions'!$BN$46</definedName>
    <definedName name="forCd39" localSheetId="7">'[5]Overlap two proportions'!$BN$46</definedName>
    <definedName name="forCd39">'[4]Overlap two proportions'!$BN$46</definedName>
    <definedName name="forCd4" localSheetId="8">'[4]Overlap two proportions'!$BN$11</definedName>
    <definedName name="forCd4" localSheetId="9">'[5]Overlap two proportions'!$BN$11</definedName>
    <definedName name="forCd4" localSheetId="6">'[5]Overlap two proportions'!$BN$11</definedName>
    <definedName name="forCd4" localSheetId="10">'[5]Overlap two proportions'!$BN$11</definedName>
    <definedName name="forCd4" localSheetId="7">'[5]Overlap two proportions'!$BN$11</definedName>
    <definedName name="forCd4">'[4]Overlap two proportions'!$BN$11</definedName>
    <definedName name="forCd40" localSheetId="8">'[4]Overlap two proportions'!$BN$47</definedName>
    <definedName name="forCd40" localSheetId="9">'[5]Overlap two proportions'!$BN$47</definedName>
    <definedName name="forCd40" localSheetId="6">'[5]Overlap two proportions'!$BN$47</definedName>
    <definedName name="forCd40" localSheetId="10">'[5]Overlap two proportions'!$BN$47</definedName>
    <definedName name="forCd40" localSheetId="7">'[5]Overlap two proportions'!$BN$47</definedName>
    <definedName name="forCd40">'[4]Overlap two proportions'!$BN$47</definedName>
    <definedName name="forCd41" localSheetId="8">'[4]Overlap two proportions'!$BN$48</definedName>
    <definedName name="forCd41" localSheetId="9">'[5]Overlap two proportions'!$BN$48</definedName>
    <definedName name="forCd41" localSheetId="6">'[5]Overlap two proportions'!$BN$48</definedName>
    <definedName name="forCd41" localSheetId="10">'[5]Overlap two proportions'!$BN$48</definedName>
    <definedName name="forCd41" localSheetId="7">'[5]Overlap two proportions'!$BN$48</definedName>
    <definedName name="forCd41">'[4]Overlap two proportions'!$BN$48</definedName>
    <definedName name="forCd42" localSheetId="8">'[4]Overlap two proportions'!$BN$49</definedName>
    <definedName name="forCd42" localSheetId="9">'[5]Overlap two proportions'!$BN$49</definedName>
    <definedName name="forCd42" localSheetId="6">'[5]Overlap two proportions'!$BN$49</definedName>
    <definedName name="forCd42" localSheetId="10">'[5]Overlap two proportions'!$BN$49</definedName>
    <definedName name="forCd42" localSheetId="7">'[5]Overlap two proportions'!$BN$49</definedName>
    <definedName name="forCd42">'[4]Overlap two proportions'!$BN$49</definedName>
    <definedName name="forCd43" localSheetId="8">'[4]Overlap two proportions'!$BN$50</definedName>
    <definedName name="forCd43" localSheetId="9">'[5]Overlap two proportions'!$BN$50</definedName>
    <definedName name="forCd43" localSheetId="6">'[5]Overlap two proportions'!$BN$50</definedName>
    <definedName name="forCd43" localSheetId="10">'[5]Overlap two proportions'!$BN$50</definedName>
    <definedName name="forCd43" localSheetId="7">'[5]Overlap two proportions'!$BN$50</definedName>
    <definedName name="forCd43">'[4]Overlap two proportions'!$BN$50</definedName>
    <definedName name="forCd44" localSheetId="8">'[4]Overlap two proportions'!$BN$51</definedName>
    <definedName name="forCd44" localSheetId="9">'[5]Overlap two proportions'!$BN$51</definedName>
    <definedName name="forCd44" localSheetId="6">'[5]Overlap two proportions'!$BN$51</definedName>
    <definedName name="forCd44" localSheetId="10">'[5]Overlap two proportions'!$BN$51</definedName>
    <definedName name="forCd44" localSheetId="7">'[5]Overlap two proportions'!$BN$51</definedName>
    <definedName name="forCd44">'[4]Overlap two proportions'!$BN$51</definedName>
    <definedName name="forCd45" localSheetId="8">'[4]Overlap two proportions'!$BN$52</definedName>
    <definedName name="forCd45" localSheetId="9">'[5]Overlap two proportions'!$BN$52</definedName>
    <definedName name="forCd45" localSheetId="6">'[5]Overlap two proportions'!$BN$52</definedName>
    <definedName name="forCd45" localSheetId="10">'[5]Overlap two proportions'!$BN$52</definedName>
    <definedName name="forCd45" localSheetId="7">'[5]Overlap two proportions'!$BN$52</definedName>
    <definedName name="forCd45">'[4]Overlap two proportions'!$BN$52</definedName>
    <definedName name="forCd46" localSheetId="8">'[4]Overlap two proportions'!$BN$53</definedName>
    <definedName name="forCd46" localSheetId="9">'[5]Overlap two proportions'!$BN$53</definedName>
    <definedName name="forCd46" localSheetId="6">'[5]Overlap two proportions'!$BN$53</definedName>
    <definedName name="forCd46" localSheetId="10">'[5]Overlap two proportions'!$BN$53</definedName>
    <definedName name="forCd46" localSheetId="7">'[5]Overlap two proportions'!$BN$53</definedName>
    <definedName name="forCd46">'[4]Overlap two proportions'!$BN$53</definedName>
    <definedName name="forCd47" localSheetId="8">'[4]Overlap two proportions'!$BN$54</definedName>
    <definedName name="forCd47" localSheetId="9">'[5]Overlap two proportions'!$BN$54</definedName>
    <definedName name="forCd47" localSheetId="6">'[5]Overlap two proportions'!$BN$54</definedName>
    <definedName name="forCd47" localSheetId="10">'[5]Overlap two proportions'!$BN$54</definedName>
    <definedName name="forCd47" localSheetId="7">'[5]Overlap two proportions'!$BN$54</definedName>
    <definedName name="forCd47">'[4]Overlap two proportions'!$BN$54</definedName>
    <definedName name="forCd48" localSheetId="8">'[4]Overlap two proportions'!$BN$55</definedName>
    <definedName name="forCd48" localSheetId="9">'[5]Overlap two proportions'!$BN$55</definedName>
    <definedName name="forCd48" localSheetId="6">'[5]Overlap two proportions'!$BN$55</definedName>
    <definedName name="forCd48" localSheetId="10">'[5]Overlap two proportions'!$BN$55</definedName>
    <definedName name="forCd48" localSheetId="7">'[5]Overlap two proportions'!$BN$55</definedName>
    <definedName name="forCd48">'[4]Overlap two proportions'!$BN$55</definedName>
    <definedName name="forCd49" localSheetId="8">'[4]Overlap two proportions'!$BN$56</definedName>
    <definedName name="forCd49" localSheetId="9">'[5]Overlap two proportions'!$BN$56</definedName>
    <definedName name="forCd49" localSheetId="6">'[5]Overlap two proportions'!$BN$56</definedName>
    <definedName name="forCd49" localSheetId="10">'[5]Overlap two proportions'!$BN$56</definedName>
    <definedName name="forCd49" localSheetId="7">'[5]Overlap two proportions'!$BN$56</definedName>
    <definedName name="forCd49">'[4]Overlap two proportions'!$BN$56</definedName>
    <definedName name="forCd5" localSheetId="8">'[4]Overlap two proportions'!$BN$12</definedName>
    <definedName name="forCd5" localSheetId="9">'[5]Overlap two proportions'!$BN$12</definedName>
    <definedName name="forCd5" localSheetId="6">'[5]Overlap two proportions'!$BN$12</definedName>
    <definedName name="forCd5" localSheetId="10">'[5]Overlap two proportions'!$BN$12</definedName>
    <definedName name="forCd5" localSheetId="7">'[5]Overlap two proportions'!$BN$12</definedName>
    <definedName name="forCd5">'[4]Overlap two proportions'!$BN$12</definedName>
    <definedName name="forCd50" localSheetId="8">'[4]Overlap two proportions'!$BN$57</definedName>
    <definedName name="forCd50" localSheetId="9">'[5]Overlap two proportions'!$BN$57</definedName>
    <definedName name="forCd50" localSheetId="6">'[5]Overlap two proportions'!$BN$57</definedName>
    <definedName name="forCd50" localSheetId="10">'[5]Overlap two proportions'!$BN$57</definedName>
    <definedName name="forCd50" localSheetId="7">'[5]Overlap two proportions'!$BN$57</definedName>
    <definedName name="forCd50">'[4]Overlap two proportions'!$BN$57</definedName>
    <definedName name="forCd51" localSheetId="8">'[4]Overlap two proportions'!$BN$58</definedName>
    <definedName name="forCd51" localSheetId="9">'[5]Overlap two proportions'!$BN$58</definedName>
    <definedName name="forCd51" localSheetId="6">'[5]Overlap two proportions'!$BN$58</definedName>
    <definedName name="forCd51" localSheetId="10">'[5]Overlap two proportions'!$BN$58</definedName>
    <definedName name="forCd51" localSheetId="7">'[5]Overlap two proportions'!$BN$58</definedName>
    <definedName name="forCd51">'[4]Overlap two proportions'!$BN$58</definedName>
    <definedName name="forCd52" localSheetId="8">'[4]Overlap two proportions'!$BN$59</definedName>
    <definedName name="forCd52" localSheetId="9">'[5]Overlap two proportions'!$BN$59</definedName>
    <definedName name="forCd52" localSheetId="6">'[5]Overlap two proportions'!$BN$59</definedName>
    <definedName name="forCd52" localSheetId="10">'[5]Overlap two proportions'!$BN$59</definedName>
    <definedName name="forCd52" localSheetId="7">'[5]Overlap two proportions'!$BN$59</definedName>
    <definedName name="forCd52">'[4]Overlap two proportions'!$BN$59</definedName>
    <definedName name="forCd53" localSheetId="8">'[4]Overlap two proportions'!$BN$60</definedName>
    <definedName name="forCd53" localSheetId="9">'[5]Overlap two proportions'!$BN$60</definedName>
    <definedName name="forCd53" localSheetId="6">'[5]Overlap two proportions'!$BN$60</definedName>
    <definedName name="forCd53" localSheetId="10">'[5]Overlap two proportions'!$BN$60</definedName>
    <definedName name="forCd53" localSheetId="7">'[5]Overlap two proportions'!$BN$60</definedName>
    <definedName name="forCd53">'[4]Overlap two proportions'!$BN$60</definedName>
    <definedName name="forCd54" localSheetId="8">'[4]Overlap two proportions'!$BN$61</definedName>
    <definedName name="forCd54" localSheetId="9">'[5]Overlap two proportions'!$BN$61</definedName>
    <definedName name="forCd54" localSheetId="6">'[5]Overlap two proportions'!$BN$61</definedName>
    <definedName name="forCd54" localSheetId="10">'[5]Overlap two proportions'!$BN$61</definedName>
    <definedName name="forCd54" localSheetId="7">'[5]Overlap two proportions'!$BN$61</definedName>
    <definedName name="forCd54">'[4]Overlap two proportions'!$BN$61</definedName>
    <definedName name="forCd55" localSheetId="8">'[4]Overlap two proportions'!$BN$62</definedName>
    <definedName name="forCd55" localSheetId="9">'[5]Overlap two proportions'!$BN$62</definedName>
    <definedName name="forCd55" localSheetId="6">'[5]Overlap two proportions'!$BN$62</definedName>
    <definedName name="forCd55" localSheetId="10">'[5]Overlap two proportions'!$BN$62</definedName>
    <definedName name="forCd55" localSheetId="7">'[5]Overlap two proportions'!$BN$62</definedName>
    <definedName name="forCd55">'[4]Overlap two proportions'!$BN$62</definedName>
    <definedName name="forCd56" localSheetId="8">'[4]Overlap two proportions'!$BN$63</definedName>
    <definedName name="forCd56" localSheetId="9">'[5]Overlap two proportions'!$BN$63</definedName>
    <definedName name="forCd56" localSheetId="6">'[5]Overlap two proportions'!$BN$63</definedName>
    <definedName name="forCd56" localSheetId="10">'[5]Overlap two proportions'!$BN$63</definedName>
    <definedName name="forCd56" localSheetId="7">'[5]Overlap two proportions'!$BN$63</definedName>
    <definedName name="forCd56">'[4]Overlap two proportions'!$BN$63</definedName>
    <definedName name="forCd57" localSheetId="8">'[4]Overlap two proportions'!$BN$64</definedName>
    <definedName name="forCd57" localSheetId="9">'[5]Overlap two proportions'!$BN$64</definedName>
    <definedName name="forCd57" localSheetId="6">'[5]Overlap two proportions'!$BN$64</definedName>
    <definedName name="forCd57" localSheetId="10">'[5]Overlap two proportions'!$BN$64</definedName>
    <definedName name="forCd57" localSheetId="7">'[5]Overlap two proportions'!$BN$64</definedName>
    <definedName name="forCd57">'[4]Overlap two proportions'!$BN$64</definedName>
    <definedName name="forCd58" localSheetId="8">'[4]Overlap two proportions'!$BN$65</definedName>
    <definedName name="forCd58" localSheetId="9">'[5]Overlap two proportions'!$BN$65</definedName>
    <definedName name="forCd58" localSheetId="6">'[5]Overlap two proportions'!$BN$65</definedName>
    <definedName name="forCd58" localSheetId="10">'[5]Overlap two proportions'!$BN$65</definedName>
    <definedName name="forCd58" localSheetId="7">'[5]Overlap two proportions'!$BN$65</definedName>
    <definedName name="forCd58">'[4]Overlap two proportions'!$BN$65</definedName>
    <definedName name="forCd59" localSheetId="8">'[4]Overlap two proportions'!$BN$66</definedName>
    <definedName name="forCd59" localSheetId="9">'[5]Overlap two proportions'!$BN$66</definedName>
    <definedName name="forCd59" localSheetId="6">'[5]Overlap two proportions'!$BN$66</definedName>
    <definedName name="forCd59" localSheetId="10">'[5]Overlap two proportions'!$BN$66</definedName>
    <definedName name="forCd59" localSheetId="7">'[5]Overlap two proportions'!$BN$66</definedName>
    <definedName name="forCd59">'[4]Overlap two proportions'!$BN$66</definedName>
    <definedName name="forCd6" localSheetId="8">'[4]Overlap two proportions'!$BN$13</definedName>
    <definedName name="forCd6" localSheetId="9">'[5]Overlap two proportions'!$BN$13</definedName>
    <definedName name="forCd6" localSheetId="6">'[5]Overlap two proportions'!$BN$13</definedName>
    <definedName name="forCd6" localSheetId="10">'[5]Overlap two proportions'!$BN$13</definedName>
    <definedName name="forCd6" localSheetId="7">'[5]Overlap two proportions'!$BN$13</definedName>
    <definedName name="forCd6">'[4]Overlap two proportions'!$BN$13</definedName>
    <definedName name="forCd60" localSheetId="8">'[4]Overlap two proportions'!$BN$67</definedName>
    <definedName name="forCd60" localSheetId="9">'[5]Overlap two proportions'!$BN$67</definedName>
    <definedName name="forCd60" localSheetId="6">'[5]Overlap two proportions'!$BN$67</definedName>
    <definedName name="forCd60" localSheetId="10">'[5]Overlap two proportions'!$BN$67</definedName>
    <definedName name="forCd60" localSheetId="7">'[5]Overlap two proportions'!$BN$67</definedName>
    <definedName name="forCd60">'[4]Overlap two proportions'!$BN$67</definedName>
    <definedName name="forCd7" localSheetId="8">'[4]Overlap two proportions'!$BN$14</definedName>
    <definedName name="forCd7" localSheetId="9">'[5]Overlap two proportions'!$BN$14</definedName>
    <definedName name="forCd7" localSheetId="6">'[5]Overlap two proportions'!$BN$14</definedName>
    <definedName name="forCd7" localSheetId="10">'[5]Overlap two proportions'!$BN$14</definedName>
    <definedName name="forCd7" localSheetId="7">'[5]Overlap two proportions'!$BN$14</definedName>
    <definedName name="forCd7">'[4]Overlap two proportions'!$BN$14</definedName>
    <definedName name="forCd8" localSheetId="8">'[4]Overlap two proportions'!$BN$15</definedName>
    <definedName name="forCd8" localSheetId="9">'[5]Overlap two proportions'!$BN$15</definedName>
    <definedName name="forCd8" localSheetId="6">'[5]Overlap two proportions'!$BN$15</definedName>
    <definedName name="forCd8" localSheetId="10">'[5]Overlap two proportions'!$BN$15</definedName>
    <definedName name="forCd8" localSheetId="7">'[5]Overlap two proportions'!$BN$15</definedName>
    <definedName name="forCd8">'[4]Overlap two proportions'!$BN$15</definedName>
    <definedName name="forCd9" localSheetId="8">'[4]Overlap two proportions'!$BN$16</definedName>
    <definedName name="forCd9" localSheetId="9">'[5]Overlap two proportions'!$BN$16</definedName>
    <definedName name="forCd9" localSheetId="6">'[5]Overlap two proportions'!$BN$16</definedName>
    <definedName name="forCd9" localSheetId="10">'[5]Overlap two proportions'!$BN$16</definedName>
    <definedName name="forCd9" localSheetId="7">'[5]Overlap two proportions'!$BN$16</definedName>
    <definedName name="forCd9">'[4]Overlap two proportions'!$BN$16</definedName>
    <definedName name="forchange">'[8]See r'!$B$7:$B$8</definedName>
    <definedName name="forLR">#REF!</definedName>
    <definedName name="forLzero">#REF!</definedName>
    <definedName name="forLzerotwo" localSheetId="8">#REF!</definedName>
    <definedName name="forLzerotwo" localSheetId="9">#REF!</definedName>
    <definedName name="forLzerotwo" localSheetId="6">#REF!</definedName>
    <definedName name="forLzerotwo" localSheetId="10">#REF!</definedName>
    <definedName name="forLzerotwo" localSheetId="7">#REF!</definedName>
    <definedName name="forLzerotwo">'[20]Two studies'!$AK$12</definedName>
    <definedName name="formean" localSheetId="5">#REF!</definedName>
    <definedName name="formean" localSheetId="4">#REF!</definedName>
    <definedName name="formean" localSheetId="8">#REF!</definedName>
    <definedName name="formean" localSheetId="9">#REF!</definedName>
    <definedName name="formean" localSheetId="6">#REF!</definedName>
    <definedName name="formean" localSheetId="0">#REF!</definedName>
    <definedName name="formean" localSheetId="2">#REF!</definedName>
    <definedName name="formean" localSheetId="3">#REF!</definedName>
    <definedName name="formean" localSheetId="10">#REF!</definedName>
    <definedName name="formean" localSheetId="7">#REF!</definedName>
    <definedName name="forMean">Describe!$X$10</definedName>
    <definedName name="formeantwo" localSheetId="8">#REF!</definedName>
    <definedName name="formeantwo" localSheetId="9">#REF!</definedName>
    <definedName name="formeantwo" localSheetId="6">#REF!</definedName>
    <definedName name="formeantwo" localSheetId="10">#REF!</definedName>
    <definedName name="formeantwo" localSheetId="7">#REF!</definedName>
    <definedName name="formeantwo">'[20]Two studies'!$AN$23</definedName>
    <definedName name="formu">'[27]Case 1 Single Group'!$I$16</definedName>
    <definedName name="formul">'[27]Case 1 Single Group'!$K$14</definedName>
    <definedName name="formulaport" localSheetId="8">[6]Describe!$AD$4:$AD$39</definedName>
    <definedName name="formulaport" localSheetId="9">[6]Describe!$AD$4:$AD$39</definedName>
    <definedName name="formulaport" localSheetId="6">[6]Describe!$AD$4:$AD$39</definedName>
    <definedName name="formulaport" localSheetId="10">[6]Describe!$AD$4:$AD$39</definedName>
    <definedName name="formulaport" localSheetId="7">[6]Describe!$AD$4:$AD$39</definedName>
    <definedName name="formulaport">Describe!$AH$4:$AH$39</definedName>
    <definedName name="forMX" localSheetId="8">'[15]Calculate r'!$AD$3</definedName>
    <definedName name="forMX" localSheetId="9">'[16]Calculate r'!$AD$3</definedName>
    <definedName name="forMX" localSheetId="6">'[16]Calculate r'!$AD$3</definedName>
    <definedName name="forMX" localSheetId="10">'[16]Calculate r'!$AD$3</definedName>
    <definedName name="forMX" localSheetId="7">'[16]Calculate r'!$AD$3</definedName>
    <definedName name="forMX">'[15]Calculate r'!$AD$3</definedName>
    <definedName name="forMY" localSheetId="8">'[15]Calculate r'!$AG$3</definedName>
    <definedName name="forMY" localSheetId="9">'[16]Calculate r'!$AG$3</definedName>
    <definedName name="forMY" localSheetId="6">'[16]Calculate r'!$AG$3</definedName>
    <definedName name="forMY" localSheetId="10">'[16]Calculate r'!$AG$3</definedName>
    <definedName name="forMY" localSheetId="7">'[16]Calculate r'!$AG$3</definedName>
    <definedName name="forMY">'[15]Calculate r'!$AG$3</definedName>
    <definedName name="forn" localSheetId="5">'[15]Calculate r'!$AG$2</definedName>
    <definedName name="forn" localSheetId="4">'[15]Calculate r'!$AG$2</definedName>
    <definedName name="forn" localSheetId="8">'[15]Calculate r'!$AG$2</definedName>
    <definedName name="forn" localSheetId="9">'[16]Calculate r'!$AG$2</definedName>
    <definedName name="forn" localSheetId="6">'[16]Calculate r'!$AG$2</definedName>
    <definedName name="forn" localSheetId="0">'[15]Calculate r'!$AG$2</definedName>
    <definedName name="forn" localSheetId="2">'[15]Calculate r'!$AG$2</definedName>
    <definedName name="forn" localSheetId="3">'[15]Calculate r'!$AG$2</definedName>
    <definedName name="forn" localSheetId="10">'[16]Calculate r'!$AG$2</definedName>
    <definedName name="forn" localSheetId="7">'[16]Calculate r'!$AG$2</definedName>
    <definedName name="forn">Describe!$X$9</definedName>
    <definedName name="forna">'[8]Two proportions'!$O$11</definedName>
    <definedName name="fornb">'[8]Two proportions'!$V$11</definedName>
    <definedName name="Forr2">#REF!</definedName>
    <definedName name="forRho" localSheetId="8">'[15]Calculate r'!$AG$1</definedName>
    <definedName name="forRho" localSheetId="9">'[16]Calculate r'!$AG$1</definedName>
    <definedName name="forRho" localSheetId="6">'[16]Calculate r'!$AG$1</definedName>
    <definedName name="forRho" localSheetId="10">'[16]Calculate r'!$AG$1</definedName>
    <definedName name="forRho" localSheetId="7">'[16]Calculate r'!$AG$1</definedName>
    <definedName name="forRho">'[15]Calculate r'!$AG$1</definedName>
    <definedName name="forRound" localSheetId="5">'[15]Calculate r'!$AD$5</definedName>
    <definedName name="forRound" localSheetId="4">'[15]Calculate r'!$AD$5</definedName>
    <definedName name="forRound" localSheetId="8">'[15]Calculate r'!$AD$5</definedName>
    <definedName name="forRound" localSheetId="9">'[16]Calculate r'!$AD$5</definedName>
    <definedName name="forRound" localSheetId="6">'[16]Calculate r'!$AD$5</definedName>
    <definedName name="forRound" localSheetId="0">'[15]Calculate r'!$AD$5</definedName>
    <definedName name="forRound" localSheetId="2">'[15]Calculate r'!$AD$5</definedName>
    <definedName name="forRound" localSheetId="3">'[15]Calculate r'!$AD$5</definedName>
    <definedName name="forRound" localSheetId="10">'[16]Calculate r'!$AD$5</definedName>
    <definedName name="forRound" localSheetId="7">'[16]Calculate r'!$AD$5</definedName>
    <definedName name="forRound">Describe!$X$12</definedName>
    <definedName name="Forrtwo">'[17]Two correlations'!$AT$19</definedName>
    <definedName name="forSD" localSheetId="8">[6]Describe!$T$11</definedName>
    <definedName name="forSD" localSheetId="9">[6]Describe!$T$11</definedName>
    <definedName name="forSD" localSheetId="6">[6]Describe!$T$11</definedName>
    <definedName name="forSD" localSheetId="10">[6]Describe!$T$11</definedName>
    <definedName name="forSD" localSheetId="7">[6]Describe!$T$11</definedName>
    <definedName name="forSD">Describe!$X$11</definedName>
    <definedName name="forSDX" localSheetId="8">'[15]Calculate r'!$AD$4</definedName>
    <definedName name="forSDX" localSheetId="9">'[16]Calculate r'!$AD$4</definedName>
    <definedName name="forSDX" localSheetId="6">'[16]Calculate r'!$AD$4</definedName>
    <definedName name="forSDX" localSheetId="10">'[16]Calculate r'!$AD$4</definedName>
    <definedName name="forSDX" localSheetId="7">'[16]Calculate r'!$AD$4</definedName>
    <definedName name="forSDX">'[15]Calculate r'!$AD$4</definedName>
    <definedName name="forSDY" localSheetId="8">'[15]Calculate r'!$AG$4</definedName>
    <definedName name="forSDY" localSheetId="9">'[16]Calculate r'!$AG$4</definedName>
    <definedName name="forSDY" localSheetId="6">'[16]Calculate r'!$AG$4</definedName>
    <definedName name="forSDY" localSheetId="10">'[16]Calculate r'!$AG$4</definedName>
    <definedName name="forSDY" localSheetId="7">'[16]Calculate r'!$AG$4</definedName>
    <definedName name="forSDY">'[15]Calculate r'!$AG$4</definedName>
    <definedName name="forseed" localSheetId="5">'[15]See r'!$K$4</definedName>
    <definedName name="forseed" localSheetId="4">'[15]See r'!$K$4</definedName>
    <definedName name="forseed" localSheetId="8">'[15]See r'!$K$4</definedName>
    <definedName name="forseed" localSheetId="9">'[16]See r'!$K$4</definedName>
    <definedName name="forseed" localSheetId="6">'[16]See r'!$K$4</definedName>
    <definedName name="forseed" localSheetId="0">'[15]See r'!$K$4</definedName>
    <definedName name="forseed" localSheetId="2">'[15]See r'!$K$4</definedName>
    <definedName name="forseed" localSheetId="3">'[15]See r'!$K$4</definedName>
    <definedName name="forseed" localSheetId="10">'[16]See r'!$K$4</definedName>
    <definedName name="forseed" localSheetId="7">'[16]See r'!$K$4</definedName>
    <definedName name="forseed">Describe!$V$36</definedName>
    <definedName name="forx">'[8]One proportion'!$F$8</definedName>
    <definedName name="forxa">'[8]Two proportions'!$O$9</definedName>
    <definedName name="forxb">'[8]Two proportions'!$V$9</definedName>
    <definedName name="forxx">'[9]Two proportions'!$B$4:$C$4</definedName>
    <definedName name="forzero" localSheetId="8">'[15]See r'!$AB$5</definedName>
    <definedName name="forzero" localSheetId="9">'[16]See r'!$AB$5</definedName>
    <definedName name="forzero" localSheetId="6">'[16]See r'!$AB$5</definedName>
    <definedName name="forzero" localSheetId="10">'[16]See r'!$AB$5</definedName>
    <definedName name="forzero" localSheetId="7">'[16]See r'!$AB$5</definedName>
    <definedName name="forzero">'[15]See r'!$AB$5</definedName>
    <definedName name="forzoom" localSheetId="8">'[15]See r'!$Z$1</definedName>
    <definedName name="forzoom" localSheetId="9">'[16]See r'!$Z$1</definedName>
    <definedName name="forzoom" localSheetId="6">'[16]See r'!$Z$1</definedName>
    <definedName name="forzoom" localSheetId="10">'[16]See r'!$Z$1</definedName>
    <definedName name="forzoom" localSheetId="7">'[16]See r'!$Z$1</definedName>
    <definedName name="forzoom">'[15]See r'!$Z$1</definedName>
    <definedName name="four20" localSheetId="8">'[11]Fig 1'!$N$19:$N$22</definedName>
    <definedName name="four20" localSheetId="9">'[12]Fig 1'!$N$19:$N$22</definedName>
    <definedName name="four20" localSheetId="6">'[12]Fig 1'!$N$19:$N$22</definedName>
    <definedName name="four20" localSheetId="10">'[12]Fig 1'!$N$19:$N$22</definedName>
    <definedName name="four20" localSheetId="7">'[12]Fig 1'!$N$19:$N$22</definedName>
    <definedName name="four20">'[11]Fig 1'!$N$19:$N$22</definedName>
    <definedName name="four20old" localSheetId="8">'[11]Fig 1'!$O$19:$O$22</definedName>
    <definedName name="four20old" localSheetId="9">'[12]Fig 1'!$O$19:$O$22</definedName>
    <definedName name="four20old" localSheetId="6">'[12]Fig 1'!$O$19:$O$22</definedName>
    <definedName name="four20old" localSheetId="10">'[12]Fig 1'!$O$19:$O$22</definedName>
    <definedName name="four20old" localSheetId="7">'[12]Fig 1'!$O$19:$O$22</definedName>
    <definedName name="four20old">'[11]Fig 1'!$O$19:$O$22</definedName>
    <definedName name="freezetf" localSheetId="8">[6]Describe!$U$26</definedName>
    <definedName name="freezetf" localSheetId="9">[6]Describe!$U$26</definedName>
    <definedName name="freezetf" localSheetId="6">[6]Describe!$U$26</definedName>
    <definedName name="freezetf" localSheetId="10">[6]Describe!$U$26</definedName>
    <definedName name="freezetf" localSheetId="7">[6]Describe!$U$26</definedName>
    <definedName name="freezetf">Describe!$Y$26</definedName>
    <definedName name="freezeXtf">#REF!</definedName>
    <definedName name="freq11" localSheetId="8">'[4]Two proportions'!$G$8</definedName>
    <definedName name="freq11" localSheetId="9">'[5]Two proportions'!$G$8</definedName>
    <definedName name="freq11" localSheetId="6">'[5]Two proportions'!$G$8</definedName>
    <definedName name="freq11" localSheetId="10">'[5]Two proportions'!$G$8</definedName>
    <definedName name="freq11" localSheetId="7">'[5]Two proportions'!$G$8</definedName>
    <definedName name="freq11">'[4]Two proportions'!$G$8</definedName>
    <definedName name="freq12" localSheetId="8">'[4]Two proportions'!$I$8</definedName>
    <definedName name="freq12" localSheetId="9">'[5]Two proportions'!$I$8</definedName>
    <definedName name="freq12" localSheetId="6">'[5]Two proportions'!$I$8</definedName>
    <definedName name="freq12" localSheetId="10">'[5]Two proportions'!$I$8</definedName>
    <definedName name="freq12" localSheetId="7">'[5]Two proportions'!$I$8</definedName>
    <definedName name="freq12">'[4]Two proportions'!$I$8</definedName>
    <definedName name="freq21" localSheetId="8">'[4]Two proportions'!$G$11</definedName>
    <definedName name="freq21" localSheetId="9">'[5]Two proportions'!$G$11</definedName>
    <definedName name="freq21" localSheetId="6">'[5]Two proportions'!$G$11</definedName>
    <definedName name="freq21" localSheetId="10">'[5]Two proportions'!$G$11</definedName>
    <definedName name="freq21" localSheetId="7">'[5]Two proportions'!$G$11</definedName>
    <definedName name="freq21">'[4]Two proportions'!$G$11</definedName>
    <definedName name="freq22" localSheetId="8">'[4]Two proportions'!$I$11</definedName>
    <definedName name="freq22" localSheetId="9">'[5]Two proportions'!$I$11</definedName>
    <definedName name="freq22" localSheetId="6">'[5]Two proportions'!$I$11</definedName>
    <definedName name="freq22" localSheetId="10">'[5]Two proportions'!$I$11</definedName>
    <definedName name="freq22" localSheetId="7">'[5]Two proportions'!$I$11</definedName>
    <definedName name="freq22">'[4]Two proportions'!$I$11</definedName>
    <definedName name="Freqs1" localSheetId="8">'[4]Two proportions'!$G$8:$G$11</definedName>
    <definedName name="Freqs1" localSheetId="9">'[5]Two proportions'!$G$8:$G$11</definedName>
    <definedName name="Freqs1" localSheetId="6">'[5]Two proportions'!$G$8:$G$11</definedName>
    <definedName name="Freqs1" localSheetId="10">'[5]Two proportions'!$G$8:$G$11</definedName>
    <definedName name="Freqs1" localSheetId="7">'[5]Two proportions'!$G$8:$G$11</definedName>
    <definedName name="Freqs1">'[4]Two proportions'!$G$8:$G$11</definedName>
    <definedName name="Freqs2" localSheetId="8">'[4]Two proportions'!$I$8:$I$11</definedName>
    <definedName name="Freqs2" localSheetId="9">'[5]Two proportions'!$I$8:$I$11</definedName>
    <definedName name="Freqs2" localSheetId="6">'[5]Two proportions'!$I$8:$I$11</definedName>
    <definedName name="Freqs2" localSheetId="10">'[5]Two proportions'!$I$8:$I$11</definedName>
    <definedName name="Freqs2" localSheetId="7">'[5]Two proportions'!$I$8:$I$11</definedName>
    <definedName name="Freqs2">'[4]Two proportions'!$I$8:$I$11</definedName>
    <definedName name="FullRawData" localSheetId="8">'[4]Two proportions'!$AT$9:$AV$508</definedName>
    <definedName name="FullRawData" localSheetId="9">'[5]Two proportions'!$AT$9:$AV$508</definedName>
    <definedName name="FullRawData" localSheetId="6">'[5]Two proportions'!$AT$9:$AV$508</definedName>
    <definedName name="FullRawData" localSheetId="10">'[5]Two proportions'!$AT$9:$AV$508</definedName>
    <definedName name="FullRawData" localSheetId="7">'[5]Two proportions'!$AT$9:$AV$508</definedName>
    <definedName name="FullRawData">'[4]Two proportions'!$AT$9:$AV$508</definedName>
    <definedName name="gamm">'[7]Precision one'!$AP$135</definedName>
    <definedName name="genXY" localSheetId="8">'[15]Calculate r'!$AH$8:$AI$307</definedName>
    <definedName name="genXY" localSheetId="9">'[16]Calculate r'!$AH$8:$AI$307</definedName>
    <definedName name="genXY" localSheetId="6">'[16]Calculate r'!$AH$8:$AI$307</definedName>
    <definedName name="genXY" localSheetId="10">'[16]Calculate r'!$AH$8:$AI$307</definedName>
    <definedName name="genXY" localSheetId="7">'[16]Calculate r'!$AH$8:$AI$307</definedName>
    <definedName name="genXY">'[15]Calculate r'!$AH$8:$AI$307</definedName>
    <definedName name="getfour">'[7]Precision one'!$AE$1:$AE$4</definedName>
    <definedName name="getfourg">'[7]Precision one'!$AA$1:$AA$4</definedName>
    <definedName name="getgamma">'[7]Precision one'!$AI$1</definedName>
    <definedName name="getht">#REF!</definedName>
    <definedName name="getoneprop">'[8]One proportion'!$B$20:$B$21</definedName>
    <definedName name="getrand" localSheetId="5">'[15]Calculate r'!$AD$2</definedName>
    <definedName name="getrand" localSheetId="4">'[15]Calculate r'!$AD$2</definedName>
    <definedName name="getrand" localSheetId="8">'[15]Calculate r'!$AD$2</definedName>
    <definedName name="getrand" localSheetId="9">'[16]Calculate r'!$AD$2</definedName>
    <definedName name="getrand" localSheetId="6">'[16]Calculate r'!$AD$2</definedName>
    <definedName name="getrand" localSheetId="0">'[15]Calculate r'!$AD$2</definedName>
    <definedName name="getrand" localSheetId="2">'[15]Calculate r'!$AD$2</definedName>
    <definedName name="getrand" localSheetId="3">'[15]Calculate r'!$AD$2</definedName>
    <definedName name="getrand" localSheetId="10">'[16]Calculate r'!$AD$2</definedName>
    <definedName name="getrand" localSheetId="7">'[16]Calculate r'!$AD$2</definedName>
    <definedName name="getrand">Describe!$X$13</definedName>
    <definedName name="gettwoprop">'[8]Two proportions'!$C$18:$C$21</definedName>
    <definedName name="hictr">#REF!</definedName>
    <definedName name="holdfive" localSheetId="8">[6]Describe!$V$8:$V$12</definedName>
    <definedName name="holdfive" localSheetId="9">[6]Describe!$V$8:$V$12</definedName>
    <definedName name="holdfive" localSheetId="6">[6]Describe!$V$8:$V$12</definedName>
    <definedName name="holdfive" localSheetId="10">[6]Describe!$V$8:$V$12</definedName>
    <definedName name="holdfive" localSheetId="7">[6]Describe!$V$8:$V$12</definedName>
    <definedName name="holdfive">Describe!$Z$8:$Z$12</definedName>
    <definedName name="holdthree" localSheetId="8">[6]Describe!$V$14</definedName>
    <definedName name="holdthree" localSheetId="9">[6]Describe!$V$14</definedName>
    <definedName name="holdthree" localSheetId="6">[6]Describe!$V$14</definedName>
    <definedName name="holdthree" localSheetId="10">[6]Describe!$V$14</definedName>
    <definedName name="holdthree" localSheetId="7">[6]Describe!$V$14</definedName>
    <definedName name="holdthree">Describe!$Z$14</definedName>
    <definedName name="iscaptg" localSheetId="5">#REF!</definedName>
    <definedName name="iscaptg" localSheetId="4">CIjumping!$CC$15</definedName>
    <definedName name="iscaptg" localSheetId="8">#REF!</definedName>
    <definedName name="iscaptg" localSheetId="9">#REF!</definedName>
    <definedName name="iscaptg" localSheetId="6">#REF!</definedName>
    <definedName name="iscaptg" localSheetId="0">#REF!</definedName>
    <definedName name="iscaptg" localSheetId="2">Normal!#REF!</definedName>
    <definedName name="iscaptg" localSheetId="3">'Normal and t'!#REF!</definedName>
    <definedName name="iscaptg" localSheetId="10">#REF!</definedName>
    <definedName name="iscaptg" localSheetId="7">#REF!</definedName>
    <definedName name="iscaptg">[10]CIjumping!$AL$15</definedName>
    <definedName name="kbins" localSheetId="8">[6]Describe!$T$37</definedName>
    <definedName name="kbins" localSheetId="9">[6]Describe!$T$37</definedName>
    <definedName name="kbins" localSheetId="6">[6]Describe!$T$37</definedName>
    <definedName name="kbins" localSheetId="10">[6]Describe!$T$37</definedName>
    <definedName name="kbins" localSheetId="7">[6]Describe!$T$37</definedName>
    <definedName name="kbins">Describe!$X$37</definedName>
    <definedName name="Kclear" localSheetId="8">[31]APR!$Y$19:$AF$1016</definedName>
    <definedName name="Kclear" localSheetId="9">[32]APR!$Y$19:$AF$1016</definedName>
    <definedName name="Kclear" localSheetId="6">[32]APR!$Y$19:$AF$1016</definedName>
    <definedName name="Kclear" localSheetId="10">[32]APR!$Y$19:$AF$1016</definedName>
    <definedName name="Kclear" localSheetId="7">[32]APR!$Y$19:$AF$1016</definedName>
    <definedName name="Kclear">[31]APR!$Y$19:$AF$1016</definedName>
    <definedName name="Kcounter" localSheetId="8">[31]APR!$Z$6</definedName>
    <definedName name="Kcounter" localSheetId="9">[32]APR!$Z$6</definedName>
    <definedName name="Kcounter" localSheetId="6">[32]APR!$Z$6</definedName>
    <definedName name="Kcounter" localSheetId="10">[32]APR!$Z$6</definedName>
    <definedName name="Kcounter" localSheetId="7">[32]APR!$Z$6</definedName>
    <definedName name="Kcounter">[31]APR!$Z$6</definedName>
    <definedName name="KDswitch" localSheetId="8">[31]APR!$Z$9</definedName>
    <definedName name="KDswitch" localSheetId="9">[32]APR!$Z$9</definedName>
    <definedName name="KDswitch" localSheetId="6">[32]APR!$Z$9</definedName>
    <definedName name="KDswitch" localSheetId="10">[32]APR!$Z$9</definedName>
    <definedName name="KDswitch" localSheetId="7">[32]APR!$Z$9</definedName>
    <definedName name="KDswitch">[31]APR!$Z$9</definedName>
    <definedName name="Kfill" localSheetId="8">[31]APR!$Z$18:$AF$1016</definedName>
    <definedName name="Kfill" localSheetId="9">[32]APR!$Z$18:$AF$1016</definedName>
    <definedName name="Kfill" localSheetId="6">[32]APR!$Z$18:$AF$1016</definedName>
    <definedName name="Kfill" localSheetId="10">[32]APR!$Z$18:$AF$1016</definedName>
    <definedName name="Kfill" localSheetId="7">[32]APR!$Z$18:$AF$1016</definedName>
    <definedName name="Kfill">[31]APR!$Z$18:$AF$1016</definedName>
    <definedName name="Kformulas" localSheetId="8">[31]APR!$Z$18:$AF$18</definedName>
    <definedName name="Kformulas" localSheetId="9">[32]APR!$Z$18:$AF$18</definedName>
    <definedName name="Kformulas" localSheetId="6">[32]APR!$Z$18:$AF$18</definedName>
    <definedName name="Kformulas" localSheetId="10">[32]APR!$Z$18:$AF$18</definedName>
    <definedName name="Kformulas" localSheetId="7">[32]APR!$Z$18:$AF$18</definedName>
    <definedName name="Kformulas">[31]APR!$Z$18:$AF$18</definedName>
    <definedName name="Kmaxy" localSheetId="8">[31]APR!$AD$5</definedName>
    <definedName name="Kmaxy" localSheetId="9">[32]APR!$AD$5</definedName>
    <definedName name="Kmaxy" localSheetId="6">[32]APR!$AD$5</definedName>
    <definedName name="Kmaxy" localSheetId="10">[32]APR!$AD$5</definedName>
    <definedName name="Kmaxy" localSheetId="7">[32]APR!$AD$5</definedName>
    <definedName name="Kmaxy">[31]APR!$AD$5</definedName>
    <definedName name="Knum" localSheetId="8">[31]APR!$AD$7</definedName>
    <definedName name="Knum" localSheetId="9">[32]APR!$AD$7</definedName>
    <definedName name="Knum" localSheetId="6">[32]APR!$AD$7</definedName>
    <definedName name="Knum" localSheetId="10">[32]APR!$AD$7</definedName>
    <definedName name="Knum" localSheetId="7">[32]APR!$AD$7</definedName>
    <definedName name="Knum">[31]APR!$AD$7</definedName>
    <definedName name="Kpark" localSheetId="8">[31]APR!$N$2</definedName>
    <definedName name="Kpark" localSheetId="9">[32]APR!$N$2</definedName>
    <definedName name="Kpark" localSheetId="6">[32]APR!$N$2</definedName>
    <definedName name="Kpark" localSheetId="10">[32]APR!$N$2</definedName>
    <definedName name="Kpark" localSheetId="7">[32]APR!$N$2</definedName>
    <definedName name="Kpark">[31]APR!$N$2</definedName>
    <definedName name="Krand" localSheetId="8">[31]APR!$Z$8</definedName>
    <definedName name="Krand" localSheetId="9">[32]APR!$Z$8</definedName>
    <definedName name="Krand" localSheetId="6">[32]APR!$Z$8</definedName>
    <definedName name="Krand" localSheetId="10">[32]APR!$Z$8</definedName>
    <definedName name="Krand" localSheetId="7">[32]APR!$Z$8</definedName>
    <definedName name="Krand">[31]APR!$Z$8</definedName>
    <definedName name="Kseed" localSheetId="8">[31]APR!$N$3</definedName>
    <definedName name="Kseed" localSheetId="9">[32]APR!$N$3</definedName>
    <definedName name="Kseed" localSheetId="6">[32]APR!$N$3</definedName>
    <definedName name="Kseed" localSheetId="10">[32]APR!$N$3</definedName>
    <definedName name="Kseed" localSheetId="7">[32]APR!$N$3</definedName>
    <definedName name="Kseed">[31]APR!$N$3</definedName>
    <definedName name="Kseries" localSheetId="8">[31]APR!$Y$18</definedName>
    <definedName name="Kseries" localSheetId="9">[32]APR!$Y$18</definedName>
    <definedName name="Kseries" localSheetId="6">[32]APR!$Y$18</definedName>
    <definedName name="Kseries" localSheetId="10">[32]APR!$Y$18</definedName>
    <definedName name="Kseries" localSheetId="7">[32]APR!$Y$18</definedName>
    <definedName name="Kseries">[31]APR!$Y$18</definedName>
    <definedName name="Kspeed" localSheetId="8">[31]APR!$J$17</definedName>
    <definedName name="Kspeed" localSheetId="9">[32]APR!$J$17</definedName>
    <definedName name="Kspeed" localSheetId="6">[32]APR!$J$17</definedName>
    <definedName name="Kspeed" localSheetId="10">[32]APR!$J$17</definedName>
    <definedName name="Kspeed" localSheetId="7">[32]APR!$J$17</definedName>
    <definedName name="Kspeed">[31]APR!$J$17</definedName>
    <definedName name="Kswitch" localSheetId="8">[31]APR!$Z$5</definedName>
    <definedName name="Kswitch" localSheetId="9">[32]APR!$Z$5</definedName>
    <definedName name="Kswitch" localSheetId="6">[32]APR!$Z$5</definedName>
    <definedName name="Kswitch" localSheetId="10">[32]APR!$Z$5</definedName>
    <definedName name="Kswitch" localSheetId="7">[32]APR!$Z$5</definedName>
    <definedName name="Kswitch">[31]APR!$Z$5</definedName>
    <definedName name="Ktest" localSheetId="8">[31]APR!$Y$19</definedName>
    <definedName name="Ktest" localSheetId="9">[32]APR!$Y$19</definedName>
    <definedName name="Ktest" localSheetId="6">[32]APR!$Y$19</definedName>
    <definedName name="Ktest" localSheetId="10">[32]APR!$Y$19</definedName>
    <definedName name="Ktest" localSheetId="7">[32]APR!$Y$19</definedName>
    <definedName name="Ktest">[31]APR!$Y$19</definedName>
    <definedName name="Ktopswitch" localSheetId="8">[31]APR!$Z$7</definedName>
    <definedName name="Ktopswitch" localSheetId="9">[32]APR!$Z$7</definedName>
    <definedName name="Ktopswitch" localSheetId="6">[32]APR!$Z$7</definedName>
    <definedName name="Ktopswitch" localSheetId="10">[32]APR!$Z$7</definedName>
    <definedName name="Ktopswitch" localSheetId="7">[32]APR!$Z$7</definedName>
    <definedName name="Ktopswitch">[31]APR!$Z$7</definedName>
    <definedName name="Kxinc" localSheetId="8">[31]APR!$U$32</definedName>
    <definedName name="Kxinc" localSheetId="9">[32]APR!$U$32</definedName>
    <definedName name="Kxinc" localSheetId="6">[32]APR!$U$32</definedName>
    <definedName name="Kxinc" localSheetId="10">[32]APR!$U$32</definedName>
    <definedName name="Kxinc" localSheetId="7">[32]APR!$U$32</definedName>
    <definedName name="Kxinc">[31]APR!$U$32</definedName>
    <definedName name="Kxinc2" localSheetId="8">[31]APR!$AE$4</definedName>
    <definedName name="Kxinc2" localSheetId="9">[32]APR!$AE$4</definedName>
    <definedName name="Kxinc2" localSheetId="6">[32]APR!$AE$4</definedName>
    <definedName name="Kxinc2" localSheetId="10">[32]APR!$AE$4</definedName>
    <definedName name="Kxinc2" localSheetId="7">[32]APR!$AE$4</definedName>
    <definedName name="Kxinc2">[31]APR!$AE$4</definedName>
    <definedName name="Kxinc3" localSheetId="8">[31]APR!$AE$3</definedName>
    <definedName name="Kxinc3" localSheetId="9">[32]APR!$AE$3</definedName>
    <definedName name="Kxinc3" localSheetId="6">[32]APR!$AE$3</definedName>
    <definedName name="Kxinc3" localSheetId="10">[32]APR!$AE$3</definedName>
    <definedName name="Kxinc3" localSheetId="7">[32]APR!$AE$3</definedName>
    <definedName name="Kxinc3">[31]APR!$AE$3</definedName>
    <definedName name="Kxinc4" localSheetId="8">[31]APR!$AE$2</definedName>
    <definedName name="Kxinc4" localSheetId="9">[32]APR!$AE$2</definedName>
    <definedName name="Kxinc4" localSheetId="6">[32]APR!$AE$2</definedName>
    <definedName name="Kxinc4" localSheetId="10">[32]APR!$AE$2</definedName>
    <definedName name="Kxinc4" localSheetId="7">[32]APR!$AE$2</definedName>
    <definedName name="Kxinc4">[31]APR!$AE$2</definedName>
    <definedName name="Kyinc" localSheetId="8">[31]APR!$U$35</definedName>
    <definedName name="Kyinc" localSheetId="9">[32]APR!$U$35</definedName>
    <definedName name="Kyinc" localSheetId="6">[32]APR!$U$35</definedName>
    <definedName name="Kyinc" localSheetId="10">[32]APR!$U$35</definedName>
    <definedName name="Kyinc" localSheetId="7">[32]APR!$U$35</definedName>
    <definedName name="Kyinc">[31]APR!$U$35</definedName>
    <definedName name="Kyinc2" localSheetId="8">[31]APR!$AF$4</definedName>
    <definedName name="Kyinc2" localSheetId="9">[32]APR!$AF$4</definedName>
    <definedName name="Kyinc2" localSheetId="6">[32]APR!$AF$4</definedName>
    <definedName name="Kyinc2" localSheetId="10">[32]APR!$AF$4</definedName>
    <definedName name="Kyinc2" localSheetId="7">[32]APR!$AF$4</definedName>
    <definedName name="Kyinc2">[31]APR!$AF$4</definedName>
    <definedName name="Kyinc3" localSheetId="8">[31]APR!$AF$3</definedName>
    <definedName name="Kyinc3" localSheetId="9">[32]APR!$AF$3</definedName>
    <definedName name="Kyinc3" localSheetId="6">[32]APR!$AF$3</definedName>
    <definedName name="Kyinc3" localSheetId="10">[32]APR!$AF$3</definedName>
    <definedName name="Kyinc3" localSheetId="7">[32]APR!$AF$3</definedName>
    <definedName name="Kyinc3">[31]APR!$AF$3</definedName>
    <definedName name="Kyinc4" localSheetId="8">[31]APR!$AF$2</definedName>
    <definedName name="Kyinc4" localSheetId="9">[32]APR!$AF$2</definedName>
    <definedName name="Kyinc4" localSheetId="6">[32]APR!$AF$2</definedName>
    <definedName name="Kyinc4" localSheetId="10">[32]APR!$AF$2</definedName>
    <definedName name="Kyinc4" localSheetId="7">[32]APR!$AF$2</definedName>
    <definedName name="Kyinc4">[31]APR!$AF$2</definedName>
    <definedName name="labelsprops" localSheetId="5">'[28]Two proportions'!$B$9:$C$10,'[28]Two proportions'!$E$8,'[28]Two proportions'!$E$11,'[28]Two proportions'!$G$4:$I$4,'[28]Two proportions'!$G$6,'[28]Two proportions'!$I$6</definedName>
    <definedName name="labelsprops" localSheetId="8">'[33]Two proportions'!$B$9:$C$10,'[33]Two proportions'!$E$8,'[33]Two proportions'!$E$11,'[33]Two proportions'!$G$4:$I$4,'[33]Two proportions'!$G$6,'[33]Two proportions'!$I$6</definedName>
    <definedName name="labelsprops" localSheetId="9">'[34]Two proportions'!$B$9:$C$10,'[34]Two proportions'!$E$8,'[34]Two proportions'!$E$11,'[34]Two proportions'!$G$4:$I$4,'[34]Two proportions'!$G$6,'[34]Two proportions'!$I$6</definedName>
    <definedName name="labelsprops" localSheetId="6">'[34]Two proportions'!$B$9:$C$10,'[34]Two proportions'!$E$8,'[34]Two proportions'!$E$11,'[34]Two proportions'!$G$4:$I$4,'[34]Two proportions'!$G$6,'[34]Two proportions'!$I$6</definedName>
    <definedName name="labelsprops" localSheetId="10">'[34]Two proportions'!$B$9:$C$10,'[34]Two proportions'!$E$8,'[34]Two proportions'!$E$11,'[34]Two proportions'!$G$4:$I$4,'[34]Two proportions'!$G$6,'[34]Two proportions'!$I$6</definedName>
    <definedName name="labelsprops" localSheetId="7">'[34]Two proportions'!$B$9:$C$10,'[34]Two proportions'!$E$8,'[34]Two proportions'!$E$11,'[34]Two proportions'!$G$4:$I$4,'[34]Two proportions'!$G$6,'[34]Two proportions'!$I$6</definedName>
    <definedName name="labelsprops">'[33]Two proportions'!$B$9:$C$10,'[33]Two proportions'!$E$8,'[33]Two proportions'!$E$11,'[33]Two proportions'!$G$4:$I$4,'[33]Two proportions'!$G$6,'[33]Two proportions'!$I$6</definedName>
    <definedName name="labs1two" localSheetId="8">'[8]Data two'!$BL$5,'[8]Data two'!$BK$6,'[8]Data two'!$BJ$8,'[8]Data two'!$BM$8</definedName>
    <definedName name="labs1two" localSheetId="9">'[8]Data two'!$BL$5,'[8]Data two'!$BK$6,'[8]Data two'!$BJ$8,'[8]Data two'!$BM$8</definedName>
    <definedName name="labs1two" localSheetId="10">'[8]Data two'!$BL$5,'[8]Data two'!$BK$6,'[8]Data two'!$BJ$8,'[8]Data two'!$BM$8</definedName>
    <definedName name="labs1two" localSheetId="7">'[8]Data two'!$BL$5,'[8]Data two'!$BK$6,'[8]Data two'!$BJ$8,'[8]Data two'!$BM$8</definedName>
    <definedName name="labs1two">'Data two'!$BL$5,'Data two'!$BK$6,'Data two'!$BJ$8,'Data two'!$BM$8</definedName>
    <definedName name="labstwo" localSheetId="8">'[8]Data two'!$H$5,'[8]Data two'!$G$6,'[8]Data two'!$F$8,'[8]Data two'!$I$8</definedName>
    <definedName name="labstwo" localSheetId="9">'[8]Data two'!$H$5,'[8]Data two'!$G$6,'[8]Data two'!$F$8,'[8]Data two'!$I$8</definedName>
    <definedName name="labstwo" localSheetId="10">'[8]Data two'!$H$5,'[8]Data two'!$G$6,'[8]Data two'!$F$8,'[8]Data two'!$I$8</definedName>
    <definedName name="labstwo" localSheetId="7">'[8]Data two'!$H$5,'[8]Data two'!$G$6,'[8]Data two'!$F$8,'[8]Data two'!$I$8</definedName>
    <definedName name="labstwo">'Data two'!$H$5,'Data two'!$G$6,'Data two'!$F$8,'Data two'!$I$8</definedName>
    <definedName name="lcapt" localSheetId="8">'[15]Sample r'!$N$20</definedName>
    <definedName name="lcapt" localSheetId="9">'[16]Sample r'!$N$20</definedName>
    <definedName name="lcapt" localSheetId="6">'[16]Sample r'!$N$20</definedName>
    <definedName name="lcapt" localSheetId="10">'[16]Sample r'!$N$20</definedName>
    <definedName name="lcapt" localSheetId="7">'[16]Sample r'!$N$20</definedName>
    <definedName name="lcapt">'[15]Sample r'!$N$20</definedName>
    <definedName name="leftx" localSheetId="8">[6]Describe!$AQ$34</definedName>
    <definedName name="leftx" localSheetId="9">[6]Describe!$AQ$34</definedName>
    <definedName name="leftx" localSheetId="6">[6]Describe!$AQ$34</definedName>
    <definedName name="leftx" localSheetId="10">[6]Describe!$AQ$34</definedName>
    <definedName name="leftx" localSheetId="7">[6]Describe!$AQ$34</definedName>
    <definedName name="leftx">Describe!$AX$34</definedName>
    <definedName name="lforz">#REF!</definedName>
    <definedName name="limitedx">'[8]One proportion'!$B$1</definedName>
    <definedName name="limitedxx">'[9]Two proportions'!$B$3:$C$3</definedName>
    <definedName name="lncp">#REF!</definedName>
    <definedName name="lowctr">#REF!</definedName>
    <definedName name="Lpvf" localSheetId="5">'CI and p'!#REF!</definedName>
    <definedName name="Lpvf" localSheetId="8">'[11]p value function'!$O$4</definedName>
    <definedName name="Lpvf" localSheetId="9">'[12]p value function'!$O$4</definedName>
    <definedName name="Lpvf" localSheetId="6">'[12]p value function'!$O$4</definedName>
    <definedName name="Lpvf" localSheetId="10">'[12]p value function'!$O$4</definedName>
    <definedName name="Lpvf" localSheetId="7">'[12]p value function'!$O$4</definedName>
    <definedName name="Lpvf">'[11]p value function'!$O$4</definedName>
    <definedName name="MatchOrig" localSheetId="8">'[4]Two proportions'!$R$15</definedName>
    <definedName name="MatchOrig" localSheetId="9">'[5]Two proportions'!$R$15</definedName>
    <definedName name="MatchOrig" localSheetId="6">'[5]Two proportions'!$R$15</definedName>
    <definedName name="MatchOrig" localSheetId="10">'[5]Two proportions'!$R$15</definedName>
    <definedName name="MatchOrig" localSheetId="7">'[5]Two proportions'!$R$15</definedName>
    <definedName name="MatchOrig">'[4]Two proportions'!$R$15</definedName>
    <definedName name="MAtunits">#REF!</definedName>
    <definedName name="MAunits">#REF!</definedName>
    <definedName name="maxnosamps" localSheetId="5">#REF!</definedName>
    <definedName name="maxnosamps" localSheetId="4">#REF!</definedName>
    <definedName name="maxnosamps" localSheetId="8">#REF!</definedName>
    <definedName name="maxnosamps" localSheetId="9">#REF!</definedName>
    <definedName name="maxnosamps" localSheetId="6">#REF!</definedName>
    <definedName name="maxnosamps" localSheetId="0">#REF!</definedName>
    <definedName name="maxnosamps" localSheetId="2">#REF!</definedName>
    <definedName name="maxnosamps" localSheetId="3">#REF!</definedName>
    <definedName name="maxnosamps" localSheetId="10">#REF!</definedName>
    <definedName name="maxnosamps" localSheetId="7">#REF!</definedName>
    <definedName name="maxnosamps">#REF!</definedName>
    <definedName name="MeanHeapSwitch" localSheetId="5">#REF!</definedName>
    <definedName name="MeanHeapSwitch" localSheetId="4">CIjumping!$CD$1</definedName>
    <definedName name="MeanHeapSwitch" localSheetId="8">#REF!</definedName>
    <definedName name="MeanHeapSwitch" localSheetId="9">#REF!</definedName>
    <definedName name="MeanHeapSwitch" localSheetId="6">#REF!</definedName>
    <definedName name="MeanHeapSwitch" localSheetId="0">#REF!</definedName>
    <definedName name="MeanHeapSwitch" localSheetId="2">Normal!$BB$6</definedName>
    <definedName name="MeanHeapSwitch" localSheetId="3">'Normal and t'!$BG$6</definedName>
    <definedName name="MeanHeapSwitch" localSheetId="10">#REF!</definedName>
    <definedName name="MeanHeapSwitch" localSheetId="7">#REF!</definedName>
    <definedName name="MeanHeapSwitch">[10]CIjumping!$AM$1</definedName>
    <definedName name="mindist">#REF!</definedName>
    <definedName name="MU" localSheetId="5">#REF!</definedName>
    <definedName name="MU" localSheetId="4">#REF!</definedName>
    <definedName name="MU" localSheetId="8">#REF!</definedName>
    <definedName name="MU" localSheetId="9">#REF!</definedName>
    <definedName name="MU" localSheetId="6">'Data two'!#REF!</definedName>
    <definedName name="MU" localSheetId="0">#REF!</definedName>
    <definedName name="MU" localSheetId="2">#REF!</definedName>
    <definedName name="MU" localSheetId="3">#REF!</definedName>
    <definedName name="MU" localSheetId="10">#REF!</definedName>
    <definedName name="MU" localSheetId="7">'Summary two'!#REF!</definedName>
    <definedName name="MU">#REF!</definedName>
    <definedName name="mue">#REF!</definedName>
    <definedName name="MUone" localSheetId="5">#REF!</definedName>
    <definedName name="MUone" localSheetId="4">#REF!</definedName>
    <definedName name="MUone" localSheetId="8">#REF!</definedName>
    <definedName name="MUone" localSheetId="9">'Data paired'!#REF!</definedName>
    <definedName name="MUone" localSheetId="6">#REF!</definedName>
    <definedName name="MUone" localSheetId="0">#REF!</definedName>
    <definedName name="MUone" localSheetId="2">#REF!</definedName>
    <definedName name="MUone" localSheetId="3">#REF!</definedName>
    <definedName name="MUone" localSheetId="10">'Summary paired'!#REF!</definedName>
    <definedName name="MUone" localSheetId="7">#REF!</definedName>
    <definedName name="MUone">#REF!</definedName>
    <definedName name="MUREP" localSheetId="5">#REF!</definedName>
    <definedName name="MUREP" localSheetId="4">#REF!</definedName>
    <definedName name="MUREP" localSheetId="8">#REF!</definedName>
    <definedName name="MUREP" localSheetId="9">#REF!</definedName>
    <definedName name="MUREP" localSheetId="6">#REF!</definedName>
    <definedName name="MUREP" localSheetId="0">#REF!</definedName>
    <definedName name="MUREP" localSheetId="2">#REF!</definedName>
    <definedName name="MUREP" localSheetId="3">#REF!</definedName>
    <definedName name="MUREP" localSheetId="10">#REF!</definedName>
    <definedName name="MUREP" localSheetId="7">#REF!</definedName>
    <definedName name="MUREP">#REF!</definedName>
    <definedName name="MUtwo" localSheetId="5">#REF!</definedName>
    <definedName name="MUtwo" localSheetId="4">#REF!</definedName>
    <definedName name="MUtwo" localSheetId="8">#REF!</definedName>
    <definedName name="MUtwo" localSheetId="9">'Data paired'!#REF!</definedName>
    <definedName name="MUtwo" localSheetId="6">#REF!</definedName>
    <definedName name="MUtwo" localSheetId="0">#REF!</definedName>
    <definedName name="MUtwo" localSheetId="2">#REF!</definedName>
    <definedName name="MUtwo" localSheetId="3">#REF!</definedName>
    <definedName name="MUtwo" localSheetId="10">'Summary paired'!#REF!</definedName>
    <definedName name="MUtwo" localSheetId="7">#REF!</definedName>
    <definedName name="MUtwo">#REF!</definedName>
    <definedName name="N" localSheetId="5">#REF!</definedName>
    <definedName name="N" localSheetId="4">#REF!</definedName>
    <definedName name="N" localSheetId="8">#REF!</definedName>
    <definedName name="N" localSheetId="9">'Data paired'!#REF!</definedName>
    <definedName name="N" localSheetId="6">#REF!</definedName>
    <definedName name="N" localSheetId="0">#REF!</definedName>
    <definedName name="N" localSheetId="2">#REF!</definedName>
    <definedName name="N" localSheetId="3">#REF!</definedName>
    <definedName name="N" localSheetId="10">'Summary paired'!#REF!</definedName>
    <definedName name="N" localSheetId="7">#REF!</definedName>
    <definedName name="N">#REF!</definedName>
    <definedName name="nam1two">'Data two'!$BL$5</definedName>
    <definedName name="nam2two">'Data two'!$BT$5</definedName>
    <definedName name="nam3two">'Data two'!$CB$5</definedName>
    <definedName name="namtwo">'Data two'!$H$5</definedName>
    <definedName name="nawtone" localSheetId="5">#REF!</definedName>
    <definedName name="nawtone" localSheetId="4">#REF!</definedName>
    <definedName name="nawtone" localSheetId="8">#REF!</definedName>
    <definedName name="nawtone" localSheetId="9">#REF!</definedName>
    <definedName name="nawtone" localSheetId="6">#REF!</definedName>
    <definedName name="nawtone" localSheetId="0">#REF!</definedName>
    <definedName name="nawtone" localSheetId="2">#REF!</definedName>
    <definedName name="nawtone" localSheetId="3">#REF!</definedName>
    <definedName name="nawtone" localSheetId="10">#REF!</definedName>
    <definedName name="nawtone" localSheetId="7">#REF!</definedName>
    <definedName name="nawtone">#REF!</definedName>
    <definedName name="ncaptg" localSheetId="5">#REF!</definedName>
    <definedName name="ncaptg" localSheetId="4">CIjumping!$P$20</definedName>
    <definedName name="ncaptg" localSheetId="8">#REF!</definedName>
    <definedName name="ncaptg" localSheetId="9">#REF!</definedName>
    <definedName name="ncaptg" localSheetId="6">#REF!</definedName>
    <definedName name="ncaptg" localSheetId="0">#REF!</definedName>
    <definedName name="ncaptg" localSheetId="2">Normal!#REF!</definedName>
    <definedName name="ncaptg" localSheetId="3">'Normal and t'!#REF!</definedName>
    <definedName name="ncaptg" localSheetId="10">#REF!</definedName>
    <definedName name="ncaptg" localSheetId="7">#REF!</definedName>
    <definedName name="ncaptg">[10]CIjumping!$W$17</definedName>
    <definedName name="ncaptgM" localSheetId="8">[21]Replication!$W$26</definedName>
    <definedName name="ncaptgM" localSheetId="9">[22]Replication!$W$26</definedName>
    <definedName name="ncaptgM" localSheetId="6">[22]Replication!$W$26</definedName>
    <definedName name="ncaptgM" localSheetId="10">[22]Replication!$W$26</definedName>
    <definedName name="ncaptgM" localSheetId="7">[22]Replication!$W$26</definedName>
    <definedName name="ncaptgM">[21]Replication!$W$26</definedName>
    <definedName name="ncplh" localSheetId="5">'[1]MA  Standardised units'!$Z$4</definedName>
    <definedName name="ncplh" localSheetId="4">'[1]MA  Standardised units'!$Z$4</definedName>
    <definedName name="ncplh" localSheetId="8">'[2]MA  Standardised units'!$Z$4</definedName>
    <definedName name="ncplh" localSheetId="9">'[3]MA  Standardised units'!$Z$4</definedName>
    <definedName name="ncplh" localSheetId="6">'[3]MA  Standardised units'!$Z$4</definedName>
    <definedName name="ncplh" localSheetId="0">'[2]MA  Standardised units'!$Z$4</definedName>
    <definedName name="ncplh" localSheetId="2">'[1]MA  Standardised units'!$Z$4</definedName>
    <definedName name="ncplh" localSheetId="3">'[1]MA  Standardised units'!$Z$4</definedName>
    <definedName name="ncplh" localSheetId="10">'[3]MA  Standardised units'!$Z$4</definedName>
    <definedName name="ncplh" localSheetId="7">'[3]MA  Standardised units'!$Z$4</definedName>
    <definedName name="ncplh">'[1]MA  Standardised units'!$Z$4</definedName>
    <definedName name="ncprh" localSheetId="5">'[1]MA  Standardised units'!$AA$4</definedName>
    <definedName name="ncprh" localSheetId="4">'[1]MA  Standardised units'!$AA$4</definedName>
    <definedName name="ncprh" localSheetId="8">'[2]MA  Standardised units'!$AA$4</definedName>
    <definedName name="ncprh" localSheetId="9">'[3]MA  Standardised units'!$AA$4</definedName>
    <definedName name="ncprh" localSheetId="6">'[3]MA  Standardised units'!$AA$4</definedName>
    <definedName name="ncprh" localSheetId="0">'[2]MA  Standardised units'!$AA$4</definedName>
    <definedName name="ncprh" localSheetId="2">'[1]MA  Standardised units'!$AA$4</definedName>
    <definedName name="ncprh" localSheetId="3">'[1]MA  Standardised units'!$AA$4</definedName>
    <definedName name="ncprh" localSheetId="10">'[3]MA  Standardised units'!$AA$4</definedName>
    <definedName name="ncprh" localSheetId="7">'[3]MA  Standardised units'!$AA$4</definedName>
    <definedName name="ncprh">'[1]MA  Standardised units'!$AA$4</definedName>
    <definedName name="ncpstartdp" localSheetId="9">'Data paired'!$B$17:$C$17</definedName>
    <definedName name="ncpstartdp" localSheetId="10">'Summary paired'!$B$18:$C$18</definedName>
    <definedName name="ncpstartdp">'[8]Data paired'!$B$17:$C$17</definedName>
    <definedName name="ncpstartdt" localSheetId="7">'Summary two'!$B$16:$C$16</definedName>
    <definedName name="ncpstartdt">'Data two'!$B$16:$C$16</definedName>
    <definedName name="ncpstartsp">#REF!</definedName>
    <definedName name="ncpstartst">#REF!</definedName>
    <definedName name="newsamps" localSheetId="5">#REF!</definedName>
    <definedName name="newsamps" localSheetId="4">CIjumping!$M$4:$O$4</definedName>
    <definedName name="newsamps" localSheetId="8">#REF!</definedName>
    <definedName name="newsamps" localSheetId="9">#REF!</definedName>
    <definedName name="newsamps" localSheetId="6">#REF!</definedName>
    <definedName name="newsamps" localSheetId="0">#REF!</definedName>
    <definedName name="newsamps" localSheetId="2">Normal!#REF!</definedName>
    <definedName name="newsamps" localSheetId="3">'Normal and t'!#REF!</definedName>
    <definedName name="newsamps" localSheetId="10">#REF!</definedName>
    <definedName name="newsamps" localSheetId="7">#REF!</definedName>
    <definedName name="newsamps">[10]CIjumping!$T$4:$V$4</definedName>
    <definedName name="newsamps1" localSheetId="5">#REF!</definedName>
    <definedName name="newsamps1" localSheetId="4">#REF!</definedName>
    <definedName name="newsamps1" localSheetId="8">#REF!</definedName>
    <definedName name="newsamps1" localSheetId="9">#REF!</definedName>
    <definedName name="newsamps1" localSheetId="6">#REF!</definedName>
    <definedName name="newsamps1" localSheetId="0">#REF!</definedName>
    <definedName name="newsamps1" localSheetId="2">#REF!</definedName>
    <definedName name="newsamps1" localSheetId="3">#REF!</definedName>
    <definedName name="newsamps1" localSheetId="10">#REF!</definedName>
    <definedName name="newsamps1" localSheetId="7">#REF!</definedName>
    <definedName name="newsamps1">#REF!</definedName>
    <definedName name="newsampso">'[7]d heap'!$A$4:$B$4</definedName>
    <definedName name="newsampss">[7]Sampling!$D$4:$E$4</definedName>
    <definedName name="nextcapnext" localSheetId="8">[6]CIjumping!$D$27</definedName>
    <definedName name="nextcapnext" localSheetId="9">[6]CIjumping!$D$27</definedName>
    <definedName name="nextcapnext" localSheetId="6">[6]CIjumping!$D$27</definedName>
    <definedName name="nextcapnext" localSheetId="10">[6]CIjumping!$D$27</definedName>
    <definedName name="nextcapnext" localSheetId="7">[6]CIjumping!$D$27</definedName>
    <definedName name="nextcapnext">CIjumping!$P$27</definedName>
    <definedName name="nextcaptg" localSheetId="5">#REF!</definedName>
    <definedName name="nextcaptg" localSheetId="4">CIjumping!$P$21</definedName>
    <definedName name="nextcaptg" localSheetId="8">#REF!</definedName>
    <definedName name="nextcaptg" localSheetId="9">#REF!</definedName>
    <definedName name="nextcaptg" localSheetId="6">#REF!</definedName>
    <definedName name="nextcaptg" localSheetId="0">#REF!</definedName>
    <definedName name="nextcaptg" localSheetId="2">Normal!#REF!</definedName>
    <definedName name="nextcaptg" localSheetId="3">'Normal and t'!#REF!</definedName>
    <definedName name="nextcaptg" localSheetId="10">#REF!</definedName>
    <definedName name="nextcaptg" localSheetId="7">#REF!</definedName>
    <definedName name="nextcaptg">[10]CIjumping!$W$18</definedName>
    <definedName name="nextcaptgM" localSheetId="8">[21]Replication!$W$27</definedName>
    <definedName name="nextcaptgM" localSheetId="9">[22]Replication!$W$27</definedName>
    <definedName name="nextcaptgM" localSheetId="6">[22]Replication!$W$27</definedName>
    <definedName name="nextcaptgM" localSheetId="10">[22]Replication!$W$27</definedName>
    <definedName name="nextcaptgM" localSheetId="7">[22]Replication!$W$27</definedName>
    <definedName name="nextcaptgM">[21]Replication!$W$27</definedName>
    <definedName name="nextsamples" localSheetId="5">#REF!</definedName>
    <definedName name="nextsamples" localSheetId="4">[35]CIjumping!$G$27</definedName>
    <definedName name="nextsamples" localSheetId="8">[36]CIjumping!$G$27</definedName>
    <definedName name="nextsamples" localSheetId="9">[37]CIjumping!$G$27</definedName>
    <definedName name="nextsamples" localSheetId="6">[37]CIjumping!$G$27</definedName>
    <definedName name="nextsamples" localSheetId="2">[35]CIjumping!$G$27</definedName>
    <definedName name="nextsamples" localSheetId="3">[35]CIjumping!$G$27</definedName>
    <definedName name="nextsamples" localSheetId="10">[37]CIjumping!$G$27</definedName>
    <definedName name="nextsamples" localSheetId="7">[37]CIjumping!$G$27</definedName>
    <definedName name="nextsamples">[36]CIjumping!$G$27</definedName>
    <definedName name="nhisto">#REF!</definedName>
    <definedName name="nlcapt" localSheetId="8">'[15]Sample r'!$P$21</definedName>
    <definedName name="nlcapt" localSheetId="9">'[16]Sample r'!$P$21</definedName>
    <definedName name="nlcapt" localSheetId="6">'[16]Sample r'!$P$21</definedName>
    <definedName name="nlcapt" localSheetId="10">'[16]Sample r'!$P$21</definedName>
    <definedName name="nlcapt" localSheetId="7">'[16]Sample r'!$P$21</definedName>
    <definedName name="nlcapt">'[15]Sample r'!$P$21</definedName>
    <definedName name="nlu" localSheetId="8">'[15]Sample r'!$P$20:$P$22</definedName>
    <definedName name="nlu" localSheetId="9">'[16]Sample r'!$P$20:$P$22</definedName>
    <definedName name="nlu" localSheetId="6">'[16]Sample r'!$P$20:$P$22</definedName>
    <definedName name="nlu" localSheetId="10">'[16]Sample r'!$P$20:$P$22</definedName>
    <definedName name="nlu" localSheetId="7">'[16]Sample r'!$P$20:$P$22</definedName>
    <definedName name="nlu">'[15]Sample r'!$P$20:$P$22</definedName>
    <definedName name="NN" localSheetId="5">#REF!</definedName>
    <definedName name="NN" localSheetId="4">#REF!</definedName>
    <definedName name="NN" localSheetId="8">#REF!</definedName>
    <definedName name="NN" localSheetId="9">#REF!</definedName>
    <definedName name="NN" localSheetId="6">#REF!</definedName>
    <definedName name="NN" localSheetId="0">#REF!</definedName>
    <definedName name="NN" localSheetId="2">#REF!</definedName>
    <definedName name="NN" localSheetId="3">#REF!</definedName>
    <definedName name="NN" localSheetId="10">#REF!</definedName>
    <definedName name="NN" localSheetId="7">#REF!</definedName>
    <definedName name="NN">#REF!</definedName>
    <definedName name="nof">#REF!</definedName>
    <definedName name="None" localSheetId="5">#REF!</definedName>
    <definedName name="None" localSheetId="4">#REF!</definedName>
    <definedName name="None" localSheetId="8">#REF!</definedName>
    <definedName name="None" localSheetId="9">#REF!</definedName>
    <definedName name="None" localSheetId="6">'Data two'!$O$15</definedName>
    <definedName name="None" localSheetId="0">#REF!</definedName>
    <definedName name="None" localSheetId="2">#REF!</definedName>
    <definedName name="None" localSheetId="3">#REF!</definedName>
    <definedName name="None" localSheetId="10">#REF!</definedName>
    <definedName name="None" localSheetId="7">'Summary two'!$H$8</definedName>
    <definedName name="None">#REF!</definedName>
    <definedName name="nopts">#REF!</definedName>
    <definedName name="normdata" localSheetId="8">[6]Describe!$CG$3:$CG$302</definedName>
    <definedName name="normdata" localSheetId="9">[6]Describe!$CG$3:$CG$302</definedName>
    <definedName name="normdata" localSheetId="6">[6]Describe!$CG$3:$CG$302</definedName>
    <definedName name="normdata" localSheetId="10">[6]Describe!$CG$3:$CG$302</definedName>
    <definedName name="normdata" localSheetId="7">[6]Describe!$CG$3:$CG$302</definedName>
    <definedName name="normdata">Describe!$DR$3:$DR$302</definedName>
    <definedName name="notcapnext" localSheetId="8">[6]CIjumping!$D$26</definedName>
    <definedName name="notcapnext" localSheetId="9">[6]CIjumping!$D$26</definedName>
    <definedName name="notcapnext" localSheetId="6">[6]CIjumping!$D$26</definedName>
    <definedName name="notcapnext" localSheetId="10">[6]CIjumping!$D$26</definedName>
    <definedName name="notcapnext" localSheetId="7">[6]CIjumping!$D$26</definedName>
    <definedName name="notcapnext">CIjumping!$P$26</definedName>
    <definedName name="NP" localSheetId="5">#REF!</definedName>
    <definedName name="NP" localSheetId="4">#REF!</definedName>
    <definedName name="NP" localSheetId="8">'[38]Paired Data'!$K$8</definedName>
    <definedName name="NP" localSheetId="9">#REF!</definedName>
    <definedName name="NP" localSheetId="6">#REF!</definedName>
    <definedName name="NP" localSheetId="0">'[38]Paired Data'!$K$8</definedName>
    <definedName name="NP" localSheetId="2">#REF!</definedName>
    <definedName name="NP" localSheetId="3">#REF!</definedName>
    <definedName name="NP" localSheetId="10">#REF!</definedName>
    <definedName name="NP" localSheetId="7">#REF!</definedName>
    <definedName name="NP">#REF!</definedName>
    <definedName name="nrep" localSheetId="5">#REF!</definedName>
    <definedName name="nrep" localSheetId="4">#REF!</definedName>
    <definedName name="nrep" localSheetId="8">#REF!</definedName>
    <definedName name="nrep" localSheetId="9">#REF!</definedName>
    <definedName name="nrep" localSheetId="6">#REF!</definedName>
    <definedName name="nrep" localSheetId="0">#REF!</definedName>
    <definedName name="nrep" localSheetId="2">#REF!</definedName>
    <definedName name="nrep" localSheetId="3">#REF!</definedName>
    <definedName name="nrep" localSheetId="10">#REF!</definedName>
    <definedName name="nrep" localSheetId="7">#REF!</definedName>
    <definedName name="nrep">#REF!</definedName>
    <definedName name="nsamp1" localSheetId="5">'[1]MA  Standardised units'!$G$6</definedName>
    <definedName name="nsamp1" localSheetId="4">'[1]MA  Standardised units'!$G$6</definedName>
    <definedName name="nsamp1" localSheetId="8">'[2]MA  Standardised units'!$G$6</definedName>
    <definedName name="nsamp1" localSheetId="9">'[3]MA  Standardised units'!$G$6</definedName>
    <definedName name="nsamp1" localSheetId="6">'[3]MA  Standardised units'!$G$6</definedName>
    <definedName name="nsamp1" localSheetId="0">'[2]MA  Standardised units'!$G$6</definedName>
    <definedName name="nsamp1" localSheetId="2">'[1]MA  Standardised units'!$G$6</definedName>
    <definedName name="nsamp1" localSheetId="3">'[1]MA  Standardised units'!$G$6</definedName>
    <definedName name="nsamp1" localSheetId="10">'[3]MA  Standardised units'!$G$6</definedName>
    <definedName name="nsamp1" localSheetId="7">'[3]MA  Standardised units'!$G$6</definedName>
    <definedName name="nsamp1">'[1]MA  Standardised units'!$G$6</definedName>
    <definedName name="nsamp10" localSheetId="5">'[1]MA  Standardised units'!$G$15</definedName>
    <definedName name="nsamp10" localSheetId="4">'[1]MA  Standardised units'!$G$15</definedName>
    <definedName name="nsamp10" localSheetId="8">'[2]MA  Standardised units'!$G$15</definedName>
    <definedName name="nsamp10" localSheetId="9">'[3]MA  Standardised units'!$G$15</definedName>
    <definedName name="nsamp10" localSheetId="6">'[3]MA  Standardised units'!$G$15</definedName>
    <definedName name="nsamp10" localSheetId="0">'[2]MA  Standardised units'!$G$15</definedName>
    <definedName name="nsamp10" localSheetId="2">'[1]MA  Standardised units'!$G$15</definedName>
    <definedName name="nsamp10" localSheetId="3">'[1]MA  Standardised units'!$G$15</definedName>
    <definedName name="nsamp10" localSheetId="10">'[3]MA  Standardised units'!$G$15</definedName>
    <definedName name="nsamp10" localSheetId="7">'[3]MA  Standardised units'!$G$15</definedName>
    <definedName name="nsamp10">'[1]MA  Standardised units'!$G$15</definedName>
    <definedName name="nsamp11" localSheetId="5">'[1]MA  Standardised units'!$G$18</definedName>
    <definedName name="nsamp11" localSheetId="4">'[1]MA  Standardised units'!$G$18</definedName>
    <definedName name="nsamp11" localSheetId="8">'[2]MA  Standardised units'!$G$18</definedName>
    <definedName name="nsamp11" localSheetId="9">'[3]MA  Standardised units'!$G$18</definedName>
    <definedName name="nsamp11" localSheetId="6">'[3]MA  Standardised units'!$G$18</definedName>
    <definedName name="nsamp11" localSheetId="0">'[2]MA  Standardised units'!$G$18</definedName>
    <definedName name="nsamp11" localSheetId="2">'[1]MA  Standardised units'!$G$18</definedName>
    <definedName name="nsamp11" localSheetId="3">'[1]MA  Standardised units'!$G$18</definedName>
    <definedName name="nsamp11" localSheetId="10">'[3]MA  Standardised units'!$G$18</definedName>
    <definedName name="nsamp11" localSheetId="7">'[3]MA  Standardised units'!$G$18</definedName>
    <definedName name="nsamp11">'[1]MA  Standardised units'!$G$18</definedName>
    <definedName name="nsamp12" localSheetId="5">'[1]MA  Standardised units'!$G$21</definedName>
    <definedName name="nsamp12" localSheetId="4">'[1]MA  Standardised units'!$G$21</definedName>
    <definedName name="nsamp12" localSheetId="8">'[2]MA  Standardised units'!$G$21</definedName>
    <definedName name="nsamp12" localSheetId="9">'[3]MA  Standardised units'!$G$21</definedName>
    <definedName name="nsamp12" localSheetId="6">'[3]MA  Standardised units'!$G$21</definedName>
    <definedName name="nsamp12" localSheetId="0">'[2]MA  Standardised units'!$G$21</definedName>
    <definedName name="nsamp12" localSheetId="2">'[1]MA  Standardised units'!$G$21</definedName>
    <definedName name="nsamp12" localSheetId="3">'[1]MA  Standardised units'!$G$21</definedName>
    <definedName name="nsamp12" localSheetId="10">'[3]MA  Standardised units'!$G$21</definedName>
    <definedName name="nsamp12" localSheetId="7">'[3]MA  Standardised units'!$G$21</definedName>
    <definedName name="nsamp12">'[1]MA  Standardised units'!$G$21</definedName>
    <definedName name="nsamp13" localSheetId="5">'[1]MA  Standardised units'!$G$24</definedName>
    <definedName name="nsamp13" localSheetId="4">'[1]MA  Standardised units'!$G$24</definedName>
    <definedName name="nsamp13" localSheetId="8">'[2]MA  Standardised units'!$G$24</definedName>
    <definedName name="nsamp13" localSheetId="9">'[3]MA  Standardised units'!$G$24</definedName>
    <definedName name="nsamp13" localSheetId="6">'[3]MA  Standardised units'!$G$24</definedName>
    <definedName name="nsamp13" localSheetId="0">'[2]MA  Standardised units'!$G$24</definedName>
    <definedName name="nsamp13" localSheetId="2">'[1]MA  Standardised units'!$G$24</definedName>
    <definedName name="nsamp13" localSheetId="3">'[1]MA  Standardised units'!$G$24</definedName>
    <definedName name="nsamp13" localSheetId="10">'[3]MA  Standardised units'!$G$24</definedName>
    <definedName name="nsamp13" localSheetId="7">'[3]MA  Standardised units'!$G$24</definedName>
    <definedName name="nsamp13">'[1]MA  Standardised units'!$G$24</definedName>
    <definedName name="nsamp2" localSheetId="5">'[1]MA  Standardised units'!$G$7</definedName>
    <definedName name="nsamp2" localSheetId="4">'[1]MA  Standardised units'!$G$7</definedName>
    <definedName name="nsamp2" localSheetId="8">'[2]MA  Standardised units'!$G$7</definedName>
    <definedName name="nsamp2" localSheetId="9">'[3]MA  Standardised units'!$G$7</definedName>
    <definedName name="nsamp2" localSheetId="6">'[3]MA  Standardised units'!$G$7</definedName>
    <definedName name="nsamp2" localSheetId="0">'[2]MA  Standardised units'!$G$7</definedName>
    <definedName name="nsamp2" localSheetId="2">'[1]MA  Standardised units'!$G$7</definedName>
    <definedName name="nsamp2" localSheetId="3">'[1]MA  Standardised units'!$G$7</definedName>
    <definedName name="nsamp2" localSheetId="10">'[3]MA  Standardised units'!$G$7</definedName>
    <definedName name="nsamp2" localSheetId="7">'[3]MA  Standardised units'!$G$7</definedName>
    <definedName name="nsamp2">'[1]MA  Standardised units'!$G$7</definedName>
    <definedName name="nsamp3" localSheetId="5">'[1]MA  Standardised units'!$G$8</definedName>
    <definedName name="nsamp3" localSheetId="4">'[1]MA  Standardised units'!$G$8</definedName>
    <definedName name="nsamp3" localSheetId="8">'[2]MA  Standardised units'!$G$8</definedName>
    <definedName name="nsamp3" localSheetId="9">'[3]MA  Standardised units'!$G$8</definedName>
    <definedName name="nsamp3" localSheetId="6">'[3]MA  Standardised units'!$G$8</definedName>
    <definedName name="nsamp3" localSheetId="0">'[2]MA  Standardised units'!$G$8</definedName>
    <definedName name="nsamp3" localSheetId="2">'[1]MA  Standardised units'!$G$8</definedName>
    <definedName name="nsamp3" localSheetId="3">'[1]MA  Standardised units'!$G$8</definedName>
    <definedName name="nsamp3" localSheetId="10">'[3]MA  Standardised units'!$G$8</definedName>
    <definedName name="nsamp3" localSheetId="7">'[3]MA  Standardised units'!$G$8</definedName>
    <definedName name="nsamp3">'[1]MA  Standardised units'!$G$8</definedName>
    <definedName name="nsamp4" localSheetId="5">'[1]MA  Standardised units'!$G$9</definedName>
    <definedName name="nsamp4" localSheetId="4">'[1]MA  Standardised units'!$G$9</definedName>
    <definedName name="nsamp4" localSheetId="8">'[2]MA  Standardised units'!$G$9</definedName>
    <definedName name="nsamp4" localSheetId="9">'[3]MA  Standardised units'!$G$9</definedName>
    <definedName name="nsamp4" localSheetId="6">'[3]MA  Standardised units'!$G$9</definedName>
    <definedName name="nsamp4" localSheetId="0">'[2]MA  Standardised units'!$G$9</definedName>
    <definedName name="nsamp4" localSheetId="2">'[1]MA  Standardised units'!$G$9</definedName>
    <definedName name="nsamp4" localSheetId="3">'[1]MA  Standardised units'!$G$9</definedName>
    <definedName name="nsamp4" localSheetId="10">'[3]MA  Standardised units'!$G$9</definedName>
    <definedName name="nsamp4" localSheetId="7">'[3]MA  Standardised units'!$G$9</definedName>
    <definedName name="nsamp4">'[1]MA  Standardised units'!$G$9</definedName>
    <definedName name="nsamp5" localSheetId="5">'[1]MA  Standardised units'!$G$10</definedName>
    <definedName name="nsamp5" localSheetId="4">'[1]MA  Standardised units'!$G$10</definedName>
    <definedName name="nsamp5" localSheetId="8">'[2]MA  Standardised units'!$G$10</definedName>
    <definedName name="nsamp5" localSheetId="9">'[3]MA  Standardised units'!$G$10</definedName>
    <definedName name="nsamp5" localSheetId="6">'[3]MA  Standardised units'!$G$10</definedName>
    <definedName name="nsamp5" localSheetId="0">'[2]MA  Standardised units'!$G$10</definedName>
    <definedName name="nsamp5" localSheetId="2">'[1]MA  Standardised units'!$G$10</definedName>
    <definedName name="nsamp5" localSheetId="3">'[1]MA  Standardised units'!$G$10</definedName>
    <definedName name="nsamp5" localSheetId="10">'[3]MA  Standardised units'!$G$10</definedName>
    <definedName name="nsamp5" localSheetId="7">'[3]MA  Standardised units'!$G$10</definedName>
    <definedName name="nsamp5">'[1]MA  Standardised units'!$G$10</definedName>
    <definedName name="nsamp6" localSheetId="5">'[1]MA  Standardised units'!$G$11</definedName>
    <definedName name="nsamp6" localSheetId="4">'[1]MA  Standardised units'!$G$11</definedName>
    <definedName name="nsamp6" localSheetId="8">'[2]MA  Standardised units'!$G$11</definedName>
    <definedName name="nsamp6" localSheetId="9">'[3]MA  Standardised units'!$G$11</definedName>
    <definedName name="nsamp6" localSheetId="6">'[3]MA  Standardised units'!$G$11</definedName>
    <definedName name="nsamp6" localSheetId="0">'[2]MA  Standardised units'!$G$11</definedName>
    <definedName name="nsamp6" localSheetId="2">'[1]MA  Standardised units'!$G$11</definedName>
    <definedName name="nsamp6" localSheetId="3">'[1]MA  Standardised units'!$G$11</definedName>
    <definedName name="nsamp6" localSheetId="10">'[3]MA  Standardised units'!$G$11</definedName>
    <definedName name="nsamp6" localSheetId="7">'[3]MA  Standardised units'!$G$11</definedName>
    <definedName name="nsamp6">'[1]MA  Standardised units'!$G$11</definedName>
    <definedName name="nsamp7" localSheetId="5">'[1]MA  Standardised units'!$G$12</definedName>
    <definedName name="nsamp7" localSheetId="4">'[1]MA  Standardised units'!$G$12</definedName>
    <definedName name="nsamp7" localSheetId="8">'[2]MA  Standardised units'!$G$12</definedName>
    <definedName name="nsamp7" localSheetId="9">'[3]MA  Standardised units'!$G$12</definedName>
    <definedName name="nsamp7" localSheetId="6">'[3]MA  Standardised units'!$G$12</definedName>
    <definedName name="nsamp7" localSheetId="0">'[2]MA  Standardised units'!$G$12</definedName>
    <definedName name="nsamp7" localSheetId="2">'[1]MA  Standardised units'!$G$12</definedName>
    <definedName name="nsamp7" localSheetId="3">'[1]MA  Standardised units'!$G$12</definedName>
    <definedName name="nsamp7" localSheetId="10">'[3]MA  Standardised units'!$G$12</definedName>
    <definedName name="nsamp7" localSheetId="7">'[3]MA  Standardised units'!$G$12</definedName>
    <definedName name="nsamp7">'[1]MA  Standardised units'!$G$12</definedName>
    <definedName name="nsamp8" localSheetId="5">'[1]MA  Standardised units'!$G$13</definedName>
    <definedName name="nsamp8" localSheetId="4">'[1]MA  Standardised units'!$G$13</definedName>
    <definedName name="nsamp8" localSheetId="8">'[2]MA  Standardised units'!$G$13</definedName>
    <definedName name="nsamp8" localSheetId="9">'[3]MA  Standardised units'!$G$13</definedName>
    <definedName name="nsamp8" localSheetId="6">'[3]MA  Standardised units'!$G$13</definedName>
    <definedName name="nsamp8" localSheetId="0">'[2]MA  Standardised units'!$G$13</definedName>
    <definedName name="nsamp8" localSheetId="2">'[1]MA  Standardised units'!$G$13</definedName>
    <definedName name="nsamp8" localSheetId="3">'[1]MA  Standardised units'!$G$13</definedName>
    <definedName name="nsamp8" localSheetId="10">'[3]MA  Standardised units'!$G$13</definedName>
    <definedName name="nsamp8" localSheetId="7">'[3]MA  Standardised units'!$G$13</definedName>
    <definedName name="nsamp8">'[1]MA  Standardised units'!$G$13</definedName>
    <definedName name="nsamp9" localSheetId="5">'[1]MA  Standardised units'!$G$14</definedName>
    <definedName name="nsamp9" localSheetId="4">'[1]MA  Standardised units'!$G$14</definedName>
    <definedName name="nsamp9" localSheetId="8">'[2]MA  Standardised units'!$G$14</definedName>
    <definedName name="nsamp9" localSheetId="9">'[3]MA  Standardised units'!$G$14</definedName>
    <definedName name="nsamp9" localSheetId="6">'[3]MA  Standardised units'!$G$14</definedName>
    <definedName name="nsamp9" localSheetId="0">'[2]MA  Standardised units'!$G$14</definedName>
    <definedName name="nsamp9" localSheetId="2">'[1]MA  Standardised units'!$G$14</definedName>
    <definedName name="nsamp9" localSheetId="3">'[1]MA  Standardised units'!$G$14</definedName>
    <definedName name="nsamp9" localSheetId="10">'[3]MA  Standardised units'!$G$14</definedName>
    <definedName name="nsamp9" localSheetId="7">'[3]MA  Standardised units'!$G$14</definedName>
    <definedName name="nsamp9">'[1]MA  Standardised units'!$G$14</definedName>
    <definedName name="nsamples" localSheetId="5">#REF!</definedName>
    <definedName name="nsamples" localSheetId="4">CIjumping!$O$4</definedName>
    <definedName name="nsamples" localSheetId="8">#REF!</definedName>
    <definedName name="nsamples" localSheetId="9">#REF!</definedName>
    <definedName name="nsamples" localSheetId="6">#REF!</definedName>
    <definedName name="nsamples" localSheetId="0">#REF!</definedName>
    <definedName name="nsamples" localSheetId="2">Normal!#REF!</definedName>
    <definedName name="nsamples" localSheetId="3">'Normal and t'!#REF!</definedName>
    <definedName name="nsamples" localSheetId="10">#REF!</definedName>
    <definedName name="nsamples" localSheetId="7">#REF!</definedName>
    <definedName name="nsamples">[10]CIjumping!$V$4</definedName>
    <definedName name="nsamps" localSheetId="5">#REF!</definedName>
    <definedName name="nsamps" localSheetId="4">#REF!</definedName>
    <definedName name="nsamps" localSheetId="8">#REF!</definedName>
    <definedName name="nsamps" localSheetId="9">#REF!</definedName>
    <definedName name="nsamps" localSheetId="6">#REF!</definedName>
    <definedName name="nsamps" localSheetId="0">#REF!</definedName>
    <definedName name="nsamps" localSheetId="2">#REF!</definedName>
    <definedName name="nsamps" localSheetId="3">#REF!</definedName>
    <definedName name="nsamps" localSheetId="10">#REF!</definedName>
    <definedName name="nsamps" localSheetId="7">#REF!</definedName>
    <definedName name="nsamps">#REF!</definedName>
    <definedName name="nsamps1" localSheetId="5">#REF!</definedName>
    <definedName name="nsamps1" localSheetId="4">#REF!</definedName>
    <definedName name="nsamps1" localSheetId="8">#REF!</definedName>
    <definedName name="nsamps1" localSheetId="9">#REF!</definedName>
    <definedName name="nsamps1" localSheetId="6">#REF!</definedName>
    <definedName name="nsamps1" localSheetId="0">#REF!</definedName>
    <definedName name="nsamps1" localSheetId="2">#REF!</definedName>
    <definedName name="nsamps1" localSheetId="3">#REF!</definedName>
    <definedName name="nsamps1" localSheetId="10">#REF!</definedName>
    <definedName name="nsamps1" localSheetId="7">#REF!</definedName>
    <definedName name="nsamps1">#REF!</definedName>
    <definedName name="nsampso">'[7]d heap'!$N$18</definedName>
    <definedName name="nsampss">[7]Sampling!$T$17</definedName>
    <definedName name="nsets" localSheetId="8">'[15]Sample r'!$P$20</definedName>
    <definedName name="nsets" localSheetId="9">'[16]Sample r'!$P$20</definedName>
    <definedName name="nsets" localSheetId="6">'[16]Sample r'!$P$20</definedName>
    <definedName name="nsets" localSheetId="10">'[16]Sample r'!$P$20</definedName>
    <definedName name="nsets" localSheetId="7">'[16]Sample r'!$P$20</definedName>
    <definedName name="nsets">'[15]Sample r'!$P$20</definedName>
    <definedName name="Ntwo" localSheetId="5">#REF!</definedName>
    <definedName name="Ntwo" localSheetId="4">#REF!</definedName>
    <definedName name="Ntwo" localSheetId="8">#REF!</definedName>
    <definedName name="Ntwo" localSheetId="9">#REF!</definedName>
    <definedName name="Ntwo" localSheetId="6">'Data two'!$Q$15</definedName>
    <definedName name="Ntwo" localSheetId="0">#REF!</definedName>
    <definedName name="Ntwo" localSheetId="2">#REF!</definedName>
    <definedName name="Ntwo" localSheetId="3">#REF!</definedName>
    <definedName name="Ntwo" localSheetId="10">#REF!</definedName>
    <definedName name="Ntwo" localSheetId="7">'Summary two'!$L$8</definedName>
    <definedName name="Ntwo">#REF!</definedName>
    <definedName name="nucapt" localSheetId="8">'[15]Sample r'!$P$22</definedName>
    <definedName name="nucapt" localSheetId="9">'[16]Sample r'!$P$22</definedName>
    <definedName name="nucapt" localSheetId="6">'[16]Sample r'!$P$22</definedName>
    <definedName name="nucapt" localSheetId="10">'[16]Sample r'!$P$22</definedName>
    <definedName name="nucapt" localSheetId="7">'[16]Sample r'!$P$22</definedName>
    <definedName name="nucapt">'[15]Sample r'!$P$22</definedName>
    <definedName name="nullctr">'[27]Case 1 Single Group'!$K$2</definedName>
    <definedName name="NumFreqSets" localSheetId="8">'[4]Two proportions'!$L$31</definedName>
    <definedName name="NumFreqSets" localSheetId="9">'[5]Two proportions'!$L$31</definedName>
    <definedName name="NumFreqSets" localSheetId="6">'[5]Two proportions'!$L$31</definedName>
    <definedName name="NumFreqSets" localSheetId="10">'[5]Two proportions'!$L$31</definedName>
    <definedName name="NumFreqSets" localSheetId="7">'[5]Two proportions'!$L$31</definedName>
    <definedName name="NumFreqSets">'[4]Two proportions'!$L$31</definedName>
    <definedName name="numinitsamps">#REF!</definedName>
    <definedName name="oldsamps" localSheetId="5">#REF!</definedName>
    <definedName name="oldsamps" localSheetId="4">CIjumping!$M$3:$O$634</definedName>
    <definedName name="oldsamps" localSheetId="8">#REF!</definedName>
    <definedName name="oldsamps" localSheetId="9">#REF!</definedName>
    <definedName name="oldsamps" localSheetId="6">#REF!</definedName>
    <definedName name="oldsamps" localSheetId="0">#REF!</definedName>
    <definedName name="oldsamps" localSheetId="2">Normal!#REF!</definedName>
    <definedName name="oldsamps" localSheetId="3">'Normal and t'!#REF!</definedName>
    <definedName name="oldsamps" localSheetId="10">#REF!</definedName>
    <definedName name="oldsamps" localSheetId="7">#REF!</definedName>
    <definedName name="oldsamps">[10]CIjumping!$T$3:$V$304</definedName>
    <definedName name="oldsamps1" localSheetId="5">#REF!</definedName>
    <definedName name="oldsamps1" localSheetId="4">#REF!</definedName>
    <definedName name="oldsamps1" localSheetId="8">#REF!</definedName>
    <definedName name="oldsamps1" localSheetId="9">#REF!</definedName>
    <definedName name="oldsamps1" localSheetId="6">#REF!</definedName>
    <definedName name="oldsamps1" localSheetId="0">#REF!</definedName>
    <definedName name="oldsamps1" localSheetId="2">#REF!</definedName>
    <definedName name="oldsamps1" localSheetId="3">#REF!</definedName>
    <definedName name="oldsamps1" localSheetId="10">#REF!</definedName>
    <definedName name="oldsamps1" localSheetId="7">#REF!</definedName>
    <definedName name="oldsamps1">#REF!</definedName>
    <definedName name="oldsampso">'[7]d heap'!$A$3:$B$304</definedName>
    <definedName name="oldsampss">[7]Sampling!$D$3:$E$304</definedName>
    <definedName name="onealso" localSheetId="5">#REF!</definedName>
    <definedName name="onealso" localSheetId="4">#REF!</definedName>
    <definedName name="onealso" localSheetId="8">#REF!</definedName>
    <definedName name="onealso" localSheetId="9">#REF!</definedName>
    <definedName name="onealso" localSheetId="6">#REF!</definedName>
    <definedName name="onealso" localSheetId="0">#REF!</definedName>
    <definedName name="onealso" localSheetId="2">#REF!</definedName>
    <definedName name="onealso" localSheetId="3">#REF!</definedName>
    <definedName name="onealso" localSheetId="10">#REF!</definedName>
    <definedName name="onealso" localSheetId="7">#REF!</definedName>
    <definedName name="onealso">#REF!</definedName>
    <definedName name="OneSpeed" localSheetId="5">#REF!</definedName>
    <definedName name="OneSpeed" localSheetId="4">#REF!</definedName>
    <definedName name="OneSpeed" localSheetId="8">#REF!</definedName>
    <definedName name="OneSpeed" localSheetId="9">#REF!</definedName>
    <definedName name="OneSpeed" localSheetId="6">#REF!</definedName>
    <definedName name="OneSpeed" localSheetId="0">#REF!</definedName>
    <definedName name="OneSpeed" localSheetId="2">#REF!</definedName>
    <definedName name="OneSpeed" localSheetId="3">#REF!</definedName>
    <definedName name="OneSpeed" localSheetId="10">#REF!</definedName>
    <definedName name="OneSpeed" localSheetId="7">#REF!</definedName>
    <definedName name="OneSpeed">#REF!</definedName>
    <definedName name="orddata300" localSheetId="8">[6]Describe!$BM$4:$BM$303</definedName>
    <definedName name="orddata300" localSheetId="9">[6]Describe!$BM$4:$BM$303</definedName>
    <definedName name="orddata300" localSheetId="6">[6]Describe!$BM$4:$BM$303</definedName>
    <definedName name="orddata300" localSheetId="10">[6]Describe!$BM$4:$BM$303</definedName>
    <definedName name="orddata300" localSheetId="7">[6]Describe!$BM$4:$BM$303</definedName>
    <definedName name="orddata300">Describe!$CX$4:$CX$303</definedName>
    <definedName name="orddataput" localSheetId="8">[6]Describe!$I$2:$I$301</definedName>
    <definedName name="orddataput" localSheetId="9">[6]Describe!$I$2:$I$301</definedName>
    <definedName name="orddataput" localSheetId="6">[6]Describe!$I$2:$I$301</definedName>
    <definedName name="orddataput" localSheetId="10">[6]Describe!$I$2:$I$301</definedName>
    <definedName name="orddataput" localSheetId="7">[6]Describe!$I$2:$I$301</definedName>
    <definedName name="orddataput">Describe!$H$2:$H$301</definedName>
    <definedName name="Oscrollcount" localSheetId="8">[6]Describe!$AD$2</definedName>
    <definedName name="Oscrollcount" localSheetId="9">[6]Describe!$AD$2</definedName>
    <definedName name="Oscrollcount" localSheetId="6">[6]Describe!$AD$2</definedName>
    <definedName name="Oscrollcount" localSheetId="10">[6]Describe!$AD$2</definedName>
    <definedName name="Oscrollcount" localSheetId="7">[6]Describe!$AD$2</definedName>
    <definedName name="Oscrollcount">Describe!$AH$2</definedName>
    <definedName name="overflow" localSheetId="5">#REF!</definedName>
    <definedName name="overflow" localSheetId="8">'[18]Vary C'!$N$14</definedName>
    <definedName name="overflow" localSheetId="9">'[19]Vary C'!$N$14</definedName>
    <definedName name="overflow" localSheetId="6">'[19]Vary C'!$N$14</definedName>
    <definedName name="overflow" localSheetId="10">'[19]Vary C'!$N$14</definedName>
    <definedName name="overflow" localSheetId="7">'[19]Vary C'!$N$14</definedName>
    <definedName name="overflow">'[18]Vary C'!$N$14</definedName>
    <definedName name="p9obt">#REF!</definedName>
    <definedName name="p9vala1">#REF!</definedName>
    <definedName name="p9vala2">#REF!</definedName>
    <definedName name="p9vala3">#REF!</definedName>
    <definedName name="p9vala4">#REF!</definedName>
    <definedName name="p9valb3">#REF!</definedName>
    <definedName name="p9valb4">#REF!</definedName>
    <definedName name="PairSpeed" localSheetId="5">#REF!</definedName>
    <definedName name="PairSpeed" localSheetId="4">#REF!</definedName>
    <definedName name="PairSpeed" localSheetId="8">#REF!</definedName>
    <definedName name="PairSpeed" localSheetId="9">#REF!</definedName>
    <definedName name="PairSpeed" localSheetId="6">#REF!</definedName>
    <definedName name="PairSpeed" localSheetId="0">#REF!</definedName>
    <definedName name="PairSpeed" localSheetId="2">#REF!</definedName>
    <definedName name="PairSpeed" localSheetId="3">#REF!</definedName>
    <definedName name="PairSpeed" localSheetId="10">#REF!</definedName>
    <definedName name="PairSpeed" localSheetId="7">#REF!</definedName>
    <definedName name="PairSpeed">#REF!</definedName>
    <definedName name="paraminto" localSheetId="5">#REF!</definedName>
    <definedName name="paraminto" localSheetId="4">CIjumping!$A$4</definedName>
    <definedName name="paraminto" localSheetId="8">#REF!</definedName>
    <definedName name="paraminto" localSheetId="9">#REF!</definedName>
    <definedName name="paraminto" localSheetId="6">#REF!</definedName>
    <definedName name="paraminto" localSheetId="0">#REF!</definedName>
    <definedName name="paraminto" localSheetId="2">Normal!#REF!</definedName>
    <definedName name="paraminto" localSheetId="3">'Normal and t'!#REF!</definedName>
    <definedName name="paraminto" localSheetId="10">#REF!</definedName>
    <definedName name="paraminto" localSheetId="7">#REF!</definedName>
    <definedName name="paraminto">[10]CIjumping!$W$2</definedName>
    <definedName name="paraminto1" localSheetId="5">#REF!</definedName>
    <definedName name="paraminto1" localSheetId="4">#REF!</definedName>
    <definedName name="paraminto1" localSheetId="8">#REF!</definedName>
    <definedName name="paraminto1" localSheetId="9">#REF!</definedName>
    <definedName name="paraminto1" localSheetId="6">#REF!</definedName>
    <definedName name="paraminto1" localSheetId="0">#REF!</definedName>
    <definedName name="paraminto1" localSheetId="2">#REF!</definedName>
    <definedName name="paraminto1" localSheetId="3">#REF!</definedName>
    <definedName name="paraminto1" localSheetId="10">#REF!</definedName>
    <definedName name="paraminto1" localSheetId="7">#REF!</definedName>
    <definedName name="paraminto1">#REF!</definedName>
    <definedName name="paramintoo">'[7]d heap'!$D$10</definedName>
    <definedName name="paramintos">[7]Sampling!$G$10</definedName>
    <definedName name="params" localSheetId="5">#REF!</definedName>
    <definedName name="params" localSheetId="4">CIjumping!$Q$2:$Q$13</definedName>
    <definedName name="params" localSheetId="8">#REF!</definedName>
    <definedName name="params" localSheetId="9">#REF!</definedName>
    <definedName name="params" localSheetId="6">#REF!</definedName>
    <definedName name="params" localSheetId="0">#REF!</definedName>
    <definedName name="params" localSheetId="2">Normal!#REF!</definedName>
    <definedName name="params" localSheetId="3">'Normal and t'!#REF!</definedName>
    <definedName name="params" localSheetId="10">#REF!</definedName>
    <definedName name="params" localSheetId="7">#REF!</definedName>
    <definedName name="params">[10]CIjumping!$X$2:$X$10</definedName>
    <definedName name="params1" localSheetId="5">#REF!</definedName>
    <definedName name="params1" localSheetId="4">#REF!</definedName>
    <definedName name="params1" localSheetId="8">#REF!</definedName>
    <definedName name="params1" localSheetId="9">#REF!</definedName>
    <definedName name="params1" localSheetId="6">#REF!</definedName>
    <definedName name="params1" localSheetId="0">#REF!</definedName>
    <definedName name="params1" localSheetId="2">#REF!</definedName>
    <definedName name="params1" localSheetId="3">#REF!</definedName>
    <definedName name="params1" localSheetId="10">#REF!</definedName>
    <definedName name="params1" localSheetId="7">#REF!</definedName>
    <definedName name="params1">#REF!</definedName>
    <definedName name="paramso">'[7]d heap'!$E$10:$E$13</definedName>
    <definedName name="paramss">[7]Sampling!$H$10:$H$13</definedName>
    <definedName name="paramsx">CIjumping!$A$3:$L$3</definedName>
    <definedName name="park" localSheetId="8">'[15]Calculate r'!$K$2</definedName>
    <definedName name="park" localSheetId="9">'[16]Calculate r'!$K$2</definedName>
    <definedName name="park" localSheetId="6">'[16]Calculate r'!$K$2</definedName>
    <definedName name="park" localSheetId="10">'[16]Calculate r'!$K$2</definedName>
    <definedName name="park" localSheetId="7">'[16]Calculate r'!$K$2</definedName>
    <definedName name="park">'[15]Calculate r'!$K$2</definedName>
    <definedName name="parkr" localSheetId="8">'[15]See r'!$C$14</definedName>
    <definedName name="parkr" localSheetId="9">'[16]See r'!$C$14</definedName>
    <definedName name="parkr" localSheetId="6">'[16]See r'!$C$14</definedName>
    <definedName name="parkr" localSheetId="10">'[16]See r'!$C$14</definedName>
    <definedName name="parkr" localSheetId="7">'[16]See r'!$C$14</definedName>
    <definedName name="parkr">'[15]See r'!$C$14</definedName>
    <definedName name="parkr2">#REF!</definedName>
    <definedName name="parkrtwo">'[17]Two correlations'!$J$2</definedName>
    <definedName name="parkrz">'[17]r to z'!$J$2</definedName>
    <definedName name="parksr" localSheetId="8">'[15]Sample r'!$N$2</definedName>
    <definedName name="parksr" localSheetId="9">'[16]Sample r'!$N$2</definedName>
    <definedName name="parksr" localSheetId="6">'[16]Sample r'!$N$2</definedName>
    <definedName name="parksr" localSheetId="10">'[16]Sample r'!$N$2</definedName>
    <definedName name="parksr" localSheetId="7">'[16]Sample r'!$N$2</definedName>
    <definedName name="parksr">'[15]Sample r'!$N$2</definedName>
    <definedName name="pccursortf" localSheetId="8">[6]Describe!$U$24</definedName>
    <definedName name="pccursortf" localSheetId="9">[6]Describe!$U$24</definedName>
    <definedName name="pccursortf" localSheetId="6">[6]Describe!$U$24</definedName>
    <definedName name="pccursortf" localSheetId="10">[6]Describe!$U$24</definedName>
    <definedName name="pccursortf" localSheetId="7">[6]Describe!$U$24</definedName>
    <definedName name="pccursortf">Describe!$Y$24</definedName>
    <definedName name="persist">#REF!</definedName>
    <definedName name="pnineobt">#REF!</definedName>
    <definedName name="pnvalafour">#REF!</definedName>
    <definedName name="pnvalaone">#REF!</definedName>
    <definedName name="pnvalathree">#REF!</definedName>
    <definedName name="pnvalatwo">#REF!</definedName>
    <definedName name="pnvalbfour">#REF!</definedName>
    <definedName name="pnvalbthree">#REF!</definedName>
    <definedName name="POPMEAN" localSheetId="5">#REF!</definedName>
    <definedName name="POPMEAN" localSheetId="4">#REF!</definedName>
    <definedName name="POPMEAN" localSheetId="8">'[38]Paired Data'!$K$3</definedName>
    <definedName name="POPMEAN" localSheetId="9">#REF!</definedName>
    <definedName name="POPMEAN" localSheetId="6">#REF!</definedName>
    <definedName name="POPMEAN" localSheetId="0">'[38]Paired Data'!$K$3</definedName>
    <definedName name="POPMEAN" localSheetId="2">#REF!</definedName>
    <definedName name="POPMEAN" localSheetId="3">#REF!</definedName>
    <definedName name="POPMEAN" localSheetId="10">#REF!</definedName>
    <definedName name="POPMEAN" localSheetId="7">#REF!</definedName>
    <definedName name="POPMEAN">#REF!</definedName>
    <definedName name="POPMEANDIFF" localSheetId="5">#REF!</definedName>
    <definedName name="POPMEANDIFF" localSheetId="4">#REF!</definedName>
    <definedName name="POPMEANDIFF" localSheetId="8">'[38]Paired Data'!$H$11</definedName>
    <definedName name="POPMEANDIFF" localSheetId="9">#REF!</definedName>
    <definedName name="POPMEANDIFF" localSheetId="6">#REF!</definedName>
    <definedName name="POPMEANDIFF" localSheetId="0">'[38]Paired Data'!$H$11</definedName>
    <definedName name="POPMEANDIFF" localSheetId="2">#REF!</definedName>
    <definedName name="POPMEANDIFF" localSheetId="3">#REF!</definedName>
    <definedName name="POPMEANDIFF" localSheetId="10">#REF!</definedName>
    <definedName name="POPMEANDIFF" localSheetId="7">#REF!</definedName>
    <definedName name="POPMEANDIFF">#REF!</definedName>
    <definedName name="POPSIGMA" localSheetId="5">#REF!</definedName>
    <definedName name="POPSIGMA" localSheetId="4">#REF!</definedName>
    <definedName name="POPSIGMA" localSheetId="8">'[38]Paired Data'!$K$5</definedName>
    <definedName name="POPSIGMA" localSheetId="9">#REF!</definedName>
    <definedName name="POPSIGMA" localSheetId="6">#REF!</definedName>
    <definedName name="POPSIGMA" localSheetId="0">'[38]Paired Data'!$K$5</definedName>
    <definedName name="POPSIGMA" localSheetId="2">#REF!</definedName>
    <definedName name="POPSIGMA" localSheetId="3">#REF!</definedName>
    <definedName name="POPSIGMA" localSheetId="10">#REF!</definedName>
    <definedName name="POPSIGMA" localSheetId="7">#REF!</definedName>
    <definedName name="POPSIGMA">#REF!</definedName>
    <definedName name="preplabel" localSheetId="8">[21]Replication!$AS$8</definedName>
    <definedName name="preplabel" localSheetId="9">[22]Replication!$AS$8</definedName>
    <definedName name="preplabel" localSheetId="6">[22]Replication!$AS$8</definedName>
    <definedName name="preplabel" localSheetId="10">[22]Replication!$AS$8</definedName>
    <definedName name="preplabel" localSheetId="7">[22]Replication!$AS$8</definedName>
    <definedName name="preplabel">[21]Replication!$AS$8</definedName>
    <definedName name="Prop1" localSheetId="8">'[4]Two proportions'!$G$31</definedName>
    <definedName name="Prop1" localSheetId="9">'[5]Two proportions'!$G$31</definedName>
    <definedName name="Prop1" localSheetId="6">'[5]Two proportions'!$G$31</definedName>
    <definedName name="Prop1" localSheetId="10">'[5]Two proportions'!$G$31</definedName>
    <definedName name="Prop1" localSheetId="7">'[5]Two proportions'!$G$31</definedName>
    <definedName name="Prop1">'[4]Two proportions'!$G$31</definedName>
    <definedName name="Prop2" localSheetId="8">'[4]Two proportions'!$I$31</definedName>
    <definedName name="Prop2" localSheetId="9">'[5]Two proportions'!$I$31</definedName>
    <definedName name="Prop2" localSheetId="6">'[5]Two proportions'!$I$31</definedName>
    <definedName name="Prop2" localSheetId="10">'[5]Two proportions'!$I$31</definedName>
    <definedName name="Prop2" localSheetId="7">'[5]Two proportions'!$I$31</definedName>
    <definedName name="Prop2">'[4]Two proportions'!$I$31</definedName>
    <definedName name="ptrs">#REF!</definedName>
    <definedName name="putfour">'[7]Precision one'!$AD$1:$AD$4</definedName>
    <definedName name="putfourg">'[7]Precision one'!$Z$1:$Z$4</definedName>
    <definedName name="putgamma">'[7]Precision one'!$AH$1</definedName>
    <definedName name="putht">#REF!</definedName>
    <definedName name="putoneprop">'[8]One proportion'!$A$20</definedName>
    <definedName name="putrand" localSheetId="5">'[15]Calculate r'!$AE$2</definedName>
    <definedName name="putrand" localSheetId="4">'[15]Calculate r'!$AE$2</definedName>
    <definedName name="putrand" localSheetId="8">'[15]Calculate r'!$AE$2</definedName>
    <definedName name="putrand" localSheetId="9">'[16]Calculate r'!$AE$2</definedName>
    <definedName name="putrand" localSheetId="6">'[16]Calculate r'!$AE$2</definedName>
    <definedName name="putrand" localSheetId="0">'[15]Calculate r'!$AE$2</definedName>
    <definedName name="putrand" localSheetId="2">'[15]Calculate r'!$AE$2</definedName>
    <definedName name="putrand" localSheetId="3">'[15]Calculate r'!$AE$2</definedName>
    <definedName name="putrand" localSheetId="10">'[16]Calculate r'!$AE$2</definedName>
    <definedName name="putrand" localSheetId="7">'[16]Calculate r'!$AE$2</definedName>
    <definedName name="putrand">Describe!$Y$13</definedName>
    <definedName name="puttwoprop">'[8]Two proportions'!$B$18</definedName>
    <definedName name="putXY" localSheetId="8">'[15]Calculate r'!$B$8</definedName>
    <definedName name="putXY" localSheetId="9">'[16]Calculate r'!$B$8</definedName>
    <definedName name="putXY" localSheetId="6">'[16]Calculate r'!$B$8</definedName>
    <definedName name="putXY" localSheetId="10">'[16]Calculate r'!$B$8</definedName>
    <definedName name="putXY" localSheetId="7">'[16]Calculate r'!$B$8</definedName>
    <definedName name="putXY">'[15]Calculate r'!$B$8</definedName>
    <definedName name="pvallabel" localSheetId="8">[21]Replication!$AS$7</definedName>
    <definedName name="pvallabel" localSheetId="9">[22]Replication!$AS$7</definedName>
    <definedName name="pvallabel" localSheetId="6">[22]Replication!$AS$7</definedName>
    <definedName name="pvallabel" localSheetId="10">[22]Replication!$AS$7</definedName>
    <definedName name="pvallabel" localSheetId="7">[22]Replication!$AS$7</definedName>
    <definedName name="pvallabel">[21]Replication!$AS$7</definedName>
    <definedName name="RangeSliders" localSheetId="8">'[15]Calculate r'!$AX$5</definedName>
    <definedName name="RangeSliders" localSheetId="9">'[16]Calculate r'!$AX$5</definedName>
    <definedName name="RangeSliders" localSheetId="6">'[16]Calculate r'!$AX$5</definedName>
    <definedName name="RangeSliders" localSheetId="10">'[16]Calculate r'!$AX$5</definedName>
    <definedName name="RangeSliders" localSheetId="7">'[16]Calculate r'!$AX$5</definedName>
    <definedName name="RangeSliders">'[15]Calculate r'!$AX$5</definedName>
    <definedName name="rectdata" localSheetId="8">[6]Describe!$CK$3:$CK$302</definedName>
    <definedName name="rectdata" localSheetId="9">[6]Describe!$CK$3:$CK$302</definedName>
    <definedName name="rectdata" localSheetId="6">[6]Describe!$CK$3:$CK$302</definedName>
    <definedName name="rectdata" localSheetId="10">[6]Describe!$CK$3:$CK$302</definedName>
    <definedName name="rectdata" localSheetId="7">[6]Describe!$CK$3:$CK$302</definedName>
    <definedName name="rectdata">Describe!$DV$3:$DV$302</definedName>
    <definedName name="Rep4copy">#REF!</definedName>
    <definedName name="Rep4paste">#REF!</definedName>
    <definedName name="Rep5copy">#REF!</definedName>
    <definedName name="Rep5paste">#REF!</definedName>
    <definedName name="Repchange" localSheetId="8">#REF!</definedName>
    <definedName name="Repchange" localSheetId="9">#REF!</definedName>
    <definedName name="Repchange" localSheetId="6">#REF!</definedName>
    <definedName name="Repchange" localSheetId="10">#REF!</definedName>
    <definedName name="Repchange" localSheetId="7">#REF!</definedName>
    <definedName name="Repchange">#REF!</definedName>
    <definedName name="Repfivecopy">#REF!</definedName>
    <definedName name="Repfivepaste">#REF!</definedName>
    <definedName name="repindex" localSheetId="8">#REF!</definedName>
    <definedName name="repindex" localSheetId="9">#REF!</definedName>
    <definedName name="repindex" localSheetId="6">#REF!</definedName>
    <definedName name="repindex" localSheetId="10">#REF!</definedName>
    <definedName name="repindex" localSheetId="7">#REF!</definedName>
    <definedName name="repindex">#REF!</definedName>
    <definedName name="Replast" localSheetId="8">#REF!</definedName>
    <definedName name="Replast" localSheetId="9">#REF!</definedName>
    <definedName name="Replast" localSheetId="6">#REF!</definedName>
    <definedName name="Replast" localSheetId="10">#REF!</definedName>
    <definedName name="Replast" localSheetId="7">#REF!</definedName>
    <definedName name="Replast">#REF!</definedName>
    <definedName name="Repnew" localSheetId="8">#REF!</definedName>
    <definedName name="Repnew" localSheetId="9">#REF!</definedName>
    <definedName name="Repnew" localSheetId="6">#REF!</definedName>
    <definedName name="Repnew" localSheetId="10">#REF!</definedName>
    <definedName name="Repnew" localSheetId="7">#REF!</definedName>
    <definedName name="Repnew">#REF!</definedName>
    <definedName name="repnow" localSheetId="8">#REF!</definedName>
    <definedName name="repnow" localSheetId="9">#REF!</definedName>
    <definedName name="repnow" localSheetId="6">#REF!</definedName>
    <definedName name="repnow" localSheetId="10">#REF!</definedName>
    <definedName name="repnow" localSheetId="7">#REF!</definedName>
    <definedName name="repnow">#REF!</definedName>
    <definedName name="Repold" localSheetId="8">#REF!</definedName>
    <definedName name="Repold" localSheetId="9">#REF!</definedName>
    <definedName name="Repold" localSheetId="6">#REF!</definedName>
    <definedName name="Repold" localSheetId="10">#REF!</definedName>
    <definedName name="Repold" localSheetId="7">#REF!</definedName>
    <definedName name="Repold">#REF!</definedName>
    <definedName name="repseed" localSheetId="8">#REF!</definedName>
    <definedName name="repseed" localSheetId="9">#REF!</definedName>
    <definedName name="repseed" localSheetId="6">#REF!</definedName>
    <definedName name="repseed" localSheetId="10">#REF!</definedName>
    <definedName name="repseed" localSheetId="7">#REF!</definedName>
    <definedName name="repseed">#REF!</definedName>
    <definedName name="Repsing2switch">#REF!</definedName>
    <definedName name="repsingswitch" localSheetId="8">#REF!</definedName>
    <definedName name="repsingswitch" localSheetId="9">#REF!</definedName>
    <definedName name="repsingswitch" localSheetId="6">#REF!</definedName>
    <definedName name="repsingswitch" localSheetId="10">#REF!</definedName>
    <definedName name="repsingswitch" localSheetId="7">#REF!</definedName>
    <definedName name="repsingswitch">#REF!</definedName>
    <definedName name="RepSingtwoSwitch">#REF!</definedName>
    <definedName name="RepSpeed" localSheetId="8">#REF!</definedName>
    <definedName name="RepSpeed" localSheetId="9">#REF!</definedName>
    <definedName name="RepSpeed" localSheetId="6">#REF!</definedName>
    <definedName name="RepSpeed" localSheetId="10">#REF!</definedName>
    <definedName name="RepSpeed" localSheetId="7">#REF!</definedName>
    <definedName name="RepSpeed">#REF!</definedName>
    <definedName name="Repswitch">#REF!</definedName>
    <definedName name="revchi">'[8]Two proportions'!$BM$3</definedName>
    <definedName name="RevCI" localSheetId="8">#REF!</definedName>
    <definedName name="RevCI" localSheetId="9">#REF!</definedName>
    <definedName name="RevCI" localSheetId="6">#REF!</definedName>
    <definedName name="RevCI" localSheetId="10">#REF!</definedName>
    <definedName name="RevCI" localSheetId="7">#REF!</definedName>
    <definedName name="RevCI">'[20]Two studies'!$AN$18</definedName>
    <definedName name="revdatatwo" localSheetId="8">#REF!</definedName>
    <definedName name="revdatatwo" localSheetId="7">'Summary two'!$U$81</definedName>
    <definedName name="revdatatwo">'Data two'!$Z$81</definedName>
    <definedName name="RevealMoren" localSheetId="8">'[4]Two proportions'!$AN$1</definedName>
    <definedName name="RevealMoren" localSheetId="9">'[5]Two proportions'!$AN$1</definedName>
    <definedName name="RevealMoren" localSheetId="6">'[5]Two proportions'!$AN$1</definedName>
    <definedName name="RevealMoren" localSheetId="10">'[5]Two proportions'!$AN$1</definedName>
    <definedName name="RevealMoren" localSheetId="7">'[5]Two proportions'!$AN$1</definedName>
    <definedName name="RevealMoren">'[4]Two proportions'!$AN$1</definedName>
    <definedName name="RevealSimn" localSheetId="8">'[4]Two proportions'!$AN$2</definedName>
    <definedName name="RevealSimn" localSheetId="9">'[5]Two proportions'!$AN$2</definedName>
    <definedName name="RevealSimn" localSheetId="6">'[5]Two proportions'!$AN$2</definedName>
    <definedName name="RevealSimn" localSheetId="10">'[5]Two proportions'!$AN$2</definedName>
    <definedName name="RevealSimn" localSheetId="7">'[5]Two proportions'!$AN$2</definedName>
    <definedName name="RevealSimn">'[4]Two proportions'!$AN$2</definedName>
    <definedName name="RevMA" localSheetId="8">#REF!</definedName>
    <definedName name="RevMA" localSheetId="9">#REF!</definedName>
    <definedName name="RevMA" localSheetId="6">#REF!</definedName>
    <definedName name="RevMA" localSheetId="10">#REF!</definedName>
    <definedName name="RevMA" localSheetId="7">#REF!</definedName>
    <definedName name="RevMA">'[20]Two studies'!$AN$19</definedName>
    <definedName name="RevNHST" localSheetId="8">#REF!</definedName>
    <definedName name="RevNHST" localSheetId="9">#REF!</definedName>
    <definedName name="RevNHST" localSheetId="6">#REF!</definedName>
    <definedName name="RevNHST" localSheetId="10">#REF!</definedName>
    <definedName name="RevNHST" localSheetId="7">#REF!</definedName>
    <definedName name="RevNHST">'[20]Two studies'!$AN$17</definedName>
    <definedName name="Revpaired" localSheetId="8">#REF!</definedName>
    <definedName name="Revpaired">#REF!</definedName>
    <definedName name="rforz">#REF!</definedName>
    <definedName name="rfyinc" localSheetId="8">'[15]Sample r'!$V$36</definedName>
    <definedName name="rfyinc" localSheetId="9">'[16]Sample r'!$V$36</definedName>
    <definedName name="rfyinc" localSheetId="6">'[16]Sample r'!$V$36</definedName>
    <definedName name="rfyinc" localSheetId="10">'[16]Sample r'!$V$36</definedName>
    <definedName name="rfyinc" localSheetId="7">'[16]Sample r'!$V$36</definedName>
    <definedName name="rfyinc">'[15]Sample r'!$V$36</definedName>
    <definedName name="rightx" localSheetId="8">[6]Describe!$AR$34</definedName>
    <definedName name="rightx" localSheetId="9">[6]Describe!$AR$34</definedName>
    <definedName name="rightx" localSheetId="6">[6]Describe!$AR$34</definedName>
    <definedName name="rightx" localSheetId="10">[6]Describe!$AR$34</definedName>
    <definedName name="rightx" localSheetId="7">[6]Describe!$AR$34</definedName>
    <definedName name="rightx">Describe!$AY$34</definedName>
    <definedName name="rmaxy" localSheetId="8">'[15]Sample r'!$AD$8</definedName>
    <definedName name="rmaxy" localSheetId="9">'[16]Sample r'!$AD$8</definedName>
    <definedName name="rmaxy" localSheetId="6">'[16]Sample r'!$AD$8</definedName>
    <definedName name="rmaxy" localSheetId="10">'[16]Sample r'!$AD$8</definedName>
    <definedName name="rmaxy" localSheetId="7">'[16]Sample r'!$AD$8</definedName>
    <definedName name="rmaxy">'[15]Sample r'!$AD$8</definedName>
    <definedName name="rparams" localSheetId="8">'[15]Sample r'!$P$15:$P$19</definedName>
    <definedName name="rparams" localSheetId="9">'[16]Sample r'!$P$15:$P$19</definedName>
    <definedName name="rparams" localSheetId="6">'[16]Sample r'!$P$15:$P$19</definedName>
    <definedName name="rparams" localSheetId="10">'[16]Sample r'!$P$15:$P$19</definedName>
    <definedName name="rparams" localSheetId="7">'[16]Sample r'!$P$15:$P$19</definedName>
    <definedName name="rparams">'[15]Sample r'!$P$15:$P$19</definedName>
    <definedName name="rparamsinto" localSheetId="8">'[15]Sample r'!$O$15</definedName>
    <definedName name="rparamsinto" localSheetId="9">'[16]Sample r'!$O$15</definedName>
    <definedName name="rparamsinto" localSheetId="6">'[16]Sample r'!$O$15</definedName>
    <definedName name="rparamsinto" localSheetId="10">'[16]Sample r'!$O$15</definedName>
    <definedName name="rparamsinto" localSheetId="7">'[16]Sample r'!$O$15</definedName>
    <definedName name="rparamsinto">'[15]Sample r'!$O$15</definedName>
    <definedName name="Rpvf" localSheetId="5">'CI and p'!#REF!</definedName>
    <definedName name="Rpvf" localSheetId="8">'[11]p value function'!$O$5</definedName>
    <definedName name="Rpvf" localSheetId="9">'[12]p value function'!$O$5</definedName>
    <definedName name="Rpvf" localSheetId="6">'[12]p value function'!$O$5</definedName>
    <definedName name="Rpvf" localSheetId="10">'[12]p value function'!$O$5</definedName>
    <definedName name="Rpvf" localSheetId="7">'[12]p value function'!$O$5</definedName>
    <definedName name="Rpvf">'[11]p value function'!$O$5</definedName>
    <definedName name="rseed" localSheetId="8">'[15]See r'!$K$5</definedName>
    <definedName name="rseed" localSheetId="9">'[16]See r'!$K$5</definedName>
    <definedName name="rseed" localSheetId="6">'[16]See r'!$K$5</definedName>
    <definedName name="rseed" localSheetId="10">'[16]See r'!$K$5</definedName>
    <definedName name="rseed" localSheetId="7">'[16]See r'!$K$5</definedName>
    <definedName name="rseed">'[15]See r'!$K$5</definedName>
    <definedName name="rswitch" localSheetId="8">'[15]Sample r'!$N$17</definedName>
    <definedName name="rswitch" localSheetId="9">'[16]Sample r'!$N$17</definedName>
    <definedName name="rswitch" localSheetId="6">'[16]Sample r'!$N$17</definedName>
    <definedName name="rswitch" localSheetId="10">'[16]Sample r'!$N$17</definedName>
    <definedName name="rswitch" localSheetId="7">'[16]Sample r'!$N$17</definedName>
    <definedName name="rswitch">'[15]Sample r'!$N$17</definedName>
    <definedName name="rtzshow">#REF!</definedName>
    <definedName name="ryinitial" localSheetId="8">'[15]Sample r'!$AB$1</definedName>
    <definedName name="ryinitial" localSheetId="9">'[16]Sample r'!$AB$1</definedName>
    <definedName name="ryinitial" localSheetId="6">'[16]Sample r'!$AB$1</definedName>
    <definedName name="ryinitial" localSheetId="10">'[16]Sample r'!$AB$1</definedName>
    <definedName name="ryinitial" localSheetId="7">'[16]Sample r'!$AB$1</definedName>
    <definedName name="ryinitial">'[15]Sample r'!$AB$1</definedName>
    <definedName name="samplefix">'[8]See r'!$AY$9</definedName>
    <definedName name="samps" localSheetId="5">#REF!</definedName>
    <definedName name="samps" localSheetId="4">CIjumping!$M$4:$O$635</definedName>
    <definedName name="samps" localSheetId="8">#REF!</definedName>
    <definedName name="samps" localSheetId="9">#REF!</definedName>
    <definedName name="samps" localSheetId="6">#REF!</definedName>
    <definedName name="samps" localSheetId="0">#REF!</definedName>
    <definedName name="samps" localSheetId="2">Normal!#REF!</definedName>
    <definedName name="samps" localSheetId="3">'Normal and t'!#REF!</definedName>
    <definedName name="samps" localSheetId="10">#REF!</definedName>
    <definedName name="samps" localSheetId="7">#REF!</definedName>
    <definedName name="samps">[10]CIjumping!$T$4:$V$305</definedName>
    <definedName name="samps1" localSheetId="5">#REF!</definedName>
    <definedName name="samps1" localSheetId="4">#REF!</definedName>
    <definedName name="samps1" localSheetId="8">#REF!</definedName>
    <definedName name="samps1" localSheetId="9">#REF!</definedName>
    <definedName name="samps1" localSheetId="6">#REF!</definedName>
    <definedName name="samps1" localSheetId="0">#REF!</definedName>
    <definedName name="samps1" localSheetId="2">#REF!</definedName>
    <definedName name="samps1" localSheetId="3">#REF!</definedName>
    <definedName name="samps1" localSheetId="10">#REF!</definedName>
    <definedName name="samps1" localSheetId="7">#REF!</definedName>
    <definedName name="samps1">#REF!</definedName>
    <definedName name="sampso">'[7]d heap'!$A$4:$B$305</definedName>
    <definedName name="sampss">[7]Sampling!$D$4:$E$305</definedName>
    <definedName name="save11" localSheetId="8">'[4]Two proportions'!$AD$5</definedName>
    <definedName name="save11" localSheetId="9">'[5]Two proportions'!$AD$5</definedName>
    <definedName name="save11" localSheetId="6">'[5]Two proportions'!$AD$5</definedName>
    <definedName name="save11" localSheetId="10">'[5]Two proportions'!$AD$5</definedName>
    <definedName name="save11" localSheetId="7">'[5]Two proportions'!$AD$5</definedName>
    <definedName name="save11">'[4]Two proportions'!$AD$5</definedName>
    <definedName name="save12" localSheetId="8">'[4]Two proportions'!$AE$5</definedName>
    <definedName name="save12" localSheetId="9">'[5]Two proportions'!$AE$5</definedName>
    <definedName name="save12" localSheetId="6">'[5]Two proportions'!$AE$5</definedName>
    <definedName name="save12" localSheetId="10">'[5]Two proportions'!$AE$5</definedName>
    <definedName name="save12" localSheetId="7">'[5]Two proportions'!$AE$5</definedName>
    <definedName name="save12">'[4]Two proportions'!$AE$5</definedName>
    <definedName name="save21" localSheetId="8">'[4]Two proportions'!$AD$6</definedName>
    <definedName name="save21" localSheetId="9">'[5]Two proportions'!$AD$6</definedName>
    <definedName name="save21" localSheetId="6">'[5]Two proportions'!$AD$6</definedName>
    <definedName name="save21" localSheetId="10">'[5]Two proportions'!$AD$6</definedName>
    <definedName name="save21" localSheetId="7">'[5]Two proportions'!$AD$6</definedName>
    <definedName name="save21">'[4]Two proportions'!$AD$6</definedName>
    <definedName name="save22" localSheetId="8">'[4]Two proportions'!$AE$6</definedName>
    <definedName name="save22" localSheetId="9">'[5]Two proportions'!$AE$6</definedName>
    <definedName name="save22" localSheetId="6">'[5]Two proportions'!$AE$6</definedName>
    <definedName name="save22" localSheetId="10">'[5]Two proportions'!$AE$6</definedName>
    <definedName name="save22" localSheetId="7">'[5]Two proportions'!$AE$6</definedName>
    <definedName name="save22">'[4]Two proportions'!$AE$6</definedName>
    <definedName name="savetotal1" localSheetId="8">'[4]Two proportions'!$AD$7</definedName>
    <definedName name="savetotal1" localSheetId="9">'[5]Two proportions'!$AD$7</definedName>
    <definedName name="savetotal1" localSheetId="6">'[5]Two proportions'!$AD$7</definedName>
    <definedName name="savetotal1" localSheetId="10">'[5]Two proportions'!$AD$7</definedName>
    <definedName name="savetotal1" localSheetId="7">'[5]Two proportions'!$AD$7</definedName>
    <definedName name="savetotal1">'[4]Two proportions'!$AD$7</definedName>
    <definedName name="savetotal2" localSheetId="8">'[4]Two proportions'!$AE$7</definedName>
    <definedName name="savetotal2" localSheetId="9">'[5]Two proportions'!$AE$7</definedName>
    <definedName name="savetotal2" localSheetId="6">'[5]Two proportions'!$AE$7</definedName>
    <definedName name="savetotal2" localSheetId="10">'[5]Two proportions'!$AE$7</definedName>
    <definedName name="savetotal2" localSheetId="7">'[5]Two proportions'!$AE$7</definedName>
    <definedName name="savetotal2">'[4]Two proportions'!$AE$7</definedName>
    <definedName name="savexinc" localSheetId="8">[6]Describe!$V$16</definedName>
    <definedName name="savexinc" localSheetId="9">[6]Describe!$V$16</definedName>
    <definedName name="savexinc" localSheetId="6">[6]Describe!$V$16</definedName>
    <definedName name="savexinc" localSheetId="10">[6]Describe!$V$16</definedName>
    <definedName name="savexinc" localSheetId="7">[6]Describe!$V$16</definedName>
    <definedName name="savexinc">Describe!$Z$16</definedName>
    <definedName name="scatd1name">[8]Scatterplots!$BC$4</definedName>
    <definedName name="scatd2name">[8]Scatterplots!$BH$4</definedName>
    <definedName name="scatd3name">[8]Scatterplots!$BM$4</definedName>
    <definedName name="scatd4name">[8]Scatterplots!$BR$4</definedName>
    <definedName name="scatd5name">[8]Scatterplots!$BW$4</definedName>
    <definedName name="scatd6name">[8]Scatterplots!$CB$4</definedName>
    <definedName name="scatdatafive">[8]Scatterplots!$BV$7:$BW$306</definedName>
    <definedName name="scatdatafour">[8]Scatterplots!$BQ$7:$BR$306</definedName>
    <definedName name="scatdataone">[8]Scatterplots!$BB$7:$BC$306</definedName>
    <definedName name="scatdatasix">[8]Scatterplots!$CA$7:$CB$306</definedName>
    <definedName name="scatdatathree">[8]Scatterplots!$BL$7:$BM$306</definedName>
    <definedName name="scatdatatwo">[8]Scatterplots!$BG$7:$BH$306</definedName>
    <definedName name="scatdname">[8]Scatterplots!$C$6</definedName>
    <definedName name="scatlabels">[8]Scatterplots!$B$12:$C$12</definedName>
    <definedName name="scatlabfive">[8]Scatterplots!$BV$6:$BW$6</definedName>
    <definedName name="scatlabfour">[8]Scatterplots!$BQ$6:$BR$6</definedName>
    <definedName name="scatlabone">[8]Scatterplots!$BB$6:$BC$6</definedName>
    <definedName name="scatlabsix">[8]Scatterplots!$CA$6:$CB$6</definedName>
    <definedName name="scatlabthree">[8]Scatterplots!$BL$6:$BM$6</definedName>
    <definedName name="scatlabtwo">[8]Scatterplots!$BG$6:$BH$6</definedName>
    <definedName name="seed" localSheetId="8">[6]Describe!$R$37</definedName>
    <definedName name="seed" localSheetId="9">[6]Describe!$R$37</definedName>
    <definedName name="seed" localSheetId="6">[6]Describe!$R$37</definedName>
    <definedName name="seed" localSheetId="10">[6]Describe!$R$37</definedName>
    <definedName name="seed" localSheetId="7">[6]Describe!$R$37</definedName>
    <definedName name="seed">Describe!$V$37</definedName>
    <definedName name="seriesfourtf">[17]Figure!$AC$96</definedName>
    <definedName name="seriesolabel">[17]Figure!$B$12</definedName>
    <definedName name="seriesonetf">[17]Figure!$AC$84</definedName>
    <definedName name="seriesthreetf">[17]Figure!$AC$92</definedName>
    <definedName name="seriestwotf">[17]Figure!$AC$88</definedName>
    <definedName name="setfive" localSheetId="8">[6]Describe!$U$20:$U$24</definedName>
    <definedName name="setfive" localSheetId="9">[6]Describe!$U$20:$U$24</definedName>
    <definedName name="setfive" localSheetId="6">[6]Describe!$U$20:$U$24</definedName>
    <definedName name="setfive" localSheetId="10">[6]Describe!$U$20:$U$24</definedName>
    <definedName name="setfive" localSheetId="7">[6]Describe!$U$20:$U$24</definedName>
    <definedName name="setfive">Describe!$Y$20:$Y$24</definedName>
    <definedName name="showcapt" localSheetId="5">#REF!</definedName>
    <definedName name="showcapt" localSheetId="4">CIjumping!$CB$5</definedName>
    <definedName name="showcapt" localSheetId="8">#REF!</definedName>
    <definedName name="showcapt" localSheetId="9">#REF!</definedName>
    <definedName name="showcapt" localSheetId="6">#REF!</definedName>
    <definedName name="showcapt" localSheetId="0">#REF!</definedName>
    <definedName name="showcapt" localSheetId="2">Normal!#REF!</definedName>
    <definedName name="showcapt" localSheetId="3">'Normal and t'!#REF!</definedName>
    <definedName name="showcapt" localSheetId="10">#REF!</definedName>
    <definedName name="showcapt" localSheetId="7">#REF!</definedName>
    <definedName name="showcapt">[10]CIjumping!$AK$5</definedName>
    <definedName name="showmu" localSheetId="5">#REF!</definedName>
    <definedName name="showmu" localSheetId="4">CIjumping!$CB$1</definedName>
    <definedName name="showmu" localSheetId="8">#REF!</definedName>
    <definedName name="showmu" localSheetId="9">#REF!</definedName>
    <definedName name="showmu" localSheetId="6">#REF!</definedName>
    <definedName name="showmu" localSheetId="0">#REF!</definedName>
    <definedName name="showmu" localSheetId="2">Normal!#REF!</definedName>
    <definedName name="showmu" localSheetId="3">'Normal and t'!#REF!</definedName>
    <definedName name="showmu" localSheetId="10">#REF!</definedName>
    <definedName name="showmu" localSheetId="7">#REF!</definedName>
    <definedName name="showmu">[10]CIjumping!$AK$1</definedName>
    <definedName name="ShowOrigFreq" localSheetId="8">'[4]Two proportions'!$R$16</definedName>
    <definedName name="ShowOrigFreq" localSheetId="9">'[5]Two proportions'!$R$16</definedName>
    <definedName name="ShowOrigFreq" localSheetId="6">'[5]Two proportions'!$R$16</definedName>
    <definedName name="ShowOrigFreq" localSheetId="10">'[5]Two proportions'!$R$16</definedName>
    <definedName name="ShowOrigFreq" localSheetId="7">'[5]Two proportions'!$R$16</definedName>
    <definedName name="ShowOrigFreq">'[4]Two proportions'!$R$16</definedName>
    <definedName name="Showp" localSheetId="8">'[4]Two proportions'!$AL$6</definedName>
    <definedName name="Showp" localSheetId="9">'[5]Two proportions'!$AL$6</definedName>
    <definedName name="Showp" localSheetId="6">'[5]Two proportions'!$AL$6</definedName>
    <definedName name="Showp" localSheetId="10">'[5]Two proportions'!$AL$6</definedName>
    <definedName name="Showp" localSheetId="7">'[5]Two proportions'!$AL$6</definedName>
    <definedName name="Showp">'[4]Two proportions'!$AL$6</definedName>
    <definedName name="showthree" localSheetId="8">[6]Describe!$R$35</definedName>
    <definedName name="showthree" localSheetId="9">[6]Describe!$R$35</definedName>
    <definedName name="showthree" localSheetId="6">[6]Describe!$R$35</definedName>
    <definedName name="showthree" localSheetId="10">[6]Describe!$R$35</definedName>
    <definedName name="showthree" localSheetId="7">[6]Describe!$R$35</definedName>
    <definedName name="showthree">Describe!$V$35</definedName>
    <definedName name="SIGMA" localSheetId="5">#REF!</definedName>
    <definedName name="SIGMA" localSheetId="4">#REF!</definedName>
    <definedName name="SIGMA" localSheetId="8">#REF!</definedName>
    <definedName name="SIGMA" localSheetId="9">'Data paired'!#REF!</definedName>
    <definedName name="SIGMA" localSheetId="6">'Data two'!#REF!</definedName>
    <definedName name="SIGMA" localSheetId="0">#REF!</definedName>
    <definedName name="SIGMA" localSheetId="2">#REF!</definedName>
    <definedName name="SIGMA" localSheetId="3">#REF!</definedName>
    <definedName name="SIGMA" localSheetId="10">'Summary paired'!#REF!</definedName>
    <definedName name="SIGMA" localSheetId="7">'Summary two'!#REF!</definedName>
    <definedName name="SIGMA">#REF!</definedName>
    <definedName name="SIGMADIFF" localSheetId="5">#REF!</definedName>
    <definedName name="SIGMADIFF" localSheetId="4">#REF!</definedName>
    <definedName name="SIGMADIFF" localSheetId="8">'[38]Paired Data'!$K$6</definedName>
    <definedName name="SIGMADIFF" localSheetId="9">#REF!</definedName>
    <definedName name="SIGMADIFF" localSheetId="6">#REF!</definedName>
    <definedName name="SIGMADIFF" localSheetId="0">'[38]Paired Data'!$K$6</definedName>
    <definedName name="SIGMADIFF" localSheetId="2">#REF!</definedName>
    <definedName name="SIGMADIFF" localSheetId="3">#REF!</definedName>
    <definedName name="SIGMADIFF" localSheetId="10">#REF!</definedName>
    <definedName name="SIGMADIFF" localSheetId="7">#REF!</definedName>
    <definedName name="SIGMADIFF">#REF!</definedName>
    <definedName name="SIGMAREP" localSheetId="5">#REF!</definedName>
    <definedName name="SIGMAREP" localSheetId="4">#REF!</definedName>
    <definedName name="SIGMAREP" localSheetId="8">#REF!</definedName>
    <definedName name="SIGMAREP" localSheetId="9">#REF!</definedName>
    <definedName name="SIGMAREP" localSheetId="6">#REF!</definedName>
    <definedName name="SIGMAREP" localSheetId="0">#REF!</definedName>
    <definedName name="SIGMAREP" localSheetId="2">#REF!</definedName>
    <definedName name="SIGMAREP" localSheetId="3">#REF!</definedName>
    <definedName name="SIGMAREP" localSheetId="10">#REF!</definedName>
    <definedName name="SIGMAREP" localSheetId="7">#REF!</definedName>
    <definedName name="SIGMAREP">#REF!</definedName>
    <definedName name="SimOneGrab" localSheetId="5">#REF!</definedName>
    <definedName name="SimOneGrab" localSheetId="4">#REF!</definedName>
    <definedName name="SimOneGrab" localSheetId="8">#REF!</definedName>
    <definedName name="SimOneGrab" localSheetId="9">#REF!</definedName>
    <definedName name="SimOneGrab" localSheetId="6">#REF!</definedName>
    <definedName name="SimOneGrab" localSheetId="0">#REF!</definedName>
    <definedName name="SimOneGrab" localSheetId="2">#REF!</definedName>
    <definedName name="SimOneGrab" localSheetId="3">#REF!</definedName>
    <definedName name="SimOneGrab" localSheetId="10">#REF!</definedName>
    <definedName name="SimOneGrab" localSheetId="7">#REF!</definedName>
    <definedName name="SimOneGrab">#REF!</definedName>
    <definedName name="SimOnePut" localSheetId="5">#REF!</definedName>
    <definedName name="SimOnePut" localSheetId="4">#REF!</definedName>
    <definedName name="SimOnePut" localSheetId="8">#REF!</definedName>
    <definedName name="SimOnePut" localSheetId="9">#REF!</definedName>
    <definedName name="SimOnePut" localSheetId="6">#REF!</definedName>
    <definedName name="SimOnePut" localSheetId="0">#REF!</definedName>
    <definedName name="SimOnePut" localSheetId="2">#REF!</definedName>
    <definedName name="SimOnePut" localSheetId="3">#REF!</definedName>
    <definedName name="SimOnePut" localSheetId="10">#REF!</definedName>
    <definedName name="SimOnePut" localSheetId="7">#REF!</definedName>
    <definedName name="SimOnePut">#REF!</definedName>
    <definedName name="SimPairGrab" localSheetId="5">#REF!</definedName>
    <definedName name="SimPairGrab" localSheetId="4">#REF!</definedName>
    <definedName name="SimPairGrab" localSheetId="8">#REF!</definedName>
    <definedName name="SimPairGrab" localSheetId="9">'Data paired'!$V$3:$V$7</definedName>
    <definedName name="SimPairGrab" localSheetId="6">#REF!</definedName>
    <definedName name="SimPairGrab" localSheetId="0">#REF!</definedName>
    <definedName name="SimPairGrab" localSheetId="2">#REF!</definedName>
    <definedName name="SimPairGrab" localSheetId="3">#REF!</definedName>
    <definedName name="SimPairGrab" localSheetId="10">'Summary paired'!$X$100:$X$105</definedName>
    <definedName name="SimPairGrab" localSheetId="7">#REF!</definedName>
    <definedName name="SimPairGrab">#REF!</definedName>
    <definedName name="SimPairPut" localSheetId="5">#REF!</definedName>
    <definedName name="SimPairPut" localSheetId="4">#REF!</definedName>
    <definedName name="SimPairPut" localSheetId="8">#REF!</definedName>
    <definedName name="SimPairPut" localSheetId="9">'Data paired'!$U$3:$U$7</definedName>
    <definedName name="SimPairPut" localSheetId="6">#REF!</definedName>
    <definedName name="SimPairPut" localSheetId="0">#REF!</definedName>
    <definedName name="SimPairPut" localSheetId="2">#REF!</definedName>
    <definedName name="SimPairPut" localSheetId="3">#REF!</definedName>
    <definedName name="SimPairPut" localSheetId="10">'Summary paired'!$W$100:$W$105</definedName>
    <definedName name="SimPairPut" localSheetId="7">#REF!</definedName>
    <definedName name="SimPairPut">#REF!</definedName>
    <definedName name="SimTwoGrab" localSheetId="5">#REF!</definedName>
    <definedName name="SimTwoGrab" localSheetId="4">#REF!</definedName>
    <definedName name="SimTwoGrab" localSheetId="8">#REF!</definedName>
    <definedName name="SimTwoGrab" localSheetId="9">#REF!</definedName>
    <definedName name="SimTwoGrab" localSheetId="6">#REF!</definedName>
    <definedName name="SimTwoGrab" localSheetId="0">#REF!</definedName>
    <definedName name="SimTwoGrab" localSheetId="2">#REF!</definedName>
    <definedName name="SimTwoGrab" localSheetId="3">#REF!</definedName>
    <definedName name="SimTwoGrab" localSheetId="10">#REF!</definedName>
    <definedName name="SimTwoGrab" localSheetId="7">#REF!</definedName>
    <definedName name="SimTwoGrab">#REF!</definedName>
    <definedName name="SimTwoPut" localSheetId="5">#REF!</definedName>
    <definedName name="SimTwoPut" localSheetId="4">#REF!</definedName>
    <definedName name="SimTwoPut" localSheetId="8">#REF!</definedName>
    <definedName name="SimTwoPut" localSheetId="9">#REF!</definedName>
    <definedName name="SimTwoPut" localSheetId="6">#REF!</definedName>
    <definedName name="SimTwoPut" localSheetId="0">#REF!</definedName>
    <definedName name="SimTwoPut" localSheetId="2">#REF!</definedName>
    <definedName name="SimTwoPut" localSheetId="3">#REF!</definedName>
    <definedName name="SimTwoPut" localSheetId="10">#REF!</definedName>
    <definedName name="SimTwoPut" localSheetId="7">#REF!</definedName>
    <definedName name="SimTwoPut">#REF!</definedName>
    <definedName name="skewLdata" localSheetId="8">[6]Describe!$CI$3:$CI$302</definedName>
    <definedName name="skewLdata" localSheetId="9">[6]Describe!$CI$3:$CI$302</definedName>
    <definedName name="skewLdata" localSheetId="6">[6]Describe!$CI$3:$CI$302</definedName>
    <definedName name="skewLdata" localSheetId="10">[6]Describe!$CI$3:$CI$302</definedName>
    <definedName name="skewLdata" localSheetId="7">[6]Describe!$CI$3:$CI$302</definedName>
    <definedName name="skewLdata">Describe!$DT$3:$DT$302</definedName>
    <definedName name="skewRdata" localSheetId="8">[6]Describe!$CJ$3:$CJ$302</definedName>
    <definedName name="skewRdata" localSheetId="9">[6]Describe!$CJ$3:$CJ$302</definedName>
    <definedName name="skewRdata" localSheetId="6">[6]Describe!$CJ$3:$CJ$302</definedName>
    <definedName name="skewRdata" localSheetId="10">[6]Describe!$CJ$3:$CJ$302</definedName>
    <definedName name="skewRdata" localSheetId="7">[6]Describe!$CJ$3:$CJ$302</definedName>
    <definedName name="skewRdata">Describe!$DU$3:$DU$302</definedName>
    <definedName name="slidersget" localSheetId="8">'[15]Calculate r'!$AB$11:$AB$14</definedName>
    <definedName name="slidersget" localSheetId="9">'[16]Calculate r'!$AB$11:$AB$14</definedName>
    <definedName name="slidersget" localSheetId="6">'[16]Calculate r'!$AB$11:$AB$14</definedName>
    <definedName name="slidersget" localSheetId="10">'[16]Calculate r'!$AB$11:$AB$14</definedName>
    <definedName name="slidersget" localSheetId="7">'[16]Calculate r'!$AB$11:$AB$14</definedName>
    <definedName name="slidersget">'[15]Calculate r'!$AB$11:$AB$14</definedName>
    <definedName name="slidersput" localSheetId="8">'[15]Calculate r'!$AB$2</definedName>
    <definedName name="slidersput" localSheetId="9">'[16]Calculate r'!$AB$2</definedName>
    <definedName name="slidersput" localSheetId="6">'[16]Calculate r'!$AB$2</definedName>
    <definedName name="slidersput" localSheetId="10">'[16]Calculate r'!$AB$2</definedName>
    <definedName name="slidersput" localSheetId="7">'[16]Calculate r'!$AB$2</definedName>
    <definedName name="slidersput">'[15]Calculate r'!$AB$2</definedName>
    <definedName name="sometrue">[17]Figure!$R$89</definedName>
    <definedName name="soundflag">#REF!</definedName>
    <definedName name="spadjsl">[8]Scatterplots!$DS$1</definedName>
    <definedName name="spcim">[8]Scatterplots!$DU$1</definedName>
    <definedName name="spparticx">[8]Scatterplots!$DW$2</definedName>
    <definedName name="spregl">[8]Scatterplots!$DM$1</definedName>
    <definedName name="spxy">[8]Scatterplots!$DS$3</definedName>
    <definedName name="spyerr">[8]Scatterplots!$DO$1</definedName>
    <definedName name="spypr">[8]Scatterplots!$DW$1</definedName>
    <definedName name="stack" localSheetId="8">[6]Describe!$U$14</definedName>
    <definedName name="stack" localSheetId="9">[6]Describe!$U$14</definedName>
    <definedName name="stack" localSheetId="6">[6]Describe!$U$14</definedName>
    <definedName name="stack" localSheetId="10">[6]Describe!$U$14</definedName>
    <definedName name="stack" localSheetId="7">[6]Describe!$U$14</definedName>
    <definedName name="stack">Describe!$Y$14</definedName>
    <definedName name="StartC" localSheetId="8">'[4]Overlap two proportions'!$AL$8:$AL$67</definedName>
    <definedName name="StartC" localSheetId="9">'[5]Overlap two proportions'!$AL$8:$AL$67</definedName>
    <definedName name="StartC" localSheetId="6">'[5]Overlap two proportions'!$AL$8:$AL$67</definedName>
    <definedName name="StartC" localSheetId="10">'[5]Overlap two proportions'!$AL$8:$AL$67</definedName>
    <definedName name="StartC" localSheetId="7">'[5]Overlap two proportions'!$AL$8:$AL$67</definedName>
    <definedName name="StartC">'[4]Overlap two proportions'!$AL$8:$AL$67</definedName>
    <definedName name="StartCd" localSheetId="8">'[4]Overlap two proportions'!$BN$8:$BN$67</definedName>
    <definedName name="StartCd" localSheetId="9">'[5]Overlap two proportions'!$BN$8:$BN$67</definedName>
    <definedName name="StartCd" localSheetId="6">'[5]Overlap two proportions'!$BN$8:$BN$67</definedName>
    <definedName name="StartCd" localSheetId="10">'[5]Overlap two proportions'!$BN$8:$BN$67</definedName>
    <definedName name="StartCd" localSheetId="7">'[5]Overlap two proportions'!$BN$8:$BN$67</definedName>
    <definedName name="StartCd">'[4]Overlap two proportions'!$BN$8:$BN$67</definedName>
    <definedName name="startncp">#REF!</definedName>
    <definedName name="Startp2" localSheetId="8">'[4]Overlap two proportions'!$V$8:$V$67</definedName>
    <definedName name="Startp2" localSheetId="9">'[5]Overlap two proportions'!$V$8:$V$67</definedName>
    <definedName name="Startp2" localSheetId="6">'[5]Overlap two proportions'!$V$8:$V$67</definedName>
    <definedName name="Startp2" localSheetId="10">'[5]Overlap two proportions'!$V$8:$V$67</definedName>
    <definedName name="Startp2" localSheetId="7">'[5]Overlap two proportions'!$V$8:$V$67</definedName>
    <definedName name="Startp2">'[4]Overlap two proportions'!$V$8:$V$67</definedName>
    <definedName name="startpos">#REF!</definedName>
    <definedName name="Startr2" localSheetId="8">'[4]Overlap two correlations (n1)'!$P$5:$P$64</definedName>
    <definedName name="Startr2" localSheetId="9">'[5]Overlap two correlations (n1)'!$P$5:$P$64</definedName>
    <definedName name="Startr2" localSheetId="6">'[5]Overlap two correlations (n1)'!$P$5:$P$64</definedName>
    <definedName name="Startr2" localSheetId="10">'[5]Overlap two correlations (n1)'!$P$5:$P$64</definedName>
    <definedName name="Startr2" localSheetId="7">'[5]Overlap two correlations (n1)'!$P$5:$P$64</definedName>
    <definedName name="Startr2">'[4]Overlap two correlations (n1)'!$P$5:$P$64</definedName>
    <definedName name="StartRawData" localSheetId="8">'[4]Two proportions'!$AT$9:$AV$9</definedName>
    <definedName name="StartRawData" localSheetId="9">'[5]Two proportions'!$AT$9:$AV$9</definedName>
    <definedName name="StartRawData" localSheetId="6">'[5]Two proportions'!$AT$9:$AV$9</definedName>
    <definedName name="StartRawData" localSheetId="10">'[5]Two proportions'!$AT$9:$AV$9</definedName>
    <definedName name="StartRawData" localSheetId="7">'[5]Two proportions'!$AT$9:$AV$9</definedName>
    <definedName name="StartRawData">'[4]Two proportions'!$AT$9:$AV$9</definedName>
    <definedName name="Stz">#REF!</definedName>
    <definedName name="Stzz">#REF!</definedName>
    <definedName name="t" localSheetId="5">#REF!</definedName>
    <definedName name="t" localSheetId="4">#REF!</definedName>
    <definedName name="t" localSheetId="8">#REF!</definedName>
    <definedName name="t" localSheetId="9">#REF!</definedName>
    <definedName name="t" localSheetId="6">#REF!</definedName>
    <definedName name="t" localSheetId="0">#REF!</definedName>
    <definedName name="t" localSheetId="2">#REF!</definedName>
    <definedName name="t" localSheetId="3">#REF!</definedName>
    <definedName name="t" localSheetId="10">#REF!</definedName>
    <definedName name="t" localSheetId="7">#REF!</definedName>
    <definedName name="t">#REF!</definedName>
    <definedName name="tbzlh" localSheetId="5">'[1]MA  Standardised units'!$Z$3</definedName>
    <definedName name="tbzlh" localSheetId="4">'[1]MA  Standardised units'!$Z$3</definedName>
    <definedName name="tbzlh" localSheetId="8">'[2]MA  Standardised units'!$Z$3</definedName>
    <definedName name="tbzlh" localSheetId="9">'[3]MA  Standardised units'!$Z$3</definedName>
    <definedName name="tbzlh" localSheetId="6">'[3]MA  Standardised units'!$Z$3</definedName>
    <definedName name="tbzlh" localSheetId="0">'[2]MA  Standardised units'!$Z$3</definedName>
    <definedName name="tbzlh" localSheetId="2">'[1]MA  Standardised units'!$Z$3</definedName>
    <definedName name="tbzlh" localSheetId="3">'[1]MA  Standardised units'!$Z$3</definedName>
    <definedName name="tbzlh" localSheetId="10">'[3]MA  Standardised units'!$Z$3</definedName>
    <definedName name="tbzlh" localSheetId="7">'[3]MA  Standardised units'!$Z$3</definedName>
    <definedName name="tbzlh">'[1]MA  Standardised units'!$Z$3</definedName>
    <definedName name="tbzlld">'[7]CI for d'!$AS$5</definedName>
    <definedName name="tbzoneprop">'[8]One proportion'!$B$14</definedName>
    <definedName name="tbzrh" localSheetId="5">'[1]MA  Standardised units'!$AA$3</definedName>
    <definedName name="tbzrh" localSheetId="4">'[1]MA  Standardised units'!$AA$3</definedName>
    <definedName name="tbzrh" localSheetId="8">'[2]MA  Standardised units'!$AA$3</definedName>
    <definedName name="tbzrh" localSheetId="9">'[3]MA  Standardised units'!$AA$3</definedName>
    <definedName name="tbzrh" localSheetId="6">'[3]MA  Standardised units'!$AA$3</definedName>
    <definedName name="tbzrh" localSheetId="0">'[2]MA  Standardised units'!$AA$3</definedName>
    <definedName name="tbzrh" localSheetId="2">'[1]MA  Standardised units'!$AA$3</definedName>
    <definedName name="tbzrh" localSheetId="3">'[1]MA  Standardised units'!$AA$3</definedName>
    <definedName name="tbzrh" localSheetId="10">'[3]MA  Standardised units'!$AA$3</definedName>
    <definedName name="tbzrh" localSheetId="7">'[3]MA  Standardised units'!$AA$3</definedName>
    <definedName name="tbzrh">'[1]MA  Standardised units'!$AA$3</definedName>
    <definedName name="tbztwoprop">'[9]Two proportions'!$C$15</definedName>
    <definedName name="tbzuld">'[7]CI for d'!$AS$6</definedName>
    <definedName name="tbzz1" localSheetId="8">'[4]Overlap two proportions'!$CD$8</definedName>
    <definedName name="tbzz1" localSheetId="9">'[5]Overlap two proportions'!$CD$8</definedName>
    <definedName name="tbzz1" localSheetId="6">'[5]Overlap two proportions'!$CD$8</definedName>
    <definedName name="tbzz1" localSheetId="10">'[5]Overlap two proportions'!$CD$8</definedName>
    <definedName name="tbzz1" localSheetId="7">'[5]Overlap two proportions'!$CD$8</definedName>
    <definedName name="tbzz1">'[4]Overlap two proportions'!$CD$8</definedName>
    <definedName name="tbzz10" localSheetId="8">'[4]Overlap two proportions'!$CD$17</definedName>
    <definedName name="tbzz10" localSheetId="9">'[5]Overlap two proportions'!$CD$17</definedName>
    <definedName name="tbzz10" localSheetId="6">'[5]Overlap two proportions'!$CD$17</definedName>
    <definedName name="tbzz10" localSheetId="10">'[5]Overlap two proportions'!$CD$17</definedName>
    <definedName name="tbzz10" localSheetId="7">'[5]Overlap two proportions'!$CD$17</definedName>
    <definedName name="tbzz10">'[4]Overlap two proportions'!$CD$17</definedName>
    <definedName name="tbzz11" localSheetId="8">'[4]Overlap two proportions'!$CD$18</definedName>
    <definedName name="tbzz11" localSheetId="9">'[5]Overlap two proportions'!$CD$18</definedName>
    <definedName name="tbzz11" localSheetId="6">'[5]Overlap two proportions'!$CD$18</definedName>
    <definedName name="tbzz11" localSheetId="10">'[5]Overlap two proportions'!$CD$18</definedName>
    <definedName name="tbzz11" localSheetId="7">'[5]Overlap two proportions'!$CD$18</definedName>
    <definedName name="tbzz11">'[4]Overlap two proportions'!$CD$18</definedName>
    <definedName name="tbzz12" localSheetId="8">'[4]Overlap two proportions'!$CD$19</definedName>
    <definedName name="tbzz12" localSheetId="9">'[5]Overlap two proportions'!$CD$19</definedName>
    <definedName name="tbzz12" localSheetId="6">'[5]Overlap two proportions'!$CD$19</definedName>
    <definedName name="tbzz12" localSheetId="10">'[5]Overlap two proportions'!$CD$19</definedName>
    <definedName name="tbzz12" localSheetId="7">'[5]Overlap two proportions'!$CD$19</definedName>
    <definedName name="tbzz12">'[4]Overlap two proportions'!$CD$19</definedName>
    <definedName name="tbzz13" localSheetId="8">'[4]Overlap two proportions'!$CD$20</definedName>
    <definedName name="tbzz13" localSheetId="9">'[5]Overlap two proportions'!$CD$20</definedName>
    <definedName name="tbzz13" localSheetId="6">'[5]Overlap two proportions'!$CD$20</definedName>
    <definedName name="tbzz13" localSheetId="10">'[5]Overlap two proportions'!$CD$20</definedName>
    <definedName name="tbzz13" localSheetId="7">'[5]Overlap two proportions'!$CD$20</definedName>
    <definedName name="tbzz13">'[4]Overlap two proportions'!$CD$20</definedName>
    <definedName name="tbzz14" localSheetId="8">'[4]Overlap two proportions'!$CD$21</definedName>
    <definedName name="tbzz14" localSheetId="9">'[5]Overlap two proportions'!$CD$21</definedName>
    <definedName name="tbzz14" localSheetId="6">'[5]Overlap two proportions'!$CD$21</definedName>
    <definedName name="tbzz14" localSheetId="10">'[5]Overlap two proportions'!$CD$21</definedName>
    <definedName name="tbzz14" localSheetId="7">'[5]Overlap two proportions'!$CD$21</definedName>
    <definedName name="tbzz14">'[4]Overlap two proportions'!$CD$21</definedName>
    <definedName name="tbzz15" localSheetId="8">'[4]Overlap two proportions'!$CD$22</definedName>
    <definedName name="tbzz15" localSheetId="9">'[5]Overlap two proportions'!$CD$22</definedName>
    <definedName name="tbzz15" localSheetId="6">'[5]Overlap two proportions'!$CD$22</definedName>
    <definedName name="tbzz15" localSheetId="10">'[5]Overlap two proportions'!$CD$22</definedName>
    <definedName name="tbzz15" localSheetId="7">'[5]Overlap two proportions'!$CD$22</definedName>
    <definedName name="tbzz15">'[4]Overlap two proportions'!$CD$22</definedName>
    <definedName name="tbzz16" localSheetId="8">'[4]Overlap two proportions'!$CD$23</definedName>
    <definedName name="tbzz16" localSheetId="9">'[5]Overlap two proportions'!$CD$23</definedName>
    <definedName name="tbzz16" localSheetId="6">'[5]Overlap two proportions'!$CD$23</definedName>
    <definedName name="tbzz16" localSheetId="10">'[5]Overlap two proportions'!$CD$23</definedName>
    <definedName name="tbzz16" localSheetId="7">'[5]Overlap two proportions'!$CD$23</definedName>
    <definedName name="tbzz16">'[4]Overlap two proportions'!$CD$23</definedName>
    <definedName name="tbzz17" localSheetId="8">'[4]Overlap two proportions'!$CD$24</definedName>
    <definedName name="tbzz17" localSheetId="9">'[5]Overlap two proportions'!$CD$24</definedName>
    <definedName name="tbzz17" localSheetId="6">'[5]Overlap two proportions'!$CD$24</definedName>
    <definedName name="tbzz17" localSheetId="10">'[5]Overlap two proportions'!$CD$24</definedName>
    <definedName name="tbzz17" localSheetId="7">'[5]Overlap two proportions'!$CD$24</definedName>
    <definedName name="tbzz17">'[4]Overlap two proportions'!$CD$24</definedName>
    <definedName name="tbzz18" localSheetId="8">'[4]Overlap two proportions'!$CD$25</definedName>
    <definedName name="tbzz18" localSheetId="9">'[5]Overlap two proportions'!$CD$25</definedName>
    <definedName name="tbzz18" localSheetId="6">'[5]Overlap two proportions'!$CD$25</definedName>
    <definedName name="tbzz18" localSheetId="10">'[5]Overlap two proportions'!$CD$25</definedName>
    <definedName name="tbzz18" localSheetId="7">'[5]Overlap two proportions'!$CD$25</definedName>
    <definedName name="tbzz18">'[4]Overlap two proportions'!$CD$25</definedName>
    <definedName name="tbzz19" localSheetId="8">'[4]Overlap two proportions'!$CD$26</definedName>
    <definedName name="tbzz19" localSheetId="9">'[5]Overlap two proportions'!$CD$26</definedName>
    <definedName name="tbzz19" localSheetId="6">'[5]Overlap two proportions'!$CD$26</definedName>
    <definedName name="tbzz19" localSheetId="10">'[5]Overlap two proportions'!$CD$26</definedName>
    <definedName name="tbzz19" localSheetId="7">'[5]Overlap two proportions'!$CD$26</definedName>
    <definedName name="tbzz19">'[4]Overlap two proportions'!$CD$26</definedName>
    <definedName name="tbzz2" localSheetId="8">'[4]Overlap two proportions'!$CD$9</definedName>
    <definedName name="tbzz2" localSheetId="9">'[5]Overlap two proportions'!$CD$9</definedName>
    <definedName name="tbzz2" localSheetId="6">'[5]Overlap two proportions'!$CD$9</definedName>
    <definedName name="tbzz2" localSheetId="10">'[5]Overlap two proportions'!$CD$9</definedName>
    <definedName name="tbzz2" localSheetId="7">'[5]Overlap two proportions'!$CD$9</definedName>
    <definedName name="tbzz2">'[4]Overlap two proportions'!$CD$9</definedName>
    <definedName name="tbzz20" localSheetId="8">'[4]Overlap two proportions'!$CD$27</definedName>
    <definedName name="tbzz20" localSheetId="9">'[5]Overlap two proportions'!$CD$27</definedName>
    <definedName name="tbzz20" localSheetId="6">'[5]Overlap two proportions'!$CD$27</definedName>
    <definedName name="tbzz20" localSheetId="10">'[5]Overlap two proportions'!$CD$27</definedName>
    <definedName name="tbzz20" localSheetId="7">'[5]Overlap two proportions'!$CD$27</definedName>
    <definedName name="tbzz20">'[4]Overlap two proportions'!$CD$27</definedName>
    <definedName name="tbzz21" localSheetId="8">'[4]Overlap two proportions'!$CD$28</definedName>
    <definedName name="tbzz21" localSheetId="9">'[5]Overlap two proportions'!$CD$28</definedName>
    <definedName name="tbzz21" localSheetId="6">'[5]Overlap two proportions'!$CD$28</definedName>
    <definedName name="tbzz21" localSheetId="10">'[5]Overlap two proportions'!$CD$28</definedName>
    <definedName name="tbzz21" localSheetId="7">'[5]Overlap two proportions'!$CD$28</definedName>
    <definedName name="tbzz21">'[4]Overlap two proportions'!$CD$28</definedName>
    <definedName name="tbzz22" localSheetId="8">'[4]Overlap two proportions'!$CD$29</definedName>
    <definedName name="tbzz22" localSheetId="9">'[5]Overlap two proportions'!$CD$29</definedName>
    <definedName name="tbzz22" localSheetId="6">'[5]Overlap two proportions'!$CD$29</definedName>
    <definedName name="tbzz22" localSheetId="10">'[5]Overlap two proportions'!$CD$29</definedName>
    <definedName name="tbzz22" localSheetId="7">'[5]Overlap two proportions'!$CD$29</definedName>
    <definedName name="tbzz22">'[4]Overlap two proportions'!$CD$29</definedName>
    <definedName name="tbzz23" localSheetId="8">'[4]Overlap two proportions'!$CD$30</definedName>
    <definedName name="tbzz23" localSheetId="9">'[5]Overlap two proportions'!$CD$30</definedName>
    <definedName name="tbzz23" localSheetId="6">'[5]Overlap two proportions'!$CD$30</definedName>
    <definedName name="tbzz23" localSheetId="10">'[5]Overlap two proportions'!$CD$30</definedName>
    <definedName name="tbzz23" localSheetId="7">'[5]Overlap two proportions'!$CD$30</definedName>
    <definedName name="tbzz23">'[4]Overlap two proportions'!$CD$30</definedName>
    <definedName name="tbzz24" localSheetId="8">'[4]Overlap two proportions'!$CD$31</definedName>
    <definedName name="tbzz24" localSheetId="9">'[5]Overlap two proportions'!$CD$31</definedName>
    <definedName name="tbzz24" localSheetId="6">'[5]Overlap two proportions'!$CD$31</definedName>
    <definedName name="tbzz24" localSheetId="10">'[5]Overlap two proportions'!$CD$31</definedName>
    <definedName name="tbzz24" localSheetId="7">'[5]Overlap two proportions'!$CD$31</definedName>
    <definedName name="tbzz24">'[4]Overlap two proportions'!$CD$31</definedName>
    <definedName name="tbzz25" localSheetId="8">'[4]Overlap two proportions'!$CD$32</definedName>
    <definedName name="tbzz25" localSheetId="9">'[5]Overlap two proportions'!$CD$32</definedName>
    <definedName name="tbzz25" localSheetId="6">'[5]Overlap two proportions'!$CD$32</definedName>
    <definedName name="tbzz25" localSheetId="10">'[5]Overlap two proportions'!$CD$32</definedName>
    <definedName name="tbzz25" localSheetId="7">'[5]Overlap two proportions'!$CD$32</definedName>
    <definedName name="tbzz25">'[4]Overlap two proportions'!$CD$32</definedName>
    <definedName name="tbzz26" localSheetId="8">'[4]Overlap two proportions'!$CD$33</definedName>
    <definedName name="tbzz26" localSheetId="9">'[5]Overlap two proportions'!$CD$33</definedName>
    <definedName name="tbzz26" localSheetId="6">'[5]Overlap two proportions'!$CD$33</definedName>
    <definedName name="tbzz26" localSheetId="10">'[5]Overlap two proportions'!$CD$33</definedName>
    <definedName name="tbzz26" localSheetId="7">'[5]Overlap two proportions'!$CD$33</definedName>
    <definedName name="tbzz26">'[4]Overlap two proportions'!$CD$33</definedName>
    <definedName name="tbzz27" localSheetId="8">'[4]Overlap two proportions'!$CD$34</definedName>
    <definedName name="tbzz27" localSheetId="9">'[5]Overlap two proportions'!$CD$34</definedName>
    <definedName name="tbzz27" localSheetId="6">'[5]Overlap two proportions'!$CD$34</definedName>
    <definedName name="tbzz27" localSheetId="10">'[5]Overlap two proportions'!$CD$34</definedName>
    <definedName name="tbzz27" localSheetId="7">'[5]Overlap two proportions'!$CD$34</definedName>
    <definedName name="tbzz27">'[4]Overlap two proportions'!$CD$34</definedName>
    <definedName name="tbzz28" localSheetId="8">'[4]Overlap two proportions'!$CD$35</definedName>
    <definedName name="tbzz28" localSheetId="9">'[5]Overlap two proportions'!$CD$35</definedName>
    <definedName name="tbzz28" localSheetId="6">'[5]Overlap two proportions'!$CD$35</definedName>
    <definedName name="tbzz28" localSheetId="10">'[5]Overlap two proportions'!$CD$35</definedName>
    <definedName name="tbzz28" localSheetId="7">'[5]Overlap two proportions'!$CD$35</definedName>
    <definedName name="tbzz28">'[4]Overlap two proportions'!$CD$35</definedName>
    <definedName name="tbzz29" localSheetId="8">'[4]Overlap two proportions'!$CD$36</definedName>
    <definedName name="tbzz29" localSheetId="9">'[5]Overlap two proportions'!$CD$36</definedName>
    <definedName name="tbzz29" localSheetId="6">'[5]Overlap two proportions'!$CD$36</definedName>
    <definedName name="tbzz29" localSheetId="10">'[5]Overlap two proportions'!$CD$36</definedName>
    <definedName name="tbzz29" localSheetId="7">'[5]Overlap two proportions'!$CD$36</definedName>
    <definedName name="tbzz29">'[4]Overlap two proportions'!$CD$36</definedName>
    <definedName name="tbzz3" localSheetId="8">'[4]Overlap two proportions'!$CD$10</definedName>
    <definedName name="tbzz3" localSheetId="9">'[5]Overlap two proportions'!$CD$10</definedName>
    <definedName name="tbzz3" localSheetId="6">'[5]Overlap two proportions'!$CD$10</definedName>
    <definedName name="tbzz3" localSheetId="10">'[5]Overlap two proportions'!$CD$10</definedName>
    <definedName name="tbzz3" localSheetId="7">'[5]Overlap two proportions'!$CD$10</definedName>
    <definedName name="tbzz3">'[4]Overlap two proportions'!$CD$10</definedName>
    <definedName name="tbzz30" localSheetId="8">'[4]Overlap two proportions'!$CD$37</definedName>
    <definedName name="tbzz30" localSheetId="9">'[5]Overlap two proportions'!$CD$37</definedName>
    <definedName name="tbzz30" localSheetId="6">'[5]Overlap two proportions'!$CD$37</definedName>
    <definedName name="tbzz30" localSheetId="10">'[5]Overlap two proportions'!$CD$37</definedName>
    <definedName name="tbzz30" localSheetId="7">'[5]Overlap two proportions'!$CD$37</definedName>
    <definedName name="tbzz30">'[4]Overlap two proportions'!$CD$37</definedName>
    <definedName name="tbzz31" localSheetId="8">'[4]Overlap two proportions'!$CD$38</definedName>
    <definedName name="tbzz31" localSheetId="9">'[5]Overlap two proportions'!$CD$38</definedName>
    <definedName name="tbzz31" localSheetId="6">'[5]Overlap two proportions'!$CD$38</definedName>
    <definedName name="tbzz31" localSheetId="10">'[5]Overlap two proportions'!$CD$38</definedName>
    <definedName name="tbzz31" localSheetId="7">'[5]Overlap two proportions'!$CD$38</definedName>
    <definedName name="tbzz31">'[4]Overlap two proportions'!$CD$38</definedName>
    <definedName name="tbzz32" localSheetId="8">'[4]Overlap two proportions'!$CD$39</definedName>
    <definedName name="tbzz32" localSheetId="9">'[5]Overlap two proportions'!$CD$39</definedName>
    <definedName name="tbzz32" localSheetId="6">'[5]Overlap two proportions'!$CD$39</definedName>
    <definedName name="tbzz32" localSheetId="10">'[5]Overlap two proportions'!$CD$39</definedName>
    <definedName name="tbzz32" localSheetId="7">'[5]Overlap two proportions'!$CD$39</definedName>
    <definedName name="tbzz32">'[4]Overlap two proportions'!$CD$39</definedName>
    <definedName name="tbzz33" localSheetId="8">'[4]Overlap two proportions'!$CD$40</definedName>
    <definedName name="tbzz33" localSheetId="9">'[5]Overlap two proportions'!$CD$40</definedName>
    <definedName name="tbzz33" localSheetId="6">'[5]Overlap two proportions'!$CD$40</definedName>
    <definedName name="tbzz33" localSheetId="10">'[5]Overlap two proportions'!$CD$40</definedName>
    <definedName name="tbzz33" localSheetId="7">'[5]Overlap two proportions'!$CD$40</definedName>
    <definedName name="tbzz33">'[4]Overlap two proportions'!$CD$40</definedName>
    <definedName name="tbzz34" localSheetId="8">'[4]Overlap two proportions'!$CD$41</definedName>
    <definedName name="tbzz34" localSheetId="9">'[5]Overlap two proportions'!$CD$41</definedName>
    <definedName name="tbzz34" localSheetId="6">'[5]Overlap two proportions'!$CD$41</definedName>
    <definedName name="tbzz34" localSheetId="10">'[5]Overlap two proportions'!$CD$41</definedName>
    <definedName name="tbzz34" localSheetId="7">'[5]Overlap two proportions'!$CD$41</definedName>
    <definedName name="tbzz34">'[4]Overlap two proportions'!$CD$41</definedName>
    <definedName name="tbzz35" localSheetId="8">'[4]Overlap two proportions'!$CD$42</definedName>
    <definedName name="tbzz35" localSheetId="9">'[5]Overlap two proportions'!$CD$42</definedName>
    <definedName name="tbzz35" localSheetId="6">'[5]Overlap two proportions'!$CD$42</definedName>
    <definedName name="tbzz35" localSheetId="10">'[5]Overlap two proportions'!$CD$42</definedName>
    <definedName name="tbzz35" localSheetId="7">'[5]Overlap two proportions'!$CD$42</definedName>
    <definedName name="tbzz35">'[4]Overlap two proportions'!$CD$42</definedName>
    <definedName name="tbzz36" localSheetId="8">'[4]Overlap two proportions'!$CD$43</definedName>
    <definedName name="tbzz36" localSheetId="9">'[5]Overlap two proportions'!$CD$43</definedName>
    <definedName name="tbzz36" localSheetId="6">'[5]Overlap two proportions'!$CD$43</definedName>
    <definedName name="tbzz36" localSheetId="10">'[5]Overlap two proportions'!$CD$43</definedName>
    <definedName name="tbzz36" localSheetId="7">'[5]Overlap two proportions'!$CD$43</definedName>
    <definedName name="tbzz36">'[4]Overlap two proportions'!$CD$43</definedName>
    <definedName name="tbzz37" localSheetId="8">'[4]Overlap two proportions'!$CD$44</definedName>
    <definedName name="tbzz37" localSheetId="9">'[5]Overlap two proportions'!$CD$44</definedName>
    <definedName name="tbzz37" localSheetId="6">'[5]Overlap two proportions'!$CD$44</definedName>
    <definedName name="tbzz37" localSheetId="10">'[5]Overlap two proportions'!$CD$44</definedName>
    <definedName name="tbzz37" localSheetId="7">'[5]Overlap two proportions'!$CD$44</definedName>
    <definedName name="tbzz37">'[4]Overlap two proportions'!$CD$44</definedName>
    <definedName name="tbzz38" localSheetId="8">'[4]Overlap two proportions'!$CD$45</definedName>
    <definedName name="tbzz38" localSheetId="9">'[5]Overlap two proportions'!$CD$45</definedName>
    <definedName name="tbzz38" localSheetId="6">'[5]Overlap two proportions'!$CD$45</definedName>
    <definedName name="tbzz38" localSheetId="10">'[5]Overlap two proportions'!$CD$45</definedName>
    <definedName name="tbzz38" localSheetId="7">'[5]Overlap two proportions'!$CD$45</definedName>
    <definedName name="tbzz38">'[4]Overlap two proportions'!$CD$45</definedName>
    <definedName name="tbzz39" localSheetId="8">'[4]Overlap two proportions'!$CD$46</definedName>
    <definedName name="tbzz39" localSheetId="9">'[5]Overlap two proportions'!$CD$46</definedName>
    <definedName name="tbzz39" localSheetId="6">'[5]Overlap two proportions'!$CD$46</definedName>
    <definedName name="tbzz39" localSheetId="10">'[5]Overlap two proportions'!$CD$46</definedName>
    <definedName name="tbzz39" localSheetId="7">'[5]Overlap two proportions'!$CD$46</definedName>
    <definedName name="tbzz39">'[4]Overlap two proportions'!$CD$46</definedName>
    <definedName name="tbzz4" localSheetId="8">'[4]Overlap two proportions'!$CD$11</definedName>
    <definedName name="tbzz4" localSheetId="9">'[5]Overlap two proportions'!$CD$11</definedName>
    <definedName name="tbzz4" localSheetId="6">'[5]Overlap two proportions'!$CD$11</definedName>
    <definedName name="tbzz4" localSheetId="10">'[5]Overlap two proportions'!$CD$11</definedName>
    <definedName name="tbzz4" localSheetId="7">'[5]Overlap two proportions'!$CD$11</definedName>
    <definedName name="tbzz4">'[4]Overlap two proportions'!$CD$11</definedName>
    <definedName name="tbzz40" localSheetId="8">'[4]Overlap two proportions'!$CD$47</definedName>
    <definedName name="tbzz40" localSheetId="9">'[5]Overlap two proportions'!$CD$47</definedName>
    <definedName name="tbzz40" localSheetId="6">'[5]Overlap two proportions'!$CD$47</definedName>
    <definedName name="tbzz40" localSheetId="10">'[5]Overlap two proportions'!$CD$47</definedName>
    <definedName name="tbzz40" localSheetId="7">'[5]Overlap two proportions'!$CD$47</definedName>
    <definedName name="tbzz40">'[4]Overlap two proportions'!$CD$47</definedName>
    <definedName name="tbzz41" localSheetId="8">'[4]Overlap two proportions'!$CD$48</definedName>
    <definedName name="tbzz41" localSheetId="9">'[5]Overlap two proportions'!$CD$48</definedName>
    <definedName name="tbzz41" localSheetId="6">'[5]Overlap two proportions'!$CD$48</definedName>
    <definedName name="tbzz41" localSheetId="10">'[5]Overlap two proportions'!$CD$48</definedName>
    <definedName name="tbzz41" localSheetId="7">'[5]Overlap two proportions'!$CD$48</definedName>
    <definedName name="tbzz41">'[4]Overlap two proportions'!$CD$48</definedName>
    <definedName name="tbzz42" localSheetId="8">'[4]Overlap two proportions'!$CD$49</definedName>
    <definedName name="tbzz42" localSheetId="9">'[5]Overlap two proportions'!$CD$49</definedName>
    <definedName name="tbzz42" localSheetId="6">'[5]Overlap two proportions'!$CD$49</definedName>
    <definedName name="tbzz42" localSheetId="10">'[5]Overlap two proportions'!$CD$49</definedName>
    <definedName name="tbzz42" localSheetId="7">'[5]Overlap two proportions'!$CD$49</definedName>
    <definedName name="tbzz42">'[4]Overlap two proportions'!$CD$49</definedName>
    <definedName name="tbzz43" localSheetId="8">'[4]Overlap two proportions'!$CD$50</definedName>
    <definedName name="tbzz43" localSheetId="9">'[5]Overlap two proportions'!$CD$50</definedName>
    <definedName name="tbzz43" localSheetId="6">'[5]Overlap two proportions'!$CD$50</definedName>
    <definedName name="tbzz43" localSheetId="10">'[5]Overlap two proportions'!$CD$50</definedName>
    <definedName name="tbzz43" localSheetId="7">'[5]Overlap two proportions'!$CD$50</definedName>
    <definedName name="tbzz43">'[4]Overlap two proportions'!$CD$50</definedName>
    <definedName name="tbzz44" localSheetId="8">'[4]Overlap two proportions'!$CD$51</definedName>
    <definedName name="tbzz44" localSheetId="9">'[5]Overlap two proportions'!$CD$51</definedName>
    <definedName name="tbzz44" localSheetId="6">'[5]Overlap two proportions'!$CD$51</definedName>
    <definedName name="tbzz44" localSheetId="10">'[5]Overlap two proportions'!$CD$51</definedName>
    <definedName name="tbzz44" localSheetId="7">'[5]Overlap two proportions'!$CD$51</definedName>
    <definedName name="tbzz44">'[4]Overlap two proportions'!$CD$51</definedName>
    <definedName name="tbzz45" localSheetId="8">'[4]Overlap two proportions'!$CD$52</definedName>
    <definedName name="tbzz45" localSheetId="9">'[5]Overlap two proportions'!$CD$52</definedName>
    <definedName name="tbzz45" localSheetId="6">'[5]Overlap two proportions'!$CD$52</definedName>
    <definedName name="tbzz45" localSheetId="10">'[5]Overlap two proportions'!$CD$52</definedName>
    <definedName name="tbzz45" localSheetId="7">'[5]Overlap two proportions'!$CD$52</definedName>
    <definedName name="tbzz45">'[4]Overlap two proportions'!$CD$52</definedName>
    <definedName name="tbzz46" localSheetId="8">'[4]Overlap two proportions'!$CD$53</definedName>
    <definedName name="tbzz46" localSheetId="9">'[5]Overlap two proportions'!$CD$53</definedName>
    <definedName name="tbzz46" localSheetId="6">'[5]Overlap two proportions'!$CD$53</definedName>
    <definedName name="tbzz46" localSheetId="10">'[5]Overlap two proportions'!$CD$53</definedName>
    <definedName name="tbzz46" localSheetId="7">'[5]Overlap two proportions'!$CD$53</definedName>
    <definedName name="tbzz46">'[4]Overlap two proportions'!$CD$53</definedName>
    <definedName name="tbzz47" localSheetId="8">'[4]Overlap two proportions'!$CD$54</definedName>
    <definedName name="tbzz47" localSheetId="9">'[5]Overlap two proportions'!$CD$54</definedName>
    <definedName name="tbzz47" localSheetId="6">'[5]Overlap two proportions'!$CD$54</definedName>
    <definedName name="tbzz47" localSheetId="10">'[5]Overlap two proportions'!$CD$54</definedName>
    <definedName name="tbzz47" localSheetId="7">'[5]Overlap two proportions'!$CD$54</definedName>
    <definedName name="tbzz47">'[4]Overlap two proportions'!$CD$54</definedName>
    <definedName name="tbzz48" localSheetId="8">'[4]Overlap two proportions'!$CD$55</definedName>
    <definedName name="tbzz48" localSheetId="9">'[5]Overlap two proportions'!$CD$55</definedName>
    <definedName name="tbzz48" localSheetId="6">'[5]Overlap two proportions'!$CD$55</definedName>
    <definedName name="tbzz48" localSheetId="10">'[5]Overlap two proportions'!$CD$55</definedName>
    <definedName name="tbzz48" localSheetId="7">'[5]Overlap two proportions'!$CD$55</definedName>
    <definedName name="tbzz48">'[4]Overlap two proportions'!$CD$55</definedName>
    <definedName name="tbzz49" localSheetId="8">'[4]Overlap two proportions'!$CD$56</definedName>
    <definedName name="tbzz49" localSheetId="9">'[5]Overlap two proportions'!$CD$56</definedName>
    <definedName name="tbzz49" localSheetId="6">'[5]Overlap two proportions'!$CD$56</definedName>
    <definedName name="tbzz49" localSheetId="10">'[5]Overlap two proportions'!$CD$56</definedName>
    <definedName name="tbzz49" localSheetId="7">'[5]Overlap two proportions'!$CD$56</definedName>
    <definedName name="tbzz49">'[4]Overlap two proportions'!$CD$56</definedName>
    <definedName name="tbzz5" localSheetId="8">'[4]Overlap two proportions'!$CD$12</definedName>
    <definedName name="tbzz5" localSheetId="9">'[5]Overlap two proportions'!$CD$12</definedName>
    <definedName name="tbzz5" localSheetId="6">'[5]Overlap two proportions'!$CD$12</definedName>
    <definedName name="tbzz5" localSheetId="10">'[5]Overlap two proportions'!$CD$12</definedName>
    <definedName name="tbzz5" localSheetId="7">'[5]Overlap two proportions'!$CD$12</definedName>
    <definedName name="tbzz5">'[4]Overlap two proportions'!$CD$12</definedName>
    <definedName name="tbzz50" localSheetId="8">'[4]Overlap two proportions'!$CD$57</definedName>
    <definedName name="tbzz50" localSheetId="9">'[5]Overlap two proportions'!$CD$57</definedName>
    <definedName name="tbzz50" localSheetId="6">'[5]Overlap two proportions'!$CD$57</definedName>
    <definedName name="tbzz50" localSheetId="10">'[5]Overlap two proportions'!$CD$57</definedName>
    <definedName name="tbzz50" localSheetId="7">'[5]Overlap two proportions'!$CD$57</definedName>
    <definedName name="tbzz50">'[4]Overlap two proportions'!$CD$57</definedName>
    <definedName name="tbzz51" localSheetId="8">'[4]Overlap two proportions'!$CD$58</definedName>
    <definedName name="tbzz51" localSheetId="9">'[5]Overlap two proportions'!$CD$58</definedName>
    <definedName name="tbzz51" localSheetId="6">'[5]Overlap two proportions'!$CD$58</definedName>
    <definedName name="tbzz51" localSheetId="10">'[5]Overlap two proportions'!$CD$58</definedName>
    <definedName name="tbzz51" localSheetId="7">'[5]Overlap two proportions'!$CD$58</definedName>
    <definedName name="tbzz51">'[4]Overlap two proportions'!$CD$58</definedName>
    <definedName name="tbzz52" localSheetId="8">'[4]Overlap two proportions'!$CD$59</definedName>
    <definedName name="tbzz52" localSheetId="9">'[5]Overlap two proportions'!$CD$59</definedName>
    <definedName name="tbzz52" localSheetId="6">'[5]Overlap two proportions'!$CD$59</definedName>
    <definedName name="tbzz52" localSheetId="10">'[5]Overlap two proportions'!$CD$59</definedName>
    <definedName name="tbzz52" localSheetId="7">'[5]Overlap two proportions'!$CD$59</definedName>
    <definedName name="tbzz52">'[4]Overlap two proportions'!$CD$59</definedName>
    <definedName name="tbzz53" localSheetId="8">'[4]Overlap two proportions'!$CD$60</definedName>
    <definedName name="tbzz53" localSheetId="9">'[5]Overlap two proportions'!$CD$60</definedName>
    <definedName name="tbzz53" localSheetId="6">'[5]Overlap two proportions'!$CD$60</definedName>
    <definedName name="tbzz53" localSheetId="10">'[5]Overlap two proportions'!$CD$60</definedName>
    <definedName name="tbzz53" localSheetId="7">'[5]Overlap two proportions'!$CD$60</definedName>
    <definedName name="tbzz53">'[4]Overlap two proportions'!$CD$60</definedName>
    <definedName name="tbzz54" localSheetId="8">'[4]Overlap two proportions'!$CD$61</definedName>
    <definedName name="tbzz54" localSheetId="9">'[5]Overlap two proportions'!$CD$61</definedName>
    <definedName name="tbzz54" localSheetId="6">'[5]Overlap two proportions'!$CD$61</definedName>
    <definedName name="tbzz54" localSheetId="10">'[5]Overlap two proportions'!$CD$61</definedName>
    <definedName name="tbzz54" localSheetId="7">'[5]Overlap two proportions'!$CD$61</definedName>
    <definedName name="tbzz54">'[4]Overlap two proportions'!$CD$61</definedName>
    <definedName name="tbzz55" localSheetId="8">'[4]Overlap two proportions'!$CD$62</definedName>
    <definedName name="tbzz55" localSheetId="9">'[5]Overlap two proportions'!$CD$62</definedName>
    <definedName name="tbzz55" localSheetId="6">'[5]Overlap two proportions'!$CD$62</definedName>
    <definedName name="tbzz55" localSheetId="10">'[5]Overlap two proportions'!$CD$62</definedName>
    <definedName name="tbzz55" localSheetId="7">'[5]Overlap two proportions'!$CD$62</definedName>
    <definedName name="tbzz55">'[4]Overlap two proportions'!$CD$62</definedName>
    <definedName name="tbzz56" localSheetId="8">'[4]Overlap two proportions'!$CD$63</definedName>
    <definedName name="tbzz56" localSheetId="9">'[5]Overlap two proportions'!$CD$63</definedName>
    <definedName name="tbzz56" localSheetId="6">'[5]Overlap two proportions'!$CD$63</definedName>
    <definedName name="tbzz56" localSheetId="10">'[5]Overlap two proportions'!$CD$63</definedName>
    <definedName name="tbzz56" localSheetId="7">'[5]Overlap two proportions'!$CD$63</definedName>
    <definedName name="tbzz56">'[4]Overlap two proportions'!$CD$63</definedName>
    <definedName name="tbzz57" localSheetId="8">'[4]Overlap two proportions'!$CD$64</definedName>
    <definedName name="tbzz57" localSheetId="9">'[5]Overlap two proportions'!$CD$64</definedName>
    <definedName name="tbzz57" localSheetId="6">'[5]Overlap two proportions'!$CD$64</definedName>
    <definedName name="tbzz57" localSheetId="10">'[5]Overlap two proportions'!$CD$64</definedName>
    <definedName name="tbzz57" localSheetId="7">'[5]Overlap two proportions'!$CD$64</definedName>
    <definedName name="tbzz57">'[4]Overlap two proportions'!$CD$64</definedName>
    <definedName name="tbzz58" localSheetId="8">'[4]Overlap two proportions'!$CD$65</definedName>
    <definedName name="tbzz58" localSheetId="9">'[5]Overlap two proportions'!$CD$65</definedName>
    <definedName name="tbzz58" localSheetId="6">'[5]Overlap two proportions'!$CD$65</definedName>
    <definedName name="tbzz58" localSheetId="10">'[5]Overlap two proportions'!$CD$65</definedName>
    <definedName name="tbzz58" localSheetId="7">'[5]Overlap two proportions'!$CD$65</definedName>
    <definedName name="tbzz58">'[4]Overlap two proportions'!$CD$65</definedName>
    <definedName name="tbzz59" localSheetId="8">'[4]Overlap two proportions'!$CD$66</definedName>
    <definedName name="tbzz59" localSheetId="9">'[5]Overlap two proportions'!$CD$66</definedName>
    <definedName name="tbzz59" localSheetId="6">'[5]Overlap two proportions'!$CD$66</definedName>
    <definedName name="tbzz59" localSheetId="10">'[5]Overlap two proportions'!$CD$66</definedName>
    <definedName name="tbzz59" localSheetId="7">'[5]Overlap two proportions'!$CD$66</definedName>
    <definedName name="tbzz59">'[4]Overlap two proportions'!$CD$66</definedName>
    <definedName name="tbzz6" localSheetId="8">'[4]Overlap two proportions'!$CD$13</definedName>
    <definedName name="tbzz6" localSheetId="9">'[5]Overlap two proportions'!$CD$13</definedName>
    <definedName name="tbzz6" localSheetId="6">'[5]Overlap two proportions'!$CD$13</definedName>
    <definedName name="tbzz6" localSheetId="10">'[5]Overlap two proportions'!$CD$13</definedName>
    <definedName name="tbzz6" localSheetId="7">'[5]Overlap two proportions'!$CD$13</definedName>
    <definedName name="tbzz6">'[4]Overlap two proportions'!$CD$13</definedName>
    <definedName name="tbzz60" localSheetId="8">'[4]Overlap two proportions'!$CD$67</definedName>
    <definedName name="tbzz60" localSheetId="9">'[5]Overlap two proportions'!$CD$67</definedName>
    <definedName name="tbzz60" localSheetId="6">'[5]Overlap two proportions'!$CD$67</definedName>
    <definedName name="tbzz60" localSheetId="10">'[5]Overlap two proportions'!$CD$67</definedName>
    <definedName name="tbzz60" localSheetId="7">'[5]Overlap two proportions'!$CD$67</definedName>
    <definedName name="tbzz60">'[4]Overlap two proportions'!$CD$67</definedName>
    <definedName name="tbzz7" localSheetId="8">'[4]Overlap two proportions'!$CD$14</definedName>
    <definedName name="tbzz7" localSheetId="9">'[5]Overlap two proportions'!$CD$14</definedName>
    <definedName name="tbzz7" localSheetId="6">'[5]Overlap two proportions'!$CD$14</definedName>
    <definedName name="tbzz7" localSheetId="10">'[5]Overlap two proportions'!$CD$14</definedName>
    <definedName name="tbzz7" localSheetId="7">'[5]Overlap two proportions'!$CD$14</definedName>
    <definedName name="tbzz7">'[4]Overlap two proportions'!$CD$14</definedName>
    <definedName name="tbzz8" localSheetId="8">'[4]Overlap two proportions'!$CD$15</definedName>
    <definedName name="tbzz8" localSheetId="9">'[5]Overlap two proportions'!$CD$15</definedName>
    <definedName name="tbzz8" localSheetId="6">'[5]Overlap two proportions'!$CD$15</definedName>
    <definedName name="tbzz8" localSheetId="10">'[5]Overlap two proportions'!$CD$15</definedName>
    <definedName name="tbzz8" localSheetId="7">'[5]Overlap two proportions'!$CD$15</definedName>
    <definedName name="tbzz8">'[4]Overlap two proportions'!$CD$15</definedName>
    <definedName name="tbzz9" localSheetId="8">'[4]Overlap two proportions'!$CD$16</definedName>
    <definedName name="tbzz9" localSheetId="9">'[5]Overlap two proportions'!$CD$16</definedName>
    <definedName name="tbzz9" localSheetId="6">'[5]Overlap two proportions'!$CD$16</definedName>
    <definedName name="tbzz9" localSheetId="10">'[5]Overlap two proportions'!$CD$16</definedName>
    <definedName name="tbzz9" localSheetId="7">'[5]Overlap two proportions'!$CD$16</definedName>
    <definedName name="tbzz9">'[4]Overlap two proportions'!$CD$16</definedName>
    <definedName name="thisisc">'[7]Precision paired'!$V$140</definedName>
    <definedName name="tobez1" localSheetId="8">'[4]Overlap two proportions'!$BB$8</definedName>
    <definedName name="tobez1" localSheetId="9">'[5]Overlap two proportions'!$BB$8</definedName>
    <definedName name="tobez1" localSheetId="6">'[5]Overlap two proportions'!$BB$8</definedName>
    <definedName name="tobez1" localSheetId="10">'[5]Overlap two proportions'!$BB$8</definedName>
    <definedName name="tobez1" localSheetId="7">'[5]Overlap two proportions'!$BB$8</definedName>
    <definedName name="tobez1">'[4]Overlap two proportions'!$BB$8</definedName>
    <definedName name="tobez10" localSheetId="8">'[4]Overlap two proportions'!$BB$17</definedName>
    <definedName name="tobez10" localSheetId="9">'[5]Overlap two proportions'!$BB$17</definedName>
    <definedName name="tobez10" localSheetId="6">'[5]Overlap two proportions'!$BB$17</definedName>
    <definedName name="tobez10" localSheetId="10">'[5]Overlap two proportions'!$BB$17</definedName>
    <definedName name="tobez10" localSheetId="7">'[5]Overlap two proportions'!$BB$17</definedName>
    <definedName name="tobez10">'[4]Overlap two proportions'!$BB$17</definedName>
    <definedName name="tobez11" localSheetId="8">'[4]Overlap two proportions'!$BB$18</definedName>
    <definedName name="tobez11" localSheetId="9">'[5]Overlap two proportions'!$BB$18</definedName>
    <definedName name="tobez11" localSheetId="6">'[5]Overlap two proportions'!$BB$18</definedName>
    <definedName name="tobez11" localSheetId="10">'[5]Overlap two proportions'!$BB$18</definedName>
    <definedName name="tobez11" localSheetId="7">'[5]Overlap two proportions'!$BB$18</definedName>
    <definedName name="tobez11">'[4]Overlap two proportions'!$BB$18</definedName>
    <definedName name="tobez12" localSheetId="8">'[4]Overlap two proportions'!$BB$19</definedName>
    <definedName name="tobez12" localSheetId="9">'[5]Overlap two proportions'!$BB$19</definedName>
    <definedName name="tobez12" localSheetId="6">'[5]Overlap two proportions'!$BB$19</definedName>
    <definedName name="tobez12" localSheetId="10">'[5]Overlap two proportions'!$BB$19</definedName>
    <definedName name="tobez12" localSheetId="7">'[5]Overlap two proportions'!$BB$19</definedName>
    <definedName name="tobez12">'[4]Overlap two proportions'!$BB$19</definedName>
    <definedName name="tobez13" localSheetId="8">'[4]Overlap two proportions'!$BB$20</definedName>
    <definedName name="tobez13" localSheetId="9">'[5]Overlap two proportions'!$BB$20</definedName>
    <definedName name="tobez13" localSheetId="6">'[5]Overlap two proportions'!$BB$20</definedName>
    <definedName name="tobez13" localSheetId="10">'[5]Overlap two proportions'!$BB$20</definedName>
    <definedName name="tobez13" localSheetId="7">'[5]Overlap two proportions'!$BB$20</definedName>
    <definedName name="tobez13">'[4]Overlap two proportions'!$BB$20</definedName>
    <definedName name="tobez14" localSheetId="8">'[4]Overlap two proportions'!$BB$21</definedName>
    <definedName name="tobez14" localSheetId="9">'[5]Overlap two proportions'!$BB$21</definedName>
    <definedName name="tobez14" localSheetId="6">'[5]Overlap two proportions'!$BB$21</definedName>
    <definedName name="tobez14" localSheetId="10">'[5]Overlap two proportions'!$BB$21</definedName>
    <definedName name="tobez14" localSheetId="7">'[5]Overlap two proportions'!$BB$21</definedName>
    <definedName name="tobez14">'[4]Overlap two proportions'!$BB$21</definedName>
    <definedName name="tobez15" localSheetId="8">'[4]Overlap two proportions'!$BB$22</definedName>
    <definedName name="tobez15" localSheetId="9">'[5]Overlap two proportions'!$BB$22</definedName>
    <definedName name="tobez15" localSheetId="6">'[5]Overlap two proportions'!$BB$22</definedName>
    <definedName name="tobez15" localSheetId="10">'[5]Overlap two proportions'!$BB$22</definedName>
    <definedName name="tobez15" localSheetId="7">'[5]Overlap two proportions'!$BB$22</definedName>
    <definedName name="tobez15">'[4]Overlap two proportions'!$BB$22</definedName>
    <definedName name="tobez16" localSheetId="8">'[4]Overlap two proportions'!$BB$23</definedName>
    <definedName name="tobez16" localSheetId="9">'[5]Overlap two proportions'!$BB$23</definedName>
    <definedName name="tobez16" localSheetId="6">'[5]Overlap two proportions'!$BB$23</definedName>
    <definedName name="tobez16" localSheetId="10">'[5]Overlap two proportions'!$BB$23</definedName>
    <definedName name="tobez16" localSheetId="7">'[5]Overlap two proportions'!$BB$23</definedName>
    <definedName name="tobez16">'[4]Overlap two proportions'!$BB$23</definedName>
    <definedName name="tobez17" localSheetId="8">'[4]Overlap two proportions'!$BB$24</definedName>
    <definedName name="tobez17" localSheetId="9">'[5]Overlap two proportions'!$BB$24</definedName>
    <definedName name="tobez17" localSheetId="6">'[5]Overlap two proportions'!$BB$24</definedName>
    <definedName name="tobez17" localSheetId="10">'[5]Overlap two proportions'!$BB$24</definedName>
    <definedName name="tobez17" localSheetId="7">'[5]Overlap two proportions'!$BB$24</definedName>
    <definedName name="tobez17">'[4]Overlap two proportions'!$BB$24</definedName>
    <definedName name="tobez18" localSheetId="8">'[4]Overlap two proportions'!$BB$25</definedName>
    <definedName name="tobez18" localSheetId="9">'[5]Overlap two proportions'!$BB$25</definedName>
    <definedName name="tobez18" localSheetId="6">'[5]Overlap two proportions'!$BB$25</definedName>
    <definedName name="tobez18" localSheetId="10">'[5]Overlap two proportions'!$BB$25</definedName>
    <definedName name="tobez18" localSheetId="7">'[5]Overlap two proportions'!$BB$25</definedName>
    <definedName name="tobez18">'[4]Overlap two proportions'!$BB$25</definedName>
    <definedName name="tobez19" localSheetId="8">'[4]Overlap two proportions'!$BB$26</definedName>
    <definedName name="tobez19" localSheetId="9">'[5]Overlap two proportions'!$BB$26</definedName>
    <definedName name="tobez19" localSheetId="6">'[5]Overlap two proportions'!$BB$26</definedName>
    <definedName name="tobez19" localSheetId="10">'[5]Overlap two proportions'!$BB$26</definedName>
    <definedName name="tobez19" localSheetId="7">'[5]Overlap two proportions'!$BB$26</definedName>
    <definedName name="tobez19">'[4]Overlap two proportions'!$BB$26</definedName>
    <definedName name="tobez2" localSheetId="8">'[4]Overlap two proportions'!$BB$9</definedName>
    <definedName name="tobez2" localSheetId="9">'[5]Overlap two proportions'!$BB$9</definedName>
    <definedName name="tobez2" localSheetId="6">'[5]Overlap two proportions'!$BB$9</definedName>
    <definedName name="tobez2" localSheetId="10">'[5]Overlap two proportions'!$BB$9</definedName>
    <definedName name="tobez2" localSheetId="7">'[5]Overlap two proportions'!$BB$9</definedName>
    <definedName name="tobez2">'[4]Overlap two proportions'!$BB$9</definedName>
    <definedName name="tobez20" localSheetId="8">'[4]Overlap two proportions'!$BB$27</definedName>
    <definedName name="tobez20" localSheetId="9">'[5]Overlap two proportions'!$BB$27</definedName>
    <definedName name="tobez20" localSheetId="6">'[5]Overlap two proportions'!$BB$27</definedName>
    <definedName name="tobez20" localSheetId="10">'[5]Overlap two proportions'!$BB$27</definedName>
    <definedName name="tobez20" localSheetId="7">'[5]Overlap two proportions'!$BB$27</definedName>
    <definedName name="tobez20">'[4]Overlap two proportions'!$BB$27</definedName>
    <definedName name="tobez21" localSheetId="8">'[4]Overlap two proportions'!$BB$28</definedName>
    <definedName name="tobez21" localSheetId="9">'[5]Overlap two proportions'!$BB$28</definedName>
    <definedName name="tobez21" localSheetId="6">'[5]Overlap two proportions'!$BB$28</definedName>
    <definedName name="tobez21" localSheetId="10">'[5]Overlap two proportions'!$BB$28</definedName>
    <definedName name="tobez21" localSheetId="7">'[5]Overlap two proportions'!$BB$28</definedName>
    <definedName name="tobez21">'[4]Overlap two proportions'!$BB$28</definedName>
    <definedName name="tobez22" localSheetId="8">'[4]Overlap two proportions'!$BB$29</definedName>
    <definedName name="tobez22" localSheetId="9">'[5]Overlap two proportions'!$BB$29</definedName>
    <definedName name="tobez22" localSheetId="6">'[5]Overlap two proportions'!$BB$29</definedName>
    <definedName name="tobez22" localSheetId="10">'[5]Overlap two proportions'!$BB$29</definedName>
    <definedName name="tobez22" localSheetId="7">'[5]Overlap two proportions'!$BB$29</definedName>
    <definedName name="tobez22">'[4]Overlap two proportions'!$BB$29</definedName>
    <definedName name="tobez23" localSheetId="8">'[4]Overlap two proportions'!$BB$30</definedName>
    <definedName name="tobez23" localSheetId="9">'[5]Overlap two proportions'!$BB$30</definedName>
    <definedName name="tobez23" localSheetId="6">'[5]Overlap two proportions'!$BB$30</definedName>
    <definedName name="tobez23" localSheetId="10">'[5]Overlap two proportions'!$BB$30</definedName>
    <definedName name="tobez23" localSheetId="7">'[5]Overlap two proportions'!$BB$30</definedName>
    <definedName name="tobez23">'[4]Overlap two proportions'!$BB$30</definedName>
    <definedName name="tobez24" localSheetId="8">'[4]Overlap two proportions'!$BB$31</definedName>
    <definedName name="tobez24" localSheetId="9">'[5]Overlap two proportions'!$BB$31</definedName>
    <definedName name="tobez24" localSheetId="6">'[5]Overlap two proportions'!$BB$31</definedName>
    <definedName name="tobez24" localSheetId="10">'[5]Overlap two proportions'!$BB$31</definedName>
    <definedName name="tobez24" localSheetId="7">'[5]Overlap two proportions'!$BB$31</definedName>
    <definedName name="tobez24">'[4]Overlap two proportions'!$BB$31</definedName>
    <definedName name="tobez25" localSheetId="8">'[4]Overlap two proportions'!$BB$32</definedName>
    <definedName name="tobez25" localSheetId="9">'[5]Overlap two proportions'!$BB$32</definedName>
    <definedName name="tobez25" localSheetId="6">'[5]Overlap two proportions'!$BB$32</definedName>
    <definedName name="tobez25" localSheetId="10">'[5]Overlap two proportions'!$BB$32</definedName>
    <definedName name="tobez25" localSheetId="7">'[5]Overlap two proportions'!$BB$32</definedName>
    <definedName name="tobez25">'[4]Overlap two proportions'!$BB$32</definedName>
    <definedName name="tobez26" localSheetId="8">'[4]Overlap two proportions'!$BB$33</definedName>
    <definedName name="tobez26" localSheetId="9">'[5]Overlap two proportions'!$BB$33</definedName>
    <definedName name="tobez26" localSheetId="6">'[5]Overlap two proportions'!$BB$33</definedName>
    <definedName name="tobez26" localSheetId="10">'[5]Overlap two proportions'!$BB$33</definedName>
    <definedName name="tobez26" localSheetId="7">'[5]Overlap two proportions'!$BB$33</definedName>
    <definedName name="tobez26">'[4]Overlap two proportions'!$BB$33</definedName>
    <definedName name="tobez27" localSheetId="8">'[4]Overlap two proportions'!$BB$34</definedName>
    <definedName name="tobez27" localSheetId="9">'[5]Overlap two proportions'!$BB$34</definedName>
    <definedName name="tobez27" localSheetId="6">'[5]Overlap two proportions'!$BB$34</definedName>
    <definedName name="tobez27" localSheetId="10">'[5]Overlap two proportions'!$BB$34</definedName>
    <definedName name="tobez27" localSheetId="7">'[5]Overlap two proportions'!$BB$34</definedName>
    <definedName name="tobez27">'[4]Overlap two proportions'!$BB$34</definedName>
    <definedName name="tobez28" localSheetId="8">'[4]Overlap two proportions'!$BB$35</definedName>
    <definedName name="tobez28" localSheetId="9">'[5]Overlap two proportions'!$BB$35</definedName>
    <definedName name="tobez28" localSheetId="6">'[5]Overlap two proportions'!$BB$35</definedName>
    <definedName name="tobez28" localSheetId="10">'[5]Overlap two proportions'!$BB$35</definedName>
    <definedName name="tobez28" localSheetId="7">'[5]Overlap two proportions'!$BB$35</definedName>
    <definedName name="tobez28">'[4]Overlap two proportions'!$BB$35</definedName>
    <definedName name="tobez29" localSheetId="8">'[4]Overlap two proportions'!$BB$36</definedName>
    <definedName name="tobez29" localSheetId="9">'[5]Overlap two proportions'!$BB$36</definedName>
    <definedName name="tobez29" localSheetId="6">'[5]Overlap two proportions'!$BB$36</definedName>
    <definedName name="tobez29" localSheetId="10">'[5]Overlap two proportions'!$BB$36</definedName>
    <definedName name="tobez29" localSheetId="7">'[5]Overlap two proportions'!$BB$36</definedName>
    <definedName name="tobez29">'[4]Overlap two proportions'!$BB$36</definedName>
    <definedName name="tobez3" localSheetId="8">'[4]Overlap two proportions'!$BB$10</definedName>
    <definedName name="tobez3" localSheetId="9">'[5]Overlap two proportions'!$BB$10</definedName>
    <definedName name="tobez3" localSheetId="6">'[5]Overlap two proportions'!$BB$10</definedName>
    <definedName name="tobez3" localSheetId="10">'[5]Overlap two proportions'!$BB$10</definedName>
    <definedName name="tobez3" localSheetId="7">'[5]Overlap two proportions'!$BB$10</definedName>
    <definedName name="tobez3">'[4]Overlap two proportions'!$BB$10</definedName>
    <definedName name="tobez30" localSheetId="8">'[4]Overlap two proportions'!$BB$37</definedName>
    <definedName name="tobez30" localSheetId="9">'[5]Overlap two proportions'!$BB$37</definedName>
    <definedName name="tobez30" localSheetId="6">'[5]Overlap two proportions'!$BB$37</definedName>
    <definedName name="tobez30" localSheetId="10">'[5]Overlap two proportions'!$BB$37</definedName>
    <definedName name="tobez30" localSheetId="7">'[5]Overlap two proportions'!$BB$37</definedName>
    <definedName name="tobez30">'[4]Overlap two proportions'!$BB$37</definedName>
    <definedName name="tobez31" localSheetId="8">'[4]Overlap two proportions'!$BB$38</definedName>
    <definedName name="tobez31" localSheetId="9">'[5]Overlap two proportions'!$BB$38</definedName>
    <definedName name="tobez31" localSheetId="6">'[5]Overlap two proportions'!$BB$38</definedName>
    <definedName name="tobez31" localSheetId="10">'[5]Overlap two proportions'!$BB$38</definedName>
    <definedName name="tobez31" localSheetId="7">'[5]Overlap two proportions'!$BB$38</definedName>
    <definedName name="tobez31">'[4]Overlap two proportions'!$BB$38</definedName>
    <definedName name="tobez32" localSheetId="8">'[4]Overlap two proportions'!$BB$39</definedName>
    <definedName name="tobez32" localSheetId="9">'[5]Overlap two proportions'!$BB$39</definedName>
    <definedName name="tobez32" localSheetId="6">'[5]Overlap two proportions'!$BB$39</definedName>
    <definedName name="tobez32" localSheetId="10">'[5]Overlap two proportions'!$BB$39</definedName>
    <definedName name="tobez32" localSheetId="7">'[5]Overlap two proportions'!$BB$39</definedName>
    <definedName name="tobez32">'[4]Overlap two proportions'!$BB$39</definedName>
    <definedName name="tobez33" localSheetId="8">'[4]Overlap two proportions'!$BB$40</definedName>
    <definedName name="tobez33" localSheetId="9">'[5]Overlap two proportions'!$BB$40</definedName>
    <definedName name="tobez33" localSheetId="6">'[5]Overlap two proportions'!$BB$40</definedName>
    <definedName name="tobez33" localSheetId="10">'[5]Overlap two proportions'!$BB$40</definedName>
    <definedName name="tobez33" localSheetId="7">'[5]Overlap two proportions'!$BB$40</definedName>
    <definedName name="tobez33">'[4]Overlap two proportions'!$BB$40</definedName>
    <definedName name="tobez34" localSheetId="8">'[4]Overlap two proportions'!$BB$41</definedName>
    <definedName name="tobez34" localSheetId="9">'[5]Overlap two proportions'!$BB$41</definedName>
    <definedName name="tobez34" localSheetId="6">'[5]Overlap two proportions'!$BB$41</definedName>
    <definedName name="tobez34" localSheetId="10">'[5]Overlap two proportions'!$BB$41</definedName>
    <definedName name="tobez34" localSheetId="7">'[5]Overlap two proportions'!$BB$41</definedName>
    <definedName name="tobez34">'[4]Overlap two proportions'!$BB$41</definedName>
    <definedName name="tobez35" localSheetId="8">'[4]Overlap two proportions'!$BB$42</definedName>
    <definedName name="tobez35" localSheetId="9">'[5]Overlap two proportions'!$BB$42</definedName>
    <definedName name="tobez35" localSheetId="6">'[5]Overlap two proportions'!$BB$42</definedName>
    <definedName name="tobez35" localSheetId="10">'[5]Overlap two proportions'!$BB$42</definedName>
    <definedName name="tobez35" localSheetId="7">'[5]Overlap two proportions'!$BB$42</definedName>
    <definedName name="tobez35">'[4]Overlap two proportions'!$BB$42</definedName>
    <definedName name="tobez36" localSheetId="8">'[4]Overlap two proportions'!$BB$43</definedName>
    <definedName name="tobez36" localSheetId="9">'[5]Overlap two proportions'!$BB$43</definedName>
    <definedName name="tobez36" localSheetId="6">'[5]Overlap two proportions'!$BB$43</definedName>
    <definedName name="tobez36" localSheetId="10">'[5]Overlap two proportions'!$BB$43</definedName>
    <definedName name="tobez36" localSheetId="7">'[5]Overlap two proportions'!$BB$43</definedName>
    <definedName name="tobez36">'[4]Overlap two proportions'!$BB$43</definedName>
    <definedName name="tobez37" localSheetId="8">'[4]Overlap two proportions'!$BB$44</definedName>
    <definedName name="tobez37" localSheetId="9">'[5]Overlap two proportions'!$BB$44</definedName>
    <definedName name="tobez37" localSheetId="6">'[5]Overlap two proportions'!$BB$44</definedName>
    <definedName name="tobez37" localSheetId="10">'[5]Overlap two proportions'!$BB$44</definedName>
    <definedName name="tobez37" localSheetId="7">'[5]Overlap two proportions'!$BB$44</definedName>
    <definedName name="tobez37">'[4]Overlap two proportions'!$BB$44</definedName>
    <definedName name="tobez38" localSheetId="8">'[4]Overlap two proportions'!$BB$45</definedName>
    <definedName name="tobez38" localSheetId="9">'[5]Overlap two proportions'!$BB$45</definedName>
    <definedName name="tobez38" localSheetId="6">'[5]Overlap two proportions'!$BB$45</definedName>
    <definedName name="tobez38" localSheetId="10">'[5]Overlap two proportions'!$BB$45</definedName>
    <definedName name="tobez38" localSheetId="7">'[5]Overlap two proportions'!$BB$45</definedName>
    <definedName name="tobez38">'[4]Overlap two proportions'!$BB$45</definedName>
    <definedName name="tobez39" localSheetId="8">'[4]Overlap two proportions'!$BB$46</definedName>
    <definedName name="tobez39" localSheetId="9">'[5]Overlap two proportions'!$BB$46</definedName>
    <definedName name="tobez39" localSheetId="6">'[5]Overlap two proportions'!$BB$46</definedName>
    <definedName name="tobez39" localSheetId="10">'[5]Overlap two proportions'!$BB$46</definedName>
    <definedName name="tobez39" localSheetId="7">'[5]Overlap two proportions'!$BB$46</definedName>
    <definedName name="tobez39">'[4]Overlap two proportions'!$BB$46</definedName>
    <definedName name="tobez4" localSheetId="8">'[4]Overlap two proportions'!$BB$11</definedName>
    <definedName name="tobez4" localSheetId="9">'[5]Overlap two proportions'!$BB$11</definedName>
    <definedName name="tobez4" localSheetId="6">'[5]Overlap two proportions'!$BB$11</definedName>
    <definedName name="tobez4" localSheetId="10">'[5]Overlap two proportions'!$BB$11</definedName>
    <definedName name="tobez4" localSheetId="7">'[5]Overlap two proportions'!$BB$11</definedName>
    <definedName name="tobez4">'[4]Overlap two proportions'!$BB$11</definedName>
    <definedName name="tobez40" localSheetId="8">'[4]Overlap two proportions'!$BB$47</definedName>
    <definedName name="tobez40" localSheetId="9">'[5]Overlap two proportions'!$BB$47</definedName>
    <definedName name="tobez40" localSheetId="6">'[5]Overlap two proportions'!$BB$47</definedName>
    <definedName name="tobez40" localSheetId="10">'[5]Overlap two proportions'!$BB$47</definedName>
    <definedName name="tobez40" localSheetId="7">'[5]Overlap two proportions'!$BB$47</definedName>
    <definedName name="tobez40">'[4]Overlap two proportions'!$BB$47</definedName>
    <definedName name="tobez41" localSheetId="8">'[4]Overlap two proportions'!$BB$48</definedName>
    <definedName name="tobez41" localSheetId="9">'[5]Overlap two proportions'!$BB$48</definedName>
    <definedName name="tobez41" localSheetId="6">'[5]Overlap two proportions'!$BB$48</definedName>
    <definedName name="tobez41" localSheetId="10">'[5]Overlap two proportions'!$BB$48</definedName>
    <definedName name="tobez41" localSheetId="7">'[5]Overlap two proportions'!$BB$48</definedName>
    <definedName name="tobez41">'[4]Overlap two proportions'!$BB$48</definedName>
    <definedName name="tobez42" localSheetId="8">'[4]Overlap two proportions'!$BB$49</definedName>
    <definedName name="tobez42" localSheetId="9">'[5]Overlap two proportions'!$BB$49</definedName>
    <definedName name="tobez42" localSheetId="6">'[5]Overlap two proportions'!$BB$49</definedName>
    <definedName name="tobez42" localSheetId="10">'[5]Overlap two proportions'!$BB$49</definedName>
    <definedName name="tobez42" localSheetId="7">'[5]Overlap two proportions'!$BB$49</definedName>
    <definedName name="tobez42">'[4]Overlap two proportions'!$BB$49</definedName>
    <definedName name="tobez43" localSheetId="8">'[4]Overlap two proportions'!$BB$50</definedName>
    <definedName name="tobez43" localSheetId="9">'[5]Overlap two proportions'!$BB$50</definedName>
    <definedName name="tobez43" localSheetId="6">'[5]Overlap two proportions'!$BB$50</definedName>
    <definedName name="tobez43" localSheetId="10">'[5]Overlap two proportions'!$BB$50</definedName>
    <definedName name="tobez43" localSheetId="7">'[5]Overlap two proportions'!$BB$50</definedName>
    <definedName name="tobez43">'[4]Overlap two proportions'!$BB$50</definedName>
    <definedName name="tobez44" localSheetId="8">'[4]Overlap two proportions'!$BB$51</definedName>
    <definedName name="tobez44" localSheetId="9">'[5]Overlap two proportions'!$BB$51</definedName>
    <definedName name="tobez44" localSheetId="6">'[5]Overlap two proportions'!$BB$51</definedName>
    <definedName name="tobez44" localSheetId="10">'[5]Overlap two proportions'!$BB$51</definedName>
    <definedName name="tobez44" localSheetId="7">'[5]Overlap two proportions'!$BB$51</definedName>
    <definedName name="tobez44">'[4]Overlap two proportions'!$BB$51</definedName>
    <definedName name="tobez45" localSheetId="8">'[4]Overlap two proportions'!$BB$52</definedName>
    <definedName name="tobez45" localSheetId="9">'[5]Overlap two proportions'!$BB$52</definedName>
    <definedName name="tobez45" localSheetId="6">'[5]Overlap two proportions'!$BB$52</definedName>
    <definedName name="tobez45" localSheetId="10">'[5]Overlap two proportions'!$BB$52</definedName>
    <definedName name="tobez45" localSheetId="7">'[5]Overlap two proportions'!$BB$52</definedName>
    <definedName name="tobez45">'[4]Overlap two proportions'!$BB$52</definedName>
    <definedName name="tobez46" localSheetId="8">'[4]Overlap two proportions'!$BB$53</definedName>
    <definedName name="tobez46" localSheetId="9">'[5]Overlap two proportions'!$BB$53</definedName>
    <definedName name="tobez46" localSheetId="6">'[5]Overlap two proportions'!$BB$53</definedName>
    <definedName name="tobez46" localSheetId="10">'[5]Overlap two proportions'!$BB$53</definedName>
    <definedName name="tobez46" localSheetId="7">'[5]Overlap two proportions'!$BB$53</definedName>
    <definedName name="tobez46">'[4]Overlap two proportions'!$BB$53</definedName>
    <definedName name="tobez47" localSheetId="8">'[4]Overlap two proportions'!$BB$54</definedName>
    <definedName name="tobez47" localSheetId="9">'[5]Overlap two proportions'!$BB$54</definedName>
    <definedName name="tobez47" localSheetId="6">'[5]Overlap two proportions'!$BB$54</definedName>
    <definedName name="tobez47" localSheetId="10">'[5]Overlap two proportions'!$BB$54</definedName>
    <definedName name="tobez47" localSheetId="7">'[5]Overlap two proportions'!$BB$54</definedName>
    <definedName name="tobez47">'[4]Overlap two proportions'!$BB$54</definedName>
    <definedName name="tobez48" localSheetId="8">'[4]Overlap two proportions'!$BB$55</definedName>
    <definedName name="tobez48" localSheetId="9">'[5]Overlap two proportions'!$BB$55</definedName>
    <definedName name="tobez48" localSheetId="6">'[5]Overlap two proportions'!$BB$55</definedName>
    <definedName name="tobez48" localSheetId="10">'[5]Overlap two proportions'!$BB$55</definedName>
    <definedName name="tobez48" localSheetId="7">'[5]Overlap two proportions'!$BB$55</definedName>
    <definedName name="tobez48">'[4]Overlap two proportions'!$BB$55</definedName>
    <definedName name="tobez49" localSheetId="8">'[4]Overlap two proportions'!$BB$56</definedName>
    <definedName name="tobez49" localSheetId="9">'[5]Overlap two proportions'!$BB$56</definedName>
    <definedName name="tobez49" localSheetId="6">'[5]Overlap two proportions'!$BB$56</definedName>
    <definedName name="tobez49" localSheetId="10">'[5]Overlap two proportions'!$BB$56</definedName>
    <definedName name="tobez49" localSheetId="7">'[5]Overlap two proportions'!$BB$56</definedName>
    <definedName name="tobez49">'[4]Overlap two proportions'!$BB$56</definedName>
    <definedName name="tobez5" localSheetId="8">'[4]Overlap two proportions'!$BB$12</definedName>
    <definedName name="tobez5" localSheetId="9">'[5]Overlap two proportions'!$BB$12</definedName>
    <definedName name="tobez5" localSheetId="6">'[5]Overlap two proportions'!$BB$12</definedName>
    <definedName name="tobez5" localSheetId="10">'[5]Overlap two proportions'!$BB$12</definedName>
    <definedName name="tobez5" localSheetId="7">'[5]Overlap two proportions'!$BB$12</definedName>
    <definedName name="tobez5">'[4]Overlap two proportions'!$BB$12</definedName>
    <definedName name="tobez50" localSheetId="8">'[4]Overlap two proportions'!$BB$57</definedName>
    <definedName name="tobez50" localSheetId="9">'[5]Overlap two proportions'!$BB$57</definedName>
    <definedName name="tobez50" localSheetId="6">'[5]Overlap two proportions'!$BB$57</definedName>
    <definedName name="tobez50" localSheetId="10">'[5]Overlap two proportions'!$BB$57</definedName>
    <definedName name="tobez50" localSheetId="7">'[5]Overlap two proportions'!$BB$57</definedName>
    <definedName name="tobez50">'[4]Overlap two proportions'!$BB$57</definedName>
    <definedName name="tobez51" localSheetId="8">'[4]Overlap two proportions'!$BB$58</definedName>
    <definedName name="tobez51" localSheetId="9">'[5]Overlap two proportions'!$BB$58</definedName>
    <definedName name="tobez51" localSheetId="6">'[5]Overlap two proportions'!$BB$58</definedName>
    <definedName name="tobez51" localSheetId="10">'[5]Overlap two proportions'!$BB$58</definedName>
    <definedName name="tobez51" localSheetId="7">'[5]Overlap two proportions'!$BB$58</definedName>
    <definedName name="tobez51">'[4]Overlap two proportions'!$BB$58</definedName>
    <definedName name="tobez52" localSheetId="8">'[4]Overlap two proportions'!$BB$59</definedName>
    <definedName name="tobez52" localSheetId="9">'[5]Overlap two proportions'!$BB$59</definedName>
    <definedName name="tobez52" localSheetId="6">'[5]Overlap two proportions'!$BB$59</definedName>
    <definedName name="tobez52" localSheetId="10">'[5]Overlap two proportions'!$BB$59</definedName>
    <definedName name="tobez52" localSheetId="7">'[5]Overlap two proportions'!$BB$59</definedName>
    <definedName name="tobez52">'[4]Overlap two proportions'!$BB$59</definedName>
    <definedName name="tobez53" localSheetId="8">'[4]Overlap two proportions'!$BB$60</definedName>
    <definedName name="tobez53" localSheetId="9">'[5]Overlap two proportions'!$BB$60</definedName>
    <definedName name="tobez53" localSheetId="6">'[5]Overlap two proportions'!$BB$60</definedName>
    <definedName name="tobez53" localSheetId="10">'[5]Overlap two proportions'!$BB$60</definedName>
    <definedName name="tobez53" localSheetId="7">'[5]Overlap two proportions'!$BB$60</definedName>
    <definedName name="tobez53">'[4]Overlap two proportions'!$BB$60</definedName>
    <definedName name="tobez54" localSheetId="8">'[4]Overlap two proportions'!$BB$61</definedName>
    <definedName name="tobez54" localSheetId="9">'[5]Overlap two proportions'!$BB$61</definedName>
    <definedName name="tobez54" localSheetId="6">'[5]Overlap two proportions'!$BB$61</definedName>
    <definedName name="tobez54" localSheetId="10">'[5]Overlap two proportions'!$BB$61</definedName>
    <definedName name="tobez54" localSheetId="7">'[5]Overlap two proportions'!$BB$61</definedName>
    <definedName name="tobez54">'[4]Overlap two proportions'!$BB$61</definedName>
    <definedName name="tobez55" localSheetId="8">'[4]Overlap two proportions'!$BB$62</definedName>
    <definedName name="tobez55" localSheetId="9">'[5]Overlap two proportions'!$BB$62</definedName>
    <definedName name="tobez55" localSheetId="6">'[5]Overlap two proportions'!$BB$62</definedName>
    <definedName name="tobez55" localSheetId="10">'[5]Overlap two proportions'!$BB$62</definedName>
    <definedName name="tobez55" localSheetId="7">'[5]Overlap two proportions'!$BB$62</definedName>
    <definedName name="tobez55">'[4]Overlap two proportions'!$BB$62</definedName>
    <definedName name="tobez56" localSheetId="8">'[4]Overlap two proportions'!$BB$63</definedName>
    <definedName name="tobez56" localSheetId="9">'[5]Overlap two proportions'!$BB$63</definedName>
    <definedName name="tobez56" localSheetId="6">'[5]Overlap two proportions'!$BB$63</definedName>
    <definedName name="tobez56" localSheetId="10">'[5]Overlap two proportions'!$BB$63</definedName>
    <definedName name="tobez56" localSheetId="7">'[5]Overlap two proportions'!$BB$63</definedName>
    <definedName name="tobez56">'[4]Overlap two proportions'!$BB$63</definedName>
    <definedName name="tobez57" localSheetId="8">'[4]Overlap two proportions'!$BB$64</definedName>
    <definedName name="tobez57" localSheetId="9">'[5]Overlap two proportions'!$BB$64</definedName>
    <definedName name="tobez57" localSheetId="6">'[5]Overlap two proportions'!$BB$64</definedName>
    <definedName name="tobez57" localSheetId="10">'[5]Overlap two proportions'!$BB$64</definedName>
    <definedName name="tobez57" localSheetId="7">'[5]Overlap two proportions'!$BB$64</definedName>
    <definedName name="tobez57">'[4]Overlap two proportions'!$BB$64</definedName>
    <definedName name="tobez58" localSheetId="8">'[4]Overlap two proportions'!$BB$65</definedName>
    <definedName name="tobez58" localSheetId="9">'[5]Overlap two proportions'!$BB$65</definedName>
    <definedName name="tobez58" localSheetId="6">'[5]Overlap two proportions'!$BB$65</definedName>
    <definedName name="tobez58" localSheetId="10">'[5]Overlap two proportions'!$BB$65</definedName>
    <definedName name="tobez58" localSheetId="7">'[5]Overlap two proportions'!$BB$65</definedName>
    <definedName name="tobez58">'[4]Overlap two proportions'!$BB$65</definedName>
    <definedName name="tobez59" localSheetId="8">'[4]Overlap two proportions'!$BB$66</definedName>
    <definedName name="tobez59" localSheetId="9">'[5]Overlap two proportions'!$BB$66</definedName>
    <definedName name="tobez59" localSheetId="6">'[5]Overlap two proportions'!$BB$66</definedName>
    <definedName name="tobez59" localSheetId="10">'[5]Overlap two proportions'!$BB$66</definedName>
    <definedName name="tobez59" localSheetId="7">'[5]Overlap two proportions'!$BB$66</definedName>
    <definedName name="tobez59">'[4]Overlap two proportions'!$BB$66</definedName>
    <definedName name="tobez6" localSheetId="8">'[4]Overlap two proportions'!$BB$13</definedName>
    <definedName name="tobez6" localSheetId="9">'[5]Overlap two proportions'!$BB$13</definedName>
    <definedName name="tobez6" localSheetId="6">'[5]Overlap two proportions'!$BB$13</definedName>
    <definedName name="tobez6" localSheetId="10">'[5]Overlap two proportions'!$BB$13</definedName>
    <definedName name="tobez6" localSheetId="7">'[5]Overlap two proportions'!$BB$13</definedName>
    <definedName name="tobez6">'[4]Overlap two proportions'!$BB$13</definedName>
    <definedName name="tobez60" localSheetId="8">'[4]Overlap two proportions'!$BB$67</definedName>
    <definedName name="tobez60" localSheetId="9">'[5]Overlap two proportions'!$BB$67</definedName>
    <definedName name="tobez60" localSheetId="6">'[5]Overlap two proportions'!$BB$67</definedName>
    <definedName name="tobez60" localSheetId="10">'[5]Overlap two proportions'!$BB$67</definedName>
    <definedName name="tobez60" localSheetId="7">'[5]Overlap two proportions'!$BB$67</definedName>
    <definedName name="tobez60">'[4]Overlap two proportions'!$BB$67</definedName>
    <definedName name="tobez7" localSheetId="8">'[4]Overlap two proportions'!$BB$14</definedName>
    <definedName name="tobez7" localSheetId="9">'[5]Overlap two proportions'!$BB$14</definedName>
    <definedName name="tobez7" localSheetId="6">'[5]Overlap two proportions'!$BB$14</definedName>
    <definedName name="tobez7" localSheetId="10">'[5]Overlap two proportions'!$BB$14</definedName>
    <definedName name="tobez7" localSheetId="7">'[5]Overlap two proportions'!$BB$14</definedName>
    <definedName name="tobez7">'[4]Overlap two proportions'!$BB$14</definedName>
    <definedName name="tobez8" localSheetId="8">'[4]Overlap two proportions'!$BB$15</definedName>
    <definedName name="tobez8" localSheetId="9">'[5]Overlap two proportions'!$BB$15</definedName>
    <definedName name="tobez8" localSheetId="6">'[5]Overlap two proportions'!$BB$15</definedName>
    <definedName name="tobez8" localSheetId="10">'[5]Overlap two proportions'!$BB$15</definedName>
    <definedName name="tobez8" localSheetId="7">'[5]Overlap two proportions'!$BB$15</definedName>
    <definedName name="tobez8">'[4]Overlap two proportions'!$BB$15</definedName>
    <definedName name="tobez9" localSheetId="8">'[4]Overlap two proportions'!$BB$16</definedName>
    <definedName name="tobez9" localSheetId="9">'[5]Overlap two proportions'!$BB$16</definedName>
    <definedName name="tobez9" localSheetId="6">'[5]Overlap two proportions'!$BB$16</definedName>
    <definedName name="tobez9" localSheetId="10">'[5]Overlap two proportions'!$BB$16</definedName>
    <definedName name="tobez9" localSheetId="7">'[5]Overlap two proportions'!$BB$16</definedName>
    <definedName name="tobez9">'[4]Overlap two proportions'!$BB$16</definedName>
    <definedName name="tochange">'[8]See r'!$A$7:$A$8</definedName>
    <definedName name="topleft" localSheetId="5">#REF!</definedName>
    <definedName name="topleft" localSheetId="4">#REF!</definedName>
    <definedName name="topleft" localSheetId="8">#REF!</definedName>
    <definedName name="topleft" localSheetId="9">#REF!</definedName>
    <definedName name="topleft" localSheetId="6">#REF!</definedName>
    <definedName name="topleft" localSheetId="0">#REF!</definedName>
    <definedName name="topleft" localSheetId="2">#REF!</definedName>
    <definedName name="topleft" localSheetId="3">#REF!</definedName>
    <definedName name="topleft" localSheetId="10">#REF!</definedName>
    <definedName name="topleft" localSheetId="7">#REF!</definedName>
    <definedName name="topleft">Describe!$C$1</definedName>
    <definedName name="topleftg">'[7]Precision one'!$U$7</definedName>
    <definedName name="topy" localSheetId="8">[6]Describe!$AR$35</definedName>
    <definedName name="topy" localSheetId="9">[6]Describe!$AR$35</definedName>
    <definedName name="topy" localSheetId="6">[6]Describe!$AR$35</definedName>
    <definedName name="topy" localSheetId="10">[6]Describe!$AR$35</definedName>
    <definedName name="topy" localSheetId="7">[6]Describe!$AR$35</definedName>
    <definedName name="topy">Describe!$AY$35</definedName>
    <definedName name="Total1" localSheetId="8">'[4]Two proportions'!$G$13</definedName>
    <definedName name="Total1" localSheetId="9">'[5]Two proportions'!$G$13</definedName>
    <definedName name="Total1" localSheetId="6">'[5]Two proportions'!$G$13</definedName>
    <definedName name="Total1" localSheetId="10">'[5]Two proportions'!$G$13</definedName>
    <definedName name="Total1" localSheetId="7">'[5]Two proportions'!$G$13</definedName>
    <definedName name="Total1">'[4]Two proportions'!$G$13</definedName>
    <definedName name="Total2" localSheetId="8">'[4]Two proportions'!$I$13</definedName>
    <definedName name="Total2" localSheetId="9">'[5]Two proportions'!$I$13</definedName>
    <definedName name="Total2" localSheetId="6">'[5]Two proportions'!$I$13</definedName>
    <definedName name="Total2" localSheetId="10">'[5]Two proportions'!$I$13</definedName>
    <definedName name="Total2" localSheetId="7">'[5]Two proportions'!$I$13</definedName>
    <definedName name="Total2">'[4]Two proportions'!$I$13</definedName>
    <definedName name="ttbz1" localSheetId="8">'[4]Overlap two correlations (n1)'!$T$5</definedName>
    <definedName name="ttbz1" localSheetId="9">'[5]Overlap two correlations (n1)'!$T$5</definedName>
    <definedName name="ttbz1" localSheetId="6">'[5]Overlap two correlations (n1)'!$T$5</definedName>
    <definedName name="ttbz1" localSheetId="10">'[5]Overlap two correlations (n1)'!$T$5</definedName>
    <definedName name="ttbz1" localSheetId="7">'[5]Overlap two correlations (n1)'!$T$5</definedName>
    <definedName name="ttbz1">'[4]Overlap two correlations (n1)'!$T$5</definedName>
    <definedName name="ttbz10" localSheetId="8">'[4]Overlap two correlations (n1)'!$T$14</definedName>
    <definedName name="ttbz10" localSheetId="9">'[5]Overlap two correlations (n1)'!$T$14</definedName>
    <definedName name="ttbz10" localSheetId="6">'[5]Overlap two correlations (n1)'!$T$14</definedName>
    <definedName name="ttbz10" localSheetId="10">'[5]Overlap two correlations (n1)'!$T$14</definedName>
    <definedName name="ttbz10" localSheetId="7">'[5]Overlap two correlations (n1)'!$T$14</definedName>
    <definedName name="ttbz10">'[4]Overlap two correlations (n1)'!$T$14</definedName>
    <definedName name="ttbz11" localSheetId="8">'[4]Overlap two correlations (n1)'!$T$15</definedName>
    <definedName name="ttbz11" localSheetId="9">'[5]Overlap two correlations (n1)'!$T$15</definedName>
    <definedName name="ttbz11" localSheetId="6">'[5]Overlap two correlations (n1)'!$T$15</definedName>
    <definedName name="ttbz11" localSheetId="10">'[5]Overlap two correlations (n1)'!$T$15</definedName>
    <definedName name="ttbz11" localSheetId="7">'[5]Overlap two correlations (n1)'!$T$15</definedName>
    <definedName name="ttbz11">'[4]Overlap two correlations (n1)'!$T$15</definedName>
    <definedName name="ttbz12" localSheetId="8">'[4]Overlap two correlations (n1)'!$T$16</definedName>
    <definedName name="ttbz12" localSheetId="9">'[5]Overlap two correlations (n1)'!$T$16</definedName>
    <definedName name="ttbz12" localSheetId="6">'[5]Overlap two correlations (n1)'!$T$16</definedName>
    <definedName name="ttbz12" localSheetId="10">'[5]Overlap two correlations (n1)'!$T$16</definedName>
    <definedName name="ttbz12" localSheetId="7">'[5]Overlap two correlations (n1)'!$T$16</definedName>
    <definedName name="ttbz12">'[4]Overlap two correlations (n1)'!$T$16</definedName>
    <definedName name="ttbz13" localSheetId="8">'[4]Overlap two correlations (n1)'!$T$17</definedName>
    <definedName name="ttbz13" localSheetId="9">'[5]Overlap two correlations (n1)'!$T$17</definedName>
    <definedName name="ttbz13" localSheetId="6">'[5]Overlap two correlations (n1)'!$T$17</definedName>
    <definedName name="ttbz13" localSheetId="10">'[5]Overlap two correlations (n1)'!$T$17</definedName>
    <definedName name="ttbz13" localSheetId="7">'[5]Overlap two correlations (n1)'!$T$17</definedName>
    <definedName name="ttbz13">'[4]Overlap two correlations (n1)'!$T$17</definedName>
    <definedName name="ttbz14" localSheetId="8">'[4]Overlap two correlations (n1)'!$T$18</definedName>
    <definedName name="ttbz14" localSheetId="9">'[5]Overlap two correlations (n1)'!$T$18</definedName>
    <definedName name="ttbz14" localSheetId="6">'[5]Overlap two correlations (n1)'!$T$18</definedName>
    <definedName name="ttbz14" localSheetId="10">'[5]Overlap two correlations (n1)'!$T$18</definedName>
    <definedName name="ttbz14" localSheetId="7">'[5]Overlap two correlations (n1)'!$T$18</definedName>
    <definedName name="ttbz14">'[4]Overlap two correlations (n1)'!$T$18</definedName>
    <definedName name="ttbz15" localSheetId="8">'[4]Overlap two correlations (n1)'!$T$19</definedName>
    <definedName name="ttbz15" localSheetId="9">'[5]Overlap two correlations (n1)'!$T$19</definedName>
    <definedName name="ttbz15" localSheetId="6">'[5]Overlap two correlations (n1)'!$T$19</definedName>
    <definedName name="ttbz15" localSheetId="10">'[5]Overlap two correlations (n1)'!$T$19</definedName>
    <definedName name="ttbz15" localSheetId="7">'[5]Overlap two correlations (n1)'!$T$19</definedName>
    <definedName name="ttbz15">'[4]Overlap two correlations (n1)'!$T$19</definedName>
    <definedName name="ttbz16" localSheetId="8">'[4]Overlap two correlations (n1)'!$T$20</definedName>
    <definedName name="ttbz16" localSheetId="9">'[5]Overlap two correlations (n1)'!$T$20</definedName>
    <definedName name="ttbz16" localSheetId="6">'[5]Overlap two correlations (n1)'!$T$20</definedName>
    <definedName name="ttbz16" localSheetId="10">'[5]Overlap two correlations (n1)'!$T$20</definedName>
    <definedName name="ttbz16" localSheetId="7">'[5]Overlap two correlations (n1)'!$T$20</definedName>
    <definedName name="ttbz16">'[4]Overlap two correlations (n1)'!$T$20</definedName>
    <definedName name="ttbz17" localSheetId="8">'[4]Overlap two correlations (n1)'!$T$21</definedName>
    <definedName name="ttbz17" localSheetId="9">'[5]Overlap two correlations (n1)'!$T$21</definedName>
    <definedName name="ttbz17" localSheetId="6">'[5]Overlap two correlations (n1)'!$T$21</definedName>
    <definedName name="ttbz17" localSheetId="10">'[5]Overlap two correlations (n1)'!$T$21</definedName>
    <definedName name="ttbz17" localSheetId="7">'[5]Overlap two correlations (n1)'!$T$21</definedName>
    <definedName name="ttbz17">'[4]Overlap two correlations (n1)'!$T$21</definedName>
    <definedName name="ttbz18" localSheetId="8">'[4]Overlap two correlations (n1)'!$T$22</definedName>
    <definedName name="ttbz18" localSheetId="9">'[5]Overlap two correlations (n1)'!$T$22</definedName>
    <definedName name="ttbz18" localSheetId="6">'[5]Overlap two correlations (n1)'!$T$22</definedName>
    <definedName name="ttbz18" localSheetId="10">'[5]Overlap two correlations (n1)'!$T$22</definedName>
    <definedName name="ttbz18" localSheetId="7">'[5]Overlap two correlations (n1)'!$T$22</definedName>
    <definedName name="ttbz18">'[4]Overlap two correlations (n1)'!$T$22</definedName>
    <definedName name="ttbz19" localSheetId="8">'[4]Overlap two correlations (n1)'!$T$23</definedName>
    <definedName name="ttbz19" localSheetId="9">'[5]Overlap two correlations (n1)'!$T$23</definedName>
    <definedName name="ttbz19" localSheetId="6">'[5]Overlap two correlations (n1)'!$T$23</definedName>
    <definedName name="ttbz19" localSheetId="10">'[5]Overlap two correlations (n1)'!$T$23</definedName>
    <definedName name="ttbz19" localSheetId="7">'[5]Overlap two correlations (n1)'!$T$23</definedName>
    <definedName name="ttbz19">'[4]Overlap two correlations (n1)'!$T$23</definedName>
    <definedName name="ttbz2" localSheetId="8">'[4]Overlap two correlations (n1)'!$T$6</definedName>
    <definedName name="ttbz2" localSheetId="9">'[5]Overlap two correlations (n1)'!$T$6</definedName>
    <definedName name="ttbz2" localSheetId="6">'[5]Overlap two correlations (n1)'!$T$6</definedName>
    <definedName name="ttbz2" localSheetId="10">'[5]Overlap two correlations (n1)'!$T$6</definedName>
    <definedName name="ttbz2" localSheetId="7">'[5]Overlap two correlations (n1)'!$T$6</definedName>
    <definedName name="ttbz2">'[4]Overlap two correlations (n1)'!$T$6</definedName>
    <definedName name="ttbz20" localSheetId="8">'[4]Overlap two correlations (n1)'!$T$24</definedName>
    <definedName name="ttbz20" localSheetId="9">'[5]Overlap two correlations (n1)'!$T$24</definedName>
    <definedName name="ttbz20" localSheetId="6">'[5]Overlap two correlations (n1)'!$T$24</definedName>
    <definedName name="ttbz20" localSheetId="10">'[5]Overlap two correlations (n1)'!$T$24</definedName>
    <definedName name="ttbz20" localSheetId="7">'[5]Overlap two correlations (n1)'!$T$24</definedName>
    <definedName name="ttbz20">'[4]Overlap two correlations (n1)'!$T$24</definedName>
    <definedName name="ttbz21" localSheetId="8">'[4]Overlap two correlations (n1)'!$T$25</definedName>
    <definedName name="ttbz21" localSheetId="9">'[5]Overlap two correlations (n1)'!$T$25</definedName>
    <definedName name="ttbz21" localSheetId="6">'[5]Overlap two correlations (n1)'!$T$25</definedName>
    <definedName name="ttbz21" localSheetId="10">'[5]Overlap two correlations (n1)'!$T$25</definedName>
    <definedName name="ttbz21" localSheetId="7">'[5]Overlap two correlations (n1)'!$T$25</definedName>
    <definedName name="ttbz21">'[4]Overlap two correlations (n1)'!$T$25</definedName>
    <definedName name="ttbz22" localSheetId="8">'[4]Overlap two correlations (n1)'!$T$26</definedName>
    <definedName name="ttbz22" localSheetId="9">'[5]Overlap two correlations (n1)'!$T$26</definedName>
    <definedName name="ttbz22" localSheetId="6">'[5]Overlap two correlations (n1)'!$T$26</definedName>
    <definedName name="ttbz22" localSheetId="10">'[5]Overlap two correlations (n1)'!$T$26</definedName>
    <definedName name="ttbz22" localSheetId="7">'[5]Overlap two correlations (n1)'!$T$26</definedName>
    <definedName name="ttbz22">'[4]Overlap two correlations (n1)'!$T$26</definedName>
    <definedName name="ttbz23" localSheetId="8">'[4]Overlap two correlations (n1)'!$T$27</definedName>
    <definedName name="ttbz23" localSheetId="9">'[5]Overlap two correlations (n1)'!$T$27</definedName>
    <definedName name="ttbz23" localSheetId="6">'[5]Overlap two correlations (n1)'!$T$27</definedName>
    <definedName name="ttbz23" localSheetId="10">'[5]Overlap two correlations (n1)'!$T$27</definedName>
    <definedName name="ttbz23" localSheetId="7">'[5]Overlap two correlations (n1)'!$T$27</definedName>
    <definedName name="ttbz23">'[4]Overlap two correlations (n1)'!$T$27</definedName>
    <definedName name="ttbz24" localSheetId="8">'[4]Overlap two correlations (n1)'!$T$28</definedName>
    <definedName name="ttbz24" localSheetId="9">'[5]Overlap two correlations (n1)'!$T$28</definedName>
    <definedName name="ttbz24" localSheetId="6">'[5]Overlap two correlations (n1)'!$T$28</definedName>
    <definedName name="ttbz24" localSheetId="10">'[5]Overlap two correlations (n1)'!$T$28</definedName>
    <definedName name="ttbz24" localSheetId="7">'[5]Overlap two correlations (n1)'!$T$28</definedName>
    <definedName name="ttbz24">'[4]Overlap two correlations (n1)'!$T$28</definedName>
    <definedName name="ttbz25" localSheetId="8">'[4]Overlap two correlations (n1)'!$T$29</definedName>
    <definedName name="ttbz25" localSheetId="9">'[5]Overlap two correlations (n1)'!$T$29</definedName>
    <definedName name="ttbz25" localSheetId="6">'[5]Overlap two correlations (n1)'!$T$29</definedName>
    <definedName name="ttbz25" localSheetId="10">'[5]Overlap two correlations (n1)'!$T$29</definedName>
    <definedName name="ttbz25" localSheetId="7">'[5]Overlap two correlations (n1)'!$T$29</definedName>
    <definedName name="ttbz25">'[4]Overlap two correlations (n1)'!$T$29</definedName>
    <definedName name="ttbz26" localSheetId="8">'[4]Overlap two correlations (n1)'!$T$30</definedName>
    <definedName name="ttbz26" localSheetId="9">'[5]Overlap two correlations (n1)'!$T$30</definedName>
    <definedName name="ttbz26" localSheetId="6">'[5]Overlap two correlations (n1)'!$T$30</definedName>
    <definedName name="ttbz26" localSheetId="10">'[5]Overlap two correlations (n1)'!$T$30</definedName>
    <definedName name="ttbz26" localSheetId="7">'[5]Overlap two correlations (n1)'!$T$30</definedName>
    <definedName name="ttbz26">'[4]Overlap two correlations (n1)'!$T$30</definedName>
    <definedName name="ttbz27" localSheetId="8">'[4]Overlap two correlations (n1)'!$T$31</definedName>
    <definedName name="ttbz27" localSheetId="9">'[5]Overlap two correlations (n1)'!$T$31</definedName>
    <definedName name="ttbz27" localSheetId="6">'[5]Overlap two correlations (n1)'!$T$31</definedName>
    <definedName name="ttbz27" localSheetId="10">'[5]Overlap two correlations (n1)'!$T$31</definedName>
    <definedName name="ttbz27" localSheetId="7">'[5]Overlap two correlations (n1)'!$T$31</definedName>
    <definedName name="ttbz27">'[4]Overlap two correlations (n1)'!$T$31</definedName>
    <definedName name="ttbz28" localSheetId="8">'[4]Overlap two correlations (n1)'!$T$32</definedName>
    <definedName name="ttbz28" localSheetId="9">'[5]Overlap two correlations (n1)'!$T$32</definedName>
    <definedName name="ttbz28" localSheetId="6">'[5]Overlap two correlations (n1)'!$T$32</definedName>
    <definedName name="ttbz28" localSheetId="10">'[5]Overlap two correlations (n1)'!$T$32</definedName>
    <definedName name="ttbz28" localSheetId="7">'[5]Overlap two correlations (n1)'!$T$32</definedName>
    <definedName name="ttbz28">'[4]Overlap two correlations (n1)'!$T$32</definedName>
    <definedName name="ttbz29" localSheetId="8">'[4]Overlap two correlations (n1)'!$T$33</definedName>
    <definedName name="ttbz29" localSheetId="9">'[5]Overlap two correlations (n1)'!$T$33</definedName>
    <definedName name="ttbz29" localSheetId="6">'[5]Overlap two correlations (n1)'!$T$33</definedName>
    <definedName name="ttbz29" localSheetId="10">'[5]Overlap two correlations (n1)'!$T$33</definedName>
    <definedName name="ttbz29" localSheetId="7">'[5]Overlap two correlations (n1)'!$T$33</definedName>
    <definedName name="ttbz29">'[4]Overlap two correlations (n1)'!$T$33</definedName>
    <definedName name="ttbz3" localSheetId="8">'[4]Overlap two correlations (n1)'!$T$7</definedName>
    <definedName name="ttbz3" localSheetId="9">'[5]Overlap two correlations (n1)'!$T$7</definedName>
    <definedName name="ttbz3" localSheetId="6">'[5]Overlap two correlations (n1)'!$T$7</definedName>
    <definedName name="ttbz3" localSheetId="10">'[5]Overlap two correlations (n1)'!$T$7</definedName>
    <definedName name="ttbz3" localSheetId="7">'[5]Overlap two correlations (n1)'!$T$7</definedName>
    <definedName name="ttbz3">'[4]Overlap two correlations (n1)'!$T$7</definedName>
    <definedName name="ttbz30" localSheetId="8">'[4]Overlap two correlations (n1)'!$T$34</definedName>
    <definedName name="ttbz30" localSheetId="9">'[5]Overlap two correlations (n1)'!$T$34</definedName>
    <definedName name="ttbz30" localSheetId="6">'[5]Overlap two correlations (n1)'!$T$34</definedName>
    <definedName name="ttbz30" localSheetId="10">'[5]Overlap two correlations (n1)'!$T$34</definedName>
    <definedName name="ttbz30" localSheetId="7">'[5]Overlap two correlations (n1)'!$T$34</definedName>
    <definedName name="ttbz30">'[4]Overlap two correlations (n1)'!$T$34</definedName>
    <definedName name="ttbz31" localSheetId="8">'[4]Overlap two correlations (n1)'!$T$35</definedName>
    <definedName name="ttbz31" localSheetId="9">'[5]Overlap two correlations (n1)'!$T$35</definedName>
    <definedName name="ttbz31" localSheetId="6">'[5]Overlap two correlations (n1)'!$T$35</definedName>
    <definedName name="ttbz31" localSheetId="10">'[5]Overlap two correlations (n1)'!$T$35</definedName>
    <definedName name="ttbz31" localSheetId="7">'[5]Overlap two correlations (n1)'!$T$35</definedName>
    <definedName name="ttbz31">'[4]Overlap two correlations (n1)'!$T$35</definedName>
    <definedName name="ttbz32" localSheetId="8">'[4]Overlap two correlations (n1)'!$T$36</definedName>
    <definedName name="ttbz32" localSheetId="9">'[5]Overlap two correlations (n1)'!$T$36</definedName>
    <definedName name="ttbz32" localSheetId="6">'[5]Overlap two correlations (n1)'!$T$36</definedName>
    <definedName name="ttbz32" localSheetId="10">'[5]Overlap two correlations (n1)'!$T$36</definedName>
    <definedName name="ttbz32" localSheetId="7">'[5]Overlap two correlations (n1)'!$T$36</definedName>
    <definedName name="ttbz32">'[4]Overlap two correlations (n1)'!$T$36</definedName>
    <definedName name="ttbz33" localSheetId="8">'[4]Overlap two correlations (n1)'!$T$37</definedName>
    <definedName name="ttbz33" localSheetId="9">'[5]Overlap two correlations (n1)'!$T$37</definedName>
    <definedName name="ttbz33" localSheetId="6">'[5]Overlap two correlations (n1)'!$T$37</definedName>
    <definedName name="ttbz33" localSheetId="10">'[5]Overlap two correlations (n1)'!$T$37</definedName>
    <definedName name="ttbz33" localSheetId="7">'[5]Overlap two correlations (n1)'!$T$37</definedName>
    <definedName name="ttbz33">'[4]Overlap two correlations (n1)'!$T$37</definedName>
    <definedName name="ttbz34" localSheetId="8">'[4]Overlap two correlations (n1)'!$T$38</definedName>
    <definedName name="ttbz34" localSheetId="9">'[5]Overlap two correlations (n1)'!$T$38</definedName>
    <definedName name="ttbz34" localSheetId="6">'[5]Overlap two correlations (n1)'!$T$38</definedName>
    <definedName name="ttbz34" localSheetId="10">'[5]Overlap two correlations (n1)'!$T$38</definedName>
    <definedName name="ttbz34" localSheetId="7">'[5]Overlap two correlations (n1)'!$T$38</definedName>
    <definedName name="ttbz34">'[4]Overlap two correlations (n1)'!$T$38</definedName>
    <definedName name="ttbz35" localSheetId="8">'[4]Overlap two correlations (n1)'!$T$39</definedName>
    <definedName name="ttbz35" localSheetId="9">'[5]Overlap two correlations (n1)'!$T$39</definedName>
    <definedName name="ttbz35" localSheetId="6">'[5]Overlap two correlations (n1)'!$T$39</definedName>
    <definedName name="ttbz35" localSheetId="10">'[5]Overlap two correlations (n1)'!$T$39</definedName>
    <definedName name="ttbz35" localSheetId="7">'[5]Overlap two correlations (n1)'!$T$39</definedName>
    <definedName name="ttbz35">'[4]Overlap two correlations (n1)'!$T$39</definedName>
    <definedName name="ttbz36" localSheetId="8">'[4]Overlap two correlations (n1)'!$T$40</definedName>
    <definedName name="ttbz36" localSheetId="9">'[5]Overlap two correlations (n1)'!$T$40</definedName>
    <definedName name="ttbz36" localSheetId="6">'[5]Overlap two correlations (n1)'!$T$40</definedName>
    <definedName name="ttbz36" localSheetId="10">'[5]Overlap two correlations (n1)'!$T$40</definedName>
    <definedName name="ttbz36" localSheetId="7">'[5]Overlap two correlations (n1)'!$T$40</definedName>
    <definedName name="ttbz36">'[4]Overlap two correlations (n1)'!$T$40</definedName>
    <definedName name="ttbz37" localSheetId="8">'[4]Overlap two correlations (n1)'!$T$41</definedName>
    <definedName name="ttbz37" localSheetId="9">'[5]Overlap two correlations (n1)'!$T$41</definedName>
    <definedName name="ttbz37" localSheetId="6">'[5]Overlap two correlations (n1)'!$T$41</definedName>
    <definedName name="ttbz37" localSheetId="10">'[5]Overlap two correlations (n1)'!$T$41</definedName>
    <definedName name="ttbz37" localSheetId="7">'[5]Overlap two correlations (n1)'!$T$41</definedName>
    <definedName name="ttbz37">'[4]Overlap two correlations (n1)'!$T$41</definedName>
    <definedName name="ttbz38" localSheetId="8">'[4]Overlap two correlations (n1)'!$T$42</definedName>
    <definedName name="ttbz38" localSheetId="9">'[5]Overlap two correlations (n1)'!$T$42</definedName>
    <definedName name="ttbz38" localSheetId="6">'[5]Overlap two correlations (n1)'!$T$42</definedName>
    <definedName name="ttbz38" localSheetId="10">'[5]Overlap two correlations (n1)'!$T$42</definedName>
    <definedName name="ttbz38" localSheetId="7">'[5]Overlap two correlations (n1)'!$T$42</definedName>
    <definedName name="ttbz38">'[4]Overlap two correlations (n1)'!$T$42</definedName>
    <definedName name="ttbz39" localSheetId="8">'[4]Overlap two correlations (n1)'!$T$43</definedName>
    <definedName name="ttbz39" localSheetId="9">'[5]Overlap two correlations (n1)'!$T$43</definedName>
    <definedName name="ttbz39" localSheetId="6">'[5]Overlap two correlations (n1)'!$T$43</definedName>
    <definedName name="ttbz39" localSheetId="10">'[5]Overlap two correlations (n1)'!$T$43</definedName>
    <definedName name="ttbz39" localSheetId="7">'[5]Overlap two correlations (n1)'!$T$43</definedName>
    <definedName name="ttbz39">'[4]Overlap two correlations (n1)'!$T$43</definedName>
    <definedName name="ttbz4" localSheetId="8">'[4]Overlap two correlations (n1)'!$T$8</definedName>
    <definedName name="ttbz4" localSheetId="9">'[5]Overlap two correlations (n1)'!$T$8</definedName>
    <definedName name="ttbz4" localSheetId="6">'[5]Overlap two correlations (n1)'!$T$8</definedName>
    <definedName name="ttbz4" localSheetId="10">'[5]Overlap two correlations (n1)'!$T$8</definedName>
    <definedName name="ttbz4" localSheetId="7">'[5]Overlap two correlations (n1)'!$T$8</definedName>
    <definedName name="ttbz4">'[4]Overlap two correlations (n1)'!$T$8</definedName>
    <definedName name="ttbz40" localSheetId="8">'[4]Overlap two correlations (n1)'!$T$44</definedName>
    <definedName name="ttbz40" localSheetId="9">'[5]Overlap two correlations (n1)'!$T$44</definedName>
    <definedName name="ttbz40" localSheetId="6">'[5]Overlap two correlations (n1)'!$T$44</definedName>
    <definedName name="ttbz40" localSheetId="10">'[5]Overlap two correlations (n1)'!$T$44</definedName>
    <definedName name="ttbz40" localSheetId="7">'[5]Overlap two correlations (n1)'!$T$44</definedName>
    <definedName name="ttbz40">'[4]Overlap two correlations (n1)'!$T$44</definedName>
    <definedName name="ttbz41" localSheetId="8">'[4]Overlap two correlations (n1)'!$T$45</definedName>
    <definedName name="ttbz41" localSheetId="9">'[5]Overlap two correlations (n1)'!$T$45</definedName>
    <definedName name="ttbz41" localSheetId="6">'[5]Overlap two correlations (n1)'!$T$45</definedName>
    <definedName name="ttbz41" localSheetId="10">'[5]Overlap two correlations (n1)'!$T$45</definedName>
    <definedName name="ttbz41" localSheetId="7">'[5]Overlap two correlations (n1)'!$T$45</definedName>
    <definedName name="ttbz41">'[4]Overlap two correlations (n1)'!$T$45</definedName>
    <definedName name="ttbz42" localSheetId="8">'[4]Overlap two correlations (n1)'!$T$46</definedName>
    <definedName name="ttbz42" localSheetId="9">'[5]Overlap two correlations (n1)'!$T$46</definedName>
    <definedName name="ttbz42" localSheetId="6">'[5]Overlap two correlations (n1)'!$T$46</definedName>
    <definedName name="ttbz42" localSheetId="10">'[5]Overlap two correlations (n1)'!$T$46</definedName>
    <definedName name="ttbz42" localSheetId="7">'[5]Overlap two correlations (n1)'!$T$46</definedName>
    <definedName name="ttbz42">'[4]Overlap two correlations (n1)'!$T$46</definedName>
    <definedName name="ttbz43" localSheetId="8">'[4]Overlap two correlations (n1)'!$T$47</definedName>
    <definedName name="ttbz43" localSheetId="9">'[5]Overlap two correlations (n1)'!$T$47</definedName>
    <definedName name="ttbz43" localSheetId="6">'[5]Overlap two correlations (n1)'!$T$47</definedName>
    <definedName name="ttbz43" localSheetId="10">'[5]Overlap two correlations (n1)'!$T$47</definedName>
    <definedName name="ttbz43" localSheetId="7">'[5]Overlap two correlations (n1)'!$T$47</definedName>
    <definedName name="ttbz43">'[4]Overlap two correlations (n1)'!$T$47</definedName>
    <definedName name="ttbz44" localSheetId="8">'[4]Overlap two correlations (n1)'!$T$48</definedName>
    <definedName name="ttbz44" localSheetId="9">'[5]Overlap two correlations (n1)'!$T$48</definedName>
    <definedName name="ttbz44" localSheetId="6">'[5]Overlap two correlations (n1)'!$T$48</definedName>
    <definedName name="ttbz44" localSheetId="10">'[5]Overlap two correlations (n1)'!$T$48</definedName>
    <definedName name="ttbz44" localSheetId="7">'[5]Overlap two correlations (n1)'!$T$48</definedName>
    <definedName name="ttbz44">'[4]Overlap two correlations (n1)'!$T$48</definedName>
    <definedName name="ttbz45" localSheetId="8">'[4]Overlap two correlations (n1)'!$T$49</definedName>
    <definedName name="ttbz45" localSheetId="9">'[5]Overlap two correlations (n1)'!$T$49</definedName>
    <definedName name="ttbz45" localSheetId="6">'[5]Overlap two correlations (n1)'!$T$49</definedName>
    <definedName name="ttbz45" localSheetId="10">'[5]Overlap two correlations (n1)'!$T$49</definedName>
    <definedName name="ttbz45" localSheetId="7">'[5]Overlap two correlations (n1)'!$T$49</definedName>
    <definedName name="ttbz45">'[4]Overlap two correlations (n1)'!$T$49</definedName>
    <definedName name="ttbz46" localSheetId="8">'[4]Overlap two correlations (n1)'!$T$50</definedName>
    <definedName name="ttbz46" localSheetId="9">'[5]Overlap two correlations (n1)'!$T$50</definedName>
    <definedName name="ttbz46" localSheetId="6">'[5]Overlap two correlations (n1)'!$T$50</definedName>
    <definedName name="ttbz46" localSheetId="10">'[5]Overlap two correlations (n1)'!$T$50</definedName>
    <definedName name="ttbz46" localSheetId="7">'[5]Overlap two correlations (n1)'!$T$50</definedName>
    <definedName name="ttbz46">'[4]Overlap two correlations (n1)'!$T$50</definedName>
    <definedName name="ttbz47" localSheetId="8">'[4]Overlap two correlations (n1)'!$T$51</definedName>
    <definedName name="ttbz47" localSheetId="9">'[5]Overlap two correlations (n1)'!$T$51</definedName>
    <definedName name="ttbz47" localSheetId="6">'[5]Overlap two correlations (n1)'!$T$51</definedName>
    <definedName name="ttbz47" localSheetId="10">'[5]Overlap two correlations (n1)'!$T$51</definedName>
    <definedName name="ttbz47" localSheetId="7">'[5]Overlap two correlations (n1)'!$T$51</definedName>
    <definedName name="ttbz47">'[4]Overlap two correlations (n1)'!$T$51</definedName>
    <definedName name="ttbz48" localSheetId="8">'[4]Overlap two correlations (n1)'!$T$52</definedName>
    <definedName name="ttbz48" localSheetId="9">'[5]Overlap two correlations (n1)'!$T$52</definedName>
    <definedName name="ttbz48" localSheetId="6">'[5]Overlap two correlations (n1)'!$T$52</definedName>
    <definedName name="ttbz48" localSheetId="10">'[5]Overlap two correlations (n1)'!$T$52</definedName>
    <definedName name="ttbz48" localSheetId="7">'[5]Overlap two correlations (n1)'!$T$52</definedName>
    <definedName name="ttbz48">'[4]Overlap two correlations (n1)'!$T$52</definedName>
    <definedName name="ttbz49" localSheetId="8">'[4]Overlap two correlations (n1)'!$T$53</definedName>
    <definedName name="ttbz49" localSheetId="9">'[5]Overlap two correlations (n1)'!$T$53</definedName>
    <definedName name="ttbz49" localSheetId="6">'[5]Overlap two correlations (n1)'!$T$53</definedName>
    <definedName name="ttbz49" localSheetId="10">'[5]Overlap two correlations (n1)'!$T$53</definedName>
    <definedName name="ttbz49" localSheetId="7">'[5]Overlap two correlations (n1)'!$T$53</definedName>
    <definedName name="ttbz49">'[4]Overlap two correlations (n1)'!$T$53</definedName>
    <definedName name="ttbz5" localSheetId="8">'[4]Overlap two correlations (n1)'!$T$9</definedName>
    <definedName name="ttbz5" localSheetId="9">'[5]Overlap two correlations (n1)'!$T$9</definedName>
    <definedName name="ttbz5" localSheetId="6">'[5]Overlap two correlations (n1)'!$T$9</definedName>
    <definedName name="ttbz5" localSheetId="10">'[5]Overlap two correlations (n1)'!$T$9</definedName>
    <definedName name="ttbz5" localSheetId="7">'[5]Overlap two correlations (n1)'!$T$9</definedName>
    <definedName name="ttbz5">'[4]Overlap two correlations (n1)'!$T$9</definedName>
    <definedName name="ttbz50" localSheetId="8">'[4]Overlap two correlations (n1)'!$T$54</definedName>
    <definedName name="ttbz50" localSheetId="9">'[5]Overlap two correlations (n1)'!$T$54</definedName>
    <definedName name="ttbz50" localSheetId="6">'[5]Overlap two correlations (n1)'!$T$54</definedName>
    <definedName name="ttbz50" localSheetId="10">'[5]Overlap two correlations (n1)'!$T$54</definedName>
    <definedName name="ttbz50" localSheetId="7">'[5]Overlap two correlations (n1)'!$T$54</definedName>
    <definedName name="ttbz50">'[4]Overlap two correlations (n1)'!$T$54</definedName>
    <definedName name="ttbz51" localSheetId="8">'[4]Overlap two correlations (n1)'!$T$55</definedName>
    <definedName name="ttbz51" localSheetId="9">'[5]Overlap two correlations (n1)'!$T$55</definedName>
    <definedName name="ttbz51" localSheetId="6">'[5]Overlap two correlations (n1)'!$T$55</definedName>
    <definedName name="ttbz51" localSheetId="10">'[5]Overlap two correlations (n1)'!$T$55</definedName>
    <definedName name="ttbz51" localSheetId="7">'[5]Overlap two correlations (n1)'!$T$55</definedName>
    <definedName name="ttbz51">'[4]Overlap two correlations (n1)'!$T$55</definedName>
    <definedName name="ttbz52" localSheetId="8">'[4]Overlap two correlations (n1)'!$T$56</definedName>
    <definedName name="ttbz52" localSheetId="9">'[5]Overlap two correlations (n1)'!$T$56</definedName>
    <definedName name="ttbz52" localSheetId="6">'[5]Overlap two correlations (n1)'!$T$56</definedName>
    <definedName name="ttbz52" localSheetId="10">'[5]Overlap two correlations (n1)'!$T$56</definedName>
    <definedName name="ttbz52" localSheetId="7">'[5]Overlap two correlations (n1)'!$T$56</definedName>
    <definedName name="ttbz52">'[4]Overlap two correlations (n1)'!$T$56</definedName>
    <definedName name="ttbz53" localSheetId="8">'[4]Overlap two correlations (n1)'!$T$57</definedName>
    <definedName name="ttbz53" localSheetId="9">'[5]Overlap two correlations (n1)'!$T$57</definedName>
    <definedName name="ttbz53" localSheetId="6">'[5]Overlap two correlations (n1)'!$T$57</definedName>
    <definedName name="ttbz53" localSheetId="10">'[5]Overlap two correlations (n1)'!$T$57</definedName>
    <definedName name="ttbz53" localSheetId="7">'[5]Overlap two correlations (n1)'!$T$57</definedName>
    <definedName name="ttbz53">'[4]Overlap two correlations (n1)'!$T$57</definedName>
    <definedName name="ttbz54" localSheetId="8">'[4]Overlap two correlations (n1)'!$T$58</definedName>
    <definedName name="ttbz54" localSheetId="9">'[5]Overlap two correlations (n1)'!$T$58</definedName>
    <definedName name="ttbz54" localSheetId="6">'[5]Overlap two correlations (n1)'!$T$58</definedName>
    <definedName name="ttbz54" localSheetId="10">'[5]Overlap two correlations (n1)'!$T$58</definedName>
    <definedName name="ttbz54" localSheetId="7">'[5]Overlap two correlations (n1)'!$T$58</definedName>
    <definedName name="ttbz54">'[4]Overlap two correlations (n1)'!$T$58</definedName>
    <definedName name="ttbz55" localSheetId="8">'[4]Overlap two correlations (n1)'!$T$59</definedName>
    <definedName name="ttbz55" localSheetId="9">'[5]Overlap two correlations (n1)'!$T$59</definedName>
    <definedName name="ttbz55" localSheetId="6">'[5]Overlap two correlations (n1)'!$T$59</definedName>
    <definedName name="ttbz55" localSheetId="10">'[5]Overlap two correlations (n1)'!$T$59</definedName>
    <definedName name="ttbz55" localSheetId="7">'[5]Overlap two correlations (n1)'!$T$59</definedName>
    <definedName name="ttbz55">'[4]Overlap two correlations (n1)'!$T$59</definedName>
    <definedName name="ttbz56" localSheetId="8">'[4]Overlap two correlations (n1)'!$T$60</definedName>
    <definedName name="ttbz56" localSheetId="9">'[5]Overlap two correlations (n1)'!$T$60</definedName>
    <definedName name="ttbz56" localSheetId="6">'[5]Overlap two correlations (n1)'!$T$60</definedName>
    <definedName name="ttbz56" localSheetId="10">'[5]Overlap two correlations (n1)'!$T$60</definedName>
    <definedName name="ttbz56" localSheetId="7">'[5]Overlap two correlations (n1)'!$T$60</definedName>
    <definedName name="ttbz56">'[4]Overlap two correlations (n1)'!$T$60</definedName>
    <definedName name="ttbz57" localSheetId="8">'[4]Overlap two correlations (n1)'!$T$61</definedName>
    <definedName name="ttbz57" localSheetId="9">'[5]Overlap two correlations (n1)'!$T$61</definedName>
    <definedName name="ttbz57" localSheetId="6">'[5]Overlap two correlations (n1)'!$T$61</definedName>
    <definedName name="ttbz57" localSheetId="10">'[5]Overlap two correlations (n1)'!$T$61</definedName>
    <definedName name="ttbz57" localSheetId="7">'[5]Overlap two correlations (n1)'!$T$61</definedName>
    <definedName name="ttbz57">'[4]Overlap two correlations (n1)'!$T$61</definedName>
    <definedName name="ttbz58" localSheetId="8">'[4]Overlap two correlations (n1)'!$T$62</definedName>
    <definedName name="ttbz58" localSheetId="9">'[5]Overlap two correlations (n1)'!$T$62</definedName>
    <definedName name="ttbz58" localSheetId="6">'[5]Overlap two correlations (n1)'!$T$62</definedName>
    <definedName name="ttbz58" localSheetId="10">'[5]Overlap two correlations (n1)'!$T$62</definedName>
    <definedName name="ttbz58" localSheetId="7">'[5]Overlap two correlations (n1)'!$T$62</definedName>
    <definedName name="ttbz58">'[4]Overlap two correlations (n1)'!$T$62</definedName>
    <definedName name="ttbz59" localSheetId="8">'[4]Overlap two correlations (n1)'!$T$63</definedName>
    <definedName name="ttbz59" localSheetId="9">'[5]Overlap two correlations (n1)'!$T$63</definedName>
    <definedName name="ttbz59" localSheetId="6">'[5]Overlap two correlations (n1)'!$T$63</definedName>
    <definedName name="ttbz59" localSheetId="10">'[5]Overlap two correlations (n1)'!$T$63</definedName>
    <definedName name="ttbz59" localSheetId="7">'[5]Overlap two correlations (n1)'!$T$63</definedName>
    <definedName name="ttbz59">'[4]Overlap two correlations (n1)'!$T$63</definedName>
    <definedName name="ttbz6" localSheetId="8">'[4]Overlap two correlations (n1)'!$T$10</definedName>
    <definedName name="ttbz6" localSheetId="9">'[5]Overlap two correlations (n1)'!$T$10</definedName>
    <definedName name="ttbz6" localSheetId="6">'[5]Overlap two correlations (n1)'!$T$10</definedName>
    <definedName name="ttbz6" localSheetId="10">'[5]Overlap two correlations (n1)'!$T$10</definedName>
    <definedName name="ttbz6" localSheetId="7">'[5]Overlap two correlations (n1)'!$T$10</definedName>
    <definedName name="ttbz6">'[4]Overlap two correlations (n1)'!$T$10</definedName>
    <definedName name="ttbz60" localSheetId="8">'[4]Overlap two correlations (n1)'!$T$64</definedName>
    <definedName name="ttbz60" localSheetId="9">'[5]Overlap two correlations (n1)'!$T$64</definedName>
    <definedName name="ttbz60" localSheetId="6">'[5]Overlap two correlations (n1)'!$T$64</definedName>
    <definedName name="ttbz60" localSheetId="10">'[5]Overlap two correlations (n1)'!$T$64</definedName>
    <definedName name="ttbz60" localSheetId="7">'[5]Overlap two correlations (n1)'!$T$64</definedName>
    <definedName name="ttbz60">'[4]Overlap two correlations (n1)'!$T$64</definedName>
    <definedName name="ttbz7" localSheetId="8">'[4]Overlap two correlations (n1)'!$T$11</definedName>
    <definedName name="ttbz7" localSheetId="9">'[5]Overlap two correlations (n1)'!$T$11</definedName>
    <definedName name="ttbz7" localSheetId="6">'[5]Overlap two correlations (n1)'!$T$11</definedName>
    <definedName name="ttbz7" localSheetId="10">'[5]Overlap two correlations (n1)'!$T$11</definedName>
    <definedName name="ttbz7" localSheetId="7">'[5]Overlap two correlations (n1)'!$T$11</definedName>
    <definedName name="ttbz7">'[4]Overlap two correlations (n1)'!$T$11</definedName>
    <definedName name="ttbz8" localSheetId="8">'[4]Overlap two correlations (n1)'!$T$12</definedName>
    <definedName name="ttbz8" localSheetId="9">'[5]Overlap two correlations (n1)'!$T$12</definedName>
    <definedName name="ttbz8" localSheetId="6">'[5]Overlap two correlations (n1)'!$T$12</definedName>
    <definedName name="ttbz8" localSheetId="10">'[5]Overlap two correlations (n1)'!$T$12</definedName>
    <definedName name="ttbz8" localSheetId="7">'[5]Overlap two correlations (n1)'!$T$12</definedName>
    <definedName name="ttbz8">'[4]Overlap two correlations (n1)'!$T$12</definedName>
    <definedName name="ttbz9" localSheetId="8">'[4]Overlap two correlations (n1)'!$T$13</definedName>
    <definedName name="ttbz9" localSheetId="9">'[5]Overlap two correlations (n1)'!$T$13</definedName>
    <definedName name="ttbz9" localSheetId="6">'[5]Overlap two correlations (n1)'!$T$13</definedName>
    <definedName name="ttbz9" localSheetId="10">'[5]Overlap two correlations (n1)'!$T$13</definedName>
    <definedName name="ttbz9" localSheetId="7">'[5]Overlap two correlations (n1)'!$T$13</definedName>
    <definedName name="ttbz9">'[4]Overlap two correlations (n1)'!$T$13</definedName>
    <definedName name="tweak" localSheetId="8">'[15]See r'!$AB$4</definedName>
    <definedName name="tweak" localSheetId="9">'[16]See r'!$AB$4</definedName>
    <definedName name="tweak" localSheetId="6">'[16]See r'!$AB$4</definedName>
    <definedName name="tweak" localSheetId="10">'[16]See r'!$AB$4</definedName>
    <definedName name="tweak" localSheetId="7">'[16]See r'!$AB$4</definedName>
    <definedName name="tweak">'[15]See r'!$AB$4</definedName>
    <definedName name="TwoPropDispCI" localSheetId="8">'[4]Two proportions'!$P$21</definedName>
    <definedName name="TwoPropDispCI" localSheetId="9">'[5]Two proportions'!$P$21</definedName>
    <definedName name="TwoPropDispCI" localSheetId="6">'[5]Two proportions'!$P$21</definedName>
    <definedName name="TwoPropDispCI" localSheetId="10">'[5]Two proportions'!$P$21</definedName>
    <definedName name="TwoPropDispCI" localSheetId="7">'[5]Two proportions'!$P$21</definedName>
    <definedName name="TwoPropDispCI">'[4]Two proportions'!$P$21</definedName>
    <definedName name="TwoPropGT" localSheetId="8">'[4]Two proportions'!$R$21</definedName>
    <definedName name="TwoPropGT" localSheetId="9">'[5]Two proportions'!$R$21</definedName>
    <definedName name="TwoPropGT" localSheetId="6">'[5]Two proportions'!$R$21</definedName>
    <definedName name="TwoPropGT" localSheetId="10">'[5]Two proportions'!$R$21</definedName>
    <definedName name="TwoPropGT" localSheetId="7">'[5]Two proportions'!$R$21</definedName>
    <definedName name="TwoPropGT">'[4]Two proportions'!$R$21</definedName>
    <definedName name="TwoPropLT" localSheetId="8">'[4]Two proportions'!$R$22</definedName>
    <definedName name="TwoPropLT" localSheetId="9">'[5]Two proportions'!$R$22</definedName>
    <definedName name="TwoPropLT" localSheetId="6">'[5]Two proportions'!$R$22</definedName>
    <definedName name="TwoPropLT" localSheetId="10">'[5]Two proportions'!$R$22</definedName>
    <definedName name="TwoPropLT" localSheetId="7">'[5]Two proportions'!$R$22</definedName>
    <definedName name="TwoPropLT">'[4]Two proportions'!$R$22</definedName>
    <definedName name="TwoPropSpeed" localSheetId="8">'[4]Two proportions'!$L$29</definedName>
    <definedName name="TwoPropSpeed" localSheetId="9">'[5]Two proportions'!$L$29</definedName>
    <definedName name="TwoPropSpeed" localSheetId="6">'[5]Two proportions'!$L$29</definedName>
    <definedName name="TwoPropSpeed" localSheetId="10">'[5]Two proportions'!$L$29</definedName>
    <definedName name="TwoPropSpeed" localSheetId="7">'[5]Two proportions'!$L$29</definedName>
    <definedName name="TwoPropSpeed">'[4]Two proportions'!$L$29</definedName>
    <definedName name="TwoPropsSaveFreq" localSheetId="8">'[4]Two proportions'!$AD$5:$AE$6</definedName>
    <definedName name="TwoPropsSaveFreq" localSheetId="9">'[5]Two proportions'!$AD$5:$AE$6</definedName>
    <definedName name="TwoPropsSaveFreq" localSheetId="6">'[5]Two proportions'!$AD$5:$AE$6</definedName>
    <definedName name="TwoPropsSaveFreq" localSheetId="10">'[5]Two proportions'!$AD$5:$AE$6</definedName>
    <definedName name="TwoPropsSaveFreq" localSheetId="7">'[5]Two proportions'!$AD$5:$AE$6</definedName>
    <definedName name="TwoPropsSaveFreq">'[4]Two proportions'!$AD$5:$AE$6</definedName>
    <definedName name="TwoSpeed" localSheetId="5">#REF!</definedName>
    <definedName name="TwoSpeed" localSheetId="4">#REF!</definedName>
    <definedName name="TwoSpeed" localSheetId="8">#REF!</definedName>
    <definedName name="TwoSpeed" localSheetId="9">#REF!</definedName>
    <definedName name="TwoSpeed" localSheetId="6">#REF!</definedName>
    <definedName name="TwoSpeed" localSheetId="0">#REF!</definedName>
    <definedName name="TwoSpeed" localSheetId="2">#REF!</definedName>
    <definedName name="TwoSpeed" localSheetId="3">#REF!</definedName>
    <definedName name="TwoSpeed" localSheetId="10">#REF!</definedName>
    <definedName name="TwoSpeed" localSheetId="7">#REF!</definedName>
    <definedName name="TwoSpeed">#REF!</definedName>
    <definedName name="ucapt" localSheetId="8">'[15]Sample r'!$N$21</definedName>
    <definedName name="ucapt" localSheetId="9">'[16]Sample r'!$N$21</definedName>
    <definedName name="ucapt" localSheetId="6">'[16]Sample r'!$N$21</definedName>
    <definedName name="ucapt" localSheetId="10">'[16]Sample r'!$N$21</definedName>
    <definedName name="ucapt" localSheetId="7">'[16]Sample r'!$N$21</definedName>
    <definedName name="ucapt">'[15]Sample r'!$N$21</definedName>
    <definedName name="un1two">'Data two'!$BK$6</definedName>
    <definedName name="un2two">'Data two'!$BS$6</definedName>
    <definedName name="un3two">'Data two'!$CA$6</definedName>
    <definedName name="uncp">#REF!</definedName>
    <definedName name="units">#REF!</definedName>
    <definedName name="untwo">'Data two'!$G$6</definedName>
    <definedName name="vareq" localSheetId="7">'Summary two'!$C$21</definedName>
    <definedName name="vareq">'Data two'!$C$21</definedName>
    <definedName name="xandn">'[8]One proportion'!$B$4</definedName>
    <definedName name="XaxisInt" localSheetId="8">[6]Describe!$R$13</definedName>
    <definedName name="XaxisInt" localSheetId="9">[6]Describe!$R$13</definedName>
    <definedName name="XaxisInt" localSheetId="6">[6]Describe!$R$13</definedName>
    <definedName name="XaxisInt" localSheetId="10">[6]Describe!$R$13</definedName>
    <definedName name="XaxisInt" localSheetId="7">[6]Describe!$R$13</definedName>
    <definedName name="XaxisInt">Describe!$V$13</definedName>
    <definedName name="XaxisL" localSheetId="8">[6]Describe!$R$6</definedName>
    <definedName name="XaxisL" localSheetId="9">[6]Describe!$R$6</definedName>
    <definedName name="XaxisL" localSheetId="6">[6]Describe!$R$6</definedName>
    <definedName name="XaxisL" localSheetId="10">[6]Describe!$R$6</definedName>
    <definedName name="XaxisL" localSheetId="7">[6]Describe!$R$6</definedName>
    <definedName name="XaxisL">Describe!$V$6</definedName>
    <definedName name="XaxisU" localSheetId="8">[6]Describe!$S$6</definedName>
    <definedName name="XaxisU" localSheetId="9">[6]Describe!$S$6</definedName>
    <definedName name="XaxisU" localSheetId="6">[6]Describe!$S$6</definedName>
    <definedName name="XaxisU" localSheetId="10">[6]Describe!$S$6</definedName>
    <definedName name="XaxisU" localSheetId="7">[6]Describe!$S$6</definedName>
    <definedName name="XaxisU">Describe!$W$6</definedName>
    <definedName name="Xcounter" localSheetId="8">[6]Describe!$T$33</definedName>
    <definedName name="Xcounter" localSheetId="9">[6]Describe!$T$33</definedName>
    <definedName name="Xcounter" localSheetId="6">[6]Describe!$T$33</definedName>
    <definedName name="Xcounter" localSheetId="10">[6]Describe!$T$33</definedName>
    <definedName name="Xcounter" localSheetId="7">[6]Describe!$T$33</definedName>
    <definedName name="Xcounter">Describe!$X$33</definedName>
    <definedName name="xinc" localSheetId="8">[6]Describe!$V$5</definedName>
    <definedName name="xinc" localSheetId="9">[6]Describe!$V$5</definedName>
    <definedName name="xinc" localSheetId="6">[6]Describe!$V$5</definedName>
    <definedName name="xinc" localSheetId="10">[6]Describe!$V$5</definedName>
    <definedName name="xinc" localSheetId="7">[6]Describe!$V$5</definedName>
    <definedName name="xinc">Describe!$Z$5</definedName>
    <definedName name="Xl" localSheetId="8">[6]Describe!$BG$37</definedName>
    <definedName name="Xl" localSheetId="9">[6]Describe!$BG$37</definedName>
    <definedName name="Xl" localSheetId="6">[6]Describe!$BG$37</definedName>
    <definedName name="Xl" localSheetId="10">[6]Describe!$BG$37</definedName>
    <definedName name="Xl" localSheetId="7">[6]Describe!$BG$37</definedName>
    <definedName name="Xl">Describe!$CR$37</definedName>
    <definedName name="Xmajoru" localSheetId="8">'[15]Calculate r'!$AB$28</definedName>
    <definedName name="Xmajoru" localSheetId="9">'[16]Calculate r'!$AB$28</definedName>
    <definedName name="Xmajoru" localSheetId="6">'[16]Calculate r'!$AB$28</definedName>
    <definedName name="Xmajoru" localSheetId="10">'[16]Calculate r'!$AB$28</definedName>
    <definedName name="Xmajoru" localSheetId="7">'[16]Calculate r'!$AB$28</definedName>
    <definedName name="Xmajoru">'[15]Calculate r'!$AB$28</definedName>
    <definedName name="Xmax" localSheetId="8">'[15]Calculate r'!$AB$27</definedName>
    <definedName name="Xmax" localSheetId="9">'[16]Calculate r'!$AB$27</definedName>
    <definedName name="Xmax" localSheetId="6">'[16]Calculate r'!$AB$27</definedName>
    <definedName name="Xmax" localSheetId="10">'[16]Calculate r'!$AB$27</definedName>
    <definedName name="Xmax" localSheetId="7">'[16]Calculate r'!$AB$27</definedName>
    <definedName name="Xmax">'[15]Calculate r'!$AB$27</definedName>
    <definedName name="Xmin" localSheetId="8">'[15]Calculate r'!$AB$26</definedName>
    <definedName name="Xmin" localSheetId="9">'[16]Calculate r'!$AB$26</definedName>
    <definedName name="Xmin" localSheetId="6">'[16]Calculate r'!$AB$26</definedName>
    <definedName name="Xmin" localSheetId="10">'[16]Calculate r'!$AB$26</definedName>
    <definedName name="Xmin" localSheetId="7">'[16]Calculate r'!$AB$26</definedName>
    <definedName name="Xmin">'[15]Calculate r'!$AB$26</definedName>
    <definedName name="xpeek" localSheetId="8">[6]Describe!$AS$30</definedName>
    <definedName name="xpeek" localSheetId="9">[6]Describe!$AS$30</definedName>
    <definedName name="xpeek" localSheetId="6">[6]Describe!$AS$30</definedName>
    <definedName name="xpeek" localSheetId="10">[6]Describe!$AS$30</definedName>
    <definedName name="xpeek" localSheetId="7">[6]Describe!$AS$30</definedName>
    <definedName name="xpeek">Describe!$AZ$30</definedName>
    <definedName name="XRend">#REF!</definedName>
    <definedName name="Xscaleunit">#REF!</definedName>
    <definedName name="Xscrollcount" localSheetId="8">[6]Describe!$AC$2</definedName>
    <definedName name="Xscrollcount" localSheetId="9">[6]Describe!$AC$2</definedName>
    <definedName name="Xscrollcount" localSheetId="6">[6]Describe!$AC$2</definedName>
    <definedName name="Xscrollcount" localSheetId="10">[6]Describe!$AC$2</definedName>
    <definedName name="Xscrollcount" localSheetId="7">[6]Describe!$AC$2</definedName>
    <definedName name="Xscrollcount">Describe!$AG$2</definedName>
    <definedName name="Xscrollput" localSheetId="8">[6]Describe!$F$2</definedName>
    <definedName name="Xscrollput" localSheetId="9">[6]Describe!$F$2</definedName>
    <definedName name="Xscrollput" localSheetId="6">[6]Describe!$F$2</definedName>
    <definedName name="Xscrollput" localSheetId="10">[6]Describe!$F$2</definedName>
    <definedName name="Xscrollput" localSheetId="7">[6]Describe!$F$2</definedName>
    <definedName name="Xscrollput">Describe!#REF!</definedName>
    <definedName name="Xscrollstart" localSheetId="8">[6]Describe!$AC$3</definedName>
    <definedName name="Xscrollstart" localSheetId="9">[6]Describe!$AC$3</definedName>
    <definedName name="Xscrollstart" localSheetId="6">[6]Describe!$AC$3</definedName>
    <definedName name="Xscrollstart" localSheetId="10">[6]Describe!$AC$3</definedName>
    <definedName name="Xscrollstart" localSheetId="7">[6]Describe!$AC$3</definedName>
    <definedName name="Xscrollstart">Describe!$AG$3</definedName>
    <definedName name="Xu" localSheetId="8">[6]Describe!$BH$37</definedName>
    <definedName name="Xu" localSheetId="9">[6]Describe!$BH$37</definedName>
    <definedName name="Xu" localSheetId="6">[6]Describe!$BH$37</definedName>
    <definedName name="Xu" localSheetId="10">[6]Describe!$BH$37</definedName>
    <definedName name="Xu" localSheetId="7">[6]Describe!$BH$37</definedName>
    <definedName name="Xu">Describe!$CS$37</definedName>
    <definedName name="Xunits" localSheetId="8">'[15]Calculate r'!$B$6</definedName>
    <definedName name="Xunits" localSheetId="9">'[16]Calculate r'!$B$6</definedName>
    <definedName name="Xunits" localSheetId="6">'[16]Calculate r'!$B$6</definedName>
    <definedName name="Xunits" localSheetId="10">'[16]Calculate r'!$B$6</definedName>
    <definedName name="Xunits" localSheetId="7">'[16]Calculate r'!$B$6</definedName>
    <definedName name="Xunits">'[15]Calculate r'!$B$6</definedName>
    <definedName name="Xwide" localSheetId="8">[6]Describe!$W$30</definedName>
    <definedName name="Xwide" localSheetId="9">[6]Describe!$W$30</definedName>
    <definedName name="Xwide" localSheetId="6">[6]Describe!$W$30</definedName>
    <definedName name="Xwide" localSheetId="10">[6]Describe!$W$30</definedName>
    <definedName name="Xwide" localSheetId="7">[6]Describe!$W$30</definedName>
    <definedName name="Xwide">Describe!$AA$30</definedName>
    <definedName name="xxandnn">'[9]Two proportions'!$C$7</definedName>
    <definedName name="xxx" localSheetId="5">#REF!</definedName>
    <definedName name="xxx" localSheetId="4">#REF!</definedName>
    <definedName name="xxx" localSheetId="8">#REF!</definedName>
    <definedName name="xxx" localSheetId="9">#REF!</definedName>
    <definedName name="xxx" localSheetId="6">#REF!</definedName>
    <definedName name="xxx" localSheetId="0">#REF!</definedName>
    <definedName name="xxx" localSheetId="2">#REF!</definedName>
    <definedName name="xxx" localSheetId="3">#REF!</definedName>
    <definedName name="xxx" localSheetId="10">#REF!</definedName>
    <definedName name="xxx" localSheetId="7">#REF!</definedName>
    <definedName name="xxx">#REF!</definedName>
    <definedName name="xydata" localSheetId="8">'[15]Calculate r'!$B$8:$C$307</definedName>
    <definedName name="xydata" localSheetId="9">'[16]Calculate r'!$B$8:$C$307</definedName>
    <definedName name="xydata" localSheetId="6">'[16]Calculate r'!$B$8:$C$307</definedName>
    <definedName name="xydata" localSheetId="10">'[16]Calculate r'!$B$8:$C$307</definedName>
    <definedName name="xydata" localSheetId="7">'[16]Calculate r'!$B$8:$C$307</definedName>
    <definedName name="xydata">'[15]Calculate r'!$B$8:$C$307</definedName>
    <definedName name="xygaps">#REF!</definedName>
    <definedName name="xytr" localSheetId="8">[6]Describe!$AU$4</definedName>
    <definedName name="xytr" localSheetId="9">[6]Describe!$AU$4</definedName>
    <definedName name="xytr" localSheetId="6">[6]Describe!$AU$4</definedName>
    <definedName name="xytr" localSheetId="10">[6]Describe!$AU$4</definedName>
    <definedName name="xytr" localSheetId="7">[6]Describe!$AU$4</definedName>
    <definedName name="xytr">Describe!$BX$4</definedName>
    <definedName name="yaxismax" localSheetId="8">[6]Describe!$U$19</definedName>
    <definedName name="yaxismax" localSheetId="9">[6]Describe!$U$19</definedName>
    <definedName name="yaxismax" localSheetId="6">[6]Describe!$U$19</definedName>
    <definedName name="yaxismax" localSheetId="10">[6]Describe!$U$19</definedName>
    <definedName name="yaxismax" localSheetId="7">[6]Describe!$U$19</definedName>
    <definedName name="yaxismax">Describe!$Y$19</definedName>
    <definedName name="Yaxmax">#REF!</definedName>
    <definedName name="yinc" localSheetId="8">[6]Describe!$V$6</definedName>
    <definedName name="yinc" localSheetId="9">[6]Describe!$V$6</definedName>
    <definedName name="yinc" localSheetId="6">[6]Describe!$V$6</definedName>
    <definedName name="yinc" localSheetId="10">[6]Describe!$V$6</definedName>
    <definedName name="yinc" localSheetId="7">[6]Describe!$V$6</definedName>
    <definedName name="yinc">Describe!$Z$6</definedName>
    <definedName name="Yl" localSheetId="8">[6]Describe!$BG$38</definedName>
    <definedName name="Yl" localSheetId="9">[6]Describe!$BG$38</definedName>
    <definedName name="Yl" localSheetId="6">[6]Describe!$BG$38</definedName>
    <definedName name="Yl" localSheetId="10">[6]Describe!$BG$38</definedName>
    <definedName name="Yl" localSheetId="7">[6]Describe!$BG$38</definedName>
    <definedName name="Yl">Describe!$CR$38</definedName>
    <definedName name="Ymajoru" localSheetId="8">'[15]Calculate r'!$AB$25</definedName>
    <definedName name="Ymajoru" localSheetId="9">'[16]Calculate r'!$AB$25</definedName>
    <definedName name="Ymajoru" localSheetId="6">'[16]Calculate r'!$AB$25</definedName>
    <definedName name="Ymajoru" localSheetId="10">'[16]Calculate r'!$AB$25</definedName>
    <definedName name="Ymajoru" localSheetId="7">'[16]Calculate r'!$AB$25</definedName>
    <definedName name="Ymajoru">'[15]Calculate r'!$AB$25</definedName>
    <definedName name="ymajunit" localSheetId="8">[6]Describe!$U$17</definedName>
    <definedName name="ymajunit" localSheetId="9">[6]Describe!$U$17</definedName>
    <definedName name="ymajunit" localSheetId="6">[6]Describe!$U$17</definedName>
    <definedName name="ymajunit" localSheetId="10">[6]Describe!$U$17</definedName>
    <definedName name="ymajunit" localSheetId="7">[6]Describe!$U$17</definedName>
    <definedName name="ymajunit">Describe!$Y$17</definedName>
    <definedName name="Ymax" localSheetId="8">'[15]Calculate r'!$AB$24</definedName>
    <definedName name="Ymax" localSheetId="9">'[16]Calculate r'!$AB$24</definedName>
    <definedName name="Ymax" localSheetId="6">'[16]Calculate r'!$AB$24</definedName>
    <definedName name="Ymax" localSheetId="10">'[16]Calculate r'!$AB$24</definedName>
    <definedName name="Ymax" localSheetId="7">'[16]Calculate r'!$AB$24</definedName>
    <definedName name="Ymax">'[15]Calculate r'!$AB$24</definedName>
    <definedName name="Ymin" localSheetId="8">'[15]Calculate r'!$AB$23</definedName>
    <definedName name="Ymin" localSheetId="9">'[16]Calculate r'!$AB$23</definedName>
    <definedName name="Ymin" localSheetId="6">'[16]Calculate r'!$AB$23</definedName>
    <definedName name="Ymin" localSheetId="10">'[16]Calculate r'!$AB$23</definedName>
    <definedName name="Ymin" localSheetId="7">'[16]Calculate r'!$AB$23</definedName>
    <definedName name="Ymin">'[15]Calculate r'!$AB$23</definedName>
    <definedName name="yminunit" localSheetId="8">[6]Describe!$U$18</definedName>
    <definedName name="yminunit" localSheetId="9">[6]Describe!$U$18</definedName>
    <definedName name="yminunit" localSheetId="6">[6]Describe!$U$18</definedName>
    <definedName name="yminunit" localSheetId="10">[6]Describe!$U$18</definedName>
    <definedName name="yminunit" localSheetId="7">[6]Describe!$U$18</definedName>
    <definedName name="yminunit">Describe!$Y$18</definedName>
    <definedName name="ypeek" localSheetId="8">[6]Describe!$AS$31</definedName>
    <definedName name="ypeek" localSheetId="9">[6]Describe!$AS$31</definedName>
    <definedName name="ypeek" localSheetId="6">[6]Describe!$AS$31</definedName>
    <definedName name="ypeek" localSheetId="10">[6]Describe!$AS$31</definedName>
    <definedName name="ypeek" localSheetId="7">[6]Describe!$AS$31</definedName>
    <definedName name="ypeek">Describe!$AZ$31</definedName>
    <definedName name="Yu" localSheetId="8">[6]Describe!$BH$38</definedName>
    <definedName name="Yu" localSheetId="9">[6]Describe!$BH$38</definedName>
    <definedName name="Yu" localSheetId="6">[6]Describe!$BH$38</definedName>
    <definedName name="Yu" localSheetId="10">[6]Describe!$BH$38</definedName>
    <definedName name="Yu" localSheetId="7">[6]Describe!$BH$38</definedName>
    <definedName name="Yu">Describe!$CS$38</definedName>
    <definedName name="zbigl" localSheetId="5">'[1]MA  Standardised units'!$AE$2</definedName>
    <definedName name="zbigl" localSheetId="4">'[1]MA  Standardised units'!$AE$2</definedName>
    <definedName name="zbigl" localSheetId="8">'[2]MA  Standardised units'!$AE$2</definedName>
    <definedName name="zbigl" localSheetId="9">'[3]MA  Standardised units'!$AE$2</definedName>
    <definedName name="zbigl" localSheetId="6">'[3]MA  Standardised units'!$AE$2</definedName>
    <definedName name="zbigl" localSheetId="0">'[2]MA  Standardised units'!$AE$2</definedName>
    <definedName name="zbigl" localSheetId="2">'[1]MA  Standardised units'!$AE$2</definedName>
    <definedName name="zbigl" localSheetId="3">'[1]MA  Standardised units'!$AE$2</definedName>
    <definedName name="zbigl" localSheetId="10">'[3]MA  Standardised units'!$AE$2</definedName>
    <definedName name="zbigl" localSheetId="7">'[3]MA  Standardised units'!$AE$2</definedName>
    <definedName name="zbigl">'[1]MA  Standardised units'!$AE$2</definedName>
    <definedName name="zbigu" localSheetId="5">'[1]MA  Standardised units'!$AE$3</definedName>
    <definedName name="zbigu" localSheetId="4">'[1]MA  Standardised units'!$AE$3</definedName>
    <definedName name="zbigu" localSheetId="8">'[2]MA  Standardised units'!$AE$3</definedName>
    <definedName name="zbigu" localSheetId="9">'[3]MA  Standardised units'!$AE$3</definedName>
    <definedName name="zbigu" localSheetId="6">'[3]MA  Standardised units'!$AE$3</definedName>
    <definedName name="zbigu" localSheetId="0">'[2]MA  Standardised units'!$AE$3</definedName>
    <definedName name="zbigu" localSheetId="2">'[1]MA  Standardised units'!$AE$3</definedName>
    <definedName name="zbigu" localSheetId="3">'[1]MA  Standardised units'!$AE$3</definedName>
    <definedName name="zbigu" localSheetId="10">'[3]MA  Standardised units'!$AE$3</definedName>
    <definedName name="zbigu" localSheetId="7">'[3]MA  Standardised units'!$AE$3</definedName>
    <definedName name="zbigu">'[1]MA  Standardised units'!$AE$3</definedName>
    <definedName name="zcursortf" localSheetId="8">[6]Describe!$U$25</definedName>
    <definedName name="zcursortf" localSheetId="9">[6]Describe!$U$25</definedName>
    <definedName name="zcursortf" localSheetId="6">[6]Describe!$U$25</definedName>
    <definedName name="zcursortf" localSheetId="10">[6]Describe!$U$25</definedName>
    <definedName name="zcursortf" localSheetId="7">[6]Describe!$U$25</definedName>
    <definedName name="zcursortf">Describe!$Y$25</definedName>
    <definedName name="zoneprop">'[8]One proportion'!$B$13</definedName>
    <definedName name="ztwoprop">'[9]Two proportions'!$C$14</definedName>
  </definedNames>
  <calcPr calcId="125725"/>
</workbook>
</file>

<file path=xl/calcChain.xml><?xml version="1.0" encoding="utf-8"?>
<calcChain xmlns="http://schemas.openxmlformats.org/spreadsheetml/2006/main">
  <c r="S39" i="10"/>
  <c r="W3" i="2"/>
  <c r="X3" s="1"/>
  <c r="V3"/>
  <c r="C14"/>
  <c r="W4"/>
  <c r="CX5"/>
  <c r="CX8"/>
  <c r="CX12"/>
  <c r="CX13"/>
  <c r="CX16"/>
  <c r="CX20"/>
  <c r="CX21"/>
  <c r="CX24"/>
  <c r="CX28"/>
  <c r="CX29"/>
  <c r="CX32"/>
  <c r="CX36"/>
  <c r="DC36" s="1"/>
  <c r="CX37"/>
  <c r="CX40"/>
  <c r="CX44"/>
  <c r="CX45"/>
  <c r="DC45" s="1"/>
  <c r="CX48"/>
  <c r="CX52"/>
  <c r="CX53"/>
  <c r="CX56"/>
  <c r="DC56" s="1"/>
  <c r="CX60"/>
  <c r="CX61"/>
  <c r="CX64"/>
  <c r="CX68"/>
  <c r="DC68" s="1"/>
  <c r="CX69"/>
  <c r="CX72"/>
  <c r="CX76"/>
  <c r="CX77"/>
  <c r="DC77" s="1"/>
  <c r="CX80"/>
  <c r="CX84"/>
  <c r="CX85"/>
  <c r="CX88"/>
  <c r="DC88" s="1"/>
  <c r="CX92"/>
  <c r="CX93"/>
  <c r="CX96"/>
  <c r="CX100"/>
  <c r="DC100" s="1"/>
  <c r="CX101"/>
  <c r="CX104"/>
  <c r="CX108"/>
  <c r="CX109"/>
  <c r="DC109" s="1"/>
  <c r="CX112"/>
  <c r="CX116"/>
  <c r="CX117"/>
  <c r="CX120"/>
  <c r="DC120" s="1"/>
  <c r="CX124"/>
  <c r="CX125"/>
  <c r="CX128"/>
  <c r="CX132"/>
  <c r="DC132" s="1"/>
  <c r="CX133"/>
  <c r="CX136"/>
  <c r="CX140"/>
  <c r="CX141"/>
  <c r="DC141" s="1"/>
  <c r="CX144"/>
  <c r="CX148"/>
  <c r="CX149"/>
  <c r="CX152"/>
  <c r="DC152" s="1"/>
  <c r="CX156"/>
  <c r="CX157"/>
  <c r="CX160"/>
  <c r="CX164"/>
  <c r="DC164" s="1"/>
  <c r="CX165"/>
  <c r="CX168"/>
  <c r="CX172"/>
  <c r="CX173"/>
  <c r="DC173" s="1"/>
  <c r="CX176"/>
  <c r="CX180"/>
  <c r="CX181"/>
  <c r="CX184"/>
  <c r="DC184" s="1"/>
  <c r="CX188"/>
  <c r="CX189"/>
  <c r="CX192"/>
  <c r="CX196"/>
  <c r="DC196" s="1"/>
  <c r="CX197"/>
  <c r="CX200"/>
  <c r="CX204"/>
  <c r="CX205"/>
  <c r="DC205" s="1"/>
  <c r="CX208"/>
  <c r="CX212"/>
  <c r="CX213"/>
  <c r="CX216"/>
  <c r="DC216" s="1"/>
  <c r="CX220"/>
  <c r="CX221"/>
  <c r="CX224"/>
  <c r="CX228"/>
  <c r="DC228" s="1"/>
  <c r="CX229"/>
  <c r="CX232"/>
  <c r="CX236"/>
  <c r="CX237"/>
  <c r="DC237" s="1"/>
  <c r="CX240"/>
  <c r="CX244"/>
  <c r="CX245"/>
  <c r="CX248"/>
  <c r="DC248" s="1"/>
  <c r="CX252"/>
  <c r="CX253"/>
  <c r="CX256"/>
  <c r="CX260"/>
  <c r="DC260" s="1"/>
  <c r="CX261"/>
  <c r="CX264"/>
  <c r="CX268"/>
  <c r="CX269"/>
  <c r="DC269" s="1"/>
  <c r="CX272"/>
  <c r="CX276"/>
  <c r="CX277"/>
  <c r="CX280"/>
  <c r="DC280" s="1"/>
  <c r="CX284"/>
  <c r="CX285"/>
  <c r="CX288"/>
  <c r="CX292"/>
  <c r="DC292" s="1"/>
  <c r="CX293"/>
  <c r="CX296"/>
  <c r="CX300"/>
  <c r="CX301"/>
  <c r="DC301" s="1"/>
  <c r="CX4"/>
  <c r="Z99" i="11"/>
  <c r="Z101" s="1"/>
  <c r="I28" s="1"/>
  <c r="AA113" s="1"/>
  <c r="AG18" i="7"/>
  <c r="AE27"/>
  <c r="AE29"/>
  <c r="I3" i="6"/>
  <c r="D3"/>
  <c r="F3"/>
  <c r="C3"/>
  <c r="BW8"/>
  <c r="J3"/>
  <c r="CB106"/>
  <c r="CB704"/>
  <c r="CB703"/>
  <c r="CB702"/>
  <c r="CB701"/>
  <c r="CB700"/>
  <c r="CB699"/>
  <c r="CB698"/>
  <c r="CB697"/>
  <c r="CB696"/>
  <c r="CB695"/>
  <c r="CB694"/>
  <c r="CB693"/>
  <c r="CB692"/>
  <c r="CB691"/>
  <c r="CB690"/>
  <c r="CB689"/>
  <c r="CB688"/>
  <c r="CB687"/>
  <c r="CB686"/>
  <c r="CB685"/>
  <c r="CB684"/>
  <c r="CB683"/>
  <c r="CB682"/>
  <c r="CB681"/>
  <c r="CB680"/>
  <c r="CB679"/>
  <c r="CB678"/>
  <c r="CB677"/>
  <c r="CB676"/>
  <c r="CB675"/>
  <c r="CB674"/>
  <c r="CB673"/>
  <c r="CB672"/>
  <c r="CB671"/>
  <c r="CB670"/>
  <c r="CB669"/>
  <c r="CB668"/>
  <c r="CB667"/>
  <c r="CB666"/>
  <c r="CB665"/>
  <c r="CB664"/>
  <c r="CB663"/>
  <c r="CB662"/>
  <c r="CB661"/>
  <c r="CB660"/>
  <c r="CB659"/>
  <c r="CB658"/>
  <c r="CB657"/>
  <c r="CB656"/>
  <c r="CB655"/>
  <c r="CB654"/>
  <c r="CB653"/>
  <c r="CB652"/>
  <c r="CB651"/>
  <c r="CB650"/>
  <c r="CB649"/>
  <c r="CB648"/>
  <c r="CB647"/>
  <c r="CB646"/>
  <c r="CB645"/>
  <c r="CB644"/>
  <c r="CB643"/>
  <c r="CB642"/>
  <c r="CB641"/>
  <c r="CB640"/>
  <c r="CB639"/>
  <c r="CB638"/>
  <c r="CB637"/>
  <c r="CB636"/>
  <c r="CB635"/>
  <c r="CB634"/>
  <c r="CB633"/>
  <c r="CB632"/>
  <c r="CB631"/>
  <c r="CB630"/>
  <c r="CB629"/>
  <c r="CB628"/>
  <c r="CB627"/>
  <c r="CB626"/>
  <c r="CB625"/>
  <c r="CB624"/>
  <c r="CB623"/>
  <c r="CB622"/>
  <c r="CB621"/>
  <c r="CB620"/>
  <c r="CB619"/>
  <c r="CB618"/>
  <c r="CB617"/>
  <c r="CB616"/>
  <c r="CB615"/>
  <c r="CB614"/>
  <c r="CB613"/>
  <c r="CB612"/>
  <c r="CB611"/>
  <c r="CB610"/>
  <c r="CB609"/>
  <c r="CB608"/>
  <c r="CB607"/>
  <c r="CB606"/>
  <c r="CB605"/>
  <c r="CB604"/>
  <c r="CB603"/>
  <c r="CB602"/>
  <c r="CB601"/>
  <c r="CB600"/>
  <c r="CB599"/>
  <c r="CB598"/>
  <c r="CB597"/>
  <c r="CB596"/>
  <c r="CB595"/>
  <c r="CB594"/>
  <c r="CB593"/>
  <c r="CB592"/>
  <c r="CB591"/>
  <c r="CB590"/>
  <c r="CB589"/>
  <c r="CB588"/>
  <c r="CB587"/>
  <c r="CB586"/>
  <c r="CB585"/>
  <c r="CB584"/>
  <c r="CB583"/>
  <c r="CB582"/>
  <c r="CB581"/>
  <c r="CB580"/>
  <c r="CB579"/>
  <c r="CB578"/>
  <c r="CB577"/>
  <c r="CB576"/>
  <c r="CB575"/>
  <c r="CB574"/>
  <c r="CB573"/>
  <c r="CB572"/>
  <c r="CB571"/>
  <c r="CB570"/>
  <c r="CB569"/>
  <c r="CB568"/>
  <c r="CB567"/>
  <c r="CB566"/>
  <c r="CB565"/>
  <c r="CB564"/>
  <c r="CB563"/>
  <c r="CB562"/>
  <c r="CB561"/>
  <c r="CB560"/>
  <c r="CB559"/>
  <c r="CB558"/>
  <c r="CB557"/>
  <c r="CB556"/>
  <c r="CB555"/>
  <c r="CB554"/>
  <c r="CB553"/>
  <c r="CB552"/>
  <c r="CB551"/>
  <c r="CB550"/>
  <c r="CB549"/>
  <c r="CB548"/>
  <c r="CB547"/>
  <c r="CB546"/>
  <c r="CB545"/>
  <c r="CB544"/>
  <c r="CB543"/>
  <c r="CB542"/>
  <c r="CB541"/>
  <c r="CB540"/>
  <c r="CB539"/>
  <c r="CB538"/>
  <c r="CB537"/>
  <c r="CB536"/>
  <c r="CB535"/>
  <c r="CB534"/>
  <c r="CB533"/>
  <c r="CB532"/>
  <c r="CB531"/>
  <c r="CB530"/>
  <c r="CB529"/>
  <c r="CB528"/>
  <c r="CB527"/>
  <c r="CB526"/>
  <c r="CB525"/>
  <c r="CB524"/>
  <c r="CB523"/>
  <c r="CB522"/>
  <c r="CB521"/>
  <c r="CB520"/>
  <c r="CB519"/>
  <c r="CB518"/>
  <c r="CB517"/>
  <c r="CB516"/>
  <c r="CB515"/>
  <c r="CB514"/>
  <c r="CB513"/>
  <c r="CB512"/>
  <c r="CB511"/>
  <c r="CB510"/>
  <c r="CB509"/>
  <c r="CB508"/>
  <c r="CB507"/>
  <c r="CB506"/>
  <c r="CB505"/>
  <c r="CB504"/>
  <c r="CB503"/>
  <c r="CB502"/>
  <c r="CB501"/>
  <c r="CB500"/>
  <c r="CB499"/>
  <c r="CB498"/>
  <c r="CB497"/>
  <c r="CB496"/>
  <c r="CB495"/>
  <c r="CB494"/>
  <c r="CB493"/>
  <c r="CB492"/>
  <c r="CB491"/>
  <c r="CB490"/>
  <c r="CB489"/>
  <c r="CB488"/>
  <c r="CB487"/>
  <c r="CB486"/>
  <c r="CB485"/>
  <c r="CB484"/>
  <c r="CB483"/>
  <c r="CB482"/>
  <c r="CB481"/>
  <c r="CB480"/>
  <c r="CB479"/>
  <c r="CB478"/>
  <c r="CB477"/>
  <c r="CB476"/>
  <c r="CB475"/>
  <c r="CB474"/>
  <c r="CB473"/>
  <c r="CB472"/>
  <c r="CB471"/>
  <c r="CB470"/>
  <c r="CB469"/>
  <c r="CB468"/>
  <c r="CB467"/>
  <c r="CB466"/>
  <c r="CB465"/>
  <c r="CB464"/>
  <c r="CB463"/>
  <c r="CB462"/>
  <c r="CB461"/>
  <c r="CB460"/>
  <c r="CB459"/>
  <c r="CB458"/>
  <c r="CB457"/>
  <c r="CB456"/>
  <c r="CB455"/>
  <c r="CB454"/>
  <c r="CB453"/>
  <c r="CB452"/>
  <c r="CB451"/>
  <c r="CB450"/>
  <c r="CB449"/>
  <c r="CB448"/>
  <c r="CB447"/>
  <c r="CB446"/>
  <c r="CB445"/>
  <c r="CB444"/>
  <c r="CB443"/>
  <c r="CB442"/>
  <c r="CB441"/>
  <c r="CB440"/>
  <c r="CB439"/>
  <c r="CB438"/>
  <c r="CB437"/>
  <c r="CB436"/>
  <c r="CB435"/>
  <c r="CB434"/>
  <c r="CB433"/>
  <c r="CB432"/>
  <c r="CB431"/>
  <c r="CB430"/>
  <c r="CB429"/>
  <c r="CB428"/>
  <c r="CB427"/>
  <c r="CB426"/>
  <c r="CB425"/>
  <c r="CB424"/>
  <c r="CB423"/>
  <c r="CB422"/>
  <c r="CB421"/>
  <c r="CB420"/>
  <c r="CB419"/>
  <c r="CB418"/>
  <c r="CB417"/>
  <c r="CB416"/>
  <c r="CB415"/>
  <c r="CB414"/>
  <c r="CB413"/>
  <c r="CB412"/>
  <c r="CB411"/>
  <c r="CB410"/>
  <c r="CB409"/>
  <c r="CB408"/>
  <c r="CB407"/>
  <c r="CB406"/>
  <c r="CB405"/>
  <c r="CB404"/>
  <c r="CB403"/>
  <c r="CB402"/>
  <c r="CB401"/>
  <c r="CB400"/>
  <c r="CB399"/>
  <c r="CB398"/>
  <c r="CB397"/>
  <c r="CB396"/>
  <c r="CB395"/>
  <c r="CB394"/>
  <c r="CB393"/>
  <c r="CB392"/>
  <c r="CB391"/>
  <c r="CB390"/>
  <c r="CB389"/>
  <c r="CB388"/>
  <c r="CB387"/>
  <c r="CB386"/>
  <c r="CB385"/>
  <c r="CB384"/>
  <c r="CB383"/>
  <c r="CB382"/>
  <c r="CB381"/>
  <c r="CB380"/>
  <c r="CB379"/>
  <c r="CB378"/>
  <c r="CB377"/>
  <c r="CB376"/>
  <c r="CB375"/>
  <c r="CB374"/>
  <c r="CB373"/>
  <c r="CB372"/>
  <c r="CB371"/>
  <c r="CB370"/>
  <c r="CB369"/>
  <c r="CB368"/>
  <c r="CB367"/>
  <c r="CB366"/>
  <c r="CB365"/>
  <c r="CB364"/>
  <c r="CB363"/>
  <c r="CB362"/>
  <c r="CB361"/>
  <c r="CB360"/>
  <c r="CB359"/>
  <c r="CB358"/>
  <c r="CB357"/>
  <c r="CB356"/>
  <c r="CB355"/>
  <c r="CB354"/>
  <c r="CB353"/>
  <c r="CB352"/>
  <c r="CB351"/>
  <c r="CB350"/>
  <c r="CB349"/>
  <c r="CB348"/>
  <c r="CB347"/>
  <c r="CB346"/>
  <c r="CB345"/>
  <c r="CB344"/>
  <c r="CB343"/>
  <c r="CB342"/>
  <c r="CB341"/>
  <c r="CB340"/>
  <c r="CB339"/>
  <c r="CB338"/>
  <c r="CB337"/>
  <c r="CB336"/>
  <c r="CB335"/>
  <c r="CB334"/>
  <c r="CB333"/>
  <c r="CB332"/>
  <c r="CB331"/>
  <c r="CB330"/>
  <c r="CB329"/>
  <c r="CB328"/>
  <c r="CB327"/>
  <c r="CB326"/>
  <c r="CB325"/>
  <c r="CB324"/>
  <c r="CB323"/>
  <c r="CB322"/>
  <c r="CB321"/>
  <c r="CB320"/>
  <c r="CB319"/>
  <c r="CB318"/>
  <c r="CB317"/>
  <c r="CB316"/>
  <c r="CB315"/>
  <c r="CB314"/>
  <c r="CB313"/>
  <c r="CB312"/>
  <c r="CB311"/>
  <c r="CB310"/>
  <c r="CB309"/>
  <c r="CB308"/>
  <c r="CB307"/>
  <c r="CB306"/>
  <c r="CB305"/>
  <c r="CB304"/>
  <c r="CB303"/>
  <c r="CB302"/>
  <c r="CB301"/>
  <c r="CB300"/>
  <c r="CB299"/>
  <c r="CB298"/>
  <c r="CB297"/>
  <c r="CB296"/>
  <c r="CB295"/>
  <c r="CB294"/>
  <c r="CB293"/>
  <c r="CB292"/>
  <c r="CB291"/>
  <c r="CB290"/>
  <c r="CB289"/>
  <c r="CB288"/>
  <c r="CB287"/>
  <c r="CB286"/>
  <c r="CB285"/>
  <c r="CB284"/>
  <c r="CB283"/>
  <c r="CB282"/>
  <c r="CB281"/>
  <c r="CB280"/>
  <c r="CB279"/>
  <c r="CB278"/>
  <c r="CB277"/>
  <c r="CB276"/>
  <c r="CB275"/>
  <c r="CB274"/>
  <c r="CB273"/>
  <c r="CB272"/>
  <c r="CB271"/>
  <c r="CB270"/>
  <c r="CB269"/>
  <c r="CB268"/>
  <c r="CB267"/>
  <c r="CB266"/>
  <c r="CB265"/>
  <c r="CB264"/>
  <c r="CB263"/>
  <c r="CB262"/>
  <c r="CB261"/>
  <c r="CB260"/>
  <c r="CB259"/>
  <c r="CB258"/>
  <c r="CB257"/>
  <c r="CB256"/>
  <c r="CB255"/>
  <c r="CB254"/>
  <c r="CB253"/>
  <c r="CB252"/>
  <c r="CB251"/>
  <c r="CB250"/>
  <c r="CB249"/>
  <c r="CB248"/>
  <c r="CB247"/>
  <c r="CB246"/>
  <c r="CB245"/>
  <c r="CB244"/>
  <c r="CB243"/>
  <c r="CB242"/>
  <c r="CB241"/>
  <c r="CB240"/>
  <c r="CB239"/>
  <c r="CB238"/>
  <c r="CB237"/>
  <c r="CB236"/>
  <c r="CB235"/>
  <c r="CB234"/>
  <c r="CB233"/>
  <c r="CB232"/>
  <c r="CB231"/>
  <c r="CB230"/>
  <c r="CB229"/>
  <c r="CB228"/>
  <c r="CB227"/>
  <c r="CB226"/>
  <c r="CB225"/>
  <c r="CB224"/>
  <c r="CB223"/>
  <c r="CB222"/>
  <c r="CB221"/>
  <c r="CB220"/>
  <c r="CB219"/>
  <c r="CB218"/>
  <c r="CB217"/>
  <c r="CB216"/>
  <c r="CB215"/>
  <c r="CB214"/>
  <c r="CB213"/>
  <c r="CB212"/>
  <c r="CB211"/>
  <c r="CB210"/>
  <c r="CB209"/>
  <c r="CB208"/>
  <c r="CB207"/>
  <c r="CB206"/>
  <c r="CB205"/>
  <c r="CB204"/>
  <c r="CB203"/>
  <c r="CB202"/>
  <c r="CB201"/>
  <c r="CB200"/>
  <c r="CB199"/>
  <c r="CB198"/>
  <c r="CB197"/>
  <c r="CB196"/>
  <c r="CB195"/>
  <c r="CB194"/>
  <c r="CB193"/>
  <c r="CB192"/>
  <c r="CB191"/>
  <c r="CB190"/>
  <c r="CB189"/>
  <c r="CB188"/>
  <c r="CB187"/>
  <c r="CB186"/>
  <c r="CB185"/>
  <c r="CB184"/>
  <c r="CB183"/>
  <c r="CB182"/>
  <c r="CB181"/>
  <c r="CB180"/>
  <c r="CB179"/>
  <c r="CB178"/>
  <c r="CB177"/>
  <c r="CB176"/>
  <c r="CB175"/>
  <c r="CB174"/>
  <c r="CB173"/>
  <c r="CB172"/>
  <c r="CB171"/>
  <c r="CB170"/>
  <c r="CB169"/>
  <c r="CB168"/>
  <c r="CB167"/>
  <c r="CB166"/>
  <c r="CB165"/>
  <c r="CB164"/>
  <c r="CB163"/>
  <c r="CB162"/>
  <c r="CB161"/>
  <c r="CB160"/>
  <c r="CB159"/>
  <c r="CB158"/>
  <c r="CB157"/>
  <c r="CB156"/>
  <c r="CB155"/>
  <c r="CB154"/>
  <c r="CB153"/>
  <c r="CB152"/>
  <c r="CB151"/>
  <c r="CB150"/>
  <c r="CB149"/>
  <c r="CB148"/>
  <c r="CB147"/>
  <c r="CB146"/>
  <c r="CB145"/>
  <c r="CB144"/>
  <c r="CB143"/>
  <c r="CB142"/>
  <c r="CB141"/>
  <c r="CB140"/>
  <c r="CB139"/>
  <c r="CB138"/>
  <c r="CB137"/>
  <c r="CB136"/>
  <c r="CB135"/>
  <c r="CB134"/>
  <c r="CB133"/>
  <c r="CB132"/>
  <c r="CB131"/>
  <c r="CB130"/>
  <c r="CB129"/>
  <c r="CB128"/>
  <c r="CC128" s="1"/>
  <c r="CB127"/>
  <c r="CB126"/>
  <c r="CB125"/>
  <c r="CB124"/>
  <c r="CC124" s="1"/>
  <c r="CB123"/>
  <c r="CB122"/>
  <c r="CB121"/>
  <c r="CB120"/>
  <c r="CC120" s="1"/>
  <c r="CB119"/>
  <c r="CB118"/>
  <c r="CB117"/>
  <c r="CB116"/>
  <c r="CC116" s="1"/>
  <c r="CB115"/>
  <c r="CB114"/>
  <c r="CB113"/>
  <c r="CB112"/>
  <c r="CC112" s="1"/>
  <c r="CB111"/>
  <c r="CB110"/>
  <c r="CB109"/>
  <c r="CB108"/>
  <c r="CC108" s="1"/>
  <c r="CB107"/>
  <c r="CC106"/>
  <c r="CD2"/>
  <c r="CC107"/>
  <c r="CC109"/>
  <c r="CC110"/>
  <c r="CC111"/>
  <c r="CC113"/>
  <c r="CC114"/>
  <c r="CC115"/>
  <c r="CC117"/>
  <c r="CC118"/>
  <c r="CC119"/>
  <c r="CC121"/>
  <c r="CC122"/>
  <c r="CC123"/>
  <c r="CC125"/>
  <c r="CC126"/>
  <c r="CC127"/>
  <c r="CC129"/>
  <c r="CB105"/>
  <c r="CC105"/>
  <c r="F8" i="12"/>
  <c r="H1" s="1"/>
  <c r="J1"/>
  <c r="AH26"/>
  <c r="AH27"/>
  <c r="AL7"/>
  <c r="AJ11" s="1"/>
  <c r="AJ10"/>
  <c r="AK10"/>
  <c r="AO7"/>
  <c r="H8"/>
  <c r="H9"/>
  <c r="AN10"/>
  <c r="AO10"/>
  <c r="AN11"/>
  <c r="AO11"/>
  <c r="U12"/>
  <c r="H13"/>
  <c r="U13"/>
  <c r="U14"/>
  <c r="F15"/>
  <c r="U15"/>
  <c r="H17"/>
  <c r="H18"/>
  <c r="H19"/>
  <c r="AG19"/>
  <c r="H20"/>
  <c r="U20"/>
  <c r="H21"/>
  <c r="U21"/>
  <c r="U22"/>
  <c r="AG22"/>
  <c r="AH22"/>
  <c r="U23"/>
  <c r="AH23"/>
  <c r="H24"/>
  <c r="U24"/>
  <c r="U25"/>
  <c r="H27"/>
  <c r="H28"/>
  <c r="U28"/>
  <c r="U29"/>
  <c r="H31"/>
  <c r="P1" i="11"/>
  <c r="Q1" s="1"/>
  <c r="R1"/>
  <c r="S1"/>
  <c r="T1"/>
  <c r="V1"/>
  <c r="W1"/>
  <c r="P2"/>
  <c r="P3"/>
  <c r="W3"/>
  <c r="P4"/>
  <c r="C5"/>
  <c r="P5"/>
  <c r="W5"/>
  <c r="C6"/>
  <c r="P6"/>
  <c r="W6"/>
  <c r="C7"/>
  <c r="W7"/>
  <c r="C8"/>
  <c r="P8"/>
  <c r="C9"/>
  <c r="P9"/>
  <c r="W9"/>
  <c r="C10"/>
  <c r="P10"/>
  <c r="W10"/>
  <c r="C11"/>
  <c r="L11"/>
  <c r="P11"/>
  <c r="W11"/>
  <c r="Z100"/>
  <c r="L32" s="1"/>
  <c r="R100" s="1"/>
  <c r="I27"/>
  <c r="C13"/>
  <c r="P12"/>
  <c r="L13"/>
  <c r="P13"/>
  <c r="W13"/>
  <c r="W14"/>
  <c r="C15"/>
  <c r="W15"/>
  <c r="B17"/>
  <c r="W16"/>
  <c r="P17"/>
  <c r="W17"/>
  <c r="W18"/>
  <c r="P19"/>
  <c r="W19"/>
  <c r="C20"/>
  <c r="P20"/>
  <c r="W20"/>
  <c r="P21"/>
  <c r="W21"/>
  <c r="G22"/>
  <c r="Z115" s="1"/>
  <c r="K22"/>
  <c r="K23" s="1"/>
  <c r="L22"/>
  <c r="P22"/>
  <c r="W22"/>
  <c r="P23"/>
  <c r="W23"/>
  <c r="P24"/>
  <c r="W24"/>
  <c r="P25"/>
  <c r="P26"/>
  <c r="W26"/>
  <c r="J27"/>
  <c r="W27"/>
  <c r="J28"/>
  <c r="P28"/>
  <c r="I29"/>
  <c r="P29"/>
  <c r="W29"/>
  <c r="P30"/>
  <c r="W30"/>
  <c r="J31"/>
  <c r="P31"/>
  <c r="W31"/>
  <c r="P32"/>
  <c r="P33"/>
  <c r="W33"/>
  <c r="W34"/>
  <c r="J36"/>
  <c r="W35"/>
  <c r="P36"/>
  <c r="W36"/>
  <c r="Z102"/>
  <c r="Z114" s="1"/>
  <c r="AB114"/>
  <c r="AB102"/>
  <c r="U103"/>
  <c r="Z103"/>
  <c r="U104"/>
  <c r="U105"/>
  <c r="AB105"/>
  <c r="U106"/>
  <c r="U107"/>
  <c r="Z107"/>
  <c r="U108"/>
  <c r="Z108"/>
  <c r="U109"/>
  <c r="Z109"/>
  <c r="U110"/>
  <c r="U111"/>
  <c r="Y111"/>
  <c r="Z111"/>
  <c r="AB111"/>
  <c r="U112"/>
  <c r="W112"/>
  <c r="U113"/>
  <c r="Y113"/>
  <c r="U114"/>
  <c r="U115"/>
  <c r="U116"/>
  <c r="U117"/>
  <c r="U118"/>
  <c r="U119"/>
  <c r="U120"/>
  <c r="U121"/>
  <c r="U122"/>
  <c r="U123"/>
  <c r="Q1" i="10"/>
  <c r="AE27" s="1"/>
  <c r="C4"/>
  <c r="C5"/>
  <c r="C6"/>
  <c r="C7"/>
  <c r="C8"/>
  <c r="C9"/>
  <c r="C10"/>
  <c r="M10"/>
  <c r="T76"/>
  <c r="H18" s="1"/>
  <c r="U76"/>
  <c r="J23"/>
  <c r="M12"/>
  <c r="C13"/>
  <c r="B13"/>
  <c r="T94"/>
  <c r="T95" s="1"/>
  <c r="M18"/>
  <c r="C21"/>
  <c r="K21"/>
  <c r="K23"/>
  <c r="K27"/>
  <c r="K28"/>
  <c r="AB80"/>
  <c r="AC84"/>
  <c r="AA78"/>
  <c r="AB78"/>
  <c r="AA88"/>
  <c r="AB79"/>
  <c r="AA80"/>
  <c r="S81"/>
  <c r="S82"/>
  <c r="T82"/>
  <c r="S83"/>
  <c r="T83"/>
  <c r="AA83"/>
  <c r="S85"/>
  <c r="T85"/>
  <c r="AA89"/>
  <c r="S93"/>
  <c r="S98"/>
  <c r="T1" i="9"/>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I678"/>
  <c r="I679"/>
  <c r="I680"/>
  <c r="I681"/>
  <c r="I682"/>
  <c r="I683"/>
  <c r="I684"/>
  <c r="I685"/>
  <c r="I686"/>
  <c r="I687"/>
  <c r="I688"/>
  <c r="I689"/>
  <c r="I690"/>
  <c r="I691"/>
  <c r="I692"/>
  <c r="I693"/>
  <c r="I694"/>
  <c r="I695"/>
  <c r="I696"/>
  <c r="I697"/>
  <c r="I698"/>
  <c r="I699"/>
  <c r="I700"/>
  <c r="I701"/>
  <c r="I702"/>
  <c r="I703"/>
  <c r="I704"/>
  <c r="I705"/>
  <c r="I706"/>
  <c r="I707"/>
  <c r="I708"/>
  <c r="I709"/>
  <c r="I710"/>
  <c r="I711"/>
  <c r="I712"/>
  <c r="I713"/>
  <c r="I714"/>
  <c r="I715"/>
  <c r="I716"/>
  <c r="I717"/>
  <c r="I718"/>
  <c r="I719"/>
  <c r="I720"/>
  <c r="I721"/>
  <c r="I722"/>
  <c r="I723"/>
  <c r="I724"/>
  <c r="I725"/>
  <c r="I726"/>
  <c r="I727"/>
  <c r="I728"/>
  <c r="I729"/>
  <c r="I730"/>
  <c r="I731"/>
  <c r="I732"/>
  <c r="I733"/>
  <c r="I734"/>
  <c r="I735"/>
  <c r="I736"/>
  <c r="I737"/>
  <c r="I738"/>
  <c r="I739"/>
  <c r="I740"/>
  <c r="I741"/>
  <c r="I742"/>
  <c r="I743"/>
  <c r="I744"/>
  <c r="I745"/>
  <c r="I746"/>
  <c r="I747"/>
  <c r="I748"/>
  <c r="I749"/>
  <c r="I750"/>
  <c r="I751"/>
  <c r="I752"/>
  <c r="I753"/>
  <c r="I754"/>
  <c r="I755"/>
  <c r="I756"/>
  <c r="I757"/>
  <c r="I758"/>
  <c r="I759"/>
  <c r="I760"/>
  <c r="I761"/>
  <c r="I762"/>
  <c r="I763"/>
  <c r="I764"/>
  <c r="I765"/>
  <c r="I766"/>
  <c r="I767"/>
  <c r="I768"/>
  <c r="I769"/>
  <c r="I770"/>
  <c r="I771"/>
  <c r="I772"/>
  <c r="I773"/>
  <c r="I774"/>
  <c r="I775"/>
  <c r="I776"/>
  <c r="I777"/>
  <c r="I778"/>
  <c r="I779"/>
  <c r="I780"/>
  <c r="I781"/>
  <c r="I782"/>
  <c r="I783"/>
  <c r="I784"/>
  <c r="I785"/>
  <c r="I786"/>
  <c r="I787"/>
  <c r="I788"/>
  <c r="I789"/>
  <c r="I790"/>
  <c r="I791"/>
  <c r="I792"/>
  <c r="I793"/>
  <c r="I794"/>
  <c r="I795"/>
  <c r="I796"/>
  <c r="I797"/>
  <c r="I798"/>
  <c r="I799"/>
  <c r="I800"/>
  <c r="I801"/>
  <c r="I802"/>
  <c r="I803"/>
  <c r="I804"/>
  <c r="I805"/>
  <c r="I806"/>
  <c r="I807"/>
  <c r="I808"/>
  <c r="I809"/>
  <c r="I810"/>
  <c r="I811"/>
  <c r="I812"/>
  <c r="I813"/>
  <c r="I814"/>
  <c r="I815"/>
  <c r="I816"/>
  <c r="I817"/>
  <c r="I818"/>
  <c r="I819"/>
  <c r="I820"/>
  <c r="I821"/>
  <c r="I822"/>
  <c r="I823"/>
  <c r="I824"/>
  <c r="I825"/>
  <c r="I826"/>
  <c r="I827"/>
  <c r="I828"/>
  <c r="I829"/>
  <c r="I830"/>
  <c r="I831"/>
  <c r="I832"/>
  <c r="I833"/>
  <c r="I834"/>
  <c r="I835"/>
  <c r="I836"/>
  <c r="I837"/>
  <c r="I838"/>
  <c r="I839"/>
  <c r="I840"/>
  <c r="I841"/>
  <c r="I842"/>
  <c r="I843"/>
  <c r="I844"/>
  <c r="I845"/>
  <c r="I846"/>
  <c r="I847"/>
  <c r="I848"/>
  <c r="I849"/>
  <c r="I850"/>
  <c r="I851"/>
  <c r="I852"/>
  <c r="I853"/>
  <c r="I854"/>
  <c r="I855"/>
  <c r="I856"/>
  <c r="I857"/>
  <c r="I858"/>
  <c r="I859"/>
  <c r="I860"/>
  <c r="I861"/>
  <c r="I862"/>
  <c r="I863"/>
  <c r="I864"/>
  <c r="I865"/>
  <c r="I866"/>
  <c r="I867"/>
  <c r="I868"/>
  <c r="I869"/>
  <c r="I870"/>
  <c r="I871"/>
  <c r="I872"/>
  <c r="I873"/>
  <c r="I874"/>
  <c r="I875"/>
  <c r="I876"/>
  <c r="I877"/>
  <c r="I878"/>
  <c r="I879"/>
  <c r="I880"/>
  <c r="I881"/>
  <c r="I882"/>
  <c r="I883"/>
  <c r="I884"/>
  <c r="I885"/>
  <c r="I886"/>
  <c r="I887"/>
  <c r="I888"/>
  <c r="I889"/>
  <c r="I890"/>
  <c r="I891"/>
  <c r="I892"/>
  <c r="I893"/>
  <c r="I894"/>
  <c r="I895"/>
  <c r="I896"/>
  <c r="I897"/>
  <c r="I898"/>
  <c r="I899"/>
  <c r="I900"/>
  <c r="I901"/>
  <c r="I902"/>
  <c r="I903"/>
  <c r="I904"/>
  <c r="I905"/>
  <c r="I906"/>
  <c r="I907"/>
  <c r="I908"/>
  <c r="I909"/>
  <c r="I910"/>
  <c r="I911"/>
  <c r="I912"/>
  <c r="I913"/>
  <c r="I914"/>
  <c r="I915"/>
  <c r="I916"/>
  <c r="I917"/>
  <c r="I918"/>
  <c r="I919"/>
  <c r="I920"/>
  <c r="I921"/>
  <c r="I922"/>
  <c r="I923"/>
  <c r="I924"/>
  <c r="I925"/>
  <c r="I926"/>
  <c r="I927"/>
  <c r="I928"/>
  <c r="I929"/>
  <c r="I930"/>
  <c r="I931"/>
  <c r="I932"/>
  <c r="I933"/>
  <c r="I934"/>
  <c r="I935"/>
  <c r="I936"/>
  <c r="I937"/>
  <c r="I938"/>
  <c r="I939"/>
  <c r="I940"/>
  <c r="I941"/>
  <c r="I942"/>
  <c r="I943"/>
  <c r="I944"/>
  <c r="I945"/>
  <c r="I946"/>
  <c r="I947"/>
  <c r="I948"/>
  <c r="I949"/>
  <c r="I950"/>
  <c r="I951"/>
  <c r="I952"/>
  <c r="I953"/>
  <c r="I954"/>
  <c r="I955"/>
  <c r="I956"/>
  <c r="I957"/>
  <c r="I958"/>
  <c r="I959"/>
  <c r="I960"/>
  <c r="I961"/>
  <c r="I962"/>
  <c r="I963"/>
  <c r="I964"/>
  <c r="I965"/>
  <c r="I966"/>
  <c r="I967"/>
  <c r="I968"/>
  <c r="I969"/>
  <c r="I970"/>
  <c r="I971"/>
  <c r="I972"/>
  <c r="I973"/>
  <c r="I974"/>
  <c r="I975"/>
  <c r="I976"/>
  <c r="I977"/>
  <c r="I978"/>
  <c r="I979"/>
  <c r="I980"/>
  <c r="I981"/>
  <c r="I982"/>
  <c r="I983"/>
  <c r="I984"/>
  <c r="I985"/>
  <c r="I986"/>
  <c r="I987"/>
  <c r="I988"/>
  <c r="I989"/>
  <c r="I990"/>
  <c r="I991"/>
  <c r="I992"/>
  <c r="I993"/>
  <c r="I994"/>
  <c r="I995"/>
  <c r="I996"/>
  <c r="I997"/>
  <c r="I998"/>
  <c r="I999"/>
  <c r="I1000"/>
  <c r="I1001"/>
  <c r="I1002"/>
  <c r="I1003"/>
  <c r="I1004"/>
  <c r="I1005"/>
  <c r="I1006"/>
  <c r="I1007"/>
  <c r="I1008"/>
  <c r="X4"/>
  <c r="AA4"/>
  <c r="C5"/>
  <c r="C6"/>
  <c r="C7"/>
  <c r="T7"/>
  <c r="C8"/>
  <c r="AA8"/>
  <c r="C9"/>
  <c r="AA11"/>
  <c r="T12"/>
  <c r="C14"/>
  <c r="B14"/>
  <c r="M14"/>
  <c r="O14"/>
  <c r="U15"/>
  <c r="P16"/>
  <c r="T16"/>
  <c r="P17"/>
  <c r="P18"/>
  <c r="V19"/>
  <c r="X19"/>
  <c r="Y19"/>
  <c r="W23"/>
  <c r="O24"/>
  <c r="W24"/>
  <c r="O25"/>
  <c r="O26"/>
  <c r="R27"/>
  <c r="AA28"/>
  <c r="O29"/>
  <c r="O34"/>
  <c r="T36"/>
  <c r="AC87"/>
  <c r="AD87"/>
  <c r="AF87"/>
  <c r="AG87"/>
  <c r="AF101"/>
  <c r="AF103"/>
  <c r="AE102" s="1"/>
  <c r="AE105"/>
  <c r="Y89"/>
  <c r="AF89"/>
  <c r="X90"/>
  <c r="Y91"/>
  <c r="X92"/>
  <c r="Y93"/>
  <c r="AF93"/>
  <c r="X94"/>
  <c r="AF94"/>
  <c r="Y95"/>
  <c r="AF95"/>
  <c r="X96"/>
  <c r="AF96"/>
  <c r="Y97"/>
  <c r="X98"/>
  <c r="Y99"/>
  <c r="X100"/>
  <c r="Y101"/>
  <c r="X102"/>
  <c r="Y103"/>
  <c r="X104"/>
  <c r="Y105"/>
  <c r="X106"/>
  <c r="Y107"/>
  <c r="X108"/>
  <c r="Y109"/>
  <c r="X110"/>
  <c r="Y111"/>
  <c r="X112"/>
  <c r="Y113"/>
  <c r="X114"/>
  <c r="Y115"/>
  <c r="X116"/>
  <c r="Y117"/>
  <c r="X118"/>
  <c r="Y119"/>
  <c r="X120"/>
  <c r="Y121"/>
  <c r="X122"/>
  <c r="Y123"/>
  <c r="X124"/>
  <c r="Y125"/>
  <c r="X126"/>
  <c r="Y127"/>
  <c r="X128"/>
  <c r="Y129"/>
  <c r="X130"/>
  <c r="Y131"/>
  <c r="X132"/>
  <c r="Y133"/>
  <c r="X134"/>
  <c r="Y135"/>
  <c r="X136"/>
  <c r="Y137"/>
  <c r="X138"/>
  <c r="Y139"/>
  <c r="X140"/>
  <c r="Y141"/>
  <c r="X142"/>
  <c r="Y143"/>
  <c r="X144"/>
  <c r="Y145"/>
  <c r="X146"/>
  <c r="Y147"/>
  <c r="X148"/>
  <c r="Y149"/>
  <c r="X150"/>
  <c r="Y151"/>
  <c r="X152"/>
  <c r="Y153"/>
  <c r="X154"/>
  <c r="Y155"/>
  <c r="X156"/>
  <c r="Y157"/>
  <c r="X158"/>
  <c r="Y159"/>
  <c r="X160"/>
  <c r="Y161"/>
  <c r="X162"/>
  <c r="Y163"/>
  <c r="X164"/>
  <c r="Y165"/>
  <c r="X166"/>
  <c r="Y167"/>
  <c r="X168"/>
  <c r="Y169"/>
  <c r="X170"/>
  <c r="Y171"/>
  <c r="X172"/>
  <c r="Y173"/>
  <c r="X174"/>
  <c r="Y175"/>
  <c r="X176"/>
  <c r="Y177"/>
  <c r="X178"/>
  <c r="Y179"/>
  <c r="X180"/>
  <c r="Y181"/>
  <c r="X182"/>
  <c r="Y183"/>
  <c r="X184"/>
  <c r="Y185"/>
  <c r="X186"/>
  <c r="Y187"/>
  <c r="X188"/>
  <c r="Y189"/>
  <c r="X190"/>
  <c r="Y191"/>
  <c r="X192"/>
  <c r="Y193"/>
  <c r="X194"/>
  <c r="Y195"/>
  <c r="X196"/>
  <c r="Y197"/>
  <c r="X198"/>
  <c r="Y199"/>
  <c r="X200"/>
  <c r="Y201"/>
  <c r="X202"/>
  <c r="Y203"/>
  <c r="X204"/>
  <c r="Y205"/>
  <c r="X206"/>
  <c r="Y207"/>
  <c r="X208"/>
  <c r="Y209"/>
  <c r="X210"/>
  <c r="Y211"/>
  <c r="X212"/>
  <c r="Y213"/>
  <c r="X214"/>
  <c r="Y215"/>
  <c r="X216"/>
  <c r="Y217"/>
  <c r="X218"/>
  <c r="Y219"/>
  <c r="X220"/>
  <c r="Y221"/>
  <c r="X222"/>
  <c r="Y223"/>
  <c r="X224"/>
  <c r="Y225"/>
  <c r="X226"/>
  <c r="Y227"/>
  <c r="X228"/>
  <c r="Y229"/>
  <c r="X230"/>
  <c r="Y231"/>
  <c r="X232"/>
  <c r="Y233"/>
  <c r="X234"/>
  <c r="Y235"/>
  <c r="X236"/>
  <c r="Y237"/>
  <c r="X238"/>
  <c r="Y239"/>
  <c r="X240"/>
  <c r="Y241"/>
  <c r="X242"/>
  <c r="Y243"/>
  <c r="X244"/>
  <c r="Y245"/>
  <c r="X246"/>
  <c r="Y247"/>
  <c r="X248"/>
  <c r="Y249"/>
  <c r="X250"/>
  <c r="Y251"/>
  <c r="X252"/>
  <c r="Y253"/>
  <c r="X254"/>
  <c r="Y255"/>
  <c r="X256"/>
  <c r="Y257"/>
  <c r="X258"/>
  <c r="Y259"/>
  <c r="X260"/>
  <c r="Y261"/>
  <c r="X262"/>
  <c r="Y263"/>
  <c r="X264"/>
  <c r="Y265"/>
  <c r="X266"/>
  <c r="Y267"/>
  <c r="X268"/>
  <c r="Y269"/>
  <c r="X270"/>
  <c r="Y271"/>
  <c r="X272"/>
  <c r="Y273"/>
  <c r="X274"/>
  <c r="Y275"/>
  <c r="X276"/>
  <c r="Y277"/>
  <c r="X278"/>
  <c r="Y279"/>
  <c r="X280"/>
  <c r="Y281"/>
  <c r="X282"/>
  <c r="Y283"/>
  <c r="X284"/>
  <c r="Y285"/>
  <c r="X286"/>
  <c r="Y287"/>
  <c r="X288"/>
  <c r="V1" i="8"/>
  <c r="AI1"/>
  <c r="C4"/>
  <c r="C5"/>
  <c r="V5"/>
  <c r="C6"/>
  <c r="C7"/>
  <c r="C8"/>
  <c r="O15"/>
  <c r="C9"/>
  <c r="Q15"/>
  <c r="C10" s="1"/>
  <c r="Q17"/>
  <c r="O16"/>
  <c r="X85" s="1"/>
  <c r="Q16"/>
  <c r="Y83" s="1"/>
  <c r="AJ11"/>
  <c r="C13"/>
  <c r="O14"/>
  <c r="Q14"/>
  <c r="AB14"/>
  <c r="R16"/>
  <c r="R17"/>
  <c r="V17"/>
  <c r="AJ17"/>
  <c r="R19"/>
  <c r="C21"/>
  <c r="V21"/>
  <c r="Q22"/>
  <c r="Q24"/>
  <c r="V27"/>
  <c r="Q28"/>
  <c r="AB28"/>
  <c r="Q29"/>
  <c r="AB34"/>
  <c r="AA35"/>
  <c r="AI77"/>
  <c r="AV78"/>
  <c r="AU79" s="1"/>
  <c r="AK109" s="1"/>
  <c r="AV80"/>
  <c r="AI176"/>
  <c r="AK176" s="1"/>
  <c r="AJ176" s="1"/>
  <c r="AI175"/>
  <c r="AK175"/>
  <c r="AL175" s="1"/>
  <c r="AM175" s="1"/>
  <c r="N175" s="1"/>
  <c r="AI174"/>
  <c r="AK174" s="1"/>
  <c r="AI173"/>
  <c r="AK173"/>
  <c r="AL173" s="1"/>
  <c r="AM173" s="1"/>
  <c r="N173" s="1"/>
  <c r="AI172"/>
  <c r="AK172" s="1"/>
  <c r="AI171"/>
  <c r="AK171"/>
  <c r="AI170"/>
  <c r="AK170" s="1"/>
  <c r="AI169"/>
  <c r="AK169"/>
  <c r="AI168"/>
  <c r="AK168" s="1"/>
  <c r="AJ168" s="1"/>
  <c r="AI167"/>
  <c r="AK167"/>
  <c r="AJ167" s="1"/>
  <c r="O167" s="1"/>
  <c r="AI166"/>
  <c r="AK166" s="1"/>
  <c r="AI165"/>
  <c r="AK165"/>
  <c r="AJ165" s="1"/>
  <c r="O165" s="1"/>
  <c r="AI164"/>
  <c r="AK164" s="1"/>
  <c r="AJ164" s="1"/>
  <c r="O164" s="1"/>
  <c r="AI163"/>
  <c r="AK163"/>
  <c r="AI162"/>
  <c r="AK162" s="1"/>
  <c r="AJ162" s="1"/>
  <c r="AI161"/>
  <c r="AK161"/>
  <c r="AI160"/>
  <c r="AK160" s="1"/>
  <c r="AJ160" s="1"/>
  <c r="AI159"/>
  <c r="AK159"/>
  <c r="AJ159" s="1"/>
  <c r="O159" s="1"/>
  <c r="AI158"/>
  <c r="AK158" s="1"/>
  <c r="AI157"/>
  <c r="AK157"/>
  <c r="AJ157" s="1"/>
  <c r="O157" s="1"/>
  <c r="AI156"/>
  <c r="AK156" s="1"/>
  <c r="AL156" s="1"/>
  <c r="AM156" s="1"/>
  <c r="AI155"/>
  <c r="AK155"/>
  <c r="AJ155" s="1"/>
  <c r="AI154"/>
  <c r="AK154" s="1"/>
  <c r="AJ154" s="1"/>
  <c r="O154" s="1"/>
  <c r="AI153"/>
  <c r="AK153"/>
  <c r="AJ153" s="1"/>
  <c r="AI152"/>
  <c r="AK152" s="1"/>
  <c r="AJ152" s="1"/>
  <c r="AI151"/>
  <c r="AK151"/>
  <c r="AI150"/>
  <c r="AK150" s="1"/>
  <c r="AI149"/>
  <c r="AK149"/>
  <c r="AI148"/>
  <c r="AK148" s="1"/>
  <c r="AI147"/>
  <c r="AK147"/>
  <c r="AJ147" s="1"/>
  <c r="AI146"/>
  <c r="AK146" s="1"/>
  <c r="AL146" s="1"/>
  <c r="AM146" s="1"/>
  <c r="N146" s="1"/>
  <c r="AI145"/>
  <c r="AK145"/>
  <c r="AJ145" s="1"/>
  <c r="AI144"/>
  <c r="AK144" s="1"/>
  <c r="AJ144" s="1"/>
  <c r="AI143"/>
  <c r="AK143"/>
  <c r="AJ143" s="1"/>
  <c r="O143" s="1"/>
  <c r="AI142"/>
  <c r="AK142" s="1"/>
  <c r="AI141"/>
  <c r="AK141"/>
  <c r="AJ141" s="1"/>
  <c r="O141" s="1"/>
  <c r="AI140"/>
  <c r="AK140" s="1"/>
  <c r="AL140" s="1"/>
  <c r="AM140" s="1"/>
  <c r="AI139"/>
  <c r="AK139"/>
  <c r="AJ139" s="1"/>
  <c r="AI138"/>
  <c r="AK138" s="1"/>
  <c r="AJ138" s="1"/>
  <c r="O138" s="1"/>
  <c r="AI137"/>
  <c r="AK137"/>
  <c r="AJ137" s="1"/>
  <c r="AI136"/>
  <c r="AK136" s="1"/>
  <c r="AJ136" s="1"/>
  <c r="AI135"/>
  <c r="AK135"/>
  <c r="AI134"/>
  <c r="AK134" s="1"/>
  <c r="AI133"/>
  <c r="AK133"/>
  <c r="AJ133" s="1"/>
  <c r="AI132"/>
  <c r="AK132" s="1"/>
  <c r="AL132" s="1"/>
  <c r="AM132" s="1"/>
  <c r="N132" s="1"/>
  <c r="AI131"/>
  <c r="AK131"/>
  <c r="AJ131" s="1"/>
  <c r="AI130"/>
  <c r="AK130" s="1"/>
  <c r="AI129"/>
  <c r="AK129"/>
  <c r="AJ129" s="1"/>
  <c r="AI128"/>
  <c r="AK128" s="1"/>
  <c r="AJ128" s="1"/>
  <c r="O128" s="1"/>
  <c r="AI127"/>
  <c r="AK127"/>
  <c r="AI126"/>
  <c r="AK126" s="1"/>
  <c r="AI125"/>
  <c r="AK125"/>
  <c r="AJ125" s="1"/>
  <c r="O125" s="1"/>
  <c r="AI124"/>
  <c r="AK124" s="1"/>
  <c r="AI123"/>
  <c r="AK123"/>
  <c r="AJ123" s="1"/>
  <c r="AI122"/>
  <c r="AK122" s="1"/>
  <c r="AI121"/>
  <c r="AK121"/>
  <c r="AJ121" s="1"/>
  <c r="AI120"/>
  <c r="AK120" s="1"/>
  <c r="AJ120" s="1"/>
  <c r="O120" s="1"/>
  <c r="AI119"/>
  <c r="AK119"/>
  <c r="AI118"/>
  <c r="AK118" s="1"/>
  <c r="AI117"/>
  <c r="AK117"/>
  <c r="AI116"/>
  <c r="AK116" s="1"/>
  <c r="AI115"/>
  <c r="AK115"/>
  <c r="AJ115" s="1"/>
  <c r="AI114"/>
  <c r="AK114" s="1"/>
  <c r="AL114" s="1"/>
  <c r="AM114" s="1"/>
  <c r="N114" s="1"/>
  <c r="AI113"/>
  <c r="AK113"/>
  <c r="AJ113" s="1"/>
  <c r="AI112"/>
  <c r="AK112" s="1"/>
  <c r="AJ112" s="1"/>
  <c r="O112" s="1"/>
  <c r="AI111"/>
  <c r="AK111"/>
  <c r="AJ111" s="1"/>
  <c r="O111" s="1"/>
  <c r="AI110"/>
  <c r="AI109"/>
  <c r="AI108"/>
  <c r="AK108" s="1"/>
  <c r="AI107"/>
  <c r="AI106"/>
  <c r="AI105"/>
  <c r="AI104"/>
  <c r="AI103"/>
  <c r="AI102"/>
  <c r="AI101"/>
  <c r="AI100"/>
  <c r="AI99"/>
  <c r="AI98"/>
  <c r="AK98" s="1"/>
  <c r="AI97"/>
  <c r="AI96"/>
  <c r="AI95"/>
  <c r="AK95"/>
  <c r="AI94"/>
  <c r="AI93"/>
  <c r="AK93"/>
  <c r="AI92"/>
  <c r="AK92" s="1"/>
  <c r="AI91"/>
  <c r="AI90"/>
  <c r="AI89"/>
  <c r="AI88"/>
  <c r="AI87"/>
  <c r="AI86"/>
  <c r="AI85"/>
  <c r="AI84"/>
  <c r="AI83"/>
  <c r="AI82"/>
  <c r="AK82" s="1"/>
  <c r="AI81"/>
  <c r="AI80"/>
  <c r="AI79"/>
  <c r="AK79"/>
  <c r="AI78"/>
  <c r="AU82"/>
  <c r="AR140" s="1"/>
  <c r="AN77"/>
  <c r="AN176"/>
  <c r="AP176"/>
  <c r="AO176" s="1"/>
  <c r="AN175"/>
  <c r="AP175" s="1"/>
  <c r="AQ175" s="1"/>
  <c r="AR175" s="1"/>
  <c r="P175" s="1"/>
  <c r="AN174"/>
  <c r="AP174"/>
  <c r="AN173"/>
  <c r="AP173" s="1"/>
  <c r="AQ173" s="1"/>
  <c r="AR173" s="1"/>
  <c r="P173" s="1"/>
  <c r="AN172"/>
  <c r="AP172"/>
  <c r="AN171"/>
  <c r="AP171" s="1"/>
  <c r="AQ171" s="1"/>
  <c r="AN170"/>
  <c r="AP170"/>
  <c r="AQ170" s="1"/>
  <c r="AN169"/>
  <c r="AP169" s="1"/>
  <c r="AN168"/>
  <c r="AP168"/>
  <c r="AQ168" s="1"/>
  <c r="AN167"/>
  <c r="AP167" s="1"/>
  <c r="AN166"/>
  <c r="AP166"/>
  <c r="AN165"/>
  <c r="AP165" s="1"/>
  <c r="AN164"/>
  <c r="AP164"/>
  <c r="AN163"/>
  <c r="AP163" s="1"/>
  <c r="AQ163" s="1"/>
  <c r="AN162"/>
  <c r="AP162"/>
  <c r="AO162" s="1"/>
  <c r="AN161"/>
  <c r="AP161" s="1"/>
  <c r="AN160"/>
  <c r="AP160"/>
  <c r="AO160" s="1"/>
  <c r="AN159"/>
  <c r="AP159" s="1"/>
  <c r="AN158"/>
  <c r="AP158"/>
  <c r="AQ158" s="1"/>
  <c r="AN157"/>
  <c r="AP157" s="1"/>
  <c r="AN156"/>
  <c r="AP156"/>
  <c r="AQ156" s="1"/>
  <c r="AN155"/>
  <c r="AP155" s="1"/>
  <c r="AQ155" s="1"/>
  <c r="AN154"/>
  <c r="AP154"/>
  <c r="AQ154" s="1"/>
  <c r="AR154" s="1"/>
  <c r="AN153"/>
  <c r="AP153" s="1"/>
  <c r="AN152"/>
  <c r="AP152"/>
  <c r="AN151"/>
  <c r="AP151" s="1"/>
  <c r="AO151" s="1"/>
  <c r="Q151" s="1"/>
  <c r="AN150"/>
  <c r="AP150"/>
  <c r="AQ150" s="1"/>
  <c r="AN149"/>
  <c r="AP149" s="1"/>
  <c r="AN148"/>
  <c r="AP148"/>
  <c r="AQ148" s="1"/>
  <c r="AN147"/>
  <c r="AP147" s="1"/>
  <c r="AQ147" s="1"/>
  <c r="AN146"/>
  <c r="AP146"/>
  <c r="AN145"/>
  <c r="AP145" s="1"/>
  <c r="AN144"/>
  <c r="AP144"/>
  <c r="AN143"/>
  <c r="AP143" s="1"/>
  <c r="AN142"/>
  <c r="AP142"/>
  <c r="AQ142" s="1"/>
  <c r="AN141"/>
  <c r="AP141" s="1"/>
  <c r="AN140"/>
  <c r="AP140"/>
  <c r="AQ140" s="1"/>
  <c r="AN139"/>
  <c r="AP139" s="1"/>
  <c r="AQ139" s="1"/>
  <c r="AN138"/>
  <c r="AP138"/>
  <c r="AQ138" s="1"/>
  <c r="AR138" s="1"/>
  <c r="AN137"/>
  <c r="AP137"/>
  <c r="AN136"/>
  <c r="AP136"/>
  <c r="AN135"/>
  <c r="AP135"/>
  <c r="AO135" s="1"/>
  <c r="AN134"/>
  <c r="AP134"/>
  <c r="AQ134" s="1"/>
  <c r="AR134" s="1"/>
  <c r="P134" s="1"/>
  <c r="AN133"/>
  <c r="AP133"/>
  <c r="AN132"/>
  <c r="AP132"/>
  <c r="AN131"/>
  <c r="AP131"/>
  <c r="AQ131" s="1"/>
  <c r="AR131" s="1"/>
  <c r="P131" s="1"/>
  <c r="AN130"/>
  <c r="AP130"/>
  <c r="AQ130" s="1"/>
  <c r="AR130" s="1"/>
  <c r="P130" s="1"/>
  <c r="AN129"/>
  <c r="AP129"/>
  <c r="AN128"/>
  <c r="AP128"/>
  <c r="AN127"/>
  <c r="AP127"/>
  <c r="AO127" s="1"/>
  <c r="Q127" s="1"/>
  <c r="AN126"/>
  <c r="AP126"/>
  <c r="AN125"/>
  <c r="AP125"/>
  <c r="AN124"/>
  <c r="AP124"/>
  <c r="AQ124" s="1"/>
  <c r="AR124" s="1"/>
  <c r="P124" s="1"/>
  <c r="AN123"/>
  <c r="AP123"/>
  <c r="AQ123" s="1"/>
  <c r="AR123" s="1"/>
  <c r="P123" s="1"/>
  <c r="AN122"/>
  <c r="AP122"/>
  <c r="AQ122" s="1"/>
  <c r="AR122" s="1"/>
  <c r="AN121"/>
  <c r="AP121"/>
  <c r="AN120"/>
  <c r="AP120"/>
  <c r="AN119"/>
  <c r="AP119"/>
  <c r="AO119" s="1"/>
  <c r="Q119" s="1"/>
  <c r="AN118"/>
  <c r="AP118"/>
  <c r="AN117"/>
  <c r="AP117"/>
  <c r="AN116"/>
  <c r="AP116"/>
  <c r="AQ116" s="1"/>
  <c r="AR116" s="1"/>
  <c r="P116" s="1"/>
  <c r="AN115"/>
  <c r="AP115"/>
  <c r="AQ115" s="1"/>
  <c r="AR115" s="1"/>
  <c r="P115" s="1"/>
  <c r="AN114"/>
  <c r="AP114"/>
  <c r="AN113"/>
  <c r="AP113"/>
  <c r="AN112"/>
  <c r="AP112"/>
  <c r="AN111"/>
  <c r="AP111"/>
  <c r="AO111" s="1"/>
  <c r="Q111" s="1"/>
  <c r="AN110"/>
  <c r="AP110"/>
  <c r="AN109"/>
  <c r="AP109"/>
  <c r="AN108"/>
  <c r="AP108"/>
  <c r="AN107"/>
  <c r="AN106"/>
  <c r="AN105"/>
  <c r="AN104"/>
  <c r="AN103"/>
  <c r="AN102"/>
  <c r="AN101"/>
  <c r="AN100"/>
  <c r="AP100"/>
  <c r="AN99"/>
  <c r="AN98"/>
  <c r="AP98"/>
  <c r="AN97"/>
  <c r="AN96"/>
  <c r="AN95"/>
  <c r="AN94"/>
  <c r="AN93"/>
  <c r="AN92"/>
  <c r="AP92"/>
  <c r="AN91"/>
  <c r="AN90"/>
  <c r="AN89"/>
  <c r="AN88"/>
  <c r="AN87"/>
  <c r="AN86"/>
  <c r="AN85"/>
  <c r="AN84"/>
  <c r="AP84"/>
  <c r="AN83"/>
  <c r="AN82"/>
  <c r="AP82"/>
  <c r="AN81"/>
  <c r="AN80"/>
  <c r="AN79"/>
  <c r="AN78"/>
  <c r="AG78"/>
  <c r="AG79" s="1"/>
  <c r="X81"/>
  <c r="X82"/>
  <c r="Y82"/>
  <c r="Y84"/>
  <c r="X93"/>
  <c r="AJ108"/>
  <c r="O108" s="1"/>
  <c r="AQ109"/>
  <c r="AR109" s="1"/>
  <c r="P109" s="1"/>
  <c r="AO109"/>
  <c r="Q109"/>
  <c r="AL111"/>
  <c r="AM111" s="1"/>
  <c r="N111" s="1"/>
  <c r="AQ111"/>
  <c r="AR111"/>
  <c r="P111" s="1"/>
  <c r="AL112"/>
  <c r="AM112" s="1"/>
  <c r="N112" s="1"/>
  <c r="AL113"/>
  <c r="AM113"/>
  <c r="N113" s="1"/>
  <c r="O113"/>
  <c r="AQ113"/>
  <c r="AR113"/>
  <c r="P113" s="1"/>
  <c r="AO113"/>
  <c r="Q113" s="1"/>
  <c r="AJ114"/>
  <c r="O114" s="1"/>
  <c r="O115"/>
  <c r="AO115"/>
  <c r="Q115" s="1"/>
  <c r="AO116"/>
  <c r="Q116" s="1"/>
  <c r="AQ117"/>
  <c r="AR117" s="1"/>
  <c r="P117" s="1"/>
  <c r="AO117"/>
  <c r="Q117"/>
  <c r="AL118"/>
  <c r="AM118" s="1"/>
  <c r="N118" s="1"/>
  <c r="AJ118"/>
  <c r="O118"/>
  <c r="AQ119"/>
  <c r="AR119" s="1"/>
  <c r="P119" s="1"/>
  <c r="AL120"/>
  <c r="AM120" s="1"/>
  <c r="N120"/>
  <c r="AL121"/>
  <c r="AM121"/>
  <c r="N121"/>
  <c r="O121"/>
  <c r="AQ121"/>
  <c r="AR121"/>
  <c r="P121" s="1"/>
  <c r="AO121"/>
  <c r="Q121" s="1"/>
  <c r="P122"/>
  <c r="AO122"/>
  <c r="Q122" s="1"/>
  <c r="O123"/>
  <c r="AO123"/>
  <c r="Q123"/>
  <c r="AO124"/>
  <c r="Q124" s="1"/>
  <c r="AL125"/>
  <c r="AM125" s="1"/>
  <c r="N125" s="1"/>
  <c r="AQ125"/>
  <c r="AR125" s="1"/>
  <c r="P125" s="1"/>
  <c r="AO125"/>
  <c r="Q125"/>
  <c r="AL126"/>
  <c r="AM126" s="1"/>
  <c r="N126" s="1"/>
  <c r="AJ126"/>
  <c r="O126"/>
  <c r="AQ127"/>
  <c r="AR127"/>
  <c r="P127" s="1"/>
  <c r="AL128"/>
  <c r="AM128" s="1"/>
  <c r="N128"/>
  <c r="AL129"/>
  <c r="AM129"/>
  <c r="N129"/>
  <c r="O129"/>
  <c r="AQ129"/>
  <c r="AR129"/>
  <c r="P129" s="1"/>
  <c r="AO129"/>
  <c r="Q129" s="1"/>
  <c r="AO130"/>
  <c r="Q130" s="1"/>
  <c r="O131"/>
  <c r="AO131"/>
  <c r="Q131"/>
  <c r="AJ132"/>
  <c r="O132" s="1"/>
  <c r="AL133"/>
  <c r="AM133" s="1"/>
  <c r="N133" s="1"/>
  <c r="O133"/>
  <c r="AQ133"/>
  <c r="AR133" s="1"/>
  <c r="P133" s="1"/>
  <c r="AO133"/>
  <c r="Q133"/>
  <c r="AL134"/>
  <c r="AM134" s="1"/>
  <c r="N134" s="1"/>
  <c r="AJ134"/>
  <c r="O134"/>
  <c r="AO134"/>
  <c r="Q134" s="1"/>
  <c r="AQ135"/>
  <c r="AR135" s="1"/>
  <c r="P135" s="1"/>
  <c r="Q135"/>
  <c r="AL136"/>
  <c r="AM136" s="1"/>
  <c r="N136"/>
  <c r="O136"/>
  <c r="AL137"/>
  <c r="AM137" s="1"/>
  <c r="N137" s="1"/>
  <c r="O137"/>
  <c r="AQ137"/>
  <c r="AR137" s="1"/>
  <c r="P137" s="1"/>
  <c r="AO137"/>
  <c r="Q137" s="1"/>
  <c r="AL138"/>
  <c r="AM138" s="1"/>
  <c r="N138"/>
  <c r="P138"/>
  <c r="O139"/>
  <c r="AR139"/>
  <c r="P139" s="1"/>
  <c r="AO139"/>
  <c r="Q139"/>
  <c r="N140"/>
  <c r="AJ140"/>
  <c r="O140" s="1"/>
  <c r="P140"/>
  <c r="AO140"/>
  <c r="Q140" s="1"/>
  <c r="AL141"/>
  <c r="AM141" s="1"/>
  <c r="N141" s="1"/>
  <c r="AQ141"/>
  <c r="AR141" s="1"/>
  <c r="P141" s="1"/>
  <c r="AO141"/>
  <c r="Q141" s="1"/>
  <c r="AL142"/>
  <c r="AM142" s="1"/>
  <c r="N142" s="1"/>
  <c r="AJ142"/>
  <c r="O142"/>
  <c r="AR142"/>
  <c r="P142" s="1"/>
  <c r="AO142"/>
  <c r="Q142" s="1"/>
  <c r="AL143"/>
  <c r="AM143"/>
  <c r="N143" s="1"/>
  <c r="AL144"/>
  <c r="AM144" s="1"/>
  <c r="N144"/>
  <c r="O144"/>
  <c r="AL145"/>
  <c r="AM145"/>
  <c r="N145"/>
  <c r="O145"/>
  <c r="AQ145"/>
  <c r="AR145"/>
  <c r="P145" s="1"/>
  <c r="AO145"/>
  <c r="Q145" s="1"/>
  <c r="AJ146"/>
  <c r="O146" s="1"/>
  <c r="O147"/>
  <c r="AR147"/>
  <c r="P147" s="1"/>
  <c r="AO147"/>
  <c r="Q147"/>
  <c r="AO148"/>
  <c r="Q148" s="1"/>
  <c r="AL150"/>
  <c r="AM150" s="1"/>
  <c r="N150" s="1"/>
  <c r="AJ150"/>
  <c r="O150"/>
  <c r="AR150"/>
  <c r="P150" s="1"/>
  <c r="AO150"/>
  <c r="Q150" s="1"/>
  <c r="AL152"/>
  <c r="AM152" s="1"/>
  <c r="N152"/>
  <c r="O152"/>
  <c r="AL153"/>
  <c r="AM153" s="1"/>
  <c r="N153" s="1"/>
  <c r="O153"/>
  <c r="AQ153"/>
  <c r="AR153" s="1"/>
  <c r="P153" s="1"/>
  <c r="AO153"/>
  <c r="Q153" s="1"/>
  <c r="AL154"/>
  <c r="AM154" s="1"/>
  <c r="N154"/>
  <c r="P154"/>
  <c r="O155"/>
  <c r="AR155"/>
  <c r="P155" s="1"/>
  <c r="AO155"/>
  <c r="Q155"/>
  <c r="N156"/>
  <c r="AJ156"/>
  <c r="O156" s="1"/>
  <c r="AO156"/>
  <c r="Q156" s="1"/>
  <c r="AL157"/>
  <c r="AM157" s="1"/>
  <c r="N157" s="1"/>
  <c r="AQ157"/>
  <c r="AR157" s="1"/>
  <c r="P157" s="1"/>
  <c r="AO157"/>
  <c r="Q157" s="1"/>
  <c r="AL158"/>
  <c r="AM158" s="1"/>
  <c r="N158" s="1"/>
  <c r="AJ158"/>
  <c r="O158"/>
  <c r="AR158"/>
  <c r="P158" s="1"/>
  <c r="AO158"/>
  <c r="Q158" s="1"/>
  <c r="AL159"/>
  <c r="AM159"/>
  <c r="N159" s="1"/>
  <c r="AL160"/>
  <c r="AM160" s="1"/>
  <c r="N160"/>
  <c r="O160"/>
  <c r="AQ160"/>
  <c r="AR160" s="1"/>
  <c r="P160" s="1"/>
  <c r="Q160"/>
  <c r="AL161"/>
  <c r="AM161" s="1"/>
  <c r="N161" s="1"/>
  <c r="AJ161"/>
  <c r="O161"/>
  <c r="AQ161"/>
  <c r="AR161"/>
  <c r="P161"/>
  <c r="AO161"/>
  <c r="Q161" s="1"/>
  <c r="AL162"/>
  <c r="AM162" s="1"/>
  <c r="N162" s="1"/>
  <c r="O162"/>
  <c r="AQ162"/>
  <c r="AR162" s="1"/>
  <c r="P162" s="1"/>
  <c r="Q162"/>
  <c r="AL163"/>
  <c r="AM163" s="1"/>
  <c r="N163" s="1"/>
  <c r="AJ163"/>
  <c r="O163"/>
  <c r="AR163"/>
  <c r="P163" s="1"/>
  <c r="AO163"/>
  <c r="Q163" s="1"/>
  <c r="AL164"/>
  <c r="AM164"/>
  <c r="N164" s="1"/>
  <c r="AQ164"/>
  <c r="AR164" s="1"/>
  <c r="P164" s="1"/>
  <c r="AO164"/>
  <c r="Q164"/>
  <c r="AL165"/>
  <c r="AM165" s="1"/>
  <c r="N165" s="1"/>
  <c r="AL166"/>
  <c r="AM166"/>
  <c r="N166"/>
  <c r="AJ166"/>
  <c r="O166"/>
  <c r="AQ166"/>
  <c r="AR166"/>
  <c r="P166" s="1"/>
  <c r="AO166"/>
  <c r="Q166"/>
  <c r="AL167"/>
  <c r="AM167" s="1"/>
  <c r="N167"/>
  <c r="AL168"/>
  <c r="AM168"/>
  <c r="N168"/>
  <c r="O168"/>
  <c r="AR168"/>
  <c r="P168" s="1"/>
  <c r="AO168"/>
  <c r="Q168" s="1"/>
  <c r="AL169"/>
  <c r="AM169" s="1"/>
  <c r="N169"/>
  <c r="AJ169"/>
  <c r="O169" s="1"/>
  <c r="AQ169"/>
  <c r="AR169"/>
  <c r="P169" s="1"/>
  <c r="AO169"/>
  <c r="Q169" s="1"/>
  <c r="AR170"/>
  <c r="P170" s="1"/>
  <c r="AL171"/>
  <c r="AM171" s="1"/>
  <c r="N171"/>
  <c r="AJ171"/>
  <c r="O171" s="1"/>
  <c r="AR171"/>
  <c r="P171"/>
  <c r="AO171"/>
  <c r="Q171" s="1"/>
  <c r="AQ172"/>
  <c r="AR172"/>
  <c r="P172" s="1"/>
  <c r="AO172"/>
  <c r="Q172" s="1"/>
  <c r="AJ173"/>
  <c r="O173"/>
  <c r="AO173"/>
  <c r="Q173" s="1"/>
  <c r="AL174"/>
  <c r="AM174" s="1"/>
  <c r="N174" s="1"/>
  <c r="AJ174"/>
  <c r="O174"/>
  <c r="AQ174"/>
  <c r="AR174"/>
  <c r="P174" s="1"/>
  <c r="AO174"/>
  <c r="Q174"/>
  <c r="AJ175"/>
  <c r="O175" s="1"/>
  <c r="AO175"/>
  <c r="Q175" s="1"/>
  <c r="AL176"/>
  <c r="AM176" s="1"/>
  <c r="N176" s="1"/>
  <c r="O176"/>
  <c r="AQ176"/>
  <c r="AR176" s="1"/>
  <c r="P176" s="1"/>
  <c r="Q176"/>
  <c r="AI177"/>
  <c r="AK177" s="1"/>
  <c r="AN177"/>
  <c r="AP177"/>
  <c r="AO177"/>
  <c r="AQ177"/>
  <c r="AR177" s="1"/>
  <c r="AI178"/>
  <c r="AK178" s="1"/>
  <c r="AN178"/>
  <c r="AP178" s="1"/>
  <c r="AI179"/>
  <c r="AK179" s="1"/>
  <c r="AN179"/>
  <c r="AP179"/>
  <c r="AO179"/>
  <c r="AQ179"/>
  <c r="AR179" s="1"/>
  <c r="AI180"/>
  <c r="AK180" s="1"/>
  <c r="AN180"/>
  <c r="AP180" s="1"/>
  <c r="AI181"/>
  <c r="AK181" s="1"/>
  <c r="AN181"/>
  <c r="AP181"/>
  <c r="AO181"/>
  <c r="AQ181"/>
  <c r="AR181" s="1"/>
  <c r="AI182"/>
  <c r="AK182" s="1"/>
  <c r="AN182"/>
  <c r="AP182" s="1"/>
  <c r="AI183"/>
  <c r="AK183" s="1"/>
  <c r="AN183"/>
  <c r="AP183"/>
  <c r="AO183"/>
  <c r="AQ183"/>
  <c r="AR183" s="1"/>
  <c r="AI184"/>
  <c r="AK184" s="1"/>
  <c r="AN184"/>
  <c r="AP184" s="1"/>
  <c r="AI185"/>
  <c r="AK185" s="1"/>
  <c r="AN185"/>
  <c r="AP185"/>
  <c r="AO185"/>
  <c r="AQ185"/>
  <c r="AR185" s="1"/>
  <c r="AI186"/>
  <c r="AK186" s="1"/>
  <c r="AN186"/>
  <c r="AP186" s="1"/>
  <c r="AI187"/>
  <c r="AK187" s="1"/>
  <c r="AN187"/>
  <c r="AP187"/>
  <c r="AO187"/>
  <c r="AQ187"/>
  <c r="AR187" s="1"/>
  <c r="AI188"/>
  <c r="AK188" s="1"/>
  <c r="AN188"/>
  <c r="AP188" s="1"/>
  <c r="AI189"/>
  <c r="AK189" s="1"/>
  <c r="AN189"/>
  <c r="AP189"/>
  <c r="AO189"/>
  <c r="AQ189"/>
  <c r="AR189" s="1"/>
  <c r="AI190"/>
  <c r="AK190" s="1"/>
  <c r="AN190"/>
  <c r="AP190" s="1"/>
  <c r="AI191"/>
  <c r="AK191" s="1"/>
  <c r="AN191"/>
  <c r="AP191"/>
  <c r="AO191"/>
  <c r="AQ191"/>
  <c r="AR191" s="1"/>
  <c r="AI192"/>
  <c r="AK192" s="1"/>
  <c r="AN192"/>
  <c r="AP192" s="1"/>
  <c r="AI193"/>
  <c r="AK193" s="1"/>
  <c r="AN193"/>
  <c r="AP193"/>
  <c r="AO193"/>
  <c r="AQ193"/>
  <c r="AR193" s="1"/>
  <c r="AI194"/>
  <c r="AK194" s="1"/>
  <c r="AN194"/>
  <c r="AP194" s="1"/>
  <c r="AI195"/>
  <c r="AK195" s="1"/>
  <c r="AN195"/>
  <c r="AP195"/>
  <c r="AO195"/>
  <c r="AQ195"/>
  <c r="AR195" s="1"/>
  <c r="AI196"/>
  <c r="AK196" s="1"/>
  <c r="AN196"/>
  <c r="AP196" s="1"/>
  <c r="AI197"/>
  <c r="AK197" s="1"/>
  <c r="AN197"/>
  <c r="AP197"/>
  <c r="AO197"/>
  <c r="AQ197"/>
  <c r="AR197" s="1"/>
  <c r="AI198"/>
  <c r="AK198" s="1"/>
  <c r="AN198"/>
  <c r="AP198" s="1"/>
  <c r="AI199"/>
  <c r="AK199" s="1"/>
  <c r="AN199"/>
  <c r="AP199"/>
  <c r="AO199"/>
  <c r="AQ199"/>
  <c r="AR199" s="1"/>
  <c r="AI200"/>
  <c r="AK200" s="1"/>
  <c r="AN200"/>
  <c r="AP200" s="1"/>
  <c r="AI201"/>
  <c r="AK201" s="1"/>
  <c r="AN201"/>
  <c r="AP201"/>
  <c r="AO201"/>
  <c r="AQ201"/>
  <c r="AR201" s="1"/>
  <c r="AI202"/>
  <c r="AK202" s="1"/>
  <c r="AN202"/>
  <c r="AP202" s="1"/>
  <c r="AI203"/>
  <c r="AK203" s="1"/>
  <c r="AN203"/>
  <c r="AP203"/>
  <c r="AO203"/>
  <c r="AQ203"/>
  <c r="AR203" s="1"/>
  <c r="AI204"/>
  <c r="AK204" s="1"/>
  <c r="AN204"/>
  <c r="AP204" s="1"/>
  <c r="AI205"/>
  <c r="AK205" s="1"/>
  <c r="AN205"/>
  <c r="AP205"/>
  <c r="AO205"/>
  <c r="AQ205"/>
  <c r="AR205" s="1"/>
  <c r="AI206"/>
  <c r="AK206" s="1"/>
  <c r="AN206"/>
  <c r="AP206" s="1"/>
  <c r="AI207"/>
  <c r="AK207" s="1"/>
  <c r="AN207"/>
  <c r="AP207"/>
  <c r="AO207"/>
  <c r="AQ207"/>
  <c r="AR207" s="1"/>
  <c r="AI208"/>
  <c r="AK208" s="1"/>
  <c r="AN208"/>
  <c r="AP208" s="1"/>
  <c r="AI209"/>
  <c r="AK209" s="1"/>
  <c r="AN209"/>
  <c r="AP209"/>
  <c r="AO209"/>
  <c r="AQ209"/>
  <c r="AR209" s="1"/>
  <c r="AI210"/>
  <c r="AK210" s="1"/>
  <c r="AN210"/>
  <c r="AP210" s="1"/>
  <c r="AI211"/>
  <c r="AK211" s="1"/>
  <c r="AN211"/>
  <c r="AP211"/>
  <c r="AO211"/>
  <c r="AQ211"/>
  <c r="AR211" s="1"/>
  <c r="AI212"/>
  <c r="AK212" s="1"/>
  <c r="AN212"/>
  <c r="AP212" s="1"/>
  <c r="AI213"/>
  <c r="AK213" s="1"/>
  <c r="AN213"/>
  <c r="AP213"/>
  <c r="AO213"/>
  <c r="AQ213"/>
  <c r="AR213" s="1"/>
  <c r="AI214"/>
  <c r="AK214" s="1"/>
  <c r="AN214"/>
  <c r="AP214" s="1"/>
  <c r="AI215"/>
  <c r="AK215" s="1"/>
  <c r="AN215"/>
  <c r="AP215"/>
  <c r="AO215"/>
  <c r="AQ215"/>
  <c r="AR215" s="1"/>
  <c r="AI216"/>
  <c r="AK216" s="1"/>
  <c r="AN216"/>
  <c r="AP216" s="1"/>
  <c r="AI217"/>
  <c r="AK217" s="1"/>
  <c r="AN217"/>
  <c r="AP217"/>
  <c r="AO217"/>
  <c r="AQ217"/>
  <c r="AR217" s="1"/>
  <c r="AI218"/>
  <c r="AK218" s="1"/>
  <c r="AN218"/>
  <c r="AP218" s="1"/>
  <c r="AI219"/>
  <c r="AK219" s="1"/>
  <c r="AN219"/>
  <c r="AP219"/>
  <c r="AO219"/>
  <c r="AQ219"/>
  <c r="AR219" s="1"/>
  <c r="AI220"/>
  <c r="AK220" s="1"/>
  <c r="AN220"/>
  <c r="AP220" s="1"/>
  <c r="AI221"/>
  <c r="AK221" s="1"/>
  <c r="AN221"/>
  <c r="AP221"/>
  <c r="AO221"/>
  <c r="AQ221"/>
  <c r="AR221" s="1"/>
  <c r="AI222"/>
  <c r="AK222" s="1"/>
  <c r="AN222"/>
  <c r="AP222" s="1"/>
  <c r="AI223"/>
  <c r="AK223" s="1"/>
  <c r="AN223"/>
  <c r="AP223"/>
  <c r="AO223"/>
  <c r="AQ223"/>
  <c r="AR223" s="1"/>
  <c r="AI224"/>
  <c r="AK224" s="1"/>
  <c r="AN224"/>
  <c r="AP224" s="1"/>
  <c r="AI225"/>
  <c r="AK225" s="1"/>
  <c r="AN225"/>
  <c r="AP225"/>
  <c r="AO225"/>
  <c r="AQ225"/>
  <c r="AR225" s="1"/>
  <c r="AI226"/>
  <c r="AK226" s="1"/>
  <c r="AN226"/>
  <c r="AP226" s="1"/>
  <c r="AI227"/>
  <c r="AK227" s="1"/>
  <c r="AN227"/>
  <c r="AP227"/>
  <c r="AO227"/>
  <c r="AQ227"/>
  <c r="AR227" s="1"/>
  <c r="AI228"/>
  <c r="AK228" s="1"/>
  <c r="AN228"/>
  <c r="AP228" s="1"/>
  <c r="AI229"/>
  <c r="AK229" s="1"/>
  <c r="AN229"/>
  <c r="AP229"/>
  <c r="AO229"/>
  <c r="AQ229"/>
  <c r="AR229" s="1"/>
  <c r="AI230"/>
  <c r="AK230" s="1"/>
  <c r="AN230"/>
  <c r="AP230" s="1"/>
  <c r="AI231"/>
  <c r="AK231" s="1"/>
  <c r="AN231"/>
  <c r="AP231"/>
  <c r="AO231"/>
  <c r="AQ231"/>
  <c r="AR231" s="1"/>
  <c r="AI232"/>
  <c r="AK232" s="1"/>
  <c r="AN232"/>
  <c r="AP232" s="1"/>
  <c r="AI233"/>
  <c r="AK233" s="1"/>
  <c r="AN233"/>
  <c r="AP233"/>
  <c r="AO233"/>
  <c r="AQ233"/>
  <c r="AR233" s="1"/>
  <c r="AI234"/>
  <c r="AK234" s="1"/>
  <c r="AN234"/>
  <c r="AP234" s="1"/>
  <c r="AI235"/>
  <c r="AK235" s="1"/>
  <c r="AN235"/>
  <c r="AP235"/>
  <c r="AO235"/>
  <c r="AQ235"/>
  <c r="AR235" s="1"/>
  <c r="AI236"/>
  <c r="AK236" s="1"/>
  <c r="AN236"/>
  <c r="AP236" s="1"/>
  <c r="AI237"/>
  <c r="AK237" s="1"/>
  <c r="AN237"/>
  <c r="AP237"/>
  <c r="AO237"/>
  <c r="AQ237"/>
  <c r="AR237" s="1"/>
  <c r="AI238"/>
  <c r="AK238" s="1"/>
  <c r="AN238"/>
  <c r="AP238" s="1"/>
  <c r="AI239"/>
  <c r="AK239" s="1"/>
  <c r="AN239"/>
  <c r="AP239"/>
  <c r="AO239"/>
  <c r="AQ239"/>
  <c r="AR239" s="1"/>
  <c r="AI240"/>
  <c r="AK240" s="1"/>
  <c r="AN240"/>
  <c r="AP240" s="1"/>
  <c r="AI241"/>
  <c r="AK241" s="1"/>
  <c r="AN241"/>
  <c r="AP241"/>
  <c r="AO241"/>
  <c r="AQ241"/>
  <c r="AR241" s="1"/>
  <c r="AI242"/>
  <c r="AK242" s="1"/>
  <c r="AN242"/>
  <c r="AP242" s="1"/>
  <c r="AI243"/>
  <c r="AK243" s="1"/>
  <c r="AN243"/>
  <c r="AP243"/>
  <c r="AO243"/>
  <c r="AQ243"/>
  <c r="AR243" s="1"/>
  <c r="AI244"/>
  <c r="AK244" s="1"/>
  <c r="AN244"/>
  <c r="AP244" s="1"/>
  <c r="AI245"/>
  <c r="AK245" s="1"/>
  <c r="AN245"/>
  <c r="AP245"/>
  <c r="AO245"/>
  <c r="AQ245"/>
  <c r="AR245" s="1"/>
  <c r="AI246"/>
  <c r="AK246" s="1"/>
  <c r="AN246"/>
  <c r="AP246" s="1"/>
  <c r="AI247"/>
  <c r="AK247" s="1"/>
  <c r="AN247"/>
  <c r="AP247"/>
  <c r="AO247"/>
  <c r="AQ247"/>
  <c r="AR247" s="1"/>
  <c r="AI248"/>
  <c r="AK248" s="1"/>
  <c r="AN248"/>
  <c r="AP248" s="1"/>
  <c r="AI249"/>
  <c r="AK249" s="1"/>
  <c r="AN249"/>
  <c r="AP249"/>
  <c r="AO249"/>
  <c r="AQ249"/>
  <c r="AR249" s="1"/>
  <c r="AI250"/>
  <c r="AK250" s="1"/>
  <c r="AN250"/>
  <c r="AP250" s="1"/>
  <c r="AI251"/>
  <c r="AK251" s="1"/>
  <c r="AN251"/>
  <c r="AP251"/>
  <c r="AO251"/>
  <c r="AQ251"/>
  <c r="AR251" s="1"/>
  <c r="AI252"/>
  <c r="AK252" s="1"/>
  <c r="AN252"/>
  <c r="AP252" s="1"/>
  <c r="AI253"/>
  <c r="AK253" s="1"/>
  <c r="AN253"/>
  <c r="AP253"/>
  <c r="AO253"/>
  <c r="AQ253"/>
  <c r="AR253" s="1"/>
  <c r="AI254"/>
  <c r="AK254" s="1"/>
  <c r="AN254"/>
  <c r="AP254" s="1"/>
  <c r="AI255"/>
  <c r="AK255" s="1"/>
  <c r="AN255"/>
  <c r="AP255"/>
  <c r="AO255"/>
  <c r="AQ255"/>
  <c r="AR255" s="1"/>
  <c r="AI256"/>
  <c r="AK256" s="1"/>
  <c r="AN256"/>
  <c r="AP256" s="1"/>
  <c r="AI257"/>
  <c r="AK257" s="1"/>
  <c r="AN257"/>
  <c r="AP257"/>
  <c r="AO257"/>
  <c r="AQ257"/>
  <c r="AR257" s="1"/>
  <c r="AI258"/>
  <c r="AK258" s="1"/>
  <c r="AN258"/>
  <c r="AP258" s="1"/>
  <c r="AI259"/>
  <c r="AK259" s="1"/>
  <c r="AN259"/>
  <c r="AP259"/>
  <c r="AO259"/>
  <c r="AQ259"/>
  <c r="AR259" s="1"/>
  <c r="AI260"/>
  <c r="AK260" s="1"/>
  <c r="AN260"/>
  <c r="AP260" s="1"/>
  <c r="AI261"/>
  <c r="AK261" s="1"/>
  <c r="AN261"/>
  <c r="AP261"/>
  <c r="AO261"/>
  <c r="AQ261"/>
  <c r="AR261" s="1"/>
  <c r="AI262"/>
  <c r="AK262" s="1"/>
  <c r="AN262"/>
  <c r="AP262" s="1"/>
  <c r="AI263"/>
  <c r="AK263" s="1"/>
  <c r="AN263"/>
  <c r="AP263"/>
  <c r="AO263"/>
  <c r="AQ263"/>
  <c r="AR263" s="1"/>
  <c r="AI264"/>
  <c r="AK264" s="1"/>
  <c r="AN264"/>
  <c r="AP264" s="1"/>
  <c r="AI265"/>
  <c r="AK265" s="1"/>
  <c r="AN265"/>
  <c r="AP265"/>
  <c r="AO265"/>
  <c r="AQ265"/>
  <c r="AR265" s="1"/>
  <c r="AI266"/>
  <c r="AK266" s="1"/>
  <c r="AN266"/>
  <c r="AP266" s="1"/>
  <c r="AI267"/>
  <c r="AK267" s="1"/>
  <c r="AN267"/>
  <c r="AP267"/>
  <c r="AO267"/>
  <c r="AQ267"/>
  <c r="AR267" s="1"/>
  <c r="AI268"/>
  <c r="AK268" s="1"/>
  <c r="AN268"/>
  <c r="AP268" s="1"/>
  <c r="AI269"/>
  <c r="AK269" s="1"/>
  <c r="AN269"/>
  <c r="AP269"/>
  <c r="AO269"/>
  <c r="AQ269"/>
  <c r="AR269" s="1"/>
  <c r="AI270"/>
  <c r="AK270" s="1"/>
  <c r="AN270"/>
  <c r="AP270" s="1"/>
  <c r="AI271"/>
  <c r="AK271" s="1"/>
  <c r="AN271"/>
  <c r="AP271"/>
  <c r="AO271"/>
  <c r="AQ271"/>
  <c r="AR271" s="1"/>
  <c r="AI272"/>
  <c r="AK272" s="1"/>
  <c r="AN272"/>
  <c r="AP272" s="1"/>
  <c r="AI273"/>
  <c r="AK273" s="1"/>
  <c r="AN273"/>
  <c r="AP273"/>
  <c r="AO273"/>
  <c r="AQ273"/>
  <c r="AR273" s="1"/>
  <c r="AI274"/>
  <c r="AK274" s="1"/>
  <c r="AN274"/>
  <c r="AP274" s="1"/>
  <c r="AI275"/>
  <c r="AK275" s="1"/>
  <c r="AN275"/>
  <c r="AP275"/>
  <c r="AO275"/>
  <c r="AQ275"/>
  <c r="AR275" s="1"/>
  <c r="AI276"/>
  <c r="AK276" s="1"/>
  <c r="AN276"/>
  <c r="AP276" s="1"/>
  <c r="AI277"/>
  <c r="AK277" s="1"/>
  <c r="AN277"/>
  <c r="AP277"/>
  <c r="AO277"/>
  <c r="AQ277"/>
  <c r="AR277" s="1"/>
  <c r="AI278"/>
  <c r="AK278" s="1"/>
  <c r="AN278"/>
  <c r="AP278" s="1"/>
  <c r="AI279"/>
  <c r="AK279" s="1"/>
  <c r="AN279"/>
  <c r="AP279"/>
  <c r="AO279"/>
  <c r="AQ279"/>
  <c r="AR279" s="1"/>
  <c r="AI280"/>
  <c r="AK280" s="1"/>
  <c r="AN280"/>
  <c r="AP280" s="1"/>
  <c r="AI281"/>
  <c r="AK281" s="1"/>
  <c r="AN281"/>
  <c r="AP281"/>
  <c r="AO281"/>
  <c r="AQ281"/>
  <c r="AR281" s="1"/>
  <c r="AI282"/>
  <c r="AK282" s="1"/>
  <c r="AN282"/>
  <c r="AP282" s="1"/>
  <c r="AI283"/>
  <c r="AK283" s="1"/>
  <c r="AN283"/>
  <c r="AP283"/>
  <c r="AO283"/>
  <c r="AQ283"/>
  <c r="AR283" s="1"/>
  <c r="AI284"/>
  <c r="AK284" s="1"/>
  <c r="AN284"/>
  <c r="AP284" s="1"/>
  <c r="AI285"/>
  <c r="AK285" s="1"/>
  <c r="AN285"/>
  <c r="AP285"/>
  <c r="AO285"/>
  <c r="AQ285"/>
  <c r="AR285" s="1"/>
  <c r="AI286"/>
  <c r="AK286" s="1"/>
  <c r="AN286"/>
  <c r="AP286" s="1"/>
  <c r="AI287"/>
  <c r="AK287" s="1"/>
  <c r="AN287"/>
  <c r="AP287"/>
  <c r="AO287"/>
  <c r="AQ287"/>
  <c r="AR287" s="1"/>
  <c r="AI288"/>
  <c r="AK288" s="1"/>
  <c r="AN288"/>
  <c r="AP288" s="1"/>
  <c r="AI289"/>
  <c r="AK289" s="1"/>
  <c r="AN289"/>
  <c r="AP289"/>
  <c r="AO289"/>
  <c r="AQ289"/>
  <c r="AR289" s="1"/>
  <c r="AI290"/>
  <c r="AK290" s="1"/>
  <c r="AN290"/>
  <c r="AP290" s="1"/>
  <c r="AI291"/>
  <c r="AK291" s="1"/>
  <c r="AN291"/>
  <c r="AP291"/>
  <c r="AO291"/>
  <c r="AQ291"/>
  <c r="AR291" s="1"/>
  <c r="AI292"/>
  <c r="AK292" s="1"/>
  <c r="AN292"/>
  <c r="AP292" s="1"/>
  <c r="AI293"/>
  <c r="AK293" s="1"/>
  <c r="AN293"/>
  <c r="AP293"/>
  <c r="AO293"/>
  <c r="AQ293"/>
  <c r="AR293" s="1"/>
  <c r="AI294"/>
  <c r="AK294" s="1"/>
  <c r="AN294"/>
  <c r="AP294" s="1"/>
  <c r="AI295"/>
  <c r="AK295" s="1"/>
  <c r="AN295"/>
  <c r="AP295"/>
  <c r="AO295"/>
  <c r="AQ295"/>
  <c r="AR295" s="1"/>
  <c r="AI296"/>
  <c r="AK296" s="1"/>
  <c r="AN296"/>
  <c r="AP296" s="1"/>
  <c r="AI297"/>
  <c r="AK297" s="1"/>
  <c r="AN297"/>
  <c r="AP297"/>
  <c r="AO297"/>
  <c r="AQ297"/>
  <c r="AR297" s="1"/>
  <c r="AI298"/>
  <c r="AK298" s="1"/>
  <c r="AN298"/>
  <c r="AP298" s="1"/>
  <c r="AI299"/>
  <c r="AK299" s="1"/>
  <c r="AN299"/>
  <c r="AP299"/>
  <c r="AO299"/>
  <c r="AQ299"/>
  <c r="AR299" s="1"/>
  <c r="AI300"/>
  <c r="AK300" s="1"/>
  <c r="AN300"/>
  <c r="AP300" s="1"/>
  <c r="AI301"/>
  <c r="AK301" s="1"/>
  <c r="AN301"/>
  <c r="AP301"/>
  <c r="AO301"/>
  <c r="AQ301"/>
  <c r="AR301" s="1"/>
  <c r="AI302"/>
  <c r="AK302" s="1"/>
  <c r="AN302"/>
  <c r="AP302" s="1"/>
  <c r="AI303"/>
  <c r="AK303" s="1"/>
  <c r="AN303"/>
  <c r="AP303"/>
  <c r="AO303"/>
  <c r="AQ303"/>
  <c r="AR303" s="1"/>
  <c r="AI304"/>
  <c r="AK304" s="1"/>
  <c r="AN304"/>
  <c r="AP304" s="1"/>
  <c r="AI305"/>
  <c r="AK305" s="1"/>
  <c r="AN305"/>
  <c r="AP305"/>
  <c r="AO305"/>
  <c r="AQ305"/>
  <c r="AR305" s="1"/>
  <c r="AI306"/>
  <c r="AK306" s="1"/>
  <c r="AN306"/>
  <c r="AP306" s="1"/>
  <c r="AI307"/>
  <c r="AK307" s="1"/>
  <c r="AN307"/>
  <c r="AP307"/>
  <c r="AO307"/>
  <c r="AQ307"/>
  <c r="AR307" s="1"/>
  <c r="AI308"/>
  <c r="AK308" s="1"/>
  <c r="AN308"/>
  <c r="AP308" s="1"/>
  <c r="AI309"/>
  <c r="AK309" s="1"/>
  <c r="AN309"/>
  <c r="AP309"/>
  <c r="AO309"/>
  <c r="AQ309"/>
  <c r="AR309" s="1"/>
  <c r="AI310"/>
  <c r="AK310" s="1"/>
  <c r="AN310"/>
  <c r="AP310" s="1"/>
  <c r="AI311"/>
  <c r="AK311" s="1"/>
  <c r="AN311"/>
  <c r="AP311"/>
  <c r="AO311"/>
  <c r="AQ311"/>
  <c r="AR311" s="1"/>
  <c r="AI312"/>
  <c r="AK312" s="1"/>
  <c r="AN312"/>
  <c r="AP312" s="1"/>
  <c r="AI313"/>
  <c r="AK313" s="1"/>
  <c r="AN313"/>
  <c r="AP313"/>
  <c r="AO313"/>
  <c r="AQ313"/>
  <c r="AR313" s="1"/>
  <c r="AI314"/>
  <c r="AK314" s="1"/>
  <c r="AN314"/>
  <c r="AP314" s="1"/>
  <c r="AI315"/>
  <c r="AK315" s="1"/>
  <c r="AN315"/>
  <c r="AP315"/>
  <c r="AO315"/>
  <c r="AQ315"/>
  <c r="AR315" s="1"/>
  <c r="AI316"/>
  <c r="AK316" s="1"/>
  <c r="AN316"/>
  <c r="AP316" s="1"/>
  <c r="AI317"/>
  <c r="AK317" s="1"/>
  <c r="AN317"/>
  <c r="AP317"/>
  <c r="AO317"/>
  <c r="AQ317"/>
  <c r="AR317" s="1"/>
  <c r="AI318"/>
  <c r="AK318" s="1"/>
  <c r="AN318"/>
  <c r="AP318" s="1"/>
  <c r="AI319"/>
  <c r="AK319" s="1"/>
  <c r="AN319"/>
  <c r="AP319"/>
  <c r="AO319"/>
  <c r="AQ319"/>
  <c r="AR319" s="1"/>
  <c r="AI320"/>
  <c r="AK320" s="1"/>
  <c r="AN320"/>
  <c r="AP320" s="1"/>
  <c r="AI321"/>
  <c r="AK321" s="1"/>
  <c r="AN321"/>
  <c r="AP321"/>
  <c r="AO321"/>
  <c r="AQ321"/>
  <c r="AR321" s="1"/>
  <c r="AI322"/>
  <c r="AK322" s="1"/>
  <c r="AN322"/>
  <c r="AP322" s="1"/>
  <c r="AI323"/>
  <c r="AK323" s="1"/>
  <c r="AN323"/>
  <c r="AP323"/>
  <c r="AO323"/>
  <c r="AQ323"/>
  <c r="AR323" s="1"/>
  <c r="AI324"/>
  <c r="AK324" s="1"/>
  <c r="AN324"/>
  <c r="AP324" s="1"/>
  <c r="AI325"/>
  <c r="AK325" s="1"/>
  <c r="AN325"/>
  <c r="AP325"/>
  <c r="AO325"/>
  <c r="AQ325"/>
  <c r="AR325" s="1"/>
  <c r="AI326"/>
  <c r="AK326" s="1"/>
  <c r="AN326"/>
  <c r="AP326" s="1"/>
  <c r="AI327"/>
  <c r="AK327" s="1"/>
  <c r="AN327"/>
  <c r="AP327"/>
  <c r="AO327"/>
  <c r="AQ327"/>
  <c r="AR327" s="1"/>
  <c r="AI328"/>
  <c r="AK328" s="1"/>
  <c r="AN328"/>
  <c r="AP328" s="1"/>
  <c r="AI329"/>
  <c r="AK329" s="1"/>
  <c r="AN329"/>
  <c r="AP329"/>
  <c r="AO329"/>
  <c r="AQ329"/>
  <c r="AR329" s="1"/>
  <c r="AI330"/>
  <c r="AK330" s="1"/>
  <c r="AN330"/>
  <c r="AP330" s="1"/>
  <c r="AI331"/>
  <c r="AK331" s="1"/>
  <c r="AN331"/>
  <c r="AP331"/>
  <c r="AO331"/>
  <c r="AQ331"/>
  <c r="AR331" s="1"/>
  <c r="AI332"/>
  <c r="AK332" s="1"/>
  <c r="AN332"/>
  <c r="AP332" s="1"/>
  <c r="AI333"/>
  <c r="AK333" s="1"/>
  <c r="AN333"/>
  <c r="AP333"/>
  <c r="AO333"/>
  <c r="AQ333"/>
  <c r="AR333" s="1"/>
  <c r="AI334"/>
  <c r="AK334" s="1"/>
  <c r="AN334"/>
  <c r="AP334" s="1"/>
  <c r="AI335"/>
  <c r="AK335" s="1"/>
  <c r="AN335"/>
  <c r="AP335"/>
  <c r="AO335"/>
  <c r="AQ335"/>
  <c r="AR335" s="1"/>
  <c r="AI336"/>
  <c r="AK336" s="1"/>
  <c r="AN336"/>
  <c r="AP336" s="1"/>
  <c r="AI337"/>
  <c r="AK337" s="1"/>
  <c r="AN337"/>
  <c r="AP337"/>
  <c r="AO337"/>
  <c r="AQ337"/>
  <c r="AR337" s="1"/>
  <c r="AI338"/>
  <c r="AK338" s="1"/>
  <c r="AN338"/>
  <c r="AP338" s="1"/>
  <c r="AI339"/>
  <c r="AK339" s="1"/>
  <c r="AN339"/>
  <c r="AP339"/>
  <c r="AO339"/>
  <c r="AQ339"/>
  <c r="AR339" s="1"/>
  <c r="AI340"/>
  <c r="AK340" s="1"/>
  <c r="AN340"/>
  <c r="AP340" s="1"/>
  <c r="AI341"/>
  <c r="AK341" s="1"/>
  <c r="AN341"/>
  <c r="AP341"/>
  <c r="AO341"/>
  <c r="AQ341"/>
  <c r="AR341" s="1"/>
  <c r="AI342"/>
  <c r="AK342" s="1"/>
  <c r="AN342"/>
  <c r="AP342" s="1"/>
  <c r="AI343"/>
  <c r="AK343" s="1"/>
  <c r="AN343"/>
  <c r="AP343"/>
  <c r="AO343"/>
  <c r="AQ343"/>
  <c r="AR343" s="1"/>
  <c r="AI344"/>
  <c r="AK344" s="1"/>
  <c r="AN344"/>
  <c r="AP344" s="1"/>
  <c r="AI345"/>
  <c r="AK345" s="1"/>
  <c r="AN345"/>
  <c r="AP345"/>
  <c r="AO345"/>
  <c r="AQ345"/>
  <c r="AR345" s="1"/>
  <c r="AI346"/>
  <c r="AK346" s="1"/>
  <c r="AN346"/>
  <c r="AP346" s="1"/>
  <c r="AI347"/>
  <c r="AK347" s="1"/>
  <c r="AN347"/>
  <c r="AP347"/>
  <c r="AO347"/>
  <c r="AQ347"/>
  <c r="AR347" s="1"/>
  <c r="AI348"/>
  <c r="AK348" s="1"/>
  <c r="AN348"/>
  <c r="AP348" s="1"/>
  <c r="AI349"/>
  <c r="AK349" s="1"/>
  <c r="AN349"/>
  <c r="AP349"/>
  <c r="AO349"/>
  <c r="AQ349"/>
  <c r="AR349" s="1"/>
  <c r="AI350"/>
  <c r="AK350" s="1"/>
  <c r="AN350"/>
  <c r="AP350" s="1"/>
  <c r="AI351"/>
  <c r="AK351" s="1"/>
  <c r="AN351"/>
  <c r="AP351"/>
  <c r="AO351"/>
  <c r="AQ351"/>
  <c r="AR351" s="1"/>
  <c r="AI352"/>
  <c r="AK352" s="1"/>
  <c r="AN352"/>
  <c r="AP352" s="1"/>
  <c r="AI353"/>
  <c r="AK353" s="1"/>
  <c r="AN353"/>
  <c r="AP353"/>
  <c r="AO353"/>
  <c r="AQ353"/>
  <c r="AR353" s="1"/>
  <c r="AI354"/>
  <c r="AK354" s="1"/>
  <c r="AN354"/>
  <c r="AP354" s="1"/>
  <c r="AI355"/>
  <c r="AK355" s="1"/>
  <c r="AN355"/>
  <c r="AP355"/>
  <c r="AO355"/>
  <c r="AQ355"/>
  <c r="AR355" s="1"/>
  <c r="AI356"/>
  <c r="AK356" s="1"/>
  <c r="AN356"/>
  <c r="AP356" s="1"/>
  <c r="AI357"/>
  <c r="AK357" s="1"/>
  <c r="AN357"/>
  <c r="AP357"/>
  <c r="AO357"/>
  <c r="AQ357"/>
  <c r="AR357" s="1"/>
  <c r="AI358"/>
  <c r="AK358" s="1"/>
  <c r="AN358"/>
  <c r="AP358" s="1"/>
  <c r="AI359"/>
  <c r="AK359" s="1"/>
  <c r="AN359"/>
  <c r="AP359"/>
  <c r="AO359"/>
  <c r="AQ359"/>
  <c r="AR359" s="1"/>
  <c r="AI360"/>
  <c r="AK360" s="1"/>
  <c r="AN360"/>
  <c r="AP360" s="1"/>
  <c r="AI361"/>
  <c r="AK361" s="1"/>
  <c r="AN361"/>
  <c r="AP361"/>
  <c r="AO361"/>
  <c r="AQ361"/>
  <c r="AR361" s="1"/>
  <c r="AI362"/>
  <c r="AK362" s="1"/>
  <c r="AN362"/>
  <c r="AP362" s="1"/>
  <c r="AI363"/>
  <c r="AK363" s="1"/>
  <c r="AN363"/>
  <c r="AP363"/>
  <c r="AO363"/>
  <c r="AQ363"/>
  <c r="AR363" s="1"/>
  <c r="AI364"/>
  <c r="AK364" s="1"/>
  <c r="AN364"/>
  <c r="AP364" s="1"/>
  <c r="AI365"/>
  <c r="AK365" s="1"/>
  <c r="AN365"/>
  <c r="AP365"/>
  <c r="AO365"/>
  <c r="AQ365"/>
  <c r="AR365" s="1"/>
  <c r="AI366"/>
  <c r="AK366" s="1"/>
  <c r="AN366"/>
  <c r="AP366" s="1"/>
  <c r="AI367"/>
  <c r="AK367" s="1"/>
  <c r="AN367"/>
  <c r="AP367"/>
  <c r="AO367"/>
  <c r="AQ367"/>
  <c r="AR367" s="1"/>
  <c r="AI368"/>
  <c r="AK368" s="1"/>
  <c r="AN368"/>
  <c r="AP368" s="1"/>
  <c r="AI369"/>
  <c r="AK369" s="1"/>
  <c r="AN369"/>
  <c r="AP369"/>
  <c r="AO369"/>
  <c r="AQ369"/>
  <c r="AR369" s="1"/>
  <c r="AI370"/>
  <c r="AK370" s="1"/>
  <c r="AN370"/>
  <c r="AP370" s="1"/>
  <c r="AI371"/>
  <c r="AK371" s="1"/>
  <c r="AN371"/>
  <c r="AP371"/>
  <c r="AO371"/>
  <c r="AQ371"/>
  <c r="AR371" s="1"/>
  <c r="AI372"/>
  <c r="AK372" s="1"/>
  <c r="AN372"/>
  <c r="AP372" s="1"/>
  <c r="AI373"/>
  <c r="AK373" s="1"/>
  <c r="AN373"/>
  <c r="AP373"/>
  <c r="AO373"/>
  <c r="AQ373"/>
  <c r="AR373" s="1"/>
  <c r="AI374"/>
  <c r="AK374" s="1"/>
  <c r="AN374"/>
  <c r="AP374" s="1"/>
  <c r="AI375"/>
  <c r="AK375" s="1"/>
  <c r="AN375"/>
  <c r="AP375"/>
  <c r="AO375"/>
  <c r="AQ375"/>
  <c r="AR375" s="1"/>
  <c r="AI376"/>
  <c r="AK376" s="1"/>
  <c r="AN376"/>
  <c r="AP376" s="1"/>
  <c r="AI377"/>
  <c r="AK377" s="1"/>
  <c r="AN377"/>
  <c r="AP377"/>
  <c r="AO377"/>
  <c r="AQ377"/>
  <c r="AR377" s="1"/>
  <c r="AI378"/>
  <c r="AK378" s="1"/>
  <c r="AN378"/>
  <c r="AP378" s="1"/>
  <c r="AI379"/>
  <c r="AK379" s="1"/>
  <c r="AN379"/>
  <c r="AP379" s="1"/>
  <c r="AO379" s="1"/>
  <c r="AQ379"/>
  <c r="AR379" s="1"/>
  <c r="AI380"/>
  <c r="AK380"/>
  <c r="AJ380"/>
  <c r="AL380"/>
  <c r="AM380" s="1"/>
  <c r="AN380"/>
  <c r="AP380"/>
  <c r="AQ380" s="1"/>
  <c r="AR380" s="1"/>
  <c r="AO380"/>
  <c r="AI381"/>
  <c r="AK381" s="1"/>
  <c r="AN381"/>
  <c r="AP381" s="1"/>
  <c r="AI382"/>
  <c r="AK382"/>
  <c r="AJ382"/>
  <c r="AL382"/>
  <c r="AM382" s="1"/>
  <c r="AN382"/>
  <c r="AP382"/>
  <c r="AI383"/>
  <c r="AK383"/>
  <c r="AN383"/>
  <c r="AP383" s="1"/>
  <c r="AO383" s="1"/>
  <c r="AI384"/>
  <c r="AK384"/>
  <c r="AJ384"/>
  <c r="AL384"/>
  <c r="AM384" s="1"/>
  <c r="AN384"/>
  <c r="AP384"/>
  <c r="AQ384" s="1"/>
  <c r="AR384" s="1"/>
  <c r="AI385"/>
  <c r="AK385" s="1"/>
  <c r="AN385"/>
  <c r="AP385" s="1"/>
  <c r="AO385" s="1"/>
  <c r="AQ385"/>
  <c r="AR385" s="1"/>
  <c r="AI386"/>
  <c r="AK386"/>
  <c r="AJ386"/>
  <c r="AL386"/>
  <c r="AM386" s="1"/>
  <c r="AN386"/>
  <c r="AP386"/>
  <c r="AQ386" s="1"/>
  <c r="AR386" s="1"/>
  <c r="AO386"/>
  <c r="AI387"/>
  <c r="AK387" s="1"/>
  <c r="AN387"/>
  <c r="AP387" s="1"/>
  <c r="AO387" s="1"/>
  <c r="AQ387"/>
  <c r="AR387" s="1"/>
  <c r="AI388"/>
  <c r="AK388"/>
  <c r="AJ388"/>
  <c r="AL388"/>
  <c r="AM388" s="1"/>
  <c r="AN388"/>
  <c r="AP388"/>
  <c r="AI389"/>
  <c r="AK389" s="1"/>
  <c r="AN389"/>
  <c r="AP389" s="1"/>
  <c r="AI390"/>
  <c r="AK390"/>
  <c r="AJ390"/>
  <c r="AL390"/>
  <c r="AM390" s="1"/>
  <c r="AN390"/>
  <c r="AP390"/>
  <c r="AI391"/>
  <c r="AK391"/>
  <c r="AN391"/>
  <c r="AP391" s="1"/>
  <c r="AO391" s="1"/>
  <c r="AI392"/>
  <c r="AK392"/>
  <c r="AJ392"/>
  <c r="AL392"/>
  <c r="AM392" s="1"/>
  <c r="AN392"/>
  <c r="AP392"/>
  <c r="AQ392" s="1"/>
  <c r="AR392" s="1"/>
  <c r="AI393"/>
  <c r="AK393"/>
  <c r="AN393"/>
  <c r="AP393" s="1"/>
  <c r="AO393" s="1"/>
  <c r="AQ393"/>
  <c r="AR393"/>
  <c r="AI394"/>
  <c r="AK394"/>
  <c r="AJ394"/>
  <c r="AL394"/>
  <c r="AM394" s="1"/>
  <c r="AN394"/>
  <c r="AP394"/>
  <c r="AQ394" s="1"/>
  <c r="AR394" s="1"/>
  <c r="AO394"/>
  <c r="AI395"/>
  <c r="AK395" s="1"/>
  <c r="AN395"/>
  <c r="AP395" s="1"/>
  <c r="AO395" s="1"/>
  <c r="AQ395"/>
  <c r="AR395" s="1"/>
  <c r="AI396"/>
  <c r="AK396"/>
  <c r="AJ396"/>
  <c r="AL396"/>
  <c r="AM396" s="1"/>
  <c r="AN396"/>
  <c r="AP396"/>
  <c r="AQ396" s="1"/>
  <c r="AR396" s="1"/>
  <c r="AO396"/>
  <c r="AI397"/>
  <c r="AK397" s="1"/>
  <c r="AN397"/>
  <c r="AP397" s="1"/>
  <c r="AI398"/>
  <c r="AK398"/>
  <c r="AJ398"/>
  <c r="AL398"/>
  <c r="AM398" s="1"/>
  <c r="AN398"/>
  <c r="AP398"/>
  <c r="AI399"/>
  <c r="AK399"/>
  <c r="AN399"/>
  <c r="AP399" s="1"/>
  <c r="AO399" s="1"/>
  <c r="AI400"/>
  <c r="AK400"/>
  <c r="AJ400"/>
  <c r="AL400"/>
  <c r="AM400" s="1"/>
  <c r="AN400"/>
  <c r="AP400"/>
  <c r="AQ400" s="1"/>
  <c r="AR400" s="1"/>
  <c r="AI401"/>
  <c r="AK401" s="1"/>
  <c r="AN401"/>
  <c r="AP401" s="1"/>
  <c r="AO401" s="1"/>
  <c r="AQ401"/>
  <c r="AR401"/>
  <c r="AI402"/>
  <c r="AK402"/>
  <c r="AJ402"/>
  <c r="AL402"/>
  <c r="AM402" s="1"/>
  <c r="AN402"/>
  <c r="AP402"/>
  <c r="AQ402" s="1"/>
  <c r="AR402" s="1"/>
  <c r="AO402"/>
  <c r="AI403"/>
  <c r="AK403" s="1"/>
  <c r="AN403"/>
  <c r="AP403" s="1"/>
  <c r="AO403" s="1"/>
  <c r="AQ403"/>
  <c r="AR403" s="1"/>
  <c r="AI404"/>
  <c r="AK404"/>
  <c r="AJ404"/>
  <c r="AL404"/>
  <c r="AM404" s="1"/>
  <c r="AN404"/>
  <c r="AP404"/>
  <c r="AI405"/>
  <c r="AK405" s="1"/>
  <c r="AN405"/>
  <c r="AP405" s="1"/>
  <c r="AI406"/>
  <c r="AK406"/>
  <c r="AJ406"/>
  <c r="AL406"/>
  <c r="AM406" s="1"/>
  <c r="AN406"/>
  <c r="AP406"/>
  <c r="AI407"/>
  <c r="AK407"/>
  <c r="AN407"/>
  <c r="AP407" s="1"/>
  <c r="AO407" s="1"/>
  <c r="AI408"/>
  <c r="AK408"/>
  <c r="AJ408"/>
  <c r="AL408"/>
  <c r="AM408" s="1"/>
  <c r="AN408"/>
  <c r="AP408"/>
  <c r="AQ408" s="1"/>
  <c r="AR408" s="1"/>
  <c r="AI409"/>
  <c r="AK409"/>
  <c r="AN409"/>
  <c r="AP409" s="1"/>
  <c r="AO409" s="1"/>
  <c r="AQ409"/>
  <c r="AR409"/>
  <c r="AI410"/>
  <c r="AK410"/>
  <c r="AJ410"/>
  <c r="AL410"/>
  <c r="AM410" s="1"/>
  <c r="AN410"/>
  <c r="AP410"/>
  <c r="AQ410" s="1"/>
  <c r="AR410" s="1"/>
  <c r="AO410"/>
  <c r="AI411"/>
  <c r="AK411" s="1"/>
  <c r="AN411"/>
  <c r="AP411" s="1"/>
  <c r="AI412"/>
  <c r="AK412"/>
  <c r="AJ412"/>
  <c r="AL412"/>
  <c r="AM412" s="1"/>
  <c r="AN412"/>
  <c r="AP412"/>
  <c r="AQ412" s="1"/>
  <c r="AR412" s="1"/>
  <c r="AO412"/>
  <c r="AI413"/>
  <c r="AK413" s="1"/>
  <c r="AN413"/>
  <c r="AP413" s="1"/>
  <c r="AI414"/>
  <c r="AK414"/>
  <c r="AJ414"/>
  <c r="AL414"/>
  <c r="AM414" s="1"/>
  <c r="AN414"/>
  <c r="AP414"/>
  <c r="AI415"/>
  <c r="AK415"/>
  <c r="AN415"/>
  <c r="AP415" s="1"/>
  <c r="AO415" s="1"/>
  <c r="AI416"/>
  <c r="AK416"/>
  <c r="AJ416"/>
  <c r="AL416"/>
  <c r="AM416" s="1"/>
  <c r="AN416"/>
  <c r="AP416"/>
  <c r="AQ416" s="1"/>
  <c r="AR416" s="1"/>
  <c r="AI417"/>
  <c r="AK417" s="1"/>
  <c r="AN417"/>
  <c r="AP417" s="1"/>
  <c r="AO417" s="1"/>
  <c r="AQ417"/>
  <c r="AR417"/>
  <c r="AI418"/>
  <c r="AK418"/>
  <c r="AJ418"/>
  <c r="AL418"/>
  <c r="AM418" s="1"/>
  <c r="AN418"/>
  <c r="AP418"/>
  <c r="AQ418" s="1"/>
  <c r="AR418" s="1"/>
  <c r="AO418"/>
  <c r="AI419"/>
  <c r="AK419" s="1"/>
  <c r="AN419"/>
  <c r="AP419" s="1"/>
  <c r="AO419" s="1"/>
  <c r="AQ419"/>
  <c r="AR419" s="1"/>
  <c r="AI420"/>
  <c r="AK420"/>
  <c r="AJ420"/>
  <c r="AL420"/>
  <c r="AM420" s="1"/>
  <c r="AN420"/>
  <c r="AP420"/>
  <c r="AI421"/>
  <c r="AK421" s="1"/>
  <c r="AN421"/>
  <c r="AP421" s="1"/>
  <c r="AI422"/>
  <c r="AK422"/>
  <c r="AJ422"/>
  <c r="AL422"/>
  <c r="AM422" s="1"/>
  <c r="AN422"/>
  <c r="AP422"/>
  <c r="AI423"/>
  <c r="AK423"/>
  <c r="AN423"/>
  <c r="AP423" s="1"/>
  <c r="AO423" s="1"/>
  <c r="AI424"/>
  <c r="AK424"/>
  <c r="AJ424"/>
  <c r="AL424"/>
  <c r="AM424" s="1"/>
  <c r="AN424"/>
  <c r="AP424"/>
  <c r="AQ424" s="1"/>
  <c r="AR424" s="1"/>
  <c r="AI425"/>
  <c r="AK425"/>
  <c r="AN425"/>
  <c r="AP425" s="1"/>
  <c r="AO425" s="1"/>
  <c r="AQ425"/>
  <c r="AR425"/>
  <c r="AI426"/>
  <c r="AK426"/>
  <c r="AJ426"/>
  <c r="AL426"/>
  <c r="AM426" s="1"/>
  <c r="AN426"/>
  <c r="AP426"/>
  <c r="AQ426" s="1"/>
  <c r="AR426" s="1"/>
  <c r="AO426"/>
  <c r="AI427"/>
  <c r="AK427" s="1"/>
  <c r="AN427"/>
  <c r="AP427" s="1"/>
  <c r="AO427" s="1"/>
  <c r="AI428"/>
  <c r="AK428"/>
  <c r="AJ428"/>
  <c r="AL428"/>
  <c r="AM428" s="1"/>
  <c r="AN428"/>
  <c r="AP428"/>
  <c r="AQ428" s="1"/>
  <c r="AR428" s="1"/>
  <c r="AO428"/>
  <c r="AI429"/>
  <c r="AK429" s="1"/>
  <c r="AN429"/>
  <c r="AP429" s="1"/>
  <c r="AI430"/>
  <c r="AK430"/>
  <c r="AJ430"/>
  <c r="AL430"/>
  <c r="AM430" s="1"/>
  <c r="AN430"/>
  <c r="AP430"/>
  <c r="AI431"/>
  <c r="AK431"/>
  <c r="AN431"/>
  <c r="AP431" s="1"/>
  <c r="AO431" s="1"/>
  <c r="AI432"/>
  <c r="AK432"/>
  <c r="AJ432"/>
  <c r="AL432"/>
  <c r="AM432" s="1"/>
  <c r="AN432"/>
  <c r="AP432"/>
  <c r="AQ432" s="1"/>
  <c r="AR432" s="1"/>
  <c r="AI433"/>
  <c r="AK433" s="1"/>
  <c r="AN433"/>
  <c r="AP433" s="1"/>
  <c r="AO433" s="1"/>
  <c r="AQ433"/>
  <c r="AR433" s="1"/>
  <c r="AI434"/>
  <c r="AK434"/>
  <c r="AJ434"/>
  <c r="AL434"/>
  <c r="AM434" s="1"/>
  <c r="AN434"/>
  <c r="AP434"/>
  <c r="AQ434" s="1"/>
  <c r="AR434" s="1"/>
  <c r="AO434"/>
  <c r="AI435"/>
  <c r="AK435" s="1"/>
  <c r="AN435"/>
  <c r="AP435" s="1"/>
  <c r="AO435" s="1"/>
  <c r="AQ435"/>
  <c r="AR435" s="1"/>
  <c r="AI436"/>
  <c r="AK436"/>
  <c r="AJ436"/>
  <c r="AL436"/>
  <c r="AM436" s="1"/>
  <c r="AN436"/>
  <c r="AP436"/>
  <c r="AI437"/>
  <c r="AK437" s="1"/>
  <c r="AN437"/>
  <c r="AP437" s="1"/>
  <c r="AI438"/>
  <c r="AK438"/>
  <c r="AJ438"/>
  <c r="AL438"/>
  <c r="AM438" s="1"/>
  <c r="AN438"/>
  <c r="AP438"/>
  <c r="AI439"/>
  <c r="AK439"/>
  <c r="AN439"/>
  <c r="AP439" s="1"/>
  <c r="AO439" s="1"/>
  <c r="AI440"/>
  <c r="AK440"/>
  <c r="AJ440"/>
  <c r="AL440"/>
  <c r="AM440" s="1"/>
  <c r="AN440"/>
  <c r="AP440"/>
  <c r="AQ440" s="1"/>
  <c r="AR440" s="1"/>
  <c r="AI441"/>
  <c r="AK441"/>
  <c r="AN441"/>
  <c r="AP441" s="1"/>
  <c r="AO441" s="1"/>
  <c r="AQ441"/>
  <c r="AR441"/>
  <c r="AI442"/>
  <c r="AK442"/>
  <c r="AJ442"/>
  <c r="AL442"/>
  <c r="AM442" s="1"/>
  <c r="AN442"/>
  <c r="AP442"/>
  <c r="AQ442" s="1"/>
  <c r="AR442" s="1"/>
  <c r="AO442"/>
  <c r="AI443"/>
  <c r="AK443" s="1"/>
  <c r="AN443"/>
  <c r="AP443" s="1"/>
  <c r="AO443" s="1"/>
  <c r="AQ443"/>
  <c r="AR443" s="1"/>
  <c r="AI444"/>
  <c r="AK444"/>
  <c r="AJ444"/>
  <c r="AL444"/>
  <c r="AM444" s="1"/>
  <c r="AN444"/>
  <c r="AP444"/>
  <c r="AQ444" s="1"/>
  <c r="AR444" s="1"/>
  <c r="AO444"/>
  <c r="AI445"/>
  <c r="AK445" s="1"/>
  <c r="AN445"/>
  <c r="AP445" s="1"/>
  <c r="AI446"/>
  <c r="AK446"/>
  <c r="AJ446"/>
  <c r="AL446"/>
  <c r="AM446" s="1"/>
  <c r="AN446"/>
  <c r="AP446"/>
  <c r="AI447"/>
  <c r="AK447"/>
  <c r="AN447"/>
  <c r="AP447" s="1"/>
  <c r="AO447" s="1"/>
  <c r="AI448"/>
  <c r="AK448"/>
  <c r="AJ448"/>
  <c r="AL448"/>
  <c r="AM448" s="1"/>
  <c r="AN448"/>
  <c r="AP448"/>
  <c r="AQ448" s="1"/>
  <c r="AR448" s="1"/>
  <c r="AI449"/>
  <c r="AK449" s="1"/>
  <c r="AN449"/>
  <c r="AP449" s="1"/>
  <c r="AO449" s="1"/>
  <c r="AQ449"/>
  <c r="AR449" s="1"/>
  <c r="AI450"/>
  <c r="AK450"/>
  <c r="AJ450"/>
  <c r="AL450"/>
  <c r="AM450" s="1"/>
  <c r="AN450"/>
  <c r="AP450"/>
  <c r="AQ450" s="1"/>
  <c r="AR450" s="1"/>
  <c r="AO450"/>
  <c r="AI451"/>
  <c r="AK451" s="1"/>
  <c r="AN451"/>
  <c r="AP451" s="1"/>
  <c r="AO451" s="1"/>
  <c r="AQ451"/>
  <c r="AR451" s="1"/>
  <c r="AI452"/>
  <c r="AK452"/>
  <c r="AJ452"/>
  <c r="AL452"/>
  <c r="AM452" s="1"/>
  <c r="AN452"/>
  <c r="AP452"/>
  <c r="AI453"/>
  <c r="AK453" s="1"/>
  <c r="AN453"/>
  <c r="AP453" s="1"/>
  <c r="AI454"/>
  <c r="AK454"/>
  <c r="AJ454"/>
  <c r="AL454"/>
  <c r="AM454" s="1"/>
  <c r="AN454"/>
  <c r="AP454"/>
  <c r="AI455"/>
  <c r="AK455"/>
  <c r="AN455"/>
  <c r="AP455" s="1"/>
  <c r="AO455" s="1"/>
  <c r="AI456"/>
  <c r="AK456"/>
  <c r="AJ456"/>
  <c r="AL456"/>
  <c r="AM456" s="1"/>
  <c r="AN456"/>
  <c r="AP456"/>
  <c r="AQ456" s="1"/>
  <c r="AR456" s="1"/>
  <c r="AI457"/>
  <c r="AK457"/>
  <c r="AN457"/>
  <c r="AP457" s="1"/>
  <c r="AO457" s="1"/>
  <c r="AQ457"/>
  <c r="AR457"/>
  <c r="AI458"/>
  <c r="AK458"/>
  <c r="AJ458"/>
  <c r="AL458"/>
  <c r="AM458" s="1"/>
  <c r="AN458"/>
  <c r="AP458"/>
  <c r="AQ458" s="1"/>
  <c r="AR458" s="1"/>
  <c r="AO458"/>
  <c r="AI459"/>
  <c r="AK459" s="1"/>
  <c r="AN459"/>
  <c r="AP459" s="1"/>
  <c r="AO459" s="1"/>
  <c r="AQ459"/>
  <c r="AR459" s="1"/>
  <c r="AI460"/>
  <c r="AK460"/>
  <c r="AJ460"/>
  <c r="AL460"/>
  <c r="AM460" s="1"/>
  <c r="AN460"/>
  <c r="AP460"/>
  <c r="AQ460" s="1"/>
  <c r="AR460" s="1"/>
  <c r="AO460"/>
  <c r="AI461"/>
  <c r="AK461" s="1"/>
  <c r="AN461"/>
  <c r="AP461" s="1"/>
  <c r="AI462"/>
  <c r="AK462"/>
  <c r="AJ462"/>
  <c r="AL462"/>
  <c r="AM462" s="1"/>
  <c r="AN462"/>
  <c r="AP462"/>
  <c r="AI463"/>
  <c r="AK463"/>
  <c r="AN463"/>
  <c r="AP463" s="1"/>
  <c r="AO463" s="1"/>
  <c r="AI464"/>
  <c r="AK464"/>
  <c r="AJ464"/>
  <c r="AL464"/>
  <c r="AM464" s="1"/>
  <c r="AN464"/>
  <c r="AP464"/>
  <c r="AQ464" s="1"/>
  <c r="AR464" s="1"/>
  <c r="AI465"/>
  <c r="AK465" s="1"/>
  <c r="AN465"/>
  <c r="AP465" s="1"/>
  <c r="AO465" s="1"/>
  <c r="AQ465"/>
  <c r="AR465"/>
  <c r="AI466"/>
  <c r="AK466"/>
  <c r="AJ466"/>
  <c r="AL466"/>
  <c r="AM466" s="1"/>
  <c r="AN466"/>
  <c r="AP466"/>
  <c r="AQ466" s="1"/>
  <c r="AR466" s="1"/>
  <c r="AO466"/>
  <c r="AI467"/>
  <c r="AK467" s="1"/>
  <c r="AN467"/>
  <c r="AP467" s="1"/>
  <c r="AO467" s="1"/>
  <c r="AQ467"/>
  <c r="AR467" s="1"/>
  <c r="AI468"/>
  <c r="AK468"/>
  <c r="AJ468"/>
  <c r="AL468"/>
  <c r="AM468" s="1"/>
  <c r="AN468"/>
  <c r="AP468"/>
  <c r="AI469"/>
  <c r="AK469" s="1"/>
  <c r="AN469"/>
  <c r="AP469" s="1"/>
  <c r="AI470"/>
  <c r="AK470"/>
  <c r="AJ470"/>
  <c r="AL470"/>
  <c r="AM470" s="1"/>
  <c r="AN470"/>
  <c r="AP470"/>
  <c r="AI471"/>
  <c r="AK471"/>
  <c r="AN471"/>
  <c r="AP471" s="1"/>
  <c r="AO471" s="1"/>
  <c r="AI472"/>
  <c r="AK472"/>
  <c r="AJ472"/>
  <c r="AL472"/>
  <c r="AM472" s="1"/>
  <c r="AN472"/>
  <c r="AP472"/>
  <c r="AQ472" s="1"/>
  <c r="AR472" s="1"/>
  <c r="AI473"/>
  <c r="AK473"/>
  <c r="AN473"/>
  <c r="AP473" s="1"/>
  <c r="AO473" s="1"/>
  <c r="AQ473"/>
  <c r="AR473"/>
  <c r="AI474"/>
  <c r="AK474"/>
  <c r="AJ474"/>
  <c r="AL474"/>
  <c r="AM474" s="1"/>
  <c r="AN474"/>
  <c r="AP474"/>
  <c r="AQ474" s="1"/>
  <c r="AR474" s="1"/>
  <c r="AO474"/>
  <c r="AI475"/>
  <c r="AK475" s="1"/>
  <c r="AN475"/>
  <c r="AP475" s="1"/>
  <c r="AI476"/>
  <c r="AK476"/>
  <c r="AJ476"/>
  <c r="AL476"/>
  <c r="AM476" s="1"/>
  <c r="AN476"/>
  <c r="AP476"/>
  <c r="AQ476" s="1"/>
  <c r="AR476" s="1"/>
  <c r="AO476"/>
  <c r="AI477"/>
  <c r="AK477" s="1"/>
  <c r="AN477"/>
  <c r="AP477" s="1"/>
  <c r="AI478"/>
  <c r="AK478"/>
  <c r="AJ478"/>
  <c r="AL478"/>
  <c r="AM478" s="1"/>
  <c r="AN478"/>
  <c r="AP478"/>
  <c r="AI479"/>
  <c r="AK479"/>
  <c r="AN479"/>
  <c r="AP479" s="1"/>
  <c r="AO479" s="1"/>
  <c r="AI480"/>
  <c r="AK480"/>
  <c r="AJ480"/>
  <c r="AL480"/>
  <c r="AM480" s="1"/>
  <c r="AN480"/>
  <c r="AP480"/>
  <c r="AQ480" s="1"/>
  <c r="AR480" s="1"/>
  <c r="AI481"/>
  <c r="AK481" s="1"/>
  <c r="AN481"/>
  <c r="AP481" s="1"/>
  <c r="AO481" s="1"/>
  <c r="AQ481"/>
  <c r="AR481"/>
  <c r="AI482"/>
  <c r="AK482"/>
  <c r="AJ482"/>
  <c r="AL482"/>
  <c r="AM482" s="1"/>
  <c r="AN482"/>
  <c r="AP482"/>
  <c r="AQ482" s="1"/>
  <c r="AR482" s="1"/>
  <c r="AO482"/>
  <c r="AI483"/>
  <c r="AK483" s="1"/>
  <c r="AN483"/>
  <c r="AP483" s="1"/>
  <c r="AO483" s="1"/>
  <c r="AQ483"/>
  <c r="AR483" s="1"/>
  <c r="AI484"/>
  <c r="AK484"/>
  <c r="AJ484"/>
  <c r="AL484"/>
  <c r="AM484" s="1"/>
  <c r="AN484"/>
  <c r="AP484"/>
  <c r="AI485"/>
  <c r="AK485" s="1"/>
  <c r="AN485"/>
  <c r="AP485" s="1"/>
  <c r="AI486"/>
  <c r="AK486"/>
  <c r="AJ486"/>
  <c r="AL486"/>
  <c r="AM486" s="1"/>
  <c r="AN486"/>
  <c r="AP486"/>
  <c r="AI487"/>
  <c r="AK487"/>
  <c r="AN487"/>
  <c r="AP487" s="1"/>
  <c r="AO487" s="1"/>
  <c r="AI488"/>
  <c r="AK488"/>
  <c r="AJ488"/>
  <c r="AL488"/>
  <c r="AM488" s="1"/>
  <c r="AN488"/>
  <c r="AP488"/>
  <c r="AQ488" s="1"/>
  <c r="AR488" s="1"/>
  <c r="AI489"/>
  <c r="AK489"/>
  <c r="AN489"/>
  <c r="AP489" s="1"/>
  <c r="AO489" s="1"/>
  <c r="AQ489"/>
  <c r="AR489"/>
  <c r="AI490"/>
  <c r="AK490"/>
  <c r="AJ490"/>
  <c r="AL490"/>
  <c r="AM490" s="1"/>
  <c r="AN490"/>
  <c r="AP490"/>
  <c r="AQ490" s="1"/>
  <c r="AR490" s="1"/>
  <c r="AO490"/>
  <c r="AI491"/>
  <c r="AK491" s="1"/>
  <c r="AN491"/>
  <c r="AP491" s="1"/>
  <c r="AO491" s="1"/>
  <c r="AI492"/>
  <c r="AK492"/>
  <c r="AJ492"/>
  <c r="AL492"/>
  <c r="AM492" s="1"/>
  <c r="AN492"/>
  <c r="AP492"/>
  <c r="AQ492" s="1"/>
  <c r="AR492" s="1"/>
  <c r="AO492"/>
  <c r="AI493"/>
  <c r="AK493" s="1"/>
  <c r="AN493"/>
  <c r="AP493" s="1"/>
  <c r="AI494"/>
  <c r="AK494"/>
  <c r="AJ494"/>
  <c r="AL494"/>
  <c r="AM494" s="1"/>
  <c r="AN494"/>
  <c r="AP494"/>
  <c r="AI495"/>
  <c r="AK495"/>
  <c r="AN495"/>
  <c r="AP495" s="1"/>
  <c r="AO495" s="1"/>
  <c r="AI496"/>
  <c r="AK496"/>
  <c r="AJ496"/>
  <c r="AL496"/>
  <c r="AM496" s="1"/>
  <c r="AN496"/>
  <c r="AP496"/>
  <c r="AQ496" s="1"/>
  <c r="AR496" s="1"/>
  <c r="AI497"/>
  <c r="AK497" s="1"/>
  <c r="AN497"/>
  <c r="AP497" s="1"/>
  <c r="AO497" s="1"/>
  <c r="AQ497"/>
  <c r="AR497" s="1"/>
  <c r="AI498"/>
  <c r="AK498"/>
  <c r="AJ498"/>
  <c r="AL498"/>
  <c r="AM498" s="1"/>
  <c r="AN498"/>
  <c r="AP498"/>
  <c r="AQ498" s="1"/>
  <c r="AR498" s="1"/>
  <c r="AO498"/>
  <c r="AI499"/>
  <c r="AK499" s="1"/>
  <c r="AN499"/>
  <c r="AP499" s="1"/>
  <c r="AO499" s="1"/>
  <c r="AQ499"/>
  <c r="AR499" s="1"/>
  <c r="AI500"/>
  <c r="AK500"/>
  <c r="AJ500"/>
  <c r="AL500"/>
  <c r="AM500" s="1"/>
  <c r="AN500"/>
  <c r="AP500"/>
  <c r="AI501"/>
  <c r="AK501" s="1"/>
  <c r="AN501"/>
  <c r="AP501" s="1"/>
  <c r="AI502"/>
  <c r="AK502"/>
  <c r="AJ502"/>
  <c r="AL502"/>
  <c r="AM502" s="1"/>
  <c r="AN502"/>
  <c r="AP502"/>
  <c r="AI503"/>
  <c r="AK503"/>
  <c r="AN503"/>
  <c r="AP503" s="1"/>
  <c r="AO503" s="1"/>
  <c r="AI504"/>
  <c r="AK504"/>
  <c r="AJ504"/>
  <c r="AL504"/>
  <c r="AM504" s="1"/>
  <c r="AN504"/>
  <c r="AP504"/>
  <c r="AQ504" s="1"/>
  <c r="AR504" s="1"/>
  <c r="AI505"/>
  <c r="AK505"/>
  <c r="AN505"/>
  <c r="AP505" s="1"/>
  <c r="AO505" s="1"/>
  <c r="AQ505"/>
  <c r="AR505"/>
  <c r="AI506"/>
  <c r="AK506"/>
  <c r="AJ506"/>
  <c r="AL506"/>
  <c r="AM506" s="1"/>
  <c r="AN506"/>
  <c r="AP506"/>
  <c r="AQ506" s="1"/>
  <c r="AR506" s="1"/>
  <c r="AO506"/>
  <c r="AI507"/>
  <c r="AK507" s="1"/>
  <c r="AN507"/>
  <c r="AP507" s="1"/>
  <c r="AO507" s="1"/>
  <c r="AQ507"/>
  <c r="AR507" s="1"/>
  <c r="AI508"/>
  <c r="AK508"/>
  <c r="AJ508"/>
  <c r="AL508"/>
  <c r="AM508" s="1"/>
  <c r="AN508"/>
  <c r="AP508"/>
  <c r="AQ508" s="1"/>
  <c r="AR508" s="1"/>
  <c r="AO508"/>
  <c r="AI509"/>
  <c r="AK509" s="1"/>
  <c r="AN509"/>
  <c r="AP509" s="1"/>
  <c r="AI510"/>
  <c r="AK510"/>
  <c r="AJ510"/>
  <c r="AL510"/>
  <c r="AM510" s="1"/>
  <c r="AN510"/>
  <c r="AP510"/>
  <c r="AI511"/>
  <c r="AK511"/>
  <c r="AN511"/>
  <c r="AP511" s="1"/>
  <c r="AO511" s="1"/>
  <c r="AI512"/>
  <c r="AK512"/>
  <c r="AJ512"/>
  <c r="AL512"/>
  <c r="AM512" s="1"/>
  <c r="AN512"/>
  <c r="AP512"/>
  <c r="AQ512" s="1"/>
  <c r="AR512" s="1"/>
  <c r="AI513"/>
  <c r="AK513" s="1"/>
  <c r="AN513"/>
  <c r="AP513" s="1"/>
  <c r="AO513" s="1"/>
  <c r="AQ513"/>
  <c r="AR513" s="1"/>
  <c r="AI514"/>
  <c r="AK514"/>
  <c r="AJ514"/>
  <c r="AL514"/>
  <c r="AM514" s="1"/>
  <c r="AN514"/>
  <c r="AP514"/>
  <c r="AQ514" s="1"/>
  <c r="AR514" s="1"/>
  <c r="AO514"/>
  <c r="AI515"/>
  <c r="AK515" s="1"/>
  <c r="AN515"/>
  <c r="AP515" s="1"/>
  <c r="AO515" s="1"/>
  <c r="AQ515"/>
  <c r="AR515" s="1"/>
  <c r="AI516"/>
  <c r="AK516"/>
  <c r="AJ516"/>
  <c r="AL516"/>
  <c r="AM516" s="1"/>
  <c r="AN516"/>
  <c r="AP516"/>
  <c r="AI517"/>
  <c r="AK517" s="1"/>
  <c r="AN517"/>
  <c r="AP517" s="1"/>
  <c r="AI518"/>
  <c r="AK518"/>
  <c r="AJ518"/>
  <c r="AL518"/>
  <c r="AM518" s="1"/>
  <c r="AN518"/>
  <c r="AP518"/>
  <c r="AI519"/>
  <c r="AK519"/>
  <c r="AN519"/>
  <c r="AP519" s="1"/>
  <c r="AO519" s="1"/>
  <c r="AI520"/>
  <c r="AK520"/>
  <c r="AJ520"/>
  <c r="AL520"/>
  <c r="AM520" s="1"/>
  <c r="AN520"/>
  <c r="AP520"/>
  <c r="AQ520" s="1"/>
  <c r="AR520" s="1"/>
  <c r="AI521"/>
  <c r="AK521"/>
  <c r="AN521"/>
  <c r="AP521" s="1"/>
  <c r="AO521" s="1"/>
  <c r="AQ521"/>
  <c r="AR521"/>
  <c r="AI522"/>
  <c r="AK522"/>
  <c r="AJ522"/>
  <c r="AL522"/>
  <c r="AM522" s="1"/>
  <c r="AN522"/>
  <c r="AP522"/>
  <c r="AQ522" s="1"/>
  <c r="AR522" s="1"/>
  <c r="AO522"/>
  <c r="AI523"/>
  <c r="AK523" s="1"/>
  <c r="AN523"/>
  <c r="AP523" s="1"/>
  <c r="AO523" s="1"/>
  <c r="AQ523"/>
  <c r="AR523" s="1"/>
  <c r="AI524"/>
  <c r="AK524"/>
  <c r="AJ524"/>
  <c r="AL524"/>
  <c r="AM524" s="1"/>
  <c r="AN524"/>
  <c r="AP524"/>
  <c r="AQ524" s="1"/>
  <c r="AR524" s="1"/>
  <c r="AO524"/>
  <c r="AI525"/>
  <c r="AK525" s="1"/>
  <c r="AN525"/>
  <c r="AP525" s="1"/>
  <c r="AI526"/>
  <c r="AK526"/>
  <c r="AJ526"/>
  <c r="AL526"/>
  <c r="AM526" s="1"/>
  <c r="AN526"/>
  <c r="AP526"/>
  <c r="AI527"/>
  <c r="AK527"/>
  <c r="AN527"/>
  <c r="AP527" s="1"/>
  <c r="AO527" s="1"/>
  <c r="AI528"/>
  <c r="AK528"/>
  <c r="AJ528"/>
  <c r="AL528"/>
  <c r="AM528" s="1"/>
  <c r="AN528"/>
  <c r="AP528"/>
  <c r="AQ528" s="1"/>
  <c r="AR528" s="1"/>
  <c r="AI529"/>
  <c r="AK529" s="1"/>
  <c r="AN529"/>
  <c r="AP529" s="1"/>
  <c r="AO529" s="1"/>
  <c r="AQ529"/>
  <c r="AR529"/>
  <c r="AI530"/>
  <c r="AK530"/>
  <c r="AJ530"/>
  <c r="AL530"/>
  <c r="AM530" s="1"/>
  <c r="AN530"/>
  <c r="AP530"/>
  <c r="AQ530" s="1"/>
  <c r="AR530" s="1"/>
  <c r="AO530"/>
  <c r="AI531"/>
  <c r="AK531" s="1"/>
  <c r="AN531"/>
  <c r="AP531" s="1"/>
  <c r="AO531" s="1"/>
  <c r="AQ531"/>
  <c r="AR531" s="1"/>
  <c r="AI532"/>
  <c r="AK532"/>
  <c r="AJ532"/>
  <c r="AL532"/>
  <c r="AM532" s="1"/>
  <c r="AN532"/>
  <c r="AP532"/>
  <c r="AI533"/>
  <c r="AK533" s="1"/>
  <c r="AN533"/>
  <c r="AP533" s="1"/>
  <c r="AI534"/>
  <c r="AK534"/>
  <c r="AJ534"/>
  <c r="AL534"/>
  <c r="AM534" s="1"/>
  <c r="AN534"/>
  <c r="AP534"/>
  <c r="AI535"/>
  <c r="AK535"/>
  <c r="AN535"/>
  <c r="AP535" s="1"/>
  <c r="AO535" s="1"/>
  <c r="AI536"/>
  <c r="AK536"/>
  <c r="AJ536"/>
  <c r="AL536"/>
  <c r="AM536" s="1"/>
  <c r="AN536"/>
  <c r="AP536"/>
  <c r="AQ536" s="1"/>
  <c r="AR536" s="1"/>
  <c r="AI537"/>
  <c r="AK537"/>
  <c r="AN537"/>
  <c r="AP537" s="1"/>
  <c r="AO537" s="1"/>
  <c r="AQ537"/>
  <c r="AR537"/>
  <c r="AI538"/>
  <c r="AK538"/>
  <c r="AJ538"/>
  <c r="AL538"/>
  <c r="AM538" s="1"/>
  <c r="AN538"/>
  <c r="AP538"/>
  <c r="AQ538" s="1"/>
  <c r="AR538" s="1"/>
  <c r="AO538"/>
  <c r="AI539"/>
  <c r="AK539" s="1"/>
  <c r="AN539"/>
  <c r="AP539" s="1"/>
  <c r="AI540"/>
  <c r="AK540"/>
  <c r="AJ540"/>
  <c r="AL540"/>
  <c r="AM540" s="1"/>
  <c r="AN540"/>
  <c r="AP540"/>
  <c r="AQ540" s="1"/>
  <c r="AR540" s="1"/>
  <c r="AO540"/>
  <c r="AI541"/>
  <c r="AK541" s="1"/>
  <c r="AN541"/>
  <c r="AP541" s="1"/>
  <c r="AI542"/>
  <c r="AK542"/>
  <c r="AJ542"/>
  <c r="AL542"/>
  <c r="AM542" s="1"/>
  <c r="AN542"/>
  <c r="AP542"/>
  <c r="AI543"/>
  <c r="AK543"/>
  <c r="AN543"/>
  <c r="AP543" s="1"/>
  <c r="AO543" s="1"/>
  <c r="AI544"/>
  <c r="AK544"/>
  <c r="AJ544"/>
  <c r="AL544"/>
  <c r="AM544" s="1"/>
  <c r="AN544"/>
  <c r="AP544"/>
  <c r="AQ544" s="1"/>
  <c r="AR544" s="1"/>
  <c r="AI545"/>
  <c r="AK545" s="1"/>
  <c r="AN545"/>
  <c r="AP545" s="1"/>
  <c r="AO545" s="1"/>
  <c r="AQ545"/>
  <c r="AR545"/>
  <c r="AI546"/>
  <c r="AK546"/>
  <c r="AJ546"/>
  <c r="AL546"/>
  <c r="AM546" s="1"/>
  <c r="AN546"/>
  <c r="AP546"/>
  <c r="AQ546" s="1"/>
  <c r="AR546" s="1"/>
  <c r="AO546"/>
  <c r="AI547"/>
  <c r="AK547" s="1"/>
  <c r="AN547"/>
  <c r="AP547" s="1"/>
  <c r="AO547" s="1"/>
  <c r="AQ547"/>
  <c r="AR547" s="1"/>
  <c r="AI548"/>
  <c r="AK548"/>
  <c r="AJ548"/>
  <c r="AL548"/>
  <c r="AM548" s="1"/>
  <c r="AN548"/>
  <c r="AP548"/>
  <c r="AI549"/>
  <c r="AK549" s="1"/>
  <c r="AN549"/>
  <c r="AP549" s="1"/>
  <c r="AI550"/>
  <c r="AK550"/>
  <c r="AJ550"/>
  <c r="AL550"/>
  <c r="AM550" s="1"/>
  <c r="AN550"/>
  <c r="AP550"/>
  <c r="AI551"/>
  <c r="AK551"/>
  <c r="AN551"/>
  <c r="AP551" s="1"/>
  <c r="AO551" s="1"/>
  <c r="AI552"/>
  <c r="AK552"/>
  <c r="AJ552"/>
  <c r="AL552"/>
  <c r="AM552" s="1"/>
  <c r="AN552"/>
  <c r="AP552"/>
  <c r="AQ552" s="1"/>
  <c r="AR552" s="1"/>
  <c r="AI553"/>
  <c r="AK553"/>
  <c r="AN553"/>
  <c r="AP553" s="1"/>
  <c r="AO553" s="1"/>
  <c r="AQ553"/>
  <c r="AR553"/>
  <c r="AI554"/>
  <c r="AK554"/>
  <c r="AJ554"/>
  <c r="AL554"/>
  <c r="AM554" s="1"/>
  <c r="AN554"/>
  <c r="AP554"/>
  <c r="AQ554" s="1"/>
  <c r="AR554" s="1"/>
  <c r="AO554"/>
  <c r="AI555"/>
  <c r="AK555" s="1"/>
  <c r="AN555"/>
  <c r="AP555" s="1"/>
  <c r="AO555" s="1"/>
  <c r="AI556"/>
  <c r="AK556"/>
  <c r="AJ556"/>
  <c r="AL556"/>
  <c r="AM556" s="1"/>
  <c r="AN556"/>
  <c r="AP556"/>
  <c r="AQ556" s="1"/>
  <c r="AR556" s="1"/>
  <c r="AO556"/>
  <c r="AI557"/>
  <c r="AK557" s="1"/>
  <c r="AN557"/>
  <c r="AP557" s="1"/>
  <c r="AI558"/>
  <c r="AK558"/>
  <c r="AJ558"/>
  <c r="AL558"/>
  <c r="AM558" s="1"/>
  <c r="AN558"/>
  <c r="AP558"/>
  <c r="AI559"/>
  <c r="AK559"/>
  <c r="AN559"/>
  <c r="AP559" s="1"/>
  <c r="AO559" s="1"/>
  <c r="AI560"/>
  <c r="AK560"/>
  <c r="AJ560"/>
  <c r="AL560"/>
  <c r="AM560" s="1"/>
  <c r="AN560"/>
  <c r="AP560"/>
  <c r="AQ560" s="1"/>
  <c r="AR560" s="1"/>
  <c r="AI561"/>
  <c r="AK561" s="1"/>
  <c r="AN561"/>
  <c r="AP561" s="1"/>
  <c r="AO561" s="1"/>
  <c r="AQ561"/>
  <c r="AR561" s="1"/>
  <c r="AI562"/>
  <c r="AK562"/>
  <c r="AJ562"/>
  <c r="AL562"/>
  <c r="AM562" s="1"/>
  <c r="AN562"/>
  <c r="AP562"/>
  <c r="AQ562" s="1"/>
  <c r="AR562" s="1"/>
  <c r="AO562"/>
  <c r="AI563"/>
  <c r="AK563" s="1"/>
  <c r="AN563"/>
  <c r="AP563" s="1"/>
  <c r="AO563" s="1"/>
  <c r="AQ563"/>
  <c r="AR563" s="1"/>
  <c r="AI564"/>
  <c r="AK564"/>
  <c r="AJ564"/>
  <c r="AL564"/>
  <c r="AM564" s="1"/>
  <c r="AN564"/>
  <c r="AP564"/>
  <c r="AI565"/>
  <c r="AK565" s="1"/>
  <c r="AN565"/>
  <c r="AP565" s="1"/>
  <c r="AI566"/>
  <c r="AK566"/>
  <c r="AJ566"/>
  <c r="AL566"/>
  <c r="AM566" s="1"/>
  <c r="AN566"/>
  <c r="AP566"/>
  <c r="AI567"/>
  <c r="AK567"/>
  <c r="AN567"/>
  <c r="AP567" s="1"/>
  <c r="AO567" s="1"/>
  <c r="AI568"/>
  <c r="AK568"/>
  <c r="AJ568"/>
  <c r="AL568"/>
  <c r="AM568" s="1"/>
  <c r="AN568"/>
  <c r="AP568"/>
  <c r="AQ568" s="1"/>
  <c r="AR568" s="1"/>
  <c r="AI569"/>
  <c r="AK569"/>
  <c r="AN569"/>
  <c r="AP569" s="1"/>
  <c r="AO569" s="1"/>
  <c r="AQ569"/>
  <c r="AR569"/>
  <c r="AI570"/>
  <c r="AK570"/>
  <c r="AJ570"/>
  <c r="AL570"/>
  <c r="AM570" s="1"/>
  <c r="AN570"/>
  <c r="AP570"/>
  <c r="AQ570" s="1"/>
  <c r="AR570" s="1"/>
  <c r="AO570"/>
  <c r="AI571"/>
  <c r="AK571" s="1"/>
  <c r="AN571"/>
  <c r="AP571" s="1"/>
  <c r="AO571" s="1"/>
  <c r="AQ571"/>
  <c r="AR571" s="1"/>
  <c r="AI572"/>
  <c r="AK572"/>
  <c r="AJ572"/>
  <c r="AL572"/>
  <c r="AM572" s="1"/>
  <c r="AN572"/>
  <c r="AP572"/>
  <c r="AQ572" s="1"/>
  <c r="AR572" s="1"/>
  <c r="AO572"/>
  <c r="AI573"/>
  <c r="AK573" s="1"/>
  <c r="AN573"/>
  <c r="AP573" s="1"/>
  <c r="AI574"/>
  <c r="AK574"/>
  <c r="AJ574"/>
  <c r="AL574"/>
  <c r="AM574" s="1"/>
  <c r="AN574"/>
  <c r="AP574"/>
  <c r="AI575"/>
  <c r="AK575"/>
  <c r="AN575"/>
  <c r="AP575" s="1"/>
  <c r="AO575" s="1"/>
  <c r="AI576"/>
  <c r="AK576"/>
  <c r="AJ576"/>
  <c r="AL576"/>
  <c r="AM576" s="1"/>
  <c r="AN576"/>
  <c r="AP576"/>
  <c r="AQ576" s="1"/>
  <c r="AR576" s="1"/>
  <c r="AI577"/>
  <c r="AK577" s="1"/>
  <c r="AN577"/>
  <c r="AP577" s="1"/>
  <c r="AO577" s="1"/>
  <c r="AQ577"/>
  <c r="AR577" s="1"/>
  <c r="AI578"/>
  <c r="AK578"/>
  <c r="AJ578"/>
  <c r="AL578"/>
  <c r="AM578" s="1"/>
  <c r="AN578"/>
  <c r="AP578"/>
  <c r="AQ578" s="1"/>
  <c r="AR578" s="1"/>
  <c r="AO578"/>
  <c r="AI579"/>
  <c r="AK579" s="1"/>
  <c r="AN579"/>
  <c r="AP579" s="1"/>
  <c r="AO579" s="1"/>
  <c r="AQ579"/>
  <c r="AR579" s="1"/>
  <c r="AI580"/>
  <c r="AK580"/>
  <c r="AJ580"/>
  <c r="AL580"/>
  <c r="AM580" s="1"/>
  <c r="AN580"/>
  <c r="AP580"/>
  <c r="AI581"/>
  <c r="AK581" s="1"/>
  <c r="AN581"/>
  <c r="AP581" s="1"/>
  <c r="AI582"/>
  <c r="AK582"/>
  <c r="AJ582"/>
  <c r="AL582"/>
  <c r="AM582" s="1"/>
  <c r="AN582"/>
  <c r="AP582"/>
  <c r="AI583"/>
  <c r="AK583"/>
  <c r="AN583"/>
  <c r="AP583" s="1"/>
  <c r="AO583" s="1"/>
  <c r="AI584"/>
  <c r="AK584"/>
  <c r="AJ584"/>
  <c r="AL584"/>
  <c r="AM584" s="1"/>
  <c r="AN584"/>
  <c r="AP584"/>
  <c r="AQ584" s="1"/>
  <c r="AR584" s="1"/>
  <c r="AI585"/>
  <c r="AK585"/>
  <c r="AN585"/>
  <c r="AP585" s="1"/>
  <c r="AO585" s="1"/>
  <c r="AQ585"/>
  <c r="AR585"/>
  <c r="AI586"/>
  <c r="AK586"/>
  <c r="AJ586"/>
  <c r="AL586"/>
  <c r="AM586" s="1"/>
  <c r="AN586"/>
  <c r="AP586"/>
  <c r="AQ586" s="1"/>
  <c r="AR586" s="1"/>
  <c r="AO586"/>
  <c r="AI587"/>
  <c r="AK587" s="1"/>
  <c r="AN587"/>
  <c r="AP587" s="1"/>
  <c r="AO587" s="1"/>
  <c r="AQ587"/>
  <c r="AR587" s="1"/>
  <c r="AI588"/>
  <c r="AK588"/>
  <c r="AJ588"/>
  <c r="AL588"/>
  <c r="AM588" s="1"/>
  <c r="AN588"/>
  <c r="AP588"/>
  <c r="AQ588" s="1"/>
  <c r="AR588" s="1"/>
  <c r="AO588"/>
  <c r="AI589"/>
  <c r="AK589" s="1"/>
  <c r="AN589"/>
  <c r="AP589" s="1"/>
  <c r="AI590"/>
  <c r="AK590"/>
  <c r="AJ590"/>
  <c r="AL590"/>
  <c r="AM590" s="1"/>
  <c r="AN590"/>
  <c r="AP590"/>
  <c r="AI591"/>
  <c r="AK591"/>
  <c r="AN591"/>
  <c r="AP591" s="1"/>
  <c r="AO591" s="1"/>
  <c r="AI592"/>
  <c r="AK592"/>
  <c r="AJ592"/>
  <c r="AL592"/>
  <c r="AM592" s="1"/>
  <c r="AN592"/>
  <c r="AP592"/>
  <c r="AQ592" s="1"/>
  <c r="AR592" s="1"/>
  <c r="AI593"/>
  <c r="AK593" s="1"/>
  <c r="AN593"/>
  <c r="AP593" s="1"/>
  <c r="AO593" s="1"/>
  <c r="AQ593"/>
  <c r="AR593"/>
  <c r="AI594"/>
  <c r="AK594"/>
  <c r="AJ594"/>
  <c r="AL594"/>
  <c r="AM594" s="1"/>
  <c r="AN594"/>
  <c r="AP594"/>
  <c r="AQ594" s="1"/>
  <c r="AR594" s="1"/>
  <c r="AO594"/>
  <c r="AI595"/>
  <c r="AK595" s="1"/>
  <c r="AN595"/>
  <c r="AP595" s="1"/>
  <c r="AO595" s="1"/>
  <c r="AQ595"/>
  <c r="AR595" s="1"/>
  <c r="AI596"/>
  <c r="AK596"/>
  <c r="AJ596"/>
  <c r="AL596"/>
  <c r="AM596" s="1"/>
  <c r="AN596"/>
  <c r="AP596"/>
  <c r="AI597"/>
  <c r="AK597" s="1"/>
  <c r="AN597"/>
  <c r="AP597" s="1"/>
  <c r="AI598"/>
  <c r="AK598"/>
  <c r="AJ598"/>
  <c r="AL598"/>
  <c r="AM598" s="1"/>
  <c r="AN598"/>
  <c r="AP598"/>
  <c r="AI599"/>
  <c r="AK599"/>
  <c r="AN599"/>
  <c r="AP599" s="1"/>
  <c r="AO599" s="1"/>
  <c r="AI600"/>
  <c r="AK600"/>
  <c r="AJ600"/>
  <c r="AL600"/>
  <c r="AM600" s="1"/>
  <c r="AN600"/>
  <c r="AP600"/>
  <c r="AQ600" s="1"/>
  <c r="AR600" s="1"/>
  <c r="AI601"/>
  <c r="AK601"/>
  <c r="AN601"/>
  <c r="AP601" s="1"/>
  <c r="AO601" s="1"/>
  <c r="AQ601"/>
  <c r="AR601"/>
  <c r="AI602"/>
  <c r="AK602"/>
  <c r="AJ602"/>
  <c r="AL602"/>
  <c r="AM602" s="1"/>
  <c r="AN602"/>
  <c r="AP602"/>
  <c r="AQ602" s="1"/>
  <c r="AR602" s="1"/>
  <c r="AO602"/>
  <c r="AI603"/>
  <c r="AK603" s="1"/>
  <c r="AN603"/>
  <c r="AP603" s="1"/>
  <c r="AI604"/>
  <c r="AK604"/>
  <c r="AJ604"/>
  <c r="AL604"/>
  <c r="AM604" s="1"/>
  <c r="AN604"/>
  <c r="AP604"/>
  <c r="AQ604" s="1"/>
  <c r="AR604" s="1"/>
  <c r="AO604"/>
  <c r="AI605"/>
  <c r="AK605" s="1"/>
  <c r="AN605"/>
  <c r="AP605" s="1"/>
  <c r="AI606"/>
  <c r="AK606"/>
  <c r="AJ606"/>
  <c r="AL606"/>
  <c r="AM606" s="1"/>
  <c r="AN606"/>
  <c r="AP606"/>
  <c r="AI607"/>
  <c r="AK607"/>
  <c r="AN607"/>
  <c r="AP607" s="1"/>
  <c r="AO607" s="1"/>
  <c r="AI608"/>
  <c r="AK608"/>
  <c r="AJ608"/>
  <c r="AL608"/>
  <c r="AM608" s="1"/>
  <c r="AN608"/>
  <c r="AP608"/>
  <c r="AQ608" s="1"/>
  <c r="AR608" s="1"/>
  <c r="AI609"/>
  <c r="AK609" s="1"/>
  <c r="AN609"/>
  <c r="AP609" s="1"/>
  <c r="AO609" s="1"/>
  <c r="AQ609"/>
  <c r="AR609"/>
  <c r="AI610"/>
  <c r="AK610"/>
  <c r="AJ610"/>
  <c r="AL610"/>
  <c r="AM610" s="1"/>
  <c r="AN610"/>
  <c r="AP610"/>
  <c r="AQ610" s="1"/>
  <c r="AR610" s="1"/>
  <c r="AO610"/>
  <c r="AI611"/>
  <c r="AK611" s="1"/>
  <c r="AN611"/>
  <c r="AP611" s="1"/>
  <c r="AO611" s="1"/>
  <c r="AQ611"/>
  <c r="AR611" s="1"/>
  <c r="AI612"/>
  <c r="AK612"/>
  <c r="AJ612"/>
  <c r="AL612"/>
  <c r="AM612" s="1"/>
  <c r="AN612"/>
  <c r="AP612"/>
  <c r="AI613"/>
  <c r="AK613" s="1"/>
  <c r="AN613"/>
  <c r="AP613" s="1"/>
  <c r="AI614"/>
  <c r="AK614"/>
  <c r="AJ614"/>
  <c r="AL614"/>
  <c r="AM614" s="1"/>
  <c r="AN614"/>
  <c r="AP614"/>
  <c r="AI615"/>
  <c r="AK615"/>
  <c r="AN615"/>
  <c r="AP615" s="1"/>
  <c r="AO615" s="1"/>
  <c r="AI616"/>
  <c r="AK616"/>
  <c r="AJ616"/>
  <c r="AL616"/>
  <c r="AM616" s="1"/>
  <c r="AN616"/>
  <c r="AP616"/>
  <c r="AQ616" s="1"/>
  <c r="AR616" s="1"/>
  <c r="AI617"/>
  <c r="AK617"/>
  <c r="AN617"/>
  <c r="AP617" s="1"/>
  <c r="AO617" s="1"/>
  <c r="AQ617"/>
  <c r="AR617"/>
  <c r="AI618"/>
  <c r="AK618"/>
  <c r="AJ618"/>
  <c r="AL618"/>
  <c r="AM618" s="1"/>
  <c r="AN618"/>
  <c r="AP618"/>
  <c r="AQ618" s="1"/>
  <c r="AR618" s="1"/>
  <c r="AO618"/>
  <c r="AI619"/>
  <c r="AK619" s="1"/>
  <c r="AN619"/>
  <c r="AP619" s="1"/>
  <c r="AO619" s="1"/>
  <c r="AI620"/>
  <c r="AK620"/>
  <c r="AJ620"/>
  <c r="AL620"/>
  <c r="AM620" s="1"/>
  <c r="AN620"/>
  <c r="AP620"/>
  <c r="AQ620" s="1"/>
  <c r="AR620" s="1"/>
  <c r="AO620"/>
  <c r="AI621"/>
  <c r="AK621" s="1"/>
  <c r="AN621"/>
  <c r="AP621" s="1"/>
  <c r="AI622"/>
  <c r="AK622"/>
  <c r="AJ622"/>
  <c r="AL622"/>
  <c r="AM622" s="1"/>
  <c r="AN622"/>
  <c r="AP622"/>
  <c r="AI623"/>
  <c r="AK623"/>
  <c r="AN623"/>
  <c r="AP623" s="1"/>
  <c r="AO623" s="1"/>
  <c r="AI624"/>
  <c r="AK624"/>
  <c r="AJ624"/>
  <c r="AL624"/>
  <c r="AM624" s="1"/>
  <c r="AN624"/>
  <c r="AP624"/>
  <c r="AQ624" s="1"/>
  <c r="AR624" s="1"/>
  <c r="AI625"/>
  <c r="AK625" s="1"/>
  <c r="AN625"/>
  <c r="AP625" s="1"/>
  <c r="AO625" s="1"/>
  <c r="AQ625"/>
  <c r="AR625" s="1"/>
  <c r="AI626"/>
  <c r="AK626"/>
  <c r="AJ626"/>
  <c r="AL626"/>
  <c r="AM626" s="1"/>
  <c r="AN626"/>
  <c r="AP626"/>
  <c r="AQ626" s="1"/>
  <c r="AR626" s="1"/>
  <c r="AO626"/>
  <c r="AI627"/>
  <c r="AK627" s="1"/>
  <c r="AN627"/>
  <c r="AP627" s="1"/>
  <c r="AO627" s="1"/>
  <c r="AQ627"/>
  <c r="AR627" s="1"/>
  <c r="AI628"/>
  <c r="AK628"/>
  <c r="AJ628"/>
  <c r="AL628"/>
  <c r="AM628" s="1"/>
  <c r="AN628"/>
  <c r="AP628"/>
  <c r="AI629"/>
  <c r="AK629" s="1"/>
  <c r="AN629"/>
  <c r="AP629" s="1"/>
  <c r="AI630"/>
  <c r="AK630"/>
  <c r="AJ630"/>
  <c r="AL630"/>
  <c r="AM630" s="1"/>
  <c r="AN630"/>
  <c r="AP630"/>
  <c r="AI631"/>
  <c r="AK631"/>
  <c r="AN631"/>
  <c r="AP631" s="1"/>
  <c r="AO631" s="1"/>
  <c r="AI632"/>
  <c r="AK632"/>
  <c r="AJ632"/>
  <c r="AL632"/>
  <c r="AM632" s="1"/>
  <c r="AN632"/>
  <c r="AP632"/>
  <c r="AQ632" s="1"/>
  <c r="AR632" s="1"/>
  <c r="AI633"/>
  <c r="AK633"/>
  <c r="AN633"/>
  <c r="AP633" s="1"/>
  <c r="AO633" s="1"/>
  <c r="AQ633"/>
  <c r="AR633"/>
  <c r="AI634"/>
  <c r="AK634"/>
  <c r="AJ634"/>
  <c r="AL634"/>
  <c r="AM634" s="1"/>
  <c r="AN634"/>
  <c r="AP634"/>
  <c r="AQ634" s="1"/>
  <c r="AR634" s="1"/>
  <c r="AO634"/>
  <c r="AI635"/>
  <c r="AK635" s="1"/>
  <c r="AN635"/>
  <c r="AP635" s="1"/>
  <c r="AO635" s="1"/>
  <c r="AQ635"/>
  <c r="AR635" s="1"/>
  <c r="AI636"/>
  <c r="AK636"/>
  <c r="AJ636"/>
  <c r="AL636"/>
  <c r="AM636" s="1"/>
  <c r="AN636"/>
  <c r="AP636"/>
  <c r="AQ636" s="1"/>
  <c r="AR636" s="1"/>
  <c r="AO636"/>
  <c r="AI637"/>
  <c r="AK637" s="1"/>
  <c r="AN637"/>
  <c r="AP637" s="1"/>
  <c r="AI638"/>
  <c r="AK638"/>
  <c r="AJ638"/>
  <c r="AL638"/>
  <c r="AM638" s="1"/>
  <c r="AN638"/>
  <c r="AP638"/>
  <c r="AI639"/>
  <c r="AK639"/>
  <c r="AN639"/>
  <c r="AP639" s="1"/>
  <c r="AO639" s="1"/>
  <c r="AI640"/>
  <c r="AK640"/>
  <c r="AJ640"/>
  <c r="AL640"/>
  <c r="AM640" s="1"/>
  <c r="AN640"/>
  <c r="AP640"/>
  <c r="AQ640" s="1"/>
  <c r="AR640" s="1"/>
  <c r="AI641"/>
  <c r="AK641" s="1"/>
  <c r="AN641"/>
  <c r="AP641" s="1"/>
  <c r="AO641" s="1"/>
  <c r="AQ641"/>
  <c r="AR641" s="1"/>
  <c r="AI642"/>
  <c r="AK642"/>
  <c r="AJ642"/>
  <c r="AL642"/>
  <c r="AM642" s="1"/>
  <c r="AN642"/>
  <c r="AP642"/>
  <c r="AQ642" s="1"/>
  <c r="AR642" s="1"/>
  <c r="AO642"/>
  <c r="AI643"/>
  <c r="AK643" s="1"/>
  <c r="AN643"/>
  <c r="AP643" s="1"/>
  <c r="AO643" s="1"/>
  <c r="AQ643"/>
  <c r="AR643" s="1"/>
  <c r="AI644"/>
  <c r="AK644"/>
  <c r="AJ644"/>
  <c r="AL644"/>
  <c r="AM644" s="1"/>
  <c r="AN644"/>
  <c r="AP644"/>
  <c r="AI645"/>
  <c r="AK645" s="1"/>
  <c r="AN645"/>
  <c r="AP645" s="1"/>
  <c r="AI646"/>
  <c r="AK646"/>
  <c r="AJ646"/>
  <c r="AL646"/>
  <c r="AM646" s="1"/>
  <c r="AN646"/>
  <c r="AP646"/>
  <c r="AI647"/>
  <c r="AK647"/>
  <c r="AN647"/>
  <c r="AP647" s="1"/>
  <c r="AO647" s="1"/>
  <c r="AI648"/>
  <c r="AK648"/>
  <c r="AJ648"/>
  <c r="AL648"/>
  <c r="AM648" s="1"/>
  <c r="AN648"/>
  <c r="AP648"/>
  <c r="AQ648" s="1"/>
  <c r="AR648" s="1"/>
  <c r="AI649"/>
  <c r="AK649"/>
  <c r="AN649"/>
  <c r="AP649" s="1"/>
  <c r="AO649" s="1"/>
  <c r="AQ649"/>
  <c r="AR649"/>
  <c r="AI650"/>
  <c r="AK650"/>
  <c r="AJ650"/>
  <c r="AL650"/>
  <c r="AM650" s="1"/>
  <c r="AN650"/>
  <c r="AP650"/>
  <c r="AQ650" s="1"/>
  <c r="AR650" s="1"/>
  <c r="AO650"/>
  <c r="AI651"/>
  <c r="AK651" s="1"/>
  <c r="AN651"/>
  <c r="AP651" s="1"/>
  <c r="AO651" s="1"/>
  <c r="AQ651"/>
  <c r="AR651" s="1"/>
  <c r="AI652"/>
  <c r="AK652"/>
  <c r="AJ652"/>
  <c r="AL652"/>
  <c r="AM652" s="1"/>
  <c r="AN652"/>
  <c r="AP652"/>
  <c r="AQ652" s="1"/>
  <c r="AR652" s="1"/>
  <c r="AO652"/>
  <c r="AI653"/>
  <c r="AK653" s="1"/>
  <c r="AN653"/>
  <c r="AP653" s="1"/>
  <c r="AI654"/>
  <c r="AK654"/>
  <c r="AJ654"/>
  <c r="AL654"/>
  <c r="AM654" s="1"/>
  <c r="AN654"/>
  <c r="AP654"/>
  <c r="AI655"/>
  <c r="AK655"/>
  <c r="AN655"/>
  <c r="AP655" s="1"/>
  <c r="AO655" s="1"/>
  <c r="AI656"/>
  <c r="AK656"/>
  <c r="AJ656"/>
  <c r="AL656"/>
  <c r="AM656" s="1"/>
  <c r="AN656"/>
  <c r="AP656"/>
  <c r="AQ656" s="1"/>
  <c r="AR656" s="1"/>
  <c r="AI657"/>
  <c r="AK657" s="1"/>
  <c r="AN657"/>
  <c r="AP657" s="1"/>
  <c r="AO657" s="1"/>
  <c r="AQ657"/>
  <c r="AR657"/>
  <c r="AI658"/>
  <c r="AK658"/>
  <c r="AJ658"/>
  <c r="AL658"/>
  <c r="AM658" s="1"/>
  <c r="AN658"/>
  <c r="AP658"/>
  <c r="AQ658" s="1"/>
  <c r="AR658" s="1"/>
  <c r="AO658"/>
  <c r="AI659"/>
  <c r="AK659" s="1"/>
  <c r="AN659"/>
  <c r="AP659" s="1"/>
  <c r="AO659" s="1"/>
  <c r="AQ659"/>
  <c r="AR659" s="1"/>
  <c r="AI660"/>
  <c r="AK660"/>
  <c r="AJ660"/>
  <c r="AL660"/>
  <c r="AM660" s="1"/>
  <c r="AN660"/>
  <c r="AP660"/>
  <c r="AI661"/>
  <c r="AK661" s="1"/>
  <c r="AN661"/>
  <c r="AP661" s="1"/>
  <c r="AI662"/>
  <c r="AK662"/>
  <c r="AJ662"/>
  <c r="AL662"/>
  <c r="AM662" s="1"/>
  <c r="AN662"/>
  <c r="AP662"/>
  <c r="AI663"/>
  <c r="AK663"/>
  <c r="AN663"/>
  <c r="AP663" s="1"/>
  <c r="AO663" s="1"/>
  <c r="AI664"/>
  <c r="AK664"/>
  <c r="AJ664"/>
  <c r="AL664"/>
  <c r="AM664" s="1"/>
  <c r="AN664"/>
  <c r="AP664"/>
  <c r="AQ664" s="1"/>
  <c r="AR664" s="1"/>
  <c r="AI665"/>
  <c r="AK665"/>
  <c r="AN665"/>
  <c r="AP665" s="1"/>
  <c r="AO665" s="1"/>
  <c r="AQ665"/>
  <c r="AR665"/>
  <c r="AI666"/>
  <c r="AK666"/>
  <c r="AJ666"/>
  <c r="AL666"/>
  <c r="AM666" s="1"/>
  <c r="AN666"/>
  <c r="AP666"/>
  <c r="AQ666" s="1"/>
  <c r="AR666" s="1"/>
  <c r="AO666"/>
  <c r="AI667"/>
  <c r="AK667" s="1"/>
  <c r="AN667"/>
  <c r="AP667" s="1"/>
  <c r="AI668"/>
  <c r="AK668"/>
  <c r="AJ668"/>
  <c r="AL668"/>
  <c r="AM668" s="1"/>
  <c r="AN668"/>
  <c r="AP668"/>
  <c r="AQ668" s="1"/>
  <c r="AR668" s="1"/>
  <c r="AO668"/>
  <c r="AI669"/>
  <c r="AK669" s="1"/>
  <c r="AN669"/>
  <c r="AP669" s="1"/>
  <c r="AI670"/>
  <c r="AK670"/>
  <c r="AJ670"/>
  <c r="AL670"/>
  <c r="AM670" s="1"/>
  <c r="AN670"/>
  <c r="AP670"/>
  <c r="AI671"/>
  <c r="AK671"/>
  <c r="AN671"/>
  <c r="AP671" s="1"/>
  <c r="AO671" s="1"/>
  <c r="AI672"/>
  <c r="AK672"/>
  <c r="AJ672"/>
  <c r="AL672"/>
  <c r="AM672" s="1"/>
  <c r="AN672"/>
  <c r="AP672"/>
  <c r="AQ672" s="1"/>
  <c r="AR672" s="1"/>
  <c r="AI673"/>
  <c r="AK673" s="1"/>
  <c r="AN673"/>
  <c r="AP673" s="1"/>
  <c r="AO673" s="1"/>
  <c r="AQ673"/>
  <c r="AR673"/>
  <c r="AI674"/>
  <c r="AK674"/>
  <c r="AJ674"/>
  <c r="AL674"/>
  <c r="AM674" s="1"/>
  <c r="AN674"/>
  <c r="AP674"/>
  <c r="AQ674" s="1"/>
  <c r="AR674" s="1"/>
  <c r="AO674"/>
  <c r="AI675"/>
  <c r="AK675" s="1"/>
  <c r="AN675"/>
  <c r="AP675" s="1"/>
  <c r="AO675" s="1"/>
  <c r="AQ675"/>
  <c r="AR675" s="1"/>
  <c r="AI676"/>
  <c r="AK676"/>
  <c r="AJ676"/>
  <c r="AL676"/>
  <c r="AM676" s="1"/>
  <c r="AN676"/>
  <c r="AP676"/>
  <c r="AI677"/>
  <c r="AK677" s="1"/>
  <c r="AN677"/>
  <c r="AP677" s="1"/>
  <c r="AI678"/>
  <c r="AK678"/>
  <c r="AJ678"/>
  <c r="AL678"/>
  <c r="AM678" s="1"/>
  <c r="AN678"/>
  <c r="AP678"/>
  <c r="AI679"/>
  <c r="AK679"/>
  <c r="AN679"/>
  <c r="AP679" s="1"/>
  <c r="AO679" s="1"/>
  <c r="AI680"/>
  <c r="AK680"/>
  <c r="AJ680"/>
  <c r="AL680"/>
  <c r="AM680" s="1"/>
  <c r="AN680"/>
  <c r="AP680"/>
  <c r="AQ680" s="1"/>
  <c r="AR680" s="1"/>
  <c r="AI681"/>
  <c r="AK681"/>
  <c r="AN681"/>
  <c r="AP681" s="1"/>
  <c r="AO681" s="1"/>
  <c r="AQ681"/>
  <c r="AR681"/>
  <c r="AI682"/>
  <c r="AK682"/>
  <c r="AJ682"/>
  <c r="AL682"/>
  <c r="AM682" s="1"/>
  <c r="AN682"/>
  <c r="AP682"/>
  <c r="AQ682" s="1"/>
  <c r="AR682" s="1"/>
  <c r="AO682"/>
  <c r="AI683"/>
  <c r="AK683" s="1"/>
  <c r="AN683"/>
  <c r="AP683" s="1"/>
  <c r="AO683" s="1"/>
  <c r="AI684"/>
  <c r="AK684"/>
  <c r="AJ684"/>
  <c r="AL684"/>
  <c r="AM684" s="1"/>
  <c r="AN684"/>
  <c r="AP684"/>
  <c r="AQ684" s="1"/>
  <c r="AR684" s="1"/>
  <c r="AO684"/>
  <c r="AI685"/>
  <c r="AK685" s="1"/>
  <c r="AN685"/>
  <c r="AP685" s="1"/>
  <c r="AI686"/>
  <c r="AK686"/>
  <c r="AJ686"/>
  <c r="AL686"/>
  <c r="AM686" s="1"/>
  <c r="AN686"/>
  <c r="AP686"/>
  <c r="AI687"/>
  <c r="AK687"/>
  <c r="AN687"/>
  <c r="AP687" s="1"/>
  <c r="AO687" s="1"/>
  <c r="AI688"/>
  <c r="AK688"/>
  <c r="AJ688"/>
  <c r="AL688"/>
  <c r="AM688" s="1"/>
  <c r="AN688"/>
  <c r="AP688"/>
  <c r="AQ688" s="1"/>
  <c r="AR688" s="1"/>
  <c r="AI689"/>
  <c r="AK689" s="1"/>
  <c r="AN689"/>
  <c r="AP689" s="1"/>
  <c r="AO689" s="1"/>
  <c r="AQ689"/>
  <c r="AR689" s="1"/>
  <c r="AI690"/>
  <c r="AK690"/>
  <c r="AJ690"/>
  <c r="AL690"/>
  <c r="AM690" s="1"/>
  <c r="AN690"/>
  <c r="AP690"/>
  <c r="AQ690" s="1"/>
  <c r="AR690" s="1"/>
  <c r="AO690"/>
  <c r="AI691"/>
  <c r="AK691" s="1"/>
  <c r="AN691"/>
  <c r="AP691" s="1"/>
  <c r="AO691" s="1"/>
  <c r="AQ691"/>
  <c r="AR691" s="1"/>
  <c r="AI692"/>
  <c r="AK692"/>
  <c r="AJ692"/>
  <c r="AL692"/>
  <c r="AM692" s="1"/>
  <c r="AN692"/>
  <c r="AP692"/>
  <c r="AI693"/>
  <c r="AK693" s="1"/>
  <c r="AN693"/>
  <c r="AP693" s="1"/>
  <c r="AI694"/>
  <c r="AK694"/>
  <c r="AJ694"/>
  <c r="AL694"/>
  <c r="AM694" s="1"/>
  <c r="AN694"/>
  <c r="AP694"/>
  <c r="AI695"/>
  <c r="AK695"/>
  <c r="AN695"/>
  <c r="AP695" s="1"/>
  <c r="AO695" s="1"/>
  <c r="AI696"/>
  <c r="AK696"/>
  <c r="AJ696"/>
  <c r="AL696"/>
  <c r="AM696" s="1"/>
  <c r="AN696"/>
  <c r="AP696"/>
  <c r="AQ696" s="1"/>
  <c r="AR696" s="1"/>
  <c r="AI697"/>
  <c r="AK697"/>
  <c r="AN697"/>
  <c r="AP697" s="1"/>
  <c r="AO697" s="1"/>
  <c r="AQ697"/>
  <c r="AR697"/>
  <c r="AI698"/>
  <c r="AK698"/>
  <c r="AJ698"/>
  <c r="AL698"/>
  <c r="AM698" s="1"/>
  <c r="AN698"/>
  <c r="AP698"/>
  <c r="AQ698" s="1"/>
  <c r="AR698" s="1"/>
  <c r="AO698"/>
  <c r="AI699"/>
  <c r="AK699" s="1"/>
  <c r="AN699"/>
  <c r="AP699" s="1"/>
  <c r="AO699" s="1"/>
  <c r="AQ699"/>
  <c r="AR699" s="1"/>
  <c r="AI700"/>
  <c r="AK700"/>
  <c r="AJ700"/>
  <c r="AL700"/>
  <c r="AM700" s="1"/>
  <c r="AN700"/>
  <c r="AP700"/>
  <c r="AQ700" s="1"/>
  <c r="AR700" s="1"/>
  <c r="AO700"/>
  <c r="AI701"/>
  <c r="AK701" s="1"/>
  <c r="AN701"/>
  <c r="AP701" s="1"/>
  <c r="AI702"/>
  <c r="AK702"/>
  <c r="AJ702"/>
  <c r="AL702"/>
  <c r="AM702" s="1"/>
  <c r="AN702"/>
  <c r="AP702"/>
  <c r="AI703"/>
  <c r="AK703"/>
  <c r="AN703"/>
  <c r="AP703" s="1"/>
  <c r="AO703" s="1"/>
  <c r="AI704"/>
  <c r="AK704"/>
  <c r="AJ704"/>
  <c r="AL704"/>
  <c r="AM704" s="1"/>
  <c r="AN704"/>
  <c r="AP704"/>
  <c r="AQ704" s="1"/>
  <c r="AR704" s="1"/>
  <c r="AI705"/>
  <c r="AK705" s="1"/>
  <c r="AN705"/>
  <c r="AP705" s="1"/>
  <c r="AO705" s="1"/>
  <c r="AQ705"/>
  <c r="AR705" s="1"/>
  <c r="AI706"/>
  <c r="AK706"/>
  <c r="AJ706"/>
  <c r="AL706"/>
  <c r="AM706" s="1"/>
  <c r="AN706"/>
  <c r="AP706"/>
  <c r="AQ706" s="1"/>
  <c r="AR706" s="1"/>
  <c r="AO706"/>
  <c r="AI707"/>
  <c r="AK707" s="1"/>
  <c r="AN707"/>
  <c r="AP707" s="1"/>
  <c r="AO707" s="1"/>
  <c r="AQ707"/>
  <c r="AR707" s="1"/>
  <c r="AI708"/>
  <c r="AK708"/>
  <c r="AJ708"/>
  <c r="AL708"/>
  <c r="AM708" s="1"/>
  <c r="AN708"/>
  <c r="AP708"/>
  <c r="AI709"/>
  <c r="AK709" s="1"/>
  <c r="AN709"/>
  <c r="AP709" s="1"/>
  <c r="AI710"/>
  <c r="AK710"/>
  <c r="AJ710"/>
  <c r="AL710"/>
  <c r="AM710" s="1"/>
  <c r="AN710"/>
  <c r="AP710"/>
  <c r="AI711"/>
  <c r="AK711"/>
  <c r="AN711"/>
  <c r="AP711" s="1"/>
  <c r="AO711" s="1"/>
  <c r="AI712"/>
  <c r="AK712"/>
  <c r="AJ712"/>
  <c r="AL712"/>
  <c r="AM712" s="1"/>
  <c r="AN712"/>
  <c r="AP712"/>
  <c r="AQ712" s="1"/>
  <c r="AR712" s="1"/>
  <c r="AI713"/>
  <c r="AK713"/>
  <c r="AN713"/>
  <c r="AP713" s="1"/>
  <c r="AO713" s="1"/>
  <c r="AQ713"/>
  <c r="AR713"/>
  <c r="AI714"/>
  <c r="AK714"/>
  <c r="AJ714"/>
  <c r="AL714"/>
  <c r="AM714" s="1"/>
  <c r="AN714"/>
  <c r="AP714"/>
  <c r="AQ714" s="1"/>
  <c r="AR714" s="1"/>
  <c r="AO714"/>
  <c r="AI715"/>
  <c r="AK715" s="1"/>
  <c r="AN715"/>
  <c r="AP715" s="1"/>
  <c r="AO715" s="1"/>
  <c r="AQ715"/>
  <c r="AR715" s="1"/>
  <c r="AI716"/>
  <c r="AK716"/>
  <c r="AJ716"/>
  <c r="AL716"/>
  <c r="AM716" s="1"/>
  <c r="AN716"/>
  <c r="AP716"/>
  <c r="AQ716" s="1"/>
  <c r="AR716" s="1"/>
  <c r="AO716"/>
  <c r="AI717"/>
  <c r="AK717" s="1"/>
  <c r="AN717"/>
  <c r="AP717" s="1"/>
  <c r="AI718"/>
  <c r="AK718"/>
  <c r="AJ718"/>
  <c r="AL718"/>
  <c r="AM718" s="1"/>
  <c r="AN718"/>
  <c r="AP718"/>
  <c r="AI719"/>
  <c r="AK719"/>
  <c r="AN719"/>
  <c r="AP719" s="1"/>
  <c r="AO719" s="1"/>
  <c r="AI720"/>
  <c r="AK720"/>
  <c r="AJ720"/>
  <c r="AL720"/>
  <c r="AM720" s="1"/>
  <c r="AN720"/>
  <c r="AP720"/>
  <c r="AQ720" s="1"/>
  <c r="AR720" s="1"/>
  <c r="AI721"/>
  <c r="AK721" s="1"/>
  <c r="AN721"/>
  <c r="AP721" s="1"/>
  <c r="AO721" s="1"/>
  <c r="AQ721"/>
  <c r="AR721"/>
  <c r="AI722"/>
  <c r="AK722"/>
  <c r="AJ722"/>
  <c r="AL722"/>
  <c r="AM722" s="1"/>
  <c r="AN722"/>
  <c r="AP722"/>
  <c r="AQ722" s="1"/>
  <c r="AR722" s="1"/>
  <c r="AO722"/>
  <c r="AI723"/>
  <c r="AK723" s="1"/>
  <c r="AN723"/>
  <c r="AP723" s="1"/>
  <c r="AO723" s="1"/>
  <c r="AQ723"/>
  <c r="AR723" s="1"/>
  <c r="AI724"/>
  <c r="AK724"/>
  <c r="AJ724"/>
  <c r="AL724"/>
  <c r="AM724" s="1"/>
  <c r="AN724"/>
  <c r="AP724"/>
  <c r="AI725"/>
  <c r="AK725" s="1"/>
  <c r="AN725"/>
  <c r="AP725" s="1"/>
  <c r="AI726"/>
  <c r="AK726"/>
  <c r="AJ726"/>
  <c r="AL726"/>
  <c r="AM726" s="1"/>
  <c r="AN726"/>
  <c r="AP726"/>
  <c r="AI727"/>
  <c r="AK727"/>
  <c r="AN727"/>
  <c r="AP727" s="1"/>
  <c r="AO727" s="1"/>
  <c r="AI728"/>
  <c r="AK728"/>
  <c r="AJ728"/>
  <c r="AL728"/>
  <c r="AM728" s="1"/>
  <c r="AN728"/>
  <c r="AP728"/>
  <c r="AQ728" s="1"/>
  <c r="AR728" s="1"/>
  <c r="AI729"/>
  <c r="AK729"/>
  <c r="AN729"/>
  <c r="AP729" s="1"/>
  <c r="AO729" s="1"/>
  <c r="AQ729"/>
  <c r="AR729"/>
  <c r="AI730"/>
  <c r="AK730"/>
  <c r="AJ730"/>
  <c r="AL730"/>
  <c r="AM730" s="1"/>
  <c r="AN730"/>
  <c r="AP730"/>
  <c r="AQ730" s="1"/>
  <c r="AR730" s="1"/>
  <c r="AO730"/>
  <c r="AI731"/>
  <c r="AK731" s="1"/>
  <c r="AN731"/>
  <c r="AP731" s="1"/>
  <c r="AI732"/>
  <c r="AK732"/>
  <c r="AJ732"/>
  <c r="AL732"/>
  <c r="AM732" s="1"/>
  <c r="AN732"/>
  <c r="AP732"/>
  <c r="AQ732" s="1"/>
  <c r="AR732" s="1"/>
  <c r="AO732"/>
  <c r="AI733"/>
  <c r="AK733" s="1"/>
  <c r="AN733"/>
  <c r="AP733" s="1"/>
  <c r="AI734"/>
  <c r="AK734"/>
  <c r="AJ734"/>
  <c r="AL734"/>
  <c r="AM734" s="1"/>
  <c r="AN734"/>
  <c r="AP734"/>
  <c r="AI735"/>
  <c r="AK735"/>
  <c r="AN735"/>
  <c r="AP735" s="1"/>
  <c r="AO735" s="1"/>
  <c r="AI736"/>
  <c r="AK736"/>
  <c r="AJ736"/>
  <c r="AL736"/>
  <c r="AM736" s="1"/>
  <c r="AN736"/>
  <c r="AP736"/>
  <c r="AQ736" s="1"/>
  <c r="AR736" s="1"/>
  <c r="AI737"/>
  <c r="AK737" s="1"/>
  <c r="AN737"/>
  <c r="AP737" s="1"/>
  <c r="AO737" s="1"/>
  <c r="AQ737"/>
  <c r="AR737"/>
  <c r="AI738"/>
  <c r="AK738"/>
  <c r="AJ738"/>
  <c r="AL738"/>
  <c r="AM738" s="1"/>
  <c r="AN738"/>
  <c r="AP738"/>
  <c r="AQ738" s="1"/>
  <c r="AR738" s="1"/>
  <c r="AO738"/>
  <c r="AI739"/>
  <c r="AK739" s="1"/>
  <c r="AN739"/>
  <c r="AP739" s="1"/>
  <c r="AO739" s="1"/>
  <c r="AQ739"/>
  <c r="AR739" s="1"/>
  <c r="AI740"/>
  <c r="AK740"/>
  <c r="AJ740"/>
  <c r="AL740"/>
  <c r="AM740" s="1"/>
  <c r="AN740"/>
  <c r="AP740"/>
  <c r="AI741"/>
  <c r="AK741" s="1"/>
  <c r="AN741"/>
  <c r="AP741" s="1"/>
  <c r="AI742"/>
  <c r="AK742"/>
  <c r="AJ742"/>
  <c r="AL742"/>
  <c r="AM742" s="1"/>
  <c r="AN742"/>
  <c r="AP742"/>
  <c r="AI743"/>
  <c r="AK743"/>
  <c r="AN743"/>
  <c r="AP743" s="1"/>
  <c r="AO743" s="1"/>
  <c r="AI744"/>
  <c r="AK744"/>
  <c r="AJ744"/>
  <c r="AL744"/>
  <c r="AM744" s="1"/>
  <c r="AN744"/>
  <c r="AP744"/>
  <c r="AQ744" s="1"/>
  <c r="AR744" s="1"/>
  <c r="AI745"/>
  <c r="AK745"/>
  <c r="AN745"/>
  <c r="AP745" s="1"/>
  <c r="AO745" s="1"/>
  <c r="AQ745"/>
  <c r="AR745"/>
  <c r="AI746"/>
  <c r="AK746"/>
  <c r="AJ746"/>
  <c r="AL746"/>
  <c r="AM746" s="1"/>
  <c r="AN746"/>
  <c r="AP746"/>
  <c r="AQ746" s="1"/>
  <c r="AR746" s="1"/>
  <c r="AO746"/>
  <c r="AI747"/>
  <c r="AK747" s="1"/>
  <c r="AN747"/>
  <c r="AP747" s="1"/>
  <c r="AO747" s="1"/>
  <c r="AI748"/>
  <c r="AK748"/>
  <c r="AJ748"/>
  <c r="AL748"/>
  <c r="AM748" s="1"/>
  <c r="AN748"/>
  <c r="AP748"/>
  <c r="AQ748" s="1"/>
  <c r="AR748" s="1"/>
  <c r="AO748"/>
  <c r="AI749"/>
  <c r="AK749" s="1"/>
  <c r="AN749"/>
  <c r="AP749" s="1"/>
  <c r="AI750"/>
  <c r="AK750"/>
  <c r="AJ750"/>
  <c r="AL750"/>
  <c r="AM750" s="1"/>
  <c r="AN750"/>
  <c r="AP750"/>
  <c r="AI751"/>
  <c r="AK751"/>
  <c r="AN751"/>
  <c r="AP751" s="1"/>
  <c r="AO751" s="1"/>
  <c r="AI752"/>
  <c r="AK752"/>
  <c r="AJ752"/>
  <c r="AL752"/>
  <c r="AM752" s="1"/>
  <c r="AN752"/>
  <c r="AP752"/>
  <c r="AQ752" s="1"/>
  <c r="AR752" s="1"/>
  <c r="AI753"/>
  <c r="AK753" s="1"/>
  <c r="AN753"/>
  <c r="AP753" s="1"/>
  <c r="AO753" s="1"/>
  <c r="AQ753"/>
  <c r="AR753" s="1"/>
  <c r="AI754"/>
  <c r="AK754"/>
  <c r="AJ754"/>
  <c r="AL754"/>
  <c r="AM754" s="1"/>
  <c r="AN754"/>
  <c r="AP754"/>
  <c r="AQ754" s="1"/>
  <c r="AR754" s="1"/>
  <c r="AO754"/>
  <c r="AI755"/>
  <c r="AK755" s="1"/>
  <c r="AN755"/>
  <c r="AP755" s="1"/>
  <c r="AO755" s="1"/>
  <c r="AQ755"/>
  <c r="AR755" s="1"/>
  <c r="AI756"/>
  <c r="AK756"/>
  <c r="AJ756"/>
  <c r="AL756"/>
  <c r="AM756" s="1"/>
  <c r="AN756"/>
  <c r="AP756"/>
  <c r="AI757"/>
  <c r="AK757" s="1"/>
  <c r="AN757"/>
  <c r="AP757" s="1"/>
  <c r="AI758"/>
  <c r="AK758"/>
  <c r="AJ758"/>
  <c r="AL758"/>
  <c r="AM758" s="1"/>
  <c r="AN758"/>
  <c r="AP758"/>
  <c r="AI759"/>
  <c r="AK759"/>
  <c r="AN759"/>
  <c r="AP759" s="1"/>
  <c r="AO759" s="1"/>
  <c r="AI760"/>
  <c r="AK760"/>
  <c r="AJ760"/>
  <c r="AL760"/>
  <c r="AM760" s="1"/>
  <c r="AN760"/>
  <c r="AP760"/>
  <c r="AQ760" s="1"/>
  <c r="AR760" s="1"/>
  <c r="AI761"/>
  <c r="AK761"/>
  <c r="AN761"/>
  <c r="AP761" s="1"/>
  <c r="AO761" s="1"/>
  <c r="AQ761"/>
  <c r="AR761"/>
  <c r="AI762"/>
  <c r="AK762"/>
  <c r="AJ762"/>
  <c r="AL762"/>
  <c r="AM762" s="1"/>
  <c r="AN762"/>
  <c r="AP762"/>
  <c r="AQ762" s="1"/>
  <c r="AR762" s="1"/>
  <c r="AO762"/>
  <c r="AI763"/>
  <c r="AK763" s="1"/>
  <c r="AN763"/>
  <c r="AP763" s="1"/>
  <c r="AO763" s="1"/>
  <c r="AQ763"/>
  <c r="AR763" s="1"/>
  <c r="AI764"/>
  <c r="AK764"/>
  <c r="AJ764"/>
  <c r="AL764"/>
  <c r="AM764" s="1"/>
  <c r="AN764"/>
  <c r="AP764"/>
  <c r="AQ764" s="1"/>
  <c r="AR764" s="1"/>
  <c r="AO764"/>
  <c r="AI765"/>
  <c r="AK765" s="1"/>
  <c r="AN765"/>
  <c r="AP765" s="1"/>
  <c r="AI766"/>
  <c r="AK766"/>
  <c r="AJ766"/>
  <c r="AL766"/>
  <c r="AM766" s="1"/>
  <c r="AN766"/>
  <c r="AP766"/>
  <c r="AI767"/>
  <c r="AK767"/>
  <c r="AN767"/>
  <c r="AP767" s="1"/>
  <c r="AO767" s="1"/>
  <c r="AI768"/>
  <c r="AK768"/>
  <c r="AJ768"/>
  <c r="AL768"/>
  <c r="AM768" s="1"/>
  <c r="AN768"/>
  <c r="AP768"/>
  <c r="AQ768" s="1"/>
  <c r="AR768" s="1"/>
  <c r="AI769"/>
  <c r="AK769" s="1"/>
  <c r="AN769"/>
  <c r="AP769" s="1"/>
  <c r="AO769" s="1"/>
  <c r="AQ769"/>
  <c r="AR769" s="1"/>
  <c r="AI770"/>
  <c r="AK770"/>
  <c r="AJ770"/>
  <c r="AL770"/>
  <c r="AM770" s="1"/>
  <c r="AN770"/>
  <c r="AP770"/>
  <c r="AQ770" s="1"/>
  <c r="AR770" s="1"/>
  <c r="AO770"/>
  <c r="AI771"/>
  <c r="AK771" s="1"/>
  <c r="AN771"/>
  <c r="AP771" s="1"/>
  <c r="AO771" s="1"/>
  <c r="AQ771"/>
  <c r="AR771" s="1"/>
  <c r="AI772"/>
  <c r="AK772"/>
  <c r="AJ772"/>
  <c r="AL772"/>
  <c r="AM772" s="1"/>
  <c r="AN772"/>
  <c r="AP772"/>
  <c r="AI773"/>
  <c r="AK773" s="1"/>
  <c r="AN773"/>
  <c r="AP773" s="1"/>
  <c r="AI774"/>
  <c r="AK774"/>
  <c r="AJ774"/>
  <c r="AL774"/>
  <c r="AM774" s="1"/>
  <c r="AN774"/>
  <c r="AP774"/>
  <c r="AI775"/>
  <c r="AK775"/>
  <c r="AN775"/>
  <c r="AP775" s="1"/>
  <c r="AO775" s="1"/>
  <c r="AI776"/>
  <c r="AK776"/>
  <c r="AJ776"/>
  <c r="AL776"/>
  <c r="AM776" s="1"/>
  <c r="AN776"/>
  <c r="AP776"/>
  <c r="AQ776" s="1"/>
  <c r="AR776" s="1"/>
  <c r="AI777"/>
  <c r="AK777"/>
  <c r="AN777"/>
  <c r="AP777" s="1"/>
  <c r="AO777" s="1"/>
  <c r="AQ777"/>
  <c r="AR777"/>
  <c r="AI778"/>
  <c r="AK778"/>
  <c r="AJ778"/>
  <c r="AL778"/>
  <c r="AM778" s="1"/>
  <c r="AN778"/>
  <c r="AP778"/>
  <c r="AQ778" s="1"/>
  <c r="AR778" s="1"/>
  <c r="AO778"/>
  <c r="AI779"/>
  <c r="AK779" s="1"/>
  <c r="AN779"/>
  <c r="AP779" s="1"/>
  <c r="AO779" s="1"/>
  <c r="AQ779"/>
  <c r="AR779" s="1"/>
  <c r="AI780"/>
  <c r="AK780"/>
  <c r="AJ780"/>
  <c r="AL780"/>
  <c r="AM780" s="1"/>
  <c r="AN780"/>
  <c r="AP780"/>
  <c r="AQ780" s="1"/>
  <c r="AR780" s="1"/>
  <c r="AO780"/>
  <c r="AI781"/>
  <c r="AK781" s="1"/>
  <c r="AN781"/>
  <c r="AP781" s="1"/>
  <c r="AI782"/>
  <c r="AK782"/>
  <c r="AJ782"/>
  <c r="AL782"/>
  <c r="AM782" s="1"/>
  <c r="AN782"/>
  <c r="AP782"/>
  <c r="AI783"/>
  <c r="AK783"/>
  <c r="AN783"/>
  <c r="AP783" s="1"/>
  <c r="AO783" s="1"/>
  <c r="AI784"/>
  <c r="AK784"/>
  <c r="AJ784"/>
  <c r="AL784"/>
  <c r="AM784" s="1"/>
  <c r="AN784"/>
  <c r="AP784"/>
  <c r="AQ784" s="1"/>
  <c r="AR784" s="1"/>
  <c r="AI785"/>
  <c r="AK785" s="1"/>
  <c r="AN785"/>
  <c r="AP785" s="1"/>
  <c r="AO785" s="1"/>
  <c r="AQ785"/>
  <c r="AR785"/>
  <c r="AI786"/>
  <c r="AK786"/>
  <c r="AJ786"/>
  <c r="AL786"/>
  <c r="AM786" s="1"/>
  <c r="AN786"/>
  <c r="AP786"/>
  <c r="AQ786" s="1"/>
  <c r="AR786" s="1"/>
  <c r="AO786"/>
  <c r="AI787"/>
  <c r="AK787" s="1"/>
  <c r="AN787"/>
  <c r="AP787" s="1"/>
  <c r="AO787" s="1"/>
  <c r="AQ787"/>
  <c r="AR787" s="1"/>
  <c r="AI788"/>
  <c r="AK788"/>
  <c r="AJ788"/>
  <c r="AL788"/>
  <c r="AM788" s="1"/>
  <c r="AN788"/>
  <c r="AP788"/>
  <c r="AI789"/>
  <c r="AK789" s="1"/>
  <c r="AN789"/>
  <c r="AP789" s="1"/>
  <c r="AI790"/>
  <c r="AK790"/>
  <c r="AJ790"/>
  <c r="AL790"/>
  <c r="AM790" s="1"/>
  <c r="AN790"/>
  <c r="AP790"/>
  <c r="AI791"/>
  <c r="AK791"/>
  <c r="AN791"/>
  <c r="AP791" s="1"/>
  <c r="AO791" s="1"/>
  <c r="AI792"/>
  <c r="AK792"/>
  <c r="AJ792"/>
  <c r="AL792"/>
  <c r="AM792" s="1"/>
  <c r="AN792"/>
  <c r="AP792"/>
  <c r="AQ792" s="1"/>
  <c r="AR792" s="1"/>
  <c r="AI793"/>
  <c r="AK793"/>
  <c r="AN793"/>
  <c r="AP793" s="1"/>
  <c r="AO793" s="1"/>
  <c r="AQ793"/>
  <c r="AR793"/>
  <c r="AI794"/>
  <c r="AK794"/>
  <c r="AJ794"/>
  <c r="AL794"/>
  <c r="AM794" s="1"/>
  <c r="AN794"/>
  <c r="AP794"/>
  <c r="AQ794" s="1"/>
  <c r="AR794" s="1"/>
  <c r="AO794"/>
  <c r="AI795"/>
  <c r="AK795" s="1"/>
  <c r="AN795"/>
  <c r="AP795" s="1"/>
  <c r="AI796"/>
  <c r="AK796"/>
  <c r="AJ796"/>
  <c r="AL796"/>
  <c r="AM796" s="1"/>
  <c r="AN796"/>
  <c r="AP796"/>
  <c r="AQ796" s="1"/>
  <c r="AR796" s="1"/>
  <c r="AO796"/>
  <c r="AI797"/>
  <c r="AK797" s="1"/>
  <c r="AN797"/>
  <c r="AP797" s="1"/>
  <c r="AI798"/>
  <c r="AK798"/>
  <c r="AJ798"/>
  <c r="AL798"/>
  <c r="AM798" s="1"/>
  <c r="AN798"/>
  <c r="AP798"/>
  <c r="AI799"/>
  <c r="AK799"/>
  <c r="AN799"/>
  <c r="AP799" s="1"/>
  <c r="AO799" s="1"/>
  <c r="AI800"/>
  <c r="AK800"/>
  <c r="AJ800"/>
  <c r="AL800"/>
  <c r="AM800" s="1"/>
  <c r="AN800"/>
  <c r="AP800"/>
  <c r="AQ800" s="1"/>
  <c r="AR800" s="1"/>
  <c r="AI801"/>
  <c r="AK801" s="1"/>
  <c r="AN801"/>
  <c r="AP801" s="1"/>
  <c r="AO801" s="1"/>
  <c r="AQ801"/>
  <c r="AR801"/>
  <c r="AI802"/>
  <c r="AK802"/>
  <c r="AJ802"/>
  <c r="AL802"/>
  <c r="AM802" s="1"/>
  <c r="AN802"/>
  <c r="AP802"/>
  <c r="AQ802" s="1"/>
  <c r="AR802" s="1"/>
  <c r="AO802"/>
  <c r="AI803"/>
  <c r="AK803" s="1"/>
  <c r="AN803"/>
  <c r="AP803" s="1"/>
  <c r="AO803" s="1"/>
  <c r="AQ803"/>
  <c r="AR803" s="1"/>
  <c r="AI804"/>
  <c r="AK804"/>
  <c r="AJ804"/>
  <c r="AL804"/>
  <c r="AM804" s="1"/>
  <c r="AN804"/>
  <c r="AP804"/>
  <c r="AI805"/>
  <c r="AK805" s="1"/>
  <c r="AN805"/>
  <c r="AP805" s="1"/>
  <c r="AI806"/>
  <c r="AK806"/>
  <c r="AJ806"/>
  <c r="AL806"/>
  <c r="AM806" s="1"/>
  <c r="AN806"/>
  <c r="AP806"/>
  <c r="AI807"/>
  <c r="AK807"/>
  <c r="AN807"/>
  <c r="AP807" s="1"/>
  <c r="AO807" s="1"/>
  <c r="AI808"/>
  <c r="AK808"/>
  <c r="AJ808"/>
  <c r="AL808"/>
  <c r="AM808" s="1"/>
  <c r="AN808"/>
  <c r="AP808"/>
  <c r="AQ808" s="1"/>
  <c r="AR808" s="1"/>
  <c r="AI809"/>
  <c r="AK809"/>
  <c r="AN809"/>
  <c r="AP809" s="1"/>
  <c r="AO809" s="1"/>
  <c r="AQ809"/>
  <c r="AR809"/>
  <c r="AI810"/>
  <c r="AK810"/>
  <c r="AJ810"/>
  <c r="AL810"/>
  <c r="AM810" s="1"/>
  <c r="AN810"/>
  <c r="AP810"/>
  <c r="AQ810" s="1"/>
  <c r="AR810" s="1"/>
  <c r="AO810"/>
  <c r="AI811"/>
  <c r="AK811" s="1"/>
  <c r="AN811"/>
  <c r="AP811" s="1"/>
  <c r="AO811" s="1"/>
  <c r="AI812"/>
  <c r="AK812"/>
  <c r="AJ812"/>
  <c r="AL812"/>
  <c r="AM812" s="1"/>
  <c r="AN812"/>
  <c r="AP812"/>
  <c r="AQ812" s="1"/>
  <c r="AR812" s="1"/>
  <c r="AO812"/>
  <c r="AI813"/>
  <c r="AK813" s="1"/>
  <c r="AN813"/>
  <c r="AP813" s="1"/>
  <c r="AI814"/>
  <c r="AK814"/>
  <c r="AJ814"/>
  <c r="AL814"/>
  <c r="AM814" s="1"/>
  <c r="AN814"/>
  <c r="AP814"/>
  <c r="AI815"/>
  <c r="AK815"/>
  <c r="AN815"/>
  <c r="AP815" s="1"/>
  <c r="AO815" s="1"/>
  <c r="AI816"/>
  <c r="AK816"/>
  <c r="AJ816"/>
  <c r="AL816"/>
  <c r="AM816" s="1"/>
  <c r="AN816"/>
  <c r="AP816"/>
  <c r="AQ816" s="1"/>
  <c r="AR816" s="1"/>
  <c r="AI817"/>
  <c r="AK817" s="1"/>
  <c r="AN817"/>
  <c r="AP817" s="1"/>
  <c r="AO817" s="1"/>
  <c r="AQ817"/>
  <c r="AR817" s="1"/>
  <c r="AI818"/>
  <c r="AK818"/>
  <c r="AJ818"/>
  <c r="AL818"/>
  <c r="AM818" s="1"/>
  <c r="AN818"/>
  <c r="AP818"/>
  <c r="AQ818" s="1"/>
  <c r="AR818" s="1"/>
  <c r="AO818"/>
  <c r="AI819"/>
  <c r="AK819" s="1"/>
  <c r="AN819"/>
  <c r="AP819" s="1"/>
  <c r="AO819" s="1"/>
  <c r="AQ819"/>
  <c r="AR819" s="1"/>
  <c r="AI820"/>
  <c r="AK820"/>
  <c r="AJ820"/>
  <c r="AL820"/>
  <c r="AM820" s="1"/>
  <c r="AN820"/>
  <c r="AP820"/>
  <c r="AI821"/>
  <c r="AK821" s="1"/>
  <c r="AN821"/>
  <c r="AP821" s="1"/>
  <c r="AI822"/>
  <c r="AK822"/>
  <c r="AJ822"/>
  <c r="AL822"/>
  <c r="AM822" s="1"/>
  <c r="AN822"/>
  <c r="AP822"/>
  <c r="AI823"/>
  <c r="AK823"/>
  <c r="AN823"/>
  <c r="AP823" s="1"/>
  <c r="AO823" s="1"/>
  <c r="AI824"/>
  <c r="AK824"/>
  <c r="AJ824"/>
  <c r="AL824"/>
  <c r="AM824" s="1"/>
  <c r="AN824"/>
  <c r="AP824"/>
  <c r="AQ824" s="1"/>
  <c r="AR824" s="1"/>
  <c r="AI825"/>
  <c r="AK825"/>
  <c r="AN825"/>
  <c r="AP825" s="1"/>
  <c r="AO825" s="1"/>
  <c r="AQ825"/>
  <c r="AR825"/>
  <c r="AI826"/>
  <c r="AK826"/>
  <c r="AJ826"/>
  <c r="AL826"/>
  <c r="AM826" s="1"/>
  <c r="AN826"/>
  <c r="AP826"/>
  <c r="AQ826" s="1"/>
  <c r="AR826" s="1"/>
  <c r="AO826"/>
  <c r="AI827"/>
  <c r="AK827" s="1"/>
  <c r="AN827"/>
  <c r="AP827" s="1"/>
  <c r="AO827" s="1"/>
  <c r="AQ827"/>
  <c r="AR827" s="1"/>
  <c r="AI828"/>
  <c r="AK828"/>
  <c r="AJ828"/>
  <c r="AL828"/>
  <c r="AM828" s="1"/>
  <c r="AN828"/>
  <c r="AP828"/>
  <c r="AQ828" s="1"/>
  <c r="AR828" s="1"/>
  <c r="AO828"/>
  <c r="AI829"/>
  <c r="AK829" s="1"/>
  <c r="AN829"/>
  <c r="AP829" s="1"/>
  <c r="AI830"/>
  <c r="AK830"/>
  <c r="AJ830"/>
  <c r="AL830"/>
  <c r="AM830" s="1"/>
  <c r="AN830"/>
  <c r="AP830"/>
  <c r="AI831"/>
  <c r="AK831"/>
  <c r="AN831"/>
  <c r="AP831" s="1"/>
  <c r="AO831" s="1"/>
  <c r="AI832"/>
  <c r="AK832"/>
  <c r="AJ832"/>
  <c r="AL832"/>
  <c r="AM832" s="1"/>
  <c r="AN832"/>
  <c r="AP832"/>
  <c r="AQ832" s="1"/>
  <c r="AR832" s="1"/>
  <c r="AI833"/>
  <c r="AK833" s="1"/>
  <c r="AN833"/>
  <c r="AP833" s="1"/>
  <c r="AO833" s="1"/>
  <c r="AQ833"/>
  <c r="AR833" s="1"/>
  <c r="AI834"/>
  <c r="AK834"/>
  <c r="AJ834"/>
  <c r="AL834"/>
  <c r="AM834" s="1"/>
  <c r="AN834"/>
  <c r="AP834"/>
  <c r="AQ834" s="1"/>
  <c r="AR834" s="1"/>
  <c r="AO834"/>
  <c r="AI835"/>
  <c r="AK835" s="1"/>
  <c r="AN835"/>
  <c r="AP835" s="1"/>
  <c r="AO835" s="1"/>
  <c r="AQ835"/>
  <c r="AR835" s="1"/>
  <c r="AI836"/>
  <c r="AK836"/>
  <c r="AJ836"/>
  <c r="AL836"/>
  <c r="AM836" s="1"/>
  <c r="AN836"/>
  <c r="AP836"/>
  <c r="AI837"/>
  <c r="AK837" s="1"/>
  <c r="AN837"/>
  <c r="AP837" s="1"/>
  <c r="AI838"/>
  <c r="AK838"/>
  <c r="AJ838"/>
  <c r="AL838"/>
  <c r="AM838" s="1"/>
  <c r="AN838"/>
  <c r="AP838"/>
  <c r="AI839"/>
  <c r="AK839"/>
  <c r="AN839"/>
  <c r="AP839" s="1"/>
  <c r="AO839" s="1"/>
  <c r="AI840"/>
  <c r="AK840"/>
  <c r="AJ840"/>
  <c r="AL840"/>
  <c r="AM840" s="1"/>
  <c r="AN840"/>
  <c r="AP840"/>
  <c r="AQ840" s="1"/>
  <c r="AR840" s="1"/>
  <c r="AI841"/>
  <c r="AK841"/>
  <c r="AN841"/>
  <c r="AP841" s="1"/>
  <c r="AO841" s="1"/>
  <c r="AQ841"/>
  <c r="AR841"/>
  <c r="AI842"/>
  <c r="AK842"/>
  <c r="AJ842"/>
  <c r="AL842"/>
  <c r="AM842" s="1"/>
  <c r="AN842"/>
  <c r="AP842"/>
  <c r="AQ842" s="1"/>
  <c r="AR842" s="1"/>
  <c r="AO842"/>
  <c r="AI843"/>
  <c r="AK843" s="1"/>
  <c r="AN843"/>
  <c r="AP843" s="1"/>
  <c r="AO843" s="1"/>
  <c r="AQ843"/>
  <c r="AR843" s="1"/>
  <c r="AI844"/>
  <c r="AK844"/>
  <c r="AJ844"/>
  <c r="AL844"/>
  <c r="AM844" s="1"/>
  <c r="AN844"/>
  <c r="AP844"/>
  <c r="AQ844" s="1"/>
  <c r="AR844" s="1"/>
  <c r="AO844"/>
  <c r="AI845"/>
  <c r="AK845" s="1"/>
  <c r="AN845"/>
  <c r="AP845" s="1"/>
  <c r="AI846"/>
  <c r="AK846"/>
  <c r="AJ846"/>
  <c r="AL846"/>
  <c r="AM846" s="1"/>
  <c r="AN846"/>
  <c r="AP846"/>
  <c r="AI847"/>
  <c r="AK847"/>
  <c r="AN847"/>
  <c r="AP847" s="1"/>
  <c r="AO847" s="1"/>
  <c r="AI848"/>
  <c r="AK848"/>
  <c r="AJ848"/>
  <c r="AL848"/>
  <c r="AM848" s="1"/>
  <c r="AN848"/>
  <c r="AP848"/>
  <c r="AQ848" s="1"/>
  <c r="AR848" s="1"/>
  <c r="AI849"/>
  <c r="AK849" s="1"/>
  <c r="AN849"/>
  <c r="AP849" s="1"/>
  <c r="AO849" s="1"/>
  <c r="AQ849"/>
  <c r="AR849"/>
  <c r="AI850"/>
  <c r="AK850"/>
  <c r="AJ850"/>
  <c r="AL850"/>
  <c r="AM850" s="1"/>
  <c r="AN850"/>
  <c r="AP850"/>
  <c r="AQ850" s="1"/>
  <c r="AR850" s="1"/>
  <c r="AO850"/>
  <c r="AI851"/>
  <c r="AK851" s="1"/>
  <c r="AN851"/>
  <c r="AP851" s="1"/>
  <c r="AO851" s="1"/>
  <c r="AQ851"/>
  <c r="AR851" s="1"/>
  <c r="AI852"/>
  <c r="AK852"/>
  <c r="AJ852"/>
  <c r="AL852"/>
  <c r="AM852" s="1"/>
  <c r="AN852"/>
  <c r="AP852"/>
  <c r="AI853"/>
  <c r="AK853" s="1"/>
  <c r="AN853"/>
  <c r="AP853" s="1"/>
  <c r="AI854"/>
  <c r="AK854"/>
  <c r="AJ854"/>
  <c r="AL854"/>
  <c r="AM854" s="1"/>
  <c r="AN854"/>
  <c r="AP854"/>
  <c r="AI855"/>
  <c r="AK855"/>
  <c r="AN855"/>
  <c r="AP855" s="1"/>
  <c r="AO855" s="1"/>
  <c r="AI856"/>
  <c r="AK856"/>
  <c r="AJ856"/>
  <c r="AL856"/>
  <c r="AM856" s="1"/>
  <c r="AN856"/>
  <c r="AP856"/>
  <c r="AQ856" s="1"/>
  <c r="AR856" s="1"/>
  <c r="AI857"/>
  <c r="AK857"/>
  <c r="AN857"/>
  <c r="AP857" s="1"/>
  <c r="AO857" s="1"/>
  <c r="AQ857"/>
  <c r="AR857"/>
  <c r="AI858"/>
  <c r="AK858"/>
  <c r="AJ858"/>
  <c r="AL858"/>
  <c r="AM858" s="1"/>
  <c r="AN858"/>
  <c r="AP858"/>
  <c r="AQ858" s="1"/>
  <c r="AR858" s="1"/>
  <c r="AO858"/>
  <c r="AI859"/>
  <c r="AK859" s="1"/>
  <c r="AN859"/>
  <c r="AP859" s="1"/>
  <c r="AI860"/>
  <c r="AK860"/>
  <c r="AJ860"/>
  <c r="AL860"/>
  <c r="AM860" s="1"/>
  <c r="AN860"/>
  <c r="AP860"/>
  <c r="AQ860" s="1"/>
  <c r="AR860" s="1"/>
  <c r="AO860"/>
  <c r="AI861"/>
  <c r="AK861" s="1"/>
  <c r="AN861"/>
  <c r="AP861" s="1"/>
  <c r="AI862"/>
  <c r="AK862"/>
  <c r="AJ862"/>
  <c r="AL862"/>
  <c r="AM862" s="1"/>
  <c r="AN862"/>
  <c r="AP862"/>
  <c r="AI863"/>
  <c r="AK863"/>
  <c r="AN863"/>
  <c r="AP863" s="1"/>
  <c r="AO863" s="1"/>
  <c r="AI864"/>
  <c r="AK864"/>
  <c r="AJ864"/>
  <c r="AL864"/>
  <c r="AM864" s="1"/>
  <c r="AN864"/>
  <c r="AP864"/>
  <c r="AQ864" s="1"/>
  <c r="AR864" s="1"/>
  <c r="AI865"/>
  <c r="AK865" s="1"/>
  <c r="AN865"/>
  <c r="AP865" s="1"/>
  <c r="AO865" s="1"/>
  <c r="AQ865"/>
  <c r="AR865"/>
  <c r="AI866"/>
  <c r="AK866"/>
  <c r="AJ866"/>
  <c r="AL866"/>
  <c r="AM866" s="1"/>
  <c r="AN866"/>
  <c r="AP866"/>
  <c r="AQ866" s="1"/>
  <c r="AR866" s="1"/>
  <c r="AO866"/>
  <c r="AI867"/>
  <c r="AK867" s="1"/>
  <c r="AN867"/>
  <c r="AP867" s="1"/>
  <c r="AO867" s="1"/>
  <c r="AQ867"/>
  <c r="AR867" s="1"/>
  <c r="AI868"/>
  <c r="AK868"/>
  <c r="AJ868"/>
  <c r="AL868"/>
  <c r="AM868" s="1"/>
  <c r="AN868"/>
  <c r="AP868"/>
  <c r="AI869"/>
  <c r="AK869" s="1"/>
  <c r="AN869"/>
  <c r="AP869" s="1"/>
  <c r="AI870"/>
  <c r="AK870"/>
  <c r="AJ870"/>
  <c r="AL870"/>
  <c r="AM870" s="1"/>
  <c r="AN870"/>
  <c r="AP870"/>
  <c r="AI871"/>
  <c r="AK871"/>
  <c r="AN871"/>
  <c r="AP871" s="1"/>
  <c r="AO871" s="1"/>
  <c r="AI872"/>
  <c r="AK872"/>
  <c r="AJ872"/>
  <c r="AL872"/>
  <c r="AM872" s="1"/>
  <c r="AN872"/>
  <c r="AP872"/>
  <c r="AQ872" s="1"/>
  <c r="AR872" s="1"/>
  <c r="AI873"/>
  <c r="AK873"/>
  <c r="AN873"/>
  <c r="AP873" s="1"/>
  <c r="AO873" s="1"/>
  <c r="AQ873"/>
  <c r="AR873"/>
  <c r="AI874"/>
  <c r="AK874"/>
  <c r="AJ874"/>
  <c r="AL874"/>
  <c r="AM874" s="1"/>
  <c r="AN874"/>
  <c r="AP874"/>
  <c r="AQ874" s="1"/>
  <c r="AR874" s="1"/>
  <c r="AO874"/>
  <c r="AI875"/>
  <c r="AK875" s="1"/>
  <c r="AN875"/>
  <c r="AP875" s="1"/>
  <c r="AO875" s="1"/>
  <c r="AI876"/>
  <c r="AK876"/>
  <c r="AJ876"/>
  <c r="AL876"/>
  <c r="AM876" s="1"/>
  <c r="AN876"/>
  <c r="AP876"/>
  <c r="AQ876" s="1"/>
  <c r="AR876" s="1"/>
  <c r="AO876"/>
  <c r="AI877"/>
  <c r="AK877" s="1"/>
  <c r="AN877"/>
  <c r="AP877" s="1"/>
  <c r="AI878"/>
  <c r="AK878"/>
  <c r="AJ878"/>
  <c r="AL878"/>
  <c r="AM878" s="1"/>
  <c r="AN878"/>
  <c r="AP878"/>
  <c r="AI879"/>
  <c r="AK879"/>
  <c r="AN879"/>
  <c r="AP879" s="1"/>
  <c r="AO879" s="1"/>
  <c r="AI880"/>
  <c r="AK880"/>
  <c r="AJ880"/>
  <c r="AL880"/>
  <c r="AM880" s="1"/>
  <c r="AN880"/>
  <c r="AP880"/>
  <c r="AQ880" s="1"/>
  <c r="AR880" s="1"/>
  <c r="AI881"/>
  <c r="AK881" s="1"/>
  <c r="AN881"/>
  <c r="AP881" s="1"/>
  <c r="AO881" s="1"/>
  <c r="AQ881"/>
  <c r="AR881" s="1"/>
  <c r="AI882"/>
  <c r="AK882"/>
  <c r="AJ882"/>
  <c r="AL882"/>
  <c r="AM882" s="1"/>
  <c r="AN882"/>
  <c r="AP882"/>
  <c r="AQ882" s="1"/>
  <c r="AR882" s="1"/>
  <c r="AO882"/>
  <c r="AI883"/>
  <c r="AK883" s="1"/>
  <c r="AN883"/>
  <c r="AP883" s="1"/>
  <c r="AO883" s="1"/>
  <c r="AQ883"/>
  <c r="AR883" s="1"/>
  <c r="AI884"/>
  <c r="AK884"/>
  <c r="AJ884"/>
  <c r="AL884"/>
  <c r="AM884" s="1"/>
  <c r="AN884"/>
  <c r="AP884"/>
  <c r="AI885"/>
  <c r="AK885" s="1"/>
  <c r="AN885"/>
  <c r="AP885" s="1"/>
  <c r="AI886"/>
  <c r="AK886"/>
  <c r="AJ886"/>
  <c r="AL886"/>
  <c r="AM886" s="1"/>
  <c r="AN886"/>
  <c r="AP886"/>
  <c r="AI887"/>
  <c r="AK887"/>
  <c r="AN887"/>
  <c r="AP887" s="1"/>
  <c r="AO887" s="1"/>
  <c r="AI888"/>
  <c r="AK888"/>
  <c r="AJ888"/>
  <c r="AL888"/>
  <c r="AM888" s="1"/>
  <c r="AN888"/>
  <c r="AP888"/>
  <c r="AQ888" s="1"/>
  <c r="AR888" s="1"/>
  <c r="AI889"/>
  <c r="AK889"/>
  <c r="AN889"/>
  <c r="AP889" s="1"/>
  <c r="AO889" s="1"/>
  <c r="AQ889"/>
  <c r="AR889"/>
  <c r="AI890"/>
  <c r="AK890"/>
  <c r="AJ890"/>
  <c r="AL890"/>
  <c r="AM890" s="1"/>
  <c r="AN890"/>
  <c r="AP890"/>
  <c r="AQ890" s="1"/>
  <c r="AR890" s="1"/>
  <c r="AO890"/>
  <c r="AI891"/>
  <c r="AK891" s="1"/>
  <c r="AN891"/>
  <c r="AP891" s="1"/>
  <c r="AO891" s="1"/>
  <c r="AQ891"/>
  <c r="AR891" s="1"/>
  <c r="AI892"/>
  <c r="AK892"/>
  <c r="AJ892"/>
  <c r="AL892"/>
  <c r="AM892" s="1"/>
  <c r="AN892"/>
  <c r="AP892"/>
  <c r="AQ892" s="1"/>
  <c r="AR892" s="1"/>
  <c r="AO892"/>
  <c r="AI893"/>
  <c r="AK893" s="1"/>
  <c r="AN893"/>
  <c r="AP893" s="1"/>
  <c r="AI894"/>
  <c r="AK894"/>
  <c r="AJ894"/>
  <c r="AL894"/>
  <c r="AM894" s="1"/>
  <c r="AN894"/>
  <c r="AP894"/>
  <c r="AI895"/>
  <c r="AK895"/>
  <c r="AN895"/>
  <c r="AP895" s="1"/>
  <c r="AO895" s="1"/>
  <c r="AI896"/>
  <c r="AK896"/>
  <c r="AJ896"/>
  <c r="AL896"/>
  <c r="AM896" s="1"/>
  <c r="AN896"/>
  <c r="AP896"/>
  <c r="AQ896" s="1"/>
  <c r="AR896" s="1"/>
  <c r="AI897"/>
  <c r="AK897" s="1"/>
  <c r="AN897"/>
  <c r="AP897" s="1"/>
  <c r="AO897" s="1"/>
  <c r="AQ897"/>
  <c r="AR897" s="1"/>
  <c r="AI898"/>
  <c r="AK898"/>
  <c r="AJ898"/>
  <c r="AL898"/>
  <c r="AM898" s="1"/>
  <c r="AN898"/>
  <c r="AP898"/>
  <c r="AQ898" s="1"/>
  <c r="AR898" s="1"/>
  <c r="AO898"/>
  <c r="AI899"/>
  <c r="AK899" s="1"/>
  <c r="AN899"/>
  <c r="AP899" s="1"/>
  <c r="AO899" s="1"/>
  <c r="AQ899"/>
  <c r="AR899" s="1"/>
  <c r="AI900"/>
  <c r="AK900"/>
  <c r="AJ900"/>
  <c r="AL900"/>
  <c r="AM900" s="1"/>
  <c r="AN900"/>
  <c r="AP900"/>
  <c r="AI901"/>
  <c r="AK901" s="1"/>
  <c r="AN901"/>
  <c r="AP901" s="1"/>
  <c r="AI902"/>
  <c r="AK902"/>
  <c r="AJ902"/>
  <c r="AL902"/>
  <c r="AM902" s="1"/>
  <c r="AN902"/>
  <c r="AP902"/>
  <c r="AI903"/>
  <c r="AK903"/>
  <c r="AN903"/>
  <c r="AP903" s="1"/>
  <c r="AO903" s="1"/>
  <c r="AI904"/>
  <c r="AK904"/>
  <c r="AJ904"/>
  <c r="AL904"/>
  <c r="AM904" s="1"/>
  <c r="AN904"/>
  <c r="AP904"/>
  <c r="AQ904" s="1"/>
  <c r="AR904" s="1"/>
  <c r="AI905"/>
  <c r="AK905"/>
  <c r="AN905"/>
  <c r="AP905" s="1"/>
  <c r="AO905" s="1"/>
  <c r="AQ905"/>
  <c r="AR905"/>
  <c r="AI906"/>
  <c r="AK906"/>
  <c r="AJ906"/>
  <c r="AL906"/>
  <c r="AM906" s="1"/>
  <c r="AN906"/>
  <c r="AP906"/>
  <c r="AQ906" s="1"/>
  <c r="AR906" s="1"/>
  <c r="AO906"/>
  <c r="AI907"/>
  <c r="AK907" s="1"/>
  <c r="AN907"/>
  <c r="AP907" s="1"/>
  <c r="AO907" s="1"/>
  <c r="AQ907"/>
  <c r="AR907" s="1"/>
  <c r="AI908"/>
  <c r="AK908"/>
  <c r="AJ908"/>
  <c r="AL908"/>
  <c r="AM908" s="1"/>
  <c r="AN908"/>
  <c r="AP908"/>
  <c r="AQ908" s="1"/>
  <c r="AR908" s="1"/>
  <c r="AO908"/>
  <c r="AI909"/>
  <c r="AK909" s="1"/>
  <c r="AN909"/>
  <c r="AP909" s="1"/>
  <c r="AI910"/>
  <c r="AK910"/>
  <c r="AJ910"/>
  <c r="AL910"/>
  <c r="AM910" s="1"/>
  <c r="AN910"/>
  <c r="AP910"/>
  <c r="AI911"/>
  <c r="AK911"/>
  <c r="AN911"/>
  <c r="AP911" s="1"/>
  <c r="AO911" s="1"/>
  <c r="AI912"/>
  <c r="AK912"/>
  <c r="AJ912"/>
  <c r="AL912"/>
  <c r="AM912" s="1"/>
  <c r="AN912"/>
  <c r="AP912"/>
  <c r="AQ912" s="1"/>
  <c r="AR912" s="1"/>
  <c r="AI913"/>
  <c r="AK913" s="1"/>
  <c r="AN913"/>
  <c r="AP913" s="1"/>
  <c r="AO913" s="1"/>
  <c r="AQ913"/>
  <c r="AR913"/>
  <c r="AI914"/>
  <c r="AK914"/>
  <c r="AJ914"/>
  <c r="AL914"/>
  <c r="AM914" s="1"/>
  <c r="AN914"/>
  <c r="AP914"/>
  <c r="AQ914" s="1"/>
  <c r="AR914" s="1"/>
  <c r="AO914"/>
  <c r="AI915"/>
  <c r="AK915" s="1"/>
  <c r="AN915"/>
  <c r="AP915" s="1"/>
  <c r="AO915" s="1"/>
  <c r="AQ915"/>
  <c r="AR915" s="1"/>
  <c r="AI916"/>
  <c r="AK916"/>
  <c r="AJ916"/>
  <c r="AL916"/>
  <c r="AM916" s="1"/>
  <c r="AN916"/>
  <c r="AP916"/>
  <c r="AI917"/>
  <c r="AK917" s="1"/>
  <c r="AN917"/>
  <c r="AP917" s="1"/>
  <c r="AI918"/>
  <c r="AK918"/>
  <c r="AJ918"/>
  <c r="AL918"/>
  <c r="AM918" s="1"/>
  <c r="AN918"/>
  <c r="AP918"/>
  <c r="AI919"/>
  <c r="AK919"/>
  <c r="AN919"/>
  <c r="AP919" s="1"/>
  <c r="AO919" s="1"/>
  <c r="AI920"/>
  <c r="AK920"/>
  <c r="AJ920"/>
  <c r="AL920"/>
  <c r="AM920" s="1"/>
  <c r="AN920"/>
  <c r="AP920"/>
  <c r="AQ920" s="1"/>
  <c r="AR920" s="1"/>
  <c r="AI921"/>
  <c r="AK921"/>
  <c r="AN921"/>
  <c r="AP921" s="1"/>
  <c r="AO921" s="1"/>
  <c r="AQ921"/>
  <c r="AR921"/>
  <c r="AI922"/>
  <c r="AK922"/>
  <c r="AJ922"/>
  <c r="AL922"/>
  <c r="AM922" s="1"/>
  <c r="AN922"/>
  <c r="AP922"/>
  <c r="AQ922" s="1"/>
  <c r="AR922" s="1"/>
  <c r="AO922"/>
  <c r="AI923"/>
  <c r="AK923" s="1"/>
  <c r="AN923"/>
  <c r="AP923" s="1"/>
  <c r="AI924"/>
  <c r="AK924"/>
  <c r="AJ924"/>
  <c r="AL924"/>
  <c r="AM924" s="1"/>
  <c r="AN924"/>
  <c r="AP924"/>
  <c r="AQ924" s="1"/>
  <c r="AR924" s="1"/>
  <c r="AO924"/>
  <c r="AI925"/>
  <c r="AK925" s="1"/>
  <c r="AN925"/>
  <c r="AP925" s="1"/>
  <c r="AI926"/>
  <c r="AK926"/>
  <c r="AJ926"/>
  <c r="AL926"/>
  <c r="AM926" s="1"/>
  <c r="AN926"/>
  <c r="AP926"/>
  <c r="AI927"/>
  <c r="AK927"/>
  <c r="AN927"/>
  <c r="AP927" s="1"/>
  <c r="AO927" s="1"/>
  <c r="AI928"/>
  <c r="AK928"/>
  <c r="AJ928"/>
  <c r="AL928"/>
  <c r="AM928" s="1"/>
  <c r="AN928"/>
  <c r="AP928"/>
  <c r="AQ928" s="1"/>
  <c r="AR928" s="1"/>
  <c r="AI929"/>
  <c r="AK929" s="1"/>
  <c r="AN929"/>
  <c r="AP929" s="1"/>
  <c r="AO929" s="1"/>
  <c r="AQ929"/>
  <c r="AR929"/>
  <c r="AI930"/>
  <c r="AK930"/>
  <c r="AJ930"/>
  <c r="AL930"/>
  <c r="AM930" s="1"/>
  <c r="AN930"/>
  <c r="AP930"/>
  <c r="AQ930" s="1"/>
  <c r="AR930" s="1"/>
  <c r="AO930"/>
  <c r="AI931"/>
  <c r="AK931" s="1"/>
  <c r="AN931"/>
  <c r="AP931" s="1"/>
  <c r="AO931" s="1"/>
  <c r="AQ931"/>
  <c r="AR931" s="1"/>
  <c r="AI932"/>
  <c r="AK932"/>
  <c r="AJ932"/>
  <c r="AL932"/>
  <c r="AM932" s="1"/>
  <c r="AN932"/>
  <c r="AP932"/>
  <c r="AI933"/>
  <c r="AK933" s="1"/>
  <c r="AN933"/>
  <c r="AP933" s="1"/>
  <c r="AI934"/>
  <c r="AK934"/>
  <c r="AJ934"/>
  <c r="AL934"/>
  <c r="AM934" s="1"/>
  <c r="AN934"/>
  <c r="AP934"/>
  <c r="AI935"/>
  <c r="AK935"/>
  <c r="AN935"/>
  <c r="AP935" s="1"/>
  <c r="AO935" s="1"/>
  <c r="AI936"/>
  <c r="AK936"/>
  <c r="AJ936"/>
  <c r="AL936"/>
  <c r="AM936" s="1"/>
  <c r="AN936"/>
  <c r="AP936"/>
  <c r="AQ936" s="1"/>
  <c r="AR936" s="1"/>
  <c r="AI937"/>
  <c r="AK937"/>
  <c r="AN937"/>
  <c r="AP937" s="1"/>
  <c r="AO937" s="1"/>
  <c r="AQ937"/>
  <c r="AR937"/>
  <c r="AI938"/>
  <c r="AK938"/>
  <c r="AJ938"/>
  <c r="AL938"/>
  <c r="AM938" s="1"/>
  <c r="AN938"/>
  <c r="AP938"/>
  <c r="AQ938" s="1"/>
  <c r="AR938" s="1"/>
  <c r="AO938"/>
  <c r="AI939"/>
  <c r="AK939" s="1"/>
  <c r="AN939"/>
  <c r="AP939" s="1"/>
  <c r="AO939" s="1"/>
  <c r="AI940"/>
  <c r="AK940"/>
  <c r="AJ940"/>
  <c r="AL940"/>
  <c r="AM940" s="1"/>
  <c r="AN940"/>
  <c r="AP940"/>
  <c r="AQ940" s="1"/>
  <c r="AR940" s="1"/>
  <c r="AO940"/>
  <c r="AI941"/>
  <c r="AK941" s="1"/>
  <c r="AN941"/>
  <c r="AP941" s="1"/>
  <c r="AI942"/>
  <c r="AK942"/>
  <c r="AJ942"/>
  <c r="AL942"/>
  <c r="AM942" s="1"/>
  <c r="AN942"/>
  <c r="AP942"/>
  <c r="AI943"/>
  <c r="AK943"/>
  <c r="AN943"/>
  <c r="AP943" s="1"/>
  <c r="AO943" s="1"/>
  <c r="AI944"/>
  <c r="AK944"/>
  <c r="AJ944"/>
  <c r="AL944"/>
  <c r="AM944" s="1"/>
  <c r="AN944"/>
  <c r="AP944"/>
  <c r="AQ944" s="1"/>
  <c r="AR944" s="1"/>
  <c r="AI945"/>
  <c r="AK945" s="1"/>
  <c r="AN945"/>
  <c r="AP945" s="1"/>
  <c r="AO945" s="1"/>
  <c r="AQ945"/>
  <c r="AR945" s="1"/>
  <c r="AI946"/>
  <c r="AK946"/>
  <c r="AJ946"/>
  <c r="AL946"/>
  <c r="AM946" s="1"/>
  <c r="AN946"/>
  <c r="AP946"/>
  <c r="AQ946" s="1"/>
  <c r="AR946" s="1"/>
  <c r="AO946"/>
  <c r="AI947"/>
  <c r="AK947" s="1"/>
  <c r="AN947"/>
  <c r="AP947" s="1"/>
  <c r="AO947" s="1"/>
  <c r="AQ947"/>
  <c r="AR947" s="1"/>
  <c r="AI948"/>
  <c r="AK948"/>
  <c r="AJ948"/>
  <c r="AL948"/>
  <c r="AM948" s="1"/>
  <c r="AN948"/>
  <c r="AP948"/>
  <c r="AI949"/>
  <c r="AK949" s="1"/>
  <c r="AN949"/>
  <c r="AP949" s="1"/>
  <c r="AI950"/>
  <c r="AK950"/>
  <c r="AJ950"/>
  <c r="AL950"/>
  <c r="AM950" s="1"/>
  <c r="AN950"/>
  <c r="AP950"/>
  <c r="AI951"/>
  <c r="AK951"/>
  <c r="AN951"/>
  <c r="AP951" s="1"/>
  <c r="AO951" s="1"/>
  <c r="AI952"/>
  <c r="AK952"/>
  <c r="AJ952"/>
  <c r="AL952"/>
  <c r="AM952" s="1"/>
  <c r="AN952"/>
  <c r="AP952"/>
  <c r="AQ952" s="1"/>
  <c r="AR952" s="1"/>
  <c r="AI953"/>
  <c r="AK953"/>
  <c r="AN953"/>
  <c r="AP953" s="1"/>
  <c r="AO953" s="1"/>
  <c r="AQ953"/>
  <c r="AR953"/>
  <c r="AI954"/>
  <c r="AK954"/>
  <c r="AJ954"/>
  <c r="AL954"/>
  <c r="AM954" s="1"/>
  <c r="AN954"/>
  <c r="AP954"/>
  <c r="AQ954" s="1"/>
  <c r="AR954" s="1"/>
  <c r="AO954"/>
  <c r="AI955"/>
  <c r="AK955" s="1"/>
  <c r="AN955"/>
  <c r="AP955" s="1"/>
  <c r="AO955" s="1"/>
  <c r="AQ955"/>
  <c r="AR955" s="1"/>
  <c r="AI956"/>
  <c r="AK956"/>
  <c r="AJ956"/>
  <c r="AL956"/>
  <c r="AM956" s="1"/>
  <c r="AN956"/>
  <c r="AP956"/>
  <c r="AQ956" s="1"/>
  <c r="AR956" s="1"/>
  <c r="AO956"/>
  <c r="AI957"/>
  <c r="AK957" s="1"/>
  <c r="AN957"/>
  <c r="AP957" s="1"/>
  <c r="AI958"/>
  <c r="AK958"/>
  <c r="AJ958"/>
  <c r="AL958"/>
  <c r="AM958" s="1"/>
  <c r="AN958"/>
  <c r="AP958"/>
  <c r="AI959"/>
  <c r="AK959"/>
  <c r="AN959"/>
  <c r="AP959" s="1"/>
  <c r="AO959" s="1"/>
  <c r="AI960"/>
  <c r="AK960"/>
  <c r="AJ960"/>
  <c r="AL960"/>
  <c r="AM960" s="1"/>
  <c r="AN960"/>
  <c r="AP960"/>
  <c r="AQ960" s="1"/>
  <c r="AR960" s="1"/>
  <c r="AI961"/>
  <c r="AK961" s="1"/>
  <c r="AN961"/>
  <c r="AP961" s="1"/>
  <c r="AO961" s="1"/>
  <c r="AQ961"/>
  <c r="AR961" s="1"/>
  <c r="AI962"/>
  <c r="AK962"/>
  <c r="AJ962"/>
  <c r="AL962"/>
  <c r="AM962" s="1"/>
  <c r="AN962"/>
  <c r="AP962"/>
  <c r="AQ962" s="1"/>
  <c r="AR962" s="1"/>
  <c r="AO962"/>
  <c r="AI963"/>
  <c r="AK963" s="1"/>
  <c r="AN963"/>
  <c r="AP963" s="1"/>
  <c r="AO963" s="1"/>
  <c r="AQ963"/>
  <c r="AR963" s="1"/>
  <c r="AI964"/>
  <c r="AK964"/>
  <c r="AJ964"/>
  <c r="AL964"/>
  <c r="AM964" s="1"/>
  <c r="AN964"/>
  <c r="AP964"/>
  <c r="AI965"/>
  <c r="AK965" s="1"/>
  <c r="AN965"/>
  <c r="AP965" s="1"/>
  <c r="AI966"/>
  <c r="AK966"/>
  <c r="AJ966"/>
  <c r="AL966"/>
  <c r="AM966" s="1"/>
  <c r="AN966"/>
  <c r="AP966"/>
  <c r="AI967"/>
  <c r="AK967"/>
  <c r="AN967"/>
  <c r="AP967" s="1"/>
  <c r="AO967" s="1"/>
  <c r="AI968"/>
  <c r="AK968"/>
  <c r="AJ968"/>
  <c r="AL968"/>
  <c r="AM968" s="1"/>
  <c r="AN968"/>
  <c r="AP968"/>
  <c r="AQ968" s="1"/>
  <c r="AR968" s="1"/>
  <c r="AI969"/>
  <c r="AK969"/>
  <c r="AN969"/>
  <c r="AP969" s="1"/>
  <c r="AO969" s="1"/>
  <c r="AQ969"/>
  <c r="AR969"/>
  <c r="AI970"/>
  <c r="AK970"/>
  <c r="AJ970"/>
  <c r="AL970"/>
  <c r="AM970" s="1"/>
  <c r="AN970"/>
  <c r="AP970"/>
  <c r="AQ970" s="1"/>
  <c r="AR970" s="1"/>
  <c r="AO970"/>
  <c r="AI971"/>
  <c r="AK971" s="1"/>
  <c r="AN971"/>
  <c r="AP971" s="1"/>
  <c r="AO971" s="1"/>
  <c r="AQ971"/>
  <c r="AR971" s="1"/>
  <c r="AI972"/>
  <c r="AK972"/>
  <c r="AJ972"/>
  <c r="AL972"/>
  <c r="AM972" s="1"/>
  <c r="AN972"/>
  <c r="AP972"/>
  <c r="AQ972" s="1"/>
  <c r="AR972" s="1"/>
  <c r="AO972"/>
  <c r="AI973"/>
  <c r="AK973" s="1"/>
  <c r="AN973"/>
  <c r="AP973" s="1"/>
  <c r="AI974"/>
  <c r="AK974"/>
  <c r="AJ974"/>
  <c r="AL974"/>
  <c r="AM974" s="1"/>
  <c r="AN974"/>
  <c r="AP974"/>
  <c r="AI975"/>
  <c r="AK975"/>
  <c r="AN975"/>
  <c r="AP975" s="1"/>
  <c r="AO975" s="1"/>
  <c r="AI976"/>
  <c r="AK976"/>
  <c r="AJ976"/>
  <c r="AL976"/>
  <c r="AM976" s="1"/>
  <c r="AN976"/>
  <c r="AP976"/>
  <c r="AQ976" s="1"/>
  <c r="AR976" s="1"/>
  <c r="AI977"/>
  <c r="AK977" s="1"/>
  <c r="AN977"/>
  <c r="AP977" s="1"/>
  <c r="AO977" s="1"/>
  <c r="AQ977"/>
  <c r="AR977"/>
  <c r="AI978"/>
  <c r="AK978"/>
  <c r="AJ978"/>
  <c r="AL978"/>
  <c r="AM978" s="1"/>
  <c r="AN978"/>
  <c r="AP978"/>
  <c r="AQ978" s="1"/>
  <c r="AR978" s="1"/>
  <c r="AO978"/>
  <c r="AI979"/>
  <c r="AK979" s="1"/>
  <c r="AN979"/>
  <c r="AP979" s="1"/>
  <c r="AO979" s="1"/>
  <c r="AQ979"/>
  <c r="AR979" s="1"/>
  <c r="AI980"/>
  <c r="AK980"/>
  <c r="AJ980"/>
  <c r="AL980"/>
  <c r="AM980" s="1"/>
  <c r="AN980"/>
  <c r="AP980"/>
  <c r="AI981"/>
  <c r="AK981" s="1"/>
  <c r="AN981"/>
  <c r="AP981" s="1"/>
  <c r="AI982"/>
  <c r="AK982"/>
  <c r="AJ982"/>
  <c r="AL982"/>
  <c r="AM982" s="1"/>
  <c r="AN982"/>
  <c r="AP982"/>
  <c r="AI983"/>
  <c r="AK983"/>
  <c r="AN983"/>
  <c r="AP983" s="1"/>
  <c r="AO983" s="1"/>
  <c r="AI984"/>
  <c r="AK984"/>
  <c r="AJ984"/>
  <c r="AL984"/>
  <c r="AM984" s="1"/>
  <c r="AN984"/>
  <c r="AP984"/>
  <c r="AQ984" s="1"/>
  <c r="AR984" s="1"/>
  <c r="AI985"/>
  <c r="AK985"/>
  <c r="AN985"/>
  <c r="AP985" s="1"/>
  <c r="AO985" s="1"/>
  <c r="AQ985"/>
  <c r="AR985"/>
  <c r="AI986"/>
  <c r="AK986"/>
  <c r="AJ986"/>
  <c r="AL986"/>
  <c r="AM986" s="1"/>
  <c r="AN986"/>
  <c r="AP986"/>
  <c r="AQ986" s="1"/>
  <c r="AR986" s="1"/>
  <c r="AO986"/>
  <c r="AI987"/>
  <c r="AK987" s="1"/>
  <c r="AN987"/>
  <c r="AP987" s="1"/>
  <c r="AI988"/>
  <c r="AK988"/>
  <c r="AJ988"/>
  <c r="AL988"/>
  <c r="AM988" s="1"/>
  <c r="AN988"/>
  <c r="AP988"/>
  <c r="AQ988" s="1"/>
  <c r="AR988" s="1"/>
  <c r="AO988"/>
  <c r="AI989"/>
  <c r="AK989" s="1"/>
  <c r="AN989"/>
  <c r="AP989" s="1"/>
  <c r="AI990"/>
  <c r="AK990"/>
  <c r="AJ990"/>
  <c r="AL990"/>
  <c r="AM990" s="1"/>
  <c r="AN990"/>
  <c r="AP990"/>
  <c r="AI991"/>
  <c r="AK991"/>
  <c r="AN991"/>
  <c r="AP991" s="1"/>
  <c r="AO991" s="1"/>
  <c r="AI992"/>
  <c r="AK992"/>
  <c r="AJ992"/>
  <c r="AL992"/>
  <c r="AM992" s="1"/>
  <c r="AN992"/>
  <c r="AP992"/>
  <c r="AQ992" s="1"/>
  <c r="AR992" s="1"/>
  <c r="AI993"/>
  <c r="AK993" s="1"/>
  <c r="AN993"/>
  <c r="AP993" s="1"/>
  <c r="AO993" s="1"/>
  <c r="AQ993"/>
  <c r="AR993"/>
  <c r="AI994"/>
  <c r="AK994"/>
  <c r="AJ994"/>
  <c r="AL994"/>
  <c r="AM994" s="1"/>
  <c r="AN994"/>
  <c r="AP994"/>
  <c r="AQ994" s="1"/>
  <c r="AR994" s="1"/>
  <c r="AO994"/>
  <c r="AI995"/>
  <c r="AK995" s="1"/>
  <c r="AN995"/>
  <c r="AP995" s="1"/>
  <c r="AO995" s="1"/>
  <c r="AQ995"/>
  <c r="AR995" s="1"/>
  <c r="AI996"/>
  <c r="AK996"/>
  <c r="AJ996"/>
  <c r="AL996"/>
  <c r="AM996" s="1"/>
  <c r="AN996"/>
  <c r="AP996"/>
  <c r="AI997"/>
  <c r="AK997" s="1"/>
  <c r="AN997"/>
  <c r="AP997" s="1"/>
  <c r="AI998"/>
  <c r="AK998"/>
  <c r="AJ998"/>
  <c r="AL998"/>
  <c r="AM998" s="1"/>
  <c r="AN998"/>
  <c r="AP998"/>
  <c r="AI999"/>
  <c r="AK999"/>
  <c r="AN999"/>
  <c r="AP999" s="1"/>
  <c r="AO999" s="1"/>
  <c r="AI1000"/>
  <c r="AK1000"/>
  <c r="AJ1000"/>
  <c r="AL1000"/>
  <c r="AM1000" s="1"/>
  <c r="AN1000"/>
  <c r="AP1000"/>
  <c r="AQ1000" s="1"/>
  <c r="AR1000" s="1"/>
  <c r="AI1001"/>
  <c r="AK1001"/>
  <c r="AN1001"/>
  <c r="AP1001" s="1"/>
  <c r="AO1001" s="1"/>
  <c r="AQ1001"/>
  <c r="AR1001"/>
  <c r="AI1002"/>
  <c r="AK1002"/>
  <c r="AJ1002"/>
  <c r="AL1002"/>
  <c r="AM1002" s="1"/>
  <c r="AN1002"/>
  <c r="AP1002"/>
  <c r="AQ1002" s="1"/>
  <c r="AR1002" s="1"/>
  <c r="AO1002"/>
  <c r="AI1003"/>
  <c r="AK1003" s="1"/>
  <c r="AN1003"/>
  <c r="AP1003" s="1"/>
  <c r="AO1003" s="1"/>
  <c r="AI1004"/>
  <c r="AK1004"/>
  <c r="AJ1004"/>
  <c r="AL1004"/>
  <c r="AM1004" s="1"/>
  <c r="AN1004"/>
  <c r="AP1004"/>
  <c r="AQ1004" s="1"/>
  <c r="AR1004" s="1"/>
  <c r="AO1004"/>
  <c r="AI1005"/>
  <c r="AK1005" s="1"/>
  <c r="AN1005"/>
  <c r="AP1005" s="1"/>
  <c r="AI1006"/>
  <c r="AK1006"/>
  <c r="AJ1006"/>
  <c r="AL1006"/>
  <c r="AM1006" s="1"/>
  <c r="AN1006"/>
  <c r="AP1006"/>
  <c r="AI1007"/>
  <c r="AK1007"/>
  <c r="AN1007"/>
  <c r="AP1007" s="1"/>
  <c r="AO1007" s="1"/>
  <c r="BZ2" i="6"/>
  <c r="B3"/>
  <c r="CD5"/>
  <c r="L3"/>
  <c r="E3"/>
  <c r="CB2"/>
  <c r="H3"/>
  <c r="K3"/>
  <c r="P24"/>
  <c r="CD40" s="1"/>
  <c r="CH130"/>
  <c r="CC130"/>
  <c r="CJ130"/>
  <c r="CF130"/>
  <c r="CH131"/>
  <c r="CC131"/>
  <c r="CJ131"/>
  <c r="CF131" s="1"/>
  <c r="CH132"/>
  <c r="CJ132" s="1"/>
  <c r="CF132" s="1"/>
  <c r="CC132"/>
  <c r="CH133"/>
  <c r="CC133"/>
  <c r="CH134"/>
  <c r="CJ134" s="1"/>
  <c r="CF134" s="1"/>
  <c r="CC134"/>
  <c r="CH135"/>
  <c r="CC135"/>
  <c r="CJ135"/>
  <c r="CF135" s="1"/>
  <c r="CH136"/>
  <c r="CJ136" s="1"/>
  <c r="CF136" s="1"/>
  <c r="CC136"/>
  <c r="CH137"/>
  <c r="CJ137" s="1"/>
  <c r="CC137"/>
  <c r="CF137"/>
  <c r="CH138"/>
  <c r="CC138"/>
  <c r="CJ138"/>
  <c r="CF138"/>
  <c r="CH139"/>
  <c r="CC139"/>
  <c r="CJ139"/>
  <c r="CF139" s="1"/>
  <c r="CH140"/>
  <c r="CJ140" s="1"/>
  <c r="CF140" s="1"/>
  <c r="CC140"/>
  <c r="CH141"/>
  <c r="CC141"/>
  <c r="CH142"/>
  <c r="CJ142" s="1"/>
  <c r="CF142" s="1"/>
  <c r="CC142"/>
  <c r="CH143"/>
  <c r="CC143"/>
  <c r="CJ143"/>
  <c r="CF143" s="1"/>
  <c r="CH144"/>
  <c r="CJ144" s="1"/>
  <c r="CF144" s="1"/>
  <c r="CC144"/>
  <c r="CH145"/>
  <c r="CJ145" s="1"/>
  <c r="CC145"/>
  <c r="CF145"/>
  <c r="CH146"/>
  <c r="CC146"/>
  <c r="CJ146"/>
  <c r="CF146"/>
  <c r="CH147"/>
  <c r="CC147"/>
  <c r="CJ147"/>
  <c r="CF147" s="1"/>
  <c r="CH148"/>
  <c r="CJ148" s="1"/>
  <c r="CF148" s="1"/>
  <c r="CC148"/>
  <c r="CH149"/>
  <c r="CJ149" s="1"/>
  <c r="CF149" s="1"/>
  <c r="CC149"/>
  <c r="CH150"/>
  <c r="CC150"/>
  <c r="CH151"/>
  <c r="CC151"/>
  <c r="CJ151"/>
  <c r="CF151" s="1"/>
  <c r="CH152"/>
  <c r="CJ152" s="1"/>
  <c r="CF152" s="1"/>
  <c r="CC152"/>
  <c r="CH153"/>
  <c r="CJ153" s="1"/>
  <c r="CC153"/>
  <c r="CF153"/>
  <c r="CH154"/>
  <c r="CC154"/>
  <c r="CJ154"/>
  <c r="CF154" s="1"/>
  <c r="CH155"/>
  <c r="CC155"/>
  <c r="CJ155"/>
  <c r="CF155" s="1"/>
  <c r="CH156"/>
  <c r="CJ156" s="1"/>
  <c r="CF156" s="1"/>
  <c r="CC156"/>
  <c r="CH157"/>
  <c r="CJ157" s="1"/>
  <c r="CF157" s="1"/>
  <c r="CC157"/>
  <c r="CH158"/>
  <c r="CJ158" s="1"/>
  <c r="CF158" s="1"/>
  <c r="CC158"/>
  <c r="CH159"/>
  <c r="CC159"/>
  <c r="CJ159"/>
  <c r="CF159" s="1"/>
  <c r="CH160"/>
  <c r="CJ160" s="1"/>
  <c r="CF160" s="1"/>
  <c r="CC160"/>
  <c r="CH161"/>
  <c r="CJ161" s="1"/>
  <c r="CC161"/>
  <c r="CF161"/>
  <c r="CH162"/>
  <c r="CC162"/>
  <c r="CJ162"/>
  <c r="CF162"/>
  <c r="CH163"/>
  <c r="CC163"/>
  <c r="CJ163"/>
  <c r="CF163" s="1"/>
  <c r="CH164"/>
  <c r="CJ164" s="1"/>
  <c r="CF164" s="1"/>
  <c r="CC164"/>
  <c r="CH165"/>
  <c r="CJ165" s="1"/>
  <c r="CF165" s="1"/>
  <c r="CC165"/>
  <c r="CH166"/>
  <c r="CJ166" s="1"/>
  <c r="CF166" s="1"/>
  <c r="CC166"/>
  <c r="CH167"/>
  <c r="CC167"/>
  <c r="CJ167"/>
  <c r="CF167" s="1"/>
  <c r="CH168"/>
  <c r="CJ168" s="1"/>
  <c r="CF168" s="1"/>
  <c r="CC168"/>
  <c r="CH169"/>
  <c r="CJ169" s="1"/>
  <c r="CC169"/>
  <c r="CF169"/>
  <c r="CH170"/>
  <c r="CC170"/>
  <c r="CJ170"/>
  <c r="CF170"/>
  <c r="CH171"/>
  <c r="CC171"/>
  <c r="CJ171"/>
  <c r="CH172"/>
  <c r="CJ172" s="1"/>
  <c r="CF172" s="1"/>
  <c r="CC172"/>
  <c r="CH173"/>
  <c r="CC173"/>
  <c r="CH174"/>
  <c r="CJ174" s="1"/>
  <c r="CF174" s="1"/>
  <c r="CC174"/>
  <c r="CH175"/>
  <c r="CC175"/>
  <c r="CJ175"/>
  <c r="CF175" s="1"/>
  <c r="CH176"/>
  <c r="CJ176" s="1"/>
  <c r="CF176" s="1"/>
  <c r="CC176"/>
  <c r="CH177"/>
  <c r="CJ177" s="1"/>
  <c r="CC177"/>
  <c r="CF177"/>
  <c r="CH178"/>
  <c r="CC178"/>
  <c r="CJ178"/>
  <c r="CF178"/>
  <c r="CH179"/>
  <c r="CC179"/>
  <c r="CJ179"/>
  <c r="CF179" s="1"/>
  <c r="CH180"/>
  <c r="CJ180" s="1"/>
  <c r="CF180" s="1"/>
  <c r="CC180"/>
  <c r="CH181"/>
  <c r="CJ181" s="1"/>
  <c r="CF181" s="1"/>
  <c r="CC181"/>
  <c r="CH182"/>
  <c r="CJ182" s="1"/>
  <c r="CF182" s="1"/>
  <c r="CC182"/>
  <c r="CH183"/>
  <c r="CC183"/>
  <c r="CJ183"/>
  <c r="CF183" s="1"/>
  <c r="CH184"/>
  <c r="CJ184" s="1"/>
  <c r="CF184" s="1"/>
  <c r="CC184"/>
  <c r="CH185"/>
  <c r="CJ185" s="1"/>
  <c r="CC185"/>
  <c r="CF185"/>
  <c r="CH186"/>
  <c r="CC186"/>
  <c r="CJ186"/>
  <c r="CF186" s="1"/>
  <c r="CH187"/>
  <c r="CC187"/>
  <c r="CJ187"/>
  <c r="CF187" s="1"/>
  <c r="CH188"/>
  <c r="CJ188" s="1"/>
  <c r="CF188" s="1"/>
  <c r="CC188"/>
  <c r="CH189"/>
  <c r="CJ189" s="1"/>
  <c r="CF189" s="1"/>
  <c r="CC189"/>
  <c r="CH190"/>
  <c r="CC190"/>
  <c r="CH191"/>
  <c r="CC191"/>
  <c r="CJ191"/>
  <c r="CF191" s="1"/>
  <c r="CH192"/>
  <c r="CJ192" s="1"/>
  <c r="CF192" s="1"/>
  <c r="CC192"/>
  <c r="CH193"/>
  <c r="CJ193" s="1"/>
  <c r="CC193"/>
  <c r="CF193"/>
  <c r="CH194"/>
  <c r="CC194"/>
  <c r="CJ194"/>
  <c r="CF194" s="1"/>
  <c r="CH195"/>
  <c r="CC195"/>
  <c r="CJ195"/>
  <c r="CF195" s="1"/>
  <c r="CH196"/>
  <c r="CJ196" s="1"/>
  <c r="CF196" s="1"/>
  <c r="CC196"/>
  <c r="CH197"/>
  <c r="CJ197" s="1"/>
  <c r="CF197" s="1"/>
  <c r="CC197"/>
  <c r="CH198"/>
  <c r="CJ198" s="1"/>
  <c r="CF198" s="1"/>
  <c r="CC198"/>
  <c r="CH199"/>
  <c r="CC199"/>
  <c r="CJ199"/>
  <c r="CF199" s="1"/>
  <c r="CH200"/>
  <c r="CJ200" s="1"/>
  <c r="CC200"/>
  <c r="CH201"/>
  <c r="CJ201" s="1"/>
  <c r="CC201"/>
  <c r="CF201"/>
  <c r="CH202"/>
  <c r="CC202"/>
  <c r="CJ202"/>
  <c r="CF202"/>
  <c r="CH203"/>
  <c r="CC203"/>
  <c r="CJ203"/>
  <c r="CF203" s="1"/>
  <c r="CH204"/>
  <c r="CJ204" s="1"/>
  <c r="CF204" s="1"/>
  <c r="CC204"/>
  <c r="CH205"/>
  <c r="CJ205" s="1"/>
  <c r="CF205" s="1"/>
  <c r="CC205"/>
  <c r="CH206"/>
  <c r="CJ206" s="1"/>
  <c r="CF206" s="1"/>
  <c r="CC206"/>
  <c r="CH207"/>
  <c r="CC207"/>
  <c r="CJ207"/>
  <c r="CF207" s="1"/>
  <c r="CH208"/>
  <c r="CJ208" s="1"/>
  <c r="CF208" s="1"/>
  <c r="CC208"/>
  <c r="CH209"/>
  <c r="CJ209" s="1"/>
  <c r="CC209"/>
  <c r="CF209"/>
  <c r="CH210"/>
  <c r="CC210"/>
  <c r="CJ210"/>
  <c r="CF210"/>
  <c r="CH211"/>
  <c r="CC211"/>
  <c r="CJ211"/>
  <c r="CF211" s="1"/>
  <c r="CH212"/>
  <c r="CJ212" s="1"/>
  <c r="CF212" s="1"/>
  <c r="CC212"/>
  <c r="CH213"/>
  <c r="CJ213" s="1"/>
  <c r="CF213" s="1"/>
  <c r="CC213"/>
  <c r="CH214"/>
  <c r="CJ214" s="1"/>
  <c r="CF214" s="1"/>
  <c r="CC214"/>
  <c r="CH215"/>
  <c r="CC215"/>
  <c r="CJ215"/>
  <c r="CF215" s="1"/>
  <c r="CH216"/>
  <c r="CJ216" s="1"/>
  <c r="CF216" s="1"/>
  <c r="CC216"/>
  <c r="CH217"/>
  <c r="CJ217" s="1"/>
  <c r="CC217"/>
  <c r="CF217"/>
  <c r="CH218"/>
  <c r="CC218"/>
  <c r="CJ218"/>
  <c r="CF218" s="1"/>
  <c r="CH219"/>
  <c r="CC219"/>
  <c r="CJ219"/>
  <c r="CF219" s="1"/>
  <c r="CH220"/>
  <c r="CJ220" s="1"/>
  <c r="CF220" s="1"/>
  <c r="CC220"/>
  <c r="CH221"/>
  <c r="CJ221" s="1"/>
  <c r="CF221" s="1"/>
  <c r="CC221"/>
  <c r="CH222"/>
  <c r="CC222"/>
  <c r="CH223"/>
  <c r="CC223"/>
  <c r="CJ223"/>
  <c r="CF223" s="1"/>
  <c r="CH224"/>
  <c r="CJ224" s="1"/>
  <c r="CC224"/>
  <c r="CH225"/>
  <c r="CJ225" s="1"/>
  <c r="CC225"/>
  <c r="CF225"/>
  <c r="CH226"/>
  <c r="CC226"/>
  <c r="CJ226"/>
  <c r="CG226" s="1"/>
  <c r="CF226"/>
  <c r="CH227"/>
  <c r="CC227"/>
  <c r="CJ227"/>
  <c r="CH228"/>
  <c r="CJ228" s="1"/>
  <c r="CF228" s="1"/>
  <c r="CC228"/>
  <c r="CH229"/>
  <c r="CC229"/>
  <c r="CH230"/>
  <c r="CJ230" s="1"/>
  <c r="CF230" s="1"/>
  <c r="CC230"/>
  <c r="CH231"/>
  <c r="CC231"/>
  <c r="CJ231"/>
  <c r="CF231" s="1"/>
  <c r="CH232"/>
  <c r="CJ232" s="1"/>
  <c r="CC232"/>
  <c r="CH233"/>
  <c r="CJ233" s="1"/>
  <c r="CC233"/>
  <c r="CF233"/>
  <c r="CH234"/>
  <c r="CC234"/>
  <c r="CJ234"/>
  <c r="CF234"/>
  <c r="CH235"/>
  <c r="CC235"/>
  <c r="CJ235"/>
  <c r="CF235" s="1"/>
  <c r="CH236"/>
  <c r="CJ236" s="1"/>
  <c r="CF236" s="1"/>
  <c r="CC236"/>
  <c r="CH237"/>
  <c r="CJ237" s="1"/>
  <c r="CF237" s="1"/>
  <c r="CC237"/>
  <c r="CH238"/>
  <c r="CJ238" s="1"/>
  <c r="CF238" s="1"/>
  <c r="CC238"/>
  <c r="CH239"/>
  <c r="CC239"/>
  <c r="CJ239"/>
  <c r="CF239" s="1"/>
  <c r="CH240"/>
  <c r="CJ240" s="1"/>
  <c r="CF240" s="1"/>
  <c r="CC240"/>
  <c r="CH241"/>
  <c r="CJ241" s="1"/>
  <c r="CC241"/>
  <c r="CF241"/>
  <c r="CH242"/>
  <c r="CC242"/>
  <c r="CJ242"/>
  <c r="CF242"/>
  <c r="CH243"/>
  <c r="CC243"/>
  <c r="CJ243"/>
  <c r="CF243" s="1"/>
  <c r="CH244"/>
  <c r="CJ244" s="1"/>
  <c r="CF244" s="1"/>
  <c r="CC244"/>
  <c r="CH245"/>
  <c r="CJ245" s="1"/>
  <c r="CF245" s="1"/>
  <c r="CC245"/>
  <c r="CH246"/>
  <c r="CC246"/>
  <c r="CH247"/>
  <c r="CC247"/>
  <c r="CJ247"/>
  <c r="CF247" s="1"/>
  <c r="CH248"/>
  <c r="CJ248" s="1"/>
  <c r="CF248" s="1"/>
  <c r="CC248"/>
  <c r="CH249"/>
  <c r="CJ249" s="1"/>
  <c r="CC249"/>
  <c r="CF249"/>
  <c r="CH250"/>
  <c r="CC250"/>
  <c r="CJ250"/>
  <c r="CH251"/>
  <c r="CC251"/>
  <c r="CJ251"/>
  <c r="CF251" s="1"/>
  <c r="CH252"/>
  <c r="CJ252" s="1"/>
  <c r="CF252" s="1"/>
  <c r="CC252"/>
  <c r="CH253"/>
  <c r="CJ253" s="1"/>
  <c r="CF253" s="1"/>
  <c r="CC253"/>
  <c r="CH254"/>
  <c r="CJ254" s="1"/>
  <c r="CF254" s="1"/>
  <c r="CC254"/>
  <c r="CH255"/>
  <c r="CC255"/>
  <c r="CJ255"/>
  <c r="CF255" s="1"/>
  <c r="CH256"/>
  <c r="CJ256" s="1"/>
  <c r="CC256"/>
  <c r="CH257"/>
  <c r="CJ257" s="1"/>
  <c r="CC257"/>
  <c r="CF257"/>
  <c r="CH258"/>
  <c r="CC258"/>
  <c r="CJ258"/>
  <c r="CF258"/>
  <c r="CH259"/>
  <c r="CC259"/>
  <c r="CJ259"/>
  <c r="CF259" s="1"/>
  <c r="CH260"/>
  <c r="CJ260" s="1"/>
  <c r="CF260" s="1"/>
  <c r="CC260"/>
  <c r="CH261"/>
  <c r="CC261"/>
  <c r="CH262"/>
  <c r="CJ262" s="1"/>
  <c r="CF262" s="1"/>
  <c r="CC262"/>
  <c r="CH263"/>
  <c r="CC263"/>
  <c r="CJ263"/>
  <c r="CF263" s="1"/>
  <c r="CH264"/>
  <c r="CJ264" s="1"/>
  <c r="CF264" s="1"/>
  <c r="CC264"/>
  <c r="CH265"/>
  <c r="CJ265" s="1"/>
  <c r="CC265"/>
  <c r="CF265"/>
  <c r="CH266"/>
  <c r="CC266"/>
  <c r="CJ266"/>
  <c r="CF266"/>
  <c r="CH267"/>
  <c r="CC267"/>
  <c r="CJ267"/>
  <c r="CF267" s="1"/>
  <c r="CH268"/>
  <c r="CJ268" s="1"/>
  <c r="CF268" s="1"/>
  <c r="CC268"/>
  <c r="CH269"/>
  <c r="CC269"/>
  <c r="CH270"/>
  <c r="CJ270" s="1"/>
  <c r="CF270" s="1"/>
  <c r="CC270"/>
  <c r="CH271"/>
  <c r="CC271"/>
  <c r="CJ271"/>
  <c r="CF271" s="1"/>
  <c r="CH272"/>
  <c r="CJ272" s="1"/>
  <c r="CF272" s="1"/>
  <c r="CC272"/>
  <c r="CH273"/>
  <c r="CJ273" s="1"/>
  <c r="CC273"/>
  <c r="CF273"/>
  <c r="CH274"/>
  <c r="CC274"/>
  <c r="CJ274"/>
  <c r="CF274"/>
  <c r="CH275"/>
  <c r="CC275"/>
  <c r="CJ275"/>
  <c r="CF275" s="1"/>
  <c r="CH276"/>
  <c r="CJ276" s="1"/>
  <c r="CF276" s="1"/>
  <c r="CC276"/>
  <c r="CH277"/>
  <c r="CJ277" s="1"/>
  <c r="CF277" s="1"/>
  <c r="CC277"/>
  <c r="CH278"/>
  <c r="CC278"/>
  <c r="CH279"/>
  <c r="CC279"/>
  <c r="CJ279"/>
  <c r="CF279" s="1"/>
  <c r="CH280"/>
  <c r="CJ280" s="1"/>
  <c r="CF280" s="1"/>
  <c r="CC280"/>
  <c r="CH281"/>
  <c r="CJ281" s="1"/>
  <c r="CC281"/>
  <c r="CF281"/>
  <c r="CH282"/>
  <c r="CC282"/>
  <c r="CJ282"/>
  <c r="CF282" s="1"/>
  <c r="CH283"/>
  <c r="CC283"/>
  <c r="CJ283"/>
  <c r="CF283" s="1"/>
  <c r="CH284"/>
  <c r="CJ284" s="1"/>
  <c r="CF284" s="1"/>
  <c r="CC284"/>
  <c r="CH285"/>
  <c r="CJ285" s="1"/>
  <c r="CF285" s="1"/>
  <c r="CC285"/>
  <c r="CH286"/>
  <c r="CJ286" s="1"/>
  <c r="CF286" s="1"/>
  <c r="CC286"/>
  <c r="CH287"/>
  <c r="CC287"/>
  <c r="CJ287"/>
  <c r="CF287" s="1"/>
  <c r="CH288"/>
  <c r="CJ288" s="1"/>
  <c r="CF288" s="1"/>
  <c r="CC288"/>
  <c r="CH289"/>
  <c r="CJ289" s="1"/>
  <c r="CC289"/>
  <c r="CF289"/>
  <c r="CH290"/>
  <c r="CC290"/>
  <c r="CJ290"/>
  <c r="CF290"/>
  <c r="CH291"/>
  <c r="CC291"/>
  <c r="CJ291"/>
  <c r="CF291" s="1"/>
  <c r="CH292"/>
  <c r="CJ292" s="1"/>
  <c r="CF292" s="1"/>
  <c r="CC292"/>
  <c r="CH293"/>
  <c r="CJ293" s="1"/>
  <c r="CF293" s="1"/>
  <c r="CC293"/>
  <c r="CH294"/>
  <c r="CJ294" s="1"/>
  <c r="CF294" s="1"/>
  <c r="CC294"/>
  <c r="CH295"/>
  <c r="CC295"/>
  <c r="CJ295"/>
  <c r="CF295" s="1"/>
  <c r="CH296"/>
  <c r="CJ296" s="1"/>
  <c r="CF296" s="1"/>
  <c r="CC296"/>
  <c r="CH297"/>
  <c r="CJ297" s="1"/>
  <c r="CC297"/>
  <c r="CF297"/>
  <c r="CH298"/>
  <c r="CC298"/>
  <c r="CJ298"/>
  <c r="CF298"/>
  <c r="CH299"/>
  <c r="CC299"/>
  <c r="CJ299"/>
  <c r="CF299" s="1"/>
  <c r="CH300"/>
  <c r="CJ300" s="1"/>
  <c r="CF300" s="1"/>
  <c r="CC300"/>
  <c r="CH301"/>
  <c r="CC301"/>
  <c r="CH302"/>
  <c r="CJ302" s="1"/>
  <c r="CF302" s="1"/>
  <c r="CC302"/>
  <c r="CH303"/>
  <c r="CC303"/>
  <c r="CJ303"/>
  <c r="CF303" s="1"/>
  <c r="CH304"/>
  <c r="CJ304" s="1"/>
  <c r="CF304" s="1"/>
  <c r="CC304"/>
  <c r="CH305"/>
  <c r="CJ305" s="1"/>
  <c r="CC305"/>
  <c r="CF305"/>
  <c r="CH306"/>
  <c r="CC306"/>
  <c r="CJ306"/>
  <c r="CF306"/>
  <c r="CH307"/>
  <c r="CC307"/>
  <c r="CJ307"/>
  <c r="CF307" s="1"/>
  <c r="CH308"/>
  <c r="CJ308" s="1"/>
  <c r="CF308" s="1"/>
  <c r="CC308"/>
  <c r="CH309"/>
  <c r="CJ309" s="1"/>
  <c r="CF309" s="1"/>
  <c r="CC309"/>
  <c r="CH310"/>
  <c r="CJ310" s="1"/>
  <c r="CF310" s="1"/>
  <c r="CC310"/>
  <c r="CH311"/>
  <c r="CC311"/>
  <c r="CJ311"/>
  <c r="CF311" s="1"/>
  <c r="CH312"/>
  <c r="CJ312" s="1"/>
  <c r="CF312" s="1"/>
  <c r="CC312"/>
  <c r="CH313"/>
  <c r="CJ313" s="1"/>
  <c r="CC313"/>
  <c r="CF313"/>
  <c r="CH314"/>
  <c r="CC314"/>
  <c r="CJ314"/>
  <c r="CF314" s="1"/>
  <c r="CH315"/>
  <c r="CC315"/>
  <c r="CJ315"/>
  <c r="CF315" s="1"/>
  <c r="CH316"/>
  <c r="CJ316" s="1"/>
  <c r="CF316" s="1"/>
  <c r="CC316"/>
  <c r="CH317"/>
  <c r="CJ317" s="1"/>
  <c r="CF317" s="1"/>
  <c r="CC317"/>
  <c r="CH318"/>
  <c r="CC318"/>
  <c r="CH319"/>
  <c r="CC319"/>
  <c r="CJ319"/>
  <c r="CF319" s="1"/>
  <c r="CH320"/>
  <c r="CJ320" s="1"/>
  <c r="CF320" s="1"/>
  <c r="CC320"/>
  <c r="CH321"/>
  <c r="CJ321" s="1"/>
  <c r="CC321"/>
  <c r="CF321"/>
  <c r="CH322"/>
  <c r="CC322"/>
  <c r="CJ322"/>
  <c r="CF322" s="1"/>
  <c r="CH323"/>
  <c r="CC323"/>
  <c r="CJ323"/>
  <c r="CF323" s="1"/>
  <c r="CH324"/>
  <c r="CJ324" s="1"/>
  <c r="CF324" s="1"/>
  <c r="CC324"/>
  <c r="CH325"/>
  <c r="CJ325" s="1"/>
  <c r="CF325" s="1"/>
  <c r="CC325"/>
  <c r="CH326"/>
  <c r="CJ326" s="1"/>
  <c r="CF326" s="1"/>
  <c r="CC326"/>
  <c r="CH327"/>
  <c r="CC327"/>
  <c r="CJ327"/>
  <c r="CF327" s="1"/>
  <c r="CH328"/>
  <c r="CJ328" s="1"/>
  <c r="CC328"/>
  <c r="CH329"/>
  <c r="CJ329" s="1"/>
  <c r="CC329"/>
  <c r="CF329"/>
  <c r="CH330"/>
  <c r="CC330"/>
  <c r="CJ330"/>
  <c r="CF330"/>
  <c r="CH331"/>
  <c r="CC331"/>
  <c r="CJ331"/>
  <c r="CF331" s="1"/>
  <c r="CH332"/>
  <c r="CJ332" s="1"/>
  <c r="CF332" s="1"/>
  <c r="CC332"/>
  <c r="CH333"/>
  <c r="CJ333" s="1"/>
  <c r="CF333" s="1"/>
  <c r="CC333"/>
  <c r="CH334"/>
  <c r="CJ334" s="1"/>
  <c r="CF334" s="1"/>
  <c r="CC334"/>
  <c r="CH335"/>
  <c r="CC335"/>
  <c r="CJ335"/>
  <c r="CF335" s="1"/>
  <c r="CH336"/>
  <c r="CJ336" s="1"/>
  <c r="CF336" s="1"/>
  <c r="CC336"/>
  <c r="CH337"/>
  <c r="CJ337" s="1"/>
  <c r="CC337"/>
  <c r="CF337"/>
  <c r="CH338"/>
  <c r="CC338"/>
  <c r="CJ338"/>
  <c r="CF338"/>
  <c r="CH339"/>
  <c r="CC339"/>
  <c r="CJ339"/>
  <c r="CF339" s="1"/>
  <c r="CH340"/>
  <c r="CJ340" s="1"/>
  <c r="CF340" s="1"/>
  <c r="CC340"/>
  <c r="CH341"/>
  <c r="CJ341" s="1"/>
  <c r="CF341" s="1"/>
  <c r="CC341"/>
  <c r="CH342"/>
  <c r="CJ342" s="1"/>
  <c r="CF342" s="1"/>
  <c r="CC342"/>
  <c r="CH343"/>
  <c r="CC343"/>
  <c r="CJ343"/>
  <c r="CF343" s="1"/>
  <c r="CH344"/>
  <c r="CJ344" s="1"/>
  <c r="CF344" s="1"/>
  <c r="CC344"/>
  <c r="CH345"/>
  <c r="CJ345" s="1"/>
  <c r="CC345"/>
  <c r="CF345"/>
  <c r="CH346"/>
  <c r="CC346"/>
  <c r="CJ346"/>
  <c r="CF346" s="1"/>
  <c r="CH347"/>
  <c r="CC347"/>
  <c r="CJ347"/>
  <c r="CF347" s="1"/>
  <c r="CH348"/>
  <c r="CJ348" s="1"/>
  <c r="CF348" s="1"/>
  <c r="CC348"/>
  <c r="CH349"/>
  <c r="CJ349" s="1"/>
  <c r="CF349" s="1"/>
  <c r="CC349"/>
  <c r="CH350"/>
  <c r="CC350"/>
  <c r="CH351"/>
  <c r="CC351"/>
  <c r="CJ351"/>
  <c r="CF351" s="1"/>
  <c r="CH352"/>
  <c r="CJ352" s="1"/>
  <c r="CC352"/>
  <c r="CH353"/>
  <c r="CJ353" s="1"/>
  <c r="CC353"/>
  <c r="CF353"/>
  <c r="CH354"/>
  <c r="CC354"/>
  <c r="CJ354"/>
  <c r="CF354"/>
  <c r="CH355"/>
  <c r="CC355"/>
  <c r="CJ355"/>
  <c r="CH356"/>
  <c r="CJ356" s="1"/>
  <c r="CF356" s="1"/>
  <c r="CC356"/>
  <c r="CH357"/>
  <c r="CC357"/>
  <c r="CH358"/>
  <c r="CJ358" s="1"/>
  <c r="CF358" s="1"/>
  <c r="CC358"/>
  <c r="CH359"/>
  <c r="CC359"/>
  <c r="CJ359"/>
  <c r="CF359" s="1"/>
  <c r="CH360"/>
  <c r="CJ360" s="1"/>
  <c r="CC360"/>
  <c r="CH361"/>
  <c r="CJ361" s="1"/>
  <c r="CC361"/>
  <c r="CF361"/>
  <c r="CH362"/>
  <c r="CC362"/>
  <c r="CJ362"/>
  <c r="CF362" s="1"/>
  <c r="CH363"/>
  <c r="CC363"/>
  <c r="CJ363"/>
  <c r="CF363" s="1"/>
  <c r="CH364"/>
  <c r="CJ364" s="1"/>
  <c r="CF364" s="1"/>
  <c r="CC364"/>
  <c r="CH365"/>
  <c r="CC365"/>
  <c r="CH366"/>
  <c r="CC366"/>
  <c r="CJ366"/>
  <c r="CF366" s="1"/>
  <c r="CH367"/>
  <c r="CC367"/>
  <c r="CJ367"/>
  <c r="CF367" s="1"/>
  <c r="CH368"/>
  <c r="CC368"/>
  <c r="CH369"/>
  <c r="CC369"/>
  <c r="CJ369"/>
  <c r="CH370"/>
  <c r="CC370"/>
  <c r="CJ370"/>
  <c r="CF370" s="1"/>
  <c r="CH371"/>
  <c r="CC371"/>
  <c r="CJ371"/>
  <c r="CF371" s="1"/>
  <c r="CH372"/>
  <c r="CJ372" s="1"/>
  <c r="CC372"/>
  <c r="CF372"/>
  <c r="CH373"/>
  <c r="CC373"/>
  <c r="CJ373"/>
  <c r="CF373"/>
  <c r="CH374"/>
  <c r="CC374"/>
  <c r="CJ374"/>
  <c r="CF374" s="1"/>
  <c r="CH375"/>
  <c r="CC375"/>
  <c r="CJ375"/>
  <c r="CF375" s="1"/>
  <c r="CH376"/>
  <c r="CJ376" s="1"/>
  <c r="CC376"/>
  <c r="CF376"/>
  <c r="CH377"/>
  <c r="CC377"/>
  <c r="CH378"/>
  <c r="CC378"/>
  <c r="CJ378"/>
  <c r="CH379"/>
  <c r="CC379"/>
  <c r="CJ379"/>
  <c r="CF379" s="1"/>
  <c r="CH380"/>
  <c r="CC380"/>
  <c r="CH381"/>
  <c r="CJ381" s="1"/>
  <c r="CF381" s="1"/>
  <c r="CC381"/>
  <c r="CH382"/>
  <c r="CC382"/>
  <c r="CJ382"/>
  <c r="CF382" s="1"/>
  <c r="CH383"/>
  <c r="CC383"/>
  <c r="CJ383"/>
  <c r="CF383" s="1"/>
  <c r="CH384"/>
  <c r="CJ384" s="1"/>
  <c r="CF384" s="1"/>
  <c r="CC384"/>
  <c r="CH385"/>
  <c r="CC385"/>
  <c r="CJ385"/>
  <c r="CF385" s="1"/>
  <c r="CH386"/>
  <c r="CC386"/>
  <c r="CJ386"/>
  <c r="CF386" s="1"/>
  <c r="CH387"/>
  <c r="CC387"/>
  <c r="CJ387"/>
  <c r="CF387" s="1"/>
  <c r="CH388"/>
  <c r="CJ388" s="1"/>
  <c r="CC388"/>
  <c r="CF388"/>
  <c r="CH389"/>
  <c r="CC389"/>
  <c r="CJ389"/>
  <c r="CH390"/>
  <c r="CC390"/>
  <c r="CJ390"/>
  <c r="CF390" s="1"/>
  <c r="CH391"/>
  <c r="CC391"/>
  <c r="CJ391"/>
  <c r="CF391" s="1"/>
  <c r="CH392"/>
  <c r="CJ392" s="1"/>
  <c r="CC392"/>
  <c r="CF392"/>
  <c r="CH393"/>
  <c r="CJ393" s="1"/>
  <c r="CC393"/>
  <c r="CF393"/>
  <c r="CH394"/>
  <c r="CC394"/>
  <c r="CJ394"/>
  <c r="CF394" s="1"/>
  <c r="CH395"/>
  <c r="CC395"/>
  <c r="CJ395"/>
  <c r="CF395" s="1"/>
  <c r="CH396"/>
  <c r="CJ396" s="1"/>
  <c r="CF396" s="1"/>
  <c r="CC396"/>
  <c r="CH397"/>
  <c r="CC397"/>
  <c r="CH398"/>
  <c r="CC398"/>
  <c r="CJ398"/>
  <c r="CF398" s="1"/>
  <c r="CH399"/>
  <c r="CC399"/>
  <c r="CJ399"/>
  <c r="CF399" s="1"/>
  <c r="CH400"/>
  <c r="CJ400" s="1"/>
  <c r="CC400"/>
  <c r="CH401"/>
  <c r="CC401"/>
  <c r="CJ401"/>
  <c r="CH402"/>
  <c r="CC402"/>
  <c r="CJ402"/>
  <c r="CF402" s="1"/>
  <c r="CH403"/>
  <c r="CC403"/>
  <c r="CJ403"/>
  <c r="CF403" s="1"/>
  <c r="CH404"/>
  <c r="CJ404" s="1"/>
  <c r="CC404"/>
  <c r="CF404"/>
  <c r="CH405"/>
  <c r="CC405"/>
  <c r="CJ405"/>
  <c r="CF405"/>
  <c r="CH406"/>
  <c r="CC406"/>
  <c r="CJ406"/>
  <c r="CH407"/>
  <c r="CC407"/>
  <c r="CJ407"/>
  <c r="CF407" s="1"/>
  <c r="CH408"/>
  <c r="CJ408" s="1"/>
  <c r="CC408"/>
  <c r="CF408"/>
  <c r="CH409"/>
  <c r="CC409"/>
  <c r="CH410"/>
  <c r="CC410"/>
  <c r="CJ410"/>
  <c r="CF410" s="1"/>
  <c r="CH411"/>
  <c r="CC411"/>
  <c r="CJ411"/>
  <c r="CF411" s="1"/>
  <c r="CH412"/>
  <c r="CJ412" s="1"/>
  <c r="CC412"/>
  <c r="CH413"/>
  <c r="CJ413" s="1"/>
  <c r="CF413" s="1"/>
  <c r="CC413"/>
  <c r="CH414"/>
  <c r="CC414"/>
  <c r="CJ414"/>
  <c r="CF414" s="1"/>
  <c r="CH415"/>
  <c r="CC415"/>
  <c r="CJ415"/>
  <c r="CF415" s="1"/>
  <c r="CH416"/>
  <c r="CJ416" s="1"/>
  <c r="CF416" s="1"/>
  <c r="CC416"/>
  <c r="CH417"/>
  <c r="CC417"/>
  <c r="CJ417"/>
  <c r="CF417" s="1"/>
  <c r="CH418"/>
  <c r="CC418"/>
  <c r="CJ418"/>
  <c r="CF418" s="1"/>
  <c r="CH419"/>
  <c r="CC419"/>
  <c r="CJ419"/>
  <c r="CF419" s="1"/>
  <c r="CH420"/>
  <c r="CJ420" s="1"/>
  <c r="CC420"/>
  <c r="CF420"/>
  <c r="CH421"/>
  <c r="CC421"/>
  <c r="CJ421"/>
  <c r="CH422"/>
  <c r="CC422"/>
  <c r="CJ422"/>
  <c r="CF422" s="1"/>
  <c r="CH423"/>
  <c r="CC423"/>
  <c r="CJ423"/>
  <c r="CF423" s="1"/>
  <c r="CH424"/>
  <c r="CJ424" s="1"/>
  <c r="CC424"/>
  <c r="CF424"/>
  <c r="CH425"/>
  <c r="CJ425" s="1"/>
  <c r="CC425"/>
  <c r="CF425"/>
  <c r="CH426"/>
  <c r="CC426"/>
  <c r="CJ426"/>
  <c r="CF426" s="1"/>
  <c r="CH427"/>
  <c r="CC427"/>
  <c r="CJ427"/>
  <c r="CF427" s="1"/>
  <c r="CH428"/>
  <c r="CJ428" s="1"/>
  <c r="CF428" s="1"/>
  <c r="CC428"/>
  <c r="CH429"/>
  <c r="CC429"/>
  <c r="CH430"/>
  <c r="CC430"/>
  <c r="CJ430"/>
  <c r="CF430" s="1"/>
  <c r="CH431"/>
  <c r="CC431"/>
  <c r="CJ431"/>
  <c r="CF431" s="1"/>
  <c r="CH432"/>
  <c r="CC432"/>
  <c r="CH433"/>
  <c r="CC433"/>
  <c r="CJ433"/>
  <c r="CH434"/>
  <c r="CC434"/>
  <c r="CJ434"/>
  <c r="CF434" s="1"/>
  <c r="CH435"/>
  <c r="CC435"/>
  <c r="CJ435"/>
  <c r="CF435" s="1"/>
  <c r="CH436"/>
  <c r="CJ436" s="1"/>
  <c r="CC436"/>
  <c r="CF436"/>
  <c r="CH437"/>
  <c r="CC437"/>
  <c r="CJ437"/>
  <c r="CF437"/>
  <c r="CH438"/>
  <c r="CC438"/>
  <c r="CJ438"/>
  <c r="CF438" s="1"/>
  <c r="CH439"/>
  <c r="CC439"/>
  <c r="CJ439"/>
  <c r="CF439" s="1"/>
  <c r="CH440"/>
  <c r="CJ440" s="1"/>
  <c r="CC440"/>
  <c r="CF440"/>
  <c r="CH441"/>
  <c r="CC441"/>
  <c r="CH442"/>
  <c r="CC442"/>
  <c r="CJ442"/>
  <c r="CH443"/>
  <c r="CC443"/>
  <c r="CJ443"/>
  <c r="CF443" s="1"/>
  <c r="CH444"/>
  <c r="CC444"/>
  <c r="CH445"/>
  <c r="CJ445" s="1"/>
  <c r="CF445" s="1"/>
  <c r="CC445"/>
  <c r="CH446"/>
  <c r="CC446"/>
  <c r="CJ446"/>
  <c r="CF446" s="1"/>
  <c r="CH447"/>
  <c r="CC447"/>
  <c r="CJ447"/>
  <c r="CF447" s="1"/>
  <c r="CH448"/>
  <c r="CJ448" s="1"/>
  <c r="CF448" s="1"/>
  <c r="CC448"/>
  <c r="CH449"/>
  <c r="CC449"/>
  <c r="CJ449"/>
  <c r="CF449" s="1"/>
  <c r="CH450"/>
  <c r="CC450"/>
  <c r="CJ450"/>
  <c r="CF450" s="1"/>
  <c r="CH451"/>
  <c r="CC451"/>
  <c r="CJ451"/>
  <c r="CF451" s="1"/>
  <c r="CH452"/>
  <c r="CJ452" s="1"/>
  <c r="CC452"/>
  <c r="CF452"/>
  <c r="CH453"/>
  <c r="CC453"/>
  <c r="CJ453"/>
  <c r="CH454"/>
  <c r="CC454"/>
  <c r="CJ454"/>
  <c r="CF454" s="1"/>
  <c r="CH455"/>
  <c r="CC455"/>
  <c r="CJ455"/>
  <c r="CF455" s="1"/>
  <c r="CH456"/>
  <c r="CJ456" s="1"/>
  <c r="CC456"/>
  <c r="CF456"/>
  <c r="CH457"/>
  <c r="CJ457" s="1"/>
  <c r="CC457"/>
  <c r="CF457"/>
  <c r="CH458"/>
  <c r="CC458"/>
  <c r="CJ458"/>
  <c r="CF458" s="1"/>
  <c r="CH459"/>
  <c r="CC459"/>
  <c r="CJ459"/>
  <c r="CF459" s="1"/>
  <c r="CH460"/>
  <c r="CJ460" s="1"/>
  <c r="CF460" s="1"/>
  <c r="CC460"/>
  <c r="CH461"/>
  <c r="CC461"/>
  <c r="CH462"/>
  <c r="CC462"/>
  <c r="CJ462"/>
  <c r="CF462" s="1"/>
  <c r="CH463"/>
  <c r="CC463"/>
  <c r="CJ463"/>
  <c r="CF463" s="1"/>
  <c r="CH464"/>
  <c r="CJ464" s="1"/>
  <c r="CC464"/>
  <c r="CH465"/>
  <c r="CC465"/>
  <c r="CJ465"/>
  <c r="CH466"/>
  <c r="CC466"/>
  <c r="CJ466"/>
  <c r="CF466" s="1"/>
  <c r="CH467"/>
  <c r="CC467"/>
  <c r="CJ467"/>
  <c r="CF467" s="1"/>
  <c r="CH468"/>
  <c r="CJ468" s="1"/>
  <c r="CC468"/>
  <c r="CF468"/>
  <c r="CH469"/>
  <c r="CC469"/>
  <c r="CJ469"/>
  <c r="CF469"/>
  <c r="CH470"/>
  <c r="CC470"/>
  <c r="CJ470"/>
  <c r="CH471"/>
  <c r="CC471"/>
  <c r="CJ471"/>
  <c r="CF471" s="1"/>
  <c r="CH472"/>
  <c r="CJ472" s="1"/>
  <c r="CC472"/>
  <c r="CF472"/>
  <c r="CH473"/>
  <c r="CC473"/>
  <c r="CH474"/>
  <c r="CC474"/>
  <c r="CJ474"/>
  <c r="CF474" s="1"/>
  <c r="CH475"/>
  <c r="CC475"/>
  <c r="CJ475"/>
  <c r="CF475" s="1"/>
  <c r="CH476"/>
  <c r="CJ476" s="1"/>
  <c r="CC476"/>
  <c r="CH477"/>
  <c r="CJ477" s="1"/>
  <c r="CF477" s="1"/>
  <c r="CC477"/>
  <c r="CH478"/>
  <c r="CC478"/>
  <c r="CJ478"/>
  <c r="CF478" s="1"/>
  <c r="CH479"/>
  <c r="CC479"/>
  <c r="CJ479"/>
  <c r="CF479" s="1"/>
  <c r="CH480"/>
  <c r="CJ480" s="1"/>
  <c r="CF480" s="1"/>
  <c r="CC480"/>
  <c r="CH481"/>
  <c r="CC481"/>
  <c r="CJ481"/>
  <c r="CF481" s="1"/>
  <c r="CH482"/>
  <c r="CC482"/>
  <c r="CJ482"/>
  <c r="CF482" s="1"/>
  <c r="CH483"/>
  <c r="CC483"/>
  <c r="CJ483"/>
  <c r="CF483" s="1"/>
  <c r="CH484"/>
  <c r="CJ484" s="1"/>
  <c r="CC484"/>
  <c r="CF484"/>
  <c r="CH485"/>
  <c r="CC485"/>
  <c r="CJ485"/>
  <c r="CH486"/>
  <c r="CC486"/>
  <c r="CJ486"/>
  <c r="CF486" s="1"/>
  <c r="CH487"/>
  <c r="CC487"/>
  <c r="CJ487"/>
  <c r="CF487" s="1"/>
  <c r="CH488"/>
  <c r="CJ488" s="1"/>
  <c r="CC488"/>
  <c r="CF488"/>
  <c r="CH489"/>
  <c r="CJ489" s="1"/>
  <c r="CC489"/>
  <c r="CF489"/>
  <c r="CH490"/>
  <c r="CC490"/>
  <c r="CJ490"/>
  <c r="CF490" s="1"/>
  <c r="CH491"/>
  <c r="CC491"/>
  <c r="CJ491"/>
  <c r="CF491" s="1"/>
  <c r="CH492"/>
  <c r="CJ492" s="1"/>
  <c r="CF492" s="1"/>
  <c r="CC492"/>
  <c r="CH493"/>
  <c r="CC493"/>
  <c r="CH494"/>
  <c r="CC494"/>
  <c r="CJ494"/>
  <c r="CF494" s="1"/>
  <c r="CH495"/>
  <c r="CC495"/>
  <c r="CJ495"/>
  <c r="CF495" s="1"/>
  <c r="CH496"/>
  <c r="CC496"/>
  <c r="CH497"/>
  <c r="CC497"/>
  <c r="CJ497"/>
  <c r="CH498"/>
  <c r="CC498"/>
  <c r="CJ498"/>
  <c r="CF498" s="1"/>
  <c r="CH499"/>
  <c r="CC499"/>
  <c r="CJ499"/>
  <c r="CF499" s="1"/>
  <c r="CH500"/>
  <c r="CJ500" s="1"/>
  <c r="CC500"/>
  <c r="CF500"/>
  <c r="CH501"/>
  <c r="CC501"/>
  <c r="CJ501"/>
  <c r="CF501"/>
  <c r="CH502"/>
  <c r="CC502"/>
  <c r="CJ502"/>
  <c r="CF502" s="1"/>
  <c r="CH503"/>
  <c r="CC503"/>
  <c r="CJ503"/>
  <c r="CF503" s="1"/>
  <c r="CH504"/>
  <c r="CJ504" s="1"/>
  <c r="CC504"/>
  <c r="CF504"/>
  <c r="CH505"/>
  <c r="CC505"/>
  <c r="CH506"/>
  <c r="CC506"/>
  <c r="CJ506"/>
  <c r="CF506" s="1"/>
  <c r="CH507"/>
  <c r="CC507"/>
  <c r="CJ507"/>
  <c r="CF507" s="1"/>
  <c r="CH508"/>
  <c r="CJ508" s="1"/>
  <c r="CC508"/>
  <c r="CH509"/>
  <c r="CJ509" s="1"/>
  <c r="CF509" s="1"/>
  <c r="CC509"/>
  <c r="CH510"/>
  <c r="CC510"/>
  <c r="CJ510"/>
  <c r="CF510" s="1"/>
  <c r="CH511"/>
  <c r="CJ511" s="1"/>
  <c r="CF511" s="1"/>
  <c r="CC511"/>
  <c r="CH512"/>
  <c r="CJ512" s="1"/>
  <c r="CC512"/>
  <c r="CF512"/>
  <c r="CH513"/>
  <c r="CC513"/>
  <c r="CJ513"/>
  <c r="CF513"/>
  <c r="CH514"/>
  <c r="CC514"/>
  <c r="CJ514"/>
  <c r="CF514" s="1"/>
  <c r="CH515"/>
  <c r="CJ515" s="1"/>
  <c r="CF515" s="1"/>
  <c r="CC515"/>
  <c r="CH516"/>
  <c r="CJ516" s="1"/>
  <c r="CC516"/>
  <c r="CH517"/>
  <c r="CJ517" s="1"/>
  <c r="CF517" s="1"/>
  <c r="CC517"/>
  <c r="CH518"/>
  <c r="CC518"/>
  <c r="CJ518"/>
  <c r="CF518" s="1"/>
  <c r="CH519"/>
  <c r="CJ519" s="1"/>
  <c r="CF519" s="1"/>
  <c r="CC519"/>
  <c r="CH520"/>
  <c r="CJ520" s="1"/>
  <c r="CC520"/>
  <c r="CF520"/>
  <c r="CH521"/>
  <c r="CC521"/>
  <c r="CJ521"/>
  <c r="CF521"/>
  <c r="CH522"/>
  <c r="CC522"/>
  <c r="CJ522"/>
  <c r="CF522" s="1"/>
  <c r="CH523"/>
  <c r="CJ523" s="1"/>
  <c r="CF523" s="1"/>
  <c r="CC523"/>
  <c r="CH524"/>
  <c r="CJ524" s="1"/>
  <c r="CF524" s="1"/>
  <c r="CC524"/>
  <c r="CH525"/>
  <c r="CC525"/>
  <c r="CH526"/>
  <c r="CC526"/>
  <c r="CJ526"/>
  <c r="CF526" s="1"/>
  <c r="CH527"/>
  <c r="CJ527" s="1"/>
  <c r="CF527" s="1"/>
  <c r="CC527"/>
  <c r="CH528"/>
  <c r="CJ528" s="1"/>
  <c r="CC528"/>
  <c r="CF528"/>
  <c r="CH529"/>
  <c r="CC529"/>
  <c r="CJ529"/>
  <c r="CH530"/>
  <c r="CC530"/>
  <c r="CJ530"/>
  <c r="CF530" s="1"/>
  <c r="CH531"/>
  <c r="CJ531" s="1"/>
  <c r="CF531" s="1"/>
  <c r="CC531"/>
  <c r="CH532"/>
  <c r="CJ532" s="1"/>
  <c r="CF532" s="1"/>
  <c r="CC532"/>
  <c r="CH533"/>
  <c r="CC533"/>
  <c r="CH534"/>
  <c r="CC534"/>
  <c r="CJ534"/>
  <c r="CF534" s="1"/>
  <c r="CH535"/>
  <c r="CJ535" s="1"/>
  <c r="CF535" s="1"/>
  <c r="CC535"/>
  <c r="CH536"/>
  <c r="CJ536" s="1"/>
  <c r="CC536"/>
  <c r="CF536"/>
  <c r="CH537"/>
  <c r="CC537"/>
  <c r="CJ537"/>
  <c r="CG537" s="1"/>
  <c r="CF537"/>
  <c r="CH538"/>
  <c r="CC538"/>
  <c r="CJ538"/>
  <c r="CH539"/>
  <c r="CJ539" s="1"/>
  <c r="CF539" s="1"/>
  <c r="CC539"/>
  <c r="CH540"/>
  <c r="CC540"/>
  <c r="CH541"/>
  <c r="CJ541" s="1"/>
  <c r="CF541" s="1"/>
  <c r="CC541"/>
  <c r="CH542"/>
  <c r="CC542"/>
  <c r="CJ542"/>
  <c r="CF542" s="1"/>
  <c r="CH543"/>
  <c r="CJ543" s="1"/>
  <c r="CF543" s="1"/>
  <c r="CC543"/>
  <c r="CH544"/>
  <c r="CJ544" s="1"/>
  <c r="CC544"/>
  <c r="CF544"/>
  <c r="CH545"/>
  <c r="CC545"/>
  <c r="CJ545"/>
  <c r="CF545"/>
  <c r="CH546"/>
  <c r="CC546"/>
  <c r="CJ546"/>
  <c r="CF546" s="1"/>
  <c r="CH547"/>
  <c r="CJ547" s="1"/>
  <c r="CF547" s="1"/>
  <c r="CC547"/>
  <c r="CH548"/>
  <c r="CC548"/>
  <c r="CH549"/>
  <c r="CJ549" s="1"/>
  <c r="CF549" s="1"/>
  <c r="CC549"/>
  <c r="CH550"/>
  <c r="CC550"/>
  <c r="CJ550"/>
  <c r="CF550" s="1"/>
  <c r="CH551"/>
  <c r="CJ551" s="1"/>
  <c r="CF551" s="1"/>
  <c r="CC551"/>
  <c r="CH552"/>
  <c r="CJ552" s="1"/>
  <c r="CC552"/>
  <c r="CF552"/>
  <c r="CH553"/>
  <c r="CC553"/>
  <c r="CJ553"/>
  <c r="CF553"/>
  <c r="CH554"/>
  <c r="CC554"/>
  <c r="CJ554"/>
  <c r="CF554" s="1"/>
  <c r="CH555"/>
  <c r="CJ555" s="1"/>
  <c r="CF555" s="1"/>
  <c r="CC555"/>
  <c r="CH556"/>
  <c r="CJ556" s="1"/>
  <c r="CF556" s="1"/>
  <c r="CC556"/>
  <c r="CH557"/>
  <c r="CC557"/>
  <c r="CH558"/>
  <c r="CC558"/>
  <c r="CJ558"/>
  <c r="CF558" s="1"/>
  <c r="CH559"/>
  <c r="CJ559" s="1"/>
  <c r="CF559" s="1"/>
  <c r="CC559"/>
  <c r="CH560"/>
  <c r="CJ560" s="1"/>
  <c r="CC560"/>
  <c r="CF560"/>
  <c r="CH561"/>
  <c r="CC561"/>
  <c r="CJ561"/>
  <c r="CH562"/>
  <c r="CC562"/>
  <c r="CJ562"/>
  <c r="CF562" s="1"/>
  <c r="CH563"/>
  <c r="CJ563" s="1"/>
  <c r="CF563" s="1"/>
  <c r="CC563"/>
  <c r="CH564"/>
  <c r="CJ564" s="1"/>
  <c r="CF564" s="1"/>
  <c r="CC564"/>
  <c r="CH565"/>
  <c r="CC565"/>
  <c r="CH566"/>
  <c r="CC566"/>
  <c r="CJ566"/>
  <c r="CF566" s="1"/>
  <c r="CH567"/>
  <c r="CJ567" s="1"/>
  <c r="CF567" s="1"/>
  <c r="CC567"/>
  <c r="CH568"/>
  <c r="CJ568" s="1"/>
  <c r="CC568"/>
  <c r="CF568"/>
  <c r="CH569"/>
  <c r="CC569"/>
  <c r="CJ569"/>
  <c r="CG569" s="1"/>
  <c r="CF569"/>
  <c r="CH570"/>
  <c r="CC570"/>
  <c r="CJ570"/>
  <c r="CF570" s="1"/>
  <c r="CH571"/>
  <c r="CJ571" s="1"/>
  <c r="CF571" s="1"/>
  <c r="CC571"/>
  <c r="CH572"/>
  <c r="CJ572" s="1"/>
  <c r="CC572"/>
  <c r="CH573"/>
  <c r="CJ573" s="1"/>
  <c r="CF573" s="1"/>
  <c r="CC573"/>
  <c r="CH574"/>
  <c r="CC574"/>
  <c r="CJ574"/>
  <c r="CF574" s="1"/>
  <c r="CH575"/>
  <c r="CJ575" s="1"/>
  <c r="CF575" s="1"/>
  <c r="CC575"/>
  <c r="CH576"/>
  <c r="CJ576" s="1"/>
  <c r="CC576"/>
  <c r="CF576"/>
  <c r="CH577"/>
  <c r="CC577"/>
  <c r="CJ577"/>
  <c r="CF577"/>
  <c r="CH578"/>
  <c r="CC578"/>
  <c r="CJ578"/>
  <c r="CH579"/>
  <c r="CJ579" s="1"/>
  <c r="CF579" s="1"/>
  <c r="CC579"/>
  <c r="CH580"/>
  <c r="CC580"/>
  <c r="CH581"/>
  <c r="CJ581" s="1"/>
  <c r="CF581" s="1"/>
  <c r="CC581"/>
  <c r="CH582"/>
  <c r="CC582"/>
  <c r="CJ582"/>
  <c r="CF582" s="1"/>
  <c r="CH583"/>
  <c r="CJ583" s="1"/>
  <c r="CF583" s="1"/>
  <c r="CC583"/>
  <c r="CH584"/>
  <c r="CJ584" s="1"/>
  <c r="CC584"/>
  <c r="CF584"/>
  <c r="CH585"/>
  <c r="CC585"/>
  <c r="CJ585"/>
  <c r="CF585"/>
  <c r="CH586"/>
  <c r="CC586"/>
  <c r="CJ586"/>
  <c r="CF586" s="1"/>
  <c r="CH587"/>
  <c r="CJ587" s="1"/>
  <c r="CF587" s="1"/>
  <c r="CC587"/>
  <c r="CH588"/>
  <c r="CJ588" s="1"/>
  <c r="CF588" s="1"/>
  <c r="CC588"/>
  <c r="CH589"/>
  <c r="CC589"/>
  <c r="CH590"/>
  <c r="CC590"/>
  <c r="CJ590"/>
  <c r="CF590" s="1"/>
  <c r="CH591"/>
  <c r="CC591"/>
  <c r="CJ591"/>
  <c r="CF591" s="1"/>
  <c r="CH592"/>
  <c r="CJ592" s="1"/>
  <c r="CC592"/>
  <c r="CH593"/>
  <c r="CC593"/>
  <c r="CJ593"/>
  <c r="CH594"/>
  <c r="CC594"/>
  <c r="CJ594"/>
  <c r="CF594" s="1"/>
  <c r="CH595"/>
  <c r="CJ595" s="1"/>
  <c r="CF595" s="1"/>
  <c r="CC595"/>
  <c r="CH596"/>
  <c r="CJ596" s="1"/>
  <c r="CC596"/>
  <c r="CF596"/>
  <c r="CH597"/>
  <c r="CC597"/>
  <c r="CH598"/>
  <c r="CC598"/>
  <c r="CJ598"/>
  <c r="CF598" s="1"/>
  <c r="CH599"/>
  <c r="CJ599" s="1"/>
  <c r="CF599" s="1"/>
  <c r="CC599"/>
  <c r="CH600"/>
  <c r="CC600"/>
  <c r="CH601"/>
  <c r="CC601"/>
  <c r="CJ601"/>
  <c r="CH602"/>
  <c r="CC602"/>
  <c r="CJ602"/>
  <c r="CF602" s="1"/>
  <c r="CH603"/>
  <c r="CJ603" s="1"/>
  <c r="CF603" s="1"/>
  <c r="CC603"/>
  <c r="CH604"/>
  <c r="CJ604" s="1"/>
  <c r="CC604"/>
  <c r="CF604"/>
  <c r="CH605"/>
  <c r="CJ605" s="1"/>
  <c r="CC605"/>
  <c r="CF605"/>
  <c r="CH606"/>
  <c r="CC606"/>
  <c r="CJ606"/>
  <c r="CF606" s="1"/>
  <c r="CH607"/>
  <c r="CJ607" s="1"/>
  <c r="CF607" s="1"/>
  <c r="CC607"/>
  <c r="CH608"/>
  <c r="CJ608" s="1"/>
  <c r="CF608" s="1"/>
  <c r="CC608"/>
  <c r="CH609"/>
  <c r="CC609"/>
  <c r="CJ609"/>
  <c r="CF609" s="1"/>
  <c r="CH610"/>
  <c r="CC610"/>
  <c r="CJ610"/>
  <c r="CF610" s="1"/>
  <c r="CH611"/>
  <c r="CJ611" s="1"/>
  <c r="CF611" s="1"/>
  <c r="CC611"/>
  <c r="CH612"/>
  <c r="CJ612" s="1"/>
  <c r="CC612"/>
  <c r="CF612"/>
  <c r="CH613"/>
  <c r="CJ613" s="1"/>
  <c r="CC613"/>
  <c r="CF613"/>
  <c r="CH614"/>
  <c r="CC614"/>
  <c r="CJ614"/>
  <c r="CF614" s="1"/>
  <c r="CH615"/>
  <c r="CJ615" s="1"/>
  <c r="CC615"/>
  <c r="CH616"/>
  <c r="CJ616" s="1"/>
  <c r="CF616" s="1"/>
  <c r="CC616"/>
  <c r="CH617"/>
  <c r="CC617"/>
  <c r="CJ617"/>
  <c r="CF617" s="1"/>
  <c r="CH618"/>
  <c r="CC618"/>
  <c r="CJ618"/>
  <c r="CF618" s="1"/>
  <c r="CH619"/>
  <c r="CJ619" s="1"/>
  <c r="CF619" s="1"/>
  <c r="CC619"/>
  <c r="CH620"/>
  <c r="CJ620" s="1"/>
  <c r="CC620"/>
  <c r="CF620"/>
  <c r="CH621"/>
  <c r="CC621"/>
  <c r="CH622"/>
  <c r="CC622"/>
  <c r="CJ622"/>
  <c r="CF622" s="1"/>
  <c r="CH623"/>
  <c r="CJ623" s="1"/>
  <c r="CF623" s="1"/>
  <c r="CC623"/>
  <c r="CH624"/>
  <c r="CC624"/>
  <c r="CH625"/>
  <c r="CC625"/>
  <c r="CJ625"/>
  <c r="CH626"/>
  <c r="CC626"/>
  <c r="CJ626"/>
  <c r="CF626" s="1"/>
  <c r="CH627"/>
  <c r="CJ627" s="1"/>
  <c r="CF627" s="1"/>
  <c r="CC627"/>
  <c r="CH628"/>
  <c r="CJ628" s="1"/>
  <c r="CC628"/>
  <c r="CF628"/>
  <c r="CH629"/>
  <c r="CC629"/>
  <c r="CH630"/>
  <c r="CC630"/>
  <c r="CJ630"/>
  <c r="CH631"/>
  <c r="CJ631" s="1"/>
  <c r="CF631" s="1"/>
  <c r="CC631"/>
  <c r="CH632"/>
  <c r="CJ632" s="1"/>
  <c r="CC632"/>
  <c r="CH633"/>
  <c r="CC633"/>
  <c r="CJ633"/>
  <c r="CH634"/>
  <c r="CC634"/>
  <c r="CJ634"/>
  <c r="CF634" s="1"/>
  <c r="CH635"/>
  <c r="CJ635" s="1"/>
  <c r="CF635" s="1"/>
  <c r="CC635"/>
  <c r="CH636"/>
  <c r="CJ636" s="1"/>
  <c r="CC636"/>
  <c r="CF636"/>
  <c r="CH637"/>
  <c r="CJ637" s="1"/>
  <c r="CC637"/>
  <c r="CF637"/>
  <c r="CH638"/>
  <c r="CC638"/>
  <c r="CJ638"/>
  <c r="CH639"/>
  <c r="CJ639" s="1"/>
  <c r="CF639" s="1"/>
  <c r="CC639"/>
  <c r="CH640"/>
  <c r="CJ640" s="1"/>
  <c r="CF640" s="1"/>
  <c r="CC640"/>
  <c r="CH641"/>
  <c r="CC641"/>
  <c r="CJ641"/>
  <c r="CF641" s="1"/>
  <c r="CH642"/>
  <c r="CC642"/>
  <c r="CJ642"/>
  <c r="CF642" s="1"/>
  <c r="CH643"/>
  <c r="CJ643" s="1"/>
  <c r="CF643" s="1"/>
  <c r="CC643"/>
  <c r="CH644"/>
  <c r="CJ644" s="1"/>
  <c r="CC644"/>
  <c r="CF644"/>
  <c r="CH645"/>
  <c r="CJ645" s="1"/>
  <c r="CC645"/>
  <c r="CF645"/>
  <c r="CH646"/>
  <c r="CC646"/>
  <c r="CJ646"/>
  <c r="CF646" s="1"/>
  <c r="CH647"/>
  <c r="CJ647" s="1"/>
  <c r="CF647" s="1"/>
  <c r="CC647"/>
  <c r="CH648"/>
  <c r="CJ648" s="1"/>
  <c r="CF648" s="1"/>
  <c r="CC648"/>
  <c r="CH649"/>
  <c r="CC649"/>
  <c r="CJ649"/>
  <c r="CF649" s="1"/>
  <c r="CH650"/>
  <c r="CC650"/>
  <c r="CJ650"/>
  <c r="CF650" s="1"/>
  <c r="CH651"/>
  <c r="CJ651" s="1"/>
  <c r="CF651" s="1"/>
  <c r="CC651"/>
  <c r="CH652"/>
  <c r="CJ652" s="1"/>
  <c r="CC652"/>
  <c r="CF652"/>
  <c r="CH653"/>
  <c r="CC653"/>
  <c r="CH654"/>
  <c r="CC654"/>
  <c r="CJ654"/>
  <c r="CF654" s="1"/>
  <c r="CH655"/>
  <c r="CJ655" s="1"/>
  <c r="CF655" s="1"/>
  <c r="CC655"/>
  <c r="CH656"/>
  <c r="CJ656" s="1"/>
  <c r="CC656"/>
  <c r="CH657"/>
  <c r="CC657"/>
  <c r="CJ657"/>
  <c r="CH658"/>
  <c r="CC658"/>
  <c r="CJ658"/>
  <c r="CF658" s="1"/>
  <c r="CH659"/>
  <c r="CJ659" s="1"/>
  <c r="CF659" s="1"/>
  <c r="CC659"/>
  <c r="CH660"/>
  <c r="CJ660" s="1"/>
  <c r="CC660"/>
  <c r="CF660"/>
  <c r="CH661"/>
  <c r="CC661"/>
  <c r="CH662"/>
  <c r="CC662"/>
  <c r="CJ662"/>
  <c r="CF662" s="1"/>
  <c r="CH663"/>
  <c r="CJ663" s="1"/>
  <c r="CF663" s="1"/>
  <c r="CC663"/>
  <c r="CH664"/>
  <c r="CC664"/>
  <c r="CH665"/>
  <c r="CC665"/>
  <c r="CJ665"/>
  <c r="CH666"/>
  <c r="CC666"/>
  <c r="CJ666"/>
  <c r="CF666" s="1"/>
  <c r="CH667"/>
  <c r="CJ667" s="1"/>
  <c r="CF667" s="1"/>
  <c r="CC667"/>
  <c r="CH668"/>
  <c r="CJ668" s="1"/>
  <c r="CC668"/>
  <c r="CF668"/>
  <c r="CH669"/>
  <c r="CJ669" s="1"/>
  <c r="CC669"/>
  <c r="CF669"/>
  <c r="CH670"/>
  <c r="CC670"/>
  <c r="CJ670"/>
  <c r="CF670" s="1"/>
  <c r="CH671"/>
  <c r="CJ671" s="1"/>
  <c r="CF671" s="1"/>
  <c r="CC671"/>
  <c r="CH672"/>
  <c r="CJ672" s="1"/>
  <c r="CF672" s="1"/>
  <c r="CC672"/>
  <c r="CH673"/>
  <c r="CC673"/>
  <c r="CJ673"/>
  <c r="CF673" s="1"/>
  <c r="CH674"/>
  <c r="CC674"/>
  <c r="CJ674"/>
  <c r="CF674" s="1"/>
  <c r="CH675"/>
  <c r="CJ675" s="1"/>
  <c r="CF675" s="1"/>
  <c r="CC675"/>
  <c r="CH676"/>
  <c r="CJ676" s="1"/>
  <c r="CC676"/>
  <c r="CF676"/>
  <c r="CH677"/>
  <c r="CJ677" s="1"/>
  <c r="CC677"/>
  <c r="CF677"/>
  <c r="CH678"/>
  <c r="CC678"/>
  <c r="CJ678"/>
  <c r="CF678" s="1"/>
  <c r="CH679"/>
  <c r="CJ679" s="1"/>
  <c r="CC679"/>
  <c r="CH680"/>
  <c r="CJ680" s="1"/>
  <c r="CF680" s="1"/>
  <c r="CC680"/>
  <c r="CH681"/>
  <c r="CC681"/>
  <c r="CJ681"/>
  <c r="CF681" s="1"/>
  <c r="CH682"/>
  <c r="CC682"/>
  <c r="CJ682"/>
  <c r="CF682" s="1"/>
  <c r="CH683"/>
  <c r="CC683"/>
  <c r="CJ683"/>
  <c r="CF683" s="1"/>
  <c r="CH684"/>
  <c r="CJ684" s="1"/>
  <c r="CC684"/>
  <c r="CF684"/>
  <c r="CH685"/>
  <c r="CC685"/>
  <c r="CJ685"/>
  <c r="CH686"/>
  <c r="CC686"/>
  <c r="CJ686"/>
  <c r="CF686" s="1"/>
  <c r="CH687"/>
  <c r="CC687"/>
  <c r="CJ687"/>
  <c r="CF687" s="1"/>
  <c r="CH688"/>
  <c r="CJ688" s="1"/>
  <c r="CC688"/>
  <c r="CF688"/>
  <c r="CH689"/>
  <c r="CC689"/>
  <c r="CH690"/>
  <c r="CC690"/>
  <c r="CJ690"/>
  <c r="CF690" s="1"/>
  <c r="CH691"/>
  <c r="CC691"/>
  <c r="CJ691"/>
  <c r="CF691" s="1"/>
  <c r="CH692"/>
  <c r="CJ692" s="1"/>
  <c r="CF692" s="1"/>
  <c r="CC692"/>
  <c r="CH693"/>
  <c r="CC693"/>
  <c r="CH694"/>
  <c r="CC694"/>
  <c r="CJ694"/>
  <c r="CF694" s="1"/>
  <c r="CH695"/>
  <c r="CC695"/>
  <c r="CJ695"/>
  <c r="CF695" s="1"/>
  <c r="CH696"/>
  <c r="CC696"/>
  <c r="CH697"/>
  <c r="CC697"/>
  <c r="CJ697"/>
  <c r="CH698"/>
  <c r="CC698"/>
  <c r="CJ698"/>
  <c r="CF698" s="1"/>
  <c r="CH699"/>
  <c r="CC699"/>
  <c r="CJ699"/>
  <c r="CF699" s="1"/>
  <c r="CH700"/>
  <c r="CJ700" s="1"/>
  <c r="CC700"/>
  <c r="CF700"/>
  <c r="CH701"/>
  <c r="CC701"/>
  <c r="CJ701"/>
  <c r="CF701" s="1"/>
  <c r="CH702"/>
  <c r="CC702"/>
  <c r="CJ702"/>
  <c r="CF702" s="1"/>
  <c r="CH703"/>
  <c r="CC703"/>
  <c r="CJ703"/>
  <c r="CF703" s="1"/>
  <c r="CH704"/>
  <c r="CJ704" s="1"/>
  <c r="CC704"/>
  <c r="CF704"/>
  <c r="CF1"/>
  <c r="CD7"/>
  <c r="CE8"/>
  <c r="P23"/>
  <c r="A3"/>
  <c r="AM115"/>
  <c r="AN115"/>
  <c r="AM116" s="1"/>
  <c r="AN116" s="1"/>
  <c r="AM117"/>
  <c r="BY43"/>
  <c r="BY44" s="1"/>
  <c r="BY45"/>
  <c r="BZ45" s="1"/>
  <c r="BY46"/>
  <c r="BX10"/>
  <c r="BX11" s="1"/>
  <c r="BX12" s="1"/>
  <c r="BX9"/>
  <c r="BX13"/>
  <c r="BU42"/>
  <c r="BU43"/>
  <c r="BU44"/>
  <c r="BU45"/>
  <c r="BU46"/>
  <c r="BU47"/>
  <c r="BU48"/>
  <c r="BU49"/>
  <c r="BU50"/>
  <c r="BU51"/>
  <c r="BU52"/>
  <c r="BU53"/>
  <c r="BU54"/>
  <c r="BU55"/>
  <c r="BU56"/>
  <c r="BU57"/>
  <c r="BU58"/>
  <c r="BU59"/>
  <c r="BU60"/>
  <c r="BU61"/>
  <c r="BU62"/>
  <c r="BU63"/>
  <c r="BU64"/>
  <c r="BU65"/>
  <c r="BU66"/>
  <c r="BU67"/>
  <c r="BU68"/>
  <c r="BU69"/>
  <c r="BU70"/>
  <c r="BU71"/>
  <c r="BU72"/>
  <c r="BU73"/>
  <c r="BU74"/>
  <c r="BU75"/>
  <c r="BU76"/>
  <c r="BU77"/>
  <c r="BU78"/>
  <c r="BU79"/>
  <c r="BU80"/>
  <c r="BU81"/>
  <c r="BU82"/>
  <c r="BU83"/>
  <c r="BU84"/>
  <c r="BU85"/>
  <c r="BU86"/>
  <c r="BU87"/>
  <c r="BU88"/>
  <c r="BU89"/>
  <c r="BU90"/>
  <c r="BU91"/>
  <c r="BU92"/>
  <c r="BU93"/>
  <c r="BU94"/>
  <c r="BU95"/>
  <c r="BU96"/>
  <c r="BU97"/>
  <c r="BU98"/>
  <c r="BU99"/>
  <c r="BU100"/>
  <c r="BU101"/>
  <c r="BU102"/>
  <c r="BU103"/>
  <c r="BU104"/>
  <c r="BU105"/>
  <c r="BU106"/>
  <c r="BU107"/>
  <c r="BU108"/>
  <c r="BU109"/>
  <c r="BU110"/>
  <c r="BU111"/>
  <c r="BU112"/>
  <c r="BU113"/>
  <c r="BU114"/>
  <c r="BU115"/>
  <c r="BU116"/>
  <c r="BU117"/>
  <c r="BU118"/>
  <c r="BU119"/>
  <c r="BU120"/>
  <c r="BU121"/>
  <c r="BU122"/>
  <c r="BU123"/>
  <c r="BU124"/>
  <c r="BU125"/>
  <c r="BU126"/>
  <c r="BU127"/>
  <c r="BU128"/>
  <c r="BU129"/>
  <c r="BU130"/>
  <c r="BU131"/>
  <c r="BU132"/>
  <c r="BU133"/>
  <c r="BU134"/>
  <c r="BU135"/>
  <c r="BU136"/>
  <c r="BU137"/>
  <c r="BU138"/>
  <c r="BU139"/>
  <c r="BU140"/>
  <c r="BU141"/>
  <c r="BU142"/>
  <c r="BU143"/>
  <c r="BU144"/>
  <c r="BU145"/>
  <c r="BU146"/>
  <c r="BU147"/>
  <c r="BU148"/>
  <c r="BU149"/>
  <c r="BU150"/>
  <c r="BU151"/>
  <c r="BU152"/>
  <c r="BU153"/>
  <c r="BU154"/>
  <c r="BU155"/>
  <c r="BU156"/>
  <c r="BU157"/>
  <c r="BU158"/>
  <c r="BU159"/>
  <c r="BU160"/>
  <c r="BU161"/>
  <c r="BU162"/>
  <c r="BU163"/>
  <c r="BU164"/>
  <c r="BU165"/>
  <c r="BU166"/>
  <c r="BU167"/>
  <c r="BU168"/>
  <c r="BU169"/>
  <c r="BU170"/>
  <c r="BU171"/>
  <c r="BU172"/>
  <c r="BU173"/>
  <c r="BU174"/>
  <c r="BU175"/>
  <c r="BU176"/>
  <c r="BU177"/>
  <c r="BU178"/>
  <c r="BU179"/>
  <c r="BU180"/>
  <c r="BU181"/>
  <c r="BU182"/>
  <c r="BU183"/>
  <c r="BU184"/>
  <c r="BU185"/>
  <c r="BU186"/>
  <c r="BU187"/>
  <c r="BU188"/>
  <c r="BU189"/>
  <c r="BU190"/>
  <c r="BU191"/>
  <c r="BU192"/>
  <c r="BU193"/>
  <c r="BU194"/>
  <c r="BU195"/>
  <c r="BU196"/>
  <c r="BU197"/>
  <c r="BU198"/>
  <c r="BU199"/>
  <c r="BU200"/>
  <c r="BU201"/>
  <c r="BU202"/>
  <c r="BU203"/>
  <c r="BU204"/>
  <c r="BU205"/>
  <c r="BU206"/>
  <c r="BU207"/>
  <c r="BU208"/>
  <c r="BU209"/>
  <c r="BU210"/>
  <c r="BU211"/>
  <c r="BU212"/>
  <c r="BU213"/>
  <c r="BU214"/>
  <c r="BU215"/>
  <c r="BU216"/>
  <c r="BU217"/>
  <c r="BU218"/>
  <c r="BU219"/>
  <c r="BU220"/>
  <c r="BU221"/>
  <c r="BU222"/>
  <c r="BU223"/>
  <c r="BU224"/>
  <c r="BU225"/>
  <c r="BU226"/>
  <c r="BU227"/>
  <c r="BU228"/>
  <c r="BU229"/>
  <c r="BU230"/>
  <c r="BU231"/>
  <c r="BU232"/>
  <c r="BU233"/>
  <c r="BU234"/>
  <c r="BU235"/>
  <c r="BU236"/>
  <c r="BU237"/>
  <c r="BU238"/>
  <c r="BU239"/>
  <c r="BU240"/>
  <c r="BU241"/>
  <c r="BU242"/>
  <c r="BU243"/>
  <c r="BU244"/>
  <c r="BU245"/>
  <c r="BU246"/>
  <c r="BU247"/>
  <c r="BU248"/>
  <c r="BU249"/>
  <c r="BU250"/>
  <c r="BU251"/>
  <c r="BU252"/>
  <c r="BU253"/>
  <c r="BU254"/>
  <c r="BU255"/>
  <c r="BU256"/>
  <c r="BU257"/>
  <c r="BU258"/>
  <c r="BU259"/>
  <c r="BU260"/>
  <c r="BU261"/>
  <c r="BU262"/>
  <c r="BU263"/>
  <c r="BU264"/>
  <c r="BU265"/>
  <c r="BU266"/>
  <c r="BU267"/>
  <c r="BU268"/>
  <c r="BU269"/>
  <c r="BU270"/>
  <c r="BU271"/>
  <c r="BU272"/>
  <c r="BU273"/>
  <c r="BU274"/>
  <c r="BU275"/>
  <c r="BU276"/>
  <c r="BU277"/>
  <c r="BU278"/>
  <c r="BU279"/>
  <c r="BU280"/>
  <c r="BU281"/>
  <c r="BU282"/>
  <c r="BU283"/>
  <c r="BU284"/>
  <c r="BU285"/>
  <c r="BU286"/>
  <c r="BU287"/>
  <c r="BU288"/>
  <c r="BU289"/>
  <c r="BU290"/>
  <c r="BU291"/>
  <c r="BU292"/>
  <c r="BU293"/>
  <c r="BU294"/>
  <c r="BU295"/>
  <c r="BU296"/>
  <c r="BU297"/>
  <c r="BU298"/>
  <c r="BU299"/>
  <c r="BU300"/>
  <c r="BU301"/>
  <c r="BU302"/>
  <c r="BU303"/>
  <c r="BU304"/>
  <c r="BU305"/>
  <c r="BU306"/>
  <c r="BU307"/>
  <c r="BU308"/>
  <c r="BU309"/>
  <c r="BU310"/>
  <c r="BU311"/>
  <c r="BU312"/>
  <c r="BU313"/>
  <c r="BU314"/>
  <c r="BU315"/>
  <c r="BU316"/>
  <c r="BU317"/>
  <c r="BU318"/>
  <c r="BU319"/>
  <c r="BU320"/>
  <c r="BU321"/>
  <c r="BU322"/>
  <c r="BU323"/>
  <c r="BU324"/>
  <c r="BU325"/>
  <c r="BU326"/>
  <c r="BU327"/>
  <c r="BU328"/>
  <c r="BU329"/>
  <c r="BU330"/>
  <c r="BU331"/>
  <c r="BU332"/>
  <c r="BU333"/>
  <c r="BU334"/>
  <c r="BU335"/>
  <c r="BU336"/>
  <c r="BU337"/>
  <c r="BU338"/>
  <c r="BU339"/>
  <c r="BU340"/>
  <c r="BU341"/>
  <c r="BU342"/>
  <c r="BU343"/>
  <c r="BU344"/>
  <c r="BU345"/>
  <c r="BU346"/>
  <c r="BU347"/>
  <c r="BU348"/>
  <c r="BU349"/>
  <c r="BU350"/>
  <c r="BU351"/>
  <c r="BU352"/>
  <c r="BU353"/>
  <c r="BU354"/>
  <c r="BU355"/>
  <c r="BU356"/>
  <c r="BU357"/>
  <c r="BU358"/>
  <c r="BU359"/>
  <c r="BU360"/>
  <c r="BU361"/>
  <c r="BU362"/>
  <c r="BU363"/>
  <c r="BU364"/>
  <c r="BU365"/>
  <c r="BU366"/>
  <c r="BU367"/>
  <c r="BU368"/>
  <c r="BU369"/>
  <c r="BU370"/>
  <c r="BU371"/>
  <c r="BU372"/>
  <c r="BU373"/>
  <c r="BU374"/>
  <c r="BU375"/>
  <c r="BU376"/>
  <c r="BU377"/>
  <c r="BU378"/>
  <c r="BU379"/>
  <c r="BU380"/>
  <c r="BU381"/>
  <c r="BU382"/>
  <c r="BU383"/>
  <c r="BU384"/>
  <c r="BU385"/>
  <c r="BU386"/>
  <c r="BU387"/>
  <c r="BU388"/>
  <c r="BU389"/>
  <c r="BU390"/>
  <c r="BU391"/>
  <c r="BU392"/>
  <c r="BU393"/>
  <c r="BU394"/>
  <c r="BU395"/>
  <c r="BU396"/>
  <c r="BU397"/>
  <c r="BU398"/>
  <c r="BU399"/>
  <c r="BU400"/>
  <c r="BU401"/>
  <c r="BU402"/>
  <c r="BU403"/>
  <c r="BU404"/>
  <c r="BU405"/>
  <c r="BU406"/>
  <c r="BU407"/>
  <c r="BU408"/>
  <c r="BU409"/>
  <c r="BU410"/>
  <c r="BU411"/>
  <c r="BU412"/>
  <c r="BU413"/>
  <c r="BU414"/>
  <c r="BU415"/>
  <c r="BU416"/>
  <c r="BU417"/>
  <c r="BU418"/>
  <c r="BU419"/>
  <c r="BU420"/>
  <c r="BU421"/>
  <c r="BU422"/>
  <c r="BU423"/>
  <c r="BU424"/>
  <c r="BU425"/>
  <c r="BU426"/>
  <c r="BU427"/>
  <c r="BU428"/>
  <c r="BU429"/>
  <c r="BU430"/>
  <c r="BU431"/>
  <c r="BU432"/>
  <c r="BU433"/>
  <c r="BU434"/>
  <c r="BU435"/>
  <c r="BU436"/>
  <c r="BU437"/>
  <c r="BU438"/>
  <c r="BU439"/>
  <c r="BU440"/>
  <c r="BU441"/>
  <c r="BU442"/>
  <c r="BU443"/>
  <c r="BU444"/>
  <c r="BU445"/>
  <c r="BU446"/>
  <c r="BU447"/>
  <c r="BU448"/>
  <c r="BU449"/>
  <c r="BU450"/>
  <c r="BU451"/>
  <c r="BU452"/>
  <c r="BU453"/>
  <c r="BU454"/>
  <c r="BU455"/>
  <c r="BU456"/>
  <c r="BU457"/>
  <c r="BU458"/>
  <c r="BU459"/>
  <c r="BU460"/>
  <c r="BU461"/>
  <c r="BU462"/>
  <c r="BU463"/>
  <c r="BU464"/>
  <c r="BU465"/>
  <c r="BU466"/>
  <c r="BU467"/>
  <c r="BU468"/>
  <c r="BU469"/>
  <c r="BU470"/>
  <c r="BU471"/>
  <c r="BU472"/>
  <c r="BU473"/>
  <c r="BU474"/>
  <c r="BU475"/>
  <c r="BU476"/>
  <c r="BU477"/>
  <c r="BU478"/>
  <c r="BU479"/>
  <c r="BU480"/>
  <c r="BU481"/>
  <c r="BU482"/>
  <c r="BU483"/>
  <c r="BU484"/>
  <c r="BU485"/>
  <c r="BU486"/>
  <c r="BU487"/>
  <c r="BU488"/>
  <c r="BU489"/>
  <c r="BU490"/>
  <c r="BU491"/>
  <c r="BU492"/>
  <c r="BU493"/>
  <c r="BU494"/>
  <c r="BU495"/>
  <c r="BU496"/>
  <c r="BU497"/>
  <c r="BU498"/>
  <c r="BU499"/>
  <c r="BU500"/>
  <c r="BU501"/>
  <c r="BU502"/>
  <c r="BU503"/>
  <c r="BU504"/>
  <c r="BU505"/>
  <c r="BU506"/>
  <c r="BU507"/>
  <c r="BU508"/>
  <c r="BU509"/>
  <c r="BU510"/>
  <c r="BU511"/>
  <c r="BU512"/>
  <c r="BU513"/>
  <c r="BU514"/>
  <c r="BU515"/>
  <c r="BU516"/>
  <c r="BU517"/>
  <c r="BU518"/>
  <c r="BU519"/>
  <c r="BU520"/>
  <c r="BU521"/>
  <c r="BU522"/>
  <c r="BU523"/>
  <c r="BU524"/>
  <c r="BU525"/>
  <c r="BU526"/>
  <c r="BU527"/>
  <c r="BU528"/>
  <c r="BU529"/>
  <c r="BU530"/>
  <c r="BU531"/>
  <c r="BU532"/>
  <c r="BU533"/>
  <c r="BU534"/>
  <c r="BU535"/>
  <c r="BU536"/>
  <c r="BU537"/>
  <c r="BU538"/>
  <c r="BU539"/>
  <c r="BU540"/>
  <c r="BU541"/>
  <c r="BU542"/>
  <c r="BU543"/>
  <c r="BU544"/>
  <c r="BU545"/>
  <c r="BU546"/>
  <c r="BU547"/>
  <c r="BU548"/>
  <c r="BU549"/>
  <c r="BU550"/>
  <c r="BU551"/>
  <c r="BU552"/>
  <c r="BU553"/>
  <c r="BU554"/>
  <c r="BU555"/>
  <c r="BU556"/>
  <c r="BU557"/>
  <c r="BU558"/>
  <c r="BU559"/>
  <c r="BU560"/>
  <c r="BU561"/>
  <c r="BU562"/>
  <c r="BU563"/>
  <c r="BU564"/>
  <c r="BU565"/>
  <c r="BU566"/>
  <c r="BU567"/>
  <c r="BU568"/>
  <c r="BU569"/>
  <c r="BU570"/>
  <c r="BU571"/>
  <c r="BU572"/>
  <c r="BU573"/>
  <c r="BU574"/>
  <c r="BU575"/>
  <c r="BU576"/>
  <c r="BU577"/>
  <c r="BU578"/>
  <c r="BU579"/>
  <c r="BU580"/>
  <c r="BU581"/>
  <c r="BU582"/>
  <c r="BU583"/>
  <c r="BU584"/>
  <c r="BU585"/>
  <c r="BU586"/>
  <c r="BU587"/>
  <c r="BU588"/>
  <c r="BU589"/>
  <c r="BU590"/>
  <c r="BU591"/>
  <c r="BU592"/>
  <c r="BU593"/>
  <c r="BU594"/>
  <c r="BU595"/>
  <c r="BU596"/>
  <c r="BU597"/>
  <c r="BU598"/>
  <c r="BU599"/>
  <c r="BU600"/>
  <c r="BU601"/>
  <c r="BU602"/>
  <c r="BU603"/>
  <c r="BU604"/>
  <c r="BU605"/>
  <c r="BU606"/>
  <c r="BU607"/>
  <c r="BU608"/>
  <c r="BU609"/>
  <c r="BU610"/>
  <c r="BU611"/>
  <c r="BU612"/>
  <c r="BU613"/>
  <c r="BU614"/>
  <c r="BU615"/>
  <c r="BU616"/>
  <c r="BU617"/>
  <c r="BU618"/>
  <c r="BU619"/>
  <c r="BU620"/>
  <c r="BU621"/>
  <c r="BU622"/>
  <c r="BU623"/>
  <c r="BU624"/>
  <c r="BU625"/>
  <c r="BU626"/>
  <c r="BU627"/>
  <c r="BU628"/>
  <c r="BU629"/>
  <c r="BU630"/>
  <c r="BU631"/>
  <c r="BU632"/>
  <c r="BU633"/>
  <c r="BU634"/>
  <c r="BU635"/>
  <c r="BU636"/>
  <c r="BU637"/>
  <c r="BU638"/>
  <c r="BU639"/>
  <c r="BU640"/>
  <c r="BU641"/>
  <c r="BU642"/>
  <c r="BU643"/>
  <c r="BU644"/>
  <c r="BU645"/>
  <c r="BU646"/>
  <c r="BU647"/>
  <c r="BU648"/>
  <c r="BU649"/>
  <c r="BU650"/>
  <c r="BU651"/>
  <c r="BU652"/>
  <c r="BU653"/>
  <c r="BU654"/>
  <c r="BU655"/>
  <c r="BU656"/>
  <c r="BU657"/>
  <c r="BU658"/>
  <c r="BU659"/>
  <c r="BU660"/>
  <c r="BU661"/>
  <c r="BU662"/>
  <c r="BU663"/>
  <c r="BU664"/>
  <c r="BU665"/>
  <c r="BU666"/>
  <c r="BU667"/>
  <c r="BU668"/>
  <c r="BU669"/>
  <c r="BU670"/>
  <c r="BU671"/>
  <c r="BU672"/>
  <c r="BU673"/>
  <c r="BU674"/>
  <c r="BU675"/>
  <c r="BU676"/>
  <c r="BU677"/>
  <c r="BU678"/>
  <c r="BU679"/>
  <c r="BU680"/>
  <c r="BU681"/>
  <c r="BU682"/>
  <c r="BU683"/>
  <c r="BU684"/>
  <c r="BU685"/>
  <c r="BU686"/>
  <c r="BU687"/>
  <c r="BU688"/>
  <c r="BU689"/>
  <c r="BU690"/>
  <c r="BU691"/>
  <c r="BU692"/>
  <c r="BU693"/>
  <c r="BU694"/>
  <c r="BU695"/>
  <c r="BU696"/>
  <c r="BU697"/>
  <c r="BU698"/>
  <c r="BU699"/>
  <c r="BU700"/>
  <c r="BU701"/>
  <c r="BU702"/>
  <c r="BU703"/>
  <c r="BU704"/>
  <c r="BU705"/>
  <c r="BU706"/>
  <c r="BU707"/>
  <c r="BU708"/>
  <c r="BU709"/>
  <c r="BU710"/>
  <c r="BU711"/>
  <c r="BU712"/>
  <c r="BU713"/>
  <c r="BU714"/>
  <c r="BU715"/>
  <c r="BU716"/>
  <c r="BU717"/>
  <c r="BU718"/>
  <c r="BU719"/>
  <c r="BU720"/>
  <c r="BU721"/>
  <c r="BU722"/>
  <c r="BU723"/>
  <c r="BU724"/>
  <c r="BU725"/>
  <c r="BU726"/>
  <c r="BU727"/>
  <c r="BU728"/>
  <c r="BU729"/>
  <c r="BU730"/>
  <c r="BU731"/>
  <c r="BU732"/>
  <c r="BU733"/>
  <c r="BU734"/>
  <c r="BU735"/>
  <c r="BU736"/>
  <c r="BU737"/>
  <c r="BU738"/>
  <c r="BU739"/>
  <c r="BU740"/>
  <c r="BU741"/>
  <c r="BU742"/>
  <c r="BU743"/>
  <c r="BU744"/>
  <c r="BU745"/>
  <c r="BU746"/>
  <c r="BU747"/>
  <c r="BU748"/>
  <c r="BU749"/>
  <c r="BU750"/>
  <c r="BU751"/>
  <c r="BU752"/>
  <c r="BU753"/>
  <c r="BU754"/>
  <c r="BU755"/>
  <c r="BU756"/>
  <c r="BU757"/>
  <c r="BU758"/>
  <c r="BU759"/>
  <c r="BU760"/>
  <c r="BU761"/>
  <c r="BU762"/>
  <c r="BU763"/>
  <c r="BU764"/>
  <c r="BU765"/>
  <c r="BU766"/>
  <c r="BU767"/>
  <c r="BU768"/>
  <c r="BU769"/>
  <c r="BU770"/>
  <c r="BU771"/>
  <c r="BU772"/>
  <c r="BU773"/>
  <c r="BU774"/>
  <c r="BU775"/>
  <c r="BU776"/>
  <c r="BU777"/>
  <c r="BU778"/>
  <c r="BU779"/>
  <c r="BU780"/>
  <c r="BU781"/>
  <c r="BU782"/>
  <c r="BU783"/>
  <c r="BU784"/>
  <c r="BU785"/>
  <c r="BU786"/>
  <c r="BU787"/>
  <c r="BU788"/>
  <c r="BU789"/>
  <c r="BU790"/>
  <c r="BU791"/>
  <c r="BU792"/>
  <c r="BU793"/>
  <c r="BU794"/>
  <c r="BU795"/>
  <c r="BU796"/>
  <c r="BU797"/>
  <c r="BU798"/>
  <c r="BU799"/>
  <c r="BU800"/>
  <c r="BU801"/>
  <c r="BU802"/>
  <c r="BU803"/>
  <c r="BU804"/>
  <c r="BU805"/>
  <c r="BU806"/>
  <c r="BU807"/>
  <c r="BU808"/>
  <c r="BU809"/>
  <c r="BU810"/>
  <c r="BU811"/>
  <c r="BU812"/>
  <c r="BU813"/>
  <c r="BU814"/>
  <c r="BU815"/>
  <c r="BU816"/>
  <c r="BU817"/>
  <c r="BU818"/>
  <c r="BU819"/>
  <c r="BU820"/>
  <c r="BU821"/>
  <c r="BU822"/>
  <c r="BU823"/>
  <c r="BU824"/>
  <c r="BU825"/>
  <c r="BU826"/>
  <c r="BU827"/>
  <c r="BU828"/>
  <c r="BU829"/>
  <c r="BU830"/>
  <c r="BU831"/>
  <c r="BU832"/>
  <c r="BU833"/>
  <c r="BU834"/>
  <c r="BU835"/>
  <c r="BU836"/>
  <c r="BU837"/>
  <c r="BU838"/>
  <c r="BU839"/>
  <c r="BU840"/>
  <c r="BU841"/>
  <c r="BU842"/>
  <c r="BU843"/>
  <c r="BU844"/>
  <c r="BU845"/>
  <c r="BU846"/>
  <c r="BU847"/>
  <c r="BU848"/>
  <c r="BU849"/>
  <c r="BU850"/>
  <c r="BU851"/>
  <c r="BU852"/>
  <c r="BU853"/>
  <c r="BU854"/>
  <c r="BU855"/>
  <c r="BU856"/>
  <c r="BU857"/>
  <c r="BU858"/>
  <c r="BU859"/>
  <c r="BU860"/>
  <c r="BU861"/>
  <c r="BU862"/>
  <c r="BU863"/>
  <c r="BU864"/>
  <c r="BU865"/>
  <c r="BU866"/>
  <c r="BU867"/>
  <c r="BU868"/>
  <c r="BU869"/>
  <c r="BU870"/>
  <c r="BU871"/>
  <c r="BU872"/>
  <c r="BU873"/>
  <c r="BU874"/>
  <c r="BU875"/>
  <c r="BU876"/>
  <c r="BU877"/>
  <c r="BU878"/>
  <c r="BU879"/>
  <c r="BU880"/>
  <c r="BU881"/>
  <c r="BU882"/>
  <c r="BU883"/>
  <c r="BU884"/>
  <c r="BU885"/>
  <c r="BU886"/>
  <c r="BU887"/>
  <c r="BU888"/>
  <c r="BU889"/>
  <c r="BU890"/>
  <c r="BU891"/>
  <c r="BU892"/>
  <c r="BU893"/>
  <c r="BU894"/>
  <c r="BU895"/>
  <c r="BU896"/>
  <c r="BU897"/>
  <c r="BU898"/>
  <c r="BU899"/>
  <c r="BU900"/>
  <c r="BU901"/>
  <c r="BU902"/>
  <c r="BU903"/>
  <c r="BU904"/>
  <c r="BU905"/>
  <c r="BU906"/>
  <c r="BU907"/>
  <c r="BU908"/>
  <c r="BU909"/>
  <c r="BU910"/>
  <c r="BU911"/>
  <c r="BU912"/>
  <c r="BU913"/>
  <c r="BU914"/>
  <c r="BU915"/>
  <c r="BU916"/>
  <c r="BU917"/>
  <c r="BU918"/>
  <c r="BU919"/>
  <c r="BU920"/>
  <c r="BU921"/>
  <c r="BU922"/>
  <c r="BU923"/>
  <c r="BU924"/>
  <c r="BU925"/>
  <c r="BU926"/>
  <c r="BU927"/>
  <c r="BU928"/>
  <c r="BU929"/>
  <c r="BU930"/>
  <c r="BU931"/>
  <c r="BU932"/>
  <c r="BU933"/>
  <c r="BU934"/>
  <c r="BU935"/>
  <c r="BU936"/>
  <c r="BU937"/>
  <c r="BU938"/>
  <c r="BU939"/>
  <c r="BU940"/>
  <c r="BU941"/>
  <c r="BU942"/>
  <c r="BU943"/>
  <c r="BU944"/>
  <c r="BU945"/>
  <c r="BU946"/>
  <c r="BU947"/>
  <c r="BU948"/>
  <c r="BU949"/>
  <c r="BU950"/>
  <c r="BU951"/>
  <c r="BU952"/>
  <c r="BU953"/>
  <c r="BU954"/>
  <c r="BU955"/>
  <c r="BU956"/>
  <c r="BU957"/>
  <c r="BU958"/>
  <c r="BU959"/>
  <c r="BU960"/>
  <c r="BU961"/>
  <c r="BU962"/>
  <c r="BU963"/>
  <c r="BU964"/>
  <c r="BU965"/>
  <c r="BU966"/>
  <c r="BU967"/>
  <c r="BU968"/>
  <c r="BU969"/>
  <c r="BU970"/>
  <c r="BU971"/>
  <c r="BU972"/>
  <c r="BU973"/>
  <c r="BU974"/>
  <c r="BU975"/>
  <c r="BU976"/>
  <c r="BU977"/>
  <c r="BU978"/>
  <c r="BU979"/>
  <c r="BU980"/>
  <c r="BU981"/>
  <c r="BU982"/>
  <c r="BU983"/>
  <c r="BU984"/>
  <c r="BU985"/>
  <c r="BU986"/>
  <c r="BU987"/>
  <c r="BU988"/>
  <c r="BU989"/>
  <c r="BU990"/>
  <c r="BU991"/>
  <c r="BU992"/>
  <c r="BU993"/>
  <c r="BU994"/>
  <c r="BU995"/>
  <c r="BU996"/>
  <c r="BU997"/>
  <c r="BU998"/>
  <c r="BU999"/>
  <c r="BU1000"/>
  <c r="BU1001"/>
  <c r="BU1002"/>
  <c r="BU1003"/>
  <c r="BU1004"/>
  <c r="BU1005"/>
  <c r="BU1006"/>
  <c r="BU1007"/>
  <c r="BU1008"/>
  <c r="BU1009"/>
  <c r="BU1010"/>
  <c r="BU1011"/>
  <c r="BU1012"/>
  <c r="BU1013"/>
  <c r="BU1014"/>
  <c r="BU1015"/>
  <c r="BU1016"/>
  <c r="BU1017"/>
  <c r="BU1018"/>
  <c r="BU1019"/>
  <c r="BU1020"/>
  <c r="BU1021"/>
  <c r="BU1022"/>
  <c r="BU1023"/>
  <c r="BU1024"/>
  <c r="BU1025"/>
  <c r="BU1026"/>
  <c r="BU1027"/>
  <c r="BU1028"/>
  <c r="BU1029"/>
  <c r="BU1030"/>
  <c r="BU1031"/>
  <c r="BU1032"/>
  <c r="BU1033"/>
  <c r="BU1034"/>
  <c r="BU1035"/>
  <c r="BU1036"/>
  <c r="BU1037"/>
  <c r="BU1038"/>
  <c r="BU1039"/>
  <c r="BU1040"/>
  <c r="BU1041"/>
  <c r="BU1042"/>
  <c r="BU1043"/>
  <c r="BU1044"/>
  <c r="BU1045"/>
  <c r="BU1046"/>
  <c r="BU1047"/>
  <c r="BU1048"/>
  <c r="BU1049"/>
  <c r="BU1050"/>
  <c r="BU1051"/>
  <c r="BU1052"/>
  <c r="BU1053"/>
  <c r="BU1054"/>
  <c r="BU1055"/>
  <c r="BU1056"/>
  <c r="BU1057"/>
  <c r="BU1058"/>
  <c r="BU1059"/>
  <c r="BU1060"/>
  <c r="BU1061"/>
  <c r="BU1062"/>
  <c r="BU1063"/>
  <c r="BU1064"/>
  <c r="BU1065"/>
  <c r="BU1066"/>
  <c r="BU1067"/>
  <c r="BU1068"/>
  <c r="BU1069"/>
  <c r="BU1070"/>
  <c r="BU1071"/>
  <c r="BU1072"/>
  <c r="BU1073"/>
  <c r="BU1074"/>
  <c r="BU1075"/>
  <c r="BU1076"/>
  <c r="BU1077"/>
  <c r="BU1078"/>
  <c r="BU1079"/>
  <c r="BU1080"/>
  <c r="BU1081"/>
  <c r="BU1082"/>
  <c r="BU1083"/>
  <c r="BU1084"/>
  <c r="BU1085"/>
  <c r="BU1086"/>
  <c r="BU1087"/>
  <c r="BU1088"/>
  <c r="BU1089"/>
  <c r="BU1090"/>
  <c r="BU1091"/>
  <c r="BU1092"/>
  <c r="BU1093"/>
  <c r="BU1094"/>
  <c r="BU1095"/>
  <c r="BU1096"/>
  <c r="BU1097"/>
  <c r="BU1098"/>
  <c r="BU1099"/>
  <c r="BU1100"/>
  <c r="BU1101"/>
  <c r="BU1102"/>
  <c r="BU1103"/>
  <c r="BU1104"/>
  <c r="BU1105"/>
  <c r="BU1106"/>
  <c r="BU1107"/>
  <c r="BU1108"/>
  <c r="BU1109"/>
  <c r="BU1110"/>
  <c r="BU1111"/>
  <c r="BU1112"/>
  <c r="BU1113"/>
  <c r="BU1114"/>
  <c r="BU1115"/>
  <c r="BU1116"/>
  <c r="BU1117"/>
  <c r="BU1118"/>
  <c r="BU1119"/>
  <c r="BU1120"/>
  <c r="BU1121"/>
  <c r="BU1122"/>
  <c r="BU1123"/>
  <c r="BU1124"/>
  <c r="BU1125"/>
  <c r="BU1126"/>
  <c r="BU1127"/>
  <c r="BU1128"/>
  <c r="BU1129"/>
  <c r="BU1130"/>
  <c r="BU1131"/>
  <c r="BU1132"/>
  <c r="BU1133"/>
  <c r="BU1134"/>
  <c r="BU1135"/>
  <c r="BU1136"/>
  <c r="BU1137"/>
  <c r="BU1138"/>
  <c r="BU1139"/>
  <c r="BU1140"/>
  <c r="BU1141"/>
  <c r="BU1142"/>
  <c r="BU1143"/>
  <c r="BU1144"/>
  <c r="BU1145"/>
  <c r="BU1146"/>
  <c r="BU1147"/>
  <c r="BU1148"/>
  <c r="BU1149"/>
  <c r="BU1150"/>
  <c r="BU1151"/>
  <c r="BU1152"/>
  <c r="BU1153"/>
  <c r="BU1154"/>
  <c r="BU1155"/>
  <c r="BU1156"/>
  <c r="BU1157"/>
  <c r="BU1158"/>
  <c r="BU1159"/>
  <c r="BU1160"/>
  <c r="BU1161"/>
  <c r="BU1162"/>
  <c r="BU1163"/>
  <c r="BU1164"/>
  <c r="BU1165"/>
  <c r="BU1166"/>
  <c r="BU1167"/>
  <c r="BU1168"/>
  <c r="BU1169"/>
  <c r="BU1170"/>
  <c r="BU1171"/>
  <c r="BU1172"/>
  <c r="BU1173"/>
  <c r="BU1174"/>
  <c r="BU1175"/>
  <c r="BU1176"/>
  <c r="BU1177"/>
  <c r="BU1178"/>
  <c r="BU1179"/>
  <c r="BU1180"/>
  <c r="BU1181"/>
  <c r="BU1182"/>
  <c r="BU1183"/>
  <c r="BU1184"/>
  <c r="BU1185"/>
  <c r="BU1186"/>
  <c r="BU1187"/>
  <c r="BU1188"/>
  <c r="BU1189"/>
  <c r="BU1190"/>
  <c r="BU1191"/>
  <c r="BU1192"/>
  <c r="BU1193"/>
  <c r="BU1194"/>
  <c r="BU1195"/>
  <c r="BU1196"/>
  <c r="BU1197"/>
  <c r="BU1198"/>
  <c r="BU1199"/>
  <c r="BU1200"/>
  <c r="BU1201"/>
  <c r="BU1202"/>
  <c r="BU1203"/>
  <c r="BU1204"/>
  <c r="BU1205"/>
  <c r="BU1206"/>
  <c r="BU1207"/>
  <c r="BU1208"/>
  <c r="BU1209"/>
  <c r="BU1210"/>
  <c r="BU1211"/>
  <c r="BU1212"/>
  <c r="BU1213"/>
  <c r="BU1214"/>
  <c r="BU1215"/>
  <c r="BU1216"/>
  <c r="BU1217"/>
  <c r="BU1218"/>
  <c r="BU1219"/>
  <c r="BU1220"/>
  <c r="BU1221"/>
  <c r="BU1222"/>
  <c r="BU1223"/>
  <c r="BU1224"/>
  <c r="BU1225"/>
  <c r="BU1226"/>
  <c r="BU1227"/>
  <c r="BU1228"/>
  <c r="BU1229"/>
  <c r="BU1230"/>
  <c r="BU1231"/>
  <c r="BU1232"/>
  <c r="BU1233"/>
  <c r="BU1234"/>
  <c r="BU1235"/>
  <c r="BU1236"/>
  <c r="BU1237"/>
  <c r="BU1238"/>
  <c r="BU1239"/>
  <c r="BU1240"/>
  <c r="BU1241"/>
  <c r="BU1242"/>
  <c r="BU1243"/>
  <c r="BU1244"/>
  <c r="BU1245"/>
  <c r="BU1246"/>
  <c r="BU1247"/>
  <c r="BU1248"/>
  <c r="BU1249"/>
  <c r="BU1250"/>
  <c r="BU1251"/>
  <c r="BU1252"/>
  <c r="BU1253"/>
  <c r="BU1254"/>
  <c r="BU1255"/>
  <c r="BU1256"/>
  <c r="BU1257"/>
  <c r="BU1258"/>
  <c r="BU1259"/>
  <c r="BU1260"/>
  <c r="BU1261"/>
  <c r="BU1262"/>
  <c r="BU1263"/>
  <c r="BU1264"/>
  <c r="BU1265"/>
  <c r="BU1266"/>
  <c r="BU1267"/>
  <c r="BU1268"/>
  <c r="BU1269"/>
  <c r="BU1270"/>
  <c r="BU1271"/>
  <c r="BU1272"/>
  <c r="BU1273"/>
  <c r="BU1274"/>
  <c r="BU1275"/>
  <c r="BU1276"/>
  <c r="BU1277"/>
  <c r="BU1278"/>
  <c r="BU1279"/>
  <c r="BU1280"/>
  <c r="BU1281"/>
  <c r="BU1282"/>
  <c r="BU1283"/>
  <c r="BU1284"/>
  <c r="BU1285"/>
  <c r="BU1286"/>
  <c r="BU1287"/>
  <c r="BU1288"/>
  <c r="BU1289"/>
  <c r="BU1290"/>
  <c r="BU1291"/>
  <c r="BU1292"/>
  <c r="BU1293"/>
  <c r="BU1294"/>
  <c r="BU1295"/>
  <c r="BU1296"/>
  <c r="BU1297"/>
  <c r="BU1298"/>
  <c r="BU1299"/>
  <c r="BU1300"/>
  <c r="BU1301"/>
  <c r="BU1302"/>
  <c r="BU1303"/>
  <c r="BU1304"/>
  <c r="BU1305"/>
  <c r="BU1306"/>
  <c r="BU1307"/>
  <c r="BU1308"/>
  <c r="BU1309"/>
  <c r="BU1310"/>
  <c r="BU1311"/>
  <c r="BU1312"/>
  <c r="BU1313"/>
  <c r="BU1314"/>
  <c r="BU1315"/>
  <c r="BU1316"/>
  <c r="BU1317"/>
  <c r="BU1318"/>
  <c r="BU1319"/>
  <c r="BU1320"/>
  <c r="BU1321"/>
  <c r="BU1322"/>
  <c r="BU1323"/>
  <c r="BU1324"/>
  <c r="BU1325"/>
  <c r="BU1326"/>
  <c r="BU1327"/>
  <c r="BU1328"/>
  <c r="BU1329"/>
  <c r="BU1330"/>
  <c r="BU1331"/>
  <c r="BU1332"/>
  <c r="BU1333"/>
  <c r="BU1334"/>
  <c r="BU1335"/>
  <c r="BU1336"/>
  <c r="BU1337"/>
  <c r="BU1338"/>
  <c r="BU1339"/>
  <c r="BU1340"/>
  <c r="BU1341"/>
  <c r="BU1342"/>
  <c r="BU1343"/>
  <c r="BU1344"/>
  <c r="BU1345"/>
  <c r="BU1346"/>
  <c r="BU1347"/>
  <c r="BU1348"/>
  <c r="BU1349"/>
  <c r="BU1350"/>
  <c r="BU1351"/>
  <c r="BU1352"/>
  <c r="BU1353"/>
  <c r="BU1354"/>
  <c r="BU1355"/>
  <c r="BU1356"/>
  <c r="BU1357"/>
  <c r="BU1358"/>
  <c r="BU1359"/>
  <c r="BU1360"/>
  <c r="BU1361"/>
  <c r="BU1362"/>
  <c r="BU1363"/>
  <c r="BU1364"/>
  <c r="BU1365"/>
  <c r="BU1366"/>
  <c r="BU1367"/>
  <c r="BU1368"/>
  <c r="BU1369"/>
  <c r="BU1370"/>
  <c r="BU1371"/>
  <c r="BU1372"/>
  <c r="BU1373"/>
  <c r="BU1374"/>
  <c r="BU1375"/>
  <c r="BU1376"/>
  <c r="BU1377"/>
  <c r="BU1378"/>
  <c r="BU1379"/>
  <c r="BU1380"/>
  <c r="BU1381"/>
  <c r="BU1382"/>
  <c r="BU1383"/>
  <c r="BU1384"/>
  <c r="BU1385"/>
  <c r="BU1386"/>
  <c r="BU1387"/>
  <c r="BU1388"/>
  <c r="BU1389"/>
  <c r="BU1390"/>
  <c r="BU1391"/>
  <c r="BU1392"/>
  <c r="BU1393"/>
  <c r="BU1394"/>
  <c r="BU1395"/>
  <c r="BU1396"/>
  <c r="BU1397"/>
  <c r="BU1398"/>
  <c r="BU1399"/>
  <c r="BU1400"/>
  <c r="BU1401"/>
  <c r="BU1402"/>
  <c r="BU1403"/>
  <c r="BU1404"/>
  <c r="BU1405"/>
  <c r="BU1406"/>
  <c r="BU1407"/>
  <c r="BU1408"/>
  <c r="BU1409"/>
  <c r="BU1410"/>
  <c r="BU1411"/>
  <c r="BU1412"/>
  <c r="BU1413"/>
  <c r="BU1414"/>
  <c r="BU1415"/>
  <c r="BU1416"/>
  <c r="BU1417"/>
  <c r="BU1418"/>
  <c r="BU1419"/>
  <c r="BU1420"/>
  <c r="BU1421"/>
  <c r="BU1422"/>
  <c r="BU1423"/>
  <c r="BU1424"/>
  <c r="BU1425"/>
  <c r="BU1426"/>
  <c r="BU1427"/>
  <c r="BU1428"/>
  <c r="BU1429"/>
  <c r="BU1430"/>
  <c r="BU1431"/>
  <c r="BU1432"/>
  <c r="BU1433"/>
  <c r="BU1434"/>
  <c r="BU1435"/>
  <c r="BU1436"/>
  <c r="BU1437"/>
  <c r="BU1438"/>
  <c r="BU1439"/>
  <c r="BU1440"/>
  <c r="BU1441"/>
  <c r="BU1442"/>
  <c r="BU1443"/>
  <c r="BU1444"/>
  <c r="BU1445"/>
  <c r="BU1446"/>
  <c r="BU1447"/>
  <c r="BU1448"/>
  <c r="BU1449"/>
  <c r="BU1450"/>
  <c r="BU1451"/>
  <c r="BU1452"/>
  <c r="BU1453"/>
  <c r="BU1454"/>
  <c r="BU1455"/>
  <c r="BU1456"/>
  <c r="BU1457"/>
  <c r="BU1458"/>
  <c r="BU1459"/>
  <c r="BU1460"/>
  <c r="BU1461"/>
  <c r="BU1462"/>
  <c r="BU1463"/>
  <c r="BU1464"/>
  <c r="BU1465"/>
  <c r="BU1466"/>
  <c r="BU1467"/>
  <c r="BU1468"/>
  <c r="BU1469"/>
  <c r="BU1470"/>
  <c r="BU1471"/>
  <c r="BU1472"/>
  <c r="BU1473"/>
  <c r="BU1474"/>
  <c r="BU1475"/>
  <c r="BU1476"/>
  <c r="BU1477"/>
  <c r="BU1478"/>
  <c r="BU1479"/>
  <c r="BU1480"/>
  <c r="BU1481"/>
  <c r="BU1482"/>
  <c r="BU1483"/>
  <c r="BU1484"/>
  <c r="BU1485"/>
  <c r="BU1486"/>
  <c r="BU1487"/>
  <c r="BU1488"/>
  <c r="BU1489"/>
  <c r="BU1490"/>
  <c r="BU1491"/>
  <c r="BU1492"/>
  <c r="BU1493"/>
  <c r="BU1494"/>
  <c r="BU1495"/>
  <c r="BU1496"/>
  <c r="BU1497"/>
  <c r="BU1498"/>
  <c r="BU1499"/>
  <c r="BU1500"/>
  <c r="BU1501"/>
  <c r="BU1502"/>
  <c r="BU1503"/>
  <c r="BU1504"/>
  <c r="BU1505"/>
  <c r="BU1506"/>
  <c r="BU1507"/>
  <c r="BU1508"/>
  <c r="BU1509"/>
  <c r="BU1510"/>
  <c r="BU1511"/>
  <c r="BU1512"/>
  <c r="BU1513"/>
  <c r="BU1514"/>
  <c r="BU1515"/>
  <c r="BU1516"/>
  <c r="BU1517"/>
  <c r="BU1518"/>
  <c r="BU1519"/>
  <c r="BU1520"/>
  <c r="BU1521"/>
  <c r="BU1522"/>
  <c r="BU1523"/>
  <c r="BU1524"/>
  <c r="BU1525"/>
  <c r="BU1526"/>
  <c r="BU1527"/>
  <c r="BU1528"/>
  <c r="BU1529"/>
  <c r="BU1530"/>
  <c r="BU1531"/>
  <c r="BU1532"/>
  <c r="BU1533"/>
  <c r="BU1534"/>
  <c r="BU1535"/>
  <c r="BU1536"/>
  <c r="BU1537"/>
  <c r="BU1538"/>
  <c r="BU1539"/>
  <c r="BU1540"/>
  <c r="BU1541"/>
  <c r="BU1542"/>
  <c r="BU1543"/>
  <c r="BU1544"/>
  <c r="BU1545"/>
  <c r="BU1546"/>
  <c r="BU1547"/>
  <c r="BU1548"/>
  <c r="BU1549"/>
  <c r="BU1550"/>
  <c r="BU1551"/>
  <c r="BU1552"/>
  <c r="BU1553"/>
  <c r="BU1554"/>
  <c r="BU1555"/>
  <c r="BU1556"/>
  <c r="BU1557"/>
  <c r="BU1558"/>
  <c r="BU1559"/>
  <c r="BU1560"/>
  <c r="BU1561"/>
  <c r="BU1562"/>
  <c r="BU1563"/>
  <c r="BU1564"/>
  <c r="BU1565"/>
  <c r="BU1566"/>
  <c r="BU1567"/>
  <c r="BU1568"/>
  <c r="BU1569"/>
  <c r="BU1570"/>
  <c r="BU1571"/>
  <c r="BU1572"/>
  <c r="BU1573"/>
  <c r="BU1574"/>
  <c r="BU1575"/>
  <c r="BU1576"/>
  <c r="BU1577"/>
  <c r="BU1578"/>
  <c r="BU1579"/>
  <c r="BU1580"/>
  <c r="BU1581"/>
  <c r="BU1582"/>
  <c r="BU1583"/>
  <c r="BU1584"/>
  <c r="BU1585"/>
  <c r="BU1586"/>
  <c r="BU1587"/>
  <c r="BU1588"/>
  <c r="BU1589"/>
  <c r="BU1590"/>
  <c r="BU1591"/>
  <c r="BU1592"/>
  <c r="BU1593"/>
  <c r="BU1594"/>
  <c r="BU1595"/>
  <c r="BU1596"/>
  <c r="BU1597"/>
  <c r="BU1598"/>
  <c r="BU1599"/>
  <c r="BU1600"/>
  <c r="BU1601"/>
  <c r="BU1602"/>
  <c r="BU1603"/>
  <c r="BU1604"/>
  <c r="BU1605"/>
  <c r="BU1606"/>
  <c r="BU1607"/>
  <c r="BU1608"/>
  <c r="BU1609"/>
  <c r="BU1610"/>
  <c r="BU1611"/>
  <c r="BU1612"/>
  <c r="BU1613"/>
  <c r="BU1614"/>
  <c r="BU1615"/>
  <c r="BU1616"/>
  <c r="BU1617"/>
  <c r="BU1618"/>
  <c r="BU1619"/>
  <c r="BU1620"/>
  <c r="BU1621"/>
  <c r="BU1622"/>
  <c r="BU1623"/>
  <c r="BU1624"/>
  <c r="BU1625"/>
  <c r="BU1626"/>
  <c r="BU1627"/>
  <c r="BU1628"/>
  <c r="BU1629"/>
  <c r="BU1630"/>
  <c r="BU1631"/>
  <c r="BU1632"/>
  <c r="BU1633"/>
  <c r="BU1634"/>
  <c r="BU1635"/>
  <c r="BU1636"/>
  <c r="BU1637"/>
  <c r="BU1638"/>
  <c r="BU1639"/>
  <c r="BU1640"/>
  <c r="BU1641"/>
  <c r="BU1642"/>
  <c r="BU1643"/>
  <c r="BU1644"/>
  <c r="BU1645"/>
  <c r="BU1646"/>
  <c r="BU1647"/>
  <c r="BU1648"/>
  <c r="BU1649"/>
  <c r="BU1650"/>
  <c r="BU1651"/>
  <c r="BU1652"/>
  <c r="BU1653"/>
  <c r="BU1654"/>
  <c r="BU1655"/>
  <c r="BU1656"/>
  <c r="BU1657"/>
  <c r="BU1658"/>
  <c r="BU1659"/>
  <c r="BU1660"/>
  <c r="BU1661"/>
  <c r="BU1662"/>
  <c r="BU1663"/>
  <c r="BU1664"/>
  <c r="BU1665"/>
  <c r="BU1666"/>
  <c r="BU1667"/>
  <c r="BU1668"/>
  <c r="BU1669"/>
  <c r="BU1670"/>
  <c r="BU1671"/>
  <c r="BU1672"/>
  <c r="BU1673"/>
  <c r="BU1674"/>
  <c r="BU1675"/>
  <c r="BU1676"/>
  <c r="BU1677"/>
  <c r="BU1678"/>
  <c r="BU1679"/>
  <c r="BU1680"/>
  <c r="BU1681"/>
  <c r="BU1682"/>
  <c r="BU1683"/>
  <c r="BU1684"/>
  <c r="BU1685"/>
  <c r="BU1686"/>
  <c r="BU1687"/>
  <c r="BU1688"/>
  <c r="BU1689"/>
  <c r="BU1690"/>
  <c r="BU1691"/>
  <c r="BU1692"/>
  <c r="BU1693"/>
  <c r="BU1694"/>
  <c r="BU1695"/>
  <c r="BU1696"/>
  <c r="BU1697"/>
  <c r="BU1698"/>
  <c r="BU1699"/>
  <c r="BU1700"/>
  <c r="BU1701"/>
  <c r="BU1702"/>
  <c r="BU1703"/>
  <c r="BU1704"/>
  <c r="BU1705"/>
  <c r="BU1706"/>
  <c r="BU1707"/>
  <c r="BU1708"/>
  <c r="BU1709"/>
  <c r="BU1710"/>
  <c r="BU1711"/>
  <c r="BU1712"/>
  <c r="BU1713"/>
  <c r="BU1714"/>
  <c r="BU1715"/>
  <c r="BU1716"/>
  <c r="BU1717"/>
  <c r="BU1718"/>
  <c r="BU1719"/>
  <c r="BU1720"/>
  <c r="BU1721"/>
  <c r="BU1722"/>
  <c r="BU1723"/>
  <c r="BU1724"/>
  <c r="BU1725"/>
  <c r="BU1726"/>
  <c r="BU1727"/>
  <c r="BU1728"/>
  <c r="BU1729"/>
  <c r="BU1730"/>
  <c r="BU1731"/>
  <c r="BU1732"/>
  <c r="BU1733"/>
  <c r="BU1734"/>
  <c r="BU1735"/>
  <c r="BU1736"/>
  <c r="BU1737"/>
  <c r="BU1738"/>
  <c r="BU1739"/>
  <c r="BU1740"/>
  <c r="BU1741"/>
  <c r="BU1742"/>
  <c r="BU1743"/>
  <c r="BU1744"/>
  <c r="BU1745"/>
  <c r="BU1746"/>
  <c r="BU1747"/>
  <c r="BU1748"/>
  <c r="BU1749"/>
  <c r="BU1750"/>
  <c r="BU1751"/>
  <c r="BU1752"/>
  <c r="BU1753"/>
  <c r="BU1754"/>
  <c r="BU1755"/>
  <c r="BU1756"/>
  <c r="BU1757"/>
  <c r="BU1758"/>
  <c r="BU1759"/>
  <c r="BU1760"/>
  <c r="BU1761"/>
  <c r="BU1762"/>
  <c r="BU1763"/>
  <c r="BU1764"/>
  <c r="BU1765"/>
  <c r="BU1766"/>
  <c r="BU1767"/>
  <c r="BU1768"/>
  <c r="BU1769"/>
  <c r="BU1770"/>
  <c r="BU1771"/>
  <c r="BU1772"/>
  <c r="BU1773"/>
  <c r="BU1774"/>
  <c r="BU1775"/>
  <c r="BU1776"/>
  <c r="BU1777"/>
  <c r="BU1778"/>
  <c r="BU1779"/>
  <c r="BU1780"/>
  <c r="BU1781"/>
  <c r="BU1782"/>
  <c r="BU1783"/>
  <c r="BU1784"/>
  <c r="BU1785"/>
  <c r="BU1786"/>
  <c r="BU1787"/>
  <c r="BU1788"/>
  <c r="BU1789"/>
  <c r="BU1790"/>
  <c r="BU1791"/>
  <c r="BU1792"/>
  <c r="BU1793"/>
  <c r="BU1794"/>
  <c r="BU1795"/>
  <c r="BU1796"/>
  <c r="BU1797"/>
  <c r="BU1798"/>
  <c r="BU1799"/>
  <c r="BU1800"/>
  <c r="BU1801"/>
  <c r="BU1802"/>
  <c r="BU1803"/>
  <c r="BU1804"/>
  <c r="BU1805"/>
  <c r="BU1806"/>
  <c r="BU1807"/>
  <c r="BU1808"/>
  <c r="BU1809"/>
  <c r="BU1810"/>
  <c r="BU1811"/>
  <c r="BU1812"/>
  <c r="BU1813"/>
  <c r="BU1814"/>
  <c r="BU1815"/>
  <c r="BU1816"/>
  <c r="BU1817"/>
  <c r="BU1818"/>
  <c r="BU1819"/>
  <c r="BU1820"/>
  <c r="BU1821"/>
  <c r="BU1822"/>
  <c r="BU1823"/>
  <c r="BU1824"/>
  <c r="BU1825"/>
  <c r="BU1826"/>
  <c r="BU1827"/>
  <c r="BU1828"/>
  <c r="BU1829"/>
  <c r="BU1830"/>
  <c r="BU1831"/>
  <c r="BU1832"/>
  <c r="BU1833"/>
  <c r="BU1834"/>
  <c r="BU1835"/>
  <c r="BU1836"/>
  <c r="BU1837"/>
  <c r="BU1838"/>
  <c r="BU1839"/>
  <c r="BU1840"/>
  <c r="BU1841"/>
  <c r="BU1842"/>
  <c r="BU1843"/>
  <c r="BU1844"/>
  <c r="BU1845"/>
  <c r="BU1846"/>
  <c r="BU1847"/>
  <c r="BU1848"/>
  <c r="BU1849"/>
  <c r="BU1850"/>
  <c r="BU1851"/>
  <c r="BU1852"/>
  <c r="BU1853"/>
  <c r="BU1854"/>
  <c r="BU1855"/>
  <c r="BU1856"/>
  <c r="BU1857"/>
  <c r="BU1858"/>
  <c r="BU1859"/>
  <c r="BU1860"/>
  <c r="BU1861"/>
  <c r="BU1862"/>
  <c r="BU1863"/>
  <c r="BU1864"/>
  <c r="BU1865"/>
  <c r="BU1866"/>
  <c r="BU1867"/>
  <c r="BU1868"/>
  <c r="BU1869"/>
  <c r="BU1870"/>
  <c r="BU1871"/>
  <c r="BU1872"/>
  <c r="BU1873"/>
  <c r="BU1874"/>
  <c r="BU1875"/>
  <c r="BU1876"/>
  <c r="BU1877"/>
  <c r="BU1878"/>
  <c r="BU1879"/>
  <c r="BU1880"/>
  <c r="BU1881"/>
  <c r="BU1882"/>
  <c r="BU1883"/>
  <c r="BU1884"/>
  <c r="BU1885"/>
  <c r="BU1886"/>
  <c r="BU1887"/>
  <c r="BU1888"/>
  <c r="BU1889"/>
  <c r="BU1890"/>
  <c r="BU1891"/>
  <c r="BU1892"/>
  <c r="BU1893"/>
  <c r="BU1894"/>
  <c r="BU1895"/>
  <c r="BU1896"/>
  <c r="BU1897"/>
  <c r="BU1898"/>
  <c r="BU1899"/>
  <c r="BU1900"/>
  <c r="BU1901"/>
  <c r="BU1902"/>
  <c r="BU1903"/>
  <c r="BU1904"/>
  <c r="BU1905"/>
  <c r="BU1906"/>
  <c r="BU1907"/>
  <c r="BU1908"/>
  <c r="BU1909"/>
  <c r="BU1910"/>
  <c r="BU1911"/>
  <c r="BU1912"/>
  <c r="BU1913"/>
  <c r="BU1914"/>
  <c r="BU1915"/>
  <c r="BU1916"/>
  <c r="BU1917"/>
  <c r="BU1918"/>
  <c r="BU1919"/>
  <c r="BU1920"/>
  <c r="BU1921"/>
  <c r="BU1922"/>
  <c r="BU1923"/>
  <c r="BU1924"/>
  <c r="BU1925"/>
  <c r="BU1926"/>
  <c r="BU1927"/>
  <c r="BU1928"/>
  <c r="BU1929"/>
  <c r="BU1930"/>
  <c r="BU1931"/>
  <c r="BU1932"/>
  <c r="BU1933"/>
  <c r="BU1934"/>
  <c r="BU1935"/>
  <c r="BU1936"/>
  <c r="BU1937"/>
  <c r="BU1938"/>
  <c r="BU1939"/>
  <c r="BU1940"/>
  <c r="BU1941"/>
  <c r="BU1942"/>
  <c r="BU1943"/>
  <c r="BU1944"/>
  <c r="BU1945"/>
  <c r="BU1946"/>
  <c r="BU1947"/>
  <c r="BU1948"/>
  <c r="BU1949"/>
  <c r="BU1950"/>
  <c r="BU1951"/>
  <c r="BU1952"/>
  <c r="BU1953"/>
  <c r="BU1954"/>
  <c r="BU1955"/>
  <c r="BU1956"/>
  <c r="BU1957"/>
  <c r="BU1958"/>
  <c r="BU1959"/>
  <c r="BU1960"/>
  <c r="BU1961"/>
  <c r="BU1962"/>
  <c r="BU1963"/>
  <c r="BU1964"/>
  <c r="BU1965"/>
  <c r="BU1966"/>
  <c r="BU1967"/>
  <c r="BU1968"/>
  <c r="BU1969"/>
  <c r="BU1970"/>
  <c r="BU1971"/>
  <c r="BU1972"/>
  <c r="BU1973"/>
  <c r="BU1974"/>
  <c r="BU1975"/>
  <c r="BU1976"/>
  <c r="BU1977"/>
  <c r="BU1978"/>
  <c r="BU1979"/>
  <c r="BU1980"/>
  <c r="BU1981"/>
  <c r="BU1982"/>
  <c r="BU1983"/>
  <c r="BU1984"/>
  <c r="BU1985"/>
  <c r="BU1986"/>
  <c r="BU1987"/>
  <c r="BU1988"/>
  <c r="BU1989"/>
  <c r="BU1990"/>
  <c r="BU1991"/>
  <c r="BU1992"/>
  <c r="BU1993"/>
  <c r="BU1994"/>
  <c r="BU1995"/>
  <c r="BU1996"/>
  <c r="BU1997"/>
  <c r="BU1998"/>
  <c r="BU1999"/>
  <c r="BU2000"/>
  <c r="BU2001"/>
  <c r="BU2002"/>
  <c r="BU2003"/>
  <c r="BU2004"/>
  <c r="BU2005"/>
  <c r="BU2006"/>
  <c r="BU2007"/>
  <c r="BU2008"/>
  <c r="BU2009"/>
  <c r="BU2010"/>
  <c r="BU2011"/>
  <c r="BU2012"/>
  <c r="BU2013"/>
  <c r="BU2014"/>
  <c r="BU2015"/>
  <c r="BU2016"/>
  <c r="BU2017"/>
  <c r="BU2018"/>
  <c r="BU2019"/>
  <c r="BU2020"/>
  <c r="BU2021"/>
  <c r="BU2022"/>
  <c r="BU2023"/>
  <c r="BU2024"/>
  <c r="BU2025"/>
  <c r="BU2026"/>
  <c r="BU2027"/>
  <c r="BU2028"/>
  <c r="BU2029"/>
  <c r="BU2030"/>
  <c r="BU2031"/>
  <c r="BU2032"/>
  <c r="BU2033"/>
  <c r="BU2034"/>
  <c r="BU2035"/>
  <c r="BU2036"/>
  <c r="BU2037"/>
  <c r="BU2038"/>
  <c r="BU2039"/>
  <c r="BU2040"/>
  <c r="BU2041"/>
  <c r="BU2042"/>
  <c r="BU2043"/>
  <c r="BU2044"/>
  <c r="BU2045"/>
  <c r="BU2046"/>
  <c r="BU2047"/>
  <c r="BU2048"/>
  <c r="BU2049"/>
  <c r="BU2050"/>
  <c r="BU2051"/>
  <c r="BU2052"/>
  <c r="BU2053"/>
  <c r="BU2054"/>
  <c r="BU2055"/>
  <c r="BU2056"/>
  <c r="BU2057"/>
  <c r="BU2058"/>
  <c r="BU2059"/>
  <c r="BU2060"/>
  <c r="BU2061"/>
  <c r="BU2062"/>
  <c r="BU2063"/>
  <c r="BU2064"/>
  <c r="BU2065"/>
  <c r="BU2066"/>
  <c r="BU2067"/>
  <c r="BU2068"/>
  <c r="BU2069"/>
  <c r="BU2070"/>
  <c r="BU2071"/>
  <c r="BU2072"/>
  <c r="BU2073"/>
  <c r="BU2074"/>
  <c r="BU2075"/>
  <c r="BU2076"/>
  <c r="BU2077"/>
  <c r="BU2078"/>
  <c r="BU2079"/>
  <c r="BU2080"/>
  <c r="BU2081"/>
  <c r="BU2082"/>
  <c r="BU2083"/>
  <c r="BU2084"/>
  <c r="BU2085"/>
  <c r="BU2086"/>
  <c r="BU2087"/>
  <c r="BU2088"/>
  <c r="BU2089"/>
  <c r="BU2090"/>
  <c r="BU2091"/>
  <c r="BU2092"/>
  <c r="BU2093"/>
  <c r="BU2094"/>
  <c r="BU2095"/>
  <c r="BU2096"/>
  <c r="BU2097"/>
  <c r="BU2098"/>
  <c r="BU2099"/>
  <c r="BU2100"/>
  <c r="BU2101"/>
  <c r="BU2102"/>
  <c r="BU2103"/>
  <c r="BU2104"/>
  <c r="BU2105"/>
  <c r="BU2106"/>
  <c r="BU2107"/>
  <c r="BU2108"/>
  <c r="BU2109"/>
  <c r="BU2110"/>
  <c r="BU2111"/>
  <c r="BU2112"/>
  <c r="BU2113"/>
  <c r="BU2114"/>
  <c r="BU2115"/>
  <c r="BU2116"/>
  <c r="BU2117"/>
  <c r="BU2118"/>
  <c r="BU2119"/>
  <c r="BU2120"/>
  <c r="BU2121"/>
  <c r="BU2122"/>
  <c r="BU2123"/>
  <c r="BU2124"/>
  <c r="BU2125"/>
  <c r="BU2126"/>
  <c r="BU2127"/>
  <c r="BU2128"/>
  <c r="BU2129"/>
  <c r="BU2130"/>
  <c r="BU2131"/>
  <c r="BU2132"/>
  <c r="BU2133"/>
  <c r="BU2134"/>
  <c r="BU2135"/>
  <c r="BU2136"/>
  <c r="BU2137"/>
  <c r="BU2138"/>
  <c r="BU2139"/>
  <c r="BU2140"/>
  <c r="BU2141"/>
  <c r="BU2142"/>
  <c r="BU2143"/>
  <c r="BU2144"/>
  <c r="BU2145"/>
  <c r="BU2146"/>
  <c r="BU2147"/>
  <c r="BU2148"/>
  <c r="BU2149"/>
  <c r="BU2150"/>
  <c r="BU2151"/>
  <c r="BU2152"/>
  <c r="BU2153"/>
  <c r="BU2154"/>
  <c r="BU2155"/>
  <c r="BU2156"/>
  <c r="BU2157"/>
  <c r="BU2158"/>
  <c r="BU2159"/>
  <c r="BU2160"/>
  <c r="BU2161"/>
  <c r="BU2162"/>
  <c r="BU2163"/>
  <c r="BU2164"/>
  <c r="BU2165"/>
  <c r="BU2166"/>
  <c r="BU2167"/>
  <c r="BU2168"/>
  <c r="BU2169"/>
  <c r="BU2170"/>
  <c r="BU2171"/>
  <c r="BU2172"/>
  <c r="BU2173"/>
  <c r="BU2174"/>
  <c r="BU2175"/>
  <c r="BU2176"/>
  <c r="BU2177"/>
  <c r="BU2178"/>
  <c r="BU2179"/>
  <c r="BU2180"/>
  <c r="BU2181"/>
  <c r="BU2182"/>
  <c r="BU2183"/>
  <c r="BU2184"/>
  <c r="BU2185"/>
  <c r="BU2186"/>
  <c r="BU2187"/>
  <c r="BU2188"/>
  <c r="BU2189"/>
  <c r="BU2190"/>
  <c r="BU2191"/>
  <c r="BU2192"/>
  <c r="BU2193"/>
  <c r="BU2194"/>
  <c r="BU2195"/>
  <c r="BU2196"/>
  <c r="BU2197"/>
  <c r="BU2198"/>
  <c r="BU2199"/>
  <c r="BU2200"/>
  <c r="BU2201"/>
  <c r="BU2202"/>
  <c r="BU2203"/>
  <c r="BU2204"/>
  <c r="BU2205"/>
  <c r="BU2206"/>
  <c r="BU2207"/>
  <c r="BU2208"/>
  <c r="BU2209"/>
  <c r="BU2210"/>
  <c r="BU2211"/>
  <c r="BU2212"/>
  <c r="BU2213"/>
  <c r="BU2214"/>
  <c r="BU2215"/>
  <c r="BU2216"/>
  <c r="BU2217"/>
  <c r="BU2218"/>
  <c r="BU2219"/>
  <c r="BU2220"/>
  <c r="BU2221"/>
  <c r="BU2222"/>
  <c r="BU2223"/>
  <c r="BU2224"/>
  <c r="BU2225"/>
  <c r="BU2226"/>
  <c r="BU2227"/>
  <c r="BU2228"/>
  <c r="BU2229"/>
  <c r="BU2230"/>
  <c r="BU2231"/>
  <c r="BU2232"/>
  <c r="BU2233"/>
  <c r="BU2234"/>
  <c r="BU2235"/>
  <c r="BU2236"/>
  <c r="BU2237"/>
  <c r="BU2238"/>
  <c r="BU2239"/>
  <c r="BU2240"/>
  <c r="BU2241"/>
  <c r="BU2242"/>
  <c r="BU2243"/>
  <c r="BU2244"/>
  <c r="BU2245"/>
  <c r="BU2246"/>
  <c r="BU2247"/>
  <c r="BU2248"/>
  <c r="BU2249"/>
  <c r="BU2250"/>
  <c r="BU2251"/>
  <c r="BU2252"/>
  <c r="BU2253"/>
  <c r="BU2254"/>
  <c r="BU2255"/>
  <c r="BU2256"/>
  <c r="BU2257"/>
  <c r="BU2258"/>
  <c r="BU2259"/>
  <c r="BU2260"/>
  <c r="BU2261"/>
  <c r="BU2262"/>
  <c r="BU2263"/>
  <c r="BU2264"/>
  <c r="BU2265"/>
  <c r="BU2266"/>
  <c r="BU2267"/>
  <c r="BU2268"/>
  <c r="BU2269"/>
  <c r="BU2270"/>
  <c r="BU2271"/>
  <c r="BU2272"/>
  <c r="BU2273"/>
  <c r="BU2274"/>
  <c r="BU2275"/>
  <c r="BU2276"/>
  <c r="BU2277"/>
  <c r="BU2278"/>
  <c r="BU2279"/>
  <c r="BU2280"/>
  <c r="BU2281"/>
  <c r="BU2282"/>
  <c r="BU2283"/>
  <c r="BU2284"/>
  <c r="BU2285"/>
  <c r="BU2286"/>
  <c r="BU2287"/>
  <c r="BU2288"/>
  <c r="BU2289"/>
  <c r="BU2290"/>
  <c r="BU2291"/>
  <c r="BU2292"/>
  <c r="BU2293"/>
  <c r="BU2294"/>
  <c r="BU2295"/>
  <c r="BU2296"/>
  <c r="BU2297"/>
  <c r="BU2298"/>
  <c r="BU2299"/>
  <c r="BU2300"/>
  <c r="BU2301"/>
  <c r="BU2302"/>
  <c r="BU2303"/>
  <c r="BU2304"/>
  <c r="BU2305"/>
  <c r="BU2306"/>
  <c r="BU2307"/>
  <c r="BU2308"/>
  <c r="BU2309"/>
  <c r="BU2310"/>
  <c r="BU2311"/>
  <c r="BU2312"/>
  <c r="BU2313"/>
  <c r="BU2314"/>
  <c r="BU2315"/>
  <c r="BU2316"/>
  <c r="BU2317"/>
  <c r="BU2318"/>
  <c r="BU2319"/>
  <c r="BU2320"/>
  <c r="BU2321"/>
  <c r="BU2322"/>
  <c r="BU2323"/>
  <c r="BU2324"/>
  <c r="BU2325"/>
  <c r="BU2326"/>
  <c r="BU2327"/>
  <c r="BU2328"/>
  <c r="BU2329"/>
  <c r="BU2330"/>
  <c r="BU2331"/>
  <c r="BU2332"/>
  <c r="BU2333"/>
  <c r="BU2334"/>
  <c r="BU2335"/>
  <c r="BU2336"/>
  <c r="BU2337"/>
  <c r="BU2338"/>
  <c r="BU2339"/>
  <c r="BU2340"/>
  <c r="BU2341"/>
  <c r="BU2342"/>
  <c r="BU2343"/>
  <c r="BU2344"/>
  <c r="BU2345"/>
  <c r="BU2346"/>
  <c r="BU2347"/>
  <c r="BU2348"/>
  <c r="BU2349"/>
  <c r="BU2350"/>
  <c r="BU2351"/>
  <c r="BU2352"/>
  <c r="BU2353"/>
  <c r="BU2354"/>
  <c r="BU2355"/>
  <c r="BU2356"/>
  <c r="BU2357"/>
  <c r="BU2358"/>
  <c r="BU2359"/>
  <c r="BU2360"/>
  <c r="BU2361"/>
  <c r="BU2362"/>
  <c r="BU2363"/>
  <c r="BU2364"/>
  <c r="BU2365"/>
  <c r="BU2366"/>
  <c r="BU2367"/>
  <c r="BU2368"/>
  <c r="BU2369"/>
  <c r="BU2370"/>
  <c r="BU2371"/>
  <c r="BU2372"/>
  <c r="BU2373"/>
  <c r="BU2374"/>
  <c r="BU2375"/>
  <c r="BU2376"/>
  <c r="BU2377"/>
  <c r="BU2378"/>
  <c r="BU2379"/>
  <c r="BU2380"/>
  <c r="BU2381"/>
  <c r="BU2382"/>
  <c r="BU2383"/>
  <c r="BU2384"/>
  <c r="BU2385"/>
  <c r="BU2386"/>
  <c r="BU2387"/>
  <c r="BU2388"/>
  <c r="BU2389"/>
  <c r="BU2390"/>
  <c r="BU2391"/>
  <c r="BU2392"/>
  <c r="BU2393"/>
  <c r="BU2394"/>
  <c r="BU2395"/>
  <c r="BU2396"/>
  <c r="BU2397"/>
  <c r="BU2398"/>
  <c r="BU2399"/>
  <c r="BU2400"/>
  <c r="BU2401"/>
  <c r="BU2402"/>
  <c r="BU2403"/>
  <c r="BU2404"/>
  <c r="BU2405"/>
  <c r="BU2406"/>
  <c r="BU2407"/>
  <c r="BU2408"/>
  <c r="BU2409"/>
  <c r="BU2410"/>
  <c r="BU2411"/>
  <c r="BU2412"/>
  <c r="BU2413"/>
  <c r="BU2414"/>
  <c r="BU2415"/>
  <c r="BU2416"/>
  <c r="BU2417"/>
  <c r="BU2418"/>
  <c r="BU2419"/>
  <c r="BU2420"/>
  <c r="BU2421"/>
  <c r="BU2422"/>
  <c r="BU2423"/>
  <c r="BU2424"/>
  <c r="BU2425"/>
  <c r="BU2426"/>
  <c r="BU2427"/>
  <c r="BU2428"/>
  <c r="BU2429"/>
  <c r="BU2430"/>
  <c r="BU2431"/>
  <c r="BU2432"/>
  <c r="BU2433"/>
  <c r="BU2434"/>
  <c r="BU2435"/>
  <c r="BU2436"/>
  <c r="BU2437"/>
  <c r="BU2438"/>
  <c r="BU2439"/>
  <c r="BU2440"/>
  <c r="BU2441"/>
  <c r="BU2442"/>
  <c r="BU2443"/>
  <c r="BU2444"/>
  <c r="BU2445"/>
  <c r="BU2446"/>
  <c r="BU2447"/>
  <c r="BU2448"/>
  <c r="BU2449"/>
  <c r="BU2450"/>
  <c r="BU2451"/>
  <c r="BU2452"/>
  <c r="BU2453"/>
  <c r="BU2454"/>
  <c r="BU2455"/>
  <c r="BU2456"/>
  <c r="BU2457"/>
  <c r="BU2458"/>
  <c r="BU2459"/>
  <c r="BU2460"/>
  <c r="BU2461"/>
  <c r="BU2462"/>
  <c r="BU2463"/>
  <c r="BU2464"/>
  <c r="BU2465"/>
  <c r="BU2466"/>
  <c r="BU2467"/>
  <c r="BU2468"/>
  <c r="BU2469"/>
  <c r="BU2470"/>
  <c r="BU2471"/>
  <c r="BU2472"/>
  <c r="BU2473"/>
  <c r="BU2474"/>
  <c r="BU2475"/>
  <c r="BU2476"/>
  <c r="BU2477"/>
  <c r="BU2478"/>
  <c r="BU2479"/>
  <c r="BU2480"/>
  <c r="BU2481"/>
  <c r="BU2482"/>
  <c r="BU2483"/>
  <c r="BU2484"/>
  <c r="BU2485"/>
  <c r="BU2486"/>
  <c r="BU2487"/>
  <c r="BU2488"/>
  <c r="BU2489"/>
  <c r="BU2490"/>
  <c r="BU2491"/>
  <c r="BU2492"/>
  <c r="BU2493"/>
  <c r="BU2494"/>
  <c r="BU2495"/>
  <c r="BU2496"/>
  <c r="BU2497"/>
  <c r="BU2498"/>
  <c r="BU2499"/>
  <c r="BU2500"/>
  <c r="BU2501"/>
  <c r="BU2502"/>
  <c r="BU2503"/>
  <c r="BU2504"/>
  <c r="BU2505"/>
  <c r="BU2506"/>
  <c r="BU2507"/>
  <c r="BU2508"/>
  <c r="BU2509"/>
  <c r="BU2510"/>
  <c r="BU2511"/>
  <c r="BU2512"/>
  <c r="BU2513"/>
  <c r="BU2514"/>
  <c r="BU2515"/>
  <c r="BU2516"/>
  <c r="BU2517"/>
  <c r="BU2518"/>
  <c r="BU2519"/>
  <c r="BU2520"/>
  <c r="BU2521"/>
  <c r="BU2522"/>
  <c r="BU2523"/>
  <c r="BU2524"/>
  <c r="BU2525"/>
  <c r="BU2526"/>
  <c r="BU2527"/>
  <c r="BU2528"/>
  <c r="BU2529"/>
  <c r="BU2530"/>
  <c r="BU2531"/>
  <c r="BU2532"/>
  <c r="BU2533"/>
  <c r="BU2534"/>
  <c r="BU2535"/>
  <c r="BU2536"/>
  <c r="BU2537"/>
  <c r="BU2538"/>
  <c r="BU2539"/>
  <c r="BU2540"/>
  <c r="BU2541"/>
  <c r="BU2542"/>
  <c r="BU2543"/>
  <c r="BU2544"/>
  <c r="BU2545"/>
  <c r="BU2546"/>
  <c r="BU2547"/>
  <c r="BU2548"/>
  <c r="BU2549"/>
  <c r="BU2550"/>
  <c r="BU2551"/>
  <c r="BU2552"/>
  <c r="BU2553"/>
  <c r="BU2554"/>
  <c r="BU2555"/>
  <c r="BU2556"/>
  <c r="BU2557"/>
  <c r="BU2558"/>
  <c r="BU2559"/>
  <c r="BU2560"/>
  <c r="BU2561"/>
  <c r="BU2562"/>
  <c r="BU2563"/>
  <c r="BU2564"/>
  <c r="BU2565"/>
  <c r="BU2566"/>
  <c r="BU2567"/>
  <c r="BU2568"/>
  <c r="BU2569"/>
  <c r="BU2570"/>
  <c r="BU2571"/>
  <c r="BU2572"/>
  <c r="BU2573"/>
  <c r="BU2574"/>
  <c r="BU2575"/>
  <c r="BU2576"/>
  <c r="BU2577"/>
  <c r="BU2578"/>
  <c r="BU2579"/>
  <c r="BU2580"/>
  <c r="BU2581"/>
  <c r="BU2582"/>
  <c r="BU2583"/>
  <c r="BU2584"/>
  <c r="BU2585"/>
  <c r="BU2586"/>
  <c r="BU2587"/>
  <c r="BU2588"/>
  <c r="BU2589"/>
  <c r="BU2590"/>
  <c r="BU2591"/>
  <c r="BU2592"/>
  <c r="BU2593"/>
  <c r="BU2594"/>
  <c r="BU2595"/>
  <c r="BU2596"/>
  <c r="BU2597"/>
  <c r="BU2598"/>
  <c r="BU2599"/>
  <c r="BU2600"/>
  <c r="BU2601"/>
  <c r="BU2602"/>
  <c r="BU2603"/>
  <c r="BU2604"/>
  <c r="BU2605"/>
  <c r="BU2606"/>
  <c r="BU2607"/>
  <c r="BU2608"/>
  <c r="BU2609"/>
  <c r="BU2610"/>
  <c r="BU2611"/>
  <c r="BU2612"/>
  <c r="BU2613"/>
  <c r="BU2614"/>
  <c r="BU2615"/>
  <c r="BU2616"/>
  <c r="BU2617"/>
  <c r="BU2618"/>
  <c r="BU2619"/>
  <c r="BU2620"/>
  <c r="BU2621"/>
  <c r="BU2622"/>
  <c r="BU2623"/>
  <c r="BU2624"/>
  <c r="BU2625"/>
  <c r="BU2626"/>
  <c r="BU2627"/>
  <c r="BU2628"/>
  <c r="BU2629"/>
  <c r="BU2630"/>
  <c r="BU2631"/>
  <c r="BU2632"/>
  <c r="BU2633"/>
  <c r="BU2634"/>
  <c r="BU2635"/>
  <c r="BU2636"/>
  <c r="BU2637"/>
  <c r="BU2638"/>
  <c r="BU2639"/>
  <c r="BU2640"/>
  <c r="BU2641"/>
  <c r="BU2642"/>
  <c r="BU2643"/>
  <c r="BU2644"/>
  <c r="BU2645"/>
  <c r="BU2646"/>
  <c r="BU2647"/>
  <c r="BU2648"/>
  <c r="BU2649"/>
  <c r="BU2650"/>
  <c r="BU2651"/>
  <c r="BU2652"/>
  <c r="BU2653"/>
  <c r="BU2654"/>
  <c r="BU2655"/>
  <c r="BU2656"/>
  <c r="BU2657"/>
  <c r="BU2658"/>
  <c r="BU2659"/>
  <c r="BU2660"/>
  <c r="BU2661"/>
  <c r="BU2662"/>
  <c r="BU2663"/>
  <c r="BU2664"/>
  <c r="BU2665"/>
  <c r="BU2666"/>
  <c r="BU2667"/>
  <c r="BU2668"/>
  <c r="BU2669"/>
  <c r="BU2670"/>
  <c r="BU2671"/>
  <c r="BU2672"/>
  <c r="BU2673"/>
  <c r="BU2674"/>
  <c r="BU2675"/>
  <c r="BU2676"/>
  <c r="BU2677"/>
  <c r="BU2678"/>
  <c r="BU2679"/>
  <c r="BU2680"/>
  <c r="BU2681"/>
  <c r="BU2682"/>
  <c r="BU2683"/>
  <c r="BU2684"/>
  <c r="BU2685"/>
  <c r="BU2686"/>
  <c r="BU2687"/>
  <c r="BU2688"/>
  <c r="BU2689"/>
  <c r="BU2690"/>
  <c r="BU2691"/>
  <c r="BU2692"/>
  <c r="BU2693"/>
  <c r="BU2694"/>
  <c r="BU2695"/>
  <c r="BU2696"/>
  <c r="BU2697"/>
  <c r="BU2698"/>
  <c r="BU2699"/>
  <c r="BU2700"/>
  <c r="BU2701"/>
  <c r="BU2702"/>
  <c r="BU2703"/>
  <c r="BU2704"/>
  <c r="BU2705"/>
  <c r="BU2706"/>
  <c r="BU2707"/>
  <c r="BU2708"/>
  <c r="BU2709"/>
  <c r="BU2710"/>
  <c r="BU2711"/>
  <c r="BU2712"/>
  <c r="BU2713"/>
  <c r="BU2714"/>
  <c r="BU2715"/>
  <c r="BU2716"/>
  <c r="BU2717"/>
  <c r="BU2718"/>
  <c r="BU2719"/>
  <c r="BU2720"/>
  <c r="BU2721"/>
  <c r="BU2722"/>
  <c r="BU2723"/>
  <c r="BU2724"/>
  <c r="BU2725"/>
  <c r="BU2726"/>
  <c r="BU2727"/>
  <c r="BU2728"/>
  <c r="BU2729"/>
  <c r="BU2730"/>
  <c r="BU2731"/>
  <c r="BU2732"/>
  <c r="BU2733"/>
  <c r="BU2734"/>
  <c r="BU2735"/>
  <c r="BU2736"/>
  <c r="BU2737"/>
  <c r="BU2738"/>
  <c r="BU2739"/>
  <c r="BU2740"/>
  <c r="BU2741"/>
  <c r="BU2742"/>
  <c r="BU2743"/>
  <c r="BU2744"/>
  <c r="BU2745"/>
  <c r="BU2746"/>
  <c r="BU2747"/>
  <c r="BU2748"/>
  <c r="BU2749"/>
  <c r="BU2750"/>
  <c r="BU2751"/>
  <c r="BU2752"/>
  <c r="BU2753"/>
  <c r="BU2754"/>
  <c r="BU2755"/>
  <c r="BU2756"/>
  <c r="BU2757"/>
  <c r="BU2758"/>
  <c r="BU2759"/>
  <c r="BU2760"/>
  <c r="BU2761"/>
  <c r="BU2762"/>
  <c r="BU2763"/>
  <c r="BU2764"/>
  <c r="BU2765"/>
  <c r="BU2766"/>
  <c r="BU2767"/>
  <c r="BU2768"/>
  <c r="BU2769"/>
  <c r="BU2770"/>
  <c r="BU2771"/>
  <c r="BU2772"/>
  <c r="BU2773"/>
  <c r="BU2774"/>
  <c r="BU2775"/>
  <c r="BU2776"/>
  <c r="BU2777"/>
  <c r="BU2778"/>
  <c r="BU2779"/>
  <c r="BU2780"/>
  <c r="BU2781"/>
  <c r="BU2782"/>
  <c r="BU2783"/>
  <c r="BU2784"/>
  <c r="BU2785"/>
  <c r="BU2786"/>
  <c r="BU2787"/>
  <c r="BU2788"/>
  <c r="BU2789"/>
  <c r="BU2790"/>
  <c r="BU2791"/>
  <c r="BU2792"/>
  <c r="BU2793"/>
  <c r="BU2794"/>
  <c r="BU2795"/>
  <c r="BU2796"/>
  <c r="BU2797"/>
  <c r="BU2798"/>
  <c r="BU2799"/>
  <c r="BU2800"/>
  <c r="BU2801"/>
  <c r="BU2802"/>
  <c r="BU2803"/>
  <c r="BU2804"/>
  <c r="BU2805"/>
  <c r="BU2806"/>
  <c r="BU2807"/>
  <c r="BU2808"/>
  <c r="BU2809"/>
  <c r="BU2810"/>
  <c r="BU2811"/>
  <c r="BU2812"/>
  <c r="BU2813"/>
  <c r="BU2814"/>
  <c r="BU2815"/>
  <c r="BU2816"/>
  <c r="BU2817"/>
  <c r="BU2818"/>
  <c r="BU2819"/>
  <c r="BU2820"/>
  <c r="BU2821"/>
  <c r="BU2822"/>
  <c r="BU2823"/>
  <c r="BU2824"/>
  <c r="BU2825"/>
  <c r="BU2826"/>
  <c r="BU2827"/>
  <c r="BU2828"/>
  <c r="BU2829"/>
  <c r="BU2830"/>
  <c r="BU2831"/>
  <c r="BU2832"/>
  <c r="BU2833"/>
  <c r="BU2834"/>
  <c r="BU2835"/>
  <c r="BU2836"/>
  <c r="BU2837"/>
  <c r="BU2838"/>
  <c r="BU2839"/>
  <c r="BU2840"/>
  <c r="BU2841"/>
  <c r="BU2842"/>
  <c r="BU2843"/>
  <c r="BU2844"/>
  <c r="BU2845"/>
  <c r="BU2846"/>
  <c r="BU2847"/>
  <c r="BU2848"/>
  <c r="BU2849"/>
  <c r="BU2850"/>
  <c r="BU2851"/>
  <c r="BU2852"/>
  <c r="BU2853"/>
  <c r="BU2854"/>
  <c r="BU2855"/>
  <c r="BU2856"/>
  <c r="BU2857"/>
  <c r="BU2858"/>
  <c r="BU2859"/>
  <c r="BU2860"/>
  <c r="BU2861"/>
  <c r="BU2862"/>
  <c r="BU2863"/>
  <c r="BU2864"/>
  <c r="BU2865"/>
  <c r="BU2866"/>
  <c r="BU2867"/>
  <c r="BU2868"/>
  <c r="BU2869"/>
  <c r="BU2870"/>
  <c r="BU2871"/>
  <c r="BU2872"/>
  <c r="BU2873"/>
  <c r="BU2874"/>
  <c r="BU2875"/>
  <c r="BU2876"/>
  <c r="BU2877"/>
  <c r="BU2878"/>
  <c r="BU2879"/>
  <c r="BU2880"/>
  <c r="BU2881"/>
  <c r="BU2882"/>
  <c r="BU2883"/>
  <c r="BU2884"/>
  <c r="BU2885"/>
  <c r="BU2886"/>
  <c r="BU2887"/>
  <c r="BU2888"/>
  <c r="BU2889"/>
  <c r="BU2890"/>
  <c r="BU2891"/>
  <c r="BU2892"/>
  <c r="BU2893"/>
  <c r="BU2894"/>
  <c r="BU2895"/>
  <c r="BU2896"/>
  <c r="BU2897"/>
  <c r="BU2898"/>
  <c r="BU2899"/>
  <c r="BU2900"/>
  <c r="BU2901"/>
  <c r="BU2902"/>
  <c r="BU2903"/>
  <c r="BU2904"/>
  <c r="BU2905"/>
  <c r="BU2906"/>
  <c r="BU2907"/>
  <c r="BU2908"/>
  <c r="BU2909"/>
  <c r="BU2910"/>
  <c r="BU2911"/>
  <c r="BU2912"/>
  <c r="BU2913"/>
  <c r="BU2914"/>
  <c r="BU2915"/>
  <c r="BU2916"/>
  <c r="BU2917"/>
  <c r="BU2918"/>
  <c r="BU2919"/>
  <c r="BU2920"/>
  <c r="BU2921"/>
  <c r="BU2922"/>
  <c r="BU2923"/>
  <c r="BU2924"/>
  <c r="BU2925"/>
  <c r="BU2926"/>
  <c r="BU2927"/>
  <c r="BU2928"/>
  <c r="BU2929"/>
  <c r="BU2930"/>
  <c r="BU2931"/>
  <c r="BU2932"/>
  <c r="BU2933"/>
  <c r="BU2934"/>
  <c r="BU2935"/>
  <c r="BU2936"/>
  <c r="BU2937"/>
  <c r="BU2938"/>
  <c r="BU2939"/>
  <c r="BU2940"/>
  <c r="BU2941"/>
  <c r="BU2942"/>
  <c r="BU2943"/>
  <c r="BU2944"/>
  <c r="BU2945"/>
  <c r="BU2946"/>
  <c r="BU2947"/>
  <c r="BU2948"/>
  <c r="BU2949"/>
  <c r="BU2950"/>
  <c r="BU2951"/>
  <c r="BU2952"/>
  <c r="BU2953"/>
  <c r="BU2954"/>
  <c r="BU2955"/>
  <c r="BU2956"/>
  <c r="BU2957"/>
  <c r="BU2958"/>
  <c r="BU2959"/>
  <c r="BU2960"/>
  <c r="BU2961"/>
  <c r="BU2962"/>
  <c r="BU2963"/>
  <c r="BU2964"/>
  <c r="BU2965"/>
  <c r="BU2966"/>
  <c r="BU2967"/>
  <c r="BU2968"/>
  <c r="BU2969"/>
  <c r="BU2970"/>
  <c r="BU2971"/>
  <c r="BU2972"/>
  <c r="BU2973"/>
  <c r="BU2974"/>
  <c r="BU2975"/>
  <c r="BU2976"/>
  <c r="BU2977"/>
  <c r="BU2978"/>
  <c r="BU2979"/>
  <c r="BU2980"/>
  <c r="BU2981"/>
  <c r="BU2982"/>
  <c r="BU2983"/>
  <c r="BU2984"/>
  <c r="BU2985"/>
  <c r="BU2986"/>
  <c r="BU2987"/>
  <c r="BU2988"/>
  <c r="BU2989"/>
  <c r="BU2990"/>
  <c r="BU2991"/>
  <c r="BU2992"/>
  <c r="BU2993"/>
  <c r="BU2994"/>
  <c r="BU2995"/>
  <c r="BU2996"/>
  <c r="BU2997"/>
  <c r="BU2998"/>
  <c r="BU2999"/>
  <c r="BU3000"/>
  <c r="BU3001"/>
  <c r="BU3002"/>
  <c r="BU3003"/>
  <c r="BU3004"/>
  <c r="BU3005"/>
  <c r="BU3006"/>
  <c r="BU3007"/>
  <c r="BU3008"/>
  <c r="BU3009"/>
  <c r="BU3010"/>
  <c r="BU3011"/>
  <c r="BU3012"/>
  <c r="BU3013"/>
  <c r="BU3014"/>
  <c r="BU3015"/>
  <c r="BU3016"/>
  <c r="BU3017"/>
  <c r="BU3018"/>
  <c r="BU3019"/>
  <c r="BU3020"/>
  <c r="BU3021"/>
  <c r="BU3022"/>
  <c r="BU3023"/>
  <c r="BU3024"/>
  <c r="BU3025"/>
  <c r="BU3026"/>
  <c r="BU3027"/>
  <c r="BU3028"/>
  <c r="BU3029"/>
  <c r="BU3030"/>
  <c r="BU3031"/>
  <c r="BU3032"/>
  <c r="BU3033"/>
  <c r="BU3034"/>
  <c r="BU3035"/>
  <c r="BU3036"/>
  <c r="BU3037"/>
  <c r="BU3038"/>
  <c r="BU3039"/>
  <c r="BU3040"/>
  <c r="BU3041"/>
  <c r="BU3042"/>
  <c r="BU3043"/>
  <c r="BU3044"/>
  <c r="BU3045"/>
  <c r="BU3046"/>
  <c r="BU3047"/>
  <c r="BU3048"/>
  <c r="BU3049"/>
  <c r="BU3050"/>
  <c r="BU3051"/>
  <c r="BU3052"/>
  <c r="BU3053"/>
  <c r="BU3054"/>
  <c r="BU3055"/>
  <c r="BU3056"/>
  <c r="BU3057"/>
  <c r="BU3058"/>
  <c r="BU3059"/>
  <c r="BU3060"/>
  <c r="BU3061"/>
  <c r="BU3062"/>
  <c r="BU3063"/>
  <c r="BU3064"/>
  <c r="BU3065"/>
  <c r="BU3066"/>
  <c r="BU3067"/>
  <c r="BU3068"/>
  <c r="BU3069"/>
  <c r="BU3070"/>
  <c r="BU3071"/>
  <c r="BU3072"/>
  <c r="BU3073"/>
  <c r="BU3074"/>
  <c r="BU3075"/>
  <c r="BU3076"/>
  <c r="BU3077"/>
  <c r="BU3078"/>
  <c r="BU3079"/>
  <c r="BU3080"/>
  <c r="BU3081"/>
  <c r="BU3082"/>
  <c r="BU3083"/>
  <c r="BU3084"/>
  <c r="BU3085"/>
  <c r="BU3086"/>
  <c r="BU3087"/>
  <c r="BU3088"/>
  <c r="BU3089"/>
  <c r="BU3090"/>
  <c r="BU3091"/>
  <c r="BU3092"/>
  <c r="BU3093"/>
  <c r="BU3094"/>
  <c r="BU3095"/>
  <c r="BU3096"/>
  <c r="BU3097"/>
  <c r="BU3098"/>
  <c r="BU3099"/>
  <c r="BU3100"/>
  <c r="BU3101"/>
  <c r="BU3102"/>
  <c r="BU3103"/>
  <c r="BU3104"/>
  <c r="BU3105"/>
  <c r="BU3106"/>
  <c r="BU3107"/>
  <c r="BU3108"/>
  <c r="BU3109"/>
  <c r="BU3110"/>
  <c r="BU3111"/>
  <c r="BU3112"/>
  <c r="BU3113"/>
  <c r="BU3114"/>
  <c r="BU3115"/>
  <c r="BU3116"/>
  <c r="BU3117"/>
  <c r="BU3118"/>
  <c r="BU3119"/>
  <c r="BU3120"/>
  <c r="BU3121"/>
  <c r="BU3122"/>
  <c r="BU3123"/>
  <c r="BU3124"/>
  <c r="BU3125"/>
  <c r="BU3126"/>
  <c r="BU3127"/>
  <c r="BU3128"/>
  <c r="BU3129"/>
  <c r="BU3130"/>
  <c r="BU3131"/>
  <c r="BU3132"/>
  <c r="BU3133"/>
  <c r="BU3134"/>
  <c r="BU3135"/>
  <c r="BU3136"/>
  <c r="BU3137"/>
  <c r="BU3138"/>
  <c r="BU3139"/>
  <c r="BU3140"/>
  <c r="BU3141"/>
  <c r="BU3142"/>
  <c r="BU3143"/>
  <c r="BU3144"/>
  <c r="BU3145"/>
  <c r="BU3146"/>
  <c r="BU3147"/>
  <c r="BU3148"/>
  <c r="BU3149"/>
  <c r="BU3150"/>
  <c r="BU3151"/>
  <c r="BU3152"/>
  <c r="BU3153"/>
  <c r="BU3154"/>
  <c r="BU3155"/>
  <c r="BU3156"/>
  <c r="BU3157"/>
  <c r="BU3158"/>
  <c r="BU3159"/>
  <c r="BU3160"/>
  <c r="BU3161"/>
  <c r="BU3162"/>
  <c r="BU3163"/>
  <c r="BU3164"/>
  <c r="BU3165"/>
  <c r="BU3166"/>
  <c r="BU3167"/>
  <c r="BU3168"/>
  <c r="BU3169"/>
  <c r="BU3170"/>
  <c r="BU3171"/>
  <c r="BU3172"/>
  <c r="BU3173"/>
  <c r="BU3174"/>
  <c r="BU3175"/>
  <c r="BU3176"/>
  <c r="BU3177"/>
  <c r="BU3178"/>
  <c r="BU3179"/>
  <c r="BU3180"/>
  <c r="BU3181"/>
  <c r="BU3182"/>
  <c r="BU3183"/>
  <c r="BU3184"/>
  <c r="BU3185"/>
  <c r="BU3186"/>
  <c r="BU3187"/>
  <c r="BU3188"/>
  <c r="BU3189"/>
  <c r="BU3190"/>
  <c r="BU3191"/>
  <c r="BU3192"/>
  <c r="BU3193"/>
  <c r="BU3194"/>
  <c r="BU3195"/>
  <c r="BU3196"/>
  <c r="BU3197"/>
  <c r="BU3198"/>
  <c r="BU3199"/>
  <c r="BU3200"/>
  <c r="BU3201"/>
  <c r="BU3202"/>
  <c r="BU3203"/>
  <c r="BU3204"/>
  <c r="BU3205"/>
  <c r="BU3206"/>
  <c r="BU3207"/>
  <c r="BU3208"/>
  <c r="BU3209"/>
  <c r="BU3210"/>
  <c r="BU3211"/>
  <c r="BU3212"/>
  <c r="BU3213"/>
  <c r="BU3214"/>
  <c r="BU3215"/>
  <c r="BU3216"/>
  <c r="BU3217"/>
  <c r="BU3218"/>
  <c r="BU3219"/>
  <c r="BU3220"/>
  <c r="BU3221"/>
  <c r="BU3222"/>
  <c r="BU3223"/>
  <c r="BU3224"/>
  <c r="BU3225"/>
  <c r="BU3226"/>
  <c r="BU3227"/>
  <c r="BU3228"/>
  <c r="BU3229"/>
  <c r="BU3230"/>
  <c r="BU3231"/>
  <c r="BU3232"/>
  <c r="BU3233"/>
  <c r="BU3234"/>
  <c r="BU3235"/>
  <c r="BU3236"/>
  <c r="BU3237"/>
  <c r="BU3238"/>
  <c r="BU3239"/>
  <c r="BU3240"/>
  <c r="BU3241"/>
  <c r="BU3242"/>
  <c r="BU3243"/>
  <c r="BU3244"/>
  <c r="BU3245"/>
  <c r="BU3246"/>
  <c r="BU3247"/>
  <c r="BU3248"/>
  <c r="BU3249"/>
  <c r="BU3250"/>
  <c r="BU3251"/>
  <c r="BU3252"/>
  <c r="BU3253"/>
  <c r="BU3254"/>
  <c r="BU3255"/>
  <c r="BU3256"/>
  <c r="BU3257"/>
  <c r="BU3258"/>
  <c r="BU3259"/>
  <c r="BU3260"/>
  <c r="BU3261"/>
  <c r="BU3262"/>
  <c r="BU3263"/>
  <c r="BU3264"/>
  <c r="BU3265"/>
  <c r="BU3266"/>
  <c r="BU3267"/>
  <c r="BU3268"/>
  <c r="BU3269"/>
  <c r="BU3270"/>
  <c r="BU3271"/>
  <c r="BU3272"/>
  <c r="BU3273"/>
  <c r="BU3274"/>
  <c r="BU3275"/>
  <c r="BU3276"/>
  <c r="BU3277"/>
  <c r="BU3278"/>
  <c r="BU3279"/>
  <c r="BU3280"/>
  <c r="BU3281"/>
  <c r="BU3282"/>
  <c r="BU3283"/>
  <c r="BU3284"/>
  <c r="BU3285"/>
  <c r="BU3286"/>
  <c r="BU3287"/>
  <c r="BU3288"/>
  <c r="BU3289"/>
  <c r="BU3290"/>
  <c r="BU3291"/>
  <c r="BU3292"/>
  <c r="BU3293"/>
  <c r="BU3294"/>
  <c r="BU3295"/>
  <c r="BU3296"/>
  <c r="BU3297"/>
  <c r="BU3298"/>
  <c r="BU3299"/>
  <c r="BU3300"/>
  <c r="BU3301"/>
  <c r="BU3302"/>
  <c r="BU3303"/>
  <c r="BU3304"/>
  <c r="BU3305"/>
  <c r="BU3306"/>
  <c r="BU3307"/>
  <c r="BU3308"/>
  <c r="BU3309"/>
  <c r="BU3310"/>
  <c r="BU3311"/>
  <c r="BU3312"/>
  <c r="BU3313"/>
  <c r="BU3314"/>
  <c r="BU3315"/>
  <c r="BU3316"/>
  <c r="BU3317"/>
  <c r="BU3318"/>
  <c r="BU3319"/>
  <c r="BU3320"/>
  <c r="BU3321"/>
  <c r="BU3322"/>
  <c r="BU3323"/>
  <c r="BU3324"/>
  <c r="BU3325"/>
  <c r="BU3326"/>
  <c r="BU3327"/>
  <c r="BU3328"/>
  <c r="BU3329"/>
  <c r="BU3330"/>
  <c r="BU3331"/>
  <c r="BU3332"/>
  <c r="BU3333"/>
  <c r="BU3334"/>
  <c r="BU3335"/>
  <c r="BU3336"/>
  <c r="BU3337"/>
  <c r="BU3338"/>
  <c r="BU3339"/>
  <c r="BU3340"/>
  <c r="BU3341"/>
  <c r="BU3342"/>
  <c r="BU3343"/>
  <c r="BU3344"/>
  <c r="BU3345"/>
  <c r="BU3346"/>
  <c r="BU3347"/>
  <c r="BU3348"/>
  <c r="BU3349"/>
  <c r="BU3350"/>
  <c r="BU3351"/>
  <c r="BU3352"/>
  <c r="BU3353"/>
  <c r="BU3354"/>
  <c r="BU3355"/>
  <c r="BU3356"/>
  <c r="BU3357"/>
  <c r="BU3358"/>
  <c r="BU3359"/>
  <c r="BU3360"/>
  <c r="BU3361"/>
  <c r="BU3362"/>
  <c r="BU3363"/>
  <c r="BU3364"/>
  <c r="BU3365"/>
  <c r="BU3366"/>
  <c r="BU3367"/>
  <c r="BU3368"/>
  <c r="BU3369"/>
  <c r="BU3370"/>
  <c r="BU3371"/>
  <c r="BU3372"/>
  <c r="BU3373"/>
  <c r="BU3374"/>
  <c r="BU3375"/>
  <c r="BU3376"/>
  <c r="BU3377"/>
  <c r="BU3378"/>
  <c r="BU3379"/>
  <c r="BU3380"/>
  <c r="BU3381"/>
  <c r="BU3382"/>
  <c r="BU3383"/>
  <c r="BU3384"/>
  <c r="BU3385"/>
  <c r="BU3386"/>
  <c r="BU3387"/>
  <c r="BU3388"/>
  <c r="BU3389"/>
  <c r="BU3390"/>
  <c r="BU3391"/>
  <c r="BU3392"/>
  <c r="BU3393"/>
  <c r="BU3394"/>
  <c r="BU3395"/>
  <c r="BU3396"/>
  <c r="BU3397"/>
  <c r="BU3398"/>
  <c r="BU3399"/>
  <c r="BU3400"/>
  <c r="BU3401"/>
  <c r="BU3402"/>
  <c r="BU3403"/>
  <c r="BU3404"/>
  <c r="BU3405"/>
  <c r="BU3406"/>
  <c r="BU3407"/>
  <c r="BU3408"/>
  <c r="BU3409"/>
  <c r="BU3410"/>
  <c r="BU3411"/>
  <c r="BU3412"/>
  <c r="BU3413"/>
  <c r="BU3414"/>
  <c r="BU3415"/>
  <c r="BU3416"/>
  <c r="BU3417"/>
  <c r="BU3418"/>
  <c r="BU3419"/>
  <c r="BU3420"/>
  <c r="BU3421"/>
  <c r="BU3422"/>
  <c r="BU3423"/>
  <c r="BU3424"/>
  <c r="BU3425"/>
  <c r="BU3426"/>
  <c r="BU3427"/>
  <c r="BU3428"/>
  <c r="BU3429"/>
  <c r="BU3430"/>
  <c r="BU3431"/>
  <c r="BU3432"/>
  <c r="BU3433"/>
  <c r="BU3434"/>
  <c r="BU3435"/>
  <c r="BU3436"/>
  <c r="BU3437"/>
  <c r="BU3438"/>
  <c r="BU3439"/>
  <c r="BU3440"/>
  <c r="BU3441"/>
  <c r="BU3442"/>
  <c r="BU3443"/>
  <c r="BU3444"/>
  <c r="BU3445"/>
  <c r="BU3446"/>
  <c r="BU3447"/>
  <c r="BU3448"/>
  <c r="BU3449"/>
  <c r="BU3450"/>
  <c r="BU3451"/>
  <c r="BU3452"/>
  <c r="BU3453"/>
  <c r="BU3454"/>
  <c r="BU3455"/>
  <c r="BU3456"/>
  <c r="BU3457"/>
  <c r="BU3458"/>
  <c r="BU3459"/>
  <c r="BU3460"/>
  <c r="BU3461"/>
  <c r="BU3462"/>
  <c r="BU3463"/>
  <c r="BU3464"/>
  <c r="BU3465"/>
  <c r="BU3466"/>
  <c r="BU3467"/>
  <c r="BU3468"/>
  <c r="BU3469"/>
  <c r="BU3470"/>
  <c r="BU3471"/>
  <c r="BU3472"/>
  <c r="BU3473"/>
  <c r="BU3474"/>
  <c r="BU3475"/>
  <c r="BU3476"/>
  <c r="BU3477"/>
  <c r="BU3478"/>
  <c r="BU3479"/>
  <c r="BU3480"/>
  <c r="BU3481"/>
  <c r="BU3482"/>
  <c r="BU3483"/>
  <c r="BU3484"/>
  <c r="BU3485"/>
  <c r="BU3486"/>
  <c r="BU3487"/>
  <c r="BU3488"/>
  <c r="BU3489"/>
  <c r="BU3490"/>
  <c r="BU3491"/>
  <c r="BU3492"/>
  <c r="BU3493"/>
  <c r="BU3494"/>
  <c r="BU3495"/>
  <c r="BU3496"/>
  <c r="BU3497"/>
  <c r="BU3498"/>
  <c r="BU3499"/>
  <c r="BU3500"/>
  <c r="BU3501"/>
  <c r="BU3502"/>
  <c r="BU3503"/>
  <c r="BU3504"/>
  <c r="BU3505"/>
  <c r="BU3506"/>
  <c r="BU3507"/>
  <c r="BU3508"/>
  <c r="BU3509"/>
  <c r="BU3510"/>
  <c r="BU3511"/>
  <c r="BU3512"/>
  <c r="BU3513"/>
  <c r="BU3514"/>
  <c r="BU3515"/>
  <c r="BU3516"/>
  <c r="BU3517"/>
  <c r="BU3518"/>
  <c r="BU3519"/>
  <c r="BU3520"/>
  <c r="BU3521"/>
  <c r="BU3522"/>
  <c r="BU3523"/>
  <c r="BU3524"/>
  <c r="BU3525"/>
  <c r="BU3526"/>
  <c r="BU3527"/>
  <c r="BU3528"/>
  <c r="BU3529"/>
  <c r="BU3530"/>
  <c r="BU3531"/>
  <c r="BU3532"/>
  <c r="BU3533"/>
  <c r="BU3534"/>
  <c r="BU3535"/>
  <c r="BU3536"/>
  <c r="BU3537"/>
  <c r="BU3538"/>
  <c r="BU3539"/>
  <c r="BU3540"/>
  <c r="BU3541"/>
  <c r="BU3542"/>
  <c r="BU3543"/>
  <c r="BU3544"/>
  <c r="BU3545"/>
  <c r="BU3546"/>
  <c r="BU3547"/>
  <c r="BU3548"/>
  <c r="BU3549"/>
  <c r="BU3550"/>
  <c r="BU3551"/>
  <c r="BU3552"/>
  <c r="BU3553"/>
  <c r="BU3554"/>
  <c r="BU3555"/>
  <c r="BU3556"/>
  <c r="BU3557"/>
  <c r="BU3558"/>
  <c r="BU3559"/>
  <c r="BU3560"/>
  <c r="BU3561"/>
  <c r="BU3562"/>
  <c r="BU3563"/>
  <c r="BU3564"/>
  <c r="BU3565"/>
  <c r="BU3566"/>
  <c r="BU3567"/>
  <c r="BU3568"/>
  <c r="BU3569"/>
  <c r="BU3570"/>
  <c r="BU3571"/>
  <c r="BU3572"/>
  <c r="BU3573"/>
  <c r="BU3574"/>
  <c r="BU3575"/>
  <c r="BU3576"/>
  <c r="BU3577"/>
  <c r="BU3578"/>
  <c r="BU3579"/>
  <c r="BU3580"/>
  <c r="BU3581"/>
  <c r="BU3582"/>
  <c r="BU3583"/>
  <c r="BU3584"/>
  <c r="BU3585"/>
  <c r="BU3586"/>
  <c r="BU3587"/>
  <c r="BU3588"/>
  <c r="BU3589"/>
  <c r="BU3590"/>
  <c r="BU3591"/>
  <c r="BU3592"/>
  <c r="BU3593"/>
  <c r="BU3594"/>
  <c r="BU3595"/>
  <c r="BU3596"/>
  <c r="BU3597"/>
  <c r="BU3598"/>
  <c r="BU3599"/>
  <c r="BU3600"/>
  <c r="BU3601"/>
  <c r="BU3602"/>
  <c r="BU3603"/>
  <c r="BU3604"/>
  <c r="BU3605"/>
  <c r="BU3606"/>
  <c r="BU3607"/>
  <c r="BU3608"/>
  <c r="BU3609"/>
  <c r="BU3610"/>
  <c r="BU3611"/>
  <c r="BU3612"/>
  <c r="BU3613"/>
  <c r="BU3614"/>
  <c r="BU3615"/>
  <c r="BU3616"/>
  <c r="BU3617"/>
  <c r="BU3618"/>
  <c r="BU3619"/>
  <c r="BU3620"/>
  <c r="BU3621"/>
  <c r="BU3622"/>
  <c r="BU3623"/>
  <c r="BU3624"/>
  <c r="BU3625"/>
  <c r="BU3626"/>
  <c r="BU3627"/>
  <c r="BU3628"/>
  <c r="BU3629"/>
  <c r="BU3630"/>
  <c r="BU3631"/>
  <c r="BU3632"/>
  <c r="BU3633"/>
  <c r="BU3634"/>
  <c r="BU3635"/>
  <c r="BU3636"/>
  <c r="BU3637"/>
  <c r="BU3638"/>
  <c r="BU3639"/>
  <c r="BU3640"/>
  <c r="BU3641"/>
  <c r="BU3642"/>
  <c r="BU3643"/>
  <c r="BU3644"/>
  <c r="BU3645"/>
  <c r="BU3646"/>
  <c r="BU3647"/>
  <c r="BU3648"/>
  <c r="BU3649"/>
  <c r="BU3650"/>
  <c r="BU3651"/>
  <c r="BU3652"/>
  <c r="BU3653"/>
  <c r="BU3654"/>
  <c r="BU3655"/>
  <c r="BU3656"/>
  <c r="BU3657"/>
  <c r="BU3658"/>
  <c r="BU3659"/>
  <c r="BU3660"/>
  <c r="BU3661"/>
  <c r="BU3662"/>
  <c r="BU3663"/>
  <c r="BU3664"/>
  <c r="BU3665"/>
  <c r="BU3666"/>
  <c r="BU3667"/>
  <c r="BU3668"/>
  <c r="BU3669"/>
  <c r="BU3670"/>
  <c r="BU3671"/>
  <c r="BU3672"/>
  <c r="BU3673"/>
  <c r="BU3674"/>
  <c r="BU3675"/>
  <c r="BU3676"/>
  <c r="BU3677"/>
  <c r="BU3678"/>
  <c r="BU3679"/>
  <c r="BU3680"/>
  <c r="BU3681"/>
  <c r="BU3682"/>
  <c r="BU3683"/>
  <c r="BU3684"/>
  <c r="BU3685"/>
  <c r="BU3686"/>
  <c r="BU3687"/>
  <c r="BU3688"/>
  <c r="BU3689"/>
  <c r="BU3690"/>
  <c r="BU3691"/>
  <c r="BU3692"/>
  <c r="BU3693"/>
  <c r="BU3694"/>
  <c r="BU3695"/>
  <c r="BU3696"/>
  <c r="BU3697"/>
  <c r="BU3698"/>
  <c r="BU3699"/>
  <c r="BU3700"/>
  <c r="BU3701"/>
  <c r="BU3702"/>
  <c r="BU3703"/>
  <c r="BU3704"/>
  <c r="BU3705"/>
  <c r="BU3706"/>
  <c r="BU3707"/>
  <c r="BU3708"/>
  <c r="BU3709"/>
  <c r="BU3710"/>
  <c r="BU3711"/>
  <c r="BU3712"/>
  <c r="BU3713"/>
  <c r="BU3714"/>
  <c r="BU3715"/>
  <c r="BU3716"/>
  <c r="BU3717"/>
  <c r="BU3718"/>
  <c r="BU3719"/>
  <c r="BU3720"/>
  <c r="BU3721"/>
  <c r="BU3722"/>
  <c r="BU3723"/>
  <c r="BU3724"/>
  <c r="BU3725"/>
  <c r="BU3726"/>
  <c r="BU3727"/>
  <c r="BU3728"/>
  <c r="BU3729"/>
  <c r="BU3730"/>
  <c r="BU3731"/>
  <c r="BU3732"/>
  <c r="BU3733"/>
  <c r="BU3734"/>
  <c r="BU3735"/>
  <c r="BU3736"/>
  <c r="BU3737"/>
  <c r="BU3738"/>
  <c r="BU3739"/>
  <c r="BU3740"/>
  <c r="BU3741"/>
  <c r="BU3742"/>
  <c r="BU3743"/>
  <c r="BU3744"/>
  <c r="BU3745"/>
  <c r="BU3746"/>
  <c r="BU3747"/>
  <c r="BU3748"/>
  <c r="BU3749"/>
  <c r="BU3750"/>
  <c r="BU3751"/>
  <c r="BU3752"/>
  <c r="BU3753"/>
  <c r="BU3754"/>
  <c r="BU3755"/>
  <c r="BU3756"/>
  <c r="BU3757"/>
  <c r="BU3758"/>
  <c r="BU3759"/>
  <c r="BU3760"/>
  <c r="BU3761"/>
  <c r="BU3762"/>
  <c r="BU3763"/>
  <c r="BU3764"/>
  <c r="BU3765"/>
  <c r="BU3766"/>
  <c r="BU3767"/>
  <c r="BU3768"/>
  <c r="BU3769"/>
  <c r="BU3770"/>
  <c r="BU3771"/>
  <c r="BU3772"/>
  <c r="BU3773"/>
  <c r="BU3774"/>
  <c r="BU3775"/>
  <c r="BU3776"/>
  <c r="BU3777"/>
  <c r="BU3778"/>
  <c r="BU3779"/>
  <c r="BU3780"/>
  <c r="BU3781"/>
  <c r="BU3782"/>
  <c r="BU3783"/>
  <c r="BU3784"/>
  <c r="BU3785"/>
  <c r="BU3786"/>
  <c r="BU3787"/>
  <c r="BU3788"/>
  <c r="BU3789"/>
  <c r="BU3790"/>
  <c r="BU3791"/>
  <c r="BU3792"/>
  <c r="BU3793"/>
  <c r="BU3794"/>
  <c r="BU3795"/>
  <c r="BU3796"/>
  <c r="BU3797"/>
  <c r="BU3798"/>
  <c r="BU3799"/>
  <c r="BU3800"/>
  <c r="BU3801"/>
  <c r="BU3802"/>
  <c r="BU3803"/>
  <c r="BU3804"/>
  <c r="BU3805"/>
  <c r="BU3806"/>
  <c r="BU3807"/>
  <c r="BU3808"/>
  <c r="BU3809"/>
  <c r="BU3810"/>
  <c r="BU3811"/>
  <c r="BU3812"/>
  <c r="BU3813"/>
  <c r="BU3814"/>
  <c r="BU3815"/>
  <c r="BU3816"/>
  <c r="BU3817"/>
  <c r="BU3818"/>
  <c r="BU3819"/>
  <c r="BU3820"/>
  <c r="BU3821"/>
  <c r="BU3822"/>
  <c r="BU3823"/>
  <c r="BU3824"/>
  <c r="BU3825"/>
  <c r="BU3826"/>
  <c r="BU3827"/>
  <c r="BU3828"/>
  <c r="BU3829"/>
  <c r="BU3830"/>
  <c r="BU3831"/>
  <c r="BU3832"/>
  <c r="BU3833"/>
  <c r="BU3834"/>
  <c r="BU3835"/>
  <c r="BU3836"/>
  <c r="BU3837"/>
  <c r="BU3838"/>
  <c r="BU3839"/>
  <c r="BU3840"/>
  <c r="BU3841"/>
  <c r="BU3842"/>
  <c r="BU3843"/>
  <c r="BU3844"/>
  <c r="BU3845"/>
  <c r="BU3846"/>
  <c r="BU3847"/>
  <c r="BU3848"/>
  <c r="BU3849"/>
  <c r="BU3850"/>
  <c r="BU3851"/>
  <c r="BU3852"/>
  <c r="BU3853"/>
  <c r="BU3854"/>
  <c r="BU3855"/>
  <c r="BU3856"/>
  <c r="BU3857"/>
  <c r="BU3858"/>
  <c r="BU3859"/>
  <c r="BU3860"/>
  <c r="BU3861"/>
  <c r="BU3862"/>
  <c r="BU3863"/>
  <c r="BU3864"/>
  <c r="BU3865"/>
  <c r="BU3866"/>
  <c r="BU3867"/>
  <c r="BU3868"/>
  <c r="BU3869"/>
  <c r="BU3870"/>
  <c r="BU3871"/>
  <c r="BU3872"/>
  <c r="BU3873"/>
  <c r="BU3874"/>
  <c r="BU3875"/>
  <c r="BU3876"/>
  <c r="BU3877"/>
  <c r="BU3878"/>
  <c r="BU3879"/>
  <c r="BU3880"/>
  <c r="BU3881"/>
  <c r="BU3882"/>
  <c r="BU3883"/>
  <c r="BU3884"/>
  <c r="BU3885"/>
  <c r="BU3886"/>
  <c r="BU3887"/>
  <c r="BU3888"/>
  <c r="BU3889"/>
  <c r="BU3890"/>
  <c r="BU3891"/>
  <c r="BU3892"/>
  <c r="BU3893"/>
  <c r="BU3894"/>
  <c r="BU3895"/>
  <c r="BU3896"/>
  <c r="BU3897"/>
  <c r="BU3898"/>
  <c r="BU3899"/>
  <c r="BU3900"/>
  <c r="BU3901"/>
  <c r="BU3902"/>
  <c r="BU3903"/>
  <c r="BU3904"/>
  <c r="BU3905"/>
  <c r="BU3906"/>
  <c r="BU3907"/>
  <c r="BU3908"/>
  <c r="BU3909"/>
  <c r="BU3910"/>
  <c r="BU3911"/>
  <c r="BU3912"/>
  <c r="BU3913"/>
  <c r="BU3914"/>
  <c r="BU3915"/>
  <c r="BU3916"/>
  <c r="BU3917"/>
  <c r="BU3918"/>
  <c r="BU3919"/>
  <c r="BU3920"/>
  <c r="BU3921"/>
  <c r="BU3922"/>
  <c r="BU3923"/>
  <c r="BU3924"/>
  <c r="BU3925"/>
  <c r="BU3926"/>
  <c r="BU3927"/>
  <c r="BU3928"/>
  <c r="BU3929"/>
  <c r="BU3930"/>
  <c r="BU3931"/>
  <c r="BU3932"/>
  <c r="BU3933"/>
  <c r="BU3934"/>
  <c r="BU3935"/>
  <c r="BU3936"/>
  <c r="BU3937"/>
  <c r="BU3938"/>
  <c r="BU3939"/>
  <c r="BU3940"/>
  <c r="BU3941"/>
  <c r="BU3942"/>
  <c r="BU3943"/>
  <c r="BU3944"/>
  <c r="BU3945"/>
  <c r="BU3946"/>
  <c r="BU3947"/>
  <c r="BU3948"/>
  <c r="BU3949"/>
  <c r="BU3950"/>
  <c r="BU3951"/>
  <c r="BU3952"/>
  <c r="BU3953"/>
  <c r="BU3954"/>
  <c r="BU3955"/>
  <c r="BU3956"/>
  <c r="BU3957"/>
  <c r="BU3958"/>
  <c r="BU3959"/>
  <c r="BU3960"/>
  <c r="BU3961"/>
  <c r="BU3962"/>
  <c r="BU3963"/>
  <c r="BU3964"/>
  <c r="BU3965"/>
  <c r="BU3966"/>
  <c r="BU3967"/>
  <c r="BU3968"/>
  <c r="BU3969"/>
  <c r="BU3970"/>
  <c r="BU3971"/>
  <c r="BU3972"/>
  <c r="BU3973"/>
  <c r="BU3974"/>
  <c r="BU3975"/>
  <c r="BU3976"/>
  <c r="BU3977"/>
  <c r="BU3978"/>
  <c r="BU3979"/>
  <c r="BU3980"/>
  <c r="BU3981"/>
  <c r="BU3982"/>
  <c r="BU3983"/>
  <c r="BU3984"/>
  <c r="BU3985"/>
  <c r="BU3986"/>
  <c r="BU3987"/>
  <c r="BU3988"/>
  <c r="BU3989"/>
  <c r="BU3990"/>
  <c r="BU3991"/>
  <c r="BU3992"/>
  <c r="BU3993"/>
  <c r="BU3994"/>
  <c r="BU3995"/>
  <c r="BU3996"/>
  <c r="BU3997"/>
  <c r="BU3998"/>
  <c r="BU3999"/>
  <c r="BU4000"/>
  <c r="BU4001"/>
  <c r="BU4002"/>
  <c r="BU4003"/>
  <c r="BU4004"/>
  <c r="BU4005"/>
  <c r="BU4006"/>
  <c r="BU4007"/>
  <c r="BU4008"/>
  <c r="BU4009"/>
  <c r="BU4010"/>
  <c r="BU4011"/>
  <c r="BU4012"/>
  <c r="BU4013"/>
  <c r="BU4014"/>
  <c r="BU4015"/>
  <c r="BU4016"/>
  <c r="BU4017"/>
  <c r="BU4018"/>
  <c r="BU4019"/>
  <c r="BU4020"/>
  <c r="BU4021"/>
  <c r="BU4022"/>
  <c r="BU4023"/>
  <c r="BU4024"/>
  <c r="BU4025"/>
  <c r="BU4026"/>
  <c r="BU4027"/>
  <c r="BU4028"/>
  <c r="BU4029"/>
  <c r="BU4030"/>
  <c r="BU4031"/>
  <c r="BU4032"/>
  <c r="BU4033"/>
  <c r="BU4034"/>
  <c r="BU4035"/>
  <c r="BU4036"/>
  <c r="BU4037"/>
  <c r="BU4038"/>
  <c r="BU4039"/>
  <c r="BU4040"/>
  <c r="BU4041"/>
  <c r="BU4042"/>
  <c r="BZ42"/>
  <c r="BZ43"/>
  <c r="BZ44"/>
  <c r="BV44"/>
  <c r="BX44" s="1"/>
  <c r="BV42"/>
  <c r="BX42"/>
  <c r="BV43"/>
  <c r="BX43"/>
  <c r="BV45"/>
  <c r="BX45"/>
  <c r="CH705"/>
  <c r="CH706"/>
  <c r="CH707"/>
  <c r="CH708"/>
  <c r="CH709"/>
  <c r="CH710"/>
  <c r="CH711"/>
  <c r="CH712"/>
  <c r="CH713"/>
  <c r="CH714"/>
  <c r="CH715"/>
  <c r="CH716"/>
  <c r="CH717"/>
  <c r="CH718"/>
  <c r="CH719"/>
  <c r="CH720"/>
  <c r="CH721"/>
  <c r="CH722"/>
  <c r="CH723"/>
  <c r="CH724"/>
  <c r="CH725"/>
  <c r="CH726"/>
  <c r="CH727"/>
  <c r="CH728"/>
  <c r="CH729"/>
  <c r="CH730"/>
  <c r="CH731"/>
  <c r="CH732"/>
  <c r="CH733"/>
  <c r="CH734"/>
  <c r="CH735"/>
  <c r="CH736"/>
  <c r="CH737"/>
  <c r="CH738"/>
  <c r="CH739"/>
  <c r="CH740"/>
  <c r="CH741"/>
  <c r="CH742"/>
  <c r="CH743"/>
  <c r="CH744"/>
  <c r="CH745"/>
  <c r="CH746"/>
  <c r="CH747"/>
  <c r="CH748"/>
  <c r="CH749"/>
  <c r="CH750"/>
  <c r="CH751"/>
  <c r="CH752"/>
  <c r="CH753"/>
  <c r="CH754"/>
  <c r="CH755"/>
  <c r="CH756"/>
  <c r="CH757"/>
  <c r="CH758"/>
  <c r="CH759"/>
  <c r="CH760"/>
  <c r="CH761"/>
  <c r="CH762"/>
  <c r="CH763"/>
  <c r="CH764"/>
  <c r="CH765"/>
  <c r="CH766"/>
  <c r="CH767"/>
  <c r="CH768"/>
  <c r="CH769"/>
  <c r="CH770"/>
  <c r="CH771"/>
  <c r="CH772"/>
  <c r="CH773"/>
  <c r="CH774"/>
  <c r="CH775"/>
  <c r="CH776"/>
  <c r="CH777"/>
  <c r="CH778"/>
  <c r="CH779"/>
  <c r="CH780"/>
  <c r="CH781"/>
  <c r="CH782"/>
  <c r="CH783"/>
  <c r="CH784"/>
  <c r="CH785"/>
  <c r="CH786"/>
  <c r="CH787"/>
  <c r="CH788"/>
  <c r="CH789"/>
  <c r="CH790"/>
  <c r="CH791"/>
  <c r="CH792"/>
  <c r="CH793"/>
  <c r="CH794"/>
  <c r="CH795"/>
  <c r="CH796"/>
  <c r="CH797"/>
  <c r="CH798"/>
  <c r="CH799"/>
  <c r="CH800"/>
  <c r="CH801"/>
  <c r="CH802"/>
  <c r="CH803"/>
  <c r="CH804"/>
  <c r="CH805"/>
  <c r="CH806"/>
  <c r="CH807"/>
  <c r="CH808"/>
  <c r="CH809"/>
  <c r="CH810"/>
  <c r="CH811"/>
  <c r="CH812"/>
  <c r="CH813"/>
  <c r="CH814"/>
  <c r="CH815"/>
  <c r="CH816"/>
  <c r="CH817"/>
  <c r="CH818"/>
  <c r="CH819"/>
  <c r="CH820"/>
  <c r="CH821"/>
  <c r="CH822"/>
  <c r="CH823"/>
  <c r="CH824"/>
  <c r="CH825"/>
  <c r="CH826"/>
  <c r="CH827"/>
  <c r="CH828"/>
  <c r="CH829"/>
  <c r="CH830"/>
  <c r="CH831"/>
  <c r="CH832"/>
  <c r="CH833"/>
  <c r="CH834"/>
  <c r="CH835"/>
  <c r="CH836"/>
  <c r="CH837"/>
  <c r="CH838"/>
  <c r="CH839"/>
  <c r="CH840"/>
  <c r="CH841"/>
  <c r="CH842"/>
  <c r="CH843"/>
  <c r="CH844"/>
  <c r="CH845"/>
  <c r="CH846"/>
  <c r="CH847"/>
  <c r="CH848"/>
  <c r="CH849"/>
  <c r="CH850"/>
  <c r="CH851"/>
  <c r="CH852"/>
  <c r="CH853"/>
  <c r="CH854"/>
  <c r="CH855"/>
  <c r="CH856"/>
  <c r="CH857"/>
  <c r="CH858"/>
  <c r="CH859"/>
  <c r="CH860"/>
  <c r="CH861"/>
  <c r="CH862"/>
  <c r="CH863"/>
  <c r="CH864"/>
  <c r="CH865"/>
  <c r="CH866"/>
  <c r="CH867"/>
  <c r="CH868"/>
  <c r="CH869"/>
  <c r="CH870"/>
  <c r="CH871"/>
  <c r="CH872"/>
  <c r="CH873"/>
  <c r="CH874"/>
  <c r="CH875"/>
  <c r="CH876"/>
  <c r="CH877"/>
  <c r="CH878"/>
  <c r="CH879"/>
  <c r="CH880"/>
  <c r="CH881"/>
  <c r="CH882"/>
  <c r="CH883"/>
  <c r="CH884"/>
  <c r="CH885"/>
  <c r="CH886"/>
  <c r="CH887"/>
  <c r="CH888"/>
  <c r="CH889"/>
  <c r="CH890"/>
  <c r="CH891"/>
  <c r="CH892"/>
  <c r="CH893"/>
  <c r="CH894"/>
  <c r="CH895"/>
  <c r="CH896"/>
  <c r="CH897"/>
  <c r="CH898"/>
  <c r="CH899"/>
  <c r="CH900"/>
  <c r="CH901"/>
  <c r="CH902"/>
  <c r="CH903"/>
  <c r="CH904"/>
  <c r="CH905"/>
  <c r="CH906"/>
  <c r="CH907"/>
  <c r="CH908"/>
  <c r="CH909"/>
  <c r="CH910"/>
  <c r="CH911"/>
  <c r="CH912"/>
  <c r="CH913"/>
  <c r="CH914"/>
  <c r="CH915"/>
  <c r="CH916"/>
  <c r="CH917"/>
  <c r="CH918"/>
  <c r="CH919"/>
  <c r="CH920"/>
  <c r="CH921"/>
  <c r="CH922"/>
  <c r="CH923"/>
  <c r="CH924"/>
  <c r="CH925"/>
  <c r="CH926"/>
  <c r="CH927"/>
  <c r="CH928"/>
  <c r="CH929"/>
  <c r="CH930"/>
  <c r="CH931"/>
  <c r="CH932"/>
  <c r="CH933"/>
  <c r="CH934"/>
  <c r="CH935"/>
  <c r="CH936"/>
  <c r="CH937"/>
  <c r="CH938"/>
  <c r="CH939"/>
  <c r="CH940"/>
  <c r="CH941"/>
  <c r="CH942"/>
  <c r="CH943"/>
  <c r="CH944"/>
  <c r="CH945"/>
  <c r="CH946"/>
  <c r="CH947"/>
  <c r="CH948"/>
  <c r="CH949"/>
  <c r="CH950"/>
  <c r="CH951"/>
  <c r="CH952"/>
  <c r="CH953"/>
  <c r="CH954"/>
  <c r="CH955"/>
  <c r="CH956"/>
  <c r="CH957"/>
  <c r="CH958"/>
  <c r="CH959"/>
  <c r="CH960"/>
  <c r="CH961"/>
  <c r="CH962"/>
  <c r="CH963"/>
  <c r="CH964"/>
  <c r="CH965"/>
  <c r="CH966"/>
  <c r="CH967"/>
  <c r="CH968"/>
  <c r="CH969"/>
  <c r="CH970"/>
  <c r="CH971"/>
  <c r="CH972"/>
  <c r="CH973"/>
  <c r="CH974"/>
  <c r="CH975"/>
  <c r="CH976"/>
  <c r="CH977"/>
  <c r="CH978"/>
  <c r="CH979"/>
  <c r="CH980"/>
  <c r="CH981"/>
  <c r="CH982"/>
  <c r="CH983"/>
  <c r="CH984"/>
  <c r="CH985"/>
  <c r="CH986"/>
  <c r="CH987"/>
  <c r="CH988"/>
  <c r="CH989"/>
  <c r="CH990"/>
  <c r="CH991"/>
  <c r="CH992"/>
  <c r="CH993"/>
  <c r="CH994"/>
  <c r="CH995"/>
  <c r="CH996"/>
  <c r="CH997"/>
  <c r="CH998"/>
  <c r="CH999"/>
  <c r="CH1000"/>
  <c r="CH1001"/>
  <c r="CH1002"/>
  <c r="CH1003"/>
  <c r="CH1004"/>
  <c r="CH1005"/>
  <c r="CH1006"/>
  <c r="CH1007"/>
  <c r="CH1008"/>
  <c r="CH1009"/>
  <c r="CH1010"/>
  <c r="CH1011"/>
  <c r="CH1012"/>
  <c r="CH1013"/>
  <c r="CH1014"/>
  <c r="CH1015"/>
  <c r="CH1016"/>
  <c r="CH1017"/>
  <c r="CH1018"/>
  <c r="CH1019"/>
  <c r="CH1020"/>
  <c r="CH1021"/>
  <c r="CH1022"/>
  <c r="CH1023"/>
  <c r="CH1024"/>
  <c r="CH1025"/>
  <c r="CH1026"/>
  <c r="CH1027"/>
  <c r="CH1028"/>
  <c r="CH1029"/>
  <c r="CH1030"/>
  <c r="CH1031"/>
  <c r="CH1032"/>
  <c r="CH1033"/>
  <c r="CH1034"/>
  <c r="CH1035"/>
  <c r="CH1036"/>
  <c r="CH1037"/>
  <c r="CH1038"/>
  <c r="CH1039"/>
  <c r="CH1040"/>
  <c r="CH1041"/>
  <c r="CH1042"/>
  <c r="CH1043"/>
  <c r="CH1044"/>
  <c r="CH1045"/>
  <c r="CH1046"/>
  <c r="CH1047"/>
  <c r="CH1048"/>
  <c r="CH1049"/>
  <c r="CH1050"/>
  <c r="CH1051"/>
  <c r="CH1052"/>
  <c r="CH1053"/>
  <c r="CH1054"/>
  <c r="CH1055"/>
  <c r="CH1056"/>
  <c r="CH1057"/>
  <c r="CH1058"/>
  <c r="CH1059"/>
  <c r="CH1060"/>
  <c r="CH1061"/>
  <c r="CH1062"/>
  <c r="CH1063"/>
  <c r="CH1064"/>
  <c r="CH1065"/>
  <c r="CH1066"/>
  <c r="CH1067"/>
  <c r="CH1068"/>
  <c r="CH1069"/>
  <c r="CH1070"/>
  <c r="CH1071"/>
  <c r="CH1072"/>
  <c r="CH1073"/>
  <c r="CH1074"/>
  <c r="CH1075"/>
  <c r="CH1076"/>
  <c r="CH1077"/>
  <c r="CH1078"/>
  <c r="CH1079"/>
  <c r="CH1080"/>
  <c r="CH1081"/>
  <c r="CH1082"/>
  <c r="CH1083"/>
  <c r="CH1084"/>
  <c r="CH1085"/>
  <c r="CH1086"/>
  <c r="CH1087"/>
  <c r="CH1088"/>
  <c r="CH1089"/>
  <c r="CH1090"/>
  <c r="CH1091"/>
  <c r="CH1092"/>
  <c r="CH1093"/>
  <c r="CH1094"/>
  <c r="CH1095"/>
  <c r="CH1096"/>
  <c r="CH1097"/>
  <c r="CH1098"/>
  <c r="CH1099"/>
  <c r="CH1100"/>
  <c r="CH1101"/>
  <c r="CH1102"/>
  <c r="CH1103"/>
  <c r="CH1104"/>
  <c r="CH1105"/>
  <c r="CH1106"/>
  <c r="CH1107"/>
  <c r="CH1108"/>
  <c r="CH1109"/>
  <c r="CH1110"/>
  <c r="CH1111"/>
  <c r="CH1112"/>
  <c r="CH1113"/>
  <c r="CH1114"/>
  <c r="CH1115"/>
  <c r="CH1116"/>
  <c r="CH1117"/>
  <c r="CH1118"/>
  <c r="CH1119"/>
  <c r="CH1120"/>
  <c r="CH1121"/>
  <c r="CH1122"/>
  <c r="CH1123"/>
  <c r="CH1124"/>
  <c r="CH1125"/>
  <c r="CH1126"/>
  <c r="CH1127"/>
  <c r="CH1128"/>
  <c r="CH1129"/>
  <c r="CH1130"/>
  <c r="CH1131"/>
  <c r="CH1132"/>
  <c r="CH1133"/>
  <c r="CH1134"/>
  <c r="CH1135"/>
  <c r="CH1136"/>
  <c r="CH1137"/>
  <c r="CH1138"/>
  <c r="CH1139"/>
  <c r="CH1140"/>
  <c r="CH1141"/>
  <c r="CH1142"/>
  <c r="CH1143"/>
  <c r="CH1144"/>
  <c r="CH1145"/>
  <c r="CH1146"/>
  <c r="CH1147"/>
  <c r="CH1148"/>
  <c r="CH1149"/>
  <c r="CH1150"/>
  <c r="CH1151"/>
  <c r="CH1152"/>
  <c r="CH1153"/>
  <c r="CH1154"/>
  <c r="CH1155"/>
  <c r="CH1156"/>
  <c r="CH1157"/>
  <c r="CH1158"/>
  <c r="CH1159"/>
  <c r="CH1160"/>
  <c r="CH1161"/>
  <c r="CH1162"/>
  <c r="CH1163"/>
  <c r="CH1164"/>
  <c r="CH1165"/>
  <c r="CH1166"/>
  <c r="CH1167"/>
  <c r="CH1168"/>
  <c r="CH1169"/>
  <c r="CH1170"/>
  <c r="CH1171"/>
  <c r="CH1172"/>
  <c r="CH1173"/>
  <c r="CH1174"/>
  <c r="CH1175"/>
  <c r="CH1176"/>
  <c r="CH1177"/>
  <c r="CH1178"/>
  <c r="CH1179"/>
  <c r="CH1180"/>
  <c r="CH1181"/>
  <c r="CH1182"/>
  <c r="CH1183"/>
  <c r="CH1184"/>
  <c r="CH1185"/>
  <c r="CH1186"/>
  <c r="CH1187"/>
  <c r="CH1188"/>
  <c r="CH1189"/>
  <c r="CH1190"/>
  <c r="CH1191"/>
  <c r="CH1192"/>
  <c r="CH1193"/>
  <c r="CH1194"/>
  <c r="CH1195"/>
  <c r="CH1196"/>
  <c r="CH1197"/>
  <c r="CH1198"/>
  <c r="CH1199"/>
  <c r="CH1200"/>
  <c r="CH1201"/>
  <c r="CH1202"/>
  <c r="CH1203"/>
  <c r="CH1204"/>
  <c r="CH1205"/>
  <c r="CH1206"/>
  <c r="CH1207"/>
  <c r="CH1208"/>
  <c r="CH1209"/>
  <c r="CH1210"/>
  <c r="CH1211"/>
  <c r="CH1212"/>
  <c r="CH1213"/>
  <c r="CH1214"/>
  <c r="CH1215"/>
  <c r="CH1216"/>
  <c r="CH1217"/>
  <c r="CH1218"/>
  <c r="CH1219"/>
  <c r="CH1220"/>
  <c r="CH1221"/>
  <c r="CH1222"/>
  <c r="CH1223"/>
  <c r="CH1224"/>
  <c r="CH1225"/>
  <c r="CH1226"/>
  <c r="CH1227"/>
  <c r="CH1228"/>
  <c r="CH1229"/>
  <c r="CH1230"/>
  <c r="CH1231"/>
  <c r="CH1232"/>
  <c r="CH1233"/>
  <c r="CH1234"/>
  <c r="CH1235"/>
  <c r="CH1236"/>
  <c r="CH1237"/>
  <c r="CH1238"/>
  <c r="CH1239"/>
  <c r="CH1240"/>
  <c r="CH1241"/>
  <c r="CH1242"/>
  <c r="CH1243"/>
  <c r="CH1244"/>
  <c r="CH1245"/>
  <c r="CH1246"/>
  <c r="CH1247"/>
  <c r="CH1248"/>
  <c r="CH1249"/>
  <c r="CH1250"/>
  <c r="CH1251"/>
  <c r="CH1252"/>
  <c r="CH1253"/>
  <c r="CH1254"/>
  <c r="CH1255"/>
  <c r="CH1256"/>
  <c r="CH1257"/>
  <c r="CH1258"/>
  <c r="CH1259"/>
  <c r="CH1260"/>
  <c r="CH1261"/>
  <c r="CH1262"/>
  <c r="CH1263"/>
  <c r="CH1264"/>
  <c r="CH1265"/>
  <c r="CH1266"/>
  <c r="CH1267"/>
  <c r="CH1268"/>
  <c r="CH1269"/>
  <c r="CH1270"/>
  <c r="CH1271"/>
  <c r="CH1272"/>
  <c r="CH1273"/>
  <c r="CH1274"/>
  <c r="CH1275"/>
  <c r="CH1276"/>
  <c r="CH1277"/>
  <c r="CH1278"/>
  <c r="CH1279"/>
  <c r="CH1280"/>
  <c r="CH1281"/>
  <c r="CH1282"/>
  <c r="CH1283"/>
  <c r="CH1284"/>
  <c r="CH1285"/>
  <c r="CH1286"/>
  <c r="CH1287"/>
  <c r="CH1288"/>
  <c r="CH1289"/>
  <c r="CH1290"/>
  <c r="CH1291"/>
  <c r="CH1292"/>
  <c r="CH1293"/>
  <c r="CH1294"/>
  <c r="CH1295"/>
  <c r="CH1296"/>
  <c r="CH1297"/>
  <c r="CH1298"/>
  <c r="CH1299"/>
  <c r="CH1300"/>
  <c r="CH1301"/>
  <c r="CH1302"/>
  <c r="CH1303"/>
  <c r="CH1304"/>
  <c r="CH1305"/>
  <c r="CH1306"/>
  <c r="CH1307"/>
  <c r="CH1308"/>
  <c r="CH1309"/>
  <c r="CH1310"/>
  <c r="CH1311"/>
  <c r="CH1312"/>
  <c r="CH1313"/>
  <c r="CH1314"/>
  <c r="CH1315"/>
  <c r="CH1316"/>
  <c r="CH1317"/>
  <c r="CH1318"/>
  <c r="CH1319"/>
  <c r="CH1320"/>
  <c r="CH1321"/>
  <c r="CH1322"/>
  <c r="CH1323"/>
  <c r="CH1324"/>
  <c r="CH1325"/>
  <c r="CH1326"/>
  <c r="CH1327"/>
  <c r="CH1328"/>
  <c r="CH1329"/>
  <c r="CH1330"/>
  <c r="CH1331"/>
  <c r="CH1332"/>
  <c r="CH1333"/>
  <c r="CH1334"/>
  <c r="CH1335"/>
  <c r="CJ1335" s="1"/>
  <c r="CF1335" s="1"/>
  <c r="CH1336"/>
  <c r="CH1337"/>
  <c r="CH1338"/>
  <c r="CH1339"/>
  <c r="CJ1339" s="1"/>
  <c r="CF1339" s="1"/>
  <c r="CH1340"/>
  <c r="CH1341"/>
  <c r="CH1342"/>
  <c r="CH1343"/>
  <c r="CJ1343" s="1"/>
  <c r="CF1343" s="1"/>
  <c r="CH1344"/>
  <c r="CH1345"/>
  <c r="CH1346"/>
  <c r="CH1347"/>
  <c r="CJ1347" s="1"/>
  <c r="CF1347" s="1"/>
  <c r="CH1348"/>
  <c r="CH1349"/>
  <c r="CH1350"/>
  <c r="CH1351"/>
  <c r="CJ1351" s="1"/>
  <c r="CF1351" s="1"/>
  <c r="CH1352"/>
  <c r="CH1353"/>
  <c r="CH1354"/>
  <c r="CH1355"/>
  <c r="CJ1355" s="1"/>
  <c r="CF1355" s="1"/>
  <c r="CH1356"/>
  <c r="CH1357"/>
  <c r="CH1358"/>
  <c r="CH1359"/>
  <c r="CJ1359" s="1"/>
  <c r="CF1359" s="1"/>
  <c r="CH1360"/>
  <c r="CH1361"/>
  <c r="CH1362"/>
  <c r="CH1363"/>
  <c r="CJ1363" s="1"/>
  <c r="CF1363" s="1"/>
  <c r="CH1364"/>
  <c r="CH1365"/>
  <c r="CH1366"/>
  <c r="CH1367"/>
  <c r="CJ1367" s="1"/>
  <c r="CF1367" s="1"/>
  <c r="CH1368"/>
  <c r="CH1369"/>
  <c r="CH1370"/>
  <c r="CH1371"/>
  <c r="CJ1371" s="1"/>
  <c r="CF1371" s="1"/>
  <c r="CH1372"/>
  <c r="CH1373"/>
  <c r="CH1374"/>
  <c r="CH1375"/>
  <c r="CJ1375" s="1"/>
  <c r="CF1375" s="1"/>
  <c r="CH1376"/>
  <c r="CH1377"/>
  <c r="CH1378"/>
  <c r="CH1379"/>
  <c r="CJ1379" s="1"/>
  <c r="CF1379" s="1"/>
  <c r="CH1380"/>
  <c r="CH1381"/>
  <c r="CH1382"/>
  <c r="CH1383"/>
  <c r="CJ1383" s="1"/>
  <c r="CF1383" s="1"/>
  <c r="CH1384"/>
  <c r="CH1385"/>
  <c r="CH1386"/>
  <c r="CH1387"/>
  <c r="CJ1387" s="1"/>
  <c r="CF1387" s="1"/>
  <c r="CH1388"/>
  <c r="CH1389"/>
  <c r="CH1390"/>
  <c r="CH1391"/>
  <c r="CJ1391" s="1"/>
  <c r="CF1391" s="1"/>
  <c r="CH1392"/>
  <c r="CH1393"/>
  <c r="CH1394"/>
  <c r="CH1395"/>
  <c r="CJ1395" s="1"/>
  <c r="CF1395" s="1"/>
  <c r="CH1396"/>
  <c r="CH1397"/>
  <c r="CH1398"/>
  <c r="CH1399"/>
  <c r="CJ1399" s="1"/>
  <c r="CF1399" s="1"/>
  <c r="CH1400"/>
  <c r="CH1401"/>
  <c r="CH1402"/>
  <c r="CH1403"/>
  <c r="CJ1403" s="1"/>
  <c r="CF1403" s="1"/>
  <c r="CH1404"/>
  <c r="CH1405"/>
  <c r="CH1406"/>
  <c r="CH1407"/>
  <c r="CJ1407" s="1"/>
  <c r="CF1407" s="1"/>
  <c r="CH1408"/>
  <c r="CH1409"/>
  <c r="CH1410"/>
  <c r="CH1411"/>
  <c r="CJ1411" s="1"/>
  <c r="CF1411" s="1"/>
  <c r="CH1412"/>
  <c r="CH1413"/>
  <c r="CH1414"/>
  <c r="CH1415"/>
  <c r="CJ1415" s="1"/>
  <c r="CF1415" s="1"/>
  <c r="CH1416"/>
  <c r="CH1417"/>
  <c r="CH1418"/>
  <c r="CH1419"/>
  <c r="CJ1419" s="1"/>
  <c r="CF1419" s="1"/>
  <c r="CH1420"/>
  <c r="CH1421"/>
  <c r="CH1422"/>
  <c r="CH1423"/>
  <c r="CJ1423" s="1"/>
  <c r="CF1423" s="1"/>
  <c r="CH1424"/>
  <c r="CH1425"/>
  <c r="CH1426"/>
  <c r="CH1427"/>
  <c r="CJ1427" s="1"/>
  <c r="CF1427" s="1"/>
  <c r="CH1428"/>
  <c r="CH1429"/>
  <c r="CH1430"/>
  <c r="CH1431"/>
  <c r="CJ1431" s="1"/>
  <c r="CF1431" s="1"/>
  <c r="CH1432"/>
  <c r="CH1433"/>
  <c r="CH1434"/>
  <c r="CH1435"/>
  <c r="CJ1435" s="1"/>
  <c r="CF1435" s="1"/>
  <c r="CH1436"/>
  <c r="CH1437"/>
  <c r="CH1438"/>
  <c r="CH1439"/>
  <c r="CJ1439" s="1"/>
  <c r="CF1439" s="1"/>
  <c r="CH1440"/>
  <c r="CH1441"/>
  <c r="CH1442"/>
  <c r="CH1443"/>
  <c r="CJ1443" s="1"/>
  <c r="CF1443" s="1"/>
  <c r="CH1444"/>
  <c r="CH1445"/>
  <c r="CH1446"/>
  <c r="CH1447"/>
  <c r="CJ1447" s="1"/>
  <c r="CF1447" s="1"/>
  <c r="CH1448"/>
  <c r="CH1449"/>
  <c r="CH1450"/>
  <c r="CH1451"/>
  <c r="CJ1451" s="1"/>
  <c r="CF1451" s="1"/>
  <c r="CH1452"/>
  <c r="CH1453"/>
  <c r="CH1454"/>
  <c r="CH1455"/>
  <c r="CJ1455" s="1"/>
  <c r="CF1455" s="1"/>
  <c r="CH1456"/>
  <c r="CH1457"/>
  <c r="CH1458"/>
  <c r="CH1459"/>
  <c r="CJ1459" s="1"/>
  <c r="CF1459" s="1"/>
  <c r="CH1460"/>
  <c r="CH1461"/>
  <c r="CH1462"/>
  <c r="CH1463"/>
  <c r="CJ1463" s="1"/>
  <c r="CF1463" s="1"/>
  <c r="CH1464"/>
  <c r="CH1465"/>
  <c r="CH1466"/>
  <c r="CH1467"/>
  <c r="CJ1467" s="1"/>
  <c r="CF1467" s="1"/>
  <c r="CH1468"/>
  <c r="CH1469"/>
  <c r="CH1470"/>
  <c r="CH1471"/>
  <c r="CJ1471" s="1"/>
  <c r="CF1471" s="1"/>
  <c r="CH1472"/>
  <c r="CH1473"/>
  <c r="CH1474"/>
  <c r="CH1475"/>
  <c r="CJ1475" s="1"/>
  <c r="CF1475" s="1"/>
  <c r="CH1476"/>
  <c r="CH1477"/>
  <c r="CH1478"/>
  <c r="CH1479"/>
  <c r="CJ1479" s="1"/>
  <c r="CF1479" s="1"/>
  <c r="CH1480"/>
  <c r="CH1481"/>
  <c r="CH1482"/>
  <c r="CH1483"/>
  <c r="CJ1483" s="1"/>
  <c r="CF1483" s="1"/>
  <c r="CH1484"/>
  <c r="CH1485"/>
  <c r="CH1486"/>
  <c r="CH1487"/>
  <c r="CJ1487" s="1"/>
  <c r="CF1487" s="1"/>
  <c r="CH1488"/>
  <c r="CH1489"/>
  <c r="CH1490"/>
  <c r="CH1491"/>
  <c r="CJ1491" s="1"/>
  <c r="CF1491" s="1"/>
  <c r="CH1492"/>
  <c r="CH1493"/>
  <c r="CH1494"/>
  <c r="CH1495"/>
  <c r="CJ1495" s="1"/>
  <c r="CF1495" s="1"/>
  <c r="CH1496"/>
  <c r="CH1497"/>
  <c r="CH1498"/>
  <c r="CH1499"/>
  <c r="CJ1499" s="1"/>
  <c r="CF1499" s="1"/>
  <c r="CH1500"/>
  <c r="CH1501"/>
  <c r="CH1502"/>
  <c r="CH1503"/>
  <c r="CJ1503" s="1"/>
  <c r="CF1503" s="1"/>
  <c r="CH1504"/>
  <c r="CH1505"/>
  <c r="CH1506"/>
  <c r="CH1507"/>
  <c r="CJ1507" s="1"/>
  <c r="CF1507" s="1"/>
  <c r="CH1508"/>
  <c r="CH1509"/>
  <c r="CH1510"/>
  <c r="CH1511"/>
  <c r="CJ1511" s="1"/>
  <c r="CF1511" s="1"/>
  <c r="CH1512"/>
  <c r="CH1513"/>
  <c r="CH1514"/>
  <c r="CH1515"/>
  <c r="CJ1515" s="1"/>
  <c r="CF1515" s="1"/>
  <c r="CH1516"/>
  <c r="CH1517"/>
  <c r="CH1518"/>
  <c r="CH1519"/>
  <c r="CJ1519" s="1"/>
  <c r="CF1519" s="1"/>
  <c r="CH1520"/>
  <c r="CH1521"/>
  <c r="CH1522"/>
  <c r="CH1523"/>
  <c r="CJ1523" s="1"/>
  <c r="CF1523" s="1"/>
  <c r="CH1524"/>
  <c r="CH1525"/>
  <c r="CH1526"/>
  <c r="CH1527"/>
  <c r="CJ1527" s="1"/>
  <c r="CF1527" s="1"/>
  <c r="CH1528"/>
  <c r="CH1529"/>
  <c r="CH1530"/>
  <c r="CH1531"/>
  <c r="CJ1531" s="1"/>
  <c r="CF1531" s="1"/>
  <c r="CH1532"/>
  <c r="CH1533"/>
  <c r="CH1534"/>
  <c r="CH1535"/>
  <c r="CJ1535" s="1"/>
  <c r="CF1535" s="1"/>
  <c r="CH1536"/>
  <c r="CH1537"/>
  <c r="CH1538"/>
  <c r="CH1539"/>
  <c r="CJ1539" s="1"/>
  <c r="CF1539" s="1"/>
  <c r="CH1540"/>
  <c r="CH1541"/>
  <c r="CH1542"/>
  <c r="CH1543"/>
  <c r="CJ1543" s="1"/>
  <c r="CF1543" s="1"/>
  <c r="CH1544"/>
  <c r="CH1545"/>
  <c r="CH1546"/>
  <c r="CH1547"/>
  <c r="CJ1547" s="1"/>
  <c r="CF1547" s="1"/>
  <c r="CH1548"/>
  <c r="CH1549"/>
  <c r="CH1550"/>
  <c r="CH1551"/>
  <c r="CJ1551" s="1"/>
  <c r="CF1551" s="1"/>
  <c r="CH1552"/>
  <c r="CH1553"/>
  <c r="CH1554"/>
  <c r="CH1555"/>
  <c r="CJ1555" s="1"/>
  <c r="CF1555" s="1"/>
  <c r="CH1556"/>
  <c r="CH1557"/>
  <c r="CH1558"/>
  <c r="CH1559"/>
  <c r="CJ1559" s="1"/>
  <c r="CF1559" s="1"/>
  <c r="CH1560"/>
  <c r="CH1561"/>
  <c r="CH1562"/>
  <c r="CH1563"/>
  <c r="CJ1563" s="1"/>
  <c r="CF1563" s="1"/>
  <c r="CH1564"/>
  <c r="CH1565"/>
  <c r="CH1566"/>
  <c r="CH1567"/>
  <c r="CJ1567" s="1"/>
  <c r="CF1567" s="1"/>
  <c r="CH1568"/>
  <c r="CH1569"/>
  <c r="CH1570"/>
  <c r="CH1571"/>
  <c r="CJ1571" s="1"/>
  <c r="CF1571" s="1"/>
  <c r="CH1572"/>
  <c r="CH1573"/>
  <c r="CH1574"/>
  <c r="CH1575"/>
  <c r="CJ1575" s="1"/>
  <c r="CF1575" s="1"/>
  <c r="CH1576"/>
  <c r="CH1577"/>
  <c r="CH1578"/>
  <c r="CH1579"/>
  <c r="CJ1579" s="1"/>
  <c r="CF1579" s="1"/>
  <c r="CH1580"/>
  <c r="CH1581"/>
  <c r="CH1582"/>
  <c r="CH1583"/>
  <c r="CJ1583" s="1"/>
  <c r="CF1583" s="1"/>
  <c r="CH1584"/>
  <c r="CH1585"/>
  <c r="CH1586"/>
  <c r="CH1587"/>
  <c r="CJ1587" s="1"/>
  <c r="CF1587" s="1"/>
  <c r="CH1588"/>
  <c r="CH1589"/>
  <c r="CH1590"/>
  <c r="CH1591"/>
  <c r="CJ1591" s="1"/>
  <c r="CF1591" s="1"/>
  <c r="CH1592"/>
  <c r="CH1593"/>
  <c r="CH1594"/>
  <c r="CH1595"/>
  <c r="CJ1595" s="1"/>
  <c r="CF1595" s="1"/>
  <c r="CH1596"/>
  <c r="CH1597"/>
  <c r="CH1598"/>
  <c r="CH1599"/>
  <c r="CJ1599" s="1"/>
  <c r="CF1599" s="1"/>
  <c r="CH1600"/>
  <c r="CH1601"/>
  <c r="CH1602"/>
  <c r="CH1603"/>
  <c r="CJ1603" s="1"/>
  <c r="CF1603" s="1"/>
  <c r="CH1604"/>
  <c r="CH1605"/>
  <c r="CH1606"/>
  <c r="CH1607"/>
  <c r="CJ1607" s="1"/>
  <c r="CF1607" s="1"/>
  <c r="CH1608"/>
  <c r="CH1609"/>
  <c r="CH1610"/>
  <c r="CH1611"/>
  <c r="CJ1611" s="1"/>
  <c r="CF1611" s="1"/>
  <c r="CH1612"/>
  <c r="CH1613"/>
  <c r="CH1614"/>
  <c r="CH1615"/>
  <c r="CJ1615" s="1"/>
  <c r="CF1615" s="1"/>
  <c r="CH1616"/>
  <c r="CH1617"/>
  <c r="CH1618"/>
  <c r="CH1619"/>
  <c r="CJ1619" s="1"/>
  <c r="CF1619" s="1"/>
  <c r="CH1620"/>
  <c r="CH1621"/>
  <c r="CH1622"/>
  <c r="CH1623"/>
  <c r="CJ1623" s="1"/>
  <c r="CF1623" s="1"/>
  <c r="CH1624"/>
  <c r="CH1625"/>
  <c r="CH1626"/>
  <c r="CH1627"/>
  <c r="CJ1627" s="1"/>
  <c r="CF1627" s="1"/>
  <c r="CH1628"/>
  <c r="CH1629"/>
  <c r="CH1630"/>
  <c r="CH1631"/>
  <c r="CJ1631" s="1"/>
  <c r="CF1631" s="1"/>
  <c r="CH1632"/>
  <c r="CH1633"/>
  <c r="CH1634"/>
  <c r="CH1635"/>
  <c r="CJ1635" s="1"/>
  <c r="CF1635" s="1"/>
  <c r="CH1636"/>
  <c r="CH1637"/>
  <c r="CH1638"/>
  <c r="CH1639"/>
  <c r="CJ1639" s="1"/>
  <c r="CF1639" s="1"/>
  <c r="CH1640"/>
  <c r="CH1641"/>
  <c r="CH1642"/>
  <c r="CH1643"/>
  <c r="CJ1643" s="1"/>
  <c r="CF1643" s="1"/>
  <c r="CH1644"/>
  <c r="CH1645"/>
  <c r="CH1646"/>
  <c r="CH1647"/>
  <c r="CJ1647" s="1"/>
  <c r="CF1647" s="1"/>
  <c r="CH1648"/>
  <c r="CH1649"/>
  <c r="CH1650"/>
  <c r="CH1651"/>
  <c r="CJ1651" s="1"/>
  <c r="CF1651" s="1"/>
  <c r="CH1652"/>
  <c r="CH1653"/>
  <c r="CH1654"/>
  <c r="CH1655"/>
  <c r="CJ1655" s="1"/>
  <c r="CF1655" s="1"/>
  <c r="CH1656"/>
  <c r="CH1657"/>
  <c r="CH1658"/>
  <c r="CH1659"/>
  <c r="CJ1659" s="1"/>
  <c r="CF1659" s="1"/>
  <c r="CH1660"/>
  <c r="CH1661"/>
  <c r="CH1662"/>
  <c r="CH1663"/>
  <c r="CJ1663" s="1"/>
  <c r="CF1663" s="1"/>
  <c r="CH1664"/>
  <c r="CH1665"/>
  <c r="CH1666"/>
  <c r="CH1667"/>
  <c r="CJ1667" s="1"/>
  <c r="CF1667" s="1"/>
  <c r="CH1668"/>
  <c r="CH1669"/>
  <c r="CH1670"/>
  <c r="CH1671"/>
  <c r="CJ1671" s="1"/>
  <c r="CF1671" s="1"/>
  <c r="CH1672"/>
  <c r="CH1673"/>
  <c r="CH1674"/>
  <c r="CH1675"/>
  <c r="CJ1675" s="1"/>
  <c r="CF1675" s="1"/>
  <c r="CH1676"/>
  <c r="CH1677"/>
  <c r="CH1678"/>
  <c r="CH1679"/>
  <c r="CJ1679" s="1"/>
  <c r="CF1679" s="1"/>
  <c r="CH1680"/>
  <c r="CH1681"/>
  <c r="CH1682"/>
  <c r="CH1683"/>
  <c r="CJ1683" s="1"/>
  <c r="CF1683" s="1"/>
  <c r="CH1684"/>
  <c r="CH1685"/>
  <c r="CH1686"/>
  <c r="CH1687"/>
  <c r="CJ1687" s="1"/>
  <c r="CF1687" s="1"/>
  <c r="CH1688"/>
  <c r="CH1689"/>
  <c r="CH1690"/>
  <c r="CH1691"/>
  <c r="CJ1691" s="1"/>
  <c r="CF1691" s="1"/>
  <c r="CH1692"/>
  <c r="CH1693"/>
  <c r="CH1694"/>
  <c r="CH1695"/>
  <c r="CJ1695" s="1"/>
  <c r="CF1695" s="1"/>
  <c r="CH1696"/>
  <c r="CH1697"/>
  <c r="CH1698"/>
  <c r="CH1699"/>
  <c r="CJ1699" s="1"/>
  <c r="CF1699" s="1"/>
  <c r="CH1700"/>
  <c r="CH1701"/>
  <c r="CH1702"/>
  <c r="CH1703"/>
  <c r="CJ1703" s="1"/>
  <c r="CF1703" s="1"/>
  <c r="CH1704"/>
  <c r="CH1705"/>
  <c r="CH1706"/>
  <c r="CH1707"/>
  <c r="CJ1707" s="1"/>
  <c r="CF1707" s="1"/>
  <c r="CH1708"/>
  <c r="CH1709"/>
  <c r="CH1710"/>
  <c r="CH1711"/>
  <c r="CJ1711" s="1"/>
  <c r="CF1711" s="1"/>
  <c r="CH1712"/>
  <c r="CH1713"/>
  <c r="CH1714"/>
  <c r="CH1715"/>
  <c r="CJ1715" s="1"/>
  <c r="CF1715" s="1"/>
  <c r="CH1716"/>
  <c r="CH1717"/>
  <c r="CH1718"/>
  <c r="CH1719"/>
  <c r="CJ1719" s="1"/>
  <c r="CF1719" s="1"/>
  <c r="CH1720"/>
  <c r="CH1721"/>
  <c r="CH1722"/>
  <c r="CH1723"/>
  <c r="CJ1723" s="1"/>
  <c r="CF1723" s="1"/>
  <c r="CH1724"/>
  <c r="CH1725"/>
  <c r="CH1726"/>
  <c r="CH1727"/>
  <c r="CJ1727" s="1"/>
  <c r="CF1727" s="1"/>
  <c r="CH1728"/>
  <c r="CH1729"/>
  <c r="CH1730"/>
  <c r="CH1731"/>
  <c r="CJ1731" s="1"/>
  <c r="CF1731" s="1"/>
  <c r="CH1732"/>
  <c r="CH1733"/>
  <c r="CH1734"/>
  <c r="CH1735"/>
  <c r="CJ1735" s="1"/>
  <c r="CF1735" s="1"/>
  <c r="CH1736"/>
  <c r="CH1737"/>
  <c r="CH1738"/>
  <c r="CH1739"/>
  <c r="CJ1739" s="1"/>
  <c r="CF1739" s="1"/>
  <c r="CH1740"/>
  <c r="CH1741"/>
  <c r="CH1742"/>
  <c r="CH1743"/>
  <c r="CJ1743" s="1"/>
  <c r="CF1743" s="1"/>
  <c r="CH1744"/>
  <c r="CH1745"/>
  <c r="CH1746"/>
  <c r="CH1747"/>
  <c r="CJ1747" s="1"/>
  <c r="CF1747" s="1"/>
  <c r="CH1748"/>
  <c r="CH1749"/>
  <c r="CH1750"/>
  <c r="CH1751"/>
  <c r="CJ1751" s="1"/>
  <c r="CF1751" s="1"/>
  <c r="CH1752"/>
  <c r="CH1753"/>
  <c r="CH1754"/>
  <c r="CH1755"/>
  <c r="CJ1755" s="1"/>
  <c r="CF1755" s="1"/>
  <c r="CH1756"/>
  <c r="CH1757"/>
  <c r="CH1758"/>
  <c r="CH1759"/>
  <c r="CJ1759" s="1"/>
  <c r="CF1759" s="1"/>
  <c r="CH1760"/>
  <c r="CH1761"/>
  <c r="CH1762"/>
  <c r="CH1763"/>
  <c r="CJ1763" s="1"/>
  <c r="CF1763" s="1"/>
  <c r="CH1764"/>
  <c r="CH1765"/>
  <c r="CH1766"/>
  <c r="CH1767"/>
  <c r="CJ1767" s="1"/>
  <c r="CF1767" s="1"/>
  <c r="CH1768"/>
  <c r="CH1769"/>
  <c r="CH1770"/>
  <c r="CH1771"/>
  <c r="CJ1771" s="1"/>
  <c r="CF1771" s="1"/>
  <c r="CH1772"/>
  <c r="CH1773"/>
  <c r="CH1774"/>
  <c r="CH1775"/>
  <c r="CJ1775" s="1"/>
  <c r="CF1775" s="1"/>
  <c r="CH1776"/>
  <c r="CH1777"/>
  <c r="CH1778"/>
  <c r="CH1779"/>
  <c r="CJ1779" s="1"/>
  <c r="CF1779" s="1"/>
  <c r="CH1780"/>
  <c r="CH1781"/>
  <c r="CH1782"/>
  <c r="CH1783"/>
  <c r="CJ1783" s="1"/>
  <c r="CF1783" s="1"/>
  <c r="CH1784"/>
  <c r="CH1785"/>
  <c r="CH1786"/>
  <c r="CH1787"/>
  <c r="CJ1787" s="1"/>
  <c r="CF1787" s="1"/>
  <c r="CH1788"/>
  <c r="CH1789"/>
  <c r="CH1790"/>
  <c r="CH1791"/>
  <c r="CJ1791" s="1"/>
  <c r="CF1791" s="1"/>
  <c r="CH1792"/>
  <c r="CH1793"/>
  <c r="CH1794"/>
  <c r="CH1795"/>
  <c r="CJ1795" s="1"/>
  <c r="CF1795" s="1"/>
  <c r="CH1796"/>
  <c r="CH1797"/>
  <c r="CH1798"/>
  <c r="CH1799"/>
  <c r="CJ1799" s="1"/>
  <c r="CF1799" s="1"/>
  <c r="CH1800"/>
  <c r="CH1801"/>
  <c r="CH1802"/>
  <c r="CH1803"/>
  <c r="CJ1803" s="1"/>
  <c r="CF1803" s="1"/>
  <c r="CH1804"/>
  <c r="CH1805"/>
  <c r="CH1806"/>
  <c r="CH1807"/>
  <c r="CJ1807" s="1"/>
  <c r="CF1807" s="1"/>
  <c r="CH1808"/>
  <c r="CH1809"/>
  <c r="CH1810"/>
  <c r="CH1811"/>
  <c r="CJ1811" s="1"/>
  <c r="CF1811" s="1"/>
  <c r="CH1812"/>
  <c r="CH1813"/>
  <c r="CH1814"/>
  <c r="CH1815"/>
  <c r="CJ1815" s="1"/>
  <c r="CF1815" s="1"/>
  <c r="CH1816"/>
  <c r="CH1817"/>
  <c r="CH1818"/>
  <c r="CH1819"/>
  <c r="CJ1819" s="1"/>
  <c r="CF1819" s="1"/>
  <c r="CH1820"/>
  <c r="CH1821"/>
  <c r="CH1822"/>
  <c r="CH1823"/>
  <c r="CJ1823" s="1"/>
  <c r="CF1823" s="1"/>
  <c r="CH1824"/>
  <c r="CH1825"/>
  <c r="CH1826"/>
  <c r="CH1827"/>
  <c r="CJ1827" s="1"/>
  <c r="CF1827" s="1"/>
  <c r="CH1828"/>
  <c r="CH1829"/>
  <c r="CH1830"/>
  <c r="CH1831"/>
  <c r="CJ1831" s="1"/>
  <c r="CF1831" s="1"/>
  <c r="CH1832"/>
  <c r="CH1833"/>
  <c r="CH1834"/>
  <c r="CH1835"/>
  <c r="CJ1835" s="1"/>
  <c r="CF1835" s="1"/>
  <c r="CH1836"/>
  <c r="CH1837"/>
  <c r="CH1838"/>
  <c r="CH1839"/>
  <c r="CJ1839" s="1"/>
  <c r="CF1839" s="1"/>
  <c r="CH1840"/>
  <c r="CH1841"/>
  <c r="CH1842"/>
  <c r="CH1843"/>
  <c r="CJ1843" s="1"/>
  <c r="CF1843" s="1"/>
  <c r="CH1844"/>
  <c r="CH1845"/>
  <c r="CH1846"/>
  <c r="CH1847"/>
  <c r="CJ1847" s="1"/>
  <c r="CF1847" s="1"/>
  <c r="CH1848"/>
  <c r="CH1849"/>
  <c r="CH1850"/>
  <c r="CH1851"/>
  <c r="CJ1851" s="1"/>
  <c r="CF1851" s="1"/>
  <c r="CH1852"/>
  <c r="CH1853"/>
  <c r="CH1854"/>
  <c r="CH1855"/>
  <c r="CJ1855" s="1"/>
  <c r="CF1855" s="1"/>
  <c r="CH1856"/>
  <c r="CH1857"/>
  <c r="CH1858"/>
  <c r="CH1859"/>
  <c r="CJ1859" s="1"/>
  <c r="CF1859" s="1"/>
  <c r="CH1860"/>
  <c r="CH1861"/>
  <c r="CH1862"/>
  <c r="CH1863"/>
  <c r="CJ1863" s="1"/>
  <c r="CF1863" s="1"/>
  <c r="CH1864"/>
  <c r="CH1865"/>
  <c r="CH1866"/>
  <c r="CH1867"/>
  <c r="CJ1867" s="1"/>
  <c r="CF1867" s="1"/>
  <c r="CH1868"/>
  <c r="CH1869"/>
  <c r="CH1870"/>
  <c r="CH1871"/>
  <c r="CJ1871" s="1"/>
  <c r="CF1871" s="1"/>
  <c r="CH1872"/>
  <c r="CH1873"/>
  <c r="CH1874"/>
  <c r="CH1875"/>
  <c r="CJ1875" s="1"/>
  <c r="CF1875" s="1"/>
  <c r="CH1876"/>
  <c r="CH1877"/>
  <c r="CH1878"/>
  <c r="CH1879"/>
  <c r="CJ1879" s="1"/>
  <c r="CF1879" s="1"/>
  <c r="CH1880"/>
  <c r="CH1881"/>
  <c r="CH1882"/>
  <c r="CH1883"/>
  <c r="CJ1883" s="1"/>
  <c r="CF1883" s="1"/>
  <c r="CH1884"/>
  <c r="CH1885"/>
  <c r="CH1886"/>
  <c r="CH1887"/>
  <c r="CJ1887" s="1"/>
  <c r="CF1887" s="1"/>
  <c r="CH1888"/>
  <c r="CH1889"/>
  <c r="CH1890"/>
  <c r="CH1891"/>
  <c r="CJ1891" s="1"/>
  <c r="CF1891" s="1"/>
  <c r="CH1892"/>
  <c r="CH1893"/>
  <c r="CH1894"/>
  <c r="CH1895"/>
  <c r="CJ1895" s="1"/>
  <c r="CF1895" s="1"/>
  <c r="CH1896"/>
  <c r="CH1897"/>
  <c r="CH1898"/>
  <c r="CH1899"/>
  <c r="CJ1899" s="1"/>
  <c r="CF1899" s="1"/>
  <c r="CH1900"/>
  <c r="CH1901"/>
  <c r="CH1902"/>
  <c r="CH1903"/>
  <c r="CJ1903" s="1"/>
  <c r="CF1903" s="1"/>
  <c r="CH1904"/>
  <c r="CH1905"/>
  <c r="CH1906"/>
  <c r="CH1907"/>
  <c r="CJ1907" s="1"/>
  <c r="CF1907" s="1"/>
  <c r="CH1908"/>
  <c r="CH1909"/>
  <c r="CH1910"/>
  <c r="CH1911"/>
  <c r="CJ1911" s="1"/>
  <c r="CF1911" s="1"/>
  <c r="CH1912"/>
  <c r="CH1913"/>
  <c r="CH1914"/>
  <c r="CH1915"/>
  <c r="CJ1915" s="1"/>
  <c r="CF1915" s="1"/>
  <c r="CH1916"/>
  <c r="CH1917"/>
  <c r="CH1918"/>
  <c r="CH1919"/>
  <c r="CJ1919" s="1"/>
  <c r="CF1919" s="1"/>
  <c r="CH1920"/>
  <c r="CH1921"/>
  <c r="CH1922"/>
  <c r="CH1923"/>
  <c r="CJ1923" s="1"/>
  <c r="CF1923" s="1"/>
  <c r="CH1924"/>
  <c r="CH1925"/>
  <c r="CH1926"/>
  <c r="CH1927"/>
  <c r="CJ1927" s="1"/>
  <c r="CF1927" s="1"/>
  <c r="CH1928"/>
  <c r="CH1929"/>
  <c r="CH1930"/>
  <c r="CH1931"/>
  <c r="CJ1931" s="1"/>
  <c r="CF1931" s="1"/>
  <c r="CH1932"/>
  <c r="CH1933"/>
  <c r="CH1934"/>
  <c r="CH1935"/>
  <c r="CJ1935" s="1"/>
  <c r="CF1935" s="1"/>
  <c r="CH1936"/>
  <c r="CH1937"/>
  <c r="CH1938"/>
  <c r="CH1939"/>
  <c r="CJ1939" s="1"/>
  <c r="CF1939" s="1"/>
  <c r="CH1940"/>
  <c r="CH1941"/>
  <c r="CH1942"/>
  <c r="CH1943"/>
  <c r="CJ1943" s="1"/>
  <c r="CF1943" s="1"/>
  <c r="CH1944"/>
  <c r="CH1945"/>
  <c r="CH1946"/>
  <c r="CH1947"/>
  <c r="CJ1947" s="1"/>
  <c r="CF1947" s="1"/>
  <c r="CH1948"/>
  <c r="CH1949"/>
  <c r="CH1950"/>
  <c r="CH1951"/>
  <c r="CJ1951" s="1"/>
  <c r="CF1951" s="1"/>
  <c r="CH1952"/>
  <c r="CH1953"/>
  <c r="CH1954"/>
  <c r="CH1955"/>
  <c r="CJ1955" s="1"/>
  <c r="CF1955" s="1"/>
  <c r="CH1956"/>
  <c r="CH1957"/>
  <c r="CH1958"/>
  <c r="CH1959"/>
  <c r="CJ1959" s="1"/>
  <c r="CF1959" s="1"/>
  <c r="CH1960"/>
  <c r="CH1961"/>
  <c r="CH1962"/>
  <c r="CH1963"/>
  <c r="CJ1963" s="1"/>
  <c r="CF1963" s="1"/>
  <c r="CH1964"/>
  <c r="CH1965"/>
  <c r="CH1966"/>
  <c r="CH1967"/>
  <c r="CJ1967" s="1"/>
  <c r="CF1967" s="1"/>
  <c r="CH1968"/>
  <c r="CH1969"/>
  <c r="CH1970"/>
  <c r="CH1971"/>
  <c r="CJ1971" s="1"/>
  <c r="CF1971" s="1"/>
  <c r="CH1972"/>
  <c r="CH1973"/>
  <c r="CH1974"/>
  <c r="CH1975"/>
  <c r="CJ1975" s="1"/>
  <c r="CF1975" s="1"/>
  <c r="CH1976"/>
  <c r="CH1977"/>
  <c r="CH1978"/>
  <c r="CH1979"/>
  <c r="CJ1979" s="1"/>
  <c r="CF1979" s="1"/>
  <c r="CH1980"/>
  <c r="CH1981"/>
  <c r="CH1982"/>
  <c r="CH1983"/>
  <c r="CJ1983" s="1"/>
  <c r="CF1983" s="1"/>
  <c r="CH1984"/>
  <c r="CH1985"/>
  <c r="CH1986"/>
  <c r="CH1987"/>
  <c r="CJ1987" s="1"/>
  <c r="CF1987" s="1"/>
  <c r="CH1988"/>
  <c r="CH1989"/>
  <c r="CH1990"/>
  <c r="CH1991"/>
  <c r="CJ1991" s="1"/>
  <c r="CF1991" s="1"/>
  <c r="CH1992"/>
  <c r="CH1993"/>
  <c r="CH1994"/>
  <c r="CH1995"/>
  <c r="CJ1995" s="1"/>
  <c r="CF1995" s="1"/>
  <c r="CH1996"/>
  <c r="CH1997"/>
  <c r="CH1998"/>
  <c r="CH1999"/>
  <c r="CJ1999" s="1"/>
  <c r="CF1999" s="1"/>
  <c r="CH2000"/>
  <c r="CH2001"/>
  <c r="CH2002"/>
  <c r="CH2003"/>
  <c r="CJ2003" s="1"/>
  <c r="CF2003" s="1"/>
  <c r="CH2004"/>
  <c r="CH2005"/>
  <c r="CH2006"/>
  <c r="CH2007"/>
  <c r="CJ2007" s="1"/>
  <c r="CF2007" s="1"/>
  <c r="CH2008"/>
  <c r="CH2009"/>
  <c r="CH2010"/>
  <c r="CH2011"/>
  <c r="CJ2011" s="1"/>
  <c r="CF2011" s="1"/>
  <c r="CH2012"/>
  <c r="CH2013"/>
  <c r="CH2014"/>
  <c r="CH2015"/>
  <c r="CJ2015" s="1"/>
  <c r="CF2015" s="1"/>
  <c r="CH2016"/>
  <c r="CH2017"/>
  <c r="CH2018"/>
  <c r="CH2019"/>
  <c r="CJ2019" s="1"/>
  <c r="CF2019" s="1"/>
  <c r="CH2020"/>
  <c r="CH2021"/>
  <c r="CH2022"/>
  <c r="CH2023"/>
  <c r="CJ2023" s="1"/>
  <c r="CF2023" s="1"/>
  <c r="CH2024"/>
  <c r="CH2025"/>
  <c r="CH2026"/>
  <c r="CH2027"/>
  <c r="CJ2027" s="1"/>
  <c r="CF2027" s="1"/>
  <c r="CH2028"/>
  <c r="CH2029"/>
  <c r="CH2030"/>
  <c r="CH2031"/>
  <c r="CJ2031" s="1"/>
  <c r="CF2031" s="1"/>
  <c r="CH2032"/>
  <c r="CH2033"/>
  <c r="CH2034"/>
  <c r="CH2035"/>
  <c r="CJ2035" s="1"/>
  <c r="CF2035" s="1"/>
  <c r="CH2036"/>
  <c r="CH2037"/>
  <c r="CH2038"/>
  <c r="CH2039"/>
  <c r="CJ2039" s="1"/>
  <c r="CF2039" s="1"/>
  <c r="CH2040"/>
  <c r="CH2041"/>
  <c r="CH2042"/>
  <c r="CH2043"/>
  <c r="CJ2043" s="1"/>
  <c r="CF2043" s="1"/>
  <c r="CH2044"/>
  <c r="CH2045"/>
  <c r="CH2046"/>
  <c r="CH2047"/>
  <c r="CJ2047" s="1"/>
  <c r="CF2047" s="1"/>
  <c r="CH2048"/>
  <c r="CH2049"/>
  <c r="CH2050"/>
  <c r="CH2051"/>
  <c r="CJ2051" s="1"/>
  <c r="CF2051" s="1"/>
  <c r="CH2052"/>
  <c r="CH2053"/>
  <c r="CH2054"/>
  <c r="CH2055"/>
  <c r="CJ2055" s="1"/>
  <c r="CF2055" s="1"/>
  <c r="CH2056"/>
  <c r="CH2057"/>
  <c r="CH2058"/>
  <c r="CH2059"/>
  <c r="CJ2059" s="1"/>
  <c r="CF2059" s="1"/>
  <c r="CH2060"/>
  <c r="CH2061"/>
  <c r="CH2062"/>
  <c r="CH2063"/>
  <c r="CJ2063" s="1"/>
  <c r="CF2063" s="1"/>
  <c r="CH2064"/>
  <c r="CH2065"/>
  <c r="CH2066"/>
  <c r="CH2067"/>
  <c r="CJ2067" s="1"/>
  <c r="CF2067" s="1"/>
  <c r="CH2068"/>
  <c r="CH2069"/>
  <c r="CH2070"/>
  <c r="CH2071"/>
  <c r="CJ2071" s="1"/>
  <c r="CF2071" s="1"/>
  <c r="CH2072"/>
  <c r="CH2073"/>
  <c r="CH2074"/>
  <c r="CH2075"/>
  <c r="CJ2075" s="1"/>
  <c r="CF2075" s="1"/>
  <c r="CH2076"/>
  <c r="CH2077"/>
  <c r="CH2078"/>
  <c r="CH2079"/>
  <c r="CJ2079" s="1"/>
  <c r="CF2079" s="1"/>
  <c r="CH2080"/>
  <c r="CH2081"/>
  <c r="CH2082"/>
  <c r="CH2083"/>
  <c r="CJ2083" s="1"/>
  <c r="CF2083" s="1"/>
  <c r="CH2084"/>
  <c r="CH2085"/>
  <c r="CH2086"/>
  <c r="CH2087"/>
  <c r="CJ2087" s="1"/>
  <c r="CF2087" s="1"/>
  <c r="CH2088"/>
  <c r="CH2089"/>
  <c r="CH2090"/>
  <c r="CH2091"/>
  <c r="CJ2091" s="1"/>
  <c r="CF2091" s="1"/>
  <c r="CH2092"/>
  <c r="CH2093"/>
  <c r="CH2094"/>
  <c r="CH2095"/>
  <c r="CJ2095" s="1"/>
  <c r="CF2095" s="1"/>
  <c r="CH2096"/>
  <c r="CH2097"/>
  <c r="CH2098"/>
  <c r="CH2099"/>
  <c r="CJ2099" s="1"/>
  <c r="CF2099" s="1"/>
  <c r="CH2100"/>
  <c r="CH2101"/>
  <c r="CH2102"/>
  <c r="CH2103"/>
  <c r="CJ2103" s="1"/>
  <c r="CF2103" s="1"/>
  <c r="CH2104"/>
  <c r="CH2105"/>
  <c r="CH2106"/>
  <c r="CH2107"/>
  <c r="CJ2107" s="1"/>
  <c r="CF2107" s="1"/>
  <c r="CH2108"/>
  <c r="CH2109"/>
  <c r="CH2110"/>
  <c r="CH2111"/>
  <c r="CJ2111" s="1"/>
  <c r="CF2111" s="1"/>
  <c r="CH2112"/>
  <c r="CH2113"/>
  <c r="CH2114"/>
  <c r="CH2115"/>
  <c r="CJ2115" s="1"/>
  <c r="CF2115" s="1"/>
  <c r="CH2116"/>
  <c r="CH2117"/>
  <c r="CH2118"/>
  <c r="CH2119"/>
  <c r="CJ2119" s="1"/>
  <c r="CF2119" s="1"/>
  <c r="CH2120"/>
  <c r="CH2121"/>
  <c r="CH2122"/>
  <c r="CH2123"/>
  <c r="CJ2123" s="1"/>
  <c r="CF2123" s="1"/>
  <c r="CH2124"/>
  <c r="CH2125"/>
  <c r="CH2126"/>
  <c r="CH2127"/>
  <c r="CJ2127" s="1"/>
  <c r="CF2127" s="1"/>
  <c r="CH2128"/>
  <c r="CH2129"/>
  <c r="CH2130"/>
  <c r="CH2131"/>
  <c r="CJ2131" s="1"/>
  <c r="CF2131" s="1"/>
  <c r="CH2132"/>
  <c r="CH2133"/>
  <c r="CH2134"/>
  <c r="CH2135"/>
  <c r="CJ2135" s="1"/>
  <c r="CF2135" s="1"/>
  <c r="CH2136"/>
  <c r="CH2137"/>
  <c r="CH2138"/>
  <c r="CH2139"/>
  <c r="CJ2139" s="1"/>
  <c r="CF2139" s="1"/>
  <c r="CH2140"/>
  <c r="CH2141"/>
  <c r="CH2142"/>
  <c r="CH2143"/>
  <c r="CJ2143" s="1"/>
  <c r="CF2143" s="1"/>
  <c r="CH2144"/>
  <c r="CH2145"/>
  <c r="CH2146"/>
  <c r="CH2147"/>
  <c r="CJ2147" s="1"/>
  <c r="CF2147" s="1"/>
  <c r="CH2148"/>
  <c r="CH2149"/>
  <c r="CH2150"/>
  <c r="CH2151"/>
  <c r="CJ2151" s="1"/>
  <c r="CF2151" s="1"/>
  <c r="CH2152"/>
  <c r="CH2153"/>
  <c r="CH2154"/>
  <c r="CH2155"/>
  <c r="CJ2155" s="1"/>
  <c r="CF2155" s="1"/>
  <c r="CH2156"/>
  <c r="CH2157"/>
  <c r="CH2158"/>
  <c r="CH2159"/>
  <c r="CJ2159" s="1"/>
  <c r="CF2159" s="1"/>
  <c r="CH2160"/>
  <c r="CH2161"/>
  <c r="CH2162"/>
  <c r="CH2163"/>
  <c r="CJ2163" s="1"/>
  <c r="CF2163" s="1"/>
  <c r="CH2164"/>
  <c r="CH2165"/>
  <c r="CH2166"/>
  <c r="CH2167"/>
  <c r="CJ2167" s="1"/>
  <c r="CF2167" s="1"/>
  <c r="CH2168"/>
  <c r="CH2169"/>
  <c r="CH2170"/>
  <c r="CH2171"/>
  <c r="CJ2171" s="1"/>
  <c r="CF2171" s="1"/>
  <c r="CH2172"/>
  <c r="CH2173"/>
  <c r="CH2174"/>
  <c r="CH2175"/>
  <c r="CJ2175" s="1"/>
  <c r="CF2175" s="1"/>
  <c r="CH2176"/>
  <c r="CH2177"/>
  <c r="CH2178"/>
  <c r="CH2179"/>
  <c r="CJ2179" s="1"/>
  <c r="CF2179" s="1"/>
  <c r="CH2180"/>
  <c r="CH2181"/>
  <c r="CH2182"/>
  <c r="CH2183"/>
  <c r="CJ2183" s="1"/>
  <c r="CF2183" s="1"/>
  <c r="CH2184"/>
  <c r="CH2185"/>
  <c r="CH2186"/>
  <c r="CH2187"/>
  <c r="CJ2187" s="1"/>
  <c r="CF2187" s="1"/>
  <c r="CH2188"/>
  <c r="CH2189"/>
  <c r="CH2190"/>
  <c r="CH2191"/>
  <c r="CJ2191" s="1"/>
  <c r="CF2191" s="1"/>
  <c r="CH2192"/>
  <c r="CH2193"/>
  <c r="CH2194"/>
  <c r="CH2195"/>
  <c r="CJ2195" s="1"/>
  <c r="CF2195" s="1"/>
  <c r="CH2196"/>
  <c r="CH2197"/>
  <c r="CH2198"/>
  <c r="CH2199"/>
  <c r="CJ2199" s="1"/>
  <c r="CF2199" s="1"/>
  <c r="CH2200"/>
  <c r="CH2201"/>
  <c r="CH2202"/>
  <c r="CH2203"/>
  <c r="CJ2203" s="1"/>
  <c r="CF2203" s="1"/>
  <c r="CH2204"/>
  <c r="CH2205"/>
  <c r="CH2206"/>
  <c r="CH2207"/>
  <c r="CJ2207" s="1"/>
  <c r="CF2207" s="1"/>
  <c r="CH2208"/>
  <c r="CH2209"/>
  <c r="CH2210"/>
  <c r="CH2211"/>
  <c r="CJ2211" s="1"/>
  <c r="CF2211" s="1"/>
  <c r="CH2212"/>
  <c r="CH2213"/>
  <c r="CH2214"/>
  <c r="CH2215"/>
  <c r="CJ2215" s="1"/>
  <c r="CF2215" s="1"/>
  <c r="CH2216"/>
  <c r="CH2217"/>
  <c r="CH2218"/>
  <c r="CH2219"/>
  <c r="CJ2219" s="1"/>
  <c r="CF2219" s="1"/>
  <c r="CH2220"/>
  <c r="CH2221"/>
  <c r="CH2222"/>
  <c r="CH2223"/>
  <c r="CJ2223" s="1"/>
  <c r="CF2223" s="1"/>
  <c r="CH2224"/>
  <c r="CH2225"/>
  <c r="CH2226"/>
  <c r="CH2227"/>
  <c r="CJ2227" s="1"/>
  <c r="CF2227" s="1"/>
  <c r="CH2228"/>
  <c r="CH2229"/>
  <c r="CH2230"/>
  <c r="CH2231"/>
  <c r="CJ2231" s="1"/>
  <c r="CF2231" s="1"/>
  <c r="CH2232"/>
  <c r="CH2233"/>
  <c r="CH2234"/>
  <c r="CH2235"/>
  <c r="CJ2235" s="1"/>
  <c r="CF2235" s="1"/>
  <c r="CH2236"/>
  <c r="CH2237"/>
  <c r="CH2238"/>
  <c r="CH2239"/>
  <c r="CJ2239" s="1"/>
  <c r="CF2239" s="1"/>
  <c r="CH2240"/>
  <c r="CH2241"/>
  <c r="CH2242"/>
  <c r="CH2243"/>
  <c r="CJ2243" s="1"/>
  <c r="CF2243" s="1"/>
  <c r="CH2244"/>
  <c r="CH2245"/>
  <c r="CH2246"/>
  <c r="CH2247"/>
  <c r="CJ2247" s="1"/>
  <c r="CF2247" s="1"/>
  <c r="CH2248"/>
  <c r="CH2249"/>
  <c r="CH2250"/>
  <c r="CH2251"/>
  <c r="CJ2251" s="1"/>
  <c r="CF2251" s="1"/>
  <c r="CH2252"/>
  <c r="CH2253"/>
  <c r="CH2254"/>
  <c r="CH2255"/>
  <c r="CJ2255" s="1"/>
  <c r="CF2255" s="1"/>
  <c r="CH2256"/>
  <c r="CH2257"/>
  <c r="CH2258"/>
  <c r="CH2259"/>
  <c r="CJ2259" s="1"/>
  <c r="CF2259" s="1"/>
  <c r="CH2260"/>
  <c r="CH2261"/>
  <c r="CH2262"/>
  <c r="CH2263"/>
  <c r="CJ2263" s="1"/>
  <c r="CF2263" s="1"/>
  <c r="CH2264"/>
  <c r="CH2265"/>
  <c r="CH2266"/>
  <c r="CH2267"/>
  <c r="CJ2267" s="1"/>
  <c r="CF2267" s="1"/>
  <c r="CH2268"/>
  <c r="CH2269"/>
  <c r="CH2270"/>
  <c r="CH2271"/>
  <c r="CJ2271" s="1"/>
  <c r="CF2271" s="1"/>
  <c r="CH2272"/>
  <c r="CH2273"/>
  <c r="CH2274"/>
  <c r="CH2275"/>
  <c r="CJ2275" s="1"/>
  <c r="CF2275" s="1"/>
  <c r="CH2276"/>
  <c r="CH2277"/>
  <c r="CH2278"/>
  <c r="CH2279"/>
  <c r="CJ2279" s="1"/>
  <c r="CF2279" s="1"/>
  <c r="CH2280"/>
  <c r="CH2281"/>
  <c r="CH2282"/>
  <c r="CH2283"/>
  <c r="CJ2283" s="1"/>
  <c r="CF2283" s="1"/>
  <c r="CH2284"/>
  <c r="CH2285"/>
  <c r="CH2286"/>
  <c r="CH2287"/>
  <c r="CJ2287" s="1"/>
  <c r="CF2287" s="1"/>
  <c r="CH2288"/>
  <c r="CH2289"/>
  <c r="CH2290"/>
  <c r="CH2291"/>
  <c r="CJ2291" s="1"/>
  <c r="CF2291" s="1"/>
  <c r="CH2292"/>
  <c r="CH2293"/>
  <c r="CH2294"/>
  <c r="CH2295"/>
  <c r="CJ2295" s="1"/>
  <c r="CF2295" s="1"/>
  <c r="CH2296"/>
  <c r="CH2297"/>
  <c r="CH2298"/>
  <c r="CH2299"/>
  <c r="CJ2299" s="1"/>
  <c r="CF2299" s="1"/>
  <c r="CH2300"/>
  <c r="CH2301"/>
  <c r="CH2302"/>
  <c r="CH2303"/>
  <c r="CJ2303" s="1"/>
  <c r="CF2303" s="1"/>
  <c r="CH2304"/>
  <c r="CH2305"/>
  <c r="CH2306"/>
  <c r="CH2307"/>
  <c r="CJ2307" s="1"/>
  <c r="CF2307" s="1"/>
  <c r="CH2308"/>
  <c r="CH2309"/>
  <c r="CH2310"/>
  <c r="CH2311"/>
  <c r="CJ2311" s="1"/>
  <c r="CF2311" s="1"/>
  <c r="CH2312"/>
  <c r="CH2313"/>
  <c r="CH2314"/>
  <c r="CH2315"/>
  <c r="CJ2315" s="1"/>
  <c r="CF2315" s="1"/>
  <c r="CH2316"/>
  <c r="CH2317"/>
  <c r="CH2318"/>
  <c r="CH2319"/>
  <c r="CJ2319" s="1"/>
  <c r="CF2319" s="1"/>
  <c r="CH2320"/>
  <c r="CH2321"/>
  <c r="CH2322"/>
  <c r="CH2323"/>
  <c r="CJ2323" s="1"/>
  <c r="CF2323" s="1"/>
  <c r="CH2324"/>
  <c r="CH2325"/>
  <c r="CH2326"/>
  <c r="CH2327"/>
  <c r="CJ2327" s="1"/>
  <c r="CF2327" s="1"/>
  <c r="CH2328"/>
  <c r="CH2329"/>
  <c r="CH2330"/>
  <c r="CH2331"/>
  <c r="CJ2331" s="1"/>
  <c r="CF2331" s="1"/>
  <c r="CH2332"/>
  <c r="CH2333"/>
  <c r="CH2334"/>
  <c r="CH2335"/>
  <c r="CJ2335" s="1"/>
  <c r="CF2335" s="1"/>
  <c r="CH2336"/>
  <c r="CH2337"/>
  <c r="CH2338"/>
  <c r="CH2339"/>
  <c r="CJ2339" s="1"/>
  <c r="CF2339" s="1"/>
  <c r="CH2340"/>
  <c r="CH2341"/>
  <c r="CH2342"/>
  <c r="CH2343"/>
  <c r="CJ2343" s="1"/>
  <c r="CF2343" s="1"/>
  <c r="CH2344"/>
  <c r="CH2345"/>
  <c r="CH2346"/>
  <c r="CH2347"/>
  <c r="CJ2347" s="1"/>
  <c r="CF2347" s="1"/>
  <c r="CH2348"/>
  <c r="CH2349"/>
  <c r="CH2350"/>
  <c r="CH2351"/>
  <c r="CJ2351" s="1"/>
  <c r="CF2351" s="1"/>
  <c r="CH2352"/>
  <c r="CH2353"/>
  <c r="CH2354"/>
  <c r="CH2355"/>
  <c r="CJ2355" s="1"/>
  <c r="CH2356"/>
  <c r="CH2357"/>
  <c r="CH2358"/>
  <c r="CH2359"/>
  <c r="CJ2359" s="1"/>
  <c r="CH2360"/>
  <c r="CH2361"/>
  <c r="CH2362"/>
  <c r="CH2363"/>
  <c r="CJ2363" s="1"/>
  <c r="CH2364"/>
  <c r="CH2365"/>
  <c r="CH2366"/>
  <c r="CH2367"/>
  <c r="CJ2367" s="1"/>
  <c r="CH2368"/>
  <c r="CH2369"/>
  <c r="CH2370"/>
  <c r="CH2371"/>
  <c r="CJ2371" s="1"/>
  <c r="CH2372"/>
  <c r="CH2373"/>
  <c r="CH2374"/>
  <c r="CH2375"/>
  <c r="CJ2375" s="1"/>
  <c r="CH2376"/>
  <c r="CH2377"/>
  <c r="CH2378"/>
  <c r="CH2379"/>
  <c r="CJ2379" s="1"/>
  <c r="CH2380"/>
  <c r="CH2381"/>
  <c r="CH2382"/>
  <c r="CH2383"/>
  <c r="CJ2383" s="1"/>
  <c r="CH2384"/>
  <c r="CH2385"/>
  <c r="CH2386"/>
  <c r="CH2387"/>
  <c r="CJ2387" s="1"/>
  <c r="CH2388"/>
  <c r="CH2389"/>
  <c r="CH2390"/>
  <c r="CH2391"/>
  <c r="CJ2391" s="1"/>
  <c r="CH2392"/>
  <c r="CH2393"/>
  <c r="CH2394"/>
  <c r="CH2395"/>
  <c r="CJ2395" s="1"/>
  <c r="CH2396"/>
  <c r="CH2397"/>
  <c r="CH2398"/>
  <c r="CH2399"/>
  <c r="CJ2399" s="1"/>
  <c r="CH2400"/>
  <c r="CH2401"/>
  <c r="CH2402"/>
  <c r="CH2403"/>
  <c r="CJ2403" s="1"/>
  <c r="CH2404"/>
  <c r="CH2405"/>
  <c r="CH2406"/>
  <c r="CH2407"/>
  <c r="CJ2407" s="1"/>
  <c r="CH2408"/>
  <c r="CH2409"/>
  <c r="CH2410"/>
  <c r="CH2411"/>
  <c r="CJ2411" s="1"/>
  <c r="CH2412"/>
  <c r="CH2413"/>
  <c r="CH2414"/>
  <c r="CH2415"/>
  <c r="CJ2415" s="1"/>
  <c r="CH2416"/>
  <c r="CH2417"/>
  <c r="CH2418"/>
  <c r="CH2419"/>
  <c r="CJ2419" s="1"/>
  <c r="CH2420"/>
  <c r="CH2421"/>
  <c r="CH2422"/>
  <c r="CH2423"/>
  <c r="CJ2423" s="1"/>
  <c r="CH2424"/>
  <c r="CH2425"/>
  <c r="CH2426"/>
  <c r="CH2427"/>
  <c r="CJ2427" s="1"/>
  <c r="CH2428"/>
  <c r="CH2429"/>
  <c r="CH2430"/>
  <c r="CH2431"/>
  <c r="CJ2431" s="1"/>
  <c r="CH2432"/>
  <c r="CH2433"/>
  <c r="CH2434"/>
  <c r="CH2435"/>
  <c r="CJ2435" s="1"/>
  <c r="CH2436"/>
  <c r="CH2437"/>
  <c r="CH2438"/>
  <c r="CH2439"/>
  <c r="CJ2439" s="1"/>
  <c r="CH2440"/>
  <c r="CH2441"/>
  <c r="CH2442"/>
  <c r="CH2443"/>
  <c r="CJ2443" s="1"/>
  <c r="CH2444"/>
  <c r="CH2445"/>
  <c r="CH2446"/>
  <c r="CH2447"/>
  <c r="CJ2447" s="1"/>
  <c r="CH2448"/>
  <c r="CH2449"/>
  <c r="CH2450"/>
  <c r="CH2451"/>
  <c r="CJ2451" s="1"/>
  <c r="CH2452"/>
  <c r="CH2453"/>
  <c r="CH2454"/>
  <c r="CH2455"/>
  <c r="CJ2455" s="1"/>
  <c r="CH2456"/>
  <c r="CH2457"/>
  <c r="CH2458"/>
  <c r="CH2459"/>
  <c r="CJ2459" s="1"/>
  <c r="CH2460"/>
  <c r="CH2461"/>
  <c r="CH2462"/>
  <c r="CH2463"/>
  <c r="CJ2463" s="1"/>
  <c r="CH2464"/>
  <c r="CH2465"/>
  <c r="CH2466"/>
  <c r="CH2467"/>
  <c r="CJ2467" s="1"/>
  <c r="CH2468"/>
  <c r="CH2469"/>
  <c r="CH2470"/>
  <c r="CH2471"/>
  <c r="CJ2471" s="1"/>
  <c r="CH2472"/>
  <c r="CH2473"/>
  <c r="CH2474"/>
  <c r="CH2475"/>
  <c r="CJ2475" s="1"/>
  <c r="CH2476"/>
  <c r="CH2477"/>
  <c r="CH2478"/>
  <c r="CH2479"/>
  <c r="CJ2479" s="1"/>
  <c r="CH2480"/>
  <c r="CH2481"/>
  <c r="CH2482"/>
  <c r="CH2483"/>
  <c r="CJ2483" s="1"/>
  <c r="CH2484"/>
  <c r="CH2485"/>
  <c r="CH2486"/>
  <c r="CH2487"/>
  <c r="CJ2487" s="1"/>
  <c r="CH2488"/>
  <c r="CH2489"/>
  <c r="CH2490"/>
  <c r="CH2491"/>
  <c r="CJ2491" s="1"/>
  <c r="CH2492"/>
  <c r="CH2493"/>
  <c r="CH2494"/>
  <c r="CH2495"/>
  <c r="CJ2495" s="1"/>
  <c r="CH2496"/>
  <c r="CH2497"/>
  <c r="CH2498"/>
  <c r="CH2499"/>
  <c r="CJ2499" s="1"/>
  <c r="CH2500"/>
  <c r="CH2501"/>
  <c r="CH2502"/>
  <c r="CH2503"/>
  <c r="CJ2503" s="1"/>
  <c r="CH2504"/>
  <c r="CH2505"/>
  <c r="CH2506"/>
  <c r="CH2507"/>
  <c r="CJ2507" s="1"/>
  <c r="CH2508"/>
  <c r="CH2509"/>
  <c r="CH2510"/>
  <c r="CH2511"/>
  <c r="CJ2511" s="1"/>
  <c r="CH2512"/>
  <c r="CH2513"/>
  <c r="CH2514"/>
  <c r="CH2515"/>
  <c r="CJ2515" s="1"/>
  <c r="CH2516"/>
  <c r="CH2517"/>
  <c r="CH2518"/>
  <c r="CH2519"/>
  <c r="CJ2519" s="1"/>
  <c r="CH2520"/>
  <c r="CH2521"/>
  <c r="CH2522"/>
  <c r="CH2523"/>
  <c r="CJ2523" s="1"/>
  <c r="CH2524"/>
  <c r="CH2525"/>
  <c r="CH2526"/>
  <c r="CH2527"/>
  <c r="CJ2527" s="1"/>
  <c r="CH2528"/>
  <c r="CH2529"/>
  <c r="CH2530"/>
  <c r="CH2531"/>
  <c r="CJ2531" s="1"/>
  <c r="CH2532"/>
  <c r="CH2533"/>
  <c r="CH2534"/>
  <c r="CH2535"/>
  <c r="CJ2535" s="1"/>
  <c r="CH2536"/>
  <c r="CH2537"/>
  <c r="CH2538"/>
  <c r="CH2539"/>
  <c r="CJ2539" s="1"/>
  <c r="CH2540"/>
  <c r="CH2541"/>
  <c r="CH2542"/>
  <c r="CH2543"/>
  <c r="CJ2543" s="1"/>
  <c r="CH2544"/>
  <c r="CH2545"/>
  <c r="CH2546"/>
  <c r="CH2547"/>
  <c r="CJ2547" s="1"/>
  <c r="CH2548"/>
  <c r="CH2549"/>
  <c r="CH2550"/>
  <c r="CH2551"/>
  <c r="CJ2551" s="1"/>
  <c r="CH2552"/>
  <c r="CH2553"/>
  <c r="CH2554"/>
  <c r="CH2555"/>
  <c r="CJ2555" s="1"/>
  <c r="CH2556"/>
  <c r="CH2557"/>
  <c r="CH2558"/>
  <c r="CH2559"/>
  <c r="CJ2559" s="1"/>
  <c r="CH2560"/>
  <c r="CH2561"/>
  <c r="CH2562"/>
  <c r="CH2563"/>
  <c r="CJ2563" s="1"/>
  <c r="CH2564"/>
  <c r="CH2565"/>
  <c r="CH2566"/>
  <c r="CH2567"/>
  <c r="CJ2567" s="1"/>
  <c r="CH2568"/>
  <c r="CH2569"/>
  <c r="CH2570"/>
  <c r="CH2571"/>
  <c r="CJ2571" s="1"/>
  <c r="CH2572"/>
  <c r="CH2573"/>
  <c r="CH2574"/>
  <c r="CH2575"/>
  <c r="CJ2575" s="1"/>
  <c r="CH2576"/>
  <c r="CH2577"/>
  <c r="CH2578"/>
  <c r="CH2579"/>
  <c r="CJ2579" s="1"/>
  <c r="CH2580"/>
  <c r="CH2581"/>
  <c r="CH2582"/>
  <c r="CH2583"/>
  <c r="CJ2583" s="1"/>
  <c r="CH2584"/>
  <c r="CH2585"/>
  <c r="CH2586"/>
  <c r="CH2587"/>
  <c r="CJ2587" s="1"/>
  <c r="CH2588"/>
  <c r="CH2589"/>
  <c r="CH2590"/>
  <c r="CH2591"/>
  <c r="CJ2591" s="1"/>
  <c r="CH2592"/>
  <c r="CH2593"/>
  <c r="CH2594"/>
  <c r="CH2595"/>
  <c r="CJ2595" s="1"/>
  <c r="CH2596"/>
  <c r="CH2597"/>
  <c r="CH2598"/>
  <c r="CH2599"/>
  <c r="CJ2599" s="1"/>
  <c r="CH2600"/>
  <c r="CH2601"/>
  <c r="CH2602"/>
  <c r="CH2603"/>
  <c r="CJ2603" s="1"/>
  <c r="CH2604"/>
  <c r="CH2605"/>
  <c r="CH2606"/>
  <c r="CH2607"/>
  <c r="CJ2607" s="1"/>
  <c r="CH2608"/>
  <c r="CH2609"/>
  <c r="CH2610"/>
  <c r="CH2611"/>
  <c r="CJ2611" s="1"/>
  <c r="CH2612"/>
  <c r="CH2613"/>
  <c r="CH2614"/>
  <c r="CH2615"/>
  <c r="CJ2615" s="1"/>
  <c r="CH2616"/>
  <c r="CH2617"/>
  <c r="CH2618"/>
  <c r="CH2619"/>
  <c r="CJ2619" s="1"/>
  <c r="CH2620"/>
  <c r="CH2621"/>
  <c r="CH2622"/>
  <c r="CH2623"/>
  <c r="CJ2623" s="1"/>
  <c r="CH2624"/>
  <c r="CH2625"/>
  <c r="CH2626"/>
  <c r="CH2627"/>
  <c r="CJ2627" s="1"/>
  <c r="CH2628"/>
  <c r="CH2629"/>
  <c r="CH2630"/>
  <c r="CH2631"/>
  <c r="CJ2631" s="1"/>
  <c r="CH2632"/>
  <c r="CH2633"/>
  <c r="CH2634"/>
  <c r="CH2635"/>
  <c r="CJ2635" s="1"/>
  <c r="CH2636"/>
  <c r="CH2637"/>
  <c r="CH2638"/>
  <c r="CH2639"/>
  <c r="CJ2639" s="1"/>
  <c r="CH2640"/>
  <c r="CH2641"/>
  <c r="CH2642"/>
  <c r="CH2643"/>
  <c r="CJ2643" s="1"/>
  <c r="CH2644"/>
  <c r="CH2645"/>
  <c r="CH2646"/>
  <c r="CH2647"/>
  <c r="CJ2647" s="1"/>
  <c r="CH2648"/>
  <c r="CH2649"/>
  <c r="CH2650"/>
  <c r="CH2651"/>
  <c r="CJ2651" s="1"/>
  <c r="CH2652"/>
  <c r="CH2653"/>
  <c r="CH2654"/>
  <c r="CH2655"/>
  <c r="CJ2655" s="1"/>
  <c r="CH2656"/>
  <c r="CH2657"/>
  <c r="CH2658"/>
  <c r="CH2659"/>
  <c r="CJ2659" s="1"/>
  <c r="CH2660"/>
  <c r="CH2661"/>
  <c r="CH2662"/>
  <c r="CH2663"/>
  <c r="CJ2663" s="1"/>
  <c r="CH2664"/>
  <c r="CH2665"/>
  <c r="CH2666"/>
  <c r="CH2667"/>
  <c r="CJ2667" s="1"/>
  <c r="CH2668"/>
  <c r="CH2669"/>
  <c r="CH2670"/>
  <c r="CH2671"/>
  <c r="CJ2671" s="1"/>
  <c r="CH2672"/>
  <c r="CH2673"/>
  <c r="CH2674"/>
  <c r="CH2675"/>
  <c r="CJ2675" s="1"/>
  <c r="CH2676"/>
  <c r="CH2677"/>
  <c r="CH2678"/>
  <c r="CH2679"/>
  <c r="CJ2679" s="1"/>
  <c r="CH2680"/>
  <c r="CH2681"/>
  <c r="CH2682"/>
  <c r="CH2683"/>
  <c r="CJ2683" s="1"/>
  <c r="CH2684"/>
  <c r="CH2685"/>
  <c r="CH2686"/>
  <c r="CH2687"/>
  <c r="CJ2687" s="1"/>
  <c r="CH2688"/>
  <c r="CH2689"/>
  <c r="CH2690"/>
  <c r="CH2691"/>
  <c r="CJ2691" s="1"/>
  <c r="CH2692"/>
  <c r="CH2693"/>
  <c r="CH2694"/>
  <c r="CH2695"/>
  <c r="CJ2695" s="1"/>
  <c r="CH2696"/>
  <c r="CH2697"/>
  <c r="CH2698"/>
  <c r="CH2699"/>
  <c r="CJ2699" s="1"/>
  <c r="CH2700"/>
  <c r="CH2701"/>
  <c r="CH2702"/>
  <c r="CH2703"/>
  <c r="CJ2703" s="1"/>
  <c r="CH2704"/>
  <c r="CH2705"/>
  <c r="CH2706"/>
  <c r="CH2707"/>
  <c r="CJ2707" s="1"/>
  <c r="CH2708"/>
  <c r="CH2709"/>
  <c r="CH2710"/>
  <c r="CH2711"/>
  <c r="CJ2711" s="1"/>
  <c r="CH2712"/>
  <c r="CH2713"/>
  <c r="CH2714"/>
  <c r="CH2715"/>
  <c r="CJ2715" s="1"/>
  <c r="CH2716"/>
  <c r="CH2717"/>
  <c r="CH2718"/>
  <c r="CH2719"/>
  <c r="CJ2719" s="1"/>
  <c r="CH2720"/>
  <c r="CH2721"/>
  <c r="CH2722"/>
  <c r="CH2723"/>
  <c r="CJ2723" s="1"/>
  <c r="CH2724"/>
  <c r="CH2725"/>
  <c r="CH2726"/>
  <c r="CH2727"/>
  <c r="CJ2727" s="1"/>
  <c r="CH2728"/>
  <c r="CH2729"/>
  <c r="CH2730"/>
  <c r="CH2731"/>
  <c r="CJ2731" s="1"/>
  <c r="CH2732"/>
  <c r="CH2733"/>
  <c r="CH2734"/>
  <c r="CH2735"/>
  <c r="CJ2735" s="1"/>
  <c r="CH2736"/>
  <c r="CH2737"/>
  <c r="CH2738"/>
  <c r="CH2739"/>
  <c r="CJ2739" s="1"/>
  <c r="CH2740"/>
  <c r="CH2741"/>
  <c r="CH2742"/>
  <c r="CH2743"/>
  <c r="CJ2743" s="1"/>
  <c r="CH2744"/>
  <c r="CH2745"/>
  <c r="CH2746"/>
  <c r="CH2747"/>
  <c r="CJ2747" s="1"/>
  <c r="CH2748"/>
  <c r="CH2749"/>
  <c r="CH2750"/>
  <c r="CH2751"/>
  <c r="CJ2751" s="1"/>
  <c r="CH2752"/>
  <c r="CH2753"/>
  <c r="CH2754"/>
  <c r="CH2755"/>
  <c r="CJ2755" s="1"/>
  <c r="CH2756"/>
  <c r="CH2757"/>
  <c r="CH2758"/>
  <c r="CH2759"/>
  <c r="CJ2759" s="1"/>
  <c r="CH2760"/>
  <c r="CH2761"/>
  <c r="CH2762"/>
  <c r="CH2763"/>
  <c r="CJ2763" s="1"/>
  <c r="CH2764"/>
  <c r="CH2765"/>
  <c r="CH2766"/>
  <c r="CH2767"/>
  <c r="CJ2767" s="1"/>
  <c r="CH2768"/>
  <c r="CH2769"/>
  <c r="CH2770"/>
  <c r="CH2771"/>
  <c r="CJ2771" s="1"/>
  <c r="CH2772"/>
  <c r="CH2773"/>
  <c r="CH2774"/>
  <c r="CH2775"/>
  <c r="CJ2775" s="1"/>
  <c r="CH2776"/>
  <c r="CH2777"/>
  <c r="CH2778"/>
  <c r="CH2779"/>
  <c r="CJ2779" s="1"/>
  <c r="CH2780"/>
  <c r="CH2781"/>
  <c r="CH2782"/>
  <c r="CH2783"/>
  <c r="CJ2783" s="1"/>
  <c r="CH2784"/>
  <c r="CH2785"/>
  <c r="CH2786"/>
  <c r="CH2787"/>
  <c r="CJ2787" s="1"/>
  <c r="CH2788"/>
  <c r="CH2789"/>
  <c r="CH2790"/>
  <c r="CH2791"/>
  <c r="CJ2791" s="1"/>
  <c r="CH2792"/>
  <c r="CH2793"/>
  <c r="CH2794"/>
  <c r="CH2795"/>
  <c r="CJ2795" s="1"/>
  <c r="CH2796"/>
  <c r="CH2797"/>
  <c r="CH2798"/>
  <c r="CH2799"/>
  <c r="CJ2799" s="1"/>
  <c r="CH2800"/>
  <c r="CH2801"/>
  <c r="CH2802"/>
  <c r="CH2803"/>
  <c r="CJ2803" s="1"/>
  <c r="CH2804"/>
  <c r="CH2805"/>
  <c r="CH2806"/>
  <c r="CH2807"/>
  <c r="CJ2807" s="1"/>
  <c r="CH2808"/>
  <c r="CH2809"/>
  <c r="CH2810"/>
  <c r="CH2811"/>
  <c r="CJ2811" s="1"/>
  <c r="CH2812"/>
  <c r="CH2813"/>
  <c r="CH2814"/>
  <c r="CH2815"/>
  <c r="CJ2815" s="1"/>
  <c r="CH2816"/>
  <c r="CH2817"/>
  <c r="CH2818"/>
  <c r="CH2819"/>
  <c r="CJ2819" s="1"/>
  <c r="CH2820"/>
  <c r="CH2821"/>
  <c r="CH2822"/>
  <c r="CH2823"/>
  <c r="CJ2823" s="1"/>
  <c r="CH2824"/>
  <c r="CH2825"/>
  <c r="CH2826"/>
  <c r="CH2827"/>
  <c r="CJ2827" s="1"/>
  <c r="CH2828"/>
  <c r="CH2829"/>
  <c r="CH2830"/>
  <c r="CH2831"/>
  <c r="CJ2831" s="1"/>
  <c r="CH2832"/>
  <c r="CH2833"/>
  <c r="CH2834"/>
  <c r="CH2835"/>
  <c r="CJ2835" s="1"/>
  <c r="CH2836"/>
  <c r="CH2837"/>
  <c r="CH2838"/>
  <c r="CH2839"/>
  <c r="CJ2839" s="1"/>
  <c r="CH2840"/>
  <c r="CH2841"/>
  <c r="CH2842"/>
  <c r="CH2843"/>
  <c r="CJ2843" s="1"/>
  <c r="CH2844"/>
  <c r="CH2845"/>
  <c r="CH2846"/>
  <c r="CH2847"/>
  <c r="CJ2847" s="1"/>
  <c r="CH2848"/>
  <c r="CH2849"/>
  <c r="CH2850"/>
  <c r="CH2851"/>
  <c r="CJ2851" s="1"/>
  <c r="CH2852"/>
  <c r="CH2853"/>
  <c r="CH2854"/>
  <c r="CH2855"/>
  <c r="CJ2855" s="1"/>
  <c r="CH2856"/>
  <c r="CH2857"/>
  <c r="CH2858"/>
  <c r="CH2859"/>
  <c r="CJ2859" s="1"/>
  <c r="CH2860"/>
  <c r="CH2861"/>
  <c r="CH2862"/>
  <c r="CH2863"/>
  <c r="CJ2863" s="1"/>
  <c r="CH2864"/>
  <c r="CH2865"/>
  <c r="CH2866"/>
  <c r="CH2867"/>
  <c r="CJ2867" s="1"/>
  <c r="CH2868"/>
  <c r="CH2869"/>
  <c r="CH2870"/>
  <c r="CH2871"/>
  <c r="CJ2871" s="1"/>
  <c r="CH2872"/>
  <c r="CH2873"/>
  <c r="CH2874"/>
  <c r="CH2875"/>
  <c r="CJ2875" s="1"/>
  <c r="CH2876"/>
  <c r="CH2877"/>
  <c r="CH2878"/>
  <c r="CH2879"/>
  <c r="CJ2879" s="1"/>
  <c r="CH2880"/>
  <c r="CH2881"/>
  <c r="CH2882"/>
  <c r="CH2883"/>
  <c r="CJ2883" s="1"/>
  <c r="CH2884"/>
  <c r="CH2885"/>
  <c r="CH2886"/>
  <c r="CH2887"/>
  <c r="CJ2887" s="1"/>
  <c r="CH2888"/>
  <c r="CH2889"/>
  <c r="CH2890"/>
  <c r="CH2891"/>
  <c r="CJ2891" s="1"/>
  <c r="CH2892"/>
  <c r="CH2893"/>
  <c r="CH2894"/>
  <c r="CH2895"/>
  <c r="CJ2895" s="1"/>
  <c r="CH2896"/>
  <c r="CH2897"/>
  <c r="CH2898"/>
  <c r="CH2899"/>
  <c r="CJ2899" s="1"/>
  <c r="CH2900"/>
  <c r="CH2901"/>
  <c r="CH2902"/>
  <c r="CH2903"/>
  <c r="CJ2903" s="1"/>
  <c r="CH2904"/>
  <c r="CH2905"/>
  <c r="CH2906"/>
  <c r="CH2907"/>
  <c r="CJ2907" s="1"/>
  <c r="CH2908"/>
  <c r="CH2909"/>
  <c r="CH2910"/>
  <c r="CH2911"/>
  <c r="CJ2911" s="1"/>
  <c r="CH2912"/>
  <c r="CH2913"/>
  <c r="CH2914"/>
  <c r="CH2915"/>
  <c r="CJ2915" s="1"/>
  <c r="CH2916"/>
  <c r="CH2917"/>
  <c r="CH2918"/>
  <c r="CH2919"/>
  <c r="CJ2919" s="1"/>
  <c r="CH2920"/>
  <c r="CH2921"/>
  <c r="CH2922"/>
  <c r="CH2923"/>
  <c r="CJ2923" s="1"/>
  <c r="CH2924"/>
  <c r="CH2925"/>
  <c r="CH2926"/>
  <c r="CH2927"/>
  <c r="CJ2927" s="1"/>
  <c r="CH2928"/>
  <c r="CH2929"/>
  <c r="CH2930"/>
  <c r="CH2931"/>
  <c r="CJ2931" s="1"/>
  <c r="CH2932"/>
  <c r="CH2933"/>
  <c r="CH2934"/>
  <c r="CH2935"/>
  <c r="CJ2935" s="1"/>
  <c r="CH2936"/>
  <c r="CH2937"/>
  <c r="CH2938"/>
  <c r="CH2939"/>
  <c r="CJ2939" s="1"/>
  <c r="CH2940"/>
  <c r="CH2941"/>
  <c r="CH2942"/>
  <c r="CH2943"/>
  <c r="CJ2943" s="1"/>
  <c r="CH2944"/>
  <c r="CH2945"/>
  <c r="CH2946"/>
  <c r="CH2947"/>
  <c r="CJ2947" s="1"/>
  <c r="CH2948"/>
  <c r="CH2949"/>
  <c r="CH2950"/>
  <c r="CH2951"/>
  <c r="CJ2951" s="1"/>
  <c r="CH2952"/>
  <c r="CH2953"/>
  <c r="CH2954"/>
  <c r="CH2955"/>
  <c r="CJ2955" s="1"/>
  <c r="CH2956"/>
  <c r="CH2957"/>
  <c r="CH2958"/>
  <c r="CH2959"/>
  <c r="CJ2959" s="1"/>
  <c r="CH2960"/>
  <c r="CH2961"/>
  <c r="CH2962"/>
  <c r="CH2963"/>
  <c r="CJ2963" s="1"/>
  <c r="CH2964"/>
  <c r="CH2965"/>
  <c r="CH2966"/>
  <c r="CH2967"/>
  <c r="CJ2967" s="1"/>
  <c r="CH2968"/>
  <c r="CH2969"/>
  <c r="CH2970"/>
  <c r="CH2971"/>
  <c r="CJ2971" s="1"/>
  <c r="CH2972"/>
  <c r="CH2973"/>
  <c r="CH2974"/>
  <c r="CH2975"/>
  <c r="CJ2975" s="1"/>
  <c r="CH2976"/>
  <c r="CH2977"/>
  <c r="CH2978"/>
  <c r="CH2979"/>
  <c r="CJ2979" s="1"/>
  <c r="CH2980"/>
  <c r="CH2981"/>
  <c r="CH2982"/>
  <c r="CH2983"/>
  <c r="CJ2983" s="1"/>
  <c r="CH2984"/>
  <c r="CH2985"/>
  <c r="CH2986"/>
  <c r="CH2987"/>
  <c r="CJ2987" s="1"/>
  <c r="CH2988"/>
  <c r="CH2989"/>
  <c r="CH2990"/>
  <c r="CH2991"/>
  <c r="CJ2991" s="1"/>
  <c r="CH2992"/>
  <c r="CH2993"/>
  <c r="CH2994"/>
  <c r="CH2995"/>
  <c r="CJ2995" s="1"/>
  <c r="CH2996"/>
  <c r="CH2997"/>
  <c r="CH2998"/>
  <c r="CH2999"/>
  <c r="CJ2999" s="1"/>
  <c r="CH3000"/>
  <c r="CH3001"/>
  <c r="CH3002"/>
  <c r="CH3003"/>
  <c r="CJ3003" s="1"/>
  <c r="CH3004"/>
  <c r="CH3005"/>
  <c r="CH3006"/>
  <c r="CH3007"/>
  <c r="CJ3007" s="1"/>
  <c r="CH3008"/>
  <c r="CH3009"/>
  <c r="CH3010"/>
  <c r="CH3011"/>
  <c r="CJ3011" s="1"/>
  <c r="CH3012"/>
  <c r="CH3013"/>
  <c r="CH3014"/>
  <c r="CH3015"/>
  <c r="CJ3015" s="1"/>
  <c r="CH3016"/>
  <c r="CH3017"/>
  <c r="CH3018"/>
  <c r="CH3019"/>
  <c r="CJ3019" s="1"/>
  <c r="CH3020"/>
  <c r="CH3021"/>
  <c r="CH3022"/>
  <c r="CH3023"/>
  <c r="CJ3023" s="1"/>
  <c r="CH3024"/>
  <c r="CH3025"/>
  <c r="CH3026"/>
  <c r="CH3027"/>
  <c r="CJ3027" s="1"/>
  <c r="CH3028"/>
  <c r="CH3029"/>
  <c r="CH3030"/>
  <c r="CH3031"/>
  <c r="CJ3031" s="1"/>
  <c r="CH3032"/>
  <c r="CH3033"/>
  <c r="CH3034"/>
  <c r="CH3035"/>
  <c r="CJ3035" s="1"/>
  <c r="CH3036"/>
  <c r="CH3037"/>
  <c r="CH3038"/>
  <c r="CH3039"/>
  <c r="CJ3039" s="1"/>
  <c r="CH3040"/>
  <c r="CH3041"/>
  <c r="CH3042"/>
  <c r="CH3043"/>
  <c r="CJ3043" s="1"/>
  <c r="CH3044"/>
  <c r="CH3045"/>
  <c r="CH3046"/>
  <c r="CH3047"/>
  <c r="CJ3047" s="1"/>
  <c r="CH3048"/>
  <c r="CH3049"/>
  <c r="CH3050"/>
  <c r="CH3051"/>
  <c r="CJ3051" s="1"/>
  <c r="CH3052"/>
  <c r="CH3053"/>
  <c r="CH3054"/>
  <c r="CH3055"/>
  <c r="CJ3055" s="1"/>
  <c r="CH3056"/>
  <c r="CH3057"/>
  <c r="CH3058"/>
  <c r="CH3059"/>
  <c r="CJ3059" s="1"/>
  <c r="CH3060"/>
  <c r="CH3061"/>
  <c r="CH3062"/>
  <c r="CH3063"/>
  <c r="CJ3063" s="1"/>
  <c r="CH3064"/>
  <c r="CH3065"/>
  <c r="CH3066"/>
  <c r="CH3067"/>
  <c r="CJ3067" s="1"/>
  <c r="CH3068"/>
  <c r="CH3069"/>
  <c r="CH3070"/>
  <c r="CH3071"/>
  <c r="CJ3071" s="1"/>
  <c r="CH3072"/>
  <c r="CH3073"/>
  <c r="CH3074"/>
  <c r="CH3075"/>
  <c r="CJ3075" s="1"/>
  <c r="CH3076"/>
  <c r="CH3077"/>
  <c r="CH3078"/>
  <c r="CH3079"/>
  <c r="CJ3079" s="1"/>
  <c r="CH3080"/>
  <c r="CH3081"/>
  <c r="CH3082"/>
  <c r="CH3083"/>
  <c r="CJ3083" s="1"/>
  <c r="CH3084"/>
  <c r="CH3085"/>
  <c r="CH3086"/>
  <c r="CH3087"/>
  <c r="CJ3087" s="1"/>
  <c r="CH3088"/>
  <c r="CH3089"/>
  <c r="CH3090"/>
  <c r="CH3091"/>
  <c r="CJ3091" s="1"/>
  <c r="CH3092"/>
  <c r="CH3093"/>
  <c r="CH3094"/>
  <c r="CH3095"/>
  <c r="CJ3095" s="1"/>
  <c r="CH3096"/>
  <c r="CH3097"/>
  <c r="CH3098"/>
  <c r="CH3099"/>
  <c r="CJ3099" s="1"/>
  <c r="CH3100"/>
  <c r="CH3101"/>
  <c r="CH3102"/>
  <c r="CH3103"/>
  <c r="CJ3103" s="1"/>
  <c r="CH3104"/>
  <c r="CH3105"/>
  <c r="CH3106"/>
  <c r="CH3107"/>
  <c r="CJ3107" s="1"/>
  <c r="CH3108"/>
  <c r="CH3109"/>
  <c r="CH3110"/>
  <c r="CH3111"/>
  <c r="CJ3111" s="1"/>
  <c r="CH3112"/>
  <c r="CH3113"/>
  <c r="CH3114"/>
  <c r="CH3115"/>
  <c r="CJ3115" s="1"/>
  <c r="CH3116"/>
  <c r="CH3117"/>
  <c r="CH3118"/>
  <c r="CH3119"/>
  <c r="CJ3119" s="1"/>
  <c r="CH3120"/>
  <c r="CH3121"/>
  <c r="CH3122"/>
  <c r="CH3123"/>
  <c r="CJ3123" s="1"/>
  <c r="CH3124"/>
  <c r="CH3125"/>
  <c r="CH3126"/>
  <c r="CH3127"/>
  <c r="CJ3127" s="1"/>
  <c r="CH3128"/>
  <c r="CH3129"/>
  <c r="CH3130"/>
  <c r="CH3131"/>
  <c r="CJ3131" s="1"/>
  <c r="CH3132"/>
  <c r="CH3133"/>
  <c r="CH3134"/>
  <c r="CH3135"/>
  <c r="CJ3135" s="1"/>
  <c r="CH3136"/>
  <c r="CH3137"/>
  <c r="CH3138"/>
  <c r="CH3139"/>
  <c r="CJ3139" s="1"/>
  <c r="CH3140"/>
  <c r="CH3141"/>
  <c r="CH3142"/>
  <c r="CH3143"/>
  <c r="CJ3143" s="1"/>
  <c r="CH3144"/>
  <c r="CH3145"/>
  <c r="CH3146"/>
  <c r="CH3147"/>
  <c r="CJ3147" s="1"/>
  <c r="CH3148"/>
  <c r="CH3149"/>
  <c r="CH3150"/>
  <c r="CH3151"/>
  <c r="CJ3151" s="1"/>
  <c r="CH3152"/>
  <c r="CH3153"/>
  <c r="CH3154"/>
  <c r="CH3155"/>
  <c r="CJ3155" s="1"/>
  <c r="CH3156"/>
  <c r="CH3157"/>
  <c r="CH3158"/>
  <c r="CH3159"/>
  <c r="CJ3159" s="1"/>
  <c r="CH3160"/>
  <c r="CH3161"/>
  <c r="CH3162"/>
  <c r="CH3163"/>
  <c r="CJ3163" s="1"/>
  <c r="CH3164"/>
  <c r="CH3165"/>
  <c r="CH3166"/>
  <c r="CH3167"/>
  <c r="CJ3167" s="1"/>
  <c r="CH3168"/>
  <c r="CH3169"/>
  <c r="CH3170"/>
  <c r="CH3171"/>
  <c r="CJ3171" s="1"/>
  <c r="CH3172"/>
  <c r="CH3173"/>
  <c r="CH3174"/>
  <c r="CH3175"/>
  <c r="CJ3175" s="1"/>
  <c r="CH3176"/>
  <c r="CH3177"/>
  <c r="CH3178"/>
  <c r="CH3179"/>
  <c r="CJ3179" s="1"/>
  <c r="CH3180"/>
  <c r="CH3181"/>
  <c r="CH3182"/>
  <c r="CH3183"/>
  <c r="CJ3183" s="1"/>
  <c r="CH3184"/>
  <c r="CH3185"/>
  <c r="CH3186"/>
  <c r="CH3187"/>
  <c r="CJ3187" s="1"/>
  <c r="CH3188"/>
  <c r="CH3189"/>
  <c r="CH3190"/>
  <c r="CH3191"/>
  <c r="CJ3191" s="1"/>
  <c r="CH3192"/>
  <c r="CH3193"/>
  <c r="CH3194"/>
  <c r="CH3195"/>
  <c r="CJ3195" s="1"/>
  <c r="CH3196"/>
  <c r="CH3197"/>
  <c r="CH3198"/>
  <c r="CH3199"/>
  <c r="CJ3199" s="1"/>
  <c r="CH3200"/>
  <c r="CH3201"/>
  <c r="CH3202"/>
  <c r="CH3203"/>
  <c r="CJ3203" s="1"/>
  <c r="CH3204"/>
  <c r="CH3205"/>
  <c r="CH3206"/>
  <c r="CH3207"/>
  <c r="CJ3207" s="1"/>
  <c r="CH3208"/>
  <c r="CH3209"/>
  <c r="CH3210"/>
  <c r="CH3211"/>
  <c r="CJ3211" s="1"/>
  <c r="CH3212"/>
  <c r="CH3213"/>
  <c r="CH3214"/>
  <c r="CH3215"/>
  <c r="CJ3215" s="1"/>
  <c r="CH3216"/>
  <c r="CH3217"/>
  <c r="CH3218"/>
  <c r="CH3219"/>
  <c r="CJ3219" s="1"/>
  <c r="CH3220"/>
  <c r="CH3221"/>
  <c r="CH3222"/>
  <c r="CH3223"/>
  <c r="CJ3223" s="1"/>
  <c r="CH3224"/>
  <c r="CH3225"/>
  <c r="CH3226"/>
  <c r="CH3227"/>
  <c r="CJ3227" s="1"/>
  <c r="CH3228"/>
  <c r="CH3229"/>
  <c r="CH3230"/>
  <c r="CH3231"/>
  <c r="CJ3231" s="1"/>
  <c r="CH3232"/>
  <c r="CH3233"/>
  <c r="CH3234"/>
  <c r="CH3235"/>
  <c r="CJ3235" s="1"/>
  <c r="CH3236"/>
  <c r="CH3237"/>
  <c r="CH3238"/>
  <c r="CH3239"/>
  <c r="CJ3239" s="1"/>
  <c r="CH3240"/>
  <c r="CH3241"/>
  <c r="CH3242"/>
  <c r="CH3243"/>
  <c r="CJ3243" s="1"/>
  <c r="CH3244"/>
  <c r="CH3245"/>
  <c r="CH3246"/>
  <c r="CH3247"/>
  <c r="CJ3247" s="1"/>
  <c r="CH3248"/>
  <c r="CH3249"/>
  <c r="CH3250"/>
  <c r="CH3251"/>
  <c r="CJ3251" s="1"/>
  <c r="CH3252"/>
  <c r="CH3253"/>
  <c r="CH3254"/>
  <c r="CH3255"/>
  <c r="CJ3255" s="1"/>
  <c r="CH3256"/>
  <c r="CH3257"/>
  <c r="CH3258"/>
  <c r="CH3259"/>
  <c r="CJ3259" s="1"/>
  <c r="CH3260"/>
  <c r="CH3261"/>
  <c r="CH3262"/>
  <c r="CH3263"/>
  <c r="CJ3263" s="1"/>
  <c r="CH3264"/>
  <c r="CH3265"/>
  <c r="CH3266"/>
  <c r="CH3267"/>
  <c r="CJ3267" s="1"/>
  <c r="CH3268"/>
  <c r="CH3269"/>
  <c r="CH3270"/>
  <c r="CH3271"/>
  <c r="CJ3271" s="1"/>
  <c r="CH3272"/>
  <c r="CH3273"/>
  <c r="CH3274"/>
  <c r="CH3275"/>
  <c r="CJ3275" s="1"/>
  <c r="CH3276"/>
  <c r="CH3277"/>
  <c r="CH3278"/>
  <c r="CH3279"/>
  <c r="CJ3279" s="1"/>
  <c r="CH3280"/>
  <c r="CH3281"/>
  <c r="CH3282"/>
  <c r="CH3283"/>
  <c r="CJ3283" s="1"/>
  <c r="CH3284"/>
  <c r="CH3285"/>
  <c r="CH3286"/>
  <c r="CH3287"/>
  <c r="CJ3287" s="1"/>
  <c r="CH3288"/>
  <c r="CH3289"/>
  <c r="CH3290"/>
  <c r="CH3291"/>
  <c r="CJ3291" s="1"/>
  <c r="CH3292"/>
  <c r="CH3293"/>
  <c r="CH3294"/>
  <c r="CH3295"/>
  <c r="CJ3295" s="1"/>
  <c r="CH3296"/>
  <c r="CH3297"/>
  <c r="CH3298"/>
  <c r="CH3299"/>
  <c r="CJ3299" s="1"/>
  <c r="CH3300"/>
  <c r="CH3301"/>
  <c r="CH3302"/>
  <c r="CH3303"/>
  <c r="CJ3303" s="1"/>
  <c r="CH3304"/>
  <c r="CH3305"/>
  <c r="CH3306"/>
  <c r="CH3307"/>
  <c r="CJ3307" s="1"/>
  <c r="CH3308"/>
  <c r="CH3309"/>
  <c r="CH3310"/>
  <c r="CH3311"/>
  <c r="CJ3311" s="1"/>
  <c r="CH3312"/>
  <c r="CH3313"/>
  <c r="CH3314"/>
  <c r="CH3315"/>
  <c r="CJ3315" s="1"/>
  <c r="CH3316"/>
  <c r="CH3317"/>
  <c r="CH3318"/>
  <c r="CH3319"/>
  <c r="CJ3319" s="1"/>
  <c r="CH3320"/>
  <c r="CH3321"/>
  <c r="CH3322"/>
  <c r="CH3323"/>
  <c r="CJ3323" s="1"/>
  <c r="CH3324"/>
  <c r="CH3325"/>
  <c r="CH3326"/>
  <c r="CH3327"/>
  <c r="CJ3327" s="1"/>
  <c r="CH3328"/>
  <c r="CH3329"/>
  <c r="CH3330"/>
  <c r="CH3331"/>
  <c r="CJ3331" s="1"/>
  <c r="CH3332"/>
  <c r="CH3333"/>
  <c r="CH3334"/>
  <c r="CH3335"/>
  <c r="CJ3335" s="1"/>
  <c r="CH3336"/>
  <c r="CH3337"/>
  <c r="CH3338"/>
  <c r="CH3339"/>
  <c r="CJ3339" s="1"/>
  <c r="CH3340"/>
  <c r="CH3341"/>
  <c r="CH3342"/>
  <c r="CH3343"/>
  <c r="CJ3343" s="1"/>
  <c r="CH3344"/>
  <c r="CH3345"/>
  <c r="CH3346"/>
  <c r="CH3347"/>
  <c r="CJ3347" s="1"/>
  <c r="CH3348"/>
  <c r="CH3349"/>
  <c r="CH3350"/>
  <c r="CH3351"/>
  <c r="CJ3351" s="1"/>
  <c r="CH3352"/>
  <c r="CH3353"/>
  <c r="CH3354"/>
  <c r="CH3355"/>
  <c r="CJ3355" s="1"/>
  <c r="CH3356"/>
  <c r="CH3357"/>
  <c r="CH3358"/>
  <c r="CH3359"/>
  <c r="CJ3359" s="1"/>
  <c r="CH3360"/>
  <c r="CH3361"/>
  <c r="CH3362"/>
  <c r="CH3363"/>
  <c r="CJ3363" s="1"/>
  <c r="CH3364"/>
  <c r="CH3365"/>
  <c r="CH3366"/>
  <c r="CH3367"/>
  <c r="CJ3367" s="1"/>
  <c r="CH3368"/>
  <c r="CH3369"/>
  <c r="CH3370"/>
  <c r="CH3371"/>
  <c r="CJ3371" s="1"/>
  <c r="CH3372"/>
  <c r="CH3373"/>
  <c r="CH3374"/>
  <c r="CH3375"/>
  <c r="CJ3375" s="1"/>
  <c r="CH3376"/>
  <c r="CH3377"/>
  <c r="CH3378"/>
  <c r="CH3379"/>
  <c r="CJ3379" s="1"/>
  <c r="CH3380"/>
  <c r="CH3381"/>
  <c r="CH3382"/>
  <c r="CH3383"/>
  <c r="CJ3383" s="1"/>
  <c r="CH3384"/>
  <c r="CH3385"/>
  <c r="CH3386"/>
  <c r="CH3387"/>
  <c r="CJ3387" s="1"/>
  <c r="CH3388"/>
  <c r="CH3389"/>
  <c r="CH3390"/>
  <c r="CH3391"/>
  <c r="CJ3391" s="1"/>
  <c r="CH3392"/>
  <c r="CH3393"/>
  <c r="CH3394"/>
  <c r="CH3395"/>
  <c r="CJ3395" s="1"/>
  <c r="CH3396"/>
  <c r="CH3397"/>
  <c r="CH3398"/>
  <c r="CH3399"/>
  <c r="CJ3399" s="1"/>
  <c r="CH3400"/>
  <c r="CH3401"/>
  <c r="CH3402"/>
  <c r="CH3403"/>
  <c r="CJ3403" s="1"/>
  <c r="CH3404"/>
  <c r="CH3405"/>
  <c r="CH3406"/>
  <c r="CH3407"/>
  <c r="CJ3407" s="1"/>
  <c r="CH3408"/>
  <c r="CH3409"/>
  <c r="CH3410"/>
  <c r="CH3411"/>
  <c r="CJ3411" s="1"/>
  <c r="CH3412"/>
  <c r="CH3413"/>
  <c r="CH3414"/>
  <c r="CH3415"/>
  <c r="CJ3415" s="1"/>
  <c r="CH3416"/>
  <c r="CH3417"/>
  <c r="CH3418"/>
  <c r="CH3419"/>
  <c r="CJ3419" s="1"/>
  <c r="CH3420"/>
  <c r="CH3421"/>
  <c r="CH3422"/>
  <c r="CH3423"/>
  <c r="CJ3423" s="1"/>
  <c r="CH3424"/>
  <c r="CH3425"/>
  <c r="CH3426"/>
  <c r="CH3427"/>
  <c r="CJ3427" s="1"/>
  <c r="CH3428"/>
  <c r="CH3429"/>
  <c r="CH3430"/>
  <c r="CH3431"/>
  <c r="CJ3431" s="1"/>
  <c r="CH3432"/>
  <c r="CH3433"/>
  <c r="CH3434"/>
  <c r="CH3435"/>
  <c r="CJ3435" s="1"/>
  <c r="CH3436"/>
  <c r="CH3437"/>
  <c r="CH3438"/>
  <c r="CH3439"/>
  <c r="CJ3439" s="1"/>
  <c r="CH3440"/>
  <c r="CH3441"/>
  <c r="CH3442"/>
  <c r="CH3443"/>
  <c r="CJ3443" s="1"/>
  <c r="CH3444"/>
  <c r="CH3445"/>
  <c r="CH3446"/>
  <c r="CH3447"/>
  <c r="CJ3447" s="1"/>
  <c r="CH3448"/>
  <c r="CH3449"/>
  <c r="CH3450"/>
  <c r="CH3451"/>
  <c r="CJ3451" s="1"/>
  <c r="CH3452"/>
  <c r="CH3453"/>
  <c r="CH3454"/>
  <c r="CH3455"/>
  <c r="CJ3455" s="1"/>
  <c r="CH3456"/>
  <c r="CH3457"/>
  <c r="CH3458"/>
  <c r="CH3459"/>
  <c r="CJ3459" s="1"/>
  <c r="CH3460"/>
  <c r="CH3461"/>
  <c r="CH3462"/>
  <c r="CH3463"/>
  <c r="CJ3463" s="1"/>
  <c r="CH3464"/>
  <c r="CH3465"/>
  <c r="CH3466"/>
  <c r="CH3467"/>
  <c r="CJ3467" s="1"/>
  <c r="CH3468"/>
  <c r="CH3469"/>
  <c r="CH3470"/>
  <c r="CH3471"/>
  <c r="CJ3471" s="1"/>
  <c r="CH3472"/>
  <c r="CH3473"/>
  <c r="CH3474"/>
  <c r="CH3475"/>
  <c r="CJ3475" s="1"/>
  <c r="CH3476"/>
  <c r="CH3477"/>
  <c r="CH3478"/>
  <c r="CH3479"/>
  <c r="CJ3479" s="1"/>
  <c r="CH3480"/>
  <c r="CH3481"/>
  <c r="CH3482"/>
  <c r="CH3483"/>
  <c r="CJ3483" s="1"/>
  <c r="CH3484"/>
  <c r="CH3485"/>
  <c r="CH3486"/>
  <c r="CH3487"/>
  <c r="CJ3487" s="1"/>
  <c r="CH3488"/>
  <c r="CH3489"/>
  <c r="CH3490"/>
  <c r="CH3491"/>
  <c r="CJ3491" s="1"/>
  <c r="CH3492"/>
  <c r="CH3493"/>
  <c r="CH3494"/>
  <c r="CH3495"/>
  <c r="CJ3495" s="1"/>
  <c r="CH3496"/>
  <c r="CH3497"/>
  <c r="CH3498"/>
  <c r="CH3499"/>
  <c r="CJ3499" s="1"/>
  <c r="CH3500"/>
  <c r="CH3501"/>
  <c r="CH3502"/>
  <c r="CH3503"/>
  <c r="CJ3503" s="1"/>
  <c r="CH3504"/>
  <c r="CH3505"/>
  <c r="CH3506"/>
  <c r="CH3507"/>
  <c r="CJ3507" s="1"/>
  <c r="CH3508"/>
  <c r="CH3509"/>
  <c r="CH3510"/>
  <c r="CH3511"/>
  <c r="CJ3511" s="1"/>
  <c r="CH3512"/>
  <c r="CH3513"/>
  <c r="CH3514"/>
  <c r="CH3515"/>
  <c r="CJ3515" s="1"/>
  <c r="CH3516"/>
  <c r="CH3517"/>
  <c r="CH3518"/>
  <c r="CH3519"/>
  <c r="CJ3519" s="1"/>
  <c r="CH3520"/>
  <c r="CH3521"/>
  <c r="CH3522"/>
  <c r="CH3523"/>
  <c r="CJ3523" s="1"/>
  <c r="CH3524"/>
  <c r="CH3525"/>
  <c r="CH3526"/>
  <c r="CH3527"/>
  <c r="CJ3527" s="1"/>
  <c r="CH3528"/>
  <c r="CH3529"/>
  <c r="CH3530"/>
  <c r="CH3531"/>
  <c r="CJ3531" s="1"/>
  <c r="CH3532"/>
  <c r="CH3533"/>
  <c r="CH3534"/>
  <c r="CH3535"/>
  <c r="CJ3535" s="1"/>
  <c r="CH3536"/>
  <c r="CH3537"/>
  <c r="CH3538"/>
  <c r="CH3539"/>
  <c r="CJ3539" s="1"/>
  <c r="CH3540"/>
  <c r="CH3541"/>
  <c r="CH3542"/>
  <c r="CH3543"/>
  <c r="CJ3543" s="1"/>
  <c r="CH3544"/>
  <c r="CH3545"/>
  <c r="CH3546"/>
  <c r="CH3547"/>
  <c r="CJ3547" s="1"/>
  <c r="CH3548"/>
  <c r="CH3549"/>
  <c r="CH3550"/>
  <c r="CH3551"/>
  <c r="CJ3551" s="1"/>
  <c r="CH3552"/>
  <c r="CH3553"/>
  <c r="CH3554"/>
  <c r="CH3555"/>
  <c r="CJ3555" s="1"/>
  <c r="CH3556"/>
  <c r="CH3557"/>
  <c r="CH3558"/>
  <c r="CH3559"/>
  <c r="CJ3559" s="1"/>
  <c r="CH3560"/>
  <c r="CH3561"/>
  <c r="CH3562"/>
  <c r="CH3563"/>
  <c r="CJ3563" s="1"/>
  <c r="CH3564"/>
  <c r="CH3565"/>
  <c r="CH3566"/>
  <c r="CH3567"/>
  <c r="CJ3567" s="1"/>
  <c r="CH3568"/>
  <c r="CH3569"/>
  <c r="CH3570"/>
  <c r="CH3571"/>
  <c r="CJ3571" s="1"/>
  <c r="CH3572"/>
  <c r="CH3573"/>
  <c r="CH3574"/>
  <c r="CH3575"/>
  <c r="CJ3575" s="1"/>
  <c r="CH3576"/>
  <c r="CH3577"/>
  <c r="CH3578"/>
  <c r="CH3579"/>
  <c r="CJ3579" s="1"/>
  <c r="CH3580"/>
  <c r="CH3581"/>
  <c r="CH3582"/>
  <c r="CH3583"/>
  <c r="CJ3583" s="1"/>
  <c r="CH3584"/>
  <c r="CH3585"/>
  <c r="CH3586"/>
  <c r="CH3587"/>
  <c r="CJ3587" s="1"/>
  <c r="CH3588"/>
  <c r="CH3589"/>
  <c r="CH3590"/>
  <c r="CH3591"/>
  <c r="CJ3591" s="1"/>
  <c r="CH3592"/>
  <c r="CH3593"/>
  <c r="CH3594"/>
  <c r="CH3595"/>
  <c r="CJ3595" s="1"/>
  <c r="CH3596"/>
  <c r="CH3597"/>
  <c r="CH3598"/>
  <c r="CH3599"/>
  <c r="CJ3599" s="1"/>
  <c r="CH3600"/>
  <c r="CH3601"/>
  <c r="CH3602"/>
  <c r="CH3603"/>
  <c r="CJ3603" s="1"/>
  <c r="CH3604"/>
  <c r="CH3605"/>
  <c r="CH3606"/>
  <c r="CH3607"/>
  <c r="CJ3607" s="1"/>
  <c r="CH3608"/>
  <c r="CH3609"/>
  <c r="CH3610"/>
  <c r="CH3611"/>
  <c r="CJ3611" s="1"/>
  <c r="CH3612"/>
  <c r="CH3613"/>
  <c r="CH3614"/>
  <c r="CH3615"/>
  <c r="CJ3615" s="1"/>
  <c r="CH3616"/>
  <c r="CH3617"/>
  <c r="CH3618"/>
  <c r="CH3619"/>
  <c r="CJ3619" s="1"/>
  <c r="CH3620"/>
  <c r="CH3621"/>
  <c r="CH3622"/>
  <c r="CH3623"/>
  <c r="CJ3623" s="1"/>
  <c r="CH3624"/>
  <c r="CH3625"/>
  <c r="CH3626"/>
  <c r="CH3627"/>
  <c r="CJ3627" s="1"/>
  <c r="CH3628"/>
  <c r="CH3629"/>
  <c r="CH3630"/>
  <c r="CH3631"/>
  <c r="CJ3631" s="1"/>
  <c r="CH3632"/>
  <c r="CH3633"/>
  <c r="CH3634"/>
  <c r="CH3635"/>
  <c r="CJ3635" s="1"/>
  <c r="CH3636"/>
  <c r="CH3637"/>
  <c r="CH3638"/>
  <c r="CH3639"/>
  <c r="CJ3639" s="1"/>
  <c r="CH3640"/>
  <c r="CH3641"/>
  <c r="CH3642"/>
  <c r="CH3643"/>
  <c r="CJ3643" s="1"/>
  <c r="CH3644"/>
  <c r="CH3645"/>
  <c r="CH3646"/>
  <c r="CH3647"/>
  <c r="CJ3647" s="1"/>
  <c r="CH3648"/>
  <c r="CH3649"/>
  <c r="CH3650"/>
  <c r="CH3651"/>
  <c r="CJ3651" s="1"/>
  <c r="CH3652"/>
  <c r="CH3653"/>
  <c r="CH3654"/>
  <c r="CH3655"/>
  <c r="CJ3655" s="1"/>
  <c r="CH3656"/>
  <c r="CH3657"/>
  <c r="CH3658"/>
  <c r="CH3659"/>
  <c r="CJ3659" s="1"/>
  <c r="CH3660"/>
  <c r="CH3661"/>
  <c r="CH3662"/>
  <c r="CH3663"/>
  <c r="CJ3663" s="1"/>
  <c r="CH3664"/>
  <c r="CH3665"/>
  <c r="CH3666"/>
  <c r="CH3667"/>
  <c r="CJ3667" s="1"/>
  <c r="CH3668"/>
  <c r="CH3669"/>
  <c r="CH3670"/>
  <c r="CH3671"/>
  <c r="CJ3671" s="1"/>
  <c r="CH3672"/>
  <c r="CH3673"/>
  <c r="CH3674"/>
  <c r="CH3675"/>
  <c r="CJ3675" s="1"/>
  <c r="CH3676"/>
  <c r="CH3677"/>
  <c r="CH3678"/>
  <c r="CH3679"/>
  <c r="CJ3679" s="1"/>
  <c r="CH3680"/>
  <c r="CH3681"/>
  <c r="CH3682"/>
  <c r="CH3683"/>
  <c r="CJ3683" s="1"/>
  <c r="CH3684"/>
  <c r="CH3685"/>
  <c r="CH3686"/>
  <c r="CH3687"/>
  <c r="CJ3687" s="1"/>
  <c r="CH3688"/>
  <c r="CH3689"/>
  <c r="CH3690"/>
  <c r="CH3691"/>
  <c r="CJ3691" s="1"/>
  <c r="CH3692"/>
  <c r="CH3693"/>
  <c r="CH3694"/>
  <c r="CH3695"/>
  <c r="CJ3695" s="1"/>
  <c r="CH3696"/>
  <c r="CH3697"/>
  <c r="CH3698"/>
  <c r="CH3699"/>
  <c r="CJ3699" s="1"/>
  <c r="CH3700"/>
  <c r="CH3701"/>
  <c r="CH3702"/>
  <c r="CH3703"/>
  <c r="CJ3703" s="1"/>
  <c r="CH3704"/>
  <c r="CH3705"/>
  <c r="CH3706"/>
  <c r="CH3707"/>
  <c r="CJ3707" s="1"/>
  <c r="CH3708"/>
  <c r="CH3709"/>
  <c r="CH3710"/>
  <c r="CH3711"/>
  <c r="CJ3711" s="1"/>
  <c r="CH3712"/>
  <c r="CH3713"/>
  <c r="CH3714"/>
  <c r="CH3715"/>
  <c r="CJ3715" s="1"/>
  <c r="CH3716"/>
  <c r="CH3717"/>
  <c r="CH3718"/>
  <c r="CH3719"/>
  <c r="CJ3719" s="1"/>
  <c r="CH3720"/>
  <c r="CH3721"/>
  <c r="CH3722"/>
  <c r="CH3723"/>
  <c r="CJ3723" s="1"/>
  <c r="CH3724"/>
  <c r="CH3725"/>
  <c r="CH3726"/>
  <c r="CH3727"/>
  <c r="CJ3727" s="1"/>
  <c r="CH3728"/>
  <c r="CH3729"/>
  <c r="CH3730"/>
  <c r="CH3731"/>
  <c r="CJ3731" s="1"/>
  <c r="CH3732"/>
  <c r="CH3733"/>
  <c r="CH3734"/>
  <c r="CH3735"/>
  <c r="CJ3735" s="1"/>
  <c r="CH3736"/>
  <c r="CH3737"/>
  <c r="CH3738"/>
  <c r="CH3739"/>
  <c r="CJ3739" s="1"/>
  <c r="CH3740"/>
  <c r="CH3741"/>
  <c r="CH3742"/>
  <c r="CH3743"/>
  <c r="CJ3743" s="1"/>
  <c r="CH3744"/>
  <c r="CH3745"/>
  <c r="CH3746"/>
  <c r="CH3747"/>
  <c r="CJ3747" s="1"/>
  <c r="CH3748"/>
  <c r="CH3749"/>
  <c r="CH3750"/>
  <c r="CH3751"/>
  <c r="CJ3751" s="1"/>
  <c r="CH3752"/>
  <c r="CH3753"/>
  <c r="CH3754"/>
  <c r="CH3755"/>
  <c r="CJ3755" s="1"/>
  <c r="CH3756"/>
  <c r="CH3757"/>
  <c r="CH3758"/>
  <c r="CH3759"/>
  <c r="CJ3759" s="1"/>
  <c r="CH3760"/>
  <c r="CH3761"/>
  <c r="CH3762"/>
  <c r="CH3763"/>
  <c r="CJ3763" s="1"/>
  <c r="CH3764"/>
  <c r="CH3765"/>
  <c r="CH3766"/>
  <c r="CH3767"/>
  <c r="CJ3767" s="1"/>
  <c r="CH3768"/>
  <c r="CH3769"/>
  <c r="CH3770"/>
  <c r="CH3771"/>
  <c r="CJ3771" s="1"/>
  <c r="CH3772"/>
  <c r="CH3773"/>
  <c r="CH3774"/>
  <c r="CH3775"/>
  <c r="CJ3775" s="1"/>
  <c r="CH3776"/>
  <c r="CH3777"/>
  <c r="CH3778"/>
  <c r="CH3779"/>
  <c r="CJ3779" s="1"/>
  <c r="CH3780"/>
  <c r="CH3781"/>
  <c r="CH3782"/>
  <c r="CH3783"/>
  <c r="CJ3783" s="1"/>
  <c r="CH3784"/>
  <c r="CH3785"/>
  <c r="CH3786"/>
  <c r="CH3787"/>
  <c r="CJ3787" s="1"/>
  <c r="CH3788"/>
  <c r="CH3789"/>
  <c r="CH3790"/>
  <c r="CH3791"/>
  <c r="CJ3791" s="1"/>
  <c r="CH3792"/>
  <c r="CH3793"/>
  <c r="CH3794"/>
  <c r="CH3795"/>
  <c r="CJ3795" s="1"/>
  <c r="CH3796"/>
  <c r="CH3797"/>
  <c r="CH3798"/>
  <c r="CH3799"/>
  <c r="CJ3799" s="1"/>
  <c r="CH3800"/>
  <c r="CH3801"/>
  <c r="CH3802"/>
  <c r="CH3803"/>
  <c r="CJ3803" s="1"/>
  <c r="CH3804"/>
  <c r="CH3805"/>
  <c r="CH3806"/>
  <c r="CH3807"/>
  <c r="CJ3807" s="1"/>
  <c r="CH3808"/>
  <c r="CH3809"/>
  <c r="CH3810"/>
  <c r="CH3811"/>
  <c r="CJ3811" s="1"/>
  <c r="CH3812"/>
  <c r="CH3813"/>
  <c r="CH3814"/>
  <c r="CH3815"/>
  <c r="CJ3815" s="1"/>
  <c r="CH3816"/>
  <c r="CH3817"/>
  <c r="CH3818"/>
  <c r="CH3819"/>
  <c r="CJ3819" s="1"/>
  <c r="CH3820"/>
  <c r="CH3821"/>
  <c r="CH3822"/>
  <c r="CH3823"/>
  <c r="CJ3823" s="1"/>
  <c r="CH3824"/>
  <c r="CH3825"/>
  <c r="CH3826"/>
  <c r="CH3827"/>
  <c r="CJ3827" s="1"/>
  <c r="CH3828"/>
  <c r="CH3829"/>
  <c r="CH3830"/>
  <c r="CH3831"/>
  <c r="CJ3831" s="1"/>
  <c r="CH3832"/>
  <c r="CH3833"/>
  <c r="CH3834"/>
  <c r="CH3835"/>
  <c r="CJ3835" s="1"/>
  <c r="CH3836"/>
  <c r="CH3837"/>
  <c r="CH3838"/>
  <c r="CH3839"/>
  <c r="CJ3839" s="1"/>
  <c r="CH3840"/>
  <c r="CH3841"/>
  <c r="CH3842"/>
  <c r="CH3843"/>
  <c r="CJ3843" s="1"/>
  <c r="CH3844"/>
  <c r="CH3845"/>
  <c r="CH3846"/>
  <c r="CH3847"/>
  <c r="CJ3847" s="1"/>
  <c r="CH3848"/>
  <c r="CH3849"/>
  <c r="CH3850"/>
  <c r="CH3851"/>
  <c r="CJ3851" s="1"/>
  <c r="CH3852"/>
  <c r="CH3853"/>
  <c r="CH3854"/>
  <c r="CH3855"/>
  <c r="CJ3855" s="1"/>
  <c r="CH3856"/>
  <c r="CH3857"/>
  <c r="CH3858"/>
  <c r="CH3859"/>
  <c r="CJ3859" s="1"/>
  <c r="CH3860"/>
  <c r="CH3861"/>
  <c r="CH3862"/>
  <c r="CH3863"/>
  <c r="CJ3863" s="1"/>
  <c r="CH3864"/>
  <c r="CH3865"/>
  <c r="CH3866"/>
  <c r="CH3867"/>
  <c r="CJ3867" s="1"/>
  <c r="CH3868"/>
  <c r="CH3869"/>
  <c r="CH3870"/>
  <c r="CH3871"/>
  <c r="CJ3871" s="1"/>
  <c r="CH3872"/>
  <c r="CH3873"/>
  <c r="CH3874"/>
  <c r="CH3875"/>
  <c r="CJ3875" s="1"/>
  <c r="CH3876"/>
  <c r="CH3877"/>
  <c r="CH3878"/>
  <c r="CH3879"/>
  <c r="CJ3879" s="1"/>
  <c r="CH3880"/>
  <c r="CH3881"/>
  <c r="CH3882"/>
  <c r="CH3883"/>
  <c r="CJ3883" s="1"/>
  <c r="CH3884"/>
  <c r="CH3885"/>
  <c r="CH3886"/>
  <c r="CH3887"/>
  <c r="CJ3887" s="1"/>
  <c r="CH3888"/>
  <c r="CH3889"/>
  <c r="CH3890"/>
  <c r="CH3891"/>
  <c r="CJ3891" s="1"/>
  <c r="CH3892"/>
  <c r="CH3893"/>
  <c r="CH3894"/>
  <c r="CH3895"/>
  <c r="CJ3895" s="1"/>
  <c r="CH3896"/>
  <c r="CH3897"/>
  <c r="CH3898"/>
  <c r="CH3899"/>
  <c r="CJ3899" s="1"/>
  <c r="CH3900"/>
  <c r="CH3901"/>
  <c r="CH3902"/>
  <c r="CH3903"/>
  <c r="CJ3903" s="1"/>
  <c r="CH3904"/>
  <c r="CH3905"/>
  <c r="CH3906"/>
  <c r="CH3907"/>
  <c r="CJ3907" s="1"/>
  <c r="CH3908"/>
  <c r="CH3909"/>
  <c r="CH3910"/>
  <c r="CH3911"/>
  <c r="CJ3911" s="1"/>
  <c r="CH3912"/>
  <c r="CH3913"/>
  <c r="CH3914"/>
  <c r="CH3915"/>
  <c r="CJ3915" s="1"/>
  <c r="CH3916"/>
  <c r="CH3917"/>
  <c r="CH3918"/>
  <c r="CH3919"/>
  <c r="CJ3919" s="1"/>
  <c r="CH3920"/>
  <c r="CH3921"/>
  <c r="CH3922"/>
  <c r="CH3923"/>
  <c r="CJ3923" s="1"/>
  <c r="CH3924"/>
  <c r="CH3925"/>
  <c r="CH3926"/>
  <c r="CH3927"/>
  <c r="CJ3927" s="1"/>
  <c r="CH3928"/>
  <c r="CH3929"/>
  <c r="CH3930"/>
  <c r="CH3931"/>
  <c r="CJ3931" s="1"/>
  <c r="CH3932"/>
  <c r="CH3933"/>
  <c r="CH3934"/>
  <c r="CH3935"/>
  <c r="CJ3935" s="1"/>
  <c r="CH3936"/>
  <c r="CH3937"/>
  <c r="CH3938"/>
  <c r="CH3939"/>
  <c r="CJ3939" s="1"/>
  <c r="CH3940"/>
  <c r="CH3941"/>
  <c r="CH3942"/>
  <c r="CH3943"/>
  <c r="CJ3943" s="1"/>
  <c r="CH3944"/>
  <c r="CH3945"/>
  <c r="CH3946"/>
  <c r="CH3947"/>
  <c r="CJ3947" s="1"/>
  <c r="CH3948"/>
  <c r="CH3949"/>
  <c r="CH3950"/>
  <c r="CH3951"/>
  <c r="CJ3951" s="1"/>
  <c r="CH3952"/>
  <c r="CH3953"/>
  <c r="CH3954"/>
  <c r="CH3955"/>
  <c r="CJ3955" s="1"/>
  <c r="CH3956"/>
  <c r="CH3957"/>
  <c r="CH3958"/>
  <c r="CH3959"/>
  <c r="CJ3959" s="1"/>
  <c r="CH3960"/>
  <c r="CH3961"/>
  <c r="CH3962"/>
  <c r="CH3963"/>
  <c r="CJ3963" s="1"/>
  <c r="CH3964"/>
  <c r="CH3965"/>
  <c r="CH3966"/>
  <c r="CH3967"/>
  <c r="CJ3967" s="1"/>
  <c r="CH3968"/>
  <c r="CH3969"/>
  <c r="CH3970"/>
  <c r="CH3971"/>
  <c r="CJ3971" s="1"/>
  <c r="CH3972"/>
  <c r="CH3973"/>
  <c r="CH3974"/>
  <c r="CH3975"/>
  <c r="CJ3975" s="1"/>
  <c r="CH3976"/>
  <c r="CH3977"/>
  <c r="CH3978"/>
  <c r="CH3979"/>
  <c r="CJ3979" s="1"/>
  <c r="CH3980"/>
  <c r="CH3981"/>
  <c r="CH3982"/>
  <c r="CH3983"/>
  <c r="CJ3983" s="1"/>
  <c r="CH3984"/>
  <c r="CH3985"/>
  <c r="CH3986"/>
  <c r="CH3987"/>
  <c r="CJ3987" s="1"/>
  <c r="CH3988"/>
  <c r="CH3989"/>
  <c r="CH3990"/>
  <c r="CH3991"/>
  <c r="CJ3991" s="1"/>
  <c r="CH3992"/>
  <c r="CH3993"/>
  <c r="CH3994"/>
  <c r="CH3995"/>
  <c r="CJ3995" s="1"/>
  <c r="CH3996"/>
  <c r="CH3997"/>
  <c r="CH3998"/>
  <c r="CH3999"/>
  <c r="CJ3999" s="1"/>
  <c r="CH4000"/>
  <c r="CH4001"/>
  <c r="CH4002"/>
  <c r="CH4003"/>
  <c r="CJ4003" s="1"/>
  <c r="CH4004"/>
  <c r="CH4005"/>
  <c r="CH4006"/>
  <c r="CH4007"/>
  <c r="CJ4007" s="1"/>
  <c r="CH4008"/>
  <c r="CH4009"/>
  <c r="CH4010"/>
  <c r="CH4011"/>
  <c r="CJ4011" s="1"/>
  <c r="CH4012"/>
  <c r="CH4013"/>
  <c r="CH4014"/>
  <c r="CH4015"/>
  <c r="CJ4015" s="1"/>
  <c r="CH4016"/>
  <c r="CH4017"/>
  <c r="CH4018"/>
  <c r="CH4019"/>
  <c r="CJ4019" s="1"/>
  <c r="CH4020"/>
  <c r="CH4021"/>
  <c r="CH4022"/>
  <c r="CH4023"/>
  <c r="CJ4023" s="1"/>
  <c r="CH4024"/>
  <c r="CH4025"/>
  <c r="CH4026"/>
  <c r="CH4027"/>
  <c r="CJ4027" s="1"/>
  <c r="CH4028"/>
  <c r="CH4029"/>
  <c r="CH4030"/>
  <c r="CH4031"/>
  <c r="CJ4031" s="1"/>
  <c r="CH4032"/>
  <c r="CH4033"/>
  <c r="CH4034"/>
  <c r="CH4035"/>
  <c r="CJ4035" s="1"/>
  <c r="CH4036"/>
  <c r="CH4037"/>
  <c r="CH4038"/>
  <c r="CH4039"/>
  <c r="CJ4039" s="1"/>
  <c r="CH4040"/>
  <c r="CH4041"/>
  <c r="CH4042"/>
  <c r="Z24"/>
  <c r="CK130"/>
  <c r="CK131"/>
  <c r="CK132"/>
  <c r="CK134"/>
  <c r="CK135"/>
  <c r="CK136"/>
  <c r="CK137"/>
  <c r="CK138"/>
  <c r="CK139"/>
  <c r="CK140"/>
  <c r="CK142"/>
  <c r="CK143"/>
  <c r="CK144"/>
  <c r="CK145"/>
  <c r="CK146"/>
  <c r="CK147"/>
  <c r="CK148"/>
  <c r="CK149"/>
  <c r="CK151"/>
  <c r="CK152"/>
  <c r="CK153"/>
  <c r="CK154"/>
  <c r="CK155"/>
  <c r="CK156"/>
  <c r="CK157"/>
  <c r="CK158"/>
  <c r="CK159"/>
  <c r="CK160"/>
  <c r="CK161"/>
  <c r="CK162"/>
  <c r="CK163"/>
  <c r="CK164"/>
  <c r="CK165"/>
  <c r="CK166"/>
  <c r="CK167"/>
  <c r="CK168"/>
  <c r="CK169"/>
  <c r="CK170"/>
  <c r="CK171"/>
  <c r="CK172"/>
  <c r="CK174"/>
  <c r="CK175"/>
  <c r="CK176"/>
  <c r="CK177"/>
  <c r="CK178"/>
  <c r="CK179"/>
  <c r="CK180"/>
  <c r="CK181"/>
  <c r="CK182"/>
  <c r="CK183"/>
  <c r="CK184"/>
  <c r="CK185"/>
  <c r="CK186"/>
  <c r="CK187"/>
  <c r="CK188"/>
  <c r="CK189"/>
  <c r="CK191"/>
  <c r="CK192"/>
  <c r="CK193"/>
  <c r="CK194"/>
  <c r="CK195"/>
  <c r="CK196"/>
  <c r="CK197"/>
  <c r="CK198"/>
  <c r="CK199"/>
  <c r="CK200"/>
  <c r="CK201"/>
  <c r="CK202"/>
  <c r="CK203"/>
  <c r="CK204"/>
  <c r="CK205"/>
  <c r="CK206"/>
  <c r="CK207"/>
  <c r="CK208"/>
  <c r="CK209"/>
  <c r="CK210"/>
  <c r="CK211"/>
  <c r="CK212"/>
  <c r="CK213"/>
  <c r="CK214"/>
  <c r="CK215"/>
  <c r="CK216"/>
  <c r="CK217"/>
  <c r="CK218"/>
  <c r="CK219"/>
  <c r="CK220"/>
  <c r="CK221"/>
  <c r="CK223"/>
  <c r="CK224"/>
  <c r="CK225"/>
  <c r="CK226"/>
  <c r="CK227"/>
  <c r="CK228"/>
  <c r="CK230"/>
  <c r="CK231"/>
  <c r="CK232"/>
  <c r="CK233"/>
  <c r="CK234"/>
  <c r="CK235"/>
  <c r="CK236"/>
  <c r="CK237"/>
  <c r="CK238"/>
  <c r="CK239"/>
  <c r="CK240"/>
  <c r="CK241"/>
  <c r="CK242"/>
  <c r="CK243"/>
  <c r="CK244"/>
  <c r="CK245"/>
  <c r="CK247"/>
  <c r="CK248"/>
  <c r="CK249"/>
  <c r="CK250"/>
  <c r="CK251"/>
  <c r="CK252"/>
  <c r="CK253"/>
  <c r="CK254"/>
  <c r="CK255"/>
  <c r="CK256"/>
  <c r="CK257"/>
  <c r="CK258"/>
  <c r="CK259"/>
  <c r="CK260"/>
  <c r="CK262"/>
  <c r="CK263"/>
  <c r="CK264"/>
  <c r="CK265"/>
  <c r="CK266"/>
  <c r="CK267"/>
  <c r="CK268"/>
  <c r="CK270"/>
  <c r="CK271"/>
  <c r="CK272"/>
  <c r="CK273"/>
  <c r="CK274"/>
  <c r="CK275"/>
  <c r="CK276"/>
  <c r="CK277"/>
  <c r="CK279"/>
  <c r="CK280"/>
  <c r="CK281"/>
  <c r="CK282"/>
  <c r="CK283"/>
  <c r="CK284"/>
  <c r="CK285"/>
  <c r="CK286"/>
  <c r="CK287"/>
  <c r="CK288"/>
  <c r="CK289"/>
  <c r="CK290"/>
  <c r="CK291"/>
  <c r="CK292"/>
  <c r="CK293"/>
  <c r="CK294"/>
  <c r="CK295"/>
  <c r="CK296"/>
  <c r="CK297"/>
  <c r="CK298"/>
  <c r="CK299"/>
  <c r="CK300"/>
  <c r="CK302"/>
  <c r="CK303"/>
  <c r="CK304"/>
  <c r="CK305"/>
  <c r="CK306"/>
  <c r="CK307"/>
  <c r="CK308"/>
  <c r="CK309"/>
  <c r="CK310"/>
  <c r="CK311"/>
  <c r="CK312"/>
  <c r="CK313"/>
  <c r="CK314"/>
  <c r="CK315"/>
  <c r="CK316"/>
  <c r="CK317"/>
  <c r="CK319"/>
  <c r="CK320"/>
  <c r="CK321"/>
  <c r="CK322"/>
  <c r="CK323"/>
  <c r="CK324"/>
  <c r="CK325"/>
  <c r="CK326"/>
  <c r="CK327"/>
  <c r="CK328"/>
  <c r="CK329"/>
  <c r="CK330"/>
  <c r="CK331"/>
  <c r="CK332"/>
  <c r="CK333"/>
  <c r="CK334"/>
  <c r="CK335"/>
  <c r="CK336"/>
  <c r="CK337"/>
  <c r="CK338"/>
  <c r="CK339"/>
  <c r="CK340"/>
  <c r="CK341"/>
  <c r="CK342"/>
  <c r="CK343"/>
  <c r="CK344"/>
  <c r="CK345"/>
  <c r="CK346"/>
  <c r="CK347"/>
  <c r="CK348"/>
  <c r="CK349"/>
  <c r="CK351"/>
  <c r="CK352"/>
  <c r="CK353"/>
  <c r="CK354"/>
  <c r="CK355"/>
  <c r="CK356"/>
  <c r="CK358"/>
  <c r="CK359"/>
  <c r="CK360"/>
  <c r="CK361"/>
  <c r="CK362"/>
  <c r="CK363"/>
  <c r="CK364"/>
  <c r="CK366"/>
  <c r="CK367"/>
  <c r="CK369"/>
  <c r="CK370"/>
  <c r="CK371"/>
  <c r="CK372"/>
  <c r="CK373"/>
  <c r="CK374"/>
  <c r="CK375"/>
  <c r="CK376"/>
  <c r="CK378"/>
  <c r="CK379"/>
  <c r="CK381"/>
  <c r="CK382"/>
  <c r="CK383"/>
  <c r="CK384"/>
  <c r="CK385"/>
  <c r="CK386"/>
  <c r="CK387"/>
  <c r="CK388"/>
  <c r="CK389"/>
  <c r="CK390"/>
  <c r="CK391"/>
  <c r="CK392"/>
  <c r="CK393"/>
  <c r="CK394"/>
  <c r="CK395"/>
  <c r="CK396"/>
  <c r="CK398"/>
  <c r="CK399"/>
  <c r="CK400"/>
  <c r="CK401"/>
  <c r="CK402"/>
  <c r="CK403"/>
  <c r="CK404"/>
  <c r="CK405"/>
  <c r="CK406"/>
  <c r="CK407"/>
  <c r="CK408"/>
  <c r="CK410"/>
  <c r="CK411"/>
  <c r="CK412"/>
  <c r="CK413"/>
  <c r="CK414"/>
  <c r="CK415"/>
  <c r="CK416"/>
  <c r="CK417"/>
  <c r="CK418"/>
  <c r="CK419"/>
  <c r="CK420"/>
  <c r="CK421"/>
  <c r="CK422"/>
  <c r="CK423"/>
  <c r="CK424"/>
  <c r="CK425"/>
  <c r="CK426"/>
  <c r="CK427"/>
  <c r="CK428"/>
  <c r="CK430"/>
  <c r="CK431"/>
  <c r="CK433"/>
  <c r="CK434"/>
  <c r="CK435"/>
  <c r="CK436"/>
  <c r="CK437"/>
  <c r="CK438"/>
  <c r="CK439"/>
  <c r="CK440"/>
  <c r="CK442"/>
  <c r="CK443"/>
  <c r="CK445"/>
  <c r="CK446"/>
  <c r="CK447"/>
  <c r="CK448"/>
  <c r="CK449"/>
  <c r="CK450"/>
  <c r="CK451"/>
  <c r="CK452"/>
  <c r="CK453"/>
  <c r="CK454"/>
  <c r="CK455"/>
  <c r="CK456"/>
  <c r="CK457"/>
  <c r="CK458"/>
  <c r="CK459"/>
  <c r="CK460"/>
  <c r="CK462"/>
  <c r="CK463"/>
  <c r="CK464"/>
  <c r="CK465"/>
  <c r="CK466"/>
  <c r="CK467"/>
  <c r="CK468"/>
  <c r="CK469"/>
  <c r="CK470"/>
  <c r="CK471"/>
  <c r="CK472"/>
  <c r="CK474"/>
  <c r="CK475"/>
  <c r="CK476"/>
  <c r="CK477"/>
  <c r="CK478"/>
  <c r="CK479"/>
  <c r="CK480"/>
  <c r="CK481"/>
  <c r="CK482"/>
  <c r="CK483"/>
  <c r="CK484"/>
  <c r="CK485"/>
  <c r="CK486"/>
  <c r="CK487"/>
  <c r="CK488"/>
  <c r="CK489"/>
  <c r="CK490"/>
  <c r="CK491"/>
  <c r="CK492"/>
  <c r="CK494"/>
  <c r="CK495"/>
  <c r="CK497"/>
  <c r="CK498"/>
  <c r="CK499"/>
  <c r="CK500"/>
  <c r="CK501"/>
  <c r="CK502"/>
  <c r="CK503"/>
  <c r="CK504"/>
  <c r="CK506"/>
  <c r="CK507"/>
  <c r="CK508"/>
  <c r="CK509"/>
  <c r="CK510"/>
  <c r="CK511"/>
  <c r="CK512"/>
  <c r="CK513"/>
  <c r="CK514"/>
  <c r="CK515"/>
  <c r="CK516"/>
  <c r="CK517"/>
  <c r="CK518"/>
  <c r="CK519"/>
  <c r="CK520"/>
  <c r="CK521"/>
  <c r="CK522"/>
  <c r="CK523"/>
  <c r="CK524"/>
  <c r="CK526"/>
  <c r="CK527"/>
  <c r="CK528"/>
  <c r="CK529"/>
  <c r="CK530"/>
  <c r="CK531"/>
  <c r="CK532"/>
  <c r="CK534"/>
  <c r="CK535"/>
  <c r="CK536"/>
  <c r="CK537"/>
  <c r="CK538"/>
  <c r="CK539"/>
  <c r="CK541"/>
  <c r="CK542"/>
  <c r="CK543"/>
  <c r="CK544"/>
  <c r="CK545"/>
  <c r="CK546"/>
  <c r="CK547"/>
  <c r="CK549"/>
  <c r="CK550"/>
  <c r="CK551"/>
  <c r="CK552"/>
  <c r="CK553"/>
  <c r="CK554"/>
  <c r="CK555"/>
  <c r="CK556"/>
  <c r="CK558"/>
  <c r="CK559"/>
  <c r="CK560"/>
  <c r="CK561"/>
  <c r="CK562"/>
  <c r="CK563"/>
  <c r="CK564"/>
  <c r="CK566"/>
  <c r="CK567"/>
  <c r="CK568"/>
  <c r="CK569"/>
  <c r="CK570"/>
  <c r="CK571"/>
  <c r="CK572"/>
  <c r="CK573"/>
  <c r="CK574"/>
  <c r="CK575"/>
  <c r="CK576"/>
  <c r="CK577"/>
  <c r="CK578"/>
  <c r="CK579"/>
  <c r="CK581"/>
  <c r="CK582"/>
  <c r="CK583"/>
  <c r="CK584"/>
  <c r="CK585"/>
  <c r="CK586"/>
  <c r="CK587"/>
  <c r="CK588"/>
  <c r="CK590"/>
  <c r="CK591"/>
  <c r="CK592"/>
  <c r="CK593"/>
  <c r="CK594"/>
  <c r="CK595"/>
  <c r="CK596"/>
  <c r="CK598"/>
  <c r="CK599"/>
  <c r="CK601"/>
  <c r="CK602"/>
  <c r="CK603"/>
  <c r="CK604"/>
  <c r="CK605"/>
  <c r="CK606"/>
  <c r="CK607"/>
  <c r="CK608"/>
  <c r="CK609"/>
  <c r="CK610"/>
  <c r="CK611"/>
  <c r="CK612"/>
  <c r="CK613"/>
  <c r="CK614"/>
  <c r="CK615"/>
  <c r="CK616"/>
  <c r="CK617"/>
  <c r="CK618"/>
  <c r="CK619"/>
  <c r="CK620"/>
  <c r="CK622"/>
  <c r="CK623"/>
  <c r="CK625"/>
  <c r="CK626"/>
  <c r="CK627"/>
  <c r="CK628"/>
  <c r="CK630"/>
  <c r="CK631"/>
  <c r="CK632"/>
  <c r="CK633"/>
  <c r="CK634"/>
  <c r="CK635"/>
  <c r="CK636"/>
  <c r="CK637"/>
  <c r="CK638"/>
  <c r="CK639"/>
  <c r="CK640"/>
  <c r="CK641"/>
  <c r="CK642"/>
  <c r="CK643"/>
  <c r="CK644"/>
  <c r="CK645"/>
  <c r="CK646"/>
  <c r="CK647"/>
  <c r="CK648"/>
  <c r="CK649"/>
  <c r="CK650"/>
  <c r="CK651"/>
  <c r="CK652"/>
  <c r="CK654"/>
  <c r="CK655"/>
  <c r="CK656"/>
  <c r="CK657"/>
  <c r="CK658"/>
  <c r="CK659"/>
  <c r="CK660"/>
  <c r="CK662"/>
  <c r="CK663"/>
  <c r="CK665"/>
  <c r="CK666"/>
  <c r="CK667"/>
  <c r="CK668"/>
  <c r="CK669"/>
  <c r="CK670"/>
  <c r="CK671"/>
  <c r="CK672"/>
  <c r="CK673"/>
  <c r="CK674"/>
  <c r="CK675"/>
  <c r="CK676"/>
  <c r="CK677"/>
  <c r="CK678"/>
  <c r="CK679"/>
  <c r="CK680"/>
  <c r="CK681"/>
  <c r="CK682"/>
  <c r="CK683"/>
  <c r="CK684"/>
  <c r="CK685"/>
  <c r="CK686"/>
  <c r="CK687"/>
  <c r="CK688"/>
  <c r="CK690"/>
  <c r="CK691"/>
  <c r="CK692"/>
  <c r="CK694"/>
  <c r="CK695"/>
  <c r="CK697"/>
  <c r="CK698"/>
  <c r="CK699"/>
  <c r="CK700"/>
  <c r="CK701"/>
  <c r="CK702"/>
  <c r="CK703"/>
  <c r="CK704"/>
  <c r="CK705"/>
  <c r="CK706"/>
  <c r="CK707"/>
  <c r="CK708"/>
  <c r="CK709"/>
  <c r="CK710"/>
  <c r="CK711"/>
  <c r="CK712"/>
  <c r="CK713"/>
  <c r="CK714"/>
  <c r="CK715"/>
  <c r="CK716"/>
  <c r="CK717"/>
  <c r="CK718"/>
  <c r="CK719"/>
  <c r="CK720"/>
  <c r="CK721"/>
  <c r="CK722"/>
  <c r="CK723"/>
  <c r="CK724"/>
  <c r="CK725"/>
  <c r="CK726"/>
  <c r="CK727"/>
  <c r="CK728"/>
  <c r="CK729"/>
  <c r="CK730"/>
  <c r="CK731"/>
  <c r="CK732"/>
  <c r="CK733"/>
  <c r="CK734"/>
  <c r="CK735"/>
  <c r="CK736"/>
  <c r="CK737"/>
  <c r="CK738"/>
  <c r="CK739"/>
  <c r="CK740"/>
  <c r="CK741"/>
  <c r="CK742"/>
  <c r="CK743"/>
  <c r="CK744"/>
  <c r="CK745"/>
  <c r="CK746"/>
  <c r="CK747"/>
  <c r="CK748"/>
  <c r="CK749"/>
  <c r="CK750"/>
  <c r="CK751"/>
  <c r="CK752"/>
  <c r="CK753"/>
  <c r="CK754"/>
  <c r="CK755"/>
  <c r="CK756"/>
  <c r="CK757"/>
  <c r="CK758"/>
  <c r="CK759"/>
  <c r="CK760"/>
  <c r="CK761"/>
  <c r="CK762"/>
  <c r="CK763"/>
  <c r="CK764"/>
  <c r="CK765"/>
  <c r="CK766"/>
  <c r="CK767"/>
  <c r="CK768"/>
  <c r="CK769"/>
  <c r="CK770"/>
  <c r="CK771"/>
  <c r="CK772"/>
  <c r="CK773"/>
  <c r="CK774"/>
  <c r="CK775"/>
  <c r="CK776"/>
  <c r="CK777"/>
  <c r="CK778"/>
  <c r="CK779"/>
  <c r="CK780"/>
  <c r="CK781"/>
  <c r="CK782"/>
  <c r="CK783"/>
  <c r="CK784"/>
  <c r="CK785"/>
  <c r="CK786"/>
  <c r="CK787"/>
  <c r="CK788"/>
  <c r="CK789"/>
  <c r="CK790"/>
  <c r="CK791"/>
  <c r="CK792"/>
  <c r="CK793"/>
  <c r="CK794"/>
  <c r="CK795"/>
  <c r="CK796"/>
  <c r="CK797"/>
  <c r="CK798"/>
  <c r="CK799"/>
  <c r="CK800"/>
  <c r="CK801"/>
  <c r="CK802"/>
  <c r="CK803"/>
  <c r="CK804"/>
  <c r="CK805"/>
  <c r="CK806"/>
  <c r="CK807"/>
  <c r="CK808"/>
  <c r="CK809"/>
  <c r="CK810"/>
  <c r="CK811"/>
  <c r="CK812"/>
  <c r="CK813"/>
  <c r="CK814"/>
  <c r="CK815"/>
  <c r="CK816"/>
  <c r="CK817"/>
  <c r="CK818"/>
  <c r="CK819"/>
  <c r="CK820"/>
  <c r="CK821"/>
  <c r="CK822"/>
  <c r="CK823"/>
  <c r="CK824"/>
  <c r="CK825"/>
  <c r="CK826"/>
  <c r="CK827"/>
  <c r="CK828"/>
  <c r="CK829"/>
  <c r="CK830"/>
  <c r="CK831"/>
  <c r="CK832"/>
  <c r="CK833"/>
  <c r="CK834"/>
  <c r="CK835"/>
  <c r="CK836"/>
  <c r="CK837"/>
  <c r="CK838"/>
  <c r="CK839"/>
  <c r="CK840"/>
  <c r="CK841"/>
  <c r="CK842"/>
  <c r="CK843"/>
  <c r="CK844"/>
  <c r="CK845"/>
  <c r="CK846"/>
  <c r="CK847"/>
  <c r="CK848"/>
  <c r="CK849"/>
  <c r="CK850"/>
  <c r="CK851"/>
  <c r="CK852"/>
  <c r="CK853"/>
  <c r="CK854"/>
  <c r="CK855"/>
  <c r="CK856"/>
  <c r="CK857"/>
  <c r="CK858"/>
  <c r="CK859"/>
  <c r="CK860"/>
  <c r="CK861"/>
  <c r="CK862"/>
  <c r="CK863"/>
  <c r="CK864"/>
  <c r="CK865"/>
  <c r="CK866"/>
  <c r="CK867"/>
  <c r="CK868"/>
  <c r="CK869"/>
  <c r="CK870"/>
  <c r="CK871"/>
  <c r="CK872"/>
  <c r="CK873"/>
  <c r="CK874"/>
  <c r="CK875"/>
  <c r="CK876"/>
  <c r="CK877"/>
  <c r="CK878"/>
  <c r="CK879"/>
  <c r="CK880"/>
  <c r="CK881"/>
  <c r="CK882"/>
  <c r="CK883"/>
  <c r="CK884"/>
  <c r="CK885"/>
  <c r="CK886"/>
  <c r="CK887"/>
  <c r="CK888"/>
  <c r="CK889"/>
  <c r="CK890"/>
  <c r="CK891"/>
  <c r="CK892"/>
  <c r="CK893"/>
  <c r="CK894"/>
  <c r="CK895"/>
  <c r="CK896"/>
  <c r="CK897"/>
  <c r="CK898"/>
  <c r="CK899"/>
  <c r="CK900"/>
  <c r="CK901"/>
  <c r="CK902"/>
  <c r="CK903"/>
  <c r="CK904"/>
  <c r="CK905"/>
  <c r="CK906"/>
  <c r="CK907"/>
  <c r="CK908"/>
  <c r="CK909"/>
  <c r="CK910"/>
  <c r="CK911"/>
  <c r="CK912"/>
  <c r="CK913"/>
  <c r="CK914"/>
  <c r="CK915"/>
  <c r="CK916"/>
  <c r="CK917"/>
  <c r="CK918"/>
  <c r="CK919"/>
  <c r="CK920"/>
  <c r="CK921"/>
  <c r="CK922"/>
  <c r="CK923"/>
  <c r="CK924"/>
  <c r="CK925"/>
  <c r="CK926"/>
  <c r="CK927"/>
  <c r="CK928"/>
  <c r="CK929"/>
  <c r="CK930"/>
  <c r="CK931"/>
  <c r="CK932"/>
  <c r="CK933"/>
  <c r="CK934"/>
  <c r="CK935"/>
  <c r="CK936"/>
  <c r="CK937"/>
  <c r="CK938"/>
  <c r="CK939"/>
  <c r="CK940"/>
  <c r="CK941"/>
  <c r="CK942"/>
  <c r="CK943"/>
  <c r="CK944"/>
  <c r="CK945"/>
  <c r="CK946"/>
  <c r="CK947"/>
  <c r="CK948"/>
  <c r="CK949"/>
  <c r="CK950"/>
  <c r="CK951"/>
  <c r="CK952"/>
  <c r="CK953"/>
  <c r="CK954"/>
  <c r="CK955"/>
  <c r="CK956"/>
  <c r="CK957"/>
  <c r="CK958"/>
  <c r="CK959"/>
  <c r="CK960"/>
  <c r="CK961"/>
  <c r="CK962"/>
  <c r="CK963"/>
  <c r="CK964"/>
  <c r="CK965"/>
  <c r="CK966"/>
  <c r="CK967"/>
  <c r="CK968"/>
  <c r="CK969"/>
  <c r="CK970"/>
  <c r="CK971"/>
  <c r="CK972"/>
  <c r="CK973"/>
  <c r="CK974"/>
  <c r="CK975"/>
  <c r="CK976"/>
  <c r="CK977"/>
  <c r="CK978"/>
  <c r="CK979"/>
  <c r="CK980"/>
  <c r="CK981"/>
  <c r="CK982"/>
  <c r="CK983"/>
  <c r="CK984"/>
  <c r="CK985"/>
  <c r="CK986"/>
  <c r="CK987"/>
  <c r="CK988"/>
  <c r="CK989"/>
  <c r="CK990"/>
  <c r="CK991"/>
  <c r="CK992"/>
  <c r="CK993"/>
  <c r="CK994"/>
  <c r="CK995"/>
  <c r="CK996"/>
  <c r="CK997"/>
  <c r="CK998"/>
  <c r="CK999"/>
  <c r="CK1000"/>
  <c r="CK1001"/>
  <c r="CK1002"/>
  <c r="CK1003"/>
  <c r="CK1004"/>
  <c r="CK1005"/>
  <c r="CK1006"/>
  <c r="CK1007"/>
  <c r="CK1008"/>
  <c r="CK1009"/>
  <c r="CK1010"/>
  <c r="CK1011"/>
  <c r="CK1012"/>
  <c r="CK1013"/>
  <c r="CK1014"/>
  <c r="CK1015"/>
  <c r="CK1016"/>
  <c r="CK1017"/>
  <c r="CK1018"/>
  <c r="CK1019"/>
  <c r="CK1020"/>
  <c r="CK1021"/>
  <c r="CK1022"/>
  <c r="CK1023"/>
  <c r="CK1024"/>
  <c r="CK1025"/>
  <c r="CK1026"/>
  <c r="CK1027"/>
  <c r="CK1028"/>
  <c r="CK1029"/>
  <c r="CK1030"/>
  <c r="CK1031"/>
  <c r="CK1032"/>
  <c r="CK1033"/>
  <c r="CK1034"/>
  <c r="CK1035"/>
  <c r="CK1036"/>
  <c r="CK1037"/>
  <c r="CK1038"/>
  <c r="CK1039"/>
  <c r="CK1040"/>
  <c r="CK1041"/>
  <c r="CK1042"/>
  <c r="CK1043"/>
  <c r="CK1044"/>
  <c r="CK1045"/>
  <c r="CK1046"/>
  <c r="CK1047"/>
  <c r="CK1048"/>
  <c r="CK1049"/>
  <c r="CK1050"/>
  <c r="CK1051"/>
  <c r="CK1052"/>
  <c r="CK1053"/>
  <c r="CK1054"/>
  <c r="CK1055"/>
  <c r="CK1056"/>
  <c r="CK1057"/>
  <c r="CK1058"/>
  <c r="CK1059"/>
  <c r="CK1060"/>
  <c r="CK1061"/>
  <c r="CK1062"/>
  <c r="CK1063"/>
  <c r="CK1064"/>
  <c r="CK1065"/>
  <c r="CK1066"/>
  <c r="CK1067"/>
  <c r="CK1068"/>
  <c r="CK1069"/>
  <c r="CK1070"/>
  <c r="CK1071"/>
  <c r="CK1072"/>
  <c r="CK1073"/>
  <c r="CK1074"/>
  <c r="CK1075"/>
  <c r="CK1076"/>
  <c r="CK1077"/>
  <c r="CK1078"/>
  <c r="CK1079"/>
  <c r="CK1080"/>
  <c r="CK1081"/>
  <c r="CK1082"/>
  <c r="CK1083"/>
  <c r="CK1084"/>
  <c r="CK1085"/>
  <c r="CK1086"/>
  <c r="CK1087"/>
  <c r="CK1088"/>
  <c r="CK1089"/>
  <c r="CK1090"/>
  <c r="CK1091"/>
  <c r="CK1092"/>
  <c r="CK1093"/>
  <c r="CK1094"/>
  <c r="CK1095"/>
  <c r="CK1096"/>
  <c r="CK1097"/>
  <c r="CK1098"/>
  <c r="CK1099"/>
  <c r="CK1100"/>
  <c r="CK1101"/>
  <c r="CK1102"/>
  <c r="CK1103"/>
  <c r="CK1104"/>
  <c r="CK1105"/>
  <c r="CK1106"/>
  <c r="CK1107"/>
  <c r="CK1108"/>
  <c r="CK1109"/>
  <c r="CK1110"/>
  <c r="CK1111"/>
  <c r="CK1112"/>
  <c r="CK1113"/>
  <c r="CK1114"/>
  <c r="CK1115"/>
  <c r="CK1116"/>
  <c r="CK1117"/>
  <c r="CK1118"/>
  <c r="CK1119"/>
  <c r="CK1120"/>
  <c r="CK1121"/>
  <c r="CK1122"/>
  <c r="CK1123"/>
  <c r="CK1124"/>
  <c r="CK1125"/>
  <c r="CK1126"/>
  <c r="CK1127"/>
  <c r="CK1128"/>
  <c r="CK1129"/>
  <c r="CK1130"/>
  <c r="CK1131"/>
  <c r="CK1132"/>
  <c r="CK1133"/>
  <c r="CK1134"/>
  <c r="CK1135"/>
  <c r="CK1136"/>
  <c r="CK1137"/>
  <c r="CK1138"/>
  <c r="CK1139"/>
  <c r="CK1140"/>
  <c r="CK1141"/>
  <c r="CK1142"/>
  <c r="CK1143"/>
  <c r="CK1144"/>
  <c r="CK1145"/>
  <c r="CK1146"/>
  <c r="CK1147"/>
  <c r="CK1148"/>
  <c r="CK1149"/>
  <c r="CK1150"/>
  <c r="CK1151"/>
  <c r="CK1152"/>
  <c r="CK1153"/>
  <c r="CK1154"/>
  <c r="CK1155"/>
  <c r="CK1156"/>
  <c r="CK1157"/>
  <c r="CK1158"/>
  <c r="CK1159"/>
  <c r="CK1160"/>
  <c r="CK1161"/>
  <c r="CK1162"/>
  <c r="CK1163"/>
  <c r="CK1164"/>
  <c r="CK1165"/>
  <c r="CK1166"/>
  <c r="CK1167"/>
  <c r="CK1168"/>
  <c r="CK1169"/>
  <c r="CK1170"/>
  <c r="CK1171"/>
  <c r="CK1172"/>
  <c r="CK1173"/>
  <c r="CK1174"/>
  <c r="CK1175"/>
  <c r="CK1176"/>
  <c r="CK1177"/>
  <c r="CK1178"/>
  <c r="CK1179"/>
  <c r="CK1180"/>
  <c r="CK1181"/>
  <c r="CK1182"/>
  <c r="CK1183"/>
  <c r="CK1184"/>
  <c r="CK1185"/>
  <c r="CK1186"/>
  <c r="CK1187"/>
  <c r="CK1188"/>
  <c r="CK1189"/>
  <c r="CK1190"/>
  <c r="CK1191"/>
  <c r="CK1192"/>
  <c r="CK1193"/>
  <c r="CK1194"/>
  <c r="CK1195"/>
  <c r="CK1196"/>
  <c r="CK1197"/>
  <c r="CK1198"/>
  <c r="CK1199"/>
  <c r="CK1200"/>
  <c r="CK1201"/>
  <c r="CK1202"/>
  <c r="CK1203"/>
  <c r="CK1204"/>
  <c r="CK1205"/>
  <c r="CK1206"/>
  <c r="CK1207"/>
  <c r="CK1208"/>
  <c r="CK1209"/>
  <c r="CK1210"/>
  <c r="CK1211"/>
  <c r="CK1212"/>
  <c r="CK1213"/>
  <c r="CK1214"/>
  <c r="CK1215"/>
  <c r="CK1216"/>
  <c r="CK1217"/>
  <c r="CK1218"/>
  <c r="CK1219"/>
  <c r="CK1220"/>
  <c r="CK1221"/>
  <c r="CK1222"/>
  <c r="CK1223"/>
  <c r="CK1224"/>
  <c r="CK1225"/>
  <c r="CK1226"/>
  <c r="CK1227"/>
  <c r="CK1228"/>
  <c r="CK1229"/>
  <c r="CK1230"/>
  <c r="CK1231"/>
  <c r="CK1232"/>
  <c r="CK1233"/>
  <c r="CK1234"/>
  <c r="CK1235"/>
  <c r="CK1236"/>
  <c r="CK1237"/>
  <c r="CK1238"/>
  <c r="CK1239"/>
  <c r="CK1240"/>
  <c r="CK1241"/>
  <c r="CK1242"/>
  <c r="CK1243"/>
  <c r="CK1244"/>
  <c r="CK1245"/>
  <c r="CK1246"/>
  <c r="CK1247"/>
  <c r="CK1248"/>
  <c r="CK1249"/>
  <c r="CK1250"/>
  <c r="CK1251"/>
  <c r="CK1252"/>
  <c r="CK1253"/>
  <c r="CK1254"/>
  <c r="CK1255"/>
  <c r="CK1256"/>
  <c r="CK1257"/>
  <c r="CK1258"/>
  <c r="CK1259"/>
  <c r="CK1260"/>
  <c r="CK1261"/>
  <c r="CK1262"/>
  <c r="CK1263"/>
  <c r="CK1264"/>
  <c r="CK1265"/>
  <c r="CK1266"/>
  <c r="CK1267"/>
  <c r="CK1268"/>
  <c r="CK1269"/>
  <c r="CK1270"/>
  <c r="CK1271"/>
  <c r="CK1272"/>
  <c r="CK1273"/>
  <c r="CK1274"/>
  <c r="CK1275"/>
  <c r="CK1276"/>
  <c r="CK1277"/>
  <c r="CK1278"/>
  <c r="CK1279"/>
  <c r="CK1280"/>
  <c r="CK1281"/>
  <c r="CK1282"/>
  <c r="CK1283"/>
  <c r="CK1284"/>
  <c r="CK1285"/>
  <c r="CK1286"/>
  <c r="CK1287"/>
  <c r="CK1288"/>
  <c r="CK1289"/>
  <c r="CK1290"/>
  <c r="CK1291"/>
  <c r="CK1292"/>
  <c r="CK1293"/>
  <c r="CK1294"/>
  <c r="CK1295"/>
  <c r="CK1296"/>
  <c r="CK1297"/>
  <c r="CK1298"/>
  <c r="CK1299"/>
  <c r="CK1300"/>
  <c r="CK1301"/>
  <c r="CK1302"/>
  <c r="CK1303"/>
  <c r="CK1304"/>
  <c r="CK1305"/>
  <c r="CK1306"/>
  <c r="CK1307"/>
  <c r="CK1308"/>
  <c r="CK1309"/>
  <c r="CK1310"/>
  <c r="CK1311"/>
  <c r="CK1312"/>
  <c r="CK1313"/>
  <c r="CK1314"/>
  <c r="CK1315"/>
  <c r="CK1316"/>
  <c r="CK1317"/>
  <c r="CK1318"/>
  <c r="CK1319"/>
  <c r="CK1320"/>
  <c r="CK1321"/>
  <c r="CK1322"/>
  <c r="CK1323"/>
  <c r="CK1324"/>
  <c r="CK1325"/>
  <c r="CK1326"/>
  <c r="CK1327"/>
  <c r="CK1328"/>
  <c r="CK1329"/>
  <c r="CK1330"/>
  <c r="CK1331"/>
  <c r="CK1332"/>
  <c r="CK1333"/>
  <c r="CK1334"/>
  <c r="CK1335"/>
  <c r="CK1336"/>
  <c r="CK1337"/>
  <c r="CK1338"/>
  <c r="CK1339"/>
  <c r="CK1340"/>
  <c r="CK1341"/>
  <c r="CK1342"/>
  <c r="CK1343"/>
  <c r="CK1344"/>
  <c r="CK1345"/>
  <c r="CK1346"/>
  <c r="CK1347"/>
  <c r="CK1348"/>
  <c r="CK1349"/>
  <c r="CK1350"/>
  <c r="CK1351"/>
  <c r="CK1352"/>
  <c r="CK1353"/>
  <c r="CK1354"/>
  <c r="CK1355"/>
  <c r="CK1356"/>
  <c r="CK1357"/>
  <c r="CK1358"/>
  <c r="CK1359"/>
  <c r="CK1360"/>
  <c r="CK1361"/>
  <c r="CK1362"/>
  <c r="CK1363"/>
  <c r="CK1364"/>
  <c r="CK1365"/>
  <c r="CK1366"/>
  <c r="CK1367"/>
  <c r="CK1368"/>
  <c r="CK1369"/>
  <c r="CK1370"/>
  <c r="CK1371"/>
  <c r="CK1372"/>
  <c r="CK1373"/>
  <c r="CK1374"/>
  <c r="CK1375"/>
  <c r="CK1376"/>
  <c r="CK1377"/>
  <c r="CK1378"/>
  <c r="CK1379"/>
  <c r="CK1380"/>
  <c r="CK1381"/>
  <c r="CK1382"/>
  <c r="CK1383"/>
  <c r="CK1384"/>
  <c r="CK1385"/>
  <c r="CK1386"/>
  <c r="CK1387"/>
  <c r="CK1388"/>
  <c r="CK1389"/>
  <c r="CK1390"/>
  <c r="CK1391"/>
  <c r="CK1392"/>
  <c r="CK1393"/>
  <c r="CK1394"/>
  <c r="CK1395"/>
  <c r="CK1396"/>
  <c r="CK1397"/>
  <c r="CK1398"/>
  <c r="CK1399"/>
  <c r="CK1400"/>
  <c r="CK1401"/>
  <c r="CK1402"/>
  <c r="CK1403"/>
  <c r="CK1404"/>
  <c r="CK1405"/>
  <c r="CK1406"/>
  <c r="CK1407"/>
  <c r="CK1408"/>
  <c r="CK1409"/>
  <c r="CK1410"/>
  <c r="CK1411"/>
  <c r="CK1412"/>
  <c r="CK1413"/>
  <c r="CK1414"/>
  <c r="CK1415"/>
  <c r="CK1416"/>
  <c r="CK1417"/>
  <c r="CK1418"/>
  <c r="CK1419"/>
  <c r="CK1420"/>
  <c r="CK1421"/>
  <c r="CK1422"/>
  <c r="CK1423"/>
  <c r="CK1424"/>
  <c r="CK1425"/>
  <c r="CK1426"/>
  <c r="CK1427"/>
  <c r="CK1428"/>
  <c r="CK1429"/>
  <c r="CK1430"/>
  <c r="CK1431"/>
  <c r="CK1432"/>
  <c r="CK1433"/>
  <c r="CK1434"/>
  <c r="CK1435"/>
  <c r="CK1436"/>
  <c r="CK1437"/>
  <c r="CK1438"/>
  <c r="CK1439"/>
  <c r="CK1440"/>
  <c r="CK1441"/>
  <c r="CK1442"/>
  <c r="CK1443"/>
  <c r="CK1444"/>
  <c r="CK1445"/>
  <c r="CK1446"/>
  <c r="CK1447"/>
  <c r="CK1448"/>
  <c r="CK1449"/>
  <c r="CK1450"/>
  <c r="CK1451"/>
  <c r="CK1452"/>
  <c r="CK1453"/>
  <c r="CK1454"/>
  <c r="CK1455"/>
  <c r="CK1456"/>
  <c r="CK1457"/>
  <c r="CK1458"/>
  <c r="CK1459"/>
  <c r="CK1460"/>
  <c r="CK1461"/>
  <c r="CK1462"/>
  <c r="CK1463"/>
  <c r="CK1464"/>
  <c r="CK1465"/>
  <c r="CK1466"/>
  <c r="CK1467"/>
  <c r="CK1468"/>
  <c r="CK1469"/>
  <c r="CK1470"/>
  <c r="CK1471"/>
  <c r="CK1472"/>
  <c r="CK1473"/>
  <c r="CK1474"/>
  <c r="CK1475"/>
  <c r="CK1476"/>
  <c r="CK1477"/>
  <c r="CK1478"/>
  <c r="CK1479"/>
  <c r="CK1480"/>
  <c r="CK1481"/>
  <c r="CK1482"/>
  <c r="CK1483"/>
  <c r="CK1484"/>
  <c r="CK1485"/>
  <c r="CK1486"/>
  <c r="CK1487"/>
  <c r="CK1488"/>
  <c r="CK1489"/>
  <c r="CK1490"/>
  <c r="CK1491"/>
  <c r="CK1492"/>
  <c r="CK1493"/>
  <c r="CK1494"/>
  <c r="CK1495"/>
  <c r="CK1496"/>
  <c r="CK1497"/>
  <c r="CK1498"/>
  <c r="CK1499"/>
  <c r="CK1500"/>
  <c r="CK1501"/>
  <c r="CK1502"/>
  <c r="CK1503"/>
  <c r="CK1504"/>
  <c r="CK1505"/>
  <c r="CK1506"/>
  <c r="CK1507"/>
  <c r="CK1508"/>
  <c r="CK1509"/>
  <c r="CK1510"/>
  <c r="CK1511"/>
  <c r="CK1512"/>
  <c r="CK1513"/>
  <c r="CK1514"/>
  <c r="CK1515"/>
  <c r="CK1516"/>
  <c r="CK1517"/>
  <c r="CK1518"/>
  <c r="CK1519"/>
  <c r="CK1520"/>
  <c r="CK1521"/>
  <c r="CK1522"/>
  <c r="CK1523"/>
  <c r="CK1524"/>
  <c r="CK1525"/>
  <c r="CK1526"/>
  <c r="CK1527"/>
  <c r="CK1528"/>
  <c r="CK1529"/>
  <c r="CK1530"/>
  <c r="CK1531"/>
  <c r="CK1532"/>
  <c r="CK1533"/>
  <c r="CK1534"/>
  <c r="CK1535"/>
  <c r="CK1536"/>
  <c r="CK1537"/>
  <c r="CK1538"/>
  <c r="CK1539"/>
  <c r="CK1540"/>
  <c r="CK1541"/>
  <c r="CK1542"/>
  <c r="CK1543"/>
  <c r="CK1544"/>
  <c r="CK1545"/>
  <c r="CK1546"/>
  <c r="CK1547"/>
  <c r="CK1548"/>
  <c r="CK1549"/>
  <c r="CK1550"/>
  <c r="CK1551"/>
  <c r="CK1552"/>
  <c r="CK1553"/>
  <c r="CK1554"/>
  <c r="CK1555"/>
  <c r="CK1556"/>
  <c r="CK1557"/>
  <c r="CK1558"/>
  <c r="CK1559"/>
  <c r="CK1560"/>
  <c r="CK1561"/>
  <c r="CK1562"/>
  <c r="CK1563"/>
  <c r="CK1564"/>
  <c r="CK1565"/>
  <c r="CK1566"/>
  <c r="CK1567"/>
  <c r="CK1568"/>
  <c r="CK1569"/>
  <c r="CK1570"/>
  <c r="CK1571"/>
  <c r="CK1572"/>
  <c r="CK1573"/>
  <c r="CK1574"/>
  <c r="CK1575"/>
  <c r="CK1576"/>
  <c r="CK1577"/>
  <c r="CK1578"/>
  <c r="CK1579"/>
  <c r="CK1580"/>
  <c r="CK1581"/>
  <c r="CK1582"/>
  <c r="CK1583"/>
  <c r="CK1584"/>
  <c r="CK1585"/>
  <c r="CK1586"/>
  <c r="CK1587"/>
  <c r="CK1588"/>
  <c r="CK1589"/>
  <c r="CK1590"/>
  <c r="CK1591"/>
  <c r="CK1592"/>
  <c r="CK1593"/>
  <c r="CK1594"/>
  <c r="CK1595"/>
  <c r="CK1596"/>
  <c r="CK1597"/>
  <c r="CK1598"/>
  <c r="CK1599"/>
  <c r="CK1600"/>
  <c r="CK1601"/>
  <c r="CK1602"/>
  <c r="CK1603"/>
  <c r="CK1604"/>
  <c r="CK1605"/>
  <c r="CK1606"/>
  <c r="CK1607"/>
  <c r="CK1608"/>
  <c r="CK1609"/>
  <c r="CK1610"/>
  <c r="CK1611"/>
  <c r="CK1612"/>
  <c r="CK1613"/>
  <c r="CK1614"/>
  <c r="CK1615"/>
  <c r="CK1616"/>
  <c r="CK1617"/>
  <c r="CK1618"/>
  <c r="CK1619"/>
  <c r="CK1620"/>
  <c r="CK1621"/>
  <c r="CK1622"/>
  <c r="CK1623"/>
  <c r="CK1624"/>
  <c r="CK1625"/>
  <c r="CK1626"/>
  <c r="CK1627"/>
  <c r="CK1628"/>
  <c r="CK1629"/>
  <c r="CK1630"/>
  <c r="CK1631"/>
  <c r="CK1632"/>
  <c r="CK1633"/>
  <c r="CK1634"/>
  <c r="CK1635"/>
  <c r="CK1636"/>
  <c r="CK1637"/>
  <c r="CK1638"/>
  <c r="CK1639"/>
  <c r="CK1640"/>
  <c r="CK1641"/>
  <c r="CK1642"/>
  <c r="CK1643"/>
  <c r="CK1644"/>
  <c r="CK1645"/>
  <c r="CK1646"/>
  <c r="CK1647"/>
  <c r="CK1648"/>
  <c r="CK1649"/>
  <c r="CK1650"/>
  <c r="CK1651"/>
  <c r="CK1652"/>
  <c r="CK1653"/>
  <c r="CK1654"/>
  <c r="CK1655"/>
  <c r="CK1656"/>
  <c r="CK1657"/>
  <c r="CK1658"/>
  <c r="CK1659"/>
  <c r="CK1660"/>
  <c r="CK1661"/>
  <c r="CK1662"/>
  <c r="CK1663"/>
  <c r="CK1664"/>
  <c r="CK1665"/>
  <c r="CK1666"/>
  <c r="CK1667"/>
  <c r="CK1668"/>
  <c r="CK1669"/>
  <c r="CK1670"/>
  <c r="CK1671"/>
  <c r="CK1672"/>
  <c r="CK1673"/>
  <c r="CK1674"/>
  <c r="CK1675"/>
  <c r="CK1676"/>
  <c r="CK1677"/>
  <c r="CK1678"/>
  <c r="CK1679"/>
  <c r="CK1680"/>
  <c r="CK1681"/>
  <c r="CK1682"/>
  <c r="CK1683"/>
  <c r="CK1684"/>
  <c r="CK1685"/>
  <c r="CK1686"/>
  <c r="CK1687"/>
  <c r="CK1688"/>
  <c r="CK1689"/>
  <c r="CK1690"/>
  <c r="CK1691"/>
  <c r="CK1692"/>
  <c r="CK1693"/>
  <c r="CK1694"/>
  <c r="CK1695"/>
  <c r="CK1696"/>
  <c r="CK1697"/>
  <c r="CK1698"/>
  <c r="CK1699"/>
  <c r="CK1700"/>
  <c r="CK1701"/>
  <c r="CK1702"/>
  <c r="CK1703"/>
  <c r="CK1704"/>
  <c r="CK1705"/>
  <c r="CK1706"/>
  <c r="CK1707"/>
  <c r="CK1708"/>
  <c r="CK1709"/>
  <c r="CK1710"/>
  <c r="CK1711"/>
  <c r="CK1712"/>
  <c r="CK1713"/>
  <c r="CK1714"/>
  <c r="CK1715"/>
  <c r="CK1716"/>
  <c r="CK1717"/>
  <c r="CK1718"/>
  <c r="CK1719"/>
  <c r="CK1720"/>
  <c r="CK1721"/>
  <c r="CK1722"/>
  <c r="CK1723"/>
  <c r="CK1724"/>
  <c r="CK1725"/>
  <c r="CK1726"/>
  <c r="CK1727"/>
  <c r="CK1728"/>
  <c r="CK1729"/>
  <c r="CK1730"/>
  <c r="CK1731"/>
  <c r="CK1732"/>
  <c r="CK1733"/>
  <c r="CK1734"/>
  <c r="CK1735"/>
  <c r="CK1736"/>
  <c r="CK1737"/>
  <c r="CK1738"/>
  <c r="CK1739"/>
  <c r="CK1740"/>
  <c r="CK1741"/>
  <c r="CK1742"/>
  <c r="CK1743"/>
  <c r="CK1744"/>
  <c r="CK1745"/>
  <c r="CK1746"/>
  <c r="CK1747"/>
  <c r="CK1748"/>
  <c r="CK1749"/>
  <c r="CK1750"/>
  <c r="CK1751"/>
  <c r="CK1752"/>
  <c r="CK1753"/>
  <c r="CK1754"/>
  <c r="CK1755"/>
  <c r="CK1756"/>
  <c r="CK1757"/>
  <c r="CK1758"/>
  <c r="CK1759"/>
  <c r="CK1760"/>
  <c r="CK1761"/>
  <c r="CK1762"/>
  <c r="CK1763"/>
  <c r="CK1764"/>
  <c r="CK1765"/>
  <c r="CK1766"/>
  <c r="CK1767"/>
  <c r="CK1768"/>
  <c r="CK1769"/>
  <c r="CK1770"/>
  <c r="CK1771"/>
  <c r="CK1772"/>
  <c r="CK1773"/>
  <c r="CK1774"/>
  <c r="CK1775"/>
  <c r="CK1776"/>
  <c r="CK1777"/>
  <c r="CK1778"/>
  <c r="CK1779"/>
  <c r="CK1780"/>
  <c r="CK1781"/>
  <c r="CK1782"/>
  <c r="CK1783"/>
  <c r="CK1784"/>
  <c r="CK1785"/>
  <c r="CK1786"/>
  <c r="CK1787"/>
  <c r="CK1788"/>
  <c r="CK1789"/>
  <c r="CK1790"/>
  <c r="CK1791"/>
  <c r="CK1792"/>
  <c r="CK1793"/>
  <c r="CK1794"/>
  <c r="CK1795"/>
  <c r="CK1796"/>
  <c r="CK1797"/>
  <c r="CK1798"/>
  <c r="CK1799"/>
  <c r="CK1800"/>
  <c r="CK1801"/>
  <c r="CK1802"/>
  <c r="CK1803"/>
  <c r="CK1804"/>
  <c r="CK1805"/>
  <c r="CK1806"/>
  <c r="CK1807"/>
  <c r="CK1808"/>
  <c r="CK1809"/>
  <c r="CK1810"/>
  <c r="CK1811"/>
  <c r="CK1812"/>
  <c r="CK1813"/>
  <c r="CK1814"/>
  <c r="CK1815"/>
  <c r="CK1816"/>
  <c r="CK1817"/>
  <c r="CK1818"/>
  <c r="CK1819"/>
  <c r="CK1820"/>
  <c r="CK1821"/>
  <c r="CK1822"/>
  <c r="CK1823"/>
  <c r="CK1824"/>
  <c r="CK1825"/>
  <c r="CK1826"/>
  <c r="CK1827"/>
  <c r="CK1828"/>
  <c r="CK1829"/>
  <c r="CK1830"/>
  <c r="CK1831"/>
  <c r="CK1832"/>
  <c r="CK1833"/>
  <c r="CK1834"/>
  <c r="CK1835"/>
  <c r="CK1836"/>
  <c r="CK1837"/>
  <c r="CK1838"/>
  <c r="CK1839"/>
  <c r="CK1840"/>
  <c r="CK1841"/>
  <c r="CK1842"/>
  <c r="CK1843"/>
  <c r="CK1844"/>
  <c r="CK1845"/>
  <c r="CK1846"/>
  <c r="CK1847"/>
  <c r="CK1848"/>
  <c r="CK1849"/>
  <c r="CK1850"/>
  <c r="CK1851"/>
  <c r="CK1852"/>
  <c r="CK1853"/>
  <c r="CK1854"/>
  <c r="CK1855"/>
  <c r="CK1856"/>
  <c r="CK1857"/>
  <c r="CK1858"/>
  <c r="CK1859"/>
  <c r="CK1860"/>
  <c r="CK1861"/>
  <c r="CK1862"/>
  <c r="CK1863"/>
  <c r="CK1864"/>
  <c r="CK1865"/>
  <c r="CK1866"/>
  <c r="CK1867"/>
  <c r="CK1868"/>
  <c r="CK1869"/>
  <c r="CK1870"/>
  <c r="CK1871"/>
  <c r="CK1872"/>
  <c r="CK1873"/>
  <c r="CK1874"/>
  <c r="CK1875"/>
  <c r="CK1876"/>
  <c r="CK1877"/>
  <c r="CK1878"/>
  <c r="CK1879"/>
  <c r="CK1880"/>
  <c r="CK1881"/>
  <c r="CK1882"/>
  <c r="CK1883"/>
  <c r="CK1884"/>
  <c r="CK1885"/>
  <c r="CK1886"/>
  <c r="CK1887"/>
  <c r="CK1888"/>
  <c r="CK1889"/>
  <c r="CK1890"/>
  <c r="CK1891"/>
  <c r="CK1892"/>
  <c r="CK1893"/>
  <c r="CK1894"/>
  <c r="CK1895"/>
  <c r="CK1896"/>
  <c r="CK1897"/>
  <c r="CK1898"/>
  <c r="CK1899"/>
  <c r="CK1900"/>
  <c r="CK1901"/>
  <c r="CK1902"/>
  <c r="CK1903"/>
  <c r="CK1904"/>
  <c r="CK1905"/>
  <c r="CK1906"/>
  <c r="CK1907"/>
  <c r="CK1908"/>
  <c r="CK1909"/>
  <c r="CK1910"/>
  <c r="CK1911"/>
  <c r="CK1912"/>
  <c r="CK1913"/>
  <c r="CK1914"/>
  <c r="CK1915"/>
  <c r="CK1916"/>
  <c r="CK1917"/>
  <c r="CK1918"/>
  <c r="CK1919"/>
  <c r="CK1920"/>
  <c r="CK1921"/>
  <c r="CK1922"/>
  <c r="CK1923"/>
  <c r="CK1924"/>
  <c r="CK1925"/>
  <c r="CK1926"/>
  <c r="CK1927"/>
  <c r="CK1928"/>
  <c r="CK1929"/>
  <c r="CK1930"/>
  <c r="CK1931"/>
  <c r="CK1932"/>
  <c r="CK1933"/>
  <c r="CK1934"/>
  <c r="CK1935"/>
  <c r="CK1936"/>
  <c r="CK1937"/>
  <c r="CK1938"/>
  <c r="CK1939"/>
  <c r="CK1940"/>
  <c r="CK1941"/>
  <c r="CK1942"/>
  <c r="CK1943"/>
  <c r="CK1944"/>
  <c r="CK1945"/>
  <c r="CK1946"/>
  <c r="CK1947"/>
  <c r="CK1948"/>
  <c r="CK1949"/>
  <c r="CK1950"/>
  <c r="CK1951"/>
  <c r="CK1952"/>
  <c r="CK1953"/>
  <c r="CK1954"/>
  <c r="CK1955"/>
  <c r="CK1956"/>
  <c r="CK1957"/>
  <c r="CK1958"/>
  <c r="CK1959"/>
  <c r="CK1960"/>
  <c r="CK1961"/>
  <c r="CK1962"/>
  <c r="CK1963"/>
  <c r="CK1964"/>
  <c r="CK1965"/>
  <c r="CK1966"/>
  <c r="CK1967"/>
  <c r="CK1968"/>
  <c r="CK1969"/>
  <c r="CK1970"/>
  <c r="CK1971"/>
  <c r="CK1972"/>
  <c r="CK1973"/>
  <c r="CK1974"/>
  <c r="CK1975"/>
  <c r="CK1976"/>
  <c r="CK1977"/>
  <c r="CK1978"/>
  <c r="CK1979"/>
  <c r="CK1980"/>
  <c r="CK1981"/>
  <c r="CK1982"/>
  <c r="CK1983"/>
  <c r="CK1984"/>
  <c r="CK1985"/>
  <c r="CK1986"/>
  <c r="CK1987"/>
  <c r="CK1988"/>
  <c r="CK1989"/>
  <c r="CK1990"/>
  <c r="CK1991"/>
  <c r="CK1992"/>
  <c r="CK1993"/>
  <c r="CK1994"/>
  <c r="CK1995"/>
  <c r="CK1996"/>
  <c r="CK1997"/>
  <c r="CK1998"/>
  <c r="CK1999"/>
  <c r="CK2000"/>
  <c r="CK2001"/>
  <c r="CK2002"/>
  <c r="CK2003"/>
  <c r="CK2004"/>
  <c r="CK2005"/>
  <c r="CK2006"/>
  <c r="CK2007"/>
  <c r="CK2008"/>
  <c r="CK2009"/>
  <c r="CK2010"/>
  <c r="CK2011"/>
  <c r="CK2012"/>
  <c r="CK2013"/>
  <c r="CK2014"/>
  <c r="CK2015"/>
  <c r="CK2016"/>
  <c r="CK2017"/>
  <c r="CK2018"/>
  <c r="CK2019"/>
  <c r="CK2020"/>
  <c r="CK2021"/>
  <c r="CK2022"/>
  <c r="CK2023"/>
  <c r="CK2024"/>
  <c r="CK2025"/>
  <c r="CK2026"/>
  <c r="CK2027"/>
  <c r="CK2028"/>
  <c r="CK2029"/>
  <c r="CK2030"/>
  <c r="CK2031"/>
  <c r="CK2032"/>
  <c r="CK2033"/>
  <c r="CK2034"/>
  <c r="CK2035"/>
  <c r="CK2036"/>
  <c r="CK2037"/>
  <c r="CK2038"/>
  <c r="CK2039"/>
  <c r="CK2040"/>
  <c r="CK2041"/>
  <c r="CK2042"/>
  <c r="CK2043"/>
  <c r="CK2044"/>
  <c r="CK2045"/>
  <c r="CK2046"/>
  <c r="CK2047"/>
  <c r="CK2048"/>
  <c r="CK2049"/>
  <c r="CK2050"/>
  <c r="CK2051"/>
  <c r="CK2052"/>
  <c r="CK2053"/>
  <c r="CK2054"/>
  <c r="CK2055"/>
  <c r="CK2056"/>
  <c r="CK2057"/>
  <c r="CK2058"/>
  <c r="CK2059"/>
  <c r="CK2060"/>
  <c r="CK2061"/>
  <c r="CK2062"/>
  <c r="CK2063"/>
  <c r="CK2064"/>
  <c r="CK2065"/>
  <c r="CK2066"/>
  <c r="CK2067"/>
  <c r="CK2068"/>
  <c r="CK2069"/>
  <c r="CK2070"/>
  <c r="CK2071"/>
  <c r="CK2072"/>
  <c r="CK2073"/>
  <c r="CK2074"/>
  <c r="CK2075"/>
  <c r="CK2076"/>
  <c r="CK2077"/>
  <c r="CK2078"/>
  <c r="CK2079"/>
  <c r="CK2080"/>
  <c r="CK2081"/>
  <c r="CK2082"/>
  <c r="CK2083"/>
  <c r="CK2084"/>
  <c r="CK2085"/>
  <c r="CK2086"/>
  <c r="CK2087"/>
  <c r="CK2088"/>
  <c r="CK2089"/>
  <c r="CK2090"/>
  <c r="CK2091"/>
  <c r="CK2092"/>
  <c r="CK2093"/>
  <c r="CK2094"/>
  <c r="CK2095"/>
  <c r="CK2096"/>
  <c r="CK2097"/>
  <c r="CK2098"/>
  <c r="CK2099"/>
  <c r="CK2100"/>
  <c r="CK2101"/>
  <c r="CK2102"/>
  <c r="CK2103"/>
  <c r="CK2104"/>
  <c r="CK2105"/>
  <c r="CK2106"/>
  <c r="CK2107"/>
  <c r="CK2108"/>
  <c r="CK2109"/>
  <c r="CK2110"/>
  <c r="CK2111"/>
  <c r="CK2112"/>
  <c r="CK2113"/>
  <c r="CK2114"/>
  <c r="CK2115"/>
  <c r="CK2116"/>
  <c r="CK2117"/>
  <c r="CK2118"/>
  <c r="CK2119"/>
  <c r="CK2120"/>
  <c r="CK2121"/>
  <c r="CK2122"/>
  <c r="CK2123"/>
  <c r="CK2124"/>
  <c r="CK2125"/>
  <c r="CK2126"/>
  <c r="CK2127"/>
  <c r="CK2128"/>
  <c r="CK2129"/>
  <c r="CK2130"/>
  <c r="CK2131"/>
  <c r="CK2132"/>
  <c r="CK2133"/>
  <c r="CK2134"/>
  <c r="CK2135"/>
  <c r="CK2136"/>
  <c r="CK2137"/>
  <c r="CK2138"/>
  <c r="CK2139"/>
  <c r="CK2140"/>
  <c r="CK2141"/>
  <c r="CK2142"/>
  <c r="CK2143"/>
  <c r="CK2144"/>
  <c r="CK2145"/>
  <c r="CK2146"/>
  <c r="CK2147"/>
  <c r="CK2148"/>
  <c r="CK2149"/>
  <c r="CK2150"/>
  <c r="CK2151"/>
  <c r="CK2152"/>
  <c r="CK2153"/>
  <c r="CK2154"/>
  <c r="CK2155"/>
  <c r="CK2156"/>
  <c r="CK2157"/>
  <c r="CK2158"/>
  <c r="CK2159"/>
  <c r="CK2160"/>
  <c r="CK2161"/>
  <c r="CK2162"/>
  <c r="CK2163"/>
  <c r="CK2164"/>
  <c r="CK2165"/>
  <c r="CK2166"/>
  <c r="CK2167"/>
  <c r="CK2168"/>
  <c r="CK2169"/>
  <c r="CK2170"/>
  <c r="CK2171"/>
  <c r="CK2172"/>
  <c r="CK2173"/>
  <c r="CK2174"/>
  <c r="CK2175"/>
  <c r="CK2176"/>
  <c r="CK2177"/>
  <c r="CK2178"/>
  <c r="CK2179"/>
  <c r="CK2180"/>
  <c r="CK2181"/>
  <c r="CK2182"/>
  <c r="CK2183"/>
  <c r="CK2184"/>
  <c r="CK2185"/>
  <c r="CK2186"/>
  <c r="CK2187"/>
  <c r="CK2188"/>
  <c r="CK2189"/>
  <c r="CK2190"/>
  <c r="CK2191"/>
  <c r="CK2192"/>
  <c r="CK2193"/>
  <c r="CK2194"/>
  <c r="CK2195"/>
  <c r="CK2196"/>
  <c r="CK2197"/>
  <c r="CK2198"/>
  <c r="CK2199"/>
  <c r="CK2200"/>
  <c r="CK2201"/>
  <c r="CK2202"/>
  <c r="CK2203"/>
  <c r="CK2204"/>
  <c r="CK2205"/>
  <c r="CK2206"/>
  <c r="CK2207"/>
  <c r="CK2208"/>
  <c r="CK2209"/>
  <c r="CK2210"/>
  <c r="CK2211"/>
  <c r="CK2212"/>
  <c r="CK2213"/>
  <c r="CK2214"/>
  <c r="CK2215"/>
  <c r="CK2216"/>
  <c r="CK2217"/>
  <c r="CK2218"/>
  <c r="CK2219"/>
  <c r="CK2220"/>
  <c r="CK2221"/>
  <c r="CK2222"/>
  <c r="CK2223"/>
  <c r="CK2224"/>
  <c r="CK2225"/>
  <c r="CK2226"/>
  <c r="CK2227"/>
  <c r="CK2228"/>
  <c r="CK2229"/>
  <c r="CK2230"/>
  <c r="CK2231"/>
  <c r="CK2232"/>
  <c r="CK2233"/>
  <c r="CK2234"/>
  <c r="CK2235"/>
  <c r="CK2236"/>
  <c r="CK2237"/>
  <c r="CK2238"/>
  <c r="CK2239"/>
  <c r="CK2240"/>
  <c r="CK2241"/>
  <c r="CK2242"/>
  <c r="CK2243"/>
  <c r="CK2244"/>
  <c r="CK2245"/>
  <c r="CK2246"/>
  <c r="CK2247"/>
  <c r="CK2248"/>
  <c r="CK2249"/>
  <c r="CK2250"/>
  <c r="CK2251"/>
  <c r="CK2252"/>
  <c r="CK2253"/>
  <c r="CK2254"/>
  <c r="CK2255"/>
  <c r="CK2256"/>
  <c r="CK2257"/>
  <c r="CK2258"/>
  <c r="CK2259"/>
  <c r="CK2260"/>
  <c r="CK2261"/>
  <c r="CK2262"/>
  <c r="CK2263"/>
  <c r="CK2264"/>
  <c r="CK2265"/>
  <c r="CK2266"/>
  <c r="CK2267"/>
  <c r="CK2268"/>
  <c r="CK2269"/>
  <c r="CK2270"/>
  <c r="CK2271"/>
  <c r="CK2272"/>
  <c r="CK2273"/>
  <c r="CK2274"/>
  <c r="CK2275"/>
  <c r="CK2276"/>
  <c r="CK2277"/>
  <c r="CK2278"/>
  <c r="CK2279"/>
  <c r="CK2280"/>
  <c r="CK2281"/>
  <c r="CK2282"/>
  <c r="CK2283"/>
  <c r="CK2284"/>
  <c r="CK2285"/>
  <c r="CK2286"/>
  <c r="CK2287"/>
  <c r="CK2288"/>
  <c r="CK2289"/>
  <c r="CK2290"/>
  <c r="CK2291"/>
  <c r="CK2292"/>
  <c r="CK2293"/>
  <c r="CK2294"/>
  <c r="CK2295"/>
  <c r="CK2296"/>
  <c r="CK2297"/>
  <c r="CK2298"/>
  <c r="CK2299"/>
  <c r="CK2300"/>
  <c r="CK2301"/>
  <c r="CK2302"/>
  <c r="CK2303"/>
  <c r="CK2304"/>
  <c r="CK2305"/>
  <c r="CK2306"/>
  <c r="CK2307"/>
  <c r="CK2308"/>
  <c r="CK2309"/>
  <c r="CK2310"/>
  <c r="CK2311"/>
  <c r="CK2312"/>
  <c r="CK2313"/>
  <c r="CK2314"/>
  <c r="CK2315"/>
  <c r="CK2316"/>
  <c r="CK2317"/>
  <c r="CK2318"/>
  <c r="CK2319"/>
  <c r="CK2320"/>
  <c r="CK2321"/>
  <c r="CK2322"/>
  <c r="CK2323"/>
  <c r="CK2324"/>
  <c r="CK2325"/>
  <c r="CK2326"/>
  <c r="CK2327"/>
  <c r="CK2328"/>
  <c r="CK2329"/>
  <c r="CK2330"/>
  <c r="CK2331"/>
  <c r="CK2332"/>
  <c r="CK2333"/>
  <c r="CK2334"/>
  <c r="CK2335"/>
  <c r="CK2336"/>
  <c r="CK2337"/>
  <c r="CK2338"/>
  <c r="CK2339"/>
  <c r="CK2340"/>
  <c r="CK2341"/>
  <c r="CK2342"/>
  <c r="CK2343"/>
  <c r="CK2344"/>
  <c r="CK2345"/>
  <c r="CK2346"/>
  <c r="CK2347"/>
  <c r="CK2348"/>
  <c r="CK2349"/>
  <c r="CK2350"/>
  <c r="CK2351"/>
  <c r="CK2352"/>
  <c r="CK2353"/>
  <c r="CK2354"/>
  <c r="CK2355"/>
  <c r="CK2356"/>
  <c r="CK2357"/>
  <c r="CK2358"/>
  <c r="CK2359"/>
  <c r="CK2360"/>
  <c r="CK2361"/>
  <c r="CK2362"/>
  <c r="CK2363"/>
  <c r="CK2364"/>
  <c r="CK2365"/>
  <c r="CK2366"/>
  <c r="CK2367"/>
  <c r="CK2368"/>
  <c r="CK2369"/>
  <c r="CK2370"/>
  <c r="CK2371"/>
  <c r="CK2372"/>
  <c r="CK2373"/>
  <c r="CK2374"/>
  <c r="CK2375"/>
  <c r="CK2376"/>
  <c r="CK2377"/>
  <c r="CK2378"/>
  <c r="CK2379"/>
  <c r="CK2380"/>
  <c r="CK2381"/>
  <c r="CK2382"/>
  <c r="CK2383"/>
  <c r="CK2384"/>
  <c r="CK2385"/>
  <c r="CK2386"/>
  <c r="CK2387"/>
  <c r="CK2388"/>
  <c r="CK2389"/>
  <c r="CK2390"/>
  <c r="CK2391"/>
  <c r="CK2392"/>
  <c r="CK2393"/>
  <c r="CK2394"/>
  <c r="CK2395"/>
  <c r="CK2396"/>
  <c r="CK2397"/>
  <c r="CK2398"/>
  <c r="CK2399"/>
  <c r="CK2400"/>
  <c r="CK2401"/>
  <c r="CK2402"/>
  <c r="CK2403"/>
  <c r="CK2404"/>
  <c r="CK2405"/>
  <c r="CK2406"/>
  <c r="CK2407"/>
  <c r="CK2408"/>
  <c r="CK2409"/>
  <c r="CK2410"/>
  <c r="CK2411"/>
  <c r="CK2412"/>
  <c r="CK2413"/>
  <c r="CK2414"/>
  <c r="CK2415"/>
  <c r="CK2416"/>
  <c r="CK2417"/>
  <c r="CK2418"/>
  <c r="CK2419"/>
  <c r="CK2420"/>
  <c r="CK2421"/>
  <c r="CK2422"/>
  <c r="CK2423"/>
  <c r="CK2424"/>
  <c r="CK2425"/>
  <c r="CK2426"/>
  <c r="CK2427"/>
  <c r="CK2428"/>
  <c r="CK2429"/>
  <c r="CK2430"/>
  <c r="CK2431"/>
  <c r="CK2432"/>
  <c r="CK2433"/>
  <c r="CK2434"/>
  <c r="CK2435"/>
  <c r="CK2436"/>
  <c r="CK2437"/>
  <c r="CK2438"/>
  <c r="CK2439"/>
  <c r="CK2440"/>
  <c r="CK2441"/>
  <c r="CK2442"/>
  <c r="CK2443"/>
  <c r="CK2444"/>
  <c r="CK2445"/>
  <c r="CK2446"/>
  <c r="CK2447"/>
  <c r="CK2448"/>
  <c r="CK2449"/>
  <c r="CK2450"/>
  <c r="CK2451"/>
  <c r="CK2452"/>
  <c r="CK2453"/>
  <c r="CK2454"/>
  <c r="CK2455"/>
  <c r="CK2456"/>
  <c r="CK2457"/>
  <c r="CK2458"/>
  <c r="CK2459"/>
  <c r="CK2460"/>
  <c r="CK2461"/>
  <c r="CK2462"/>
  <c r="CK2463"/>
  <c r="CK2464"/>
  <c r="CK2465"/>
  <c r="CK2466"/>
  <c r="CK2467"/>
  <c r="CK2468"/>
  <c r="CK2469"/>
  <c r="CK2470"/>
  <c r="CK2471"/>
  <c r="CK2472"/>
  <c r="CK2473"/>
  <c r="CK2474"/>
  <c r="CK2475"/>
  <c r="CK2476"/>
  <c r="CK2477"/>
  <c r="CK2478"/>
  <c r="CK2479"/>
  <c r="CK2480"/>
  <c r="CK2481"/>
  <c r="CK2482"/>
  <c r="CK2483"/>
  <c r="CK2484"/>
  <c r="CK2485"/>
  <c r="CK2486"/>
  <c r="CK2487"/>
  <c r="CK2488"/>
  <c r="CK2489"/>
  <c r="CK2490"/>
  <c r="CK2491"/>
  <c r="CK2492"/>
  <c r="CK2493"/>
  <c r="CK2494"/>
  <c r="CK2495"/>
  <c r="CK2496"/>
  <c r="CK2497"/>
  <c r="CK2498"/>
  <c r="CK2499"/>
  <c r="CK2500"/>
  <c r="CK2501"/>
  <c r="CK2502"/>
  <c r="CK2503"/>
  <c r="CK2504"/>
  <c r="CK2505"/>
  <c r="CK2506"/>
  <c r="CK2507"/>
  <c r="CK2508"/>
  <c r="CK2509"/>
  <c r="CK2510"/>
  <c r="CK2511"/>
  <c r="CK2512"/>
  <c r="CK2513"/>
  <c r="CK2514"/>
  <c r="CK2515"/>
  <c r="CK2516"/>
  <c r="CK2517"/>
  <c r="CK2518"/>
  <c r="CK2519"/>
  <c r="CK2520"/>
  <c r="CK2521"/>
  <c r="CK2522"/>
  <c r="CK2523"/>
  <c r="CK2524"/>
  <c r="CK2525"/>
  <c r="CK2526"/>
  <c r="CK2527"/>
  <c r="CK2528"/>
  <c r="CK2529"/>
  <c r="CK2530"/>
  <c r="CK2531"/>
  <c r="CK2532"/>
  <c r="CK2533"/>
  <c r="CK2534"/>
  <c r="CK2535"/>
  <c r="CK2536"/>
  <c r="CK2537"/>
  <c r="CK2538"/>
  <c r="CK2539"/>
  <c r="CK2540"/>
  <c r="CK2541"/>
  <c r="CK2542"/>
  <c r="CK2543"/>
  <c r="CK2544"/>
  <c r="CK2545"/>
  <c r="CK2546"/>
  <c r="CK2547"/>
  <c r="CK2548"/>
  <c r="CK2549"/>
  <c r="CK2550"/>
  <c r="CK2551"/>
  <c r="CK2552"/>
  <c r="CK2553"/>
  <c r="CK2554"/>
  <c r="CK2555"/>
  <c r="CK2556"/>
  <c r="CK2557"/>
  <c r="CK2558"/>
  <c r="CK2559"/>
  <c r="CK2560"/>
  <c r="CK2561"/>
  <c r="CK2562"/>
  <c r="CK2563"/>
  <c r="CK2564"/>
  <c r="CK2565"/>
  <c r="CK2566"/>
  <c r="CK2567"/>
  <c r="CK2568"/>
  <c r="CK2569"/>
  <c r="CK2570"/>
  <c r="CK2571"/>
  <c r="CK2572"/>
  <c r="CK2573"/>
  <c r="CK2574"/>
  <c r="CK2575"/>
  <c r="CK2576"/>
  <c r="CK2577"/>
  <c r="CK2578"/>
  <c r="CK2579"/>
  <c r="CK2580"/>
  <c r="CK2581"/>
  <c r="CK2582"/>
  <c r="CK2583"/>
  <c r="CK2584"/>
  <c r="CK2585"/>
  <c r="CK2586"/>
  <c r="CK2587"/>
  <c r="CK2588"/>
  <c r="CK2589"/>
  <c r="CK2590"/>
  <c r="CK2591"/>
  <c r="CK2592"/>
  <c r="CK2593"/>
  <c r="CK2594"/>
  <c r="CK2595"/>
  <c r="CK2596"/>
  <c r="CK2597"/>
  <c r="CK2598"/>
  <c r="CK2599"/>
  <c r="CK2600"/>
  <c r="CK2601"/>
  <c r="CK2602"/>
  <c r="CK2603"/>
  <c r="CK2604"/>
  <c r="CK2605"/>
  <c r="CK2606"/>
  <c r="CK2607"/>
  <c r="CK2608"/>
  <c r="CK2609"/>
  <c r="CK2610"/>
  <c r="CK2611"/>
  <c r="CK2612"/>
  <c r="CK2613"/>
  <c r="CK2614"/>
  <c r="CK2615"/>
  <c r="CK2616"/>
  <c r="CK2617"/>
  <c r="CK2618"/>
  <c r="CK2619"/>
  <c r="CK2620"/>
  <c r="CK2621"/>
  <c r="CK2622"/>
  <c r="CK2623"/>
  <c r="CK2624"/>
  <c r="CK2625"/>
  <c r="CK2626"/>
  <c r="CK2627"/>
  <c r="CK2628"/>
  <c r="CK2629"/>
  <c r="CK2630"/>
  <c r="CK2631"/>
  <c r="CK2632"/>
  <c r="CK2633"/>
  <c r="CK2634"/>
  <c r="CK2635"/>
  <c r="CK2636"/>
  <c r="CK2637"/>
  <c r="CK2638"/>
  <c r="CK2639"/>
  <c r="CK2640"/>
  <c r="CK2641"/>
  <c r="CK2642"/>
  <c r="CK2643"/>
  <c r="CK2644"/>
  <c r="CK2645"/>
  <c r="CK2646"/>
  <c r="CK2647"/>
  <c r="CK2648"/>
  <c r="CK2649"/>
  <c r="CK2650"/>
  <c r="CK2651"/>
  <c r="CK2652"/>
  <c r="CK2653"/>
  <c r="CK2654"/>
  <c r="CK2655"/>
  <c r="CK2656"/>
  <c r="CK2657"/>
  <c r="CK2658"/>
  <c r="CK2659"/>
  <c r="CK2660"/>
  <c r="CK2661"/>
  <c r="CK2662"/>
  <c r="CK2663"/>
  <c r="CK2664"/>
  <c r="CK2665"/>
  <c r="CK2666"/>
  <c r="CK2667"/>
  <c r="CK2668"/>
  <c r="CK2669"/>
  <c r="CK2670"/>
  <c r="CK2671"/>
  <c r="CK2672"/>
  <c r="CK2673"/>
  <c r="CK2674"/>
  <c r="CK2675"/>
  <c r="CK2676"/>
  <c r="CK2677"/>
  <c r="CK2678"/>
  <c r="CK2679"/>
  <c r="CK2680"/>
  <c r="CK2681"/>
  <c r="CK2682"/>
  <c r="CK2683"/>
  <c r="CK2684"/>
  <c r="CK2685"/>
  <c r="CK2686"/>
  <c r="CK2687"/>
  <c r="CK2688"/>
  <c r="CK2689"/>
  <c r="CK2690"/>
  <c r="CK2691"/>
  <c r="CK2692"/>
  <c r="CK2693"/>
  <c r="CK2694"/>
  <c r="CK2695"/>
  <c r="CK2696"/>
  <c r="CK2697"/>
  <c r="CK2698"/>
  <c r="CK2699"/>
  <c r="CK2700"/>
  <c r="CK2701"/>
  <c r="CK2702"/>
  <c r="CK2703"/>
  <c r="CK2704"/>
  <c r="CK2705"/>
  <c r="CK2706"/>
  <c r="CK2707"/>
  <c r="CK2708"/>
  <c r="CK2709"/>
  <c r="CK2710"/>
  <c r="CK2711"/>
  <c r="CK2712"/>
  <c r="CK2713"/>
  <c r="CK2714"/>
  <c r="CK2715"/>
  <c r="CK2716"/>
  <c r="CK2717"/>
  <c r="CK2718"/>
  <c r="CK2719"/>
  <c r="CK2720"/>
  <c r="CK2721"/>
  <c r="CK2722"/>
  <c r="CK2723"/>
  <c r="CK2724"/>
  <c r="CK2725"/>
  <c r="CK2726"/>
  <c r="CK2727"/>
  <c r="CK2728"/>
  <c r="CK2729"/>
  <c r="CK2730"/>
  <c r="CK2731"/>
  <c r="CK2732"/>
  <c r="CK2733"/>
  <c r="CK2734"/>
  <c r="CK2735"/>
  <c r="CK2736"/>
  <c r="CK2737"/>
  <c r="CK2738"/>
  <c r="CK2739"/>
  <c r="CK2740"/>
  <c r="CK2741"/>
  <c r="CK2742"/>
  <c r="CK2743"/>
  <c r="CK2744"/>
  <c r="CK2745"/>
  <c r="CK2746"/>
  <c r="CK2747"/>
  <c r="CK2748"/>
  <c r="CK2749"/>
  <c r="CK2750"/>
  <c r="CK2751"/>
  <c r="CK2752"/>
  <c r="CK2753"/>
  <c r="CK2754"/>
  <c r="CK2755"/>
  <c r="CK2756"/>
  <c r="CK2757"/>
  <c r="CK2758"/>
  <c r="CK2759"/>
  <c r="CK2760"/>
  <c r="CK2761"/>
  <c r="CK2762"/>
  <c r="CK2763"/>
  <c r="CK2764"/>
  <c r="CK2765"/>
  <c r="CK2766"/>
  <c r="CK2767"/>
  <c r="CK2768"/>
  <c r="CK2769"/>
  <c r="CK2770"/>
  <c r="CK2771"/>
  <c r="CK2772"/>
  <c r="CK2773"/>
  <c r="CK2774"/>
  <c r="CK2775"/>
  <c r="CK2776"/>
  <c r="CK2777"/>
  <c r="CK2778"/>
  <c r="CK2779"/>
  <c r="CK2780"/>
  <c r="CK2781"/>
  <c r="CK2782"/>
  <c r="CK2783"/>
  <c r="CK2784"/>
  <c r="CK2785"/>
  <c r="CK2786"/>
  <c r="CK2787"/>
  <c r="CK2788"/>
  <c r="CK2789"/>
  <c r="CK2790"/>
  <c r="CK2791"/>
  <c r="CK2792"/>
  <c r="CK2793"/>
  <c r="CK2794"/>
  <c r="CK2795"/>
  <c r="CK2796"/>
  <c r="CK2797"/>
  <c r="CK2798"/>
  <c r="CK2799"/>
  <c r="CK2800"/>
  <c r="CK2801"/>
  <c r="CK2802"/>
  <c r="CK2803"/>
  <c r="CK2804"/>
  <c r="CK2805"/>
  <c r="CK2806"/>
  <c r="CK2807"/>
  <c r="CK2808"/>
  <c r="CK2809"/>
  <c r="CK2810"/>
  <c r="CK2811"/>
  <c r="CK2812"/>
  <c r="CK2813"/>
  <c r="CK2814"/>
  <c r="CK2815"/>
  <c r="CK2816"/>
  <c r="CK2817"/>
  <c r="CK2818"/>
  <c r="CK2819"/>
  <c r="CK2820"/>
  <c r="CK2821"/>
  <c r="CK2822"/>
  <c r="CK2823"/>
  <c r="CK2824"/>
  <c r="CK2825"/>
  <c r="CK2826"/>
  <c r="CK2827"/>
  <c r="CK2828"/>
  <c r="CK2829"/>
  <c r="CK2830"/>
  <c r="CK2831"/>
  <c r="CK2832"/>
  <c r="CK2833"/>
  <c r="CK2834"/>
  <c r="CK2835"/>
  <c r="CK2836"/>
  <c r="CK2837"/>
  <c r="CK2838"/>
  <c r="CK2839"/>
  <c r="CK2840"/>
  <c r="CK2841"/>
  <c r="CK2842"/>
  <c r="CK2843"/>
  <c r="CK2844"/>
  <c r="CK2845"/>
  <c r="CK2846"/>
  <c r="CK2847"/>
  <c r="CK2848"/>
  <c r="CK2849"/>
  <c r="CK2850"/>
  <c r="CK2851"/>
  <c r="CK2852"/>
  <c r="CK2853"/>
  <c r="CK2854"/>
  <c r="CK2855"/>
  <c r="CK2856"/>
  <c r="CK2857"/>
  <c r="CK2858"/>
  <c r="CK2859"/>
  <c r="CK2860"/>
  <c r="CK2861"/>
  <c r="CK2862"/>
  <c r="CK2863"/>
  <c r="CK2864"/>
  <c r="CK2865"/>
  <c r="CK2866"/>
  <c r="CK2867"/>
  <c r="CK2868"/>
  <c r="CK2869"/>
  <c r="CK2870"/>
  <c r="CK2871"/>
  <c r="CK2872"/>
  <c r="CK2873"/>
  <c r="CK2874"/>
  <c r="CK2875"/>
  <c r="CK2876"/>
  <c r="CK2877"/>
  <c r="CK2878"/>
  <c r="CK2879"/>
  <c r="CK2880"/>
  <c r="CK2881"/>
  <c r="CK2882"/>
  <c r="CK2883"/>
  <c r="CK2884"/>
  <c r="CK2885"/>
  <c r="CK2886"/>
  <c r="CK2887"/>
  <c r="CK2888"/>
  <c r="CK2889"/>
  <c r="CK2890"/>
  <c r="CK2891"/>
  <c r="CK2892"/>
  <c r="CK2893"/>
  <c r="CK2894"/>
  <c r="CK2895"/>
  <c r="CK2896"/>
  <c r="CK2897"/>
  <c r="CK2898"/>
  <c r="CK2899"/>
  <c r="CK2900"/>
  <c r="CK2901"/>
  <c r="CK2902"/>
  <c r="CK2903"/>
  <c r="CK2904"/>
  <c r="CK2905"/>
  <c r="CK2906"/>
  <c r="CK2907"/>
  <c r="CK2908"/>
  <c r="CK2909"/>
  <c r="CK2910"/>
  <c r="CK2911"/>
  <c r="CK2912"/>
  <c r="CK2913"/>
  <c r="CK2914"/>
  <c r="CK2915"/>
  <c r="CK2916"/>
  <c r="CK2917"/>
  <c r="CK2918"/>
  <c r="CK2919"/>
  <c r="CK2920"/>
  <c r="CK2921"/>
  <c r="CK2922"/>
  <c r="CK2923"/>
  <c r="CK2924"/>
  <c r="CK2925"/>
  <c r="CK2926"/>
  <c r="CK2927"/>
  <c r="CK2928"/>
  <c r="CK2929"/>
  <c r="CK2930"/>
  <c r="CK2931"/>
  <c r="CK2932"/>
  <c r="CK2933"/>
  <c r="CK2934"/>
  <c r="CK2935"/>
  <c r="CK2936"/>
  <c r="CK2937"/>
  <c r="CK2938"/>
  <c r="CK2939"/>
  <c r="CK2940"/>
  <c r="CK2941"/>
  <c r="CK2942"/>
  <c r="CK2943"/>
  <c r="CK2944"/>
  <c r="CK2945"/>
  <c r="CK2946"/>
  <c r="CK2947"/>
  <c r="CK2948"/>
  <c r="CK2949"/>
  <c r="CK2950"/>
  <c r="CK2951"/>
  <c r="CK2952"/>
  <c r="CK2953"/>
  <c r="CK2954"/>
  <c r="CK2955"/>
  <c r="CK2956"/>
  <c r="CK2957"/>
  <c r="CK2958"/>
  <c r="CK2959"/>
  <c r="CK2960"/>
  <c r="CK2961"/>
  <c r="CK2962"/>
  <c r="CK2963"/>
  <c r="CK2964"/>
  <c r="CK2965"/>
  <c r="CK2966"/>
  <c r="CK2967"/>
  <c r="CK2968"/>
  <c r="CK2969"/>
  <c r="CK2970"/>
  <c r="CK2971"/>
  <c r="CK2972"/>
  <c r="CK2973"/>
  <c r="CK2974"/>
  <c r="CK2975"/>
  <c r="CK2976"/>
  <c r="CK2977"/>
  <c r="CK2978"/>
  <c r="CK2979"/>
  <c r="CK2980"/>
  <c r="CK2981"/>
  <c r="CK2982"/>
  <c r="CK2983"/>
  <c r="CK2984"/>
  <c r="CK2985"/>
  <c r="CK2986"/>
  <c r="CK2987"/>
  <c r="CK2988"/>
  <c r="CK2989"/>
  <c r="CK2990"/>
  <c r="CK2991"/>
  <c r="CK2992"/>
  <c r="CK2993"/>
  <c r="CK2994"/>
  <c r="CK2995"/>
  <c r="CK2996"/>
  <c r="CK2997"/>
  <c r="CK2998"/>
  <c r="CK2999"/>
  <c r="CK3000"/>
  <c r="CK3001"/>
  <c r="CK3002"/>
  <c r="CK3003"/>
  <c r="CK3004"/>
  <c r="CK3005"/>
  <c r="CK3006"/>
  <c r="CK3007"/>
  <c r="CK3008"/>
  <c r="CK3009"/>
  <c r="CK3010"/>
  <c r="CK3011"/>
  <c r="CK3012"/>
  <c r="CK3013"/>
  <c r="CK3014"/>
  <c r="CK3015"/>
  <c r="CK3016"/>
  <c r="CK3017"/>
  <c r="CK3018"/>
  <c r="CK3019"/>
  <c r="CK3020"/>
  <c r="CK3021"/>
  <c r="CK3022"/>
  <c r="CK3023"/>
  <c r="CK3024"/>
  <c r="CK3025"/>
  <c r="CK3026"/>
  <c r="CK3027"/>
  <c r="CK3028"/>
  <c r="CK3029"/>
  <c r="CK3030"/>
  <c r="CK3031"/>
  <c r="CK3032"/>
  <c r="CK3033"/>
  <c r="CK3034"/>
  <c r="CK3035"/>
  <c r="CK3036"/>
  <c r="CK3037"/>
  <c r="CK3038"/>
  <c r="CK3039"/>
  <c r="CK3040"/>
  <c r="CK3041"/>
  <c r="CK3042"/>
  <c r="CK3043"/>
  <c r="CK3044"/>
  <c r="CK3045"/>
  <c r="CK3046"/>
  <c r="CK3047"/>
  <c r="CK3048"/>
  <c r="CK3049"/>
  <c r="CK3050"/>
  <c r="CK3051"/>
  <c r="CK3052"/>
  <c r="CK3053"/>
  <c r="CK3054"/>
  <c r="CK3055"/>
  <c r="CK3056"/>
  <c r="CK3057"/>
  <c r="CK3058"/>
  <c r="CK3059"/>
  <c r="CK3060"/>
  <c r="CK3061"/>
  <c r="CK3062"/>
  <c r="CK3063"/>
  <c r="CK3064"/>
  <c r="CK3065"/>
  <c r="CK3066"/>
  <c r="CK3067"/>
  <c r="CK3068"/>
  <c r="CK3069"/>
  <c r="CK3070"/>
  <c r="CK3071"/>
  <c r="CK3072"/>
  <c r="CK3073"/>
  <c r="CK3074"/>
  <c r="CK3075"/>
  <c r="CK3076"/>
  <c r="CK3077"/>
  <c r="CK3078"/>
  <c r="CK3079"/>
  <c r="CK3080"/>
  <c r="CK3081"/>
  <c r="CK3082"/>
  <c r="CK3083"/>
  <c r="CK3084"/>
  <c r="CK3085"/>
  <c r="CK3086"/>
  <c r="CK3087"/>
  <c r="CK3088"/>
  <c r="CK3089"/>
  <c r="CK3090"/>
  <c r="CK3091"/>
  <c r="CK3092"/>
  <c r="CK3093"/>
  <c r="CK3094"/>
  <c r="CK3095"/>
  <c r="CK3096"/>
  <c r="CK3097"/>
  <c r="CK3098"/>
  <c r="CK3099"/>
  <c r="CK3100"/>
  <c r="CK3101"/>
  <c r="CK3102"/>
  <c r="CK3103"/>
  <c r="CK3104"/>
  <c r="CK3105"/>
  <c r="CK3106"/>
  <c r="CK3107"/>
  <c r="CK3108"/>
  <c r="CK3109"/>
  <c r="CK3110"/>
  <c r="CK3111"/>
  <c r="CK3112"/>
  <c r="CK3113"/>
  <c r="CK3114"/>
  <c r="CK3115"/>
  <c r="CK3116"/>
  <c r="CK3117"/>
  <c r="CK3118"/>
  <c r="CK3119"/>
  <c r="CK3120"/>
  <c r="CK3121"/>
  <c r="CK3122"/>
  <c r="CK3123"/>
  <c r="CK3124"/>
  <c r="CK3125"/>
  <c r="CK3126"/>
  <c r="CK3127"/>
  <c r="CK3128"/>
  <c r="CK3129"/>
  <c r="CK3130"/>
  <c r="CK3131"/>
  <c r="CK3132"/>
  <c r="CK3133"/>
  <c r="CK3134"/>
  <c r="CK3135"/>
  <c r="CK3136"/>
  <c r="CK3137"/>
  <c r="CK3138"/>
  <c r="CK3139"/>
  <c r="CK3140"/>
  <c r="CK3141"/>
  <c r="CK3142"/>
  <c r="CK3143"/>
  <c r="CK3144"/>
  <c r="CK3145"/>
  <c r="CK3146"/>
  <c r="CK3147"/>
  <c r="CK3148"/>
  <c r="CK3149"/>
  <c r="CK3150"/>
  <c r="CK3151"/>
  <c r="CK3152"/>
  <c r="CK3153"/>
  <c r="CK3154"/>
  <c r="CK3155"/>
  <c r="CK3156"/>
  <c r="CK3157"/>
  <c r="CK3158"/>
  <c r="CK3159"/>
  <c r="CK3160"/>
  <c r="CK3161"/>
  <c r="CK3162"/>
  <c r="CK3163"/>
  <c r="CK3164"/>
  <c r="CK3165"/>
  <c r="CK3166"/>
  <c r="CK3167"/>
  <c r="CK3168"/>
  <c r="CK3169"/>
  <c r="CK3170"/>
  <c r="CK3171"/>
  <c r="CK3172"/>
  <c r="CK3173"/>
  <c r="CK3174"/>
  <c r="CK3175"/>
  <c r="CK3176"/>
  <c r="CK3177"/>
  <c r="CK3178"/>
  <c r="CK3179"/>
  <c r="CK3180"/>
  <c r="CK3181"/>
  <c r="CK3182"/>
  <c r="CK3183"/>
  <c r="CK3184"/>
  <c r="CK3185"/>
  <c r="CK3186"/>
  <c r="CK3187"/>
  <c r="CK3188"/>
  <c r="CK3189"/>
  <c r="CK3190"/>
  <c r="CK3191"/>
  <c r="CK3192"/>
  <c r="CK3193"/>
  <c r="CK3194"/>
  <c r="CK3195"/>
  <c r="CK3196"/>
  <c r="CK3197"/>
  <c r="CK3198"/>
  <c r="CK3199"/>
  <c r="CK3200"/>
  <c r="CK3201"/>
  <c r="CK3202"/>
  <c r="CK3203"/>
  <c r="CK3204"/>
  <c r="CK3205"/>
  <c r="CK3206"/>
  <c r="CK3207"/>
  <c r="CK3208"/>
  <c r="CK3209"/>
  <c r="CK3210"/>
  <c r="CK3211"/>
  <c r="CK3212"/>
  <c r="CK3213"/>
  <c r="CK3214"/>
  <c r="CK3215"/>
  <c r="CK3216"/>
  <c r="CK3217"/>
  <c r="CK3218"/>
  <c r="CK3219"/>
  <c r="CK3220"/>
  <c r="CK3221"/>
  <c r="CK3222"/>
  <c r="CK3223"/>
  <c r="CK3224"/>
  <c r="CK3225"/>
  <c r="CK3226"/>
  <c r="CK3227"/>
  <c r="CK3228"/>
  <c r="CK3229"/>
  <c r="CK3230"/>
  <c r="CK3231"/>
  <c r="CK3232"/>
  <c r="CK3233"/>
  <c r="CK3234"/>
  <c r="CK3235"/>
  <c r="CK3236"/>
  <c r="CK3237"/>
  <c r="CK3238"/>
  <c r="CK3239"/>
  <c r="CK3240"/>
  <c r="CK3241"/>
  <c r="CK3242"/>
  <c r="CK3243"/>
  <c r="CK3244"/>
  <c r="CK3245"/>
  <c r="CK3246"/>
  <c r="CK3247"/>
  <c r="CK3248"/>
  <c r="CK3249"/>
  <c r="CK3250"/>
  <c r="CK3251"/>
  <c r="CK3252"/>
  <c r="CK3253"/>
  <c r="CK3254"/>
  <c r="CK3255"/>
  <c r="CK3256"/>
  <c r="CK3257"/>
  <c r="CK3258"/>
  <c r="CK3259"/>
  <c r="CK3260"/>
  <c r="CK3261"/>
  <c r="CK3262"/>
  <c r="CK3263"/>
  <c r="CK3264"/>
  <c r="CK3265"/>
  <c r="CK3266"/>
  <c r="CK3267"/>
  <c r="CK3268"/>
  <c r="CK3269"/>
  <c r="CK3270"/>
  <c r="CK3271"/>
  <c r="CK3272"/>
  <c r="CK3273"/>
  <c r="CK3274"/>
  <c r="CK3275"/>
  <c r="CK3276"/>
  <c r="CK3277"/>
  <c r="CK3278"/>
  <c r="CK3279"/>
  <c r="CK3280"/>
  <c r="CK3281"/>
  <c r="CK3282"/>
  <c r="CK3283"/>
  <c r="CK3284"/>
  <c r="CK3285"/>
  <c r="CK3286"/>
  <c r="CK3287"/>
  <c r="CK3288"/>
  <c r="CK3289"/>
  <c r="CK3290"/>
  <c r="CK3291"/>
  <c r="CK3292"/>
  <c r="CK3293"/>
  <c r="CK3294"/>
  <c r="CK3295"/>
  <c r="CK3296"/>
  <c r="CK3297"/>
  <c r="CK3298"/>
  <c r="CK3299"/>
  <c r="CK3300"/>
  <c r="CK3301"/>
  <c r="CK3302"/>
  <c r="CK3303"/>
  <c r="CK3304"/>
  <c r="CK3305"/>
  <c r="CK3306"/>
  <c r="CK3307"/>
  <c r="CK3308"/>
  <c r="CK3309"/>
  <c r="CK3310"/>
  <c r="CK3311"/>
  <c r="CK3312"/>
  <c r="CK3313"/>
  <c r="CK3314"/>
  <c r="CK3315"/>
  <c r="CK3316"/>
  <c r="CK3317"/>
  <c r="CK3318"/>
  <c r="CK3319"/>
  <c r="CK3320"/>
  <c r="CK3321"/>
  <c r="CK3322"/>
  <c r="CK3323"/>
  <c r="CK3324"/>
  <c r="CK3325"/>
  <c r="CK3326"/>
  <c r="CK3327"/>
  <c r="CK3328"/>
  <c r="CK3329"/>
  <c r="CK3330"/>
  <c r="CK3331"/>
  <c r="CK3332"/>
  <c r="CK3333"/>
  <c r="CK3334"/>
  <c r="CK3335"/>
  <c r="CK3336"/>
  <c r="CK3337"/>
  <c r="CK3338"/>
  <c r="CK3339"/>
  <c r="CK3340"/>
  <c r="CK3341"/>
  <c r="CK3342"/>
  <c r="CK3343"/>
  <c r="CK3344"/>
  <c r="CK3345"/>
  <c r="CK3346"/>
  <c r="CK3347"/>
  <c r="CK3348"/>
  <c r="CK3349"/>
  <c r="CK3350"/>
  <c r="CK3351"/>
  <c r="CK3352"/>
  <c r="CK3353"/>
  <c r="CK3354"/>
  <c r="CK3355"/>
  <c r="CK3356"/>
  <c r="CK3357"/>
  <c r="CK3358"/>
  <c r="CK3359"/>
  <c r="CK3360"/>
  <c r="CK3361"/>
  <c r="CK3362"/>
  <c r="CK3363"/>
  <c r="CK3364"/>
  <c r="CK3365"/>
  <c r="CK3366"/>
  <c r="CK3367"/>
  <c r="CK3368"/>
  <c r="CK3369"/>
  <c r="CK3370"/>
  <c r="CK3371"/>
  <c r="CK3372"/>
  <c r="CK3373"/>
  <c r="CK3374"/>
  <c r="CK3375"/>
  <c r="CK3376"/>
  <c r="CK3377"/>
  <c r="CK3378"/>
  <c r="CK3379"/>
  <c r="CK3380"/>
  <c r="CK3381"/>
  <c r="CK3382"/>
  <c r="CK3383"/>
  <c r="CK3384"/>
  <c r="CK3385"/>
  <c r="CK3386"/>
  <c r="CK3387"/>
  <c r="CK3388"/>
  <c r="CK3389"/>
  <c r="CK3390"/>
  <c r="CK3391"/>
  <c r="CK3392"/>
  <c r="CK3393"/>
  <c r="CK3394"/>
  <c r="CK3395"/>
  <c r="CK3396"/>
  <c r="CK3397"/>
  <c r="CK3398"/>
  <c r="CK3399"/>
  <c r="CK3400"/>
  <c r="CK3401"/>
  <c r="CK3402"/>
  <c r="CK3403"/>
  <c r="CK3404"/>
  <c r="CK3405"/>
  <c r="CK3406"/>
  <c r="CK3407"/>
  <c r="CK3408"/>
  <c r="CK3409"/>
  <c r="CK3410"/>
  <c r="CK3411"/>
  <c r="CK3412"/>
  <c r="CK3413"/>
  <c r="CK3414"/>
  <c r="CK3415"/>
  <c r="CK3416"/>
  <c r="CK3417"/>
  <c r="CK3418"/>
  <c r="CK3419"/>
  <c r="CK3420"/>
  <c r="CK3421"/>
  <c r="CK3422"/>
  <c r="CK3423"/>
  <c r="CK3424"/>
  <c r="CK3425"/>
  <c r="CK3426"/>
  <c r="CK3427"/>
  <c r="CK3428"/>
  <c r="CK3429"/>
  <c r="CK3430"/>
  <c r="CK3431"/>
  <c r="CK3432"/>
  <c r="CK3433"/>
  <c r="CK3434"/>
  <c r="CK3435"/>
  <c r="CK3436"/>
  <c r="CK3437"/>
  <c r="CK3438"/>
  <c r="CK3439"/>
  <c r="CK3440"/>
  <c r="CK3441"/>
  <c r="CK3442"/>
  <c r="CK3443"/>
  <c r="CK3444"/>
  <c r="CK3445"/>
  <c r="CK3446"/>
  <c r="CK3447"/>
  <c r="CK3448"/>
  <c r="CK3449"/>
  <c r="CK3450"/>
  <c r="CK3451"/>
  <c r="CK3452"/>
  <c r="CK3453"/>
  <c r="CK3454"/>
  <c r="CK3455"/>
  <c r="CK3456"/>
  <c r="CK3457"/>
  <c r="CK3458"/>
  <c r="CK3459"/>
  <c r="CK3460"/>
  <c r="CK3461"/>
  <c r="CK3462"/>
  <c r="CK3463"/>
  <c r="CK3464"/>
  <c r="CK3465"/>
  <c r="CK3466"/>
  <c r="CK3467"/>
  <c r="CK3468"/>
  <c r="CK3469"/>
  <c r="CK3470"/>
  <c r="CK3471"/>
  <c r="CK3472"/>
  <c r="CK3473"/>
  <c r="CK3474"/>
  <c r="CK3475"/>
  <c r="CK3476"/>
  <c r="CK3477"/>
  <c r="CK3478"/>
  <c r="CK3479"/>
  <c r="CK3480"/>
  <c r="CK3481"/>
  <c r="CK3482"/>
  <c r="CK3483"/>
  <c r="CK3484"/>
  <c r="CK3485"/>
  <c r="CK3486"/>
  <c r="CK3487"/>
  <c r="CK3488"/>
  <c r="CK3489"/>
  <c r="CK3490"/>
  <c r="CK3491"/>
  <c r="CK3492"/>
  <c r="CK3493"/>
  <c r="CK3494"/>
  <c r="CK3495"/>
  <c r="CK3496"/>
  <c r="CK3497"/>
  <c r="CK3498"/>
  <c r="CK3499"/>
  <c r="CK3500"/>
  <c r="CK3501"/>
  <c r="CK3502"/>
  <c r="CK3503"/>
  <c r="CK3504"/>
  <c r="CK3505"/>
  <c r="CK3506"/>
  <c r="CK3507"/>
  <c r="CK3508"/>
  <c r="CK3509"/>
  <c r="CK3510"/>
  <c r="CK3511"/>
  <c r="CK3512"/>
  <c r="CK3513"/>
  <c r="CK3514"/>
  <c r="CK3515"/>
  <c r="CK3516"/>
  <c r="CK3517"/>
  <c r="CK3518"/>
  <c r="CK3519"/>
  <c r="CK3520"/>
  <c r="CK3521"/>
  <c r="CK3522"/>
  <c r="CK3523"/>
  <c r="CK3524"/>
  <c r="CK3525"/>
  <c r="CK3526"/>
  <c r="CK3527"/>
  <c r="CK3528"/>
  <c r="CK3529"/>
  <c r="CK3530"/>
  <c r="CK3531"/>
  <c r="CK3532"/>
  <c r="CK3533"/>
  <c r="CK3534"/>
  <c r="CK3535"/>
  <c r="CK3536"/>
  <c r="CK3537"/>
  <c r="CK3538"/>
  <c r="CK3539"/>
  <c r="CK3540"/>
  <c r="CK3541"/>
  <c r="CK3542"/>
  <c r="CK3543"/>
  <c r="CK3544"/>
  <c r="CK3545"/>
  <c r="CK3546"/>
  <c r="CK3547"/>
  <c r="CK3548"/>
  <c r="CK3549"/>
  <c r="CK3550"/>
  <c r="CK3551"/>
  <c r="CK3552"/>
  <c r="CK3553"/>
  <c r="CK3554"/>
  <c r="CK3555"/>
  <c r="CK3556"/>
  <c r="CK3557"/>
  <c r="CK3558"/>
  <c r="CK3559"/>
  <c r="CK3560"/>
  <c r="CK3561"/>
  <c r="CK3562"/>
  <c r="CK3563"/>
  <c r="CK3564"/>
  <c r="CK3565"/>
  <c r="CK3566"/>
  <c r="CK3567"/>
  <c r="CK3568"/>
  <c r="CK3569"/>
  <c r="CK3570"/>
  <c r="CK3571"/>
  <c r="CK3572"/>
  <c r="CK3573"/>
  <c r="CK3574"/>
  <c r="CK3575"/>
  <c r="CK3576"/>
  <c r="CK3577"/>
  <c r="CK3578"/>
  <c r="CK3579"/>
  <c r="CK3580"/>
  <c r="CK3581"/>
  <c r="CK3582"/>
  <c r="CK3583"/>
  <c r="CK3584"/>
  <c r="CK3585"/>
  <c r="CK3586"/>
  <c r="CK3587"/>
  <c r="CK3588"/>
  <c r="CK3589"/>
  <c r="CK3590"/>
  <c r="CK3591"/>
  <c r="CK3592"/>
  <c r="CK3593"/>
  <c r="CK3594"/>
  <c r="CK3595"/>
  <c r="CK3596"/>
  <c r="CK3597"/>
  <c r="CK3598"/>
  <c r="CK3599"/>
  <c r="CK3600"/>
  <c r="CK3601"/>
  <c r="CK3602"/>
  <c r="CK3603"/>
  <c r="CK3604"/>
  <c r="CK3605"/>
  <c r="CK3606"/>
  <c r="CK3607"/>
  <c r="CK3608"/>
  <c r="CK3609"/>
  <c r="CK3610"/>
  <c r="CK3611"/>
  <c r="CK3612"/>
  <c r="CK3613"/>
  <c r="CK3614"/>
  <c r="CK3615"/>
  <c r="CK3616"/>
  <c r="CK3617"/>
  <c r="CK3618"/>
  <c r="CK3619"/>
  <c r="CK3620"/>
  <c r="CK3621"/>
  <c r="CK3622"/>
  <c r="CK3623"/>
  <c r="CK3624"/>
  <c r="CK3625"/>
  <c r="CK3626"/>
  <c r="CK3627"/>
  <c r="CK3628"/>
  <c r="CK3629"/>
  <c r="CK3630"/>
  <c r="CK3631"/>
  <c r="CK3632"/>
  <c r="CK3633"/>
  <c r="CK3634"/>
  <c r="CK3635"/>
  <c r="CK3636"/>
  <c r="CK3637"/>
  <c r="CK3638"/>
  <c r="CK3639"/>
  <c r="CK3640"/>
  <c r="CK3641"/>
  <c r="CK3642"/>
  <c r="CK3643"/>
  <c r="CK3644"/>
  <c r="CK3645"/>
  <c r="CK3646"/>
  <c r="CK3647"/>
  <c r="CK3648"/>
  <c r="CK3649"/>
  <c r="CK3650"/>
  <c r="CK3651"/>
  <c r="CK3652"/>
  <c r="CK3653"/>
  <c r="CK3654"/>
  <c r="CK3655"/>
  <c r="CK3656"/>
  <c r="CK3657"/>
  <c r="CK3658"/>
  <c r="CK3659"/>
  <c r="CK3660"/>
  <c r="CK3661"/>
  <c r="CK3662"/>
  <c r="CK3663"/>
  <c r="CK3664"/>
  <c r="CK3665"/>
  <c r="CK3666"/>
  <c r="CK3667"/>
  <c r="CK3668"/>
  <c r="CK3669"/>
  <c r="CK3670"/>
  <c r="CK3671"/>
  <c r="CK3672"/>
  <c r="CK3673"/>
  <c r="CK3674"/>
  <c r="CK3675"/>
  <c r="CK3676"/>
  <c r="CK3677"/>
  <c r="CK3678"/>
  <c r="CK3679"/>
  <c r="CK3680"/>
  <c r="CK3681"/>
  <c r="CK3682"/>
  <c r="CK3683"/>
  <c r="CK3684"/>
  <c r="CK3685"/>
  <c r="CK3686"/>
  <c r="CK3687"/>
  <c r="CK3688"/>
  <c r="CK3689"/>
  <c r="CK3690"/>
  <c r="CK3691"/>
  <c r="CK3692"/>
  <c r="CK3693"/>
  <c r="CK3694"/>
  <c r="CK3695"/>
  <c r="CK3696"/>
  <c r="CK3697"/>
  <c r="CK3698"/>
  <c r="CK3699"/>
  <c r="CK3700"/>
  <c r="CK3701"/>
  <c r="CK3702"/>
  <c r="CK3703"/>
  <c r="CK3704"/>
  <c r="CK3705"/>
  <c r="CK3706"/>
  <c r="CK3707"/>
  <c r="CK3708"/>
  <c r="CK3709"/>
  <c r="CK3710"/>
  <c r="CK3711"/>
  <c r="CK3712"/>
  <c r="CK3713"/>
  <c r="CK3714"/>
  <c r="CK3715"/>
  <c r="CK3716"/>
  <c r="CK3717"/>
  <c r="CK3718"/>
  <c r="CK3719"/>
  <c r="CK3720"/>
  <c r="CK3721"/>
  <c r="CK3722"/>
  <c r="CK3723"/>
  <c r="CK3724"/>
  <c r="CK3725"/>
  <c r="CK3726"/>
  <c r="CK3727"/>
  <c r="CK3728"/>
  <c r="CK3729"/>
  <c r="CK3730"/>
  <c r="CK3731"/>
  <c r="CK3732"/>
  <c r="CK3733"/>
  <c r="CK3734"/>
  <c r="CK3735"/>
  <c r="CK3736"/>
  <c r="CK3737"/>
  <c r="CK3738"/>
  <c r="CK3739"/>
  <c r="CK3740"/>
  <c r="CK3741"/>
  <c r="CK3742"/>
  <c r="CK3743"/>
  <c r="CK3744"/>
  <c r="CK3745"/>
  <c r="CK3746"/>
  <c r="CK3747"/>
  <c r="CK3748"/>
  <c r="CK3749"/>
  <c r="CK3750"/>
  <c r="CK3751"/>
  <c r="CK3752"/>
  <c r="CK3753"/>
  <c r="CK3754"/>
  <c r="CK3755"/>
  <c r="CK3756"/>
  <c r="CK3757"/>
  <c r="CK3758"/>
  <c r="CK3759"/>
  <c r="CK3760"/>
  <c r="CK3761"/>
  <c r="CK3762"/>
  <c r="CK3763"/>
  <c r="CK3764"/>
  <c r="CK3765"/>
  <c r="CK3766"/>
  <c r="CK3767"/>
  <c r="CK3768"/>
  <c r="CK3769"/>
  <c r="CK3770"/>
  <c r="CK3771"/>
  <c r="CK3772"/>
  <c r="CK3773"/>
  <c r="CK3774"/>
  <c r="CK3775"/>
  <c r="CK3776"/>
  <c r="CK3777"/>
  <c r="CK3778"/>
  <c r="CK3779"/>
  <c r="CK3780"/>
  <c r="CK3781"/>
  <c r="CK3782"/>
  <c r="CK3783"/>
  <c r="CK3784"/>
  <c r="CK3785"/>
  <c r="CK3786"/>
  <c r="CK3787"/>
  <c r="CK3788"/>
  <c r="CK3789"/>
  <c r="CK3790"/>
  <c r="CK3791"/>
  <c r="CK3792"/>
  <c r="CK3793"/>
  <c r="CK3794"/>
  <c r="CK3795"/>
  <c r="CK3796"/>
  <c r="CK3797"/>
  <c r="CK3798"/>
  <c r="CK3799"/>
  <c r="CK3800"/>
  <c r="CK3801"/>
  <c r="CK3802"/>
  <c r="CK3803"/>
  <c r="CK3804"/>
  <c r="CK3805"/>
  <c r="CK3806"/>
  <c r="CK3807"/>
  <c r="CK3808"/>
  <c r="CK3809"/>
  <c r="CK3810"/>
  <c r="CK3811"/>
  <c r="CK3812"/>
  <c r="CK3813"/>
  <c r="CK3814"/>
  <c r="CK3815"/>
  <c r="CK3816"/>
  <c r="CK3817"/>
  <c r="CK3818"/>
  <c r="CK3819"/>
  <c r="CK3820"/>
  <c r="CK3821"/>
  <c r="CK3822"/>
  <c r="CK3823"/>
  <c r="CK3824"/>
  <c r="CK3825"/>
  <c r="CK3826"/>
  <c r="CK3827"/>
  <c r="CK3828"/>
  <c r="CK3829"/>
  <c r="CK3830"/>
  <c r="CK3831"/>
  <c r="CK3832"/>
  <c r="CK3833"/>
  <c r="CK3834"/>
  <c r="CK3835"/>
  <c r="CK3836"/>
  <c r="CK3837"/>
  <c r="CK3838"/>
  <c r="CK3839"/>
  <c r="CK3840"/>
  <c r="CK3841"/>
  <c r="CK3842"/>
  <c r="CK3843"/>
  <c r="CK3844"/>
  <c r="CK3845"/>
  <c r="CK3846"/>
  <c r="CK3847"/>
  <c r="CK3848"/>
  <c r="CK3849"/>
  <c r="CK3850"/>
  <c r="CK3851"/>
  <c r="CK3852"/>
  <c r="CK3853"/>
  <c r="CK3854"/>
  <c r="CK3855"/>
  <c r="CK3856"/>
  <c r="CK3857"/>
  <c r="CK3858"/>
  <c r="CK3859"/>
  <c r="CK3860"/>
  <c r="CK3861"/>
  <c r="CK3862"/>
  <c r="CK3863"/>
  <c r="CK3864"/>
  <c r="CK3865"/>
  <c r="CK3866"/>
  <c r="CK3867"/>
  <c r="CK3868"/>
  <c r="CK3869"/>
  <c r="CK3870"/>
  <c r="CK3871"/>
  <c r="CK3872"/>
  <c r="CK3873"/>
  <c r="CK3874"/>
  <c r="CK3875"/>
  <c r="CK3876"/>
  <c r="CK3877"/>
  <c r="CK3878"/>
  <c r="CK3879"/>
  <c r="CK3880"/>
  <c r="CK3881"/>
  <c r="CK3882"/>
  <c r="CK3883"/>
  <c r="CK3884"/>
  <c r="CK3885"/>
  <c r="CK3886"/>
  <c r="CK3887"/>
  <c r="CK3888"/>
  <c r="CK3889"/>
  <c r="CK3890"/>
  <c r="CK3891"/>
  <c r="CK3892"/>
  <c r="CK3893"/>
  <c r="CK3894"/>
  <c r="CK3895"/>
  <c r="CK3896"/>
  <c r="CK3897"/>
  <c r="CK3898"/>
  <c r="CK3899"/>
  <c r="CK3900"/>
  <c r="CK3901"/>
  <c r="CK3902"/>
  <c r="CK3903"/>
  <c r="CK3904"/>
  <c r="CK3905"/>
  <c r="CK3906"/>
  <c r="CK3907"/>
  <c r="CK3908"/>
  <c r="CK3909"/>
  <c r="CK3910"/>
  <c r="CK3911"/>
  <c r="CK3912"/>
  <c r="CK3913"/>
  <c r="CK3914"/>
  <c r="CK3915"/>
  <c r="CK3916"/>
  <c r="CK3917"/>
  <c r="CK3918"/>
  <c r="CK3919"/>
  <c r="CK3920"/>
  <c r="CK3921"/>
  <c r="CK3922"/>
  <c r="CK3923"/>
  <c r="CK3924"/>
  <c r="CK3925"/>
  <c r="CK3926"/>
  <c r="CK3927"/>
  <c r="CK3928"/>
  <c r="CK3929"/>
  <c r="CK3930"/>
  <c r="CK3931"/>
  <c r="CK3932"/>
  <c r="CK3933"/>
  <c r="CK3934"/>
  <c r="CK3935"/>
  <c r="CK3936"/>
  <c r="CK3937"/>
  <c r="CK3938"/>
  <c r="CK3939"/>
  <c r="CK3940"/>
  <c r="CK3941"/>
  <c r="CK3942"/>
  <c r="CK3943"/>
  <c r="CK3944"/>
  <c r="CK3945"/>
  <c r="CK3946"/>
  <c r="CK3947"/>
  <c r="CK3948"/>
  <c r="CK3949"/>
  <c r="CK3950"/>
  <c r="CK3951"/>
  <c r="CK3952"/>
  <c r="CK3953"/>
  <c r="CK3954"/>
  <c r="CK3955"/>
  <c r="CK3956"/>
  <c r="CK3957"/>
  <c r="CK3958"/>
  <c r="CK3959"/>
  <c r="CK3960"/>
  <c r="CK3961"/>
  <c r="CK3962"/>
  <c r="CK3963"/>
  <c r="CK3964"/>
  <c r="CK3965"/>
  <c r="CK3966"/>
  <c r="CK3967"/>
  <c r="CK3968"/>
  <c r="CK3969"/>
  <c r="CK3970"/>
  <c r="CK3971"/>
  <c r="CK3972"/>
  <c r="CK3973"/>
  <c r="CK3974"/>
  <c r="CK3975"/>
  <c r="CK3976"/>
  <c r="CK3977"/>
  <c r="CK3978"/>
  <c r="CK3979"/>
  <c r="CK3980"/>
  <c r="CK3981"/>
  <c r="CK3982"/>
  <c r="CK3983"/>
  <c r="CK3984"/>
  <c r="CK3985"/>
  <c r="CK3986"/>
  <c r="CK3987"/>
  <c r="CK3988"/>
  <c r="CK3989"/>
  <c r="CK3990"/>
  <c r="CK3991"/>
  <c r="CK3992"/>
  <c r="CK3993"/>
  <c r="CK3994"/>
  <c r="CK3995"/>
  <c r="CK3996"/>
  <c r="CK3997"/>
  <c r="CK3998"/>
  <c r="CK3999"/>
  <c r="CK4000"/>
  <c r="CK4001"/>
  <c r="CK4002"/>
  <c r="CK4003"/>
  <c r="CK4004"/>
  <c r="CK4005"/>
  <c r="CK4006"/>
  <c r="CK4007"/>
  <c r="CK4008"/>
  <c r="CK4009"/>
  <c r="CK4010"/>
  <c r="CK4011"/>
  <c r="CK4012"/>
  <c r="CK4013"/>
  <c r="CK4014"/>
  <c r="CK4015"/>
  <c r="CK4016"/>
  <c r="CK4017"/>
  <c r="CK4018"/>
  <c r="CK4019"/>
  <c r="CK4020"/>
  <c r="CK4021"/>
  <c r="CK4022"/>
  <c r="CK4023"/>
  <c r="CK4024"/>
  <c r="CK4025"/>
  <c r="CK4026"/>
  <c r="CK4027"/>
  <c r="CK4028"/>
  <c r="CK4029"/>
  <c r="CK4030"/>
  <c r="CK4031"/>
  <c r="CK4032"/>
  <c r="CK4033"/>
  <c r="CK4034"/>
  <c r="CK4035"/>
  <c r="CK4036"/>
  <c r="CK4037"/>
  <c r="CK4038"/>
  <c r="CK4039"/>
  <c r="CK4040"/>
  <c r="CK4041"/>
  <c r="CK4042"/>
  <c r="Y22"/>
  <c r="CM104"/>
  <c r="CG130"/>
  <c r="CG131"/>
  <c r="CG132"/>
  <c r="CG134"/>
  <c r="CG135"/>
  <c r="CG136"/>
  <c r="CG137"/>
  <c r="CG138"/>
  <c r="CG139"/>
  <c r="CG140"/>
  <c r="CG142"/>
  <c r="CG143"/>
  <c r="CG144"/>
  <c r="CG145"/>
  <c r="CG146"/>
  <c r="CG147"/>
  <c r="CG148"/>
  <c r="CG149"/>
  <c r="CG151"/>
  <c r="CG152"/>
  <c r="CG153"/>
  <c r="CG154"/>
  <c r="CG155"/>
  <c r="CG156"/>
  <c r="CG157"/>
  <c r="CG158"/>
  <c r="CG159"/>
  <c r="CG160"/>
  <c r="CG161"/>
  <c r="CG162"/>
  <c r="CG163"/>
  <c r="CG164"/>
  <c r="CG165"/>
  <c r="CG166"/>
  <c r="CG167"/>
  <c r="CG168"/>
  <c r="CG169"/>
  <c r="CG170"/>
  <c r="CG172"/>
  <c r="CG174"/>
  <c r="CG175"/>
  <c r="CG176"/>
  <c r="CG177"/>
  <c r="CG178"/>
  <c r="CG179"/>
  <c r="CG180"/>
  <c r="CG181"/>
  <c r="CG182"/>
  <c r="CG183"/>
  <c r="CG184"/>
  <c r="CG185"/>
  <c r="CG186"/>
  <c r="CG187"/>
  <c r="CG188"/>
  <c r="CG189"/>
  <c r="CG191"/>
  <c r="CG192"/>
  <c r="CG193"/>
  <c r="CG194"/>
  <c r="CG195"/>
  <c r="CG196"/>
  <c r="CG197"/>
  <c r="CG198"/>
  <c r="CG199"/>
  <c r="CG201"/>
  <c r="CG202"/>
  <c r="CG203"/>
  <c r="CG204"/>
  <c r="CG205"/>
  <c r="CG206"/>
  <c r="CG207"/>
  <c r="CG208"/>
  <c r="CG209"/>
  <c r="CG210"/>
  <c r="CG211"/>
  <c r="CG212"/>
  <c r="CG213"/>
  <c r="CG214"/>
  <c r="CG215"/>
  <c r="CG216"/>
  <c r="CG217"/>
  <c r="CG218"/>
  <c r="CG219"/>
  <c r="CG220"/>
  <c r="CG221"/>
  <c r="CG223"/>
  <c r="CG225"/>
  <c r="CG228"/>
  <c r="CG230"/>
  <c r="CG231"/>
  <c r="CG233"/>
  <c r="CG234"/>
  <c r="CG235"/>
  <c r="CG236"/>
  <c r="CG237"/>
  <c r="CG238"/>
  <c r="CG239"/>
  <c r="CG240"/>
  <c r="CG241"/>
  <c r="CG242"/>
  <c r="CG243"/>
  <c r="CG244"/>
  <c r="CG245"/>
  <c r="CG247"/>
  <c r="CG248"/>
  <c r="CG249"/>
  <c r="CG251"/>
  <c r="CG252"/>
  <c r="CG253"/>
  <c r="CG254"/>
  <c r="CG255"/>
  <c r="CG257"/>
  <c r="CG258"/>
  <c r="CG259"/>
  <c r="CG260"/>
  <c r="CG262"/>
  <c r="CG263"/>
  <c r="CG264"/>
  <c r="CG265"/>
  <c r="CG266"/>
  <c r="CG267"/>
  <c r="CG268"/>
  <c r="CG270"/>
  <c r="CG271"/>
  <c r="CG272"/>
  <c r="CG273"/>
  <c r="CG274"/>
  <c r="CG275"/>
  <c r="CG276"/>
  <c r="CG277"/>
  <c r="CG279"/>
  <c r="CG280"/>
  <c r="CG281"/>
  <c r="CG282"/>
  <c r="CG283"/>
  <c r="CG284"/>
  <c r="CG285"/>
  <c r="CG286"/>
  <c r="CG287"/>
  <c r="CG288"/>
  <c r="CG289"/>
  <c r="CG290"/>
  <c r="CG291"/>
  <c r="CG292"/>
  <c r="CG293"/>
  <c r="CG294"/>
  <c r="CG295"/>
  <c r="CG296"/>
  <c r="CG297"/>
  <c r="CG298"/>
  <c r="CG299"/>
  <c r="CG300"/>
  <c r="CG302"/>
  <c r="CG303"/>
  <c r="CG304"/>
  <c r="CG305"/>
  <c r="CG306"/>
  <c r="CG307"/>
  <c r="CG308"/>
  <c r="CG309"/>
  <c r="CG310"/>
  <c r="CG311"/>
  <c r="CG312"/>
  <c r="CG313"/>
  <c r="CG314"/>
  <c r="CG315"/>
  <c r="CG316"/>
  <c r="CG317"/>
  <c r="CG319"/>
  <c r="CG320"/>
  <c r="CG321"/>
  <c r="CG322"/>
  <c r="CG323"/>
  <c r="CG324"/>
  <c r="CG325"/>
  <c r="CG326"/>
  <c r="CG327"/>
  <c r="CG329"/>
  <c r="CG330"/>
  <c r="CG331"/>
  <c r="CG332"/>
  <c r="CG333"/>
  <c r="CG334"/>
  <c r="CG335"/>
  <c r="CG336"/>
  <c r="CG337"/>
  <c r="CG338"/>
  <c r="CG339"/>
  <c r="CG340"/>
  <c r="CG341"/>
  <c r="CG342"/>
  <c r="CG343"/>
  <c r="CG344"/>
  <c r="CG345"/>
  <c r="CG346"/>
  <c r="CG347"/>
  <c r="CG348"/>
  <c r="CG349"/>
  <c r="CG351"/>
  <c r="CG353"/>
  <c r="CG354"/>
  <c r="CG356"/>
  <c r="CG358"/>
  <c r="CG359"/>
  <c r="CG361"/>
  <c r="CG362"/>
  <c r="CG363"/>
  <c r="CG364"/>
  <c r="CG366"/>
  <c r="CG367"/>
  <c r="CG370"/>
  <c r="CG371"/>
  <c r="CG372"/>
  <c r="CG373"/>
  <c r="CG374"/>
  <c r="CG375"/>
  <c r="CG376"/>
  <c r="CG379"/>
  <c r="CG381"/>
  <c r="CG382"/>
  <c r="CG383"/>
  <c r="CG384"/>
  <c r="CG385"/>
  <c r="CG386"/>
  <c r="CG387"/>
  <c r="CG388"/>
  <c r="CG390"/>
  <c r="CG391"/>
  <c r="CG392"/>
  <c r="CG393"/>
  <c r="CG394"/>
  <c r="CG395"/>
  <c r="CG396"/>
  <c r="CG398"/>
  <c r="CG399"/>
  <c r="CG402"/>
  <c r="CG403"/>
  <c r="CG404"/>
  <c r="CG405"/>
  <c r="CG407"/>
  <c r="CG408"/>
  <c r="CG410"/>
  <c r="CG411"/>
  <c r="CG413"/>
  <c r="CG414"/>
  <c r="CG415"/>
  <c r="CG416"/>
  <c r="CG417"/>
  <c r="CG418"/>
  <c r="CG419"/>
  <c r="CG420"/>
  <c r="CG422"/>
  <c r="CG423"/>
  <c r="CG424"/>
  <c r="CG425"/>
  <c r="CG426"/>
  <c r="CG427"/>
  <c r="CG428"/>
  <c r="CG430"/>
  <c r="CG431"/>
  <c r="CG434"/>
  <c r="CG435"/>
  <c r="CG436"/>
  <c r="CG437"/>
  <c r="CG438"/>
  <c r="CG439"/>
  <c r="CG440"/>
  <c r="CG443"/>
  <c r="CG445"/>
  <c r="CG446"/>
  <c r="CG447"/>
  <c r="CG448"/>
  <c r="CG449"/>
  <c r="CG450"/>
  <c r="CG451"/>
  <c r="CG452"/>
  <c r="CG454"/>
  <c r="CG455"/>
  <c r="CG456"/>
  <c r="CG457"/>
  <c r="CG458"/>
  <c r="CG459"/>
  <c r="CG460"/>
  <c r="CG462"/>
  <c r="CG463"/>
  <c r="CG466"/>
  <c r="CG467"/>
  <c r="CG468"/>
  <c r="CG469"/>
  <c r="CG471"/>
  <c r="CG472"/>
  <c r="CG474"/>
  <c r="CG475"/>
  <c r="CG477"/>
  <c r="CG478"/>
  <c r="CG479"/>
  <c r="CG480"/>
  <c r="CG481"/>
  <c r="CG482"/>
  <c r="CG483"/>
  <c r="CG484"/>
  <c r="CG486"/>
  <c r="CG487"/>
  <c r="CG488"/>
  <c r="CG489"/>
  <c r="CG490"/>
  <c r="CG491"/>
  <c r="CG492"/>
  <c r="CG494"/>
  <c r="CG495"/>
  <c r="CG498"/>
  <c r="CG499"/>
  <c r="CG500"/>
  <c r="CG501"/>
  <c r="CG502"/>
  <c r="CG503"/>
  <c r="CG504"/>
  <c r="CG506"/>
  <c r="CG507"/>
  <c r="CG509"/>
  <c r="CG510"/>
  <c r="CG511"/>
  <c r="CG512"/>
  <c r="CG513"/>
  <c r="CG514"/>
  <c r="CG515"/>
  <c r="CG517"/>
  <c r="CG518"/>
  <c r="CG519"/>
  <c r="CG520"/>
  <c r="CG521"/>
  <c r="CG522"/>
  <c r="CG523"/>
  <c r="CG524"/>
  <c r="CG526"/>
  <c r="CG527"/>
  <c r="CG528"/>
  <c r="CG530"/>
  <c r="CG531"/>
  <c r="CG532"/>
  <c r="CG534"/>
  <c r="CG535"/>
  <c r="CG536"/>
  <c r="CG539"/>
  <c r="CG541"/>
  <c r="CG542"/>
  <c r="CG543"/>
  <c r="CG544"/>
  <c r="CG545"/>
  <c r="CG546"/>
  <c r="CG547"/>
  <c r="CG549"/>
  <c r="CG550"/>
  <c r="CG551"/>
  <c r="CG552"/>
  <c r="CG553"/>
  <c r="CG554"/>
  <c r="CG555"/>
  <c r="CG556"/>
  <c r="CG558"/>
  <c r="CG559"/>
  <c r="CG560"/>
  <c r="CG562"/>
  <c r="CG563"/>
  <c r="CG564"/>
  <c r="CG566"/>
  <c r="CG567"/>
  <c r="CG568"/>
  <c r="CG570"/>
  <c r="CG571"/>
  <c r="CG573"/>
  <c r="CG574"/>
  <c r="CG575"/>
  <c r="CG576"/>
  <c r="CG577"/>
  <c r="CG579"/>
  <c r="CG581"/>
  <c r="CG582"/>
  <c r="CG583"/>
  <c r="CG584"/>
  <c r="CG585"/>
  <c r="CG586"/>
  <c r="CG587"/>
  <c r="CG588"/>
  <c r="CG590"/>
  <c r="CG591"/>
  <c r="CG594"/>
  <c r="CG595"/>
  <c r="CG596"/>
  <c r="CG598"/>
  <c r="CG599"/>
  <c r="CG602"/>
  <c r="CG603"/>
  <c r="CG604"/>
  <c r="CG605"/>
  <c r="CG606"/>
  <c r="CG607"/>
  <c r="CG608"/>
  <c r="CG609"/>
  <c r="CG610"/>
  <c r="CG611"/>
  <c r="CG612"/>
  <c r="CG613"/>
  <c r="CG614"/>
  <c r="CG616"/>
  <c r="CG617"/>
  <c r="CG618"/>
  <c r="CG619"/>
  <c r="CG620"/>
  <c r="CG622"/>
  <c r="CG623"/>
  <c r="CG626"/>
  <c r="CG627"/>
  <c r="CG628"/>
  <c r="CG631"/>
  <c r="CG634"/>
  <c r="CG635"/>
  <c r="CG636"/>
  <c r="CG637"/>
  <c r="CG639"/>
  <c r="CG640"/>
  <c r="CG641"/>
  <c r="CG642"/>
  <c r="CG643"/>
  <c r="CG644"/>
  <c r="CG645"/>
  <c r="CG646"/>
  <c r="CG647"/>
  <c r="CG648"/>
  <c r="CG649"/>
  <c r="CG650"/>
  <c r="CG651"/>
  <c r="CG652"/>
  <c r="CG654"/>
  <c r="CG655"/>
  <c r="CG658"/>
  <c r="CG659"/>
  <c r="CG660"/>
  <c r="CG662"/>
  <c r="CG663"/>
  <c r="CG666"/>
  <c r="CG667"/>
  <c r="CG668"/>
  <c r="CG669"/>
  <c r="CG670"/>
  <c r="CG671"/>
  <c r="CG672"/>
  <c r="CG673"/>
  <c r="CG674"/>
  <c r="CG675"/>
  <c r="CG676"/>
  <c r="CG677"/>
  <c r="CG678"/>
  <c r="CG680"/>
  <c r="CG681"/>
  <c r="CG682"/>
  <c r="CG683"/>
  <c r="CG684"/>
  <c r="CG686"/>
  <c r="CG687"/>
  <c r="CG688"/>
  <c r="CG690"/>
  <c r="CG691"/>
  <c r="CG692"/>
  <c r="CG694"/>
  <c r="CG695"/>
  <c r="CG698"/>
  <c r="CG699"/>
  <c r="CG700"/>
  <c r="CG701"/>
  <c r="CG702"/>
  <c r="CG703"/>
  <c r="CG704"/>
  <c r="CJ705"/>
  <c r="CG705"/>
  <c r="CJ706"/>
  <c r="CG706" s="1"/>
  <c r="CJ707"/>
  <c r="CG707"/>
  <c r="CJ708"/>
  <c r="CJ709"/>
  <c r="CG709"/>
  <c r="CJ710"/>
  <c r="CG710" s="1"/>
  <c r="CJ711"/>
  <c r="CG711"/>
  <c r="CJ712"/>
  <c r="CJ713"/>
  <c r="CG713"/>
  <c r="CJ714"/>
  <c r="CJ715"/>
  <c r="CG715"/>
  <c r="CJ716"/>
  <c r="CJ717"/>
  <c r="CG717"/>
  <c r="CJ718"/>
  <c r="CG718" s="1"/>
  <c r="CJ719"/>
  <c r="CG719"/>
  <c r="CJ720"/>
  <c r="CJ721"/>
  <c r="CG721"/>
  <c r="CJ722"/>
  <c r="CG722" s="1"/>
  <c r="CJ723"/>
  <c r="CG723"/>
  <c r="CJ724"/>
  <c r="CJ725"/>
  <c r="CG725"/>
  <c r="CJ726"/>
  <c r="CG726" s="1"/>
  <c r="CJ727"/>
  <c r="CG727"/>
  <c r="CJ728"/>
  <c r="CJ729"/>
  <c r="CG729"/>
  <c r="CJ730"/>
  <c r="CJ731"/>
  <c r="CG731"/>
  <c r="CJ732"/>
  <c r="CJ733"/>
  <c r="CG733"/>
  <c r="CJ734"/>
  <c r="CG734" s="1"/>
  <c r="CJ735"/>
  <c r="CG735"/>
  <c r="CJ736"/>
  <c r="CJ737"/>
  <c r="CG737"/>
  <c r="CJ738"/>
  <c r="CG738" s="1"/>
  <c r="CJ739"/>
  <c r="CG739"/>
  <c r="CJ740"/>
  <c r="CJ741"/>
  <c r="CG741"/>
  <c r="CJ742"/>
  <c r="CG742" s="1"/>
  <c r="CJ743"/>
  <c r="CG743"/>
  <c r="CJ744"/>
  <c r="CJ745"/>
  <c r="CG745"/>
  <c r="CJ746"/>
  <c r="CJ747"/>
  <c r="CG747"/>
  <c r="CJ748"/>
  <c r="CJ749"/>
  <c r="CG749"/>
  <c r="CJ750"/>
  <c r="CG750" s="1"/>
  <c r="CJ751"/>
  <c r="CG751"/>
  <c r="CJ752"/>
  <c r="CJ753"/>
  <c r="CG753"/>
  <c r="CJ754"/>
  <c r="CG754" s="1"/>
  <c r="CJ755"/>
  <c r="CG755"/>
  <c r="CJ756"/>
  <c r="CJ757"/>
  <c r="CG757"/>
  <c r="CJ758"/>
  <c r="CG758" s="1"/>
  <c r="CJ759"/>
  <c r="CG759"/>
  <c r="CJ760"/>
  <c r="CJ761"/>
  <c r="CG761"/>
  <c r="CJ762"/>
  <c r="CJ763"/>
  <c r="CG763"/>
  <c r="CJ764"/>
  <c r="CJ765"/>
  <c r="CG765"/>
  <c r="CJ766"/>
  <c r="CG766" s="1"/>
  <c r="CJ767"/>
  <c r="CG767"/>
  <c r="CJ768"/>
  <c r="CJ769"/>
  <c r="CG769"/>
  <c r="CJ770"/>
  <c r="CG770" s="1"/>
  <c r="CJ771"/>
  <c r="CG771"/>
  <c r="CJ772"/>
  <c r="CJ773"/>
  <c r="CG773"/>
  <c r="CJ774"/>
  <c r="CG774" s="1"/>
  <c r="CJ775"/>
  <c r="CG775"/>
  <c r="CJ776"/>
  <c r="CJ777"/>
  <c r="CG777"/>
  <c r="CJ778"/>
  <c r="CJ779"/>
  <c r="CG779"/>
  <c r="CJ780"/>
  <c r="CJ781"/>
  <c r="CG781"/>
  <c r="CJ782"/>
  <c r="CG782" s="1"/>
  <c r="CJ783"/>
  <c r="CG783"/>
  <c r="CJ784"/>
  <c r="CJ785"/>
  <c r="CG785"/>
  <c r="CJ786"/>
  <c r="CG786" s="1"/>
  <c r="CJ787"/>
  <c r="CG787"/>
  <c r="CJ788"/>
  <c r="CJ789"/>
  <c r="CG789"/>
  <c r="CJ790"/>
  <c r="CG790" s="1"/>
  <c r="CJ791"/>
  <c r="CG791"/>
  <c r="CJ792"/>
  <c r="CJ793"/>
  <c r="CG793"/>
  <c r="CJ794"/>
  <c r="CJ795"/>
  <c r="CG795"/>
  <c r="CJ796"/>
  <c r="CJ797"/>
  <c r="CG797"/>
  <c r="CJ798"/>
  <c r="CG798" s="1"/>
  <c r="CJ799"/>
  <c r="CG799"/>
  <c r="CJ800"/>
  <c r="CJ801"/>
  <c r="CG801"/>
  <c r="CJ802"/>
  <c r="CG802" s="1"/>
  <c r="CJ803"/>
  <c r="CG803"/>
  <c r="CJ804"/>
  <c r="CJ805"/>
  <c r="CG805"/>
  <c r="CJ806"/>
  <c r="CG806" s="1"/>
  <c r="CJ807"/>
  <c r="CG807"/>
  <c r="CJ808"/>
  <c r="CJ809"/>
  <c r="CG809"/>
  <c r="CJ810"/>
  <c r="CJ811"/>
  <c r="CG811"/>
  <c r="CJ812"/>
  <c r="CJ813"/>
  <c r="CG813"/>
  <c r="CJ814"/>
  <c r="CG814" s="1"/>
  <c r="CJ815"/>
  <c r="CG815"/>
  <c r="CJ816"/>
  <c r="CJ817"/>
  <c r="CG817"/>
  <c r="CJ818"/>
  <c r="CG818" s="1"/>
  <c r="CJ819"/>
  <c r="CG819"/>
  <c r="CJ820"/>
  <c r="CJ821"/>
  <c r="CG821"/>
  <c r="CJ822"/>
  <c r="CG822" s="1"/>
  <c r="CJ823"/>
  <c r="CG823"/>
  <c r="CJ824"/>
  <c r="CJ825"/>
  <c r="CG825"/>
  <c r="CJ826"/>
  <c r="CJ827"/>
  <c r="CG827"/>
  <c r="CJ828"/>
  <c r="CJ829"/>
  <c r="CG829"/>
  <c r="CJ830"/>
  <c r="CG830" s="1"/>
  <c r="CJ831"/>
  <c r="CG831"/>
  <c r="CJ832"/>
  <c r="CJ833"/>
  <c r="CG833"/>
  <c r="CJ834"/>
  <c r="CG834" s="1"/>
  <c r="CJ835"/>
  <c r="CG835"/>
  <c r="CJ836"/>
  <c r="CJ837"/>
  <c r="CG837"/>
  <c r="CJ838"/>
  <c r="CG838" s="1"/>
  <c r="CJ839"/>
  <c r="CG839"/>
  <c r="CJ840"/>
  <c r="CJ841"/>
  <c r="CG841"/>
  <c r="CJ842"/>
  <c r="CJ843"/>
  <c r="CG843"/>
  <c r="CJ844"/>
  <c r="CJ845"/>
  <c r="CG845"/>
  <c r="CJ846"/>
  <c r="CG846" s="1"/>
  <c r="CJ847"/>
  <c r="CG847"/>
  <c r="CJ848"/>
  <c r="CJ849"/>
  <c r="CG849"/>
  <c r="CJ850"/>
  <c r="CG850" s="1"/>
  <c r="CJ851"/>
  <c r="CG851"/>
  <c r="CJ852"/>
  <c r="CJ853"/>
  <c r="CG853"/>
  <c r="CJ854"/>
  <c r="CG854" s="1"/>
  <c r="CJ855"/>
  <c r="CG855"/>
  <c r="CJ856"/>
  <c r="CJ857"/>
  <c r="CG857"/>
  <c r="CJ858"/>
  <c r="CJ859"/>
  <c r="CG859"/>
  <c r="CJ860"/>
  <c r="CJ861"/>
  <c r="CG861"/>
  <c r="CJ862"/>
  <c r="CG862" s="1"/>
  <c r="CJ863"/>
  <c r="CG863"/>
  <c r="CJ864"/>
  <c r="CJ865"/>
  <c r="CG865"/>
  <c r="CJ866"/>
  <c r="CG866" s="1"/>
  <c r="CJ867"/>
  <c r="CG867"/>
  <c r="CJ868"/>
  <c r="CJ869"/>
  <c r="CG869"/>
  <c r="CJ870"/>
  <c r="CG870" s="1"/>
  <c r="CJ871"/>
  <c r="CG871"/>
  <c r="CJ872"/>
  <c r="CJ873"/>
  <c r="CG873"/>
  <c r="CJ874"/>
  <c r="CJ875"/>
  <c r="CG875"/>
  <c r="CJ876"/>
  <c r="CJ877"/>
  <c r="CG877"/>
  <c r="CJ878"/>
  <c r="CG878" s="1"/>
  <c r="CJ879"/>
  <c r="CG879"/>
  <c r="CJ880"/>
  <c r="CJ881"/>
  <c r="CG881"/>
  <c r="CJ882"/>
  <c r="CG882" s="1"/>
  <c r="CJ883"/>
  <c r="CG883"/>
  <c r="CJ884"/>
  <c r="CJ885"/>
  <c r="CG885"/>
  <c r="CJ886"/>
  <c r="CG886" s="1"/>
  <c r="CJ887"/>
  <c r="CG887"/>
  <c r="CJ888"/>
  <c r="CJ889"/>
  <c r="CG889"/>
  <c r="CJ890"/>
  <c r="CJ891"/>
  <c r="CG891"/>
  <c r="CJ892"/>
  <c r="CG892" s="1"/>
  <c r="CJ893"/>
  <c r="CG893"/>
  <c r="CJ894"/>
  <c r="CG894" s="1"/>
  <c r="CJ895"/>
  <c r="CG895"/>
  <c r="CJ896"/>
  <c r="CG896" s="1"/>
  <c r="CJ897"/>
  <c r="CG897"/>
  <c r="CJ898"/>
  <c r="CJ899"/>
  <c r="CG899"/>
  <c r="CJ900"/>
  <c r="CG900" s="1"/>
  <c r="CJ901"/>
  <c r="CG901"/>
  <c r="CJ902"/>
  <c r="CG902" s="1"/>
  <c r="CJ903"/>
  <c r="CG903"/>
  <c r="CJ904"/>
  <c r="CG904" s="1"/>
  <c r="CJ905"/>
  <c r="CG905"/>
  <c r="CJ906"/>
  <c r="CJ907"/>
  <c r="CG907"/>
  <c r="CJ908"/>
  <c r="CG908" s="1"/>
  <c r="CJ909"/>
  <c r="CG909"/>
  <c r="CJ910"/>
  <c r="CG910" s="1"/>
  <c r="CJ911"/>
  <c r="CG911"/>
  <c r="CJ912"/>
  <c r="CG912" s="1"/>
  <c r="CJ913"/>
  <c r="CG913"/>
  <c r="CJ914"/>
  <c r="CJ915"/>
  <c r="CG915"/>
  <c r="CJ916"/>
  <c r="CG916" s="1"/>
  <c r="CJ917"/>
  <c r="CG917"/>
  <c r="CJ918"/>
  <c r="CG918" s="1"/>
  <c r="CJ919"/>
  <c r="CG919"/>
  <c r="CJ920"/>
  <c r="CG920" s="1"/>
  <c r="CJ921"/>
  <c r="CG921"/>
  <c r="CJ922"/>
  <c r="CJ923"/>
  <c r="CG923"/>
  <c r="CJ924"/>
  <c r="CG924" s="1"/>
  <c r="CJ925"/>
  <c r="CG925"/>
  <c r="CJ926"/>
  <c r="CG926" s="1"/>
  <c r="CJ927"/>
  <c r="CG927"/>
  <c r="CJ928"/>
  <c r="CG928" s="1"/>
  <c r="CJ929"/>
  <c r="CG929"/>
  <c r="CJ930"/>
  <c r="CJ931"/>
  <c r="CG931"/>
  <c r="CJ932"/>
  <c r="CG932" s="1"/>
  <c r="CJ933"/>
  <c r="CG933"/>
  <c r="CJ934"/>
  <c r="CG934" s="1"/>
  <c r="CJ935"/>
  <c r="CG935"/>
  <c r="CJ936"/>
  <c r="CG936" s="1"/>
  <c r="CJ937"/>
  <c r="CG937"/>
  <c r="CJ938"/>
  <c r="CJ939"/>
  <c r="CG939"/>
  <c r="CJ940"/>
  <c r="CG940" s="1"/>
  <c r="CJ941"/>
  <c r="CG941"/>
  <c r="CJ942"/>
  <c r="CG942" s="1"/>
  <c r="CJ943"/>
  <c r="CG943"/>
  <c r="CJ944"/>
  <c r="CG944" s="1"/>
  <c r="CJ945"/>
  <c r="CG945"/>
  <c r="CJ946"/>
  <c r="CJ947"/>
  <c r="CG947"/>
  <c r="CJ948"/>
  <c r="CG948" s="1"/>
  <c r="CJ949"/>
  <c r="CG949"/>
  <c r="CJ950"/>
  <c r="CG950" s="1"/>
  <c r="CJ951"/>
  <c r="CG951"/>
  <c r="CJ952"/>
  <c r="CG952" s="1"/>
  <c r="CJ953"/>
  <c r="CG953"/>
  <c r="CJ954"/>
  <c r="CJ955"/>
  <c r="CG955"/>
  <c r="CJ956"/>
  <c r="CG956" s="1"/>
  <c r="CJ957"/>
  <c r="CG957"/>
  <c r="CJ958"/>
  <c r="CG958" s="1"/>
  <c r="CJ959"/>
  <c r="CG959"/>
  <c r="CJ960"/>
  <c r="CG960" s="1"/>
  <c r="CJ961"/>
  <c r="CG961"/>
  <c r="CJ962"/>
  <c r="CJ963"/>
  <c r="CG963"/>
  <c r="CJ964"/>
  <c r="CG964" s="1"/>
  <c r="CJ965"/>
  <c r="CG965"/>
  <c r="CJ966"/>
  <c r="CG966" s="1"/>
  <c r="CJ967"/>
  <c r="CG967"/>
  <c r="CJ968"/>
  <c r="CG968" s="1"/>
  <c r="CJ969"/>
  <c r="CG969"/>
  <c r="CJ970"/>
  <c r="CJ971"/>
  <c r="CG971"/>
  <c r="CJ972"/>
  <c r="CG972" s="1"/>
  <c r="CJ973"/>
  <c r="CG973"/>
  <c r="CJ974"/>
  <c r="CG974" s="1"/>
  <c r="CJ975"/>
  <c r="CG975"/>
  <c r="CJ976"/>
  <c r="CG976" s="1"/>
  <c r="CJ977"/>
  <c r="CG977"/>
  <c r="CJ978"/>
  <c r="CJ979"/>
  <c r="CG979"/>
  <c r="CJ980"/>
  <c r="CG980" s="1"/>
  <c r="CJ981"/>
  <c r="CG981"/>
  <c r="CJ982"/>
  <c r="CG982" s="1"/>
  <c r="CJ983"/>
  <c r="CG983"/>
  <c r="CJ984"/>
  <c r="CG984" s="1"/>
  <c r="CJ985"/>
  <c r="CG985"/>
  <c r="CJ986"/>
  <c r="CJ987"/>
  <c r="CG987"/>
  <c r="CJ988"/>
  <c r="CG988" s="1"/>
  <c r="CJ989"/>
  <c r="CG989"/>
  <c r="CJ990"/>
  <c r="CG990" s="1"/>
  <c r="CJ991"/>
  <c r="CG991"/>
  <c r="CJ992"/>
  <c r="CG992" s="1"/>
  <c r="CJ993"/>
  <c r="CG993"/>
  <c r="CJ994"/>
  <c r="CJ995"/>
  <c r="CG995"/>
  <c r="CJ996"/>
  <c r="CG996" s="1"/>
  <c r="CJ997"/>
  <c r="CG997"/>
  <c r="CJ998"/>
  <c r="CG998" s="1"/>
  <c r="CJ999"/>
  <c r="CG999"/>
  <c r="CJ1000"/>
  <c r="CG1000" s="1"/>
  <c r="CJ1001"/>
  <c r="CG1001"/>
  <c r="CJ1002"/>
  <c r="CJ1003"/>
  <c r="CG1003"/>
  <c r="CJ1004"/>
  <c r="CG1004" s="1"/>
  <c r="CJ1005"/>
  <c r="CG1005"/>
  <c r="CJ1006"/>
  <c r="CG1006" s="1"/>
  <c r="CJ1007"/>
  <c r="CG1007"/>
  <c r="CJ1008"/>
  <c r="CG1008" s="1"/>
  <c r="CJ1009"/>
  <c r="CG1009"/>
  <c r="CJ1010"/>
  <c r="CJ1011"/>
  <c r="CG1011"/>
  <c r="CJ1012"/>
  <c r="CG1012" s="1"/>
  <c r="CJ1013"/>
  <c r="CG1013"/>
  <c r="CJ1014"/>
  <c r="CG1014" s="1"/>
  <c r="CJ1015"/>
  <c r="CG1015"/>
  <c r="CJ1016"/>
  <c r="CG1016" s="1"/>
  <c r="CJ1017"/>
  <c r="CG1017"/>
  <c r="CJ1018"/>
  <c r="CJ1019"/>
  <c r="CG1019"/>
  <c r="CJ1020"/>
  <c r="CG1020" s="1"/>
  <c r="CJ1021"/>
  <c r="CG1021"/>
  <c r="CJ1022"/>
  <c r="CG1022" s="1"/>
  <c r="CJ1023"/>
  <c r="CG1023"/>
  <c r="CJ1024"/>
  <c r="CG1024" s="1"/>
  <c r="CJ1025"/>
  <c r="CG1025"/>
  <c r="CJ1026"/>
  <c r="CJ1027"/>
  <c r="CG1027"/>
  <c r="CJ1028"/>
  <c r="CG1028" s="1"/>
  <c r="CJ1029"/>
  <c r="CG1029"/>
  <c r="CJ1030"/>
  <c r="CG1030" s="1"/>
  <c r="CJ1031"/>
  <c r="CG1031"/>
  <c r="CJ1032"/>
  <c r="CG1032" s="1"/>
  <c r="CJ1033"/>
  <c r="CG1033"/>
  <c r="CJ1034"/>
  <c r="CJ1035"/>
  <c r="CG1035"/>
  <c r="CJ1036"/>
  <c r="CG1036" s="1"/>
  <c r="CJ1037"/>
  <c r="CG1037"/>
  <c r="CJ1038"/>
  <c r="CG1038" s="1"/>
  <c r="CJ1039"/>
  <c r="CG1039"/>
  <c r="CJ1040"/>
  <c r="CG1040" s="1"/>
  <c r="CJ1041"/>
  <c r="CG1041"/>
  <c r="CJ1042"/>
  <c r="CJ1043"/>
  <c r="CG1043"/>
  <c r="CJ1044"/>
  <c r="CG1044" s="1"/>
  <c r="CJ1045"/>
  <c r="CG1045"/>
  <c r="CJ1046"/>
  <c r="CG1046" s="1"/>
  <c r="CJ1047"/>
  <c r="CG1047"/>
  <c r="CJ1048"/>
  <c r="CG1048" s="1"/>
  <c r="CJ1049"/>
  <c r="CG1049"/>
  <c r="CJ1050"/>
  <c r="CJ1051"/>
  <c r="CG1051"/>
  <c r="CJ1052"/>
  <c r="CG1052" s="1"/>
  <c r="CJ1053"/>
  <c r="CG1053"/>
  <c r="CJ1054"/>
  <c r="CG1054" s="1"/>
  <c r="CJ1055"/>
  <c r="CG1055"/>
  <c r="CJ1056"/>
  <c r="CG1056" s="1"/>
  <c r="CJ1057"/>
  <c r="CG1057"/>
  <c r="CJ1058"/>
  <c r="CJ1059"/>
  <c r="CG1059"/>
  <c r="CJ1060"/>
  <c r="CG1060" s="1"/>
  <c r="CJ1061"/>
  <c r="CG1061"/>
  <c r="CJ1062"/>
  <c r="CG1062" s="1"/>
  <c r="CJ1063"/>
  <c r="CG1063"/>
  <c r="CJ1064"/>
  <c r="CG1064" s="1"/>
  <c r="CJ1065"/>
  <c r="CG1065"/>
  <c r="CJ1066"/>
  <c r="CJ1067"/>
  <c r="CG1067"/>
  <c r="CJ1068"/>
  <c r="CG1068" s="1"/>
  <c r="CJ1069"/>
  <c r="CG1069"/>
  <c r="CJ1070"/>
  <c r="CG1070" s="1"/>
  <c r="CJ1071"/>
  <c r="CG1071"/>
  <c r="CJ1072"/>
  <c r="CG1072" s="1"/>
  <c r="CJ1073"/>
  <c r="CG1073"/>
  <c r="CJ1074"/>
  <c r="CJ1075"/>
  <c r="CG1075"/>
  <c r="CJ1076"/>
  <c r="CG1076" s="1"/>
  <c r="CJ1077"/>
  <c r="CG1077"/>
  <c r="CJ1078"/>
  <c r="CG1078" s="1"/>
  <c r="CJ1079"/>
  <c r="CG1079"/>
  <c r="CJ1080"/>
  <c r="CG1080" s="1"/>
  <c r="CJ1081"/>
  <c r="CG1081"/>
  <c r="CJ1082"/>
  <c r="CJ1083"/>
  <c r="CG1083"/>
  <c r="CJ1084"/>
  <c r="CG1084" s="1"/>
  <c r="CJ1085"/>
  <c r="CG1085"/>
  <c r="CJ1086"/>
  <c r="CG1086" s="1"/>
  <c r="CJ1087"/>
  <c r="CG1087"/>
  <c r="CJ1088"/>
  <c r="CG1088" s="1"/>
  <c r="CJ1089"/>
  <c r="CG1089"/>
  <c r="CJ1090"/>
  <c r="CJ1091"/>
  <c r="CG1091"/>
  <c r="CJ1092"/>
  <c r="CG1092" s="1"/>
  <c r="CJ1093"/>
  <c r="CG1093"/>
  <c r="CJ1094"/>
  <c r="CG1094" s="1"/>
  <c r="CJ1095"/>
  <c r="CG1095"/>
  <c r="CJ1096"/>
  <c r="CG1096" s="1"/>
  <c r="CJ1097"/>
  <c r="CG1097"/>
  <c r="CJ1098"/>
  <c r="CJ1099"/>
  <c r="CG1099"/>
  <c r="CJ1100"/>
  <c r="CG1100" s="1"/>
  <c r="CJ1101"/>
  <c r="CG1101"/>
  <c r="CJ1102"/>
  <c r="CG1102" s="1"/>
  <c r="CJ1103"/>
  <c r="CG1103"/>
  <c r="CJ1104"/>
  <c r="CG1104" s="1"/>
  <c r="CJ1105"/>
  <c r="CG1105"/>
  <c r="CJ1106"/>
  <c r="CJ1107"/>
  <c r="CG1107"/>
  <c r="CJ1108"/>
  <c r="CG1108" s="1"/>
  <c r="CJ1109"/>
  <c r="CG1109"/>
  <c r="CJ1110"/>
  <c r="CG1110" s="1"/>
  <c r="CJ1111"/>
  <c r="CG1111"/>
  <c r="CJ1112"/>
  <c r="CG1112" s="1"/>
  <c r="CJ1113"/>
  <c r="CG1113"/>
  <c r="CJ1114"/>
  <c r="CJ1115"/>
  <c r="CG1115"/>
  <c r="CJ1116"/>
  <c r="CG1116" s="1"/>
  <c r="CJ1117"/>
  <c r="CG1117"/>
  <c r="CJ1118"/>
  <c r="CG1118" s="1"/>
  <c r="CJ1119"/>
  <c r="CG1119"/>
  <c r="CJ1120"/>
  <c r="CG1120" s="1"/>
  <c r="CJ1121"/>
  <c r="CG1121"/>
  <c r="CJ1122"/>
  <c r="CJ1123"/>
  <c r="CG1123"/>
  <c r="CJ1124"/>
  <c r="CG1124" s="1"/>
  <c r="CJ1125"/>
  <c r="CG1125"/>
  <c r="CJ1126"/>
  <c r="CG1126" s="1"/>
  <c r="CJ1127"/>
  <c r="CG1127"/>
  <c r="CJ1128"/>
  <c r="CG1128" s="1"/>
  <c r="CJ1129"/>
  <c r="CG1129"/>
  <c r="CJ1130"/>
  <c r="CJ1131"/>
  <c r="CG1131"/>
  <c r="CJ1132"/>
  <c r="CG1132" s="1"/>
  <c r="CJ1133"/>
  <c r="CG1133"/>
  <c r="CJ1134"/>
  <c r="CG1134" s="1"/>
  <c r="CJ1135"/>
  <c r="CG1135"/>
  <c r="CJ1136"/>
  <c r="CG1136" s="1"/>
  <c r="CJ1137"/>
  <c r="CG1137"/>
  <c r="CJ1138"/>
  <c r="CJ1139"/>
  <c r="CG1139"/>
  <c r="CJ1140"/>
  <c r="CG1140" s="1"/>
  <c r="CJ1141"/>
  <c r="CG1141"/>
  <c r="CJ1142"/>
  <c r="CG1142" s="1"/>
  <c r="CJ1143"/>
  <c r="CG1143"/>
  <c r="CJ1144"/>
  <c r="CG1144" s="1"/>
  <c r="CJ1145"/>
  <c r="CG1145"/>
  <c r="CJ1146"/>
  <c r="CJ1147"/>
  <c r="CG1147"/>
  <c r="CJ1148"/>
  <c r="CG1148" s="1"/>
  <c r="CJ1149"/>
  <c r="CG1149"/>
  <c r="CJ1150"/>
  <c r="CG1150" s="1"/>
  <c r="CJ1151"/>
  <c r="CG1151"/>
  <c r="CJ1152"/>
  <c r="CG1152" s="1"/>
  <c r="CJ1153"/>
  <c r="CG1153"/>
  <c r="CJ1154"/>
  <c r="CJ1155"/>
  <c r="CG1155"/>
  <c r="CJ1156"/>
  <c r="CG1156" s="1"/>
  <c r="CJ1157"/>
  <c r="CG1157"/>
  <c r="CJ1158"/>
  <c r="CG1158" s="1"/>
  <c r="CJ1159"/>
  <c r="CG1159"/>
  <c r="CJ1160"/>
  <c r="CG1160" s="1"/>
  <c r="CJ1161"/>
  <c r="CG1161"/>
  <c r="CJ1162"/>
  <c r="CJ1163"/>
  <c r="CG1163"/>
  <c r="CJ1164"/>
  <c r="CG1164" s="1"/>
  <c r="CJ1165"/>
  <c r="CG1165"/>
  <c r="CJ1166"/>
  <c r="CG1166" s="1"/>
  <c r="CJ1167"/>
  <c r="CG1167"/>
  <c r="CJ1168"/>
  <c r="CG1168" s="1"/>
  <c r="CJ1169"/>
  <c r="CG1169"/>
  <c r="CJ1170"/>
  <c r="CJ1171"/>
  <c r="CG1171"/>
  <c r="CJ1172"/>
  <c r="CG1172" s="1"/>
  <c r="CJ1173"/>
  <c r="CG1173"/>
  <c r="CJ1174"/>
  <c r="CG1174" s="1"/>
  <c r="CJ1175"/>
  <c r="CG1175"/>
  <c r="CJ1176"/>
  <c r="CG1176" s="1"/>
  <c r="CJ1177"/>
  <c r="CG1177"/>
  <c r="CJ1178"/>
  <c r="CJ1179"/>
  <c r="CG1179"/>
  <c r="CJ1180"/>
  <c r="CG1180" s="1"/>
  <c r="CJ1181"/>
  <c r="CG1181"/>
  <c r="CJ1182"/>
  <c r="CG1182" s="1"/>
  <c r="CJ1183"/>
  <c r="CG1183"/>
  <c r="CJ1184"/>
  <c r="CG1184" s="1"/>
  <c r="CJ1185"/>
  <c r="CG1185"/>
  <c r="CJ1186"/>
  <c r="CJ1187"/>
  <c r="CG1187"/>
  <c r="CJ1188"/>
  <c r="CG1188" s="1"/>
  <c r="CJ1189"/>
  <c r="CG1189"/>
  <c r="CJ1190"/>
  <c r="CG1190" s="1"/>
  <c r="CJ1191"/>
  <c r="CG1191"/>
  <c r="CJ1192"/>
  <c r="CG1192" s="1"/>
  <c r="CJ1193"/>
  <c r="CG1193"/>
  <c r="CJ1194"/>
  <c r="CJ1195"/>
  <c r="CG1195"/>
  <c r="CJ1196"/>
  <c r="CG1196" s="1"/>
  <c r="CJ1197"/>
  <c r="CG1197"/>
  <c r="CJ1198"/>
  <c r="CG1198" s="1"/>
  <c r="CJ1199"/>
  <c r="CG1199"/>
  <c r="CJ1200"/>
  <c r="CG1200" s="1"/>
  <c r="CJ1201"/>
  <c r="CG1201"/>
  <c r="CJ1202"/>
  <c r="CJ1203"/>
  <c r="CG1203"/>
  <c r="CJ1204"/>
  <c r="CG1204" s="1"/>
  <c r="CJ1205"/>
  <c r="CG1205"/>
  <c r="CJ1206"/>
  <c r="CG1206" s="1"/>
  <c r="CJ1207"/>
  <c r="CG1207"/>
  <c r="CJ1208"/>
  <c r="CG1208" s="1"/>
  <c r="CJ1209"/>
  <c r="CG1209"/>
  <c r="CJ1210"/>
  <c r="CJ1211"/>
  <c r="CG1211"/>
  <c r="CJ1212"/>
  <c r="CG1212" s="1"/>
  <c r="CJ1213"/>
  <c r="CG1213"/>
  <c r="CJ1214"/>
  <c r="CG1214" s="1"/>
  <c r="CJ1215"/>
  <c r="CG1215"/>
  <c r="CJ1216"/>
  <c r="CG1216" s="1"/>
  <c r="CJ1217"/>
  <c r="CG1217"/>
  <c r="CJ1218"/>
  <c r="CJ1219"/>
  <c r="CG1219"/>
  <c r="CJ1220"/>
  <c r="CG1220" s="1"/>
  <c r="CJ1221"/>
  <c r="CG1221"/>
  <c r="CJ1222"/>
  <c r="CG1222" s="1"/>
  <c r="CJ1223"/>
  <c r="CG1223"/>
  <c r="CJ1224"/>
  <c r="CG1224" s="1"/>
  <c r="CJ1225"/>
  <c r="CG1225"/>
  <c r="CJ1226"/>
  <c r="CJ1227"/>
  <c r="CG1227"/>
  <c r="CJ1228"/>
  <c r="CG1228" s="1"/>
  <c r="CJ1229"/>
  <c r="CG1229"/>
  <c r="CJ1230"/>
  <c r="CG1230" s="1"/>
  <c r="CJ1231"/>
  <c r="CG1231"/>
  <c r="CJ1232"/>
  <c r="CG1232" s="1"/>
  <c r="CJ1233"/>
  <c r="CG1233"/>
  <c r="CJ1234"/>
  <c r="CJ1235"/>
  <c r="CG1235"/>
  <c r="CJ1236"/>
  <c r="CG1236" s="1"/>
  <c r="CJ1237"/>
  <c r="CG1237"/>
  <c r="CJ1238"/>
  <c r="CG1238" s="1"/>
  <c r="CJ1239"/>
  <c r="CG1239"/>
  <c r="CJ1240"/>
  <c r="CG1240" s="1"/>
  <c r="CJ1241"/>
  <c r="CG1241"/>
  <c r="CJ1242"/>
  <c r="CJ1243"/>
  <c r="CG1243"/>
  <c r="CJ1244"/>
  <c r="CG1244" s="1"/>
  <c r="CJ1245"/>
  <c r="CG1245"/>
  <c r="CJ1246"/>
  <c r="CG1246" s="1"/>
  <c r="CJ1247"/>
  <c r="CG1247"/>
  <c r="CJ1248"/>
  <c r="CG1248" s="1"/>
  <c r="CJ1249"/>
  <c r="CG1249"/>
  <c r="CJ1250"/>
  <c r="CJ1251"/>
  <c r="CG1251"/>
  <c r="CJ1252"/>
  <c r="CG1252" s="1"/>
  <c r="CJ1253"/>
  <c r="CG1253"/>
  <c r="CJ1254"/>
  <c r="CG1254" s="1"/>
  <c r="CJ1255"/>
  <c r="CG1255"/>
  <c r="CJ1256"/>
  <c r="CG1256" s="1"/>
  <c r="CJ1257"/>
  <c r="CG1257"/>
  <c r="CJ1258"/>
  <c r="CJ1259"/>
  <c r="CG1259"/>
  <c r="CJ1260"/>
  <c r="CG1260" s="1"/>
  <c r="CJ1261"/>
  <c r="CG1261"/>
  <c r="CJ1262"/>
  <c r="CG1262" s="1"/>
  <c r="CJ1263"/>
  <c r="CG1263"/>
  <c r="CJ1264"/>
  <c r="CG1264" s="1"/>
  <c r="CJ1265"/>
  <c r="CG1265"/>
  <c r="CJ1266"/>
  <c r="CJ1267"/>
  <c r="CG1267"/>
  <c r="CJ1268"/>
  <c r="CG1268" s="1"/>
  <c r="CJ1269"/>
  <c r="CG1269"/>
  <c r="CJ1270"/>
  <c r="CG1270" s="1"/>
  <c r="CJ1271"/>
  <c r="CG1271"/>
  <c r="CJ1272"/>
  <c r="CG1272" s="1"/>
  <c r="CJ1273"/>
  <c r="CG1273"/>
  <c r="CJ1274"/>
  <c r="CJ1275"/>
  <c r="CG1275"/>
  <c r="CJ1276"/>
  <c r="CG1276" s="1"/>
  <c r="CJ1277"/>
  <c r="CG1277"/>
  <c r="CJ1278"/>
  <c r="CG1278" s="1"/>
  <c r="CJ1279"/>
  <c r="CG1279"/>
  <c r="CJ1280"/>
  <c r="CG1280" s="1"/>
  <c r="CJ1281"/>
  <c r="CG1281"/>
  <c r="CJ1282"/>
  <c r="CJ1283"/>
  <c r="CG1283"/>
  <c r="CJ1284"/>
  <c r="CG1284" s="1"/>
  <c r="CJ1285"/>
  <c r="CG1285"/>
  <c r="CJ1286"/>
  <c r="CG1286" s="1"/>
  <c r="CJ1287"/>
  <c r="CG1287"/>
  <c r="CJ1288"/>
  <c r="CG1288" s="1"/>
  <c r="CJ1289"/>
  <c r="CG1289"/>
  <c r="CJ1290"/>
  <c r="CJ1291"/>
  <c r="CG1291"/>
  <c r="CJ1292"/>
  <c r="CG1292" s="1"/>
  <c r="CJ1293"/>
  <c r="CG1293"/>
  <c r="CJ1294"/>
  <c r="CG1294" s="1"/>
  <c r="CJ1295"/>
  <c r="CG1295"/>
  <c r="CJ1296"/>
  <c r="CG1296" s="1"/>
  <c r="CJ1297"/>
  <c r="CG1297"/>
  <c r="CJ1298"/>
  <c r="CJ1299"/>
  <c r="CG1299"/>
  <c r="CJ1300"/>
  <c r="CG1300" s="1"/>
  <c r="CJ1301"/>
  <c r="CG1301"/>
  <c r="CJ1302"/>
  <c r="CG1302" s="1"/>
  <c r="CJ1303"/>
  <c r="CG1303"/>
  <c r="CJ1304"/>
  <c r="CG1304" s="1"/>
  <c r="CJ1305"/>
  <c r="CG1305"/>
  <c r="CJ1306"/>
  <c r="CJ1307"/>
  <c r="CG1307"/>
  <c r="CJ1308"/>
  <c r="CG1308" s="1"/>
  <c r="CJ1309"/>
  <c r="CG1309"/>
  <c r="CJ1310"/>
  <c r="CG1310" s="1"/>
  <c r="CJ1311"/>
  <c r="CG1311"/>
  <c r="CJ1312"/>
  <c r="CG1312" s="1"/>
  <c r="CJ1313"/>
  <c r="CG1313"/>
  <c r="CJ1314"/>
  <c r="CJ1315"/>
  <c r="CG1315"/>
  <c r="CJ1316"/>
  <c r="CG1316" s="1"/>
  <c r="CJ1317"/>
  <c r="CG1317"/>
  <c r="CJ1318"/>
  <c r="CG1318" s="1"/>
  <c r="CJ1319"/>
  <c r="CG1319"/>
  <c r="CJ1320"/>
  <c r="CG1320" s="1"/>
  <c r="CJ1321"/>
  <c r="CG1321"/>
  <c r="CJ1322"/>
  <c r="CJ1323"/>
  <c r="CG1323"/>
  <c r="CJ1324"/>
  <c r="CG1324" s="1"/>
  <c r="CJ1325"/>
  <c r="CG1325"/>
  <c r="CJ1326"/>
  <c r="CG1326" s="1"/>
  <c r="CJ1327"/>
  <c r="CG1327"/>
  <c r="CJ1328"/>
  <c r="CG1328" s="1"/>
  <c r="CJ1329"/>
  <c r="CG1329"/>
  <c r="CJ1330"/>
  <c r="CJ1331"/>
  <c r="CG1331"/>
  <c r="CJ1332"/>
  <c r="CG1332" s="1"/>
  <c r="CJ1333"/>
  <c r="CG1333"/>
  <c r="CJ1334"/>
  <c r="CG1334" s="1"/>
  <c r="CG1335"/>
  <c r="CJ1336"/>
  <c r="CG1336" s="1"/>
  <c r="CJ1337"/>
  <c r="CG1337"/>
  <c r="CJ1338"/>
  <c r="CG1338" s="1"/>
  <c r="CG1339"/>
  <c r="CJ1340"/>
  <c r="CJ1341"/>
  <c r="CG1341"/>
  <c r="CJ1342"/>
  <c r="CG1342" s="1"/>
  <c r="CG1343"/>
  <c r="CJ1344"/>
  <c r="CG1344" s="1"/>
  <c r="CJ1345"/>
  <c r="CG1345"/>
  <c r="CJ1346"/>
  <c r="CG1346" s="1"/>
  <c r="CG1347"/>
  <c r="CJ1348"/>
  <c r="CG1348" s="1"/>
  <c r="CJ1349"/>
  <c r="CG1349"/>
  <c r="CJ1350"/>
  <c r="CG1350" s="1"/>
  <c r="CG1351"/>
  <c r="CJ1352"/>
  <c r="CG1352" s="1"/>
  <c r="CJ1353"/>
  <c r="CG1353"/>
  <c r="CJ1354"/>
  <c r="CG1354" s="1"/>
  <c r="CG1355"/>
  <c r="CJ1356"/>
  <c r="CJ1357"/>
  <c r="CG1357"/>
  <c r="CJ1358"/>
  <c r="CG1358" s="1"/>
  <c r="CG1359"/>
  <c r="CJ1360"/>
  <c r="CG1360" s="1"/>
  <c r="CJ1361"/>
  <c r="CG1361"/>
  <c r="CJ1362"/>
  <c r="CG1362" s="1"/>
  <c r="CG1363"/>
  <c r="CJ1364"/>
  <c r="CG1364" s="1"/>
  <c r="CJ1365"/>
  <c r="CG1365"/>
  <c r="CJ1366"/>
  <c r="CG1366" s="1"/>
  <c r="CG1367"/>
  <c r="CJ1368"/>
  <c r="CG1368" s="1"/>
  <c r="CJ1369"/>
  <c r="CG1369"/>
  <c r="CJ1370"/>
  <c r="CG1370" s="1"/>
  <c r="CG1371"/>
  <c r="CJ1372"/>
  <c r="CJ1373"/>
  <c r="CG1373"/>
  <c r="CJ1374"/>
  <c r="CG1374" s="1"/>
  <c r="CG1375"/>
  <c r="CJ1376"/>
  <c r="CG1376" s="1"/>
  <c r="CJ1377"/>
  <c r="CG1377"/>
  <c r="CJ1378"/>
  <c r="CG1378" s="1"/>
  <c r="CG1379"/>
  <c r="CJ1380"/>
  <c r="CG1380" s="1"/>
  <c r="CJ1381"/>
  <c r="CG1381"/>
  <c r="CJ1382"/>
  <c r="CG1382" s="1"/>
  <c r="CG1383"/>
  <c r="CJ1384"/>
  <c r="CG1384" s="1"/>
  <c r="CJ1385"/>
  <c r="CG1385"/>
  <c r="CJ1386"/>
  <c r="CG1386" s="1"/>
  <c r="CG1387"/>
  <c r="CJ1388"/>
  <c r="CJ1389"/>
  <c r="CG1389"/>
  <c r="CJ1390"/>
  <c r="CG1390" s="1"/>
  <c r="CG1391"/>
  <c r="CJ1392"/>
  <c r="CG1392" s="1"/>
  <c r="CJ1393"/>
  <c r="CG1393"/>
  <c r="CJ1394"/>
  <c r="CG1394" s="1"/>
  <c r="CG1395"/>
  <c r="CJ1396"/>
  <c r="CG1396" s="1"/>
  <c r="CJ1397"/>
  <c r="CG1397"/>
  <c r="CJ1398"/>
  <c r="CG1398" s="1"/>
  <c r="CG1399"/>
  <c r="CJ1400"/>
  <c r="CG1400" s="1"/>
  <c r="CJ1401"/>
  <c r="CG1401"/>
  <c r="CJ1402"/>
  <c r="CG1402" s="1"/>
  <c r="CG1403"/>
  <c r="CJ1404"/>
  <c r="CJ1405"/>
  <c r="CG1405"/>
  <c r="CJ1406"/>
  <c r="CG1406" s="1"/>
  <c r="CG1407"/>
  <c r="CJ1408"/>
  <c r="CG1408" s="1"/>
  <c r="CJ1409"/>
  <c r="CG1409"/>
  <c r="CJ1410"/>
  <c r="CG1410" s="1"/>
  <c r="CG1411"/>
  <c r="CJ1412"/>
  <c r="CG1412" s="1"/>
  <c r="CJ1413"/>
  <c r="CG1413"/>
  <c r="CJ1414"/>
  <c r="CG1414" s="1"/>
  <c r="CG1415"/>
  <c r="CJ1416"/>
  <c r="CG1416" s="1"/>
  <c r="CJ1417"/>
  <c r="CG1417"/>
  <c r="CJ1418"/>
  <c r="CG1418" s="1"/>
  <c r="CG1419"/>
  <c r="CJ1420"/>
  <c r="CJ1421"/>
  <c r="CG1421"/>
  <c r="CJ1422"/>
  <c r="CG1422" s="1"/>
  <c r="CG1423"/>
  <c r="CJ1424"/>
  <c r="CG1424" s="1"/>
  <c r="CJ1425"/>
  <c r="CG1425"/>
  <c r="CJ1426"/>
  <c r="CG1426" s="1"/>
  <c r="CG1427"/>
  <c r="CJ1428"/>
  <c r="CG1428" s="1"/>
  <c r="CJ1429"/>
  <c r="CG1429"/>
  <c r="CJ1430"/>
  <c r="CG1430" s="1"/>
  <c r="CG1431"/>
  <c r="CJ1432"/>
  <c r="CG1432" s="1"/>
  <c r="CJ1433"/>
  <c r="CG1433"/>
  <c r="CJ1434"/>
  <c r="CG1434" s="1"/>
  <c r="CG1435"/>
  <c r="CJ1436"/>
  <c r="CJ1437"/>
  <c r="CG1437"/>
  <c r="CJ1438"/>
  <c r="CG1438" s="1"/>
  <c r="CG1439"/>
  <c r="CJ1440"/>
  <c r="CG1440" s="1"/>
  <c r="CJ1441"/>
  <c r="CG1441"/>
  <c r="CJ1442"/>
  <c r="CG1442" s="1"/>
  <c r="CG1443"/>
  <c r="CJ1444"/>
  <c r="CG1444" s="1"/>
  <c r="CJ1445"/>
  <c r="CG1445"/>
  <c r="CJ1446"/>
  <c r="CG1446" s="1"/>
  <c r="CG1447"/>
  <c r="CJ1448"/>
  <c r="CG1448" s="1"/>
  <c r="CJ1449"/>
  <c r="CG1449"/>
  <c r="CJ1450"/>
  <c r="CG1450" s="1"/>
  <c r="CG1451"/>
  <c r="CJ1452"/>
  <c r="CJ1453"/>
  <c r="CG1453"/>
  <c r="CJ1454"/>
  <c r="CG1454" s="1"/>
  <c r="CG1455"/>
  <c r="CJ1456"/>
  <c r="CG1456" s="1"/>
  <c r="CJ1457"/>
  <c r="CG1457"/>
  <c r="CJ1458"/>
  <c r="CG1458" s="1"/>
  <c r="CG1459"/>
  <c r="CJ1460"/>
  <c r="CG1460" s="1"/>
  <c r="CJ1461"/>
  <c r="CG1461"/>
  <c r="CJ1462"/>
  <c r="CG1462" s="1"/>
  <c r="CG1463"/>
  <c r="CJ1464"/>
  <c r="CG1464" s="1"/>
  <c r="CJ1465"/>
  <c r="CG1465"/>
  <c r="CJ1466"/>
  <c r="CG1466" s="1"/>
  <c r="CG1467"/>
  <c r="CJ1468"/>
  <c r="CJ1469"/>
  <c r="CG1469"/>
  <c r="CJ1470"/>
  <c r="CG1470" s="1"/>
  <c r="CG1471"/>
  <c r="CJ1472"/>
  <c r="CG1472" s="1"/>
  <c r="CJ1473"/>
  <c r="CG1473"/>
  <c r="CJ1474"/>
  <c r="CG1474" s="1"/>
  <c r="CG1475"/>
  <c r="CJ1476"/>
  <c r="CG1476" s="1"/>
  <c r="CJ1477"/>
  <c r="CG1477"/>
  <c r="CJ1478"/>
  <c r="CG1478" s="1"/>
  <c r="CG1479"/>
  <c r="CJ1480"/>
  <c r="CG1480" s="1"/>
  <c r="CJ1481"/>
  <c r="CG1481"/>
  <c r="CJ1482"/>
  <c r="CG1482" s="1"/>
  <c r="CG1483"/>
  <c r="CJ1484"/>
  <c r="CJ1485"/>
  <c r="CG1485"/>
  <c r="CJ1486"/>
  <c r="CG1486" s="1"/>
  <c r="CG1487"/>
  <c r="CJ1488"/>
  <c r="CG1488" s="1"/>
  <c r="CJ1489"/>
  <c r="CG1489"/>
  <c r="CJ1490"/>
  <c r="CG1490" s="1"/>
  <c r="CG1491"/>
  <c r="CJ1492"/>
  <c r="CG1492" s="1"/>
  <c r="CJ1493"/>
  <c r="CG1493"/>
  <c r="CJ1494"/>
  <c r="CG1494" s="1"/>
  <c r="CG1495"/>
  <c r="CJ1496"/>
  <c r="CG1496" s="1"/>
  <c r="CJ1497"/>
  <c r="CG1497"/>
  <c r="CJ1498"/>
  <c r="CG1498" s="1"/>
  <c r="CG1499"/>
  <c r="CJ1500"/>
  <c r="CJ1501"/>
  <c r="CG1501"/>
  <c r="CJ1502"/>
  <c r="CG1502" s="1"/>
  <c r="CG1503"/>
  <c r="CJ1504"/>
  <c r="CG1504" s="1"/>
  <c r="CJ1505"/>
  <c r="CG1505"/>
  <c r="CJ1506"/>
  <c r="CG1506" s="1"/>
  <c r="CG1507"/>
  <c r="CJ1508"/>
  <c r="CG1508" s="1"/>
  <c r="CJ1509"/>
  <c r="CG1509"/>
  <c r="CJ1510"/>
  <c r="CG1510" s="1"/>
  <c r="CG1511"/>
  <c r="CJ1512"/>
  <c r="CG1512" s="1"/>
  <c r="CJ1513"/>
  <c r="CG1513"/>
  <c r="CJ1514"/>
  <c r="CG1514" s="1"/>
  <c r="CG1515"/>
  <c r="CJ1516"/>
  <c r="CJ1517"/>
  <c r="CG1517"/>
  <c r="CJ1518"/>
  <c r="CG1518" s="1"/>
  <c r="CG1519"/>
  <c r="CJ1520"/>
  <c r="CG1520" s="1"/>
  <c r="CJ1521"/>
  <c r="CG1521"/>
  <c r="CJ1522"/>
  <c r="CG1522" s="1"/>
  <c r="CG1523"/>
  <c r="CJ1524"/>
  <c r="CG1524" s="1"/>
  <c r="CJ1525"/>
  <c r="CG1525"/>
  <c r="CJ1526"/>
  <c r="CG1526" s="1"/>
  <c r="CG1527"/>
  <c r="CJ1528"/>
  <c r="CG1528" s="1"/>
  <c r="CJ1529"/>
  <c r="CG1529"/>
  <c r="CJ1530"/>
  <c r="CG1530" s="1"/>
  <c r="CG1531"/>
  <c r="CJ1532"/>
  <c r="CJ1533"/>
  <c r="CG1533"/>
  <c r="CJ1534"/>
  <c r="CG1534" s="1"/>
  <c r="CG1535"/>
  <c r="CJ1536"/>
  <c r="CG1536" s="1"/>
  <c r="CJ1537"/>
  <c r="CG1537"/>
  <c r="CJ1538"/>
  <c r="CG1538" s="1"/>
  <c r="CG1539"/>
  <c r="CJ1540"/>
  <c r="CG1540" s="1"/>
  <c r="CJ1541"/>
  <c r="CG1541"/>
  <c r="CJ1542"/>
  <c r="CG1542" s="1"/>
  <c r="CG1543"/>
  <c r="CJ1544"/>
  <c r="CG1544" s="1"/>
  <c r="CJ1545"/>
  <c r="CG1545"/>
  <c r="CJ1546"/>
  <c r="CG1546" s="1"/>
  <c r="CG1547"/>
  <c r="CJ1548"/>
  <c r="CJ1549"/>
  <c r="CG1549"/>
  <c r="CJ1550"/>
  <c r="CG1550" s="1"/>
  <c r="CG1551"/>
  <c r="CJ1552"/>
  <c r="CG1552" s="1"/>
  <c r="CJ1553"/>
  <c r="CG1553"/>
  <c r="CJ1554"/>
  <c r="CG1554" s="1"/>
  <c r="CG1555"/>
  <c r="CJ1556"/>
  <c r="CG1556" s="1"/>
  <c r="CJ1557"/>
  <c r="CG1557"/>
  <c r="CJ1558"/>
  <c r="CG1558" s="1"/>
  <c r="CG1559"/>
  <c r="CJ1560"/>
  <c r="CG1560" s="1"/>
  <c r="CJ1561"/>
  <c r="CG1561"/>
  <c r="CJ1562"/>
  <c r="CG1562" s="1"/>
  <c r="CG1563"/>
  <c r="CJ1564"/>
  <c r="CJ1565"/>
  <c r="CG1565"/>
  <c r="CJ1566"/>
  <c r="CG1566" s="1"/>
  <c r="CG1567"/>
  <c r="CJ1568"/>
  <c r="CG1568" s="1"/>
  <c r="CJ1569"/>
  <c r="CG1569"/>
  <c r="CJ1570"/>
  <c r="CG1570" s="1"/>
  <c r="CG1571"/>
  <c r="CJ1572"/>
  <c r="CG1572" s="1"/>
  <c r="CJ1573"/>
  <c r="CG1573"/>
  <c r="CJ1574"/>
  <c r="CG1574" s="1"/>
  <c r="CG1575"/>
  <c r="CJ1576"/>
  <c r="CG1576" s="1"/>
  <c r="CJ1577"/>
  <c r="CG1577"/>
  <c r="CJ1578"/>
  <c r="CG1578" s="1"/>
  <c r="CG1579"/>
  <c r="CJ1580"/>
  <c r="CJ1581"/>
  <c r="CG1581"/>
  <c r="CJ1582"/>
  <c r="CG1582" s="1"/>
  <c r="CG1583"/>
  <c r="CJ1584"/>
  <c r="CG1584" s="1"/>
  <c r="CJ1585"/>
  <c r="CG1585"/>
  <c r="CJ1586"/>
  <c r="CG1586" s="1"/>
  <c r="CG1587"/>
  <c r="CJ1588"/>
  <c r="CG1588" s="1"/>
  <c r="CJ1589"/>
  <c r="CG1589"/>
  <c r="CJ1590"/>
  <c r="CG1590" s="1"/>
  <c r="CG1591"/>
  <c r="CJ1592"/>
  <c r="CG1592" s="1"/>
  <c r="CJ1593"/>
  <c r="CG1593"/>
  <c r="CJ1594"/>
  <c r="CG1594" s="1"/>
  <c r="CG1595"/>
  <c r="CJ1596"/>
  <c r="CJ1597"/>
  <c r="CG1597"/>
  <c r="CJ1598"/>
  <c r="CG1598" s="1"/>
  <c r="CG1599"/>
  <c r="CJ1600"/>
  <c r="CG1600" s="1"/>
  <c r="CJ1601"/>
  <c r="CG1601"/>
  <c r="CJ1602"/>
  <c r="CG1602" s="1"/>
  <c r="CG1603"/>
  <c r="CJ1604"/>
  <c r="CG1604" s="1"/>
  <c r="CJ1605"/>
  <c r="CG1605"/>
  <c r="CJ1606"/>
  <c r="CG1606" s="1"/>
  <c r="CG1607"/>
  <c r="CJ1608"/>
  <c r="CG1608" s="1"/>
  <c r="CJ1609"/>
  <c r="CG1609"/>
  <c r="CJ1610"/>
  <c r="CG1610" s="1"/>
  <c r="CG1611"/>
  <c r="CJ1612"/>
  <c r="CJ1613"/>
  <c r="CG1613"/>
  <c r="CJ1614"/>
  <c r="CG1614" s="1"/>
  <c r="CG1615"/>
  <c r="CJ1616"/>
  <c r="CG1616" s="1"/>
  <c r="CJ1617"/>
  <c r="CG1617"/>
  <c r="CJ1618"/>
  <c r="CG1618" s="1"/>
  <c r="CG1619"/>
  <c r="CJ1620"/>
  <c r="CG1620" s="1"/>
  <c r="CJ1621"/>
  <c r="CG1621"/>
  <c r="CJ1622"/>
  <c r="CG1622" s="1"/>
  <c r="CG1623"/>
  <c r="CJ1624"/>
  <c r="CG1624" s="1"/>
  <c r="CJ1625"/>
  <c r="CG1625"/>
  <c r="CJ1626"/>
  <c r="CG1626" s="1"/>
  <c r="CG1627"/>
  <c r="CJ1628"/>
  <c r="CJ1629"/>
  <c r="CG1629"/>
  <c r="CJ1630"/>
  <c r="CG1630" s="1"/>
  <c r="CG1631"/>
  <c r="CJ1632"/>
  <c r="CG1632" s="1"/>
  <c r="CJ1633"/>
  <c r="CG1633"/>
  <c r="CJ1634"/>
  <c r="CG1634" s="1"/>
  <c r="CG1635"/>
  <c r="CJ1636"/>
  <c r="CG1636" s="1"/>
  <c r="CJ1637"/>
  <c r="CG1637"/>
  <c r="CJ1638"/>
  <c r="CG1638" s="1"/>
  <c r="CG1639"/>
  <c r="CJ1640"/>
  <c r="CG1640" s="1"/>
  <c r="CJ1641"/>
  <c r="CG1641"/>
  <c r="CJ1642"/>
  <c r="CG1642" s="1"/>
  <c r="CG1643"/>
  <c r="CJ1644"/>
  <c r="CJ1645"/>
  <c r="CG1645"/>
  <c r="CJ1646"/>
  <c r="CG1646" s="1"/>
  <c r="CG1647"/>
  <c r="CJ1648"/>
  <c r="CG1648" s="1"/>
  <c r="CJ1649"/>
  <c r="CG1649"/>
  <c r="CJ1650"/>
  <c r="CG1650" s="1"/>
  <c r="CG1651"/>
  <c r="CJ1652"/>
  <c r="CG1652" s="1"/>
  <c r="CJ1653"/>
  <c r="CG1653"/>
  <c r="CJ1654"/>
  <c r="CG1654" s="1"/>
  <c r="CG1655"/>
  <c r="CJ1656"/>
  <c r="CG1656" s="1"/>
  <c r="CJ1657"/>
  <c r="CG1657"/>
  <c r="CJ1658"/>
  <c r="CG1658" s="1"/>
  <c r="CG1659"/>
  <c r="CJ1660"/>
  <c r="CJ1661"/>
  <c r="CG1661"/>
  <c r="CJ1662"/>
  <c r="CG1662" s="1"/>
  <c r="CG1663"/>
  <c r="CJ1664"/>
  <c r="CG1664" s="1"/>
  <c r="CJ1665"/>
  <c r="CG1665"/>
  <c r="CJ1666"/>
  <c r="CG1666" s="1"/>
  <c r="CG1667"/>
  <c r="CJ1668"/>
  <c r="CG1668" s="1"/>
  <c r="CJ1669"/>
  <c r="CG1669"/>
  <c r="CJ1670"/>
  <c r="CG1670" s="1"/>
  <c r="CG1671"/>
  <c r="CJ1672"/>
  <c r="CG1672" s="1"/>
  <c r="CJ1673"/>
  <c r="CG1673"/>
  <c r="CJ1674"/>
  <c r="CG1674" s="1"/>
  <c r="CG1675"/>
  <c r="CJ1676"/>
  <c r="CJ1677"/>
  <c r="CG1677"/>
  <c r="CJ1678"/>
  <c r="CG1678" s="1"/>
  <c r="CG1679"/>
  <c r="CJ1680"/>
  <c r="CG1680" s="1"/>
  <c r="CJ1681"/>
  <c r="CG1681"/>
  <c r="CJ1682"/>
  <c r="CG1682" s="1"/>
  <c r="CG1683"/>
  <c r="CJ1684"/>
  <c r="CG1684" s="1"/>
  <c r="CJ1685"/>
  <c r="CG1685"/>
  <c r="CJ1686"/>
  <c r="CG1686" s="1"/>
  <c r="CG1687"/>
  <c r="CJ1688"/>
  <c r="CG1688" s="1"/>
  <c r="CJ1689"/>
  <c r="CG1689"/>
  <c r="CJ1690"/>
  <c r="CG1690" s="1"/>
  <c r="CG1691"/>
  <c r="CJ1692"/>
  <c r="CJ1693"/>
  <c r="CG1693"/>
  <c r="CJ1694"/>
  <c r="CG1694" s="1"/>
  <c r="CG1695"/>
  <c r="CJ1696"/>
  <c r="CG1696" s="1"/>
  <c r="CJ1697"/>
  <c r="CG1697"/>
  <c r="CJ1698"/>
  <c r="CG1698" s="1"/>
  <c r="CG1699"/>
  <c r="CJ1700"/>
  <c r="CG1700" s="1"/>
  <c r="CJ1701"/>
  <c r="CG1701"/>
  <c r="CJ1702"/>
  <c r="CG1702" s="1"/>
  <c r="CG1703"/>
  <c r="CJ1704"/>
  <c r="CG1704" s="1"/>
  <c r="CJ1705"/>
  <c r="CG1705"/>
  <c r="CJ1706"/>
  <c r="CG1706" s="1"/>
  <c r="CG1707"/>
  <c r="CJ1708"/>
  <c r="CJ1709"/>
  <c r="CG1709"/>
  <c r="CJ1710"/>
  <c r="CG1710" s="1"/>
  <c r="CG1711"/>
  <c r="CJ1712"/>
  <c r="CG1712" s="1"/>
  <c r="CJ1713"/>
  <c r="CG1713"/>
  <c r="CJ1714"/>
  <c r="CG1714" s="1"/>
  <c r="CG1715"/>
  <c r="CJ1716"/>
  <c r="CG1716" s="1"/>
  <c r="CJ1717"/>
  <c r="CG1717"/>
  <c r="CJ1718"/>
  <c r="CG1718" s="1"/>
  <c r="CG1719"/>
  <c r="CJ1720"/>
  <c r="CG1720" s="1"/>
  <c r="CJ1721"/>
  <c r="CG1721"/>
  <c r="CJ1722"/>
  <c r="CG1722" s="1"/>
  <c r="CG1723"/>
  <c r="CJ1724"/>
  <c r="CJ1725"/>
  <c r="CG1725"/>
  <c r="CJ1726"/>
  <c r="CG1726" s="1"/>
  <c r="CG1727"/>
  <c r="CJ1728"/>
  <c r="CG1728" s="1"/>
  <c r="CJ1729"/>
  <c r="CG1729"/>
  <c r="CJ1730"/>
  <c r="CG1730" s="1"/>
  <c r="CG1731"/>
  <c r="CJ1732"/>
  <c r="CG1732" s="1"/>
  <c r="CJ1733"/>
  <c r="CG1733"/>
  <c r="CJ1734"/>
  <c r="CG1734" s="1"/>
  <c r="CG1735"/>
  <c r="CJ1736"/>
  <c r="CG1736" s="1"/>
  <c r="CJ1737"/>
  <c r="CG1737"/>
  <c r="CJ1738"/>
  <c r="CG1738" s="1"/>
  <c r="CG1739"/>
  <c r="CJ1740"/>
  <c r="CJ1741"/>
  <c r="CG1741"/>
  <c r="CJ1742"/>
  <c r="CG1742" s="1"/>
  <c r="CG1743"/>
  <c r="CJ1744"/>
  <c r="CG1744" s="1"/>
  <c r="CJ1745"/>
  <c r="CG1745"/>
  <c r="CJ1746"/>
  <c r="CG1746" s="1"/>
  <c r="CG1747"/>
  <c r="CJ1748"/>
  <c r="CG1748" s="1"/>
  <c r="CJ1749"/>
  <c r="CG1749"/>
  <c r="CJ1750"/>
  <c r="CG1750" s="1"/>
  <c r="CG1751"/>
  <c r="CJ1752"/>
  <c r="CG1752" s="1"/>
  <c r="CJ1753"/>
  <c r="CG1753"/>
  <c r="CJ1754"/>
  <c r="CG1754" s="1"/>
  <c r="CG1755"/>
  <c r="CJ1756"/>
  <c r="CJ1757"/>
  <c r="CG1757"/>
  <c r="CJ1758"/>
  <c r="CG1758" s="1"/>
  <c r="CG1759"/>
  <c r="CJ1760"/>
  <c r="CG1760" s="1"/>
  <c r="CJ1761"/>
  <c r="CG1761"/>
  <c r="CJ1762"/>
  <c r="CG1762" s="1"/>
  <c r="CG1763"/>
  <c r="CJ1764"/>
  <c r="CG1764" s="1"/>
  <c r="CJ1765"/>
  <c r="CG1765"/>
  <c r="CJ1766"/>
  <c r="CG1766" s="1"/>
  <c r="CG1767"/>
  <c r="CJ1768"/>
  <c r="CG1768" s="1"/>
  <c r="CJ1769"/>
  <c r="CG1769"/>
  <c r="CJ1770"/>
  <c r="CG1770" s="1"/>
  <c r="CG1771"/>
  <c r="CJ1772"/>
  <c r="CJ1773"/>
  <c r="CG1773"/>
  <c r="CJ1774"/>
  <c r="CG1774" s="1"/>
  <c r="CG1775"/>
  <c r="CJ1776"/>
  <c r="CG1776" s="1"/>
  <c r="CJ1777"/>
  <c r="CG1777"/>
  <c r="CJ1778"/>
  <c r="CG1778" s="1"/>
  <c r="CG1779"/>
  <c r="CJ1780"/>
  <c r="CG1780" s="1"/>
  <c r="CJ1781"/>
  <c r="CG1781"/>
  <c r="CJ1782"/>
  <c r="CG1782" s="1"/>
  <c r="CG1783"/>
  <c r="CJ1784"/>
  <c r="CG1784" s="1"/>
  <c r="CJ1785"/>
  <c r="CG1785"/>
  <c r="CJ1786"/>
  <c r="CG1786" s="1"/>
  <c r="CG1787"/>
  <c r="CJ1788"/>
  <c r="CJ1789"/>
  <c r="CG1789"/>
  <c r="CJ1790"/>
  <c r="CG1790" s="1"/>
  <c r="CG1791"/>
  <c r="CJ1792"/>
  <c r="CG1792" s="1"/>
  <c r="CJ1793"/>
  <c r="CG1793"/>
  <c r="CJ1794"/>
  <c r="CG1794" s="1"/>
  <c r="CG1795"/>
  <c r="CJ1796"/>
  <c r="CG1796" s="1"/>
  <c r="CJ1797"/>
  <c r="CG1797"/>
  <c r="CJ1798"/>
  <c r="CG1798" s="1"/>
  <c r="CG1799"/>
  <c r="CJ1800"/>
  <c r="CG1800" s="1"/>
  <c r="CJ1801"/>
  <c r="CG1801"/>
  <c r="CJ1802"/>
  <c r="CG1802" s="1"/>
  <c r="CG1803"/>
  <c r="CJ1804"/>
  <c r="CJ1805"/>
  <c r="CG1805"/>
  <c r="CJ1806"/>
  <c r="CG1806" s="1"/>
  <c r="CG1807"/>
  <c r="CJ1808"/>
  <c r="CG1808" s="1"/>
  <c r="CJ1809"/>
  <c r="CG1809"/>
  <c r="CJ1810"/>
  <c r="CG1810" s="1"/>
  <c r="CG1811"/>
  <c r="CJ1812"/>
  <c r="CG1812" s="1"/>
  <c r="CJ1813"/>
  <c r="CG1813"/>
  <c r="CJ1814"/>
  <c r="CG1814" s="1"/>
  <c r="CG1815"/>
  <c r="CJ1816"/>
  <c r="CG1816" s="1"/>
  <c r="CJ1817"/>
  <c r="CG1817"/>
  <c r="CJ1818"/>
  <c r="CG1818" s="1"/>
  <c r="CG1819"/>
  <c r="CJ1820"/>
  <c r="CJ1821"/>
  <c r="CG1821"/>
  <c r="CJ1822"/>
  <c r="CG1822" s="1"/>
  <c r="CG1823"/>
  <c r="CJ1824"/>
  <c r="CG1824" s="1"/>
  <c r="CJ1825"/>
  <c r="CG1825"/>
  <c r="CJ1826"/>
  <c r="CG1826" s="1"/>
  <c r="CG1827"/>
  <c r="CJ1828"/>
  <c r="CG1828" s="1"/>
  <c r="CJ1829"/>
  <c r="CG1829"/>
  <c r="CJ1830"/>
  <c r="CG1830" s="1"/>
  <c r="CG1831"/>
  <c r="CJ1832"/>
  <c r="CG1832" s="1"/>
  <c r="CJ1833"/>
  <c r="CG1833"/>
  <c r="CJ1834"/>
  <c r="CG1834" s="1"/>
  <c r="CG1835"/>
  <c r="CJ1836"/>
  <c r="CJ1837"/>
  <c r="CG1837"/>
  <c r="CJ1838"/>
  <c r="CG1838" s="1"/>
  <c r="CG1839"/>
  <c r="CJ1840"/>
  <c r="CG1840" s="1"/>
  <c r="CJ1841"/>
  <c r="CG1841"/>
  <c r="CJ1842"/>
  <c r="CG1842" s="1"/>
  <c r="CG1843"/>
  <c r="CJ1844"/>
  <c r="CG1844" s="1"/>
  <c r="CJ1845"/>
  <c r="CG1845"/>
  <c r="CJ1846"/>
  <c r="CG1846" s="1"/>
  <c r="CG1847"/>
  <c r="CJ1848"/>
  <c r="CG1848" s="1"/>
  <c r="CJ1849"/>
  <c r="CG1849"/>
  <c r="CJ1850"/>
  <c r="CG1850" s="1"/>
  <c r="CG1851"/>
  <c r="CJ1852"/>
  <c r="CJ1853"/>
  <c r="CG1853"/>
  <c r="CJ1854"/>
  <c r="CG1854" s="1"/>
  <c r="CG1855"/>
  <c r="CJ1856"/>
  <c r="CG1856" s="1"/>
  <c r="CJ1857"/>
  <c r="CG1857"/>
  <c r="CJ1858"/>
  <c r="CG1858" s="1"/>
  <c r="CG1859"/>
  <c r="CJ1860"/>
  <c r="CG1860" s="1"/>
  <c r="CJ1861"/>
  <c r="CG1861"/>
  <c r="CJ1862"/>
  <c r="CG1862" s="1"/>
  <c r="CG1863"/>
  <c r="CJ1864"/>
  <c r="CG1864" s="1"/>
  <c r="CJ1865"/>
  <c r="CG1865"/>
  <c r="CJ1866"/>
  <c r="CG1866" s="1"/>
  <c r="CG1867"/>
  <c r="CJ1868"/>
  <c r="CJ1869"/>
  <c r="CG1869"/>
  <c r="CJ1870"/>
  <c r="CG1870" s="1"/>
  <c r="CG1871"/>
  <c r="CJ1872"/>
  <c r="CG1872" s="1"/>
  <c r="CJ1873"/>
  <c r="CG1873"/>
  <c r="CJ1874"/>
  <c r="CG1874" s="1"/>
  <c r="CG1875"/>
  <c r="CJ1876"/>
  <c r="CG1876" s="1"/>
  <c r="CJ1877"/>
  <c r="CG1877"/>
  <c r="CJ1878"/>
  <c r="CG1878" s="1"/>
  <c r="CG1879"/>
  <c r="CJ1880"/>
  <c r="CG1880" s="1"/>
  <c r="CJ1881"/>
  <c r="CG1881"/>
  <c r="CJ1882"/>
  <c r="CG1882" s="1"/>
  <c r="CG1883"/>
  <c r="CJ1884"/>
  <c r="CJ1885"/>
  <c r="CG1885"/>
  <c r="CJ1886"/>
  <c r="CG1886" s="1"/>
  <c r="CG1887"/>
  <c r="CJ1888"/>
  <c r="CG1888" s="1"/>
  <c r="CJ1889"/>
  <c r="CG1889"/>
  <c r="CJ1890"/>
  <c r="CG1890" s="1"/>
  <c r="CG1891"/>
  <c r="CJ1892"/>
  <c r="CG1892" s="1"/>
  <c r="CJ1893"/>
  <c r="CG1893"/>
  <c r="CJ1894"/>
  <c r="CG1894" s="1"/>
  <c r="CG1895"/>
  <c r="CJ1896"/>
  <c r="CG1896" s="1"/>
  <c r="CJ1897"/>
  <c r="CG1897"/>
  <c r="CJ1898"/>
  <c r="CG1898" s="1"/>
  <c r="CG1899"/>
  <c r="CJ1900"/>
  <c r="CJ1901"/>
  <c r="CG1901"/>
  <c r="CJ1902"/>
  <c r="CG1902" s="1"/>
  <c r="CG1903"/>
  <c r="CJ1904"/>
  <c r="CG1904" s="1"/>
  <c r="CJ1905"/>
  <c r="CG1905"/>
  <c r="CJ1906"/>
  <c r="CG1906" s="1"/>
  <c r="CG1907"/>
  <c r="CJ1908"/>
  <c r="CG1908" s="1"/>
  <c r="CJ1909"/>
  <c r="CG1909"/>
  <c r="CJ1910"/>
  <c r="CG1910" s="1"/>
  <c r="CG1911"/>
  <c r="CJ1912"/>
  <c r="CG1912" s="1"/>
  <c r="CJ1913"/>
  <c r="CG1913"/>
  <c r="CJ1914"/>
  <c r="CG1914" s="1"/>
  <c r="CG1915"/>
  <c r="CJ1916"/>
  <c r="CJ1917"/>
  <c r="CG1917"/>
  <c r="CJ1918"/>
  <c r="CG1918" s="1"/>
  <c r="CG1919"/>
  <c r="CJ1920"/>
  <c r="CG1920" s="1"/>
  <c r="CJ1921"/>
  <c r="CG1921"/>
  <c r="CJ1922"/>
  <c r="CG1922" s="1"/>
  <c r="CG1923"/>
  <c r="CJ1924"/>
  <c r="CG1924" s="1"/>
  <c r="CJ1925"/>
  <c r="CG1925"/>
  <c r="CJ1926"/>
  <c r="CG1926" s="1"/>
  <c r="CG1927"/>
  <c r="CJ1928"/>
  <c r="CG1928" s="1"/>
  <c r="CJ1929"/>
  <c r="CG1929"/>
  <c r="CJ1930"/>
  <c r="CG1930" s="1"/>
  <c r="CG1931"/>
  <c r="CJ1932"/>
  <c r="CJ1933"/>
  <c r="CG1933"/>
  <c r="CJ1934"/>
  <c r="CG1934" s="1"/>
  <c r="CG1935"/>
  <c r="CJ1936"/>
  <c r="CG1936" s="1"/>
  <c r="CJ1937"/>
  <c r="CG1937"/>
  <c r="CJ1938"/>
  <c r="CG1938" s="1"/>
  <c r="CG1939"/>
  <c r="CJ1940"/>
  <c r="CG1940" s="1"/>
  <c r="CJ1941"/>
  <c r="CG1941"/>
  <c r="CJ1942"/>
  <c r="CG1942" s="1"/>
  <c r="CG1943"/>
  <c r="CJ1944"/>
  <c r="CG1944" s="1"/>
  <c r="CJ1945"/>
  <c r="CG1945"/>
  <c r="CJ1946"/>
  <c r="CG1946" s="1"/>
  <c r="CG1947"/>
  <c r="CJ1948"/>
  <c r="CJ1949"/>
  <c r="CG1949"/>
  <c r="CJ1950"/>
  <c r="CG1950" s="1"/>
  <c r="CG1951"/>
  <c r="CJ1952"/>
  <c r="CG1952" s="1"/>
  <c r="CJ1953"/>
  <c r="CG1953"/>
  <c r="CJ1954"/>
  <c r="CG1954" s="1"/>
  <c r="CG1955"/>
  <c r="CJ1956"/>
  <c r="CG1956" s="1"/>
  <c r="CJ1957"/>
  <c r="CG1957"/>
  <c r="CJ1958"/>
  <c r="CG1958" s="1"/>
  <c r="CG1959"/>
  <c r="CJ1960"/>
  <c r="CG1960" s="1"/>
  <c r="CJ1961"/>
  <c r="CG1961"/>
  <c r="CJ1962"/>
  <c r="CG1962" s="1"/>
  <c r="CG1963"/>
  <c r="CJ1964"/>
  <c r="CJ1965"/>
  <c r="CG1965"/>
  <c r="CJ1966"/>
  <c r="CG1966" s="1"/>
  <c r="CG1967"/>
  <c r="CJ1968"/>
  <c r="CG1968" s="1"/>
  <c r="CJ1969"/>
  <c r="CG1969"/>
  <c r="CJ1970"/>
  <c r="CG1970" s="1"/>
  <c r="CG1971"/>
  <c r="CJ1972"/>
  <c r="CG1972" s="1"/>
  <c r="CJ1973"/>
  <c r="CG1973"/>
  <c r="CJ1974"/>
  <c r="CG1974" s="1"/>
  <c r="CG1975"/>
  <c r="CJ1976"/>
  <c r="CG1976" s="1"/>
  <c r="CJ1977"/>
  <c r="CG1977"/>
  <c r="CJ1978"/>
  <c r="CG1978" s="1"/>
  <c r="CG1979"/>
  <c r="CJ1980"/>
  <c r="CJ1981"/>
  <c r="CG1981"/>
  <c r="CJ1982"/>
  <c r="CG1982" s="1"/>
  <c r="CG1983"/>
  <c r="CJ1984"/>
  <c r="CG1984" s="1"/>
  <c r="CJ1985"/>
  <c r="CG1985"/>
  <c r="CJ1986"/>
  <c r="CG1986" s="1"/>
  <c r="CG1987"/>
  <c r="CJ1988"/>
  <c r="CG1988" s="1"/>
  <c r="CJ1989"/>
  <c r="CG1989"/>
  <c r="CJ1990"/>
  <c r="CG1990" s="1"/>
  <c r="CG1991"/>
  <c r="CJ1992"/>
  <c r="CG1992" s="1"/>
  <c r="CJ1993"/>
  <c r="CG1993"/>
  <c r="CJ1994"/>
  <c r="CG1994" s="1"/>
  <c r="CG1995"/>
  <c r="CJ1996"/>
  <c r="CJ1997"/>
  <c r="CG1997"/>
  <c r="CJ1998"/>
  <c r="CG1998" s="1"/>
  <c r="CG1999"/>
  <c r="CJ2000"/>
  <c r="CG2000" s="1"/>
  <c r="CJ2001"/>
  <c r="CG2001"/>
  <c r="CJ2002"/>
  <c r="CG2002" s="1"/>
  <c r="CG2003"/>
  <c r="CJ2004"/>
  <c r="CG2004" s="1"/>
  <c r="CJ2005"/>
  <c r="CG2005"/>
  <c r="CJ2006"/>
  <c r="CG2006" s="1"/>
  <c r="CG2007"/>
  <c r="CJ2008"/>
  <c r="CG2008" s="1"/>
  <c r="CJ2009"/>
  <c r="CG2009"/>
  <c r="CJ2010"/>
  <c r="CG2010" s="1"/>
  <c r="CG2011"/>
  <c r="CJ2012"/>
  <c r="CJ2013"/>
  <c r="CG2013"/>
  <c r="CJ2014"/>
  <c r="CG2014" s="1"/>
  <c r="CG2015"/>
  <c r="CJ2016"/>
  <c r="CG2016" s="1"/>
  <c r="CJ2017"/>
  <c r="CG2017"/>
  <c r="CJ2018"/>
  <c r="CG2018" s="1"/>
  <c r="CG2019"/>
  <c r="CJ2020"/>
  <c r="CG2020" s="1"/>
  <c r="CJ2021"/>
  <c r="CG2021"/>
  <c r="CJ2022"/>
  <c r="CG2022" s="1"/>
  <c r="CG2023"/>
  <c r="CJ2024"/>
  <c r="CG2024" s="1"/>
  <c r="CJ2025"/>
  <c r="CG2025"/>
  <c r="CJ2026"/>
  <c r="CG2026" s="1"/>
  <c r="CG2027"/>
  <c r="CJ2028"/>
  <c r="CJ2029"/>
  <c r="CG2029"/>
  <c r="CJ2030"/>
  <c r="CG2030" s="1"/>
  <c r="CG2031"/>
  <c r="CJ2032"/>
  <c r="CG2032" s="1"/>
  <c r="CJ2033"/>
  <c r="CG2033"/>
  <c r="CJ2034"/>
  <c r="CG2034" s="1"/>
  <c r="CG2035"/>
  <c r="CJ2036"/>
  <c r="CG2036" s="1"/>
  <c r="CJ2037"/>
  <c r="CG2037"/>
  <c r="CJ2038"/>
  <c r="CG2038" s="1"/>
  <c r="CG2039"/>
  <c r="CJ2040"/>
  <c r="CG2040" s="1"/>
  <c r="CJ2041"/>
  <c r="CG2041"/>
  <c r="CJ2042"/>
  <c r="CG2042" s="1"/>
  <c r="CG2043"/>
  <c r="CJ2044"/>
  <c r="CJ2045"/>
  <c r="CG2045"/>
  <c r="CJ2046"/>
  <c r="CG2046" s="1"/>
  <c r="CG2047"/>
  <c r="CJ2048"/>
  <c r="CG2048" s="1"/>
  <c r="CJ2049"/>
  <c r="CG2049"/>
  <c r="CJ2050"/>
  <c r="CG2050" s="1"/>
  <c r="CG2051"/>
  <c r="CJ2052"/>
  <c r="CG2052" s="1"/>
  <c r="CJ2053"/>
  <c r="CG2053"/>
  <c r="CJ2054"/>
  <c r="CG2054" s="1"/>
  <c r="CG2055"/>
  <c r="CJ2056"/>
  <c r="CG2056" s="1"/>
  <c r="CJ2057"/>
  <c r="CG2057"/>
  <c r="CJ2058"/>
  <c r="CG2058" s="1"/>
  <c r="CG2059"/>
  <c r="CJ2060"/>
  <c r="CJ2061"/>
  <c r="CG2061"/>
  <c r="CJ2062"/>
  <c r="CG2062" s="1"/>
  <c r="CG2063"/>
  <c r="CJ2064"/>
  <c r="CG2064" s="1"/>
  <c r="CJ2065"/>
  <c r="CG2065"/>
  <c r="CJ2066"/>
  <c r="CG2066" s="1"/>
  <c r="CG2067"/>
  <c r="CJ2068"/>
  <c r="CG2068" s="1"/>
  <c r="CJ2069"/>
  <c r="CG2069"/>
  <c r="CJ2070"/>
  <c r="CG2070" s="1"/>
  <c r="CG2071"/>
  <c r="CJ2072"/>
  <c r="CG2072" s="1"/>
  <c r="CJ2073"/>
  <c r="CG2073"/>
  <c r="CJ2074"/>
  <c r="CG2074" s="1"/>
  <c r="CG2075"/>
  <c r="CJ2076"/>
  <c r="CJ2077"/>
  <c r="CG2077"/>
  <c r="CJ2078"/>
  <c r="CG2078" s="1"/>
  <c r="CG2079"/>
  <c r="CJ2080"/>
  <c r="CG2080" s="1"/>
  <c r="CJ2081"/>
  <c r="CG2081"/>
  <c r="CJ2082"/>
  <c r="CG2082" s="1"/>
  <c r="CG2083"/>
  <c r="CJ2084"/>
  <c r="CG2084" s="1"/>
  <c r="CJ2085"/>
  <c r="CG2085"/>
  <c r="CJ2086"/>
  <c r="CG2086" s="1"/>
  <c r="CG2087"/>
  <c r="CJ2088"/>
  <c r="CG2088" s="1"/>
  <c r="CJ2089"/>
  <c r="CG2089"/>
  <c r="CJ2090"/>
  <c r="CG2090" s="1"/>
  <c r="CG2091"/>
  <c r="CJ2092"/>
  <c r="CJ2093"/>
  <c r="CG2093"/>
  <c r="CJ2094"/>
  <c r="CG2094" s="1"/>
  <c r="CG2095"/>
  <c r="CJ2096"/>
  <c r="CG2096" s="1"/>
  <c r="CJ2097"/>
  <c r="CG2097"/>
  <c r="CJ2098"/>
  <c r="CG2098" s="1"/>
  <c r="CG2099"/>
  <c r="CJ2100"/>
  <c r="CG2100" s="1"/>
  <c r="CJ2101"/>
  <c r="CG2101"/>
  <c r="CJ2102"/>
  <c r="CG2102" s="1"/>
  <c r="CG2103"/>
  <c r="CJ2104"/>
  <c r="CG2104" s="1"/>
  <c r="CJ2105"/>
  <c r="CG2105"/>
  <c r="CJ2106"/>
  <c r="CG2106" s="1"/>
  <c r="CG2107"/>
  <c r="CJ2108"/>
  <c r="CJ2109"/>
  <c r="CG2109"/>
  <c r="CJ2110"/>
  <c r="CG2110" s="1"/>
  <c r="CG2111"/>
  <c r="CJ2112"/>
  <c r="CG2112" s="1"/>
  <c r="CJ2113"/>
  <c r="CG2113"/>
  <c r="CJ2114"/>
  <c r="CG2114" s="1"/>
  <c r="CG2115"/>
  <c r="CJ2116"/>
  <c r="CG2116" s="1"/>
  <c r="CJ2117"/>
  <c r="CG2117"/>
  <c r="CJ2118"/>
  <c r="CG2118" s="1"/>
  <c r="CG2119"/>
  <c r="CJ2120"/>
  <c r="CG2120" s="1"/>
  <c r="CJ2121"/>
  <c r="CG2121"/>
  <c r="CJ2122"/>
  <c r="CG2122" s="1"/>
  <c r="CG2123"/>
  <c r="CJ2124"/>
  <c r="CJ2125"/>
  <c r="CG2125"/>
  <c r="CJ2126"/>
  <c r="CG2126" s="1"/>
  <c r="CG2127"/>
  <c r="CJ2128"/>
  <c r="CG2128" s="1"/>
  <c r="CJ2129"/>
  <c r="CG2129"/>
  <c r="CJ2130"/>
  <c r="CG2130" s="1"/>
  <c r="CG2131"/>
  <c r="CJ2132"/>
  <c r="CG2132" s="1"/>
  <c r="CJ2133"/>
  <c r="CG2133"/>
  <c r="CJ2134"/>
  <c r="CG2134" s="1"/>
  <c r="CG2135"/>
  <c r="CJ2136"/>
  <c r="CG2136" s="1"/>
  <c r="CJ2137"/>
  <c r="CG2137"/>
  <c r="CJ2138"/>
  <c r="CG2138" s="1"/>
  <c r="CG2139"/>
  <c r="CJ2140"/>
  <c r="CJ2141"/>
  <c r="CG2141"/>
  <c r="CJ2142"/>
  <c r="CG2142" s="1"/>
  <c r="CG2143"/>
  <c r="CJ2144"/>
  <c r="CG2144" s="1"/>
  <c r="CJ2145"/>
  <c r="CG2145"/>
  <c r="CJ2146"/>
  <c r="CG2146" s="1"/>
  <c r="CG2147"/>
  <c r="CJ2148"/>
  <c r="CG2148" s="1"/>
  <c r="CJ2149"/>
  <c r="CG2149"/>
  <c r="CJ2150"/>
  <c r="CG2150" s="1"/>
  <c r="CG2151"/>
  <c r="CJ2152"/>
  <c r="CG2152" s="1"/>
  <c r="CJ2153"/>
  <c r="CG2153"/>
  <c r="CJ2154"/>
  <c r="CG2154" s="1"/>
  <c r="CG2155"/>
  <c r="CJ2156"/>
  <c r="CJ2157"/>
  <c r="CG2157"/>
  <c r="CJ2158"/>
  <c r="CG2158" s="1"/>
  <c r="CG2159"/>
  <c r="CJ2160"/>
  <c r="CG2160" s="1"/>
  <c r="CJ2161"/>
  <c r="CG2161"/>
  <c r="CJ2162"/>
  <c r="CG2162" s="1"/>
  <c r="CG2163"/>
  <c r="CJ2164"/>
  <c r="CG2164" s="1"/>
  <c r="CJ2165"/>
  <c r="CG2165"/>
  <c r="CJ2166"/>
  <c r="CG2166" s="1"/>
  <c r="CG2167"/>
  <c r="CJ2168"/>
  <c r="CG2168" s="1"/>
  <c r="CJ2169"/>
  <c r="CG2169"/>
  <c r="CJ2170"/>
  <c r="CG2170" s="1"/>
  <c r="CG2171"/>
  <c r="CJ2172"/>
  <c r="CJ2173"/>
  <c r="CG2173"/>
  <c r="CJ2174"/>
  <c r="CG2174" s="1"/>
  <c r="CG2175"/>
  <c r="CJ2176"/>
  <c r="CG2176" s="1"/>
  <c r="CJ2177"/>
  <c r="CG2177"/>
  <c r="CJ2178"/>
  <c r="CG2178" s="1"/>
  <c r="CG2179"/>
  <c r="CJ2180"/>
  <c r="CG2180" s="1"/>
  <c r="CJ2181"/>
  <c r="CG2181"/>
  <c r="CJ2182"/>
  <c r="CG2182" s="1"/>
  <c r="CG2183"/>
  <c r="CJ2184"/>
  <c r="CG2184" s="1"/>
  <c r="CJ2185"/>
  <c r="CG2185"/>
  <c r="CJ2186"/>
  <c r="CG2186" s="1"/>
  <c r="CG2187"/>
  <c r="CJ2188"/>
  <c r="CJ2189"/>
  <c r="CG2189"/>
  <c r="CJ2190"/>
  <c r="CG2190" s="1"/>
  <c r="CG2191"/>
  <c r="CJ2192"/>
  <c r="CG2192" s="1"/>
  <c r="CJ2193"/>
  <c r="CG2193"/>
  <c r="CJ2194"/>
  <c r="CG2194" s="1"/>
  <c r="CG2195"/>
  <c r="CJ2196"/>
  <c r="CG2196" s="1"/>
  <c r="CJ2197"/>
  <c r="CG2197"/>
  <c r="CJ2198"/>
  <c r="CG2198" s="1"/>
  <c r="CG2199"/>
  <c r="CJ2200"/>
  <c r="CG2200" s="1"/>
  <c r="CJ2201"/>
  <c r="CG2201"/>
  <c r="CJ2202"/>
  <c r="CG2202" s="1"/>
  <c r="CG2203"/>
  <c r="CJ2204"/>
  <c r="CJ2205"/>
  <c r="CG2205"/>
  <c r="CJ2206"/>
  <c r="CG2206" s="1"/>
  <c r="CG2207"/>
  <c r="CJ2208"/>
  <c r="CG2208" s="1"/>
  <c r="CJ2209"/>
  <c r="CG2209"/>
  <c r="CJ2210"/>
  <c r="CG2210" s="1"/>
  <c r="CG2211"/>
  <c r="CJ2212"/>
  <c r="CG2212" s="1"/>
  <c r="CJ2213"/>
  <c r="CG2213"/>
  <c r="CJ2214"/>
  <c r="CG2214" s="1"/>
  <c r="CG2215"/>
  <c r="CJ2216"/>
  <c r="CG2216" s="1"/>
  <c r="CJ2217"/>
  <c r="CG2217"/>
  <c r="CJ2218"/>
  <c r="CG2218" s="1"/>
  <c r="CG2219"/>
  <c r="CJ2220"/>
  <c r="CJ2221"/>
  <c r="CG2221"/>
  <c r="CJ2222"/>
  <c r="CG2222" s="1"/>
  <c r="CG2223"/>
  <c r="CJ2224"/>
  <c r="CG2224" s="1"/>
  <c r="CJ2225"/>
  <c r="CG2225"/>
  <c r="CJ2226"/>
  <c r="CG2226" s="1"/>
  <c r="CG2227"/>
  <c r="CJ2228"/>
  <c r="CG2228" s="1"/>
  <c r="CJ2229"/>
  <c r="CG2229"/>
  <c r="CJ2230"/>
  <c r="CG2230" s="1"/>
  <c r="CG2231"/>
  <c r="CJ2232"/>
  <c r="CG2232" s="1"/>
  <c r="CJ2233"/>
  <c r="CG2233"/>
  <c r="CJ2234"/>
  <c r="CG2234" s="1"/>
  <c r="CG2235"/>
  <c r="CJ2236"/>
  <c r="CJ2237"/>
  <c r="CG2237"/>
  <c r="CJ2238"/>
  <c r="CG2238" s="1"/>
  <c r="CG2239"/>
  <c r="CJ2240"/>
  <c r="CG2240" s="1"/>
  <c r="CJ2241"/>
  <c r="CG2241"/>
  <c r="CJ2242"/>
  <c r="CG2242" s="1"/>
  <c r="CG2243"/>
  <c r="CJ2244"/>
  <c r="CG2244" s="1"/>
  <c r="CJ2245"/>
  <c r="CG2245"/>
  <c r="CJ2246"/>
  <c r="CG2246" s="1"/>
  <c r="CG2247"/>
  <c r="CJ2248"/>
  <c r="CG2248" s="1"/>
  <c r="CJ2249"/>
  <c r="CG2249"/>
  <c r="CJ2250"/>
  <c r="CG2250" s="1"/>
  <c r="CG2251"/>
  <c r="CJ2252"/>
  <c r="CJ2253"/>
  <c r="CG2253"/>
  <c r="CJ2254"/>
  <c r="CG2254" s="1"/>
  <c r="CG2255"/>
  <c r="CJ2256"/>
  <c r="CG2256" s="1"/>
  <c r="CJ2257"/>
  <c r="CG2257"/>
  <c r="CJ2258"/>
  <c r="CG2258" s="1"/>
  <c r="CG2259"/>
  <c r="CJ2260"/>
  <c r="CG2260" s="1"/>
  <c r="CJ2261"/>
  <c r="CG2261"/>
  <c r="CJ2262"/>
  <c r="CG2262" s="1"/>
  <c r="CG2263"/>
  <c r="CJ2264"/>
  <c r="CG2264" s="1"/>
  <c r="CJ2265"/>
  <c r="CG2265"/>
  <c r="CJ2266"/>
  <c r="CG2266" s="1"/>
  <c r="CG2267"/>
  <c r="CJ2268"/>
  <c r="CJ2269"/>
  <c r="CG2269"/>
  <c r="CJ2270"/>
  <c r="CG2270" s="1"/>
  <c r="CG2271"/>
  <c r="CJ2272"/>
  <c r="CG2272" s="1"/>
  <c r="CJ2273"/>
  <c r="CG2273"/>
  <c r="CJ2274"/>
  <c r="CG2274" s="1"/>
  <c r="CG2275"/>
  <c r="CJ2276"/>
  <c r="CG2276" s="1"/>
  <c r="CJ2277"/>
  <c r="CG2277"/>
  <c r="CJ2278"/>
  <c r="CG2278" s="1"/>
  <c r="CG2279"/>
  <c r="CJ2280"/>
  <c r="CG2280" s="1"/>
  <c r="CJ2281"/>
  <c r="CG2281"/>
  <c r="CJ2282"/>
  <c r="CG2282" s="1"/>
  <c r="CG2283"/>
  <c r="CJ2284"/>
  <c r="CJ2285"/>
  <c r="CG2285"/>
  <c r="CJ2286"/>
  <c r="CG2286" s="1"/>
  <c r="CG2287"/>
  <c r="CJ2288"/>
  <c r="CG2288" s="1"/>
  <c r="CJ2289"/>
  <c r="CG2289"/>
  <c r="CJ2290"/>
  <c r="CG2290" s="1"/>
  <c r="CG2291"/>
  <c r="CJ2292"/>
  <c r="CG2292" s="1"/>
  <c r="CJ2293"/>
  <c r="CG2293"/>
  <c r="CJ2294"/>
  <c r="CG2294" s="1"/>
  <c r="CG2295"/>
  <c r="CJ2296"/>
  <c r="CG2296" s="1"/>
  <c r="CJ2297"/>
  <c r="CG2297"/>
  <c r="CJ2298"/>
  <c r="CG2298" s="1"/>
  <c r="CG2299"/>
  <c r="CJ2300"/>
  <c r="CJ2301"/>
  <c r="CG2301"/>
  <c r="CJ2302"/>
  <c r="CG2302" s="1"/>
  <c r="CG2303"/>
  <c r="CJ2304"/>
  <c r="CG2304" s="1"/>
  <c r="CJ2305"/>
  <c r="CG2305"/>
  <c r="CJ2306"/>
  <c r="CG2306" s="1"/>
  <c r="CG2307"/>
  <c r="CJ2308"/>
  <c r="CG2308" s="1"/>
  <c r="CJ2309"/>
  <c r="CG2309"/>
  <c r="CJ2310"/>
  <c r="CG2310" s="1"/>
  <c r="CG2311"/>
  <c r="CJ2312"/>
  <c r="CG2312" s="1"/>
  <c r="CJ2313"/>
  <c r="CG2313"/>
  <c r="CJ2314"/>
  <c r="CG2314" s="1"/>
  <c r="CG2315"/>
  <c r="CJ2316"/>
  <c r="CJ2317"/>
  <c r="CG2317"/>
  <c r="CJ2318"/>
  <c r="CG2318" s="1"/>
  <c r="CG2319"/>
  <c r="CJ2320"/>
  <c r="CG2320" s="1"/>
  <c r="CJ2321"/>
  <c r="CG2321"/>
  <c r="CJ2322"/>
  <c r="CG2322" s="1"/>
  <c r="CG2323"/>
  <c r="CJ2324"/>
  <c r="CG2324" s="1"/>
  <c r="CJ2325"/>
  <c r="CG2325"/>
  <c r="CJ2326"/>
  <c r="CG2326" s="1"/>
  <c r="CG2327"/>
  <c r="CJ2328"/>
  <c r="CG2328" s="1"/>
  <c r="CJ2329"/>
  <c r="CG2329"/>
  <c r="CJ2330"/>
  <c r="CG2330" s="1"/>
  <c r="CG2331"/>
  <c r="CJ2332"/>
  <c r="CJ2333"/>
  <c r="CG2333"/>
  <c r="CJ2334"/>
  <c r="CG2334" s="1"/>
  <c r="CG2335"/>
  <c r="CJ2336"/>
  <c r="CG2336" s="1"/>
  <c r="CJ2337"/>
  <c r="CG2337"/>
  <c r="CJ2338"/>
  <c r="CG2338" s="1"/>
  <c r="CG2339"/>
  <c r="CJ2340"/>
  <c r="CG2340" s="1"/>
  <c r="CJ2341"/>
  <c r="CG2341"/>
  <c r="CJ2342"/>
  <c r="CG2342" s="1"/>
  <c r="CG2343"/>
  <c r="CJ2344"/>
  <c r="CG2344" s="1"/>
  <c r="CJ2345"/>
  <c r="CG2345"/>
  <c r="CJ2346"/>
  <c r="CG2346" s="1"/>
  <c r="CG2347"/>
  <c r="CJ2348"/>
  <c r="CJ2349"/>
  <c r="CG2349"/>
  <c r="CJ2350"/>
  <c r="CG2350" s="1"/>
  <c r="CG2351"/>
  <c r="CJ2352"/>
  <c r="CG2352" s="1"/>
  <c r="CJ2353"/>
  <c r="CG2353"/>
  <c r="CJ2354"/>
  <c r="CG2354" s="1"/>
  <c r="CG2355"/>
  <c r="CJ2356"/>
  <c r="CG2356" s="1"/>
  <c r="CJ2357"/>
  <c r="CG2357"/>
  <c r="CJ2358"/>
  <c r="CG2358" s="1"/>
  <c r="CG2359"/>
  <c r="CJ2360"/>
  <c r="CJ2361"/>
  <c r="CG2361"/>
  <c r="CJ2362"/>
  <c r="CG2362" s="1"/>
  <c r="CG2363"/>
  <c r="CJ2364"/>
  <c r="CJ2365"/>
  <c r="CG2365"/>
  <c r="CJ2366"/>
  <c r="CG2366" s="1"/>
  <c r="CG2367"/>
  <c r="CJ2368"/>
  <c r="CG2368" s="1"/>
  <c r="CJ2369"/>
  <c r="CG2369"/>
  <c r="CJ2370"/>
  <c r="CG2370" s="1"/>
  <c r="CG2371"/>
  <c r="CJ2372"/>
  <c r="CG2372" s="1"/>
  <c r="CJ2373"/>
  <c r="CG2373"/>
  <c r="CJ2374"/>
  <c r="CG2374" s="1"/>
  <c r="CG2375"/>
  <c r="CJ2376"/>
  <c r="CJ2377"/>
  <c r="CG2377"/>
  <c r="CJ2378"/>
  <c r="CG2378" s="1"/>
  <c r="CG2379"/>
  <c r="CJ2380"/>
  <c r="CJ2381"/>
  <c r="CG2381"/>
  <c r="CJ2382"/>
  <c r="CG2382" s="1"/>
  <c r="CG2383"/>
  <c r="CJ2384"/>
  <c r="CG2384" s="1"/>
  <c r="CJ2385"/>
  <c r="CG2385"/>
  <c r="CJ2386"/>
  <c r="CG2386" s="1"/>
  <c r="CG2387"/>
  <c r="CJ2388"/>
  <c r="CG2388" s="1"/>
  <c r="CJ2389"/>
  <c r="CG2389"/>
  <c r="CJ2390"/>
  <c r="CG2390" s="1"/>
  <c r="CG2391"/>
  <c r="CJ2392"/>
  <c r="CJ2393"/>
  <c r="CG2393"/>
  <c r="CJ2394"/>
  <c r="CG2394" s="1"/>
  <c r="CG2395"/>
  <c r="CJ2396"/>
  <c r="CJ2397"/>
  <c r="CG2397"/>
  <c r="CJ2398"/>
  <c r="CG2398" s="1"/>
  <c r="CG2399"/>
  <c r="CJ2400"/>
  <c r="CG2400" s="1"/>
  <c r="CJ2401"/>
  <c r="CG2401"/>
  <c r="CJ2402"/>
  <c r="CG2402" s="1"/>
  <c r="CG2403"/>
  <c r="CJ2404"/>
  <c r="CG2404" s="1"/>
  <c r="CJ2405"/>
  <c r="CG2405"/>
  <c r="CJ2406"/>
  <c r="CG2406" s="1"/>
  <c r="CG2407"/>
  <c r="CJ2408"/>
  <c r="CJ2409"/>
  <c r="CG2409"/>
  <c r="CJ2410"/>
  <c r="CG2410" s="1"/>
  <c r="CG2411"/>
  <c r="CJ2412"/>
  <c r="CJ2413"/>
  <c r="CG2413"/>
  <c r="CJ2414"/>
  <c r="CG2414" s="1"/>
  <c r="CG2415"/>
  <c r="CJ2416"/>
  <c r="CG2416" s="1"/>
  <c r="CJ2417"/>
  <c r="CG2417"/>
  <c r="CJ2418"/>
  <c r="CG2418" s="1"/>
  <c r="CG2419"/>
  <c r="CJ2420"/>
  <c r="CG2420" s="1"/>
  <c r="CJ2421"/>
  <c r="CG2421"/>
  <c r="CJ2422"/>
  <c r="CG2422" s="1"/>
  <c r="CG2423"/>
  <c r="CJ2424"/>
  <c r="CJ2425"/>
  <c r="CG2425"/>
  <c r="CJ2426"/>
  <c r="CG2426" s="1"/>
  <c r="CG2427"/>
  <c r="CJ2428"/>
  <c r="CJ2429"/>
  <c r="CG2429"/>
  <c r="CJ2430"/>
  <c r="CG2430" s="1"/>
  <c r="CG2431"/>
  <c r="CJ2432"/>
  <c r="CG2432" s="1"/>
  <c r="CJ2433"/>
  <c r="CG2433"/>
  <c r="CJ2434"/>
  <c r="CG2434" s="1"/>
  <c r="CG2435"/>
  <c r="CJ2436"/>
  <c r="CG2436" s="1"/>
  <c r="CJ2437"/>
  <c r="CG2437"/>
  <c r="CJ2438"/>
  <c r="CG2438" s="1"/>
  <c r="CG2439"/>
  <c r="CJ2440"/>
  <c r="CJ2441"/>
  <c r="CG2441"/>
  <c r="CJ2442"/>
  <c r="CG2442" s="1"/>
  <c r="CG2443"/>
  <c r="CJ2444"/>
  <c r="CJ2445"/>
  <c r="CG2445"/>
  <c r="CJ2446"/>
  <c r="CG2446" s="1"/>
  <c r="CG2447"/>
  <c r="CJ2448"/>
  <c r="CG2448" s="1"/>
  <c r="CJ2449"/>
  <c r="CG2449"/>
  <c r="CJ2450"/>
  <c r="CG2450" s="1"/>
  <c r="CG2451"/>
  <c r="CJ2452"/>
  <c r="CG2452" s="1"/>
  <c r="CJ2453"/>
  <c r="CG2453"/>
  <c r="CJ2454"/>
  <c r="CG2454" s="1"/>
  <c r="CG2455"/>
  <c r="CJ2456"/>
  <c r="CJ2457"/>
  <c r="CG2457"/>
  <c r="CJ2458"/>
  <c r="CG2458" s="1"/>
  <c r="CG2459"/>
  <c r="CJ2460"/>
  <c r="CJ2461"/>
  <c r="CG2461"/>
  <c r="CJ2462"/>
  <c r="CG2462" s="1"/>
  <c r="CG2463"/>
  <c r="CJ2464"/>
  <c r="CG2464" s="1"/>
  <c r="CJ2465"/>
  <c r="CG2465"/>
  <c r="CJ2466"/>
  <c r="CG2466" s="1"/>
  <c r="CG2467"/>
  <c r="CJ2468"/>
  <c r="CG2468" s="1"/>
  <c r="CJ2469"/>
  <c r="CG2469"/>
  <c r="CJ2470"/>
  <c r="CG2470" s="1"/>
  <c r="CG2471"/>
  <c r="CJ2472"/>
  <c r="CJ2473"/>
  <c r="CG2473"/>
  <c r="CJ2474"/>
  <c r="CG2474" s="1"/>
  <c r="CG2475"/>
  <c r="CJ2476"/>
  <c r="CJ2477"/>
  <c r="CG2477"/>
  <c r="CJ2478"/>
  <c r="CG2478" s="1"/>
  <c r="CG2479"/>
  <c r="CJ2480"/>
  <c r="CG2480" s="1"/>
  <c r="CJ2481"/>
  <c r="CG2481"/>
  <c r="CJ2482"/>
  <c r="CG2482" s="1"/>
  <c r="CG2483"/>
  <c r="CJ2484"/>
  <c r="CG2484" s="1"/>
  <c r="CJ2485"/>
  <c r="CG2485"/>
  <c r="CJ2486"/>
  <c r="CG2486" s="1"/>
  <c r="CG2487"/>
  <c r="CJ2488"/>
  <c r="CJ2489"/>
  <c r="CG2489"/>
  <c r="CJ2490"/>
  <c r="CG2490" s="1"/>
  <c r="CG2491"/>
  <c r="CJ2492"/>
  <c r="CJ2493"/>
  <c r="CG2493"/>
  <c r="CJ2494"/>
  <c r="CG2494" s="1"/>
  <c r="CG2495"/>
  <c r="CJ2496"/>
  <c r="CG2496" s="1"/>
  <c r="CJ2497"/>
  <c r="CG2497"/>
  <c r="CJ2498"/>
  <c r="CG2498" s="1"/>
  <c r="CG2499"/>
  <c r="CJ2500"/>
  <c r="CG2500" s="1"/>
  <c r="CJ2501"/>
  <c r="CG2501"/>
  <c r="CJ2502"/>
  <c r="CG2502" s="1"/>
  <c r="CG2503"/>
  <c r="CJ2504"/>
  <c r="CJ2505"/>
  <c r="CG2505"/>
  <c r="CJ2506"/>
  <c r="CG2506" s="1"/>
  <c r="CG2507"/>
  <c r="CJ2508"/>
  <c r="CJ2509"/>
  <c r="CG2509"/>
  <c r="CJ2510"/>
  <c r="CG2510" s="1"/>
  <c r="CG2511"/>
  <c r="CJ2512"/>
  <c r="CG2512" s="1"/>
  <c r="CJ2513"/>
  <c r="CG2513"/>
  <c r="CJ2514"/>
  <c r="CG2514" s="1"/>
  <c r="CG2515"/>
  <c r="CJ2516"/>
  <c r="CG2516" s="1"/>
  <c r="CJ2517"/>
  <c r="CG2517"/>
  <c r="CJ2518"/>
  <c r="CG2518" s="1"/>
  <c r="CG2519"/>
  <c r="CJ2520"/>
  <c r="CJ2521"/>
  <c r="CG2521"/>
  <c r="CJ2522"/>
  <c r="CG2522" s="1"/>
  <c r="CG2523"/>
  <c r="CJ2524"/>
  <c r="CJ2525"/>
  <c r="CG2525"/>
  <c r="CJ2526"/>
  <c r="CG2526" s="1"/>
  <c r="CG2527"/>
  <c r="CJ2528"/>
  <c r="CG2528" s="1"/>
  <c r="CJ2529"/>
  <c r="CG2529"/>
  <c r="CJ2530"/>
  <c r="CG2530" s="1"/>
  <c r="CG2531"/>
  <c r="CJ2532"/>
  <c r="CG2532" s="1"/>
  <c r="CJ2533"/>
  <c r="CG2533"/>
  <c r="CJ2534"/>
  <c r="CG2534" s="1"/>
  <c r="CG2535"/>
  <c r="CJ2536"/>
  <c r="CJ2537"/>
  <c r="CG2537"/>
  <c r="CJ2538"/>
  <c r="CG2538" s="1"/>
  <c r="CG2539"/>
  <c r="CJ2540"/>
  <c r="CJ2541"/>
  <c r="CG2541"/>
  <c r="CJ2542"/>
  <c r="CG2542" s="1"/>
  <c r="CG2543"/>
  <c r="CJ2544"/>
  <c r="CG2544" s="1"/>
  <c r="CJ2545"/>
  <c r="CG2545"/>
  <c r="CJ2546"/>
  <c r="CG2546" s="1"/>
  <c r="CG2547"/>
  <c r="CJ2548"/>
  <c r="CG2548" s="1"/>
  <c r="CJ2549"/>
  <c r="CG2549"/>
  <c r="CJ2550"/>
  <c r="CG2550" s="1"/>
  <c r="CG2551"/>
  <c r="CJ2552"/>
  <c r="CJ2553"/>
  <c r="CG2553"/>
  <c r="CJ2554"/>
  <c r="CG2554" s="1"/>
  <c r="CG2555"/>
  <c r="CJ2556"/>
  <c r="CJ2557"/>
  <c r="CG2557"/>
  <c r="CJ2558"/>
  <c r="CG2558" s="1"/>
  <c r="CG2559"/>
  <c r="CJ2560"/>
  <c r="CG2560" s="1"/>
  <c r="CJ2561"/>
  <c r="CG2561"/>
  <c r="CJ2562"/>
  <c r="CG2562" s="1"/>
  <c r="CG2563"/>
  <c r="CJ2564"/>
  <c r="CG2564" s="1"/>
  <c r="CJ2565"/>
  <c r="CG2565"/>
  <c r="CJ2566"/>
  <c r="CG2566" s="1"/>
  <c r="CG2567"/>
  <c r="CJ2568"/>
  <c r="CJ2569"/>
  <c r="CG2569"/>
  <c r="CJ2570"/>
  <c r="CG2570" s="1"/>
  <c r="CG2571"/>
  <c r="CJ2572"/>
  <c r="CJ2573"/>
  <c r="CG2573"/>
  <c r="CJ2574"/>
  <c r="CG2574" s="1"/>
  <c r="CG2575"/>
  <c r="CJ2576"/>
  <c r="CG2576" s="1"/>
  <c r="CJ2577"/>
  <c r="CG2577"/>
  <c r="CJ2578"/>
  <c r="CG2578" s="1"/>
  <c r="CG2579"/>
  <c r="CJ2580"/>
  <c r="CG2580" s="1"/>
  <c r="CJ2581"/>
  <c r="CG2581"/>
  <c r="CJ2582"/>
  <c r="CG2582" s="1"/>
  <c r="CG2583"/>
  <c r="CJ2584"/>
  <c r="CJ2585"/>
  <c r="CG2585"/>
  <c r="CJ2586"/>
  <c r="CG2586" s="1"/>
  <c r="CG2587"/>
  <c r="CJ2588"/>
  <c r="CJ2589"/>
  <c r="CG2589"/>
  <c r="CJ2590"/>
  <c r="CG2590" s="1"/>
  <c r="CG2591"/>
  <c r="CJ2592"/>
  <c r="CG2592" s="1"/>
  <c r="CJ2593"/>
  <c r="CG2593"/>
  <c r="CJ2594"/>
  <c r="CG2594" s="1"/>
  <c r="CG2595"/>
  <c r="CJ2596"/>
  <c r="CG2596" s="1"/>
  <c r="CJ2597"/>
  <c r="CG2597"/>
  <c r="CJ2598"/>
  <c r="CG2598" s="1"/>
  <c r="CG2599"/>
  <c r="CJ2600"/>
  <c r="CJ2601"/>
  <c r="CG2601"/>
  <c r="CJ2602"/>
  <c r="CG2602" s="1"/>
  <c r="CG2603"/>
  <c r="CJ2604"/>
  <c r="CJ2605"/>
  <c r="CG2605"/>
  <c r="CJ2606"/>
  <c r="CG2606" s="1"/>
  <c r="CG2607"/>
  <c r="CJ2608"/>
  <c r="CG2608" s="1"/>
  <c r="CJ2609"/>
  <c r="CG2609"/>
  <c r="CJ2610"/>
  <c r="CG2610" s="1"/>
  <c r="CG2611"/>
  <c r="CJ2612"/>
  <c r="CG2612" s="1"/>
  <c r="CJ2613"/>
  <c r="CG2613"/>
  <c r="CJ2614"/>
  <c r="CG2614" s="1"/>
  <c r="CG2615"/>
  <c r="CJ2616"/>
  <c r="CJ2617"/>
  <c r="CG2617"/>
  <c r="CJ2618"/>
  <c r="CG2618" s="1"/>
  <c r="CG2619"/>
  <c r="CJ2620"/>
  <c r="CJ2621"/>
  <c r="CG2621"/>
  <c r="CJ2622"/>
  <c r="CG2622" s="1"/>
  <c r="CG2623"/>
  <c r="CJ2624"/>
  <c r="CG2624" s="1"/>
  <c r="CJ2625"/>
  <c r="CG2625"/>
  <c r="CJ2626"/>
  <c r="CG2626" s="1"/>
  <c r="CG2627"/>
  <c r="CJ2628"/>
  <c r="CG2628" s="1"/>
  <c r="CJ2629"/>
  <c r="CG2629"/>
  <c r="CJ2630"/>
  <c r="CG2630" s="1"/>
  <c r="CG2631"/>
  <c r="CJ2632"/>
  <c r="CJ2633"/>
  <c r="CG2633"/>
  <c r="CJ2634"/>
  <c r="CG2634" s="1"/>
  <c r="CG2635"/>
  <c r="CJ2636"/>
  <c r="CJ2637"/>
  <c r="CG2637"/>
  <c r="CJ2638"/>
  <c r="CG2638" s="1"/>
  <c r="CG2639"/>
  <c r="CJ2640"/>
  <c r="CG2640" s="1"/>
  <c r="CJ2641"/>
  <c r="CG2641"/>
  <c r="CJ2642"/>
  <c r="CG2642" s="1"/>
  <c r="CG2643"/>
  <c r="CJ2644"/>
  <c r="CG2644" s="1"/>
  <c r="CJ2645"/>
  <c r="CG2645"/>
  <c r="CJ2646"/>
  <c r="CG2646" s="1"/>
  <c r="CG2647"/>
  <c r="CJ2648"/>
  <c r="CJ2649"/>
  <c r="CG2649"/>
  <c r="CJ2650"/>
  <c r="CG2650" s="1"/>
  <c r="CG2651"/>
  <c r="CJ2652"/>
  <c r="CJ2653"/>
  <c r="CG2653"/>
  <c r="CJ2654"/>
  <c r="CG2654" s="1"/>
  <c r="CG2655"/>
  <c r="CJ2656"/>
  <c r="CG2656" s="1"/>
  <c r="CJ2657"/>
  <c r="CG2657"/>
  <c r="CJ2658"/>
  <c r="CG2658" s="1"/>
  <c r="CG2659"/>
  <c r="CJ2660"/>
  <c r="CG2660" s="1"/>
  <c r="CJ2661"/>
  <c r="CG2661"/>
  <c r="CJ2662"/>
  <c r="CG2662" s="1"/>
  <c r="CG2663"/>
  <c r="CJ2664"/>
  <c r="CJ2665"/>
  <c r="CG2665"/>
  <c r="CJ2666"/>
  <c r="CG2666" s="1"/>
  <c r="CG2667"/>
  <c r="CJ2668"/>
  <c r="CJ2669"/>
  <c r="CG2669"/>
  <c r="CJ2670"/>
  <c r="CG2670" s="1"/>
  <c r="CG2671"/>
  <c r="CJ2672"/>
  <c r="CG2672" s="1"/>
  <c r="CJ2673"/>
  <c r="CG2673"/>
  <c r="CJ2674"/>
  <c r="CG2674" s="1"/>
  <c r="CG2675"/>
  <c r="CJ2676"/>
  <c r="CG2676" s="1"/>
  <c r="CJ2677"/>
  <c r="CG2677"/>
  <c r="CJ2678"/>
  <c r="CG2678" s="1"/>
  <c r="CG2679"/>
  <c r="CJ2680"/>
  <c r="CJ2681"/>
  <c r="CG2681"/>
  <c r="CJ2682"/>
  <c r="CG2682" s="1"/>
  <c r="CG2683"/>
  <c r="CJ2684"/>
  <c r="CJ2685"/>
  <c r="CG2685"/>
  <c r="CJ2686"/>
  <c r="CG2686" s="1"/>
  <c r="CG2687"/>
  <c r="CJ2688"/>
  <c r="CG2688" s="1"/>
  <c r="CJ2689"/>
  <c r="CG2689"/>
  <c r="CJ2690"/>
  <c r="CG2690" s="1"/>
  <c r="CG2691"/>
  <c r="CJ2692"/>
  <c r="CG2692" s="1"/>
  <c r="CJ2693"/>
  <c r="CG2693"/>
  <c r="CJ2694"/>
  <c r="CG2694" s="1"/>
  <c r="CG2695"/>
  <c r="CJ2696"/>
  <c r="CJ2697"/>
  <c r="CG2697"/>
  <c r="CJ2698"/>
  <c r="CG2698" s="1"/>
  <c r="CG2699"/>
  <c r="CJ2700"/>
  <c r="CJ2701"/>
  <c r="CG2701"/>
  <c r="CJ2702"/>
  <c r="CG2702" s="1"/>
  <c r="CG2703"/>
  <c r="CJ2704"/>
  <c r="CG2704" s="1"/>
  <c r="CJ2705"/>
  <c r="CG2705"/>
  <c r="CJ2706"/>
  <c r="CG2706" s="1"/>
  <c r="CG2707"/>
  <c r="CJ2708"/>
  <c r="CG2708" s="1"/>
  <c r="CJ2709"/>
  <c r="CG2709"/>
  <c r="CJ2710"/>
  <c r="CG2710" s="1"/>
  <c r="CG2711"/>
  <c r="CJ2712"/>
  <c r="CJ2713"/>
  <c r="CG2713"/>
  <c r="CJ2714"/>
  <c r="CG2714" s="1"/>
  <c r="CG2715"/>
  <c r="CJ2716"/>
  <c r="CJ2717"/>
  <c r="CG2717"/>
  <c r="CJ2718"/>
  <c r="CG2718" s="1"/>
  <c r="CG2719"/>
  <c r="CJ2720"/>
  <c r="CG2720" s="1"/>
  <c r="CJ2721"/>
  <c r="CG2721"/>
  <c r="CJ2722"/>
  <c r="CG2722" s="1"/>
  <c r="CG2723"/>
  <c r="CJ2724"/>
  <c r="CG2724" s="1"/>
  <c r="CJ2725"/>
  <c r="CG2725"/>
  <c r="CJ2726"/>
  <c r="CG2726" s="1"/>
  <c r="CG2727"/>
  <c r="CJ2728"/>
  <c r="CJ2729"/>
  <c r="CG2729"/>
  <c r="CJ2730"/>
  <c r="CG2730" s="1"/>
  <c r="CG2731"/>
  <c r="CJ2732"/>
  <c r="CJ2733"/>
  <c r="CG2733"/>
  <c r="CJ2734"/>
  <c r="CG2734" s="1"/>
  <c r="CG2735"/>
  <c r="CJ2736"/>
  <c r="CG2736" s="1"/>
  <c r="CJ2737"/>
  <c r="CG2737"/>
  <c r="CJ2738"/>
  <c r="CG2738" s="1"/>
  <c r="CG2739"/>
  <c r="CJ2740"/>
  <c r="CG2740" s="1"/>
  <c r="CJ2741"/>
  <c r="CG2741"/>
  <c r="CJ2742"/>
  <c r="CG2742" s="1"/>
  <c r="CG2743"/>
  <c r="CJ2744"/>
  <c r="CJ2745"/>
  <c r="CG2745"/>
  <c r="CJ2746"/>
  <c r="CG2746" s="1"/>
  <c r="CG2747"/>
  <c r="CJ2748"/>
  <c r="CJ2749"/>
  <c r="CG2749"/>
  <c r="CJ2750"/>
  <c r="CG2750" s="1"/>
  <c r="CG2751"/>
  <c r="CJ2752"/>
  <c r="CG2752" s="1"/>
  <c r="CJ2753"/>
  <c r="CG2753"/>
  <c r="CJ2754"/>
  <c r="CG2754" s="1"/>
  <c r="CG2755"/>
  <c r="CJ2756"/>
  <c r="CG2756" s="1"/>
  <c r="CJ2757"/>
  <c r="CG2757"/>
  <c r="CJ2758"/>
  <c r="CG2758" s="1"/>
  <c r="CG2759"/>
  <c r="CJ2760"/>
  <c r="CJ2761"/>
  <c r="CG2761"/>
  <c r="CJ2762"/>
  <c r="CG2762" s="1"/>
  <c r="CG2763"/>
  <c r="CJ2764"/>
  <c r="CJ2765"/>
  <c r="CG2765"/>
  <c r="CJ2766"/>
  <c r="CG2766" s="1"/>
  <c r="CG2767"/>
  <c r="CJ2768"/>
  <c r="CG2768" s="1"/>
  <c r="CJ2769"/>
  <c r="CG2769"/>
  <c r="CJ2770"/>
  <c r="CG2770" s="1"/>
  <c r="CG2771"/>
  <c r="CJ2772"/>
  <c r="CG2772" s="1"/>
  <c r="CJ2773"/>
  <c r="CG2773"/>
  <c r="CJ2774"/>
  <c r="CG2774" s="1"/>
  <c r="CG2775"/>
  <c r="CJ2776"/>
  <c r="CJ2777"/>
  <c r="CG2777"/>
  <c r="CJ2778"/>
  <c r="CG2778" s="1"/>
  <c r="CG2779"/>
  <c r="CJ2780"/>
  <c r="CJ2781"/>
  <c r="CG2781"/>
  <c r="CJ2782"/>
  <c r="CG2782" s="1"/>
  <c r="CG2783"/>
  <c r="CJ2784"/>
  <c r="CG2784" s="1"/>
  <c r="CJ2785"/>
  <c r="CG2785"/>
  <c r="CJ2786"/>
  <c r="CG2786" s="1"/>
  <c r="CG2787"/>
  <c r="CJ2788"/>
  <c r="CG2788" s="1"/>
  <c r="CJ2789"/>
  <c r="CG2789"/>
  <c r="CJ2790"/>
  <c r="CG2790" s="1"/>
  <c r="CG2791"/>
  <c r="CJ2792"/>
  <c r="CJ2793"/>
  <c r="CG2793"/>
  <c r="CJ2794"/>
  <c r="CG2794" s="1"/>
  <c r="CG2795"/>
  <c r="CJ2796"/>
  <c r="CJ2797"/>
  <c r="CG2797"/>
  <c r="CJ2798"/>
  <c r="CG2798" s="1"/>
  <c r="CG2799"/>
  <c r="CJ2800"/>
  <c r="CG2800" s="1"/>
  <c r="CJ2801"/>
  <c r="CG2801"/>
  <c r="CJ2802"/>
  <c r="CG2802" s="1"/>
  <c r="CG2803"/>
  <c r="CJ2804"/>
  <c r="CG2804" s="1"/>
  <c r="CJ2805"/>
  <c r="CG2805"/>
  <c r="CJ2806"/>
  <c r="CG2806" s="1"/>
  <c r="CG2807"/>
  <c r="CJ2808"/>
  <c r="CJ2809"/>
  <c r="CG2809"/>
  <c r="CJ2810"/>
  <c r="CG2810" s="1"/>
  <c r="CG2811"/>
  <c r="CJ2812"/>
  <c r="CJ2813"/>
  <c r="CG2813"/>
  <c r="CJ2814"/>
  <c r="CG2814" s="1"/>
  <c r="CG2815"/>
  <c r="CJ2816"/>
  <c r="CG2816" s="1"/>
  <c r="CJ2817"/>
  <c r="CG2817"/>
  <c r="CJ2818"/>
  <c r="CG2818" s="1"/>
  <c r="CG2819"/>
  <c r="CJ2820"/>
  <c r="CG2820" s="1"/>
  <c r="CJ2821"/>
  <c r="CG2821"/>
  <c r="CJ2822"/>
  <c r="CG2822" s="1"/>
  <c r="CG2823"/>
  <c r="CJ2824"/>
  <c r="CJ2825"/>
  <c r="CG2825"/>
  <c r="CJ2826"/>
  <c r="CG2826" s="1"/>
  <c r="CG2827"/>
  <c r="CJ2828"/>
  <c r="CJ2829"/>
  <c r="CG2829"/>
  <c r="CJ2830"/>
  <c r="CG2830" s="1"/>
  <c r="CG2831"/>
  <c r="CJ2832"/>
  <c r="CG2832" s="1"/>
  <c r="CJ2833"/>
  <c r="CG2833"/>
  <c r="CJ2834"/>
  <c r="CG2834" s="1"/>
  <c r="CG2835"/>
  <c r="CJ2836"/>
  <c r="CG2836" s="1"/>
  <c r="CJ2837"/>
  <c r="CG2837"/>
  <c r="CJ2838"/>
  <c r="CG2838" s="1"/>
  <c r="CG2839"/>
  <c r="CJ2840"/>
  <c r="CJ2841"/>
  <c r="CG2841"/>
  <c r="CJ2842"/>
  <c r="CG2842" s="1"/>
  <c r="CG2843"/>
  <c r="CJ2844"/>
  <c r="CJ2845"/>
  <c r="CG2845"/>
  <c r="CJ2846"/>
  <c r="CG2846" s="1"/>
  <c r="CG2847"/>
  <c r="CJ2848"/>
  <c r="CG2848" s="1"/>
  <c r="CJ2849"/>
  <c r="CG2849"/>
  <c r="CJ2850"/>
  <c r="CG2850" s="1"/>
  <c r="CG2851"/>
  <c r="CJ2852"/>
  <c r="CG2852" s="1"/>
  <c r="CJ2853"/>
  <c r="CG2853"/>
  <c r="CJ2854"/>
  <c r="CG2854" s="1"/>
  <c r="CG2855"/>
  <c r="CJ2856"/>
  <c r="CJ2857"/>
  <c r="CG2857"/>
  <c r="CJ2858"/>
  <c r="CG2858" s="1"/>
  <c r="CG2859"/>
  <c r="CJ2860"/>
  <c r="CJ2861"/>
  <c r="CG2861"/>
  <c r="CJ2862"/>
  <c r="CG2862" s="1"/>
  <c r="CG2863"/>
  <c r="CJ2864"/>
  <c r="CG2864" s="1"/>
  <c r="CJ2865"/>
  <c r="CG2865"/>
  <c r="CJ2866"/>
  <c r="CG2866" s="1"/>
  <c r="CG2867"/>
  <c r="CJ2868"/>
  <c r="CG2868" s="1"/>
  <c r="CJ2869"/>
  <c r="CG2869"/>
  <c r="CJ2870"/>
  <c r="CG2870" s="1"/>
  <c r="CG2871"/>
  <c r="CJ2872"/>
  <c r="CJ2873"/>
  <c r="CG2873"/>
  <c r="CJ2874"/>
  <c r="CG2874" s="1"/>
  <c r="CG2875"/>
  <c r="CJ2876"/>
  <c r="CJ2877"/>
  <c r="CG2877"/>
  <c r="CJ2878"/>
  <c r="CG2878" s="1"/>
  <c r="CG2879"/>
  <c r="CJ2880"/>
  <c r="CG2880" s="1"/>
  <c r="CJ2881"/>
  <c r="CG2881"/>
  <c r="CJ2882"/>
  <c r="CG2882" s="1"/>
  <c r="CG2883"/>
  <c r="CJ2884"/>
  <c r="CG2884" s="1"/>
  <c r="CJ2885"/>
  <c r="CG2885"/>
  <c r="CJ2886"/>
  <c r="CG2886" s="1"/>
  <c r="CG2887"/>
  <c r="CJ2888"/>
  <c r="CJ2889"/>
  <c r="CG2889"/>
  <c r="CJ2890"/>
  <c r="CG2890" s="1"/>
  <c r="CG2891"/>
  <c r="CJ2892"/>
  <c r="CJ2893"/>
  <c r="CG2893"/>
  <c r="CJ2894"/>
  <c r="CG2894" s="1"/>
  <c r="CG2895"/>
  <c r="CJ2896"/>
  <c r="CG2896" s="1"/>
  <c r="CJ2897"/>
  <c r="CG2897"/>
  <c r="CJ2898"/>
  <c r="CG2898" s="1"/>
  <c r="CG2899"/>
  <c r="CJ2900"/>
  <c r="CG2900" s="1"/>
  <c r="CJ2901"/>
  <c r="CG2901"/>
  <c r="CJ2902"/>
  <c r="CG2902" s="1"/>
  <c r="CG2903"/>
  <c r="CJ2904"/>
  <c r="CJ2905"/>
  <c r="CG2905"/>
  <c r="CJ2906"/>
  <c r="CG2906" s="1"/>
  <c r="CG2907"/>
  <c r="CJ2908"/>
  <c r="CJ2909"/>
  <c r="CG2909"/>
  <c r="CJ2910"/>
  <c r="CG2910" s="1"/>
  <c r="CG2911"/>
  <c r="CJ2912"/>
  <c r="CG2912" s="1"/>
  <c r="CJ2913"/>
  <c r="CG2913"/>
  <c r="CJ2914"/>
  <c r="CG2914" s="1"/>
  <c r="CG2915"/>
  <c r="CJ2916"/>
  <c r="CG2916" s="1"/>
  <c r="CJ2917"/>
  <c r="CG2917"/>
  <c r="CJ2918"/>
  <c r="CG2918" s="1"/>
  <c r="CG2919"/>
  <c r="CJ2920"/>
  <c r="CJ2921"/>
  <c r="CG2921"/>
  <c r="CJ2922"/>
  <c r="CG2922" s="1"/>
  <c r="CG2923"/>
  <c r="CJ2924"/>
  <c r="CJ2925"/>
  <c r="CG2925"/>
  <c r="CJ2926"/>
  <c r="CG2926" s="1"/>
  <c r="CG2927"/>
  <c r="CJ2928"/>
  <c r="CG2928" s="1"/>
  <c r="CJ2929"/>
  <c r="CG2929"/>
  <c r="CJ2930"/>
  <c r="CG2930" s="1"/>
  <c r="CG2931"/>
  <c r="CJ2932"/>
  <c r="CG2932" s="1"/>
  <c r="CJ2933"/>
  <c r="CG2933"/>
  <c r="CJ2934"/>
  <c r="CG2934" s="1"/>
  <c r="CG2935"/>
  <c r="CJ2936"/>
  <c r="CJ2937"/>
  <c r="CG2937"/>
  <c r="CJ2938"/>
  <c r="CG2938" s="1"/>
  <c r="CG2939"/>
  <c r="CJ2940"/>
  <c r="CJ2941"/>
  <c r="CG2941"/>
  <c r="CJ2942"/>
  <c r="CG2942" s="1"/>
  <c r="CG2943"/>
  <c r="CJ2944"/>
  <c r="CG2944" s="1"/>
  <c r="CJ2945"/>
  <c r="CG2945"/>
  <c r="CJ2946"/>
  <c r="CG2946" s="1"/>
  <c r="CG2947"/>
  <c r="CJ2948"/>
  <c r="CG2948" s="1"/>
  <c r="CJ2949"/>
  <c r="CG2949"/>
  <c r="CJ2950"/>
  <c r="CG2950" s="1"/>
  <c r="CG2951"/>
  <c r="CJ2952"/>
  <c r="CJ2953"/>
  <c r="CG2953"/>
  <c r="CJ2954"/>
  <c r="CG2954" s="1"/>
  <c r="CG2955"/>
  <c r="CJ2956"/>
  <c r="CJ2957"/>
  <c r="CG2957"/>
  <c r="CJ2958"/>
  <c r="CG2958" s="1"/>
  <c r="CG2959"/>
  <c r="CJ2960"/>
  <c r="CG2960" s="1"/>
  <c r="CJ2961"/>
  <c r="CG2961"/>
  <c r="CJ2962"/>
  <c r="CG2962" s="1"/>
  <c r="CG2963"/>
  <c r="CJ2964"/>
  <c r="CG2964" s="1"/>
  <c r="CJ2965"/>
  <c r="CG2965"/>
  <c r="CJ2966"/>
  <c r="CG2966" s="1"/>
  <c r="CG2967"/>
  <c r="CJ2968"/>
  <c r="CJ2969"/>
  <c r="CG2969"/>
  <c r="CJ2970"/>
  <c r="CG2970" s="1"/>
  <c r="CG2971"/>
  <c r="CJ2972"/>
  <c r="CJ2973"/>
  <c r="CG2973"/>
  <c r="CJ2974"/>
  <c r="CG2974" s="1"/>
  <c r="CG2975"/>
  <c r="CJ2976"/>
  <c r="CG2976" s="1"/>
  <c r="CJ2977"/>
  <c r="CG2977"/>
  <c r="CJ2978"/>
  <c r="CG2978" s="1"/>
  <c r="CG2979"/>
  <c r="CJ2980"/>
  <c r="CG2980" s="1"/>
  <c r="CJ2981"/>
  <c r="CG2981"/>
  <c r="CJ2982"/>
  <c r="CG2982" s="1"/>
  <c r="CG2983"/>
  <c r="CJ2984"/>
  <c r="CJ2985"/>
  <c r="CG2985"/>
  <c r="CJ2986"/>
  <c r="CG2986" s="1"/>
  <c r="CG2987"/>
  <c r="CJ2988"/>
  <c r="CJ2989"/>
  <c r="CG2989"/>
  <c r="CJ2990"/>
  <c r="CG2990" s="1"/>
  <c r="CG2991"/>
  <c r="CJ2992"/>
  <c r="CG2992" s="1"/>
  <c r="CJ2993"/>
  <c r="CG2993"/>
  <c r="CJ2994"/>
  <c r="CG2994" s="1"/>
  <c r="CG2995"/>
  <c r="CJ2996"/>
  <c r="CG2996" s="1"/>
  <c r="CJ2997"/>
  <c r="CG2997"/>
  <c r="CJ2998"/>
  <c r="CG2998" s="1"/>
  <c r="CG2999"/>
  <c r="CJ3000"/>
  <c r="CJ3001"/>
  <c r="CG3001"/>
  <c r="CJ3002"/>
  <c r="CG3002" s="1"/>
  <c r="CG3003"/>
  <c r="CJ3004"/>
  <c r="CJ3005"/>
  <c r="CG3005"/>
  <c r="CJ3006"/>
  <c r="CG3006" s="1"/>
  <c r="CG3007"/>
  <c r="CJ3008"/>
  <c r="CG3008" s="1"/>
  <c r="CJ3009"/>
  <c r="CG3009"/>
  <c r="CJ3010"/>
  <c r="CG3010" s="1"/>
  <c r="CG3011"/>
  <c r="CJ3012"/>
  <c r="CG3012" s="1"/>
  <c r="CJ3013"/>
  <c r="CG3013"/>
  <c r="CJ3014"/>
  <c r="CG3014" s="1"/>
  <c r="CG3015"/>
  <c r="CJ3016"/>
  <c r="CJ3017"/>
  <c r="CG3017"/>
  <c r="CJ3018"/>
  <c r="CG3018" s="1"/>
  <c r="CG3019"/>
  <c r="CJ3020"/>
  <c r="CJ3021"/>
  <c r="CG3021"/>
  <c r="CJ3022"/>
  <c r="CG3022" s="1"/>
  <c r="CG3023"/>
  <c r="CJ3024"/>
  <c r="CG3024" s="1"/>
  <c r="CJ3025"/>
  <c r="CG3025"/>
  <c r="CJ3026"/>
  <c r="CG3026" s="1"/>
  <c r="CG3027"/>
  <c r="CJ3028"/>
  <c r="CG3028" s="1"/>
  <c r="CJ3029"/>
  <c r="CG3029"/>
  <c r="CJ3030"/>
  <c r="CG3030" s="1"/>
  <c r="CG3031"/>
  <c r="CJ3032"/>
  <c r="CJ3033"/>
  <c r="CG3033"/>
  <c r="CJ3034"/>
  <c r="CG3034" s="1"/>
  <c r="CG3035"/>
  <c r="CJ3036"/>
  <c r="CJ3037"/>
  <c r="CG3037"/>
  <c r="CJ3038"/>
  <c r="CG3038" s="1"/>
  <c r="CG3039"/>
  <c r="CJ3040"/>
  <c r="CG3040" s="1"/>
  <c r="CJ3041"/>
  <c r="CG3041"/>
  <c r="CJ3042"/>
  <c r="CG3042" s="1"/>
  <c r="CG3043"/>
  <c r="CJ3044"/>
  <c r="CG3044" s="1"/>
  <c r="CJ3045"/>
  <c r="CG3045"/>
  <c r="CJ3046"/>
  <c r="CG3046" s="1"/>
  <c r="CG3047"/>
  <c r="CJ3048"/>
  <c r="CJ3049"/>
  <c r="CG3049"/>
  <c r="CJ3050"/>
  <c r="CG3050" s="1"/>
  <c r="CG3051"/>
  <c r="CJ3052"/>
  <c r="CJ3053"/>
  <c r="CG3053"/>
  <c r="CJ3054"/>
  <c r="CG3054" s="1"/>
  <c r="CG3055"/>
  <c r="CJ3056"/>
  <c r="CG3056" s="1"/>
  <c r="CJ3057"/>
  <c r="CG3057"/>
  <c r="CJ3058"/>
  <c r="CG3058" s="1"/>
  <c r="CG3059"/>
  <c r="CJ3060"/>
  <c r="CG3060" s="1"/>
  <c r="CJ3061"/>
  <c r="CG3061"/>
  <c r="CJ3062"/>
  <c r="CG3062" s="1"/>
  <c r="CG3063"/>
  <c r="CJ3064"/>
  <c r="CJ3065"/>
  <c r="CG3065"/>
  <c r="CJ3066"/>
  <c r="CG3066" s="1"/>
  <c r="CG3067"/>
  <c r="CJ3068"/>
  <c r="CJ3069"/>
  <c r="CG3069"/>
  <c r="CJ3070"/>
  <c r="CG3070" s="1"/>
  <c r="CG3071"/>
  <c r="CJ3072"/>
  <c r="CG3072" s="1"/>
  <c r="CJ3073"/>
  <c r="CG3073"/>
  <c r="CJ3074"/>
  <c r="CG3074" s="1"/>
  <c r="CG3075"/>
  <c r="CJ3076"/>
  <c r="CG3076" s="1"/>
  <c r="CJ3077"/>
  <c r="CG3077"/>
  <c r="CJ3078"/>
  <c r="CG3078" s="1"/>
  <c r="CG3079"/>
  <c r="CJ3080"/>
  <c r="CJ3081"/>
  <c r="CG3081"/>
  <c r="CJ3082"/>
  <c r="CG3082" s="1"/>
  <c r="CG3083"/>
  <c r="CJ3084"/>
  <c r="CJ3085"/>
  <c r="CG3085"/>
  <c r="CJ3086"/>
  <c r="CG3086" s="1"/>
  <c r="CG3087"/>
  <c r="CJ3088"/>
  <c r="CG3088" s="1"/>
  <c r="CJ3089"/>
  <c r="CG3089"/>
  <c r="CJ3090"/>
  <c r="CG3090" s="1"/>
  <c r="CG3091"/>
  <c r="CJ3092"/>
  <c r="CG3092" s="1"/>
  <c r="CJ3093"/>
  <c r="CG3093"/>
  <c r="CJ3094"/>
  <c r="CG3094" s="1"/>
  <c r="CG3095"/>
  <c r="CJ3096"/>
  <c r="CJ3097"/>
  <c r="CG3097"/>
  <c r="CJ3098"/>
  <c r="CG3098" s="1"/>
  <c r="CG3099"/>
  <c r="CJ3100"/>
  <c r="CJ3101"/>
  <c r="CG3101"/>
  <c r="CJ3102"/>
  <c r="CG3102" s="1"/>
  <c r="CG3103"/>
  <c r="CJ3104"/>
  <c r="CG3104" s="1"/>
  <c r="CJ3105"/>
  <c r="CG3105"/>
  <c r="CJ3106"/>
  <c r="CG3106" s="1"/>
  <c r="CG3107"/>
  <c r="CJ3108"/>
  <c r="CG3108" s="1"/>
  <c r="CJ3109"/>
  <c r="CG3109"/>
  <c r="CJ3110"/>
  <c r="CG3110" s="1"/>
  <c r="CG3111"/>
  <c r="CJ3112"/>
  <c r="CJ3113"/>
  <c r="CG3113"/>
  <c r="CJ3114"/>
  <c r="CG3114" s="1"/>
  <c r="CG3115"/>
  <c r="CJ3116"/>
  <c r="CJ3117"/>
  <c r="CG3117"/>
  <c r="CJ3118"/>
  <c r="CG3118" s="1"/>
  <c r="CG3119"/>
  <c r="CJ3120"/>
  <c r="CG3120" s="1"/>
  <c r="CJ3121"/>
  <c r="CG3121"/>
  <c r="CJ3122"/>
  <c r="CG3122" s="1"/>
  <c r="CG3123"/>
  <c r="CJ3124"/>
  <c r="CG3124" s="1"/>
  <c r="CJ3125"/>
  <c r="CG3125"/>
  <c r="CJ3126"/>
  <c r="CG3126" s="1"/>
  <c r="CG3127"/>
  <c r="CJ3128"/>
  <c r="CJ3129"/>
  <c r="CG3129"/>
  <c r="CJ3130"/>
  <c r="CG3130" s="1"/>
  <c r="CG3131"/>
  <c r="CJ3132"/>
  <c r="CJ3133"/>
  <c r="CG3133"/>
  <c r="CJ3134"/>
  <c r="CG3134" s="1"/>
  <c r="CG3135"/>
  <c r="CJ3136"/>
  <c r="CG3136" s="1"/>
  <c r="CJ3137"/>
  <c r="CG3137"/>
  <c r="CJ3138"/>
  <c r="CG3138" s="1"/>
  <c r="CG3139"/>
  <c r="CJ3140"/>
  <c r="CG3140" s="1"/>
  <c r="CJ3141"/>
  <c r="CG3141"/>
  <c r="CJ3142"/>
  <c r="CG3142" s="1"/>
  <c r="CG3143"/>
  <c r="CJ3144"/>
  <c r="CJ3145"/>
  <c r="CG3145"/>
  <c r="CJ3146"/>
  <c r="CG3146" s="1"/>
  <c r="CG3147"/>
  <c r="CJ3148"/>
  <c r="CJ3149"/>
  <c r="CG3149"/>
  <c r="CJ3150"/>
  <c r="CG3150" s="1"/>
  <c r="CG3151"/>
  <c r="CJ3152"/>
  <c r="CG3152" s="1"/>
  <c r="CJ3153"/>
  <c r="CG3153"/>
  <c r="CJ3154"/>
  <c r="CG3154" s="1"/>
  <c r="CG3155"/>
  <c r="CJ3156"/>
  <c r="CG3156" s="1"/>
  <c r="CJ3157"/>
  <c r="CG3157"/>
  <c r="CJ3158"/>
  <c r="CG3158" s="1"/>
  <c r="CG3159"/>
  <c r="CJ3160"/>
  <c r="CJ3161"/>
  <c r="CG3161"/>
  <c r="CJ3162"/>
  <c r="CG3162" s="1"/>
  <c r="CG3163"/>
  <c r="CJ3164"/>
  <c r="CJ3165"/>
  <c r="CG3165"/>
  <c r="CJ3166"/>
  <c r="CG3166" s="1"/>
  <c r="CG3167"/>
  <c r="CJ3168"/>
  <c r="CG3168" s="1"/>
  <c r="CJ3169"/>
  <c r="CG3169"/>
  <c r="CJ3170"/>
  <c r="CG3170" s="1"/>
  <c r="CG3171"/>
  <c r="CJ3172"/>
  <c r="CG3172" s="1"/>
  <c r="CJ3173"/>
  <c r="CG3173"/>
  <c r="CJ3174"/>
  <c r="CG3174" s="1"/>
  <c r="CG3175"/>
  <c r="CJ3176"/>
  <c r="CJ3177"/>
  <c r="CG3177"/>
  <c r="CJ3178"/>
  <c r="CG3178" s="1"/>
  <c r="CG3179"/>
  <c r="CJ3180"/>
  <c r="CJ3181"/>
  <c r="CG3181"/>
  <c r="CJ3182"/>
  <c r="CG3182" s="1"/>
  <c r="CG3183"/>
  <c r="CJ3184"/>
  <c r="CG3184" s="1"/>
  <c r="CJ3185"/>
  <c r="CG3185"/>
  <c r="CJ3186"/>
  <c r="CG3186" s="1"/>
  <c r="CG3187"/>
  <c r="CJ3188"/>
  <c r="CG3188" s="1"/>
  <c r="CJ3189"/>
  <c r="CG3189"/>
  <c r="CJ3190"/>
  <c r="CG3190" s="1"/>
  <c r="CG3191"/>
  <c r="CJ3192"/>
  <c r="CJ3193"/>
  <c r="CG3193"/>
  <c r="CJ3194"/>
  <c r="CG3194" s="1"/>
  <c r="CG3195"/>
  <c r="CJ3196"/>
  <c r="CJ3197"/>
  <c r="CG3197"/>
  <c r="CJ3198"/>
  <c r="CG3198" s="1"/>
  <c r="CG3199"/>
  <c r="CJ3200"/>
  <c r="CG3200" s="1"/>
  <c r="CJ3201"/>
  <c r="CG3201"/>
  <c r="CJ3202"/>
  <c r="CG3202" s="1"/>
  <c r="CG3203"/>
  <c r="CJ3204"/>
  <c r="CG3204" s="1"/>
  <c r="CJ3205"/>
  <c r="CG3205"/>
  <c r="CJ3206"/>
  <c r="CG3206" s="1"/>
  <c r="CG3207"/>
  <c r="CJ3208"/>
  <c r="CJ3209"/>
  <c r="CG3209"/>
  <c r="CJ3210"/>
  <c r="CG3210" s="1"/>
  <c r="CG3211"/>
  <c r="CJ3212"/>
  <c r="CJ3213"/>
  <c r="CG3213"/>
  <c r="CJ3214"/>
  <c r="CG3214" s="1"/>
  <c r="CG3215"/>
  <c r="CJ3216"/>
  <c r="CG3216" s="1"/>
  <c r="CJ3217"/>
  <c r="CG3217"/>
  <c r="CJ3218"/>
  <c r="CG3218" s="1"/>
  <c r="CG3219"/>
  <c r="CJ3220"/>
  <c r="CG3220" s="1"/>
  <c r="CJ3221"/>
  <c r="CG3221"/>
  <c r="CJ3222"/>
  <c r="CG3222" s="1"/>
  <c r="CG3223"/>
  <c r="CJ3224"/>
  <c r="CJ3225"/>
  <c r="CG3225"/>
  <c r="CJ3226"/>
  <c r="CG3226" s="1"/>
  <c r="CG3227"/>
  <c r="CJ3228"/>
  <c r="CJ3229"/>
  <c r="CG3229"/>
  <c r="CJ3230"/>
  <c r="CG3230" s="1"/>
  <c r="CG3231"/>
  <c r="CJ3232"/>
  <c r="CG3232" s="1"/>
  <c r="CJ3233"/>
  <c r="CG3233"/>
  <c r="CJ3234"/>
  <c r="CG3234" s="1"/>
  <c r="CG3235"/>
  <c r="CJ3236"/>
  <c r="CG3236" s="1"/>
  <c r="CJ3237"/>
  <c r="CG3237"/>
  <c r="CJ3238"/>
  <c r="CG3238" s="1"/>
  <c r="CG3239"/>
  <c r="CJ3240"/>
  <c r="CJ3241"/>
  <c r="CG3241"/>
  <c r="CJ3242"/>
  <c r="CG3242" s="1"/>
  <c r="CG3243"/>
  <c r="CJ3244"/>
  <c r="CJ3245"/>
  <c r="CG3245"/>
  <c r="CJ3246"/>
  <c r="CG3246" s="1"/>
  <c r="CG3247"/>
  <c r="CJ3248"/>
  <c r="CG3248" s="1"/>
  <c r="CJ3249"/>
  <c r="CG3249"/>
  <c r="CJ3250"/>
  <c r="CG3250" s="1"/>
  <c r="CG3251"/>
  <c r="CJ3252"/>
  <c r="CG3252" s="1"/>
  <c r="CJ3253"/>
  <c r="CG3253"/>
  <c r="CJ3254"/>
  <c r="CG3254" s="1"/>
  <c r="CG3255"/>
  <c r="CJ3256"/>
  <c r="CJ3257"/>
  <c r="CG3257"/>
  <c r="CJ3258"/>
  <c r="CG3258" s="1"/>
  <c r="CG3259"/>
  <c r="CJ3260"/>
  <c r="CJ3261"/>
  <c r="CG3261"/>
  <c r="CJ3262"/>
  <c r="CG3262" s="1"/>
  <c r="CG3263"/>
  <c r="CJ3264"/>
  <c r="CG3264" s="1"/>
  <c r="CJ3265"/>
  <c r="CG3265"/>
  <c r="CJ3266"/>
  <c r="CG3266" s="1"/>
  <c r="CG3267"/>
  <c r="CJ3268"/>
  <c r="CG3268" s="1"/>
  <c r="CJ3269"/>
  <c r="CG3269"/>
  <c r="CJ3270"/>
  <c r="CG3270" s="1"/>
  <c r="CG3271"/>
  <c r="CJ3272"/>
  <c r="CJ3273"/>
  <c r="CG3273"/>
  <c r="CJ3274"/>
  <c r="CG3274" s="1"/>
  <c r="CG3275"/>
  <c r="CJ3276"/>
  <c r="CJ3277"/>
  <c r="CG3277"/>
  <c r="CJ3278"/>
  <c r="CG3278" s="1"/>
  <c r="CG3279"/>
  <c r="CJ3280"/>
  <c r="CG3280" s="1"/>
  <c r="CJ3281"/>
  <c r="CG3281"/>
  <c r="CJ3282"/>
  <c r="CG3282" s="1"/>
  <c r="CG3283"/>
  <c r="CJ3284"/>
  <c r="CG3284" s="1"/>
  <c r="CJ3285"/>
  <c r="CG3285"/>
  <c r="CJ3286"/>
  <c r="CG3286" s="1"/>
  <c r="CG3287"/>
  <c r="CJ3288"/>
  <c r="CJ3289"/>
  <c r="CG3289"/>
  <c r="CJ3290"/>
  <c r="CG3290" s="1"/>
  <c r="CG3291"/>
  <c r="CJ3292"/>
  <c r="CJ3293"/>
  <c r="CG3293"/>
  <c r="CJ3294"/>
  <c r="CG3294" s="1"/>
  <c r="CG3295"/>
  <c r="CJ3296"/>
  <c r="CG3296" s="1"/>
  <c r="CJ3297"/>
  <c r="CG3297"/>
  <c r="CJ3298"/>
  <c r="CG3298" s="1"/>
  <c r="CG3299"/>
  <c r="CJ3300"/>
  <c r="CG3300" s="1"/>
  <c r="CJ3301"/>
  <c r="CG3301"/>
  <c r="CJ3302"/>
  <c r="CG3302" s="1"/>
  <c r="CG3303"/>
  <c r="CJ3304"/>
  <c r="CJ3305"/>
  <c r="CG3305"/>
  <c r="CJ3306"/>
  <c r="CG3306" s="1"/>
  <c r="CG3307"/>
  <c r="CJ3308"/>
  <c r="CJ3309"/>
  <c r="CG3309"/>
  <c r="CJ3310"/>
  <c r="CG3310" s="1"/>
  <c r="CG3311"/>
  <c r="CJ3312"/>
  <c r="CG3312" s="1"/>
  <c r="CJ3313"/>
  <c r="CG3313"/>
  <c r="CJ3314"/>
  <c r="CG3314" s="1"/>
  <c r="CG3315"/>
  <c r="CJ3316"/>
  <c r="CG3316" s="1"/>
  <c r="CJ3317"/>
  <c r="CG3317"/>
  <c r="CJ3318"/>
  <c r="CG3318" s="1"/>
  <c r="CG3319"/>
  <c r="CJ3320"/>
  <c r="CJ3321"/>
  <c r="CG3321"/>
  <c r="CJ3322"/>
  <c r="CG3322" s="1"/>
  <c r="CG3323"/>
  <c r="CJ3324"/>
  <c r="CJ3325"/>
  <c r="CG3325"/>
  <c r="CJ3326"/>
  <c r="CG3326" s="1"/>
  <c r="CG3327"/>
  <c r="CJ3328"/>
  <c r="CG3328" s="1"/>
  <c r="CJ3329"/>
  <c r="CG3329"/>
  <c r="CJ3330"/>
  <c r="CG3330" s="1"/>
  <c r="CG3331"/>
  <c r="CJ3332"/>
  <c r="CG3332" s="1"/>
  <c r="CJ3333"/>
  <c r="CG3333"/>
  <c r="CJ3334"/>
  <c r="CG3334" s="1"/>
  <c r="CG3335"/>
  <c r="CJ3336"/>
  <c r="CJ3337"/>
  <c r="CG3337"/>
  <c r="CJ3338"/>
  <c r="CG3338" s="1"/>
  <c r="CG3339"/>
  <c r="CJ3340"/>
  <c r="CJ3341"/>
  <c r="CG3341"/>
  <c r="CJ3342"/>
  <c r="CG3342" s="1"/>
  <c r="CG3343"/>
  <c r="CJ3344"/>
  <c r="CG3344" s="1"/>
  <c r="CJ3345"/>
  <c r="CG3345"/>
  <c r="CJ3346"/>
  <c r="CG3346" s="1"/>
  <c r="CG3347"/>
  <c r="CJ3348"/>
  <c r="CG3348" s="1"/>
  <c r="CJ3349"/>
  <c r="CG3349"/>
  <c r="CJ3350"/>
  <c r="CG3350" s="1"/>
  <c r="CG3351"/>
  <c r="CJ3352"/>
  <c r="CJ3353"/>
  <c r="CG3353"/>
  <c r="CJ3354"/>
  <c r="CG3354" s="1"/>
  <c r="CG3355"/>
  <c r="CJ3356"/>
  <c r="CJ3357"/>
  <c r="CG3357"/>
  <c r="CJ3358"/>
  <c r="CG3358" s="1"/>
  <c r="CG3359"/>
  <c r="CJ3360"/>
  <c r="CG3360" s="1"/>
  <c r="CJ3361"/>
  <c r="CG3361"/>
  <c r="CJ3362"/>
  <c r="CG3362" s="1"/>
  <c r="CG3363"/>
  <c r="CJ3364"/>
  <c r="CG3364" s="1"/>
  <c r="CJ3365"/>
  <c r="CG3365"/>
  <c r="CJ3366"/>
  <c r="CG3366" s="1"/>
  <c r="CG3367"/>
  <c r="CJ3368"/>
  <c r="CJ3369"/>
  <c r="CG3369"/>
  <c r="CJ3370"/>
  <c r="CG3370" s="1"/>
  <c r="CG3371"/>
  <c r="CJ3372"/>
  <c r="CJ3373"/>
  <c r="CG3373"/>
  <c r="CJ3374"/>
  <c r="CG3374" s="1"/>
  <c r="CG3375"/>
  <c r="CJ3376"/>
  <c r="CG3376" s="1"/>
  <c r="CJ3377"/>
  <c r="CG3377"/>
  <c r="CJ3378"/>
  <c r="CG3378" s="1"/>
  <c r="CG3379"/>
  <c r="CJ3380"/>
  <c r="CG3380" s="1"/>
  <c r="CJ3381"/>
  <c r="CG3381"/>
  <c r="CJ3382"/>
  <c r="CG3382" s="1"/>
  <c r="CG3383"/>
  <c r="CJ3384"/>
  <c r="CJ3385"/>
  <c r="CG3385"/>
  <c r="CJ3386"/>
  <c r="CG3386" s="1"/>
  <c r="CG3387"/>
  <c r="CJ3388"/>
  <c r="CJ3389"/>
  <c r="CG3389"/>
  <c r="CJ3390"/>
  <c r="CG3390" s="1"/>
  <c r="CG3391"/>
  <c r="CJ3392"/>
  <c r="CG3392" s="1"/>
  <c r="CJ3393"/>
  <c r="CG3393"/>
  <c r="CJ3394"/>
  <c r="CG3394" s="1"/>
  <c r="CG3395"/>
  <c r="CJ3396"/>
  <c r="CG3396" s="1"/>
  <c r="CJ3397"/>
  <c r="CG3397"/>
  <c r="CJ3398"/>
  <c r="CG3398" s="1"/>
  <c r="CG3399"/>
  <c r="CJ3400"/>
  <c r="CJ3401"/>
  <c r="CG3401"/>
  <c r="CJ3402"/>
  <c r="CG3402" s="1"/>
  <c r="CG3403"/>
  <c r="CJ3404"/>
  <c r="CJ3405"/>
  <c r="CG3405"/>
  <c r="CJ3406"/>
  <c r="CG3406" s="1"/>
  <c r="CG3407"/>
  <c r="CJ3408"/>
  <c r="CG3408" s="1"/>
  <c r="CJ3409"/>
  <c r="CG3409"/>
  <c r="CJ3410"/>
  <c r="CG3410" s="1"/>
  <c r="CG3411"/>
  <c r="CJ3412"/>
  <c r="CG3412" s="1"/>
  <c r="CJ3413"/>
  <c r="CG3413"/>
  <c r="CJ3414"/>
  <c r="CG3414" s="1"/>
  <c r="CG3415"/>
  <c r="CJ3416"/>
  <c r="CJ3417"/>
  <c r="CG3417"/>
  <c r="CJ3418"/>
  <c r="CG3418" s="1"/>
  <c r="CG3419"/>
  <c r="CJ3420"/>
  <c r="CJ3421"/>
  <c r="CG3421"/>
  <c r="CJ3422"/>
  <c r="CG3422" s="1"/>
  <c r="CG3423"/>
  <c r="CJ3424"/>
  <c r="CG3424" s="1"/>
  <c r="CJ3425"/>
  <c r="CG3425"/>
  <c r="CJ3426"/>
  <c r="CG3426" s="1"/>
  <c r="CG3427"/>
  <c r="CJ3428"/>
  <c r="CG3428" s="1"/>
  <c r="CJ3429"/>
  <c r="CG3429"/>
  <c r="CJ3430"/>
  <c r="CG3430" s="1"/>
  <c r="CG3431"/>
  <c r="CJ3432"/>
  <c r="CJ3433"/>
  <c r="CG3433"/>
  <c r="CJ3434"/>
  <c r="CG3434" s="1"/>
  <c r="CG3435"/>
  <c r="CJ3436"/>
  <c r="CJ3437"/>
  <c r="CG3437"/>
  <c r="CJ3438"/>
  <c r="CG3438" s="1"/>
  <c r="CG3439"/>
  <c r="CJ3440"/>
  <c r="CG3440" s="1"/>
  <c r="CJ3441"/>
  <c r="CG3441"/>
  <c r="CJ3442"/>
  <c r="CG3442" s="1"/>
  <c r="CG3443"/>
  <c r="CJ3444"/>
  <c r="CG3444" s="1"/>
  <c r="CJ3445"/>
  <c r="CG3445"/>
  <c r="CJ3446"/>
  <c r="CG3446" s="1"/>
  <c r="CG3447"/>
  <c r="CJ3448"/>
  <c r="CJ3449"/>
  <c r="CG3449"/>
  <c r="CJ3450"/>
  <c r="CG3450" s="1"/>
  <c r="CG3451"/>
  <c r="CJ3452"/>
  <c r="CJ3453"/>
  <c r="CG3453"/>
  <c r="CJ3454"/>
  <c r="CG3454" s="1"/>
  <c r="CG3455"/>
  <c r="CJ3456"/>
  <c r="CG3456" s="1"/>
  <c r="CJ3457"/>
  <c r="CG3457"/>
  <c r="CJ3458"/>
  <c r="CG3458" s="1"/>
  <c r="CG3459"/>
  <c r="CJ3460"/>
  <c r="CG3460" s="1"/>
  <c r="CJ3461"/>
  <c r="CG3461"/>
  <c r="CJ3462"/>
  <c r="CG3462" s="1"/>
  <c r="CG3463"/>
  <c r="CJ3464"/>
  <c r="CJ3465"/>
  <c r="CG3465"/>
  <c r="CJ3466"/>
  <c r="CG3466" s="1"/>
  <c r="CG3467"/>
  <c r="CJ3468"/>
  <c r="CJ3469"/>
  <c r="CG3469"/>
  <c r="CJ3470"/>
  <c r="CG3470" s="1"/>
  <c r="CG3471"/>
  <c r="CJ3472"/>
  <c r="CG3472" s="1"/>
  <c r="CJ3473"/>
  <c r="CG3473"/>
  <c r="CJ3474"/>
  <c r="CG3474" s="1"/>
  <c r="CG3475"/>
  <c r="CJ3476"/>
  <c r="CG3476" s="1"/>
  <c r="CJ3477"/>
  <c r="CG3477"/>
  <c r="CJ3478"/>
  <c r="CG3478" s="1"/>
  <c r="CG3479"/>
  <c r="CJ3480"/>
  <c r="CJ3481"/>
  <c r="CG3481"/>
  <c r="CJ3482"/>
  <c r="CG3482" s="1"/>
  <c r="CG3483"/>
  <c r="CJ3484"/>
  <c r="CJ3485"/>
  <c r="CG3485"/>
  <c r="CJ3486"/>
  <c r="CG3486" s="1"/>
  <c r="CG3487"/>
  <c r="CJ3488"/>
  <c r="CG3488" s="1"/>
  <c r="CJ3489"/>
  <c r="CG3489"/>
  <c r="CJ3490"/>
  <c r="CG3490" s="1"/>
  <c r="CG3491"/>
  <c r="CJ3492"/>
  <c r="CG3492" s="1"/>
  <c r="CJ3493"/>
  <c r="CG3493"/>
  <c r="CJ3494"/>
  <c r="CG3494" s="1"/>
  <c r="CG3495"/>
  <c r="CJ3496"/>
  <c r="CJ3497"/>
  <c r="CG3497"/>
  <c r="CJ3498"/>
  <c r="CG3498" s="1"/>
  <c r="CG3499"/>
  <c r="CJ3500"/>
  <c r="CJ3501"/>
  <c r="CG3501"/>
  <c r="CJ3502"/>
  <c r="CG3502" s="1"/>
  <c r="CG3503"/>
  <c r="CJ3504"/>
  <c r="CG3504" s="1"/>
  <c r="CJ3505"/>
  <c r="CG3505"/>
  <c r="CJ3506"/>
  <c r="CG3506" s="1"/>
  <c r="CG3507"/>
  <c r="CJ3508"/>
  <c r="CG3508" s="1"/>
  <c r="CJ3509"/>
  <c r="CG3509"/>
  <c r="CJ3510"/>
  <c r="CG3510" s="1"/>
  <c r="CG3511"/>
  <c r="CJ3512"/>
  <c r="CJ3513"/>
  <c r="CG3513"/>
  <c r="CJ3514"/>
  <c r="CG3514" s="1"/>
  <c r="CG3515"/>
  <c r="CJ3516"/>
  <c r="CJ3517"/>
  <c r="CG3517"/>
  <c r="CJ3518"/>
  <c r="CG3518" s="1"/>
  <c r="CG3519"/>
  <c r="CJ3520"/>
  <c r="CG3520" s="1"/>
  <c r="CJ3521"/>
  <c r="CG3521"/>
  <c r="CJ3522"/>
  <c r="CG3522" s="1"/>
  <c r="CG3523"/>
  <c r="CJ3524"/>
  <c r="CG3524" s="1"/>
  <c r="CJ3525"/>
  <c r="CG3525"/>
  <c r="CJ3526"/>
  <c r="CG3526" s="1"/>
  <c r="CG3527"/>
  <c r="CJ3528"/>
  <c r="CJ3529"/>
  <c r="CG3529"/>
  <c r="CJ3530"/>
  <c r="CG3530" s="1"/>
  <c r="CG3531"/>
  <c r="CJ3532"/>
  <c r="CJ3533"/>
  <c r="CG3533"/>
  <c r="CJ3534"/>
  <c r="CG3534" s="1"/>
  <c r="CG3535"/>
  <c r="CJ3536"/>
  <c r="CG3536" s="1"/>
  <c r="CJ3537"/>
  <c r="CG3537"/>
  <c r="CJ3538"/>
  <c r="CG3538" s="1"/>
  <c r="CG3539"/>
  <c r="CJ3540"/>
  <c r="CG3540" s="1"/>
  <c r="CJ3541"/>
  <c r="CG3541"/>
  <c r="CJ3542"/>
  <c r="CG3542" s="1"/>
  <c r="CG3543"/>
  <c r="CJ3544"/>
  <c r="CJ3545"/>
  <c r="CG3545"/>
  <c r="CJ3546"/>
  <c r="CG3546" s="1"/>
  <c r="CG3547"/>
  <c r="CJ3548"/>
  <c r="CJ3549"/>
  <c r="CG3549"/>
  <c r="CJ3550"/>
  <c r="CG3550" s="1"/>
  <c r="CG3551"/>
  <c r="CJ3552"/>
  <c r="CG3552" s="1"/>
  <c r="CJ3553"/>
  <c r="CG3553"/>
  <c r="CJ3554"/>
  <c r="CG3554" s="1"/>
  <c r="CG3555"/>
  <c r="CJ3556"/>
  <c r="CG3556" s="1"/>
  <c r="CJ3557"/>
  <c r="CG3557"/>
  <c r="CJ3558"/>
  <c r="CG3558" s="1"/>
  <c r="CG3559"/>
  <c r="CJ3560"/>
  <c r="CJ3561"/>
  <c r="CG3561"/>
  <c r="CJ3562"/>
  <c r="CG3562" s="1"/>
  <c r="CG3563"/>
  <c r="CJ3564"/>
  <c r="CJ3565"/>
  <c r="CG3565"/>
  <c r="CJ3566"/>
  <c r="CG3566" s="1"/>
  <c r="CG3567"/>
  <c r="CJ3568"/>
  <c r="CG3568" s="1"/>
  <c r="CJ3569"/>
  <c r="CG3569"/>
  <c r="CJ3570"/>
  <c r="CG3570" s="1"/>
  <c r="CG3571"/>
  <c r="CJ3572"/>
  <c r="CG3572" s="1"/>
  <c r="CJ3573"/>
  <c r="CG3573"/>
  <c r="CJ3574"/>
  <c r="CG3574" s="1"/>
  <c r="CG3575"/>
  <c r="CJ3576"/>
  <c r="CJ3577"/>
  <c r="CG3577"/>
  <c r="CJ3578"/>
  <c r="CG3578" s="1"/>
  <c r="CG3579"/>
  <c r="CJ3580"/>
  <c r="CJ3581"/>
  <c r="CG3581"/>
  <c r="CJ3582"/>
  <c r="CG3582" s="1"/>
  <c r="CG3583"/>
  <c r="CJ3584"/>
  <c r="CG3584" s="1"/>
  <c r="CJ3585"/>
  <c r="CG3585"/>
  <c r="CJ3586"/>
  <c r="CG3586" s="1"/>
  <c r="CG3587"/>
  <c r="CJ3588"/>
  <c r="CG3588" s="1"/>
  <c r="CJ3589"/>
  <c r="CG3589"/>
  <c r="CJ3590"/>
  <c r="CG3590" s="1"/>
  <c r="CG3591"/>
  <c r="CJ3592"/>
  <c r="CJ3593"/>
  <c r="CG3593"/>
  <c r="CJ3594"/>
  <c r="CG3594" s="1"/>
  <c r="CG3595"/>
  <c r="CJ3596"/>
  <c r="CJ3597"/>
  <c r="CG3597"/>
  <c r="CJ3598"/>
  <c r="CG3598" s="1"/>
  <c r="CG3599"/>
  <c r="CJ3600"/>
  <c r="CG3600" s="1"/>
  <c r="CJ3601"/>
  <c r="CG3601"/>
  <c r="CJ3602"/>
  <c r="CG3602" s="1"/>
  <c r="CG3603"/>
  <c r="CJ3604"/>
  <c r="CG3604" s="1"/>
  <c r="CJ3605"/>
  <c r="CG3605"/>
  <c r="CJ3606"/>
  <c r="CG3606" s="1"/>
  <c r="CG3607"/>
  <c r="CJ3608"/>
  <c r="CJ3609"/>
  <c r="CG3609"/>
  <c r="CJ3610"/>
  <c r="CG3610" s="1"/>
  <c r="CG3611"/>
  <c r="CJ3612"/>
  <c r="CJ3613"/>
  <c r="CG3613"/>
  <c r="CJ3614"/>
  <c r="CG3614" s="1"/>
  <c r="CG3615"/>
  <c r="CJ3616"/>
  <c r="CG3616" s="1"/>
  <c r="CJ3617"/>
  <c r="CG3617"/>
  <c r="CJ3618"/>
  <c r="CG3618" s="1"/>
  <c r="CG3619"/>
  <c r="CJ3620"/>
  <c r="CG3620" s="1"/>
  <c r="CJ3621"/>
  <c r="CG3621"/>
  <c r="CJ3622"/>
  <c r="CG3622" s="1"/>
  <c r="CG3623"/>
  <c r="CJ3624"/>
  <c r="CJ3625"/>
  <c r="CG3625"/>
  <c r="CJ3626"/>
  <c r="CG3626" s="1"/>
  <c r="CG3627"/>
  <c r="CJ3628"/>
  <c r="CJ3629"/>
  <c r="CG3629"/>
  <c r="CJ3630"/>
  <c r="CG3630" s="1"/>
  <c r="CG3631"/>
  <c r="CJ3632"/>
  <c r="CG3632" s="1"/>
  <c r="CJ3633"/>
  <c r="CG3633"/>
  <c r="CJ3634"/>
  <c r="CG3634" s="1"/>
  <c r="CG3635"/>
  <c r="CJ3636"/>
  <c r="CG3636" s="1"/>
  <c r="CJ3637"/>
  <c r="CG3637"/>
  <c r="CJ3638"/>
  <c r="CG3638" s="1"/>
  <c r="CG3639"/>
  <c r="CJ3640"/>
  <c r="CJ3641"/>
  <c r="CG3641"/>
  <c r="CJ3642"/>
  <c r="CG3642" s="1"/>
  <c r="CG3643"/>
  <c r="CJ3644"/>
  <c r="CJ3645"/>
  <c r="CG3645"/>
  <c r="CJ3646"/>
  <c r="CG3646" s="1"/>
  <c r="CG3647"/>
  <c r="CJ3648"/>
  <c r="CG3648" s="1"/>
  <c r="CJ3649"/>
  <c r="CG3649"/>
  <c r="CJ3650"/>
  <c r="CG3650" s="1"/>
  <c r="CG3651"/>
  <c r="CJ3652"/>
  <c r="CG3652" s="1"/>
  <c r="CJ3653"/>
  <c r="CG3653"/>
  <c r="CJ3654"/>
  <c r="CG3654" s="1"/>
  <c r="CG3655"/>
  <c r="CJ3656"/>
  <c r="CJ3657"/>
  <c r="CG3657"/>
  <c r="CJ3658"/>
  <c r="CG3658" s="1"/>
  <c r="CG3659"/>
  <c r="CJ3660"/>
  <c r="CJ3661"/>
  <c r="CG3661"/>
  <c r="CJ3662"/>
  <c r="CG3662" s="1"/>
  <c r="CG3663"/>
  <c r="CJ3664"/>
  <c r="CG3664" s="1"/>
  <c r="CJ3665"/>
  <c r="CG3665"/>
  <c r="CJ3666"/>
  <c r="CG3666" s="1"/>
  <c r="CG3667"/>
  <c r="CJ3668"/>
  <c r="CG3668" s="1"/>
  <c r="CJ3669"/>
  <c r="CG3669"/>
  <c r="CJ3670"/>
  <c r="CG3670" s="1"/>
  <c r="CG3671"/>
  <c r="CJ3672"/>
  <c r="CJ3673"/>
  <c r="CG3673"/>
  <c r="CJ3674"/>
  <c r="CG3674" s="1"/>
  <c r="CG3675"/>
  <c r="CJ3676"/>
  <c r="CJ3677"/>
  <c r="CG3677"/>
  <c r="CJ3678"/>
  <c r="CG3678" s="1"/>
  <c r="CG3679"/>
  <c r="CJ3680"/>
  <c r="CG3680" s="1"/>
  <c r="CJ3681"/>
  <c r="CG3681"/>
  <c r="CJ3682"/>
  <c r="CG3682" s="1"/>
  <c r="CG3683"/>
  <c r="CJ3684"/>
  <c r="CG3684" s="1"/>
  <c r="CJ3685"/>
  <c r="CG3685"/>
  <c r="CJ3686"/>
  <c r="CG3686" s="1"/>
  <c r="CG3687"/>
  <c r="CJ3688"/>
  <c r="CJ3689"/>
  <c r="CG3689"/>
  <c r="CJ3690"/>
  <c r="CG3690" s="1"/>
  <c r="CG3691"/>
  <c r="CJ3692"/>
  <c r="CJ3693"/>
  <c r="CG3693"/>
  <c r="CJ3694"/>
  <c r="CG3694" s="1"/>
  <c r="CG3695"/>
  <c r="CJ3696"/>
  <c r="CG3696" s="1"/>
  <c r="CJ3697"/>
  <c r="CG3697"/>
  <c r="CJ3698"/>
  <c r="CG3698" s="1"/>
  <c r="CG3699"/>
  <c r="CJ3700"/>
  <c r="CG3700" s="1"/>
  <c r="CJ3701"/>
  <c r="CG3701"/>
  <c r="CJ3702"/>
  <c r="CG3702" s="1"/>
  <c r="CG3703"/>
  <c r="CJ3704"/>
  <c r="CJ3705"/>
  <c r="CG3705"/>
  <c r="CJ3706"/>
  <c r="CG3706" s="1"/>
  <c r="CG3707"/>
  <c r="CJ3708"/>
  <c r="CJ3709"/>
  <c r="CG3709"/>
  <c r="CJ3710"/>
  <c r="CG3710" s="1"/>
  <c r="CG3711"/>
  <c r="CJ3712"/>
  <c r="CG3712" s="1"/>
  <c r="CJ3713"/>
  <c r="CG3713"/>
  <c r="CJ3714"/>
  <c r="CG3714" s="1"/>
  <c r="CG3715"/>
  <c r="CJ3716"/>
  <c r="CG3716" s="1"/>
  <c r="CJ3717"/>
  <c r="CG3717"/>
  <c r="CJ3718"/>
  <c r="CG3718" s="1"/>
  <c r="CG3719"/>
  <c r="CJ3720"/>
  <c r="CJ3721"/>
  <c r="CG3721"/>
  <c r="CJ3722"/>
  <c r="CG3722" s="1"/>
  <c r="CG3723"/>
  <c r="CJ3724"/>
  <c r="CJ3725"/>
  <c r="CG3725"/>
  <c r="CJ3726"/>
  <c r="CG3726" s="1"/>
  <c r="CG3727"/>
  <c r="CJ3728"/>
  <c r="CG3728" s="1"/>
  <c r="CJ3729"/>
  <c r="CG3729"/>
  <c r="CJ3730"/>
  <c r="CG3730" s="1"/>
  <c r="CG3731"/>
  <c r="CJ3732"/>
  <c r="CG3732" s="1"/>
  <c r="CJ3733"/>
  <c r="CG3733"/>
  <c r="CJ3734"/>
  <c r="CG3734" s="1"/>
  <c r="CG3735"/>
  <c r="CJ3736"/>
  <c r="CJ3737"/>
  <c r="CG3737"/>
  <c r="CJ3738"/>
  <c r="CG3738" s="1"/>
  <c r="CG3739"/>
  <c r="CJ3740"/>
  <c r="CJ3741"/>
  <c r="CG3741"/>
  <c r="CJ3742"/>
  <c r="CG3742" s="1"/>
  <c r="CG3743"/>
  <c r="CJ3744"/>
  <c r="CG3744" s="1"/>
  <c r="CJ3745"/>
  <c r="CG3745"/>
  <c r="CJ3746"/>
  <c r="CG3746" s="1"/>
  <c r="CG3747"/>
  <c r="CJ3748"/>
  <c r="CG3748" s="1"/>
  <c r="CJ3749"/>
  <c r="CG3749"/>
  <c r="CJ3750"/>
  <c r="CG3750" s="1"/>
  <c r="CG3751"/>
  <c r="CJ3752"/>
  <c r="CJ3753"/>
  <c r="CG3753"/>
  <c r="CJ3754"/>
  <c r="CG3754" s="1"/>
  <c r="CG3755"/>
  <c r="CJ3756"/>
  <c r="CJ3757"/>
  <c r="CG3757"/>
  <c r="CJ3758"/>
  <c r="CG3758" s="1"/>
  <c r="CG3759"/>
  <c r="CJ3760"/>
  <c r="CG3760" s="1"/>
  <c r="CJ3761"/>
  <c r="CG3761"/>
  <c r="CJ3762"/>
  <c r="CG3762" s="1"/>
  <c r="CG3763"/>
  <c r="CJ3764"/>
  <c r="CG3764" s="1"/>
  <c r="CJ3765"/>
  <c r="CG3765"/>
  <c r="CJ3766"/>
  <c r="CG3766" s="1"/>
  <c r="CG3767"/>
  <c r="CJ3768"/>
  <c r="CJ3769"/>
  <c r="CG3769"/>
  <c r="CJ3770"/>
  <c r="CG3770" s="1"/>
  <c r="CG3771"/>
  <c r="CJ3772"/>
  <c r="CJ3773"/>
  <c r="CG3773"/>
  <c r="CJ3774"/>
  <c r="CG3774" s="1"/>
  <c r="CG3775"/>
  <c r="CJ3776"/>
  <c r="CG3776" s="1"/>
  <c r="CJ3777"/>
  <c r="CG3777"/>
  <c r="CJ3778"/>
  <c r="CG3778" s="1"/>
  <c r="CG3779"/>
  <c r="CJ3780"/>
  <c r="CG3780" s="1"/>
  <c r="CJ3781"/>
  <c r="CG3781"/>
  <c r="CJ3782"/>
  <c r="CG3782" s="1"/>
  <c r="CG3783"/>
  <c r="CJ3784"/>
  <c r="CJ3785"/>
  <c r="CG3785"/>
  <c r="CJ3786"/>
  <c r="CG3786" s="1"/>
  <c r="CG3787"/>
  <c r="CJ3788"/>
  <c r="CJ3789"/>
  <c r="CG3789"/>
  <c r="CJ3790"/>
  <c r="CG3790" s="1"/>
  <c r="CG3791"/>
  <c r="CJ3792"/>
  <c r="CG3792" s="1"/>
  <c r="CJ3793"/>
  <c r="CG3793"/>
  <c r="CJ3794"/>
  <c r="CG3794" s="1"/>
  <c r="CG3795"/>
  <c r="CJ3796"/>
  <c r="CG3796" s="1"/>
  <c r="CJ3797"/>
  <c r="CG3797"/>
  <c r="CJ3798"/>
  <c r="CG3798" s="1"/>
  <c r="CG3799"/>
  <c r="CJ3800"/>
  <c r="CJ3801"/>
  <c r="CG3801"/>
  <c r="CJ3802"/>
  <c r="CG3802" s="1"/>
  <c r="CG3803"/>
  <c r="CJ3804"/>
  <c r="CJ3805"/>
  <c r="CG3805"/>
  <c r="CJ3806"/>
  <c r="CG3806" s="1"/>
  <c r="CG3807"/>
  <c r="CJ3808"/>
  <c r="CG3808" s="1"/>
  <c r="CJ3809"/>
  <c r="CG3809"/>
  <c r="CJ3810"/>
  <c r="CG3810" s="1"/>
  <c r="CG3811"/>
  <c r="CJ3812"/>
  <c r="CG3812" s="1"/>
  <c r="CJ3813"/>
  <c r="CG3813"/>
  <c r="CJ3814"/>
  <c r="CG3814" s="1"/>
  <c r="CG3815"/>
  <c r="CJ3816"/>
  <c r="CJ3817"/>
  <c r="CG3817"/>
  <c r="CJ3818"/>
  <c r="CG3818" s="1"/>
  <c r="CG3819"/>
  <c r="CJ3820"/>
  <c r="CJ3821"/>
  <c r="CG3821"/>
  <c r="CJ3822"/>
  <c r="CG3822" s="1"/>
  <c r="CG3823"/>
  <c r="CJ3824"/>
  <c r="CG3824" s="1"/>
  <c r="CJ3825"/>
  <c r="CG3825"/>
  <c r="CJ3826"/>
  <c r="CG3826" s="1"/>
  <c r="CG3827"/>
  <c r="CJ3828"/>
  <c r="CG3828" s="1"/>
  <c r="CJ3829"/>
  <c r="CG3829"/>
  <c r="CJ3830"/>
  <c r="CG3830" s="1"/>
  <c r="CG3831"/>
  <c r="CJ3832"/>
  <c r="CJ3833"/>
  <c r="CG3833"/>
  <c r="CJ3834"/>
  <c r="CG3834" s="1"/>
  <c r="CG3835"/>
  <c r="CJ3836"/>
  <c r="CJ3837"/>
  <c r="CG3837"/>
  <c r="CJ3838"/>
  <c r="CG3838" s="1"/>
  <c r="CG3839"/>
  <c r="CJ3840"/>
  <c r="CG3840" s="1"/>
  <c r="CJ3841"/>
  <c r="CG3841"/>
  <c r="CJ3842"/>
  <c r="CG3842" s="1"/>
  <c r="CG3843"/>
  <c r="CJ3844"/>
  <c r="CG3844" s="1"/>
  <c r="CJ3845"/>
  <c r="CG3845"/>
  <c r="CJ3846"/>
  <c r="CG3846" s="1"/>
  <c r="CG3847"/>
  <c r="CJ3848"/>
  <c r="CJ3849"/>
  <c r="CG3849"/>
  <c r="CJ3850"/>
  <c r="CG3850" s="1"/>
  <c r="CG3851"/>
  <c r="CJ3852"/>
  <c r="CJ3853"/>
  <c r="CG3853"/>
  <c r="CJ3854"/>
  <c r="CG3854" s="1"/>
  <c r="CG3855"/>
  <c r="CJ3856"/>
  <c r="CG3856" s="1"/>
  <c r="CJ3857"/>
  <c r="CG3857"/>
  <c r="CJ3858"/>
  <c r="CG3858" s="1"/>
  <c r="CG3859"/>
  <c r="CJ3860"/>
  <c r="CG3860" s="1"/>
  <c r="CJ3861"/>
  <c r="CG3861"/>
  <c r="CJ3862"/>
  <c r="CG3862" s="1"/>
  <c r="CG3863"/>
  <c r="CJ3864"/>
  <c r="CJ3865"/>
  <c r="CG3865"/>
  <c r="CJ3866"/>
  <c r="CG3866" s="1"/>
  <c r="CG3867"/>
  <c r="CJ3868"/>
  <c r="CJ3869"/>
  <c r="CG3869"/>
  <c r="CJ3870"/>
  <c r="CG3870" s="1"/>
  <c r="CG3871"/>
  <c r="CJ3872"/>
  <c r="CG3872" s="1"/>
  <c r="CJ3873"/>
  <c r="CG3873"/>
  <c r="CJ3874"/>
  <c r="CG3874" s="1"/>
  <c r="CG3875"/>
  <c r="CJ3876"/>
  <c r="CG3876" s="1"/>
  <c r="CJ3877"/>
  <c r="CG3877"/>
  <c r="CJ3878"/>
  <c r="CG3878" s="1"/>
  <c r="CG3879"/>
  <c r="CJ3880"/>
  <c r="CJ3881"/>
  <c r="CG3881"/>
  <c r="CJ3882"/>
  <c r="CG3882" s="1"/>
  <c r="CG3883"/>
  <c r="CJ3884"/>
  <c r="CJ3885"/>
  <c r="CG3885"/>
  <c r="CJ3886"/>
  <c r="CG3886" s="1"/>
  <c r="CG3887"/>
  <c r="CJ3888"/>
  <c r="CG3888" s="1"/>
  <c r="CJ3889"/>
  <c r="CG3889"/>
  <c r="CJ3890"/>
  <c r="CG3890" s="1"/>
  <c r="CG3891"/>
  <c r="CJ3892"/>
  <c r="CG3892" s="1"/>
  <c r="CJ3893"/>
  <c r="CG3893"/>
  <c r="CJ3894"/>
  <c r="CG3894" s="1"/>
  <c r="CG3895"/>
  <c r="CJ3896"/>
  <c r="CJ3897"/>
  <c r="CG3897"/>
  <c r="CJ3898"/>
  <c r="CG3898" s="1"/>
  <c r="CG3899"/>
  <c r="CJ3900"/>
  <c r="CJ3901"/>
  <c r="CG3901"/>
  <c r="CJ3902"/>
  <c r="CG3902" s="1"/>
  <c r="CG3903"/>
  <c r="CJ3904"/>
  <c r="CG3904" s="1"/>
  <c r="CJ3905"/>
  <c r="CG3905"/>
  <c r="CJ3906"/>
  <c r="CG3906" s="1"/>
  <c r="CG3907"/>
  <c r="CJ3908"/>
  <c r="CG3908" s="1"/>
  <c r="CJ3909"/>
  <c r="CG3909"/>
  <c r="CJ3910"/>
  <c r="CG3910" s="1"/>
  <c r="CG3911"/>
  <c r="CJ3912"/>
  <c r="CJ3913"/>
  <c r="CG3913"/>
  <c r="CJ3914"/>
  <c r="CG3914" s="1"/>
  <c r="CG3915"/>
  <c r="CJ3916"/>
  <c r="CJ3917"/>
  <c r="CG3917"/>
  <c r="CJ3918"/>
  <c r="CG3918" s="1"/>
  <c r="CG3919"/>
  <c r="CJ3920"/>
  <c r="CG3920" s="1"/>
  <c r="CJ3921"/>
  <c r="CG3921"/>
  <c r="CJ3922"/>
  <c r="CG3922" s="1"/>
  <c r="CG3923"/>
  <c r="CJ3924"/>
  <c r="CG3924" s="1"/>
  <c r="CJ3925"/>
  <c r="CG3925"/>
  <c r="CJ3926"/>
  <c r="CG3926" s="1"/>
  <c r="CG3927"/>
  <c r="CJ3928"/>
  <c r="CJ3929"/>
  <c r="CG3929"/>
  <c r="CJ3930"/>
  <c r="CG3930" s="1"/>
  <c r="CG3931"/>
  <c r="CJ3932"/>
  <c r="CJ3933"/>
  <c r="CG3933"/>
  <c r="CJ3934"/>
  <c r="CG3934" s="1"/>
  <c r="CG3935"/>
  <c r="CJ3936"/>
  <c r="CG3936" s="1"/>
  <c r="CJ3937"/>
  <c r="CG3937"/>
  <c r="CJ3938"/>
  <c r="CG3938" s="1"/>
  <c r="CG3939"/>
  <c r="CJ3940"/>
  <c r="CG3940" s="1"/>
  <c r="CJ3941"/>
  <c r="CG3941"/>
  <c r="CJ3942"/>
  <c r="CG3942" s="1"/>
  <c r="CG3943"/>
  <c r="CJ3944"/>
  <c r="CJ3945"/>
  <c r="CG3945"/>
  <c r="CJ3946"/>
  <c r="CG3946" s="1"/>
  <c r="CG3947"/>
  <c r="CJ3948"/>
  <c r="CJ3949"/>
  <c r="CG3949"/>
  <c r="CJ3950"/>
  <c r="CG3950" s="1"/>
  <c r="CG3951"/>
  <c r="CJ3952"/>
  <c r="CG3952" s="1"/>
  <c r="CJ3953"/>
  <c r="CG3953"/>
  <c r="CJ3954"/>
  <c r="CG3954" s="1"/>
  <c r="CG3955"/>
  <c r="CJ3956"/>
  <c r="CG3956" s="1"/>
  <c r="CJ3957"/>
  <c r="CG3957"/>
  <c r="CJ3958"/>
  <c r="CG3958" s="1"/>
  <c r="CG3959"/>
  <c r="CJ3960"/>
  <c r="CJ3961"/>
  <c r="CG3961"/>
  <c r="CJ3962"/>
  <c r="CG3962" s="1"/>
  <c r="CG3963"/>
  <c r="CJ3964"/>
  <c r="CJ3965"/>
  <c r="CG3965"/>
  <c r="CJ3966"/>
  <c r="CG3966" s="1"/>
  <c r="CG3967"/>
  <c r="CJ3968"/>
  <c r="CG3968" s="1"/>
  <c r="CJ3969"/>
  <c r="CG3969"/>
  <c r="CJ3970"/>
  <c r="CG3970" s="1"/>
  <c r="CG3971"/>
  <c r="CJ3972"/>
  <c r="CG3972" s="1"/>
  <c r="CJ3973"/>
  <c r="CG3973"/>
  <c r="CJ3974"/>
  <c r="CG3974" s="1"/>
  <c r="CG3975"/>
  <c r="CJ3976"/>
  <c r="CJ3977"/>
  <c r="CG3977"/>
  <c r="CJ3978"/>
  <c r="CG3978" s="1"/>
  <c r="CG3979"/>
  <c r="CJ3980"/>
  <c r="CJ3981"/>
  <c r="CG3981"/>
  <c r="CJ3982"/>
  <c r="CG3982" s="1"/>
  <c r="CG3983"/>
  <c r="CJ3984"/>
  <c r="CG3984" s="1"/>
  <c r="CJ3985"/>
  <c r="CG3985"/>
  <c r="CJ3986"/>
  <c r="CG3986" s="1"/>
  <c r="CG3987"/>
  <c r="CJ3988"/>
  <c r="CG3988" s="1"/>
  <c r="CJ3989"/>
  <c r="CG3989"/>
  <c r="CJ3990"/>
  <c r="CG3990" s="1"/>
  <c r="CG3991"/>
  <c r="CJ3992"/>
  <c r="CJ3993"/>
  <c r="CG3993"/>
  <c r="CJ3994"/>
  <c r="CG3994" s="1"/>
  <c r="CG3995"/>
  <c r="CJ3996"/>
  <c r="CJ3997"/>
  <c r="CG3997"/>
  <c r="CJ3998"/>
  <c r="CG3998" s="1"/>
  <c r="CG3999"/>
  <c r="CJ4000"/>
  <c r="CG4000" s="1"/>
  <c r="CJ4001"/>
  <c r="CG4001"/>
  <c r="CJ4002"/>
  <c r="CG4002" s="1"/>
  <c r="CG4003"/>
  <c r="CJ4004"/>
  <c r="CG4004" s="1"/>
  <c r="CJ4005"/>
  <c r="CG4005"/>
  <c r="CJ4006"/>
  <c r="CG4006" s="1"/>
  <c r="CG4007"/>
  <c r="CJ4008"/>
  <c r="CJ4009"/>
  <c r="CG4009"/>
  <c r="CJ4010"/>
  <c r="CG4010" s="1"/>
  <c r="CG4011"/>
  <c r="CJ4012"/>
  <c r="CJ4013"/>
  <c r="CG4013"/>
  <c r="CJ4014"/>
  <c r="CG4014" s="1"/>
  <c r="CG4015"/>
  <c r="CJ4016"/>
  <c r="CG4016" s="1"/>
  <c r="CJ4017"/>
  <c r="CG4017"/>
  <c r="CJ4018"/>
  <c r="CG4018" s="1"/>
  <c r="CG4019"/>
  <c r="CJ4020"/>
  <c r="CG4020" s="1"/>
  <c r="CJ4021"/>
  <c r="CG4021"/>
  <c r="CJ4022"/>
  <c r="CG4022" s="1"/>
  <c r="CG4023"/>
  <c r="CJ4024"/>
  <c r="CJ4025"/>
  <c r="CG4025"/>
  <c r="CJ4026"/>
  <c r="CG4026" s="1"/>
  <c r="CG4027"/>
  <c r="CJ4028"/>
  <c r="CJ4029"/>
  <c r="CG4029"/>
  <c r="CJ4030"/>
  <c r="CG4030" s="1"/>
  <c r="CG4031"/>
  <c r="CJ4032"/>
  <c r="CG4032" s="1"/>
  <c r="CJ4033"/>
  <c r="CG4033"/>
  <c r="CJ4034"/>
  <c r="CG4034" s="1"/>
  <c r="CG4035"/>
  <c r="CJ4036"/>
  <c r="CG4036" s="1"/>
  <c r="CJ4037"/>
  <c r="CG4037"/>
  <c r="CJ4038"/>
  <c r="CG4038" s="1"/>
  <c r="CG4039"/>
  <c r="CJ4040"/>
  <c r="CJ4041"/>
  <c r="CG4041"/>
  <c r="CJ4042"/>
  <c r="CG4042" s="1"/>
  <c r="CF705"/>
  <c r="CF706"/>
  <c r="CF707"/>
  <c r="CF709"/>
  <c r="CF710"/>
  <c r="CF711"/>
  <c r="CF713"/>
  <c r="CF715"/>
  <c r="CF717"/>
  <c r="CF718"/>
  <c r="CF719"/>
  <c r="CF721"/>
  <c r="CF722"/>
  <c r="CF723"/>
  <c r="CF725"/>
  <c r="CF726"/>
  <c r="CF727"/>
  <c r="CF729"/>
  <c r="CF731"/>
  <c r="CF733"/>
  <c r="CF734"/>
  <c r="CF735"/>
  <c r="CF737"/>
  <c r="CF738"/>
  <c r="CF739"/>
  <c r="CF741"/>
  <c r="CF742"/>
  <c r="CF743"/>
  <c r="CF745"/>
  <c r="CF747"/>
  <c r="CF749"/>
  <c r="CF750"/>
  <c r="CF751"/>
  <c r="CF753"/>
  <c r="CF754"/>
  <c r="CF755"/>
  <c r="CF757"/>
  <c r="CF758"/>
  <c r="CF759"/>
  <c r="CF761"/>
  <c r="CF763"/>
  <c r="CF765"/>
  <c r="CF766"/>
  <c r="CF767"/>
  <c r="CF769"/>
  <c r="CF770"/>
  <c r="CF771"/>
  <c r="CF773"/>
  <c r="CF774"/>
  <c r="CF775"/>
  <c r="CF777"/>
  <c r="CF779"/>
  <c r="CF781"/>
  <c r="CF782"/>
  <c r="CF783"/>
  <c r="CF785"/>
  <c r="CF786"/>
  <c r="CF787"/>
  <c r="CF789"/>
  <c r="CF790"/>
  <c r="CF791"/>
  <c r="CF793"/>
  <c r="CF795"/>
  <c r="CF797"/>
  <c r="CF798"/>
  <c r="CF799"/>
  <c r="CF801"/>
  <c r="CF802"/>
  <c r="CF803"/>
  <c r="CF805"/>
  <c r="CF806"/>
  <c r="CF807"/>
  <c r="CF809"/>
  <c r="CF811"/>
  <c r="CF813"/>
  <c r="CF814"/>
  <c r="CF815"/>
  <c r="CF817"/>
  <c r="CF818"/>
  <c r="CF819"/>
  <c r="CF821"/>
  <c r="CF822"/>
  <c r="CF823"/>
  <c r="CF825"/>
  <c r="CF827"/>
  <c r="CF829"/>
  <c r="CF830"/>
  <c r="CF831"/>
  <c r="CF833"/>
  <c r="CF834"/>
  <c r="CF835"/>
  <c r="CF837"/>
  <c r="CF838"/>
  <c r="CF839"/>
  <c r="CF841"/>
  <c r="CF843"/>
  <c r="CF845"/>
  <c r="CF846"/>
  <c r="CF847"/>
  <c r="CF849"/>
  <c r="CF850"/>
  <c r="CF851"/>
  <c r="CF853"/>
  <c r="CF854"/>
  <c r="CF855"/>
  <c r="CF857"/>
  <c r="CF859"/>
  <c r="CF861"/>
  <c r="CF862"/>
  <c r="CF863"/>
  <c r="CF865"/>
  <c r="CF866"/>
  <c r="CF867"/>
  <c r="CF869"/>
  <c r="CF870"/>
  <c r="CF871"/>
  <c r="CF873"/>
  <c r="CF875"/>
  <c r="CF877"/>
  <c r="CF878"/>
  <c r="CF879"/>
  <c r="CF881"/>
  <c r="CF882"/>
  <c r="CF883"/>
  <c r="CF885"/>
  <c r="CF886"/>
  <c r="CF887"/>
  <c r="CF889"/>
  <c r="CF891"/>
  <c r="CF892"/>
  <c r="CF893"/>
  <c r="CF894"/>
  <c r="CF895"/>
  <c r="CF896"/>
  <c r="CF897"/>
  <c r="CF899"/>
  <c r="CF900"/>
  <c r="CF901"/>
  <c r="CF902"/>
  <c r="CF903"/>
  <c r="CF904"/>
  <c r="CF905"/>
  <c r="CF907"/>
  <c r="CF908"/>
  <c r="CF909"/>
  <c r="CF910"/>
  <c r="CF911"/>
  <c r="CF912"/>
  <c r="CF913"/>
  <c r="CF915"/>
  <c r="CF916"/>
  <c r="CF917"/>
  <c r="CF918"/>
  <c r="CF919"/>
  <c r="CF920"/>
  <c r="CF921"/>
  <c r="CF923"/>
  <c r="CF924"/>
  <c r="CF925"/>
  <c r="CF926"/>
  <c r="CF927"/>
  <c r="CF928"/>
  <c r="CF929"/>
  <c r="CF931"/>
  <c r="CF932"/>
  <c r="CF933"/>
  <c r="CF934"/>
  <c r="CF935"/>
  <c r="CF936"/>
  <c r="CF937"/>
  <c r="CF939"/>
  <c r="CF940"/>
  <c r="CF941"/>
  <c r="CF942"/>
  <c r="CF943"/>
  <c r="CF944"/>
  <c r="CF945"/>
  <c r="CF947"/>
  <c r="CF948"/>
  <c r="CF949"/>
  <c r="CF950"/>
  <c r="CF951"/>
  <c r="CF952"/>
  <c r="CF953"/>
  <c r="CF955"/>
  <c r="CF956"/>
  <c r="CF957"/>
  <c r="CF958"/>
  <c r="CF959"/>
  <c r="CF960"/>
  <c r="CF961"/>
  <c r="CF963"/>
  <c r="CF964"/>
  <c r="CF965"/>
  <c r="CF966"/>
  <c r="CF967"/>
  <c r="CF968"/>
  <c r="CF969"/>
  <c r="CF971"/>
  <c r="CF972"/>
  <c r="CF973"/>
  <c r="CF974"/>
  <c r="CF975"/>
  <c r="CF976"/>
  <c r="CF977"/>
  <c r="CF979"/>
  <c r="CF980"/>
  <c r="CF981"/>
  <c r="CF982"/>
  <c r="CF983"/>
  <c r="CF984"/>
  <c r="CF985"/>
  <c r="CF987"/>
  <c r="CF988"/>
  <c r="CF989"/>
  <c r="CF990"/>
  <c r="CF991"/>
  <c r="CF992"/>
  <c r="CF993"/>
  <c r="CF995"/>
  <c r="CF996"/>
  <c r="CF997"/>
  <c r="CF998"/>
  <c r="CF999"/>
  <c r="CF1000"/>
  <c r="CF1001"/>
  <c r="CF1003"/>
  <c r="CF1004"/>
  <c r="CF1005"/>
  <c r="CF1006"/>
  <c r="CF1007"/>
  <c r="CF1008"/>
  <c r="CF1009"/>
  <c r="CF1011"/>
  <c r="CF1012"/>
  <c r="CF1013"/>
  <c r="CF1014"/>
  <c r="CF1015"/>
  <c r="CF1016"/>
  <c r="CF1017"/>
  <c r="CF1019"/>
  <c r="CF1020"/>
  <c r="CF1021"/>
  <c r="CF1022"/>
  <c r="CF1023"/>
  <c r="CF1024"/>
  <c r="CF1025"/>
  <c r="CF1027"/>
  <c r="CF1028"/>
  <c r="CF1029"/>
  <c r="CF1030"/>
  <c r="CF1031"/>
  <c r="CF1032"/>
  <c r="CF1033"/>
  <c r="CF1035"/>
  <c r="CF1036"/>
  <c r="CF1037"/>
  <c r="CF1038"/>
  <c r="CF1039"/>
  <c r="CF1040"/>
  <c r="CF1041"/>
  <c r="CF1043"/>
  <c r="CF1044"/>
  <c r="CF1045"/>
  <c r="CF1046"/>
  <c r="CF1047"/>
  <c r="CF1048"/>
  <c r="CF1049"/>
  <c r="CF1051"/>
  <c r="CF1052"/>
  <c r="CF1053"/>
  <c r="CF1054"/>
  <c r="CF1055"/>
  <c r="CF1056"/>
  <c r="CF1057"/>
  <c r="CF1059"/>
  <c r="CF1060"/>
  <c r="CF1061"/>
  <c r="CF1062"/>
  <c r="CF1063"/>
  <c r="CF1064"/>
  <c r="CF1065"/>
  <c r="CF1067"/>
  <c r="CF1068"/>
  <c r="CF1069"/>
  <c r="CF1070"/>
  <c r="CF1071"/>
  <c r="CF1072"/>
  <c r="CF1073"/>
  <c r="CF1075"/>
  <c r="CF1076"/>
  <c r="CF1077"/>
  <c r="CF1078"/>
  <c r="CF1079"/>
  <c r="CF1080"/>
  <c r="CF1081"/>
  <c r="CF1083"/>
  <c r="CF1084"/>
  <c r="CF1085"/>
  <c r="CF1086"/>
  <c r="CF1087"/>
  <c r="CF1088"/>
  <c r="CF1089"/>
  <c r="CF1091"/>
  <c r="CF1092"/>
  <c r="CF1093"/>
  <c r="CF1094"/>
  <c r="CF1095"/>
  <c r="CF1096"/>
  <c r="CF1097"/>
  <c r="CF1099"/>
  <c r="CF1100"/>
  <c r="CF1101"/>
  <c r="CF1102"/>
  <c r="CF1103"/>
  <c r="CF1104"/>
  <c r="CF1105"/>
  <c r="CF1107"/>
  <c r="CF1108"/>
  <c r="CF1109"/>
  <c r="CF1110"/>
  <c r="CF1111"/>
  <c r="CF1112"/>
  <c r="CF1113"/>
  <c r="CF1115"/>
  <c r="CF1116"/>
  <c r="CF1117"/>
  <c r="CF1118"/>
  <c r="CF1119"/>
  <c r="CF1120"/>
  <c r="CF1121"/>
  <c r="CF1123"/>
  <c r="CF1124"/>
  <c r="CF1125"/>
  <c r="CF1126"/>
  <c r="CF1127"/>
  <c r="CF1128"/>
  <c r="CF1129"/>
  <c r="CF1131"/>
  <c r="CF1132"/>
  <c r="CF1133"/>
  <c r="CF1134"/>
  <c r="CF1135"/>
  <c r="CF1136"/>
  <c r="CF1137"/>
  <c r="CF1139"/>
  <c r="CF1140"/>
  <c r="CF1141"/>
  <c r="CF1142"/>
  <c r="CF1143"/>
  <c r="CF1144"/>
  <c r="CF1145"/>
  <c r="CF1147"/>
  <c r="CF1148"/>
  <c r="CF1149"/>
  <c r="CF1150"/>
  <c r="CF1151"/>
  <c r="CF1152"/>
  <c r="CF1153"/>
  <c r="CF1155"/>
  <c r="CF1156"/>
  <c r="CF1157"/>
  <c r="CF1158"/>
  <c r="CF1159"/>
  <c r="CF1160"/>
  <c r="CF1161"/>
  <c r="CF1163"/>
  <c r="CF1164"/>
  <c r="CF1165"/>
  <c r="CF1166"/>
  <c r="CF1167"/>
  <c r="CF1168"/>
  <c r="CF1169"/>
  <c r="CF1171"/>
  <c r="CF1172"/>
  <c r="CF1173"/>
  <c r="CF1174"/>
  <c r="CF1175"/>
  <c r="CF1176"/>
  <c r="CF1177"/>
  <c r="CF1179"/>
  <c r="CF1180"/>
  <c r="CF1181"/>
  <c r="CF1182"/>
  <c r="CF1183"/>
  <c r="CF1184"/>
  <c r="CF1185"/>
  <c r="CF1187"/>
  <c r="CF1188"/>
  <c r="CF1189"/>
  <c r="CF1190"/>
  <c r="CF1191"/>
  <c r="CF1192"/>
  <c r="CF1193"/>
  <c r="CF1195"/>
  <c r="CF1196"/>
  <c r="CF1197"/>
  <c r="CF1198"/>
  <c r="CF1199"/>
  <c r="CF1200"/>
  <c r="CF1201"/>
  <c r="CF1203"/>
  <c r="CF1204"/>
  <c r="CF1205"/>
  <c r="CF1206"/>
  <c r="CF1207"/>
  <c r="CF1208"/>
  <c r="CF1209"/>
  <c r="CF1211"/>
  <c r="CF1212"/>
  <c r="CF1213"/>
  <c r="CF1214"/>
  <c r="CF1215"/>
  <c r="CF1216"/>
  <c r="CF1217"/>
  <c r="CF1219"/>
  <c r="CF1220"/>
  <c r="CF1221"/>
  <c r="CF1222"/>
  <c r="CF1223"/>
  <c r="CF1224"/>
  <c r="CF1225"/>
  <c r="CF1227"/>
  <c r="CF1228"/>
  <c r="CF1229"/>
  <c r="CF1230"/>
  <c r="CF1231"/>
  <c r="CF1232"/>
  <c r="CF1233"/>
  <c r="CF1235"/>
  <c r="CF1236"/>
  <c r="CF1237"/>
  <c r="CF1238"/>
  <c r="CF1239"/>
  <c r="CF1240"/>
  <c r="CF1241"/>
  <c r="CF1243"/>
  <c r="CF1244"/>
  <c r="CF1245"/>
  <c r="CF1246"/>
  <c r="CF1247"/>
  <c r="CF1248"/>
  <c r="CF1249"/>
  <c r="CF1251"/>
  <c r="CF1252"/>
  <c r="CF1253"/>
  <c r="CF1254"/>
  <c r="CF1255"/>
  <c r="CF1256"/>
  <c r="CF1257"/>
  <c r="CF1259"/>
  <c r="CF1260"/>
  <c r="CF1261"/>
  <c r="CF1262"/>
  <c r="CF1263"/>
  <c r="CF1264"/>
  <c r="CF1265"/>
  <c r="CF1267"/>
  <c r="CF1268"/>
  <c r="CF1269"/>
  <c r="CF1270"/>
  <c r="CF1271"/>
  <c r="CF1272"/>
  <c r="CF1273"/>
  <c r="CF1275"/>
  <c r="CF1276"/>
  <c r="CF1277"/>
  <c r="CF1278"/>
  <c r="CF1279"/>
  <c r="CF1280"/>
  <c r="CF1281"/>
  <c r="CF1283"/>
  <c r="CF1284"/>
  <c r="CF1285"/>
  <c r="CF1286"/>
  <c r="CF1287"/>
  <c r="CF1289"/>
  <c r="CF1291"/>
  <c r="CF1292"/>
  <c r="CF1293"/>
  <c r="CF1294"/>
  <c r="CF1295"/>
  <c r="CF1296"/>
  <c r="CF1297"/>
  <c r="CF1299"/>
  <c r="CF1300"/>
  <c r="CF1301"/>
  <c r="CF1302"/>
  <c r="CF1303"/>
  <c r="CF1304"/>
  <c r="CF1305"/>
  <c r="CF1307"/>
  <c r="CF1308"/>
  <c r="CF1309"/>
  <c r="CF1310"/>
  <c r="CF1311"/>
  <c r="CF1312"/>
  <c r="CF1313"/>
  <c r="CF1315"/>
  <c r="CF1316"/>
  <c r="CF1317"/>
  <c r="CF1318"/>
  <c r="CF1319"/>
  <c r="CF1321"/>
  <c r="CF1323"/>
  <c r="CF1324"/>
  <c r="CF1325"/>
  <c r="CF1326"/>
  <c r="CF1327"/>
  <c r="CF1328"/>
  <c r="CF1329"/>
  <c r="CF1331"/>
  <c r="CF1332"/>
  <c r="CF1333"/>
  <c r="CF1334"/>
  <c r="CF1336"/>
  <c r="CF1337"/>
  <c r="CF1338"/>
  <c r="CF1341"/>
  <c r="CF1342"/>
  <c r="CF1344"/>
  <c r="CF1345"/>
  <c r="CF1348"/>
  <c r="CF1349"/>
  <c r="CF1350"/>
  <c r="CF1352"/>
  <c r="CF1353"/>
  <c r="CF1354"/>
  <c r="CF1357"/>
  <c r="CF1358"/>
  <c r="CF1360"/>
  <c r="CF1361"/>
  <c r="CF1362"/>
  <c r="CF1364"/>
  <c r="CF1365"/>
  <c r="CF1366"/>
  <c r="CF1368"/>
  <c r="CF1369"/>
  <c r="CF1370"/>
  <c r="CF1373"/>
  <c r="CF1374"/>
  <c r="CF1376"/>
  <c r="CF1377"/>
  <c r="CF1378"/>
  <c r="CF1380"/>
  <c r="CF1381"/>
  <c r="CF1382"/>
  <c r="CF1384"/>
  <c r="CF1385"/>
  <c r="CF1386"/>
  <c r="CF1389"/>
  <c r="CF1390"/>
  <c r="CF1392"/>
  <c r="CF1393"/>
  <c r="CF1394"/>
  <c r="CF1396"/>
  <c r="CF1397"/>
  <c r="CF1398"/>
  <c r="CF1400"/>
  <c r="CF1401"/>
  <c r="CF1402"/>
  <c r="CF1405"/>
  <c r="CF1406"/>
  <c r="CF1408"/>
  <c r="CF1409"/>
  <c r="CF1412"/>
  <c r="CF1413"/>
  <c r="CF1414"/>
  <c r="CF1416"/>
  <c r="CF1417"/>
  <c r="CF1418"/>
  <c r="CF1421"/>
  <c r="CF1422"/>
  <c r="CF1424"/>
  <c r="CF1425"/>
  <c r="CF1426"/>
  <c r="CF1428"/>
  <c r="CF1429"/>
  <c r="CF1430"/>
  <c r="CF1432"/>
  <c r="CF1433"/>
  <c r="CF1434"/>
  <c r="CF1437"/>
  <c r="CF1438"/>
  <c r="CF1440"/>
  <c r="CF1441"/>
  <c r="CF1442"/>
  <c r="CF1444"/>
  <c r="CF1445"/>
  <c r="CF1446"/>
  <c r="CF1448"/>
  <c r="CF1449"/>
  <c r="CF1450"/>
  <c r="CF1453"/>
  <c r="CF1454"/>
  <c r="CF1456"/>
  <c r="CF1457"/>
  <c r="CF1458"/>
  <c r="CF1460"/>
  <c r="CF1461"/>
  <c r="CF1462"/>
  <c r="CF1464"/>
  <c r="CF1465"/>
  <c r="CF1466"/>
  <c r="CF1469"/>
  <c r="CF1470"/>
  <c r="CF1472"/>
  <c r="CF1473"/>
  <c r="CF1476"/>
  <c r="CF1477"/>
  <c r="CF1478"/>
  <c r="CF1480"/>
  <c r="CF1481"/>
  <c r="CF1482"/>
  <c r="CF1485"/>
  <c r="CF1486"/>
  <c r="CF1488"/>
  <c r="CF1489"/>
  <c r="CF1490"/>
  <c r="CF1492"/>
  <c r="CF1493"/>
  <c r="CF1494"/>
  <c r="CF1496"/>
  <c r="CF1497"/>
  <c r="CF1498"/>
  <c r="CF1501"/>
  <c r="CF1502"/>
  <c r="CF1504"/>
  <c r="CF1505"/>
  <c r="CF1506"/>
  <c r="CF1508"/>
  <c r="CF1509"/>
  <c r="CF1510"/>
  <c r="CF1512"/>
  <c r="CF1513"/>
  <c r="CF1514"/>
  <c r="CF1517"/>
  <c r="CF1518"/>
  <c r="CF1520"/>
  <c r="CF1521"/>
  <c r="CF1522"/>
  <c r="CF1524"/>
  <c r="CF1525"/>
  <c r="CF1526"/>
  <c r="CF1528"/>
  <c r="CF1529"/>
  <c r="CF1530"/>
  <c r="CF1533"/>
  <c r="CF1534"/>
  <c r="CF1536"/>
  <c r="CF1537"/>
  <c r="CF1540"/>
  <c r="CF1541"/>
  <c r="CF1542"/>
  <c r="CF1544"/>
  <c r="CF1545"/>
  <c r="CF1546"/>
  <c r="CF1549"/>
  <c r="CF1550"/>
  <c r="CF1552"/>
  <c r="CF1553"/>
  <c r="CF1554"/>
  <c r="CF1556"/>
  <c r="CF1557"/>
  <c r="CF1558"/>
  <c r="CF1560"/>
  <c r="CF1561"/>
  <c r="CF1562"/>
  <c r="CF1565"/>
  <c r="CF1566"/>
  <c r="CF1568"/>
  <c r="CF1569"/>
  <c r="CF1570"/>
  <c r="CF1572"/>
  <c r="CF1573"/>
  <c r="CF1574"/>
  <c r="CF1576"/>
  <c r="CF1577"/>
  <c r="CF1578"/>
  <c r="CF1581"/>
  <c r="CF1582"/>
  <c r="CF1584"/>
  <c r="CF1585"/>
  <c r="CF1586"/>
  <c r="CF1588"/>
  <c r="CF1589"/>
  <c r="CF1590"/>
  <c r="CF1592"/>
  <c r="CF1593"/>
  <c r="CF1594"/>
  <c r="CF1597"/>
  <c r="CF1598"/>
  <c r="CF1600"/>
  <c r="CF1601"/>
  <c r="CF1604"/>
  <c r="CF1605"/>
  <c r="CF1606"/>
  <c r="CF1608"/>
  <c r="CF1609"/>
  <c r="CF1610"/>
  <c r="CF1613"/>
  <c r="CF1614"/>
  <c r="CF1616"/>
  <c r="CF1617"/>
  <c r="CF1618"/>
  <c r="CF1620"/>
  <c r="CF1621"/>
  <c r="CF1622"/>
  <c r="CF1624"/>
  <c r="CF1625"/>
  <c r="CF1626"/>
  <c r="CF1629"/>
  <c r="CF1630"/>
  <c r="CF1632"/>
  <c r="CF1633"/>
  <c r="CF1634"/>
  <c r="CF1636"/>
  <c r="CF1637"/>
  <c r="CF1638"/>
  <c r="CF1640"/>
  <c r="CF1641"/>
  <c r="CF1642"/>
  <c r="CF1645"/>
  <c r="CF1646"/>
  <c r="CF1648"/>
  <c r="CF1649"/>
  <c r="CF1650"/>
  <c r="CF1652"/>
  <c r="CF1653"/>
  <c r="CF1654"/>
  <c r="CF1656"/>
  <c r="CF1657"/>
  <c r="CF1658"/>
  <c r="CF1661"/>
  <c r="CF1662"/>
  <c r="CF1664"/>
  <c r="CF1665"/>
  <c r="CF1668"/>
  <c r="CF1669"/>
  <c r="CF1670"/>
  <c r="CF1672"/>
  <c r="CF1673"/>
  <c r="CF1674"/>
  <c r="CF1677"/>
  <c r="CF1678"/>
  <c r="CF1680"/>
  <c r="CF1681"/>
  <c r="CF1682"/>
  <c r="CF1684"/>
  <c r="CF1685"/>
  <c r="CF1686"/>
  <c r="CF1688"/>
  <c r="CF1689"/>
  <c r="CF1690"/>
  <c r="CF1693"/>
  <c r="CF1694"/>
  <c r="CF1696"/>
  <c r="CF1697"/>
  <c r="CF1698"/>
  <c r="CF1700"/>
  <c r="CF1701"/>
  <c r="CF1702"/>
  <c r="CF1704"/>
  <c r="CF1705"/>
  <c r="CF1706"/>
  <c r="CF1709"/>
  <c r="CF1710"/>
  <c r="CF1712"/>
  <c r="CF1713"/>
  <c r="CF1714"/>
  <c r="CF1716"/>
  <c r="CF1717"/>
  <c r="CF1718"/>
  <c r="CF1720"/>
  <c r="CF1721"/>
  <c r="CF1722"/>
  <c r="CF1725"/>
  <c r="CF1726"/>
  <c r="CF1728"/>
  <c r="CF1729"/>
  <c r="CF1732"/>
  <c r="CF1733"/>
  <c r="CF1734"/>
  <c r="CF1736"/>
  <c r="CF1737"/>
  <c r="CF1738"/>
  <c r="CF1741"/>
  <c r="CF1742"/>
  <c r="CF1744"/>
  <c r="CF1745"/>
  <c r="CF1746"/>
  <c r="CF1748"/>
  <c r="CF1749"/>
  <c r="CF1750"/>
  <c r="CF1752"/>
  <c r="CF1753"/>
  <c r="CF1754"/>
  <c r="CF1757"/>
  <c r="CF1758"/>
  <c r="CF1760"/>
  <c r="CF1761"/>
  <c r="CF1762"/>
  <c r="CF1764"/>
  <c r="CF1765"/>
  <c r="CF1766"/>
  <c r="CF1768"/>
  <c r="CF1769"/>
  <c r="CF1770"/>
  <c r="CF1773"/>
  <c r="CF1774"/>
  <c r="CF1776"/>
  <c r="CF1777"/>
  <c r="CF1778"/>
  <c r="CF1780"/>
  <c r="CF1781"/>
  <c r="CF1782"/>
  <c r="CF1784"/>
  <c r="CF1785"/>
  <c r="CF1786"/>
  <c r="CF1789"/>
  <c r="CF1790"/>
  <c r="CF1792"/>
  <c r="CF1793"/>
  <c r="CF1796"/>
  <c r="CF1797"/>
  <c r="CF1798"/>
  <c r="CF1800"/>
  <c r="CF1801"/>
  <c r="CF1802"/>
  <c r="CF1805"/>
  <c r="CF1806"/>
  <c r="CF1808"/>
  <c r="CF1809"/>
  <c r="CF1810"/>
  <c r="CF1812"/>
  <c r="CF1813"/>
  <c r="CF1814"/>
  <c r="CF1816"/>
  <c r="CF1817"/>
  <c r="CF1818"/>
  <c r="CF1821"/>
  <c r="CF1822"/>
  <c r="CF1824"/>
  <c r="CF1825"/>
  <c r="CF1826"/>
  <c r="CF1828"/>
  <c r="CF1829"/>
  <c r="CF1830"/>
  <c r="CF1832"/>
  <c r="CF1833"/>
  <c r="CF1834"/>
  <c r="CF1837"/>
  <c r="CF1838"/>
  <c r="CF1840"/>
  <c r="CF1841"/>
  <c r="CF1842"/>
  <c r="CF1844"/>
  <c r="CF1845"/>
  <c r="CF1846"/>
  <c r="CF1848"/>
  <c r="CF1849"/>
  <c r="CF1850"/>
  <c r="CF1853"/>
  <c r="CF1854"/>
  <c r="CF1856"/>
  <c r="CF1857"/>
  <c r="CF1860"/>
  <c r="CF1861"/>
  <c r="CF1862"/>
  <c r="CF1864"/>
  <c r="CF1865"/>
  <c r="CF1866"/>
  <c r="CF1869"/>
  <c r="CF1870"/>
  <c r="CF1872"/>
  <c r="CF1873"/>
  <c r="CF1874"/>
  <c r="CF1876"/>
  <c r="CF1877"/>
  <c r="CF1878"/>
  <c r="CF1880"/>
  <c r="CF1881"/>
  <c r="CF1882"/>
  <c r="CF1885"/>
  <c r="CF1886"/>
  <c r="CF1888"/>
  <c r="CF1889"/>
  <c r="CF1890"/>
  <c r="CF1892"/>
  <c r="CF1893"/>
  <c r="CF1894"/>
  <c r="CF1896"/>
  <c r="CF1897"/>
  <c r="CF1898"/>
  <c r="CF1901"/>
  <c r="CF1902"/>
  <c r="CF1904"/>
  <c r="CF1905"/>
  <c r="CF1906"/>
  <c r="CF1908"/>
  <c r="CF1909"/>
  <c r="CF1910"/>
  <c r="CF1912"/>
  <c r="CF1913"/>
  <c r="CF1914"/>
  <c r="CF1917"/>
  <c r="CF1918"/>
  <c r="CF1920"/>
  <c r="CF1921"/>
  <c r="CF1924"/>
  <c r="CF1925"/>
  <c r="CF1926"/>
  <c r="CF1928"/>
  <c r="CF1929"/>
  <c r="CF1930"/>
  <c r="CF1933"/>
  <c r="CF1934"/>
  <c r="CF1936"/>
  <c r="CF1937"/>
  <c r="CF1938"/>
  <c r="CF1940"/>
  <c r="CF1941"/>
  <c r="CF1942"/>
  <c r="CF1944"/>
  <c r="CF1945"/>
  <c r="CF1946"/>
  <c r="CF1949"/>
  <c r="CF1950"/>
  <c r="CF1952"/>
  <c r="CF1953"/>
  <c r="CF1954"/>
  <c r="CF1956"/>
  <c r="CF1957"/>
  <c r="CF1958"/>
  <c r="CF1960"/>
  <c r="CF1961"/>
  <c r="CF1962"/>
  <c r="CF1965"/>
  <c r="CF1966"/>
  <c r="CF1968"/>
  <c r="CF1969"/>
  <c r="CF1970"/>
  <c r="CF1972"/>
  <c r="CF1973"/>
  <c r="CF1974"/>
  <c r="CF1976"/>
  <c r="CF1977"/>
  <c r="CF1978"/>
  <c r="CF1981"/>
  <c r="CF1982"/>
  <c r="CF1984"/>
  <c r="CF1985"/>
  <c r="CF1988"/>
  <c r="CF1989"/>
  <c r="CF1990"/>
  <c r="CF1992"/>
  <c r="CF1993"/>
  <c r="CF1994"/>
  <c r="CF1997"/>
  <c r="CF1998"/>
  <c r="CF2000"/>
  <c r="CF2001"/>
  <c r="CF2002"/>
  <c r="CF2004"/>
  <c r="CF2005"/>
  <c r="CF2006"/>
  <c r="CF2008"/>
  <c r="CF2009"/>
  <c r="CF2010"/>
  <c r="CF2013"/>
  <c r="CF2014"/>
  <c r="CF2016"/>
  <c r="CF2017"/>
  <c r="CF2018"/>
  <c r="CF2020"/>
  <c r="CF2021"/>
  <c r="CF2022"/>
  <c r="CF2024"/>
  <c r="CF2025"/>
  <c r="CF2026"/>
  <c r="CF2029"/>
  <c r="CF2030"/>
  <c r="CF2032"/>
  <c r="CF2033"/>
  <c r="CF2034"/>
  <c r="CF2036"/>
  <c r="CF2037"/>
  <c r="CF2038"/>
  <c r="CF2040"/>
  <c r="CF2041"/>
  <c r="CF2042"/>
  <c r="CF2045"/>
  <c r="CF2046"/>
  <c r="CF2048"/>
  <c r="CF2049"/>
  <c r="CF2052"/>
  <c r="CF2053"/>
  <c r="CF2054"/>
  <c r="CF2056"/>
  <c r="CF2057"/>
  <c r="CF2058"/>
  <c r="CF2061"/>
  <c r="CF2062"/>
  <c r="CF2064"/>
  <c r="CF2065"/>
  <c r="CF2066"/>
  <c r="CF2068"/>
  <c r="CF2069"/>
  <c r="CF2070"/>
  <c r="CF2072"/>
  <c r="CF2073"/>
  <c r="CF2074"/>
  <c r="CF2077"/>
  <c r="CF2078"/>
  <c r="CF2080"/>
  <c r="CF2081"/>
  <c r="CF2082"/>
  <c r="CF2084"/>
  <c r="CF2085"/>
  <c r="CF2086"/>
  <c r="CF2088"/>
  <c r="CF2089"/>
  <c r="CF2090"/>
  <c r="CF2093"/>
  <c r="CF2094"/>
  <c r="CF2096"/>
  <c r="CF2097"/>
  <c r="CF2098"/>
  <c r="CF2100"/>
  <c r="CF2101"/>
  <c r="CF2102"/>
  <c r="CF2104"/>
  <c r="CF2105"/>
  <c r="CF2106"/>
  <c r="CF2109"/>
  <c r="CF2110"/>
  <c r="CF2112"/>
  <c r="CF2113"/>
  <c r="CF2116"/>
  <c r="CF2117"/>
  <c r="CF2118"/>
  <c r="CF2120"/>
  <c r="CF2121"/>
  <c r="CF2122"/>
  <c r="CF2125"/>
  <c r="CF2126"/>
  <c r="CF2128"/>
  <c r="CF2129"/>
  <c r="CF2130"/>
  <c r="CF2132"/>
  <c r="CF2133"/>
  <c r="CF2134"/>
  <c r="CF2136"/>
  <c r="CF2137"/>
  <c r="CF2138"/>
  <c r="CF2141"/>
  <c r="CF2142"/>
  <c r="CF2144"/>
  <c r="CF2145"/>
  <c r="CF2146"/>
  <c r="CF2148"/>
  <c r="CF2149"/>
  <c r="CF2150"/>
  <c r="CF2152"/>
  <c r="CF2153"/>
  <c r="CF2154"/>
  <c r="CF2157"/>
  <c r="CF2158"/>
  <c r="CF2160"/>
  <c r="CF2161"/>
  <c r="CF2162"/>
  <c r="CF2164"/>
  <c r="CF2165"/>
  <c r="CF2166"/>
  <c r="CF2168"/>
  <c r="CF2169"/>
  <c r="CF2170"/>
  <c r="CF2173"/>
  <c r="CF2174"/>
  <c r="CF2176"/>
  <c r="CF2177"/>
  <c r="CF2180"/>
  <c r="CF2181"/>
  <c r="CF2182"/>
  <c r="CF2184"/>
  <c r="CF2185"/>
  <c r="CF2186"/>
  <c r="CF2189"/>
  <c r="CF2190"/>
  <c r="CF2192"/>
  <c r="CF2193"/>
  <c r="CF2194"/>
  <c r="CF2196"/>
  <c r="CF2197"/>
  <c r="CF2198"/>
  <c r="CF2200"/>
  <c r="CF2201"/>
  <c r="CF2202"/>
  <c r="CF2205"/>
  <c r="CF2206"/>
  <c r="CF2208"/>
  <c r="CF2209"/>
  <c r="CF2210"/>
  <c r="CF2212"/>
  <c r="CF2213"/>
  <c r="CF2214"/>
  <c r="CF2216"/>
  <c r="CF2217"/>
  <c r="CF2218"/>
  <c r="CF2221"/>
  <c r="CF2222"/>
  <c r="CF2224"/>
  <c r="CF2225"/>
  <c r="CF2226"/>
  <c r="CF2228"/>
  <c r="CF2229"/>
  <c r="CF2230"/>
  <c r="CF2232"/>
  <c r="CF2233"/>
  <c r="CF2234"/>
  <c r="CF2237"/>
  <c r="CF2238"/>
  <c r="CF2240"/>
  <c r="CF2241"/>
  <c r="CF2244"/>
  <c r="CF2245"/>
  <c r="CF2246"/>
  <c r="CF2248"/>
  <c r="CF2249"/>
  <c r="CF2250"/>
  <c r="CF2253"/>
  <c r="CF2254"/>
  <c r="CF2256"/>
  <c r="CF2257"/>
  <c r="CF2258"/>
  <c r="CF2260"/>
  <c r="CF2261"/>
  <c r="CF2262"/>
  <c r="CF2264"/>
  <c r="CF2265"/>
  <c r="CF2266"/>
  <c r="CF2269"/>
  <c r="CF2270"/>
  <c r="CF2272"/>
  <c r="CF2273"/>
  <c r="CF2274"/>
  <c r="CF2276"/>
  <c r="CF2277"/>
  <c r="CF2278"/>
  <c r="CF2280"/>
  <c r="CF2281"/>
  <c r="CF2282"/>
  <c r="CF2285"/>
  <c r="CF2286"/>
  <c r="CF2288"/>
  <c r="CF2289"/>
  <c r="CF2290"/>
  <c r="CF2292"/>
  <c r="CF2293"/>
  <c r="CF2294"/>
  <c r="CF2296"/>
  <c r="CF2297"/>
  <c r="CF2298"/>
  <c r="CF2301"/>
  <c r="CF2302"/>
  <c r="CF2304"/>
  <c r="CF2305"/>
  <c r="CF2308"/>
  <c r="CF2309"/>
  <c r="CF2310"/>
  <c r="CF2312"/>
  <c r="CF2313"/>
  <c r="CF2314"/>
  <c r="CF2317"/>
  <c r="CF2318"/>
  <c r="CF2320"/>
  <c r="CF2321"/>
  <c r="CF2322"/>
  <c r="CF2324"/>
  <c r="CF2325"/>
  <c r="CF2326"/>
  <c r="CF2328"/>
  <c r="CF2329"/>
  <c r="CF2330"/>
  <c r="CF2333"/>
  <c r="CF2334"/>
  <c r="CF2336"/>
  <c r="CF2337"/>
  <c r="CF2338"/>
  <c r="CF2340"/>
  <c r="CF2341"/>
  <c r="CF2342"/>
  <c r="CF2344"/>
  <c r="CF2345"/>
  <c r="CF2346"/>
  <c r="CF2349"/>
  <c r="CF2350"/>
  <c r="CF2352"/>
  <c r="CF2353"/>
  <c r="CF2354"/>
  <c r="CF2355"/>
  <c r="CF2356"/>
  <c r="CF2357"/>
  <c r="CF2358"/>
  <c r="CF2359"/>
  <c r="CF2361"/>
  <c r="CF2362"/>
  <c r="CF2363"/>
  <c r="CF2365"/>
  <c r="CF2366"/>
  <c r="CF2367"/>
  <c r="CF2368"/>
  <c r="CF2369"/>
  <c r="CF2370"/>
  <c r="CF2371"/>
  <c r="CF2372"/>
  <c r="CF2373"/>
  <c r="CF2374"/>
  <c r="CF2375"/>
  <c r="CF2377"/>
  <c r="CF2378"/>
  <c r="CF2379"/>
  <c r="CF2381"/>
  <c r="CF2382"/>
  <c r="CF2383"/>
  <c r="CF2384"/>
  <c r="CF2385"/>
  <c r="CF2386"/>
  <c r="CF2387"/>
  <c r="CF2388"/>
  <c r="CF2389"/>
  <c r="CF2390"/>
  <c r="CF2391"/>
  <c r="CF2393"/>
  <c r="CF2394"/>
  <c r="CF2395"/>
  <c r="CF2397"/>
  <c r="CF2398"/>
  <c r="CF2399"/>
  <c r="CF2400"/>
  <c r="CF2401"/>
  <c r="CF2402"/>
  <c r="CF2403"/>
  <c r="CF2404"/>
  <c r="CF2405"/>
  <c r="CF2406"/>
  <c r="CF2407"/>
  <c r="CF2409"/>
  <c r="CF2410"/>
  <c r="CF2411"/>
  <c r="CF2413"/>
  <c r="CF2414"/>
  <c r="CF2415"/>
  <c r="CF2416"/>
  <c r="CF2417"/>
  <c r="CF2418"/>
  <c r="CF2419"/>
  <c r="CF2420"/>
  <c r="CF2421"/>
  <c r="CF2422"/>
  <c r="CF2423"/>
  <c r="CF2425"/>
  <c r="CF2426"/>
  <c r="CF2427"/>
  <c r="CF2429"/>
  <c r="CF2430"/>
  <c r="CF2431"/>
  <c r="CF2432"/>
  <c r="CF2433"/>
  <c r="CF2434"/>
  <c r="CF2435"/>
  <c r="CF2436"/>
  <c r="CF2437"/>
  <c r="CF2438"/>
  <c r="CF2439"/>
  <c r="CF2441"/>
  <c r="CF2442"/>
  <c r="CF2443"/>
  <c r="CF2445"/>
  <c r="CF2446"/>
  <c r="CF2447"/>
  <c r="CF2448"/>
  <c r="CF2449"/>
  <c r="CF2450"/>
  <c r="CF2451"/>
  <c r="CF2452"/>
  <c r="CF2453"/>
  <c r="CF2454"/>
  <c r="CF2455"/>
  <c r="CF2457"/>
  <c r="CF2458"/>
  <c r="CF2459"/>
  <c r="CF2461"/>
  <c r="CF2462"/>
  <c r="CF2463"/>
  <c r="CF2464"/>
  <c r="CF2465"/>
  <c r="CF2466"/>
  <c r="CF2467"/>
  <c r="CF2468"/>
  <c r="CF2469"/>
  <c r="CF2470"/>
  <c r="CF2471"/>
  <c r="CF2473"/>
  <c r="CF2474"/>
  <c r="CF2475"/>
  <c r="CF2477"/>
  <c r="CF2478"/>
  <c r="CF2479"/>
  <c r="CF2480"/>
  <c r="CF2481"/>
  <c r="CF2482"/>
  <c r="CF2483"/>
  <c r="CF2484"/>
  <c r="CF2485"/>
  <c r="CF2486"/>
  <c r="CF2487"/>
  <c r="CF2489"/>
  <c r="CF2490"/>
  <c r="CF2491"/>
  <c r="CF2493"/>
  <c r="CF2494"/>
  <c r="CF2495"/>
  <c r="CF2496"/>
  <c r="CF2497"/>
  <c r="CF2498"/>
  <c r="CF2499"/>
  <c r="CF2500"/>
  <c r="CF2501"/>
  <c r="CF2502"/>
  <c r="CF2503"/>
  <c r="CF2505"/>
  <c r="CF2506"/>
  <c r="CF2507"/>
  <c r="CF2509"/>
  <c r="CF2510"/>
  <c r="CF2511"/>
  <c r="CF2512"/>
  <c r="CF2513"/>
  <c r="CF2514"/>
  <c r="CF2515"/>
  <c r="CF2516"/>
  <c r="CF2517"/>
  <c r="CF2518"/>
  <c r="CF2519"/>
  <c r="CF2521"/>
  <c r="CF2522"/>
  <c r="CF2523"/>
  <c r="CF2525"/>
  <c r="CF2526"/>
  <c r="CF2527"/>
  <c r="CF2528"/>
  <c r="CF2529"/>
  <c r="CF2530"/>
  <c r="CF2531"/>
  <c r="CF2532"/>
  <c r="CF2533"/>
  <c r="CF2534"/>
  <c r="CF2535"/>
  <c r="CF2537"/>
  <c r="CF2538"/>
  <c r="CF2539"/>
  <c r="CF2541"/>
  <c r="CF2542"/>
  <c r="CF2543"/>
  <c r="CF2544"/>
  <c r="CF2545"/>
  <c r="CF2546"/>
  <c r="CF2547"/>
  <c r="CF2548"/>
  <c r="CF2549"/>
  <c r="CF2550"/>
  <c r="CF2551"/>
  <c r="CF2553"/>
  <c r="CF2554"/>
  <c r="CF2555"/>
  <c r="CF2557"/>
  <c r="CF2558"/>
  <c r="CF2559"/>
  <c r="CF2560"/>
  <c r="CF2561"/>
  <c r="CF2562"/>
  <c r="CF2563"/>
  <c r="CF2564"/>
  <c r="CF2565"/>
  <c r="CF2566"/>
  <c r="CF2567"/>
  <c r="CF2569"/>
  <c r="CF2570"/>
  <c r="CF2571"/>
  <c r="CF2573"/>
  <c r="CF2574"/>
  <c r="CF2575"/>
  <c r="CF2576"/>
  <c r="CF2577"/>
  <c r="CF2578"/>
  <c r="CF2579"/>
  <c r="CF2580"/>
  <c r="CF2581"/>
  <c r="CF2582"/>
  <c r="CF2583"/>
  <c r="CF2585"/>
  <c r="CF2586"/>
  <c r="CF2587"/>
  <c r="CF2589"/>
  <c r="CF2590"/>
  <c r="CF2591"/>
  <c r="CF2592"/>
  <c r="CF2593"/>
  <c r="CF2594"/>
  <c r="CF2595"/>
  <c r="CF2596"/>
  <c r="CF2597"/>
  <c r="CF2598"/>
  <c r="CF2599"/>
  <c r="CF2601"/>
  <c r="CF2602"/>
  <c r="CF2603"/>
  <c r="CF2605"/>
  <c r="CF2606"/>
  <c r="CF2607"/>
  <c r="CF2608"/>
  <c r="CF2609"/>
  <c r="CF2610"/>
  <c r="CF2611"/>
  <c r="CF2612"/>
  <c r="CF2613"/>
  <c r="CF2614"/>
  <c r="CF2615"/>
  <c r="CF2617"/>
  <c r="CF2618"/>
  <c r="CF2619"/>
  <c r="CF2621"/>
  <c r="CF2622"/>
  <c r="CF2623"/>
  <c r="CF2624"/>
  <c r="CF2625"/>
  <c r="CF2626"/>
  <c r="CF2627"/>
  <c r="CF2628"/>
  <c r="CF2629"/>
  <c r="CF2630"/>
  <c r="CF2631"/>
  <c r="CF2633"/>
  <c r="CF2634"/>
  <c r="CF2635"/>
  <c r="CF2637"/>
  <c r="CF2638"/>
  <c r="CF2639"/>
  <c r="CF2640"/>
  <c r="CF2641"/>
  <c r="CF2642"/>
  <c r="CF2643"/>
  <c r="CF2644"/>
  <c r="CF2645"/>
  <c r="CF2646"/>
  <c r="CF2647"/>
  <c r="CF2649"/>
  <c r="CF2650"/>
  <c r="CF2651"/>
  <c r="CF2653"/>
  <c r="CF2654"/>
  <c r="CF2655"/>
  <c r="CF2656"/>
  <c r="CF2657"/>
  <c r="CF2658"/>
  <c r="CF2659"/>
  <c r="CF2660"/>
  <c r="CF2661"/>
  <c r="CF2662"/>
  <c r="CF2663"/>
  <c r="CF2665"/>
  <c r="CF2666"/>
  <c r="CF2667"/>
  <c r="CF2669"/>
  <c r="CF2670"/>
  <c r="CF2671"/>
  <c r="CF2672"/>
  <c r="CF2673"/>
  <c r="CF2674"/>
  <c r="CF2675"/>
  <c r="CF2676"/>
  <c r="CF2677"/>
  <c r="CF2678"/>
  <c r="CF2679"/>
  <c r="CF2681"/>
  <c r="CF2682"/>
  <c r="CF2683"/>
  <c r="CF2685"/>
  <c r="CF2686"/>
  <c r="CF2687"/>
  <c r="CF2688"/>
  <c r="CF2689"/>
  <c r="CF2690"/>
  <c r="CF2691"/>
  <c r="CF2692"/>
  <c r="CF2693"/>
  <c r="CF2694"/>
  <c r="CF2695"/>
  <c r="CF2697"/>
  <c r="CF2698"/>
  <c r="CF2699"/>
  <c r="CF2701"/>
  <c r="CF2702"/>
  <c r="CF2703"/>
  <c r="CF2704"/>
  <c r="CF2705"/>
  <c r="CF2706"/>
  <c r="CF2707"/>
  <c r="CF2708"/>
  <c r="CF2709"/>
  <c r="CF2710"/>
  <c r="CF2711"/>
  <c r="CF2713"/>
  <c r="CF2714"/>
  <c r="CF2715"/>
  <c r="CF2717"/>
  <c r="CF2718"/>
  <c r="CF2719"/>
  <c r="CF2720"/>
  <c r="CF2721"/>
  <c r="CF2722"/>
  <c r="CF2723"/>
  <c r="CF2724"/>
  <c r="CF2725"/>
  <c r="CF2726"/>
  <c r="CF2727"/>
  <c r="CF2729"/>
  <c r="CF2730"/>
  <c r="CF2731"/>
  <c r="CF2733"/>
  <c r="CF2734"/>
  <c r="CF2735"/>
  <c r="CF2736"/>
  <c r="CF2737"/>
  <c r="CF2738"/>
  <c r="CF2739"/>
  <c r="CF2740"/>
  <c r="CF2741"/>
  <c r="CF2742"/>
  <c r="CF2743"/>
  <c r="CF2745"/>
  <c r="CF2746"/>
  <c r="CF2747"/>
  <c r="CF2749"/>
  <c r="CF2750"/>
  <c r="CF2751"/>
  <c r="CF2752"/>
  <c r="CF2753"/>
  <c r="CF2754"/>
  <c r="CF2755"/>
  <c r="CF2756"/>
  <c r="CF2757"/>
  <c r="CF2758"/>
  <c r="CF2759"/>
  <c r="CF2761"/>
  <c r="CF2762"/>
  <c r="CF2763"/>
  <c r="CF2765"/>
  <c r="CF2766"/>
  <c r="CF2767"/>
  <c r="CF2768"/>
  <c r="CF2769"/>
  <c r="CF2770"/>
  <c r="CF2771"/>
  <c r="CF2772"/>
  <c r="CF2773"/>
  <c r="CF2774"/>
  <c r="CF2775"/>
  <c r="CF2777"/>
  <c r="CF2778"/>
  <c r="CF2779"/>
  <c r="CF2781"/>
  <c r="CF2782"/>
  <c r="CF2783"/>
  <c r="CF2784"/>
  <c r="CF2785"/>
  <c r="CF2786"/>
  <c r="CF2787"/>
  <c r="CF2788"/>
  <c r="CF2789"/>
  <c r="CF2790"/>
  <c r="CF2791"/>
  <c r="CF2793"/>
  <c r="CF2794"/>
  <c r="CF2795"/>
  <c r="CF2797"/>
  <c r="CF2798"/>
  <c r="CF2799"/>
  <c r="CF2800"/>
  <c r="CF2801"/>
  <c r="CF2802"/>
  <c r="CF2803"/>
  <c r="CF2804"/>
  <c r="CF2805"/>
  <c r="CF2806"/>
  <c r="CF2807"/>
  <c r="CF2809"/>
  <c r="CF2810"/>
  <c r="CF2811"/>
  <c r="CF2813"/>
  <c r="CF2814"/>
  <c r="CF2815"/>
  <c r="CF2816"/>
  <c r="CF2817"/>
  <c r="CF2818"/>
  <c r="CF2819"/>
  <c r="CF2820"/>
  <c r="CF2821"/>
  <c r="CF2822"/>
  <c r="CF2823"/>
  <c r="CF2825"/>
  <c r="CF2826"/>
  <c r="CF2827"/>
  <c r="CF2829"/>
  <c r="CF2830"/>
  <c r="CF2831"/>
  <c r="CF2832"/>
  <c r="CF2833"/>
  <c r="CF2834"/>
  <c r="CF2835"/>
  <c r="CF2836"/>
  <c r="CF2837"/>
  <c r="CF2838"/>
  <c r="CF2839"/>
  <c r="CF2841"/>
  <c r="CF2842"/>
  <c r="CF2843"/>
  <c r="CF2845"/>
  <c r="CF2846"/>
  <c r="CF2847"/>
  <c r="CF2848"/>
  <c r="CF2849"/>
  <c r="CF2850"/>
  <c r="CF2851"/>
  <c r="CF2852"/>
  <c r="CF2853"/>
  <c r="CF2854"/>
  <c r="CF2855"/>
  <c r="CF2857"/>
  <c r="CF2858"/>
  <c r="CF2859"/>
  <c r="CF2861"/>
  <c r="CF2862"/>
  <c r="CF2863"/>
  <c r="CF2864"/>
  <c r="CF2865"/>
  <c r="CF2866"/>
  <c r="CF2867"/>
  <c r="CF2868"/>
  <c r="CF2869"/>
  <c r="CF2870"/>
  <c r="CF2871"/>
  <c r="CF2873"/>
  <c r="CF2874"/>
  <c r="CF2875"/>
  <c r="CF2877"/>
  <c r="CF2878"/>
  <c r="CF2879"/>
  <c r="CF2880"/>
  <c r="CF2881"/>
  <c r="CF2882"/>
  <c r="CF2883"/>
  <c r="CF2884"/>
  <c r="CF2885"/>
  <c r="CF2886"/>
  <c r="CF2887"/>
  <c r="CF2889"/>
  <c r="CF2890"/>
  <c r="CF2891"/>
  <c r="CF2893"/>
  <c r="CF2894"/>
  <c r="CF2895"/>
  <c r="CF2896"/>
  <c r="CF2897"/>
  <c r="CF2898"/>
  <c r="CF2899"/>
  <c r="CF2900"/>
  <c r="CF2901"/>
  <c r="CF2902"/>
  <c r="CF2903"/>
  <c r="CF2905"/>
  <c r="CF2906"/>
  <c r="CF2907"/>
  <c r="CF2909"/>
  <c r="CF2910"/>
  <c r="CF2911"/>
  <c r="CF2912"/>
  <c r="CF2913"/>
  <c r="CF2914"/>
  <c r="CF2915"/>
  <c r="CF2916"/>
  <c r="CF2917"/>
  <c r="CF2918"/>
  <c r="CF2919"/>
  <c r="CF2921"/>
  <c r="CF2922"/>
  <c r="CF2923"/>
  <c r="CF2925"/>
  <c r="CF2926"/>
  <c r="CF2927"/>
  <c r="CF2928"/>
  <c r="CF2929"/>
  <c r="CF2930"/>
  <c r="CF2931"/>
  <c r="CF2932"/>
  <c r="CF2933"/>
  <c r="CF2934"/>
  <c r="CF2935"/>
  <c r="CF2937"/>
  <c r="CF2938"/>
  <c r="CF2939"/>
  <c r="CF2941"/>
  <c r="CF2942"/>
  <c r="CF2943"/>
  <c r="CF2944"/>
  <c r="CF2945"/>
  <c r="CF2946"/>
  <c r="CF2947"/>
  <c r="CF2948"/>
  <c r="CF2949"/>
  <c r="CF2950"/>
  <c r="CF2951"/>
  <c r="CF2953"/>
  <c r="CF2954"/>
  <c r="CF2955"/>
  <c r="CF2957"/>
  <c r="CF2958"/>
  <c r="CF2959"/>
  <c r="CF2960"/>
  <c r="CF2961"/>
  <c r="CF2962"/>
  <c r="CF2963"/>
  <c r="CF2964"/>
  <c r="CF2965"/>
  <c r="CF2966"/>
  <c r="CF2967"/>
  <c r="CF2969"/>
  <c r="CF2970"/>
  <c r="CF2971"/>
  <c r="CF2973"/>
  <c r="CF2974"/>
  <c r="CF2975"/>
  <c r="CF2976"/>
  <c r="CF2977"/>
  <c r="CF2978"/>
  <c r="CF2979"/>
  <c r="CF2980"/>
  <c r="CF2981"/>
  <c r="CF2982"/>
  <c r="CF2983"/>
  <c r="CF2985"/>
  <c r="CF2986"/>
  <c r="CF2987"/>
  <c r="CF2989"/>
  <c r="CF2990"/>
  <c r="CF2991"/>
  <c r="CF2992"/>
  <c r="CF2993"/>
  <c r="CF2994"/>
  <c r="CF2995"/>
  <c r="CF2996"/>
  <c r="CF2997"/>
  <c r="CF2998"/>
  <c r="CF2999"/>
  <c r="CF3001"/>
  <c r="CF3002"/>
  <c r="CF3003"/>
  <c r="CF3005"/>
  <c r="CF3006"/>
  <c r="CF3007"/>
  <c r="CF3008"/>
  <c r="CF3009"/>
  <c r="CF3010"/>
  <c r="CF3011"/>
  <c r="CF3012"/>
  <c r="CF3013"/>
  <c r="CF3014"/>
  <c r="CF3015"/>
  <c r="CF3017"/>
  <c r="CF3018"/>
  <c r="CF3019"/>
  <c r="CF3021"/>
  <c r="CF3022"/>
  <c r="CF3023"/>
  <c r="CF3024"/>
  <c r="CF3025"/>
  <c r="CF3026"/>
  <c r="CF3027"/>
  <c r="CF3028"/>
  <c r="CF3029"/>
  <c r="CF3030"/>
  <c r="CF3031"/>
  <c r="CF3033"/>
  <c r="CF3034"/>
  <c r="CF3035"/>
  <c r="CF3037"/>
  <c r="CF3038"/>
  <c r="CF3039"/>
  <c r="CF3040"/>
  <c r="CF3041"/>
  <c r="CF3042"/>
  <c r="CF3043"/>
  <c r="CF3044"/>
  <c r="CF3045"/>
  <c r="CF3046"/>
  <c r="CF3047"/>
  <c r="CF3049"/>
  <c r="CF3050"/>
  <c r="CF3051"/>
  <c r="CF3053"/>
  <c r="CF3054"/>
  <c r="CF3055"/>
  <c r="CF3056"/>
  <c r="CF3057"/>
  <c r="CF3058"/>
  <c r="CF3059"/>
  <c r="CF3060"/>
  <c r="CF3061"/>
  <c r="CF3062"/>
  <c r="CF3063"/>
  <c r="CF3065"/>
  <c r="CF3066"/>
  <c r="CF3067"/>
  <c r="CF3069"/>
  <c r="CF3070"/>
  <c r="CF3071"/>
  <c r="CF3072"/>
  <c r="CF3073"/>
  <c r="CF3074"/>
  <c r="CF3075"/>
  <c r="CF3076"/>
  <c r="CF3077"/>
  <c r="CF3078"/>
  <c r="CF3079"/>
  <c r="CF3081"/>
  <c r="CF3082"/>
  <c r="CF3083"/>
  <c r="CF3085"/>
  <c r="CF3086"/>
  <c r="CF3087"/>
  <c r="CF3088"/>
  <c r="CF3089"/>
  <c r="CF3090"/>
  <c r="CF3091"/>
  <c r="CF3092"/>
  <c r="CF3093"/>
  <c r="CF3094"/>
  <c r="CF3095"/>
  <c r="CF3097"/>
  <c r="CF3098"/>
  <c r="CF3099"/>
  <c r="CF3101"/>
  <c r="CF3102"/>
  <c r="CF3103"/>
  <c r="CF3104"/>
  <c r="CF3105"/>
  <c r="CF3106"/>
  <c r="CF3107"/>
  <c r="CF3108"/>
  <c r="CF3109"/>
  <c r="CF3110"/>
  <c r="CF3111"/>
  <c r="CF3113"/>
  <c r="CF3114"/>
  <c r="CF3115"/>
  <c r="CF3117"/>
  <c r="CF3118"/>
  <c r="CF3119"/>
  <c r="CF3120"/>
  <c r="CF3121"/>
  <c r="CF3122"/>
  <c r="CF3123"/>
  <c r="CF3124"/>
  <c r="CF3125"/>
  <c r="CF3126"/>
  <c r="CF3127"/>
  <c r="CF3129"/>
  <c r="CF3130"/>
  <c r="CF3131"/>
  <c r="CF3133"/>
  <c r="CF3134"/>
  <c r="CF3135"/>
  <c r="CF3136"/>
  <c r="CF3137"/>
  <c r="CF3138"/>
  <c r="CF3139"/>
  <c r="CF3140"/>
  <c r="CF3141"/>
  <c r="CF3142"/>
  <c r="CF3143"/>
  <c r="CF3145"/>
  <c r="CF3146"/>
  <c r="CF3147"/>
  <c r="CF3149"/>
  <c r="CF3150"/>
  <c r="CF3151"/>
  <c r="CF3152"/>
  <c r="CF3153"/>
  <c r="CF3154"/>
  <c r="CF3155"/>
  <c r="CF3156"/>
  <c r="CF3157"/>
  <c r="CF3158"/>
  <c r="CF3159"/>
  <c r="CF3161"/>
  <c r="CF3162"/>
  <c r="CF3163"/>
  <c r="CF3165"/>
  <c r="CF3166"/>
  <c r="CF3167"/>
  <c r="CF3168"/>
  <c r="CF3169"/>
  <c r="CF3170"/>
  <c r="CF3171"/>
  <c r="CF3172"/>
  <c r="CF3173"/>
  <c r="CF3174"/>
  <c r="CF3175"/>
  <c r="CF3177"/>
  <c r="CF3178"/>
  <c r="CF3179"/>
  <c r="CF3181"/>
  <c r="CF3182"/>
  <c r="CF3183"/>
  <c r="CF3184"/>
  <c r="CF3185"/>
  <c r="CF3186"/>
  <c r="CF3187"/>
  <c r="CF3188"/>
  <c r="CF3189"/>
  <c r="CF3190"/>
  <c r="CF3191"/>
  <c r="CF3193"/>
  <c r="CF3194"/>
  <c r="CF3195"/>
  <c r="CF3197"/>
  <c r="CF3198"/>
  <c r="CF3199"/>
  <c r="CF3200"/>
  <c r="CF3201"/>
  <c r="CF3202"/>
  <c r="CF3203"/>
  <c r="CF3204"/>
  <c r="CF3205"/>
  <c r="CF3206"/>
  <c r="CF3207"/>
  <c r="CF3209"/>
  <c r="CF3210"/>
  <c r="CF3211"/>
  <c r="CF3213"/>
  <c r="CF3214"/>
  <c r="CF3215"/>
  <c r="CF3216"/>
  <c r="CF3217"/>
  <c r="CF3218"/>
  <c r="CF3219"/>
  <c r="CF3220"/>
  <c r="CF3221"/>
  <c r="CF3222"/>
  <c r="CF3223"/>
  <c r="CF3225"/>
  <c r="CF3226"/>
  <c r="CF3227"/>
  <c r="CF3229"/>
  <c r="CF3230"/>
  <c r="CF3231"/>
  <c r="CF3232"/>
  <c r="CF3233"/>
  <c r="CF3234"/>
  <c r="CF3235"/>
  <c r="CF3236"/>
  <c r="CF3237"/>
  <c r="CF3238"/>
  <c r="CF3239"/>
  <c r="CF3241"/>
  <c r="CF3242"/>
  <c r="CF3243"/>
  <c r="CF3245"/>
  <c r="CF3246"/>
  <c r="CF3247"/>
  <c r="CF3248"/>
  <c r="CF3249"/>
  <c r="CF3250"/>
  <c r="CF3251"/>
  <c r="CF3252"/>
  <c r="CF3253"/>
  <c r="CF3254"/>
  <c r="CF3255"/>
  <c r="CF3257"/>
  <c r="CF3258"/>
  <c r="CF3259"/>
  <c r="CF3261"/>
  <c r="CF3262"/>
  <c r="CF3263"/>
  <c r="CF3264"/>
  <c r="CF3265"/>
  <c r="CF3266"/>
  <c r="CF3267"/>
  <c r="CF3268"/>
  <c r="CF3269"/>
  <c r="CF3270"/>
  <c r="CF3271"/>
  <c r="CF3273"/>
  <c r="CF3274"/>
  <c r="CF3275"/>
  <c r="CF3277"/>
  <c r="CF3278"/>
  <c r="CF3279"/>
  <c r="CF3280"/>
  <c r="CF3281"/>
  <c r="CF3282"/>
  <c r="CF3283"/>
  <c r="CF3284"/>
  <c r="CF3285"/>
  <c r="CF3286"/>
  <c r="CF3287"/>
  <c r="CF3289"/>
  <c r="CF3290"/>
  <c r="CF3291"/>
  <c r="CF3293"/>
  <c r="CF3294"/>
  <c r="CF3295"/>
  <c r="CF3296"/>
  <c r="CF3297"/>
  <c r="CF3298"/>
  <c r="CF3299"/>
  <c r="CF3300"/>
  <c r="CF3301"/>
  <c r="CF3302"/>
  <c r="CF3303"/>
  <c r="CF3305"/>
  <c r="CF3306"/>
  <c r="CF3307"/>
  <c r="CF3309"/>
  <c r="CF3310"/>
  <c r="CF3311"/>
  <c r="CF3312"/>
  <c r="CF3313"/>
  <c r="CF3314"/>
  <c r="CF3315"/>
  <c r="CF3316"/>
  <c r="CF3317"/>
  <c r="CF3318"/>
  <c r="CF3319"/>
  <c r="CF3321"/>
  <c r="CF3322"/>
  <c r="CF3323"/>
  <c r="CF3325"/>
  <c r="CF3326"/>
  <c r="CF3327"/>
  <c r="CF3328"/>
  <c r="CF3329"/>
  <c r="CF3330"/>
  <c r="CF3331"/>
  <c r="CF3332"/>
  <c r="CF3333"/>
  <c r="CF3334"/>
  <c r="CF3335"/>
  <c r="CF3337"/>
  <c r="CF3338"/>
  <c r="CF3339"/>
  <c r="CF3341"/>
  <c r="CF3342"/>
  <c r="CF3343"/>
  <c r="CF3344"/>
  <c r="CF3345"/>
  <c r="CF3346"/>
  <c r="CF3347"/>
  <c r="CF3348"/>
  <c r="CF3349"/>
  <c r="CF3350"/>
  <c r="CF3351"/>
  <c r="CF3353"/>
  <c r="CF3354"/>
  <c r="CF3355"/>
  <c r="CF3357"/>
  <c r="CF3358"/>
  <c r="CF3359"/>
  <c r="CF3360"/>
  <c r="CF3361"/>
  <c r="CF3362"/>
  <c r="CF3363"/>
  <c r="CF3364"/>
  <c r="CF3365"/>
  <c r="CF3366"/>
  <c r="CF3367"/>
  <c r="CF3369"/>
  <c r="CF3370"/>
  <c r="CF3371"/>
  <c r="CF3373"/>
  <c r="CF3374"/>
  <c r="CF3375"/>
  <c r="CF3376"/>
  <c r="CF3377"/>
  <c r="CF3378"/>
  <c r="CF3379"/>
  <c r="CF3380"/>
  <c r="CF3381"/>
  <c r="CF3382"/>
  <c r="CF3383"/>
  <c r="CF3385"/>
  <c r="CF3386"/>
  <c r="CF3387"/>
  <c r="CF3389"/>
  <c r="CF3390"/>
  <c r="CF3391"/>
  <c r="CF3392"/>
  <c r="CF3393"/>
  <c r="CF3394"/>
  <c r="CF3395"/>
  <c r="CF3396"/>
  <c r="CF3397"/>
  <c r="CF3398"/>
  <c r="CF3399"/>
  <c r="CF3401"/>
  <c r="CF3402"/>
  <c r="CF3403"/>
  <c r="CF3405"/>
  <c r="CF3406"/>
  <c r="CF3407"/>
  <c r="CF3408"/>
  <c r="CF3409"/>
  <c r="CF3410"/>
  <c r="CF3411"/>
  <c r="CF3412"/>
  <c r="CF3413"/>
  <c r="CF3414"/>
  <c r="CF3415"/>
  <c r="CF3417"/>
  <c r="CF3418"/>
  <c r="CF3419"/>
  <c r="CF3421"/>
  <c r="CF3422"/>
  <c r="CF3423"/>
  <c r="CF3424"/>
  <c r="CF3425"/>
  <c r="CF3426"/>
  <c r="CF3427"/>
  <c r="CF3428"/>
  <c r="CF3429"/>
  <c r="CF3430"/>
  <c r="CF3431"/>
  <c r="CF3433"/>
  <c r="CF3434"/>
  <c r="CF3435"/>
  <c r="CF3437"/>
  <c r="CF3438"/>
  <c r="CF3439"/>
  <c r="CF3440"/>
  <c r="CF3441"/>
  <c r="CF3442"/>
  <c r="CF3443"/>
  <c r="CF3444"/>
  <c r="CF3445"/>
  <c r="CF3446"/>
  <c r="CF3447"/>
  <c r="CF3449"/>
  <c r="CF3450"/>
  <c r="CF3451"/>
  <c r="CF3453"/>
  <c r="CF3454"/>
  <c r="CF3455"/>
  <c r="CF3456"/>
  <c r="CF3457"/>
  <c r="CF3458"/>
  <c r="CF3459"/>
  <c r="CF3460"/>
  <c r="CF3461"/>
  <c r="CF3462"/>
  <c r="CF3463"/>
  <c r="CF3465"/>
  <c r="CF3466"/>
  <c r="CF3467"/>
  <c r="CF3469"/>
  <c r="CF3470"/>
  <c r="CF3471"/>
  <c r="CF3472"/>
  <c r="CF3473"/>
  <c r="CF3474"/>
  <c r="CF3475"/>
  <c r="CF3476"/>
  <c r="CF3477"/>
  <c r="CF3478"/>
  <c r="CF3479"/>
  <c r="CF3481"/>
  <c r="CF3482"/>
  <c r="CF3483"/>
  <c r="CF3485"/>
  <c r="CF3486"/>
  <c r="CF3487"/>
  <c r="CF3488"/>
  <c r="CF3489"/>
  <c r="CF3490"/>
  <c r="CF3491"/>
  <c r="CF3492"/>
  <c r="CF3493"/>
  <c r="CF3494"/>
  <c r="CF3495"/>
  <c r="CF3497"/>
  <c r="CF3498"/>
  <c r="CF3499"/>
  <c r="CF3501"/>
  <c r="CF3502"/>
  <c r="CF3503"/>
  <c r="CF3504"/>
  <c r="CF3505"/>
  <c r="CF3506"/>
  <c r="CF3507"/>
  <c r="CF3508"/>
  <c r="CF3509"/>
  <c r="CF3510"/>
  <c r="CF3511"/>
  <c r="CF3513"/>
  <c r="CF3514"/>
  <c r="CF3515"/>
  <c r="CF3517"/>
  <c r="CF3518"/>
  <c r="CF3519"/>
  <c r="CF3520"/>
  <c r="CF3521"/>
  <c r="CF3522"/>
  <c r="CF3523"/>
  <c r="CF3524"/>
  <c r="CF3525"/>
  <c r="CF3526"/>
  <c r="CF3527"/>
  <c r="CF3529"/>
  <c r="CF3530"/>
  <c r="CF3531"/>
  <c r="CF3533"/>
  <c r="CF3534"/>
  <c r="CF3535"/>
  <c r="CF3536"/>
  <c r="CF3537"/>
  <c r="CF3538"/>
  <c r="CF3539"/>
  <c r="CF3540"/>
  <c r="CF3541"/>
  <c r="CF3542"/>
  <c r="CF3543"/>
  <c r="CF3545"/>
  <c r="CF3546"/>
  <c r="CF3547"/>
  <c r="CF3549"/>
  <c r="CF3550"/>
  <c r="CF3551"/>
  <c r="CF3552"/>
  <c r="CF3553"/>
  <c r="CF3554"/>
  <c r="CF3555"/>
  <c r="CF3556"/>
  <c r="CF3557"/>
  <c r="CF3558"/>
  <c r="CF3559"/>
  <c r="CF3561"/>
  <c r="CF3562"/>
  <c r="CF3563"/>
  <c r="CF3565"/>
  <c r="CF3566"/>
  <c r="CF3567"/>
  <c r="CF3568"/>
  <c r="CF3569"/>
  <c r="CF3570"/>
  <c r="CF3571"/>
  <c r="CF3572"/>
  <c r="CF3573"/>
  <c r="CF3574"/>
  <c r="CF3575"/>
  <c r="CF3577"/>
  <c r="CF3578"/>
  <c r="CF3579"/>
  <c r="CF3581"/>
  <c r="CF3582"/>
  <c r="CF3583"/>
  <c r="CF3584"/>
  <c r="CF3585"/>
  <c r="CF3586"/>
  <c r="CF3587"/>
  <c r="CF3588"/>
  <c r="CF3589"/>
  <c r="CF3590"/>
  <c r="CF3591"/>
  <c r="CF3593"/>
  <c r="CF3594"/>
  <c r="CF3595"/>
  <c r="CF3597"/>
  <c r="CF3598"/>
  <c r="CF3599"/>
  <c r="CF3600"/>
  <c r="CF3601"/>
  <c r="CF3602"/>
  <c r="CF3603"/>
  <c r="CF3604"/>
  <c r="CF3605"/>
  <c r="CF3606"/>
  <c r="CF3607"/>
  <c r="CF3609"/>
  <c r="CF3610"/>
  <c r="CF3611"/>
  <c r="CF3613"/>
  <c r="CF3614"/>
  <c r="CF3615"/>
  <c r="CF3616"/>
  <c r="CF3617"/>
  <c r="CF3618"/>
  <c r="CF3619"/>
  <c r="CF3620"/>
  <c r="CF3621"/>
  <c r="CF3622"/>
  <c r="CF3623"/>
  <c r="CF3625"/>
  <c r="CF3626"/>
  <c r="CF3627"/>
  <c r="CF3629"/>
  <c r="CF3630"/>
  <c r="CF3631"/>
  <c r="CF3632"/>
  <c r="CF3633"/>
  <c r="CF3634"/>
  <c r="CF3635"/>
  <c r="CF3636"/>
  <c r="CF3637"/>
  <c r="CF3638"/>
  <c r="CF3639"/>
  <c r="CF3641"/>
  <c r="CF3642"/>
  <c r="CF3643"/>
  <c r="CF3645"/>
  <c r="CF3646"/>
  <c r="CF3647"/>
  <c r="CF3648"/>
  <c r="CF3649"/>
  <c r="CF3650"/>
  <c r="CF3651"/>
  <c r="CF3652"/>
  <c r="CF3653"/>
  <c r="CF3654"/>
  <c r="CF3655"/>
  <c r="CF3657"/>
  <c r="CF3658"/>
  <c r="CF3659"/>
  <c r="CF3661"/>
  <c r="CF3662"/>
  <c r="CF3663"/>
  <c r="CF3664"/>
  <c r="CF3665"/>
  <c r="CF3666"/>
  <c r="CF3667"/>
  <c r="CF3668"/>
  <c r="CF3669"/>
  <c r="CF3670"/>
  <c r="CF3671"/>
  <c r="CF3673"/>
  <c r="CF3674"/>
  <c r="CF3675"/>
  <c r="CF3677"/>
  <c r="CF3678"/>
  <c r="CF3679"/>
  <c r="CF3680"/>
  <c r="CF3681"/>
  <c r="CF3682"/>
  <c r="CF3683"/>
  <c r="CF3684"/>
  <c r="CF3685"/>
  <c r="CF3686"/>
  <c r="CF3687"/>
  <c r="CF3689"/>
  <c r="CF3690"/>
  <c r="CF3691"/>
  <c r="CF3693"/>
  <c r="CF3694"/>
  <c r="CF3695"/>
  <c r="CF3696"/>
  <c r="CF3697"/>
  <c r="CF3698"/>
  <c r="CF3699"/>
  <c r="CF3700"/>
  <c r="CF3701"/>
  <c r="CF3702"/>
  <c r="CF3703"/>
  <c r="CF3705"/>
  <c r="CF3706"/>
  <c r="CF3707"/>
  <c r="CF3709"/>
  <c r="CF3710"/>
  <c r="CF3711"/>
  <c r="CF3712"/>
  <c r="CF3713"/>
  <c r="CF3714"/>
  <c r="CF3715"/>
  <c r="CF3716"/>
  <c r="CF3717"/>
  <c r="CF3718"/>
  <c r="CF3719"/>
  <c r="CF3721"/>
  <c r="CF3722"/>
  <c r="CF3723"/>
  <c r="CF3725"/>
  <c r="CF3726"/>
  <c r="CF3727"/>
  <c r="CF3728"/>
  <c r="CF3729"/>
  <c r="CF3730"/>
  <c r="CF3731"/>
  <c r="CF3732"/>
  <c r="CF3733"/>
  <c r="CF3734"/>
  <c r="CF3735"/>
  <c r="CF3737"/>
  <c r="CF3738"/>
  <c r="CF3739"/>
  <c r="CF3741"/>
  <c r="CF3742"/>
  <c r="CF3743"/>
  <c r="CF3744"/>
  <c r="CF3745"/>
  <c r="CF3746"/>
  <c r="CF3747"/>
  <c r="CF3748"/>
  <c r="CF3749"/>
  <c r="CF3750"/>
  <c r="CF3751"/>
  <c r="CF3753"/>
  <c r="CF3754"/>
  <c r="CF3755"/>
  <c r="CF3757"/>
  <c r="CF3758"/>
  <c r="CF3759"/>
  <c r="CF3760"/>
  <c r="CF3761"/>
  <c r="CF3762"/>
  <c r="CF3763"/>
  <c r="CF3764"/>
  <c r="CF3765"/>
  <c r="CF3766"/>
  <c r="CF3767"/>
  <c r="CF3769"/>
  <c r="CF3770"/>
  <c r="CF3771"/>
  <c r="CF3773"/>
  <c r="CF3774"/>
  <c r="CF3775"/>
  <c r="CF3776"/>
  <c r="CF3777"/>
  <c r="CF3778"/>
  <c r="CF3779"/>
  <c r="CF3780"/>
  <c r="CF3781"/>
  <c r="CF3782"/>
  <c r="CF3783"/>
  <c r="CF3785"/>
  <c r="CF3786"/>
  <c r="CF3787"/>
  <c r="CF3789"/>
  <c r="CF3790"/>
  <c r="CF3791"/>
  <c r="CF3792"/>
  <c r="CF3793"/>
  <c r="CF3794"/>
  <c r="CF3795"/>
  <c r="CF3796"/>
  <c r="CF3797"/>
  <c r="CF3798"/>
  <c r="CF3799"/>
  <c r="CF3801"/>
  <c r="CF3802"/>
  <c r="CF3803"/>
  <c r="CF3805"/>
  <c r="CF3806"/>
  <c r="CF3807"/>
  <c r="CF3808"/>
  <c r="CF3809"/>
  <c r="CF3810"/>
  <c r="CF3811"/>
  <c r="CF3812"/>
  <c r="CF3813"/>
  <c r="CF3814"/>
  <c r="CF3815"/>
  <c r="CF3817"/>
  <c r="CF3818"/>
  <c r="CF3819"/>
  <c r="CF3821"/>
  <c r="CF3822"/>
  <c r="CF3823"/>
  <c r="CF3824"/>
  <c r="CF3825"/>
  <c r="CF3826"/>
  <c r="CF3827"/>
  <c r="CF3828"/>
  <c r="CF3829"/>
  <c r="CF3830"/>
  <c r="CF3831"/>
  <c r="CF3833"/>
  <c r="CF3834"/>
  <c r="CF3835"/>
  <c r="CF3837"/>
  <c r="CF3838"/>
  <c r="CF3839"/>
  <c r="CF3840"/>
  <c r="CF3841"/>
  <c r="CF3842"/>
  <c r="CF3843"/>
  <c r="CF3844"/>
  <c r="CF3845"/>
  <c r="CF3846"/>
  <c r="CF3847"/>
  <c r="CF3849"/>
  <c r="CF3850"/>
  <c r="CF3851"/>
  <c r="CF3853"/>
  <c r="CF3854"/>
  <c r="CF3855"/>
  <c r="CF3856"/>
  <c r="CF3857"/>
  <c r="CF3858"/>
  <c r="CF3859"/>
  <c r="CF3860"/>
  <c r="CF3861"/>
  <c r="CF3862"/>
  <c r="CF3863"/>
  <c r="CF3865"/>
  <c r="CF3866"/>
  <c r="CF3867"/>
  <c r="CF3869"/>
  <c r="CF3870"/>
  <c r="CF3871"/>
  <c r="CF3872"/>
  <c r="CF3873"/>
  <c r="CF3874"/>
  <c r="CF3875"/>
  <c r="CF3876"/>
  <c r="CF3877"/>
  <c r="CF3878"/>
  <c r="CF3879"/>
  <c r="CF3881"/>
  <c r="CF3882"/>
  <c r="CF3883"/>
  <c r="CF3885"/>
  <c r="CF3886"/>
  <c r="CF3887"/>
  <c r="CF3888"/>
  <c r="CF3889"/>
  <c r="CF3890"/>
  <c r="CF3891"/>
  <c r="CF3892"/>
  <c r="CF3893"/>
  <c r="CF3894"/>
  <c r="CF3895"/>
  <c r="CF3897"/>
  <c r="CF3898"/>
  <c r="CF3899"/>
  <c r="CF3901"/>
  <c r="CF3902"/>
  <c r="CF3903"/>
  <c r="CF3904"/>
  <c r="CF3905"/>
  <c r="CF3906"/>
  <c r="CF3907"/>
  <c r="CF3908"/>
  <c r="CF3909"/>
  <c r="CF3910"/>
  <c r="CF3911"/>
  <c r="CF3913"/>
  <c r="CF3914"/>
  <c r="CF3915"/>
  <c r="CF3917"/>
  <c r="CF3918"/>
  <c r="CF3919"/>
  <c r="CF3920"/>
  <c r="CF3921"/>
  <c r="CF3922"/>
  <c r="CF3923"/>
  <c r="CF3924"/>
  <c r="CF3925"/>
  <c r="CF3926"/>
  <c r="CF3927"/>
  <c r="CF3929"/>
  <c r="CF3930"/>
  <c r="CF3931"/>
  <c r="CF3933"/>
  <c r="CF3934"/>
  <c r="CF3935"/>
  <c r="CF3936"/>
  <c r="CF3937"/>
  <c r="CF3938"/>
  <c r="CF3939"/>
  <c r="CF3940"/>
  <c r="CF3941"/>
  <c r="CF3942"/>
  <c r="CF3943"/>
  <c r="CF3945"/>
  <c r="CF3946"/>
  <c r="CF3947"/>
  <c r="CF3949"/>
  <c r="CF3950"/>
  <c r="CF3951"/>
  <c r="CF3952"/>
  <c r="CF3953"/>
  <c r="CF3954"/>
  <c r="CF3955"/>
  <c r="CF3956"/>
  <c r="CF3957"/>
  <c r="CF3958"/>
  <c r="CF3959"/>
  <c r="CF3961"/>
  <c r="CF3962"/>
  <c r="CF3963"/>
  <c r="CF3965"/>
  <c r="CF3966"/>
  <c r="CF3967"/>
  <c r="CF3968"/>
  <c r="CF3969"/>
  <c r="CF3970"/>
  <c r="CF3971"/>
  <c r="CF3972"/>
  <c r="CF3973"/>
  <c r="CF3974"/>
  <c r="CF3975"/>
  <c r="CF3977"/>
  <c r="CF3978"/>
  <c r="CF3979"/>
  <c r="CF3981"/>
  <c r="CF3982"/>
  <c r="CF3983"/>
  <c r="CF3984"/>
  <c r="CF3985"/>
  <c r="CF3986"/>
  <c r="CF3987"/>
  <c r="CF3988"/>
  <c r="CF3989"/>
  <c r="CF3990"/>
  <c r="CF3991"/>
  <c r="CF3993"/>
  <c r="CF3994"/>
  <c r="CF3995"/>
  <c r="CF3997"/>
  <c r="CF3998"/>
  <c r="CF3999"/>
  <c r="CF4000"/>
  <c r="CF4001"/>
  <c r="CF4002"/>
  <c r="CF4003"/>
  <c r="CF4004"/>
  <c r="CF4005"/>
  <c r="CF4006"/>
  <c r="CF4007"/>
  <c r="CF4009"/>
  <c r="CF4010"/>
  <c r="CF4011"/>
  <c r="CF4013"/>
  <c r="CF4014"/>
  <c r="CF4015"/>
  <c r="CF4016"/>
  <c r="CF4017"/>
  <c r="CF4018"/>
  <c r="CF4019"/>
  <c r="CF4020"/>
  <c r="CF4021"/>
  <c r="CF4022"/>
  <c r="CF4023"/>
  <c r="CF4025"/>
  <c r="CF4026"/>
  <c r="CF4027"/>
  <c r="CF4029"/>
  <c r="CF4030"/>
  <c r="CF4031"/>
  <c r="CF4032"/>
  <c r="CF4033"/>
  <c r="CF4034"/>
  <c r="CF4035"/>
  <c r="CF4036"/>
  <c r="CF4037"/>
  <c r="CF4038"/>
  <c r="CF4039"/>
  <c r="CF4041"/>
  <c r="CF4042"/>
  <c r="CD106"/>
  <c r="CD107"/>
  <c r="CD108"/>
  <c r="CD109"/>
  <c r="CD110"/>
  <c r="CD111"/>
  <c r="CD112"/>
  <c r="CD113"/>
  <c r="CD114"/>
  <c r="CD115"/>
  <c r="CD116"/>
  <c r="CD117"/>
  <c r="CD118"/>
  <c r="CD119"/>
  <c r="CD120"/>
  <c r="CD121"/>
  <c r="CD122"/>
  <c r="CD123"/>
  <c r="CD124"/>
  <c r="CD125"/>
  <c r="CD126"/>
  <c r="CD127"/>
  <c r="CD128"/>
  <c r="CD129"/>
  <c r="CD130"/>
  <c r="CD131"/>
  <c r="CD132"/>
  <c r="CD133"/>
  <c r="CD134"/>
  <c r="CD135"/>
  <c r="CD136"/>
  <c r="CD137"/>
  <c r="CD138"/>
  <c r="CD139"/>
  <c r="CD140"/>
  <c r="CD141"/>
  <c r="CD142"/>
  <c r="CD143"/>
  <c r="CD144"/>
  <c r="CD145"/>
  <c r="CD146"/>
  <c r="CD147"/>
  <c r="CD148"/>
  <c r="CD149"/>
  <c r="CD150"/>
  <c r="CD151"/>
  <c r="CD152"/>
  <c r="CD153"/>
  <c r="CD154"/>
  <c r="CD155"/>
  <c r="CD156"/>
  <c r="CD157"/>
  <c r="CD158"/>
  <c r="CD159"/>
  <c r="CD160"/>
  <c r="CD161"/>
  <c r="CD162"/>
  <c r="CD163"/>
  <c r="CD164"/>
  <c r="CD165"/>
  <c r="CD166"/>
  <c r="CD167"/>
  <c r="CD168"/>
  <c r="CD169"/>
  <c r="CD170"/>
  <c r="CD171"/>
  <c r="CD172"/>
  <c r="CD173"/>
  <c r="CD174"/>
  <c r="CD175"/>
  <c r="CD176"/>
  <c r="CD177"/>
  <c r="CD178"/>
  <c r="CD179"/>
  <c r="CD180"/>
  <c r="CD181"/>
  <c r="CD182"/>
  <c r="CD183"/>
  <c r="CD184"/>
  <c r="CD185"/>
  <c r="CD186"/>
  <c r="CD187"/>
  <c r="CD188"/>
  <c r="CD189"/>
  <c r="CD190"/>
  <c r="CD191"/>
  <c r="CD192"/>
  <c r="CD193"/>
  <c r="CD194"/>
  <c r="CD195"/>
  <c r="CD196"/>
  <c r="CD197"/>
  <c r="CD198"/>
  <c r="CD199"/>
  <c r="CD200"/>
  <c r="CD201"/>
  <c r="CD202"/>
  <c r="CD203"/>
  <c r="CD204"/>
  <c r="CD205"/>
  <c r="CD206"/>
  <c r="CD207"/>
  <c r="CD208"/>
  <c r="CD209"/>
  <c r="CD210"/>
  <c r="CD211"/>
  <c r="CD212"/>
  <c r="CD213"/>
  <c r="CD214"/>
  <c r="CD215"/>
  <c r="CD216"/>
  <c r="CD217"/>
  <c r="CD218"/>
  <c r="CD219"/>
  <c r="CD220"/>
  <c r="CD221"/>
  <c r="CD222"/>
  <c r="CD223"/>
  <c r="CD224"/>
  <c r="CD225"/>
  <c r="CD226"/>
  <c r="CD227"/>
  <c r="CD228"/>
  <c r="CD229"/>
  <c r="CD230"/>
  <c r="CD231"/>
  <c r="CD232"/>
  <c r="CD233"/>
  <c r="CD234"/>
  <c r="CD235"/>
  <c r="CD236"/>
  <c r="CD237"/>
  <c r="CD238"/>
  <c r="CD239"/>
  <c r="CD240"/>
  <c r="CD241"/>
  <c r="CD242"/>
  <c r="CD243"/>
  <c r="CD244"/>
  <c r="CD245"/>
  <c r="CD246"/>
  <c r="CD247"/>
  <c r="CD248"/>
  <c r="CD249"/>
  <c r="CD250"/>
  <c r="CD251"/>
  <c r="CD252"/>
  <c r="CD253"/>
  <c r="CD254"/>
  <c r="CD255"/>
  <c r="CD256"/>
  <c r="CD257"/>
  <c r="CD258"/>
  <c r="CD259"/>
  <c r="CD260"/>
  <c r="CD261"/>
  <c r="CD262"/>
  <c r="CD263"/>
  <c r="CD264"/>
  <c r="CD265"/>
  <c r="CD266"/>
  <c r="CD267"/>
  <c r="CD268"/>
  <c r="CD269"/>
  <c r="CD270"/>
  <c r="CD271"/>
  <c r="CD272"/>
  <c r="CD273"/>
  <c r="CD274"/>
  <c r="CD275"/>
  <c r="CD276"/>
  <c r="CD277"/>
  <c r="CD278"/>
  <c r="CD279"/>
  <c r="CD280"/>
  <c r="CD281"/>
  <c r="CD282"/>
  <c r="CD283"/>
  <c r="CD284"/>
  <c r="CD285"/>
  <c r="CD286"/>
  <c r="CD287"/>
  <c r="CD288"/>
  <c r="CD289"/>
  <c r="CD290"/>
  <c r="CD291"/>
  <c r="CD292"/>
  <c r="CD293"/>
  <c r="CD294"/>
  <c r="CD295"/>
  <c r="CD296"/>
  <c r="CD297"/>
  <c r="CD298"/>
  <c r="CD299"/>
  <c r="CD300"/>
  <c r="CD301"/>
  <c r="CD302"/>
  <c r="CD303"/>
  <c r="CD304"/>
  <c r="CD305"/>
  <c r="CD306"/>
  <c r="CD307"/>
  <c r="CD308"/>
  <c r="CD309"/>
  <c r="CD310"/>
  <c r="CD311"/>
  <c r="CD312"/>
  <c r="CD313"/>
  <c r="CD314"/>
  <c r="CD315"/>
  <c r="CD316"/>
  <c r="CD317"/>
  <c r="CD318"/>
  <c r="CD319"/>
  <c r="CD320"/>
  <c r="CD321"/>
  <c r="CD322"/>
  <c r="CD323"/>
  <c r="CD324"/>
  <c r="CD325"/>
  <c r="CD326"/>
  <c r="CD327"/>
  <c r="CD328"/>
  <c r="CD329"/>
  <c r="CD330"/>
  <c r="CD331"/>
  <c r="CD332"/>
  <c r="CD333"/>
  <c r="CD334"/>
  <c r="CD335"/>
  <c r="CD336"/>
  <c r="CD337"/>
  <c r="CD338"/>
  <c r="CD339"/>
  <c r="CD340"/>
  <c r="CD341"/>
  <c r="CD342"/>
  <c r="CD343"/>
  <c r="CD344"/>
  <c r="CD345"/>
  <c r="CD346"/>
  <c r="CD347"/>
  <c r="CD348"/>
  <c r="CD349"/>
  <c r="CD350"/>
  <c r="CD351"/>
  <c r="CD352"/>
  <c r="CD353"/>
  <c r="CD354"/>
  <c r="CD355"/>
  <c r="CD356"/>
  <c r="CD357"/>
  <c r="CD358"/>
  <c r="CD359"/>
  <c r="CD360"/>
  <c r="CD361"/>
  <c r="CD362"/>
  <c r="CD363"/>
  <c r="CD364"/>
  <c r="CD365"/>
  <c r="CD366"/>
  <c r="CD367"/>
  <c r="CD368"/>
  <c r="CD369"/>
  <c r="CD370"/>
  <c r="CD371"/>
  <c r="CD372"/>
  <c r="CD373"/>
  <c r="CD374"/>
  <c r="CD375"/>
  <c r="CD376"/>
  <c r="CD377"/>
  <c r="CD378"/>
  <c r="CD379"/>
  <c r="CD380"/>
  <c r="CD381"/>
  <c r="CD382"/>
  <c r="CD383"/>
  <c r="CD384"/>
  <c r="CD385"/>
  <c r="CD386"/>
  <c r="CD387"/>
  <c r="CD388"/>
  <c r="CD389"/>
  <c r="CD390"/>
  <c r="CD391"/>
  <c r="CD392"/>
  <c r="CD393"/>
  <c r="CD394"/>
  <c r="CD395"/>
  <c r="CD396"/>
  <c r="CD397"/>
  <c r="CD398"/>
  <c r="CD399"/>
  <c r="CD400"/>
  <c r="CD401"/>
  <c r="CD402"/>
  <c r="CD403"/>
  <c r="CD404"/>
  <c r="CD405"/>
  <c r="CD406"/>
  <c r="CD407"/>
  <c r="CD408"/>
  <c r="CD409"/>
  <c r="CD410"/>
  <c r="CD411"/>
  <c r="CD412"/>
  <c r="CD413"/>
  <c r="CD414"/>
  <c r="CD415"/>
  <c r="CD416"/>
  <c r="CD417"/>
  <c r="CD418"/>
  <c r="CD419"/>
  <c r="CD420"/>
  <c r="CD421"/>
  <c r="CD422"/>
  <c r="CD423"/>
  <c r="CD424"/>
  <c r="CD425"/>
  <c r="CD426"/>
  <c r="CD427"/>
  <c r="CD428"/>
  <c r="CD429"/>
  <c r="CD430"/>
  <c r="CD431"/>
  <c r="CD432"/>
  <c r="CD433"/>
  <c r="CD434"/>
  <c r="CD435"/>
  <c r="CD436"/>
  <c r="CD437"/>
  <c r="CD438"/>
  <c r="CD439"/>
  <c r="CD440"/>
  <c r="CD441"/>
  <c r="CD442"/>
  <c r="CD443"/>
  <c r="CD444"/>
  <c r="CD445"/>
  <c r="CD446"/>
  <c r="CD447"/>
  <c r="CD448"/>
  <c r="CD449"/>
  <c r="CD450"/>
  <c r="CD451"/>
  <c r="CD452"/>
  <c r="CD453"/>
  <c r="CD454"/>
  <c r="CD455"/>
  <c r="CD456"/>
  <c r="CD457"/>
  <c r="CD458"/>
  <c r="CD459"/>
  <c r="CD460"/>
  <c r="CD461"/>
  <c r="CD462"/>
  <c r="CD463"/>
  <c r="CD464"/>
  <c r="CD465"/>
  <c r="CD466"/>
  <c r="CD467"/>
  <c r="CD468"/>
  <c r="CD469"/>
  <c r="CD470"/>
  <c r="CD471"/>
  <c r="CD472"/>
  <c r="CD473"/>
  <c r="CD474"/>
  <c r="CD475"/>
  <c r="CD476"/>
  <c r="CD477"/>
  <c r="CD478"/>
  <c r="CD479"/>
  <c r="CD480"/>
  <c r="CD481"/>
  <c r="CD482"/>
  <c r="CD483"/>
  <c r="CD484"/>
  <c r="CD485"/>
  <c r="CD486"/>
  <c r="CD487"/>
  <c r="CD488"/>
  <c r="CD489"/>
  <c r="CD490"/>
  <c r="CD491"/>
  <c r="CD492"/>
  <c r="CD493"/>
  <c r="CD494"/>
  <c r="CD495"/>
  <c r="CD496"/>
  <c r="CD497"/>
  <c r="CD498"/>
  <c r="CD499"/>
  <c r="CD500"/>
  <c r="CD501"/>
  <c r="CD502"/>
  <c r="CD503"/>
  <c r="CD504"/>
  <c r="CD505"/>
  <c r="CD506"/>
  <c r="CD507"/>
  <c r="CD508"/>
  <c r="CD509"/>
  <c r="CD510"/>
  <c r="CD511"/>
  <c r="CD512"/>
  <c r="CD513"/>
  <c r="CD514"/>
  <c r="CD515"/>
  <c r="CD516"/>
  <c r="CD517"/>
  <c r="CD518"/>
  <c r="CD519"/>
  <c r="CD520"/>
  <c r="CD521"/>
  <c r="CD522"/>
  <c r="CD523"/>
  <c r="CD524"/>
  <c r="CD525"/>
  <c r="CD526"/>
  <c r="CD527"/>
  <c r="CD528"/>
  <c r="CD529"/>
  <c r="CD530"/>
  <c r="CD531"/>
  <c r="CD532"/>
  <c r="CD533"/>
  <c r="CD534"/>
  <c r="CD535"/>
  <c r="CD536"/>
  <c r="CD537"/>
  <c r="CD538"/>
  <c r="CD539"/>
  <c r="CD540"/>
  <c r="CD541"/>
  <c r="CD542"/>
  <c r="CD543"/>
  <c r="CD544"/>
  <c r="CD545"/>
  <c r="CD546"/>
  <c r="CD547"/>
  <c r="CD548"/>
  <c r="CD549"/>
  <c r="CD550"/>
  <c r="CD551"/>
  <c r="CD552"/>
  <c r="CD553"/>
  <c r="CD554"/>
  <c r="CD555"/>
  <c r="CD556"/>
  <c r="CD557"/>
  <c r="CD558"/>
  <c r="CD559"/>
  <c r="CD560"/>
  <c r="CD561"/>
  <c r="CD562"/>
  <c r="CD563"/>
  <c r="CD564"/>
  <c r="CD565"/>
  <c r="CD566"/>
  <c r="CD567"/>
  <c r="CD568"/>
  <c r="CD569"/>
  <c r="CD570"/>
  <c r="CD571"/>
  <c r="CD572"/>
  <c r="CD573"/>
  <c r="CD574"/>
  <c r="CD575"/>
  <c r="CD576"/>
  <c r="CD577"/>
  <c r="CD578"/>
  <c r="CD579"/>
  <c r="CD580"/>
  <c r="CD581"/>
  <c r="CD582"/>
  <c r="CD583"/>
  <c r="CD584"/>
  <c r="CD585"/>
  <c r="CD586"/>
  <c r="CD587"/>
  <c r="CD588"/>
  <c r="CD589"/>
  <c r="CD590"/>
  <c r="CD591"/>
  <c r="CD592"/>
  <c r="CD593"/>
  <c r="CD594"/>
  <c r="CD595"/>
  <c r="CD596"/>
  <c r="CD597"/>
  <c r="CD598"/>
  <c r="CD599"/>
  <c r="CD600"/>
  <c r="CD601"/>
  <c r="CD602"/>
  <c r="CD603"/>
  <c r="CD604"/>
  <c r="CD605"/>
  <c r="CD606"/>
  <c r="CD607"/>
  <c r="CD608"/>
  <c r="CD609"/>
  <c r="CD610"/>
  <c r="CD611"/>
  <c r="CD612"/>
  <c r="CD613"/>
  <c r="CD614"/>
  <c r="CD615"/>
  <c r="CD616"/>
  <c r="CD617"/>
  <c r="CD618"/>
  <c r="CD619"/>
  <c r="CD620"/>
  <c r="CD621"/>
  <c r="CD622"/>
  <c r="CD623"/>
  <c r="CD624"/>
  <c r="CD625"/>
  <c r="CD626"/>
  <c r="CD627"/>
  <c r="CD628"/>
  <c r="CD629"/>
  <c r="CD630"/>
  <c r="CD631"/>
  <c r="CD632"/>
  <c r="CD633"/>
  <c r="CD634"/>
  <c r="CD635"/>
  <c r="CD636"/>
  <c r="CD637"/>
  <c r="CD638"/>
  <c r="CD639"/>
  <c r="CD640"/>
  <c r="CD641"/>
  <c r="CD642"/>
  <c r="CD643"/>
  <c r="CD644"/>
  <c r="CD645"/>
  <c r="CD646"/>
  <c r="CD647"/>
  <c r="CD648"/>
  <c r="CD649"/>
  <c r="CD650"/>
  <c r="CD651"/>
  <c r="CD652"/>
  <c r="CD653"/>
  <c r="CD654"/>
  <c r="CD655"/>
  <c r="CD656"/>
  <c r="CD657"/>
  <c r="CD658"/>
  <c r="CD659"/>
  <c r="CD660"/>
  <c r="CD661"/>
  <c r="CD662"/>
  <c r="CD663"/>
  <c r="CD664"/>
  <c r="CD665"/>
  <c r="CD666"/>
  <c r="CD667"/>
  <c r="CD668"/>
  <c r="CD669"/>
  <c r="CD670"/>
  <c r="CD671"/>
  <c r="CD672"/>
  <c r="CD673"/>
  <c r="CD674"/>
  <c r="CD675"/>
  <c r="CD676"/>
  <c r="CD677"/>
  <c r="CD678"/>
  <c r="CD679"/>
  <c r="CD680"/>
  <c r="CD681"/>
  <c r="CD682"/>
  <c r="CD683"/>
  <c r="CD684"/>
  <c r="CD685"/>
  <c r="CD686"/>
  <c r="CD687"/>
  <c r="CD688"/>
  <c r="CD689"/>
  <c r="CD690"/>
  <c r="CD691"/>
  <c r="CD692"/>
  <c r="CD693"/>
  <c r="CD694"/>
  <c r="CD695"/>
  <c r="CD696"/>
  <c r="CD697"/>
  <c r="CD698"/>
  <c r="CD699"/>
  <c r="CD700"/>
  <c r="CD701"/>
  <c r="CD702"/>
  <c r="CD703"/>
  <c r="CD704"/>
  <c r="CD105"/>
  <c r="CA42"/>
  <c r="CA43"/>
  <c r="CA44"/>
  <c r="CA45"/>
  <c r="CA46"/>
  <c r="CA47"/>
  <c r="CA48"/>
  <c r="CA49"/>
  <c r="CA50"/>
  <c r="CA51"/>
  <c r="CA52"/>
  <c r="CA53"/>
  <c r="CA54"/>
  <c r="CA55"/>
  <c r="CA56"/>
  <c r="CA57"/>
  <c r="CA58"/>
  <c r="CA59"/>
  <c r="CA60"/>
  <c r="CA61"/>
  <c r="CA62"/>
  <c r="CA63"/>
  <c r="CA64"/>
  <c r="CA65"/>
  <c r="CA66"/>
  <c r="CA67"/>
  <c r="CA68"/>
  <c r="CA69"/>
  <c r="CA70"/>
  <c r="CA71"/>
  <c r="CA72"/>
  <c r="CA73"/>
  <c r="CA74"/>
  <c r="CA75"/>
  <c r="CA76"/>
  <c r="CA77"/>
  <c r="CA78"/>
  <c r="CA79"/>
  <c r="CA80"/>
  <c r="CA81"/>
  <c r="CA82"/>
  <c r="CA83"/>
  <c r="CA84"/>
  <c r="CA85"/>
  <c r="CA86"/>
  <c r="CA87"/>
  <c r="CA88"/>
  <c r="CA89"/>
  <c r="CA90"/>
  <c r="CA91"/>
  <c r="CA92"/>
  <c r="CA93"/>
  <c r="CA94"/>
  <c r="CA95"/>
  <c r="CA96"/>
  <c r="CA97"/>
  <c r="CA98"/>
  <c r="CA99"/>
  <c r="CA100"/>
  <c r="CA101"/>
  <c r="CA102"/>
  <c r="CA103"/>
  <c r="CA104"/>
  <c r="CA105"/>
  <c r="CA106"/>
  <c r="CA107"/>
  <c r="CA108"/>
  <c r="CA109"/>
  <c r="CA110"/>
  <c r="CA111"/>
  <c r="CA112"/>
  <c r="CA113"/>
  <c r="CA114"/>
  <c r="CA115"/>
  <c r="CA116"/>
  <c r="CA117"/>
  <c r="CA118"/>
  <c r="CA119"/>
  <c r="CA120"/>
  <c r="CA121"/>
  <c r="CA122"/>
  <c r="CA123"/>
  <c r="CA124"/>
  <c r="CA125"/>
  <c r="CA126"/>
  <c r="CA127"/>
  <c r="CA128"/>
  <c r="CA129"/>
  <c r="CA130"/>
  <c r="CA131"/>
  <c r="CA132"/>
  <c r="CA133"/>
  <c r="CA134"/>
  <c r="CA135"/>
  <c r="CA136"/>
  <c r="CA137"/>
  <c r="CA138"/>
  <c r="CA139"/>
  <c r="CA140"/>
  <c r="CA141"/>
  <c r="CA142"/>
  <c r="CA143"/>
  <c r="CA144"/>
  <c r="CA145"/>
  <c r="CA146"/>
  <c r="CA147"/>
  <c r="CA148"/>
  <c r="CA149"/>
  <c r="CA150"/>
  <c r="CA151"/>
  <c r="CA152"/>
  <c r="CA153"/>
  <c r="CA154"/>
  <c r="CA155"/>
  <c r="CA156"/>
  <c r="CA157"/>
  <c r="CA158"/>
  <c r="CA159"/>
  <c r="CA160"/>
  <c r="CA161"/>
  <c r="CA162"/>
  <c r="CA163"/>
  <c r="CA164"/>
  <c r="CA165"/>
  <c r="CA166"/>
  <c r="CA167"/>
  <c r="CA168"/>
  <c r="CA169"/>
  <c r="CA170"/>
  <c r="CA171"/>
  <c r="CA172"/>
  <c r="CA173"/>
  <c r="CA174"/>
  <c r="CA175"/>
  <c r="CA176"/>
  <c r="CA177"/>
  <c r="CA178"/>
  <c r="CA179"/>
  <c r="CA180"/>
  <c r="CA181"/>
  <c r="CA182"/>
  <c r="CA183"/>
  <c r="CA184"/>
  <c r="CA185"/>
  <c r="CA186"/>
  <c r="CA187"/>
  <c r="CA188"/>
  <c r="CA189"/>
  <c r="CA190"/>
  <c r="CA191"/>
  <c r="CA192"/>
  <c r="CA193"/>
  <c r="CA194"/>
  <c r="CA195"/>
  <c r="CA196"/>
  <c r="CA197"/>
  <c r="CA198"/>
  <c r="CA199"/>
  <c r="CA200"/>
  <c r="CA201"/>
  <c r="CA202"/>
  <c r="CA203"/>
  <c r="CA204"/>
  <c r="CA205"/>
  <c r="CA206"/>
  <c r="CA207"/>
  <c r="CA208"/>
  <c r="CA209"/>
  <c r="CA210"/>
  <c r="CA211"/>
  <c r="CA212"/>
  <c r="CA213"/>
  <c r="CA214"/>
  <c r="CA215"/>
  <c r="CA216"/>
  <c r="CA217"/>
  <c r="CA218"/>
  <c r="CA219"/>
  <c r="CA220"/>
  <c r="CA221"/>
  <c r="CA222"/>
  <c r="CA223"/>
  <c r="CA224"/>
  <c r="CA225"/>
  <c r="CA226"/>
  <c r="CA227"/>
  <c r="CA228"/>
  <c r="CA229"/>
  <c r="CA230"/>
  <c r="CA231"/>
  <c r="CA232"/>
  <c r="CA233"/>
  <c r="CA234"/>
  <c r="CA235"/>
  <c r="CA236"/>
  <c r="CA237"/>
  <c r="CA238"/>
  <c r="CA239"/>
  <c r="CA240"/>
  <c r="CA241"/>
  <c r="CA242"/>
  <c r="CA243"/>
  <c r="CA244"/>
  <c r="CA245"/>
  <c r="CA246"/>
  <c r="CA247"/>
  <c r="CA248"/>
  <c r="CA249"/>
  <c r="CA250"/>
  <c r="CA251"/>
  <c r="CA252"/>
  <c r="CA253"/>
  <c r="CA254"/>
  <c r="CA255"/>
  <c r="CA256"/>
  <c r="CA257"/>
  <c r="CA258"/>
  <c r="CA259"/>
  <c r="CA260"/>
  <c r="CA261"/>
  <c r="CA262"/>
  <c r="CA263"/>
  <c r="CA264"/>
  <c r="CA265"/>
  <c r="CA266"/>
  <c r="CA267"/>
  <c r="CA268"/>
  <c r="CA269"/>
  <c r="CA270"/>
  <c r="CA271"/>
  <c r="CA272"/>
  <c r="CA273"/>
  <c r="CA274"/>
  <c r="CA275"/>
  <c r="CA276"/>
  <c r="CA277"/>
  <c r="CA278"/>
  <c r="CA279"/>
  <c r="CA280"/>
  <c r="CA281"/>
  <c r="CA282"/>
  <c r="CA283"/>
  <c r="CA284"/>
  <c r="CA285"/>
  <c r="CA286"/>
  <c r="CA287"/>
  <c r="CA288"/>
  <c r="CA289"/>
  <c r="CA290"/>
  <c r="CA291"/>
  <c r="CA292"/>
  <c r="CA293"/>
  <c r="CA294"/>
  <c r="CA295"/>
  <c r="CA296"/>
  <c r="CA297"/>
  <c r="CA298"/>
  <c r="CA299"/>
  <c r="CA300"/>
  <c r="CA301"/>
  <c r="CA302"/>
  <c r="CA303"/>
  <c r="CA304"/>
  <c r="CA305"/>
  <c r="CA306"/>
  <c r="CA307"/>
  <c r="CA308"/>
  <c r="CA309"/>
  <c r="CA310"/>
  <c r="CA311"/>
  <c r="CA312"/>
  <c r="CA313"/>
  <c r="CA314"/>
  <c r="CA315"/>
  <c r="CA316"/>
  <c r="CA317"/>
  <c r="CA318"/>
  <c r="CA319"/>
  <c r="CA320"/>
  <c r="CA321"/>
  <c r="CA322"/>
  <c r="CA323"/>
  <c r="CA324"/>
  <c r="CA325"/>
  <c r="CA326"/>
  <c r="CA327"/>
  <c r="CA328"/>
  <c r="CA329"/>
  <c r="CA330"/>
  <c r="CA331"/>
  <c r="CA332"/>
  <c r="CA333"/>
  <c r="CA334"/>
  <c r="CA335"/>
  <c r="CA336"/>
  <c r="CA337"/>
  <c r="CA338"/>
  <c r="CA339"/>
  <c r="CA340"/>
  <c r="CA341"/>
  <c r="CA342"/>
  <c r="CA343"/>
  <c r="CA344"/>
  <c r="CA345"/>
  <c r="CA346"/>
  <c r="CA347"/>
  <c r="CA348"/>
  <c r="CA349"/>
  <c r="CA350"/>
  <c r="CA351"/>
  <c r="CA352"/>
  <c r="CA353"/>
  <c r="CA354"/>
  <c r="CA355"/>
  <c r="CA356"/>
  <c r="CA357"/>
  <c r="CA358"/>
  <c r="CA359"/>
  <c r="CA360"/>
  <c r="CA361"/>
  <c r="CA362"/>
  <c r="CA363"/>
  <c r="CA364"/>
  <c r="CA365"/>
  <c r="CA366"/>
  <c r="CA367"/>
  <c r="CA368"/>
  <c r="CA369"/>
  <c r="CA370"/>
  <c r="CA371"/>
  <c r="CA372"/>
  <c r="CA373"/>
  <c r="CA374"/>
  <c r="CA375"/>
  <c r="CA376"/>
  <c r="CA377"/>
  <c r="CA378"/>
  <c r="CA379"/>
  <c r="CA380"/>
  <c r="CA381"/>
  <c r="CA382"/>
  <c r="CA383"/>
  <c r="CA384"/>
  <c r="CA385"/>
  <c r="CA386"/>
  <c r="CA387"/>
  <c r="CA388"/>
  <c r="CA389"/>
  <c r="CA390"/>
  <c r="CA391"/>
  <c r="CA392"/>
  <c r="CA393"/>
  <c r="CA394"/>
  <c r="CA395"/>
  <c r="CA396"/>
  <c r="CA397"/>
  <c r="CA398"/>
  <c r="CA399"/>
  <c r="CA400"/>
  <c r="CA401"/>
  <c r="CA402"/>
  <c r="CA403"/>
  <c r="CA404"/>
  <c r="CA405"/>
  <c r="CA406"/>
  <c r="CA407"/>
  <c r="CA408"/>
  <c r="CA409"/>
  <c r="CA410"/>
  <c r="CA411"/>
  <c r="CA412"/>
  <c r="CA413"/>
  <c r="CA414"/>
  <c r="CA415"/>
  <c r="CA416"/>
  <c r="CA417"/>
  <c r="CA418"/>
  <c r="CA419"/>
  <c r="CA420"/>
  <c r="CA421"/>
  <c r="CA422"/>
  <c r="CA423"/>
  <c r="CA424"/>
  <c r="CA425"/>
  <c r="CA426"/>
  <c r="CA427"/>
  <c r="CA428"/>
  <c r="CA429"/>
  <c r="CA430"/>
  <c r="CA431"/>
  <c r="CA432"/>
  <c r="CA433"/>
  <c r="CA434"/>
  <c r="CA435"/>
  <c r="CA436"/>
  <c r="CA437"/>
  <c r="CA438"/>
  <c r="CA439"/>
  <c r="CA440"/>
  <c r="CA441"/>
  <c r="CA442"/>
  <c r="CA443"/>
  <c r="CA444"/>
  <c r="CA445"/>
  <c r="CA446"/>
  <c r="CA447"/>
  <c r="CA448"/>
  <c r="CA449"/>
  <c r="CA450"/>
  <c r="CA451"/>
  <c r="CA452"/>
  <c r="CA453"/>
  <c r="CA454"/>
  <c r="CA455"/>
  <c r="CA456"/>
  <c r="CA457"/>
  <c r="CA458"/>
  <c r="CA459"/>
  <c r="CA460"/>
  <c r="CA461"/>
  <c r="CA462"/>
  <c r="CA463"/>
  <c r="CA464"/>
  <c r="CA465"/>
  <c r="CA466"/>
  <c r="CA467"/>
  <c r="CA468"/>
  <c r="CA469"/>
  <c r="CA470"/>
  <c r="CA471"/>
  <c r="CA472"/>
  <c r="CA473"/>
  <c r="CA474"/>
  <c r="CA475"/>
  <c r="CA476"/>
  <c r="CA477"/>
  <c r="CA478"/>
  <c r="CA479"/>
  <c r="CA480"/>
  <c r="CA481"/>
  <c r="CA482"/>
  <c r="CA483"/>
  <c r="CA484"/>
  <c r="CA485"/>
  <c r="CA486"/>
  <c r="CA487"/>
  <c r="CA488"/>
  <c r="CA489"/>
  <c r="CA490"/>
  <c r="CA491"/>
  <c r="CA492"/>
  <c r="CA493"/>
  <c r="CA494"/>
  <c r="CA495"/>
  <c r="CA496"/>
  <c r="CA497"/>
  <c r="CA498"/>
  <c r="CA499"/>
  <c r="CA500"/>
  <c r="CA501"/>
  <c r="CA502"/>
  <c r="CA503"/>
  <c r="CA504"/>
  <c r="CA505"/>
  <c r="CA506"/>
  <c r="CA507"/>
  <c r="CA508"/>
  <c r="CA509"/>
  <c r="CA510"/>
  <c r="CA511"/>
  <c r="CA512"/>
  <c r="CA513"/>
  <c r="CA514"/>
  <c r="CA515"/>
  <c r="CA516"/>
  <c r="CA517"/>
  <c r="CA518"/>
  <c r="CA519"/>
  <c r="CA520"/>
  <c r="CA521"/>
  <c r="CA522"/>
  <c r="CA523"/>
  <c r="CA524"/>
  <c r="CA525"/>
  <c r="CA526"/>
  <c r="CA527"/>
  <c r="CA528"/>
  <c r="CA529"/>
  <c r="CA530"/>
  <c r="CA531"/>
  <c r="CA532"/>
  <c r="CA533"/>
  <c r="CA534"/>
  <c r="CA535"/>
  <c r="CA536"/>
  <c r="CA537"/>
  <c r="CA538"/>
  <c r="CA539"/>
  <c r="CA540"/>
  <c r="CA541"/>
  <c r="CA542"/>
  <c r="CA543"/>
  <c r="CA544"/>
  <c r="CA545"/>
  <c r="CA546"/>
  <c r="CA547"/>
  <c r="CA548"/>
  <c r="CA549"/>
  <c r="CA550"/>
  <c r="CA551"/>
  <c r="CA552"/>
  <c r="CA553"/>
  <c r="CA554"/>
  <c r="CA555"/>
  <c r="CA556"/>
  <c r="CA557"/>
  <c r="CA558"/>
  <c r="CA559"/>
  <c r="CA560"/>
  <c r="CA561"/>
  <c r="CA562"/>
  <c r="CA563"/>
  <c r="CA564"/>
  <c r="CA565"/>
  <c r="CA566"/>
  <c r="CA567"/>
  <c r="CA568"/>
  <c r="CA569"/>
  <c r="CA570"/>
  <c r="CA571"/>
  <c r="CA572"/>
  <c r="CA573"/>
  <c r="CA574"/>
  <c r="CA575"/>
  <c r="CA576"/>
  <c r="CA577"/>
  <c r="CA578"/>
  <c r="CA579"/>
  <c r="CA580"/>
  <c r="CA581"/>
  <c r="CA582"/>
  <c r="CA583"/>
  <c r="CA584"/>
  <c r="CA585"/>
  <c r="CA586"/>
  <c r="CA587"/>
  <c r="CA588"/>
  <c r="CA589"/>
  <c r="CA590"/>
  <c r="CA591"/>
  <c r="CA592"/>
  <c r="CA593"/>
  <c r="CA594"/>
  <c r="CA595"/>
  <c r="CA596"/>
  <c r="CA597"/>
  <c r="CA598"/>
  <c r="CA599"/>
  <c r="CA600"/>
  <c r="CA601"/>
  <c r="CA602"/>
  <c r="CA603"/>
  <c r="CA604"/>
  <c r="CA605"/>
  <c r="CA606"/>
  <c r="CA607"/>
  <c r="CA608"/>
  <c r="CA609"/>
  <c r="CA610"/>
  <c r="CA611"/>
  <c r="CA612"/>
  <c r="CA613"/>
  <c r="CA614"/>
  <c r="CA615"/>
  <c r="CA616"/>
  <c r="CA617"/>
  <c r="CA618"/>
  <c r="CA619"/>
  <c r="CA620"/>
  <c r="CA621"/>
  <c r="CA622"/>
  <c r="CA623"/>
  <c r="CA624"/>
  <c r="CA625"/>
  <c r="CA626"/>
  <c r="CA627"/>
  <c r="CA628"/>
  <c r="CA629"/>
  <c r="CA630"/>
  <c r="CA631"/>
  <c r="CA632"/>
  <c r="CA633"/>
  <c r="CA634"/>
  <c r="CA635"/>
  <c r="CA636"/>
  <c r="CA637"/>
  <c r="CA638"/>
  <c r="CA639"/>
  <c r="CA640"/>
  <c r="CA641"/>
  <c r="CA642"/>
  <c r="CA643"/>
  <c r="CA644"/>
  <c r="CA645"/>
  <c r="CA646"/>
  <c r="CA647"/>
  <c r="CA648"/>
  <c r="CA649"/>
  <c r="CA650"/>
  <c r="CA651"/>
  <c r="CA652"/>
  <c r="CA653"/>
  <c r="CA654"/>
  <c r="CA655"/>
  <c r="CA656"/>
  <c r="CA657"/>
  <c r="CA658"/>
  <c r="CA659"/>
  <c r="CA660"/>
  <c r="CA661"/>
  <c r="CA662"/>
  <c r="CA663"/>
  <c r="CA664"/>
  <c r="CA665"/>
  <c r="CA666"/>
  <c r="CA667"/>
  <c r="CA668"/>
  <c r="CA669"/>
  <c r="CA670"/>
  <c r="CA671"/>
  <c r="CA672"/>
  <c r="CA673"/>
  <c r="CA674"/>
  <c r="CA675"/>
  <c r="CA676"/>
  <c r="CA677"/>
  <c r="CA678"/>
  <c r="CA679"/>
  <c r="CA680"/>
  <c r="CA681"/>
  <c r="CA682"/>
  <c r="CA683"/>
  <c r="CA684"/>
  <c r="CA685"/>
  <c r="CA686"/>
  <c r="CA687"/>
  <c r="CA688"/>
  <c r="CA689"/>
  <c r="CA690"/>
  <c r="CA691"/>
  <c r="CA692"/>
  <c r="CA693"/>
  <c r="CA694"/>
  <c r="CA695"/>
  <c r="CA696"/>
  <c r="CA697"/>
  <c r="CA698"/>
  <c r="CA699"/>
  <c r="CA700"/>
  <c r="CA701"/>
  <c r="CA702"/>
  <c r="CA703"/>
  <c r="CA704"/>
  <c r="CA705"/>
  <c r="CA706"/>
  <c r="CA707"/>
  <c r="CA708"/>
  <c r="CA709"/>
  <c r="CA710"/>
  <c r="CA711"/>
  <c r="CA712"/>
  <c r="CA713"/>
  <c r="CA714"/>
  <c r="CA715"/>
  <c r="CA716"/>
  <c r="CA717"/>
  <c r="CA718"/>
  <c r="CA719"/>
  <c r="CA720"/>
  <c r="CA721"/>
  <c r="CA722"/>
  <c r="CA723"/>
  <c r="CA724"/>
  <c r="CA725"/>
  <c r="CA726"/>
  <c r="CA727"/>
  <c r="CA728"/>
  <c r="CA729"/>
  <c r="CA730"/>
  <c r="CA731"/>
  <c r="CA732"/>
  <c r="CA733"/>
  <c r="CA734"/>
  <c r="CA735"/>
  <c r="CA736"/>
  <c r="CA737"/>
  <c r="CA738"/>
  <c r="CA739"/>
  <c r="CA740"/>
  <c r="CA741"/>
  <c r="CA742"/>
  <c r="CA743"/>
  <c r="CA744"/>
  <c r="CA745"/>
  <c r="CA746"/>
  <c r="CA747"/>
  <c r="CA748"/>
  <c r="CA749"/>
  <c r="CA750"/>
  <c r="CA751"/>
  <c r="CA752"/>
  <c r="CA753"/>
  <c r="CA754"/>
  <c r="CA755"/>
  <c r="CA756"/>
  <c r="CA757"/>
  <c r="CA758"/>
  <c r="CA759"/>
  <c r="CA760"/>
  <c r="CA761"/>
  <c r="CA762"/>
  <c r="CA763"/>
  <c r="CA764"/>
  <c r="CA765"/>
  <c r="CA766"/>
  <c r="CA767"/>
  <c r="CA768"/>
  <c r="CA769"/>
  <c r="CA770"/>
  <c r="CA771"/>
  <c r="CA772"/>
  <c r="CA773"/>
  <c r="CA774"/>
  <c r="CA775"/>
  <c r="CA776"/>
  <c r="CA777"/>
  <c r="CA778"/>
  <c r="CA779"/>
  <c r="CA780"/>
  <c r="CA781"/>
  <c r="CA782"/>
  <c r="CA783"/>
  <c r="CA784"/>
  <c r="CA785"/>
  <c r="CA786"/>
  <c r="CA787"/>
  <c r="CA788"/>
  <c r="CA789"/>
  <c r="CA790"/>
  <c r="CA791"/>
  <c r="CA792"/>
  <c r="CA793"/>
  <c r="CA794"/>
  <c r="CA795"/>
  <c r="CA796"/>
  <c r="CA797"/>
  <c r="CA798"/>
  <c r="CA799"/>
  <c r="CA800"/>
  <c r="CA801"/>
  <c r="CA802"/>
  <c r="CA803"/>
  <c r="CA804"/>
  <c r="CA805"/>
  <c r="CA806"/>
  <c r="CA807"/>
  <c r="CA808"/>
  <c r="CA809"/>
  <c r="CA810"/>
  <c r="CA811"/>
  <c r="CA812"/>
  <c r="CA813"/>
  <c r="CA814"/>
  <c r="CA815"/>
  <c r="CA816"/>
  <c r="CA817"/>
  <c r="CA818"/>
  <c r="CA819"/>
  <c r="CA820"/>
  <c r="CA821"/>
  <c r="CA822"/>
  <c r="CA823"/>
  <c r="CA824"/>
  <c r="CA825"/>
  <c r="CA826"/>
  <c r="CA827"/>
  <c r="CA828"/>
  <c r="CA829"/>
  <c r="CA830"/>
  <c r="CA831"/>
  <c r="CA832"/>
  <c r="CA833"/>
  <c r="CA834"/>
  <c r="CA835"/>
  <c r="CA836"/>
  <c r="CA837"/>
  <c r="CA838"/>
  <c r="CA839"/>
  <c r="CA840"/>
  <c r="CA841"/>
  <c r="CA842"/>
  <c r="CA843"/>
  <c r="CA844"/>
  <c r="CA845"/>
  <c r="CA846"/>
  <c r="CA847"/>
  <c r="CA848"/>
  <c r="CA849"/>
  <c r="CA850"/>
  <c r="CA851"/>
  <c r="CA852"/>
  <c r="CA853"/>
  <c r="CA854"/>
  <c r="CA855"/>
  <c r="CA856"/>
  <c r="CA857"/>
  <c r="CA858"/>
  <c r="CA859"/>
  <c r="CA860"/>
  <c r="CA861"/>
  <c r="CA862"/>
  <c r="CA863"/>
  <c r="CA864"/>
  <c r="CA865"/>
  <c r="CA866"/>
  <c r="CA867"/>
  <c r="CA868"/>
  <c r="CA869"/>
  <c r="CA870"/>
  <c r="CA871"/>
  <c r="CA872"/>
  <c r="CA873"/>
  <c r="CA874"/>
  <c r="CA875"/>
  <c r="CA876"/>
  <c r="CA877"/>
  <c r="CA878"/>
  <c r="CA879"/>
  <c r="CA880"/>
  <c r="CA881"/>
  <c r="CA882"/>
  <c r="CA883"/>
  <c r="CA884"/>
  <c r="CA885"/>
  <c r="CA886"/>
  <c r="CA887"/>
  <c r="CA888"/>
  <c r="CA889"/>
  <c r="CA890"/>
  <c r="CA891"/>
  <c r="CA892"/>
  <c r="CA893"/>
  <c r="CA894"/>
  <c r="CA895"/>
  <c r="CA896"/>
  <c r="CA897"/>
  <c r="CA898"/>
  <c r="CA899"/>
  <c r="CA900"/>
  <c r="CA901"/>
  <c r="CA902"/>
  <c r="CA903"/>
  <c r="CA904"/>
  <c r="CA905"/>
  <c r="CA906"/>
  <c r="CA907"/>
  <c r="CA908"/>
  <c r="CA909"/>
  <c r="CA910"/>
  <c r="CA911"/>
  <c r="CA912"/>
  <c r="CA913"/>
  <c r="CA914"/>
  <c r="CA915"/>
  <c r="CA916"/>
  <c r="CA917"/>
  <c r="CA918"/>
  <c r="CA919"/>
  <c r="CA920"/>
  <c r="CA921"/>
  <c r="CA922"/>
  <c r="CA923"/>
  <c r="CA924"/>
  <c r="CA925"/>
  <c r="CA926"/>
  <c r="CA927"/>
  <c r="CA928"/>
  <c r="CA929"/>
  <c r="CA930"/>
  <c r="CA931"/>
  <c r="CA932"/>
  <c r="CA933"/>
  <c r="CA934"/>
  <c r="CA935"/>
  <c r="CA936"/>
  <c r="CA937"/>
  <c r="CA938"/>
  <c r="CA939"/>
  <c r="CA940"/>
  <c r="CA941"/>
  <c r="CA942"/>
  <c r="CA943"/>
  <c r="CA944"/>
  <c r="CA945"/>
  <c r="CA946"/>
  <c r="CA947"/>
  <c r="CA948"/>
  <c r="CA949"/>
  <c r="CA950"/>
  <c r="CA951"/>
  <c r="CA952"/>
  <c r="CA953"/>
  <c r="CA954"/>
  <c r="CA955"/>
  <c r="CA956"/>
  <c r="CA957"/>
  <c r="CA958"/>
  <c r="CA959"/>
  <c r="CA960"/>
  <c r="CA961"/>
  <c r="CA962"/>
  <c r="CA963"/>
  <c r="CA964"/>
  <c r="CA965"/>
  <c r="CA966"/>
  <c r="CA967"/>
  <c r="CA968"/>
  <c r="CA969"/>
  <c r="CA970"/>
  <c r="CA971"/>
  <c r="CA972"/>
  <c r="CA973"/>
  <c r="CA974"/>
  <c r="CA975"/>
  <c r="CA976"/>
  <c r="CA977"/>
  <c r="CA978"/>
  <c r="CA979"/>
  <c r="CA980"/>
  <c r="CA981"/>
  <c r="CA982"/>
  <c r="CA983"/>
  <c r="CA984"/>
  <c r="CA985"/>
  <c r="CA986"/>
  <c r="CA987"/>
  <c r="CA988"/>
  <c r="CA989"/>
  <c r="CA990"/>
  <c r="CA991"/>
  <c r="CA992"/>
  <c r="CA993"/>
  <c r="CA994"/>
  <c r="CA995"/>
  <c r="CA996"/>
  <c r="CA997"/>
  <c r="CA998"/>
  <c r="CA999"/>
  <c r="CA1000"/>
  <c r="CA1001"/>
  <c r="CA1002"/>
  <c r="CA1003"/>
  <c r="CA1004"/>
  <c r="CA1005"/>
  <c r="CA1006"/>
  <c r="CA1007"/>
  <c r="CA1008"/>
  <c r="CA1009"/>
  <c r="CA1010"/>
  <c r="CA1011"/>
  <c r="CA1012"/>
  <c r="CA1013"/>
  <c r="CA1014"/>
  <c r="CA1015"/>
  <c r="CA1016"/>
  <c r="CA1017"/>
  <c r="CA1018"/>
  <c r="CA1019"/>
  <c r="CA1020"/>
  <c r="CA1021"/>
  <c r="CA1022"/>
  <c r="CA1023"/>
  <c r="CA1024"/>
  <c r="CA1025"/>
  <c r="CA1026"/>
  <c r="CA1027"/>
  <c r="CA1028"/>
  <c r="CA1029"/>
  <c r="CA1030"/>
  <c r="CA1031"/>
  <c r="CA1032"/>
  <c r="CA1033"/>
  <c r="CA1034"/>
  <c r="CA1035"/>
  <c r="CA1036"/>
  <c r="CA1037"/>
  <c r="CA1038"/>
  <c r="CA1039"/>
  <c r="CA1040"/>
  <c r="CA1041"/>
  <c r="CA1042"/>
  <c r="CA1043"/>
  <c r="CA1044"/>
  <c r="CA1045"/>
  <c r="CA1046"/>
  <c r="CA1047"/>
  <c r="CA1048"/>
  <c r="CA1049"/>
  <c r="CA1050"/>
  <c r="CA1051"/>
  <c r="CA1052"/>
  <c r="CA1053"/>
  <c r="CA1054"/>
  <c r="CA1055"/>
  <c r="CA1056"/>
  <c r="CA1057"/>
  <c r="CA1058"/>
  <c r="CA1059"/>
  <c r="CA1060"/>
  <c r="CA1061"/>
  <c r="CA1062"/>
  <c r="CA1063"/>
  <c r="CA1064"/>
  <c r="CA1065"/>
  <c r="CA1066"/>
  <c r="CA1067"/>
  <c r="CA1068"/>
  <c r="CA1069"/>
  <c r="CA1070"/>
  <c r="CA1071"/>
  <c r="CA1072"/>
  <c r="CA1073"/>
  <c r="CA1074"/>
  <c r="CA1075"/>
  <c r="CA1076"/>
  <c r="CA1077"/>
  <c r="CA1078"/>
  <c r="CA1079"/>
  <c r="CA1080"/>
  <c r="CA1081"/>
  <c r="CA1082"/>
  <c r="CA1083"/>
  <c r="CA1084"/>
  <c r="CA1085"/>
  <c r="CA1086"/>
  <c r="CA1087"/>
  <c r="CA1088"/>
  <c r="CA1089"/>
  <c r="CA1090"/>
  <c r="CA1091"/>
  <c r="CA1092"/>
  <c r="CA1093"/>
  <c r="CA1094"/>
  <c r="CA1095"/>
  <c r="CA1096"/>
  <c r="CA1097"/>
  <c r="CA1098"/>
  <c r="CA1099"/>
  <c r="CA1100"/>
  <c r="CA1101"/>
  <c r="CA1102"/>
  <c r="CA1103"/>
  <c r="CA1104"/>
  <c r="CA1105"/>
  <c r="CA1106"/>
  <c r="CA1107"/>
  <c r="CA1108"/>
  <c r="CA1109"/>
  <c r="CA1110"/>
  <c r="CA1111"/>
  <c r="CA1112"/>
  <c r="CA1113"/>
  <c r="CA1114"/>
  <c r="CA1115"/>
  <c r="CA1116"/>
  <c r="CA1117"/>
  <c r="CA1118"/>
  <c r="CA1119"/>
  <c r="CA1120"/>
  <c r="CA1121"/>
  <c r="CA1122"/>
  <c r="CA1123"/>
  <c r="CA1124"/>
  <c r="CA1125"/>
  <c r="CA1126"/>
  <c r="CA1127"/>
  <c r="CA1128"/>
  <c r="CA1129"/>
  <c r="CA1130"/>
  <c r="CA1131"/>
  <c r="CA1132"/>
  <c r="CA1133"/>
  <c r="CA1134"/>
  <c r="CA1135"/>
  <c r="CA1136"/>
  <c r="CA1137"/>
  <c r="CA1138"/>
  <c r="CA1139"/>
  <c r="CA1140"/>
  <c r="CA1141"/>
  <c r="CA1142"/>
  <c r="CA1143"/>
  <c r="CA1144"/>
  <c r="CA1145"/>
  <c r="CA1146"/>
  <c r="CA1147"/>
  <c r="CA1148"/>
  <c r="CA1149"/>
  <c r="CA1150"/>
  <c r="CA1151"/>
  <c r="CA1152"/>
  <c r="CA1153"/>
  <c r="CA1154"/>
  <c r="CA1155"/>
  <c r="CA1156"/>
  <c r="CA1157"/>
  <c r="CA1158"/>
  <c r="CA1159"/>
  <c r="CA1160"/>
  <c r="CA1161"/>
  <c r="CA1162"/>
  <c r="CA1163"/>
  <c r="CA1164"/>
  <c r="CA1165"/>
  <c r="CA1166"/>
  <c r="CA1167"/>
  <c r="CA1168"/>
  <c r="CA1169"/>
  <c r="CA1170"/>
  <c r="CA1171"/>
  <c r="CA1172"/>
  <c r="CA1173"/>
  <c r="CA1174"/>
  <c r="CA1175"/>
  <c r="CA1176"/>
  <c r="CA1177"/>
  <c r="CA1178"/>
  <c r="CA1179"/>
  <c r="CA1180"/>
  <c r="CA1181"/>
  <c r="CA1182"/>
  <c r="CA1183"/>
  <c r="CA1184"/>
  <c r="CA1185"/>
  <c r="CA1186"/>
  <c r="CA1187"/>
  <c r="CA1188"/>
  <c r="CA1189"/>
  <c r="CA1190"/>
  <c r="CA1191"/>
  <c r="CA1192"/>
  <c r="CA1193"/>
  <c r="CA1194"/>
  <c r="CA1195"/>
  <c r="CA1196"/>
  <c r="CA1197"/>
  <c r="CA1198"/>
  <c r="CA1199"/>
  <c r="CA1200"/>
  <c r="CA1201"/>
  <c r="CA1202"/>
  <c r="CA1203"/>
  <c r="CA1204"/>
  <c r="CA1205"/>
  <c r="CA1206"/>
  <c r="CA1207"/>
  <c r="CA1208"/>
  <c r="CA1209"/>
  <c r="CA1210"/>
  <c r="CA1211"/>
  <c r="CA1212"/>
  <c r="CA1213"/>
  <c r="CA1214"/>
  <c r="CA1215"/>
  <c r="CA1216"/>
  <c r="CA1217"/>
  <c r="CA1218"/>
  <c r="CA1219"/>
  <c r="CA1220"/>
  <c r="CA1221"/>
  <c r="CA1222"/>
  <c r="CA1223"/>
  <c r="CA1224"/>
  <c r="CA1225"/>
  <c r="CA1226"/>
  <c r="CA1227"/>
  <c r="CA1228"/>
  <c r="CA1229"/>
  <c r="CA1230"/>
  <c r="CA1231"/>
  <c r="CA1232"/>
  <c r="CA1233"/>
  <c r="CA1234"/>
  <c r="CA1235"/>
  <c r="CA1236"/>
  <c r="CA1237"/>
  <c r="CA1238"/>
  <c r="CA1239"/>
  <c r="CA1240"/>
  <c r="CA1241"/>
  <c r="CA1242"/>
  <c r="CA1243"/>
  <c r="CA1244"/>
  <c r="CA1245"/>
  <c r="CA1246"/>
  <c r="CA1247"/>
  <c r="CA1248"/>
  <c r="CA1249"/>
  <c r="CA1250"/>
  <c r="CA1251"/>
  <c r="CA1252"/>
  <c r="CA1253"/>
  <c r="CA1254"/>
  <c r="CA1255"/>
  <c r="CA1256"/>
  <c r="CA1257"/>
  <c r="CA1258"/>
  <c r="CA1259"/>
  <c r="CA1260"/>
  <c r="CA1261"/>
  <c r="CA1262"/>
  <c r="CA1263"/>
  <c r="CA1264"/>
  <c r="CA1265"/>
  <c r="CA1266"/>
  <c r="CA1267"/>
  <c r="CA1268"/>
  <c r="CA1269"/>
  <c r="CA1270"/>
  <c r="CA1271"/>
  <c r="CA1272"/>
  <c r="CA1273"/>
  <c r="CA1274"/>
  <c r="CA1275"/>
  <c r="CA1276"/>
  <c r="CA1277"/>
  <c r="CA1278"/>
  <c r="CA1279"/>
  <c r="CA1280"/>
  <c r="CA1281"/>
  <c r="CA1282"/>
  <c r="CA1283"/>
  <c r="CA1284"/>
  <c r="CA1285"/>
  <c r="CA1286"/>
  <c r="CA1287"/>
  <c r="CA1288"/>
  <c r="CA1289"/>
  <c r="CA1290"/>
  <c r="CA1291"/>
  <c r="CA1292"/>
  <c r="CA1293"/>
  <c r="CA1294"/>
  <c r="CA1295"/>
  <c r="CA1296"/>
  <c r="CA1297"/>
  <c r="CA1298"/>
  <c r="CA1299"/>
  <c r="CA1300"/>
  <c r="CA1301"/>
  <c r="CA1302"/>
  <c r="CA1303"/>
  <c r="CA1304"/>
  <c r="CA1305"/>
  <c r="CA1306"/>
  <c r="CA1307"/>
  <c r="CA1308"/>
  <c r="CA1309"/>
  <c r="CA1310"/>
  <c r="CA1311"/>
  <c r="CA1312"/>
  <c r="CA1313"/>
  <c r="CA1314"/>
  <c r="CA1315"/>
  <c r="CA1316"/>
  <c r="CA1317"/>
  <c r="CA1318"/>
  <c r="CA1319"/>
  <c r="CA1320"/>
  <c r="CA1321"/>
  <c r="CA1322"/>
  <c r="CA1323"/>
  <c r="CA1324"/>
  <c r="CA1325"/>
  <c r="CA1326"/>
  <c r="CA1327"/>
  <c r="CA1328"/>
  <c r="CA1329"/>
  <c r="CA1330"/>
  <c r="CA1331"/>
  <c r="CA1332"/>
  <c r="CA1333"/>
  <c r="CA1334"/>
  <c r="CA1335"/>
  <c r="CA1336"/>
  <c r="CA1337"/>
  <c r="CA1338"/>
  <c r="CA1339"/>
  <c r="CA1340"/>
  <c r="CA1341"/>
  <c r="CA1342"/>
  <c r="CA1343"/>
  <c r="CA1344"/>
  <c r="CA1345"/>
  <c r="CA1346"/>
  <c r="CA1347"/>
  <c r="CA1348"/>
  <c r="CA1349"/>
  <c r="CA1350"/>
  <c r="CA1351"/>
  <c r="CA1352"/>
  <c r="CA1353"/>
  <c r="CA1354"/>
  <c r="CA1355"/>
  <c r="CA1356"/>
  <c r="CA1357"/>
  <c r="CA1358"/>
  <c r="CA1359"/>
  <c r="CA1360"/>
  <c r="CA1361"/>
  <c r="CA1362"/>
  <c r="CA1363"/>
  <c r="CA1364"/>
  <c r="CA1365"/>
  <c r="CA1366"/>
  <c r="CA1367"/>
  <c r="CA1368"/>
  <c r="CA1369"/>
  <c r="CA1370"/>
  <c r="CA1371"/>
  <c r="CA1372"/>
  <c r="CA1373"/>
  <c r="CA1374"/>
  <c r="CA1375"/>
  <c r="CA1376"/>
  <c r="CA1377"/>
  <c r="CA1378"/>
  <c r="CA1379"/>
  <c r="CA1380"/>
  <c r="CA1381"/>
  <c r="CA1382"/>
  <c r="CA1383"/>
  <c r="CA1384"/>
  <c r="CA1385"/>
  <c r="CA1386"/>
  <c r="CA1387"/>
  <c r="CA1388"/>
  <c r="CA1389"/>
  <c r="CA1390"/>
  <c r="CA1391"/>
  <c r="CA1392"/>
  <c r="CA1393"/>
  <c r="CA1394"/>
  <c r="CA1395"/>
  <c r="CA1396"/>
  <c r="CA1397"/>
  <c r="CA1398"/>
  <c r="CA1399"/>
  <c r="CA1400"/>
  <c r="CA1401"/>
  <c r="CA1402"/>
  <c r="CA1403"/>
  <c r="CA1404"/>
  <c r="CA1405"/>
  <c r="CA1406"/>
  <c r="CA1407"/>
  <c r="CA1408"/>
  <c r="CA1409"/>
  <c r="CA1410"/>
  <c r="CA1411"/>
  <c r="CA1412"/>
  <c r="CA1413"/>
  <c r="CA1414"/>
  <c r="CA1415"/>
  <c r="CA1416"/>
  <c r="CA1417"/>
  <c r="CA1418"/>
  <c r="CA1419"/>
  <c r="CA1420"/>
  <c r="CA1421"/>
  <c r="CA1422"/>
  <c r="CA1423"/>
  <c r="CA1424"/>
  <c r="CA1425"/>
  <c r="CA1426"/>
  <c r="CA1427"/>
  <c r="CA1428"/>
  <c r="CA1429"/>
  <c r="CA1430"/>
  <c r="CA1431"/>
  <c r="CA1432"/>
  <c r="CA1433"/>
  <c r="CA1434"/>
  <c r="CA1435"/>
  <c r="CA1436"/>
  <c r="CA1437"/>
  <c r="CA1438"/>
  <c r="CA1439"/>
  <c r="CA1440"/>
  <c r="CA1441"/>
  <c r="CA1442"/>
  <c r="CA1443"/>
  <c r="CA1444"/>
  <c r="CA1445"/>
  <c r="CA1446"/>
  <c r="CA1447"/>
  <c r="CA1448"/>
  <c r="CA1449"/>
  <c r="CA1450"/>
  <c r="CA1451"/>
  <c r="CA1452"/>
  <c r="CA1453"/>
  <c r="CA1454"/>
  <c r="CA1455"/>
  <c r="CA1456"/>
  <c r="CA1457"/>
  <c r="CA1458"/>
  <c r="CA1459"/>
  <c r="CA1460"/>
  <c r="CA1461"/>
  <c r="CA1462"/>
  <c r="CA1463"/>
  <c r="CA1464"/>
  <c r="CA1465"/>
  <c r="CA1466"/>
  <c r="CA1467"/>
  <c r="CA1468"/>
  <c r="CA1469"/>
  <c r="CA1470"/>
  <c r="CA1471"/>
  <c r="CA1472"/>
  <c r="CA1473"/>
  <c r="CA1474"/>
  <c r="CA1475"/>
  <c r="CA1476"/>
  <c r="CA1477"/>
  <c r="CA1478"/>
  <c r="CA1479"/>
  <c r="CA1480"/>
  <c r="CA1481"/>
  <c r="CA1482"/>
  <c r="CA1483"/>
  <c r="CA1484"/>
  <c r="CA1485"/>
  <c r="CA1486"/>
  <c r="CA1487"/>
  <c r="CA1488"/>
  <c r="CA1489"/>
  <c r="CA1490"/>
  <c r="CA1491"/>
  <c r="CA1492"/>
  <c r="CA1493"/>
  <c r="CA1494"/>
  <c r="CA1495"/>
  <c r="CA1496"/>
  <c r="CA1497"/>
  <c r="CA1498"/>
  <c r="CA1499"/>
  <c r="CA1500"/>
  <c r="CA1501"/>
  <c r="CA1502"/>
  <c r="CA1503"/>
  <c r="CA1504"/>
  <c r="CA1505"/>
  <c r="CA1506"/>
  <c r="CA1507"/>
  <c r="CA1508"/>
  <c r="CA1509"/>
  <c r="CA1510"/>
  <c r="CA1511"/>
  <c r="CA1512"/>
  <c r="CA1513"/>
  <c r="CA1514"/>
  <c r="CA1515"/>
  <c r="CA1516"/>
  <c r="CA1517"/>
  <c r="CA1518"/>
  <c r="CA1519"/>
  <c r="CA1520"/>
  <c r="CA1521"/>
  <c r="CA1522"/>
  <c r="CA1523"/>
  <c r="CA1524"/>
  <c r="CA1525"/>
  <c r="CA1526"/>
  <c r="CA1527"/>
  <c r="CA1528"/>
  <c r="CA1529"/>
  <c r="CA1530"/>
  <c r="CA1531"/>
  <c r="CA1532"/>
  <c r="CA1533"/>
  <c r="CA1534"/>
  <c r="CA1535"/>
  <c r="CA1536"/>
  <c r="CA1537"/>
  <c r="CA1538"/>
  <c r="CA1539"/>
  <c r="CA1540"/>
  <c r="CA1541"/>
  <c r="CA1542"/>
  <c r="CA1543"/>
  <c r="CA1544"/>
  <c r="CA1545"/>
  <c r="CA1546"/>
  <c r="CA1547"/>
  <c r="CA1548"/>
  <c r="CA1549"/>
  <c r="CA1550"/>
  <c r="CA1551"/>
  <c r="CA1552"/>
  <c r="CA1553"/>
  <c r="CA1554"/>
  <c r="CA1555"/>
  <c r="CA1556"/>
  <c r="CA1557"/>
  <c r="CA1558"/>
  <c r="CA1559"/>
  <c r="CA1560"/>
  <c r="CA1561"/>
  <c r="CA1562"/>
  <c r="CA1563"/>
  <c r="CA1564"/>
  <c r="CA1565"/>
  <c r="CA1566"/>
  <c r="CA1567"/>
  <c r="CA1568"/>
  <c r="CA1569"/>
  <c r="CA1570"/>
  <c r="CA1571"/>
  <c r="CA1572"/>
  <c r="CA1573"/>
  <c r="CA1574"/>
  <c r="CA1575"/>
  <c r="CA1576"/>
  <c r="CA1577"/>
  <c r="CA1578"/>
  <c r="CA1579"/>
  <c r="CA1580"/>
  <c r="CA1581"/>
  <c r="CA1582"/>
  <c r="CA1583"/>
  <c r="CA1584"/>
  <c r="CA1585"/>
  <c r="CA1586"/>
  <c r="CA1587"/>
  <c r="CA1588"/>
  <c r="CA1589"/>
  <c r="CA1590"/>
  <c r="CA1591"/>
  <c r="CA1592"/>
  <c r="CA1593"/>
  <c r="CA1594"/>
  <c r="CA1595"/>
  <c r="CA1596"/>
  <c r="CA1597"/>
  <c r="CA1598"/>
  <c r="CA1599"/>
  <c r="CA1600"/>
  <c r="CA1601"/>
  <c r="CA1602"/>
  <c r="CA1603"/>
  <c r="CA1604"/>
  <c r="CA1605"/>
  <c r="CA1606"/>
  <c r="CA1607"/>
  <c r="CA1608"/>
  <c r="CA1609"/>
  <c r="CA1610"/>
  <c r="CA1611"/>
  <c r="CA1612"/>
  <c r="CA1613"/>
  <c r="CA1614"/>
  <c r="CA1615"/>
  <c r="CA1616"/>
  <c r="CA1617"/>
  <c r="CA1618"/>
  <c r="CA1619"/>
  <c r="CA1620"/>
  <c r="CA1621"/>
  <c r="CA1622"/>
  <c r="CA1623"/>
  <c r="CA1624"/>
  <c r="CA1625"/>
  <c r="CA1626"/>
  <c r="CA1627"/>
  <c r="CA1628"/>
  <c r="CA1629"/>
  <c r="CA1630"/>
  <c r="CA1631"/>
  <c r="CA1632"/>
  <c r="CA1633"/>
  <c r="CA1634"/>
  <c r="CA1635"/>
  <c r="CA1636"/>
  <c r="CA1637"/>
  <c r="CA1638"/>
  <c r="CA1639"/>
  <c r="CA1640"/>
  <c r="CA1641"/>
  <c r="CA1642"/>
  <c r="CA1643"/>
  <c r="CA1644"/>
  <c r="CA1645"/>
  <c r="CA1646"/>
  <c r="CA1647"/>
  <c r="CA1648"/>
  <c r="CA1649"/>
  <c r="CA1650"/>
  <c r="CA1651"/>
  <c r="CA1652"/>
  <c r="CA1653"/>
  <c r="CA1654"/>
  <c r="CA1655"/>
  <c r="CA1656"/>
  <c r="CA1657"/>
  <c r="CA1658"/>
  <c r="CA1659"/>
  <c r="CA1660"/>
  <c r="CA1661"/>
  <c r="CA1662"/>
  <c r="CA1663"/>
  <c r="CA1664"/>
  <c r="CA1665"/>
  <c r="CA1666"/>
  <c r="CA1667"/>
  <c r="CA1668"/>
  <c r="CA1669"/>
  <c r="CA1670"/>
  <c r="CA1671"/>
  <c r="CA1672"/>
  <c r="CA1673"/>
  <c r="CA1674"/>
  <c r="CA1675"/>
  <c r="CA1676"/>
  <c r="CA1677"/>
  <c r="CA1678"/>
  <c r="CA1679"/>
  <c r="CA1680"/>
  <c r="CA1681"/>
  <c r="CA1682"/>
  <c r="CA1683"/>
  <c r="CA1684"/>
  <c r="CA1685"/>
  <c r="CA1686"/>
  <c r="CA1687"/>
  <c r="CA1688"/>
  <c r="CA1689"/>
  <c r="CA1690"/>
  <c r="CA1691"/>
  <c r="CA1692"/>
  <c r="CA1693"/>
  <c r="CA1694"/>
  <c r="CA1695"/>
  <c r="CA1696"/>
  <c r="CA1697"/>
  <c r="CA1698"/>
  <c r="CA1699"/>
  <c r="CA1700"/>
  <c r="CA1701"/>
  <c r="CA1702"/>
  <c r="CA1703"/>
  <c r="CA1704"/>
  <c r="CA1705"/>
  <c r="CA1706"/>
  <c r="CA1707"/>
  <c r="CA1708"/>
  <c r="CA1709"/>
  <c r="CA1710"/>
  <c r="CA1711"/>
  <c r="CA1712"/>
  <c r="CA1713"/>
  <c r="CA1714"/>
  <c r="CA1715"/>
  <c r="CA1716"/>
  <c r="CA1717"/>
  <c r="CA1718"/>
  <c r="CA1719"/>
  <c r="CA1720"/>
  <c r="CA1721"/>
  <c r="CA1722"/>
  <c r="CA1723"/>
  <c r="CA1724"/>
  <c r="CA1725"/>
  <c r="CA1726"/>
  <c r="CA1727"/>
  <c r="CA1728"/>
  <c r="CA1729"/>
  <c r="CA1730"/>
  <c r="CA1731"/>
  <c r="CA1732"/>
  <c r="CA1733"/>
  <c r="CA1734"/>
  <c r="CA1735"/>
  <c r="CA1736"/>
  <c r="CA1737"/>
  <c r="CA1738"/>
  <c r="CA1739"/>
  <c r="CA1740"/>
  <c r="CA1741"/>
  <c r="CA1742"/>
  <c r="CA1743"/>
  <c r="CA1744"/>
  <c r="CA1745"/>
  <c r="CA1746"/>
  <c r="CA1747"/>
  <c r="CA1748"/>
  <c r="CA1749"/>
  <c r="CA1750"/>
  <c r="CA1751"/>
  <c r="CA1752"/>
  <c r="CA1753"/>
  <c r="CA1754"/>
  <c r="CA1755"/>
  <c r="CA1756"/>
  <c r="CA1757"/>
  <c r="CA1758"/>
  <c r="CA1759"/>
  <c r="CA1760"/>
  <c r="CA1761"/>
  <c r="CA1762"/>
  <c r="CA1763"/>
  <c r="CA1764"/>
  <c r="CA1765"/>
  <c r="CA1766"/>
  <c r="CA1767"/>
  <c r="CA1768"/>
  <c r="CA1769"/>
  <c r="CA1770"/>
  <c r="CA1771"/>
  <c r="CA1772"/>
  <c r="CA1773"/>
  <c r="CA1774"/>
  <c r="CA1775"/>
  <c r="CA1776"/>
  <c r="CA1777"/>
  <c r="CA1778"/>
  <c r="CA1779"/>
  <c r="CA1780"/>
  <c r="CA1781"/>
  <c r="CA1782"/>
  <c r="CA1783"/>
  <c r="CA1784"/>
  <c r="CA1785"/>
  <c r="CA1786"/>
  <c r="CA1787"/>
  <c r="CA1788"/>
  <c r="CA1789"/>
  <c r="CA1790"/>
  <c r="CA1791"/>
  <c r="CA1792"/>
  <c r="CA1793"/>
  <c r="CA1794"/>
  <c r="CA1795"/>
  <c r="CA1796"/>
  <c r="CA1797"/>
  <c r="CA1798"/>
  <c r="CA1799"/>
  <c r="CA1800"/>
  <c r="CA1801"/>
  <c r="CA1802"/>
  <c r="CA1803"/>
  <c r="CA1804"/>
  <c r="CA1805"/>
  <c r="CA1806"/>
  <c r="CA1807"/>
  <c r="CA1808"/>
  <c r="CA1809"/>
  <c r="CA1810"/>
  <c r="CA1811"/>
  <c r="CA1812"/>
  <c r="CA1813"/>
  <c r="CA1814"/>
  <c r="CA1815"/>
  <c r="CA1816"/>
  <c r="CA1817"/>
  <c r="CA1818"/>
  <c r="CA1819"/>
  <c r="CA1820"/>
  <c r="CA1821"/>
  <c r="CA1822"/>
  <c r="CA1823"/>
  <c r="CA1824"/>
  <c r="CA1825"/>
  <c r="CA1826"/>
  <c r="CA1827"/>
  <c r="CA1828"/>
  <c r="CA1829"/>
  <c r="CA1830"/>
  <c r="CA1831"/>
  <c r="CA1832"/>
  <c r="CA1833"/>
  <c r="CA1834"/>
  <c r="CA1835"/>
  <c r="CA1836"/>
  <c r="CA1837"/>
  <c r="CA1838"/>
  <c r="CA1839"/>
  <c r="CA1840"/>
  <c r="CA1841"/>
  <c r="CA1842"/>
  <c r="CA1843"/>
  <c r="CA1844"/>
  <c r="CA1845"/>
  <c r="CA1846"/>
  <c r="CA1847"/>
  <c r="CA1848"/>
  <c r="CA1849"/>
  <c r="CA1850"/>
  <c r="CA1851"/>
  <c r="CA1852"/>
  <c r="CA1853"/>
  <c r="CA1854"/>
  <c r="CA1855"/>
  <c r="CA1856"/>
  <c r="CA1857"/>
  <c r="CA1858"/>
  <c r="CA1859"/>
  <c r="CA1860"/>
  <c r="CA1861"/>
  <c r="CA1862"/>
  <c r="CA1863"/>
  <c r="CA1864"/>
  <c r="CA1865"/>
  <c r="CA1866"/>
  <c r="CA1867"/>
  <c r="CA1868"/>
  <c r="CA1869"/>
  <c r="CA1870"/>
  <c r="CA1871"/>
  <c r="CA1872"/>
  <c r="CA1873"/>
  <c r="CA1874"/>
  <c r="CA1875"/>
  <c r="CA1876"/>
  <c r="CA1877"/>
  <c r="CA1878"/>
  <c r="CA1879"/>
  <c r="CA1880"/>
  <c r="CA1881"/>
  <c r="CA1882"/>
  <c r="CA1883"/>
  <c r="CA1884"/>
  <c r="CA1885"/>
  <c r="CA1886"/>
  <c r="CA1887"/>
  <c r="CA1888"/>
  <c r="CA1889"/>
  <c r="CA1890"/>
  <c r="CA1891"/>
  <c r="CA1892"/>
  <c r="CA1893"/>
  <c r="CA1894"/>
  <c r="CA1895"/>
  <c r="CA1896"/>
  <c r="CA1897"/>
  <c r="CA1898"/>
  <c r="CA1899"/>
  <c r="CA1900"/>
  <c r="CA1901"/>
  <c r="CA1902"/>
  <c r="CA1903"/>
  <c r="CA1904"/>
  <c r="CA1905"/>
  <c r="CA1906"/>
  <c r="CA1907"/>
  <c r="CA1908"/>
  <c r="CA1909"/>
  <c r="CA1910"/>
  <c r="CA1911"/>
  <c r="CA1912"/>
  <c r="CA1913"/>
  <c r="CA1914"/>
  <c r="CA1915"/>
  <c r="CA1916"/>
  <c r="CA1917"/>
  <c r="CA1918"/>
  <c r="CA1919"/>
  <c r="CA1920"/>
  <c r="CA1921"/>
  <c r="CA1922"/>
  <c r="CA1923"/>
  <c r="CA1924"/>
  <c r="CA1925"/>
  <c r="CA1926"/>
  <c r="CA1927"/>
  <c r="CA1928"/>
  <c r="CA1929"/>
  <c r="CA1930"/>
  <c r="CA1931"/>
  <c r="CA1932"/>
  <c r="CA1933"/>
  <c r="CA1934"/>
  <c r="CA1935"/>
  <c r="CA1936"/>
  <c r="CA1937"/>
  <c r="CA1938"/>
  <c r="CA1939"/>
  <c r="CA1940"/>
  <c r="CA1941"/>
  <c r="CA1942"/>
  <c r="CA1943"/>
  <c r="CA1944"/>
  <c r="CA1945"/>
  <c r="CA1946"/>
  <c r="CA1947"/>
  <c r="CA1948"/>
  <c r="CA1949"/>
  <c r="CA1950"/>
  <c r="CA1951"/>
  <c r="CA1952"/>
  <c r="CA1953"/>
  <c r="CA1954"/>
  <c r="CA1955"/>
  <c r="CA1956"/>
  <c r="CA1957"/>
  <c r="CA1958"/>
  <c r="CA1959"/>
  <c r="CA1960"/>
  <c r="CA1961"/>
  <c r="CA1962"/>
  <c r="CA1963"/>
  <c r="CA1964"/>
  <c r="CA1965"/>
  <c r="CA1966"/>
  <c r="CA1967"/>
  <c r="CA1968"/>
  <c r="CA1969"/>
  <c r="CA1970"/>
  <c r="CA1971"/>
  <c r="CA1972"/>
  <c r="CA1973"/>
  <c r="CA1974"/>
  <c r="CA1975"/>
  <c r="CA1976"/>
  <c r="CA1977"/>
  <c r="CA1978"/>
  <c r="CA1979"/>
  <c r="CA1980"/>
  <c r="CA1981"/>
  <c r="CA1982"/>
  <c r="CA1983"/>
  <c r="CA1984"/>
  <c r="CA1985"/>
  <c r="CA1986"/>
  <c r="CA1987"/>
  <c r="CA1988"/>
  <c r="CA1989"/>
  <c r="CA1990"/>
  <c r="CA1991"/>
  <c r="CA1992"/>
  <c r="CA1993"/>
  <c r="CA1994"/>
  <c r="CA1995"/>
  <c r="CA1996"/>
  <c r="CA1997"/>
  <c r="CA1998"/>
  <c r="CA1999"/>
  <c r="CA2000"/>
  <c r="CA2001"/>
  <c r="CA2002"/>
  <c r="CA2003"/>
  <c r="CA2004"/>
  <c r="CA2005"/>
  <c r="CA2006"/>
  <c r="CA2007"/>
  <c r="CA2008"/>
  <c r="CA2009"/>
  <c r="CA2010"/>
  <c r="CA2011"/>
  <c r="CA2012"/>
  <c r="CA2013"/>
  <c r="CA2014"/>
  <c r="CA2015"/>
  <c r="CA2016"/>
  <c r="CA2017"/>
  <c r="CA2018"/>
  <c r="CA2019"/>
  <c r="CA2020"/>
  <c r="CA2021"/>
  <c r="CA2022"/>
  <c r="CA2023"/>
  <c r="CA2024"/>
  <c r="CA2025"/>
  <c r="CA2026"/>
  <c r="CA2027"/>
  <c r="CA2028"/>
  <c r="CA2029"/>
  <c r="CA2030"/>
  <c r="CA2031"/>
  <c r="CA2032"/>
  <c r="CA2033"/>
  <c r="CA2034"/>
  <c r="CA2035"/>
  <c r="CA2036"/>
  <c r="CA2037"/>
  <c r="CA2038"/>
  <c r="CA2039"/>
  <c r="CA2040"/>
  <c r="CA2041"/>
  <c r="CA2042"/>
  <c r="CA2043"/>
  <c r="CA2044"/>
  <c r="CA2045"/>
  <c r="CA2046"/>
  <c r="CA2047"/>
  <c r="CA2048"/>
  <c r="CA2049"/>
  <c r="CA2050"/>
  <c r="CA2051"/>
  <c r="CA2052"/>
  <c r="CA2053"/>
  <c r="CA2054"/>
  <c r="CA2055"/>
  <c r="CA2056"/>
  <c r="CA2057"/>
  <c r="CA2058"/>
  <c r="CA2059"/>
  <c r="CA2060"/>
  <c r="CA2061"/>
  <c r="CA2062"/>
  <c r="CA2063"/>
  <c r="CA2064"/>
  <c r="CA2065"/>
  <c r="CA2066"/>
  <c r="CA2067"/>
  <c r="CA2068"/>
  <c r="CA2069"/>
  <c r="CA2070"/>
  <c r="CA2071"/>
  <c r="CA2072"/>
  <c r="CA2073"/>
  <c r="CA2074"/>
  <c r="CA2075"/>
  <c r="CA2076"/>
  <c r="CA2077"/>
  <c r="CA2078"/>
  <c r="CA2079"/>
  <c r="CA2080"/>
  <c r="CA2081"/>
  <c r="CA2082"/>
  <c r="CA2083"/>
  <c r="CA2084"/>
  <c r="CA2085"/>
  <c r="CA2086"/>
  <c r="CA2087"/>
  <c r="CA2088"/>
  <c r="CA2089"/>
  <c r="CA2090"/>
  <c r="CA2091"/>
  <c r="CA2092"/>
  <c r="CA2093"/>
  <c r="CA2094"/>
  <c r="CA2095"/>
  <c r="CA2096"/>
  <c r="CA2097"/>
  <c r="CA2098"/>
  <c r="CA2099"/>
  <c r="CA2100"/>
  <c r="CA2101"/>
  <c r="CA2102"/>
  <c r="CA2103"/>
  <c r="CA2104"/>
  <c r="CA2105"/>
  <c r="CA2106"/>
  <c r="CA2107"/>
  <c r="CA2108"/>
  <c r="CA2109"/>
  <c r="CA2110"/>
  <c r="CA2111"/>
  <c r="CA2112"/>
  <c r="CA2113"/>
  <c r="CA2114"/>
  <c r="CA2115"/>
  <c r="CA2116"/>
  <c r="CA2117"/>
  <c r="CA2118"/>
  <c r="CA2119"/>
  <c r="CA2120"/>
  <c r="CA2121"/>
  <c r="CA2122"/>
  <c r="CA2123"/>
  <c r="CA2124"/>
  <c r="CA2125"/>
  <c r="CA2126"/>
  <c r="CA2127"/>
  <c r="CA2128"/>
  <c r="CA2129"/>
  <c r="CA2130"/>
  <c r="CA2131"/>
  <c r="CA2132"/>
  <c r="CA2133"/>
  <c r="CA2134"/>
  <c r="CA2135"/>
  <c r="CA2136"/>
  <c r="CA2137"/>
  <c r="CA2138"/>
  <c r="CA2139"/>
  <c r="CA2140"/>
  <c r="CA2141"/>
  <c r="CA2142"/>
  <c r="CA2143"/>
  <c r="CA2144"/>
  <c r="CA2145"/>
  <c r="CA2146"/>
  <c r="CA2147"/>
  <c r="CA2148"/>
  <c r="CA2149"/>
  <c r="CA2150"/>
  <c r="CA2151"/>
  <c r="CA2152"/>
  <c r="CA2153"/>
  <c r="CA2154"/>
  <c r="CA2155"/>
  <c r="CA2156"/>
  <c r="CA2157"/>
  <c r="CA2158"/>
  <c r="CA2159"/>
  <c r="CA2160"/>
  <c r="CA2161"/>
  <c r="CA2162"/>
  <c r="CA2163"/>
  <c r="CA2164"/>
  <c r="CA2165"/>
  <c r="CA2166"/>
  <c r="CA2167"/>
  <c r="CA2168"/>
  <c r="CA2169"/>
  <c r="CA2170"/>
  <c r="CA2171"/>
  <c r="CA2172"/>
  <c r="CA2173"/>
  <c r="CA2174"/>
  <c r="CA2175"/>
  <c r="CA2176"/>
  <c r="CA2177"/>
  <c r="CA2178"/>
  <c r="CA2179"/>
  <c r="CA2180"/>
  <c r="CA2181"/>
  <c r="CA2182"/>
  <c r="CA2183"/>
  <c r="CA2184"/>
  <c r="CA2185"/>
  <c r="CA2186"/>
  <c r="CA2187"/>
  <c r="CA2188"/>
  <c r="CA2189"/>
  <c r="CA2190"/>
  <c r="CA2191"/>
  <c r="CA2192"/>
  <c r="CA2193"/>
  <c r="CA2194"/>
  <c r="CA2195"/>
  <c r="CA2196"/>
  <c r="CA2197"/>
  <c r="CA2198"/>
  <c r="CA2199"/>
  <c r="CA2200"/>
  <c r="CA2201"/>
  <c r="CA2202"/>
  <c r="CA2203"/>
  <c r="CA2204"/>
  <c r="CA2205"/>
  <c r="CA2206"/>
  <c r="CA2207"/>
  <c r="CA2208"/>
  <c r="CA2209"/>
  <c r="CA2210"/>
  <c r="CA2211"/>
  <c r="CA2212"/>
  <c r="CA2213"/>
  <c r="CA2214"/>
  <c r="CA2215"/>
  <c r="CA2216"/>
  <c r="CA2217"/>
  <c r="CA2218"/>
  <c r="CA2219"/>
  <c r="CA2220"/>
  <c r="CA2221"/>
  <c r="CA2222"/>
  <c r="CA2223"/>
  <c r="CA2224"/>
  <c r="CA2225"/>
  <c r="CA2226"/>
  <c r="CA2227"/>
  <c r="CA2228"/>
  <c r="CA2229"/>
  <c r="CA2230"/>
  <c r="CA2231"/>
  <c r="CA2232"/>
  <c r="CA2233"/>
  <c r="CA2234"/>
  <c r="CA2235"/>
  <c r="CA2236"/>
  <c r="CA2237"/>
  <c r="CA2238"/>
  <c r="CA2239"/>
  <c r="CA2240"/>
  <c r="CA2241"/>
  <c r="CA2242"/>
  <c r="CA2243"/>
  <c r="CA2244"/>
  <c r="CA2245"/>
  <c r="CA2246"/>
  <c r="CA2247"/>
  <c r="CA2248"/>
  <c r="CA2249"/>
  <c r="CA2250"/>
  <c r="CA2251"/>
  <c r="CA2252"/>
  <c r="CA2253"/>
  <c r="CA2254"/>
  <c r="CA2255"/>
  <c r="CA2256"/>
  <c r="CA2257"/>
  <c r="CA2258"/>
  <c r="CA2259"/>
  <c r="CA2260"/>
  <c r="CA2261"/>
  <c r="CA2262"/>
  <c r="CA2263"/>
  <c r="CA2264"/>
  <c r="CA2265"/>
  <c r="CA2266"/>
  <c r="CA2267"/>
  <c r="CA2268"/>
  <c r="CA2269"/>
  <c r="CA2270"/>
  <c r="CA2271"/>
  <c r="CA2272"/>
  <c r="CA2273"/>
  <c r="CA2274"/>
  <c r="CA2275"/>
  <c r="CA2276"/>
  <c r="CA2277"/>
  <c r="CA2278"/>
  <c r="CA2279"/>
  <c r="CA2280"/>
  <c r="CA2281"/>
  <c r="CA2282"/>
  <c r="CA2283"/>
  <c r="CA2284"/>
  <c r="CA2285"/>
  <c r="CA2286"/>
  <c r="CA2287"/>
  <c r="CA2288"/>
  <c r="CA2289"/>
  <c r="CA2290"/>
  <c r="CA2291"/>
  <c r="CA2292"/>
  <c r="CA2293"/>
  <c r="CA2294"/>
  <c r="CA2295"/>
  <c r="CA2296"/>
  <c r="CA2297"/>
  <c r="CA2298"/>
  <c r="CA2299"/>
  <c r="CA2300"/>
  <c r="CA2301"/>
  <c r="CA2302"/>
  <c r="CA2303"/>
  <c r="CA2304"/>
  <c r="CA2305"/>
  <c r="CA2306"/>
  <c r="CA2307"/>
  <c r="CA2308"/>
  <c r="CA2309"/>
  <c r="CA2310"/>
  <c r="CA2311"/>
  <c r="CA2312"/>
  <c r="CA2313"/>
  <c r="CA2314"/>
  <c r="CA2315"/>
  <c r="CA2316"/>
  <c r="CA2317"/>
  <c r="CA2318"/>
  <c r="CA2319"/>
  <c r="CA2320"/>
  <c r="CA2321"/>
  <c r="CA2322"/>
  <c r="CA2323"/>
  <c r="CA2324"/>
  <c r="CA2325"/>
  <c r="CA2326"/>
  <c r="CA2327"/>
  <c r="CA2328"/>
  <c r="CA2329"/>
  <c r="CA2330"/>
  <c r="CA2331"/>
  <c r="CA2332"/>
  <c r="CA2333"/>
  <c r="CA2334"/>
  <c r="CA2335"/>
  <c r="CA2336"/>
  <c r="CA2337"/>
  <c r="CA2338"/>
  <c r="CA2339"/>
  <c r="CA2340"/>
  <c r="CA2341"/>
  <c r="CA2342"/>
  <c r="CA2343"/>
  <c r="CA2344"/>
  <c r="CA2345"/>
  <c r="CA2346"/>
  <c r="CA2347"/>
  <c r="CA2348"/>
  <c r="CA2349"/>
  <c r="CA2350"/>
  <c r="CA2351"/>
  <c r="CA2352"/>
  <c r="CA2353"/>
  <c r="CA2354"/>
  <c r="CA2355"/>
  <c r="CA2356"/>
  <c r="CA2357"/>
  <c r="CA2358"/>
  <c r="CA2359"/>
  <c r="CA2360"/>
  <c r="CA2361"/>
  <c r="CA2362"/>
  <c r="CA2363"/>
  <c r="CA2364"/>
  <c r="CA2365"/>
  <c r="CA2366"/>
  <c r="CA2367"/>
  <c r="CA2368"/>
  <c r="CA2369"/>
  <c r="CA2370"/>
  <c r="CA2371"/>
  <c r="CA2372"/>
  <c r="CA2373"/>
  <c r="CA2374"/>
  <c r="CA2375"/>
  <c r="CA2376"/>
  <c r="CA2377"/>
  <c r="CA2378"/>
  <c r="CA2379"/>
  <c r="CA2380"/>
  <c r="CA2381"/>
  <c r="CA2382"/>
  <c r="CA2383"/>
  <c r="CA2384"/>
  <c r="CA2385"/>
  <c r="CA2386"/>
  <c r="CA2387"/>
  <c r="CA2388"/>
  <c r="CA2389"/>
  <c r="CA2390"/>
  <c r="CA2391"/>
  <c r="CA2392"/>
  <c r="CA2393"/>
  <c r="CA2394"/>
  <c r="CA2395"/>
  <c r="CA2396"/>
  <c r="CA2397"/>
  <c r="CA2398"/>
  <c r="CA2399"/>
  <c r="CA2400"/>
  <c r="CA2401"/>
  <c r="CA2402"/>
  <c r="CA2403"/>
  <c r="CA2404"/>
  <c r="CA2405"/>
  <c r="CA2406"/>
  <c r="CA2407"/>
  <c r="CA2408"/>
  <c r="CA2409"/>
  <c r="CA2410"/>
  <c r="CA2411"/>
  <c r="CA2412"/>
  <c r="CA2413"/>
  <c r="CA2414"/>
  <c r="CA2415"/>
  <c r="CA2416"/>
  <c r="CA2417"/>
  <c r="CA2418"/>
  <c r="CA2419"/>
  <c r="CA2420"/>
  <c r="CA2421"/>
  <c r="CA2422"/>
  <c r="CA2423"/>
  <c r="CA2424"/>
  <c r="CA2425"/>
  <c r="CA2426"/>
  <c r="CA2427"/>
  <c r="CA2428"/>
  <c r="CA2429"/>
  <c r="CA2430"/>
  <c r="CA2431"/>
  <c r="CA2432"/>
  <c r="CA2433"/>
  <c r="CA2434"/>
  <c r="CA2435"/>
  <c r="CA2436"/>
  <c r="CA2437"/>
  <c r="CA2438"/>
  <c r="CA2439"/>
  <c r="CA2440"/>
  <c r="CA2441"/>
  <c r="CA2442"/>
  <c r="CA2443"/>
  <c r="CA2444"/>
  <c r="CA2445"/>
  <c r="CA2446"/>
  <c r="CA2447"/>
  <c r="CA2448"/>
  <c r="CA2449"/>
  <c r="CA2450"/>
  <c r="CA2451"/>
  <c r="CA2452"/>
  <c r="CA2453"/>
  <c r="CA2454"/>
  <c r="CA2455"/>
  <c r="CA2456"/>
  <c r="CA2457"/>
  <c r="CA2458"/>
  <c r="CA2459"/>
  <c r="CA2460"/>
  <c r="CA2461"/>
  <c r="CA2462"/>
  <c r="CA2463"/>
  <c r="CA2464"/>
  <c r="CA2465"/>
  <c r="CA2466"/>
  <c r="CA2467"/>
  <c r="CA2468"/>
  <c r="CA2469"/>
  <c r="CA2470"/>
  <c r="CA2471"/>
  <c r="CA2472"/>
  <c r="CA2473"/>
  <c r="CA2474"/>
  <c r="CA2475"/>
  <c r="CA2476"/>
  <c r="CA2477"/>
  <c r="CA2478"/>
  <c r="CA2479"/>
  <c r="CA2480"/>
  <c r="CA2481"/>
  <c r="CA2482"/>
  <c r="CA2483"/>
  <c r="CA2484"/>
  <c r="CA2485"/>
  <c r="CA2486"/>
  <c r="CA2487"/>
  <c r="CA2488"/>
  <c r="CA2489"/>
  <c r="CA2490"/>
  <c r="CA2491"/>
  <c r="CA2492"/>
  <c r="CA2493"/>
  <c r="CA2494"/>
  <c r="CA2495"/>
  <c r="CA2496"/>
  <c r="CA2497"/>
  <c r="CA2498"/>
  <c r="CA2499"/>
  <c r="CA2500"/>
  <c r="CA2501"/>
  <c r="CA2502"/>
  <c r="CA2503"/>
  <c r="CA2504"/>
  <c r="CA2505"/>
  <c r="CA2506"/>
  <c r="CA2507"/>
  <c r="CA2508"/>
  <c r="CA2509"/>
  <c r="CA2510"/>
  <c r="CA2511"/>
  <c r="CA2512"/>
  <c r="CA2513"/>
  <c r="CA2514"/>
  <c r="CA2515"/>
  <c r="CA2516"/>
  <c r="CA2517"/>
  <c r="CA2518"/>
  <c r="CA2519"/>
  <c r="CA2520"/>
  <c r="CA2521"/>
  <c r="CA2522"/>
  <c r="CA2523"/>
  <c r="CA2524"/>
  <c r="CA2525"/>
  <c r="CA2526"/>
  <c r="CA2527"/>
  <c r="CA2528"/>
  <c r="CA2529"/>
  <c r="CA2530"/>
  <c r="CA2531"/>
  <c r="CA2532"/>
  <c r="CA2533"/>
  <c r="CA2534"/>
  <c r="CA2535"/>
  <c r="CA2536"/>
  <c r="CA2537"/>
  <c r="CA2538"/>
  <c r="CA2539"/>
  <c r="CA2540"/>
  <c r="CA2541"/>
  <c r="CA2542"/>
  <c r="CA2543"/>
  <c r="CA2544"/>
  <c r="CA2545"/>
  <c r="CA2546"/>
  <c r="CA2547"/>
  <c r="CA2548"/>
  <c r="CA2549"/>
  <c r="CA2550"/>
  <c r="CA2551"/>
  <c r="CA2552"/>
  <c r="CA2553"/>
  <c r="CA2554"/>
  <c r="CA2555"/>
  <c r="CA2556"/>
  <c r="CA2557"/>
  <c r="CA2558"/>
  <c r="CA2559"/>
  <c r="CA2560"/>
  <c r="CA2561"/>
  <c r="CA2562"/>
  <c r="CA2563"/>
  <c r="CA2564"/>
  <c r="CA2565"/>
  <c r="CA2566"/>
  <c r="CA2567"/>
  <c r="CA2568"/>
  <c r="CA2569"/>
  <c r="CA2570"/>
  <c r="CA2571"/>
  <c r="CA2572"/>
  <c r="CA2573"/>
  <c r="CA2574"/>
  <c r="CA2575"/>
  <c r="CA2576"/>
  <c r="CA2577"/>
  <c r="CA2578"/>
  <c r="CA2579"/>
  <c r="CA2580"/>
  <c r="CA2581"/>
  <c r="CA2582"/>
  <c r="CA2583"/>
  <c r="CA2584"/>
  <c r="CA2585"/>
  <c r="CA2586"/>
  <c r="CA2587"/>
  <c r="CA2588"/>
  <c r="CA2589"/>
  <c r="CA2590"/>
  <c r="CA2591"/>
  <c r="CA2592"/>
  <c r="CA2593"/>
  <c r="CA2594"/>
  <c r="CA2595"/>
  <c r="CA2596"/>
  <c r="CA2597"/>
  <c r="CA2598"/>
  <c r="CA2599"/>
  <c r="CA2600"/>
  <c r="CA2601"/>
  <c r="CA2602"/>
  <c r="CA2603"/>
  <c r="CA2604"/>
  <c r="CA2605"/>
  <c r="CA2606"/>
  <c r="CA2607"/>
  <c r="CA2608"/>
  <c r="CA2609"/>
  <c r="CA2610"/>
  <c r="CA2611"/>
  <c r="CA2612"/>
  <c r="CA2613"/>
  <c r="CA2614"/>
  <c r="CA2615"/>
  <c r="CA2616"/>
  <c r="CA2617"/>
  <c r="CA2618"/>
  <c r="CA2619"/>
  <c r="CA2620"/>
  <c r="CA2621"/>
  <c r="CA2622"/>
  <c r="CA2623"/>
  <c r="CA2624"/>
  <c r="CA2625"/>
  <c r="CA2626"/>
  <c r="CA2627"/>
  <c r="CA2628"/>
  <c r="CA2629"/>
  <c r="CA2630"/>
  <c r="CA2631"/>
  <c r="CA2632"/>
  <c r="CA2633"/>
  <c r="CA2634"/>
  <c r="CA2635"/>
  <c r="CA2636"/>
  <c r="CA2637"/>
  <c r="CA2638"/>
  <c r="CA2639"/>
  <c r="CA2640"/>
  <c r="CA2641"/>
  <c r="CA2642"/>
  <c r="CA2643"/>
  <c r="CA2644"/>
  <c r="CA2645"/>
  <c r="CA2646"/>
  <c r="CA2647"/>
  <c r="CA2648"/>
  <c r="CA2649"/>
  <c r="CA2650"/>
  <c r="CA2651"/>
  <c r="CA2652"/>
  <c r="CA2653"/>
  <c r="CA2654"/>
  <c r="CA2655"/>
  <c r="CA2656"/>
  <c r="CA2657"/>
  <c r="CA2658"/>
  <c r="CA2659"/>
  <c r="CA2660"/>
  <c r="CA2661"/>
  <c r="CA2662"/>
  <c r="CA2663"/>
  <c r="CA2664"/>
  <c r="CA2665"/>
  <c r="CA2666"/>
  <c r="CA2667"/>
  <c r="CA2668"/>
  <c r="CA2669"/>
  <c r="CA2670"/>
  <c r="CA2671"/>
  <c r="CA2672"/>
  <c r="CA2673"/>
  <c r="CA2674"/>
  <c r="CA2675"/>
  <c r="CA2676"/>
  <c r="CA2677"/>
  <c r="CA2678"/>
  <c r="CA2679"/>
  <c r="CA2680"/>
  <c r="CA2681"/>
  <c r="CA2682"/>
  <c r="CA2683"/>
  <c r="CA2684"/>
  <c r="CA2685"/>
  <c r="CA2686"/>
  <c r="CA2687"/>
  <c r="CA2688"/>
  <c r="CA2689"/>
  <c r="CA2690"/>
  <c r="CA2691"/>
  <c r="CA2692"/>
  <c r="CA2693"/>
  <c r="CA2694"/>
  <c r="CA2695"/>
  <c r="CA2696"/>
  <c r="CA2697"/>
  <c r="CA2698"/>
  <c r="CA2699"/>
  <c r="CA2700"/>
  <c r="CA2701"/>
  <c r="CA2702"/>
  <c r="CA2703"/>
  <c r="CA2704"/>
  <c r="CA2705"/>
  <c r="CA2706"/>
  <c r="CA2707"/>
  <c r="CA2708"/>
  <c r="CA2709"/>
  <c r="CA2710"/>
  <c r="CA2711"/>
  <c r="CA2712"/>
  <c r="CA2713"/>
  <c r="CA2714"/>
  <c r="CA2715"/>
  <c r="CA2716"/>
  <c r="CA2717"/>
  <c r="CA2718"/>
  <c r="CA2719"/>
  <c r="CA2720"/>
  <c r="CA2721"/>
  <c r="CA2722"/>
  <c r="CA2723"/>
  <c r="CA2724"/>
  <c r="CA2725"/>
  <c r="CA2726"/>
  <c r="CA2727"/>
  <c r="CA2728"/>
  <c r="CA2729"/>
  <c r="CA2730"/>
  <c r="CA2731"/>
  <c r="CA2732"/>
  <c r="CA2733"/>
  <c r="CA2734"/>
  <c r="CA2735"/>
  <c r="CA2736"/>
  <c r="CA2737"/>
  <c r="CA2738"/>
  <c r="CA2739"/>
  <c r="CA2740"/>
  <c r="CA2741"/>
  <c r="CA2742"/>
  <c r="CA2743"/>
  <c r="CA2744"/>
  <c r="CA2745"/>
  <c r="CA2746"/>
  <c r="CA2747"/>
  <c r="CA2748"/>
  <c r="CA2749"/>
  <c r="CA2750"/>
  <c r="CA2751"/>
  <c r="CA2752"/>
  <c r="CA2753"/>
  <c r="CA2754"/>
  <c r="CA2755"/>
  <c r="CA2756"/>
  <c r="CA2757"/>
  <c r="CA2758"/>
  <c r="CA2759"/>
  <c r="CA2760"/>
  <c r="CA2761"/>
  <c r="CA2762"/>
  <c r="CA2763"/>
  <c r="CA2764"/>
  <c r="CA2765"/>
  <c r="CA2766"/>
  <c r="CA2767"/>
  <c r="CA2768"/>
  <c r="CA2769"/>
  <c r="CA2770"/>
  <c r="CA2771"/>
  <c r="CA2772"/>
  <c r="CA2773"/>
  <c r="CA2774"/>
  <c r="CA2775"/>
  <c r="CA2776"/>
  <c r="CA2777"/>
  <c r="CA2778"/>
  <c r="CA2779"/>
  <c r="CA2780"/>
  <c r="CA2781"/>
  <c r="CA2782"/>
  <c r="CA2783"/>
  <c r="CA2784"/>
  <c r="CA2785"/>
  <c r="CA2786"/>
  <c r="CA2787"/>
  <c r="CA2788"/>
  <c r="CA2789"/>
  <c r="CA2790"/>
  <c r="CA2791"/>
  <c r="CA2792"/>
  <c r="CA2793"/>
  <c r="CA2794"/>
  <c r="CA2795"/>
  <c r="CA2796"/>
  <c r="CA2797"/>
  <c r="CA2798"/>
  <c r="CA2799"/>
  <c r="CA2800"/>
  <c r="CA2801"/>
  <c r="CA2802"/>
  <c r="CA2803"/>
  <c r="CA2804"/>
  <c r="CA2805"/>
  <c r="CA2806"/>
  <c r="CA2807"/>
  <c r="CA2808"/>
  <c r="CA2809"/>
  <c r="CA2810"/>
  <c r="CA2811"/>
  <c r="CA2812"/>
  <c r="CA2813"/>
  <c r="CA2814"/>
  <c r="CA2815"/>
  <c r="CA2816"/>
  <c r="CA2817"/>
  <c r="CA2818"/>
  <c r="CA2819"/>
  <c r="CA2820"/>
  <c r="CA2821"/>
  <c r="CA2822"/>
  <c r="CA2823"/>
  <c r="CA2824"/>
  <c r="CA2825"/>
  <c r="CA2826"/>
  <c r="CA2827"/>
  <c r="CA2828"/>
  <c r="CA2829"/>
  <c r="CA2830"/>
  <c r="CA2831"/>
  <c r="CA2832"/>
  <c r="CA2833"/>
  <c r="CA2834"/>
  <c r="CA2835"/>
  <c r="CA2836"/>
  <c r="CA2837"/>
  <c r="CA2838"/>
  <c r="CA2839"/>
  <c r="CA2840"/>
  <c r="CA2841"/>
  <c r="CA2842"/>
  <c r="CA2843"/>
  <c r="CA2844"/>
  <c r="CA2845"/>
  <c r="CA2846"/>
  <c r="CA2847"/>
  <c r="CA2848"/>
  <c r="CA2849"/>
  <c r="CA2850"/>
  <c r="CA2851"/>
  <c r="CA2852"/>
  <c r="CA2853"/>
  <c r="CA2854"/>
  <c r="CA2855"/>
  <c r="CA2856"/>
  <c r="CA2857"/>
  <c r="CA2858"/>
  <c r="CA2859"/>
  <c r="CA2860"/>
  <c r="CA2861"/>
  <c r="CA2862"/>
  <c r="CA2863"/>
  <c r="CA2864"/>
  <c r="CA2865"/>
  <c r="CA2866"/>
  <c r="CA2867"/>
  <c r="CA2868"/>
  <c r="CA2869"/>
  <c r="CA2870"/>
  <c r="CA2871"/>
  <c r="CA2872"/>
  <c r="CA2873"/>
  <c r="CA2874"/>
  <c r="CA2875"/>
  <c r="CA2876"/>
  <c r="CA2877"/>
  <c r="CA2878"/>
  <c r="CA2879"/>
  <c r="CA2880"/>
  <c r="CA2881"/>
  <c r="CA2882"/>
  <c r="CA2883"/>
  <c r="CA2884"/>
  <c r="CA2885"/>
  <c r="CA2886"/>
  <c r="CA2887"/>
  <c r="CA2888"/>
  <c r="CA2889"/>
  <c r="CA2890"/>
  <c r="CA2891"/>
  <c r="CA2892"/>
  <c r="CA2893"/>
  <c r="CA2894"/>
  <c r="CA2895"/>
  <c r="CA2896"/>
  <c r="CA2897"/>
  <c r="CA2898"/>
  <c r="CA2899"/>
  <c r="CA2900"/>
  <c r="CA2901"/>
  <c r="CA2902"/>
  <c r="CA2903"/>
  <c r="CA2904"/>
  <c r="CA2905"/>
  <c r="CA2906"/>
  <c r="CA2907"/>
  <c r="CA2908"/>
  <c r="CA2909"/>
  <c r="CA2910"/>
  <c r="CA2911"/>
  <c r="CA2912"/>
  <c r="CA2913"/>
  <c r="CA2914"/>
  <c r="CA2915"/>
  <c r="CA2916"/>
  <c r="CA2917"/>
  <c r="CA2918"/>
  <c r="CA2919"/>
  <c r="CA2920"/>
  <c r="CA2921"/>
  <c r="CA2922"/>
  <c r="CA2923"/>
  <c r="CA2924"/>
  <c r="CA2925"/>
  <c r="CA2926"/>
  <c r="CA2927"/>
  <c r="CA2928"/>
  <c r="CA2929"/>
  <c r="CA2930"/>
  <c r="CA2931"/>
  <c r="CA2932"/>
  <c r="CA2933"/>
  <c r="CA2934"/>
  <c r="CA2935"/>
  <c r="CA2936"/>
  <c r="CA2937"/>
  <c r="CA2938"/>
  <c r="CA2939"/>
  <c r="CA2940"/>
  <c r="CA2941"/>
  <c r="CA2942"/>
  <c r="CA2943"/>
  <c r="CA2944"/>
  <c r="CA2945"/>
  <c r="CA2946"/>
  <c r="CA2947"/>
  <c r="CA2948"/>
  <c r="CA2949"/>
  <c r="CA2950"/>
  <c r="CA2951"/>
  <c r="CA2952"/>
  <c r="CA2953"/>
  <c r="CA2954"/>
  <c r="CA2955"/>
  <c r="CA2956"/>
  <c r="CA2957"/>
  <c r="CA2958"/>
  <c r="CA2959"/>
  <c r="CA2960"/>
  <c r="CA2961"/>
  <c r="CA2962"/>
  <c r="CA2963"/>
  <c r="CA2964"/>
  <c r="CA2965"/>
  <c r="CA2966"/>
  <c r="CA2967"/>
  <c r="CA2968"/>
  <c r="CA2969"/>
  <c r="CA2970"/>
  <c r="CA2971"/>
  <c r="CA2972"/>
  <c r="CA2973"/>
  <c r="CA2974"/>
  <c r="CA2975"/>
  <c r="CA2976"/>
  <c r="CA2977"/>
  <c r="CA2978"/>
  <c r="CA2979"/>
  <c r="CA2980"/>
  <c r="CA2981"/>
  <c r="CA2982"/>
  <c r="CA2983"/>
  <c r="CA2984"/>
  <c r="CA2985"/>
  <c r="CA2986"/>
  <c r="CA2987"/>
  <c r="CA2988"/>
  <c r="CA2989"/>
  <c r="CA2990"/>
  <c r="CA2991"/>
  <c r="CA2992"/>
  <c r="CA2993"/>
  <c r="CA2994"/>
  <c r="CA2995"/>
  <c r="CA2996"/>
  <c r="CA2997"/>
  <c r="CA2998"/>
  <c r="CA2999"/>
  <c r="CA3000"/>
  <c r="CA3001"/>
  <c r="CA3002"/>
  <c r="CA3003"/>
  <c r="CA3004"/>
  <c r="CA3005"/>
  <c r="CA3006"/>
  <c r="CA3007"/>
  <c r="CA3008"/>
  <c r="CA3009"/>
  <c r="CA3010"/>
  <c r="CA3011"/>
  <c r="CA3012"/>
  <c r="CA3013"/>
  <c r="CA3014"/>
  <c r="CA3015"/>
  <c r="CA3016"/>
  <c r="CA3017"/>
  <c r="CA3018"/>
  <c r="CA3019"/>
  <c r="CA3020"/>
  <c r="CA3021"/>
  <c r="CA3022"/>
  <c r="CA3023"/>
  <c r="CA3024"/>
  <c r="CA3025"/>
  <c r="CA3026"/>
  <c r="CA3027"/>
  <c r="CA3028"/>
  <c r="CA3029"/>
  <c r="CA3030"/>
  <c r="CA3031"/>
  <c r="CA3032"/>
  <c r="CA3033"/>
  <c r="CA3034"/>
  <c r="CA3035"/>
  <c r="CA3036"/>
  <c r="CA3037"/>
  <c r="CA3038"/>
  <c r="CA3039"/>
  <c r="CA3040"/>
  <c r="CA3041"/>
  <c r="CA3042"/>
  <c r="CA3043"/>
  <c r="CA3044"/>
  <c r="CA3045"/>
  <c r="CA3046"/>
  <c r="CA3047"/>
  <c r="CA3048"/>
  <c r="CA3049"/>
  <c r="CA3050"/>
  <c r="CA3051"/>
  <c r="CA3052"/>
  <c r="CA3053"/>
  <c r="CA3054"/>
  <c r="CA3055"/>
  <c r="CA3056"/>
  <c r="CA3057"/>
  <c r="CA3058"/>
  <c r="CA3059"/>
  <c r="CA3060"/>
  <c r="CA3061"/>
  <c r="CA3062"/>
  <c r="CA3063"/>
  <c r="CA3064"/>
  <c r="CA3065"/>
  <c r="CA3066"/>
  <c r="CA3067"/>
  <c r="CA3068"/>
  <c r="CA3069"/>
  <c r="CA3070"/>
  <c r="CA3071"/>
  <c r="CA3072"/>
  <c r="CA3073"/>
  <c r="CA3074"/>
  <c r="CA3075"/>
  <c r="CA3076"/>
  <c r="CA3077"/>
  <c r="CA3078"/>
  <c r="CA3079"/>
  <c r="CA3080"/>
  <c r="CA3081"/>
  <c r="CA3082"/>
  <c r="CA3083"/>
  <c r="CA3084"/>
  <c r="CA3085"/>
  <c r="CA3086"/>
  <c r="CA3087"/>
  <c r="CA3088"/>
  <c r="CA3089"/>
  <c r="CA3090"/>
  <c r="CA3091"/>
  <c r="CA3092"/>
  <c r="CA3093"/>
  <c r="CA3094"/>
  <c r="CA3095"/>
  <c r="CA3096"/>
  <c r="CA3097"/>
  <c r="CA3098"/>
  <c r="CA3099"/>
  <c r="CA3100"/>
  <c r="CA3101"/>
  <c r="CA3102"/>
  <c r="CA3103"/>
  <c r="CA3104"/>
  <c r="CA3105"/>
  <c r="CA3106"/>
  <c r="CA3107"/>
  <c r="CA3108"/>
  <c r="CA3109"/>
  <c r="CA3110"/>
  <c r="CA3111"/>
  <c r="CA3112"/>
  <c r="CA3113"/>
  <c r="CA3114"/>
  <c r="CA3115"/>
  <c r="CA3116"/>
  <c r="CA3117"/>
  <c r="CA3118"/>
  <c r="CA3119"/>
  <c r="CA3120"/>
  <c r="CA3121"/>
  <c r="CA3122"/>
  <c r="CA3123"/>
  <c r="CA3124"/>
  <c r="CA3125"/>
  <c r="CA3126"/>
  <c r="CA3127"/>
  <c r="CA3128"/>
  <c r="CA3129"/>
  <c r="CA3130"/>
  <c r="CA3131"/>
  <c r="CA3132"/>
  <c r="CA3133"/>
  <c r="CA3134"/>
  <c r="CA3135"/>
  <c r="CA3136"/>
  <c r="CA3137"/>
  <c r="CA3138"/>
  <c r="CA3139"/>
  <c r="CA3140"/>
  <c r="CA3141"/>
  <c r="CA3142"/>
  <c r="CA3143"/>
  <c r="CA3144"/>
  <c r="CA3145"/>
  <c r="CA3146"/>
  <c r="CA3147"/>
  <c r="CA3148"/>
  <c r="CA3149"/>
  <c r="CA3150"/>
  <c r="CA3151"/>
  <c r="CA3152"/>
  <c r="CA3153"/>
  <c r="CA3154"/>
  <c r="CA3155"/>
  <c r="CA3156"/>
  <c r="CA3157"/>
  <c r="CA3158"/>
  <c r="CA3159"/>
  <c r="CA3160"/>
  <c r="CA3161"/>
  <c r="CA3162"/>
  <c r="CA3163"/>
  <c r="CA3164"/>
  <c r="CA3165"/>
  <c r="CA3166"/>
  <c r="CA3167"/>
  <c r="CA3168"/>
  <c r="CA3169"/>
  <c r="CA3170"/>
  <c r="CA3171"/>
  <c r="CA3172"/>
  <c r="CA3173"/>
  <c r="CA3174"/>
  <c r="CA3175"/>
  <c r="CA3176"/>
  <c r="CA3177"/>
  <c r="CA3178"/>
  <c r="CA3179"/>
  <c r="CA3180"/>
  <c r="CA3181"/>
  <c r="CA3182"/>
  <c r="CA3183"/>
  <c r="CA3184"/>
  <c r="CA3185"/>
  <c r="CA3186"/>
  <c r="CA3187"/>
  <c r="CA3188"/>
  <c r="CA3189"/>
  <c r="CA3190"/>
  <c r="CA3191"/>
  <c r="CA3192"/>
  <c r="CA3193"/>
  <c r="CA3194"/>
  <c r="CA3195"/>
  <c r="CA3196"/>
  <c r="CA3197"/>
  <c r="CA3198"/>
  <c r="CA3199"/>
  <c r="CA3200"/>
  <c r="CA3201"/>
  <c r="CA3202"/>
  <c r="CA3203"/>
  <c r="CA3204"/>
  <c r="CA3205"/>
  <c r="CA3206"/>
  <c r="CA3207"/>
  <c r="CA3208"/>
  <c r="CA3209"/>
  <c r="CA3210"/>
  <c r="CA3211"/>
  <c r="CA3212"/>
  <c r="CA3213"/>
  <c r="CA3214"/>
  <c r="CA3215"/>
  <c r="CA3216"/>
  <c r="CA3217"/>
  <c r="CA3218"/>
  <c r="CA3219"/>
  <c r="CA3220"/>
  <c r="CA3221"/>
  <c r="CA3222"/>
  <c r="CA3223"/>
  <c r="CA3224"/>
  <c r="CA3225"/>
  <c r="CA3226"/>
  <c r="CA3227"/>
  <c r="CA3228"/>
  <c r="CA3229"/>
  <c r="CA3230"/>
  <c r="CA3231"/>
  <c r="CA3232"/>
  <c r="CA3233"/>
  <c r="CA3234"/>
  <c r="CA3235"/>
  <c r="CA3236"/>
  <c r="CA3237"/>
  <c r="CA3238"/>
  <c r="CA3239"/>
  <c r="CA3240"/>
  <c r="CA3241"/>
  <c r="CA3242"/>
  <c r="CA3243"/>
  <c r="CA3244"/>
  <c r="CA3245"/>
  <c r="CA3246"/>
  <c r="CA3247"/>
  <c r="CA3248"/>
  <c r="CA3249"/>
  <c r="CA3250"/>
  <c r="CA3251"/>
  <c r="CA3252"/>
  <c r="CA3253"/>
  <c r="CA3254"/>
  <c r="CA3255"/>
  <c r="CA3256"/>
  <c r="CA3257"/>
  <c r="CA3258"/>
  <c r="CA3259"/>
  <c r="CA3260"/>
  <c r="CA3261"/>
  <c r="CA3262"/>
  <c r="CA3263"/>
  <c r="CA3264"/>
  <c r="CA3265"/>
  <c r="CA3266"/>
  <c r="CA3267"/>
  <c r="CA3268"/>
  <c r="CA3269"/>
  <c r="CA3270"/>
  <c r="CA3271"/>
  <c r="CA3272"/>
  <c r="CA3273"/>
  <c r="CA3274"/>
  <c r="CA3275"/>
  <c r="CA3276"/>
  <c r="CA3277"/>
  <c r="CA3278"/>
  <c r="CA3279"/>
  <c r="CA3280"/>
  <c r="CA3281"/>
  <c r="CA3282"/>
  <c r="CA3283"/>
  <c r="CA3284"/>
  <c r="CA3285"/>
  <c r="CA3286"/>
  <c r="CA3287"/>
  <c r="CA3288"/>
  <c r="CA3289"/>
  <c r="CA3290"/>
  <c r="CA3291"/>
  <c r="CA3292"/>
  <c r="CA3293"/>
  <c r="CA3294"/>
  <c r="CA3295"/>
  <c r="CA3296"/>
  <c r="CA3297"/>
  <c r="CA3298"/>
  <c r="CA3299"/>
  <c r="CA3300"/>
  <c r="CA3301"/>
  <c r="CA3302"/>
  <c r="CA3303"/>
  <c r="CA3304"/>
  <c r="CA3305"/>
  <c r="CA3306"/>
  <c r="CA3307"/>
  <c r="CA3308"/>
  <c r="CA3309"/>
  <c r="CA3310"/>
  <c r="CA3311"/>
  <c r="CA3312"/>
  <c r="CA3313"/>
  <c r="CA3314"/>
  <c r="CA3315"/>
  <c r="CA3316"/>
  <c r="CA3317"/>
  <c r="CA3318"/>
  <c r="CA3319"/>
  <c r="CA3320"/>
  <c r="CA3321"/>
  <c r="CA3322"/>
  <c r="CA3323"/>
  <c r="CA3324"/>
  <c r="CA3325"/>
  <c r="CA3326"/>
  <c r="CA3327"/>
  <c r="CA3328"/>
  <c r="CA3329"/>
  <c r="CA3330"/>
  <c r="CA3331"/>
  <c r="CA3332"/>
  <c r="CA3333"/>
  <c r="CA3334"/>
  <c r="CA3335"/>
  <c r="CA3336"/>
  <c r="CA3337"/>
  <c r="CA3338"/>
  <c r="CA3339"/>
  <c r="CA3340"/>
  <c r="CA3341"/>
  <c r="CA3342"/>
  <c r="CA3343"/>
  <c r="CA3344"/>
  <c r="CA3345"/>
  <c r="CA3346"/>
  <c r="CA3347"/>
  <c r="CA3348"/>
  <c r="CA3349"/>
  <c r="CA3350"/>
  <c r="CA3351"/>
  <c r="CA3352"/>
  <c r="CA3353"/>
  <c r="CA3354"/>
  <c r="CA3355"/>
  <c r="CA3356"/>
  <c r="CA3357"/>
  <c r="CA3358"/>
  <c r="CA3359"/>
  <c r="CA3360"/>
  <c r="CA3361"/>
  <c r="CA3362"/>
  <c r="CA3363"/>
  <c r="CA3364"/>
  <c r="CA3365"/>
  <c r="CA3366"/>
  <c r="CA3367"/>
  <c r="CA3368"/>
  <c r="CA3369"/>
  <c r="CA3370"/>
  <c r="CA3371"/>
  <c r="CA3372"/>
  <c r="CA3373"/>
  <c r="CA3374"/>
  <c r="CA3375"/>
  <c r="CA3376"/>
  <c r="CA3377"/>
  <c r="CA3378"/>
  <c r="CA3379"/>
  <c r="CA3380"/>
  <c r="CA3381"/>
  <c r="CA3382"/>
  <c r="CA3383"/>
  <c r="CA3384"/>
  <c r="CA3385"/>
  <c r="CA3386"/>
  <c r="CA3387"/>
  <c r="CA3388"/>
  <c r="CA3389"/>
  <c r="CA3390"/>
  <c r="CA3391"/>
  <c r="CA3392"/>
  <c r="CA3393"/>
  <c r="CA3394"/>
  <c r="CA3395"/>
  <c r="CA3396"/>
  <c r="CA3397"/>
  <c r="CA3398"/>
  <c r="CA3399"/>
  <c r="CA3400"/>
  <c r="CA3401"/>
  <c r="CA3402"/>
  <c r="CA3403"/>
  <c r="CA3404"/>
  <c r="CA3405"/>
  <c r="CA3406"/>
  <c r="CA3407"/>
  <c r="CA3408"/>
  <c r="CA3409"/>
  <c r="CA3410"/>
  <c r="CA3411"/>
  <c r="CA3412"/>
  <c r="CA3413"/>
  <c r="CA3414"/>
  <c r="CA3415"/>
  <c r="CA3416"/>
  <c r="CA3417"/>
  <c r="CA3418"/>
  <c r="CA3419"/>
  <c r="CA3420"/>
  <c r="CA3421"/>
  <c r="CA3422"/>
  <c r="CA3423"/>
  <c r="CA3424"/>
  <c r="CA3425"/>
  <c r="CA3426"/>
  <c r="CA3427"/>
  <c r="CA3428"/>
  <c r="CA3429"/>
  <c r="CA3430"/>
  <c r="CA3431"/>
  <c r="CA3432"/>
  <c r="CA3433"/>
  <c r="CA3434"/>
  <c r="CA3435"/>
  <c r="CA3436"/>
  <c r="CA3437"/>
  <c r="CA3438"/>
  <c r="CA3439"/>
  <c r="CA3440"/>
  <c r="CA3441"/>
  <c r="CA3442"/>
  <c r="CA3443"/>
  <c r="CA3444"/>
  <c r="CA3445"/>
  <c r="CA3446"/>
  <c r="CA3447"/>
  <c r="CA3448"/>
  <c r="CA3449"/>
  <c r="CA3450"/>
  <c r="CA3451"/>
  <c r="CA3452"/>
  <c r="CA3453"/>
  <c r="CA3454"/>
  <c r="CA3455"/>
  <c r="CA3456"/>
  <c r="CA3457"/>
  <c r="CA3458"/>
  <c r="CA3459"/>
  <c r="CA3460"/>
  <c r="CA3461"/>
  <c r="CA3462"/>
  <c r="CA3463"/>
  <c r="CA3464"/>
  <c r="CA3465"/>
  <c r="CA3466"/>
  <c r="CA3467"/>
  <c r="CA3468"/>
  <c r="CA3469"/>
  <c r="CA3470"/>
  <c r="CA3471"/>
  <c r="CA3472"/>
  <c r="CA3473"/>
  <c r="CA3474"/>
  <c r="CA3475"/>
  <c r="CA3476"/>
  <c r="CA3477"/>
  <c r="CA3478"/>
  <c r="CA3479"/>
  <c r="CA3480"/>
  <c r="CA3481"/>
  <c r="CA3482"/>
  <c r="CA3483"/>
  <c r="CA3484"/>
  <c r="CA3485"/>
  <c r="CA3486"/>
  <c r="CA3487"/>
  <c r="CA3488"/>
  <c r="CA3489"/>
  <c r="CA3490"/>
  <c r="CA3491"/>
  <c r="CA3492"/>
  <c r="CA3493"/>
  <c r="CA3494"/>
  <c r="CA3495"/>
  <c r="CA3496"/>
  <c r="CA3497"/>
  <c r="CA3498"/>
  <c r="CA3499"/>
  <c r="CA3500"/>
  <c r="CA3501"/>
  <c r="CA3502"/>
  <c r="CA3503"/>
  <c r="CA3504"/>
  <c r="CA3505"/>
  <c r="CA3506"/>
  <c r="CA3507"/>
  <c r="CA3508"/>
  <c r="CA3509"/>
  <c r="CA3510"/>
  <c r="CA3511"/>
  <c r="CA3512"/>
  <c r="CA3513"/>
  <c r="CA3514"/>
  <c r="CA3515"/>
  <c r="CA3516"/>
  <c r="CA3517"/>
  <c r="CA3518"/>
  <c r="CA3519"/>
  <c r="CA3520"/>
  <c r="CA3521"/>
  <c r="CA3522"/>
  <c r="CA3523"/>
  <c r="CA3524"/>
  <c r="CA3525"/>
  <c r="CA3526"/>
  <c r="CA3527"/>
  <c r="CA3528"/>
  <c r="CA3529"/>
  <c r="CA3530"/>
  <c r="CA3531"/>
  <c r="CA3532"/>
  <c r="CA3533"/>
  <c r="CA3534"/>
  <c r="CA3535"/>
  <c r="CA3536"/>
  <c r="CA3537"/>
  <c r="CA3538"/>
  <c r="CA3539"/>
  <c r="CA3540"/>
  <c r="CA3541"/>
  <c r="CA3542"/>
  <c r="CA3543"/>
  <c r="CA3544"/>
  <c r="CA3545"/>
  <c r="CA3546"/>
  <c r="CA3547"/>
  <c r="CA3548"/>
  <c r="CA3549"/>
  <c r="CA3550"/>
  <c r="CA3551"/>
  <c r="CA3552"/>
  <c r="CA3553"/>
  <c r="CA3554"/>
  <c r="CA3555"/>
  <c r="CA3556"/>
  <c r="CA3557"/>
  <c r="CA3558"/>
  <c r="CA3559"/>
  <c r="CA3560"/>
  <c r="CA3561"/>
  <c r="CA3562"/>
  <c r="CA3563"/>
  <c r="CA3564"/>
  <c r="CA3565"/>
  <c r="CA3566"/>
  <c r="CA3567"/>
  <c r="CA3568"/>
  <c r="CA3569"/>
  <c r="CA3570"/>
  <c r="CA3571"/>
  <c r="CA3572"/>
  <c r="CA3573"/>
  <c r="CA3574"/>
  <c r="CA3575"/>
  <c r="CA3576"/>
  <c r="CA3577"/>
  <c r="CA3578"/>
  <c r="CA3579"/>
  <c r="CA3580"/>
  <c r="CA3581"/>
  <c r="CA3582"/>
  <c r="CA3583"/>
  <c r="CA3584"/>
  <c r="CA3585"/>
  <c r="CA3586"/>
  <c r="CA3587"/>
  <c r="CA3588"/>
  <c r="CA3589"/>
  <c r="CA3590"/>
  <c r="CA3591"/>
  <c r="CA3592"/>
  <c r="CA3593"/>
  <c r="CA3594"/>
  <c r="CA3595"/>
  <c r="CA3596"/>
  <c r="CA3597"/>
  <c r="CA3598"/>
  <c r="CA3599"/>
  <c r="CA3600"/>
  <c r="CA3601"/>
  <c r="CA3602"/>
  <c r="CA3603"/>
  <c r="CA3604"/>
  <c r="CA3605"/>
  <c r="CA3606"/>
  <c r="CA3607"/>
  <c r="CA3608"/>
  <c r="CA3609"/>
  <c r="CA3610"/>
  <c r="CA3611"/>
  <c r="CA3612"/>
  <c r="CA3613"/>
  <c r="CA3614"/>
  <c r="CA3615"/>
  <c r="CA3616"/>
  <c r="CA3617"/>
  <c r="CA3618"/>
  <c r="CA3619"/>
  <c r="CA3620"/>
  <c r="CA3621"/>
  <c r="CA3622"/>
  <c r="CA3623"/>
  <c r="CA3624"/>
  <c r="CA3625"/>
  <c r="CA3626"/>
  <c r="CA3627"/>
  <c r="CA3628"/>
  <c r="CA3629"/>
  <c r="CA3630"/>
  <c r="CA3631"/>
  <c r="CA3632"/>
  <c r="CA3633"/>
  <c r="CA3634"/>
  <c r="CA3635"/>
  <c r="CA3636"/>
  <c r="CA3637"/>
  <c r="CA3638"/>
  <c r="CA3639"/>
  <c r="CA3640"/>
  <c r="CA3641"/>
  <c r="CA3642"/>
  <c r="CA3643"/>
  <c r="CA3644"/>
  <c r="CA3645"/>
  <c r="CA3646"/>
  <c r="CA3647"/>
  <c r="CA3648"/>
  <c r="CA3649"/>
  <c r="CA3650"/>
  <c r="CA3651"/>
  <c r="CA3652"/>
  <c r="CA3653"/>
  <c r="CA3654"/>
  <c r="CA3655"/>
  <c r="CA3656"/>
  <c r="CA3657"/>
  <c r="CA3658"/>
  <c r="CA3659"/>
  <c r="CA3660"/>
  <c r="CA3661"/>
  <c r="CA3662"/>
  <c r="CA3663"/>
  <c r="CA3664"/>
  <c r="CA3665"/>
  <c r="CA3666"/>
  <c r="CA3667"/>
  <c r="CA3668"/>
  <c r="CA3669"/>
  <c r="CA3670"/>
  <c r="CA3671"/>
  <c r="CA3672"/>
  <c r="CA3673"/>
  <c r="CA3674"/>
  <c r="CA3675"/>
  <c r="CA3676"/>
  <c r="CA3677"/>
  <c r="CA3678"/>
  <c r="CA3679"/>
  <c r="CA3680"/>
  <c r="CA3681"/>
  <c r="CA3682"/>
  <c r="CA3683"/>
  <c r="CA3684"/>
  <c r="CA3685"/>
  <c r="CA3686"/>
  <c r="CA3687"/>
  <c r="CA3688"/>
  <c r="CA3689"/>
  <c r="CA3690"/>
  <c r="CA3691"/>
  <c r="CA3692"/>
  <c r="CA3693"/>
  <c r="CA3694"/>
  <c r="CA3695"/>
  <c r="CA3696"/>
  <c r="CA3697"/>
  <c r="CA3698"/>
  <c r="CA3699"/>
  <c r="CA3700"/>
  <c r="CA3701"/>
  <c r="CA3702"/>
  <c r="CA3703"/>
  <c r="CA3704"/>
  <c r="CA3705"/>
  <c r="CA3706"/>
  <c r="CA3707"/>
  <c r="CA3708"/>
  <c r="CA3709"/>
  <c r="CA3710"/>
  <c r="CA3711"/>
  <c r="CA3712"/>
  <c r="CA3713"/>
  <c r="CA3714"/>
  <c r="CA3715"/>
  <c r="CA3716"/>
  <c r="CA3717"/>
  <c r="CA3718"/>
  <c r="CA3719"/>
  <c r="CA3720"/>
  <c r="CA3721"/>
  <c r="CA3722"/>
  <c r="CA3723"/>
  <c r="CA3724"/>
  <c r="CA3725"/>
  <c r="CA3726"/>
  <c r="CA3727"/>
  <c r="CA3728"/>
  <c r="CA3729"/>
  <c r="CA3730"/>
  <c r="CA3731"/>
  <c r="CA3732"/>
  <c r="CA3733"/>
  <c r="CA3734"/>
  <c r="CA3735"/>
  <c r="CA3736"/>
  <c r="CA3737"/>
  <c r="CA3738"/>
  <c r="CA3739"/>
  <c r="CA3740"/>
  <c r="CA3741"/>
  <c r="CA3742"/>
  <c r="CA3743"/>
  <c r="CA3744"/>
  <c r="CA3745"/>
  <c r="CA3746"/>
  <c r="CA3747"/>
  <c r="CA3748"/>
  <c r="CA3749"/>
  <c r="CA3750"/>
  <c r="CA3751"/>
  <c r="CA3752"/>
  <c r="CA3753"/>
  <c r="CA3754"/>
  <c r="CA3755"/>
  <c r="CA3756"/>
  <c r="CA3757"/>
  <c r="CA3758"/>
  <c r="CA3759"/>
  <c r="CA3760"/>
  <c r="CA3761"/>
  <c r="CA3762"/>
  <c r="CA3763"/>
  <c r="CA3764"/>
  <c r="CA3765"/>
  <c r="CA3766"/>
  <c r="CA3767"/>
  <c r="CA3768"/>
  <c r="CA3769"/>
  <c r="CA3770"/>
  <c r="CA3771"/>
  <c r="CA3772"/>
  <c r="CA3773"/>
  <c r="CA3774"/>
  <c r="CA3775"/>
  <c r="CA3776"/>
  <c r="CA3777"/>
  <c r="CA3778"/>
  <c r="CA3779"/>
  <c r="CA3780"/>
  <c r="CA3781"/>
  <c r="CA3782"/>
  <c r="CA3783"/>
  <c r="CA3784"/>
  <c r="CA3785"/>
  <c r="CA3786"/>
  <c r="CA3787"/>
  <c r="CA3788"/>
  <c r="CA3789"/>
  <c r="CA3790"/>
  <c r="CA3791"/>
  <c r="CA3792"/>
  <c r="CA3793"/>
  <c r="CA3794"/>
  <c r="CA3795"/>
  <c r="CA3796"/>
  <c r="CA3797"/>
  <c r="CA3798"/>
  <c r="CA3799"/>
  <c r="CA3800"/>
  <c r="CA3801"/>
  <c r="CA3802"/>
  <c r="CA3803"/>
  <c r="CA3804"/>
  <c r="CA3805"/>
  <c r="CA3806"/>
  <c r="CA3807"/>
  <c r="CA3808"/>
  <c r="CA3809"/>
  <c r="CA3810"/>
  <c r="CA3811"/>
  <c r="CA3812"/>
  <c r="CA3813"/>
  <c r="CA3814"/>
  <c r="CA3815"/>
  <c r="CA3816"/>
  <c r="CA3817"/>
  <c r="CA3818"/>
  <c r="CA3819"/>
  <c r="CA3820"/>
  <c r="CA3821"/>
  <c r="CA3822"/>
  <c r="CA3823"/>
  <c r="CA3824"/>
  <c r="CA3825"/>
  <c r="CA3826"/>
  <c r="CA3827"/>
  <c r="CA3828"/>
  <c r="CA3829"/>
  <c r="CA3830"/>
  <c r="CA3831"/>
  <c r="CA3832"/>
  <c r="CA3833"/>
  <c r="CA3834"/>
  <c r="CA3835"/>
  <c r="CA3836"/>
  <c r="CA3837"/>
  <c r="CA3838"/>
  <c r="CA3839"/>
  <c r="CA3840"/>
  <c r="CA3841"/>
  <c r="CA3842"/>
  <c r="CA3843"/>
  <c r="CA3844"/>
  <c r="CA3845"/>
  <c r="CA3846"/>
  <c r="CA3847"/>
  <c r="CA3848"/>
  <c r="CA3849"/>
  <c r="CA3850"/>
  <c r="CA3851"/>
  <c r="CA3852"/>
  <c r="CA3853"/>
  <c r="CA3854"/>
  <c r="CA3855"/>
  <c r="CA3856"/>
  <c r="CA3857"/>
  <c r="CA3858"/>
  <c r="CA3859"/>
  <c r="CA3860"/>
  <c r="CA3861"/>
  <c r="CA3862"/>
  <c r="CA3863"/>
  <c r="CA3864"/>
  <c r="CA3865"/>
  <c r="CA3866"/>
  <c r="CA3867"/>
  <c r="CA3868"/>
  <c r="CA3869"/>
  <c r="CA3870"/>
  <c r="CA3871"/>
  <c r="CA3872"/>
  <c r="CA3873"/>
  <c r="CA3874"/>
  <c r="CA3875"/>
  <c r="CA3876"/>
  <c r="CA3877"/>
  <c r="CA3878"/>
  <c r="CA3879"/>
  <c r="CA3880"/>
  <c r="CA3881"/>
  <c r="CA3882"/>
  <c r="CA3883"/>
  <c r="CA3884"/>
  <c r="CA3885"/>
  <c r="CA3886"/>
  <c r="CA3887"/>
  <c r="CA3888"/>
  <c r="CA3889"/>
  <c r="CA3890"/>
  <c r="CA3891"/>
  <c r="CA3892"/>
  <c r="CA3893"/>
  <c r="CA3894"/>
  <c r="CA3895"/>
  <c r="CA3896"/>
  <c r="CA3897"/>
  <c r="CA3898"/>
  <c r="CA3899"/>
  <c r="CA3900"/>
  <c r="CA3901"/>
  <c r="CA3902"/>
  <c r="CA3903"/>
  <c r="CA3904"/>
  <c r="CA3905"/>
  <c r="CA3906"/>
  <c r="CA3907"/>
  <c r="CA3908"/>
  <c r="CA3909"/>
  <c r="CA3910"/>
  <c r="CA3911"/>
  <c r="CA3912"/>
  <c r="CA3913"/>
  <c r="CA3914"/>
  <c r="CA3915"/>
  <c r="CA3916"/>
  <c r="CA3917"/>
  <c r="CA3918"/>
  <c r="CA3919"/>
  <c r="CA3920"/>
  <c r="CA3921"/>
  <c r="CA3922"/>
  <c r="CA3923"/>
  <c r="CA3924"/>
  <c r="CA3925"/>
  <c r="CA3926"/>
  <c r="CA3927"/>
  <c r="CA3928"/>
  <c r="CA3929"/>
  <c r="CA3930"/>
  <c r="CA3931"/>
  <c r="CA3932"/>
  <c r="CA3933"/>
  <c r="CA3934"/>
  <c r="CA3935"/>
  <c r="CA3936"/>
  <c r="CA3937"/>
  <c r="CA3938"/>
  <c r="CA3939"/>
  <c r="CA3940"/>
  <c r="CA3941"/>
  <c r="CA3942"/>
  <c r="CA3943"/>
  <c r="CA3944"/>
  <c r="CA3945"/>
  <c r="CA3946"/>
  <c r="CA3947"/>
  <c r="CA3948"/>
  <c r="CA3949"/>
  <c r="CA3950"/>
  <c r="CA3951"/>
  <c r="CA3952"/>
  <c r="CA3953"/>
  <c r="CA3954"/>
  <c r="CA3955"/>
  <c r="CA3956"/>
  <c r="CA3957"/>
  <c r="CA3958"/>
  <c r="CA3959"/>
  <c r="CA3960"/>
  <c r="CA3961"/>
  <c r="CA3962"/>
  <c r="CA3963"/>
  <c r="CA3964"/>
  <c r="CA3965"/>
  <c r="CA3966"/>
  <c r="CA3967"/>
  <c r="CA3968"/>
  <c r="CA3969"/>
  <c r="CA3970"/>
  <c r="CA3971"/>
  <c r="CA3972"/>
  <c r="CA3973"/>
  <c r="CA3974"/>
  <c r="CA3975"/>
  <c r="CA3976"/>
  <c r="CA3977"/>
  <c r="CA3978"/>
  <c r="CA3979"/>
  <c r="CA3980"/>
  <c r="CA3981"/>
  <c r="CA3982"/>
  <c r="CA3983"/>
  <c r="CA3984"/>
  <c r="CA3985"/>
  <c r="CA3986"/>
  <c r="CA3987"/>
  <c r="CA3988"/>
  <c r="CA3989"/>
  <c r="CA3990"/>
  <c r="CA3991"/>
  <c r="CA3992"/>
  <c r="CA3993"/>
  <c r="CA3994"/>
  <c r="CA3995"/>
  <c r="CA3996"/>
  <c r="CA3997"/>
  <c r="CA3998"/>
  <c r="CA3999"/>
  <c r="CA4000"/>
  <c r="CA4001"/>
  <c r="CA4002"/>
  <c r="CA4003"/>
  <c r="CA4004"/>
  <c r="CA4005"/>
  <c r="CA4006"/>
  <c r="CA4007"/>
  <c r="CA4008"/>
  <c r="CA4009"/>
  <c r="CA4010"/>
  <c r="CA4011"/>
  <c r="CA4012"/>
  <c r="CA4013"/>
  <c r="CA4014"/>
  <c r="CA4015"/>
  <c r="CA4016"/>
  <c r="CA4017"/>
  <c r="CA4018"/>
  <c r="CA4019"/>
  <c r="CA4020"/>
  <c r="CA4021"/>
  <c r="CA4022"/>
  <c r="CA4023"/>
  <c r="CA4024"/>
  <c r="CA4025"/>
  <c r="CA4026"/>
  <c r="CA4027"/>
  <c r="CA4028"/>
  <c r="CA4029"/>
  <c r="CA4030"/>
  <c r="CA4031"/>
  <c r="CA4032"/>
  <c r="CA4033"/>
  <c r="CA4034"/>
  <c r="CA4035"/>
  <c r="CA4036"/>
  <c r="CA4037"/>
  <c r="CA4038"/>
  <c r="CA4039"/>
  <c r="CA4040"/>
  <c r="CA4041"/>
  <c r="CA4042"/>
  <c r="Y23"/>
  <c r="CC60"/>
  <c r="CC61"/>
  <c r="CC62"/>
  <c r="CC63"/>
  <c r="CC64"/>
  <c r="CC65"/>
  <c r="CC66"/>
  <c r="CC67"/>
  <c r="CC68"/>
  <c r="CC69"/>
  <c r="CC59"/>
  <c r="AJ1"/>
  <c r="AM1" s="1"/>
  <c r="AJ16"/>
  <c r="AY2" i="5"/>
  <c r="CS21" i="2"/>
  <c r="CR28"/>
  <c r="CS20"/>
  <c r="CR27" s="1"/>
  <c r="CR29" s="1"/>
  <c r="L1" i="7"/>
  <c r="M1"/>
  <c r="N1"/>
  <c r="O1"/>
  <c r="P1"/>
  <c r="Q1"/>
  <c r="R1"/>
  <c r="S1"/>
  <c r="AE1"/>
  <c r="AF1"/>
  <c r="AH18" s="1"/>
  <c r="AI1"/>
  <c r="L2"/>
  <c r="S2"/>
  <c r="AF2"/>
  <c r="L3"/>
  <c r="S3"/>
  <c r="L4"/>
  <c r="S4"/>
  <c r="L5"/>
  <c r="S5"/>
  <c r="L6"/>
  <c r="S6"/>
  <c r="L7"/>
  <c r="S7"/>
  <c r="L8"/>
  <c r="S8"/>
  <c r="AF8"/>
  <c r="AH22" s="1"/>
  <c r="AE26" s="1"/>
  <c r="L9"/>
  <c r="S9"/>
  <c r="AE9"/>
  <c r="AF9"/>
  <c r="L10"/>
  <c r="S10"/>
  <c r="AD13"/>
  <c r="AE10" s="1"/>
  <c r="AF10"/>
  <c r="L11"/>
  <c r="S11"/>
  <c r="L12"/>
  <c r="S12"/>
  <c r="AF12"/>
  <c r="L13"/>
  <c r="S13"/>
  <c r="L14"/>
  <c r="S14"/>
  <c r="L15"/>
  <c r="S15"/>
  <c r="L16"/>
  <c r="S16"/>
  <c r="AE16"/>
  <c r="AC16"/>
  <c r="AD16"/>
  <c r="AF16"/>
  <c r="AG16"/>
  <c r="AH16" s="1"/>
  <c r="AE24" s="1"/>
  <c r="AH24" s="1"/>
  <c r="AI16"/>
  <c r="L17"/>
  <c r="S17"/>
  <c r="AE17"/>
  <c r="AC17"/>
  <c r="AD17"/>
  <c r="AF17"/>
  <c r="AG17"/>
  <c r="AH17" s="1"/>
  <c r="AE25" s="1"/>
  <c r="AH25" s="1"/>
  <c r="AI17"/>
  <c r="AK17"/>
  <c r="L18"/>
  <c r="S18"/>
  <c r="AE18"/>
  <c r="AC18"/>
  <c r="AD18"/>
  <c r="AF18"/>
  <c r="AI18"/>
  <c r="L19"/>
  <c r="S19"/>
  <c r="AE19"/>
  <c r="AC19"/>
  <c r="AK19"/>
  <c r="AK20" s="1"/>
  <c r="AD19"/>
  <c r="AF19"/>
  <c r="AG19"/>
  <c r="AI19"/>
  <c r="L20"/>
  <c r="S20"/>
  <c r="AE20"/>
  <c r="AI20" s="1"/>
  <c r="AC20"/>
  <c r="AD20"/>
  <c r="AF20"/>
  <c r="AG20"/>
  <c r="L21"/>
  <c r="S21"/>
  <c r="L22"/>
  <c r="S22"/>
  <c r="AG22"/>
  <c r="L23"/>
  <c r="S23"/>
  <c r="L24"/>
  <c r="S24"/>
  <c r="AD24"/>
  <c r="AG24"/>
  <c r="L25"/>
  <c r="S25"/>
  <c r="AD25"/>
  <c r="AG25" s="1"/>
  <c r="L26"/>
  <c r="S26"/>
  <c r="AD26"/>
  <c r="AG26"/>
  <c r="AH26"/>
  <c r="G27"/>
  <c r="L27"/>
  <c r="S27"/>
  <c r="AD27"/>
  <c r="AG27" s="1"/>
  <c r="AH27"/>
  <c r="L28"/>
  <c r="S28"/>
  <c r="AD28"/>
  <c r="AG28"/>
  <c r="L29"/>
  <c r="S29"/>
  <c r="AD29"/>
  <c r="AG29" s="1"/>
  <c r="AH29"/>
  <c r="L30"/>
  <c r="S30"/>
  <c r="L31"/>
  <c r="S31"/>
  <c r="AD31"/>
  <c r="AE31"/>
  <c r="AF31"/>
  <c r="L32"/>
  <c r="S32"/>
  <c r="L33"/>
  <c r="S33"/>
  <c r="AC36"/>
  <c r="AD33"/>
  <c r="AE33"/>
  <c r="AE35" s="1"/>
  <c r="L34"/>
  <c r="S34"/>
  <c r="AE34"/>
  <c r="L35"/>
  <c r="S35"/>
  <c r="AD35"/>
  <c r="L36"/>
  <c r="S36"/>
  <c r="AE36"/>
  <c r="AP1" i="6"/>
  <c r="AU1"/>
  <c r="DA15"/>
  <c r="DA16"/>
  <c r="DA17" s="1"/>
  <c r="DD3" s="1"/>
  <c r="DD1"/>
  <c r="M2"/>
  <c r="CR2"/>
  <c r="CR3" s="1"/>
  <c r="CR4" s="1"/>
  <c r="CR5" s="1"/>
  <c r="CZ15"/>
  <c r="CZ16"/>
  <c r="CR6"/>
  <c r="CR7" s="1"/>
  <c r="CR8" s="1"/>
  <c r="CR9" s="1"/>
  <c r="CR10"/>
  <c r="CR11" s="1"/>
  <c r="CR12" s="1"/>
  <c r="CR13" s="1"/>
  <c r="CR14" s="1"/>
  <c r="CR15" s="1"/>
  <c r="CR16" s="1"/>
  <c r="CR17" s="1"/>
  <c r="CR18" s="1"/>
  <c r="CR19" s="1"/>
  <c r="CR20" s="1"/>
  <c r="CR21" s="1"/>
  <c r="CR22" s="1"/>
  <c r="CR23" s="1"/>
  <c r="CR24" s="1"/>
  <c r="CR25" s="1"/>
  <c r="CR26" s="1"/>
  <c r="CR27" s="1"/>
  <c r="CR28" s="1"/>
  <c r="CR29" s="1"/>
  <c r="CR30" s="1"/>
  <c r="CR31" s="1"/>
  <c r="CR32" s="1"/>
  <c r="CR33" s="1"/>
  <c r="CR34" s="1"/>
  <c r="CR35" s="1"/>
  <c r="CR36" s="1"/>
  <c r="CR37" s="1"/>
  <c r="CR38" s="1"/>
  <c r="CR39" s="1"/>
  <c r="CR40" s="1"/>
  <c r="CR41" s="1"/>
  <c r="CR42" s="1"/>
  <c r="CR43" s="1"/>
  <c r="CR44" s="1"/>
  <c r="CR45" s="1"/>
  <c r="CR46" s="1"/>
  <c r="CR47" s="1"/>
  <c r="CR48" s="1"/>
  <c r="CR49" s="1"/>
  <c r="CR50" s="1"/>
  <c r="CR51" s="1"/>
  <c r="CR52" s="1"/>
  <c r="CR53" s="1"/>
  <c r="CR54" s="1"/>
  <c r="CR55" s="1"/>
  <c r="CR56" s="1"/>
  <c r="CR57" s="1"/>
  <c r="CR58" s="1"/>
  <c r="CR59" s="1"/>
  <c r="CR60" s="1"/>
  <c r="CR61" s="1"/>
  <c r="CR62" s="1"/>
  <c r="CR63" s="1"/>
  <c r="CR64" s="1"/>
  <c r="CR65" s="1"/>
  <c r="CR66" s="1"/>
  <c r="CR67" s="1"/>
  <c r="CR68" s="1"/>
  <c r="CR69" s="1"/>
  <c r="CR70" s="1"/>
  <c r="CR71" s="1"/>
  <c r="CR72" s="1"/>
  <c r="CR73" s="1"/>
  <c r="CR74" s="1"/>
  <c r="CR75" s="1"/>
  <c r="CR76" s="1"/>
  <c r="CR77" s="1"/>
  <c r="CR78" s="1"/>
  <c r="CR79" s="1"/>
  <c r="CR80" s="1"/>
  <c r="CR81" s="1"/>
  <c r="CR82" s="1"/>
  <c r="CR83" s="1"/>
  <c r="CR84" s="1"/>
  <c r="CR85" s="1"/>
  <c r="CR86" s="1"/>
  <c r="CR87" s="1"/>
  <c r="CR88" s="1"/>
  <c r="CR89" s="1"/>
  <c r="CR90" s="1"/>
  <c r="CR91" s="1"/>
  <c r="CR92" s="1"/>
  <c r="CR93" s="1"/>
  <c r="CR94" s="1"/>
  <c r="CR95" s="1"/>
  <c r="CR96" s="1"/>
  <c r="CR97" s="1"/>
  <c r="CR98" s="1"/>
  <c r="CR99" s="1"/>
  <c r="CR100" s="1"/>
  <c r="CR101" s="1"/>
  <c r="O3"/>
  <c r="AV3"/>
  <c r="AV4"/>
  <c r="AJ6"/>
  <c r="G3"/>
  <c r="CA8"/>
  <c r="CW8"/>
  <c r="BZ9"/>
  <c r="Y26"/>
  <c r="CC9"/>
  <c r="CW9"/>
  <c r="CC11"/>
  <c r="CB11"/>
  <c r="CC10"/>
  <c r="Y11"/>
  <c r="BZ11"/>
  <c r="CD12"/>
  <c r="BX14"/>
  <c r="P17"/>
  <c r="AJ18"/>
  <c r="BW42"/>
  <c r="BW43"/>
  <c r="BW44"/>
  <c r="BW45"/>
  <c r="AV19"/>
  <c r="P21"/>
  <c r="AV21"/>
  <c r="AJ24"/>
  <c r="AV25"/>
  <c r="BX25"/>
  <c r="P27"/>
  <c r="AJ27"/>
  <c r="AV31"/>
  <c r="BX31"/>
  <c r="AJ32"/>
  <c r="Y36"/>
  <c r="X37"/>
  <c r="AV37"/>
  <c r="CC45"/>
  <c r="CC46"/>
  <c r="CC47"/>
  <c r="CC48"/>
  <c r="CC49"/>
  <c r="CC50"/>
  <c r="CC51"/>
  <c r="CC52"/>
  <c r="CC53"/>
  <c r="CC54"/>
  <c r="J1" i="5"/>
  <c r="K1"/>
  <c r="L1"/>
  <c r="M1"/>
  <c r="N1"/>
  <c r="O1"/>
  <c r="P1"/>
  <c r="Q1"/>
  <c r="R1"/>
  <c r="S1"/>
  <c r="T1"/>
  <c r="U1"/>
  <c r="V1"/>
  <c r="W1"/>
  <c r="X1"/>
  <c r="Y1"/>
  <c r="Z1"/>
  <c r="AA1"/>
  <c r="AB1"/>
  <c r="U29"/>
  <c r="BC1"/>
  <c r="J2"/>
  <c r="AB2"/>
  <c r="BC13"/>
  <c r="BI2"/>
  <c r="J3"/>
  <c r="AB3"/>
  <c r="BF3"/>
  <c r="J4"/>
  <c r="AB4"/>
  <c r="BF4"/>
  <c r="BG4"/>
  <c r="J5"/>
  <c r="AB5"/>
  <c r="BI5"/>
  <c r="BK5" s="1"/>
  <c r="BJ5"/>
  <c r="BL5"/>
  <c r="BM5"/>
  <c r="J6"/>
  <c r="AB6"/>
  <c r="BA6"/>
  <c r="BA8" s="1"/>
  <c r="BM6"/>
  <c r="J7"/>
  <c r="AB7"/>
  <c r="AZ7"/>
  <c r="BE7"/>
  <c r="J8"/>
  <c r="AB8"/>
  <c r="BE8"/>
  <c r="J9"/>
  <c r="AB9"/>
  <c r="BE9"/>
  <c r="BI9"/>
  <c r="BK9"/>
  <c r="BL9"/>
  <c r="G10"/>
  <c r="J10"/>
  <c r="AB10"/>
  <c r="BD10"/>
  <c r="BA22" s="1"/>
  <c r="BE10"/>
  <c r="BI10"/>
  <c r="BJ10"/>
  <c r="BK10"/>
  <c r="BL10"/>
  <c r="J11"/>
  <c r="AB11"/>
  <c r="BE11"/>
  <c r="BI11"/>
  <c r="BJ11"/>
  <c r="BK11"/>
  <c r="BL11"/>
  <c r="J12"/>
  <c r="AB12"/>
  <c r="BE12"/>
  <c r="J13"/>
  <c r="AB13"/>
  <c r="BE13"/>
  <c r="J14"/>
  <c r="AB14"/>
  <c r="BE14"/>
  <c r="J15"/>
  <c r="AB15"/>
  <c r="BE15"/>
  <c r="J16"/>
  <c r="AB16"/>
  <c r="BC16"/>
  <c r="BE16"/>
  <c r="J17"/>
  <c r="AB17"/>
  <c r="BE17"/>
  <c r="J18"/>
  <c r="AB18"/>
  <c r="BE18"/>
  <c r="J19"/>
  <c r="AB19"/>
  <c r="BE19"/>
  <c r="BK19"/>
  <c r="J20"/>
  <c r="AB20"/>
  <c r="J21"/>
  <c r="AB21"/>
  <c r="BA21"/>
  <c r="BB21" s="1"/>
  <c r="AZ21"/>
  <c r="BC21"/>
  <c r="BD21"/>
  <c r="BF21" s="1"/>
  <c r="BE21"/>
  <c r="BG21"/>
  <c r="BH21"/>
  <c r="J22"/>
  <c r="AB22"/>
  <c r="BB22"/>
  <c r="BC22"/>
  <c r="BH22"/>
  <c r="J23"/>
  <c r="AB23"/>
  <c r="BC23"/>
  <c r="BH23"/>
  <c r="J24"/>
  <c r="AB24"/>
  <c r="BC24"/>
  <c r="BH24"/>
  <c r="J25"/>
  <c r="AB25"/>
  <c r="BC25"/>
  <c r="BH25"/>
  <c r="J26"/>
  <c r="AB26"/>
  <c r="BC26"/>
  <c r="BH26"/>
  <c r="J27"/>
  <c r="AB27"/>
  <c r="BC27"/>
  <c r="BH27"/>
  <c r="J28"/>
  <c r="K28"/>
  <c r="L28"/>
  <c r="M28"/>
  <c r="N28"/>
  <c r="O28"/>
  <c r="P28"/>
  <c r="Q28"/>
  <c r="R28"/>
  <c r="S28"/>
  <c r="T28"/>
  <c r="U28"/>
  <c r="V28"/>
  <c r="W28"/>
  <c r="X28"/>
  <c r="Y28"/>
  <c r="Z28"/>
  <c r="AA28"/>
  <c r="AB28"/>
  <c r="BC28"/>
  <c r="BH28"/>
  <c r="BC29"/>
  <c r="BH29"/>
  <c r="BC30"/>
  <c r="BH30"/>
  <c r="BC31"/>
  <c r="BH31"/>
  <c r="BC32"/>
  <c r="BH32"/>
  <c r="BC33"/>
  <c r="BH33"/>
  <c r="S34"/>
  <c r="BC34"/>
  <c r="BH34"/>
  <c r="BC35"/>
  <c r="BH35"/>
  <c r="BC36"/>
  <c r="BH36"/>
  <c r="BC37"/>
  <c r="BH37"/>
  <c r="BC38"/>
  <c r="BH38"/>
  <c r="BC39"/>
  <c r="BH39"/>
  <c r="BC40"/>
  <c r="BH40"/>
  <c r="BC41"/>
  <c r="BH41"/>
  <c r="BC42"/>
  <c r="BH42"/>
  <c r="BC43"/>
  <c r="BH43"/>
  <c r="BC44"/>
  <c r="BH44"/>
  <c r="BC45"/>
  <c r="BH45"/>
  <c r="BC46"/>
  <c r="BH46"/>
  <c r="BC47"/>
  <c r="BH47"/>
  <c r="BC48"/>
  <c r="BH48"/>
  <c r="BC49"/>
  <c r="BH49"/>
  <c r="BC50"/>
  <c r="BH50"/>
  <c r="BC51"/>
  <c r="BH51"/>
  <c r="BC52"/>
  <c r="BH52"/>
  <c r="BC53"/>
  <c r="BH53"/>
  <c r="BC54"/>
  <c r="BH54"/>
  <c r="BC55"/>
  <c r="BH55"/>
  <c r="BC56"/>
  <c r="BH56"/>
  <c r="BC57"/>
  <c r="BH57"/>
  <c r="BC58"/>
  <c r="BH58"/>
  <c r="BC59"/>
  <c r="BH59"/>
  <c r="BC60"/>
  <c r="BH60"/>
  <c r="BC61"/>
  <c r="BH61"/>
  <c r="BC62"/>
  <c r="BH62"/>
  <c r="BC63"/>
  <c r="BH63"/>
  <c r="BC64"/>
  <c r="BH64"/>
  <c r="BC65"/>
  <c r="BH65"/>
  <c r="BC66"/>
  <c r="BH66"/>
  <c r="BC67"/>
  <c r="BH67"/>
  <c r="BC68"/>
  <c r="BH68"/>
  <c r="BC69"/>
  <c r="BH69"/>
  <c r="BC70"/>
  <c r="BH70"/>
  <c r="BC71"/>
  <c r="BH71"/>
  <c r="BC72"/>
  <c r="BH72"/>
  <c r="BC73"/>
  <c r="BH73"/>
  <c r="BC74"/>
  <c r="BH74"/>
  <c r="BC75"/>
  <c r="BH75"/>
  <c r="BC76"/>
  <c r="BH76"/>
  <c r="BC77"/>
  <c r="BH77"/>
  <c r="BC78"/>
  <c r="BH78"/>
  <c r="BC79"/>
  <c r="BH79"/>
  <c r="BC80"/>
  <c r="BH80"/>
  <c r="BC81"/>
  <c r="BH81"/>
  <c r="BC82"/>
  <c r="BH82"/>
  <c r="BC83"/>
  <c r="BH83"/>
  <c r="BC84"/>
  <c r="BH84"/>
  <c r="BC85"/>
  <c r="BH85"/>
  <c r="BC86"/>
  <c r="BH86"/>
  <c r="BC87"/>
  <c r="BH87"/>
  <c r="BC88"/>
  <c r="BH88"/>
  <c r="BC89"/>
  <c r="BH89"/>
  <c r="BC90"/>
  <c r="BH90"/>
  <c r="BC91"/>
  <c r="BH91"/>
  <c r="BC92"/>
  <c r="BH92"/>
  <c r="BC93"/>
  <c r="BH93"/>
  <c r="BC94"/>
  <c r="BH94"/>
  <c r="BC95"/>
  <c r="BH95"/>
  <c r="BC96"/>
  <c r="BH96"/>
  <c r="BC97"/>
  <c r="BH97"/>
  <c r="BC98"/>
  <c r="BH98"/>
  <c r="BC99"/>
  <c r="BH99"/>
  <c r="BC100"/>
  <c r="BH100"/>
  <c r="BC101"/>
  <c r="BH101"/>
  <c r="BC102"/>
  <c r="BH102"/>
  <c r="BC103"/>
  <c r="BH103"/>
  <c r="BC104"/>
  <c r="BH104"/>
  <c r="BC105"/>
  <c r="BH105"/>
  <c r="BC106"/>
  <c r="BH106"/>
  <c r="BC107"/>
  <c r="BH107"/>
  <c r="BC108"/>
  <c r="BH108"/>
  <c r="BC109"/>
  <c r="BH109"/>
  <c r="BC110"/>
  <c r="BH110"/>
  <c r="BC111"/>
  <c r="BH111"/>
  <c r="BC112"/>
  <c r="BH112"/>
  <c r="BC113"/>
  <c r="BH113"/>
  <c r="BC114"/>
  <c r="BH114"/>
  <c r="BC115"/>
  <c r="BH115"/>
  <c r="BC116"/>
  <c r="BH116"/>
  <c r="BC117"/>
  <c r="BH117"/>
  <c r="BC118"/>
  <c r="BH118"/>
  <c r="BC119"/>
  <c r="BH119"/>
  <c r="BC120"/>
  <c r="BH120"/>
  <c r="BC121"/>
  <c r="BH121"/>
  <c r="BC122"/>
  <c r="BH122"/>
  <c r="BC123"/>
  <c r="BH123"/>
  <c r="BC124"/>
  <c r="BH124"/>
  <c r="BC125"/>
  <c r="BH125"/>
  <c r="BC126"/>
  <c r="BH126"/>
  <c r="BC127"/>
  <c r="BH127"/>
  <c r="BC128"/>
  <c r="BH128"/>
  <c r="BC129"/>
  <c r="BH129"/>
  <c r="BC130"/>
  <c r="BH130"/>
  <c r="BC131"/>
  <c r="BH131"/>
  <c r="BC132"/>
  <c r="BH132"/>
  <c r="BC133"/>
  <c r="BH133"/>
  <c r="BC134"/>
  <c r="BH134"/>
  <c r="BC135"/>
  <c r="BH135"/>
  <c r="BC136"/>
  <c r="BH136"/>
  <c r="BC137"/>
  <c r="BH137"/>
  <c r="BC138"/>
  <c r="BH138"/>
  <c r="BC139"/>
  <c r="BH139"/>
  <c r="BC140"/>
  <c r="BH140"/>
  <c r="BC141"/>
  <c r="BH141"/>
  <c r="BC142"/>
  <c r="BH142"/>
  <c r="BC143"/>
  <c r="BH143"/>
  <c r="BC144"/>
  <c r="BH144"/>
  <c r="BC145"/>
  <c r="BH145"/>
  <c r="BC146"/>
  <c r="BH146"/>
  <c r="BC147"/>
  <c r="BH147"/>
  <c r="BC148"/>
  <c r="BH148"/>
  <c r="BC149"/>
  <c r="BH149"/>
  <c r="BC150"/>
  <c r="BH150"/>
  <c r="BC151"/>
  <c r="BH151"/>
  <c r="BC152"/>
  <c r="BH152"/>
  <c r="BC153"/>
  <c r="BH153"/>
  <c r="BC154"/>
  <c r="BH154"/>
  <c r="BC155"/>
  <c r="BH155"/>
  <c r="BC156"/>
  <c r="BH156"/>
  <c r="BC157"/>
  <c r="BH157"/>
  <c r="BC158"/>
  <c r="BH158"/>
  <c r="BC159"/>
  <c r="BH159"/>
  <c r="BC160"/>
  <c r="BH160"/>
  <c r="BC161"/>
  <c r="BH161"/>
  <c r="BC162"/>
  <c r="BH162"/>
  <c r="BC163"/>
  <c r="BH163"/>
  <c r="BC164"/>
  <c r="BH164"/>
  <c r="BC165"/>
  <c r="BH165"/>
  <c r="BC166"/>
  <c r="BH166"/>
  <c r="BC167"/>
  <c r="BH167"/>
  <c r="BC168"/>
  <c r="BH168"/>
  <c r="BC169"/>
  <c r="BH169"/>
  <c r="BC170"/>
  <c r="BH170"/>
  <c r="BC171"/>
  <c r="BH171"/>
  <c r="BC172"/>
  <c r="BH172"/>
  <c r="BC173"/>
  <c r="BH173"/>
  <c r="BC174"/>
  <c r="BH174"/>
  <c r="BC175"/>
  <c r="BH175"/>
  <c r="BC176"/>
  <c r="BH176"/>
  <c r="BC177"/>
  <c r="BH177"/>
  <c r="BC178"/>
  <c r="BH178"/>
  <c r="BC179"/>
  <c r="BH179"/>
  <c r="BC180"/>
  <c r="BH180"/>
  <c r="BC181"/>
  <c r="BH181"/>
  <c r="BC182"/>
  <c r="BH182"/>
  <c r="BC183"/>
  <c r="BH183"/>
  <c r="BC184"/>
  <c r="BH184"/>
  <c r="BC185"/>
  <c r="BH185"/>
  <c r="BC186"/>
  <c r="BH186"/>
  <c r="BC187"/>
  <c r="BH187"/>
  <c r="BC188"/>
  <c r="BH188"/>
  <c r="BC189"/>
  <c r="BH189"/>
  <c r="BC190"/>
  <c r="BH190"/>
  <c r="BC191"/>
  <c r="BH191"/>
  <c r="BC192"/>
  <c r="BH192"/>
  <c r="BC193"/>
  <c r="BH193"/>
  <c r="BC194"/>
  <c r="BH194"/>
  <c r="BC195"/>
  <c r="BH195"/>
  <c r="BC196"/>
  <c r="BH196"/>
  <c r="BC197"/>
  <c r="BH197"/>
  <c r="BC198"/>
  <c r="BH198"/>
  <c r="BC199"/>
  <c r="BH199"/>
  <c r="BC200"/>
  <c r="BH200"/>
  <c r="BC201"/>
  <c r="BH201"/>
  <c r="BC202"/>
  <c r="BH202"/>
  <c r="BC203"/>
  <c r="BH203"/>
  <c r="BC204"/>
  <c r="BH204"/>
  <c r="BC205"/>
  <c r="BH205"/>
  <c r="BC206"/>
  <c r="BH206"/>
  <c r="BC207"/>
  <c r="BH207"/>
  <c r="BC208"/>
  <c r="BH208"/>
  <c r="BC209"/>
  <c r="BH209"/>
  <c r="BC210"/>
  <c r="BH210"/>
  <c r="BC211"/>
  <c r="BH211"/>
  <c r="BC212"/>
  <c r="BH212"/>
  <c r="BC213"/>
  <c r="BH213"/>
  <c r="BC214"/>
  <c r="BH214"/>
  <c r="BC215"/>
  <c r="BH215"/>
  <c r="BC216"/>
  <c r="BH216"/>
  <c r="BC217"/>
  <c r="BH217"/>
  <c r="BC218"/>
  <c r="BH218"/>
  <c r="BC219"/>
  <c r="BH219"/>
  <c r="BC220"/>
  <c r="BH220"/>
  <c r="BC221"/>
  <c r="BH221"/>
  <c r="BC222"/>
  <c r="BH222"/>
  <c r="BC223"/>
  <c r="BH223"/>
  <c r="BC224"/>
  <c r="BH224"/>
  <c r="BC225"/>
  <c r="BH225"/>
  <c r="BC226"/>
  <c r="BH226"/>
  <c r="BC227"/>
  <c r="BH227"/>
  <c r="BC228"/>
  <c r="BH228"/>
  <c r="BC229"/>
  <c r="BH229"/>
  <c r="BC230"/>
  <c r="BH230"/>
  <c r="BC231"/>
  <c r="BH231"/>
  <c r="BC232"/>
  <c r="BH232"/>
  <c r="BC233"/>
  <c r="BH233"/>
  <c r="BC234"/>
  <c r="BH234"/>
  <c r="BC235"/>
  <c r="BH235"/>
  <c r="BC236"/>
  <c r="BH236"/>
  <c r="BC237"/>
  <c r="BH237"/>
  <c r="BC238"/>
  <c r="BH238"/>
  <c r="BC239"/>
  <c r="BH239"/>
  <c r="BC240"/>
  <c r="BH240"/>
  <c r="BC241"/>
  <c r="BH241"/>
  <c r="BC242"/>
  <c r="BH242"/>
  <c r="BC243"/>
  <c r="BH243"/>
  <c r="BC244"/>
  <c r="BH244"/>
  <c r="BC245"/>
  <c r="BH245"/>
  <c r="BC246"/>
  <c r="BH246"/>
  <c r="BC247"/>
  <c r="BH247"/>
  <c r="BC248"/>
  <c r="BH248"/>
  <c r="BC249"/>
  <c r="BH249"/>
  <c r="BC250"/>
  <c r="BH250"/>
  <c r="BC251"/>
  <c r="BH251"/>
  <c r="BC252"/>
  <c r="BH252"/>
  <c r="BC253"/>
  <c r="BH253"/>
  <c r="BC254"/>
  <c r="BH254"/>
  <c r="BC255"/>
  <c r="BH255"/>
  <c r="BC256"/>
  <c r="BH256"/>
  <c r="BC257"/>
  <c r="BH257"/>
  <c r="BC258"/>
  <c r="BH258"/>
  <c r="BC259"/>
  <c r="BH259"/>
  <c r="BC260"/>
  <c r="BH260"/>
  <c r="BC261"/>
  <c r="BH261"/>
  <c r="BC262"/>
  <c r="BH262"/>
  <c r="BC263"/>
  <c r="BH263"/>
  <c r="BC264"/>
  <c r="BH264"/>
  <c r="BC265"/>
  <c r="BH265"/>
  <c r="BC266"/>
  <c r="BH266"/>
  <c r="BC267"/>
  <c r="BH267"/>
  <c r="BC268"/>
  <c r="BH268"/>
  <c r="BC269"/>
  <c r="BH269"/>
  <c r="BC270"/>
  <c r="BH270"/>
  <c r="BC271"/>
  <c r="BH271"/>
  <c r="BC272"/>
  <c r="BH272"/>
  <c r="BC273"/>
  <c r="BH273"/>
  <c r="BC274"/>
  <c r="BH274"/>
  <c r="BC275"/>
  <c r="BH275"/>
  <c r="BC276"/>
  <c r="BH276"/>
  <c r="BC277"/>
  <c r="BH277"/>
  <c r="BC278"/>
  <c r="BH278"/>
  <c r="BC279"/>
  <c r="BH279"/>
  <c r="BC280"/>
  <c r="BH280"/>
  <c r="BC281"/>
  <c r="BH281"/>
  <c r="BC282"/>
  <c r="BH282"/>
  <c r="BC283"/>
  <c r="BH283"/>
  <c r="BC284"/>
  <c r="BH284"/>
  <c r="BC285"/>
  <c r="BH285"/>
  <c r="BC286"/>
  <c r="BH286"/>
  <c r="BC287"/>
  <c r="BH287"/>
  <c r="BC288"/>
  <c r="BH288"/>
  <c r="BC289"/>
  <c r="BH289"/>
  <c r="BC290"/>
  <c r="BH290"/>
  <c r="BC291"/>
  <c r="BH291"/>
  <c r="BC292"/>
  <c r="BH292"/>
  <c r="BC293"/>
  <c r="BH293"/>
  <c r="BC294"/>
  <c r="BH294"/>
  <c r="BC295"/>
  <c r="BH295"/>
  <c r="BC296"/>
  <c r="BH296"/>
  <c r="BC297"/>
  <c r="BH297"/>
  <c r="BC298"/>
  <c r="BH298"/>
  <c r="BC299"/>
  <c r="BH299"/>
  <c r="BC300"/>
  <c r="BH300"/>
  <c r="BC301"/>
  <c r="BH301"/>
  <c r="BC302"/>
  <c r="BH302"/>
  <c r="BC303"/>
  <c r="BH303"/>
  <c r="BC304"/>
  <c r="BH304"/>
  <c r="BC305"/>
  <c r="BH305"/>
  <c r="BC306"/>
  <c r="BH306"/>
  <c r="BC307"/>
  <c r="BH307"/>
  <c r="BC308"/>
  <c r="BH308"/>
  <c r="BC309"/>
  <c r="BH309"/>
  <c r="BC310"/>
  <c r="BH310"/>
  <c r="BC311"/>
  <c r="BH311"/>
  <c r="BC312"/>
  <c r="BH312"/>
  <c r="BC313"/>
  <c r="BH313"/>
  <c r="BC314"/>
  <c r="BH314"/>
  <c r="BC315"/>
  <c r="BH315"/>
  <c r="BC316"/>
  <c r="BH316"/>
  <c r="BC317"/>
  <c r="BH317"/>
  <c r="BC318"/>
  <c r="BH318"/>
  <c r="BC319"/>
  <c r="BH319"/>
  <c r="BC320"/>
  <c r="BH320"/>
  <c r="BC321"/>
  <c r="BH321"/>
  <c r="BC322"/>
  <c r="BH322"/>
  <c r="BC323"/>
  <c r="BH323"/>
  <c r="BC324"/>
  <c r="BH324"/>
  <c r="BC325"/>
  <c r="BH325"/>
  <c r="BC326"/>
  <c r="BH326"/>
  <c r="BC327"/>
  <c r="BH327"/>
  <c r="BC328"/>
  <c r="BH328"/>
  <c r="BC329"/>
  <c r="BH329"/>
  <c r="BC330"/>
  <c r="BH330"/>
  <c r="BC331"/>
  <c r="BH331"/>
  <c r="BC332"/>
  <c r="BH332"/>
  <c r="BC333"/>
  <c r="BH333"/>
  <c r="BC334"/>
  <c r="BH334"/>
  <c r="BC335"/>
  <c r="BH335"/>
  <c r="BC336"/>
  <c r="BH336"/>
  <c r="BC337"/>
  <c r="BH337"/>
  <c r="BC338"/>
  <c r="BH338"/>
  <c r="BC339"/>
  <c r="BH339"/>
  <c r="BC340"/>
  <c r="BH340"/>
  <c r="BC341"/>
  <c r="BH341"/>
  <c r="BC342"/>
  <c r="BH342"/>
  <c r="BC343"/>
  <c r="BH343"/>
  <c r="BC344"/>
  <c r="BH344"/>
  <c r="BC345"/>
  <c r="BH345"/>
  <c r="BC346"/>
  <c r="BH346"/>
  <c r="BC347"/>
  <c r="BH347"/>
  <c r="BC348"/>
  <c r="BH348"/>
  <c r="BC349"/>
  <c r="BH349"/>
  <c r="BC350"/>
  <c r="BH350"/>
  <c r="BC351"/>
  <c r="BH351"/>
  <c r="BC352"/>
  <c r="BH352"/>
  <c r="BC353"/>
  <c r="BH353"/>
  <c r="BC354"/>
  <c r="BH354"/>
  <c r="BC355"/>
  <c r="BH355"/>
  <c r="BC356"/>
  <c r="BH356"/>
  <c r="BC357"/>
  <c r="BH357"/>
  <c r="BC358"/>
  <c r="BH358"/>
  <c r="BC359"/>
  <c r="BH359"/>
  <c r="BC360"/>
  <c r="BH360"/>
  <c r="BC361"/>
  <c r="BH361"/>
  <c r="BC362"/>
  <c r="BH362"/>
  <c r="BC363"/>
  <c r="BH363"/>
  <c r="BC364"/>
  <c r="BH364"/>
  <c r="BC365"/>
  <c r="BH365"/>
  <c r="BC366"/>
  <c r="BH366"/>
  <c r="BC367"/>
  <c r="BH367"/>
  <c r="BC368"/>
  <c r="BH368"/>
  <c r="BC369"/>
  <c r="BH369"/>
  <c r="BC370"/>
  <c r="BH370"/>
  <c r="BC371"/>
  <c r="BH371"/>
  <c r="BC372"/>
  <c r="BH372"/>
  <c r="BC373"/>
  <c r="BH373"/>
  <c r="BC374"/>
  <c r="BH374"/>
  <c r="BC375"/>
  <c r="BH375"/>
  <c r="BC376"/>
  <c r="BH376"/>
  <c r="BC377"/>
  <c r="BH377"/>
  <c r="BC378"/>
  <c r="BH378"/>
  <c r="BC379"/>
  <c r="BH379"/>
  <c r="BC380"/>
  <c r="BH380"/>
  <c r="BC381"/>
  <c r="BH381"/>
  <c r="BC382"/>
  <c r="BH382"/>
  <c r="BC383"/>
  <c r="BH383"/>
  <c r="BC384"/>
  <c r="BH384"/>
  <c r="BC385"/>
  <c r="BH385"/>
  <c r="BC386"/>
  <c r="BH386"/>
  <c r="BC387"/>
  <c r="BH387"/>
  <c r="BC388"/>
  <c r="BH388"/>
  <c r="BC389"/>
  <c r="BH389"/>
  <c r="BC390"/>
  <c r="BH390"/>
  <c r="BC391"/>
  <c r="BH391"/>
  <c r="BC392"/>
  <c r="BH392"/>
  <c r="BC393"/>
  <c r="BH393"/>
  <c r="BC394"/>
  <c r="BH394"/>
  <c r="BC395"/>
  <c r="BH395"/>
  <c r="BC396"/>
  <c r="BH396"/>
  <c r="BC397"/>
  <c r="BH397"/>
  <c r="BC398"/>
  <c r="BH398"/>
  <c r="BC399"/>
  <c r="BH399"/>
  <c r="BC400"/>
  <c r="BH400"/>
  <c r="BC401"/>
  <c r="BH401"/>
  <c r="BC402"/>
  <c r="BH402"/>
  <c r="BC403"/>
  <c r="BH403"/>
  <c r="BC404"/>
  <c r="BH404"/>
  <c r="BC405"/>
  <c r="BH405"/>
  <c r="BC406"/>
  <c r="BH406"/>
  <c r="BC407"/>
  <c r="BH407"/>
  <c r="BC408"/>
  <c r="BH408"/>
  <c r="BC409"/>
  <c r="BH409"/>
  <c r="BC410"/>
  <c r="BH410"/>
  <c r="BC411"/>
  <c r="BH411"/>
  <c r="BC412"/>
  <c r="BH412"/>
  <c r="BC413"/>
  <c r="BH413"/>
  <c r="BC414"/>
  <c r="BH414"/>
  <c r="BC415"/>
  <c r="BH415"/>
  <c r="BC416"/>
  <c r="BH416"/>
  <c r="BC417"/>
  <c r="BH417"/>
  <c r="BC418"/>
  <c r="BH418"/>
  <c r="BC419"/>
  <c r="BH419"/>
  <c r="BC420"/>
  <c r="BH420"/>
  <c r="BC421"/>
  <c r="BH421"/>
  <c r="BC422"/>
  <c r="BH422"/>
  <c r="BC423"/>
  <c r="BH423"/>
  <c r="BC424"/>
  <c r="BH424"/>
  <c r="BC425"/>
  <c r="BH425"/>
  <c r="BC426"/>
  <c r="BH426"/>
  <c r="BC427"/>
  <c r="BH427"/>
  <c r="BC428"/>
  <c r="BH428"/>
  <c r="BC429"/>
  <c r="BH429"/>
  <c r="BC430"/>
  <c r="BH430"/>
  <c r="BC431"/>
  <c r="BH431"/>
  <c r="BC432"/>
  <c r="BH432"/>
  <c r="BC433"/>
  <c r="BH433"/>
  <c r="BC434"/>
  <c r="BH434"/>
  <c r="BC435"/>
  <c r="BH435"/>
  <c r="BC436"/>
  <c r="BH436"/>
  <c r="BC437"/>
  <c r="BH437"/>
  <c r="BC438"/>
  <c r="BH438"/>
  <c r="BC439"/>
  <c r="BH439"/>
  <c r="BC440"/>
  <c r="BH440"/>
  <c r="BC441"/>
  <c r="BH441"/>
  <c r="BC442"/>
  <c r="BH442"/>
  <c r="BC443"/>
  <c r="BH443"/>
  <c r="BC444"/>
  <c r="BH444"/>
  <c r="BC445"/>
  <c r="BH445"/>
  <c r="BC446"/>
  <c r="BH446"/>
  <c r="BC447"/>
  <c r="BH447"/>
  <c r="BC448"/>
  <c r="BH448"/>
  <c r="BC449"/>
  <c r="BH449"/>
  <c r="BC450"/>
  <c r="BH450"/>
  <c r="BC451"/>
  <c r="BH451"/>
  <c r="BC452"/>
  <c r="BH452"/>
  <c r="BC453"/>
  <c r="BH453"/>
  <c r="BC454"/>
  <c r="BH454"/>
  <c r="BC455"/>
  <c r="BH455"/>
  <c r="BC456"/>
  <c r="BH456"/>
  <c r="BC457"/>
  <c r="BH457"/>
  <c r="BC458"/>
  <c r="BH458"/>
  <c r="BC459"/>
  <c r="BH459"/>
  <c r="BC460"/>
  <c r="BH460"/>
  <c r="BC461"/>
  <c r="BH461"/>
  <c r="BC462"/>
  <c r="BH462"/>
  <c r="BC463"/>
  <c r="BH463"/>
  <c r="BC464"/>
  <c r="BH464"/>
  <c r="BC465"/>
  <c r="BH465"/>
  <c r="BC466"/>
  <c r="BH466"/>
  <c r="BC467"/>
  <c r="BH467"/>
  <c r="BC468"/>
  <c r="BH468"/>
  <c r="BC469"/>
  <c r="BH469"/>
  <c r="BC470"/>
  <c r="BH470"/>
  <c r="BC471"/>
  <c r="BH471"/>
  <c r="BC472"/>
  <c r="BH472"/>
  <c r="BC473"/>
  <c r="BH473"/>
  <c r="BC474"/>
  <c r="BH474"/>
  <c r="BC475"/>
  <c r="BH475"/>
  <c r="BC476"/>
  <c r="BH476"/>
  <c r="BC477"/>
  <c r="BH477"/>
  <c r="BC478"/>
  <c r="BH478"/>
  <c r="BC479"/>
  <c r="BH479"/>
  <c r="BC480"/>
  <c r="BH480"/>
  <c r="BC481"/>
  <c r="BH481"/>
  <c r="BC482"/>
  <c r="BH482"/>
  <c r="BC483"/>
  <c r="BH483"/>
  <c r="BC484"/>
  <c r="BH484"/>
  <c r="BC485"/>
  <c r="BH485"/>
  <c r="BC486"/>
  <c r="BH486"/>
  <c r="BC487"/>
  <c r="BH487"/>
  <c r="BC488"/>
  <c r="BH488"/>
  <c r="BC489"/>
  <c r="BH489"/>
  <c r="BC490"/>
  <c r="BH490"/>
  <c r="BC491"/>
  <c r="BH491"/>
  <c r="BC492"/>
  <c r="BH492"/>
  <c r="BC493"/>
  <c r="BH493"/>
  <c r="BC494"/>
  <c r="BH494"/>
  <c r="BC495"/>
  <c r="BH495"/>
  <c r="BC496"/>
  <c r="BH496"/>
  <c r="BC497"/>
  <c r="BH497"/>
  <c r="BC498"/>
  <c r="BH498"/>
  <c r="BC499"/>
  <c r="BH499"/>
  <c r="BC500"/>
  <c r="BH500"/>
  <c r="BC501"/>
  <c r="BH501"/>
  <c r="BC502"/>
  <c r="BH502"/>
  <c r="BC503"/>
  <c r="BH503"/>
  <c r="BC504"/>
  <c r="BH504"/>
  <c r="BC505"/>
  <c r="BH505"/>
  <c r="BC506"/>
  <c r="BH506"/>
  <c r="BC507"/>
  <c r="BH507"/>
  <c r="BC508"/>
  <c r="BH508"/>
  <c r="BC509"/>
  <c r="BH509"/>
  <c r="BC510"/>
  <c r="BH510"/>
  <c r="BC511"/>
  <c r="BH511"/>
  <c r="BC512"/>
  <c r="BH512"/>
  <c r="BC513"/>
  <c r="BH513"/>
  <c r="BC514"/>
  <c r="BH514"/>
  <c r="BC515"/>
  <c r="BH515"/>
  <c r="BC516"/>
  <c r="BH516"/>
  <c r="BC517"/>
  <c r="BH517"/>
  <c r="BC518"/>
  <c r="BH518"/>
  <c r="BC519"/>
  <c r="BH519"/>
  <c r="BC520"/>
  <c r="BH520"/>
  <c r="BC521"/>
  <c r="BH521"/>
  <c r="BC522"/>
  <c r="BH522"/>
  <c r="BC523"/>
  <c r="BH523"/>
  <c r="BC524"/>
  <c r="BH524"/>
  <c r="BC525"/>
  <c r="BH525"/>
  <c r="BC526"/>
  <c r="BH526"/>
  <c r="BC527"/>
  <c r="BH527"/>
  <c r="BC528"/>
  <c r="BH528"/>
  <c r="BC529"/>
  <c r="BH529"/>
  <c r="BC530"/>
  <c r="BH530"/>
  <c r="BC531"/>
  <c r="BH531"/>
  <c r="BC532"/>
  <c r="BH532"/>
  <c r="BC533"/>
  <c r="BH533"/>
  <c r="BC534"/>
  <c r="BH534"/>
  <c r="BC535"/>
  <c r="BH535"/>
  <c r="BC536"/>
  <c r="BH536"/>
  <c r="BC537"/>
  <c r="BH537"/>
  <c r="BC538"/>
  <c r="BH538"/>
  <c r="BC539"/>
  <c r="BH539"/>
  <c r="BC540"/>
  <c r="BH540"/>
  <c r="BC541"/>
  <c r="BH541"/>
  <c r="BC542"/>
  <c r="BH542"/>
  <c r="BC543"/>
  <c r="BH543"/>
  <c r="BC544"/>
  <c r="BH544"/>
  <c r="BC545"/>
  <c r="BH545"/>
  <c r="BC546"/>
  <c r="BH546"/>
  <c r="BC547"/>
  <c r="BH547"/>
  <c r="BC548"/>
  <c r="BH548"/>
  <c r="BC549"/>
  <c r="BH549"/>
  <c r="BC550"/>
  <c r="BH550"/>
  <c r="BC551"/>
  <c r="BH551"/>
  <c r="BC552"/>
  <c r="BH552"/>
  <c r="BC553"/>
  <c r="BH553"/>
  <c r="BC554"/>
  <c r="BH554"/>
  <c r="BC555"/>
  <c r="BH555"/>
  <c r="BC556"/>
  <c r="BH556"/>
  <c r="BC557"/>
  <c r="BH557"/>
  <c r="BC558"/>
  <c r="BH558"/>
  <c r="BC559"/>
  <c r="BH559"/>
  <c r="BC560"/>
  <c r="BH560"/>
  <c r="BC561"/>
  <c r="BH561"/>
  <c r="BC562"/>
  <c r="BH562"/>
  <c r="BC563"/>
  <c r="BH563"/>
  <c r="BC564"/>
  <c r="BH564"/>
  <c r="BC565"/>
  <c r="BH565"/>
  <c r="BC566"/>
  <c r="BH566"/>
  <c r="BC567"/>
  <c r="BH567"/>
  <c r="BC568"/>
  <c r="BH568"/>
  <c r="BC569"/>
  <c r="BH569"/>
  <c r="BC570"/>
  <c r="BH570"/>
  <c r="BC571"/>
  <c r="BH571"/>
  <c r="BC572"/>
  <c r="BH572"/>
  <c r="BC573"/>
  <c r="BH573"/>
  <c r="BC574"/>
  <c r="BH574"/>
  <c r="BC575"/>
  <c r="BH575"/>
  <c r="BC576"/>
  <c r="BH576"/>
  <c r="BC577"/>
  <c r="BH577"/>
  <c r="BC578"/>
  <c r="BH578"/>
  <c r="BC579"/>
  <c r="BH579"/>
  <c r="BC580"/>
  <c r="BH580"/>
  <c r="BC581"/>
  <c r="BH581"/>
  <c r="BC582"/>
  <c r="BH582"/>
  <c r="BC583"/>
  <c r="BH583"/>
  <c r="BC584"/>
  <c r="BH584"/>
  <c r="BC585"/>
  <c r="BH585"/>
  <c r="BC586"/>
  <c r="BH586"/>
  <c r="BC587"/>
  <c r="BH587"/>
  <c r="BC588"/>
  <c r="BH588"/>
  <c r="BC589"/>
  <c r="BH589"/>
  <c r="BC590"/>
  <c r="BH590"/>
  <c r="BC591"/>
  <c r="BH591"/>
  <c r="BC592"/>
  <c r="BH592"/>
  <c r="BC593"/>
  <c r="BH593"/>
  <c r="BC594"/>
  <c r="BH594"/>
  <c r="BC595"/>
  <c r="BH595"/>
  <c r="BC596"/>
  <c r="BH596"/>
  <c r="BC597"/>
  <c r="BH597"/>
  <c r="BC598"/>
  <c r="BH598"/>
  <c r="BC599"/>
  <c r="BH599"/>
  <c r="BC600"/>
  <c r="BH600"/>
  <c r="BC601"/>
  <c r="BH601"/>
  <c r="BC602"/>
  <c r="BH602"/>
  <c r="BC603"/>
  <c r="BH603"/>
  <c r="BC604"/>
  <c r="BH604"/>
  <c r="BC605"/>
  <c r="BH605"/>
  <c r="BC606"/>
  <c r="BH606"/>
  <c r="BC607"/>
  <c r="BH607"/>
  <c r="BC608"/>
  <c r="BH608"/>
  <c r="BC609"/>
  <c r="BH609"/>
  <c r="BC610"/>
  <c r="BH610"/>
  <c r="BC611"/>
  <c r="BH611"/>
  <c r="BC612"/>
  <c r="BH612"/>
  <c r="BC613"/>
  <c r="BH613"/>
  <c r="BC614"/>
  <c r="BH614"/>
  <c r="BC615"/>
  <c r="BH615"/>
  <c r="BC616"/>
  <c r="BH616"/>
  <c r="BC617"/>
  <c r="BH617"/>
  <c r="BC618"/>
  <c r="BH618"/>
  <c r="BC619"/>
  <c r="BH619"/>
  <c r="BC620"/>
  <c r="BH620"/>
  <c r="BC621"/>
  <c r="BH621"/>
  <c r="BC622"/>
  <c r="BH622"/>
  <c r="BC623"/>
  <c r="BH623"/>
  <c r="BC624"/>
  <c r="BH624"/>
  <c r="BC625"/>
  <c r="BH625"/>
  <c r="BC626"/>
  <c r="BH626"/>
  <c r="BC627"/>
  <c r="BH627"/>
  <c r="BC628"/>
  <c r="BH628"/>
  <c r="BC629"/>
  <c r="BH629"/>
  <c r="BC630"/>
  <c r="BH630"/>
  <c r="BC631"/>
  <c r="BH631"/>
  <c r="BC632"/>
  <c r="BH632"/>
  <c r="BC633"/>
  <c r="BH633"/>
  <c r="BC634"/>
  <c r="BH634"/>
  <c r="BC635"/>
  <c r="BH635"/>
  <c r="BC636"/>
  <c r="BH636"/>
  <c r="BC637"/>
  <c r="BH637"/>
  <c r="BC638"/>
  <c r="BH638"/>
  <c r="BC639"/>
  <c r="BH639"/>
  <c r="BC640"/>
  <c r="BH640"/>
  <c r="BC641"/>
  <c r="BH641"/>
  <c r="BC642"/>
  <c r="BH642"/>
  <c r="BC643"/>
  <c r="BH643"/>
  <c r="BC644"/>
  <c r="BH644"/>
  <c r="BC645"/>
  <c r="BH645"/>
  <c r="BC646"/>
  <c r="BH646"/>
  <c r="BC647"/>
  <c r="BH647"/>
  <c r="BC648"/>
  <c r="BH648"/>
  <c r="BC649"/>
  <c r="BH649"/>
  <c r="BC650"/>
  <c r="BH650"/>
  <c r="BC651"/>
  <c r="BH651"/>
  <c r="BC652"/>
  <c r="BH652"/>
  <c r="BC653"/>
  <c r="BH653"/>
  <c r="BC654"/>
  <c r="BH654"/>
  <c r="BC655"/>
  <c r="BH655"/>
  <c r="BC656"/>
  <c r="BH656"/>
  <c r="BC657"/>
  <c r="BH657"/>
  <c r="BC658"/>
  <c r="BH658"/>
  <c r="BC659"/>
  <c r="BH659"/>
  <c r="BC660"/>
  <c r="BH660"/>
  <c r="BC661"/>
  <c r="BH661"/>
  <c r="BC662"/>
  <c r="BH662"/>
  <c r="BC663"/>
  <c r="BH663"/>
  <c r="BC664"/>
  <c r="BH664"/>
  <c r="BC665"/>
  <c r="BH665"/>
  <c r="BC666"/>
  <c r="BH666"/>
  <c r="BC667"/>
  <c r="BH667"/>
  <c r="BC668"/>
  <c r="BH668"/>
  <c r="BC669"/>
  <c r="BH669"/>
  <c r="BC670"/>
  <c r="BH670"/>
  <c r="BC671"/>
  <c r="BH671"/>
  <c r="BC672"/>
  <c r="BH672"/>
  <c r="BC673"/>
  <c r="BH673"/>
  <c r="BC674"/>
  <c r="BH674"/>
  <c r="BC675"/>
  <c r="BH675"/>
  <c r="BC676"/>
  <c r="BH676"/>
  <c r="BC677"/>
  <c r="BH677"/>
  <c r="BC678"/>
  <c r="BH678"/>
  <c r="BC679"/>
  <c r="BH679"/>
  <c r="BC680"/>
  <c r="BH680"/>
  <c r="BC681"/>
  <c r="BH681"/>
  <c r="BC682"/>
  <c r="BH682"/>
  <c r="BC683"/>
  <c r="BH683"/>
  <c r="BC684"/>
  <c r="BH684"/>
  <c r="BC685"/>
  <c r="BH685"/>
  <c r="BC686"/>
  <c r="BH686"/>
  <c r="BC687"/>
  <c r="BH687"/>
  <c r="BC688"/>
  <c r="BH688"/>
  <c r="BC689"/>
  <c r="BH689"/>
  <c r="BC690"/>
  <c r="BH690"/>
  <c r="BC691"/>
  <c r="BH691"/>
  <c r="BC692"/>
  <c r="BH692"/>
  <c r="BC693"/>
  <c r="BH693"/>
  <c r="BC694"/>
  <c r="BH694"/>
  <c r="BC695"/>
  <c r="BH695"/>
  <c r="BC696"/>
  <c r="BH696"/>
  <c r="BC697"/>
  <c r="BH697"/>
  <c r="BC698"/>
  <c r="BH698"/>
  <c r="BC699"/>
  <c r="BH699"/>
  <c r="BC700"/>
  <c r="BH700"/>
  <c r="BC701"/>
  <c r="BH701"/>
  <c r="BC702"/>
  <c r="BH702"/>
  <c r="BC703"/>
  <c r="BH703"/>
  <c r="BC704"/>
  <c r="BH704"/>
  <c r="BC705"/>
  <c r="BH705"/>
  <c r="BC706"/>
  <c r="BH706"/>
  <c r="BC707"/>
  <c r="BH707"/>
  <c r="BC708"/>
  <c r="BH708"/>
  <c r="BC709"/>
  <c r="BH709"/>
  <c r="BC710"/>
  <c r="BH710"/>
  <c r="BC711"/>
  <c r="BH711"/>
  <c r="BC712"/>
  <c r="BH712"/>
  <c r="BC713"/>
  <c r="BH713"/>
  <c r="BC714"/>
  <c r="BH714"/>
  <c r="BC715"/>
  <c r="BH715"/>
  <c r="BC716"/>
  <c r="BH716"/>
  <c r="BC717"/>
  <c r="BH717"/>
  <c r="BC718"/>
  <c r="BH718"/>
  <c r="BC719"/>
  <c r="BH719"/>
  <c r="BC720"/>
  <c r="BH720"/>
  <c r="BC721"/>
  <c r="BH721"/>
  <c r="BC722"/>
  <c r="BH722"/>
  <c r="BC723"/>
  <c r="BH723"/>
  <c r="BC724"/>
  <c r="BH724"/>
  <c r="BC725"/>
  <c r="BH725"/>
  <c r="BC726"/>
  <c r="BH726"/>
  <c r="BC727"/>
  <c r="BH727"/>
  <c r="BC728"/>
  <c r="BH728"/>
  <c r="BC729"/>
  <c r="BH729"/>
  <c r="BC730"/>
  <c r="BH730"/>
  <c r="BC731"/>
  <c r="BH731"/>
  <c r="BC732"/>
  <c r="BH732"/>
  <c r="BC733"/>
  <c r="BH733"/>
  <c r="BC734"/>
  <c r="BH734"/>
  <c r="BC735"/>
  <c r="BH735"/>
  <c r="BC736"/>
  <c r="BH736"/>
  <c r="BC737"/>
  <c r="BH737"/>
  <c r="BC738"/>
  <c r="BH738"/>
  <c r="BC739"/>
  <c r="BH739"/>
  <c r="BC740"/>
  <c r="BH740"/>
  <c r="BC741"/>
  <c r="BH741"/>
  <c r="BC742"/>
  <c r="BH742"/>
  <c r="BC743"/>
  <c r="BH743"/>
  <c r="BC744"/>
  <c r="BH744"/>
  <c r="BC745"/>
  <c r="BH745"/>
  <c r="BC746"/>
  <c r="BH746"/>
  <c r="BC747"/>
  <c r="BH747"/>
  <c r="BC748"/>
  <c r="BH748"/>
  <c r="BC749"/>
  <c r="BH749"/>
  <c r="BC750"/>
  <c r="BH750"/>
  <c r="BC751"/>
  <c r="BH751"/>
  <c r="BC752"/>
  <c r="BH752"/>
  <c r="BC753"/>
  <c r="BH753"/>
  <c r="BC754"/>
  <c r="BH754"/>
  <c r="BC755"/>
  <c r="BH755"/>
  <c r="BC756"/>
  <c r="BH756"/>
  <c r="BC757"/>
  <c r="BH757"/>
  <c r="BC758"/>
  <c r="BH758"/>
  <c r="BC759"/>
  <c r="BH759"/>
  <c r="BC760"/>
  <c r="BH760"/>
  <c r="BC761"/>
  <c r="BH761"/>
  <c r="BC762"/>
  <c r="BH762"/>
  <c r="BC763"/>
  <c r="BH763"/>
  <c r="BC764"/>
  <c r="BH764"/>
  <c r="BC765"/>
  <c r="BH765"/>
  <c r="BC766"/>
  <c r="BH766"/>
  <c r="BC767"/>
  <c r="BH767"/>
  <c r="BC768"/>
  <c r="BH768"/>
  <c r="BC769"/>
  <c r="BH769"/>
  <c r="BC770"/>
  <c r="BH770"/>
  <c r="BC771"/>
  <c r="BH771"/>
  <c r="BC772"/>
  <c r="BH772"/>
  <c r="BC773"/>
  <c r="BH773"/>
  <c r="BC774"/>
  <c r="BH774"/>
  <c r="BC775"/>
  <c r="BH775"/>
  <c r="BC776"/>
  <c r="BH776"/>
  <c r="BC777"/>
  <c r="BH777"/>
  <c r="BC778"/>
  <c r="BH778"/>
  <c r="BC779"/>
  <c r="BH779"/>
  <c r="BC780"/>
  <c r="BH780"/>
  <c r="BC781"/>
  <c r="BH781"/>
  <c r="BC782"/>
  <c r="BH782"/>
  <c r="BC783"/>
  <c r="BH783"/>
  <c r="BC784"/>
  <c r="BH784"/>
  <c r="BC785"/>
  <c r="BH785"/>
  <c r="BC786"/>
  <c r="BH786"/>
  <c r="BC787"/>
  <c r="BH787"/>
  <c r="BC788"/>
  <c r="BH788"/>
  <c r="BC789"/>
  <c r="BH789"/>
  <c r="BC790"/>
  <c r="BH790"/>
  <c r="BC791"/>
  <c r="BH791"/>
  <c r="BC792"/>
  <c r="BH792"/>
  <c r="BC793"/>
  <c r="BH793"/>
  <c r="BC794"/>
  <c r="BH794"/>
  <c r="BC795"/>
  <c r="BH795"/>
  <c r="BC796"/>
  <c r="BH796"/>
  <c r="BC797"/>
  <c r="BH797"/>
  <c r="BC798"/>
  <c r="BH798"/>
  <c r="BC799"/>
  <c r="BH799"/>
  <c r="BC800"/>
  <c r="BH800"/>
  <c r="BC801"/>
  <c r="BH801"/>
  <c r="BC802"/>
  <c r="BH802"/>
  <c r="BC803"/>
  <c r="BH803"/>
  <c r="BC804"/>
  <c r="BH804"/>
  <c r="BC805"/>
  <c r="BH805"/>
  <c r="BC806"/>
  <c r="BH806"/>
  <c r="BC807"/>
  <c r="BH807"/>
  <c r="BC808"/>
  <c r="BH808"/>
  <c r="BC809"/>
  <c r="BH809"/>
  <c r="BC810"/>
  <c r="BH810"/>
  <c r="BC811"/>
  <c r="BH811"/>
  <c r="BC812"/>
  <c r="BH812"/>
  <c r="BC813"/>
  <c r="BH813"/>
  <c r="BC814"/>
  <c r="BH814"/>
  <c r="BC815"/>
  <c r="BH815"/>
  <c r="BC816"/>
  <c r="BH816"/>
  <c r="BC817"/>
  <c r="BH817"/>
  <c r="BC818"/>
  <c r="BH818"/>
  <c r="BC819"/>
  <c r="BH819"/>
  <c r="BC820"/>
  <c r="BH820"/>
  <c r="BC821"/>
  <c r="BH821"/>
  <c r="BC822"/>
  <c r="BH822"/>
  <c r="BC823"/>
  <c r="BH823"/>
  <c r="BC824"/>
  <c r="BH824"/>
  <c r="BC825"/>
  <c r="BH825"/>
  <c r="BC826"/>
  <c r="BH826"/>
  <c r="BC827"/>
  <c r="BH827"/>
  <c r="BC828"/>
  <c r="BH828"/>
  <c r="BC829"/>
  <c r="BH829"/>
  <c r="BC830"/>
  <c r="BH830"/>
  <c r="BC831"/>
  <c r="BH831"/>
  <c r="BC832"/>
  <c r="BH832"/>
  <c r="BC833"/>
  <c r="BH833"/>
  <c r="BC834"/>
  <c r="BH834"/>
  <c r="BC835"/>
  <c r="BH835"/>
  <c r="BC836"/>
  <c r="BH836"/>
  <c r="BC837"/>
  <c r="BH837"/>
  <c r="BC838"/>
  <c r="BH838"/>
  <c r="BC839"/>
  <c r="BH839"/>
  <c r="BC840"/>
  <c r="BH840"/>
  <c r="BC841"/>
  <c r="BH841"/>
  <c r="BC842"/>
  <c r="BH842"/>
  <c r="BC843"/>
  <c r="BH843"/>
  <c r="BC844"/>
  <c r="BH844"/>
  <c r="BC845"/>
  <c r="BH845"/>
  <c r="BC846"/>
  <c r="BH846"/>
  <c r="BC847"/>
  <c r="BH847"/>
  <c r="BC848"/>
  <c r="BH848"/>
  <c r="BC849"/>
  <c r="BH849"/>
  <c r="BC850"/>
  <c r="BH850"/>
  <c r="BC851"/>
  <c r="BH851"/>
  <c r="BC852"/>
  <c r="BH852"/>
  <c r="BC853"/>
  <c r="BH853"/>
  <c r="BC854"/>
  <c r="BH854"/>
  <c r="BC855"/>
  <c r="BH855"/>
  <c r="BC856"/>
  <c r="BH856"/>
  <c r="BC857"/>
  <c r="BH857"/>
  <c r="BC858"/>
  <c r="BH858"/>
  <c r="BC859"/>
  <c r="BH859"/>
  <c r="BC860"/>
  <c r="BH860"/>
  <c r="BC861"/>
  <c r="BH861"/>
  <c r="BC862"/>
  <c r="BH862"/>
  <c r="BC863"/>
  <c r="BH863"/>
  <c r="BC864"/>
  <c r="BH864"/>
  <c r="BC865"/>
  <c r="BH865"/>
  <c r="BC866"/>
  <c r="BH866"/>
  <c r="BC867"/>
  <c r="BH867"/>
  <c r="BC868"/>
  <c r="BH868"/>
  <c r="BC869"/>
  <c r="BH869"/>
  <c r="BC870"/>
  <c r="BH870"/>
  <c r="BC871"/>
  <c r="BH871"/>
  <c r="BC872"/>
  <c r="BH872"/>
  <c r="BC873"/>
  <c r="BH873"/>
  <c r="BC874"/>
  <c r="BH874"/>
  <c r="BC875"/>
  <c r="BH875"/>
  <c r="BC876"/>
  <c r="BH876"/>
  <c r="BC877"/>
  <c r="BH877"/>
  <c r="BC878"/>
  <c r="BH878"/>
  <c r="BC879"/>
  <c r="BH879"/>
  <c r="BC880"/>
  <c r="BH880"/>
  <c r="BC881"/>
  <c r="BH881"/>
  <c r="BC882"/>
  <c r="BH882"/>
  <c r="BC883"/>
  <c r="BH883"/>
  <c r="BC884"/>
  <c r="BH884"/>
  <c r="BC885"/>
  <c r="BH885"/>
  <c r="BC886"/>
  <c r="BH886"/>
  <c r="BC887"/>
  <c r="BH887"/>
  <c r="BC888"/>
  <c r="BH888"/>
  <c r="BC889"/>
  <c r="BH889"/>
  <c r="BC890"/>
  <c r="BH890"/>
  <c r="BC891"/>
  <c r="BH891"/>
  <c r="BC892"/>
  <c r="BH892"/>
  <c r="BC893"/>
  <c r="BH893"/>
  <c r="BC894"/>
  <c r="BH894"/>
  <c r="BC895"/>
  <c r="BH895"/>
  <c r="BC896"/>
  <c r="BH896"/>
  <c r="BC897"/>
  <c r="BH897"/>
  <c r="BC898"/>
  <c r="BH898"/>
  <c r="BC899"/>
  <c r="BH899"/>
  <c r="BC900"/>
  <c r="BH900"/>
  <c r="BC901"/>
  <c r="BH901"/>
  <c r="BC902"/>
  <c r="BH902"/>
  <c r="BC903"/>
  <c r="BH903"/>
  <c r="BC904"/>
  <c r="BH904"/>
  <c r="BC905"/>
  <c r="BH905"/>
  <c r="BC906"/>
  <c r="BH906"/>
  <c r="BC907"/>
  <c r="BH907"/>
  <c r="BC908"/>
  <c r="BH908"/>
  <c r="BC909"/>
  <c r="BH909"/>
  <c r="BC910"/>
  <c r="BH910"/>
  <c r="BC911"/>
  <c r="BH911"/>
  <c r="BC912"/>
  <c r="BH912"/>
  <c r="BC913"/>
  <c r="BH913"/>
  <c r="BC914"/>
  <c r="BH914"/>
  <c r="BC915"/>
  <c r="BH915"/>
  <c r="BC916"/>
  <c r="BH916"/>
  <c r="BC917"/>
  <c r="BH917"/>
  <c r="BC918"/>
  <c r="BH918"/>
  <c r="BC919"/>
  <c r="BH919"/>
  <c r="BC920"/>
  <c r="BH920"/>
  <c r="BC921"/>
  <c r="BH921"/>
  <c r="BC922"/>
  <c r="BH922"/>
  <c r="BC923"/>
  <c r="BH923"/>
  <c r="BC924"/>
  <c r="BH924"/>
  <c r="BC925"/>
  <c r="BH925"/>
  <c r="BC926"/>
  <c r="BH926"/>
  <c r="BC927"/>
  <c r="BH927"/>
  <c r="BC928"/>
  <c r="BH928"/>
  <c r="BC929"/>
  <c r="BH929"/>
  <c r="BC930"/>
  <c r="BH930"/>
  <c r="BC931"/>
  <c r="BH931"/>
  <c r="BC932"/>
  <c r="BH932"/>
  <c r="BC933"/>
  <c r="BH933"/>
  <c r="BC934"/>
  <c r="BH934"/>
  <c r="BC935"/>
  <c r="BH935"/>
  <c r="BC936"/>
  <c r="BH936"/>
  <c r="BC937"/>
  <c r="BH937"/>
  <c r="BC938"/>
  <c r="BH938"/>
  <c r="BC939"/>
  <c r="BH939"/>
  <c r="BC940"/>
  <c r="BH940"/>
  <c r="BC941"/>
  <c r="BH941"/>
  <c r="BC942"/>
  <c r="BH942"/>
  <c r="BC943"/>
  <c r="BH943"/>
  <c r="BC944"/>
  <c r="BH944"/>
  <c r="BC945"/>
  <c r="BH945"/>
  <c r="BC946"/>
  <c r="BH946"/>
  <c r="BC947"/>
  <c r="BH947"/>
  <c r="BC948"/>
  <c r="BH948"/>
  <c r="BC949"/>
  <c r="BH949"/>
  <c r="BC950"/>
  <c r="BH950"/>
  <c r="BC951"/>
  <c r="BH951"/>
  <c r="BC952"/>
  <c r="BH952"/>
  <c r="BC953"/>
  <c r="BH953"/>
  <c r="BC954"/>
  <c r="BH954"/>
  <c r="BC955"/>
  <c r="BH955"/>
  <c r="BC956"/>
  <c r="BH956"/>
  <c r="BC957"/>
  <c r="BH957"/>
  <c r="BC958"/>
  <c r="BH958"/>
  <c r="BC959"/>
  <c r="BH959"/>
  <c r="BC960"/>
  <c r="BH960"/>
  <c r="BC961"/>
  <c r="BH961"/>
  <c r="BC962"/>
  <c r="BH962"/>
  <c r="BC963"/>
  <c r="BH963"/>
  <c r="BC964"/>
  <c r="BH964"/>
  <c r="BC965"/>
  <c r="BH965"/>
  <c r="BC966"/>
  <c r="BH966"/>
  <c r="BC967"/>
  <c r="BH967"/>
  <c r="BC968"/>
  <c r="BH968"/>
  <c r="BC969"/>
  <c r="BH969"/>
  <c r="BC970"/>
  <c r="BH970"/>
  <c r="BC971"/>
  <c r="BH971"/>
  <c r="BC972"/>
  <c r="BH972"/>
  <c r="BC973"/>
  <c r="BH973"/>
  <c r="BC974"/>
  <c r="BH974"/>
  <c r="BC975"/>
  <c r="BH975"/>
  <c r="BC976"/>
  <c r="BH976"/>
  <c r="BC977"/>
  <c r="BH977"/>
  <c r="BC978"/>
  <c r="BH978"/>
  <c r="BC979"/>
  <c r="BH979"/>
  <c r="BC980"/>
  <c r="BH980"/>
  <c r="BC981"/>
  <c r="BH981"/>
  <c r="BC982"/>
  <c r="BH982"/>
  <c r="BC983"/>
  <c r="BH983"/>
  <c r="BC984"/>
  <c r="BH984"/>
  <c r="BC985"/>
  <c r="BH985"/>
  <c r="BC986"/>
  <c r="BH986"/>
  <c r="BC987"/>
  <c r="BH987"/>
  <c r="BC988"/>
  <c r="BH988"/>
  <c r="BC989"/>
  <c r="BH989"/>
  <c r="BC990"/>
  <c r="BH990"/>
  <c r="BC991"/>
  <c r="BH991"/>
  <c r="BC992"/>
  <c r="BH992"/>
  <c r="BC993"/>
  <c r="BH993"/>
  <c r="BC994"/>
  <c r="BH994"/>
  <c r="BC995"/>
  <c r="BH995"/>
  <c r="BC996"/>
  <c r="BH996"/>
  <c r="BC997"/>
  <c r="BH997"/>
  <c r="BC998"/>
  <c r="BH998"/>
  <c r="BC999"/>
  <c r="BH999"/>
  <c r="BC1000"/>
  <c r="BH1000"/>
  <c r="BC1001"/>
  <c r="BH1001"/>
  <c r="BC1002"/>
  <c r="BH1002"/>
  <c r="BC1003"/>
  <c r="BH1003"/>
  <c r="BC1004"/>
  <c r="BH1004"/>
  <c r="BC1005"/>
  <c r="BH1005"/>
  <c r="BC1006"/>
  <c r="BH1006"/>
  <c r="BC1007"/>
  <c r="BH1007"/>
  <c r="BC1008"/>
  <c r="BH1008"/>
  <c r="BC1009"/>
  <c r="BH1009"/>
  <c r="BC1010"/>
  <c r="BH1010"/>
  <c r="BC1011"/>
  <c r="BH1011"/>
  <c r="BC1012"/>
  <c r="BH1012"/>
  <c r="BC1013"/>
  <c r="BH1013"/>
  <c r="BC1014"/>
  <c r="BH1014"/>
  <c r="BC1015"/>
  <c r="BH1015"/>
  <c r="BC1016"/>
  <c r="BH1016"/>
  <c r="BC1017"/>
  <c r="BH1017"/>
  <c r="BC1018"/>
  <c r="BH1018"/>
  <c r="BC1019"/>
  <c r="BH1019"/>
  <c r="BC1020"/>
  <c r="BH1020"/>
  <c r="BC1021"/>
  <c r="BH1021"/>
  <c r="BC1022"/>
  <c r="BH1022"/>
  <c r="BC1023"/>
  <c r="BH1023"/>
  <c r="BC1024"/>
  <c r="BH1024"/>
  <c r="BC1025"/>
  <c r="BH1025"/>
  <c r="BC1026"/>
  <c r="BH1026"/>
  <c r="BC1027"/>
  <c r="BH1027"/>
  <c r="BC1028"/>
  <c r="BH1028"/>
  <c r="BC1029"/>
  <c r="BH1029"/>
  <c r="BC1030"/>
  <c r="BH1030"/>
  <c r="BC1031"/>
  <c r="BH1031"/>
  <c r="BC1032"/>
  <c r="BH1032"/>
  <c r="BC1033"/>
  <c r="BH1033"/>
  <c r="BC1034"/>
  <c r="BH1034"/>
  <c r="BC1035"/>
  <c r="BH1035"/>
  <c r="BC1036"/>
  <c r="BH1036"/>
  <c r="BC1037"/>
  <c r="BH1037"/>
  <c r="BC1038"/>
  <c r="BH1038"/>
  <c r="BC1039"/>
  <c r="BH1039"/>
  <c r="BC1040"/>
  <c r="BH1040"/>
  <c r="BC1041"/>
  <c r="BH1041"/>
  <c r="BC1042"/>
  <c r="BH1042"/>
  <c r="BC1043"/>
  <c r="BH1043"/>
  <c r="BC1044"/>
  <c r="BH1044"/>
  <c r="BC1045"/>
  <c r="BH1045"/>
  <c r="BC1046"/>
  <c r="BH1046"/>
  <c r="BC1047"/>
  <c r="BH1047"/>
  <c r="BC1048"/>
  <c r="BH1048"/>
  <c r="BC1049"/>
  <c r="BH1049"/>
  <c r="BC1050"/>
  <c r="BH1050"/>
  <c r="BC1051"/>
  <c r="BH1051"/>
  <c r="BC1052"/>
  <c r="BH1052"/>
  <c r="BC1053"/>
  <c r="BH1053"/>
  <c r="BC1054"/>
  <c r="BH1054"/>
  <c r="BC1055"/>
  <c r="BH1055"/>
  <c r="BC1056"/>
  <c r="BH1056"/>
  <c r="BC1057"/>
  <c r="BH1057"/>
  <c r="BC1058"/>
  <c r="BH1058"/>
  <c r="BC1059"/>
  <c r="BH1059"/>
  <c r="BC1060"/>
  <c r="BH1060"/>
  <c r="BC1061"/>
  <c r="BH1061"/>
  <c r="BC1062"/>
  <c r="BH1062"/>
  <c r="BC1063"/>
  <c r="BH1063"/>
  <c r="BC1064"/>
  <c r="BH1064"/>
  <c r="BC1065"/>
  <c r="BH1065"/>
  <c r="BC1066"/>
  <c r="BH1066"/>
  <c r="BC1067"/>
  <c r="BH1067"/>
  <c r="BC1068"/>
  <c r="BH1068"/>
  <c r="BC1069"/>
  <c r="BH1069"/>
  <c r="BC1070"/>
  <c r="BH1070"/>
  <c r="BC1071"/>
  <c r="BH1071"/>
  <c r="BC1072"/>
  <c r="BH1072"/>
  <c r="BC1073"/>
  <c r="BH1073"/>
  <c r="BC1074"/>
  <c r="BH1074"/>
  <c r="BC1075"/>
  <c r="BH1075"/>
  <c r="BC1076"/>
  <c r="BH1076"/>
  <c r="BC1077"/>
  <c r="BH1077"/>
  <c r="BC1078"/>
  <c r="BH1078"/>
  <c r="BC1079"/>
  <c r="BH1079"/>
  <c r="BC1080"/>
  <c r="BH1080"/>
  <c r="BC1081"/>
  <c r="BH1081"/>
  <c r="BC1082"/>
  <c r="BH1082"/>
  <c r="BC1083"/>
  <c r="BH1083"/>
  <c r="BC1084"/>
  <c r="BH1084"/>
  <c r="BC1085"/>
  <c r="BH1085"/>
  <c r="BC1086"/>
  <c r="BH1086"/>
  <c r="BC1087"/>
  <c r="BH1087"/>
  <c r="BC1088"/>
  <c r="BH1088"/>
  <c r="BC1089"/>
  <c r="BH1089"/>
  <c r="BC1090"/>
  <c r="BH1090"/>
  <c r="BC1091"/>
  <c r="BH1091"/>
  <c r="BC1092"/>
  <c r="BH1092"/>
  <c r="BC1093"/>
  <c r="BH1093"/>
  <c r="BC1094"/>
  <c r="BH1094"/>
  <c r="BC1095"/>
  <c r="BH1095"/>
  <c r="BC1096"/>
  <c r="BH1096"/>
  <c r="BC1097"/>
  <c r="BH1097"/>
  <c r="BC1098"/>
  <c r="BH1098"/>
  <c r="BC1099"/>
  <c r="BH1099"/>
  <c r="BC1100"/>
  <c r="BH1100"/>
  <c r="BC1101"/>
  <c r="BH1101"/>
  <c r="BC1102"/>
  <c r="BH1102"/>
  <c r="BC1103"/>
  <c r="BH1103"/>
  <c r="BC1104"/>
  <c r="BH1104"/>
  <c r="BC1105"/>
  <c r="BH1105"/>
  <c r="BC1106"/>
  <c r="BH1106"/>
  <c r="BC1107"/>
  <c r="BH1107"/>
  <c r="BC1108"/>
  <c r="BH1108"/>
  <c r="BC1109"/>
  <c r="BH1109"/>
  <c r="BC1110"/>
  <c r="BH1110"/>
  <c r="BC1111"/>
  <c r="BH1111"/>
  <c r="BC1112"/>
  <c r="BH1112"/>
  <c r="BC1113"/>
  <c r="BH1113"/>
  <c r="BC1114"/>
  <c r="BH1114"/>
  <c r="BC1115"/>
  <c r="BH1115"/>
  <c r="BC1116"/>
  <c r="BH1116"/>
  <c r="BC1117"/>
  <c r="BH1117"/>
  <c r="BC1118"/>
  <c r="BH1118"/>
  <c r="BC1119"/>
  <c r="BH1119"/>
  <c r="BC1120"/>
  <c r="BH1120"/>
  <c r="BC1121"/>
  <c r="BH1121"/>
  <c r="BC1122"/>
  <c r="BH1122"/>
  <c r="BC1123"/>
  <c r="BH1123"/>
  <c r="BC1124"/>
  <c r="BH1124"/>
  <c r="BC1125"/>
  <c r="BH1125"/>
  <c r="BC1126"/>
  <c r="BH1126"/>
  <c r="BC1127"/>
  <c r="BH1127"/>
  <c r="BC1128"/>
  <c r="BH1128"/>
  <c r="BC1129"/>
  <c r="BH1129"/>
  <c r="BC1130"/>
  <c r="BH1130"/>
  <c r="BC1131"/>
  <c r="BH1131"/>
  <c r="BC1132"/>
  <c r="BH1132"/>
  <c r="BC1133"/>
  <c r="BH1133"/>
  <c r="BC1134"/>
  <c r="BH1134"/>
  <c r="BC1135"/>
  <c r="BH1135"/>
  <c r="BC1136"/>
  <c r="BH1136"/>
  <c r="BC1137"/>
  <c r="BH1137"/>
  <c r="BC1138"/>
  <c r="BH1138"/>
  <c r="BC1139"/>
  <c r="BH1139"/>
  <c r="BC1140"/>
  <c r="BH1140"/>
  <c r="BC1141"/>
  <c r="BH1141"/>
  <c r="BC1142"/>
  <c r="BH1142"/>
  <c r="BC1143"/>
  <c r="BH1143"/>
  <c r="BC1144"/>
  <c r="BH1144"/>
  <c r="BC1145"/>
  <c r="BH1145"/>
  <c r="BC1146"/>
  <c r="BH1146"/>
  <c r="BC1147"/>
  <c r="BH1147"/>
  <c r="BC1148"/>
  <c r="BH1148"/>
  <c r="BC1149"/>
  <c r="BH1149"/>
  <c r="BC1150"/>
  <c r="BH1150"/>
  <c r="BC1151"/>
  <c r="BH1151"/>
  <c r="BC1152"/>
  <c r="BH1152"/>
  <c r="BC1153"/>
  <c r="BH1153"/>
  <c r="BC1154"/>
  <c r="BH1154"/>
  <c r="BC1155"/>
  <c r="BH1155"/>
  <c r="BC1156"/>
  <c r="BH1156"/>
  <c r="BC1157"/>
  <c r="BH1157"/>
  <c r="BC1158"/>
  <c r="BH1158"/>
  <c r="BC1159"/>
  <c r="BH1159"/>
  <c r="BC1160"/>
  <c r="BH1160"/>
  <c r="BC1161"/>
  <c r="BH1161"/>
  <c r="BC1162"/>
  <c r="BH1162"/>
  <c r="BC1163"/>
  <c r="BH1163"/>
  <c r="BC1164"/>
  <c r="BH1164"/>
  <c r="BC1165"/>
  <c r="BH1165"/>
  <c r="BC1166"/>
  <c r="BH1166"/>
  <c r="BC1167"/>
  <c r="BH1167"/>
  <c r="BC1168"/>
  <c r="BH1168"/>
  <c r="BC1169"/>
  <c r="BH1169"/>
  <c r="BC1170"/>
  <c r="BH1170"/>
  <c r="BC1171"/>
  <c r="BH1171"/>
  <c r="BC1172"/>
  <c r="BH1172"/>
  <c r="BC1173"/>
  <c r="BH1173"/>
  <c r="BC1174"/>
  <c r="BH1174"/>
  <c r="BC1175"/>
  <c r="BH1175"/>
  <c r="BC1176"/>
  <c r="BH1176"/>
  <c r="BC1177"/>
  <c r="BH1177"/>
  <c r="BC1178"/>
  <c r="BH1178"/>
  <c r="BC1179"/>
  <c r="BH1179"/>
  <c r="BC1180"/>
  <c r="BH1180"/>
  <c r="BC1181"/>
  <c r="BH1181"/>
  <c r="BC1182"/>
  <c r="BH1182"/>
  <c r="BC1183"/>
  <c r="BH1183"/>
  <c r="BC1184"/>
  <c r="BH1184"/>
  <c r="BC1185"/>
  <c r="BH1185"/>
  <c r="BC1186"/>
  <c r="BH1186"/>
  <c r="BC1187"/>
  <c r="BH1187"/>
  <c r="BC1188"/>
  <c r="BH1188"/>
  <c r="BC1189"/>
  <c r="BH1189"/>
  <c r="BC1190"/>
  <c r="BH1190"/>
  <c r="BC1191"/>
  <c r="BH1191"/>
  <c r="BC1192"/>
  <c r="BH1192"/>
  <c r="BC1193"/>
  <c r="BH1193"/>
  <c r="BC1194"/>
  <c r="BH1194"/>
  <c r="BC1195"/>
  <c r="BH1195"/>
  <c r="BC1196"/>
  <c r="BH1196"/>
  <c r="BC1197"/>
  <c r="BH1197"/>
  <c r="BC1198"/>
  <c r="BH1198"/>
  <c r="BC1199"/>
  <c r="BH1199"/>
  <c r="BC1200"/>
  <c r="BH1200"/>
  <c r="BC1201"/>
  <c r="BH1201"/>
  <c r="BC1202"/>
  <c r="BH1202"/>
  <c r="BC1203"/>
  <c r="BH1203"/>
  <c r="BC1204"/>
  <c r="BH1204"/>
  <c r="BC1205"/>
  <c r="BH1205"/>
  <c r="BC1206"/>
  <c r="BH1206"/>
  <c r="BC1207"/>
  <c r="BH1207"/>
  <c r="BC1208"/>
  <c r="BH1208"/>
  <c r="BC1209"/>
  <c r="BH1209"/>
  <c r="BC1210"/>
  <c r="BH1210"/>
  <c r="BC1211"/>
  <c r="BH1211"/>
  <c r="BC1212"/>
  <c r="BH1212"/>
  <c r="BC1213"/>
  <c r="BH1213"/>
  <c r="BC1214"/>
  <c r="BH1214"/>
  <c r="BC1215"/>
  <c r="BH1215"/>
  <c r="BC1216"/>
  <c r="BH1216"/>
  <c r="BC1217"/>
  <c r="BH1217"/>
  <c r="BC1218"/>
  <c r="BH1218"/>
  <c r="BC1219"/>
  <c r="BH1219"/>
  <c r="BC1220"/>
  <c r="BH1220"/>
  <c r="BC1221"/>
  <c r="BH1221"/>
  <c r="J1" i="4"/>
  <c r="Y1" s="1"/>
  <c r="AR1"/>
  <c r="AR2" s="1"/>
  <c r="AS5"/>
  <c r="AX13"/>
  <c r="BD2"/>
  <c r="BA3"/>
  <c r="BA4"/>
  <c r="BB4"/>
  <c r="BD5"/>
  <c r="BF5" s="1"/>
  <c r="BE5"/>
  <c r="BG5" s="1"/>
  <c r="BH5"/>
  <c r="AV6"/>
  <c r="AV8" s="1"/>
  <c r="BH6"/>
  <c r="AB7"/>
  <c r="AQ7"/>
  <c r="AT7" s="1"/>
  <c r="AR7"/>
  <c r="AU7"/>
  <c r="AZ7"/>
  <c r="AQ8"/>
  <c r="AT8" s="1"/>
  <c r="AR8"/>
  <c r="AS8"/>
  <c r="AS9" s="1"/>
  <c r="AS10" s="1"/>
  <c r="AS11" s="1"/>
  <c r="AS12" s="1"/>
  <c r="AS13" s="1"/>
  <c r="AS14" s="1"/>
  <c r="AS15" s="1"/>
  <c r="AS16" s="1"/>
  <c r="AS17" s="1"/>
  <c r="AZ8"/>
  <c r="AQ9"/>
  <c r="AR9"/>
  <c r="AT9"/>
  <c r="AZ9"/>
  <c r="BD9"/>
  <c r="BF9"/>
  <c r="BG9"/>
  <c r="BG10" s="1"/>
  <c r="AQ10"/>
  <c r="AT10" s="1"/>
  <c r="AR10"/>
  <c r="AY10"/>
  <c r="AZ10"/>
  <c r="BD10"/>
  <c r="BE10"/>
  <c r="BF10"/>
  <c r="AB11"/>
  <c r="AQ11"/>
  <c r="AR11"/>
  <c r="AT11"/>
  <c r="AZ11"/>
  <c r="BD11"/>
  <c r="BE11"/>
  <c r="BF11"/>
  <c r="BG11"/>
  <c r="AQ12"/>
  <c r="AT12" s="1"/>
  <c r="AR12"/>
  <c r="AZ12"/>
  <c r="AB13"/>
  <c r="AQ13"/>
  <c r="AR13"/>
  <c r="AT13"/>
  <c r="AZ13"/>
  <c r="AQ14"/>
  <c r="AT14" s="1"/>
  <c r="AR14"/>
  <c r="AZ14"/>
  <c r="J15"/>
  <c r="AQ15"/>
  <c r="AT15" s="1"/>
  <c r="AR15"/>
  <c r="AZ15"/>
  <c r="AQ16"/>
  <c r="AR16"/>
  <c r="AT16"/>
  <c r="AX16"/>
  <c r="AZ16"/>
  <c r="AQ17"/>
  <c r="AR17"/>
  <c r="AT17"/>
  <c r="AZ17"/>
  <c r="AR18"/>
  <c r="AZ18"/>
  <c r="AR19"/>
  <c r="AZ19"/>
  <c r="AR20"/>
  <c r="AS20"/>
  <c r="AS21" s="1"/>
  <c r="AS22" s="1"/>
  <c r="AS23" s="1"/>
  <c r="AS24" s="1"/>
  <c r="AR21"/>
  <c r="AV21"/>
  <c r="AU21"/>
  <c r="AW21"/>
  <c r="AX21"/>
  <c r="AY21"/>
  <c r="AZ21"/>
  <c r="BB21" s="1"/>
  <c r="BA21"/>
  <c r="BC21"/>
  <c r="J22"/>
  <c r="AR22"/>
  <c r="AV22"/>
  <c r="AV23" s="1"/>
  <c r="AU22"/>
  <c r="AW22"/>
  <c r="AX22"/>
  <c r="AY22"/>
  <c r="AZ22"/>
  <c r="BB22" s="1"/>
  <c r="BA22"/>
  <c r="BC22"/>
  <c r="AR23"/>
  <c r="AX23"/>
  <c r="AY23"/>
  <c r="BA23" s="1"/>
  <c r="BC23"/>
  <c r="AR24"/>
  <c r="AV24"/>
  <c r="AX24"/>
  <c r="BC24"/>
  <c r="AR25"/>
  <c r="AS25"/>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X25"/>
  <c r="BC25"/>
  <c r="AR26"/>
  <c r="AX26"/>
  <c r="BC26"/>
  <c r="AR27"/>
  <c r="AX27"/>
  <c r="BC27"/>
  <c r="AR28"/>
  <c r="AX28"/>
  <c r="BC28"/>
  <c r="T29"/>
  <c r="U29"/>
  <c r="AR29"/>
  <c r="AX29"/>
  <c r="BC29"/>
  <c r="AR30"/>
  <c r="AX30"/>
  <c r="BC30"/>
  <c r="AR31"/>
  <c r="AX31"/>
  <c r="BC31"/>
  <c r="AR32"/>
  <c r="AX32"/>
  <c r="BC32"/>
  <c r="AR33"/>
  <c r="AX33"/>
  <c r="BC33"/>
  <c r="AR34"/>
  <c r="AX34"/>
  <c r="BC34"/>
  <c r="AR35"/>
  <c r="AX35"/>
  <c r="BC35"/>
  <c r="AR36"/>
  <c r="AX36"/>
  <c r="BC36"/>
  <c r="AR37"/>
  <c r="AX37"/>
  <c r="BC37"/>
  <c r="AR38"/>
  <c r="AX38"/>
  <c r="BC38"/>
  <c r="AR39"/>
  <c r="AX39"/>
  <c r="BC39"/>
  <c r="AR40"/>
  <c r="AX40"/>
  <c r="BC40"/>
  <c r="AR41"/>
  <c r="AX41"/>
  <c r="BC41"/>
  <c r="AR42"/>
  <c r="AX42"/>
  <c r="BC42"/>
  <c r="AR43"/>
  <c r="AX43"/>
  <c r="BC43"/>
  <c r="AR44"/>
  <c r="AX44"/>
  <c r="BC44"/>
  <c r="AR45"/>
  <c r="AX45"/>
  <c r="BC45"/>
  <c r="AR46"/>
  <c r="AX46"/>
  <c r="BC46"/>
  <c r="AR47"/>
  <c r="AX47"/>
  <c r="BC47"/>
  <c r="AR48"/>
  <c r="AX48"/>
  <c r="BC48"/>
  <c r="AR49"/>
  <c r="AX49"/>
  <c r="BC49"/>
  <c r="AR50"/>
  <c r="AX50"/>
  <c r="BC50"/>
  <c r="AR51"/>
  <c r="AX51"/>
  <c r="BC51"/>
  <c r="AR52"/>
  <c r="AX52"/>
  <c r="BC52"/>
  <c r="AR53"/>
  <c r="AX53"/>
  <c r="BC53"/>
  <c r="AR54"/>
  <c r="AX54"/>
  <c r="BC54"/>
  <c r="AR55"/>
  <c r="AX55"/>
  <c r="BC55"/>
  <c r="AR56"/>
  <c r="AX56"/>
  <c r="BC56"/>
  <c r="AR57"/>
  <c r="AX57"/>
  <c r="BC57"/>
  <c r="AR58"/>
  <c r="AX58"/>
  <c r="BC58"/>
  <c r="AR59"/>
  <c r="AX59"/>
  <c r="BC59"/>
  <c r="AR60"/>
  <c r="AX60"/>
  <c r="BC60"/>
  <c r="AR61"/>
  <c r="AX61"/>
  <c r="BC61"/>
  <c r="AR62"/>
  <c r="AX62"/>
  <c r="BC62"/>
  <c r="AR63"/>
  <c r="AX63"/>
  <c r="BC63"/>
  <c r="AR64"/>
  <c r="AX64"/>
  <c r="BC64"/>
  <c r="AR65"/>
  <c r="AX65"/>
  <c r="BC65"/>
  <c r="AR66"/>
  <c r="AX66"/>
  <c r="BC66"/>
  <c r="AR67"/>
  <c r="AX67"/>
  <c r="BC67"/>
  <c r="AR68"/>
  <c r="AX68"/>
  <c r="BC68"/>
  <c r="AR69"/>
  <c r="AX69"/>
  <c r="BC69"/>
  <c r="AR70"/>
  <c r="AX70"/>
  <c r="BC70"/>
  <c r="AX71"/>
  <c r="BC71"/>
  <c r="AX72"/>
  <c r="BC72"/>
  <c r="AX73"/>
  <c r="BC73"/>
  <c r="AX74"/>
  <c r="BC74"/>
  <c r="AX75"/>
  <c r="BC75"/>
  <c r="AX76"/>
  <c r="BC76"/>
  <c r="AX77"/>
  <c r="BC77"/>
  <c r="AX78"/>
  <c r="BC78"/>
  <c r="AX79"/>
  <c r="BC79"/>
  <c r="AX80"/>
  <c r="BC80"/>
  <c r="AX81"/>
  <c r="BC81"/>
  <c r="AX82"/>
  <c r="BC82"/>
  <c r="AX83"/>
  <c r="BC83"/>
  <c r="AX84"/>
  <c r="BC84"/>
  <c r="AX85"/>
  <c r="BC85"/>
  <c r="AX86"/>
  <c r="BC86"/>
  <c r="AX87"/>
  <c r="BC87"/>
  <c r="AX88"/>
  <c r="BC88"/>
  <c r="AX89"/>
  <c r="BC89"/>
  <c r="AX90"/>
  <c r="BC90"/>
  <c r="AX91"/>
  <c r="BC91"/>
  <c r="AX92"/>
  <c r="BC92"/>
  <c r="AX93"/>
  <c r="BC93"/>
  <c r="AX94"/>
  <c r="BC94"/>
  <c r="AX95"/>
  <c r="BC95"/>
  <c r="AX96"/>
  <c r="BC96"/>
  <c r="AX97"/>
  <c r="BC97"/>
  <c r="AX98"/>
  <c r="BC98"/>
  <c r="AX99"/>
  <c r="BC99"/>
  <c r="AX100"/>
  <c r="BC100"/>
  <c r="AX101"/>
  <c r="BC101"/>
  <c r="AX102"/>
  <c r="BC102"/>
  <c r="AX103"/>
  <c r="BC103"/>
  <c r="AX104"/>
  <c r="BC104"/>
  <c r="AX105"/>
  <c r="BC105"/>
  <c r="AX106"/>
  <c r="BC106"/>
  <c r="AX107"/>
  <c r="BC107"/>
  <c r="AX108"/>
  <c r="BC108"/>
  <c r="AX109"/>
  <c r="BC109"/>
  <c r="AX110"/>
  <c r="BC110"/>
  <c r="AX111"/>
  <c r="BC111"/>
  <c r="AX112"/>
  <c r="BC112"/>
  <c r="AX113"/>
  <c r="BC113"/>
  <c r="AX114"/>
  <c r="BC114"/>
  <c r="AX115"/>
  <c r="BC115"/>
  <c r="AX116"/>
  <c r="BC116"/>
  <c r="AX117"/>
  <c r="BC117"/>
  <c r="AX118"/>
  <c r="BC118"/>
  <c r="AX119"/>
  <c r="BC119"/>
  <c r="AX120"/>
  <c r="BC120"/>
  <c r="AX121"/>
  <c r="BC121"/>
  <c r="AX122"/>
  <c r="BC122"/>
  <c r="AX123"/>
  <c r="BC123"/>
  <c r="AX124"/>
  <c r="BC124"/>
  <c r="AX125"/>
  <c r="BC125"/>
  <c r="AX126"/>
  <c r="BC126"/>
  <c r="AX127"/>
  <c r="BC127"/>
  <c r="AX128"/>
  <c r="BC128"/>
  <c r="AX129"/>
  <c r="BC129"/>
  <c r="AX130"/>
  <c r="BC130"/>
  <c r="AX131"/>
  <c r="BC131"/>
  <c r="AX132"/>
  <c r="BC132"/>
  <c r="AX133"/>
  <c r="BC133"/>
  <c r="AX134"/>
  <c r="BC134"/>
  <c r="AX135"/>
  <c r="BC135"/>
  <c r="AX136"/>
  <c r="BC136"/>
  <c r="AX137"/>
  <c r="BC137"/>
  <c r="AX138"/>
  <c r="BC138"/>
  <c r="AX139"/>
  <c r="BC139"/>
  <c r="AX140"/>
  <c r="BC140"/>
  <c r="AX141"/>
  <c r="BC141"/>
  <c r="AX142"/>
  <c r="BC142"/>
  <c r="AX143"/>
  <c r="BC143"/>
  <c r="AX144"/>
  <c r="BC144"/>
  <c r="AX145"/>
  <c r="BC145"/>
  <c r="AX146"/>
  <c r="BC146"/>
  <c r="AX147"/>
  <c r="BC147"/>
  <c r="AX148"/>
  <c r="BC148"/>
  <c r="AX149"/>
  <c r="BC149"/>
  <c r="AX150"/>
  <c r="BC150"/>
  <c r="AX151"/>
  <c r="BC151"/>
  <c r="AX152"/>
  <c r="BC152"/>
  <c r="AX153"/>
  <c r="BC153"/>
  <c r="AX154"/>
  <c r="BC154"/>
  <c r="AX155"/>
  <c r="BC155"/>
  <c r="AX156"/>
  <c r="BC156"/>
  <c r="AX157"/>
  <c r="BC157"/>
  <c r="AX158"/>
  <c r="BC158"/>
  <c r="AX159"/>
  <c r="BC159"/>
  <c r="AX160"/>
  <c r="BC160"/>
  <c r="AX161"/>
  <c r="BC161"/>
  <c r="AX162"/>
  <c r="BC162"/>
  <c r="AX163"/>
  <c r="BC163"/>
  <c r="AX164"/>
  <c r="BC164"/>
  <c r="AX165"/>
  <c r="BC165"/>
  <c r="AX166"/>
  <c r="BC166"/>
  <c r="AX167"/>
  <c r="BC167"/>
  <c r="AX168"/>
  <c r="BC168"/>
  <c r="AX169"/>
  <c r="BC169"/>
  <c r="AX170"/>
  <c r="BC170"/>
  <c r="AX171"/>
  <c r="BC171"/>
  <c r="AX172"/>
  <c r="BC172"/>
  <c r="AX173"/>
  <c r="BC173"/>
  <c r="AX174"/>
  <c r="BC174"/>
  <c r="AX175"/>
  <c r="BC175"/>
  <c r="AX176"/>
  <c r="BC176"/>
  <c r="AX177"/>
  <c r="BC177"/>
  <c r="AX178"/>
  <c r="BC178"/>
  <c r="AX179"/>
  <c r="BC179"/>
  <c r="AX180"/>
  <c r="BC180"/>
  <c r="AX181"/>
  <c r="BC181"/>
  <c r="AX182"/>
  <c r="BC182"/>
  <c r="AX183"/>
  <c r="BC183"/>
  <c r="AX184"/>
  <c r="BC184"/>
  <c r="AX185"/>
  <c r="BC185"/>
  <c r="AX186"/>
  <c r="BC186"/>
  <c r="AX187"/>
  <c r="BC187"/>
  <c r="AX188"/>
  <c r="BC188"/>
  <c r="AX189"/>
  <c r="BC189"/>
  <c r="AX190"/>
  <c r="BC190"/>
  <c r="AX191"/>
  <c r="BC191"/>
  <c r="AX192"/>
  <c r="BC192"/>
  <c r="AX193"/>
  <c r="BC193"/>
  <c r="AX194"/>
  <c r="BC194"/>
  <c r="AX195"/>
  <c r="BC195"/>
  <c r="AX196"/>
  <c r="BC196"/>
  <c r="AX197"/>
  <c r="BC197"/>
  <c r="AX198"/>
  <c r="BC198"/>
  <c r="AX199"/>
  <c r="BC199"/>
  <c r="AX200"/>
  <c r="BC200"/>
  <c r="AX201"/>
  <c r="BC201"/>
  <c r="AX202"/>
  <c r="BC202"/>
  <c r="AX203"/>
  <c r="BC203"/>
  <c r="AX204"/>
  <c r="BC204"/>
  <c r="AX205"/>
  <c r="BC205"/>
  <c r="AX206"/>
  <c r="BC206"/>
  <c r="AX207"/>
  <c r="BC207"/>
  <c r="AX208"/>
  <c r="BC208"/>
  <c r="AX209"/>
  <c r="BC209"/>
  <c r="AX210"/>
  <c r="BC210"/>
  <c r="AX211"/>
  <c r="BC211"/>
  <c r="AX212"/>
  <c r="BC212"/>
  <c r="AX213"/>
  <c r="BC213"/>
  <c r="AX214"/>
  <c r="BC214"/>
  <c r="AX215"/>
  <c r="BC215"/>
  <c r="AX216"/>
  <c r="BC216"/>
  <c r="AX217"/>
  <c r="BC217"/>
  <c r="AX218"/>
  <c r="BC218"/>
  <c r="AX219"/>
  <c r="BC219"/>
  <c r="AX220"/>
  <c r="BC220"/>
  <c r="AX221"/>
  <c r="BC221"/>
  <c r="AX222"/>
  <c r="BC222"/>
  <c r="AX223"/>
  <c r="BC223"/>
  <c r="AX224"/>
  <c r="BC224"/>
  <c r="AX225"/>
  <c r="BC225"/>
  <c r="AX226"/>
  <c r="BC226"/>
  <c r="AX227"/>
  <c r="BC227"/>
  <c r="AX228"/>
  <c r="BC228"/>
  <c r="AX229"/>
  <c r="BC229"/>
  <c r="AX230"/>
  <c r="BC230"/>
  <c r="AX231"/>
  <c r="BC231"/>
  <c r="AX232"/>
  <c r="BC232"/>
  <c r="AX233"/>
  <c r="BC233"/>
  <c r="AX234"/>
  <c r="BC234"/>
  <c r="AX235"/>
  <c r="BC235"/>
  <c r="AX236"/>
  <c r="BC236"/>
  <c r="AX237"/>
  <c r="BC237"/>
  <c r="AX238"/>
  <c r="BC238"/>
  <c r="AX239"/>
  <c r="BC239"/>
  <c r="AX240"/>
  <c r="BC240"/>
  <c r="AX241"/>
  <c r="BC241"/>
  <c r="AX242"/>
  <c r="BC242"/>
  <c r="AX243"/>
  <c r="BC243"/>
  <c r="AX244"/>
  <c r="BC244"/>
  <c r="AX245"/>
  <c r="BC245"/>
  <c r="AX246"/>
  <c r="BC246"/>
  <c r="AX247"/>
  <c r="BC247"/>
  <c r="AX248"/>
  <c r="BC248"/>
  <c r="AX249"/>
  <c r="BC249"/>
  <c r="AX250"/>
  <c r="BC250"/>
  <c r="AX251"/>
  <c r="BC251"/>
  <c r="AX252"/>
  <c r="BC252"/>
  <c r="AX253"/>
  <c r="BC253"/>
  <c r="AX254"/>
  <c r="BC254"/>
  <c r="AX255"/>
  <c r="BC255"/>
  <c r="AX256"/>
  <c r="BC256"/>
  <c r="AX257"/>
  <c r="BC257"/>
  <c r="AX258"/>
  <c r="BC258"/>
  <c r="AX259"/>
  <c r="BC259"/>
  <c r="AX260"/>
  <c r="BC260"/>
  <c r="AX261"/>
  <c r="BC261"/>
  <c r="AX262"/>
  <c r="BC262"/>
  <c r="AX263"/>
  <c r="BC263"/>
  <c r="AX264"/>
  <c r="BC264"/>
  <c r="AX265"/>
  <c r="BC265"/>
  <c r="AX266"/>
  <c r="BC266"/>
  <c r="AX267"/>
  <c r="BC267"/>
  <c r="AX268"/>
  <c r="BC268"/>
  <c r="AX269"/>
  <c r="BC269"/>
  <c r="AX270"/>
  <c r="BC270"/>
  <c r="AX271"/>
  <c r="BC271"/>
  <c r="AX272"/>
  <c r="BC272"/>
  <c r="AX273"/>
  <c r="BC273"/>
  <c r="AX274"/>
  <c r="BC274"/>
  <c r="AX275"/>
  <c r="BC275"/>
  <c r="AX276"/>
  <c r="BC276"/>
  <c r="AX277"/>
  <c r="BC277"/>
  <c r="AX278"/>
  <c r="BC278"/>
  <c r="AX279"/>
  <c r="BC279"/>
  <c r="AX280"/>
  <c r="BC280"/>
  <c r="AX281"/>
  <c r="BC281"/>
  <c r="AX282"/>
  <c r="BC282"/>
  <c r="AX283"/>
  <c r="BC283"/>
  <c r="AX284"/>
  <c r="BC284"/>
  <c r="AX285"/>
  <c r="BC285"/>
  <c r="AX286"/>
  <c r="BC286"/>
  <c r="AX287"/>
  <c r="BC287"/>
  <c r="AX288"/>
  <c r="BC288"/>
  <c r="AX289"/>
  <c r="BC289"/>
  <c r="AX290"/>
  <c r="BC290"/>
  <c r="AX291"/>
  <c r="BC291"/>
  <c r="AX292"/>
  <c r="BC292"/>
  <c r="AX293"/>
  <c r="BC293"/>
  <c r="AX294"/>
  <c r="BC294"/>
  <c r="AX295"/>
  <c r="BC295"/>
  <c r="AX296"/>
  <c r="BC296"/>
  <c r="AX297"/>
  <c r="BC297"/>
  <c r="AX298"/>
  <c r="BC298"/>
  <c r="AX299"/>
  <c r="BC299"/>
  <c r="AX300"/>
  <c r="BC300"/>
  <c r="AX301"/>
  <c r="BC301"/>
  <c r="AX302"/>
  <c r="BC302"/>
  <c r="AX303"/>
  <c r="BC303"/>
  <c r="AX304"/>
  <c r="BC304"/>
  <c r="AX305"/>
  <c r="BC305"/>
  <c r="AX306"/>
  <c r="BC306"/>
  <c r="AX307"/>
  <c r="BC307"/>
  <c r="AX308"/>
  <c r="BC308"/>
  <c r="AX309"/>
  <c r="BC309"/>
  <c r="AX310"/>
  <c r="BC310"/>
  <c r="AX311"/>
  <c r="BC311"/>
  <c r="AX312"/>
  <c r="BC312"/>
  <c r="AX313"/>
  <c r="BC313"/>
  <c r="AX314"/>
  <c r="BC314"/>
  <c r="AX315"/>
  <c r="BC315"/>
  <c r="AX316"/>
  <c r="BC316"/>
  <c r="AX317"/>
  <c r="BC317"/>
  <c r="AX318"/>
  <c r="BC318"/>
  <c r="AX319"/>
  <c r="BC319"/>
  <c r="AX320"/>
  <c r="BC320"/>
  <c r="AX321"/>
  <c r="BC321"/>
  <c r="AX322"/>
  <c r="BC322"/>
  <c r="AX323"/>
  <c r="BC323"/>
  <c r="AX324"/>
  <c r="BC324"/>
  <c r="AX325"/>
  <c r="BC325"/>
  <c r="AX326"/>
  <c r="BC326"/>
  <c r="AX327"/>
  <c r="BC327"/>
  <c r="AX328"/>
  <c r="BC328"/>
  <c r="AX329"/>
  <c r="BC329"/>
  <c r="AX330"/>
  <c r="BC330"/>
  <c r="AX331"/>
  <c r="BC331"/>
  <c r="AX332"/>
  <c r="BC332"/>
  <c r="AX333"/>
  <c r="BC333"/>
  <c r="AX334"/>
  <c r="BC334"/>
  <c r="AX335"/>
  <c r="BC335"/>
  <c r="AX336"/>
  <c r="BC336"/>
  <c r="AX337"/>
  <c r="BC337"/>
  <c r="AX338"/>
  <c r="BC338"/>
  <c r="AX339"/>
  <c r="BC339"/>
  <c r="AX340"/>
  <c r="BC340"/>
  <c r="AX341"/>
  <c r="BC341"/>
  <c r="AX342"/>
  <c r="BC342"/>
  <c r="AX343"/>
  <c r="BC343"/>
  <c r="AX344"/>
  <c r="BC344"/>
  <c r="AX345"/>
  <c r="BC345"/>
  <c r="AX346"/>
  <c r="BC346"/>
  <c r="AX347"/>
  <c r="BC347"/>
  <c r="AX348"/>
  <c r="BC348"/>
  <c r="AX349"/>
  <c r="BC349"/>
  <c r="AX350"/>
  <c r="BC350"/>
  <c r="AX351"/>
  <c r="BC351"/>
  <c r="AX352"/>
  <c r="BC352"/>
  <c r="AX353"/>
  <c r="BC353"/>
  <c r="AX354"/>
  <c r="BC354"/>
  <c r="AX355"/>
  <c r="BC355"/>
  <c r="AX356"/>
  <c r="BC356"/>
  <c r="AX357"/>
  <c r="BC357"/>
  <c r="AX358"/>
  <c r="BC358"/>
  <c r="AX359"/>
  <c r="BC359"/>
  <c r="AX360"/>
  <c r="BC360"/>
  <c r="AX361"/>
  <c r="BC361"/>
  <c r="AX362"/>
  <c r="BC362"/>
  <c r="AX363"/>
  <c r="BC363"/>
  <c r="AX364"/>
  <c r="BC364"/>
  <c r="AX365"/>
  <c r="BC365"/>
  <c r="AX366"/>
  <c r="BC366"/>
  <c r="AX367"/>
  <c r="BC367"/>
  <c r="AX368"/>
  <c r="BC368"/>
  <c r="AX369"/>
  <c r="BC369"/>
  <c r="AX370"/>
  <c r="BC370"/>
  <c r="AX371"/>
  <c r="BC371"/>
  <c r="AX372"/>
  <c r="BC372"/>
  <c r="AX373"/>
  <c r="BC373"/>
  <c r="AX374"/>
  <c r="BC374"/>
  <c r="AX375"/>
  <c r="BC375"/>
  <c r="AX376"/>
  <c r="BC376"/>
  <c r="AX377"/>
  <c r="BC377"/>
  <c r="AX378"/>
  <c r="BC378"/>
  <c r="AX379"/>
  <c r="BC379"/>
  <c r="AX380"/>
  <c r="BC380"/>
  <c r="AX381"/>
  <c r="BC381"/>
  <c r="AX382"/>
  <c r="BC382"/>
  <c r="AX383"/>
  <c r="BC383"/>
  <c r="AX384"/>
  <c r="BC384"/>
  <c r="AX385"/>
  <c r="BC385"/>
  <c r="AX386"/>
  <c r="BC386"/>
  <c r="AX387"/>
  <c r="BC387"/>
  <c r="AX388"/>
  <c r="BC388"/>
  <c r="AX389"/>
  <c r="BC389"/>
  <c r="AX390"/>
  <c r="BC390"/>
  <c r="AX391"/>
  <c r="BC391"/>
  <c r="AX392"/>
  <c r="BC392"/>
  <c r="AX393"/>
  <c r="BC393"/>
  <c r="AX394"/>
  <c r="BC394"/>
  <c r="AX395"/>
  <c r="BC395"/>
  <c r="AX396"/>
  <c r="BC396"/>
  <c r="AX397"/>
  <c r="BC397"/>
  <c r="AX398"/>
  <c r="BC398"/>
  <c r="AX399"/>
  <c r="BC399"/>
  <c r="AX400"/>
  <c r="BC400"/>
  <c r="AX401"/>
  <c r="BC401"/>
  <c r="AX402"/>
  <c r="BC402"/>
  <c r="AX403"/>
  <c r="BC403"/>
  <c r="AX404"/>
  <c r="BC404"/>
  <c r="AX405"/>
  <c r="BC405"/>
  <c r="AX406"/>
  <c r="BC406"/>
  <c r="AX407"/>
  <c r="BC407"/>
  <c r="AX408"/>
  <c r="BC408"/>
  <c r="AX409"/>
  <c r="BC409"/>
  <c r="AX410"/>
  <c r="BC410"/>
  <c r="AX411"/>
  <c r="BC411"/>
  <c r="AX412"/>
  <c r="BC412"/>
  <c r="AX413"/>
  <c r="BC413"/>
  <c r="AX414"/>
  <c r="BC414"/>
  <c r="AX415"/>
  <c r="BC415"/>
  <c r="AX416"/>
  <c r="BC416"/>
  <c r="AX417"/>
  <c r="BC417"/>
  <c r="AX418"/>
  <c r="BC418"/>
  <c r="AX419"/>
  <c r="BC419"/>
  <c r="AX420"/>
  <c r="BC420"/>
  <c r="AX421"/>
  <c r="BC421"/>
  <c r="AX422"/>
  <c r="BC422"/>
  <c r="AX423"/>
  <c r="BC423"/>
  <c r="AX424"/>
  <c r="BC424"/>
  <c r="AX425"/>
  <c r="BC425"/>
  <c r="AX426"/>
  <c r="BC426"/>
  <c r="AX427"/>
  <c r="BC427"/>
  <c r="AX428"/>
  <c r="BC428"/>
  <c r="AX429"/>
  <c r="BC429"/>
  <c r="AX430"/>
  <c r="BC430"/>
  <c r="AX431"/>
  <c r="BC431"/>
  <c r="AX432"/>
  <c r="BC432"/>
  <c r="AX433"/>
  <c r="BC433"/>
  <c r="AX434"/>
  <c r="BC434"/>
  <c r="AX435"/>
  <c r="BC435"/>
  <c r="AX436"/>
  <c r="BC436"/>
  <c r="AX437"/>
  <c r="BC437"/>
  <c r="AX438"/>
  <c r="BC438"/>
  <c r="AX439"/>
  <c r="BC439"/>
  <c r="AX440"/>
  <c r="BC440"/>
  <c r="AX441"/>
  <c r="BC441"/>
  <c r="AX442"/>
  <c r="BC442"/>
  <c r="AX443"/>
  <c r="BC443"/>
  <c r="AX444"/>
  <c r="BC444"/>
  <c r="AX445"/>
  <c r="BC445"/>
  <c r="AX446"/>
  <c r="BC446"/>
  <c r="AX447"/>
  <c r="BC447"/>
  <c r="AX448"/>
  <c r="BC448"/>
  <c r="AX449"/>
  <c r="BC449"/>
  <c r="AX450"/>
  <c r="BC450"/>
  <c r="AX451"/>
  <c r="BC451"/>
  <c r="AX452"/>
  <c r="BC452"/>
  <c r="AX453"/>
  <c r="BC453"/>
  <c r="AX454"/>
  <c r="BC454"/>
  <c r="AX455"/>
  <c r="BC455"/>
  <c r="AX456"/>
  <c r="BC456"/>
  <c r="AX457"/>
  <c r="BC457"/>
  <c r="AX458"/>
  <c r="BC458"/>
  <c r="AX459"/>
  <c r="BC459"/>
  <c r="AX460"/>
  <c r="BC460"/>
  <c r="AX461"/>
  <c r="BC461"/>
  <c r="AX462"/>
  <c r="BC462"/>
  <c r="AX463"/>
  <c r="BC463"/>
  <c r="AX464"/>
  <c r="BC464"/>
  <c r="AX465"/>
  <c r="BC465"/>
  <c r="AX466"/>
  <c r="BC466"/>
  <c r="AX467"/>
  <c r="BC467"/>
  <c r="AX468"/>
  <c r="BC468"/>
  <c r="AX469"/>
  <c r="BC469"/>
  <c r="AX470"/>
  <c r="BC470"/>
  <c r="AX471"/>
  <c r="BC471"/>
  <c r="AX472"/>
  <c r="BC472"/>
  <c r="AX473"/>
  <c r="BC473"/>
  <c r="AX474"/>
  <c r="BC474"/>
  <c r="AX475"/>
  <c r="BC475"/>
  <c r="AX476"/>
  <c r="BC476"/>
  <c r="AX477"/>
  <c r="BC477"/>
  <c r="AX478"/>
  <c r="BC478"/>
  <c r="AX479"/>
  <c r="BC479"/>
  <c r="AX480"/>
  <c r="BC480"/>
  <c r="AX481"/>
  <c r="BC481"/>
  <c r="AX482"/>
  <c r="BC482"/>
  <c r="AX483"/>
  <c r="BC483"/>
  <c r="AX484"/>
  <c r="BC484"/>
  <c r="AX485"/>
  <c r="BC485"/>
  <c r="AX486"/>
  <c r="BC486"/>
  <c r="AX487"/>
  <c r="BC487"/>
  <c r="AX488"/>
  <c r="BC488"/>
  <c r="AX489"/>
  <c r="BC489"/>
  <c r="AX490"/>
  <c r="BC490"/>
  <c r="AX491"/>
  <c r="BC491"/>
  <c r="AX492"/>
  <c r="BC492"/>
  <c r="AX493"/>
  <c r="BC493"/>
  <c r="AX494"/>
  <c r="BC494"/>
  <c r="AX495"/>
  <c r="BC495"/>
  <c r="AX496"/>
  <c r="BC496"/>
  <c r="AX497"/>
  <c r="BC497"/>
  <c r="AX498"/>
  <c r="BC498"/>
  <c r="AX499"/>
  <c r="BC499"/>
  <c r="AX500"/>
  <c r="BC500"/>
  <c r="AX501"/>
  <c r="BC501"/>
  <c r="AX502"/>
  <c r="BC502"/>
  <c r="AX503"/>
  <c r="BC503"/>
  <c r="AX504"/>
  <c r="BC504"/>
  <c r="AX505"/>
  <c r="BC505"/>
  <c r="AX506"/>
  <c r="BC506"/>
  <c r="AX507"/>
  <c r="BC507"/>
  <c r="AX508"/>
  <c r="BC508"/>
  <c r="AX509"/>
  <c r="BC509"/>
  <c r="AX510"/>
  <c r="BC510"/>
  <c r="AX511"/>
  <c r="BC511"/>
  <c r="AX512"/>
  <c r="BC512"/>
  <c r="AX513"/>
  <c r="BC513"/>
  <c r="AX514"/>
  <c r="BC514"/>
  <c r="AX515"/>
  <c r="BC515"/>
  <c r="AX516"/>
  <c r="BC516"/>
  <c r="AX517"/>
  <c r="BC517"/>
  <c r="AX518"/>
  <c r="BC518"/>
  <c r="AX519"/>
  <c r="BC519"/>
  <c r="AX520"/>
  <c r="BC520"/>
  <c r="AX521"/>
  <c r="BC521"/>
  <c r="AX522"/>
  <c r="BC522"/>
  <c r="AX523"/>
  <c r="BC523"/>
  <c r="AX524"/>
  <c r="BC524"/>
  <c r="AX525"/>
  <c r="BC525"/>
  <c r="AX526"/>
  <c r="BC526"/>
  <c r="AX527"/>
  <c r="BC527"/>
  <c r="AX528"/>
  <c r="BC528"/>
  <c r="AX529"/>
  <c r="BC529"/>
  <c r="AX530"/>
  <c r="BC530"/>
  <c r="AX531"/>
  <c r="BC531"/>
  <c r="AX532"/>
  <c r="BC532"/>
  <c r="AX533"/>
  <c r="BC533"/>
  <c r="AX534"/>
  <c r="BC534"/>
  <c r="AX535"/>
  <c r="BC535"/>
  <c r="AX536"/>
  <c r="BC536"/>
  <c r="AX537"/>
  <c r="BC537"/>
  <c r="AX538"/>
  <c r="BC538"/>
  <c r="AX539"/>
  <c r="BC539"/>
  <c r="AX540"/>
  <c r="BC540"/>
  <c r="AX541"/>
  <c r="BC541"/>
  <c r="AX542"/>
  <c r="BC542"/>
  <c r="AX543"/>
  <c r="BC543"/>
  <c r="AX544"/>
  <c r="BC544"/>
  <c r="AX545"/>
  <c r="BC545"/>
  <c r="AX546"/>
  <c r="BC546"/>
  <c r="AX547"/>
  <c r="BC547"/>
  <c r="AX548"/>
  <c r="BC548"/>
  <c r="AX549"/>
  <c r="BC549"/>
  <c r="AX550"/>
  <c r="BC550"/>
  <c r="AX551"/>
  <c r="BC551"/>
  <c r="AX552"/>
  <c r="BC552"/>
  <c r="AX553"/>
  <c r="BC553"/>
  <c r="AX554"/>
  <c r="BC554"/>
  <c r="AX555"/>
  <c r="BC555"/>
  <c r="AX556"/>
  <c r="BC556"/>
  <c r="AX557"/>
  <c r="BC557"/>
  <c r="AX558"/>
  <c r="BC558"/>
  <c r="AX559"/>
  <c r="BC559"/>
  <c r="AX560"/>
  <c r="BC560"/>
  <c r="AX561"/>
  <c r="BC561"/>
  <c r="AX562"/>
  <c r="BC562"/>
  <c r="AX563"/>
  <c r="BC563"/>
  <c r="AX564"/>
  <c r="BC564"/>
  <c r="AX565"/>
  <c r="BC565"/>
  <c r="AX566"/>
  <c r="BC566"/>
  <c r="AX567"/>
  <c r="BC567"/>
  <c r="AX568"/>
  <c r="BC568"/>
  <c r="AX569"/>
  <c r="BC569"/>
  <c r="AX570"/>
  <c r="BC570"/>
  <c r="AX571"/>
  <c r="BC571"/>
  <c r="AX572"/>
  <c r="BC572"/>
  <c r="AX573"/>
  <c r="BC573"/>
  <c r="AX574"/>
  <c r="BC574"/>
  <c r="AX575"/>
  <c r="BC575"/>
  <c r="AX576"/>
  <c r="BC576"/>
  <c r="AX577"/>
  <c r="BC577"/>
  <c r="AX578"/>
  <c r="BC578"/>
  <c r="AX579"/>
  <c r="BC579"/>
  <c r="AX580"/>
  <c r="BC580"/>
  <c r="AX581"/>
  <c r="BC581"/>
  <c r="AX582"/>
  <c r="BC582"/>
  <c r="AX583"/>
  <c r="BC583"/>
  <c r="AX584"/>
  <c r="BC584"/>
  <c r="AX585"/>
  <c r="BC585"/>
  <c r="AX586"/>
  <c r="BC586"/>
  <c r="AX587"/>
  <c r="BC587"/>
  <c r="AX588"/>
  <c r="BC588"/>
  <c r="AX589"/>
  <c r="BC589"/>
  <c r="AX590"/>
  <c r="BC590"/>
  <c r="AX591"/>
  <c r="BC591"/>
  <c r="AX592"/>
  <c r="BC592"/>
  <c r="AX593"/>
  <c r="BC593"/>
  <c r="AX594"/>
  <c r="BC594"/>
  <c r="AX595"/>
  <c r="BC595"/>
  <c r="AX596"/>
  <c r="BC596"/>
  <c r="AX597"/>
  <c r="BC597"/>
  <c r="AX598"/>
  <c r="BC598"/>
  <c r="AX599"/>
  <c r="BC599"/>
  <c r="AX600"/>
  <c r="BC600"/>
  <c r="AX601"/>
  <c r="BC601"/>
  <c r="AX602"/>
  <c r="BC602"/>
  <c r="AX603"/>
  <c r="BC603"/>
  <c r="AX604"/>
  <c r="BC604"/>
  <c r="AX605"/>
  <c r="BC605"/>
  <c r="AX606"/>
  <c r="BC606"/>
  <c r="AX607"/>
  <c r="BC607"/>
  <c r="AX608"/>
  <c r="BC608"/>
  <c r="AX609"/>
  <c r="BC609"/>
  <c r="AX610"/>
  <c r="BC610"/>
  <c r="AX611"/>
  <c r="BC611"/>
  <c r="AX612"/>
  <c r="BC612"/>
  <c r="AX613"/>
  <c r="BC613"/>
  <c r="AX614"/>
  <c r="BC614"/>
  <c r="AX615"/>
  <c r="BC615"/>
  <c r="AX616"/>
  <c r="BC616"/>
  <c r="AX617"/>
  <c r="BC617"/>
  <c r="AX618"/>
  <c r="BC618"/>
  <c r="AX619"/>
  <c r="BC619"/>
  <c r="AX620"/>
  <c r="BC620"/>
  <c r="AX621"/>
  <c r="BC621"/>
  <c r="AX622"/>
  <c r="BC622"/>
  <c r="AX623"/>
  <c r="BC623"/>
  <c r="AX624"/>
  <c r="BC624"/>
  <c r="AX625"/>
  <c r="BC625"/>
  <c r="AX626"/>
  <c r="BC626"/>
  <c r="AX627"/>
  <c r="BC627"/>
  <c r="AX628"/>
  <c r="BC628"/>
  <c r="AX629"/>
  <c r="BC629"/>
  <c r="AX630"/>
  <c r="BC630"/>
  <c r="AX631"/>
  <c r="BC631"/>
  <c r="AX632"/>
  <c r="BC632"/>
  <c r="AX633"/>
  <c r="BC633"/>
  <c r="AX634"/>
  <c r="BC634"/>
  <c r="AX635"/>
  <c r="BC635"/>
  <c r="AX636"/>
  <c r="BC636"/>
  <c r="AX637"/>
  <c r="BC637"/>
  <c r="AX638"/>
  <c r="BC638"/>
  <c r="AX639"/>
  <c r="BC639"/>
  <c r="AX640"/>
  <c r="BC640"/>
  <c r="AX641"/>
  <c r="BC641"/>
  <c r="AX642"/>
  <c r="BC642"/>
  <c r="AX643"/>
  <c r="BC643"/>
  <c r="AX644"/>
  <c r="BC644"/>
  <c r="AX645"/>
  <c r="BC645"/>
  <c r="AX646"/>
  <c r="BC646"/>
  <c r="AX647"/>
  <c r="BC647"/>
  <c r="AX648"/>
  <c r="BC648"/>
  <c r="AX649"/>
  <c r="BC649"/>
  <c r="AX650"/>
  <c r="BC650"/>
  <c r="AX651"/>
  <c r="BC651"/>
  <c r="AX652"/>
  <c r="BC652"/>
  <c r="AX653"/>
  <c r="BC653"/>
  <c r="AX654"/>
  <c r="BC654"/>
  <c r="AX655"/>
  <c r="BC655"/>
  <c r="AX656"/>
  <c r="BC656"/>
  <c r="AX657"/>
  <c r="BC657"/>
  <c r="AX658"/>
  <c r="BC658"/>
  <c r="AX659"/>
  <c r="BC659"/>
  <c r="AX660"/>
  <c r="BC660"/>
  <c r="AX661"/>
  <c r="BC661"/>
  <c r="AX662"/>
  <c r="BC662"/>
  <c r="AX663"/>
  <c r="BC663"/>
  <c r="AX664"/>
  <c r="BC664"/>
  <c r="AX665"/>
  <c r="BC665"/>
  <c r="AX666"/>
  <c r="BC666"/>
  <c r="AX667"/>
  <c r="BC667"/>
  <c r="AX668"/>
  <c r="BC668"/>
  <c r="AX669"/>
  <c r="BC669"/>
  <c r="AX670"/>
  <c r="BC670"/>
  <c r="AX671"/>
  <c r="BC671"/>
  <c r="AX672"/>
  <c r="BC672"/>
  <c r="AX673"/>
  <c r="BC673"/>
  <c r="AX674"/>
  <c r="BC674"/>
  <c r="AX675"/>
  <c r="BC675"/>
  <c r="AX676"/>
  <c r="BC676"/>
  <c r="AX677"/>
  <c r="BC677"/>
  <c r="AX678"/>
  <c r="BC678"/>
  <c r="AX679"/>
  <c r="BC679"/>
  <c r="AX680"/>
  <c r="BC680"/>
  <c r="AX681"/>
  <c r="BC681"/>
  <c r="AX682"/>
  <c r="BC682"/>
  <c r="AX683"/>
  <c r="BC683"/>
  <c r="AX684"/>
  <c r="BC684"/>
  <c r="AX685"/>
  <c r="BC685"/>
  <c r="AX686"/>
  <c r="BC686"/>
  <c r="AX687"/>
  <c r="BC687"/>
  <c r="AX688"/>
  <c r="BC688"/>
  <c r="AX689"/>
  <c r="BC689"/>
  <c r="AX690"/>
  <c r="BC690"/>
  <c r="AX691"/>
  <c r="BC691"/>
  <c r="AX692"/>
  <c r="BC692"/>
  <c r="AX693"/>
  <c r="BC693"/>
  <c r="AX694"/>
  <c r="BC694"/>
  <c r="AX695"/>
  <c r="BC695"/>
  <c r="AX696"/>
  <c r="BC696"/>
  <c r="AX697"/>
  <c r="BC697"/>
  <c r="AX698"/>
  <c r="BC698"/>
  <c r="AX699"/>
  <c r="BC699"/>
  <c r="AX700"/>
  <c r="BC700"/>
  <c r="AX701"/>
  <c r="BC701"/>
  <c r="AX702"/>
  <c r="BC702"/>
  <c r="AX703"/>
  <c r="BC703"/>
  <c r="AX704"/>
  <c r="BC704"/>
  <c r="AX705"/>
  <c r="BC705"/>
  <c r="AX706"/>
  <c r="BC706"/>
  <c r="AX707"/>
  <c r="BC707"/>
  <c r="AX708"/>
  <c r="BC708"/>
  <c r="AX709"/>
  <c r="BC709"/>
  <c r="AX710"/>
  <c r="BC710"/>
  <c r="AX711"/>
  <c r="BC711"/>
  <c r="AX712"/>
  <c r="BC712"/>
  <c r="AX713"/>
  <c r="BC713"/>
  <c r="AX714"/>
  <c r="BC714"/>
  <c r="AX715"/>
  <c r="BC715"/>
  <c r="AX716"/>
  <c r="BC716"/>
  <c r="AX717"/>
  <c r="BC717"/>
  <c r="AX718"/>
  <c r="BC718"/>
  <c r="AX719"/>
  <c r="BC719"/>
  <c r="AX720"/>
  <c r="BC720"/>
  <c r="AX721"/>
  <c r="BC721"/>
  <c r="AX722"/>
  <c r="BC722"/>
  <c r="AX723"/>
  <c r="BC723"/>
  <c r="AX724"/>
  <c r="BC724"/>
  <c r="AX725"/>
  <c r="BC725"/>
  <c r="AX726"/>
  <c r="BC726"/>
  <c r="AX727"/>
  <c r="BC727"/>
  <c r="AX728"/>
  <c r="BC728"/>
  <c r="AX729"/>
  <c r="BC729"/>
  <c r="AX730"/>
  <c r="BC730"/>
  <c r="AX731"/>
  <c r="BC731"/>
  <c r="AX732"/>
  <c r="BC732"/>
  <c r="AX733"/>
  <c r="BC733"/>
  <c r="AX734"/>
  <c r="BC734"/>
  <c r="AX735"/>
  <c r="BC735"/>
  <c r="AX736"/>
  <c r="BC736"/>
  <c r="AX737"/>
  <c r="BC737"/>
  <c r="AX738"/>
  <c r="BC738"/>
  <c r="AX739"/>
  <c r="BC739"/>
  <c r="AX740"/>
  <c r="BC740"/>
  <c r="AX741"/>
  <c r="BC741"/>
  <c r="AX742"/>
  <c r="BC742"/>
  <c r="AX743"/>
  <c r="BC743"/>
  <c r="AX744"/>
  <c r="BC744"/>
  <c r="AX745"/>
  <c r="BC745"/>
  <c r="AX746"/>
  <c r="BC746"/>
  <c r="AX747"/>
  <c r="BC747"/>
  <c r="AX748"/>
  <c r="BC748"/>
  <c r="AX749"/>
  <c r="BC749"/>
  <c r="AX750"/>
  <c r="BC750"/>
  <c r="AX751"/>
  <c r="BC751"/>
  <c r="AX752"/>
  <c r="BC752"/>
  <c r="AX753"/>
  <c r="BC753"/>
  <c r="AX754"/>
  <c r="BC754"/>
  <c r="AX755"/>
  <c r="BC755"/>
  <c r="AX756"/>
  <c r="BC756"/>
  <c r="AX757"/>
  <c r="BC757"/>
  <c r="AX758"/>
  <c r="BC758"/>
  <c r="AX759"/>
  <c r="BC759"/>
  <c r="AX760"/>
  <c r="BC760"/>
  <c r="AX761"/>
  <c r="BC761"/>
  <c r="AX762"/>
  <c r="BC762"/>
  <c r="AX763"/>
  <c r="BC763"/>
  <c r="AX764"/>
  <c r="BC764"/>
  <c r="AX765"/>
  <c r="BC765"/>
  <c r="AX766"/>
  <c r="BC766"/>
  <c r="AX767"/>
  <c r="BC767"/>
  <c r="AX768"/>
  <c r="BC768"/>
  <c r="AX769"/>
  <c r="BC769"/>
  <c r="AX770"/>
  <c r="BC770"/>
  <c r="AX771"/>
  <c r="BC771"/>
  <c r="AX772"/>
  <c r="BC772"/>
  <c r="AX773"/>
  <c r="BC773"/>
  <c r="AX774"/>
  <c r="BC774"/>
  <c r="AX775"/>
  <c r="BC775"/>
  <c r="AX776"/>
  <c r="BC776"/>
  <c r="AX777"/>
  <c r="BC777"/>
  <c r="AX778"/>
  <c r="BC778"/>
  <c r="AX779"/>
  <c r="BC779"/>
  <c r="AX780"/>
  <c r="BC780"/>
  <c r="AX781"/>
  <c r="BC781"/>
  <c r="AX782"/>
  <c r="BC782"/>
  <c r="AX783"/>
  <c r="BC783"/>
  <c r="AX784"/>
  <c r="BC784"/>
  <c r="AX785"/>
  <c r="BC785"/>
  <c r="AX786"/>
  <c r="BC786"/>
  <c r="AX787"/>
  <c r="BC787"/>
  <c r="AX788"/>
  <c r="BC788"/>
  <c r="AX789"/>
  <c r="BC789"/>
  <c r="AX790"/>
  <c r="BC790"/>
  <c r="AX791"/>
  <c r="BC791"/>
  <c r="AX792"/>
  <c r="BC792"/>
  <c r="AX793"/>
  <c r="BC793"/>
  <c r="AX794"/>
  <c r="BC794"/>
  <c r="AX795"/>
  <c r="BC795"/>
  <c r="AX796"/>
  <c r="BC796"/>
  <c r="AX797"/>
  <c r="BC797"/>
  <c r="AX798"/>
  <c r="BC798"/>
  <c r="AX799"/>
  <c r="BC799"/>
  <c r="AX800"/>
  <c r="BC800"/>
  <c r="AX801"/>
  <c r="BC801"/>
  <c r="AX802"/>
  <c r="BC802"/>
  <c r="AX803"/>
  <c r="BC803"/>
  <c r="AX804"/>
  <c r="BC804"/>
  <c r="AX805"/>
  <c r="BC805"/>
  <c r="AX806"/>
  <c r="BC806"/>
  <c r="AX807"/>
  <c r="BC807"/>
  <c r="AX808"/>
  <c r="BC808"/>
  <c r="AX809"/>
  <c r="BC809"/>
  <c r="AX810"/>
  <c r="BC810"/>
  <c r="AX811"/>
  <c r="BC811"/>
  <c r="AX812"/>
  <c r="BC812"/>
  <c r="AX813"/>
  <c r="BC813"/>
  <c r="AX814"/>
  <c r="BC814"/>
  <c r="AX815"/>
  <c r="BC815"/>
  <c r="AX816"/>
  <c r="BC816"/>
  <c r="AX817"/>
  <c r="BC817"/>
  <c r="AX818"/>
  <c r="BC818"/>
  <c r="AX819"/>
  <c r="BC819"/>
  <c r="AX820"/>
  <c r="BC820"/>
  <c r="AX821"/>
  <c r="BC821"/>
  <c r="AX822"/>
  <c r="BC822"/>
  <c r="AX823"/>
  <c r="BC823"/>
  <c r="AX824"/>
  <c r="BC824"/>
  <c r="AX825"/>
  <c r="BC825"/>
  <c r="AX826"/>
  <c r="BC826"/>
  <c r="AX827"/>
  <c r="BC827"/>
  <c r="AX828"/>
  <c r="BC828"/>
  <c r="AX829"/>
  <c r="BC829"/>
  <c r="AX830"/>
  <c r="BC830"/>
  <c r="AX831"/>
  <c r="BC831"/>
  <c r="AX832"/>
  <c r="BC832"/>
  <c r="AX833"/>
  <c r="BC833"/>
  <c r="AX834"/>
  <c r="BC834"/>
  <c r="AX835"/>
  <c r="BC835"/>
  <c r="AX836"/>
  <c r="BC836"/>
  <c r="AX837"/>
  <c r="BC837"/>
  <c r="AX838"/>
  <c r="BC838"/>
  <c r="AX839"/>
  <c r="BC839"/>
  <c r="AX840"/>
  <c r="BC840"/>
  <c r="AX841"/>
  <c r="BC841"/>
  <c r="AX842"/>
  <c r="BC842"/>
  <c r="AX843"/>
  <c r="BC843"/>
  <c r="AX844"/>
  <c r="BC844"/>
  <c r="AX845"/>
  <c r="BC845"/>
  <c r="AX846"/>
  <c r="BC846"/>
  <c r="AX847"/>
  <c r="BC847"/>
  <c r="AX848"/>
  <c r="BC848"/>
  <c r="AX849"/>
  <c r="BC849"/>
  <c r="AX850"/>
  <c r="BC850"/>
  <c r="AX851"/>
  <c r="BC851"/>
  <c r="AX852"/>
  <c r="BC852"/>
  <c r="AX853"/>
  <c r="BC853"/>
  <c r="AX854"/>
  <c r="BC854"/>
  <c r="AX855"/>
  <c r="BC855"/>
  <c r="AX856"/>
  <c r="BC856"/>
  <c r="AX857"/>
  <c r="BC857"/>
  <c r="AX858"/>
  <c r="BC858"/>
  <c r="AX859"/>
  <c r="BC859"/>
  <c r="AX860"/>
  <c r="BC860"/>
  <c r="AX861"/>
  <c r="BC861"/>
  <c r="AX862"/>
  <c r="BC862"/>
  <c r="AX863"/>
  <c r="BC863"/>
  <c r="AX864"/>
  <c r="BC864"/>
  <c r="AX865"/>
  <c r="BC865"/>
  <c r="AX866"/>
  <c r="BC866"/>
  <c r="AX867"/>
  <c r="BC867"/>
  <c r="AX868"/>
  <c r="BC868"/>
  <c r="AX869"/>
  <c r="BC869"/>
  <c r="AX870"/>
  <c r="BC870"/>
  <c r="AX871"/>
  <c r="BC871"/>
  <c r="AX872"/>
  <c r="BC872"/>
  <c r="AX873"/>
  <c r="BC873"/>
  <c r="AX874"/>
  <c r="BC874"/>
  <c r="AX875"/>
  <c r="BC875"/>
  <c r="AX876"/>
  <c r="BC876"/>
  <c r="AX877"/>
  <c r="BC877"/>
  <c r="AX878"/>
  <c r="BC878"/>
  <c r="AX879"/>
  <c r="BC879"/>
  <c r="AX880"/>
  <c r="BC880"/>
  <c r="AX881"/>
  <c r="BC881"/>
  <c r="AX882"/>
  <c r="BC882"/>
  <c r="AX883"/>
  <c r="BC883"/>
  <c r="AX884"/>
  <c r="BC884"/>
  <c r="AX885"/>
  <c r="BC885"/>
  <c r="AX886"/>
  <c r="BC886"/>
  <c r="AX887"/>
  <c r="BC887"/>
  <c r="AX888"/>
  <c r="BC888"/>
  <c r="AX889"/>
  <c r="BC889"/>
  <c r="AX890"/>
  <c r="BC890"/>
  <c r="AX891"/>
  <c r="BC891"/>
  <c r="AX892"/>
  <c r="BC892"/>
  <c r="AX893"/>
  <c r="BC893"/>
  <c r="AX894"/>
  <c r="BC894"/>
  <c r="AX895"/>
  <c r="BC895"/>
  <c r="AX896"/>
  <c r="BC896"/>
  <c r="AX897"/>
  <c r="BC897"/>
  <c r="AX898"/>
  <c r="BC898"/>
  <c r="AX899"/>
  <c r="BC899"/>
  <c r="AX900"/>
  <c r="BC900"/>
  <c r="AX901"/>
  <c r="BC901"/>
  <c r="AX902"/>
  <c r="BC902"/>
  <c r="AX903"/>
  <c r="BC903"/>
  <c r="AX904"/>
  <c r="BC904"/>
  <c r="AX905"/>
  <c r="BC905"/>
  <c r="AX906"/>
  <c r="BC906"/>
  <c r="AX907"/>
  <c r="BC907"/>
  <c r="AX908"/>
  <c r="BC908"/>
  <c r="AX909"/>
  <c r="BC909"/>
  <c r="AX910"/>
  <c r="BC910"/>
  <c r="AX911"/>
  <c r="BC911"/>
  <c r="AX912"/>
  <c r="BC912"/>
  <c r="AX913"/>
  <c r="BC913"/>
  <c r="AX914"/>
  <c r="BC914"/>
  <c r="AX915"/>
  <c r="BC915"/>
  <c r="AX916"/>
  <c r="BC916"/>
  <c r="AX917"/>
  <c r="BC917"/>
  <c r="AX918"/>
  <c r="BC918"/>
  <c r="AX919"/>
  <c r="BC919"/>
  <c r="AX920"/>
  <c r="BC920"/>
  <c r="AX921"/>
  <c r="BC921"/>
  <c r="AX922"/>
  <c r="BC922"/>
  <c r="AX923"/>
  <c r="BC923"/>
  <c r="AX924"/>
  <c r="BC924"/>
  <c r="AX925"/>
  <c r="BC925"/>
  <c r="AX926"/>
  <c r="BC926"/>
  <c r="AX927"/>
  <c r="BC927"/>
  <c r="AX928"/>
  <c r="BC928"/>
  <c r="AX929"/>
  <c r="BC929"/>
  <c r="AX930"/>
  <c r="BC930"/>
  <c r="AX931"/>
  <c r="BC931"/>
  <c r="AX932"/>
  <c r="BC932"/>
  <c r="AX933"/>
  <c r="BC933"/>
  <c r="AX934"/>
  <c r="BC934"/>
  <c r="AX935"/>
  <c r="BC935"/>
  <c r="AX936"/>
  <c r="BC936"/>
  <c r="AX937"/>
  <c r="BC937"/>
  <c r="AX938"/>
  <c r="BC938"/>
  <c r="AX939"/>
  <c r="BC939"/>
  <c r="AX940"/>
  <c r="BC940"/>
  <c r="AX941"/>
  <c r="BC941"/>
  <c r="AX942"/>
  <c r="BC942"/>
  <c r="AX943"/>
  <c r="BC943"/>
  <c r="AX944"/>
  <c r="BC944"/>
  <c r="AX945"/>
  <c r="BC945"/>
  <c r="AX946"/>
  <c r="BC946"/>
  <c r="AX947"/>
  <c r="BC947"/>
  <c r="AX948"/>
  <c r="BC948"/>
  <c r="AX949"/>
  <c r="BC949"/>
  <c r="AX950"/>
  <c r="BC950"/>
  <c r="AX951"/>
  <c r="BC951"/>
  <c r="AX952"/>
  <c r="BC952"/>
  <c r="AX953"/>
  <c r="BC953"/>
  <c r="AX954"/>
  <c r="BC954"/>
  <c r="AX955"/>
  <c r="BC955"/>
  <c r="AX956"/>
  <c r="BC956"/>
  <c r="AX957"/>
  <c r="BC957"/>
  <c r="AX958"/>
  <c r="BC958"/>
  <c r="AX959"/>
  <c r="BC959"/>
  <c r="AX960"/>
  <c r="BC960"/>
  <c r="AX961"/>
  <c r="BC961"/>
  <c r="AX962"/>
  <c r="BC962"/>
  <c r="AX963"/>
  <c r="BC963"/>
  <c r="AX964"/>
  <c r="BC964"/>
  <c r="AX965"/>
  <c r="BC965"/>
  <c r="AX966"/>
  <c r="BC966"/>
  <c r="AX967"/>
  <c r="BC967"/>
  <c r="AX968"/>
  <c r="BC968"/>
  <c r="AX969"/>
  <c r="BC969"/>
  <c r="AX970"/>
  <c r="BC970"/>
  <c r="AX971"/>
  <c r="BC971"/>
  <c r="AX972"/>
  <c r="BC972"/>
  <c r="AX973"/>
  <c r="BC973"/>
  <c r="AX974"/>
  <c r="BC974"/>
  <c r="AX975"/>
  <c r="BC975"/>
  <c r="AX976"/>
  <c r="BC976"/>
  <c r="AX977"/>
  <c r="BC977"/>
  <c r="AX978"/>
  <c r="BC978"/>
  <c r="AX979"/>
  <c r="BC979"/>
  <c r="AX980"/>
  <c r="BC980"/>
  <c r="AX981"/>
  <c r="BC981"/>
  <c r="AX982"/>
  <c r="BC982"/>
  <c r="AX983"/>
  <c r="BC983"/>
  <c r="AX984"/>
  <c r="BC984"/>
  <c r="AX985"/>
  <c r="BC985"/>
  <c r="AX986"/>
  <c r="BC986"/>
  <c r="AX987"/>
  <c r="BC987"/>
  <c r="AX988"/>
  <c r="BC988"/>
  <c r="AX989"/>
  <c r="BC989"/>
  <c r="AX990"/>
  <c r="BC990"/>
  <c r="AX991"/>
  <c r="BC991"/>
  <c r="AX992"/>
  <c r="BC992"/>
  <c r="AX993"/>
  <c r="BC993"/>
  <c r="AX994"/>
  <c r="BC994"/>
  <c r="AX995"/>
  <c r="BC995"/>
  <c r="AX996"/>
  <c r="BC996"/>
  <c r="AX997"/>
  <c r="BC997"/>
  <c r="AX998"/>
  <c r="BC998"/>
  <c r="AX999"/>
  <c r="BC999"/>
  <c r="AX1000"/>
  <c r="BC1000"/>
  <c r="AX1001"/>
  <c r="BC1001"/>
  <c r="AX1002"/>
  <c r="BC1002"/>
  <c r="AX1003"/>
  <c r="BC1003"/>
  <c r="AX1004"/>
  <c r="BC1004"/>
  <c r="AX1005"/>
  <c r="BC1005"/>
  <c r="AX1006"/>
  <c r="BC1006"/>
  <c r="AX1007"/>
  <c r="BC1007"/>
  <c r="AX1008"/>
  <c r="BC1008"/>
  <c r="AX1009"/>
  <c r="BC1009"/>
  <c r="AX1010"/>
  <c r="BC1010"/>
  <c r="AX1011"/>
  <c r="BC1011"/>
  <c r="AX1012"/>
  <c r="BC1012"/>
  <c r="AX1013"/>
  <c r="BC1013"/>
  <c r="AX1014"/>
  <c r="BC1014"/>
  <c r="AX1015"/>
  <c r="BC1015"/>
  <c r="AX1016"/>
  <c r="BC1016"/>
  <c r="AX1017"/>
  <c r="BC1017"/>
  <c r="AX1018"/>
  <c r="BC1018"/>
  <c r="AX1019"/>
  <c r="BC1019"/>
  <c r="AX1020"/>
  <c r="BC1020"/>
  <c r="AX1021"/>
  <c r="BC1021"/>
  <c r="AX1022"/>
  <c r="BC1022"/>
  <c r="AX1023"/>
  <c r="BC1023"/>
  <c r="AX1024"/>
  <c r="BC1024"/>
  <c r="AX1025"/>
  <c r="BC1025"/>
  <c r="AX1026"/>
  <c r="BC1026"/>
  <c r="AX1027"/>
  <c r="BC1027"/>
  <c r="AX1028"/>
  <c r="BC1028"/>
  <c r="AX1029"/>
  <c r="BC1029"/>
  <c r="AX1030"/>
  <c r="BC1030"/>
  <c r="AX1031"/>
  <c r="BC1031"/>
  <c r="AX1032"/>
  <c r="BC1032"/>
  <c r="AX1033"/>
  <c r="BC1033"/>
  <c r="AX1034"/>
  <c r="BC1034"/>
  <c r="AX1035"/>
  <c r="BC1035"/>
  <c r="AX1036"/>
  <c r="BC1036"/>
  <c r="AX1037"/>
  <c r="BC1037"/>
  <c r="AX1038"/>
  <c r="BC1038"/>
  <c r="AX1039"/>
  <c r="BC1039"/>
  <c r="AX1040"/>
  <c r="BC1040"/>
  <c r="AX1041"/>
  <c r="BC1041"/>
  <c r="AX1042"/>
  <c r="BC1042"/>
  <c r="AX1043"/>
  <c r="BC1043"/>
  <c r="AX1044"/>
  <c r="BC1044"/>
  <c r="AX1045"/>
  <c r="BC1045"/>
  <c r="AX1046"/>
  <c r="BC1046"/>
  <c r="AX1047"/>
  <c r="BC1047"/>
  <c r="AX1048"/>
  <c r="BC1048"/>
  <c r="AX1049"/>
  <c r="BC1049"/>
  <c r="AX1050"/>
  <c r="BC1050"/>
  <c r="AX1051"/>
  <c r="BC1051"/>
  <c r="AX1052"/>
  <c r="BC1052"/>
  <c r="AX1053"/>
  <c r="BC1053"/>
  <c r="AX1054"/>
  <c r="BC1054"/>
  <c r="AX1055"/>
  <c r="BC1055"/>
  <c r="AX1056"/>
  <c r="BC1056"/>
  <c r="AX1057"/>
  <c r="BC1057"/>
  <c r="AX1058"/>
  <c r="BC1058"/>
  <c r="AX1059"/>
  <c r="BC1059"/>
  <c r="AX1060"/>
  <c r="BC1060"/>
  <c r="AX1061"/>
  <c r="BC1061"/>
  <c r="AX1062"/>
  <c r="BC1062"/>
  <c r="AX1063"/>
  <c r="BC1063"/>
  <c r="AX1064"/>
  <c r="BC1064"/>
  <c r="AX1065"/>
  <c r="BC1065"/>
  <c r="AX1066"/>
  <c r="BC1066"/>
  <c r="AX1067"/>
  <c r="BC1067"/>
  <c r="AX1068"/>
  <c r="BC1068"/>
  <c r="AX1069"/>
  <c r="BC1069"/>
  <c r="AX1070"/>
  <c r="BC1070"/>
  <c r="AX1071"/>
  <c r="BC1071"/>
  <c r="AX1072"/>
  <c r="BC1072"/>
  <c r="AX1073"/>
  <c r="BC1073"/>
  <c r="AX1074"/>
  <c r="BC1074"/>
  <c r="AX1075"/>
  <c r="BC1075"/>
  <c r="AX1076"/>
  <c r="BC1076"/>
  <c r="AX1077"/>
  <c r="BC1077"/>
  <c r="AX1078"/>
  <c r="BC1078"/>
  <c r="AX1079"/>
  <c r="BC1079"/>
  <c r="AX1080"/>
  <c r="BC1080"/>
  <c r="AX1081"/>
  <c r="BC1081"/>
  <c r="AX1082"/>
  <c r="BC1082"/>
  <c r="AX1083"/>
  <c r="BC1083"/>
  <c r="AX1084"/>
  <c r="BC1084"/>
  <c r="AX1085"/>
  <c r="BC1085"/>
  <c r="AX1086"/>
  <c r="BC1086"/>
  <c r="AX1087"/>
  <c r="BC1087"/>
  <c r="AX1088"/>
  <c r="BC1088"/>
  <c r="AX1089"/>
  <c r="BC1089"/>
  <c r="AX1090"/>
  <c r="BC1090"/>
  <c r="AX1091"/>
  <c r="BC1091"/>
  <c r="AX1092"/>
  <c r="BC1092"/>
  <c r="AX1093"/>
  <c r="BC1093"/>
  <c r="AX1094"/>
  <c r="BC1094"/>
  <c r="AX1095"/>
  <c r="BC1095"/>
  <c r="AX1096"/>
  <c r="BC1096"/>
  <c r="AX1097"/>
  <c r="BC1097"/>
  <c r="AX1098"/>
  <c r="BC1098"/>
  <c r="AX1099"/>
  <c r="BC1099"/>
  <c r="AX1100"/>
  <c r="BC1100"/>
  <c r="AX1101"/>
  <c r="BC1101"/>
  <c r="AX1102"/>
  <c r="BC1102"/>
  <c r="AX1103"/>
  <c r="BC1103"/>
  <c r="AX1104"/>
  <c r="BC1104"/>
  <c r="AX1105"/>
  <c r="BC1105"/>
  <c r="AX1106"/>
  <c r="BC1106"/>
  <c r="AX1107"/>
  <c r="BC1107"/>
  <c r="AX1108"/>
  <c r="BC1108"/>
  <c r="AX1109"/>
  <c r="BC1109"/>
  <c r="AX1110"/>
  <c r="BC1110"/>
  <c r="AX1111"/>
  <c r="BC1111"/>
  <c r="AX1112"/>
  <c r="BC1112"/>
  <c r="AX1113"/>
  <c r="BC1113"/>
  <c r="AX1114"/>
  <c r="BC1114"/>
  <c r="AX1115"/>
  <c r="BC1115"/>
  <c r="AX1116"/>
  <c r="BC1116"/>
  <c r="AX1117"/>
  <c r="BC1117"/>
  <c r="AX1118"/>
  <c r="BC1118"/>
  <c r="AX1119"/>
  <c r="BC1119"/>
  <c r="AX1120"/>
  <c r="BC1120"/>
  <c r="AX1121"/>
  <c r="BC1121"/>
  <c r="AX1122"/>
  <c r="BC1122"/>
  <c r="AX1123"/>
  <c r="BC1123"/>
  <c r="AX1124"/>
  <c r="BC1124"/>
  <c r="AX1125"/>
  <c r="BC1125"/>
  <c r="AX1126"/>
  <c r="BC1126"/>
  <c r="AX1127"/>
  <c r="BC1127"/>
  <c r="AX1128"/>
  <c r="BC1128"/>
  <c r="AX1129"/>
  <c r="BC1129"/>
  <c r="AX1130"/>
  <c r="BC1130"/>
  <c r="AX1131"/>
  <c r="BC1131"/>
  <c r="AX1132"/>
  <c r="BC1132"/>
  <c r="AX1133"/>
  <c r="BC1133"/>
  <c r="AX1134"/>
  <c r="BC1134"/>
  <c r="AX1135"/>
  <c r="BC1135"/>
  <c r="AX1136"/>
  <c r="BC1136"/>
  <c r="AX1137"/>
  <c r="BC1137"/>
  <c r="AX1138"/>
  <c r="BC1138"/>
  <c r="AX1139"/>
  <c r="BC1139"/>
  <c r="AX1140"/>
  <c r="BC1140"/>
  <c r="AX1141"/>
  <c r="BC1141"/>
  <c r="AX1142"/>
  <c r="BC1142"/>
  <c r="AX1143"/>
  <c r="BC1143"/>
  <c r="AX1144"/>
  <c r="BC1144"/>
  <c r="AX1145"/>
  <c r="BC1145"/>
  <c r="AX1146"/>
  <c r="BC1146"/>
  <c r="AX1147"/>
  <c r="BC1147"/>
  <c r="AX1148"/>
  <c r="BC1148"/>
  <c r="AX1149"/>
  <c r="BC1149"/>
  <c r="AX1150"/>
  <c r="BC1150"/>
  <c r="AX1151"/>
  <c r="BC1151"/>
  <c r="AX1152"/>
  <c r="BC1152"/>
  <c r="AX1153"/>
  <c r="BC1153"/>
  <c r="AX1154"/>
  <c r="BC1154"/>
  <c r="AX1155"/>
  <c r="BC1155"/>
  <c r="AX1156"/>
  <c r="BC1156"/>
  <c r="AX1157"/>
  <c r="BC1157"/>
  <c r="AX1158"/>
  <c r="BC1158"/>
  <c r="AX1159"/>
  <c r="BC1159"/>
  <c r="AX1160"/>
  <c r="BC1160"/>
  <c r="AX1161"/>
  <c r="BC1161"/>
  <c r="AX1162"/>
  <c r="BC1162"/>
  <c r="AX1163"/>
  <c r="BC1163"/>
  <c r="AX1164"/>
  <c r="BC1164"/>
  <c r="AX1165"/>
  <c r="BC1165"/>
  <c r="AX1166"/>
  <c r="BC1166"/>
  <c r="AX1167"/>
  <c r="BC1167"/>
  <c r="AX1168"/>
  <c r="BC1168"/>
  <c r="AX1169"/>
  <c r="BC1169"/>
  <c r="AX1170"/>
  <c r="BC1170"/>
  <c r="AX1171"/>
  <c r="BC1171"/>
  <c r="AX1172"/>
  <c r="BC1172"/>
  <c r="AX1173"/>
  <c r="BC1173"/>
  <c r="AX1174"/>
  <c r="BC1174"/>
  <c r="AX1175"/>
  <c r="BC1175"/>
  <c r="AX1176"/>
  <c r="BC1176"/>
  <c r="AX1177"/>
  <c r="BC1177"/>
  <c r="AX1178"/>
  <c r="BC1178"/>
  <c r="AX1179"/>
  <c r="BC1179"/>
  <c r="AX1180"/>
  <c r="BC1180"/>
  <c r="AX1181"/>
  <c r="BC1181"/>
  <c r="AX1182"/>
  <c r="BC1182"/>
  <c r="AX1183"/>
  <c r="BC1183"/>
  <c r="AX1184"/>
  <c r="BC1184"/>
  <c r="AX1185"/>
  <c r="BC1185"/>
  <c r="AX1186"/>
  <c r="BC1186"/>
  <c r="AX1187"/>
  <c r="BC1187"/>
  <c r="AX1188"/>
  <c r="BC1188"/>
  <c r="AX1189"/>
  <c r="BC1189"/>
  <c r="AX1190"/>
  <c r="BC1190"/>
  <c r="AX1191"/>
  <c r="BC1191"/>
  <c r="AX1192"/>
  <c r="BC1192"/>
  <c r="AX1193"/>
  <c r="BC1193"/>
  <c r="AX1194"/>
  <c r="BC1194"/>
  <c r="AX1195"/>
  <c r="BC1195"/>
  <c r="AX1196"/>
  <c r="BC1196"/>
  <c r="AX1197"/>
  <c r="BC1197"/>
  <c r="AX1198"/>
  <c r="BC1198"/>
  <c r="AX1199"/>
  <c r="BC1199"/>
  <c r="AX1200"/>
  <c r="BC1200"/>
  <c r="AX1201"/>
  <c r="BC1201"/>
  <c r="AX1202"/>
  <c r="BC1202"/>
  <c r="AX1203"/>
  <c r="BC1203"/>
  <c r="AX1204"/>
  <c r="BC1204"/>
  <c r="AX1205"/>
  <c r="BC1205"/>
  <c r="AX1206"/>
  <c r="BC1206"/>
  <c r="AX1207"/>
  <c r="BC1207"/>
  <c r="AX1208"/>
  <c r="BC1208"/>
  <c r="AX1209"/>
  <c r="BC1209"/>
  <c r="AX1210"/>
  <c r="BC1210"/>
  <c r="AX1211"/>
  <c r="BC1211"/>
  <c r="AX1212"/>
  <c r="BC1212"/>
  <c r="AX1213"/>
  <c r="BC1213"/>
  <c r="AX1214"/>
  <c r="BC1214"/>
  <c r="AX1215"/>
  <c r="BC1215"/>
  <c r="AX1216"/>
  <c r="BC1216"/>
  <c r="AX1217"/>
  <c r="BC1217"/>
  <c r="AX1218"/>
  <c r="BC1218"/>
  <c r="AX1219"/>
  <c r="BC1219"/>
  <c r="AX1220"/>
  <c r="BC1220"/>
  <c r="AX1221"/>
  <c r="BC1221"/>
  <c r="S1" i="2"/>
  <c r="T1" s="1"/>
  <c r="V32"/>
  <c r="V34"/>
  <c r="Y25"/>
  <c r="CS34"/>
  <c r="DB36"/>
  <c r="CY36"/>
  <c r="DB37"/>
  <c r="CY37"/>
  <c r="DB40"/>
  <c r="CY40"/>
  <c r="DB44"/>
  <c r="CY44"/>
  <c r="DB45"/>
  <c r="CY45"/>
  <c r="DB48"/>
  <c r="CY48"/>
  <c r="DB52"/>
  <c r="CY52"/>
  <c r="DB53"/>
  <c r="CY53"/>
  <c r="DB56"/>
  <c r="CY56"/>
  <c r="DB60"/>
  <c r="CY60"/>
  <c r="DB61"/>
  <c r="CY61"/>
  <c r="DB64"/>
  <c r="CY64"/>
  <c r="DB68"/>
  <c r="CY68"/>
  <c r="DB69"/>
  <c r="CY69"/>
  <c r="DB72"/>
  <c r="CY72"/>
  <c r="DB76"/>
  <c r="CY76"/>
  <c r="DB77"/>
  <c r="CY77"/>
  <c r="DB80"/>
  <c r="CY80"/>
  <c r="DB84"/>
  <c r="CY84"/>
  <c r="DB85"/>
  <c r="CY85"/>
  <c r="DB88"/>
  <c r="CY88"/>
  <c r="DB92"/>
  <c r="CY92"/>
  <c r="DB93"/>
  <c r="CY93"/>
  <c r="DB96"/>
  <c r="CY96"/>
  <c r="DB100"/>
  <c r="CY100"/>
  <c r="DB101"/>
  <c r="CY101"/>
  <c r="DB104"/>
  <c r="CY104"/>
  <c r="DB108"/>
  <c r="CY108"/>
  <c r="DB109"/>
  <c r="CY109"/>
  <c r="DB112"/>
  <c r="CY112"/>
  <c r="DB116"/>
  <c r="CY116"/>
  <c r="DB117"/>
  <c r="CY117"/>
  <c r="DB120"/>
  <c r="CY120"/>
  <c r="DB124"/>
  <c r="CY124"/>
  <c r="DB125"/>
  <c r="CY125"/>
  <c r="DB128"/>
  <c r="CY128"/>
  <c r="DB132"/>
  <c r="CY132"/>
  <c r="DB133"/>
  <c r="CY133"/>
  <c r="DB136"/>
  <c r="CY136"/>
  <c r="DB140"/>
  <c r="CY140"/>
  <c r="DB141"/>
  <c r="CY141"/>
  <c r="DB144"/>
  <c r="CY144"/>
  <c r="DB148"/>
  <c r="CY148"/>
  <c r="DB149"/>
  <c r="CY149"/>
  <c r="DB152"/>
  <c r="CY152"/>
  <c r="DB156"/>
  <c r="CY156"/>
  <c r="DB157"/>
  <c r="CY157"/>
  <c r="DB160"/>
  <c r="CY160"/>
  <c r="DB164"/>
  <c r="CY164"/>
  <c r="DB165"/>
  <c r="CY165"/>
  <c r="DB168"/>
  <c r="CY168"/>
  <c r="DB172"/>
  <c r="CY172"/>
  <c r="DB173"/>
  <c r="CY173"/>
  <c r="DB176"/>
  <c r="CY176"/>
  <c r="DB180"/>
  <c r="CY180"/>
  <c r="DB181"/>
  <c r="CY181"/>
  <c r="DB184"/>
  <c r="CY184"/>
  <c r="DB188"/>
  <c r="CY188"/>
  <c r="DB189"/>
  <c r="CY189"/>
  <c r="DB192"/>
  <c r="CY192"/>
  <c r="DB196"/>
  <c r="CY196"/>
  <c r="DB197"/>
  <c r="CY197"/>
  <c r="DB200"/>
  <c r="CY200"/>
  <c r="DB204"/>
  <c r="CY204"/>
  <c r="DB205"/>
  <c r="CY205"/>
  <c r="DB208"/>
  <c r="CY208"/>
  <c r="DB212"/>
  <c r="CY212"/>
  <c r="DB213"/>
  <c r="CY213"/>
  <c r="DB216"/>
  <c r="CY216"/>
  <c r="DB220"/>
  <c r="CY220"/>
  <c r="DB221"/>
  <c r="CY221"/>
  <c r="DB224"/>
  <c r="CY224"/>
  <c r="DB228"/>
  <c r="CY228"/>
  <c r="DB229"/>
  <c r="CY229"/>
  <c r="DB232"/>
  <c r="CY232"/>
  <c r="DB236"/>
  <c r="CY236"/>
  <c r="DB237"/>
  <c r="CY237"/>
  <c r="DB240"/>
  <c r="CY240"/>
  <c r="DB244"/>
  <c r="CY244"/>
  <c r="DB245"/>
  <c r="CY245"/>
  <c r="DB248"/>
  <c r="CY248"/>
  <c r="DB252"/>
  <c r="CY252"/>
  <c r="DB253"/>
  <c r="CY253"/>
  <c r="DB256"/>
  <c r="CY256"/>
  <c r="DB260"/>
  <c r="CY260"/>
  <c r="DB261"/>
  <c r="CY261"/>
  <c r="DB264"/>
  <c r="CY264"/>
  <c r="DB268"/>
  <c r="CY268"/>
  <c r="DB269"/>
  <c r="CY269"/>
  <c r="DB272"/>
  <c r="CY272"/>
  <c r="DB276"/>
  <c r="CY276"/>
  <c r="DB277"/>
  <c r="CY277"/>
  <c r="DB280"/>
  <c r="CY280"/>
  <c r="DB284"/>
  <c r="CY284"/>
  <c r="DB285"/>
  <c r="CY285"/>
  <c r="DB288"/>
  <c r="CY288"/>
  <c r="DB292"/>
  <c r="CY292"/>
  <c r="DB293"/>
  <c r="CY293"/>
  <c r="DB296"/>
  <c r="CY296"/>
  <c r="DB300"/>
  <c r="CY300"/>
  <c r="DB301"/>
  <c r="CY301"/>
  <c r="T3"/>
  <c r="AH2"/>
  <c r="Z6"/>
  <c r="DA36"/>
  <c r="DC37"/>
  <c r="DA37"/>
  <c r="DC40"/>
  <c r="DA40"/>
  <c r="DC44"/>
  <c r="DA44"/>
  <c r="DA45"/>
  <c r="DC48"/>
  <c r="DA48"/>
  <c r="DC52"/>
  <c r="DA52"/>
  <c r="DC53"/>
  <c r="DA53"/>
  <c r="DA56"/>
  <c r="DC60"/>
  <c r="DA60"/>
  <c r="DC61"/>
  <c r="DA61"/>
  <c r="DC64"/>
  <c r="DA64"/>
  <c r="DA68"/>
  <c r="DC69"/>
  <c r="DA69"/>
  <c r="DC72"/>
  <c r="DA72"/>
  <c r="DC76"/>
  <c r="DA76"/>
  <c r="DA77"/>
  <c r="DC80"/>
  <c r="DA80"/>
  <c r="DC84"/>
  <c r="DA84"/>
  <c r="DC85"/>
  <c r="DA85"/>
  <c r="DA88"/>
  <c r="DC92"/>
  <c r="DA92"/>
  <c r="DC93"/>
  <c r="DA93"/>
  <c r="DC96"/>
  <c r="DA96"/>
  <c r="DA100"/>
  <c r="DC101"/>
  <c r="DA101"/>
  <c r="DC104"/>
  <c r="DA104"/>
  <c r="DC108"/>
  <c r="DA108"/>
  <c r="DA109"/>
  <c r="DC112"/>
  <c r="DA112"/>
  <c r="DC116"/>
  <c r="DA116"/>
  <c r="DC117"/>
  <c r="DA117"/>
  <c r="DA120"/>
  <c r="DC124"/>
  <c r="DA124"/>
  <c r="DC125"/>
  <c r="DA125"/>
  <c r="DC128"/>
  <c r="DA128"/>
  <c r="DA132"/>
  <c r="DC133"/>
  <c r="DA133"/>
  <c r="DC136"/>
  <c r="DA136"/>
  <c r="DC140"/>
  <c r="DA140"/>
  <c r="DA141"/>
  <c r="DC144"/>
  <c r="DA144"/>
  <c r="DC148"/>
  <c r="DA148"/>
  <c r="DC149"/>
  <c r="DA149"/>
  <c r="DA152"/>
  <c r="DC156"/>
  <c r="DA156"/>
  <c r="DC157"/>
  <c r="DA157"/>
  <c r="DC160"/>
  <c r="DA160"/>
  <c r="DA164"/>
  <c r="DC165"/>
  <c r="DA165"/>
  <c r="DC168"/>
  <c r="DA168"/>
  <c r="DC172"/>
  <c r="DA172"/>
  <c r="DA173"/>
  <c r="DC176"/>
  <c r="DA176"/>
  <c r="DC180"/>
  <c r="DA180"/>
  <c r="DC181"/>
  <c r="DA181"/>
  <c r="DA184"/>
  <c r="DC188"/>
  <c r="DA188"/>
  <c r="DC189"/>
  <c r="DA189"/>
  <c r="DC192"/>
  <c r="DA192"/>
  <c r="DA196"/>
  <c r="DC197"/>
  <c r="DA197"/>
  <c r="DC200"/>
  <c r="DA200"/>
  <c r="DC204"/>
  <c r="DA204"/>
  <c r="DA205"/>
  <c r="DC208"/>
  <c r="DA208"/>
  <c r="DC212"/>
  <c r="DA212"/>
  <c r="DC213"/>
  <c r="DA213"/>
  <c r="DA216"/>
  <c r="DC220"/>
  <c r="DA220"/>
  <c r="DC221"/>
  <c r="DA221"/>
  <c r="DC224"/>
  <c r="DA224"/>
  <c r="DA228"/>
  <c r="DC229"/>
  <c r="DA229"/>
  <c r="DC232"/>
  <c r="DA232"/>
  <c r="DC236"/>
  <c r="DA236"/>
  <c r="DA237"/>
  <c r="DC240"/>
  <c r="DA240"/>
  <c r="DC244"/>
  <c r="DA244"/>
  <c r="DC245"/>
  <c r="DA245"/>
  <c r="DA248"/>
  <c r="DC252"/>
  <c r="DA252"/>
  <c r="DC253"/>
  <c r="DA253"/>
  <c r="DC256"/>
  <c r="DA256"/>
  <c r="DA260"/>
  <c r="DC261"/>
  <c r="DA261"/>
  <c r="DC264"/>
  <c r="DA264"/>
  <c r="DC268"/>
  <c r="DA268"/>
  <c r="DA269"/>
  <c r="DC272"/>
  <c r="DA272"/>
  <c r="DC276"/>
  <c r="DA276"/>
  <c r="DC277"/>
  <c r="DA277"/>
  <c r="DA280"/>
  <c r="DC284"/>
  <c r="DA284"/>
  <c r="DC285"/>
  <c r="DA285"/>
  <c r="DC288"/>
  <c r="DA288"/>
  <c r="DA292"/>
  <c r="DC293"/>
  <c r="DA293"/>
  <c r="DC296"/>
  <c r="DA296"/>
  <c r="DC300"/>
  <c r="DA300"/>
  <c r="DA301"/>
  <c r="T4"/>
  <c r="AB3"/>
  <c r="DP3"/>
  <c r="Y9"/>
  <c r="Y10"/>
  <c r="Y11"/>
  <c r="AY21" s="1"/>
  <c r="Y12"/>
  <c r="DW18"/>
  <c r="T5"/>
  <c r="T6"/>
  <c r="AB5"/>
  <c r="T7"/>
  <c r="AB6"/>
  <c r="T8"/>
  <c r="P7"/>
  <c r="S7"/>
  <c r="T9"/>
  <c r="AJ8"/>
  <c r="T10"/>
  <c r="S9"/>
  <c r="T11"/>
  <c r="AJ10"/>
  <c r="T12"/>
  <c r="S11"/>
  <c r="T13"/>
  <c r="AB12"/>
  <c r="T14"/>
  <c r="X13"/>
  <c r="Z13"/>
  <c r="AJ13"/>
  <c r="T15"/>
  <c r="S14"/>
  <c r="AB14"/>
  <c r="AJ14"/>
  <c r="C18"/>
  <c r="D18"/>
  <c r="T16"/>
  <c r="S15"/>
  <c r="AB15"/>
  <c r="AJ15"/>
  <c r="T17"/>
  <c r="S16"/>
  <c r="AB16"/>
  <c r="AJ16"/>
  <c r="T18"/>
  <c r="S17"/>
  <c r="AB17"/>
  <c r="AJ17"/>
  <c r="V33"/>
  <c r="C21" s="1"/>
  <c r="D21"/>
  <c r="T19"/>
  <c r="S18"/>
  <c r="T20"/>
  <c r="AJ19"/>
  <c r="T21"/>
  <c r="S20"/>
  <c r="C24"/>
  <c r="D24"/>
  <c r="T22"/>
  <c r="AB21"/>
  <c r="T23"/>
  <c r="AJ22"/>
  <c r="CS22"/>
  <c r="T24"/>
  <c r="C27"/>
  <c r="D27"/>
  <c r="T25"/>
  <c r="V24"/>
  <c r="V25" s="1"/>
  <c r="C28"/>
  <c r="D28"/>
  <c r="T26"/>
  <c r="T27"/>
  <c r="AB26"/>
  <c r="T28"/>
  <c r="V27"/>
  <c r="V30" s="1"/>
  <c r="CS27"/>
  <c r="T29"/>
  <c r="S28"/>
  <c r="CS28"/>
  <c r="T30"/>
  <c r="T31"/>
  <c r="W30"/>
  <c r="Z31"/>
  <c r="AC30"/>
  <c r="CR30"/>
  <c r="T32"/>
  <c r="S31"/>
  <c r="W31"/>
  <c r="AC31"/>
  <c r="T33"/>
  <c r="AC32"/>
  <c r="T34"/>
  <c r="AJ33"/>
  <c r="T35"/>
  <c r="S34"/>
  <c r="T36"/>
  <c r="AB35"/>
  <c r="T37"/>
  <c r="V36"/>
  <c r="Y36"/>
  <c r="Z36"/>
  <c r="CZ36"/>
  <c r="T38"/>
  <c r="Y37"/>
  <c r="Z37"/>
  <c r="CZ37"/>
  <c r="CZ40"/>
  <c r="CZ44"/>
  <c r="CZ45"/>
  <c r="CZ48"/>
  <c r="CZ52"/>
  <c r="CZ53"/>
  <c r="CZ56"/>
  <c r="CZ60"/>
  <c r="CZ61"/>
  <c r="CZ64"/>
  <c r="CZ68"/>
  <c r="CZ69"/>
  <c r="CZ72"/>
  <c r="CZ76"/>
  <c r="CZ77"/>
  <c r="CZ80"/>
  <c r="CZ84"/>
  <c r="CZ85"/>
  <c r="CZ88"/>
  <c r="CZ92"/>
  <c r="CZ93"/>
  <c r="CZ96"/>
  <c r="CZ100"/>
  <c r="CZ101"/>
  <c r="CZ104"/>
  <c r="CZ108"/>
  <c r="CZ109"/>
  <c r="CZ112"/>
  <c r="CZ116"/>
  <c r="CZ117"/>
  <c r="CZ120"/>
  <c r="CZ124"/>
  <c r="CZ125"/>
  <c r="CZ128"/>
  <c r="CZ132"/>
  <c r="CZ133"/>
  <c r="CZ136"/>
  <c r="CZ140"/>
  <c r="CZ141"/>
  <c r="CZ144"/>
  <c r="CZ148"/>
  <c r="CZ149"/>
  <c r="CZ152"/>
  <c r="CZ156"/>
  <c r="CZ157"/>
  <c r="CZ160"/>
  <c r="CZ164"/>
  <c r="CZ165"/>
  <c r="CZ168"/>
  <c r="CZ172"/>
  <c r="CZ173"/>
  <c r="CZ176"/>
  <c r="CZ180"/>
  <c r="CZ181"/>
  <c r="CZ184"/>
  <c r="CZ188"/>
  <c r="CZ189"/>
  <c r="CZ192"/>
  <c r="CZ196"/>
  <c r="CZ197"/>
  <c r="CZ200"/>
  <c r="CZ204"/>
  <c r="CZ205"/>
  <c r="CZ208"/>
  <c r="CZ212"/>
  <c r="CZ213"/>
  <c r="CZ216"/>
  <c r="CZ220"/>
  <c r="CZ221"/>
  <c r="CZ224"/>
  <c r="CZ228"/>
  <c r="CZ229"/>
  <c r="CZ232"/>
  <c r="CZ236"/>
  <c r="CZ237"/>
  <c r="CZ240"/>
  <c r="CZ244"/>
  <c r="CZ245"/>
  <c r="CZ248"/>
  <c r="CZ252"/>
  <c r="CZ253"/>
  <c r="CZ256"/>
  <c r="CZ260"/>
  <c r="CZ261"/>
  <c r="CZ264"/>
  <c r="CZ268"/>
  <c r="CZ269"/>
  <c r="CZ272"/>
  <c r="CZ276"/>
  <c r="CZ277"/>
  <c r="CZ280"/>
  <c r="CZ284"/>
  <c r="CZ285"/>
  <c r="CZ288"/>
  <c r="CZ292"/>
  <c r="CZ293"/>
  <c r="CZ296"/>
  <c r="CZ300"/>
  <c r="CZ301"/>
  <c r="CD103" i="6"/>
  <c r="B19" i="11"/>
  <c r="C18" i="9"/>
  <c r="C19" i="11"/>
  <c r="B18" i="9"/>
  <c r="S37" i="2" l="1"/>
  <c r="S29"/>
  <c r="S24"/>
  <c r="AJ23"/>
  <c r="S4"/>
  <c r="AJ3"/>
  <c r="S25"/>
  <c r="AJ24"/>
  <c r="S3"/>
  <c r="S2"/>
  <c r="AJ36"/>
  <c r="S36"/>
  <c r="S35"/>
  <c r="AJ32"/>
  <c r="AJ31"/>
  <c r="AJ29"/>
  <c r="AJ28"/>
  <c r="AJ27"/>
  <c r="AJ26"/>
  <c r="AJ25"/>
  <c r="S23"/>
  <c r="S22"/>
  <c r="S21"/>
  <c r="AJ20"/>
  <c r="S19"/>
  <c r="S13"/>
  <c r="S12"/>
  <c r="AJ9"/>
  <c r="S8"/>
  <c r="S6"/>
  <c r="S5"/>
  <c r="AJ2"/>
  <c r="W1"/>
  <c r="AA1"/>
  <c r="AJ37"/>
  <c r="AJ35"/>
  <c r="AJ34"/>
  <c r="S33"/>
  <c r="S32"/>
  <c r="AJ30"/>
  <c r="S30"/>
  <c r="S27"/>
  <c r="S26"/>
  <c r="AJ21"/>
  <c r="AJ18"/>
  <c r="AJ12"/>
  <c r="AJ11"/>
  <c r="S10"/>
  <c r="AJ7"/>
  <c r="AJ6"/>
  <c r="AJ5"/>
  <c r="AJ4"/>
  <c r="AI1"/>
  <c r="AE1"/>
  <c r="AF13" i="7"/>
  <c r="AE12"/>
  <c r="H19" i="10"/>
  <c r="S86"/>
  <c r="AG1" i="2"/>
  <c r="AC1"/>
  <c r="Y1"/>
  <c r="U1"/>
  <c r="V33" i="10"/>
  <c r="AH1" i="2"/>
  <c r="AD1"/>
  <c r="Z1"/>
  <c r="V1"/>
  <c r="AE36" i="10"/>
  <c r="AJ1" i="2"/>
  <c r="AF1"/>
  <c r="AB1"/>
  <c r="X1"/>
  <c r="AF11" i="7"/>
  <c r="B15" i="9"/>
  <c r="C15"/>
  <c r="DR3" i="2"/>
  <c r="AX1" i="4"/>
  <c r="AS4"/>
  <c r="BD19"/>
  <c r="BF19"/>
  <c r="BF21" s="1"/>
  <c r="BG21" s="1"/>
  <c r="AY22" i="2"/>
  <c r="DW14"/>
  <c r="DV3" s="1"/>
  <c r="DW20"/>
  <c r="AW24" i="4"/>
  <c r="AU24"/>
  <c r="AZ24"/>
  <c r="BB24" s="1"/>
  <c r="AV25"/>
  <c r="AY24"/>
  <c r="BA24" s="1"/>
  <c r="DP4" i="2"/>
  <c r="AB26" i="4"/>
  <c r="J17"/>
  <c r="J6"/>
  <c r="AB5"/>
  <c r="J28"/>
  <c r="L1"/>
  <c r="P1"/>
  <c r="T1"/>
  <c r="X1"/>
  <c r="AB1"/>
  <c r="AB4"/>
  <c r="J7"/>
  <c r="AB8"/>
  <c r="J9"/>
  <c r="AB10"/>
  <c r="J11"/>
  <c r="AB12"/>
  <c r="J20"/>
  <c r="J21"/>
  <c r="M1"/>
  <c r="R1"/>
  <c r="W1"/>
  <c r="J2"/>
  <c r="J5"/>
  <c r="J13"/>
  <c r="AB14"/>
  <c r="J18"/>
  <c r="AB23"/>
  <c r="AB25"/>
  <c r="J26"/>
  <c r="K1"/>
  <c r="Q1"/>
  <c r="V1"/>
  <c r="AA1"/>
  <c r="AB6"/>
  <c r="J8"/>
  <c r="J10"/>
  <c r="J12"/>
  <c r="J14"/>
  <c r="AB15"/>
  <c r="AB20"/>
  <c r="J23"/>
  <c r="AB24"/>
  <c r="J25"/>
  <c r="AB28"/>
  <c r="O1"/>
  <c r="Z1"/>
  <c r="AB2"/>
  <c r="J3"/>
  <c r="AB9"/>
  <c r="J19"/>
  <c r="AB21"/>
  <c r="AB22"/>
  <c r="J27"/>
  <c r="S1"/>
  <c r="AB3"/>
  <c r="AB18"/>
  <c r="AB19"/>
  <c r="AB27"/>
  <c r="AW23"/>
  <c r="AU23"/>
  <c r="BF23"/>
  <c r="BG23" s="1"/>
  <c r="AZ23"/>
  <c r="BB23" s="1"/>
  <c r="CZ17" i="6"/>
  <c r="DD2"/>
  <c r="CF679"/>
  <c r="CG679"/>
  <c r="CF665"/>
  <c r="CG665"/>
  <c r="CJ664"/>
  <c r="CK664"/>
  <c r="CF615"/>
  <c r="CG615"/>
  <c r="CF601"/>
  <c r="CG601"/>
  <c r="CJ600"/>
  <c r="CK600"/>
  <c r="CF250"/>
  <c r="CG250"/>
  <c r="CJ246"/>
  <c r="CK246"/>
  <c r="CJ229"/>
  <c r="CK229"/>
  <c r="AO987" i="8"/>
  <c r="AQ987"/>
  <c r="AR987" s="1"/>
  <c r="AL985"/>
  <c r="AM985" s="1"/>
  <c r="AJ985"/>
  <c r="AQ980"/>
  <c r="AR980" s="1"/>
  <c r="AO980"/>
  <c r="AL979"/>
  <c r="AM979" s="1"/>
  <c r="AJ979"/>
  <c r="AL289"/>
  <c r="AM289" s="1"/>
  <c r="AJ289"/>
  <c r="J24" i="4"/>
  <c r="J16"/>
  <c r="N1"/>
  <c r="BF24"/>
  <c r="BG24" s="1"/>
  <c r="AB17"/>
  <c r="AB16"/>
  <c r="J4"/>
  <c r="AV1"/>
  <c r="U1"/>
  <c r="DA18" i="6"/>
  <c r="AL529" i="8"/>
  <c r="AM529" s="1"/>
  <c r="AJ529"/>
  <c r="AO517"/>
  <c r="AQ517"/>
  <c r="AR517" s="1"/>
  <c r="AL473"/>
  <c r="AM473" s="1"/>
  <c r="AJ473"/>
  <c r="AQ468"/>
  <c r="AR468" s="1"/>
  <c r="AO468"/>
  <c r="AO374"/>
  <c r="AQ374"/>
  <c r="AR374" s="1"/>
  <c r="AB7" i="2"/>
  <c r="AB9"/>
  <c r="AB10"/>
  <c r="AB13"/>
  <c r="AB19"/>
  <c r="AB22"/>
  <c r="AB23"/>
  <c r="V26"/>
  <c r="V29" s="1"/>
  <c r="Z29"/>
  <c r="W5"/>
  <c r="AB4"/>
  <c r="AB8"/>
  <c r="AB11"/>
  <c r="AB18"/>
  <c r="AB20"/>
  <c r="V22"/>
  <c r="V23" s="1"/>
  <c r="V28"/>
  <c r="V31" s="1"/>
  <c r="Y29"/>
  <c r="AL567" i="8"/>
  <c r="AM567" s="1"/>
  <c r="AJ567"/>
  <c r="AO565"/>
  <c r="AQ565"/>
  <c r="AR565" s="1"/>
  <c r="AL204"/>
  <c r="AM204" s="1"/>
  <c r="AJ204"/>
  <c r="AL519"/>
  <c r="AM519" s="1"/>
  <c r="AJ519"/>
  <c r="AO475"/>
  <c r="AQ475"/>
  <c r="AR475" s="1"/>
  <c r="AL467"/>
  <c r="AM467" s="1"/>
  <c r="AJ467"/>
  <c r="CF697" i="6"/>
  <c r="CG697"/>
  <c r="CJ696"/>
  <c r="CK696"/>
  <c r="CJ693"/>
  <c r="CK693"/>
  <c r="CJ444"/>
  <c r="CK444"/>
  <c r="CF442"/>
  <c r="CG442"/>
  <c r="CJ441"/>
  <c r="CK441"/>
  <c r="BZ46"/>
  <c r="BY47"/>
  <c r="BV46"/>
  <c r="BX46" s="1"/>
  <c r="CJ653"/>
  <c r="CK653"/>
  <c r="CF630"/>
  <c r="CG630"/>
  <c r="CF561"/>
  <c r="CG561"/>
  <c r="CJ557"/>
  <c r="CK557"/>
  <c r="CJ540"/>
  <c r="CK540"/>
  <c r="CF433"/>
  <c r="CG433"/>
  <c r="CJ429"/>
  <c r="CK429"/>
  <c r="CF227"/>
  <c r="CG227"/>
  <c r="AO837" i="8"/>
  <c r="AQ837"/>
  <c r="AR837" s="1"/>
  <c r="AL787"/>
  <c r="AM787" s="1"/>
  <c r="AJ787"/>
  <c r="AL631"/>
  <c r="AM631" s="1"/>
  <c r="AJ631"/>
  <c r="AL357"/>
  <c r="AM357" s="1"/>
  <c r="AJ357"/>
  <c r="AO186"/>
  <c r="AQ186"/>
  <c r="AR186" s="1"/>
  <c r="BA23" i="5"/>
  <c r="AZ22"/>
  <c r="BE22"/>
  <c r="BG22" s="1"/>
  <c r="BD22"/>
  <c r="BF22" s="1"/>
  <c r="BX26" i="6"/>
  <c r="BX27" s="1"/>
  <c r="BX28"/>
  <c r="CF529"/>
  <c r="CG529"/>
  <c r="CJ525"/>
  <c r="CK525"/>
  <c r="CF508"/>
  <c r="CG508"/>
  <c r="CJ505"/>
  <c r="CK505"/>
  <c r="CJ380"/>
  <c r="CK380"/>
  <c r="CF378"/>
  <c r="CG378"/>
  <c r="CJ377"/>
  <c r="CK377"/>
  <c r="CJ318"/>
  <c r="CK318"/>
  <c r="CF224"/>
  <c r="CG224"/>
  <c r="CF200"/>
  <c r="CG200"/>
  <c r="AL823" i="8"/>
  <c r="AM823" s="1"/>
  <c r="AJ823"/>
  <c r="AO821"/>
  <c r="AQ821"/>
  <c r="AR821" s="1"/>
  <c r="AL785"/>
  <c r="AM785" s="1"/>
  <c r="AJ785"/>
  <c r="AL775"/>
  <c r="AM775" s="1"/>
  <c r="AJ775"/>
  <c r="AO773"/>
  <c r="AQ773"/>
  <c r="AR773" s="1"/>
  <c r="AO731"/>
  <c r="AQ731"/>
  <c r="AR731" s="1"/>
  <c r="AL729"/>
  <c r="AM729" s="1"/>
  <c r="AJ729"/>
  <c r="AQ724"/>
  <c r="AR724" s="1"/>
  <c r="AO724"/>
  <c r="AL723"/>
  <c r="AM723" s="1"/>
  <c r="AJ723"/>
  <c r="AL332"/>
  <c r="AM332" s="1"/>
  <c r="AJ332"/>
  <c r="AO246"/>
  <c r="AQ246"/>
  <c r="AR246" s="1"/>
  <c r="AO82"/>
  <c r="Q82" s="1"/>
  <c r="AJ93"/>
  <c r="O93" s="1"/>
  <c r="AJ109"/>
  <c r="O109" s="1"/>
  <c r="B13"/>
  <c r="AV32" i="6"/>
  <c r="AJ30"/>
  <c r="CJ629"/>
  <c r="CK629"/>
  <c r="CJ580"/>
  <c r="CK580"/>
  <c r="CJ432"/>
  <c r="CK432"/>
  <c r="CF406"/>
  <c r="CG406"/>
  <c r="AL849" i="8"/>
  <c r="AM849" s="1"/>
  <c r="AJ849"/>
  <c r="AL839"/>
  <c r="AM839" s="1"/>
  <c r="AJ839"/>
  <c r="AO795"/>
  <c r="AQ795"/>
  <c r="AR795" s="1"/>
  <c r="AL793"/>
  <c r="AM793" s="1"/>
  <c r="AJ793"/>
  <c r="AQ788"/>
  <c r="AR788" s="1"/>
  <c r="AO788"/>
  <c r="AO629"/>
  <c r="AQ629"/>
  <c r="AR629" s="1"/>
  <c r="AL272"/>
  <c r="AM272" s="1"/>
  <c r="AJ272"/>
  <c r="BC2" i="5"/>
  <c r="BC3"/>
  <c r="BC4" s="1"/>
  <c r="AN1" i="6"/>
  <c r="AR1"/>
  <c r="AV1"/>
  <c r="AJ5"/>
  <c r="AV6"/>
  <c r="AV9"/>
  <c r="AJ10"/>
  <c r="AJ11"/>
  <c r="AV12"/>
  <c r="AV13"/>
  <c r="AJ14"/>
  <c r="AV15"/>
  <c r="AV16"/>
  <c r="AJ17"/>
  <c r="AV18"/>
  <c r="AJ22"/>
  <c r="AV24"/>
  <c r="AV26"/>
  <c r="AV27"/>
  <c r="AJ29"/>
  <c r="AV30"/>
  <c r="AV34"/>
  <c r="AJ35"/>
  <c r="AJ36"/>
  <c r="AK1"/>
  <c r="AO1"/>
  <c r="AS1"/>
  <c r="AJ2"/>
  <c r="AJ4"/>
  <c r="AV5"/>
  <c r="AJ7"/>
  <c r="AJ8"/>
  <c r="AV10"/>
  <c r="AV11"/>
  <c r="AV14"/>
  <c r="AV17"/>
  <c r="AJ19"/>
  <c r="AJ20"/>
  <c r="AJ21"/>
  <c r="AV22"/>
  <c r="AJ23"/>
  <c r="AJ25"/>
  <c r="AJ28"/>
  <c r="AV29"/>
  <c r="AJ31"/>
  <c r="AJ33"/>
  <c r="AV35"/>
  <c r="AV36"/>
  <c r="AJ37"/>
  <c r="AL1"/>
  <c r="AT1"/>
  <c r="AV2"/>
  <c r="AJ3"/>
  <c r="AV7"/>
  <c r="AJ9"/>
  <c r="AJ12"/>
  <c r="AJ13"/>
  <c r="AJ15"/>
  <c r="AJ26"/>
  <c r="AJ34"/>
  <c r="AQ1"/>
  <c r="AV8"/>
  <c r="AV20"/>
  <c r="AV23"/>
  <c r="AV28"/>
  <c r="AV33"/>
  <c r="CF497"/>
  <c r="CG497"/>
  <c r="CJ496"/>
  <c r="CK496"/>
  <c r="CJ493"/>
  <c r="CK493"/>
  <c r="CF470"/>
  <c r="CG470"/>
  <c r="CF369"/>
  <c r="CG369"/>
  <c r="CJ368"/>
  <c r="CK368"/>
  <c r="CJ365"/>
  <c r="CK365"/>
  <c r="CJ357"/>
  <c r="CK357"/>
  <c r="AL887" i="8"/>
  <c r="AM887" s="1"/>
  <c r="AJ887"/>
  <c r="AO885"/>
  <c r="AQ885"/>
  <c r="AR885" s="1"/>
  <c r="AL593"/>
  <c r="AM593" s="1"/>
  <c r="AJ593"/>
  <c r="AL583"/>
  <c r="AM583" s="1"/>
  <c r="AJ583"/>
  <c r="AO581"/>
  <c r="AQ581"/>
  <c r="AR581" s="1"/>
  <c r="AO539"/>
  <c r="AQ539"/>
  <c r="AR539" s="1"/>
  <c r="AL537"/>
  <c r="AM537" s="1"/>
  <c r="AJ537"/>
  <c r="AQ532"/>
  <c r="AR532" s="1"/>
  <c r="AO532"/>
  <c r="AL531"/>
  <c r="AM531" s="1"/>
  <c r="AJ531"/>
  <c r="AO314"/>
  <c r="AQ314"/>
  <c r="AR314" s="1"/>
  <c r="AL229"/>
  <c r="AM229" s="1"/>
  <c r="AJ229"/>
  <c r="BF22" i="4"/>
  <c r="BG22" s="1"/>
  <c r="BN18" i="5"/>
  <c r="BN17" s="1"/>
  <c r="BI19"/>
  <c r="CG4040" i="6"/>
  <c r="CF4040"/>
  <c r="CG4024"/>
  <c r="CF4024"/>
  <c r="CG4008"/>
  <c r="CF4008"/>
  <c r="CG3992"/>
  <c r="CF3992"/>
  <c r="CG3976"/>
  <c r="CF3976"/>
  <c r="CG3960"/>
  <c r="CF3960"/>
  <c r="CG3944"/>
  <c r="CF3944"/>
  <c r="CG3928"/>
  <c r="CF3928"/>
  <c r="CG3912"/>
  <c r="CF3912"/>
  <c r="CG3896"/>
  <c r="CF3896"/>
  <c r="CG3880"/>
  <c r="CF3880"/>
  <c r="CG3864"/>
  <c r="CF3864"/>
  <c r="CG3848"/>
  <c r="CF3848"/>
  <c r="CG3832"/>
  <c r="CF3832"/>
  <c r="CG3816"/>
  <c r="CF3816"/>
  <c r="CG3800"/>
  <c r="CF3800"/>
  <c r="CG3784"/>
  <c r="CF3784"/>
  <c r="CG3768"/>
  <c r="CF3768"/>
  <c r="CG3752"/>
  <c r="CF3752"/>
  <c r="CG3736"/>
  <c r="CF3736"/>
  <c r="CG3720"/>
  <c r="CF3720"/>
  <c r="CG3704"/>
  <c r="CF3704"/>
  <c r="CG3688"/>
  <c r="CF3688"/>
  <c r="CG3672"/>
  <c r="CF3672"/>
  <c r="CG3656"/>
  <c r="CF3656"/>
  <c r="CG3640"/>
  <c r="CF3640"/>
  <c r="CG3624"/>
  <c r="CF3624"/>
  <c r="CG3608"/>
  <c r="CF3608"/>
  <c r="CG3592"/>
  <c r="CF3592"/>
  <c r="CG3576"/>
  <c r="CF3576"/>
  <c r="CG3560"/>
  <c r="CF3560"/>
  <c r="CG3544"/>
  <c r="CF3544"/>
  <c r="CG3528"/>
  <c r="CF3528"/>
  <c r="CG3512"/>
  <c r="CF3512"/>
  <c r="CG3496"/>
  <c r="CF3496"/>
  <c r="CG3480"/>
  <c r="CF3480"/>
  <c r="CG3464"/>
  <c r="CF3464"/>
  <c r="CG3448"/>
  <c r="CF3448"/>
  <c r="CG3432"/>
  <c r="CF3432"/>
  <c r="CG3416"/>
  <c r="CF3416"/>
  <c r="CG3400"/>
  <c r="CF3400"/>
  <c r="CG3384"/>
  <c r="CF3384"/>
  <c r="CG3368"/>
  <c r="CF3368"/>
  <c r="CG3352"/>
  <c r="CF3352"/>
  <c r="CG3336"/>
  <c r="CF3336"/>
  <c r="CG3320"/>
  <c r="CF3320"/>
  <c r="CG3304"/>
  <c r="CF3304"/>
  <c r="CG3288"/>
  <c r="CF3288"/>
  <c r="CG3272"/>
  <c r="CF3272"/>
  <c r="CG3256"/>
  <c r="CF3256"/>
  <c r="CG3240"/>
  <c r="CF3240"/>
  <c r="CG3224"/>
  <c r="CF3224"/>
  <c r="CG3208"/>
  <c r="CF3208"/>
  <c r="CG3192"/>
  <c r="CF3192"/>
  <c r="CG3176"/>
  <c r="CF3176"/>
  <c r="CG3160"/>
  <c r="CF3160"/>
  <c r="CG3144"/>
  <c r="CF3144"/>
  <c r="CG3128"/>
  <c r="CF3128"/>
  <c r="CG3112"/>
  <c r="CF3112"/>
  <c r="CG3096"/>
  <c r="CF3096"/>
  <c r="CG3080"/>
  <c r="CF3080"/>
  <c r="CG3064"/>
  <c r="CF3064"/>
  <c r="CG3048"/>
  <c r="CF3048"/>
  <c r="CG3032"/>
  <c r="CF3032"/>
  <c r="CG3016"/>
  <c r="CF3016"/>
  <c r="CG3000"/>
  <c r="CF3000"/>
  <c r="CG2984"/>
  <c r="CF2984"/>
  <c r="CG2968"/>
  <c r="CF2968"/>
  <c r="CG2952"/>
  <c r="CF2952"/>
  <c r="CG2936"/>
  <c r="CF2936"/>
  <c r="CG2920"/>
  <c r="CF2920"/>
  <c r="CG2904"/>
  <c r="CF2904"/>
  <c r="CG2888"/>
  <c r="CF2888"/>
  <c r="CG2872"/>
  <c r="CF2872"/>
  <c r="CG2856"/>
  <c r="CF2856"/>
  <c r="CG2840"/>
  <c r="CF2840"/>
  <c r="CG2824"/>
  <c r="CF2824"/>
  <c r="CG2808"/>
  <c r="CF2808"/>
  <c r="CG2792"/>
  <c r="CF2792"/>
  <c r="CG2776"/>
  <c r="CF2776"/>
  <c r="CG2760"/>
  <c r="CF2760"/>
  <c r="CG2744"/>
  <c r="CF2744"/>
  <c r="CG2728"/>
  <c r="CF2728"/>
  <c r="CG2712"/>
  <c r="CF2712"/>
  <c r="CG2696"/>
  <c r="CF2696"/>
  <c r="CG2680"/>
  <c r="CF2680"/>
  <c r="CG2664"/>
  <c r="CF2664"/>
  <c r="CG2648"/>
  <c r="CF2648"/>
  <c r="CG2632"/>
  <c r="CF2632"/>
  <c r="CG2616"/>
  <c r="CF2616"/>
  <c r="CG2600"/>
  <c r="CF2600"/>
  <c r="CG2584"/>
  <c r="CF2584"/>
  <c r="CG2568"/>
  <c r="CF2568"/>
  <c r="CG2552"/>
  <c r="CF2552"/>
  <c r="CG2536"/>
  <c r="CF2536"/>
  <c r="CG2520"/>
  <c r="CF2520"/>
  <c r="CG2504"/>
  <c r="CF2504"/>
  <c r="CG2488"/>
  <c r="CF2488"/>
  <c r="CG2472"/>
  <c r="CF2472"/>
  <c r="CG2456"/>
  <c r="CF2456"/>
  <c r="CG2440"/>
  <c r="CF2440"/>
  <c r="CG2424"/>
  <c r="CF2424"/>
  <c r="CG2408"/>
  <c r="CF2408"/>
  <c r="CG2392"/>
  <c r="CF2392"/>
  <c r="CG2376"/>
  <c r="CF2376"/>
  <c r="CG2360"/>
  <c r="CF2360"/>
  <c r="CG1330"/>
  <c r="CF1330"/>
  <c r="CG1322"/>
  <c r="CF1322"/>
  <c r="CG1314"/>
  <c r="CF1314"/>
  <c r="CG1306"/>
  <c r="CF1306"/>
  <c r="CG1298"/>
  <c r="CF1298"/>
  <c r="CG1290"/>
  <c r="CF1290"/>
  <c r="CG1282"/>
  <c r="CF1282"/>
  <c r="CG1274"/>
  <c r="CF1274"/>
  <c r="CG1266"/>
  <c r="CF1266"/>
  <c r="CG1258"/>
  <c r="CF1258"/>
  <c r="CG1250"/>
  <c r="CF1250"/>
  <c r="CG1242"/>
  <c r="CF1242"/>
  <c r="CG1234"/>
  <c r="CF1234"/>
  <c r="CG1226"/>
  <c r="CF1226"/>
  <c r="CG1218"/>
  <c r="CF1218"/>
  <c r="CG1210"/>
  <c r="CF1210"/>
  <c r="CG1202"/>
  <c r="CF1202"/>
  <c r="CG1194"/>
  <c r="CF1194"/>
  <c r="CG1186"/>
  <c r="CF1186"/>
  <c r="CG1178"/>
  <c r="CF1178"/>
  <c r="CG1170"/>
  <c r="CF1170"/>
  <c r="CG1162"/>
  <c r="CF1162"/>
  <c r="CG1154"/>
  <c r="CF1154"/>
  <c r="CG1146"/>
  <c r="CF1146"/>
  <c r="CG1138"/>
  <c r="CF1138"/>
  <c r="CG1130"/>
  <c r="CF1130"/>
  <c r="CG1122"/>
  <c r="CF1122"/>
  <c r="CG1114"/>
  <c r="CF1114"/>
  <c r="CG1106"/>
  <c r="CF1106"/>
  <c r="CG1098"/>
  <c r="CF1098"/>
  <c r="CG1090"/>
  <c r="CF1090"/>
  <c r="CG1082"/>
  <c r="CF1082"/>
  <c r="CG1074"/>
  <c r="CF1074"/>
  <c r="CG1066"/>
  <c r="CF1066"/>
  <c r="CG1058"/>
  <c r="CF1058"/>
  <c r="CG1050"/>
  <c r="CF1050"/>
  <c r="CG1042"/>
  <c r="CF1042"/>
  <c r="CG1034"/>
  <c r="CF1034"/>
  <c r="CG1026"/>
  <c r="CF1026"/>
  <c r="CG1018"/>
  <c r="CF1018"/>
  <c r="CG1010"/>
  <c r="CF1010"/>
  <c r="CG1002"/>
  <c r="CF1002"/>
  <c r="CG994"/>
  <c r="CF994"/>
  <c r="CG986"/>
  <c r="CF986"/>
  <c r="CG978"/>
  <c r="CF978"/>
  <c r="CG970"/>
  <c r="CF970"/>
  <c r="CG962"/>
  <c r="CF962"/>
  <c r="CG954"/>
  <c r="CF954"/>
  <c r="CG946"/>
  <c r="CF946"/>
  <c r="CG938"/>
  <c r="CF938"/>
  <c r="CG930"/>
  <c r="CF930"/>
  <c r="CG922"/>
  <c r="CF922"/>
  <c r="CG914"/>
  <c r="CF914"/>
  <c r="CG906"/>
  <c r="CF906"/>
  <c r="CG898"/>
  <c r="CF898"/>
  <c r="CG890"/>
  <c r="CF890"/>
  <c r="CG874"/>
  <c r="CF874"/>
  <c r="CG858"/>
  <c r="CF858"/>
  <c r="CG842"/>
  <c r="CF842"/>
  <c r="CG826"/>
  <c r="CF826"/>
  <c r="CG810"/>
  <c r="CF810"/>
  <c r="CG794"/>
  <c r="CF794"/>
  <c r="CG778"/>
  <c r="CF778"/>
  <c r="CG762"/>
  <c r="CF762"/>
  <c r="CG746"/>
  <c r="CF746"/>
  <c r="CG730"/>
  <c r="CF730"/>
  <c r="CG714"/>
  <c r="CF714"/>
  <c r="CG685"/>
  <c r="CF685"/>
  <c r="CF638"/>
  <c r="CG638"/>
  <c r="CF625"/>
  <c r="CG625"/>
  <c r="CJ624"/>
  <c r="CK624"/>
  <c r="CF578"/>
  <c r="CG578"/>
  <c r="CJ548"/>
  <c r="CK548"/>
  <c r="CF538"/>
  <c r="CG538"/>
  <c r="CF485"/>
  <c r="CG485"/>
  <c r="CF421"/>
  <c r="CG421"/>
  <c r="CF355"/>
  <c r="CG355"/>
  <c r="AL977" i="8"/>
  <c r="AM977" s="1"/>
  <c r="AJ977"/>
  <c r="AL967"/>
  <c r="AM967" s="1"/>
  <c r="AJ967"/>
  <c r="AO965"/>
  <c r="AQ965"/>
  <c r="AR965" s="1"/>
  <c r="AO923"/>
  <c r="AQ923"/>
  <c r="AR923" s="1"/>
  <c r="AL921"/>
  <c r="AM921" s="1"/>
  <c r="AJ921"/>
  <c r="AQ916"/>
  <c r="AR916" s="1"/>
  <c r="AO916"/>
  <c r="AL915"/>
  <c r="AM915" s="1"/>
  <c r="AJ915"/>
  <c r="AL759"/>
  <c r="AM759" s="1"/>
  <c r="AJ759"/>
  <c r="AO757"/>
  <c r="AQ757"/>
  <c r="AR757" s="1"/>
  <c r="AL721"/>
  <c r="AM721" s="1"/>
  <c r="AJ721"/>
  <c r="AL711"/>
  <c r="AM711" s="1"/>
  <c r="AJ711"/>
  <c r="AO709"/>
  <c r="AQ709"/>
  <c r="AR709" s="1"/>
  <c r="AO667"/>
  <c r="AQ667"/>
  <c r="AR667" s="1"/>
  <c r="AL665"/>
  <c r="AM665" s="1"/>
  <c r="AJ665"/>
  <c r="AQ660"/>
  <c r="AR660" s="1"/>
  <c r="AO660"/>
  <c r="AL659"/>
  <c r="AM659" s="1"/>
  <c r="AJ659"/>
  <c r="AL503"/>
  <c r="AM503" s="1"/>
  <c r="AJ503"/>
  <c r="AO501"/>
  <c r="AQ501"/>
  <c r="AR501" s="1"/>
  <c r="AL465"/>
  <c r="AM465" s="1"/>
  <c r="AJ465"/>
  <c r="AL455"/>
  <c r="AM455" s="1"/>
  <c r="AJ455"/>
  <c r="AO453"/>
  <c r="AQ453"/>
  <c r="AR453" s="1"/>
  <c r="AO411"/>
  <c r="AQ411"/>
  <c r="AR411" s="1"/>
  <c r="AL409"/>
  <c r="AM409" s="1"/>
  <c r="AJ409"/>
  <c r="AQ404"/>
  <c r="AR404" s="1"/>
  <c r="AO404"/>
  <c r="AL403"/>
  <c r="AM403" s="1"/>
  <c r="AJ403"/>
  <c r="AL353"/>
  <c r="AM353" s="1"/>
  <c r="AJ353"/>
  <c r="AO310"/>
  <c r="AQ310"/>
  <c r="AR310" s="1"/>
  <c r="AL268"/>
  <c r="AM268" s="1"/>
  <c r="AJ268"/>
  <c r="AL225"/>
  <c r="AM225" s="1"/>
  <c r="AJ225"/>
  <c r="AO182"/>
  <c r="AQ182"/>
  <c r="AR182" s="1"/>
  <c r="AH20" i="7"/>
  <c r="AH19"/>
  <c r="AE28" s="1"/>
  <c r="AH28" s="1"/>
  <c r="CF2306" i="6"/>
  <c r="CF2242"/>
  <c r="CF2178"/>
  <c r="CF2114"/>
  <c r="CF2050"/>
  <c r="CF1986"/>
  <c r="CF1922"/>
  <c r="CF1858"/>
  <c r="CF1794"/>
  <c r="CF1730"/>
  <c r="CF1666"/>
  <c r="CF1602"/>
  <c r="CF1538"/>
  <c r="CF1474"/>
  <c r="CF1410"/>
  <c r="CF1346"/>
  <c r="CF1320"/>
  <c r="CF1288"/>
  <c r="BZ10"/>
  <c r="BZ12"/>
  <c r="CW10"/>
  <c r="BX33" s="1"/>
  <c r="BX32"/>
  <c r="CW11"/>
  <c r="BX34" s="1"/>
  <c r="CG4028"/>
  <c r="CF4028"/>
  <c r="CG4012"/>
  <c r="CF4012"/>
  <c r="CG3996"/>
  <c r="CF3996"/>
  <c r="CG3980"/>
  <c r="CF3980"/>
  <c r="CG3964"/>
  <c r="CF3964"/>
  <c r="CG3948"/>
  <c r="CF3948"/>
  <c r="CG3932"/>
  <c r="CF3932"/>
  <c r="CG3916"/>
  <c r="CF3916"/>
  <c r="CG3900"/>
  <c r="CF3900"/>
  <c r="CG3884"/>
  <c r="CF3884"/>
  <c r="CG3868"/>
  <c r="CF3868"/>
  <c r="CG3852"/>
  <c r="CF3852"/>
  <c r="CG3836"/>
  <c r="CF3836"/>
  <c r="CG3820"/>
  <c r="CF3820"/>
  <c r="CG3804"/>
  <c r="CF3804"/>
  <c r="CG3788"/>
  <c r="CF3788"/>
  <c r="CG3772"/>
  <c r="CF3772"/>
  <c r="CG3756"/>
  <c r="CF3756"/>
  <c r="CG3740"/>
  <c r="CF3740"/>
  <c r="CG3724"/>
  <c r="CF3724"/>
  <c r="CG3708"/>
  <c r="CF3708"/>
  <c r="CG3692"/>
  <c r="CF3692"/>
  <c r="CG3676"/>
  <c r="CF3676"/>
  <c r="CG3660"/>
  <c r="CF3660"/>
  <c r="CG3644"/>
  <c r="CF3644"/>
  <c r="CG3628"/>
  <c r="CF3628"/>
  <c r="CG3612"/>
  <c r="CF3612"/>
  <c r="CG3596"/>
  <c r="CF3596"/>
  <c r="CG3580"/>
  <c r="CF3580"/>
  <c r="CG3564"/>
  <c r="CF3564"/>
  <c r="CG3548"/>
  <c r="CF3548"/>
  <c r="CG3532"/>
  <c r="CF3532"/>
  <c r="CG3516"/>
  <c r="CF3516"/>
  <c r="CG3500"/>
  <c r="CF3500"/>
  <c r="CG3484"/>
  <c r="CF3484"/>
  <c r="CG3468"/>
  <c r="CF3468"/>
  <c r="CG3452"/>
  <c r="CF3452"/>
  <c r="CG3436"/>
  <c r="CF3436"/>
  <c r="CG3420"/>
  <c r="CF3420"/>
  <c r="CG3404"/>
  <c r="CF3404"/>
  <c r="CG3388"/>
  <c r="CF3388"/>
  <c r="CG3372"/>
  <c r="CF3372"/>
  <c r="CG3356"/>
  <c r="CF3356"/>
  <c r="CG3340"/>
  <c r="CF3340"/>
  <c r="CG3324"/>
  <c r="CF3324"/>
  <c r="CG3308"/>
  <c r="CF3308"/>
  <c r="CG3292"/>
  <c r="CF3292"/>
  <c r="CG3276"/>
  <c r="CF3276"/>
  <c r="CG3260"/>
  <c r="CF3260"/>
  <c r="CG3244"/>
  <c r="CF3244"/>
  <c r="CG3228"/>
  <c r="CF3228"/>
  <c r="CG3212"/>
  <c r="CF3212"/>
  <c r="CG3196"/>
  <c r="CF3196"/>
  <c r="CG3180"/>
  <c r="CF3180"/>
  <c r="CG3164"/>
  <c r="CF3164"/>
  <c r="CG3148"/>
  <c r="CF3148"/>
  <c r="CG3132"/>
  <c r="CF3132"/>
  <c r="CG3116"/>
  <c r="CF3116"/>
  <c r="CG3100"/>
  <c r="CF3100"/>
  <c r="CG3084"/>
  <c r="CF3084"/>
  <c r="CG3068"/>
  <c r="CF3068"/>
  <c r="CG3052"/>
  <c r="CF3052"/>
  <c r="CG3036"/>
  <c r="CF3036"/>
  <c r="CG3020"/>
  <c r="CF3020"/>
  <c r="CG3004"/>
  <c r="CF3004"/>
  <c r="CG2988"/>
  <c r="CF2988"/>
  <c r="CG2972"/>
  <c r="CF2972"/>
  <c r="CG2956"/>
  <c r="CF2956"/>
  <c r="CG2940"/>
  <c r="CF2940"/>
  <c r="CG2924"/>
  <c r="CF2924"/>
  <c r="CG2908"/>
  <c r="CF2908"/>
  <c r="CG2892"/>
  <c r="CF2892"/>
  <c r="CG2876"/>
  <c r="CF2876"/>
  <c r="CG2860"/>
  <c r="CF2860"/>
  <c r="CG2844"/>
  <c r="CF2844"/>
  <c r="CG2828"/>
  <c r="CF2828"/>
  <c r="CG2812"/>
  <c r="CF2812"/>
  <c r="CG2796"/>
  <c r="CF2796"/>
  <c r="CG2780"/>
  <c r="CF2780"/>
  <c r="CG2764"/>
  <c r="CF2764"/>
  <c r="CG2748"/>
  <c r="CF2748"/>
  <c r="CG2732"/>
  <c r="CF2732"/>
  <c r="CG2716"/>
  <c r="CF2716"/>
  <c r="CG2700"/>
  <c r="CF2700"/>
  <c r="CG2684"/>
  <c r="CF2684"/>
  <c r="CG2668"/>
  <c r="CF2668"/>
  <c r="CG2652"/>
  <c r="CF2652"/>
  <c r="CG2636"/>
  <c r="CF2636"/>
  <c r="CG2620"/>
  <c r="CF2620"/>
  <c r="CG2604"/>
  <c r="CF2604"/>
  <c r="CG2588"/>
  <c r="CF2588"/>
  <c r="CG2572"/>
  <c r="CF2572"/>
  <c r="CG2556"/>
  <c r="CF2556"/>
  <c r="CG2540"/>
  <c r="CF2540"/>
  <c r="CG2524"/>
  <c r="CF2524"/>
  <c r="CG2508"/>
  <c r="CF2508"/>
  <c r="CG2492"/>
  <c r="CF2492"/>
  <c r="CG2476"/>
  <c r="CF2476"/>
  <c r="CG2460"/>
  <c r="CF2460"/>
  <c r="CG2444"/>
  <c r="CF2444"/>
  <c r="CG2428"/>
  <c r="CF2428"/>
  <c r="CG2412"/>
  <c r="CF2412"/>
  <c r="CG2396"/>
  <c r="CF2396"/>
  <c r="CG2380"/>
  <c r="CF2380"/>
  <c r="CG2364"/>
  <c r="CF2364"/>
  <c r="CG2348"/>
  <c r="CF2348"/>
  <c r="CG2332"/>
  <c r="CF2332"/>
  <c r="CG2316"/>
  <c r="CF2316"/>
  <c r="CG2300"/>
  <c r="CF2300"/>
  <c r="CG2284"/>
  <c r="CF2284"/>
  <c r="CG2268"/>
  <c r="CF2268"/>
  <c r="CG2252"/>
  <c r="CF2252"/>
  <c r="CG2236"/>
  <c r="CF2236"/>
  <c r="CG2220"/>
  <c r="CF2220"/>
  <c r="CG2204"/>
  <c r="CF2204"/>
  <c r="CG2188"/>
  <c r="CF2188"/>
  <c r="CG2172"/>
  <c r="CF2172"/>
  <c r="CG2156"/>
  <c r="CF2156"/>
  <c r="CG2140"/>
  <c r="CF2140"/>
  <c r="CG2124"/>
  <c r="CF2124"/>
  <c r="CG2108"/>
  <c r="CF2108"/>
  <c r="CG2092"/>
  <c r="CF2092"/>
  <c r="CG2076"/>
  <c r="CF2076"/>
  <c r="CG2060"/>
  <c r="CF2060"/>
  <c r="CG2044"/>
  <c r="CF2044"/>
  <c r="CG2028"/>
  <c r="CF2028"/>
  <c r="CG2012"/>
  <c r="CF2012"/>
  <c r="CG1996"/>
  <c r="CF1996"/>
  <c r="CG1980"/>
  <c r="CF1980"/>
  <c r="CG1964"/>
  <c r="CF1964"/>
  <c r="CG1948"/>
  <c r="CF1948"/>
  <c r="CG1932"/>
  <c r="CF1932"/>
  <c r="CG1916"/>
  <c r="CF1916"/>
  <c r="CG1900"/>
  <c r="CF1900"/>
  <c r="CG1884"/>
  <c r="CF1884"/>
  <c r="CG1868"/>
  <c r="CF1868"/>
  <c r="CG1852"/>
  <c r="CF1852"/>
  <c r="CG1836"/>
  <c r="CF1836"/>
  <c r="CG1820"/>
  <c r="CF1820"/>
  <c r="CG1804"/>
  <c r="CF1804"/>
  <c r="CG1788"/>
  <c r="CF1788"/>
  <c r="CG1772"/>
  <c r="CF1772"/>
  <c r="CG1756"/>
  <c r="CF1756"/>
  <c r="CG1740"/>
  <c r="CF1740"/>
  <c r="CG1724"/>
  <c r="CF1724"/>
  <c r="CG1708"/>
  <c r="CF1708"/>
  <c r="CG1692"/>
  <c r="CF1692"/>
  <c r="CG1676"/>
  <c r="CF1676"/>
  <c r="CG1660"/>
  <c r="CF1660"/>
  <c r="CG1644"/>
  <c r="CF1644"/>
  <c r="CG1628"/>
  <c r="CF1628"/>
  <c r="CG1612"/>
  <c r="CF1612"/>
  <c r="CG1596"/>
  <c r="CF1596"/>
  <c r="CG1580"/>
  <c r="CF1580"/>
  <c r="CG1564"/>
  <c r="CF1564"/>
  <c r="CG1548"/>
  <c r="CF1548"/>
  <c r="CG1532"/>
  <c r="CF1532"/>
  <c r="CG1516"/>
  <c r="CF1516"/>
  <c r="CG1500"/>
  <c r="CF1500"/>
  <c r="CG1484"/>
  <c r="CF1484"/>
  <c r="CG1468"/>
  <c r="CF1468"/>
  <c r="CG1452"/>
  <c r="CF1452"/>
  <c r="CG1436"/>
  <c r="CF1436"/>
  <c r="CG1420"/>
  <c r="CF1420"/>
  <c r="CG1404"/>
  <c r="CF1404"/>
  <c r="CG1388"/>
  <c r="CF1388"/>
  <c r="CG1372"/>
  <c r="CF1372"/>
  <c r="CG1356"/>
  <c r="CF1356"/>
  <c r="CG1340"/>
  <c r="CF1340"/>
  <c r="CG888"/>
  <c r="CF888"/>
  <c r="CG880"/>
  <c r="CF880"/>
  <c r="CG872"/>
  <c r="CF872"/>
  <c r="CG864"/>
  <c r="CF864"/>
  <c r="CG856"/>
  <c r="CF856"/>
  <c r="CG848"/>
  <c r="CF848"/>
  <c r="CG840"/>
  <c r="CF840"/>
  <c r="CG832"/>
  <c r="CF832"/>
  <c r="CG824"/>
  <c r="CF824"/>
  <c r="CG816"/>
  <c r="CF816"/>
  <c r="CG808"/>
  <c r="CF808"/>
  <c r="CG800"/>
  <c r="CF800"/>
  <c r="CG792"/>
  <c r="CF792"/>
  <c r="CG784"/>
  <c r="CF784"/>
  <c r="CG776"/>
  <c r="CF776"/>
  <c r="CG768"/>
  <c r="CF768"/>
  <c r="CG760"/>
  <c r="CF760"/>
  <c r="CG752"/>
  <c r="CF752"/>
  <c r="CG744"/>
  <c r="CF744"/>
  <c r="CG736"/>
  <c r="CF736"/>
  <c r="CG728"/>
  <c r="CF728"/>
  <c r="CG720"/>
  <c r="CF720"/>
  <c r="CG712"/>
  <c r="CF712"/>
  <c r="CF352"/>
  <c r="CG352"/>
  <c r="CF328"/>
  <c r="CG328"/>
  <c r="CF256"/>
  <c r="CG256"/>
  <c r="CF232"/>
  <c r="CG232"/>
  <c r="CJ222"/>
  <c r="CK222"/>
  <c r="CF171"/>
  <c r="CG171"/>
  <c r="CJ141"/>
  <c r="CK141"/>
  <c r="AL951" i="8"/>
  <c r="AM951" s="1"/>
  <c r="AJ951"/>
  <c r="AO949"/>
  <c r="AQ949"/>
  <c r="AR949" s="1"/>
  <c r="AL913"/>
  <c r="AM913" s="1"/>
  <c r="AJ913"/>
  <c r="AL903"/>
  <c r="AM903" s="1"/>
  <c r="AJ903"/>
  <c r="AO901"/>
  <c r="AQ901"/>
  <c r="AR901" s="1"/>
  <c r="AO859"/>
  <c r="AQ859"/>
  <c r="AR859" s="1"/>
  <c r="AL857"/>
  <c r="AM857" s="1"/>
  <c r="AJ857"/>
  <c r="AQ852"/>
  <c r="AR852" s="1"/>
  <c r="AO852"/>
  <c r="AL851"/>
  <c r="AM851" s="1"/>
  <c r="AJ851"/>
  <c r="AL695"/>
  <c r="AM695" s="1"/>
  <c r="AJ695"/>
  <c r="AO693"/>
  <c r="AQ693"/>
  <c r="AR693" s="1"/>
  <c r="AL657"/>
  <c r="AM657" s="1"/>
  <c r="AJ657"/>
  <c r="AL647"/>
  <c r="AM647" s="1"/>
  <c r="AJ647"/>
  <c r="AO645"/>
  <c r="AQ645"/>
  <c r="AR645" s="1"/>
  <c r="AO603"/>
  <c r="AQ603"/>
  <c r="AR603" s="1"/>
  <c r="AL601"/>
  <c r="AM601" s="1"/>
  <c r="AJ601"/>
  <c r="AQ596"/>
  <c r="AR596" s="1"/>
  <c r="AO596"/>
  <c r="AL595"/>
  <c r="AM595" s="1"/>
  <c r="AJ595"/>
  <c r="AL439"/>
  <c r="AM439" s="1"/>
  <c r="AJ439"/>
  <c r="AO437"/>
  <c r="AQ437"/>
  <c r="AR437" s="1"/>
  <c r="AL401"/>
  <c r="AM401" s="1"/>
  <c r="AJ401"/>
  <c r="AL391"/>
  <c r="AM391" s="1"/>
  <c r="AJ391"/>
  <c r="AO389"/>
  <c r="AQ389"/>
  <c r="AR389" s="1"/>
  <c r="AO378"/>
  <c r="AQ378"/>
  <c r="AR378" s="1"/>
  <c r="AL336"/>
  <c r="AM336" s="1"/>
  <c r="AJ336"/>
  <c r="AL293"/>
  <c r="AM293" s="1"/>
  <c r="AJ293"/>
  <c r="AO250"/>
  <c r="AQ250"/>
  <c r="AR250" s="1"/>
  <c r="AL208"/>
  <c r="AM208" s="1"/>
  <c r="AJ208"/>
  <c r="CB43" i="6"/>
  <c r="CB45" s="1"/>
  <c r="CG884"/>
  <c r="CF884"/>
  <c r="CG876"/>
  <c r="CF876"/>
  <c r="CG868"/>
  <c r="CF868"/>
  <c r="CG860"/>
  <c r="CF860"/>
  <c r="CG852"/>
  <c r="CF852"/>
  <c r="CG844"/>
  <c r="CF844"/>
  <c r="CG836"/>
  <c r="CF836"/>
  <c r="CG828"/>
  <c r="CF828"/>
  <c r="CG820"/>
  <c r="CF820"/>
  <c r="CG812"/>
  <c r="CF812"/>
  <c r="CG804"/>
  <c r="CF804"/>
  <c r="CG796"/>
  <c r="CF796"/>
  <c r="CG788"/>
  <c r="CF788"/>
  <c r="CG780"/>
  <c r="CF780"/>
  <c r="CG772"/>
  <c r="CF772"/>
  <c r="CG764"/>
  <c r="CF764"/>
  <c r="CG756"/>
  <c r="CF756"/>
  <c r="CG748"/>
  <c r="CF748"/>
  <c r="CG740"/>
  <c r="CF740"/>
  <c r="CG732"/>
  <c r="CF732"/>
  <c r="CG724"/>
  <c r="CF724"/>
  <c r="CG716"/>
  <c r="CF716"/>
  <c r="CG708"/>
  <c r="CF708"/>
  <c r="CF657"/>
  <c r="CG657"/>
  <c r="CF656"/>
  <c r="CG656"/>
  <c r="CF633"/>
  <c r="CG633"/>
  <c r="CF632"/>
  <c r="CG632"/>
  <c r="CF593"/>
  <c r="CG593"/>
  <c r="CF592"/>
  <c r="CG592"/>
  <c r="CJ589"/>
  <c r="CK589"/>
  <c r="CF572"/>
  <c r="CG572"/>
  <c r="CJ533"/>
  <c r="CK533"/>
  <c r="CF476"/>
  <c r="CG476"/>
  <c r="CJ473"/>
  <c r="CK473"/>
  <c r="CF453"/>
  <c r="CG453"/>
  <c r="CF412"/>
  <c r="CG412"/>
  <c r="CJ409"/>
  <c r="CK409"/>
  <c r="CF389"/>
  <c r="CG389"/>
  <c r="CF360"/>
  <c r="CG360"/>
  <c r="CJ350"/>
  <c r="CK350"/>
  <c r="CJ269"/>
  <c r="CK269"/>
  <c r="CJ173"/>
  <c r="CK173"/>
  <c r="CJ150"/>
  <c r="CK150"/>
  <c r="CJ133"/>
  <c r="CK133"/>
  <c r="AL1005" i="8"/>
  <c r="AM1005" s="1"/>
  <c r="AJ1005"/>
  <c r="AQ990"/>
  <c r="AR990" s="1"/>
  <c r="AO990"/>
  <c r="AQ964"/>
  <c r="AR964" s="1"/>
  <c r="AO964"/>
  <c r="AL963"/>
  <c r="AM963" s="1"/>
  <c r="AJ963"/>
  <c r="AL957"/>
  <c r="AM957" s="1"/>
  <c r="AJ957"/>
  <c r="AL941"/>
  <c r="AM941" s="1"/>
  <c r="AJ941"/>
  <c r="AQ926"/>
  <c r="AR926" s="1"/>
  <c r="AO926"/>
  <c r="AQ900"/>
  <c r="AR900" s="1"/>
  <c r="AO900"/>
  <c r="AL899"/>
  <c r="AM899" s="1"/>
  <c r="AJ899"/>
  <c r="AL893"/>
  <c r="AM893" s="1"/>
  <c r="AJ893"/>
  <c r="AL877"/>
  <c r="AM877" s="1"/>
  <c r="AJ877"/>
  <c r="AQ862"/>
  <c r="AR862" s="1"/>
  <c r="AO862"/>
  <c r="AQ836"/>
  <c r="AR836" s="1"/>
  <c r="AO836"/>
  <c r="AL835"/>
  <c r="AM835" s="1"/>
  <c r="AJ835"/>
  <c r="AL829"/>
  <c r="AM829" s="1"/>
  <c r="AJ829"/>
  <c r="AL813"/>
  <c r="AM813" s="1"/>
  <c r="AJ813"/>
  <c r="AQ798"/>
  <c r="AR798" s="1"/>
  <c r="AO798"/>
  <c r="AQ772"/>
  <c r="AR772" s="1"/>
  <c r="AO772"/>
  <c r="AL771"/>
  <c r="AM771" s="1"/>
  <c r="AJ771"/>
  <c r="AL765"/>
  <c r="AM765" s="1"/>
  <c r="AJ765"/>
  <c r="AL749"/>
  <c r="AM749" s="1"/>
  <c r="AJ749"/>
  <c r="AQ734"/>
  <c r="AR734" s="1"/>
  <c r="AO734"/>
  <c r="AQ708"/>
  <c r="AR708" s="1"/>
  <c r="AO708"/>
  <c r="AL707"/>
  <c r="AM707" s="1"/>
  <c r="AJ707"/>
  <c r="AL701"/>
  <c r="AM701" s="1"/>
  <c r="AJ701"/>
  <c r="AL685"/>
  <c r="AM685" s="1"/>
  <c r="AJ685"/>
  <c r="AQ670"/>
  <c r="AR670" s="1"/>
  <c r="AO670"/>
  <c r="AQ644"/>
  <c r="AR644" s="1"/>
  <c r="AO644"/>
  <c r="AL643"/>
  <c r="AM643" s="1"/>
  <c r="AJ643"/>
  <c r="AL637"/>
  <c r="AM637" s="1"/>
  <c r="AJ637"/>
  <c r="AL621"/>
  <c r="AM621" s="1"/>
  <c r="AJ621"/>
  <c r="AQ606"/>
  <c r="AR606" s="1"/>
  <c r="AO606"/>
  <c r="AQ580"/>
  <c r="AR580" s="1"/>
  <c r="AO580"/>
  <c r="AL579"/>
  <c r="AM579" s="1"/>
  <c r="AJ579"/>
  <c r="AL573"/>
  <c r="AM573" s="1"/>
  <c r="AJ573"/>
  <c r="AL557"/>
  <c r="AM557" s="1"/>
  <c r="AJ557"/>
  <c r="AQ542"/>
  <c r="AR542" s="1"/>
  <c r="AO542"/>
  <c r="AQ516"/>
  <c r="AR516" s="1"/>
  <c r="AO516"/>
  <c r="AL515"/>
  <c r="AM515" s="1"/>
  <c r="AJ515"/>
  <c r="AL509"/>
  <c r="AM509" s="1"/>
  <c r="AJ509"/>
  <c r="AL493"/>
  <c r="AM493" s="1"/>
  <c r="AJ493"/>
  <c r="AQ478"/>
  <c r="AR478" s="1"/>
  <c r="AO478"/>
  <c r="AQ452"/>
  <c r="AR452" s="1"/>
  <c r="AO452"/>
  <c r="AL451"/>
  <c r="AM451" s="1"/>
  <c r="AJ451"/>
  <c r="AL445"/>
  <c r="AM445" s="1"/>
  <c r="AJ445"/>
  <c r="AL429"/>
  <c r="AM429" s="1"/>
  <c r="AJ429"/>
  <c r="AQ414"/>
  <c r="AR414" s="1"/>
  <c r="AO414"/>
  <c r="AQ388"/>
  <c r="AR388" s="1"/>
  <c r="AO388"/>
  <c r="AL387"/>
  <c r="AM387" s="1"/>
  <c r="AJ387"/>
  <c r="AL381"/>
  <c r="AM381" s="1"/>
  <c r="AJ381"/>
  <c r="AL364"/>
  <c r="AM364" s="1"/>
  <c r="AJ364"/>
  <c r="AO342"/>
  <c r="AQ342"/>
  <c r="AR342" s="1"/>
  <c r="AL321"/>
  <c r="AM321" s="1"/>
  <c r="AJ321"/>
  <c r="AL300"/>
  <c r="AM300" s="1"/>
  <c r="AJ300"/>
  <c r="AO278"/>
  <c r="AQ278"/>
  <c r="AR278" s="1"/>
  <c r="AL257"/>
  <c r="AM257" s="1"/>
  <c r="AJ257"/>
  <c r="AL236"/>
  <c r="AM236" s="1"/>
  <c r="AJ236"/>
  <c r="AO214"/>
  <c r="AQ214"/>
  <c r="AR214" s="1"/>
  <c r="AL193"/>
  <c r="AM193" s="1"/>
  <c r="AJ193"/>
  <c r="AQ1003"/>
  <c r="AR1003" s="1"/>
  <c r="AQ939"/>
  <c r="AR939" s="1"/>
  <c r="AQ875"/>
  <c r="AR875" s="1"/>
  <c r="AQ811"/>
  <c r="AR811" s="1"/>
  <c r="AQ747"/>
  <c r="AR747" s="1"/>
  <c r="AQ683"/>
  <c r="AR683" s="1"/>
  <c r="AQ619"/>
  <c r="AR619" s="1"/>
  <c r="AQ555"/>
  <c r="AR555" s="1"/>
  <c r="AQ491"/>
  <c r="AR491" s="1"/>
  <c r="AQ427"/>
  <c r="AR427" s="1"/>
  <c r="AN117" i="6"/>
  <c r="CJ689"/>
  <c r="CK689"/>
  <c r="CJ661"/>
  <c r="CK661"/>
  <c r="CJ621"/>
  <c r="CK621"/>
  <c r="CJ597"/>
  <c r="CK597"/>
  <c r="CJ565"/>
  <c r="CK565"/>
  <c r="CF516"/>
  <c r="CG516"/>
  <c r="CF465"/>
  <c r="CG465"/>
  <c r="CF464"/>
  <c r="CG464"/>
  <c r="CJ461"/>
  <c r="CK461"/>
  <c r="CF401"/>
  <c r="CG401"/>
  <c r="CF400"/>
  <c r="CG400"/>
  <c r="CJ397"/>
  <c r="CK397"/>
  <c r="CJ301"/>
  <c r="CK301"/>
  <c r="CJ278"/>
  <c r="CK278"/>
  <c r="CJ261"/>
  <c r="CK261"/>
  <c r="CJ190"/>
  <c r="CK190"/>
  <c r="AQ1006" i="8"/>
  <c r="AR1006" s="1"/>
  <c r="AO1006"/>
  <c r="AL1001"/>
  <c r="AM1001" s="1"/>
  <c r="AJ1001"/>
  <c r="AL993"/>
  <c r="AM993" s="1"/>
  <c r="AJ993"/>
  <c r="AQ942"/>
  <c r="AR942" s="1"/>
  <c r="AO942"/>
  <c r="AL937"/>
  <c r="AM937" s="1"/>
  <c r="AJ937"/>
  <c r="AL929"/>
  <c r="AM929" s="1"/>
  <c r="AJ929"/>
  <c r="AQ878"/>
  <c r="AR878" s="1"/>
  <c r="AO878"/>
  <c r="AL873"/>
  <c r="AM873" s="1"/>
  <c r="AJ873"/>
  <c r="AL865"/>
  <c r="AM865" s="1"/>
  <c r="AJ865"/>
  <c r="AQ814"/>
  <c r="AR814" s="1"/>
  <c r="AO814"/>
  <c r="AL809"/>
  <c r="AM809" s="1"/>
  <c r="AJ809"/>
  <c r="AL801"/>
  <c r="AM801" s="1"/>
  <c r="AJ801"/>
  <c r="AQ750"/>
  <c r="AR750" s="1"/>
  <c r="AO750"/>
  <c r="AL745"/>
  <c r="AM745" s="1"/>
  <c r="AJ745"/>
  <c r="AL737"/>
  <c r="AM737" s="1"/>
  <c r="AJ737"/>
  <c r="AQ686"/>
  <c r="AR686" s="1"/>
  <c r="AO686"/>
  <c r="AL681"/>
  <c r="AM681" s="1"/>
  <c r="AJ681"/>
  <c r="AL673"/>
  <c r="AM673" s="1"/>
  <c r="AJ673"/>
  <c r="AQ622"/>
  <c r="AR622" s="1"/>
  <c r="AO622"/>
  <c r="AL617"/>
  <c r="AM617" s="1"/>
  <c r="AJ617"/>
  <c r="AL609"/>
  <c r="AM609" s="1"/>
  <c r="AJ609"/>
  <c r="AQ558"/>
  <c r="AR558" s="1"/>
  <c r="AO558"/>
  <c r="AL553"/>
  <c r="AM553" s="1"/>
  <c r="AJ553"/>
  <c r="AL545"/>
  <c r="AM545" s="1"/>
  <c r="AJ545"/>
  <c r="AQ494"/>
  <c r="AR494" s="1"/>
  <c r="AO494"/>
  <c r="AL489"/>
  <c r="AM489" s="1"/>
  <c r="AJ489"/>
  <c r="AL481"/>
  <c r="AM481" s="1"/>
  <c r="AJ481"/>
  <c r="AQ430"/>
  <c r="AR430" s="1"/>
  <c r="AO430"/>
  <c r="AL425"/>
  <c r="AM425" s="1"/>
  <c r="AJ425"/>
  <c r="AL417"/>
  <c r="AM417" s="1"/>
  <c r="AJ417"/>
  <c r="AL368"/>
  <c r="AM368" s="1"/>
  <c r="AJ368"/>
  <c r="AO346"/>
  <c r="AQ346"/>
  <c r="AR346" s="1"/>
  <c r="AL325"/>
  <c r="AM325" s="1"/>
  <c r="AJ325"/>
  <c r="AL304"/>
  <c r="AM304" s="1"/>
  <c r="AJ304"/>
  <c r="AO282"/>
  <c r="AQ282"/>
  <c r="AR282" s="1"/>
  <c r="AL261"/>
  <c r="AM261" s="1"/>
  <c r="AJ261"/>
  <c r="AL240"/>
  <c r="AM240" s="1"/>
  <c r="AJ240"/>
  <c r="AO218"/>
  <c r="AQ218"/>
  <c r="AR218" s="1"/>
  <c r="AL197"/>
  <c r="AM197" s="1"/>
  <c r="AJ197"/>
  <c r="AQ996"/>
  <c r="AR996" s="1"/>
  <c r="AO996"/>
  <c r="AL995"/>
  <c r="AM995" s="1"/>
  <c r="AJ995"/>
  <c r="AL983"/>
  <c r="AM983" s="1"/>
  <c r="AJ983"/>
  <c r="AO981"/>
  <c r="AQ981"/>
  <c r="AR981" s="1"/>
  <c r="AL973"/>
  <c r="AM973" s="1"/>
  <c r="AJ973"/>
  <c r="AQ958"/>
  <c r="AR958" s="1"/>
  <c r="AO958"/>
  <c r="AL953"/>
  <c r="AM953" s="1"/>
  <c r="AJ953"/>
  <c r="AL945"/>
  <c r="AM945" s="1"/>
  <c r="AJ945"/>
  <c r="AQ932"/>
  <c r="AR932" s="1"/>
  <c r="AO932"/>
  <c r="AL931"/>
  <c r="AM931" s="1"/>
  <c r="AJ931"/>
  <c r="AL919"/>
  <c r="AM919" s="1"/>
  <c r="AJ919"/>
  <c r="AO917"/>
  <c r="AQ917"/>
  <c r="AR917" s="1"/>
  <c r="AL909"/>
  <c r="AM909" s="1"/>
  <c r="AJ909"/>
  <c r="AQ894"/>
  <c r="AR894" s="1"/>
  <c r="AO894"/>
  <c r="AL889"/>
  <c r="AM889" s="1"/>
  <c r="AJ889"/>
  <c r="AL881"/>
  <c r="AM881" s="1"/>
  <c r="AJ881"/>
  <c r="AQ868"/>
  <c r="AR868" s="1"/>
  <c r="AO868"/>
  <c r="AL867"/>
  <c r="AM867" s="1"/>
  <c r="AJ867"/>
  <c r="AL855"/>
  <c r="AM855" s="1"/>
  <c r="AJ855"/>
  <c r="AO853"/>
  <c r="AQ853"/>
  <c r="AR853" s="1"/>
  <c r="AL845"/>
  <c r="AM845" s="1"/>
  <c r="AJ845"/>
  <c r="AQ830"/>
  <c r="AR830" s="1"/>
  <c r="AO830"/>
  <c r="AL825"/>
  <c r="AM825" s="1"/>
  <c r="AJ825"/>
  <c r="AL817"/>
  <c r="AM817" s="1"/>
  <c r="AJ817"/>
  <c r="AQ804"/>
  <c r="AR804" s="1"/>
  <c r="AO804"/>
  <c r="AL803"/>
  <c r="AM803" s="1"/>
  <c r="AJ803"/>
  <c r="AL791"/>
  <c r="AM791" s="1"/>
  <c r="AJ791"/>
  <c r="AO789"/>
  <c r="AQ789"/>
  <c r="AR789" s="1"/>
  <c r="AL781"/>
  <c r="AM781" s="1"/>
  <c r="AJ781"/>
  <c r="AQ766"/>
  <c r="AR766" s="1"/>
  <c r="AO766"/>
  <c r="AL761"/>
  <c r="AM761" s="1"/>
  <c r="AJ761"/>
  <c r="AL753"/>
  <c r="AM753" s="1"/>
  <c r="AJ753"/>
  <c r="AQ740"/>
  <c r="AR740" s="1"/>
  <c r="AO740"/>
  <c r="AL739"/>
  <c r="AM739" s="1"/>
  <c r="AJ739"/>
  <c r="AL727"/>
  <c r="AM727" s="1"/>
  <c r="AJ727"/>
  <c r="AO725"/>
  <c r="AQ725"/>
  <c r="AR725" s="1"/>
  <c r="AL717"/>
  <c r="AM717" s="1"/>
  <c r="AJ717"/>
  <c r="AQ702"/>
  <c r="AR702" s="1"/>
  <c r="AO702"/>
  <c r="AL697"/>
  <c r="AM697" s="1"/>
  <c r="AJ697"/>
  <c r="AL689"/>
  <c r="AM689" s="1"/>
  <c r="AJ689"/>
  <c r="AQ676"/>
  <c r="AR676" s="1"/>
  <c r="AO676"/>
  <c r="AL675"/>
  <c r="AM675" s="1"/>
  <c r="AJ675"/>
  <c r="AL663"/>
  <c r="AM663" s="1"/>
  <c r="AJ663"/>
  <c r="AO661"/>
  <c r="AQ661"/>
  <c r="AR661" s="1"/>
  <c r="AL653"/>
  <c r="AM653" s="1"/>
  <c r="AJ653"/>
  <c r="AQ638"/>
  <c r="AR638" s="1"/>
  <c r="AO638"/>
  <c r="AL633"/>
  <c r="AM633" s="1"/>
  <c r="AJ633"/>
  <c r="AL625"/>
  <c r="AM625" s="1"/>
  <c r="AJ625"/>
  <c r="AQ612"/>
  <c r="AR612" s="1"/>
  <c r="AO612"/>
  <c r="AL611"/>
  <c r="AM611" s="1"/>
  <c r="AJ611"/>
  <c r="AL599"/>
  <c r="AM599" s="1"/>
  <c r="AJ599"/>
  <c r="AO597"/>
  <c r="AQ597"/>
  <c r="AR597" s="1"/>
  <c r="AL589"/>
  <c r="AM589" s="1"/>
  <c r="AJ589"/>
  <c r="AQ574"/>
  <c r="AR574" s="1"/>
  <c r="AO574"/>
  <c r="AL569"/>
  <c r="AM569" s="1"/>
  <c r="AJ569"/>
  <c r="AL561"/>
  <c r="AM561" s="1"/>
  <c r="AJ561"/>
  <c r="AQ548"/>
  <c r="AR548" s="1"/>
  <c r="AO548"/>
  <c r="AL547"/>
  <c r="AM547" s="1"/>
  <c r="AJ547"/>
  <c r="AL535"/>
  <c r="AM535" s="1"/>
  <c r="AJ535"/>
  <c r="AO533"/>
  <c r="AQ533"/>
  <c r="AR533" s="1"/>
  <c r="AL525"/>
  <c r="AM525" s="1"/>
  <c r="AJ525"/>
  <c r="AQ510"/>
  <c r="AR510" s="1"/>
  <c r="AO510"/>
  <c r="AL505"/>
  <c r="AM505" s="1"/>
  <c r="AJ505"/>
  <c r="AL497"/>
  <c r="AM497" s="1"/>
  <c r="AJ497"/>
  <c r="AQ484"/>
  <c r="AR484" s="1"/>
  <c r="AO484"/>
  <c r="AL483"/>
  <c r="AM483" s="1"/>
  <c r="AJ483"/>
  <c r="AL471"/>
  <c r="AM471" s="1"/>
  <c r="AJ471"/>
  <c r="AO469"/>
  <c r="AQ469"/>
  <c r="AR469" s="1"/>
  <c r="AL461"/>
  <c r="AM461" s="1"/>
  <c r="AJ461"/>
  <c r="AQ446"/>
  <c r="AR446" s="1"/>
  <c r="AO446"/>
  <c r="AL441"/>
  <c r="AM441" s="1"/>
  <c r="AJ441"/>
  <c r="AL433"/>
  <c r="AM433" s="1"/>
  <c r="AJ433"/>
  <c r="AQ420"/>
  <c r="AR420" s="1"/>
  <c r="AO420"/>
  <c r="AL419"/>
  <c r="AM419" s="1"/>
  <c r="AJ419"/>
  <c r="AL407"/>
  <c r="AM407" s="1"/>
  <c r="AJ407"/>
  <c r="AO405"/>
  <c r="AQ405"/>
  <c r="AR405" s="1"/>
  <c r="AL397"/>
  <c r="AM397" s="1"/>
  <c r="AJ397"/>
  <c r="AQ382"/>
  <c r="AR382" s="1"/>
  <c r="AO382"/>
  <c r="AL373"/>
  <c r="AM373" s="1"/>
  <c r="AJ373"/>
  <c r="AL369"/>
  <c r="AM369" s="1"/>
  <c r="AJ369"/>
  <c r="AO362"/>
  <c r="AQ362"/>
  <c r="AR362" s="1"/>
  <c r="AO358"/>
  <c r="AQ358"/>
  <c r="AR358" s="1"/>
  <c r="AL352"/>
  <c r="AM352" s="1"/>
  <c r="AJ352"/>
  <c r="AL348"/>
  <c r="AM348" s="1"/>
  <c r="AJ348"/>
  <c r="AL341"/>
  <c r="AM341" s="1"/>
  <c r="AJ341"/>
  <c r="AL337"/>
  <c r="AM337" s="1"/>
  <c r="AJ337"/>
  <c r="AO330"/>
  <c r="AQ330"/>
  <c r="AR330" s="1"/>
  <c r="AO326"/>
  <c r="AQ326"/>
  <c r="AR326" s="1"/>
  <c r="AL320"/>
  <c r="AM320" s="1"/>
  <c r="AJ320"/>
  <c r="AL316"/>
  <c r="AM316" s="1"/>
  <c r="AJ316"/>
  <c r="AL309"/>
  <c r="AM309" s="1"/>
  <c r="AJ309"/>
  <c r="AL305"/>
  <c r="AM305" s="1"/>
  <c r="AJ305"/>
  <c r="AO298"/>
  <c r="AQ298"/>
  <c r="AR298" s="1"/>
  <c r="AO294"/>
  <c r="AQ294"/>
  <c r="AR294" s="1"/>
  <c r="AL288"/>
  <c r="AM288" s="1"/>
  <c r="AJ288"/>
  <c r="AL284"/>
  <c r="AM284" s="1"/>
  <c r="AJ284"/>
  <c r="AL277"/>
  <c r="AM277" s="1"/>
  <c r="AJ277"/>
  <c r="AL273"/>
  <c r="AM273" s="1"/>
  <c r="AJ273"/>
  <c r="AO266"/>
  <c r="AQ266"/>
  <c r="AR266" s="1"/>
  <c r="AO262"/>
  <c r="AQ262"/>
  <c r="AR262" s="1"/>
  <c r="AL256"/>
  <c r="AM256" s="1"/>
  <c r="AJ256"/>
  <c r="AL252"/>
  <c r="AM252" s="1"/>
  <c r="AJ252"/>
  <c r="AL245"/>
  <c r="AM245" s="1"/>
  <c r="AJ245"/>
  <c r="AL241"/>
  <c r="AM241" s="1"/>
  <c r="AJ241"/>
  <c r="AO234"/>
  <c r="AQ234"/>
  <c r="AR234" s="1"/>
  <c r="AO230"/>
  <c r="AQ230"/>
  <c r="AR230" s="1"/>
  <c r="AL224"/>
  <c r="AM224" s="1"/>
  <c r="AJ224"/>
  <c r="AL220"/>
  <c r="AM220" s="1"/>
  <c r="AJ220"/>
  <c r="AL213"/>
  <c r="AM213" s="1"/>
  <c r="AJ213"/>
  <c r="AL209"/>
  <c r="AM209" s="1"/>
  <c r="AJ209"/>
  <c r="AO202"/>
  <c r="AQ202"/>
  <c r="AR202" s="1"/>
  <c r="AO198"/>
  <c r="AQ198"/>
  <c r="AR198" s="1"/>
  <c r="AL192"/>
  <c r="AM192" s="1"/>
  <c r="AJ192"/>
  <c r="AL188"/>
  <c r="AM188" s="1"/>
  <c r="AJ188"/>
  <c r="AL181"/>
  <c r="AM181" s="1"/>
  <c r="AJ181"/>
  <c r="AL177"/>
  <c r="AM177" s="1"/>
  <c r="AJ177"/>
  <c r="AL999"/>
  <c r="AM999" s="1"/>
  <c r="AJ999"/>
  <c r="AO997"/>
  <c r="AQ997"/>
  <c r="AR997" s="1"/>
  <c r="AL989"/>
  <c r="AM989" s="1"/>
  <c r="AJ989"/>
  <c r="AQ974"/>
  <c r="AR974" s="1"/>
  <c r="AO974"/>
  <c r="AL969"/>
  <c r="AM969" s="1"/>
  <c r="AJ969"/>
  <c r="AL961"/>
  <c r="AM961" s="1"/>
  <c r="AJ961"/>
  <c r="AQ948"/>
  <c r="AR948" s="1"/>
  <c r="AO948"/>
  <c r="AL947"/>
  <c r="AM947" s="1"/>
  <c r="AJ947"/>
  <c r="AL935"/>
  <c r="AM935" s="1"/>
  <c r="AJ935"/>
  <c r="AO933"/>
  <c r="AQ933"/>
  <c r="AR933" s="1"/>
  <c r="AL925"/>
  <c r="AM925" s="1"/>
  <c r="AJ925"/>
  <c r="AQ910"/>
  <c r="AR910" s="1"/>
  <c r="AO910"/>
  <c r="AL905"/>
  <c r="AM905" s="1"/>
  <c r="AJ905"/>
  <c r="AL897"/>
  <c r="AM897" s="1"/>
  <c r="AJ897"/>
  <c r="AQ884"/>
  <c r="AR884" s="1"/>
  <c r="AO884"/>
  <c r="AL883"/>
  <c r="AM883" s="1"/>
  <c r="AJ883"/>
  <c r="AL871"/>
  <c r="AM871" s="1"/>
  <c r="AJ871"/>
  <c r="AO869"/>
  <c r="AQ869"/>
  <c r="AR869" s="1"/>
  <c r="AL861"/>
  <c r="AM861" s="1"/>
  <c r="AJ861"/>
  <c r="AQ846"/>
  <c r="AR846" s="1"/>
  <c r="AO846"/>
  <c r="AL841"/>
  <c r="AM841" s="1"/>
  <c r="AJ841"/>
  <c r="AL833"/>
  <c r="AM833" s="1"/>
  <c r="AJ833"/>
  <c r="AQ820"/>
  <c r="AR820" s="1"/>
  <c r="AO820"/>
  <c r="AL819"/>
  <c r="AM819" s="1"/>
  <c r="AJ819"/>
  <c r="AL807"/>
  <c r="AM807" s="1"/>
  <c r="AJ807"/>
  <c r="AO805"/>
  <c r="AQ805"/>
  <c r="AR805" s="1"/>
  <c r="AL797"/>
  <c r="AM797" s="1"/>
  <c r="AJ797"/>
  <c r="AQ782"/>
  <c r="AR782" s="1"/>
  <c r="AO782"/>
  <c r="AL777"/>
  <c r="AM777" s="1"/>
  <c r="AJ777"/>
  <c r="AL769"/>
  <c r="AM769" s="1"/>
  <c r="AJ769"/>
  <c r="AQ756"/>
  <c r="AR756" s="1"/>
  <c r="AO756"/>
  <c r="AL755"/>
  <c r="AM755" s="1"/>
  <c r="AJ755"/>
  <c r="AL743"/>
  <c r="AM743" s="1"/>
  <c r="AJ743"/>
  <c r="AO741"/>
  <c r="AQ741"/>
  <c r="AR741" s="1"/>
  <c r="AL733"/>
  <c r="AM733" s="1"/>
  <c r="AJ733"/>
  <c r="AQ718"/>
  <c r="AR718" s="1"/>
  <c r="AO718"/>
  <c r="AL713"/>
  <c r="AM713" s="1"/>
  <c r="AJ713"/>
  <c r="AL705"/>
  <c r="AM705" s="1"/>
  <c r="AJ705"/>
  <c r="AQ692"/>
  <c r="AR692" s="1"/>
  <c r="AO692"/>
  <c r="AL691"/>
  <c r="AM691" s="1"/>
  <c r="AJ691"/>
  <c r="AL679"/>
  <c r="AM679" s="1"/>
  <c r="AJ679"/>
  <c r="AO677"/>
  <c r="AQ677"/>
  <c r="AR677" s="1"/>
  <c r="AL669"/>
  <c r="AM669" s="1"/>
  <c r="AJ669"/>
  <c r="AQ654"/>
  <c r="AR654" s="1"/>
  <c r="AO654"/>
  <c r="AL649"/>
  <c r="AM649" s="1"/>
  <c r="AJ649"/>
  <c r="AL641"/>
  <c r="AM641" s="1"/>
  <c r="AJ641"/>
  <c r="AQ628"/>
  <c r="AR628" s="1"/>
  <c r="AO628"/>
  <c r="AL627"/>
  <c r="AM627" s="1"/>
  <c r="AJ627"/>
  <c r="AL615"/>
  <c r="AM615" s="1"/>
  <c r="AJ615"/>
  <c r="AO613"/>
  <c r="AQ613"/>
  <c r="AR613" s="1"/>
  <c r="AL605"/>
  <c r="AM605" s="1"/>
  <c r="AJ605"/>
  <c r="AQ590"/>
  <c r="AR590" s="1"/>
  <c r="AO590"/>
  <c r="AL585"/>
  <c r="AM585" s="1"/>
  <c r="AJ585"/>
  <c r="AL577"/>
  <c r="AM577" s="1"/>
  <c r="AJ577"/>
  <c r="AQ564"/>
  <c r="AR564" s="1"/>
  <c r="AO564"/>
  <c r="AL563"/>
  <c r="AM563" s="1"/>
  <c r="AJ563"/>
  <c r="AL551"/>
  <c r="AM551" s="1"/>
  <c r="AJ551"/>
  <c r="AO549"/>
  <c r="AQ549"/>
  <c r="AR549" s="1"/>
  <c r="AL541"/>
  <c r="AM541" s="1"/>
  <c r="AJ541"/>
  <c r="AQ526"/>
  <c r="AR526" s="1"/>
  <c r="AO526"/>
  <c r="AL521"/>
  <c r="AM521" s="1"/>
  <c r="AJ521"/>
  <c r="AL513"/>
  <c r="AM513" s="1"/>
  <c r="AJ513"/>
  <c r="AQ500"/>
  <c r="AR500" s="1"/>
  <c r="AO500"/>
  <c r="AL499"/>
  <c r="AM499" s="1"/>
  <c r="AJ499"/>
  <c r="AL487"/>
  <c r="AM487" s="1"/>
  <c r="AJ487"/>
  <c r="AO485"/>
  <c r="AQ485"/>
  <c r="AR485" s="1"/>
  <c r="AL477"/>
  <c r="AM477" s="1"/>
  <c r="AJ477"/>
  <c r="AQ462"/>
  <c r="AR462" s="1"/>
  <c r="AO462"/>
  <c r="AL457"/>
  <c r="AM457" s="1"/>
  <c r="AJ457"/>
  <c r="AL449"/>
  <c r="AM449" s="1"/>
  <c r="AJ449"/>
  <c r="AQ436"/>
  <c r="AR436" s="1"/>
  <c r="AO436"/>
  <c r="AL435"/>
  <c r="AM435" s="1"/>
  <c r="AJ435"/>
  <c r="AL423"/>
  <c r="AM423" s="1"/>
  <c r="AJ423"/>
  <c r="AO421"/>
  <c r="AQ421"/>
  <c r="AR421" s="1"/>
  <c r="AL413"/>
  <c r="AM413" s="1"/>
  <c r="AJ413"/>
  <c r="AQ398"/>
  <c r="AR398" s="1"/>
  <c r="AO398"/>
  <c r="AL393"/>
  <c r="AM393" s="1"/>
  <c r="AJ393"/>
  <c r="AL385"/>
  <c r="AM385" s="1"/>
  <c r="AJ385"/>
  <c r="AL1007"/>
  <c r="AM1007" s="1"/>
  <c r="AJ1007"/>
  <c r="AO1005"/>
  <c r="AQ1005"/>
  <c r="AR1005" s="1"/>
  <c r="AL1003"/>
  <c r="AM1003" s="1"/>
  <c r="AJ1003"/>
  <c r="AQ998"/>
  <c r="AR998" s="1"/>
  <c r="AO998"/>
  <c r="AL997"/>
  <c r="AM997" s="1"/>
  <c r="AJ997"/>
  <c r="AL991"/>
  <c r="AM991" s="1"/>
  <c r="AJ991"/>
  <c r="AO989"/>
  <c r="AQ989"/>
  <c r="AR989" s="1"/>
  <c r="AL987"/>
  <c r="AM987" s="1"/>
  <c r="AJ987"/>
  <c r="AQ982"/>
  <c r="AR982" s="1"/>
  <c r="AO982"/>
  <c r="AL981"/>
  <c r="AM981" s="1"/>
  <c r="AJ981"/>
  <c r="AL975"/>
  <c r="AM975" s="1"/>
  <c r="AJ975"/>
  <c r="AO973"/>
  <c r="AQ973"/>
  <c r="AR973" s="1"/>
  <c r="AL971"/>
  <c r="AM971" s="1"/>
  <c r="AJ971"/>
  <c r="AQ966"/>
  <c r="AR966" s="1"/>
  <c r="AO966"/>
  <c r="AL965"/>
  <c r="AM965" s="1"/>
  <c r="AJ965"/>
  <c r="AL959"/>
  <c r="AM959" s="1"/>
  <c r="AJ959"/>
  <c r="AO957"/>
  <c r="AQ957"/>
  <c r="AR957" s="1"/>
  <c r="AL955"/>
  <c r="AM955" s="1"/>
  <c r="AJ955"/>
  <c r="AQ950"/>
  <c r="AR950" s="1"/>
  <c r="AO950"/>
  <c r="AL949"/>
  <c r="AM949" s="1"/>
  <c r="AJ949"/>
  <c r="AL943"/>
  <c r="AM943" s="1"/>
  <c r="AJ943"/>
  <c r="AO941"/>
  <c r="AQ941"/>
  <c r="AR941" s="1"/>
  <c r="AL939"/>
  <c r="AM939" s="1"/>
  <c r="AJ939"/>
  <c r="AQ934"/>
  <c r="AR934" s="1"/>
  <c r="AO934"/>
  <c r="AL933"/>
  <c r="AM933" s="1"/>
  <c r="AJ933"/>
  <c r="AL927"/>
  <c r="AM927" s="1"/>
  <c r="AJ927"/>
  <c r="AO925"/>
  <c r="AQ925"/>
  <c r="AR925" s="1"/>
  <c r="AL923"/>
  <c r="AM923" s="1"/>
  <c r="AJ923"/>
  <c r="AQ918"/>
  <c r="AR918" s="1"/>
  <c r="AO918"/>
  <c r="AL917"/>
  <c r="AM917" s="1"/>
  <c r="AJ917"/>
  <c r="AL911"/>
  <c r="AM911" s="1"/>
  <c r="AJ911"/>
  <c r="AO909"/>
  <c r="AQ909"/>
  <c r="AR909" s="1"/>
  <c r="AL907"/>
  <c r="AM907" s="1"/>
  <c r="AJ907"/>
  <c r="AQ902"/>
  <c r="AR902" s="1"/>
  <c r="AO902"/>
  <c r="AL901"/>
  <c r="AM901" s="1"/>
  <c r="AJ901"/>
  <c r="AL895"/>
  <c r="AM895" s="1"/>
  <c r="AJ895"/>
  <c r="AO893"/>
  <c r="AQ893"/>
  <c r="AR893" s="1"/>
  <c r="AL891"/>
  <c r="AM891" s="1"/>
  <c r="AJ891"/>
  <c r="AQ886"/>
  <c r="AR886" s="1"/>
  <c r="AO886"/>
  <c r="AL885"/>
  <c r="AM885" s="1"/>
  <c r="AJ885"/>
  <c r="AL879"/>
  <c r="AM879" s="1"/>
  <c r="AJ879"/>
  <c r="AO877"/>
  <c r="AQ877"/>
  <c r="AR877" s="1"/>
  <c r="AL875"/>
  <c r="AM875" s="1"/>
  <c r="AJ875"/>
  <c r="AQ870"/>
  <c r="AR870" s="1"/>
  <c r="AO870"/>
  <c r="AL869"/>
  <c r="AM869" s="1"/>
  <c r="AJ869"/>
  <c r="AL863"/>
  <c r="AM863" s="1"/>
  <c r="AJ863"/>
  <c r="AO861"/>
  <c r="AQ861"/>
  <c r="AR861" s="1"/>
  <c r="AL859"/>
  <c r="AM859" s="1"/>
  <c r="AJ859"/>
  <c r="AQ854"/>
  <c r="AR854" s="1"/>
  <c r="AO854"/>
  <c r="AL853"/>
  <c r="AM853" s="1"/>
  <c r="AJ853"/>
  <c r="AL847"/>
  <c r="AM847" s="1"/>
  <c r="AJ847"/>
  <c r="AO845"/>
  <c r="AQ845"/>
  <c r="AR845" s="1"/>
  <c r="AL843"/>
  <c r="AM843" s="1"/>
  <c r="AJ843"/>
  <c r="AQ838"/>
  <c r="AR838" s="1"/>
  <c r="AO838"/>
  <c r="AL837"/>
  <c r="AM837" s="1"/>
  <c r="AJ837"/>
  <c r="AL831"/>
  <c r="AM831" s="1"/>
  <c r="AJ831"/>
  <c r="AO829"/>
  <c r="AQ829"/>
  <c r="AR829" s="1"/>
  <c r="AL827"/>
  <c r="AM827" s="1"/>
  <c r="AJ827"/>
  <c r="AQ822"/>
  <c r="AR822" s="1"/>
  <c r="AO822"/>
  <c r="AL821"/>
  <c r="AM821" s="1"/>
  <c r="AJ821"/>
  <c r="AL815"/>
  <c r="AM815" s="1"/>
  <c r="AJ815"/>
  <c r="AO813"/>
  <c r="AQ813"/>
  <c r="AR813" s="1"/>
  <c r="AL811"/>
  <c r="AM811" s="1"/>
  <c r="AJ811"/>
  <c r="AQ806"/>
  <c r="AR806" s="1"/>
  <c r="AO806"/>
  <c r="AL805"/>
  <c r="AM805" s="1"/>
  <c r="AJ805"/>
  <c r="AL799"/>
  <c r="AM799" s="1"/>
  <c r="AJ799"/>
  <c r="AO797"/>
  <c r="AQ797"/>
  <c r="AR797" s="1"/>
  <c r="AL795"/>
  <c r="AM795" s="1"/>
  <c r="AJ795"/>
  <c r="AQ790"/>
  <c r="AR790" s="1"/>
  <c r="AO790"/>
  <c r="AL789"/>
  <c r="AM789" s="1"/>
  <c r="AJ789"/>
  <c r="AL783"/>
  <c r="AM783" s="1"/>
  <c r="AJ783"/>
  <c r="AO781"/>
  <c r="AQ781"/>
  <c r="AR781" s="1"/>
  <c r="AL779"/>
  <c r="AM779" s="1"/>
  <c r="AJ779"/>
  <c r="AQ774"/>
  <c r="AR774" s="1"/>
  <c r="AO774"/>
  <c r="AL773"/>
  <c r="AM773" s="1"/>
  <c r="AJ773"/>
  <c r="AL767"/>
  <c r="AM767" s="1"/>
  <c r="AJ767"/>
  <c r="AO765"/>
  <c r="AQ765"/>
  <c r="AR765" s="1"/>
  <c r="AL763"/>
  <c r="AM763" s="1"/>
  <c r="AJ763"/>
  <c r="AQ758"/>
  <c r="AR758" s="1"/>
  <c r="AO758"/>
  <c r="AL757"/>
  <c r="AM757" s="1"/>
  <c r="AJ757"/>
  <c r="AL751"/>
  <c r="AM751" s="1"/>
  <c r="AJ751"/>
  <c r="AO749"/>
  <c r="AQ749"/>
  <c r="AR749" s="1"/>
  <c r="AL747"/>
  <c r="AM747" s="1"/>
  <c r="AJ747"/>
  <c r="AQ742"/>
  <c r="AR742" s="1"/>
  <c r="AO742"/>
  <c r="AL741"/>
  <c r="AM741" s="1"/>
  <c r="AJ741"/>
  <c r="AL735"/>
  <c r="AM735" s="1"/>
  <c r="AJ735"/>
  <c r="AO733"/>
  <c r="AQ733"/>
  <c r="AR733" s="1"/>
  <c r="AL731"/>
  <c r="AM731" s="1"/>
  <c r="AJ731"/>
  <c r="AQ726"/>
  <c r="AR726" s="1"/>
  <c r="AO726"/>
  <c r="AL725"/>
  <c r="AM725" s="1"/>
  <c r="AJ725"/>
  <c r="AL719"/>
  <c r="AM719" s="1"/>
  <c r="AJ719"/>
  <c r="AO717"/>
  <c r="AQ717"/>
  <c r="AR717" s="1"/>
  <c r="AL715"/>
  <c r="AM715" s="1"/>
  <c r="AJ715"/>
  <c r="AQ710"/>
  <c r="AR710" s="1"/>
  <c r="AO710"/>
  <c r="AL709"/>
  <c r="AM709" s="1"/>
  <c r="AJ709"/>
  <c r="AL703"/>
  <c r="AM703" s="1"/>
  <c r="AJ703"/>
  <c r="AO701"/>
  <c r="AQ701"/>
  <c r="AR701" s="1"/>
  <c r="AL699"/>
  <c r="AM699" s="1"/>
  <c r="AJ699"/>
  <c r="AQ694"/>
  <c r="AR694" s="1"/>
  <c r="AO694"/>
  <c r="AL693"/>
  <c r="AM693" s="1"/>
  <c r="AJ693"/>
  <c r="AL687"/>
  <c r="AM687" s="1"/>
  <c r="AJ687"/>
  <c r="AO685"/>
  <c r="AQ685"/>
  <c r="AR685" s="1"/>
  <c r="AL683"/>
  <c r="AM683" s="1"/>
  <c r="AJ683"/>
  <c r="AQ678"/>
  <c r="AR678" s="1"/>
  <c r="AO678"/>
  <c r="AL677"/>
  <c r="AM677" s="1"/>
  <c r="AJ677"/>
  <c r="AL671"/>
  <c r="AM671" s="1"/>
  <c r="AJ671"/>
  <c r="AO669"/>
  <c r="AQ669"/>
  <c r="AR669" s="1"/>
  <c r="AL667"/>
  <c r="AM667" s="1"/>
  <c r="AJ667"/>
  <c r="AQ662"/>
  <c r="AR662" s="1"/>
  <c r="AO662"/>
  <c r="AL661"/>
  <c r="AM661" s="1"/>
  <c r="AJ661"/>
  <c r="AL655"/>
  <c r="AM655" s="1"/>
  <c r="AJ655"/>
  <c r="AO653"/>
  <c r="AQ653"/>
  <c r="AR653" s="1"/>
  <c r="AL651"/>
  <c r="AM651" s="1"/>
  <c r="AJ651"/>
  <c r="AQ646"/>
  <c r="AR646" s="1"/>
  <c r="AO646"/>
  <c r="AL645"/>
  <c r="AM645" s="1"/>
  <c r="AJ645"/>
  <c r="AL639"/>
  <c r="AM639" s="1"/>
  <c r="AJ639"/>
  <c r="AO637"/>
  <c r="AQ637"/>
  <c r="AR637" s="1"/>
  <c r="AL635"/>
  <c r="AM635" s="1"/>
  <c r="AJ635"/>
  <c r="AQ630"/>
  <c r="AR630" s="1"/>
  <c r="AO630"/>
  <c r="AL629"/>
  <c r="AM629" s="1"/>
  <c r="AJ629"/>
  <c r="AL623"/>
  <c r="AM623" s="1"/>
  <c r="AJ623"/>
  <c r="AO621"/>
  <c r="AQ621"/>
  <c r="AR621" s="1"/>
  <c r="AL619"/>
  <c r="AM619" s="1"/>
  <c r="AJ619"/>
  <c r="AQ614"/>
  <c r="AR614" s="1"/>
  <c r="AO614"/>
  <c r="AL613"/>
  <c r="AM613" s="1"/>
  <c r="AJ613"/>
  <c r="AL607"/>
  <c r="AM607" s="1"/>
  <c r="AJ607"/>
  <c r="AO605"/>
  <c r="AQ605"/>
  <c r="AR605" s="1"/>
  <c r="AL603"/>
  <c r="AM603" s="1"/>
  <c r="AJ603"/>
  <c r="AQ598"/>
  <c r="AR598" s="1"/>
  <c r="AO598"/>
  <c r="AL597"/>
  <c r="AM597" s="1"/>
  <c r="AJ597"/>
  <c r="AL591"/>
  <c r="AM591" s="1"/>
  <c r="AJ591"/>
  <c r="AO589"/>
  <c r="AQ589"/>
  <c r="AR589" s="1"/>
  <c r="AL587"/>
  <c r="AM587" s="1"/>
  <c r="AJ587"/>
  <c r="AQ582"/>
  <c r="AR582" s="1"/>
  <c r="AO582"/>
  <c r="AL581"/>
  <c r="AM581" s="1"/>
  <c r="AJ581"/>
  <c r="AL575"/>
  <c r="AM575" s="1"/>
  <c r="AJ575"/>
  <c r="AO573"/>
  <c r="AQ573"/>
  <c r="AR573" s="1"/>
  <c r="AL571"/>
  <c r="AM571" s="1"/>
  <c r="AJ571"/>
  <c r="AQ566"/>
  <c r="AR566" s="1"/>
  <c r="AO566"/>
  <c r="AL565"/>
  <c r="AM565" s="1"/>
  <c r="AJ565"/>
  <c r="AL559"/>
  <c r="AM559" s="1"/>
  <c r="AJ559"/>
  <c r="AO557"/>
  <c r="AQ557"/>
  <c r="AR557" s="1"/>
  <c r="AL555"/>
  <c r="AM555" s="1"/>
  <c r="AJ555"/>
  <c r="AQ550"/>
  <c r="AR550" s="1"/>
  <c r="AO550"/>
  <c r="AL549"/>
  <c r="AM549" s="1"/>
  <c r="AJ549"/>
  <c r="AL543"/>
  <c r="AM543" s="1"/>
  <c r="AJ543"/>
  <c r="AO541"/>
  <c r="AQ541"/>
  <c r="AR541" s="1"/>
  <c r="AL539"/>
  <c r="AM539" s="1"/>
  <c r="AJ539"/>
  <c r="AQ534"/>
  <c r="AR534" s="1"/>
  <c r="AO534"/>
  <c r="AL533"/>
  <c r="AM533" s="1"/>
  <c r="AJ533"/>
  <c r="AL527"/>
  <c r="AM527" s="1"/>
  <c r="AJ527"/>
  <c r="AO525"/>
  <c r="AQ525"/>
  <c r="AR525" s="1"/>
  <c r="AL523"/>
  <c r="AM523" s="1"/>
  <c r="AJ523"/>
  <c r="AQ518"/>
  <c r="AR518" s="1"/>
  <c r="AO518"/>
  <c r="AL517"/>
  <c r="AM517" s="1"/>
  <c r="AJ517"/>
  <c r="AL511"/>
  <c r="AM511" s="1"/>
  <c r="AJ511"/>
  <c r="AO509"/>
  <c r="AQ509"/>
  <c r="AR509" s="1"/>
  <c r="AL507"/>
  <c r="AM507" s="1"/>
  <c r="AJ507"/>
  <c r="AQ502"/>
  <c r="AR502" s="1"/>
  <c r="AO502"/>
  <c r="AL501"/>
  <c r="AM501" s="1"/>
  <c r="AJ501"/>
  <c r="AL495"/>
  <c r="AM495" s="1"/>
  <c r="AJ495"/>
  <c r="AO493"/>
  <c r="AQ493"/>
  <c r="AR493" s="1"/>
  <c r="AL491"/>
  <c r="AM491" s="1"/>
  <c r="AJ491"/>
  <c r="AQ486"/>
  <c r="AR486" s="1"/>
  <c r="AO486"/>
  <c r="AL485"/>
  <c r="AM485" s="1"/>
  <c r="AJ485"/>
  <c r="AL479"/>
  <c r="AM479" s="1"/>
  <c r="AJ479"/>
  <c r="AO477"/>
  <c r="AQ477"/>
  <c r="AR477" s="1"/>
  <c r="AL475"/>
  <c r="AM475" s="1"/>
  <c r="AJ475"/>
  <c r="AQ470"/>
  <c r="AR470" s="1"/>
  <c r="AO470"/>
  <c r="AL469"/>
  <c r="AM469" s="1"/>
  <c r="AJ469"/>
  <c r="AL463"/>
  <c r="AM463" s="1"/>
  <c r="AJ463"/>
  <c r="AO461"/>
  <c r="AQ461"/>
  <c r="AR461" s="1"/>
  <c r="AL459"/>
  <c r="AM459" s="1"/>
  <c r="AJ459"/>
  <c r="AQ454"/>
  <c r="AR454" s="1"/>
  <c r="AO454"/>
  <c r="AL453"/>
  <c r="AM453" s="1"/>
  <c r="AJ453"/>
  <c r="AL447"/>
  <c r="AM447" s="1"/>
  <c r="AJ447"/>
  <c r="AO445"/>
  <c r="AQ445"/>
  <c r="AR445" s="1"/>
  <c r="AL443"/>
  <c r="AM443" s="1"/>
  <c r="AJ443"/>
  <c r="AQ438"/>
  <c r="AR438" s="1"/>
  <c r="AO438"/>
  <c r="AL437"/>
  <c r="AM437" s="1"/>
  <c r="AJ437"/>
  <c r="AL431"/>
  <c r="AM431" s="1"/>
  <c r="AJ431"/>
  <c r="AO429"/>
  <c r="AQ429"/>
  <c r="AR429" s="1"/>
  <c r="AL427"/>
  <c r="AM427" s="1"/>
  <c r="AJ427"/>
  <c r="AQ422"/>
  <c r="AR422" s="1"/>
  <c r="AO422"/>
  <c r="AL421"/>
  <c r="AM421" s="1"/>
  <c r="AJ421"/>
  <c r="AL415"/>
  <c r="AM415" s="1"/>
  <c r="AJ415"/>
  <c r="AO413"/>
  <c r="AQ413"/>
  <c r="AR413" s="1"/>
  <c r="AL411"/>
  <c r="AM411" s="1"/>
  <c r="AJ411"/>
  <c r="AQ406"/>
  <c r="AR406" s="1"/>
  <c r="AO406"/>
  <c r="AL405"/>
  <c r="AM405" s="1"/>
  <c r="AJ405"/>
  <c r="AL399"/>
  <c r="AM399" s="1"/>
  <c r="AJ399"/>
  <c r="AO397"/>
  <c r="AQ397"/>
  <c r="AR397" s="1"/>
  <c r="AL395"/>
  <c r="AM395" s="1"/>
  <c r="AJ395"/>
  <c r="AQ390"/>
  <c r="AR390" s="1"/>
  <c r="AO390"/>
  <c r="AL389"/>
  <c r="AM389" s="1"/>
  <c r="AJ389"/>
  <c r="AL383"/>
  <c r="AM383" s="1"/>
  <c r="AJ383"/>
  <c r="AO381"/>
  <c r="AQ381"/>
  <c r="AR381" s="1"/>
  <c r="AL376"/>
  <c r="AM376" s="1"/>
  <c r="AJ376"/>
  <c r="AO370"/>
  <c r="AQ370"/>
  <c r="AR370" s="1"/>
  <c r="AL365"/>
  <c r="AM365" s="1"/>
  <c r="AJ365"/>
  <c r="AL360"/>
  <c r="AM360" s="1"/>
  <c r="AJ360"/>
  <c r="AO354"/>
  <c r="AQ354"/>
  <c r="AR354" s="1"/>
  <c r="AL349"/>
  <c r="AM349" s="1"/>
  <c r="AJ349"/>
  <c r="AL344"/>
  <c r="AM344" s="1"/>
  <c r="AJ344"/>
  <c r="AO338"/>
  <c r="AQ338"/>
  <c r="AR338" s="1"/>
  <c r="AL333"/>
  <c r="AM333" s="1"/>
  <c r="AJ333"/>
  <c r="AL328"/>
  <c r="AM328" s="1"/>
  <c r="AJ328"/>
  <c r="AO322"/>
  <c r="AQ322"/>
  <c r="AR322" s="1"/>
  <c r="AL317"/>
  <c r="AM317" s="1"/>
  <c r="AJ317"/>
  <c r="AL312"/>
  <c r="AM312" s="1"/>
  <c r="AJ312"/>
  <c r="AO306"/>
  <c r="AQ306"/>
  <c r="AR306" s="1"/>
  <c r="AL301"/>
  <c r="AM301" s="1"/>
  <c r="AJ301"/>
  <c r="AL296"/>
  <c r="AM296" s="1"/>
  <c r="AJ296"/>
  <c r="AO290"/>
  <c r="AQ290"/>
  <c r="AR290" s="1"/>
  <c r="AL285"/>
  <c r="AM285" s="1"/>
  <c r="AJ285"/>
  <c r="AL280"/>
  <c r="AM280" s="1"/>
  <c r="AJ280"/>
  <c r="AO274"/>
  <c r="AQ274"/>
  <c r="AR274" s="1"/>
  <c r="AL269"/>
  <c r="AM269" s="1"/>
  <c r="AJ269"/>
  <c r="AL264"/>
  <c r="AM264" s="1"/>
  <c r="AJ264"/>
  <c r="AO258"/>
  <c r="AQ258"/>
  <c r="AR258" s="1"/>
  <c r="AL253"/>
  <c r="AM253" s="1"/>
  <c r="AJ253"/>
  <c r="AL248"/>
  <c r="AM248" s="1"/>
  <c r="AJ248"/>
  <c r="AO242"/>
  <c r="AQ242"/>
  <c r="AR242" s="1"/>
  <c r="AL237"/>
  <c r="AM237" s="1"/>
  <c r="AJ237"/>
  <c r="AL232"/>
  <c r="AM232" s="1"/>
  <c r="AJ232"/>
  <c r="AO226"/>
  <c r="AQ226"/>
  <c r="AR226" s="1"/>
  <c r="AL221"/>
  <c r="AM221" s="1"/>
  <c r="AJ221"/>
  <c r="AL216"/>
  <c r="AM216" s="1"/>
  <c r="AJ216"/>
  <c r="AO210"/>
  <c r="AQ210"/>
  <c r="AR210" s="1"/>
  <c r="AL205"/>
  <c r="AM205" s="1"/>
  <c r="AJ205"/>
  <c r="AL200"/>
  <c r="AM200" s="1"/>
  <c r="AJ200"/>
  <c r="AO194"/>
  <c r="AQ194"/>
  <c r="AR194" s="1"/>
  <c r="AL189"/>
  <c r="AM189" s="1"/>
  <c r="AJ189"/>
  <c r="AL184"/>
  <c r="AM184" s="1"/>
  <c r="AJ184"/>
  <c r="AO178"/>
  <c r="AQ178"/>
  <c r="AR178" s="1"/>
  <c r="AO100"/>
  <c r="Q100" s="1"/>
  <c r="AL377"/>
  <c r="AM377" s="1"/>
  <c r="AJ377"/>
  <c r="AL372"/>
  <c r="AM372" s="1"/>
  <c r="AJ372"/>
  <c r="AO366"/>
  <c r="AQ366"/>
  <c r="AR366" s="1"/>
  <c r="AL361"/>
  <c r="AM361" s="1"/>
  <c r="AJ361"/>
  <c r="AL356"/>
  <c r="AM356" s="1"/>
  <c r="AJ356"/>
  <c r="AO350"/>
  <c r="AQ350"/>
  <c r="AR350" s="1"/>
  <c r="AL345"/>
  <c r="AM345" s="1"/>
  <c r="AJ345"/>
  <c r="AL340"/>
  <c r="AM340" s="1"/>
  <c r="AJ340"/>
  <c r="AO334"/>
  <c r="AQ334"/>
  <c r="AR334" s="1"/>
  <c r="AL329"/>
  <c r="AM329" s="1"/>
  <c r="AJ329"/>
  <c r="AL324"/>
  <c r="AM324" s="1"/>
  <c r="AJ324"/>
  <c r="AO318"/>
  <c r="AQ318"/>
  <c r="AR318" s="1"/>
  <c r="AL313"/>
  <c r="AM313" s="1"/>
  <c r="AJ313"/>
  <c r="AL308"/>
  <c r="AM308" s="1"/>
  <c r="AJ308"/>
  <c r="AO302"/>
  <c r="AQ302"/>
  <c r="AR302" s="1"/>
  <c r="AL297"/>
  <c r="AM297" s="1"/>
  <c r="AJ297"/>
  <c r="AL292"/>
  <c r="AM292" s="1"/>
  <c r="AJ292"/>
  <c r="AO286"/>
  <c r="AQ286"/>
  <c r="AR286" s="1"/>
  <c r="AL281"/>
  <c r="AM281" s="1"/>
  <c r="AJ281"/>
  <c r="AL276"/>
  <c r="AM276" s="1"/>
  <c r="AJ276"/>
  <c r="AO270"/>
  <c r="AQ270"/>
  <c r="AR270" s="1"/>
  <c r="AL265"/>
  <c r="AM265" s="1"/>
  <c r="AJ265"/>
  <c r="AL260"/>
  <c r="AM260" s="1"/>
  <c r="AJ260"/>
  <c r="AO254"/>
  <c r="AQ254"/>
  <c r="AR254" s="1"/>
  <c r="AL249"/>
  <c r="AM249" s="1"/>
  <c r="AJ249"/>
  <c r="AL244"/>
  <c r="AM244" s="1"/>
  <c r="AJ244"/>
  <c r="AO238"/>
  <c r="AQ238"/>
  <c r="AR238" s="1"/>
  <c r="AL233"/>
  <c r="AM233" s="1"/>
  <c r="AJ233"/>
  <c r="AL228"/>
  <c r="AM228" s="1"/>
  <c r="AJ228"/>
  <c r="AO222"/>
  <c r="AQ222"/>
  <c r="AR222" s="1"/>
  <c r="AL217"/>
  <c r="AM217" s="1"/>
  <c r="AJ217"/>
  <c r="AL212"/>
  <c r="AM212" s="1"/>
  <c r="AJ212"/>
  <c r="AO206"/>
  <c r="AQ206"/>
  <c r="AR206" s="1"/>
  <c r="AL201"/>
  <c r="AM201" s="1"/>
  <c r="AJ201"/>
  <c r="AL196"/>
  <c r="AM196" s="1"/>
  <c r="AJ196"/>
  <c r="AO190"/>
  <c r="AQ190"/>
  <c r="AR190" s="1"/>
  <c r="AL185"/>
  <c r="AM185" s="1"/>
  <c r="AJ185"/>
  <c r="AL180"/>
  <c r="AM180" s="1"/>
  <c r="AJ180"/>
  <c r="AO84"/>
  <c r="Q84" s="1"/>
  <c r="AO98"/>
  <c r="Q98" s="1"/>
  <c r="AJ92"/>
  <c r="O92" s="1"/>
  <c r="AJ95"/>
  <c r="O95" s="1"/>
  <c r="AJ98"/>
  <c r="O98" s="1"/>
  <c r="X1"/>
  <c r="AB1"/>
  <c r="AF1"/>
  <c r="AJ1"/>
  <c r="AJ2"/>
  <c r="AJ3"/>
  <c r="AB4"/>
  <c r="AA5"/>
  <c r="V6"/>
  <c r="AJ7"/>
  <c r="AB8"/>
  <c r="V9"/>
  <c r="AB10"/>
  <c r="AA11"/>
  <c r="AA12"/>
  <c r="AJ13"/>
  <c r="AJ14"/>
  <c r="AJ15"/>
  <c r="AB16"/>
  <c r="AA17"/>
  <c r="AB18"/>
  <c r="AA19"/>
  <c r="AA20"/>
  <c r="AB21"/>
  <c r="V22"/>
  <c r="AB23"/>
  <c r="AA24"/>
  <c r="AA25"/>
  <c r="AA26"/>
  <c r="AA27"/>
  <c r="AJ28"/>
  <c r="AB29"/>
  <c r="AA30"/>
  <c r="V31"/>
  <c r="V32"/>
  <c r="AJ33"/>
  <c r="AJ34"/>
  <c r="AJ35"/>
  <c r="AJ36"/>
  <c r="Y1"/>
  <c r="AC1"/>
  <c r="AG1"/>
  <c r="V2"/>
  <c r="V3"/>
  <c r="AJ4"/>
  <c r="AB5"/>
  <c r="AA6"/>
  <c r="V7"/>
  <c r="AJ8"/>
  <c r="AA9"/>
  <c r="AJ10"/>
  <c r="AB11"/>
  <c r="AB12"/>
  <c r="V13"/>
  <c r="V14"/>
  <c r="V15"/>
  <c r="AJ16"/>
  <c r="AB17"/>
  <c r="AJ18"/>
  <c r="AB19"/>
  <c r="AB20"/>
  <c r="AJ21"/>
  <c r="AA22"/>
  <c r="AJ23"/>
  <c r="AB24"/>
  <c r="AB25"/>
  <c r="AB26"/>
  <c r="AB27"/>
  <c r="V28"/>
  <c r="AJ29"/>
  <c r="AB30"/>
  <c r="AA31"/>
  <c r="AA32"/>
  <c r="V33"/>
  <c r="V34"/>
  <c r="V35"/>
  <c r="V36"/>
  <c r="Z1"/>
  <c r="AH1"/>
  <c r="AA3"/>
  <c r="AA4"/>
  <c r="AA7"/>
  <c r="AA8"/>
  <c r="AJ9"/>
  <c r="AJ12"/>
  <c r="AB15"/>
  <c r="AJ19"/>
  <c r="AJ20"/>
  <c r="V23"/>
  <c r="AJ24"/>
  <c r="AJ26"/>
  <c r="V29"/>
  <c r="AJ30"/>
  <c r="AB32"/>
  <c r="AA34"/>
  <c r="AA36"/>
  <c r="W1"/>
  <c r="AE1"/>
  <c r="AB2"/>
  <c r="V4"/>
  <c r="AJ5"/>
  <c r="V8"/>
  <c r="AB9"/>
  <c r="AA10"/>
  <c r="V12"/>
  <c r="AB13"/>
  <c r="AA15"/>
  <c r="AA16"/>
  <c r="AA18"/>
  <c r="V19"/>
  <c r="V20"/>
  <c r="AA21"/>
  <c r="AJ22"/>
  <c r="V24"/>
  <c r="V26"/>
  <c r="V30"/>
  <c r="AJ31"/>
  <c r="AB33"/>
  <c r="AB35"/>
  <c r="AD1"/>
  <c r="AB6"/>
  <c r="V10"/>
  <c r="V11"/>
  <c r="AA14"/>
  <c r="V18"/>
  <c r="AB22"/>
  <c r="AJ25"/>
  <c r="AA28"/>
  <c r="AA33"/>
  <c r="AA1"/>
  <c r="AB3"/>
  <c r="AB7"/>
  <c r="AA13"/>
  <c r="V16"/>
  <c r="V25"/>
  <c r="AA29"/>
  <c r="AJ32"/>
  <c r="AB36"/>
  <c r="AJ6"/>
  <c r="AA23"/>
  <c r="AB31"/>
  <c r="AA2"/>
  <c r="AJ27"/>
  <c r="S1" i="10"/>
  <c r="W1"/>
  <c r="AA1"/>
  <c r="AE1"/>
  <c r="AE2"/>
  <c r="AE3"/>
  <c r="W4"/>
  <c r="V5"/>
  <c r="Q6"/>
  <c r="AE7"/>
  <c r="W8"/>
  <c r="V9"/>
  <c r="V11"/>
  <c r="Q12"/>
  <c r="W13"/>
  <c r="W14"/>
  <c r="W15"/>
  <c r="W16"/>
  <c r="W17"/>
  <c r="W18"/>
  <c r="W19"/>
  <c r="W20"/>
  <c r="AE21"/>
  <c r="V22"/>
  <c r="Q23"/>
  <c r="Q24"/>
  <c r="Q25"/>
  <c r="Q26"/>
  <c r="W27"/>
  <c r="V28"/>
  <c r="Q29"/>
  <c r="AE30"/>
  <c r="AE31"/>
  <c r="W32"/>
  <c r="W33"/>
  <c r="W34"/>
  <c r="W35"/>
  <c r="Q36"/>
  <c r="R1"/>
  <c r="V1"/>
  <c r="Z1"/>
  <c r="AD1"/>
  <c r="W2"/>
  <c r="W3"/>
  <c r="V4"/>
  <c r="Q5"/>
  <c r="AE6"/>
  <c r="W7"/>
  <c r="V8"/>
  <c r="Q9"/>
  <c r="AE10"/>
  <c r="Q11"/>
  <c r="AE12"/>
  <c r="V13"/>
  <c r="T1"/>
  <c r="AB1"/>
  <c r="Q3"/>
  <c r="AE4"/>
  <c r="Q7"/>
  <c r="AE8"/>
  <c r="Q15"/>
  <c r="V16"/>
  <c r="AE17"/>
  <c r="V18"/>
  <c r="V20"/>
  <c r="AE22"/>
  <c r="AE23"/>
  <c r="V25"/>
  <c r="W26"/>
  <c r="V27"/>
  <c r="W28"/>
  <c r="W29"/>
  <c r="W30"/>
  <c r="Q33"/>
  <c r="V34"/>
  <c r="AE35"/>
  <c r="W36"/>
  <c r="U1"/>
  <c r="Q2"/>
  <c r="Q4"/>
  <c r="V7"/>
  <c r="W9"/>
  <c r="V10"/>
  <c r="AE11"/>
  <c r="V15"/>
  <c r="Q17"/>
  <c r="AE18"/>
  <c r="V19"/>
  <c r="Q20"/>
  <c r="V23"/>
  <c r="AE24"/>
  <c r="AE26"/>
  <c r="V29"/>
  <c r="Q31"/>
  <c r="V32"/>
  <c r="Q34"/>
  <c r="X1"/>
  <c r="V2"/>
  <c r="V6"/>
  <c r="AE9"/>
  <c r="W10"/>
  <c r="Q14"/>
  <c r="AE15"/>
  <c r="V17"/>
  <c r="AE19"/>
  <c r="AE20"/>
  <c r="Q21"/>
  <c r="Q22"/>
  <c r="W23"/>
  <c r="W25"/>
  <c r="Q28"/>
  <c r="AE29"/>
  <c r="V31"/>
  <c r="AE32"/>
  <c r="AE34"/>
  <c r="V3"/>
  <c r="AE5"/>
  <c r="W12"/>
  <c r="AE13"/>
  <c r="V14"/>
  <c r="W21"/>
  <c r="W24"/>
  <c r="Q27"/>
  <c r="Q32"/>
  <c r="V35"/>
  <c r="AC1"/>
  <c r="W5"/>
  <c r="V12"/>
  <c r="Q13"/>
  <c r="AE16"/>
  <c r="Q18"/>
  <c r="V21"/>
  <c r="V24"/>
  <c r="AE28"/>
  <c r="W31"/>
  <c r="Q35"/>
  <c r="Q16"/>
  <c r="Q19"/>
  <c r="V26"/>
  <c r="Q30"/>
  <c r="V36"/>
  <c r="Y1"/>
  <c r="W6"/>
  <c r="AE14"/>
  <c r="AE25"/>
  <c r="AE33"/>
  <c r="Q8"/>
  <c r="V30"/>
  <c r="W11"/>
  <c r="W22"/>
  <c r="AL379" i="8"/>
  <c r="AM379" s="1"/>
  <c r="AJ379"/>
  <c r="AL378"/>
  <c r="AM378" s="1"/>
  <c r="AJ378"/>
  <c r="AO376"/>
  <c r="AQ376"/>
  <c r="AR376" s="1"/>
  <c r="AL375"/>
  <c r="AM375" s="1"/>
  <c r="AJ375"/>
  <c r="AL374"/>
  <c r="AM374" s="1"/>
  <c r="AJ374"/>
  <c r="AO372"/>
  <c r="AQ372"/>
  <c r="AR372" s="1"/>
  <c r="AL371"/>
  <c r="AM371" s="1"/>
  <c r="AJ371"/>
  <c r="AL370"/>
  <c r="AM370" s="1"/>
  <c r="AJ370"/>
  <c r="AO368"/>
  <c r="AQ368"/>
  <c r="AR368" s="1"/>
  <c r="AL367"/>
  <c r="AM367" s="1"/>
  <c r="AJ367"/>
  <c r="AL366"/>
  <c r="AM366" s="1"/>
  <c r="AJ366"/>
  <c r="AO364"/>
  <c r="AQ364"/>
  <c r="AR364" s="1"/>
  <c r="AL363"/>
  <c r="AM363" s="1"/>
  <c r="AJ363"/>
  <c r="AL362"/>
  <c r="AM362" s="1"/>
  <c r="AJ362"/>
  <c r="AO360"/>
  <c r="AQ360"/>
  <c r="AR360" s="1"/>
  <c r="AL359"/>
  <c r="AM359" s="1"/>
  <c r="AJ359"/>
  <c r="AL358"/>
  <c r="AM358" s="1"/>
  <c r="AJ358"/>
  <c r="AO356"/>
  <c r="AQ356"/>
  <c r="AR356" s="1"/>
  <c r="AL355"/>
  <c r="AM355" s="1"/>
  <c r="AJ355"/>
  <c r="AL354"/>
  <c r="AM354" s="1"/>
  <c r="AJ354"/>
  <c r="AO352"/>
  <c r="AQ352"/>
  <c r="AR352" s="1"/>
  <c r="AL351"/>
  <c r="AM351" s="1"/>
  <c r="AJ351"/>
  <c r="AL350"/>
  <c r="AM350" s="1"/>
  <c r="AJ350"/>
  <c r="AO348"/>
  <c r="AQ348"/>
  <c r="AR348" s="1"/>
  <c r="AL347"/>
  <c r="AM347" s="1"/>
  <c r="AJ347"/>
  <c r="AL346"/>
  <c r="AM346" s="1"/>
  <c r="AJ346"/>
  <c r="AO344"/>
  <c r="AQ344"/>
  <c r="AR344" s="1"/>
  <c r="AL343"/>
  <c r="AM343" s="1"/>
  <c r="AJ343"/>
  <c r="AL342"/>
  <c r="AM342" s="1"/>
  <c r="AJ342"/>
  <c r="AO340"/>
  <c r="AQ340"/>
  <c r="AR340" s="1"/>
  <c r="AL339"/>
  <c r="AM339" s="1"/>
  <c r="AJ339"/>
  <c r="AL338"/>
  <c r="AM338" s="1"/>
  <c r="AJ338"/>
  <c r="AO336"/>
  <c r="AQ336"/>
  <c r="AR336" s="1"/>
  <c r="AL335"/>
  <c r="AM335" s="1"/>
  <c r="AJ335"/>
  <c r="AL334"/>
  <c r="AM334" s="1"/>
  <c r="AJ334"/>
  <c r="AO332"/>
  <c r="AQ332"/>
  <c r="AR332" s="1"/>
  <c r="AL331"/>
  <c r="AM331" s="1"/>
  <c r="AJ331"/>
  <c r="AL330"/>
  <c r="AM330" s="1"/>
  <c r="AJ330"/>
  <c r="AO328"/>
  <c r="AQ328"/>
  <c r="AR328" s="1"/>
  <c r="AL327"/>
  <c r="AM327" s="1"/>
  <c r="AJ327"/>
  <c r="AL326"/>
  <c r="AM326" s="1"/>
  <c r="AJ326"/>
  <c r="AO324"/>
  <c r="AQ324"/>
  <c r="AR324" s="1"/>
  <c r="AL323"/>
  <c r="AM323" s="1"/>
  <c r="AJ323"/>
  <c r="AL322"/>
  <c r="AM322" s="1"/>
  <c r="AJ322"/>
  <c r="AO320"/>
  <c r="AQ320"/>
  <c r="AR320" s="1"/>
  <c r="AL319"/>
  <c r="AM319" s="1"/>
  <c r="AJ319"/>
  <c r="AL318"/>
  <c r="AM318" s="1"/>
  <c r="AJ318"/>
  <c r="AO316"/>
  <c r="AQ316"/>
  <c r="AR316" s="1"/>
  <c r="AL315"/>
  <c r="AM315" s="1"/>
  <c r="AJ315"/>
  <c r="AL314"/>
  <c r="AM314" s="1"/>
  <c r="AJ314"/>
  <c r="AO312"/>
  <c r="AQ312"/>
  <c r="AR312" s="1"/>
  <c r="AL311"/>
  <c r="AM311" s="1"/>
  <c r="AJ311"/>
  <c r="AL310"/>
  <c r="AM310" s="1"/>
  <c r="AJ310"/>
  <c r="AO308"/>
  <c r="AQ308"/>
  <c r="AR308" s="1"/>
  <c r="AL307"/>
  <c r="AM307" s="1"/>
  <c r="AJ307"/>
  <c r="AL306"/>
  <c r="AM306" s="1"/>
  <c r="AJ306"/>
  <c r="AO304"/>
  <c r="AQ304"/>
  <c r="AR304" s="1"/>
  <c r="AL303"/>
  <c r="AM303" s="1"/>
  <c r="AJ303"/>
  <c r="AL302"/>
  <c r="AM302" s="1"/>
  <c r="AJ302"/>
  <c r="AO300"/>
  <c r="AQ300"/>
  <c r="AR300" s="1"/>
  <c r="AL299"/>
  <c r="AM299" s="1"/>
  <c r="AJ299"/>
  <c r="AL298"/>
  <c r="AM298" s="1"/>
  <c r="AJ298"/>
  <c r="AO296"/>
  <c r="AQ296"/>
  <c r="AR296" s="1"/>
  <c r="AL295"/>
  <c r="AM295" s="1"/>
  <c r="AJ295"/>
  <c r="AL294"/>
  <c r="AM294" s="1"/>
  <c r="AJ294"/>
  <c r="AO292"/>
  <c r="AQ292"/>
  <c r="AR292" s="1"/>
  <c r="AL291"/>
  <c r="AM291" s="1"/>
  <c r="AJ291"/>
  <c r="AL290"/>
  <c r="AM290" s="1"/>
  <c r="AJ290"/>
  <c r="AO288"/>
  <c r="AQ288"/>
  <c r="AR288" s="1"/>
  <c r="AL287"/>
  <c r="AM287" s="1"/>
  <c r="AJ287"/>
  <c r="AL286"/>
  <c r="AM286" s="1"/>
  <c r="AJ286"/>
  <c r="AO284"/>
  <c r="AQ284"/>
  <c r="AR284" s="1"/>
  <c r="AL283"/>
  <c r="AM283" s="1"/>
  <c r="AJ283"/>
  <c r="AL282"/>
  <c r="AM282" s="1"/>
  <c r="AJ282"/>
  <c r="AO280"/>
  <c r="AQ280"/>
  <c r="AR280" s="1"/>
  <c r="AL279"/>
  <c r="AM279" s="1"/>
  <c r="AJ279"/>
  <c r="AL278"/>
  <c r="AM278" s="1"/>
  <c r="AJ278"/>
  <c r="AO276"/>
  <c r="AQ276"/>
  <c r="AR276" s="1"/>
  <c r="AL275"/>
  <c r="AM275" s="1"/>
  <c r="AJ275"/>
  <c r="AL274"/>
  <c r="AM274" s="1"/>
  <c r="AJ274"/>
  <c r="AO272"/>
  <c r="AQ272"/>
  <c r="AR272" s="1"/>
  <c r="AL271"/>
  <c r="AM271" s="1"/>
  <c r="AJ271"/>
  <c r="AL270"/>
  <c r="AM270" s="1"/>
  <c r="AJ270"/>
  <c r="AO268"/>
  <c r="AQ268"/>
  <c r="AR268" s="1"/>
  <c r="AL267"/>
  <c r="AM267" s="1"/>
  <c r="AJ267"/>
  <c r="AL266"/>
  <c r="AM266" s="1"/>
  <c r="AJ266"/>
  <c r="AO264"/>
  <c r="AQ264"/>
  <c r="AR264" s="1"/>
  <c r="AL263"/>
  <c r="AM263" s="1"/>
  <c r="AJ263"/>
  <c r="AL262"/>
  <c r="AM262" s="1"/>
  <c r="AJ262"/>
  <c r="AO260"/>
  <c r="AQ260"/>
  <c r="AR260" s="1"/>
  <c r="AL259"/>
  <c r="AM259" s="1"/>
  <c r="AJ259"/>
  <c r="AL258"/>
  <c r="AM258" s="1"/>
  <c r="AJ258"/>
  <c r="AO256"/>
  <c r="AQ256"/>
  <c r="AR256" s="1"/>
  <c r="AL255"/>
  <c r="AM255" s="1"/>
  <c r="AJ255"/>
  <c r="AL254"/>
  <c r="AM254" s="1"/>
  <c r="AJ254"/>
  <c r="AO252"/>
  <c r="AQ252"/>
  <c r="AR252" s="1"/>
  <c r="AL251"/>
  <c r="AM251" s="1"/>
  <c r="AJ251"/>
  <c r="AL250"/>
  <c r="AM250" s="1"/>
  <c r="AJ250"/>
  <c r="AO248"/>
  <c r="AQ248"/>
  <c r="AR248" s="1"/>
  <c r="AL247"/>
  <c r="AM247" s="1"/>
  <c r="AJ247"/>
  <c r="AL246"/>
  <c r="AM246" s="1"/>
  <c r="AJ246"/>
  <c r="AO244"/>
  <c r="AQ244"/>
  <c r="AR244" s="1"/>
  <c r="AL243"/>
  <c r="AM243" s="1"/>
  <c r="AJ243"/>
  <c r="AL242"/>
  <c r="AM242" s="1"/>
  <c r="AJ242"/>
  <c r="AO240"/>
  <c r="AQ240"/>
  <c r="AR240" s="1"/>
  <c r="AL239"/>
  <c r="AM239" s="1"/>
  <c r="AJ239"/>
  <c r="AL238"/>
  <c r="AM238" s="1"/>
  <c r="AJ238"/>
  <c r="AO236"/>
  <c r="AQ236"/>
  <c r="AR236" s="1"/>
  <c r="AL235"/>
  <c r="AM235" s="1"/>
  <c r="AJ235"/>
  <c r="AL234"/>
  <c r="AM234" s="1"/>
  <c r="AJ234"/>
  <c r="AO232"/>
  <c r="AQ232"/>
  <c r="AR232" s="1"/>
  <c r="AL231"/>
  <c r="AM231" s="1"/>
  <c r="AJ231"/>
  <c r="AL230"/>
  <c r="AM230" s="1"/>
  <c r="AJ230"/>
  <c r="AO228"/>
  <c r="AQ228"/>
  <c r="AR228" s="1"/>
  <c r="AL227"/>
  <c r="AM227" s="1"/>
  <c r="AJ227"/>
  <c r="AL226"/>
  <c r="AM226" s="1"/>
  <c r="AJ226"/>
  <c r="AO224"/>
  <c r="AQ224"/>
  <c r="AR224" s="1"/>
  <c r="AL223"/>
  <c r="AM223" s="1"/>
  <c r="AJ223"/>
  <c r="AL222"/>
  <c r="AM222" s="1"/>
  <c r="AJ222"/>
  <c r="AO220"/>
  <c r="AQ220"/>
  <c r="AR220" s="1"/>
  <c r="AL219"/>
  <c r="AM219" s="1"/>
  <c r="AJ219"/>
  <c r="AL218"/>
  <c r="AM218" s="1"/>
  <c r="AJ218"/>
  <c r="AO216"/>
  <c r="AQ216"/>
  <c r="AR216" s="1"/>
  <c r="AL215"/>
  <c r="AM215" s="1"/>
  <c r="AJ215"/>
  <c r="AL214"/>
  <c r="AM214" s="1"/>
  <c r="AJ214"/>
  <c r="AO212"/>
  <c r="AQ212"/>
  <c r="AR212" s="1"/>
  <c r="AL211"/>
  <c r="AM211" s="1"/>
  <c r="AJ211"/>
  <c r="AL210"/>
  <c r="AM210" s="1"/>
  <c r="AJ210"/>
  <c r="AO208"/>
  <c r="AQ208"/>
  <c r="AR208" s="1"/>
  <c r="AL207"/>
  <c r="AM207" s="1"/>
  <c r="AJ207"/>
  <c r="AL206"/>
  <c r="AM206" s="1"/>
  <c r="AJ206"/>
  <c r="AO204"/>
  <c r="AQ204"/>
  <c r="AR204" s="1"/>
  <c r="AL203"/>
  <c r="AM203" s="1"/>
  <c r="AJ203"/>
  <c r="AL202"/>
  <c r="AM202" s="1"/>
  <c r="AJ202"/>
  <c r="AO200"/>
  <c r="AQ200"/>
  <c r="AR200" s="1"/>
  <c r="AL199"/>
  <c r="AM199" s="1"/>
  <c r="AJ199"/>
  <c r="AL198"/>
  <c r="AM198" s="1"/>
  <c r="AJ198"/>
  <c r="AO196"/>
  <c r="AQ196"/>
  <c r="AR196" s="1"/>
  <c r="AL195"/>
  <c r="AM195" s="1"/>
  <c r="AJ195"/>
  <c r="AL194"/>
  <c r="AM194" s="1"/>
  <c r="AJ194"/>
  <c r="AO192"/>
  <c r="AQ192"/>
  <c r="AR192" s="1"/>
  <c r="AL191"/>
  <c r="AM191" s="1"/>
  <c r="AJ191"/>
  <c r="AL190"/>
  <c r="AM190" s="1"/>
  <c r="AJ190"/>
  <c r="AO188"/>
  <c r="AQ188"/>
  <c r="AR188" s="1"/>
  <c r="AL187"/>
  <c r="AM187" s="1"/>
  <c r="AJ187"/>
  <c r="AL186"/>
  <c r="AM186" s="1"/>
  <c r="AJ186"/>
  <c r="AO184"/>
  <c r="AQ184"/>
  <c r="AR184" s="1"/>
  <c r="AL183"/>
  <c r="AM183" s="1"/>
  <c r="AJ183"/>
  <c r="AL182"/>
  <c r="AM182" s="1"/>
  <c r="AJ182"/>
  <c r="AO180"/>
  <c r="AQ180"/>
  <c r="AR180" s="1"/>
  <c r="AL179"/>
  <c r="AM179" s="1"/>
  <c r="AJ179"/>
  <c r="AL178"/>
  <c r="AM178" s="1"/>
  <c r="AJ178"/>
  <c r="AQ144"/>
  <c r="AR144" s="1"/>
  <c r="P144" s="1"/>
  <c r="AO144"/>
  <c r="Q144" s="1"/>
  <c r="AO149"/>
  <c r="Q149" s="1"/>
  <c r="AQ149"/>
  <c r="AR149" s="1"/>
  <c r="P149" s="1"/>
  <c r="AQ152"/>
  <c r="AR152" s="1"/>
  <c r="P152" s="1"/>
  <c r="AO152"/>
  <c r="Q152" s="1"/>
  <c r="AQ165"/>
  <c r="AR165" s="1"/>
  <c r="P165" s="1"/>
  <c r="AO165"/>
  <c r="Q165" s="1"/>
  <c r="AJ117"/>
  <c r="O117" s="1"/>
  <c r="AL117"/>
  <c r="AM117" s="1"/>
  <c r="N117" s="1"/>
  <c r="AL122"/>
  <c r="AM122" s="1"/>
  <c r="N122" s="1"/>
  <c r="AJ122"/>
  <c r="O122" s="1"/>
  <c r="AL130"/>
  <c r="AM130" s="1"/>
  <c r="N130" s="1"/>
  <c r="AJ130"/>
  <c r="O130" s="1"/>
  <c r="AJ149"/>
  <c r="O149" s="1"/>
  <c r="AL149"/>
  <c r="AM149" s="1"/>
  <c r="N149" s="1"/>
  <c r="AJ170"/>
  <c r="O170" s="1"/>
  <c r="AL170"/>
  <c r="AM170" s="1"/>
  <c r="N170" s="1"/>
  <c r="P24"/>
  <c r="AH84"/>
  <c r="X83"/>
  <c r="X84"/>
  <c r="O17"/>
  <c r="O19" s="1"/>
  <c r="Y94"/>
  <c r="Y95" s="1"/>
  <c r="CB6" i="6"/>
  <c r="AO170" i="8"/>
  <c r="Q170" s="1"/>
  <c r="AO154"/>
  <c r="Q154" s="1"/>
  <c r="AQ151"/>
  <c r="AR151" s="1"/>
  <c r="P151" s="1"/>
  <c r="AO138"/>
  <c r="Q138" s="1"/>
  <c r="AP90"/>
  <c r="AP106"/>
  <c r="AK77"/>
  <c r="AO92"/>
  <c r="Q92" s="1"/>
  <c r="AQ108"/>
  <c r="AR108" s="1"/>
  <c r="P108" s="1"/>
  <c r="AO108"/>
  <c r="Q108" s="1"/>
  <c r="AQ110"/>
  <c r="AR110" s="1"/>
  <c r="P110" s="1"/>
  <c r="AO110"/>
  <c r="Q110" s="1"/>
  <c r="AQ112"/>
  <c r="AR112" s="1"/>
  <c r="P112" s="1"/>
  <c r="AO112"/>
  <c r="Q112" s="1"/>
  <c r="AQ114"/>
  <c r="AR114" s="1"/>
  <c r="P114" s="1"/>
  <c r="AO114"/>
  <c r="Q114" s="1"/>
  <c r="AQ118"/>
  <c r="AR118" s="1"/>
  <c r="P118" s="1"/>
  <c r="AO118"/>
  <c r="Q118" s="1"/>
  <c r="AQ120"/>
  <c r="AR120" s="1"/>
  <c r="P120" s="1"/>
  <c r="AO120"/>
  <c r="Q120" s="1"/>
  <c r="AQ126"/>
  <c r="AR126" s="1"/>
  <c r="P126" s="1"/>
  <c r="AO126"/>
  <c r="Q126" s="1"/>
  <c r="AQ128"/>
  <c r="AR128" s="1"/>
  <c r="P128" s="1"/>
  <c r="AO128"/>
  <c r="Q128" s="1"/>
  <c r="AQ132"/>
  <c r="AR132" s="1"/>
  <c r="P132" s="1"/>
  <c r="AO132"/>
  <c r="Q132" s="1"/>
  <c r="AQ136"/>
  <c r="AR136" s="1"/>
  <c r="P136" s="1"/>
  <c r="AO136"/>
  <c r="Q136" s="1"/>
  <c r="AO143"/>
  <c r="Q143" s="1"/>
  <c r="AQ143"/>
  <c r="AR143" s="1"/>
  <c r="P143" s="1"/>
  <c r="AQ146"/>
  <c r="AR146" s="1"/>
  <c r="P146" s="1"/>
  <c r="AO146"/>
  <c r="Q146" s="1"/>
  <c r="AO159"/>
  <c r="Q159" s="1"/>
  <c r="AQ159"/>
  <c r="AR159" s="1"/>
  <c r="P159" s="1"/>
  <c r="AQ167"/>
  <c r="AR167" s="1"/>
  <c r="P167" s="1"/>
  <c r="AO167"/>
  <c r="Q167" s="1"/>
  <c r="AJ79"/>
  <c r="O79" s="1"/>
  <c r="AJ82"/>
  <c r="O82" s="1"/>
  <c r="AL116"/>
  <c r="AM116" s="1"/>
  <c r="N116" s="1"/>
  <c r="AJ116"/>
  <c r="O116" s="1"/>
  <c r="AJ119"/>
  <c r="O119" s="1"/>
  <c r="AL119"/>
  <c r="AM119" s="1"/>
  <c r="N119" s="1"/>
  <c r="AL124"/>
  <c r="AM124" s="1"/>
  <c r="N124" s="1"/>
  <c r="AJ124"/>
  <c r="O124" s="1"/>
  <c r="AJ127"/>
  <c r="O127" s="1"/>
  <c r="AL127"/>
  <c r="AM127" s="1"/>
  <c r="N127" s="1"/>
  <c r="AJ135"/>
  <c r="O135" s="1"/>
  <c r="AL135"/>
  <c r="AM135" s="1"/>
  <c r="N135" s="1"/>
  <c r="AL148"/>
  <c r="AM148" s="1"/>
  <c r="N148" s="1"/>
  <c r="AJ148"/>
  <c r="O148" s="1"/>
  <c r="AJ151"/>
  <c r="O151" s="1"/>
  <c r="AL151"/>
  <c r="AM151" s="1"/>
  <c r="N151" s="1"/>
  <c r="AJ172"/>
  <c r="O172" s="1"/>
  <c r="AL172"/>
  <c r="AM172" s="1"/>
  <c r="N172" s="1"/>
  <c r="AK107"/>
  <c r="AK99"/>
  <c r="AL98" s="1"/>
  <c r="AM98" s="1"/>
  <c r="N98" s="1"/>
  <c r="AK91"/>
  <c r="AK83"/>
  <c r="AL82" s="1"/>
  <c r="AM82" s="1"/>
  <c r="N82" s="1"/>
  <c r="AP107"/>
  <c r="AP105"/>
  <c r="AP103"/>
  <c r="AP101"/>
  <c r="AP99"/>
  <c r="AP97"/>
  <c r="AP95"/>
  <c r="AP93"/>
  <c r="AP91"/>
  <c r="AP89"/>
  <c r="AP87"/>
  <c r="AP85"/>
  <c r="AQ84" s="1"/>
  <c r="AR84" s="1"/>
  <c r="P84" s="1"/>
  <c r="AP83"/>
  <c r="AP81"/>
  <c r="AP79"/>
  <c r="AK105"/>
  <c r="AK97"/>
  <c r="AK89"/>
  <c r="AK81"/>
  <c r="AK103"/>
  <c r="AK87"/>
  <c r="AP104"/>
  <c r="AP96"/>
  <c r="AP88"/>
  <c r="AP80"/>
  <c r="AK101"/>
  <c r="AK85"/>
  <c r="AP102"/>
  <c r="AP94"/>
  <c r="AP86"/>
  <c r="AP78"/>
  <c r="AQ1007"/>
  <c r="AR1007" s="1"/>
  <c r="AO1000"/>
  <c r="AQ999"/>
  <c r="AR999" s="1"/>
  <c r="AO992"/>
  <c r="AQ991"/>
  <c r="AR991" s="1"/>
  <c r="AO984"/>
  <c r="AQ983"/>
  <c r="AR983" s="1"/>
  <c r="AO976"/>
  <c r="AQ975"/>
  <c r="AR975" s="1"/>
  <c r="AO968"/>
  <c r="AQ967"/>
  <c r="AR967" s="1"/>
  <c r="AO960"/>
  <c r="AQ959"/>
  <c r="AR959" s="1"/>
  <c r="AO952"/>
  <c r="AQ951"/>
  <c r="AR951" s="1"/>
  <c r="AO944"/>
  <c r="AQ943"/>
  <c r="AR943" s="1"/>
  <c r="AO936"/>
  <c r="AQ935"/>
  <c r="AR935" s="1"/>
  <c r="AO928"/>
  <c r="AQ927"/>
  <c r="AR927" s="1"/>
  <c r="AO920"/>
  <c r="AQ919"/>
  <c r="AR919" s="1"/>
  <c r="AO912"/>
  <c r="AQ911"/>
  <c r="AR911" s="1"/>
  <c r="AO904"/>
  <c r="AQ903"/>
  <c r="AR903" s="1"/>
  <c r="AO896"/>
  <c r="AQ895"/>
  <c r="AR895" s="1"/>
  <c r="AO888"/>
  <c r="AQ887"/>
  <c r="AR887" s="1"/>
  <c r="AO880"/>
  <c r="AQ879"/>
  <c r="AR879" s="1"/>
  <c r="AO872"/>
  <c r="AQ871"/>
  <c r="AR871" s="1"/>
  <c r="AO864"/>
  <c r="AQ863"/>
  <c r="AR863" s="1"/>
  <c r="AO856"/>
  <c r="AQ855"/>
  <c r="AR855" s="1"/>
  <c r="AO848"/>
  <c r="AQ847"/>
  <c r="AR847" s="1"/>
  <c r="AO840"/>
  <c r="AQ839"/>
  <c r="AR839" s="1"/>
  <c r="AO832"/>
  <c r="AQ831"/>
  <c r="AR831" s="1"/>
  <c r="AO824"/>
  <c r="AQ823"/>
  <c r="AR823" s="1"/>
  <c r="AO816"/>
  <c r="AQ815"/>
  <c r="AR815" s="1"/>
  <c r="AO808"/>
  <c r="AQ807"/>
  <c r="AR807" s="1"/>
  <c r="AO800"/>
  <c r="AQ799"/>
  <c r="AR799" s="1"/>
  <c r="AO792"/>
  <c r="AQ791"/>
  <c r="AR791" s="1"/>
  <c r="AO784"/>
  <c r="AQ783"/>
  <c r="AR783" s="1"/>
  <c r="AO776"/>
  <c r="AQ775"/>
  <c r="AR775" s="1"/>
  <c r="AO768"/>
  <c r="AQ767"/>
  <c r="AR767" s="1"/>
  <c r="AO760"/>
  <c r="AQ759"/>
  <c r="AR759" s="1"/>
  <c r="AO752"/>
  <c r="AQ751"/>
  <c r="AR751" s="1"/>
  <c r="AO744"/>
  <c r="AQ743"/>
  <c r="AR743" s="1"/>
  <c r="AO736"/>
  <c r="AQ735"/>
  <c r="AR735" s="1"/>
  <c r="AO728"/>
  <c r="AQ727"/>
  <c r="AR727" s="1"/>
  <c r="AO720"/>
  <c r="AQ719"/>
  <c r="AR719" s="1"/>
  <c r="AO712"/>
  <c r="AQ711"/>
  <c r="AR711" s="1"/>
  <c r="AO704"/>
  <c r="AQ703"/>
  <c r="AR703" s="1"/>
  <c r="AO696"/>
  <c r="AQ695"/>
  <c r="AR695" s="1"/>
  <c r="AO688"/>
  <c r="AQ687"/>
  <c r="AR687" s="1"/>
  <c r="AO680"/>
  <c r="AQ679"/>
  <c r="AR679" s="1"/>
  <c r="AO672"/>
  <c r="AQ671"/>
  <c r="AR671" s="1"/>
  <c r="AO664"/>
  <c r="AQ663"/>
  <c r="AR663" s="1"/>
  <c r="AO656"/>
  <c r="AQ655"/>
  <c r="AR655" s="1"/>
  <c r="AO648"/>
  <c r="AQ647"/>
  <c r="AR647" s="1"/>
  <c r="AO640"/>
  <c r="AQ639"/>
  <c r="AR639" s="1"/>
  <c r="AO632"/>
  <c r="AQ631"/>
  <c r="AR631" s="1"/>
  <c r="AO624"/>
  <c r="AQ623"/>
  <c r="AR623" s="1"/>
  <c r="AO616"/>
  <c r="AQ615"/>
  <c r="AR615" s="1"/>
  <c r="AO608"/>
  <c r="AQ607"/>
  <c r="AR607" s="1"/>
  <c r="AO600"/>
  <c r="AQ599"/>
  <c r="AR599" s="1"/>
  <c r="AO592"/>
  <c r="AQ591"/>
  <c r="AR591" s="1"/>
  <c r="AO584"/>
  <c r="AQ583"/>
  <c r="AR583" s="1"/>
  <c r="AO576"/>
  <c r="AQ575"/>
  <c r="AR575" s="1"/>
  <c r="AO568"/>
  <c r="AQ567"/>
  <c r="AR567" s="1"/>
  <c r="AO560"/>
  <c r="AQ559"/>
  <c r="AR559" s="1"/>
  <c r="AO552"/>
  <c r="AQ551"/>
  <c r="AR551" s="1"/>
  <c r="AO544"/>
  <c r="AQ543"/>
  <c r="AR543" s="1"/>
  <c r="AO536"/>
  <c r="AQ535"/>
  <c r="AR535" s="1"/>
  <c r="AO528"/>
  <c r="AQ527"/>
  <c r="AR527" s="1"/>
  <c r="AO520"/>
  <c r="AQ519"/>
  <c r="AR519" s="1"/>
  <c r="AO512"/>
  <c r="AQ511"/>
  <c r="AR511" s="1"/>
  <c r="AO504"/>
  <c r="AQ503"/>
  <c r="AR503" s="1"/>
  <c r="AO496"/>
  <c r="AQ495"/>
  <c r="AR495" s="1"/>
  <c r="AO488"/>
  <c r="AQ487"/>
  <c r="AR487" s="1"/>
  <c r="AO480"/>
  <c r="AQ479"/>
  <c r="AR479" s="1"/>
  <c r="AO472"/>
  <c r="AQ471"/>
  <c r="AR471" s="1"/>
  <c r="AO464"/>
  <c r="AQ463"/>
  <c r="AR463" s="1"/>
  <c r="AO456"/>
  <c r="AQ455"/>
  <c r="AR455" s="1"/>
  <c r="AO448"/>
  <c r="AQ447"/>
  <c r="AR447" s="1"/>
  <c r="AO440"/>
  <c r="AQ439"/>
  <c r="AR439" s="1"/>
  <c r="AO432"/>
  <c r="AQ431"/>
  <c r="AR431" s="1"/>
  <c r="AO424"/>
  <c r="AQ423"/>
  <c r="AR423" s="1"/>
  <c r="AO416"/>
  <c r="AQ415"/>
  <c r="AR415" s="1"/>
  <c r="AO408"/>
  <c r="AQ407"/>
  <c r="AR407" s="1"/>
  <c r="AO400"/>
  <c r="AQ399"/>
  <c r="AR399" s="1"/>
  <c r="AO392"/>
  <c r="AQ391"/>
  <c r="AR391" s="1"/>
  <c r="AO384"/>
  <c r="AQ383"/>
  <c r="AR383" s="1"/>
  <c r="L18" i="10"/>
  <c r="L20" s="1"/>
  <c r="J36"/>
  <c r="S94"/>
  <c r="J37"/>
  <c r="T100" i="11"/>
  <c r="V99" s="1"/>
  <c r="T99"/>
  <c r="AB107"/>
  <c r="U1" i="9"/>
  <c r="Y1"/>
  <c r="AA2"/>
  <c r="T4"/>
  <c r="T10"/>
  <c r="AA10"/>
  <c r="AA12"/>
  <c r="T14"/>
  <c r="AA15"/>
  <c r="AA17"/>
  <c r="T19"/>
  <c r="T23"/>
  <c r="T24"/>
  <c r="T25"/>
  <c r="AA26"/>
  <c r="AA27"/>
  <c r="T30"/>
  <c r="AA31"/>
  <c r="AA34"/>
  <c r="AA36"/>
  <c r="V1"/>
  <c r="AA1"/>
  <c r="AA9"/>
  <c r="T11"/>
  <c r="T13"/>
  <c r="AA18"/>
  <c r="AA20"/>
  <c r="AA21"/>
  <c r="AA23"/>
  <c r="T28"/>
  <c r="AA29"/>
  <c r="T32"/>
  <c r="T33"/>
  <c r="AA35"/>
  <c r="X1"/>
  <c r="T6"/>
  <c r="AA7"/>
  <c r="AA14"/>
  <c r="T15"/>
  <c r="T20"/>
  <c r="T31"/>
  <c r="AA33"/>
  <c r="Z1"/>
  <c r="T3"/>
  <c r="AA3"/>
  <c r="T5"/>
  <c r="AA6"/>
  <c r="T9"/>
  <c r="AA16"/>
  <c r="T18"/>
  <c r="AA19"/>
  <c r="T21"/>
  <c r="AA25"/>
  <c r="T27"/>
  <c r="T29"/>
  <c r="AA32"/>
  <c r="T34"/>
  <c r="T2"/>
  <c r="T8"/>
  <c r="AA22"/>
  <c r="AA24"/>
  <c r="AA30"/>
  <c r="T35"/>
  <c r="W1"/>
  <c r="AA5"/>
  <c r="AA13"/>
  <c r="T17"/>
  <c r="T22"/>
  <c r="T26"/>
  <c r="S99" i="10"/>
  <c r="S100" s="1"/>
  <c r="S101"/>
  <c r="AK84" i="8"/>
  <c r="AK90"/>
  <c r="AK100"/>
  <c r="AK106"/>
  <c r="AG80"/>
  <c r="Y85"/>
  <c r="AF92" i="9"/>
  <c r="AF90"/>
  <c r="AR156" i="8"/>
  <c r="P156" s="1"/>
  <c r="AL155"/>
  <c r="AM155" s="1"/>
  <c r="N155" s="1"/>
  <c r="AR148"/>
  <c r="P148" s="1"/>
  <c r="AL147"/>
  <c r="AM147" s="1"/>
  <c r="N147" s="1"/>
  <c r="AL139"/>
  <c r="AM139" s="1"/>
  <c r="N139" s="1"/>
  <c r="AL131"/>
  <c r="AM131" s="1"/>
  <c r="N131" s="1"/>
  <c r="AL123"/>
  <c r="AM123" s="1"/>
  <c r="N123" s="1"/>
  <c r="AL115"/>
  <c r="AM115" s="1"/>
  <c r="N115" s="1"/>
  <c r="AP77"/>
  <c r="AK78"/>
  <c r="AK86"/>
  <c r="AK94"/>
  <c r="AL92" s="1"/>
  <c r="AM92" s="1"/>
  <c r="N92" s="1"/>
  <c r="AK102"/>
  <c r="AK110"/>
  <c r="B15" i="11"/>
  <c r="B16" s="1"/>
  <c r="C16"/>
  <c r="AK80" i="8"/>
  <c r="AK88"/>
  <c r="AK96"/>
  <c r="AK104"/>
  <c r="AA79" i="10"/>
  <c r="AA81"/>
  <c r="AB115" i="11"/>
  <c r="AA107" s="1"/>
  <c r="Q19" i="8"/>
  <c r="AF91" i="9"/>
  <c r="C21" i="11"/>
  <c r="C22" s="1"/>
  <c r="I36"/>
  <c r="N15" i="9"/>
  <c r="AA90" i="10"/>
  <c r="AA91"/>
  <c r="AA92" s="1"/>
  <c r="AA93" s="1"/>
  <c r="AA94" s="1"/>
  <c r="AA95" s="1"/>
  <c r="AA96" s="1"/>
  <c r="AA97" s="1"/>
  <c r="AA98" s="1"/>
  <c r="AA99" s="1"/>
  <c r="AA100" s="1"/>
  <c r="AA101" s="1"/>
  <c r="AA102" s="1"/>
  <c r="AA103" s="1"/>
  <c r="AA104" s="1"/>
  <c r="AA105" s="1"/>
  <c r="AA106" s="1"/>
  <c r="AA107" s="1"/>
  <c r="AA108" s="1"/>
  <c r="AB83"/>
  <c r="AB81"/>
  <c r="B20" i="11"/>
  <c r="B21" s="1"/>
  <c r="B22" s="1"/>
  <c r="I30"/>
  <c r="AB101"/>
  <c r="AB104"/>
  <c r="I37"/>
  <c r="I32"/>
  <c r="I33" s="1"/>
  <c r="I31"/>
  <c r="AB100"/>
  <c r="AB103"/>
  <c r="G23"/>
  <c r="G24"/>
  <c r="L1" i="12"/>
  <c r="P1"/>
  <c r="T1"/>
  <c r="H3"/>
  <c r="H5"/>
  <c r="H6"/>
  <c r="H7"/>
  <c r="K1"/>
  <c r="O1"/>
  <c r="S1"/>
  <c r="U2"/>
  <c r="U4"/>
  <c r="M1"/>
  <c r="U1"/>
  <c r="U5"/>
  <c r="U7"/>
  <c r="I1"/>
  <c r="Q1"/>
  <c r="U3"/>
  <c r="U6"/>
  <c r="R1"/>
  <c r="H2"/>
  <c r="N1"/>
  <c r="H10"/>
  <c r="H11"/>
  <c r="H12"/>
  <c r="U18"/>
  <c r="U19"/>
  <c r="H23"/>
  <c r="U10"/>
  <c r="H14"/>
  <c r="H15"/>
  <c r="U16"/>
  <c r="H22"/>
  <c r="H25"/>
  <c r="U26"/>
  <c r="H29"/>
  <c r="U30"/>
  <c r="H4"/>
  <c r="U8"/>
  <c r="U9"/>
  <c r="U11"/>
  <c r="H16"/>
  <c r="U17"/>
  <c r="H26"/>
  <c r="U27"/>
  <c r="H30"/>
  <c r="AM5"/>
  <c r="F13"/>
  <c r="AH20" s="1"/>
  <c r="H20" i="10"/>
  <c r="Z110" i="11"/>
  <c r="P35"/>
  <c r="P34"/>
  <c r="W32"/>
  <c r="W28"/>
  <c r="P27"/>
  <c r="W25"/>
  <c r="K24"/>
  <c r="P18"/>
  <c r="P16"/>
  <c r="P15"/>
  <c r="P14"/>
  <c r="W12"/>
  <c r="W8"/>
  <c r="P7"/>
  <c r="W4"/>
  <c r="W2"/>
  <c r="U1"/>
  <c r="AK11" i="12"/>
  <c r="AJ12"/>
  <c r="AL11"/>
  <c r="X4" i="2"/>
  <c r="V10" s="1"/>
  <c r="CB7" i="6"/>
  <c r="AM6" i="12"/>
  <c r="AL10"/>
  <c r="CX297" i="2"/>
  <c r="CX289"/>
  <c r="CX281"/>
  <c r="CX273"/>
  <c r="CX265"/>
  <c r="CX257"/>
  <c r="CX249"/>
  <c r="CX241"/>
  <c r="CX233"/>
  <c r="CX225"/>
  <c r="CX217"/>
  <c r="CX209"/>
  <c r="CX201"/>
  <c r="CX193"/>
  <c r="CX185"/>
  <c r="CX177"/>
  <c r="CX169"/>
  <c r="CX161"/>
  <c r="CX153"/>
  <c r="CX145"/>
  <c r="CX137"/>
  <c r="CX129"/>
  <c r="CX121"/>
  <c r="CX113"/>
  <c r="CX105"/>
  <c r="CX97"/>
  <c r="CX89"/>
  <c r="CX81"/>
  <c r="CX73"/>
  <c r="CX65"/>
  <c r="CX57"/>
  <c r="CX49"/>
  <c r="CX41"/>
  <c r="CX33"/>
  <c r="CX25"/>
  <c r="CX17"/>
  <c r="CX9"/>
  <c r="CX7"/>
  <c r="CX11"/>
  <c r="CX15"/>
  <c r="CX19"/>
  <c r="CX23"/>
  <c r="CX27"/>
  <c r="CX31"/>
  <c r="CX35"/>
  <c r="CX39"/>
  <c r="CX43"/>
  <c r="CX47"/>
  <c r="CX51"/>
  <c r="CX55"/>
  <c r="CX59"/>
  <c r="CX63"/>
  <c r="CX67"/>
  <c r="CX71"/>
  <c r="CX75"/>
  <c r="CX79"/>
  <c r="CX83"/>
  <c r="CX87"/>
  <c r="CX91"/>
  <c r="CX95"/>
  <c r="CX99"/>
  <c r="CX103"/>
  <c r="CX107"/>
  <c r="CX111"/>
  <c r="CX115"/>
  <c r="CX119"/>
  <c r="CX123"/>
  <c r="CX127"/>
  <c r="CX131"/>
  <c r="CX135"/>
  <c r="CX139"/>
  <c r="CX143"/>
  <c r="CX147"/>
  <c r="CX151"/>
  <c r="CX155"/>
  <c r="CX159"/>
  <c r="CX163"/>
  <c r="CX167"/>
  <c r="CX171"/>
  <c r="CX175"/>
  <c r="CX179"/>
  <c r="CX183"/>
  <c r="CX187"/>
  <c r="CX191"/>
  <c r="CX195"/>
  <c r="CX199"/>
  <c r="CX203"/>
  <c r="CX207"/>
  <c r="CX211"/>
  <c r="CX215"/>
  <c r="CX219"/>
  <c r="CX223"/>
  <c r="CX227"/>
  <c r="CX231"/>
  <c r="CX235"/>
  <c r="CX239"/>
  <c r="CX243"/>
  <c r="CX247"/>
  <c r="CX251"/>
  <c r="CX255"/>
  <c r="CX259"/>
  <c r="CX263"/>
  <c r="CX267"/>
  <c r="CX271"/>
  <c r="CX275"/>
  <c r="CX279"/>
  <c r="CX283"/>
  <c r="CX287"/>
  <c r="CX291"/>
  <c r="CX295"/>
  <c r="CX299"/>
  <c r="CX303"/>
  <c r="V4"/>
  <c r="Y31" s="1"/>
  <c r="CX6"/>
  <c r="CX10"/>
  <c r="CX14"/>
  <c r="CX18"/>
  <c r="CX22"/>
  <c r="CX26"/>
  <c r="CX30"/>
  <c r="CX34"/>
  <c r="CX38"/>
  <c r="CX42"/>
  <c r="CX46"/>
  <c r="CX50"/>
  <c r="CX54"/>
  <c r="CX58"/>
  <c r="CX62"/>
  <c r="CX66"/>
  <c r="CX70"/>
  <c r="CX74"/>
  <c r="CX78"/>
  <c r="CX82"/>
  <c r="CX86"/>
  <c r="CX90"/>
  <c r="CX94"/>
  <c r="CX98"/>
  <c r="CX102"/>
  <c r="CX106"/>
  <c r="CX110"/>
  <c r="CX114"/>
  <c r="CX118"/>
  <c r="CX122"/>
  <c r="CX126"/>
  <c r="CX130"/>
  <c r="CX134"/>
  <c r="CX138"/>
  <c r="CX142"/>
  <c r="CX146"/>
  <c r="CX150"/>
  <c r="CX154"/>
  <c r="CX158"/>
  <c r="CX162"/>
  <c r="CX166"/>
  <c r="CX170"/>
  <c r="CX174"/>
  <c r="CX178"/>
  <c r="CX182"/>
  <c r="CX186"/>
  <c r="CX190"/>
  <c r="CX194"/>
  <c r="CX198"/>
  <c r="CX202"/>
  <c r="CX206"/>
  <c r="CX210"/>
  <c r="CX214"/>
  <c r="CX218"/>
  <c r="CX222"/>
  <c r="CX226"/>
  <c r="CX230"/>
  <c r="CX234"/>
  <c r="CX238"/>
  <c r="CX242"/>
  <c r="CX246"/>
  <c r="CX250"/>
  <c r="CX254"/>
  <c r="CX258"/>
  <c r="CX262"/>
  <c r="CX266"/>
  <c r="CX270"/>
  <c r="CX274"/>
  <c r="CX278"/>
  <c r="CX282"/>
  <c r="CX286"/>
  <c r="CX290"/>
  <c r="CX294"/>
  <c r="CX298"/>
  <c r="CX302"/>
  <c r="Y86" i="8" l="1"/>
  <c r="Q20"/>
  <c r="AJ88"/>
  <c r="O88" s="1"/>
  <c r="AL88"/>
  <c r="AM88" s="1"/>
  <c r="N88" s="1"/>
  <c r="AJ110"/>
  <c r="O110" s="1"/>
  <c r="AL110"/>
  <c r="AM110" s="1"/>
  <c r="N110" s="1"/>
  <c r="AL78"/>
  <c r="AM78" s="1"/>
  <c r="N78" s="1"/>
  <c r="AJ78"/>
  <c r="O78" s="1"/>
  <c r="AL84"/>
  <c r="AM84" s="1"/>
  <c r="N84" s="1"/>
  <c r="AJ84"/>
  <c r="O84" s="1"/>
  <c r="J27" i="10"/>
  <c r="M31"/>
  <c r="X86" i="8"/>
  <c r="P22"/>
  <c r="P23" s="1"/>
  <c r="X87"/>
  <c r="Y88"/>
  <c r="Y87"/>
  <c r="X88"/>
  <c r="CF190" i="6"/>
  <c r="CG190"/>
  <c r="CF278"/>
  <c r="CG278"/>
  <c r="CF397"/>
  <c r="CG397"/>
  <c r="CF597"/>
  <c r="CG597"/>
  <c r="CF661"/>
  <c r="CG661"/>
  <c r="AM118"/>
  <c r="CF548"/>
  <c r="CG548"/>
  <c r="CF624"/>
  <c r="CG624"/>
  <c r="CF318"/>
  <c r="CG318"/>
  <c r="CF505"/>
  <c r="CG505"/>
  <c r="CF525"/>
  <c r="CG525"/>
  <c r="CF429"/>
  <c r="CG429"/>
  <c r="CF540"/>
  <c r="CG540"/>
  <c r="CF653"/>
  <c r="CG653"/>
  <c r="CF441"/>
  <c r="CG441"/>
  <c r="CF444"/>
  <c r="CG444"/>
  <c r="CF696"/>
  <c r="CG696"/>
  <c r="AZ1" i="4"/>
  <c r="AV2"/>
  <c r="AZ2" s="1"/>
  <c r="CF246" i="6"/>
  <c r="CG246"/>
  <c r="CF600"/>
  <c r="CG600"/>
  <c r="CZ18"/>
  <c r="DD4"/>
  <c r="DW22" i="2"/>
  <c r="DW24"/>
  <c r="DS3" s="1"/>
  <c r="DB294"/>
  <c r="DC294"/>
  <c r="CZ294"/>
  <c r="CY294"/>
  <c r="DA294"/>
  <c r="DB278"/>
  <c r="DC278"/>
  <c r="CZ278"/>
  <c r="CY278"/>
  <c r="DA278"/>
  <c r="DB262"/>
  <c r="DC262"/>
  <c r="CZ262"/>
  <c r="CY262"/>
  <c r="DA262"/>
  <c r="DB246"/>
  <c r="DC246"/>
  <c r="CZ246"/>
  <c r="CY246"/>
  <c r="DA246"/>
  <c r="DB230"/>
  <c r="DC230"/>
  <c r="CZ230"/>
  <c r="CY230"/>
  <c r="DA230"/>
  <c r="DB214"/>
  <c r="DC214"/>
  <c r="CZ214"/>
  <c r="CY214"/>
  <c r="DA214"/>
  <c r="DB198"/>
  <c r="DC198"/>
  <c r="CY198"/>
  <c r="DA198"/>
  <c r="CZ198"/>
  <c r="DB182"/>
  <c r="DC182"/>
  <c r="CY182"/>
  <c r="DA182"/>
  <c r="CZ182"/>
  <c r="DB166"/>
  <c r="DC166"/>
  <c r="CY166"/>
  <c r="CZ166"/>
  <c r="DA166"/>
  <c r="DB150"/>
  <c r="DC150"/>
  <c r="CY150"/>
  <c r="DA150"/>
  <c r="CZ150"/>
  <c r="DB134"/>
  <c r="DC134"/>
  <c r="CY134"/>
  <c r="DA134"/>
  <c r="CZ134"/>
  <c r="DB118"/>
  <c r="DC118"/>
  <c r="CY118"/>
  <c r="DA118"/>
  <c r="CZ118"/>
  <c r="DB102"/>
  <c r="DC102"/>
  <c r="CZ102"/>
  <c r="CY102"/>
  <c r="DA102"/>
  <c r="DB86"/>
  <c r="DC86"/>
  <c r="CY86"/>
  <c r="DA86"/>
  <c r="CZ86"/>
  <c r="DB70"/>
  <c r="DC70"/>
  <c r="CY70"/>
  <c r="CZ70"/>
  <c r="DA70"/>
  <c r="DB54"/>
  <c r="DC54"/>
  <c r="CY54"/>
  <c r="DA54"/>
  <c r="CZ54"/>
  <c r="DB38"/>
  <c r="DC38"/>
  <c r="CY38"/>
  <c r="CZ38"/>
  <c r="DA38"/>
  <c r="CY299"/>
  <c r="DB299"/>
  <c r="DA299"/>
  <c r="DC299"/>
  <c r="CZ299"/>
  <c r="CY283"/>
  <c r="DB283"/>
  <c r="DA283"/>
  <c r="DC283"/>
  <c r="CZ283"/>
  <c r="CY267"/>
  <c r="DB267"/>
  <c r="DA267"/>
  <c r="DC267"/>
  <c r="CZ267"/>
  <c r="CY251"/>
  <c r="DB251"/>
  <c r="DA251"/>
  <c r="CZ251"/>
  <c r="DC251"/>
  <c r="CY235"/>
  <c r="DB235"/>
  <c r="DA235"/>
  <c r="DC235"/>
  <c r="CZ235"/>
  <c r="CY219"/>
  <c r="DB219"/>
  <c r="DA219"/>
  <c r="DC219"/>
  <c r="CZ219"/>
  <c r="CY203"/>
  <c r="DB203"/>
  <c r="DA203"/>
  <c r="DC203"/>
  <c r="CZ203"/>
  <c r="CY187"/>
  <c r="DB187"/>
  <c r="DA187"/>
  <c r="CZ187"/>
  <c r="DC187"/>
  <c r="CY171"/>
  <c r="DB171"/>
  <c r="DA171"/>
  <c r="DC171"/>
  <c r="CZ171"/>
  <c r="CY155"/>
  <c r="DB155"/>
  <c r="DA155"/>
  <c r="CZ155"/>
  <c r="DC155"/>
  <c r="CY139"/>
  <c r="DB139"/>
  <c r="DA139"/>
  <c r="DC139"/>
  <c r="CZ139"/>
  <c r="CY123"/>
  <c r="DB123"/>
  <c r="DA123"/>
  <c r="CZ123"/>
  <c r="DC123"/>
  <c r="CY107"/>
  <c r="DB107"/>
  <c r="DA107"/>
  <c r="CZ107"/>
  <c r="DC107"/>
  <c r="CY91"/>
  <c r="DB91"/>
  <c r="DA91"/>
  <c r="CZ91"/>
  <c r="DC91"/>
  <c r="CY75"/>
  <c r="DB75"/>
  <c r="DA75"/>
  <c r="DC75"/>
  <c r="CZ75"/>
  <c r="CY59"/>
  <c r="DB59"/>
  <c r="DA59"/>
  <c r="CZ59"/>
  <c r="DC59"/>
  <c r="CY43"/>
  <c r="DB43"/>
  <c r="DA43"/>
  <c r="DC43"/>
  <c r="CZ43"/>
  <c r="DA65"/>
  <c r="CY65"/>
  <c r="CZ65"/>
  <c r="DB65"/>
  <c r="DC65"/>
  <c r="DA97"/>
  <c r="CZ97"/>
  <c r="CY97"/>
  <c r="DC97"/>
  <c r="DB97"/>
  <c r="DA129"/>
  <c r="CZ129"/>
  <c r="CY129"/>
  <c r="DB129"/>
  <c r="DC129"/>
  <c r="DA161"/>
  <c r="CY161"/>
  <c r="CZ161"/>
  <c r="DC161"/>
  <c r="DB161"/>
  <c r="DA193"/>
  <c r="CY193"/>
  <c r="CZ193"/>
  <c r="DB193"/>
  <c r="DC193"/>
  <c r="DA225"/>
  <c r="CY225"/>
  <c r="DC225"/>
  <c r="DB225"/>
  <c r="CZ225"/>
  <c r="DA257"/>
  <c r="CY257"/>
  <c r="CZ257"/>
  <c r="DB257"/>
  <c r="DC257"/>
  <c r="DA289"/>
  <c r="CY289"/>
  <c r="DC289"/>
  <c r="DB289"/>
  <c r="CZ289"/>
  <c r="AJ96" i="8"/>
  <c r="O96" s="1"/>
  <c r="AL96"/>
  <c r="AM96" s="1"/>
  <c r="N96" s="1"/>
  <c r="AL86"/>
  <c r="AM86" s="1"/>
  <c r="N86" s="1"/>
  <c r="AJ86"/>
  <c r="O86" s="1"/>
  <c r="AG81"/>
  <c r="AG83"/>
  <c r="AJ90"/>
  <c r="O90" s="1"/>
  <c r="AL90"/>
  <c r="AM90" s="1"/>
  <c r="N90" s="1"/>
  <c r="AQ78"/>
  <c r="AR78" s="1"/>
  <c r="P78" s="1"/>
  <c r="AO78"/>
  <c r="Q78" s="1"/>
  <c r="AJ85"/>
  <c r="O85" s="1"/>
  <c r="AL85"/>
  <c r="AM85" s="1"/>
  <c r="N85" s="1"/>
  <c r="AQ96"/>
  <c r="AR96" s="1"/>
  <c r="P96" s="1"/>
  <c r="AO96"/>
  <c r="Q96" s="1"/>
  <c r="AJ81"/>
  <c r="O81" s="1"/>
  <c r="AL81"/>
  <c r="AM81" s="1"/>
  <c r="N81" s="1"/>
  <c r="AO79"/>
  <c r="Q79" s="1"/>
  <c r="AQ79"/>
  <c r="AR79" s="1"/>
  <c r="P79" s="1"/>
  <c r="AQ87"/>
  <c r="AR87" s="1"/>
  <c r="P87" s="1"/>
  <c r="AO87"/>
  <c r="Q87" s="1"/>
  <c r="AO95"/>
  <c r="Q95" s="1"/>
  <c r="AQ95"/>
  <c r="AR95" s="1"/>
  <c r="P95" s="1"/>
  <c r="AQ103"/>
  <c r="AR103" s="1"/>
  <c r="P103" s="1"/>
  <c r="AO103"/>
  <c r="Q103" s="1"/>
  <c r="AL91"/>
  <c r="AM91" s="1"/>
  <c r="N91" s="1"/>
  <c r="AJ91"/>
  <c r="O91" s="1"/>
  <c r="CF133" i="6"/>
  <c r="CG133"/>
  <c r="CF173"/>
  <c r="CG173"/>
  <c r="CF350"/>
  <c r="CG350"/>
  <c r="CF473"/>
  <c r="CG473"/>
  <c r="CF533"/>
  <c r="CG533"/>
  <c r="CF589"/>
  <c r="CG589"/>
  <c r="CF357"/>
  <c r="CG357"/>
  <c r="CF368"/>
  <c r="CG368"/>
  <c r="CF496"/>
  <c r="CG496"/>
  <c r="CF580"/>
  <c r="CG580"/>
  <c r="BY48"/>
  <c r="BZ47"/>
  <c r="BW47"/>
  <c r="BV47"/>
  <c r="BX47" s="1"/>
  <c r="AU25" i="4"/>
  <c r="AZ25"/>
  <c r="BB25" s="1"/>
  <c r="AV26"/>
  <c r="AY25"/>
  <c r="BA25" s="1"/>
  <c r="BF25"/>
  <c r="BG25" s="1"/>
  <c r="AW25"/>
  <c r="AQ82" i="8"/>
  <c r="AR82" s="1"/>
  <c r="P82" s="1"/>
  <c r="V11" i="2"/>
  <c r="V12" s="1"/>
  <c r="V15" s="1"/>
  <c r="V16" s="1"/>
  <c r="V17" s="1"/>
  <c r="S95" i="10"/>
  <c r="S96" s="1"/>
  <c r="AC83" s="1"/>
  <c r="AD83" s="1"/>
  <c r="O21" i="8"/>
  <c r="AL109"/>
  <c r="AM109" s="1"/>
  <c r="N109" s="1"/>
  <c r="V5" i="2"/>
  <c r="DB290"/>
  <c r="DC290"/>
  <c r="CZ290"/>
  <c r="DA290"/>
  <c r="CY290"/>
  <c r="DB274"/>
  <c r="DC274"/>
  <c r="CZ274"/>
  <c r="CY274"/>
  <c r="DA274"/>
  <c r="DB258"/>
  <c r="DC258"/>
  <c r="CZ258"/>
  <c r="DA258"/>
  <c r="CY258"/>
  <c r="DB242"/>
  <c r="DC242"/>
  <c r="CZ242"/>
  <c r="CY242"/>
  <c r="DA242"/>
  <c r="DB226"/>
  <c r="DC226"/>
  <c r="CZ226"/>
  <c r="DA226"/>
  <c r="CY226"/>
  <c r="DB210"/>
  <c r="DC210"/>
  <c r="CZ210"/>
  <c r="CY210"/>
  <c r="DA210"/>
  <c r="DB194"/>
  <c r="DC194"/>
  <c r="DA194"/>
  <c r="CY194"/>
  <c r="CZ194"/>
  <c r="DB178"/>
  <c r="DC178"/>
  <c r="CY178"/>
  <c r="CZ178"/>
  <c r="DA178"/>
  <c r="DB162"/>
  <c r="DC162"/>
  <c r="DA162"/>
  <c r="CY162"/>
  <c r="CZ162"/>
  <c r="DB146"/>
  <c r="DC146"/>
  <c r="CY146"/>
  <c r="DA146"/>
  <c r="CZ146"/>
  <c r="DB130"/>
  <c r="DC130"/>
  <c r="DA130"/>
  <c r="CY130"/>
  <c r="CZ130"/>
  <c r="DB114"/>
  <c r="DC114"/>
  <c r="CY114"/>
  <c r="DA114"/>
  <c r="CZ114"/>
  <c r="DB98"/>
  <c r="DC98"/>
  <c r="CZ98"/>
  <c r="DA98"/>
  <c r="CY98"/>
  <c r="DB82"/>
  <c r="DC82"/>
  <c r="CZ82"/>
  <c r="CY82"/>
  <c r="DA82"/>
  <c r="DB66"/>
  <c r="DC66"/>
  <c r="CZ66"/>
  <c r="DA66"/>
  <c r="CY66"/>
  <c r="DB50"/>
  <c r="DC50"/>
  <c r="CZ50"/>
  <c r="CY50"/>
  <c r="DA50"/>
  <c r="CY295"/>
  <c r="DB295"/>
  <c r="DA295"/>
  <c r="CZ295"/>
  <c r="DC295"/>
  <c r="CY279"/>
  <c r="DB279"/>
  <c r="DA279"/>
  <c r="DC279"/>
  <c r="CZ279"/>
  <c r="CY263"/>
  <c r="DB263"/>
  <c r="DA263"/>
  <c r="DC263"/>
  <c r="CZ263"/>
  <c r="CY247"/>
  <c r="DB247"/>
  <c r="DA247"/>
  <c r="DC247"/>
  <c r="CZ247"/>
  <c r="CY231"/>
  <c r="DB231"/>
  <c r="DA231"/>
  <c r="CZ231"/>
  <c r="DC231"/>
  <c r="CY215"/>
  <c r="DB215"/>
  <c r="DA215"/>
  <c r="DC215"/>
  <c r="CZ215"/>
  <c r="CY199"/>
  <c r="DB199"/>
  <c r="DA199"/>
  <c r="CZ199"/>
  <c r="DC199"/>
  <c r="CY183"/>
  <c r="DB183"/>
  <c r="DA183"/>
  <c r="DC183"/>
  <c r="CZ183"/>
  <c r="CY167"/>
  <c r="DB167"/>
  <c r="DA167"/>
  <c r="CZ167"/>
  <c r="DC167"/>
  <c r="CY151"/>
  <c r="DB151"/>
  <c r="DA151"/>
  <c r="DC151"/>
  <c r="CZ151"/>
  <c r="CY135"/>
  <c r="DB135"/>
  <c r="DA135"/>
  <c r="CZ135"/>
  <c r="DC135"/>
  <c r="CY119"/>
  <c r="DB119"/>
  <c r="DA119"/>
  <c r="CZ119"/>
  <c r="DC119"/>
  <c r="CY103"/>
  <c r="DB103"/>
  <c r="DA103"/>
  <c r="CZ103"/>
  <c r="DC103"/>
  <c r="CY87"/>
  <c r="CZ87"/>
  <c r="DB87"/>
  <c r="DA87"/>
  <c r="DC87"/>
  <c r="CY71"/>
  <c r="DB71"/>
  <c r="DA71"/>
  <c r="CZ71"/>
  <c r="DC71"/>
  <c r="CY55"/>
  <c r="DB55"/>
  <c r="DA55"/>
  <c r="DC55"/>
  <c r="CZ55"/>
  <c r="CY39"/>
  <c r="CZ39"/>
  <c r="DB39"/>
  <c r="DA39"/>
  <c r="DC39"/>
  <c r="DA41"/>
  <c r="CZ41"/>
  <c r="DB41"/>
  <c r="CY41"/>
  <c r="DC41"/>
  <c r="DA73"/>
  <c r="DB73"/>
  <c r="CZ73"/>
  <c r="CY73"/>
  <c r="DC73"/>
  <c r="DA105"/>
  <c r="CZ105"/>
  <c r="DB105"/>
  <c r="CY105"/>
  <c r="DC105"/>
  <c r="DA137"/>
  <c r="DB137"/>
  <c r="CZ137"/>
  <c r="CY137"/>
  <c r="DC137"/>
  <c r="DA169"/>
  <c r="DB169"/>
  <c r="CZ169"/>
  <c r="CY169"/>
  <c r="DC169"/>
  <c r="DA201"/>
  <c r="DB201"/>
  <c r="CZ201"/>
  <c r="CY201"/>
  <c r="DC201"/>
  <c r="DA233"/>
  <c r="DB233"/>
  <c r="CZ233"/>
  <c r="CY233"/>
  <c r="DC233"/>
  <c r="DA265"/>
  <c r="DB265"/>
  <c r="CZ265"/>
  <c r="CY265"/>
  <c r="DC265"/>
  <c r="DA297"/>
  <c r="DB297"/>
  <c r="CZ297"/>
  <c r="CY297"/>
  <c r="DC297"/>
  <c r="AL12" i="12"/>
  <c r="AK12"/>
  <c r="AJ13"/>
  <c r="AO12"/>
  <c r="AN12"/>
  <c r="S89" i="10"/>
  <c r="T89"/>
  <c r="I38" i="11"/>
  <c r="C12" s="1"/>
  <c r="N25" i="9"/>
  <c r="N24"/>
  <c r="O16"/>
  <c r="M18"/>
  <c r="O17"/>
  <c r="O18" s="1"/>
  <c r="C10"/>
  <c r="M17"/>
  <c r="M16"/>
  <c r="J28" i="10"/>
  <c r="S88"/>
  <c r="J22"/>
  <c r="S87"/>
  <c r="T87"/>
  <c r="J21"/>
  <c r="I22" s="1"/>
  <c r="T86"/>
  <c r="J31"/>
  <c r="J32" s="1"/>
  <c r="AQ86" i="8"/>
  <c r="AR86" s="1"/>
  <c r="P86" s="1"/>
  <c r="AO86"/>
  <c r="Q86" s="1"/>
  <c r="AL101"/>
  <c r="AM101" s="1"/>
  <c r="N101" s="1"/>
  <c r="AJ101"/>
  <c r="O101" s="1"/>
  <c r="AQ104"/>
  <c r="AR104" s="1"/>
  <c r="P104" s="1"/>
  <c r="AO104"/>
  <c r="Q104" s="1"/>
  <c r="AJ89"/>
  <c r="O89" s="1"/>
  <c r="AL89"/>
  <c r="AM89" s="1"/>
  <c r="N89" s="1"/>
  <c r="AO81"/>
  <c r="Q81" s="1"/>
  <c r="AQ81"/>
  <c r="AR81" s="1"/>
  <c r="P81" s="1"/>
  <c r="AO89"/>
  <c r="Q89" s="1"/>
  <c r="AQ89"/>
  <c r="AR89" s="1"/>
  <c r="P89" s="1"/>
  <c r="AQ97"/>
  <c r="AR97" s="1"/>
  <c r="P97" s="1"/>
  <c r="AO97"/>
  <c r="Q97" s="1"/>
  <c r="AO105"/>
  <c r="Q105" s="1"/>
  <c r="AQ105"/>
  <c r="AR105" s="1"/>
  <c r="P105" s="1"/>
  <c r="AJ99"/>
  <c r="O99" s="1"/>
  <c r="AL99"/>
  <c r="AM99" s="1"/>
  <c r="N99" s="1"/>
  <c r="AL77"/>
  <c r="AM77" s="1"/>
  <c r="N77" s="1"/>
  <c r="AJ77"/>
  <c r="O77" s="1"/>
  <c r="DB298" i="2"/>
  <c r="DC298"/>
  <c r="CZ298"/>
  <c r="CY298"/>
  <c r="DA298"/>
  <c r="DB282"/>
  <c r="DC282"/>
  <c r="CZ282"/>
  <c r="DA282"/>
  <c r="CY282"/>
  <c r="DB266"/>
  <c r="DC266"/>
  <c r="CZ266"/>
  <c r="DA266"/>
  <c r="CY266"/>
  <c r="DB250"/>
  <c r="DC250"/>
  <c r="CZ250"/>
  <c r="DA250"/>
  <c r="CY250"/>
  <c r="DB234"/>
  <c r="DC234"/>
  <c r="CZ234"/>
  <c r="CY234"/>
  <c r="DA234"/>
  <c r="DB218"/>
  <c r="DC218"/>
  <c r="CZ218"/>
  <c r="DA218"/>
  <c r="CY218"/>
  <c r="DB202"/>
  <c r="DC202"/>
  <c r="CZ202"/>
  <c r="DA202"/>
  <c r="CY202"/>
  <c r="DB186"/>
  <c r="DC186"/>
  <c r="DA186"/>
  <c r="CZ186"/>
  <c r="CY186"/>
  <c r="DB170"/>
  <c r="DC170"/>
  <c r="DA170"/>
  <c r="CZ170"/>
  <c r="CY170"/>
  <c r="DB154"/>
  <c r="DC154"/>
  <c r="DA154"/>
  <c r="CZ154"/>
  <c r="CY154"/>
  <c r="DB138"/>
  <c r="DC138"/>
  <c r="DA138"/>
  <c r="CY138"/>
  <c r="CZ138"/>
  <c r="DB122"/>
  <c r="DC122"/>
  <c r="CZ122"/>
  <c r="DA122"/>
  <c r="CY122"/>
  <c r="DB106"/>
  <c r="DC106"/>
  <c r="CZ106"/>
  <c r="DA106"/>
  <c r="CY106"/>
  <c r="DB90"/>
  <c r="DC90"/>
  <c r="DA90"/>
  <c r="CZ90"/>
  <c r="CY90"/>
  <c r="DB74"/>
  <c r="DC74"/>
  <c r="DA74"/>
  <c r="CY74"/>
  <c r="CZ74"/>
  <c r="DB58"/>
  <c r="DC58"/>
  <c r="DA58"/>
  <c r="CZ58"/>
  <c r="CY58"/>
  <c r="DB42"/>
  <c r="DC42"/>
  <c r="CZ42"/>
  <c r="CY42"/>
  <c r="DA42"/>
  <c r="CY303"/>
  <c r="DB303"/>
  <c r="DA303"/>
  <c r="CZ303"/>
  <c r="DC303"/>
  <c r="CY287"/>
  <c r="DB287"/>
  <c r="DA287"/>
  <c r="DC287"/>
  <c r="CZ287"/>
  <c r="CY271"/>
  <c r="DB271"/>
  <c r="DA271"/>
  <c r="CZ271"/>
  <c r="DC271"/>
  <c r="CY255"/>
  <c r="DB255"/>
  <c r="DA255"/>
  <c r="DC255"/>
  <c r="CZ255"/>
  <c r="CY239"/>
  <c r="DB239"/>
  <c r="DA239"/>
  <c r="CZ239"/>
  <c r="DC239"/>
  <c r="CY223"/>
  <c r="DB223"/>
  <c r="DA223"/>
  <c r="DC223"/>
  <c r="CZ223"/>
  <c r="CY207"/>
  <c r="DB207"/>
  <c r="DA207"/>
  <c r="CZ207"/>
  <c r="DC207"/>
  <c r="CY191"/>
  <c r="DB191"/>
  <c r="DA191"/>
  <c r="DC191"/>
  <c r="CZ191"/>
  <c r="CY175"/>
  <c r="DB175"/>
  <c r="DA175"/>
  <c r="CZ175"/>
  <c r="DC175"/>
  <c r="CY159"/>
  <c r="DB159"/>
  <c r="DA159"/>
  <c r="DC159"/>
  <c r="CZ159"/>
  <c r="CY143"/>
  <c r="DB143"/>
  <c r="DA143"/>
  <c r="CZ143"/>
  <c r="DC143"/>
  <c r="CY127"/>
  <c r="DB127"/>
  <c r="DA127"/>
  <c r="CZ127"/>
  <c r="DC127"/>
  <c r="CY111"/>
  <c r="DB111"/>
  <c r="DA111"/>
  <c r="CZ111"/>
  <c r="DC111"/>
  <c r="CY95"/>
  <c r="DB95"/>
  <c r="DA95"/>
  <c r="CZ95"/>
  <c r="DC95"/>
  <c r="CY79"/>
  <c r="CZ79"/>
  <c r="DB79"/>
  <c r="DA79"/>
  <c r="DC79"/>
  <c r="CY63"/>
  <c r="DB63"/>
  <c r="DA63"/>
  <c r="DC63"/>
  <c r="CZ63"/>
  <c r="CY47"/>
  <c r="DB47"/>
  <c r="DA47"/>
  <c r="CZ47"/>
  <c r="DC47"/>
  <c r="CZ57"/>
  <c r="DA57"/>
  <c r="DC57"/>
  <c r="DB57"/>
  <c r="CY57"/>
  <c r="DA89"/>
  <c r="CZ89"/>
  <c r="DC89"/>
  <c r="DB89"/>
  <c r="CY89"/>
  <c r="DA121"/>
  <c r="CZ121"/>
  <c r="DC121"/>
  <c r="DB121"/>
  <c r="CY121"/>
  <c r="DA153"/>
  <c r="DC153"/>
  <c r="DB153"/>
  <c r="CZ153"/>
  <c r="CY153"/>
  <c r="DA185"/>
  <c r="DC185"/>
  <c r="DB185"/>
  <c r="CZ185"/>
  <c r="CY185"/>
  <c r="DA217"/>
  <c r="DC217"/>
  <c r="DB217"/>
  <c r="CZ217"/>
  <c r="CY217"/>
  <c r="DA249"/>
  <c r="DC249"/>
  <c r="DB249"/>
  <c r="CZ249"/>
  <c r="CY249"/>
  <c r="DA281"/>
  <c r="DC281"/>
  <c r="DB281"/>
  <c r="CZ281"/>
  <c r="CY281"/>
  <c r="V13"/>
  <c r="Z32" s="1"/>
  <c r="AL104" i="8"/>
  <c r="AM104" s="1"/>
  <c r="N104" s="1"/>
  <c r="AJ104"/>
  <c r="O104" s="1"/>
  <c r="AL94"/>
  <c r="AM94" s="1"/>
  <c r="N94" s="1"/>
  <c r="AJ94"/>
  <c r="O94" s="1"/>
  <c r="AJ100"/>
  <c r="O100" s="1"/>
  <c r="AL100"/>
  <c r="AM100" s="1"/>
  <c r="N100" s="1"/>
  <c r="S102" i="10"/>
  <c r="S103"/>
  <c r="AQ102" i="8"/>
  <c r="AR102" s="1"/>
  <c r="P102" s="1"/>
  <c r="AO102"/>
  <c r="Q102" s="1"/>
  <c r="AQ88"/>
  <c r="AR88" s="1"/>
  <c r="P88" s="1"/>
  <c r="AO88"/>
  <c r="Q88" s="1"/>
  <c r="AL103"/>
  <c r="AM103" s="1"/>
  <c r="N103" s="1"/>
  <c r="AJ103"/>
  <c r="O103" s="1"/>
  <c r="AJ105"/>
  <c r="O105" s="1"/>
  <c r="AL105"/>
  <c r="AM105" s="1"/>
  <c r="N105" s="1"/>
  <c r="AO85"/>
  <c r="Q85" s="1"/>
  <c r="AQ85"/>
  <c r="AR85" s="1"/>
  <c r="P85" s="1"/>
  <c r="AO93"/>
  <c r="Q93" s="1"/>
  <c r="AQ93"/>
  <c r="AR93" s="1"/>
  <c r="P93" s="1"/>
  <c r="AO101"/>
  <c r="Q101" s="1"/>
  <c r="AQ101"/>
  <c r="AR101" s="1"/>
  <c r="P101" s="1"/>
  <c r="AL83"/>
  <c r="AM83" s="1"/>
  <c r="N83" s="1"/>
  <c r="AJ83"/>
  <c r="O83" s="1"/>
  <c r="AQ90"/>
  <c r="AR90" s="1"/>
  <c r="P90" s="1"/>
  <c r="AO90"/>
  <c r="Q90" s="1"/>
  <c r="CF261" i="6"/>
  <c r="CG261"/>
  <c r="CF301"/>
  <c r="CG301"/>
  <c r="CF461"/>
  <c r="CG461"/>
  <c r="CF565"/>
  <c r="CG565"/>
  <c r="CF621"/>
  <c r="CG621"/>
  <c r="CF689"/>
  <c r="CG689"/>
  <c r="BC14" i="5"/>
  <c r="BK18"/>
  <c r="BA1"/>
  <c r="BC15"/>
  <c r="AZ6" s="1"/>
  <c r="CF377" i="6"/>
  <c r="CG377"/>
  <c r="CF380"/>
  <c r="CG380"/>
  <c r="CF557"/>
  <c r="CG557"/>
  <c r="CF693"/>
  <c r="CG693"/>
  <c r="DA19"/>
  <c r="DG4"/>
  <c r="DD5"/>
  <c r="CF229"/>
  <c r="CG229"/>
  <c r="CF664"/>
  <c r="CG664"/>
  <c r="AX3" i="4"/>
  <c r="AX4" s="1"/>
  <c r="AX2"/>
  <c r="DB302" i="2"/>
  <c r="DC302"/>
  <c r="CZ302"/>
  <c r="DA302"/>
  <c r="CY302"/>
  <c r="DB286"/>
  <c r="DC286"/>
  <c r="CZ286"/>
  <c r="DA286"/>
  <c r="CY286"/>
  <c r="DB270"/>
  <c r="DC270"/>
  <c r="CZ270"/>
  <c r="DA270"/>
  <c r="CY270"/>
  <c r="DB254"/>
  <c r="DC254"/>
  <c r="CZ254"/>
  <c r="DA254"/>
  <c r="CY254"/>
  <c r="DB238"/>
  <c r="DC238"/>
  <c r="CZ238"/>
  <c r="DA238"/>
  <c r="CY238"/>
  <c r="DB222"/>
  <c r="DC222"/>
  <c r="CZ222"/>
  <c r="DA222"/>
  <c r="CY222"/>
  <c r="DB206"/>
  <c r="DC206"/>
  <c r="CZ206"/>
  <c r="DA206"/>
  <c r="CY206"/>
  <c r="DB190"/>
  <c r="DC190"/>
  <c r="CZ190"/>
  <c r="DA190"/>
  <c r="CY190"/>
  <c r="DB174"/>
  <c r="DC174"/>
  <c r="DA174"/>
  <c r="CZ174"/>
  <c r="CY174"/>
  <c r="DB158"/>
  <c r="DC158"/>
  <c r="DA158"/>
  <c r="CZ158"/>
  <c r="CY158"/>
  <c r="DB142"/>
  <c r="DC142"/>
  <c r="DA142"/>
  <c r="CZ142"/>
  <c r="CY142"/>
  <c r="DB126"/>
  <c r="DC126"/>
  <c r="CZ126"/>
  <c r="DA126"/>
  <c r="CY126"/>
  <c r="DB110"/>
  <c r="DC110"/>
  <c r="DA110"/>
  <c r="CY110"/>
  <c r="CZ110"/>
  <c r="DB94"/>
  <c r="DC94"/>
  <c r="CZ94"/>
  <c r="CY94"/>
  <c r="DA94"/>
  <c r="DB78"/>
  <c r="DC78"/>
  <c r="DA78"/>
  <c r="CZ78"/>
  <c r="CY78"/>
  <c r="DB62"/>
  <c r="DC62"/>
  <c r="CZ62"/>
  <c r="DA62"/>
  <c r="CY62"/>
  <c r="DB46"/>
  <c r="DC46"/>
  <c r="CZ46"/>
  <c r="DA46"/>
  <c r="CY46"/>
  <c r="CY291"/>
  <c r="DB291"/>
  <c r="DA291"/>
  <c r="DC291"/>
  <c r="CZ291"/>
  <c r="CY275"/>
  <c r="DB275"/>
  <c r="DA275"/>
  <c r="CZ275"/>
  <c r="DC275"/>
  <c r="CY259"/>
  <c r="DB259"/>
  <c r="DA259"/>
  <c r="DC259"/>
  <c r="CZ259"/>
  <c r="CY243"/>
  <c r="DB243"/>
  <c r="DA243"/>
  <c r="CZ243"/>
  <c r="DC243"/>
  <c r="CY227"/>
  <c r="DB227"/>
  <c r="DA227"/>
  <c r="DC227"/>
  <c r="CZ227"/>
  <c r="CY211"/>
  <c r="DB211"/>
  <c r="DA211"/>
  <c r="CZ211"/>
  <c r="DC211"/>
  <c r="CY195"/>
  <c r="DB195"/>
  <c r="DA195"/>
  <c r="DC195"/>
  <c r="CZ195"/>
  <c r="CY179"/>
  <c r="DB179"/>
  <c r="DA179"/>
  <c r="CZ179"/>
  <c r="DC179"/>
  <c r="CY163"/>
  <c r="DB163"/>
  <c r="DA163"/>
  <c r="DC163"/>
  <c r="CZ163"/>
  <c r="CY147"/>
  <c r="DB147"/>
  <c r="DA147"/>
  <c r="CZ147"/>
  <c r="DC147"/>
  <c r="CY131"/>
  <c r="DB131"/>
  <c r="DA131"/>
  <c r="CZ131"/>
  <c r="DC131"/>
  <c r="CY115"/>
  <c r="DB115"/>
  <c r="DA115"/>
  <c r="CZ115"/>
  <c r="DC115"/>
  <c r="CY99"/>
  <c r="DB99"/>
  <c r="DA99"/>
  <c r="CZ99"/>
  <c r="DC99"/>
  <c r="CY83"/>
  <c r="DB83"/>
  <c r="DA83"/>
  <c r="DC83"/>
  <c r="CZ83"/>
  <c r="CY67"/>
  <c r="CZ67"/>
  <c r="DB67"/>
  <c r="DA67"/>
  <c r="DC67"/>
  <c r="CY51"/>
  <c r="DB51"/>
  <c r="DA51"/>
  <c r="CZ51"/>
  <c r="DC51"/>
  <c r="CY35"/>
  <c r="CZ35"/>
  <c r="DB35"/>
  <c r="DA35"/>
  <c r="DC35"/>
  <c r="DA49"/>
  <c r="CY49"/>
  <c r="CZ49"/>
  <c r="DC49"/>
  <c r="DB49"/>
  <c r="CZ81"/>
  <c r="DA81"/>
  <c r="CY81"/>
  <c r="DC81"/>
  <c r="DB81"/>
  <c r="DA113"/>
  <c r="CZ113"/>
  <c r="CY113"/>
  <c r="DC113"/>
  <c r="DB113"/>
  <c r="DA145"/>
  <c r="CY145"/>
  <c r="DC145"/>
  <c r="CZ145"/>
  <c r="DB145"/>
  <c r="DA177"/>
  <c r="CY177"/>
  <c r="DC177"/>
  <c r="CZ177"/>
  <c r="DB177"/>
  <c r="DA209"/>
  <c r="CY209"/>
  <c r="DC209"/>
  <c r="DB209"/>
  <c r="CZ209"/>
  <c r="DA241"/>
  <c r="CY241"/>
  <c r="DC241"/>
  <c r="DB241"/>
  <c r="CZ241"/>
  <c r="DA273"/>
  <c r="CY273"/>
  <c r="DC273"/>
  <c r="DB273"/>
  <c r="CZ273"/>
  <c r="BY16" i="6"/>
  <c r="BY18"/>
  <c r="BY20"/>
  <c r="BY22"/>
  <c r="BY24"/>
  <c r="BY26"/>
  <c r="BY28"/>
  <c r="BY30"/>
  <c r="BY32"/>
  <c r="BY34"/>
  <c r="BY36"/>
  <c r="BY38"/>
  <c r="CE107"/>
  <c r="CH107" s="1"/>
  <c r="CE109"/>
  <c r="CH109" s="1"/>
  <c r="CE111"/>
  <c r="CH111" s="1"/>
  <c r="CE113"/>
  <c r="CH113" s="1"/>
  <c r="CE115"/>
  <c r="CH115" s="1"/>
  <c r="CE117"/>
  <c r="CH117" s="1"/>
  <c r="CE119"/>
  <c r="CH119" s="1"/>
  <c r="CE121"/>
  <c r="CH121" s="1"/>
  <c r="CE123"/>
  <c r="CH123" s="1"/>
  <c r="CE125"/>
  <c r="CH125" s="1"/>
  <c r="CE127"/>
  <c r="CH127" s="1"/>
  <c r="CE129"/>
  <c r="CH129" s="1"/>
  <c r="BY17"/>
  <c r="CE110"/>
  <c r="CH110" s="1"/>
  <c r="BY27"/>
  <c r="CE120"/>
  <c r="CH120" s="1"/>
  <c r="BY33"/>
  <c r="CE126"/>
  <c r="CH126" s="1"/>
  <c r="BY19"/>
  <c r="CE112"/>
  <c r="CH112" s="1"/>
  <c r="BY25"/>
  <c r="CE118"/>
  <c r="CH118" s="1"/>
  <c r="BY35"/>
  <c r="CE128"/>
  <c r="CH128" s="1"/>
  <c r="CE105"/>
  <c r="CH105" s="1"/>
  <c r="BY15"/>
  <c r="CE108"/>
  <c r="CH108" s="1"/>
  <c r="BY23"/>
  <c r="CE122"/>
  <c r="CH122" s="1"/>
  <c r="BY37"/>
  <c r="CE106"/>
  <c r="CH106" s="1"/>
  <c r="CE116"/>
  <c r="CH116" s="1"/>
  <c r="BY29"/>
  <c r="BY21"/>
  <c r="CE114"/>
  <c r="CH114" s="1"/>
  <c r="CE124"/>
  <c r="CH124" s="1"/>
  <c r="BY39"/>
  <c r="Z36"/>
  <c r="CE130"/>
  <c r="CE134"/>
  <c r="CE138"/>
  <c r="CE142"/>
  <c r="CE146"/>
  <c r="CE150"/>
  <c r="CE154"/>
  <c r="CE158"/>
  <c r="CE162"/>
  <c r="CE166"/>
  <c r="CE170"/>
  <c r="CE174"/>
  <c r="CE178"/>
  <c r="CE182"/>
  <c r="CE186"/>
  <c r="CE190"/>
  <c r="CE194"/>
  <c r="CE198"/>
  <c r="CE202"/>
  <c r="CE206"/>
  <c r="CE210"/>
  <c r="CE214"/>
  <c r="CE218"/>
  <c r="CE222"/>
  <c r="CE226"/>
  <c r="CE230"/>
  <c r="CE234"/>
  <c r="CE238"/>
  <c r="CE242"/>
  <c r="CE246"/>
  <c r="CE250"/>
  <c r="CE254"/>
  <c r="CE258"/>
  <c r="CE262"/>
  <c r="CE266"/>
  <c r="CE270"/>
  <c r="CE274"/>
  <c r="CE278"/>
  <c r="CE282"/>
  <c r="CE286"/>
  <c r="CE290"/>
  <c r="CE294"/>
  <c r="CE298"/>
  <c r="CE302"/>
  <c r="CE306"/>
  <c r="CE310"/>
  <c r="CE314"/>
  <c r="CE318"/>
  <c r="CE322"/>
  <c r="CE326"/>
  <c r="CE330"/>
  <c r="CE334"/>
  <c r="CE338"/>
  <c r="CE342"/>
  <c r="CE346"/>
  <c r="CE350"/>
  <c r="CE354"/>
  <c r="CE358"/>
  <c r="BZ16"/>
  <c r="CA16" s="1"/>
  <c r="CE133"/>
  <c r="CE137"/>
  <c r="CE141"/>
  <c r="CE145"/>
  <c r="CE149"/>
  <c r="CE153"/>
  <c r="CE157"/>
  <c r="CE161"/>
  <c r="CE165"/>
  <c r="CE169"/>
  <c r="CE173"/>
  <c r="CE177"/>
  <c r="CE181"/>
  <c r="CE185"/>
  <c r="CE189"/>
  <c r="CE193"/>
  <c r="CE197"/>
  <c r="CE201"/>
  <c r="CE205"/>
  <c r="CE209"/>
  <c r="CE213"/>
  <c r="CE217"/>
  <c r="CE221"/>
  <c r="CE225"/>
  <c r="CE229"/>
  <c r="CE233"/>
  <c r="CE237"/>
  <c r="CE241"/>
  <c r="CE245"/>
  <c r="CE249"/>
  <c r="CE253"/>
  <c r="CE257"/>
  <c r="CE261"/>
  <c r="CE265"/>
  <c r="CE269"/>
  <c r="CE273"/>
  <c r="CE277"/>
  <c r="CE281"/>
  <c r="CE285"/>
  <c r="CE289"/>
  <c r="CE293"/>
  <c r="CE297"/>
  <c r="CE301"/>
  <c r="CE305"/>
  <c r="CE309"/>
  <c r="CE313"/>
  <c r="CE317"/>
  <c r="CE321"/>
  <c r="CE325"/>
  <c r="CE329"/>
  <c r="CE333"/>
  <c r="CE337"/>
  <c r="CE341"/>
  <c r="CE345"/>
  <c r="CE349"/>
  <c r="CE353"/>
  <c r="CE357"/>
  <c r="CE361"/>
  <c r="CE365"/>
  <c r="CE369"/>
  <c r="CE373"/>
  <c r="CE377"/>
  <c r="CE381"/>
  <c r="CE385"/>
  <c r="CE389"/>
  <c r="CE393"/>
  <c r="CE397"/>
  <c r="CE401"/>
  <c r="CE405"/>
  <c r="CE409"/>
  <c r="CE413"/>
  <c r="CE417"/>
  <c r="CE421"/>
  <c r="CE425"/>
  <c r="CE429"/>
  <c r="CE433"/>
  <c r="CE437"/>
  <c r="CE441"/>
  <c r="CE445"/>
  <c r="CE449"/>
  <c r="CE453"/>
  <c r="CE457"/>
  <c r="CE461"/>
  <c r="CE465"/>
  <c r="CE469"/>
  <c r="CE473"/>
  <c r="CE477"/>
  <c r="CE481"/>
  <c r="CE485"/>
  <c r="CE489"/>
  <c r="CE493"/>
  <c r="CE497"/>
  <c r="CE501"/>
  <c r="CE505"/>
  <c r="CE509"/>
  <c r="CE513"/>
  <c r="CE517"/>
  <c r="CE521"/>
  <c r="CE525"/>
  <c r="CE529"/>
  <c r="CE533"/>
  <c r="CE537"/>
  <c r="CE541"/>
  <c r="CE545"/>
  <c r="CE549"/>
  <c r="CE553"/>
  <c r="CE557"/>
  <c r="CE561"/>
  <c r="CE565"/>
  <c r="CE569"/>
  <c r="CE573"/>
  <c r="CE577"/>
  <c r="CE581"/>
  <c r="CE585"/>
  <c r="CE589"/>
  <c r="CE593"/>
  <c r="CE597"/>
  <c r="CE601"/>
  <c r="CE605"/>
  <c r="CE609"/>
  <c r="CE613"/>
  <c r="CE617"/>
  <c r="CE621"/>
  <c r="CE625"/>
  <c r="CE629"/>
  <c r="CE633"/>
  <c r="CE637"/>
  <c r="CE641"/>
  <c r="CE645"/>
  <c r="CE649"/>
  <c r="CE653"/>
  <c r="CE657"/>
  <c r="CE661"/>
  <c r="CE665"/>
  <c r="CE669"/>
  <c r="CE673"/>
  <c r="CE677"/>
  <c r="CE681"/>
  <c r="CE685"/>
  <c r="CE689"/>
  <c r="CE693"/>
  <c r="CE697"/>
  <c r="CE701"/>
  <c r="BZ18"/>
  <c r="CA18" s="1"/>
  <c r="CE18" s="1"/>
  <c r="BZ19"/>
  <c r="CA19" s="1"/>
  <c r="CE19" s="1"/>
  <c r="BZ20"/>
  <c r="CA20" s="1"/>
  <c r="CE20" s="1"/>
  <c r="BZ21"/>
  <c r="CA21" s="1"/>
  <c r="CE21" s="1"/>
  <c r="BZ22"/>
  <c r="CA22" s="1"/>
  <c r="CE22" s="1"/>
  <c r="BZ23"/>
  <c r="CA23" s="1"/>
  <c r="CE23" s="1"/>
  <c r="BZ24"/>
  <c r="CA24" s="1"/>
  <c r="CE24" s="1"/>
  <c r="BZ25"/>
  <c r="CA25" s="1"/>
  <c r="CE25" s="1"/>
  <c r="BZ26"/>
  <c r="CA26" s="1"/>
  <c r="CE26" s="1"/>
  <c r="BZ27"/>
  <c r="CA27" s="1"/>
  <c r="CE27" s="1"/>
  <c r="BZ28"/>
  <c r="CA28" s="1"/>
  <c r="CE28" s="1"/>
  <c r="BZ29"/>
  <c r="CA29" s="1"/>
  <c r="CE29" s="1"/>
  <c r="BZ30"/>
  <c r="CA30" s="1"/>
  <c r="CE30" s="1"/>
  <c r="BZ31"/>
  <c r="CA31" s="1"/>
  <c r="CE31" s="1"/>
  <c r="BZ32"/>
  <c r="CA32" s="1"/>
  <c r="CE32" s="1"/>
  <c r="BZ33"/>
  <c r="CA33" s="1"/>
  <c r="CE33" s="1"/>
  <c r="BZ34"/>
  <c r="CA34" s="1"/>
  <c r="CE34" s="1"/>
  <c r="BZ35"/>
  <c r="CA35" s="1"/>
  <c r="CE35" s="1"/>
  <c r="BZ36"/>
  <c r="CA36" s="1"/>
  <c r="CE36" s="1"/>
  <c r="BZ37"/>
  <c r="CA37" s="1"/>
  <c r="CE37" s="1"/>
  <c r="BZ38"/>
  <c r="CA38" s="1"/>
  <c r="CE38" s="1"/>
  <c r="BZ39"/>
  <c r="CA39" s="1"/>
  <c r="CE39" s="1"/>
  <c r="CE135"/>
  <c r="CE136"/>
  <c r="CE143"/>
  <c r="CE144"/>
  <c r="CE151"/>
  <c r="CE152"/>
  <c r="CE159"/>
  <c r="CE160"/>
  <c r="CE167"/>
  <c r="CE168"/>
  <c r="CE175"/>
  <c r="CE176"/>
  <c r="CE183"/>
  <c r="CE184"/>
  <c r="CE191"/>
  <c r="CE192"/>
  <c r="CE199"/>
  <c r="CE200"/>
  <c r="CE207"/>
  <c r="CE208"/>
  <c r="CE215"/>
  <c r="CE216"/>
  <c r="CE223"/>
  <c r="CE224"/>
  <c r="CE231"/>
  <c r="CE232"/>
  <c r="CE239"/>
  <c r="CE240"/>
  <c r="CE247"/>
  <c r="CE248"/>
  <c r="CE255"/>
  <c r="CE256"/>
  <c r="CE263"/>
  <c r="CE264"/>
  <c r="CE271"/>
  <c r="CE272"/>
  <c r="CE279"/>
  <c r="CE280"/>
  <c r="CE287"/>
  <c r="CE288"/>
  <c r="CE295"/>
  <c r="CE296"/>
  <c r="CE303"/>
  <c r="CE304"/>
  <c r="CE311"/>
  <c r="CE312"/>
  <c r="CE319"/>
  <c r="CE320"/>
  <c r="CE327"/>
  <c r="CE328"/>
  <c r="CE335"/>
  <c r="CE336"/>
  <c r="CE343"/>
  <c r="CE344"/>
  <c r="CE351"/>
  <c r="CE352"/>
  <c r="CE359"/>
  <c r="CE360"/>
  <c r="CE364"/>
  <c r="CE368"/>
  <c r="CE372"/>
  <c r="CE376"/>
  <c r="CE380"/>
  <c r="CE384"/>
  <c r="CE388"/>
  <c r="CE392"/>
  <c r="CE396"/>
  <c r="CE400"/>
  <c r="CE404"/>
  <c r="CE408"/>
  <c r="CE412"/>
  <c r="CE416"/>
  <c r="CE420"/>
  <c r="CE424"/>
  <c r="CE428"/>
  <c r="CE432"/>
  <c r="CE436"/>
  <c r="CE440"/>
  <c r="CE444"/>
  <c r="CE448"/>
  <c r="CE452"/>
  <c r="CE456"/>
  <c r="CE460"/>
  <c r="CE464"/>
  <c r="CE468"/>
  <c r="CE472"/>
  <c r="CE476"/>
  <c r="CE480"/>
  <c r="CE484"/>
  <c r="CE488"/>
  <c r="CE492"/>
  <c r="CE496"/>
  <c r="CE500"/>
  <c r="CE504"/>
  <c r="CE508"/>
  <c r="CE512"/>
  <c r="CE516"/>
  <c r="CE520"/>
  <c r="CE524"/>
  <c r="CE528"/>
  <c r="CE532"/>
  <c r="CE536"/>
  <c r="CE540"/>
  <c r="CE544"/>
  <c r="CE548"/>
  <c r="CE552"/>
  <c r="CE556"/>
  <c r="CE560"/>
  <c r="CE564"/>
  <c r="CE568"/>
  <c r="CE572"/>
  <c r="CE576"/>
  <c r="CE580"/>
  <c r="CE584"/>
  <c r="CE588"/>
  <c r="CE592"/>
  <c r="CE596"/>
  <c r="CE600"/>
  <c r="CE604"/>
  <c r="CE608"/>
  <c r="CE612"/>
  <c r="CE616"/>
  <c r="CE620"/>
  <c r="CE624"/>
  <c r="CE628"/>
  <c r="CE632"/>
  <c r="CE636"/>
  <c r="CE640"/>
  <c r="CE644"/>
  <c r="CE648"/>
  <c r="CE652"/>
  <c r="CE656"/>
  <c r="CE660"/>
  <c r="CE664"/>
  <c r="CE668"/>
  <c r="CE672"/>
  <c r="CE676"/>
  <c r="CE680"/>
  <c r="CE684"/>
  <c r="CE688"/>
  <c r="CE692"/>
  <c r="CE696"/>
  <c r="CE700"/>
  <c r="CE704"/>
  <c r="BZ17"/>
  <c r="CA17" s="1"/>
  <c r="CE17" s="1"/>
  <c r="CE147"/>
  <c r="CE148"/>
  <c r="CE179"/>
  <c r="CE180"/>
  <c r="CE211"/>
  <c r="CE212"/>
  <c r="CE243"/>
  <c r="CE244"/>
  <c r="CE275"/>
  <c r="CE276"/>
  <c r="CE307"/>
  <c r="CE308"/>
  <c r="CE339"/>
  <c r="CE340"/>
  <c r="CE366"/>
  <c r="CE367"/>
  <c r="CE382"/>
  <c r="CE383"/>
  <c r="CE398"/>
  <c r="CE399"/>
  <c r="CE414"/>
  <c r="CE415"/>
  <c r="CE430"/>
  <c r="CE431"/>
  <c r="CE446"/>
  <c r="CE447"/>
  <c r="CE462"/>
  <c r="CE463"/>
  <c r="CE478"/>
  <c r="CE479"/>
  <c r="CE494"/>
  <c r="CE495"/>
  <c r="CE510"/>
  <c r="CE511"/>
  <c r="CE518"/>
  <c r="CE519"/>
  <c r="CE526"/>
  <c r="CE527"/>
  <c r="CE534"/>
  <c r="CE535"/>
  <c r="CE542"/>
  <c r="CE543"/>
  <c r="CE550"/>
  <c r="CE551"/>
  <c r="CE558"/>
  <c r="CE559"/>
  <c r="CE566"/>
  <c r="CE567"/>
  <c r="CE574"/>
  <c r="CE575"/>
  <c r="CE582"/>
  <c r="CE583"/>
  <c r="CE590"/>
  <c r="CE591"/>
  <c r="CE694"/>
  <c r="CE695"/>
  <c r="Z18"/>
  <c r="CE139"/>
  <c r="CE140"/>
  <c r="CE171"/>
  <c r="CE172"/>
  <c r="CE203"/>
  <c r="CE204"/>
  <c r="CE235"/>
  <c r="CE236"/>
  <c r="CE267"/>
  <c r="CE268"/>
  <c r="CE299"/>
  <c r="CE300"/>
  <c r="CE331"/>
  <c r="CE332"/>
  <c r="CE362"/>
  <c r="CE363"/>
  <c r="CE378"/>
  <c r="CE379"/>
  <c r="CE394"/>
  <c r="CE395"/>
  <c r="CE410"/>
  <c r="CE411"/>
  <c r="CE426"/>
  <c r="CE427"/>
  <c r="CE442"/>
  <c r="CE443"/>
  <c r="CE458"/>
  <c r="CE459"/>
  <c r="CE474"/>
  <c r="CE475"/>
  <c r="CE490"/>
  <c r="CE491"/>
  <c r="CE506"/>
  <c r="CE507"/>
  <c r="CE598"/>
  <c r="CE599"/>
  <c r="CE606"/>
  <c r="CE607"/>
  <c r="CE614"/>
  <c r="CE615"/>
  <c r="CE622"/>
  <c r="CE623"/>
  <c r="CE630"/>
  <c r="CE631"/>
  <c r="CE638"/>
  <c r="CE639"/>
  <c r="CE646"/>
  <c r="CE647"/>
  <c r="CE654"/>
  <c r="CE655"/>
  <c r="CE662"/>
  <c r="CE663"/>
  <c r="CE670"/>
  <c r="CE671"/>
  <c r="CE678"/>
  <c r="CE679"/>
  <c r="CE690"/>
  <c r="CE691"/>
  <c r="Z32"/>
  <c r="CE163"/>
  <c r="CE164"/>
  <c r="CE187"/>
  <c r="CE188"/>
  <c r="CE291"/>
  <c r="CE292"/>
  <c r="CE315"/>
  <c r="CE316"/>
  <c r="CE386"/>
  <c r="CE387"/>
  <c r="CE418"/>
  <c r="CE419"/>
  <c r="CE450"/>
  <c r="CE451"/>
  <c r="CE482"/>
  <c r="CE483"/>
  <c r="CE522"/>
  <c r="CE523"/>
  <c r="CE554"/>
  <c r="CE555"/>
  <c r="CE586"/>
  <c r="CE587"/>
  <c r="CE610"/>
  <c r="CE611"/>
  <c r="CE642"/>
  <c r="CE643"/>
  <c r="CE674"/>
  <c r="CE675"/>
  <c r="CE702"/>
  <c r="CE703"/>
  <c r="BZ15"/>
  <c r="CA15" s="1"/>
  <c r="CE15" s="1"/>
  <c r="CE131"/>
  <c r="CE132"/>
  <c r="CE155"/>
  <c r="CE156"/>
  <c r="CE259"/>
  <c r="CE260"/>
  <c r="CE283"/>
  <c r="CE284"/>
  <c r="CE374"/>
  <c r="CE375"/>
  <c r="CE406"/>
  <c r="CE407"/>
  <c r="CE438"/>
  <c r="CE439"/>
  <c r="CE470"/>
  <c r="CE471"/>
  <c r="CE502"/>
  <c r="CE503"/>
  <c r="CE514"/>
  <c r="CE515"/>
  <c r="CE546"/>
  <c r="CE547"/>
  <c r="CE578"/>
  <c r="CE579"/>
  <c r="CE602"/>
  <c r="CE603"/>
  <c r="CE634"/>
  <c r="CE635"/>
  <c r="CE666"/>
  <c r="CE667"/>
  <c r="CE698"/>
  <c r="CE699"/>
  <c r="CE390"/>
  <c r="CE391"/>
  <c r="CE454"/>
  <c r="CE455"/>
  <c r="CE570"/>
  <c r="CE571"/>
  <c r="CE594"/>
  <c r="CE595"/>
  <c r="CE618"/>
  <c r="CE619"/>
  <c r="CE658"/>
  <c r="CE659"/>
  <c r="CE682"/>
  <c r="CE683"/>
  <c r="CE705"/>
  <c r="CE709"/>
  <c r="CE713"/>
  <c r="CE717"/>
  <c r="CE721"/>
  <c r="CE725"/>
  <c r="CE729"/>
  <c r="CE733"/>
  <c r="CE737"/>
  <c r="CE741"/>
  <c r="CE745"/>
  <c r="CE749"/>
  <c r="CE753"/>
  <c r="CE757"/>
  <c r="CE761"/>
  <c r="CE765"/>
  <c r="CE769"/>
  <c r="CE773"/>
  <c r="CE777"/>
  <c r="CE781"/>
  <c r="CE785"/>
  <c r="CE789"/>
  <c r="CE793"/>
  <c r="CE797"/>
  <c r="CE801"/>
  <c r="CE805"/>
  <c r="CE809"/>
  <c r="CE813"/>
  <c r="CE817"/>
  <c r="CE821"/>
  <c r="CE825"/>
  <c r="CE829"/>
  <c r="CE833"/>
  <c r="CE837"/>
  <c r="CE841"/>
  <c r="CE845"/>
  <c r="CE849"/>
  <c r="CE853"/>
  <c r="CE857"/>
  <c r="CE861"/>
  <c r="CE865"/>
  <c r="CE869"/>
  <c r="CE873"/>
  <c r="CE877"/>
  <c r="CE881"/>
  <c r="CE885"/>
  <c r="CE889"/>
  <c r="CE893"/>
  <c r="CE897"/>
  <c r="CE901"/>
  <c r="CE905"/>
  <c r="CE909"/>
  <c r="CE913"/>
  <c r="CE917"/>
  <c r="CE921"/>
  <c r="CE925"/>
  <c r="CE929"/>
  <c r="CE933"/>
  <c r="CE937"/>
  <c r="CE941"/>
  <c r="CE945"/>
  <c r="CE949"/>
  <c r="CE953"/>
  <c r="CE957"/>
  <c r="CE961"/>
  <c r="CE965"/>
  <c r="CE969"/>
  <c r="CE973"/>
  <c r="CE977"/>
  <c r="CE981"/>
  <c r="CE985"/>
  <c r="CE989"/>
  <c r="CE993"/>
  <c r="CE997"/>
  <c r="CE1001"/>
  <c r="CE1005"/>
  <c r="CE1009"/>
  <c r="CE1013"/>
  <c r="CE1017"/>
  <c r="CE1021"/>
  <c r="CE1025"/>
  <c r="CE1029"/>
  <c r="CE1033"/>
  <c r="CE1037"/>
  <c r="CE1041"/>
  <c r="CE1045"/>
  <c r="CE1049"/>
  <c r="CE1053"/>
  <c r="CE1057"/>
  <c r="CE1061"/>
  <c r="CE1065"/>
  <c r="CE1069"/>
  <c r="CE1073"/>
  <c r="CE1077"/>
  <c r="CE1081"/>
  <c r="CE1085"/>
  <c r="CE1089"/>
  <c r="CE1093"/>
  <c r="CE1097"/>
  <c r="CE1101"/>
  <c r="CE1105"/>
  <c r="CE1109"/>
  <c r="CE1113"/>
  <c r="CE1117"/>
  <c r="CE1121"/>
  <c r="CE1125"/>
  <c r="CE1129"/>
  <c r="CE1133"/>
  <c r="CE1137"/>
  <c r="CE1141"/>
  <c r="CE1145"/>
  <c r="CE1149"/>
  <c r="CE1153"/>
  <c r="CE1157"/>
  <c r="CE1161"/>
  <c r="CE1165"/>
  <c r="CE1169"/>
  <c r="CE1173"/>
  <c r="CE1177"/>
  <c r="CE1181"/>
  <c r="CE1185"/>
  <c r="CE1189"/>
  <c r="CE1193"/>
  <c r="CE1197"/>
  <c r="CE1201"/>
  <c r="CE1205"/>
  <c r="CE1209"/>
  <c r="CE1213"/>
  <c r="CE1217"/>
  <c r="CE1221"/>
  <c r="CE1225"/>
  <c r="CE1229"/>
  <c r="CE1233"/>
  <c r="CE1237"/>
  <c r="CE1241"/>
  <c r="CE1245"/>
  <c r="CE1249"/>
  <c r="CE1253"/>
  <c r="CE1257"/>
  <c r="CE1261"/>
  <c r="CE1265"/>
  <c r="CE1269"/>
  <c r="CE1273"/>
  <c r="CE1277"/>
  <c r="CE1281"/>
  <c r="CE1285"/>
  <c r="CE1289"/>
  <c r="CE1293"/>
  <c r="CE1297"/>
  <c r="CE1301"/>
  <c r="CE1305"/>
  <c r="CE1309"/>
  <c r="CE1313"/>
  <c r="CE1317"/>
  <c r="CE1321"/>
  <c r="CE1325"/>
  <c r="CE1329"/>
  <c r="CE1333"/>
  <c r="CE1337"/>
  <c r="CE1341"/>
  <c r="CE1345"/>
  <c r="CE1349"/>
  <c r="CE1353"/>
  <c r="CE1357"/>
  <c r="CE1361"/>
  <c r="CE1365"/>
  <c r="CE1369"/>
  <c r="CE1373"/>
  <c r="CE1377"/>
  <c r="CE1381"/>
  <c r="CE1385"/>
  <c r="CE1389"/>
  <c r="CE1393"/>
  <c r="CE1397"/>
  <c r="CE1401"/>
  <c r="CE1405"/>
  <c r="CE1409"/>
  <c r="CE1413"/>
  <c r="CE1417"/>
  <c r="CE1421"/>
  <c r="CE1425"/>
  <c r="CE1429"/>
  <c r="CE1433"/>
  <c r="CE1437"/>
  <c r="CE1441"/>
  <c r="CE1445"/>
  <c r="CE1449"/>
  <c r="CE1453"/>
  <c r="CE1457"/>
  <c r="CE1461"/>
  <c r="CE1465"/>
  <c r="CE1469"/>
  <c r="CE1473"/>
  <c r="CE1477"/>
  <c r="CE1481"/>
  <c r="CE1485"/>
  <c r="CE1489"/>
  <c r="CE1493"/>
  <c r="CE1497"/>
  <c r="CE1501"/>
  <c r="CE1505"/>
  <c r="CE1509"/>
  <c r="CE1513"/>
  <c r="CE1517"/>
  <c r="CE1521"/>
  <c r="CE1525"/>
  <c r="CE1529"/>
  <c r="CE1533"/>
  <c r="CE1537"/>
  <c r="CE1541"/>
  <c r="CE1545"/>
  <c r="CE1549"/>
  <c r="CE1553"/>
  <c r="CE1557"/>
  <c r="CE1561"/>
  <c r="CE1565"/>
  <c r="CE1569"/>
  <c r="CE1573"/>
  <c r="CE1577"/>
  <c r="CE1581"/>
  <c r="CE1585"/>
  <c r="CE1589"/>
  <c r="CE1593"/>
  <c r="CE1597"/>
  <c r="CE1601"/>
  <c r="CE1605"/>
  <c r="CE1609"/>
  <c r="CE1613"/>
  <c r="CE1617"/>
  <c r="CE1621"/>
  <c r="CE1625"/>
  <c r="CE1629"/>
  <c r="CE1633"/>
  <c r="CE1637"/>
  <c r="CE1641"/>
  <c r="CE1645"/>
  <c r="CE1649"/>
  <c r="CE1653"/>
  <c r="CE1657"/>
  <c r="CE1661"/>
  <c r="CE1665"/>
  <c r="CE1669"/>
  <c r="CE1673"/>
  <c r="CE1677"/>
  <c r="CE1681"/>
  <c r="CE1685"/>
  <c r="CE1689"/>
  <c r="CE1693"/>
  <c r="CE1697"/>
  <c r="CE1701"/>
  <c r="CE1705"/>
  <c r="CE1709"/>
  <c r="CE1713"/>
  <c r="CE1717"/>
  <c r="CE1721"/>
  <c r="CE1725"/>
  <c r="CE1729"/>
  <c r="CE1733"/>
  <c r="CE1737"/>
  <c r="CE1741"/>
  <c r="CE1745"/>
  <c r="CE1749"/>
  <c r="CE1753"/>
  <c r="CE1757"/>
  <c r="CE1761"/>
  <c r="CE1765"/>
  <c r="CE1769"/>
  <c r="CE1773"/>
  <c r="CE1777"/>
  <c r="CE1781"/>
  <c r="CE1785"/>
  <c r="CE1789"/>
  <c r="CE1793"/>
  <c r="CE1797"/>
  <c r="CE1801"/>
  <c r="CE1805"/>
  <c r="CE1809"/>
  <c r="CE1813"/>
  <c r="CE1817"/>
  <c r="CE1821"/>
  <c r="CE1825"/>
  <c r="CE1829"/>
  <c r="CE1833"/>
  <c r="CE1837"/>
  <c r="CE1841"/>
  <c r="CE1845"/>
  <c r="CE1849"/>
  <c r="CE1853"/>
  <c r="CE1857"/>
  <c r="CE1861"/>
  <c r="CE1865"/>
  <c r="CE1869"/>
  <c r="CE1873"/>
  <c r="CE1877"/>
  <c r="CE1881"/>
  <c r="CE1885"/>
  <c r="CE1889"/>
  <c r="CE1893"/>
  <c r="CE1897"/>
  <c r="CE1901"/>
  <c r="CE1905"/>
  <c r="CE1909"/>
  <c r="CE1913"/>
  <c r="CE1917"/>
  <c r="CE1921"/>
  <c r="CE1925"/>
  <c r="CE1929"/>
  <c r="CE1933"/>
  <c r="CE1937"/>
  <c r="CE1941"/>
  <c r="CE1945"/>
  <c r="CE1949"/>
  <c r="CE1953"/>
  <c r="CE1957"/>
  <c r="CE1961"/>
  <c r="CE1965"/>
  <c r="CE1969"/>
  <c r="CE1973"/>
  <c r="CE1977"/>
  <c r="CE1981"/>
  <c r="CE1985"/>
  <c r="CE1989"/>
  <c r="CE1993"/>
  <c r="CE1997"/>
  <c r="CE2001"/>
  <c r="CE2005"/>
  <c r="CE2009"/>
  <c r="CE2013"/>
  <c r="CE2017"/>
  <c r="CE2021"/>
  <c r="CE2025"/>
  <c r="CE2029"/>
  <c r="CE2033"/>
  <c r="CE2037"/>
  <c r="CE2041"/>
  <c r="CE2045"/>
  <c r="CE2049"/>
  <c r="CE2053"/>
  <c r="CE2057"/>
  <c r="CE2061"/>
  <c r="CE2065"/>
  <c r="CE2069"/>
  <c r="CE2073"/>
  <c r="CE2077"/>
  <c r="CE2081"/>
  <c r="CE2085"/>
  <c r="CE2089"/>
  <c r="CE2093"/>
  <c r="CE2097"/>
  <c r="CE2101"/>
  <c r="CE2105"/>
  <c r="CE2109"/>
  <c r="CE2113"/>
  <c r="CE2117"/>
  <c r="CE2121"/>
  <c r="CE2125"/>
  <c r="CE2129"/>
  <c r="CE2133"/>
  <c r="CE2137"/>
  <c r="CE2141"/>
  <c r="CE2145"/>
  <c r="CE2149"/>
  <c r="CE2153"/>
  <c r="CE2157"/>
  <c r="CE2161"/>
  <c r="CE2165"/>
  <c r="CE2169"/>
  <c r="CE2173"/>
  <c r="CE2177"/>
  <c r="CE2181"/>
  <c r="CE2185"/>
  <c r="CE2189"/>
  <c r="CE2193"/>
  <c r="CE2197"/>
  <c r="CE2201"/>
  <c r="CE2205"/>
  <c r="CE2209"/>
  <c r="CE2213"/>
  <c r="CE2217"/>
  <c r="CE2221"/>
  <c r="CE2225"/>
  <c r="CE2229"/>
  <c r="CE2233"/>
  <c r="CE2237"/>
  <c r="CE2241"/>
  <c r="CE2245"/>
  <c r="CE2249"/>
  <c r="CE2253"/>
  <c r="CE2257"/>
  <c r="CE2261"/>
  <c r="CE2265"/>
  <c r="CE2269"/>
  <c r="CE2273"/>
  <c r="CE2277"/>
  <c r="CE2281"/>
  <c r="CE2285"/>
  <c r="CE2289"/>
  <c r="CE2293"/>
  <c r="CE2297"/>
  <c r="CE2301"/>
  <c r="CE2305"/>
  <c r="CE2309"/>
  <c r="CE2313"/>
  <c r="CE2317"/>
  <c r="CE2321"/>
  <c r="CE2325"/>
  <c r="CE2329"/>
  <c r="CE2333"/>
  <c r="CE2337"/>
  <c r="CE2341"/>
  <c r="CE2345"/>
  <c r="CE2349"/>
  <c r="CE2353"/>
  <c r="CE2357"/>
  <c r="CE2361"/>
  <c r="CE2365"/>
  <c r="CE2369"/>
  <c r="CE2373"/>
  <c r="CE2377"/>
  <c r="CE2381"/>
  <c r="CE2385"/>
  <c r="CE2389"/>
  <c r="CE2393"/>
  <c r="CE2397"/>
  <c r="CE2401"/>
  <c r="CE2405"/>
  <c r="CE2409"/>
  <c r="CE2413"/>
  <c r="CE2417"/>
  <c r="CE2421"/>
  <c r="CE2425"/>
  <c r="CE2429"/>
  <c r="CE2433"/>
  <c r="CE2437"/>
  <c r="CE2441"/>
  <c r="CE2445"/>
  <c r="CE2449"/>
  <c r="CE2453"/>
  <c r="CE2457"/>
  <c r="CE2461"/>
  <c r="CE2465"/>
  <c r="CE2469"/>
  <c r="CE2473"/>
  <c r="CE2477"/>
  <c r="CE2481"/>
  <c r="CE2485"/>
  <c r="CE2489"/>
  <c r="CE2493"/>
  <c r="CE2497"/>
  <c r="CE2501"/>
  <c r="CE2505"/>
  <c r="CE2509"/>
  <c r="CE2513"/>
  <c r="CE2517"/>
  <c r="CE2521"/>
  <c r="CE2525"/>
  <c r="CE2529"/>
  <c r="CE2533"/>
  <c r="CE2537"/>
  <c r="CE2541"/>
  <c r="CE2545"/>
  <c r="CE2549"/>
  <c r="CE2553"/>
  <c r="CE2557"/>
  <c r="CE2561"/>
  <c r="CE2565"/>
  <c r="CE2569"/>
  <c r="CE2573"/>
  <c r="CE2577"/>
  <c r="CE2581"/>
  <c r="CE2585"/>
  <c r="CE2589"/>
  <c r="CE2593"/>
  <c r="CE2597"/>
  <c r="CE2601"/>
  <c r="CE2605"/>
  <c r="CE2609"/>
  <c r="CE2613"/>
  <c r="CE2617"/>
  <c r="CE2621"/>
  <c r="CE2625"/>
  <c r="CE2629"/>
  <c r="CE2633"/>
  <c r="CE2637"/>
  <c r="CE2641"/>
  <c r="CE2645"/>
  <c r="CE2649"/>
  <c r="CE2653"/>
  <c r="CE2657"/>
  <c r="CE2661"/>
  <c r="CE2665"/>
  <c r="CE2669"/>
  <c r="CE2673"/>
  <c r="CE2677"/>
  <c r="CE2681"/>
  <c r="CE2685"/>
  <c r="CE2689"/>
  <c r="CE2693"/>
  <c r="CE2697"/>
  <c r="CE2701"/>
  <c r="CE2705"/>
  <c r="CE2709"/>
  <c r="CE2713"/>
  <c r="CE2717"/>
  <c r="CE2721"/>
  <c r="CE2725"/>
  <c r="CE2729"/>
  <c r="CE2733"/>
  <c r="CE2737"/>
  <c r="CE2741"/>
  <c r="CE2745"/>
  <c r="CE2749"/>
  <c r="CE2753"/>
  <c r="CE2757"/>
  <c r="CE2761"/>
  <c r="CE2765"/>
  <c r="CE2769"/>
  <c r="CE2773"/>
  <c r="CE2777"/>
  <c r="CE2781"/>
  <c r="CE2785"/>
  <c r="CE2789"/>
  <c r="CE2793"/>
  <c r="CE2797"/>
  <c r="CE2801"/>
  <c r="CE2805"/>
  <c r="CE2809"/>
  <c r="CE2813"/>
  <c r="CE2817"/>
  <c r="CE2821"/>
  <c r="CE2825"/>
  <c r="CE2829"/>
  <c r="CE2833"/>
  <c r="CE2837"/>
  <c r="CE2841"/>
  <c r="CE2845"/>
  <c r="CE2849"/>
  <c r="CE2853"/>
  <c r="CE2857"/>
  <c r="CE2861"/>
  <c r="CE2865"/>
  <c r="CE2869"/>
  <c r="CE2873"/>
  <c r="CE2877"/>
  <c r="CE2881"/>
  <c r="CE2885"/>
  <c r="CE2889"/>
  <c r="CE2893"/>
  <c r="CE2897"/>
  <c r="CE2901"/>
  <c r="CE2905"/>
  <c r="CE2909"/>
  <c r="CE2913"/>
  <c r="CE2917"/>
  <c r="CE2921"/>
  <c r="CE2925"/>
  <c r="CE2929"/>
  <c r="CE2933"/>
  <c r="CE2937"/>
  <c r="CE2941"/>
  <c r="CE2945"/>
  <c r="CE2949"/>
  <c r="CE2953"/>
  <c r="CE2957"/>
  <c r="CE2961"/>
  <c r="CE2965"/>
  <c r="CE2969"/>
  <c r="CE2973"/>
  <c r="CE2977"/>
  <c r="CE2981"/>
  <c r="CE2985"/>
  <c r="CE2989"/>
  <c r="CE2993"/>
  <c r="CE2997"/>
  <c r="CE3001"/>
  <c r="CE3005"/>
  <c r="CE3009"/>
  <c r="CE3013"/>
  <c r="CE3017"/>
  <c r="CE3021"/>
  <c r="CE3025"/>
  <c r="CE3029"/>
  <c r="CE3033"/>
  <c r="CE3037"/>
  <c r="CE3041"/>
  <c r="CE3045"/>
  <c r="CE3049"/>
  <c r="CE3053"/>
  <c r="CE3057"/>
  <c r="CE3061"/>
  <c r="CE3065"/>
  <c r="CE3069"/>
  <c r="CE3073"/>
  <c r="CE3077"/>
  <c r="CE3081"/>
  <c r="CE3085"/>
  <c r="CE3089"/>
  <c r="CE3093"/>
  <c r="CE3097"/>
  <c r="CE3101"/>
  <c r="CE3105"/>
  <c r="CE3109"/>
  <c r="CE3113"/>
  <c r="CE3117"/>
  <c r="CE3121"/>
  <c r="CE3125"/>
  <c r="CE3129"/>
  <c r="CE3133"/>
  <c r="CE3137"/>
  <c r="CE3141"/>
  <c r="CE3145"/>
  <c r="CE3149"/>
  <c r="CE3153"/>
  <c r="CE3157"/>
  <c r="CE3161"/>
  <c r="CE3165"/>
  <c r="CE3169"/>
  <c r="CE3173"/>
  <c r="CE3177"/>
  <c r="CE3181"/>
  <c r="CE3185"/>
  <c r="CE3189"/>
  <c r="CE3193"/>
  <c r="CE3197"/>
  <c r="CE3201"/>
  <c r="CE3205"/>
  <c r="CE3209"/>
  <c r="CE3213"/>
  <c r="CE3217"/>
  <c r="CE3221"/>
  <c r="CE3225"/>
  <c r="CE3229"/>
  <c r="CE3233"/>
  <c r="CE3237"/>
  <c r="CE3241"/>
  <c r="CE3245"/>
  <c r="CE3249"/>
  <c r="CE3253"/>
  <c r="CE3257"/>
  <c r="CE3261"/>
  <c r="CE3265"/>
  <c r="CE3269"/>
  <c r="CE3273"/>
  <c r="CE3277"/>
  <c r="CE3281"/>
  <c r="CE3285"/>
  <c r="CE3289"/>
  <c r="CE3293"/>
  <c r="CE3297"/>
  <c r="CE3301"/>
  <c r="CE3305"/>
  <c r="CE3309"/>
  <c r="CE3313"/>
  <c r="CE3317"/>
  <c r="CE3321"/>
  <c r="CE3325"/>
  <c r="CE3329"/>
  <c r="CE3333"/>
  <c r="CE3337"/>
  <c r="CE3341"/>
  <c r="CE3345"/>
  <c r="CE3349"/>
  <c r="CE3353"/>
  <c r="CE3357"/>
  <c r="CE3361"/>
  <c r="CE3365"/>
  <c r="CE3369"/>
  <c r="CE3373"/>
  <c r="CE3377"/>
  <c r="CE3381"/>
  <c r="CE3385"/>
  <c r="CE3389"/>
  <c r="CE3393"/>
  <c r="CE3397"/>
  <c r="CE3401"/>
  <c r="CE3405"/>
  <c r="CE3409"/>
  <c r="CE3413"/>
  <c r="CE3417"/>
  <c r="CE3421"/>
  <c r="CE3425"/>
  <c r="CE3429"/>
  <c r="CE3433"/>
  <c r="CE3437"/>
  <c r="CE3441"/>
  <c r="CE3445"/>
  <c r="CE3449"/>
  <c r="CE3453"/>
  <c r="CE3457"/>
  <c r="CE3461"/>
  <c r="CE3465"/>
  <c r="CE3469"/>
  <c r="CE3473"/>
  <c r="CE3477"/>
  <c r="CE3481"/>
  <c r="CE3485"/>
  <c r="CE3489"/>
  <c r="CE3493"/>
  <c r="CE3497"/>
  <c r="CE3501"/>
  <c r="CE3505"/>
  <c r="CE3509"/>
  <c r="CE3513"/>
  <c r="CE3517"/>
  <c r="CE3521"/>
  <c r="CE3525"/>
  <c r="CE3529"/>
  <c r="CE3533"/>
  <c r="CE3537"/>
  <c r="CE3541"/>
  <c r="CE3545"/>
  <c r="CE3549"/>
  <c r="CE3553"/>
  <c r="CE3557"/>
  <c r="CE3561"/>
  <c r="CE3565"/>
  <c r="CE3569"/>
  <c r="CE3573"/>
  <c r="CE3577"/>
  <c r="CE3581"/>
  <c r="CE3585"/>
  <c r="CE3589"/>
  <c r="CE3593"/>
  <c r="CE3597"/>
  <c r="CE3601"/>
  <c r="CE3605"/>
  <c r="CE3609"/>
  <c r="CE3613"/>
  <c r="CE3617"/>
  <c r="CE3621"/>
  <c r="CE3625"/>
  <c r="CE3629"/>
  <c r="CE3633"/>
  <c r="CE3637"/>
  <c r="CE3641"/>
  <c r="CE3645"/>
  <c r="CE3649"/>
  <c r="CE3653"/>
  <c r="CE3657"/>
  <c r="CE3661"/>
  <c r="CE3665"/>
  <c r="CE3669"/>
  <c r="CE3673"/>
  <c r="CE3677"/>
  <c r="CE3681"/>
  <c r="CE3685"/>
  <c r="CE3689"/>
  <c r="CE3693"/>
  <c r="CE3697"/>
  <c r="CE3701"/>
  <c r="CE3705"/>
  <c r="CE3709"/>
  <c r="CE3713"/>
  <c r="CE3717"/>
  <c r="CE3721"/>
  <c r="CE3725"/>
  <c r="CE3729"/>
  <c r="CE3733"/>
  <c r="CE3737"/>
  <c r="CE3741"/>
  <c r="CE3745"/>
  <c r="CE3749"/>
  <c r="CE3753"/>
  <c r="CE3757"/>
  <c r="CE3761"/>
  <c r="CE3765"/>
  <c r="CE3769"/>
  <c r="CE3773"/>
  <c r="CE3777"/>
  <c r="CE3781"/>
  <c r="CE3785"/>
  <c r="CE3789"/>
  <c r="CE3793"/>
  <c r="CE3797"/>
  <c r="CE3801"/>
  <c r="CE3805"/>
  <c r="CE3809"/>
  <c r="CE3813"/>
  <c r="CE3817"/>
  <c r="CE3821"/>
  <c r="CE3825"/>
  <c r="CE3829"/>
  <c r="CE3833"/>
  <c r="CE3837"/>
  <c r="CE3841"/>
  <c r="CE3845"/>
  <c r="CE3849"/>
  <c r="CE3853"/>
  <c r="CE3857"/>
  <c r="CE3861"/>
  <c r="CE3865"/>
  <c r="CE3869"/>
  <c r="CE3873"/>
  <c r="CE3877"/>
  <c r="CE3881"/>
  <c r="CE3885"/>
  <c r="CE3889"/>
  <c r="CE3893"/>
  <c r="CE3897"/>
  <c r="CE3901"/>
  <c r="CE3905"/>
  <c r="CE3909"/>
  <c r="CE3913"/>
  <c r="CE3917"/>
  <c r="CE3921"/>
  <c r="CE3925"/>
  <c r="CE3929"/>
  <c r="CE3933"/>
  <c r="CE3937"/>
  <c r="CE3941"/>
  <c r="CE3945"/>
  <c r="CE3949"/>
  <c r="CE3953"/>
  <c r="CE3957"/>
  <c r="CE3961"/>
  <c r="CE3965"/>
  <c r="CE3969"/>
  <c r="CE3973"/>
  <c r="CE3977"/>
  <c r="CE3981"/>
  <c r="CE3985"/>
  <c r="CE3989"/>
  <c r="CE3993"/>
  <c r="CE3997"/>
  <c r="CE4001"/>
  <c r="CE4005"/>
  <c r="CE4009"/>
  <c r="CE4013"/>
  <c r="CE4017"/>
  <c r="CE4021"/>
  <c r="CE4025"/>
  <c r="CE4029"/>
  <c r="CE4033"/>
  <c r="CE4037"/>
  <c r="CE4041"/>
  <c r="CS61"/>
  <c r="CT61" s="1"/>
  <c r="CU61" s="1"/>
  <c r="CS65"/>
  <c r="CT65" s="1"/>
  <c r="CU65" s="1"/>
  <c r="CS69"/>
  <c r="CT69" s="1"/>
  <c r="CU69" s="1"/>
  <c r="CS73"/>
  <c r="CT73" s="1"/>
  <c r="CU73" s="1"/>
  <c r="CS77"/>
  <c r="CT77" s="1"/>
  <c r="CU77" s="1"/>
  <c r="CS81"/>
  <c r="CT81" s="1"/>
  <c r="CU81" s="1"/>
  <c r="CS85"/>
  <c r="CT85" s="1"/>
  <c r="CU85" s="1"/>
  <c r="CS89"/>
  <c r="CT89" s="1"/>
  <c r="CU89" s="1"/>
  <c r="CS93"/>
  <c r="CT93" s="1"/>
  <c r="CU93" s="1"/>
  <c r="CS97"/>
  <c r="CT97" s="1"/>
  <c r="CU97" s="1"/>
  <c r="CS101"/>
  <c r="CT101" s="1"/>
  <c r="CU101" s="1"/>
  <c r="X17"/>
  <c r="X18"/>
  <c r="CE355"/>
  <c r="CE356"/>
  <c r="CE370"/>
  <c r="CE371"/>
  <c r="CE434"/>
  <c r="CE435"/>
  <c r="CE498"/>
  <c r="CE499"/>
  <c r="CE538"/>
  <c r="CE539"/>
  <c r="CE562"/>
  <c r="CE563"/>
  <c r="CE706"/>
  <c r="CE710"/>
  <c r="CE714"/>
  <c r="CE718"/>
  <c r="CE722"/>
  <c r="CE726"/>
  <c r="CE730"/>
  <c r="CE734"/>
  <c r="CE738"/>
  <c r="CE742"/>
  <c r="CE746"/>
  <c r="CE750"/>
  <c r="CE754"/>
  <c r="CE758"/>
  <c r="CE762"/>
  <c r="CE766"/>
  <c r="CE770"/>
  <c r="CE774"/>
  <c r="CE778"/>
  <c r="CE782"/>
  <c r="CE786"/>
  <c r="CE790"/>
  <c r="CE794"/>
  <c r="CE798"/>
  <c r="CE802"/>
  <c r="CE806"/>
  <c r="CE810"/>
  <c r="CE814"/>
  <c r="CE818"/>
  <c r="CE822"/>
  <c r="CE826"/>
  <c r="CE830"/>
  <c r="CE834"/>
  <c r="CE838"/>
  <c r="CE842"/>
  <c r="CE846"/>
  <c r="CE850"/>
  <c r="CE854"/>
  <c r="CE858"/>
  <c r="CE862"/>
  <c r="CE866"/>
  <c r="CE870"/>
  <c r="CE874"/>
  <c r="CE878"/>
  <c r="CE882"/>
  <c r="CE886"/>
  <c r="CE890"/>
  <c r="CE894"/>
  <c r="CE898"/>
  <c r="CE902"/>
  <c r="CE906"/>
  <c r="CE910"/>
  <c r="CE914"/>
  <c r="CE918"/>
  <c r="CE922"/>
  <c r="CE926"/>
  <c r="CE930"/>
  <c r="CE934"/>
  <c r="CE938"/>
  <c r="CE942"/>
  <c r="CE946"/>
  <c r="CE950"/>
  <c r="CE954"/>
  <c r="CE958"/>
  <c r="CE962"/>
  <c r="CE966"/>
  <c r="CE970"/>
  <c r="CE974"/>
  <c r="CE978"/>
  <c r="CE982"/>
  <c r="CE986"/>
  <c r="CE990"/>
  <c r="CE994"/>
  <c r="CE998"/>
  <c r="CE1002"/>
  <c r="CE1006"/>
  <c r="CE1010"/>
  <c r="CE1014"/>
  <c r="CE1018"/>
  <c r="CE1022"/>
  <c r="CE1026"/>
  <c r="CE1030"/>
  <c r="CE1034"/>
  <c r="CE1038"/>
  <c r="CE1042"/>
  <c r="CE1046"/>
  <c r="CE1050"/>
  <c r="CE1054"/>
  <c r="CE1058"/>
  <c r="CE1062"/>
  <c r="CE1066"/>
  <c r="CE1070"/>
  <c r="CE1074"/>
  <c r="CE1078"/>
  <c r="CE1082"/>
  <c r="CE1086"/>
  <c r="CE1090"/>
  <c r="CE1094"/>
  <c r="CE1098"/>
  <c r="CE1102"/>
  <c r="CE1106"/>
  <c r="CE1110"/>
  <c r="CE1114"/>
  <c r="CE1118"/>
  <c r="CE1122"/>
  <c r="CE1126"/>
  <c r="CE1130"/>
  <c r="CE1134"/>
  <c r="CE1138"/>
  <c r="CE1142"/>
  <c r="CE1146"/>
  <c r="CE1150"/>
  <c r="CE1154"/>
  <c r="CE1158"/>
  <c r="CE1162"/>
  <c r="CE1166"/>
  <c r="CE1170"/>
  <c r="CE1174"/>
  <c r="CE1178"/>
  <c r="CE1182"/>
  <c r="CE1186"/>
  <c r="CE1190"/>
  <c r="CE1194"/>
  <c r="CE1198"/>
  <c r="CE1202"/>
  <c r="CE1206"/>
  <c r="CE1210"/>
  <c r="CE1214"/>
  <c r="CE1218"/>
  <c r="CE1222"/>
  <c r="CE1226"/>
  <c r="CE1230"/>
  <c r="CE1234"/>
  <c r="CE1238"/>
  <c r="CE1242"/>
  <c r="CE1246"/>
  <c r="CE1250"/>
  <c r="CE1254"/>
  <c r="CE1258"/>
  <c r="CE1262"/>
  <c r="CE1266"/>
  <c r="CE1270"/>
  <c r="CE1274"/>
  <c r="CE1278"/>
  <c r="CE1282"/>
  <c r="CE1286"/>
  <c r="CE1290"/>
  <c r="CE1294"/>
  <c r="CE1298"/>
  <c r="CE1302"/>
  <c r="CE1306"/>
  <c r="CE1310"/>
  <c r="CE1314"/>
  <c r="CE1318"/>
  <c r="CE1322"/>
  <c r="CE1326"/>
  <c r="CE1330"/>
  <c r="CE1334"/>
  <c r="CE1338"/>
  <c r="CE1342"/>
  <c r="CE1346"/>
  <c r="CE1350"/>
  <c r="CE1354"/>
  <c r="CE1358"/>
  <c r="CE1362"/>
  <c r="CE1366"/>
  <c r="CE1370"/>
  <c r="CE1374"/>
  <c r="CE1378"/>
  <c r="CE1382"/>
  <c r="CE1386"/>
  <c r="CE1390"/>
  <c r="CE1394"/>
  <c r="CE1398"/>
  <c r="CE1402"/>
  <c r="CE1406"/>
  <c r="CE1410"/>
  <c r="CE1414"/>
  <c r="CE1418"/>
  <c r="CE1422"/>
  <c r="CE1426"/>
  <c r="CE1430"/>
  <c r="CE1434"/>
  <c r="CE1438"/>
  <c r="CE1442"/>
  <c r="CE1446"/>
  <c r="CE1450"/>
  <c r="CE1454"/>
  <c r="CE1458"/>
  <c r="CE1462"/>
  <c r="CE1466"/>
  <c r="CE1470"/>
  <c r="CE1474"/>
  <c r="CE1478"/>
  <c r="CE1482"/>
  <c r="CE1486"/>
  <c r="CE1490"/>
  <c r="CE1494"/>
  <c r="CE1498"/>
  <c r="CE1502"/>
  <c r="CE1506"/>
  <c r="CE1510"/>
  <c r="CE1514"/>
  <c r="CE1518"/>
  <c r="CE1522"/>
  <c r="CE1526"/>
  <c r="CE1530"/>
  <c r="CE1534"/>
  <c r="CE1538"/>
  <c r="CE1542"/>
  <c r="CE1546"/>
  <c r="CE1550"/>
  <c r="CE1554"/>
  <c r="CE1558"/>
  <c r="CE1562"/>
  <c r="CE1566"/>
  <c r="CE1570"/>
  <c r="CE1574"/>
  <c r="CE1578"/>
  <c r="CE1582"/>
  <c r="CE1586"/>
  <c r="CE1590"/>
  <c r="CE1594"/>
  <c r="CE1598"/>
  <c r="CE1602"/>
  <c r="CE1606"/>
  <c r="CE1610"/>
  <c r="CE1614"/>
  <c r="CE1618"/>
  <c r="CE1622"/>
  <c r="CE1626"/>
  <c r="CE1630"/>
  <c r="CE1634"/>
  <c r="CE1638"/>
  <c r="CE1642"/>
  <c r="CE1646"/>
  <c r="CE1650"/>
  <c r="CE1654"/>
  <c r="CE1658"/>
  <c r="CE1662"/>
  <c r="CE1666"/>
  <c r="CE1670"/>
  <c r="CE1674"/>
  <c r="CE1678"/>
  <c r="CE1682"/>
  <c r="CE1686"/>
  <c r="CE1690"/>
  <c r="CE1694"/>
  <c r="CE1698"/>
  <c r="CE1702"/>
  <c r="CE1706"/>
  <c r="CE1710"/>
  <c r="CE1714"/>
  <c r="CE1718"/>
  <c r="CE1722"/>
  <c r="CE1726"/>
  <c r="CE1730"/>
  <c r="CE1734"/>
  <c r="CE1738"/>
  <c r="CE1742"/>
  <c r="CE1746"/>
  <c r="CE1750"/>
  <c r="CE1754"/>
  <c r="CE1758"/>
  <c r="CE1762"/>
  <c r="CE1766"/>
  <c r="CE1770"/>
  <c r="CE1774"/>
  <c r="CE1778"/>
  <c r="CE1782"/>
  <c r="CE1786"/>
  <c r="CE1790"/>
  <c r="CE1794"/>
  <c r="CE1798"/>
  <c r="CE1802"/>
  <c r="CE1806"/>
  <c r="CE1810"/>
  <c r="CE1814"/>
  <c r="CE1818"/>
  <c r="CE1822"/>
  <c r="CE1826"/>
  <c r="CE1830"/>
  <c r="CE1834"/>
  <c r="CE1838"/>
  <c r="CE1842"/>
  <c r="CE1846"/>
  <c r="CE1850"/>
  <c r="CE1854"/>
  <c r="CE1858"/>
  <c r="CE1862"/>
  <c r="CE1866"/>
  <c r="CE1870"/>
  <c r="CE1874"/>
  <c r="CE1878"/>
  <c r="CE1882"/>
  <c r="CE1886"/>
  <c r="CE1890"/>
  <c r="CE1894"/>
  <c r="CE1898"/>
  <c r="CE1902"/>
  <c r="CE1906"/>
  <c r="CE1910"/>
  <c r="CE1914"/>
  <c r="CE1918"/>
  <c r="CE1922"/>
  <c r="CE1926"/>
  <c r="CE1930"/>
  <c r="CE1934"/>
  <c r="CE1938"/>
  <c r="CE1942"/>
  <c r="CE1946"/>
  <c r="CE1950"/>
  <c r="CE1954"/>
  <c r="CE1958"/>
  <c r="CE1962"/>
  <c r="CE1966"/>
  <c r="CE1970"/>
  <c r="CE1974"/>
  <c r="CE1978"/>
  <c r="CE1982"/>
  <c r="CE1986"/>
  <c r="CE1990"/>
  <c r="CE1994"/>
  <c r="CE1998"/>
  <c r="CE2002"/>
  <c r="CE2006"/>
  <c r="CE2010"/>
  <c r="CE2014"/>
  <c r="CE2018"/>
  <c r="CE2022"/>
  <c r="CE2026"/>
  <c r="CE2030"/>
  <c r="CE2034"/>
  <c r="CE2038"/>
  <c r="CE2042"/>
  <c r="CE2046"/>
  <c r="CE2050"/>
  <c r="CE2054"/>
  <c r="CE2058"/>
  <c r="CE2062"/>
  <c r="CE2066"/>
  <c r="CE2070"/>
  <c r="CE2074"/>
  <c r="CE2078"/>
  <c r="CE2082"/>
  <c r="CE2086"/>
  <c r="CE2090"/>
  <c r="CE2094"/>
  <c r="CE2098"/>
  <c r="CE2102"/>
  <c r="CE2106"/>
  <c r="CE2110"/>
  <c r="CE2114"/>
  <c r="CE2118"/>
  <c r="CE2122"/>
  <c r="CE2126"/>
  <c r="CE2130"/>
  <c r="CE2134"/>
  <c r="CE2138"/>
  <c r="CE2142"/>
  <c r="CE2146"/>
  <c r="CE2150"/>
  <c r="CE2154"/>
  <c r="CE2158"/>
  <c r="CE2162"/>
  <c r="CE2166"/>
  <c r="CE2170"/>
  <c r="CE2174"/>
  <c r="CE2178"/>
  <c r="CE2182"/>
  <c r="CE2186"/>
  <c r="CE2190"/>
  <c r="CE2194"/>
  <c r="CE2198"/>
  <c r="CE2202"/>
  <c r="CE2206"/>
  <c r="CE2210"/>
  <c r="CE2214"/>
  <c r="CE2218"/>
  <c r="CE2222"/>
  <c r="CE2226"/>
  <c r="CE2230"/>
  <c r="CE2234"/>
  <c r="CE2238"/>
  <c r="CE2242"/>
  <c r="CE2246"/>
  <c r="CE2250"/>
  <c r="CE2254"/>
  <c r="CE2258"/>
  <c r="CE2262"/>
  <c r="CE2266"/>
  <c r="CE2270"/>
  <c r="CE2274"/>
  <c r="CE2278"/>
  <c r="CE2282"/>
  <c r="CE2286"/>
  <c r="CE2290"/>
  <c r="CE2294"/>
  <c r="CE2298"/>
  <c r="CE2302"/>
  <c r="CE2306"/>
  <c r="CE2310"/>
  <c r="CE2314"/>
  <c r="CE2318"/>
  <c r="CE2322"/>
  <c r="CE2326"/>
  <c r="CE2330"/>
  <c r="CE2334"/>
  <c r="CE2338"/>
  <c r="CE2342"/>
  <c r="CE2346"/>
  <c r="CE2350"/>
  <c r="CE2354"/>
  <c r="CE2358"/>
  <c r="CE2362"/>
  <c r="CE2366"/>
  <c r="CE2370"/>
  <c r="CE2374"/>
  <c r="CE2378"/>
  <c r="CE2382"/>
  <c r="CE2386"/>
  <c r="CE2390"/>
  <c r="CE2394"/>
  <c r="CE2398"/>
  <c r="CE2402"/>
  <c r="CE2406"/>
  <c r="CE2410"/>
  <c r="CE2414"/>
  <c r="CE2418"/>
  <c r="CE2422"/>
  <c r="CE2426"/>
  <c r="CE2430"/>
  <c r="CE2434"/>
  <c r="CE2438"/>
  <c r="CE2442"/>
  <c r="CE2446"/>
  <c r="CE2450"/>
  <c r="CE2454"/>
  <c r="CE2458"/>
  <c r="CE2462"/>
  <c r="CE2466"/>
  <c r="CE2470"/>
  <c r="CE2474"/>
  <c r="CE2478"/>
  <c r="CE2482"/>
  <c r="CE2486"/>
  <c r="CE2490"/>
  <c r="CE2494"/>
  <c r="CE2498"/>
  <c r="CE2502"/>
  <c r="CE2506"/>
  <c r="CE2510"/>
  <c r="CE2514"/>
  <c r="CE2518"/>
  <c r="CE2522"/>
  <c r="CE2526"/>
  <c r="CE2530"/>
  <c r="CE2534"/>
  <c r="CE2538"/>
  <c r="CE2542"/>
  <c r="CE2546"/>
  <c r="CE2550"/>
  <c r="CE2554"/>
  <c r="CE2558"/>
  <c r="CE2562"/>
  <c r="CE2566"/>
  <c r="CE2570"/>
  <c r="CE2574"/>
  <c r="CE2578"/>
  <c r="CE2582"/>
  <c r="CE2586"/>
  <c r="CE2590"/>
  <c r="CE2594"/>
  <c r="CE2598"/>
  <c r="CE2602"/>
  <c r="CE2606"/>
  <c r="CE2610"/>
  <c r="CE2614"/>
  <c r="CE2618"/>
  <c r="CE2622"/>
  <c r="CE2626"/>
  <c r="CE2630"/>
  <c r="CE2634"/>
  <c r="CE2638"/>
  <c r="CE2642"/>
  <c r="CE2646"/>
  <c r="CE2650"/>
  <c r="CE2654"/>
  <c r="CE2658"/>
  <c r="CE2662"/>
  <c r="CE2666"/>
  <c r="CE2670"/>
  <c r="CE2674"/>
  <c r="CE2678"/>
  <c r="CE2682"/>
  <c r="CE2686"/>
  <c r="CE2690"/>
  <c r="CE2694"/>
  <c r="CE2698"/>
  <c r="CE2702"/>
  <c r="CE2706"/>
  <c r="CE2710"/>
  <c r="CE2714"/>
  <c r="CE2718"/>
  <c r="CE2722"/>
  <c r="CE2726"/>
  <c r="CE2730"/>
  <c r="CE2734"/>
  <c r="CE2738"/>
  <c r="CE2742"/>
  <c r="CE2746"/>
  <c r="CE2750"/>
  <c r="CE2754"/>
  <c r="CE2758"/>
  <c r="CE2762"/>
  <c r="CE2766"/>
  <c r="CE2770"/>
  <c r="CE2774"/>
  <c r="CE2778"/>
  <c r="CE2782"/>
  <c r="CE2786"/>
  <c r="CE2790"/>
  <c r="CE2794"/>
  <c r="CE2798"/>
  <c r="CE2802"/>
  <c r="CE2806"/>
  <c r="CE2810"/>
  <c r="CE2814"/>
  <c r="CE2818"/>
  <c r="CE2822"/>
  <c r="CE2826"/>
  <c r="CE2830"/>
  <c r="CE2834"/>
  <c r="CE2838"/>
  <c r="CE2842"/>
  <c r="CE2846"/>
  <c r="CE2850"/>
  <c r="CE2854"/>
  <c r="CE2858"/>
  <c r="CE2862"/>
  <c r="CE2866"/>
  <c r="CE2870"/>
  <c r="CE2874"/>
  <c r="CE2878"/>
  <c r="CE2882"/>
  <c r="CE2886"/>
  <c r="CE2890"/>
  <c r="CE2894"/>
  <c r="CE2898"/>
  <c r="CE2902"/>
  <c r="CE2906"/>
  <c r="CE2910"/>
  <c r="CE2914"/>
  <c r="CE2918"/>
  <c r="CE2922"/>
  <c r="CE2926"/>
  <c r="CE2930"/>
  <c r="CE2934"/>
  <c r="CE2938"/>
  <c r="CE2942"/>
  <c r="CE2946"/>
  <c r="CE2950"/>
  <c r="CE2954"/>
  <c r="CE2958"/>
  <c r="CE2962"/>
  <c r="CE2966"/>
  <c r="CE2970"/>
  <c r="CE2974"/>
  <c r="CE2978"/>
  <c r="CE2982"/>
  <c r="CE2986"/>
  <c r="CE2990"/>
  <c r="CE2994"/>
  <c r="CE2998"/>
  <c r="CE3002"/>
  <c r="CE3006"/>
  <c r="CE3010"/>
  <c r="CE3014"/>
  <c r="CE3018"/>
  <c r="CE3022"/>
  <c r="CE3026"/>
  <c r="CE3030"/>
  <c r="CE3034"/>
  <c r="CE3038"/>
  <c r="CE3042"/>
  <c r="CE3046"/>
  <c r="CE3050"/>
  <c r="CE3054"/>
  <c r="CE3058"/>
  <c r="CE3062"/>
  <c r="CE3066"/>
  <c r="CE3070"/>
  <c r="CE3074"/>
  <c r="CE3078"/>
  <c r="CE3082"/>
  <c r="CE3086"/>
  <c r="CE3090"/>
  <c r="CE3094"/>
  <c r="CE3098"/>
  <c r="CE3102"/>
  <c r="CE3106"/>
  <c r="CE3110"/>
  <c r="CE3114"/>
  <c r="CE3118"/>
  <c r="CE3122"/>
  <c r="CE3126"/>
  <c r="CE3130"/>
  <c r="CE3134"/>
  <c r="CE3138"/>
  <c r="CE3142"/>
  <c r="CE3146"/>
  <c r="CE3150"/>
  <c r="CE3154"/>
  <c r="CE3158"/>
  <c r="CE3162"/>
  <c r="CE3166"/>
  <c r="CE3170"/>
  <c r="CE3174"/>
  <c r="CE3178"/>
  <c r="CE3182"/>
  <c r="CE3186"/>
  <c r="CE3190"/>
  <c r="CE3194"/>
  <c r="CE3198"/>
  <c r="CE3202"/>
  <c r="CE3206"/>
  <c r="CE3210"/>
  <c r="CE3214"/>
  <c r="CE3218"/>
  <c r="CE3222"/>
  <c r="CE3226"/>
  <c r="CE3230"/>
  <c r="CE3234"/>
  <c r="CE3238"/>
  <c r="CE3242"/>
  <c r="CE3246"/>
  <c r="CE3250"/>
  <c r="CE3254"/>
  <c r="CE3258"/>
  <c r="CE3262"/>
  <c r="CE3266"/>
  <c r="CE3270"/>
  <c r="CE3274"/>
  <c r="CE3278"/>
  <c r="CE3282"/>
  <c r="CE3286"/>
  <c r="CE3290"/>
  <c r="CE3294"/>
  <c r="CE3298"/>
  <c r="CE3302"/>
  <c r="CE3306"/>
  <c r="CE3310"/>
  <c r="CE3314"/>
  <c r="CE3318"/>
  <c r="CE3322"/>
  <c r="CE3326"/>
  <c r="CE3330"/>
  <c r="CE3334"/>
  <c r="CE3338"/>
  <c r="CE3342"/>
  <c r="CE3346"/>
  <c r="CE3350"/>
  <c r="CE3354"/>
  <c r="CE3358"/>
  <c r="CE3362"/>
  <c r="CE3366"/>
  <c r="CE3370"/>
  <c r="CE3374"/>
  <c r="CE3378"/>
  <c r="CE3382"/>
  <c r="CE3386"/>
  <c r="CE3390"/>
  <c r="CE3394"/>
  <c r="CE3398"/>
  <c r="CE3402"/>
  <c r="CE3406"/>
  <c r="CE3410"/>
  <c r="CE3414"/>
  <c r="CE3418"/>
  <c r="CE3422"/>
  <c r="CE3426"/>
  <c r="CE3430"/>
  <c r="CE3434"/>
  <c r="CE3438"/>
  <c r="CE3442"/>
  <c r="CE3446"/>
  <c r="CE3450"/>
  <c r="CE3454"/>
  <c r="CE3458"/>
  <c r="CE3462"/>
  <c r="CE3466"/>
  <c r="CE3470"/>
  <c r="CE3474"/>
  <c r="CE3478"/>
  <c r="CE3482"/>
  <c r="CE3486"/>
  <c r="CE3490"/>
  <c r="CE3494"/>
  <c r="CE3498"/>
  <c r="CE3502"/>
  <c r="CE3506"/>
  <c r="CE3510"/>
  <c r="CE3514"/>
  <c r="CE3518"/>
  <c r="CE3522"/>
  <c r="CE3526"/>
  <c r="CE3530"/>
  <c r="CE3534"/>
  <c r="CE3538"/>
  <c r="CE3542"/>
  <c r="CE3546"/>
  <c r="CE3550"/>
  <c r="CE3554"/>
  <c r="CE3558"/>
  <c r="CE3562"/>
  <c r="CE3566"/>
  <c r="CE3570"/>
  <c r="CE3574"/>
  <c r="CE3578"/>
  <c r="CE3582"/>
  <c r="CE3586"/>
  <c r="CE3590"/>
  <c r="CE3594"/>
  <c r="CE3598"/>
  <c r="CE3602"/>
  <c r="CE3606"/>
  <c r="CE3610"/>
  <c r="CE3614"/>
  <c r="CE3618"/>
  <c r="CE3622"/>
  <c r="CE3626"/>
  <c r="CE3630"/>
  <c r="CE3634"/>
  <c r="CE3638"/>
  <c r="CE3642"/>
  <c r="CE3646"/>
  <c r="CE3650"/>
  <c r="CE3654"/>
  <c r="CE3658"/>
  <c r="CE3662"/>
  <c r="CE3666"/>
  <c r="CE3670"/>
  <c r="CE3674"/>
  <c r="CE3678"/>
  <c r="CE3682"/>
  <c r="CE3686"/>
  <c r="CE3690"/>
  <c r="CE3694"/>
  <c r="CE3698"/>
  <c r="CE3702"/>
  <c r="CE3706"/>
  <c r="CE3710"/>
  <c r="CE3714"/>
  <c r="CE3718"/>
  <c r="CE3722"/>
  <c r="CE3726"/>
  <c r="CE3730"/>
  <c r="CE3734"/>
  <c r="CE3738"/>
  <c r="CE3742"/>
  <c r="CE3746"/>
  <c r="CE3750"/>
  <c r="CE3754"/>
  <c r="CE3758"/>
  <c r="CE3762"/>
  <c r="CE3766"/>
  <c r="CE3770"/>
  <c r="CE3774"/>
  <c r="CE3778"/>
  <c r="CE3782"/>
  <c r="CE3786"/>
  <c r="CE3790"/>
  <c r="CE3794"/>
  <c r="CE3798"/>
  <c r="CE3802"/>
  <c r="CE3806"/>
  <c r="CE3810"/>
  <c r="CE3814"/>
  <c r="CE3818"/>
  <c r="CE3822"/>
  <c r="CE3826"/>
  <c r="CE3830"/>
  <c r="CE3834"/>
  <c r="CE3838"/>
  <c r="CE3842"/>
  <c r="CE3846"/>
  <c r="CE3850"/>
  <c r="CE3854"/>
  <c r="CE3858"/>
  <c r="CE3862"/>
  <c r="CE3866"/>
  <c r="CE3870"/>
  <c r="CE3874"/>
  <c r="CE3878"/>
  <c r="CE3882"/>
  <c r="CE3886"/>
  <c r="CE3890"/>
  <c r="CE3894"/>
  <c r="CE3898"/>
  <c r="CE3902"/>
  <c r="CE3906"/>
  <c r="CE3910"/>
  <c r="CE3914"/>
  <c r="CE3918"/>
  <c r="CE3922"/>
  <c r="CE3926"/>
  <c r="CE3930"/>
  <c r="CE3934"/>
  <c r="CE3938"/>
  <c r="CE3942"/>
  <c r="CE3946"/>
  <c r="CE3950"/>
  <c r="CE3954"/>
  <c r="CE3958"/>
  <c r="CE3962"/>
  <c r="CE3966"/>
  <c r="CE3970"/>
  <c r="CE3974"/>
  <c r="CE3978"/>
  <c r="CE3982"/>
  <c r="CE3986"/>
  <c r="CE3990"/>
  <c r="CE3994"/>
  <c r="CE3998"/>
  <c r="CE4002"/>
  <c r="CE4006"/>
  <c r="CE4010"/>
  <c r="CE4014"/>
  <c r="CE4018"/>
  <c r="CE4022"/>
  <c r="CE4026"/>
  <c r="CE4030"/>
  <c r="CE4034"/>
  <c r="CE4038"/>
  <c r="CE4042"/>
  <c r="CS2"/>
  <c r="CT2" s="1"/>
  <c r="CU2" s="1"/>
  <c r="CS3"/>
  <c r="CT3" s="1"/>
  <c r="CU3" s="1"/>
  <c r="CS5"/>
  <c r="CT5" s="1"/>
  <c r="CU5" s="1"/>
  <c r="CS7"/>
  <c r="CT7" s="1"/>
  <c r="CU7" s="1"/>
  <c r="CS9"/>
  <c r="CT9" s="1"/>
  <c r="CU9" s="1"/>
  <c r="CS11"/>
  <c r="CT11" s="1"/>
  <c r="CU11" s="1"/>
  <c r="CS13"/>
  <c r="CT13" s="1"/>
  <c r="CU13" s="1"/>
  <c r="CS15"/>
  <c r="CT15" s="1"/>
  <c r="CU15" s="1"/>
  <c r="CS17"/>
  <c r="CT17" s="1"/>
  <c r="CU17" s="1"/>
  <c r="CS19"/>
  <c r="CT19" s="1"/>
  <c r="CU19" s="1"/>
  <c r="CS21"/>
  <c r="CT21" s="1"/>
  <c r="CU21" s="1"/>
  <c r="CS23"/>
  <c r="CT23" s="1"/>
  <c r="CU23" s="1"/>
  <c r="CS25"/>
  <c r="CT25" s="1"/>
  <c r="CU25" s="1"/>
  <c r="CS27"/>
  <c r="CT27" s="1"/>
  <c r="CU27" s="1"/>
  <c r="CS29"/>
  <c r="CT29" s="1"/>
  <c r="CU29" s="1"/>
  <c r="CS31"/>
  <c r="CT31" s="1"/>
  <c r="CU31" s="1"/>
  <c r="CS33"/>
  <c r="CT33" s="1"/>
  <c r="CU33" s="1"/>
  <c r="CS35"/>
  <c r="CT35" s="1"/>
  <c r="CU35" s="1"/>
  <c r="CS37"/>
  <c r="CT37" s="1"/>
  <c r="CU37" s="1"/>
  <c r="CS39"/>
  <c r="CT39" s="1"/>
  <c r="CU39" s="1"/>
  <c r="CS41"/>
  <c r="CT41" s="1"/>
  <c r="CU41" s="1"/>
  <c r="CS43"/>
  <c r="CT43" s="1"/>
  <c r="CU43" s="1"/>
  <c r="CS45"/>
  <c r="CT45" s="1"/>
  <c r="CU45" s="1"/>
  <c r="CS47"/>
  <c r="CT47" s="1"/>
  <c r="CU47" s="1"/>
  <c r="CS49"/>
  <c r="CT49" s="1"/>
  <c r="CU49" s="1"/>
  <c r="CS51"/>
  <c r="CT51" s="1"/>
  <c r="CU51" s="1"/>
  <c r="CS53"/>
  <c r="CT53" s="1"/>
  <c r="CU53" s="1"/>
  <c r="CS55"/>
  <c r="CT55" s="1"/>
  <c r="CU55" s="1"/>
  <c r="CS57"/>
  <c r="CT57" s="1"/>
  <c r="CU57" s="1"/>
  <c r="CS59"/>
  <c r="CT59" s="1"/>
  <c r="CU59" s="1"/>
  <c r="CS62"/>
  <c r="CT62" s="1"/>
  <c r="CU62" s="1"/>
  <c r="CS66"/>
  <c r="CT66" s="1"/>
  <c r="CU66" s="1"/>
  <c r="CS70"/>
  <c r="CT70" s="1"/>
  <c r="CU70" s="1"/>
  <c r="CS74"/>
  <c r="CT74" s="1"/>
  <c r="CU74" s="1"/>
  <c r="CS78"/>
  <c r="CT78" s="1"/>
  <c r="CU78" s="1"/>
  <c r="CS82"/>
  <c r="CT82" s="1"/>
  <c r="CU82" s="1"/>
  <c r="CS86"/>
  <c r="CT86" s="1"/>
  <c r="CU86" s="1"/>
  <c r="CS90"/>
  <c r="CT90" s="1"/>
  <c r="CU90" s="1"/>
  <c r="CS94"/>
  <c r="CT94" s="1"/>
  <c r="CU94" s="1"/>
  <c r="CS98"/>
  <c r="CT98" s="1"/>
  <c r="CU98" s="1"/>
  <c r="CE227"/>
  <c r="CE228"/>
  <c r="CE251"/>
  <c r="CE252"/>
  <c r="CE323"/>
  <c r="CE324"/>
  <c r="CE347"/>
  <c r="CE348"/>
  <c r="CE530"/>
  <c r="CE531"/>
  <c r="CE708"/>
  <c r="CE716"/>
  <c r="CE724"/>
  <c r="CE732"/>
  <c r="CE740"/>
  <c r="CE748"/>
  <c r="CE756"/>
  <c r="CE764"/>
  <c r="CE772"/>
  <c r="CE780"/>
  <c r="CE788"/>
  <c r="CE796"/>
  <c r="CE804"/>
  <c r="CE812"/>
  <c r="CE820"/>
  <c r="CE828"/>
  <c r="CE836"/>
  <c r="CE844"/>
  <c r="CE852"/>
  <c r="CE860"/>
  <c r="CE868"/>
  <c r="CE876"/>
  <c r="CE884"/>
  <c r="CE892"/>
  <c r="CE900"/>
  <c r="CE908"/>
  <c r="CE916"/>
  <c r="CE924"/>
  <c r="CE932"/>
  <c r="CE940"/>
  <c r="CE948"/>
  <c r="CE956"/>
  <c r="CE964"/>
  <c r="CE972"/>
  <c r="CE980"/>
  <c r="CE988"/>
  <c r="CE996"/>
  <c r="CE1004"/>
  <c r="CE1012"/>
  <c r="CE1020"/>
  <c r="CE1028"/>
  <c r="CE1036"/>
  <c r="CE1044"/>
  <c r="CE1052"/>
  <c r="CE1060"/>
  <c r="CE1068"/>
  <c r="CE1076"/>
  <c r="CE1084"/>
  <c r="CE1092"/>
  <c r="CE1100"/>
  <c r="CE1108"/>
  <c r="CE1116"/>
  <c r="CE1124"/>
  <c r="CE1132"/>
  <c r="CE1140"/>
  <c r="CE1148"/>
  <c r="CE1156"/>
  <c r="CE1164"/>
  <c r="CE1172"/>
  <c r="CE1180"/>
  <c r="CE1188"/>
  <c r="CE1196"/>
  <c r="CE1204"/>
  <c r="CE1212"/>
  <c r="CE1220"/>
  <c r="CE1228"/>
  <c r="CE1236"/>
  <c r="CE1244"/>
  <c r="CE1252"/>
  <c r="CE1260"/>
  <c r="CE1268"/>
  <c r="CE1276"/>
  <c r="CE1284"/>
  <c r="CE1292"/>
  <c r="CE1300"/>
  <c r="CE1308"/>
  <c r="CE1316"/>
  <c r="CE1324"/>
  <c r="CE1332"/>
  <c r="CE1340"/>
  <c r="CE1348"/>
  <c r="CE1356"/>
  <c r="CE1364"/>
  <c r="CE1372"/>
  <c r="CE1380"/>
  <c r="CE1388"/>
  <c r="CE1396"/>
  <c r="CE1404"/>
  <c r="CE1412"/>
  <c r="CE1420"/>
  <c r="CE1428"/>
  <c r="CE1436"/>
  <c r="CE1444"/>
  <c r="CE1452"/>
  <c r="CE1460"/>
  <c r="CE1468"/>
  <c r="CE1476"/>
  <c r="CE1484"/>
  <c r="CE1492"/>
  <c r="CE1500"/>
  <c r="CE1508"/>
  <c r="CE1516"/>
  <c r="CE1524"/>
  <c r="CE1532"/>
  <c r="CE1540"/>
  <c r="CE1548"/>
  <c r="CE1556"/>
  <c r="CE1564"/>
  <c r="CE1572"/>
  <c r="CE1580"/>
  <c r="CE1588"/>
  <c r="CE1596"/>
  <c r="CE1604"/>
  <c r="CE1612"/>
  <c r="CE1620"/>
  <c r="CE1628"/>
  <c r="CE1636"/>
  <c r="CE1644"/>
  <c r="CE1652"/>
  <c r="CE1660"/>
  <c r="CE1668"/>
  <c r="CE1676"/>
  <c r="CE1684"/>
  <c r="CE1692"/>
  <c r="CE1700"/>
  <c r="CE1708"/>
  <c r="CE1716"/>
  <c r="CE1724"/>
  <c r="CE1732"/>
  <c r="CE1740"/>
  <c r="CE1748"/>
  <c r="CE1756"/>
  <c r="CE1764"/>
  <c r="CE1772"/>
  <c r="CE1780"/>
  <c r="CE1788"/>
  <c r="CE1796"/>
  <c r="CE1804"/>
  <c r="CE1812"/>
  <c r="CE1820"/>
  <c r="CE1828"/>
  <c r="CE1836"/>
  <c r="CE1844"/>
  <c r="CE1852"/>
  <c r="CE1860"/>
  <c r="CE1868"/>
  <c r="CE1876"/>
  <c r="CE1884"/>
  <c r="CE1892"/>
  <c r="CE1900"/>
  <c r="CE1908"/>
  <c r="CE1916"/>
  <c r="CE1924"/>
  <c r="CE1932"/>
  <c r="CE1940"/>
  <c r="CE1948"/>
  <c r="CE1956"/>
  <c r="CE1964"/>
  <c r="CE1972"/>
  <c r="CE1980"/>
  <c r="CE1988"/>
  <c r="CE1996"/>
  <c r="CE2004"/>
  <c r="CE2012"/>
  <c r="CE2020"/>
  <c r="CE2028"/>
  <c r="CE2036"/>
  <c r="CE2044"/>
  <c r="CE2052"/>
  <c r="CE2060"/>
  <c r="CE2068"/>
  <c r="CE2076"/>
  <c r="CE2084"/>
  <c r="CE2092"/>
  <c r="CE2100"/>
  <c r="CE2108"/>
  <c r="CE2116"/>
  <c r="CE2124"/>
  <c r="CE2132"/>
  <c r="CE2140"/>
  <c r="CE2148"/>
  <c r="CE2156"/>
  <c r="CE2164"/>
  <c r="CE2172"/>
  <c r="CE2180"/>
  <c r="CE2188"/>
  <c r="CE2196"/>
  <c r="CE2204"/>
  <c r="CE2212"/>
  <c r="CE2220"/>
  <c r="CE2228"/>
  <c r="CE2236"/>
  <c r="CE2244"/>
  <c r="CE2252"/>
  <c r="CE2260"/>
  <c r="CE2268"/>
  <c r="CE2276"/>
  <c r="CE2284"/>
  <c r="CE2292"/>
  <c r="CE2300"/>
  <c r="CE2308"/>
  <c r="CE2316"/>
  <c r="CE2324"/>
  <c r="CE2332"/>
  <c r="CE2340"/>
  <c r="CE2348"/>
  <c r="CE2356"/>
  <c r="CE2364"/>
  <c r="CE2372"/>
  <c r="CE2380"/>
  <c r="CE2388"/>
  <c r="CE2396"/>
  <c r="CE2404"/>
  <c r="CE2412"/>
  <c r="CE2420"/>
  <c r="CE2428"/>
  <c r="CE2436"/>
  <c r="CE2444"/>
  <c r="CE2452"/>
  <c r="CE2460"/>
  <c r="CE2468"/>
  <c r="CE2476"/>
  <c r="CE2484"/>
  <c r="CE2492"/>
  <c r="CE2500"/>
  <c r="CE2508"/>
  <c r="CE2516"/>
  <c r="CE2524"/>
  <c r="CE2532"/>
  <c r="CE2540"/>
  <c r="CE2548"/>
  <c r="CE2556"/>
  <c r="CE2564"/>
  <c r="CE2572"/>
  <c r="CE2580"/>
  <c r="CE2588"/>
  <c r="CE2596"/>
  <c r="CE2604"/>
  <c r="CE2612"/>
  <c r="CE2620"/>
  <c r="CE2628"/>
  <c r="CE2636"/>
  <c r="CE2644"/>
  <c r="CE2652"/>
  <c r="CE2660"/>
  <c r="CE2668"/>
  <c r="CE2676"/>
  <c r="CE2684"/>
  <c r="CE2692"/>
  <c r="CE2700"/>
  <c r="CE2708"/>
  <c r="CE2716"/>
  <c r="CE2724"/>
  <c r="CE2732"/>
  <c r="CE2740"/>
  <c r="CE2748"/>
  <c r="CE2756"/>
  <c r="CE2764"/>
  <c r="CE2772"/>
  <c r="CE2780"/>
  <c r="CE2788"/>
  <c r="CE2796"/>
  <c r="CE2804"/>
  <c r="CE2812"/>
  <c r="CE2820"/>
  <c r="CE2828"/>
  <c r="CE2836"/>
  <c r="CE2844"/>
  <c r="CE2852"/>
  <c r="CE2860"/>
  <c r="CE2868"/>
  <c r="CE2876"/>
  <c r="CE2884"/>
  <c r="CE2892"/>
  <c r="CE2900"/>
  <c r="CE2908"/>
  <c r="CE2916"/>
  <c r="CE2924"/>
  <c r="CE2932"/>
  <c r="CE2940"/>
  <c r="CE2948"/>
  <c r="CE2956"/>
  <c r="CE2964"/>
  <c r="CE2972"/>
  <c r="CE2980"/>
  <c r="CE2988"/>
  <c r="CE2996"/>
  <c r="CE3004"/>
  <c r="CE3012"/>
  <c r="CE3020"/>
  <c r="CE3028"/>
  <c r="CE3036"/>
  <c r="CE3044"/>
  <c r="CE3052"/>
  <c r="CE3060"/>
  <c r="CE3068"/>
  <c r="CE3076"/>
  <c r="CE3084"/>
  <c r="CE3092"/>
  <c r="CE3100"/>
  <c r="CE3108"/>
  <c r="CE3116"/>
  <c r="CE3124"/>
  <c r="CE3132"/>
  <c r="CE3140"/>
  <c r="CE3148"/>
  <c r="CE3156"/>
  <c r="CE3164"/>
  <c r="CE3172"/>
  <c r="CE3180"/>
  <c r="CE3188"/>
  <c r="CE3196"/>
  <c r="CE3204"/>
  <c r="CE3212"/>
  <c r="CE3220"/>
  <c r="CE3228"/>
  <c r="CE3236"/>
  <c r="CE3244"/>
  <c r="CE3252"/>
  <c r="CE3260"/>
  <c r="CE3268"/>
  <c r="CE3276"/>
  <c r="CE3284"/>
  <c r="CE3292"/>
  <c r="CE3300"/>
  <c r="CE3308"/>
  <c r="CE3316"/>
  <c r="CE3324"/>
  <c r="CE3332"/>
  <c r="CE3340"/>
  <c r="CE3348"/>
  <c r="CE3356"/>
  <c r="CE3364"/>
  <c r="CE3372"/>
  <c r="CE3380"/>
  <c r="CE3388"/>
  <c r="CE3396"/>
  <c r="CE3404"/>
  <c r="CE3412"/>
  <c r="CE3420"/>
  <c r="CE3428"/>
  <c r="CE3436"/>
  <c r="CE3444"/>
  <c r="CE3452"/>
  <c r="CE3460"/>
  <c r="CE3468"/>
  <c r="CE3476"/>
  <c r="CE3484"/>
  <c r="CE3492"/>
  <c r="CE3500"/>
  <c r="CE3508"/>
  <c r="CE3516"/>
  <c r="CE3524"/>
  <c r="CE3532"/>
  <c r="CE3540"/>
  <c r="CE3548"/>
  <c r="CE3556"/>
  <c r="CE3564"/>
  <c r="CE3572"/>
  <c r="CE3580"/>
  <c r="CE3588"/>
  <c r="CE3596"/>
  <c r="CE3604"/>
  <c r="CE3612"/>
  <c r="CE3620"/>
  <c r="CE3628"/>
  <c r="CE3636"/>
  <c r="CE3644"/>
  <c r="CE3652"/>
  <c r="CE3660"/>
  <c r="CE3668"/>
  <c r="CE3676"/>
  <c r="CE3684"/>
  <c r="CE3692"/>
  <c r="CE3700"/>
  <c r="CE3708"/>
  <c r="CE3716"/>
  <c r="CE3724"/>
  <c r="CE3732"/>
  <c r="CE3740"/>
  <c r="CE3748"/>
  <c r="CE3756"/>
  <c r="CE3764"/>
  <c r="CE3772"/>
  <c r="CE3780"/>
  <c r="CE3788"/>
  <c r="CE3796"/>
  <c r="CE3804"/>
  <c r="CE3812"/>
  <c r="CE3820"/>
  <c r="CE3828"/>
  <c r="CE3836"/>
  <c r="CE3844"/>
  <c r="CE3852"/>
  <c r="CE3860"/>
  <c r="CE3868"/>
  <c r="CE3876"/>
  <c r="CE3884"/>
  <c r="CE3892"/>
  <c r="CE3900"/>
  <c r="CE3908"/>
  <c r="CE3916"/>
  <c r="CE3924"/>
  <c r="CE3932"/>
  <c r="CE3940"/>
  <c r="CE3948"/>
  <c r="CE3956"/>
  <c r="CE3964"/>
  <c r="CE3972"/>
  <c r="CE3980"/>
  <c r="CE3988"/>
  <c r="CE3996"/>
  <c r="CE4004"/>
  <c r="CE4012"/>
  <c r="CE4020"/>
  <c r="CE4028"/>
  <c r="CE4036"/>
  <c r="CS4"/>
  <c r="CT4" s="1"/>
  <c r="CU4" s="1"/>
  <c r="CS8"/>
  <c r="CT8" s="1"/>
  <c r="CU8" s="1"/>
  <c r="CS12"/>
  <c r="CT12" s="1"/>
  <c r="CU12" s="1"/>
  <c r="CS16"/>
  <c r="CT16" s="1"/>
  <c r="CU16" s="1"/>
  <c r="CS20"/>
  <c r="CT20" s="1"/>
  <c r="CU20" s="1"/>
  <c r="CS24"/>
  <c r="CT24" s="1"/>
  <c r="CU24" s="1"/>
  <c r="CS28"/>
  <c r="CT28" s="1"/>
  <c r="CU28" s="1"/>
  <c r="CS32"/>
  <c r="CT32" s="1"/>
  <c r="CU32" s="1"/>
  <c r="CS36"/>
  <c r="CT36" s="1"/>
  <c r="CU36" s="1"/>
  <c r="CS40"/>
  <c r="CT40" s="1"/>
  <c r="CU40" s="1"/>
  <c r="CS44"/>
  <c r="CT44" s="1"/>
  <c r="CU44" s="1"/>
  <c r="CS48"/>
  <c r="CT48" s="1"/>
  <c r="CU48" s="1"/>
  <c r="CS52"/>
  <c r="CT52" s="1"/>
  <c r="CU52" s="1"/>
  <c r="CS56"/>
  <c r="CT56" s="1"/>
  <c r="CU56" s="1"/>
  <c r="CS60"/>
  <c r="CT60" s="1"/>
  <c r="CU60" s="1"/>
  <c r="CS68"/>
  <c r="CT68" s="1"/>
  <c r="CU68" s="1"/>
  <c r="CS76"/>
  <c r="CT76" s="1"/>
  <c r="CU76" s="1"/>
  <c r="CS84"/>
  <c r="CT84" s="1"/>
  <c r="CU84" s="1"/>
  <c r="CS92"/>
  <c r="CT92" s="1"/>
  <c r="CU92" s="1"/>
  <c r="CS100"/>
  <c r="CT100" s="1"/>
  <c r="CU100" s="1"/>
  <c r="CE103"/>
  <c r="CE402"/>
  <c r="CE403"/>
  <c r="CE466"/>
  <c r="CE467"/>
  <c r="CE707"/>
  <c r="CE715"/>
  <c r="CE723"/>
  <c r="CE731"/>
  <c r="CE739"/>
  <c r="CE747"/>
  <c r="CE755"/>
  <c r="CE763"/>
  <c r="CE771"/>
  <c r="CE779"/>
  <c r="CE787"/>
  <c r="CE795"/>
  <c r="CE803"/>
  <c r="CE811"/>
  <c r="CE819"/>
  <c r="CE827"/>
  <c r="CE835"/>
  <c r="CE843"/>
  <c r="CE851"/>
  <c r="CE859"/>
  <c r="CE867"/>
  <c r="CE875"/>
  <c r="CE883"/>
  <c r="CE891"/>
  <c r="CE899"/>
  <c r="CE907"/>
  <c r="CE915"/>
  <c r="CE923"/>
  <c r="CE931"/>
  <c r="CE939"/>
  <c r="CE947"/>
  <c r="CE955"/>
  <c r="CE963"/>
  <c r="CE971"/>
  <c r="CE979"/>
  <c r="CE987"/>
  <c r="CE995"/>
  <c r="CE1003"/>
  <c r="CE1011"/>
  <c r="CE1019"/>
  <c r="CE1027"/>
  <c r="CE1035"/>
  <c r="CE1043"/>
  <c r="CE1051"/>
  <c r="CE1059"/>
  <c r="CE1067"/>
  <c r="CE1075"/>
  <c r="CE1083"/>
  <c r="CE1091"/>
  <c r="CE1099"/>
  <c r="CE1107"/>
  <c r="CE1115"/>
  <c r="CE1123"/>
  <c r="CE1131"/>
  <c r="CE1139"/>
  <c r="CE1147"/>
  <c r="CE1155"/>
  <c r="CE1163"/>
  <c r="CE1171"/>
  <c r="CE1179"/>
  <c r="CE1187"/>
  <c r="CE1195"/>
  <c r="CE1203"/>
  <c r="CE1211"/>
  <c r="CE1219"/>
  <c r="CE1227"/>
  <c r="CE1235"/>
  <c r="CE1243"/>
  <c r="CE1251"/>
  <c r="CE1259"/>
  <c r="CE1267"/>
  <c r="CE1275"/>
  <c r="CE1283"/>
  <c r="CE1291"/>
  <c r="CE1299"/>
  <c r="CE1307"/>
  <c r="CE1315"/>
  <c r="CE1323"/>
  <c r="CE1331"/>
  <c r="CE1339"/>
  <c r="CE1347"/>
  <c r="CE1355"/>
  <c r="CE1363"/>
  <c r="CE1371"/>
  <c r="CE1379"/>
  <c r="CE1387"/>
  <c r="CE1395"/>
  <c r="CE1403"/>
  <c r="CE1411"/>
  <c r="CE1419"/>
  <c r="CE1427"/>
  <c r="CE1435"/>
  <c r="CE1443"/>
  <c r="CE1451"/>
  <c r="CE1459"/>
  <c r="CE1467"/>
  <c r="CE1475"/>
  <c r="CE1483"/>
  <c r="CE1491"/>
  <c r="CE1499"/>
  <c r="CE1507"/>
  <c r="CE1515"/>
  <c r="CE1523"/>
  <c r="CE1531"/>
  <c r="CE1539"/>
  <c r="CE1547"/>
  <c r="CE1555"/>
  <c r="CE1563"/>
  <c r="CE1571"/>
  <c r="CE1579"/>
  <c r="CE1587"/>
  <c r="CE1595"/>
  <c r="CE1603"/>
  <c r="CE1611"/>
  <c r="CE1619"/>
  <c r="CE1627"/>
  <c r="CE1635"/>
  <c r="CE1643"/>
  <c r="CE1651"/>
  <c r="CE1659"/>
  <c r="CE1667"/>
  <c r="CE1675"/>
  <c r="CE1683"/>
  <c r="CE1691"/>
  <c r="CE1699"/>
  <c r="CE1707"/>
  <c r="CE1715"/>
  <c r="CE1723"/>
  <c r="CE1731"/>
  <c r="CE1739"/>
  <c r="CE1747"/>
  <c r="CE1755"/>
  <c r="CE1763"/>
  <c r="CE1771"/>
  <c r="CE1779"/>
  <c r="CE1787"/>
  <c r="CE1795"/>
  <c r="CE1803"/>
  <c r="CE1811"/>
  <c r="CE1819"/>
  <c r="CE1827"/>
  <c r="CE1835"/>
  <c r="CE1843"/>
  <c r="CE1851"/>
  <c r="CE1859"/>
  <c r="CE1867"/>
  <c r="CE1875"/>
  <c r="CE1883"/>
  <c r="CE1891"/>
  <c r="CE1899"/>
  <c r="CE1907"/>
  <c r="CE1915"/>
  <c r="CE1923"/>
  <c r="CE1931"/>
  <c r="CE1939"/>
  <c r="CE1947"/>
  <c r="CE1955"/>
  <c r="CE1963"/>
  <c r="CE1971"/>
  <c r="CE1979"/>
  <c r="CE1987"/>
  <c r="CE1995"/>
  <c r="CE2003"/>
  <c r="CE2011"/>
  <c r="CE2019"/>
  <c r="CE2027"/>
  <c r="CE2035"/>
  <c r="CE2043"/>
  <c r="CE2051"/>
  <c r="CE2059"/>
  <c r="CE2067"/>
  <c r="CE2075"/>
  <c r="CE2083"/>
  <c r="CE2091"/>
  <c r="CE2099"/>
  <c r="CE2107"/>
  <c r="CE2115"/>
  <c r="CE2123"/>
  <c r="CE2131"/>
  <c r="CE2139"/>
  <c r="CE2147"/>
  <c r="CE2155"/>
  <c r="CE2163"/>
  <c r="CE2171"/>
  <c r="CE2179"/>
  <c r="CE2187"/>
  <c r="CE2195"/>
  <c r="CE2203"/>
  <c r="CE2211"/>
  <c r="CE2219"/>
  <c r="CE2227"/>
  <c r="CE2235"/>
  <c r="CE2243"/>
  <c r="CE2251"/>
  <c r="CE2259"/>
  <c r="CE2267"/>
  <c r="CE2275"/>
  <c r="CE2283"/>
  <c r="CE2291"/>
  <c r="CE2299"/>
  <c r="CE2307"/>
  <c r="CE2315"/>
  <c r="CE2323"/>
  <c r="CE2331"/>
  <c r="CE2339"/>
  <c r="CE2347"/>
  <c r="CE2355"/>
  <c r="CE2363"/>
  <c r="CE2371"/>
  <c r="CE2379"/>
  <c r="CE2387"/>
  <c r="CE2395"/>
  <c r="CE2403"/>
  <c r="CE2411"/>
  <c r="CE2419"/>
  <c r="CE2427"/>
  <c r="CE2435"/>
  <c r="CE2443"/>
  <c r="CE2451"/>
  <c r="CE2459"/>
  <c r="CE2467"/>
  <c r="CE2475"/>
  <c r="CE2483"/>
  <c r="CE2491"/>
  <c r="CE2499"/>
  <c r="CE2507"/>
  <c r="CE2515"/>
  <c r="CE2523"/>
  <c r="CE2531"/>
  <c r="CE2539"/>
  <c r="CE2547"/>
  <c r="CE2555"/>
  <c r="CE2563"/>
  <c r="CE2571"/>
  <c r="CE2579"/>
  <c r="CE2587"/>
  <c r="CE2595"/>
  <c r="CE2603"/>
  <c r="CE2611"/>
  <c r="CE2619"/>
  <c r="CE2627"/>
  <c r="CE2635"/>
  <c r="CE2643"/>
  <c r="CE2651"/>
  <c r="CE2659"/>
  <c r="CE2667"/>
  <c r="CE2675"/>
  <c r="CE2683"/>
  <c r="CE2691"/>
  <c r="CE2699"/>
  <c r="CE2707"/>
  <c r="CE2715"/>
  <c r="CE2723"/>
  <c r="CE2731"/>
  <c r="CE2739"/>
  <c r="CE2747"/>
  <c r="CE2755"/>
  <c r="CE2763"/>
  <c r="CE2771"/>
  <c r="CE2779"/>
  <c r="CE2787"/>
  <c r="CE2795"/>
  <c r="CE2803"/>
  <c r="CE2811"/>
  <c r="CE2819"/>
  <c r="CE2827"/>
  <c r="CE2835"/>
  <c r="CE2843"/>
  <c r="CE2851"/>
  <c r="CE2859"/>
  <c r="CE2867"/>
  <c r="CE2875"/>
  <c r="CE2883"/>
  <c r="CE2891"/>
  <c r="CE2899"/>
  <c r="CE2907"/>
  <c r="CE2915"/>
  <c r="CE2923"/>
  <c r="CE2931"/>
  <c r="CE2939"/>
  <c r="CE2947"/>
  <c r="CE2955"/>
  <c r="CE2963"/>
  <c r="CE2971"/>
  <c r="CE2979"/>
  <c r="CE2987"/>
  <c r="CE2995"/>
  <c r="CE3003"/>
  <c r="CE3011"/>
  <c r="CE3019"/>
  <c r="CE3027"/>
  <c r="CE3035"/>
  <c r="CE3043"/>
  <c r="CE3051"/>
  <c r="CE3059"/>
  <c r="CE3067"/>
  <c r="CE3075"/>
  <c r="CE3083"/>
  <c r="CE3091"/>
  <c r="CE3099"/>
  <c r="CE3107"/>
  <c r="CE3115"/>
  <c r="CE3123"/>
  <c r="CE3131"/>
  <c r="CE3139"/>
  <c r="CE3147"/>
  <c r="CE3155"/>
  <c r="CE3163"/>
  <c r="CE3171"/>
  <c r="CE3179"/>
  <c r="CE3187"/>
  <c r="CE3195"/>
  <c r="CE3203"/>
  <c r="CE3211"/>
  <c r="CE3219"/>
  <c r="CE3227"/>
  <c r="CE3235"/>
  <c r="CE3243"/>
  <c r="CE3251"/>
  <c r="CE3259"/>
  <c r="CE3267"/>
  <c r="CE3275"/>
  <c r="CE3283"/>
  <c r="CE3291"/>
  <c r="CE3299"/>
  <c r="CE3307"/>
  <c r="CE3315"/>
  <c r="CE3323"/>
  <c r="CE3331"/>
  <c r="CE3339"/>
  <c r="CE3347"/>
  <c r="CE3355"/>
  <c r="CE3363"/>
  <c r="CE3371"/>
  <c r="CE3379"/>
  <c r="CE3387"/>
  <c r="CE3395"/>
  <c r="CE3403"/>
  <c r="CE3411"/>
  <c r="CE3419"/>
  <c r="CE3427"/>
  <c r="CE3435"/>
  <c r="CE3443"/>
  <c r="CE3451"/>
  <c r="CE3459"/>
  <c r="CE3467"/>
  <c r="CE3475"/>
  <c r="CE3483"/>
  <c r="CE3491"/>
  <c r="CE3499"/>
  <c r="CE3507"/>
  <c r="CE3515"/>
  <c r="CE3523"/>
  <c r="CE3531"/>
  <c r="CE3539"/>
  <c r="CE3547"/>
  <c r="CE3555"/>
  <c r="CE3563"/>
  <c r="CE3571"/>
  <c r="CE3579"/>
  <c r="CE3587"/>
  <c r="CE3595"/>
  <c r="CE3603"/>
  <c r="CE3611"/>
  <c r="CE3619"/>
  <c r="CE3627"/>
  <c r="CE3635"/>
  <c r="CE3643"/>
  <c r="CE3651"/>
  <c r="CE3659"/>
  <c r="CE3667"/>
  <c r="CE3675"/>
  <c r="CE3683"/>
  <c r="CE3691"/>
  <c r="CE3699"/>
  <c r="CE3707"/>
  <c r="CE3715"/>
  <c r="CE3723"/>
  <c r="CE3731"/>
  <c r="CE3739"/>
  <c r="CE3747"/>
  <c r="CE3755"/>
  <c r="CE3763"/>
  <c r="CE3771"/>
  <c r="CE3779"/>
  <c r="CE3787"/>
  <c r="CE3795"/>
  <c r="CE3803"/>
  <c r="CE3811"/>
  <c r="CE3819"/>
  <c r="CE3827"/>
  <c r="CE3835"/>
  <c r="CE3843"/>
  <c r="CE3851"/>
  <c r="CE3859"/>
  <c r="CE3867"/>
  <c r="CE3875"/>
  <c r="CE3883"/>
  <c r="CE3891"/>
  <c r="CE3899"/>
  <c r="CE3907"/>
  <c r="CE3915"/>
  <c r="CE3923"/>
  <c r="CE3931"/>
  <c r="CE3939"/>
  <c r="CE3947"/>
  <c r="CE3955"/>
  <c r="CE3963"/>
  <c r="CE3971"/>
  <c r="CE3979"/>
  <c r="CE3987"/>
  <c r="CE3995"/>
  <c r="CE4003"/>
  <c r="CE4011"/>
  <c r="CE4019"/>
  <c r="CE4027"/>
  <c r="CE4035"/>
  <c r="CS67"/>
  <c r="CT67" s="1"/>
  <c r="CU67" s="1"/>
  <c r="CS75"/>
  <c r="CT75" s="1"/>
  <c r="CU75" s="1"/>
  <c r="CS83"/>
  <c r="CT83" s="1"/>
  <c r="CU83" s="1"/>
  <c r="CS91"/>
  <c r="CT91" s="1"/>
  <c r="CU91" s="1"/>
  <c r="CS99"/>
  <c r="CT99" s="1"/>
  <c r="CU99" s="1"/>
  <c r="CE486"/>
  <c r="CE487"/>
  <c r="CE720"/>
  <c r="CE736"/>
  <c r="CE752"/>
  <c r="CE768"/>
  <c r="CE784"/>
  <c r="CE800"/>
  <c r="CE816"/>
  <c r="CE832"/>
  <c r="CE848"/>
  <c r="CE864"/>
  <c r="CE880"/>
  <c r="CE896"/>
  <c r="CE912"/>
  <c r="CE928"/>
  <c r="CE944"/>
  <c r="CE960"/>
  <c r="CE976"/>
  <c r="CE992"/>
  <c r="CE1008"/>
  <c r="CE1024"/>
  <c r="CE1040"/>
  <c r="CE1056"/>
  <c r="CE1072"/>
  <c r="CE1088"/>
  <c r="CE1104"/>
  <c r="CE1120"/>
  <c r="CE1136"/>
  <c r="CE1152"/>
  <c r="CE1168"/>
  <c r="CE1184"/>
  <c r="CE1200"/>
  <c r="CE1216"/>
  <c r="CE1232"/>
  <c r="CE1248"/>
  <c r="CE1264"/>
  <c r="CE1280"/>
  <c r="CE1296"/>
  <c r="CE1312"/>
  <c r="CE1328"/>
  <c r="CE1344"/>
  <c r="CE1360"/>
  <c r="CE1376"/>
  <c r="CE1392"/>
  <c r="CE1408"/>
  <c r="CE1424"/>
  <c r="CE1440"/>
  <c r="CE1456"/>
  <c r="CE1472"/>
  <c r="CE1488"/>
  <c r="CE1504"/>
  <c r="CE1520"/>
  <c r="CE1536"/>
  <c r="CE1552"/>
  <c r="CE1568"/>
  <c r="CE1584"/>
  <c r="CE1600"/>
  <c r="CE1616"/>
  <c r="CE1632"/>
  <c r="CE1648"/>
  <c r="CE1664"/>
  <c r="CE1680"/>
  <c r="CE1696"/>
  <c r="CE1712"/>
  <c r="CE1728"/>
  <c r="CE1744"/>
  <c r="CE1760"/>
  <c r="CE1776"/>
  <c r="CE1792"/>
  <c r="CE1808"/>
  <c r="CE1824"/>
  <c r="CE1840"/>
  <c r="CE1856"/>
  <c r="CE1872"/>
  <c r="CE1888"/>
  <c r="CE1904"/>
  <c r="CE1920"/>
  <c r="CE1936"/>
  <c r="CE1952"/>
  <c r="CE1968"/>
  <c r="CE1984"/>
  <c r="CE2000"/>
  <c r="CE2016"/>
  <c r="CE2032"/>
  <c r="CE2048"/>
  <c r="CE2064"/>
  <c r="CE2080"/>
  <c r="CE2096"/>
  <c r="CE2112"/>
  <c r="CE2128"/>
  <c r="CE2144"/>
  <c r="CE2160"/>
  <c r="CE2176"/>
  <c r="CE2192"/>
  <c r="CE2208"/>
  <c r="CE2224"/>
  <c r="CE2240"/>
  <c r="CE2256"/>
  <c r="CE2272"/>
  <c r="CE2288"/>
  <c r="CE2304"/>
  <c r="CE2320"/>
  <c r="CE2336"/>
  <c r="CE2352"/>
  <c r="CE2368"/>
  <c r="CE2384"/>
  <c r="CE2400"/>
  <c r="CE2416"/>
  <c r="CE2432"/>
  <c r="CE2448"/>
  <c r="CE2464"/>
  <c r="CE2480"/>
  <c r="CE2496"/>
  <c r="CE2512"/>
  <c r="CE2528"/>
  <c r="CE2544"/>
  <c r="CE2560"/>
  <c r="CE2576"/>
  <c r="CE2592"/>
  <c r="CE2608"/>
  <c r="CE2624"/>
  <c r="CE2640"/>
  <c r="CE2656"/>
  <c r="CE2672"/>
  <c r="CE2688"/>
  <c r="CE2704"/>
  <c r="CE2720"/>
  <c r="CE2736"/>
  <c r="CE2752"/>
  <c r="CE2768"/>
  <c r="CE2784"/>
  <c r="CE2800"/>
  <c r="CE2816"/>
  <c r="CE2832"/>
  <c r="CE2848"/>
  <c r="CE2864"/>
  <c r="CE2880"/>
  <c r="CE2896"/>
  <c r="CE2912"/>
  <c r="CE2928"/>
  <c r="CE2944"/>
  <c r="CE2960"/>
  <c r="CE2976"/>
  <c r="CE2992"/>
  <c r="CE3008"/>
  <c r="CE3024"/>
  <c r="CE3040"/>
  <c r="CE3056"/>
  <c r="CE3072"/>
  <c r="CE3088"/>
  <c r="CE3104"/>
  <c r="CE3120"/>
  <c r="CE3136"/>
  <c r="CE3152"/>
  <c r="CE3168"/>
  <c r="CE3184"/>
  <c r="CE3200"/>
  <c r="CE3216"/>
  <c r="CE3232"/>
  <c r="CE3248"/>
  <c r="CE3264"/>
  <c r="CE3280"/>
  <c r="CE3296"/>
  <c r="CE3312"/>
  <c r="CE3328"/>
  <c r="CE3344"/>
  <c r="CE3360"/>
  <c r="CE3376"/>
  <c r="CE3392"/>
  <c r="CE3408"/>
  <c r="CE3424"/>
  <c r="CE3440"/>
  <c r="CE3456"/>
  <c r="CE3472"/>
  <c r="CE3488"/>
  <c r="CE3504"/>
  <c r="CE3520"/>
  <c r="CE3536"/>
  <c r="CE3552"/>
  <c r="CE3568"/>
  <c r="CE3584"/>
  <c r="CE3600"/>
  <c r="CE3616"/>
  <c r="CE3632"/>
  <c r="CE3648"/>
  <c r="CE3664"/>
  <c r="CE3680"/>
  <c r="CE3696"/>
  <c r="CE3712"/>
  <c r="CE3728"/>
  <c r="CE3744"/>
  <c r="CE3760"/>
  <c r="CE3776"/>
  <c r="CE3792"/>
  <c r="CE3808"/>
  <c r="CE3824"/>
  <c r="CE3840"/>
  <c r="CE3856"/>
  <c r="CE3872"/>
  <c r="CE3888"/>
  <c r="CE3904"/>
  <c r="CE3920"/>
  <c r="CE3936"/>
  <c r="CE3952"/>
  <c r="CE3968"/>
  <c r="CE3984"/>
  <c r="CE4000"/>
  <c r="CE4016"/>
  <c r="CE4032"/>
  <c r="CS63"/>
  <c r="CT63" s="1"/>
  <c r="CU63" s="1"/>
  <c r="CS79"/>
  <c r="CT79" s="1"/>
  <c r="CU79" s="1"/>
  <c r="CS95"/>
  <c r="CT95" s="1"/>
  <c r="CU95" s="1"/>
  <c r="CE423"/>
  <c r="CE626"/>
  <c r="CE651"/>
  <c r="CE686"/>
  <c r="CE195"/>
  <c r="CE196"/>
  <c r="CE219"/>
  <c r="CE220"/>
  <c r="CE719"/>
  <c r="CE735"/>
  <c r="CE751"/>
  <c r="CE767"/>
  <c r="CE783"/>
  <c r="CE799"/>
  <c r="CE815"/>
  <c r="CE831"/>
  <c r="CE847"/>
  <c r="CE863"/>
  <c r="CE879"/>
  <c r="CE895"/>
  <c r="CE911"/>
  <c r="CE927"/>
  <c r="CE943"/>
  <c r="CE959"/>
  <c r="CE975"/>
  <c r="CE991"/>
  <c r="CE1007"/>
  <c r="CE1023"/>
  <c r="CE1039"/>
  <c r="CE1055"/>
  <c r="CE1071"/>
  <c r="CE1087"/>
  <c r="CE1103"/>
  <c r="CE1119"/>
  <c r="CE1135"/>
  <c r="CE1151"/>
  <c r="CE1167"/>
  <c r="CE1183"/>
  <c r="CE1199"/>
  <c r="CE1215"/>
  <c r="CE1231"/>
  <c r="CE1247"/>
  <c r="CE1263"/>
  <c r="CE1279"/>
  <c r="CE1295"/>
  <c r="CE1311"/>
  <c r="CE1327"/>
  <c r="CE1343"/>
  <c r="CE1359"/>
  <c r="CE1375"/>
  <c r="CE1391"/>
  <c r="CE1407"/>
  <c r="CE1423"/>
  <c r="CE1439"/>
  <c r="CE1455"/>
  <c r="CE1471"/>
  <c r="CE1487"/>
  <c r="CE1503"/>
  <c r="CE1519"/>
  <c r="CE1535"/>
  <c r="CE1551"/>
  <c r="CE1567"/>
  <c r="CE1583"/>
  <c r="CE1599"/>
  <c r="CE1615"/>
  <c r="CE1631"/>
  <c r="CE1647"/>
  <c r="CE1663"/>
  <c r="CE1679"/>
  <c r="CE1695"/>
  <c r="CE1711"/>
  <c r="CE1727"/>
  <c r="CE1743"/>
  <c r="CE1759"/>
  <c r="CE1775"/>
  <c r="CE1791"/>
  <c r="CE1807"/>
  <c r="CE1823"/>
  <c r="CE1839"/>
  <c r="CE1855"/>
  <c r="CE1871"/>
  <c r="CE1887"/>
  <c r="CE1903"/>
  <c r="CE1919"/>
  <c r="CE1935"/>
  <c r="CE1951"/>
  <c r="CE1967"/>
  <c r="CE1983"/>
  <c r="CE1999"/>
  <c r="CE2015"/>
  <c r="CE2031"/>
  <c r="CE2047"/>
  <c r="CE2063"/>
  <c r="CE2079"/>
  <c r="CE2095"/>
  <c r="CE2111"/>
  <c r="CE2127"/>
  <c r="CE2143"/>
  <c r="CE2159"/>
  <c r="CE2175"/>
  <c r="CE2191"/>
  <c r="CE2207"/>
  <c r="CE2223"/>
  <c r="CE2239"/>
  <c r="CE2255"/>
  <c r="CE2271"/>
  <c r="CE2287"/>
  <c r="CE2303"/>
  <c r="CE2319"/>
  <c r="CE2335"/>
  <c r="CE2351"/>
  <c r="CE2367"/>
  <c r="CE2383"/>
  <c r="CE2399"/>
  <c r="CE2415"/>
  <c r="CE2431"/>
  <c r="CE2447"/>
  <c r="CE2463"/>
  <c r="CE2479"/>
  <c r="CE2495"/>
  <c r="CE2511"/>
  <c r="CE2527"/>
  <c r="CE2543"/>
  <c r="CE2559"/>
  <c r="CE2575"/>
  <c r="CE2591"/>
  <c r="CE2607"/>
  <c r="CE2623"/>
  <c r="CE2639"/>
  <c r="CE2655"/>
  <c r="CE2671"/>
  <c r="CE2687"/>
  <c r="CE2703"/>
  <c r="CE2719"/>
  <c r="CE2735"/>
  <c r="CE2751"/>
  <c r="CE2767"/>
  <c r="CE2783"/>
  <c r="CE2799"/>
  <c r="CE2815"/>
  <c r="CE2831"/>
  <c r="CE2847"/>
  <c r="CE2863"/>
  <c r="CE2879"/>
  <c r="CE2895"/>
  <c r="CE2911"/>
  <c r="CE2927"/>
  <c r="CE2943"/>
  <c r="CE2959"/>
  <c r="CE2975"/>
  <c r="CE2991"/>
  <c r="CE3007"/>
  <c r="CE3023"/>
  <c r="CE3039"/>
  <c r="CE3055"/>
  <c r="CE3071"/>
  <c r="CE3087"/>
  <c r="CE3103"/>
  <c r="CE3119"/>
  <c r="CE3135"/>
  <c r="CE3151"/>
  <c r="CE3167"/>
  <c r="CE3183"/>
  <c r="CE3199"/>
  <c r="CE3215"/>
  <c r="CE3231"/>
  <c r="CE3247"/>
  <c r="CE3263"/>
  <c r="CE3279"/>
  <c r="CE3295"/>
  <c r="CE3311"/>
  <c r="CE3327"/>
  <c r="CE3343"/>
  <c r="CE3359"/>
  <c r="CE3375"/>
  <c r="CE3391"/>
  <c r="CE3407"/>
  <c r="CE3423"/>
  <c r="CE3439"/>
  <c r="CE3455"/>
  <c r="CE3471"/>
  <c r="CE3487"/>
  <c r="CE3503"/>
  <c r="CE3519"/>
  <c r="CE3535"/>
  <c r="CE3551"/>
  <c r="CE3567"/>
  <c r="CE3583"/>
  <c r="CE3599"/>
  <c r="CE3615"/>
  <c r="CE3631"/>
  <c r="CE3647"/>
  <c r="CE3663"/>
  <c r="CE3679"/>
  <c r="CE3695"/>
  <c r="CE3711"/>
  <c r="CE3727"/>
  <c r="CE3743"/>
  <c r="CE3759"/>
  <c r="CE3775"/>
  <c r="CE3791"/>
  <c r="CE3807"/>
  <c r="CE3823"/>
  <c r="CE3839"/>
  <c r="CE3855"/>
  <c r="CE3871"/>
  <c r="CE3887"/>
  <c r="CE3903"/>
  <c r="CE3919"/>
  <c r="CE3935"/>
  <c r="CE3951"/>
  <c r="CE3967"/>
  <c r="CE3983"/>
  <c r="CE3999"/>
  <c r="CE4015"/>
  <c r="CE4031"/>
  <c r="CS10"/>
  <c r="CT10" s="1"/>
  <c r="CU10" s="1"/>
  <c r="CS18"/>
  <c r="CT18" s="1"/>
  <c r="CU18" s="1"/>
  <c r="CS26"/>
  <c r="CT26" s="1"/>
  <c r="CU26" s="1"/>
  <c r="CS34"/>
  <c r="CT34" s="1"/>
  <c r="CU34" s="1"/>
  <c r="CS42"/>
  <c r="CT42" s="1"/>
  <c r="CU42" s="1"/>
  <c r="CS50"/>
  <c r="CT50" s="1"/>
  <c r="CU50" s="1"/>
  <c r="CS58"/>
  <c r="CT58" s="1"/>
  <c r="CU58" s="1"/>
  <c r="CS72"/>
  <c r="CT72" s="1"/>
  <c r="CU72" s="1"/>
  <c r="CS88"/>
  <c r="CT88" s="1"/>
  <c r="CU88" s="1"/>
  <c r="BY31"/>
  <c r="CE422"/>
  <c r="CE627"/>
  <c r="CE650"/>
  <c r="CE687"/>
  <c r="CE728"/>
  <c r="CE760"/>
  <c r="CE792"/>
  <c r="CE824"/>
  <c r="CE856"/>
  <c r="CE888"/>
  <c r="CE920"/>
  <c r="CE952"/>
  <c r="CE984"/>
  <c r="CE1016"/>
  <c r="CE1048"/>
  <c r="CE1080"/>
  <c r="CE1112"/>
  <c r="CE1144"/>
  <c r="CE1176"/>
  <c r="CE1208"/>
  <c r="CE1240"/>
  <c r="CE1272"/>
  <c r="CE1304"/>
  <c r="CE1336"/>
  <c r="CE1368"/>
  <c r="CE1400"/>
  <c r="CE1432"/>
  <c r="CE1464"/>
  <c r="CE1496"/>
  <c r="CE1528"/>
  <c r="CE1560"/>
  <c r="CE1592"/>
  <c r="CE1624"/>
  <c r="CE1656"/>
  <c r="CE1688"/>
  <c r="CE1720"/>
  <c r="CE1752"/>
  <c r="CE1784"/>
  <c r="CE1816"/>
  <c r="CE1848"/>
  <c r="CE1880"/>
  <c r="CE1912"/>
  <c r="CE1944"/>
  <c r="CE1976"/>
  <c r="CE2008"/>
  <c r="CE2040"/>
  <c r="CE2072"/>
  <c r="CE2104"/>
  <c r="CE2136"/>
  <c r="CE2168"/>
  <c r="CE2200"/>
  <c r="CE2232"/>
  <c r="CE2264"/>
  <c r="CE2296"/>
  <c r="CE2328"/>
  <c r="CE2360"/>
  <c r="CE2392"/>
  <c r="CE2424"/>
  <c r="CE2456"/>
  <c r="CE2488"/>
  <c r="CE2520"/>
  <c r="CE2552"/>
  <c r="CE2584"/>
  <c r="CE2616"/>
  <c r="CE2648"/>
  <c r="CE2680"/>
  <c r="CE2712"/>
  <c r="CE2744"/>
  <c r="CE2776"/>
  <c r="CE2808"/>
  <c r="CE2840"/>
  <c r="CE2872"/>
  <c r="CE2904"/>
  <c r="CE2936"/>
  <c r="CE2968"/>
  <c r="CE3000"/>
  <c r="CE3032"/>
  <c r="CE3064"/>
  <c r="CE3096"/>
  <c r="CE3128"/>
  <c r="CE3160"/>
  <c r="CE3192"/>
  <c r="CE3224"/>
  <c r="CE3256"/>
  <c r="CE3288"/>
  <c r="CE3320"/>
  <c r="CE3352"/>
  <c r="CE3384"/>
  <c r="CE3416"/>
  <c r="CE3448"/>
  <c r="CE3480"/>
  <c r="CE3512"/>
  <c r="CE3544"/>
  <c r="CE3576"/>
  <c r="CE3608"/>
  <c r="CE3640"/>
  <c r="CE3672"/>
  <c r="CE3704"/>
  <c r="CE3736"/>
  <c r="CE3768"/>
  <c r="CE3800"/>
  <c r="CE3832"/>
  <c r="CE3864"/>
  <c r="CE3896"/>
  <c r="CE3928"/>
  <c r="CE3960"/>
  <c r="CE3992"/>
  <c r="CE4024"/>
  <c r="CS71"/>
  <c r="CT71" s="1"/>
  <c r="CU71" s="1"/>
  <c r="CE759"/>
  <c r="CE823"/>
  <c r="CE887"/>
  <c r="CE951"/>
  <c r="CE1015"/>
  <c r="CE1079"/>
  <c r="CE1175"/>
  <c r="CE1239"/>
  <c r="CE1303"/>
  <c r="CE1367"/>
  <c r="CE1431"/>
  <c r="CE1495"/>
  <c r="CE1559"/>
  <c r="CE1623"/>
  <c r="CE1687"/>
  <c r="CE1751"/>
  <c r="CE1815"/>
  <c r="CE1879"/>
  <c r="CE1943"/>
  <c r="CE2007"/>
  <c r="CE2071"/>
  <c r="CE2135"/>
  <c r="CE2199"/>
  <c r="CE2263"/>
  <c r="CE2327"/>
  <c r="CE2391"/>
  <c r="CE711"/>
  <c r="CE743"/>
  <c r="CE775"/>
  <c r="CE807"/>
  <c r="CE839"/>
  <c r="CE871"/>
  <c r="CE903"/>
  <c r="CE935"/>
  <c r="CE967"/>
  <c r="CE999"/>
  <c r="CE1031"/>
  <c r="CE1063"/>
  <c r="CE1095"/>
  <c r="CE1127"/>
  <c r="CE1159"/>
  <c r="CE1191"/>
  <c r="CE1223"/>
  <c r="CE1255"/>
  <c r="CE1287"/>
  <c r="CE1319"/>
  <c r="CE1351"/>
  <c r="CE1383"/>
  <c r="CE1415"/>
  <c r="CE1447"/>
  <c r="CE1479"/>
  <c r="CE1511"/>
  <c r="CE1543"/>
  <c r="CE1575"/>
  <c r="CE1607"/>
  <c r="CE1639"/>
  <c r="CE1671"/>
  <c r="CE1703"/>
  <c r="CE1735"/>
  <c r="CE1767"/>
  <c r="CE1799"/>
  <c r="CE1831"/>
  <c r="CE1863"/>
  <c r="CE1895"/>
  <c r="CE1927"/>
  <c r="CE1959"/>
  <c r="CE1991"/>
  <c r="CE2023"/>
  <c r="CE2055"/>
  <c r="CE2087"/>
  <c r="CE2119"/>
  <c r="CE2151"/>
  <c r="CE2183"/>
  <c r="CE2215"/>
  <c r="CE2247"/>
  <c r="CE2279"/>
  <c r="CE2311"/>
  <c r="CE2343"/>
  <c r="CE2375"/>
  <c r="CE2407"/>
  <c r="CE2439"/>
  <c r="CE2471"/>
  <c r="CE2503"/>
  <c r="CE2535"/>
  <c r="CE2567"/>
  <c r="CE2599"/>
  <c r="CE2631"/>
  <c r="CE2663"/>
  <c r="CE2695"/>
  <c r="CE2727"/>
  <c r="CE2759"/>
  <c r="CE2791"/>
  <c r="CE2823"/>
  <c r="CE2855"/>
  <c r="CE2887"/>
  <c r="CE2919"/>
  <c r="CE2951"/>
  <c r="CE2983"/>
  <c r="CE3015"/>
  <c r="CE3047"/>
  <c r="CE3079"/>
  <c r="CE3111"/>
  <c r="CE3143"/>
  <c r="CE3175"/>
  <c r="CE3207"/>
  <c r="CE3239"/>
  <c r="CE3271"/>
  <c r="CE3303"/>
  <c r="CE3335"/>
  <c r="CE3367"/>
  <c r="CE3399"/>
  <c r="CE3431"/>
  <c r="CE3463"/>
  <c r="CE3495"/>
  <c r="CE3527"/>
  <c r="CE3559"/>
  <c r="CE3591"/>
  <c r="CE3623"/>
  <c r="CE3655"/>
  <c r="CE3687"/>
  <c r="CE3719"/>
  <c r="CE3751"/>
  <c r="CE3783"/>
  <c r="CE3815"/>
  <c r="CE3847"/>
  <c r="CE3879"/>
  <c r="CE3911"/>
  <c r="CE3943"/>
  <c r="CE3975"/>
  <c r="CE4007"/>
  <c r="CE4039"/>
  <c r="CS6"/>
  <c r="CT6" s="1"/>
  <c r="CU6" s="1"/>
  <c r="CS22"/>
  <c r="CT22" s="1"/>
  <c r="CU22" s="1"/>
  <c r="CS38"/>
  <c r="CT38" s="1"/>
  <c r="CU38" s="1"/>
  <c r="CS54"/>
  <c r="CT54" s="1"/>
  <c r="CU54" s="1"/>
  <c r="CS80"/>
  <c r="CT80" s="1"/>
  <c r="CU80" s="1"/>
  <c r="CE727"/>
  <c r="CE791"/>
  <c r="CE855"/>
  <c r="CE919"/>
  <c r="CE983"/>
  <c r="CE1047"/>
  <c r="CE1111"/>
  <c r="CE1143"/>
  <c r="CE1207"/>
  <c r="CE1271"/>
  <c r="CE1335"/>
  <c r="CE1399"/>
  <c r="CE1463"/>
  <c r="CE1527"/>
  <c r="CE1591"/>
  <c r="CE1655"/>
  <c r="CE1719"/>
  <c r="CE1783"/>
  <c r="CE1847"/>
  <c r="CE1911"/>
  <c r="CE1975"/>
  <c r="CE2039"/>
  <c r="CE2103"/>
  <c r="CE2167"/>
  <c r="CE2231"/>
  <c r="CE2295"/>
  <c r="CE2359"/>
  <c r="CE808"/>
  <c r="CE936"/>
  <c r="CE1064"/>
  <c r="CE1192"/>
  <c r="CE1320"/>
  <c r="CE1448"/>
  <c r="CE1576"/>
  <c r="CE1704"/>
  <c r="CE1832"/>
  <c r="CE1960"/>
  <c r="CE2088"/>
  <c r="CE2216"/>
  <c r="CE2344"/>
  <c r="CE2440"/>
  <c r="CE2504"/>
  <c r="CE2568"/>
  <c r="CE2632"/>
  <c r="CE2696"/>
  <c r="CE2760"/>
  <c r="CE2824"/>
  <c r="CE2888"/>
  <c r="CE2952"/>
  <c r="CE3016"/>
  <c r="CE3080"/>
  <c r="CE3144"/>
  <c r="CE3208"/>
  <c r="CE3272"/>
  <c r="CE3336"/>
  <c r="CE3400"/>
  <c r="CE3464"/>
  <c r="CE3528"/>
  <c r="CE3592"/>
  <c r="CE3656"/>
  <c r="CE3720"/>
  <c r="CE3784"/>
  <c r="CE3848"/>
  <c r="CE3912"/>
  <c r="CE3976"/>
  <c r="CE4040"/>
  <c r="CE776"/>
  <c r="CE1032"/>
  <c r="CE1416"/>
  <c r="CE1672"/>
  <c r="CE1928"/>
  <c r="CE2184"/>
  <c r="CE2423"/>
  <c r="CE2551"/>
  <c r="CE2679"/>
  <c r="CE2807"/>
  <c r="CE2935"/>
  <c r="CE3063"/>
  <c r="CE3191"/>
  <c r="CE3319"/>
  <c r="CE3447"/>
  <c r="CE3575"/>
  <c r="CE3703"/>
  <c r="CE3831"/>
  <c r="CE3959"/>
  <c r="CS46"/>
  <c r="CT46" s="1"/>
  <c r="CU46" s="1"/>
  <c r="CE872"/>
  <c r="CE1128"/>
  <c r="CE1384"/>
  <c r="CE1640"/>
  <c r="CE1896"/>
  <c r="CE2152"/>
  <c r="CE2408"/>
  <c r="CE2536"/>
  <c r="CE2664"/>
  <c r="CE2792"/>
  <c r="CE2920"/>
  <c r="CE3048"/>
  <c r="CE3176"/>
  <c r="CE3304"/>
  <c r="CE3432"/>
  <c r="CE3560"/>
  <c r="CE3688"/>
  <c r="CE3816"/>
  <c r="CE3944"/>
  <c r="CE712"/>
  <c r="CE840"/>
  <c r="CE968"/>
  <c r="CE1096"/>
  <c r="CE1224"/>
  <c r="CE1352"/>
  <c r="CE1480"/>
  <c r="CE1608"/>
  <c r="CE1736"/>
  <c r="CE1864"/>
  <c r="CE1992"/>
  <c r="CE2120"/>
  <c r="CE2248"/>
  <c r="CE2376"/>
  <c r="CE2455"/>
  <c r="CE2519"/>
  <c r="CE2583"/>
  <c r="CE2647"/>
  <c r="CE2711"/>
  <c r="CE2775"/>
  <c r="CE2839"/>
  <c r="CE2903"/>
  <c r="CE2967"/>
  <c r="CE3031"/>
  <c r="CE3095"/>
  <c r="CE3159"/>
  <c r="CE3223"/>
  <c r="CE3287"/>
  <c r="CE3351"/>
  <c r="CE3415"/>
  <c r="CE3479"/>
  <c r="CE3543"/>
  <c r="CE3607"/>
  <c r="CE3671"/>
  <c r="CE3735"/>
  <c r="CE3799"/>
  <c r="CE3863"/>
  <c r="CE3927"/>
  <c r="CE3991"/>
  <c r="CS30"/>
  <c r="CT30" s="1"/>
  <c r="CU30" s="1"/>
  <c r="CS64"/>
  <c r="CT64" s="1"/>
  <c r="CU64" s="1"/>
  <c r="CE904"/>
  <c r="CE1160"/>
  <c r="CE1288"/>
  <c r="CE1544"/>
  <c r="CE1800"/>
  <c r="CE2056"/>
  <c r="CE2312"/>
  <c r="CE2487"/>
  <c r="CE2615"/>
  <c r="CE2743"/>
  <c r="CE2871"/>
  <c r="CE2999"/>
  <c r="CE3127"/>
  <c r="CE3255"/>
  <c r="CE3383"/>
  <c r="CE3511"/>
  <c r="CE3639"/>
  <c r="CE3767"/>
  <c r="CE3895"/>
  <c r="CE4023"/>
  <c r="CS14"/>
  <c r="CT14" s="1"/>
  <c r="CU14" s="1"/>
  <c r="CS96"/>
  <c r="CT96" s="1"/>
  <c r="CU96" s="1"/>
  <c r="CE744"/>
  <c r="CE1000"/>
  <c r="CE1256"/>
  <c r="CE1512"/>
  <c r="CE1768"/>
  <c r="CE2024"/>
  <c r="CE2280"/>
  <c r="CE2472"/>
  <c r="CE2600"/>
  <c r="CE2728"/>
  <c r="CE2856"/>
  <c r="CE2984"/>
  <c r="CE3112"/>
  <c r="CE3240"/>
  <c r="CE3368"/>
  <c r="CE3496"/>
  <c r="CE3624"/>
  <c r="CE3752"/>
  <c r="CE3880"/>
  <c r="CE4008"/>
  <c r="CS87"/>
  <c r="CT87" s="1"/>
  <c r="CU87" s="1"/>
  <c r="AL80" i="8"/>
  <c r="AM80" s="1"/>
  <c r="N80" s="1"/>
  <c r="AJ80"/>
  <c r="O80" s="1"/>
  <c r="AL102"/>
  <c r="AM102" s="1"/>
  <c r="N102" s="1"/>
  <c r="AJ102"/>
  <c r="O102" s="1"/>
  <c r="AQ77"/>
  <c r="AR77" s="1"/>
  <c r="P77" s="1"/>
  <c r="AO77"/>
  <c r="Q77" s="1"/>
  <c r="AJ106"/>
  <c r="O106" s="1"/>
  <c r="AL106"/>
  <c r="AM106" s="1"/>
  <c r="N106" s="1"/>
  <c r="T102" i="10"/>
  <c r="S104"/>
  <c r="T103"/>
  <c r="AQ94" i="8"/>
  <c r="AR94" s="1"/>
  <c r="P94" s="1"/>
  <c r="AO94"/>
  <c r="Q94" s="1"/>
  <c r="AO80"/>
  <c r="Q80" s="1"/>
  <c r="AQ80"/>
  <c r="AR80" s="1"/>
  <c r="P80" s="1"/>
  <c r="AJ87"/>
  <c r="O87" s="1"/>
  <c r="AL87"/>
  <c r="AM87" s="1"/>
  <c r="N87" s="1"/>
  <c r="AJ97"/>
  <c r="O97" s="1"/>
  <c r="AL97"/>
  <c r="AM97" s="1"/>
  <c r="N97" s="1"/>
  <c r="AO83"/>
  <c r="Q83" s="1"/>
  <c r="AQ83"/>
  <c r="AR83" s="1"/>
  <c r="P83" s="1"/>
  <c r="AO91"/>
  <c r="Q91" s="1"/>
  <c r="AQ91"/>
  <c r="AR91" s="1"/>
  <c r="P91" s="1"/>
  <c r="AO99"/>
  <c r="Q99" s="1"/>
  <c r="AQ99"/>
  <c r="AR99" s="1"/>
  <c r="P99" s="1"/>
  <c r="AO107"/>
  <c r="Q107" s="1"/>
  <c r="AQ107"/>
  <c r="AR107" s="1"/>
  <c r="P107" s="1"/>
  <c r="AJ107"/>
  <c r="O107" s="1"/>
  <c r="AL107"/>
  <c r="AM107" s="1"/>
  <c r="N107" s="1"/>
  <c r="AO106"/>
  <c r="Q106" s="1"/>
  <c r="AQ106"/>
  <c r="AR106" s="1"/>
  <c r="P106" s="1"/>
  <c r="X94"/>
  <c r="X98"/>
  <c r="AF78"/>
  <c r="AF89"/>
  <c r="AF90" s="1"/>
  <c r="AF91" s="1"/>
  <c r="AF92" s="1"/>
  <c r="AF93" s="1"/>
  <c r="AF94" s="1"/>
  <c r="AF95" s="1"/>
  <c r="AF96" s="1"/>
  <c r="AF97" s="1"/>
  <c r="AF98" s="1"/>
  <c r="AF99" s="1"/>
  <c r="AF100" s="1"/>
  <c r="AF101" s="1"/>
  <c r="AF102" s="1"/>
  <c r="AF103" s="1"/>
  <c r="AF104" s="1"/>
  <c r="AF105" s="1"/>
  <c r="AF106" s="1"/>
  <c r="AF107" s="1"/>
  <c r="AF108" s="1"/>
  <c r="AF80"/>
  <c r="AF88"/>
  <c r="AF79" s="1"/>
  <c r="AF83"/>
  <c r="CF150" i="6"/>
  <c r="CG150"/>
  <c r="CF269"/>
  <c r="CG269"/>
  <c r="CF409"/>
  <c r="CG409"/>
  <c r="CF141"/>
  <c r="CG141"/>
  <c r="CF222"/>
  <c r="CG222"/>
  <c r="CF365"/>
  <c r="CG365"/>
  <c r="CF493"/>
  <c r="CG493"/>
  <c r="CF432"/>
  <c r="CG432"/>
  <c r="CF629"/>
  <c r="CG629"/>
  <c r="BD23" i="5"/>
  <c r="BF23" s="1"/>
  <c r="AZ23"/>
  <c r="BA24"/>
  <c r="BE23"/>
  <c r="BG23" s="1"/>
  <c r="BK23"/>
  <c r="BL23" s="1"/>
  <c r="BB23"/>
  <c r="DS4" i="2"/>
  <c r="DR4"/>
  <c r="DV4"/>
  <c r="DP5"/>
  <c r="AX15" i="4"/>
  <c r="AU6" s="1"/>
  <c r="AX14"/>
  <c r="BD18"/>
  <c r="AV3"/>
  <c r="Z29"/>
  <c r="Y29"/>
  <c r="AL79" i="8"/>
  <c r="AM79" s="1"/>
  <c r="N79" s="1"/>
  <c r="AM7" i="12"/>
  <c r="AO8" s="1"/>
  <c r="AQ92" i="8"/>
  <c r="AR92" s="1"/>
  <c r="P92" s="1"/>
  <c r="O20"/>
  <c r="AQ98"/>
  <c r="AR98" s="1"/>
  <c r="P98" s="1"/>
  <c r="AQ100"/>
  <c r="AR100" s="1"/>
  <c r="P100" s="1"/>
  <c r="AL93"/>
  <c r="AM93" s="1"/>
  <c r="N93" s="1"/>
  <c r="Z30" i="2"/>
  <c r="Y32"/>
  <c r="T88" i="10"/>
  <c r="Q21" i="8"/>
  <c r="V100" i="11"/>
  <c r="L19" i="10"/>
  <c r="AL108" i="8"/>
  <c r="AM108" s="1"/>
  <c r="N108" s="1"/>
  <c r="AL95"/>
  <c r="AM95" s="1"/>
  <c r="N95" s="1"/>
  <c r="BW46" i="6"/>
  <c r="Y30" i="2"/>
  <c r="W6"/>
  <c r="AE83" i="10" l="1"/>
  <c r="S90" s="1"/>
  <c r="AF81" i="8"/>
  <c r="X14" i="9"/>
  <c r="O20"/>
  <c r="O19"/>
  <c r="L40" i="11"/>
  <c r="N40"/>
  <c r="CC31" i="6"/>
  <c r="CD31"/>
  <c r="CC21"/>
  <c r="CD21"/>
  <c r="CC37"/>
  <c r="CD37"/>
  <c r="CD15"/>
  <c r="CD8"/>
  <c r="CC15"/>
  <c r="CG36"/>
  <c r="CF36" s="1"/>
  <c r="CJ126"/>
  <c r="CK126"/>
  <c r="CG35"/>
  <c r="CF35" s="1"/>
  <c r="CJ125"/>
  <c r="CK125"/>
  <c r="CG19"/>
  <c r="CF19" s="1"/>
  <c r="CJ109"/>
  <c r="CK109"/>
  <c r="CC34"/>
  <c r="CD34"/>
  <c r="CC18"/>
  <c r="CD18"/>
  <c r="W7" i="2"/>
  <c r="X7" s="1"/>
  <c r="V18" s="1"/>
  <c r="V7"/>
  <c r="N29" i="9"/>
  <c r="AJ14" i="12"/>
  <c r="AL13"/>
  <c r="AK13"/>
  <c r="AN13"/>
  <c r="AO13"/>
  <c r="Y89" i="8"/>
  <c r="X89"/>
  <c r="BZ48" i="6"/>
  <c r="BW48" s="1"/>
  <c r="BV48"/>
  <c r="BX48" s="1"/>
  <c r="BY49"/>
  <c r="BD22" i="4"/>
  <c r="BE22" s="1"/>
  <c r="BD21"/>
  <c r="BE21" s="1"/>
  <c r="BD23"/>
  <c r="BE23" s="1"/>
  <c r="BD24"/>
  <c r="BE24" s="1"/>
  <c r="CG24" i="6"/>
  <c r="CF24" s="1"/>
  <c r="CK114"/>
  <c r="CJ114"/>
  <c r="CG16"/>
  <c r="CF16" s="1"/>
  <c r="CJ106"/>
  <c r="CK106"/>
  <c r="CG18"/>
  <c r="CF18" s="1"/>
  <c r="CJ108"/>
  <c r="CK108"/>
  <c r="CC35"/>
  <c r="CD35"/>
  <c r="CC19"/>
  <c r="CD19"/>
  <c r="CC27"/>
  <c r="CD27"/>
  <c r="CG37"/>
  <c r="CF37" s="1"/>
  <c r="CJ127"/>
  <c r="CK127"/>
  <c r="CG29"/>
  <c r="CF29" s="1"/>
  <c r="CJ119"/>
  <c r="CK119"/>
  <c r="CG21"/>
  <c r="CF21" s="1"/>
  <c r="CJ111"/>
  <c r="CK111"/>
  <c r="CD36"/>
  <c r="CC36"/>
  <c r="CD28"/>
  <c r="CC28"/>
  <c r="CD20"/>
  <c r="CC20"/>
  <c r="BI18" i="5"/>
  <c r="BK21"/>
  <c r="BL21" s="1"/>
  <c r="BK22"/>
  <c r="BL22" s="1"/>
  <c r="DD6" i="6"/>
  <c r="CZ19"/>
  <c r="DG5"/>
  <c r="AA30" i="2"/>
  <c r="T105" i="10"/>
  <c r="S106" s="1"/>
  <c r="S105"/>
  <c r="N26" i="9"/>
  <c r="O23" i="8"/>
  <c r="T90" i="10"/>
  <c r="Y90" i="8"/>
  <c r="X90"/>
  <c r="AD78" s="1"/>
  <c r="AD79" s="1"/>
  <c r="AD80" s="1"/>
  <c r="BE2" i="4"/>
  <c r="BE6"/>
  <c r="BG6" s="1"/>
  <c r="AU8"/>
  <c r="AU9" s="1"/>
  <c r="AU10" s="1"/>
  <c r="BD6"/>
  <c r="BF6" s="1"/>
  <c r="CG28" i="6"/>
  <c r="CF28" s="1"/>
  <c r="CJ118"/>
  <c r="CK118"/>
  <c r="CG20"/>
  <c r="CF20" s="1"/>
  <c r="CJ110"/>
  <c r="CK110"/>
  <c r="CG27"/>
  <c r="CF27" s="1"/>
  <c r="CJ117"/>
  <c r="CK117"/>
  <c r="CC26"/>
  <c r="CD26"/>
  <c r="DA20"/>
  <c r="DD7"/>
  <c r="BI6" i="5"/>
  <c r="BK6" s="1"/>
  <c r="AZ8"/>
  <c r="AZ9" s="1"/>
  <c r="AZ10" s="1"/>
  <c r="BJ6"/>
  <c r="BL6" s="1"/>
  <c r="BJ2"/>
  <c r="C18" i="10"/>
  <c r="C19" s="1"/>
  <c r="C20" s="1"/>
  <c r="J30"/>
  <c r="B18"/>
  <c r="B19" s="1"/>
  <c r="B20" s="1"/>
  <c r="J29"/>
  <c r="B15"/>
  <c r="S76"/>
  <c r="C11"/>
  <c r="Y4" i="2"/>
  <c r="BD14" i="4"/>
  <c r="BD15" s="1"/>
  <c r="AZ3"/>
  <c r="AZ5" s="1"/>
  <c r="AV4"/>
  <c r="AZ4" s="1"/>
  <c r="DR5" i="2"/>
  <c r="DV5"/>
  <c r="DS5"/>
  <c r="DU5" s="1"/>
  <c r="DP6"/>
  <c r="AZ24" i="5"/>
  <c r="BE24"/>
  <c r="BG24" s="1"/>
  <c r="BK24"/>
  <c r="BL24" s="1"/>
  <c r="BA25"/>
  <c r="BD24"/>
  <c r="BF24" s="1"/>
  <c r="BB24"/>
  <c r="BI24" s="1"/>
  <c r="BJ24" s="1"/>
  <c r="S32" i="8"/>
  <c r="P37"/>
  <c r="X95"/>
  <c r="X96" s="1"/>
  <c r="AH83" s="1"/>
  <c r="P32"/>
  <c r="P33" s="1"/>
  <c r="P28"/>
  <c r="P38"/>
  <c r="P29"/>
  <c r="Y37" i="6"/>
  <c r="Y33"/>
  <c r="CG34"/>
  <c r="CF34" s="1"/>
  <c r="CJ124"/>
  <c r="CK124"/>
  <c r="CG26"/>
  <c r="CF26" s="1"/>
  <c r="CJ116"/>
  <c r="CK116"/>
  <c r="CC23"/>
  <c r="CD23"/>
  <c r="CG38"/>
  <c r="CF38" s="1"/>
  <c r="CJ128"/>
  <c r="CK128"/>
  <c r="CG22"/>
  <c r="CF22" s="1"/>
  <c r="CJ112"/>
  <c r="CK112"/>
  <c r="CG30"/>
  <c r="CF30" s="1"/>
  <c r="CJ120"/>
  <c r="CK120"/>
  <c r="CG39"/>
  <c r="CF39" s="1"/>
  <c r="CJ129"/>
  <c r="CK129"/>
  <c r="CG31"/>
  <c r="CF31" s="1"/>
  <c r="CJ121"/>
  <c r="CK121"/>
  <c r="CG23"/>
  <c r="CF23" s="1"/>
  <c r="CJ113"/>
  <c r="CK113"/>
  <c r="CC38"/>
  <c r="CD38"/>
  <c r="CC30"/>
  <c r="CD30"/>
  <c r="CC22"/>
  <c r="CD22"/>
  <c r="BE1" i="5"/>
  <c r="BA3"/>
  <c r="BA2"/>
  <c r="BE2" s="1"/>
  <c r="BY14" i="6"/>
  <c r="M3" s="1"/>
  <c r="X3" i="9"/>
  <c r="N30" s="1"/>
  <c r="V6" i="2"/>
  <c r="V14" s="1"/>
  <c r="BD25" i="4"/>
  <c r="BE25" s="1"/>
  <c r="S104" i="11"/>
  <c r="T109"/>
  <c r="V109" s="1"/>
  <c r="S110"/>
  <c r="S112"/>
  <c r="T103"/>
  <c r="V103" s="1"/>
  <c r="T106"/>
  <c r="V106" s="1"/>
  <c r="T107"/>
  <c r="V107" s="1"/>
  <c r="T108"/>
  <c r="V108" s="1"/>
  <c r="S109"/>
  <c r="T114"/>
  <c r="V114" s="1"/>
  <c r="T115"/>
  <c r="V115" s="1"/>
  <c r="T116"/>
  <c r="V116" s="1"/>
  <c r="T117"/>
  <c r="V117" s="1"/>
  <c r="T118"/>
  <c r="V118" s="1"/>
  <c r="T119"/>
  <c r="V119" s="1"/>
  <c r="T120"/>
  <c r="V120" s="1"/>
  <c r="T121"/>
  <c r="V121" s="1"/>
  <c r="T122"/>
  <c r="V122" s="1"/>
  <c r="T123"/>
  <c r="V123" s="1"/>
  <c r="T105"/>
  <c r="V105" s="1"/>
  <c r="S111"/>
  <c r="S115"/>
  <c r="S119"/>
  <c r="S123"/>
  <c r="S105"/>
  <c r="T110"/>
  <c r="V110" s="1"/>
  <c r="S118"/>
  <c r="S121"/>
  <c r="S120"/>
  <c r="T104"/>
  <c r="V104" s="1"/>
  <c r="S106"/>
  <c r="T112"/>
  <c r="V112" s="1"/>
  <c r="T113"/>
  <c r="V113" s="1"/>
  <c r="T111"/>
  <c r="V111" s="1"/>
  <c r="S113"/>
  <c r="S114"/>
  <c r="S116"/>
  <c r="S107"/>
  <c r="S108"/>
  <c r="S122"/>
  <c r="S117"/>
  <c r="S103"/>
  <c r="X99" i="8"/>
  <c r="X100" s="1"/>
  <c r="X101"/>
  <c r="CE10" i="6"/>
  <c r="CZ11" s="1"/>
  <c r="CE16"/>
  <c r="CC39"/>
  <c r="CD39"/>
  <c r="CD29"/>
  <c r="CC29"/>
  <c r="CG32"/>
  <c r="CF32" s="1"/>
  <c r="CJ122"/>
  <c r="CK122"/>
  <c r="CG15"/>
  <c r="CF15" s="1"/>
  <c r="CJ105"/>
  <c r="CK105"/>
  <c r="CH103"/>
  <c r="CK103" s="1"/>
  <c r="CD25"/>
  <c r="CC25"/>
  <c r="CD33"/>
  <c r="CC33"/>
  <c r="CD17"/>
  <c r="CC17"/>
  <c r="CG33"/>
  <c r="CF33" s="1"/>
  <c r="CJ123"/>
  <c r="CK123"/>
  <c r="CG25"/>
  <c r="CF25" s="1"/>
  <c r="CJ115"/>
  <c r="CK115"/>
  <c r="CG17"/>
  <c r="CF17" s="1"/>
  <c r="CJ107"/>
  <c r="CK107"/>
  <c r="CD32"/>
  <c r="CC32"/>
  <c r="CD24"/>
  <c r="CC24"/>
  <c r="CD16"/>
  <c r="CC16"/>
  <c r="X2" i="9"/>
  <c r="Z6" s="1"/>
  <c r="W14"/>
  <c r="M20"/>
  <c r="M19"/>
  <c r="AY26" i="4"/>
  <c r="BA26" s="1"/>
  <c r="BF26"/>
  <c r="BG26" s="1"/>
  <c r="AU26"/>
  <c r="AW26"/>
  <c r="BD26" s="1"/>
  <c r="BE26" s="1"/>
  <c r="AV27"/>
  <c r="AZ26"/>
  <c r="BB26" s="1"/>
  <c r="DU3" i="2"/>
  <c r="DU4"/>
  <c r="DT4"/>
  <c r="DT3"/>
  <c r="AN118" i="6"/>
  <c r="BZ14"/>
  <c r="N3" s="1"/>
  <c r="B17" i="10"/>
  <c r="C17"/>
  <c r="Y78" l="1"/>
  <c r="Y79" s="1"/>
  <c r="Y80" s="1"/>
  <c r="Y82"/>
  <c r="C14"/>
  <c r="B14"/>
  <c r="K41" i="11"/>
  <c r="Y16" i="9"/>
  <c r="N27"/>
  <c r="N28"/>
  <c r="CF111" i="6"/>
  <c r="CG111"/>
  <c r="AJ15" i="12"/>
  <c r="AL14"/>
  <c r="AK14"/>
  <c r="AN14"/>
  <c r="AO14"/>
  <c r="K4" i="2"/>
  <c r="V19"/>
  <c r="V20"/>
  <c r="V21" s="1"/>
  <c r="V8" s="1"/>
  <c r="DI3" s="1"/>
  <c r="CF125" i="6"/>
  <c r="CG125"/>
  <c r="Y83" i="10"/>
  <c r="Y84" s="1"/>
  <c r="Y85" s="1"/>
  <c r="CF123" i="6"/>
  <c r="CG123"/>
  <c r="CF122"/>
  <c r="CG122"/>
  <c r="CF129"/>
  <c r="CG129"/>
  <c r="B15" i="8"/>
  <c r="X76"/>
  <c r="C11"/>
  <c r="DS6" i="2"/>
  <c r="DR6"/>
  <c r="DV6"/>
  <c r="DP7"/>
  <c r="CF119" i="6"/>
  <c r="CG119"/>
  <c r="CF114"/>
  <c r="CG114"/>
  <c r="BZ49"/>
  <c r="BY50"/>
  <c r="BW49"/>
  <c r="BV49"/>
  <c r="BX49" s="1"/>
  <c r="CF126"/>
  <c r="CG126"/>
  <c r="Z8" i="9"/>
  <c r="Z4"/>
  <c r="DT5" i="2"/>
  <c r="X6"/>
  <c r="Z3" i="9"/>
  <c r="Z5"/>
  <c r="BF27" i="4"/>
  <c r="BG27" s="1"/>
  <c r="AW27"/>
  <c r="BD27" s="1"/>
  <c r="BE27" s="1"/>
  <c r="AU27"/>
  <c r="AZ27"/>
  <c r="BB27" s="1"/>
  <c r="AY27"/>
  <c r="BA27" s="1"/>
  <c r="AV28"/>
  <c r="AM119" i="6"/>
  <c r="X103" i="8"/>
  <c r="X102"/>
  <c r="C12" i="9"/>
  <c r="X12"/>
  <c r="X13"/>
  <c r="P30"/>
  <c r="N21"/>
  <c r="N34"/>
  <c r="CG120" i="6"/>
  <c r="CF120"/>
  <c r="CF116"/>
  <c r="CG116"/>
  <c r="BB25" i="5"/>
  <c r="BE25"/>
  <c r="BG25" s="1"/>
  <c r="BK25"/>
  <c r="BL25" s="1"/>
  <c r="BA26"/>
  <c r="BD25"/>
  <c r="BF25" s="1"/>
  <c r="BI25"/>
  <c r="BJ25" s="1"/>
  <c r="AZ25"/>
  <c r="CF117" i="6"/>
  <c r="CG117"/>
  <c r="CF127"/>
  <c r="CG127"/>
  <c r="CF108"/>
  <c r="CG108"/>
  <c r="AD82" i="8"/>
  <c r="W16" i="9"/>
  <c r="B19"/>
  <c r="CF115" i="6"/>
  <c r="CG115"/>
  <c r="CF105"/>
  <c r="CG105"/>
  <c r="CF121"/>
  <c r="CG121"/>
  <c r="CG128"/>
  <c r="CF128"/>
  <c r="CF118"/>
  <c r="CG118"/>
  <c r="X11" i="9"/>
  <c r="T89"/>
  <c r="V89" s="1"/>
  <c r="X89" s="1"/>
  <c r="P89" s="1"/>
  <c r="AM87" s="1"/>
  <c r="T287"/>
  <c r="V287" s="1"/>
  <c r="X287" s="1"/>
  <c r="P287" s="1"/>
  <c r="AM285" s="1"/>
  <c r="AN285" s="1"/>
  <c r="AO285" s="1"/>
  <c r="O287" s="1"/>
  <c r="T279"/>
  <c r="V279" s="1"/>
  <c r="X279" s="1"/>
  <c r="P279" s="1"/>
  <c r="AM277" s="1"/>
  <c r="AN277" s="1"/>
  <c r="AO277" s="1"/>
  <c r="O279" s="1"/>
  <c r="T271"/>
  <c r="V271" s="1"/>
  <c r="X271" s="1"/>
  <c r="P271" s="1"/>
  <c r="AM269" s="1"/>
  <c r="AN269" s="1"/>
  <c r="AO269" s="1"/>
  <c r="O271" s="1"/>
  <c r="T263"/>
  <c r="V263" s="1"/>
  <c r="X263" s="1"/>
  <c r="P263" s="1"/>
  <c r="AM261" s="1"/>
  <c r="AN261" s="1"/>
  <c r="AO261" s="1"/>
  <c r="O263" s="1"/>
  <c r="T255"/>
  <c r="V255" s="1"/>
  <c r="X255" s="1"/>
  <c r="P255" s="1"/>
  <c r="AM253" s="1"/>
  <c r="AN253" s="1"/>
  <c r="AO253" s="1"/>
  <c r="O255" s="1"/>
  <c r="T247"/>
  <c r="V247" s="1"/>
  <c r="X247" s="1"/>
  <c r="P247" s="1"/>
  <c r="AM245" s="1"/>
  <c r="AN245" s="1"/>
  <c r="AO245" s="1"/>
  <c r="O247" s="1"/>
  <c r="T239"/>
  <c r="V239" s="1"/>
  <c r="X239" s="1"/>
  <c r="P239" s="1"/>
  <c r="AM237" s="1"/>
  <c r="AN237" s="1"/>
  <c r="AO237" s="1"/>
  <c r="O239" s="1"/>
  <c r="T231"/>
  <c r="V231" s="1"/>
  <c r="X231" s="1"/>
  <c r="P231" s="1"/>
  <c r="AM229" s="1"/>
  <c r="AN229" s="1"/>
  <c r="AO229" s="1"/>
  <c r="O231" s="1"/>
  <c r="T223"/>
  <c r="V223" s="1"/>
  <c r="X223" s="1"/>
  <c r="P223" s="1"/>
  <c r="AM221" s="1"/>
  <c r="AN221" s="1"/>
  <c r="AO221" s="1"/>
  <c r="O223" s="1"/>
  <c r="T215"/>
  <c r="V215" s="1"/>
  <c r="X215" s="1"/>
  <c r="P215" s="1"/>
  <c r="AM213" s="1"/>
  <c r="AN213" s="1"/>
  <c r="AO213" s="1"/>
  <c r="O215" s="1"/>
  <c r="T207"/>
  <c r="V207" s="1"/>
  <c r="X207" s="1"/>
  <c r="P207" s="1"/>
  <c r="AM205" s="1"/>
  <c r="AN205" s="1"/>
  <c r="AO205" s="1"/>
  <c r="O207" s="1"/>
  <c r="T199"/>
  <c r="V199" s="1"/>
  <c r="X199" s="1"/>
  <c r="P199" s="1"/>
  <c r="AM197" s="1"/>
  <c r="AN197" s="1"/>
  <c r="AO197" s="1"/>
  <c r="O199" s="1"/>
  <c r="T191"/>
  <c r="V191" s="1"/>
  <c r="X191" s="1"/>
  <c r="P191" s="1"/>
  <c r="AM189" s="1"/>
  <c r="AN189" s="1"/>
  <c r="AO189" s="1"/>
  <c r="O191" s="1"/>
  <c r="T183"/>
  <c r="V183" s="1"/>
  <c r="X183" s="1"/>
  <c r="P183" s="1"/>
  <c r="AM181" s="1"/>
  <c r="AN181" s="1"/>
  <c r="AO181" s="1"/>
  <c r="O183" s="1"/>
  <c r="T175"/>
  <c r="V175" s="1"/>
  <c r="X175" s="1"/>
  <c r="P175" s="1"/>
  <c r="AM173" s="1"/>
  <c r="AN173" s="1"/>
  <c r="AO173" s="1"/>
  <c r="O175" s="1"/>
  <c r="T167"/>
  <c r="V167" s="1"/>
  <c r="X167" s="1"/>
  <c r="P167" s="1"/>
  <c r="AM165" s="1"/>
  <c r="AN165" s="1"/>
  <c r="AO165" s="1"/>
  <c r="O167" s="1"/>
  <c r="T159"/>
  <c r="V159" s="1"/>
  <c r="X159" s="1"/>
  <c r="P159" s="1"/>
  <c r="AM157" s="1"/>
  <c r="AN157" s="1"/>
  <c r="AO157" s="1"/>
  <c r="O159" s="1"/>
  <c r="T151"/>
  <c r="V151" s="1"/>
  <c r="X151" s="1"/>
  <c r="P151" s="1"/>
  <c r="AM149" s="1"/>
  <c r="AN149" s="1"/>
  <c r="AO149" s="1"/>
  <c r="O151" s="1"/>
  <c r="T143"/>
  <c r="V143" s="1"/>
  <c r="X143" s="1"/>
  <c r="P143" s="1"/>
  <c r="AM141" s="1"/>
  <c r="AN141" s="1"/>
  <c r="AO141" s="1"/>
  <c r="O143" s="1"/>
  <c r="T135"/>
  <c r="V135" s="1"/>
  <c r="X135" s="1"/>
  <c r="P135" s="1"/>
  <c r="AM133" s="1"/>
  <c r="AN133" s="1"/>
  <c r="AO133" s="1"/>
  <c r="O135" s="1"/>
  <c r="T127"/>
  <c r="V127" s="1"/>
  <c r="X127" s="1"/>
  <c r="P127" s="1"/>
  <c r="AM125" s="1"/>
  <c r="AN125" s="1"/>
  <c r="AO125" s="1"/>
  <c r="O127" s="1"/>
  <c r="T119"/>
  <c r="V119" s="1"/>
  <c r="X119" s="1"/>
  <c r="P119" s="1"/>
  <c r="AM117" s="1"/>
  <c r="AN117" s="1"/>
  <c r="AO117" s="1"/>
  <c r="O119" s="1"/>
  <c r="T111"/>
  <c r="V111" s="1"/>
  <c r="X111" s="1"/>
  <c r="P111" s="1"/>
  <c r="AM109" s="1"/>
  <c r="U19"/>
  <c r="T277"/>
  <c r="V277" s="1"/>
  <c r="X277" s="1"/>
  <c r="P277" s="1"/>
  <c r="AM275" s="1"/>
  <c r="AN275" s="1"/>
  <c r="AO275" s="1"/>
  <c r="O277" s="1"/>
  <c r="T275"/>
  <c r="V275" s="1"/>
  <c r="X275" s="1"/>
  <c r="P275" s="1"/>
  <c r="AM273" s="1"/>
  <c r="AN273" s="1"/>
  <c r="AO273" s="1"/>
  <c r="O275" s="1"/>
  <c r="T273"/>
  <c r="V273" s="1"/>
  <c r="X273" s="1"/>
  <c r="P273" s="1"/>
  <c r="AM271" s="1"/>
  <c r="AN271" s="1"/>
  <c r="AO271" s="1"/>
  <c r="O273" s="1"/>
  <c r="T245"/>
  <c r="V245" s="1"/>
  <c r="X245" s="1"/>
  <c r="P245" s="1"/>
  <c r="AM243" s="1"/>
  <c r="AN243" s="1"/>
  <c r="AO243" s="1"/>
  <c r="O245" s="1"/>
  <c r="T243"/>
  <c r="V243" s="1"/>
  <c r="X243" s="1"/>
  <c r="P243" s="1"/>
  <c r="AM241" s="1"/>
  <c r="AN241" s="1"/>
  <c r="AO241" s="1"/>
  <c r="O243" s="1"/>
  <c r="T241"/>
  <c r="V241" s="1"/>
  <c r="X241" s="1"/>
  <c r="P241" s="1"/>
  <c r="AM239" s="1"/>
  <c r="AN239" s="1"/>
  <c r="AO239" s="1"/>
  <c r="O241" s="1"/>
  <c r="T213"/>
  <c r="V213" s="1"/>
  <c r="X213" s="1"/>
  <c r="P213" s="1"/>
  <c r="AM211" s="1"/>
  <c r="AN211" s="1"/>
  <c r="AO211" s="1"/>
  <c r="O213" s="1"/>
  <c r="T211"/>
  <c r="V211" s="1"/>
  <c r="X211" s="1"/>
  <c r="P211" s="1"/>
  <c r="AM209" s="1"/>
  <c r="AN209" s="1"/>
  <c r="AO209" s="1"/>
  <c r="O211" s="1"/>
  <c r="T209"/>
  <c r="V209" s="1"/>
  <c r="X209" s="1"/>
  <c r="P209" s="1"/>
  <c r="AM207" s="1"/>
  <c r="AN207" s="1"/>
  <c r="AO207" s="1"/>
  <c r="O209" s="1"/>
  <c r="T181"/>
  <c r="V181" s="1"/>
  <c r="X181" s="1"/>
  <c r="P181" s="1"/>
  <c r="AM179" s="1"/>
  <c r="AN179" s="1"/>
  <c r="AO179" s="1"/>
  <c r="O181" s="1"/>
  <c r="T179"/>
  <c r="V179" s="1"/>
  <c r="X179" s="1"/>
  <c r="P179" s="1"/>
  <c r="AM177" s="1"/>
  <c r="AN177" s="1"/>
  <c r="AO177" s="1"/>
  <c r="O179" s="1"/>
  <c r="T177"/>
  <c r="V177" s="1"/>
  <c r="X177" s="1"/>
  <c r="P177" s="1"/>
  <c r="AM175" s="1"/>
  <c r="AN175" s="1"/>
  <c r="AO175" s="1"/>
  <c r="O177" s="1"/>
  <c r="T149"/>
  <c r="V149" s="1"/>
  <c r="X149" s="1"/>
  <c r="P149" s="1"/>
  <c r="AM147" s="1"/>
  <c r="AN147" s="1"/>
  <c r="AO147" s="1"/>
  <c r="O149" s="1"/>
  <c r="T147"/>
  <c r="V147" s="1"/>
  <c r="X147" s="1"/>
  <c r="P147" s="1"/>
  <c r="AM145" s="1"/>
  <c r="AN145" s="1"/>
  <c r="AO145" s="1"/>
  <c r="O147" s="1"/>
  <c r="T145"/>
  <c r="V145" s="1"/>
  <c r="X145" s="1"/>
  <c r="P145" s="1"/>
  <c r="AM143" s="1"/>
  <c r="AN143" s="1"/>
  <c r="AO143" s="1"/>
  <c r="O145" s="1"/>
  <c r="T117"/>
  <c r="V117" s="1"/>
  <c r="X117" s="1"/>
  <c r="P117" s="1"/>
  <c r="AM115" s="1"/>
  <c r="AN115" s="1"/>
  <c r="AO115" s="1"/>
  <c r="O117" s="1"/>
  <c r="T115"/>
  <c r="V115" s="1"/>
  <c r="X115" s="1"/>
  <c r="P115" s="1"/>
  <c r="AM113" s="1"/>
  <c r="AN113" s="1"/>
  <c r="AO113" s="1"/>
  <c r="O115" s="1"/>
  <c r="T113"/>
  <c r="V113" s="1"/>
  <c r="X113" s="1"/>
  <c r="P113" s="1"/>
  <c r="AM111" s="1"/>
  <c r="AN111" s="1"/>
  <c r="AO111" s="1"/>
  <c r="O113" s="1"/>
  <c r="T101"/>
  <c r="V101" s="1"/>
  <c r="X101" s="1"/>
  <c r="P101" s="1"/>
  <c r="AM99" s="1"/>
  <c r="T93"/>
  <c r="V93" s="1"/>
  <c r="X93" s="1"/>
  <c r="P93" s="1"/>
  <c r="AM91" s="1"/>
  <c r="U284"/>
  <c r="W284" s="1"/>
  <c r="Y284" s="1"/>
  <c r="P284" s="1"/>
  <c r="AP282" s="1"/>
  <c r="AQ282" s="1"/>
  <c r="AR282" s="1"/>
  <c r="O284" s="1"/>
  <c r="U276"/>
  <c r="W276" s="1"/>
  <c r="Y276" s="1"/>
  <c r="P276" s="1"/>
  <c r="AP274" s="1"/>
  <c r="AQ274" s="1"/>
  <c r="AR274" s="1"/>
  <c r="O276" s="1"/>
  <c r="U268"/>
  <c r="W268" s="1"/>
  <c r="Y268" s="1"/>
  <c r="P268" s="1"/>
  <c r="AP266" s="1"/>
  <c r="AQ266" s="1"/>
  <c r="AR266" s="1"/>
  <c r="O268" s="1"/>
  <c r="U260"/>
  <c r="W260" s="1"/>
  <c r="Y260" s="1"/>
  <c r="P260" s="1"/>
  <c r="AP258" s="1"/>
  <c r="AQ258" s="1"/>
  <c r="AR258" s="1"/>
  <c r="O260" s="1"/>
  <c r="U252"/>
  <c r="W252" s="1"/>
  <c r="Y252" s="1"/>
  <c r="P252" s="1"/>
  <c r="AP250" s="1"/>
  <c r="AQ250" s="1"/>
  <c r="AR250" s="1"/>
  <c r="O252" s="1"/>
  <c r="U244"/>
  <c r="W244" s="1"/>
  <c r="Y244" s="1"/>
  <c r="P244" s="1"/>
  <c r="AP242" s="1"/>
  <c r="AQ242" s="1"/>
  <c r="AR242" s="1"/>
  <c r="O244" s="1"/>
  <c r="U236"/>
  <c r="W236" s="1"/>
  <c r="Y236" s="1"/>
  <c r="P236" s="1"/>
  <c r="AP234" s="1"/>
  <c r="AQ234" s="1"/>
  <c r="AR234" s="1"/>
  <c r="O236" s="1"/>
  <c r="U228"/>
  <c r="W228" s="1"/>
  <c r="Y228" s="1"/>
  <c r="P228" s="1"/>
  <c r="AP226" s="1"/>
  <c r="AQ226" s="1"/>
  <c r="AR226" s="1"/>
  <c r="O228" s="1"/>
  <c r="U220"/>
  <c r="W220" s="1"/>
  <c r="Y220" s="1"/>
  <c r="P220" s="1"/>
  <c r="AP218" s="1"/>
  <c r="AQ218" s="1"/>
  <c r="AR218" s="1"/>
  <c r="O220" s="1"/>
  <c r="U212"/>
  <c r="W212" s="1"/>
  <c r="Y212" s="1"/>
  <c r="P212" s="1"/>
  <c r="AP210" s="1"/>
  <c r="AQ210" s="1"/>
  <c r="AR210" s="1"/>
  <c r="O212" s="1"/>
  <c r="U204"/>
  <c r="W204" s="1"/>
  <c r="Y204" s="1"/>
  <c r="P204" s="1"/>
  <c r="AP202" s="1"/>
  <c r="AQ202" s="1"/>
  <c r="AR202" s="1"/>
  <c r="O204" s="1"/>
  <c r="U196"/>
  <c r="W196" s="1"/>
  <c r="Y196" s="1"/>
  <c r="P196" s="1"/>
  <c r="AP194" s="1"/>
  <c r="AQ194" s="1"/>
  <c r="AR194" s="1"/>
  <c r="O196" s="1"/>
  <c r="U188"/>
  <c r="W188" s="1"/>
  <c r="Y188" s="1"/>
  <c r="P188" s="1"/>
  <c r="AP186" s="1"/>
  <c r="AQ186" s="1"/>
  <c r="AR186" s="1"/>
  <c r="O188" s="1"/>
  <c r="U180"/>
  <c r="W180" s="1"/>
  <c r="Y180" s="1"/>
  <c r="P180" s="1"/>
  <c r="AP178" s="1"/>
  <c r="AQ178" s="1"/>
  <c r="AR178" s="1"/>
  <c r="O180" s="1"/>
  <c r="U172"/>
  <c r="W172" s="1"/>
  <c r="Y172" s="1"/>
  <c r="P172" s="1"/>
  <c r="AP170" s="1"/>
  <c r="AQ170" s="1"/>
  <c r="AR170" s="1"/>
  <c r="O172" s="1"/>
  <c r="U164"/>
  <c r="W164" s="1"/>
  <c r="Y164" s="1"/>
  <c r="P164" s="1"/>
  <c r="AP162" s="1"/>
  <c r="AQ162" s="1"/>
  <c r="AR162" s="1"/>
  <c r="O164" s="1"/>
  <c r="U156"/>
  <c r="W156" s="1"/>
  <c r="Y156" s="1"/>
  <c r="P156" s="1"/>
  <c r="AP154" s="1"/>
  <c r="AQ154" s="1"/>
  <c r="AR154" s="1"/>
  <c r="O156" s="1"/>
  <c r="T285"/>
  <c r="V285" s="1"/>
  <c r="X285" s="1"/>
  <c r="P285" s="1"/>
  <c r="AM283" s="1"/>
  <c r="AN283" s="1"/>
  <c r="AO283" s="1"/>
  <c r="O285" s="1"/>
  <c r="T257"/>
  <c r="V257" s="1"/>
  <c r="X257" s="1"/>
  <c r="P257" s="1"/>
  <c r="AM255" s="1"/>
  <c r="AN255" s="1"/>
  <c r="AO255" s="1"/>
  <c r="O257" s="1"/>
  <c r="T251"/>
  <c r="V251" s="1"/>
  <c r="X251" s="1"/>
  <c r="P251" s="1"/>
  <c r="AM249" s="1"/>
  <c r="AN249" s="1"/>
  <c r="AO249" s="1"/>
  <c r="O251" s="1"/>
  <c r="T237"/>
  <c r="V237" s="1"/>
  <c r="X237" s="1"/>
  <c r="P237" s="1"/>
  <c r="AM235" s="1"/>
  <c r="AN235" s="1"/>
  <c r="AO235" s="1"/>
  <c r="O237" s="1"/>
  <c r="T217"/>
  <c r="V217" s="1"/>
  <c r="X217" s="1"/>
  <c r="P217" s="1"/>
  <c r="AM215" s="1"/>
  <c r="AN215" s="1"/>
  <c r="AO215" s="1"/>
  <c r="O217" s="1"/>
  <c r="T203"/>
  <c r="V203" s="1"/>
  <c r="X203" s="1"/>
  <c r="P203" s="1"/>
  <c r="AM201" s="1"/>
  <c r="AN201" s="1"/>
  <c r="AO201" s="1"/>
  <c r="O203" s="1"/>
  <c r="T197"/>
  <c r="V197" s="1"/>
  <c r="X197" s="1"/>
  <c r="P197" s="1"/>
  <c r="AM195" s="1"/>
  <c r="AN195" s="1"/>
  <c r="AO195" s="1"/>
  <c r="O197" s="1"/>
  <c r="T169"/>
  <c r="V169" s="1"/>
  <c r="X169" s="1"/>
  <c r="P169" s="1"/>
  <c r="AM167" s="1"/>
  <c r="AN167" s="1"/>
  <c r="AO167" s="1"/>
  <c r="O169" s="1"/>
  <c r="T163"/>
  <c r="V163" s="1"/>
  <c r="X163" s="1"/>
  <c r="P163" s="1"/>
  <c r="AM161" s="1"/>
  <c r="AN161" s="1"/>
  <c r="AO161" s="1"/>
  <c r="O163" s="1"/>
  <c r="T157"/>
  <c r="V157" s="1"/>
  <c r="X157" s="1"/>
  <c r="P157" s="1"/>
  <c r="AM155" s="1"/>
  <c r="AN155" s="1"/>
  <c r="AO155" s="1"/>
  <c r="O157" s="1"/>
  <c r="T129"/>
  <c r="V129" s="1"/>
  <c r="X129" s="1"/>
  <c r="P129" s="1"/>
  <c r="AM127" s="1"/>
  <c r="AN127" s="1"/>
  <c r="AO127" s="1"/>
  <c r="O129" s="1"/>
  <c r="T123"/>
  <c r="V123" s="1"/>
  <c r="X123" s="1"/>
  <c r="P123" s="1"/>
  <c r="AM121" s="1"/>
  <c r="AN121" s="1"/>
  <c r="AO121" s="1"/>
  <c r="O123" s="1"/>
  <c r="T109"/>
  <c r="V109" s="1"/>
  <c r="X109" s="1"/>
  <c r="P109" s="1"/>
  <c r="AM107" s="1"/>
  <c r="T99"/>
  <c r="V99" s="1"/>
  <c r="X99" s="1"/>
  <c r="P99" s="1"/>
  <c r="AM97" s="1"/>
  <c r="T97"/>
  <c r="V97" s="1"/>
  <c r="X97" s="1"/>
  <c r="P97" s="1"/>
  <c r="AM95" s="1"/>
  <c r="T95"/>
  <c r="V95" s="1"/>
  <c r="X95" s="1"/>
  <c r="P95" s="1"/>
  <c r="AM93" s="1"/>
  <c r="U90"/>
  <c r="W90" s="1"/>
  <c r="Y90" s="1"/>
  <c r="P90" s="1"/>
  <c r="AP88" s="1"/>
  <c r="U288"/>
  <c r="W288" s="1"/>
  <c r="Y288" s="1"/>
  <c r="P288" s="1"/>
  <c r="AP286" s="1"/>
  <c r="AQ286" s="1"/>
  <c r="AR286" s="1"/>
  <c r="O288" s="1"/>
  <c r="U286"/>
  <c r="W286" s="1"/>
  <c r="Y286" s="1"/>
  <c r="P286" s="1"/>
  <c r="AP284" s="1"/>
  <c r="AQ284" s="1"/>
  <c r="AR284" s="1"/>
  <c r="O286" s="1"/>
  <c r="U258"/>
  <c r="W258" s="1"/>
  <c r="Y258" s="1"/>
  <c r="P258" s="1"/>
  <c r="AP256" s="1"/>
  <c r="AQ256" s="1"/>
  <c r="AR256" s="1"/>
  <c r="O258" s="1"/>
  <c r="U256"/>
  <c r="W256" s="1"/>
  <c r="Y256" s="1"/>
  <c r="P256" s="1"/>
  <c r="AP254" s="1"/>
  <c r="AQ254" s="1"/>
  <c r="AR254" s="1"/>
  <c r="O256" s="1"/>
  <c r="U254"/>
  <c r="W254" s="1"/>
  <c r="Y254" s="1"/>
  <c r="P254" s="1"/>
  <c r="AP252" s="1"/>
  <c r="AQ252" s="1"/>
  <c r="AR252" s="1"/>
  <c r="O254" s="1"/>
  <c r="U226"/>
  <c r="W226" s="1"/>
  <c r="Y226" s="1"/>
  <c r="P226" s="1"/>
  <c r="AP224" s="1"/>
  <c r="AQ224" s="1"/>
  <c r="AR224" s="1"/>
  <c r="O226" s="1"/>
  <c r="U224"/>
  <c r="W224" s="1"/>
  <c r="Y224" s="1"/>
  <c r="P224" s="1"/>
  <c r="AP222" s="1"/>
  <c r="AQ222" s="1"/>
  <c r="AR222" s="1"/>
  <c r="O224" s="1"/>
  <c r="U222"/>
  <c r="W222" s="1"/>
  <c r="Y222" s="1"/>
  <c r="P222" s="1"/>
  <c r="AP220" s="1"/>
  <c r="AQ220" s="1"/>
  <c r="AR220" s="1"/>
  <c r="O222" s="1"/>
  <c r="U194"/>
  <c r="W194" s="1"/>
  <c r="Y194" s="1"/>
  <c r="P194" s="1"/>
  <c r="AP192" s="1"/>
  <c r="AQ192" s="1"/>
  <c r="AR192" s="1"/>
  <c r="O194" s="1"/>
  <c r="U192"/>
  <c r="W192" s="1"/>
  <c r="Y192" s="1"/>
  <c r="P192" s="1"/>
  <c r="AP190" s="1"/>
  <c r="AQ190" s="1"/>
  <c r="AR190" s="1"/>
  <c r="O192" s="1"/>
  <c r="U190"/>
  <c r="W190" s="1"/>
  <c r="Y190" s="1"/>
  <c r="P190" s="1"/>
  <c r="AP188" s="1"/>
  <c r="AQ188" s="1"/>
  <c r="AR188" s="1"/>
  <c r="O190" s="1"/>
  <c r="U162"/>
  <c r="W162" s="1"/>
  <c r="Y162" s="1"/>
  <c r="P162" s="1"/>
  <c r="AP160" s="1"/>
  <c r="AQ160" s="1"/>
  <c r="AR160" s="1"/>
  <c r="O162" s="1"/>
  <c r="U160"/>
  <c r="W160" s="1"/>
  <c r="Y160" s="1"/>
  <c r="P160" s="1"/>
  <c r="AP158" s="1"/>
  <c r="AQ158" s="1"/>
  <c r="AR158" s="1"/>
  <c r="O160" s="1"/>
  <c r="U158"/>
  <c r="W158" s="1"/>
  <c r="Y158" s="1"/>
  <c r="P158" s="1"/>
  <c r="AP156" s="1"/>
  <c r="AQ156" s="1"/>
  <c r="AR156" s="1"/>
  <c r="O158" s="1"/>
  <c r="U154"/>
  <c r="W154" s="1"/>
  <c r="Y154" s="1"/>
  <c r="P154" s="1"/>
  <c r="AP152" s="1"/>
  <c r="AQ152" s="1"/>
  <c r="AR152" s="1"/>
  <c r="O154" s="1"/>
  <c r="U146"/>
  <c r="W146" s="1"/>
  <c r="Y146" s="1"/>
  <c r="P146" s="1"/>
  <c r="AP144" s="1"/>
  <c r="AQ144" s="1"/>
  <c r="AR144" s="1"/>
  <c r="O146" s="1"/>
  <c r="U138"/>
  <c r="W138" s="1"/>
  <c r="Y138" s="1"/>
  <c r="P138" s="1"/>
  <c r="AP136" s="1"/>
  <c r="AQ136" s="1"/>
  <c r="AR136" s="1"/>
  <c r="O138" s="1"/>
  <c r="U130"/>
  <c r="W130" s="1"/>
  <c r="Y130" s="1"/>
  <c r="P130" s="1"/>
  <c r="AP128" s="1"/>
  <c r="AQ128" s="1"/>
  <c r="AR128" s="1"/>
  <c r="O130" s="1"/>
  <c r="U122"/>
  <c r="W122" s="1"/>
  <c r="Y122" s="1"/>
  <c r="P122" s="1"/>
  <c r="AP120" s="1"/>
  <c r="AQ120" s="1"/>
  <c r="AR120" s="1"/>
  <c r="O122" s="1"/>
  <c r="U114"/>
  <c r="W114" s="1"/>
  <c r="Y114" s="1"/>
  <c r="P114" s="1"/>
  <c r="AP112" s="1"/>
  <c r="AQ112" s="1"/>
  <c r="AR112" s="1"/>
  <c r="O114" s="1"/>
  <c r="U106"/>
  <c r="W106" s="1"/>
  <c r="Y106" s="1"/>
  <c r="P106" s="1"/>
  <c r="AP104" s="1"/>
  <c r="U98"/>
  <c r="W98" s="1"/>
  <c r="Y98" s="1"/>
  <c r="P98" s="1"/>
  <c r="AP96" s="1"/>
  <c r="AS89"/>
  <c r="AU89" s="1"/>
  <c r="AS187"/>
  <c r="AU187" s="1"/>
  <c r="AS185"/>
  <c r="AU185" s="1"/>
  <c r="AS183"/>
  <c r="AU183" s="1"/>
  <c r="AS181"/>
  <c r="AU181" s="1"/>
  <c r="AS179"/>
  <c r="AU179" s="1"/>
  <c r="AS177"/>
  <c r="AU177" s="1"/>
  <c r="AS175"/>
  <c r="AU175" s="1"/>
  <c r="AS173"/>
  <c r="AU173" s="1"/>
  <c r="AS171"/>
  <c r="AU171" s="1"/>
  <c r="AS169"/>
  <c r="AU169" s="1"/>
  <c r="AS167"/>
  <c r="AU167" s="1"/>
  <c r="AS165"/>
  <c r="AU165" s="1"/>
  <c r="AS163"/>
  <c r="AU163" s="1"/>
  <c r="AS161"/>
  <c r="AU161" s="1"/>
  <c r="AS159"/>
  <c r="AU159" s="1"/>
  <c r="AS157"/>
  <c r="AU157" s="1"/>
  <c r="AS155"/>
  <c r="AU155" s="1"/>
  <c r="AS153"/>
  <c r="AU153" s="1"/>
  <c r="AS151"/>
  <c r="AU151" s="1"/>
  <c r="AS149"/>
  <c r="AU149" s="1"/>
  <c r="AS147"/>
  <c r="AU147" s="1"/>
  <c r="AS145"/>
  <c r="AU145" s="1"/>
  <c r="AS143"/>
  <c r="AU143" s="1"/>
  <c r="AS141"/>
  <c r="AU141" s="1"/>
  <c r="AS139"/>
  <c r="AU139" s="1"/>
  <c r="AS137"/>
  <c r="AU137" s="1"/>
  <c r="AS135"/>
  <c r="AU135" s="1"/>
  <c r="AS133"/>
  <c r="AU133" s="1"/>
  <c r="AS131"/>
  <c r="AU131" s="1"/>
  <c r="AS129"/>
  <c r="AU129" s="1"/>
  <c r="AS127"/>
  <c r="AU127" s="1"/>
  <c r="AS125"/>
  <c r="AU125" s="1"/>
  <c r="AS123"/>
  <c r="AU123" s="1"/>
  <c r="AS121"/>
  <c r="AU121" s="1"/>
  <c r="AS119"/>
  <c r="AU119" s="1"/>
  <c r="AS117"/>
  <c r="AU117" s="1"/>
  <c r="AS115"/>
  <c r="AU115" s="1"/>
  <c r="AS113"/>
  <c r="AU113" s="1"/>
  <c r="AS111"/>
  <c r="AU111" s="1"/>
  <c r="AS109"/>
  <c r="AU109" s="1"/>
  <c r="AS107"/>
  <c r="AU107" s="1"/>
  <c r="AS105"/>
  <c r="AU105" s="1"/>
  <c r="AS103"/>
  <c r="AU103" s="1"/>
  <c r="AS101"/>
  <c r="AU101" s="1"/>
  <c r="AS99"/>
  <c r="AU99" s="1"/>
  <c r="AS97"/>
  <c r="AU97" s="1"/>
  <c r="AS95"/>
  <c r="AU95" s="1"/>
  <c r="AS93"/>
  <c r="AU93" s="1"/>
  <c r="AS91"/>
  <c r="AU91" s="1"/>
  <c r="AE91"/>
  <c r="AK92"/>
  <c r="AK93"/>
  <c r="AG94"/>
  <c r="AG95"/>
  <c r="AK98"/>
  <c r="AK102"/>
  <c r="AK106"/>
  <c r="T265"/>
  <c r="V265" s="1"/>
  <c r="X265" s="1"/>
  <c r="P265" s="1"/>
  <c r="AM263" s="1"/>
  <c r="AN263" s="1"/>
  <c r="AO263" s="1"/>
  <c r="O265" s="1"/>
  <c r="T259"/>
  <c r="V259" s="1"/>
  <c r="X259" s="1"/>
  <c r="P259" s="1"/>
  <c r="AM257" s="1"/>
  <c r="AN257" s="1"/>
  <c r="AO257" s="1"/>
  <c r="O259" s="1"/>
  <c r="T253"/>
  <c r="V253" s="1"/>
  <c r="X253" s="1"/>
  <c r="P253" s="1"/>
  <c r="AM251" s="1"/>
  <c r="AN251" s="1"/>
  <c r="AO251" s="1"/>
  <c r="O253" s="1"/>
  <c r="T225"/>
  <c r="V225" s="1"/>
  <c r="X225" s="1"/>
  <c r="P225" s="1"/>
  <c r="AM223" s="1"/>
  <c r="AN223" s="1"/>
  <c r="AO223" s="1"/>
  <c r="O225" s="1"/>
  <c r="T219"/>
  <c r="V219" s="1"/>
  <c r="X219" s="1"/>
  <c r="P219" s="1"/>
  <c r="AM217" s="1"/>
  <c r="AN217" s="1"/>
  <c r="AO217" s="1"/>
  <c r="O219" s="1"/>
  <c r="T205"/>
  <c r="V205" s="1"/>
  <c r="X205" s="1"/>
  <c r="P205" s="1"/>
  <c r="AM203" s="1"/>
  <c r="AN203" s="1"/>
  <c r="AO203" s="1"/>
  <c r="O205" s="1"/>
  <c r="T185"/>
  <c r="V185" s="1"/>
  <c r="X185" s="1"/>
  <c r="P185" s="1"/>
  <c r="AM183" s="1"/>
  <c r="AN183" s="1"/>
  <c r="AO183" s="1"/>
  <c r="O185" s="1"/>
  <c r="T171"/>
  <c r="V171" s="1"/>
  <c r="X171" s="1"/>
  <c r="P171" s="1"/>
  <c r="AM169" s="1"/>
  <c r="AN169" s="1"/>
  <c r="AO169" s="1"/>
  <c r="O171" s="1"/>
  <c r="T165"/>
  <c r="V165" s="1"/>
  <c r="X165" s="1"/>
  <c r="P165" s="1"/>
  <c r="AM163" s="1"/>
  <c r="AN163" s="1"/>
  <c r="AO163" s="1"/>
  <c r="O165" s="1"/>
  <c r="T137"/>
  <c r="V137" s="1"/>
  <c r="X137" s="1"/>
  <c r="P137" s="1"/>
  <c r="AM135" s="1"/>
  <c r="AN135" s="1"/>
  <c r="AO135" s="1"/>
  <c r="O137" s="1"/>
  <c r="T131"/>
  <c r="V131" s="1"/>
  <c r="X131" s="1"/>
  <c r="P131" s="1"/>
  <c r="AM129" s="1"/>
  <c r="AN129" s="1"/>
  <c r="AO129" s="1"/>
  <c r="O131" s="1"/>
  <c r="T125"/>
  <c r="V125" s="1"/>
  <c r="X125" s="1"/>
  <c r="P125" s="1"/>
  <c r="AM123" s="1"/>
  <c r="AN123" s="1"/>
  <c r="AO123" s="1"/>
  <c r="O125" s="1"/>
  <c r="T103"/>
  <c r="V103" s="1"/>
  <c r="X103" s="1"/>
  <c r="P103" s="1"/>
  <c r="AM101" s="1"/>
  <c r="U266"/>
  <c r="W266" s="1"/>
  <c r="Y266" s="1"/>
  <c r="P266" s="1"/>
  <c r="AP264" s="1"/>
  <c r="AQ264" s="1"/>
  <c r="AR264" s="1"/>
  <c r="O266" s="1"/>
  <c r="U264"/>
  <c r="W264" s="1"/>
  <c r="Y264" s="1"/>
  <c r="P264" s="1"/>
  <c r="AP262" s="1"/>
  <c r="AQ262" s="1"/>
  <c r="AR262" s="1"/>
  <c r="O264" s="1"/>
  <c r="U262"/>
  <c r="W262" s="1"/>
  <c r="Y262" s="1"/>
  <c r="P262" s="1"/>
  <c r="AP260" s="1"/>
  <c r="AQ260" s="1"/>
  <c r="AR260" s="1"/>
  <c r="O262" s="1"/>
  <c r="U234"/>
  <c r="W234" s="1"/>
  <c r="Y234" s="1"/>
  <c r="P234" s="1"/>
  <c r="AP232" s="1"/>
  <c r="AQ232" s="1"/>
  <c r="AR232" s="1"/>
  <c r="O234" s="1"/>
  <c r="U232"/>
  <c r="W232" s="1"/>
  <c r="Y232" s="1"/>
  <c r="P232" s="1"/>
  <c r="AP230" s="1"/>
  <c r="AQ230" s="1"/>
  <c r="AR230" s="1"/>
  <c r="O232" s="1"/>
  <c r="U230"/>
  <c r="W230" s="1"/>
  <c r="Y230" s="1"/>
  <c r="P230" s="1"/>
  <c r="AP228" s="1"/>
  <c r="AQ228" s="1"/>
  <c r="AR228" s="1"/>
  <c r="O230" s="1"/>
  <c r="U202"/>
  <c r="W202" s="1"/>
  <c r="Y202" s="1"/>
  <c r="P202" s="1"/>
  <c r="AP200" s="1"/>
  <c r="AQ200" s="1"/>
  <c r="AR200" s="1"/>
  <c r="O202" s="1"/>
  <c r="U200"/>
  <c r="W200" s="1"/>
  <c r="Y200" s="1"/>
  <c r="P200" s="1"/>
  <c r="AP198" s="1"/>
  <c r="AQ198" s="1"/>
  <c r="AR198" s="1"/>
  <c r="O200" s="1"/>
  <c r="U198"/>
  <c r="W198" s="1"/>
  <c r="Y198" s="1"/>
  <c r="P198" s="1"/>
  <c r="AP196" s="1"/>
  <c r="AQ196" s="1"/>
  <c r="AR196" s="1"/>
  <c r="O198" s="1"/>
  <c r="U170"/>
  <c r="W170" s="1"/>
  <c r="Y170" s="1"/>
  <c r="P170" s="1"/>
  <c r="AP168" s="1"/>
  <c r="AQ168" s="1"/>
  <c r="AR168" s="1"/>
  <c r="O170" s="1"/>
  <c r="U168"/>
  <c r="W168" s="1"/>
  <c r="Y168" s="1"/>
  <c r="P168" s="1"/>
  <c r="AP166" s="1"/>
  <c r="AQ166" s="1"/>
  <c r="AR166" s="1"/>
  <c r="O168" s="1"/>
  <c r="U166"/>
  <c r="W166" s="1"/>
  <c r="Y166" s="1"/>
  <c r="P166" s="1"/>
  <c r="AP164" s="1"/>
  <c r="AQ164" s="1"/>
  <c r="AR164" s="1"/>
  <c r="O166" s="1"/>
  <c r="U152"/>
  <c r="W152" s="1"/>
  <c r="Y152" s="1"/>
  <c r="P152" s="1"/>
  <c r="AP150" s="1"/>
  <c r="AQ150" s="1"/>
  <c r="AR150" s="1"/>
  <c r="O152" s="1"/>
  <c r="U144"/>
  <c r="W144" s="1"/>
  <c r="Y144" s="1"/>
  <c r="P144" s="1"/>
  <c r="AP142" s="1"/>
  <c r="AQ142" s="1"/>
  <c r="AR142" s="1"/>
  <c r="O144" s="1"/>
  <c r="U136"/>
  <c r="W136" s="1"/>
  <c r="Y136" s="1"/>
  <c r="P136" s="1"/>
  <c r="AP134" s="1"/>
  <c r="AQ134" s="1"/>
  <c r="AR134" s="1"/>
  <c r="O136" s="1"/>
  <c r="U128"/>
  <c r="W128" s="1"/>
  <c r="Y128" s="1"/>
  <c r="P128" s="1"/>
  <c r="AP126" s="1"/>
  <c r="AQ126" s="1"/>
  <c r="AR126" s="1"/>
  <c r="O128" s="1"/>
  <c r="U120"/>
  <c r="W120" s="1"/>
  <c r="Y120" s="1"/>
  <c r="P120" s="1"/>
  <c r="AP118" s="1"/>
  <c r="AQ118" s="1"/>
  <c r="AR118" s="1"/>
  <c r="O120" s="1"/>
  <c r="U112"/>
  <c r="W112" s="1"/>
  <c r="Y112" s="1"/>
  <c r="P112" s="1"/>
  <c r="AP110" s="1"/>
  <c r="U104"/>
  <c r="W104" s="1"/>
  <c r="Y104" s="1"/>
  <c r="P104" s="1"/>
  <c r="AP102" s="1"/>
  <c r="U96"/>
  <c r="W96" s="1"/>
  <c r="Y96" s="1"/>
  <c r="P96" s="1"/>
  <c r="AP94" s="1"/>
  <c r="AE89"/>
  <c r="AK90"/>
  <c r="AK91"/>
  <c r="AG92"/>
  <c r="AG93"/>
  <c r="AK99"/>
  <c r="AK103"/>
  <c r="AK107"/>
  <c r="X10"/>
  <c r="W19"/>
  <c r="T269"/>
  <c r="V269" s="1"/>
  <c r="X269" s="1"/>
  <c r="P269" s="1"/>
  <c r="AM267" s="1"/>
  <c r="AN267" s="1"/>
  <c r="AO267" s="1"/>
  <c r="O269" s="1"/>
  <c r="T235"/>
  <c r="V235" s="1"/>
  <c r="X235" s="1"/>
  <c r="P235" s="1"/>
  <c r="AM233" s="1"/>
  <c r="AN233" s="1"/>
  <c r="AO233" s="1"/>
  <c r="O235" s="1"/>
  <c r="T229"/>
  <c r="V229" s="1"/>
  <c r="X229" s="1"/>
  <c r="P229" s="1"/>
  <c r="AM227" s="1"/>
  <c r="AN227" s="1"/>
  <c r="AO227" s="1"/>
  <c r="O229" s="1"/>
  <c r="T201"/>
  <c r="V201" s="1"/>
  <c r="X201" s="1"/>
  <c r="P201" s="1"/>
  <c r="AM199" s="1"/>
  <c r="AN199" s="1"/>
  <c r="AO199" s="1"/>
  <c r="O201" s="1"/>
  <c r="T195"/>
  <c r="V195" s="1"/>
  <c r="X195" s="1"/>
  <c r="P195" s="1"/>
  <c r="AM193" s="1"/>
  <c r="AN193" s="1"/>
  <c r="AO193" s="1"/>
  <c r="O195" s="1"/>
  <c r="T189"/>
  <c r="V189" s="1"/>
  <c r="X189" s="1"/>
  <c r="P189" s="1"/>
  <c r="AM187" s="1"/>
  <c r="AN187" s="1"/>
  <c r="AO187" s="1"/>
  <c r="O189" s="1"/>
  <c r="T161"/>
  <c r="V161" s="1"/>
  <c r="X161" s="1"/>
  <c r="P161" s="1"/>
  <c r="AM159" s="1"/>
  <c r="AN159" s="1"/>
  <c r="AO159" s="1"/>
  <c r="O161" s="1"/>
  <c r="T155"/>
  <c r="V155" s="1"/>
  <c r="X155" s="1"/>
  <c r="P155" s="1"/>
  <c r="AM153" s="1"/>
  <c r="AN153" s="1"/>
  <c r="AO153" s="1"/>
  <c r="O155" s="1"/>
  <c r="T121"/>
  <c r="V121" s="1"/>
  <c r="X121" s="1"/>
  <c r="P121" s="1"/>
  <c r="AM119" s="1"/>
  <c r="AN119" s="1"/>
  <c r="AO119" s="1"/>
  <c r="O121" s="1"/>
  <c r="T91"/>
  <c r="V91" s="1"/>
  <c r="X91" s="1"/>
  <c r="P91" s="1"/>
  <c r="AM89" s="1"/>
  <c r="U274"/>
  <c r="W274" s="1"/>
  <c r="Y274" s="1"/>
  <c r="P274" s="1"/>
  <c r="AP272" s="1"/>
  <c r="AQ272" s="1"/>
  <c r="AR272" s="1"/>
  <c r="O274" s="1"/>
  <c r="U270"/>
  <c r="W270" s="1"/>
  <c r="Y270" s="1"/>
  <c r="P270" s="1"/>
  <c r="AP268" s="1"/>
  <c r="AQ268" s="1"/>
  <c r="AR268" s="1"/>
  <c r="O270" s="1"/>
  <c r="U240"/>
  <c r="W240" s="1"/>
  <c r="Y240" s="1"/>
  <c r="P240" s="1"/>
  <c r="AP238" s="1"/>
  <c r="AQ238" s="1"/>
  <c r="AR238" s="1"/>
  <c r="O240" s="1"/>
  <c r="U210"/>
  <c r="W210" s="1"/>
  <c r="Y210" s="1"/>
  <c r="P210" s="1"/>
  <c r="AP208" s="1"/>
  <c r="AQ208" s="1"/>
  <c r="AR208" s="1"/>
  <c r="O210" s="1"/>
  <c r="U206"/>
  <c r="W206" s="1"/>
  <c r="Y206" s="1"/>
  <c r="P206" s="1"/>
  <c r="AP204" s="1"/>
  <c r="AQ204" s="1"/>
  <c r="AR204" s="1"/>
  <c r="O206" s="1"/>
  <c r="U176"/>
  <c r="W176" s="1"/>
  <c r="Y176" s="1"/>
  <c r="P176" s="1"/>
  <c r="AP174" s="1"/>
  <c r="AQ174" s="1"/>
  <c r="AR174" s="1"/>
  <c r="O176" s="1"/>
  <c r="U142"/>
  <c r="W142" s="1"/>
  <c r="Y142" s="1"/>
  <c r="P142" s="1"/>
  <c r="AP140" s="1"/>
  <c r="AQ140" s="1"/>
  <c r="AR140" s="1"/>
  <c r="O142" s="1"/>
  <c r="U126"/>
  <c r="W126" s="1"/>
  <c r="Y126" s="1"/>
  <c r="P126" s="1"/>
  <c r="AP124" s="1"/>
  <c r="AQ124" s="1"/>
  <c r="AR124" s="1"/>
  <c r="O126" s="1"/>
  <c r="U110"/>
  <c r="W110" s="1"/>
  <c r="Y110" s="1"/>
  <c r="P110" s="1"/>
  <c r="AP108" s="1"/>
  <c r="U94"/>
  <c r="W94" s="1"/>
  <c r="Y94" s="1"/>
  <c r="P94" s="1"/>
  <c r="AP92" s="1"/>
  <c r="AS188"/>
  <c r="AU188" s="1"/>
  <c r="AS184"/>
  <c r="AU184" s="1"/>
  <c r="AS180"/>
  <c r="AU180" s="1"/>
  <c r="AS176"/>
  <c r="AU176" s="1"/>
  <c r="AS172"/>
  <c r="AU172" s="1"/>
  <c r="AS168"/>
  <c r="AU168" s="1"/>
  <c r="AS164"/>
  <c r="AU164" s="1"/>
  <c r="AS160"/>
  <c r="AU160" s="1"/>
  <c r="AS156"/>
  <c r="AU156" s="1"/>
  <c r="AS152"/>
  <c r="AU152" s="1"/>
  <c r="AS148"/>
  <c r="AU148" s="1"/>
  <c r="AS144"/>
  <c r="AU144" s="1"/>
  <c r="AS140"/>
  <c r="AU140" s="1"/>
  <c r="AS136"/>
  <c r="AU136" s="1"/>
  <c r="AS132"/>
  <c r="AU132" s="1"/>
  <c r="AS128"/>
  <c r="AU128" s="1"/>
  <c r="AS124"/>
  <c r="AU124" s="1"/>
  <c r="AS120"/>
  <c r="AU120" s="1"/>
  <c r="AS116"/>
  <c r="AU116" s="1"/>
  <c r="AS112"/>
  <c r="AU112" s="1"/>
  <c r="AS108"/>
  <c r="AU108" s="1"/>
  <c r="AS104"/>
  <c r="AU104" s="1"/>
  <c r="AS100"/>
  <c r="AU100" s="1"/>
  <c r="AS96"/>
  <c r="AU96" s="1"/>
  <c r="AS92"/>
  <c r="AU92" s="1"/>
  <c r="AK89"/>
  <c r="AE95"/>
  <c r="AK87"/>
  <c r="T281"/>
  <c r="V281" s="1"/>
  <c r="X281" s="1"/>
  <c r="P281" s="1"/>
  <c r="AM279" s="1"/>
  <c r="AN279" s="1"/>
  <c r="AO279" s="1"/>
  <c r="O281" s="1"/>
  <c r="T173"/>
  <c r="V173" s="1"/>
  <c r="X173" s="1"/>
  <c r="P173" s="1"/>
  <c r="AM171" s="1"/>
  <c r="AN171" s="1"/>
  <c r="AO171" s="1"/>
  <c r="O173" s="1"/>
  <c r="T139"/>
  <c r="V139" s="1"/>
  <c r="X139" s="1"/>
  <c r="P139" s="1"/>
  <c r="AM137" s="1"/>
  <c r="AN137" s="1"/>
  <c r="AO137" s="1"/>
  <c r="O139" s="1"/>
  <c r="T133"/>
  <c r="V133" s="1"/>
  <c r="X133" s="1"/>
  <c r="P133" s="1"/>
  <c r="AM131" s="1"/>
  <c r="AN131" s="1"/>
  <c r="AO131" s="1"/>
  <c r="O133" s="1"/>
  <c r="T105"/>
  <c r="V105" s="1"/>
  <c r="X105" s="1"/>
  <c r="P105" s="1"/>
  <c r="AM103" s="1"/>
  <c r="U280"/>
  <c r="W280" s="1"/>
  <c r="Y280" s="1"/>
  <c r="P280" s="1"/>
  <c r="AP278" s="1"/>
  <c r="AQ278" s="1"/>
  <c r="AR278" s="1"/>
  <c r="O280" s="1"/>
  <c r="U250"/>
  <c r="W250" s="1"/>
  <c r="Y250" s="1"/>
  <c r="P250" s="1"/>
  <c r="AP248" s="1"/>
  <c r="AQ248" s="1"/>
  <c r="AR248" s="1"/>
  <c r="O250" s="1"/>
  <c r="U246"/>
  <c r="W246" s="1"/>
  <c r="Y246" s="1"/>
  <c r="P246" s="1"/>
  <c r="AP244" s="1"/>
  <c r="AQ244" s="1"/>
  <c r="AR244" s="1"/>
  <c r="O246" s="1"/>
  <c r="U216"/>
  <c r="W216" s="1"/>
  <c r="Y216" s="1"/>
  <c r="P216" s="1"/>
  <c r="AP214" s="1"/>
  <c r="AQ214" s="1"/>
  <c r="AR214" s="1"/>
  <c r="O216" s="1"/>
  <c r="U186"/>
  <c r="W186" s="1"/>
  <c r="Y186" s="1"/>
  <c r="P186" s="1"/>
  <c r="AP184" s="1"/>
  <c r="AQ184" s="1"/>
  <c r="AR184" s="1"/>
  <c r="O186" s="1"/>
  <c r="U182"/>
  <c r="W182" s="1"/>
  <c r="Y182" s="1"/>
  <c r="P182" s="1"/>
  <c r="AP180" s="1"/>
  <c r="AQ180" s="1"/>
  <c r="AR180" s="1"/>
  <c r="O182" s="1"/>
  <c r="U140"/>
  <c r="W140" s="1"/>
  <c r="Y140" s="1"/>
  <c r="P140" s="1"/>
  <c r="AP138" s="1"/>
  <c r="AQ138" s="1"/>
  <c r="AR138" s="1"/>
  <c r="O140" s="1"/>
  <c r="U124"/>
  <c r="W124" s="1"/>
  <c r="Y124" s="1"/>
  <c r="P124" s="1"/>
  <c r="AP122" s="1"/>
  <c r="AQ122" s="1"/>
  <c r="AR122" s="1"/>
  <c r="O124" s="1"/>
  <c r="U108"/>
  <c r="W108" s="1"/>
  <c r="Y108" s="1"/>
  <c r="P108" s="1"/>
  <c r="AP106" s="1"/>
  <c r="U92"/>
  <c r="W92" s="1"/>
  <c r="Y92" s="1"/>
  <c r="P92" s="1"/>
  <c r="AP90" s="1"/>
  <c r="AG89"/>
  <c r="AK95"/>
  <c r="AK96"/>
  <c r="AK100"/>
  <c r="AK104"/>
  <c r="T283"/>
  <c r="V283" s="1"/>
  <c r="X283" s="1"/>
  <c r="P283" s="1"/>
  <c r="AM281" s="1"/>
  <c r="AN281" s="1"/>
  <c r="AO281" s="1"/>
  <c r="O283" s="1"/>
  <c r="T249"/>
  <c r="V249" s="1"/>
  <c r="X249" s="1"/>
  <c r="P249" s="1"/>
  <c r="AM247" s="1"/>
  <c r="AN247" s="1"/>
  <c r="AO247" s="1"/>
  <c r="O249" s="1"/>
  <c r="AK88"/>
  <c r="U282"/>
  <c r="W282" s="1"/>
  <c r="Y282" s="1"/>
  <c r="P282" s="1"/>
  <c r="AP280" s="1"/>
  <c r="AQ280" s="1"/>
  <c r="AR280" s="1"/>
  <c r="O282" s="1"/>
  <c r="U248"/>
  <c r="W248" s="1"/>
  <c r="Y248" s="1"/>
  <c r="P248" s="1"/>
  <c r="AP246" s="1"/>
  <c r="AQ246" s="1"/>
  <c r="AR246" s="1"/>
  <c r="O248" s="1"/>
  <c r="U214"/>
  <c r="W214" s="1"/>
  <c r="Y214" s="1"/>
  <c r="P214" s="1"/>
  <c r="AP212" s="1"/>
  <c r="AQ212" s="1"/>
  <c r="AR212" s="1"/>
  <c r="O214" s="1"/>
  <c r="U148"/>
  <c r="W148" s="1"/>
  <c r="Y148" s="1"/>
  <c r="P148" s="1"/>
  <c r="AP146" s="1"/>
  <c r="AQ146" s="1"/>
  <c r="AR146" s="1"/>
  <c r="O148" s="1"/>
  <c r="U116"/>
  <c r="W116" s="1"/>
  <c r="Y116" s="1"/>
  <c r="P116" s="1"/>
  <c r="AP114" s="1"/>
  <c r="AQ114" s="1"/>
  <c r="AR114" s="1"/>
  <c r="O116" s="1"/>
  <c r="AS186"/>
  <c r="AU186" s="1"/>
  <c r="AS178"/>
  <c r="AU178" s="1"/>
  <c r="AS170"/>
  <c r="AU170" s="1"/>
  <c r="AS162"/>
  <c r="AU162" s="1"/>
  <c r="AS154"/>
  <c r="AU154" s="1"/>
  <c r="AS146"/>
  <c r="AU146" s="1"/>
  <c r="AS138"/>
  <c r="AU138" s="1"/>
  <c r="AS130"/>
  <c r="AU130" s="1"/>
  <c r="AS122"/>
  <c r="AU122" s="1"/>
  <c r="AS114"/>
  <c r="AU114" s="1"/>
  <c r="AS106"/>
  <c r="AU106" s="1"/>
  <c r="AS98"/>
  <c r="AU98" s="1"/>
  <c r="AS90"/>
  <c r="AU90" s="1"/>
  <c r="AK94"/>
  <c r="AG96"/>
  <c r="AK97"/>
  <c r="AK101"/>
  <c r="AK105"/>
  <c r="T261"/>
  <c r="V261" s="1"/>
  <c r="X261" s="1"/>
  <c r="P261" s="1"/>
  <c r="AM259" s="1"/>
  <c r="AN259" s="1"/>
  <c r="AO259" s="1"/>
  <c r="O261" s="1"/>
  <c r="T227"/>
  <c r="V227" s="1"/>
  <c r="X227" s="1"/>
  <c r="P227" s="1"/>
  <c r="AM225" s="1"/>
  <c r="AN225" s="1"/>
  <c r="AO225" s="1"/>
  <c r="O227" s="1"/>
  <c r="T193"/>
  <c r="V193" s="1"/>
  <c r="X193" s="1"/>
  <c r="P193" s="1"/>
  <c r="AM191" s="1"/>
  <c r="AN191" s="1"/>
  <c r="AO191" s="1"/>
  <c r="O193" s="1"/>
  <c r="U242"/>
  <c r="W242" s="1"/>
  <c r="Y242" s="1"/>
  <c r="P242" s="1"/>
  <c r="AP240" s="1"/>
  <c r="AQ240" s="1"/>
  <c r="AR240" s="1"/>
  <c r="O242" s="1"/>
  <c r="U208"/>
  <c r="W208" s="1"/>
  <c r="Y208" s="1"/>
  <c r="P208" s="1"/>
  <c r="AP206" s="1"/>
  <c r="AQ206" s="1"/>
  <c r="AR206" s="1"/>
  <c r="O208" s="1"/>
  <c r="U174"/>
  <c r="W174" s="1"/>
  <c r="Y174" s="1"/>
  <c r="P174" s="1"/>
  <c r="AP172" s="1"/>
  <c r="AQ172" s="1"/>
  <c r="AR172" s="1"/>
  <c r="O174" s="1"/>
  <c r="U150"/>
  <c r="W150" s="1"/>
  <c r="Y150" s="1"/>
  <c r="P150" s="1"/>
  <c r="AP148" s="1"/>
  <c r="AQ148" s="1"/>
  <c r="AR148" s="1"/>
  <c r="O150" s="1"/>
  <c r="U118"/>
  <c r="W118" s="1"/>
  <c r="Y118" s="1"/>
  <c r="P118" s="1"/>
  <c r="AP116" s="1"/>
  <c r="AQ116" s="1"/>
  <c r="AR116" s="1"/>
  <c r="O118" s="1"/>
  <c r="AG90"/>
  <c r="AG91"/>
  <c r="AE93"/>
  <c r="T141"/>
  <c r="V141" s="1"/>
  <c r="X141" s="1"/>
  <c r="P141" s="1"/>
  <c r="AM139" s="1"/>
  <c r="AN139" s="1"/>
  <c r="AO139" s="1"/>
  <c r="O141" s="1"/>
  <c r="U272"/>
  <c r="W272" s="1"/>
  <c r="Y272" s="1"/>
  <c r="P272" s="1"/>
  <c r="AP270" s="1"/>
  <c r="AQ270" s="1"/>
  <c r="AR270" s="1"/>
  <c r="O272" s="1"/>
  <c r="U238"/>
  <c r="W238" s="1"/>
  <c r="Y238" s="1"/>
  <c r="P238" s="1"/>
  <c r="AP236" s="1"/>
  <c r="AQ236" s="1"/>
  <c r="AR236" s="1"/>
  <c r="O238" s="1"/>
  <c r="U102"/>
  <c r="W102" s="1"/>
  <c r="Y102" s="1"/>
  <c r="P102" s="1"/>
  <c r="AP100" s="1"/>
  <c r="T233"/>
  <c r="V233" s="1"/>
  <c r="X233" s="1"/>
  <c r="P233" s="1"/>
  <c r="AM231" s="1"/>
  <c r="AN231" s="1"/>
  <c r="AO231" s="1"/>
  <c r="O233" s="1"/>
  <c r="T187"/>
  <c r="V187" s="1"/>
  <c r="X187" s="1"/>
  <c r="P187" s="1"/>
  <c r="AM185" s="1"/>
  <c r="AN185" s="1"/>
  <c r="AO185" s="1"/>
  <c r="O187" s="1"/>
  <c r="U278"/>
  <c r="W278" s="1"/>
  <c r="Y278" s="1"/>
  <c r="P278" s="1"/>
  <c r="AP276" s="1"/>
  <c r="AQ276" s="1"/>
  <c r="AR276" s="1"/>
  <c r="O278" s="1"/>
  <c r="U132"/>
  <c r="W132" s="1"/>
  <c r="Y132" s="1"/>
  <c r="P132" s="1"/>
  <c r="AP130" s="1"/>
  <c r="AQ130" s="1"/>
  <c r="AR130" s="1"/>
  <c r="O132" s="1"/>
  <c r="AS182"/>
  <c r="AU182" s="1"/>
  <c r="AS166"/>
  <c r="AU166" s="1"/>
  <c r="AS150"/>
  <c r="AU150" s="1"/>
  <c r="AS134"/>
  <c r="AU134" s="1"/>
  <c r="AS118"/>
  <c r="AU118" s="1"/>
  <c r="AS102"/>
  <c r="AU102" s="1"/>
  <c r="T107"/>
  <c r="V107" s="1"/>
  <c r="X107" s="1"/>
  <c r="P107" s="1"/>
  <c r="AM105" s="1"/>
  <c r="U218"/>
  <c r="W218" s="1"/>
  <c r="Y218" s="1"/>
  <c r="P218" s="1"/>
  <c r="AP216" s="1"/>
  <c r="AQ216" s="1"/>
  <c r="AR216" s="1"/>
  <c r="O218" s="1"/>
  <c r="U184"/>
  <c r="W184" s="1"/>
  <c r="Y184" s="1"/>
  <c r="P184" s="1"/>
  <c r="AP182" s="1"/>
  <c r="AQ182" s="1"/>
  <c r="AR182" s="1"/>
  <c r="O184" s="1"/>
  <c r="U100"/>
  <c r="W100" s="1"/>
  <c r="Y100" s="1"/>
  <c r="P100" s="1"/>
  <c r="AP98" s="1"/>
  <c r="AS174"/>
  <c r="AU174" s="1"/>
  <c r="AS142"/>
  <c r="AU142" s="1"/>
  <c r="AS110"/>
  <c r="AU110" s="1"/>
  <c r="T267"/>
  <c r="V267" s="1"/>
  <c r="X267" s="1"/>
  <c r="P267" s="1"/>
  <c r="AM265" s="1"/>
  <c r="AN265" s="1"/>
  <c r="AO265" s="1"/>
  <c r="O267" s="1"/>
  <c r="T221"/>
  <c r="V221" s="1"/>
  <c r="X221" s="1"/>
  <c r="P221" s="1"/>
  <c r="AM219" s="1"/>
  <c r="AN219" s="1"/>
  <c r="AO219" s="1"/>
  <c r="O221" s="1"/>
  <c r="U178"/>
  <c r="W178" s="1"/>
  <c r="Y178" s="1"/>
  <c r="P178" s="1"/>
  <c r="AP176" s="1"/>
  <c r="AQ176" s="1"/>
  <c r="AR176" s="1"/>
  <c r="O178" s="1"/>
  <c r="T153"/>
  <c r="V153" s="1"/>
  <c r="X153" s="1"/>
  <c r="P153" s="1"/>
  <c r="AM151" s="1"/>
  <c r="AN151" s="1"/>
  <c r="AO151" s="1"/>
  <c r="O153" s="1"/>
  <c r="AS126"/>
  <c r="AU126" s="1"/>
  <c r="U134"/>
  <c r="W134" s="1"/>
  <c r="Y134" s="1"/>
  <c r="P134" s="1"/>
  <c r="AP132" s="1"/>
  <c r="AQ132" s="1"/>
  <c r="AR132" s="1"/>
  <c r="O134" s="1"/>
  <c r="AS158"/>
  <c r="AU158" s="1"/>
  <c r="AS94"/>
  <c r="AU94" s="1"/>
  <c r="CF107" i="6"/>
  <c r="CG107"/>
  <c r="Y102" i="8"/>
  <c r="Y103"/>
  <c r="X104"/>
  <c r="Y3" i="2"/>
  <c r="AE12"/>
  <c r="AE17"/>
  <c r="AE15"/>
  <c r="AE3"/>
  <c r="AE16"/>
  <c r="AE21"/>
  <c r="AE5"/>
  <c r="AE6"/>
  <c r="CV1"/>
  <c r="AE14"/>
  <c r="AE4"/>
  <c r="AE7"/>
  <c r="AE22"/>
  <c r="AE20"/>
  <c r="AE19"/>
  <c r="AE18"/>
  <c r="AE11"/>
  <c r="AE9"/>
  <c r="AE10"/>
  <c r="AE13"/>
  <c r="AE23"/>
  <c r="AE8"/>
  <c r="BI14" i="5"/>
  <c r="BE3"/>
  <c r="BE5" s="1"/>
  <c r="BA4"/>
  <c r="BE4" s="1"/>
  <c r="CF113" i="6"/>
  <c r="CG113"/>
  <c r="CG112"/>
  <c r="CF112"/>
  <c r="CF124"/>
  <c r="CG124"/>
  <c r="P31" i="8"/>
  <c r="P30"/>
  <c r="B18"/>
  <c r="B19" s="1"/>
  <c r="B20" s="1"/>
  <c r="C18"/>
  <c r="C19" s="1"/>
  <c r="C20" s="1"/>
  <c r="BH15" i="4"/>
  <c r="BG15"/>
  <c r="BE15"/>
  <c r="BF15"/>
  <c r="BI15" s="1"/>
  <c r="L39" i="10"/>
  <c r="N39"/>
  <c r="J40"/>
  <c r="DD9" i="6"/>
  <c r="DA21"/>
  <c r="CF110"/>
  <c r="CG110"/>
  <c r="CZ20"/>
  <c r="DD8"/>
  <c r="BI21" i="5"/>
  <c r="BJ21" s="1"/>
  <c r="BI22"/>
  <c r="BJ22" s="1"/>
  <c r="BI23"/>
  <c r="BJ23" s="1"/>
  <c r="CF106" i="6"/>
  <c r="CG106"/>
  <c r="CF109"/>
  <c r="CG109"/>
  <c r="X18" i="9"/>
  <c r="X17"/>
  <c r="C19"/>
  <c r="C20" s="1"/>
  <c r="C21" s="1"/>
  <c r="Z7"/>
  <c r="N35"/>
  <c r="C17" i="8"/>
  <c r="B17"/>
  <c r="C14" l="1"/>
  <c r="B14"/>
  <c r="DI4" i="2"/>
  <c r="DL3"/>
  <c r="DX6"/>
  <c r="DL4"/>
  <c r="K7"/>
  <c r="DN3"/>
  <c r="CU36"/>
  <c r="CU40"/>
  <c r="CU44"/>
  <c r="CU48"/>
  <c r="CU52"/>
  <c r="CU56"/>
  <c r="CU60"/>
  <c r="CU64"/>
  <c r="CU68"/>
  <c r="CU72"/>
  <c r="CU76"/>
  <c r="CU80"/>
  <c r="CU84"/>
  <c r="CU88"/>
  <c r="CU92"/>
  <c r="CU96"/>
  <c r="CU100"/>
  <c r="CU104"/>
  <c r="CU108"/>
  <c r="CU112"/>
  <c r="CU116"/>
  <c r="CU120"/>
  <c r="CU124"/>
  <c r="CU128"/>
  <c r="CU132"/>
  <c r="CU136"/>
  <c r="CU140"/>
  <c r="CU144"/>
  <c r="CU148"/>
  <c r="CU152"/>
  <c r="CU156"/>
  <c r="CU160"/>
  <c r="CU164"/>
  <c r="CU168"/>
  <c r="CU172"/>
  <c r="CU176"/>
  <c r="CU180"/>
  <c r="CU184"/>
  <c r="CU188"/>
  <c r="CU192"/>
  <c r="CU196"/>
  <c r="CU200"/>
  <c r="CU204"/>
  <c r="CU208"/>
  <c r="CU212"/>
  <c r="CU216"/>
  <c r="CU220"/>
  <c r="CU224"/>
  <c r="CU228"/>
  <c r="CU232"/>
  <c r="CU236"/>
  <c r="CU240"/>
  <c r="CU244"/>
  <c r="CU248"/>
  <c r="CU252"/>
  <c r="CU256"/>
  <c r="CU260"/>
  <c r="CU264"/>
  <c r="CU268"/>
  <c r="CU272"/>
  <c r="CU276"/>
  <c r="CU280"/>
  <c r="CU284"/>
  <c r="CU288"/>
  <c r="CU292"/>
  <c r="CU296"/>
  <c r="CU300"/>
  <c r="CT4"/>
  <c r="CT8"/>
  <c r="CT12"/>
  <c r="CT16"/>
  <c r="CT20"/>
  <c r="CT24"/>
  <c r="CT28"/>
  <c r="CT32"/>
  <c r="CT36"/>
  <c r="CT40"/>
  <c r="CT44"/>
  <c r="CT48"/>
  <c r="CT52"/>
  <c r="CT56"/>
  <c r="CT60"/>
  <c r="CT64"/>
  <c r="CT68"/>
  <c r="CT72"/>
  <c r="CT76"/>
  <c r="CT80"/>
  <c r="CT84"/>
  <c r="CT88"/>
  <c r="CT92"/>
  <c r="CT96"/>
  <c r="CT100"/>
  <c r="CT104"/>
  <c r="CT108"/>
  <c r="CT112"/>
  <c r="CT116"/>
  <c r="CT120"/>
  <c r="CT124"/>
  <c r="CT128"/>
  <c r="CT132"/>
  <c r="CT136"/>
  <c r="CT140"/>
  <c r="CT144"/>
  <c r="CT148"/>
  <c r="CT152"/>
  <c r="CT156"/>
  <c r="CT160"/>
  <c r="CT164"/>
  <c r="CT168"/>
  <c r="CT172"/>
  <c r="CT176"/>
  <c r="CT180"/>
  <c r="CT184"/>
  <c r="CT188"/>
  <c r="CT192"/>
  <c r="CT196"/>
  <c r="CT200"/>
  <c r="CT204"/>
  <c r="CT208"/>
  <c r="CT212"/>
  <c r="CT216"/>
  <c r="CT220"/>
  <c r="CT224"/>
  <c r="CT228"/>
  <c r="CT232"/>
  <c r="CT236"/>
  <c r="CT240"/>
  <c r="CT244"/>
  <c r="CT248"/>
  <c r="CT252"/>
  <c r="CT256"/>
  <c r="CT260"/>
  <c r="CT264"/>
  <c r="CT268"/>
  <c r="CT272"/>
  <c r="CT276"/>
  <c r="CT280"/>
  <c r="CT284"/>
  <c r="CT288"/>
  <c r="CT292"/>
  <c r="CT296"/>
  <c r="CT300"/>
  <c r="DW4"/>
  <c r="CV41"/>
  <c r="CV42"/>
  <c r="CV47"/>
  <c r="CV48"/>
  <c r="CV53"/>
  <c r="CV59"/>
  <c r="CV64"/>
  <c r="CV66"/>
  <c r="CV71"/>
  <c r="CV72"/>
  <c r="CV82"/>
  <c r="CV84"/>
  <c r="CV89"/>
  <c r="CV94"/>
  <c r="CV95"/>
  <c r="CV96"/>
  <c r="CV97"/>
  <c r="CV98"/>
  <c r="CV99"/>
  <c r="CV100"/>
  <c r="CV101"/>
  <c r="CV102"/>
  <c r="CV104"/>
  <c r="CV106"/>
  <c r="CV107"/>
  <c r="CV109"/>
  <c r="CV111"/>
  <c r="CV113"/>
  <c r="CV115"/>
  <c r="CV117"/>
  <c r="CV119"/>
  <c r="CV121"/>
  <c r="CV123"/>
  <c r="CV125"/>
  <c r="CV127"/>
  <c r="CV129"/>
  <c r="CV131"/>
  <c r="CV202"/>
  <c r="CV204"/>
  <c r="CV206"/>
  <c r="CV208"/>
  <c r="CV210"/>
  <c r="CV212"/>
  <c r="CV214"/>
  <c r="CV216"/>
  <c r="CV218"/>
  <c r="CV220"/>
  <c r="CV222"/>
  <c r="CV224"/>
  <c r="CV226"/>
  <c r="CV228"/>
  <c r="CV230"/>
  <c r="CV232"/>
  <c r="CV234"/>
  <c r="CV236"/>
  <c r="CV238"/>
  <c r="CV240"/>
  <c r="CV242"/>
  <c r="CV244"/>
  <c r="CV246"/>
  <c r="CV248"/>
  <c r="CV250"/>
  <c r="CV252"/>
  <c r="CV254"/>
  <c r="CV256"/>
  <c r="CV258"/>
  <c r="CV260"/>
  <c r="CV262"/>
  <c r="CV264"/>
  <c r="CV266"/>
  <c r="CV268"/>
  <c r="CV270"/>
  <c r="CV272"/>
  <c r="CV274"/>
  <c r="CV276"/>
  <c r="CV278"/>
  <c r="CV280"/>
  <c r="CV282"/>
  <c r="CV284"/>
  <c r="CV286"/>
  <c r="CV288"/>
  <c r="CV290"/>
  <c r="CV292"/>
  <c r="CV294"/>
  <c r="CV296"/>
  <c r="CV298"/>
  <c r="CV300"/>
  <c r="CV302"/>
  <c r="CU37"/>
  <c r="CU41"/>
  <c r="CU45"/>
  <c r="CU49"/>
  <c r="CU53"/>
  <c r="CU57"/>
  <c r="CU61"/>
  <c r="CU65"/>
  <c r="CU69"/>
  <c r="CU73"/>
  <c r="CU77"/>
  <c r="CU81"/>
  <c r="CU85"/>
  <c r="CU89"/>
  <c r="CU93"/>
  <c r="CU97"/>
  <c r="CU101"/>
  <c r="CU105"/>
  <c r="CU109"/>
  <c r="CU113"/>
  <c r="CU117"/>
  <c r="CU121"/>
  <c r="CU125"/>
  <c r="CU129"/>
  <c r="CU133"/>
  <c r="CU137"/>
  <c r="CU141"/>
  <c r="CU145"/>
  <c r="CU149"/>
  <c r="CU153"/>
  <c r="CU157"/>
  <c r="CU161"/>
  <c r="CU165"/>
  <c r="CU169"/>
  <c r="CU173"/>
  <c r="CU177"/>
  <c r="CU181"/>
  <c r="CU185"/>
  <c r="CU189"/>
  <c r="CU193"/>
  <c r="CU197"/>
  <c r="CU201"/>
  <c r="CU205"/>
  <c r="CU209"/>
  <c r="CU213"/>
  <c r="CU217"/>
  <c r="CU221"/>
  <c r="CU225"/>
  <c r="CU229"/>
  <c r="CU233"/>
  <c r="CU237"/>
  <c r="CU241"/>
  <c r="CU245"/>
  <c r="CU249"/>
  <c r="CU253"/>
  <c r="CU257"/>
  <c r="CU261"/>
  <c r="CU265"/>
  <c r="CU269"/>
  <c r="CU273"/>
  <c r="CU277"/>
  <c r="CU281"/>
  <c r="CU285"/>
  <c r="CU289"/>
  <c r="CU293"/>
  <c r="CU297"/>
  <c r="CU301"/>
  <c r="CT7"/>
  <c r="CT11"/>
  <c r="CT15"/>
  <c r="CT19"/>
  <c r="CT23"/>
  <c r="CT27"/>
  <c r="CT31"/>
  <c r="CT35"/>
  <c r="CT39"/>
  <c r="CT43"/>
  <c r="CT47"/>
  <c r="CT51"/>
  <c r="CT55"/>
  <c r="CT59"/>
  <c r="CT63"/>
  <c r="CT67"/>
  <c r="CT71"/>
  <c r="CT75"/>
  <c r="CT79"/>
  <c r="CT83"/>
  <c r="CT87"/>
  <c r="CT91"/>
  <c r="CT95"/>
  <c r="CT99"/>
  <c r="CT103"/>
  <c r="CT107"/>
  <c r="CT111"/>
  <c r="CT115"/>
  <c r="CT119"/>
  <c r="CT123"/>
  <c r="CT127"/>
  <c r="CT131"/>
  <c r="CT135"/>
  <c r="CT139"/>
  <c r="CT143"/>
  <c r="CT147"/>
  <c r="CT151"/>
  <c r="CT155"/>
  <c r="CT159"/>
  <c r="CT163"/>
  <c r="CT167"/>
  <c r="CT171"/>
  <c r="CT175"/>
  <c r="CT179"/>
  <c r="CT183"/>
  <c r="CT187"/>
  <c r="CT191"/>
  <c r="CT195"/>
  <c r="CT199"/>
  <c r="CT203"/>
  <c r="CT207"/>
  <c r="CT211"/>
  <c r="CT215"/>
  <c r="CT219"/>
  <c r="CT223"/>
  <c r="CT227"/>
  <c r="CT231"/>
  <c r="CT235"/>
  <c r="CT239"/>
  <c r="CT243"/>
  <c r="CT247"/>
  <c r="CT251"/>
  <c r="CT255"/>
  <c r="CT259"/>
  <c r="CT263"/>
  <c r="CT267"/>
  <c r="CT271"/>
  <c r="CT275"/>
  <c r="CT279"/>
  <c r="CT283"/>
  <c r="CT287"/>
  <c r="CT291"/>
  <c r="CT295"/>
  <c r="CT299"/>
  <c r="CT303"/>
  <c r="AA25"/>
  <c r="CV38"/>
  <c r="CV43"/>
  <c r="CV44"/>
  <c r="CV45"/>
  <c r="CV49"/>
  <c r="CV50"/>
  <c r="CV51"/>
  <c r="CV55"/>
  <c r="CV61"/>
  <c r="CV63"/>
  <c r="CV68"/>
  <c r="CV73"/>
  <c r="CV74"/>
  <c r="CV75"/>
  <c r="CV86"/>
  <c r="CV91"/>
  <c r="CV93"/>
  <c r="CU42"/>
  <c r="CU47"/>
  <c r="CU58"/>
  <c r="CU63"/>
  <c r="CU74"/>
  <c r="CU79"/>
  <c r="CU90"/>
  <c r="CU95"/>
  <c r="CU106"/>
  <c r="CU111"/>
  <c r="CU122"/>
  <c r="CU127"/>
  <c r="CU138"/>
  <c r="CU143"/>
  <c r="CU154"/>
  <c r="CU159"/>
  <c r="CU170"/>
  <c r="CU175"/>
  <c r="CU186"/>
  <c r="CU191"/>
  <c r="CU202"/>
  <c r="CU207"/>
  <c r="CU218"/>
  <c r="CU223"/>
  <c r="CU234"/>
  <c r="CU239"/>
  <c r="CU250"/>
  <c r="CU255"/>
  <c r="CU266"/>
  <c r="CU271"/>
  <c r="CU282"/>
  <c r="CU287"/>
  <c r="CU298"/>
  <c r="CU303"/>
  <c r="CT6"/>
  <c r="CT14"/>
  <c r="CT22"/>
  <c r="CT30"/>
  <c r="CT38"/>
  <c r="CT46"/>
  <c r="CT54"/>
  <c r="CT62"/>
  <c r="CT70"/>
  <c r="CT78"/>
  <c r="CT86"/>
  <c r="CT94"/>
  <c r="CT102"/>
  <c r="CT110"/>
  <c r="CT118"/>
  <c r="CT126"/>
  <c r="CT134"/>
  <c r="CT142"/>
  <c r="CT150"/>
  <c r="CT158"/>
  <c r="CT166"/>
  <c r="CT174"/>
  <c r="CT182"/>
  <c r="CT190"/>
  <c r="CT198"/>
  <c r="CT206"/>
  <c r="CT214"/>
  <c r="CT222"/>
  <c r="CT230"/>
  <c r="CT238"/>
  <c r="CT246"/>
  <c r="CT254"/>
  <c r="CT262"/>
  <c r="CT270"/>
  <c r="CT278"/>
  <c r="CT286"/>
  <c r="CT294"/>
  <c r="CT302"/>
  <c r="CV37"/>
  <c r="CV52"/>
  <c r="CV60"/>
  <c r="CV67"/>
  <c r="CV79"/>
  <c r="CV83"/>
  <c r="CV90"/>
  <c r="CV110"/>
  <c r="CV114"/>
  <c r="CV128"/>
  <c r="CV132"/>
  <c r="CV134"/>
  <c r="CV136"/>
  <c r="CV138"/>
  <c r="CV140"/>
  <c r="CV142"/>
  <c r="CV144"/>
  <c r="CV146"/>
  <c r="CV148"/>
  <c r="CV150"/>
  <c r="CV152"/>
  <c r="CV154"/>
  <c r="CV156"/>
  <c r="CV158"/>
  <c r="CV160"/>
  <c r="CV162"/>
  <c r="CV164"/>
  <c r="CV166"/>
  <c r="CV168"/>
  <c r="CV170"/>
  <c r="CV172"/>
  <c r="CV174"/>
  <c r="CV176"/>
  <c r="CV178"/>
  <c r="CV180"/>
  <c r="CV182"/>
  <c r="CV184"/>
  <c r="CV186"/>
  <c r="CV188"/>
  <c r="CV190"/>
  <c r="CV192"/>
  <c r="CV194"/>
  <c r="CV196"/>
  <c r="CV198"/>
  <c r="CV200"/>
  <c r="CV203"/>
  <c r="CV209"/>
  <c r="CV219"/>
  <c r="CV225"/>
  <c r="CV235"/>
  <c r="CV241"/>
  <c r="CV251"/>
  <c r="CV257"/>
  <c r="CV267"/>
  <c r="CV273"/>
  <c r="CV283"/>
  <c r="CV289"/>
  <c r="CV299"/>
  <c r="CU38"/>
  <c r="CU43"/>
  <c r="CU54"/>
  <c r="CU59"/>
  <c r="CU70"/>
  <c r="CU75"/>
  <c r="CU86"/>
  <c r="CU91"/>
  <c r="CU102"/>
  <c r="CU107"/>
  <c r="CU118"/>
  <c r="CU123"/>
  <c r="CU134"/>
  <c r="CU139"/>
  <c r="CU150"/>
  <c r="CU155"/>
  <c r="CU166"/>
  <c r="CU171"/>
  <c r="CU182"/>
  <c r="CU187"/>
  <c r="CU198"/>
  <c r="CU203"/>
  <c r="CU214"/>
  <c r="CU219"/>
  <c r="CU230"/>
  <c r="CU235"/>
  <c r="CU246"/>
  <c r="CU251"/>
  <c r="CU262"/>
  <c r="CU267"/>
  <c r="CU278"/>
  <c r="CU283"/>
  <c r="CU294"/>
  <c r="CU299"/>
  <c r="CT9"/>
  <c r="CT17"/>
  <c r="CT25"/>
  <c r="CT33"/>
  <c r="CT41"/>
  <c r="CT49"/>
  <c r="CT57"/>
  <c r="CT65"/>
  <c r="CT73"/>
  <c r="CT81"/>
  <c r="CT89"/>
  <c r="CT97"/>
  <c r="CT105"/>
  <c r="CT113"/>
  <c r="CT121"/>
  <c r="CT129"/>
  <c r="CT137"/>
  <c r="CT145"/>
  <c r="CT153"/>
  <c r="CT161"/>
  <c r="CT169"/>
  <c r="CT177"/>
  <c r="CT185"/>
  <c r="CT193"/>
  <c r="CT201"/>
  <c r="CT209"/>
  <c r="CT217"/>
  <c r="CT225"/>
  <c r="CT233"/>
  <c r="CT241"/>
  <c r="CT249"/>
  <c r="CT257"/>
  <c r="CT265"/>
  <c r="CT273"/>
  <c r="CT281"/>
  <c r="CT289"/>
  <c r="CT297"/>
  <c r="CW3"/>
  <c r="AA27" s="1"/>
  <c r="CV36"/>
  <c r="CV40"/>
  <c r="CV46"/>
  <c r="CV56"/>
  <c r="CV57"/>
  <c r="CV62"/>
  <c r="CV77"/>
  <c r="CV81"/>
  <c r="CV87"/>
  <c r="CV105"/>
  <c r="CV108"/>
  <c r="CV118"/>
  <c r="CV122"/>
  <c r="CV207"/>
  <c r="CV213"/>
  <c r="CV223"/>
  <c r="CV229"/>
  <c r="CV239"/>
  <c r="CV245"/>
  <c r="CV255"/>
  <c r="CV261"/>
  <c r="CV271"/>
  <c r="CV277"/>
  <c r="CV287"/>
  <c r="CV293"/>
  <c r="CV303"/>
  <c r="CU35"/>
  <c r="CU51"/>
  <c r="CU67"/>
  <c r="CU83"/>
  <c r="CU99"/>
  <c r="CU115"/>
  <c r="CU131"/>
  <c r="CU147"/>
  <c r="CU163"/>
  <c r="CU179"/>
  <c r="CU195"/>
  <c r="CU211"/>
  <c r="CU227"/>
  <c r="CU243"/>
  <c r="CU259"/>
  <c r="CU275"/>
  <c r="CU291"/>
  <c r="CT18"/>
  <c r="CT34"/>
  <c r="CT50"/>
  <c r="CT66"/>
  <c r="CT82"/>
  <c r="CT98"/>
  <c r="CT114"/>
  <c r="CT130"/>
  <c r="CT146"/>
  <c r="CT162"/>
  <c r="CT178"/>
  <c r="CT194"/>
  <c r="CT210"/>
  <c r="CT226"/>
  <c r="CT242"/>
  <c r="CT258"/>
  <c r="CT274"/>
  <c r="CT290"/>
  <c r="CV35"/>
  <c r="CV70"/>
  <c r="CV80"/>
  <c r="CV130"/>
  <c r="CV141"/>
  <c r="CV145"/>
  <c r="CV159"/>
  <c r="CV163"/>
  <c r="CV173"/>
  <c r="CV177"/>
  <c r="CV191"/>
  <c r="CV195"/>
  <c r="CV217"/>
  <c r="CV221"/>
  <c r="CV243"/>
  <c r="CV247"/>
  <c r="CV281"/>
  <c r="CV285"/>
  <c r="CU46"/>
  <c r="CU66"/>
  <c r="CU78"/>
  <c r="CU98"/>
  <c r="CU110"/>
  <c r="CU130"/>
  <c r="CU142"/>
  <c r="CU162"/>
  <c r="CU178"/>
  <c r="CU194"/>
  <c r="CU206"/>
  <c r="CU222"/>
  <c r="CU242"/>
  <c r="CU258"/>
  <c r="CU274"/>
  <c r="CU290"/>
  <c r="CU302"/>
  <c r="CT29"/>
  <c r="CT61"/>
  <c r="CT93"/>
  <c r="CT125"/>
  <c r="CT157"/>
  <c r="CT189"/>
  <c r="CT221"/>
  <c r="CT253"/>
  <c r="CT285"/>
  <c r="CV69"/>
  <c r="CV76"/>
  <c r="CV124"/>
  <c r="CV133"/>
  <c r="CV137"/>
  <c r="CV169"/>
  <c r="CV197"/>
  <c r="CV201"/>
  <c r="CV265"/>
  <c r="CT10"/>
  <c r="CT42"/>
  <c r="CT74"/>
  <c r="CT106"/>
  <c r="CT138"/>
  <c r="CT170"/>
  <c r="CT202"/>
  <c r="CT234"/>
  <c r="CT266"/>
  <c r="CT298"/>
  <c r="AA26"/>
  <c r="CV78"/>
  <c r="CV92"/>
  <c r="CV126"/>
  <c r="CV143"/>
  <c r="CV147"/>
  <c r="CV157"/>
  <c r="CV189"/>
  <c r="CV193"/>
  <c r="CV275"/>
  <c r="CV279"/>
  <c r="CU39"/>
  <c r="CU55"/>
  <c r="CU71"/>
  <c r="CU87"/>
  <c r="CU103"/>
  <c r="CU119"/>
  <c r="CU135"/>
  <c r="CU151"/>
  <c r="CU167"/>
  <c r="CU183"/>
  <c r="CU199"/>
  <c r="CU215"/>
  <c r="CU231"/>
  <c r="CU247"/>
  <c r="CU263"/>
  <c r="CU279"/>
  <c r="CU295"/>
  <c r="CT5"/>
  <c r="CT21"/>
  <c r="CT37"/>
  <c r="CT53"/>
  <c r="CT69"/>
  <c r="CT85"/>
  <c r="CT101"/>
  <c r="CT117"/>
  <c r="CT133"/>
  <c r="CT149"/>
  <c r="CT165"/>
  <c r="CT181"/>
  <c r="CT197"/>
  <c r="CT213"/>
  <c r="CT229"/>
  <c r="CT245"/>
  <c r="CT261"/>
  <c r="CT277"/>
  <c r="CT293"/>
  <c r="CV39"/>
  <c r="CV58"/>
  <c r="CV65"/>
  <c r="CV85"/>
  <c r="CV116"/>
  <c r="CV120"/>
  <c r="CV135"/>
  <c r="CV139"/>
  <c r="CV149"/>
  <c r="CV153"/>
  <c r="CV167"/>
  <c r="CV171"/>
  <c r="CV181"/>
  <c r="CV185"/>
  <c r="CV199"/>
  <c r="CV233"/>
  <c r="CV237"/>
  <c r="CV259"/>
  <c r="CV263"/>
  <c r="CV297"/>
  <c r="CV301"/>
  <c r="CU50"/>
  <c r="CU62"/>
  <c r="CU82"/>
  <c r="CU94"/>
  <c r="CU114"/>
  <c r="CU126"/>
  <c r="CU146"/>
  <c r="CU158"/>
  <c r="CU174"/>
  <c r="CU190"/>
  <c r="CU210"/>
  <c r="CU226"/>
  <c r="CU238"/>
  <c r="CU254"/>
  <c r="CU270"/>
  <c r="CU286"/>
  <c r="CT13"/>
  <c r="CT45"/>
  <c r="CT77"/>
  <c r="CT109"/>
  <c r="CT141"/>
  <c r="CT173"/>
  <c r="CT205"/>
  <c r="CT237"/>
  <c r="CT269"/>
  <c r="CT301"/>
  <c r="CV54"/>
  <c r="CV88"/>
  <c r="CV151"/>
  <c r="CV155"/>
  <c r="CV165"/>
  <c r="CV183"/>
  <c r="CV187"/>
  <c r="CV205"/>
  <c r="CV227"/>
  <c r="CV231"/>
  <c r="CV269"/>
  <c r="CV291"/>
  <c r="CV295"/>
  <c r="CT26"/>
  <c r="CT58"/>
  <c r="CT90"/>
  <c r="CT122"/>
  <c r="CT154"/>
  <c r="CT186"/>
  <c r="CT218"/>
  <c r="CT250"/>
  <c r="CT282"/>
  <c r="CV103"/>
  <c r="CV112"/>
  <c r="CV161"/>
  <c r="CV175"/>
  <c r="CV179"/>
  <c r="CV211"/>
  <c r="CV215"/>
  <c r="CV249"/>
  <c r="CV253"/>
  <c r="AD28"/>
  <c r="AT134" i="9"/>
  <c r="AB134" s="1"/>
  <c r="AV134"/>
  <c r="AW134" s="1"/>
  <c r="AA134" s="1"/>
  <c r="AV90"/>
  <c r="AW90" s="1"/>
  <c r="AA90" s="1"/>
  <c r="AT90"/>
  <c r="AB90" s="1"/>
  <c r="AT154"/>
  <c r="AB154" s="1"/>
  <c r="AV154"/>
  <c r="AW154" s="1"/>
  <c r="AA154" s="1"/>
  <c r="AT92"/>
  <c r="AB92" s="1"/>
  <c r="AV92"/>
  <c r="AW92" s="1"/>
  <c r="AA92" s="1"/>
  <c r="AV124"/>
  <c r="AW124" s="1"/>
  <c r="AA124" s="1"/>
  <c r="AT124"/>
  <c r="AB124" s="1"/>
  <c r="AV156"/>
  <c r="AW156" s="1"/>
  <c r="AA156" s="1"/>
  <c r="AT156"/>
  <c r="AB156" s="1"/>
  <c r="AT99"/>
  <c r="AB99" s="1"/>
  <c r="AV99"/>
  <c r="AW99" s="1"/>
  <c r="AA99" s="1"/>
  <c r="AT115"/>
  <c r="AB115" s="1"/>
  <c r="AV115"/>
  <c r="AW115" s="1"/>
  <c r="AA115" s="1"/>
  <c r="AT131"/>
  <c r="AB131" s="1"/>
  <c r="AV131"/>
  <c r="AW131" s="1"/>
  <c r="AA131" s="1"/>
  <c r="AT147"/>
  <c r="AB147" s="1"/>
  <c r="AV147"/>
  <c r="AW147" s="1"/>
  <c r="AA147" s="1"/>
  <c r="AT155"/>
  <c r="AB155" s="1"/>
  <c r="AV155"/>
  <c r="AW155" s="1"/>
  <c r="AA155" s="1"/>
  <c r="AT179"/>
  <c r="AB179" s="1"/>
  <c r="AV179"/>
  <c r="AW179" s="1"/>
  <c r="AA179" s="1"/>
  <c r="AT187"/>
  <c r="AB187" s="1"/>
  <c r="AV187"/>
  <c r="AW187" s="1"/>
  <c r="AA187" s="1"/>
  <c r="AT94"/>
  <c r="AB94" s="1"/>
  <c r="AV94"/>
  <c r="AW94" s="1"/>
  <c r="AA94" s="1"/>
  <c r="AT110"/>
  <c r="AB110" s="1"/>
  <c r="AV110"/>
  <c r="AW110" s="1"/>
  <c r="AA110" s="1"/>
  <c r="AT114"/>
  <c r="AB114" s="1"/>
  <c r="AV114"/>
  <c r="AW114" s="1"/>
  <c r="AA114" s="1"/>
  <c r="AT178"/>
  <c r="AB178" s="1"/>
  <c r="AV178"/>
  <c r="AW178" s="1"/>
  <c r="AA178" s="1"/>
  <c r="AV120"/>
  <c r="AW120" s="1"/>
  <c r="AA120" s="1"/>
  <c r="AT120"/>
  <c r="AB120" s="1"/>
  <c r="AV184"/>
  <c r="AW184" s="1"/>
  <c r="AA184" s="1"/>
  <c r="AT184"/>
  <c r="AB184" s="1"/>
  <c r="AV113"/>
  <c r="AW113" s="1"/>
  <c r="AA113" s="1"/>
  <c r="AT113"/>
  <c r="AB113" s="1"/>
  <c r="AV145"/>
  <c r="AW145" s="1"/>
  <c r="AA145" s="1"/>
  <c r="AT145"/>
  <c r="AB145" s="1"/>
  <c r="BK26" i="5"/>
  <c r="BL26" s="1"/>
  <c r="BA27"/>
  <c r="BD26"/>
  <c r="BF26" s="1"/>
  <c r="BB26"/>
  <c r="BI26" s="1"/>
  <c r="BJ26" s="1"/>
  <c r="AZ26"/>
  <c r="BE26"/>
  <c r="BG26" s="1"/>
  <c r="AN103" i="9"/>
  <c r="AO103" s="1"/>
  <c r="O105" s="1"/>
  <c r="AQ88"/>
  <c r="AR88" s="1"/>
  <c r="O90" s="1"/>
  <c r="AQ106"/>
  <c r="AR106" s="1"/>
  <c r="O108" s="1"/>
  <c r="AN89"/>
  <c r="AO89" s="1"/>
  <c r="O91" s="1"/>
  <c r="AN101"/>
  <c r="AO101" s="1"/>
  <c r="O103" s="1"/>
  <c r="AQ104"/>
  <c r="AR104" s="1"/>
  <c r="O106" s="1"/>
  <c r="AN99"/>
  <c r="AO99" s="1"/>
  <c r="O101" s="1"/>
  <c r="AN109"/>
  <c r="AO109" s="1"/>
  <c r="O111" s="1"/>
  <c r="CF103" i="6"/>
  <c r="X105" i="8"/>
  <c r="AT118" i="9"/>
  <c r="AB118" s="1"/>
  <c r="AV118"/>
  <c r="AW118" s="1"/>
  <c r="AA118" s="1"/>
  <c r="AT182"/>
  <c r="AB182" s="1"/>
  <c r="AV182"/>
  <c r="AW182" s="1"/>
  <c r="AA182" s="1"/>
  <c r="AT146"/>
  <c r="AB146" s="1"/>
  <c r="AV146"/>
  <c r="AW146" s="1"/>
  <c r="AA146" s="1"/>
  <c r="AV104"/>
  <c r="AW104" s="1"/>
  <c r="AA104" s="1"/>
  <c r="AT104"/>
  <c r="AB104" s="1"/>
  <c r="AV136"/>
  <c r="AW136" s="1"/>
  <c r="AA136" s="1"/>
  <c r="AT136"/>
  <c r="AB136" s="1"/>
  <c r="AV152"/>
  <c r="AW152" s="1"/>
  <c r="AA152" s="1"/>
  <c r="AT152"/>
  <c r="AB152" s="1"/>
  <c r="AV168"/>
  <c r="AW168" s="1"/>
  <c r="AA168" s="1"/>
  <c r="AT168"/>
  <c r="AB168" s="1"/>
  <c r="AV97"/>
  <c r="AW97" s="1"/>
  <c r="AA97" s="1"/>
  <c r="AT97"/>
  <c r="AB97" s="1"/>
  <c r="AV105"/>
  <c r="AW105" s="1"/>
  <c r="AA105" s="1"/>
  <c r="AT105"/>
  <c r="AB105" s="1"/>
  <c r="AV121"/>
  <c r="AW121" s="1"/>
  <c r="AA121" s="1"/>
  <c r="AT121"/>
  <c r="AB121" s="1"/>
  <c r="AV129"/>
  <c r="AW129" s="1"/>
  <c r="AA129" s="1"/>
  <c r="AT129"/>
  <c r="AB129" s="1"/>
  <c r="AV137"/>
  <c r="AW137" s="1"/>
  <c r="AA137" s="1"/>
  <c r="AT137"/>
  <c r="AB137" s="1"/>
  <c r="AV153"/>
  <c r="AW153" s="1"/>
  <c r="AA153" s="1"/>
  <c r="AT153"/>
  <c r="AB153" s="1"/>
  <c r="AV161"/>
  <c r="AW161" s="1"/>
  <c r="AA161" s="1"/>
  <c r="AT161"/>
  <c r="AB161" s="1"/>
  <c r="AV169"/>
  <c r="AW169" s="1"/>
  <c r="AA169" s="1"/>
  <c r="AT169"/>
  <c r="AB169" s="1"/>
  <c r="AV177"/>
  <c r="AW177" s="1"/>
  <c r="AA177" s="1"/>
  <c r="AT177"/>
  <c r="AB177" s="1"/>
  <c r="AV185"/>
  <c r="AW185" s="1"/>
  <c r="AA185" s="1"/>
  <c r="AT185"/>
  <c r="AB185" s="1"/>
  <c r="CZ21" i="6"/>
  <c r="DD10"/>
  <c r="BI15" i="5"/>
  <c r="X34"/>
  <c r="AT126" i="9"/>
  <c r="AB126" s="1"/>
  <c r="AV126"/>
  <c r="AW126" s="1"/>
  <c r="AA126" s="1"/>
  <c r="AT102"/>
  <c r="AB102" s="1"/>
  <c r="AV102"/>
  <c r="AW102" s="1"/>
  <c r="AA102" s="1"/>
  <c r="AT166"/>
  <c r="AB166" s="1"/>
  <c r="AV166"/>
  <c r="AW166" s="1"/>
  <c r="AA166" s="1"/>
  <c r="AT106"/>
  <c r="AB106" s="1"/>
  <c r="AV106"/>
  <c r="AW106" s="1"/>
  <c r="AA106" s="1"/>
  <c r="AT138"/>
  <c r="AB138" s="1"/>
  <c r="AV138"/>
  <c r="AW138" s="1"/>
  <c r="AA138" s="1"/>
  <c r="AT170"/>
  <c r="AB170" s="1"/>
  <c r="AV170"/>
  <c r="AW170" s="1"/>
  <c r="AA170" s="1"/>
  <c r="AV100"/>
  <c r="AW100" s="1"/>
  <c r="AA100" s="1"/>
  <c r="AT100"/>
  <c r="AB100" s="1"/>
  <c r="AV116"/>
  <c r="AW116" s="1"/>
  <c r="AA116" s="1"/>
  <c r="AT116"/>
  <c r="AB116" s="1"/>
  <c r="AV132"/>
  <c r="AW132" s="1"/>
  <c r="AA132" s="1"/>
  <c r="AT132"/>
  <c r="AB132" s="1"/>
  <c r="AV148"/>
  <c r="AW148" s="1"/>
  <c r="AA148" s="1"/>
  <c r="AT148"/>
  <c r="AB148" s="1"/>
  <c r="AV164"/>
  <c r="AW164" s="1"/>
  <c r="AA164" s="1"/>
  <c r="AT164"/>
  <c r="AB164" s="1"/>
  <c r="AV180"/>
  <c r="AW180" s="1"/>
  <c r="AA180" s="1"/>
  <c r="AT180"/>
  <c r="AB180" s="1"/>
  <c r="AT95"/>
  <c r="AB95" s="1"/>
  <c r="AV95"/>
  <c r="AW95" s="1"/>
  <c r="AA95" s="1"/>
  <c r="AT103"/>
  <c r="AB103" s="1"/>
  <c r="AV103"/>
  <c r="AW103" s="1"/>
  <c r="AA103" s="1"/>
  <c r="AT111"/>
  <c r="AB111" s="1"/>
  <c r="AV111"/>
  <c r="AW111" s="1"/>
  <c r="AA111" s="1"/>
  <c r="AT119"/>
  <c r="AB119" s="1"/>
  <c r="AV119"/>
  <c r="AW119" s="1"/>
  <c r="AA119" s="1"/>
  <c r="AT127"/>
  <c r="AB127" s="1"/>
  <c r="AV127"/>
  <c r="AW127" s="1"/>
  <c r="AA127" s="1"/>
  <c r="AT135"/>
  <c r="AB135" s="1"/>
  <c r="AV135"/>
  <c r="AW135" s="1"/>
  <c r="AA135" s="1"/>
  <c r="AT143"/>
  <c r="AB143" s="1"/>
  <c r="AV143"/>
  <c r="AW143" s="1"/>
  <c r="AA143" s="1"/>
  <c r="AT151"/>
  <c r="AB151" s="1"/>
  <c r="AV151"/>
  <c r="AW151" s="1"/>
  <c r="AA151" s="1"/>
  <c r="AT159"/>
  <c r="AB159" s="1"/>
  <c r="AV159"/>
  <c r="AW159" s="1"/>
  <c r="AA159" s="1"/>
  <c r="AT167"/>
  <c r="AB167" s="1"/>
  <c r="AV167"/>
  <c r="AW167" s="1"/>
  <c r="AA167" s="1"/>
  <c r="AT175"/>
  <c r="AB175" s="1"/>
  <c r="AV175"/>
  <c r="AW175" s="1"/>
  <c r="AA175" s="1"/>
  <c r="AT183"/>
  <c r="AB183" s="1"/>
  <c r="AV183"/>
  <c r="AW183" s="1"/>
  <c r="AA183" s="1"/>
  <c r="AW28" i="4"/>
  <c r="BD28" s="1"/>
  <c r="BE28" s="1"/>
  <c r="AU28"/>
  <c r="AZ28"/>
  <c r="BB28" s="1"/>
  <c r="AY28"/>
  <c r="BA28" s="1"/>
  <c r="AV29"/>
  <c r="BF28"/>
  <c r="BG28" s="1"/>
  <c r="DS7" i="2"/>
  <c r="DR7"/>
  <c r="DV7"/>
  <c r="DP8"/>
  <c r="S40" i="8"/>
  <c r="P41"/>
  <c r="Q40"/>
  <c r="AK15" i="12"/>
  <c r="AJ16"/>
  <c r="AN15"/>
  <c r="AL15"/>
  <c r="AO15"/>
  <c r="Y105" i="8"/>
  <c r="X106" s="1"/>
  <c r="AQ94" i="9"/>
  <c r="AR94" s="1"/>
  <c r="O96" s="1"/>
  <c r="AN97"/>
  <c r="AO97" s="1"/>
  <c r="O99" s="1"/>
  <c r="AQ98"/>
  <c r="AR98" s="1"/>
  <c r="O100" s="1"/>
  <c r="AQ90"/>
  <c r="AR90" s="1"/>
  <c r="O92" s="1"/>
  <c r="AQ108"/>
  <c r="AR108" s="1"/>
  <c r="O110" s="1"/>
  <c r="AQ96"/>
  <c r="AR96" s="1"/>
  <c r="O98" s="1"/>
  <c r="AN95"/>
  <c r="AO95" s="1"/>
  <c r="O97" s="1"/>
  <c r="AN91"/>
  <c r="AO91" s="1"/>
  <c r="O93" s="1"/>
  <c r="AN87"/>
  <c r="AO87" s="1"/>
  <c r="O89" s="1"/>
  <c r="CG103" i="6"/>
  <c r="B20" i="9"/>
  <c r="B21" s="1"/>
  <c r="AT158"/>
  <c r="AB158" s="1"/>
  <c r="AV158"/>
  <c r="AW158" s="1"/>
  <c r="AA158" s="1"/>
  <c r="AT142"/>
  <c r="AB142" s="1"/>
  <c r="AV142"/>
  <c r="AW142" s="1"/>
  <c r="AA142" s="1"/>
  <c r="AT122"/>
  <c r="AB122" s="1"/>
  <c r="AV122"/>
  <c r="AW122" s="1"/>
  <c r="AA122" s="1"/>
  <c r="AT186"/>
  <c r="AB186" s="1"/>
  <c r="AV186"/>
  <c r="AW186" s="1"/>
  <c r="AA186" s="1"/>
  <c r="AV108"/>
  <c r="AW108" s="1"/>
  <c r="AA108" s="1"/>
  <c r="AT108"/>
  <c r="AB108" s="1"/>
  <c r="AV140"/>
  <c r="AW140" s="1"/>
  <c r="AA140" s="1"/>
  <c r="AT140"/>
  <c r="AB140" s="1"/>
  <c r="AV172"/>
  <c r="AW172" s="1"/>
  <c r="AA172" s="1"/>
  <c r="AT172"/>
  <c r="AB172" s="1"/>
  <c r="AV188"/>
  <c r="AW188" s="1"/>
  <c r="AA188" s="1"/>
  <c r="AT188"/>
  <c r="AB188" s="1"/>
  <c r="AT91"/>
  <c r="AB91" s="1"/>
  <c r="AV91"/>
  <c r="AW91" s="1"/>
  <c r="AA91" s="1"/>
  <c r="AT107"/>
  <c r="AB107" s="1"/>
  <c r="AV107"/>
  <c r="AW107" s="1"/>
  <c r="AA107" s="1"/>
  <c r="AT123"/>
  <c r="AB123" s="1"/>
  <c r="AV123"/>
  <c r="AW123" s="1"/>
  <c r="AA123" s="1"/>
  <c r="AT139"/>
  <c r="AB139" s="1"/>
  <c r="AV139"/>
  <c r="AW139" s="1"/>
  <c r="AA139" s="1"/>
  <c r="AT163"/>
  <c r="AB163" s="1"/>
  <c r="AV163"/>
  <c r="AW163" s="1"/>
  <c r="AA163" s="1"/>
  <c r="AT171"/>
  <c r="AB171" s="1"/>
  <c r="AV171"/>
  <c r="AW171" s="1"/>
  <c r="AA171" s="1"/>
  <c r="Z17"/>
  <c r="Z18"/>
  <c r="DA22" i="6"/>
  <c r="DD11"/>
  <c r="AT174" i="9"/>
  <c r="AB174" s="1"/>
  <c r="AV174"/>
  <c r="AW174" s="1"/>
  <c r="AA174" s="1"/>
  <c r="AT150"/>
  <c r="AB150" s="1"/>
  <c r="AV150"/>
  <c r="AW150" s="1"/>
  <c r="AA150" s="1"/>
  <c r="AT98"/>
  <c r="AB98" s="1"/>
  <c r="AV98"/>
  <c r="AW98" s="1"/>
  <c r="AA98" s="1"/>
  <c r="AT130"/>
  <c r="AB130" s="1"/>
  <c r="AV130"/>
  <c r="AW130" s="1"/>
  <c r="AA130" s="1"/>
  <c r="AT162"/>
  <c r="AB162" s="1"/>
  <c r="AV162"/>
  <c r="AW162" s="1"/>
  <c r="AA162" s="1"/>
  <c r="AT96"/>
  <c r="AB96" s="1"/>
  <c r="AV96"/>
  <c r="AW96" s="1"/>
  <c r="AA96" s="1"/>
  <c r="AV112"/>
  <c r="AW112" s="1"/>
  <c r="AA112" s="1"/>
  <c r="AT112"/>
  <c r="AB112" s="1"/>
  <c r="AV128"/>
  <c r="AW128" s="1"/>
  <c r="AA128" s="1"/>
  <c r="AT128"/>
  <c r="AB128" s="1"/>
  <c r="AV144"/>
  <c r="AW144" s="1"/>
  <c r="AA144" s="1"/>
  <c r="AT144"/>
  <c r="AB144" s="1"/>
  <c r="AV160"/>
  <c r="AW160" s="1"/>
  <c r="AA160" s="1"/>
  <c r="AT160"/>
  <c r="AB160" s="1"/>
  <c r="AV176"/>
  <c r="AW176" s="1"/>
  <c r="AA176" s="1"/>
  <c r="AT176"/>
  <c r="AB176" s="1"/>
  <c r="AT93"/>
  <c r="AB93" s="1"/>
  <c r="AV93"/>
  <c r="AW93" s="1"/>
  <c r="AA93" s="1"/>
  <c r="AV101"/>
  <c r="AW101" s="1"/>
  <c r="AA101" s="1"/>
  <c r="AT101"/>
  <c r="AB101" s="1"/>
  <c r="AV109"/>
  <c r="AW109" s="1"/>
  <c r="AA109" s="1"/>
  <c r="AT109"/>
  <c r="AB109" s="1"/>
  <c r="AV117"/>
  <c r="AW117" s="1"/>
  <c r="AA117" s="1"/>
  <c r="AT117"/>
  <c r="AB117" s="1"/>
  <c r="AV125"/>
  <c r="AW125" s="1"/>
  <c r="AA125" s="1"/>
  <c r="AT125"/>
  <c r="AB125" s="1"/>
  <c r="AV133"/>
  <c r="AW133" s="1"/>
  <c r="AA133" s="1"/>
  <c r="AT133"/>
  <c r="AB133" s="1"/>
  <c r="AV141"/>
  <c r="AW141" s="1"/>
  <c r="AA141" s="1"/>
  <c r="AT141"/>
  <c r="AB141" s="1"/>
  <c r="AV149"/>
  <c r="AW149" s="1"/>
  <c r="AA149" s="1"/>
  <c r="AT149"/>
  <c r="AB149" s="1"/>
  <c r="AV157"/>
  <c r="AW157" s="1"/>
  <c r="AA157" s="1"/>
  <c r="AT157"/>
  <c r="AB157" s="1"/>
  <c r="AV165"/>
  <c r="AW165" s="1"/>
  <c r="AA165" s="1"/>
  <c r="AT165"/>
  <c r="AB165" s="1"/>
  <c r="AV173"/>
  <c r="AW173" s="1"/>
  <c r="AA173" s="1"/>
  <c r="AT173"/>
  <c r="AB173" s="1"/>
  <c r="AV181"/>
  <c r="AW181" s="1"/>
  <c r="AA181" s="1"/>
  <c r="AT181"/>
  <c r="AB181" s="1"/>
  <c r="AV89"/>
  <c r="AW89" s="1"/>
  <c r="AA89" s="1"/>
  <c r="AT89"/>
  <c r="AB89" s="1"/>
  <c r="AD83" i="8"/>
  <c r="AD84" s="1"/>
  <c r="AD85" s="1"/>
  <c r="AA86" i="9"/>
  <c r="N36" s="1"/>
  <c r="C11" s="1"/>
  <c r="AN119" i="6"/>
  <c r="DU6" i="2"/>
  <c r="DT6"/>
  <c r="AQ100" i="9"/>
  <c r="AR100" s="1"/>
  <c r="O102" s="1"/>
  <c r="AQ102"/>
  <c r="AR102" s="1"/>
  <c r="O104" s="1"/>
  <c r="AN107"/>
  <c r="AO107" s="1"/>
  <c r="O109" s="1"/>
  <c r="AN105"/>
  <c r="AO105" s="1"/>
  <c r="O107" s="1"/>
  <c r="AQ92"/>
  <c r="AR92" s="1"/>
  <c r="O94" s="1"/>
  <c r="AQ110"/>
  <c r="AR110" s="1"/>
  <c r="O112" s="1"/>
  <c r="AN93"/>
  <c r="AO93" s="1"/>
  <c r="O95" s="1"/>
  <c r="B16"/>
  <c r="Z5" i="2"/>
  <c r="CS13"/>
  <c r="CS17"/>
  <c r="BZ50" i="6"/>
  <c r="BW50" s="1"/>
  <c r="BY51"/>
  <c r="BV50"/>
  <c r="BX50" s="1"/>
  <c r="Y86" i="10"/>
  <c r="N31" i="9"/>
  <c r="P38" l="1"/>
  <c r="R38"/>
  <c r="BY52" i="6"/>
  <c r="BZ51"/>
  <c r="BW51" s="1"/>
  <c r="BV51"/>
  <c r="BX51" s="1"/>
  <c r="DB12" i="2"/>
  <c r="DB20"/>
  <c r="DB28"/>
  <c r="DB5"/>
  <c r="DB13"/>
  <c r="DB21"/>
  <c r="DB29"/>
  <c r="DB4"/>
  <c r="DB16"/>
  <c r="DB32"/>
  <c r="DB8"/>
  <c r="DB24"/>
  <c r="DB6"/>
  <c r="DB27"/>
  <c r="DB11"/>
  <c r="DB33"/>
  <c r="DB34"/>
  <c r="DB10"/>
  <c r="DB31"/>
  <c r="DB15"/>
  <c r="DB14"/>
  <c r="DB19"/>
  <c r="DB22"/>
  <c r="DB9"/>
  <c r="DB26"/>
  <c r="DB25"/>
  <c r="DB30"/>
  <c r="DB17"/>
  <c r="DB23"/>
  <c r="DB7"/>
  <c r="DB18"/>
  <c r="V20" i="9"/>
  <c r="V21"/>
  <c r="X20" s="1"/>
  <c r="BF29" i="4"/>
  <c r="BG29" s="1"/>
  <c r="AV30"/>
  <c r="AW29"/>
  <c r="BD29"/>
  <c r="BE29" s="1"/>
  <c r="AY29"/>
  <c r="BA29" s="1"/>
  <c r="AU29"/>
  <c r="AZ29"/>
  <c r="BB29" s="1"/>
  <c r="BD27" i="5"/>
  <c r="BF27" s="1"/>
  <c r="BA28"/>
  <c r="BE27"/>
  <c r="BG27" s="1"/>
  <c r="BK27"/>
  <c r="BL27" s="1"/>
  <c r="AZ27"/>
  <c r="BB27"/>
  <c r="BI27" s="1"/>
  <c r="BJ27" s="1"/>
  <c r="DI5" i="2"/>
  <c r="DL5"/>
  <c r="DL6"/>
  <c r="DL7"/>
  <c r="DY6"/>
  <c r="DN4"/>
  <c r="K8"/>
  <c r="DS8"/>
  <c r="DP9"/>
  <c r="DR8"/>
  <c r="DV8"/>
  <c r="BJ15" i="5"/>
  <c r="BM15"/>
  <c r="BK15"/>
  <c r="BN15" s="1"/>
  <c r="S35" s="1"/>
  <c r="X35"/>
  <c r="BL15"/>
  <c r="AD86" i="8"/>
  <c r="Y10" i="9"/>
  <c r="DA23" i="6"/>
  <c r="DD13"/>
  <c r="DD12"/>
  <c r="CZ22"/>
  <c r="Z93" i="10"/>
  <c r="AB93" s="1"/>
  <c r="Z94"/>
  <c r="AB94" s="1"/>
  <c r="Z95"/>
  <c r="AB95" s="1"/>
  <c r="Z96"/>
  <c r="AB96" s="1"/>
  <c r="Z97"/>
  <c r="AB97" s="1"/>
  <c r="Y98"/>
  <c r="Z101"/>
  <c r="AB101" s="1"/>
  <c r="Z103"/>
  <c r="AB103" s="1"/>
  <c r="Y104"/>
  <c r="Z106"/>
  <c r="AB106" s="1"/>
  <c r="Z107"/>
  <c r="AB107" s="1"/>
  <c r="Z108"/>
  <c r="AB108" s="1"/>
  <c r="Y89"/>
  <c r="Y90"/>
  <c r="Z91"/>
  <c r="AB91" s="1"/>
  <c r="Y95"/>
  <c r="Y108"/>
  <c r="Z90"/>
  <c r="AB90" s="1"/>
  <c r="Y92"/>
  <c r="Y97"/>
  <c r="Y100"/>
  <c r="Y105"/>
  <c r="Z89"/>
  <c r="AB89" s="1"/>
  <c r="Z92"/>
  <c r="AB92" s="1"/>
  <c r="Y94"/>
  <c r="Y99"/>
  <c r="Z100"/>
  <c r="AB100" s="1"/>
  <c r="Z104"/>
  <c r="AB104" s="1"/>
  <c r="Z105"/>
  <c r="AB105" s="1"/>
  <c r="Y107"/>
  <c r="Y96"/>
  <c r="Z99"/>
  <c r="AB99" s="1"/>
  <c r="Y102"/>
  <c r="Z88"/>
  <c r="AB88" s="1"/>
  <c r="Z98"/>
  <c r="AB98" s="1"/>
  <c r="Y101"/>
  <c r="Y106"/>
  <c r="Y88"/>
  <c r="Y103"/>
  <c r="Y91"/>
  <c r="Z102"/>
  <c r="AB102" s="1"/>
  <c r="Y93"/>
  <c r="AM120" i="6"/>
  <c r="AL16" i="12"/>
  <c r="AK16"/>
  <c r="AJ17"/>
  <c r="AN16"/>
  <c r="AO16"/>
  <c r="DU7" i="2"/>
  <c r="DT7"/>
  <c r="CB16" i="6"/>
  <c r="CV16" s="1"/>
  <c r="CB17"/>
  <c r="CV17" s="1"/>
  <c r="CB19"/>
  <c r="CV19" s="1"/>
  <c r="CB21"/>
  <c r="CV21" s="1"/>
  <c r="CB23"/>
  <c r="CV23" s="1"/>
  <c r="CB25"/>
  <c r="CV25" s="1"/>
  <c r="CB27"/>
  <c r="CV27" s="1"/>
  <c r="CB29"/>
  <c r="CV29" s="1"/>
  <c r="CB31"/>
  <c r="CV31" s="1"/>
  <c r="CB33"/>
  <c r="CV33" s="1"/>
  <c r="CB35"/>
  <c r="CV35" s="1"/>
  <c r="CB37"/>
  <c r="CV37" s="1"/>
  <c r="CB39"/>
  <c r="CV39" s="1"/>
  <c r="CB18"/>
  <c r="CV18" s="1"/>
  <c r="CB22"/>
  <c r="CV22" s="1"/>
  <c r="CB26"/>
  <c r="CV26" s="1"/>
  <c r="CB30"/>
  <c r="CV30" s="1"/>
  <c r="CB34"/>
  <c r="CV34" s="1"/>
  <c r="CB38"/>
  <c r="CV38" s="1"/>
  <c r="CB15"/>
  <c r="X19" s="1"/>
  <c r="CB24"/>
  <c r="CV24" s="1"/>
  <c r="CB32"/>
  <c r="CV32" s="1"/>
  <c r="CB20"/>
  <c r="CV20" s="1"/>
  <c r="CB36"/>
  <c r="CV36" s="1"/>
  <c r="CB28"/>
  <c r="CV28" s="1"/>
  <c r="Z10" i="9"/>
  <c r="CT3" i="2"/>
  <c r="AI2" s="1"/>
  <c r="DX7"/>
  <c r="O39" i="9" l="1"/>
  <c r="DR9" i="2"/>
  <c r="DV9"/>
  <c r="DP10"/>
  <c r="DS9"/>
  <c r="DY7"/>
  <c r="DY9" s="1"/>
  <c r="DZ6"/>
  <c r="DZ7" s="1"/>
  <c r="DI6"/>
  <c r="EA6"/>
  <c r="DL10"/>
  <c r="DL9"/>
  <c r="K9"/>
  <c r="DL8"/>
  <c r="DN5"/>
  <c r="CY7"/>
  <c r="CU7" s="1"/>
  <c r="DC7"/>
  <c r="DA7" s="1"/>
  <c r="DC25"/>
  <c r="DA25" s="1"/>
  <c r="CY25"/>
  <c r="CU25" s="1"/>
  <c r="CY19"/>
  <c r="CU19" s="1"/>
  <c r="DC19"/>
  <c r="DA19" s="1"/>
  <c r="CY10"/>
  <c r="CU10" s="1"/>
  <c r="DC10"/>
  <c r="DA10" s="1"/>
  <c r="CY27"/>
  <c r="CU27" s="1"/>
  <c r="DC27"/>
  <c r="DA27" s="1"/>
  <c r="DC32"/>
  <c r="DA32" s="1"/>
  <c r="CY32"/>
  <c r="CU32" s="1"/>
  <c r="DC21"/>
  <c r="DA21" s="1"/>
  <c r="CY21"/>
  <c r="CU21" s="1"/>
  <c r="DC20"/>
  <c r="DA20" s="1"/>
  <c r="CY20"/>
  <c r="CU20" s="1"/>
  <c r="I2"/>
  <c r="I7"/>
  <c r="I8"/>
  <c r="H9"/>
  <c r="H10"/>
  <c r="I11"/>
  <c r="I19"/>
  <c r="I20"/>
  <c r="I22"/>
  <c r="I23"/>
  <c r="H28"/>
  <c r="I29"/>
  <c r="I30"/>
  <c r="I35"/>
  <c r="H2"/>
  <c r="I3"/>
  <c r="I4"/>
  <c r="I5"/>
  <c r="I6"/>
  <c r="H7"/>
  <c r="H8"/>
  <c r="H11"/>
  <c r="I12"/>
  <c r="I13"/>
  <c r="I17"/>
  <c r="I18"/>
  <c r="H19"/>
  <c r="H20"/>
  <c r="I21"/>
  <c r="H22"/>
  <c r="H23"/>
  <c r="I25"/>
  <c r="I27"/>
  <c r="H29"/>
  <c r="H30"/>
  <c r="I34"/>
  <c r="H35"/>
  <c r="I37"/>
  <c r="H3"/>
  <c r="I9"/>
  <c r="H12"/>
  <c r="H13"/>
  <c r="H14"/>
  <c r="H16"/>
  <c r="H24"/>
  <c r="I10"/>
  <c r="I14"/>
  <c r="H15"/>
  <c r="I16"/>
  <c r="I24"/>
  <c r="H25"/>
  <c r="H32"/>
  <c r="H34"/>
  <c r="H36"/>
  <c r="I15"/>
  <c r="I26"/>
  <c r="I28"/>
  <c r="I31"/>
  <c r="I33"/>
  <c r="H26"/>
  <c r="H31"/>
  <c r="H17"/>
  <c r="H21"/>
  <c r="I36"/>
  <c r="H37"/>
  <c r="H4"/>
  <c r="H33"/>
  <c r="H5"/>
  <c r="H6"/>
  <c r="H18"/>
  <c r="H27"/>
  <c r="I32"/>
  <c r="CW20" i="6"/>
  <c r="CX20"/>
  <c r="CY19"/>
  <c r="CX38"/>
  <c r="CW38"/>
  <c r="CY37"/>
  <c r="CW22"/>
  <c r="CX22"/>
  <c r="CY21"/>
  <c r="CY34"/>
  <c r="CX35"/>
  <c r="CW35"/>
  <c r="DF22" s="1"/>
  <c r="CX27"/>
  <c r="DF13" s="1"/>
  <c r="CW27"/>
  <c r="CY26"/>
  <c r="CY18"/>
  <c r="CX19"/>
  <c r="CW19"/>
  <c r="DA24"/>
  <c r="DD15"/>
  <c r="AY30" i="4"/>
  <c r="BA30" s="1"/>
  <c r="BF30"/>
  <c r="BG30" s="1"/>
  <c r="AV31"/>
  <c r="AW30"/>
  <c r="BD30"/>
  <c r="BE30" s="1"/>
  <c r="AU30"/>
  <c r="AZ30"/>
  <c r="BB30" s="1"/>
  <c r="CY23" i="2"/>
  <c r="CU23" s="1"/>
  <c r="DC23"/>
  <c r="DA23" s="1"/>
  <c r="CY34"/>
  <c r="CU34" s="1"/>
  <c r="DC34"/>
  <c r="DA34" s="1"/>
  <c r="CY6"/>
  <c r="CU6" s="1"/>
  <c r="DC6"/>
  <c r="DA6" s="1"/>
  <c r="CY13"/>
  <c r="CU13" s="1"/>
  <c r="DC13"/>
  <c r="DA13" s="1"/>
  <c r="CY36" i="6"/>
  <c r="CW37"/>
  <c r="CX37"/>
  <c r="CX21"/>
  <c r="CW21"/>
  <c r="CY20"/>
  <c r="AN120"/>
  <c r="AD90" i="8"/>
  <c r="AD92"/>
  <c r="AD100"/>
  <c r="AD96"/>
  <c r="AD101"/>
  <c r="AD102"/>
  <c r="AD103"/>
  <c r="AD88"/>
  <c r="AD91"/>
  <c r="AD94"/>
  <c r="AD97"/>
  <c r="AD104"/>
  <c r="AD105"/>
  <c r="AD108"/>
  <c r="AD93"/>
  <c r="AD99"/>
  <c r="AD95"/>
  <c r="AD98"/>
  <c r="AD89"/>
  <c r="AE100"/>
  <c r="AG100" s="1"/>
  <c r="AD107"/>
  <c r="AE99"/>
  <c r="AG99" s="1"/>
  <c r="AE92"/>
  <c r="AG92" s="1"/>
  <c r="AD106"/>
  <c r="AE89"/>
  <c r="AG89" s="1"/>
  <c r="AE88"/>
  <c r="AG88" s="1"/>
  <c r="AE101"/>
  <c r="AG101" s="1"/>
  <c r="AE104"/>
  <c r="AG104" s="1"/>
  <c r="AE90"/>
  <c r="AG90" s="1"/>
  <c r="AE97"/>
  <c r="AG97" s="1"/>
  <c r="AE107"/>
  <c r="AG107" s="1"/>
  <c r="AE96"/>
  <c r="AG96" s="1"/>
  <c r="AE95"/>
  <c r="AG95" s="1"/>
  <c r="AE103"/>
  <c r="AG103" s="1"/>
  <c r="AE94"/>
  <c r="AG94" s="1"/>
  <c r="AE108"/>
  <c r="AG108" s="1"/>
  <c r="AE106"/>
  <c r="AG106" s="1"/>
  <c r="AE93"/>
  <c r="AG93" s="1"/>
  <c r="AE102"/>
  <c r="AG102" s="1"/>
  <c r="AE91"/>
  <c r="AG91" s="1"/>
  <c r="AE105"/>
  <c r="AG105" s="1"/>
  <c r="AE98"/>
  <c r="AG98" s="1"/>
  <c r="CY23" i="6"/>
  <c r="CW24"/>
  <c r="CX24"/>
  <c r="CY38"/>
  <c r="CW39"/>
  <c r="CX39"/>
  <c r="CX31"/>
  <c r="DF19" s="1"/>
  <c r="CW31"/>
  <c r="CY30"/>
  <c r="CW23"/>
  <c r="CX23"/>
  <c r="CY22"/>
  <c r="CY15"/>
  <c r="CX16"/>
  <c r="CW16"/>
  <c r="DC18" i="2"/>
  <c r="DA18" s="1"/>
  <c r="CY18"/>
  <c r="CU18" s="1"/>
  <c r="DC30"/>
  <c r="DA30" s="1"/>
  <c r="CY30"/>
  <c r="CU30" s="1"/>
  <c r="DC22"/>
  <c r="DA22" s="1"/>
  <c r="CY22"/>
  <c r="CU22" s="1"/>
  <c r="CY31"/>
  <c r="CU31" s="1"/>
  <c r="DC31"/>
  <c r="DA31" s="1"/>
  <c r="CY11"/>
  <c r="CU11" s="1"/>
  <c r="DC11"/>
  <c r="DA11" s="1"/>
  <c r="DC8"/>
  <c r="DA8" s="1"/>
  <c r="CY8"/>
  <c r="CU8" s="1"/>
  <c r="CY29"/>
  <c r="CU29" s="1"/>
  <c r="DC29"/>
  <c r="DA29" s="1"/>
  <c r="DC28"/>
  <c r="DA28" s="1"/>
  <c r="CY28"/>
  <c r="CU28" s="1"/>
  <c r="DU8"/>
  <c r="DT8"/>
  <c r="DC26"/>
  <c r="DA26" s="1"/>
  <c r="CY26"/>
  <c r="CU26" s="1"/>
  <c r="CY14"/>
  <c r="CU14" s="1"/>
  <c r="DC14"/>
  <c r="DA14" s="1"/>
  <c r="DC16"/>
  <c r="DA16" s="1"/>
  <c r="CY16"/>
  <c r="CU16" s="1"/>
  <c r="DC12"/>
  <c r="DA12" s="1"/>
  <c r="CY12"/>
  <c r="CU12" s="1"/>
  <c r="BY53" i="6"/>
  <c r="BV52"/>
  <c r="BX52" s="1"/>
  <c r="BZ52"/>
  <c r="BW52"/>
  <c r="CW36"/>
  <c r="CY35"/>
  <c r="CX36"/>
  <c r="DF25" s="1"/>
  <c r="CX26"/>
  <c r="CW26"/>
  <c r="DF10" s="1"/>
  <c r="CY25"/>
  <c r="CY28"/>
  <c r="CW29"/>
  <c r="CX29"/>
  <c r="AJ18" i="12"/>
  <c r="AL17"/>
  <c r="AK17"/>
  <c r="AN17"/>
  <c r="AO17"/>
  <c r="CX28" i="6"/>
  <c r="CW28"/>
  <c r="CY27"/>
  <c r="CX30"/>
  <c r="CW30"/>
  <c r="DF16" s="1"/>
  <c r="CY29"/>
  <c r="CX32"/>
  <c r="CY31"/>
  <c r="CW32"/>
  <c r="CY33"/>
  <c r="CW34"/>
  <c r="CX34"/>
  <c r="CW18"/>
  <c r="DF4" s="1"/>
  <c r="CY17"/>
  <c r="CX18"/>
  <c r="CY32"/>
  <c r="CX33"/>
  <c r="CW33"/>
  <c r="CW25"/>
  <c r="CY24"/>
  <c r="CX25"/>
  <c r="DF7" s="1"/>
  <c r="CW17"/>
  <c r="CX17"/>
  <c r="CY16"/>
  <c r="DD14"/>
  <c r="CZ23"/>
  <c r="BD28" i="5"/>
  <c r="BF28" s="1"/>
  <c r="BA29"/>
  <c r="BB28"/>
  <c r="BK28"/>
  <c r="BL28" s="1"/>
  <c r="AZ28"/>
  <c r="BI28"/>
  <c r="BJ28" s="1"/>
  <c r="BE28"/>
  <c r="BG28" s="1"/>
  <c r="CY17" i="2"/>
  <c r="CU17" s="1"/>
  <c r="DC17"/>
  <c r="DA17" s="1"/>
  <c r="DC9"/>
  <c r="DA9" s="1"/>
  <c r="CY9"/>
  <c r="CU9" s="1"/>
  <c r="CY15"/>
  <c r="CU15" s="1"/>
  <c r="DC15"/>
  <c r="DA15" s="1"/>
  <c r="DC33"/>
  <c r="DA33" s="1"/>
  <c r="CY33"/>
  <c r="CU33" s="1"/>
  <c r="DC24"/>
  <c r="DA24" s="1"/>
  <c r="CY24"/>
  <c r="CU24" s="1"/>
  <c r="DC4"/>
  <c r="DA4" s="1"/>
  <c r="CY4"/>
  <c r="CU4" s="1"/>
  <c r="DC5"/>
  <c r="DA5" s="1"/>
  <c r="CY5"/>
  <c r="CU5" s="1"/>
  <c r="X21" i="9"/>
  <c r="DC29" i="6" l="1"/>
  <c r="DC30"/>
  <c r="DF17"/>
  <c r="AU31" i="4"/>
  <c r="AZ31"/>
  <c r="BB31" s="1"/>
  <c r="AY31"/>
  <c r="BA31" s="1"/>
  <c r="AW31"/>
  <c r="BD31" s="1"/>
  <c r="BE31" s="1"/>
  <c r="BF31"/>
  <c r="BG31" s="1"/>
  <c r="AV32"/>
  <c r="DD17" i="6"/>
  <c r="DA25"/>
  <c r="DF14"/>
  <c r="DC24"/>
  <c r="DC23"/>
  <c r="DC10"/>
  <c r="DC9"/>
  <c r="AJ90" i="9"/>
  <c r="AL90" s="1"/>
  <c r="AJ107"/>
  <c r="AL107" s="1"/>
  <c r="AJ104"/>
  <c r="AL104" s="1"/>
  <c r="AJ87"/>
  <c r="AL87" s="1"/>
  <c r="AJ101"/>
  <c r="AL101" s="1"/>
  <c r="AJ93"/>
  <c r="AL93" s="1"/>
  <c r="AJ103"/>
  <c r="AL103" s="1"/>
  <c r="AJ100"/>
  <c r="AL100" s="1"/>
  <c r="AJ95"/>
  <c r="AL95" s="1"/>
  <c r="AJ98"/>
  <c r="AL98" s="1"/>
  <c r="AJ106"/>
  <c r="AL106" s="1"/>
  <c r="AJ91"/>
  <c r="AL91" s="1"/>
  <c r="AJ89"/>
  <c r="AL89" s="1"/>
  <c r="AJ88"/>
  <c r="AL88" s="1"/>
  <c r="AJ94"/>
  <c r="AL94" s="1"/>
  <c r="AJ102"/>
  <c r="AL102" s="1"/>
  <c r="AJ99"/>
  <c r="AL99" s="1"/>
  <c r="AJ96"/>
  <c r="AL96" s="1"/>
  <c r="AJ92"/>
  <c r="AL92" s="1"/>
  <c r="AJ97"/>
  <c r="AL97" s="1"/>
  <c r="AJ105"/>
  <c r="AL105" s="1"/>
  <c r="AI89"/>
  <c r="AI102"/>
  <c r="AI107"/>
  <c r="AI87"/>
  <c r="AI100"/>
  <c r="AI94"/>
  <c r="AI101"/>
  <c r="AI98"/>
  <c r="AI103"/>
  <c r="AI96"/>
  <c r="AI104"/>
  <c r="AI97"/>
  <c r="AI105"/>
  <c r="AI93"/>
  <c r="AI106"/>
  <c r="AI92"/>
  <c r="AI90"/>
  <c r="AI88"/>
  <c r="AI95"/>
  <c r="AI99"/>
  <c r="AI91"/>
  <c r="DC26" i="6"/>
  <c r="DC25"/>
  <c r="BZ53"/>
  <c r="BY54"/>
  <c r="BV53"/>
  <c r="BX53" s="1"/>
  <c r="BW53"/>
  <c r="DC4"/>
  <c r="DC3"/>
  <c r="DC20"/>
  <c r="DF8"/>
  <c r="DC19"/>
  <c r="DC35"/>
  <c r="DC36"/>
  <c r="DC33"/>
  <c r="DC34"/>
  <c r="AJ19" i="12"/>
  <c r="AL18"/>
  <c r="AO18"/>
  <c r="AN18"/>
  <c r="AK18"/>
  <c r="DF11" i="6"/>
  <c r="DC22"/>
  <c r="DC21"/>
  <c r="DF26"/>
  <c r="DC41"/>
  <c r="DC42"/>
  <c r="DC44"/>
  <c r="DC43"/>
  <c r="DC7"/>
  <c r="DC8"/>
  <c r="DS10" i="2"/>
  <c r="DR10"/>
  <c r="DV10"/>
  <c r="DP11"/>
  <c r="DA2"/>
  <c r="DB2" s="1"/>
  <c r="DC2" s="1"/>
  <c r="CX1"/>
  <c r="CZ24" i="6"/>
  <c r="DD16"/>
  <c r="DF5"/>
  <c r="DC6"/>
  <c r="DC5"/>
  <c r="DC38"/>
  <c r="DC37"/>
  <c r="DC1"/>
  <c r="DC2"/>
  <c r="DF20"/>
  <c r="DC31"/>
  <c r="DC32"/>
  <c r="DC18"/>
  <c r="DC17"/>
  <c r="AM121"/>
  <c r="DF23"/>
  <c r="DC39"/>
  <c r="DC40"/>
  <c r="DC45"/>
  <c r="DC46"/>
  <c r="EB6" i="2"/>
  <c r="EB7" s="1"/>
  <c r="EA7"/>
  <c r="EA9" s="1"/>
  <c r="BK29" i="5"/>
  <c r="BL29" s="1"/>
  <c r="BD29"/>
  <c r="BF29" s="1"/>
  <c r="BI29"/>
  <c r="BJ29" s="1"/>
  <c r="BA30"/>
  <c r="BB29"/>
  <c r="AZ29"/>
  <c r="BE29"/>
  <c r="BG29" s="1"/>
  <c r="DC28" i="6"/>
  <c r="DC27"/>
  <c r="DC15"/>
  <c r="DC16"/>
  <c r="DC47"/>
  <c r="DC48"/>
  <c r="DC11"/>
  <c r="DC12"/>
  <c r="DC14"/>
  <c r="DC13"/>
  <c r="DI7" i="2"/>
  <c r="EC6"/>
  <c r="DL13"/>
  <c r="DL11"/>
  <c r="DN6"/>
  <c r="DL12"/>
  <c r="K10"/>
  <c r="DT9"/>
  <c r="DU9"/>
  <c r="AN121" i="6" l="1"/>
  <c r="DI8" i="2"/>
  <c r="DL15"/>
  <c r="DL16"/>
  <c r="DN7"/>
  <c r="DL14"/>
  <c r="EE6"/>
  <c r="K11"/>
  <c r="BB30" i="5"/>
  <c r="AZ30"/>
  <c r="BE30"/>
  <c r="BG30" s="1"/>
  <c r="BK30"/>
  <c r="BL30" s="1"/>
  <c r="BD30"/>
  <c r="BF30" s="1"/>
  <c r="BA31"/>
  <c r="BI30"/>
  <c r="BJ30" s="1"/>
  <c r="ED6" i="2"/>
  <c r="ED7" s="1"/>
  <c r="EC7"/>
  <c r="EC9" s="1"/>
  <c r="CZ25" i="6"/>
  <c r="DD18"/>
  <c r="DA26"/>
  <c r="DD19"/>
  <c r="DG7"/>
  <c r="DS11" i="2"/>
  <c r="DP12"/>
  <c r="DV11"/>
  <c r="DR11"/>
  <c r="CZ4"/>
  <c r="CV4" s="1"/>
  <c r="CZ13"/>
  <c r="CV13" s="1"/>
  <c r="CZ24"/>
  <c r="CV24" s="1"/>
  <c r="CZ28"/>
  <c r="CV28" s="1"/>
  <c r="CZ29"/>
  <c r="CV29" s="1"/>
  <c r="CZ8"/>
  <c r="CV8" s="1"/>
  <c r="CZ20"/>
  <c r="CV20" s="1"/>
  <c r="CZ21"/>
  <c r="CV21" s="1"/>
  <c r="CZ12"/>
  <c r="CV12" s="1"/>
  <c r="CZ16"/>
  <c r="CV16" s="1"/>
  <c r="CZ32"/>
  <c r="CV32" s="1"/>
  <c r="CZ5"/>
  <c r="CV5" s="1"/>
  <c r="CZ6"/>
  <c r="CV6" s="1"/>
  <c r="CZ23"/>
  <c r="CV23" s="1"/>
  <c r="CZ25"/>
  <c r="CV25" s="1"/>
  <c r="CZ14"/>
  <c r="CV14" s="1"/>
  <c r="CZ27"/>
  <c r="CV27" s="1"/>
  <c r="CZ33"/>
  <c r="CV33" s="1"/>
  <c r="CZ34"/>
  <c r="CV34" s="1"/>
  <c r="CZ18"/>
  <c r="CV18" s="1"/>
  <c r="CZ31"/>
  <c r="CV31" s="1"/>
  <c r="CZ15"/>
  <c r="CV15" s="1"/>
  <c r="CZ19"/>
  <c r="CV19" s="1"/>
  <c r="CZ26"/>
  <c r="CV26" s="1"/>
  <c r="CZ30"/>
  <c r="CV30" s="1"/>
  <c r="CZ22"/>
  <c r="CV22" s="1"/>
  <c r="CZ11"/>
  <c r="CV11" s="1"/>
  <c r="CZ10"/>
  <c r="CV10" s="1"/>
  <c r="CZ17"/>
  <c r="CV17" s="1"/>
  <c r="CZ7"/>
  <c r="CV7" s="1"/>
  <c r="CZ9"/>
  <c r="CV9" s="1"/>
  <c r="DU10"/>
  <c r="DT10"/>
  <c r="AW32" i="4"/>
  <c r="AU32"/>
  <c r="AZ32"/>
  <c r="BB32" s="1"/>
  <c r="BD32"/>
  <c r="BE32" s="1"/>
  <c r="AY32"/>
  <c r="BA32" s="1"/>
  <c r="AV33"/>
  <c r="BF32"/>
  <c r="BG32" s="1"/>
  <c r="AK19" i="12"/>
  <c r="AJ20"/>
  <c r="AL19"/>
  <c r="AN19"/>
  <c r="AO19"/>
  <c r="BZ54" i="6"/>
  <c r="BY55"/>
  <c r="BV54"/>
  <c r="BX54" s="1"/>
  <c r="BW54"/>
  <c r="AL20" i="12" l="1"/>
  <c r="AK20"/>
  <c r="AJ21"/>
  <c r="AN20"/>
  <c r="AO20"/>
  <c r="DD21" i="6"/>
  <c r="DG10"/>
  <c r="DA27"/>
  <c r="AM122"/>
  <c r="DR12" i="2"/>
  <c r="DV12"/>
  <c r="DP13"/>
  <c r="DS12"/>
  <c r="BY56" i="6"/>
  <c r="BV55"/>
  <c r="BX55" s="1"/>
  <c r="BZ55"/>
  <c r="BW55"/>
  <c r="BF33" i="4"/>
  <c r="BG33" s="1"/>
  <c r="AV34"/>
  <c r="AW33"/>
  <c r="BD33"/>
  <c r="BE33" s="1"/>
  <c r="AY33"/>
  <c r="BA33" s="1"/>
  <c r="AU33"/>
  <c r="AZ33"/>
  <c r="BB33" s="1"/>
  <c r="AZ31" i="5"/>
  <c r="BE31"/>
  <c r="BG31" s="1"/>
  <c r="BA32"/>
  <c r="BD31"/>
  <c r="BF31" s="1"/>
  <c r="BB31"/>
  <c r="BI31" s="1"/>
  <c r="BJ31" s="1"/>
  <c r="BK31"/>
  <c r="BL31" s="1"/>
  <c r="DI9" i="2"/>
  <c r="DN8"/>
  <c r="K12"/>
  <c r="DL19"/>
  <c r="DL17"/>
  <c r="DL18"/>
  <c r="EG6"/>
  <c r="DT11"/>
  <c r="DU11"/>
  <c r="CZ26" i="6"/>
  <c r="DG8"/>
  <c r="DD20"/>
  <c r="EF6" i="2"/>
  <c r="EF7" s="1"/>
  <c r="EE7"/>
  <c r="EE9" s="1"/>
  <c r="DA28" i="6" l="1"/>
  <c r="DG13"/>
  <c r="DD23"/>
  <c r="AY34" i="4"/>
  <c r="BA34" s="1"/>
  <c r="BF34"/>
  <c r="BG34" s="1"/>
  <c r="AV35"/>
  <c r="AW34"/>
  <c r="BD34"/>
  <c r="BE34" s="1"/>
  <c r="AZ34"/>
  <c r="BB34" s="1"/>
  <c r="AU34"/>
  <c r="AN122" i="6"/>
  <c r="CZ27"/>
  <c r="DD22"/>
  <c r="DG11"/>
  <c r="EG7" i="2"/>
  <c r="EG9" s="1"/>
  <c r="EH6"/>
  <c r="EH7" s="1"/>
  <c r="BZ56" i="6"/>
  <c r="BV56"/>
  <c r="BX56" s="1"/>
  <c r="BY57"/>
  <c r="BW56"/>
  <c r="DI10" i="2"/>
  <c r="EI6"/>
  <c r="K13"/>
  <c r="DN9"/>
  <c r="DL20"/>
  <c r="DL21"/>
  <c r="DL22"/>
  <c r="BD32" i="5"/>
  <c r="BF32" s="1"/>
  <c r="BB32"/>
  <c r="BK32"/>
  <c r="BL32" s="1"/>
  <c r="AZ32"/>
  <c r="BE32"/>
  <c r="BG32" s="1"/>
  <c r="BA33"/>
  <c r="BI32"/>
  <c r="BJ32" s="1"/>
  <c r="DS13" i="2"/>
  <c r="DP14"/>
  <c r="DR13"/>
  <c r="DV13"/>
  <c r="DU12"/>
  <c r="DT12"/>
  <c r="AJ22" i="12"/>
  <c r="AL21"/>
  <c r="AK21"/>
  <c r="AN21"/>
  <c r="AO21"/>
  <c r="DU13" i="2" l="1"/>
  <c r="DT13"/>
  <c r="BZ57" i="6"/>
  <c r="BW57" s="1"/>
  <c r="BY58"/>
  <c r="BV57"/>
  <c r="BX57" s="1"/>
  <c r="DD24"/>
  <c r="CZ28"/>
  <c r="DG14"/>
  <c r="DA29"/>
  <c r="DD25"/>
  <c r="DR14" i="2"/>
  <c r="DV14"/>
  <c r="DS14"/>
  <c r="DP15"/>
  <c r="AU35" i="4"/>
  <c r="AZ35"/>
  <c r="BB35" s="1"/>
  <c r="BD35"/>
  <c r="BE35" s="1"/>
  <c r="AY35"/>
  <c r="BA35" s="1"/>
  <c r="AW35"/>
  <c r="BF35"/>
  <c r="BG35" s="1"/>
  <c r="AV36"/>
  <c r="AJ23" i="12"/>
  <c r="AL22"/>
  <c r="AK22"/>
  <c r="AN22"/>
  <c r="AO22"/>
  <c r="EJ6" i="2"/>
  <c r="EJ7" s="1"/>
  <c r="EI7"/>
  <c r="EI9" s="1"/>
  <c r="BK33" i="5"/>
  <c r="BL33" s="1"/>
  <c r="BA34"/>
  <c r="BB33"/>
  <c r="AZ33"/>
  <c r="BE33"/>
  <c r="BG33" s="1"/>
  <c r="BI33"/>
  <c r="BJ33" s="1"/>
  <c r="BD33"/>
  <c r="BF33" s="1"/>
  <c r="DI11" i="2"/>
  <c r="EK6"/>
  <c r="K14"/>
  <c r="DL23"/>
  <c r="DL24"/>
  <c r="DL25"/>
  <c r="DN10"/>
  <c r="AM123" i="6"/>
  <c r="AW36" i="4" l="1"/>
  <c r="AU36"/>
  <c r="AZ36"/>
  <c r="BB36" s="1"/>
  <c r="BD36"/>
  <c r="BE36" s="1"/>
  <c r="AY36"/>
  <c r="BA36" s="1"/>
  <c r="BF36"/>
  <c r="BG36" s="1"/>
  <c r="AV37"/>
  <c r="AK23" i="12"/>
  <c r="AJ24"/>
  <c r="AN23"/>
  <c r="AL23"/>
  <c r="AO23"/>
  <c r="DS15" i="2"/>
  <c r="DR15"/>
  <c r="DV15"/>
  <c r="DP16"/>
  <c r="BD34" i="5"/>
  <c r="BF34" s="1"/>
  <c r="BB34"/>
  <c r="BI34" s="1"/>
  <c r="BJ34" s="1"/>
  <c r="BK34"/>
  <c r="BL34" s="1"/>
  <c r="BE34"/>
  <c r="BG34" s="1"/>
  <c r="AZ34"/>
  <c r="BA35"/>
  <c r="AN123" i="6"/>
  <c r="DI12" i="2"/>
  <c r="DN11"/>
  <c r="K15"/>
  <c r="DL27"/>
  <c r="DL28"/>
  <c r="EM6"/>
  <c r="DL26"/>
  <c r="DT14"/>
  <c r="DU14"/>
  <c r="DD27" i="6"/>
  <c r="DA30"/>
  <c r="EL6" i="2"/>
  <c r="EL7" s="1"/>
  <c r="EK7"/>
  <c r="EK9" s="1"/>
  <c r="CZ29" i="6"/>
  <c r="DD26"/>
  <c r="BZ58"/>
  <c r="BY59"/>
  <c r="BW58"/>
  <c r="BV58"/>
  <c r="BX58" s="1"/>
  <c r="DU15" i="2" l="1"/>
  <c r="DT15"/>
  <c r="AL24" i="12"/>
  <c r="AK24"/>
  <c r="AJ25"/>
  <c r="AN24"/>
  <c r="AO24"/>
  <c r="DI13" i="2"/>
  <c r="K16"/>
  <c r="DL29"/>
  <c r="DL31"/>
  <c r="DL30"/>
  <c r="EO6"/>
  <c r="DN12"/>
  <c r="AZ35" i="5"/>
  <c r="BE35"/>
  <c r="BG35" s="1"/>
  <c r="BI35"/>
  <c r="BJ35" s="1"/>
  <c r="BA36"/>
  <c r="BB35"/>
  <c r="BD35"/>
  <c r="BF35" s="1"/>
  <c r="BK35"/>
  <c r="BL35" s="1"/>
  <c r="BY60" i="6"/>
  <c r="BZ59"/>
  <c r="BV59"/>
  <c r="BX59" s="1"/>
  <c r="BW59"/>
  <c r="EN6" i="2"/>
  <c r="EN7" s="1"/>
  <c r="EM7"/>
  <c r="EM9" s="1"/>
  <c r="BF37" i="4"/>
  <c r="BG37" s="1"/>
  <c r="AV38"/>
  <c r="AW37"/>
  <c r="BD37"/>
  <c r="BE37" s="1"/>
  <c r="AY37"/>
  <c r="BA37" s="1"/>
  <c r="AU37"/>
  <c r="AZ37"/>
  <c r="BB37" s="1"/>
  <c r="CZ30" i="6"/>
  <c r="DD28"/>
  <c r="DG16"/>
  <c r="DA31"/>
  <c r="DD29"/>
  <c r="AM124"/>
  <c r="DR16" i="2"/>
  <c r="DV16"/>
  <c r="DP17"/>
  <c r="DS16"/>
  <c r="DU16" l="1"/>
  <c r="DT16"/>
  <c r="AY38" i="4"/>
  <c r="BA38" s="1"/>
  <c r="BF38"/>
  <c r="BG38" s="1"/>
  <c r="AV39"/>
  <c r="AW38"/>
  <c r="BD38"/>
  <c r="BE38" s="1"/>
  <c r="AU38"/>
  <c r="AZ38"/>
  <c r="BB38" s="1"/>
  <c r="BY61" i="6"/>
  <c r="BV60"/>
  <c r="BX60" s="1"/>
  <c r="BZ60"/>
  <c r="BW60"/>
  <c r="BD36" i="5"/>
  <c r="BF36" s="1"/>
  <c r="AZ36"/>
  <c r="BE36"/>
  <c r="BG36" s="1"/>
  <c r="BI36"/>
  <c r="BJ36" s="1"/>
  <c r="BB36"/>
  <c r="BK36"/>
  <c r="BL36" s="1"/>
  <c r="BA37"/>
  <c r="DA32" i="6"/>
  <c r="DD31"/>
  <c r="DG19"/>
  <c r="DP18" i="2"/>
  <c r="DV17"/>
  <c r="DS17"/>
  <c r="DR17"/>
  <c r="AN124" i="6"/>
  <c r="EO7" i="2"/>
  <c r="EO9" s="1"/>
  <c r="EP6"/>
  <c r="EP7" s="1"/>
  <c r="AJ26" i="12"/>
  <c r="AL25"/>
  <c r="AK25"/>
  <c r="AN25"/>
  <c r="AO25"/>
  <c r="DD30" i="6"/>
  <c r="CZ31"/>
  <c r="DG17"/>
  <c r="DI14" i="2"/>
  <c r="EQ6"/>
  <c r="K17"/>
  <c r="DL34"/>
  <c r="DL33"/>
  <c r="DN13"/>
  <c r="DL32"/>
  <c r="DT17" l="1"/>
  <c r="DU17"/>
  <c r="BZ61" i="6"/>
  <c r="BV61"/>
  <c r="BX61" s="1"/>
  <c r="BW61"/>
  <c r="BY62"/>
  <c r="DA33"/>
  <c r="DD33"/>
  <c r="AU39" i="4"/>
  <c r="AZ39"/>
  <c r="BB39" s="1"/>
  <c r="AY39"/>
  <c r="BA39" s="1"/>
  <c r="AW39"/>
  <c r="BD39" s="1"/>
  <c r="BE39" s="1"/>
  <c r="BF39"/>
  <c r="BG39" s="1"/>
  <c r="AV40"/>
  <c r="ER6" i="2"/>
  <c r="ER7" s="1"/>
  <c r="EQ7"/>
  <c r="EQ9" s="1"/>
  <c r="DG20" i="6"/>
  <c r="CZ32"/>
  <c r="DD32"/>
  <c r="DI15" i="2"/>
  <c r="K18"/>
  <c r="ES6"/>
  <c r="DN14"/>
  <c r="DL37"/>
  <c r="DL36"/>
  <c r="DL35"/>
  <c r="AJ27" i="12"/>
  <c r="AL26"/>
  <c r="AK26"/>
  <c r="AN26"/>
  <c r="AO26"/>
  <c r="AM125" i="6"/>
  <c r="DR18" i="2"/>
  <c r="DP19"/>
  <c r="DV18"/>
  <c r="DS18"/>
  <c r="BK37" i="5"/>
  <c r="BL37" s="1"/>
  <c r="BB37"/>
  <c r="BI37" s="1"/>
  <c r="BJ37" s="1"/>
  <c r="AZ37"/>
  <c r="BE37"/>
  <c r="BG37" s="1"/>
  <c r="BD37"/>
  <c r="BF37" s="1"/>
  <c r="BA38"/>
  <c r="BB38" l="1"/>
  <c r="BI38" s="1"/>
  <c r="BJ38" s="1"/>
  <c r="BD38"/>
  <c r="BF38" s="1"/>
  <c r="BA39"/>
  <c r="BK38"/>
  <c r="BL38" s="1"/>
  <c r="AZ38"/>
  <c r="BE38"/>
  <c r="BG38" s="1"/>
  <c r="DS19" i="2"/>
  <c r="DR19"/>
  <c r="DV19"/>
  <c r="DP20"/>
  <c r="AK27" i="12"/>
  <c r="AJ28"/>
  <c r="AL27"/>
  <c r="AN27"/>
  <c r="AO27"/>
  <c r="DI16" i="2"/>
  <c r="DL38"/>
  <c r="DL40"/>
  <c r="DN15"/>
  <c r="K19"/>
  <c r="DL39"/>
  <c r="EU6"/>
  <c r="BZ62" i="6"/>
  <c r="BW62" s="1"/>
  <c r="BY63"/>
  <c r="BV62"/>
  <c r="BX62" s="1"/>
  <c r="DU18" i="2"/>
  <c r="DT18"/>
  <c r="AN125" i="6"/>
  <c r="AW40" i="4"/>
  <c r="AU40"/>
  <c r="AZ40"/>
  <c r="BB40" s="1"/>
  <c r="BD40"/>
  <c r="BE40" s="1"/>
  <c r="AY40"/>
  <c r="BA40" s="1"/>
  <c r="AV41"/>
  <c r="BF40"/>
  <c r="BG40" s="1"/>
  <c r="DD35" i="6"/>
  <c r="DA34"/>
  <c r="ET6" i="2"/>
  <c r="ET7" s="1"/>
  <c r="ES7"/>
  <c r="ES9" s="1"/>
  <c r="CZ33" i="6"/>
  <c r="DD34"/>
  <c r="AM126" l="1"/>
  <c r="EV6" i="2"/>
  <c r="EV7" s="1"/>
  <c r="EU7"/>
  <c r="EU9" s="1"/>
  <c r="DP21"/>
  <c r="DS20"/>
  <c r="DV20"/>
  <c r="DR20"/>
  <c r="BF41" i="4"/>
  <c r="BG41" s="1"/>
  <c r="AV42"/>
  <c r="AW41"/>
  <c r="BD41"/>
  <c r="BE41" s="1"/>
  <c r="AY41"/>
  <c r="BA41" s="1"/>
  <c r="AU41"/>
  <c r="AZ41"/>
  <c r="BB41" s="1"/>
  <c r="BY64" i="6"/>
  <c r="BZ63"/>
  <c r="BV63"/>
  <c r="BX63" s="1"/>
  <c r="BW63"/>
  <c r="DI17" i="2"/>
  <c r="DL43"/>
  <c r="K20"/>
  <c r="DL41"/>
  <c r="DN16"/>
  <c r="EW6"/>
  <c r="DL42"/>
  <c r="AL28" i="12"/>
  <c r="AK28"/>
  <c r="AJ29"/>
  <c r="AN28"/>
  <c r="AO28"/>
  <c r="CZ34" i="6"/>
  <c r="DD36"/>
  <c r="DD37"/>
  <c r="DA35"/>
  <c r="DT19" i="2"/>
  <c r="DU19"/>
  <c r="AZ39" i="5"/>
  <c r="BE39"/>
  <c r="BG39" s="1"/>
  <c r="BI39"/>
  <c r="BJ39" s="1"/>
  <c r="BA40"/>
  <c r="BB39"/>
  <c r="BK39"/>
  <c r="BL39" s="1"/>
  <c r="BD39"/>
  <c r="BF39" s="1"/>
  <c r="AN126" i="6" l="1"/>
  <c r="BD40" i="5"/>
  <c r="BF40" s="1"/>
  <c r="BE40"/>
  <c r="BG40" s="1"/>
  <c r="BA41"/>
  <c r="BB40"/>
  <c r="BI40" s="1"/>
  <c r="BJ40" s="1"/>
  <c r="AZ40"/>
  <c r="BK40"/>
  <c r="BL40" s="1"/>
  <c r="AJ30" i="12"/>
  <c r="AL29"/>
  <c r="AK29"/>
  <c r="AN29"/>
  <c r="AO29"/>
  <c r="EW7" i="2"/>
  <c r="EW9" s="1"/>
  <c r="EX6"/>
  <c r="EX7" s="1"/>
  <c r="DP22"/>
  <c r="DV21"/>
  <c r="DS21"/>
  <c r="DR21"/>
  <c r="DT20"/>
  <c r="DU20"/>
  <c r="CZ35" i="6"/>
  <c r="DD38"/>
  <c r="DI18" i="2"/>
  <c r="EY6"/>
  <c r="K21"/>
  <c r="DL44"/>
  <c r="DL45"/>
  <c r="DN17"/>
  <c r="DL46"/>
  <c r="BZ64" i="6"/>
  <c r="BW64" s="1"/>
  <c r="BY65"/>
  <c r="BV64"/>
  <c r="BX64" s="1"/>
  <c r="AY42" i="4"/>
  <c r="BA42" s="1"/>
  <c r="BF42"/>
  <c r="BG42" s="1"/>
  <c r="AV43"/>
  <c r="AW42"/>
  <c r="BD42"/>
  <c r="BE42" s="1"/>
  <c r="AU42"/>
  <c r="AZ42"/>
  <c r="BB42" s="1"/>
  <c r="DG22" i="6"/>
  <c r="DA36"/>
  <c r="DD39"/>
  <c r="AM127" l="1"/>
  <c r="AU43" i="4"/>
  <c r="AZ43"/>
  <c r="BB43" s="1"/>
  <c r="BD43"/>
  <c r="BE43" s="1"/>
  <c r="AY43"/>
  <c r="BA43" s="1"/>
  <c r="AW43"/>
  <c r="BF43"/>
  <c r="BG43" s="1"/>
  <c r="AV44"/>
  <c r="EZ6" i="2"/>
  <c r="EZ7" s="1"/>
  <c r="EY7"/>
  <c r="EY9" s="1"/>
  <c r="DA37" i="6"/>
  <c r="DG25"/>
  <c r="DD41"/>
  <c r="BZ65"/>
  <c r="BW65" s="1"/>
  <c r="BY66"/>
  <c r="BV65"/>
  <c r="BX65" s="1"/>
  <c r="DI19" i="2"/>
  <c r="DL49"/>
  <c r="FA6"/>
  <c r="DN18"/>
  <c r="K22"/>
  <c r="DL47"/>
  <c r="DL48"/>
  <c r="DR22"/>
  <c r="DP23"/>
  <c r="DV22"/>
  <c r="DS22"/>
  <c r="AJ31" i="12"/>
  <c r="AL30"/>
  <c r="AN30"/>
  <c r="AK30"/>
  <c r="AO30"/>
  <c r="BK41" i="5"/>
  <c r="BL41" s="1"/>
  <c r="AZ41"/>
  <c r="BE41"/>
  <c r="BG41" s="1"/>
  <c r="BD41"/>
  <c r="BF41" s="1"/>
  <c r="BA42"/>
  <c r="BB41"/>
  <c r="BI41" s="1"/>
  <c r="BJ41" s="1"/>
  <c r="CZ36" i="6"/>
  <c r="DD40"/>
  <c r="DG23"/>
  <c r="DT21" i="2"/>
  <c r="DU21"/>
  <c r="DT22" l="1"/>
  <c r="DU22"/>
  <c r="FB6"/>
  <c r="FB7" s="1"/>
  <c r="FA7"/>
  <c r="FA9" s="1"/>
  <c r="BB42" i="5"/>
  <c r="BA43"/>
  <c r="AZ42"/>
  <c r="BI42"/>
  <c r="BJ42" s="1"/>
  <c r="BE42"/>
  <c r="BG42" s="1"/>
  <c r="BK42"/>
  <c r="BL42" s="1"/>
  <c r="BD42"/>
  <c r="BF42" s="1"/>
  <c r="BZ66" i="6"/>
  <c r="BW66" s="1"/>
  <c r="BY67"/>
  <c r="BV66"/>
  <c r="BX66" s="1"/>
  <c r="DD43"/>
  <c r="DA38"/>
  <c r="AW44" i="4"/>
  <c r="AU44"/>
  <c r="AZ44"/>
  <c r="BB44" s="1"/>
  <c r="BD44"/>
  <c r="BE44" s="1"/>
  <c r="AY44"/>
  <c r="BA44" s="1"/>
  <c r="BF44"/>
  <c r="BG44" s="1"/>
  <c r="AV45"/>
  <c r="AN127" i="6"/>
  <c r="CZ37"/>
  <c r="DD42"/>
  <c r="DG26"/>
  <c r="AK31" i="12"/>
  <c r="AJ32"/>
  <c r="AO31"/>
  <c r="AN31"/>
  <c r="AL31"/>
  <c r="DS23" i="2"/>
  <c r="DR23"/>
  <c r="DV23"/>
  <c r="DP24"/>
  <c r="DI20"/>
  <c r="DL50"/>
  <c r="DL51"/>
  <c r="DL52"/>
  <c r="FC6"/>
  <c r="DN19"/>
  <c r="K23"/>
  <c r="DS24" l="1"/>
  <c r="DP25"/>
  <c r="DR24"/>
  <c r="DV24"/>
  <c r="FD6"/>
  <c r="FD7" s="1"/>
  <c r="FC7"/>
  <c r="FC9" s="1"/>
  <c r="DI21"/>
  <c r="DN20"/>
  <c r="DL55"/>
  <c r="K24"/>
  <c r="DL54"/>
  <c r="FE6"/>
  <c r="DL53"/>
  <c r="BF45" i="4"/>
  <c r="BG45" s="1"/>
  <c r="AV46"/>
  <c r="AW45"/>
  <c r="BD45" s="1"/>
  <c r="BE45" s="1"/>
  <c r="AY45"/>
  <c r="BA45" s="1"/>
  <c r="AU45"/>
  <c r="AZ45"/>
  <c r="BB45" s="1"/>
  <c r="AM128" i="6"/>
  <c r="DA39"/>
  <c r="DD47" s="1"/>
  <c r="DD45"/>
  <c r="BY68"/>
  <c r="BV67"/>
  <c r="BX67" s="1"/>
  <c r="BZ67"/>
  <c r="BW67"/>
  <c r="AZ43" i="5"/>
  <c r="BE43"/>
  <c r="BG43" s="1"/>
  <c r="BA44"/>
  <c r="BK43"/>
  <c r="BL43" s="1"/>
  <c r="BD43"/>
  <c r="BF43" s="1"/>
  <c r="BB43"/>
  <c r="BI43" s="1"/>
  <c r="BJ43" s="1"/>
  <c r="DT23" i="2"/>
  <c r="DU23"/>
  <c r="AL32" i="12"/>
  <c r="AK32"/>
  <c r="AJ33"/>
  <c r="AN32"/>
  <c r="AO32"/>
  <c r="DD44" i="6"/>
  <c r="CZ38"/>
  <c r="DT24" i="2" l="1"/>
  <c r="DU24"/>
  <c r="BV68" i="6"/>
  <c r="BX68" s="1"/>
  <c r="BY69"/>
  <c r="BZ68"/>
  <c r="BW68" s="1"/>
  <c r="AN128"/>
  <c r="DS25" i="2"/>
  <c r="DR25"/>
  <c r="DV25"/>
  <c r="DP26"/>
  <c r="CZ39" i="6"/>
  <c r="DD48" s="1"/>
  <c r="DD46"/>
  <c r="AJ34" i="12"/>
  <c r="AL33"/>
  <c r="AK33"/>
  <c r="AO33"/>
  <c r="AN33"/>
  <c r="BD44" i="5"/>
  <c r="BF44" s="1"/>
  <c r="BA45"/>
  <c r="BB44"/>
  <c r="BK44"/>
  <c r="BL44" s="1"/>
  <c r="BI44"/>
  <c r="BJ44" s="1"/>
  <c r="AZ44"/>
  <c r="BE44"/>
  <c r="BG44" s="1"/>
  <c r="FE7" i="2"/>
  <c r="FE9" s="1"/>
  <c r="FF6"/>
  <c r="FF7" s="1"/>
  <c r="AY46" i="4"/>
  <c r="BA46" s="1"/>
  <c r="BF46"/>
  <c r="BG46" s="1"/>
  <c r="AV47"/>
  <c r="AW46"/>
  <c r="BD46" s="1"/>
  <c r="BE46" s="1"/>
  <c r="AZ46"/>
  <c r="BB46" s="1"/>
  <c r="AU46"/>
  <c r="DI22" i="2"/>
  <c r="FG6"/>
  <c r="K25"/>
  <c r="DN21"/>
  <c r="DL58"/>
  <c r="DL57"/>
  <c r="DL56"/>
  <c r="DU25" l="1"/>
  <c r="DT25"/>
  <c r="AU47" i="4"/>
  <c r="AZ47"/>
  <c r="BB47" s="1"/>
  <c r="BD47"/>
  <c r="BE47" s="1"/>
  <c r="AY47"/>
  <c r="BA47" s="1"/>
  <c r="AW47"/>
  <c r="BF47"/>
  <c r="BG47" s="1"/>
  <c r="AV48"/>
  <c r="DS26" i="2"/>
  <c r="DP27"/>
  <c r="DR26"/>
  <c r="DV26"/>
  <c r="DI23"/>
  <c r="K26"/>
  <c r="DL61"/>
  <c r="FI6"/>
  <c r="DN22"/>
  <c r="DL60"/>
  <c r="DL59"/>
  <c r="BK45" i="5"/>
  <c r="BL45" s="1"/>
  <c r="BD45"/>
  <c r="BF45" s="1"/>
  <c r="BA46"/>
  <c r="BB45"/>
  <c r="BI45" s="1"/>
  <c r="BJ45" s="1"/>
  <c r="AZ45"/>
  <c r="BE45"/>
  <c r="BG45" s="1"/>
  <c r="FH6" i="2"/>
  <c r="FH7" s="1"/>
  <c r="FG7"/>
  <c r="FG9" s="1"/>
  <c r="AJ35" i="12"/>
  <c r="AL34"/>
  <c r="AK34"/>
  <c r="AN34"/>
  <c r="AO34"/>
  <c r="AM129" i="6"/>
  <c r="BZ69"/>
  <c r="BY70"/>
  <c r="BW69"/>
  <c r="BV69"/>
  <c r="BX69" s="1"/>
  <c r="BB46" i="5" l="1"/>
  <c r="BI46" s="1"/>
  <c r="BJ46" s="1"/>
  <c r="AZ46"/>
  <c r="BE46"/>
  <c r="BG46" s="1"/>
  <c r="BK46"/>
  <c r="BL46" s="1"/>
  <c r="BD46"/>
  <c r="BF46" s="1"/>
  <c r="BA47"/>
  <c r="DT26" i="2"/>
  <c r="DU26"/>
  <c r="AN129" i="6"/>
  <c r="FJ6" i="2"/>
  <c r="FJ7" s="1"/>
  <c r="FI7"/>
  <c r="FI9" s="1"/>
  <c r="AW48" i="4"/>
  <c r="AU48"/>
  <c r="AZ48"/>
  <c r="BB48" s="1"/>
  <c r="BD48"/>
  <c r="BE48" s="1"/>
  <c r="AY48"/>
  <c r="BA48" s="1"/>
  <c r="BF48"/>
  <c r="BG48" s="1"/>
  <c r="AV49"/>
  <c r="DI24" i="2"/>
  <c r="DL63"/>
  <c r="K27"/>
  <c r="DL64"/>
  <c r="DL62"/>
  <c r="DN23"/>
  <c r="FK6"/>
  <c r="BZ70" i="6"/>
  <c r="BW70" s="1"/>
  <c r="BY71"/>
  <c r="BV70"/>
  <c r="BX70" s="1"/>
  <c r="AK35" i="12"/>
  <c r="AJ36"/>
  <c r="AL35"/>
  <c r="AN35"/>
  <c r="AO35"/>
  <c r="DS27" i="2"/>
  <c r="DR27"/>
  <c r="DV27"/>
  <c r="DP28"/>
  <c r="DT27" l="1"/>
  <c r="DU27"/>
  <c r="AL36" i="12"/>
  <c r="AK36"/>
  <c r="AN36"/>
  <c r="AJ37"/>
  <c r="AO36"/>
  <c r="BY72" i="6"/>
  <c r="BV71"/>
  <c r="BX71" s="1"/>
  <c r="BZ71"/>
  <c r="BW71" s="1"/>
  <c r="DI25" i="2"/>
  <c r="DN24"/>
  <c r="DL65"/>
  <c r="K28"/>
  <c r="DL67"/>
  <c r="FM6"/>
  <c r="DL66"/>
  <c r="AM130" i="6"/>
  <c r="AZ47" i="5"/>
  <c r="BE47"/>
  <c r="BG47" s="1"/>
  <c r="BA48"/>
  <c r="BD47"/>
  <c r="BF47" s="1"/>
  <c r="BK47"/>
  <c r="BL47" s="1"/>
  <c r="BB47"/>
  <c r="BI47" s="1"/>
  <c r="BJ47" s="1"/>
  <c r="DS28" i="2"/>
  <c r="DR28"/>
  <c r="DV28"/>
  <c r="DP29"/>
  <c r="BF49" i="4"/>
  <c r="BG49" s="1"/>
  <c r="AV50"/>
  <c r="AW49"/>
  <c r="BD49" s="1"/>
  <c r="BE49" s="1"/>
  <c r="AY49"/>
  <c r="BA49" s="1"/>
  <c r="AU49"/>
  <c r="AZ49"/>
  <c r="BB49" s="1"/>
  <c r="FL6" i="2"/>
  <c r="FL7" s="1"/>
  <c r="FK7"/>
  <c r="FK9" s="1"/>
  <c r="AY50" i="4" l="1"/>
  <c r="BA50" s="1"/>
  <c r="BF50"/>
  <c r="BG50" s="1"/>
  <c r="AV51"/>
  <c r="AW50"/>
  <c r="BD50"/>
  <c r="BE50" s="1"/>
  <c r="AU50"/>
  <c r="AZ50"/>
  <c r="BB50" s="1"/>
  <c r="AJ38" i="12"/>
  <c r="AL37"/>
  <c r="AK37"/>
  <c r="AN37"/>
  <c r="AO37"/>
  <c r="FM7" i="2"/>
  <c r="FM9" s="1"/>
  <c r="FN6"/>
  <c r="FN7" s="1"/>
  <c r="DS29"/>
  <c r="DP30"/>
  <c r="DR29"/>
  <c r="DV29"/>
  <c r="AN130" i="6"/>
  <c r="DT28" i="2"/>
  <c r="DU28"/>
  <c r="BD48" i="5"/>
  <c r="BF48" s="1"/>
  <c r="BB48"/>
  <c r="BK48"/>
  <c r="BL48" s="1"/>
  <c r="AZ48"/>
  <c r="BE48"/>
  <c r="BG48" s="1"/>
  <c r="BI48"/>
  <c r="BJ48" s="1"/>
  <c r="BA49"/>
  <c r="DI26" i="2"/>
  <c r="FO6"/>
  <c r="DL68"/>
  <c r="K29"/>
  <c r="DL70"/>
  <c r="DL69"/>
  <c r="DN25"/>
  <c r="BZ72" i="6"/>
  <c r="BV72"/>
  <c r="BX72" s="1"/>
  <c r="BW72"/>
  <c r="BY73"/>
  <c r="AM131" l="1"/>
  <c r="BZ73"/>
  <c r="BY74"/>
  <c r="BV73"/>
  <c r="BX73" s="1"/>
  <c r="BW73"/>
  <c r="DR30" i="2"/>
  <c r="DP31"/>
  <c r="DV30"/>
  <c r="DS30"/>
  <c r="BK49" i="5"/>
  <c r="BL49" s="1"/>
  <c r="BA50"/>
  <c r="BB49"/>
  <c r="BI49" s="1"/>
  <c r="BJ49" s="1"/>
  <c r="AZ49"/>
  <c r="BD49"/>
  <c r="BF49" s="1"/>
  <c r="BE49"/>
  <c r="BG49" s="1"/>
  <c r="DI27" i="2"/>
  <c r="K30"/>
  <c r="DN26"/>
  <c r="DL73"/>
  <c r="FQ6"/>
  <c r="DL72"/>
  <c r="DL71"/>
  <c r="AU51" i="4"/>
  <c r="AZ51"/>
  <c r="BB51" s="1"/>
  <c r="AY51"/>
  <c r="BA51" s="1"/>
  <c r="AW51"/>
  <c r="BD51" s="1"/>
  <c r="BE51" s="1"/>
  <c r="BF51"/>
  <c r="BG51" s="1"/>
  <c r="AV52"/>
  <c r="FP6" i="2"/>
  <c r="FP7" s="1"/>
  <c r="FO7"/>
  <c r="FO9" s="1"/>
  <c r="DT29"/>
  <c r="DU29"/>
  <c r="AJ39" i="12"/>
  <c r="AL38"/>
  <c r="AK38"/>
  <c r="AN38"/>
  <c r="AO38"/>
  <c r="AK39" l="1"/>
  <c r="AJ40"/>
  <c r="AL39"/>
  <c r="AO39"/>
  <c r="AN39"/>
  <c r="DT30" i="2"/>
  <c r="DU30"/>
  <c r="AN131" i="6"/>
  <c r="FR6" i="2"/>
  <c r="FR7" s="1"/>
  <c r="FQ7"/>
  <c r="FQ9" s="1"/>
  <c r="DI28"/>
  <c r="DN27"/>
  <c r="DL74"/>
  <c r="DL75"/>
  <c r="DL76"/>
  <c r="FS6"/>
  <c r="K31"/>
  <c r="AW52" i="4"/>
  <c r="AU52"/>
  <c r="AZ52"/>
  <c r="BB52" s="1"/>
  <c r="BD52"/>
  <c r="BE52" s="1"/>
  <c r="AY52"/>
  <c r="BA52" s="1"/>
  <c r="AV53"/>
  <c r="BF52"/>
  <c r="BG52" s="1"/>
  <c r="BB50" i="5"/>
  <c r="BE50"/>
  <c r="BG50" s="1"/>
  <c r="BK50"/>
  <c r="BL50" s="1"/>
  <c r="BD50"/>
  <c r="BF50" s="1"/>
  <c r="BI50"/>
  <c r="BJ50" s="1"/>
  <c r="BA51"/>
  <c r="AZ50"/>
  <c r="DS31" i="2"/>
  <c r="DP32"/>
  <c r="DR31"/>
  <c r="DV31"/>
  <c r="BZ74" i="6"/>
  <c r="BY75"/>
  <c r="BV74"/>
  <c r="BX74" s="1"/>
  <c r="BW74"/>
  <c r="BF53" i="4" l="1"/>
  <c r="BG53" s="1"/>
  <c r="AV54"/>
  <c r="AW53"/>
  <c r="BD53" s="1"/>
  <c r="BE53" s="1"/>
  <c r="AY53"/>
  <c r="BA53" s="1"/>
  <c r="AU53"/>
  <c r="AZ53"/>
  <c r="BB53" s="1"/>
  <c r="FT6" i="2"/>
  <c r="FT7" s="1"/>
  <c r="FS7"/>
  <c r="FS9" s="1"/>
  <c r="AL40" i="12"/>
  <c r="AK40"/>
  <c r="AJ41"/>
  <c r="AN40"/>
  <c r="AO40"/>
  <c r="DI29" i="2"/>
  <c r="DL77"/>
  <c r="DL78"/>
  <c r="FU6"/>
  <c r="DL79"/>
  <c r="K32"/>
  <c r="DN28"/>
  <c r="DT31"/>
  <c r="DU31"/>
  <c r="BY76" i="6"/>
  <c r="BV75"/>
  <c r="BX75" s="1"/>
  <c r="BZ75"/>
  <c r="BW75" s="1"/>
  <c r="DP33" i="2"/>
  <c r="DR32"/>
  <c r="DS32"/>
  <c r="DV32"/>
  <c r="AZ51" i="5"/>
  <c r="BE51"/>
  <c r="BG51" s="1"/>
  <c r="BA52"/>
  <c r="BB51"/>
  <c r="BI51" s="1"/>
  <c r="BJ51" s="1"/>
  <c r="BK51"/>
  <c r="BL51" s="1"/>
  <c r="BD51"/>
  <c r="BF51" s="1"/>
  <c r="AM132" i="6"/>
  <c r="AY54" i="4" l="1"/>
  <c r="BA54" s="1"/>
  <c r="BF54"/>
  <c r="BG54" s="1"/>
  <c r="AV55"/>
  <c r="AW54"/>
  <c r="BD54"/>
  <c r="BE54" s="1"/>
  <c r="AZ54"/>
  <c r="BB54" s="1"/>
  <c r="AU54"/>
  <c r="DS33" i="2"/>
  <c r="DR33"/>
  <c r="DV33"/>
  <c r="DP34"/>
  <c r="BV76" i="6"/>
  <c r="BX76" s="1"/>
  <c r="BY77"/>
  <c r="BZ76"/>
  <c r="BW76" s="1"/>
  <c r="AJ42" i="12"/>
  <c r="AL41"/>
  <c r="AK41"/>
  <c r="AO41"/>
  <c r="AN41"/>
  <c r="FU7" i="2"/>
  <c r="FU9" s="1"/>
  <c r="FV6"/>
  <c r="FV7" s="1"/>
  <c r="DU32"/>
  <c r="DT32"/>
  <c r="AN132" i="6"/>
  <c r="BD52" i="5"/>
  <c r="BF52" s="1"/>
  <c r="AZ52"/>
  <c r="BE52"/>
  <c r="BG52" s="1"/>
  <c r="BI52"/>
  <c r="BJ52" s="1"/>
  <c r="BA53"/>
  <c r="BK52"/>
  <c r="BL52" s="1"/>
  <c r="BB52"/>
  <c r="DI30" i="2"/>
  <c r="FW6"/>
  <c r="K33"/>
  <c r="DL80"/>
  <c r="DL82"/>
  <c r="DN29"/>
  <c r="DL81"/>
  <c r="DI31" l="1"/>
  <c r="K34"/>
  <c r="FY6"/>
  <c r="DN30"/>
  <c r="DL83"/>
  <c r="DL85"/>
  <c r="DL84"/>
  <c r="BZ77" i="6"/>
  <c r="BV77"/>
  <c r="BX77" s="1"/>
  <c r="BW77"/>
  <c r="BY78"/>
  <c r="AM133"/>
  <c r="DS34" i="2"/>
  <c r="DP35"/>
  <c r="DR34"/>
  <c r="DV34"/>
  <c r="AU55" i="4"/>
  <c r="AZ55"/>
  <c r="BB55" s="1"/>
  <c r="BD55"/>
  <c r="BE55" s="1"/>
  <c r="AY55"/>
  <c r="BA55" s="1"/>
  <c r="AW55"/>
  <c r="BF55"/>
  <c r="BG55" s="1"/>
  <c r="AV56"/>
  <c r="FX6" i="2"/>
  <c r="FX7" s="1"/>
  <c r="FW7"/>
  <c r="FW9" s="1"/>
  <c r="BK53" i="5"/>
  <c r="BL53" s="1"/>
  <c r="BB53"/>
  <c r="AZ53"/>
  <c r="BE53"/>
  <c r="BG53" s="1"/>
  <c r="BA54"/>
  <c r="BI53"/>
  <c r="BJ53" s="1"/>
  <c r="BD53"/>
  <c r="BF53" s="1"/>
  <c r="AJ43" i="12"/>
  <c r="AL42"/>
  <c r="AK42"/>
  <c r="AN42"/>
  <c r="AO42"/>
  <c r="DT33" i="2"/>
  <c r="DU33"/>
  <c r="DU34" l="1"/>
  <c r="DT34"/>
  <c r="DI32"/>
  <c r="DL86"/>
  <c r="DL88"/>
  <c r="K35"/>
  <c r="GA6"/>
  <c r="DN31"/>
  <c r="DL87"/>
  <c r="AK43" i="12"/>
  <c r="AJ44"/>
  <c r="AL43"/>
  <c r="AO43"/>
  <c r="AN43"/>
  <c r="DP36" i="2"/>
  <c r="DR35"/>
  <c r="DS35"/>
  <c r="DV35"/>
  <c r="BZ78" i="6"/>
  <c r="BY79"/>
  <c r="BV78"/>
  <c r="BX78" s="1"/>
  <c r="BW78"/>
  <c r="FZ6" i="2"/>
  <c r="FZ7" s="1"/>
  <c r="FY7"/>
  <c r="FY9" s="1"/>
  <c r="BB54" i="5"/>
  <c r="BD54"/>
  <c r="BF54" s="1"/>
  <c r="BI54"/>
  <c r="BJ54" s="1"/>
  <c r="BA55"/>
  <c r="BE54"/>
  <c r="BG54" s="1"/>
  <c r="AZ54"/>
  <c r="BK54"/>
  <c r="BL54" s="1"/>
  <c r="AW56" i="4"/>
  <c r="AU56"/>
  <c r="AZ56"/>
  <c r="BB56" s="1"/>
  <c r="BD56"/>
  <c r="BE56" s="1"/>
  <c r="AY56"/>
  <c r="BA56" s="1"/>
  <c r="BF56"/>
  <c r="BG56" s="1"/>
  <c r="AV57"/>
  <c r="AN133" i="6"/>
  <c r="AZ55" i="5" l="1"/>
  <c r="BE55"/>
  <c r="BG55" s="1"/>
  <c r="BA56"/>
  <c r="BB55"/>
  <c r="BI55" s="1"/>
  <c r="BJ55" s="1"/>
  <c r="BK55"/>
  <c r="BL55" s="1"/>
  <c r="BD55"/>
  <c r="BF55" s="1"/>
  <c r="DT35" i="2"/>
  <c r="DU35"/>
  <c r="BF57" i="4"/>
  <c r="BG57" s="1"/>
  <c r="AV58"/>
  <c r="AW57"/>
  <c r="BD57"/>
  <c r="BE57" s="1"/>
  <c r="AY57"/>
  <c r="BA57" s="1"/>
  <c r="AU57"/>
  <c r="AZ57"/>
  <c r="BB57" s="1"/>
  <c r="DR36" i="2"/>
  <c r="DV36"/>
  <c r="DP37"/>
  <c r="DS36"/>
  <c r="AL44" i="12"/>
  <c r="AK44"/>
  <c r="AJ45"/>
  <c r="AN44"/>
  <c r="AO44"/>
  <c r="GB6" i="2"/>
  <c r="GB7" s="1"/>
  <c r="GA7"/>
  <c r="GA9" s="1"/>
  <c r="DI33"/>
  <c r="DL91"/>
  <c r="DN32"/>
  <c r="DL90"/>
  <c r="K36"/>
  <c r="DL89"/>
  <c r="GC6"/>
  <c r="DJ2" a="1"/>
  <c r="AM134" i="6"/>
  <c r="BY80"/>
  <c r="BV79"/>
  <c r="BX79" s="1"/>
  <c r="BZ79"/>
  <c r="BW79" s="1"/>
  <c r="DJ9" i="2" l="1"/>
  <c r="DJ12"/>
  <c r="DJ14"/>
  <c r="DJ17"/>
  <c r="DJ22"/>
  <c r="DJ32"/>
  <c r="DJ2"/>
  <c r="DJ3"/>
  <c r="DJ5"/>
  <c r="DJ6"/>
  <c r="DJ15"/>
  <c r="DJ16"/>
  <c r="DJ4"/>
  <c r="DJ7"/>
  <c r="DJ10"/>
  <c r="DJ13"/>
  <c r="DJ20"/>
  <c r="DJ21"/>
  <c r="DJ8"/>
  <c r="DJ19"/>
  <c r="DJ23"/>
  <c r="DJ28"/>
  <c r="DJ29"/>
  <c r="DJ31"/>
  <c r="DJ11"/>
  <c r="DJ25"/>
  <c r="DJ18"/>
  <c r="DJ24"/>
  <c r="DJ26"/>
  <c r="DJ30"/>
  <c r="DJ27"/>
  <c r="AN134" i="6"/>
  <c r="DN33" i="2"/>
  <c r="DL93"/>
  <c r="K37"/>
  <c r="GE6"/>
  <c r="DL92"/>
  <c r="BZ80" i="6"/>
  <c r="BY81"/>
  <c r="BV80"/>
  <c r="BX80" s="1"/>
  <c r="BW80"/>
  <c r="GC7" i="2"/>
  <c r="GC9" s="1"/>
  <c r="GD6"/>
  <c r="GD7" s="1"/>
  <c r="AJ46" i="12"/>
  <c r="AL45"/>
  <c r="AK45"/>
  <c r="AO45"/>
  <c r="AN45"/>
  <c r="DV37" i="2"/>
  <c r="DP38"/>
  <c r="DS37"/>
  <c r="DR37"/>
  <c r="AY58" i="4"/>
  <c r="BA58" s="1"/>
  <c r="BF58"/>
  <c r="BG58" s="1"/>
  <c r="AV59"/>
  <c r="AW58"/>
  <c r="BD58" s="1"/>
  <c r="BE58" s="1"/>
  <c r="AZ58"/>
  <c r="BB58" s="1"/>
  <c r="AU58"/>
  <c r="DU36" i="2"/>
  <c r="DT36"/>
  <c r="BD56" i="5"/>
  <c r="BF56" s="1"/>
  <c r="BE56"/>
  <c r="BG56" s="1"/>
  <c r="BA57"/>
  <c r="AZ56"/>
  <c r="BK56"/>
  <c r="BL56" s="1"/>
  <c r="BB56"/>
  <c r="BI56" s="1"/>
  <c r="BJ56" s="1"/>
  <c r="AJ47" i="12" l="1"/>
  <c r="AL46"/>
  <c r="AN46"/>
  <c r="AK46"/>
  <c r="AO46"/>
  <c r="GA5" i="2"/>
  <c r="DM85"/>
  <c r="DM86"/>
  <c r="L34"/>
  <c r="FQ5"/>
  <c r="DM70"/>
  <c r="DM71"/>
  <c r="L29"/>
  <c r="L32"/>
  <c r="DM79"/>
  <c r="DM80"/>
  <c r="FW5"/>
  <c r="FI5"/>
  <c r="DM58"/>
  <c r="DM59"/>
  <c r="L25"/>
  <c r="L11"/>
  <c r="EG5"/>
  <c r="DM16"/>
  <c r="DM17"/>
  <c r="DM13"/>
  <c r="EE5"/>
  <c r="DM14"/>
  <c r="L10"/>
  <c r="DM92"/>
  <c r="DM91"/>
  <c r="GE5"/>
  <c r="L36"/>
  <c r="L16"/>
  <c r="DM31"/>
  <c r="DM32"/>
  <c r="EQ5"/>
  <c r="DM28"/>
  <c r="DM29"/>
  <c r="EO5"/>
  <c r="L15"/>
  <c r="L27"/>
  <c r="DM65"/>
  <c r="FM5"/>
  <c r="DM64"/>
  <c r="L24"/>
  <c r="DM56"/>
  <c r="DM55"/>
  <c r="FG5"/>
  <c r="L8"/>
  <c r="DM7"/>
  <c r="DM8"/>
  <c r="EA5"/>
  <c r="EC5"/>
  <c r="DM10"/>
  <c r="DM11"/>
  <c r="L9"/>
  <c r="EK5"/>
  <c r="DM23"/>
  <c r="DM22"/>
  <c r="L13"/>
  <c r="DM76"/>
  <c r="DM77"/>
  <c r="FU5"/>
  <c r="L31"/>
  <c r="FC5"/>
  <c r="DM49"/>
  <c r="DM50"/>
  <c r="L22"/>
  <c r="FY5"/>
  <c r="DM83"/>
  <c r="DM82"/>
  <c r="L33"/>
  <c r="DM19"/>
  <c r="DM20"/>
  <c r="EI5"/>
  <c r="L12"/>
  <c r="DM25"/>
  <c r="EM5"/>
  <c r="DM26"/>
  <c r="L14"/>
  <c r="L19"/>
  <c r="DM40"/>
  <c r="EW5"/>
  <c r="DM41"/>
  <c r="EU5"/>
  <c r="DM37"/>
  <c r="DM38"/>
  <c r="L18"/>
  <c r="AU59" i="4"/>
  <c r="AZ59"/>
  <c r="BB59" s="1"/>
  <c r="AY59"/>
  <c r="BA59" s="1"/>
  <c r="AW59"/>
  <c r="BD59" s="1"/>
  <c r="BE59" s="1"/>
  <c r="BF59"/>
  <c r="BG59" s="1"/>
  <c r="AV60"/>
  <c r="DT37" i="2"/>
  <c r="DU37"/>
  <c r="GE7"/>
  <c r="GE9" s="1"/>
  <c r="GE4"/>
  <c r="FS5"/>
  <c r="DM74"/>
  <c r="DM73"/>
  <c r="L30"/>
  <c r="FK5"/>
  <c r="DM62"/>
  <c r="DM61"/>
  <c r="L26"/>
  <c r="BK57" i="5"/>
  <c r="BL57" s="1"/>
  <c r="AZ57"/>
  <c r="BE57"/>
  <c r="BG57" s="1"/>
  <c r="BD57"/>
  <c r="BF57" s="1"/>
  <c r="BI57"/>
  <c r="BJ57" s="1"/>
  <c r="BB57"/>
  <c r="BA58"/>
  <c r="DS38" i="2"/>
  <c r="DR38"/>
  <c r="DV38"/>
  <c r="DP39"/>
  <c r="BZ81" i="6"/>
  <c r="BW81" s="1"/>
  <c r="BY82"/>
  <c r="BV81"/>
  <c r="BX81" s="1"/>
  <c r="AC25" i="2"/>
  <c r="AC26"/>
  <c r="AC27" s="1"/>
  <c r="AD27" s="1"/>
  <c r="AE25"/>
  <c r="AM135" i="6"/>
  <c r="DM67" i="2"/>
  <c r="DM68"/>
  <c r="FO5"/>
  <c r="L28"/>
  <c r="L35"/>
  <c r="DM88"/>
  <c r="GC5"/>
  <c r="DM89"/>
  <c r="DM52"/>
  <c r="FE5"/>
  <c r="DM53"/>
  <c r="L23"/>
  <c r="ES5"/>
  <c r="DM35"/>
  <c r="DM34"/>
  <c r="L17"/>
  <c r="EY5"/>
  <c r="DM44"/>
  <c r="DM43"/>
  <c r="L20"/>
  <c r="DM4"/>
  <c r="DM5"/>
  <c r="DY5"/>
  <c r="L7"/>
  <c r="FA5"/>
  <c r="DM46"/>
  <c r="DM47"/>
  <c r="L21"/>
  <c r="EZ11" l="1"/>
  <c r="EZ12" s="1"/>
  <c r="EZ13" s="1"/>
  <c r="EZ14" s="1"/>
  <c r="EZ15" s="1"/>
  <c r="EZ16" s="1"/>
  <c r="EZ17" s="1"/>
  <c r="EZ18" s="1"/>
  <c r="EZ19" s="1"/>
  <c r="EZ20" s="1"/>
  <c r="EZ21" s="1"/>
  <c r="EZ22" s="1"/>
  <c r="FA4"/>
  <c r="EX11"/>
  <c r="EX12" s="1"/>
  <c r="EX13" s="1"/>
  <c r="EX14" s="1"/>
  <c r="EX15" s="1"/>
  <c r="EX16" s="1"/>
  <c r="EX17" s="1"/>
  <c r="EX18" s="1"/>
  <c r="EX19" s="1"/>
  <c r="EX20" s="1"/>
  <c r="EX21" s="1"/>
  <c r="EX22" s="1"/>
  <c r="EX23" s="1"/>
  <c r="EX24" s="1"/>
  <c r="EX25" s="1"/>
  <c r="EY4"/>
  <c r="ER11"/>
  <c r="ER12" s="1"/>
  <c r="ER13" s="1"/>
  <c r="ER14" s="1"/>
  <c r="ER15" s="1"/>
  <c r="ER16" s="1"/>
  <c r="ER17" s="1"/>
  <c r="ER18" s="1"/>
  <c r="ER19" s="1"/>
  <c r="ER20" s="1"/>
  <c r="ER21" s="1"/>
  <c r="ER22" s="1"/>
  <c r="ER23" s="1"/>
  <c r="ER24" s="1"/>
  <c r="ER25" s="1"/>
  <c r="ER26" s="1"/>
  <c r="ER27" s="1"/>
  <c r="ER28" s="1"/>
  <c r="ER29" s="1"/>
  <c r="ER30" s="1"/>
  <c r="ES4"/>
  <c r="BZ82" i="6"/>
  <c r="BY83"/>
  <c r="BV82"/>
  <c r="BX82" s="1"/>
  <c r="BW82"/>
  <c r="DZ11" i="2"/>
  <c r="DZ12" s="1"/>
  <c r="DZ13" s="1"/>
  <c r="DZ14" s="1"/>
  <c r="DZ15" s="1"/>
  <c r="DZ16" s="1"/>
  <c r="DZ17" s="1"/>
  <c r="DZ18" s="1"/>
  <c r="DZ19" s="1"/>
  <c r="DZ20" s="1"/>
  <c r="DZ21" s="1"/>
  <c r="DZ22" s="1"/>
  <c r="DZ23" s="1"/>
  <c r="DZ24" s="1"/>
  <c r="DZ25" s="1"/>
  <c r="DZ26" s="1"/>
  <c r="DZ27" s="1"/>
  <c r="DZ28" s="1"/>
  <c r="DZ29" s="1"/>
  <c r="DZ30" s="1"/>
  <c r="DZ31" s="1"/>
  <c r="DZ32" s="1"/>
  <c r="DZ33" s="1"/>
  <c r="DZ34" s="1"/>
  <c r="DZ35" s="1"/>
  <c r="DZ36" s="1"/>
  <c r="DZ37" s="1"/>
  <c r="DZ38" s="1"/>
  <c r="DZ39" s="1"/>
  <c r="DZ40" s="1"/>
  <c r="DZ41" s="1"/>
  <c r="DZ42" s="1"/>
  <c r="DZ43" s="1"/>
  <c r="DZ44" s="1"/>
  <c r="DZ45" s="1"/>
  <c r="DZ46" s="1"/>
  <c r="DZ47" s="1"/>
  <c r="DZ48" s="1"/>
  <c r="DZ49" s="1"/>
  <c r="DZ50" s="1"/>
  <c r="DZ51" s="1"/>
  <c r="DZ52" s="1"/>
  <c r="DZ53" s="1"/>
  <c r="DZ54" s="1"/>
  <c r="DZ55" s="1"/>
  <c r="DZ56" s="1"/>
  <c r="DZ57" s="1"/>
  <c r="DZ58" s="1"/>
  <c r="DZ59" s="1"/>
  <c r="DZ60" s="1"/>
  <c r="DZ61" s="1"/>
  <c r="DZ62" s="1"/>
  <c r="DZ63" s="1"/>
  <c r="DZ64" s="1"/>
  <c r="DZ65" s="1"/>
  <c r="DZ66" s="1"/>
  <c r="DZ67" s="1"/>
  <c r="DZ68" s="1"/>
  <c r="DZ69" s="1"/>
  <c r="DZ70" s="1"/>
  <c r="DZ71" s="1"/>
  <c r="DZ72" s="1"/>
  <c r="DZ73" s="1"/>
  <c r="DZ74" s="1"/>
  <c r="DZ75" s="1"/>
  <c r="DZ76" s="1"/>
  <c r="DZ77" s="1"/>
  <c r="DZ78" s="1"/>
  <c r="DZ79" s="1"/>
  <c r="DZ80" s="1"/>
  <c r="DZ81" s="1"/>
  <c r="DZ82" s="1"/>
  <c r="DZ83" s="1"/>
  <c r="DZ84" s="1"/>
  <c r="DZ85" s="1"/>
  <c r="DZ86" s="1"/>
  <c r="DZ87" s="1"/>
  <c r="DZ88" s="1"/>
  <c r="DZ89" s="1"/>
  <c r="DZ90" s="1"/>
  <c r="DZ91" s="1"/>
  <c r="DZ92" s="1"/>
  <c r="DZ93" s="1"/>
  <c r="DZ94" s="1"/>
  <c r="DZ95" s="1"/>
  <c r="DZ96" s="1"/>
  <c r="DZ97" s="1"/>
  <c r="DZ98" s="1"/>
  <c r="DZ99" s="1"/>
  <c r="DZ100" s="1"/>
  <c r="DZ101" s="1"/>
  <c r="DZ102" s="1"/>
  <c r="DZ103" s="1"/>
  <c r="DZ104" s="1"/>
  <c r="DZ105" s="1"/>
  <c r="EA4"/>
  <c r="FF11"/>
  <c r="FF12" s="1"/>
  <c r="FF13" s="1"/>
  <c r="FF14" s="1"/>
  <c r="FF15" s="1"/>
  <c r="FF16" s="1"/>
  <c r="FF17" s="1"/>
  <c r="FF18" s="1"/>
  <c r="FF19" s="1"/>
  <c r="FF20" s="1"/>
  <c r="FG4"/>
  <c r="FV11"/>
  <c r="FV12" s="1"/>
  <c r="FV13" s="1"/>
  <c r="FV14" s="1"/>
  <c r="FV15" s="1"/>
  <c r="FV16" s="1"/>
  <c r="FV17" s="1"/>
  <c r="FV18" s="1"/>
  <c r="FW4"/>
  <c r="AK47" i="12"/>
  <c r="AJ48"/>
  <c r="AL47"/>
  <c r="AO47"/>
  <c r="AN47"/>
  <c r="FD11" i="2"/>
  <c r="FD12" s="1"/>
  <c r="FD13" s="1"/>
  <c r="FD14" s="1"/>
  <c r="FD15" s="1"/>
  <c r="FD16" s="1"/>
  <c r="FD17" s="1"/>
  <c r="FD18" s="1"/>
  <c r="FD19" s="1"/>
  <c r="FD20" s="1"/>
  <c r="FD21" s="1"/>
  <c r="FD22" s="1"/>
  <c r="FE4"/>
  <c r="ET11"/>
  <c r="ET12" s="1"/>
  <c r="ET13" s="1"/>
  <c r="ET14" s="1"/>
  <c r="ET15" s="1"/>
  <c r="ET16" s="1"/>
  <c r="ET17" s="1"/>
  <c r="ET18" s="1"/>
  <c r="ET19" s="1"/>
  <c r="ET20" s="1"/>
  <c r="ET21" s="1"/>
  <c r="ET22" s="1"/>
  <c r="ET23" s="1"/>
  <c r="ET24" s="1"/>
  <c r="ET25" s="1"/>
  <c r="EU4"/>
  <c r="FX11"/>
  <c r="FX12"/>
  <c r="FX13" s="1"/>
  <c r="FX14" s="1"/>
  <c r="FX15" s="1"/>
  <c r="FX16" s="1"/>
  <c r="FX17" s="1"/>
  <c r="FX18" s="1"/>
  <c r="FY4"/>
  <c r="FB11"/>
  <c r="FB12" s="1"/>
  <c r="FB13" s="1"/>
  <c r="FB14" s="1"/>
  <c r="FB15" s="1"/>
  <c r="FB16" s="1"/>
  <c r="FB17" s="1"/>
  <c r="FB18" s="1"/>
  <c r="FB19" s="1"/>
  <c r="FB20" s="1"/>
  <c r="FB21" s="1"/>
  <c r="FB22" s="1"/>
  <c r="FC4"/>
  <c r="EJ11"/>
  <c r="EJ12" s="1"/>
  <c r="EJ13" s="1"/>
  <c r="EJ14" s="1"/>
  <c r="EJ15" s="1"/>
  <c r="EJ16" s="1"/>
  <c r="EJ17" s="1"/>
  <c r="EJ18" s="1"/>
  <c r="EJ19" s="1"/>
  <c r="EJ20" s="1"/>
  <c r="EJ21" s="1"/>
  <c r="EJ22" s="1"/>
  <c r="EJ23" s="1"/>
  <c r="EJ24" s="1"/>
  <c r="EJ25" s="1"/>
  <c r="EJ26" s="1"/>
  <c r="EJ27" s="1"/>
  <c r="EJ28" s="1"/>
  <c r="EJ29" s="1"/>
  <c r="EJ30" s="1"/>
  <c r="EJ31" s="1"/>
  <c r="EJ32" s="1"/>
  <c r="EJ33" s="1"/>
  <c r="EJ34" s="1"/>
  <c r="EJ35" s="1"/>
  <c r="EK4"/>
  <c r="EB11"/>
  <c r="EB12" s="1"/>
  <c r="EB13" s="1"/>
  <c r="EB14" s="1"/>
  <c r="EB15" s="1"/>
  <c r="EB16" s="1"/>
  <c r="EB17" s="1"/>
  <c r="EB18" s="1"/>
  <c r="EB19" s="1"/>
  <c r="EB20" s="1"/>
  <c r="EB21" s="1"/>
  <c r="EB22" s="1"/>
  <c r="EB23" s="1"/>
  <c r="EB24" s="1"/>
  <c r="EB25" s="1"/>
  <c r="EB26" s="1"/>
  <c r="EB27" s="1"/>
  <c r="EB28" s="1"/>
  <c r="EB29" s="1"/>
  <c r="EB30" s="1"/>
  <c r="EB31" s="1"/>
  <c r="EB32" s="1"/>
  <c r="EB33" s="1"/>
  <c r="EB34" s="1"/>
  <c r="EB35" s="1"/>
  <c r="EB36" s="1"/>
  <c r="EB37" s="1"/>
  <c r="EB38" s="1"/>
  <c r="EB39" s="1"/>
  <c r="EB40" s="1"/>
  <c r="EB41" s="1"/>
  <c r="EB42" s="1"/>
  <c r="EB43" s="1"/>
  <c r="EB44" s="1"/>
  <c r="EB45" s="1"/>
  <c r="EB46" s="1"/>
  <c r="EB47" s="1"/>
  <c r="EB48" s="1"/>
  <c r="EB49" s="1"/>
  <c r="EB50" s="1"/>
  <c r="EB51" s="1"/>
  <c r="EB52" s="1"/>
  <c r="EB53" s="1"/>
  <c r="EB54" s="1"/>
  <c r="EB55" s="1"/>
  <c r="EB56" s="1"/>
  <c r="EB57" s="1"/>
  <c r="EB58" s="1"/>
  <c r="EB59" s="1"/>
  <c r="EB60" s="1"/>
  <c r="EB61" s="1"/>
  <c r="EB62" s="1"/>
  <c r="EB63" s="1"/>
  <c r="EB64" s="1"/>
  <c r="EB65" s="1"/>
  <c r="EB66" s="1"/>
  <c r="EB67" s="1"/>
  <c r="EB68" s="1"/>
  <c r="EB69" s="1"/>
  <c r="EB70" s="1"/>
  <c r="EC4"/>
  <c r="FH11"/>
  <c r="FH12" s="1"/>
  <c r="FH13" s="1"/>
  <c r="FH14" s="1"/>
  <c r="FH15" s="1"/>
  <c r="FH16" s="1"/>
  <c r="FH17" s="1"/>
  <c r="FH18" s="1"/>
  <c r="FH19" s="1"/>
  <c r="FH20" s="1"/>
  <c r="FI4"/>
  <c r="FP11"/>
  <c r="FP12" s="1"/>
  <c r="FP13" s="1"/>
  <c r="FP14" s="1"/>
  <c r="FP15" s="1"/>
  <c r="FP16" s="1"/>
  <c r="FP17" s="1"/>
  <c r="FP18" s="1"/>
  <c r="FQ4"/>
  <c r="FZ14"/>
  <c r="FZ17"/>
  <c r="FZ18"/>
  <c r="FZ12"/>
  <c r="FZ16"/>
  <c r="FZ13"/>
  <c r="FZ15"/>
  <c r="FZ11"/>
  <c r="GA4"/>
  <c r="Y16"/>
  <c r="FJ12"/>
  <c r="FJ13" s="1"/>
  <c r="FJ14" s="1"/>
  <c r="FJ15" s="1"/>
  <c r="FJ16" s="1"/>
  <c r="FJ17" s="1"/>
  <c r="FJ18" s="1"/>
  <c r="FJ19" s="1"/>
  <c r="FJ20" s="1"/>
  <c r="FJ11"/>
  <c r="FK4"/>
  <c r="FR12"/>
  <c r="FR13" s="1"/>
  <c r="FR14" s="1"/>
  <c r="FR15" s="1"/>
  <c r="FR16" s="1"/>
  <c r="FR17" s="1"/>
  <c r="FR18" s="1"/>
  <c r="FR11"/>
  <c r="FS4"/>
  <c r="EP11"/>
  <c r="EP12" s="1"/>
  <c r="EP13" s="1"/>
  <c r="EP14" s="1"/>
  <c r="EP15" s="1"/>
  <c r="EP16" s="1"/>
  <c r="EP17" s="1"/>
  <c r="EP18" s="1"/>
  <c r="EP19" s="1"/>
  <c r="EP20" s="1"/>
  <c r="EP21" s="1"/>
  <c r="EP22" s="1"/>
  <c r="EP23" s="1"/>
  <c r="EP24" s="1"/>
  <c r="EP25" s="1"/>
  <c r="EP26" s="1"/>
  <c r="EP27" s="1"/>
  <c r="EP28" s="1"/>
  <c r="EP29" s="1"/>
  <c r="EP30" s="1"/>
  <c r="EQ4"/>
  <c r="DX11"/>
  <c r="DX12" s="1"/>
  <c r="DX13" s="1"/>
  <c r="DX14" s="1"/>
  <c r="DX15" s="1"/>
  <c r="DX16" s="1"/>
  <c r="DX17" s="1"/>
  <c r="DX18" s="1"/>
  <c r="DX19" s="1"/>
  <c r="DX20" s="1"/>
  <c r="DX21" s="1"/>
  <c r="DX22" s="1"/>
  <c r="DX23" s="1"/>
  <c r="DX24" s="1"/>
  <c r="DX25" s="1"/>
  <c r="DX26" s="1"/>
  <c r="DX27" s="1"/>
  <c r="DX28" s="1"/>
  <c r="DX29" s="1"/>
  <c r="DX30" s="1"/>
  <c r="DX31" s="1"/>
  <c r="DX32" s="1"/>
  <c r="DX33" s="1"/>
  <c r="DX34" s="1"/>
  <c r="DX35" s="1"/>
  <c r="DX36" s="1"/>
  <c r="DX37" s="1"/>
  <c r="DX38" s="1"/>
  <c r="DX39" s="1"/>
  <c r="DX40" s="1"/>
  <c r="DX41" s="1"/>
  <c r="DX42" s="1"/>
  <c r="DX43" s="1"/>
  <c r="DX44" s="1"/>
  <c r="DX45" s="1"/>
  <c r="DX46" s="1"/>
  <c r="DX47" s="1"/>
  <c r="DX48" s="1"/>
  <c r="DX49" s="1"/>
  <c r="DX50" s="1"/>
  <c r="DX51" s="1"/>
  <c r="DX52" s="1"/>
  <c r="DX53" s="1"/>
  <c r="DX54" s="1"/>
  <c r="DX55" s="1"/>
  <c r="DX56" s="1"/>
  <c r="DX57" s="1"/>
  <c r="DX58" s="1"/>
  <c r="DX59" s="1"/>
  <c r="DX60" s="1"/>
  <c r="DX61" s="1"/>
  <c r="DX62" s="1"/>
  <c r="DX63" s="1"/>
  <c r="DX64" s="1"/>
  <c r="DX65" s="1"/>
  <c r="DX66" s="1"/>
  <c r="DX67" s="1"/>
  <c r="DX68" s="1"/>
  <c r="DX69" s="1"/>
  <c r="DX70" s="1"/>
  <c r="DX71" s="1"/>
  <c r="DX72" s="1"/>
  <c r="DX73" s="1"/>
  <c r="DX74" s="1"/>
  <c r="DX75" s="1"/>
  <c r="DX76" s="1"/>
  <c r="DX77" s="1"/>
  <c r="DX78" s="1"/>
  <c r="DX79" s="1"/>
  <c r="DX80" s="1"/>
  <c r="DX81" s="1"/>
  <c r="DX82" s="1"/>
  <c r="DX83" s="1"/>
  <c r="DX84" s="1"/>
  <c r="DX85" s="1"/>
  <c r="DX86" s="1"/>
  <c r="DX87" s="1"/>
  <c r="DX88" s="1"/>
  <c r="DX89" s="1"/>
  <c r="DX90" s="1"/>
  <c r="DX91" s="1"/>
  <c r="DX92" s="1"/>
  <c r="DX93" s="1"/>
  <c r="DX94" s="1"/>
  <c r="DX95" s="1"/>
  <c r="DX96" s="1"/>
  <c r="DX97" s="1"/>
  <c r="DX98" s="1"/>
  <c r="DX99" s="1"/>
  <c r="DX100" s="1"/>
  <c r="DX101" s="1"/>
  <c r="DX102" s="1"/>
  <c r="DX103" s="1"/>
  <c r="DX104" s="1"/>
  <c r="DX105" s="1"/>
  <c r="DX106" s="1"/>
  <c r="DX107" s="1"/>
  <c r="DX108" s="1"/>
  <c r="DX109" s="1"/>
  <c r="DX110" s="1"/>
  <c r="DX111" s="1"/>
  <c r="DX112" s="1"/>
  <c r="DX113" s="1"/>
  <c r="DX114" s="1"/>
  <c r="DX115" s="1"/>
  <c r="DX116" s="1"/>
  <c r="DX117" s="1"/>
  <c r="DX118" s="1"/>
  <c r="DX119" s="1"/>
  <c r="DX120" s="1"/>
  <c r="DX121" s="1"/>
  <c r="DX122" s="1"/>
  <c r="DX123" s="1"/>
  <c r="DX124" s="1"/>
  <c r="DX125" s="1"/>
  <c r="DX126" s="1"/>
  <c r="DX127" s="1"/>
  <c r="DX128" s="1"/>
  <c r="DX129" s="1"/>
  <c r="DX130" s="1"/>
  <c r="DX131" s="1"/>
  <c r="DX132" s="1"/>
  <c r="DX133" s="1"/>
  <c r="DX134" s="1"/>
  <c r="DX135" s="1"/>
  <c r="DX136" s="1"/>
  <c r="DX137" s="1"/>
  <c r="DX138" s="1"/>
  <c r="DX139" s="1"/>
  <c r="DX140" s="1"/>
  <c r="DX141" s="1"/>
  <c r="DX142" s="1"/>
  <c r="DX143" s="1"/>
  <c r="DX144" s="1"/>
  <c r="DX145" s="1"/>
  <c r="DX146" s="1"/>
  <c r="DX147" s="1"/>
  <c r="DX148" s="1"/>
  <c r="DX149" s="1"/>
  <c r="DX150" s="1"/>
  <c r="DX151" s="1"/>
  <c r="DX152" s="1"/>
  <c r="DX153" s="1"/>
  <c r="DX154" s="1"/>
  <c r="DX155" s="1"/>
  <c r="DX156" s="1"/>
  <c r="DX157" s="1"/>
  <c r="DX158" s="1"/>
  <c r="DX159" s="1"/>
  <c r="DX160" s="1"/>
  <c r="DX161" s="1"/>
  <c r="DX162" s="1"/>
  <c r="DX163" s="1"/>
  <c r="DX164" s="1"/>
  <c r="DX165" s="1"/>
  <c r="DX166" s="1"/>
  <c r="DX167" s="1"/>
  <c r="DX168" s="1"/>
  <c r="DX169" s="1"/>
  <c r="DX170" s="1"/>
  <c r="DX171" s="1"/>
  <c r="DX172" s="1"/>
  <c r="DX173" s="1"/>
  <c r="DX174" s="1"/>
  <c r="DX175" s="1"/>
  <c r="DX176" s="1"/>
  <c r="DX177" s="1"/>
  <c r="DX178" s="1"/>
  <c r="DX179" s="1"/>
  <c r="DX180" s="1"/>
  <c r="DX181" s="1"/>
  <c r="DX182" s="1"/>
  <c r="DX183" s="1"/>
  <c r="DX184" s="1"/>
  <c r="DX185" s="1"/>
  <c r="DX186" s="1"/>
  <c r="DX187" s="1"/>
  <c r="DX188" s="1"/>
  <c r="DX189" s="1"/>
  <c r="DX190" s="1"/>
  <c r="DX191" s="1"/>
  <c r="DX192" s="1"/>
  <c r="DX193" s="1"/>
  <c r="DX194" s="1"/>
  <c r="DX195" s="1"/>
  <c r="DX196" s="1"/>
  <c r="DX197" s="1"/>
  <c r="DX198" s="1"/>
  <c r="DX199" s="1"/>
  <c r="DX200" s="1"/>
  <c r="DY4"/>
  <c r="GB13"/>
  <c r="GB11"/>
  <c r="GB14"/>
  <c r="GB15" s="1"/>
  <c r="GB16" s="1"/>
  <c r="GB17" s="1"/>
  <c r="GB18" s="1"/>
  <c r="GB12"/>
  <c r="GC4"/>
  <c r="FN11"/>
  <c r="FN12" s="1"/>
  <c r="FN13" s="1"/>
  <c r="FN14" s="1"/>
  <c r="FN15" s="1"/>
  <c r="FN16" s="1"/>
  <c r="FN17" s="1"/>
  <c r="FN18" s="1"/>
  <c r="FO4"/>
  <c r="AN135" i="6"/>
  <c r="DR39" i="2"/>
  <c r="DV39"/>
  <c r="DS39"/>
  <c r="DP40"/>
  <c r="BB58" i="5"/>
  <c r="BI58" s="1"/>
  <c r="BJ58" s="1"/>
  <c r="BA59"/>
  <c r="AZ58"/>
  <c r="BE58"/>
  <c r="BG58" s="1"/>
  <c r="BD58"/>
  <c r="BF58" s="1"/>
  <c r="BK58"/>
  <c r="BL58" s="1"/>
  <c r="EL11" i="2"/>
  <c r="EL12" s="1"/>
  <c r="EL13" s="1"/>
  <c r="EL14" s="1"/>
  <c r="EL15" s="1"/>
  <c r="EL16" s="1"/>
  <c r="EL17" s="1"/>
  <c r="EL18" s="1"/>
  <c r="EL19" s="1"/>
  <c r="EL20" s="1"/>
  <c r="EL21" s="1"/>
  <c r="EL22" s="1"/>
  <c r="EL23" s="1"/>
  <c r="EL24" s="1"/>
  <c r="EL25" s="1"/>
  <c r="EL26" s="1"/>
  <c r="EL27" s="1"/>
  <c r="EL28" s="1"/>
  <c r="EL29" s="1"/>
  <c r="EL30" s="1"/>
  <c r="EL31" s="1"/>
  <c r="EL32" s="1"/>
  <c r="EL33" s="1"/>
  <c r="EL34" s="1"/>
  <c r="EL35" s="1"/>
  <c r="EM4"/>
  <c r="ED11"/>
  <c r="ED12" s="1"/>
  <c r="ED13" s="1"/>
  <c r="ED14" s="1"/>
  <c r="ED15" s="1"/>
  <c r="ED16" s="1"/>
  <c r="ED17" s="1"/>
  <c r="ED18" s="1"/>
  <c r="ED19" s="1"/>
  <c r="ED20" s="1"/>
  <c r="ED21" s="1"/>
  <c r="ED22" s="1"/>
  <c r="ED23" s="1"/>
  <c r="ED24" s="1"/>
  <c r="ED25" s="1"/>
  <c r="ED26" s="1"/>
  <c r="ED27" s="1"/>
  <c r="ED28" s="1"/>
  <c r="ED29" s="1"/>
  <c r="ED30" s="1"/>
  <c r="ED31" s="1"/>
  <c r="ED32" s="1"/>
  <c r="ED33" s="1"/>
  <c r="ED34" s="1"/>
  <c r="ED35" s="1"/>
  <c r="ED36" s="1"/>
  <c r="ED37" s="1"/>
  <c r="ED38" s="1"/>
  <c r="ED39" s="1"/>
  <c r="ED40" s="1"/>
  <c r="ED41" s="1"/>
  <c r="ED42" s="1"/>
  <c r="ED43" s="1"/>
  <c r="ED44" s="1"/>
  <c r="ED45" s="1"/>
  <c r="ED46" s="1"/>
  <c r="ED47" s="1"/>
  <c r="ED48" s="1"/>
  <c r="ED49" s="1"/>
  <c r="ED50" s="1"/>
  <c r="ED51" s="1"/>
  <c r="ED52" s="1"/>
  <c r="ED53" s="1"/>
  <c r="ED54" s="1"/>
  <c r="ED55" s="1"/>
  <c r="EE4"/>
  <c r="EF11"/>
  <c r="EF12" s="1"/>
  <c r="EF13" s="1"/>
  <c r="EF14" s="1"/>
  <c r="EF15" s="1"/>
  <c r="EF16" s="1"/>
  <c r="EF17" s="1"/>
  <c r="EF18" s="1"/>
  <c r="EF19" s="1"/>
  <c r="EF20" s="1"/>
  <c r="EF21" s="1"/>
  <c r="EF22" s="1"/>
  <c r="EF23" s="1"/>
  <c r="EF24" s="1"/>
  <c r="EF25" s="1"/>
  <c r="EF26" s="1"/>
  <c r="EF27" s="1"/>
  <c r="EF28" s="1"/>
  <c r="EF29" s="1"/>
  <c r="EF30" s="1"/>
  <c r="EF31" s="1"/>
  <c r="EF32" s="1"/>
  <c r="EF33" s="1"/>
  <c r="EF34" s="1"/>
  <c r="EF35" s="1"/>
  <c r="EF36" s="1"/>
  <c r="EF37" s="1"/>
  <c r="EF38" s="1"/>
  <c r="EF39" s="1"/>
  <c r="EF40" s="1"/>
  <c r="EF41" s="1"/>
  <c r="EF42" s="1"/>
  <c r="EF43" s="1"/>
  <c r="EF44" s="1"/>
  <c r="EF45" s="1"/>
  <c r="EG4"/>
  <c r="DT38"/>
  <c r="DU38"/>
  <c r="AW60" i="4"/>
  <c r="AU60"/>
  <c r="AZ60"/>
  <c r="BB60" s="1"/>
  <c r="BD60"/>
  <c r="BE60" s="1"/>
  <c r="AY60"/>
  <c r="BA60" s="1"/>
  <c r="BF60"/>
  <c r="BG60" s="1"/>
  <c r="AV61"/>
  <c r="EV11" i="2"/>
  <c r="EV12" s="1"/>
  <c r="EV13" s="1"/>
  <c r="EV14" s="1"/>
  <c r="EV15" s="1"/>
  <c r="EV16" s="1"/>
  <c r="EV17" s="1"/>
  <c r="EV18" s="1"/>
  <c r="EV19" s="1"/>
  <c r="EV20" s="1"/>
  <c r="EV21" s="1"/>
  <c r="EV22" s="1"/>
  <c r="EV23" s="1"/>
  <c r="EV24" s="1"/>
  <c r="EV25" s="1"/>
  <c r="EW4"/>
  <c r="EH11"/>
  <c r="EH12" s="1"/>
  <c r="EH13" s="1"/>
  <c r="EH14" s="1"/>
  <c r="EH15" s="1"/>
  <c r="EH16" s="1"/>
  <c r="EH17" s="1"/>
  <c r="EH18" s="1"/>
  <c r="EH19" s="1"/>
  <c r="EH20" s="1"/>
  <c r="EH21" s="1"/>
  <c r="EH22" s="1"/>
  <c r="EH23" s="1"/>
  <c r="EH24" s="1"/>
  <c r="EH25" s="1"/>
  <c r="EH26" s="1"/>
  <c r="EH27" s="1"/>
  <c r="EH28" s="1"/>
  <c r="EH29" s="1"/>
  <c r="EH30" s="1"/>
  <c r="EH31" s="1"/>
  <c r="EH32" s="1"/>
  <c r="EH33" s="1"/>
  <c r="EH34" s="1"/>
  <c r="EH35" s="1"/>
  <c r="EH36" s="1"/>
  <c r="EH37" s="1"/>
  <c r="EH38" s="1"/>
  <c r="EH39" s="1"/>
  <c r="EH40" s="1"/>
  <c r="EI4"/>
  <c r="FT11"/>
  <c r="FT12" s="1"/>
  <c r="FT13" s="1"/>
  <c r="FT14" s="1"/>
  <c r="FT15" s="1"/>
  <c r="FT16" s="1"/>
  <c r="FT17" s="1"/>
  <c r="FT18" s="1"/>
  <c r="FU4"/>
  <c r="FL11"/>
  <c r="FL12" s="1"/>
  <c r="FL13" s="1"/>
  <c r="FL14" s="1"/>
  <c r="FL15" s="1"/>
  <c r="FL16" s="1"/>
  <c r="FL17" s="1"/>
  <c r="FL18" s="1"/>
  <c r="FL19" s="1"/>
  <c r="FL20" s="1"/>
  <c r="FM4"/>
  <c r="EN11"/>
  <c r="EN12" s="1"/>
  <c r="EN13" s="1"/>
  <c r="EN14" s="1"/>
  <c r="EN15" s="1"/>
  <c r="EN16" s="1"/>
  <c r="EN17" s="1"/>
  <c r="EN18" s="1"/>
  <c r="EN19" s="1"/>
  <c r="EN20" s="1"/>
  <c r="EN21" s="1"/>
  <c r="EN22" s="1"/>
  <c r="EN23" s="1"/>
  <c r="EN24" s="1"/>
  <c r="EN25" s="1"/>
  <c r="EN26" s="1"/>
  <c r="EN27" s="1"/>
  <c r="EN28" s="1"/>
  <c r="EN29" s="1"/>
  <c r="EN30" s="1"/>
  <c r="EO4"/>
  <c r="GD11"/>
  <c r="GD20" s="1"/>
  <c r="EH54" l="1"/>
  <c r="EH60"/>
  <c r="EH62"/>
  <c r="EH67"/>
  <c r="EH46"/>
  <c r="EH47"/>
  <c r="EH53"/>
  <c r="EH57"/>
  <c r="EH59"/>
  <c r="EH64"/>
  <c r="EH69"/>
  <c r="EH65"/>
  <c r="EH51"/>
  <c r="EH52"/>
  <c r="EH55"/>
  <c r="EH63"/>
  <c r="EH68"/>
  <c r="EH71"/>
  <c r="EH44"/>
  <c r="EH45"/>
  <c r="EH48"/>
  <c r="EH49"/>
  <c r="EH50"/>
  <c r="EH56"/>
  <c r="EH70"/>
  <c r="EH42"/>
  <c r="EH43"/>
  <c r="EH66"/>
  <c r="EH58"/>
  <c r="EH61"/>
  <c r="ED60"/>
  <c r="ED62"/>
  <c r="ED67"/>
  <c r="ED78"/>
  <c r="ED79"/>
  <c r="ED80"/>
  <c r="ED85"/>
  <c r="ED90"/>
  <c r="ED92"/>
  <c r="ED57"/>
  <c r="ED59"/>
  <c r="ED64"/>
  <c r="ED69"/>
  <c r="ED81"/>
  <c r="ED82"/>
  <c r="ED87"/>
  <c r="ED89"/>
  <c r="ED61"/>
  <c r="ED75"/>
  <c r="ED77"/>
  <c r="ED86"/>
  <c r="ED91"/>
  <c r="ED100"/>
  <c r="ED58"/>
  <c r="ED66"/>
  <c r="ED70"/>
  <c r="ED73"/>
  <c r="ED84"/>
  <c r="ED88"/>
  <c r="ED101"/>
  <c r="ED65"/>
  <c r="ED96"/>
  <c r="ED97"/>
  <c r="ED98"/>
  <c r="ED99"/>
  <c r="ED72"/>
  <c r="ED94"/>
  <c r="ED63"/>
  <c r="ED68"/>
  <c r="ED71"/>
  <c r="ED74"/>
  <c r="ED76"/>
  <c r="ED83"/>
  <c r="ED93"/>
  <c r="ED95"/>
  <c r="FZ21"/>
  <c r="FZ22"/>
  <c r="FZ23"/>
  <c r="FZ26"/>
  <c r="FZ20"/>
  <c r="FZ24"/>
  <c r="FZ25"/>
  <c r="FZ27"/>
  <c r="FH25"/>
  <c r="FH28"/>
  <c r="FH29"/>
  <c r="FH24"/>
  <c r="FH27"/>
  <c r="FH23"/>
  <c r="FH31"/>
  <c r="FH30"/>
  <c r="FH22"/>
  <c r="FH26"/>
  <c r="EB72"/>
  <c r="EB73"/>
  <c r="EB74"/>
  <c r="EB84"/>
  <c r="EB86"/>
  <c r="EB91"/>
  <c r="EB75"/>
  <c r="EB76"/>
  <c r="EB77"/>
  <c r="EB83"/>
  <c r="EB88"/>
  <c r="EB93"/>
  <c r="EB94"/>
  <c r="EB95"/>
  <c r="EB96"/>
  <c r="EB97"/>
  <c r="EB98"/>
  <c r="EB99"/>
  <c r="EB100"/>
  <c r="EB101"/>
  <c r="EB102"/>
  <c r="EB104"/>
  <c r="EB107"/>
  <c r="EB109"/>
  <c r="EB111"/>
  <c r="EB113"/>
  <c r="EB115"/>
  <c r="EB117"/>
  <c r="EB119"/>
  <c r="EB121"/>
  <c r="EB123"/>
  <c r="EB125"/>
  <c r="EB127"/>
  <c r="EB129"/>
  <c r="EB131"/>
  <c r="EB106"/>
  <c r="EB120"/>
  <c r="EB124"/>
  <c r="EB78"/>
  <c r="EB82"/>
  <c r="EB89"/>
  <c r="EB92"/>
  <c r="EB110"/>
  <c r="EB114"/>
  <c r="EB128"/>
  <c r="EB81"/>
  <c r="EB85"/>
  <c r="EB108"/>
  <c r="EB116"/>
  <c r="EB118"/>
  <c r="EB80"/>
  <c r="EB130"/>
  <c r="EB122"/>
  <c r="EB87"/>
  <c r="EB103"/>
  <c r="EB105"/>
  <c r="EB112"/>
  <c r="EB126"/>
  <c r="EB90"/>
  <c r="EB79"/>
  <c r="ER34"/>
  <c r="ER38"/>
  <c r="ER42"/>
  <c r="ER43"/>
  <c r="ER44"/>
  <c r="ER48"/>
  <c r="ER49"/>
  <c r="ER50"/>
  <c r="ER33"/>
  <c r="ER40"/>
  <c r="ER41"/>
  <c r="ER45"/>
  <c r="ER51"/>
  <c r="ER39"/>
  <c r="ER35"/>
  <c r="ER36"/>
  <c r="ER37"/>
  <c r="ER32"/>
  <c r="ER46"/>
  <c r="ER47"/>
  <c r="FL25"/>
  <c r="FL28"/>
  <c r="FL29"/>
  <c r="FL24"/>
  <c r="FL27"/>
  <c r="FL22"/>
  <c r="FL26"/>
  <c r="FL30"/>
  <c r="FL31"/>
  <c r="FL23"/>
  <c r="FT25"/>
  <c r="FT20"/>
  <c r="FT24"/>
  <c r="FT27"/>
  <c r="FT22"/>
  <c r="FT26"/>
  <c r="FT21"/>
  <c r="FT23"/>
  <c r="EF48"/>
  <c r="EF49"/>
  <c r="EF50"/>
  <c r="EF55"/>
  <c r="EF56"/>
  <c r="EF61"/>
  <c r="EF66"/>
  <c r="EF68"/>
  <c r="EF72"/>
  <c r="EF73"/>
  <c r="EF74"/>
  <c r="EF51"/>
  <c r="EF52"/>
  <c r="EF58"/>
  <c r="EF63"/>
  <c r="EF65"/>
  <c r="EF70"/>
  <c r="EF71"/>
  <c r="EF75"/>
  <c r="EF76"/>
  <c r="EF77"/>
  <c r="EF47"/>
  <c r="EF60"/>
  <c r="EF64"/>
  <c r="EF80"/>
  <c r="EF57"/>
  <c r="EF67"/>
  <c r="EF79"/>
  <c r="EF81"/>
  <c r="EF53"/>
  <c r="EF59"/>
  <c r="EF62"/>
  <c r="EF54"/>
  <c r="EF69"/>
  <c r="EF78"/>
  <c r="EL37"/>
  <c r="EL54"/>
  <c r="EL60"/>
  <c r="EL39"/>
  <c r="EL46"/>
  <c r="EL47"/>
  <c r="EL53"/>
  <c r="EL57"/>
  <c r="EL59"/>
  <c r="EL40"/>
  <c r="EL45"/>
  <c r="EL48"/>
  <c r="EL49"/>
  <c r="EL50"/>
  <c r="EL56"/>
  <c r="EL61"/>
  <c r="EL42"/>
  <c r="EL43"/>
  <c r="EL44"/>
  <c r="EL58"/>
  <c r="EL55"/>
  <c r="EL38"/>
  <c r="EL52"/>
  <c r="EL41"/>
  <c r="EL51"/>
  <c r="AZ59" i="5"/>
  <c r="BE59"/>
  <c r="BG59" s="1"/>
  <c r="BA60"/>
  <c r="BK59"/>
  <c r="BL59" s="1"/>
  <c r="BD59"/>
  <c r="BF59" s="1"/>
  <c r="BB59"/>
  <c r="BI59" s="1"/>
  <c r="BJ59" s="1"/>
  <c r="FN21" i="2"/>
  <c r="FN22"/>
  <c r="FN23"/>
  <c r="FN26"/>
  <c r="FN24"/>
  <c r="FN25"/>
  <c r="FN27"/>
  <c r="FN20"/>
  <c r="DX2"/>
  <c r="DX202"/>
  <c r="DX204"/>
  <c r="DX206"/>
  <c r="DX208"/>
  <c r="DX210"/>
  <c r="DX212"/>
  <c r="DX214"/>
  <c r="DX216"/>
  <c r="DX218"/>
  <c r="DX220"/>
  <c r="DX222"/>
  <c r="DX224"/>
  <c r="DX226"/>
  <c r="DX228"/>
  <c r="DX230"/>
  <c r="DX232"/>
  <c r="DX234"/>
  <c r="DX236"/>
  <c r="DX238"/>
  <c r="DX240"/>
  <c r="DX242"/>
  <c r="DX244"/>
  <c r="DX246"/>
  <c r="DX248"/>
  <c r="DX250"/>
  <c r="DX252"/>
  <c r="DX254"/>
  <c r="DX256"/>
  <c r="DX258"/>
  <c r="DX260"/>
  <c r="DX262"/>
  <c r="DX264"/>
  <c r="DX266"/>
  <c r="DX268"/>
  <c r="DX270"/>
  <c r="DX272"/>
  <c r="DX274"/>
  <c r="DX276"/>
  <c r="DX278"/>
  <c r="DX280"/>
  <c r="DX282"/>
  <c r="DX284"/>
  <c r="DX286"/>
  <c r="DX288"/>
  <c r="DX290"/>
  <c r="DX292"/>
  <c r="DX294"/>
  <c r="DX296"/>
  <c r="DX298"/>
  <c r="DX300"/>
  <c r="DX302"/>
  <c r="DX303"/>
  <c r="DX305"/>
  <c r="DX307"/>
  <c r="DX309"/>
  <c r="DX311"/>
  <c r="DX313"/>
  <c r="DX315"/>
  <c r="DX317"/>
  <c r="DX319"/>
  <c r="DX321"/>
  <c r="DX323"/>
  <c r="DX325"/>
  <c r="DX327"/>
  <c r="DX329"/>
  <c r="DX331"/>
  <c r="DX333"/>
  <c r="DX335"/>
  <c r="DX337"/>
  <c r="DX339"/>
  <c r="DX341"/>
  <c r="DX343"/>
  <c r="DX345"/>
  <c r="DX347"/>
  <c r="DX349"/>
  <c r="DX351"/>
  <c r="DX353"/>
  <c r="DX355"/>
  <c r="DX357"/>
  <c r="DX359"/>
  <c r="DX361"/>
  <c r="DX363"/>
  <c r="DX365"/>
  <c r="DX367"/>
  <c r="DX369"/>
  <c r="DX371"/>
  <c r="DX373"/>
  <c r="DX375"/>
  <c r="DX377"/>
  <c r="DX379"/>
  <c r="DX381"/>
  <c r="DX383"/>
  <c r="DX385"/>
  <c r="DX387"/>
  <c r="DX389"/>
  <c r="DX391"/>
  <c r="DX207"/>
  <c r="DX213"/>
  <c r="DX223"/>
  <c r="DX229"/>
  <c r="DX239"/>
  <c r="DX245"/>
  <c r="DX255"/>
  <c r="DX261"/>
  <c r="DX271"/>
  <c r="DX277"/>
  <c r="DX287"/>
  <c r="DX293"/>
  <c r="DX306"/>
  <c r="DX310"/>
  <c r="DX314"/>
  <c r="DX318"/>
  <c r="DX322"/>
  <c r="DX326"/>
  <c r="DX330"/>
  <c r="DX334"/>
  <c r="DX338"/>
  <c r="DX342"/>
  <c r="DX346"/>
  <c r="DX350"/>
  <c r="DX354"/>
  <c r="DX358"/>
  <c r="DX362"/>
  <c r="DX366"/>
  <c r="DX370"/>
  <c r="DX374"/>
  <c r="DX378"/>
  <c r="DX382"/>
  <c r="DX386"/>
  <c r="DX390"/>
  <c r="DX211"/>
  <c r="DX217"/>
  <c r="DX227"/>
  <c r="DX233"/>
  <c r="DX243"/>
  <c r="DX249"/>
  <c r="DX259"/>
  <c r="DX265"/>
  <c r="DX275"/>
  <c r="DX281"/>
  <c r="DX291"/>
  <c r="DX297"/>
  <c r="DX205"/>
  <c r="DX225"/>
  <c r="DX231"/>
  <c r="DX235"/>
  <c r="DX269"/>
  <c r="DX289"/>
  <c r="DX295"/>
  <c r="DX299"/>
  <c r="DX308"/>
  <c r="DX316"/>
  <c r="DX324"/>
  <c r="DX332"/>
  <c r="DX340"/>
  <c r="DX348"/>
  <c r="DX356"/>
  <c r="DX364"/>
  <c r="DX372"/>
  <c r="DX380"/>
  <c r="DX388"/>
  <c r="DX219"/>
  <c r="DX279"/>
  <c r="DX283"/>
  <c r="DX237"/>
  <c r="DX257"/>
  <c r="DX263"/>
  <c r="DX267"/>
  <c r="DX304"/>
  <c r="DX320"/>
  <c r="DX336"/>
  <c r="DX352"/>
  <c r="DX368"/>
  <c r="DX384"/>
  <c r="DX221"/>
  <c r="DX241"/>
  <c r="DX247"/>
  <c r="DX251"/>
  <c r="DX285"/>
  <c r="DX209"/>
  <c r="DX215"/>
  <c r="DX253"/>
  <c r="DX273"/>
  <c r="DX203"/>
  <c r="DX301"/>
  <c r="DX312"/>
  <c r="DX328"/>
  <c r="DX344"/>
  <c r="DX360"/>
  <c r="DX376"/>
  <c r="EP32"/>
  <c r="EP35"/>
  <c r="EP37"/>
  <c r="EP36"/>
  <c r="EP39"/>
  <c r="EP46"/>
  <c r="EP47"/>
  <c r="EP33"/>
  <c r="EP41"/>
  <c r="EP38"/>
  <c r="EP51"/>
  <c r="EP34"/>
  <c r="EP48"/>
  <c r="EP42"/>
  <c r="EP43"/>
  <c r="EP49"/>
  <c r="EP50"/>
  <c r="EP40"/>
  <c r="EP44"/>
  <c r="EP45"/>
  <c r="FJ22"/>
  <c r="FJ23"/>
  <c r="FJ30"/>
  <c r="FJ31"/>
  <c r="FJ26"/>
  <c r="FJ28"/>
  <c r="FJ29"/>
  <c r="FJ24"/>
  <c r="FJ25"/>
  <c r="FJ27"/>
  <c r="Y18"/>
  <c r="Y17"/>
  <c r="Y19" s="1"/>
  <c r="FX25"/>
  <c r="FX20"/>
  <c r="FX24"/>
  <c r="FX27"/>
  <c r="FX23"/>
  <c r="FX21"/>
  <c r="FX22"/>
  <c r="FX26"/>
  <c r="AL48" i="12"/>
  <c r="AK48"/>
  <c r="AJ49"/>
  <c r="AN48"/>
  <c r="AO48"/>
  <c r="FF22" i="2"/>
  <c r="FF23"/>
  <c r="FF30"/>
  <c r="FF31"/>
  <c r="FF26"/>
  <c r="FF24"/>
  <c r="FF25"/>
  <c r="FF27"/>
  <c r="FF29"/>
  <c r="FF28"/>
  <c r="DZ108"/>
  <c r="DZ110"/>
  <c r="DZ112"/>
  <c r="DZ114"/>
  <c r="DZ116"/>
  <c r="DZ118"/>
  <c r="DZ120"/>
  <c r="DZ122"/>
  <c r="DZ124"/>
  <c r="DZ126"/>
  <c r="DZ128"/>
  <c r="DZ130"/>
  <c r="DZ132"/>
  <c r="DZ133"/>
  <c r="DZ134"/>
  <c r="DZ135"/>
  <c r="DZ136"/>
  <c r="DZ137"/>
  <c r="DZ138"/>
  <c r="DZ139"/>
  <c r="DZ140"/>
  <c r="DZ141"/>
  <c r="DZ142"/>
  <c r="DZ143"/>
  <c r="DZ144"/>
  <c r="DZ145"/>
  <c r="DZ146"/>
  <c r="DZ147"/>
  <c r="DZ148"/>
  <c r="DZ149"/>
  <c r="DZ150"/>
  <c r="DZ151"/>
  <c r="DZ152"/>
  <c r="DZ153"/>
  <c r="DZ154"/>
  <c r="DZ155"/>
  <c r="DZ156"/>
  <c r="DZ157"/>
  <c r="DZ158"/>
  <c r="DZ159"/>
  <c r="DZ160"/>
  <c r="DZ161"/>
  <c r="DZ162"/>
  <c r="DZ163"/>
  <c r="DZ164"/>
  <c r="DZ165"/>
  <c r="DZ166"/>
  <c r="DZ167"/>
  <c r="DZ168"/>
  <c r="DZ169"/>
  <c r="DZ170"/>
  <c r="DZ171"/>
  <c r="DZ172"/>
  <c r="DZ173"/>
  <c r="DZ174"/>
  <c r="DZ175"/>
  <c r="DZ176"/>
  <c r="DZ177"/>
  <c r="DZ178"/>
  <c r="DZ179"/>
  <c r="DZ180"/>
  <c r="DZ181"/>
  <c r="DZ182"/>
  <c r="DZ183"/>
  <c r="DZ184"/>
  <c r="DZ185"/>
  <c r="DZ186"/>
  <c r="DZ187"/>
  <c r="DZ188"/>
  <c r="DZ189"/>
  <c r="DZ190"/>
  <c r="DZ191"/>
  <c r="DZ192"/>
  <c r="DZ193"/>
  <c r="DZ194"/>
  <c r="DZ195"/>
  <c r="DZ196"/>
  <c r="DZ197"/>
  <c r="DZ198"/>
  <c r="DZ199"/>
  <c r="DZ200"/>
  <c r="DZ119"/>
  <c r="DZ123"/>
  <c r="DZ109"/>
  <c r="DZ113"/>
  <c r="DZ127"/>
  <c r="DZ131"/>
  <c r="DZ201"/>
  <c r="DZ111"/>
  <c r="DZ117"/>
  <c r="DZ107"/>
  <c r="DZ115"/>
  <c r="DZ125"/>
  <c r="DZ129"/>
  <c r="DZ121"/>
  <c r="EZ25"/>
  <c r="EZ28"/>
  <c r="EZ29"/>
  <c r="EZ34"/>
  <c r="EZ24"/>
  <c r="EZ27"/>
  <c r="EZ33"/>
  <c r="EZ31"/>
  <c r="EZ35"/>
  <c r="EZ32"/>
  <c r="EZ26"/>
  <c r="EZ30"/>
  <c r="GD12"/>
  <c r="EV28"/>
  <c r="EV29"/>
  <c r="EV34"/>
  <c r="EV38"/>
  <c r="EV27"/>
  <c r="EV33"/>
  <c r="EV40"/>
  <c r="EV41"/>
  <c r="EV30"/>
  <c r="EV32"/>
  <c r="EV37"/>
  <c r="EV31"/>
  <c r="EV35"/>
  <c r="EV39"/>
  <c r="EV36"/>
  <c r="BF61" i="4"/>
  <c r="BG61" s="1"/>
  <c r="AV62"/>
  <c r="AW61"/>
  <c r="BD61"/>
  <c r="BE61" s="1"/>
  <c r="AY61"/>
  <c r="BA61" s="1"/>
  <c r="AU61"/>
  <c r="AZ61"/>
  <c r="BB61" s="1"/>
  <c r="DT39" i="2"/>
  <c r="DU39"/>
  <c r="AM136" i="6"/>
  <c r="FP25" i="2"/>
  <c r="FP20"/>
  <c r="FP24"/>
  <c r="FP27"/>
  <c r="FP23"/>
  <c r="FP21"/>
  <c r="FP22"/>
  <c r="FP26"/>
  <c r="EJ38"/>
  <c r="EJ42"/>
  <c r="EJ43"/>
  <c r="EJ44"/>
  <c r="EJ48"/>
  <c r="EJ49"/>
  <c r="EJ50"/>
  <c r="EJ55"/>
  <c r="EJ56"/>
  <c r="EJ61"/>
  <c r="EJ40"/>
  <c r="EJ41"/>
  <c r="EJ45"/>
  <c r="EJ51"/>
  <c r="EJ52"/>
  <c r="EJ58"/>
  <c r="EJ39"/>
  <c r="EJ53"/>
  <c r="EJ54"/>
  <c r="EJ59"/>
  <c r="EJ37"/>
  <c r="EJ46"/>
  <c r="EJ47"/>
  <c r="EJ57"/>
  <c r="EJ60"/>
  <c r="FD25"/>
  <c r="FD28"/>
  <c r="FD29"/>
  <c r="FD34"/>
  <c r="FD24"/>
  <c r="FD27"/>
  <c r="FD33"/>
  <c r="FD26"/>
  <c r="FD30"/>
  <c r="FD32"/>
  <c r="FD31"/>
  <c r="FD35"/>
  <c r="BY84" i="6"/>
  <c r="BZ83"/>
  <c r="BW83" s="1"/>
  <c r="BV83"/>
  <c r="BX83" s="1"/>
  <c r="EX30" i="2"/>
  <c r="EX31"/>
  <c r="EX32"/>
  <c r="EX35"/>
  <c r="EX37"/>
  <c r="EX36"/>
  <c r="EX39"/>
  <c r="EX27"/>
  <c r="EX33"/>
  <c r="EX41"/>
  <c r="EX38"/>
  <c r="EX40"/>
  <c r="EX34"/>
  <c r="EX28"/>
  <c r="EX29"/>
  <c r="EN34"/>
  <c r="EN38"/>
  <c r="EN42"/>
  <c r="EN43"/>
  <c r="EN44"/>
  <c r="EN48"/>
  <c r="EN49"/>
  <c r="EN50"/>
  <c r="EN33"/>
  <c r="EN40"/>
  <c r="EN41"/>
  <c r="EN45"/>
  <c r="EN51"/>
  <c r="EN32"/>
  <c r="EN46"/>
  <c r="EN47"/>
  <c r="EN37"/>
  <c r="EN35"/>
  <c r="EN39"/>
  <c r="EN36"/>
  <c r="DS40"/>
  <c r="DP41"/>
  <c r="DV40"/>
  <c r="DR40"/>
  <c r="GB25"/>
  <c r="GB20"/>
  <c r="GB24"/>
  <c r="GB27"/>
  <c r="GB22"/>
  <c r="GB26"/>
  <c r="GB21"/>
  <c r="GB23"/>
  <c r="FR21"/>
  <c r="FR22"/>
  <c r="FR23"/>
  <c r="FR26"/>
  <c r="FR20"/>
  <c r="FR24"/>
  <c r="FR25"/>
  <c r="FR27"/>
  <c r="FB30"/>
  <c r="FB31"/>
  <c r="FB32"/>
  <c r="FB35"/>
  <c r="FB26"/>
  <c r="FB34"/>
  <c r="FB28"/>
  <c r="FB29"/>
  <c r="FB27"/>
  <c r="FB33"/>
  <c r="FB24"/>
  <c r="FB25"/>
  <c r="ET30"/>
  <c r="ET31"/>
  <c r="ET32"/>
  <c r="ET35"/>
  <c r="ET37"/>
  <c r="ET36"/>
  <c r="ET39"/>
  <c r="ET34"/>
  <c r="ET40"/>
  <c r="ET28"/>
  <c r="ET29"/>
  <c r="ET38"/>
  <c r="ET41"/>
  <c r="ET33"/>
  <c r="ET27"/>
  <c r="FV21"/>
  <c r="FV22"/>
  <c r="FV23"/>
  <c r="FV26"/>
  <c r="FV24"/>
  <c r="FV25"/>
  <c r="FV27"/>
  <c r="FV20"/>
  <c r="AY62" i="4" l="1"/>
  <c r="BA62" s="1"/>
  <c r="BF62"/>
  <c r="BG62" s="1"/>
  <c r="AV63"/>
  <c r="AW62"/>
  <c r="BD62"/>
  <c r="BE62" s="1"/>
  <c r="AU62"/>
  <c r="AZ62"/>
  <c r="BB62" s="1"/>
  <c r="DW2" i="2"/>
  <c r="AC3"/>
  <c r="AC4" s="1"/>
  <c r="AC5" s="1"/>
  <c r="AC6" s="1"/>
  <c r="AC7" s="1"/>
  <c r="AC8" s="1"/>
  <c r="AC9" s="1"/>
  <c r="AC10" s="1"/>
  <c r="AC11" s="1"/>
  <c r="AC12" s="1"/>
  <c r="AC13" s="1"/>
  <c r="AC14" s="1"/>
  <c r="AC15" s="1"/>
  <c r="AC16" s="1"/>
  <c r="AC17" s="1"/>
  <c r="AC18" s="1"/>
  <c r="AC19" s="1"/>
  <c r="AC20" s="1"/>
  <c r="AC21" s="1"/>
  <c r="AC22" s="1"/>
  <c r="AC23" s="1"/>
  <c r="CS29"/>
  <c r="CS30" s="1"/>
  <c r="W24"/>
  <c r="W26"/>
  <c r="AD25"/>
  <c r="AD26" s="1"/>
  <c r="DT40"/>
  <c r="DU40"/>
  <c r="BD60" i="5"/>
  <c r="BF60" s="1"/>
  <c r="BA61"/>
  <c r="BB60"/>
  <c r="BK60"/>
  <c r="BL60" s="1"/>
  <c r="BE60"/>
  <c r="BG60" s="1"/>
  <c r="BI60"/>
  <c r="BJ60" s="1"/>
  <c r="AZ60"/>
  <c r="AN136" i="6"/>
  <c r="DR41" i="2"/>
  <c r="DV41"/>
  <c r="DP42"/>
  <c r="DS41"/>
  <c r="BY85" i="6"/>
  <c r="BZ84"/>
  <c r="BV84"/>
  <c r="BX84" s="1"/>
  <c r="BW84"/>
  <c r="GD13" i="2"/>
  <c r="GD21"/>
  <c r="AJ50" i="12"/>
  <c r="AL49"/>
  <c r="AK49"/>
  <c r="AO49"/>
  <c r="AN49"/>
  <c r="BK61" i="5" l="1"/>
  <c r="BL61" s="1"/>
  <c r="BD61"/>
  <c r="BF61" s="1"/>
  <c r="BA62"/>
  <c r="AZ61"/>
  <c r="BE61"/>
  <c r="BG61" s="1"/>
  <c r="BB61"/>
  <c r="BI61" s="1"/>
  <c r="BJ61" s="1"/>
  <c r="DU41" i="2"/>
  <c r="DT41"/>
  <c r="GD22"/>
  <c r="GD14"/>
  <c r="BZ85" i="6"/>
  <c r="BV85"/>
  <c r="BX85" s="1"/>
  <c r="BY86"/>
  <c r="BW85"/>
  <c r="AJ51" i="12"/>
  <c r="AL50"/>
  <c r="AK50"/>
  <c r="AN50"/>
  <c r="AO50"/>
  <c r="DS42" i="2"/>
  <c r="DR42"/>
  <c r="DV42"/>
  <c r="DP43"/>
  <c r="AM137" i="6"/>
  <c r="AU63" i="4"/>
  <c r="AZ63"/>
  <c r="BB63" s="1"/>
  <c r="BD63"/>
  <c r="BE63" s="1"/>
  <c r="AY63"/>
  <c r="BA63" s="1"/>
  <c r="AW63"/>
  <c r="BF63"/>
  <c r="BG63" s="1"/>
  <c r="AV64"/>
  <c r="W28" i="2"/>
  <c r="W27"/>
  <c r="CR9"/>
  <c r="CS4"/>
  <c r="CS9"/>
  <c r="DU42" l="1"/>
  <c r="DT42"/>
  <c r="BZ86" i="6"/>
  <c r="BY87"/>
  <c r="BV86"/>
  <c r="BX86" s="1"/>
  <c r="BW86"/>
  <c r="GD23" i="2"/>
  <c r="GD15"/>
  <c r="EQ11"/>
  <c r="EM11"/>
  <c r="ES11"/>
  <c r="EA11"/>
  <c r="FG11"/>
  <c r="FW11"/>
  <c r="FY11"/>
  <c r="FC11"/>
  <c r="GA11"/>
  <c r="FK11"/>
  <c r="FS11"/>
  <c r="DY11"/>
  <c r="GC11"/>
  <c r="EI11"/>
  <c r="FM11"/>
  <c r="EO11"/>
  <c r="GE11"/>
  <c r="FE11"/>
  <c r="EU11"/>
  <c r="EK11"/>
  <c r="EC11"/>
  <c r="FI11"/>
  <c r="EE11"/>
  <c r="EG11"/>
  <c r="FA11"/>
  <c r="EY11"/>
  <c r="FQ11"/>
  <c r="FO11"/>
  <c r="FU11"/>
  <c r="EW11"/>
  <c r="AW64" i="4"/>
  <c r="AU64"/>
  <c r="AZ64"/>
  <c r="BB64" s="1"/>
  <c r="BD64"/>
  <c r="BE64" s="1"/>
  <c r="AY64"/>
  <c r="BA64" s="1"/>
  <c r="AV65"/>
  <c r="BF64"/>
  <c r="BG64" s="1"/>
  <c r="AN137" i="6"/>
  <c r="DS43" i="2"/>
  <c r="DR43"/>
  <c r="DV43"/>
  <c r="DP44"/>
  <c r="AK51" i="12"/>
  <c r="AJ52"/>
  <c r="AO51"/>
  <c r="AL51"/>
  <c r="AN51"/>
  <c r="BB62" i="5"/>
  <c r="BI62" s="1"/>
  <c r="BJ62" s="1"/>
  <c r="AZ62"/>
  <c r="BE62"/>
  <c r="BG62" s="1"/>
  <c r="BK62"/>
  <c r="BL62" s="1"/>
  <c r="BA63"/>
  <c r="BD62"/>
  <c r="BF62" s="1"/>
  <c r="AZ63" l="1"/>
  <c r="BE63"/>
  <c r="BG63" s="1"/>
  <c r="BA64"/>
  <c r="BD63"/>
  <c r="BF63" s="1"/>
  <c r="BB63"/>
  <c r="BI63" s="1"/>
  <c r="BJ63" s="1"/>
  <c r="BK63"/>
  <c r="BL63" s="1"/>
  <c r="AL52" i="12"/>
  <c r="AK52"/>
  <c r="AJ53"/>
  <c r="AN52"/>
  <c r="AO52"/>
  <c r="EW27" i="2"/>
  <c r="EW28" s="1"/>
  <c r="EW29" s="1"/>
  <c r="EW30" s="1"/>
  <c r="EW31" s="1"/>
  <c r="EW32" s="1"/>
  <c r="EW33" s="1"/>
  <c r="EW34" s="1"/>
  <c r="EW35" s="1"/>
  <c r="EW36" s="1"/>
  <c r="EW37" s="1"/>
  <c r="EW38" s="1"/>
  <c r="EW39" s="1"/>
  <c r="EW40" s="1"/>
  <c r="EW41" s="1"/>
  <c r="EW10"/>
  <c r="EW12"/>
  <c r="EW13" s="1"/>
  <c r="EW14" s="1"/>
  <c r="EW15" s="1"/>
  <c r="EW16" s="1"/>
  <c r="EW17" s="1"/>
  <c r="EW18" s="1"/>
  <c r="EW19" s="1"/>
  <c r="EW20" s="1"/>
  <c r="EW21" s="1"/>
  <c r="EW22" s="1"/>
  <c r="EW23" s="1"/>
  <c r="EW24" s="1"/>
  <c r="EW25" s="1"/>
  <c r="EV10"/>
  <c r="EX10"/>
  <c r="EY12"/>
  <c r="EY13" s="1"/>
  <c r="EY14" s="1"/>
  <c r="EY15" s="1"/>
  <c r="EY16" s="1"/>
  <c r="EY17" s="1"/>
  <c r="EY18" s="1"/>
  <c r="EY19" s="1"/>
  <c r="EY20" s="1"/>
  <c r="EY21" s="1"/>
  <c r="EY22" s="1"/>
  <c r="EY23" s="1"/>
  <c r="EY24" s="1"/>
  <c r="EY25" s="1"/>
  <c r="EY10"/>
  <c r="EY27"/>
  <c r="EY28" s="1"/>
  <c r="EY29" s="1"/>
  <c r="EY30" s="1"/>
  <c r="EY31" s="1"/>
  <c r="EY32" s="1"/>
  <c r="EY33" s="1"/>
  <c r="EY34" s="1"/>
  <c r="EY35" s="1"/>
  <c r="EY36" s="1"/>
  <c r="EY37" s="1"/>
  <c r="EY38" s="1"/>
  <c r="EY39" s="1"/>
  <c r="EY40" s="1"/>
  <c r="EY41" s="1"/>
  <c r="FI10"/>
  <c r="FH10"/>
  <c r="FI22"/>
  <c r="FI23" s="1"/>
  <c r="FI24" s="1"/>
  <c r="FI25" s="1"/>
  <c r="FI26" s="1"/>
  <c r="FI27" s="1"/>
  <c r="FI28" s="1"/>
  <c r="FI29" s="1"/>
  <c r="FI30" s="1"/>
  <c r="FI31" s="1"/>
  <c r="FI12"/>
  <c r="FI13" s="1"/>
  <c r="FI14" s="1"/>
  <c r="FI15" s="1"/>
  <c r="FI16" s="1"/>
  <c r="FI17" s="1"/>
  <c r="FI18" s="1"/>
  <c r="FI19" s="1"/>
  <c r="FI20" s="1"/>
  <c r="FE24"/>
  <c r="FE25" s="1"/>
  <c r="FE26" s="1"/>
  <c r="FE27" s="1"/>
  <c r="FE28" s="1"/>
  <c r="FE29" s="1"/>
  <c r="FE30" s="1"/>
  <c r="FE31" s="1"/>
  <c r="FE32" s="1"/>
  <c r="FE33" s="1"/>
  <c r="FE34" s="1"/>
  <c r="FE35" s="1"/>
  <c r="FD10"/>
  <c r="FE12"/>
  <c r="FE13" s="1"/>
  <c r="FE14" s="1"/>
  <c r="FE15" s="1"/>
  <c r="FE16" s="1"/>
  <c r="FE17" s="1"/>
  <c r="FE18" s="1"/>
  <c r="FE19" s="1"/>
  <c r="FE20" s="1"/>
  <c r="FE21" s="1"/>
  <c r="FE22" s="1"/>
  <c r="FE10"/>
  <c r="EH10"/>
  <c r="EI12"/>
  <c r="EI13" s="1"/>
  <c r="EI14" s="1"/>
  <c r="EI15" s="1"/>
  <c r="EI16" s="1"/>
  <c r="EI17" s="1"/>
  <c r="EI18" s="1"/>
  <c r="EI19" s="1"/>
  <c r="EI20" s="1"/>
  <c r="EI21" s="1"/>
  <c r="EI22" s="1"/>
  <c r="EI23" s="1"/>
  <c r="EI24" s="1"/>
  <c r="EI25" s="1"/>
  <c r="EI26" s="1"/>
  <c r="EI27" s="1"/>
  <c r="EI28" s="1"/>
  <c r="EI29" s="1"/>
  <c r="EI30" s="1"/>
  <c r="EI31" s="1"/>
  <c r="EI32" s="1"/>
  <c r="EI33" s="1"/>
  <c r="EI34" s="1"/>
  <c r="EI35" s="1"/>
  <c r="EI36" s="1"/>
  <c r="EI37" s="1"/>
  <c r="EI38" s="1"/>
  <c r="EI39" s="1"/>
  <c r="EI40" s="1"/>
  <c r="EI42"/>
  <c r="EI43" s="1"/>
  <c r="EI44" s="1"/>
  <c r="EI45" s="1"/>
  <c r="EI46" s="1"/>
  <c r="EI47" s="1"/>
  <c r="EI48" s="1"/>
  <c r="EI49" s="1"/>
  <c r="EI50" s="1"/>
  <c r="EI51" s="1"/>
  <c r="EI52" s="1"/>
  <c r="EI53" s="1"/>
  <c r="EI54" s="1"/>
  <c r="EI55" s="1"/>
  <c r="EI56" s="1"/>
  <c r="EI57" s="1"/>
  <c r="EI58" s="1"/>
  <c r="EI59" s="1"/>
  <c r="EI60" s="1"/>
  <c r="EI61" s="1"/>
  <c r="EI62" s="1"/>
  <c r="EI63" s="1"/>
  <c r="EI64" s="1"/>
  <c r="EI65" s="1"/>
  <c r="EI66" s="1"/>
  <c r="EI67" s="1"/>
  <c r="EI68" s="1"/>
  <c r="EI69" s="1"/>
  <c r="EI70" s="1"/>
  <c r="EI71" s="1"/>
  <c r="EI10"/>
  <c r="FK12"/>
  <c r="FK13" s="1"/>
  <c r="FK14" s="1"/>
  <c r="FK15" s="1"/>
  <c r="FK16" s="1"/>
  <c r="FK17" s="1"/>
  <c r="FK18" s="1"/>
  <c r="FK19" s="1"/>
  <c r="FK20" s="1"/>
  <c r="FK10"/>
  <c r="FJ10"/>
  <c r="FK22"/>
  <c r="FK23" s="1"/>
  <c r="FK24" s="1"/>
  <c r="FK25" s="1"/>
  <c r="FK26" s="1"/>
  <c r="FK27" s="1"/>
  <c r="FK28" s="1"/>
  <c r="FK29" s="1"/>
  <c r="FK30" s="1"/>
  <c r="FK31" s="1"/>
  <c r="FV10"/>
  <c r="FW12"/>
  <c r="FW13" s="1"/>
  <c r="FW14" s="1"/>
  <c r="FW15" s="1"/>
  <c r="FW16" s="1"/>
  <c r="FW17" s="1"/>
  <c r="FW18" s="1"/>
  <c r="FW20"/>
  <c r="FW21" s="1"/>
  <c r="FW22" s="1"/>
  <c r="FW23" s="1"/>
  <c r="FW24" s="1"/>
  <c r="FW25" s="1"/>
  <c r="FW26" s="1"/>
  <c r="FW27" s="1"/>
  <c r="FW10"/>
  <c r="EM12"/>
  <c r="EM13" s="1"/>
  <c r="EM14" s="1"/>
  <c r="EM15" s="1"/>
  <c r="EM16" s="1"/>
  <c r="EM17" s="1"/>
  <c r="EM18" s="1"/>
  <c r="EM19" s="1"/>
  <c r="EM20" s="1"/>
  <c r="EM21" s="1"/>
  <c r="EM22" s="1"/>
  <c r="EM23" s="1"/>
  <c r="EM24" s="1"/>
  <c r="EM25" s="1"/>
  <c r="EM26" s="1"/>
  <c r="EM27" s="1"/>
  <c r="EM28" s="1"/>
  <c r="EM29" s="1"/>
  <c r="EM30" s="1"/>
  <c r="EM31" s="1"/>
  <c r="EM32" s="1"/>
  <c r="EM33" s="1"/>
  <c r="EM34" s="1"/>
  <c r="EM35" s="1"/>
  <c r="EM10"/>
  <c r="EL10"/>
  <c r="EM37"/>
  <c r="EM38" s="1"/>
  <c r="EM39" s="1"/>
  <c r="EM40" s="1"/>
  <c r="EM41" s="1"/>
  <c r="EM42" s="1"/>
  <c r="EM43" s="1"/>
  <c r="EM44" s="1"/>
  <c r="EM45" s="1"/>
  <c r="EM46" s="1"/>
  <c r="EM47" s="1"/>
  <c r="EM48" s="1"/>
  <c r="EM49" s="1"/>
  <c r="EM50" s="1"/>
  <c r="EM51" s="1"/>
  <c r="EM52" s="1"/>
  <c r="EM53" s="1"/>
  <c r="EM54" s="1"/>
  <c r="EM55" s="1"/>
  <c r="EM56" s="1"/>
  <c r="EM57" s="1"/>
  <c r="EM58" s="1"/>
  <c r="EM59" s="1"/>
  <c r="EM60" s="1"/>
  <c r="EM61" s="1"/>
  <c r="FU20"/>
  <c r="FU21" s="1"/>
  <c r="FU22" s="1"/>
  <c r="FU23" s="1"/>
  <c r="FU24" s="1"/>
  <c r="FU25" s="1"/>
  <c r="FU26" s="1"/>
  <c r="FU27" s="1"/>
  <c r="FT10"/>
  <c r="FU10"/>
  <c r="FU12"/>
  <c r="FU13" s="1"/>
  <c r="FU14" s="1"/>
  <c r="FU15" s="1"/>
  <c r="FU16" s="1"/>
  <c r="FU17" s="1"/>
  <c r="FU18" s="1"/>
  <c r="FA10"/>
  <c r="FA24"/>
  <c r="FA25" s="1"/>
  <c r="FA26" s="1"/>
  <c r="FA27" s="1"/>
  <c r="FA28" s="1"/>
  <c r="FA29" s="1"/>
  <c r="FA30" s="1"/>
  <c r="FA31" s="1"/>
  <c r="FA32" s="1"/>
  <c r="FA33" s="1"/>
  <c r="FA34" s="1"/>
  <c r="FA35" s="1"/>
  <c r="EZ10"/>
  <c r="FA12"/>
  <c r="FA13" s="1"/>
  <c r="FA14" s="1"/>
  <c r="FA15" s="1"/>
  <c r="FA16" s="1"/>
  <c r="FA17" s="1"/>
  <c r="FA18" s="1"/>
  <c r="FA19" s="1"/>
  <c r="FA20" s="1"/>
  <c r="FA21" s="1"/>
  <c r="FA22" s="1"/>
  <c r="EC10"/>
  <c r="EB10"/>
  <c r="EC12"/>
  <c r="EC13" s="1"/>
  <c r="EC14" s="1"/>
  <c r="EC15" s="1"/>
  <c r="EC16" s="1"/>
  <c r="EC17" s="1"/>
  <c r="EC18" s="1"/>
  <c r="EC19" s="1"/>
  <c r="EC20" s="1"/>
  <c r="EC21" s="1"/>
  <c r="EC22" s="1"/>
  <c r="EC23" s="1"/>
  <c r="EC24" s="1"/>
  <c r="EC25" s="1"/>
  <c r="EC26" s="1"/>
  <c r="EC27" s="1"/>
  <c r="EC28" s="1"/>
  <c r="EC29" s="1"/>
  <c r="EC30" s="1"/>
  <c r="EC31" s="1"/>
  <c r="EC32" s="1"/>
  <c r="EC33" s="1"/>
  <c r="EC34" s="1"/>
  <c r="EC35" s="1"/>
  <c r="EC36" s="1"/>
  <c r="EC37" s="1"/>
  <c r="EC38" s="1"/>
  <c r="EC39" s="1"/>
  <c r="EC40" s="1"/>
  <c r="EC41" s="1"/>
  <c r="EC42" s="1"/>
  <c r="EC43" s="1"/>
  <c r="EC44" s="1"/>
  <c r="EC45" s="1"/>
  <c r="EC46" s="1"/>
  <c r="EC47" s="1"/>
  <c r="EC48" s="1"/>
  <c r="EC49" s="1"/>
  <c r="EC50" s="1"/>
  <c r="EC51" s="1"/>
  <c r="EC52" s="1"/>
  <c r="EC53" s="1"/>
  <c r="EC54" s="1"/>
  <c r="EC55" s="1"/>
  <c r="EC56" s="1"/>
  <c r="EC57" s="1"/>
  <c r="EC58" s="1"/>
  <c r="EC59" s="1"/>
  <c r="EC60" s="1"/>
  <c r="EC61" s="1"/>
  <c r="EC62" s="1"/>
  <c r="EC63" s="1"/>
  <c r="EC64" s="1"/>
  <c r="EC65" s="1"/>
  <c r="EC66" s="1"/>
  <c r="EC67" s="1"/>
  <c r="EC68" s="1"/>
  <c r="EC69" s="1"/>
  <c r="EC70" s="1"/>
  <c r="EC72"/>
  <c r="EC73" s="1"/>
  <c r="EC74" s="1"/>
  <c r="EC75" s="1"/>
  <c r="EC76" s="1"/>
  <c r="EC77" s="1"/>
  <c r="EC78" s="1"/>
  <c r="EC79" s="1"/>
  <c r="EC80" s="1"/>
  <c r="EC81" s="1"/>
  <c r="EC82" s="1"/>
  <c r="EC83" s="1"/>
  <c r="EC84" s="1"/>
  <c r="EC85" s="1"/>
  <c r="EC86" s="1"/>
  <c r="EC87" s="1"/>
  <c r="EC88" s="1"/>
  <c r="EC89" s="1"/>
  <c r="EC90" s="1"/>
  <c r="EC91" s="1"/>
  <c r="EC92" s="1"/>
  <c r="EC93" s="1"/>
  <c r="EC94" s="1"/>
  <c r="EC95" s="1"/>
  <c r="EC96" s="1"/>
  <c r="EC97" s="1"/>
  <c r="EC98" s="1"/>
  <c r="EC99" s="1"/>
  <c r="EC100" s="1"/>
  <c r="EC101" s="1"/>
  <c r="EC102" s="1"/>
  <c r="EC103" s="1"/>
  <c r="EC104" s="1"/>
  <c r="EC105" s="1"/>
  <c r="EC106" s="1"/>
  <c r="EC107" s="1"/>
  <c r="EC108" s="1"/>
  <c r="EC109" s="1"/>
  <c r="EC110" s="1"/>
  <c r="EC111" s="1"/>
  <c r="EC112" s="1"/>
  <c r="EC113" s="1"/>
  <c r="EC114" s="1"/>
  <c r="EC115" s="1"/>
  <c r="EC116" s="1"/>
  <c r="EC117" s="1"/>
  <c r="EC118" s="1"/>
  <c r="EC119" s="1"/>
  <c r="EC120" s="1"/>
  <c r="EC121" s="1"/>
  <c r="EC122" s="1"/>
  <c r="EC123" s="1"/>
  <c r="EC124" s="1"/>
  <c r="EC125" s="1"/>
  <c r="EC126" s="1"/>
  <c r="EC127" s="1"/>
  <c r="EC128" s="1"/>
  <c r="EC129" s="1"/>
  <c r="EC130" s="1"/>
  <c r="EC131" s="1"/>
  <c r="GD10"/>
  <c r="GE12"/>
  <c r="GE13" s="1"/>
  <c r="GE14" s="1"/>
  <c r="GE15" s="1"/>
  <c r="GE16" s="1"/>
  <c r="GE17" s="1"/>
  <c r="GE18" s="1"/>
  <c r="GE10"/>
  <c r="GE20"/>
  <c r="GE21" s="1"/>
  <c r="GE22" s="1"/>
  <c r="GE23" s="1"/>
  <c r="GE24" s="1"/>
  <c r="GE25" s="1"/>
  <c r="GE26" s="1"/>
  <c r="GE27" s="1"/>
  <c r="GC20"/>
  <c r="GC21" s="1"/>
  <c r="GC22" s="1"/>
  <c r="GC23" s="1"/>
  <c r="GC24" s="1"/>
  <c r="GC25" s="1"/>
  <c r="GC26" s="1"/>
  <c r="GC27" s="1"/>
  <c r="GC10"/>
  <c r="GB10"/>
  <c r="GC12"/>
  <c r="GC13" s="1"/>
  <c r="GC14" s="1"/>
  <c r="GC15" s="1"/>
  <c r="GC16" s="1"/>
  <c r="GC17" s="1"/>
  <c r="GC18" s="1"/>
  <c r="GA12"/>
  <c r="GA13" s="1"/>
  <c r="GA14" s="1"/>
  <c r="GA15" s="1"/>
  <c r="GA16" s="1"/>
  <c r="GA17" s="1"/>
  <c r="GA18" s="1"/>
  <c r="GA10"/>
  <c r="GA20"/>
  <c r="GA21" s="1"/>
  <c r="GA22" s="1"/>
  <c r="GA23" s="1"/>
  <c r="GA24" s="1"/>
  <c r="GA25" s="1"/>
  <c r="GA26" s="1"/>
  <c r="GA27" s="1"/>
  <c r="FZ10"/>
  <c r="FF10"/>
  <c r="FG12"/>
  <c r="FG13" s="1"/>
  <c r="FG14" s="1"/>
  <c r="FG15" s="1"/>
  <c r="FG16" s="1"/>
  <c r="FG17" s="1"/>
  <c r="FG18" s="1"/>
  <c r="FG19" s="1"/>
  <c r="FG20" s="1"/>
  <c r="FG22"/>
  <c r="FG23" s="1"/>
  <c r="FG24" s="1"/>
  <c r="FG25" s="1"/>
  <c r="FG26" s="1"/>
  <c r="FG27" s="1"/>
  <c r="FG28" s="1"/>
  <c r="FG29" s="1"/>
  <c r="FG30" s="1"/>
  <c r="FG31" s="1"/>
  <c r="FG10"/>
  <c r="EP10"/>
  <c r="EQ12"/>
  <c r="EQ13" s="1"/>
  <c r="EQ14" s="1"/>
  <c r="EQ15" s="1"/>
  <c r="EQ16" s="1"/>
  <c r="EQ17" s="1"/>
  <c r="EQ18" s="1"/>
  <c r="EQ19" s="1"/>
  <c r="EQ20" s="1"/>
  <c r="EQ21" s="1"/>
  <c r="EQ22" s="1"/>
  <c r="EQ23" s="1"/>
  <c r="EQ24" s="1"/>
  <c r="EQ25" s="1"/>
  <c r="EQ26" s="1"/>
  <c r="EQ27" s="1"/>
  <c r="EQ28" s="1"/>
  <c r="EQ29" s="1"/>
  <c r="EQ30" s="1"/>
  <c r="EQ32"/>
  <c r="EQ33" s="1"/>
  <c r="EQ34" s="1"/>
  <c r="EQ35" s="1"/>
  <c r="EQ36" s="1"/>
  <c r="EQ37" s="1"/>
  <c r="EQ38" s="1"/>
  <c r="EQ39" s="1"/>
  <c r="EQ40" s="1"/>
  <c r="EQ41" s="1"/>
  <c r="EQ42" s="1"/>
  <c r="EQ43" s="1"/>
  <c r="EQ44" s="1"/>
  <c r="EQ45" s="1"/>
  <c r="EQ46" s="1"/>
  <c r="EQ47" s="1"/>
  <c r="EQ48" s="1"/>
  <c r="EQ49" s="1"/>
  <c r="EQ50" s="1"/>
  <c r="EQ51" s="1"/>
  <c r="EQ10"/>
  <c r="DS44"/>
  <c r="DR44"/>
  <c r="DV44"/>
  <c r="DP45"/>
  <c r="AM138" i="6"/>
  <c r="FQ10" i="2"/>
  <c r="FQ20"/>
  <c r="FQ21" s="1"/>
  <c r="FQ22" s="1"/>
  <c r="FQ23" s="1"/>
  <c r="FQ24" s="1"/>
  <c r="FQ25" s="1"/>
  <c r="FQ26" s="1"/>
  <c r="FQ27" s="1"/>
  <c r="FP10"/>
  <c r="FQ12"/>
  <c r="FQ13" s="1"/>
  <c r="FQ14" s="1"/>
  <c r="FQ15" s="1"/>
  <c r="FQ16" s="1"/>
  <c r="FQ17" s="1"/>
  <c r="FQ18" s="1"/>
  <c r="EE12"/>
  <c r="EE13" s="1"/>
  <c r="EE14" s="1"/>
  <c r="EE15" s="1"/>
  <c r="EE16" s="1"/>
  <c r="EE17" s="1"/>
  <c r="EE18" s="1"/>
  <c r="EE19" s="1"/>
  <c r="EE20" s="1"/>
  <c r="EE21" s="1"/>
  <c r="EE22" s="1"/>
  <c r="EE23" s="1"/>
  <c r="EE24" s="1"/>
  <c r="EE25" s="1"/>
  <c r="EE26" s="1"/>
  <c r="EE27" s="1"/>
  <c r="EE28" s="1"/>
  <c r="EE29" s="1"/>
  <c r="EE30" s="1"/>
  <c r="EE31" s="1"/>
  <c r="EE32" s="1"/>
  <c r="EE33" s="1"/>
  <c r="EE34" s="1"/>
  <c r="EE35" s="1"/>
  <c r="EE36" s="1"/>
  <c r="EE37" s="1"/>
  <c r="EE38" s="1"/>
  <c r="EE39" s="1"/>
  <c r="EE40" s="1"/>
  <c r="EE41" s="1"/>
  <c r="EE42" s="1"/>
  <c r="EE43" s="1"/>
  <c r="EE44" s="1"/>
  <c r="EE45" s="1"/>
  <c r="EE46" s="1"/>
  <c r="EE47" s="1"/>
  <c r="EE48" s="1"/>
  <c r="EE49" s="1"/>
  <c r="EE50" s="1"/>
  <c r="EE51" s="1"/>
  <c r="EE52" s="1"/>
  <c r="EE53" s="1"/>
  <c r="EE54" s="1"/>
  <c r="EE55" s="1"/>
  <c r="EE57"/>
  <c r="EE58" s="1"/>
  <c r="EE59" s="1"/>
  <c r="EE60" s="1"/>
  <c r="EE61" s="1"/>
  <c r="EE62" s="1"/>
  <c r="EE63" s="1"/>
  <c r="EE64" s="1"/>
  <c r="EE65" s="1"/>
  <c r="EE66" s="1"/>
  <c r="EE67" s="1"/>
  <c r="EE68" s="1"/>
  <c r="EE69" s="1"/>
  <c r="EE70" s="1"/>
  <c r="EE71" s="1"/>
  <c r="EE72" s="1"/>
  <c r="EE73" s="1"/>
  <c r="EE74" s="1"/>
  <c r="EE75" s="1"/>
  <c r="EE76" s="1"/>
  <c r="EE77" s="1"/>
  <c r="EE78" s="1"/>
  <c r="EE79" s="1"/>
  <c r="EE80" s="1"/>
  <c r="EE81" s="1"/>
  <c r="EE82" s="1"/>
  <c r="EE83" s="1"/>
  <c r="EE84" s="1"/>
  <c r="EE85" s="1"/>
  <c r="EE86" s="1"/>
  <c r="EE87" s="1"/>
  <c r="EE88" s="1"/>
  <c r="EE89" s="1"/>
  <c r="EE90" s="1"/>
  <c r="EE91" s="1"/>
  <c r="EE92" s="1"/>
  <c r="EE93" s="1"/>
  <c r="EE94" s="1"/>
  <c r="EE95" s="1"/>
  <c r="EE96" s="1"/>
  <c r="EE97" s="1"/>
  <c r="EE98" s="1"/>
  <c r="EE99" s="1"/>
  <c r="EE100" s="1"/>
  <c r="EE101" s="1"/>
  <c r="EE10"/>
  <c r="ED10"/>
  <c r="EU12"/>
  <c r="EU13" s="1"/>
  <c r="EU14" s="1"/>
  <c r="EU15" s="1"/>
  <c r="EU16" s="1"/>
  <c r="EU17" s="1"/>
  <c r="EU18" s="1"/>
  <c r="EU19" s="1"/>
  <c r="EU20" s="1"/>
  <c r="EU21" s="1"/>
  <c r="EU22" s="1"/>
  <c r="EU23" s="1"/>
  <c r="EU24" s="1"/>
  <c r="EU25" s="1"/>
  <c r="EU10"/>
  <c r="ET10"/>
  <c r="EU27"/>
  <c r="EU28" s="1"/>
  <c r="EU29" s="1"/>
  <c r="EU30" s="1"/>
  <c r="EU31" s="1"/>
  <c r="EU32" s="1"/>
  <c r="EU33" s="1"/>
  <c r="EU34" s="1"/>
  <c r="EU35" s="1"/>
  <c r="EU36" s="1"/>
  <c r="EU37" s="1"/>
  <c r="EU38" s="1"/>
  <c r="EU39" s="1"/>
  <c r="EU40" s="1"/>
  <c r="EU41" s="1"/>
  <c r="FM22"/>
  <c r="FM23" s="1"/>
  <c r="FM24" s="1"/>
  <c r="FM25" s="1"/>
  <c r="FM26" s="1"/>
  <c r="FM27" s="1"/>
  <c r="FM28" s="1"/>
  <c r="FM29" s="1"/>
  <c r="FM30" s="1"/>
  <c r="FM31" s="1"/>
  <c r="FM10"/>
  <c r="FM12"/>
  <c r="FM13" s="1"/>
  <c r="FM14" s="1"/>
  <c r="FM15" s="1"/>
  <c r="FM16" s="1"/>
  <c r="FM17" s="1"/>
  <c r="FM18" s="1"/>
  <c r="FM19" s="1"/>
  <c r="FM20" s="1"/>
  <c r="FL10"/>
  <c r="FS12"/>
  <c r="FS13" s="1"/>
  <c r="FS14" s="1"/>
  <c r="FS15" s="1"/>
  <c r="FS16" s="1"/>
  <c r="FS17" s="1"/>
  <c r="FS18" s="1"/>
  <c r="FS10"/>
  <c r="FR10"/>
  <c r="FS20"/>
  <c r="FS21" s="1"/>
  <c r="FS22" s="1"/>
  <c r="FS23" s="1"/>
  <c r="FS24" s="1"/>
  <c r="FS25" s="1"/>
  <c r="FS26" s="1"/>
  <c r="FS27" s="1"/>
  <c r="FY10"/>
  <c r="FY20"/>
  <c r="FY21" s="1"/>
  <c r="FY22" s="1"/>
  <c r="FY23" s="1"/>
  <c r="FY24" s="1"/>
  <c r="FY25" s="1"/>
  <c r="FY26" s="1"/>
  <c r="FY27" s="1"/>
  <c r="FX10"/>
  <c r="FY12"/>
  <c r="FY13" s="1"/>
  <c r="FY14" s="1"/>
  <c r="FY15" s="1"/>
  <c r="FY16" s="1"/>
  <c r="FY17" s="1"/>
  <c r="FY18" s="1"/>
  <c r="ES10"/>
  <c r="ER10"/>
  <c r="ES32"/>
  <c r="ES33" s="1"/>
  <c r="ES34" s="1"/>
  <c r="ES35" s="1"/>
  <c r="ES36" s="1"/>
  <c r="ES37" s="1"/>
  <c r="ES38" s="1"/>
  <c r="ES39" s="1"/>
  <c r="ES40" s="1"/>
  <c r="ES41" s="1"/>
  <c r="ES42" s="1"/>
  <c r="ES43" s="1"/>
  <c r="ES44" s="1"/>
  <c r="ES45" s="1"/>
  <c r="ES46" s="1"/>
  <c r="ES47" s="1"/>
  <c r="ES48" s="1"/>
  <c r="ES49" s="1"/>
  <c r="ES50" s="1"/>
  <c r="ES51" s="1"/>
  <c r="ES12"/>
  <c r="ES13" s="1"/>
  <c r="ES14" s="1"/>
  <c r="ES15" s="1"/>
  <c r="ES16" s="1"/>
  <c r="ES17" s="1"/>
  <c r="ES18" s="1"/>
  <c r="ES19" s="1"/>
  <c r="ES20" s="1"/>
  <c r="ES21" s="1"/>
  <c r="ES22" s="1"/>
  <c r="ES23" s="1"/>
  <c r="ES24" s="1"/>
  <c r="ES25" s="1"/>
  <c r="ES26" s="1"/>
  <c r="ES27" s="1"/>
  <c r="ES28" s="1"/>
  <c r="ES29" s="1"/>
  <c r="ES30" s="1"/>
  <c r="DT43"/>
  <c r="DU43"/>
  <c r="BF65" i="4"/>
  <c r="BG65" s="1"/>
  <c r="AV66"/>
  <c r="AW65"/>
  <c r="BD65" s="1"/>
  <c r="BE65" s="1"/>
  <c r="AY65"/>
  <c r="BA65" s="1"/>
  <c r="AU65"/>
  <c r="AZ65"/>
  <c r="BB65" s="1"/>
  <c r="FN10" i="2"/>
  <c r="FO12"/>
  <c r="FO13" s="1"/>
  <c r="FO14" s="1"/>
  <c r="FO15" s="1"/>
  <c r="FO16" s="1"/>
  <c r="FO17" s="1"/>
  <c r="FO18" s="1"/>
  <c r="FO10"/>
  <c r="FO20"/>
  <c r="FO21" s="1"/>
  <c r="FO22" s="1"/>
  <c r="FO23" s="1"/>
  <c r="FO24" s="1"/>
  <c r="FO25" s="1"/>
  <c r="FO26" s="1"/>
  <c r="FO27" s="1"/>
  <c r="EG10"/>
  <c r="EG47"/>
  <c r="EG48" s="1"/>
  <c r="EG49" s="1"/>
  <c r="EG50" s="1"/>
  <c r="EG51" s="1"/>
  <c r="EG52" s="1"/>
  <c r="EG53" s="1"/>
  <c r="EG54" s="1"/>
  <c r="EG55" s="1"/>
  <c r="EG56" s="1"/>
  <c r="EG57" s="1"/>
  <c r="EG58" s="1"/>
  <c r="EG59" s="1"/>
  <c r="EG60" s="1"/>
  <c r="EG61" s="1"/>
  <c r="EG62" s="1"/>
  <c r="EG63" s="1"/>
  <c r="EG64" s="1"/>
  <c r="EG65" s="1"/>
  <c r="EG66" s="1"/>
  <c r="EG67" s="1"/>
  <c r="EG68" s="1"/>
  <c r="EG69" s="1"/>
  <c r="EG70" s="1"/>
  <c r="EG71" s="1"/>
  <c r="EG72" s="1"/>
  <c r="EG73" s="1"/>
  <c r="EG74" s="1"/>
  <c r="EG75" s="1"/>
  <c r="EG76" s="1"/>
  <c r="EG77" s="1"/>
  <c r="EG78" s="1"/>
  <c r="EG79" s="1"/>
  <c r="EG80" s="1"/>
  <c r="EG81" s="1"/>
  <c r="EG12"/>
  <c r="EG13" s="1"/>
  <c r="EG14" s="1"/>
  <c r="EG15" s="1"/>
  <c r="EG16" s="1"/>
  <c r="EG17" s="1"/>
  <c r="EG18" s="1"/>
  <c r="EG19" s="1"/>
  <c r="EG20" s="1"/>
  <c r="EG21" s="1"/>
  <c r="EG22" s="1"/>
  <c r="EG23" s="1"/>
  <c r="EG24" s="1"/>
  <c r="EG25" s="1"/>
  <c r="EG26" s="1"/>
  <c r="EG27" s="1"/>
  <c r="EG28" s="1"/>
  <c r="EG29" s="1"/>
  <c r="EG30" s="1"/>
  <c r="EG31" s="1"/>
  <c r="EG32" s="1"/>
  <c r="EG33" s="1"/>
  <c r="EG34" s="1"/>
  <c r="EG35" s="1"/>
  <c r="EG36" s="1"/>
  <c r="EG37" s="1"/>
  <c r="EG38" s="1"/>
  <c r="EG39" s="1"/>
  <c r="EG40" s="1"/>
  <c r="EG41" s="1"/>
  <c r="EG42" s="1"/>
  <c r="EG43" s="1"/>
  <c r="EG44" s="1"/>
  <c r="EG45" s="1"/>
  <c r="EF10"/>
  <c r="EK10"/>
  <c r="EJ10"/>
  <c r="EK37"/>
  <c r="EK38" s="1"/>
  <c r="EK39" s="1"/>
  <c r="EK40" s="1"/>
  <c r="EK41" s="1"/>
  <c r="EK42" s="1"/>
  <c r="EK43" s="1"/>
  <c r="EK44" s="1"/>
  <c r="EK45" s="1"/>
  <c r="EK46" s="1"/>
  <c r="EK47" s="1"/>
  <c r="EK48" s="1"/>
  <c r="EK49" s="1"/>
  <c r="EK50" s="1"/>
  <c r="EK51" s="1"/>
  <c r="EK52" s="1"/>
  <c r="EK53" s="1"/>
  <c r="EK54" s="1"/>
  <c r="EK55" s="1"/>
  <c r="EK56" s="1"/>
  <c r="EK57" s="1"/>
  <c r="EK58" s="1"/>
  <c r="EK59" s="1"/>
  <c r="EK60" s="1"/>
  <c r="EK61" s="1"/>
  <c r="EK12"/>
  <c r="EK13" s="1"/>
  <c r="EK14" s="1"/>
  <c r="EK15" s="1"/>
  <c r="EK16" s="1"/>
  <c r="EK17" s="1"/>
  <c r="EK18" s="1"/>
  <c r="EK19" s="1"/>
  <c r="EK20" s="1"/>
  <c r="EK21" s="1"/>
  <c r="EK22" s="1"/>
  <c r="EK23" s="1"/>
  <c r="EK24" s="1"/>
  <c r="EK25" s="1"/>
  <c r="EK26" s="1"/>
  <c r="EK27" s="1"/>
  <c r="EK28" s="1"/>
  <c r="EK29" s="1"/>
  <c r="EK30" s="1"/>
  <c r="EK31" s="1"/>
  <c r="EK32" s="1"/>
  <c r="EK33" s="1"/>
  <c r="EK34" s="1"/>
  <c r="EK35" s="1"/>
  <c r="EO32"/>
  <c r="EO33" s="1"/>
  <c r="EO34" s="1"/>
  <c r="EO35" s="1"/>
  <c r="EO36" s="1"/>
  <c r="EO37" s="1"/>
  <c r="EO38" s="1"/>
  <c r="EO39" s="1"/>
  <c r="EO40" s="1"/>
  <c r="EO41" s="1"/>
  <c r="EO42" s="1"/>
  <c r="EO43" s="1"/>
  <c r="EO44" s="1"/>
  <c r="EO45" s="1"/>
  <c r="EO46" s="1"/>
  <c r="EO47" s="1"/>
  <c r="EO48" s="1"/>
  <c r="EO49" s="1"/>
  <c r="EO50" s="1"/>
  <c r="EO51" s="1"/>
  <c r="EN10"/>
  <c r="EO10"/>
  <c r="EO12"/>
  <c r="EO13" s="1"/>
  <c r="EO14" s="1"/>
  <c r="EO15" s="1"/>
  <c r="EO16" s="1"/>
  <c r="EO17" s="1"/>
  <c r="EO18" s="1"/>
  <c r="EO19" s="1"/>
  <c r="EO20" s="1"/>
  <c r="EO21" s="1"/>
  <c r="EO22" s="1"/>
  <c r="EO23" s="1"/>
  <c r="EO24" s="1"/>
  <c r="EO25" s="1"/>
  <c r="EO26" s="1"/>
  <c r="EO27" s="1"/>
  <c r="EO28" s="1"/>
  <c r="EO29" s="1"/>
  <c r="EO30" s="1"/>
  <c r="DY202"/>
  <c r="DY203" s="1"/>
  <c r="DY204" s="1"/>
  <c r="DY205" s="1"/>
  <c r="DY206" s="1"/>
  <c r="DY207" s="1"/>
  <c r="DY208" s="1"/>
  <c r="DY209" s="1"/>
  <c r="DY210" s="1"/>
  <c r="DY211" s="1"/>
  <c r="DY212" s="1"/>
  <c r="DY213" s="1"/>
  <c r="DY214" s="1"/>
  <c r="DY215" s="1"/>
  <c r="DY216" s="1"/>
  <c r="DY217" s="1"/>
  <c r="DY218" s="1"/>
  <c r="DY219" s="1"/>
  <c r="DY220" s="1"/>
  <c r="DY221" s="1"/>
  <c r="DY222" s="1"/>
  <c r="DY223" s="1"/>
  <c r="DY224" s="1"/>
  <c r="DY225" s="1"/>
  <c r="DY226" s="1"/>
  <c r="DY227" s="1"/>
  <c r="DY228" s="1"/>
  <c r="DY229" s="1"/>
  <c r="DY230" s="1"/>
  <c r="DY231" s="1"/>
  <c r="DY232" s="1"/>
  <c r="DY233" s="1"/>
  <c r="DY234" s="1"/>
  <c r="DY235" s="1"/>
  <c r="DY236" s="1"/>
  <c r="DY237" s="1"/>
  <c r="DY238" s="1"/>
  <c r="DY239" s="1"/>
  <c r="DY240" s="1"/>
  <c r="DY241" s="1"/>
  <c r="DY242" s="1"/>
  <c r="DY243" s="1"/>
  <c r="DY244" s="1"/>
  <c r="DY245" s="1"/>
  <c r="DY246" s="1"/>
  <c r="DY247" s="1"/>
  <c r="DY248" s="1"/>
  <c r="DY249" s="1"/>
  <c r="DY250" s="1"/>
  <c r="DY251" s="1"/>
  <c r="DY252" s="1"/>
  <c r="DY253" s="1"/>
  <c r="DY254" s="1"/>
  <c r="DY255" s="1"/>
  <c r="DY256" s="1"/>
  <c r="DY257" s="1"/>
  <c r="DY258" s="1"/>
  <c r="DY259" s="1"/>
  <c r="DY260" s="1"/>
  <c r="DY261" s="1"/>
  <c r="DY262" s="1"/>
  <c r="DY263" s="1"/>
  <c r="DY264" s="1"/>
  <c r="DY265" s="1"/>
  <c r="DY266" s="1"/>
  <c r="DY267" s="1"/>
  <c r="DY268" s="1"/>
  <c r="DY269" s="1"/>
  <c r="DY270" s="1"/>
  <c r="DY271" s="1"/>
  <c r="DY272" s="1"/>
  <c r="DY273" s="1"/>
  <c r="DY274" s="1"/>
  <c r="DY275" s="1"/>
  <c r="DY276" s="1"/>
  <c r="DY277" s="1"/>
  <c r="DY278" s="1"/>
  <c r="DY279" s="1"/>
  <c r="DY280" s="1"/>
  <c r="DY281" s="1"/>
  <c r="DY282" s="1"/>
  <c r="DY283" s="1"/>
  <c r="DY284" s="1"/>
  <c r="DY285" s="1"/>
  <c r="DY286" s="1"/>
  <c r="DY287" s="1"/>
  <c r="DY288" s="1"/>
  <c r="DY289" s="1"/>
  <c r="DY290" s="1"/>
  <c r="DY291" s="1"/>
  <c r="DY292" s="1"/>
  <c r="DY293" s="1"/>
  <c r="DY294" s="1"/>
  <c r="DY295" s="1"/>
  <c r="DY296" s="1"/>
  <c r="DY297" s="1"/>
  <c r="DY298" s="1"/>
  <c r="DY299" s="1"/>
  <c r="DY300" s="1"/>
  <c r="DY301" s="1"/>
  <c r="DY302" s="1"/>
  <c r="DY303" s="1"/>
  <c r="DY304" s="1"/>
  <c r="DY305" s="1"/>
  <c r="DY306" s="1"/>
  <c r="DY307" s="1"/>
  <c r="DY308" s="1"/>
  <c r="DY309" s="1"/>
  <c r="DY310" s="1"/>
  <c r="DY311" s="1"/>
  <c r="DY312" s="1"/>
  <c r="DY313" s="1"/>
  <c r="DY314" s="1"/>
  <c r="DY315" s="1"/>
  <c r="DY316" s="1"/>
  <c r="DY317" s="1"/>
  <c r="DY318" s="1"/>
  <c r="DY319" s="1"/>
  <c r="DY320" s="1"/>
  <c r="DY321" s="1"/>
  <c r="DY322" s="1"/>
  <c r="DY323" s="1"/>
  <c r="DY324" s="1"/>
  <c r="DY325" s="1"/>
  <c r="DY326" s="1"/>
  <c r="DY327" s="1"/>
  <c r="DY328" s="1"/>
  <c r="DY329" s="1"/>
  <c r="DY330" s="1"/>
  <c r="DY331" s="1"/>
  <c r="DY332" s="1"/>
  <c r="DY333" s="1"/>
  <c r="DY334" s="1"/>
  <c r="DY335" s="1"/>
  <c r="DY336" s="1"/>
  <c r="DY337" s="1"/>
  <c r="DY338" s="1"/>
  <c r="DY339" s="1"/>
  <c r="DY340" s="1"/>
  <c r="DY341" s="1"/>
  <c r="DY342" s="1"/>
  <c r="DY343" s="1"/>
  <c r="DY344" s="1"/>
  <c r="DY345" s="1"/>
  <c r="DY346" s="1"/>
  <c r="DY347" s="1"/>
  <c r="DY348" s="1"/>
  <c r="DY349" s="1"/>
  <c r="DY350" s="1"/>
  <c r="DY351" s="1"/>
  <c r="DY352" s="1"/>
  <c r="DY353" s="1"/>
  <c r="DY354" s="1"/>
  <c r="DY355" s="1"/>
  <c r="DY356" s="1"/>
  <c r="DY357" s="1"/>
  <c r="DY358" s="1"/>
  <c r="DY359" s="1"/>
  <c r="DY360" s="1"/>
  <c r="DY361" s="1"/>
  <c r="DY362" s="1"/>
  <c r="DY363" s="1"/>
  <c r="DY364" s="1"/>
  <c r="DY365" s="1"/>
  <c r="DY366" s="1"/>
  <c r="DY367" s="1"/>
  <c r="DY368" s="1"/>
  <c r="DY369" s="1"/>
  <c r="DY370" s="1"/>
  <c r="DY371" s="1"/>
  <c r="DY372" s="1"/>
  <c r="DY373" s="1"/>
  <c r="DY374" s="1"/>
  <c r="DY375" s="1"/>
  <c r="DY376" s="1"/>
  <c r="DY377" s="1"/>
  <c r="DY378" s="1"/>
  <c r="DY379" s="1"/>
  <c r="DY380" s="1"/>
  <c r="DY381" s="1"/>
  <c r="DY382" s="1"/>
  <c r="DY383" s="1"/>
  <c r="DY384" s="1"/>
  <c r="DY385" s="1"/>
  <c r="DY386" s="1"/>
  <c r="DY387" s="1"/>
  <c r="DY388" s="1"/>
  <c r="DY389" s="1"/>
  <c r="DY390" s="1"/>
  <c r="DY391" s="1"/>
  <c r="DX10"/>
  <c r="DY12"/>
  <c r="DY13" s="1"/>
  <c r="DY14" s="1"/>
  <c r="DY15" s="1"/>
  <c r="DY16" s="1"/>
  <c r="DY17" s="1"/>
  <c r="DY18" s="1"/>
  <c r="DY19" s="1"/>
  <c r="DY20" s="1"/>
  <c r="DY21" s="1"/>
  <c r="DY22" s="1"/>
  <c r="DY23" s="1"/>
  <c r="DY24" s="1"/>
  <c r="DY25" s="1"/>
  <c r="DY26" s="1"/>
  <c r="DY27" s="1"/>
  <c r="DY28" s="1"/>
  <c r="DY29" s="1"/>
  <c r="DY30" s="1"/>
  <c r="DY31" s="1"/>
  <c r="DY32" s="1"/>
  <c r="DY33" s="1"/>
  <c r="DY34" s="1"/>
  <c r="DY35" s="1"/>
  <c r="DY36" s="1"/>
  <c r="DY37" s="1"/>
  <c r="DY38" s="1"/>
  <c r="DY39" s="1"/>
  <c r="DY40" s="1"/>
  <c r="DY41" s="1"/>
  <c r="DY42" s="1"/>
  <c r="DY43" s="1"/>
  <c r="DY44" s="1"/>
  <c r="DY45" s="1"/>
  <c r="DY46" s="1"/>
  <c r="DY47" s="1"/>
  <c r="DY48" s="1"/>
  <c r="DY49" s="1"/>
  <c r="DY50" s="1"/>
  <c r="DY51" s="1"/>
  <c r="DY52" s="1"/>
  <c r="DY53" s="1"/>
  <c r="DY54" s="1"/>
  <c r="DY55" s="1"/>
  <c r="DY56" s="1"/>
  <c r="DY57" s="1"/>
  <c r="DY58" s="1"/>
  <c r="DY59" s="1"/>
  <c r="DY60" s="1"/>
  <c r="DY61" s="1"/>
  <c r="DY62" s="1"/>
  <c r="DY63" s="1"/>
  <c r="DY64" s="1"/>
  <c r="DY65" s="1"/>
  <c r="DY66" s="1"/>
  <c r="DY67" s="1"/>
  <c r="DY68" s="1"/>
  <c r="DY69" s="1"/>
  <c r="DY70" s="1"/>
  <c r="DY71" s="1"/>
  <c r="DY72" s="1"/>
  <c r="DY73" s="1"/>
  <c r="DY74" s="1"/>
  <c r="DY75" s="1"/>
  <c r="DY76" s="1"/>
  <c r="DY77" s="1"/>
  <c r="DY78" s="1"/>
  <c r="DY79" s="1"/>
  <c r="DY80" s="1"/>
  <c r="DY81" s="1"/>
  <c r="DY82" s="1"/>
  <c r="DY83" s="1"/>
  <c r="DY84" s="1"/>
  <c r="DY85" s="1"/>
  <c r="DY86" s="1"/>
  <c r="DY87" s="1"/>
  <c r="DY88" s="1"/>
  <c r="DY89" s="1"/>
  <c r="DY90" s="1"/>
  <c r="DY91" s="1"/>
  <c r="DY92" s="1"/>
  <c r="DY93" s="1"/>
  <c r="DY94" s="1"/>
  <c r="DY95" s="1"/>
  <c r="DY96" s="1"/>
  <c r="DY97" s="1"/>
  <c r="DY98" s="1"/>
  <c r="DY99" s="1"/>
  <c r="DY100" s="1"/>
  <c r="DY101" s="1"/>
  <c r="DY102" s="1"/>
  <c r="DY103" s="1"/>
  <c r="DY104" s="1"/>
  <c r="DY105" s="1"/>
  <c r="DY106" s="1"/>
  <c r="DY107" s="1"/>
  <c r="DY108" s="1"/>
  <c r="DY109" s="1"/>
  <c r="DY110" s="1"/>
  <c r="DY111" s="1"/>
  <c r="DY112" s="1"/>
  <c r="DY113" s="1"/>
  <c r="DY114" s="1"/>
  <c r="DY115" s="1"/>
  <c r="DY116" s="1"/>
  <c r="DY117" s="1"/>
  <c r="DY118" s="1"/>
  <c r="DY119" s="1"/>
  <c r="DY120" s="1"/>
  <c r="DY121" s="1"/>
  <c r="DY122" s="1"/>
  <c r="DY123" s="1"/>
  <c r="DY124" s="1"/>
  <c r="DY125" s="1"/>
  <c r="DY126" s="1"/>
  <c r="DY127" s="1"/>
  <c r="DY128" s="1"/>
  <c r="DY129" s="1"/>
  <c r="DY130" s="1"/>
  <c r="DY131" s="1"/>
  <c r="DY132" s="1"/>
  <c r="DY133" s="1"/>
  <c r="DY134" s="1"/>
  <c r="DY135" s="1"/>
  <c r="DY136" s="1"/>
  <c r="DY137" s="1"/>
  <c r="DY138" s="1"/>
  <c r="DY139" s="1"/>
  <c r="DY140" s="1"/>
  <c r="DY141" s="1"/>
  <c r="DY142" s="1"/>
  <c r="DY143" s="1"/>
  <c r="DY144" s="1"/>
  <c r="DY145" s="1"/>
  <c r="DY146" s="1"/>
  <c r="DY147" s="1"/>
  <c r="DY148" s="1"/>
  <c r="DY149" s="1"/>
  <c r="DY150" s="1"/>
  <c r="DY151" s="1"/>
  <c r="DY152" s="1"/>
  <c r="DY153" s="1"/>
  <c r="DY154" s="1"/>
  <c r="DY155" s="1"/>
  <c r="DY156" s="1"/>
  <c r="DY157" s="1"/>
  <c r="DY158" s="1"/>
  <c r="DY159" s="1"/>
  <c r="DY160" s="1"/>
  <c r="DY161" s="1"/>
  <c r="DY162" s="1"/>
  <c r="DY163" s="1"/>
  <c r="DY164" s="1"/>
  <c r="DY165" s="1"/>
  <c r="DY166" s="1"/>
  <c r="DY167" s="1"/>
  <c r="DY168" s="1"/>
  <c r="DY169" s="1"/>
  <c r="DY170" s="1"/>
  <c r="DY171" s="1"/>
  <c r="DY172" s="1"/>
  <c r="DY173" s="1"/>
  <c r="DY174" s="1"/>
  <c r="DY175" s="1"/>
  <c r="DY176" s="1"/>
  <c r="DY177" s="1"/>
  <c r="DY178" s="1"/>
  <c r="DY179" s="1"/>
  <c r="DY180" s="1"/>
  <c r="DY181" s="1"/>
  <c r="DY182" s="1"/>
  <c r="DY183" s="1"/>
  <c r="DY184" s="1"/>
  <c r="DY185" s="1"/>
  <c r="DY186" s="1"/>
  <c r="DY187" s="1"/>
  <c r="DY188" s="1"/>
  <c r="DY189" s="1"/>
  <c r="DY190" s="1"/>
  <c r="DY191" s="1"/>
  <c r="DY192" s="1"/>
  <c r="DY193" s="1"/>
  <c r="DY194" s="1"/>
  <c r="DY195" s="1"/>
  <c r="DY196" s="1"/>
  <c r="DY197" s="1"/>
  <c r="DY198" s="1"/>
  <c r="DY199" s="1"/>
  <c r="DY200" s="1"/>
  <c r="DY10"/>
  <c r="FC12"/>
  <c r="FC13" s="1"/>
  <c r="FC14" s="1"/>
  <c r="FC15" s="1"/>
  <c r="FC16" s="1"/>
  <c r="FC17" s="1"/>
  <c r="FC18" s="1"/>
  <c r="FC19" s="1"/>
  <c r="FC20" s="1"/>
  <c r="FC21" s="1"/>
  <c r="FC22" s="1"/>
  <c r="FC10"/>
  <c r="FB10"/>
  <c r="FC24"/>
  <c r="FC25" s="1"/>
  <c r="FC26" s="1"/>
  <c r="FC27" s="1"/>
  <c r="FC28" s="1"/>
  <c r="FC29" s="1"/>
  <c r="FC30" s="1"/>
  <c r="FC31" s="1"/>
  <c r="FC32" s="1"/>
  <c r="FC33" s="1"/>
  <c r="FC34" s="1"/>
  <c r="FC35" s="1"/>
  <c r="DZ10"/>
  <c r="EA12"/>
  <c r="EA13" s="1"/>
  <c r="EA14" s="1"/>
  <c r="EA15" s="1"/>
  <c r="EA16" s="1"/>
  <c r="EA17" s="1"/>
  <c r="EA18" s="1"/>
  <c r="EA19" s="1"/>
  <c r="EA20" s="1"/>
  <c r="EA21" s="1"/>
  <c r="EA22" s="1"/>
  <c r="EA23" s="1"/>
  <c r="EA24" s="1"/>
  <c r="EA25" s="1"/>
  <c r="EA26" s="1"/>
  <c r="EA27" s="1"/>
  <c r="EA28" s="1"/>
  <c r="EA29" s="1"/>
  <c r="EA30" s="1"/>
  <c r="EA31" s="1"/>
  <c r="EA32" s="1"/>
  <c r="EA33" s="1"/>
  <c r="EA34" s="1"/>
  <c r="EA35" s="1"/>
  <c r="EA36" s="1"/>
  <c r="EA37" s="1"/>
  <c r="EA38" s="1"/>
  <c r="EA39" s="1"/>
  <c r="EA40" s="1"/>
  <c r="EA41" s="1"/>
  <c r="EA42" s="1"/>
  <c r="EA43" s="1"/>
  <c r="EA44" s="1"/>
  <c r="EA45" s="1"/>
  <c r="EA46" s="1"/>
  <c r="EA47" s="1"/>
  <c r="EA48" s="1"/>
  <c r="EA49" s="1"/>
  <c r="EA50" s="1"/>
  <c r="EA51" s="1"/>
  <c r="EA52" s="1"/>
  <c r="EA53" s="1"/>
  <c r="EA54" s="1"/>
  <c r="EA55" s="1"/>
  <c r="EA56" s="1"/>
  <c r="EA57" s="1"/>
  <c r="EA58" s="1"/>
  <c r="EA59" s="1"/>
  <c r="EA60" s="1"/>
  <c r="EA61" s="1"/>
  <c r="EA62" s="1"/>
  <c r="EA63" s="1"/>
  <c r="EA64" s="1"/>
  <c r="EA65" s="1"/>
  <c r="EA66" s="1"/>
  <c r="EA67" s="1"/>
  <c r="EA68" s="1"/>
  <c r="EA69" s="1"/>
  <c r="EA70" s="1"/>
  <c r="EA71" s="1"/>
  <c r="EA72" s="1"/>
  <c r="EA73" s="1"/>
  <c r="EA74" s="1"/>
  <c r="EA75" s="1"/>
  <c r="EA76" s="1"/>
  <c r="EA77" s="1"/>
  <c r="EA78" s="1"/>
  <c r="EA79" s="1"/>
  <c r="EA80" s="1"/>
  <c r="EA81" s="1"/>
  <c r="EA82" s="1"/>
  <c r="EA83" s="1"/>
  <c r="EA84" s="1"/>
  <c r="EA85" s="1"/>
  <c r="EA86" s="1"/>
  <c r="EA87" s="1"/>
  <c r="EA88" s="1"/>
  <c r="EA89" s="1"/>
  <c r="EA90" s="1"/>
  <c r="EA91" s="1"/>
  <c r="EA92" s="1"/>
  <c r="EA93" s="1"/>
  <c r="EA94" s="1"/>
  <c r="EA95" s="1"/>
  <c r="EA96" s="1"/>
  <c r="EA97" s="1"/>
  <c r="EA98" s="1"/>
  <c r="EA99" s="1"/>
  <c r="EA100" s="1"/>
  <c r="EA101" s="1"/>
  <c r="EA102" s="1"/>
  <c r="EA103" s="1"/>
  <c r="EA104" s="1"/>
  <c r="EA105" s="1"/>
  <c r="EA107"/>
  <c r="EA108" s="1"/>
  <c r="EA109" s="1"/>
  <c r="EA110" s="1"/>
  <c r="EA111" s="1"/>
  <c r="EA112" s="1"/>
  <c r="EA113" s="1"/>
  <c r="EA114" s="1"/>
  <c r="EA115" s="1"/>
  <c r="EA116" s="1"/>
  <c r="EA117" s="1"/>
  <c r="EA118" s="1"/>
  <c r="EA119" s="1"/>
  <c r="EA120" s="1"/>
  <c r="EA121" s="1"/>
  <c r="EA122" s="1"/>
  <c r="EA123" s="1"/>
  <c r="EA124" s="1"/>
  <c r="EA125" s="1"/>
  <c r="EA126" s="1"/>
  <c r="EA127" s="1"/>
  <c r="EA128" s="1"/>
  <c r="EA129" s="1"/>
  <c r="EA130" s="1"/>
  <c r="EA131" s="1"/>
  <c r="EA132" s="1"/>
  <c r="EA133" s="1"/>
  <c r="EA134" s="1"/>
  <c r="EA135" s="1"/>
  <c r="EA136" s="1"/>
  <c r="EA137" s="1"/>
  <c r="EA138" s="1"/>
  <c r="EA139" s="1"/>
  <c r="EA140" s="1"/>
  <c r="EA141" s="1"/>
  <c r="EA142" s="1"/>
  <c r="EA143" s="1"/>
  <c r="EA144" s="1"/>
  <c r="EA145" s="1"/>
  <c r="EA146" s="1"/>
  <c r="EA147" s="1"/>
  <c r="EA148" s="1"/>
  <c r="EA149" s="1"/>
  <c r="EA150" s="1"/>
  <c r="EA151" s="1"/>
  <c r="EA152" s="1"/>
  <c r="EA153" s="1"/>
  <c r="EA154" s="1"/>
  <c r="EA155" s="1"/>
  <c r="EA156" s="1"/>
  <c r="EA157" s="1"/>
  <c r="EA158" s="1"/>
  <c r="EA159" s="1"/>
  <c r="EA160" s="1"/>
  <c r="EA161" s="1"/>
  <c r="EA162" s="1"/>
  <c r="EA163" s="1"/>
  <c r="EA164" s="1"/>
  <c r="EA165" s="1"/>
  <c r="EA166" s="1"/>
  <c r="EA167" s="1"/>
  <c r="EA168" s="1"/>
  <c r="EA169" s="1"/>
  <c r="EA170" s="1"/>
  <c r="EA171" s="1"/>
  <c r="EA172" s="1"/>
  <c r="EA173" s="1"/>
  <c r="EA174" s="1"/>
  <c r="EA175" s="1"/>
  <c r="EA176" s="1"/>
  <c r="EA177" s="1"/>
  <c r="EA178" s="1"/>
  <c r="EA179" s="1"/>
  <c r="EA180" s="1"/>
  <c r="EA181" s="1"/>
  <c r="EA182" s="1"/>
  <c r="EA183" s="1"/>
  <c r="EA184" s="1"/>
  <c r="EA185" s="1"/>
  <c r="EA186" s="1"/>
  <c r="EA187" s="1"/>
  <c r="EA188" s="1"/>
  <c r="EA189" s="1"/>
  <c r="EA190" s="1"/>
  <c r="EA191" s="1"/>
  <c r="EA192" s="1"/>
  <c r="EA193" s="1"/>
  <c r="EA194" s="1"/>
  <c r="EA195" s="1"/>
  <c r="EA196" s="1"/>
  <c r="EA197" s="1"/>
  <c r="EA198" s="1"/>
  <c r="EA199" s="1"/>
  <c r="EA200" s="1"/>
  <c r="EA201" s="1"/>
  <c r="EA10"/>
  <c r="GD16"/>
  <c r="GD24"/>
  <c r="BY88" i="6"/>
  <c r="BV87"/>
  <c r="BX87" s="1"/>
  <c r="BZ87"/>
  <c r="BW87" s="1"/>
  <c r="AJ54" i="12" l="1"/>
  <c r="AL53"/>
  <c r="AK53"/>
  <c r="AO53"/>
  <c r="AN53"/>
  <c r="DT44" i="2"/>
  <c r="DU44"/>
  <c r="AY66" i="4"/>
  <c r="BA66" s="1"/>
  <c r="BF66"/>
  <c r="BG66" s="1"/>
  <c r="AV67"/>
  <c r="AW66"/>
  <c r="BD66"/>
  <c r="BE66" s="1"/>
  <c r="AU66"/>
  <c r="AZ66"/>
  <c r="BB66" s="1"/>
  <c r="AN138" i="6"/>
  <c r="BZ88"/>
  <c r="BV88"/>
  <c r="BX88" s="1"/>
  <c r="BY89"/>
  <c r="BW88"/>
  <c r="GD17" i="2"/>
  <c r="GD25"/>
  <c r="DS45"/>
  <c r="DV45"/>
  <c r="DP46"/>
  <c r="DR45"/>
  <c r="BD64" i="5"/>
  <c r="BF64" s="1"/>
  <c r="BB64"/>
  <c r="BK64"/>
  <c r="BL64" s="1"/>
  <c r="AZ64"/>
  <c r="BA65"/>
  <c r="BI64"/>
  <c r="BJ64" s="1"/>
  <c r="BE64"/>
  <c r="BG64" s="1"/>
  <c r="DS46" i="2" l="1"/>
  <c r="DP47"/>
  <c r="DV46"/>
  <c r="DR46"/>
  <c r="GD26"/>
  <c r="GD18"/>
  <c r="GD27" s="1"/>
  <c r="AJ55" i="12"/>
  <c r="AL54"/>
  <c r="AK54"/>
  <c r="AN54"/>
  <c r="AO54"/>
  <c r="AU67" i="4"/>
  <c r="AZ67"/>
  <c r="BB67" s="1"/>
  <c r="AY67"/>
  <c r="BA67" s="1"/>
  <c r="AW67"/>
  <c r="BD67" s="1"/>
  <c r="BE67" s="1"/>
  <c r="BF67"/>
  <c r="BG67" s="1"/>
  <c r="AV68"/>
  <c r="BK65" i="5"/>
  <c r="BL65" s="1"/>
  <c r="BA66"/>
  <c r="BB65"/>
  <c r="BE65"/>
  <c r="BG65" s="1"/>
  <c r="BD65"/>
  <c r="BF65" s="1"/>
  <c r="BI65"/>
  <c r="BJ65" s="1"/>
  <c r="AZ65"/>
  <c r="DT45" i="2"/>
  <c r="DU45"/>
  <c r="BZ89" i="6"/>
  <c r="BW89" s="1"/>
  <c r="BY90"/>
  <c r="BV89"/>
  <c r="BX89" s="1"/>
  <c r="AM139"/>
  <c r="BZ90" l="1"/>
  <c r="BW90" s="1"/>
  <c r="BY91"/>
  <c r="BV90"/>
  <c r="BX90" s="1"/>
  <c r="AW68" i="4"/>
  <c r="BD68" s="1"/>
  <c r="BE68" s="1"/>
  <c r="AU68"/>
  <c r="AZ68"/>
  <c r="BB68" s="1"/>
  <c r="AY68"/>
  <c r="BA68" s="1"/>
  <c r="AV69"/>
  <c r="BF68"/>
  <c r="BG68" s="1"/>
  <c r="DR47" i="2"/>
  <c r="DV47"/>
  <c r="DS47"/>
  <c r="DP48"/>
  <c r="DT46"/>
  <c r="DU46"/>
  <c r="AK55" i="12"/>
  <c r="AJ56"/>
  <c r="AL55"/>
  <c r="AO55"/>
  <c r="AN55"/>
  <c r="AN139" i="6"/>
  <c r="BB66" i="5"/>
  <c r="BE66"/>
  <c r="BG66" s="1"/>
  <c r="BK66"/>
  <c r="BL66" s="1"/>
  <c r="BD66"/>
  <c r="BF66" s="1"/>
  <c r="BI66"/>
  <c r="BJ66" s="1"/>
  <c r="AZ66"/>
  <c r="BA67"/>
  <c r="DU47" i="2" l="1"/>
  <c r="DT47"/>
  <c r="BF69" i="4"/>
  <c r="BG69" s="1"/>
  <c r="AV70"/>
  <c r="AW69"/>
  <c r="BD69" s="1"/>
  <c r="BE69" s="1"/>
  <c r="AY69"/>
  <c r="BA69" s="1"/>
  <c r="AU69"/>
  <c r="AZ69"/>
  <c r="BB69" s="1"/>
  <c r="BY92" i="6"/>
  <c r="BV91"/>
  <c r="BX91" s="1"/>
  <c r="BZ91"/>
  <c r="BW91"/>
  <c r="AZ67" i="5"/>
  <c r="BE67"/>
  <c r="BG67" s="1"/>
  <c r="BA68"/>
  <c r="BB67"/>
  <c r="BI67" s="1"/>
  <c r="BJ67" s="1"/>
  <c r="BD67"/>
  <c r="BF67" s="1"/>
  <c r="BK67"/>
  <c r="BL67" s="1"/>
  <c r="AM140" i="6"/>
  <c r="AL56" i="12"/>
  <c r="AK56"/>
  <c r="AJ57"/>
  <c r="AO56"/>
  <c r="AN56"/>
  <c r="DS48" i="2"/>
  <c r="DR48"/>
  <c r="DV48"/>
  <c r="DP49"/>
  <c r="AJ58" i="12" l="1"/>
  <c r="AL57"/>
  <c r="AK57"/>
  <c r="AO57"/>
  <c r="AN57"/>
  <c r="AN140" i="6"/>
  <c r="BD68" i="5"/>
  <c r="BF68" s="1"/>
  <c r="AZ68"/>
  <c r="BE68"/>
  <c r="BG68" s="1"/>
  <c r="BI68"/>
  <c r="BJ68" s="1"/>
  <c r="BB68"/>
  <c r="BK68"/>
  <c r="BL68" s="1"/>
  <c r="BA69"/>
  <c r="BY93" i="6"/>
  <c r="BV92"/>
  <c r="BX92" s="1"/>
  <c r="BZ92"/>
  <c r="BW92" s="1"/>
  <c r="DS49" i="2"/>
  <c r="DR49"/>
  <c r="DV49"/>
  <c r="DP50"/>
  <c r="DU48"/>
  <c r="DT48"/>
  <c r="AY70" i="4"/>
  <c r="BA70" s="1"/>
  <c r="BF70"/>
  <c r="BG70" s="1"/>
  <c r="AW70"/>
  <c r="BD70" s="1"/>
  <c r="BE70" s="1"/>
  <c r="AZ70"/>
  <c r="BB70" s="1"/>
  <c r="AU70"/>
  <c r="AV71"/>
  <c r="BF71" l="1"/>
  <c r="BG71" s="1"/>
  <c r="AW71"/>
  <c r="BD71" s="1"/>
  <c r="BE71" s="1"/>
  <c r="AU71"/>
  <c r="AY71"/>
  <c r="BA71" s="1"/>
  <c r="AV72"/>
  <c r="AZ71"/>
  <c r="BB71" s="1"/>
  <c r="DU49" i="2"/>
  <c r="DT49"/>
  <c r="BZ93" i="6"/>
  <c r="BW93"/>
  <c r="BY94"/>
  <c r="BV93"/>
  <c r="BX93" s="1"/>
  <c r="AJ59" i="12"/>
  <c r="AL58"/>
  <c r="AN58"/>
  <c r="AO58"/>
  <c r="AK58"/>
  <c r="DS50" i="2"/>
  <c r="DR50"/>
  <c r="DV50"/>
  <c r="DP51"/>
  <c r="BK69" i="5"/>
  <c r="BL69" s="1"/>
  <c r="BB69"/>
  <c r="AZ69"/>
  <c r="BE69"/>
  <c r="BG69" s="1"/>
  <c r="BD69"/>
  <c r="BF69" s="1"/>
  <c r="BI69"/>
  <c r="BJ69" s="1"/>
  <c r="BA70"/>
  <c r="AM141" i="6"/>
  <c r="AN141" l="1"/>
  <c r="BB70" i="5"/>
  <c r="BD70"/>
  <c r="BF70" s="1"/>
  <c r="BI70"/>
  <c r="BJ70" s="1"/>
  <c r="BA71"/>
  <c r="BK70"/>
  <c r="BL70" s="1"/>
  <c r="AZ70"/>
  <c r="BE70"/>
  <c r="BG70" s="1"/>
  <c r="DS51" i="2"/>
  <c r="DV51"/>
  <c r="DP52"/>
  <c r="DR51"/>
  <c r="AK59" i="12"/>
  <c r="AJ60"/>
  <c r="AL59"/>
  <c r="AO59"/>
  <c r="AN59"/>
  <c r="AW72" i="4"/>
  <c r="AU72"/>
  <c r="AZ72"/>
  <c r="BB72" s="1"/>
  <c r="BD72"/>
  <c r="BE72" s="1"/>
  <c r="AV73"/>
  <c r="BF72"/>
  <c r="BG72" s="1"/>
  <c r="AY72"/>
  <c r="BA72" s="1"/>
  <c r="DT50" i="2"/>
  <c r="DU50"/>
  <c r="BZ94" i="6"/>
  <c r="BW94" s="1"/>
  <c r="BY95"/>
  <c r="BV94"/>
  <c r="BX94" s="1"/>
  <c r="BY96" l="1"/>
  <c r="BV95"/>
  <c r="BX95" s="1"/>
  <c r="BZ95"/>
  <c r="BW95" s="1"/>
  <c r="DU51" i="2"/>
  <c r="DT51"/>
  <c r="AZ71" i="5"/>
  <c r="BE71"/>
  <c r="BG71" s="1"/>
  <c r="BI71"/>
  <c r="BJ71" s="1"/>
  <c r="BA72"/>
  <c r="BB71"/>
  <c r="BK71"/>
  <c r="BL71" s="1"/>
  <c r="BD71"/>
  <c r="BF71" s="1"/>
  <c r="AU73" i="4"/>
  <c r="AZ73"/>
  <c r="BB73" s="1"/>
  <c r="AV74"/>
  <c r="AY73"/>
  <c r="BA73" s="1"/>
  <c r="BF73"/>
  <c r="BG73" s="1"/>
  <c r="AW73"/>
  <c r="BD73" s="1"/>
  <c r="BE73" s="1"/>
  <c r="AL60" i="12"/>
  <c r="AK60"/>
  <c r="AN60"/>
  <c r="AO60"/>
  <c r="AJ61"/>
  <c r="AM142" i="6"/>
  <c r="DS52" i="2"/>
  <c r="DP53"/>
  <c r="DV52"/>
  <c r="DR52"/>
  <c r="DR53" l="1"/>
  <c r="DV53"/>
  <c r="DP54"/>
  <c r="DS53"/>
  <c r="AJ62" i="12"/>
  <c r="AL61"/>
  <c r="AK61"/>
  <c r="AO61"/>
  <c r="AN61"/>
  <c r="AY74" i="4"/>
  <c r="BA74" s="1"/>
  <c r="BF74"/>
  <c r="BG74" s="1"/>
  <c r="AZ74"/>
  <c r="BB74" s="1"/>
  <c r="AU74"/>
  <c r="AV75"/>
  <c r="AW74"/>
  <c r="BD74" s="1"/>
  <c r="BE74" s="1"/>
  <c r="BZ96" i="6"/>
  <c r="BY97"/>
  <c r="BV96"/>
  <c r="BX96" s="1"/>
  <c r="BW96"/>
  <c r="AN142"/>
  <c r="BD72" i="5"/>
  <c r="BF72" s="1"/>
  <c r="BE72"/>
  <c r="BG72" s="1"/>
  <c r="BI72"/>
  <c r="BJ72" s="1"/>
  <c r="BA73"/>
  <c r="BB72"/>
  <c r="BK72"/>
  <c r="BL72" s="1"/>
  <c r="AZ72"/>
  <c r="DU52" i="2"/>
  <c r="DT52"/>
  <c r="AM143" i="6" l="1"/>
  <c r="AJ63" i="12"/>
  <c r="AL62"/>
  <c r="AK62"/>
  <c r="AN62"/>
  <c r="AO62"/>
  <c r="BZ97" i="6"/>
  <c r="BY98"/>
  <c r="BV97"/>
  <c r="BX97" s="1"/>
  <c r="BW97"/>
  <c r="BF75" i="4"/>
  <c r="BG75" s="1"/>
  <c r="AW75"/>
  <c r="AY75"/>
  <c r="BA75" s="1"/>
  <c r="AZ75"/>
  <c r="BB75" s="1"/>
  <c r="AV76"/>
  <c r="BD75"/>
  <c r="BE75" s="1"/>
  <c r="AU75"/>
  <c r="BK73" i="5"/>
  <c r="BL73" s="1"/>
  <c r="AZ73"/>
  <c r="BE73"/>
  <c r="BG73" s="1"/>
  <c r="BD73"/>
  <c r="BF73" s="1"/>
  <c r="BA74"/>
  <c r="BB73"/>
  <c r="BI73" s="1"/>
  <c r="BJ73" s="1"/>
  <c r="DR54" i="2"/>
  <c r="DS54"/>
  <c r="DP55"/>
  <c r="DV54"/>
  <c r="DT53"/>
  <c r="DU53"/>
  <c r="BZ98" i="6" l="1"/>
  <c r="BW98" s="1"/>
  <c r="BY99"/>
  <c r="BV98"/>
  <c r="BX98" s="1"/>
  <c r="AN143"/>
  <c r="DU54" i="2"/>
  <c r="DT54"/>
  <c r="AK63" i="12"/>
  <c r="AJ64"/>
  <c r="AL63"/>
  <c r="AO63"/>
  <c r="AN63"/>
  <c r="DS55" i="2"/>
  <c r="DP56"/>
  <c r="DR55"/>
  <c r="DV55"/>
  <c r="BB74" i="5"/>
  <c r="BA75"/>
  <c r="AZ74"/>
  <c r="BI74"/>
  <c r="BJ74" s="1"/>
  <c r="BK74"/>
  <c r="BL74" s="1"/>
  <c r="BD74"/>
  <c r="BF74" s="1"/>
  <c r="BE74"/>
  <c r="BG74" s="1"/>
  <c r="AW76" i="4"/>
  <c r="AU76"/>
  <c r="AZ76"/>
  <c r="BB76" s="1"/>
  <c r="BD76"/>
  <c r="BE76" s="1"/>
  <c r="AV77"/>
  <c r="BF76"/>
  <c r="BG76" s="1"/>
  <c r="AY76"/>
  <c r="BA76" s="1"/>
  <c r="AU77" l="1"/>
  <c r="AZ77"/>
  <c r="BB77" s="1"/>
  <c r="AV78"/>
  <c r="AY77"/>
  <c r="BA77" s="1"/>
  <c r="AW77"/>
  <c r="BD77" s="1"/>
  <c r="BE77" s="1"/>
  <c r="BF77"/>
  <c r="BG77" s="1"/>
  <c r="AM144" i="6"/>
  <c r="BY100"/>
  <c r="BZ99"/>
  <c r="BV99"/>
  <c r="BX99" s="1"/>
  <c r="BW99"/>
  <c r="DT55" i="2"/>
  <c r="DU55"/>
  <c r="AL64" i="12"/>
  <c r="AK64"/>
  <c r="AJ65"/>
  <c r="AN64"/>
  <c r="AO64"/>
  <c r="AZ75" i="5"/>
  <c r="BE75"/>
  <c r="BG75" s="1"/>
  <c r="BA76"/>
  <c r="BK75"/>
  <c r="BL75" s="1"/>
  <c r="BD75"/>
  <c r="BF75" s="1"/>
  <c r="BB75"/>
  <c r="BI75" s="1"/>
  <c r="BJ75" s="1"/>
  <c r="DP57" i="2"/>
  <c r="DS56"/>
  <c r="DV56"/>
  <c r="DR56"/>
  <c r="DT56" l="1"/>
  <c r="DU56"/>
  <c r="AJ66" i="12"/>
  <c r="AL65"/>
  <c r="AK65"/>
  <c r="AO65"/>
  <c r="AN65"/>
  <c r="BV100" i="6"/>
  <c r="BX100" s="1"/>
  <c r="BY101"/>
  <c r="BZ100"/>
  <c r="BW100" s="1"/>
  <c r="DR57" i="2"/>
  <c r="DV57"/>
  <c r="DS57"/>
  <c r="DP58"/>
  <c r="BD76" i="5"/>
  <c r="BF76" s="1"/>
  <c r="BA77"/>
  <c r="BB76"/>
  <c r="BK76"/>
  <c r="BL76" s="1"/>
  <c r="BI76"/>
  <c r="BJ76" s="1"/>
  <c r="AZ76"/>
  <c r="BE76"/>
  <c r="BG76" s="1"/>
  <c r="AN144" i="6"/>
  <c r="AY78" i="4"/>
  <c r="BA78" s="1"/>
  <c r="BF78"/>
  <c r="BG78" s="1"/>
  <c r="AW78"/>
  <c r="BD78"/>
  <c r="BE78" s="1"/>
  <c r="AU78"/>
  <c r="AZ78"/>
  <c r="BB78" s="1"/>
  <c r="AV79"/>
  <c r="DU57" i="2" l="1"/>
  <c r="DT57"/>
  <c r="BK77" i="5"/>
  <c r="BL77" s="1"/>
  <c r="BD77"/>
  <c r="BF77" s="1"/>
  <c r="BI77"/>
  <c r="BJ77" s="1"/>
  <c r="BA78"/>
  <c r="BB77"/>
  <c r="BE77"/>
  <c r="BG77" s="1"/>
  <c r="AZ77"/>
  <c r="BZ101" i="6"/>
  <c r="BV101"/>
  <c r="BX101" s="1"/>
  <c r="BY102"/>
  <c r="BW101"/>
  <c r="BF79" i="4"/>
  <c r="BG79" s="1"/>
  <c r="AW79"/>
  <c r="AU79"/>
  <c r="BD79"/>
  <c r="BE79" s="1"/>
  <c r="AZ79"/>
  <c r="BB79" s="1"/>
  <c r="AY79"/>
  <c r="BA79" s="1"/>
  <c r="AV80"/>
  <c r="AM145" i="6"/>
  <c r="DS58" i="2"/>
  <c r="DP59"/>
  <c r="DR58"/>
  <c r="DV58"/>
  <c r="AJ67" i="12"/>
  <c r="AL66"/>
  <c r="AK66"/>
  <c r="AN66"/>
  <c r="AO66"/>
  <c r="BB78" i="5" l="1"/>
  <c r="BI78" s="1"/>
  <c r="BJ78" s="1"/>
  <c r="AZ78"/>
  <c r="BE78"/>
  <c r="BG78" s="1"/>
  <c r="BK78"/>
  <c r="BL78" s="1"/>
  <c r="BD78"/>
  <c r="BF78" s="1"/>
  <c r="BA79"/>
  <c r="DU58" i="2"/>
  <c r="DT58"/>
  <c r="AN145" i="6"/>
  <c r="AK67" i="12"/>
  <c r="AJ68"/>
  <c r="AL67"/>
  <c r="AO67"/>
  <c r="AN67"/>
  <c r="DR59" i="2"/>
  <c r="DV59"/>
  <c r="DP60"/>
  <c r="DS59"/>
  <c r="AW80" i="4"/>
  <c r="AU80"/>
  <c r="AZ80"/>
  <c r="BB80" s="1"/>
  <c r="BD80"/>
  <c r="BE80" s="1"/>
  <c r="AV81"/>
  <c r="BF80"/>
  <c r="BG80" s="1"/>
  <c r="AY80"/>
  <c r="BA80" s="1"/>
  <c r="BZ102" i="6"/>
  <c r="BY103"/>
  <c r="BV102"/>
  <c r="BX102" s="1"/>
  <c r="BW102"/>
  <c r="BY104" l="1"/>
  <c r="BZ103"/>
  <c r="BW103" s="1"/>
  <c r="BV103"/>
  <c r="BX103" s="1"/>
  <c r="AU81" i="4"/>
  <c r="AZ81"/>
  <c r="BB81" s="1"/>
  <c r="AV82"/>
  <c r="AY81"/>
  <c r="BA81" s="1"/>
  <c r="BF81"/>
  <c r="BG81" s="1"/>
  <c r="AW81"/>
  <c r="BD81" s="1"/>
  <c r="BE81" s="1"/>
  <c r="AL68" i="12"/>
  <c r="AK68"/>
  <c r="AJ69"/>
  <c r="AN68"/>
  <c r="AO68"/>
  <c r="AM146" i="6"/>
  <c r="AZ79" i="5"/>
  <c r="BE79"/>
  <c r="BG79" s="1"/>
  <c r="BA80"/>
  <c r="BD79"/>
  <c r="BF79" s="1"/>
  <c r="BK79"/>
  <c r="BL79" s="1"/>
  <c r="BB79"/>
  <c r="BI79" s="1"/>
  <c r="BJ79" s="1"/>
  <c r="DR60" i="2"/>
  <c r="DV60"/>
  <c r="DS60"/>
  <c r="DP61"/>
  <c r="DT59"/>
  <c r="DU59"/>
  <c r="BD80" i="5" l="1"/>
  <c r="BF80" s="1"/>
  <c r="BB80"/>
  <c r="BK80"/>
  <c r="BL80" s="1"/>
  <c r="AZ80"/>
  <c r="BE80"/>
  <c r="BG80" s="1"/>
  <c r="BA81"/>
  <c r="BI80"/>
  <c r="BJ80" s="1"/>
  <c r="AJ70" i="12"/>
  <c r="AL69"/>
  <c r="AK69"/>
  <c r="AO69"/>
  <c r="AN69"/>
  <c r="DS61" i="2"/>
  <c r="DP62"/>
  <c r="DR61"/>
  <c r="DV61"/>
  <c r="AN146" i="6"/>
  <c r="BZ104"/>
  <c r="BV104"/>
  <c r="BX104" s="1"/>
  <c r="BY105"/>
  <c r="BW104"/>
  <c r="DU60" i="2"/>
  <c r="DT60"/>
  <c r="AY82" i="4"/>
  <c r="BA82" s="1"/>
  <c r="BF82"/>
  <c r="BG82" s="1"/>
  <c r="AZ82"/>
  <c r="BB82" s="1"/>
  <c r="AU82"/>
  <c r="AV83"/>
  <c r="AW82"/>
  <c r="BD82" s="1"/>
  <c r="BE82" s="1"/>
  <c r="BF83" l="1"/>
  <c r="BG83" s="1"/>
  <c r="AW83"/>
  <c r="AY83"/>
  <c r="BA83" s="1"/>
  <c r="AZ83"/>
  <c r="BB83" s="1"/>
  <c r="AV84"/>
  <c r="AU83"/>
  <c r="BD83"/>
  <c r="BE83" s="1"/>
  <c r="BZ105" i="6"/>
  <c r="BW105" s="1"/>
  <c r="BY106"/>
  <c r="BV105"/>
  <c r="BX105" s="1"/>
  <c r="AM147"/>
  <c r="DS62" i="2"/>
  <c r="DV62"/>
  <c r="DP63"/>
  <c r="DR62"/>
  <c r="BK81" i="5"/>
  <c r="BL81" s="1"/>
  <c r="BA82"/>
  <c r="BB81"/>
  <c r="BI81"/>
  <c r="BJ81" s="1"/>
  <c r="AZ81"/>
  <c r="BD81"/>
  <c r="BF81" s="1"/>
  <c r="BE81"/>
  <c r="BG81" s="1"/>
  <c r="DT61" i="2"/>
  <c r="DU61"/>
  <c r="AJ71" i="12"/>
  <c r="AL70"/>
  <c r="AK70"/>
  <c r="AN70"/>
  <c r="AO70"/>
  <c r="DU62" i="2" l="1"/>
  <c r="DT62"/>
  <c r="BB82" i="5"/>
  <c r="BE82"/>
  <c r="BG82" s="1"/>
  <c r="BK82"/>
  <c r="BL82" s="1"/>
  <c r="BD82"/>
  <c r="BF82" s="1"/>
  <c r="BI82"/>
  <c r="BJ82" s="1"/>
  <c r="BA83"/>
  <c r="AZ82"/>
  <c r="BZ106" i="6"/>
  <c r="BW106" s="1"/>
  <c r="BY107"/>
  <c r="BV106"/>
  <c r="BX106" s="1"/>
  <c r="AW84" i="4"/>
  <c r="AU84"/>
  <c r="AZ84"/>
  <c r="BB84" s="1"/>
  <c r="BD84"/>
  <c r="BE84" s="1"/>
  <c r="AV85"/>
  <c r="AY84"/>
  <c r="BA84" s="1"/>
  <c r="BF84"/>
  <c r="BG84" s="1"/>
  <c r="AK71" i="12"/>
  <c r="AJ72"/>
  <c r="AL71"/>
  <c r="AO71"/>
  <c r="AN71"/>
  <c r="DS63" i="2"/>
  <c r="DP64"/>
  <c r="DV63"/>
  <c r="DR63"/>
  <c r="AN147" i="6"/>
  <c r="DT63" i="2" l="1"/>
  <c r="DU63"/>
  <c r="AL72" i="12"/>
  <c r="AK72"/>
  <c r="AJ73"/>
  <c r="AN72"/>
  <c r="AO72"/>
  <c r="AU85" i="4"/>
  <c r="AZ85"/>
  <c r="BB85" s="1"/>
  <c r="AV86"/>
  <c r="AY85"/>
  <c r="BA85" s="1"/>
  <c r="AW85"/>
  <c r="BD85" s="1"/>
  <c r="BE85" s="1"/>
  <c r="BF85"/>
  <c r="BG85" s="1"/>
  <c r="DR64" i="2"/>
  <c r="DV64"/>
  <c r="DP65"/>
  <c r="DS64"/>
  <c r="BY108" i="6"/>
  <c r="BV107"/>
  <c r="BX107" s="1"/>
  <c r="BZ107"/>
  <c r="BW107" s="1"/>
  <c r="AM148"/>
  <c r="AZ83" i="5"/>
  <c r="BE83"/>
  <c r="BG83" s="1"/>
  <c r="BA84"/>
  <c r="BB83"/>
  <c r="BI83" s="1"/>
  <c r="BJ83" s="1"/>
  <c r="BK83"/>
  <c r="BL83" s="1"/>
  <c r="BD83"/>
  <c r="BF83" s="1"/>
  <c r="DS65" i="2" l="1"/>
  <c r="DR65"/>
  <c r="DP66"/>
  <c r="DV65"/>
  <c r="DU64"/>
  <c r="DT64"/>
  <c r="AY86" i="4"/>
  <c r="BA86" s="1"/>
  <c r="BF86"/>
  <c r="BG86" s="1"/>
  <c r="AW86"/>
  <c r="BD86" s="1"/>
  <c r="BE86" s="1"/>
  <c r="AZ86"/>
  <c r="BB86" s="1"/>
  <c r="AU86"/>
  <c r="AV87"/>
  <c r="AJ74" i="12"/>
  <c r="AL73"/>
  <c r="AK73"/>
  <c r="AO73"/>
  <c r="AN73"/>
  <c r="AN148" i="6"/>
  <c r="BY109"/>
  <c r="BV108"/>
  <c r="BX108" s="1"/>
  <c r="BZ108"/>
  <c r="BW108" s="1"/>
  <c r="BD84" i="5"/>
  <c r="BF84" s="1"/>
  <c r="AZ84"/>
  <c r="BE84"/>
  <c r="BG84" s="1"/>
  <c r="BI84"/>
  <c r="BJ84" s="1"/>
  <c r="BA85"/>
  <c r="BB84"/>
  <c r="BK84"/>
  <c r="BL84" s="1"/>
  <c r="BK85" l="1"/>
  <c r="BL85" s="1"/>
  <c r="BB85"/>
  <c r="AZ85"/>
  <c r="BE85"/>
  <c r="BG85" s="1"/>
  <c r="BA86"/>
  <c r="BI85"/>
  <c r="BJ85" s="1"/>
  <c r="BD85"/>
  <c r="BF85" s="1"/>
  <c r="BZ109" i="6"/>
  <c r="BW109"/>
  <c r="BV109"/>
  <c r="BX109" s="1"/>
  <c r="BY110"/>
  <c r="BF87" i="4"/>
  <c r="BG87" s="1"/>
  <c r="AW87"/>
  <c r="BD87" s="1"/>
  <c r="BE87" s="1"/>
  <c r="AU87"/>
  <c r="AZ87"/>
  <c r="BB87" s="1"/>
  <c r="AY87"/>
  <c r="BA87" s="1"/>
  <c r="AV88"/>
  <c r="DU65" i="2"/>
  <c r="DT65"/>
  <c r="AJ75" i="12"/>
  <c r="AL74"/>
  <c r="AN74"/>
  <c r="AK74"/>
  <c r="AO74"/>
  <c r="AM149" i="6"/>
  <c r="DS66" i="2"/>
  <c r="DP67"/>
  <c r="DR66"/>
  <c r="DV66"/>
  <c r="AN149" i="6" l="1"/>
  <c r="AW88" i="4"/>
  <c r="AU88"/>
  <c r="AZ88"/>
  <c r="BB88" s="1"/>
  <c r="BD88"/>
  <c r="BE88" s="1"/>
  <c r="AV89"/>
  <c r="BF88"/>
  <c r="BG88" s="1"/>
  <c r="AY88"/>
  <c r="BA88" s="1"/>
  <c r="DV67" i="2"/>
  <c r="DP68"/>
  <c r="DR67"/>
  <c r="DS67"/>
  <c r="AK75" i="12"/>
  <c r="AJ76"/>
  <c r="AL75"/>
  <c r="AO75"/>
  <c r="AN75"/>
  <c r="BB86" i="5"/>
  <c r="BD86"/>
  <c r="BF86" s="1"/>
  <c r="BI86"/>
  <c r="BJ86" s="1"/>
  <c r="BA87"/>
  <c r="BE86"/>
  <c r="BG86" s="1"/>
  <c r="BK86"/>
  <c r="BL86" s="1"/>
  <c r="AZ86"/>
  <c r="BZ110" i="6"/>
  <c r="BY111"/>
  <c r="BV110"/>
  <c r="BX110" s="1"/>
  <c r="BW110"/>
  <c r="DT66" i="2"/>
  <c r="DU66"/>
  <c r="DU67" l="1"/>
  <c r="DT67"/>
  <c r="AM150" i="6"/>
  <c r="AZ87" i="5"/>
  <c r="BE87"/>
  <c r="BG87" s="1"/>
  <c r="BA88"/>
  <c r="BB87"/>
  <c r="BI87" s="1"/>
  <c r="BJ87" s="1"/>
  <c r="BK87"/>
  <c r="BL87" s="1"/>
  <c r="BD87"/>
  <c r="BF87" s="1"/>
  <c r="BY112" i="6"/>
  <c r="BZ111"/>
  <c r="BW111" s="1"/>
  <c r="BV111"/>
  <c r="BX111" s="1"/>
  <c r="AL76" i="12"/>
  <c r="AK76"/>
  <c r="AJ77"/>
  <c r="AN76"/>
  <c r="AO76"/>
  <c r="DS68" i="2"/>
  <c r="DR68"/>
  <c r="DV68"/>
  <c r="DP69"/>
  <c r="AU89" i="4"/>
  <c r="AZ89"/>
  <c r="BB89" s="1"/>
  <c r="AV90"/>
  <c r="AY89"/>
  <c r="BA89" s="1"/>
  <c r="BF89"/>
  <c r="BG89" s="1"/>
  <c r="AW89"/>
  <c r="BD89" s="1"/>
  <c r="BE89" s="1"/>
  <c r="DT68" i="2" l="1"/>
  <c r="DU68"/>
  <c r="AN150" i="6"/>
  <c r="AJ78" i="12"/>
  <c r="AL77"/>
  <c r="AK77"/>
  <c r="AO77"/>
  <c r="AN77"/>
  <c r="AY90" i="4"/>
  <c r="BA90" s="1"/>
  <c r="BF90"/>
  <c r="BG90" s="1"/>
  <c r="AZ90"/>
  <c r="BB90" s="1"/>
  <c r="AU90"/>
  <c r="AV91"/>
  <c r="AW90"/>
  <c r="BD90" s="1"/>
  <c r="BE90" s="1"/>
  <c r="DR69" i="2"/>
  <c r="DV69"/>
  <c r="DS69"/>
  <c r="DP70"/>
  <c r="BZ112" i="6"/>
  <c r="BW112" s="1"/>
  <c r="BV112"/>
  <c r="BX112" s="1"/>
  <c r="BY113"/>
  <c r="BD88" i="5"/>
  <c r="BF88" s="1"/>
  <c r="BE88"/>
  <c r="BG88" s="1"/>
  <c r="BA89"/>
  <c r="AZ88"/>
  <c r="BK88"/>
  <c r="BL88" s="1"/>
  <c r="BB88"/>
  <c r="BI88" s="1"/>
  <c r="BJ88" s="1"/>
  <c r="AJ79" i="12" l="1"/>
  <c r="AL78"/>
  <c r="AK78"/>
  <c r="AN78"/>
  <c r="AO78"/>
  <c r="BF91" i="4"/>
  <c r="BG91" s="1"/>
  <c r="AW91"/>
  <c r="AY91"/>
  <c r="BA91" s="1"/>
  <c r="AZ91"/>
  <c r="BB91" s="1"/>
  <c r="AV92"/>
  <c r="BD91"/>
  <c r="BE91" s="1"/>
  <c r="AU91"/>
  <c r="BZ113" i="6"/>
  <c r="BW113" s="1"/>
  <c r="BY114"/>
  <c r="BV113"/>
  <c r="BX113" s="1"/>
  <c r="DU69" i="2"/>
  <c r="DT69"/>
  <c r="AM151" i="6"/>
  <c r="BK89" i="5"/>
  <c r="BL89" s="1"/>
  <c r="AZ89"/>
  <c r="BE89"/>
  <c r="BG89" s="1"/>
  <c r="BD89"/>
  <c r="BF89" s="1"/>
  <c r="BI89"/>
  <c r="BJ89" s="1"/>
  <c r="BB89"/>
  <c r="BA90"/>
  <c r="DS70" i="2"/>
  <c r="DP71"/>
  <c r="DR70"/>
  <c r="DV70"/>
  <c r="BZ114" i="6" l="1"/>
  <c r="BW114" s="1"/>
  <c r="BY115"/>
  <c r="BV114"/>
  <c r="BX114" s="1"/>
  <c r="AW92" i="4"/>
  <c r="BD92" s="1"/>
  <c r="BE92" s="1"/>
  <c r="AU92"/>
  <c r="AZ92"/>
  <c r="BB92" s="1"/>
  <c r="AV93"/>
  <c r="BF92"/>
  <c r="BG92" s="1"/>
  <c r="AY92"/>
  <c r="BA92" s="1"/>
  <c r="DR71" i="2"/>
  <c r="DV71"/>
  <c r="DP72"/>
  <c r="DS71"/>
  <c r="AK79" i="12"/>
  <c r="AJ80"/>
  <c r="AO79"/>
  <c r="AL79"/>
  <c r="AN79"/>
  <c r="BB90" i="5"/>
  <c r="BA91"/>
  <c r="AZ90"/>
  <c r="BE90"/>
  <c r="BG90" s="1"/>
  <c r="BD90"/>
  <c r="BF90" s="1"/>
  <c r="BK90"/>
  <c r="BL90" s="1"/>
  <c r="BI90"/>
  <c r="BJ90" s="1"/>
  <c r="AN151" i="6"/>
  <c r="DT70" i="2"/>
  <c r="DU70"/>
  <c r="AL80" i="12" l="1"/>
  <c r="AK80"/>
  <c r="AJ81"/>
  <c r="AN80"/>
  <c r="AO80"/>
  <c r="AU93" i="4"/>
  <c r="AZ93"/>
  <c r="BB93" s="1"/>
  <c r="AV94"/>
  <c r="AY93"/>
  <c r="BA93" s="1"/>
  <c r="AW93"/>
  <c r="BD93" s="1"/>
  <c r="BE93" s="1"/>
  <c r="BF93"/>
  <c r="BG93" s="1"/>
  <c r="AZ91" i="5"/>
  <c r="BE91"/>
  <c r="BG91" s="1"/>
  <c r="BA92"/>
  <c r="BK91"/>
  <c r="BL91" s="1"/>
  <c r="BD91"/>
  <c r="BF91" s="1"/>
  <c r="BB91"/>
  <c r="BI91" s="1"/>
  <c r="BJ91" s="1"/>
  <c r="DS72" i="2"/>
  <c r="DR72"/>
  <c r="DV72"/>
  <c r="DP73"/>
  <c r="BY116" i="6"/>
  <c r="BV115"/>
  <c r="BX115" s="1"/>
  <c r="BZ115"/>
  <c r="BW115" s="1"/>
  <c r="DU71" i="2"/>
  <c r="DT71"/>
  <c r="AM152" i="6"/>
  <c r="BY117" l="1"/>
  <c r="BZ116"/>
  <c r="BW116" s="1"/>
  <c r="BV116"/>
  <c r="BX116" s="1"/>
  <c r="AY94" i="4"/>
  <c r="BA94" s="1"/>
  <c r="BF94"/>
  <c r="BG94" s="1"/>
  <c r="AW94"/>
  <c r="BD94" s="1"/>
  <c r="BE94" s="1"/>
  <c r="AZ94"/>
  <c r="BB94" s="1"/>
  <c r="AV95"/>
  <c r="AU94"/>
  <c r="AN152" i="6"/>
  <c r="DS73" i="2"/>
  <c r="DR73"/>
  <c r="DV73"/>
  <c r="DP74"/>
  <c r="AJ82" i="12"/>
  <c r="AL81"/>
  <c r="AK81"/>
  <c r="AO81"/>
  <c r="AN81"/>
  <c r="DU72" i="2"/>
  <c r="DT72"/>
  <c r="BD92" i="5"/>
  <c r="BF92" s="1"/>
  <c r="BA93"/>
  <c r="BB92"/>
  <c r="BK92"/>
  <c r="BL92" s="1"/>
  <c r="BE92"/>
  <c r="BG92" s="1"/>
  <c r="AZ92"/>
  <c r="BI92"/>
  <c r="BJ92" s="1"/>
  <c r="DS74" i="2" l="1"/>
  <c r="DR74"/>
  <c r="DV74"/>
  <c r="DP75"/>
  <c r="DU73"/>
  <c r="DT73"/>
  <c r="BF95" i="4"/>
  <c r="BG95" s="1"/>
  <c r="AW95"/>
  <c r="AU95"/>
  <c r="BD95"/>
  <c r="BE95" s="1"/>
  <c r="AZ95"/>
  <c r="BB95" s="1"/>
  <c r="AV96"/>
  <c r="AY95"/>
  <c r="BA95" s="1"/>
  <c r="BZ117" i="6"/>
  <c r="BV117"/>
  <c r="BX117" s="1"/>
  <c r="BY118"/>
  <c r="BW117"/>
  <c r="BK93" i="5"/>
  <c r="BL93" s="1"/>
  <c r="BD93"/>
  <c r="BF93" s="1"/>
  <c r="BA94"/>
  <c r="AZ93"/>
  <c r="BE93"/>
  <c r="BG93" s="1"/>
  <c r="BB93"/>
  <c r="BI93" s="1"/>
  <c r="BJ93" s="1"/>
  <c r="AJ83" i="12"/>
  <c r="AL82"/>
  <c r="AK82"/>
  <c r="AN82"/>
  <c r="AO82"/>
  <c r="AM153" i="6"/>
  <c r="DT74" i="2" l="1"/>
  <c r="DU74"/>
  <c r="AK83" i="12"/>
  <c r="AJ84"/>
  <c r="AL83"/>
  <c r="AO83"/>
  <c r="AN83"/>
  <c r="BB94" i="5"/>
  <c r="AZ94"/>
  <c r="BE94"/>
  <c r="BG94" s="1"/>
  <c r="BK94"/>
  <c r="BL94" s="1"/>
  <c r="BA95"/>
  <c r="BI94"/>
  <c r="BJ94" s="1"/>
  <c r="BD94"/>
  <c r="BF94" s="1"/>
  <c r="AN153" i="6"/>
  <c r="BZ118"/>
  <c r="BW118" s="1"/>
  <c r="BY119"/>
  <c r="BV118"/>
  <c r="BX118" s="1"/>
  <c r="AW96" i="4"/>
  <c r="BD96" s="1"/>
  <c r="BE96" s="1"/>
  <c r="AU96"/>
  <c r="AZ96"/>
  <c r="BB96" s="1"/>
  <c r="AV97"/>
  <c r="BF96"/>
  <c r="BG96" s="1"/>
  <c r="AY96"/>
  <c r="BA96" s="1"/>
  <c r="DS75" i="2"/>
  <c r="DP76"/>
  <c r="DV75"/>
  <c r="DR75"/>
  <c r="DS76" l="1"/>
  <c r="DR76"/>
  <c r="DV76"/>
  <c r="DP77"/>
  <c r="AU97" i="4"/>
  <c r="AZ97"/>
  <c r="BB97" s="1"/>
  <c r="AV98"/>
  <c r="AY97"/>
  <c r="BA97" s="1"/>
  <c r="BF97"/>
  <c r="BG97" s="1"/>
  <c r="AW97"/>
  <c r="BD97" s="1"/>
  <c r="BE97" s="1"/>
  <c r="BY120" i="6"/>
  <c r="BV119"/>
  <c r="BX119" s="1"/>
  <c r="BZ119"/>
  <c r="BW119" s="1"/>
  <c r="DU75" i="2"/>
  <c r="DT75"/>
  <c r="AM154" i="6"/>
  <c r="AZ95" i="5"/>
  <c r="BE95"/>
  <c r="BG95" s="1"/>
  <c r="BI95"/>
  <c r="BJ95" s="1"/>
  <c r="BA96"/>
  <c r="BD95"/>
  <c r="BF95" s="1"/>
  <c r="BK95"/>
  <c r="BL95" s="1"/>
  <c r="BB95"/>
  <c r="AL84" i="12"/>
  <c r="AK84"/>
  <c r="AJ85"/>
  <c r="AN84"/>
  <c r="AO84"/>
  <c r="DU76" i="2" l="1"/>
  <c r="DT76"/>
  <c r="BD96" i="5"/>
  <c r="BF96" s="1"/>
  <c r="BB96"/>
  <c r="BK96"/>
  <c r="BL96" s="1"/>
  <c r="AZ96"/>
  <c r="BA97"/>
  <c r="BI96"/>
  <c r="BJ96" s="1"/>
  <c r="BE96"/>
  <c r="BG96" s="1"/>
  <c r="AJ86" i="12"/>
  <c r="AL85"/>
  <c r="AK85"/>
  <c r="AO85"/>
  <c r="AN85"/>
  <c r="AN154" i="6"/>
  <c r="BZ120"/>
  <c r="BV120"/>
  <c r="BX120" s="1"/>
  <c r="BY121"/>
  <c r="BW120"/>
  <c r="AY98" i="4"/>
  <c r="BA98" s="1"/>
  <c r="BF98"/>
  <c r="BG98" s="1"/>
  <c r="AZ98"/>
  <c r="BB98" s="1"/>
  <c r="AU98"/>
  <c r="AV99"/>
  <c r="AW98"/>
  <c r="BD98" s="1"/>
  <c r="BE98" s="1"/>
  <c r="DP78" i="2"/>
  <c r="DS77"/>
  <c r="DV77"/>
  <c r="DR77"/>
  <c r="DU77" l="1"/>
  <c r="DT77"/>
  <c r="BF99" i="4"/>
  <c r="BG99" s="1"/>
  <c r="AW99"/>
  <c r="AY99"/>
  <c r="BA99" s="1"/>
  <c r="AZ99"/>
  <c r="BB99" s="1"/>
  <c r="AV100"/>
  <c r="AU99"/>
  <c r="BD99"/>
  <c r="BE99" s="1"/>
  <c r="AJ87" i="12"/>
  <c r="AL86"/>
  <c r="AK86"/>
  <c r="AN86"/>
  <c r="AO86"/>
  <c r="BZ121" i="6"/>
  <c r="BY122"/>
  <c r="BV121"/>
  <c r="BX121" s="1"/>
  <c r="BW121"/>
  <c r="AM155"/>
  <c r="BK97" i="5"/>
  <c r="BL97" s="1"/>
  <c r="BA98"/>
  <c r="BB97"/>
  <c r="BE97"/>
  <c r="BG97" s="1"/>
  <c r="BD97"/>
  <c r="BF97" s="1"/>
  <c r="BI97"/>
  <c r="BJ97" s="1"/>
  <c r="AZ97"/>
  <c r="DP79" i="2"/>
  <c r="DR78"/>
  <c r="DS78"/>
  <c r="DV78"/>
  <c r="DU78" l="1"/>
  <c r="DT78"/>
  <c r="BB98" i="5"/>
  <c r="BE98"/>
  <c r="BG98" s="1"/>
  <c r="BK98"/>
  <c r="BL98" s="1"/>
  <c r="BD98"/>
  <c r="BF98" s="1"/>
  <c r="BI98"/>
  <c r="BJ98" s="1"/>
  <c r="AZ98"/>
  <c r="BA99"/>
  <c r="AK87" i="12"/>
  <c r="AJ88"/>
  <c r="AO87"/>
  <c r="AN87"/>
  <c r="AL87"/>
  <c r="AN155" i="6"/>
  <c r="AW100" i="4"/>
  <c r="BD100" s="1"/>
  <c r="BE100" s="1"/>
  <c r="AU100"/>
  <c r="AZ100"/>
  <c r="BB100" s="1"/>
  <c r="AV101"/>
  <c r="AY100"/>
  <c r="BA100" s="1"/>
  <c r="BF100"/>
  <c r="BG100" s="1"/>
  <c r="DP80" i="2"/>
  <c r="DV79"/>
  <c r="DS79"/>
  <c r="DR79"/>
  <c r="BZ122" i="6"/>
  <c r="BY123"/>
  <c r="BW122"/>
  <c r="BV122"/>
  <c r="BX122" s="1"/>
  <c r="DU79" i="2" l="1"/>
  <c r="DT79"/>
  <c r="AM156" i="6"/>
  <c r="AL88" i="12"/>
  <c r="AK88"/>
  <c r="AJ89"/>
  <c r="AO88"/>
  <c r="AN88"/>
  <c r="BY124" i="6"/>
  <c r="BZ123"/>
  <c r="BW123" s="1"/>
  <c r="BV123"/>
  <c r="BX123" s="1"/>
  <c r="AU101" i="4"/>
  <c r="AZ101"/>
  <c r="BB101" s="1"/>
  <c r="AV102"/>
  <c r="AY101"/>
  <c r="BA101" s="1"/>
  <c r="AW101"/>
  <c r="BD101" s="1"/>
  <c r="BE101" s="1"/>
  <c r="BF101"/>
  <c r="BG101" s="1"/>
  <c r="AZ99" i="5"/>
  <c r="BE99"/>
  <c r="BG99" s="1"/>
  <c r="BA100"/>
  <c r="BB99"/>
  <c r="BI99" s="1"/>
  <c r="BJ99" s="1"/>
  <c r="BD99"/>
  <c r="BF99" s="1"/>
  <c r="BK99"/>
  <c r="BL99" s="1"/>
  <c r="DP81" i="2"/>
  <c r="DR80"/>
  <c r="DV80"/>
  <c r="DS80"/>
  <c r="AY102" i="4" l="1"/>
  <c r="BA102" s="1"/>
  <c r="BF102"/>
  <c r="BG102" s="1"/>
  <c r="AW102"/>
  <c r="BD102" s="1"/>
  <c r="BE102" s="1"/>
  <c r="AV103"/>
  <c r="AU102"/>
  <c r="AZ102"/>
  <c r="BB102" s="1"/>
  <c r="BV124" i="6"/>
  <c r="BX124" s="1"/>
  <c r="BY125"/>
  <c r="BZ124"/>
  <c r="BW124"/>
  <c r="AJ90" i="12"/>
  <c r="AL89"/>
  <c r="AK89"/>
  <c r="AO89"/>
  <c r="AN89"/>
  <c r="AN156" i="6"/>
  <c r="DU80" i="2"/>
  <c r="DT80"/>
  <c r="DR81"/>
  <c r="DV81"/>
  <c r="DP82"/>
  <c r="DS81"/>
  <c r="BD100" i="5"/>
  <c r="BF100" s="1"/>
  <c r="AZ100"/>
  <c r="BE100"/>
  <c r="BG100" s="1"/>
  <c r="BI100"/>
  <c r="BJ100" s="1"/>
  <c r="BB100"/>
  <c r="BK100"/>
  <c r="BL100" s="1"/>
  <c r="BA101"/>
  <c r="AM157" i="6" l="1"/>
  <c r="BZ125"/>
  <c r="BW125" s="1"/>
  <c r="BY126"/>
  <c r="BV125"/>
  <c r="BX125" s="1"/>
  <c r="BF103" i="4"/>
  <c r="BG103" s="1"/>
  <c r="AW103"/>
  <c r="AU103"/>
  <c r="BD103"/>
  <c r="BE103" s="1"/>
  <c r="AZ103"/>
  <c r="BB103" s="1"/>
  <c r="AY103"/>
  <c r="BA103" s="1"/>
  <c r="AV104"/>
  <c r="BK101" i="5"/>
  <c r="BL101" s="1"/>
  <c r="BB101"/>
  <c r="BI101" s="1"/>
  <c r="BJ101" s="1"/>
  <c r="AZ101"/>
  <c r="BE101"/>
  <c r="BG101" s="1"/>
  <c r="BD101"/>
  <c r="BF101" s="1"/>
  <c r="BA102"/>
  <c r="DR82" i="2"/>
  <c r="DV82"/>
  <c r="DS82"/>
  <c r="DP83"/>
  <c r="DU81"/>
  <c r="DT81"/>
  <c r="AJ91" i="12"/>
  <c r="AL90"/>
  <c r="AK90"/>
  <c r="AN90"/>
  <c r="AO90"/>
  <c r="AN157" i="6" l="1"/>
  <c r="DU82" i="2"/>
  <c r="DT82"/>
  <c r="BB102" i="5"/>
  <c r="BI102" s="1"/>
  <c r="BJ102" s="1"/>
  <c r="BD102"/>
  <c r="BF102" s="1"/>
  <c r="BA103"/>
  <c r="BK102"/>
  <c r="BL102" s="1"/>
  <c r="AZ102"/>
  <c r="BE102"/>
  <c r="BG102" s="1"/>
  <c r="AW104" i="4"/>
  <c r="AU104"/>
  <c r="AZ104"/>
  <c r="BB104" s="1"/>
  <c r="BD104"/>
  <c r="BE104" s="1"/>
  <c r="AV105"/>
  <c r="BF104"/>
  <c r="BG104" s="1"/>
  <c r="AY104"/>
  <c r="BA104" s="1"/>
  <c r="BZ126" i="6"/>
  <c r="BY127"/>
  <c r="BV126"/>
  <c r="BX126" s="1"/>
  <c r="BW126"/>
  <c r="AK91" i="12"/>
  <c r="AJ92"/>
  <c r="AL91"/>
  <c r="AO91"/>
  <c r="AN91"/>
  <c r="DS83" i="2"/>
  <c r="DV83"/>
  <c r="DP84"/>
  <c r="DR83"/>
  <c r="AM158" i="6" l="1"/>
  <c r="DS84" i="2"/>
  <c r="DP85"/>
  <c r="DR84"/>
  <c r="DV84"/>
  <c r="DT83"/>
  <c r="DU83"/>
  <c r="AL92" i="12"/>
  <c r="AK92"/>
  <c r="AJ93"/>
  <c r="AN92"/>
  <c r="AO92"/>
  <c r="BY128" i="6"/>
  <c r="BV127"/>
  <c r="BX127" s="1"/>
  <c r="BZ127"/>
  <c r="BW127"/>
  <c r="AU105" i="4"/>
  <c r="AZ105"/>
  <c r="BB105" s="1"/>
  <c r="AV106"/>
  <c r="AY105"/>
  <c r="BA105" s="1"/>
  <c r="BF105"/>
  <c r="BG105" s="1"/>
  <c r="AW105"/>
  <c r="BD105" s="1"/>
  <c r="BE105" s="1"/>
  <c r="AZ103" i="5"/>
  <c r="BE103"/>
  <c r="BG103" s="1"/>
  <c r="BA104"/>
  <c r="BB103"/>
  <c r="BI103" s="1"/>
  <c r="BJ103" s="1"/>
  <c r="BK103"/>
  <c r="BL103" s="1"/>
  <c r="BD103"/>
  <c r="BF103" s="1"/>
  <c r="AY106" i="4" l="1"/>
  <c r="BA106" s="1"/>
  <c r="BF106"/>
  <c r="BG106" s="1"/>
  <c r="AZ106"/>
  <c r="BB106" s="1"/>
  <c r="AU106"/>
  <c r="AV107"/>
  <c r="AW106"/>
  <c r="BD106" s="1"/>
  <c r="BE106" s="1"/>
  <c r="AN158" i="6"/>
  <c r="BZ128"/>
  <c r="BY129"/>
  <c r="BV128"/>
  <c r="BX128" s="1"/>
  <c r="BW128"/>
  <c r="DU84" i="2"/>
  <c r="DT84"/>
  <c r="AJ94" i="12"/>
  <c r="AL93"/>
  <c r="AK93"/>
  <c r="AO93"/>
  <c r="AN93"/>
  <c r="BD104" i="5"/>
  <c r="BF104" s="1"/>
  <c r="BE104"/>
  <c r="BG104" s="1"/>
  <c r="BA105"/>
  <c r="BB104"/>
  <c r="BI104" s="1"/>
  <c r="BJ104" s="1"/>
  <c r="AZ104"/>
  <c r="BK104"/>
  <c r="BL104" s="1"/>
  <c r="DR85" i="2"/>
  <c r="DV85"/>
  <c r="DS85"/>
  <c r="DP86"/>
  <c r="DU85" l="1"/>
  <c r="DT85"/>
  <c r="BF107" i="4"/>
  <c r="BG107" s="1"/>
  <c r="AW107"/>
  <c r="AY107"/>
  <c r="BA107" s="1"/>
  <c r="AZ107"/>
  <c r="BB107" s="1"/>
  <c r="AV108"/>
  <c r="BD107"/>
  <c r="BE107" s="1"/>
  <c r="AU107"/>
  <c r="DS86" i="2"/>
  <c r="DR86"/>
  <c r="DV86"/>
  <c r="DP87"/>
  <c r="BZ129" i="6"/>
  <c r="BY130"/>
  <c r="BV129"/>
  <c r="BX129" s="1"/>
  <c r="BW129"/>
  <c r="BK105" i="5"/>
  <c r="BL105" s="1"/>
  <c r="AZ105"/>
  <c r="BE105"/>
  <c r="BG105" s="1"/>
  <c r="BD105"/>
  <c r="BF105" s="1"/>
  <c r="BI105"/>
  <c r="BJ105" s="1"/>
  <c r="BA106"/>
  <c r="BB105"/>
  <c r="AJ95" i="12"/>
  <c r="AL94"/>
  <c r="AK94"/>
  <c r="AN94"/>
  <c r="AO94"/>
  <c r="AM159" i="6"/>
  <c r="AK95" i="12" l="1"/>
  <c r="AJ96"/>
  <c r="AL95"/>
  <c r="AO95"/>
  <c r="AN95"/>
  <c r="DU86" i="2"/>
  <c r="DT86"/>
  <c r="AW108" i="4"/>
  <c r="AU108"/>
  <c r="AZ108"/>
  <c r="BB108" s="1"/>
  <c r="BD108"/>
  <c r="BE108" s="1"/>
  <c r="AV109"/>
  <c r="BF108"/>
  <c r="BG108" s="1"/>
  <c r="AY108"/>
  <c r="BA108" s="1"/>
  <c r="DR87" i="2"/>
  <c r="DV87"/>
  <c r="DP88"/>
  <c r="DS87"/>
  <c r="AN159" i="6"/>
  <c r="BB106" i="5"/>
  <c r="BI106" s="1"/>
  <c r="BJ106" s="1"/>
  <c r="BA107"/>
  <c r="AZ106"/>
  <c r="BE106"/>
  <c r="BG106" s="1"/>
  <c r="BK106"/>
  <c r="BL106" s="1"/>
  <c r="BD106"/>
  <c r="BF106" s="1"/>
  <c r="BZ130" i="6"/>
  <c r="BY131"/>
  <c r="BV130"/>
  <c r="BX130" s="1"/>
  <c r="BW130"/>
  <c r="DT87" i="2" l="1"/>
  <c r="DU87"/>
  <c r="AL96" i="12"/>
  <c r="AK96"/>
  <c r="AJ97"/>
  <c r="AN96"/>
  <c r="AO96"/>
  <c r="BY132" i="6"/>
  <c r="BV131"/>
  <c r="BX131" s="1"/>
  <c r="BZ131"/>
  <c r="BW131" s="1"/>
  <c r="AZ107" i="5"/>
  <c r="BE107"/>
  <c r="BG107" s="1"/>
  <c r="BA108"/>
  <c r="BK107"/>
  <c r="BL107" s="1"/>
  <c r="BD107"/>
  <c r="BF107" s="1"/>
  <c r="BB107"/>
  <c r="BI107" s="1"/>
  <c r="BJ107" s="1"/>
  <c r="DS88" i="2"/>
  <c r="DP89"/>
  <c r="DR88"/>
  <c r="DV88"/>
  <c r="AM160" i="6"/>
  <c r="AU109" i="4"/>
  <c r="AZ109"/>
  <c r="BB109" s="1"/>
  <c r="AV110"/>
  <c r="AY109"/>
  <c r="BA109" s="1"/>
  <c r="AW109"/>
  <c r="BD109" s="1"/>
  <c r="BE109" s="1"/>
  <c r="BF109"/>
  <c r="BG109" s="1"/>
  <c r="AJ98" i="12" l="1"/>
  <c r="AL97"/>
  <c r="AK97"/>
  <c r="AO97"/>
  <c r="AN97"/>
  <c r="DU88" i="2"/>
  <c r="DT88"/>
  <c r="BD108" i="5"/>
  <c r="BF108" s="1"/>
  <c r="BA109"/>
  <c r="BB108"/>
  <c r="BK108"/>
  <c r="BL108" s="1"/>
  <c r="BI108"/>
  <c r="BJ108" s="1"/>
  <c r="AZ108"/>
  <c r="BE108"/>
  <c r="BG108" s="1"/>
  <c r="AN160" i="6"/>
  <c r="AY110" i="4"/>
  <c r="BA110" s="1"/>
  <c r="BF110"/>
  <c r="BG110" s="1"/>
  <c r="AW110"/>
  <c r="BD110"/>
  <c r="BE110" s="1"/>
  <c r="AU110"/>
  <c r="AZ110"/>
  <c r="BB110" s="1"/>
  <c r="AV111"/>
  <c r="DR89" i="2"/>
  <c r="DV89"/>
  <c r="DP90"/>
  <c r="DS89"/>
  <c r="BY133" i="6"/>
  <c r="BZ132"/>
  <c r="BV132"/>
  <c r="BX132" s="1"/>
  <c r="BW132"/>
  <c r="BZ133" l="1"/>
  <c r="BW133" s="1"/>
  <c r="BY134"/>
  <c r="BV133"/>
  <c r="BX133" s="1"/>
  <c r="BK109" i="5"/>
  <c r="BL109" s="1"/>
  <c r="BD109"/>
  <c r="BF109" s="1"/>
  <c r="BA110"/>
  <c r="BB109"/>
  <c r="BI109" s="1"/>
  <c r="BJ109" s="1"/>
  <c r="AZ109"/>
  <c r="BE109"/>
  <c r="BG109" s="1"/>
  <c r="AJ99" i="12"/>
  <c r="AL98"/>
  <c r="AK98"/>
  <c r="AN98"/>
  <c r="AO98"/>
  <c r="DR90" i="2"/>
  <c r="DV90"/>
  <c r="DS90"/>
  <c r="DP91"/>
  <c r="DU89"/>
  <c r="DT89"/>
  <c r="BF111" i="4"/>
  <c r="BG111" s="1"/>
  <c r="AW111"/>
  <c r="AU111"/>
  <c r="BD111"/>
  <c r="BE111" s="1"/>
  <c r="AZ111"/>
  <c r="BB111" s="1"/>
  <c r="AY111"/>
  <c r="BA111" s="1"/>
  <c r="AV112"/>
  <c r="AM161" i="6"/>
  <c r="AW112" i="4" l="1"/>
  <c r="BD112" s="1"/>
  <c r="BE112" s="1"/>
  <c r="AU112"/>
  <c r="AZ112"/>
  <c r="BB112" s="1"/>
  <c r="AV113"/>
  <c r="BF112"/>
  <c r="BG112" s="1"/>
  <c r="AY112"/>
  <c r="BA112" s="1"/>
  <c r="BZ134" i="6"/>
  <c r="BY135"/>
  <c r="BW134"/>
  <c r="BV134"/>
  <c r="BX134" s="1"/>
  <c r="AN161"/>
  <c r="DT90" i="2"/>
  <c r="DU90"/>
  <c r="DS91"/>
  <c r="DP92"/>
  <c r="DR91"/>
  <c r="DV91"/>
  <c r="AK99" i="12"/>
  <c r="AJ100"/>
  <c r="AL99"/>
  <c r="AO99"/>
  <c r="AN99"/>
  <c r="BB110" i="5"/>
  <c r="BI110" s="1"/>
  <c r="BJ110" s="1"/>
  <c r="AZ110"/>
  <c r="BE110"/>
  <c r="BG110" s="1"/>
  <c r="BK110"/>
  <c r="BL110" s="1"/>
  <c r="BD110"/>
  <c r="BF110" s="1"/>
  <c r="BA111"/>
  <c r="DT91" i="2" l="1"/>
  <c r="DU91"/>
  <c r="AL100" i="12"/>
  <c r="AK100"/>
  <c r="AJ101"/>
  <c r="AN100"/>
  <c r="AO100"/>
  <c r="DR92" i="2"/>
  <c r="DP93"/>
  <c r="DS92"/>
  <c r="DV92"/>
  <c r="AM162" i="6"/>
  <c r="BY136"/>
  <c r="BZ135"/>
  <c r="BW135"/>
  <c r="BV135"/>
  <c r="BX135" s="1"/>
  <c r="AU113" i="4"/>
  <c r="AZ113"/>
  <c r="BB113" s="1"/>
  <c r="AV114"/>
  <c r="AY113"/>
  <c r="BA113" s="1"/>
  <c r="BF113"/>
  <c r="BG113" s="1"/>
  <c r="AW113"/>
  <c r="BD113" s="1"/>
  <c r="BE113" s="1"/>
  <c r="AZ111" i="5"/>
  <c r="BE111"/>
  <c r="BG111" s="1"/>
  <c r="BA112"/>
  <c r="BD111"/>
  <c r="BF111" s="1"/>
  <c r="BK111"/>
  <c r="BL111" s="1"/>
  <c r="BB111"/>
  <c r="BI111" s="1"/>
  <c r="BJ111" s="1"/>
  <c r="BD112" l="1"/>
  <c r="BF112" s="1"/>
  <c r="BB112"/>
  <c r="BK112"/>
  <c r="BL112" s="1"/>
  <c r="AZ112"/>
  <c r="BE112"/>
  <c r="BG112" s="1"/>
  <c r="BI112"/>
  <c r="BJ112" s="1"/>
  <c r="BA113"/>
  <c r="AN162" i="6"/>
  <c r="DU92" i="2"/>
  <c r="DT92"/>
  <c r="AY114" i="4"/>
  <c r="BA114" s="1"/>
  <c r="BF114"/>
  <c r="BG114" s="1"/>
  <c r="AZ114"/>
  <c r="BB114" s="1"/>
  <c r="AU114"/>
  <c r="AV115"/>
  <c r="AW114"/>
  <c r="BD114" s="1"/>
  <c r="BE114" s="1"/>
  <c r="DS93" i="2"/>
  <c r="DP94"/>
  <c r="DR93"/>
  <c r="DV93"/>
  <c r="AJ102" i="12"/>
  <c r="AL101"/>
  <c r="AK101"/>
  <c r="AO101"/>
  <c r="AN101"/>
  <c r="BZ136" i="6"/>
  <c r="BV136"/>
  <c r="BX136" s="1"/>
  <c r="BW136"/>
  <c r="BY137"/>
  <c r="DT93" i="2" l="1"/>
  <c r="DU93"/>
  <c r="BK113" i="5"/>
  <c r="BL113" s="1"/>
  <c r="BA114"/>
  <c r="BB113"/>
  <c r="BI113" s="1"/>
  <c r="BJ113" s="1"/>
  <c r="AZ113"/>
  <c r="BD113"/>
  <c r="BF113" s="1"/>
  <c r="BE113"/>
  <c r="BG113" s="1"/>
  <c r="BZ137" i="6"/>
  <c r="BY138"/>
  <c r="BV137"/>
  <c r="BX137" s="1"/>
  <c r="BW137"/>
  <c r="AJ103" i="12"/>
  <c r="AL102"/>
  <c r="AK102"/>
  <c r="AN102"/>
  <c r="AO102"/>
  <c r="DS94" i="2"/>
  <c r="DP95"/>
  <c r="DR94"/>
  <c r="DV94"/>
  <c r="BF115" i="4"/>
  <c r="BG115" s="1"/>
  <c r="AW115"/>
  <c r="AY115"/>
  <c r="BA115" s="1"/>
  <c r="AZ115"/>
  <c r="BB115" s="1"/>
  <c r="AV116"/>
  <c r="AU115"/>
  <c r="BD115"/>
  <c r="BE115" s="1"/>
  <c r="AM163" i="6"/>
  <c r="AN163" l="1"/>
  <c r="AK103" i="12"/>
  <c r="AJ104"/>
  <c r="AO103"/>
  <c r="AN103"/>
  <c r="AL103"/>
  <c r="DU94" i="2"/>
  <c r="DT94"/>
  <c r="BZ138" i="6"/>
  <c r="BY139"/>
  <c r="BW138"/>
  <c r="BV138"/>
  <c r="BX138" s="1"/>
  <c r="AW116" i="4"/>
  <c r="BD116" s="1"/>
  <c r="BE116" s="1"/>
  <c r="AU116"/>
  <c r="AZ116"/>
  <c r="BB116" s="1"/>
  <c r="AV117"/>
  <c r="AY116"/>
  <c r="BA116" s="1"/>
  <c r="BF116"/>
  <c r="BG116" s="1"/>
  <c r="DS95" i="2"/>
  <c r="DR95"/>
  <c r="DP96"/>
  <c r="DV95"/>
  <c r="BB114" i="5"/>
  <c r="BE114"/>
  <c r="BG114" s="1"/>
  <c r="BK114"/>
  <c r="BL114" s="1"/>
  <c r="BD114"/>
  <c r="BF114" s="1"/>
  <c r="BI114"/>
  <c r="BJ114" s="1"/>
  <c r="BA115"/>
  <c r="AZ114"/>
  <c r="BY140" i="6" l="1"/>
  <c r="BZ139"/>
  <c r="BV139"/>
  <c r="BX139" s="1"/>
  <c r="BW139"/>
  <c r="AL104" i="12"/>
  <c r="AK104"/>
  <c r="AJ105"/>
  <c r="AN104"/>
  <c r="AO104"/>
  <c r="DU95" i="2"/>
  <c r="DT95"/>
  <c r="AM164" i="6"/>
  <c r="DS96" i="2"/>
  <c r="DV96"/>
  <c r="DP97"/>
  <c r="DR96"/>
  <c r="AZ115" i="5"/>
  <c r="BE115"/>
  <c r="BG115" s="1"/>
  <c r="BI115"/>
  <c r="BJ115" s="1"/>
  <c r="BA116"/>
  <c r="BB115"/>
  <c r="BK115"/>
  <c r="BL115" s="1"/>
  <c r="BD115"/>
  <c r="BF115" s="1"/>
  <c r="AU117" i="4"/>
  <c r="AZ117"/>
  <c r="BB117" s="1"/>
  <c r="AV118"/>
  <c r="AY117"/>
  <c r="BA117" s="1"/>
  <c r="AW117"/>
  <c r="BD117" s="1"/>
  <c r="BE117" s="1"/>
  <c r="BF117"/>
  <c r="BG117" s="1"/>
  <c r="AY118" l="1"/>
  <c r="BA118" s="1"/>
  <c r="BF118"/>
  <c r="BG118" s="1"/>
  <c r="AW118"/>
  <c r="BD118"/>
  <c r="BE118" s="1"/>
  <c r="AZ118"/>
  <c r="BB118" s="1"/>
  <c r="AU118"/>
  <c r="AV119"/>
  <c r="DS97" i="2"/>
  <c r="DV97"/>
  <c r="DP98"/>
  <c r="DR97"/>
  <c r="AN164" i="6"/>
  <c r="BD116" i="5"/>
  <c r="BF116" s="1"/>
  <c r="AZ116"/>
  <c r="BE116"/>
  <c r="BG116" s="1"/>
  <c r="BA117"/>
  <c r="BK116"/>
  <c r="BL116" s="1"/>
  <c r="BB116"/>
  <c r="BI116" s="1"/>
  <c r="BJ116" s="1"/>
  <c r="DU96" i="2"/>
  <c r="DT96"/>
  <c r="BY141" i="6"/>
  <c r="BV140"/>
  <c r="BX140" s="1"/>
  <c r="BZ140"/>
  <c r="BW140" s="1"/>
  <c r="AJ106" i="12"/>
  <c r="AL105"/>
  <c r="AK105"/>
  <c r="AO105"/>
  <c r="AN105"/>
  <c r="AM165" i="6" l="1"/>
  <c r="BK117" i="5"/>
  <c r="BL117" s="1"/>
  <c r="BB117"/>
  <c r="AZ117"/>
  <c r="BE117"/>
  <c r="BG117" s="1"/>
  <c r="BA118"/>
  <c r="BI117"/>
  <c r="BJ117" s="1"/>
  <c r="BD117"/>
  <c r="BF117" s="1"/>
  <c r="DS98" i="2"/>
  <c r="DV98"/>
  <c r="DP99"/>
  <c r="DR98"/>
  <c r="DT97"/>
  <c r="DU97"/>
  <c r="AJ107" i="12"/>
  <c r="AL106"/>
  <c r="AK106"/>
  <c r="AN106"/>
  <c r="AO106"/>
  <c r="BZ141" i="6"/>
  <c r="BV141"/>
  <c r="BX141" s="1"/>
  <c r="BW141"/>
  <c r="BY142"/>
  <c r="BF119" i="4"/>
  <c r="BG119" s="1"/>
  <c r="AW119"/>
  <c r="AU119"/>
  <c r="BD119"/>
  <c r="BE119" s="1"/>
  <c r="AY119"/>
  <c r="BA119" s="1"/>
  <c r="AV120"/>
  <c r="AZ119"/>
  <c r="BB119" s="1"/>
  <c r="AN165" i="6" l="1"/>
  <c r="BB118" i="5"/>
  <c r="BD118"/>
  <c r="BF118" s="1"/>
  <c r="BI118"/>
  <c r="BJ118" s="1"/>
  <c r="BA119"/>
  <c r="BE118"/>
  <c r="BG118" s="1"/>
  <c r="AZ118"/>
  <c r="BK118"/>
  <c r="BL118" s="1"/>
  <c r="BZ142" i="6"/>
  <c r="BY143"/>
  <c r="BV142"/>
  <c r="BX142" s="1"/>
  <c r="BW142"/>
  <c r="AK107" i="12"/>
  <c r="AJ108"/>
  <c r="AL107"/>
  <c r="AO107"/>
  <c r="AN107"/>
  <c r="DS99" i="2"/>
  <c r="DV99"/>
  <c r="DP100"/>
  <c r="DR99"/>
  <c r="AW120" i="4"/>
  <c r="AU120"/>
  <c r="AZ120"/>
  <c r="BB120" s="1"/>
  <c r="BD120"/>
  <c r="BE120" s="1"/>
  <c r="AV121"/>
  <c r="BF120"/>
  <c r="BG120" s="1"/>
  <c r="AY120"/>
  <c r="BA120" s="1"/>
  <c r="DT98" i="2"/>
  <c r="DU98"/>
  <c r="DS100" l="1"/>
  <c r="DV100"/>
  <c r="DP101"/>
  <c r="DR100"/>
  <c r="AM166" i="6"/>
  <c r="DU99" i="2"/>
  <c r="DT99"/>
  <c r="AL108" i="12"/>
  <c r="AK108"/>
  <c r="AJ109"/>
  <c r="AN108"/>
  <c r="AO108"/>
  <c r="BY144" i="6"/>
  <c r="BV143"/>
  <c r="BX143" s="1"/>
  <c r="BZ143"/>
  <c r="BW143" s="1"/>
  <c r="AZ119" i="5"/>
  <c r="BE119"/>
  <c r="BG119" s="1"/>
  <c r="BI119"/>
  <c r="BJ119" s="1"/>
  <c r="BA120"/>
  <c r="BB119"/>
  <c r="BK119"/>
  <c r="BL119" s="1"/>
  <c r="BD119"/>
  <c r="BF119" s="1"/>
  <c r="AU121" i="4"/>
  <c r="AZ121"/>
  <c r="BB121" s="1"/>
  <c r="AV122"/>
  <c r="AY121"/>
  <c r="BA121" s="1"/>
  <c r="BF121"/>
  <c r="BG121" s="1"/>
  <c r="AW121"/>
  <c r="BD121" s="1"/>
  <c r="BE121" s="1"/>
  <c r="DT100" i="2" l="1"/>
  <c r="DU100"/>
  <c r="AY122" i="4"/>
  <c r="BA122" s="1"/>
  <c r="BF122"/>
  <c r="BG122" s="1"/>
  <c r="AZ122"/>
  <c r="BB122" s="1"/>
  <c r="AU122"/>
  <c r="AV123"/>
  <c r="AW122"/>
  <c r="BD122" s="1"/>
  <c r="BE122" s="1"/>
  <c r="BD120" i="5"/>
  <c r="BF120" s="1"/>
  <c r="BE120"/>
  <c r="BG120" s="1"/>
  <c r="BA121"/>
  <c r="AZ120"/>
  <c r="BK120"/>
  <c r="BL120" s="1"/>
  <c r="BB120"/>
  <c r="BI120" s="1"/>
  <c r="BJ120" s="1"/>
  <c r="AN166" i="6"/>
  <c r="BZ144"/>
  <c r="BY145"/>
  <c r="BV144"/>
  <c r="BX144" s="1"/>
  <c r="BW144"/>
  <c r="AJ110" i="12"/>
  <c r="AL109"/>
  <c r="AK109"/>
  <c r="AO109"/>
  <c r="AN109"/>
  <c r="DS101" i="2"/>
  <c r="DR101"/>
  <c r="DV101"/>
  <c r="DP102"/>
  <c r="AM167" i="6" l="1"/>
  <c r="BK121" i="5"/>
  <c r="BL121" s="1"/>
  <c r="AZ121"/>
  <c r="BE121"/>
  <c r="BG121" s="1"/>
  <c r="BD121"/>
  <c r="BF121" s="1"/>
  <c r="BI121"/>
  <c r="BJ121" s="1"/>
  <c r="BB121"/>
  <c r="BA122"/>
  <c r="DS102" i="2"/>
  <c r="DP103"/>
  <c r="DR102"/>
  <c r="DV102"/>
  <c r="AJ111" i="12"/>
  <c r="AL110"/>
  <c r="AK110"/>
  <c r="AN110"/>
  <c r="AO110"/>
  <c r="BF123" i="4"/>
  <c r="BG123" s="1"/>
  <c r="AW123"/>
  <c r="AY123"/>
  <c r="BA123" s="1"/>
  <c r="AZ123"/>
  <c r="BB123" s="1"/>
  <c r="AV124"/>
  <c r="BD123"/>
  <c r="BE123" s="1"/>
  <c r="AU123"/>
  <c r="DT101" i="2"/>
  <c r="DU101"/>
  <c r="BZ145" i="6"/>
  <c r="BW145" s="1"/>
  <c r="BY146"/>
  <c r="BV145"/>
  <c r="BX145" s="1"/>
  <c r="AK111" i="12" l="1"/>
  <c r="AJ112"/>
  <c r="AL111"/>
  <c r="AO111"/>
  <c r="AN111"/>
  <c r="BZ146" i="6"/>
  <c r="BY147"/>
  <c r="BV146"/>
  <c r="BX146" s="1"/>
  <c r="BW146"/>
  <c r="BB122" i="5"/>
  <c r="BA123"/>
  <c r="AZ122"/>
  <c r="BE122"/>
  <c r="BG122" s="1"/>
  <c r="BD122"/>
  <c r="BF122" s="1"/>
  <c r="BK122"/>
  <c r="BL122" s="1"/>
  <c r="BI122"/>
  <c r="BJ122" s="1"/>
  <c r="AN167" i="6"/>
  <c r="DU102" i="2"/>
  <c r="DT102"/>
  <c r="AW124" i="4"/>
  <c r="AU124"/>
  <c r="AZ124"/>
  <c r="BB124" s="1"/>
  <c r="BD124"/>
  <c r="BE124" s="1"/>
  <c r="AV125"/>
  <c r="BF124"/>
  <c r="BG124" s="1"/>
  <c r="AY124"/>
  <c r="BA124" s="1"/>
  <c r="DR103" i="2"/>
  <c r="DV103"/>
  <c r="DP104"/>
  <c r="DS103"/>
  <c r="AU125" i="4" l="1"/>
  <c r="AZ125"/>
  <c r="BB125" s="1"/>
  <c r="AV126"/>
  <c r="AY125"/>
  <c r="BA125" s="1"/>
  <c r="AW125"/>
  <c r="BD125" s="1"/>
  <c r="BE125" s="1"/>
  <c r="BF125"/>
  <c r="BG125" s="1"/>
  <c r="AM168" i="6"/>
  <c r="DS104" i="2"/>
  <c r="DP105"/>
  <c r="DV104"/>
  <c r="DR104"/>
  <c r="AL112" i="12"/>
  <c r="AK112"/>
  <c r="AJ113"/>
  <c r="AN112"/>
  <c r="AO112"/>
  <c r="DT103" i="2"/>
  <c r="DU103"/>
  <c r="AZ123" i="5"/>
  <c r="BE123"/>
  <c r="BG123" s="1"/>
  <c r="BA124"/>
  <c r="BK123"/>
  <c r="BL123" s="1"/>
  <c r="BD123"/>
  <c r="BF123" s="1"/>
  <c r="BB123"/>
  <c r="BI123" s="1"/>
  <c r="BJ123" s="1"/>
  <c r="BY148" i="6"/>
  <c r="BV147"/>
  <c r="BX147" s="1"/>
  <c r="BZ147"/>
  <c r="BW147" s="1"/>
  <c r="DU104" i="2" l="1"/>
  <c r="DT104"/>
  <c r="DR105"/>
  <c r="DV105"/>
  <c r="DP106"/>
  <c r="DS105"/>
  <c r="BY149" i="6"/>
  <c r="BV148"/>
  <c r="BX148" s="1"/>
  <c r="BZ148"/>
  <c r="BW148" s="1"/>
  <c r="BD124" i="5"/>
  <c r="BF124" s="1"/>
  <c r="BA125"/>
  <c r="BB124"/>
  <c r="BI124" s="1"/>
  <c r="BJ124" s="1"/>
  <c r="BK124"/>
  <c r="BL124" s="1"/>
  <c r="BE124"/>
  <c r="BG124" s="1"/>
  <c r="AZ124"/>
  <c r="AJ114" i="12"/>
  <c r="AL113"/>
  <c r="AK113"/>
  <c r="AO113"/>
  <c r="AN113"/>
  <c r="AN168" i="6"/>
  <c r="AY126" i="4"/>
  <c r="BA126" s="1"/>
  <c r="BF126"/>
  <c r="BG126" s="1"/>
  <c r="AW126"/>
  <c r="BD126" s="1"/>
  <c r="BE126" s="1"/>
  <c r="AU126"/>
  <c r="AZ126"/>
  <c r="BB126" s="1"/>
  <c r="AV127"/>
  <c r="BF127" l="1"/>
  <c r="BG127" s="1"/>
  <c r="AW127"/>
  <c r="BD127" s="1"/>
  <c r="BE127" s="1"/>
  <c r="AU127"/>
  <c r="AZ127"/>
  <c r="BB127" s="1"/>
  <c r="AV128"/>
  <c r="AY127"/>
  <c r="BA127" s="1"/>
  <c r="AM169" i="6"/>
  <c r="DS106" i="2"/>
  <c r="DR106"/>
  <c r="DV106"/>
  <c r="DP107"/>
  <c r="AJ115" i="12"/>
  <c r="AL114"/>
  <c r="AK114"/>
  <c r="AN114"/>
  <c r="AO114"/>
  <c r="DU105" i="2"/>
  <c r="DT105"/>
  <c r="BZ149" i="6"/>
  <c r="BW149" s="1"/>
  <c r="BV149"/>
  <c r="BX149" s="1"/>
  <c r="BY150"/>
  <c r="BK125" i="5"/>
  <c r="BL125" s="1"/>
  <c r="BD125"/>
  <c r="BF125" s="1"/>
  <c r="BA126"/>
  <c r="AZ125"/>
  <c r="BE125"/>
  <c r="BG125" s="1"/>
  <c r="BB125"/>
  <c r="BI125" s="1"/>
  <c r="BJ125" s="1"/>
  <c r="DS107" i="2" l="1"/>
  <c r="DP108"/>
  <c r="DV107"/>
  <c r="DR107"/>
  <c r="DU106"/>
  <c r="DT106"/>
  <c r="AW128" i="4"/>
  <c r="AU128"/>
  <c r="AZ128"/>
  <c r="BB128" s="1"/>
  <c r="BD128"/>
  <c r="BE128" s="1"/>
  <c r="AV129"/>
  <c r="BF128"/>
  <c r="BG128" s="1"/>
  <c r="AY128"/>
  <c r="BA128" s="1"/>
  <c r="AK115" i="12"/>
  <c r="AJ116"/>
  <c r="AO115"/>
  <c r="AN115"/>
  <c r="AL115"/>
  <c r="BZ150" i="6"/>
  <c r="BY151"/>
  <c r="BV150"/>
  <c r="BX150" s="1"/>
  <c r="BW150"/>
  <c r="BB126" i="5"/>
  <c r="AZ126"/>
  <c r="BE126"/>
  <c r="BG126" s="1"/>
  <c r="BK126"/>
  <c r="BL126" s="1"/>
  <c r="BA127"/>
  <c r="BI126"/>
  <c r="BJ126" s="1"/>
  <c r="BD126"/>
  <c r="BF126" s="1"/>
  <c r="AN169" i="6"/>
  <c r="DT107" i="2" l="1"/>
  <c r="DU107"/>
  <c r="DR108"/>
  <c r="DV108"/>
  <c r="DP109"/>
  <c r="DS108"/>
  <c r="AM170" i="6"/>
  <c r="AZ127" i="5"/>
  <c r="BE127"/>
  <c r="BG127" s="1"/>
  <c r="BA128"/>
  <c r="BD127"/>
  <c r="BF127" s="1"/>
  <c r="BB127"/>
  <c r="BI127" s="1"/>
  <c r="BJ127" s="1"/>
  <c r="BK127"/>
  <c r="BL127" s="1"/>
  <c r="AL116" i="12"/>
  <c r="AK116"/>
  <c r="AN116"/>
  <c r="AO116"/>
  <c r="AJ117"/>
  <c r="AU129" i="4"/>
  <c r="AZ129"/>
  <c r="BB129" s="1"/>
  <c r="AV130"/>
  <c r="AY129"/>
  <c r="BA129" s="1"/>
  <c r="BF129"/>
  <c r="BG129" s="1"/>
  <c r="AW129"/>
  <c r="BD129" s="1"/>
  <c r="BE129" s="1"/>
  <c r="BY152" i="6"/>
  <c r="BV151"/>
  <c r="BX151" s="1"/>
  <c r="BW151"/>
  <c r="BZ151"/>
  <c r="DU108" i="2" l="1"/>
  <c r="DT108"/>
  <c r="DS109"/>
  <c r="DP110"/>
  <c r="DV109"/>
  <c r="DR109"/>
  <c r="AN170" i="6"/>
  <c r="BZ152"/>
  <c r="BV152"/>
  <c r="BX152" s="1"/>
  <c r="BY153"/>
  <c r="BW152"/>
  <c r="AY130" i="4"/>
  <c r="BA130" s="1"/>
  <c r="BF130"/>
  <c r="BG130" s="1"/>
  <c r="AZ130"/>
  <c r="BB130" s="1"/>
  <c r="AU130"/>
  <c r="AV131"/>
  <c r="AW130"/>
  <c r="BD130"/>
  <c r="BE130" s="1"/>
  <c r="AJ118" i="12"/>
  <c r="AL117"/>
  <c r="AK117"/>
  <c r="AO117"/>
  <c r="AN117"/>
  <c r="BD128" i="5"/>
  <c r="BF128" s="1"/>
  <c r="BB128"/>
  <c r="BK128"/>
  <c r="BL128" s="1"/>
  <c r="AZ128"/>
  <c r="BA129"/>
  <c r="BI128"/>
  <c r="BJ128" s="1"/>
  <c r="BE128"/>
  <c r="BG128" s="1"/>
  <c r="BK129" l="1"/>
  <c r="BL129" s="1"/>
  <c r="BA130"/>
  <c r="BB129"/>
  <c r="BE129"/>
  <c r="BG129" s="1"/>
  <c r="BD129"/>
  <c r="BF129" s="1"/>
  <c r="BI129"/>
  <c r="BJ129" s="1"/>
  <c r="AZ129"/>
  <c r="BF131" i="4"/>
  <c r="BG131" s="1"/>
  <c r="AW131"/>
  <c r="AY131"/>
  <c r="BA131" s="1"/>
  <c r="AZ131"/>
  <c r="BB131" s="1"/>
  <c r="AV132"/>
  <c r="AU131"/>
  <c r="BD131"/>
  <c r="BE131" s="1"/>
  <c r="BZ153" i="6"/>
  <c r="BY154"/>
  <c r="BV153"/>
  <c r="BX153" s="1"/>
  <c r="BW153"/>
  <c r="AM171"/>
  <c r="DT109" i="2"/>
  <c r="DU109"/>
  <c r="AJ119" i="12"/>
  <c r="AL118"/>
  <c r="AK118"/>
  <c r="AN118"/>
  <c r="AO118"/>
  <c r="DR110" i="2"/>
  <c r="DV110"/>
  <c r="DS110"/>
  <c r="DP111"/>
  <c r="DT110" l="1"/>
  <c r="DU110"/>
  <c r="BB130" i="5"/>
  <c r="BE130"/>
  <c r="BG130" s="1"/>
  <c r="BK130"/>
  <c r="BL130" s="1"/>
  <c r="BD130"/>
  <c r="BF130" s="1"/>
  <c r="BI130"/>
  <c r="BJ130" s="1"/>
  <c r="AZ130"/>
  <c r="BA131"/>
  <c r="DS111" i="2"/>
  <c r="DP112"/>
  <c r="DR111"/>
  <c r="DV111"/>
  <c r="AK119" i="12"/>
  <c r="AJ120"/>
  <c r="AL119"/>
  <c r="AO119"/>
  <c r="AN119"/>
  <c r="AN171" i="6"/>
  <c r="BZ154"/>
  <c r="BY155"/>
  <c r="BV154"/>
  <c r="BX154" s="1"/>
  <c r="BW154"/>
  <c r="AW132" i="4"/>
  <c r="AU132"/>
  <c r="AZ132"/>
  <c r="BB132" s="1"/>
  <c r="BD132"/>
  <c r="BE132" s="1"/>
  <c r="AV133"/>
  <c r="AY132"/>
  <c r="BA132" s="1"/>
  <c r="BF132"/>
  <c r="BG132" s="1"/>
  <c r="DU111" i="2" l="1"/>
  <c r="DT111"/>
  <c r="AU133" i="4"/>
  <c r="AZ133"/>
  <c r="BB133" s="1"/>
  <c r="AV134"/>
  <c r="AY133"/>
  <c r="BA133" s="1"/>
  <c r="AW133"/>
  <c r="BD133" s="1"/>
  <c r="BE133" s="1"/>
  <c r="BF133"/>
  <c r="BG133" s="1"/>
  <c r="AZ131" i="5"/>
  <c r="BE131"/>
  <c r="BG131" s="1"/>
  <c r="BI131"/>
  <c r="BJ131" s="1"/>
  <c r="BA132"/>
  <c r="BB131"/>
  <c r="BD131"/>
  <c r="BF131" s="1"/>
  <c r="BK131"/>
  <c r="BL131" s="1"/>
  <c r="BY156" i="6"/>
  <c r="BZ155"/>
  <c r="BV155"/>
  <c r="BX155" s="1"/>
  <c r="BW155"/>
  <c r="AM172"/>
  <c r="AL120" i="12"/>
  <c r="AK120"/>
  <c r="AJ121"/>
  <c r="AO120"/>
  <c r="AN120"/>
  <c r="DR112" i="2"/>
  <c r="DV112"/>
  <c r="DP113"/>
  <c r="DS112"/>
  <c r="AJ122" i="12" l="1"/>
  <c r="AL121"/>
  <c r="AK121"/>
  <c r="AO121"/>
  <c r="AN121"/>
  <c r="AN172" i="6"/>
  <c r="BY157"/>
  <c r="BV156"/>
  <c r="BX156" s="1"/>
  <c r="BZ156"/>
  <c r="BW156"/>
  <c r="BD132" i="5"/>
  <c r="BF132" s="1"/>
  <c r="AZ132"/>
  <c r="BE132"/>
  <c r="BG132" s="1"/>
  <c r="BI132"/>
  <c r="BJ132" s="1"/>
  <c r="BB132"/>
  <c r="BK132"/>
  <c r="BL132" s="1"/>
  <c r="BA133"/>
  <c r="DU112" i="2"/>
  <c r="DT112"/>
  <c r="DS113"/>
  <c r="DP114"/>
  <c r="DV113"/>
  <c r="DR113"/>
  <c r="AY134" i="4"/>
  <c r="BA134" s="1"/>
  <c r="BF134"/>
  <c r="BG134" s="1"/>
  <c r="AW134"/>
  <c r="BD134" s="1"/>
  <c r="BE134" s="1"/>
  <c r="AZ134"/>
  <c r="BB134" s="1"/>
  <c r="AU134"/>
  <c r="AV135"/>
  <c r="DU113" i="2" l="1"/>
  <c r="DT113"/>
  <c r="AJ123" i="12"/>
  <c r="AL122"/>
  <c r="AK122"/>
  <c r="AN122"/>
  <c r="AO122"/>
  <c r="DR114" i="2"/>
  <c r="DV114"/>
  <c r="DS114"/>
  <c r="DP115"/>
  <c r="BK133" i="5"/>
  <c r="BL133" s="1"/>
  <c r="BB133"/>
  <c r="AZ133"/>
  <c r="BE133"/>
  <c r="BG133" s="1"/>
  <c r="BD133"/>
  <c r="BF133" s="1"/>
  <c r="BI133"/>
  <c r="BJ133" s="1"/>
  <c r="BA134"/>
  <c r="AM173" i="6"/>
  <c r="BF135" i="4"/>
  <c r="BG135" s="1"/>
  <c r="AW135"/>
  <c r="BD135" s="1"/>
  <c r="BE135" s="1"/>
  <c r="AU135"/>
  <c r="AY135"/>
  <c r="BA135" s="1"/>
  <c r="AV136"/>
  <c r="AZ135"/>
  <c r="BB135" s="1"/>
  <c r="BZ157" i="6"/>
  <c r="BW157" s="1"/>
  <c r="BY158"/>
  <c r="BV157"/>
  <c r="BX157" s="1"/>
  <c r="DS115" i="2" l="1"/>
  <c r="DP116"/>
  <c r="DR115"/>
  <c r="DV115"/>
  <c r="AK123" i="12"/>
  <c r="AJ124"/>
  <c r="AL123"/>
  <c r="AO123"/>
  <c r="AN123"/>
  <c r="AN173" i="6"/>
  <c r="BZ158"/>
  <c r="BY159"/>
  <c r="BV158"/>
  <c r="BX158" s="1"/>
  <c r="BW158"/>
  <c r="AW136" i="4"/>
  <c r="AU136"/>
  <c r="AZ136"/>
  <c r="BB136" s="1"/>
  <c r="BD136"/>
  <c r="BE136" s="1"/>
  <c r="AV137"/>
  <c r="BF136"/>
  <c r="BG136" s="1"/>
  <c r="AY136"/>
  <c r="BA136" s="1"/>
  <c r="BB134" i="5"/>
  <c r="BI134" s="1"/>
  <c r="BJ134" s="1"/>
  <c r="BD134"/>
  <c r="BF134" s="1"/>
  <c r="BA135"/>
  <c r="BK134"/>
  <c r="BL134" s="1"/>
  <c r="AZ134"/>
  <c r="BE134"/>
  <c r="BG134" s="1"/>
  <c r="DU114" i="2"/>
  <c r="DT114"/>
  <c r="BY160" i="6" l="1"/>
  <c r="BZ159"/>
  <c r="BW159" s="1"/>
  <c r="BV159"/>
  <c r="BX159" s="1"/>
  <c r="DT115" i="2"/>
  <c r="DU115"/>
  <c r="AZ135" i="5"/>
  <c r="BE135"/>
  <c r="BG135" s="1"/>
  <c r="BI135"/>
  <c r="BJ135" s="1"/>
  <c r="BA136"/>
  <c r="BB135"/>
  <c r="BK135"/>
  <c r="BL135" s="1"/>
  <c r="BD135"/>
  <c r="BF135" s="1"/>
  <c r="AM174" i="6"/>
  <c r="AL124" i="12"/>
  <c r="AK124"/>
  <c r="AJ125"/>
  <c r="AN124"/>
  <c r="AO124"/>
  <c r="DR116" i="2"/>
  <c r="DV116"/>
  <c r="DS116"/>
  <c r="DP117"/>
  <c r="AU137" i="4"/>
  <c r="AZ137"/>
  <c r="BB137" s="1"/>
  <c r="AV138"/>
  <c r="AY137"/>
  <c r="BA137" s="1"/>
  <c r="BF137"/>
  <c r="BG137" s="1"/>
  <c r="AW137"/>
  <c r="BD137" s="1"/>
  <c r="BE137" s="1"/>
  <c r="BZ160" i="6" l="1"/>
  <c r="BW160" s="1"/>
  <c r="BV160"/>
  <c r="BX160" s="1"/>
  <c r="BY161"/>
  <c r="AJ126" i="12"/>
  <c r="AL125"/>
  <c r="AK125"/>
  <c r="AO125"/>
  <c r="AN125"/>
  <c r="AN174" i="6"/>
  <c r="BD136" i="5"/>
  <c r="BF136" s="1"/>
  <c r="BE136"/>
  <c r="BG136" s="1"/>
  <c r="BI136"/>
  <c r="BJ136" s="1"/>
  <c r="BA137"/>
  <c r="BB136"/>
  <c r="AZ136"/>
  <c r="BK136"/>
  <c r="BL136" s="1"/>
  <c r="DU116" i="2"/>
  <c r="DT116"/>
  <c r="AY138" i="4"/>
  <c r="BA138" s="1"/>
  <c r="BF138"/>
  <c r="BG138" s="1"/>
  <c r="AZ138"/>
  <c r="BB138" s="1"/>
  <c r="AU138"/>
  <c r="AV139"/>
  <c r="AW138"/>
  <c r="BD138" s="1"/>
  <c r="BE138" s="1"/>
  <c r="DS117" i="2"/>
  <c r="DP118"/>
  <c r="DV117"/>
  <c r="DR117"/>
  <c r="BK137" i="5" l="1"/>
  <c r="BL137" s="1"/>
  <c r="AZ137"/>
  <c r="BE137"/>
  <c r="BG137" s="1"/>
  <c r="BD137"/>
  <c r="BF137" s="1"/>
  <c r="BI137"/>
  <c r="BJ137" s="1"/>
  <c r="BA138"/>
  <c r="BB137"/>
  <c r="DR118" i="2"/>
  <c r="DV118"/>
  <c r="DP119"/>
  <c r="DS118"/>
  <c r="BF139" i="4"/>
  <c r="BG139" s="1"/>
  <c r="AW139"/>
  <c r="AY139"/>
  <c r="BA139" s="1"/>
  <c r="AZ139"/>
  <c r="BB139" s="1"/>
  <c r="AV140"/>
  <c r="BD139"/>
  <c r="BE139" s="1"/>
  <c r="AU139"/>
  <c r="AJ127" i="12"/>
  <c r="AL126"/>
  <c r="AK126"/>
  <c r="AN126"/>
  <c r="AO126"/>
  <c r="AM175" i="6"/>
  <c r="BZ161"/>
  <c r="BY162"/>
  <c r="BW161"/>
  <c r="BV161"/>
  <c r="BX161" s="1"/>
  <c r="DU117" i="2"/>
  <c r="DT117"/>
  <c r="DS119" l="1"/>
  <c r="DP120"/>
  <c r="DR119"/>
  <c r="DV119"/>
  <c r="BB138" i="5"/>
  <c r="BI138" s="1"/>
  <c r="BJ138" s="1"/>
  <c r="BA139"/>
  <c r="AZ138"/>
  <c r="BK138"/>
  <c r="BL138" s="1"/>
  <c r="BD138"/>
  <c r="BF138" s="1"/>
  <c r="BE138"/>
  <c r="BG138" s="1"/>
  <c r="DT118" i="2"/>
  <c r="DU118"/>
  <c r="BZ162" i="6"/>
  <c r="BY163"/>
  <c r="BV162"/>
  <c r="BX162" s="1"/>
  <c r="BW162"/>
  <c r="AK127" i="12"/>
  <c r="AJ128"/>
  <c r="AL127"/>
  <c r="AO127"/>
  <c r="AN127"/>
  <c r="AN175" i="6"/>
  <c r="AW140" i="4"/>
  <c r="AU140"/>
  <c r="AZ140"/>
  <c r="BB140" s="1"/>
  <c r="BD140"/>
  <c r="BE140" s="1"/>
  <c r="AV141"/>
  <c r="BF140"/>
  <c r="BG140" s="1"/>
  <c r="AY140"/>
  <c r="BA140" s="1"/>
  <c r="AU141" l="1"/>
  <c r="AZ141"/>
  <c r="BB141" s="1"/>
  <c r="AV142"/>
  <c r="AY141"/>
  <c r="BA141" s="1"/>
  <c r="AW141"/>
  <c r="BD141" s="1"/>
  <c r="BE141" s="1"/>
  <c r="BF141"/>
  <c r="BG141" s="1"/>
  <c r="DU119" i="2"/>
  <c r="DT119"/>
  <c r="AZ139" i="5"/>
  <c r="BE139"/>
  <c r="BG139" s="1"/>
  <c r="BA140"/>
  <c r="BK139"/>
  <c r="BL139" s="1"/>
  <c r="BD139"/>
  <c r="BF139" s="1"/>
  <c r="BB139"/>
  <c r="BI139" s="1"/>
  <c r="BJ139" s="1"/>
  <c r="DR120" i="2"/>
  <c r="DV120"/>
  <c r="DS120"/>
  <c r="DP121"/>
  <c r="AM176" i="6"/>
  <c r="AL128" i="12"/>
  <c r="AK128"/>
  <c r="AJ129"/>
  <c r="AN128"/>
  <c r="AO128"/>
  <c r="BY164" i="6"/>
  <c r="BZ163"/>
  <c r="BW163" s="1"/>
  <c r="BV163"/>
  <c r="BX163" s="1"/>
  <c r="BD140" i="5" l="1"/>
  <c r="BF140" s="1"/>
  <c r="BA141"/>
  <c r="BB140"/>
  <c r="BK140"/>
  <c r="BL140" s="1"/>
  <c r="BI140"/>
  <c r="BJ140" s="1"/>
  <c r="AZ140"/>
  <c r="BE140"/>
  <c r="BG140" s="1"/>
  <c r="DU120" i="2"/>
  <c r="DT120"/>
  <c r="AJ130" i="12"/>
  <c r="AL129"/>
  <c r="AK129"/>
  <c r="AO129"/>
  <c r="AN129"/>
  <c r="AN176" i="6"/>
  <c r="BY165"/>
  <c r="BV164"/>
  <c r="BX164" s="1"/>
  <c r="BZ164"/>
  <c r="BW164"/>
  <c r="DS121" i="2"/>
  <c r="DP122"/>
  <c r="DV121"/>
  <c r="DR121"/>
  <c r="AY142" i="4"/>
  <c r="BA142" s="1"/>
  <c r="BF142"/>
  <c r="BG142" s="1"/>
  <c r="AW142"/>
  <c r="BD142"/>
  <c r="BE142" s="1"/>
  <c r="AU142"/>
  <c r="AZ142"/>
  <c r="BB142" s="1"/>
  <c r="AV143"/>
  <c r="DT121" i="2" l="1"/>
  <c r="DU121"/>
  <c r="DR122"/>
  <c r="DV122"/>
  <c r="DP123"/>
  <c r="DS122"/>
  <c r="AJ131" i="12"/>
  <c r="AL130"/>
  <c r="AK130"/>
  <c r="AN130"/>
  <c r="AO130"/>
  <c r="BK141" i="5"/>
  <c r="BL141" s="1"/>
  <c r="BD141"/>
  <c r="BF141" s="1"/>
  <c r="BI141"/>
  <c r="BJ141" s="1"/>
  <c r="BA142"/>
  <c r="BB141"/>
  <c r="BE141"/>
  <c r="BG141" s="1"/>
  <c r="AZ141"/>
  <c r="BZ165" i="6"/>
  <c r="BY166"/>
  <c r="BW165"/>
  <c r="BV165"/>
  <c r="BX165" s="1"/>
  <c r="BF143" i="4"/>
  <c r="BG143" s="1"/>
  <c r="AW143"/>
  <c r="AU143"/>
  <c r="BD143"/>
  <c r="BE143" s="1"/>
  <c r="AZ143"/>
  <c r="BB143" s="1"/>
  <c r="AV144"/>
  <c r="AY143"/>
  <c r="BA143" s="1"/>
  <c r="AM177" i="6"/>
  <c r="DU122" i="2" l="1"/>
  <c r="DT122"/>
  <c r="DS123"/>
  <c r="DP124"/>
  <c r="DR123"/>
  <c r="DV123"/>
  <c r="AN177" i="6"/>
  <c r="BB142" i="5"/>
  <c r="BI142" s="1"/>
  <c r="BJ142" s="1"/>
  <c r="AZ142"/>
  <c r="BE142"/>
  <c r="BG142" s="1"/>
  <c r="BK142"/>
  <c r="BL142" s="1"/>
  <c r="BD142"/>
  <c r="BF142" s="1"/>
  <c r="BA143"/>
  <c r="AK131" i="12"/>
  <c r="AJ132"/>
  <c r="AO131"/>
  <c r="AN131"/>
  <c r="AL131"/>
  <c r="AW144" i="4"/>
  <c r="AU144"/>
  <c r="AZ144"/>
  <c r="BB144" s="1"/>
  <c r="BD144"/>
  <c r="BE144" s="1"/>
  <c r="AV145"/>
  <c r="BF144"/>
  <c r="BG144" s="1"/>
  <c r="AY144"/>
  <c r="BA144" s="1"/>
  <c r="BZ166" i="6"/>
  <c r="BY167"/>
  <c r="BV166"/>
  <c r="BX166" s="1"/>
  <c r="BW166"/>
  <c r="BY168" l="1"/>
  <c r="BV167"/>
  <c r="BX167" s="1"/>
  <c r="BZ167"/>
  <c r="BW167" s="1"/>
  <c r="AU145" i="4"/>
  <c r="AZ145"/>
  <c r="BB145" s="1"/>
  <c r="AV146"/>
  <c r="AY145"/>
  <c r="BA145" s="1"/>
  <c r="BF145"/>
  <c r="BG145" s="1"/>
  <c r="AW145"/>
  <c r="BD145" s="1"/>
  <c r="BE145" s="1"/>
  <c r="AL132" i="12"/>
  <c r="AK132"/>
  <c r="AJ133"/>
  <c r="AN132"/>
  <c r="AO132"/>
  <c r="AZ143" i="5"/>
  <c r="BE143"/>
  <c r="BG143" s="1"/>
  <c r="BA144"/>
  <c r="BD143"/>
  <c r="BF143" s="1"/>
  <c r="BK143"/>
  <c r="BL143" s="1"/>
  <c r="BB143"/>
  <c r="BI143" s="1"/>
  <c r="BJ143" s="1"/>
  <c r="AM178" i="6"/>
  <c r="DT123" i="2"/>
  <c r="DU123"/>
  <c r="DR124"/>
  <c r="DV124"/>
  <c r="DS124"/>
  <c r="DP125"/>
  <c r="BZ168" i="6" l="1"/>
  <c r="BW168" s="1"/>
  <c r="BY169"/>
  <c r="BV168"/>
  <c r="BX168" s="1"/>
  <c r="DU124" i="2"/>
  <c r="DT124"/>
  <c r="AJ134" i="12"/>
  <c r="AL133"/>
  <c r="AK133"/>
  <c r="AO133"/>
  <c r="AN133"/>
  <c r="DS125" i="2"/>
  <c r="DP126"/>
  <c r="DR125"/>
  <c r="DV125"/>
  <c r="AN178" i="6"/>
  <c r="BD144" i="5"/>
  <c r="BF144" s="1"/>
  <c r="BB144"/>
  <c r="BK144"/>
  <c r="BL144" s="1"/>
  <c r="AZ144"/>
  <c r="BE144"/>
  <c r="BG144" s="1"/>
  <c r="BA145"/>
  <c r="BI144"/>
  <c r="BJ144" s="1"/>
  <c r="AY146" i="4"/>
  <c r="BA146" s="1"/>
  <c r="BF146"/>
  <c r="BG146" s="1"/>
  <c r="AZ146"/>
  <c r="BB146" s="1"/>
  <c r="AU146"/>
  <c r="AV147"/>
  <c r="AW146"/>
  <c r="BD146" s="1"/>
  <c r="BE146" s="1"/>
  <c r="AM179" i="6" l="1"/>
  <c r="BF147" i="4"/>
  <c r="BG147" s="1"/>
  <c r="AW147"/>
  <c r="AY147"/>
  <c r="BA147" s="1"/>
  <c r="AZ147"/>
  <c r="BB147" s="1"/>
  <c r="AV148"/>
  <c r="AU147"/>
  <c r="BD147"/>
  <c r="BE147" s="1"/>
  <c r="BZ169" i="6"/>
  <c r="BY170"/>
  <c r="BV169"/>
  <c r="BX169" s="1"/>
  <c r="BW169"/>
  <c r="DR126" i="2"/>
  <c r="DV126"/>
  <c r="DP127"/>
  <c r="DS126"/>
  <c r="BK145" i="5"/>
  <c r="BL145" s="1"/>
  <c r="BA146"/>
  <c r="BB145"/>
  <c r="BI145"/>
  <c r="BJ145" s="1"/>
  <c r="AZ145"/>
  <c r="BE145"/>
  <c r="BG145" s="1"/>
  <c r="BD145"/>
  <c r="BF145" s="1"/>
  <c r="AJ135" i="12"/>
  <c r="AL134"/>
  <c r="AK134"/>
  <c r="AN134"/>
  <c r="AO134"/>
  <c r="DU125" i="2"/>
  <c r="DT125"/>
  <c r="AK135" i="12" l="1"/>
  <c r="AJ136"/>
  <c r="AL135"/>
  <c r="AO135"/>
  <c r="AN135"/>
  <c r="BB146" i="5"/>
  <c r="BE146"/>
  <c r="BG146" s="1"/>
  <c r="BK146"/>
  <c r="BL146" s="1"/>
  <c r="BD146"/>
  <c r="BF146" s="1"/>
  <c r="BI146"/>
  <c r="BJ146" s="1"/>
  <c r="BA147"/>
  <c r="AZ146"/>
  <c r="BZ170" i="6"/>
  <c r="BW170" s="1"/>
  <c r="BY171"/>
  <c r="BV170"/>
  <c r="BX170" s="1"/>
  <c r="AW148" i="4"/>
  <c r="BD148" s="1"/>
  <c r="BE148" s="1"/>
  <c r="AU148"/>
  <c r="AZ148"/>
  <c r="BB148" s="1"/>
  <c r="AV149"/>
  <c r="AY148"/>
  <c r="BA148" s="1"/>
  <c r="BF148"/>
  <c r="BG148" s="1"/>
  <c r="DU126" i="2"/>
  <c r="DT126"/>
  <c r="AN179" i="6"/>
  <c r="DS127" i="2"/>
  <c r="DP128"/>
  <c r="DV127"/>
  <c r="DR127"/>
  <c r="DR128" l="1"/>
  <c r="DV128"/>
  <c r="DS128"/>
  <c r="DP129"/>
  <c r="AU149" i="4"/>
  <c r="AZ149"/>
  <c r="BB149" s="1"/>
  <c r="BD149"/>
  <c r="BE149" s="1"/>
  <c r="AV150"/>
  <c r="AY149"/>
  <c r="BA149" s="1"/>
  <c r="AW149"/>
  <c r="BF149"/>
  <c r="BG149" s="1"/>
  <c r="AM180" i="6"/>
  <c r="BY172"/>
  <c r="BZ171"/>
  <c r="BV171"/>
  <c r="BX171" s="1"/>
  <c r="BW171"/>
  <c r="AL136" i="12"/>
  <c r="AK136"/>
  <c r="AJ137"/>
  <c r="AN136"/>
  <c r="AO136"/>
  <c r="AZ147" i="5"/>
  <c r="BE147"/>
  <c r="BG147" s="1"/>
  <c r="BI147"/>
  <c r="BJ147" s="1"/>
  <c r="BA148"/>
  <c r="BB147"/>
  <c r="BK147"/>
  <c r="BL147" s="1"/>
  <c r="BD147"/>
  <c r="BF147" s="1"/>
  <c r="DU127" i="2"/>
  <c r="DT127"/>
  <c r="BD148" i="5" l="1"/>
  <c r="BF148" s="1"/>
  <c r="AZ148"/>
  <c r="BE148"/>
  <c r="BG148" s="1"/>
  <c r="BA149"/>
  <c r="BB148"/>
  <c r="BI148" s="1"/>
  <c r="BJ148" s="1"/>
  <c r="BK148"/>
  <c r="BL148" s="1"/>
  <c r="BY173" i="6"/>
  <c r="BV172"/>
  <c r="BX172" s="1"/>
  <c r="BZ172"/>
  <c r="BW172" s="1"/>
  <c r="DT128" i="2"/>
  <c r="DU128"/>
  <c r="AJ138" i="12"/>
  <c r="AL137"/>
  <c r="AK137"/>
  <c r="AO137"/>
  <c r="AN137"/>
  <c r="AN180" i="6"/>
  <c r="AY150" i="4"/>
  <c r="BA150" s="1"/>
  <c r="BF150"/>
  <c r="BG150" s="1"/>
  <c r="AW150"/>
  <c r="BD150"/>
  <c r="BE150" s="1"/>
  <c r="AV151"/>
  <c r="AU150"/>
  <c r="AZ150"/>
  <c r="BB150" s="1"/>
  <c r="DS129" i="2"/>
  <c r="DP130"/>
  <c r="DR129"/>
  <c r="DV129"/>
  <c r="AJ139" i="12" l="1"/>
  <c r="AL138"/>
  <c r="AK138"/>
  <c r="AN138"/>
  <c r="AO138"/>
  <c r="DT129" i="2"/>
  <c r="DU129"/>
  <c r="DR130"/>
  <c r="DV130"/>
  <c r="DP131"/>
  <c r="DS130"/>
  <c r="BF151" i="4"/>
  <c r="BG151" s="1"/>
  <c r="AW151"/>
  <c r="AU151"/>
  <c r="BD151"/>
  <c r="BE151" s="1"/>
  <c r="AY151"/>
  <c r="BA151" s="1"/>
  <c r="AV152"/>
  <c r="AZ151"/>
  <c r="BB151" s="1"/>
  <c r="BK149" i="5"/>
  <c r="BL149" s="1"/>
  <c r="BB149"/>
  <c r="AZ149"/>
  <c r="BE149"/>
  <c r="BG149" s="1"/>
  <c r="BA150"/>
  <c r="BI149"/>
  <c r="BJ149" s="1"/>
  <c r="BD149"/>
  <c r="BF149" s="1"/>
  <c r="AM181" i="6"/>
  <c r="BZ173"/>
  <c r="BW173" s="1"/>
  <c r="BV173"/>
  <c r="BX173" s="1"/>
  <c r="BY174"/>
  <c r="BZ174" l="1"/>
  <c r="BW174" s="1"/>
  <c r="BY175"/>
  <c r="BV174"/>
  <c r="BX174" s="1"/>
  <c r="BB150" i="5"/>
  <c r="BI150" s="1"/>
  <c r="BJ150" s="1"/>
  <c r="BD150"/>
  <c r="BF150" s="1"/>
  <c r="BA151"/>
  <c r="BE150"/>
  <c r="BG150" s="1"/>
  <c r="BK150"/>
  <c r="BL150" s="1"/>
  <c r="AZ150"/>
  <c r="AW152" i="4"/>
  <c r="AU152"/>
  <c r="AZ152"/>
  <c r="BB152" s="1"/>
  <c r="BD152"/>
  <c r="BE152" s="1"/>
  <c r="AV153"/>
  <c r="BF152"/>
  <c r="BG152" s="1"/>
  <c r="AY152"/>
  <c r="BA152" s="1"/>
  <c r="AK139" i="12"/>
  <c r="AJ140"/>
  <c r="AL139"/>
  <c r="AO139"/>
  <c r="AN139"/>
  <c r="AN181" i="6"/>
  <c r="DS131" i="2"/>
  <c r="DP132"/>
  <c r="DV131"/>
  <c r="DR131"/>
  <c r="DU130"/>
  <c r="DT130"/>
  <c r="BY176" i="6" l="1"/>
  <c r="BV175"/>
  <c r="BX175" s="1"/>
  <c r="BZ175"/>
  <c r="BW175" s="1"/>
  <c r="DT131" i="2"/>
  <c r="DU131"/>
  <c r="DR132"/>
  <c r="DV132"/>
  <c r="DP133"/>
  <c r="DS132"/>
  <c r="AM182" i="6"/>
  <c r="AL140" i="12"/>
  <c r="AK140"/>
  <c r="AJ141"/>
  <c r="AN140"/>
  <c r="AO140"/>
  <c r="AU153" i="4"/>
  <c r="AZ153"/>
  <c r="BB153" s="1"/>
  <c r="AV154"/>
  <c r="AY153"/>
  <c r="BA153" s="1"/>
  <c r="BF153"/>
  <c r="BG153" s="1"/>
  <c r="AW153"/>
  <c r="BD153" s="1"/>
  <c r="BE153" s="1"/>
  <c r="AZ151" i="5"/>
  <c r="BE151"/>
  <c r="BG151" s="1"/>
  <c r="BA152"/>
  <c r="BB151"/>
  <c r="BI151" s="1"/>
  <c r="BJ151" s="1"/>
  <c r="BK151"/>
  <c r="BL151" s="1"/>
  <c r="BD151"/>
  <c r="BF151" s="1"/>
  <c r="DU132" i="2" l="1"/>
  <c r="DT132"/>
  <c r="AY154" i="4"/>
  <c r="BA154" s="1"/>
  <c r="BF154"/>
  <c r="BG154" s="1"/>
  <c r="AZ154"/>
  <c r="BB154" s="1"/>
  <c r="AU154"/>
  <c r="AV155"/>
  <c r="AW154"/>
  <c r="BD154" s="1"/>
  <c r="BE154" s="1"/>
  <c r="DR133" i="2"/>
  <c r="DV133"/>
  <c r="DP134"/>
  <c r="DS133"/>
  <c r="BZ176" i="6"/>
  <c r="BY177"/>
  <c r="BV176"/>
  <c r="BX176" s="1"/>
  <c r="BW176"/>
  <c r="AJ142" i="12"/>
  <c r="AL141"/>
  <c r="AK141"/>
  <c r="AO141"/>
  <c r="AN141"/>
  <c r="AN182" i="6"/>
  <c r="BD152" i="5"/>
  <c r="BF152" s="1"/>
  <c r="BE152"/>
  <c r="BG152" s="1"/>
  <c r="BA153"/>
  <c r="AZ152"/>
  <c r="BK152"/>
  <c r="BL152" s="1"/>
  <c r="BB152"/>
  <c r="BI152" s="1"/>
  <c r="BJ152" s="1"/>
  <c r="BK153" l="1"/>
  <c r="BL153" s="1"/>
  <c r="AZ153"/>
  <c r="BE153"/>
  <c r="BG153" s="1"/>
  <c r="BD153"/>
  <c r="BF153" s="1"/>
  <c r="BI153"/>
  <c r="BJ153" s="1"/>
  <c r="BB153"/>
  <c r="BA154"/>
  <c r="DT133" i="2"/>
  <c r="DU133"/>
  <c r="AJ143" i="12"/>
  <c r="AL142"/>
  <c r="AK142"/>
  <c r="AN142"/>
  <c r="AO142"/>
  <c r="AM183" i="6"/>
  <c r="BZ177"/>
  <c r="BW177" s="1"/>
  <c r="BY178"/>
  <c r="BV177"/>
  <c r="BX177" s="1"/>
  <c r="BF155" i="4"/>
  <c r="BG155" s="1"/>
  <c r="AW155"/>
  <c r="AY155"/>
  <c r="BA155" s="1"/>
  <c r="AZ155"/>
  <c r="BB155" s="1"/>
  <c r="AV156"/>
  <c r="BD155"/>
  <c r="BE155" s="1"/>
  <c r="AU155"/>
  <c r="DR134" i="2"/>
  <c r="DV134"/>
  <c r="DP135"/>
  <c r="DS134"/>
  <c r="DU134" l="1"/>
  <c r="DT134"/>
  <c r="AW156" i="4"/>
  <c r="AU156"/>
  <c r="AZ156"/>
  <c r="BB156" s="1"/>
  <c r="BD156"/>
  <c r="BE156" s="1"/>
  <c r="AV157"/>
  <c r="BF156"/>
  <c r="BG156" s="1"/>
  <c r="AY156"/>
  <c r="BA156" s="1"/>
  <c r="DR135" i="2"/>
  <c r="DV135"/>
  <c r="DP136"/>
  <c r="DS135"/>
  <c r="BZ178" i="6"/>
  <c r="BY179"/>
  <c r="BV178"/>
  <c r="BX178" s="1"/>
  <c r="BW178"/>
  <c r="AK143" i="12"/>
  <c r="AJ144"/>
  <c r="AO143"/>
  <c r="AN143"/>
  <c r="AL143"/>
  <c r="AN183" i="6"/>
  <c r="BB154" i="5"/>
  <c r="BI154" s="1"/>
  <c r="BJ154" s="1"/>
  <c r="BA155"/>
  <c r="AZ154"/>
  <c r="BE154"/>
  <c r="BG154" s="1"/>
  <c r="BD154"/>
  <c r="BF154" s="1"/>
  <c r="BK154"/>
  <c r="BL154" s="1"/>
  <c r="DU135" i="2" l="1"/>
  <c r="DT135"/>
  <c r="AZ155" i="5"/>
  <c r="BE155"/>
  <c r="BG155" s="1"/>
  <c r="BA156"/>
  <c r="BK155"/>
  <c r="BL155" s="1"/>
  <c r="BD155"/>
  <c r="BF155" s="1"/>
  <c r="BB155"/>
  <c r="BI155" s="1"/>
  <c r="BJ155" s="1"/>
  <c r="AM184" i="6"/>
  <c r="AL144" i="12"/>
  <c r="AK144"/>
  <c r="AJ145"/>
  <c r="AN144"/>
  <c r="AO144"/>
  <c r="BY180" i="6"/>
  <c r="BV179"/>
  <c r="BX179" s="1"/>
  <c r="BZ179"/>
  <c r="BW179"/>
  <c r="AU157" i="4"/>
  <c r="AZ157"/>
  <c r="BB157" s="1"/>
  <c r="AV158"/>
  <c r="AY157"/>
  <c r="BA157" s="1"/>
  <c r="AW157"/>
  <c r="BD157" s="1"/>
  <c r="BE157" s="1"/>
  <c r="BF157"/>
  <c r="BG157" s="1"/>
  <c r="DR136" i="2"/>
  <c r="DV136"/>
  <c r="DP137"/>
  <c r="DS136"/>
  <c r="BV180" i="6" l="1"/>
  <c r="BX180" s="1"/>
  <c r="BY181"/>
  <c r="BZ180"/>
  <c r="BW180" s="1"/>
  <c r="DR137" i="2"/>
  <c r="DV137"/>
  <c r="DP138"/>
  <c r="DS137"/>
  <c r="AJ146" i="12"/>
  <c r="AL145"/>
  <c r="AK145"/>
  <c r="AO145"/>
  <c r="AN145"/>
  <c r="AN184" i="6"/>
  <c r="BD156" i="5"/>
  <c r="BF156" s="1"/>
  <c r="BA157"/>
  <c r="BB156"/>
  <c r="BK156"/>
  <c r="BL156" s="1"/>
  <c r="BE156"/>
  <c r="BG156" s="1"/>
  <c r="AZ156"/>
  <c r="BI156"/>
  <c r="BJ156" s="1"/>
  <c r="DU136" i="2"/>
  <c r="DT136"/>
  <c r="AY158" i="4"/>
  <c r="BA158" s="1"/>
  <c r="BF158"/>
  <c r="BG158" s="1"/>
  <c r="AW158"/>
  <c r="BD158" s="1"/>
  <c r="BE158" s="1"/>
  <c r="AZ158"/>
  <c r="BB158" s="1"/>
  <c r="AV159"/>
  <c r="AU158"/>
  <c r="BF159" l="1"/>
  <c r="BG159" s="1"/>
  <c r="AW159"/>
  <c r="BD159" s="1"/>
  <c r="BE159" s="1"/>
  <c r="AU159"/>
  <c r="AZ159"/>
  <c r="BB159" s="1"/>
  <c r="AV160"/>
  <c r="AY159"/>
  <c r="BA159" s="1"/>
  <c r="AM185" i="6"/>
  <c r="BZ181"/>
  <c r="BY182"/>
  <c r="BW181"/>
  <c r="BV181"/>
  <c r="BX181" s="1"/>
  <c r="DR138" i="2"/>
  <c r="DV138"/>
  <c r="DP139"/>
  <c r="DS138"/>
  <c r="BK157" i="5"/>
  <c r="BL157" s="1"/>
  <c r="BD157"/>
  <c r="BF157" s="1"/>
  <c r="BA158"/>
  <c r="AZ157"/>
  <c r="BE157"/>
  <c r="BG157" s="1"/>
  <c r="BB157"/>
  <c r="BI157" s="1"/>
  <c r="BJ157" s="1"/>
  <c r="AJ147" i="12"/>
  <c r="AL146"/>
  <c r="AN146"/>
  <c r="AO146"/>
  <c r="AK146"/>
  <c r="DU137" i="2"/>
  <c r="DT137"/>
  <c r="AW160" i="4" l="1"/>
  <c r="BD160" s="1"/>
  <c r="BE160" s="1"/>
  <c r="AU160"/>
  <c r="AZ160"/>
  <c r="BB160" s="1"/>
  <c r="AV161"/>
  <c r="BF160"/>
  <c r="BG160" s="1"/>
  <c r="AY160"/>
  <c r="BA160" s="1"/>
  <c r="AK147" i="12"/>
  <c r="AJ148"/>
  <c r="AL147"/>
  <c r="AO147"/>
  <c r="AN147"/>
  <c r="BB158" i="5"/>
  <c r="BI158" s="1"/>
  <c r="BJ158" s="1"/>
  <c r="AZ158"/>
  <c r="BE158"/>
  <c r="BG158" s="1"/>
  <c r="BK158"/>
  <c r="BL158" s="1"/>
  <c r="BA159"/>
  <c r="BD158"/>
  <c r="BF158" s="1"/>
  <c r="BZ182" i="6"/>
  <c r="BY183"/>
  <c r="BW182"/>
  <c r="BV182"/>
  <c r="BX182" s="1"/>
  <c r="DT138" i="2"/>
  <c r="DU138"/>
  <c r="DR139"/>
  <c r="DV139"/>
  <c r="DP140"/>
  <c r="DS139"/>
  <c r="AN185" i="6"/>
  <c r="DU139" i="2" l="1"/>
  <c r="DT139"/>
  <c r="BY184" i="6"/>
  <c r="BV183"/>
  <c r="BX183" s="1"/>
  <c r="BZ183"/>
  <c r="BW183" s="1"/>
  <c r="AZ159" i="5"/>
  <c r="BE159"/>
  <c r="BG159" s="1"/>
  <c r="BA160"/>
  <c r="BD159"/>
  <c r="BF159" s="1"/>
  <c r="BK159"/>
  <c r="BL159" s="1"/>
  <c r="BB159"/>
  <c r="BI159" s="1"/>
  <c r="BJ159" s="1"/>
  <c r="AL148" i="12"/>
  <c r="AK148"/>
  <c r="AJ149"/>
  <c r="AN148"/>
  <c r="AO148"/>
  <c r="AU161" i="4"/>
  <c r="AZ161"/>
  <c r="BB161" s="1"/>
  <c r="AV162"/>
  <c r="AY161"/>
  <c r="BA161" s="1"/>
  <c r="BF161"/>
  <c r="BG161" s="1"/>
  <c r="AW161"/>
  <c r="BD161" s="1"/>
  <c r="BE161" s="1"/>
  <c r="AM186" i="6"/>
  <c r="DR140" i="2"/>
  <c r="DV140"/>
  <c r="DP141"/>
  <c r="DS140"/>
  <c r="DR141" l="1"/>
  <c r="DV141"/>
  <c r="DP142"/>
  <c r="DS141"/>
  <c r="AN186" i="6"/>
  <c r="AY162" i="4"/>
  <c r="BA162" s="1"/>
  <c r="BF162"/>
  <c r="BG162" s="1"/>
  <c r="AZ162"/>
  <c r="BB162" s="1"/>
  <c r="AU162"/>
  <c r="AV163"/>
  <c r="AW162"/>
  <c r="BD162"/>
  <c r="BE162" s="1"/>
  <c r="BD160" i="5"/>
  <c r="BF160" s="1"/>
  <c r="BB160"/>
  <c r="BK160"/>
  <c r="BL160" s="1"/>
  <c r="AZ160"/>
  <c r="BA161"/>
  <c r="BI160"/>
  <c r="BJ160" s="1"/>
  <c r="BE160"/>
  <c r="BG160" s="1"/>
  <c r="BZ184" i="6"/>
  <c r="BW184" s="1"/>
  <c r="BV184"/>
  <c r="BX184" s="1"/>
  <c r="BY185"/>
  <c r="DU140" i="2"/>
  <c r="DT140"/>
  <c r="AJ150" i="12"/>
  <c r="AL149"/>
  <c r="AK149"/>
  <c r="AO149"/>
  <c r="AN149"/>
  <c r="AJ151" l="1"/>
  <c r="AL150"/>
  <c r="AK150"/>
  <c r="AN150"/>
  <c r="AO150"/>
  <c r="BZ185" i="6"/>
  <c r="BW185" s="1"/>
  <c r="BY186"/>
  <c r="BV185"/>
  <c r="BX185" s="1"/>
  <c r="BF163" i="4"/>
  <c r="BG163" s="1"/>
  <c r="AW163"/>
  <c r="AY163"/>
  <c r="BA163" s="1"/>
  <c r="AZ163"/>
  <c r="BB163" s="1"/>
  <c r="AV164"/>
  <c r="AU163"/>
  <c r="BD163"/>
  <c r="BE163" s="1"/>
  <c r="DR142" i="2"/>
  <c r="DV142"/>
  <c r="DP143"/>
  <c r="DS142"/>
  <c r="AM187" i="6"/>
  <c r="BK161" i="5"/>
  <c r="BL161" s="1"/>
  <c r="BA162"/>
  <c r="BB161"/>
  <c r="BE161"/>
  <c r="BG161" s="1"/>
  <c r="BD161"/>
  <c r="BF161" s="1"/>
  <c r="BI161"/>
  <c r="BJ161" s="1"/>
  <c r="AZ161"/>
  <c r="DT141" i="2"/>
  <c r="DU141"/>
  <c r="AW164" i="4" l="1"/>
  <c r="BD164" s="1"/>
  <c r="BE164" s="1"/>
  <c r="AU164"/>
  <c r="AZ164"/>
  <c r="BB164" s="1"/>
  <c r="AV165"/>
  <c r="AY164"/>
  <c r="BA164" s="1"/>
  <c r="BF164"/>
  <c r="BG164" s="1"/>
  <c r="BB162" i="5"/>
  <c r="BE162"/>
  <c r="BG162" s="1"/>
  <c r="BK162"/>
  <c r="BL162" s="1"/>
  <c r="BD162"/>
  <c r="BF162" s="1"/>
  <c r="BI162"/>
  <c r="BJ162" s="1"/>
  <c r="AZ162"/>
  <c r="BA163"/>
  <c r="AN187" i="6"/>
  <c r="AK151" i="12"/>
  <c r="AJ152"/>
  <c r="AO151"/>
  <c r="AL151"/>
  <c r="AN151"/>
  <c r="DR143" i="2"/>
  <c r="DV143"/>
  <c r="DP144"/>
  <c r="DS143"/>
  <c r="BZ186" i="6"/>
  <c r="BY187"/>
  <c r="BV186"/>
  <c r="BX186" s="1"/>
  <c r="BW186"/>
  <c r="DT142" i="2"/>
  <c r="DU142"/>
  <c r="DU143" l="1"/>
  <c r="DT143"/>
  <c r="AU165" i="4"/>
  <c r="AZ165"/>
  <c r="BB165" s="1"/>
  <c r="BD165"/>
  <c r="BE165" s="1"/>
  <c r="AV166"/>
  <c r="AY165"/>
  <c r="BA165" s="1"/>
  <c r="AW165"/>
  <c r="BF165"/>
  <c r="BG165" s="1"/>
  <c r="AL152" i="12"/>
  <c r="AK152"/>
  <c r="AJ153"/>
  <c r="AO152"/>
  <c r="AN152"/>
  <c r="AZ163" i="5"/>
  <c r="BE163"/>
  <c r="BG163" s="1"/>
  <c r="BI163"/>
  <c r="BJ163" s="1"/>
  <c r="BA164"/>
  <c r="BB163"/>
  <c r="BD163"/>
  <c r="BF163" s="1"/>
  <c r="BK163"/>
  <c r="BL163" s="1"/>
  <c r="BY188" i="6"/>
  <c r="BZ187"/>
  <c r="BV187"/>
  <c r="BX187" s="1"/>
  <c r="BW187"/>
  <c r="AM188"/>
  <c r="DR144" i="2"/>
  <c r="DV144"/>
  <c r="DP145"/>
  <c r="DS144"/>
  <c r="DR145" l="1"/>
  <c r="DV145"/>
  <c r="DP146"/>
  <c r="DS145"/>
  <c r="AN188" i="6"/>
  <c r="BV188"/>
  <c r="BX188" s="1"/>
  <c r="BY189"/>
  <c r="BZ188"/>
  <c r="BW188" s="1"/>
  <c r="BD164" i="5"/>
  <c r="BF164" s="1"/>
  <c r="AZ164"/>
  <c r="BE164"/>
  <c r="BG164" s="1"/>
  <c r="BI164"/>
  <c r="BJ164" s="1"/>
  <c r="BB164"/>
  <c r="BK164"/>
  <c r="BL164" s="1"/>
  <c r="BA165"/>
  <c r="AY166" i="4"/>
  <c r="BA166" s="1"/>
  <c r="BF166"/>
  <c r="BG166" s="1"/>
  <c r="AW166"/>
  <c r="BD166"/>
  <c r="BE166" s="1"/>
  <c r="AV167"/>
  <c r="AU166"/>
  <c r="AZ166"/>
  <c r="BB166" s="1"/>
  <c r="DU144" i="2"/>
  <c r="DT144"/>
  <c r="AJ154" i="12"/>
  <c r="AL153"/>
  <c r="AK153"/>
  <c r="AO153"/>
  <c r="AN153"/>
  <c r="BF167" i="4" l="1"/>
  <c r="BG167" s="1"/>
  <c r="AW167"/>
  <c r="BD167" s="1"/>
  <c r="BE167" s="1"/>
  <c r="AU167"/>
  <c r="AZ167"/>
  <c r="BB167" s="1"/>
  <c r="AY167"/>
  <c r="BA167" s="1"/>
  <c r="AV168"/>
  <c r="AJ155" i="12"/>
  <c r="AL154"/>
  <c r="AK154"/>
  <c r="AN154"/>
  <c r="AO154"/>
  <c r="DR146" i="2"/>
  <c r="DV146"/>
  <c r="DP147"/>
  <c r="DS146"/>
  <c r="BK165" i="5"/>
  <c r="BL165" s="1"/>
  <c r="BB165"/>
  <c r="AZ165"/>
  <c r="BE165"/>
  <c r="BG165" s="1"/>
  <c r="BD165"/>
  <c r="BF165" s="1"/>
  <c r="BA166"/>
  <c r="BI165"/>
  <c r="BJ165" s="1"/>
  <c r="AM189" i="6"/>
  <c r="BZ189"/>
  <c r="BV189"/>
  <c r="BX189" s="1"/>
  <c r="BW189"/>
  <c r="BY190"/>
  <c r="DU145" i="2"/>
  <c r="DT145"/>
  <c r="BB166" i="5" l="1"/>
  <c r="BI166" s="1"/>
  <c r="BJ166" s="1"/>
  <c r="BD166"/>
  <c r="BF166" s="1"/>
  <c r="BA167"/>
  <c r="BK166"/>
  <c r="BL166" s="1"/>
  <c r="AZ166"/>
  <c r="BE166"/>
  <c r="BG166" s="1"/>
  <c r="BZ190" i="6"/>
  <c r="BY191"/>
  <c r="BV190"/>
  <c r="BX190" s="1"/>
  <c r="BW190"/>
  <c r="AN189"/>
  <c r="DR147" i="2"/>
  <c r="DV147"/>
  <c r="DP148"/>
  <c r="DS147"/>
  <c r="AW168" i="4"/>
  <c r="AU168"/>
  <c r="AZ168"/>
  <c r="BB168" s="1"/>
  <c r="BD168"/>
  <c r="BE168" s="1"/>
  <c r="AV169"/>
  <c r="BF168"/>
  <c r="BG168" s="1"/>
  <c r="AY168"/>
  <c r="BA168" s="1"/>
  <c r="DU146" i="2"/>
  <c r="DT146"/>
  <c r="AK155" i="12"/>
  <c r="AJ156"/>
  <c r="AL155"/>
  <c r="AO155"/>
  <c r="AN155"/>
  <c r="BY192" i="6" l="1"/>
  <c r="BZ191"/>
  <c r="BW191" s="1"/>
  <c r="BV191"/>
  <c r="BX191" s="1"/>
  <c r="DU147" i="2"/>
  <c r="DT147"/>
  <c r="AU169" i="4"/>
  <c r="AZ169"/>
  <c r="BB169" s="1"/>
  <c r="AV170"/>
  <c r="AY169"/>
  <c r="BA169" s="1"/>
  <c r="BF169"/>
  <c r="BG169" s="1"/>
  <c r="AW169"/>
  <c r="BD169" s="1"/>
  <c r="BE169" s="1"/>
  <c r="AL156" i="12"/>
  <c r="AK156"/>
  <c r="AJ157"/>
  <c r="AN156"/>
  <c r="AO156"/>
  <c r="DR148" i="2"/>
  <c r="DV148"/>
  <c r="DP149"/>
  <c r="DS148"/>
  <c r="AM190" i="6"/>
  <c r="AZ167" i="5"/>
  <c r="BE167"/>
  <c r="BG167" s="1"/>
  <c r="BA168"/>
  <c r="BB167"/>
  <c r="BI167" s="1"/>
  <c r="BJ167" s="1"/>
  <c r="BK167"/>
  <c r="BL167" s="1"/>
  <c r="BD167"/>
  <c r="BF167" s="1"/>
  <c r="DU148" i="2" l="1"/>
  <c r="DT148"/>
  <c r="AY170" i="4"/>
  <c r="BA170" s="1"/>
  <c r="BF170"/>
  <c r="BG170" s="1"/>
  <c r="AZ170"/>
  <c r="BB170" s="1"/>
  <c r="AU170"/>
  <c r="AV171"/>
  <c r="AW170"/>
  <c r="BD170" s="1"/>
  <c r="BE170" s="1"/>
  <c r="DR149" i="2"/>
  <c r="DV149"/>
  <c r="DP150"/>
  <c r="DS149"/>
  <c r="BZ192" i="6"/>
  <c r="BY193"/>
  <c r="BV192"/>
  <c r="BX192" s="1"/>
  <c r="BW192"/>
  <c r="AN190"/>
  <c r="BD168" i="5"/>
  <c r="BF168" s="1"/>
  <c r="BE168"/>
  <c r="BG168" s="1"/>
  <c r="BI168"/>
  <c r="BJ168" s="1"/>
  <c r="BA169"/>
  <c r="BB168"/>
  <c r="AZ168"/>
  <c r="BK168"/>
  <c r="BL168" s="1"/>
  <c r="AJ158" i="12"/>
  <c r="AL157"/>
  <c r="AK157"/>
  <c r="AO157"/>
  <c r="AN157"/>
  <c r="BZ193" i="6" l="1"/>
  <c r="BW193" s="1"/>
  <c r="BY194"/>
  <c r="BV193"/>
  <c r="BX193" s="1"/>
  <c r="BF171" i="4"/>
  <c r="BG171" s="1"/>
  <c r="AW171"/>
  <c r="AY171"/>
  <c r="BA171" s="1"/>
  <c r="AZ171"/>
  <c r="BB171" s="1"/>
  <c r="AV172"/>
  <c r="BD171"/>
  <c r="BE171" s="1"/>
  <c r="AU171"/>
  <c r="DT149" i="2"/>
  <c r="DU149"/>
  <c r="AM191" i="6"/>
  <c r="AJ159" i="12"/>
  <c r="AL158"/>
  <c r="AK158"/>
  <c r="AN158"/>
  <c r="AO158"/>
  <c r="BK169" i="5"/>
  <c r="BL169" s="1"/>
  <c r="AZ169"/>
  <c r="BE169"/>
  <c r="BG169" s="1"/>
  <c r="BD169"/>
  <c r="BF169" s="1"/>
  <c r="BA170"/>
  <c r="BB169"/>
  <c r="BI169" s="1"/>
  <c r="BJ169" s="1"/>
  <c r="DR150" i="2"/>
  <c r="DV150"/>
  <c r="DP151"/>
  <c r="DS150"/>
  <c r="AW172" i="4" l="1"/>
  <c r="BD172" s="1"/>
  <c r="BE172" s="1"/>
  <c r="AU172"/>
  <c r="AZ172"/>
  <c r="BB172" s="1"/>
  <c r="AV173"/>
  <c r="BF172"/>
  <c r="BG172" s="1"/>
  <c r="AY172"/>
  <c r="BA172" s="1"/>
  <c r="DR151" i="2"/>
  <c r="DV151"/>
  <c r="DP152"/>
  <c r="DS151"/>
  <c r="BB170" i="5"/>
  <c r="BA171"/>
  <c r="AZ170"/>
  <c r="BI170"/>
  <c r="BJ170" s="1"/>
  <c r="BE170"/>
  <c r="BG170" s="1"/>
  <c r="BK170"/>
  <c r="BL170" s="1"/>
  <c r="BD170"/>
  <c r="BF170" s="1"/>
  <c r="AN191" i="6"/>
  <c r="BZ194"/>
  <c r="BY195"/>
  <c r="BV194"/>
  <c r="BX194" s="1"/>
  <c r="BW194"/>
  <c r="DT150" i="2"/>
  <c r="DU150"/>
  <c r="AK159" i="12"/>
  <c r="AJ160"/>
  <c r="AO159"/>
  <c r="AN159"/>
  <c r="AL159"/>
  <c r="AZ171" i="5" l="1"/>
  <c r="BE171"/>
  <c r="BG171" s="1"/>
  <c r="BA172"/>
  <c r="BK171"/>
  <c r="BL171" s="1"/>
  <c r="BD171"/>
  <c r="BF171" s="1"/>
  <c r="BB171"/>
  <c r="BI171" s="1"/>
  <c r="BJ171" s="1"/>
  <c r="AU173" i="4"/>
  <c r="AZ173"/>
  <c r="BB173" s="1"/>
  <c r="AV174"/>
  <c r="AY173"/>
  <c r="BA173" s="1"/>
  <c r="AW173"/>
  <c r="BD173" s="1"/>
  <c r="BE173" s="1"/>
  <c r="BF173"/>
  <c r="BG173" s="1"/>
  <c r="BY196" i="6"/>
  <c r="BZ195"/>
  <c r="BV195"/>
  <c r="BX195" s="1"/>
  <c r="BW195"/>
  <c r="DR152" i="2"/>
  <c r="DV152"/>
  <c r="DP153"/>
  <c r="DS152"/>
  <c r="DU151"/>
  <c r="DT151"/>
  <c r="AM192" i="6"/>
  <c r="AL160" i="12"/>
  <c r="AK160"/>
  <c r="AJ161"/>
  <c r="AN160"/>
  <c r="AO160"/>
  <c r="DU152" i="2" l="1"/>
  <c r="DT152"/>
  <c r="BY197" i="6"/>
  <c r="BV196"/>
  <c r="BX196" s="1"/>
  <c r="BZ196"/>
  <c r="BW196" s="1"/>
  <c r="AY174" i="4"/>
  <c r="BA174" s="1"/>
  <c r="BF174"/>
  <c r="BG174" s="1"/>
  <c r="AW174"/>
  <c r="BD174" s="1"/>
  <c r="BE174" s="1"/>
  <c r="AU174"/>
  <c r="AZ174"/>
  <c r="BB174" s="1"/>
  <c r="AV175"/>
  <c r="AJ162" i="12"/>
  <c r="AL161"/>
  <c r="AK161"/>
  <c r="AO161"/>
  <c r="AN161"/>
  <c r="AN192" i="6"/>
  <c r="DR153" i="2"/>
  <c r="DV153"/>
  <c r="DP154"/>
  <c r="DS153"/>
  <c r="BD172" i="5"/>
  <c r="BF172" s="1"/>
  <c r="BA173"/>
  <c r="BB172"/>
  <c r="BK172"/>
  <c r="BL172" s="1"/>
  <c r="BI172"/>
  <c r="BJ172" s="1"/>
  <c r="AZ172"/>
  <c r="BE172"/>
  <c r="BG172" s="1"/>
  <c r="BF175" i="4" l="1"/>
  <c r="BG175" s="1"/>
  <c r="AW175"/>
  <c r="BD175" s="1"/>
  <c r="BE175" s="1"/>
  <c r="AU175"/>
  <c r="AZ175"/>
  <c r="BB175" s="1"/>
  <c r="AY175"/>
  <c r="BA175" s="1"/>
  <c r="AV176"/>
  <c r="BK173" i="5"/>
  <c r="BL173" s="1"/>
  <c r="BD173"/>
  <c r="BF173" s="1"/>
  <c r="BI173"/>
  <c r="BJ173" s="1"/>
  <c r="BA174"/>
  <c r="BB173"/>
  <c r="AZ173"/>
  <c r="BE173"/>
  <c r="BG173" s="1"/>
  <c r="AL162" i="12"/>
  <c r="AJ163"/>
  <c r="AK162"/>
  <c r="AN162"/>
  <c r="AO162"/>
  <c r="DU153" i="2"/>
  <c r="DT153"/>
  <c r="DR154"/>
  <c r="DV154"/>
  <c r="DP155"/>
  <c r="DS154"/>
  <c r="AM193" i="6"/>
  <c r="BZ197"/>
  <c r="BV197"/>
  <c r="BX197" s="1"/>
  <c r="BY198"/>
  <c r="BW197"/>
  <c r="BZ198" l="1"/>
  <c r="BW198" s="1"/>
  <c r="BY199"/>
  <c r="BV198"/>
  <c r="BX198" s="1"/>
  <c r="AN193"/>
  <c r="DT154" i="2"/>
  <c r="DU154"/>
  <c r="BB174" i="5"/>
  <c r="BI174" s="1"/>
  <c r="BJ174" s="1"/>
  <c r="AZ174"/>
  <c r="BE174"/>
  <c r="BG174" s="1"/>
  <c r="BK174"/>
  <c r="BL174" s="1"/>
  <c r="BD174"/>
  <c r="BF174" s="1"/>
  <c r="BA175"/>
  <c r="AW176" i="4"/>
  <c r="AU176"/>
  <c r="AZ176"/>
  <c r="BB176" s="1"/>
  <c r="BD176"/>
  <c r="BE176" s="1"/>
  <c r="AV177"/>
  <c r="BF176"/>
  <c r="BG176" s="1"/>
  <c r="AY176"/>
  <c r="BA176" s="1"/>
  <c r="DR155" i="2"/>
  <c r="DV155"/>
  <c r="DP156"/>
  <c r="DS155"/>
  <c r="AK163" i="12"/>
  <c r="AL163"/>
  <c r="AO163"/>
  <c r="AJ164"/>
  <c r="AN163"/>
  <c r="DR156" i="2" l="1"/>
  <c r="DV156"/>
  <c r="DP157"/>
  <c r="DS156"/>
  <c r="AK164" i="12"/>
  <c r="AJ165"/>
  <c r="AL164"/>
  <c r="AN164"/>
  <c r="AO164"/>
  <c r="AM194" i="6"/>
  <c r="BY200"/>
  <c r="BV199"/>
  <c r="BX199" s="1"/>
  <c r="BZ199"/>
  <c r="BW199" s="1"/>
  <c r="DU155" i="2"/>
  <c r="DT155"/>
  <c r="AZ175" i="5"/>
  <c r="BE175"/>
  <c r="BG175" s="1"/>
  <c r="BA176"/>
  <c r="BD175"/>
  <c r="BF175" s="1"/>
  <c r="BK175"/>
  <c r="BL175" s="1"/>
  <c r="BB175"/>
  <c r="BI175" s="1"/>
  <c r="BJ175" s="1"/>
  <c r="AU177" i="4"/>
  <c r="AZ177"/>
  <c r="BB177" s="1"/>
  <c r="AV178"/>
  <c r="AY177"/>
  <c r="BA177" s="1"/>
  <c r="BF177"/>
  <c r="BG177" s="1"/>
  <c r="AW177"/>
  <c r="BD177" s="1"/>
  <c r="BE177" s="1"/>
  <c r="AN194" i="6" l="1"/>
  <c r="AL165" i="12"/>
  <c r="AJ166"/>
  <c r="AK165"/>
  <c r="AO165"/>
  <c r="AN165"/>
  <c r="AY178" i="4"/>
  <c r="BA178" s="1"/>
  <c r="BF178"/>
  <c r="BG178" s="1"/>
  <c r="AZ178"/>
  <c r="BB178" s="1"/>
  <c r="AU178"/>
  <c r="AV179"/>
  <c r="AW178"/>
  <c r="BD178" s="1"/>
  <c r="BE178" s="1"/>
  <c r="BD176" i="5"/>
  <c r="BF176" s="1"/>
  <c r="BB176"/>
  <c r="BK176"/>
  <c r="BL176" s="1"/>
  <c r="AZ176"/>
  <c r="BE176"/>
  <c r="BG176" s="1"/>
  <c r="BI176"/>
  <c r="BJ176" s="1"/>
  <c r="BA177"/>
  <c r="DR157" i="2"/>
  <c r="DV157"/>
  <c r="DP158"/>
  <c r="DS157"/>
  <c r="BZ200" i="6"/>
  <c r="BW200" s="1"/>
  <c r="BV200"/>
  <c r="BX200" s="1"/>
  <c r="BY201"/>
  <c r="DU156" i="2"/>
  <c r="DT156"/>
  <c r="BZ201" i="6" l="1"/>
  <c r="BW201" s="1"/>
  <c r="BY202"/>
  <c r="BV201"/>
  <c r="BX201" s="1"/>
  <c r="DT157" i="2"/>
  <c r="DU157"/>
  <c r="BK177" i="5"/>
  <c r="BL177" s="1"/>
  <c r="BA178"/>
  <c r="BB177"/>
  <c r="BI177" s="1"/>
  <c r="BJ177" s="1"/>
  <c r="AZ177"/>
  <c r="BD177"/>
  <c r="BF177" s="1"/>
  <c r="BE177"/>
  <c r="BG177" s="1"/>
  <c r="AM195" i="6"/>
  <c r="DR158" i="2"/>
  <c r="DV158"/>
  <c r="DP159"/>
  <c r="DS158"/>
  <c r="BF179" i="4"/>
  <c r="BG179" s="1"/>
  <c r="AW179"/>
  <c r="BD179" s="1"/>
  <c r="BE179" s="1"/>
  <c r="AY179"/>
  <c r="BA179" s="1"/>
  <c r="AZ179"/>
  <c r="BB179" s="1"/>
  <c r="AV180"/>
  <c r="AU179"/>
  <c r="AJ167" i="12"/>
  <c r="AK166"/>
  <c r="AL166"/>
  <c r="AN166"/>
  <c r="AO166"/>
  <c r="AW180" i="4" l="1"/>
  <c r="BD180" s="1"/>
  <c r="BE180" s="1"/>
  <c r="AU180"/>
  <c r="AZ180"/>
  <c r="BB180" s="1"/>
  <c r="AV181"/>
  <c r="AY180"/>
  <c r="BA180" s="1"/>
  <c r="BF180"/>
  <c r="BG180" s="1"/>
  <c r="DR159" i="2"/>
  <c r="DV159"/>
  <c r="DP160"/>
  <c r="DS159"/>
  <c r="AN195" i="6"/>
  <c r="BZ202"/>
  <c r="BY203"/>
  <c r="BV202"/>
  <c r="BX202" s="1"/>
  <c r="BW202"/>
  <c r="DT158" i="2"/>
  <c r="DU158"/>
  <c r="AL167" i="12"/>
  <c r="AK167"/>
  <c r="AO167"/>
  <c r="AN167"/>
  <c r="AJ168"/>
  <c r="BB178" i="5"/>
  <c r="BE178"/>
  <c r="BG178" s="1"/>
  <c r="BK178"/>
  <c r="BL178" s="1"/>
  <c r="BD178"/>
  <c r="BF178" s="1"/>
  <c r="BI178"/>
  <c r="BJ178" s="1"/>
  <c r="BA179"/>
  <c r="AZ178"/>
  <c r="AU181" i="4" l="1"/>
  <c r="AZ181"/>
  <c r="BB181" s="1"/>
  <c r="AV182"/>
  <c r="AY181"/>
  <c r="BA181" s="1"/>
  <c r="AW181"/>
  <c r="BD181" s="1"/>
  <c r="BE181" s="1"/>
  <c r="BF181"/>
  <c r="BG181" s="1"/>
  <c r="AZ179" i="5"/>
  <c r="BE179"/>
  <c r="BG179" s="1"/>
  <c r="BI179"/>
  <c r="BJ179" s="1"/>
  <c r="BA180"/>
  <c r="BB179"/>
  <c r="BK179"/>
  <c r="BL179" s="1"/>
  <c r="BD179"/>
  <c r="BF179" s="1"/>
  <c r="DR160" i="2"/>
  <c r="DV160"/>
  <c r="DP161"/>
  <c r="DS160"/>
  <c r="BY204" i="6"/>
  <c r="BZ203"/>
  <c r="BV203"/>
  <c r="BX203" s="1"/>
  <c r="BW203"/>
  <c r="DU159" i="2"/>
  <c r="DT159"/>
  <c r="AK168" i="12"/>
  <c r="AJ169"/>
  <c r="AN168"/>
  <c r="AL168"/>
  <c r="AO168"/>
  <c r="AM196" i="6"/>
  <c r="DR161" i="2" l="1"/>
  <c r="DV161"/>
  <c r="DP162"/>
  <c r="DS161"/>
  <c r="AN196" i="6"/>
  <c r="AL169" i="12"/>
  <c r="AJ170"/>
  <c r="AK169"/>
  <c r="AO169"/>
  <c r="AN169"/>
  <c r="BD180" i="5"/>
  <c r="BF180" s="1"/>
  <c r="AZ180"/>
  <c r="BE180"/>
  <c r="BG180" s="1"/>
  <c r="BA181"/>
  <c r="BK180"/>
  <c r="BL180" s="1"/>
  <c r="BB180"/>
  <c r="BI180" s="1"/>
  <c r="BJ180" s="1"/>
  <c r="DU160" i="2"/>
  <c r="DT160"/>
  <c r="BY205" i="6"/>
  <c r="BV204"/>
  <c r="BX204" s="1"/>
  <c r="BZ204"/>
  <c r="BW204"/>
  <c r="AY182" i="4"/>
  <c r="BA182" s="1"/>
  <c r="BF182"/>
  <c r="BG182" s="1"/>
  <c r="AW182"/>
  <c r="BD182"/>
  <c r="BE182" s="1"/>
  <c r="AZ182"/>
  <c r="BB182" s="1"/>
  <c r="AU182"/>
  <c r="AV183"/>
  <c r="BZ205" i="6" l="1"/>
  <c r="BW205" s="1"/>
  <c r="BV205"/>
  <c r="BX205" s="1"/>
  <c r="BY206"/>
  <c r="AM197"/>
  <c r="BF183" i="4"/>
  <c r="BG183" s="1"/>
  <c r="AW183"/>
  <c r="AU183"/>
  <c r="BD183"/>
  <c r="BE183" s="1"/>
  <c r="AY183"/>
  <c r="BA183" s="1"/>
  <c r="AV184"/>
  <c r="AZ183"/>
  <c r="BB183" s="1"/>
  <c r="DR162" i="2"/>
  <c r="DV162"/>
  <c r="DP163"/>
  <c r="DS162"/>
  <c r="BK181" i="5"/>
  <c r="BL181" s="1"/>
  <c r="BB181"/>
  <c r="AZ181"/>
  <c r="BE181"/>
  <c r="BG181" s="1"/>
  <c r="BA182"/>
  <c r="BI181"/>
  <c r="BJ181" s="1"/>
  <c r="BD181"/>
  <c r="BF181" s="1"/>
  <c r="AJ171" i="12"/>
  <c r="AK170"/>
  <c r="AL170"/>
  <c r="AN170"/>
  <c r="AO170"/>
  <c r="DT161" i="2"/>
  <c r="DU161"/>
  <c r="DT162" l="1"/>
  <c r="DU162"/>
  <c r="AL171" i="12"/>
  <c r="AJ172"/>
  <c r="AO171"/>
  <c r="AK171"/>
  <c r="AN171"/>
  <c r="AN197" i="6"/>
  <c r="BB182" i="5"/>
  <c r="BI182" s="1"/>
  <c r="BJ182" s="1"/>
  <c r="BD182"/>
  <c r="BF182" s="1"/>
  <c r="BA183"/>
  <c r="BE182"/>
  <c r="BG182" s="1"/>
  <c r="AZ182"/>
  <c r="BK182"/>
  <c r="BL182" s="1"/>
  <c r="DR163" i="2"/>
  <c r="DV163"/>
  <c r="DP164"/>
  <c r="DS163"/>
  <c r="AW184" i="4"/>
  <c r="BD184" s="1"/>
  <c r="BE184" s="1"/>
  <c r="AU184"/>
  <c r="AZ184"/>
  <c r="BB184" s="1"/>
  <c r="AV185"/>
  <c r="BF184"/>
  <c r="BG184" s="1"/>
  <c r="AY184"/>
  <c r="BA184" s="1"/>
  <c r="BZ206" i="6"/>
  <c r="BW206" s="1"/>
  <c r="BY207"/>
  <c r="BV206"/>
  <c r="BX206" s="1"/>
  <c r="AZ183" i="5" l="1"/>
  <c r="BE183"/>
  <c r="BG183" s="1"/>
  <c r="BA184"/>
  <c r="BB183"/>
  <c r="BI183" s="1"/>
  <c r="BJ183" s="1"/>
  <c r="BK183"/>
  <c r="BL183" s="1"/>
  <c r="BD183"/>
  <c r="BF183" s="1"/>
  <c r="DR164" i="2"/>
  <c r="DV164"/>
  <c r="DP165"/>
  <c r="DS164"/>
  <c r="BY208" i="6"/>
  <c r="BV207"/>
  <c r="BX207" s="1"/>
  <c r="BZ207"/>
  <c r="BW207"/>
  <c r="AU185" i="4"/>
  <c r="AZ185"/>
  <c r="BB185" s="1"/>
  <c r="AV186"/>
  <c r="AY185"/>
  <c r="BA185" s="1"/>
  <c r="BF185"/>
  <c r="BG185" s="1"/>
  <c r="AW185"/>
  <c r="BD185" s="1"/>
  <c r="BE185" s="1"/>
  <c r="DU163" i="2"/>
  <c r="DT163"/>
  <c r="AM198" i="6"/>
  <c r="AK172" i="12"/>
  <c r="AJ173"/>
  <c r="AL172"/>
  <c r="AN172"/>
  <c r="AO172"/>
  <c r="AY186" i="4" l="1"/>
  <c r="BA186" s="1"/>
  <c r="BF186"/>
  <c r="BG186" s="1"/>
  <c r="AZ186"/>
  <c r="BB186" s="1"/>
  <c r="AU186"/>
  <c r="AV187"/>
  <c r="AW186"/>
  <c r="BD186" s="1"/>
  <c r="BE186" s="1"/>
  <c r="AL173" i="12"/>
  <c r="AJ174"/>
  <c r="AK173"/>
  <c r="AO173"/>
  <c r="AN173"/>
  <c r="BZ208" i="6"/>
  <c r="BW208" s="1"/>
  <c r="BV208"/>
  <c r="BX208" s="1"/>
  <c r="BY209"/>
  <c r="AN198"/>
  <c r="DR165" i="2"/>
  <c r="DV165"/>
  <c r="DP166"/>
  <c r="DS165"/>
  <c r="DU164"/>
  <c r="DT164"/>
  <c r="BD184" i="5"/>
  <c r="BF184" s="1"/>
  <c r="BE184"/>
  <c r="BG184" s="1"/>
  <c r="BA185"/>
  <c r="AZ184"/>
  <c r="BK184"/>
  <c r="BL184" s="1"/>
  <c r="BB184"/>
  <c r="BI184" s="1"/>
  <c r="BJ184" s="1"/>
  <c r="DR166" i="2" l="1"/>
  <c r="DV166"/>
  <c r="DP167"/>
  <c r="DS166"/>
  <c r="AM199" i="6"/>
  <c r="AJ175" i="12"/>
  <c r="AK174"/>
  <c r="AL174"/>
  <c r="AN174"/>
  <c r="AO174"/>
  <c r="BF187" i="4"/>
  <c r="BG187" s="1"/>
  <c r="AW187"/>
  <c r="AY187"/>
  <c r="BA187" s="1"/>
  <c r="AZ187"/>
  <c r="BB187" s="1"/>
  <c r="AV188"/>
  <c r="BD187"/>
  <c r="BE187" s="1"/>
  <c r="AU187"/>
  <c r="BZ209" i="6"/>
  <c r="BY210"/>
  <c r="BV209"/>
  <c r="BX209" s="1"/>
  <c r="BW209"/>
  <c r="DT165" i="2"/>
  <c r="DU165"/>
  <c r="BK185" i="5"/>
  <c r="BL185" s="1"/>
  <c r="AZ185"/>
  <c r="BE185"/>
  <c r="BG185" s="1"/>
  <c r="BD185"/>
  <c r="BF185" s="1"/>
  <c r="BI185"/>
  <c r="BJ185" s="1"/>
  <c r="BB185"/>
  <c r="BA186"/>
  <c r="BZ210" i="6" l="1"/>
  <c r="BW210" s="1"/>
  <c r="BY211"/>
  <c r="BV210"/>
  <c r="BX210" s="1"/>
  <c r="AW188" i="4"/>
  <c r="BD188" s="1"/>
  <c r="BE188" s="1"/>
  <c r="AU188"/>
  <c r="AZ188"/>
  <c r="BB188" s="1"/>
  <c r="AV189"/>
  <c r="BF188"/>
  <c r="BG188" s="1"/>
  <c r="AY188"/>
  <c r="BA188" s="1"/>
  <c r="AN199" i="6"/>
  <c r="BB186" i="5"/>
  <c r="BA187"/>
  <c r="AZ186"/>
  <c r="BE186"/>
  <c r="BG186" s="1"/>
  <c r="BD186"/>
  <c r="BF186" s="1"/>
  <c r="BK186"/>
  <c r="BL186" s="1"/>
  <c r="BI186"/>
  <c r="BJ186" s="1"/>
  <c r="AL175" i="12"/>
  <c r="AK175"/>
  <c r="AO175"/>
  <c r="AN175"/>
  <c r="AJ176"/>
  <c r="DR167" i="2"/>
  <c r="DV167"/>
  <c r="DP168"/>
  <c r="DS167"/>
  <c r="DU166"/>
  <c r="DT166"/>
  <c r="BY212" i="6" l="1"/>
  <c r="BV211"/>
  <c r="BX211" s="1"/>
  <c r="BZ211"/>
  <c r="BW211" s="1"/>
  <c r="DU167" i="2"/>
  <c r="DT167"/>
  <c r="AK176" i="12"/>
  <c r="AJ177"/>
  <c r="AL176"/>
  <c r="AN176"/>
  <c r="AO176"/>
  <c r="AU189" i="4"/>
  <c r="AZ189"/>
  <c r="BB189" s="1"/>
  <c r="AV190"/>
  <c r="AY189"/>
  <c r="BA189" s="1"/>
  <c r="AW189"/>
  <c r="BD189" s="1"/>
  <c r="BE189" s="1"/>
  <c r="BF189"/>
  <c r="BG189" s="1"/>
  <c r="AZ187" i="5"/>
  <c r="BE187"/>
  <c r="BG187" s="1"/>
  <c r="BA188"/>
  <c r="BK187"/>
  <c r="BL187" s="1"/>
  <c r="BD187"/>
  <c r="BF187" s="1"/>
  <c r="BB187"/>
  <c r="BI187" s="1"/>
  <c r="BJ187" s="1"/>
  <c r="DR168" i="2"/>
  <c r="DV168"/>
  <c r="DP169"/>
  <c r="DS168"/>
  <c r="AM200" i="6"/>
  <c r="BV212" l="1"/>
  <c r="BX212" s="1"/>
  <c r="BY213"/>
  <c r="BZ212"/>
  <c r="BW212" s="1"/>
  <c r="AN200"/>
  <c r="BD188" i="5"/>
  <c r="BF188" s="1"/>
  <c r="BA189"/>
  <c r="BB188"/>
  <c r="BI188" s="1"/>
  <c r="BJ188" s="1"/>
  <c r="BK188"/>
  <c r="BL188" s="1"/>
  <c r="BE188"/>
  <c r="BG188" s="1"/>
  <c r="AZ188"/>
  <c r="AY190" i="4"/>
  <c r="BA190" s="1"/>
  <c r="BF190"/>
  <c r="BG190" s="1"/>
  <c r="AW190"/>
  <c r="BD190"/>
  <c r="BE190" s="1"/>
  <c r="AU190"/>
  <c r="AZ190"/>
  <c r="BB190" s="1"/>
  <c r="AV191"/>
  <c r="DU168" i="2"/>
  <c r="DT168"/>
  <c r="DR169"/>
  <c r="DV169"/>
  <c r="DP170"/>
  <c r="DS169"/>
  <c r="AL177" i="12"/>
  <c r="AJ178"/>
  <c r="AK177"/>
  <c r="AO177"/>
  <c r="AN177"/>
  <c r="DR170" i="2" l="1"/>
  <c r="DV170"/>
  <c r="DP171"/>
  <c r="DS170"/>
  <c r="AM201" i="6"/>
  <c r="BZ213"/>
  <c r="BV213"/>
  <c r="BX213" s="1"/>
  <c r="BY214"/>
  <c r="BW213"/>
  <c r="DT169" i="2"/>
  <c r="DU169"/>
  <c r="AJ179" i="12"/>
  <c r="AK178"/>
  <c r="AL178"/>
  <c r="AN178"/>
  <c r="AO178"/>
  <c r="BF191" i="4"/>
  <c r="BG191" s="1"/>
  <c r="AW191"/>
  <c r="AU191"/>
  <c r="BD191"/>
  <c r="BE191" s="1"/>
  <c r="AZ191"/>
  <c r="BB191" s="1"/>
  <c r="AV192"/>
  <c r="AY191"/>
  <c r="BA191" s="1"/>
  <c r="BK189" i="5"/>
  <c r="BL189" s="1"/>
  <c r="BD189"/>
  <c r="BF189" s="1"/>
  <c r="BA190"/>
  <c r="AZ189"/>
  <c r="BE189"/>
  <c r="BG189" s="1"/>
  <c r="BB189"/>
  <c r="BI189" s="1"/>
  <c r="BJ189" s="1"/>
  <c r="BB190" l="1"/>
  <c r="BI190" s="1"/>
  <c r="BJ190" s="1"/>
  <c r="AZ190"/>
  <c r="BE190"/>
  <c r="BG190" s="1"/>
  <c r="BK190"/>
  <c r="BL190" s="1"/>
  <c r="BA191"/>
  <c r="BD190"/>
  <c r="BF190" s="1"/>
  <c r="AL179" i="12"/>
  <c r="AJ180"/>
  <c r="AK179"/>
  <c r="AO179"/>
  <c r="AN179"/>
  <c r="BZ214" i="6"/>
  <c r="BW214" s="1"/>
  <c r="BY215"/>
  <c r="BV214"/>
  <c r="BX214" s="1"/>
  <c r="AN201"/>
  <c r="AW192" i="4"/>
  <c r="BD192" s="1"/>
  <c r="BE192" s="1"/>
  <c r="AU192"/>
  <c r="AZ192"/>
  <c r="BB192" s="1"/>
  <c r="AV193"/>
  <c r="BF192"/>
  <c r="BG192" s="1"/>
  <c r="AY192"/>
  <c r="BA192" s="1"/>
  <c r="DR171" i="2"/>
  <c r="DV171"/>
  <c r="DP172"/>
  <c r="DS171"/>
  <c r="DT170"/>
  <c r="DU170"/>
  <c r="AM202" i="6" l="1"/>
  <c r="BY216"/>
  <c r="BW215"/>
  <c r="BV215"/>
  <c r="BX215" s="1"/>
  <c r="BZ215"/>
  <c r="AK180" i="12"/>
  <c r="AJ181"/>
  <c r="AL180"/>
  <c r="AN180"/>
  <c r="AO180"/>
  <c r="DU171" i="2"/>
  <c r="DT171"/>
  <c r="AZ191" i="5"/>
  <c r="BE191"/>
  <c r="BG191" s="1"/>
  <c r="BI191"/>
  <c r="BJ191" s="1"/>
  <c r="BA192"/>
  <c r="BD191"/>
  <c r="BF191" s="1"/>
  <c r="BB191"/>
  <c r="BK191"/>
  <c r="BL191" s="1"/>
  <c r="AU193" i="4"/>
  <c r="AZ193"/>
  <c r="BB193" s="1"/>
  <c r="AV194"/>
  <c r="AY193"/>
  <c r="BA193" s="1"/>
  <c r="BF193"/>
  <c r="BG193" s="1"/>
  <c r="AW193"/>
  <c r="BD193" s="1"/>
  <c r="BE193" s="1"/>
  <c r="DR172" i="2"/>
  <c r="DV172"/>
  <c r="DP173"/>
  <c r="DS172"/>
  <c r="BD192" i="5" l="1"/>
  <c r="BF192" s="1"/>
  <c r="BB192"/>
  <c r="BK192"/>
  <c r="BL192" s="1"/>
  <c r="AZ192"/>
  <c r="BA193"/>
  <c r="BI192"/>
  <c r="BJ192" s="1"/>
  <c r="BE192"/>
  <c r="BG192" s="1"/>
  <c r="AN202" i="6"/>
  <c r="DR173" i="2"/>
  <c r="DV173"/>
  <c r="DP174"/>
  <c r="DS173"/>
  <c r="DU172"/>
  <c r="DT172"/>
  <c r="BZ216" i="6"/>
  <c r="BV216"/>
  <c r="BX216" s="1"/>
  <c r="BY217"/>
  <c r="BW216"/>
  <c r="AY194" i="4"/>
  <c r="BA194" s="1"/>
  <c r="BF194"/>
  <c r="BG194" s="1"/>
  <c r="AZ194"/>
  <c r="BB194" s="1"/>
  <c r="AU194"/>
  <c r="AV195"/>
  <c r="AW194"/>
  <c r="BD194" s="1"/>
  <c r="BE194" s="1"/>
  <c r="AL181" i="12"/>
  <c r="AK181"/>
  <c r="AO181"/>
  <c r="AN181"/>
  <c r="AJ182"/>
  <c r="BK193" i="5" l="1"/>
  <c r="BL193" s="1"/>
  <c r="BA194"/>
  <c r="BB193"/>
  <c r="BE193"/>
  <c r="BG193" s="1"/>
  <c r="BD193"/>
  <c r="BF193" s="1"/>
  <c r="BI193"/>
  <c r="BJ193" s="1"/>
  <c r="AZ193"/>
  <c r="BZ217" i="6"/>
  <c r="BW217" s="1"/>
  <c r="BY218"/>
  <c r="BV217"/>
  <c r="BX217" s="1"/>
  <c r="DT173" i="2"/>
  <c r="DU173"/>
  <c r="AJ183" i="12"/>
  <c r="AK182"/>
  <c r="AN182"/>
  <c r="AO182"/>
  <c r="AL182"/>
  <c r="BF195" i="4"/>
  <c r="BG195" s="1"/>
  <c r="AW195"/>
  <c r="AY195"/>
  <c r="BA195" s="1"/>
  <c r="AZ195"/>
  <c r="BB195" s="1"/>
  <c r="AV196"/>
  <c r="BD195"/>
  <c r="BE195" s="1"/>
  <c r="AU195"/>
  <c r="DR174" i="2"/>
  <c r="DV174"/>
  <c r="DP175"/>
  <c r="DS174"/>
  <c r="AM203" i="6"/>
  <c r="AL183" i="12" l="1"/>
  <c r="AK183"/>
  <c r="AJ184"/>
  <c r="AO183"/>
  <c r="AN183"/>
  <c r="BB194" i="5"/>
  <c r="BE194"/>
  <c r="BG194" s="1"/>
  <c r="BK194"/>
  <c r="BL194" s="1"/>
  <c r="BD194"/>
  <c r="BF194" s="1"/>
  <c r="BI194"/>
  <c r="BJ194" s="1"/>
  <c r="AZ194"/>
  <c r="BA195"/>
  <c r="BZ218" i="6"/>
  <c r="BW218" s="1"/>
  <c r="BY219"/>
  <c r="BV218"/>
  <c r="BX218" s="1"/>
  <c r="AN203"/>
  <c r="AW196" i="4"/>
  <c r="AU196"/>
  <c r="AZ196"/>
  <c r="BB196" s="1"/>
  <c r="BD196"/>
  <c r="BE196" s="1"/>
  <c r="AV197"/>
  <c r="AY196"/>
  <c r="BA196" s="1"/>
  <c r="BF196"/>
  <c r="BG196" s="1"/>
  <c r="DU174" i="2"/>
  <c r="DT174"/>
  <c r="DR175"/>
  <c r="DV175"/>
  <c r="DP176"/>
  <c r="DS175"/>
  <c r="BY220" i="6" l="1"/>
  <c r="BZ219"/>
  <c r="BW219" s="1"/>
  <c r="BV219"/>
  <c r="BX219" s="1"/>
  <c r="DU175" i="2"/>
  <c r="DT175"/>
  <c r="AU197" i="4"/>
  <c r="AZ197"/>
  <c r="BB197" s="1"/>
  <c r="BD197"/>
  <c r="BE197" s="1"/>
  <c r="AV198"/>
  <c r="AY197"/>
  <c r="BA197" s="1"/>
  <c r="AW197"/>
  <c r="BF197"/>
  <c r="BG197" s="1"/>
  <c r="AK184" i="12"/>
  <c r="AJ185"/>
  <c r="AL184"/>
  <c r="AO184"/>
  <c r="AN184"/>
  <c r="AM204" i="6"/>
  <c r="DR176" i="2"/>
  <c r="DV176"/>
  <c r="DP177"/>
  <c r="DS176"/>
  <c r="AZ195" i="5"/>
  <c r="BE195"/>
  <c r="BG195" s="1"/>
  <c r="BA196"/>
  <c r="BB195"/>
  <c r="BI195" s="1"/>
  <c r="BJ195" s="1"/>
  <c r="BD195"/>
  <c r="BF195" s="1"/>
  <c r="BK195"/>
  <c r="BL195" s="1"/>
  <c r="BD196" l="1"/>
  <c r="BF196" s="1"/>
  <c r="AZ196"/>
  <c r="BE196"/>
  <c r="BG196" s="1"/>
  <c r="BB196"/>
  <c r="BI196" s="1"/>
  <c r="BJ196" s="1"/>
  <c r="BK196"/>
  <c r="BL196" s="1"/>
  <c r="BA197"/>
  <c r="BY221" i="6"/>
  <c r="BZ220"/>
  <c r="BW220" s="1"/>
  <c r="BV220"/>
  <c r="BX220" s="1"/>
  <c r="AY198" i="4"/>
  <c r="BA198" s="1"/>
  <c r="BF198"/>
  <c r="BG198" s="1"/>
  <c r="AW198"/>
  <c r="BD198"/>
  <c r="BE198" s="1"/>
  <c r="AZ198"/>
  <c r="BB198" s="1"/>
  <c r="AU198"/>
  <c r="AV199"/>
  <c r="DR177" i="2"/>
  <c r="DV177"/>
  <c r="DP178"/>
  <c r="DS177"/>
  <c r="AN204" i="6"/>
  <c r="AL185" i="12"/>
  <c r="AJ186"/>
  <c r="AO185"/>
  <c r="AK185"/>
  <c r="AN185"/>
  <c r="DU176" i="2"/>
  <c r="DT176"/>
  <c r="AM205" i="6" l="1"/>
  <c r="DR178" i="2"/>
  <c r="DV178"/>
  <c r="DP179"/>
  <c r="DS178"/>
  <c r="AJ187" i="12"/>
  <c r="AK186"/>
  <c r="AL186"/>
  <c r="AN186"/>
  <c r="AO186"/>
  <c r="DT177" i="2"/>
  <c r="DU177"/>
  <c r="BF199" i="4"/>
  <c r="BG199" s="1"/>
  <c r="AW199"/>
  <c r="AU199"/>
  <c r="BD199"/>
  <c r="BE199" s="1"/>
  <c r="AZ199"/>
  <c r="BB199" s="1"/>
  <c r="AY199"/>
  <c r="BA199" s="1"/>
  <c r="AV200"/>
  <c r="BK197" i="5"/>
  <c r="BL197" s="1"/>
  <c r="BB197"/>
  <c r="AZ197"/>
  <c r="BE197"/>
  <c r="BG197" s="1"/>
  <c r="BD197"/>
  <c r="BF197" s="1"/>
  <c r="BI197"/>
  <c r="BJ197" s="1"/>
  <c r="BA198"/>
  <c r="BZ221" i="6"/>
  <c r="BW221"/>
  <c r="BY222"/>
  <c r="BV221"/>
  <c r="BX221" s="1"/>
  <c r="DU178" i="2" l="1"/>
  <c r="DT178"/>
  <c r="AN205" i="6"/>
  <c r="DR179" i="2"/>
  <c r="DV179"/>
  <c r="DP180"/>
  <c r="DS179"/>
  <c r="BZ222" i="6"/>
  <c r="BY223"/>
  <c r="BV222"/>
  <c r="BX222" s="1"/>
  <c r="BW222"/>
  <c r="BB198" i="5"/>
  <c r="BI198" s="1"/>
  <c r="BJ198" s="1"/>
  <c r="BD198"/>
  <c r="BF198" s="1"/>
  <c r="BA199"/>
  <c r="BK198"/>
  <c r="BL198" s="1"/>
  <c r="AZ198"/>
  <c r="BE198"/>
  <c r="BG198" s="1"/>
  <c r="AL187" i="12"/>
  <c r="AJ188"/>
  <c r="AK187"/>
  <c r="AO187"/>
  <c r="AN187"/>
  <c r="AW200" i="4"/>
  <c r="AU200"/>
  <c r="AZ200"/>
  <c r="BB200" s="1"/>
  <c r="BD200"/>
  <c r="BE200" s="1"/>
  <c r="AV201"/>
  <c r="BF200"/>
  <c r="BG200" s="1"/>
  <c r="AY200"/>
  <c r="BA200" s="1"/>
  <c r="BY224" i="6" l="1"/>
  <c r="BZ223"/>
  <c r="BW223" s="1"/>
  <c r="BV223"/>
  <c r="BX223" s="1"/>
  <c r="DU179" i="2"/>
  <c r="DT179"/>
  <c r="AU201" i="4"/>
  <c r="AZ201"/>
  <c r="BB201" s="1"/>
  <c r="AV202"/>
  <c r="AY201"/>
  <c r="BA201" s="1"/>
  <c r="BF201"/>
  <c r="BG201" s="1"/>
  <c r="AW201"/>
  <c r="BD201" s="1"/>
  <c r="BE201" s="1"/>
  <c r="AK188" i="12"/>
  <c r="AJ189"/>
  <c r="AL188"/>
  <c r="AN188"/>
  <c r="AO188"/>
  <c r="DR180" i="2"/>
  <c r="DV180"/>
  <c r="DP181"/>
  <c r="DS180"/>
  <c r="AM206" i="6"/>
  <c r="AZ199" i="5"/>
  <c r="BE199"/>
  <c r="BG199" s="1"/>
  <c r="BA200"/>
  <c r="BB199"/>
  <c r="BI199" s="1"/>
  <c r="BJ199" s="1"/>
  <c r="BK199"/>
  <c r="BL199" s="1"/>
  <c r="BD199"/>
  <c r="BF199" s="1"/>
  <c r="DU180" i="2" l="1"/>
  <c r="DT180"/>
  <c r="AY202" i="4"/>
  <c r="BA202" s="1"/>
  <c r="BF202"/>
  <c r="BG202" s="1"/>
  <c r="AZ202"/>
  <c r="BB202" s="1"/>
  <c r="AU202"/>
  <c r="AV203"/>
  <c r="AW202"/>
  <c r="BD202" s="1"/>
  <c r="BE202" s="1"/>
  <c r="DR181" i="2"/>
  <c r="DV181"/>
  <c r="DP182"/>
  <c r="DS181"/>
  <c r="BZ224" i="6"/>
  <c r="BW224" s="1"/>
  <c r="BY225"/>
  <c r="BV224"/>
  <c r="BX224" s="1"/>
  <c r="AN206"/>
  <c r="AL189" i="12"/>
  <c r="AO189"/>
  <c r="AN189"/>
  <c r="AK189"/>
  <c r="AJ190"/>
  <c r="BD200" i="5"/>
  <c r="BF200" s="1"/>
  <c r="BE200"/>
  <c r="BG200" s="1"/>
  <c r="BA201"/>
  <c r="BB200"/>
  <c r="BI200" s="1"/>
  <c r="BJ200" s="1"/>
  <c r="BK200"/>
  <c r="BL200" s="1"/>
  <c r="AZ200"/>
  <c r="BF203" i="4" l="1"/>
  <c r="BG203" s="1"/>
  <c r="AW203"/>
  <c r="AY203"/>
  <c r="BA203" s="1"/>
  <c r="AZ203"/>
  <c r="BB203" s="1"/>
  <c r="AV204"/>
  <c r="BD203"/>
  <c r="BE203" s="1"/>
  <c r="AU203"/>
  <c r="DT181" i="2"/>
  <c r="DU181"/>
  <c r="AM207" i="6"/>
  <c r="BZ225"/>
  <c r="BW225" s="1"/>
  <c r="BY226"/>
  <c r="BV225"/>
  <c r="BX225" s="1"/>
  <c r="BK201" i="5"/>
  <c r="BL201" s="1"/>
  <c r="AZ201"/>
  <c r="BE201"/>
  <c r="BG201" s="1"/>
  <c r="BD201"/>
  <c r="BF201" s="1"/>
  <c r="BI201"/>
  <c r="BJ201" s="1"/>
  <c r="BA202"/>
  <c r="BB201"/>
  <c r="AJ191" i="12"/>
  <c r="AK190"/>
  <c r="AL190"/>
  <c r="AN190"/>
  <c r="AO190"/>
  <c r="DR182" i="2"/>
  <c r="DV182"/>
  <c r="DP183"/>
  <c r="DS182"/>
  <c r="DT182" l="1"/>
  <c r="DU182"/>
  <c r="BB202" i="5"/>
  <c r="BA203"/>
  <c r="AZ202"/>
  <c r="BI202"/>
  <c r="BJ202" s="1"/>
  <c r="BK202"/>
  <c r="BL202" s="1"/>
  <c r="BD202"/>
  <c r="BF202" s="1"/>
  <c r="BE202"/>
  <c r="BG202" s="1"/>
  <c r="BZ226" i="6"/>
  <c r="BY227"/>
  <c r="BV226"/>
  <c r="BX226" s="1"/>
  <c r="BW226"/>
  <c r="AW204" i="4"/>
  <c r="AU204"/>
  <c r="AZ204"/>
  <c r="BB204" s="1"/>
  <c r="BD204"/>
  <c r="BE204" s="1"/>
  <c r="AV205"/>
  <c r="BF204"/>
  <c r="BG204" s="1"/>
  <c r="AY204"/>
  <c r="BA204" s="1"/>
  <c r="DR183" i="2"/>
  <c r="DV183"/>
  <c r="DP184"/>
  <c r="DS183"/>
  <c r="AN207" i="6"/>
  <c r="AL191" i="12"/>
  <c r="AK191"/>
  <c r="AJ192"/>
  <c r="AO191"/>
  <c r="AN191"/>
  <c r="AU205" i="4" l="1"/>
  <c r="AZ205"/>
  <c r="BB205" s="1"/>
  <c r="AV206"/>
  <c r="AY205"/>
  <c r="BA205" s="1"/>
  <c r="AW205"/>
  <c r="BD205" s="1"/>
  <c r="BE205" s="1"/>
  <c r="BF205"/>
  <c r="BG205" s="1"/>
  <c r="DR184" i="2"/>
  <c r="DV184"/>
  <c r="DP185"/>
  <c r="DS184"/>
  <c r="BY228" i="6"/>
  <c r="BZ227"/>
  <c r="BW227" s="1"/>
  <c r="BV227"/>
  <c r="BX227" s="1"/>
  <c r="AK192" i="12"/>
  <c r="AJ193"/>
  <c r="AL192"/>
  <c r="AN192"/>
  <c r="AO192"/>
  <c r="AM208" i="6"/>
  <c r="DU183" i="2"/>
  <c r="DT183"/>
  <c r="AZ203" i="5"/>
  <c r="BE203"/>
  <c r="BG203" s="1"/>
  <c r="BA204"/>
  <c r="BK203"/>
  <c r="BL203" s="1"/>
  <c r="BD203"/>
  <c r="BF203" s="1"/>
  <c r="BB203"/>
  <c r="BI203" s="1"/>
  <c r="BJ203" s="1"/>
  <c r="AN208" i="6" l="1"/>
  <c r="AL193" i="12"/>
  <c r="AJ194"/>
  <c r="AK193"/>
  <c r="AO193"/>
  <c r="AN193"/>
  <c r="DR185" i="2"/>
  <c r="DV185"/>
  <c r="DP186"/>
  <c r="DS185"/>
  <c r="DU184"/>
  <c r="DT184"/>
  <c r="BD204" i="5"/>
  <c r="BF204" s="1"/>
  <c r="BA205"/>
  <c r="BB204"/>
  <c r="BK204"/>
  <c r="BL204" s="1"/>
  <c r="BI204"/>
  <c r="BJ204" s="1"/>
  <c r="AZ204"/>
  <c r="BE204"/>
  <c r="BG204" s="1"/>
  <c r="BV228" i="6"/>
  <c r="BX228" s="1"/>
  <c r="BY229"/>
  <c r="BZ228"/>
  <c r="BW228"/>
  <c r="AY206" i="4"/>
  <c r="BA206" s="1"/>
  <c r="BF206"/>
  <c r="BG206" s="1"/>
  <c r="AW206"/>
  <c r="BD206"/>
  <c r="BE206" s="1"/>
  <c r="AU206"/>
  <c r="AZ206"/>
  <c r="BB206" s="1"/>
  <c r="AV207"/>
  <c r="AM209" i="6" l="1"/>
  <c r="DR186" i="2"/>
  <c r="DV186"/>
  <c r="DP187"/>
  <c r="DS186"/>
  <c r="BZ229" i="6"/>
  <c r="BY230"/>
  <c r="BV229"/>
  <c r="BX229" s="1"/>
  <c r="BW229"/>
  <c r="BF207" i="4"/>
  <c r="BG207" s="1"/>
  <c r="AW207"/>
  <c r="AU207"/>
  <c r="BD207"/>
  <c r="BE207" s="1"/>
  <c r="AZ207"/>
  <c r="BB207" s="1"/>
  <c r="AY207"/>
  <c r="BA207" s="1"/>
  <c r="AV208"/>
  <c r="BK205" i="5"/>
  <c r="BL205" s="1"/>
  <c r="BD205"/>
  <c r="BF205" s="1"/>
  <c r="BA206"/>
  <c r="BB205"/>
  <c r="BI205" s="1"/>
  <c r="BJ205" s="1"/>
  <c r="BE205"/>
  <c r="BG205" s="1"/>
  <c r="AZ205"/>
  <c r="DU185" i="2"/>
  <c r="DT185"/>
  <c r="AJ195" i="12"/>
  <c r="AK194"/>
  <c r="AL194"/>
  <c r="AN194"/>
  <c r="AO194"/>
  <c r="DT186" i="2" l="1"/>
  <c r="DU186"/>
  <c r="BB206" i="5"/>
  <c r="AZ206"/>
  <c r="BE206"/>
  <c r="BG206" s="1"/>
  <c r="BK206"/>
  <c r="BL206" s="1"/>
  <c r="BD206"/>
  <c r="BF206" s="1"/>
  <c r="BA207"/>
  <c r="BI206"/>
  <c r="BJ206" s="1"/>
  <c r="AW208" i="4"/>
  <c r="AU208"/>
  <c r="AZ208"/>
  <c r="BB208" s="1"/>
  <c r="BD208"/>
  <c r="BE208" s="1"/>
  <c r="AV209"/>
  <c r="BF208"/>
  <c r="BG208" s="1"/>
  <c r="AY208"/>
  <c r="BA208" s="1"/>
  <c r="DR187" i="2"/>
  <c r="DV187"/>
  <c r="DP188"/>
  <c r="DS187"/>
  <c r="AN209" i="6"/>
  <c r="AL195" i="12"/>
  <c r="AK195"/>
  <c r="AO195"/>
  <c r="AN195"/>
  <c r="AJ196"/>
  <c r="BZ230" i="6"/>
  <c r="BW230" s="1"/>
  <c r="BY231"/>
  <c r="BV230"/>
  <c r="BX230" s="1"/>
  <c r="AU209" i="4" l="1"/>
  <c r="AZ209"/>
  <c r="BB209" s="1"/>
  <c r="AV210"/>
  <c r="AY209"/>
  <c r="BA209" s="1"/>
  <c r="BF209"/>
  <c r="BG209" s="1"/>
  <c r="AW209"/>
  <c r="BD209" s="1"/>
  <c r="BE209" s="1"/>
  <c r="AK196" i="12"/>
  <c r="AJ197"/>
  <c r="AL196"/>
  <c r="AN196"/>
  <c r="AO196"/>
  <c r="DR188" i="2"/>
  <c r="DV188"/>
  <c r="DP189"/>
  <c r="DS188"/>
  <c r="BY232" i="6"/>
  <c r="BV231"/>
  <c r="BX231" s="1"/>
  <c r="BZ231"/>
  <c r="BW231"/>
  <c r="AM210"/>
  <c r="DU187" i="2"/>
  <c r="DT187"/>
  <c r="AZ207" i="5"/>
  <c r="BE207"/>
  <c r="BG207" s="1"/>
  <c r="BA208"/>
  <c r="BD207"/>
  <c r="BF207" s="1"/>
  <c r="BK207"/>
  <c r="BL207" s="1"/>
  <c r="BB207"/>
  <c r="BI207" s="1"/>
  <c r="BJ207" s="1"/>
  <c r="BD208" l="1"/>
  <c r="BF208" s="1"/>
  <c r="BB208"/>
  <c r="BI208" s="1"/>
  <c r="BJ208" s="1"/>
  <c r="BK208"/>
  <c r="BL208" s="1"/>
  <c r="AZ208"/>
  <c r="BE208"/>
  <c r="BG208" s="1"/>
  <c r="BA209"/>
  <c r="AN210" i="6"/>
  <c r="BZ232"/>
  <c r="BW232" s="1"/>
  <c r="BY233"/>
  <c r="BV232"/>
  <c r="BX232" s="1"/>
  <c r="AL197" i="12"/>
  <c r="AJ198"/>
  <c r="AO197"/>
  <c r="AN197"/>
  <c r="AK197"/>
  <c r="DR189" i="2"/>
  <c r="DV189"/>
  <c r="DP190"/>
  <c r="DS189"/>
  <c r="DU188"/>
  <c r="DT188"/>
  <c r="AY210" i="4"/>
  <c r="BA210" s="1"/>
  <c r="BF210"/>
  <c r="BG210" s="1"/>
  <c r="AZ210"/>
  <c r="BB210" s="1"/>
  <c r="AU210"/>
  <c r="AV211"/>
  <c r="AW210"/>
  <c r="BD210" s="1"/>
  <c r="BE210" s="1"/>
  <c r="AJ199" i="12" l="1"/>
  <c r="AK198"/>
  <c r="AL198"/>
  <c r="AN198"/>
  <c r="AO198"/>
  <c r="BZ233" i="6"/>
  <c r="BW233" s="1"/>
  <c r="BY234"/>
  <c r="BV233"/>
  <c r="BX233" s="1"/>
  <c r="BF211" i="4"/>
  <c r="BG211" s="1"/>
  <c r="AW211"/>
  <c r="AY211"/>
  <c r="BA211" s="1"/>
  <c r="AZ211"/>
  <c r="BB211" s="1"/>
  <c r="AV212"/>
  <c r="AU211"/>
  <c r="BD211"/>
  <c r="BE211" s="1"/>
  <c r="DR190" i="2"/>
  <c r="DV190"/>
  <c r="DP191"/>
  <c r="DS190"/>
  <c r="DT189"/>
  <c r="DU189"/>
  <c r="BK209" i="5"/>
  <c r="BL209" s="1"/>
  <c r="BA210"/>
  <c r="BB209"/>
  <c r="BI209" s="1"/>
  <c r="BJ209" s="1"/>
  <c r="AZ209"/>
  <c r="BD209"/>
  <c r="BF209" s="1"/>
  <c r="BE209"/>
  <c r="BG209" s="1"/>
  <c r="AM211" i="6"/>
  <c r="BB210" i="5" l="1"/>
  <c r="BE210"/>
  <c r="BG210" s="1"/>
  <c r="BK210"/>
  <c r="BL210" s="1"/>
  <c r="BD210"/>
  <c r="BF210" s="1"/>
  <c r="BI210"/>
  <c r="BJ210" s="1"/>
  <c r="BA211"/>
  <c r="AZ210"/>
  <c r="AL199" i="12"/>
  <c r="AK199"/>
  <c r="AO199"/>
  <c r="AJ200"/>
  <c r="AN199"/>
  <c r="AN211" i="6"/>
  <c r="AW212" i="4"/>
  <c r="AU212"/>
  <c r="AZ212"/>
  <c r="BB212" s="1"/>
  <c r="BD212"/>
  <c r="BE212" s="1"/>
  <c r="AV213"/>
  <c r="AY212"/>
  <c r="BA212" s="1"/>
  <c r="BF212"/>
  <c r="BG212" s="1"/>
  <c r="DR191" i="2"/>
  <c r="DV191"/>
  <c r="DP192"/>
  <c r="DS191"/>
  <c r="BZ234" i="6"/>
  <c r="BY235"/>
  <c r="BV234"/>
  <c r="BX234" s="1"/>
  <c r="BW234"/>
  <c r="DT190" i="2"/>
  <c r="DU190"/>
  <c r="AZ211" i="5" l="1"/>
  <c r="BE211"/>
  <c r="BG211" s="1"/>
  <c r="BA212"/>
  <c r="BB211"/>
  <c r="BI211" s="1"/>
  <c r="BJ211" s="1"/>
  <c r="BK211"/>
  <c r="BL211" s="1"/>
  <c r="BD211"/>
  <c r="BF211" s="1"/>
  <c r="BY236" i="6"/>
  <c r="BZ235"/>
  <c r="BW235" s="1"/>
  <c r="BV235"/>
  <c r="BX235" s="1"/>
  <c r="AU213" i="4"/>
  <c r="AZ213"/>
  <c r="BB213" s="1"/>
  <c r="AV214"/>
  <c r="AY213"/>
  <c r="BA213" s="1"/>
  <c r="AW213"/>
  <c r="BD213" s="1"/>
  <c r="BE213" s="1"/>
  <c r="BF213"/>
  <c r="BG213" s="1"/>
  <c r="AK200" i="12"/>
  <c r="AJ201"/>
  <c r="AL200"/>
  <c r="AN200"/>
  <c r="AO200"/>
  <c r="DU191" i="2"/>
  <c r="DT191"/>
  <c r="AM212" i="6"/>
  <c r="DR192" i="2"/>
  <c r="DV192"/>
  <c r="DP193"/>
  <c r="DS192"/>
  <c r="DR193" l="1"/>
  <c r="DV193"/>
  <c r="DP194"/>
  <c r="DS193"/>
  <c r="AN212" i="6"/>
  <c r="DU192" i="2"/>
  <c r="DT192"/>
  <c r="AY214" i="4"/>
  <c r="BA214" s="1"/>
  <c r="BF214"/>
  <c r="BG214" s="1"/>
  <c r="AW214"/>
  <c r="BD214"/>
  <c r="BE214" s="1"/>
  <c r="AV215"/>
  <c r="AU214"/>
  <c r="AZ214"/>
  <c r="BB214" s="1"/>
  <c r="AL201" i="12"/>
  <c r="AJ202"/>
  <c r="AK201"/>
  <c r="AO201"/>
  <c r="AN201"/>
  <c r="BY237" i="6"/>
  <c r="BV236"/>
  <c r="BX236" s="1"/>
  <c r="BZ236"/>
  <c r="BW236" s="1"/>
  <c r="BD212" i="5"/>
  <c r="BF212" s="1"/>
  <c r="AZ212"/>
  <c r="BE212"/>
  <c r="BG212" s="1"/>
  <c r="BI212"/>
  <c r="BJ212" s="1"/>
  <c r="BA213"/>
  <c r="BK212"/>
  <c r="BL212" s="1"/>
  <c r="BB212"/>
  <c r="BK213" l="1"/>
  <c r="BL213" s="1"/>
  <c r="BB213"/>
  <c r="AZ213"/>
  <c r="BE213"/>
  <c r="BG213" s="1"/>
  <c r="BA214"/>
  <c r="BI213"/>
  <c r="BJ213" s="1"/>
  <c r="BD213"/>
  <c r="BF213" s="1"/>
  <c r="DR194" i="2"/>
  <c r="DV194"/>
  <c r="DP195"/>
  <c r="DS194"/>
  <c r="BZ237" i="6"/>
  <c r="BW237" s="1"/>
  <c r="BV237"/>
  <c r="BX237" s="1"/>
  <c r="BY238"/>
  <c r="AJ203" i="12"/>
  <c r="AK202"/>
  <c r="AL202"/>
  <c r="AN202"/>
  <c r="AO202"/>
  <c r="BF215" i="4"/>
  <c r="BG215" s="1"/>
  <c r="AW215"/>
  <c r="AU215"/>
  <c r="BD215"/>
  <c r="BE215" s="1"/>
  <c r="AY215"/>
  <c r="BA215" s="1"/>
  <c r="AV216"/>
  <c r="AZ215"/>
  <c r="BB215" s="1"/>
  <c r="AM213" i="6"/>
  <c r="DU193" i="2"/>
  <c r="DT193"/>
  <c r="BZ238" i="6" l="1"/>
  <c r="BW238" s="1"/>
  <c r="BY239"/>
  <c r="BV238"/>
  <c r="BX238" s="1"/>
  <c r="AN213"/>
  <c r="AL203" i="12"/>
  <c r="AO203"/>
  <c r="AN203"/>
  <c r="AK203"/>
  <c r="AJ204"/>
  <c r="BB214" i="5"/>
  <c r="BD214"/>
  <c r="BF214" s="1"/>
  <c r="BI214"/>
  <c r="BJ214" s="1"/>
  <c r="BA215"/>
  <c r="BE214"/>
  <c r="BG214" s="1"/>
  <c r="BK214"/>
  <c r="BL214" s="1"/>
  <c r="AZ214"/>
  <c r="AW216" i="4"/>
  <c r="AU216"/>
  <c r="AZ216"/>
  <c r="BB216" s="1"/>
  <c r="BD216"/>
  <c r="BE216" s="1"/>
  <c r="AV217"/>
  <c r="BF216"/>
  <c r="BG216" s="1"/>
  <c r="AY216"/>
  <c r="BA216" s="1"/>
  <c r="DR195" i="2"/>
  <c r="DV195"/>
  <c r="DP196"/>
  <c r="DS195"/>
  <c r="DT194"/>
  <c r="DU194"/>
  <c r="BY240" i="6" l="1"/>
  <c r="BZ239"/>
  <c r="BW239" s="1"/>
  <c r="BV239"/>
  <c r="BX239" s="1"/>
  <c r="DU195" i="2"/>
  <c r="DT195"/>
  <c r="AM214" i="6"/>
  <c r="AU217" i="4"/>
  <c r="AZ217"/>
  <c r="BB217" s="1"/>
  <c r="AV218"/>
  <c r="AY217"/>
  <c r="BA217" s="1"/>
  <c r="BF217"/>
  <c r="BG217" s="1"/>
  <c r="AW217"/>
  <c r="BD217" s="1"/>
  <c r="BE217" s="1"/>
  <c r="AZ215" i="5"/>
  <c r="BE215"/>
  <c r="BG215" s="1"/>
  <c r="BI215"/>
  <c r="BJ215" s="1"/>
  <c r="BA216"/>
  <c r="BB215"/>
  <c r="BK215"/>
  <c r="BL215" s="1"/>
  <c r="BD215"/>
  <c r="BF215" s="1"/>
  <c r="AK204" i="12"/>
  <c r="AJ205"/>
  <c r="AL204"/>
  <c r="AN204"/>
  <c r="AO204"/>
  <c r="DR196" i="2"/>
  <c r="DV196"/>
  <c r="DP197"/>
  <c r="DS196"/>
  <c r="BZ240" i="6" l="1"/>
  <c r="BW240" s="1"/>
  <c r="BY241"/>
  <c r="BV240"/>
  <c r="BX240" s="1"/>
  <c r="DR197" i="2"/>
  <c r="DV197"/>
  <c r="DP198"/>
  <c r="DS197"/>
  <c r="DU196"/>
  <c r="DT196"/>
  <c r="BD216" i="5"/>
  <c r="BF216" s="1"/>
  <c r="BE216"/>
  <c r="BG216" s="1"/>
  <c r="BA217"/>
  <c r="AZ216"/>
  <c r="BK216"/>
  <c r="BL216" s="1"/>
  <c r="BB216"/>
  <c r="BI216" s="1"/>
  <c r="BJ216" s="1"/>
  <c r="AN214" i="6"/>
  <c r="AL205" i="12"/>
  <c r="AJ206"/>
  <c r="AK205"/>
  <c r="AO205"/>
  <c r="AN205"/>
  <c r="AY218" i="4"/>
  <c r="BA218" s="1"/>
  <c r="BF218"/>
  <c r="BG218" s="1"/>
  <c r="AZ218"/>
  <c r="BB218" s="1"/>
  <c r="AU218"/>
  <c r="AV219"/>
  <c r="AW218"/>
  <c r="BD218" s="1"/>
  <c r="BE218" s="1"/>
  <c r="AM215" i="6" l="1"/>
  <c r="BK217" i="5"/>
  <c r="BL217" s="1"/>
  <c r="AZ217"/>
  <c r="BE217"/>
  <c r="BG217" s="1"/>
  <c r="BD217"/>
  <c r="BF217" s="1"/>
  <c r="BB217"/>
  <c r="BI217" s="1"/>
  <c r="BJ217" s="1"/>
  <c r="BA218"/>
  <c r="BZ241" i="6"/>
  <c r="BY242"/>
  <c r="BV241"/>
  <c r="BX241" s="1"/>
  <c r="BW241"/>
  <c r="DR198" i="2"/>
  <c r="DV198"/>
  <c r="DP199"/>
  <c r="DS198"/>
  <c r="BF219" i="4"/>
  <c r="BG219" s="1"/>
  <c r="AW219"/>
  <c r="AY219"/>
  <c r="BA219" s="1"/>
  <c r="AZ219"/>
  <c r="BB219" s="1"/>
  <c r="AV220"/>
  <c r="BD219"/>
  <c r="BE219" s="1"/>
  <c r="AU219"/>
  <c r="AJ207" i="12"/>
  <c r="AK206"/>
  <c r="AL206"/>
  <c r="AN206"/>
  <c r="AO206"/>
  <c r="DT197" i="2"/>
  <c r="DU197"/>
  <c r="DT198" l="1"/>
  <c r="DU198"/>
  <c r="BB218" i="5"/>
  <c r="BA219"/>
  <c r="AZ218"/>
  <c r="BE218"/>
  <c r="BG218" s="1"/>
  <c r="BD218"/>
  <c r="BF218" s="1"/>
  <c r="BK218"/>
  <c r="BL218" s="1"/>
  <c r="BI218"/>
  <c r="BJ218" s="1"/>
  <c r="AN215" i="6"/>
  <c r="AW220" i="4"/>
  <c r="AU220"/>
  <c r="AZ220"/>
  <c r="BB220" s="1"/>
  <c r="BD220"/>
  <c r="BE220" s="1"/>
  <c r="AV221"/>
  <c r="BF220"/>
  <c r="BG220" s="1"/>
  <c r="AY220"/>
  <c r="BA220" s="1"/>
  <c r="BZ242" i="6"/>
  <c r="BW242" s="1"/>
  <c r="BY243"/>
  <c r="BV242"/>
  <c r="BX242" s="1"/>
  <c r="AL207" i="12"/>
  <c r="AK207"/>
  <c r="AJ208"/>
  <c r="AO207"/>
  <c r="AN207"/>
  <c r="DR199" i="2"/>
  <c r="DV199"/>
  <c r="DP200"/>
  <c r="DS199"/>
  <c r="DU199" l="1"/>
  <c r="DT199"/>
  <c r="AK208" i="12"/>
  <c r="AJ209"/>
  <c r="AL208"/>
  <c r="AN208"/>
  <c r="AO208"/>
  <c r="DR200" i="2"/>
  <c r="DV200"/>
  <c r="DP201"/>
  <c r="DS200"/>
  <c r="AM216" i="6"/>
  <c r="BY244"/>
  <c r="BV243"/>
  <c r="BX243" s="1"/>
  <c r="BZ243"/>
  <c r="BW243" s="1"/>
  <c r="AU221" i="4"/>
  <c r="AZ221"/>
  <c r="BB221" s="1"/>
  <c r="AV222"/>
  <c r="AY221"/>
  <c r="BA221" s="1"/>
  <c r="AW221"/>
  <c r="BD221" s="1"/>
  <c r="BE221" s="1"/>
  <c r="BF221"/>
  <c r="BG221" s="1"/>
  <c r="AZ219" i="5"/>
  <c r="BE219"/>
  <c r="BG219" s="1"/>
  <c r="BA220"/>
  <c r="BK219"/>
  <c r="BL219" s="1"/>
  <c r="BD219"/>
  <c r="BF219" s="1"/>
  <c r="BB219"/>
  <c r="BI219" s="1"/>
  <c r="BJ219" s="1"/>
  <c r="AN216" i="6" l="1"/>
  <c r="AY222" i="4"/>
  <c r="BA222" s="1"/>
  <c r="BF222"/>
  <c r="BG222" s="1"/>
  <c r="AW222"/>
  <c r="BD222" s="1"/>
  <c r="BE222" s="1"/>
  <c r="AZ222"/>
  <c r="BB222" s="1"/>
  <c r="AV223"/>
  <c r="AU222"/>
  <c r="BY245" i="6"/>
  <c r="BZ244"/>
  <c r="BV244"/>
  <c r="BX244" s="1"/>
  <c r="BW244"/>
  <c r="DR201" i="2"/>
  <c r="DV201"/>
  <c r="DS201"/>
  <c r="DP202"/>
  <c r="DU200"/>
  <c r="DT200"/>
  <c r="BD220" i="5"/>
  <c r="BF220" s="1"/>
  <c r="BA221"/>
  <c r="BB220"/>
  <c r="BK220"/>
  <c r="BL220" s="1"/>
  <c r="BE220"/>
  <c r="BG220" s="1"/>
  <c r="AZ220"/>
  <c r="BI220"/>
  <c r="BJ220" s="1"/>
  <c r="AL209" i="12"/>
  <c r="AJ210"/>
  <c r="AK209"/>
  <c r="AO209"/>
  <c r="AN209"/>
  <c r="AJ211" l="1"/>
  <c r="AK210"/>
  <c r="AN210"/>
  <c r="AO210"/>
  <c r="AL210"/>
  <c r="BK221" i="5"/>
  <c r="BL221" s="1"/>
  <c r="BD221"/>
  <c r="BF221" s="1"/>
  <c r="BA222"/>
  <c r="AZ221"/>
  <c r="BE221"/>
  <c r="BG221" s="1"/>
  <c r="BB221"/>
  <c r="BI221" s="1"/>
  <c r="BJ221" s="1"/>
  <c r="DS202" i="2"/>
  <c r="DP203"/>
  <c r="DR202"/>
  <c r="DV202"/>
  <c r="AM217" i="6"/>
  <c r="BZ245"/>
  <c r="BW245" s="1"/>
  <c r="BV245"/>
  <c r="BX245" s="1"/>
  <c r="BY246"/>
  <c r="DU201" i="2"/>
  <c r="DT201"/>
  <c r="BF223" i="4"/>
  <c r="BG223" s="1"/>
  <c r="AW223"/>
  <c r="BD223" s="1"/>
  <c r="BE223" s="1"/>
  <c r="AU223"/>
  <c r="AZ223"/>
  <c r="BB223" s="1"/>
  <c r="AV224"/>
  <c r="AY223"/>
  <c r="BA223" s="1"/>
  <c r="DT202" i="2" l="1"/>
  <c r="DU202"/>
  <c r="BB222" i="5"/>
  <c r="AZ222"/>
  <c r="BE222"/>
  <c r="BG222" s="1"/>
  <c r="BK222"/>
  <c r="BL222" s="1"/>
  <c r="BA223"/>
  <c r="BI222"/>
  <c r="BJ222" s="1"/>
  <c r="BD222"/>
  <c r="BF222" s="1"/>
  <c r="AL211" i="12"/>
  <c r="AJ212"/>
  <c r="AO211"/>
  <c r="AN211"/>
  <c r="AK211"/>
  <c r="AW224" i="4"/>
  <c r="AU224"/>
  <c r="AZ224"/>
  <c r="BB224" s="1"/>
  <c r="BD224"/>
  <c r="BE224" s="1"/>
  <c r="AV225"/>
  <c r="BF224"/>
  <c r="BG224" s="1"/>
  <c r="AY224"/>
  <c r="BA224" s="1"/>
  <c r="DR203" i="2"/>
  <c r="DV203"/>
  <c r="DS203"/>
  <c r="DP204"/>
  <c r="BZ246" i="6"/>
  <c r="BY247"/>
  <c r="BV246"/>
  <c r="BX246" s="1"/>
  <c r="BW246"/>
  <c r="AN217"/>
  <c r="DS204" i="2" l="1"/>
  <c r="DP205"/>
  <c r="DV204"/>
  <c r="DR204"/>
  <c r="AM218" i="6"/>
  <c r="BY248"/>
  <c r="BV247"/>
  <c r="BX247" s="1"/>
  <c r="BZ247"/>
  <c r="BW247" s="1"/>
  <c r="AU225" i="4"/>
  <c r="AZ225"/>
  <c r="BB225" s="1"/>
  <c r="AV226"/>
  <c r="AY225"/>
  <c r="BA225" s="1"/>
  <c r="BF225"/>
  <c r="BG225" s="1"/>
  <c r="AW225"/>
  <c r="BD225" s="1"/>
  <c r="BE225" s="1"/>
  <c r="AK212" i="12"/>
  <c r="AJ213"/>
  <c r="AL212"/>
  <c r="AN212"/>
  <c r="AO212"/>
  <c r="AZ223" i="5"/>
  <c r="BE223"/>
  <c r="BG223" s="1"/>
  <c r="BA224"/>
  <c r="BD223"/>
  <c r="BF223" s="1"/>
  <c r="BK223"/>
  <c r="BL223" s="1"/>
  <c r="BB223"/>
  <c r="BI223" s="1"/>
  <c r="BJ223" s="1"/>
  <c r="DU203" i="2"/>
  <c r="DT203"/>
  <c r="DU204" l="1"/>
  <c r="DT204"/>
  <c r="BD224" i="5"/>
  <c r="BF224" s="1"/>
  <c r="BB224"/>
  <c r="BK224"/>
  <c r="BL224" s="1"/>
  <c r="AZ224"/>
  <c r="BA225"/>
  <c r="BI224"/>
  <c r="BJ224" s="1"/>
  <c r="BE224"/>
  <c r="BG224" s="1"/>
  <c r="AY226" i="4"/>
  <c r="BA226" s="1"/>
  <c r="BF226"/>
  <c r="BG226" s="1"/>
  <c r="AZ226"/>
  <c r="BB226" s="1"/>
  <c r="AU226"/>
  <c r="AV227"/>
  <c r="AW226"/>
  <c r="BD226"/>
  <c r="BE226" s="1"/>
  <c r="DR205" i="2"/>
  <c r="DV205"/>
  <c r="DS205"/>
  <c r="DP206"/>
  <c r="AN218" i="6"/>
  <c r="AL213" i="12"/>
  <c r="AK213"/>
  <c r="AO213"/>
  <c r="AJ214"/>
  <c r="AN213"/>
  <c r="BZ248" i="6"/>
  <c r="BY249"/>
  <c r="BW248"/>
  <c r="BV248"/>
  <c r="BX248" s="1"/>
  <c r="BZ249" l="1"/>
  <c r="BW249" s="1"/>
  <c r="BY250"/>
  <c r="BV249"/>
  <c r="BX249" s="1"/>
  <c r="BF227" i="4"/>
  <c r="BG227" s="1"/>
  <c r="AW227"/>
  <c r="AY227"/>
  <c r="BA227" s="1"/>
  <c r="AZ227"/>
  <c r="BB227" s="1"/>
  <c r="AV228"/>
  <c r="AU227"/>
  <c r="BD227"/>
  <c r="BE227" s="1"/>
  <c r="AM219" i="6"/>
  <c r="DU205" i="2"/>
  <c r="DT205"/>
  <c r="BK225" i="5"/>
  <c r="BL225" s="1"/>
  <c r="BA226"/>
  <c r="BB225"/>
  <c r="BE225"/>
  <c r="BG225" s="1"/>
  <c r="BD225"/>
  <c r="BF225" s="1"/>
  <c r="BI225"/>
  <c r="BJ225" s="1"/>
  <c r="AZ225"/>
  <c r="AJ215" i="12"/>
  <c r="AK214"/>
  <c r="AL214"/>
  <c r="AN214"/>
  <c r="AO214"/>
  <c r="DS206" i="2"/>
  <c r="DP207"/>
  <c r="DR206"/>
  <c r="DV206"/>
  <c r="BZ250" i="6" l="1"/>
  <c r="BW250" s="1"/>
  <c r="BY251"/>
  <c r="BV250"/>
  <c r="BX250" s="1"/>
  <c r="DR207" i="2"/>
  <c r="DV207"/>
  <c r="DS207"/>
  <c r="DP208"/>
  <c r="BB226" i="5"/>
  <c r="BE226"/>
  <c r="BG226" s="1"/>
  <c r="BK226"/>
  <c r="BL226" s="1"/>
  <c r="BD226"/>
  <c r="BF226" s="1"/>
  <c r="BI226"/>
  <c r="BJ226" s="1"/>
  <c r="AZ226"/>
  <c r="BA227"/>
  <c r="AW228" i="4"/>
  <c r="AU228"/>
  <c r="AZ228"/>
  <c r="BB228" s="1"/>
  <c r="BD228"/>
  <c r="BE228" s="1"/>
  <c r="AV229"/>
  <c r="AY228"/>
  <c r="BA228" s="1"/>
  <c r="BF228"/>
  <c r="BG228" s="1"/>
  <c r="AL215" i="12"/>
  <c r="AK215"/>
  <c r="AJ216"/>
  <c r="AO215"/>
  <c r="AN215"/>
  <c r="DU206" i="2"/>
  <c r="DT206"/>
  <c r="AN219" i="6"/>
  <c r="AK216" i="12" l="1"/>
  <c r="AJ217"/>
  <c r="AL216"/>
  <c r="AO216"/>
  <c r="AN216"/>
  <c r="AM220" i="6"/>
  <c r="BY252"/>
  <c r="BV251"/>
  <c r="BX251" s="1"/>
  <c r="BZ251"/>
  <c r="BW251" s="1"/>
  <c r="DU207" i="2"/>
  <c r="DT207"/>
  <c r="AZ227" i="5"/>
  <c r="BE227"/>
  <c r="BG227" s="1"/>
  <c r="BA228"/>
  <c r="BB227"/>
  <c r="BI227" s="1"/>
  <c r="BJ227" s="1"/>
  <c r="BD227"/>
  <c r="BF227" s="1"/>
  <c r="BK227"/>
  <c r="BL227" s="1"/>
  <c r="AU229" i="4"/>
  <c r="AZ229"/>
  <c r="BB229" s="1"/>
  <c r="AV230"/>
  <c r="AY229"/>
  <c r="BA229" s="1"/>
  <c r="AW229"/>
  <c r="BD229" s="1"/>
  <c r="BE229" s="1"/>
  <c r="BF229"/>
  <c r="BG229" s="1"/>
  <c r="DS208" i="2"/>
  <c r="DP209"/>
  <c r="DR208"/>
  <c r="DV208"/>
  <c r="AN220" i="6" l="1"/>
  <c r="AL217" i="12"/>
  <c r="AJ218"/>
  <c r="AO217"/>
  <c r="AN217"/>
  <c r="AK217"/>
  <c r="DR209" i="2"/>
  <c r="DV209"/>
  <c r="DS209"/>
  <c r="DP210"/>
  <c r="BD228" i="5"/>
  <c r="BF228" s="1"/>
  <c r="AZ228"/>
  <c r="BE228"/>
  <c r="BG228" s="1"/>
  <c r="BB228"/>
  <c r="BI228" s="1"/>
  <c r="BJ228" s="1"/>
  <c r="BK228"/>
  <c r="BL228" s="1"/>
  <c r="BA229"/>
  <c r="DT208" i="2"/>
  <c r="DU208"/>
  <c r="AY230" i="4"/>
  <c r="BA230" s="1"/>
  <c r="BF230"/>
  <c r="BG230" s="1"/>
  <c r="AW230"/>
  <c r="BD230"/>
  <c r="BE230" s="1"/>
  <c r="AZ230"/>
  <c r="BB230" s="1"/>
  <c r="AU230"/>
  <c r="AV231"/>
  <c r="BY253" i="6"/>
  <c r="BV252"/>
  <c r="BX252" s="1"/>
  <c r="BZ252"/>
  <c r="BW252" s="1"/>
  <c r="DU209" i="2" l="1"/>
  <c r="DT209"/>
  <c r="BF231" i="4"/>
  <c r="BG231" s="1"/>
  <c r="AW231"/>
  <c r="AU231"/>
  <c r="BD231"/>
  <c r="BE231" s="1"/>
  <c r="AZ231"/>
  <c r="BB231" s="1"/>
  <c r="AY231"/>
  <c r="BA231" s="1"/>
  <c r="AV232"/>
  <c r="DS210" i="2"/>
  <c r="DP211"/>
  <c r="DV210"/>
  <c r="DR210"/>
  <c r="AM221" i="6"/>
  <c r="BK229" i="5"/>
  <c r="BL229" s="1"/>
  <c r="BB229"/>
  <c r="AZ229"/>
  <c r="BE229"/>
  <c r="BG229" s="1"/>
  <c r="BD229"/>
  <c r="BF229" s="1"/>
  <c r="BI229"/>
  <c r="BJ229" s="1"/>
  <c r="BA230"/>
  <c r="BZ253" i="6"/>
  <c r="BV253"/>
  <c r="BX253" s="1"/>
  <c r="BW253"/>
  <c r="BY254"/>
  <c r="AJ219" i="12"/>
  <c r="AK218"/>
  <c r="AN218"/>
  <c r="AL218"/>
  <c r="AO218"/>
  <c r="DU210" i="2" l="1"/>
  <c r="DT210"/>
  <c r="AW232" i="4"/>
  <c r="AU232"/>
  <c r="AZ232"/>
  <c r="BB232" s="1"/>
  <c r="BD232"/>
  <c r="BE232" s="1"/>
  <c r="AV233"/>
  <c r="BF232"/>
  <c r="BG232" s="1"/>
  <c r="AY232"/>
  <c r="BA232" s="1"/>
  <c r="AL219" i="12"/>
  <c r="AJ220"/>
  <c r="AK219"/>
  <c r="AO219"/>
  <c r="AN219"/>
  <c r="AN221" i="6"/>
  <c r="DR211" i="2"/>
  <c r="DV211"/>
  <c r="DP212"/>
  <c r="DS211"/>
  <c r="BZ254" i="6"/>
  <c r="BY255"/>
  <c r="BV254"/>
  <c r="BX254" s="1"/>
  <c r="BW254"/>
  <c r="BB230" i="5"/>
  <c r="BI230" s="1"/>
  <c r="BJ230" s="1"/>
  <c r="BD230"/>
  <c r="BF230" s="1"/>
  <c r="BA231"/>
  <c r="BK230"/>
  <c r="BL230" s="1"/>
  <c r="AZ230"/>
  <c r="BE230"/>
  <c r="BG230" s="1"/>
  <c r="DT211" i="2" l="1"/>
  <c r="DU211"/>
  <c r="BY256" i="6"/>
  <c r="BZ255"/>
  <c r="BV255"/>
  <c r="BX255" s="1"/>
  <c r="BW255"/>
  <c r="DS212" i="2"/>
  <c r="DP213"/>
  <c r="DR212"/>
  <c r="DV212"/>
  <c r="AM222" i="6"/>
  <c r="AK220" i="12"/>
  <c r="AJ221"/>
  <c r="AL220"/>
  <c r="AN220"/>
  <c r="AO220"/>
  <c r="AU233" i="4"/>
  <c r="AZ233"/>
  <c r="BB233" s="1"/>
  <c r="AV234"/>
  <c r="AY233"/>
  <c r="BA233" s="1"/>
  <c r="BF233"/>
  <c r="BG233" s="1"/>
  <c r="AW233"/>
  <c r="BD233" s="1"/>
  <c r="BE233" s="1"/>
  <c r="AZ231" i="5"/>
  <c r="BE231"/>
  <c r="BG231" s="1"/>
  <c r="BA232"/>
  <c r="BB231"/>
  <c r="BI231" s="1"/>
  <c r="BJ231" s="1"/>
  <c r="BK231"/>
  <c r="BL231" s="1"/>
  <c r="BD231"/>
  <c r="BF231" s="1"/>
  <c r="AY234" i="4" l="1"/>
  <c r="BA234" s="1"/>
  <c r="BF234"/>
  <c r="BG234" s="1"/>
  <c r="AZ234"/>
  <c r="BB234" s="1"/>
  <c r="AU234"/>
  <c r="AV235"/>
  <c r="AW234"/>
  <c r="BD234" s="1"/>
  <c r="BE234" s="1"/>
  <c r="AL221" i="12"/>
  <c r="AJ222"/>
  <c r="AO221"/>
  <c r="AK221"/>
  <c r="AN221"/>
  <c r="DT212" i="2"/>
  <c r="DU212"/>
  <c r="BZ256" i="6"/>
  <c r="BW256" s="1"/>
  <c r="BY257"/>
  <c r="BV256"/>
  <c r="BX256" s="1"/>
  <c r="AN222"/>
  <c r="BD232" i="5"/>
  <c r="BF232" s="1"/>
  <c r="BE232"/>
  <c r="BG232" s="1"/>
  <c r="BA233"/>
  <c r="BB232"/>
  <c r="BI232" s="1"/>
  <c r="BJ232" s="1"/>
  <c r="AZ232"/>
  <c r="BK232"/>
  <c r="BL232" s="1"/>
  <c r="DR213" i="2"/>
  <c r="DV213"/>
  <c r="DP214"/>
  <c r="DS213"/>
  <c r="BK233" i="5" l="1"/>
  <c r="BL233" s="1"/>
  <c r="AZ233"/>
  <c r="BE233"/>
  <c r="BG233" s="1"/>
  <c r="BD233"/>
  <c r="BF233" s="1"/>
  <c r="BI233"/>
  <c r="BJ233" s="1"/>
  <c r="BA234"/>
  <c r="BB233"/>
  <c r="AJ223" i="12"/>
  <c r="AK222"/>
  <c r="AL222"/>
  <c r="AN222"/>
  <c r="AO222"/>
  <c r="BF235" i="4"/>
  <c r="BG235" s="1"/>
  <c r="AW235"/>
  <c r="AY235"/>
  <c r="BA235" s="1"/>
  <c r="AZ235"/>
  <c r="BB235" s="1"/>
  <c r="AV236"/>
  <c r="BD235"/>
  <c r="BE235" s="1"/>
  <c r="AU235"/>
  <c r="DS214" i="2"/>
  <c r="DP215"/>
  <c r="DV214"/>
  <c r="DR214"/>
  <c r="DU213"/>
  <c r="DT213"/>
  <c r="AM223" i="6"/>
  <c r="BZ257"/>
  <c r="BW257" s="1"/>
  <c r="BY258"/>
  <c r="BV257"/>
  <c r="BX257" s="1"/>
  <c r="BZ258" l="1"/>
  <c r="BW258" s="1"/>
  <c r="BY259"/>
  <c r="BV258"/>
  <c r="BX258" s="1"/>
  <c r="DR215" i="2"/>
  <c r="DV215"/>
  <c r="DS215"/>
  <c r="DP216"/>
  <c r="AW236" i="4"/>
  <c r="BD236" s="1"/>
  <c r="BE236" s="1"/>
  <c r="AU236"/>
  <c r="AZ236"/>
  <c r="BB236" s="1"/>
  <c r="AV237"/>
  <c r="BF236"/>
  <c r="BG236" s="1"/>
  <c r="AY236"/>
  <c r="BA236" s="1"/>
  <c r="AN223" i="6"/>
  <c r="BB234" i="5"/>
  <c r="BA235"/>
  <c r="AZ234"/>
  <c r="BI234"/>
  <c r="BJ234" s="1"/>
  <c r="BE234"/>
  <c r="BG234" s="1"/>
  <c r="BK234"/>
  <c r="BL234" s="1"/>
  <c r="BD234"/>
  <c r="BF234" s="1"/>
  <c r="DT214" i="2"/>
  <c r="DU214"/>
  <c r="AL223" i="12"/>
  <c r="AK223"/>
  <c r="AJ224"/>
  <c r="AO223"/>
  <c r="AN223"/>
  <c r="AU237" i="4" l="1"/>
  <c r="AZ237"/>
  <c r="BB237" s="1"/>
  <c r="AV238"/>
  <c r="AY237"/>
  <c r="BA237" s="1"/>
  <c r="AW237"/>
  <c r="BD237" s="1"/>
  <c r="BE237" s="1"/>
  <c r="BF237"/>
  <c r="BG237" s="1"/>
  <c r="BY260" i="6"/>
  <c r="BZ259"/>
  <c r="BW259" s="1"/>
  <c r="BV259"/>
  <c r="BX259" s="1"/>
  <c r="DU215" i="2"/>
  <c r="DT215"/>
  <c r="AK224" i="12"/>
  <c r="AJ225"/>
  <c r="AL224"/>
  <c r="AN224"/>
  <c r="AO224"/>
  <c r="AZ235" i="5"/>
  <c r="BE235"/>
  <c r="BG235" s="1"/>
  <c r="BA236"/>
  <c r="BK235"/>
  <c r="BL235" s="1"/>
  <c r="BD235"/>
  <c r="BF235" s="1"/>
  <c r="BB235"/>
  <c r="BI235" s="1"/>
  <c r="BJ235" s="1"/>
  <c r="AM224" i="6"/>
  <c r="DS216" i="2"/>
  <c r="DP217"/>
  <c r="DV216"/>
  <c r="DR216"/>
  <c r="DR217" l="1"/>
  <c r="DV217"/>
  <c r="DP218"/>
  <c r="DS217"/>
  <c r="AN224" i="6"/>
  <c r="BD236" i="5"/>
  <c r="BF236" s="1"/>
  <c r="BA237"/>
  <c r="BB236"/>
  <c r="BI236" s="1"/>
  <c r="BJ236" s="1"/>
  <c r="BK236"/>
  <c r="BL236" s="1"/>
  <c r="AZ236"/>
  <c r="BE236"/>
  <c r="BG236" s="1"/>
  <c r="AL225" i="12"/>
  <c r="AJ226"/>
  <c r="AO225"/>
  <c r="AN225"/>
  <c r="AK225"/>
  <c r="DT216" i="2"/>
  <c r="DU216"/>
  <c r="BV260" i="6"/>
  <c r="BX260" s="1"/>
  <c r="BY261"/>
  <c r="BZ260"/>
  <c r="BW260"/>
  <c r="AY238" i="4"/>
  <c r="BA238" s="1"/>
  <c r="BF238"/>
  <c r="BG238" s="1"/>
  <c r="AW238"/>
  <c r="BD238"/>
  <c r="BE238" s="1"/>
  <c r="AU238"/>
  <c r="AZ238"/>
  <c r="BB238" s="1"/>
  <c r="AV239"/>
  <c r="AM225" i="6" l="1"/>
  <c r="BZ261"/>
  <c r="BY262"/>
  <c r="BV261"/>
  <c r="BX261" s="1"/>
  <c r="BW261"/>
  <c r="BF239" i="4"/>
  <c r="BG239" s="1"/>
  <c r="AW239"/>
  <c r="AU239"/>
  <c r="BD239"/>
  <c r="BE239" s="1"/>
  <c r="AZ239"/>
  <c r="BB239" s="1"/>
  <c r="AY239"/>
  <c r="BA239" s="1"/>
  <c r="AV240"/>
  <c r="AJ227" i="12"/>
  <c r="AK226"/>
  <c r="AL226"/>
  <c r="AN226"/>
  <c r="AO226"/>
  <c r="DS218" i="2"/>
  <c r="DP219"/>
  <c r="DR218"/>
  <c r="DV218"/>
  <c r="BK237" i="5"/>
  <c r="BL237" s="1"/>
  <c r="BD237"/>
  <c r="BF237" s="1"/>
  <c r="BI237"/>
  <c r="BJ237" s="1"/>
  <c r="BA238"/>
  <c r="BB237"/>
  <c r="AZ237"/>
  <c r="BE237"/>
  <c r="BG237" s="1"/>
  <c r="DU217" i="2"/>
  <c r="DT217"/>
  <c r="AN225" i="6" l="1"/>
  <c r="BB238" i="5"/>
  <c r="AZ238"/>
  <c r="BE238"/>
  <c r="BG238" s="1"/>
  <c r="BK238"/>
  <c r="BL238" s="1"/>
  <c r="BD238"/>
  <c r="BF238" s="1"/>
  <c r="BI238"/>
  <c r="BJ238" s="1"/>
  <c r="BA239"/>
  <c r="AL227" i="12"/>
  <c r="AK227"/>
  <c r="AO227"/>
  <c r="AJ228"/>
  <c r="AN227"/>
  <c r="DT218" i="2"/>
  <c r="DU218"/>
  <c r="AW240" i="4"/>
  <c r="BD240" s="1"/>
  <c r="BE240" s="1"/>
  <c r="AU240"/>
  <c r="AZ240"/>
  <c r="BB240" s="1"/>
  <c r="AV241"/>
  <c r="BF240"/>
  <c r="BG240" s="1"/>
  <c r="AY240"/>
  <c r="BA240" s="1"/>
  <c r="DR219" i="2"/>
  <c r="DV219"/>
  <c r="DS219"/>
  <c r="DP220"/>
  <c r="BZ262" i="6"/>
  <c r="BW262" s="1"/>
  <c r="BY263"/>
  <c r="BV262"/>
  <c r="BX262" s="1"/>
  <c r="DT219" i="2" l="1"/>
  <c r="DU219"/>
  <c r="AM226" i="6"/>
  <c r="DS220" i="2"/>
  <c r="DP221"/>
  <c r="DV220"/>
  <c r="DR220"/>
  <c r="BY264" i="6"/>
  <c r="BZ263"/>
  <c r="BV263"/>
  <c r="BX263" s="1"/>
  <c r="BW263"/>
  <c r="AU241" i="4"/>
  <c r="AZ241"/>
  <c r="BB241" s="1"/>
  <c r="AV242"/>
  <c r="AY241"/>
  <c r="BA241" s="1"/>
  <c r="BF241"/>
  <c r="BG241" s="1"/>
  <c r="AW241"/>
  <c r="BD241" s="1"/>
  <c r="BE241" s="1"/>
  <c r="AK228" i="12"/>
  <c r="AJ229"/>
  <c r="AL228"/>
  <c r="AN228"/>
  <c r="AO228"/>
  <c r="AZ239" i="5"/>
  <c r="BE239"/>
  <c r="BG239" s="1"/>
  <c r="BA240"/>
  <c r="BD239"/>
  <c r="BF239" s="1"/>
  <c r="BK239"/>
  <c r="BL239" s="1"/>
  <c r="BB239"/>
  <c r="BI239" s="1"/>
  <c r="BJ239" s="1"/>
  <c r="DU220" i="2" l="1"/>
  <c r="DT220"/>
  <c r="DR221"/>
  <c r="DV221"/>
  <c r="DS221"/>
  <c r="DP222"/>
  <c r="BD240" i="5"/>
  <c r="BF240" s="1"/>
  <c r="BB240"/>
  <c r="BK240"/>
  <c r="BL240" s="1"/>
  <c r="AZ240"/>
  <c r="BE240"/>
  <c r="BG240" s="1"/>
  <c r="BI240"/>
  <c r="BJ240" s="1"/>
  <c r="BA241"/>
  <c r="AY242" i="4"/>
  <c r="BA242" s="1"/>
  <c r="BF242"/>
  <c r="BG242" s="1"/>
  <c r="AZ242"/>
  <c r="BB242" s="1"/>
  <c r="AU242"/>
  <c r="AV243"/>
  <c r="BD242"/>
  <c r="BE242" s="1"/>
  <c r="AW242"/>
  <c r="AL229" i="12"/>
  <c r="AJ230"/>
  <c r="AK229"/>
  <c r="AO229"/>
  <c r="AN229"/>
  <c r="BZ264" i="6"/>
  <c r="BV264"/>
  <c r="BX264" s="1"/>
  <c r="BW264"/>
  <c r="BY265"/>
  <c r="AN226"/>
  <c r="BK241" i="5" l="1"/>
  <c r="BL241" s="1"/>
  <c r="BA242"/>
  <c r="BB241"/>
  <c r="BI241" s="1"/>
  <c r="BJ241" s="1"/>
  <c r="AZ241"/>
  <c r="BD241"/>
  <c r="BF241" s="1"/>
  <c r="BE241"/>
  <c r="BG241" s="1"/>
  <c r="DU221" i="2"/>
  <c r="DT221"/>
  <c r="AM227" i="6"/>
  <c r="AJ231" i="12"/>
  <c r="AK230"/>
  <c r="AL230"/>
  <c r="AN230"/>
  <c r="AO230"/>
  <c r="BF243" i="4"/>
  <c r="BG243" s="1"/>
  <c r="AW243"/>
  <c r="AY243"/>
  <c r="BA243" s="1"/>
  <c r="AZ243"/>
  <c r="BB243" s="1"/>
  <c r="AV244"/>
  <c r="AU243"/>
  <c r="BD243"/>
  <c r="BE243" s="1"/>
  <c r="DS222" i="2"/>
  <c r="DP223"/>
  <c r="DR222"/>
  <c r="DV222"/>
  <c r="BZ265" i="6"/>
  <c r="BW265" s="1"/>
  <c r="BY266"/>
  <c r="BV265"/>
  <c r="BX265" s="1"/>
  <c r="AN227" l="1"/>
  <c r="BB242" i="5"/>
  <c r="BE242"/>
  <c r="BG242" s="1"/>
  <c r="BK242"/>
  <c r="BL242" s="1"/>
  <c r="BD242"/>
  <c r="BF242" s="1"/>
  <c r="BI242"/>
  <c r="BJ242" s="1"/>
  <c r="BA243"/>
  <c r="AZ242"/>
  <c r="BZ266" i="6"/>
  <c r="BY267"/>
  <c r="BV266"/>
  <c r="BX266" s="1"/>
  <c r="BW266"/>
  <c r="DR223" i="2"/>
  <c r="DV223"/>
  <c r="DP224"/>
  <c r="DS223"/>
  <c r="AW244" i="4"/>
  <c r="AU244"/>
  <c r="AZ244"/>
  <c r="BB244" s="1"/>
  <c r="BD244"/>
  <c r="BE244" s="1"/>
  <c r="AV245"/>
  <c r="AY244"/>
  <c r="BA244" s="1"/>
  <c r="BF244"/>
  <c r="BG244" s="1"/>
  <c r="DT222" i="2"/>
  <c r="DU222"/>
  <c r="AL231" i="12"/>
  <c r="AK231"/>
  <c r="AO231"/>
  <c r="AN231"/>
  <c r="AJ232"/>
  <c r="DU223" i="2" l="1"/>
  <c r="DT223"/>
  <c r="AM228" i="6"/>
  <c r="AU245" i="4"/>
  <c r="AZ245"/>
  <c r="BB245" s="1"/>
  <c r="AV246"/>
  <c r="AY245"/>
  <c r="BA245" s="1"/>
  <c r="AW245"/>
  <c r="BD245" s="1"/>
  <c r="BE245" s="1"/>
  <c r="BF245"/>
  <c r="BG245" s="1"/>
  <c r="BY268" i="6"/>
  <c r="BZ267"/>
  <c r="BW267" s="1"/>
  <c r="BV267"/>
  <c r="BX267" s="1"/>
  <c r="AK232" i="12"/>
  <c r="AJ233"/>
  <c r="AL232"/>
  <c r="AN232"/>
  <c r="AO232"/>
  <c r="DS224" i="2"/>
  <c r="DP225"/>
  <c r="DR224"/>
  <c r="DV224"/>
  <c r="AZ243" i="5"/>
  <c r="BE243"/>
  <c r="BG243" s="1"/>
  <c r="BA244"/>
  <c r="BB243"/>
  <c r="BI243" s="1"/>
  <c r="BJ243" s="1"/>
  <c r="BK243"/>
  <c r="BL243" s="1"/>
  <c r="BD243"/>
  <c r="BF243" s="1"/>
  <c r="DT224" i="2" l="1"/>
  <c r="DU224"/>
  <c r="AL233" i="12"/>
  <c r="AJ234"/>
  <c r="AK233"/>
  <c r="AO233"/>
  <c r="AN233"/>
  <c r="DR225" i="2"/>
  <c r="DV225"/>
  <c r="DS225"/>
  <c r="DP226"/>
  <c r="AN228" i="6"/>
  <c r="BD244" i="5"/>
  <c r="BF244" s="1"/>
  <c r="AZ244"/>
  <c r="BE244"/>
  <c r="BG244" s="1"/>
  <c r="BI244"/>
  <c r="BJ244" s="1"/>
  <c r="BA245"/>
  <c r="BK244"/>
  <c r="BL244" s="1"/>
  <c r="BB244"/>
  <c r="BY269" i="6"/>
  <c r="BV268"/>
  <c r="BX268" s="1"/>
  <c r="BZ268"/>
  <c r="BW268"/>
  <c r="AY246" i="4"/>
  <c r="BA246" s="1"/>
  <c r="BF246"/>
  <c r="BG246" s="1"/>
  <c r="AW246"/>
  <c r="BD246"/>
  <c r="BE246" s="1"/>
  <c r="AZ246"/>
  <c r="BB246" s="1"/>
  <c r="AU246"/>
  <c r="AV247"/>
  <c r="DU225" i="2" l="1"/>
  <c r="DT225"/>
  <c r="BF247" i="4"/>
  <c r="BG247" s="1"/>
  <c r="AW247"/>
  <c r="AU247"/>
  <c r="BD247"/>
  <c r="BE247" s="1"/>
  <c r="AZ247"/>
  <c r="BB247" s="1"/>
  <c r="AY247"/>
  <c r="BA247" s="1"/>
  <c r="AV248"/>
  <c r="DS226" i="2"/>
  <c r="DP227"/>
  <c r="DV226"/>
  <c r="DR226"/>
  <c r="BZ269" i="6"/>
  <c r="BW269" s="1"/>
  <c r="BV269"/>
  <c r="BX269" s="1"/>
  <c r="BY270"/>
  <c r="BK245" i="5"/>
  <c r="BL245" s="1"/>
  <c r="BB245"/>
  <c r="AZ245"/>
  <c r="BE245"/>
  <c r="BG245" s="1"/>
  <c r="BA246"/>
  <c r="BI245"/>
  <c r="BJ245" s="1"/>
  <c r="BD245"/>
  <c r="BF245" s="1"/>
  <c r="AM229" i="6"/>
  <c r="AJ235" i="12"/>
  <c r="AK234"/>
  <c r="AL234"/>
  <c r="AN234"/>
  <c r="AO234"/>
  <c r="DU226" i="2" l="1"/>
  <c r="DT226"/>
  <c r="AN229" i="6"/>
  <c r="BZ270"/>
  <c r="BW270" s="1"/>
  <c r="BY271"/>
  <c r="BV270"/>
  <c r="BX270" s="1"/>
  <c r="DR227" i="2"/>
  <c r="DV227"/>
  <c r="DP228"/>
  <c r="DS227"/>
  <c r="AW248" i="4"/>
  <c r="AU248"/>
  <c r="AZ248"/>
  <c r="BB248" s="1"/>
  <c r="BD248"/>
  <c r="BE248" s="1"/>
  <c r="AV249"/>
  <c r="BF248"/>
  <c r="BG248" s="1"/>
  <c r="AY248"/>
  <c r="BA248" s="1"/>
  <c r="BB246" i="5"/>
  <c r="BI246" s="1"/>
  <c r="BJ246" s="1"/>
  <c r="BD246"/>
  <c r="BF246" s="1"/>
  <c r="BA247"/>
  <c r="BE246"/>
  <c r="BG246" s="1"/>
  <c r="AZ246"/>
  <c r="BK246"/>
  <c r="BL246" s="1"/>
  <c r="AL235" i="12"/>
  <c r="AJ236"/>
  <c r="AO235"/>
  <c r="AK235"/>
  <c r="AN235"/>
  <c r="DT227" i="2" l="1"/>
  <c r="DU227"/>
  <c r="AU249" i="4"/>
  <c r="AZ249"/>
  <c r="BB249" s="1"/>
  <c r="AV250"/>
  <c r="AY249"/>
  <c r="BA249" s="1"/>
  <c r="BF249"/>
  <c r="BG249" s="1"/>
  <c r="AW249"/>
  <c r="BD249" s="1"/>
  <c r="BE249" s="1"/>
  <c r="BY272" i="6"/>
  <c r="BZ271"/>
  <c r="BV271"/>
  <c r="BX271" s="1"/>
  <c r="BW271"/>
  <c r="AZ247" i="5"/>
  <c r="BE247"/>
  <c r="BG247" s="1"/>
  <c r="BI247"/>
  <c r="BJ247" s="1"/>
  <c r="BA248"/>
  <c r="BB247"/>
  <c r="BK247"/>
  <c r="BL247" s="1"/>
  <c r="BD247"/>
  <c r="BF247" s="1"/>
  <c r="DS228" i="2"/>
  <c r="DP229"/>
  <c r="DR228"/>
  <c r="DV228"/>
  <c r="AM230" i="6"/>
  <c r="AK236" i="12"/>
  <c r="AJ237"/>
  <c r="AL236"/>
  <c r="AN236"/>
  <c r="AO236"/>
  <c r="DT228" i="2" l="1"/>
  <c r="DU228"/>
  <c r="BD248" i="5"/>
  <c r="BF248" s="1"/>
  <c r="BE248"/>
  <c r="BG248" s="1"/>
  <c r="BA249"/>
  <c r="AZ248"/>
  <c r="BK248"/>
  <c r="BL248" s="1"/>
  <c r="BB248"/>
  <c r="BI248" s="1"/>
  <c r="BJ248" s="1"/>
  <c r="DR229" i="2"/>
  <c r="DV229"/>
  <c r="DP230"/>
  <c r="DS229"/>
  <c r="BZ272" i="6"/>
  <c r="BY273"/>
  <c r="BV272"/>
  <c r="BX272" s="1"/>
  <c r="BW272"/>
  <c r="AY250" i="4"/>
  <c r="BA250" s="1"/>
  <c r="BF250"/>
  <c r="BG250" s="1"/>
  <c r="AZ250"/>
  <c r="BB250" s="1"/>
  <c r="AU250"/>
  <c r="AV251"/>
  <c r="BD250"/>
  <c r="BE250" s="1"/>
  <c r="AW250"/>
  <c r="AN230" i="6"/>
  <c r="AL237" i="12"/>
  <c r="AJ238"/>
  <c r="AK237"/>
  <c r="AO237"/>
  <c r="AN237"/>
  <c r="BK249" i="5" l="1"/>
  <c r="BL249" s="1"/>
  <c r="AZ249"/>
  <c r="BE249"/>
  <c r="BG249" s="1"/>
  <c r="BD249"/>
  <c r="BF249" s="1"/>
  <c r="BI249"/>
  <c r="BJ249" s="1"/>
  <c r="BB249"/>
  <c r="BA250"/>
  <c r="BF251" i="4"/>
  <c r="BG251" s="1"/>
  <c r="AW251"/>
  <c r="AY251"/>
  <c r="BA251" s="1"/>
  <c r="AZ251"/>
  <c r="BB251" s="1"/>
  <c r="AV252"/>
  <c r="BD251"/>
  <c r="BE251" s="1"/>
  <c r="AU251"/>
  <c r="BZ273" i="6"/>
  <c r="BY274"/>
  <c r="BW273"/>
  <c r="BV273"/>
  <c r="BX273" s="1"/>
  <c r="AM231"/>
  <c r="DT229" i="2"/>
  <c r="DU229"/>
  <c r="AJ239" i="12"/>
  <c r="AK238"/>
  <c r="AN238"/>
  <c r="AO238"/>
  <c r="AL238"/>
  <c r="DS230" i="2"/>
  <c r="DP231"/>
  <c r="DV230"/>
  <c r="DR230"/>
  <c r="DR231" l="1"/>
  <c r="DV231"/>
  <c r="DS231"/>
  <c r="DP232"/>
  <c r="AL239" i="12"/>
  <c r="AK239"/>
  <c r="AO239"/>
  <c r="AN239"/>
  <c r="AJ240"/>
  <c r="AN231" i="6"/>
  <c r="BB250" i="5"/>
  <c r="BA251"/>
  <c r="AZ250"/>
  <c r="BE250"/>
  <c r="BG250" s="1"/>
  <c r="BD250"/>
  <c r="BF250" s="1"/>
  <c r="BK250"/>
  <c r="BL250" s="1"/>
  <c r="BI250"/>
  <c r="BJ250" s="1"/>
  <c r="DT230" i="2"/>
  <c r="DU230"/>
  <c r="BZ274" i="6"/>
  <c r="BW274" s="1"/>
  <c r="BY275"/>
  <c r="BV274"/>
  <c r="BX274" s="1"/>
  <c r="AW252" i="4"/>
  <c r="BD252" s="1"/>
  <c r="BE252" s="1"/>
  <c r="AU252"/>
  <c r="AZ252"/>
  <c r="BB252" s="1"/>
  <c r="AV253"/>
  <c r="BF252"/>
  <c r="BG252" s="1"/>
  <c r="AY252"/>
  <c r="BA252" s="1"/>
  <c r="BY276" i="6" l="1"/>
  <c r="BZ275"/>
  <c r="BW275" s="1"/>
  <c r="BV275"/>
  <c r="BX275" s="1"/>
  <c r="AM232"/>
  <c r="AZ251" i="5"/>
  <c r="BE251"/>
  <c r="BG251" s="1"/>
  <c r="BA252"/>
  <c r="BK251"/>
  <c r="BL251" s="1"/>
  <c r="BD251"/>
  <c r="BF251" s="1"/>
  <c r="BB251"/>
  <c r="BI251" s="1"/>
  <c r="BJ251" s="1"/>
  <c r="DU231" i="2"/>
  <c r="DT231"/>
  <c r="AU253" i="4"/>
  <c r="AZ253"/>
  <c r="BB253" s="1"/>
  <c r="AV254"/>
  <c r="AY253"/>
  <c r="BA253" s="1"/>
  <c r="AW253"/>
  <c r="BD253" s="1"/>
  <c r="BE253" s="1"/>
  <c r="BF253"/>
  <c r="BG253" s="1"/>
  <c r="AK240" i="12"/>
  <c r="AJ241"/>
  <c r="AL240"/>
  <c r="AN240"/>
  <c r="AO240"/>
  <c r="DS232" i="2"/>
  <c r="DP233"/>
  <c r="DV232"/>
  <c r="DR232"/>
  <c r="DR233" l="1"/>
  <c r="DV233"/>
  <c r="DP234"/>
  <c r="DS233"/>
  <c r="AN232" i="6"/>
  <c r="BY277"/>
  <c r="BV276"/>
  <c r="BX276" s="1"/>
  <c r="BZ276"/>
  <c r="BW276" s="1"/>
  <c r="BD252" i="5"/>
  <c r="BF252" s="1"/>
  <c r="BA253"/>
  <c r="BB252"/>
  <c r="BI252" s="1"/>
  <c r="BJ252" s="1"/>
  <c r="BK252"/>
  <c r="BL252" s="1"/>
  <c r="BE252"/>
  <c r="BG252" s="1"/>
  <c r="AZ252"/>
  <c r="AY254" i="4"/>
  <c r="BA254" s="1"/>
  <c r="BF254"/>
  <c r="BG254" s="1"/>
  <c r="AW254"/>
  <c r="BD254"/>
  <c r="BE254" s="1"/>
  <c r="AZ254"/>
  <c r="BB254" s="1"/>
  <c r="AV255"/>
  <c r="AU254"/>
  <c r="DT232" i="2"/>
  <c r="DU232"/>
  <c r="AL241" i="12"/>
  <c r="AJ242"/>
  <c r="AK241"/>
  <c r="AO241"/>
  <c r="AN241"/>
  <c r="AM233" i="6" l="1"/>
  <c r="BF255" i="4"/>
  <c r="BG255" s="1"/>
  <c r="AW255"/>
  <c r="AU255"/>
  <c r="BD255"/>
  <c r="BE255" s="1"/>
  <c r="AZ255"/>
  <c r="BB255" s="1"/>
  <c r="AV256"/>
  <c r="AY255"/>
  <c r="BA255" s="1"/>
  <c r="BZ277" i="6"/>
  <c r="BW277" s="1"/>
  <c r="BY278"/>
  <c r="BV277"/>
  <c r="BX277" s="1"/>
  <c r="DS234" i="2"/>
  <c r="DP235"/>
  <c r="DR234"/>
  <c r="DV234"/>
  <c r="AJ243" i="12"/>
  <c r="AK242"/>
  <c r="AL242"/>
  <c r="AN242"/>
  <c r="AO242"/>
  <c r="BK253" i="5"/>
  <c r="BL253" s="1"/>
  <c r="BD253"/>
  <c r="BF253" s="1"/>
  <c r="BA254"/>
  <c r="AZ253"/>
  <c r="BE253"/>
  <c r="BG253" s="1"/>
  <c r="BB253"/>
  <c r="BI253" s="1"/>
  <c r="BJ253" s="1"/>
  <c r="DT233" i="2"/>
  <c r="DU233"/>
  <c r="BB254" i="5" l="1"/>
  <c r="AZ254"/>
  <c r="BE254"/>
  <c r="BG254" s="1"/>
  <c r="BK254"/>
  <c r="BL254" s="1"/>
  <c r="BA255"/>
  <c r="BI254"/>
  <c r="BJ254" s="1"/>
  <c r="BD254"/>
  <c r="BF254" s="1"/>
  <c r="AL243" i="12"/>
  <c r="AJ244"/>
  <c r="AK243"/>
  <c r="AO243"/>
  <c r="AN243"/>
  <c r="AN233" i="6"/>
  <c r="DT234" i="2"/>
  <c r="DU234"/>
  <c r="DR235"/>
  <c r="DV235"/>
  <c r="DS235"/>
  <c r="DP236"/>
  <c r="BZ278" i="6"/>
  <c r="BW278" s="1"/>
  <c r="BY279"/>
  <c r="BV278"/>
  <c r="BX278" s="1"/>
  <c r="AW256" i="4"/>
  <c r="BD256" s="1"/>
  <c r="BE256" s="1"/>
  <c r="AU256"/>
  <c r="AZ256"/>
  <c r="BB256" s="1"/>
  <c r="AV257"/>
  <c r="BF256"/>
  <c r="BG256" s="1"/>
  <c r="AY256"/>
  <c r="BA256" s="1"/>
  <c r="AK244" i="12" l="1"/>
  <c r="AJ245"/>
  <c r="AL244"/>
  <c r="AN244"/>
  <c r="AO244"/>
  <c r="AZ255" i="5"/>
  <c r="BE255"/>
  <c r="BG255" s="1"/>
  <c r="BA256"/>
  <c r="BD255"/>
  <c r="BF255" s="1"/>
  <c r="BB255"/>
  <c r="BI255" s="1"/>
  <c r="BJ255" s="1"/>
  <c r="BK255"/>
  <c r="BL255" s="1"/>
  <c r="BY280" i="6"/>
  <c r="BV279"/>
  <c r="BX279" s="1"/>
  <c r="BW279"/>
  <c r="BZ279"/>
  <c r="AM234"/>
  <c r="AU257" i="4"/>
  <c r="AZ257"/>
  <c r="BB257" s="1"/>
  <c r="AV258"/>
  <c r="AY257"/>
  <c r="BA257" s="1"/>
  <c r="BF257"/>
  <c r="BG257" s="1"/>
  <c r="AW257"/>
  <c r="BD257" s="1"/>
  <c r="BE257" s="1"/>
  <c r="DT235" i="2"/>
  <c r="DU235"/>
  <c r="DS236"/>
  <c r="DP237"/>
  <c r="DV236"/>
  <c r="DR236"/>
  <c r="DR237" l="1"/>
  <c r="DV237"/>
  <c r="DS237"/>
  <c r="DP238"/>
  <c r="AN234" i="6"/>
  <c r="BZ280"/>
  <c r="BY281"/>
  <c r="BV280"/>
  <c r="BX280" s="1"/>
  <c r="BW280"/>
  <c r="BD256" i="5"/>
  <c r="BF256" s="1"/>
  <c r="BB256"/>
  <c r="BK256"/>
  <c r="BL256" s="1"/>
  <c r="AZ256"/>
  <c r="BA257"/>
  <c r="BI256"/>
  <c r="BJ256" s="1"/>
  <c r="BE256"/>
  <c r="BG256" s="1"/>
  <c r="AY258" i="4"/>
  <c r="BA258" s="1"/>
  <c r="BF258"/>
  <c r="BG258" s="1"/>
  <c r="AZ258"/>
  <c r="BB258" s="1"/>
  <c r="AU258"/>
  <c r="AV259"/>
  <c r="AW258"/>
  <c r="BD258" s="1"/>
  <c r="BE258" s="1"/>
  <c r="AL245" i="12"/>
  <c r="AK245"/>
  <c r="AO245"/>
  <c r="AN245"/>
  <c r="AJ246"/>
  <c r="DU236" i="2"/>
  <c r="DT236"/>
  <c r="AJ247" i="12" l="1"/>
  <c r="AK246"/>
  <c r="AN246"/>
  <c r="AL246"/>
  <c r="AO246"/>
  <c r="AM235" i="6"/>
  <c r="DU237" i="2"/>
  <c r="DT237"/>
  <c r="BF259" i="4"/>
  <c r="BG259" s="1"/>
  <c r="AW259"/>
  <c r="AY259"/>
  <c r="BA259" s="1"/>
  <c r="AZ259"/>
  <c r="BB259" s="1"/>
  <c r="AV260"/>
  <c r="AU259"/>
  <c r="BD259"/>
  <c r="BE259" s="1"/>
  <c r="BK257" i="5"/>
  <c r="BL257" s="1"/>
  <c r="BA258"/>
  <c r="BB257"/>
  <c r="BE257"/>
  <c r="BG257" s="1"/>
  <c r="BD257"/>
  <c r="BF257" s="1"/>
  <c r="AZ257"/>
  <c r="BI257"/>
  <c r="BJ257" s="1"/>
  <c r="BZ281" i="6"/>
  <c r="BW281" s="1"/>
  <c r="BY282"/>
  <c r="BV281"/>
  <c r="BX281" s="1"/>
  <c r="DS238" i="2"/>
  <c r="DP239"/>
  <c r="DR238"/>
  <c r="DV238"/>
  <c r="BB258" i="5" l="1"/>
  <c r="BE258"/>
  <c r="BG258" s="1"/>
  <c r="BK258"/>
  <c r="BL258" s="1"/>
  <c r="BD258"/>
  <c r="BF258" s="1"/>
  <c r="BI258"/>
  <c r="BJ258" s="1"/>
  <c r="AZ258"/>
  <c r="BA259"/>
  <c r="AW260" i="4"/>
  <c r="BD260" s="1"/>
  <c r="BE260" s="1"/>
  <c r="AU260"/>
  <c r="AZ260"/>
  <c r="BB260" s="1"/>
  <c r="AV261"/>
  <c r="AY260"/>
  <c r="BA260" s="1"/>
  <c r="BF260"/>
  <c r="BG260" s="1"/>
  <c r="AN235" i="6"/>
  <c r="DR239" i="2"/>
  <c r="DV239"/>
  <c r="DP240"/>
  <c r="DS239"/>
  <c r="BZ282" i="6"/>
  <c r="BY283"/>
  <c r="BV282"/>
  <c r="BX282" s="1"/>
  <c r="BW282"/>
  <c r="AL247" i="12"/>
  <c r="AK247"/>
  <c r="AJ248"/>
  <c r="AO247"/>
  <c r="AN247"/>
  <c r="DT238" i="2"/>
  <c r="DU238"/>
  <c r="DU239" l="1"/>
  <c r="DT239"/>
  <c r="BY284" i="6"/>
  <c r="BZ283"/>
  <c r="BV283"/>
  <c r="BX283" s="1"/>
  <c r="BW283"/>
  <c r="AK248" i="12"/>
  <c r="AJ249"/>
  <c r="AL248"/>
  <c r="AO248"/>
  <c r="AN248"/>
  <c r="DS240" i="2"/>
  <c r="DP241"/>
  <c r="DR240"/>
  <c r="DV240"/>
  <c r="AM236" i="6"/>
  <c r="AZ259" i="5"/>
  <c r="BE259"/>
  <c r="BG259" s="1"/>
  <c r="BI259"/>
  <c r="BJ259" s="1"/>
  <c r="BA260"/>
  <c r="BB259"/>
  <c r="BD259"/>
  <c r="BF259" s="1"/>
  <c r="BK259"/>
  <c r="BL259" s="1"/>
  <c r="AU261" i="4"/>
  <c r="AZ261"/>
  <c r="BB261" s="1"/>
  <c r="AV262"/>
  <c r="AY261"/>
  <c r="BA261" s="1"/>
  <c r="AW261"/>
  <c r="BD261" s="1"/>
  <c r="BE261" s="1"/>
  <c r="BF261"/>
  <c r="BG261" s="1"/>
  <c r="BD260" i="5" l="1"/>
  <c r="BF260" s="1"/>
  <c r="AZ260"/>
  <c r="BE260"/>
  <c r="BG260" s="1"/>
  <c r="BB260"/>
  <c r="BI260" s="1"/>
  <c r="BJ260" s="1"/>
  <c r="BK260"/>
  <c r="BL260" s="1"/>
  <c r="BA261"/>
  <c r="DR241" i="2"/>
  <c r="DV241"/>
  <c r="DS241"/>
  <c r="DP242"/>
  <c r="BY285" i="6"/>
  <c r="BZ284"/>
  <c r="BW284" s="1"/>
  <c r="BV284"/>
  <c r="BX284" s="1"/>
  <c r="AY262" i="4"/>
  <c r="BA262" s="1"/>
  <c r="BF262"/>
  <c r="BG262" s="1"/>
  <c r="AW262"/>
  <c r="BD262" s="1"/>
  <c r="BE262" s="1"/>
  <c r="AV263"/>
  <c r="AU262"/>
  <c r="AZ262"/>
  <c r="BB262" s="1"/>
  <c r="AN236" i="6"/>
  <c r="DT240" i="2"/>
  <c r="DU240"/>
  <c r="AL249" i="12"/>
  <c r="AJ250"/>
  <c r="AO249"/>
  <c r="AK249"/>
  <c r="AN249"/>
  <c r="DT241" i="2" l="1"/>
  <c r="DU241"/>
  <c r="AJ251" i="12"/>
  <c r="AK250"/>
  <c r="AL250"/>
  <c r="AN250"/>
  <c r="AO250"/>
  <c r="AM237" i="6"/>
  <c r="DS242" i="2"/>
  <c r="DP243"/>
  <c r="DV242"/>
  <c r="DR242"/>
  <c r="BK261" i="5"/>
  <c r="BL261" s="1"/>
  <c r="BB261"/>
  <c r="AZ261"/>
  <c r="BE261"/>
  <c r="BG261" s="1"/>
  <c r="BD261"/>
  <c r="BF261" s="1"/>
  <c r="BI261"/>
  <c r="BJ261" s="1"/>
  <c r="BA262"/>
  <c r="BF263" i="4"/>
  <c r="BG263" s="1"/>
  <c r="AW263"/>
  <c r="BD263" s="1"/>
  <c r="BE263" s="1"/>
  <c r="AU263"/>
  <c r="AZ263"/>
  <c r="BB263" s="1"/>
  <c r="AY263"/>
  <c r="BA263" s="1"/>
  <c r="AV264"/>
  <c r="BZ285" i="6"/>
  <c r="BV285"/>
  <c r="BX285" s="1"/>
  <c r="BW285"/>
  <c r="BY286"/>
  <c r="DU242" i="2" l="1"/>
  <c r="DT242"/>
  <c r="AN237" i="6"/>
  <c r="BZ286"/>
  <c r="BY287"/>
  <c r="BV286"/>
  <c r="BX286" s="1"/>
  <c r="BW286"/>
  <c r="AW264" i="4"/>
  <c r="AU264"/>
  <c r="AZ264"/>
  <c r="BB264" s="1"/>
  <c r="BD264"/>
  <c r="BE264" s="1"/>
  <c r="AV265"/>
  <c r="BF264"/>
  <c r="BG264" s="1"/>
  <c r="AY264"/>
  <c r="BA264" s="1"/>
  <c r="DR243" i="2"/>
  <c r="DV243"/>
  <c r="DP244"/>
  <c r="DS243"/>
  <c r="AL251" i="12"/>
  <c r="AJ252"/>
  <c r="AK251"/>
  <c r="AO251"/>
  <c r="AN251"/>
  <c r="BB262" i="5"/>
  <c r="BD262"/>
  <c r="BF262" s="1"/>
  <c r="BI262"/>
  <c r="BJ262" s="1"/>
  <c r="BA263"/>
  <c r="BK262"/>
  <c r="BL262" s="1"/>
  <c r="AZ262"/>
  <c r="BE262"/>
  <c r="BG262" s="1"/>
  <c r="AZ263" l="1"/>
  <c r="BE263"/>
  <c r="BG263" s="1"/>
  <c r="BA264"/>
  <c r="BB263"/>
  <c r="BI263" s="1"/>
  <c r="BJ263" s="1"/>
  <c r="BK263"/>
  <c r="BL263" s="1"/>
  <c r="BD263"/>
  <c r="BF263" s="1"/>
  <c r="AK252" i="12"/>
  <c r="AJ253"/>
  <c r="AL252"/>
  <c r="AN252"/>
  <c r="AO252"/>
  <c r="AU265" i="4"/>
  <c r="AZ265"/>
  <c r="BB265" s="1"/>
  <c r="AV266"/>
  <c r="AY265"/>
  <c r="BA265" s="1"/>
  <c r="BF265"/>
  <c r="BG265" s="1"/>
  <c r="AW265"/>
  <c r="BD265" s="1"/>
  <c r="BE265" s="1"/>
  <c r="DS244" i="2"/>
  <c r="DP245"/>
  <c r="DR244"/>
  <c r="DV244"/>
  <c r="BY288" i="6"/>
  <c r="BZ287"/>
  <c r="BW287" s="1"/>
  <c r="BV287"/>
  <c r="BX287" s="1"/>
  <c r="DT243" i="2"/>
  <c r="DU243"/>
  <c r="AM238" i="6"/>
  <c r="BZ288" l="1"/>
  <c r="BY289"/>
  <c r="BV288"/>
  <c r="BX288" s="1"/>
  <c r="BW288"/>
  <c r="DR245" i="2"/>
  <c r="DV245"/>
  <c r="DS245"/>
  <c r="DP246"/>
  <c r="AL253" i="12"/>
  <c r="AO253"/>
  <c r="AN253"/>
  <c r="AK253"/>
  <c r="AJ254"/>
  <c r="AN238" i="6"/>
  <c r="DU244" i="2"/>
  <c r="DT244"/>
  <c r="AY266" i="4"/>
  <c r="BA266" s="1"/>
  <c r="BF266"/>
  <c r="BG266" s="1"/>
  <c r="AZ266"/>
  <c r="BB266" s="1"/>
  <c r="AU266"/>
  <c r="AV267"/>
  <c r="BD266"/>
  <c r="BE266" s="1"/>
  <c r="AW266"/>
  <c r="BD264" i="5"/>
  <c r="BF264" s="1"/>
  <c r="BE264"/>
  <c r="BG264" s="1"/>
  <c r="BI264"/>
  <c r="BJ264" s="1"/>
  <c r="BA265"/>
  <c r="BB264"/>
  <c r="BK264"/>
  <c r="BL264" s="1"/>
  <c r="AZ264"/>
  <c r="BK265" l="1"/>
  <c r="BL265" s="1"/>
  <c r="AZ265"/>
  <c r="BE265"/>
  <c r="BG265" s="1"/>
  <c r="BD265"/>
  <c r="BF265" s="1"/>
  <c r="BI265"/>
  <c r="BJ265" s="1"/>
  <c r="BA266"/>
  <c r="BB265"/>
  <c r="DS246" i="2"/>
  <c r="DP247"/>
  <c r="DV246"/>
  <c r="DR246"/>
  <c r="AJ255" i="12"/>
  <c r="AK254"/>
  <c r="AL254"/>
  <c r="AN254"/>
  <c r="AO254"/>
  <c r="BF267" i="4"/>
  <c r="BG267" s="1"/>
  <c r="AW267"/>
  <c r="AY267"/>
  <c r="BA267" s="1"/>
  <c r="AZ267"/>
  <c r="BB267" s="1"/>
  <c r="AV268"/>
  <c r="BD267"/>
  <c r="BE267" s="1"/>
  <c r="AU267"/>
  <c r="AM239" i="6"/>
  <c r="BZ289"/>
  <c r="BY290"/>
  <c r="BW289"/>
  <c r="BV289"/>
  <c r="BX289" s="1"/>
  <c r="DU245" i="2"/>
  <c r="DT245"/>
  <c r="BZ290" i="6" l="1"/>
  <c r="BW290" s="1"/>
  <c r="BY291"/>
  <c r="BV290"/>
  <c r="BX290" s="1"/>
  <c r="AN239"/>
  <c r="AL255" i="12"/>
  <c r="AK255"/>
  <c r="AJ256"/>
  <c r="AO255"/>
  <c r="AN255"/>
  <c r="AW268" i="4"/>
  <c r="BD268" s="1"/>
  <c r="BE268" s="1"/>
  <c r="AU268"/>
  <c r="AZ268"/>
  <c r="BB268" s="1"/>
  <c r="AV269"/>
  <c r="BF268"/>
  <c r="BG268" s="1"/>
  <c r="AY268"/>
  <c r="BA268" s="1"/>
  <c r="DR247" i="2"/>
  <c r="DV247"/>
  <c r="DS247"/>
  <c r="DP248"/>
  <c r="BB266" i="5"/>
  <c r="BA267"/>
  <c r="AZ266"/>
  <c r="BI266"/>
  <c r="BJ266" s="1"/>
  <c r="BK266"/>
  <c r="BL266" s="1"/>
  <c r="BD266"/>
  <c r="BF266" s="1"/>
  <c r="BE266"/>
  <c r="BG266" s="1"/>
  <c r="DT246" i="2"/>
  <c r="DU246"/>
  <c r="BY292" i="6" l="1"/>
  <c r="BZ291"/>
  <c r="BV291"/>
  <c r="BX291" s="1"/>
  <c r="BW291"/>
  <c r="DU247" i="2"/>
  <c r="DT247"/>
  <c r="AK256" i="12"/>
  <c r="AJ257"/>
  <c r="AL256"/>
  <c r="AN256"/>
  <c r="AO256"/>
  <c r="AM240" i="6"/>
  <c r="DS248" i="2"/>
  <c r="DP249"/>
  <c r="DV248"/>
  <c r="DR248"/>
  <c r="AZ267" i="5"/>
  <c r="BE267"/>
  <c r="BG267" s="1"/>
  <c r="BI267"/>
  <c r="BJ267" s="1"/>
  <c r="BA268"/>
  <c r="BK267"/>
  <c r="BL267" s="1"/>
  <c r="BD267"/>
  <c r="BF267" s="1"/>
  <c r="BB267"/>
  <c r="AU269" i="4"/>
  <c r="AZ269"/>
  <c r="BB269" s="1"/>
  <c r="AV270"/>
  <c r="AY269"/>
  <c r="BA269" s="1"/>
  <c r="AW269"/>
  <c r="BD269" s="1"/>
  <c r="BE269" s="1"/>
  <c r="BF269"/>
  <c r="BG269" s="1"/>
  <c r="BY293" i="6" l="1"/>
  <c r="BZ292"/>
  <c r="BW292" s="1"/>
  <c r="BV292"/>
  <c r="BX292" s="1"/>
  <c r="AY270" i="4"/>
  <c r="BA270" s="1"/>
  <c r="BF270"/>
  <c r="BG270" s="1"/>
  <c r="AW270"/>
  <c r="BD270"/>
  <c r="BE270" s="1"/>
  <c r="AU270"/>
  <c r="AZ270"/>
  <c r="BB270" s="1"/>
  <c r="AV271"/>
  <c r="AN240" i="6"/>
  <c r="AL257" i="12"/>
  <c r="AJ258"/>
  <c r="AK257"/>
  <c r="AO257"/>
  <c r="AN257"/>
  <c r="DT248" i="2"/>
  <c r="DU248"/>
  <c r="BD268" i="5"/>
  <c r="BF268" s="1"/>
  <c r="BA269"/>
  <c r="BB268"/>
  <c r="BK268"/>
  <c r="BL268" s="1"/>
  <c r="BI268"/>
  <c r="BJ268" s="1"/>
  <c r="AZ268"/>
  <c r="BE268"/>
  <c r="BG268" s="1"/>
  <c r="DR249" i="2"/>
  <c r="DV249"/>
  <c r="DP250"/>
  <c r="DS249"/>
  <c r="BZ293" i="6" l="1"/>
  <c r="BW293" s="1"/>
  <c r="BY294"/>
  <c r="BV293"/>
  <c r="BX293" s="1"/>
  <c r="DS250" i="2"/>
  <c r="DP251"/>
  <c r="DR250"/>
  <c r="DV250"/>
  <c r="BK269" i="5"/>
  <c r="BL269" s="1"/>
  <c r="BD269"/>
  <c r="BF269" s="1"/>
  <c r="BA270"/>
  <c r="BB269"/>
  <c r="BI269" s="1"/>
  <c r="BJ269" s="1"/>
  <c r="BE269"/>
  <c r="BG269" s="1"/>
  <c r="AZ269"/>
  <c r="DT249" i="2"/>
  <c r="DU249"/>
  <c r="AJ259" i="12"/>
  <c r="AK258"/>
  <c r="AL258"/>
  <c r="AN258"/>
  <c r="AO258"/>
  <c r="BF271" i="4"/>
  <c r="BG271" s="1"/>
  <c r="AW271"/>
  <c r="AU271"/>
  <c r="BD271"/>
  <c r="BE271" s="1"/>
  <c r="AZ271"/>
  <c r="BB271" s="1"/>
  <c r="AV272"/>
  <c r="AY271"/>
  <c r="BA271" s="1"/>
  <c r="AM241" i="6"/>
  <c r="DT250" i="2" l="1"/>
  <c r="DU250"/>
  <c r="AN241" i="6"/>
  <c r="AL259" i="12"/>
  <c r="AK259"/>
  <c r="AO259"/>
  <c r="AN259"/>
  <c r="AJ260"/>
  <c r="DR251" i="2"/>
  <c r="DV251"/>
  <c r="DS251"/>
  <c r="DP252"/>
  <c r="BZ294" i="6"/>
  <c r="BY295"/>
  <c r="BW294"/>
  <c r="BV294"/>
  <c r="BX294" s="1"/>
  <c r="AW272" i="4"/>
  <c r="BD272" s="1"/>
  <c r="BE272" s="1"/>
  <c r="AU272"/>
  <c r="AZ272"/>
  <c r="BB272" s="1"/>
  <c r="AV273"/>
  <c r="BF272"/>
  <c r="BG272" s="1"/>
  <c r="AY272"/>
  <c r="BA272" s="1"/>
  <c r="BB270" i="5"/>
  <c r="AZ270"/>
  <c r="BE270"/>
  <c r="BG270" s="1"/>
  <c r="BK270"/>
  <c r="BL270" s="1"/>
  <c r="BD270"/>
  <c r="BF270" s="1"/>
  <c r="BA271"/>
  <c r="BI270"/>
  <c r="BJ270" s="1"/>
  <c r="DS252" i="2" l="1"/>
  <c r="DP253"/>
  <c r="DV252"/>
  <c r="DR252"/>
  <c r="AK260" i="12"/>
  <c r="AJ261"/>
  <c r="AL260"/>
  <c r="AN260"/>
  <c r="AO260"/>
  <c r="DU251" i="2"/>
  <c r="DT251"/>
  <c r="AZ271" i="5"/>
  <c r="BE271"/>
  <c r="BG271" s="1"/>
  <c r="BA272"/>
  <c r="BD271"/>
  <c r="BF271" s="1"/>
  <c r="BK271"/>
  <c r="BL271" s="1"/>
  <c r="BB271"/>
  <c r="BI271" s="1"/>
  <c r="BJ271" s="1"/>
  <c r="AU273" i="4"/>
  <c r="AZ273"/>
  <c r="BB273" s="1"/>
  <c r="AV274"/>
  <c r="AY273"/>
  <c r="BA273" s="1"/>
  <c r="BF273"/>
  <c r="BG273" s="1"/>
  <c r="AW273"/>
  <c r="BD273" s="1"/>
  <c r="BE273" s="1"/>
  <c r="BY296" i="6"/>
  <c r="BV295"/>
  <c r="BX295" s="1"/>
  <c r="BZ295"/>
  <c r="BW295" s="1"/>
  <c r="AM242"/>
  <c r="DU252" i="2" l="1"/>
  <c r="DT252"/>
  <c r="AN242" i="6"/>
  <c r="BZ296"/>
  <c r="BV296"/>
  <c r="BX296" s="1"/>
  <c r="BY297"/>
  <c r="BW296"/>
  <c r="AY274" i="4"/>
  <c r="BA274" s="1"/>
  <c r="BF274"/>
  <c r="BG274" s="1"/>
  <c r="AZ274"/>
  <c r="BB274" s="1"/>
  <c r="AU274"/>
  <c r="AV275"/>
  <c r="AW274"/>
  <c r="BD274"/>
  <c r="BE274" s="1"/>
  <c r="AL261" i="12"/>
  <c r="AJ262"/>
  <c r="AO261"/>
  <c r="AN261"/>
  <c r="AK261"/>
  <c r="DR253" i="2"/>
  <c r="DV253"/>
  <c r="DS253"/>
  <c r="DP254"/>
  <c r="BD272" i="5"/>
  <c r="BF272" s="1"/>
  <c r="BB272"/>
  <c r="BK272"/>
  <c r="BL272" s="1"/>
  <c r="AZ272"/>
  <c r="BE272"/>
  <c r="BG272" s="1"/>
  <c r="BA273"/>
  <c r="BI272"/>
  <c r="BJ272" s="1"/>
  <c r="DS254" i="2" l="1"/>
  <c r="DP255"/>
  <c r="DR254"/>
  <c r="DV254"/>
  <c r="AJ263" i="12"/>
  <c r="AK262"/>
  <c r="AL262"/>
  <c r="AN262"/>
  <c r="AO262"/>
  <c r="BF275" i="4"/>
  <c r="BG275" s="1"/>
  <c r="AW275"/>
  <c r="AY275"/>
  <c r="BA275" s="1"/>
  <c r="AZ275"/>
  <c r="BB275" s="1"/>
  <c r="AV276"/>
  <c r="BD275"/>
  <c r="BE275" s="1"/>
  <c r="AU275"/>
  <c r="BK273" i="5"/>
  <c r="BL273" s="1"/>
  <c r="BA274"/>
  <c r="BB273"/>
  <c r="BI273" s="1"/>
  <c r="BJ273" s="1"/>
  <c r="AZ273"/>
  <c r="BE273"/>
  <c r="BG273" s="1"/>
  <c r="BD273"/>
  <c r="BF273" s="1"/>
  <c r="DU253" i="2"/>
  <c r="DT253"/>
  <c r="BZ297" i="6"/>
  <c r="BY298"/>
  <c r="BV297"/>
  <c r="BX297" s="1"/>
  <c r="BW297"/>
  <c r="AM243"/>
  <c r="DT254" i="2" l="1"/>
  <c r="DU254"/>
  <c r="BZ298" i="6"/>
  <c r="BY299"/>
  <c r="BW298"/>
  <c r="BV298"/>
  <c r="BX298" s="1"/>
  <c r="AL263" i="12"/>
  <c r="AK263"/>
  <c r="AO263"/>
  <c r="AJ264"/>
  <c r="AN263"/>
  <c r="AN243" i="6"/>
  <c r="BB274" i="5"/>
  <c r="BE274"/>
  <c r="BG274" s="1"/>
  <c r="BK274"/>
  <c r="BL274" s="1"/>
  <c r="BD274"/>
  <c r="BF274" s="1"/>
  <c r="BI274"/>
  <c r="BJ274" s="1"/>
  <c r="BA275"/>
  <c r="AZ274"/>
  <c r="AW276" i="4"/>
  <c r="BD276" s="1"/>
  <c r="BE276" s="1"/>
  <c r="AU276"/>
  <c r="AZ276"/>
  <c r="BB276" s="1"/>
  <c r="AV277"/>
  <c r="AY276"/>
  <c r="BA276" s="1"/>
  <c r="BF276"/>
  <c r="BG276" s="1"/>
  <c r="DR255" i="2"/>
  <c r="DV255"/>
  <c r="DS255"/>
  <c r="DP256"/>
  <c r="AU277" i="4" l="1"/>
  <c r="AZ277"/>
  <c r="BB277" s="1"/>
  <c r="AV278"/>
  <c r="AY277"/>
  <c r="BA277" s="1"/>
  <c r="AW277"/>
  <c r="BD277" s="1"/>
  <c r="BE277" s="1"/>
  <c r="BF277"/>
  <c r="BG277" s="1"/>
  <c r="DU255" i="2"/>
  <c r="DT255"/>
  <c r="AK264" i="12"/>
  <c r="AJ265"/>
  <c r="AL264"/>
  <c r="AN264"/>
  <c r="AO264"/>
  <c r="DS256" i="2"/>
  <c r="DP257"/>
  <c r="DR256"/>
  <c r="DV256"/>
  <c r="AZ275" i="5"/>
  <c r="BE275"/>
  <c r="BG275" s="1"/>
  <c r="BA276"/>
  <c r="BB275"/>
  <c r="BI275" s="1"/>
  <c r="BJ275" s="1"/>
  <c r="BD275"/>
  <c r="BF275" s="1"/>
  <c r="BK275"/>
  <c r="BL275" s="1"/>
  <c r="AM244" i="6"/>
  <c r="BY300"/>
  <c r="BZ299"/>
  <c r="BV299"/>
  <c r="BX299" s="1"/>
  <c r="BW299"/>
  <c r="BY301" l="1"/>
  <c r="BV300"/>
  <c r="BX300" s="1"/>
  <c r="BZ300"/>
  <c r="BW300"/>
  <c r="DR257" i="2"/>
  <c r="DV257"/>
  <c r="DS257"/>
  <c r="DP258"/>
  <c r="AY278" i="4"/>
  <c r="BA278" s="1"/>
  <c r="BF278"/>
  <c r="BG278" s="1"/>
  <c r="AW278"/>
  <c r="BD278" s="1"/>
  <c r="BE278" s="1"/>
  <c r="AV279"/>
  <c r="AU278"/>
  <c r="AZ278"/>
  <c r="BB278" s="1"/>
  <c r="AN244" i="6"/>
  <c r="BD276" i="5"/>
  <c r="BF276" s="1"/>
  <c r="AZ276"/>
  <c r="BE276"/>
  <c r="BG276" s="1"/>
  <c r="BI276"/>
  <c r="BJ276" s="1"/>
  <c r="BA277"/>
  <c r="BB276"/>
  <c r="BK276"/>
  <c r="BL276" s="1"/>
  <c r="DT256" i="2"/>
  <c r="DU256"/>
  <c r="AL265" i="12"/>
  <c r="AJ266"/>
  <c r="AK265"/>
  <c r="AO265"/>
  <c r="AN265"/>
  <c r="BZ301" i="6" l="1"/>
  <c r="BW301" s="1"/>
  <c r="BV301"/>
  <c r="BX301" s="1"/>
  <c r="BY302"/>
  <c r="BK277" i="5"/>
  <c r="BL277" s="1"/>
  <c r="BB277"/>
  <c r="AZ277"/>
  <c r="BE277"/>
  <c r="BG277" s="1"/>
  <c r="BA278"/>
  <c r="BI277"/>
  <c r="BJ277" s="1"/>
  <c r="BD277"/>
  <c r="BF277" s="1"/>
  <c r="DU257" i="2"/>
  <c r="DT257"/>
  <c r="BF279" i="4"/>
  <c r="BG279" s="1"/>
  <c r="AW279"/>
  <c r="BD279" s="1"/>
  <c r="BE279" s="1"/>
  <c r="AU279"/>
  <c r="AY279"/>
  <c r="BA279" s="1"/>
  <c r="AV280"/>
  <c r="AZ279"/>
  <c r="BB279" s="1"/>
  <c r="AJ267" i="12"/>
  <c r="AK266"/>
  <c r="AL266"/>
  <c r="AN266"/>
  <c r="AO266"/>
  <c r="AM245" i="6"/>
  <c r="DS258" i="2"/>
  <c r="DP259"/>
  <c r="DV258"/>
  <c r="DR258"/>
  <c r="DU258" l="1"/>
  <c r="DT258"/>
  <c r="BZ302" i="6"/>
  <c r="BY303"/>
  <c r="BV302"/>
  <c r="BX302" s="1"/>
  <c r="BW302"/>
  <c r="DR259" i="2"/>
  <c r="DV259"/>
  <c r="DP260"/>
  <c r="DS259"/>
  <c r="AL267" i="12"/>
  <c r="AO267"/>
  <c r="AN267"/>
  <c r="AJ268"/>
  <c r="AK267"/>
  <c r="BB278" i="5"/>
  <c r="BD278"/>
  <c r="BF278" s="1"/>
  <c r="BI278"/>
  <c r="BJ278" s="1"/>
  <c r="BA279"/>
  <c r="BE278"/>
  <c r="BG278" s="1"/>
  <c r="BK278"/>
  <c r="BL278" s="1"/>
  <c r="AZ278"/>
  <c r="AN245" i="6"/>
  <c r="AW280" i="4"/>
  <c r="AU280"/>
  <c r="AZ280"/>
  <c r="BB280" s="1"/>
  <c r="BD280"/>
  <c r="BE280" s="1"/>
  <c r="AV281"/>
  <c r="BF280"/>
  <c r="BG280" s="1"/>
  <c r="AY280"/>
  <c r="BA280" s="1"/>
  <c r="AM246" i="6" l="1"/>
  <c r="AU281" i="4"/>
  <c r="AZ281"/>
  <c r="BB281" s="1"/>
  <c r="AV282"/>
  <c r="AY281"/>
  <c r="BA281" s="1"/>
  <c r="BF281"/>
  <c r="BG281" s="1"/>
  <c r="AW281"/>
  <c r="BD281" s="1"/>
  <c r="BE281" s="1"/>
  <c r="DS260" i="2"/>
  <c r="DP261"/>
  <c r="DR260"/>
  <c r="DV260"/>
  <c r="AK268" i="12"/>
  <c r="AJ269"/>
  <c r="AL268"/>
  <c r="AN268"/>
  <c r="AO268"/>
  <c r="DT259" i="2"/>
  <c r="DU259"/>
  <c r="AZ279" i="5"/>
  <c r="BE279"/>
  <c r="BG279" s="1"/>
  <c r="BA280"/>
  <c r="BB279"/>
  <c r="BI279" s="1"/>
  <c r="BJ279" s="1"/>
  <c r="BK279"/>
  <c r="BL279" s="1"/>
  <c r="BD279"/>
  <c r="BF279" s="1"/>
  <c r="BY304" i="6"/>
  <c r="BZ303"/>
  <c r="BW303" s="1"/>
  <c r="BV303"/>
  <c r="BX303" s="1"/>
  <c r="DU260" i="2" l="1"/>
  <c r="DT260"/>
  <c r="AY282" i="4"/>
  <c r="BA282" s="1"/>
  <c r="BF282"/>
  <c r="BG282" s="1"/>
  <c r="AZ282"/>
  <c r="BB282" s="1"/>
  <c r="AU282"/>
  <c r="AV283"/>
  <c r="AW282"/>
  <c r="BD282" s="1"/>
  <c r="BE282" s="1"/>
  <c r="AN246" i="6"/>
  <c r="AL269" i="12"/>
  <c r="AJ270"/>
  <c r="AK269"/>
  <c r="AO269"/>
  <c r="AN269"/>
  <c r="DR261" i="2"/>
  <c r="DV261"/>
  <c r="DS261"/>
  <c r="DP262"/>
  <c r="BZ304" i="6"/>
  <c r="BW304" s="1"/>
  <c r="BY305"/>
  <c r="BV304"/>
  <c r="BX304" s="1"/>
  <c r="BD280" i="5"/>
  <c r="BF280" s="1"/>
  <c r="BE280"/>
  <c r="BG280" s="1"/>
  <c r="BA281"/>
  <c r="AZ280"/>
  <c r="BK280"/>
  <c r="BL280" s="1"/>
  <c r="BB280"/>
  <c r="BI280" s="1"/>
  <c r="BJ280" s="1"/>
  <c r="AJ271" i="12" l="1"/>
  <c r="AK270"/>
  <c r="AL270"/>
  <c r="AN270"/>
  <c r="AO270"/>
  <c r="BZ305" i="6"/>
  <c r="BW305" s="1"/>
  <c r="BY306"/>
  <c r="BV305"/>
  <c r="BX305" s="1"/>
  <c r="AM247"/>
  <c r="BF283" i="4"/>
  <c r="BG283" s="1"/>
  <c r="AW283"/>
  <c r="AY283"/>
  <c r="BA283" s="1"/>
  <c r="AZ283"/>
  <c r="BB283" s="1"/>
  <c r="AV284"/>
  <c r="BD283"/>
  <c r="BE283" s="1"/>
  <c r="AU283"/>
  <c r="DU261" i="2"/>
  <c r="DT261"/>
  <c r="BK281" i="5"/>
  <c r="BL281" s="1"/>
  <c r="AZ281"/>
  <c r="BE281"/>
  <c r="BG281" s="1"/>
  <c r="BD281"/>
  <c r="BF281" s="1"/>
  <c r="BI281"/>
  <c r="BJ281" s="1"/>
  <c r="BB281"/>
  <c r="BA282"/>
  <c r="DS262" i="2"/>
  <c r="DP263"/>
  <c r="DV262"/>
  <c r="DR262"/>
  <c r="BB282" i="5" l="1"/>
  <c r="BI282" s="1"/>
  <c r="BJ282" s="1"/>
  <c r="BA283"/>
  <c r="AZ282"/>
  <c r="BE282"/>
  <c r="BG282" s="1"/>
  <c r="BD282"/>
  <c r="BF282" s="1"/>
  <c r="BK282"/>
  <c r="BL282" s="1"/>
  <c r="DR263" i="2"/>
  <c r="DV263"/>
  <c r="DS263"/>
  <c r="DP264"/>
  <c r="AL271" i="12"/>
  <c r="AK271"/>
  <c r="AJ272"/>
  <c r="AO271"/>
  <c r="AN271"/>
  <c r="BZ306" i="6"/>
  <c r="BY307"/>
  <c r="BV306"/>
  <c r="BX306" s="1"/>
  <c r="BW306"/>
  <c r="AN247"/>
  <c r="DT262" i="2"/>
  <c r="DU262"/>
  <c r="AW284" i="4"/>
  <c r="AU284"/>
  <c r="AZ284"/>
  <c r="BB284" s="1"/>
  <c r="BD284"/>
  <c r="BE284" s="1"/>
  <c r="AV285"/>
  <c r="BF284"/>
  <c r="BG284" s="1"/>
  <c r="AY284"/>
  <c r="BA284" s="1"/>
  <c r="AU285" l="1"/>
  <c r="AZ285"/>
  <c r="BB285" s="1"/>
  <c r="BD285"/>
  <c r="BE285" s="1"/>
  <c r="AV286"/>
  <c r="AY285"/>
  <c r="BA285" s="1"/>
  <c r="AW285"/>
  <c r="BF285"/>
  <c r="BG285" s="1"/>
  <c r="AM248" i="6"/>
  <c r="DU263" i="2"/>
  <c r="DT263"/>
  <c r="AZ283" i="5"/>
  <c r="BE283"/>
  <c r="BG283" s="1"/>
  <c r="BA284"/>
  <c r="BK283"/>
  <c r="BL283" s="1"/>
  <c r="BD283"/>
  <c r="BF283" s="1"/>
  <c r="BB283"/>
  <c r="BI283" s="1"/>
  <c r="BJ283" s="1"/>
  <c r="BY308" i="6"/>
  <c r="BZ307"/>
  <c r="BV307"/>
  <c r="BX307" s="1"/>
  <c r="BW307"/>
  <c r="AK272" i="12"/>
  <c r="AJ273"/>
  <c r="AL272"/>
  <c r="AN272"/>
  <c r="AO272"/>
  <c r="DS264" i="2"/>
  <c r="DP265"/>
  <c r="DV264"/>
  <c r="DR264"/>
  <c r="BV308" i="6" l="1"/>
  <c r="BX308" s="1"/>
  <c r="BY309"/>
  <c r="BZ308"/>
  <c r="BW308" s="1"/>
  <c r="BD284" i="5"/>
  <c r="BF284" s="1"/>
  <c r="BA285"/>
  <c r="BB284"/>
  <c r="BI284" s="1"/>
  <c r="BJ284" s="1"/>
  <c r="BK284"/>
  <c r="BL284" s="1"/>
  <c r="BE284"/>
  <c r="BG284" s="1"/>
  <c r="AZ284"/>
  <c r="DR265" i="2"/>
  <c r="DV265"/>
  <c r="DS265"/>
  <c r="DP266"/>
  <c r="DT264"/>
  <c r="DU264"/>
  <c r="AL273" i="12"/>
  <c r="AJ274"/>
  <c r="AK273"/>
  <c r="AO273"/>
  <c r="AN273"/>
  <c r="AN248" i="6"/>
  <c r="AY286" i="4"/>
  <c r="BA286" s="1"/>
  <c r="BF286"/>
  <c r="BG286" s="1"/>
  <c r="AW286"/>
  <c r="BD286" s="1"/>
  <c r="BE286" s="1"/>
  <c r="AU286"/>
  <c r="AZ286"/>
  <c r="BB286" s="1"/>
  <c r="AV287"/>
  <c r="BF287" l="1"/>
  <c r="BG287" s="1"/>
  <c r="AW287"/>
  <c r="BD287" s="1"/>
  <c r="BE287" s="1"/>
  <c r="AU287"/>
  <c r="AZ287"/>
  <c r="BB287" s="1"/>
  <c r="AV288"/>
  <c r="AY287"/>
  <c r="BA287" s="1"/>
  <c r="AM249" i="6"/>
  <c r="AJ275" i="12"/>
  <c r="AK274"/>
  <c r="AL274"/>
  <c r="AN274"/>
  <c r="AO274"/>
  <c r="DS266" i="2"/>
  <c r="DP267"/>
  <c r="DR266"/>
  <c r="DV266"/>
  <c r="DT265"/>
  <c r="DU265"/>
  <c r="BK285" i="5"/>
  <c r="BL285" s="1"/>
  <c r="BD285"/>
  <c r="BF285" s="1"/>
  <c r="BA286"/>
  <c r="AZ285"/>
  <c r="BE285"/>
  <c r="BG285" s="1"/>
  <c r="BB285"/>
  <c r="BI285" s="1"/>
  <c r="BJ285" s="1"/>
  <c r="BZ309" i="6"/>
  <c r="BY310"/>
  <c r="BV309"/>
  <c r="BX309" s="1"/>
  <c r="BW309"/>
  <c r="AL275" i="12" l="1"/>
  <c r="AJ276"/>
  <c r="AO275"/>
  <c r="AN275"/>
  <c r="AK275"/>
  <c r="AW288" i="4"/>
  <c r="AU288"/>
  <c r="AZ288"/>
  <c r="BB288" s="1"/>
  <c r="BD288"/>
  <c r="BE288" s="1"/>
  <c r="AV289"/>
  <c r="BF288"/>
  <c r="BG288" s="1"/>
  <c r="AY288"/>
  <c r="BA288" s="1"/>
  <c r="BZ310" i="6"/>
  <c r="BW310" s="1"/>
  <c r="BY311"/>
  <c r="BV310"/>
  <c r="BX310" s="1"/>
  <c r="DT266" i="2"/>
  <c r="DU266"/>
  <c r="BB286" i="5"/>
  <c r="AZ286"/>
  <c r="BE286"/>
  <c r="BG286" s="1"/>
  <c r="BK286"/>
  <c r="BL286" s="1"/>
  <c r="BA287"/>
  <c r="BI286"/>
  <c r="BJ286" s="1"/>
  <c r="BD286"/>
  <c r="BF286" s="1"/>
  <c r="DR267" i="2"/>
  <c r="DV267"/>
  <c r="DS267"/>
  <c r="DP268"/>
  <c r="AN249" i="6"/>
  <c r="BY312" l="1"/>
  <c r="BV311"/>
  <c r="BX311" s="1"/>
  <c r="BZ311"/>
  <c r="BW311" s="1"/>
  <c r="AU289" i="4"/>
  <c r="AZ289"/>
  <c r="BB289" s="1"/>
  <c r="AV290"/>
  <c r="AY289"/>
  <c r="BA289" s="1"/>
  <c r="BF289"/>
  <c r="BG289" s="1"/>
  <c r="AW289"/>
  <c r="BD289" s="1"/>
  <c r="BE289" s="1"/>
  <c r="AK276" i="12"/>
  <c r="AJ277"/>
  <c r="AL276"/>
  <c r="AN276"/>
  <c r="AO276"/>
  <c r="AM250" i="6"/>
  <c r="AZ287" i="5"/>
  <c r="BE287"/>
  <c r="BG287" s="1"/>
  <c r="BI287"/>
  <c r="BJ287" s="1"/>
  <c r="BA288"/>
  <c r="BD287"/>
  <c r="BF287" s="1"/>
  <c r="BK287"/>
  <c r="BL287" s="1"/>
  <c r="BB287"/>
  <c r="DS268" i="2"/>
  <c r="DP269"/>
  <c r="DV268"/>
  <c r="DR268"/>
  <c r="DU267"/>
  <c r="DT267"/>
  <c r="DU268" l="1"/>
  <c r="DT268"/>
  <c r="AN250" i="6"/>
  <c r="AL277" i="12"/>
  <c r="AK277"/>
  <c r="AO277"/>
  <c r="AJ278"/>
  <c r="AN277"/>
  <c r="BZ312" i="6"/>
  <c r="BY313"/>
  <c r="BW312"/>
  <c r="BV312"/>
  <c r="BX312" s="1"/>
  <c r="BD288" i="5"/>
  <c r="BF288" s="1"/>
  <c r="BB288"/>
  <c r="BK288"/>
  <c r="BL288" s="1"/>
  <c r="AZ288"/>
  <c r="BA289"/>
  <c r="BI288"/>
  <c r="BJ288" s="1"/>
  <c r="BE288"/>
  <c r="BG288" s="1"/>
  <c r="DR269" i="2"/>
  <c r="DV269"/>
  <c r="DS269"/>
  <c r="DP270"/>
  <c r="AY290" i="4"/>
  <c r="BA290" s="1"/>
  <c r="BF290"/>
  <c r="BG290" s="1"/>
  <c r="AZ290"/>
  <c r="BB290" s="1"/>
  <c r="AU290"/>
  <c r="AV291"/>
  <c r="AW290"/>
  <c r="BD290"/>
  <c r="BE290" s="1"/>
  <c r="AJ279" i="12" l="1"/>
  <c r="AK278"/>
  <c r="AL278"/>
  <c r="AN278"/>
  <c r="AO278"/>
  <c r="BF291" i="4"/>
  <c r="BG291" s="1"/>
  <c r="AW291"/>
  <c r="AY291"/>
  <c r="BA291" s="1"/>
  <c r="AZ291"/>
  <c r="BB291" s="1"/>
  <c r="AV292"/>
  <c r="AU291"/>
  <c r="BD291"/>
  <c r="BE291" s="1"/>
  <c r="BK289" i="5"/>
  <c r="BL289" s="1"/>
  <c r="BA290"/>
  <c r="BB289"/>
  <c r="BE289"/>
  <c r="BG289" s="1"/>
  <c r="BD289"/>
  <c r="BF289" s="1"/>
  <c r="BI289"/>
  <c r="BJ289" s="1"/>
  <c r="AZ289"/>
  <c r="DS270" i="2"/>
  <c r="DP271"/>
  <c r="DR270"/>
  <c r="DV270"/>
  <c r="DU269"/>
  <c r="DT269"/>
  <c r="BZ313" i="6"/>
  <c r="BY314"/>
  <c r="BV313"/>
  <c r="BX313" s="1"/>
  <c r="BW313"/>
  <c r="AM251"/>
  <c r="BB290" i="5" l="1"/>
  <c r="BE290"/>
  <c r="BG290" s="1"/>
  <c r="BK290"/>
  <c r="BL290" s="1"/>
  <c r="BD290"/>
  <c r="BF290" s="1"/>
  <c r="BI290"/>
  <c r="BJ290" s="1"/>
  <c r="AZ290"/>
  <c r="BA291"/>
  <c r="AW292" i="4"/>
  <c r="BD292" s="1"/>
  <c r="BE292" s="1"/>
  <c r="AU292"/>
  <c r="AZ292"/>
  <c r="BB292" s="1"/>
  <c r="AV293"/>
  <c r="AY292"/>
  <c r="BA292" s="1"/>
  <c r="BF292"/>
  <c r="BG292" s="1"/>
  <c r="DR271" i="2"/>
  <c r="DV271"/>
  <c r="DS271"/>
  <c r="DP272"/>
  <c r="AL279" i="12"/>
  <c r="AK279"/>
  <c r="AJ280"/>
  <c r="AO279"/>
  <c r="AN279"/>
  <c r="AN251" i="6"/>
  <c r="BZ314"/>
  <c r="BY315"/>
  <c r="BV314"/>
  <c r="BX314" s="1"/>
  <c r="BW314"/>
  <c r="DT270" i="2"/>
  <c r="DU270"/>
  <c r="AK280" i="12" l="1"/>
  <c r="AJ281"/>
  <c r="AL280"/>
  <c r="AO280"/>
  <c r="AN280"/>
  <c r="DS272" i="2"/>
  <c r="DP273"/>
  <c r="DR272"/>
  <c r="DV272"/>
  <c r="AZ291" i="5"/>
  <c r="BE291"/>
  <c r="BG291" s="1"/>
  <c r="BI291"/>
  <c r="BJ291" s="1"/>
  <c r="BA292"/>
  <c r="BB291"/>
  <c r="BD291"/>
  <c r="BF291" s="1"/>
  <c r="BK291"/>
  <c r="BL291" s="1"/>
  <c r="DU271" i="2"/>
  <c r="DT271"/>
  <c r="BY316" i="6"/>
  <c r="BZ315"/>
  <c r="BW315" s="1"/>
  <c r="BV315"/>
  <c r="BX315" s="1"/>
  <c r="AM252"/>
  <c r="AU293" i="4"/>
  <c r="AZ293"/>
  <c r="BB293" s="1"/>
  <c r="AV294"/>
  <c r="AY293"/>
  <c r="BA293" s="1"/>
  <c r="AW293"/>
  <c r="BD293" s="1"/>
  <c r="BE293" s="1"/>
  <c r="BF293"/>
  <c r="BG293" s="1"/>
  <c r="DT272" i="2" l="1"/>
  <c r="DU272"/>
  <c r="AL281" i="12"/>
  <c r="AJ282"/>
  <c r="AO281"/>
  <c r="AN281"/>
  <c r="AK281"/>
  <c r="BD292" i="5"/>
  <c r="BF292" s="1"/>
  <c r="AZ292"/>
  <c r="BE292"/>
  <c r="BG292" s="1"/>
  <c r="BB292"/>
  <c r="BI292" s="1"/>
  <c r="BJ292" s="1"/>
  <c r="BK292"/>
  <c r="BL292" s="1"/>
  <c r="BA293"/>
  <c r="AN252" i="6"/>
  <c r="BY317"/>
  <c r="BZ316"/>
  <c r="BW316" s="1"/>
  <c r="BV316"/>
  <c r="BX316" s="1"/>
  <c r="DR273" i="2"/>
  <c r="DV273"/>
  <c r="DS273"/>
  <c r="DP274"/>
  <c r="AY294" i="4"/>
  <c r="BA294" s="1"/>
  <c r="BF294"/>
  <c r="BG294" s="1"/>
  <c r="AW294"/>
  <c r="BD294" s="1"/>
  <c r="BE294" s="1"/>
  <c r="AV295"/>
  <c r="AU294"/>
  <c r="AZ294"/>
  <c r="BB294" s="1"/>
  <c r="BF295" l="1"/>
  <c r="BG295" s="1"/>
  <c r="AW295"/>
  <c r="BD295" s="1"/>
  <c r="BE295" s="1"/>
  <c r="AU295"/>
  <c r="AY295"/>
  <c r="BA295" s="1"/>
  <c r="AV296"/>
  <c r="AZ295"/>
  <c r="BB295" s="1"/>
  <c r="BZ317" i="6"/>
  <c r="BV317"/>
  <c r="BX317" s="1"/>
  <c r="BW317"/>
  <c r="BY318"/>
  <c r="DT273" i="2"/>
  <c r="DU273"/>
  <c r="AM253" i="6"/>
  <c r="BK293" i="5"/>
  <c r="BL293" s="1"/>
  <c r="BB293"/>
  <c r="BI293" s="1"/>
  <c r="BJ293" s="1"/>
  <c r="AZ293"/>
  <c r="BE293"/>
  <c r="BG293" s="1"/>
  <c r="BD293"/>
  <c r="BF293" s="1"/>
  <c r="BA294"/>
  <c r="DS274" i="2"/>
  <c r="DP275"/>
  <c r="DV274"/>
  <c r="DR274"/>
  <c r="AJ283" i="12"/>
  <c r="AK282"/>
  <c r="AN282"/>
  <c r="AO282"/>
  <c r="AL282"/>
  <c r="AW296" i="4" l="1"/>
  <c r="BD296" s="1"/>
  <c r="BE296" s="1"/>
  <c r="AU296"/>
  <c r="AZ296"/>
  <c r="BB296" s="1"/>
  <c r="AV297"/>
  <c r="BF296"/>
  <c r="BG296" s="1"/>
  <c r="AY296"/>
  <c r="BA296" s="1"/>
  <c r="BB294" i="5"/>
  <c r="BD294"/>
  <c r="BF294" s="1"/>
  <c r="BI294"/>
  <c r="BJ294" s="1"/>
  <c r="BA295"/>
  <c r="BK294"/>
  <c r="BL294" s="1"/>
  <c r="AZ294"/>
  <c r="BE294"/>
  <c r="BG294" s="1"/>
  <c r="AJ284" i="12"/>
  <c r="AL283"/>
  <c r="AK283"/>
  <c r="AO283"/>
  <c r="AN283"/>
  <c r="AN253" i="6"/>
  <c r="BZ318"/>
  <c r="BW318" s="1"/>
  <c r="BY319"/>
  <c r="BV318"/>
  <c r="BX318" s="1"/>
  <c r="DU274" i="2"/>
  <c r="DT274"/>
  <c r="DR275"/>
  <c r="DV275"/>
  <c r="DP276"/>
  <c r="DS275"/>
  <c r="AU297" i="4" l="1"/>
  <c r="AZ297"/>
  <c r="BB297" s="1"/>
  <c r="AV298"/>
  <c r="AY297"/>
  <c r="BA297" s="1"/>
  <c r="BF297"/>
  <c r="BG297" s="1"/>
  <c r="AW297"/>
  <c r="BD297" s="1"/>
  <c r="BE297" s="1"/>
  <c r="DT275" i="2"/>
  <c r="DU275"/>
  <c r="BY320" i="6"/>
  <c r="BZ319"/>
  <c r="BV319"/>
  <c r="BX319" s="1"/>
  <c r="BW319"/>
  <c r="AK284" i="12"/>
  <c r="AJ285"/>
  <c r="AL284"/>
  <c r="AN284"/>
  <c r="AO284"/>
  <c r="AZ295" i="5"/>
  <c r="BE295"/>
  <c r="BG295" s="1"/>
  <c r="BI295"/>
  <c r="BJ295" s="1"/>
  <c r="BA296"/>
  <c r="BB295"/>
  <c r="BK295"/>
  <c r="BL295" s="1"/>
  <c r="BD295"/>
  <c r="BF295" s="1"/>
  <c r="DS276" i="2"/>
  <c r="DP277"/>
  <c r="DR276"/>
  <c r="DV276"/>
  <c r="AM254" i="6"/>
  <c r="DT276" i="2" l="1"/>
  <c r="DU276"/>
  <c r="BD296" i="5"/>
  <c r="BF296" s="1"/>
  <c r="BE296"/>
  <c r="BG296" s="1"/>
  <c r="BI296"/>
  <c r="BJ296" s="1"/>
  <c r="BA297"/>
  <c r="BB296"/>
  <c r="AZ296"/>
  <c r="BK296"/>
  <c r="BL296" s="1"/>
  <c r="BZ320" i="6"/>
  <c r="BY321"/>
  <c r="BW320"/>
  <c r="BV320"/>
  <c r="BX320" s="1"/>
  <c r="AN254"/>
  <c r="DR277" i="2"/>
  <c r="DV277"/>
  <c r="DS277"/>
  <c r="DP278"/>
  <c r="AL285" i="12"/>
  <c r="AJ286"/>
  <c r="AK285"/>
  <c r="AO285"/>
  <c r="AN285"/>
  <c r="AY298" i="4"/>
  <c r="BA298" s="1"/>
  <c r="BF298"/>
  <c r="BG298" s="1"/>
  <c r="AZ298"/>
  <c r="BB298" s="1"/>
  <c r="AU298"/>
  <c r="AV299"/>
  <c r="AW298"/>
  <c r="BD298" s="1"/>
  <c r="BE298" s="1"/>
  <c r="DS278" i="2" l="1"/>
  <c r="DP279"/>
  <c r="DV278"/>
  <c r="DR278"/>
  <c r="BF299" i="4"/>
  <c r="BG299" s="1"/>
  <c r="AW299"/>
  <c r="AY299"/>
  <c r="BA299" s="1"/>
  <c r="AZ299"/>
  <c r="BB299" s="1"/>
  <c r="AV300"/>
  <c r="BD299"/>
  <c r="BE299" s="1"/>
  <c r="AU299"/>
  <c r="AJ287" i="12"/>
  <c r="AK286"/>
  <c r="AL286"/>
  <c r="AN286"/>
  <c r="AO286"/>
  <c r="DU277" i="2"/>
  <c r="DT277"/>
  <c r="AM255" i="6"/>
  <c r="BK297" i="5"/>
  <c r="BL297" s="1"/>
  <c r="AZ297"/>
  <c r="BE297"/>
  <c r="BG297" s="1"/>
  <c r="BD297"/>
  <c r="BF297" s="1"/>
  <c r="BI297"/>
  <c r="BJ297" s="1"/>
  <c r="BA298"/>
  <c r="BB297"/>
  <c r="BZ321" i="6"/>
  <c r="BW321" s="1"/>
  <c r="BY322"/>
  <c r="BV321"/>
  <c r="BX321" s="1"/>
  <c r="DT278" i="2" l="1"/>
  <c r="DU278"/>
  <c r="BZ322" i="6"/>
  <c r="BY323"/>
  <c r="BV322"/>
  <c r="BX322" s="1"/>
  <c r="BW322"/>
  <c r="AW300" i="4"/>
  <c r="AU300"/>
  <c r="AZ300"/>
  <c r="BB300" s="1"/>
  <c r="BD300"/>
  <c r="BE300" s="1"/>
  <c r="AV301"/>
  <c r="BF300"/>
  <c r="BG300" s="1"/>
  <c r="AY300"/>
  <c r="BA300" s="1"/>
  <c r="BB298" i="5"/>
  <c r="BA299"/>
  <c r="AZ298"/>
  <c r="BI298"/>
  <c r="BJ298" s="1"/>
  <c r="BE298"/>
  <c r="BG298" s="1"/>
  <c r="BD298"/>
  <c r="BF298" s="1"/>
  <c r="BK298"/>
  <c r="BL298" s="1"/>
  <c r="DR279" i="2"/>
  <c r="DV279"/>
  <c r="DS279"/>
  <c r="DP280"/>
  <c r="AN255" i="6"/>
  <c r="AL287" i="12"/>
  <c r="AJ288"/>
  <c r="AO287"/>
  <c r="AN287"/>
  <c r="AK287"/>
  <c r="AM256" i="6" l="1"/>
  <c r="DU279" i="2"/>
  <c r="DT279"/>
  <c r="AZ299" i="5"/>
  <c r="BE299"/>
  <c r="BG299" s="1"/>
  <c r="BA300"/>
  <c r="BK299"/>
  <c r="BL299" s="1"/>
  <c r="BD299"/>
  <c r="BF299" s="1"/>
  <c r="BB299"/>
  <c r="BI299" s="1"/>
  <c r="BJ299" s="1"/>
  <c r="AU301" i="4"/>
  <c r="AZ301"/>
  <c r="BB301" s="1"/>
  <c r="AV302"/>
  <c r="AY301"/>
  <c r="BA301" s="1"/>
  <c r="AW301"/>
  <c r="BD301" s="1"/>
  <c r="BE301" s="1"/>
  <c r="BF301"/>
  <c r="BG301" s="1"/>
  <c r="AK288" i="12"/>
  <c r="AL288"/>
  <c r="AJ289"/>
  <c r="AN288"/>
  <c r="AO288"/>
  <c r="DS280" i="2"/>
  <c r="DP281"/>
  <c r="DV280"/>
  <c r="DR280"/>
  <c r="BY324" i="6"/>
  <c r="BV323"/>
  <c r="BX323" s="1"/>
  <c r="BZ323"/>
  <c r="BW323"/>
  <c r="BY325" l="1"/>
  <c r="BV324"/>
  <c r="BX324" s="1"/>
  <c r="BZ324"/>
  <c r="BW324" s="1"/>
  <c r="DR281" i="2"/>
  <c r="DV281"/>
  <c r="DP282"/>
  <c r="DS281"/>
  <c r="AL289" i="12"/>
  <c r="AK289"/>
  <c r="AJ290"/>
  <c r="AO289"/>
  <c r="AN289"/>
  <c r="AN256" i="6"/>
  <c r="AY302" i="4"/>
  <c r="BA302" s="1"/>
  <c r="BF302"/>
  <c r="BG302" s="1"/>
  <c r="AW302"/>
  <c r="BD302"/>
  <c r="BE302" s="1"/>
  <c r="AZ302"/>
  <c r="BB302" s="1"/>
  <c r="AV303"/>
  <c r="AU302"/>
  <c r="DT280" i="2"/>
  <c r="DU280"/>
  <c r="BD300" i="5"/>
  <c r="BF300" s="1"/>
  <c r="BA301"/>
  <c r="BB300"/>
  <c r="BI300" s="1"/>
  <c r="BJ300" s="1"/>
  <c r="BK300"/>
  <c r="BL300" s="1"/>
  <c r="AZ300"/>
  <c r="BE300"/>
  <c r="BG300" s="1"/>
  <c r="BF303" i="4" l="1"/>
  <c r="BG303" s="1"/>
  <c r="AW303"/>
  <c r="BD303" s="1"/>
  <c r="BE303" s="1"/>
  <c r="AU303"/>
  <c r="AZ303"/>
  <c r="BB303" s="1"/>
  <c r="AV304"/>
  <c r="AY303"/>
  <c r="BA303" s="1"/>
  <c r="BZ325" i="6"/>
  <c r="BW325" s="1"/>
  <c r="BY326"/>
  <c r="BV325"/>
  <c r="BX325" s="1"/>
  <c r="BK301" i="5"/>
  <c r="BL301" s="1"/>
  <c r="BD301"/>
  <c r="BF301" s="1"/>
  <c r="BA302"/>
  <c r="BB301"/>
  <c r="BI301" s="1"/>
  <c r="BJ301" s="1"/>
  <c r="AZ301"/>
  <c r="BE301"/>
  <c r="BG301" s="1"/>
  <c r="AM257" i="6"/>
  <c r="AJ291" i="12"/>
  <c r="AL290"/>
  <c r="AK290"/>
  <c r="AN290"/>
  <c r="AO290"/>
  <c r="DS282" i="2"/>
  <c r="DP283"/>
  <c r="DR282"/>
  <c r="DV282"/>
  <c r="DT281"/>
  <c r="DU281"/>
  <c r="DT282" l="1"/>
  <c r="DU282"/>
  <c r="AW304" i="4"/>
  <c r="AU304"/>
  <c r="AZ304"/>
  <c r="BB304" s="1"/>
  <c r="BD304"/>
  <c r="BE304" s="1"/>
  <c r="AV305"/>
  <c r="BF304"/>
  <c r="BG304" s="1"/>
  <c r="AY304"/>
  <c r="BA304" s="1"/>
  <c r="AK291" i="12"/>
  <c r="AO291"/>
  <c r="AN291"/>
  <c r="AJ292"/>
  <c r="AL291"/>
  <c r="BZ326" i="6"/>
  <c r="BY327"/>
  <c r="BW326"/>
  <c r="BV326"/>
  <c r="BX326" s="1"/>
  <c r="DR283" i="2"/>
  <c r="DV283"/>
  <c r="DS283"/>
  <c r="DP284"/>
  <c r="AN257" i="6"/>
  <c r="BB302" i="5"/>
  <c r="BI302" s="1"/>
  <c r="BJ302" s="1"/>
  <c r="AZ302"/>
  <c r="BE302"/>
  <c r="BG302" s="1"/>
  <c r="BK302"/>
  <c r="BL302" s="1"/>
  <c r="BD302"/>
  <c r="BF302" s="1"/>
  <c r="BA303"/>
  <c r="AZ303" l="1"/>
  <c r="BE303"/>
  <c r="BG303" s="1"/>
  <c r="BA304"/>
  <c r="BD303"/>
  <c r="BF303" s="1"/>
  <c r="BK303"/>
  <c r="BL303" s="1"/>
  <c r="BB303"/>
  <c r="BI303" s="1"/>
  <c r="BJ303" s="1"/>
  <c r="DT283" i="2"/>
  <c r="DU283"/>
  <c r="AK292" i="12"/>
  <c r="AJ293"/>
  <c r="AL292"/>
  <c r="AN292"/>
  <c r="AO292"/>
  <c r="DS284" i="2"/>
  <c r="DP285"/>
  <c r="DV284"/>
  <c r="DR284"/>
  <c r="AU305" i="4"/>
  <c r="AZ305"/>
  <c r="BB305" s="1"/>
  <c r="AV306"/>
  <c r="AY305"/>
  <c r="BA305" s="1"/>
  <c r="BF305"/>
  <c r="BG305" s="1"/>
  <c r="AW305"/>
  <c r="BD305" s="1"/>
  <c r="BE305" s="1"/>
  <c r="AM258" i="6"/>
  <c r="BY328"/>
  <c r="BV327"/>
  <c r="BX327" s="1"/>
  <c r="BZ327"/>
  <c r="BW327" s="1"/>
  <c r="DU284" i="2" l="1"/>
  <c r="DT284"/>
  <c r="AL293" i="12"/>
  <c r="AK293"/>
  <c r="AO293"/>
  <c r="AJ294"/>
  <c r="AN293"/>
  <c r="AN258" i="6"/>
  <c r="AY306" i="4"/>
  <c r="BA306" s="1"/>
  <c r="BF306"/>
  <c r="BG306" s="1"/>
  <c r="AZ306"/>
  <c r="BB306" s="1"/>
  <c r="AU306"/>
  <c r="AV307"/>
  <c r="AW306"/>
  <c r="BD306"/>
  <c r="BE306" s="1"/>
  <c r="BZ328" i="6"/>
  <c r="BW328" s="1"/>
  <c r="BV328"/>
  <c r="BX328" s="1"/>
  <c r="BY329"/>
  <c r="DR285" i="2"/>
  <c r="DV285"/>
  <c r="DS285"/>
  <c r="DP286"/>
  <c r="BD304" i="5"/>
  <c r="BF304" s="1"/>
  <c r="BB304"/>
  <c r="BK304"/>
  <c r="BL304" s="1"/>
  <c r="AZ304"/>
  <c r="BE304"/>
  <c r="BG304" s="1"/>
  <c r="BI304"/>
  <c r="BJ304" s="1"/>
  <c r="BA305"/>
  <c r="BF307" i="4" l="1"/>
  <c r="BG307" s="1"/>
  <c r="AW307"/>
  <c r="AY307"/>
  <c r="BA307" s="1"/>
  <c r="AZ307"/>
  <c r="BB307" s="1"/>
  <c r="AV308"/>
  <c r="AU307"/>
  <c r="BD307"/>
  <c r="BE307" s="1"/>
  <c r="AJ295" i="12"/>
  <c r="AL294"/>
  <c r="AK294"/>
  <c r="AN294"/>
  <c r="AO294"/>
  <c r="DU285" i="2"/>
  <c r="DT285"/>
  <c r="BK305" i="5"/>
  <c r="BL305" s="1"/>
  <c r="BA306"/>
  <c r="BB305"/>
  <c r="BI305" s="1"/>
  <c r="BJ305" s="1"/>
  <c r="AZ305"/>
  <c r="BD305"/>
  <c r="BF305" s="1"/>
  <c r="BE305"/>
  <c r="BG305" s="1"/>
  <c r="DS286" i="2"/>
  <c r="DP287"/>
  <c r="DR286"/>
  <c r="DV286"/>
  <c r="BZ329" i="6"/>
  <c r="BY330"/>
  <c r="BV329"/>
  <c r="BX329" s="1"/>
  <c r="BW329"/>
  <c r="AM259"/>
  <c r="DT286" i="2" l="1"/>
  <c r="DU286"/>
  <c r="AW308" i="4"/>
  <c r="AU308"/>
  <c r="AZ308"/>
  <c r="BB308" s="1"/>
  <c r="BD308"/>
  <c r="BE308" s="1"/>
  <c r="AV309"/>
  <c r="AY308"/>
  <c r="BA308" s="1"/>
  <c r="BF308"/>
  <c r="BG308" s="1"/>
  <c r="AN259" i="6"/>
  <c r="BZ330"/>
  <c r="BW330" s="1"/>
  <c r="BY331"/>
  <c r="BV330"/>
  <c r="BX330" s="1"/>
  <c r="DR287" i="2"/>
  <c r="DV287"/>
  <c r="DP288"/>
  <c r="DS287"/>
  <c r="BB306" i="5"/>
  <c r="BE306"/>
  <c r="BG306" s="1"/>
  <c r="BK306"/>
  <c r="BL306" s="1"/>
  <c r="BD306"/>
  <c r="BF306" s="1"/>
  <c r="BI306"/>
  <c r="BJ306" s="1"/>
  <c r="BA307"/>
  <c r="AZ306"/>
  <c r="AL295" i="12"/>
  <c r="AK295"/>
  <c r="AO295"/>
  <c r="AN295"/>
  <c r="AJ296"/>
  <c r="AK296" l="1"/>
  <c r="AL296"/>
  <c r="AJ297"/>
  <c r="AN296"/>
  <c r="AO296"/>
  <c r="DU287" i="2"/>
  <c r="DT287"/>
  <c r="AZ307" i="5"/>
  <c r="BE307"/>
  <c r="BG307" s="1"/>
  <c r="BI307"/>
  <c r="BJ307" s="1"/>
  <c r="BA308"/>
  <c r="BB307"/>
  <c r="BK307"/>
  <c r="BL307" s="1"/>
  <c r="BD307"/>
  <c r="BF307" s="1"/>
  <c r="BY332" i="6"/>
  <c r="BV331"/>
  <c r="BX331" s="1"/>
  <c r="BZ331"/>
  <c r="BW331" s="1"/>
  <c r="DS288" i="2"/>
  <c r="DP289"/>
  <c r="DR288"/>
  <c r="DV288"/>
  <c r="AM260" i="6"/>
  <c r="AU309" i="4"/>
  <c r="AZ309"/>
  <c r="BB309" s="1"/>
  <c r="AV310"/>
  <c r="AY309"/>
  <c r="BA309" s="1"/>
  <c r="AW309"/>
  <c r="BD309" s="1"/>
  <c r="BE309" s="1"/>
  <c r="BF309"/>
  <c r="BG309" s="1"/>
  <c r="DT288" i="2" l="1"/>
  <c r="DU288"/>
  <c r="BY333" i="6"/>
  <c r="BV332"/>
  <c r="BX332" s="1"/>
  <c r="BZ332"/>
  <c r="BW332" s="1"/>
  <c r="BD308" i="5"/>
  <c r="BF308" s="1"/>
  <c r="AZ308"/>
  <c r="BE308"/>
  <c r="BG308" s="1"/>
  <c r="BA309"/>
  <c r="BK308"/>
  <c r="BL308" s="1"/>
  <c r="BB308"/>
  <c r="BI308" s="1"/>
  <c r="BJ308" s="1"/>
  <c r="AL297" i="12"/>
  <c r="AJ298"/>
  <c r="AK297"/>
  <c r="AO297"/>
  <c r="AN297"/>
  <c r="AN260" i="6"/>
  <c r="AY310" i="4"/>
  <c r="BA310" s="1"/>
  <c r="BF310"/>
  <c r="BG310" s="1"/>
  <c r="AW310"/>
  <c r="BD310"/>
  <c r="BE310" s="1"/>
  <c r="AV311"/>
  <c r="AU310"/>
  <c r="AZ310"/>
  <c r="BB310" s="1"/>
  <c r="DR289" i="2"/>
  <c r="DV289"/>
  <c r="DS289"/>
  <c r="DP290"/>
  <c r="DT289" l="1"/>
  <c r="DU289"/>
  <c r="BF311" i="4"/>
  <c r="BG311" s="1"/>
  <c r="AW311"/>
  <c r="AU311"/>
  <c r="BD311"/>
  <c r="BE311" s="1"/>
  <c r="AY311"/>
  <c r="BA311" s="1"/>
  <c r="AV312"/>
  <c r="AZ311"/>
  <c r="BB311" s="1"/>
  <c r="DS290" i="2"/>
  <c r="DP291"/>
  <c r="DV290"/>
  <c r="DR290"/>
  <c r="AM261" i="6"/>
  <c r="AJ299" i="12"/>
  <c r="AK298"/>
  <c r="AL298"/>
  <c r="AN298"/>
  <c r="AO298"/>
  <c r="BK309" i="5"/>
  <c r="BL309" s="1"/>
  <c r="BB309"/>
  <c r="AZ309"/>
  <c r="BE309"/>
  <c r="BG309" s="1"/>
  <c r="BA310"/>
  <c r="BI309"/>
  <c r="BJ309" s="1"/>
  <c r="BD309"/>
  <c r="BF309" s="1"/>
  <c r="BZ333" i="6"/>
  <c r="BV333"/>
  <c r="BX333" s="1"/>
  <c r="BW333"/>
  <c r="BY334"/>
  <c r="DU290" i="2" l="1"/>
  <c r="DT290"/>
  <c r="BB310" i="5"/>
  <c r="BD310"/>
  <c r="BF310" s="1"/>
  <c r="BI310"/>
  <c r="BJ310" s="1"/>
  <c r="BA311"/>
  <c r="BE310"/>
  <c r="BG310" s="1"/>
  <c r="AZ310"/>
  <c r="BK310"/>
  <c r="BL310" s="1"/>
  <c r="DR291" i="2"/>
  <c r="DV291"/>
  <c r="DP292"/>
  <c r="DS291"/>
  <c r="AN261" i="6"/>
  <c r="BZ334"/>
  <c r="BY335"/>
  <c r="BV334"/>
  <c r="BX334" s="1"/>
  <c r="BW334"/>
  <c r="AJ300" i="12"/>
  <c r="AL299"/>
  <c r="AK299"/>
  <c r="AO299"/>
  <c r="AN299"/>
  <c r="AW312" i="4"/>
  <c r="BD312" s="1"/>
  <c r="BE312" s="1"/>
  <c r="AU312"/>
  <c r="AZ312"/>
  <c r="BB312" s="1"/>
  <c r="AV313"/>
  <c r="BF312"/>
  <c r="BG312" s="1"/>
  <c r="AY312"/>
  <c r="BA312" s="1"/>
  <c r="BY336" i="6" l="1"/>
  <c r="BV335"/>
  <c r="BX335" s="1"/>
  <c r="BZ335"/>
  <c r="BW335" s="1"/>
  <c r="AZ311" i="5"/>
  <c r="BE311"/>
  <c r="BG311" s="1"/>
  <c r="BA312"/>
  <c r="BB311"/>
  <c r="BI311" s="1"/>
  <c r="BJ311" s="1"/>
  <c r="BK311"/>
  <c r="BL311" s="1"/>
  <c r="BD311"/>
  <c r="BF311" s="1"/>
  <c r="AU313" i="4"/>
  <c r="AZ313"/>
  <c r="BB313" s="1"/>
  <c r="AV314"/>
  <c r="AY313"/>
  <c r="BA313" s="1"/>
  <c r="BF313"/>
  <c r="BG313" s="1"/>
  <c r="AW313"/>
  <c r="BD313" s="1"/>
  <c r="BE313" s="1"/>
  <c r="DT291" i="2"/>
  <c r="DU291"/>
  <c r="AM262" i="6"/>
  <c r="AK300" i="12"/>
  <c r="AL300"/>
  <c r="AN300"/>
  <c r="AJ301"/>
  <c r="AO300"/>
  <c r="DS292" i="2"/>
  <c r="DP293"/>
  <c r="DR292"/>
  <c r="DV292"/>
  <c r="AL301" i="12" l="1"/>
  <c r="AJ302"/>
  <c r="AO301"/>
  <c r="AN301"/>
  <c r="AK301"/>
  <c r="DR293" i="2"/>
  <c r="DV293"/>
  <c r="DP294"/>
  <c r="DS293"/>
  <c r="AN262" i="6"/>
  <c r="BZ336"/>
  <c r="BY337"/>
  <c r="BV336"/>
  <c r="BX336" s="1"/>
  <c r="BW336"/>
  <c r="AY314" i="4"/>
  <c r="BA314" s="1"/>
  <c r="BF314"/>
  <c r="BG314" s="1"/>
  <c r="AZ314"/>
  <c r="BB314" s="1"/>
  <c r="AU314"/>
  <c r="AV315"/>
  <c r="BD314"/>
  <c r="BE314" s="1"/>
  <c r="AW314"/>
  <c r="DT292" i="2"/>
  <c r="DU292"/>
  <c r="BD312" i="5"/>
  <c r="BF312" s="1"/>
  <c r="BE312"/>
  <c r="BG312" s="1"/>
  <c r="BA313"/>
  <c r="AZ312"/>
  <c r="BK312"/>
  <c r="BL312" s="1"/>
  <c r="BB312"/>
  <c r="BI312" s="1"/>
  <c r="BJ312" s="1"/>
  <c r="BZ337" i="6" l="1"/>
  <c r="BW337" s="1"/>
  <c r="BY338"/>
  <c r="BV337"/>
  <c r="BX337" s="1"/>
  <c r="DT293" i="2"/>
  <c r="DU293"/>
  <c r="AM263" i="6"/>
  <c r="AJ303" i="12"/>
  <c r="AL302"/>
  <c r="AK302"/>
  <c r="AN302"/>
  <c r="AO302"/>
  <c r="BK313" i="5"/>
  <c r="BL313" s="1"/>
  <c r="AZ313"/>
  <c r="BE313"/>
  <c r="BG313" s="1"/>
  <c r="BD313"/>
  <c r="BF313" s="1"/>
  <c r="BB313"/>
  <c r="BI313" s="1"/>
  <c r="BJ313" s="1"/>
  <c r="BA314"/>
  <c r="BF315" i="4"/>
  <c r="BG315" s="1"/>
  <c r="AW315"/>
  <c r="AY315"/>
  <c r="BA315" s="1"/>
  <c r="AZ315"/>
  <c r="BB315" s="1"/>
  <c r="AV316"/>
  <c r="BD315"/>
  <c r="BE315" s="1"/>
  <c r="AU315"/>
  <c r="DS294" i="2"/>
  <c r="DP295"/>
  <c r="DV294"/>
  <c r="DR294"/>
  <c r="DR295" l="1"/>
  <c r="DV295"/>
  <c r="DS295"/>
  <c r="DP296"/>
  <c r="AW316" i="4"/>
  <c r="BD316" s="1"/>
  <c r="BE316" s="1"/>
  <c r="AU316"/>
  <c r="AZ316"/>
  <c r="BB316" s="1"/>
  <c r="AV317"/>
  <c r="BF316"/>
  <c r="BG316" s="1"/>
  <c r="AY316"/>
  <c r="BA316" s="1"/>
  <c r="AL303" i="12"/>
  <c r="AJ304"/>
  <c r="AO303"/>
  <c r="AK303"/>
  <c r="AN303"/>
  <c r="BZ338" i="6"/>
  <c r="BW338" s="1"/>
  <c r="BY339"/>
  <c r="BV338"/>
  <c r="BX338" s="1"/>
  <c r="AN263"/>
  <c r="DT294" i="2"/>
  <c r="DU294"/>
  <c r="BB314" i="5"/>
  <c r="BI314" s="1"/>
  <c r="BJ314" s="1"/>
  <c r="BA315"/>
  <c r="AZ314"/>
  <c r="BE314"/>
  <c r="BG314" s="1"/>
  <c r="BD314"/>
  <c r="BF314" s="1"/>
  <c r="BK314"/>
  <c r="BL314" s="1"/>
  <c r="BY340" i="6" l="1"/>
  <c r="BZ339"/>
  <c r="BW339" s="1"/>
  <c r="BV339"/>
  <c r="BX339" s="1"/>
  <c r="AM264"/>
  <c r="AU317" i="4"/>
  <c r="AZ317"/>
  <c r="BB317" s="1"/>
  <c r="BD317"/>
  <c r="BE317" s="1"/>
  <c r="AV318"/>
  <c r="AY317"/>
  <c r="BA317" s="1"/>
  <c r="AW317"/>
  <c r="BF317"/>
  <c r="BG317" s="1"/>
  <c r="DU295" i="2"/>
  <c r="DT295"/>
  <c r="AK304" i="12"/>
  <c r="AJ305"/>
  <c r="AL304"/>
  <c r="AN304"/>
  <c r="AO304"/>
  <c r="AZ315" i="5"/>
  <c r="BE315"/>
  <c r="BG315" s="1"/>
  <c r="BA316"/>
  <c r="BK315"/>
  <c r="BL315" s="1"/>
  <c r="BD315"/>
  <c r="BF315" s="1"/>
  <c r="BB315"/>
  <c r="BI315" s="1"/>
  <c r="BJ315" s="1"/>
  <c r="DS296" i="2"/>
  <c r="DP297"/>
  <c r="DV296"/>
  <c r="DR296"/>
  <c r="DR297" l="1"/>
  <c r="DV297"/>
  <c r="DP298"/>
  <c r="DS297"/>
  <c r="AL305" i="12"/>
  <c r="AK305"/>
  <c r="AO305"/>
  <c r="AN305"/>
  <c r="AJ306"/>
  <c r="AN264" i="6"/>
  <c r="BY341"/>
  <c r="BZ340"/>
  <c r="BV340"/>
  <c r="BX340" s="1"/>
  <c r="BW340"/>
  <c r="AY318" i="4"/>
  <c r="BA318" s="1"/>
  <c r="BF318"/>
  <c r="BG318" s="1"/>
  <c r="AW318"/>
  <c r="BD318"/>
  <c r="BE318" s="1"/>
  <c r="AZ318"/>
  <c r="BB318" s="1"/>
  <c r="AV319"/>
  <c r="AU318"/>
  <c r="DT296" i="2"/>
  <c r="DU296"/>
  <c r="BD316" i="5"/>
  <c r="BF316" s="1"/>
  <c r="BA317"/>
  <c r="BB316"/>
  <c r="BI316" s="1"/>
  <c r="BJ316" s="1"/>
  <c r="BK316"/>
  <c r="BL316" s="1"/>
  <c r="BE316"/>
  <c r="BG316" s="1"/>
  <c r="AZ316"/>
  <c r="DU297" i="2" l="1"/>
  <c r="DT297"/>
  <c r="BF319" i="4"/>
  <c r="BG319" s="1"/>
  <c r="AW319"/>
  <c r="AU319"/>
  <c r="BD319"/>
  <c r="BE319" s="1"/>
  <c r="AZ319"/>
  <c r="BB319" s="1"/>
  <c r="AY319"/>
  <c r="BA319" s="1"/>
  <c r="AV320"/>
  <c r="AJ307" i="12"/>
  <c r="AL306"/>
  <c r="AN306"/>
  <c r="AK306"/>
  <c r="AO306"/>
  <c r="BK317" i="5"/>
  <c r="BL317" s="1"/>
  <c r="BD317"/>
  <c r="BF317" s="1"/>
  <c r="BA318"/>
  <c r="AZ317"/>
  <c r="BE317"/>
  <c r="BG317" s="1"/>
  <c r="BB317"/>
  <c r="BI317" s="1"/>
  <c r="BJ317" s="1"/>
  <c r="AM265" i="6"/>
  <c r="BZ341"/>
  <c r="BW341" s="1"/>
  <c r="BY342"/>
  <c r="BV341"/>
  <c r="BX341" s="1"/>
  <c r="DS298" i="2"/>
  <c r="DP299"/>
  <c r="DR298"/>
  <c r="DV298"/>
  <c r="AN265" i="6" l="1"/>
  <c r="BB318" i="5"/>
  <c r="BI318" s="1"/>
  <c r="BJ318" s="1"/>
  <c r="AZ318"/>
  <c r="BE318"/>
  <c r="BG318" s="1"/>
  <c r="BK318"/>
  <c r="BL318" s="1"/>
  <c r="BA319"/>
  <c r="BD318"/>
  <c r="BF318" s="1"/>
  <c r="AK307" i="12"/>
  <c r="AL307"/>
  <c r="AO307"/>
  <c r="AJ308"/>
  <c r="AN307"/>
  <c r="DR299" i="2"/>
  <c r="DV299"/>
  <c r="DS299"/>
  <c r="DP300"/>
  <c r="BZ342" i="6"/>
  <c r="BW342" s="1"/>
  <c r="BY343"/>
  <c r="BV342"/>
  <c r="BX342" s="1"/>
  <c r="AW320" i="4"/>
  <c r="BD320" s="1"/>
  <c r="BE320" s="1"/>
  <c r="AU320"/>
  <c r="AZ320"/>
  <c r="BB320" s="1"/>
  <c r="AV321"/>
  <c r="BF320"/>
  <c r="BG320" s="1"/>
  <c r="AY320"/>
  <c r="BA320" s="1"/>
  <c r="DT298" i="2"/>
  <c r="DU298"/>
  <c r="AU321" i="4" l="1"/>
  <c r="AZ321"/>
  <c r="BB321" s="1"/>
  <c r="AV322"/>
  <c r="AY321"/>
  <c r="BA321" s="1"/>
  <c r="BF321"/>
  <c r="BG321" s="1"/>
  <c r="AW321"/>
  <c r="BD321" s="1"/>
  <c r="BE321" s="1"/>
  <c r="DT299" i="2"/>
  <c r="DU299"/>
  <c r="AK308" i="12"/>
  <c r="AJ309"/>
  <c r="AL308"/>
  <c r="AN308"/>
  <c r="AO308"/>
  <c r="DS300" i="2"/>
  <c r="DP301"/>
  <c r="DV300"/>
  <c r="DR300"/>
  <c r="AM266" i="6"/>
  <c r="AZ319" i="5"/>
  <c r="BE319"/>
  <c r="BG319" s="1"/>
  <c r="BA320"/>
  <c r="BD319"/>
  <c r="BF319" s="1"/>
  <c r="BB319"/>
  <c r="BI319" s="1"/>
  <c r="BJ319" s="1"/>
  <c r="BK319"/>
  <c r="BL319" s="1"/>
  <c r="BY344" i="6"/>
  <c r="BV343"/>
  <c r="BX343" s="1"/>
  <c r="BW343"/>
  <c r="BZ343"/>
  <c r="DU300" i="2" l="1"/>
  <c r="DT300"/>
  <c r="AL309" i="12"/>
  <c r="AJ310"/>
  <c r="AK309"/>
  <c r="AO309"/>
  <c r="AN309"/>
  <c r="AN266" i="6"/>
  <c r="BZ344"/>
  <c r="BV344"/>
  <c r="BX344" s="1"/>
  <c r="BY345"/>
  <c r="BW344"/>
  <c r="BD320" i="5"/>
  <c r="BF320" s="1"/>
  <c r="BB320"/>
  <c r="BK320"/>
  <c r="BL320" s="1"/>
  <c r="AZ320"/>
  <c r="BA321"/>
  <c r="BI320"/>
  <c r="BJ320" s="1"/>
  <c r="BE320"/>
  <c r="BG320" s="1"/>
  <c r="DR301" i="2"/>
  <c r="DV301"/>
  <c r="DS301"/>
  <c r="DP302"/>
  <c r="AY322" i="4"/>
  <c r="BA322" s="1"/>
  <c r="BF322"/>
  <c r="BG322" s="1"/>
  <c r="AZ322"/>
  <c r="BB322" s="1"/>
  <c r="AU322"/>
  <c r="AV323"/>
  <c r="AW322"/>
  <c r="BD322"/>
  <c r="BE322" s="1"/>
  <c r="BF323" l="1"/>
  <c r="BG323" s="1"/>
  <c r="AW323"/>
  <c r="AY323"/>
  <c r="BA323" s="1"/>
  <c r="AZ323"/>
  <c r="BB323" s="1"/>
  <c r="AV324"/>
  <c r="AU323"/>
  <c r="BD323"/>
  <c r="BE323" s="1"/>
  <c r="BK321" i="5"/>
  <c r="BL321" s="1"/>
  <c r="BA322"/>
  <c r="BB321"/>
  <c r="BE321"/>
  <c r="BG321" s="1"/>
  <c r="BD321"/>
  <c r="BF321" s="1"/>
  <c r="BI321"/>
  <c r="BJ321" s="1"/>
  <c r="AZ321"/>
  <c r="DU301" i="2"/>
  <c r="DT301"/>
  <c r="DS302"/>
  <c r="DR302"/>
  <c r="DV302"/>
  <c r="BZ345" i="6"/>
  <c r="BY346"/>
  <c r="BV345"/>
  <c r="BX345" s="1"/>
  <c r="BW345"/>
  <c r="AM267"/>
  <c r="AJ311" i="12"/>
  <c r="AL310"/>
  <c r="AN310"/>
  <c r="AO310"/>
  <c r="AK310"/>
  <c r="DT302" i="2" l="1"/>
  <c r="DU302"/>
  <c r="BB322" i="5"/>
  <c r="BE322"/>
  <c r="BG322" s="1"/>
  <c r="BK322"/>
  <c r="BL322" s="1"/>
  <c r="BD322"/>
  <c r="BF322" s="1"/>
  <c r="BI322"/>
  <c r="BJ322" s="1"/>
  <c r="AZ322"/>
  <c r="BA323"/>
  <c r="AW324" i="4"/>
  <c r="AU324"/>
  <c r="AZ324"/>
  <c r="BB324" s="1"/>
  <c r="BD324"/>
  <c r="BE324" s="1"/>
  <c r="AV325"/>
  <c r="AY324"/>
  <c r="BA324" s="1"/>
  <c r="BF324"/>
  <c r="BG324" s="1"/>
  <c r="BZ346" i="6"/>
  <c r="BW346" s="1"/>
  <c r="BY347"/>
  <c r="BV346"/>
  <c r="BX346" s="1"/>
  <c r="AJ312" i="12"/>
  <c r="AL311"/>
  <c r="AO311"/>
  <c r="AN311"/>
  <c r="AK311"/>
  <c r="AN267" i="6"/>
  <c r="AK312" i="12" l="1"/>
  <c r="AL312"/>
  <c r="AJ313"/>
  <c r="AO312"/>
  <c r="AN312"/>
  <c r="AZ323" i="5"/>
  <c r="BE323"/>
  <c r="BG323" s="1"/>
  <c r="BI323"/>
  <c r="BJ323" s="1"/>
  <c r="BA324"/>
  <c r="BB323"/>
  <c r="BD323"/>
  <c r="BF323" s="1"/>
  <c r="BK323"/>
  <c r="BL323" s="1"/>
  <c r="AM268" i="6"/>
  <c r="BY348"/>
  <c r="BZ347"/>
  <c r="BW347" s="1"/>
  <c r="BV347"/>
  <c r="BX347" s="1"/>
  <c r="AU325" i="4"/>
  <c r="AZ325"/>
  <c r="BB325" s="1"/>
  <c r="AV326"/>
  <c r="AY325"/>
  <c r="BA325" s="1"/>
  <c r="AW325"/>
  <c r="BD325" s="1"/>
  <c r="BE325" s="1"/>
  <c r="BF325"/>
  <c r="BG325" s="1"/>
  <c r="BY349" i="6" l="1"/>
  <c r="BV348"/>
  <c r="BX348" s="1"/>
  <c r="BZ348"/>
  <c r="BW348" s="1"/>
  <c r="AN268"/>
  <c r="BD324" i="5"/>
  <c r="BF324" s="1"/>
  <c r="AZ324"/>
  <c r="BE324"/>
  <c r="BG324" s="1"/>
  <c r="BI324"/>
  <c r="BJ324" s="1"/>
  <c r="BB324"/>
  <c r="BK324"/>
  <c r="BL324" s="1"/>
  <c r="BA325"/>
  <c r="AY326" i="4"/>
  <c r="BA326" s="1"/>
  <c r="BF326"/>
  <c r="BG326" s="1"/>
  <c r="AW326"/>
  <c r="BD326"/>
  <c r="BE326" s="1"/>
  <c r="AZ326"/>
  <c r="BB326" s="1"/>
  <c r="AU326"/>
  <c r="AV327"/>
  <c r="AL313" i="12"/>
  <c r="AJ314"/>
  <c r="AK313"/>
  <c r="AO313"/>
  <c r="AN313"/>
  <c r="BK325" i="5" l="1"/>
  <c r="BL325" s="1"/>
  <c r="BB325"/>
  <c r="AZ325"/>
  <c r="BE325"/>
  <c r="BG325" s="1"/>
  <c r="BD325"/>
  <c r="BF325" s="1"/>
  <c r="BI325"/>
  <c r="BJ325" s="1"/>
  <c r="BA326"/>
  <c r="AM269" i="6"/>
  <c r="BZ349"/>
  <c r="BV349"/>
  <c r="BX349" s="1"/>
  <c r="BW349"/>
  <c r="BY350"/>
  <c r="AJ315" i="12"/>
  <c r="AK314"/>
  <c r="AL314"/>
  <c r="AN314"/>
  <c r="AO314"/>
  <c r="BF327" i="4"/>
  <c r="BG327" s="1"/>
  <c r="AW327"/>
  <c r="BD327" s="1"/>
  <c r="BE327" s="1"/>
  <c r="AU327"/>
  <c r="AY327"/>
  <c r="BA327" s="1"/>
  <c r="AV328"/>
  <c r="AZ327"/>
  <c r="BB327" s="1"/>
  <c r="BB326" i="5" l="1"/>
  <c r="BD326"/>
  <c r="BF326" s="1"/>
  <c r="BI326"/>
  <c r="BJ326" s="1"/>
  <c r="BA327"/>
  <c r="BK326"/>
  <c r="BL326" s="1"/>
  <c r="AZ326"/>
  <c r="BE326"/>
  <c r="BG326" s="1"/>
  <c r="BZ350" i="6"/>
  <c r="BY351"/>
  <c r="BV350"/>
  <c r="BX350" s="1"/>
  <c r="BW350"/>
  <c r="AN269"/>
  <c r="AJ316" i="12"/>
  <c r="AO315"/>
  <c r="AN315"/>
  <c r="AK315"/>
  <c r="AL315"/>
  <c r="AW328" i="4"/>
  <c r="BD328" s="1"/>
  <c r="BE328" s="1"/>
  <c r="AU328"/>
  <c r="AZ328"/>
  <c r="BB328" s="1"/>
  <c r="AV329"/>
  <c r="BF328"/>
  <c r="BG328" s="1"/>
  <c r="AY328"/>
  <c r="BA328" s="1"/>
  <c r="BY352" i="6" l="1"/>
  <c r="BZ351"/>
  <c r="BW351" s="1"/>
  <c r="BV351"/>
  <c r="BX351" s="1"/>
  <c r="AU329" i="4"/>
  <c r="AZ329"/>
  <c r="BB329" s="1"/>
  <c r="AV330"/>
  <c r="AY329"/>
  <c r="BA329" s="1"/>
  <c r="BF329"/>
  <c r="BG329" s="1"/>
  <c r="AW329"/>
  <c r="BD329" s="1"/>
  <c r="BE329" s="1"/>
  <c r="AK316" i="12"/>
  <c r="AJ317"/>
  <c r="AL316"/>
  <c r="AN316"/>
  <c r="AO316"/>
  <c r="AM270" i="6"/>
  <c r="AZ327" i="5"/>
  <c r="BE327"/>
  <c r="BG327" s="1"/>
  <c r="BI327"/>
  <c r="BJ327" s="1"/>
  <c r="BA328"/>
  <c r="BB327"/>
  <c r="BK327"/>
  <c r="BL327" s="1"/>
  <c r="BD327"/>
  <c r="BF327" s="1"/>
  <c r="BZ352" i="6" l="1"/>
  <c r="BW352" s="1"/>
  <c r="BV352"/>
  <c r="BX352" s="1"/>
  <c r="BY353"/>
  <c r="BD328" i="5"/>
  <c r="BF328" s="1"/>
  <c r="BE328"/>
  <c r="BG328" s="1"/>
  <c r="BA329"/>
  <c r="BB328"/>
  <c r="BI328" s="1"/>
  <c r="BJ328" s="1"/>
  <c r="BK328"/>
  <c r="BL328" s="1"/>
  <c r="AZ328"/>
  <c r="AN270" i="6"/>
  <c r="AL317" i="12"/>
  <c r="AJ318"/>
  <c r="AO317"/>
  <c r="AK317"/>
  <c r="AN317"/>
  <c r="AY330" i="4"/>
  <c r="BA330" s="1"/>
  <c r="BF330"/>
  <c r="BG330" s="1"/>
  <c r="AZ330"/>
  <c r="BB330" s="1"/>
  <c r="AU330"/>
  <c r="AV331"/>
  <c r="AW330"/>
  <c r="BD330" s="1"/>
  <c r="BE330" s="1"/>
  <c r="BZ353" i="6" l="1"/>
  <c r="BW353" s="1"/>
  <c r="BY354"/>
  <c r="BV353"/>
  <c r="BX353" s="1"/>
  <c r="BF331" i="4"/>
  <c r="BG331" s="1"/>
  <c r="AW331"/>
  <c r="AY331"/>
  <c r="BA331" s="1"/>
  <c r="AZ331"/>
  <c r="BB331" s="1"/>
  <c r="AV332"/>
  <c r="BD331"/>
  <c r="BE331" s="1"/>
  <c r="AU331"/>
  <c r="AJ319" i="12"/>
  <c r="AL318"/>
  <c r="AK318"/>
  <c r="AN318"/>
  <c r="AO318"/>
  <c r="AM271" i="6"/>
  <c r="BK329" i="5"/>
  <c r="BL329" s="1"/>
  <c r="AZ329"/>
  <c r="BE329"/>
  <c r="BG329" s="1"/>
  <c r="BD329"/>
  <c r="BF329" s="1"/>
  <c r="BA330"/>
  <c r="BB329"/>
  <c r="BI329" s="1"/>
  <c r="BJ329" s="1"/>
  <c r="AN271" i="6" l="1"/>
  <c r="AW332" i="4"/>
  <c r="AU332"/>
  <c r="AZ332"/>
  <c r="BB332" s="1"/>
  <c r="BD332"/>
  <c r="BE332" s="1"/>
  <c r="AV333"/>
  <c r="BF332"/>
  <c r="BG332" s="1"/>
  <c r="AY332"/>
  <c r="BA332" s="1"/>
  <c r="BZ354" i="6"/>
  <c r="BW354" s="1"/>
  <c r="BY355"/>
  <c r="BV354"/>
  <c r="BX354" s="1"/>
  <c r="BB330" i="5"/>
  <c r="BI330" s="1"/>
  <c r="BJ330" s="1"/>
  <c r="BA331"/>
  <c r="AZ330"/>
  <c r="BK330"/>
  <c r="BL330" s="1"/>
  <c r="BD330"/>
  <c r="BF330" s="1"/>
  <c r="BE330"/>
  <c r="BG330" s="1"/>
  <c r="AL319" i="12"/>
  <c r="AK319"/>
  <c r="AO319"/>
  <c r="AN319"/>
  <c r="AJ320"/>
  <c r="AK320" l="1"/>
  <c r="AJ321"/>
  <c r="AN320"/>
  <c r="AO320"/>
  <c r="AL320"/>
  <c r="AM272" i="6"/>
  <c r="AZ331" i="5"/>
  <c r="BE331"/>
  <c r="BG331" s="1"/>
  <c r="BA332"/>
  <c r="BK331"/>
  <c r="BL331" s="1"/>
  <c r="BD331"/>
  <c r="BF331" s="1"/>
  <c r="BB331"/>
  <c r="BI331" s="1"/>
  <c r="BJ331" s="1"/>
  <c r="BY356" i="6"/>
  <c r="BV355"/>
  <c r="BX355" s="1"/>
  <c r="BZ355"/>
  <c r="BW355" s="1"/>
  <c r="AU333" i="4"/>
  <c r="AZ333"/>
  <c r="BB333" s="1"/>
  <c r="AV334"/>
  <c r="AY333"/>
  <c r="BA333" s="1"/>
  <c r="AW333"/>
  <c r="BD333" s="1"/>
  <c r="BE333" s="1"/>
  <c r="BF333"/>
  <c r="BG333" s="1"/>
  <c r="AY334" l="1"/>
  <c r="BA334" s="1"/>
  <c r="BF334"/>
  <c r="BG334" s="1"/>
  <c r="AW334"/>
  <c r="BD334" s="1"/>
  <c r="BE334" s="1"/>
  <c r="AU334"/>
  <c r="AZ334"/>
  <c r="BB334" s="1"/>
  <c r="AV335"/>
  <c r="AN272" i="6"/>
  <c r="AL321" i="12"/>
  <c r="AK321"/>
  <c r="AJ322"/>
  <c r="AO321"/>
  <c r="AN321"/>
  <c r="BV356" i="6"/>
  <c r="BX356" s="1"/>
  <c r="BY357"/>
  <c r="BZ356"/>
  <c r="BW356" s="1"/>
  <c r="BD332" i="5"/>
  <c r="BF332" s="1"/>
  <c r="BA333"/>
  <c r="BB332"/>
  <c r="BI332" s="1"/>
  <c r="BJ332" s="1"/>
  <c r="BK332"/>
  <c r="BL332" s="1"/>
  <c r="AZ332"/>
  <c r="BE332"/>
  <c r="BG332" s="1"/>
  <c r="BF335" i="4" l="1"/>
  <c r="BG335" s="1"/>
  <c r="AW335"/>
  <c r="BD335" s="1"/>
  <c r="BE335" s="1"/>
  <c r="AU335"/>
  <c r="AZ335"/>
  <c r="BB335" s="1"/>
  <c r="AY335"/>
  <c r="BA335" s="1"/>
  <c r="AV336"/>
  <c r="BK333" i="5"/>
  <c r="BL333" s="1"/>
  <c r="BD333"/>
  <c r="BF333" s="1"/>
  <c r="BI333"/>
  <c r="BJ333" s="1"/>
  <c r="BA334"/>
  <c r="BB333"/>
  <c r="BE333"/>
  <c r="BG333" s="1"/>
  <c r="AZ333"/>
  <c r="BZ357" i="6"/>
  <c r="BV357"/>
  <c r="BX357" s="1"/>
  <c r="BY358"/>
  <c r="BW357"/>
  <c r="AJ323" i="12"/>
  <c r="AL322"/>
  <c r="AK322"/>
  <c r="AN322"/>
  <c r="AO322"/>
  <c r="AM273" i="6"/>
  <c r="BZ358" l="1"/>
  <c r="BW358" s="1"/>
  <c r="BY359"/>
  <c r="BV358"/>
  <c r="BX358" s="1"/>
  <c r="AK323" i="12"/>
  <c r="AJ324"/>
  <c r="AL323"/>
  <c r="AO323"/>
  <c r="AN323"/>
  <c r="BB334" i="5"/>
  <c r="AZ334"/>
  <c r="BE334"/>
  <c r="BG334" s="1"/>
  <c r="BK334"/>
  <c r="BL334" s="1"/>
  <c r="BD334"/>
  <c r="BF334" s="1"/>
  <c r="BA335"/>
  <c r="BI334"/>
  <c r="BJ334" s="1"/>
  <c r="AW336" i="4"/>
  <c r="BD336" s="1"/>
  <c r="BE336" s="1"/>
  <c r="AU336"/>
  <c r="AZ336"/>
  <c r="BB336" s="1"/>
  <c r="AV337"/>
  <c r="BF336"/>
  <c r="BG336" s="1"/>
  <c r="AY336"/>
  <c r="BA336" s="1"/>
  <c r="AN273" i="6"/>
  <c r="AU337" i="4" l="1"/>
  <c r="AZ337"/>
  <c r="BB337" s="1"/>
  <c r="AV338"/>
  <c r="AY337"/>
  <c r="BA337" s="1"/>
  <c r="BF337"/>
  <c r="BG337" s="1"/>
  <c r="AW337"/>
  <c r="BD337" s="1"/>
  <c r="BE337" s="1"/>
  <c r="AK324" i="12"/>
  <c r="AJ325"/>
  <c r="AL324"/>
  <c r="AN324"/>
  <c r="AO324"/>
  <c r="BY360" i="6"/>
  <c r="BV359"/>
  <c r="BX359" s="1"/>
  <c r="BZ359"/>
  <c r="BW359" s="1"/>
  <c r="AZ335" i="5"/>
  <c r="BE335"/>
  <c r="BG335" s="1"/>
  <c r="BI335"/>
  <c r="BJ335" s="1"/>
  <c r="BA336"/>
  <c r="BD335"/>
  <c r="BF335" s="1"/>
  <c r="BK335"/>
  <c r="BL335" s="1"/>
  <c r="BB335"/>
  <c r="AM274" i="6"/>
  <c r="BZ360" l="1"/>
  <c r="BW360" s="1"/>
  <c r="BV360"/>
  <c r="BX360" s="1"/>
  <c r="BY361"/>
  <c r="AL325" i="12"/>
  <c r="AJ326"/>
  <c r="AO325"/>
  <c r="AN325"/>
  <c r="AK325"/>
  <c r="AN274" i="6"/>
  <c r="BD336" i="5"/>
  <c r="BF336" s="1"/>
  <c r="BB336"/>
  <c r="BI336" s="1"/>
  <c r="BJ336" s="1"/>
  <c r="BK336"/>
  <c r="BL336" s="1"/>
  <c r="AZ336"/>
  <c r="BE336"/>
  <c r="BG336" s="1"/>
  <c r="BA337"/>
  <c r="AY338" i="4"/>
  <c r="BA338" s="1"/>
  <c r="BF338"/>
  <c r="BG338" s="1"/>
  <c r="AZ338"/>
  <c r="BB338" s="1"/>
  <c r="AU338"/>
  <c r="AV339"/>
  <c r="AW338"/>
  <c r="BD338" s="1"/>
  <c r="BE338" s="1"/>
  <c r="BF339" l="1"/>
  <c r="BG339" s="1"/>
  <c r="AW339"/>
  <c r="AY339"/>
  <c r="BA339" s="1"/>
  <c r="AZ339"/>
  <c r="BB339" s="1"/>
  <c r="AV340"/>
  <c r="AU339"/>
  <c r="BD339"/>
  <c r="BE339" s="1"/>
  <c r="BK337" i="5"/>
  <c r="BL337" s="1"/>
  <c r="BA338"/>
  <c r="BB337"/>
  <c r="BI337"/>
  <c r="BJ337" s="1"/>
  <c r="AZ337"/>
  <c r="BD337"/>
  <c r="BF337" s="1"/>
  <c r="BE337"/>
  <c r="BG337" s="1"/>
  <c r="AM275" i="6"/>
  <c r="AJ327" i="12"/>
  <c r="AL326"/>
  <c r="AK326"/>
  <c r="AN326"/>
  <c r="AO326"/>
  <c r="BZ361" i="6"/>
  <c r="BY362"/>
  <c r="BW361"/>
  <c r="BV361"/>
  <c r="BX361" s="1"/>
  <c r="AW340" i="4" l="1"/>
  <c r="BD340" s="1"/>
  <c r="BE340" s="1"/>
  <c r="AU340"/>
  <c r="AZ340"/>
  <c r="BB340" s="1"/>
  <c r="AV341"/>
  <c r="AY340"/>
  <c r="BA340" s="1"/>
  <c r="BF340"/>
  <c r="BG340" s="1"/>
  <c r="AJ328" i="12"/>
  <c r="AL327"/>
  <c r="AO327"/>
  <c r="AK327"/>
  <c r="AN327"/>
  <c r="BB338" i="5"/>
  <c r="BE338"/>
  <c r="BG338" s="1"/>
  <c r="BK338"/>
  <c r="BL338" s="1"/>
  <c r="BD338"/>
  <c r="BF338" s="1"/>
  <c r="BI338"/>
  <c r="BJ338" s="1"/>
  <c r="BA339"/>
  <c r="AZ338"/>
  <c r="BZ362" i="6"/>
  <c r="BY363"/>
  <c r="BV362"/>
  <c r="BX362" s="1"/>
  <c r="BW362"/>
  <c r="AN275"/>
  <c r="BY364" l="1"/>
  <c r="BZ363"/>
  <c r="BW363" s="1"/>
  <c r="BV363"/>
  <c r="BX363" s="1"/>
  <c r="AU341" i="4"/>
  <c r="AZ341"/>
  <c r="BB341" s="1"/>
  <c r="AV342"/>
  <c r="AY341"/>
  <c r="BA341" s="1"/>
  <c r="AW341"/>
  <c r="BD341" s="1"/>
  <c r="BE341" s="1"/>
  <c r="BF341"/>
  <c r="BG341" s="1"/>
  <c r="AZ339" i="5"/>
  <c r="BE339"/>
  <c r="BG339" s="1"/>
  <c r="BI339"/>
  <c r="BJ339" s="1"/>
  <c r="BA340"/>
  <c r="BB339"/>
  <c r="BD339"/>
  <c r="BF339" s="1"/>
  <c r="BK339"/>
  <c r="BL339" s="1"/>
  <c r="AM276" i="6"/>
  <c r="AK328" i="12"/>
  <c r="AL328"/>
  <c r="AJ329"/>
  <c r="AN328"/>
  <c r="AO328"/>
  <c r="BY365" i="6" l="1"/>
  <c r="BV364"/>
  <c r="BX364" s="1"/>
  <c r="BZ364"/>
  <c r="BW364" s="1"/>
  <c r="AN276"/>
  <c r="AL329" i="12"/>
  <c r="AO329"/>
  <c r="AN329"/>
  <c r="AJ330"/>
  <c r="AK329"/>
  <c r="BD340" i="5"/>
  <c r="BF340" s="1"/>
  <c r="AZ340"/>
  <c r="BE340"/>
  <c r="BG340" s="1"/>
  <c r="BA341"/>
  <c r="BB340"/>
  <c r="BI340" s="1"/>
  <c r="BJ340" s="1"/>
  <c r="BK340"/>
  <c r="BL340" s="1"/>
  <c r="AY342" i="4"/>
  <c r="BA342" s="1"/>
  <c r="BF342"/>
  <c r="BG342" s="1"/>
  <c r="AW342"/>
  <c r="BD342" s="1"/>
  <c r="BE342" s="1"/>
  <c r="AZ342"/>
  <c r="BB342" s="1"/>
  <c r="AU342"/>
  <c r="AV343"/>
  <c r="BF343" l="1"/>
  <c r="BG343" s="1"/>
  <c r="AW343"/>
  <c r="BD343" s="1"/>
  <c r="BE343" s="1"/>
  <c r="AU343"/>
  <c r="AZ343"/>
  <c r="BB343" s="1"/>
  <c r="AY343"/>
  <c r="BA343" s="1"/>
  <c r="AV344"/>
  <c r="AM277" i="6"/>
  <c r="BZ365"/>
  <c r="BW365" s="1"/>
  <c r="BV365"/>
  <c r="BX365" s="1"/>
  <c r="BY366"/>
  <c r="AJ331" i="12"/>
  <c r="AK330"/>
  <c r="AL330"/>
  <c r="AN330"/>
  <c r="AO330"/>
  <c r="BK341" i="5"/>
  <c r="BL341" s="1"/>
  <c r="BB341"/>
  <c r="AZ341"/>
  <c r="BE341"/>
  <c r="BG341" s="1"/>
  <c r="BA342"/>
  <c r="BI341"/>
  <c r="BJ341" s="1"/>
  <c r="BD341"/>
  <c r="BF341" s="1"/>
  <c r="AW344" i="4" l="1"/>
  <c r="BD344" s="1"/>
  <c r="BE344" s="1"/>
  <c r="AU344"/>
  <c r="AZ344"/>
  <c r="BB344" s="1"/>
  <c r="AV345"/>
  <c r="BF344"/>
  <c r="BG344" s="1"/>
  <c r="AY344"/>
  <c r="BA344" s="1"/>
  <c r="BZ366" i="6"/>
  <c r="BY367"/>
  <c r="BV366"/>
  <c r="BX366" s="1"/>
  <c r="BW366"/>
  <c r="AJ332" i="12"/>
  <c r="AK331"/>
  <c r="AO331"/>
  <c r="AL331"/>
  <c r="AN331"/>
  <c r="BB342" i="5"/>
  <c r="BI342" s="1"/>
  <c r="BJ342" s="1"/>
  <c r="BD342"/>
  <c r="BF342" s="1"/>
  <c r="BA343"/>
  <c r="BE342"/>
  <c r="BG342" s="1"/>
  <c r="BK342"/>
  <c r="BL342" s="1"/>
  <c r="AZ342"/>
  <c r="AN277" i="6"/>
  <c r="BY368" l="1"/>
  <c r="BZ367"/>
  <c r="BW367" s="1"/>
  <c r="BV367"/>
  <c r="BX367" s="1"/>
  <c r="AU345" i="4"/>
  <c r="AZ345"/>
  <c r="BB345" s="1"/>
  <c r="AV346"/>
  <c r="AY345"/>
  <c r="BA345" s="1"/>
  <c r="BF345"/>
  <c r="BG345" s="1"/>
  <c r="AW345"/>
  <c r="BD345" s="1"/>
  <c r="BE345" s="1"/>
  <c r="AM278" i="6"/>
  <c r="AZ343" i="5"/>
  <c r="BE343"/>
  <c r="BG343" s="1"/>
  <c r="BA344"/>
  <c r="BB343"/>
  <c r="BI343" s="1"/>
  <c r="BJ343" s="1"/>
  <c r="BK343"/>
  <c r="BL343" s="1"/>
  <c r="BD343"/>
  <c r="BF343" s="1"/>
  <c r="AK332" i="12"/>
  <c r="AJ333"/>
  <c r="AL332"/>
  <c r="AN332"/>
  <c r="AO332"/>
  <c r="BZ368" i="6" l="1"/>
  <c r="BW368" s="1"/>
  <c r="BY369"/>
  <c r="BV368"/>
  <c r="BX368" s="1"/>
  <c r="AL333" i="12"/>
  <c r="AJ334"/>
  <c r="AK333"/>
  <c r="AO333"/>
  <c r="AN333"/>
  <c r="BD344" i="5"/>
  <c r="BF344" s="1"/>
  <c r="BE344"/>
  <c r="BG344" s="1"/>
  <c r="BA345"/>
  <c r="AZ344"/>
  <c r="BK344"/>
  <c r="BL344" s="1"/>
  <c r="BB344"/>
  <c r="BI344" s="1"/>
  <c r="BJ344" s="1"/>
  <c r="AN278" i="6"/>
  <c r="AY346" i="4"/>
  <c r="BA346" s="1"/>
  <c r="BF346"/>
  <c r="BG346" s="1"/>
  <c r="AZ346"/>
  <c r="BB346" s="1"/>
  <c r="AU346"/>
  <c r="AV347"/>
  <c r="AW346"/>
  <c r="BD346" s="1"/>
  <c r="BE346" s="1"/>
  <c r="AJ335" i="12" l="1"/>
  <c r="AK334"/>
  <c r="AN334"/>
  <c r="AL334"/>
  <c r="AO334"/>
  <c r="BZ369" i="6"/>
  <c r="BY370"/>
  <c r="BV369"/>
  <c r="BX369" s="1"/>
  <c r="BW369"/>
  <c r="AM279"/>
  <c r="BK345" i="5"/>
  <c r="BL345" s="1"/>
  <c r="AZ345"/>
  <c r="BE345"/>
  <c r="BG345" s="1"/>
  <c r="BD345"/>
  <c r="BF345" s="1"/>
  <c r="BB345"/>
  <c r="BI345" s="1"/>
  <c r="BJ345" s="1"/>
  <c r="BA346"/>
  <c r="BF347" i="4"/>
  <c r="BG347" s="1"/>
  <c r="AW347"/>
  <c r="AY347"/>
  <c r="BA347" s="1"/>
  <c r="AZ347"/>
  <c r="BB347" s="1"/>
  <c r="AV348"/>
  <c r="BD347"/>
  <c r="BE347" s="1"/>
  <c r="AU347"/>
  <c r="BB346" i="5" l="1"/>
  <c r="BI346" s="1"/>
  <c r="BJ346" s="1"/>
  <c r="BA347"/>
  <c r="AZ346"/>
  <c r="BE346"/>
  <c r="BG346" s="1"/>
  <c r="BD346"/>
  <c r="BF346" s="1"/>
  <c r="BK346"/>
  <c r="BL346" s="1"/>
  <c r="AN279" i="6"/>
  <c r="BZ370"/>
  <c r="BY371"/>
  <c r="BW370"/>
  <c r="BV370"/>
  <c r="BX370" s="1"/>
  <c r="AL335" i="12"/>
  <c r="AJ336"/>
  <c r="AK335"/>
  <c r="AO335"/>
  <c r="AN335"/>
  <c r="AW348" i="4"/>
  <c r="BD348" s="1"/>
  <c r="BE348" s="1"/>
  <c r="AU348"/>
  <c r="AZ348"/>
  <c r="BB348" s="1"/>
  <c r="AV349"/>
  <c r="BF348"/>
  <c r="BG348" s="1"/>
  <c r="AY348"/>
  <c r="BA348" s="1"/>
  <c r="AZ347" i="5" l="1"/>
  <c r="BE347"/>
  <c r="BG347" s="1"/>
  <c r="BA348"/>
  <c r="BK347"/>
  <c r="BL347" s="1"/>
  <c r="BD347"/>
  <c r="BF347" s="1"/>
  <c r="BB347"/>
  <c r="BI347" s="1"/>
  <c r="BJ347" s="1"/>
  <c r="AU349" i="4"/>
  <c r="AZ349"/>
  <c r="BB349" s="1"/>
  <c r="AV350"/>
  <c r="AY349"/>
  <c r="BA349" s="1"/>
  <c r="AW349"/>
  <c r="BD349" s="1"/>
  <c r="BE349" s="1"/>
  <c r="BF349"/>
  <c r="BG349" s="1"/>
  <c r="AK336" i="12"/>
  <c r="AJ337"/>
  <c r="AL336"/>
  <c r="AN336"/>
  <c r="AO336"/>
  <c r="BY372" i="6"/>
  <c r="BZ371"/>
  <c r="BW371" s="1"/>
  <c r="BV371"/>
  <c r="BX371" s="1"/>
  <c r="AM280"/>
  <c r="AY350" i="4" l="1"/>
  <c r="BA350" s="1"/>
  <c r="BF350"/>
  <c r="BG350" s="1"/>
  <c r="AW350"/>
  <c r="BD350" s="1"/>
  <c r="BE350" s="1"/>
  <c r="AZ350"/>
  <c r="BB350" s="1"/>
  <c r="AV351"/>
  <c r="AU350"/>
  <c r="AN280" i="6"/>
  <c r="BV372"/>
  <c r="BX372" s="1"/>
  <c r="BY373"/>
  <c r="BZ372"/>
  <c r="BW372"/>
  <c r="AL337" i="12"/>
  <c r="AK337"/>
  <c r="AJ338"/>
  <c r="AO337"/>
  <c r="AN337"/>
  <c r="BD348" i="5"/>
  <c r="BF348" s="1"/>
  <c r="BA349"/>
  <c r="BB348"/>
  <c r="BK348"/>
  <c r="BL348" s="1"/>
  <c r="BE348"/>
  <c r="BG348" s="1"/>
  <c r="AZ348"/>
  <c r="BI348"/>
  <c r="BJ348" s="1"/>
  <c r="BF351" i="4" l="1"/>
  <c r="BG351" s="1"/>
  <c r="AW351"/>
  <c r="BD351" s="1"/>
  <c r="BE351" s="1"/>
  <c r="AU351"/>
  <c r="AZ351"/>
  <c r="BB351" s="1"/>
  <c r="AV352"/>
  <c r="AY351"/>
  <c r="BA351" s="1"/>
  <c r="BZ373" i="6"/>
  <c r="BY374"/>
  <c r="BW373"/>
  <c r="BV373"/>
  <c r="BX373" s="1"/>
  <c r="BK349" i="5"/>
  <c r="BL349" s="1"/>
  <c r="BD349"/>
  <c r="BF349" s="1"/>
  <c r="BA350"/>
  <c r="AZ349"/>
  <c r="BE349"/>
  <c r="BG349" s="1"/>
  <c r="BB349"/>
  <c r="BI349" s="1"/>
  <c r="BJ349" s="1"/>
  <c r="AJ339" i="12"/>
  <c r="AK338"/>
  <c r="AN338"/>
  <c r="AO338"/>
  <c r="AL338"/>
  <c r="AM281" i="6"/>
  <c r="AW352" i="4" l="1"/>
  <c r="BD352" s="1"/>
  <c r="BE352" s="1"/>
  <c r="AU352"/>
  <c r="AZ352"/>
  <c r="BB352" s="1"/>
  <c r="AV353"/>
  <c r="BF352"/>
  <c r="BG352" s="1"/>
  <c r="AY352"/>
  <c r="BA352" s="1"/>
  <c r="BZ374" i="6"/>
  <c r="BY375"/>
  <c r="BV374"/>
  <c r="BX374" s="1"/>
  <c r="BW374"/>
  <c r="AK339" i="12"/>
  <c r="AJ340"/>
  <c r="AO339"/>
  <c r="AN339"/>
  <c r="AL339"/>
  <c r="BB350" i="5"/>
  <c r="BI350" s="1"/>
  <c r="BJ350" s="1"/>
  <c r="AZ350"/>
  <c r="BE350"/>
  <c r="BG350" s="1"/>
  <c r="BK350"/>
  <c r="BL350" s="1"/>
  <c r="BA351"/>
  <c r="BD350"/>
  <c r="BF350" s="1"/>
  <c r="AN281" i="6"/>
  <c r="AM282" l="1"/>
  <c r="AZ351" i="5"/>
  <c r="BE351"/>
  <c r="BG351" s="1"/>
  <c r="BA352"/>
  <c r="BD351"/>
  <c r="BF351" s="1"/>
  <c r="BK351"/>
  <c r="BL351" s="1"/>
  <c r="BB351"/>
  <c r="BI351" s="1"/>
  <c r="BJ351" s="1"/>
  <c r="AK340" i="12"/>
  <c r="AJ341"/>
  <c r="AL340"/>
  <c r="AN340"/>
  <c r="AO340"/>
  <c r="BY376" i="6"/>
  <c r="BV375"/>
  <c r="BX375" s="1"/>
  <c r="BZ375"/>
  <c r="BW375" s="1"/>
  <c r="AU353" i="4"/>
  <c r="AZ353"/>
  <c r="BB353" s="1"/>
  <c r="AV354"/>
  <c r="AY353"/>
  <c r="BA353" s="1"/>
  <c r="BF353"/>
  <c r="BG353" s="1"/>
  <c r="AW353"/>
  <c r="BD353" s="1"/>
  <c r="BE353" s="1"/>
  <c r="AN282" i="6" l="1"/>
  <c r="AY354" i="4"/>
  <c r="BA354" s="1"/>
  <c r="BF354"/>
  <c r="BG354" s="1"/>
  <c r="AZ354"/>
  <c r="BB354" s="1"/>
  <c r="AU354"/>
  <c r="AV355"/>
  <c r="AW354"/>
  <c r="BD354"/>
  <c r="BE354" s="1"/>
  <c r="BD352" i="5"/>
  <c r="BF352" s="1"/>
  <c r="BB352"/>
  <c r="BK352"/>
  <c r="BL352" s="1"/>
  <c r="AZ352"/>
  <c r="BA353"/>
  <c r="BI352"/>
  <c r="BJ352" s="1"/>
  <c r="BE352"/>
  <c r="BG352" s="1"/>
  <c r="BZ376" i="6"/>
  <c r="BW376" s="1"/>
  <c r="BY377"/>
  <c r="BV376"/>
  <c r="BX376" s="1"/>
  <c r="AL341" i="12"/>
  <c r="AJ342"/>
  <c r="AO341"/>
  <c r="AK341"/>
  <c r="AN341"/>
  <c r="AM283" i="6" l="1"/>
  <c r="AJ343" i="12"/>
  <c r="AL342"/>
  <c r="AK342"/>
  <c r="AN342"/>
  <c r="AO342"/>
  <c r="BZ377" i="6"/>
  <c r="BY378"/>
  <c r="BV377"/>
  <c r="BX377" s="1"/>
  <c r="BW377"/>
  <c r="BK353" i="5"/>
  <c r="BL353" s="1"/>
  <c r="BA354"/>
  <c r="BB353"/>
  <c r="BE353"/>
  <c r="BG353" s="1"/>
  <c r="BD353"/>
  <c r="BF353" s="1"/>
  <c r="BI353"/>
  <c r="BJ353" s="1"/>
  <c r="AZ353"/>
  <c r="BF355" i="4"/>
  <c r="BG355" s="1"/>
  <c r="AW355"/>
  <c r="AY355"/>
  <c r="BA355" s="1"/>
  <c r="AZ355"/>
  <c r="BB355" s="1"/>
  <c r="AV356"/>
  <c r="BD355"/>
  <c r="BE355" s="1"/>
  <c r="AU355"/>
  <c r="BZ378" i="6" l="1"/>
  <c r="BW378" s="1"/>
  <c r="BY379"/>
  <c r="BV378"/>
  <c r="BX378" s="1"/>
  <c r="AN283"/>
  <c r="AW356" i="4"/>
  <c r="AU356"/>
  <c r="AZ356"/>
  <c r="BB356" s="1"/>
  <c r="BD356"/>
  <c r="BE356" s="1"/>
  <c r="AV357"/>
  <c r="AY356"/>
  <c r="BA356" s="1"/>
  <c r="BF356"/>
  <c r="BG356" s="1"/>
  <c r="AK343" i="12"/>
  <c r="AO343"/>
  <c r="AN343"/>
  <c r="AL343"/>
  <c r="AJ344"/>
  <c r="BB354" i="5"/>
  <c r="BE354"/>
  <c r="BG354" s="1"/>
  <c r="BK354"/>
  <c r="BL354" s="1"/>
  <c r="BD354"/>
  <c r="BF354" s="1"/>
  <c r="BI354"/>
  <c r="BJ354" s="1"/>
  <c r="AZ354"/>
  <c r="BA355"/>
  <c r="BY380" i="6" l="1"/>
  <c r="BZ379"/>
  <c r="BW379" s="1"/>
  <c r="BV379"/>
  <c r="BX379" s="1"/>
  <c r="AK344" i="12"/>
  <c r="AL344"/>
  <c r="AJ345"/>
  <c r="AO344"/>
  <c r="AN344"/>
  <c r="AU357" i="4"/>
  <c r="AZ357"/>
  <c r="BB357" s="1"/>
  <c r="AV358"/>
  <c r="AY357"/>
  <c r="BA357" s="1"/>
  <c r="AW357"/>
  <c r="BD357" s="1"/>
  <c r="BE357" s="1"/>
  <c r="BF357"/>
  <c r="BG357" s="1"/>
  <c r="AZ355" i="5"/>
  <c r="BE355"/>
  <c r="BG355" s="1"/>
  <c r="BA356"/>
  <c r="BB355"/>
  <c r="BI355" s="1"/>
  <c r="BJ355" s="1"/>
  <c r="BD355"/>
  <c r="BF355" s="1"/>
  <c r="BK355"/>
  <c r="BL355" s="1"/>
  <c r="AM284" i="6"/>
  <c r="AY358" i="4" l="1"/>
  <c r="BA358" s="1"/>
  <c r="BF358"/>
  <c r="BG358" s="1"/>
  <c r="AW358"/>
  <c r="BD358" s="1"/>
  <c r="BE358" s="1"/>
  <c r="AV359"/>
  <c r="AU358"/>
  <c r="AZ358"/>
  <c r="BB358" s="1"/>
  <c r="BY381" i="6"/>
  <c r="BV380"/>
  <c r="BX380" s="1"/>
  <c r="BZ380"/>
  <c r="BW380"/>
  <c r="AL345" i="12"/>
  <c r="AK345"/>
  <c r="AO345"/>
  <c r="AJ346"/>
  <c r="AN345"/>
  <c r="AN284" i="6"/>
  <c r="BD356" i="5"/>
  <c r="BF356" s="1"/>
  <c r="AZ356"/>
  <c r="BE356"/>
  <c r="BG356" s="1"/>
  <c r="BI356"/>
  <c r="BJ356" s="1"/>
  <c r="BB356"/>
  <c r="BK356"/>
  <c r="BL356" s="1"/>
  <c r="BA357"/>
  <c r="BK357" l="1"/>
  <c r="BL357" s="1"/>
  <c r="BB357"/>
  <c r="AZ357"/>
  <c r="BE357"/>
  <c r="BG357" s="1"/>
  <c r="BD357"/>
  <c r="BF357" s="1"/>
  <c r="BI357"/>
  <c r="BJ357" s="1"/>
  <c r="BA358"/>
  <c r="AM285" i="6"/>
  <c r="BF359" i="4"/>
  <c r="BG359" s="1"/>
  <c r="AW359"/>
  <c r="AU359"/>
  <c r="BD359"/>
  <c r="BE359" s="1"/>
  <c r="AY359"/>
  <c r="BA359" s="1"/>
  <c r="AV360"/>
  <c r="AZ359"/>
  <c r="BB359" s="1"/>
  <c r="AJ347" i="12"/>
  <c r="AK346"/>
  <c r="AL346"/>
  <c r="AN346"/>
  <c r="AO346"/>
  <c r="BZ381" i="6"/>
  <c r="BV381"/>
  <c r="BX381" s="1"/>
  <c r="BW381"/>
  <c r="BY382"/>
  <c r="AN285" l="1"/>
  <c r="AW360" i="4"/>
  <c r="AU360"/>
  <c r="AZ360"/>
  <c r="BB360" s="1"/>
  <c r="BD360"/>
  <c r="BE360" s="1"/>
  <c r="AV361"/>
  <c r="BF360"/>
  <c r="BG360" s="1"/>
  <c r="AY360"/>
  <c r="BA360" s="1"/>
  <c r="BB358" i="5"/>
  <c r="BI358" s="1"/>
  <c r="BJ358" s="1"/>
  <c r="BD358"/>
  <c r="BF358" s="1"/>
  <c r="BA359"/>
  <c r="BK358"/>
  <c r="BL358" s="1"/>
  <c r="AZ358"/>
  <c r="BE358"/>
  <c r="BG358" s="1"/>
  <c r="BZ382" i="6"/>
  <c r="BW382" s="1"/>
  <c r="BY383"/>
  <c r="BV382"/>
  <c r="BX382" s="1"/>
  <c r="AJ348" i="12"/>
  <c r="AL347"/>
  <c r="AK347"/>
  <c r="AO347"/>
  <c r="AN347"/>
  <c r="AZ359" i="5" l="1"/>
  <c r="BE359"/>
  <c r="BG359" s="1"/>
  <c r="BA360"/>
  <c r="BB359"/>
  <c r="BI359" s="1"/>
  <c r="BJ359" s="1"/>
  <c r="BK359"/>
  <c r="BL359" s="1"/>
  <c r="BD359"/>
  <c r="BF359" s="1"/>
  <c r="AU361" i="4"/>
  <c r="AZ361"/>
  <c r="BB361" s="1"/>
  <c r="BD361"/>
  <c r="BE361" s="1"/>
  <c r="AV362"/>
  <c r="AY361"/>
  <c r="BA361" s="1"/>
  <c r="BF361"/>
  <c r="BG361" s="1"/>
  <c r="AW361"/>
  <c r="AK348" i="12"/>
  <c r="AJ349"/>
  <c r="AN348"/>
  <c r="AO348"/>
  <c r="AL348"/>
  <c r="AM286" i="6"/>
  <c r="BY384"/>
  <c r="BZ383"/>
  <c r="BW383" s="1"/>
  <c r="BV383"/>
  <c r="BX383" s="1"/>
  <c r="AY362" i="4" l="1"/>
  <c r="BA362" s="1"/>
  <c r="BF362"/>
  <c r="BG362" s="1"/>
  <c r="AZ362"/>
  <c r="BB362" s="1"/>
  <c r="AU362"/>
  <c r="AV363"/>
  <c r="BD362"/>
  <c r="BE362" s="1"/>
  <c r="AW362"/>
  <c r="BZ384" i="6"/>
  <c r="BV384"/>
  <c r="BX384" s="1"/>
  <c r="BY385"/>
  <c r="BW384"/>
  <c r="AN286"/>
  <c r="AL349" i="12"/>
  <c r="AJ350"/>
  <c r="AK349"/>
  <c r="AO349"/>
  <c r="AN349"/>
  <c r="BD360" i="5"/>
  <c r="BF360" s="1"/>
  <c r="BE360"/>
  <c r="BG360" s="1"/>
  <c r="BI360"/>
  <c r="BJ360" s="1"/>
  <c r="BA361"/>
  <c r="BB360"/>
  <c r="AZ360"/>
  <c r="BK360"/>
  <c r="BL360" s="1"/>
  <c r="BK361" l="1"/>
  <c r="BL361" s="1"/>
  <c r="AZ361"/>
  <c r="BE361"/>
  <c r="BG361" s="1"/>
  <c r="BD361"/>
  <c r="BF361" s="1"/>
  <c r="BI361"/>
  <c r="BJ361" s="1"/>
  <c r="BA362"/>
  <c r="BB361"/>
  <c r="BZ385" i="6"/>
  <c r="BY386"/>
  <c r="BV385"/>
  <c r="BX385" s="1"/>
  <c r="BW385"/>
  <c r="AJ351" i="12"/>
  <c r="AK350"/>
  <c r="AL350"/>
  <c r="AN350"/>
  <c r="AO350"/>
  <c r="BF363" i="4"/>
  <c r="BG363" s="1"/>
  <c r="AW363"/>
  <c r="AY363"/>
  <c r="BA363" s="1"/>
  <c r="AZ363"/>
  <c r="BB363" s="1"/>
  <c r="AV364"/>
  <c r="BD363"/>
  <c r="BE363" s="1"/>
  <c r="AU363"/>
  <c r="AM287" i="6"/>
  <c r="AN287" l="1"/>
  <c r="AW364" i="4"/>
  <c r="AU364"/>
  <c r="AZ364"/>
  <c r="BB364" s="1"/>
  <c r="BD364"/>
  <c r="BE364" s="1"/>
  <c r="AV365"/>
  <c r="BF364"/>
  <c r="BG364" s="1"/>
  <c r="AY364"/>
  <c r="BA364" s="1"/>
  <c r="BZ386" i="6"/>
  <c r="BY387"/>
  <c r="BV386"/>
  <c r="BX386" s="1"/>
  <c r="BW386"/>
  <c r="BB362" i="5"/>
  <c r="BA363"/>
  <c r="AZ362"/>
  <c r="BI362"/>
  <c r="BJ362" s="1"/>
  <c r="BE362"/>
  <c r="BG362" s="1"/>
  <c r="BD362"/>
  <c r="BF362" s="1"/>
  <c r="BK362"/>
  <c r="BL362" s="1"/>
  <c r="AL351" i="12"/>
  <c r="AJ352"/>
  <c r="AK351"/>
  <c r="AO351"/>
  <c r="AN351"/>
  <c r="AM288" i="6" l="1"/>
  <c r="AK352" i="12"/>
  <c r="AL352"/>
  <c r="AJ353"/>
  <c r="AN352"/>
  <c r="AO352"/>
  <c r="AZ363" i="5"/>
  <c r="BE363"/>
  <c r="BG363" s="1"/>
  <c r="BA364"/>
  <c r="BK363"/>
  <c r="BL363" s="1"/>
  <c r="BD363"/>
  <c r="BF363" s="1"/>
  <c r="BB363"/>
  <c r="BI363" s="1"/>
  <c r="BJ363" s="1"/>
  <c r="BY388" i="6"/>
  <c r="BV387"/>
  <c r="BX387" s="1"/>
  <c r="BZ387"/>
  <c r="BW387" s="1"/>
  <c r="AU365" i="4"/>
  <c r="AZ365"/>
  <c r="BB365" s="1"/>
  <c r="BD365"/>
  <c r="BE365" s="1"/>
  <c r="AV366"/>
  <c r="AY365"/>
  <c r="BA365" s="1"/>
  <c r="AW365"/>
  <c r="BF365"/>
  <c r="BG365" s="1"/>
  <c r="AL353" i="12" l="1"/>
  <c r="AK353"/>
  <c r="AO353"/>
  <c r="AN353"/>
  <c r="AJ354"/>
  <c r="AN288" i="6"/>
  <c r="AY366" i="4"/>
  <c r="BA366" s="1"/>
  <c r="BF366"/>
  <c r="BG366" s="1"/>
  <c r="AW366"/>
  <c r="BD366"/>
  <c r="BE366" s="1"/>
  <c r="AZ366"/>
  <c r="BB366" s="1"/>
  <c r="AV367"/>
  <c r="AU366"/>
  <c r="BY389" i="6"/>
  <c r="BZ388"/>
  <c r="BW388" s="1"/>
  <c r="BV388"/>
  <c r="BX388" s="1"/>
  <c r="BD364" i="5"/>
  <c r="BF364" s="1"/>
  <c r="BA365"/>
  <c r="BB364"/>
  <c r="BK364"/>
  <c r="BL364" s="1"/>
  <c r="BI364"/>
  <c r="BJ364" s="1"/>
  <c r="AZ364"/>
  <c r="BE364"/>
  <c r="BG364" s="1"/>
  <c r="BZ389" i="6" l="1"/>
  <c r="BW389" s="1"/>
  <c r="BY390"/>
  <c r="BV389"/>
  <c r="BX389" s="1"/>
  <c r="BF367" i="4"/>
  <c r="BG367" s="1"/>
  <c r="AW367"/>
  <c r="BD367" s="1"/>
  <c r="BE367" s="1"/>
  <c r="AU367"/>
  <c r="AZ367"/>
  <c r="BB367" s="1"/>
  <c r="AY367"/>
  <c r="BA367" s="1"/>
  <c r="AV368"/>
  <c r="AJ355" i="12"/>
  <c r="AL354"/>
  <c r="AK354"/>
  <c r="AN354"/>
  <c r="AO354"/>
  <c r="AM289" i="6"/>
  <c r="BK365" i="5"/>
  <c r="BL365" s="1"/>
  <c r="BD365"/>
  <c r="BF365" s="1"/>
  <c r="BI365"/>
  <c r="BJ365" s="1"/>
  <c r="BA366"/>
  <c r="BB365"/>
  <c r="AZ365"/>
  <c r="BE365"/>
  <c r="BG365" s="1"/>
  <c r="BZ390" i="6" l="1"/>
  <c r="BW390" s="1"/>
  <c r="BY391"/>
  <c r="BV390"/>
  <c r="BX390" s="1"/>
  <c r="AN289"/>
  <c r="BB366" i="5"/>
  <c r="BI366" s="1"/>
  <c r="BJ366" s="1"/>
  <c r="AZ366"/>
  <c r="BE366"/>
  <c r="BG366" s="1"/>
  <c r="BK366"/>
  <c r="BL366" s="1"/>
  <c r="BD366"/>
  <c r="BF366" s="1"/>
  <c r="BA367"/>
  <c r="AW368" i="4"/>
  <c r="AU368"/>
  <c r="AZ368"/>
  <c r="BB368" s="1"/>
  <c r="BD368"/>
  <c r="BE368" s="1"/>
  <c r="AV369"/>
  <c r="BF368"/>
  <c r="BG368" s="1"/>
  <c r="AY368"/>
  <c r="BA368" s="1"/>
  <c r="AK355" i="12"/>
  <c r="AJ356"/>
  <c r="AO355"/>
  <c r="AL355"/>
  <c r="AN355"/>
  <c r="AK356" l="1"/>
  <c r="AJ357"/>
  <c r="AL356"/>
  <c r="AN356"/>
  <c r="AO356"/>
  <c r="AU369" i="4"/>
  <c r="AZ369"/>
  <c r="BB369" s="1"/>
  <c r="AV370"/>
  <c r="AY369"/>
  <c r="BA369" s="1"/>
  <c r="BF369"/>
  <c r="BG369" s="1"/>
  <c r="AW369"/>
  <c r="BD369" s="1"/>
  <c r="BE369" s="1"/>
  <c r="AM290" i="6"/>
  <c r="BY392"/>
  <c r="BV391"/>
  <c r="BX391" s="1"/>
  <c r="BZ391"/>
  <c r="BW391" s="1"/>
  <c r="AZ367" i="5"/>
  <c r="BE367"/>
  <c r="BG367" s="1"/>
  <c r="BA368"/>
  <c r="BD367"/>
  <c r="BF367" s="1"/>
  <c r="BK367"/>
  <c r="BL367" s="1"/>
  <c r="BB367"/>
  <c r="BI367" s="1"/>
  <c r="BJ367" s="1"/>
  <c r="BD368" l="1"/>
  <c r="BF368" s="1"/>
  <c r="BB368"/>
  <c r="BK368"/>
  <c r="BL368" s="1"/>
  <c r="AZ368"/>
  <c r="BE368"/>
  <c r="BG368" s="1"/>
  <c r="BI368"/>
  <c r="BJ368" s="1"/>
  <c r="BA369"/>
  <c r="AL357" i="12"/>
  <c r="AK357"/>
  <c r="AO357"/>
  <c r="AN357"/>
  <c r="AJ358"/>
  <c r="BZ392" i="6"/>
  <c r="BW392" s="1"/>
  <c r="BV392"/>
  <c r="BX392" s="1"/>
  <c r="BY393"/>
  <c r="AN290"/>
  <c r="AY370" i="4"/>
  <c r="BA370" s="1"/>
  <c r="BF370"/>
  <c r="BG370" s="1"/>
  <c r="AZ370"/>
  <c r="BB370" s="1"/>
  <c r="AU370"/>
  <c r="AV371"/>
  <c r="AW370"/>
  <c r="BD370" s="1"/>
  <c r="BE370" s="1"/>
  <c r="AM291" i="6" l="1"/>
  <c r="BK369" i="5"/>
  <c r="BL369" s="1"/>
  <c r="BA370"/>
  <c r="BB369"/>
  <c r="BI369" s="1"/>
  <c r="BJ369" s="1"/>
  <c r="AZ369"/>
  <c r="BD369"/>
  <c r="BF369" s="1"/>
  <c r="BE369"/>
  <c r="BG369" s="1"/>
  <c r="BF371" i="4"/>
  <c r="BG371" s="1"/>
  <c r="AW371"/>
  <c r="AY371"/>
  <c r="BA371" s="1"/>
  <c r="AZ371"/>
  <c r="BB371" s="1"/>
  <c r="AV372"/>
  <c r="AU371"/>
  <c r="BD371"/>
  <c r="BE371" s="1"/>
  <c r="BZ393" i="6"/>
  <c r="BW393" s="1"/>
  <c r="BY394"/>
  <c r="BV393"/>
  <c r="BX393" s="1"/>
  <c r="AJ359" i="12"/>
  <c r="AL358"/>
  <c r="AN358"/>
  <c r="AO358"/>
  <c r="AK358"/>
  <c r="AN291" i="6" l="1"/>
  <c r="BZ394"/>
  <c r="BY395"/>
  <c r="BV394"/>
  <c r="BX394" s="1"/>
  <c r="BW394"/>
  <c r="AW372" i="4"/>
  <c r="AU372"/>
  <c r="AZ372"/>
  <c r="BB372" s="1"/>
  <c r="BD372"/>
  <c r="BE372" s="1"/>
  <c r="AV373"/>
  <c r="AY372"/>
  <c r="BA372" s="1"/>
  <c r="BF372"/>
  <c r="BG372" s="1"/>
  <c r="AL359" i="12"/>
  <c r="AK359"/>
  <c r="AO359"/>
  <c r="AJ360"/>
  <c r="AN359"/>
  <c r="BB370" i="5"/>
  <c r="BE370"/>
  <c r="BG370" s="1"/>
  <c r="BK370"/>
  <c r="BL370" s="1"/>
  <c r="BD370"/>
  <c r="BF370" s="1"/>
  <c r="BI370"/>
  <c r="BJ370" s="1"/>
  <c r="BA371"/>
  <c r="AZ370"/>
  <c r="AK360" i="12" l="1"/>
  <c r="AL360"/>
  <c r="AJ361"/>
  <c r="AN360"/>
  <c r="AO360"/>
  <c r="AU373" i="4"/>
  <c r="AZ373"/>
  <c r="BB373" s="1"/>
  <c r="AV374"/>
  <c r="AY373"/>
  <c r="BA373" s="1"/>
  <c r="AW373"/>
  <c r="BD373" s="1"/>
  <c r="BE373" s="1"/>
  <c r="BF373"/>
  <c r="BG373" s="1"/>
  <c r="AM292" i="6"/>
  <c r="AZ371" i="5"/>
  <c r="BE371"/>
  <c r="BG371" s="1"/>
  <c r="BI371"/>
  <c r="BJ371" s="1"/>
  <c r="BA372"/>
  <c r="BB371"/>
  <c r="BK371"/>
  <c r="BL371" s="1"/>
  <c r="BD371"/>
  <c r="BF371" s="1"/>
  <c r="BY396" i="6"/>
  <c r="BZ395"/>
  <c r="BV395"/>
  <c r="BX395" s="1"/>
  <c r="BW395"/>
  <c r="BY397" l="1"/>
  <c r="BV396"/>
  <c r="BX396" s="1"/>
  <c r="BZ396"/>
  <c r="BW396" s="1"/>
  <c r="BD372" i="5"/>
  <c r="BF372" s="1"/>
  <c r="AZ372"/>
  <c r="BE372"/>
  <c r="BG372" s="1"/>
  <c r="BA373"/>
  <c r="BK372"/>
  <c r="BL372" s="1"/>
  <c r="BB372"/>
  <c r="BI372" s="1"/>
  <c r="BJ372" s="1"/>
  <c r="AN292" i="6"/>
  <c r="AY374" i="4"/>
  <c r="BA374" s="1"/>
  <c r="BF374"/>
  <c r="BG374" s="1"/>
  <c r="AW374"/>
  <c r="BD374"/>
  <c r="BE374" s="1"/>
  <c r="AV375"/>
  <c r="AU374"/>
  <c r="AZ374"/>
  <c r="BB374" s="1"/>
  <c r="AL361" i="12"/>
  <c r="AJ362"/>
  <c r="AK361"/>
  <c r="AO361"/>
  <c r="AN361"/>
  <c r="BZ397" i="6" l="1"/>
  <c r="BW397" s="1"/>
  <c r="BV397"/>
  <c r="BX397" s="1"/>
  <c r="BY398"/>
  <c r="AJ363" i="12"/>
  <c r="AK362"/>
  <c r="AL362"/>
  <c r="AN362"/>
  <c r="AO362"/>
  <c r="BF375" i="4"/>
  <c r="BG375" s="1"/>
  <c r="AW375"/>
  <c r="AU375"/>
  <c r="BD375"/>
  <c r="BE375" s="1"/>
  <c r="AZ375"/>
  <c r="BB375" s="1"/>
  <c r="AY375"/>
  <c r="BA375" s="1"/>
  <c r="AV376"/>
  <c r="BK373" i="5"/>
  <c r="BL373" s="1"/>
  <c r="BB373"/>
  <c r="AZ373"/>
  <c r="BE373"/>
  <c r="BG373" s="1"/>
  <c r="BA374"/>
  <c r="BI373"/>
  <c r="BJ373" s="1"/>
  <c r="BD373"/>
  <c r="BF373" s="1"/>
  <c r="AM293" i="6"/>
  <c r="AJ364" i="12" l="1"/>
  <c r="AL363"/>
  <c r="AO363"/>
  <c r="AN363"/>
  <c r="AK363"/>
  <c r="BB374" i="5"/>
  <c r="BD374"/>
  <c r="BF374" s="1"/>
  <c r="BI374"/>
  <c r="BJ374" s="1"/>
  <c r="BA375"/>
  <c r="BE374"/>
  <c r="BG374" s="1"/>
  <c r="AZ374"/>
  <c r="BK374"/>
  <c r="BL374" s="1"/>
  <c r="AN293" i="6"/>
  <c r="AW376" i="4"/>
  <c r="AU376"/>
  <c r="AZ376"/>
  <c r="BB376" s="1"/>
  <c r="BD376"/>
  <c r="BE376" s="1"/>
  <c r="AV377"/>
  <c r="BF376"/>
  <c r="BG376" s="1"/>
  <c r="AY376"/>
  <c r="BA376" s="1"/>
  <c r="BZ398" i="6"/>
  <c r="BY399"/>
  <c r="BV398"/>
  <c r="BX398" s="1"/>
  <c r="BW398"/>
  <c r="AK364" i="12" l="1"/>
  <c r="AL364"/>
  <c r="AJ365"/>
  <c r="AN364"/>
  <c r="AO364"/>
  <c r="BY400" i="6"/>
  <c r="BV399"/>
  <c r="BX399" s="1"/>
  <c r="BZ399"/>
  <c r="BW399"/>
  <c r="AU377" i="4"/>
  <c r="AZ377"/>
  <c r="BB377" s="1"/>
  <c r="AV378"/>
  <c r="AY377"/>
  <c r="BA377" s="1"/>
  <c r="BF377"/>
  <c r="BG377" s="1"/>
  <c r="AW377"/>
  <c r="BD377" s="1"/>
  <c r="BE377" s="1"/>
  <c r="AM294" i="6"/>
  <c r="AZ375" i="5"/>
  <c r="BE375"/>
  <c r="BG375" s="1"/>
  <c r="BI375"/>
  <c r="BJ375" s="1"/>
  <c r="BA376"/>
  <c r="BB375"/>
  <c r="BK375"/>
  <c r="BL375" s="1"/>
  <c r="BD375"/>
  <c r="BF375" s="1"/>
  <c r="AN294" i="6" l="1"/>
  <c r="AY378" i="4"/>
  <c r="BA378" s="1"/>
  <c r="BF378"/>
  <c r="BG378" s="1"/>
  <c r="AZ378"/>
  <c r="BB378" s="1"/>
  <c r="AU378"/>
  <c r="AV379"/>
  <c r="AW378"/>
  <c r="BD378" s="1"/>
  <c r="BE378" s="1"/>
  <c r="BD376" i="5"/>
  <c r="BF376" s="1"/>
  <c r="BE376"/>
  <c r="BG376" s="1"/>
  <c r="BA377"/>
  <c r="AZ376"/>
  <c r="BK376"/>
  <c r="BL376" s="1"/>
  <c r="BB376"/>
  <c r="BI376" s="1"/>
  <c r="BJ376" s="1"/>
  <c r="BZ400" i="6"/>
  <c r="BW400" s="1"/>
  <c r="BY401"/>
  <c r="BV400"/>
  <c r="BX400" s="1"/>
  <c r="AL365" i="12"/>
  <c r="AJ366"/>
  <c r="AK365"/>
  <c r="AO365"/>
  <c r="AN365"/>
  <c r="AM295" i="6" l="1"/>
  <c r="AJ367" i="12"/>
  <c r="AL366"/>
  <c r="AK366"/>
  <c r="AN366"/>
  <c r="AO366"/>
  <c r="BZ401" i="6"/>
  <c r="BY402"/>
  <c r="BV401"/>
  <c r="BX401" s="1"/>
  <c r="BW401"/>
  <c r="BF379" i="4"/>
  <c r="BG379" s="1"/>
  <c r="AW379"/>
  <c r="AY379"/>
  <c r="BA379" s="1"/>
  <c r="AZ379"/>
  <c r="BB379" s="1"/>
  <c r="AV380"/>
  <c r="BD379"/>
  <c r="BE379" s="1"/>
  <c r="AU379"/>
  <c r="BK377" i="5"/>
  <c r="BL377" s="1"/>
  <c r="AZ377"/>
  <c r="BE377"/>
  <c r="BG377" s="1"/>
  <c r="BD377"/>
  <c r="BF377" s="1"/>
  <c r="BI377"/>
  <c r="BJ377" s="1"/>
  <c r="BB377"/>
  <c r="BA378"/>
  <c r="BB378" l="1"/>
  <c r="BI378" s="1"/>
  <c r="BJ378" s="1"/>
  <c r="BA379"/>
  <c r="AZ378"/>
  <c r="BE378"/>
  <c r="BG378" s="1"/>
  <c r="BD378"/>
  <c r="BF378" s="1"/>
  <c r="BK378"/>
  <c r="BL378" s="1"/>
  <c r="BZ402" i="6"/>
  <c r="BW402" s="1"/>
  <c r="BY403"/>
  <c r="BV402"/>
  <c r="BX402" s="1"/>
  <c r="AL367" i="12"/>
  <c r="AO367"/>
  <c r="AN367"/>
  <c r="AJ368"/>
  <c r="AK367"/>
  <c r="AN295" i="6"/>
  <c r="AW380" i="4"/>
  <c r="AU380"/>
  <c r="AZ380"/>
  <c r="BB380" s="1"/>
  <c r="BD380"/>
  <c r="BE380" s="1"/>
  <c r="AV381"/>
  <c r="BF380"/>
  <c r="BG380" s="1"/>
  <c r="AY380"/>
  <c r="BA380" s="1"/>
  <c r="AZ379" i="5" l="1"/>
  <c r="BE379"/>
  <c r="BG379" s="1"/>
  <c r="BA380"/>
  <c r="BK379"/>
  <c r="BL379" s="1"/>
  <c r="BD379"/>
  <c r="BF379" s="1"/>
  <c r="BB379"/>
  <c r="BI379" s="1"/>
  <c r="BJ379" s="1"/>
  <c r="AM296" i="6"/>
  <c r="BY404"/>
  <c r="BZ403"/>
  <c r="BV403"/>
  <c r="BX403" s="1"/>
  <c r="BW403"/>
  <c r="AU381" i="4"/>
  <c r="AZ381"/>
  <c r="BB381" s="1"/>
  <c r="AV382"/>
  <c r="AY381"/>
  <c r="BA381" s="1"/>
  <c r="AW381"/>
  <c r="BD381" s="1"/>
  <c r="BE381" s="1"/>
  <c r="BF381"/>
  <c r="BG381" s="1"/>
  <c r="AK368" i="12"/>
  <c r="AJ369"/>
  <c r="AL368"/>
  <c r="AN368"/>
  <c r="AO368"/>
  <c r="AY382" i="4" l="1"/>
  <c r="BA382" s="1"/>
  <c r="BF382"/>
  <c r="BG382" s="1"/>
  <c r="AW382"/>
  <c r="BD382" s="1"/>
  <c r="BE382" s="1"/>
  <c r="AU382"/>
  <c r="AZ382"/>
  <c r="BB382" s="1"/>
  <c r="AV383"/>
  <c r="AL369" i="12"/>
  <c r="AK369"/>
  <c r="AO369"/>
  <c r="AJ370"/>
  <c r="AN369"/>
  <c r="BV404" i="6"/>
  <c r="BX404" s="1"/>
  <c r="BY405"/>
  <c r="BZ404"/>
  <c r="BW404"/>
  <c r="AN296"/>
  <c r="BD380" i="5"/>
  <c r="BF380" s="1"/>
  <c r="BA381"/>
  <c r="BB380"/>
  <c r="BI380" s="1"/>
  <c r="BJ380" s="1"/>
  <c r="BK380"/>
  <c r="BL380" s="1"/>
  <c r="BE380"/>
  <c r="BG380" s="1"/>
  <c r="AZ380"/>
  <c r="BZ405" i="6" l="1"/>
  <c r="BW405" s="1"/>
  <c r="BV405"/>
  <c r="BX405" s="1"/>
  <c r="BY406"/>
  <c r="AM297"/>
  <c r="AJ371" i="12"/>
  <c r="AL370"/>
  <c r="AK370"/>
  <c r="AN370"/>
  <c r="AO370"/>
  <c r="BF383" i="4"/>
  <c r="BG383" s="1"/>
  <c r="AW383"/>
  <c r="BD383" s="1"/>
  <c r="BE383" s="1"/>
  <c r="AU383"/>
  <c r="AZ383"/>
  <c r="BB383" s="1"/>
  <c r="AY383"/>
  <c r="BA383" s="1"/>
  <c r="AV384"/>
  <c r="BK381" i="5"/>
  <c r="BL381" s="1"/>
  <c r="BD381"/>
  <c r="BF381" s="1"/>
  <c r="BA382"/>
  <c r="AZ381"/>
  <c r="BE381"/>
  <c r="BG381" s="1"/>
  <c r="BB381"/>
  <c r="BI381" s="1"/>
  <c r="BJ381" s="1"/>
  <c r="AN297" i="6" l="1"/>
  <c r="BB382" i="5"/>
  <c r="AZ382"/>
  <c r="BE382"/>
  <c r="BG382" s="1"/>
  <c r="BK382"/>
  <c r="BL382" s="1"/>
  <c r="BA383"/>
  <c r="BI382"/>
  <c r="BJ382" s="1"/>
  <c r="BD382"/>
  <c r="BF382" s="1"/>
  <c r="AW384" i="4"/>
  <c r="AU384"/>
  <c r="AZ384"/>
  <c r="BB384" s="1"/>
  <c r="BD384"/>
  <c r="BE384" s="1"/>
  <c r="AV385"/>
  <c r="BF384"/>
  <c r="BG384" s="1"/>
  <c r="AY384"/>
  <c r="BA384" s="1"/>
  <c r="AK371" i="12"/>
  <c r="AL371"/>
  <c r="AO371"/>
  <c r="AN371"/>
  <c r="AJ372"/>
  <c r="BZ406" i="6"/>
  <c r="BY407"/>
  <c r="BV406"/>
  <c r="BX406" s="1"/>
  <c r="BW406"/>
  <c r="AU385" i="4" l="1"/>
  <c r="AZ385"/>
  <c r="BB385" s="1"/>
  <c r="AV386"/>
  <c r="AY385"/>
  <c r="BA385" s="1"/>
  <c r="BF385"/>
  <c r="BG385" s="1"/>
  <c r="AW385"/>
  <c r="BD385" s="1"/>
  <c r="BE385" s="1"/>
  <c r="AM298" i="6"/>
  <c r="AK372" i="12"/>
  <c r="AJ373"/>
  <c r="AL372"/>
  <c r="AN372"/>
  <c r="AO372"/>
  <c r="BY408" i="6"/>
  <c r="BV407"/>
  <c r="BX407" s="1"/>
  <c r="BW407"/>
  <c r="BZ407"/>
  <c r="AZ383" i="5"/>
  <c r="BE383"/>
  <c r="BG383" s="1"/>
  <c r="BI383"/>
  <c r="BJ383" s="1"/>
  <c r="BA384"/>
  <c r="BD383"/>
  <c r="BF383" s="1"/>
  <c r="BB383"/>
  <c r="BK383"/>
  <c r="BL383" s="1"/>
  <c r="BZ408" i="6" l="1"/>
  <c r="BW408" s="1"/>
  <c r="BV408"/>
  <c r="BX408" s="1"/>
  <c r="BY409"/>
  <c r="AL373" i="12"/>
  <c r="AJ374"/>
  <c r="AK373"/>
  <c r="AO373"/>
  <c r="AN373"/>
  <c r="BD384" i="5"/>
  <c r="BF384" s="1"/>
  <c r="BB384"/>
  <c r="BK384"/>
  <c r="BL384" s="1"/>
  <c r="AZ384"/>
  <c r="BA385"/>
  <c r="BI384"/>
  <c r="BJ384" s="1"/>
  <c r="BE384"/>
  <c r="BG384" s="1"/>
  <c r="AN298" i="6"/>
  <c r="AY386" i="4"/>
  <c r="BA386" s="1"/>
  <c r="BF386"/>
  <c r="BG386" s="1"/>
  <c r="AZ386"/>
  <c r="BB386" s="1"/>
  <c r="AU386"/>
  <c r="AV387"/>
  <c r="AW386"/>
  <c r="BD386"/>
  <c r="BE386" s="1"/>
  <c r="AM299" i="6" l="1"/>
  <c r="AJ375" i="12"/>
  <c r="AL374"/>
  <c r="AK374"/>
  <c r="AN374"/>
  <c r="AO374"/>
  <c r="BK385" i="5"/>
  <c r="BL385" s="1"/>
  <c r="BA386"/>
  <c r="BB385"/>
  <c r="BE385"/>
  <c r="BG385" s="1"/>
  <c r="BD385"/>
  <c r="BF385" s="1"/>
  <c r="BI385"/>
  <c r="BJ385" s="1"/>
  <c r="AZ385"/>
  <c r="BF387" i="4"/>
  <c r="BG387" s="1"/>
  <c r="AW387"/>
  <c r="AY387"/>
  <c r="BA387" s="1"/>
  <c r="AZ387"/>
  <c r="BB387" s="1"/>
  <c r="AV388"/>
  <c r="BD387"/>
  <c r="BE387" s="1"/>
  <c r="AU387"/>
  <c r="BZ409" i="6"/>
  <c r="BY410"/>
  <c r="BW409"/>
  <c r="BV409"/>
  <c r="BX409" s="1"/>
  <c r="BB386" i="5" l="1"/>
  <c r="BE386"/>
  <c r="BG386" s="1"/>
  <c r="BK386"/>
  <c r="BL386" s="1"/>
  <c r="BD386"/>
  <c r="BF386" s="1"/>
  <c r="BI386"/>
  <c r="BJ386" s="1"/>
  <c r="AZ386"/>
  <c r="BA387"/>
  <c r="AN299" i="6"/>
  <c r="BZ410"/>
  <c r="BY411"/>
  <c r="BV410"/>
  <c r="BX410" s="1"/>
  <c r="BW410"/>
  <c r="AW388" i="4"/>
  <c r="AU388"/>
  <c r="AZ388"/>
  <c r="BB388" s="1"/>
  <c r="BD388"/>
  <c r="BE388" s="1"/>
  <c r="AV389"/>
  <c r="AY388"/>
  <c r="BA388" s="1"/>
  <c r="BF388"/>
  <c r="BG388" s="1"/>
  <c r="AJ376" i="12"/>
  <c r="AL375"/>
  <c r="AK375"/>
  <c r="AO375"/>
  <c r="AN375"/>
  <c r="AU389" i="4" l="1"/>
  <c r="AZ389"/>
  <c r="BB389" s="1"/>
  <c r="AV390"/>
  <c r="AY389"/>
  <c r="BA389" s="1"/>
  <c r="AW389"/>
  <c r="BD389" s="1"/>
  <c r="BE389" s="1"/>
  <c r="BF389"/>
  <c r="BG389" s="1"/>
  <c r="BY412" i="6"/>
  <c r="BZ411"/>
  <c r="BW411" s="1"/>
  <c r="BV411"/>
  <c r="BX411" s="1"/>
  <c r="AZ387" i="5"/>
  <c r="BE387"/>
  <c r="BG387" s="1"/>
  <c r="BI387"/>
  <c r="BJ387" s="1"/>
  <c r="BA388"/>
  <c r="BB387"/>
  <c r="BD387"/>
  <c r="BF387" s="1"/>
  <c r="BK387"/>
  <c r="BL387" s="1"/>
  <c r="AK376" i="12"/>
  <c r="AL376"/>
  <c r="AJ377"/>
  <c r="AO376"/>
  <c r="AN376"/>
  <c r="AM300" i="6"/>
  <c r="AL377" i="12" l="1"/>
  <c r="AJ378"/>
  <c r="AO377"/>
  <c r="AN377"/>
  <c r="AK377"/>
  <c r="BD388" i="5"/>
  <c r="BF388" s="1"/>
  <c r="AZ388"/>
  <c r="BE388"/>
  <c r="BG388" s="1"/>
  <c r="BI388"/>
  <c r="BJ388" s="1"/>
  <c r="BB388"/>
  <c r="BK388"/>
  <c r="BL388" s="1"/>
  <c r="BA389"/>
  <c r="AN300" i="6"/>
  <c r="BY413"/>
  <c r="BZ412"/>
  <c r="BV412"/>
  <c r="BX412" s="1"/>
  <c r="BW412"/>
  <c r="AY390" i="4"/>
  <c r="BA390" s="1"/>
  <c r="BF390"/>
  <c r="BG390" s="1"/>
  <c r="AW390"/>
  <c r="BD390" s="1"/>
  <c r="BE390" s="1"/>
  <c r="AV391"/>
  <c r="AU390"/>
  <c r="AZ390"/>
  <c r="BB390" s="1"/>
  <c r="AM301" i="6" l="1"/>
  <c r="AJ379" i="12"/>
  <c r="AK378"/>
  <c r="AL378"/>
  <c r="AN378"/>
  <c r="AO378"/>
  <c r="BZ413" i="6"/>
  <c r="BV413"/>
  <c r="BX413" s="1"/>
  <c r="BW413"/>
  <c r="BY414"/>
  <c r="BF391" i="4"/>
  <c r="BG391" s="1"/>
  <c r="AW391"/>
  <c r="AU391"/>
  <c r="BD391"/>
  <c r="BE391" s="1"/>
  <c r="AY391"/>
  <c r="BA391" s="1"/>
  <c r="AV392"/>
  <c r="AZ391"/>
  <c r="BB391" s="1"/>
  <c r="BK389" i="5"/>
  <c r="BL389" s="1"/>
  <c r="BB389"/>
  <c r="AZ389"/>
  <c r="BE389"/>
  <c r="BG389" s="1"/>
  <c r="BD389"/>
  <c r="BF389" s="1"/>
  <c r="BI389"/>
  <c r="BJ389" s="1"/>
  <c r="BA390"/>
  <c r="BZ414" i="6" l="1"/>
  <c r="BW414" s="1"/>
  <c r="BY415"/>
  <c r="BV414"/>
  <c r="BX414" s="1"/>
  <c r="BB390" i="5"/>
  <c r="BI390" s="1"/>
  <c r="BJ390" s="1"/>
  <c r="BD390"/>
  <c r="BF390" s="1"/>
  <c r="BA391"/>
  <c r="BK390"/>
  <c r="BL390" s="1"/>
  <c r="AZ390"/>
  <c r="BE390"/>
  <c r="BG390" s="1"/>
  <c r="AW392" i="4"/>
  <c r="AU392"/>
  <c r="AZ392"/>
  <c r="BB392" s="1"/>
  <c r="BD392"/>
  <c r="BE392" s="1"/>
  <c r="AV393"/>
  <c r="BF392"/>
  <c r="BG392" s="1"/>
  <c r="AY392"/>
  <c r="BA392" s="1"/>
  <c r="AN301" i="6"/>
  <c r="AJ380" i="12"/>
  <c r="AL379"/>
  <c r="AO379"/>
  <c r="AK379"/>
  <c r="AN379"/>
  <c r="BY416" i="6" l="1"/>
  <c r="BZ415"/>
  <c r="BW415"/>
  <c r="BV415"/>
  <c r="BX415" s="1"/>
  <c r="AK380" i="12"/>
  <c r="AJ381"/>
  <c r="AL380"/>
  <c r="AN380"/>
  <c r="AO380"/>
  <c r="AM302" i="6"/>
  <c r="AU393" i="4"/>
  <c r="AZ393"/>
  <c r="BB393" s="1"/>
  <c r="AV394"/>
  <c r="AY393"/>
  <c r="BA393" s="1"/>
  <c r="BF393"/>
  <c r="BG393" s="1"/>
  <c r="AW393"/>
  <c r="BD393" s="1"/>
  <c r="BE393" s="1"/>
  <c r="AZ391" i="5"/>
  <c r="BE391"/>
  <c r="BG391" s="1"/>
  <c r="BA392"/>
  <c r="BB391"/>
  <c r="BI391" s="1"/>
  <c r="BJ391" s="1"/>
  <c r="BK391"/>
  <c r="BL391" s="1"/>
  <c r="BD391"/>
  <c r="BF391" s="1"/>
  <c r="BZ416" i="6" l="1"/>
  <c r="BW416" s="1"/>
  <c r="BV416"/>
  <c r="BX416" s="1"/>
  <c r="BY417"/>
  <c r="AY394" i="4"/>
  <c r="BA394" s="1"/>
  <c r="BF394"/>
  <c r="BG394" s="1"/>
  <c r="AZ394"/>
  <c r="BB394" s="1"/>
  <c r="AU394"/>
  <c r="AV395"/>
  <c r="AW394"/>
  <c r="BD394" s="1"/>
  <c r="BE394" s="1"/>
  <c r="BD392" i="5"/>
  <c r="BF392" s="1"/>
  <c r="BE392"/>
  <c r="BG392" s="1"/>
  <c r="BA393"/>
  <c r="BB392"/>
  <c r="BI392" s="1"/>
  <c r="BJ392" s="1"/>
  <c r="BK392"/>
  <c r="BL392" s="1"/>
  <c r="AZ392"/>
  <c r="AN302" i="6"/>
  <c r="AL381" i="12"/>
  <c r="AJ382"/>
  <c r="AO381"/>
  <c r="AN381"/>
  <c r="AK381"/>
  <c r="AM303" i="6" l="1"/>
  <c r="BK393" i="5"/>
  <c r="BL393" s="1"/>
  <c r="AZ393"/>
  <c r="BE393"/>
  <c r="BG393" s="1"/>
  <c r="BD393"/>
  <c r="BF393" s="1"/>
  <c r="BA394"/>
  <c r="BB393"/>
  <c r="BI393" s="1"/>
  <c r="BJ393" s="1"/>
  <c r="BF395" i="4"/>
  <c r="BG395" s="1"/>
  <c r="AW395"/>
  <c r="AY395"/>
  <c r="BA395" s="1"/>
  <c r="AZ395"/>
  <c r="BB395" s="1"/>
  <c r="AV396"/>
  <c r="BD395"/>
  <c r="BE395" s="1"/>
  <c r="AU395"/>
  <c r="BZ417" i="6"/>
  <c r="BW417" s="1"/>
  <c r="BY418"/>
  <c r="BV417"/>
  <c r="BX417" s="1"/>
  <c r="AJ383" i="12"/>
  <c r="AL382"/>
  <c r="AN382"/>
  <c r="AK382"/>
  <c r="AO382"/>
  <c r="AN303" i="6" l="1"/>
  <c r="BZ418"/>
  <c r="BY419"/>
  <c r="BV418"/>
  <c r="BX418" s="1"/>
  <c r="BW418"/>
  <c r="AW396" i="4"/>
  <c r="AU396"/>
  <c r="AZ396"/>
  <c r="BB396" s="1"/>
  <c r="BD396"/>
  <c r="BE396" s="1"/>
  <c r="AV397"/>
  <c r="BF396"/>
  <c r="BG396" s="1"/>
  <c r="AY396"/>
  <c r="BA396" s="1"/>
  <c r="AL383" i="12"/>
  <c r="AK383"/>
  <c r="AO383"/>
  <c r="AJ384"/>
  <c r="AN383"/>
  <c r="BB394" i="5"/>
  <c r="BA395"/>
  <c r="AZ394"/>
  <c r="BI394"/>
  <c r="BJ394" s="1"/>
  <c r="BK394"/>
  <c r="BL394" s="1"/>
  <c r="BD394"/>
  <c r="BF394" s="1"/>
  <c r="BE394"/>
  <c r="BG394" s="1"/>
  <c r="AK384" i="12" l="1"/>
  <c r="AJ385"/>
  <c r="AL384"/>
  <c r="AN384"/>
  <c r="AO384"/>
  <c r="AM304" i="6"/>
  <c r="AU397" i="4"/>
  <c r="AZ397"/>
  <c r="BB397" s="1"/>
  <c r="BD397"/>
  <c r="BE397" s="1"/>
  <c r="AV398"/>
  <c r="AY397"/>
  <c r="BA397" s="1"/>
  <c r="AW397"/>
  <c r="BF397"/>
  <c r="BG397" s="1"/>
  <c r="AZ395" i="5"/>
  <c r="BE395"/>
  <c r="BG395" s="1"/>
  <c r="BA396"/>
  <c r="BK395"/>
  <c r="BL395" s="1"/>
  <c r="BD395"/>
  <c r="BF395" s="1"/>
  <c r="BB395"/>
  <c r="BI395" s="1"/>
  <c r="BJ395" s="1"/>
  <c r="BY420" i="6"/>
  <c r="BZ419"/>
  <c r="BV419"/>
  <c r="BX419" s="1"/>
  <c r="BW419"/>
  <c r="BY421" l="1"/>
  <c r="BZ420"/>
  <c r="BW420" s="1"/>
  <c r="BV420"/>
  <c r="BX420" s="1"/>
  <c r="BD396" i="5"/>
  <c r="BF396" s="1"/>
  <c r="BA397"/>
  <c r="BB396"/>
  <c r="BK396"/>
  <c r="BL396" s="1"/>
  <c r="BI396"/>
  <c r="BJ396" s="1"/>
  <c r="AZ396"/>
  <c r="BE396"/>
  <c r="BG396" s="1"/>
  <c r="AN304" i="6"/>
  <c r="AL385" i="12"/>
  <c r="AK385"/>
  <c r="AJ386"/>
  <c r="AO385"/>
  <c r="AN385"/>
  <c r="AY398" i="4"/>
  <c r="BA398" s="1"/>
  <c r="BF398"/>
  <c r="BG398" s="1"/>
  <c r="AW398"/>
  <c r="BD398" s="1"/>
  <c r="BE398" s="1"/>
  <c r="AZ398"/>
  <c r="BB398" s="1"/>
  <c r="AV399"/>
  <c r="AU398"/>
  <c r="BZ421" i="6" l="1"/>
  <c r="BW421" s="1"/>
  <c r="BV421"/>
  <c r="BX421" s="1"/>
  <c r="BY422"/>
  <c r="BK397" i="5"/>
  <c r="BL397" s="1"/>
  <c r="BD397"/>
  <c r="BF397" s="1"/>
  <c r="BI397"/>
  <c r="BJ397" s="1"/>
  <c r="BA398"/>
  <c r="BB397"/>
  <c r="BE397"/>
  <c r="BG397" s="1"/>
  <c r="AZ397"/>
  <c r="BF399" i="4"/>
  <c r="BG399" s="1"/>
  <c r="AW399"/>
  <c r="AU399"/>
  <c r="BD399"/>
  <c r="BE399" s="1"/>
  <c r="AZ399"/>
  <c r="BB399" s="1"/>
  <c r="AY399"/>
  <c r="BA399" s="1"/>
  <c r="AV400"/>
  <c r="AJ387" i="12"/>
  <c r="AN386"/>
  <c r="AO386"/>
  <c r="AL386"/>
  <c r="AK386"/>
  <c r="AM305" i="6"/>
  <c r="AL387" i="12" l="1"/>
  <c r="AK387"/>
  <c r="AO387"/>
  <c r="AJ388"/>
  <c r="AN387"/>
  <c r="AW400" i="4"/>
  <c r="BD400" s="1"/>
  <c r="BE400" s="1"/>
  <c r="AU400"/>
  <c r="AZ400"/>
  <c r="BB400" s="1"/>
  <c r="AV401"/>
  <c r="BF400"/>
  <c r="BG400" s="1"/>
  <c r="AY400"/>
  <c r="BA400" s="1"/>
  <c r="BZ422" i="6"/>
  <c r="BY423"/>
  <c r="BW422"/>
  <c r="BV422"/>
  <c r="BX422" s="1"/>
  <c r="AN305"/>
  <c r="BB398" i="5"/>
  <c r="AZ398"/>
  <c r="BE398"/>
  <c r="BG398" s="1"/>
  <c r="BK398"/>
  <c r="BL398" s="1"/>
  <c r="BD398"/>
  <c r="BF398" s="1"/>
  <c r="BA399"/>
  <c r="BI398"/>
  <c r="BJ398" s="1"/>
  <c r="AM306" i="6" l="1"/>
  <c r="BY424"/>
  <c r="BV423"/>
  <c r="BX423" s="1"/>
  <c r="BZ423"/>
  <c r="BW423" s="1"/>
  <c r="AU401" i="4"/>
  <c r="AZ401"/>
  <c r="BB401" s="1"/>
  <c r="AV402"/>
  <c r="AY401"/>
  <c r="BA401" s="1"/>
  <c r="BF401"/>
  <c r="BG401" s="1"/>
  <c r="AW401"/>
  <c r="BD401" s="1"/>
  <c r="BE401" s="1"/>
  <c r="AZ399" i="5"/>
  <c r="BE399"/>
  <c r="BG399" s="1"/>
  <c r="BA400"/>
  <c r="BD399"/>
  <c r="BF399" s="1"/>
  <c r="BK399"/>
  <c r="BL399" s="1"/>
  <c r="BB399"/>
  <c r="BI399" s="1"/>
  <c r="BJ399" s="1"/>
  <c r="AK388" i="12"/>
  <c r="AJ389"/>
  <c r="AL388"/>
  <c r="AN388"/>
  <c r="AO388"/>
  <c r="BD400" i="5" l="1"/>
  <c r="BF400" s="1"/>
  <c r="BB400"/>
  <c r="BI400" s="1"/>
  <c r="BJ400" s="1"/>
  <c r="BK400"/>
  <c r="BL400" s="1"/>
  <c r="AZ400"/>
  <c r="BE400"/>
  <c r="BG400" s="1"/>
  <c r="BA401"/>
  <c r="AN306" i="6"/>
  <c r="AL389" i="12"/>
  <c r="AK389"/>
  <c r="AO389"/>
  <c r="AN389"/>
  <c r="AJ390"/>
  <c r="AY402" i="4"/>
  <c r="BA402" s="1"/>
  <c r="BF402"/>
  <c r="BG402" s="1"/>
  <c r="AZ402"/>
  <c r="BB402" s="1"/>
  <c r="AU402"/>
  <c r="AV403"/>
  <c r="AW402"/>
  <c r="BD402"/>
  <c r="BE402" s="1"/>
  <c r="BZ424" i="6"/>
  <c r="BV424"/>
  <c r="BX424" s="1"/>
  <c r="BY425"/>
  <c r="BW424"/>
  <c r="AJ391" i="12" l="1"/>
  <c r="AL390"/>
  <c r="AN390"/>
  <c r="AK390"/>
  <c r="AO390"/>
  <c r="BK401" i="5"/>
  <c r="BL401" s="1"/>
  <c r="BA402"/>
  <c r="BB401"/>
  <c r="BI401"/>
  <c r="BJ401" s="1"/>
  <c r="AZ401"/>
  <c r="BE401"/>
  <c r="BG401" s="1"/>
  <c r="BD401"/>
  <c r="BF401" s="1"/>
  <c r="BF403" i="4"/>
  <c r="BG403" s="1"/>
  <c r="AW403"/>
  <c r="AY403"/>
  <c r="BA403" s="1"/>
  <c r="AZ403"/>
  <c r="BB403" s="1"/>
  <c r="AV404"/>
  <c r="AU403"/>
  <c r="BD403"/>
  <c r="BE403" s="1"/>
  <c r="BZ425" i="6"/>
  <c r="BY426"/>
  <c r="BV425"/>
  <c r="BX425" s="1"/>
  <c r="BW425"/>
  <c r="AM307"/>
  <c r="BZ426" l="1"/>
  <c r="BW426" s="1"/>
  <c r="BY427"/>
  <c r="BV426"/>
  <c r="BX426" s="1"/>
  <c r="AW404" i="4"/>
  <c r="BD404" s="1"/>
  <c r="BE404" s="1"/>
  <c r="AU404"/>
  <c r="AZ404"/>
  <c r="BB404" s="1"/>
  <c r="AV405"/>
  <c r="AY404"/>
  <c r="BA404" s="1"/>
  <c r="BF404"/>
  <c r="BG404" s="1"/>
  <c r="AK391" i="12"/>
  <c r="AJ392"/>
  <c r="AO391"/>
  <c r="AL391"/>
  <c r="AN391"/>
  <c r="BB402" i="5"/>
  <c r="BE402"/>
  <c r="BG402" s="1"/>
  <c r="BK402"/>
  <c r="BL402" s="1"/>
  <c r="BD402"/>
  <c r="BF402" s="1"/>
  <c r="BI402"/>
  <c r="BJ402" s="1"/>
  <c r="BA403"/>
  <c r="AZ402"/>
  <c r="AN307" i="6"/>
  <c r="AU405" i="4" l="1"/>
  <c r="AZ405"/>
  <c r="BB405" s="1"/>
  <c r="AV406"/>
  <c r="AY405"/>
  <c r="BA405" s="1"/>
  <c r="AW405"/>
  <c r="BD405" s="1"/>
  <c r="BE405" s="1"/>
  <c r="BF405"/>
  <c r="BG405" s="1"/>
  <c r="AZ403" i="5"/>
  <c r="BE403"/>
  <c r="BG403" s="1"/>
  <c r="BI403"/>
  <c r="BJ403" s="1"/>
  <c r="BA404"/>
  <c r="BB403"/>
  <c r="BD403"/>
  <c r="BF403" s="1"/>
  <c r="BK403"/>
  <c r="BL403" s="1"/>
  <c r="BY428" i="6"/>
  <c r="BV427"/>
  <c r="BX427" s="1"/>
  <c r="BZ427"/>
  <c r="BW427" s="1"/>
  <c r="AK392" i="12"/>
  <c r="AJ393"/>
  <c r="AL392"/>
  <c r="AN392"/>
  <c r="AO392"/>
  <c r="AM308" i="6"/>
  <c r="BY429" l="1"/>
  <c r="BV428"/>
  <c r="BX428" s="1"/>
  <c r="BZ428"/>
  <c r="BW428" s="1"/>
  <c r="BD404" i="5"/>
  <c r="BF404" s="1"/>
  <c r="AZ404"/>
  <c r="BE404"/>
  <c r="BG404" s="1"/>
  <c r="BA405"/>
  <c r="BB404"/>
  <c r="BI404" s="1"/>
  <c r="BJ404" s="1"/>
  <c r="BK404"/>
  <c r="BL404" s="1"/>
  <c r="AN308" i="6"/>
  <c r="AL393" i="12"/>
  <c r="AO393"/>
  <c r="AN393"/>
  <c r="AK393"/>
  <c r="AJ394"/>
  <c r="AY406" i="4"/>
  <c r="BA406" s="1"/>
  <c r="BF406"/>
  <c r="BG406" s="1"/>
  <c r="AW406"/>
  <c r="BD406" s="1"/>
  <c r="BE406" s="1"/>
  <c r="AZ406"/>
  <c r="BB406" s="1"/>
  <c r="AU406"/>
  <c r="AV407"/>
  <c r="BK405" i="5" l="1"/>
  <c r="BL405" s="1"/>
  <c r="BB405"/>
  <c r="AZ405"/>
  <c r="BE405"/>
  <c r="BG405" s="1"/>
  <c r="BA406"/>
  <c r="BI405"/>
  <c r="BJ405" s="1"/>
  <c r="BD405"/>
  <c r="BF405" s="1"/>
  <c r="BZ429" i="6"/>
  <c r="BW429"/>
  <c r="BV429"/>
  <c r="BX429" s="1"/>
  <c r="BY430"/>
  <c r="AJ395" i="12"/>
  <c r="AL394"/>
  <c r="AK394"/>
  <c r="AN394"/>
  <c r="AO394"/>
  <c r="BF407" i="4"/>
  <c r="BG407" s="1"/>
  <c r="AW407"/>
  <c r="AU407"/>
  <c r="BD407"/>
  <c r="BE407" s="1"/>
  <c r="AY407"/>
  <c r="BA407" s="1"/>
  <c r="AV408"/>
  <c r="AZ407"/>
  <c r="BB407" s="1"/>
  <c r="AM309" i="6"/>
  <c r="BB406" i="5" l="1"/>
  <c r="BI406" s="1"/>
  <c r="BJ406" s="1"/>
  <c r="BD406"/>
  <c r="BF406" s="1"/>
  <c r="BA407"/>
  <c r="BE406"/>
  <c r="BG406" s="1"/>
  <c r="BK406"/>
  <c r="BL406" s="1"/>
  <c r="AZ406"/>
  <c r="AW408" i="4"/>
  <c r="AU408"/>
  <c r="AZ408"/>
  <c r="BB408" s="1"/>
  <c r="BD408"/>
  <c r="BE408" s="1"/>
  <c r="AV409"/>
  <c r="BF408"/>
  <c r="BG408" s="1"/>
  <c r="AY408"/>
  <c r="BA408" s="1"/>
  <c r="BZ430" i="6"/>
  <c r="BY431"/>
  <c r="BV430"/>
  <c r="BX430" s="1"/>
  <c r="BW430"/>
  <c r="AN309"/>
  <c r="AJ396" i="12"/>
  <c r="AL395"/>
  <c r="AO395"/>
  <c r="AK395"/>
  <c r="AN395"/>
  <c r="AK396" l="1"/>
  <c r="AL396"/>
  <c r="AJ397"/>
  <c r="AN396"/>
  <c r="AO396"/>
  <c r="AM310" i="6"/>
  <c r="BY432"/>
  <c r="BV431"/>
  <c r="BX431" s="1"/>
  <c r="BZ431"/>
  <c r="BW431" s="1"/>
  <c r="AU409" i="4"/>
  <c r="AZ409"/>
  <c r="BB409" s="1"/>
  <c r="BD409"/>
  <c r="BE409" s="1"/>
  <c r="AV410"/>
  <c r="AY409"/>
  <c r="BA409" s="1"/>
  <c r="BF409"/>
  <c r="BG409" s="1"/>
  <c r="AW409"/>
  <c r="AZ407" i="5"/>
  <c r="BE407"/>
  <c r="BG407" s="1"/>
  <c r="BI407"/>
  <c r="BJ407" s="1"/>
  <c r="BA408"/>
  <c r="BB407"/>
  <c r="BK407"/>
  <c r="BL407" s="1"/>
  <c r="BD407"/>
  <c r="BF407" s="1"/>
  <c r="AN310" i="6" l="1"/>
  <c r="BD408" i="5"/>
  <c r="BF408" s="1"/>
  <c r="BE408"/>
  <c r="BG408" s="1"/>
  <c r="BI408"/>
  <c r="BJ408" s="1"/>
  <c r="BA409"/>
  <c r="AZ408"/>
  <c r="BK408"/>
  <c r="BL408" s="1"/>
  <c r="BB408"/>
  <c r="AY410" i="4"/>
  <c r="BA410" s="1"/>
  <c r="BF410"/>
  <c r="BG410" s="1"/>
  <c r="AZ410"/>
  <c r="BB410" s="1"/>
  <c r="AU410"/>
  <c r="AV411"/>
  <c r="AW410"/>
  <c r="BD410" s="1"/>
  <c r="BE410" s="1"/>
  <c r="AL397" i="12"/>
  <c r="AJ398"/>
  <c r="AO397"/>
  <c r="AN397"/>
  <c r="AK397"/>
  <c r="BZ432" i="6"/>
  <c r="BY433"/>
  <c r="BV432"/>
  <c r="BX432" s="1"/>
  <c r="BW432"/>
  <c r="AM311" l="1"/>
  <c r="BK409" i="5"/>
  <c r="BL409" s="1"/>
  <c r="AZ409"/>
  <c r="BE409"/>
  <c r="BG409" s="1"/>
  <c r="BD409"/>
  <c r="BF409" s="1"/>
  <c r="BI409"/>
  <c r="BJ409" s="1"/>
  <c r="BB409"/>
  <c r="BA410"/>
  <c r="BZ433" i="6"/>
  <c r="BY434"/>
  <c r="BV433"/>
  <c r="BX433" s="1"/>
  <c r="BW433"/>
  <c r="AJ399" i="12"/>
  <c r="AK398"/>
  <c r="AL398"/>
  <c r="AN398"/>
  <c r="AO398"/>
  <c r="BF411" i="4"/>
  <c r="BG411" s="1"/>
  <c r="AW411"/>
  <c r="AY411"/>
  <c r="BA411" s="1"/>
  <c r="AZ411"/>
  <c r="BB411" s="1"/>
  <c r="AV412"/>
  <c r="BD411"/>
  <c r="BE411" s="1"/>
  <c r="AU411"/>
  <c r="BB410" i="5" l="1"/>
  <c r="BA411"/>
  <c r="AZ410"/>
  <c r="BE410"/>
  <c r="BG410" s="1"/>
  <c r="BD410"/>
  <c r="BF410" s="1"/>
  <c r="BK410"/>
  <c r="BL410" s="1"/>
  <c r="BI410"/>
  <c r="BJ410" s="1"/>
  <c r="AN311" i="6"/>
  <c r="BZ434"/>
  <c r="BY435"/>
  <c r="BV434"/>
  <c r="BX434" s="1"/>
  <c r="BW434"/>
  <c r="AJ400" i="12"/>
  <c r="AL399"/>
  <c r="AK399"/>
  <c r="AO399"/>
  <c r="AN399"/>
  <c r="AW412" i="4"/>
  <c r="AU412"/>
  <c r="AZ412"/>
  <c r="BB412" s="1"/>
  <c r="BD412"/>
  <c r="BE412" s="1"/>
  <c r="AV413"/>
  <c r="BF412"/>
  <c r="BG412" s="1"/>
  <c r="AY412"/>
  <c r="BA412" s="1"/>
  <c r="AK400" i="12" l="1"/>
  <c r="AJ401"/>
  <c r="AL400"/>
  <c r="AN400"/>
  <c r="AO400"/>
  <c r="AZ411" i="5"/>
  <c r="BE411"/>
  <c r="BG411" s="1"/>
  <c r="BA412"/>
  <c r="BK411"/>
  <c r="BL411" s="1"/>
  <c r="BD411"/>
  <c r="BF411" s="1"/>
  <c r="BB411"/>
  <c r="BI411" s="1"/>
  <c r="BJ411" s="1"/>
  <c r="AU413" i="4"/>
  <c r="AZ413"/>
  <c r="BB413" s="1"/>
  <c r="AV414"/>
  <c r="AY413"/>
  <c r="BA413" s="1"/>
  <c r="AW413"/>
  <c r="BD413" s="1"/>
  <c r="BE413" s="1"/>
  <c r="BF413"/>
  <c r="BG413" s="1"/>
  <c r="BY436" i="6"/>
  <c r="BZ435"/>
  <c r="BW435" s="1"/>
  <c r="BV435"/>
  <c r="BX435" s="1"/>
  <c r="AM312"/>
  <c r="AL401" i="12" l="1"/>
  <c r="AJ402"/>
  <c r="AK401"/>
  <c r="AO401"/>
  <c r="AN401"/>
  <c r="BD412" i="5"/>
  <c r="BF412" s="1"/>
  <c r="BA413"/>
  <c r="BB412"/>
  <c r="BK412"/>
  <c r="BL412" s="1"/>
  <c r="BE412"/>
  <c r="BG412" s="1"/>
  <c r="BI412"/>
  <c r="BJ412" s="1"/>
  <c r="AZ412"/>
  <c r="AN312" i="6"/>
  <c r="BY437"/>
  <c r="BZ436"/>
  <c r="BV436"/>
  <c r="BX436" s="1"/>
  <c r="BW436"/>
  <c r="AY414" i="4"/>
  <c r="BA414" s="1"/>
  <c r="BF414"/>
  <c r="BG414" s="1"/>
  <c r="AW414"/>
  <c r="BD414" s="1"/>
  <c r="BE414" s="1"/>
  <c r="AZ414"/>
  <c r="BB414" s="1"/>
  <c r="AV415"/>
  <c r="AU414"/>
  <c r="AM313" i="6" l="1"/>
  <c r="AJ403" i="12"/>
  <c r="AL402"/>
  <c r="AK402"/>
  <c r="AN402"/>
  <c r="AO402"/>
  <c r="BZ437" i="6"/>
  <c r="BY438"/>
  <c r="BW437"/>
  <c r="BV437"/>
  <c r="BX437" s="1"/>
  <c r="BK413" i="5"/>
  <c r="BL413" s="1"/>
  <c r="BD413"/>
  <c r="BF413" s="1"/>
  <c r="BA414"/>
  <c r="AZ413"/>
  <c r="BE413"/>
  <c r="BG413" s="1"/>
  <c r="BB413"/>
  <c r="BI413" s="1"/>
  <c r="BJ413" s="1"/>
  <c r="BF415" i="4"/>
  <c r="BG415" s="1"/>
  <c r="AW415"/>
  <c r="BD415" s="1"/>
  <c r="BE415" s="1"/>
  <c r="AU415"/>
  <c r="AZ415"/>
  <c r="BB415" s="1"/>
  <c r="AY415"/>
  <c r="BA415" s="1"/>
  <c r="AV416"/>
  <c r="BZ438" i="6" l="1"/>
  <c r="BW438" s="1"/>
  <c r="BY439"/>
  <c r="BV438"/>
  <c r="BX438" s="1"/>
  <c r="AN313"/>
  <c r="AW416" i="4"/>
  <c r="AU416"/>
  <c r="AZ416"/>
  <c r="BB416" s="1"/>
  <c r="BD416"/>
  <c r="BE416" s="1"/>
  <c r="AV417"/>
  <c r="BF416"/>
  <c r="BG416" s="1"/>
  <c r="AY416"/>
  <c r="BA416" s="1"/>
  <c r="BB414" i="5"/>
  <c r="AZ414"/>
  <c r="BE414"/>
  <c r="BG414" s="1"/>
  <c r="BK414"/>
  <c r="BL414" s="1"/>
  <c r="BA415"/>
  <c r="BI414"/>
  <c r="BJ414" s="1"/>
  <c r="BD414"/>
  <c r="BF414" s="1"/>
  <c r="AL403" i="12"/>
  <c r="AK403"/>
  <c r="AO403"/>
  <c r="AN403"/>
  <c r="AJ404"/>
  <c r="AZ415" i="5" l="1"/>
  <c r="BE415"/>
  <c r="BG415" s="1"/>
  <c r="BA416"/>
  <c r="BD415"/>
  <c r="BF415" s="1"/>
  <c r="BK415"/>
  <c r="BL415" s="1"/>
  <c r="BB415"/>
  <c r="BI415" s="1"/>
  <c r="BJ415" s="1"/>
  <c r="AM314" i="6"/>
  <c r="BY440"/>
  <c r="BZ439"/>
  <c r="BW439" s="1"/>
  <c r="BV439"/>
  <c r="BX439" s="1"/>
  <c r="AU417" i="4"/>
  <c r="AZ417"/>
  <c r="BB417" s="1"/>
  <c r="AV418"/>
  <c r="AY417"/>
  <c r="BA417" s="1"/>
  <c r="BF417"/>
  <c r="BG417" s="1"/>
  <c r="AW417"/>
  <c r="BD417" s="1"/>
  <c r="BE417" s="1"/>
  <c r="AK404" i="12"/>
  <c r="AJ405"/>
  <c r="AL404"/>
  <c r="AN404"/>
  <c r="AO404"/>
  <c r="AL405" l="1"/>
  <c r="AK405"/>
  <c r="AO405"/>
  <c r="AJ406"/>
  <c r="AN405"/>
  <c r="AY418" i="4"/>
  <c r="BA418" s="1"/>
  <c r="BF418"/>
  <c r="BG418" s="1"/>
  <c r="AZ418"/>
  <c r="BB418" s="1"/>
  <c r="AU418"/>
  <c r="AV419"/>
  <c r="AW418"/>
  <c r="BD418" s="1"/>
  <c r="BE418" s="1"/>
  <c r="BZ440" i="6"/>
  <c r="BW440" s="1"/>
  <c r="BV440"/>
  <c r="BX440" s="1"/>
  <c r="BY441"/>
  <c r="AN314"/>
  <c r="BD416" i="5"/>
  <c r="BF416" s="1"/>
  <c r="BB416"/>
  <c r="BK416"/>
  <c r="BL416" s="1"/>
  <c r="AZ416"/>
  <c r="BA417"/>
  <c r="BI416"/>
  <c r="BJ416" s="1"/>
  <c r="BE416"/>
  <c r="BG416" s="1"/>
  <c r="BF419" i="4" l="1"/>
  <c r="BG419" s="1"/>
  <c r="AW419"/>
  <c r="AY419"/>
  <c r="BA419" s="1"/>
  <c r="AZ419"/>
  <c r="BB419" s="1"/>
  <c r="AV420"/>
  <c r="AU419"/>
  <c r="BD419"/>
  <c r="BE419" s="1"/>
  <c r="AM315" i="6"/>
  <c r="BZ441"/>
  <c r="BY442"/>
  <c r="BV441"/>
  <c r="BX441" s="1"/>
  <c r="BW441"/>
  <c r="BK417" i="5"/>
  <c r="BL417" s="1"/>
  <c r="BA418"/>
  <c r="BB417"/>
  <c r="BI417" s="1"/>
  <c r="BJ417" s="1"/>
  <c r="BE417"/>
  <c r="BG417" s="1"/>
  <c r="BD417"/>
  <c r="BF417" s="1"/>
  <c r="AZ417"/>
  <c r="AJ407" i="12"/>
  <c r="AL406"/>
  <c r="AK406"/>
  <c r="AN406"/>
  <c r="AO406"/>
  <c r="AW420" i="4" l="1"/>
  <c r="BD420" s="1"/>
  <c r="BE420" s="1"/>
  <c r="AU420"/>
  <c r="AZ420"/>
  <c r="BB420" s="1"/>
  <c r="AV421"/>
  <c r="AY420"/>
  <c r="BA420" s="1"/>
  <c r="BF420"/>
  <c r="BG420" s="1"/>
  <c r="BB418" i="5"/>
  <c r="BE418"/>
  <c r="BG418" s="1"/>
  <c r="BK418"/>
  <c r="BL418" s="1"/>
  <c r="BD418"/>
  <c r="BF418" s="1"/>
  <c r="BI418"/>
  <c r="BJ418" s="1"/>
  <c r="AZ418"/>
  <c r="BA419"/>
  <c r="BZ442" i="6"/>
  <c r="BY443"/>
  <c r="BW442"/>
  <c r="BV442"/>
  <c r="BX442" s="1"/>
  <c r="AK407" i="12"/>
  <c r="AO407"/>
  <c r="AN407"/>
  <c r="AL407"/>
  <c r="AJ408"/>
  <c r="AN315" i="6"/>
  <c r="AZ419" i="5" l="1"/>
  <c r="BE419"/>
  <c r="BG419" s="1"/>
  <c r="BA420"/>
  <c r="BB419"/>
  <c r="BI419" s="1"/>
  <c r="BJ419" s="1"/>
  <c r="BD419"/>
  <c r="BF419" s="1"/>
  <c r="BK419"/>
  <c r="BL419" s="1"/>
  <c r="AK408" i="12"/>
  <c r="AJ409"/>
  <c r="AL408"/>
  <c r="AO408"/>
  <c r="AN408"/>
  <c r="AU421" i="4"/>
  <c r="AZ421"/>
  <c r="BB421" s="1"/>
  <c r="AV422"/>
  <c r="AY421"/>
  <c r="BA421" s="1"/>
  <c r="AW421"/>
  <c r="BD421" s="1"/>
  <c r="BE421" s="1"/>
  <c r="BF421"/>
  <c r="BG421" s="1"/>
  <c r="AM316" i="6"/>
  <c r="BY444"/>
  <c r="BV443"/>
  <c r="BX443" s="1"/>
  <c r="BZ443"/>
  <c r="BW443"/>
  <c r="BV444" l="1"/>
  <c r="BX444" s="1"/>
  <c r="BY445"/>
  <c r="BZ444"/>
  <c r="BW444" s="1"/>
  <c r="AL409" i="12"/>
  <c r="AJ410"/>
  <c r="AO409"/>
  <c r="AK409"/>
  <c r="AN409"/>
  <c r="AN316" i="6"/>
  <c r="AY422" i="4"/>
  <c r="BA422" s="1"/>
  <c r="BF422"/>
  <c r="BG422" s="1"/>
  <c r="AW422"/>
  <c r="BD422"/>
  <c r="BE422" s="1"/>
  <c r="AZ422"/>
  <c r="BB422" s="1"/>
  <c r="AU422"/>
  <c r="AV423"/>
  <c r="BD420" i="5"/>
  <c r="BF420" s="1"/>
  <c r="AZ420"/>
  <c r="BE420"/>
  <c r="BG420" s="1"/>
  <c r="BB420"/>
  <c r="BI420" s="1"/>
  <c r="BJ420" s="1"/>
  <c r="BK420"/>
  <c r="BL420" s="1"/>
  <c r="BA421"/>
  <c r="BK421" l="1"/>
  <c r="BL421" s="1"/>
  <c r="BB421"/>
  <c r="AZ421"/>
  <c r="BE421"/>
  <c r="BG421" s="1"/>
  <c r="BD421"/>
  <c r="BF421" s="1"/>
  <c r="BA422"/>
  <c r="BI421"/>
  <c r="BJ421" s="1"/>
  <c r="BF423" i="4"/>
  <c r="BG423" s="1"/>
  <c r="AW423"/>
  <c r="BD423" s="1"/>
  <c r="BE423" s="1"/>
  <c r="AU423"/>
  <c r="AZ423"/>
  <c r="BB423" s="1"/>
  <c r="AY423"/>
  <c r="BA423" s="1"/>
  <c r="AV424"/>
  <c r="AM317" i="6"/>
  <c r="AJ411" i="12"/>
  <c r="AL410"/>
  <c r="AK410"/>
  <c r="AN410"/>
  <c r="AO410"/>
  <c r="BZ445" i="6"/>
  <c r="BV445"/>
  <c r="BX445" s="1"/>
  <c r="BW445"/>
  <c r="BY446"/>
  <c r="AW424" i="4" l="1"/>
  <c r="BD424" s="1"/>
  <c r="BE424" s="1"/>
  <c r="AU424"/>
  <c r="AZ424"/>
  <c r="BB424" s="1"/>
  <c r="AV425"/>
  <c r="BF424"/>
  <c r="BG424" s="1"/>
  <c r="AY424"/>
  <c r="BA424" s="1"/>
  <c r="BB422" i="5"/>
  <c r="BD422"/>
  <c r="BF422" s="1"/>
  <c r="BI422"/>
  <c r="BJ422" s="1"/>
  <c r="BA423"/>
  <c r="BK422"/>
  <c r="BL422" s="1"/>
  <c r="AZ422"/>
  <c r="BE422"/>
  <c r="BG422" s="1"/>
  <c r="BZ446" i="6"/>
  <c r="BY447"/>
  <c r="BW446"/>
  <c r="BV446"/>
  <c r="BX446" s="1"/>
  <c r="AJ412" i="12"/>
  <c r="AO411"/>
  <c r="AN411"/>
  <c r="AK411"/>
  <c r="AL411"/>
  <c r="AN317" i="6"/>
  <c r="AU425" i="4" l="1"/>
  <c r="AZ425"/>
  <c r="BB425" s="1"/>
  <c r="BD425"/>
  <c r="BE425" s="1"/>
  <c r="AV426"/>
  <c r="AY425"/>
  <c r="BA425" s="1"/>
  <c r="BF425"/>
  <c r="BG425" s="1"/>
  <c r="AW425"/>
  <c r="AK412" i="12"/>
  <c r="AL412"/>
  <c r="AJ413"/>
  <c r="AN412"/>
  <c r="AO412"/>
  <c r="AZ423" i="5"/>
  <c r="BE423"/>
  <c r="BG423" s="1"/>
  <c r="BA424"/>
  <c r="BB423"/>
  <c r="BI423" s="1"/>
  <c r="BJ423" s="1"/>
  <c r="BK423"/>
  <c r="BL423" s="1"/>
  <c r="BD423"/>
  <c r="BF423" s="1"/>
  <c r="AM318" i="6"/>
  <c r="BY448"/>
  <c r="BV447"/>
  <c r="BX447" s="1"/>
  <c r="BZ447"/>
  <c r="BW447"/>
  <c r="BZ448" l="1"/>
  <c r="BW448" s="1"/>
  <c r="BY449"/>
  <c r="BV448"/>
  <c r="BX448" s="1"/>
  <c r="AL413" i="12"/>
  <c r="AJ414"/>
  <c r="AK413"/>
  <c r="AO413"/>
  <c r="AN413"/>
  <c r="AN318" i="6"/>
  <c r="BD424" i="5"/>
  <c r="BF424" s="1"/>
  <c r="BE424"/>
  <c r="BG424" s="1"/>
  <c r="BA425"/>
  <c r="BB424"/>
  <c r="BI424" s="1"/>
  <c r="BJ424" s="1"/>
  <c r="AZ424"/>
  <c r="BK424"/>
  <c r="BL424" s="1"/>
  <c r="AY426" i="4"/>
  <c r="BA426" s="1"/>
  <c r="BF426"/>
  <c r="BG426" s="1"/>
  <c r="AZ426"/>
  <c r="BB426" s="1"/>
  <c r="AU426"/>
  <c r="AV427"/>
  <c r="BD426"/>
  <c r="BE426" s="1"/>
  <c r="AW426"/>
  <c r="BF427" l="1"/>
  <c r="BG427" s="1"/>
  <c r="AW427"/>
  <c r="AY427"/>
  <c r="BA427" s="1"/>
  <c r="AZ427"/>
  <c r="BB427" s="1"/>
  <c r="AV428"/>
  <c r="BD427"/>
  <c r="BE427" s="1"/>
  <c r="AU427"/>
  <c r="AM319" i="6"/>
  <c r="AJ415" i="12"/>
  <c r="AK414"/>
  <c r="AN414"/>
  <c r="AO414"/>
  <c r="AL414"/>
  <c r="BZ449" i="6"/>
  <c r="BW449" s="1"/>
  <c r="BY450"/>
  <c r="BV449"/>
  <c r="BX449" s="1"/>
  <c r="BK425" i="5"/>
  <c r="BL425" s="1"/>
  <c r="AZ425"/>
  <c r="BE425"/>
  <c r="BG425" s="1"/>
  <c r="BD425"/>
  <c r="BF425" s="1"/>
  <c r="BI425"/>
  <c r="BJ425" s="1"/>
  <c r="BA426"/>
  <c r="BB425"/>
  <c r="AW428" i="4" l="1"/>
  <c r="AU428"/>
  <c r="AZ428"/>
  <c r="BB428" s="1"/>
  <c r="BD428"/>
  <c r="BE428" s="1"/>
  <c r="AV429"/>
  <c r="BF428"/>
  <c r="BG428" s="1"/>
  <c r="AY428"/>
  <c r="BA428" s="1"/>
  <c r="AJ416" i="12"/>
  <c r="AL415"/>
  <c r="AO415"/>
  <c r="AN415"/>
  <c r="AK415"/>
  <c r="BB426" i="5"/>
  <c r="BA427"/>
  <c r="AZ426"/>
  <c r="BI426"/>
  <c r="BJ426" s="1"/>
  <c r="BE426"/>
  <c r="BG426" s="1"/>
  <c r="BD426"/>
  <c r="BF426" s="1"/>
  <c r="BK426"/>
  <c r="BL426" s="1"/>
  <c r="BZ450" i="6"/>
  <c r="BY451"/>
  <c r="BV450"/>
  <c r="BX450" s="1"/>
  <c r="BW450"/>
  <c r="AN319"/>
  <c r="AZ427" i="5" l="1"/>
  <c r="BE427"/>
  <c r="BG427" s="1"/>
  <c r="BI427"/>
  <c r="BJ427" s="1"/>
  <c r="BA428"/>
  <c r="BK427"/>
  <c r="BL427" s="1"/>
  <c r="BD427"/>
  <c r="BF427" s="1"/>
  <c r="BB427"/>
  <c r="BY452" i="6"/>
  <c r="BV451"/>
  <c r="BX451" s="1"/>
  <c r="BZ451"/>
  <c r="BW451" s="1"/>
  <c r="AU429" i="4"/>
  <c r="AZ429"/>
  <c r="BB429" s="1"/>
  <c r="BD429"/>
  <c r="BE429" s="1"/>
  <c r="AV430"/>
  <c r="AY429"/>
  <c r="BA429" s="1"/>
  <c r="AW429"/>
  <c r="BF429"/>
  <c r="BG429" s="1"/>
  <c r="AM320" i="6"/>
  <c r="AK416" i="12"/>
  <c r="AJ417"/>
  <c r="AL416"/>
  <c r="AN416"/>
  <c r="AO416"/>
  <c r="AN320" i="6" l="1"/>
  <c r="AY430" i="4"/>
  <c r="BA430" s="1"/>
  <c r="BF430"/>
  <c r="BG430" s="1"/>
  <c r="AW430"/>
  <c r="BD430"/>
  <c r="BE430" s="1"/>
  <c r="AZ430"/>
  <c r="BB430" s="1"/>
  <c r="AV431"/>
  <c r="AU430"/>
  <c r="AL417" i="12"/>
  <c r="AJ418"/>
  <c r="AK417"/>
  <c r="AO417"/>
  <c r="AN417"/>
  <c r="BY453" i="6"/>
  <c r="BV452"/>
  <c r="BX452" s="1"/>
  <c r="BZ452"/>
  <c r="BW452" s="1"/>
  <c r="BD428" i="5"/>
  <c r="BF428" s="1"/>
  <c r="BA429"/>
  <c r="BB428"/>
  <c r="BK428"/>
  <c r="BL428" s="1"/>
  <c r="BI428"/>
  <c r="BJ428" s="1"/>
  <c r="AZ428"/>
  <c r="BE428"/>
  <c r="BG428" s="1"/>
  <c r="AM321" i="6" l="1"/>
  <c r="BZ453"/>
  <c r="BW453" s="1"/>
  <c r="BY454"/>
  <c r="BV453"/>
  <c r="BX453" s="1"/>
  <c r="AJ419" i="12"/>
  <c r="AK418"/>
  <c r="AN418"/>
  <c r="AL418"/>
  <c r="AO418"/>
  <c r="BK429" i="5"/>
  <c r="BL429" s="1"/>
  <c r="BD429"/>
  <c r="BF429" s="1"/>
  <c r="BI429"/>
  <c r="BJ429" s="1"/>
  <c r="BA430"/>
  <c r="BB429"/>
  <c r="AZ429"/>
  <c r="BE429"/>
  <c r="BG429" s="1"/>
  <c r="BF431" i="4"/>
  <c r="BG431" s="1"/>
  <c r="AW431"/>
  <c r="AU431"/>
  <c r="BD431"/>
  <c r="BE431" s="1"/>
  <c r="AZ431"/>
  <c r="BB431" s="1"/>
  <c r="AY431"/>
  <c r="BA431" s="1"/>
  <c r="AV432"/>
  <c r="AW432" l="1"/>
  <c r="AU432"/>
  <c r="AZ432"/>
  <c r="BB432" s="1"/>
  <c r="BD432"/>
  <c r="BE432" s="1"/>
  <c r="AV433"/>
  <c r="BF432"/>
  <c r="BG432" s="1"/>
  <c r="AY432"/>
  <c r="BA432" s="1"/>
  <c r="AN321" i="6"/>
  <c r="BB430" i="5"/>
  <c r="AZ430"/>
  <c r="BE430"/>
  <c r="BG430" s="1"/>
  <c r="BK430"/>
  <c r="BL430" s="1"/>
  <c r="BD430"/>
  <c r="BF430" s="1"/>
  <c r="BI430"/>
  <c r="BJ430" s="1"/>
  <c r="BA431"/>
  <c r="AL419" i="12"/>
  <c r="AK419"/>
  <c r="AO419"/>
  <c r="AJ420"/>
  <c r="AN419"/>
  <c r="BZ454" i="6"/>
  <c r="BY455"/>
  <c r="BV454"/>
  <c r="BX454" s="1"/>
  <c r="BW454"/>
  <c r="AM322" l="1"/>
  <c r="AU433" i="4"/>
  <c r="AZ433"/>
  <c r="BB433" s="1"/>
  <c r="BD433"/>
  <c r="BE433" s="1"/>
  <c r="AV434"/>
  <c r="AY433"/>
  <c r="BA433" s="1"/>
  <c r="BF433"/>
  <c r="BG433" s="1"/>
  <c r="AW433"/>
  <c r="AK420" i="12"/>
  <c r="AJ421"/>
  <c r="AL420"/>
  <c r="AN420"/>
  <c r="AO420"/>
  <c r="AZ431" i="5"/>
  <c r="BE431"/>
  <c r="BG431" s="1"/>
  <c r="BI431"/>
  <c r="BJ431" s="1"/>
  <c r="BA432"/>
  <c r="BD431"/>
  <c r="BF431" s="1"/>
  <c r="BK431"/>
  <c r="BL431" s="1"/>
  <c r="BB431"/>
  <c r="BY456" i="6"/>
  <c r="BV455"/>
  <c r="BX455" s="1"/>
  <c r="BZ455"/>
  <c r="BW455"/>
  <c r="AN322" l="1"/>
  <c r="BZ456"/>
  <c r="BV456"/>
  <c r="BX456" s="1"/>
  <c r="BW456"/>
  <c r="BY457"/>
  <c r="BD432" i="5"/>
  <c r="BF432" s="1"/>
  <c r="BB432"/>
  <c r="BK432"/>
  <c r="BL432" s="1"/>
  <c r="AZ432"/>
  <c r="BE432"/>
  <c r="BG432" s="1"/>
  <c r="BI432"/>
  <c r="BJ432" s="1"/>
  <c r="BA433"/>
  <c r="AY434" i="4"/>
  <c r="BA434" s="1"/>
  <c r="BF434"/>
  <c r="BG434" s="1"/>
  <c r="AZ434"/>
  <c r="BB434" s="1"/>
  <c r="AU434"/>
  <c r="AV435"/>
  <c r="AW434"/>
  <c r="BD434"/>
  <c r="BE434" s="1"/>
  <c r="AL421" i="12"/>
  <c r="AK421"/>
  <c r="AO421"/>
  <c r="AN421"/>
  <c r="AJ422"/>
  <c r="BK433" i="5" l="1"/>
  <c r="BL433" s="1"/>
  <c r="BA434"/>
  <c r="BB433"/>
  <c r="BI433"/>
  <c r="BJ433" s="1"/>
  <c r="AZ433"/>
  <c r="BD433"/>
  <c r="BF433" s="1"/>
  <c r="BE433"/>
  <c r="BG433" s="1"/>
  <c r="BZ457" i="6"/>
  <c r="BY458"/>
  <c r="BV457"/>
  <c r="BX457" s="1"/>
  <c r="BW457"/>
  <c r="AJ423" i="12"/>
  <c r="AL422"/>
  <c r="AN422"/>
  <c r="AO422"/>
  <c r="AK422"/>
  <c r="AM323" i="6"/>
  <c r="BF435" i="4"/>
  <c r="BG435" s="1"/>
  <c r="AW435"/>
  <c r="AY435"/>
  <c r="BA435" s="1"/>
  <c r="AZ435"/>
  <c r="BB435" s="1"/>
  <c r="AV436"/>
  <c r="AU435"/>
  <c r="BD435"/>
  <c r="BE435" s="1"/>
  <c r="BB434" i="5" l="1"/>
  <c r="BE434"/>
  <c r="BG434" s="1"/>
  <c r="BK434"/>
  <c r="BL434" s="1"/>
  <c r="BD434"/>
  <c r="BF434" s="1"/>
  <c r="BI434"/>
  <c r="BJ434" s="1"/>
  <c r="BA435"/>
  <c r="AZ434"/>
  <c r="AN323" i="6"/>
  <c r="BZ458"/>
  <c r="BY459"/>
  <c r="BV458"/>
  <c r="BX458" s="1"/>
  <c r="BW458"/>
  <c r="AW436" i="4"/>
  <c r="AU436"/>
  <c r="AZ436"/>
  <c r="BB436" s="1"/>
  <c r="BD436"/>
  <c r="BE436" s="1"/>
  <c r="AV437"/>
  <c r="AY436"/>
  <c r="BA436" s="1"/>
  <c r="BF436"/>
  <c r="BG436" s="1"/>
  <c r="AK423" i="12"/>
  <c r="AJ424"/>
  <c r="AO423"/>
  <c r="AL423"/>
  <c r="AN423"/>
  <c r="AK424" l="1"/>
  <c r="AJ425"/>
  <c r="AL424"/>
  <c r="AN424"/>
  <c r="AO424"/>
  <c r="AU437" i="4"/>
  <c r="AZ437"/>
  <c r="BB437" s="1"/>
  <c r="BD437"/>
  <c r="BE437" s="1"/>
  <c r="AV438"/>
  <c r="AY437"/>
  <c r="BA437" s="1"/>
  <c r="AW437"/>
  <c r="BF437"/>
  <c r="BG437" s="1"/>
  <c r="AZ435" i="5"/>
  <c r="BE435"/>
  <c r="BG435" s="1"/>
  <c r="BI435"/>
  <c r="BJ435" s="1"/>
  <c r="BA436"/>
  <c r="BB435"/>
  <c r="BK435"/>
  <c r="BL435" s="1"/>
  <c r="BD435"/>
  <c r="BF435" s="1"/>
  <c r="BY460" i="6"/>
  <c r="BZ459"/>
  <c r="BW459" s="1"/>
  <c r="BV459"/>
  <c r="BX459" s="1"/>
  <c r="AM324"/>
  <c r="AY438" i="4" l="1"/>
  <c r="BA438" s="1"/>
  <c r="BF438"/>
  <c r="BG438" s="1"/>
  <c r="AW438"/>
  <c r="BD438"/>
  <c r="BE438" s="1"/>
  <c r="AZ438"/>
  <c r="BB438" s="1"/>
  <c r="AU438"/>
  <c r="AV439"/>
  <c r="AL425" i="12"/>
  <c r="AO425"/>
  <c r="AN425"/>
  <c r="AK425"/>
  <c r="AJ426"/>
  <c r="AN324" i="6"/>
  <c r="BV460"/>
  <c r="BX460" s="1"/>
  <c r="BY461"/>
  <c r="BZ460"/>
  <c r="BW460" s="1"/>
  <c r="BD436" i="5"/>
  <c r="BF436" s="1"/>
  <c r="AZ436"/>
  <c r="BE436"/>
  <c r="BG436" s="1"/>
  <c r="BI436"/>
  <c r="BJ436" s="1"/>
  <c r="BA437"/>
  <c r="BK436"/>
  <c r="BL436" s="1"/>
  <c r="BB436"/>
  <c r="AM325" i="6" l="1"/>
  <c r="BF439" i="4"/>
  <c r="BG439" s="1"/>
  <c r="AW439"/>
  <c r="AU439"/>
  <c r="BD439"/>
  <c r="BE439" s="1"/>
  <c r="AZ439"/>
  <c r="BB439" s="1"/>
  <c r="AY439"/>
  <c r="BA439" s="1"/>
  <c r="AV440"/>
  <c r="BK437" i="5"/>
  <c r="BL437" s="1"/>
  <c r="BB437"/>
  <c r="AZ437"/>
  <c r="BE437"/>
  <c r="BG437" s="1"/>
  <c r="BA438"/>
  <c r="BI437"/>
  <c r="BJ437" s="1"/>
  <c r="BD437"/>
  <c r="BF437" s="1"/>
  <c r="BZ461" i="6"/>
  <c r="BW461" s="1"/>
  <c r="BV461"/>
  <c r="BX461" s="1"/>
  <c r="BY462"/>
  <c r="AJ427" i="12"/>
  <c r="AL426"/>
  <c r="AK426"/>
  <c r="AN426"/>
  <c r="AO426"/>
  <c r="AW440" i="4" l="1"/>
  <c r="AU440"/>
  <c r="AZ440"/>
  <c r="BB440" s="1"/>
  <c r="BD440"/>
  <c r="BE440" s="1"/>
  <c r="AV441"/>
  <c r="BF440"/>
  <c r="BG440" s="1"/>
  <c r="AY440"/>
  <c r="BA440" s="1"/>
  <c r="AN325" i="6"/>
  <c r="BB438" i="5"/>
  <c r="BD438"/>
  <c r="BF438" s="1"/>
  <c r="BI438"/>
  <c r="BJ438" s="1"/>
  <c r="BA439"/>
  <c r="BE438"/>
  <c r="BG438" s="1"/>
  <c r="AZ438"/>
  <c r="BK438"/>
  <c r="BL438" s="1"/>
  <c r="AJ428" i="12"/>
  <c r="AL427"/>
  <c r="AO427"/>
  <c r="AK427"/>
  <c r="AN427"/>
  <c r="BZ462" i="6"/>
  <c r="BW462" s="1"/>
  <c r="BY463"/>
  <c r="BV462"/>
  <c r="BX462" s="1"/>
  <c r="AZ439" i="5" l="1"/>
  <c r="BE439"/>
  <c r="BG439" s="1"/>
  <c r="BI439"/>
  <c r="BJ439" s="1"/>
  <c r="BA440"/>
  <c r="BB439"/>
  <c r="BK439"/>
  <c r="BL439" s="1"/>
  <c r="BD439"/>
  <c r="BF439" s="1"/>
  <c r="AK428" i="12"/>
  <c r="AL428"/>
  <c r="AN428"/>
  <c r="AO428"/>
  <c r="AJ429"/>
  <c r="AU441" i="4"/>
  <c r="AZ441"/>
  <c r="BB441" s="1"/>
  <c r="BD441"/>
  <c r="BE441" s="1"/>
  <c r="AV442"/>
  <c r="AY441"/>
  <c r="BA441" s="1"/>
  <c r="BF441"/>
  <c r="BG441" s="1"/>
  <c r="AW441"/>
  <c r="BY464" i="6"/>
  <c r="BZ463"/>
  <c r="BW463" s="1"/>
  <c r="BV463"/>
  <c r="BX463" s="1"/>
  <c r="AM326"/>
  <c r="AN326" l="1"/>
  <c r="BZ464"/>
  <c r="BY465"/>
  <c r="BV464"/>
  <c r="BX464" s="1"/>
  <c r="BW464"/>
  <c r="AY442" i="4"/>
  <c r="BA442" s="1"/>
  <c r="BF442"/>
  <c r="BG442" s="1"/>
  <c r="AZ442"/>
  <c r="BB442" s="1"/>
  <c r="AU442"/>
  <c r="AV443"/>
  <c r="BD442"/>
  <c r="BE442" s="1"/>
  <c r="AW442"/>
  <c r="AL429" i="12"/>
  <c r="AJ430"/>
  <c r="AO429"/>
  <c r="AN429"/>
  <c r="AK429"/>
  <c r="BD440" i="5"/>
  <c r="BF440" s="1"/>
  <c r="BE440"/>
  <c r="BG440" s="1"/>
  <c r="BI440"/>
  <c r="BJ440" s="1"/>
  <c r="BA441"/>
  <c r="AZ440"/>
  <c r="BK440"/>
  <c r="BL440" s="1"/>
  <c r="BB440"/>
  <c r="AM327" i="6" l="1"/>
  <c r="BK441" i="5"/>
  <c r="BL441" s="1"/>
  <c r="AZ441"/>
  <c r="BE441"/>
  <c r="BG441" s="1"/>
  <c r="BD441"/>
  <c r="BF441" s="1"/>
  <c r="BI441"/>
  <c r="BJ441" s="1"/>
  <c r="BB441"/>
  <c r="BA442"/>
  <c r="AJ431" i="12"/>
  <c r="AK430"/>
  <c r="AL430"/>
  <c r="AN430"/>
  <c r="AO430"/>
  <c r="BF443" i="4"/>
  <c r="BG443" s="1"/>
  <c r="AW443"/>
  <c r="AY443"/>
  <c r="BA443" s="1"/>
  <c r="AZ443"/>
  <c r="BB443" s="1"/>
  <c r="AV444"/>
  <c r="BD443"/>
  <c r="BE443" s="1"/>
  <c r="AU443"/>
  <c r="BZ465" i="6"/>
  <c r="BY466"/>
  <c r="BV465"/>
  <c r="BX465" s="1"/>
  <c r="BW465"/>
  <c r="BB442" i="5" l="1"/>
  <c r="BA443"/>
  <c r="AZ442"/>
  <c r="BE442"/>
  <c r="BG442" s="1"/>
  <c r="BD442"/>
  <c r="BF442" s="1"/>
  <c r="BK442"/>
  <c r="BL442" s="1"/>
  <c r="BI442"/>
  <c r="BJ442" s="1"/>
  <c r="AN327" i="6"/>
  <c r="AJ432" i="12"/>
  <c r="AL431"/>
  <c r="AK431"/>
  <c r="AO431"/>
  <c r="AN431"/>
  <c r="BZ466" i="6"/>
  <c r="BW466" s="1"/>
  <c r="BY467"/>
  <c r="BV466"/>
  <c r="BX466" s="1"/>
  <c r="AW444" i="4"/>
  <c r="AU444"/>
  <c r="AZ444"/>
  <c r="BB444" s="1"/>
  <c r="BD444"/>
  <c r="BE444" s="1"/>
  <c r="AV445"/>
  <c r="BF444"/>
  <c r="BG444" s="1"/>
  <c r="AY444"/>
  <c r="BA444" s="1"/>
  <c r="AK432" i="12" l="1"/>
  <c r="AL432"/>
  <c r="AJ433"/>
  <c r="AN432"/>
  <c r="AO432"/>
  <c r="AZ443" i="5"/>
  <c r="BE443"/>
  <c r="BG443" s="1"/>
  <c r="BI443"/>
  <c r="BJ443" s="1"/>
  <c r="BA444"/>
  <c r="BK443"/>
  <c r="BL443" s="1"/>
  <c r="BD443"/>
  <c r="BF443" s="1"/>
  <c r="BB443"/>
  <c r="AU445" i="4"/>
  <c r="AZ445"/>
  <c r="BB445" s="1"/>
  <c r="BD445"/>
  <c r="BE445" s="1"/>
  <c r="AV446"/>
  <c r="AY445"/>
  <c r="BA445" s="1"/>
  <c r="AW445"/>
  <c r="BF445"/>
  <c r="BG445" s="1"/>
  <c r="BY468" i="6"/>
  <c r="BZ467"/>
  <c r="BW467" s="1"/>
  <c r="BV467"/>
  <c r="BX467" s="1"/>
  <c r="AM328"/>
  <c r="BD444" i="5" l="1"/>
  <c r="BF444" s="1"/>
  <c r="BA445"/>
  <c r="BB444"/>
  <c r="BK444"/>
  <c r="BL444" s="1"/>
  <c r="BE444"/>
  <c r="BG444" s="1"/>
  <c r="BI444"/>
  <c r="BJ444" s="1"/>
  <c r="AZ444"/>
  <c r="AL433" i="12"/>
  <c r="AJ434"/>
  <c r="AK433"/>
  <c r="AO433"/>
  <c r="AN433"/>
  <c r="AN328" i="6"/>
  <c r="BY469"/>
  <c r="BZ468"/>
  <c r="BV468"/>
  <c r="BX468" s="1"/>
  <c r="BW468"/>
  <c r="AY446" i="4"/>
  <c r="BA446" s="1"/>
  <c r="BF446"/>
  <c r="BG446" s="1"/>
  <c r="AW446"/>
  <c r="BD446"/>
  <c r="BE446" s="1"/>
  <c r="AU446"/>
  <c r="AZ446"/>
  <c r="BB446" s="1"/>
  <c r="AV447"/>
  <c r="BK445" i="5" l="1"/>
  <c r="BL445" s="1"/>
  <c r="BD445"/>
  <c r="BF445" s="1"/>
  <c r="BI445"/>
  <c r="BJ445" s="1"/>
  <c r="BA446"/>
  <c r="AZ445"/>
  <c r="BE445"/>
  <c r="BG445" s="1"/>
  <c r="BB445"/>
  <c r="BZ469" i="6"/>
  <c r="BV469"/>
  <c r="BX469" s="1"/>
  <c r="BY470"/>
  <c r="BW469"/>
  <c r="BF447" i="4"/>
  <c r="BG447" s="1"/>
  <c r="AW447"/>
  <c r="AU447"/>
  <c r="BD447"/>
  <c r="BE447" s="1"/>
  <c r="AZ447"/>
  <c r="BB447" s="1"/>
  <c r="AY447"/>
  <c r="BA447" s="1"/>
  <c r="AV448"/>
  <c r="AM329" i="6"/>
  <c r="AJ435" i="12"/>
  <c r="AL434"/>
  <c r="AK434"/>
  <c r="AN434"/>
  <c r="AO434"/>
  <c r="AL435" l="1"/>
  <c r="AK435"/>
  <c r="AO435"/>
  <c r="AN435"/>
  <c r="AJ436"/>
  <c r="AW448" i="4"/>
  <c r="AU448"/>
  <c r="AZ448"/>
  <c r="BB448" s="1"/>
  <c r="BD448"/>
  <c r="BE448" s="1"/>
  <c r="AV449"/>
  <c r="BF448"/>
  <c r="BG448" s="1"/>
  <c r="AY448"/>
  <c r="BA448" s="1"/>
  <c r="BZ470" i="6"/>
  <c r="BW470" s="1"/>
  <c r="BY471"/>
  <c r="BV470"/>
  <c r="BX470" s="1"/>
  <c r="AN329"/>
  <c r="BB446" i="5"/>
  <c r="AZ446"/>
  <c r="BE446"/>
  <c r="BG446" s="1"/>
  <c r="BK446"/>
  <c r="BL446" s="1"/>
  <c r="BA447"/>
  <c r="BI446"/>
  <c r="BJ446" s="1"/>
  <c r="BD446"/>
  <c r="BF446" s="1"/>
  <c r="AM330" i="6" l="1"/>
  <c r="BY472"/>
  <c r="BV471"/>
  <c r="BX471" s="1"/>
  <c r="BW471"/>
  <c r="BZ471"/>
  <c r="AU449" i="4"/>
  <c r="AZ449"/>
  <c r="BB449" s="1"/>
  <c r="BD449"/>
  <c r="BE449" s="1"/>
  <c r="AV450"/>
  <c r="AY449"/>
  <c r="BA449" s="1"/>
  <c r="BF449"/>
  <c r="BG449" s="1"/>
  <c r="AW449"/>
  <c r="AK436" i="12"/>
  <c r="AJ437"/>
  <c r="AN436"/>
  <c r="AO436"/>
  <c r="AL436"/>
  <c r="AZ447" i="5"/>
  <c r="BE447"/>
  <c r="BG447" s="1"/>
  <c r="BI447"/>
  <c r="BJ447" s="1"/>
  <c r="BA448"/>
  <c r="BD447"/>
  <c r="BF447" s="1"/>
  <c r="BB447"/>
  <c r="BK447"/>
  <c r="BL447" s="1"/>
  <c r="AN330" i="6" l="1"/>
  <c r="BD448" i="5"/>
  <c r="BF448" s="1"/>
  <c r="BB448"/>
  <c r="BK448"/>
  <c r="BL448" s="1"/>
  <c r="AZ448"/>
  <c r="BA449"/>
  <c r="BI448"/>
  <c r="BJ448" s="1"/>
  <c r="BE448"/>
  <c r="BG448" s="1"/>
  <c r="AY450" i="4"/>
  <c r="BA450" s="1"/>
  <c r="BF450"/>
  <c r="BG450" s="1"/>
  <c r="AZ450"/>
  <c r="BB450" s="1"/>
  <c r="AU450"/>
  <c r="AV451"/>
  <c r="AW450"/>
  <c r="BD450"/>
  <c r="BE450" s="1"/>
  <c r="AL437" i="12"/>
  <c r="AK437"/>
  <c r="AO437"/>
  <c r="AJ438"/>
  <c r="AN437"/>
  <c r="BZ472" i="6"/>
  <c r="BY473"/>
  <c r="BV472"/>
  <c r="BX472" s="1"/>
  <c r="BW472"/>
  <c r="AM331" l="1"/>
  <c r="BF451" i="4"/>
  <c r="BG451" s="1"/>
  <c r="AW451"/>
  <c r="AY451"/>
  <c r="BA451" s="1"/>
  <c r="AZ451"/>
  <c r="BB451" s="1"/>
  <c r="AV452"/>
  <c r="BD451"/>
  <c r="BE451" s="1"/>
  <c r="AU451"/>
  <c r="BZ473" i="6"/>
  <c r="BY474"/>
  <c r="BV473"/>
  <c r="BX473" s="1"/>
  <c r="BW473"/>
  <c r="BK449" i="5"/>
  <c r="BL449" s="1"/>
  <c r="BA450"/>
  <c r="BB449"/>
  <c r="BE449"/>
  <c r="BG449" s="1"/>
  <c r="BD449"/>
  <c r="BF449" s="1"/>
  <c r="BI449"/>
  <c r="BJ449" s="1"/>
  <c r="AZ449"/>
  <c r="AJ439" i="12"/>
  <c r="AL438"/>
  <c r="AK438"/>
  <c r="AN438"/>
  <c r="AO438"/>
  <c r="AK439" l="1"/>
  <c r="AO439"/>
  <c r="AN439"/>
  <c r="AL439"/>
  <c r="AJ440"/>
  <c r="BB450" i="5"/>
  <c r="BE450"/>
  <c r="BG450" s="1"/>
  <c r="BK450"/>
  <c r="BL450" s="1"/>
  <c r="BD450"/>
  <c r="BF450" s="1"/>
  <c r="BI450"/>
  <c r="BJ450" s="1"/>
  <c r="AZ450"/>
  <c r="BA451"/>
  <c r="BZ474" i="6"/>
  <c r="BW474" s="1"/>
  <c r="BY475"/>
  <c r="BV474"/>
  <c r="BX474" s="1"/>
  <c r="AW452" i="4"/>
  <c r="AU452"/>
  <c r="AZ452"/>
  <c r="BB452" s="1"/>
  <c r="BD452"/>
  <c r="BE452" s="1"/>
  <c r="AV453"/>
  <c r="AY452"/>
  <c r="BA452" s="1"/>
  <c r="BF452"/>
  <c r="BG452" s="1"/>
  <c r="AN331" i="6"/>
  <c r="BY476" l="1"/>
  <c r="BZ475"/>
  <c r="BW475" s="1"/>
  <c r="BV475"/>
  <c r="BX475" s="1"/>
  <c r="AK440" i="12"/>
  <c r="AJ441"/>
  <c r="AL440"/>
  <c r="AO440"/>
  <c r="AN440"/>
  <c r="AU453" i="4"/>
  <c r="AZ453"/>
  <c r="BB453" s="1"/>
  <c r="BD453"/>
  <c r="BE453" s="1"/>
  <c r="AV454"/>
  <c r="AY453"/>
  <c r="BA453" s="1"/>
  <c r="AW453"/>
  <c r="BF453"/>
  <c r="BG453" s="1"/>
  <c r="AM332" i="6"/>
  <c r="AZ451" i="5"/>
  <c r="BE451"/>
  <c r="BG451" s="1"/>
  <c r="BI451"/>
  <c r="BJ451" s="1"/>
  <c r="BA452"/>
  <c r="BB451"/>
  <c r="BD451"/>
  <c r="BF451" s="1"/>
  <c r="BK451"/>
  <c r="BL451" s="1"/>
  <c r="BV476" i="6" l="1"/>
  <c r="BX476" s="1"/>
  <c r="BY477"/>
  <c r="BZ476"/>
  <c r="BW476" s="1"/>
  <c r="BD452" i="5"/>
  <c r="BF452" s="1"/>
  <c r="AZ452"/>
  <c r="BE452"/>
  <c r="BG452" s="1"/>
  <c r="BI452"/>
  <c r="BJ452" s="1"/>
  <c r="BB452"/>
  <c r="BK452"/>
  <c r="BL452" s="1"/>
  <c r="BA453"/>
  <c r="AL441" i="12"/>
  <c r="AJ442"/>
  <c r="AO441"/>
  <c r="AK441"/>
  <c r="AN441"/>
  <c r="AN332" i="6"/>
  <c r="AY454" i="4"/>
  <c r="BA454" s="1"/>
  <c r="BF454"/>
  <c r="BG454" s="1"/>
  <c r="AW454"/>
  <c r="BD454"/>
  <c r="BE454" s="1"/>
  <c r="AV455"/>
  <c r="AU454"/>
  <c r="AZ454"/>
  <c r="BB454" s="1"/>
  <c r="BZ477" i="6" l="1"/>
  <c r="BW477" s="1"/>
  <c r="BV477"/>
  <c r="BX477" s="1"/>
  <c r="BY478"/>
  <c r="BF455" i="4"/>
  <c r="BG455" s="1"/>
  <c r="AW455"/>
  <c r="AU455"/>
  <c r="BD455"/>
  <c r="BE455" s="1"/>
  <c r="AY455"/>
  <c r="BA455" s="1"/>
  <c r="AV456"/>
  <c r="AZ455"/>
  <c r="BB455" s="1"/>
  <c r="BK453" i="5"/>
  <c r="BL453" s="1"/>
  <c r="BB453"/>
  <c r="AZ453"/>
  <c r="BE453"/>
  <c r="BG453" s="1"/>
  <c r="BD453"/>
  <c r="BF453" s="1"/>
  <c r="BI453"/>
  <c r="BJ453" s="1"/>
  <c r="BA454"/>
  <c r="AM333" i="6"/>
  <c r="AJ443" i="12"/>
  <c r="AL442"/>
  <c r="AK442"/>
  <c r="AN442"/>
  <c r="AO442"/>
  <c r="BB454" i="5" l="1"/>
  <c r="BD454"/>
  <c r="BF454" s="1"/>
  <c r="BI454"/>
  <c r="BJ454" s="1"/>
  <c r="BA455"/>
  <c r="BK454"/>
  <c r="BL454" s="1"/>
  <c r="AZ454"/>
  <c r="BE454"/>
  <c r="BG454" s="1"/>
  <c r="AW456" i="4"/>
  <c r="AU456"/>
  <c r="AZ456"/>
  <c r="BB456" s="1"/>
  <c r="BD456"/>
  <c r="BE456" s="1"/>
  <c r="AV457"/>
  <c r="BF456"/>
  <c r="BG456" s="1"/>
  <c r="AY456"/>
  <c r="BA456" s="1"/>
  <c r="AJ444" i="12"/>
  <c r="AO443"/>
  <c r="AN443"/>
  <c r="AL443"/>
  <c r="AK443"/>
  <c r="AN333" i="6"/>
  <c r="BZ478"/>
  <c r="BY479"/>
  <c r="BV478"/>
  <c r="BX478" s="1"/>
  <c r="BW478"/>
  <c r="BY480" l="1"/>
  <c r="BV479"/>
  <c r="BX479" s="1"/>
  <c r="BZ479"/>
  <c r="BW479" s="1"/>
  <c r="AK444" i="12"/>
  <c r="AL444"/>
  <c r="AJ445"/>
  <c r="AN444"/>
  <c r="AO444"/>
  <c r="AM334" i="6"/>
  <c r="AU457" i="4"/>
  <c r="AZ457"/>
  <c r="BB457" s="1"/>
  <c r="BD457"/>
  <c r="BE457" s="1"/>
  <c r="AV458"/>
  <c r="AY457"/>
  <c r="BA457" s="1"/>
  <c r="BF457"/>
  <c r="BG457" s="1"/>
  <c r="AW457"/>
  <c r="AZ455" i="5"/>
  <c r="BE455"/>
  <c r="BG455" s="1"/>
  <c r="BI455"/>
  <c r="BJ455" s="1"/>
  <c r="BA456"/>
  <c r="BB455"/>
  <c r="BK455"/>
  <c r="BL455" s="1"/>
  <c r="BD455"/>
  <c r="BF455" s="1"/>
  <c r="BZ480" i="6" l="1"/>
  <c r="BW480" s="1"/>
  <c r="BY481"/>
  <c r="BV480"/>
  <c r="BX480" s="1"/>
  <c r="BD456" i="5"/>
  <c r="BF456" s="1"/>
  <c r="BE456"/>
  <c r="BG456" s="1"/>
  <c r="BI456"/>
  <c r="BJ456" s="1"/>
  <c r="BA457"/>
  <c r="BB456"/>
  <c r="BK456"/>
  <c r="BL456" s="1"/>
  <c r="AZ456"/>
  <c r="AN334" i="6"/>
  <c r="AY458" i="4"/>
  <c r="BA458" s="1"/>
  <c r="BF458"/>
  <c r="BG458" s="1"/>
  <c r="AZ458"/>
  <c r="BB458" s="1"/>
  <c r="AU458"/>
  <c r="AV459"/>
  <c r="BD458"/>
  <c r="BE458" s="1"/>
  <c r="AW458"/>
  <c r="AL445" i="12"/>
  <c r="AJ446"/>
  <c r="AK445"/>
  <c r="AO445"/>
  <c r="AN445"/>
  <c r="BZ481" i="6" l="1"/>
  <c r="BW481" s="1"/>
  <c r="BY482"/>
  <c r="BV481"/>
  <c r="BX481" s="1"/>
  <c r="AJ447" i="12"/>
  <c r="AK446"/>
  <c r="AL446"/>
  <c r="AN446"/>
  <c r="AO446"/>
  <c r="BF459" i="4"/>
  <c r="BG459" s="1"/>
  <c r="AW459"/>
  <c r="AY459"/>
  <c r="BA459" s="1"/>
  <c r="AZ459"/>
  <c r="BB459" s="1"/>
  <c r="AV460"/>
  <c r="BD459"/>
  <c r="BE459" s="1"/>
  <c r="AU459"/>
  <c r="AM335" i="6"/>
  <c r="BK457" i="5"/>
  <c r="BL457" s="1"/>
  <c r="AZ457"/>
  <c r="BE457"/>
  <c r="BG457" s="1"/>
  <c r="BD457"/>
  <c r="BF457" s="1"/>
  <c r="BI457"/>
  <c r="BJ457" s="1"/>
  <c r="BA458"/>
  <c r="BB457"/>
  <c r="AW460" i="4" l="1"/>
  <c r="AU460"/>
  <c r="AZ460"/>
  <c r="BB460" s="1"/>
  <c r="BD460"/>
  <c r="BE460" s="1"/>
  <c r="AV461"/>
  <c r="BF460"/>
  <c r="BG460" s="1"/>
  <c r="AY460"/>
  <c r="BA460" s="1"/>
  <c r="BZ482" i="6"/>
  <c r="BY483"/>
  <c r="BV482"/>
  <c r="BX482" s="1"/>
  <c r="BW482"/>
  <c r="AN335"/>
  <c r="AJ448" i="12"/>
  <c r="AL447"/>
  <c r="AO447"/>
  <c r="AN447"/>
  <c r="AK447"/>
  <c r="BB458" i="5"/>
  <c r="BA459"/>
  <c r="AZ458"/>
  <c r="BI458"/>
  <c r="BJ458" s="1"/>
  <c r="BK458"/>
  <c r="BL458" s="1"/>
  <c r="BD458"/>
  <c r="BF458" s="1"/>
  <c r="BE458"/>
  <c r="BG458" s="1"/>
  <c r="BY484" i="6" l="1"/>
  <c r="BV483"/>
  <c r="BX483" s="1"/>
  <c r="BZ483"/>
  <c r="BW483" s="1"/>
  <c r="AU461" i="4"/>
  <c r="AZ461"/>
  <c r="BB461" s="1"/>
  <c r="BD461"/>
  <c r="BE461" s="1"/>
  <c r="AV462"/>
  <c r="AY461"/>
  <c r="BA461" s="1"/>
  <c r="AW461"/>
  <c r="BF461"/>
  <c r="BG461" s="1"/>
  <c r="AK448" i="12"/>
  <c r="AJ449"/>
  <c r="AL448"/>
  <c r="AN448"/>
  <c r="AO448"/>
  <c r="AZ459" i="5"/>
  <c r="BE459"/>
  <c r="BG459" s="1"/>
  <c r="BI459"/>
  <c r="BJ459" s="1"/>
  <c r="BA460"/>
  <c r="BK459"/>
  <c r="BL459" s="1"/>
  <c r="BD459"/>
  <c r="BF459" s="1"/>
  <c r="BB459"/>
  <c r="AM336" i="6"/>
  <c r="BY485" l="1"/>
  <c r="BV484"/>
  <c r="BX484" s="1"/>
  <c r="BZ484"/>
  <c r="BW484" s="1"/>
  <c r="AL449" i="12"/>
  <c r="AJ450"/>
  <c r="AK449"/>
  <c r="AO449"/>
  <c r="AN449"/>
  <c r="AN336" i="6"/>
  <c r="BD460" i="5"/>
  <c r="BF460" s="1"/>
  <c r="BA461"/>
  <c r="BB460"/>
  <c r="BK460"/>
  <c r="BL460" s="1"/>
  <c r="BI460"/>
  <c r="BJ460" s="1"/>
  <c r="AZ460"/>
  <c r="BE460"/>
  <c r="BG460" s="1"/>
  <c r="AY462" i="4"/>
  <c r="BA462" s="1"/>
  <c r="BF462"/>
  <c r="BG462" s="1"/>
  <c r="AW462"/>
  <c r="BD462"/>
  <c r="BE462" s="1"/>
  <c r="AU462"/>
  <c r="AZ462"/>
  <c r="BB462" s="1"/>
  <c r="AV463"/>
  <c r="BF463" l="1"/>
  <c r="BG463" s="1"/>
  <c r="AW463"/>
  <c r="AU463"/>
  <c r="BD463"/>
  <c r="BE463" s="1"/>
  <c r="AZ463"/>
  <c r="BB463" s="1"/>
  <c r="AV464"/>
  <c r="AY463"/>
  <c r="BA463" s="1"/>
  <c r="BK461" i="5"/>
  <c r="BL461" s="1"/>
  <c r="BD461"/>
  <c r="BF461" s="1"/>
  <c r="BI461"/>
  <c r="BJ461" s="1"/>
  <c r="BA462"/>
  <c r="BB461"/>
  <c r="BE461"/>
  <c r="BG461" s="1"/>
  <c r="AZ461"/>
  <c r="BZ485" i="6"/>
  <c r="BV485"/>
  <c r="BX485" s="1"/>
  <c r="BY486"/>
  <c r="BW485"/>
  <c r="AM337"/>
  <c r="AJ451" i="12"/>
  <c r="AN450"/>
  <c r="AO450"/>
  <c r="AK450"/>
  <c r="AL450"/>
  <c r="AW464" i="4" l="1"/>
  <c r="AU464"/>
  <c r="AZ464"/>
  <c r="BB464" s="1"/>
  <c r="BD464"/>
  <c r="BE464" s="1"/>
  <c r="AV465"/>
  <c r="BF464"/>
  <c r="BG464" s="1"/>
  <c r="AY464"/>
  <c r="BA464" s="1"/>
  <c r="AL451" i="12"/>
  <c r="AK451"/>
  <c r="AO451"/>
  <c r="AJ452"/>
  <c r="AN451"/>
  <c r="BZ486" i="6"/>
  <c r="BW486" s="1"/>
  <c r="BY487"/>
  <c r="BV486"/>
  <c r="BX486" s="1"/>
  <c r="AN337"/>
  <c r="BB462" i="5"/>
  <c r="AZ462"/>
  <c r="BE462"/>
  <c r="BG462" s="1"/>
  <c r="BK462"/>
  <c r="BL462" s="1"/>
  <c r="BD462"/>
  <c r="BF462" s="1"/>
  <c r="BA463"/>
  <c r="BI462"/>
  <c r="BJ462" s="1"/>
  <c r="BY488" i="6" l="1"/>
  <c r="BV487"/>
  <c r="BX487" s="1"/>
  <c r="BZ487"/>
  <c r="BW487" s="1"/>
  <c r="AM338"/>
  <c r="AU465" i="4"/>
  <c r="AZ465"/>
  <c r="BB465" s="1"/>
  <c r="BD465"/>
  <c r="BE465" s="1"/>
  <c r="AV466"/>
  <c r="AY465"/>
  <c r="BA465" s="1"/>
  <c r="BF465"/>
  <c r="BG465" s="1"/>
  <c r="AW465"/>
  <c r="AK452" i="12"/>
  <c r="AJ453"/>
  <c r="AL452"/>
  <c r="AN452"/>
  <c r="AO452"/>
  <c r="AZ463" i="5"/>
  <c r="BE463"/>
  <c r="BG463" s="1"/>
  <c r="BI463"/>
  <c r="BJ463" s="1"/>
  <c r="BA464"/>
  <c r="BD463"/>
  <c r="BF463" s="1"/>
  <c r="BK463"/>
  <c r="BL463" s="1"/>
  <c r="BB463"/>
  <c r="AN338" i="6" l="1"/>
  <c r="BZ488"/>
  <c r="BV488"/>
  <c r="BX488" s="1"/>
  <c r="BY489"/>
  <c r="BW488"/>
  <c r="BD464" i="5"/>
  <c r="BF464" s="1"/>
  <c r="BB464"/>
  <c r="BK464"/>
  <c r="BL464" s="1"/>
  <c r="AZ464"/>
  <c r="BE464"/>
  <c r="BG464" s="1"/>
  <c r="BA465"/>
  <c r="BI464"/>
  <c r="BJ464" s="1"/>
  <c r="AY466" i="4"/>
  <c r="BA466" s="1"/>
  <c r="BF466"/>
  <c r="BG466" s="1"/>
  <c r="AZ466"/>
  <c r="BB466" s="1"/>
  <c r="AU466"/>
  <c r="AV467"/>
  <c r="AW466"/>
  <c r="BD466"/>
  <c r="BE466" s="1"/>
  <c r="AL453" i="12"/>
  <c r="AK453"/>
  <c r="AO453"/>
  <c r="AN453"/>
  <c r="AJ454"/>
  <c r="BZ489" i="6" l="1"/>
  <c r="BW489" s="1"/>
  <c r="BY490"/>
  <c r="BV489"/>
  <c r="BX489" s="1"/>
  <c r="AM339"/>
  <c r="BF467" i="4"/>
  <c r="BG467" s="1"/>
  <c r="AW467"/>
  <c r="AY467"/>
  <c r="BA467" s="1"/>
  <c r="AZ467"/>
  <c r="BB467" s="1"/>
  <c r="AV468"/>
  <c r="AU467"/>
  <c r="BD467"/>
  <c r="BE467" s="1"/>
  <c r="AJ455" i="12"/>
  <c r="AL454"/>
  <c r="AN454"/>
  <c r="AK454"/>
  <c r="AO454"/>
  <c r="BK465" i="5"/>
  <c r="BL465" s="1"/>
  <c r="BA466"/>
  <c r="BB465"/>
  <c r="BI465"/>
  <c r="BJ465" s="1"/>
  <c r="AZ465"/>
  <c r="BD465"/>
  <c r="BF465" s="1"/>
  <c r="BE465"/>
  <c r="BG465" s="1"/>
  <c r="BZ490" i="6" l="1"/>
  <c r="BW490" s="1"/>
  <c r="BY491"/>
  <c r="BV490"/>
  <c r="BX490" s="1"/>
  <c r="AN339"/>
  <c r="AW468" i="4"/>
  <c r="AU468"/>
  <c r="AZ468"/>
  <c r="BB468" s="1"/>
  <c r="BD468"/>
  <c r="BE468" s="1"/>
  <c r="AV469"/>
  <c r="AY468"/>
  <c r="BA468" s="1"/>
  <c r="BF468"/>
  <c r="BG468" s="1"/>
  <c r="AK455" i="12"/>
  <c r="AJ456"/>
  <c r="AO455"/>
  <c r="AL455"/>
  <c r="AN455"/>
  <c r="BB466" i="5"/>
  <c r="BE466"/>
  <c r="BG466" s="1"/>
  <c r="BK466"/>
  <c r="BL466" s="1"/>
  <c r="BD466"/>
  <c r="BF466" s="1"/>
  <c r="BI466"/>
  <c r="BJ466" s="1"/>
  <c r="BA467"/>
  <c r="AZ466"/>
  <c r="BY492" i="6" l="1"/>
  <c r="BZ491"/>
  <c r="BW491" s="1"/>
  <c r="BV491"/>
  <c r="BX491" s="1"/>
  <c r="AK456" i="12"/>
  <c r="AJ457"/>
  <c r="AL456"/>
  <c r="AN456"/>
  <c r="AO456"/>
  <c r="AU469" i="4"/>
  <c r="AZ469"/>
  <c r="BB469" s="1"/>
  <c r="BD469"/>
  <c r="BE469" s="1"/>
  <c r="AV470"/>
  <c r="AY469"/>
  <c r="BA469" s="1"/>
  <c r="AW469"/>
  <c r="BF469"/>
  <c r="BG469" s="1"/>
  <c r="AM340" i="6"/>
  <c r="AZ467" i="5"/>
  <c r="BE467"/>
  <c r="BG467" s="1"/>
  <c r="BI467"/>
  <c r="BJ467" s="1"/>
  <c r="BA468"/>
  <c r="BB467"/>
  <c r="BD467"/>
  <c r="BF467" s="1"/>
  <c r="BK467"/>
  <c r="BL467" s="1"/>
  <c r="BV492" i="6" l="1"/>
  <c r="BX492" s="1"/>
  <c r="BY493"/>
  <c r="BZ492"/>
  <c r="BW492" s="1"/>
  <c r="BD468" i="5"/>
  <c r="BF468" s="1"/>
  <c r="AZ468"/>
  <c r="BE468"/>
  <c r="BG468" s="1"/>
  <c r="BI468"/>
  <c r="BJ468" s="1"/>
  <c r="BA469"/>
  <c r="BK468"/>
  <c r="BL468" s="1"/>
  <c r="BB468"/>
  <c r="AL457" i="12"/>
  <c r="AO457"/>
  <c r="AN457"/>
  <c r="AJ458"/>
  <c r="AK457"/>
  <c r="AY470" i="4"/>
  <c r="BA470" s="1"/>
  <c r="BF470"/>
  <c r="BG470" s="1"/>
  <c r="AW470"/>
  <c r="BD470"/>
  <c r="BE470" s="1"/>
  <c r="AV471"/>
  <c r="AU470"/>
  <c r="AZ470"/>
  <c r="BB470" s="1"/>
  <c r="AN340" i="6"/>
  <c r="BF471" i="4" l="1"/>
  <c r="BG471" s="1"/>
  <c r="AW471"/>
  <c r="AU471"/>
  <c r="BD471"/>
  <c r="BE471" s="1"/>
  <c r="AZ471"/>
  <c r="BB471" s="1"/>
  <c r="AY471"/>
  <c r="BA471" s="1"/>
  <c r="AV472"/>
  <c r="BK469" i="5"/>
  <c r="BL469" s="1"/>
  <c r="BB469"/>
  <c r="AZ469"/>
  <c r="BE469"/>
  <c r="BG469" s="1"/>
  <c r="BA470"/>
  <c r="BI469"/>
  <c r="BJ469" s="1"/>
  <c r="BD469"/>
  <c r="BF469" s="1"/>
  <c r="BZ493" i="6"/>
  <c r="BV493"/>
  <c r="BX493" s="1"/>
  <c r="BW493"/>
  <c r="BY494"/>
  <c r="AJ459" i="12"/>
  <c r="AL458"/>
  <c r="AK458"/>
  <c r="AN458"/>
  <c r="AO458"/>
  <c r="AM341" i="6"/>
  <c r="AW472" i="4" l="1"/>
  <c r="AU472"/>
  <c r="AZ472"/>
  <c r="BB472" s="1"/>
  <c r="BD472"/>
  <c r="BE472" s="1"/>
  <c r="AV473"/>
  <c r="BF472"/>
  <c r="BG472" s="1"/>
  <c r="AY472"/>
  <c r="BA472" s="1"/>
  <c r="BZ494" i="6"/>
  <c r="BY495"/>
  <c r="BV494"/>
  <c r="BX494" s="1"/>
  <c r="BW494"/>
  <c r="AJ460" i="12"/>
  <c r="AL459"/>
  <c r="AO459"/>
  <c r="AK459"/>
  <c r="AN459"/>
  <c r="AN341" i="6"/>
  <c r="BB470" i="5"/>
  <c r="BD470"/>
  <c r="BF470" s="1"/>
  <c r="BI470"/>
  <c r="BJ470" s="1"/>
  <c r="BA471"/>
  <c r="BE470"/>
  <c r="BG470" s="1"/>
  <c r="BK470"/>
  <c r="BL470" s="1"/>
  <c r="AZ470"/>
  <c r="AM342" i="6" l="1"/>
  <c r="BY496"/>
  <c r="BZ495"/>
  <c r="BV495"/>
  <c r="BX495" s="1"/>
  <c r="BW495"/>
  <c r="AU473" i="4"/>
  <c r="AZ473"/>
  <c r="BB473" s="1"/>
  <c r="BD473"/>
  <c r="BE473" s="1"/>
  <c r="AV474"/>
  <c r="AY473"/>
  <c r="BA473" s="1"/>
  <c r="BF473"/>
  <c r="BG473" s="1"/>
  <c r="AW473"/>
  <c r="AZ471" i="5"/>
  <c r="BE471"/>
  <c r="BG471" s="1"/>
  <c r="BI471"/>
  <c r="BJ471" s="1"/>
  <c r="BA472"/>
  <c r="BB471"/>
  <c r="BK471"/>
  <c r="BL471" s="1"/>
  <c r="BD471"/>
  <c r="BF471" s="1"/>
  <c r="AK460" i="12"/>
  <c r="AL460"/>
  <c r="AJ461"/>
  <c r="AN460"/>
  <c r="AO460"/>
  <c r="BD472" i="5" l="1"/>
  <c r="BF472" s="1"/>
  <c r="BE472"/>
  <c r="BG472" s="1"/>
  <c r="BI472"/>
  <c r="BJ472" s="1"/>
  <c r="BA473"/>
  <c r="AZ472"/>
  <c r="BK472"/>
  <c r="BL472" s="1"/>
  <c r="BB472"/>
  <c r="AN342" i="6"/>
  <c r="AY474" i="4"/>
  <c r="BA474" s="1"/>
  <c r="BF474"/>
  <c r="BG474" s="1"/>
  <c r="AZ474"/>
  <c r="BB474" s="1"/>
  <c r="AU474"/>
  <c r="AV475"/>
  <c r="BD474"/>
  <c r="BE474" s="1"/>
  <c r="AW474"/>
  <c r="AL461" i="12"/>
  <c r="AJ462"/>
  <c r="AO461"/>
  <c r="AN461"/>
  <c r="AK461"/>
  <c r="BZ496" i="6"/>
  <c r="BY497"/>
  <c r="BV496"/>
  <c r="BX496" s="1"/>
  <c r="BW496"/>
  <c r="AJ463" i="12" l="1"/>
  <c r="AK462"/>
  <c r="AL462"/>
  <c r="AN462"/>
  <c r="AO462"/>
  <c r="BF475" i="4"/>
  <c r="BG475" s="1"/>
  <c r="AW475"/>
  <c r="AY475"/>
  <c r="BA475" s="1"/>
  <c r="AZ475"/>
  <c r="BB475" s="1"/>
  <c r="AV476"/>
  <c r="BD475"/>
  <c r="BE475" s="1"/>
  <c r="AU475"/>
  <c r="BZ497" i="6"/>
  <c r="BW497" s="1"/>
  <c r="BY498"/>
  <c r="BV497"/>
  <c r="BX497" s="1"/>
  <c r="AM343"/>
  <c r="BK473" i="5"/>
  <c r="BL473" s="1"/>
  <c r="AZ473"/>
  <c r="BE473"/>
  <c r="BG473" s="1"/>
  <c r="BD473"/>
  <c r="BF473" s="1"/>
  <c r="BI473"/>
  <c r="BJ473" s="1"/>
  <c r="BB473"/>
  <c r="BA474"/>
  <c r="BZ498" i="6" l="1"/>
  <c r="BW498" s="1"/>
  <c r="BY499"/>
  <c r="BV498"/>
  <c r="BX498" s="1"/>
  <c r="AW476" i="4"/>
  <c r="AU476"/>
  <c r="AZ476"/>
  <c r="BB476" s="1"/>
  <c r="BD476"/>
  <c r="BE476" s="1"/>
  <c r="AV477"/>
  <c r="BF476"/>
  <c r="BG476" s="1"/>
  <c r="AY476"/>
  <c r="BA476" s="1"/>
  <c r="BB474" i="5"/>
  <c r="BA475"/>
  <c r="AZ474"/>
  <c r="BE474"/>
  <c r="BG474" s="1"/>
  <c r="BD474"/>
  <c r="BF474" s="1"/>
  <c r="BK474"/>
  <c r="BL474" s="1"/>
  <c r="BI474"/>
  <c r="BJ474" s="1"/>
  <c r="AN343" i="6"/>
  <c r="AJ464" i="12"/>
  <c r="AL463"/>
  <c r="AK463"/>
  <c r="AO463"/>
  <c r="AN463"/>
  <c r="AK464" l="1"/>
  <c r="AL464"/>
  <c r="AN464"/>
  <c r="AJ465"/>
  <c r="AO464"/>
  <c r="AZ475" i="5"/>
  <c r="BE475"/>
  <c r="BG475" s="1"/>
  <c r="BI475"/>
  <c r="BJ475" s="1"/>
  <c r="BA476"/>
  <c r="BK475"/>
  <c r="BL475" s="1"/>
  <c r="BD475"/>
  <c r="BF475" s="1"/>
  <c r="BB475"/>
  <c r="AU477" i="4"/>
  <c r="AZ477"/>
  <c r="BB477" s="1"/>
  <c r="BD477"/>
  <c r="BE477" s="1"/>
  <c r="AV478"/>
  <c r="AY477"/>
  <c r="BA477" s="1"/>
  <c r="AW477"/>
  <c r="BF477"/>
  <c r="BG477" s="1"/>
  <c r="BY500" i="6"/>
  <c r="BZ499"/>
  <c r="BW499" s="1"/>
  <c r="BV499"/>
  <c r="BX499" s="1"/>
  <c r="AM344"/>
  <c r="BD476" i="5" l="1"/>
  <c r="BF476" s="1"/>
  <c r="BA477"/>
  <c r="BB476"/>
  <c r="BK476"/>
  <c r="BL476" s="1"/>
  <c r="BE476"/>
  <c r="BG476" s="1"/>
  <c r="AZ476"/>
  <c r="BI476"/>
  <c r="BJ476" s="1"/>
  <c r="AN344" i="6"/>
  <c r="BV500"/>
  <c r="BX500" s="1"/>
  <c r="BY501"/>
  <c r="BZ500"/>
  <c r="BW500"/>
  <c r="AY478" i="4"/>
  <c r="BA478" s="1"/>
  <c r="BF478"/>
  <c r="BG478" s="1"/>
  <c r="AW478"/>
  <c r="BD478"/>
  <c r="BE478" s="1"/>
  <c r="AZ478"/>
  <c r="BB478" s="1"/>
  <c r="AV479"/>
  <c r="AU478"/>
  <c r="AL465" i="12"/>
  <c r="AJ466"/>
  <c r="AK465"/>
  <c r="AO465"/>
  <c r="AN465"/>
  <c r="AJ467" l="1"/>
  <c r="AL466"/>
  <c r="AK466"/>
  <c r="AN466"/>
  <c r="AO466"/>
  <c r="BK477" i="5"/>
  <c r="BL477" s="1"/>
  <c r="BD477"/>
  <c r="BF477" s="1"/>
  <c r="BI477"/>
  <c r="BJ477" s="1"/>
  <c r="BA478"/>
  <c r="AZ477"/>
  <c r="BE477"/>
  <c r="BG477" s="1"/>
  <c r="BB477"/>
  <c r="BF479" i="4"/>
  <c r="BG479" s="1"/>
  <c r="AW479"/>
  <c r="AU479"/>
  <c r="BD479"/>
  <c r="BE479" s="1"/>
  <c r="AZ479"/>
  <c r="BB479" s="1"/>
  <c r="AV480"/>
  <c r="AY479"/>
  <c r="BA479" s="1"/>
  <c r="BZ501" i="6"/>
  <c r="BV501"/>
  <c r="BX501" s="1"/>
  <c r="BY502"/>
  <c r="BW501"/>
  <c r="AM345"/>
  <c r="BB478" i="5" l="1"/>
  <c r="AZ478"/>
  <c r="BE478"/>
  <c r="BG478" s="1"/>
  <c r="BK478"/>
  <c r="BL478" s="1"/>
  <c r="BA479"/>
  <c r="BI478"/>
  <c r="BJ478" s="1"/>
  <c r="BD478"/>
  <c r="BF478" s="1"/>
  <c r="AL467" i="12"/>
  <c r="AK467"/>
  <c r="AO467"/>
  <c r="AN467"/>
  <c r="AJ468"/>
  <c r="BZ502" i="6"/>
  <c r="BW502" s="1"/>
  <c r="BY503"/>
  <c r="BV502"/>
  <c r="BX502" s="1"/>
  <c r="AW480" i="4"/>
  <c r="AU480"/>
  <c r="AZ480"/>
  <c r="BB480" s="1"/>
  <c r="BD480"/>
  <c r="BE480" s="1"/>
  <c r="AV481"/>
  <c r="BF480"/>
  <c r="BG480" s="1"/>
  <c r="AY480"/>
  <c r="BA480" s="1"/>
  <c r="AN345" i="6"/>
  <c r="AM346" l="1"/>
  <c r="AU481" i="4"/>
  <c r="AZ481"/>
  <c r="BB481" s="1"/>
  <c r="BD481"/>
  <c r="BE481" s="1"/>
  <c r="AV482"/>
  <c r="AY481"/>
  <c r="BA481" s="1"/>
  <c r="BF481"/>
  <c r="BG481" s="1"/>
  <c r="AW481"/>
  <c r="AZ479" i="5"/>
  <c r="BE479"/>
  <c r="BG479" s="1"/>
  <c r="BI479"/>
  <c r="BJ479" s="1"/>
  <c r="BA480"/>
  <c r="BD479"/>
  <c r="BF479" s="1"/>
  <c r="BK479"/>
  <c r="BL479" s="1"/>
  <c r="BB479"/>
  <c r="BY504" i="6"/>
  <c r="BV503"/>
  <c r="BX503" s="1"/>
  <c r="BZ503"/>
  <c r="BW503" s="1"/>
  <c r="AK468" i="12"/>
  <c r="AJ469"/>
  <c r="AL468"/>
  <c r="AN468"/>
  <c r="AO468"/>
  <c r="BD480" i="5" l="1"/>
  <c r="BF480" s="1"/>
  <c r="BB480"/>
  <c r="BK480"/>
  <c r="BL480" s="1"/>
  <c r="AZ480"/>
  <c r="BA481"/>
  <c r="BI480"/>
  <c r="BJ480" s="1"/>
  <c r="BE480"/>
  <c r="BG480" s="1"/>
  <c r="AY482" i="4"/>
  <c r="BA482" s="1"/>
  <c r="BF482"/>
  <c r="BG482" s="1"/>
  <c r="AZ482"/>
  <c r="BB482" s="1"/>
  <c r="AU482"/>
  <c r="AV483"/>
  <c r="AW482"/>
  <c r="BD482"/>
  <c r="BE482" s="1"/>
  <c r="BZ504" i="6"/>
  <c r="BW504" s="1"/>
  <c r="BY505"/>
  <c r="BV504"/>
  <c r="BX504" s="1"/>
  <c r="AN346"/>
  <c r="AL469" i="12"/>
  <c r="AK469"/>
  <c r="AO469"/>
  <c r="AJ470"/>
  <c r="AN469"/>
  <c r="AJ471" l="1"/>
  <c r="AL470"/>
  <c r="AK470"/>
  <c r="AN470"/>
  <c r="AO470"/>
  <c r="BK481" i="5"/>
  <c r="BL481" s="1"/>
  <c r="BA482"/>
  <c r="BB481"/>
  <c r="BE481"/>
  <c r="BG481" s="1"/>
  <c r="BD481"/>
  <c r="BF481" s="1"/>
  <c r="BI481"/>
  <c r="BJ481" s="1"/>
  <c r="AZ481"/>
  <c r="AM347" i="6"/>
  <c r="BZ505"/>
  <c r="BY506"/>
  <c r="BV505"/>
  <c r="BX505" s="1"/>
  <c r="BW505"/>
  <c r="BF483" i="4"/>
  <c r="BG483" s="1"/>
  <c r="AW483"/>
  <c r="AY483"/>
  <c r="BA483" s="1"/>
  <c r="AZ483"/>
  <c r="BB483" s="1"/>
  <c r="AV484"/>
  <c r="AU483"/>
  <c r="BD483"/>
  <c r="BE483" s="1"/>
  <c r="AK471" i="12" l="1"/>
  <c r="AO471"/>
  <c r="AN471"/>
  <c r="AJ472"/>
  <c r="AL471"/>
  <c r="AW484" i="4"/>
  <c r="AU484"/>
  <c r="AZ484"/>
  <c r="BB484" s="1"/>
  <c r="BD484"/>
  <c r="BE484" s="1"/>
  <c r="AV485"/>
  <c r="AY484"/>
  <c r="BA484" s="1"/>
  <c r="BF484"/>
  <c r="BG484" s="1"/>
  <c r="BB482" i="5"/>
  <c r="BE482"/>
  <c r="BG482" s="1"/>
  <c r="BK482"/>
  <c r="BL482" s="1"/>
  <c r="BD482"/>
  <c r="BF482" s="1"/>
  <c r="BI482"/>
  <c r="BJ482" s="1"/>
  <c r="AZ482"/>
  <c r="BA483"/>
  <c r="AN347" i="6"/>
  <c r="BZ506"/>
  <c r="BW506" s="1"/>
  <c r="BY507"/>
  <c r="BV506"/>
  <c r="BX506" s="1"/>
  <c r="BY508" l="1"/>
  <c r="BZ507"/>
  <c r="BW507" s="1"/>
  <c r="BV507"/>
  <c r="BX507" s="1"/>
  <c r="AZ483" i="5"/>
  <c r="BE483"/>
  <c r="BG483" s="1"/>
  <c r="BI483"/>
  <c r="BJ483" s="1"/>
  <c r="BA484"/>
  <c r="BB483"/>
  <c r="BD483"/>
  <c r="BF483" s="1"/>
  <c r="BK483"/>
  <c r="BL483" s="1"/>
  <c r="AU485" i="4"/>
  <c r="AZ485"/>
  <c r="BB485" s="1"/>
  <c r="BD485"/>
  <c r="BE485" s="1"/>
  <c r="AV486"/>
  <c r="AY485"/>
  <c r="BA485" s="1"/>
  <c r="AW485"/>
  <c r="BF485"/>
  <c r="BG485" s="1"/>
  <c r="AM348" i="6"/>
  <c r="AK472" i="12"/>
  <c r="AJ473"/>
  <c r="AL472"/>
  <c r="AO472"/>
  <c r="AN472"/>
  <c r="AN348" i="6" l="1"/>
  <c r="AY486" i="4"/>
  <c r="BA486" s="1"/>
  <c r="BF486"/>
  <c r="BG486" s="1"/>
  <c r="AW486"/>
  <c r="BD486"/>
  <c r="BE486" s="1"/>
  <c r="AZ486"/>
  <c r="BB486" s="1"/>
  <c r="AV487"/>
  <c r="AU486"/>
  <c r="BV508" i="6"/>
  <c r="BX508" s="1"/>
  <c r="BY509"/>
  <c r="BZ508"/>
  <c r="BW508"/>
  <c r="AL473" i="12"/>
  <c r="AJ474"/>
  <c r="AO473"/>
  <c r="AK473"/>
  <c r="AN473"/>
  <c r="BD484" i="5"/>
  <c r="BF484" s="1"/>
  <c r="AZ484"/>
  <c r="BE484"/>
  <c r="BG484" s="1"/>
  <c r="BI484"/>
  <c r="BJ484" s="1"/>
  <c r="BB484"/>
  <c r="BK484"/>
  <c r="BL484" s="1"/>
  <c r="BA485"/>
  <c r="BK485" l="1"/>
  <c r="BL485" s="1"/>
  <c r="BB485"/>
  <c r="AZ485"/>
  <c r="BE485"/>
  <c r="BG485" s="1"/>
  <c r="BD485"/>
  <c r="BF485" s="1"/>
  <c r="BI485"/>
  <c r="BJ485" s="1"/>
  <c r="BA486"/>
  <c r="AM349" i="6"/>
  <c r="AJ475" i="12"/>
  <c r="AL474"/>
  <c r="AK474"/>
  <c r="AN474"/>
  <c r="AO474"/>
  <c r="BZ509" i="6"/>
  <c r="BV509"/>
  <c r="BX509" s="1"/>
  <c r="BW509"/>
  <c r="BY510"/>
  <c r="BF487" i="4"/>
  <c r="BG487" s="1"/>
  <c r="AW487"/>
  <c r="AU487"/>
  <c r="BD487"/>
  <c r="BE487" s="1"/>
  <c r="AZ487"/>
  <c r="BB487" s="1"/>
  <c r="AY487"/>
  <c r="BA487" s="1"/>
  <c r="AV488"/>
  <c r="AW488" l="1"/>
  <c r="AU488"/>
  <c r="AZ488"/>
  <c r="BB488" s="1"/>
  <c r="BD488"/>
  <c r="BE488" s="1"/>
  <c r="AV489"/>
  <c r="BF488"/>
  <c r="BG488" s="1"/>
  <c r="AY488"/>
  <c r="BA488" s="1"/>
  <c r="BZ510" i="6"/>
  <c r="BY511"/>
  <c r="BV510"/>
  <c r="BX510" s="1"/>
  <c r="BW510"/>
  <c r="AJ476" i="12"/>
  <c r="AO475"/>
  <c r="AN475"/>
  <c r="AK475"/>
  <c r="AL475"/>
  <c r="AN349" i="6"/>
  <c r="BB486" i="5"/>
  <c r="BD486"/>
  <c r="BF486" s="1"/>
  <c r="BI486"/>
  <c r="BJ486" s="1"/>
  <c r="BA487"/>
  <c r="BK486"/>
  <c r="BL486" s="1"/>
  <c r="AZ486"/>
  <c r="BE486"/>
  <c r="BG486" s="1"/>
  <c r="AM350" i="6" l="1"/>
  <c r="BY512"/>
  <c r="BZ511"/>
  <c r="BV511"/>
  <c r="BX511" s="1"/>
  <c r="BW511"/>
  <c r="AU489" i="4"/>
  <c r="AZ489"/>
  <c r="BB489" s="1"/>
  <c r="BD489"/>
  <c r="BE489" s="1"/>
  <c r="AV490"/>
  <c r="AY489"/>
  <c r="BA489" s="1"/>
  <c r="BF489"/>
  <c r="BG489" s="1"/>
  <c r="AW489"/>
  <c r="AZ487" i="5"/>
  <c r="BE487"/>
  <c r="BG487" s="1"/>
  <c r="BI487"/>
  <c r="BJ487" s="1"/>
  <c r="BA488"/>
  <c r="BB487"/>
  <c r="BK487"/>
  <c r="BL487" s="1"/>
  <c r="BD487"/>
  <c r="BF487" s="1"/>
  <c r="AK476" i="12"/>
  <c r="AL476"/>
  <c r="AJ477"/>
  <c r="AN476"/>
  <c r="AO476"/>
  <c r="BD488" i="5" l="1"/>
  <c r="BF488" s="1"/>
  <c r="BE488"/>
  <c r="BG488" s="1"/>
  <c r="BI488"/>
  <c r="BJ488" s="1"/>
  <c r="BA489"/>
  <c r="BB488"/>
  <c r="AZ488"/>
  <c r="BK488"/>
  <c r="BL488" s="1"/>
  <c r="AN350" i="6"/>
  <c r="AY490" i="4"/>
  <c r="BA490" s="1"/>
  <c r="BF490"/>
  <c r="BG490" s="1"/>
  <c r="AZ490"/>
  <c r="BB490" s="1"/>
  <c r="AU490"/>
  <c r="AV491"/>
  <c r="BD490"/>
  <c r="BE490" s="1"/>
  <c r="AW490"/>
  <c r="AL477" i="12"/>
  <c r="AJ478"/>
  <c r="AK477"/>
  <c r="AO477"/>
  <c r="AN477"/>
  <c r="BZ512" i="6"/>
  <c r="BY513"/>
  <c r="BV512"/>
  <c r="BX512" s="1"/>
  <c r="BW512"/>
  <c r="BF491" i="4" l="1"/>
  <c r="BG491" s="1"/>
  <c r="AW491"/>
  <c r="AY491"/>
  <c r="BA491" s="1"/>
  <c r="AZ491"/>
  <c r="BB491" s="1"/>
  <c r="AV492"/>
  <c r="BD491"/>
  <c r="BE491" s="1"/>
  <c r="AU491"/>
  <c r="BZ513" i="6"/>
  <c r="BY514"/>
  <c r="BV513"/>
  <c r="BX513" s="1"/>
  <c r="BW513"/>
  <c r="AJ479" i="12"/>
  <c r="AK478"/>
  <c r="AN478"/>
  <c r="AO478"/>
  <c r="AL478"/>
  <c r="AM351" i="6"/>
  <c r="BK489" i="5"/>
  <c r="BL489" s="1"/>
  <c r="AZ489"/>
  <c r="BE489"/>
  <c r="BG489" s="1"/>
  <c r="BD489"/>
  <c r="BF489" s="1"/>
  <c r="BI489"/>
  <c r="BJ489" s="1"/>
  <c r="BA490"/>
  <c r="BB489"/>
  <c r="AN351" i="6" l="1"/>
  <c r="BZ514"/>
  <c r="BY515"/>
  <c r="BV514"/>
  <c r="BX514" s="1"/>
  <c r="BW514"/>
  <c r="AW492" i="4"/>
  <c r="AU492"/>
  <c r="AZ492"/>
  <c r="BB492" s="1"/>
  <c r="BD492"/>
  <c r="BE492" s="1"/>
  <c r="AV493"/>
  <c r="BF492"/>
  <c r="BG492" s="1"/>
  <c r="AY492"/>
  <c r="BA492" s="1"/>
  <c r="BB490" i="5"/>
  <c r="BA491"/>
  <c r="AZ490"/>
  <c r="BI490"/>
  <c r="BJ490" s="1"/>
  <c r="BE490"/>
  <c r="BG490" s="1"/>
  <c r="BD490"/>
  <c r="BF490" s="1"/>
  <c r="BK490"/>
  <c r="BL490" s="1"/>
  <c r="AJ480" i="12"/>
  <c r="AL479"/>
  <c r="AO479" s="1"/>
  <c r="AN479"/>
  <c r="AK479"/>
  <c r="AM352" i="6" l="1"/>
  <c r="AZ491" i="5"/>
  <c r="BE491"/>
  <c r="BG491" s="1"/>
  <c r="BI491"/>
  <c r="BJ491" s="1"/>
  <c r="BA492"/>
  <c r="BK491"/>
  <c r="BL491" s="1"/>
  <c r="BD491"/>
  <c r="BF491" s="1"/>
  <c r="BB491"/>
  <c r="AU493" i="4"/>
  <c r="AZ493"/>
  <c r="BB493" s="1"/>
  <c r="BD493"/>
  <c r="BE493" s="1"/>
  <c r="AV494"/>
  <c r="AY493"/>
  <c r="BA493" s="1"/>
  <c r="AW493"/>
  <c r="BF493"/>
  <c r="BG493" s="1"/>
  <c r="AK480" i="12"/>
  <c r="AJ481"/>
  <c r="AL480"/>
  <c r="AN480"/>
  <c r="AO480"/>
  <c r="BY516" i="6"/>
  <c r="BZ515"/>
  <c r="BV515"/>
  <c r="BX515" s="1"/>
  <c r="BW515"/>
  <c r="AY494" i="4" l="1"/>
  <c r="BA494" s="1"/>
  <c r="BF494"/>
  <c r="BG494" s="1"/>
  <c r="AW494"/>
  <c r="BD494"/>
  <c r="BE494" s="1"/>
  <c r="AZ494"/>
  <c r="BB494" s="1"/>
  <c r="AV495"/>
  <c r="AU494"/>
  <c r="AN352" i="6"/>
  <c r="BV516"/>
  <c r="BX516" s="1"/>
  <c r="BY517"/>
  <c r="BZ516"/>
  <c r="BW516"/>
  <c r="AL481" i="12"/>
  <c r="AJ482"/>
  <c r="AK481"/>
  <c r="AO481"/>
  <c r="AN481"/>
  <c r="BD492" i="5"/>
  <c r="BF492" s="1"/>
  <c r="BA493"/>
  <c r="BB492"/>
  <c r="BK492"/>
  <c r="BL492" s="1"/>
  <c r="BI492"/>
  <c r="BJ492" s="1"/>
  <c r="AZ492"/>
  <c r="BE492"/>
  <c r="BG492" s="1"/>
  <c r="BF495" i="4" l="1"/>
  <c r="BG495" s="1"/>
  <c r="AW495"/>
  <c r="AU495"/>
  <c r="BD495"/>
  <c r="BE495" s="1"/>
  <c r="AZ495"/>
  <c r="BB495" s="1"/>
  <c r="AV496"/>
  <c r="AY495"/>
  <c r="BA495" s="1"/>
  <c r="AJ483" i="12"/>
  <c r="AK482"/>
  <c r="AN482"/>
  <c r="AL482"/>
  <c r="AO482" s="1"/>
  <c r="BZ517" i="6"/>
  <c r="BW517" s="1"/>
  <c r="BV517"/>
  <c r="BX517" s="1"/>
  <c r="BY518"/>
  <c r="BK493" i="5"/>
  <c r="BL493" s="1"/>
  <c r="BD493"/>
  <c r="BF493" s="1"/>
  <c r="BI493"/>
  <c r="BJ493" s="1"/>
  <c r="BA494"/>
  <c r="BB493"/>
  <c r="AZ493"/>
  <c r="BE493"/>
  <c r="BG493" s="1"/>
  <c r="AM353" i="6"/>
  <c r="AW496" i="4" l="1"/>
  <c r="AU496"/>
  <c r="AZ496"/>
  <c r="BB496" s="1"/>
  <c r="BD496"/>
  <c r="BE496" s="1"/>
  <c r="AV497"/>
  <c r="BF496"/>
  <c r="BG496" s="1"/>
  <c r="AY496"/>
  <c r="BA496" s="1"/>
  <c r="BZ518" i="6"/>
  <c r="BY519"/>
  <c r="BV518"/>
  <c r="BX518" s="1"/>
  <c r="BW518"/>
  <c r="AN353"/>
  <c r="BB494" i="5"/>
  <c r="AZ494"/>
  <c r="BE494"/>
  <c r="BG494" s="1"/>
  <c r="BK494"/>
  <c r="BL494" s="1"/>
  <c r="BD494"/>
  <c r="BF494" s="1"/>
  <c r="BI494"/>
  <c r="BJ494" s="1"/>
  <c r="BA495"/>
  <c r="AL483" i="12"/>
  <c r="AK483"/>
  <c r="AO483"/>
  <c r="AJ484"/>
  <c r="AN483"/>
  <c r="AK484" l="1"/>
  <c r="AJ485"/>
  <c r="AL484"/>
  <c r="AN484"/>
  <c r="AO484"/>
  <c r="AZ495" i="5"/>
  <c r="BE495"/>
  <c r="BG495" s="1"/>
  <c r="BI495"/>
  <c r="BJ495" s="1"/>
  <c r="BA496"/>
  <c r="BD495"/>
  <c r="BF495" s="1"/>
  <c r="BK495"/>
  <c r="BL495" s="1"/>
  <c r="BB495"/>
  <c r="AM354" i="6"/>
  <c r="BY520"/>
  <c r="BV519"/>
  <c r="BX519" s="1"/>
  <c r="BZ519"/>
  <c r="BW519"/>
  <c r="AU497" i="4"/>
  <c r="AZ497"/>
  <c r="BB497" s="1"/>
  <c r="BD497"/>
  <c r="BE497" s="1"/>
  <c r="AV498"/>
  <c r="AY497"/>
  <c r="BA497" s="1"/>
  <c r="BF497"/>
  <c r="BG497" s="1"/>
  <c r="AW497"/>
  <c r="AY498" l="1"/>
  <c r="BA498" s="1"/>
  <c r="BF498"/>
  <c r="BG498" s="1"/>
  <c r="AZ498"/>
  <c r="BB498" s="1"/>
  <c r="AU498"/>
  <c r="AV499"/>
  <c r="AW498"/>
  <c r="BD498"/>
  <c r="BE498" s="1"/>
  <c r="AN354" i="6"/>
  <c r="BD496" i="5"/>
  <c r="BF496" s="1"/>
  <c r="BB496"/>
  <c r="BK496"/>
  <c r="BL496" s="1"/>
  <c r="AZ496"/>
  <c r="BE496"/>
  <c r="BG496" s="1"/>
  <c r="BI496"/>
  <c r="BJ496" s="1"/>
  <c r="BA497"/>
  <c r="BZ520" i="6"/>
  <c r="BW520" s="1"/>
  <c r="BV520"/>
  <c r="BX520" s="1"/>
  <c r="BY521"/>
  <c r="AL485" i="12"/>
  <c r="AO485" s="1"/>
  <c r="AK485"/>
  <c r="AN485"/>
  <c r="AJ486"/>
  <c r="AJ487" l="1"/>
  <c r="AL486"/>
  <c r="AO486" s="1"/>
  <c r="AN486"/>
  <c r="AK486"/>
  <c r="BF499" i="4"/>
  <c r="BG499" s="1"/>
  <c r="AW499"/>
  <c r="AY499"/>
  <c r="BA499" s="1"/>
  <c r="AZ499"/>
  <c r="BB499" s="1"/>
  <c r="AV500"/>
  <c r="BD499"/>
  <c r="BE499" s="1"/>
  <c r="AU499"/>
  <c r="BZ521" i="6"/>
  <c r="BW521" s="1"/>
  <c r="BY522"/>
  <c r="BV521"/>
  <c r="BX521" s="1"/>
  <c r="BK497" i="5"/>
  <c r="BL497" s="1"/>
  <c r="BA498"/>
  <c r="BB497"/>
  <c r="BI497"/>
  <c r="BJ497" s="1"/>
  <c r="AZ497"/>
  <c r="BD497"/>
  <c r="BF497" s="1"/>
  <c r="BE497"/>
  <c r="BG497" s="1"/>
  <c r="AM355" i="6"/>
  <c r="BB498" i="5" l="1"/>
  <c r="BE498"/>
  <c r="BG498" s="1"/>
  <c r="BK498"/>
  <c r="BL498" s="1"/>
  <c r="BD498"/>
  <c r="BF498" s="1"/>
  <c r="BI498"/>
  <c r="BJ498" s="1"/>
  <c r="BA499"/>
  <c r="AZ498"/>
  <c r="BZ522" i="6"/>
  <c r="BW522" s="1"/>
  <c r="BY523"/>
  <c r="BV522"/>
  <c r="BX522" s="1"/>
  <c r="AW500" i="4"/>
  <c r="AU500"/>
  <c r="AZ500"/>
  <c r="BB500" s="1"/>
  <c r="BD500"/>
  <c r="BE500" s="1"/>
  <c r="AV501"/>
  <c r="AY500"/>
  <c r="BA500" s="1"/>
  <c r="BF500"/>
  <c r="BG500" s="1"/>
  <c r="AK487" i="12"/>
  <c r="AJ488"/>
  <c r="AO487"/>
  <c r="AL487"/>
  <c r="AN487"/>
  <c r="AN355" i="6"/>
  <c r="AZ499" i="5" l="1"/>
  <c r="BE499"/>
  <c r="BG499" s="1"/>
  <c r="BI499"/>
  <c r="BJ499" s="1"/>
  <c r="BA500"/>
  <c r="BB499"/>
  <c r="BK499"/>
  <c r="BL499" s="1"/>
  <c r="BD499"/>
  <c r="BF499" s="1"/>
  <c r="BY524" i="6"/>
  <c r="BV523"/>
  <c r="BX523" s="1"/>
  <c r="BZ523"/>
  <c r="BW523" s="1"/>
  <c r="AM356"/>
  <c r="AK488" i="12"/>
  <c r="AJ489"/>
  <c r="AL488"/>
  <c r="AN488"/>
  <c r="AO488"/>
  <c r="AU501" i="4"/>
  <c r="AZ501"/>
  <c r="BB501" s="1"/>
  <c r="BD501"/>
  <c r="BE501" s="1"/>
  <c r="AV502"/>
  <c r="AY501"/>
  <c r="BA501" s="1"/>
  <c r="AW501"/>
  <c r="BF501"/>
  <c r="BG501" s="1"/>
  <c r="AY502" l="1"/>
  <c r="BA502" s="1"/>
  <c r="BF502"/>
  <c r="BG502" s="1"/>
  <c r="AW502"/>
  <c r="BD502"/>
  <c r="BE502" s="1"/>
  <c r="AZ502"/>
  <c r="BB502" s="1"/>
  <c r="AU502"/>
  <c r="AV503"/>
  <c r="AL489" i="12"/>
  <c r="AO489"/>
  <c r="AN489"/>
  <c r="AK489"/>
  <c r="AJ490"/>
  <c r="AN356" i="6"/>
  <c r="BY525"/>
  <c r="BV524"/>
  <c r="BX524" s="1"/>
  <c r="BZ524"/>
  <c r="BW524" s="1"/>
  <c r="BD500" i="5"/>
  <c r="BF500" s="1"/>
  <c r="AZ500"/>
  <c r="BE500"/>
  <c r="BG500" s="1"/>
  <c r="BI500"/>
  <c r="BJ500" s="1"/>
  <c r="BA501"/>
  <c r="BK500"/>
  <c r="BL500" s="1"/>
  <c r="BB500"/>
  <c r="AM357" i="6" l="1"/>
  <c r="BK501" i="5"/>
  <c r="BL501" s="1"/>
  <c r="BB501"/>
  <c r="AZ501"/>
  <c r="BE501"/>
  <c r="BG501" s="1"/>
  <c r="BA502"/>
  <c r="BI501"/>
  <c r="BJ501" s="1"/>
  <c r="BD501"/>
  <c r="BF501" s="1"/>
  <c r="BZ525" i="6"/>
  <c r="BW525"/>
  <c r="BV525"/>
  <c r="BX525" s="1"/>
  <c r="BY526"/>
  <c r="BF503" i="4"/>
  <c r="BG503" s="1"/>
  <c r="AW503"/>
  <c r="AU503"/>
  <c r="BD503"/>
  <c r="BE503" s="1"/>
  <c r="AY503"/>
  <c r="BA503" s="1"/>
  <c r="AV504"/>
  <c r="AZ503"/>
  <c r="BB503" s="1"/>
  <c r="AJ491" i="12"/>
  <c r="AL490"/>
  <c r="AK490"/>
  <c r="AN490"/>
  <c r="AO490"/>
  <c r="AJ492" l="1"/>
  <c r="AL491"/>
  <c r="AO491"/>
  <c r="AK491"/>
  <c r="AN491"/>
  <c r="BZ526" i="6"/>
  <c r="BY527"/>
  <c r="BV526"/>
  <c r="BX526" s="1"/>
  <c r="BW526"/>
  <c r="AN357"/>
  <c r="AW504" i="4"/>
  <c r="AU504"/>
  <c r="AZ504"/>
  <c r="BB504" s="1"/>
  <c r="BD504"/>
  <c r="BE504" s="1"/>
  <c r="AV505"/>
  <c r="BF504"/>
  <c r="BG504" s="1"/>
  <c r="AY504"/>
  <c r="BA504" s="1"/>
  <c r="BB502" i="5"/>
  <c r="BD502"/>
  <c r="BF502" s="1"/>
  <c r="BI502"/>
  <c r="BJ502" s="1"/>
  <c r="BA503"/>
  <c r="BE502"/>
  <c r="BG502" s="1"/>
  <c r="AZ502"/>
  <c r="BK502"/>
  <c r="BL502" s="1"/>
  <c r="AU505" i="4" l="1"/>
  <c r="AZ505"/>
  <c r="BB505" s="1"/>
  <c r="BD505"/>
  <c r="BE505" s="1"/>
  <c r="AV506"/>
  <c r="AY505"/>
  <c r="BA505" s="1"/>
  <c r="BF505"/>
  <c r="BG505" s="1"/>
  <c r="AW505"/>
  <c r="AK492" i="12"/>
  <c r="AL492"/>
  <c r="AO492" s="1"/>
  <c r="AN492"/>
  <c r="AJ493"/>
  <c r="AZ503" i="5"/>
  <c r="BE503"/>
  <c r="BG503" s="1"/>
  <c r="BI503"/>
  <c r="BJ503" s="1"/>
  <c r="BA504"/>
  <c r="BB503"/>
  <c r="BK503"/>
  <c r="BL503" s="1"/>
  <c r="BD503"/>
  <c r="BF503" s="1"/>
  <c r="AM358" i="6"/>
  <c r="BY528"/>
  <c r="BZ527"/>
  <c r="BV527"/>
  <c r="BX527" s="1"/>
  <c r="BW527"/>
  <c r="AL493" i="12" l="1"/>
  <c r="AO493" s="1"/>
  <c r="AJ494"/>
  <c r="AN493"/>
  <c r="AK493"/>
  <c r="BZ528" i="6"/>
  <c r="BY529"/>
  <c r="BV528"/>
  <c r="BX528" s="1"/>
  <c r="BW528"/>
  <c r="AN358"/>
  <c r="BD504" i="5"/>
  <c r="BF504" s="1"/>
  <c r="BE504"/>
  <c r="BG504" s="1"/>
  <c r="BI504"/>
  <c r="BJ504" s="1"/>
  <c r="BA505"/>
  <c r="AZ504"/>
  <c r="BK504"/>
  <c r="BL504" s="1"/>
  <c r="BB504"/>
  <c r="AY506" i="4"/>
  <c r="BA506" s="1"/>
  <c r="BF506"/>
  <c r="BG506" s="1"/>
  <c r="AZ506"/>
  <c r="BB506" s="1"/>
  <c r="AU506"/>
  <c r="AV507"/>
  <c r="BD506"/>
  <c r="BE506" s="1"/>
  <c r="AW506"/>
  <c r="AM359" i="6" l="1"/>
  <c r="AJ495" i="12"/>
  <c r="AK494"/>
  <c r="AL494"/>
  <c r="AO494" s="1"/>
  <c r="AN494"/>
  <c r="BZ529" i="6"/>
  <c r="BY530"/>
  <c r="BW529"/>
  <c r="BV529"/>
  <c r="BX529" s="1"/>
  <c r="BF507" i="4"/>
  <c r="BG507" s="1"/>
  <c r="AW507"/>
  <c r="AY507"/>
  <c r="BA507" s="1"/>
  <c r="AZ507"/>
  <c r="BB507" s="1"/>
  <c r="AV508"/>
  <c r="BD507"/>
  <c r="BE507" s="1"/>
  <c r="AU507"/>
  <c r="BK505" i="5"/>
  <c r="BL505" s="1"/>
  <c r="AZ505"/>
  <c r="BE505"/>
  <c r="BG505" s="1"/>
  <c r="BD505"/>
  <c r="BF505" s="1"/>
  <c r="BI505"/>
  <c r="BJ505" s="1"/>
  <c r="BB505"/>
  <c r="BA506"/>
  <c r="BB506" l="1"/>
  <c r="BA507"/>
  <c r="AZ506"/>
  <c r="BE506"/>
  <c r="BG506" s="1"/>
  <c r="BD506"/>
  <c r="BF506" s="1"/>
  <c r="BK506"/>
  <c r="BL506" s="1"/>
  <c r="BI506"/>
  <c r="BJ506" s="1"/>
  <c r="BZ530" i="6"/>
  <c r="BW530" s="1"/>
  <c r="BY531"/>
  <c r="BV530"/>
  <c r="BX530" s="1"/>
  <c r="AJ496" i="12"/>
  <c r="AL495"/>
  <c r="AO495" s="1"/>
  <c r="AK495"/>
  <c r="AN495"/>
  <c r="AN359" i="6"/>
  <c r="AW508" i="4"/>
  <c r="AU508"/>
  <c r="AZ508"/>
  <c r="BB508" s="1"/>
  <c r="BD508"/>
  <c r="BE508" s="1"/>
  <c r="AV509"/>
  <c r="BF508"/>
  <c r="BG508" s="1"/>
  <c r="AY508"/>
  <c r="BA508" s="1"/>
  <c r="AZ507" i="5" l="1"/>
  <c r="BE507"/>
  <c r="BG507" s="1"/>
  <c r="BI507"/>
  <c r="BJ507" s="1"/>
  <c r="BA508"/>
  <c r="BK507"/>
  <c r="BL507" s="1"/>
  <c r="BD507"/>
  <c r="BF507" s="1"/>
  <c r="BB507"/>
  <c r="AU509" i="4"/>
  <c r="AZ509"/>
  <c r="BB509" s="1"/>
  <c r="BD509"/>
  <c r="BE509" s="1"/>
  <c r="AV510"/>
  <c r="AY509"/>
  <c r="BA509" s="1"/>
  <c r="AW509"/>
  <c r="BF509"/>
  <c r="BG509" s="1"/>
  <c r="AM360" i="6"/>
  <c r="BY532"/>
  <c r="BZ531"/>
  <c r="BW531" s="1"/>
  <c r="BV531"/>
  <c r="BX531" s="1"/>
  <c r="AK496" i="12"/>
  <c r="AL496"/>
  <c r="AJ497"/>
  <c r="AN496"/>
  <c r="AO496"/>
  <c r="BY533" i="6" l="1"/>
  <c r="BV532"/>
  <c r="BX532" s="1"/>
  <c r="BZ532"/>
  <c r="BW532" s="1"/>
  <c r="AN360"/>
  <c r="AY510" i="4"/>
  <c r="BA510" s="1"/>
  <c r="BF510"/>
  <c r="BG510" s="1"/>
  <c r="AW510"/>
  <c r="BD510"/>
  <c r="BE510" s="1"/>
  <c r="AU510"/>
  <c r="AZ510"/>
  <c r="BB510" s="1"/>
  <c r="AV511"/>
  <c r="AL497" i="12"/>
  <c r="AJ498"/>
  <c r="AK497"/>
  <c r="AO497"/>
  <c r="AN497"/>
  <c r="BD508" i="5"/>
  <c r="BF508" s="1"/>
  <c r="BA509"/>
  <c r="BB508"/>
  <c r="BK508"/>
  <c r="BL508" s="1"/>
  <c r="BE508"/>
  <c r="BG508" s="1"/>
  <c r="BI508"/>
  <c r="BJ508" s="1"/>
  <c r="AZ508"/>
  <c r="BF511" i="4" l="1"/>
  <c r="BG511" s="1"/>
  <c r="AW511"/>
  <c r="AU511"/>
  <c r="BD511"/>
  <c r="BE511" s="1"/>
  <c r="AZ511"/>
  <c r="BB511" s="1"/>
  <c r="AY511"/>
  <c r="BA511" s="1"/>
  <c r="AV512"/>
  <c r="AM361" i="6"/>
  <c r="AJ499" i="12"/>
  <c r="AL498"/>
  <c r="AK498"/>
  <c r="AN498"/>
  <c r="AO498"/>
  <c r="BZ533" i="6"/>
  <c r="BV533"/>
  <c r="BX533" s="1"/>
  <c r="BY534"/>
  <c r="BW533"/>
  <c r="BK509" i="5"/>
  <c r="BL509" s="1"/>
  <c r="BD509"/>
  <c r="BF509" s="1"/>
  <c r="BI509"/>
  <c r="BJ509" s="1"/>
  <c r="BA510"/>
  <c r="AZ509"/>
  <c r="BE509"/>
  <c r="BG509" s="1"/>
  <c r="BB509"/>
  <c r="AL499" i="12" l="1"/>
  <c r="AO499" s="1"/>
  <c r="AK499"/>
  <c r="AN499"/>
  <c r="AJ500"/>
  <c r="BZ534" i="6"/>
  <c r="BY535"/>
  <c r="BV534"/>
  <c r="BX534" s="1"/>
  <c r="BW534"/>
  <c r="BB510" i="5"/>
  <c r="AZ510"/>
  <c r="BE510"/>
  <c r="BG510" s="1"/>
  <c r="BK510"/>
  <c r="BL510" s="1"/>
  <c r="BA511"/>
  <c r="BI510"/>
  <c r="BJ510" s="1"/>
  <c r="BD510"/>
  <c r="BF510" s="1"/>
  <c r="AW512" i="4"/>
  <c r="AU512"/>
  <c r="AZ512"/>
  <c r="BB512" s="1"/>
  <c r="BD512"/>
  <c r="BE512" s="1"/>
  <c r="AV513"/>
  <c r="BF512"/>
  <c r="BG512" s="1"/>
  <c r="AY512"/>
  <c r="BA512" s="1"/>
  <c r="AN361" i="6"/>
  <c r="AM362" l="1"/>
  <c r="AU513" i="4"/>
  <c r="AZ513"/>
  <c r="BB513" s="1"/>
  <c r="BD513"/>
  <c r="BE513" s="1"/>
  <c r="AV514"/>
  <c r="AY513"/>
  <c r="BA513" s="1"/>
  <c r="BF513"/>
  <c r="BG513" s="1"/>
  <c r="AW513"/>
  <c r="AK500" i="12"/>
  <c r="AJ501"/>
  <c r="AL500"/>
  <c r="AO500" s="1"/>
  <c r="AN500"/>
  <c r="AZ511" i="5"/>
  <c r="BE511"/>
  <c r="BG511" s="1"/>
  <c r="BI511"/>
  <c r="BJ511" s="1"/>
  <c r="BA512"/>
  <c r="BD511"/>
  <c r="BF511" s="1"/>
  <c r="BB511"/>
  <c r="BK511"/>
  <c r="BL511" s="1"/>
  <c r="BY536" i="6"/>
  <c r="BV535"/>
  <c r="BX535" s="1"/>
  <c r="BZ535"/>
  <c r="BW535" s="1"/>
  <c r="AN362" l="1"/>
  <c r="BZ536"/>
  <c r="BV536"/>
  <c r="BX536" s="1"/>
  <c r="BY537"/>
  <c r="BW536"/>
  <c r="BD512" i="5"/>
  <c r="BF512" s="1"/>
  <c r="BB512"/>
  <c r="BK512"/>
  <c r="BL512" s="1"/>
  <c r="AZ512"/>
  <c r="BA513"/>
  <c r="BI512"/>
  <c r="BJ512" s="1"/>
  <c r="BE512"/>
  <c r="BG512" s="1"/>
  <c r="AY514" i="4"/>
  <c r="BA514" s="1"/>
  <c r="BF514"/>
  <c r="BG514" s="1"/>
  <c r="AZ514"/>
  <c r="BB514" s="1"/>
  <c r="AU514"/>
  <c r="AV515"/>
  <c r="AW514"/>
  <c r="BD514"/>
  <c r="BE514" s="1"/>
  <c r="AL501" i="12"/>
  <c r="AO501" s="1"/>
  <c r="AK501"/>
  <c r="AJ502"/>
  <c r="AN501"/>
  <c r="BK513" i="5" l="1"/>
  <c r="BL513" s="1"/>
  <c r="BA514"/>
  <c r="BB513"/>
  <c r="BE513"/>
  <c r="BG513" s="1"/>
  <c r="BD513"/>
  <c r="BF513" s="1"/>
  <c r="AZ513"/>
  <c r="BI513"/>
  <c r="BJ513" s="1"/>
  <c r="BZ537" i="6"/>
  <c r="BW537" s="1"/>
  <c r="BY538"/>
  <c r="BV537"/>
  <c r="BX537" s="1"/>
  <c r="AM363"/>
  <c r="BF515" i="4"/>
  <c r="BG515" s="1"/>
  <c r="AW515"/>
  <c r="AY515"/>
  <c r="BA515" s="1"/>
  <c r="AZ515"/>
  <c r="BB515" s="1"/>
  <c r="AV516"/>
  <c r="AU515"/>
  <c r="BD515"/>
  <c r="BE515" s="1"/>
  <c r="AJ503" i="12"/>
  <c r="AL502"/>
  <c r="AK502"/>
  <c r="AN502"/>
  <c r="AO502"/>
  <c r="BB514" i="5" l="1"/>
  <c r="BE514"/>
  <c r="BG514" s="1"/>
  <c r="BK514"/>
  <c r="BL514" s="1"/>
  <c r="BD514"/>
  <c r="BF514" s="1"/>
  <c r="BI514"/>
  <c r="BJ514" s="1"/>
  <c r="AZ514"/>
  <c r="BA515"/>
  <c r="BZ538" i="6"/>
  <c r="BW538" s="1"/>
  <c r="BY539"/>
  <c r="BV538"/>
  <c r="BX538" s="1"/>
  <c r="AW516" i="4"/>
  <c r="AU516"/>
  <c r="AZ516"/>
  <c r="BB516" s="1"/>
  <c r="BD516"/>
  <c r="BE516" s="1"/>
  <c r="AV517"/>
  <c r="AY516"/>
  <c r="BA516" s="1"/>
  <c r="BF516"/>
  <c r="BG516" s="1"/>
  <c r="AK503" i="12"/>
  <c r="AN503"/>
  <c r="AL503"/>
  <c r="AO503" s="1"/>
  <c r="AJ504"/>
  <c r="AN363" i="6"/>
  <c r="AK504" i="12" l="1"/>
  <c r="AJ505"/>
  <c r="AL504"/>
  <c r="AO504" s="1"/>
  <c r="AN504"/>
  <c r="AZ515" i="5"/>
  <c r="BE515"/>
  <c r="BG515" s="1"/>
  <c r="BI515"/>
  <c r="BJ515" s="1"/>
  <c r="BA516"/>
  <c r="BB515"/>
  <c r="BD515"/>
  <c r="BF515" s="1"/>
  <c r="BK515"/>
  <c r="BL515" s="1"/>
  <c r="BY540" i="6"/>
  <c r="BV539"/>
  <c r="BX539" s="1"/>
  <c r="BZ539"/>
  <c r="BW539" s="1"/>
  <c r="AM364"/>
  <c r="AU517" i="4"/>
  <c r="AZ517"/>
  <c r="BB517" s="1"/>
  <c r="BD517"/>
  <c r="BE517" s="1"/>
  <c r="AV518"/>
  <c r="AY517"/>
  <c r="BA517" s="1"/>
  <c r="AW517"/>
  <c r="BF517"/>
  <c r="BG517" s="1"/>
  <c r="AN364" i="6" l="1"/>
  <c r="BY541"/>
  <c r="BV540"/>
  <c r="BX540" s="1"/>
  <c r="BZ540"/>
  <c r="BW540" s="1"/>
  <c r="BD516" i="5"/>
  <c r="BF516" s="1"/>
  <c r="AZ516"/>
  <c r="BE516"/>
  <c r="BG516" s="1"/>
  <c r="BI516"/>
  <c r="BJ516" s="1"/>
  <c r="BB516"/>
  <c r="BK516"/>
  <c r="BL516" s="1"/>
  <c r="BA517"/>
  <c r="AY518" i="4"/>
  <c r="BA518" s="1"/>
  <c r="BF518"/>
  <c r="BG518" s="1"/>
  <c r="AW518"/>
  <c r="BD518"/>
  <c r="BE518" s="1"/>
  <c r="AZ518"/>
  <c r="BB518" s="1"/>
  <c r="AU518"/>
  <c r="AV519"/>
  <c r="AL505" i="12"/>
  <c r="AO505" s="1"/>
  <c r="AJ506"/>
  <c r="AK505"/>
  <c r="AN505"/>
  <c r="BK517" i="5" l="1"/>
  <c r="BL517" s="1"/>
  <c r="BB517"/>
  <c r="AZ517"/>
  <c r="BE517"/>
  <c r="BG517" s="1"/>
  <c r="BD517"/>
  <c r="BF517" s="1"/>
  <c r="BI517"/>
  <c r="BJ517" s="1"/>
  <c r="BA518"/>
  <c r="BZ541" i="6"/>
  <c r="BW541" s="1"/>
  <c r="BV541"/>
  <c r="BX541" s="1"/>
  <c r="BY542"/>
  <c r="AM365"/>
  <c r="AJ507" i="12"/>
  <c r="AL506"/>
  <c r="AO506" s="1"/>
  <c r="AK506"/>
  <c r="AN506"/>
  <c r="BF519" i="4"/>
  <c r="BG519" s="1"/>
  <c r="AW519"/>
  <c r="AU519"/>
  <c r="BD519"/>
  <c r="BE519" s="1"/>
  <c r="AY519"/>
  <c r="BA519" s="1"/>
  <c r="AV520"/>
  <c r="AZ519"/>
  <c r="BB519" s="1"/>
  <c r="AJ508" i="12" l="1"/>
  <c r="AN507"/>
  <c r="AK507"/>
  <c r="AL507"/>
  <c r="AO507" s="1"/>
  <c r="AN365" i="6"/>
  <c r="BZ542"/>
  <c r="BY543"/>
  <c r="BW542"/>
  <c r="BV542"/>
  <c r="BX542" s="1"/>
  <c r="BB518" i="5"/>
  <c r="BD518"/>
  <c r="BF518" s="1"/>
  <c r="BI518"/>
  <c r="BJ518" s="1"/>
  <c r="BA519"/>
  <c r="BK518"/>
  <c r="BL518" s="1"/>
  <c r="AZ518"/>
  <c r="BE518"/>
  <c r="BG518" s="1"/>
  <c r="AW520" i="4"/>
  <c r="AU520"/>
  <c r="AZ520"/>
  <c r="BB520" s="1"/>
  <c r="BD520"/>
  <c r="BE520" s="1"/>
  <c r="AV521"/>
  <c r="BF520"/>
  <c r="BG520" s="1"/>
  <c r="AY520"/>
  <c r="BA520" s="1"/>
  <c r="BY544" i="6" l="1"/>
  <c r="BV543"/>
  <c r="BX543" s="1"/>
  <c r="BZ543"/>
  <c r="BW543" s="1"/>
  <c r="AK508" i="12"/>
  <c r="AL508"/>
  <c r="AJ509"/>
  <c r="AN508"/>
  <c r="AO508"/>
  <c r="AM366" i="6"/>
  <c r="AU521" i="4"/>
  <c r="AZ521"/>
  <c r="BB521" s="1"/>
  <c r="BD521"/>
  <c r="BE521" s="1"/>
  <c r="AV522"/>
  <c r="AY521"/>
  <c r="BA521" s="1"/>
  <c r="BF521"/>
  <c r="BG521" s="1"/>
  <c r="AW521"/>
  <c r="AZ519" i="5"/>
  <c r="BE519"/>
  <c r="BG519" s="1"/>
  <c r="BI519"/>
  <c r="BJ519" s="1"/>
  <c r="BA520"/>
  <c r="BB519"/>
  <c r="BK519"/>
  <c r="BL519" s="1"/>
  <c r="BD519"/>
  <c r="BF519" s="1"/>
  <c r="BZ544" i="6" l="1"/>
  <c r="BW544" s="1"/>
  <c r="BV544"/>
  <c r="BX544" s="1"/>
  <c r="BY545"/>
  <c r="BD520" i="5"/>
  <c r="BF520" s="1"/>
  <c r="BE520"/>
  <c r="BG520" s="1"/>
  <c r="BI520"/>
  <c r="BJ520" s="1"/>
  <c r="BA521"/>
  <c r="BB520"/>
  <c r="AZ520"/>
  <c r="BK520"/>
  <c r="BL520" s="1"/>
  <c r="AN366" i="6"/>
  <c r="AY522" i="4"/>
  <c r="BA522" s="1"/>
  <c r="BF522"/>
  <c r="BG522" s="1"/>
  <c r="AZ522"/>
  <c r="BB522" s="1"/>
  <c r="AU522"/>
  <c r="AV523"/>
  <c r="BD522"/>
  <c r="BE522" s="1"/>
  <c r="AW522"/>
  <c r="AL509" i="12"/>
  <c r="AO509" s="1"/>
  <c r="AJ510"/>
  <c r="AK509"/>
  <c r="AN509"/>
  <c r="AJ511" l="1"/>
  <c r="AK510"/>
  <c r="AL510"/>
  <c r="AN510"/>
  <c r="AO510"/>
  <c r="BF523" i="4"/>
  <c r="BG523" s="1"/>
  <c r="AW523"/>
  <c r="AY523"/>
  <c r="BA523" s="1"/>
  <c r="AZ523"/>
  <c r="BB523" s="1"/>
  <c r="AV524"/>
  <c r="BD523"/>
  <c r="BE523" s="1"/>
  <c r="AU523"/>
  <c r="BZ545" i="6"/>
  <c r="BW545" s="1"/>
  <c r="BY546"/>
  <c r="BV545"/>
  <c r="BX545" s="1"/>
  <c r="AM367"/>
  <c r="BK521" i="5"/>
  <c r="BL521" s="1"/>
  <c r="AZ521"/>
  <c r="BE521"/>
  <c r="BG521" s="1"/>
  <c r="BD521"/>
  <c r="BF521" s="1"/>
  <c r="BI521"/>
  <c r="BJ521" s="1"/>
  <c r="BA522"/>
  <c r="BB521"/>
  <c r="BZ546" i="6" l="1"/>
  <c r="BW546" s="1"/>
  <c r="BY547"/>
  <c r="BV546"/>
  <c r="BX546" s="1"/>
  <c r="AW524" i="4"/>
  <c r="AU524"/>
  <c r="AZ524"/>
  <c r="BB524" s="1"/>
  <c r="BD524"/>
  <c r="BE524" s="1"/>
  <c r="AV525"/>
  <c r="BF524"/>
  <c r="BG524" s="1"/>
  <c r="AY524"/>
  <c r="BA524" s="1"/>
  <c r="AN367" i="6"/>
  <c r="AJ512" i="12"/>
  <c r="AL511"/>
  <c r="AO511" s="1"/>
  <c r="AN511"/>
  <c r="AK511"/>
  <c r="BB522" i="5"/>
  <c r="BA523"/>
  <c r="AZ522"/>
  <c r="BI522"/>
  <c r="BJ522" s="1"/>
  <c r="BK522"/>
  <c r="BL522" s="1"/>
  <c r="BD522"/>
  <c r="BF522" s="1"/>
  <c r="BE522"/>
  <c r="BG522" s="1"/>
  <c r="AU525" i="4" l="1"/>
  <c r="AZ525"/>
  <c r="BB525" s="1"/>
  <c r="BD525"/>
  <c r="BE525" s="1"/>
  <c r="AV526"/>
  <c r="AY525"/>
  <c r="BA525" s="1"/>
  <c r="AW525"/>
  <c r="BF525"/>
  <c r="BG525" s="1"/>
  <c r="AK512" i="12"/>
  <c r="AJ513"/>
  <c r="AL512"/>
  <c r="AO512" s="1"/>
  <c r="AN512"/>
  <c r="BY548" i="6"/>
  <c r="BZ547"/>
  <c r="BW547" s="1"/>
  <c r="BV547"/>
  <c r="BX547" s="1"/>
  <c r="AZ523" i="5"/>
  <c r="BE523"/>
  <c r="BG523" s="1"/>
  <c r="BI523"/>
  <c r="BJ523" s="1"/>
  <c r="BA524"/>
  <c r="BK523"/>
  <c r="BL523" s="1"/>
  <c r="BD523"/>
  <c r="BF523" s="1"/>
  <c r="BB523"/>
  <c r="AM368" i="6"/>
  <c r="BV548" l="1"/>
  <c r="BX548" s="1"/>
  <c r="BY549"/>
  <c r="BZ548"/>
  <c r="BW548" s="1"/>
  <c r="AL513" i="12"/>
  <c r="AO513" s="1"/>
  <c r="AJ514"/>
  <c r="AK513"/>
  <c r="AN513"/>
  <c r="AN368" i="6"/>
  <c r="BD524" i="5"/>
  <c r="BF524" s="1"/>
  <c r="BA525"/>
  <c r="BB524"/>
  <c r="BK524"/>
  <c r="BL524" s="1"/>
  <c r="BI524"/>
  <c r="BJ524" s="1"/>
  <c r="AZ524"/>
  <c r="BE524"/>
  <c r="BG524" s="1"/>
  <c r="AY526" i="4"/>
  <c r="BA526" s="1"/>
  <c r="BF526"/>
  <c r="BG526" s="1"/>
  <c r="AW526"/>
  <c r="BD526"/>
  <c r="BE526" s="1"/>
  <c r="AZ526"/>
  <c r="BB526" s="1"/>
  <c r="AV527"/>
  <c r="AU526"/>
  <c r="BK525" i="5" l="1"/>
  <c r="BL525" s="1"/>
  <c r="BD525"/>
  <c r="BF525" s="1"/>
  <c r="BI525"/>
  <c r="BJ525" s="1"/>
  <c r="BA526"/>
  <c r="BB525"/>
  <c r="BE525"/>
  <c r="BG525" s="1"/>
  <c r="AZ525"/>
  <c r="AM369" i="6"/>
  <c r="AJ515" i="12"/>
  <c r="AN514"/>
  <c r="AL514"/>
  <c r="AO514" s="1"/>
  <c r="AK514"/>
  <c r="BZ549" i="6"/>
  <c r="BY550"/>
  <c r="BV549"/>
  <c r="BX549" s="1"/>
  <c r="BW549"/>
  <c r="BF527" i="4"/>
  <c r="BG527" s="1"/>
  <c r="AW527"/>
  <c r="AU527"/>
  <c r="BD527"/>
  <c r="BE527" s="1"/>
  <c r="AZ527"/>
  <c r="BB527" s="1"/>
  <c r="AV528"/>
  <c r="AY527"/>
  <c r="BA527" s="1"/>
  <c r="AL515" i="12" l="1"/>
  <c r="AO515" s="1"/>
  <c r="AK515"/>
  <c r="AJ516"/>
  <c r="AN515"/>
  <c r="AW528" i="4"/>
  <c r="AU528"/>
  <c r="AZ528"/>
  <c r="BB528" s="1"/>
  <c r="BD528"/>
  <c r="BE528" s="1"/>
  <c r="AV529"/>
  <c r="BF528"/>
  <c r="BG528" s="1"/>
  <c r="AY528"/>
  <c r="BA528" s="1"/>
  <c r="BZ550" i="6"/>
  <c r="BW550" s="1"/>
  <c r="BY551"/>
  <c r="BV550"/>
  <c r="BX550" s="1"/>
  <c r="AN369"/>
  <c r="BB526" i="5"/>
  <c r="AZ526"/>
  <c r="BE526"/>
  <c r="BG526" s="1"/>
  <c r="BK526"/>
  <c r="BL526" s="1"/>
  <c r="BD526"/>
  <c r="BF526" s="1"/>
  <c r="BI526"/>
  <c r="BJ526" s="1"/>
  <c r="BA527"/>
  <c r="BY552" i="6" l="1"/>
  <c r="BV551"/>
  <c r="BX551" s="1"/>
  <c r="BZ551"/>
  <c r="BW551" s="1"/>
  <c r="AU529" i="4"/>
  <c r="AZ529"/>
  <c r="BB529" s="1"/>
  <c r="BD529"/>
  <c r="BE529" s="1"/>
  <c r="AV530"/>
  <c r="AY529"/>
  <c r="BA529" s="1"/>
  <c r="BF529"/>
  <c r="BG529" s="1"/>
  <c r="AW529"/>
  <c r="AZ527" i="5"/>
  <c r="BE527"/>
  <c r="BG527" s="1"/>
  <c r="BI527"/>
  <c r="BJ527" s="1"/>
  <c r="BA528"/>
  <c r="BD527"/>
  <c r="BF527" s="1"/>
  <c r="BK527"/>
  <c r="BL527" s="1"/>
  <c r="BB527"/>
  <c r="AM370" i="6"/>
  <c r="AK516" i="12"/>
  <c r="AJ517"/>
  <c r="AL516"/>
  <c r="AN516"/>
  <c r="AO516"/>
  <c r="BZ552" i="6" l="1"/>
  <c r="BW552" s="1"/>
  <c r="BY553"/>
  <c r="BV552"/>
  <c r="BX552" s="1"/>
  <c r="AL517" i="12"/>
  <c r="AO517" s="1"/>
  <c r="AK517"/>
  <c r="AN517"/>
  <c r="AJ518"/>
  <c r="AN370" i="6"/>
  <c r="BD528" i="5"/>
  <c r="BF528" s="1"/>
  <c r="BB528"/>
  <c r="BK528"/>
  <c r="BL528" s="1"/>
  <c r="AZ528"/>
  <c r="BE528"/>
  <c r="BG528" s="1"/>
  <c r="BA529"/>
  <c r="BI528"/>
  <c r="BJ528" s="1"/>
  <c r="AY530" i="4"/>
  <c r="BA530" s="1"/>
  <c r="BF530"/>
  <c r="BG530" s="1"/>
  <c r="AZ530"/>
  <c r="BB530" s="1"/>
  <c r="AU530"/>
  <c r="AV531"/>
  <c r="AW530"/>
  <c r="BD530"/>
  <c r="BE530" s="1"/>
  <c r="AM371" i="6" l="1"/>
  <c r="BZ553"/>
  <c r="BY554"/>
  <c r="BW553"/>
  <c r="BV553"/>
  <c r="BX553" s="1"/>
  <c r="BF531" i="4"/>
  <c r="BG531" s="1"/>
  <c r="AW531"/>
  <c r="AY531"/>
  <c r="BA531" s="1"/>
  <c r="AZ531"/>
  <c r="BB531" s="1"/>
  <c r="AV532"/>
  <c r="AU531"/>
  <c r="BD531"/>
  <c r="BE531" s="1"/>
  <c r="BK529" i="5"/>
  <c r="BL529" s="1"/>
  <c r="BA530"/>
  <c r="BB529"/>
  <c r="BI529"/>
  <c r="BJ529" s="1"/>
  <c r="AZ529"/>
  <c r="BD529"/>
  <c r="BF529" s="1"/>
  <c r="BE529"/>
  <c r="BG529" s="1"/>
  <c r="AJ519" i="12"/>
  <c r="AL518"/>
  <c r="AN518"/>
  <c r="AK518"/>
  <c r="AO518"/>
  <c r="BB530" i="5" l="1"/>
  <c r="BE530"/>
  <c r="BG530" s="1"/>
  <c r="BK530"/>
  <c r="BL530" s="1"/>
  <c r="BD530"/>
  <c r="BF530" s="1"/>
  <c r="BI530"/>
  <c r="BJ530" s="1"/>
  <c r="BA531"/>
  <c r="AZ530"/>
  <c r="AW532" i="4"/>
  <c r="AU532"/>
  <c r="AZ532"/>
  <c r="BB532" s="1"/>
  <c r="BD532"/>
  <c r="BE532" s="1"/>
  <c r="AV533"/>
  <c r="AY532"/>
  <c r="BA532" s="1"/>
  <c r="BF532"/>
  <c r="BG532" s="1"/>
  <c r="AK519" i="12"/>
  <c r="AJ520"/>
  <c r="AO519"/>
  <c r="AL519"/>
  <c r="AN519"/>
  <c r="AN371" i="6"/>
  <c r="BZ554"/>
  <c r="BY555"/>
  <c r="BV554"/>
  <c r="BX554" s="1"/>
  <c r="BW554"/>
  <c r="AZ531" i="5" l="1"/>
  <c r="BE531"/>
  <c r="BG531" s="1"/>
  <c r="BI531"/>
  <c r="BJ531" s="1"/>
  <c r="BA532"/>
  <c r="BB531"/>
  <c r="BK531"/>
  <c r="BL531" s="1"/>
  <c r="BD531"/>
  <c r="BF531" s="1"/>
  <c r="BY556" i="6"/>
  <c r="BZ555"/>
  <c r="BW555" s="1"/>
  <c r="BV555"/>
  <c r="BX555" s="1"/>
  <c r="AM372"/>
  <c r="AK520" i="12"/>
  <c r="AJ521"/>
  <c r="AL520"/>
  <c r="AN520"/>
  <c r="AO520"/>
  <c r="AU533" i="4"/>
  <c r="AZ533"/>
  <c r="BB533" s="1"/>
  <c r="BD533"/>
  <c r="BE533" s="1"/>
  <c r="AV534"/>
  <c r="AY533"/>
  <c r="BA533" s="1"/>
  <c r="AW533"/>
  <c r="BF533"/>
  <c r="BG533" s="1"/>
  <c r="AY534" l="1"/>
  <c r="BA534" s="1"/>
  <c r="BF534"/>
  <c r="BG534" s="1"/>
  <c r="AW534"/>
  <c r="BD534"/>
  <c r="BE534" s="1"/>
  <c r="AV535"/>
  <c r="AU534"/>
  <c r="AZ534"/>
  <c r="BB534" s="1"/>
  <c r="AL521" i="12"/>
  <c r="AO521"/>
  <c r="AN521"/>
  <c r="AK521"/>
  <c r="AJ522"/>
  <c r="AN372" i="6"/>
  <c r="BV556"/>
  <c r="BX556" s="1"/>
  <c r="BY557"/>
  <c r="BZ556"/>
  <c r="BW556" s="1"/>
  <c r="BD532" i="5"/>
  <c r="BF532" s="1"/>
  <c r="AZ532"/>
  <c r="BE532"/>
  <c r="BG532" s="1"/>
  <c r="BI532"/>
  <c r="BJ532" s="1"/>
  <c r="BA533"/>
  <c r="BB532"/>
  <c r="BK532"/>
  <c r="BL532" s="1"/>
  <c r="AM373" i="6" l="1"/>
  <c r="BF535" i="4"/>
  <c r="BG535" s="1"/>
  <c r="AW535"/>
  <c r="AU535"/>
  <c r="BD535"/>
  <c r="BE535" s="1"/>
  <c r="AY535"/>
  <c r="BA535" s="1"/>
  <c r="AV536"/>
  <c r="AZ535"/>
  <c r="BB535" s="1"/>
  <c r="BK533" i="5"/>
  <c r="BL533" s="1"/>
  <c r="BB533"/>
  <c r="AZ533"/>
  <c r="BE533"/>
  <c r="BG533" s="1"/>
  <c r="BA534"/>
  <c r="BI533"/>
  <c r="BJ533" s="1"/>
  <c r="BD533"/>
  <c r="BF533" s="1"/>
  <c r="BZ557" i="6"/>
  <c r="BW557" s="1"/>
  <c r="BV557"/>
  <c r="BX557" s="1"/>
  <c r="BY558"/>
  <c r="AJ523" i="12"/>
  <c r="AL522"/>
  <c r="AK522"/>
  <c r="AN522"/>
  <c r="AO522"/>
  <c r="AN373" i="6" l="1"/>
  <c r="BB534" i="5"/>
  <c r="BD534"/>
  <c r="BF534" s="1"/>
  <c r="BI534"/>
  <c r="BJ534" s="1"/>
  <c r="BA535"/>
  <c r="BE534"/>
  <c r="BG534" s="1"/>
  <c r="BK534"/>
  <c r="BL534" s="1"/>
  <c r="AZ534"/>
  <c r="AJ524" i="12"/>
  <c r="AL523"/>
  <c r="AO523"/>
  <c r="AK523"/>
  <c r="AN523"/>
  <c r="BZ558" i="6"/>
  <c r="BY559"/>
  <c r="BV558"/>
  <c r="BX558" s="1"/>
  <c r="BW558"/>
  <c r="AW536" i="4"/>
  <c r="AU536"/>
  <c r="AZ536"/>
  <c r="BB536" s="1"/>
  <c r="BD536"/>
  <c r="BE536" s="1"/>
  <c r="AV537"/>
  <c r="BF536"/>
  <c r="BG536" s="1"/>
  <c r="AY536"/>
  <c r="BA536" s="1"/>
  <c r="AK524" i="12" l="1"/>
  <c r="AL524"/>
  <c r="AJ525"/>
  <c r="AN524"/>
  <c r="AO524"/>
  <c r="AZ535" i="5"/>
  <c r="BE535"/>
  <c r="BG535" s="1"/>
  <c r="BI535"/>
  <c r="BJ535" s="1"/>
  <c r="BA536"/>
  <c r="BB535"/>
  <c r="BK535"/>
  <c r="BL535" s="1"/>
  <c r="BD535"/>
  <c r="BF535" s="1"/>
  <c r="AU537" i="4"/>
  <c r="AZ537"/>
  <c r="BB537" s="1"/>
  <c r="BD537"/>
  <c r="BE537" s="1"/>
  <c r="AV538"/>
  <c r="AY537"/>
  <c r="BA537" s="1"/>
  <c r="BF537"/>
  <c r="BG537" s="1"/>
  <c r="AW537"/>
  <c r="AM374" i="6"/>
  <c r="BY560"/>
  <c r="BZ559"/>
  <c r="BV559"/>
  <c r="BX559" s="1"/>
  <c r="BW559"/>
  <c r="BZ560" l="1"/>
  <c r="BW560" s="1"/>
  <c r="BY561"/>
  <c r="BV560"/>
  <c r="BX560" s="1"/>
  <c r="AL525" i="12"/>
  <c r="AO525" s="1"/>
  <c r="AJ526"/>
  <c r="AN525"/>
  <c r="AK525"/>
  <c r="BD536" i="5"/>
  <c r="BF536" s="1"/>
  <c r="BE536"/>
  <c r="BG536" s="1"/>
  <c r="BI536"/>
  <c r="BJ536" s="1"/>
  <c r="BA537"/>
  <c r="AZ536"/>
  <c r="BK536"/>
  <c r="BL536" s="1"/>
  <c r="BB536"/>
  <c r="AN374" i="6"/>
  <c r="AY538" i="4"/>
  <c r="BA538" s="1"/>
  <c r="BF538"/>
  <c r="BG538" s="1"/>
  <c r="AZ538"/>
  <c r="BB538" s="1"/>
  <c r="AU538"/>
  <c r="AV539"/>
  <c r="BD538"/>
  <c r="BE538" s="1"/>
  <c r="AW538"/>
  <c r="AJ527" i="12" l="1"/>
  <c r="AK526"/>
  <c r="AL526"/>
  <c r="AN526"/>
  <c r="AO526"/>
  <c r="BZ561" i="6"/>
  <c r="BY562"/>
  <c r="BV561"/>
  <c r="BX561" s="1"/>
  <c r="BW561"/>
  <c r="AM375"/>
  <c r="BK537" i="5"/>
  <c r="BL537" s="1"/>
  <c r="AZ537"/>
  <c r="BE537"/>
  <c r="BG537" s="1"/>
  <c r="BD537"/>
  <c r="BF537" s="1"/>
  <c r="BI537"/>
  <c r="BJ537" s="1"/>
  <c r="BB537"/>
  <c r="BA538"/>
  <c r="BF539" i="4"/>
  <c r="BG539" s="1"/>
  <c r="AW539"/>
  <c r="AY539"/>
  <c r="BA539" s="1"/>
  <c r="AZ539"/>
  <c r="BB539" s="1"/>
  <c r="AV540"/>
  <c r="BD539"/>
  <c r="BE539" s="1"/>
  <c r="AU539"/>
  <c r="BB538" i="5" l="1"/>
  <c r="BA539"/>
  <c r="AZ538"/>
  <c r="BE538"/>
  <c r="BG538" s="1"/>
  <c r="BD538"/>
  <c r="BF538" s="1"/>
  <c r="BK538"/>
  <c r="BL538" s="1"/>
  <c r="BI538"/>
  <c r="BJ538" s="1"/>
  <c r="AN375" i="6"/>
  <c r="AJ528" i="12"/>
  <c r="AL527"/>
  <c r="AK527"/>
  <c r="AO527"/>
  <c r="AN527"/>
  <c r="AW540" i="4"/>
  <c r="AU540"/>
  <c r="AZ540"/>
  <c r="BB540" s="1"/>
  <c r="BD540"/>
  <c r="BE540" s="1"/>
  <c r="AV541"/>
  <c r="BF540"/>
  <c r="BG540" s="1"/>
  <c r="AY540"/>
  <c r="BA540" s="1"/>
  <c r="BZ562" i="6"/>
  <c r="BY563"/>
  <c r="BV562"/>
  <c r="BX562" s="1"/>
  <c r="BW562"/>
  <c r="AK528" i="12" l="1"/>
  <c r="AJ529"/>
  <c r="AN528"/>
  <c r="AL528"/>
  <c r="AO528" s="1"/>
  <c r="AZ539" i="5"/>
  <c r="BE539"/>
  <c r="BG539" s="1"/>
  <c r="BI539"/>
  <c r="BJ539" s="1"/>
  <c r="BA540"/>
  <c r="BK539"/>
  <c r="BL539" s="1"/>
  <c r="BD539"/>
  <c r="BF539" s="1"/>
  <c r="BB539"/>
  <c r="BY564" i="6"/>
  <c r="BZ563"/>
  <c r="BW563" s="1"/>
  <c r="BV563"/>
  <c r="BX563" s="1"/>
  <c r="AU541" i="4"/>
  <c r="AZ541"/>
  <c r="BB541" s="1"/>
  <c r="BD541"/>
  <c r="BE541" s="1"/>
  <c r="AV542"/>
  <c r="AY541"/>
  <c r="BA541" s="1"/>
  <c r="AW541"/>
  <c r="BF541"/>
  <c r="BG541" s="1"/>
  <c r="AM376" i="6"/>
  <c r="AL529" i="12" l="1"/>
  <c r="AO529" s="1"/>
  <c r="AJ530"/>
  <c r="AK529"/>
  <c r="AN529"/>
  <c r="BY565" i="6"/>
  <c r="BZ564"/>
  <c r="BV564"/>
  <c r="BX564" s="1"/>
  <c r="BW564"/>
  <c r="BD540" i="5"/>
  <c r="BF540" s="1"/>
  <c r="BA541"/>
  <c r="BB540"/>
  <c r="BK540"/>
  <c r="BL540" s="1"/>
  <c r="BE540"/>
  <c r="BG540" s="1"/>
  <c r="AZ540"/>
  <c r="BI540"/>
  <c r="BJ540" s="1"/>
  <c r="AN376" i="6"/>
  <c r="AY542" i="4"/>
  <c r="BA542" s="1"/>
  <c r="BF542"/>
  <c r="BG542" s="1"/>
  <c r="AW542"/>
  <c r="BD542"/>
  <c r="BE542" s="1"/>
  <c r="AU542"/>
  <c r="AZ542"/>
  <c r="BB542" s="1"/>
  <c r="AV543"/>
  <c r="BF543" l="1"/>
  <c r="BG543" s="1"/>
  <c r="AW543"/>
  <c r="AU543"/>
  <c r="BD543"/>
  <c r="BE543" s="1"/>
  <c r="AZ543"/>
  <c r="BB543" s="1"/>
  <c r="AV544"/>
  <c r="AY543"/>
  <c r="BA543" s="1"/>
  <c r="AM377" i="6"/>
  <c r="BZ565"/>
  <c r="BV565"/>
  <c r="BX565" s="1"/>
  <c r="BY566"/>
  <c r="BW565"/>
  <c r="AJ531" i="12"/>
  <c r="AL530"/>
  <c r="AO530" s="1"/>
  <c r="AK530"/>
  <c r="AN530"/>
  <c r="BK541" i="5"/>
  <c r="BL541" s="1"/>
  <c r="BD541"/>
  <c r="BF541" s="1"/>
  <c r="BI541"/>
  <c r="BJ541" s="1"/>
  <c r="BA542"/>
  <c r="AZ541"/>
  <c r="BE541"/>
  <c r="BG541" s="1"/>
  <c r="BB541"/>
  <c r="BB542" l="1"/>
  <c r="AZ542"/>
  <c r="BE542"/>
  <c r="BG542" s="1"/>
  <c r="BK542"/>
  <c r="BL542" s="1"/>
  <c r="BA543"/>
  <c r="BI542"/>
  <c r="BJ542" s="1"/>
  <c r="BD542"/>
  <c r="BF542" s="1"/>
  <c r="AL531" i="12"/>
  <c r="AK531"/>
  <c r="AO531"/>
  <c r="AN531"/>
  <c r="AJ532"/>
  <c r="AW544" i="4"/>
  <c r="AU544"/>
  <c r="AZ544"/>
  <c r="BB544" s="1"/>
  <c r="BD544"/>
  <c r="BE544" s="1"/>
  <c r="AV545"/>
  <c r="BF544"/>
  <c r="BG544" s="1"/>
  <c r="AY544"/>
  <c r="BA544" s="1"/>
  <c r="BZ566" i="6"/>
  <c r="BY567"/>
  <c r="BV566"/>
  <c r="BX566" s="1"/>
  <c r="BW566"/>
  <c r="AN377"/>
  <c r="AM378" l="1"/>
  <c r="BY568"/>
  <c r="BV567"/>
  <c r="BX567" s="1"/>
  <c r="BZ567"/>
  <c r="BW567" s="1"/>
  <c r="AU545" i="4"/>
  <c r="AZ545"/>
  <c r="BB545" s="1"/>
  <c r="BD545"/>
  <c r="BE545" s="1"/>
  <c r="AV546"/>
  <c r="AY545"/>
  <c r="BA545" s="1"/>
  <c r="BF545"/>
  <c r="BG545" s="1"/>
  <c r="AW545"/>
  <c r="AZ543" i="5"/>
  <c r="BE543"/>
  <c r="BG543" s="1"/>
  <c r="BI543"/>
  <c r="BJ543" s="1"/>
  <c r="BA544"/>
  <c r="BD543"/>
  <c r="BF543" s="1"/>
  <c r="BK543"/>
  <c r="BL543" s="1"/>
  <c r="BB543"/>
  <c r="AK532" i="12"/>
  <c r="AJ533"/>
  <c r="AL532"/>
  <c r="AN532"/>
  <c r="AO532"/>
  <c r="AL533" l="1"/>
  <c r="AO533" s="1"/>
  <c r="AK533"/>
  <c r="AJ534"/>
  <c r="AN533"/>
  <c r="AY546" i="4"/>
  <c r="BA546" s="1"/>
  <c r="BF546"/>
  <c r="BG546" s="1"/>
  <c r="AZ546"/>
  <c r="BB546" s="1"/>
  <c r="AU546"/>
  <c r="AV547"/>
  <c r="AW546"/>
  <c r="BD546"/>
  <c r="BE546" s="1"/>
  <c r="BZ568" i="6"/>
  <c r="BW568" s="1"/>
  <c r="BV568"/>
  <c r="BX568" s="1"/>
  <c r="BY569"/>
  <c r="BD544" i="5"/>
  <c r="BF544" s="1"/>
  <c r="BB544"/>
  <c r="BK544"/>
  <c r="BL544" s="1"/>
  <c r="AZ544"/>
  <c r="BA545"/>
  <c r="BI544"/>
  <c r="BJ544" s="1"/>
  <c r="BE544"/>
  <c r="BG544" s="1"/>
  <c r="AN378" i="6"/>
  <c r="BF547" i="4" l="1"/>
  <c r="BG547" s="1"/>
  <c r="AW547"/>
  <c r="AY547"/>
  <c r="BA547" s="1"/>
  <c r="AZ547"/>
  <c r="BB547" s="1"/>
  <c r="AV548"/>
  <c r="AU547"/>
  <c r="BD547"/>
  <c r="BE547" s="1"/>
  <c r="BZ569" i="6"/>
  <c r="BW569" s="1"/>
  <c r="BY570"/>
  <c r="BV569"/>
  <c r="BX569" s="1"/>
  <c r="BK545" i="5"/>
  <c r="BL545" s="1"/>
  <c r="BA546"/>
  <c r="BB545"/>
  <c r="BE545"/>
  <c r="BG545" s="1"/>
  <c r="BD545"/>
  <c r="BF545" s="1"/>
  <c r="BI545"/>
  <c r="BJ545" s="1"/>
  <c r="AZ545"/>
  <c r="AM379" i="6"/>
  <c r="AJ535" i="12"/>
  <c r="AL534"/>
  <c r="AK534"/>
  <c r="AN534"/>
  <c r="AO534"/>
  <c r="AN379" i="6" l="1"/>
  <c r="AK535" i="12"/>
  <c r="AN535"/>
  <c r="AL535"/>
  <c r="AO535" s="1"/>
  <c r="AJ536"/>
  <c r="BB546" i="5"/>
  <c r="BE546"/>
  <c r="BG546" s="1"/>
  <c r="BK546"/>
  <c r="BL546" s="1"/>
  <c r="BD546"/>
  <c r="BF546" s="1"/>
  <c r="BI546"/>
  <c r="BJ546" s="1"/>
  <c r="AZ546"/>
  <c r="BA547"/>
  <c r="BZ570" i="6"/>
  <c r="BY571"/>
  <c r="BV570"/>
  <c r="BX570" s="1"/>
  <c r="BW570"/>
  <c r="AW548" i="4"/>
  <c r="AU548"/>
  <c r="AZ548"/>
  <c r="BB548" s="1"/>
  <c r="BD548"/>
  <c r="BE548" s="1"/>
  <c r="AV549"/>
  <c r="AY548"/>
  <c r="BA548" s="1"/>
  <c r="BF548"/>
  <c r="BG548" s="1"/>
  <c r="AK536" i="12" l="1"/>
  <c r="AJ537"/>
  <c r="AL536"/>
  <c r="AO536" s="1"/>
  <c r="AN536"/>
  <c r="AM380" i="6"/>
  <c r="AZ547" i="5"/>
  <c r="BE547"/>
  <c r="BG547" s="1"/>
  <c r="BI547"/>
  <c r="BJ547" s="1"/>
  <c r="BA548"/>
  <c r="BB547"/>
  <c r="BD547"/>
  <c r="BF547" s="1"/>
  <c r="BK547"/>
  <c r="BL547" s="1"/>
  <c r="AU549" i="4"/>
  <c r="AZ549"/>
  <c r="BB549" s="1"/>
  <c r="BD549"/>
  <c r="BE549" s="1"/>
  <c r="AV550"/>
  <c r="AY549"/>
  <c r="BA549" s="1"/>
  <c r="AW549"/>
  <c r="BF549"/>
  <c r="BG549" s="1"/>
  <c r="BY572" i="6"/>
  <c r="BZ571"/>
  <c r="BV571"/>
  <c r="BX571" s="1"/>
  <c r="BW571"/>
  <c r="AY550" i="4" l="1"/>
  <c r="BA550" s="1"/>
  <c r="BF550"/>
  <c r="BG550" s="1"/>
  <c r="AW550"/>
  <c r="BD550"/>
  <c r="BE550" s="1"/>
  <c r="AZ550"/>
  <c r="BB550" s="1"/>
  <c r="AU550"/>
  <c r="AV551"/>
  <c r="AN380" i="6"/>
  <c r="AL537" i="12"/>
  <c r="AO537" s="1"/>
  <c r="AJ538"/>
  <c r="AK537"/>
  <c r="AN537"/>
  <c r="BD548" i="5"/>
  <c r="BF548" s="1"/>
  <c r="AZ548"/>
  <c r="BE548"/>
  <c r="BG548" s="1"/>
  <c r="BI548"/>
  <c r="BJ548" s="1"/>
  <c r="BB548"/>
  <c r="BK548"/>
  <c r="BL548" s="1"/>
  <c r="BA549"/>
  <c r="BV572" i="6"/>
  <c r="BX572" s="1"/>
  <c r="BY573"/>
  <c r="BZ572"/>
  <c r="BW572"/>
  <c r="BK549" i="5" l="1"/>
  <c r="BL549" s="1"/>
  <c r="BB549"/>
  <c r="AZ549"/>
  <c r="BE549"/>
  <c r="BG549" s="1"/>
  <c r="BD549"/>
  <c r="BF549" s="1"/>
  <c r="BA550"/>
  <c r="BI549"/>
  <c r="BJ549" s="1"/>
  <c r="AJ539" i="12"/>
  <c r="AL538"/>
  <c r="AO538" s="1"/>
  <c r="AK538"/>
  <c r="AN538"/>
  <c r="BF551" i="4"/>
  <c r="BG551" s="1"/>
  <c r="AW551"/>
  <c r="AU551"/>
  <c r="BD551"/>
  <c r="BE551" s="1"/>
  <c r="AZ551"/>
  <c r="BB551" s="1"/>
  <c r="AY551"/>
  <c r="BA551" s="1"/>
  <c r="AV552"/>
  <c r="BZ573" i="6"/>
  <c r="BW573" s="1"/>
  <c r="BV573"/>
  <c r="BX573" s="1"/>
  <c r="BY574"/>
  <c r="AM381"/>
  <c r="BB550" i="5" l="1"/>
  <c r="BD550"/>
  <c r="BF550" s="1"/>
  <c r="BI550"/>
  <c r="BJ550" s="1"/>
  <c r="BA551"/>
  <c r="BK550"/>
  <c r="BL550" s="1"/>
  <c r="AZ550"/>
  <c r="BE550"/>
  <c r="BG550" s="1"/>
  <c r="AN381" i="6"/>
  <c r="BZ574"/>
  <c r="BY575"/>
  <c r="BV574"/>
  <c r="BX574" s="1"/>
  <c r="BW574"/>
  <c r="AW552" i="4"/>
  <c r="AU552"/>
  <c r="AZ552"/>
  <c r="BB552" s="1"/>
  <c r="BD552"/>
  <c r="BE552" s="1"/>
  <c r="AV553"/>
  <c r="BF552"/>
  <c r="BG552" s="1"/>
  <c r="AY552"/>
  <c r="BA552" s="1"/>
  <c r="AJ540" i="12"/>
  <c r="AN539"/>
  <c r="AK539"/>
  <c r="AL539"/>
  <c r="AO539" s="1"/>
  <c r="AU553" i="4" l="1"/>
  <c r="AZ553"/>
  <c r="BB553" s="1"/>
  <c r="BD553"/>
  <c r="BE553" s="1"/>
  <c r="AV554"/>
  <c r="AY553"/>
  <c r="BA553" s="1"/>
  <c r="BF553"/>
  <c r="BG553" s="1"/>
  <c r="AW553"/>
  <c r="BY576" i="6"/>
  <c r="BZ575"/>
  <c r="BW575" s="1"/>
  <c r="BV575"/>
  <c r="BX575" s="1"/>
  <c r="AK540" i="12"/>
  <c r="AL540"/>
  <c r="AO540" s="1"/>
  <c r="AJ541"/>
  <c r="AN540"/>
  <c r="AM382" i="6"/>
  <c r="AZ551" i="5"/>
  <c r="BE551"/>
  <c r="BG551" s="1"/>
  <c r="BI551"/>
  <c r="BJ551" s="1"/>
  <c r="BA552"/>
  <c r="BB551"/>
  <c r="BK551"/>
  <c r="BL551" s="1"/>
  <c r="BD551"/>
  <c r="BF551" s="1"/>
  <c r="AN382" i="6" l="1"/>
  <c r="AL541" i="12"/>
  <c r="AJ542"/>
  <c r="AK541"/>
  <c r="AO541"/>
  <c r="AN541"/>
  <c r="BD552" i="5"/>
  <c r="BF552" s="1"/>
  <c r="BE552"/>
  <c r="BG552" s="1"/>
  <c r="BI552"/>
  <c r="BJ552" s="1"/>
  <c r="BA553"/>
  <c r="BB552"/>
  <c r="AZ552"/>
  <c r="BK552"/>
  <c r="BL552" s="1"/>
  <c r="BZ576" i="6"/>
  <c r="BY577"/>
  <c r="BW576"/>
  <c r="BV576"/>
  <c r="BX576" s="1"/>
  <c r="AY554" i="4"/>
  <c r="BA554" s="1"/>
  <c r="BF554"/>
  <c r="BG554" s="1"/>
  <c r="AZ554"/>
  <c r="BB554" s="1"/>
  <c r="AU554"/>
  <c r="AV555"/>
  <c r="BD554"/>
  <c r="BE554" s="1"/>
  <c r="AW554"/>
  <c r="AM383" i="6" l="1"/>
  <c r="BK553" i="5"/>
  <c r="BL553" s="1"/>
  <c r="AZ553"/>
  <c r="BE553"/>
  <c r="BG553" s="1"/>
  <c r="BD553"/>
  <c r="BF553" s="1"/>
  <c r="BI553"/>
  <c r="BJ553" s="1"/>
  <c r="BA554"/>
  <c r="BB553"/>
  <c r="BF555" i="4"/>
  <c r="BG555" s="1"/>
  <c r="AW555"/>
  <c r="AY555"/>
  <c r="BA555" s="1"/>
  <c r="AZ555"/>
  <c r="BB555" s="1"/>
  <c r="AV556"/>
  <c r="BD555"/>
  <c r="BE555" s="1"/>
  <c r="AU555"/>
  <c r="BZ577" i="6"/>
  <c r="BW577" s="1"/>
  <c r="BY578"/>
  <c r="BV577"/>
  <c r="BX577" s="1"/>
  <c r="AJ543" i="12"/>
  <c r="AK542"/>
  <c r="AN542"/>
  <c r="AL542"/>
  <c r="AO542" s="1"/>
  <c r="AJ544" l="1"/>
  <c r="AL543"/>
  <c r="AO543" s="1"/>
  <c r="AN543"/>
  <c r="AK543"/>
  <c r="AN383" i="6"/>
  <c r="BZ578"/>
  <c r="BY579"/>
  <c r="BV578"/>
  <c r="BX578" s="1"/>
  <c r="BW578"/>
  <c r="AW556" i="4"/>
  <c r="AU556"/>
  <c r="AZ556"/>
  <c r="BB556" s="1"/>
  <c r="BD556"/>
  <c r="BE556" s="1"/>
  <c r="AV557"/>
  <c r="BF556"/>
  <c r="BG556" s="1"/>
  <c r="AY556"/>
  <c r="BA556" s="1"/>
  <c r="BB554" i="5"/>
  <c r="BA555"/>
  <c r="AZ554"/>
  <c r="BI554"/>
  <c r="BJ554" s="1"/>
  <c r="BE554"/>
  <c r="BG554" s="1"/>
  <c r="BD554"/>
  <c r="BF554" s="1"/>
  <c r="BK554"/>
  <c r="BL554" s="1"/>
  <c r="BY580" i="6" l="1"/>
  <c r="BV579"/>
  <c r="BX579" s="1"/>
  <c r="BZ579"/>
  <c r="BW579" s="1"/>
  <c r="AM384"/>
  <c r="AK544" i="12"/>
  <c r="AJ545"/>
  <c r="AL544"/>
  <c r="AO544" s="1"/>
  <c r="AN544"/>
  <c r="AZ555" i="5"/>
  <c r="BE555"/>
  <c r="BG555" s="1"/>
  <c r="BI555"/>
  <c r="BJ555" s="1"/>
  <c r="BA556"/>
  <c r="BK555"/>
  <c r="BL555" s="1"/>
  <c r="BD555"/>
  <c r="BF555" s="1"/>
  <c r="BB555"/>
  <c r="AU557" i="4"/>
  <c r="AZ557"/>
  <c r="BB557" s="1"/>
  <c r="BD557"/>
  <c r="BE557" s="1"/>
  <c r="AV558"/>
  <c r="AY557"/>
  <c r="BA557" s="1"/>
  <c r="AW557"/>
  <c r="BF557"/>
  <c r="BG557" s="1"/>
  <c r="AN384" i="6" l="1"/>
  <c r="BV580"/>
  <c r="BX580" s="1"/>
  <c r="BY581"/>
  <c r="BZ580"/>
  <c r="BW580" s="1"/>
  <c r="AY558" i="4"/>
  <c r="BA558" s="1"/>
  <c r="BF558"/>
  <c r="BG558" s="1"/>
  <c r="AW558"/>
  <c r="BD558"/>
  <c r="BE558" s="1"/>
  <c r="AU558"/>
  <c r="AZ558"/>
  <c r="BB558" s="1"/>
  <c r="AV559"/>
  <c r="BD556" i="5"/>
  <c r="BF556" s="1"/>
  <c r="BA557"/>
  <c r="BB556"/>
  <c r="BK556"/>
  <c r="BL556" s="1"/>
  <c r="BI556"/>
  <c r="BJ556" s="1"/>
  <c r="AZ556"/>
  <c r="BE556"/>
  <c r="BG556" s="1"/>
  <c r="AL545" i="12"/>
  <c r="AO545" s="1"/>
  <c r="AJ546"/>
  <c r="AK545"/>
  <c r="AN545"/>
  <c r="BK557" i="5" l="1"/>
  <c r="BL557" s="1"/>
  <c r="BD557"/>
  <c r="BF557" s="1"/>
  <c r="BI557"/>
  <c r="BJ557" s="1"/>
  <c r="BA558"/>
  <c r="BB557"/>
  <c r="AZ557"/>
  <c r="BE557"/>
  <c r="BG557" s="1"/>
  <c r="BF559" i="4"/>
  <c r="BG559" s="1"/>
  <c r="AW559"/>
  <c r="AU559"/>
  <c r="BD559"/>
  <c r="BE559" s="1"/>
  <c r="AZ559"/>
  <c r="BB559" s="1"/>
  <c r="AY559"/>
  <c r="BA559" s="1"/>
  <c r="AV560"/>
  <c r="AM385" i="6"/>
  <c r="AJ547" i="12"/>
  <c r="AK546"/>
  <c r="AN546"/>
  <c r="AL546"/>
  <c r="AO546"/>
  <c r="BZ581" i="6"/>
  <c r="BV581"/>
  <c r="BX581" s="1"/>
  <c r="BY582"/>
  <c r="BW581"/>
  <c r="AW560" i="4" l="1"/>
  <c r="AU560"/>
  <c r="AZ560"/>
  <c r="BB560" s="1"/>
  <c r="BD560"/>
  <c r="BE560" s="1"/>
  <c r="AV561"/>
  <c r="BF560"/>
  <c r="BG560" s="1"/>
  <c r="AY560"/>
  <c r="BA560" s="1"/>
  <c r="AN385" i="6"/>
  <c r="AL547" i="12"/>
  <c r="AK547"/>
  <c r="AO547"/>
  <c r="AJ548"/>
  <c r="AN547"/>
  <c r="BZ582" i="6"/>
  <c r="BW582" s="1"/>
  <c r="BY583"/>
  <c r="BV582"/>
  <c r="BX582" s="1"/>
  <c r="BB558" i="5"/>
  <c r="AZ558"/>
  <c r="BE558"/>
  <c r="BG558" s="1"/>
  <c r="BK558"/>
  <c r="BL558" s="1"/>
  <c r="BD558"/>
  <c r="BF558" s="1"/>
  <c r="BI558"/>
  <c r="BJ558" s="1"/>
  <c r="BA559"/>
  <c r="BY584" i="6" l="1"/>
  <c r="BV583"/>
  <c r="BX583" s="1"/>
  <c r="BZ583"/>
  <c r="BW583" s="1"/>
  <c r="AZ559" i="5"/>
  <c r="BE559"/>
  <c r="BG559" s="1"/>
  <c r="BI559"/>
  <c r="BJ559" s="1"/>
  <c r="BA560"/>
  <c r="BD559"/>
  <c r="BF559" s="1"/>
  <c r="BK559"/>
  <c r="BL559" s="1"/>
  <c r="BB559"/>
  <c r="AK548" i="12"/>
  <c r="AJ549"/>
  <c r="AL548"/>
  <c r="AO548" s="1"/>
  <c r="AN548"/>
  <c r="AM386" i="6"/>
  <c r="AU561" i="4"/>
  <c r="AZ561"/>
  <c r="BB561" s="1"/>
  <c r="BD561"/>
  <c r="BE561" s="1"/>
  <c r="AV562"/>
  <c r="AY561"/>
  <c r="BA561" s="1"/>
  <c r="BF561"/>
  <c r="BG561" s="1"/>
  <c r="AW561"/>
  <c r="AY562" l="1"/>
  <c r="BA562" s="1"/>
  <c r="BF562"/>
  <c r="BG562" s="1"/>
  <c r="AZ562"/>
  <c r="BB562" s="1"/>
  <c r="AU562"/>
  <c r="AV563"/>
  <c r="BD562"/>
  <c r="BE562" s="1"/>
  <c r="AW562"/>
  <c r="AN386" i="6"/>
  <c r="AL549" i="12"/>
  <c r="AO549" s="1"/>
  <c r="AK549"/>
  <c r="AN549"/>
  <c r="AJ550"/>
  <c r="BZ584" i="6"/>
  <c r="BV584"/>
  <c r="BX584" s="1"/>
  <c r="BW584"/>
  <c r="BY585"/>
  <c r="BD560" i="5"/>
  <c r="BF560" s="1"/>
  <c r="BB560"/>
  <c r="BK560"/>
  <c r="BL560" s="1"/>
  <c r="AZ560"/>
  <c r="BE560"/>
  <c r="BG560" s="1"/>
  <c r="BI560"/>
  <c r="BJ560" s="1"/>
  <c r="BA561"/>
  <c r="BK561" l="1"/>
  <c r="BL561" s="1"/>
  <c r="BA562"/>
  <c r="BB561"/>
  <c r="BI561"/>
  <c r="BJ561" s="1"/>
  <c r="AZ561"/>
  <c r="BD561"/>
  <c r="BF561" s="1"/>
  <c r="BE561"/>
  <c r="BG561" s="1"/>
  <c r="BZ585" i="6"/>
  <c r="BY586"/>
  <c r="BV585"/>
  <c r="BX585" s="1"/>
  <c r="BW585"/>
  <c r="AJ551" i="12"/>
  <c r="AL550"/>
  <c r="AO550" s="1"/>
  <c r="AN550"/>
  <c r="AK550"/>
  <c r="BF563" i="4"/>
  <c r="BG563" s="1"/>
  <c r="AW563"/>
  <c r="AY563"/>
  <c r="BA563" s="1"/>
  <c r="AZ563"/>
  <c r="BB563" s="1"/>
  <c r="AV564"/>
  <c r="AU563"/>
  <c r="BD563"/>
  <c r="BE563" s="1"/>
  <c r="AM387" i="6"/>
  <c r="AW564" i="4" l="1"/>
  <c r="AU564"/>
  <c r="AZ564"/>
  <c r="BB564" s="1"/>
  <c r="BD564"/>
  <c r="BE564" s="1"/>
  <c r="AV565"/>
  <c r="AY564"/>
  <c r="BA564" s="1"/>
  <c r="BF564"/>
  <c r="BG564" s="1"/>
  <c r="BZ586" i="6"/>
  <c r="BY587"/>
  <c r="BV586"/>
  <c r="BX586" s="1"/>
  <c r="BW586"/>
  <c r="BB562" i="5"/>
  <c r="BE562"/>
  <c r="BG562" s="1"/>
  <c r="BK562"/>
  <c r="BL562" s="1"/>
  <c r="BD562"/>
  <c r="BF562" s="1"/>
  <c r="BI562"/>
  <c r="BJ562" s="1"/>
  <c r="BA563"/>
  <c r="AZ562"/>
  <c r="AN387" i="6"/>
  <c r="AK551" i="12"/>
  <c r="AJ552"/>
  <c r="AL551"/>
  <c r="AO551" s="1"/>
  <c r="AN551"/>
  <c r="BY588" i="6" l="1"/>
  <c r="BZ587"/>
  <c r="BW587" s="1"/>
  <c r="BV587"/>
  <c r="BX587" s="1"/>
  <c r="AU565" i="4"/>
  <c r="AZ565"/>
  <c r="BB565" s="1"/>
  <c r="BD565"/>
  <c r="BE565" s="1"/>
  <c r="AV566"/>
  <c r="AY565"/>
  <c r="BA565" s="1"/>
  <c r="AW565"/>
  <c r="BF565"/>
  <c r="BG565" s="1"/>
  <c r="AK552" i="12"/>
  <c r="AJ553"/>
  <c r="AL552"/>
  <c r="AO552" s="1"/>
  <c r="AN552"/>
  <c r="AZ563" i="5"/>
  <c r="BE563"/>
  <c r="BG563" s="1"/>
  <c r="BI563"/>
  <c r="BJ563" s="1"/>
  <c r="BA564"/>
  <c r="BB563"/>
  <c r="BK563"/>
  <c r="BL563" s="1"/>
  <c r="BD563"/>
  <c r="BF563" s="1"/>
  <c r="AM388" i="6"/>
  <c r="AL553" i="12" l="1"/>
  <c r="AO553" s="1"/>
  <c r="AN553"/>
  <c r="AK553"/>
  <c r="AJ554"/>
  <c r="BY589" i="6"/>
  <c r="BV588"/>
  <c r="BX588" s="1"/>
  <c r="BZ588"/>
  <c r="BW588"/>
  <c r="AN388"/>
  <c r="BD564" i="5"/>
  <c r="BF564" s="1"/>
  <c r="AZ564"/>
  <c r="BE564"/>
  <c r="BG564" s="1"/>
  <c r="BI564"/>
  <c r="BJ564" s="1"/>
  <c r="BA565"/>
  <c r="BK564"/>
  <c r="BL564" s="1"/>
  <c r="BB564"/>
  <c r="AY566" i="4"/>
  <c r="BA566" s="1"/>
  <c r="BF566"/>
  <c r="BG566" s="1"/>
  <c r="AW566"/>
  <c r="BD566"/>
  <c r="BE566" s="1"/>
  <c r="AZ566"/>
  <c r="BB566" s="1"/>
  <c r="AU566"/>
  <c r="AV567"/>
  <c r="BF567" l="1"/>
  <c r="BG567" s="1"/>
  <c r="AW567"/>
  <c r="AU567"/>
  <c r="BD567"/>
  <c r="BE567" s="1"/>
  <c r="AY567"/>
  <c r="BA567" s="1"/>
  <c r="AV568"/>
  <c r="AZ567"/>
  <c r="BB567" s="1"/>
  <c r="AJ555" i="12"/>
  <c r="AL554"/>
  <c r="AO554" s="1"/>
  <c r="AK554"/>
  <c r="AN554"/>
  <c r="AM389" i="6"/>
  <c r="BZ589"/>
  <c r="BV589"/>
  <c r="BX589" s="1"/>
  <c r="BW589"/>
  <c r="BY590"/>
  <c r="BK565" i="5"/>
  <c r="BL565" s="1"/>
  <c r="BB565"/>
  <c r="AZ565"/>
  <c r="BE565"/>
  <c r="BG565" s="1"/>
  <c r="BA566"/>
  <c r="BI565"/>
  <c r="BJ565" s="1"/>
  <c r="BD565"/>
  <c r="BF565" s="1"/>
  <c r="BZ590" i="6" l="1"/>
  <c r="BW590" s="1"/>
  <c r="BY591"/>
  <c r="BV590"/>
  <c r="BX590" s="1"/>
  <c r="AW568" i="4"/>
  <c r="AU568"/>
  <c r="AZ568"/>
  <c r="BB568" s="1"/>
  <c r="BD568"/>
  <c r="BE568" s="1"/>
  <c r="AV569"/>
  <c r="BF568"/>
  <c r="BG568" s="1"/>
  <c r="AY568"/>
  <c r="BA568" s="1"/>
  <c r="AN389" i="6"/>
  <c r="BB566" i="5"/>
  <c r="BD566"/>
  <c r="BF566" s="1"/>
  <c r="BI566"/>
  <c r="BJ566" s="1"/>
  <c r="BA567"/>
  <c r="BE566"/>
  <c r="BG566" s="1"/>
  <c r="AZ566"/>
  <c r="BK566"/>
  <c r="BL566" s="1"/>
  <c r="AJ556" i="12"/>
  <c r="AL555"/>
  <c r="AO555"/>
  <c r="AK555"/>
  <c r="AN555"/>
  <c r="AU569" i="4" l="1"/>
  <c r="AZ569"/>
  <c r="BB569" s="1"/>
  <c r="BD569"/>
  <c r="BE569" s="1"/>
  <c r="AV570"/>
  <c r="AY569"/>
  <c r="BA569" s="1"/>
  <c r="BF569"/>
  <c r="BG569" s="1"/>
  <c r="AW569"/>
  <c r="BY592" i="6"/>
  <c r="BZ591"/>
  <c r="BW591" s="1"/>
  <c r="BV591"/>
  <c r="BX591" s="1"/>
  <c r="AK556" i="12"/>
  <c r="AL556"/>
  <c r="AO556" s="1"/>
  <c r="AN556"/>
  <c r="AJ557"/>
  <c r="AZ567" i="5"/>
  <c r="BE567"/>
  <c r="BG567" s="1"/>
  <c r="BI567"/>
  <c r="BJ567" s="1"/>
  <c r="BA568"/>
  <c r="BB567"/>
  <c r="BK567"/>
  <c r="BL567" s="1"/>
  <c r="BD567"/>
  <c r="BF567" s="1"/>
  <c r="AM390" i="6"/>
  <c r="AN390" l="1"/>
  <c r="BD568" i="5"/>
  <c r="BF568" s="1"/>
  <c r="BE568"/>
  <c r="BG568" s="1"/>
  <c r="BI568"/>
  <c r="BJ568" s="1"/>
  <c r="BA569"/>
  <c r="AZ568"/>
  <c r="BK568"/>
  <c r="BL568" s="1"/>
  <c r="BB568"/>
  <c r="AL557" i="12"/>
  <c r="AO557" s="1"/>
  <c r="AJ558"/>
  <c r="AN557"/>
  <c r="AK557"/>
  <c r="BZ592" i="6"/>
  <c r="BY593"/>
  <c r="BW592"/>
  <c r="BV592"/>
  <c r="BX592" s="1"/>
  <c r="AY570" i="4"/>
  <c r="BA570" s="1"/>
  <c r="BF570"/>
  <c r="BG570" s="1"/>
  <c r="AZ570"/>
  <c r="BB570" s="1"/>
  <c r="AU570"/>
  <c r="AV571"/>
  <c r="BD570"/>
  <c r="BE570" s="1"/>
  <c r="AW570"/>
  <c r="BK569" i="5" l="1"/>
  <c r="BL569" s="1"/>
  <c r="AZ569"/>
  <c r="BE569"/>
  <c r="BG569" s="1"/>
  <c r="BD569"/>
  <c r="BF569" s="1"/>
  <c r="BI569"/>
  <c r="BJ569" s="1"/>
  <c r="BB569"/>
  <c r="BA570"/>
  <c r="BF571" i="4"/>
  <c r="BG571" s="1"/>
  <c r="AW571"/>
  <c r="AY571"/>
  <c r="BA571" s="1"/>
  <c r="AZ571"/>
  <c r="BB571" s="1"/>
  <c r="AV572"/>
  <c r="BD571"/>
  <c r="BE571" s="1"/>
  <c r="AU571"/>
  <c r="AJ559" i="12"/>
  <c r="AK558"/>
  <c r="AL558"/>
  <c r="AO558" s="1"/>
  <c r="AN558"/>
  <c r="AM391" i="6"/>
  <c r="BZ593"/>
  <c r="BY594"/>
  <c r="BV593"/>
  <c r="BX593" s="1"/>
  <c r="BW593"/>
  <c r="AJ560" i="12" l="1"/>
  <c r="AL559"/>
  <c r="AO559" s="1"/>
  <c r="AK559"/>
  <c r="AN559"/>
  <c r="BB570" i="5"/>
  <c r="BA571"/>
  <c r="AZ570"/>
  <c r="BE570"/>
  <c r="BG570" s="1"/>
  <c r="BD570"/>
  <c r="BF570" s="1"/>
  <c r="BK570"/>
  <c r="BL570" s="1"/>
  <c r="BI570"/>
  <c r="BJ570" s="1"/>
  <c r="BZ594" i="6"/>
  <c r="BW594" s="1"/>
  <c r="BY595"/>
  <c r="BV594"/>
  <c r="BX594" s="1"/>
  <c r="AN391"/>
  <c r="AW572" i="4"/>
  <c r="AU572"/>
  <c r="AZ572"/>
  <c r="BB572" s="1"/>
  <c r="BD572"/>
  <c r="BE572" s="1"/>
  <c r="AV573"/>
  <c r="BF572"/>
  <c r="BG572" s="1"/>
  <c r="AY572"/>
  <c r="BA572" s="1"/>
  <c r="AK560" i="12" l="1"/>
  <c r="AL560"/>
  <c r="AO560" s="1"/>
  <c r="AJ561"/>
  <c r="AN560"/>
  <c r="BY596" i="6"/>
  <c r="BV595"/>
  <c r="BX595" s="1"/>
  <c r="BZ595"/>
  <c r="BW595"/>
  <c r="AU573" i="4"/>
  <c r="AZ573"/>
  <c r="BB573" s="1"/>
  <c r="BD573"/>
  <c r="BE573" s="1"/>
  <c r="AV574"/>
  <c r="AY573"/>
  <c r="BA573" s="1"/>
  <c r="AW573"/>
  <c r="BF573"/>
  <c r="BG573" s="1"/>
  <c r="AZ571" i="5"/>
  <c r="BE571"/>
  <c r="BG571" s="1"/>
  <c r="BI571"/>
  <c r="BJ571" s="1"/>
  <c r="BA572"/>
  <c r="BK571"/>
  <c r="BL571" s="1"/>
  <c r="BD571"/>
  <c r="BF571" s="1"/>
  <c r="BB571"/>
  <c r="AM392" i="6"/>
  <c r="AY574" i="4" l="1"/>
  <c r="BA574" s="1"/>
  <c r="BF574"/>
  <c r="BG574" s="1"/>
  <c r="AW574"/>
  <c r="BD574"/>
  <c r="BE574" s="1"/>
  <c r="AZ574"/>
  <c r="BB574" s="1"/>
  <c r="AV575"/>
  <c r="AU574"/>
  <c r="BY597" i="6"/>
  <c r="BZ596"/>
  <c r="BW596" s="1"/>
  <c r="BV596"/>
  <c r="BX596" s="1"/>
  <c r="AL561" i="12"/>
  <c r="AJ562"/>
  <c r="AK561"/>
  <c r="AO561"/>
  <c r="AN561"/>
  <c r="AN392" i="6"/>
  <c r="BD572" i="5"/>
  <c r="BF572" s="1"/>
  <c r="BA573"/>
  <c r="BB572"/>
  <c r="BK572"/>
  <c r="BL572" s="1"/>
  <c r="BE572"/>
  <c r="BG572" s="1"/>
  <c r="BI572"/>
  <c r="BJ572" s="1"/>
  <c r="AZ572"/>
  <c r="BF575" i="4" l="1"/>
  <c r="BG575" s="1"/>
  <c r="AW575"/>
  <c r="AU575"/>
  <c r="BD575"/>
  <c r="BE575" s="1"/>
  <c r="AZ575"/>
  <c r="BB575" s="1"/>
  <c r="AV576"/>
  <c r="AY575"/>
  <c r="BA575" s="1"/>
  <c r="AM393" i="6"/>
  <c r="AJ563" i="12"/>
  <c r="AL562"/>
  <c r="AO562" s="1"/>
  <c r="AK562"/>
  <c r="AN562"/>
  <c r="BK573" i="5"/>
  <c r="BL573" s="1"/>
  <c r="BD573"/>
  <c r="BF573" s="1"/>
  <c r="BI573"/>
  <c r="BJ573" s="1"/>
  <c r="BA574"/>
  <c r="AZ573"/>
  <c r="BE573"/>
  <c r="BG573" s="1"/>
  <c r="BB573"/>
  <c r="BZ597" i="6"/>
  <c r="BV597"/>
  <c r="BX597" s="1"/>
  <c r="BY598"/>
  <c r="BW597"/>
  <c r="BB574" i="5" l="1"/>
  <c r="AZ574"/>
  <c r="BE574"/>
  <c r="BG574" s="1"/>
  <c r="BK574"/>
  <c r="BL574" s="1"/>
  <c r="BA575"/>
  <c r="BI574"/>
  <c r="BJ574" s="1"/>
  <c r="BD574"/>
  <c r="BF574" s="1"/>
  <c r="AL563" i="12"/>
  <c r="AK563"/>
  <c r="AO563"/>
  <c r="AN563"/>
  <c r="AJ564"/>
  <c r="AW576" i="4"/>
  <c r="AU576"/>
  <c r="AZ576"/>
  <c r="BB576" s="1"/>
  <c r="BD576"/>
  <c r="BE576" s="1"/>
  <c r="AV577"/>
  <c r="BF576"/>
  <c r="BG576" s="1"/>
  <c r="AY576"/>
  <c r="BA576" s="1"/>
  <c r="BZ598" i="6"/>
  <c r="BY599"/>
  <c r="BV598"/>
  <c r="BX598" s="1"/>
  <c r="BW598"/>
  <c r="AN393"/>
  <c r="AM394" l="1"/>
  <c r="BY600"/>
  <c r="BV599"/>
  <c r="BX599" s="1"/>
  <c r="BZ599"/>
  <c r="BW599" s="1"/>
  <c r="AU577" i="4"/>
  <c r="AZ577"/>
  <c r="BB577" s="1"/>
  <c r="BD577"/>
  <c r="BE577" s="1"/>
  <c r="AV578"/>
  <c r="AY577"/>
  <c r="BA577" s="1"/>
  <c r="BF577"/>
  <c r="BG577" s="1"/>
  <c r="AW577"/>
  <c r="AZ575" i="5"/>
  <c r="BE575"/>
  <c r="BG575" s="1"/>
  <c r="BI575"/>
  <c r="BJ575" s="1"/>
  <c r="BA576"/>
  <c r="BD575"/>
  <c r="BF575" s="1"/>
  <c r="BB575"/>
  <c r="BK575"/>
  <c r="BL575" s="1"/>
  <c r="AK564" i="12"/>
  <c r="AJ565"/>
  <c r="AN564"/>
  <c r="AL564"/>
  <c r="AO564" s="1"/>
  <c r="AY578" i="4" l="1"/>
  <c r="BA578" s="1"/>
  <c r="BF578"/>
  <c r="BG578" s="1"/>
  <c r="AZ578"/>
  <c r="BB578" s="1"/>
  <c r="AU578"/>
  <c r="AV579"/>
  <c r="AW578"/>
  <c r="BD578"/>
  <c r="BE578" s="1"/>
  <c r="BZ600" i="6"/>
  <c r="BV600"/>
  <c r="BX600" s="1"/>
  <c r="BY601"/>
  <c r="BW600"/>
  <c r="BD576" i="5"/>
  <c r="BF576" s="1"/>
  <c r="BB576"/>
  <c r="BK576"/>
  <c r="BL576" s="1"/>
  <c r="AZ576"/>
  <c r="BA577"/>
  <c r="BI576"/>
  <c r="BJ576" s="1"/>
  <c r="BE576"/>
  <c r="BG576" s="1"/>
  <c r="AN394" i="6"/>
  <c r="AL565" i="12"/>
  <c r="AO565" s="1"/>
  <c r="AK565"/>
  <c r="AJ566"/>
  <c r="AN565"/>
  <c r="AJ567" l="1"/>
  <c r="AL566"/>
  <c r="AK566"/>
  <c r="AN566"/>
  <c r="AO566"/>
  <c r="BZ601" i="6"/>
  <c r="BY602"/>
  <c r="BV601"/>
  <c r="BX601" s="1"/>
  <c r="BW601"/>
  <c r="BF579" i="4"/>
  <c r="BG579" s="1"/>
  <c r="AW579"/>
  <c r="AY579"/>
  <c r="BA579" s="1"/>
  <c r="AZ579"/>
  <c r="BB579" s="1"/>
  <c r="AV580"/>
  <c r="AU579"/>
  <c r="BD579"/>
  <c r="BE579" s="1"/>
  <c r="AM395" i="6"/>
  <c r="BK577" i="5"/>
  <c r="BL577" s="1"/>
  <c r="BA578"/>
  <c r="BB577"/>
  <c r="BE577"/>
  <c r="BG577" s="1"/>
  <c r="BD577"/>
  <c r="BF577" s="1"/>
  <c r="BI577"/>
  <c r="BJ577" s="1"/>
  <c r="AZ577"/>
  <c r="AK567" i="12" l="1"/>
  <c r="AO567"/>
  <c r="AN567"/>
  <c r="AL567"/>
  <c r="AJ568"/>
  <c r="AW580" i="4"/>
  <c r="AU580"/>
  <c r="AZ580"/>
  <c r="BB580" s="1"/>
  <c r="BD580"/>
  <c r="BE580" s="1"/>
  <c r="AV581"/>
  <c r="AY580"/>
  <c r="BA580" s="1"/>
  <c r="BF580"/>
  <c r="BG580" s="1"/>
  <c r="AN395" i="6"/>
  <c r="BZ602"/>
  <c r="BY603"/>
  <c r="BV602"/>
  <c r="BX602" s="1"/>
  <c r="BW602"/>
  <c r="BB578" i="5"/>
  <c r="BE578"/>
  <c r="BG578" s="1"/>
  <c r="BK578"/>
  <c r="BL578" s="1"/>
  <c r="BD578"/>
  <c r="BF578" s="1"/>
  <c r="BI578"/>
  <c r="BJ578" s="1"/>
  <c r="AZ578"/>
  <c r="BA579"/>
  <c r="AU581" i="4" l="1"/>
  <c r="AZ581"/>
  <c r="BB581" s="1"/>
  <c r="BD581"/>
  <c r="BE581" s="1"/>
  <c r="AV582"/>
  <c r="AY581"/>
  <c r="BA581" s="1"/>
  <c r="AW581"/>
  <c r="BF581"/>
  <c r="BG581" s="1"/>
  <c r="AM396" i="6"/>
  <c r="AK568" i="12"/>
  <c r="AJ569"/>
  <c r="AL568"/>
  <c r="AN568"/>
  <c r="AO568"/>
  <c r="AZ579" i="5"/>
  <c r="BE579"/>
  <c r="BG579" s="1"/>
  <c r="BI579"/>
  <c r="BJ579" s="1"/>
  <c r="BA580"/>
  <c r="BB579"/>
  <c r="BD579"/>
  <c r="BF579" s="1"/>
  <c r="BK579"/>
  <c r="BL579" s="1"/>
  <c r="BY604" i="6"/>
  <c r="BZ603"/>
  <c r="BV603"/>
  <c r="BX603" s="1"/>
  <c r="BW603"/>
  <c r="BV604" l="1"/>
  <c r="BX604" s="1"/>
  <c r="BY605"/>
  <c r="BZ604"/>
  <c r="BW604" s="1"/>
  <c r="BD580" i="5"/>
  <c r="BF580" s="1"/>
  <c r="AZ580"/>
  <c r="BE580"/>
  <c r="BG580" s="1"/>
  <c r="BI580"/>
  <c r="BJ580" s="1"/>
  <c r="BB580"/>
  <c r="BK580"/>
  <c r="BL580" s="1"/>
  <c r="BA581"/>
  <c r="AL569" i="12"/>
  <c r="AJ570"/>
  <c r="AO569"/>
  <c r="AK569"/>
  <c r="AN569"/>
  <c r="AN396" i="6"/>
  <c r="AY582" i="4"/>
  <c r="BA582" s="1"/>
  <c r="BF582"/>
  <c r="BG582" s="1"/>
  <c r="AW582"/>
  <c r="BD582"/>
  <c r="BE582" s="1"/>
  <c r="AV583"/>
  <c r="AU582"/>
  <c r="AZ582"/>
  <c r="BB582" s="1"/>
  <c r="BZ605" i="6" l="1"/>
  <c r="BW605" s="1"/>
  <c r="BY606"/>
  <c r="BV605"/>
  <c r="BX605" s="1"/>
  <c r="BK581" i="5"/>
  <c r="BL581" s="1"/>
  <c r="BB581"/>
  <c r="AZ581"/>
  <c r="BE581"/>
  <c r="BG581" s="1"/>
  <c r="BD581"/>
  <c r="BF581" s="1"/>
  <c r="BI581"/>
  <c r="BJ581" s="1"/>
  <c r="BA582"/>
  <c r="AM397" i="6"/>
  <c r="AJ571" i="12"/>
  <c r="AL570"/>
  <c r="AK570"/>
  <c r="AN570"/>
  <c r="AO570"/>
  <c r="BF583" i="4"/>
  <c r="BG583" s="1"/>
  <c r="AW583"/>
  <c r="AU583"/>
  <c r="BD583"/>
  <c r="BE583" s="1"/>
  <c r="AZ583"/>
  <c r="BB583" s="1"/>
  <c r="AY583"/>
  <c r="BA583" s="1"/>
  <c r="AV584"/>
  <c r="AN397" i="6" l="1"/>
  <c r="AJ572" i="12"/>
  <c r="AN571"/>
  <c r="AL571"/>
  <c r="AO571" s="1"/>
  <c r="AK571"/>
  <c r="BB582" i="5"/>
  <c r="BD582"/>
  <c r="BF582" s="1"/>
  <c r="BI582"/>
  <c r="BJ582" s="1"/>
  <c r="BA583"/>
  <c r="BK582"/>
  <c r="BL582" s="1"/>
  <c r="AZ582"/>
  <c r="BE582"/>
  <c r="BG582" s="1"/>
  <c r="BZ606" i="6"/>
  <c r="BY607"/>
  <c r="BV606"/>
  <c r="BX606" s="1"/>
  <c r="BW606"/>
  <c r="AW584" i="4"/>
  <c r="AU584"/>
  <c r="AZ584"/>
  <c r="BB584" s="1"/>
  <c r="BD584"/>
  <c r="BE584" s="1"/>
  <c r="AV585"/>
  <c r="BF584"/>
  <c r="BG584" s="1"/>
  <c r="AY584"/>
  <c r="BA584" s="1"/>
  <c r="AU585" l="1"/>
  <c r="AZ585"/>
  <c r="BB585" s="1"/>
  <c r="BD585"/>
  <c r="BE585" s="1"/>
  <c r="AV586"/>
  <c r="AY585"/>
  <c r="BA585" s="1"/>
  <c r="BF585"/>
  <c r="BG585" s="1"/>
  <c r="AW585"/>
  <c r="AZ583" i="5"/>
  <c r="BE583"/>
  <c r="BG583" s="1"/>
  <c r="BI583"/>
  <c r="BJ583" s="1"/>
  <c r="BA584"/>
  <c r="BB583"/>
  <c r="BK583"/>
  <c r="BL583" s="1"/>
  <c r="BD583"/>
  <c r="BF583" s="1"/>
  <c r="AK572" i="12"/>
  <c r="AL572"/>
  <c r="AJ573"/>
  <c r="AO572"/>
  <c r="AN572"/>
  <c r="AM398" i="6"/>
  <c r="BY608"/>
  <c r="BZ607"/>
  <c r="BV607"/>
  <c r="BX607" s="1"/>
  <c r="BW607"/>
  <c r="AL573" i="12" l="1"/>
  <c r="AO573" s="1"/>
  <c r="AJ574"/>
  <c r="AK573"/>
  <c r="AN573"/>
  <c r="BZ608" i="6"/>
  <c r="BW608" s="1"/>
  <c r="BY609"/>
  <c r="BV608"/>
  <c r="BX608" s="1"/>
  <c r="BD584" i="5"/>
  <c r="BF584" s="1"/>
  <c r="BE584"/>
  <c r="BG584" s="1"/>
  <c r="BI584"/>
  <c r="BJ584" s="1"/>
  <c r="BA585"/>
  <c r="BB584"/>
  <c r="BK584"/>
  <c r="BL584" s="1"/>
  <c r="AZ584"/>
  <c r="AN398" i="6"/>
  <c r="AY586" i="4"/>
  <c r="BA586" s="1"/>
  <c r="BF586"/>
  <c r="BG586" s="1"/>
  <c r="AZ586"/>
  <c r="BB586" s="1"/>
  <c r="AU586"/>
  <c r="AV587"/>
  <c r="BD586"/>
  <c r="BE586" s="1"/>
  <c r="AW586"/>
  <c r="AJ575" i="12" l="1"/>
  <c r="AK574"/>
  <c r="AL574"/>
  <c r="AN574"/>
  <c r="AO574"/>
  <c r="BZ609" i="6"/>
  <c r="BY610"/>
  <c r="BV609"/>
  <c r="BX609" s="1"/>
  <c r="BW609"/>
  <c r="AM399"/>
  <c r="BK585" i="5"/>
  <c r="BL585" s="1"/>
  <c r="AZ585"/>
  <c r="BE585"/>
  <c r="BG585" s="1"/>
  <c r="BD585"/>
  <c r="BF585" s="1"/>
  <c r="BI585"/>
  <c r="BJ585" s="1"/>
  <c r="BA586"/>
  <c r="BB585"/>
  <c r="BF587" i="4"/>
  <c r="BG587" s="1"/>
  <c r="AW587"/>
  <c r="AY587"/>
  <c r="BA587" s="1"/>
  <c r="AZ587"/>
  <c r="BB587" s="1"/>
  <c r="AV588"/>
  <c r="BD587"/>
  <c r="BE587" s="1"/>
  <c r="AU587"/>
  <c r="AN399" i="6" l="1"/>
  <c r="BB586" i="5"/>
  <c r="BA587"/>
  <c r="AZ586"/>
  <c r="BI586"/>
  <c r="BJ586" s="1"/>
  <c r="BK586"/>
  <c r="BL586" s="1"/>
  <c r="BD586"/>
  <c r="BF586" s="1"/>
  <c r="BE586"/>
  <c r="BG586" s="1"/>
  <c r="AJ576" i="12"/>
  <c r="AL575"/>
  <c r="AO575"/>
  <c r="AN575"/>
  <c r="AK575"/>
  <c r="AW588" i="4"/>
  <c r="AU588"/>
  <c r="AZ588"/>
  <c r="BB588" s="1"/>
  <c r="BD588"/>
  <c r="BE588" s="1"/>
  <c r="AV589"/>
  <c r="BF588"/>
  <c r="BG588" s="1"/>
  <c r="AY588"/>
  <c r="BA588" s="1"/>
  <c r="BZ610" i="6"/>
  <c r="BW610" s="1"/>
  <c r="BY611"/>
  <c r="BV610"/>
  <c r="BX610" s="1"/>
  <c r="AM400" l="1"/>
  <c r="AK576" i="12"/>
  <c r="AJ577"/>
  <c r="AL576"/>
  <c r="AO576" s="1"/>
  <c r="AN576"/>
  <c r="BY612" i="6"/>
  <c r="BV611"/>
  <c r="BX611" s="1"/>
  <c r="BZ611"/>
  <c r="BW611" s="1"/>
  <c r="AU589" i="4"/>
  <c r="AZ589"/>
  <c r="BB589" s="1"/>
  <c r="BD589"/>
  <c r="BE589" s="1"/>
  <c r="AV590"/>
  <c r="AY589"/>
  <c r="BA589" s="1"/>
  <c r="AW589"/>
  <c r="BF589"/>
  <c r="BG589" s="1"/>
  <c r="AZ587" i="5"/>
  <c r="BE587"/>
  <c r="BG587" s="1"/>
  <c r="BI587"/>
  <c r="BJ587" s="1"/>
  <c r="BA588"/>
  <c r="BK587"/>
  <c r="BL587" s="1"/>
  <c r="BD587"/>
  <c r="BF587" s="1"/>
  <c r="BB587"/>
  <c r="AN400" i="6" l="1"/>
  <c r="BD588" i="5"/>
  <c r="BF588" s="1"/>
  <c r="BA589"/>
  <c r="BB588"/>
  <c r="BK588"/>
  <c r="BL588" s="1"/>
  <c r="BI588"/>
  <c r="BJ588" s="1"/>
  <c r="AZ588"/>
  <c r="BE588"/>
  <c r="BG588" s="1"/>
  <c r="AY590" i="4"/>
  <c r="BA590" s="1"/>
  <c r="BF590"/>
  <c r="BG590" s="1"/>
  <c r="AW590"/>
  <c r="BD590"/>
  <c r="BE590" s="1"/>
  <c r="AU590"/>
  <c r="AZ590"/>
  <c r="BB590" s="1"/>
  <c r="AV591"/>
  <c r="BV612" i="6"/>
  <c r="BX612" s="1"/>
  <c r="BY613"/>
  <c r="BZ612"/>
  <c r="BW612" s="1"/>
  <c r="AL577" i="12"/>
  <c r="AO577" s="1"/>
  <c r="AJ578"/>
  <c r="AK577"/>
  <c r="AN577"/>
  <c r="AM401" i="6" l="1"/>
  <c r="AJ579" i="12"/>
  <c r="AN578"/>
  <c r="AO578"/>
  <c r="AK578"/>
  <c r="AL578"/>
  <c r="BZ613" i="6"/>
  <c r="BW613" s="1"/>
  <c r="BY614"/>
  <c r="BV613"/>
  <c r="BX613" s="1"/>
  <c r="BF591" i="4"/>
  <c r="BG591" s="1"/>
  <c r="AW591"/>
  <c r="AU591"/>
  <c r="BD591"/>
  <c r="BE591" s="1"/>
  <c r="AZ591"/>
  <c r="BB591" s="1"/>
  <c r="AY591"/>
  <c r="BA591" s="1"/>
  <c r="AV592"/>
  <c r="BK589" i="5"/>
  <c r="BL589" s="1"/>
  <c r="BD589"/>
  <c r="BF589" s="1"/>
  <c r="BI589"/>
  <c r="BJ589" s="1"/>
  <c r="BA590"/>
  <c r="BB589"/>
  <c r="BE589"/>
  <c r="BG589" s="1"/>
  <c r="AZ589"/>
  <c r="BZ614" i="6" l="1"/>
  <c r="BW614" s="1"/>
  <c r="BY615"/>
  <c r="BV614"/>
  <c r="BX614" s="1"/>
  <c r="AN401"/>
  <c r="BB590" i="5"/>
  <c r="AZ590"/>
  <c r="BE590"/>
  <c r="BG590" s="1"/>
  <c r="BK590"/>
  <c r="BL590" s="1"/>
  <c r="BD590"/>
  <c r="BF590" s="1"/>
  <c r="BA591"/>
  <c r="BI590"/>
  <c r="BJ590" s="1"/>
  <c r="AW592" i="4"/>
  <c r="AU592"/>
  <c r="AZ592"/>
  <c r="BB592" s="1"/>
  <c r="BD592"/>
  <c r="BE592" s="1"/>
  <c r="AV593"/>
  <c r="BF592"/>
  <c r="BG592" s="1"/>
  <c r="AY592"/>
  <c r="BA592" s="1"/>
  <c r="AL579" i="12"/>
  <c r="AO579" s="1"/>
  <c r="AK579"/>
  <c r="AJ580"/>
  <c r="AN579"/>
  <c r="BY616" i="6" l="1"/>
  <c r="BV615"/>
  <c r="BX615" s="1"/>
  <c r="BZ615"/>
  <c r="BW615" s="1"/>
  <c r="AM402"/>
  <c r="AU593" i="4"/>
  <c r="AZ593"/>
  <c r="BB593" s="1"/>
  <c r="BD593"/>
  <c r="BE593" s="1"/>
  <c r="AV594"/>
  <c r="AY593"/>
  <c r="BA593" s="1"/>
  <c r="BF593"/>
  <c r="BG593" s="1"/>
  <c r="AW593"/>
  <c r="AK580" i="12"/>
  <c r="AJ581"/>
  <c r="AL580"/>
  <c r="AN580"/>
  <c r="AO580"/>
  <c r="AZ591" i="5"/>
  <c r="BE591"/>
  <c r="BG591" s="1"/>
  <c r="BI591"/>
  <c r="BJ591" s="1"/>
  <c r="BA592"/>
  <c r="BD591"/>
  <c r="BF591" s="1"/>
  <c r="BK591"/>
  <c r="BL591" s="1"/>
  <c r="BB591"/>
  <c r="AN402" i="6" l="1"/>
  <c r="BZ616"/>
  <c r="BV616"/>
  <c r="BX616" s="1"/>
  <c r="BY617"/>
  <c r="BW616"/>
  <c r="BD592" i="5"/>
  <c r="BF592" s="1"/>
  <c r="BB592"/>
  <c r="BK592"/>
  <c r="BL592" s="1"/>
  <c r="AZ592"/>
  <c r="BE592"/>
  <c r="BG592" s="1"/>
  <c r="BA593"/>
  <c r="BI592"/>
  <c r="BJ592" s="1"/>
  <c r="AY594" i="4"/>
  <c r="BA594" s="1"/>
  <c r="BF594"/>
  <c r="BG594" s="1"/>
  <c r="AZ594"/>
  <c r="BB594" s="1"/>
  <c r="AU594"/>
  <c r="AV595"/>
  <c r="AW594"/>
  <c r="BD594"/>
  <c r="BE594" s="1"/>
  <c r="AL581" i="12"/>
  <c r="AO581" s="1"/>
  <c r="AK581"/>
  <c r="AN581"/>
  <c r="AJ582"/>
  <c r="BZ617" i="6" l="1"/>
  <c r="BW617" s="1"/>
  <c r="BY618"/>
  <c r="BV617"/>
  <c r="BX617" s="1"/>
  <c r="AM403"/>
  <c r="BF595" i="4"/>
  <c r="BG595" s="1"/>
  <c r="AW595"/>
  <c r="AY595"/>
  <c r="BA595" s="1"/>
  <c r="AZ595"/>
  <c r="BB595" s="1"/>
  <c r="AV596"/>
  <c r="BD595"/>
  <c r="BE595" s="1"/>
  <c r="AU595"/>
  <c r="AJ583" i="12"/>
  <c r="AL582"/>
  <c r="AN582"/>
  <c r="AK582"/>
  <c r="AO582"/>
  <c r="BK593" i="5"/>
  <c r="BL593" s="1"/>
  <c r="BA594"/>
  <c r="BB593"/>
  <c r="BI593"/>
  <c r="BJ593" s="1"/>
  <c r="AZ593"/>
  <c r="BD593"/>
  <c r="BF593" s="1"/>
  <c r="BE593"/>
  <c r="BG593" s="1"/>
  <c r="BZ618" i="6" l="1"/>
  <c r="BW618" s="1"/>
  <c r="BY619"/>
  <c r="BV618"/>
  <c r="BX618" s="1"/>
  <c r="AK583" i="12"/>
  <c r="AJ584"/>
  <c r="AO583"/>
  <c r="AL583"/>
  <c r="AN583"/>
  <c r="AW596" i="4"/>
  <c r="AU596"/>
  <c r="AZ596"/>
  <c r="BB596" s="1"/>
  <c r="BD596"/>
  <c r="BE596" s="1"/>
  <c r="AV597"/>
  <c r="AY596"/>
  <c r="BA596" s="1"/>
  <c r="BF596"/>
  <c r="BG596" s="1"/>
  <c r="AN403" i="6"/>
  <c r="BB594" i="5"/>
  <c r="BE594"/>
  <c r="BG594" s="1"/>
  <c r="BK594"/>
  <c r="BL594" s="1"/>
  <c r="BD594"/>
  <c r="BF594" s="1"/>
  <c r="BI594"/>
  <c r="BJ594" s="1"/>
  <c r="BA595"/>
  <c r="AZ594"/>
  <c r="AU597" i="4" l="1"/>
  <c r="AZ597"/>
  <c r="BB597" s="1"/>
  <c r="BD597"/>
  <c r="BE597" s="1"/>
  <c r="AV598"/>
  <c r="AY597"/>
  <c r="BA597" s="1"/>
  <c r="AW597"/>
  <c r="BF597"/>
  <c r="BG597" s="1"/>
  <c r="AK584" i="12"/>
  <c r="AJ585"/>
  <c r="AL584"/>
  <c r="AO584" s="1"/>
  <c r="AN584"/>
  <c r="BY620" i="6"/>
  <c r="BZ619"/>
  <c r="BW619" s="1"/>
  <c r="BV619"/>
  <c r="BX619" s="1"/>
  <c r="AM404"/>
  <c r="AZ595" i="5"/>
  <c r="BE595"/>
  <c r="BG595" s="1"/>
  <c r="BI595"/>
  <c r="BJ595" s="1"/>
  <c r="BA596"/>
  <c r="BB595"/>
  <c r="BK595"/>
  <c r="BL595" s="1"/>
  <c r="BD595"/>
  <c r="BF595" s="1"/>
  <c r="BD596" l="1"/>
  <c r="BF596" s="1"/>
  <c r="AZ596"/>
  <c r="BE596"/>
  <c r="BG596" s="1"/>
  <c r="BI596"/>
  <c r="BJ596" s="1"/>
  <c r="BA597"/>
  <c r="BK596"/>
  <c r="BL596" s="1"/>
  <c r="BB596"/>
  <c r="AN404" i="6"/>
  <c r="AL585" i="12"/>
  <c r="AO585"/>
  <c r="AN585"/>
  <c r="AJ586"/>
  <c r="AK585"/>
  <c r="BV620" i="6"/>
  <c r="BX620" s="1"/>
  <c r="BY621"/>
  <c r="BW620"/>
  <c r="BZ620"/>
  <c r="AY598" i="4"/>
  <c r="BA598" s="1"/>
  <c r="BF598"/>
  <c r="BG598" s="1"/>
  <c r="AW598"/>
  <c r="BD598"/>
  <c r="BE598" s="1"/>
  <c r="AZ598"/>
  <c r="BB598" s="1"/>
  <c r="AU598"/>
  <c r="AV599"/>
  <c r="BK597" i="5" l="1"/>
  <c r="BL597" s="1"/>
  <c r="BB597"/>
  <c r="AZ597"/>
  <c r="BE597"/>
  <c r="BG597" s="1"/>
  <c r="BA598"/>
  <c r="BI597"/>
  <c r="BJ597" s="1"/>
  <c r="BD597"/>
  <c r="BF597" s="1"/>
  <c r="BF599" i="4"/>
  <c r="BG599" s="1"/>
  <c r="AW599"/>
  <c r="AU599"/>
  <c r="BD599"/>
  <c r="BE599" s="1"/>
  <c r="AY599"/>
  <c r="BA599" s="1"/>
  <c r="AV600"/>
  <c r="AZ599"/>
  <c r="BB599" s="1"/>
  <c r="AJ587" i="12"/>
  <c r="AL586"/>
  <c r="AO586" s="1"/>
  <c r="AK586"/>
  <c r="AN586"/>
  <c r="BZ621" i="6"/>
  <c r="BW621"/>
  <c r="BY622"/>
  <c r="BV621"/>
  <c r="BX621" s="1"/>
  <c r="AM405"/>
  <c r="BZ622" l="1"/>
  <c r="BW622" s="1"/>
  <c r="BY623"/>
  <c r="BV622"/>
  <c r="BX622" s="1"/>
  <c r="AW600" i="4"/>
  <c r="AU600"/>
  <c r="AZ600"/>
  <c r="BB600" s="1"/>
  <c r="BD600"/>
  <c r="BE600" s="1"/>
  <c r="AV601"/>
  <c r="BF600"/>
  <c r="BG600" s="1"/>
  <c r="AY600"/>
  <c r="BA600" s="1"/>
  <c r="BB598" i="5"/>
  <c r="BD598"/>
  <c r="BF598" s="1"/>
  <c r="BI598"/>
  <c r="BJ598" s="1"/>
  <c r="BA599"/>
  <c r="BE598"/>
  <c r="BG598" s="1"/>
  <c r="BK598"/>
  <c r="BL598" s="1"/>
  <c r="AZ598"/>
  <c r="AJ588" i="12"/>
  <c r="AL587"/>
  <c r="AO587"/>
  <c r="AK587"/>
  <c r="AN587"/>
  <c r="AN405" i="6"/>
  <c r="AU601" i="4" l="1"/>
  <c r="AZ601"/>
  <c r="BB601" s="1"/>
  <c r="BD601"/>
  <c r="BE601" s="1"/>
  <c r="AV602"/>
  <c r="AY601"/>
  <c r="BA601" s="1"/>
  <c r="BF601"/>
  <c r="BG601" s="1"/>
  <c r="AW601"/>
  <c r="BY624" i="6"/>
  <c r="BZ623"/>
  <c r="BW623" s="1"/>
  <c r="BV623"/>
  <c r="BX623" s="1"/>
  <c r="AK588" i="12"/>
  <c r="AL588"/>
  <c r="AO588" s="1"/>
  <c r="AJ589"/>
  <c r="AN588"/>
  <c r="AZ599" i="5"/>
  <c r="BE599"/>
  <c r="BG599" s="1"/>
  <c r="BI599"/>
  <c r="BJ599" s="1"/>
  <c r="BA600"/>
  <c r="BB599"/>
  <c r="BK599"/>
  <c r="BL599" s="1"/>
  <c r="BD599"/>
  <c r="BF599" s="1"/>
  <c r="AM406" i="6"/>
  <c r="AL589" i="12" l="1"/>
  <c r="AO589" s="1"/>
  <c r="AJ590"/>
  <c r="AN589"/>
  <c r="AK589"/>
  <c r="AN406" i="6"/>
  <c r="BD600" i="5"/>
  <c r="BF600" s="1"/>
  <c r="BE600"/>
  <c r="BG600" s="1"/>
  <c r="BI600"/>
  <c r="BJ600" s="1"/>
  <c r="BA601"/>
  <c r="AZ600"/>
  <c r="BK600"/>
  <c r="BL600" s="1"/>
  <c r="BB600"/>
  <c r="BZ624" i="6"/>
  <c r="BW624" s="1"/>
  <c r="BY625"/>
  <c r="BV624"/>
  <c r="BX624" s="1"/>
  <c r="AY602" i="4"/>
  <c r="BA602" s="1"/>
  <c r="BF602"/>
  <c r="BG602" s="1"/>
  <c r="AZ602"/>
  <c r="BB602" s="1"/>
  <c r="AU602"/>
  <c r="AV603"/>
  <c r="BD602"/>
  <c r="BE602" s="1"/>
  <c r="AW602"/>
  <c r="AM407" i="6" l="1"/>
  <c r="AJ591" i="12"/>
  <c r="AK590"/>
  <c r="AL590"/>
  <c r="AO590" s="1"/>
  <c r="AN590"/>
  <c r="BF603" i="4"/>
  <c r="BG603" s="1"/>
  <c r="AW603"/>
  <c r="AY603"/>
  <c r="BA603" s="1"/>
  <c r="AZ603"/>
  <c r="BB603" s="1"/>
  <c r="AV604"/>
  <c r="BD603"/>
  <c r="BE603" s="1"/>
  <c r="AU603"/>
  <c r="BK601" i="5"/>
  <c r="BL601" s="1"/>
  <c r="AZ601"/>
  <c r="BE601"/>
  <c r="BG601" s="1"/>
  <c r="BD601"/>
  <c r="BF601" s="1"/>
  <c r="BI601"/>
  <c r="BJ601" s="1"/>
  <c r="BB601"/>
  <c r="BA602"/>
  <c r="BZ625" i="6"/>
  <c r="BY626"/>
  <c r="BV625"/>
  <c r="BX625" s="1"/>
  <c r="BW625"/>
  <c r="AN407" l="1"/>
  <c r="BB602" i="5"/>
  <c r="BA603"/>
  <c r="AZ602"/>
  <c r="BE602"/>
  <c r="BG602" s="1"/>
  <c r="BD602"/>
  <c r="BF602" s="1"/>
  <c r="BK602"/>
  <c r="BL602" s="1"/>
  <c r="BI602"/>
  <c r="BJ602" s="1"/>
  <c r="AJ592" i="12"/>
  <c r="AL591"/>
  <c r="AK591"/>
  <c r="AO591"/>
  <c r="AN591"/>
  <c r="BZ626" i="6"/>
  <c r="BY627"/>
  <c r="BV626"/>
  <c r="BX626" s="1"/>
  <c r="BW626"/>
  <c r="AW604" i="4"/>
  <c r="AU604"/>
  <c r="AZ604"/>
  <c r="BB604" s="1"/>
  <c r="BD604"/>
  <c r="BE604" s="1"/>
  <c r="AV605"/>
  <c r="BF604"/>
  <c r="BG604" s="1"/>
  <c r="AY604"/>
  <c r="BA604" s="1"/>
  <c r="AK592" i="12" l="1"/>
  <c r="AL592"/>
  <c r="AN592"/>
  <c r="AJ593"/>
  <c r="AO592"/>
  <c r="AM408" i="6"/>
  <c r="AU605" i="4"/>
  <c r="AZ605"/>
  <c r="BB605" s="1"/>
  <c r="BD605"/>
  <c r="BE605" s="1"/>
  <c r="AV606"/>
  <c r="AY605"/>
  <c r="BA605" s="1"/>
  <c r="AW605"/>
  <c r="BF605"/>
  <c r="BG605" s="1"/>
  <c r="BY628" i="6"/>
  <c r="BZ627"/>
  <c r="BV627"/>
  <c r="BX627" s="1"/>
  <c r="BW627"/>
  <c r="AZ603" i="5"/>
  <c r="BE603"/>
  <c r="BG603" s="1"/>
  <c r="BI603"/>
  <c r="BJ603" s="1"/>
  <c r="BA604"/>
  <c r="BK603"/>
  <c r="BL603" s="1"/>
  <c r="BD603"/>
  <c r="BF603" s="1"/>
  <c r="BB603"/>
  <c r="AN408" i="6" l="1"/>
  <c r="BD604" i="5"/>
  <c r="BF604" s="1"/>
  <c r="BA605"/>
  <c r="BB604"/>
  <c r="BK604"/>
  <c r="BL604" s="1"/>
  <c r="BE604"/>
  <c r="BG604" s="1"/>
  <c r="AZ604"/>
  <c r="BI604"/>
  <c r="BJ604" s="1"/>
  <c r="BV628" i="6"/>
  <c r="BX628" s="1"/>
  <c r="BY629"/>
  <c r="BZ628"/>
  <c r="BW628"/>
  <c r="AY606" i="4"/>
  <c r="BA606" s="1"/>
  <c r="BF606"/>
  <c r="BG606" s="1"/>
  <c r="AW606"/>
  <c r="BD606"/>
  <c r="BE606" s="1"/>
  <c r="AU606"/>
  <c r="AZ606"/>
  <c r="BB606" s="1"/>
  <c r="AV607"/>
  <c r="AL593" i="12"/>
  <c r="AO593" s="1"/>
  <c r="AJ594"/>
  <c r="AK593"/>
  <c r="AN593"/>
  <c r="AM409" i="6" l="1"/>
  <c r="AJ595" i="12"/>
  <c r="AL594"/>
  <c r="AK594"/>
  <c r="AN594"/>
  <c r="AO594"/>
  <c r="BZ629" i="6"/>
  <c r="BY630"/>
  <c r="BV629"/>
  <c r="BX629" s="1"/>
  <c r="BW629"/>
  <c r="BF607" i="4"/>
  <c r="BG607" s="1"/>
  <c r="AW607"/>
  <c r="AU607"/>
  <c r="BD607"/>
  <c r="BE607" s="1"/>
  <c r="AZ607"/>
  <c r="BB607" s="1"/>
  <c r="AY607"/>
  <c r="BA607" s="1"/>
  <c r="AV608"/>
  <c r="BK605" i="5"/>
  <c r="BL605" s="1"/>
  <c r="BD605"/>
  <c r="BF605" s="1"/>
  <c r="BI605"/>
  <c r="BJ605" s="1"/>
  <c r="BA606"/>
  <c r="AZ605"/>
  <c r="BE605"/>
  <c r="BG605" s="1"/>
  <c r="BB605"/>
  <c r="BZ630" i="6" l="1"/>
  <c r="BW630" s="1"/>
  <c r="BY631"/>
  <c r="BV630"/>
  <c r="BX630" s="1"/>
  <c r="AN409"/>
  <c r="BB606" i="5"/>
  <c r="AZ606"/>
  <c r="BE606"/>
  <c r="BG606" s="1"/>
  <c r="BK606"/>
  <c r="BL606" s="1"/>
  <c r="BA607"/>
  <c r="BI606"/>
  <c r="BJ606" s="1"/>
  <c r="BD606"/>
  <c r="BF606" s="1"/>
  <c r="AW608" i="4"/>
  <c r="AU608"/>
  <c r="AZ608"/>
  <c r="BB608" s="1"/>
  <c r="BD608"/>
  <c r="BE608" s="1"/>
  <c r="AV609"/>
  <c r="BF608"/>
  <c r="BG608" s="1"/>
  <c r="AY608"/>
  <c r="BA608" s="1"/>
  <c r="AL595" i="12"/>
  <c r="AO595" s="1"/>
  <c r="AK595"/>
  <c r="AN595"/>
  <c r="AJ596"/>
  <c r="AU609" i="4" l="1"/>
  <c r="AZ609"/>
  <c r="BB609" s="1"/>
  <c r="BD609"/>
  <c r="BE609" s="1"/>
  <c r="AV610"/>
  <c r="AY609"/>
  <c r="BA609" s="1"/>
  <c r="BF609"/>
  <c r="BG609" s="1"/>
  <c r="AW609"/>
  <c r="AM410" i="6"/>
  <c r="BY632"/>
  <c r="BV631"/>
  <c r="BX631" s="1"/>
  <c r="BZ631"/>
  <c r="BW631"/>
  <c r="AZ607" i="5"/>
  <c r="BE607"/>
  <c r="BG607" s="1"/>
  <c r="BI607"/>
  <c r="BJ607" s="1"/>
  <c r="BA608"/>
  <c r="BD607"/>
  <c r="BF607" s="1"/>
  <c r="BK607"/>
  <c r="BL607" s="1"/>
  <c r="BB607"/>
  <c r="AK596" i="12"/>
  <c r="AJ597"/>
  <c r="AL596"/>
  <c r="AN596"/>
  <c r="AO596"/>
  <c r="BD608" i="5" l="1"/>
  <c r="BF608" s="1"/>
  <c r="BB608"/>
  <c r="BK608"/>
  <c r="BL608" s="1"/>
  <c r="AZ608"/>
  <c r="BA609"/>
  <c r="BI608"/>
  <c r="BJ608" s="1"/>
  <c r="BE608"/>
  <c r="BG608" s="1"/>
  <c r="BZ632" i="6"/>
  <c r="BY633"/>
  <c r="BV632"/>
  <c r="BX632" s="1"/>
  <c r="BW632"/>
  <c r="AL597" i="12"/>
  <c r="AK597"/>
  <c r="AO597"/>
  <c r="AJ598"/>
  <c r="AN597"/>
  <c r="AN410" i="6"/>
  <c r="AY610" i="4"/>
  <c r="BA610" s="1"/>
  <c r="BF610"/>
  <c r="BG610" s="1"/>
  <c r="AZ610"/>
  <c r="BB610" s="1"/>
  <c r="AU610"/>
  <c r="AV611"/>
  <c r="AW610"/>
  <c r="BD610"/>
  <c r="BE610" s="1"/>
  <c r="AM411" i="6" l="1"/>
  <c r="BZ633"/>
  <c r="BY634"/>
  <c r="BV633"/>
  <c r="BX633" s="1"/>
  <c r="BW633"/>
  <c r="BK609" i="5"/>
  <c r="BL609" s="1"/>
  <c r="BA610"/>
  <c r="BB609"/>
  <c r="BE609"/>
  <c r="BG609" s="1"/>
  <c r="BD609"/>
  <c r="BF609" s="1"/>
  <c r="BI609"/>
  <c r="BJ609" s="1"/>
  <c r="AZ609"/>
  <c r="BF611" i="4"/>
  <c r="BG611" s="1"/>
  <c r="AW611"/>
  <c r="AY611"/>
  <c r="BA611" s="1"/>
  <c r="AZ611"/>
  <c r="BB611" s="1"/>
  <c r="AV612"/>
  <c r="BD611"/>
  <c r="BE611" s="1"/>
  <c r="AU611"/>
  <c r="AJ599" i="12"/>
  <c r="AL598"/>
  <c r="AK598"/>
  <c r="AN598"/>
  <c r="AO598"/>
  <c r="AN411" i="6" l="1"/>
  <c r="AK599" i="12"/>
  <c r="AN599"/>
  <c r="AJ600"/>
  <c r="AL599"/>
  <c r="AO599" s="1"/>
  <c r="AW612" i="4"/>
  <c r="AU612"/>
  <c r="AZ612"/>
  <c r="BB612" s="1"/>
  <c r="BD612"/>
  <c r="BE612" s="1"/>
  <c r="AV613"/>
  <c r="AY612"/>
  <c r="BA612" s="1"/>
  <c r="BF612"/>
  <c r="BG612" s="1"/>
  <c r="BB610" i="5"/>
  <c r="BE610"/>
  <c r="BG610" s="1"/>
  <c r="BK610"/>
  <c r="BL610" s="1"/>
  <c r="BD610"/>
  <c r="BF610" s="1"/>
  <c r="BI610"/>
  <c r="BJ610" s="1"/>
  <c r="AZ610"/>
  <c r="BA611"/>
  <c r="BZ634" i="6"/>
  <c r="BY635"/>
  <c r="BV634"/>
  <c r="BX634" s="1"/>
  <c r="BW634"/>
  <c r="AM412" l="1"/>
  <c r="AK600" i="12"/>
  <c r="AJ601"/>
  <c r="AL600"/>
  <c r="AO600" s="1"/>
  <c r="AN600"/>
  <c r="BY636" i="6"/>
  <c r="BV635"/>
  <c r="BX635" s="1"/>
  <c r="BZ635"/>
  <c r="BW635" s="1"/>
  <c r="AZ611" i="5"/>
  <c r="BE611"/>
  <c r="BG611" s="1"/>
  <c r="BI611"/>
  <c r="BJ611" s="1"/>
  <c r="BA612"/>
  <c r="BB611"/>
  <c r="BD611"/>
  <c r="BF611" s="1"/>
  <c r="BK611"/>
  <c r="BL611" s="1"/>
  <c r="AU613" i="4"/>
  <c r="AZ613"/>
  <c r="BB613" s="1"/>
  <c r="BD613"/>
  <c r="BE613" s="1"/>
  <c r="AV614"/>
  <c r="AY613"/>
  <c r="BA613" s="1"/>
  <c r="AW613"/>
  <c r="BF613"/>
  <c r="BG613" s="1"/>
  <c r="BD612" i="5" l="1"/>
  <c r="BF612" s="1"/>
  <c r="AZ612"/>
  <c r="BE612"/>
  <c r="BG612" s="1"/>
  <c r="BI612"/>
  <c r="BJ612" s="1"/>
  <c r="BB612"/>
  <c r="BK612"/>
  <c r="BL612" s="1"/>
  <c r="BA613"/>
  <c r="AN412" i="6"/>
  <c r="AY614" i="4"/>
  <c r="BA614" s="1"/>
  <c r="BF614"/>
  <c r="BG614" s="1"/>
  <c r="AW614"/>
  <c r="BD614"/>
  <c r="BE614" s="1"/>
  <c r="AZ614"/>
  <c r="BB614" s="1"/>
  <c r="AU614"/>
  <c r="AV615"/>
  <c r="BY637" i="6"/>
  <c r="BZ636"/>
  <c r="BW636" s="1"/>
  <c r="BV636"/>
  <c r="BX636" s="1"/>
  <c r="AL601" i="12"/>
  <c r="AO601" s="1"/>
  <c r="AJ602"/>
  <c r="AK601"/>
  <c r="AN601"/>
  <c r="BZ637" i="6" l="1"/>
  <c r="BW637" s="1"/>
  <c r="BV637"/>
  <c r="BX637" s="1"/>
  <c r="BY638"/>
  <c r="AJ603" i="12"/>
  <c r="AL602"/>
  <c r="AK602"/>
  <c r="AN602"/>
  <c r="AO602"/>
  <c r="BK613" i="5"/>
  <c r="BL613" s="1"/>
  <c r="BB613"/>
  <c r="AZ613"/>
  <c r="BE613"/>
  <c r="BG613" s="1"/>
  <c r="BD613"/>
  <c r="BF613" s="1"/>
  <c r="BI613"/>
  <c r="BJ613" s="1"/>
  <c r="BA614"/>
  <c r="BF615" i="4"/>
  <c r="BG615" s="1"/>
  <c r="AW615"/>
  <c r="AU615"/>
  <c r="BD615"/>
  <c r="BE615" s="1"/>
  <c r="AY615"/>
  <c r="BA615" s="1"/>
  <c r="AV616"/>
  <c r="AZ615"/>
  <c r="BB615" s="1"/>
  <c r="AM413" i="6"/>
  <c r="AJ604" i="12" l="1"/>
  <c r="AN603"/>
  <c r="AK603"/>
  <c r="AL603"/>
  <c r="AO603" s="1"/>
  <c r="AN413" i="6"/>
  <c r="AW616" i="4"/>
  <c r="AU616"/>
  <c r="AZ616"/>
  <c r="BB616" s="1"/>
  <c r="BD616"/>
  <c r="BE616" s="1"/>
  <c r="AV617"/>
  <c r="BF616"/>
  <c r="BG616" s="1"/>
  <c r="AY616"/>
  <c r="BA616" s="1"/>
  <c r="BB614" i="5"/>
  <c r="BD614"/>
  <c r="BF614" s="1"/>
  <c r="BI614"/>
  <c r="BJ614" s="1"/>
  <c r="BA615"/>
  <c r="BK614"/>
  <c r="BL614" s="1"/>
  <c r="AZ614"/>
  <c r="BE614"/>
  <c r="BG614" s="1"/>
  <c r="BZ638" i="6"/>
  <c r="BY639"/>
  <c r="BV638"/>
  <c r="BX638" s="1"/>
  <c r="BW638"/>
  <c r="AM414" l="1"/>
  <c r="AK604" i="12"/>
  <c r="AL604"/>
  <c r="AJ605"/>
  <c r="AO604"/>
  <c r="AN604"/>
  <c r="AZ615" i="5"/>
  <c r="BE615"/>
  <c r="BG615" s="1"/>
  <c r="BI615"/>
  <c r="BJ615" s="1"/>
  <c r="BA616"/>
  <c r="BB615"/>
  <c r="BK615"/>
  <c r="BL615" s="1"/>
  <c r="BD615"/>
  <c r="BF615" s="1"/>
  <c r="BY640" i="6"/>
  <c r="BZ639"/>
  <c r="BV639"/>
  <c r="BX639" s="1"/>
  <c r="BW639"/>
  <c r="AU617" i="4"/>
  <c r="AZ617"/>
  <c r="BB617" s="1"/>
  <c r="BD617"/>
  <c r="BE617" s="1"/>
  <c r="AV618"/>
  <c r="AY617"/>
  <c r="BA617" s="1"/>
  <c r="BF617"/>
  <c r="BG617" s="1"/>
  <c r="AW617"/>
  <c r="BZ640" i="6" l="1"/>
  <c r="BW640" s="1"/>
  <c r="BY641"/>
  <c r="BV640"/>
  <c r="BX640" s="1"/>
  <c r="BD616" i="5"/>
  <c r="BF616" s="1"/>
  <c r="BE616"/>
  <c r="BG616" s="1"/>
  <c r="BI616"/>
  <c r="BJ616" s="1"/>
  <c r="BA617"/>
  <c r="BB616"/>
  <c r="AZ616"/>
  <c r="BK616"/>
  <c r="BL616" s="1"/>
  <c r="AL605" i="12"/>
  <c r="AJ606"/>
  <c r="AK605"/>
  <c r="AO605"/>
  <c r="AN605"/>
  <c r="AN414" i="6"/>
  <c r="AY618" i="4"/>
  <c r="BA618" s="1"/>
  <c r="BF618"/>
  <c r="BG618" s="1"/>
  <c r="AZ618"/>
  <c r="BB618" s="1"/>
  <c r="AU618"/>
  <c r="AV619"/>
  <c r="BD618"/>
  <c r="BE618" s="1"/>
  <c r="AW618"/>
  <c r="BZ641" i="6" l="1"/>
  <c r="BW641" s="1"/>
  <c r="BY642"/>
  <c r="BV641"/>
  <c r="BX641" s="1"/>
  <c r="BF619" i="4"/>
  <c r="BG619" s="1"/>
  <c r="AW619"/>
  <c r="AY619"/>
  <c r="BA619" s="1"/>
  <c r="AZ619"/>
  <c r="BB619" s="1"/>
  <c r="AV620"/>
  <c r="BD619"/>
  <c r="BE619" s="1"/>
  <c r="AU619"/>
  <c r="AM415" i="6"/>
  <c r="AJ607" i="12"/>
  <c r="AK606"/>
  <c r="AN606"/>
  <c r="AL606"/>
  <c r="AO606" s="1"/>
  <c r="BK617" i="5"/>
  <c r="BL617" s="1"/>
  <c r="AZ617"/>
  <c r="BE617"/>
  <c r="BG617" s="1"/>
  <c r="BD617"/>
  <c r="BF617" s="1"/>
  <c r="BI617"/>
  <c r="BJ617" s="1"/>
  <c r="BA618"/>
  <c r="BB617"/>
  <c r="AJ608" i="12" l="1"/>
  <c r="AL607"/>
  <c r="AO607" s="1"/>
  <c r="AN607"/>
  <c r="AK607"/>
  <c r="BZ642" i="6"/>
  <c r="BW642" s="1"/>
  <c r="BY643"/>
  <c r="BV642"/>
  <c r="BX642" s="1"/>
  <c r="AW620" i="4"/>
  <c r="AU620"/>
  <c r="AZ620"/>
  <c r="BB620" s="1"/>
  <c r="BD620"/>
  <c r="BE620" s="1"/>
  <c r="AV621"/>
  <c r="BF620"/>
  <c r="BG620" s="1"/>
  <c r="AY620"/>
  <c r="BA620" s="1"/>
  <c r="BB618" i="5"/>
  <c r="BA619"/>
  <c r="AZ618"/>
  <c r="BI618"/>
  <c r="BJ618" s="1"/>
  <c r="BE618"/>
  <c r="BG618" s="1"/>
  <c r="BK618"/>
  <c r="BL618" s="1"/>
  <c r="BD618"/>
  <c r="BF618" s="1"/>
  <c r="AN415" i="6"/>
  <c r="AK608" i="12" l="1"/>
  <c r="AJ609"/>
  <c r="AL608"/>
  <c r="AN608"/>
  <c r="AO608"/>
  <c r="AZ619" i="5"/>
  <c r="BE619"/>
  <c r="BG619" s="1"/>
  <c r="BI619"/>
  <c r="BJ619" s="1"/>
  <c r="BA620"/>
  <c r="BK619"/>
  <c r="BL619" s="1"/>
  <c r="BD619"/>
  <c r="BF619" s="1"/>
  <c r="BB619"/>
  <c r="AU621" i="4"/>
  <c r="AZ621"/>
  <c r="BB621" s="1"/>
  <c r="BD621"/>
  <c r="BE621" s="1"/>
  <c r="AV622"/>
  <c r="AY621"/>
  <c r="BA621" s="1"/>
  <c r="AW621"/>
  <c r="BF621"/>
  <c r="BG621" s="1"/>
  <c r="BY644" i="6"/>
  <c r="BZ643"/>
  <c r="BW643" s="1"/>
  <c r="BV643"/>
  <c r="BX643" s="1"/>
  <c r="AM416"/>
  <c r="AL609" i="12" l="1"/>
  <c r="AO609" s="1"/>
  <c r="AJ610"/>
  <c r="AK609"/>
  <c r="AN609"/>
  <c r="BD620" i="5"/>
  <c r="BF620" s="1"/>
  <c r="BA621"/>
  <c r="BB620"/>
  <c r="BK620"/>
  <c r="BL620" s="1"/>
  <c r="BI620"/>
  <c r="BJ620" s="1"/>
  <c r="AZ620"/>
  <c r="BE620"/>
  <c r="BG620" s="1"/>
  <c r="AN416" i="6"/>
  <c r="BY645"/>
  <c r="BZ644"/>
  <c r="BV644"/>
  <c r="BX644" s="1"/>
  <c r="BW644"/>
  <c r="AY622" i="4"/>
  <c r="BA622" s="1"/>
  <c r="BF622"/>
  <c r="BG622" s="1"/>
  <c r="AW622"/>
  <c r="BD622"/>
  <c r="BE622" s="1"/>
  <c r="AZ622"/>
  <c r="BB622" s="1"/>
  <c r="AV623"/>
  <c r="AU622"/>
  <c r="AJ611" i="12" l="1"/>
  <c r="AK610"/>
  <c r="AN610"/>
  <c r="AL610"/>
  <c r="AO610"/>
  <c r="AM417" i="6"/>
  <c r="BZ645"/>
  <c r="BY646"/>
  <c r="BV645"/>
  <c r="BX645" s="1"/>
  <c r="BW645"/>
  <c r="BK621" i="5"/>
  <c r="BL621" s="1"/>
  <c r="BD621"/>
  <c r="BF621" s="1"/>
  <c r="BI621"/>
  <c r="BJ621" s="1"/>
  <c r="BA622"/>
  <c r="BB621"/>
  <c r="AZ621"/>
  <c r="BE621"/>
  <c r="BG621" s="1"/>
  <c r="BF623" i="4"/>
  <c r="BG623" s="1"/>
  <c r="AW623"/>
  <c r="AU623"/>
  <c r="BD623"/>
  <c r="BE623" s="1"/>
  <c r="AZ623"/>
  <c r="BB623" s="1"/>
  <c r="AV624"/>
  <c r="AY623"/>
  <c r="BA623" s="1"/>
  <c r="BZ646" i="6" l="1"/>
  <c r="BW646" s="1"/>
  <c r="BY647"/>
  <c r="BV646"/>
  <c r="BX646" s="1"/>
  <c r="AL611" i="12"/>
  <c r="AO611" s="1"/>
  <c r="AK611"/>
  <c r="AJ612"/>
  <c r="AN611"/>
  <c r="AN417" i="6"/>
  <c r="BB622" i="5"/>
  <c r="AZ622"/>
  <c r="BE622"/>
  <c r="BG622" s="1"/>
  <c r="BK622"/>
  <c r="BL622" s="1"/>
  <c r="BD622"/>
  <c r="BF622" s="1"/>
  <c r="BI622"/>
  <c r="BJ622" s="1"/>
  <c r="BA623"/>
  <c r="AW624" i="4"/>
  <c r="AU624"/>
  <c r="AZ624"/>
  <c r="BB624" s="1"/>
  <c r="BD624"/>
  <c r="BE624" s="1"/>
  <c r="AV625"/>
  <c r="BF624"/>
  <c r="BG624" s="1"/>
  <c r="AY624"/>
  <c r="BA624" s="1"/>
  <c r="BY648" i="6" l="1"/>
  <c r="BZ647"/>
  <c r="BW647" s="1"/>
  <c r="BV647"/>
  <c r="BX647" s="1"/>
  <c r="AU625" i="4"/>
  <c r="AZ625"/>
  <c r="BB625" s="1"/>
  <c r="BD625"/>
  <c r="BE625" s="1"/>
  <c r="AV626"/>
  <c r="AY625"/>
  <c r="BA625" s="1"/>
  <c r="BF625"/>
  <c r="BG625" s="1"/>
  <c r="AW625"/>
  <c r="AM418" i="6"/>
  <c r="AZ623" i="5"/>
  <c r="BE623"/>
  <c r="BG623" s="1"/>
  <c r="BI623"/>
  <c r="BJ623" s="1"/>
  <c r="BA624"/>
  <c r="BD623"/>
  <c r="BF623" s="1"/>
  <c r="BK623"/>
  <c r="BL623" s="1"/>
  <c r="BB623"/>
  <c r="AK612" i="12"/>
  <c r="AJ613"/>
  <c r="AL612"/>
  <c r="AN612"/>
  <c r="AO612"/>
  <c r="BZ648" i="6" l="1"/>
  <c r="BW648" s="1"/>
  <c r="BV648"/>
  <c r="BX648" s="1"/>
  <c r="BY649"/>
  <c r="BD624" i="5"/>
  <c r="BF624" s="1"/>
  <c r="BB624"/>
  <c r="BK624"/>
  <c r="BL624" s="1"/>
  <c r="AZ624"/>
  <c r="BE624"/>
  <c r="BG624" s="1"/>
  <c r="BI624"/>
  <c r="BJ624" s="1"/>
  <c r="BA625"/>
  <c r="AL613" i="12"/>
  <c r="AK613"/>
  <c r="AO613"/>
  <c r="AN613"/>
  <c r="AJ614"/>
  <c r="AN418" i="6"/>
  <c r="AY626" i="4"/>
  <c r="BA626" s="1"/>
  <c r="BF626"/>
  <c r="BG626" s="1"/>
  <c r="AZ626"/>
  <c r="BB626" s="1"/>
  <c r="AU626"/>
  <c r="AV627"/>
  <c r="AW626"/>
  <c r="BD626"/>
  <c r="BE626" s="1"/>
  <c r="BF627" l="1"/>
  <c r="BG627" s="1"/>
  <c r="AW627"/>
  <c r="AY627"/>
  <c r="BA627" s="1"/>
  <c r="AZ627"/>
  <c r="BB627" s="1"/>
  <c r="AV628"/>
  <c r="AU627"/>
  <c r="BD627"/>
  <c r="BE627" s="1"/>
  <c r="AM419" i="6"/>
  <c r="BK625" i="5"/>
  <c r="BL625" s="1"/>
  <c r="BA626"/>
  <c r="BB625"/>
  <c r="BI625"/>
  <c r="BJ625" s="1"/>
  <c r="AZ625"/>
  <c r="BD625"/>
  <c r="BF625" s="1"/>
  <c r="BE625"/>
  <c r="BG625" s="1"/>
  <c r="AJ615" i="12"/>
  <c r="AL614"/>
  <c r="AN614"/>
  <c r="AK614"/>
  <c r="AO614"/>
  <c r="BZ649" i="6"/>
  <c r="BY650"/>
  <c r="BV649"/>
  <c r="BX649" s="1"/>
  <c r="BW649"/>
  <c r="AK615" i="12" l="1"/>
  <c r="AJ616"/>
  <c r="AO615"/>
  <c r="AL615"/>
  <c r="AN615"/>
  <c r="BZ650" i="6"/>
  <c r="BY651"/>
  <c r="BV650"/>
  <c r="BX650" s="1"/>
  <c r="BW650"/>
  <c r="BB626" i="5"/>
  <c r="BE626"/>
  <c r="BG626" s="1"/>
  <c r="BK626"/>
  <c r="BL626" s="1"/>
  <c r="BD626"/>
  <c r="BF626" s="1"/>
  <c r="BI626"/>
  <c r="BJ626" s="1"/>
  <c r="BA627"/>
  <c r="AZ626"/>
  <c r="AW628" i="4"/>
  <c r="AU628"/>
  <c r="AZ628"/>
  <c r="BB628" s="1"/>
  <c r="BD628"/>
  <c r="BE628" s="1"/>
  <c r="AV629"/>
  <c r="AY628"/>
  <c r="BA628" s="1"/>
  <c r="BF628"/>
  <c r="BG628" s="1"/>
  <c r="AN419" i="6"/>
  <c r="AK616" i="12" l="1"/>
  <c r="AJ617"/>
  <c r="AL616"/>
  <c r="AN616"/>
  <c r="AO616"/>
  <c r="AU629" i="4"/>
  <c r="AZ629"/>
  <c r="BB629" s="1"/>
  <c r="BD629"/>
  <c r="BE629" s="1"/>
  <c r="AV630"/>
  <c r="AY629"/>
  <c r="BA629" s="1"/>
  <c r="AW629"/>
  <c r="BF629"/>
  <c r="BG629" s="1"/>
  <c r="AZ627" i="5"/>
  <c r="BE627"/>
  <c r="BG627" s="1"/>
  <c r="BI627"/>
  <c r="BJ627" s="1"/>
  <c r="BA628"/>
  <c r="BB627"/>
  <c r="BK627"/>
  <c r="BL627" s="1"/>
  <c r="BD627"/>
  <c r="BF627" s="1"/>
  <c r="BY652" i="6"/>
  <c r="BV651"/>
  <c r="BX651" s="1"/>
  <c r="BZ651"/>
  <c r="BW651" s="1"/>
  <c r="AM420"/>
  <c r="AL617" i="12" l="1"/>
  <c r="AO617" s="1"/>
  <c r="AN617"/>
  <c r="AK617"/>
  <c r="AJ618"/>
  <c r="AY630" i="4"/>
  <c r="BA630" s="1"/>
  <c r="BF630"/>
  <c r="BG630" s="1"/>
  <c r="AW630"/>
  <c r="BD630"/>
  <c r="BE630" s="1"/>
  <c r="AZ630"/>
  <c r="BB630" s="1"/>
  <c r="AU630"/>
  <c r="AV631"/>
  <c r="AN420" i="6"/>
  <c r="BY653"/>
  <c r="BZ652"/>
  <c r="BV652"/>
  <c r="BX652" s="1"/>
  <c r="BW652"/>
  <c r="BD628" i="5"/>
  <c r="BF628" s="1"/>
  <c r="AZ628"/>
  <c r="BE628"/>
  <c r="BG628" s="1"/>
  <c r="BI628"/>
  <c r="BJ628" s="1"/>
  <c r="BA629"/>
  <c r="BK628"/>
  <c r="BL628" s="1"/>
  <c r="BB628"/>
  <c r="AM421" i="6" l="1"/>
  <c r="AJ619" i="12"/>
  <c r="AL618"/>
  <c r="AK618"/>
  <c r="AN618"/>
  <c r="AO618"/>
  <c r="BZ653" i="6"/>
  <c r="BV653"/>
  <c r="BX653" s="1"/>
  <c r="BW653"/>
  <c r="BY654"/>
  <c r="BK629" i="5"/>
  <c r="BL629" s="1"/>
  <c r="BB629"/>
  <c r="AZ629"/>
  <c r="BE629"/>
  <c r="BG629" s="1"/>
  <c r="BA630"/>
  <c r="BI629"/>
  <c r="BJ629" s="1"/>
  <c r="BD629"/>
  <c r="BF629" s="1"/>
  <c r="BF631" i="4"/>
  <c r="BG631" s="1"/>
  <c r="AW631"/>
  <c r="AU631"/>
  <c r="BD631"/>
  <c r="BE631" s="1"/>
  <c r="AZ631"/>
  <c r="BB631" s="1"/>
  <c r="AY631"/>
  <c r="BA631" s="1"/>
  <c r="AV632"/>
  <c r="AW632" l="1"/>
  <c r="AU632"/>
  <c r="AZ632"/>
  <c r="BB632" s="1"/>
  <c r="BD632"/>
  <c r="BE632" s="1"/>
  <c r="AV633"/>
  <c r="BF632"/>
  <c r="BG632" s="1"/>
  <c r="AY632"/>
  <c r="BA632" s="1"/>
  <c r="AN421" i="6"/>
  <c r="BZ654"/>
  <c r="BY655"/>
  <c r="BV654"/>
  <c r="BX654" s="1"/>
  <c r="BW654"/>
  <c r="AJ620" i="12"/>
  <c r="AL619"/>
  <c r="AO619" s="1"/>
  <c r="AK619"/>
  <c r="AN619"/>
  <c r="BB630" i="5"/>
  <c r="BD630"/>
  <c r="BF630" s="1"/>
  <c r="BI630"/>
  <c r="BJ630" s="1"/>
  <c r="BA631"/>
  <c r="BE630"/>
  <c r="BG630" s="1"/>
  <c r="AZ630"/>
  <c r="BK630"/>
  <c r="BL630" s="1"/>
  <c r="AU633" i="4" l="1"/>
  <c r="AZ633"/>
  <c r="BB633" s="1"/>
  <c r="BD633"/>
  <c r="BE633" s="1"/>
  <c r="AV634"/>
  <c r="AY633"/>
  <c r="BA633" s="1"/>
  <c r="BF633"/>
  <c r="BG633" s="1"/>
  <c r="AW633"/>
  <c r="AZ631" i="5"/>
  <c r="BE631"/>
  <c r="BG631" s="1"/>
  <c r="BI631"/>
  <c r="BJ631" s="1"/>
  <c r="BA632"/>
  <c r="BB631"/>
  <c r="BK631"/>
  <c r="BL631" s="1"/>
  <c r="BD631"/>
  <c r="BF631" s="1"/>
  <c r="AK620" i="12"/>
  <c r="AL620"/>
  <c r="AO620"/>
  <c r="AJ621"/>
  <c r="AN620"/>
  <c r="BY656" i="6"/>
  <c r="BZ655"/>
  <c r="BW655" s="1"/>
  <c r="BV655"/>
  <c r="BX655" s="1"/>
  <c r="AM422"/>
  <c r="BD632" i="5" l="1"/>
  <c r="BF632" s="1"/>
  <c r="BE632"/>
  <c r="BG632" s="1"/>
  <c r="BI632"/>
  <c r="BJ632" s="1"/>
  <c r="BA633"/>
  <c r="AZ632"/>
  <c r="BK632"/>
  <c r="BL632" s="1"/>
  <c r="BB632"/>
  <c r="AL621" i="12"/>
  <c r="AJ622"/>
  <c r="AO621"/>
  <c r="AN621"/>
  <c r="AK621"/>
  <c r="AN422" i="6"/>
  <c r="BZ656"/>
  <c r="BY657"/>
  <c r="BV656"/>
  <c r="BX656" s="1"/>
  <c r="BW656"/>
  <c r="AY634" i="4"/>
  <c r="BA634" s="1"/>
  <c r="BF634"/>
  <c r="BG634" s="1"/>
  <c r="AZ634"/>
  <c r="BB634" s="1"/>
  <c r="AU634"/>
  <c r="AV635"/>
  <c r="BD634"/>
  <c r="BE634" s="1"/>
  <c r="AW634"/>
  <c r="AM423" i="6" l="1"/>
  <c r="AJ623" i="12"/>
  <c r="AK622"/>
  <c r="AL622"/>
  <c r="AO622" s="1"/>
  <c r="AN622"/>
  <c r="BF635" i="4"/>
  <c r="BG635" s="1"/>
  <c r="AW635"/>
  <c r="AY635"/>
  <c r="BA635" s="1"/>
  <c r="AZ635"/>
  <c r="BB635" s="1"/>
  <c r="AV636"/>
  <c r="BD635"/>
  <c r="BE635" s="1"/>
  <c r="AU635"/>
  <c r="BZ657" i="6"/>
  <c r="BY658"/>
  <c r="BV657"/>
  <c r="BX657" s="1"/>
  <c r="BW657"/>
  <c r="BK633" i="5"/>
  <c r="BL633" s="1"/>
  <c r="AZ633"/>
  <c r="BE633"/>
  <c r="BG633" s="1"/>
  <c r="BD633"/>
  <c r="BF633" s="1"/>
  <c r="BI633"/>
  <c r="BJ633" s="1"/>
  <c r="BB633"/>
  <c r="BA634"/>
  <c r="BB634" l="1"/>
  <c r="BA635"/>
  <c r="AZ634"/>
  <c r="BE634"/>
  <c r="BG634" s="1"/>
  <c r="BD634"/>
  <c r="BF634" s="1"/>
  <c r="BK634"/>
  <c r="BL634" s="1"/>
  <c r="BI634"/>
  <c r="BJ634" s="1"/>
  <c r="AN423" i="6"/>
  <c r="AJ624" i="12"/>
  <c r="AL623"/>
  <c r="AK623"/>
  <c r="AO623"/>
  <c r="AN623"/>
  <c r="BZ658" i="6"/>
  <c r="BY659"/>
  <c r="BV658"/>
  <c r="BX658" s="1"/>
  <c r="BW658"/>
  <c r="AW636" i="4"/>
  <c r="AU636"/>
  <c r="AZ636"/>
  <c r="BB636" s="1"/>
  <c r="BD636"/>
  <c r="BE636" s="1"/>
  <c r="AV637"/>
  <c r="BF636"/>
  <c r="BG636" s="1"/>
  <c r="AY636"/>
  <c r="BA636" s="1"/>
  <c r="AK624" i="12" l="1"/>
  <c r="AL624"/>
  <c r="AO624" s="1"/>
  <c r="AJ625"/>
  <c r="AN624"/>
  <c r="AZ635" i="5"/>
  <c r="BE635"/>
  <c r="BG635" s="1"/>
  <c r="BI635"/>
  <c r="BJ635" s="1"/>
  <c r="BA636"/>
  <c r="BK635"/>
  <c r="BL635" s="1"/>
  <c r="BD635"/>
  <c r="BF635" s="1"/>
  <c r="BB635"/>
  <c r="AU637" i="4"/>
  <c r="AZ637"/>
  <c r="BB637" s="1"/>
  <c r="BD637"/>
  <c r="BE637" s="1"/>
  <c r="AV638"/>
  <c r="AY637"/>
  <c r="BA637" s="1"/>
  <c r="AW637"/>
  <c r="BF637"/>
  <c r="BG637" s="1"/>
  <c r="BY660" i="6"/>
  <c r="BZ659"/>
  <c r="BW659" s="1"/>
  <c r="BV659"/>
  <c r="BX659" s="1"/>
  <c r="AM424"/>
  <c r="AL625" i="12" l="1"/>
  <c r="AO625" s="1"/>
  <c r="AJ626"/>
  <c r="AK625"/>
  <c r="AN625"/>
  <c r="BD636" i="5"/>
  <c r="BF636" s="1"/>
  <c r="BA637"/>
  <c r="BB636"/>
  <c r="BK636"/>
  <c r="BL636" s="1"/>
  <c r="BE636"/>
  <c r="BG636" s="1"/>
  <c r="BI636"/>
  <c r="BJ636" s="1"/>
  <c r="AZ636"/>
  <c r="AN424" i="6"/>
  <c r="BY661"/>
  <c r="BZ660"/>
  <c r="BV660"/>
  <c r="BX660" s="1"/>
  <c r="BW660"/>
  <c r="AY638" i="4"/>
  <c r="BA638" s="1"/>
  <c r="BF638"/>
  <c r="BG638" s="1"/>
  <c r="AW638"/>
  <c r="BD638"/>
  <c r="BE638" s="1"/>
  <c r="AU638"/>
  <c r="AZ638"/>
  <c r="BB638" s="1"/>
  <c r="AV639"/>
  <c r="BF639" l="1"/>
  <c r="BG639" s="1"/>
  <c r="AW639"/>
  <c r="AU639"/>
  <c r="BD639"/>
  <c r="BE639" s="1"/>
  <c r="AZ639"/>
  <c r="BB639" s="1"/>
  <c r="AY639"/>
  <c r="BA639" s="1"/>
  <c r="AV640"/>
  <c r="AM425" i="6"/>
  <c r="AJ627" i="12"/>
  <c r="AL626"/>
  <c r="AK626"/>
  <c r="AN626"/>
  <c r="AO626"/>
  <c r="BZ661" i="6"/>
  <c r="BV661"/>
  <c r="BX661" s="1"/>
  <c r="BY662"/>
  <c r="BW661"/>
  <c r="BK637" i="5"/>
  <c r="BL637" s="1"/>
  <c r="BD637"/>
  <c r="BF637" s="1"/>
  <c r="BI637"/>
  <c r="BJ637" s="1"/>
  <c r="BA638"/>
  <c r="AZ637"/>
  <c r="BE637"/>
  <c r="BG637" s="1"/>
  <c r="BB637"/>
  <c r="BZ662" i="6" l="1"/>
  <c r="BW662" s="1"/>
  <c r="BY663"/>
  <c r="BV662"/>
  <c r="BX662" s="1"/>
  <c r="BB638" i="5"/>
  <c r="AZ638"/>
  <c r="BE638"/>
  <c r="BG638" s="1"/>
  <c r="BK638"/>
  <c r="BL638" s="1"/>
  <c r="BA639"/>
  <c r="BI638"/>
  <c r="BJ638" s="1"/>
  <c r="BD638"/>
  <c r="BF638" s="1"/>
  <c r="AL627" i="12"/>
  <c r="AK627"/>
  <c r="AO627"/>
  <c r="AN627"/>
  <c r="AJ628"/>
  <c r="AW640" i="4"/>
  <c r="AU640"/>
  <c r="AZ640"/>
  <c r="BB640" s="1"/>
  <c r="BD640"/>
  <c r="BE640" s="1"/>
  <c r="AV641"/>
  <c r="BF640"/>
  <c r="BG640" s="1"/>
  <c r="AY640"/>
  <c r="BA640" s="1"/>
  <c r="AN425" i="6"/>
  <c r="AM426" l="1"/>
  <c r="AU641" i="4"/>
  <c r="AZ641"/>
  <c r="BB641" s="1"/>
  <c r="BD641"/>
  <c r="BE641" s="1"/>
  <c r="AV642"/>
  <c r="AY641"/>
  <c r="BA641" s="1"/>
  <c r="BF641"/>
  <c r="BG641" s="1"/>
  <c r="AW641"/>
  <c r="AZ639" i="5"/>
  <c r="BE639"/>
  <c r="BG639" s="1"/>
  <c r="BI639"/>
  <c r="BJ639" s="1"/>
  <c r="BA640"/>
  <c r="BD639"/>
  <c r="BF639" s="1"/>
  <c r="BB639"/>
  <c r="BK639"/>
  <c r="BL639" s="1"/>
  <c r="BY664" i="6"/>
  <c r="BV663"/>
  <c r="BX663" s="1"/>
  <c r="BW663"/>
  <c r="BZ663"/>
  <c r="AK628" i="12"/>
  <c r="AJ629"/>
  <c r="AL628"/>
  <c r="AN628"/>
  <c r="AO628"/>
  <c r="BD640" i="5" l="1"/>
  <c r="BF640" s="1"/>
  <c r="BB640"/>
  <c r="BK640"/>
  <c r="BL640" s="1"/>
  <c r="AZ640"/>
  <c r="BA641"/>
  <c r="BI640"/>
  <c r="BJ640" s="1"/>
  <c r="BE640"/>
  <c r="BG640" s="1"/>
  <c r="AN426" i="6"/>
  <c r="AL629" i="12"/>
  <c r="AO629" s="1"/>
  <c r="AK629"/>
  <c r="AJ630"/>
  <c r="AN629"/>
  <c r="AY642" i="4"/>
  <c r="BA642" s="1"/>
  <c r="BF642"/>
  <c r="BG642" s="1"/>
  <c r="AZ642"/>
  <c r="BB642" s="1"/>
  <c r="AU642"/>
  <c r="AV643"/>
  <c r="AW642"/>
  <c r="BD642"/>
  <c r="BE642" s="1"/>
  <c r="BZ664" i="6"/>
  <c r="BV664"/>
  <c r="BX664" s="1"/>
  <c r="BY665"/>
  <c r="BW664"/>
  <c r="AJ631" i="12" l="1"/>
  <c r="AL630"/>
  <c r="AK630"/>
  <c r="AN630"/>
  <c r="AO630"/>
  <c r="BK641" i="5"/>
  <c r="BL641" s="1"/>
  <c r="BA642"/>
  <c r="BB641"/>
  <c r="BE641"/>
  <c r="BG641" s="1"/>
  <c r="BD641"/>
  <c r="BF641" s="1"/>
  <c r="AZ641"/>
  <c r="BI641"/>
  <c r="BJ641" s="1"/>
  <c r="BF643" i="4"/>
  <c r="BG643" s="1"/>
  <c r="AW643"/>
  <c r="AY643"/>
  <c r="BA643" s="1"/>
  <c r="AZ643"/>
  <c r="BB643" s="1"/>
  <c r="AV644"/>
  <c r="AU643"/>
  <c r="BD643"/>
  <c r="BE643" s="1"/>
  <c r="BZ665" i="6"/>
  <c r="BW665" s="1"/>
  <c r="BY666"/>
  <c r="BV665"/>
  <c r="BX665" s="1"/>
  <c r="AM427"/>
  <c r="AK631" i="12" l="1"/>
  <c r="AO631"/>
  <c r="AN631"/>
  <c r="AL631"/>
  <c r="AJ632"/>
  <c r="BZ666" i="6"/>
  <c r="BY667"/>
  <c r="BV666"/>
  <c r="BX666" s="1"/>
  <c r="BW666"/>
  <c r="AW644" i="4"/>
  <c r="AU644"/>
  <c r="AZ644"/>
  <c r="BB644" s="1"/>
  <c r="BD644"/>
  <c r="BE644" s="1"/>
  <c r="AV645"/>
  <c r="AY644"/>
  <c r="BA644" s="1"/>
  <c r="BF644"/>
  <c r="BG644" s="1"/>
  <c r="BB642" i="5"/>
  <c r="BE642"/>
  <c r="BG642" s="1"/>
  <c r="BK642"/>
  <c r="BL642" s="1"/>
  <c r="BD642"/>
  <c r="BF642" s="1"/>
  <c r="BI642"/>
  <c r="BJ642" s="1"/>
  <c r="AZ642"/>
  <c r="BA643"/>
  <c r="AN427" i="6"/>
  <c r="AU645" i="4" l="1"/>
  <c r="AZ645"/>
  <c r="BB645" s="1"/>
  <c r="BD645"/>
  <c r="BE645" s="1"/>
  <c r="AV646"/>
  <c r="AY645"/>
  <c r="BA645" s="1"/>
  <c r="AW645"/>
  <c r="BF645"/>
  <c r="BG645" s="1"/>
  <c r="AZ643" i="5"/>
  <c r="BE643"/>
  <c r="BG643" s="1"/>
  <c r="BI643"/>
  <c r="BJ643" s="1"/>
  <c r="BA644"/>
  <c r="BB643"/>
  <c r="BD643"/>
  <c r="BF643" s="1"/>
  <c r="BK643"/>
  <c r="BL643" s="1"/>
  <c r="BY668" i="6"/>
  <c r="BZ667"/>
  <c r="BV667"/>
  <c r="BX667" s="1"/>
  <c r="BW667"/>
  <c r="AK632" i="12"/>
  <c r="AJ633"/>
  <c r="AL632"/>
  <c r="AO632" s="1"/>
  <c r="AN632"/>
  <c r="AM428" i="6"/>
  <c r="BD644" i="5" l="1"/>
  <c r="BF644" s="1"/>
  <c r="AZ644"/>
  <c r="BE644"/>
  <c r="BG644" s="1"/>
  <c r="BI644"/>
  <c r="BJ644" s="1"/>
  <c r="BB644"/>
  <c r="BK644"/>
  <c r="BL644" s="1"/>
  <c r="BA645"/>
  <c r="BY669" i="6"/>
  <c r="BZ668"/>
  <c r="BW668" s="1"/>
  <c r="BV668"/>
  <c r="BX668" s="1"/>
  <c r="AN428"/>
  <c r="AL633" i="12"/>
  <c r="AJ634"/>
  <c r="AO633"/>
  <c r="AK633"/>
  <c r="AN633"/>
  <c r="AY646" i="4"/>
  <c r="BA646" s="1"/>
  <c r="BF646"/>
  <c r="BG646" s="1"/>
  <c r="AW646"/>
  <c r="BD646"/>
  <c r="BE646" s="1"/>
  <c r="AZ646"/>
  <c r="BB646" s="1"/>
  <c r="AU646"/>
  <c r="AV647"/>
  <c r="BF647" l="1"/>
  <c r="BG647" s="1"/>
  <c r="AW647"/>
  <c r="AU647"/>
  <c r="BD647"/>
  <c r="BE647" s="1"/>
  <c r="AY647"/>
  <c r="BA647" s="1"/>
  <c r="AV648"/>
  <c r="AZ647"/>
  <c r="BB647" s="1"/>
  <c r="AJ635" i="12"/>
  <c r="AL634"/>
  <c r="AO634" s="1"/>
  <c r="AK634"/>
  <c r="AN634"/>
  <c r="BK645" i="5"/>
  <c r="BL645" s="1"/>
  <c r="BB645"/>
  <c r="AZ645"/>
  <c r="BE645"/>
  <c r="BG645" s="1"/>
  <c r="BD645"/>
  <c r="BF645" s="1"/>
  <c r="BI645"/>
  <c r="BJ645" s="1"/>
  <c r="BA646"/>
  <c r="AM429" i="6"/>
  <c r="BZ669"/>
  <c r="BW669" s="1"/>
  <c r="BV669"/>
  <c r="BX669" s="1"/>
  <c r="BY670"/>
  <c r="AW648" i="4" l="1"/>
  <c r="AU648"/>
  <c r="AZ648"/>
  <c r="BB648" s="1"/>
  <c r="BD648"/>
  <c r="BE648" s="1"/>
  <c r="AV649"/>
  <c r="BF648"/>
  <c r="BG648" s="1"/>
  <c r="AY648"/>
  <c r="BA648" s="1"/>
  <c r="BZ670" i="6"/>
  <c r="BY671"/>
  <c r="BV670"/>
  <c r="BX670" s="1"/>
  <c r="BW670"/>
  <c r="AN429"/>
  <c r="BB646" i="5"/>
  <c r="BD646"/>
  <c r="BF646" s="1"/>
  <c r="BI646"/>
  <c r="BJ646" s="1"/>
  <c r="BA647"/>
  <c r="BK646"/>
  <c r="BL646" s="1"/>
  <c r="AZ646"/>
  <c r="BE646"/>
  <c r="BG646" s="1"/>
  <c r="AJ636" i="12"/>
  <c r="AO635"/>
  <c r="AN635"/>
  <c r="AK635"/>
  <c r="AL635"/>
  <c r="BY672" i="6" l="1"/>
  <c r="BZ671"/>
  <c r="BW671" s="1"/>
  <c r="BV671"/>
  <c r="BX671" s="1"/>
  <c r="AU649" i="4"/>
  <c r="AZ649"/>
  <c r="BB649" s="1"/>
  <c r="BD649"/>
  <c r="BE649" s="1"/>
  <c r="AV650"/>
  <c r="AY649"/>
  <c r="BA649" s="1"/>
  <c r="BF649"/>
  <c r="BG649" s="1"/>
  <c r="AW649"/>
  <c r="AK636" i="12"/>
  <c r="AL636"/>
  <c r="AO636" s="1"/>
  <c r="AJ637"/>
  <c r="AN636"/>
  <c r="AZ647" i="5"/>
  <c r="BE647"/>
  <c r="BG647" s="1"/>
  <c r="BI647"/>
  <c r="BJ647" s="1"/>
  <c r="BA648"/>
  <c r="BB647"/>
  <c r="BK647"/>
  <c r="BL647" s="1"/>
  <c r="BD647"/>
  <c r="BF647" s="1"/>
  <c r="AM430" i="6"/>
  <c r="BZ672" l="1"/>
  <c r="BW672" s="1"/>
  <c r="BV672"/>
  <c r="BX672" s="1"/>
  <c r="BY673"/>
  <c r="AL637" i="12"/>
  <c r="AO637" s="1"/>
  <c r="AJ638"/>
  <c r="AK637"/>
  <c r="AN637"/>
  <c r="AN430" i="6"/>
  <c r="BD648" i="5"/>
  <c r="BF648" s="1"/>
  <c r="BE648"/>
  <c r="BG648" s="1"/>
  <c r="BI648"/>
  <c r="BJ648" s="1"/>
  <c r="BA649"/>
  <c r="BB648"/>
  <c r="BK648"/>
  <c r="BL648" s="1"/>
  <c r="AZ648"/>
  <c r="AY650" i="4"/>
  <c r="BA650" s="1"/>
  <c r="BF650"/>
  <c r="BG650" s="1"/>
  <c r="AZ650"/>
  <c r="BB650" s="1"/>
  <c r="AU650"/>
  <c r="AV651"/>
  <c r="BD650"/>
  <c r="BE650" s="1"/>
  <c r="AW650"/>
  <c r="AM431" i="6" l="1"/>
  <c r="AJ639" i="12"/>
  <c r="AK638"/>
  <c r="AL638"/>
  <c r="AO638" s="1"/>
  <c r="AN638"/>
  <c r="BZ673" i="6"/>
  <c r="BY674"/>
  <c r="BV673"/>
  <c r="BX673" s="1"/>
  <c r="BW673"/>
  <c r="BF651" i="4"/>
  <c r="BG651" s="1"/>
  <c r="AW651"/>
  <c r="AY651"/>
  <c r="BA651" s="1"/>
  <c r="AZ651"/>
  <c r="BB651" s="1"/>
  <c r="AV652"/>
  <c r="BD651"/>
  <c r="BE651" s="1"/>
  <c r="AU651"/>
  <c r="BK649" i="5"/>
  <c r="BL649" s="1"/>
  <c r="AZ649"/>
  <c r="BE649"/>
  <c r="BG649" s="1"/>
  <c r="BD649"/>
  <c r="BF649" s="1"/>
  <c r="BI649"/>
  <c r="BJ649" s="1"/>
  <c r="BA650"/>
  <c r="BB649"/>
  <c r="AN431" i="6" l="1"/>
  <c r="AJ640" i="12"/>
  <c r="AL639"/>
  <c r="AO639"/>
  <c r="AN639"/>
  <c r="AK639"/>
  <c r="BZ674" i="6"/>
  <c r="BY675"/>
  <c r="BV674"/>
  <c r="BX674" s="1"/>
  <c r="BW674"/>
  <c r="BB650" i="5"/>
  <c r="BA651"/>
  <c r="AZ650"/>
  <c r="BI650"/>
  <c r="BJ650" s="1"/>
  <c r="BK650"/>
  <c r="BL650" s="1"/>
  <c r="BD650"/>
  <c r="BF650" s="1"/>
  <c r="BE650"/>
  <c r="BG650" s="1"/>
  <c r="AW652" i="4"/>
  <c r="AU652"/>
  <c r="AZ652"/>
  <c r="BB652" s="1"/>
  <c r="BD652"/>
  <c r="BE652" s="1"/>
  <c r="AV653"/>
  <c r="BF652"/>
  <c r="BG652" s="1"/>
  <c r="AY652"/>
  <c r="BA652" s="1"/>
  <c r="AM432" i="6" l="1"/>
  <c r="AU653" i="4"/>
  <c r="AZ653"/>
  <c r="BB653" s="1"/>
  <c r="BD653"/>
  <c r="BE653" s="1"/>
  <c r="AV654"/>
  <c r="AY653"/>
  <c r="BA653" s="1"/>
  <c r="AW653"/>
  <c r="BF653"/>
  <c r="BG653" s="1"/>
  <c r="AK640" i="12"/>
  <c r="AJ641"/>
  <c r="AL640"/>
  <c r="AN640"/>
  <c r="AO640"/>
  <c r="AZ651" i="5"/>
  <c r="BE651"/>
  <c r="BG651" s="1"/>
  <c r="BI651"/>
  <c r="BJ651" s="1"/>
  <c r="BA652"/>
  <c r="BK651"/>
  <c r="BL651" s="1"/>
  <c r="BD651"/>
  <c r="BF651" s="1"/>
  <c r="BB651"/>
  <c r="BY676" i="6"/>
  <c r="BV675"/>
  <c r="BX675" s="1"/>
  <c r="BZ675"/>
  <c r="BW675"/>
  <c r="AN432" l="1"/>
  <c r="BY677"/>
  <c r="BZ676"/>
  <c r="BV676"/>
  <c r="BX676" s="1"/>
  <c r="BW676"/>
  <c r="BD652" i="5"/>
  <c r="BF652" s="1"/>
  <c r="BA653"/>
  <c r="BB652"/>
  <c r="BK652"/>
  <c r="BL652" s="1"/>
  <c r="BI652"/>
  <c r="BJ652" s="1"/>
  <c r="AZ652"/>
  <c r="BE652"/>
  <c r="BG652" s="1"/>
  <c r="AY654" i="4"/>
  <c r="BA654" s="1"/>
  <c r="BF654"/>
  <c r="BG654" s="1"/>
  <c r="AW654"/>
  <c r="BD654"/>
  <c r="BE654" s="1"/>
  <c r="AU654"/>
  <c r="AZ654"/>
  <c r="BB654" s="1"/>
  <c r="AV655"/>
  <c r="AL641" i="12"/>
  <c r="AO641" s="1"/>
  <c r="AJ642"/>
  <c r="AK641"/>
  <c r="AN641"/>
  <c r="BZ677" i="6" l="1"/>
  <c r="BW677" s="1"/>
  <c r="BY678"/>
  <c r="BV677"/>
  <c r="BX677" s="1"/>
  <c r="AM433"/>
  <c r="AJ643" i="12"/>
  <c r="AN642"/>
  <c r="AL642"/>
  <c r="AO642" s="1"/>
  <c r="AK642"/>
  <c r="BF655" i="4"/>
  <c r="BG655" s="1"/>
  <c r="AW655"/>
  <c r="AU655"/>
  <c r="BD655"/>
  <c r="BE655" s="1"/>
  <c r="AZ655"/>
  <c r="BB655" s="1"/>
  <c r="AV656"/>
  <c r="AY655"/>
  <c r="BA655" s="1"/>
  <c r="BK653" i="5"/>
  <c r="BL653" s="1"/>
  <c r="BD653"/>
  <c r="BF653" s="1"/>
  <c r="BI653"/>
  <c r="BJ653" s="1"/>
  <c r="BA654"/>
  <c r="BB653"/>
  <c r="BE653"/>
  <c r="BG653" s="1"/>
  <c r="AZ653"/>
  <c r="AW656" i="4" l="1"/>
  <c r="AU656"/>
  <c r="AZ656"/>
  <c r="BB656" s="1"/>
  <c r="BD656"/>
  <c r="BE656" s="1"/>
  <c r="AV657"/>
  <c r="BF656"/>
  <c r="BG656" s="1"/>
  <c r="AY656"/>
  <c r="BA656" s="1"/>
  <c r="BZ678" i="6"/>
  <c r="BY679"/>
  <c r="BV678"/>
  <c r="BX678" s="1"/>
  <c r="BW678"/>
  <c r="AN433"/>
  <c r="BB654" i="5"/>
  <c r="AZ654"/>
  <c r="BE654"/>
  <c r="BG654" s="1"/>
  <c r="BK654"/>
  <c r="BL654" s="1"/>
  <c r="BD654"/>
  <c r="BF654" s="1"/>
  <c r="BA655"/>
  <c r="BI654"/>
  <c r="BJ654" s="1"/>
  <c r="AL643" i="12"/>
  <c r="AO643" s="1"/>
  <c r="AK643"/>
  <c r="AJ644"/>
  <c r="AN643"/>
  <c r="BY680" i="6" l="1"/>
  <c r="BV679"/>
  <c r="BX679" s="1"/>
  <c r="BZ679"/>
  <c r="BW679" s="1"/>
  <c r="AU657" i="4"/>
  <c r="AZ657"/>
  <c r="BB657" s="1"/>
  <c r="BD657"/>
  <c r="BE657" s="1"/>
  <c r="AV658"/>
  <c r="AY657"/>
  <c r="BA657" s="1"/>
  <c r="BF657"/>
  <c r="BG657" s="1"/>
  <c r="AW657"/>
  <c r="AZ655" i="5"/>
  <c r="BE655"/>
  <c r="BG655" s="1"/>
  <c r="BI655"/>
  <c r="BJ655" s="1"/>
  <c r="BA656"/>
  <c r="BD655"/>
  <c r="BF655" s="1"/>
  <c r="BK655"/>
  <c r="BL655" s="1"/>
  <c r="BB655"/>
  <c r="AK644" i="12"/>
  <c r="AJ645"/>
  <c r="AL644"/>
  <c r="AO644" s="1"/>
  <c r="AN644"/>
  <c r="AM434" i="6"/>
  <c r="BZ680" l="1"/>
  <c r="BW680" s="1"/>
  <c r="BV680"/>
  <c r="BX680" s="1"/>
  <c r="BY681"/>
  <c r="BD656" i="5"/>
  <c r="BF656" s="1"/>
  <c r="BB656"/>
  <c r="BK656"/>
  <c r="BL656" s="1"/>
  <c r="AZ656"/>
  <c r="BE656"/>
  <c r="BG656" s="1"/>
  <c r="BA657"/>
  <c r="BI656"/>
  <c r="BJ656" s="1"/>
  <c r="AN434" i="6"/>
  <c r="AL645" i="12"/>
  <c r="AO645" s="1"/>
  <c r="AK645"/>
  <c r="AN645"/>
  <c r="AJ646"/>
  <c r="AY658" i="4"/>
  <c r="BA658" s="1"/>
  <c r="BF658"/>
  <c r="BG658" s="1"/>
  <c r="AZ658"/>
  <c r="BB658" s="1"/>
  <c r="AU658"/>
  <c r="AV659"/>
  <c r="AW658"/>
  <c r="BD658"/>
  <c r="BE658" s="1"/>
  <c r="AJ647" i="12" l="1"/>
  <c r="AL646"/>
  <c r="AN646"/>
  <c r="AK646"/>
  <c r="AO646"/>
  <c r="BK657" i="5"/>
  <c r="BL657" s="1"/>
  <c r="BA658"/>
  <c r="BB657"/>
  <c r="BI657"/>
  <c r="BJ657" s="1"/>
  <c r="AZ657"/>
  <c r="BD657"/>
  <c r="BF657" s="1"/>
  <c r="BE657"/>
  <c r="BG657" s="1"/>
  <c r="BF659" i="4"/>
  <c r="BG659" s="1"/>
  <c r="AW659"/>
  <c r="AY659"/>
  <c r="BA659" s="1"/>
  <c r="AZ659"/>
  <c r="BB659" s="1"/>
  <c r="AV660"/>
  <c r="AU659"/>
  <c r="BD659"/>
  <c r="BE659" s="1"/>
  <c r="BZ681" i="6"/>
  <c r="BY682"/>
  <c r="BV681"/>
  <c r="BX681" s="1"/>
  <c r="BW681"/>
  <c r="AM435"/>
  <c r="BZ682" l="1"/>
  <c r="BY683"/>
  <c r="BW682"/>
  <c r="BV682"/>
  <c r="BX682" s="1"/>
  <c r="AW660" i="4"/>
  <c r="AU660"/>
  <c r="AZ660"/>
  <c r="BB660" s="1"/>
  <c r="BD660"/>
  <c r="BE660" s="1"/>
  <c r="AV661"/>
  <c r="AY660"/>
  <c r="BA660" s="1"/>
  <c r="BF660"/>
  <c r="BG660" s="1"/>
  <c r="AK647" i="12"/>
  <c r="AJ648"/>
  <c r="AL647"/>
  <c r="AO647" s="1"/>
  <c r="AN647"/>
  <c r="BB658" i="5"/>
  <c r="BE658"/>
  <c r="BG658" s="1"/>
  <c r="BK658"/>
  <c r="BL658" s="1"/>
  <c r="BD658"/>
  <c r="BF658" s="1"/>
  <c r="BI658"/>
  <c r="BJ658" s="1"/>
  <c r="BA659"/>
  <c r="AZ658"/>
  <c r="AN435" i="6"/>
  <c r="AK648" i="12" l="1"/>
  <c r="AJ649"/>
  <c r="AL648"/>
  <c r="AN648"/>
  <c r="AO648"/>
  <c r="AU661" i="4"/>
  <c r="AZ661"/>
  <c r="BB661" s="1"/>
  <c r="BD661"/>
  <c r="BE661" s="1"/>
  <c r="AV662"/>
  <c r="AY661"/>
  <c r="BA661" s="1"/>
  <c r="AW661"/>
  <c r="BF661"/>
  <c r="BG661" s="1"/>
  <c r="AZ659" i="5"/>
  <c r="BE659"/>
  <c r="BG659" s="1"/>
  <c r="BI659"/>
  <c r="BJ659" s="1"/>
  <c r="BA660"/>
  <c r="BB659"/>
  <c r="BD659"/>
  <c r="BF659" s="1"/>
  <c r="BK659"/>
  <c r="BL659" s="1"/>
  <c r="BY684" i="6"/>
  <c r="BV683"/>
  <c r="BX683" s="1"/>
  <c r="BZ683"/>
  <c r="BW683" s="1"/>
  <c r="AM436"/>
  <c r="AL649" i="12" l="1"/>
  <c r="AO649" s="1"/>
  <c r="AN649"/>
  <c r="AK649"/>
  <c r="AJ650"/>
  <c r="AY662" i="4"/>
  <c r="BA662" s="1"/>
  <c r="BF662"/>
  <c r="BG662" s="1"/>
  <c r="AW662"/>
  <c r="BD662"/>
  <c r="BE662" s="1"/>
  <c r="AV663"/>
  <c r="AU662"/>
  <c r="AZ662"/>
  <c r="BB662" s="1"/>
  <c r="AN436" i="6"/>
  <c r="BY685"/>
  <c r="BV684"/>
  <c r="BX684" s="1"/>
  <c r="BZ684"/>
  <c r="BW684" s="1"/>
  <c r="BD660" i="5"/>
  <c r="BF660" s="1"/>
  <c r="AZ660"/>
  <c r="BE660"/>
  <c r="BG660" s="1"/>
  <c r="BI660"/>
  <c r="BJ660" s="1"/>
  <c r="BA661"/>
  <c r="BB660"/>
  <c r="BK660"/>
  <c r="BL660" s="1"/>
  <c r="BF663" i="4" l="1"/>
  <c r="BG663" s="1"/>
  <c r="AW663"/>
  <c r="AU663"/>
  <c r="BD663"/>
  <c r="BE663" s="1"/>
  <c r="AZ663"/>
  <c r="BB663" s="1"/>
  <c r="AY663"/>
  <c r="BA663" s="1"/>
  <c r="AV664"/>
  <c r="BK661" i="5"/>
  <c r="BL661" s="1"/>
  <c r="BB661"/>
  <c r="AZ661"/>
  <c r="BE661"/>
  <c r="BG661" s="1"/>
  <c r="BA662"/>
  <c r="BI661"/>
  <c r="BJ661" s="1"/>
  <c r="BD661"/>
  <c r="BF661" s="1"/>
  <c r="BZ685" i="6"/>
  <c r="BW685" s="1"/>
  <c r="BV685"/>
  <c r="BX685" s="1"/>
  <c r="BY686"/>
  <c r="AM437"/>
  <c r="AJ651" i="12"/>
  <c r="AL650"/>
  <c r="AK650"/>
  <c r="AN650"/>
  <c r="AO650"/>
  <c r="AJ652" l="1"/>
  <c r="AL651"/>
  <c r="AO651"/>
  <c r="AK651"/>
  <c r="AN651"/>
  <c r="AW664" i="4"/>
  <c r="AU664"/>
  <c r="AZ664"/>
  <c r="BB664" s="1"/>
  <c r="BD664"/>
  <c r="BE664" s="1"/>
  <c r="AV665"/>
  <c r="BF664"/>
  <c r="BG664" s="1"/>
  <c r="AY664"/>
  <c r="BA664" s="1"/>
  <c r="BZ686" i="6"/>
  <c r="BW686" s="1"/>
  <c r="BY687"/>
  <c r="BV686"/>
  <c r="BX686" s="1"/>
  <c r="AN437"/>
  <c r="BB662" i="5"/>
  <c r="BD662"/>
  <c r="BF662" s="1"/>
  <c r="BI662"/>
  <c r="BJ662" s="1"/>
  <c r="BA663"/>
  <c r="BE662"/>
  <c r="BG662" s="1"/>
  <c r="BK662"/>
  <c r="BL662" s="1"/>
  <c r="AZ662"/>
  <c r="BY688" i="6" l="1"/>
  <c r="BV687"/>
  <c r="BX687" s="1"/>
  <c r="BZ687"/>
  <c r="BW687" s="1"/>
  <c r="AU665" i="4"/>
  <c r="AZ665"/>
  <c r="BB665" s="1"/>
  <c r="BD665"/>
  <c r="BE665" s="1"/>
  <c r="AV666"/>
  <c r="AY665"/>
  <c r="BA665" s="1"/>
  <c r="BF665"/>
  <c r="BG665" s="1"/>
  <c r="AW665"/>
  <c r="AM438" i="6"/>
  <c r="AK652" i="12"/>
  <c r="AL652"/>
  <c r="AJ653"/>
  <c r="AO652"/>
  <c r="AN652"/>
  <c r="AZ663" i="5"/>
  <c r="BE663"/>
  <c r="BG663" s="1"/>
  <c r="BI663"/>
  <c r="BJ663" s="1"/>
  <c r="BA664"/>
  <c r="BB663"/>
  <c r="BK663"/>
  <c r="BL663" s="1"/>
  <c r="BD663"/>
  <c r="BF663" s="1"/>
  <c r="BZ688" i="6" l="1"/>
  <c r="BW688" s="1"/>
  <c r="BY689"/>
  <c r="BV688"/>
  <c r="BX688" s="1"/>
  <c r="BD664" i="5"/>
  <c r="BF664" s="1"/>
  <c r="BE664"/>
  <c r="BG664" s="1"/>
  <c r="BI664"/>
  <c r="BJ664" s="1"/>
  <c r="BA665"/>
  <c r="AZ664"/>
  <c r="BK664"/>
  <c r="BL664" s="1"/>
  <c r="BB664"/>
  <c r="AL653" i="12"/>
  <c r="AJ654"/>
  <c r="AO653"/>
  <c r="AN653"/>
  <c r="AK653"/>
  <c r="AN438" i="6"/>
  <c r="AY666" i="4"/>
  <c r="BA666" s="1"/>
  <c r="BF666"/>
  <c r="BG666" s="1"/>
  <c r="AZ666"/>
  <c r="BB666" s="1"/>
  <c r="AU666"/>
  <c r="AV667"/>
  <c r="BD666"/>
  <c r="BE666" s="1"/>
  <c r="AW666"/>
  <c r="BZ689" i="6" l="1"/>
  <c r="BW689" s="1"/>
  <c r="BY690"/>
  <c r="BV689"/>
  <c r="BX689" s="1"/>
  <c r="AM439"/>
  <c r="AJ655" i="12"/>
  <c r="AK654"/>
  <c r="AL654"/>
  <c r="AN654"/>
  <c r="AO654"/>
  <c r="BF667" i="4"/>
  <c r="BG667" s="1"/>
  <c r="AW667"/>
  <c r="AY667"/>
  <c r="BA667" s="1"/>
  <c r="AZ667"/>
  <c r="BB667" s="1"/>
  <c r="AV668"/>
  <c r="BD667"/>
  <c r="BE667" s="1"/>
  <c r="AU667"/>
  <c r="BK665" i="5"/>
  <c r="BL665" s="1"/>
  <c r="AZ665"/>
  <c r="BE665"/>
  <c r="BG665" s="1"/>
  <c r="BD665"/>
  <c r="BF665" s="1"/>
  <c r="BI665"/>
  <c r="BJ665" s="1"/>
  <c r="BB665"/>
  <c r="BA666"/>
  <c r="BB666" l="1"/>
  <c r="BA667"/>
  <c r="AZ666"/>
  <c r="BE666"/>
  <c r="BG666" s="1"/>
  <c r="BD666"/>
  <c r="BF666" s="1"/>
  <c r="BK666"/>
  <c r="BL666" s="1"/>
  <c r="BI666"/>
  <c r="BJ666" s="1"/>
  <c r="AN439" i="6"/>
  <c r="AJ656" i="12"/>
  <c r="AL655"/>
  <c r="AK655"/>
  <c r="AO655"/>
  <c r="AN655"/>
  <c r="BZ690" i="6"/>
  <c r="BY691"/>
  <c r="BV690"/>
  <c r="BX690" s="1"/>
  <c r="BW690"/>
  <c r="AW668" i="4"/>
  <c r="AU668"/>
  <c r="AZ668"/>
  <c r="BB668" s="1"/>
  <c r="BD668"/>
  <c r="BE668" s="1"/>
  <c r="AV669"/>
  <c r="BF668"/>
  <c r="BG668" s="1"/>
  <c r="AY668"/>
  <c r="BA668" s="1"/>
  <c r="AK656" i="12" l="1"/>
  <c r="AJ657"/>
  <c r="AL656"/>
  <c r="AN656"/>
  <c r="AO656"/>
  <c r="AZ667" i="5"/>
  <c r="BE667"/>
  <c r="BG667" s="1"/>
  <c r="BI667"/>
  <c r="BJ667" s="1"/>
  <c r="BA668"/>
  <c r="BK667"/>
  <c r="BL667" s="1"/>
  <c r="BD667"/>
  <c r="BF667" s="1"/>
  <c r="BB667"/>
  <c r="AU669" i="4"/>
  <c r="AZ669"/>
  <c r="BB669" s="1"/>
  <c r="BD669"/>
  <c r="BE669" s="1"/>
  <c r="AV670"/>
  <c r="AY669"/>
  <c r="BA669" s="1"/>
  <c r="AW669"/>
  <c r="BF669"/>
  <c r="BG669" s="1"/>
  <c r="BY692" i="6"/>
  <c r="BZ691"/>
  <c r="BW691" s="1"/>
  <c r="BV691"/>
  <c r="BX691" s="1"/>
  <c r="AM440"/>
  <c r="BD668" i="5" l="1"/>
  <c r="BF668" s="1"/>
  <c r="BA669"/>
  <c r="BB668"/>
  <c r="BK668"/>
  <c r="BL668" s="1"/>
  <c r="BE668"/>
  <c r="BG668" s="1"/>
  <c r="BI668"/>
  <c r="BJ668" s="1"/>
  <c r="AZ668"/>
  <c r="AL657" i="12"/>
  <c r="AJ658"/>
  <c r="AK657"/>
  <c r="AO657"/>
  <c r="AN657"/>
  <c r="AN440" i="6"/>
  <c r="BV692"/>
  <c r="BX692" s="1"/>
  <c r="BY693"/>
  <c r="BZ692"/>
  <c r="BW692" s="1"/>
  <c r="AY670" i="4"/>
  <c r="BA670" s="1"/>
  <c r="BF670"/>
  <c r="BG670" s="1"/>
  <c r="AW670"/>
  <c r="BD670"/>
  <c r="BE670" s="1"/>
  <c r="AZ670"/>
  <c r="BB670" s="1"/>
  <c r="AV671"/>
  <c r="AU670"/>
  <c r="BK669" i="5" l="1"/>
  <c r="BL669" s="1"/>
  <c r="BD669"/>
  <c r="BF669" s="1"/>
  <c r="BI669"/>
  <c r="BJ669" s="1"/>
  <c r="BA670"/>
  <c r="AZ669"/>
  <c r="BE669"/>
  <c r="BG669" s="1"/>
  <c r="BB669"/>
  <c r="AM441" i="6"/>
  <c r="AJ659" i="12"/>
  <c r="AL658"/>
  <c r="AK658"/>
  <c r="AN658"/>
  <c r="AO658"/>
  <c r="BF671" i="4"/>
  <c r="BG671" s="1"/>
  <c r="AW671"/>
  <c r="AU671"/>
  <c r="BD671"/>
  <c r="BE671" s="1"/>
  <c r="AZ671"/>
  <c r="BB671" s="1"/>
  <c r="AV672"/>
  <c r="AY671"/>
  <c r="BA671" s="1"/>
  <c r="BZ693" i="6"/>
  <c r="BV693"/>
  <c r="BX693" s="1"/>
  <c r="BY694"/>
  <c r="BW693"/>
  <c r="AL659" i="12" l="1"/>
  <c r="AO659" s="1"/>
  <c r="AK659"/>
  <c r="AN659"/>
  <c r="AJ660"/>
  <c r="BZ694" i="6"/>
  <c r="BY695"/>
  <c r="BV694"/>
  <c r="BX694" s="1"/>
  <c r="BW694"/>
  <c r="AW672" i="4"/>
  <c r="AU672"/>
  <c r="AZ672"/>
  <c r="BB672" s="1"/>
  <c r="BD672"/>
  <c r="BE672" s="1"/>
  <c r="AV673"/>
  <c r="BF672"/>
  <c r="BG672" s="1"/>
  <c r="AY672"/>
  <c r="BA672" s="1"/>
  <c r="AN441" i="6"/>
  <c r="BB670" i="5"/>
  <c r="AZ670"/>
  <c r="BE670"/>
  <c r="BG670" s="1"/>
  <c r="BK670"/>
  <c r="BL670" s="1"/>
  <c r="BA671"/>
  <c r="BI670"/>
  <c r="BJ670" s="1"/>
  <c r="BD670"/>
  <c r="BF670" s="1"/>
  <c r="AK660" i="12" l="1"/>
  <c r="AJ661"/>
  <c r="AL660"/>
  <c r="AN660"/>
  <c r="AO660"/>
  <c r="AM442" i="6"/>
  <c r="AU673" i="4"/>
  <c r="AZ673"/>
  <c r="BB673" s="1"/>
  <c r="BD673"/>
  <c r="BE673" s="1"/>
  <c r="AV674"/>
  <c r="AY673"/>
  <c r="BA673" s="1"/>
  <c r="BF673"/>
  <c r="BG673" s="1"/>
  <c r="AW673"/>
  <c r="AZ671" i="5"/>
  <c r="BE671"/>
  <c r="BG671" s="1"/>
  <c r="BI671"/>
  <c r="BJ671" s="1"/>
  <c r="BA672"/>
  <c r="BD671"/>
  <c r="BF671" s="1"/>
  <c r="BK671"/>
  <c r="BL671" s="1"/>
  <c r="BB671"/>
  <c r="BY696" i="6"/>
  <c r="BV695"/>
  <c r="BX695" s="1"/>
  <c r="BZ695"/>
  <c r="BW695"/>
  <c r="BZ696" l="1"/>
  <c r="BW696" s="1"/>
  <c r="BV696"/>
  <c r="BX696" s="1"/>
  <c r="BY697"/>
  <c r="BD672" i="5"/>
  <c r="BF672" s="1"/>
  <c r="BB672"/>
  <c r="BK672"/>
  <c r="BL672" s="1"/>
  <c r="AZ672"/>
  <c r="BA673"/>
  <c r="BI672"/>
  <c r="BJ672" s="1"/>
  <c r="BE672"/>
  <c r="BG672" s="1"/>
  <c r="AN442" i="6"/>
  <c r="AL661" i="12"/>
  <c r="AK661"/>
  <c r="AO661"/>
  <c r="AJ662"/>
  <c r="AN661"/>
  <c r="AY674" i="4"/>
  <c r="BA674" s="1"/>
  <c r="BF674"/>
  <c r="BG674" s="1"/>
  <c r="AZ674"/>
  <c r="BB674" s="1"/>
  <c r="AU674"/>
  <c r="AV675"/>
  <c r="AW674"/>
  <c r="BD674"/>
  <c r="BE674" s="1"/>
  <c r="AJ663" i="12" l="1"/>
  <c r="AL662"/>
  <c r="AK662"/>
  <c r="AN662"/>
  <c r="AO662"/>
  <c r="BZ697" i="6"/>
  <c r="BY698"/>
  <c r="BW697"/>
  <c r="BV697"/>
  <c r="BX697" s="1"/>
  <c r="BK673" i="5"/>
  <c r="BL673" s="1"/>
  <c r="BA674"/>
  <c r="BB673"/>
  <c r="BE673"/>
  <c r="BG673" s="1"/>
  <c r="BD673"/>
  <c r="BF673" s="1"/>
  <c r="BI673"/>
  <c r="BJ673" s="1"/>
  <c r="AZ673"/>
  <c r="BF675" i="4"/>
  <c r="BG675" s="1"/>
  <c r="AW675"/>
  <c r="AY675"/>
  <c r="BA675" s="1"/>
  <c r="AZ675"/>
  <c r="BB675" s="1"/>
  <c r="AV676"/>
  <c r="BD675"/>
  <c r="BE675" s="1"/>
  <c r="AU675"/>
  <c r="AM443" i="6"/>
  <c r="AW676" i="4" l="1"/>
  <c r="AU676"/>
  <c r="AZ676"/>
  <c r="BB676" s="1"/>
  <c r="BD676"/>
  <c r="BE676" s="1"/>
  <c r="AV677"/>
  <c r="AY676"/>
  <c r="BA676" s="1"/>
  <c r="BF676"/>
  <c r="BG676" s="1"/>
  <c r="AK663" i="12"/>
  <c r="AN663"/>
  <c r="AL663"/>
  <c r="AO663" s="1"/>
  <c r="AJ664"/>
  <c r="BB674" i="5"/>
  <c r="BE674"/>
  <c r="BG674" s="1"/>
  <c r="BK674"/>
  <c r="BL674" s="1"/>
  <c r="BD674"/>
  <c r="BF674" s="1"/>
  <c r="BI674"/>
  <c r="BJ674" s="1"/>
  <c r="AZ674"/>
  <c r="BA675"/>
  <c r="BZ698" i="6"/>
  <c r="BY699"/>
  <c r="BV698"/>
  <c r="BX698" s="1"/>
  <c r="BW698"/>
  <c r="AN443"/>
  <c r="BY700" l="1"/>
  <c r="BZ699"/>
  <c r="BW699" s="1"/>
  <c r="BV699"/>
  <c r="BX699" s="1"/>
  <c r="AU677" i="4"/>
  <c r="AZ677"/>
  <c r="BB677" s="1"/>
  <c r="BD677"/>
  <c r="BE677" s="1"/>
  <c r="AV678"/>
  <c r="AY677"/>
  <c r="BA677" s="1"/>
  <c r="AW677"/>
  <c r="BF677"/>
  <c r="BG677" s="1"/>
  <c r="AZ675" i="5"/>
  <c r="BE675"/>
  <c r="BG675" s="1"/>
  <c r="BI675"/>
  <c r="BJ675" s="1"/>
  <c r="BA676"/>
  <c r="BB675"/>
  <c r="BD675"/>
  <c r="BF675" s="1"/>
  <c r="BK675"/>
  <c r="BL675" s="1"/>
  <c r="AM444" i="6"/>
  <c r="AK664" i="12"/>
  <c r="AJ665"/>
  <c r="AL664"/>
  <c r="AN664"/>
  <c r="AO664"/>
  <c r="BY701" i="6" l="1"/>
  <c r="BZ700"/>
  <c r="BW700" s="1"/>
  <c r="BV700"/>
  <c r="BX700" s="1"/>
  <c r="AL665" i="12"/>
  <c r="AO665" s="1"/>
  <c r="AJ666"/>
  <c r="AK665"/>
  <c r="AN665"/>
  <c r="AN444" i="6"/>
  <c r="BD676" i="5"/>
  <c r="BF676" s="1"/>
  <c r="AZ676"/>
  <c r="BE676"/>
  <c r="BG676" s="1"/>
  <c r="BI676"/>
  <c r="BJ676" s="1"/>
  <c r="BB676"/>
  <c r="BK676"/>
  <c r="BL676" s="1"/>
  <c r="BA677"/>
  <c r="AY678" i="4"/>
  <c r="BA678" s="1"/>
  <c r="BF678"/>
  <c r="BG678" s="1"/>
  <c r="AW678"/>
  <c r="BD678"/>
  <c r="BE678" s="1"/>
  <c r="AZ678"/>
  <c r="BB678" s="1"/>
  <c r="AU678"/>
  <c r="AV679"/>
  <c r="BF679" l="1"/>
  <c r="BG679" s="1"/>
  <c r="AW679"/>
  <c r="AU679"/>
  <c r="BD679"/>
  <c r="BE679" s="1"/>
  <c r="AY679"/>
  <c r="BA679" s="1"/>
  <c r="AV680"/>
  <c r="AZ679"/>
  <c r="BB679" s="1"/>
  <c r="BZ701" i="6"/>
  <c r="BW701" s="1"/>
  <c r="BV701"/>
  <c r="BX701" s="1"/>
  <c r="BY702"/>
  <c r="BK677" i="5"/>
  <c r="BL677" s="1"/>
  <c r="BB677"/>
  <c r="AZ677"/>
  <c r="BE677"/>
  <c r="BG677" s="1"/>
  <c r="BD677"/>
  <c r="BF677" s="1"/>
  <c r="BA678"/>
  <c r="BI677"/>
  <c r="BJ677" s="1"/>
  <c r="AM445" i="6"/>
  <c r="AJ667" i="12"/>
  <c r="AL666"/>
  <c r="AK666"/>
  <c r="AN666"/>
  <c r="AO666"/>
  <c r="BB678" i="5" l="1"/>
  <c r="BD678"/>
  <c r="BF678" s="1"/>
  <c r="BI678"/>
  <c r="BJ678" s="1"/>
  <c r="BA679"/>
  <c r="BK678"/>
  <c r="BL678" s="1"/>
  <c r="AZ678"/>
  <c r="BE678"/>
  <c r="BG678" s="1"/>
  <c r="AN445" i="6"/>
  <c r="AJ668" i="12"/>
  <c r="AO667"/>
  <c r="AN667"/>
  <c r="AK667"/>
  <c r="AL667"/>
  <c r="AW680" i="4"/>
  <c r="AU680"/>
  <c r="AZ680"/>
  <c r="BB680" s="1"/>
  <c r="BD680"/>
  <c r="BE680" s="1"/>
  <c r="AV681"/>
  <c r="BF680"/>
  <c r="BG680" s="1"/>
  <c r="AY680"/>
  <c r="BA680" s="1"/>
  <c r="BZ702" i="6"/>
  <c r="BY703"/>
  <c r="BV702"/>
  <c r="BX702" s="1"/>
  <c r="BW702"/>
  <c r="BY704" l="1"/>
  <c r="BZ703"/>
  <c r="BW703" s="1"/>
  <c r="BV703"/>
  <c r="BX703" s="1"/>
  <c r="AK668" i="12"/>
  <c r="AL668"/>
  <c r="AJ669"/>
  <c r="AO668"/>
  <c r="AN668"/>
  <c r="AU681" i="4"/>
  <c r="AZ681"/>
  <c r="BB681" s="1"/>
  <c r="BD681"/>
  <c r="BE681" s="1"/>
  <c r="AV682"/>
  <c r="AY681"/>
  <c r="BA681" s="1"/>
  <c r="BF681"/>
  <c r="BG681" s="1"/>
  <c r="AW681"/>
  <c r="AM446" i="6"/>
  <c r="AZ679" i="5"/>
  <c r="BE679"/>
  <c r="BG679" s="1"/>
  <c r="BI679"/>
  <c r="BJ679" s="1"/>
  <c r="BA680"/>
  <c r="BB679"/>
  <c r="BK679"/>
  <c r="BL679" s="1"/>
  <c r="BD679"/>
  <c r="BF679" s="1"/>
  <c r="AN446" i="6" l="1"/>
  <c r="AY682" i="4"/>
  <c r="BA682" s="1"/>
  <c r="BF682"/>
  <c r="BG682" s="1"/>
  <c r="AZ682"/>
  <c r="BB682" s="1"/>
  <c r="AU682"/>
  <c r="AV683"/>
  <c r="BD682"/>
  <c r="BE682" s="1"/>
  <c r="AW682"/>
  <c r="BZ704" i="6"/>
  <c r="BV704"/>
  <c r="BX704" s="1"/>
  <c r="BY705"/>
  <c r="BW704"/>
  <c r="BD680" i="5"/>
  <c r="BF680" s="1"/>
  <c r="BE680"/>
  <c r="BG680" s="1"/>
  <c r="BI680"/>
  <c r="BJ680" s="1"/>
  <c r="BA681"/>
  <c r="BB680"/>
  <c r="AZ680"/>
  <c r="BK680"/>
  <c r="BL680" s="1"/>
  <c r="AL669" i="12"/>
  <c r="AO669" s="1"/>
  <c r="AJ670"/>
  <c r="AK669"/>
  <c r="AN669"/>
  <c r="BK681" i="5" l="1"/>
  <c r="BL681" s="1"/>
  <c r="AZ681"/>
  <c r="BE681"/>
  <c r="BG681" s="1"/>
  <c r="BD681"/>
  <c r="BF681" s="1"/>
  <c r="BI681"/>
  <c r="BJ681" s="1"/>
  <c r="BA682"/>
  <c r="BB681"/>
  <c r="BF683" i="4"/>
  <c r="BG683" s="1"/>
  <c r="AW683"/>
  <c r="AY683"/>
  <c r="BA683" s="1"/>
  <c r="AZ683"/>
  <c r="BB683" s="1"/>
  <c r="AV684"/>
  <c r="BD683"/>
  <c r="BE683" s="1"/>
  <c r="AU683"/>
  <c r="AM447" i="6"/>
  <c r="AJ671" i="12"/>
  <c r="AK670"/>
  <c r="AN670"/>
  <c r="AL670"/>
  <c r="AO670" s="1"/>
  <c r="BZ705" i="6"/>
  <c r="BY706"/>
  <c r="BW705"/>
  <c r="BV705"/>
  <c r="BX705" s="1"/>
  <c r="BB682" i="5" l="1"/>
  <c r="BA683"/>
  <c r="AZ682"/>
  <c r="BI682"/>
  <c r="BJ682" s="1"/>
  <c r="BE682"/>
  <c r="BG682" s="1"/>
  <c r="BK682"/>
  <c r="BL682" s="1"/>
  <c r="BD682"/>
  <c r="BF682" s="1"/>
  <c r="AJ672" i="12"/>
  <c r="AL671"/>
  <c r="AO671" s="1"/>
  <c r="AN671"/>
  <c r="AK671"/>
  <c r="BZ706" i="6"/>
  <c r="BW706" s="1"/>
  <c r="BY707"/>
  <c r="BV706"/>
  <c r="BX706" s="1"/>
  <c r="AN447"/>
  <c r="AW684" i="4"/>
  <c r="AU684"/>
  <c r="AZ684"/>
  <c r="BB684" s="1"/>
  <c r="BD684"/>
  <c r="BE684" s="1"/>
  <c r="AV685"/>
  <c r="BF684"/>
  <c r="BG684" s="1"/>
  <c r="AY684"/>
  <c r="BA684" s="1"/>
  <c r="BY708" i="6" l="1"/>
  <c r="BZ707"/>
  <c r="BW707" s="1"/>
  <c r="BV707"/>
  <c r="BX707" s="1"/>
  <c r="AZ683" i="5"/>
  <c r="BE683"/>
  <c r="BG683" s="1"/>
  <c r="BI683"/>
  <c r="BJ683" s="1"/>
  <c r="BA684"/>
  <c r="BK683"/>
  <c r="BL683" s="1"/>
  <c r="BD683"/>
  <c r="BF683" s="1"/>
  <c r="BB683"/>
  <c r="AU685" i="4"/>
  <c r="AZ685"/>
  <c r="BB685" s="1"/>
  <c r="BD685"/>
  <c r="BE685" s="1"/>
  <c r="AV686"/>
  <c r="AY685"/>
  <c r="BA685" s="1"/>
  <c r="AW685"/>
  <c r="BF685"/>
  <c r="BG685" s="1"/>
  <c r="AM448" i="6"/>
  <c r="AK672" i="12"/>
  <c r="AJ673"/>
  <c r="AL672"/>
  <c r="AN672"/>
  <c r="AO672"/>
  <c r="BY709" i="6" l="1"/>
  <c r="BZ708"/>
  <c r="BW708" s="1"/>
  <c r="BV708"/>
  <c r="BX708" s="1"/>
  <c r="AL673" i="12"/>
  <c r="AO673" s="1"/>
  <c r="AJ674"/>
  <c r="AK673"/>
  <c r="AN673"/>
  <c r="AN448" i="6"/>
  <c r="AY686" i="4"/>
  <c r="BA686" s="1"/>
  <c r="BF686"/>
  <c r="BG686" s="1"/>
  <c r="AW686"/>
  <c r="BD686"/>
  <c r="BE686" s="1"/>
  <c r="AZ686"/>
  <c r="BB686" s="1"/>
  <c r="AV687"/>
  <c r="AU686"/>
  <c r="BD684" i="5"/>
  <c r="BF684" s="1"/>
  <c r="BA685"/>
  <c r="BB684"/>
  <c r="BK684"/>
  <c r="BL684" s="1"/>
  <c r="BI684"/>
  <c r="BJ684" s="1"/>
  <c r="AZ684"/>
  <c r="BE684"/>
  <c r="BG684" s="1"/>
  <c r="BF687" i="4" l="1"/>
  <c r="BG687" s="1"/>
  <c r="AW687"/>
  <c r="AU687"/>
  <c r="BD687"/>
  <c r="BE687" s="1"/>
  <c r="AZ687"/>
  <c r="BB687" s="1"/>
  <c r="AV688"/>
  <c r="AY687"/>
  <c r="BA687" s="1"/>
  <c r="BZ709" i="6"/>
  <c r="BY710"/>
  <c r="BV709"/>
  <c r="BX709" s="1"/>
  <c r="BW709"/>
  <c r="AM449"/>
  <c r="AJ675" i="12"/>
  <c r="AK674"/>
  <c r="AN674"/>
  <c r="AL674"/>
  <c r="AO674" s="1"/>
  <c r="BK685" i="5"/>
  <c r="BL685" s="1"/>
  <c r="BD685"/>
  <c r="BF685" s="1"/>
  <c r="BI685"/>
  <c r="BJ685" s="1"/>
  <c r="BA686"/>
  <c r="BB685"/>
  <c r="AZ685"/>
  <c r="BE685"/>
  <c r="BG685" s="1"/>
  <c r="BZ710" i="6" l="1"/>
  <c r="BW710" s="1"/>
  <c r="BY711"/>
  <c r="BV710"/>
  <c r="BX710" s="1"/>
  <c r="BB686" i="5"/>
  <c r="AZ686"/>
  <c r="BE686"/>
  <c r="BG686" s="1"/>
  <c r="BK686"/>
  <c r="BL686" s="1"/>
  <c r="BD686"/>
  <c r="BF686" s="1"/>
  <c r="BI686"/>
  <c r="BJ686" s="1"/>
  <c r="BA687"/>
  <c r="AL675" i="12"/>
  <c r="AO675" s="1"/>
  <c r="AK675"/>
  <c r="AJ676"/>
  <c r="AN675"/>
  <c r="AW688" i="4"/>
  <c r="AU688"/>
  <c r="AZ688"/>
  <c r="BB688" s="1"/>
  <c r="BD688"/>
  <c r="BE688" s="1"/>
  <c r="AV689"/>
  <c r="BF688"/>
  <c r="BG688" s="1"/>
  <c r="AY688"/>
  <c r="BA688" s="1"/>
  <c r="AN449" i="6"/>
  <c r="AM450" l="1"/>
  <c r="AU689" i="4"/>
  <c r="AZ689"/>
  <c r="BB689" s="1"/>
  <c r="BD689"/>
  <c r="BE689" s="1"/>
  <c r="AV690"/>
  <c r="AY689"/>
  <c r="BA689" s="1"/>
  <c r="BF689"/>
  <c r="BG689" s="1"/>
  <c r="AW689"/>
  <c r="BY712" i="6"/>
  <c r="BV711"/>
  <c r="BX711" s="1"/>
  <c r="BZ711"/>
  <c r="BW711"/>
  <c r="AK676" i="12"/>
  <c r="AJ677"/>
  <c r="AL676"/>
  <c r="AN676"/>
  <c r="AO676"/>
  <c r="AZ687" i="5"/>
  <c r="BE687"/>
  <c r="BG687" s="1"/>
  <c r="BI687"/>
  <c r="BJ687" s="1"/>
  <c r="BA688"/>
  <c r="BD687"/>
  <c r="BF687" s="1"/>
  <c r="BK687"/>
  <c r="BL687" s="1"/>
  <c r="BB687"/>
  <c r="AN450" i="6" l="1"/>
  <c r="BD688" i="5"/>
  <c r="BF688" s="1"/>
  <c r="BB688"/>
  <c r="BK688"/>
  <c r="BL688" s="1"/>
  <c r="AZ688"/>
  <c r="BE688"/>
  <c r="BG688" s="1"/>
  <c r="BI688"/>
  <c r="BJ688" s="1"/>
  <c r="BA689"/>
  <c r="AY690" i="4"/>
  <c r="BA690" s="1"/>
  <c r="BF690"/>
  <c r="BG690" s="1"/>
  <c r="AZ690"/>
  <c r="BB690" s="1"/>
  <c r="AU690"/>
  <c r="AV691"/>
  <c r="AW690"/>
  <c r="BD690"/>
  <c r="BE690" s="1"/>
  <c r="AL677" i="12"/>
  <c r="AO677" s="1"/>
  <c r="AK677"/>
  <c r="AN677"/>
  <c r="AJ678"/>
  <c r="BZ712" i="6"/>
  <c r="BW712" s="1"/>
  <c r="BV712"/>
  <c r="BX712" s="1"/>
  <c r="BY713"/>
  <c r="AJ679" i="12" l="1"/>
  <c r="AL678"/>
  <c r="AN678"/>
  <c r="AK678"/>
  <c r="AO678"/>
  <c r="BK689" i="5"/>
  <c r="BL689" s="1"/>
  <c r="BA690"/>
  <c r="BB689"/>
  <c r="BI689"/>
  <c r="BJ689" s="1"/>
  <c r="AZ689"/>
  <c r="BD689"/>
  <c r="BF689" s="1"/>
  <c r="BE689"/>
  <c r="BG689" s="1"/>
  <c r="BZ713" i="6"/>
  <c r="BW713" s="1"/>
  <c r="BY714"/>
  <c r="BV713"/>
  <c r="BX713" s="1"/>
  <c r="AM451"/>
  <c r="BF691" i="4"/>
  <c r="BG691" s="1"/>
  <c r="AW691"/>
  <c r="AY691"/>
  <c r="BA691" s="1"/>
  <c r="AZ691"/>
  <c r="BB691" s="1"/>
  <c r="AV692"/>
  <c r="BD691"/>
  <c r="BE691" s="1"/>
  <c r="AU691"/>
  <c r="AK679" i="12" l="1"/>
  <c r="AJ680"/>
  <c r="AO679"/>
  <c r="AL679"/>
  <c r="AN679"/>
  <c r="BZ714" i="6"/>
  <c r="BY715"/>
  <c r="BV714"/>
  <c r="BX714" s="1"/>
  <c r="BW714"/>
  <c r="AN451"/>
  <c r="BB690" i="5"/>
  <c r="BE690"/>
  <c r="BG690" s="1"/>
  <c r="BK690"/>
  <c r="BL690" s="1"/>
  <c r="BD690"/>
  <c r="BF690" s="1"/>
  <c r="BI690"/>
  <c r="BJ690" s="1"/>
  <c r="BA691"/>
  <c r="AZ690"/>
  <c r="AW692" i="4"/>
  <c r="AU692"/>
  <c r="AZ692"/>
  <c r="BB692" s="1"/>
  <c r="BD692"/>
  <c r="BE692" s="1"/>
  <c r="AV693"/>
  <c r="AY692"/>
  <c r="BA692" s="1"/>
  <c r="BF692"/>
  <c r="BG692" s="1"/>
  <c r="AU693" l="1"/>
  <c r="AZ693"/>
  <c r="BB693" s="1"/>
  <c r="BD693"/>
  <c r="BE693" s="1"/>
  <c r="AV694"/>
  <c r="AY693"/>
  <c r="BA693" s="1"/>
  <c r="AW693"/>
  <c r="BF693"/>
  <c r="BG693" s="1"/>
  <c r="AZ691" i="5"/>
  <c r="BE691"/>
  <c r="BG691" s="1"/>
  <c r="BI691"/>
  <c r="BJ691" s="1"/>
  <c r="BA692"/>
  <c r="BB691"/>
  <c r="BK691"/>
  <c r="BL691" s="1"/>
  <c r="BD691"/>
  <c r="BF691" s="1"/>
  <c r="AM452" i="6"/>
  <c r="AK680" i="12"/>
  <c r="AJ681"/>
  <c r="AL680"/>
  <c r="AN680"/>
  <c r="AO680"/>
  <c r="BY716" i="6"/>
  <c r="BZ715"/>
  <c r="BV715"/>
  <c r="BX715" s="1"/>
  <c r="BW715"/>
  <c r="AL681" i="12" l="1"/>
  <c r="AO681" s="1"/>
  <c r="AN681"/>
  <c r="AK681"/>
  <c r="AJ682"/>
  <c r="AN452" i="6"/>
  <c r="BD692" i="5"/>
  <c r="BF692" s="1"/>
  <c r="AZ692"/>
  <c r="BE692"/>
  <c r="BG692" s="1"/>
  <c r="BI692"/>
  <c r="BJ692" s="1"/>
  <c r="BA693"/>
  <c r="BK692"/>
  <c r="BL692" s="1"/>
  <c r="BB692"/>
  <c r="BY717" i="6"/>
  <c r="BV716"/>
  <c r="BX716" s="1"/>
  <c r="BZ716"/>
  <c r="BW716" s="1"/>
  <c r="AY694" i="4"/>
  <c r="BA694" s="1"/>
  <c r="BF694"/>
  <c r="BG694" s="1"/>
  <c r="AW694"/>
  <c r="BD694"/>
  <c r="BE694" s="1"/>
  <c r="AV695"/>
  <c r="AU694"/>
  <c r="AZ694"/>
  <c r="BB694" s="1"/>
  <c r="BF695" l="1"/>
  <c r="BG695" s="1"/>
  <c r="AW695"/>
  <c r="AU695"/>
  <c r="BD695"/>
  <c r="BE695" s="1"/>
  <c r="AZ695"/>
  <c r="BB695" s="1"/>
  <c r="AY695"/>
  <c r="BA695" s="1"/>
  <c r="AV696"/>
  <c r="AJ683" i="12"/>
  <c r="AL682"/>
  <c r="AO682" s="1"/>
  <c r="AK682"/>
  <c r="AN682"/>
  <c r="AM453" i="6"/>
  <c r="BZ717"/>
  <c r="BV717"/>
  <c r="BX717" s="1"/>
  <c r="BW717"/>
  <c r="BY718"/>
  <c r="BK693" i="5"/>
  <c r="BL693" s="1"/>
  <c r="BB693"/>
  <c r="AZ693"/>
  <c r="BE693"/>
  <c r="BG693" s="1"/>
  <c r="BA694"/>
  <c r="BI693"/>
  <c r="BJ693" s="1"/>
  <c r="BD693"/>
  <c r="BF693" s="1"/>
  <c r="BZ718" i="6" l="1"/>
  <c r="BW718" s="1"/>
  <c r="BY719"/>
  <c r="BV718"/>
  <c r="BX718" s="1"/>
  <c r="BB694" i="5"/>
  <c r="BD694"/>
  <c r="BF694" s="1"/>
  <c r="BI694"/>
  <c r="BJ694" s="1"/>
  <c r="BA695"/>
  <c r="BE694"/>
  <c r="BG694" s="1"/>
  <c r="AZ694"/>
  <c r="BK694"/>
  <c r="BL694" s="1"/>
  <c r="AW696" i="4"/>
  <c r="AU696"/>
  <c r="AZ696"/>
  <c r="BB696" s="1"/>
  <c r="BD696"/>
  <c r="BE696" s="1"/>
  <c r="AV697"/>
  <c r="BF696"/>
  <c r="BG696" s="1"/>
  <c r="AY696"/>
  <c r="BA696" s="1"/>
  <c r="AN453" i="6"/>
  <c r="AJ684" i="12"/>
  <c r="AL683"/>
  <c r="AO683" s="1"/>
  <c r="AK683"/>
  <c r="AN683"/>
  <c r="BY720" i="6" l="1"/>
  <c r="BZ719"/>
  <c r="BW719" s="1"/>
  <c r="BV719"/>
  <c r="BX719" s="1"/>
  <c r="AK684" i="12"/>
  <c r="AL684"/>
  <c r="AO684" s="1"/>
  <c r="AJ685"/>
  <c r="AN684"/>
  <c r="AM454" i="6"/>
  <c r="AU697" i="4"/>
  <c r="AZ697"/>
  <c r="BB697" s="1"/>
  <c r="BD697"/>
  <c r="BE697" s="1"/>
  <c r="AV698"/>
  <c r="AY697"/>
  <c r="BA697" s="1"/>
  <c r="BF697"/>
  <c r="BG697" s="1"/>
  <c r="AW697"/>
  <c r="AZ695" i="5"/>
  <c r="BE695"/>
  <c r="BG695" s="1"/>
  <c r="BI695"/>
  <c r="BJ695" s="1"/>
  <c r="BA696"/>
  <c r="BB695"/>
  <c r="BK695"/>
  <c r="BL695" s="1"/>
  <c r="BD695"/>
  <c r="BF695" s="1"/>
  <c r="BZ720" i="6" l="1"/>
  <c r="BW720" s="1"/>
  <c r="BY721"/>
  <c r="BV720"/>
  <c r="BX720" s="1"/>
  <c r="AN454"/>
  <c r="AY698" i="4"/>
  <c r="BA698" s="1"/>
  <c r="BF698"/>
  <c r="BG698" s="1"/>
  <c r="AZ698"/>
  <c r="BB698" s="1"/>
  <c r="AU698"/>
  <c r="AV699"/>
  <c r="BD698"/>
  <c r="BE698" s="1"/>
  <c r="AW698"/>
  <c r="BD696" i="5"/>
  <c r="BF696" s="1"/>
  <c r="BE696"/>
  <c r="BG696" s="1"/>
  <c r="BI696"/>
  <c r="BJ696" s="1"/>
  <c r="BA697"/>
  <c r="AZ696"/>
  <c r="BK696"/>
  <c r="BL696" s="1"/>
  <c r="BB696"/>
  <c r="AL685" i="12"/>
  <c r="AO685" s="1"/>
  <c r="AJ686"/>
  <c r="AN685"/>
  <c r="AK685"/>
  <c r="BZ721" i="6" l="1"/>
  <c r="BW721" s="1"/>
  <c r="BY722"/>
  <c r="BV721"/>
  <c r="BX721" s="1"/>
  <c r="BK697" i="5"/>
  <c r="BL697" s="1"/>
  <c r="AZ697"/>
  <c r="BE697"/>
  <c r="BG697" s="1"/>
  <c r="BD697"/>
  <c r="BF697" s="1"/>
  <c r="BI697"/>
  <c r="BJ697" s="1"/>
  <c r="BB697"/>
  <c r="BA698"/>
  <c r="AM455" i="6"/>
  <c r="AJ687" i="12"/>
  <c r="AK686"/>
  <c r="AL686"/>
  <c r="AO686" s="1"/>
  <c r="AN686"/>
  <c r="BF699" i="4"/>
  <c r="BG699" s="1"/>
  <c r="AW699"/>
  <c r="AY699"/>
  <c r="BA699" s="1"/>
  <c r="AZ699"/>
  <c r="BB699" s="1"/>
  <c r="AV700"/>
  <c r="BD699"/>
  <c r="BE699" s="1"/>
  <c r="AU699"/>
  <c r="AJ688" i="12" l="1"/>
  <c r="AL687"/>
  <c r="AK687"/>
  <c r="AO687"/>
  <c r="AN687"/>
  <c r="BZ722" i="6"/>
  <c r="BY723"/>
  <c r="BV722"/>
  <c r="BX722" s="1"/>
  <c r="BW722"/>
  <c r="AW700" i="4"/>
  <c r="AU700"/>
  <c r="AZ700"/>
  <c r="BB700" s="1"/>
  <c r="BD700"/>
  <c r="BE700" s="1"/>
  <c r="AV701"/>
  <c r="BF700"/>
  <c r="BG700" s="1"/>
  <c r="AY700"/>
  <c r="BA700" s="1"/>
  <c r="BB698" i="5"/>
  <c r="BA699"/>
  <c r="AZ698"/>
  <c r="BE698"/>
  <c r="BG698" s="1"/>
  <c r="BD698"/>
  <c r="BF698" s="1"/>
  <c r="BK698"/>
  <c r="BL698" s="1"/>
  <c r="BI698"/>
  <c r="BJ698" s="1"/>
  <c r="AN455" i="6"/>
  <c r="AK688" i="12" l="1"/>
  <c r="AL688"/>
  <c r="AJ689"/>
  <c r="AO688"/>
  <c r="AN688"/>
  <c r="AZ699" i="5"/>
  <c r="BE699"/>
  <c r="BG699" s="1"/>
  <c r="BI699"/>
  <c r="BJ699" s="1"/>
  <c r="BA700"/>
  <c r="BK699"/>
  <c r="BL699" s="1"/>
  <c r="BD699"/>
  <c r="BF699" s="1"/>
  <c r="BB699"/>
  <c r="AU701" i="4"/>
  <c r="AZ701"/>
  <c r="BB701" s="1"/>
  <c r="BD701"/>
  <c r="BE701" s="1"/>
  <c r="AV702"/>
  <c r="AY701"/>
  <c r="BA701" s="1"/>
  <c r="AW701"/>
  <c r="BF701"/>
  <c r="BG701" s="1"/>
  <c r="BY724" i="6"/>
  <c r="BV723"/>
  <c r="BX723" s="1"/>
  <c r="BZ723"/>
  <c r="BW723"/>
  <c r="AM456"/>
  <c r="BD700" i="5" l="1"/>
  <c r="BF700" s="1"/>
  <c r="BA701"/>
  <c r="BB700"/>
  <c r="BK700"/>
  <c r="BL700" s="1"/>
  <c r="BE700"/>
  <c r="BG700" s="1"/>
  <c r="BI700"/>
  <c r="BJ700" s="1"/>
  <c r="AZ700"/>
  <c r="AL689" i="12"/>
  <c r="AJ690"/>
  <c r="AK689"/>
  <c r="AO689"/>
  <c r="AN689"/>
  <c r="AN456" i="6"/>
  <c r="BV724"/>
  <c r="BX724" s="1"/>
  <c r="BY725"/>
  <c r="BZ724"/>
  <c r="BW724" s="1"/>
  <c r="AY702" i="4"/>
  <c r="BA702" s="1"/>
  <c r="BF702"/>
  <c r="BG702" s="1"/>
  <c r="AW702"/>
  <c r="BD702"/>
  <c r="BE702" s="1"/>
  <c r="AZ702"/>
  <c r="BB702" s="1"/>
  <c r="AV703"/>
  <c r="AU702"/>
  <c r="AM457" i="6" l="1"/>
  <c r="AJ691" i="12"/>
  <c r="AL690"/>
  <c r="AK690"/>
  <c r="AN690"/>
  <c r="AO690"/>
  <c r="BK701" i="5"/>
  <c r="BL701" s="1"/>
  <c r="BD701"/>
  <c r="BF701" s="1"/>
  <c r="BI701"/>
  <c r="BJ701" s="1"/>
  <c r="BA702"/>
  <c r="AZ701"/>
  <c r="BE701"/>
  <c r="BG701" s="1"/>
  <c r="BB701"/>
  <c r="BF703" i="4"/>
  <c r="BG703" s="1"/>
  <c r="AW703"/>
  <c r="AU703"/>
  <c r="BD703"/>
  <c r="BE703" s="1"/>
  <c r="AZ703"/>
  <c r="BB703" s="1"/>
  <c r="AV704"/>
  <c r="AY703"/>
  <c r="BA703" s="1"/>
  <c r="BZ725" i="6"/>
  <c r="BY726"/>
  <c r="BV725"/>
  <c r="BX725" s="1"/>
  <c r="BW725"/>
  <c r="AN457" l="1"/>
  <c r="BB702" i="5"/>
  <c r="AZ702"/>
  <c r="BE702"/>
  <c r="BG702" s="1"/>
  <c r="BK702"/>
  <c r="BL702" s="1"/>
  <c r="BA703"/>
  <c r="BI702"/>
  <c r="BJ702" s="1"/>
  <c r="BD702"/>
  <c r="BF702" s="1"/>
  <c r="AL691" i="12"/>
  <c r="AK691"/>
  <c r="AO691"/>
  <c r="AN691"/>
  <c r="AJ692"/>
  <c r="BZ726" i="6"/>
  <c r="BW726" s="1"/>
  <c r="BY727"/>
  <c r="BV726"/>
  <c r="BX726" s="1"/>
  <c r="AW704" i="4"/>
  <c r="AU704"/>
  <c r="AZ704"/>
  <c r="BB704" s="1"/>
  <c r="BD704"/>
  <c r="BE704" s="1"/>
  <c r="AV705"/>
  <c r="BF704"/>
  <c r="BG704" s="1"/>
  <c r="AY704"/>
  <c r="BA704" s="1"/>
  <c r="AK692" i="12" l="1"/>
  <c r="AJ693"/>
  <c r="AN692"/>
  <c r="AL692"/>
  <c r="AO692" s="1"/>
  <c r="AM458" i="6"/>
  <c r="AU705" i="4"/>
  <c r="AZ705"/>
  <c r="BB705" s="1"/>
  <c r="BD705"/>
  <c r="BE705" s="1"/>
  <c r="AV706"/>
  <c r="AY705"/>
  <c r="BA705" s="1"/>
  <c r="BF705"/>
  <c r="BG705" s="1"/>
  <c r="AW705"/>
  <c r="AZ703" i="5"/>
  <c r="BE703"/>
  <c r="BG703" s="1"/>
  <c r="BI703"/>
  <c r="BJ703" s="1"/>
  <c r="BA704"/>
  <c r="BD703"/>
  <c r="BF703" s="1"/>
  <c r="BB703"/>
  <c r="BK703"/>
  <c r="BL703" s="1"/>
  <c r="BY728" i="6"/>
  <c r="BV727"/>
  <c r="BX727" s="1"/>
  <c r="BW727"/>
  <c r="BZ727"/>
  <c r="BZ728" l="1"/>
  <c r="BW728" s="1"/>
  <c r="BV728"/>
  <c r="BX728" s="1"/>
  <c r="BY729"/>
  <c r="BD704" i="5"/>
  <c r="BF704" s="1"/>
  <c r="BB704"/>
  <c r="BK704"/>
  <c r="BL704" s="1"/>
  <c r="AZ704"/>
  <c r="BA705"/>
  <c r="BI704"/>
  <c r="BJ704" s="1"/>
  <c r="BE704"/>
  <c r="BG704" s="1"/>
  <c r="AN458" i="6"/>
  <c r="AL693" i="12"/>
  <c r="AK693"/>
  <c r="AO693"/>
  <c r="AJ694"/>
  <c r="AN693"/>
  <c r="AY706" i="4"/>
  <c r="BA706" s="1"/>
  <c r="BF706"/>
  <c r="BG706" s="1"/>
  <c r="AZ706"/>
  <c r="BB706" s="1"/>
  <c r="AU706"/>
  <c r="AV707"/>
  <c r="AW706"/>
  <c r="BD706"/>
  <c r="BE706" s="1"/>
  <c r="AJ695" i="12" l="1"/>
  <c r="AL694"/>
  <c r="AK694"/>
  <c r="AN694"/>
  <c r="AO694"/>
  <c r="BK705" i="5"/>
  <c r="BL705" s="1"/>
  <c r="BA706"/>
  <c r="BB705"/>
  <c r="BE705"/>
  <c r="BG705" s="1"/>
  <c r="BD705"/>
  <c r="BF705" s="1"/>
  <c r="BI705"/>
  <c r="BJ705" s="1"/>
  <c r="AZ705"/>
  <c r="BF707" i="4"/>
  <c r="BG707" s="1"/>
  <c r="AW707"/>
  <c r="AY707"/>
  <c r="BA707" s="1"/>
  <c r="AZ707"/>
  <c r="BB707" s="1"/>
  <c r="AV708"/>
  <c r="BD707"/>
  <c r="BE707" s="1"/>
  <c r="AU707"/>
  <c r="BZ729" i="6"/>
  <c r="BY730"/>
  <c r="BV729"/>
  <c r="BX729" s="1"/>
  <c r="BW729"/>
  <c r="AM459"/>
  <c r="AK695" i="12" l="1"/>
  <c r="AO695"/>
  <c r="AN695"/>
  <c r="AL695"/>
  <c r="AJ696"/>
  <c r="BB706" i="5"/>
  <c r="BE706"/>
  <c r="BG706" s="1"/>
  <c r="BK706"/>
  <c r="BL706" s="1"/>
  <c r="BD706"/>
  <c r="BF706" s="1"/>
  <c r="BI706"/>
  <c r="BJ706" s="1"/>
  <c r="AZ706"/>
  <c r="BA707"/>
  <c r="BZ730" i="6"/>
  <c r="BW730" s="1"/>
  <c r="BY731"/>
  <c r="BV730"/>
  <c r="BX730" s="1"/>
  <c r="AW708" i="4"/>
  <c r="AU708"/>
  <c r="AZ708"/>
  <c r="BB708" s="1"/>
  <c r="BD708"/>
  <c r="BE708" s="1"/>
  <c r="AV709"/>
  <c r="AY708"/>
  <c r="BA708" s="1"/>
  <c r="BF708"/>
  <c r="BG708" s="1"/>
  <c r="AN459" i="6"/>
  <c r="AU709" i="4" l="1"/>
  <c r="AZ709"/>
  <c r="BB709" s="1"/>
  <c r="BD709"/>
  <c r="BE709" s="1"/>
  <c r="AV710"/>
  <c r="AY709"/>
  <c r="BA709" s="1"/>
  <c r="AW709"/>
  <c r="BF709"/>
  <c r="BG709" s="1"/>
  <c r="AK696" i="12"/>
  <c r="AJ697"/>
  <c r="AL696"/>
  <c r="AO696" s="1"/>
  <c r="AN696"/>
  <c r="BY732" i="6"/>
  <c r="BV731"/>
  <c r="BX731" s="1"/>
  <c r="BZ731"/>
  <c r="BW731" s="1"/>
  <c r="AM460"/>
  <c r="AZ707" i="5"/>
  <c r="BE707"/>
  <c r="BG707" s="1"/>
  <c r="BI707"/>
  <c r="BJ707" s="1"/>
  <c r="BA708"/>
  <c r="BB707"/>
  <c r="BD707"/>
  <c r="BF707" s="1"/>
  <c r="BK707"/>
  <c r="BL707" s="1"/>
  <c r="BD708" l="1"/>
  <c r="BF708" s="1"/>
  <c r="AZ708"/>
  <c r="BE708"/>
  <c r="BG708" s="1"/>
  <c r="BI708"/>
  <c r="BJ708" s="1"/>
  <c r="BB708"/>
  <c r="BK708"/>
  <c r="BL708" s="1"/>
  <c r="BA709"/>
  <c r="AN460" i="6"/>
  <c r="BY733"/>
  <c r="BV732"/>
  <c r="BX732" s="1"/>
  <c r="BZ732"/>
  <c r="BW732"/>
  <c r="AL697" i="12"/>
  <c r="AJ698"/>
  <c r="AO697"/>
  <c r="AK697"/>
  <c r="AN697"/>
  <c r="AY710" i="4"/>
  <c r="BA710" s="1"/>
  <c r="BF710"/>
  <c r="BG710" s="1"/>
  <c r="AW710"/>
  <c r="BD710"/>
  <c r="BE710" s="1"/>
  <c r="AV711"/>
  <c r="AU710"/>
  <c r="AZ710"/>
  <c r="BB710" s="1"/>
  <c r="BZ733" i="6" l="1"/>
  <c r="BW733" s="1"/>
  <c r="BY734"/>
  <c r="BV733"/>
  <c r="BX733" s="1"/>
  <c r="AJ699" i="12"/>
  <c r="AL698"/>
  <c r="AK698"/>
  <c r="AN698"/>
  <c r="AO698"/>
  <c r="BK709" i="5"/>
  <c r="BL709" s="1"/>
  <c r="BB709"/>
  <c r="AZ709"/>
  <c r="BE709"/>
  <c r="BG709" s="1"/>
  <c r="BD709"/>
  <c r="BF709" s="1"/>
  <c r="BI709"/>
  <c r="BJ709" s="1"/>
  <c r="BA710"/>
  <c r="BF711" i="4"/>
  <c r="BG711" s="1"/>
  <c r="AW711"/>
  <c r="AU711"/>
  <c r="BD711"/>
  <c r="BE711" s="1"/>
  <c r="AZ711"/>
  <c r="BB711" s="1"/>
  <c r="AY711"/>
  <c r="BA711" s="1"/>
  <c r="AV712"/>
  <c r="AM461" i="6"/>
  <c r="AW712" i="4" l="1"/>
  <c r="AU712"/>
  <c r="AZ712"/>
  <c r="BB712" s="1"/>
  <c r="BD712"/>
  <c r="BE712" s="1"/>
  <c r="AV713"/>
  <c r="BF712"/>
  <c r="BG712" s="1"/>
  <c r="AY712"/>
  <c r="BA712" s="1"/>
  <c r="BY735" i="6"/>
  <c r="BZ734"/>
  <c r="BW734" s="1"/>
  <c r="BV734"/>
  <c r="BX734" s="1"/>
  <c r="AN461"/>
  <c r="AJ700" i="12"/>
  <c r="AN699"/>
  <c r="AL699"/>
  <c r="AO699" s="1"/>
  <c r="AK699"/>
  <c r="BB710" i="5"/>
  <c r="BD710"/>
  <c r="BF710" s="1"/>
  <c r="BI710"/>
  <c r="BJ710" s="1"/>
  <c r="BA711"/>
  <c r="BK710"/>
  <c r="BL710" s="1"/>
  <c r="AZ710"/>
  <c r="BE710"/>
  <c r="BG710" s="1"/>
  <c r="AU713" i="4" l="1"/>
  <c r="AZ713"/>
  <c r="BB713" s="1"/>
  <c r="BD713"/>
  <c r="BE713" s="1"/>
  <c r="AV714"/>
  <c r="AY713"/>
  <c r="BA713" s="1"/>
  <c r="BF713"/>
  <c r="BG713" s="1"/>
  <c r="AW713"/>
  <c r="AZ711" i="5"/>
  <c r="BE711"/>
  <c r="BG711" s="1"/>
  <c r="BI711"/>
  <c r="BJ711" s="1"/>
  <c r="BA712"/>
  <c r="BB711"/>
  <c r="BK711"/>
  <c r="BL711" s="1"/>
  <c r="BD711"/>
  <c r="BF711" s="1"/>
  <c r="AK700" i="12"/>
  <c r="AL700"/>
  <c r="AJ701"/>
  <c r="AO700"/>
  <c r="AN700"/>
  <c r="AM462" i="6"/>
  <c r="BY736"/>
  <c r="BZ735"/>
  <c r="BV735"/>
  <c r="BX735" s="1"/>
  <c r="BW735"/>
  <c r="BY737" l="1"/>
  <c r="BZ736"/>
  <c r="BW736" s="1"/>
  <c r="BV736"/>
  <c r="BX736" s="1"/>
  <c r="BD712" i="5"/>
  <c r="BF712" s="1"/>
  <c r="BE712"/>
  <c r="BG712" s="1"/>
  <c r="BI712"/>
  <c r="BJ712" s="1"/>
  <c r="BA713"/>
  <c r="BB712"/>
  <c r="BK712"/>
  <c r="BL712" s="1"/>
  <c r="AZ712"/>
  <c r="AL701" i="12"/>
  <c r="AJ702"/>
  <c r="AK701"/>
  <c r="AO701"/>
  <c r="AN701"/>
  <c r="AN462" i="6"/>
  <c r="AY714" i="4"/>
  <c r="BA714" s="1"/>
  <c r="BF714"/>
  <c r="BG714" s="1"/>
  <c r="AZ714"/>
  <c r="BB714" s="1"/>
  <c r="AU714"/>
  <c r="AV715"/>
  <c r="BD714"/>
  <c r="BE714" s="1"/>
  <c r="AW714"/>
  <c r="BY738" i="6" l="1"/>
  <c r="BV737"/>
  <c r="BX737" s="1"/>
  <c r="BZ737"/>
  <c r="BW737" s="1"/>
  <c r="BF715" i="4"/>
  <c r="BG715" s="1"/>
  <c r="AW715"/>
  <c r="AY715"/>
  <c r="BA715" s="1"/>
  <c r="AZ715"/>
  <c r="BB715" s="1"/>
  <c r="AV716"/>
  <c r="BD715"/>
  <c r="BE715" s="1"/>
  <c r="AU715"/>
  <c r="AM463" i="6"/>
  <c r="AJ703" i="12"/>
  <c r="AK702"/>
  <c r="AL702"/>
  <c r="AO702" s="1"/>
  <c r="AN702"/>
  <c r="BK713" i="5"/>
  <c r="BL713" s="1"/>
  <c r="AZ713"/>
  <c r="BE713"/>
  <c r="BG713" s="1"/>
  <c r="BD713"/>
  <c r="BF713" s="1"/>
  <c r="BI713"/>
  <c r="BJ713" s="1"/>
  <c r="BA714"/>
  <c r="BB713"/>
  <c r="AW716" i="4" l="1"/>
  <c r="AU716"/>
  <c r="AZ716"/>
  <c r="BB716" s="1"/>
  <c r="BD716"/>
  <c r="BE716" s="1"/>
  <c r="AV717"/>
  <c r="BF716"/>
  <c r="BG716" s="1"/>
  <c r="AY716"/>
  <c r="BA716" s="1"/>
  <c r="AJ704" i="12"/>
  <c r="AL703"/>
  <c r="AO703" s="1"/>
  <c r="AN703"/>
  <c r="AK703"/>
  <c r="BY739" i="6"/>
  <c r="BZ738"/>
  <c r="BW738" s="1"/>
  <c r="BV738"/>
  <c r="BX738" s="1"/>
  <c r="BB714" i="5"/>
  <c r="BA715"/>
  <c r="AZ714"/>
  <c r="BI714"/>
  <c r="BJ714" s="1"/>
  <c r="BK714"/>
  <c r="BL714" s="1"/>
  <c r="BD714"/>
  <c r="BF714" s="1"/>
  <c r="BE714"/>
  <c r="BG714" s="1"/>
  <c r="AN463" i="6"/>
  <c r="BY740" l="1"/>
  <c r="BZ739"/>
  <c r="BW739" s="1"/>
  <c r="BV739"/>
  <c r="BX739" s="1"/>
  <c r="AU717" i="4"/>
  <c r="AZ717"/>
  <c r="BB717" s="1"/>
  <c r="BD717"/>
  <c r="BE717" s="1"/>
  <c r="AV718"/>
  <c r="AY717"/>
  <c r="BA717" s="1"/>
  <c r="AW717"/>
  <c r="BF717"/>
  <c r="BG717" s="1"/>
  <c r="AZ715" i="5"/>
  <c r="BE715"/>
  <c r="BG715" s="1"/>
  <c r="BI715"/>
  <c r="BJ715" s="1"/>
  <c r="BA716"/>
  <c r="BK715"/>
  <c r="BL715" s="1"/>
  <c r="BD715"/>
  <c r="BF715" s="1"/>
  <c r="BB715"/>
  <c r="AM464" i="6"/>
  <c r="AK704" i="12"/>
  <c r="AJ705"/>
  <c r="AL704"/>
  <c r="AN704"/>
  <c r="AO704"/>
  <c r="AL705" l="1"/>
  <c r="AO705" s="1"/>
  <c r="AJ706"/>
  <c r="AK705"/>
  <c r="AN705"/>
  <c r="BV740" i="6"/>
  <c r="BX740" s="1"/>
  <c r="BY741"/>
  <c r="BZ740"/>
  <c r="BW740"/>
  <c r="AN464"/>
  <c r="BD716" i="5"/>
  <c r="BF716" s="1"/>
  <c r="BA717"/>
  <c r="BB716"/>
  <c r="BK716"/>
  <c r="BL716" s="1"/>
  <c r="BI716"/>
  <c r="BJ716" s="1"/>
  <c r="AZ716"/>
  <c r="BE716"/>
  <c r="BG716" s="1"/>
  <c r="AY718" i="4"/>
  <c r="BA718" s="1"/>
  <c r="BF718"/>
  <c r="BG718" s="1"/>
  <c r="AW718"/>
  <c r="BD718"/>
  <c r="BE718" s="1"/>
  <c r="AU718"/>
  <c r="AZ718"/>
  <c r="BB718" s="1"/>
  <c r="AV719"/>
  <c r="BF719" l="1"/>
  <c r="BG719" s="1"/>
  <c r="AW719"/>
  <c r="AU719"/>
  <c r="BD719"/>
  <c r="BE719" s="1"/>
  <c r="AZ719"/>
  <c r="BB719" s="1"/>
  <c r="AY719"/>
  <c r="BA719" s="1"/>
  <c r="AV720"/>
  <c r="BK717" i="5"/>
  <c r="BL717" s="1"/>
  <c r="BD717"/>
  <c r="BF717" s="1"/>
  <c r="BI717"/>
  <c r="BJ717" s="1"/>
  <c r="BA718"/>
  <c r="BB717"/>
  <c r="BE717"/>
  <c r="BG717" s="1"/>
  <c r="AZ717"/>
  <c r="AM465" i="6"/>
  <c r="AJ707" i="12"/>
  <c r="AN706"/>
  <c r="AK706"/>
  <c r="AL706"/>
  <c r="AO706" s="1"/>
  <c r="BZ741" i="6"/>
  <c r="BV741"/>
  <c r="BX741" s="1"/>
  <c r="BY742"/>
  <c r="BW741"/>
  <c r="AL707" i="12" l="1"/>
  <c r="AO707" s="1"/>
  <c r="AK707"/>
  <c r="AJ708"/>
  <c r="AN707"/>
  <c r="AN465" i="6"/>
  <c r="BB718" i="5"/>
  <c r="AZ718"/>
  <c r="BE718"/>
  <c r="BG718" s="1"/>
  <c r="BK718"/>
  <c r="BL718" s="1"/>
  <c r="BD718"/>
  <c r="BF718" s="1"/>
  <c r="BA719"/>
  <c r="BI718"/>
  <c r="BJ718" s="1"/>
  <c r="AW720" i="4"/>
  <c r="AU720"/>
  <c r="AZ720"/>
  <c r="BB720" s="1"/>
  <c r="BD720"/>
  <c r="BE720" s="1"/>
  <c r="AV721"/>
  <c r="BF720"/>
  <c r="BG720" s="1"/>
  <c r="AY720"/>
  <c r="BA720" s="1"/>
  <c r="BY743" i="6"/>
  <c r="BZ742"/>
  <c r="BV742"/>
  <c r="BX742" s="1"/>
  <c r="BW742"/>
  <c r="AZ719" i="5" l="1"/>
  <c r="BE719"/>
  <c r="BG719" s="1"/>
  <c r="BI719"/>
  <c r="BJ719" s="1"/>
  <c r="BA720"/>
  <c r="BD719"/>
  <c r="BF719" s="1"/>
  <c r="BK719"/>
  <c r="BL719" s="1"/>
  <c r="BB719"/>
  <c r="BY744" i="6"/>
  <c r="BV743"/>
  <c r="BX743" s="1"/>
  <c r="BZ743"/>
  <c r="BW743" s="1"/>
  <c r="AM466"/>
  <c r="AU721" i="4"/>
  <c r="AZ721"/>
  <c r="BB721" s="1"/>
  <c r="BD721"/>
  <c r="BE721" s="1"/>
  <c r="AV722"/>
  <c r="AY721"/>
  <c r="BA721" s="1"/>
  <c r="BF721"/>
  <c r="BG721" s="1"/>
  <c r="AW721"/>
  <c r="AK708" i="12"/>
  <c r="AJ709"/>
  <c r="AL708"/>
  <c r="AN708"/>
  <c r="AO708"/>
  <c r="AY722" i="4" l="1"/>
  <c r="BA722" s="1"/>
  <c r="BF722"/>
  <c r="BG722" s="1"/>
  <c r="AZ722"/>
  <c r="BB722" s="1"/>
  <c r="AU722"/>
  <c r="AV723"/>
  <c r="AW722"/>
  <c r="BD722"/>
  <c r="BE722" s="1"/>
  <c r="AL709" i="12"/>
  <c r="AK709"/>
  <c r="AO709"/>
  <c r="AN709"/>
  <c r="AJ710"/>
  <c r="AN466" i="6"/>
  <c r="BZ744"/>
  <c r="BY745"/>
  <c r="BW744"/>
  <c r="BV744"/>
  <c r="BX744" s="1"/>
  <c r="BD720" i="5"/>
  <c r="BF720" s="1"/>
  <c r="BB720"/>
  <c r="BK720"/>
  <c r="BL720" s="1"/>
  <c r="AZ720"/>
  <c r="BE720"/>
  <c r="BG720" s="1"/>
  <c r="BA721"/>
  <c r="BI720"/>
  <c r="BJ720" s="1"/>
  <c r="AM467" i="6" l="1"/>
  <c r="BF723" i="4"/>
  <c r="BG723" s="1"/>
  <c r="AW723"/>
  <c r="AY723"/>
  <c r="BA723" s="1"/>
  <c r="AZ723"/>
  <c r="BB723" s="1"/>
  <c r="AV724"/>
  <c r="AU723"/>
  <c r="BD723"/>
  <c r="BE723" s="1"/>
  <c r="BK721" i="5"/>
  <c r="BL721" s="1"/>
  <c r="BA722"/>
  <c r="BB721"/>
  <c r="BI721"/>
  <c r="BJ721" s="1"/>
  <c r="AZ721"/>
  <c r="BD721"/>
  <c r="BF721" s="1"/>
  <c r="BE721"/>
  <c r="BG721" s="1"/>
  <c r="BY746" i="6"/>
  <c r="BV745"/>
  <c r="BX745" s="1"/>
  <c r="BZ745"/>
  <c r="BW745" s="1"/>
  <c r="AJ711" i="12"/>
  <c r="AL710"/>
  <c r="AN710"/>
  <c r="AK710"/>
  <c r="AO710"/>
  <c r="BY747" i="6" l="1"/>
  <c r="BZ746"/>
  <c r="BW746" s="1"/>
  <c r="BV746"/>
  <c r="BX746" s="1"/>
  <c r="AN467"/>
  <c r="BB722" i="5"/>
  <c r="BE722"/>
  <c r="BG722" s="1"/>
  <c r="BK722"/>
  <c r="BL722" s="1"/>
  <c r="BD722"/>
  <c r="BF722" s="1"/>
  <c r="BI722"/>
  <c r="BJ722" s="1"/>
  <c r="BA723"/>
  <c r="AZ722"/>
  <c r="AW724" i="4"/>
  <c r="AU724"/>
  <c r="AZ724"/>
  <c r="BB724" s="1"/>
  <c r="BD724"/>
  <c r="BE724" s="1"/>
  <c r="AV725"/>
  <c r="AY724"/>
  <c r="BA724" s="1"/>
  <c r="BF724"/>
  <c r="BG724" s="1"/>
  <c r="AK711" i="12"/>
  <c r="AJ712"/>
  <c r="AO711"/>
  <c r="AL711"/>
  <c r="AN711"/>
  <c r="AM468" i="6" l="1"/>
  <c r="BY748"/>
  <c r="BZ747"/>
  <c r="BW747" s="1"/>
  <c r="BV747"/>
  <c r="BX747" s="1"/>
  <c r="AK712" i="12"/>
  <c r="AJ713"/>
  <c r="AL712"/>
  <c r="AO712" s="1"/>
  <c r="AN712"/>
  <c r="AU725" i="4"/>
  <c r="AZ725"/>
  <c r="BB725" s="1"/>
  <c r="BD725"/>
  <c r="BE725" s="1"/>
  <c r="AV726"/>
  <c r="AY725"/>
  <c r="BA725" s="1"/>
  <c r="AW725"/>
  <c r="BF725"/>
  <c r="BG725" s="1"/>
  <c r="AZ723" i="5"/>
  <c r="BE723"/>
  <c r="BG723" s="1"/>
  <c r="BI723"/>
  <c r="BJ723" s="1"/>
  <c r="BA724"/>
  <c r="BB723"/>
  <c r="BD723"/>
  <c r="BF723" s="1"/>
  <c r="BK723"/>
  <c r="BL723" s="1"/>
  <c r="AN468" i="6" l="1"/>
  <c r="BD724" i="5"/>
  <c r="BF724" s="1"/>
  <c r="AZ724"/>
  <c r="BE724"/>
  <c r="BG724" s="1"/>
  <c r="BI724"/>
  <c r="BJ724" s="1"/>
  <c r="BA725"/>
  <c r="BB724"/>
  <c r="BK724"/>
  <c r="BL724" s="1"/>
  <c r="AY726" i="4"/>
  <c r="BA726" s="1"/>
  <c r="BF726"/>
  <c r="BG726" s="1"/>
  <c r="AW726"/>
  <c r="BD726"/>
  <c r="BE726" s="1"/>
  <c r="AV727"/>
  <c r="AU726"/>
  <c r="AZ726"/>
  <c r="BB726" s="1"/>
  <c r="BV748" i="6"/>
  <c r="BX748" s="1"/>
  <c r="BY749"/>
  <c r="BZ748"/>
  <c r="BW748" s="1"/>
  <c r="AL713" i="12"/>
  <c r="AO713" s="1"/>
  <c r="AN713"/>
  <c r="AJ714"/>
  <c r="AK713"/>
  <c r="AM469" i="6" l="1"/>
  <c r="BK725" i="5"/>
  <c r="BL725" s="1"/>
  <c r="BB725"/>
  <c r="AZ725"/>
  <c r="BE725"/>
  <c r="BG725" s="1"/>
  <c r="BA726"/>
  <c r="BI725"/>
  <c r="BJ725" s="1"/>
  <c r="BD725"/>
  <c r="BF725" s="1"/>
  <c r="BZ749" i="6"/>
  <c r="BW749" s="1"/>
  <c r="BV749"/>
  <c r="BX749" s="1"/>
  <c r="BY750"/>
  <c r="BF727" i="4"/>
  <c r="BG727" s="1"/>
  <c r="AW727"/>
  <c r="AU727"/>
  <c r="BD727"/>
  <c r="BE727" s="1"/>
  <c r="AY727"/>
  <c r="BA727" s="1"/>
  <c r="AV728"/>
  <c r="AZ727"/>
  <c r="BB727" s="1"/>
  <c r="AJ715" i="12"/>
  <c r="AL714"/>
  <c r="AK714"/>
  <c r="AN714"/>
  <c r="AO714"/>
  <c r="AN469" i="6" l="1"/>
  <c r="AJ716" i="12"/>
  <c r="AL715"/>
  <c r="AO715"/>
  <c r="AK715"/>
  <c r="AN715"/>
  <c r="AW728" i="4"/>
  <c r="AU728"/>
  <c r="AZ728"/>
  <c r="BB728" s="1"/>
  <c r="BD728"/>
  <c r="BE728" s="1"/>
  <c r="AV729"/>
  <c r="BF728"/>
  <c r="BG728" s="1"/>
  <c r="AY728"/>
  <c r="BA728" s="1"/>
  <c r="BB726" i="5"/>
  <c r="BD726"/>
  <c r="BF726" s="1"/>
  <c r="BI726"/>
  <c r="BJ726" s="1"/>
  <c r="BA727"/>
  <c r="BE726"/>
  <c r="BG726" s="1"/>
  <c r="BK726"/>
  <c r="BL726" s="1"/>
  <c r="AZ726"/>
  <c r="BY751" i="6"/>
  <c r="BZ750"/>
  <c r="BW750" s="1"/>
  <c r="BV750"/>
  <c r="BX750" s="1"/>
  <c r="AM470" l="1"/>
  <c r="BY752"/>
  <c r="BZ751"/>
  <c r="BW751" s="1"/>
  <c r="BV751"/>
  <c r="BX751" s="1"/>
  <c r="AZ727" i="5"/>
  <c r="BE727"/>
  <c r="BG727" s="1"/>
  <c r="BI727"/>
  <c r="BJ727" s="1"/>
  <c r="BA728"/>
  <c r="BB727"/>
  <c r="BK727"/>
  <c r="BL727" s="1"/>
  <c r="BD727"/>
  <c r="BF727" s="1"/>
  <c r="AK716" i="12"/>
  <c r="AL716"/>
  <c r="AJ717"/>
  <c r="AO716"/>
  <c r="AN716"/>
  <c r="AU729" i="4"/>
  <c r="AZ729"/>
  <c r="BB729" s="1"/>
  <c r="BD729"/>
  <c r="BE729" s="1"/>
  <c r="AV730"/>
  <c r="AY729"/>
  <c r="BA729" s="1"/>
  <c r="BF729"/>
  <c r="BG729" s="1"/>
  <c r="AW729"/>
  <c r="AN470" i="6" l="1"/>
  <c r="AY730" i="4"/>
  <c r="BA730" s="1"/>
  <c r="BF730"/>
  <c r="BG730" s="1"/>
  <c r="AZ730"/>
  <c r="BB730" s="1"/>
  <c r="AU730"/>
  <c r="AV731"/>
  <c r="BD730"/>
  <c r="BE730" s="1"/>
  <c r="AW730"/>
  <c r="BD728" i="5"/>
  <c r="BF728" s="1"/>
  <c r="BE728"/>
  <c r="BG728" s="1"/>
  <c r="BI728"/>
  <c r="BJ728" s="1"/>
  <c r="BA729"/>
  <c r="AZ728"/>
  <c r="BK728"/>
  <c r="BL728" s="1"/>
  <c r="BB728"/>
  <c r="BY753" i="6"/>
  <c r="BV752"/>
  <c r="BX752" s="1"/>
  <c r="BZ752"/>
  <c r="BW752" s="1"/>
  <c r="AL717" i="12"/>
  <c r="AO717" s="1"/>
  <c r="AJ718"/>
  <c r="AN717"/>
  <c r="AK717"/>
  <c r="AJ719" l="1"/>
  <c r="AK718"/>
  <c r="AL718"/>
  <c r="AN718"/>
  <c r="AO718"/>
  <c r="BF731" i="4"/>
  <c r="BG731" s="1"/>
  <c r="AW731"/>
  <c r="AY731"/>
  <c r="BA731" s="1"/>
  <c r="AZ731"/>
  <c r="BB731" s="1"/>
  <c r="AV732"/>
  <c r="BD731"/>
  <c r="BE731" s="1"/>
  <c r="AU731"/>
  <c r="BY754" i="6"/>
  <c r="BV753"/>
  <c r="BX753" s="1"/>
  <c r="BZ753"/>
  <c r="BW753" s="1"/>
  <c r="BK729" i="5"/>
  <c r="BL729" s="1"/>
  <c r="AZ729"/>
  <c r="BE729"/>
  <c r="BG729" s="1"/>
  <c r="BD729"/>
  <c r="BF729" s="1"/>
  <c r="BI729"/>
  <c r="BJ729" s="1"/>
  <c r="BB729"/>
  <c r="BA730"/>
  <c r="AM471" i="6"/>
  <c r="BY755" l="1"/>
  <c r="BZ754"/>
  <c r="BW754" s="1"/>
  <c r="BV754"/>
  <c r="BX754" s="1"/>
  <c r="AW732" i="4"/>
  <c r="AU732"/>
  <c r="AZ732"/>
  <c r="BB732" s="1"/>
  <c r="BD732"/>
  <c r="BE732" s="1"/>
  <c r="AV733"/>
  <c r="BF732"/>
  <c r="BG732" s="1"/>
  <c r="AY732"/>
  <c r="BA732" s="1"/>
  <c r="AJ720" i="12"/>
  <c r="AL719"/>
  <c r="AK719"/>
  <c r="AO719"/>
  <c r="AN719"/>
  <c r="BB730" i="5"/>
  <c r="BA731"/>
  <c r="AZ730"/>
  <c r="BE730"/>
  <c r="BG730" s="1"/>
  <c r="BD730"/>
  <c r="BF730" s="1"/>
  <c r="BK730"/>
  <c r="BL730" s="1"/>
  <c r="BI730"/>
  <c r="BJ730" s="1"/>
  <c r="AN471" i="6"/>
  <c r="AU733" i="4" l="1"/>
  <c r="AZ733"/>
  <c r="BB733" s="1"/>
  <c r="BD733"/>
  <c r="BE733" s="1"/>
  <c r="AV734"/>
  <c r="AY733"/>
  <c r="BA733" s="1"/>
  <c r="AW733"/>
  <c r="BF733"/>
  <c r="BG733" s="1"/>
  <c r="BY756" i="6"/>
  <c r="BV755"/>
  <c r="BX755" s="1"/>
  <c r="BZ755"/>
  <c r="BW755" s="1"/>
  <c r="AZ731" i="5"/>
  <c r="BE731"/>
  <c r="BG731" s="1"/>
  <c r="BI731"/>
  <c r="BJ731" s="1"/>
  <c r="BA732"/>
  <c r="BK731"/>
  <c r="BL731" s="1"/>
  <c r="BD731"/>
  <c r="BF731" s="1"/>
  <c r="BB731"/>
  <c r="AM472" i="6"/>
  <c r="AK720" i="12"/>
  <c r="AL720"/>
  <c r="AJ721"/>
  <c r="AN720"/>
  <c r="AO720"/>
  <c r="AL721" l="1"/>
  <c r="AO721" s="1"/>
  <c r="AJ722"/>
  <c r="AK721"/>
  <c r="AN721"/>
  <c r="AN472" i="6"/>
  <c r="BD732" i="5"/>
  <c r="BF732" s="1"/>
  <c r="BA733"/>
  <c r="BB732"/>
  <c r="BK732"/>
  <c r="BL732" s="1"/>
  <c r="BE732"/>
  <c r="BG732" s="1"/>
  <c r="AZ732"/>
  <c r="BI732"/>
  <c r="BJ732" s="1"/>
  <c r="BY757" i="6"/>
  <c r="BV756"/>
  <c r="BX756" s="1"/>
  <c r="BZ756"/>
  <c r="BW756" s="1"/>
  <c r="AY734" i="4"/>
  <c r="BA734" s="1"/>
  <c r="BF734"/>
  <c r="BG734" s="1"/>
  <c r="AW734"/>
  <c r="BD734"/>
  <c r="BE734" s="1"/>
  <c r="AZ734"/>
  <c r="BB734" s="1"/>
  <c r="AV735"/>
  <c r="AU734"/>
  <c r="BK733" i="5" l="1"/>
  <c r="BL733" s="1"/>
  <c r="BD733"/>
  <c r="BF733" s="1"/>
  <c r="BI733"/>
  <c r="BJ733" s="1"/>
  <c r="BA734"/>
  <c r="AZ733"/>
  <c r="BE733"/>
  <c r="BG733" s="1"/>
  <c r="BB733"/>
  <c r="AM473" i="6"/>
  <c r="AJ723" i="12"/>
  <c r="AL722"/>
  <c r="AK722"/>
  <c r="AN722"/>
  <c r="AO722"/>
  <c r="BZ757" i="6"/>
  <c r="BV757"/>
  <c r="BX757" s="1"/>
  <c r="BY758"/>
  <c r="BW757"/>
  <c r="BF735" i="4"/>
  <c r="BG735" s="1"/>
  <c r="AW735"/>
  <c r="AU735"/>
  <c r="BD735"/>
  <c r="BE735" s="1"/>
  <c r="AZ735"/>
  <c r="BB735" s="1"/>
  <c r="AV736"/>
  <c r="AY735"/>
  <c r="BA735" s="1"/>
  <c r="AL723" i="12" l="1"/>
  <c r="AK723"/>
  <c r="AO723"/>
  <c r="AN723"/>
  <c r="AJ724"/>
  <c r="BY759" i="6"/>
  <c r="BZ758"/>
  <c r="BW758" s="1"/>
  <c r="BV758"/>
  <c r="BX758" s="1"/>
  <c r="AW736" i="4"/>
  <c r="AU736"/>
  <c r="AZ736"/>
  <c r="BB736" s="1"/>
  <c r="BD736"/>
  <c r="BE736" s="1"/>
  <c r="AV737"/>
  <c r="BF736"/>
  <c r="BG736" s="1"/>
  <c r="AY736"/>
  <c r="BA736" s="1"/>
  <c r="AN473" i="6"/>
  <c r="BB734" i="5"/>
  <c r="AZ734"/>
  <c r="BE734"/>
  <c r="BG734" s="1"/>
  <c r="BK734"/>
  <c r="BL734" s="1"/>
  <c r="BA735"/>
  <c r="BI734"/>
  <c r="BJ734" s="1"/>
  <c r="BD734"/>
  <c r="BF734" s="1"/>
  <c r="AK724" i="12" l="1"/>
  <c r="AJ725"/>
  <c r="AL724"/>
  <c r="AN724"/>
  <c r="AO724"/>
  <c r="AM474" i="6"/>
  <c r="AU737" i="4"/>
  <c r="AZ737"/>
  <c r="BB737" s="1"/>
  <c r="BD737"/>
  <c r="BE737" s="1"/>
  <c r="AV738"/>
  <c r="AY737"/>
  <c r="BA737" s="1"/>
  <c r="BF737"/>
  <c r="BG737" s="1"/>
  <c r="AW737"/>
  <c r="BY760" i="6"/>
  <c r="BZ759"/>
  <c r="BW759" s="1"/>
  <c r="BV759"/>
  <c r="BX759" s="1"/>
  <c r="AZ735" i="5"/>
  <c r="BE735"/>
  <c r="BG735" s="1"/>
  <c r="BI735"/>
  <c r="BJ735" s="1"/>
  <c r="BA736"/>
  <c r="BD735"/>
  <c r="BF735" s="1"/>
  <c r="BK735"/>
  <c r="BL735" s="1"/>
  <c r="BB735"/>
  <c r="BD736" l="1"/>
  <c r="BF736" s="1"/>
  <c r="BB736"/>
  <c r="BK736"/>
  <c r="BL736" s="1"/>
  <c r="AZ736"/>
  <c r="BA737"/>
  <c r="BI736"/>
  <c r="BJ736" s="1"/>
  <c r="BE736"/>
  <c r="BG736" s="1"/>
  <c r="AN474" i="6"/>
  <c r="AL725" i="12"/>
  <c r="AK725"/>
  <c r="AO725"/>
  <c r="AJ726"/>
  <c r="AN725"/>
  <c r="BZ760" i="6"/>
  <c r="BW760" s="1"/>
  <c r="BY761"/>
  <c r="BV760"/>
  <c r="BX760" s="1"/>
  <c r="AY738" i="4"/>
  <c r="BA738" s="1"/>
  <c r="BF738"/>
  <c r="BG738" s="1"/>
  <c r="AZ738"/>
  <c r="BB738" s="1"/>
  <c r="AU738"/>
  <c r="AV739"/>
  <c r="AW738"/>
  <c r="BD738"/>
  <c r="BE738" s="1"/>
  <c r="AJ727" i="12" l="1"/>
  <c r="AL726"/>
  <c r="AK726"/>
  <c r="AN726"/>
  <c r="AO726"/>
  <c r="BK737" i="5"/>
  <c r="BL737" s="1"/>
  <c r="BA738"/>
  <c r="BB737"/>
  <c r="BE737"/>
  <c r="BG737" s="1"/>
  <c r="BD737"/>
  <c r="BF737" s="1"/>
  <c r="BI737"/>
  <c r="BJ737" s="1"/>
  <c r="AZ737"/>
  <c r="BF739" i="4"/>
  <c r="BG739" s="1"/>
  <c r="AW739"/>
  <c r="AY739"/>
  <c r="BA739" s="1"/>
  <c r="AZ739"/>
  <c r="BB739" s="1"/>
  <c r="AV740"/>
  <c r="AU739"/>
  <c r="BD739"/>
  <c r="BE739" s="1"/>
  <c r="BY762" i="6"/>
  <c r="BV761"/>
  <c r="BX761" s="1"/>
  <c r="BW761"/>
  <c r="BZ761"/>
  <c r="AM475"/>
  <c r="AK727" i="12" l="1"/>
  <c r="AN727"/>
  <c r="AJ728"/>
  <c r="AL727"/>
  <c r="AO727" s="1"/>
  <c r="BB738" i="5"/>
  <c r="BE738"/>
  <c r="BG738" s="1"/>
  <c r="BK738"/>
  <c r="BL738" s="1"/>
  <c r="BD738"/>
  <c r="BF738" s="1"/>
  <c r="BI738"/>
  <c r="BJ738" s="1"/>
  <c r="AZ738"/>
  <c r="BA739"/>
  <c r="AW740" i="4"/>
  <c r="AU740"/>
  <c r="AZ740"/>
  <c r="BB740" s="1"/>
  <c r="BD740"/>
  <c r="BE740" s="1"/>
  <c r="AV741"/>
  <c r="AY740"/>
  <c r="BA740" s="1"/>
  <c r="BF740"/>
  <c r="BG740" s="1"/>
  <c r="AN475" i="6"/>
  <c r="BY763"/>
  <c r="BZ762"/>
  <c r="BV762"/>
  <c r="BX762" s="1"/>
  <c r="BW762"/>
  <c r="BY764" l="1"/>
  <c r="BZ763"/>
  <c r="BW763" s="1"/>
  <c r="BV763"/>
  <c r="BX763" s="1"/>
  <c r="AU741" i="4"/>
  <c r="AZ741"/>
  <c r="BB741" s="1"/>
  <c r="BD741"/>
  <c r="BE741" s="1"/>
  <c r="AV742"/>
  <c r="AY741"/>
  <c r="BA741" s="1"/>
  <c r="AW741"/>
  <c r="BF741"/>
  <c r="BG741" s="1"/>
  <c r="AM476" i="6"/>
  <c r="AZ739" i="5"/>
  <c r="BE739"/>
  <c r="BG739" s="1"/>
  <c r="BI739"/>
  <c r="BJ739" s="1"/>
  <c r="BA740"/>
  <c r="BB739"/>
  <c r="BD739"/>
  <c r="BF739" s="1"/>
  <c r="BK739"/>
  <c r="BL739" s="1"/>
  <c r="AK728" i="12"/>
  <c r="AJ729"/>
  <c r="AL728"/>
  <c r="AO728" s="1"/>
  <c r="AN728"/>
  <c r="AL729" l="1"/>
  <c r="AO729" s="1"/>
  <c r="AJ730"/>
  <c r="AK729"/>
  <c r="AN729"/>
  <c r="BD740" i="5"/>
  <c r="BF740" s="1"/>
  <c r="AZ740"/>
  <c r="BE740"/>
  <c r="BG740" s="1"/>
  <c r="BI740"/>
  <c r="BJ740" s="1"/>
  <c r="BB740"/>
  <c r="BK740"/>
  <c r="BL740" s="1"/>
  <c r="BA741"/>
  <c r="BY765" i="6"/>
  <c r="BZ764"/>
  <c r="BW764"/>
  <c r="BV764"/>
  <c r="BX764" s="1"/>
  <c r="AN476"/>
  <c r="AY742" i="4"/>
  <c r="BA742" s="1"/>
  <c r="BF742"/>
  <c r="BG742" s="1"/>
  <c r="AW742"/>
  <c r="BD742"/>
  <c r="BE742" s="1"/>
  <c r="AZ742"/>
  <c r="BB742" s="1"/>
  <c r="AU742"/>
  <c r="AV743"/>
  <c r="AJ731" i="12" l="1"/>
  <c r="AL730"/>
  <c r="AK730"/>
  <c r="AN730"/>
  <c r="AO730"/>
  <c r="AM477" i="6"/>
  <c r="BZ765"/>
  <c r="BV765"/>
  <c r="BX765" s="1"/>
  <c r="BW765"/>
  <c r="BY766"/>
  <c r="BF743" i="4"/>
  <c r="BG743" s="1"/>
  <c r="AW743"/>
  <c r="AU743"/>
  <c r="BD743"/>
  <c r="BE743" s="1"/>
  <c r="AY743"/>
  <c r="BA743" s="1"/>
  <c r="AV744"/>
  <c r="AZ743"/>
  <c r="BB743" s="1"/>
  <c r="BK741" i="5"/>
  <c r="BL741" s="1"/>
  <c r="BB741"/>
  <c r="AZ741"/>
  <c r="BE741"/>
  <c r="BG741" s="1"/>
  <c r="BD741"/>
  <c r="BF741" s="1"/>
  <c r="BI741"/>
  <c r="BJ741" s="1"/>
  <c r="BA742"/>
  <c r="BB742" l="1"/>
  <c r="BD742"/>
  <c r="BF742" s="1"/>
  <c r="BI742"/>
  <c r="BJ742" s="1"/>
  <c r="BA743"/>
  <c r="BK742"/>
  <c r="BL742" s="1"/>
  <c r="AZ742"/>
  <c r="BE742"/>
  <c r="BG742" s="1"/>
  <c r="BY767" i="6"/>
  <c r="BZ766"/>
  <c r="BW766" s="1"/>
  <c r="BV766"/>
  <c r="BX766" s="1"/>
  <c r="AN477"/>
  <c r="AW744" i="4"/>
  <c r="AU744"/>
  <c r="AZ744"/>
  <c r="BB744" s="1"/>
  <c r="BD744"/>
  <c r="BE744" s="1"/>
  <c r="AV745"/>
  <c r="BF744"/>
  <c r="BG744" s="1"/>
  <c r="AY744"/>
  <c r="BA744" s="1"/>
  <c r="AJ732" i="12"/>
  <c r="AN731"/>
  <c r="AK731"/>
  <c r="AL731"/>
  <c r="AO731" s="1"/>
  <c r="AK732" l="1"/>
  <c r="AL732"/>
  <c r="AJ733"/>
  <c r="AN732"/>
  <c r="AO732"/>
  <c r="AU745" i="4"/>
  <c r="AZ745"/>
  <c r="BB745" s="1"/>
  <c r="BD745"/>
  <c r="BE745" s="1"/>
  <c r="AV746"/>
  <c r="AY745"/>
  <c r="BA745" s="1"/>
  <c r="BF745"/>
  <c r="BG745" s="1"/>
  <c r="AW745"/>
  <c r="AM478" i="6"/>
  <c r="BY768"/>
  <c r="BZ767"/>
  <c r="BW767"/>
  <c r="BV767"/>
  <c r="BX767" s="1"/>
  <c r="AZ743" i="5"/>
  <c r="BE743"/>
  <c r="BG743" s="1"/>
  <c r="BI743"/>
  <c r="BJ743" s="1"/>
  <c r="BA744"/>
  <c r="BB743"/>
  <c r="BK743"/>
  <c r="BL743" s="1"/>
  <c r="BD743"/>
  <c r="BF743" s="1"/>
  <c r="AN478" i="6" l="1"/>
  <c r="AY746" i="4"/>
  <c r="BA746" s="1"/>
  <c r="BF746"/>
  <c r="BG746" s="1"/>
  <c r="AZ746"/>
  <c r="BB746" s="1"/>
  <c r="AU746"/>
  <c r="AV747"/>
  <c r="BD746"/>
  <c r="BE746" s="1"/>
  <c r="AW746"/>
  <c r="BD744" i="5"/>
  <c r="BF744" s="1"/>
  <c r="BE744"/>
  <c r="BG744" s="1"/>
  <c r="BI744"/>
  <c r="BJ744" s="1"/>
  <c r="BA745"/>
  <c r="BB744"/>
  <c r="AZ744"/>
  <c r="BK744"/>
  <c r="BL744" s="1"/>
  <c r="BY769" i="6"/>
  <c r="BZ768"/>
  <c r="BW768" s="1"/>
  <c r="BV768"/>
  <c r="BX768" s="1"/>
  <c r="AL733" i="12"/>
  <c r="AO733" s="1"/>
  <c r="AJ734"/>
  <c r="AK733"/>
  <c r="AN733"/>
  <c r="AM479" i="6" l="1"/>
  <c r="AJ735" i="12"/>
  <c r="AK734"/>
  <c r="AN734"/>
  <c r="AL734"/>
  <c r="AO734"/>
  <c r="BF747" i="4"/>
  <c r="BG747" s="1"/>
  <c r="AW747"/>
  <c r="AY747"/>
  <c r="BA747" s="1"/>
  <c r="AZ747"/>
  <c r="BB747" s="1"/>
  <c r="AV748"/>
  <c r="BD747"/>
  <c r="BE747" s="1"/>
  <c r="AU747"/>
  <c r="BY770" i="6"/>
  <c r="BV769"/>
  <c r="BX769" s="1"/>
  <c r="BW769"/>
  <c r="BZ769"/>
  <c r="BK745" i="5"/>
  <c r="BL745" s="1"/>
  <c r="AZ745"/>
  <c r="BE745"/>
  <c r="BG745" s="1"/>
  <c r="BD745"/>
  <c r="BF745" s="1"/>
  <c r="BI745"/>
  <c r="BJ745" s="1"/>
  <c r="BA746"/>
  <c r="BB745"/>
  <c r="AN479" i="6" l="1"/>
  <c r="AJ736" i="12"/>
  <c r="AL735"/>
  <c r="AO735"/>
  <c r="AN735"/>
  <c r="AK735"/>
  <c r="BY771" i="6"/>
  <c r="BZ770"/>
  <c r="BW770" s="1"/>
  <c r="BV770"/>
  <c r="BX770" s="1"/>
  <c r="BB746" i="5"/>
  <c r="BA747"/>
  <c r="AZ746"/>
  <c r="BI746"/>
  <c r="BJ746" s="1"/>
  <c r="BE746"/>
  <c r="BG746" s="1"/>
  <c r="BD746"/>
  <c r="BF746" s="1"/>
  <c r="BK746"/>
  <c r="BL746" s="1"/>
  <c r="AW748" i="4"/>
  <c r="AU748"/>
  <c r="AZ748"/>
  <c r="BB748" s="1"/>
  <c r="BD748"/>
  <c r="BE748" s="1"/>
  <c r="AV749"/>
  <c r="BF748"/>
  <c r="BG748" s="1"/>
  <c r="AY748"/>
  <c r="BA748" s="1"/>
  <c r="AZ747" i="5" l="1"/>
  <c r="BE747"/>
  <c r="BG747" s="1"/>
  <c r="BI747"/>
  <c r="BJ747" s="1"/>
  <c r="BA748"/>
  <c r="BK747"/>
  <c r="BL747" s="1"/>
  <c r="BD747"/>
  <c r="BF747" s="1"/>
  <c r="BB747"/>
  <c r="AM480" i="6"/>
  <c r="AU749" i="4"/>
  <c r="AZ749"/>
  <c r="BB749" s="1"/>
  <c r="BD749"/>
  <c r="BE749" s="1"/>
  <c r="AV750"/>
  <c r="AY749"/>
  <c r="BA749" s="1"/>
  <c r="AW749"/>
  <c r="BF749"/>
  <c r="BG749" s="1"/>
  <c r="AK736" i="12"/>
  <c r="AJ737"/>
  <c r="AL736"/>
  <c r="AN736"/>
  <c r="AO736"/>
  <c r="BY772" i="6"/>
  <c r="BZ771"/>
  <c r="BV771"/>
  <c r="BX771" s="1"/>
  <c r="BW771"/>
  <c r="AL737" i="12" l="1"/>
  <c r="AO737" s="1"/>
  <c r="AJ738"/>
  <c r="AK737"/>
  <c r="AN737"/>
  <c r="AY750" i="4"/>
  <c r="BA750" s="1"/>
  <c r="BF750"/>
  <c r="BG750" s="1"/>
  <c r="AW750"/>
  <c r="BD750"/>
  <c r="BE750" s="1"/>
  <c r="AZ750"/>
  <c r="BB750" s="1"/>
  <c r="AV751"/>
  <c r="AU750"/>
  <c r="BY773" i="6"/>
  <c r="BV772"/>
  <c r="BX772" s="1"/>
  <c r="BZ772"/>
  <c r="BW772" s="1"/>
  <c r="AN480"/>
  <c r="BD748" i="5"/>
  <c r="BF748" s="1"/>
  <c r="BA749"/>
  <c r="BB748"/>
  <c r="BK748"/>
  <c r="BL748" s="1"/>
  <c r="BI748"/>
  <c r="BJ748" s="1"/>
  <c r="AZ748"/>
  <c r="BE748"/>
  <c r="BG748" s="1"/>
  <c r="AJ739" i="12" l="1"/>
  <c r="AK738"/>
  <c r="AL738"/>
  <c r="AN738"/>
  <c r="AO738"/>
  <c r="AM481" i="6"/>
  <c r="BZ773"/>
  <c r="BW773" s="1"/>
  <c r="BY774"/>
  <c r="BV773"/>
  <c r="BX773" s="1"/>
  <c r="BF751" i="4"/>
  <c r="BG751" s="1"/>
  <c r="AW751"/>
  <c r="AU751"/>
  <c r="BD751"/>
  <c r="BE751" s="1"/>
  <c r="AZ751"/>
  <c r="BB751" s="1"/>
  <c r="AY751"/>
  <c r="BA751" s="1"/>
  <c r="AV752"/>
  <c r="BK749" i="5"/>
  <c r="BL749" s="1"/>
  <c r="BD749"/>
  <c r="BF749" s="1"/>
  <c r="BI749"/>
  <c r="BJ749" s="1"/>
  <c r="BA750"/>
  <c r="BB749"/>
  <c r="AZ749"/>
  <c r="BE749"/>
  <c r="BG749" s="1"/>
  <c r="BY775" i="6" l="1"/>
  <c r="BZ774"/>
  <c r="BW774" s="1"/>
  <c r="BV774"/>
  <c r="BX774" s="1"/>
  <c r="AL739" i="12"/>
  <c r="AO739" s="1"/>
  <c r="AK739"/>
  <c r="AJ740"/>
  <c r="AN739"/>
  <c r="BB750" i="5"/>
  <c r="AZ750"/>
  <c r="BE750"/>
  <c r="BG750" s="1"/>
  <c r="BK750"/>
  <c r="BL750" s="1"/>
  <c r="BD750"/>
  <c r="BF750" s="1"/>
  <c r="BI750"/>
  <c r="BJ750" s="1"/>
  <c r="BA751"/>
  <c r="AW752" i="4"/>
  <c r="AU752"/>
  <c r="AZ752"/>
  <c r="BB752" s="1"/>
  <c r="BD752"/>
  <c r="BE752" s="1"/>
  <c r="AV753"/>
  <c r="BF752"/>
  <c r="BG752" s="1"/>
  <c r="AY752"/>
  <c r="BA752" s="1"/>
  <c r="AN481" i="6"/>
  <c r="AU753" i="4" l="1"/>
  <c r="AZ753"/>
  <c r="BB753" s="1"/>
  <c r="BD753"/>
  <c r="BE753" s="1"/>
  <c r="AV754"/>
  <c r="AY753"/>
  <c r="BA753" s="1"/>
  <c r="BF753"/>
  <c r="BG753" s="1"/>
  <c r="AW753"/>
  <c r="BY776" i="6"/>
  <c r="BZ775"/>
  <c r="BW775" s="1"/>
  <c r="BV775"/>
  <c r="BX775" s="1"/>
  <c r="AM482"/>
  <c r="AZ751" i="5"/>
  <c r="BE751"/>
  <c r="BG751" s="1"/>
  <c r="BI751"/>
  <c r="BJ751" s="1"/>
  <c r="BA752"/>
  <c r="BD751"/>
  <c r="BF751" s="1"/>
  <c r="BK751"/>
  <c r="BL751" s="1"/>
  <c r="BB751"/>
  <c r="AK740" i="12"/>
  <c r="AJ741"/>
  <c r="AL740"/>
  <c r="AN740"/>
  <c r="AO740"/>
  <c r="BD752" i="5" l="1"/>
  <c r="BF752" s="1"/>
  <c r="BB752"/>
  <c r="BK752"/>
  <c r="BL752" s="1"/>
  <c r="AZ752"/>
  <c r="BE752"/>
  <c r="BG752" s="1"/>
  <c r="BI752"/>
  <c r="BJ752" s="1"/>
  <c r="BA753"/>
  <c r="AL741" i="12"/>
  <c r="AK741"/>
  <c r="AO741"/>
  <c r="AN741"/>
  <c r="AJ742"/>
  <c r="AN482" i="6"/>
  <c r="BV776"/>
  <c r="BX776" s="1"/>
  <c r="BZ776"/>
  <c r="BW776"/>
  <c r="BY777"/>
  <c r="AY754" i="4"/>
  <c r="BA754" s="1"/>
  <c r="BF754"/>
  <c r="BG754" s="1"/>
  <c r="AZ754"/>
  <c r="BB754" s="1"/>
  <c r="AU754"/>
  <c r="AV755"/>
  <c r="BD754"/>
  <c r="BE754" s="1"/>
  <c r="AW754"/>
  <c r="BK753" i="5" l="1"/>
  <c r="BL753" s="1"/>
  <c r="BA754"/>
  <c r="BB753"/>
  <c r="BI753"/>
  <c r="BJ753" s="1"/>
  <c r="AZ753"/>
  <c r="BD753"/>
  <c r="BF753" s="1"/>
  <c r="BE753"/>
  <c r="BG753" s="1"/>
  <c r="AM483" i="6"/>
  <c r="BY778"/>
  <c r="BV777"/>
  <c r="BX777" s="1"/>
  <c r="BZ777"/>
  <c r="BW777" s="1"/>
  <c r="BF755" i="4"/>
  <c r="BG755" s="1"/>
  <c r="AW755"/>
  <c r="AY755"/>
  <c r="BA755" s="1"/>
  <c r="AZ755"/>
  <c r="BB755" s="1"/>
  <c r="AV756"/>
  <c r="AU755"/>
  <c r="BD755"/>
  <c r="BE755" s="1"/>
  <c r="AJ743" i="12"/>
  <c r="AL742"/>
  <c r="AK742"/>
  <c r="AN742"/>
  <c r="AO742"/>
  <c r="AK743" l="1"/>
  <c r="AJ744"/>
  <c r="AO743"/>
  <c r="AL743"/>
  <c r="AN743"/>
  <c r="AW756" i="4"/>
  <c r="AU756"/>
  <c r="AZ756"/>
  <c r="BB756" s="1"/>
  <c r="BD756"/>
  <c r="BE756" s="1"/>
  <c r="AV757"/>
  <c r="AY756"/>
  <c r="BA756" s="1"/>
  <c r="BF756"/>
  <c r="BG756" s="1"/>
  <c r="BY779" i="6"/>
  <c r="BZ778"/>
  <c r="BW778" s="1"/>
  <c r="BV778"/>
  <c r="BX778" s="1"/>
  <c r="BB754" i="5"/>
  <c r="BE754"/>
  <c r="BG754" s="1"/>
  <c r="BK754"/>
  <c r="BL754" s="1"/>
  <c r="BD754"/>
  <c r="BF754" s="1"/>
  <c r="BI754"/>
  <c r="BJ754" s="1"/>
  <c r="BA755"/>
  <c r="AZ754"/>
  <c r="AN483" i="6"/>
  <c r="BY780" l="1"/>
  <c r="BZ779"/>
  <c r="BW779" s="1"/>
  <c r="BV779"/>
  <c r="BX779" s="1"/>
  <c r="AU757" i="4"/>
  <c r="AZ757"/>
  <c r="BB757" s="1"/>
  <c r="BD757"/>
  <c r="BE757" s="1"/>
  <c r="AV758"/>
  <c r="AY757"/>
  <c r="BA757" s="1"/>
  <c r="AW757"/>
  <c r="BF757"/>
  <c r="BG757" s="1"/>
  <c r="AZ755" i="5"/>
  <c r="BE755"/>
  <c r="BG755" s="1"/>
  <c r="BI755"/>
  <c r="BJ755" s="1"/>
  <c r="BA756"/>
  <c r="BB755"/>
  <c r="BK755"/>
  <c r="BL755" s="1"/>
  <c r="BD755"/>
  <c r="BF755" s="1"/>
  <c r="AK744" i="12"/>
  <c r="AJ745"/>
  <c r="AL744"/>
  <c r="AO744" s="1"/>
  <c r="AN744"/>
  <c r="AM484" i="6"/>
  <c r="BY781" l="1"/>
  <c r="BV780"/>
  <c r="BX780" s="1"/>
  <c r="BZ780"/>
  <c r="BW780" s="1"/>
  <c r="BD756" i="5"/>
  <c r="BF756" s="1"/>
  <c r="AZ756"/>
  <c r="BE756"/>
  <c r="BG756" s="1"/>
  <c r="BI756"/>
  <c r="BJ756" s="1"/>
  <c r="BA757"/>
  <c r="BK756"/>
  <c r="BL756" s="1"/>
  <c r="BB756"/>
  <c r="AN484" i="6"/>
  <c r="AL745" i="12"/>
  <c r="AO745"/>
  <c r="AN745"/>
  <c r="AK745"/>
  <c r="AJ746"/>
  <c r="AY758" i="4"/>
  <c r="BA758" s="1"/>
  <c r="BF758"/>
  <c r="BG758" s="1"/>
  <c r="AW758"/>
  <c r="BD758"/>
  <c r="BE758" s="1"/>
  <c r="AV759"/>
  <c r="AU758"/>
  <c r="AZ758"/>
  <c r="BB758" s="1"/>
  <c r="BZ781" i="6" l="1"/>
  <c r="BW781" s="1"/>
  <c r="BV781"/>
  <c r="BX781" s="1"/>
  <c r="BY782"/>
  <c r="AJ747" i="12"/>
  <c r="AL746"/>
  <c r="AK746"/>
  <c r="AN746"/>
  <c r="AO746"/>
  <c r="BK757" i="5"/>
  <c r="BL757" s="1"/>
  <c r="BB757"/>
  <c r="AZ757"/>
  <c r="BE757"/>
  <c r="BG757" s="1"/>
  <c r="BA758"/>
  <c r="BI757"/>
  <c r="BJ757" s="1"/>
  <c r="BD757"/>
  <c r="BF757" s="1"/>
  <c r="BF759" i="4"/>
  <c r="BG759" s="1"/>
  <c r="AW759"/>
  <c r="AU759"/>
  <c r="BD759"/>
  <c r="BE759" s="1"/>
  <c r="AY759"/>
  <c r="BA759" s="1"/>
  <c r="AV760"/>
  <c r="AZ759"/>
  <c r="BB759" s="1"/>
  <c r="AM485" i="6"/>
  <c r="AJ748" i="12" l="1"/>
  <c r="AL747"/>
  <c r="AO747"/>
  <c r="AK747"/>
  <c r="AN747"/>
  <c r="AW760" i="4"/>
  <c r="AU760"/>
  <c r="AZ760"/>
  <c r="BB760" s="1"/>
  <c r="BD760"/>
  <c r="BE760" s="1"/>
  <c r="AV761"/>
  <c r="BF760"/>
  <c r="BG760" s="1"/>
  <c r="AY760"/>
  <c r="BA760" s="1"/>
  <c r="BB758" i="5"/>
  <c r="BD758"/>
  <c r="BF758" s="1"/>
  <c r="BI758"/>
  <c r="BJ758" s="1"/>
  <c r="BA759"/>
  <c r="BE758"/>
  <c r="BG758" s="1"/>
  <c r="AZ758"/>
  <c r="BK758"/>
  <c r="BL758" s="1"/>
  <c r="AN485" i="6"/>
  <c r="BY783"/>
  <c r="BZ782"/>
  <c r="BV782"/>
  <c r="BX782" s="1"/>
  <c r="BW782"/>
  <c r="AK748" i="12" l="1"/>
  <c r="AL748"/>
  <c r="AJ749"/>
  <c r="AN748"/>
  <c r="AO748"/>
  <c r="BY784" i="6"/>
  <c r="BZ783"/>
  <c r="BV783"/>
  <c r="BX783" s="1"/>
  <c r="BW783"/>
  <c r="AU761" i="4"/>
  <c r="AZ761"/>
  <c r="BB761" s="1"/>
  <c r="BD761"/>
  <c r="BE761" s="1"/>
  <c r="AV762"/>
  <c r="AY761"/>
  <c r="BA761" s="1"/>
  <c r="BF761"/>
  <c r="BG761" s="1"/>
  <c r="AW761"/>
  <c r="AM486" i="6"/>
  <c r="AZ759" i="5"/>
  <c r="BE759"/>
  <c r="BG759" s="1"/>
  <c r="BI759"/>
  <c r="BJ759" s="1"/>
  <c r="BA760"/>
  <c r="BB759"/>
  <c r="BK759"/>
  <c r="BL759" s="1"/>
  <c r="BD759"/>
  <c r="BF759" s="1"/>
  <c r="AN486" i="6" l="1"/>
  <c r="AY762" i="4"/>
  <c r="BA762" s="1"/>
  <c r="BF762"/>
  <c r="BG762" s="1"/>
  <c r="AZ762"/>
  <c r="BB762" s="1"/>
  <c r="AU762"/>
  <c r="AV763"/>
  <c r="BD762"/>
  <c r="BE762" s="1"/>
  <c r="AW762"/>
  <c r="BD760" i="5"/>
  <c r="BF760" s="1"/>
  <c r="BE760"/>
  <c r="BG760" s="1"/>
  <c r="BI760"/>
  <c r="BJ760" s="1"/>
  <c r="BA761"/>
  <c r="AZ760"/>
  <c r="BK760"/>
  <c r="BL760" s="1"/>
  <c r="BB760"/>
  <c r="BV784" i="6"/>
  <c r="BX784" s="1"/>
  <c r="BY785"/>
  <c r="BZ784"/>
  <c r="BW784" s="1"/>
  <c r="AL749" i="12"/>
  <c r="AO749" s="1"/>
  <c r="AJ750"/>
  <c r="AN749"/>
  <c r="AK749"/>
  <c r="AM487" i="6" l="1"/>
  <c r="AJ751" i="12"/>
  <c r="AK750"/>
  <c r="AL750"/>
  <c r="AO750" s="1"/>
  <c r="AN750"/>
  <c r="BY786" i="6"/>
  <c r="BV785"/>
  <c r="BX785" s="1"/>
  <c r="BW785"/>
  <c r="BZ785"/>
  <c r="BF763" i="4"/>
  <c r="BG763" s="1"/>
  <c r="AW763"/>
  <c r="AY763"/>
  <c r="BA763" s="1"/>
  <c r="AZ763"/>
  <c r="BB763" s="1"/>
  <c r="AV764"/>
  <c r="BD763"/>
  <c r="BE763" s="1"/>
  <c r="AU763"/>
  <c r="BK761" i="5"/>
  <c r="BL761" s="1"/>
  <c r="AZ761"/>
  <c r="BE761"/>
  <c r="BG761" s="1"/>
  <c r="BD761"/>
  <c r="BF761" s="1"/>
  <c r="BI761"/>
  <c r="BJ761" s="1"/>
  <c r="BB761"/>
  <c r="BA762"/>
  <c r="AN487" i="6" l="1"/>
  <c r="AJ752" i="12"/>
  <c r="AL751"/>
  <c r="AK751"/>
  <c r="AO751"/>
  <c r="AN751"/>
  <c r="BB762" i="5"/>
  <c r="BA763"/>
  <c r="AZ762"/>
  <c r="BE762"/>
  <c r="BG762" s="1"/>
  <c r="BD762"/>
  <c r="BF762" s="1"/>
  <c r="BK762"/>
  <c r="BL762" s="1"/>
  <c r="BI762"/>
  <c r="BJ762" s="1"/>
  <c r="AW764" i="4"/>
  <c r="AU764"/>
  <c r="AZ764"/>
  <c r="BB764" s="1"/>
  <c r="BD764"/>
  <c r="BE764" s="1"/>
  <c r="AV765"/>
  <c r="BF764"/>
  <c r="BG764" s="1"/>
  <c r="AY764"/>
  <c r="BA764" s="1"/>
  <c r="BY787" i="6"/>
  <c r="BZ786"/>
  <c r="BV786"/>
  <c r="BX786" s="1"/>
  <c r="BW786"/>
  <c r="AZ763" i="5" l="1"/>
  <c r="BE763"/>
  <c r="BG763" s="1"/>
  <c r="BI763"/>
  <c r="BJ763" s="1"/>
  <c r="BA764"/>
  <c r="BK763"/>
  <c r="BL763" s="1"/>
  <c r="BD763"/>
  <c r="BF763" s="1"/>
  <c r="BB763"/>
  <c r="AM488" i="6"/>
  <c r="BY788"/>
  <c r="BZ787"/>
  <c r="BV787"/>
  <c r="BX787" s="1"/>
  <c r="BW787"/>
  <c r="AU765" i="4"/>
  <c r="AZ765"/>
  <c r="BB765" s="1"/>
  <c r="BD765"/>
  <c r="BE765" s="1"/>
  <c r="AV766"/>
  <c r="AY765"/>
  <c r="BA765" s="1"/>
  <c r="AW765"/>
  <c r="BF765"/>
  <c r="BG765" s="1"/>
  <c r="AK752" i="12"/>
  <c r="AL752"/>
  <c r="AJ753"/>
  <c r="AN752"/>
  <c r="AO752"/>
  <c r="BY789" i="6" l="1"/>
  <c r="BV788"/>
  <c r="BX788" s="1"/>
  <c r="BZ788"/>
  <c r="BW788" s="1"/>
  <c r="AY766" i="4"/>
  <c r="BA766" s="1"/>
  <c r="BF766"/>
  <c r="BG766" s="1"/>
  <c r="AW766"/>
  <c r="BD766"/>
  <c r="BE766" s="1"/>
  <c r="AZ766"/>
  <c r="BB766" s="1"/>
  <c r="AV767"/>
  <c r="AU766"/>
  <c r="AL753" i="12"/>
  <c r="AJ754"/>
  <c r="AK753"/>
  <c r="AO753"/>
  <c r="AN753"/>
  <c r="AN488" i="6"/>
  <c r="BD764" i="5"/>
  <c r="BF764" s="1"/>
  <c r="BA765"/>
  <c r="BB764"/>
  <c r="BK764"/>
  <c r="BL764" s="1"/>
  <c r="BE764"/>
  <c r="BG764" s="1"/>
  <c r="BI764"/>
  <c r="BJ764" s="1"/>
  <c r="AZ764"/>
  <c r="BF767" i="4" l="1"/>
  <c r="BG767" s="1"/>
  <c r="AW767"/>
  <c r="AU767"/>
  <c r="BD767"/>
  <c r="BE767" s="1"/>
  <c r="AZ767"/>
  <c r="BB767" s="1"/>
  <c r="AV768"/>
  <c r="AY767"/>
  <c r="BA767" s="1"/>
  <c r="AM489" i="6"/>
  <c r="BZ789"/>
  <c r="BW789" s="1"/>
  <c r="BY790"/>
  <c r="BV789"/>
  <c r="BX789" s="1"/>
  <c r="AJ755" i="12"/>
  <c r="AL754"/>
  <c r="AK754"/>
  <c r="AN754"/>
  <c r="AO754"/>
  <c r="BK765" i="5"/>
  <c r="BL765" s="1"/>
  <c r="BD765"/>
  <c r="BF765" s="1"/>
  <c r="BI765"/>
  <c r="BJ765" s="1"/>
  <c r="BA766"/>
  <c r="AZ765"/>
  <c r="BE765"/>
  <c r="BG765" s="1"/>
  <c r="BB765"/>
  <c r="BB766" l="1"/>
  <c r="AZ766"/>
  <c r="BE766"/>
  <c r="BG766" s="1"/>
  <c r="BK766"/>
  <c r="BL766" s="1"/>
  <c r="BA767"/>
  <c r="BI766"/>
  <c r="BJ766" s="1"/>
  <c r="BD766"/>
  <c r="BF766" s="1"/>
  <c r="AL755" i="12"/>
  <c r="AK755"/>
  <c r="AO755"/>
  <c r="AN755"/>
  <c r="AJ756"/>
  <c r="AW768" i="4"/>
  <c r="AU768"/>
  <c r="AZ768"/>
  <c r="BB768" s="1"/>
  <c r="BD768"/>
  <c r="BE768" s="1"/>
  <c r="AV769"/>
  <c r="BF768"/>
  <c r="BG768" s="1"/>
  <c r="AY768"/>
  <c r="BA768" s="1"/>
  <c r="BY791" i="6"/>
  <c r="BZ790"/>
  <c r="BV790"/>
  <c r="BX790" s="1"/>
  <c r="BW790"/>
  <c r="AN489"/>
  <c r="AM490" l="1"/>
  <c r="AU769" i="4"/>
  <c r="AZ769"/>
  <c r="BB769" s="1"/>
  <c r="BD769"/>
  <c r="BE769" s="1"/>
  <c r="AV770"/>
  <c r="AY769"/>
  <c r="BA769" s="1"/>
  <c r="BF769"/>
  <c r="BG769" s="1"/>
  <c r="AW769"/>
  <c r="AZ767" i="5"/>
  <c r="BE767"/>
  <c r="BG767" s="1"/>
  <c r="BI767"/>
  <c r="BJ767" s="1"/>
  <c r="BA768"/>
  <c r="BD767"/>
  <c r="BF767" s="1"/>
  <c r="BB767"/>
  <c r="BK767"/>
  <c r="BL767" s="1"/>
  <c r="BY792" i="6"/>
  <c r="BZ791"/>
  <c r="BW791"/>
  <c r="BV791"/>
  <c r="BX791" s="1"/>
  <c r="AK756" i="12"/>
  <c r="AJ757"/>
  <c r="AL756"/>
  <c r="AO756" s="1"/>
  <c r="AN756"/>
  <c r="BZ792" i="6" l="1"/>
  <c r="BW792" s="1"/>
  <c r="BV792"/>
  <c r="BX792" s="1"/>
  <c r="BY793"/>
  <c r="BD768" i="5"/>
  <c r="BF768" s="1"/>
  <c r="BB768"/>
  <c r="BK768"/>
  <c r="BL768" s="1"/>
  <c r="AZ768"/>
  <c r="BA769"/>
  <c r="BI768"/>
  <c r="BJ768" s="1"/>
  <c r="BE768"/>
  <c r="BG768" s="1"/>
  <c r="AN490" i="6"/>
  <c r="AL757" i="12"/>
  <c r="AK757"/>
  <c r="AO757"/>
  <c r="AJ758"/>
  <c r="AN757"/>
  <c r="AY770" i="4"/>
  <c r="BA770" s="1"/>
  <c r="BF770"/>
  <c r="BG770" s="1"/>
  <c r="AZ770"/>
  <c r="BB770" s="1"/>
  <c r="AU770"/>
  <c r="AV771"/>
  <c r="AW770"/>
  <c r="BD770"/>
  <c r="BE770" s="1"/>
  <c r="AJ759" i="12" l="1"/>
  <c r="AL758"/>
  <c r="AK758"/>
  <c r="AN758"/>
  <c r="AO758"/>
  <c r="BK769" i="5"/>
  <c r="BL769" s="1"/>
  <c r="BA770"/>
  <c r="BB769"/>
  <c r="BE769"/>
  <c r="BG769" s="1"/>
  <c r="BD769"/>
  <c r="BF769" s="1"/>
  <c r="AZ769"/>
  <c r="BI769"/>
  <c r="BJ769" s="1"/>
  <c r="BF771" i="4"/>
  <c r="BG771" s="1"/>
  <c r="AW771"/>
  <c r="AY771"/>
  <c r="BA771" s="1"/>
  <c r="AZ771"/>
  <c r="BB771" s="1"/>
  <c r="AV772"/>
  <c r="BD771"/>
  <c r="BE771" s="1"/>
  <c r="AU771"/>
  <c r="BY794" i="6"/>
  <c r="BW793"/>
  <c r="BV793"/>
  <c r="BX793" s="1"/>
  <c r="BZ793"/>
  <c r="AM491"/>
  <c r="AK759" i="12" l="1"/>
  <c r="AN759"/>
  <c r="AL759"/>
  <c r="AO759" s="1"/>
  <c r="AJ760"/>
  <c r="AW772" i="4"/>
  <c r="AU772"/>
  <c r="AZ772"/>
  <c r="BB772" s="1"/>
  <c r="BD772"/>
  <c r="BE772" s="1"/>
  <c r="AV773"/>
  <c r="AY772"/>
  <c r="BA772" s="1"/>
  <c r="BF772"/>
  <c r="BG772" s="1"/>
  <c r="BB770" i="5"/>
  <c r="BE770"/>
  <c r="BG770" s="1"/>
  <c r="BK770"/>
  <c r="BL770" s="1"/>
  <c r="BD770"/>
  <c r="BF770" s="1"/>
  <c r="BI770"/>
  <c r="BJ770" s="1"/>
  <c r="AZ770"/>
  <c r="BA771"/>
  <c r="AN491" i="6"/>
  <c r="BY795"/>
  <c r="BZ794"/>
  <c r="BV794"/>
  <c r="BX794" s="1"/>
  <c r="BW794"/>
  <c r="AK760" i="12" l="1"/>
  <c r="AJ761"/>
  <c r="AL760"/>
  <c r="AO760" s="1"/>
  <c r="AN760"/>
  <c r="BY796" i="6"/>
  <c r="BZ795"/>
  <c r="BV795"/>
  <c r="BX795" s="1"/>
  <c r="BW795"/>
  <c r="AU773" i="4"/>
  <c r="AZ773"/>
  <c r="BB773" s="1"/>
  <c r="BD773"/>
  <c r="BE773" s="1"/>
  <c r="AV774"/>
  <c r="AY773"/>
  <c r="BA773" s="1"/>
  <c r="AW773"/>
  <c r="BF773"/>
  <c r="BG773" s="1"/>
  <c r="AM492" i="6"/>
  <c r="AZ771" i="5"/>
  <c r="BE771"/>
  <c r="BG771" s="1"/>
  <c r="BI771"/>
  <c r="BJ771" s="1"/>
  <c r="BA772"/>
  <c r="BB771"/>
  <c r="BD771"/>
  <c r="BF771" s="1"/>
  <c r="BK771"/>
  <c r="BL771" s="1"/>
  <c r="AN492" i="6" l="1"/>
  <c r="AY774" i="4"/>
  <c r="BA774" s="1"/>
  <c r="BF774"/>
  <c r="BG774" s="1"/>
  <c r="AW774"/>
  <c r="BD774"/>
  <c r="BE774" s="1"/>
  <c r="AV775"/>
  <c r="AU774"/>
  <c r="AZ774"/>
  <c r="BB774" s="1"/>
  <c r="BD772" i="5"/>
  <c r="BF772" s="1"/>
  <c r="AZ772"/>
  <c r="BE772"/>
  <c r="BG772" s="1"/>
  <c r="BI772"/>
  <c r="BJ772" s="1"/>
  <c r="BB772"/>
  <c r="BK772"/>
  <c r="BL772" s="1"/>
  <c r="BA773"/>
  <c r="BY797" i="6"/>
  <c r="BZ796"/>
  <c r="BW796" s="1"/>
  <c r="BV796"/>
  <c r="BX796" s="1"/>
  <c r="AL761" i="12"/>
  <c r="AO761" s="1"/>
  <c r="AJ762"/>
  <c r="AK761"/>
  <c r="AN761"/>
  <c r="BZ797" i="6" l="1"/>
  <c r="BW797" s="1"/>
  <c r="BV797"/>
  <c r="BX797" s="1"/>
  <c r="BY798"/>
  <c r="AM493"/>
  <c r="AJ763" i="12"/>
  <c r="AL762"/>
  <c r="AK762"/>
  <c r="AN762"/>
  <c r="AO762"/>
  <c r="BF775" i="4"/>
  <c r="BG775" s="1"/>
  <c r="AW775"/>
  <c r="AU775"/>
  <c r="BD775"/>
  <c r="BE775" s="1"/>
  <c r="AY775"/>
  <c r="BA775" s="1"/>
  <c r="AV776"/>
  <c r="AZ775"/>
  <c r="BB775" s="1"/>
  <c r="BK773" i="5"/>
  <c r="BL773" s="1"/>
  <c r="BB773"/>
  <c r="AZ773"/>
  <c r="BE773"/>
  <c r="BG773" s="1"/>
  <c r="BD773"/>
  <c r="BF773" s="1"/>
  <c r="BI773"/>
  <c r="BJ773" s="1"/>
  <c r="BA774"/>
  <c r="AN493" i="6" l="1"/>
  <c r="BB774" i="5"/>
  <c r="BD774"/>
  <c r="BF774" s="1"/>
  <c r="BI774"/>
  <c r="BJ774" s="1"/>
  <c r="BA775"/>
  <c r="BK774"/>
  <c r="BL774" s="1"/>
  <c r="AZ774"/>
  <c r="BE774"/>
  <c r="BG774" s="1"/>
  <c r="AW776" i="4"/>
  <c r="AU776"/>
  <c r="AZ776"/>
  <c r="BB776" s="1"/>
  <c r="BD776"/>
  <c r="BE776" s="1"/>
  <c r="AV777"/>
  <c r="BF776"/>
  <c r="BG776" s="1"/>
  <c r="AY776"/>
  <c r="BA776" s="1"/>
  <c r="AJ764" i="12"/>
  <c r="AN763"/>
  <c r="AK763"/>
  <c r="AL763"/>
  <c r="AO763" s="1"/>
  <c r="BY799" i="6"/>
  <c r="BZ798"/>
  <c r="BW798"/>
  <c r="BV798"/>
  <c r="BX798" s="1"/>
  <c r="AM494" l="1"/>
  <c r="BY800"/>
  <c r="BZ799"/>
  <c r="BV799"/>
  <c r="BX799" s="1"/>
  <c r="BW799"/>
  <c r="AU777" i="4"/>
  <c r="AZ777"/>
  <c r="BB777" s="1"/>
  <c r="BD777"/>
  <c r="BE777" s="1"/>
  <c r="AV778"/>
  <c r="AY777"/>
  <c r="BA777" s="1"/>
  <c r="BF777"/>
  <c r="BG777" s="1"/>
  <c r="AW777"/>
  <c r="AZ775" i="5"/>
  <c r="BE775"/>
  <c r="BG775" s="1"/>
  <c r="BI775"/>
  <c r="BJ775" s="1"/>
  <c r="BA776"/>
  <c r="BB775"/>
  <c r="BK775"/>
  <c r="BL775" s="1"/>
  <c r="BD775"/>
  <c r="BF775" s="1"/>
  <c r="AK764" i="12"/>
  <c r="AL764"/>
  <c r="AJ765"/>
  <c r="AN764"/>
  <c r="AO764"/>
  <c r="BD776" i="5" l="1"/>
  <c r="BF776" s="1"/>
  <c r="BE776"/>
  <c r="BG776" s="1"/>
  <c r="BI776"/>
  <c r="BJ776" s="1"/>
  <c r="BA777"/>
  <c r="BB776"/>
  <c r="BK776"/>
  <c r="BL776" s="1"/>
  <c r="AZ776"/>
  <c r="AN494" i="6"/>
  <c r="AY778" i="4"/>
  <c r="BA778" s="1"/>
  <c r="BF778"/>
  <c r="BG778" s="1"/>
  <c r="AZ778"/>
  <c r="BB778" s="1"/>
  <c r="AU778"/>
  <c r="AV779"/>
  <c r="BD778"/>
  <c r="BE778" s="1"/>
  <c r="AW778"/>
  <c r="BY801" i="6"/>
  <c r="BZ800"/>
  <c r="BW800" s="1"/>
  <c r="BV800"/>
  <c r="BX800" s="1"/>
  <c r="AL765" i="12"/>
  <c r="AO765" s="1"/>
  <c r="AJ766"/>
  <c r="AK765"/>
  <c r="AN765"/>
  <c r="AJ767" l="1"/>
  <c r="AK766"/>
  <c r="AL766"/>
  <c r="AN766"/>
  <c r="AO766"/>
  <c r="BF779" i="4"/>
  <c r="BG779" s="1"/>
  <c r="AW779"/>
  <c r="AY779"/>
  <c r="BA779" s="1"/>
  <c r="AZ779"/>
  <c r="BB779" s="1"/>
  <c r="AV780"/>
  <c r="BD779"/>
  <c r="BE779" s="1"/>
  <c r="AU779"/>
  <c r="BY802" i="6"/>
  <c r="BV801"/>
  <c r="BX801" s="1"/>
  <c r="BZ801"/>
  <c r="BW801" s="1"/>
  <c r="AM495"/>
  <c r="BK777" i="5"/>
  <c r="BL777" s="1"/>
  <c r="AZ777"/>
  <c r="BE777"/>
  <c r="BG777" s="1"/>
  <c r="BD777"/>
  <c r="BF777" s="1"/>
  <c r="BI777"/>
  <c r="BJ777" s="1"/>
  <c r="BA778"/>
  <c r="BB777"/>
  <c r="AN495" i="6" l="1"/>
  <c r="BY803"/>
  <c r="BZ802"/>
  <c r="BV802"/>
  <c r="BX802" s="1"/>
  <c r="BW802"/>
  <c r="AJ768" i="12"/>
  <c r="AL767"/>
  <c r="AO767"/>
  <c r="AN767"/>
  <c r="AK767"/>
  <c r="AW780" i="4"/>
  <c r="AU780"/>
  <c r="AZ780"/>
  <c r="BB780" s="1"/>
  <c r="BD780"/>
  <c r="BE780" s="1"/>
  <c r="AV781"/>
  <c r="BF780"/>
  <c r="BG780" s="1"/>
  <c r="AY780"/>
  <c r="BA780" s="1"/>
  <c r="BB778" i="5"/>
  <c r="BA779"/>
  <c r="AZ778"/>
  <c r="BI778"/>
  <c r="BJ778" s="1"/>
  <c r="BK778"/>
  <c r="BL778" s="1"/>
  <c r="BD778"/>
  <c r="BF778" s="1"/>
  <c r="BE778"/>
  <c r="BG778" s="1"/>
  <c r="AK768" i="12" l="1"/>
  <c r="AJ769"/>
  <c r="AL768"/>
  <c r="AN768"/>
  <c r="AO768"/>
  <c r="BY804" i="6"/>
  <c r="BZ803"/>
  <c r="BV803"/>
  <c r="BX803" s="1"/>
  <c r="BW803"/>
  <c r="AM496"/>
  <c r="AZ779" i="5"/>
  <c r="BE779"/>
  <c r="BG779" s="1"/>
  <c r="BI779"/>
  <c r="BJ779" s="1"/>
  <c r="BA780"/>
  <c r="BK779"/>
  <c r="BL779" s="1"/>
  <c r="BD779"/>
  <c r="BF779" s="1"/>
  <c r="BB779"/>
  <c r="AU781" i="4"/>
  <c r="AZ781"/>
  <c r="BB781" s="1"/>
  <c r="BD781"/>
  <c r="BE781" s="1"/>
  <c r="AV782"/>
  <c r="AY781"/>
  <c r="BA781" s="1"/>
  <c r="AW781"/>
  <c r="BF781"/>
  <c r="BG781" s="1"/>
  <c r="AY782" l="1"/>
  <c r="BA782" s="1"/>
  <c r="BF782"/>
  <c r="BG782" s="1"/>
  <c r="AW782"/>
  <c r="BD782"/>
  <c r="BE782" s="1"/>
  <c r="AU782"/>
  <c r="AZ782"/>
  <c r="BB782" s="1"/>
  <c r="AV783"/>
  <c r="AN496" i="6"/>
  <c r="BV804"/>
  <c r="BX804" s="1"/>
  <c r="BY805"/>
  <c r="BZ804"/>
  <c r="BW804"/>
  <c r="AL769" i="12"/>
  <c r="AJ770"/>
  <c r="AK769"/>
  <c r="AO769"/>
  <c r="AN769"/>
  <c r="BD780" i="5"/>
  <c r="BF780" s="1"/>
  <c r="BA781"/>
  <c r="BB780"/>
  <c r="BK780"/>
  <c r="BL780" s="1"/>
  <c r="BI780"/>
  <c r="BJ780" s="1"/>
  <c r="AZ780"/>
  <c r="BE780"/>
  <c r="BG780" s="1"/>
  <c r="AJ771" i="12" l="1"/>
  <c r="AL770"/>
  <c r="AN770"/>
  <c r="AO770"/>
  <c r="AK770"/>
  <c r="BZ805" i="6"/>
  <c r="BV805"/>
  <c r="BX805" s="1"/>
  <c r="BY806"/>
  <c r="BW805"/>
  <c r="BF783" i="4"/>
  <c r="BG783" s="1"/>
  <c r="AW783"/>
  <c r="AU783"/>
  <c r="BD783"/>
  <c r="BE783" s="1"/>
  <c r="AZ783"/>
  <c r="BB783" s="1"/>
  <c r="AV784"/>
  <c r="AY783"/>
  <c r="BA783" s="1"/>
  <c r="BK781" i="5"/>
  <c r="BL781" s="1"/>
  <c r="BD781"/>
  <c r="BF781" s="1"/>
  <c r="BI781"/>
  <c r="BJ781" s="1"/>
  <c r="BA782"/>
  <c r="BB781"/>
  <c r="BE781"/>
  <c r="BG781" s="1"/>
  <c r="AZ781"/>
  <c r="AM497" i="6"/>
  <c r="AW784" i="4" l="1"/>
  <c r="AU784"/>
  <c r="AZ784"/>
  <c r="BB784" s="1"/>
  <c r="BD784"/>
  <c r="BE784" s="1"/>
  <c r="AV785"/>
  <c r="BF784"/>
  <c r="BG784" s="1"/>
  <c r="AY784"/>
  <c r="BA784" s="1"/>
  <c r="AL771" i="12"/>
  <c r="AK771"/>
  <c r="AO771"/>
  <c r="AJ772"/>
  <c r="AN771"/>
  <c r="AN497" i="6"/>
  <c r="BB782" i="5"/>
  <c r="AZ782"/>
  <c r="BE782"/>
  <c r="BG782" s="1"/>
  <c r="BK782"/>
  <c r="BL782" s="1"/>
  <c r="BD782"/>
  <c r="BF782" s="1"/>
  <c r="BA783"/>
  <c r="BI782"/>
  <c r="BJ782" s="1"/>
  <c r="BY807" i="6"/>
  <c r="BZ806"/>
  <c r="BV806"/>
  <c r="BX806" s="1"/>
  <c r="BW806"/>
  <c r="AM498" l="1"/>
  <c r="AU785" i="4"/>
  <c r="AZ785"/>
  <c r="BB785" s="1"/>
  <c r="BD785"/>
  <c r="BE785" s="1"/>
  <c r="AV786"/>
  <c r="AY785"/>
  <c r="BA785" s="1"/>
  <c r="BF785"/>
  <c r="BG785" s="1"/>
  <c r="AW785"/>
  <c r="BY808" i="6"/>
  <c r="BV807"/>
  <c r="BX807" s="1"/>
  <c r="BZ807"/>
  <c r="BW807" s="1"/>
  <c r="AK772" i="12"/>
  <c r="AJ773"/>
  <c r="AL772"/>
  <c r="AO772" s="1"/>
  <c r="AN772"/>
  <c r="AZ783" i="5"/>
  <c r="BE783"/>
  <c r="BG783" s="1"/>
  <c r="BI783"/>
  <c r="BJ783" s="1"/>
  <c r="BA784"/>
  <c r="BD783"/>
  <c r="BF783" s="1"/>
  <c r="BK783"/>
  <c r="BL783" s="1"/>
  <c r="BB783"/>
  <c r="AN498" i="6" l="1"/>
  <c r="BD784" i="5"/>
  <c r="BF784" s="1"/>
  <c r="BB784"/>
  <c r="BK784"/>
  <c r="BL784" s="1"/>
  <c r="AZ784"/>
  <c r="BE784"/>
  <c r="BG784" s="1"/>
  <c r="BA785"/>
  <c r="BI784"/>
  <c r="BJ784" s="1"/>
  <c r="BZ808" i="6"/>
  <c r="BV808"/>
  <c r="BX808" s="1"/>
  <c r="BY809"/>
  <c r="BW808"/>
  <c r="AY786" i="4"/>
  <c r="BA786" s="1"/>
  <c r="BF786"/>
  <c r="BG786" s="1"/>
  <c r="AZ786"/>
  <c r="BB786" s="1"/>
  <c r="AU786"/>
  <c r="AV787"/>
  <c r="AW786"/>
  <c r="BD786"/>
  <c r="BE786" s="1"/>
  <c r="AL773" i="12"/>
  <c r="AO773" s="1"/>
  <c r="AK773"/>
  <c r="AN773"/>
  <c r="AJ774"/>
  <c r="AJ775" l="1"/>
  <c r="AL774"/>
  <c r="AK774"/>
  <c r="AN774"/>
  <c r="AO774"/>
  <c r="AM499" i="6"/>
  <c r="BF787" i="4"/>
  <c r="BG787" s="1"/>
  <c r="AW787"/>
  <c r="AY787"/>
  <c r="BA787" s="1"/>
  <c r="AZ787"/>
  <c r="BB787" s="1"/>
  <c r="AV788"/>
  <c r="BD787"/>
  <c r="BE787" s="1"/>
  <c r="AU787"/>
  <c r="BY810" i="6"/>
  <c r="BV809"/>
  <c r="BX809" s="1"/>
  <c r="BW809"/>
  <c r="BZ809"/>
  <c r="BK785" i="5"/>
  <c r="BL785" s="1"/>
  <c r="BA786"/>
  <c r="BB785"/>
  <c r="BI785"/>
  <c r="BJ785" s="1"/>
  <c r="AZ785"/>
  <c r="BD785"/>
  <c r="BF785" s="1"/>
  <c r="BE785"/>
  <c r="BG785" s="1"/>
  <c r="AK775" i="12" l="1"/>
  <c r="AJ776"/>
  <c r="AO775"/>
  <c r="AL775"/>
  <c r="AN775"/>
  <c r="AN499" i="6"/>
  <c r="BY811"/>
  <c r="BZ810"/>
  <c r="BV810"/>
  <c r="BX810" s="1"/>
  <c r="BW810"/>
  <c r="BB786" i="5"/>
  <c r="BE786"/>
  <c r="BG786" s="1"/>
  <c r="BK786"/>
  <c r="BL786" s="1"/>
  <c r="BD786"/>
  <c r="BF786" s="1"/>
  <c r="BI786"/>
  <c r="BJ786" s="1"/>
  <c r="BA787"/>
  <c r="AZ786"/>
  <c r="AW788" i="4"/>
  <c r="AU788"/>
  <c r="AZ788"/>
  <c r="BB788" s="1"/>
  <c r="BD788"/>
  <c r="BE788" s="1"/>
  <c r="AV789"/>
  <c r="AY788"/>
  <c r="BA788" s="1"/>
  <c r="BF788"/>
  <c r="BG788" s="1"/>
  <c r="AZ787" i="5" l="1"/>
  <c r="BE787"/>
  <c r="BG787" s="1"/>
  <c r="BI787"/>
  <c r="BJ787" s="1"/>
  <c r="BA788"/>
  <c r="BB787"/>
  <c r="BK787"/>
  <c r="BL787" s="1"/>
  <c r="BD787"/>
  <c r="BF787" s="1"/>
  <c r="AM500" i="6"/>
  <c r="AK776" i="12"/>
  <c r="AJ777"/>
  <c r="AL776"/>
  <c r="AO776"/>
  <c r="AN776"/>
  <c r="AU789" i="4"/>
  <c r="AZ789"/>
  <c r="BB789" s="1"/>
  <c r="BD789"/>
  <c r="BE789" s="1"/>
  <c r="AV790"/>
  <c r="AY789"/>
  <c r="BA789" s="1"/>
  <c r="AW789"/>
  <c r="BF789"/>
  <c r="BG789" s="1"/>
  <c r="BY812" i="6"/>
  <c r="BV811"/>
  <c r="BX811" s="1"/>
  <c r="BZ811"/>
  <c r="BW811"/>
  <c r="BV812" l="1"/>
  <c r="BX812" s="1"/>
  <c r="BY813"/>
  <c r="BZ812"/>
  <c r="BW812" s="1"/>
  <c r="AY790" i="4"/>
  <c r="BA790" s="1"/>
  <c r="BF790"/>
  <c r="BG790" s="1"/>
  <c r="AW790"/>
  <c r="BD790"/>
  <c r="BE790" s="1"/>
  <c r="AV791"/>
  <c r="AU790"/>
  <c r="AZ790"/>
  <c r="BB790" s="1"/>
  <c r="AL777" i="12"/>
  <c r="AO777"/>
  <c r="AN777"/>
  <c r="AK777"/>
  <c r="AJ778"/>
  <c r="AN500" i="6"/>
  <c r="BD788" i="5"/>
  <c r="BF788" s="1"/>
  <c r="AZ788"/>
  <c r="BE788"/>
  <c r="BG788" s="1"/>
  <c r="BA789"/>
  <c r="BK788"/>
  <c r="BL788" s="1"/>
  <c r="BB788"/>
  <c r="BI788"/>
  <c r="BJ788" s="1"/>
  <c r="BZ813" i="6" l="1"/>
  <c r="BW813" s="1"/>
  <c r="BV813"/>
  <c r="BX813" s="1"/>
  <c r="BY814"/>
  <c r="BK789" i="5"/>
  <c r="BL789" s="1"/>
  <c r="BB789"/>
  <c r="BE789"/>
  <c r="BG789" s="1"/>
  <c r="BD789"/>
  <c r="BF789" s="1"/>
  <c r="BI789"/>
  <c r="BJ789" s="1"/>
  <c r="BA790"/>
  <c r="AZ789"/>
  <c r="AM501" i="6"/>
  <c r="BF791" i="4"/>
  <c r="BG791" s="1"/>
  <c r="AW791"/>
  <c r="AU791"/>
  <c r="BD791"/>
  <c r="BE791" s="1"/>
  <c r="AY791"/>
  <c r="BA791" s="1"/>
  <c r="AV792"/>
  <c r="AZ791"/>
  <c r="BB791" s="1"/>
  <c r="AJ779" i="12"/>
  <c r="AL778"/>
  <c r="AK778"/>
  <c r="AN778"/>
  <c r="AO778"/>
  <c r="BB790" i="5" l="1"/>
  <c r="BA791"/>
  <c r="AZ790"/>
  <c r="BI790"/>
  <c r="BJ790" s="1"/>
  <c r="BK790"/>
  <c r="BL790" s="1"/>
  <c r="BD790"/>
  <c r="BF790" s="1"/>
  <c r="BE790"/>
  <c r="BG790" s="1"/>
  <c r="AW792" i="4"/>
  <c r="AU792"/>
  <c r="AZ792"/>
  <c r="BB792" s="1"/>
  <c r="BD792"/>
  <c r="BE792" s="1"/>
  <c r="AV793"/>
  <c r="BF792"/>
  <c r="BG792" s="1"/>
  <c r="AY792"/>
  <c r="BA792" s="1"/>
  <c r="AJ780" i="12"/>
  <c r="AL779"/>
  <c r="AO779"/>
  <c r="AK779"/>
  <c r="AN779"/>
  <c r="AN501" i="6"/>
  <c r="BY815"/>
  <c r="BZ814"/>
  <c r="BV814"/>
  <c r="BX814" s="1"/>
  <c r="BW814"/>
  <c r="AZ791" i="5" l="1"/>
  <c r="BE791"/>
  <c r="BG791" s="1"/>
  <c r="BI791"/>
  <c r="BJ791" s="1"/>
  <c r="BA792"/>
  <c r="BK791"/>
  <c r="BL791" s="1"/>
  <c r="BD791"/>
  <c r="BF791" s="1"/>
  <c r="BB791"/>
  <c r="AK780" i="12"/>
  <c r="AL780"/>
  <c r="AO780" s="1"/>
  <c r="AJ781"/>
  <c r="AN780"/>
  <c r="BY816" i="6"/>
  <c r="BV815"/>
  <c r="BX815" s="1"/>
  <c r="BZ815"/>
  <c r="BW815" s="1"/>
  <c r="AM502"/>
  <c r="AU793" i="4"/>
  <c r="AZ793"/>
  <c r="BB793" s="1"/>
  <c r="BD793"/>
  <c r="BE793" s="1"/>
  <c r="AV794"/>
  <c r="AY793"/>
  <c r="BA793" s="1"/>
  <c r="BF793"/>
  <c r="BG793" s="1"/>
  <c r="AW793"/>
  <c r="AN502" i="6" l="1"/>
  <c r="AY794" i="4"/>
  <c r="BA794" s="1"/>
  <c r="BF794"/>
  <c r="BG794" s="1"/>
  <c r="AZ794"/>
  <c r="BB794" s="1"/>
  <c r="AU794"/>
  <c r="AV795"/>
  <c r="BD794"/>
  <c r="BE794" s="1"/>
  <c r="AW794"/>
  <c r="BY817" i="6"/>
  <c r="BZ816"/>
  <c r="BW816" s="1"/>
  <c r="BV816"/>
  <c r="BX816" s="1"/>
  <c r="AL781" i="12"/>
  <c r="AO781" s="1"/>
  <c r="AJ782"/>
  <c r="AN781"/>
  <c r="AK781"/>
  <c r="BD792" i="5"/>
  <c r="BF792" s="1"/>
  <c r="BA793"/>
  <c r="BB792"/>
  <c r="BK792"/>
  <c r="BL792" s="1"/>
  <c r="AZ792"/>
  <c r="BI792"/>
  <c r="BJ792" s="1"/>
  <c r="BE792"/>
  <c r="BG792" s="1"/>
  <c r="AM503" i="6" l="1"/>
  <c r="BY818"/>
  <c r="BV817"/>
  <c r="BX817" s="1"/>
  <c r="BW817"/>
  <c r="BZ817"/>
  <c r="AJ783" i="12"/>
  <c r="AK782"/>
  <c r="AL782"/>
  <c r="AO782" s="1"/>
  <c r="AN782"/>
  <c r="BF795" i="4"/>
  <c r="BG795" s="1"/>
  <c r="AW795"/>
  <c r="AY795"/>
  <c r="BA795" s="1"/>
  <c r="AZ795"/>
  <c r="BB795" s="1"/>
  <c r="AV796"/>
  <c r="BD795"/>
  <c r="BE795" s="1"/>
  <c r="AU795"/>
  <c r="BK793" i="5"/>
  <c r="BL793" s="1"/>
  <c r="BD793"/>
  <c r="BF793" s="1"/>
  <c r="BI793"/>
  <c r="BJ793" s="1"/>
  <c r="BA794"/>
  <c r="BB793"/>
  <c r="BE793"/>
  <c r="BG793" s="1"/>
  <c r="AZ793"/>
  <c r="AN503" i="6" l="1"/>
  <c r="BB794" i="5"/>
  <c r="AZ794"/>
  <c r="BE794"/>
  <c r="BG794" s="1"/>
  <c r="BK794"/>
  <c r="BL794" s="1"/>
  <c r="BD794"/>
  <c r="BF794" s="1"/>
  <c r="BI794"/>
  <c r="BJ794" s="1"/>
  <c r="BA795"/>
  <c r="AJ784" i="12"/>
  <c r="AL783"/>
  <c r="AK783"/>
  <c r="AO783"/>
  <c r="AN783"/>
  <c r="BY819" i="6"/>
  <c r="BZ818"/>
  <c r="BW818"/>
  <c r="BV818"/>
  <c r="BX818" s="1"/>
  <c r="AW796" i="4"/>
  <c r="AU796"/>
  <c r="AZ796"/>
  <c r="BB796" s="1"/>
  <c r="BD796"/>
  <c r="BE796" s="1"/>
  <c r="AV797"/>
  <c r="BF796"/>
  <c r="BG796" s="1"/>
  <c r="AY796"/>
  <c r="BA796" s="1"/>
  <c r="AZ795" i="5" l="1"/>
  <c r="BE795"/>
  <c r="BG795" s="1"/>
  <c r="BI795"/>
  <c r="BJ795" s="1"/>
  <c r="BA796"/>
  <c r="BD795"/>
  <c r="BF795" s="1"/>
  <c r="BB795"/>
  <c r="BK795"/>
  <c r="BL795" s="1"/>
  <c r="AM504" i="6"/>
  <c r="BY820"/>
  <c r="BZ819"/>
  <c r="BV819"/>
  <c r="BX819" s="1"/>
  <c r="BW819"/>
  <c r="AK784" i="12"/>
  <c r="AJ785"/>
  <c r="AN784"/>
  <c r="AL784"/>
  <c r="AO784" s="1"/>
  <c r="AU797" i="4"/>
  <c r="AZ797"/>
  <c r="BB797" s="1"/>
  <c r="BD797"/>
  <c r="BE797" s="1"/>
  <c r="AV798"/>
  <c r="AY797"/>
  <c r="BA797" s="1"/>
  <c r="AW797"/>
  <c r="BF797"/>
  <c r="BG797" s="1"/>
  <c r="AY798" l="1"/>
  <c r="BA798" s="1"/>
  <c r="BF798"/>
  <c r="BG798" s="1"/>
  <c r="AW798"/>
  <c r="BD798"/>
  <c r="BE798" s="1"/>
  <c r="AU798"/>
  <c r="AZ798"/>
  <c r="BB798" s="1"/>
  <c r="AV799"/>
  <c r="BY821" i="6"/>
  <c r="BV820"/>
  <c r="BX820" s="1"/>
  <c r="BZ820"/>
  <c r="BW820" s="1"/>
  <c r="AL785" i="12"/>
  <c r="AJ786"/>
  <c r="AK785"/>
  <c r="AO785"/>
  <c r="AN785"/>
  <c r="AN504" i="6"/>
  <c r="BD796" i="5"/>
  <c r="BF796" s="1"/>
  <c r="BB796"/>
  <c r="BK796"/>
  <c r="BL796" s="1"/>
  <c r="AZ796"/>
  <c r="BE796"/>
  <c r="BG796" s="1"/>
  <c r="BA797"/>
  <c r="BI796"/>
  <c r="BJ796" s="1"/>
  <c r="BF799" i="4" l="1"/>
  <c r="BG799" s="1"/>
  <c r="AW799"/>
  <c r="AU799"/>
  <c r="BD799"/>
  <c r="BE799" s="1"/>
  <c r="AZ799"/>
  <c r="BB799" s="1"/>
  <c r="AV800"/>
  <c r="AY799"/>
  <c r="BA799" s="1"/>
  <c r="AM505" i="6"/>
  <c r="AJ787" i="12"/>
  <c r="AL786"/>
  <c r="AO786" s="1"/>
  <c r="AK786"/>
  <c r="AN786"/>
  <c r="BK797" i="5"/>
  <c r="BL797" s="1"/>
  <c r="BA798"/>
  <c r="BB797"/>
  <c r="AZ797"/>
  <c r="BI797"/>
  <c r="BJ797" s="1"/>
  <c r="BE797"/>
  <c r="BG797" s="1"/>
  <c r="BD797"/>
  <c r="BF797" s="1"/>
  <c r="BZ821" i="6"/>
  <c r="BY822"/>
  <c r="BV821"/>
  <c r="BX821" s="1"/>
  <c r="BW821"/>
  <c r="AL787" i="12" l="1"/>
  <c r="AO787" s="1"/>
  <c r="AK787"/>
  <c r="AN787"/>
  <c r="AJ788"/>
  <c r="AW800" i="4"/>
  <c r="AU800"/>
  <c r="AZ800"/>
  <c r="BB800" s="1"/>
  <c r="BD800"/>
  <c r="BE800" s="1"/>
  <c r="AV801"/>
  <c r="BF800"/>
  <c r="BG800" s="1"/>
  <c r="AY800"/>
  <c r="BA800" s="1"/>
  <c r="BY823" i="6"/>
  <c r="BZ822"/>
  <c r="BW822"/>
  <c r="BV822"/>
  <c r="BX822" s="1"/>
  <c r="BB798" i="5"/>
  <c r="BE798"/>
  <c r="BG798" s="1"/>
  <c r="BK798"/>
  <c r="BL798" s="1"/>
  <c r="BD798"/>
  <c r="BF798" s="1"/>
  <c r="BI798"/>
  <c r="BJ798" s="1"/>
  <c r="BA799"/>
  <c r="AZ798"/>
  <c r="AN505" i="6"/>
  <c r="AM506" l="1"/>
  <c r="AK788" i="12"/>
  <c r="AJ789"/>
  <c r="AL788"/>
  <c r="AO788" s="1"/>
  <c r="AN788"/>
  <c r="AZ799" i="5"/>
  <c r="BE799"/>
  <c r="BG799" s="1"/>
  <c r="BI799"/>
  <c r="BJ799" s="1"/>
  <c r="BA800"/>
  <c r="BB799"/>
  <c r="BD799"/>
  <c r="BF799" s="1"/>
  <c r="BK799"/>
  <c r="BL799" s="1"/>
  <c r="AU801" i="4"/>
  <c r="AZ801"/>
  <c r="BB801" s="1"/>
  <c r="BD801"/>
  <c r="BE801" s="1"/>
  <c r="AV802"/>
  <c r="AY801"/>
  <c r="BA801" s="1"/>
  <c r="BF801"/>
  <c r="BG801" s="1"/>
  <c r="AW801"/>
  <c r="BY824" i="6"/>
  <c r="BZ823"/>
  <c r="BV823"/>
  <c r="BX823" s="1"/>
  <c r="BW823"/>
  <c r="AN506" l="1"/>
  <c r="BZ824"/>
  <c r="BY825"/>
  <c r="BV824"/>
  <c r="BX824" s="1"/>
  <c r="BW824"/>
  <c r="AY802" i="4"/>
  <c r="BA802" s="1"/>
  <c r="BF802"/>
  <c r="BG802" s="1"/>
  <c r="AZ802"/>
  <c r="BB802" s="1"/>
  <c r="AU802"/>
  <c r="AV803"/>
  <c r="AW802"/>
  <c r="BD802"/>
  <c r="BE802" s="1"/>
  <c r="BD800" i="5"/>
  <c r="BF800" s="1"/>
  <c r="AZ800"/>
  <c r="BE800"/>
  <c r="BG800" s="1"/>
  <c r="BI800"/>
  <c r="BJ800" s="1"/>
  <c r="BA801"/>
  <c r="BK800"/>
  <c r="BL800" s="1"/>
  <c r="BB800"/>
  <c r="AL789" i="12"/>
  <c r="AO789" s="1"/>
  <c r="AK789"/>
  <c r="AJ790"/>
  <c r="AN789"/>
  <c r="BF803" i="4" l="1"/>
  <c r="BG803" s="1"/>
  <c r="AW803"/>
  <c r="AY803"/>
  <c r="BA803" s="1"/>
  <c r="AZ803"/>
  <c r="BB803" s="1"/>
  <c r="AV804"/>
  <c r="AU803"/>
  <c r="BD803"/>
  <c r="BE803" s="1"/>
  <c r="AM507" i="6"/>
  <c r="BK801" i="5"/>
  <c r="BL801" s="1"/>
  <c r="BB801"/>
  <c r="AZ801"/>
  <c r="BE801"/>
  <c r="BG801" s="1"/>
  <c r="BI801"/>
  <c r="BJ801" s="1"/>
  <c r="BA802"/>
  <c r="BD801"/>
  <c r="BF801" s="1"/>
  <c r="AJ791" i="12"/>
  <c r="AL790"/>
  <c r="AK790"/>
  <c r="AN790"/>
  <c r="AO790"/>
  <c r="BY826" i="6"/>
  <c r="BZ825"/>
  <c r="BW825" s="1"/>
  <c r="BV825"/>
  <c r="BX825" s="1"/>
  <c r="AW804" i="4" l="1"/>
  <c r="AU804"/>
  <c r="AZ804"/>
  <c r="BB804" s="1"/>
  <c r="BD804"/>
  <c r="BE804" s="1"/>
  <c r="AV805"/>
  <c r="AY804"/>
  <c r="BA804" s="1"/>
  <c r="BF804"/>
  <c r="BG804" s="1"/>
  <c r="BY827" i="6"/>
  <c r="BZ826"/>
  <c r="BW826" s="1"/>
  <c r="BV826"/>
  <c r="BX826" s="1"/>
  <c r="AK791" i="12"/>
  <c r="AO791"/>
  <c r="AN791"/>
  <c r="AL791"/>
  <c r="AJ792"/>
  <c r="BB802" i="5"/>
  <c r="BD802"/>
  <c r="BF802" s="1"/>
  <c r="BI802"/>
  <c r="BJ802" s="1"/>
  <c r="BA803"/>
  <c r="BE802"/>
  <c r="BG802" s="1"/>
  <c r="BK802"/>
  <c r="BL802" s="1"/>
  <c r="AZ802"/>
  <c r="AN507" i="6"/>
  <c r="AU805" i="4" l="1"/>
  <c r="AZ805"/>
  <c r="BB805" s="1"/>
  <c r="BD805"/>
  <c r="BE805" s="1"/>
  <c r="AV806"/>
  <c r="AY805"/>
  <c r="BA805" s="1"/>
  <c r="AW805"/>
  <c r="BF805"/>
  <c r="BG805" s="1"/>
  <c r="AM508" i="6"/>
  <c r="AZ803" i="5"/>
  <c r="BE803"/>
  <c r="BG803" s="1"/>
  <c r="BI803"/>
  <c r="BJ803" s="1"/>
  <c r="BA804"/>
  <c r="BB803"/>
  <c r="BK803"/>
  <c r="BL803" s="1"/>
  <c r="BD803"/>
  <c r="BF803" s="1"/>
  <c r="AK792" i="12"/>
  <c r="AJ793"/>
  <c r="AL792"/>
  <c r="AO792" s="1"/>
  <c r="AN792"/>
  <c r="BY828" i="6"/>
  <c r="BV827"/>
  <c r="BX827" s="1"/>
  <c r="BZ827"/>
  <c r="BW827" s="1"/>
  <c r="BD804" i="5" l="1"/>
  <c r="BF804" s="1"/>
  <c r="BE804"/>
  <c r="BG804" s="1"/>
  <c r="BI804"/>
  <c r="BJ804" s="1"/>
  <c r="BA805"/>
  <c r="BK804"/>
  <c r="BL804" s="1"/>
  <c r="AZ804"/>
  <c r="BB804"/>
  <c r="BY829" i="6"/>
  <c r="BV828"/>
  <c r="BX828" s="1"/>
  <c r="BZ828"/>
  <c r="BW828" s="1"/>
  <c r="AL793" i="12"/>
  <c r="AJ794"/>
  <c r="AO793"/>
  <c r="AK793"/>
  <c r="AN793"/>
  <c r="AN508" i="6"/>
  <c r="AY806" i="4"/>
  <c r="BA806" s="1"/>
  <c r="BF806"/>
  <c r="BG806" s="1"/>
  <c r="AW806"/>
  <c r="BD806"/>
  <c r="BE806" s="1"/>
  <c r="AZ806"/>
  <c r="BB806" s="1"/>
  <c r="AU806"/>
  <c r="AV807"/>
  <c r="BF807" l="1"/>
  <c r="BG807" s="1"/>
  <c r="AW807"/>
  <c r="AU807"/>
  <c r="BD807"/>
  <c r="BE807" s="1"/>
  <c r="AZ807"/>
  <c r="BB807" s="1"/>
  <c r="AY807"/>
  <c r="BA807" s="1"/>
  <c r="AV808"/>
  <c r="AM509" i="6"/>
  <c r="AJ795" i="12"/>
  <c r="AL794"/>
  <c r="AK794"/>
  <c r="AN794"/>
  <c r="AO794"/>
  <c r="BZ829" i="6"/>
  <c r="BV829"/>
  <c r="BX829" s="1"/>
  <c r="BW829"/>
  <c r="BY830"/>
  <c r="BK805" i="5"/>
  <c r="BL805" s="1"/>
  <c r="AZ805"/>
  <c r="BE805"/>
  <c r="BG805" s="1"/>
  <c r="BD805"/>
  <c r="BF805" s="1"/>
  <c r="BI805"/>
  <c r="BJ805" s="1"/>
  <c r="BB805"/>
  <c r="BA806"/>
  <c r="BB806" l="1"/>
  <c r="BA807"/>
  <c r="AZ806"/>
  <c r="BD806"/>
  <c r="BF806" s="1"/>
  <c r="BK806"/>
  <c r="BL806" s="1"/>
  <c r="BE806"/>
  <c r="BG806" s="1"/>
  <c r="BI806"/>
  <c r="BJ806" s="1"/>
  <c r="BY831" i="6"/>
  <c r="BZ830"/>
  <c r="BW830" s="1"/>
  <c r="BV830"/>
  <c r="BX830" s="1"/>
  <c r="AJ796" i="12"/>
  <c r="AO795"/>
  <c r="AN795"/>
  <c r="AK795"/>
  <c r="AL795"/>
  <c r="AN509" i="6"/>
  <c r="AW808" i="4"/>
  <c r="AU808"/>
  <c r="AZ808"/>
  <c r="BB808" s="1"/>
  <c r="BD808"/>
  <c r="BE808" s="1"/>
  <c r="AV809"/>
  <c r="BF808"/>
  <c r="BG808" s="1"/>
  <c r="AY808"/>
  <c r="BA808" s="1"/>
  <c r="AM510" i="6" l="1"/>
  <c r="AZ807" i="5"/>
  <c r="BE807"/>
  <c r="BG807" s="1"/>
  <c r="BI807"/>
  <c r="BJ807" s="1"/>
  <c r="BA808"/>
  <c r="BK807"/>
  <c r="BL807" s="1"/>
  <c r="BD807"/>
  <c r="BF807" s="1"/>
  <c r="BB807"/>
  <c r="AU809" i="4"/>
  <c r="AZ809"/>
  <c r="BB809" s="1"/>
  <c r="BD809"/>
  <c r="BE809" s="1"/>
  <c r="AV810"/>
  <c r="AY809"/>
  <c r="BA809" s="1"/>
  <c r="BF809"/>
  <c r="BG809" s="1"/>
  <c r="AW809"/>
  <c r="AK796" i="12"/>
  <c r="AL796"/>
  <c r="AJ797"/>
  <c r="AN796"/>
  <c r="AO796"/>
  <c r="BY832" i="6"/>
  <c r="BZ831"/>
  <c r="BW831" s="1"/>
  <c r="BV831"/>
  <c r="BX831" s="1"/>
  <c r="AY810" i="4" l="1"/>
  <c r="BA810" s="1"/>
  <c r="BF810"/>
  <c r="BG810" s="1"/>
  <c r="AZ810"/>
  <c r="BB810" s="1"/>
  <c r="AU810"/>
  <c r="AV811"/>
  <c r="BD810"/>
  <c r="BE810" s="1"/>
  <c r="AW810"/>
  <c r="AN510" i="6"/>
  <c r="BV832"/>
  <c r="BX832" s="1"/>
  <c r="BY833"/>
  <c r="BZ832"/>
  <c r="BW832"/>
  <c r="BD808" i="5"/>
  <c r="BF808" s="1"/>
  <c r="BA809"/>
  <c r="BB808"/>
  <c r="BK808"/>
  <c r="BL808" s="1"/>
  <c r="BE808"/>
  <c r="BG808" s="1"/>
  <c r="AZ808"/>
  <c r="BI808"/>
  <c r="BJ808" s="1"/>
  <c r="AL797" i="12"/>
  <c r="AO797" s="1"/>
  <c r="AJ798"/>
  <c r="AK797"/>
  <c r="AN797"/>
  <c r="BF811" i="4" l="1"/>
  <c r="BG811" s="1"/>
  <c r="AW811"/>
  <c r="AY811"/>
  <c r="BA811" s="1"/>
  <c r="AZ811"/>
  <c r="BB811" s="1"/>
  <c r="AV812"/>
  <c r="BD811"/>
  <c r="BE811" s="1"/>
  <c r="AU811"/>
  <c r="AJ799" i="12"/>
  <c r="AK798"/>
  <c r="AN798"/>
  <c r="AO798"/>
  <c r="AL798"/>
  <c r="BK809" i="5"/>
  <c r="BL809" s="1"/>
  <c r="BD809"/>
  <c r="BF809" s="1"/>
  <c r="BI809"/>
  <c r="BJ809" s="1"/>
  <c r="BA810"/>
  <c r="BE809"/>
  <c r="BG809" s="1"/>
  <c r="AZ809"/>
  <c r="BB809"/>
  <c r="BY834" i="6"/>
  <c r="BV833"/>
  <c r="BX833" s="1"/>
  <c r="BZ833"/>
  <c r="BW833" s="1"/>
  <c r="AM511"/>
  <c r="AW812" i="4" l="1"/>
  <c r="AU812"/>
  <c r="AZ812"/>
  <c r="BB812" s="1"/>
  <c r="BD812"/>
  <c r="BE812" s="1"/>
  <c r="AV813"/>
  <c r="BF812"/>
  <c r="BG812" s="1"/>
  <c r="AY812"/>
  <c r="BA812" s="1"/>
  <c r="AN511" i="6"/>
  <c r="BY835"/>
  <c r="BZ834"/>
  <c r="BV834"/>
  <c r="BX834" s="1"/>
  <c r="BW834"/>
  <c r="BB810" i="5"/>
  <c r="AZ810"/>
  <c r="BE810"/>
  <c r="BG810" s="1"/>
  <c r="BK810"/>
  <c r="BL810" s="1"/>
  <c r="BI810"/>
  <c r="BJ810" s="1"/>
  <c r="BA811"/>
  <c r="BD810"/>
  <c r="BF810" s="1"/>
  <c r="AJ800" i="12"/>
  <c r="AL799"/>
  <c r="AO799" s="1"/>
  <c r="AN799"/>
  <c r="AK799"/>
  <c r="AU813" i="4" l="1"/>
  <c r="AZ813"/>
  <c r="BB813" s="1"/>
  <c r="BD813"/>
  <c r="BE813" s="1"/>
  <c r="AV814"/>
  <c r="AY813"/>
  <c r="BA813" s="1"/>
  <c r="AW813"/>
  <c r="BF813"/>
  <c r="BG813" s="1"/>
  <c r="AK800" i="12"/>
  <c r="AJ801"/>
  <c r="AL800"/>
  <c r="AO800" s="1"/>
  <c r="AN800"/>
  <c r="AZ811" i="5"/>
  <c r="BE811"/>
  <c r="BG811" s="1"/>
  <c r="BI811"/>
  <c r="BJ811" s="1"/>
  <c r="BA812"/>
  <c r="BD811"/>
  <c r="BF811" s="1"/>
  <c r="BK811"/>
  <c r="BL811" s="1"/>
  <c r="BB811"/>
  <c r="BY836" i="6"/>
  <c r="BZ835"/>
  <c r="BW835" s="1"/>
  <c r="BV835"/>
  <c r="BX835" s="1"/>
  <c r="AM512"/>
  <c r="AL801" i="12" l="1"/>
  <c r="AO801" s="1"/>
  <c r="AJ802"/>
  <c r="AK801"/>
  <c r="AN801"/>
  <c r="AN512" i="6"/>
  <c r="BY837"/>
  <c r="BZ836"/>
  <c r="BV836"/>
  <c r="BX836" s="1"/>
  <c r="BW836"/>
  <c r="BD812" i="5"/>
  <c r="BF812" s="1"/>
  <c r="BB812"/>
  <c r="BK812"/>
  <c r="BL812" s="1"/>
  <c r="AZ812"/>
  <c r="BI812"/>
  <c r="BJ812" s="1"/>
  <c r="BA813"/>
  <c r="BE812"/>
  <c r="BG812" s="1"/>
  <c r="AY814" i="4"/>
  <c r="BA814" s="1"/>
  <c r="BF814"/>
  <c r="BG814" s="1"/>
  <c r="AW814"/>
  <c r="BD814"/>
  <c r="BE814" s="1"/>
  <c r="AU814"/>
  <c r="AZ814"/>
  <c r="BB814" s="1"/>
  <c r="AV815"/>
  <c r="BF815" l="1"/>
  <c r="BG815" s="1"/>
  <c r="AW815"/>
  <c r="AU815"/>
  <c r="BD815"/>
  <c r="BE815" s="1"/>
  <c r="AZ815"/>
  <c r="BB815" s="1"/>
  <c r="AY815"/>
  <c r="BA815" s="1"/>
  <c r="AV816"/>
  <c r="BK813" i="5"/>
  <c r="BL813" s="1"/>
  <c r="BA814"/>
  <c r="BB813"/>
  <c r="BD813"/>
  <c r="BF813" s="1"/>
  <c r="BE813"/>
  <c r="BG813" s="1"/>
  <c r="BI813"/>
  <c r="BJ813" s="1"/>
  <c r="AZ813"/>
  <c r="AM513" i="6"/>
  <c r="AJ803" i="12"/>
  <c r="AK802"/>
  <c r="AL802"/>
  <c r="AN802"/>
  <c r="AO802"/>
  <c r="BZ837" i="6"/>
  <c r="BV837"/>
  <c r="BX837" s="1"/>
  <c r="BY838"/>
  <c r="BW837"/>
  <c r="AN513" l="1"/>
  <c r="AW816" i="4"/>
  <c r="AU816"/>
  <c r="AZ816"/>
  <c r="BB816" s="1"/>
  <c r="BD816"/>
  <c r="BE816" s="1"/>
  <c r="AV817"/>
  <c r="BF816"/>
  <c r="BG816" s="1"/>
  <c r="AY816"/>
  <c r="BA816" s="1"/>
  <c r="AL803" i="12"/>
  <c r="AK803"/>
  <c r="AO803"/>
  <c r="AJ804"/>
  <c r="AN803"/>
  <c r="BB814" i="5"/>
  <c r="BE814"/>
  <c r="BG814" s="1"/>
  <c r="BK814"/>
  <c r="BL814" s="1"/>
  <c r="BD814"/>
  <c r="BF814" s="1"/>
  <c r="BI814"/>
  <c r="BJ814" s="1"/>
  <c r="AZ814"/>
  <c r="BA815"/>
  <c r="BY839" i="6"/>
  <c r="BZ838"/>
  <c r="BW838" s="1"/>
  <c r="BV838"/>
  <c r="BX838" s="1"/>
  <c r="AZ815" i="5" l="1"/>
  <c r="BE815"/>
  <c r="BG815" s="1"/>
  <c r="BI815"/>
  <c r="BJ815" s="1"/>
  <c r="BA816"/>
  <c r="BB815"/>
  <c r="BD815"/>
  <c r="BF815" s="1"/>
  <c r="BK815"/>
  <c r="BL815" s="1"/>
  <c r="AK804" i="12"/>
  <c r="AJ805"/>
  <c r="AL804"/>
  <c r="AO804" s="1"/>
  <c r="AN804"/>
  <c r="BY840" i="6"/>
  <c r="BZ839"/>
  <c r="BW839" s="1"/>
  <c r="BV839"/>
  <c r="BX839" s="1"/>
  <c r="AM514"/>
  <c r="AU817" i="4"/>
  <c r="AZ817"/>
  <c r="BB817" s="1"/>
  <c r="BD817"/>
  <c r="BE817" s="1"/>
  <c r="AV818"/>
  <c r="AY817"/>
  <c r="BA817" s="1"/>
  <c r="BF817"/>
  <c r="BG817" s="1"/>
  <c r="AW817"/>
  <c r="AN514" i="6" l="1"/>
  <c r="BV840"/>
  <c r="BX840" s="1"/>
  <c r="BZ840"/>
  <c r="BW840"/>
  <c r="BY841"/>
  <c r="AL805" i="12"/>
  <c r="AO805" s="1"/>
  <c r="AK805"/>
  <c r="AN805"/>
  <c r="AJ806"/>
  <c r="AY818" i="4"/>
  <c r="BA818" s="1"/>
  <c r="BF818"/>
  <c r="BG818" s="1"/>
  <c r="AZ818"/>
  <c r="BB818" s="1"/>
  <c r="AU818"/>
  <c r="AV819"/>
  <c r="AW818"/>
  <c r="BD818" s="1"/>
  <c r="BE818" s="1"/>
  <c r="BD816" i="5"/>
  <c r="BF816" s="1"/>
  <c r="AZ816"/>
  <c r="BE816"/>
  <c r="BG816" s="1"/>
  <c r="BI816"/>
  <c r="BJ816" s="1"/>
  <c r="BB816"/>
  <c r="BK816"/>
  <c r="BL816" s="1"/>
  <c r="BA817"/>
  <c r="BK817" l="1"/>
  <c r="BL817" s="1"/>
  <c r="BB817"/>
  <c r="AZ817"/>
  <c r="BE817"/>
  <c r="BG817" s="1"/>
  <c r="BD817"/>
  <c r="BF817" s="1"/>
  <c r="BI817"/>
  <c r="BJ817" s="1"/>
  <c r="BA818"/>
  <c r="AM515" i="6"/>
  <c r="AR115" s="1"/>
  <c r="BY842"/>
  <c r="BV841"/>
  <c r="BX841" s="1"/>
  <c r="BZ841"/>
  <c r="BW841" s="1"/>
  <c r="AJ807" i="12"/>
  <c r="AL806"/>
  <c r="AN806"/>
  <c r="AO806"/>
  <c r="AK806"/>
  <c r="BF819" i="4"/>
  <c r="BG819" s="1"/>
  <c r="AW819"/>
  <c r="AY819"/>
  <c r="BA819" s="1"/>
  <c r="AZ819"/>
  <c r="BB819" s="1"/>
  <c r="AV820"/>
  <c r="AU819"/>
  <c r="BD819"/>
  <c r="BE819" s="1"/>
  <c r="AK807" i="12" l="1"/>
  <c r="AJ808"/>
  <c r="AO807"/>
  <c r="AL807"/>
  <c r="AN807"/>
  <c r="BY843" i="6"/>
  <c r="BZ842"/>
  <c r="BV842"/>
  <c r="BX842" s="1"/>
  <c r="BW842"/>
  <c r="AW820" i="4"/>
  <c r="BD820" s="1"/>
  <c r="BE820" s="1"/>
  <c r="AU820"/>
  <c r="AZ820"/>
  <c r="BB820" s="1"/>
  <c r="AV821"/>
  <c r="AY820"/>
  <c r="BA820" s="1"/>
  <c r="BF820"/>
  <c r="BG820" s="1"/>
  <c r="BB818" i="5"/>
  <c r="BD818"/>
  <c r="BF818" s="1"/>
  <c r="BI818"/>
  <c r="BJ818" s="1"/>
  <c r="BA819"/>
  <c r="AZ818"/>
  <c r="BK818"/>
  <c r="BL818" s="1"/>
  <c r="BE818"/>
  <c r="BG818" s="1"/>
  <c r="AS115" i="6"/>
  <c r="AU821" i="4" l="1"/>
  <c r="AZ821"/>
  <c r="BB821" s="1"/>
  <c r="BD821"/>
  <c r="BE821" s="1"/>
  <c r="AV822"/>
  <c r="AY821"/>
  <c r="BA821" s="1"/>
  <c r="AW821"/>
  <c r="BF821"/>
  <c r="BG821" s="1"/>
  <c r="BY844" i="6"/>
  <c r="BZ843"/>
  <c r="BV843"/>
  <c r="BX843" s="1"/>
  <c r="BW843"/>
  <c r="AK808" i="12"/>
  <c r="AJ809"/>
  <c r="AL808"/>
  <c r="AO808"/>
  <c r="AN808"/>
  <c r="AR116" i="6"/>
  <c r="AZ819" i="5"/>
  <c r="BE819"/>
  <c r="BG819" s="1"/>
  <c r="BA820"/>
  <c r="BB819"/>
  <c r="BI819" s="1"/>
  <c r="BJ819" s="1"/>
  <c r="BK819"/>
  <c r="BL819" s="1"/>
  <c r="BD819"/>
  <c r="BF819" s="1"/>
  <c r="AS116" i="6" l="1"/>
  <c r="AL809" i="12"/>
  <c r="AO809"/>
  <c r="AN809"/>
  <c r="AK809"/>
  <c r="AJ810"/>
  <c r="BD820" i="5"/>
  <c r="BF820" s="1"/>
  <c r="BE820"/>
  <c r="BG820" s="1"/>
  <c r="BA821"/>
  <c r="BB820"/>
  <c r="BI820" s="1"/>
  <c r="BJ820" s="1"/>
  <c r="AZ820"/>
  <c r="BK820"/>
  <c r="BL820" s="1"/>
  <c r="BY845" i="6"/>
  <c r="BV844"/>
  <c r="BX844" s="1"/>
  <c r="BZ844"/>
  <c r="BW844" s="1"/>
  <c r="AY822" i="4"/>
  <c r="BA822" s="1"/>
  <c r="BF822"/>
  <c r="BG822" s="1"/>
  <c r="AW822"/>
  <c r="BD822" s="1"/>
  <c r="BE822" s="1"/>
  <c r="AZ822"/>
  <c r="BB822" s="1"/>
  <c r="AU822"/>
  <c r="AV823"/>
  <c r="AR117" i="6" l="1"/>
  <c r="BF823" i="4"/>
  <c r="BG823" s="1"/>
  <c r="AW823"/>
  <c r="AU823"/>
  <c r="BD823"/>
  <c r="BE823" s="1"/>
  <c r="AY823"/>
  <c r="BA823" s="1"/>
  <c r="AV824"/>
  <c r="AZ823"/>
  <c r="BB823" s="1"/>
  <c r="BZ845" i="6"/>
  <c r="BW845" s="1"/>
  <c r="BV845"/>
  <c r="BX845" s="1"/>
  <c r="BY846"/>
  <c r="BK821" i="5"/>
  <c r="BL821" s="1"/>
  <c r="AZ821"/>
  <c r="BE821"/>
  <c r="BG821" s="1"/>
  <c r="BD821"/>
  <c r="BF821" s="1"/>
  <c r="BI821"/>
  <c r="BJ821" s="1"/>
  <c r="BA822"/>
  <c r="BB821"/>
  <c r="AJ811" i="12"/>
  <c r="AL810"/>
  <c r="AK810"/>
  <c r="AN810"/>
  <c r="AO810"/>
  <c r="BY847" i="6" l="1"/>
  <c r="BZ846"/>
  <c r="BW846" s="1"/>
  <c r="BV846"/>
  <c r="BX846" s="1"/>
  <c r="AS117"/>
  <c r="BB822" i="5"/>
  <c r="BA823"/>
  <c r="AZ822"/>
  <c r="BI822"/>
  <c r="BJ822" s="1"/>
  <c r="BE822"/>
  <c r="BG822" s="1"/>
  <c r="BD822"/>
  <c r="BF822" s="1"/>
  <c r="BK822"/>
  <c r="BL822" s="1"/>
  <c r="AJ812" i="12"/>
  <c r="AL811"/>
  <c r="AO811" s="1"/>
  <c r="AK811"/>
  <c r="AN811"/>
  <c r="AW824" i="4"/>
  <c r="AU824"/>
  <c r="AZ824"/>
  <c r="BB824" s="1"/>
  <c r="BD824"/>
  <c r="BE824" s="1"/>
  <c r="AV825"/>
  <c r="BF824"/>
  <c r="BG824" s="1"/>
  <c r="AY824"/>
  <c r="BA824" s="1"/>
  <c r="AR118" i="6" l="1"/>
  <c r="BY848"/>
  <c r="BZ847"/>
  <c r="BW847" s="1"/>
  <c r="BV847"/>
  <c r="BX847" s="1"/>
  <c r="AU825" i="4"/>
  <c r="AZ825"/>
  <c r="BB825" s="1"/>
  <c r="AV826"/>
  <c r="AY825"/>
  <c r="BA825" s="1"/>
  <c r="BF825"/>
  <c r="BG825" s="1"/>
  <c r="AW825"/>
  <c r="BD825" s="1"/>
  <c r="BE825" s="1"/>
  <c r="AK812" i="12"/>
  <c r="AL812"/>
  <c r="AO812" s="1"/>
  <c r="AN812"/>
  <c r="AJ813"/>
  <c r="AZ823" i="5"/>
  <c r="BE823"/>
  <c r="BG823" s="1"/>
  <c r="BA824"/>
  <c r="BK823"/>
  <c r="BL823" s="1"/>
  <c r="BD823"/>
  <c r="BF823" s="1"/>
  <c r="BB823"/>
  <c r="BI823" s="1"/>
  <c r="BJ823" s="1"/>
  <c r="AS118" i="6" l="1"/>
  <c r="BY849"/>
  <c r="BZ848"/>
  <c r="BW848"/>
  <c r="BV848"/>
  <c r="BX848" s="1"/>
  <c r="BD824" i="5"/>
  <c r="BF824" s="1"/>
  <c r="BA825"/>
  <c r="BB824"/>
  <c r="BK824"/>
  <c r="BL824" s="1"/>
  <c r="AZ824"/>
  <c r="BI824"/>
  <c r="BJ824" s="1"/>
  <c r="BE824"/>
  <c r="BG824" s="1"/>
  <c r="AL813" i="12"/>
  <c r="AO813" s="1"/>
  <c r="AJ814"/>
  <c r="AN813"/>
  <c r="AK813"/>
  <c r="AY826" i="4"/>
  <c r="BA826" s="1"/>
  <c r="BF826"/>
  <c r="BG826" s="1"/>
  <c r="AZ826"/>
  <c r="BB826" s="1"/>
  <c r="AU826"/>
  <c r="AV827"/>
  <c r="AW826"/>
  <c r="BD826" s="1"/>
  <c r="BE826" s="1"/>
  <c r="BF827" l="1"/>
  <c r="BG827" s="1"/>
  <c r="AW827"/>
  <c r="AY827"/>
  <c r="BA827" s="1"/>
  <c r="AZ827"/>
  <c r="BB827" s="1"/>
  <c r="AV828"/>
  <c r="BD827"/>
  <c r="BE827" s="1"/>
  <c r="AU827"/>
  <c r="AR119" i="6"/>
  <c r="AJ815" i="12"/>
  <c r="AK814"/>
  <c r="AL814"/>
  <c r="AN814"/>
  <c r="AO814"/>
  <c r="BY850" i="6"/>
  <c r="BV849"/>
  <c r="BX849" s="1"/>
  <c r="BZ849"/>
  <c r="BW849" s="1"/>
  <c r="BK825" i="5"/>
  <c r="BL825" s="1"/>
  <c r="BD825"/>
  <c r="BF825" s="1"/>
  <c r="BA826"/>
  <c r="BB825"/>
  <c r="BI825" s="1"/>
  <c r="BJ825" s="1"/>
  <c r="AZ825"/>
  <c r="BE825"/>
  <c r="BG825" s="1"/>
  <c r="AJ816" i="12" l="1"/>
  <c r="AL815"/>
  <c r="AO815" s="1"/>
  <c r="AK815"/>
  <c r="AN815"/>
  <c r="AW828" i="4"/>
  <c r="BD828" s="1"/>
  <c r="BE828" s="1"/>
  <c r="AU828"/>
  <c r="AZ828"/>
  <c r="BB828" s="1"/>
  <c r="AV829"/>
  <c r="BF828"/>
  <c r="BG828" s="1"/>
  <c r="AY828"/>
  <c r="BA828" s="1"/>
  <c r="BY851" i="6"/>
  <c r="BZ850"/>
  <c r="BW850" s="1"/>
  <c r="BV850"/>
  <c r="BX850" s="1"/>
  <c r="BB826" i="5"/>
  <c r="AZ826"/>
  <c r="BE826"/>
  <c r="BG826" s="1"/>
  <c r="BK826"/>
  <c r="BL826" s="1"/>
  <c r="BD826"/>
  <c r="BF826" s="1"/>
  <c r="BI826"/>
  <c r="BJ826" s="1"/>
  <c r="BA827"/>
  <c r="AS119" i="6"/>
  <c r="BY852" l="1"/>
  <c r="BZ851"/>
  <c r="BW851" s="1"/>
  <c r="BV851"/>
  <c r="BX851" s="1"/>
  <c r="AK816" i="12"/>
  <c r="AL816"/>
  <c r="AO816" s="1"/>
  <c r="AJ817"/>
  <c r="AN816"/>
  <c r="AU829" i="4"/>
  <c r="AZ829"/>
  <c r="BB829" s="1"/>
  <c r="AV830"/>
  <c r="AY829"/>
  <c r="BA829" s="1"/>
  <c r="AW829"/>
  <c r="BD829" s="1"/>
  <c r="BE829" s="1"/>
  <c r="BF829"/>
  <c r="BG829" s="1"/>
  <c r="AZ827" i="5"/>
  <c r="BE827"/>
  <c r="BG827" s="1"/>
  <c r="BA828"/>
  <c r="BD827"/>
  <c r="BF827" s="1"/>
  <c r="BB827"/>
  <c r="BI827" s="1"/>
  <c r="BJ827" s="1"/>
  <c r="BK827"/>
  <c r="BL827" s="1"/>
  <c r="AR120" i="6"/>
  <c r="AY830" i="4" l="1"/>
  <c r="BA830" s="1"/>
  <c r="BF830"/>
  <c r="BG830" s="1"/>
  <c r="AW830"/>
  <c r="BD830" s="1"/>
  <c r="BE830" s="1"/>
  <c r="AZ830"/>
  <c r="BB830" s="1"/>
  <c r="AV831"/>
  <c r="AU830"/>
  <c r="BV852" i="6"/>
  <c r="BX852" s="1"/>
  <c r="BY853"/>
  <c r="BZ852"/>
  <c r="BW852" s="1"/>
  <c r="AL817" i="12"/>
  <c r="AJ818"/>
  <c r="AK817"/>
  <c r="AO817"/>
  <c r="AN817"/>
  <c r="AS120" i="6"/>
  <c r="BD828" i="5"/>
  <c r="BF828" s="1"/>
  <c r="BB828"/>
  <c r="BK828"/>
  <c r="BL828" s="1"/>
  <c r="AZ828"/>
  <c r="BE828"/>
  <c r="BG828" s="1"/>
  <c r="BI828"/>
  <c r="BJ828" s="1"/>
  <c r="BA829"/>
  <c r="AR121" i="6" l="1"/>
  <c r="AJ819" i="12"/>
  <c r="AL818"/>
  <c r="AK818"/>
  <c r="AN818"/>
  <c r="AO818"/>
  <c r="BZ853" i="6"/>
  <c r="BY854"/>
  <c r="BV853"/>
  <c r="BX853" s="1"/>
  <c r="BW853"/>
  <c r="BF831" i="4"/>
  <c r="BG831" s="1"/>
  <c r="AW831"/>
  <c r="AU831"/>
  <c r="BD831"/>
  <c r="BE831" s="1"/>
  <c r="AZ831"/>
  <c r="BB831" s="1"/>
  <c r="AV832"/>
  <c r="AY831"/>
  <c r="BA831" s="1"/>
  <c r="BK829" i="5"/>
  <c r="BL829" s="1"/>
  <c r="BA830"/>
  <c r="BB829"/>
  <c r="AZ829"/>
  <c r="BI829"/>
  <c r="BJ829" s="1"/>
  <c r="BD829"/>
  <c r="BF829" s="1"/>
  <c r="BE829"/>
  <c r="BG829" s="1"/>
  <c r="AW832" i="4" l="1"/>
  <c r="BD832" s="1"/>
  <c r="BE832" s="1"/>
  <c r="AU832"/>
  <c r="AZ832"/>
  <c r="BB832" s="1"/>
  <c r="AV833"/>
  <c r="BF832"/>
  <c r="BG832" s="1"/>
  <c r="AY832"/>
  <c r="BA832" s="1"/>
  <c r="BY855" i="6"/>
  <c r="BZ854"/>
  <c r="BW854" s="1"/>
  <c r="BV854"/>
  <c r="BX854" s="1"/>
  <c r="AS121"/>
  <c r="AL819" i="12"/>
  <c r="AO819" s="1"/>
  <c r="AK819"/>
  <c r="AN819"/>
  <c r="AJ820"/>
  <c r="BB830" i="5"/>
  <c r="BE830"/>
  <c r="BG830" s="1"/>
  <c r="BK830"/>
  <c r="BL830" s="1"/>
  <c r="BD830"/>
  <c r="BF830" s="1"/>
  <c r="BI830"/>
  <c r="BJ830" s="1"/>
  <c r="BA831"/>
  <c r="AZ830"/>
  <c r="AU833" i="4" l="1"/>
  <c r="AZ833"/>
  <c r="BB833" s="1"/>
  <c r="AV834"/>
  <c r="AY833"/>
  <c r="BA833" s="1"/>
  <c r="BF833"/>
  <c r="BG833" s="1"/>
  <c r="AW833"/>
  <c r="BD833" s="1"/>
  <c r="BE833" s="1"/>
  <c r="AK820" i="12"/>
  <c r="AJ821"/>
  <c r="AN820"/>
  <c r="AO820"/>
  <c r="AL820"/>
  <c r="AZ831" i="5"/>
  <c r="BE831"/>
  <c r="BG831" s="1"/>
  <c r="BA832"/>
  <c r="BB831"/>
  <c r="BI831" s="1"/>
  <c r="BJ831" s="1"/>
  <c r="BK831"/>
  <c r="BL831" s="1"/>
  <c r="BD831"/>
  <c r="BF831" s="1"/>
  <c r="AR122" i="6"/>
  <c r="BY856"/>
  <c r="BZ855"/>
  <c r="BV855"/>
  <c r="BX855" s="1"/>
  <c r="BW855"/>
  <c r="AL821" i="12" l="1"/>
  <c r="AO821" s="1"/>
  <c r="AK821"/>
  <c r="AJ822"/>
  <c r="AN821"/>
  <c r="BZ856" i="6"/>
  <c r="BW856" s="1"/>
  <c r="BY857"/>
  <c r="BV856"/>
  <c r="BX856" s="1"/>
  <c r="AS122"/>
  <c r="BD832" i="5"/>
  <c r="BF832" s="1"/>
  <c r="AZ832"/>
  <c r="BE832"/>
  <c r="BG832" s="1"/>
  <c r="BA833"/>
  <c r="BK832"/>
  <c r="BL832" s="1"/>
  <c r="BB832"/>
  <c r="BI832" s="1"/>
  <c r="BJ832" s="1"/>
  <c r="AY834" i="4"/>
  <c r="BA834" s="1"/>
  <c r="BF834"/>
  <c r="BG834" s="1"/>
  <c r="AZ834"/>
  <c r="BB834" s="1"/>
  <c r="AU834"/>
  <c r="AV835"/>
  <c r="AW834"/>
  <c r="BD834"/>
  <c r="BE834" s="1"/>
  <c r="BY858" i="6" l="1"/>
  <c r="BV857"/>
  <c r="BX857" s="1"/>
  <c r="BZ857"/>
  <c r="BW857" s="1"/>
  <c r="AR123"/>
  <c r="BF835" i="4"/>
  <c r="BG835" s="1"/>
  <c r="AW835"/>
  <c r="AY835"/>
  <c r="BA835" s="1"/>
  <c r="AZ835"/>
  <c r="BB835" s="1"/>
  <c r="AV836"/>
  <c r="BD835"/>
  <c r="BE835" s="1"/>
  <c r="AU835"/>
  <c r="BK833" i="5"/>
  <c r="BL833" s="1"/>
  <c r="BB833"/>
  <c r="AZ833"/>
  <c r="BE833"/>
  <c r="BG833" s="1"/>
  <c r="BI833"/>
  <c r="BJ833" s="1"/>
  <c r="BA834"/>
  <c r="BD833"/>
  <c r="BF833" s="1"/>
  <c r="AJ823" i="12"/>
  <c r="AL822"/>
  <c r="AK822"/>
  <c r="AN822"/>
  <c r="AO822"/>
  <c r="AK823" l="1"/>
  <c r="AO823"/>
  <c r="AN823"/>
  <c r="AL823"/>
  <c r="AJ824"/>
  <c r="BB834" i="5"/>
  <c r="BI834" s="1"/>
  <c r="BJ834" s="1"/>
  <c r="BD834"/>
  <c r="BF834" s="1"/>
  <c r="BA835"/>
  <c r="BE834"/>
  <c r="BG834" s="1"/>
  <c r="AZ834"/>
  <c r="BK834"/>
  <c r="BL834" s="1"/>
  <c r="AW836" i="4"/>
  <c r="AU836"/>
  <c r="AZ836"/>
  <c r="BB836" s="1"/>
  <c r="BD836"/>
  <c r="BE836" s="1"/>
  <c r="AV837"/>
  <c r="AY836"/>
  <c r="BA836" s="1"/>
  <c r="BF836"/>
  <c r="BG836" s="1"/>
  <c r="AS123" i="6"/>
  <c r="BY859"/>
  <c r="BZ858"/>
  <c r="BV858"/>
  <c r="BX858" s="1"/>
  <c r="BW858"/>
  <c r="AU837" i="4" l="1"/>
  <c r="AZ837"/>
  <c r="BB837" s="1"/>
  <c r="AV838"/>
  <c r="AY837"/>
  <c r="BA837" s="1"/>
  <c r="AW837"/>
  <c r="BD837" s="1"/>
  <c r="BE837" s="1"/>
  <c r="BF837"/>
  <c r="BG837" s="1"/>
  <c r="AZ835" i="5"/>
  <c r="BE835"/>
  <c r="BG835" s="1"/>
  <c r="BI835"/>
  <c r="BJ835" s="1"/>
  <c r="BA836"/>
  <c r="BB835"/>
  <c r="BK835"/>
  <c r="BL835" s="1"/>
  <c r="BD835"/>
  <c r="BF835" s="1"/>
  <c r="AK824" i="12"/>
  <c r="AJ825"/>
  <c r="AL824"/>
  <c r="AO824" s="1"/>
  <c r="AN824"/>
  <c r="BY860" i="6"/>
  <c r="BZ859"/>
  <c r="BW859" s="1"/>
  <c r="BV859"/>
  <c r="BX859" s="1"/>
  <c r="AR124"/>
  <c r="BD836" i="5" l="1"/>
  <c r="BF836" s="1"/>
  <c r="BE836"/>
  <c r="BG836" s="1"/>
  <c r="BA837"/>
  <c r="BK836"/>
  <c r="BL836" s="1"/>
  <c r="AZ836"/>
  <c r="BB836"/>
  <c r="BI836" s="1"/>
  <c r="BJ836" s="1"/>
  <c r="AS124" i="6"/>
  <c r="BY861"/>
  <c r="BV860"/>
  <c r="BX860" s="1"/>
  <c r="BZ860"/>
  <c r="BW860" s="1"/>
  <c r="AL825" i="12"/>
  <c r="AJ826"/>
  <c r="AO825"/>
  <c r="AK825"/>
  <c r="AN825"/>
  <c r="AY838" i="4"/>
  <c r="BA838" s="1"/>
  <c r="BF838"/>
  <c r="BG838" s="1"/>
  <c r="AW838"/>
  <c r="BD838" s="1"/>
  <c r="BE838" s="1"/>
  <c r="AV839"/>
  <c r="AU838"/>
  <c r="AZ838"/>
  <c r="BB838" s="1"/>
  <c r="AR125" i="6" l="1"/>
  <c r="BZ861"/>
  <c r="BV861"/>
  <c r="BX861" s="1"/>
  <c r="BW861"/>
  <c r="BY862"/>
  <c r="BF839" i="4"/>
  <c r="BG839" s="1"/>
  <c r="AW839"/>
  <c r="AU839"/>
  <c r="BD839"/>
  <c r="BE839" s="1"/>
  <c r="AZ839"/>
  <c r="BB839" s="1"/>
  <c r="AY839"/>
  <c r="BA839" s="1"/>
  <c r="AV840"/>
  <c r="AJ827" i="12"/>
  <c r="AL826"/>
  <c r="AK826"/>
  <c r="AN826"/>
  <c r="AO826"/>
  <c r="BK837" i="5"/>
  <c r="BL837" s="1"/>
  <c r="AZ837"/>
  <c r="BE837"/>
  <c r="BG837" s="1"/>
  <c r="BD837"/>
  <c r="BF837" s="1"/>
  <c r="BI837"/>
  <c r="BJ837" s="1"/>
  <c r="BB837"/>
  <c r="BA838"/>
  <c r="BB838" l="1"/>
  <c r="BA839"/>
  <c r="AZ838"/>
  <c r="BD838"/>
  <c r="BF838" s="1"/>
  <c r="BK838"/>
  <c r="BL838" s="1"/>
  <c r="BE838"/>
  <c r="BG838" s="1"/>
  <c r="BI838"/>
  <c r="BJ838" s="1"/>
  <c r="AW840" i="4"/>
  <c r="BD840" s="1"/>
  <c r="BE840" s="1"/>
  <c r="AU840"/>
  <c r="AZ840"/>
  <c r="BB840" s="1"/>
  <c r="AV841"/>
  <c r="BF840"/>
  <c r="BG840" s="1"/>
  <c r="AY840"/>
  <c r="BA840" s="1"/>
  <c r="AS125" i="6"/>
  <c r="AJ828" i="12"/>
  <c r="AO827"/>
  <c r="AN827"/>
  <c r="AL827"/>
  <c r="AK827"/>
  <c r="BY863" i="6"/>
  <c r="BZ862"/>
  <c r="BV862"/>
  <c r="BX862" s="1"/>
  <c r="BW862"/>
  <c r="BY864" l="1"/>
  <c r="BZ863"/>
  <c r="BW863" s="1"/>
  <c r="BV863"/>
  <c r="BX863" s="1"/>
  <c r="AK828" i="12"/>
  <c r="AL828"/>
  <c r="AO828" s="1"/>
  <c r="AJ829"/>
  <c r="AN828"/>
  <c r="AZ839" i="5"/>
  <c r="BE839"/>
  <c r="BG839" s="1"/>
  <c r="BA840"/>
  <c r="BK839"/>
  <c r="BL839" s="1"/>
  <c r="BD839"/>
  <c r="BF839" s="1"/>
  <c r="BB839"/>
  <c r="BI839" s="1"/>
  <c r="BJ839" s="1"/>
  <c r="AR126" i="6"/>
  <c r="AU841" i="4"/>
  <c r="AZ841"/>
  <c r="BB841" s="1"/>
  <c r="AV842"/>
  <c r="AY841"/>
  <c r="BA841" s="1"/>
  <c r="BF841"/>
  <c r="BG841" s="1"/>
  <c r="AW841"/>
  <c r="BD841" s="1"/>
  <c r="BE841" s="1"/>
  <c r="AS126" i="6" l="1"/>
  <c r="BD840" i="5"/>
  <c r="BF840" s="1"/>
  <c r="BA841"/>
  <c r="BB840"/>
  <c r="BK840"/>
  <c r="BL840" s="1"/>
  <c r="BE840"/>
  <c r="BG840" s="1"/>
  <c r="BI840"/>
  <c r="BJ840" s="1"/>
  <c r="AZ840"/>
  <c r="BY865" i="6"/>
  <c r="BZ864"/>
  <c r="BW864" s="1"/>
  <c r="BV864"/>
  <c r="BX864" s="1"/>
  <c r="AL829" i="12"/>
  <c r="AO829" s="1"/>
  <c r="AJ830"/>
  <c r="AK829"/>
  <c r="AN829"/>
  <c r="AY842" i="4"/>
  <c r="BA842" s="1"/>
  <c r="BF842"/>
  <c r="BG842" s="1"/>
  <c r="AZ842"/>
  <c r="BB842" s="1"/>
  <c r="AU842"/>
  <c r="AV843"/>
  <c r="AW842"/>
  <c r="BD842" s="1"/>
  <c r="BE842" s="1"/>
  <c r="BY866" i="6" l="1"/>
  <c r="BV865"/>
  <c r="BX865" s="1"/>
  <c r="BZ865"/>
  <c r="BW865" s="1"/>
  <c r="BF843" i="4"/>
  <c r="BG843" s="1"/>
  <c r="AW843"/>
  <c r="AY843"/>
  <c r="BA843" s="1"/>
  <c r="AZ843"/>
  <c r="BB843" s="1"/>
  <c r="AV844"/>
  <c r="BD843"/>
  <c r="BE843" s="1"/>
  <c r="AU843"/>
  <c r="AR127" i="6"/>
  <c r="AJ831" i="12"/>
  <c r="AK830"/>
  <c r="AL830"/>
  <c r="AN830"/>
  <c r="AO830"/>
  <c r="BK841" i="5"/>
  <c r="BL841" s="1"/>
  <c r="BD841"/>
  <c r="BF841" s="1"/>
  <c r="BI841"/>
  <c r="BJ841" s="1"/>
  <c r="BA842"/>
  <c r="BE841"/>
  <c r="BG841" s="1"/>
  <c r="AZ841"/>
  <c r="BB841"/>
  <c r="AW844" i="4" l="1"/>
  <c r="AU844"/>
  <c r="AZ844"/>
  <c r="BB844" s="1"/>
  <c r="BD844"/>
  <c r="BE844" s="1"/>
  <c r="AV845"/>
  <c r="BF844"/>
  <c r="BG844" s="1"/>
  <c r="AY844"/>
  <c r="BA844" s="1"/>
  <c r="AJ832" i="12"/>
  <c r="AL831"/>
  <c r="AO831"/>
  <c r="AN831"/>
  <c r="AK831"/>
  <c r="BY867" i="6"/>
  <c r="BZ866"/>
  <c r="BW866" s="1"/>
  <c r="BV866"/>
  <c r="BX866" s="1"/>
  <c r="BB842" i="5"/>
  <c r="AZ842"/>
  <c r="BE842"/>
  <c r="BG842" s="1"/>
  <c r="BK842"/>
  <c r="BL842" s="1"/>
  <c r="BI842"/>
  <c r="BJ842" s="1"/>
  <c r="BA843"/>
  <c r="BD842"/>
  <c r="BF842" s="1"/>
  <c r="AS127" i="6"/>
  <c r="BY868" l="1"/>
  <c r="BZ867"/>
  <c r="BW867" s="1"/>
  <c r="BV867"/>
  <c r="BX867" s="1"/>
  <c r="AU845" i="4"/>
  <c r="AZ845"/>
  <c r="BB845" s="1"/>
  <c r="BD845"/>
  <c r="BE845" s="1"/>
  <c r="AV846"/>
  <c r="AY845"/>
  <c r="BA845" s="1"/>
  <c r="AW845"/>
  <c r="BF845"/>
  <c r="BG845" s="1"/>
  <c r="AZ843" i="5"/>
  <c r="BE843"/>
  <c r="BG843" s="1"/>
  <c r="BA844"/>
  <c r="BD843"/>
  <c r="BF843" s="1"/>
  <c r="BB843"/>
  <c r="BI843" s="1"/>
  <c r="BJ843" s="1"/>
  <c r="BK843"/>
  <c r="BL843" s="1"/>
  <c r="AR128" i="6"/>
  <c r="AK832" i="12"/>
  <c r="AJ833"/>
  <c r="AL832"/>
  <c r="AN832"/>
  <c r="AO832"/>
  <c r="BV868" i="6" l="1"/>
  <c r="BX868" s="1"/>
  <c r="BY869"/>
  <c r="BZ868"/>
  <c r="BW868" s="1"/>
  <c r="AL833" i="12"/>
  <c r="AO833" s="1"/>
  <c r="AJ834"/>
  <c r="AK833"/>
  <c r="AN833"/>
  <c r="AS128" i="6"/>
  <c r="BD844" i="5"/>
  <c r="BF844" s="1"/>
  <c r="BB844"/>
  <c r="BK844"/>
  <c r="BL844" s="1"/>
  <c r="AZ844"/>
  <c r="BI844"/>
  <c r="BJ844" s="1"/>
  <c r="BA845"/>
  <c r="BE844"/>
  <c r="BG844" s="1"/>
  <c r="AY846" i="4"/>
  <c r="BA846" s="1"/>
  <c r="BF846"/>
  <c r="BG846" s="1"/>
  <c r="AW846"/>
  <c r="BD846"/>
  <c r="BE846" s="1"/>
  <c r="AU846"/>
  <c r="AZ846"/>
  <c r="BB846" s="1"/>
  <c r="AV847"/>
  <c r="BF847" l="1"/>
  <c r="BG847" s="1"/>
  <c r="AW847"/>
  <c r="AU847"/>
  <c r="BD847"/>
  <c r="BE847" s="1"/>
  <c r="AZ847"/>
  <c r="BB847" s="1"/>
  <c r="AY847"/>
  <c r="BA847" s="1"/>
  <c r="AV848"/>
  <c r="BK845" i="5"/>
  <c r="BL845" s="1"/>
  <c r="BA846"/>
  <c r="BB845"/>
  <c r="BD845"/>
  <c r="BF845" s="1"/>
  <c r="BE845"/>
  <c r="BG845" s="1"/>
  <c r="BI845"/>
  <c r="BJ845" s="1"/>
  <c r="AZ845"/>
  <c r="AR129" i="6"/>
  <c r="AJ835" i="12"/>
  <c r="AN834"/>
  <c r="AK834"/>
  <c r="AL834"/>
  <c r="AO834" s="1"/>
  <c r="BV869" i="6"/>
  <c r="BX869" s="1"/>
  <c r="BZ869"/>
  <c r="BY870"/>
  <c r="BW869"/>
  <c r="BB846" i="5" l="1"/>
  <c r="BE846"/>
  <c r="BG846" s="1"/>
  <c r="BK846"/>
  <c r="BL846" s="1"/>
  <c r="BD846"/>
  <c r="BF846" s="1"/>
  <c r="BI846"/>
  <c r="BJ846" s="1"/>
  <c r="AZ846"/>
  <c r="BA847"/>
  <c r="AS129" i="6"/>
  <c r="AW848" i="4"/>
  <c r="AU848"/>
  <c r="AZ848"/>
  <c r="BB848" s="1"/>
  <c r="BD848"/>
  <c r="BE848" s="1"/>
  <c r="AV849"/>
  <c r="BF848"/>
  <c r="BG848" s="1"/>
  <c r="AY848"/>
  <c r="BA848" s="1"/>
  <c r="AL835" i="12"/>
  <c r="AO835" s="1"/>
  <c r="AK835"/>
  <c r="AJ836"/>
  <c r="AN835"/>
  <c r="BY871" i="6"/>
  <c r="BZ870"/>
  <c r="BV870"/>
  <c r="BX870" s="1"/>
  <c r="BW870"/>
  <c r="AK836" i="12" l="1"/>
  <c r="AJ837"/>
  <c r="AL836"/>
  <c r="AN836"/>
  <c r="AO836"/>
  <c r="BY872" i="6"/>
  <c r="BV871"/>
  <c r="BX871" s="1"/>
  <c r="BZ871"/>
  <c r="BW871"/>
  <c r="AU849" i="4"/>
  <c r="AZ849"/>
  <c r="BB849" s="1"/>
  <c r="AV850"/>
  <c r="AY849"/>
  <c r="BA849" s="1"/>
  <c r="BF849"/>
  <c r="BG849" s="1"/>
  <c r="AW849"/>
  <c r="BD849" s="1"/>
  <c r="BE849" s="1"/>
  <c r="AZ847" i="5"/>
  <c r="BE847"/>
  <c r="BG847" s="1"/>
  <c r="BI847"/>
  <c r="BJ847" s="1"/>
  <c r="BA848"/>
  <c r="BB847"/>
  <c r="BD847"/>
  <c r="BF847" s="1"/>
  <c r="BK847"/>
  <c r="BL847" s="1"/>
  <c r="AR130" i="6"/>
  <c r="AY850" i="4" l="1"/>
  <c r="BA850" s="1"/>
  <c r="BF850"/>
  <c r="BG850" s="1"/>
  <c r="AZ850"/>
  <c r="BB850" s="1"/>
  <c r="AU850"/>
  <c r="AV851"/>
  <c r="AW850"/>
  <c r="BD850" s="1"/>
  <c r="BE850" s="1"/>
  <c r="BV872" i="6"/>
  <c r="BX872" s="1"/>
  <c r="BZ872"/>
  <c r="BW872" s="1"/>
  <c r="BY873"/>
  <c r="AL837" i="12"/>
  <c r="AO837" s="1"/>
  <c r="AK837"/>
  <c r="AN837"/>
  <c r="AJ838"/>
  <c r="AS130" i="6"/>
  <c r="BD848" i="5"/>
  <c r="BF848" s="1"/>
  <c r="AZ848"/>
  <c r="BE848"/>
  <c r="BG848" s="1"/>
  <c r="BI848"/>
  <c r="BJ848" s="1"/>
  <c r="BB848"/>
  <c r="BK848"/>
  <c r="BL848" s="1"/>
  <c r="BA849"/>
  <c r="BY874" i="6" l="1"/>
  <c r="BV873"/>
  <c r="BX873" s="1"/>
  <c r="BW873"/>
  <c r="BZ873"/>
  <c r="AR131"/>
  <c r="BF851" i="4"/>
  <c r="BG851" s="1"/>
  <c r="AW851"/>
  <c r="AY851"/>
  <c r="BA851" s="1"/>
  <c r="AZ851"/>
  <c r="BB851" s="1"/>
  <c r="AV852"/>
  <c r="AU851"/>
  <c r="BD851"/>
  <c r="BE851" s="1"/>
  <c r="BK849" i="5"/>
  <c r="BL849" s="1"/>
  <c r="BB849"/>
  <c r="AZ849"/>
  <c r="BE849"/>
  <c r="BG849" s="1"/>
  <c r="BD849"/>
  <c r="BF849" s="1"/>
  <c r="BI849"/>
  <c r="BJ849" s="1"/>
  <c r="BA850"/>
  <c r="AJ839" i="12"/>
  <c r="AL838"/>
  <c r="AK838"/>
  <c r="AN838"/>
  <c r="AO838"/>
  <c r="AS131" i="6" l="1"/>
  <c r="BY875"/>
  <c r="BZ874"/>
  <c r="BV874"/>
  <c r="BX874" s="1"/>
  <c r="BW874"/>
  <c r="AK839" i="12"/>
  <c r="AJ840"/>
  <c r="AL839"/>
  <c r="AO839" s="1"/>
  <c r="AN839"/>
  <c r="AW852" i="4"/>
  <c r="AU852"/>
  <c r="AZ852"/>
  <c r="BB852" s="1"/>
  <c r="BD852"/>
  <c r="BE852" s="1"/>
  <c r="AV853"/>
  <c r="AY852"/>
  <c r="BA852" s="1"/>
  <c r="BF852"/>
  <c r="BG852" s="1"/>
  <c r="BB850" i="5"/>
  <c r="BD850"/>
  <c r="BF850" s="1"/>
  <c r="BI850"/>
  <c r="BJ850" s="1"/>
  <c r="BA851"/>
  <c r="AZ850"/>
  <c r="BK850"/>
  <c r="BL850" s="1"/>
  <c r="BE850"/>
  <c r="BG850" s="1"/>
  <c r="AR132" i="6" l="1"/>
  <c r="BY876"/>
  <c r="BZ875"/>
  <c r="BW875" s="1"/>
  <c r="BV875"/>
  <c r="BX875" s="1"/>
  <c r="AZ851" i="5"/>
  <c r="BE851"/>
  <c r="BG851" s="1"/>
  <c r="BI851"/>
  <c r="BJ851" s="1"/>
  <c r="BA852"/>
  <c r="BB851"/>
  <c r="BK851"/>
  <c r="BL851" s="1"/>
  <c r="BD851"/>
  <c r="BF851" s="1"/>
  <c r="AU853" i="4"/>
  <c r="AZ853"/>
  <c r="BB853" s="1"/>
  <c r="BD853"/>
  <c r="BE853" s="1"/>
  <c r="AV854"/>
  <c r="AY853"/>
  <c r="BA853" s="1"/>
  <c r="AW853"/>
  <c r="BF853"/>
  <c r="BG853" s="1"/>
  <c r="AK840" i="12"/>
  <c r="AJ841"/>
  <c r="AL840"/>
  <c r="AO840"/>
  <c r="AN840"/>
  <c r="AS132" i="6" l="1"/>
  <c r="AL841" i="12"/>
  <c r="AO841" s="1"/>
  <c r="AN841"/>
  <c r="AJ842"/>
  <c r="AK841"/>
  <c r="BD852" i="5"/>
  <c r="BF852" s="1"/>
  <c r="BE852"/>
  <c r="BG852" s="1"/>
  <c r="BA853"/>
  <c r="BB852"/>
  <c r="BI852" s="1"/>
  <c r="BJ852" s="1"/>
  <c r="BK852"/>
  <c r="BL852" s="1"/>
  <c r="AZ852"/>
  <c r="AY854" i="4"/>
  <c r="BA854" s="1"/>
  <c r="BF854"/>
  <c r="BG854" s="1"/>
  <c r="AW854"/>
  <c r="BD854" s="1"/>
  <c r="BE854" s="1"/>
  <c r="AV855"/>
  <c r="AU854"/>
  <c r="AZ854"/>
  <c r="BB854" s="1"/>
  <c r="BY877" i="6"/>
  <c r="BZ876"/>
  <c r="BV876"/>
  <c r="BX876" s="1"/>
  <c r="BW876"/>
  <c r="BZ877" l="1"/>
  <c r="BW877" s="1"/>
  <c r="BV877"/>
  <c r="BX877" s="1"/>
  <c r="BY878"/>
  <c r="AJ843" i="12"/>
  <c r="AL842"/>
  <c r="AK842"/>
  <c r="AN842"/>
  <c r="AO842"/>
  <c r="AR133" i="6"/>
  <c r="BF855" i="4"/>
  <c r="BG855" s="1"/>
  <c r="AW855"/>
  <c r="BD855" s="1"/>
  <c r="BE855" s="1"/>
  <c r="AU855"/>
  <c r="AY855"/>
  <c r="BA855" s="1"/>
  <c r="AV856"/>
  <c r="AZ855"/>
  <c r="BB855" s="1"/>
  <c r="BK853" i="5"/>
  <c r="BL853" s="1"/>
  <c r="AZ853"/>
  <c r="BE853"/>
  <c r="BG853" s="1"/>
  <c r="BD853"/>
  <c r="BF853" s="1"/>
  <c r="BA854"/>
  <c r="BB853"/>
  <c r="BI853" s="1"/>
  <c r="BJ853" s="1"/>
  <c r="AW856" i="4" l="1"/>
  <c r="BD856" s="1"/>
  <c r="BE856" s="1"/>
  <c r="AU856"/>
  <c r="AZ856"/>
  <c r="BB856" s="1"/>
  <c r="AV857"/>
  <c r="BF856"/>
  <c r="BG856" s="1"/>
  <c r="AY856"/>
  <c r="BA856" s="1"/>
  <c r="AS133" i="6"/>
  <c r="AJ844" i="12"/>
  <c r="AL843"/>
  <c r="AO843" s="1"/>
  <c r="AK843"/>
  <c r="AN843"/>
  <c r="BB854" i="5"/>
  <c r="BI854" s="1"/>
  <c r="BJ854" s="1"/>
  <c r="BA855"/>
  <c r="AZ854"/>
  <c r="BK854"/>
  <c r="BL854" s="1"/>
  <c r="BD854"/>
  <c r="BF854" s="1"/>
  <c r="BE854"/>
  <c r="BG854" s="1"/>
  <c r="BY879" i="6"/>
  <c r="BZ878"/>
  <c r="BV878"/>
  <c r="BX878" s="1"/>
  <c r="BW878"/>
  <c r="AU857" i="4" l="1"/>
  <c r="AZ857"/>
  <c r="BB857" s="1"/>
  <c r="AV858"/>
  <c r="AY857"/>
  <c r="BA857" s="1"/>
  <c r="BF857"/>
  <c r="BG857" s="1"/>
  <c r="AW857"/>
  <c r="BD857" s="1"/>
  <c r="BE857" s="1"/>
  <c r="BY880" i="6"/>
  <c r="BZ879"/>
  <c r="BW879" s="1"/>
  <c r="BV879"/>
  <c r="BX879" s="1"/>
  <c r="AK844" i="12"/>
  <c r="AL844"/>
  <c r="AO844" s="1"/>
  <c r="AJ845"/>
  <c r="AN844"/>
  <c r="AZ855" i="5"/>
  <c r="BE855"/>
  <c r="BG855" s="1"/>
  <c r="BA856"/>
  <c r="BK855"/>
  <c r="BL855" s="1"/>
  <c r="BD855"/>
  <c r="BF855" s="1"/>
  <c r="BB855"/>
  <c r="BI855" s="1"/>
  <c r="BJ855" s="1"/>
  <c r="AR134" i="6"/>
  <c r="AL845" i="12" l="1"/>
  <c r="AO845" s="1"/>
  <c r="AJ846"/>
  <c r="AN845"/>
  <c r="AK845"/>
  <c r="AS134" i="6"/>
  <c r="BD856" i="5"/>
  <c r="BF856" s="1"/>
  <c r="BA857"/>
  <c r="BB856"/>
  <c r="BK856"/>
  <c r="BL856" s="1"/>
  <c r="AZ856"/>
  <c r="BI856"/>
  <c r="BJ856" s="1"/>
  <c r="BE856"/>
  <c r="BG856" s="1"/>
  <c r="BY881" i="6"/>
  <c r="BZ880"/>
  <c r="BW880"/>
  <c r="BV880"/>
  <c r="BX880" s="1"/>
  <c r="AY858" i="4"/>
  <c r="BA858" s="1"/>
  <c r="BF858"/>
  <c r="BG858" s="1"/>
  <c r="AZ858"/>
  <c r="BB858" s="1"/>
  <c r="AU858"/>
  <c r="AV859"/>
  <c r="AW858"/>
  <c r="BD858" s="1"/>
  <c r="BE858" s="1"/>
  <c r="BK857" i="5" l="1"/>
  <c r="BL857" s="1"/>
  <c r="BD857"/>
  <c r="BF857" s="1"/>
  <c r="BA858"/>
  <c r="BB857"/>
  <c r="BI857" s="1"/>
  <c r="BJ857" s="1"/>
  <c r="BE857"/>
  <c r="BG857" s="1"/>
  <c r="AZ857"/>
  <c r="AR135" i="6"/>
  <c r="AJ847" i="12"/>
  <c r="AK846"/>
  <c r="AL846"/>
  <c r="AN846"/>
  <c r="AO846"/>
  <c r="BF859" i="4"/>
  <c r="BG859" s="1"/>
  <c r="AW859"/>
  <c r="AY859"/>
  <c r="BA859" s="1"/>
  <c r="AZ859"/>
  <c r="BB859" s="1"/>
  <c r="AV860"/>
  <c r="BD859"/>
  <c r="BE859" s="1"/>
  <c r="AU859"/>
  <c r="BY882" i="6"/>
  <c r="BV881"/>
  <c r="BX881" s="1"/>
  <c r="BZ881"/>
  <c r="BW881" s="1"/>
  <c r="BY883" l="1"/>
  <c r="BZ882"/>
  <c r="BW882" s="1"/>
  <c r="BV882"/>
  <c r="BX882" s="1"/>
  <c r="AJ848" i="12"/>
  <c r="AL847"/>
  <c r="AK847"/>
  <c r="AO847"/>
  <c r="AN847"/>
  <c r="AW860" i="4"/>
  <c r="AU860"/>
  <c r="AZ860"/>
  <c r="BB860" s="1"/>
  <c r="BD860"/>
  <c r="BE860" s="1"/>
  <c r="AV861"/>
  <c r="BF860"/>
  <c r="BG860" s="1"/>
  <c r="AY860"/>
  <c r="BA860" s="1"/>
  <c r="AS135" i="6"/>
  <c r="BB858" i="5"/>
  <c r="AZ858"/>
  <c r="BE858"/>
  <c r="BG858" s="1"/>
  <c r="BK858"/>
  <c r="BL858" s="1"/>
  <c r="BD858"/>
  <c r="BF858" s="1"/>
  <c r="BA859"/>
  <c r="BI858"/>
  <c r="BJ858" s="1"/>
  <c r="AU861" i="4" l="1"/>
  <c r="AZ861"/>
  <c r="BB861" s="1"/>
  <c r="AV862"/>
  <c r="AY861"/>
  <c r="BA861" s="1"/>
  <c r="AW861"/>
  <c r="BD861" s="1"/>
  <c r="BE861" s="1"/>
  <c r="BF861"/>
  <c r="BG861" s="1"/>
  <c r="AR136" i="6"/>
  <c r="AK848" i="12"/>
  <c r="AL848"/>
  <c r="AN848"/>
  <c r="AJ849"/>
  <c r="AO848"/>
  <c r="BY884" i="6"/>
  <c r="BZ883"/>
  <c r="BV883"/>
  <c r="BX883" s="1"/>
  <c r="BW883"/>
  <c r="AZ859" i="5"/>
  <c r="BE859"/>
  <c r="BG859" s="1"/>
  <c r="BI859"/>
  <c r="BJ859" s="1"/>
  <c r="BA860"/>
  <c r="BD859"/>
  <c r="BF859" s="1"/>
  <c r="BB859"/>
  <c r="BK859"/>
  <c r="BL859" s="1"/>
  <c r="AL849" i="12" l="1"/>
  <c r="AO849" s="1"/>
  <c r="AJ850"/>
  <c r="AK849"/>
  <c r="AN849"/>
  <c r="BY885" i="6"/>
  <c r="BV884"/>
  <c r="BX884" s="1"/>
  <c r="BZ884"/>
  <c r="BW884"/>
  <c r="BD860" i="5"/>
  <c r="BF860" s="1"/>
  <c r="BB860"/>
  <c r="BI860" s="1"/>
  <c r="BJ860" s="1"/>
  <c r="BK860"/>
  <c r="BL860" s="1"/>
  <c r="AZ860"/>
  <c r="BE860"/>
  <c r="BG860" s="1"/>
  <c r="BA861"/>
  <c r="AS136" i="6"/>
  <c r="AY862" i="4"/>
  <c r="BA862" s="1"/>
  <c r="BF862"/>
  <c r="BG862" s="1"/>
  <c r="AW862"/>
  <c r="BD862" s="1"/>
  <c r="BE862" s="1"/>
  <c r="AZ862"/>
  <c r="BB862" s="1"/>
  <c r="AV863"/>
  <c r="AU862"/>
  <c r="BZ885" i="6" l="1"/>
  <c r="BW885" s="1"/>
  <c r="BV885"/>
  <c r="BX885" s="1"/>
  <c r="BY886"/>
  <c r="AJ851" i="12"/>
  <c r="AL850"/>
  <c r="AK850"/>
  <c r="AN850"/>
  <c r="AO850"/>
  <c r="BK861" i="5"/>
  <c r="BL861" s="1"/>
  <c r="BA862"/>
  <c r="BB861"/>
  <c r="AZ861"/>
  <c r="BI861"/>
  <c r="BJ861" s="1"/>
  <c r="BE861"/>
  <c r="BG861" s="1"/>
  <c r="BD861"/>
  <c r="BF861" s="1"/>
  <c r="AR137" i="6"/>
  <c r="BF863" i="4"/>
  <c r="BG863" s="1"/>
  <c r="AW863"/>
  <c r="AU863"/>
  <c r="BD863"/>
  <c r="BE863" s="1"/>
  <c r="AZ863"/>
  <c r="BB863" s="1"/>
  <c r="AV864"/>
  <c r="AY863"/>
  <c r="BA863" s="1"/>
  <c r="AS137" i="6" l="1"/>
  <c r="AL851" i="12"/>
  <c r="AK851"/>
  <c r="AO851"/>
  <c r="AN851"/>
  <c r="AJ852"/>
  <c r="BB862" i="5"/>
  <c r="BE862"/>
  <c r="BG862" s="1"/>
  <c r="BK862"/>
  <c r="BL862" s="1"/>
  <c r="BD862"/>
  <c r="BF862" s="1"/>
  <c r="BI862"/>
  <c r="BJ862" s="1"/>
  <c r="BA863"/>
  <c r="AZ862"/>
  <c r="BY887" i="6"/>
  <c r="BZ886"/>
  <c r="BV886"/>
  <c r="BX886" s="1"/>
  <c r="BW886"/>
  <c r="AW864" i="4"/>
  <c r="AU864"/>
  <c r="AZ864"/>
  <c r="BB864" s="1"/>
  <c r="BD864"/>
  <c r="BE864" s="1"/>
  <c r="AV865"/>
  <c r="BF864"/>
  <c r="BG864" s="1"/>
  <c r="AY864"/>
  <c r="BA864" s="1"/>
  <c r="AU865" l="1"/>
  <c r="AZ865"/>
  <c r="BB865" s="1"/>
  <c r="AV866"/>
  <c r="AY865"/>
  <c r="BA865" s="1"/>
  <c r="BF865"/>
  <c r="BG865" s="1"/>
  <c r="AW865"/>
  <c r="BD865" s="1"/>
  <c r="BE865" s="1"/>
  <c r="BY888" i="6"/>
  <c r="BZ887"/>
  <c r="BW887" s="1"/>
  <c r="BV887"/>
  <c r="BX887" s="1"/>
  <c r="AK852" i="12"/>
  <c r="AJ853"/>
  <c r="AL852"/>
  <c r="AO852" s="1"/>
  <c r="AN852"/>
  <c r="AZ863" i="5"/>
  <c r="BE863"/>
  <c r="BG863" s="1"/>
  <c r="BA864"/>
  <c r="BB863"/>
  <c r="BI863" s="1"/>
  <c r="BJ863" s="1"/>
  <c r="BK863"/>
  <c r="BL863" s="1"/>
  <c r="BD863"/>
  <c r="BF863" s="1"/>
  <c r="AR138" i="6"/>
  <c r="AL853" i="12" l="1"/>
  <c r="AK853"/>
  <c r="AO853"/>
  <c r="AJ854"/>
  <c r="AN853"/>
  <c r="AS138" i="6"/>
  <c r="BD864" i="5"/>
  <c r="BF864" s="1"/>
  <c r="AZ864"/>
  <c r="BE864"/>
  <c r="BG864" s="1"/>
  <c r="BI864"/>
  <c r="BJ864" s="1"/>
  <c r="BA865"/>
  <c r="BB864"/>
  <c r="BK864"/>
  <c r="BL864" s="1"/>
  <c r="BZ888" i="6"/>
  <c r="BV888"/>
  <c r="BX888" s="1"/>
  <c r="BY889"/>
  <c r="BW888"/>
  <c r="AY866" i="4"/>
  <c r="BA866" s="1"/>
  <c r="BF866"/>
  <c r="BG866" s="1"/>
  <c r="AZ866"/>
  <c r="BB866" s="1"/>
  <c r="AU866"/>
  <c r="AV867"/>
  <c r="AW866"/>
  <c r="BD866"/>
  <c r="BE866" s="1"/>
  <c r="AR139" i="6" l="1"/>
  <c r="BF867" i="4"/>
  <c r="BG867" s="1"/>
  <c r="AW867"/>
  <c r="AY867"/>
  <c r="BA867" s="1"/>
  <c r="AZ867"/>
  <c r="BB867" s="1"/>
  <c r="AV868"/>
  <c r="BD867"/>
  <c r="BE867" s="1"/>
  <c r="AU867"/>
  <c r="BY890" i="6"/>
  <c r="BV889"/>
  <c r="BX889" s="1"/>
  <c r="BZ889"/>
  <c r="BW889" s="1"/>
  <c r="BK865" i="5"/>
  <c r="BL865" s="1"/>
  <c r="BB865"/>
  <c r="BI865" s="1"/>
  <c r="BJ865" s="1"/>
  <c r="AZ865"/>
  <c r="BE865"/>
  <c r="BG865" s="1"/>
  <c r="BA866"/>
  <c r="BD865"/>
  <c r="BF865" s="1"/>
  <c r="AJ855" i="12"/>
  <c r="AL854"/>
  <c r="AK854"/>
  <c r="AN854"/>
  <c r="AO854"/>
  <c r="AK855" l="1"/>
  <c r="AO855"/>
  <c r="AN855"/>
  <c r="AJ856"/>
  <c r="AL855"/>
  <c r="AS139" i="6"/>
  <c r="BY891"/>
  <c r="BZ890"/>
  <c r="BV890"/>
  <c r="BX890" s="1"/>
  <c r="BW890"/>
  <c r="BB866" i="5"/>
  <c r="BD866"/>
  <c r="BF866" s="1"/>
  <c r="BI866"/>
  <c r="BJ866" s="1"/>
  <c r="BA867"/>
  <c r="BE866"/>
  <c r="BG866" s="1"/>
  <c r="AZ866"/>
  <c r="BK866"/>
  <c r="BL866" s="1"/>
  <c r="AW868" i="4"/>
  <c r="AU868"/>
  <c r="AZ868"/>
  <c r="BB868" s="1"/>
  <c r="BD868"/>
  <c r="BE868" s="1"/>
  <c r="AV869"/>
  <c r="AY868"/>
  <c r="BA868" s="1"/>
  <c r="BF868"/>
  <c r="BG868" s="1"/>
  <c r="AR140" i="6" l="1"/>
  <c r="AU869" i="4"/>
  <c r="AZ869"/>
  <c r="BB869" s="1"/>
  <c r="AV870"/>
  <c r="AY869"/>
  <c r="BA869" s="1"/>
  <c r="AW869"/>
  <c r="BD869" s="1"/>
  <c r="BE869" s="1"/>
  <c r="BF869"/>
  <c r="BG869" s="1"/>
  <c r="AZ867" i="5"/>
  <c r="BE867"/>
  <c r="BG867" s="1"/>
  <c r="BI867"/>
  <c r="BJ867" s="1"/>
  <c r="BA868"/>
  <c r="BB867"/>
  <c r="BK867"/>
  <c r="BL867" s="1"/>
  <c r="BD867"/>
  <c r="BF867" s="1"/>
  <c r="BY892" i="6"/>
  <c r="BV891"/>
  <c r="BX891" s="1"/>
  <c r="BZ891"/>
  <c r="BW891" s="1"/>
  <c r="AK856" i="12"/>
  <c r="AJ857"/>
  <c r="AL856"/>
  <c r="AO856" s="1"/>
  <c r="AN856"/>
  <c r="BY893" i="6" l="1"/>
  <c r="BZ892"/>
  <c r="BW892" s="1"/>
  <c r="BV892"/>
  <c r="BX892" s="1"/>
  <c r="BD868" i="5"/>
  <c r="BF868" s="1"/>
  <c r="BE868"/>
  <c r="BG868" s="1"/>
  <c r="BA869"/>
  <c r="BK868"/>
  <c r="BL868" s="1"/>
  <c r="AZ868"/>
  <c r="BB868"/>
  <c r="BI868" s="1"/>
  <c r="BJ868" s="1"/>
  <c r="AS140" i="6"/>
  <c r="AL857" i="12"/>
  <c r="AO857" s="1"/>
  <c r="AJ858"/>
  <c r="AK857"/>
  <c r="AN857"/>
  <c r="AY870" i="4"/>
  <c r="BA870" s="1"/>
  <c r="BF870"/>
  <c r="BG870" s="1"/>
  <c r="AW870"/>
  <c r="BD870" s="1"/>
  <c r="BE870" s="1"/>
  <c r="AZ870"/>
  <c r="BB870" s="1"/>
  <c r="AU870"/>
  <c r="AV871"/>
  <c r="BF871" l="1"/>
  <c r="BG871" s="1"/>
  <c r="AW871"/>
  <c r="BD871" s="1"/>
  <c r="BE871" s="1"/>
  <c r="AU871"/>
  <c r="AY871"/>
  <c r="BA871" s="1"/>
  <c r="AV872"/>
  <c r="AZ871"/>
  <c r="BB871" s="1"/>
  <c r="BZ893" i="6"/>
  <c r="BV893"/>
  <c r="BX893" s="1"/>
  <c r="BW893"/>
  <c r="BY894"/>
  <c r="AJ859" i="12"/>
  <c r="AL858"/>
  <c r="AO858" s="1"/>
  <c r="AK858"/>
  <c r="AN858"/>
  <c r="AR141" i="6"/>
  <c r="BK869" i="5"/>
  <c r="BL869" s="1"/>
  <c r="AZ869"/>
  <c r="BE869"/>
  <c r="BG869" s="1"/>
  <c r="BD869"/>
  <c r="BF869" s="1"/>
  <c r="BI869"/>
  <c r="BJ869" s="1"/>
  <c r="BB869"/>
  <c r="BA870"/>
  <c r="BB870" l="1"/>
  <c r="BI870" s="1"/>
  <c r="BJ870" s="1"/>
  <c r="BA871"/>
  <c r="AZ870"/>
  <c r="BD870"/>
  <c r="BF870" s="1"/>
  <c r="BK870"/>
  <c r="BL870" s="1"/>
  <c r="BE870"/>
  <c r="BG870" s="1"/>
  <c r="AW872" i="4"/>
  <c r="BD872" s="1"/>
  <c r="BE872" s="1"/>
  <c r="AU872"/>
  <c r="AZ872"/>
  <c r="BB872" s="1"/>
  <c r="AV873"/>
  <c r="BF872"/>
  <c r="BG872" s="1"/>
  <c r="AY872"/>
  <c r="BA872" s="1"/>
  <c r="AS141" i="6"/>
  <c r="BY895"/>
  <c r="BZ894"/>
  <c r="BV894"/>
  <c r="BX894" s="1"/>
  <c r="BW894"/>
  <c r="AJ860" i="12"/>
  <c r="AN859"/>
  <c r="AK859"/>
  <c r="AL859"/>
  <c r="AO859" s="1"/>
  <c r="AK860" l="1"/>
  <c r="AL860"/>
  <c r="AJ861"/>
  <c r="AN860"/>
  <c r="AO860"/>
  <c r="AZ871" i="5"/>
  <c r="BE871"/>
  <c r="BG871" s="1"/>
  <c r="BA872"/>
  <c r="BK871"/>
  <c r="BL871" s="1"/>
  <c r="BD871"/>
  <c r="BF871" s="1"/>
  <c r="BB871"/>
  <c r="BI871" s="1"/>
  <c r="BJ871" s="1"/>
  <c r="BY896" i="6"/>
  <c r="BZ895"/>
  <c r="BW895" s="1"/>
  <c r="BV895"/>
  <c r="BX895" s="1"/>
  <c r="AR142"/>
  <c r="AU873" i="4"/>
  <c r="AZ873"/>
  <c r="BB873" s="1"/>
  <c r="AV874"/>
  <c r="AY873"/>
  <c r="BA873" s="1"/>
  <c r="BF873"/>
  <c r="BG873" s="1"/>
  <c r="AW873"/>
  <c r="BD873" s="1"/>
  <c r="BE873" s="1"/>
  <c r="BY897" i="6" l="1"/>
  <c r="BZ896"/>
  <c r="BW896" s="1"/>
  <c r="BV896"/>
  <c r="BX896" s="1"/>
  <c r="AY874" i="4"/>
  <c r="BA874" s="1"/>
  <c r="BF874"/>
  <c r="BG874" s="1"/>
  <c r="AZ874"/>
  <c r="BB874" s="1"/>
  <c r="AU874"/>
  <c r="AV875"/>
  <c r="BD874"/>
  <c r="BE874" s="1"/>
  <c r="AW874"/>
  <c r="AS142" i="6"/>
  <c r="BD872" i="5"/>
  <c r="BF872" s="1"/>
  <c r="BA873"/>
  <c r="BB872"/>
  <c r="BK872"/>
  <c r="BL872" s="1"/>
  <c r="BE872"/>
  <c r="BG872" s="1"/>
  <c r="AZ872"/>
  <c r="BI872"/>
  <c r="BJ872" s="1"/>
  <c r="AL861" i="12"/>
  <c r="AO861" s="1"/>
  <c r="AJ862"/>
  <c r="AK861"/>
  <c r="AN861"/>
  <c r="BY898" i="6" l="1"/>
  <c r="BV897"/>
  <c r="BX897" s="1"/>
  <c r="BZ897"/>
  <c r="BW897" s="1"/>
  <c r="AJ863" i="12"/>
  <c r="AK862"/>
  <c r="AN862"/>
  <c r="AL862"/>
  <c r="AO862"/>
  <c r="BF875" i="4"/>
  <c r="BG875" s="1"/>
  <c r="AW875"/>
  <c r="AY875"/>
  <c r="BA875" s="1"/>
  <c r="AZ875"/>
  <c r="BB875" s="1"/>
  <c r="AV876"/>
  <c r="BD875"/>
  <c r="BE875" s="1"/>
  <c r="AU875"/>
  <c r="BK873" i="5"/>
  <c r="BL873" s="1"/>
  <c r="BD873"/>
  <c r="BF873" s="1"/>
  <c r="BA874"/>
  <c r="BE873"/>
  <c r="BG873" s="1"/>
  <c r="AZ873"/>
  <c r="BB873"/>
  <c r="BI873" s="1"/>
  <c r="BJ873" s="1"/>
  <c r="AR143" i="6"/>
  <c r="AW876" i="4" l="1"/>
  <c r="BD876" s="1"/>
  <c r="BE876" s="1"/>
  <c r="AU876"/>
  <c r="AZ876"/>
  <c r="BB876" s="1"/>
  <c r="AV877"/>
  <c r="BF876"/>
  <c r="BG876" s="1"/>
  <c r="AY876"/>
  <c r="BA876" s="1"/>
  <c r="AJ864" i="12"/>
  <c r="AL863"/>
  <c r="AO863" s="1"/>
  <c r="AN863"/>
  <c r="AK863"/>
  <c r="BY899" i="6"/>
  <c r="BZ898"/>
  <c r="BW898" s="1"/>
  <c r="BV898"/>
  <c r="BX898" s="1"/>
  <c r="AS143"/>
  <c r="BB874" i="5"/>
  <c r="AZ874"/>
  <c r="BE874"/>
  <c r="BG874" s="1"/>
  <c r="BK874"/>
  <c r="BL874" s="1"/>
  <c r="BI874"/>
  <c r="BJ874" s="1"/>
  <c r="BA875"/>
  <c r="BD874"/>
  <c r="BF874" s="1"/>
  <c r="AR144" i="6" l="1"/>
  <c r="BY900"/>
  <c r="BZ899"/>
  <c r="BW899" s="1"/>
  <c r="BV899"/>
  <c r="BX899" s="1"/>
  <c r="AU877" i="4"/>
  <c r="AZ877"/>
  <c r="BB877" s="1"/>
  <c r="BD877"/>
  <c r="BE877" s="1"/>
  <c r="AV878"/>
  <c r="AY877"/>
  <c r="BA877" s="1"/>
  <c r="AW877"/>
  <c r="BF877"/>
  <c r="BG877" s="1"/>
  <c r="AZ875" i="5"/>
  <c r="BE875"/>
  <c r="BG875" s="1"/>
  <c r="BA876"/>
  <c r="BD875"/>
  <c r="BF875" s="1"/>
  <c r="BB875"/>
  <c r="BI875" s="1"/>
  <c r="BJ875" s="1"/>
  <c r="BK875"/>
  <c r="BL875" s="1"/>
  <c r="AK864" i="12"/>
  <c r="AJ865"/>
  <c r="AL864"/>
  <c r="AN864"/>
  <c r="AO864"/>
  <c r="AS144" i="6" l="1"/>
  <c r="AL865" i="12"/>
  <c r="AJ866"/>
  <c r="AK865"/>
  <c r="AO865"/>
  <c r="AN865"/>
  <c r="AY878" i="4"/>
  <c r="BA878" s="1"/>
  <c r="BF878"/>
  <c r="BG878" s="1"/>
  <c r="AW878"/>
  <c r="BD878" s="1"/>
  <c r="BE878" s="1"/>
  <c r="AZ878"/>
  <c r="BB878" s="1"/>
  <c r="AV879"/>
  <c r="AU878"/>
  <c r="BY901" i="6"/>
  <c r="BV900"/>
  <c r="BX900" s="1"/>
  <c r="BZ900"/>
  <c r="BW900" s="1"/>
  <c r="BD876" i="5"/>
  <c r="BF876" s="1"/>
  <c r="BB876"/>
  <c r="BI876" s="1"/>
  <c r="BJ876" s="1"/>
  <c r="BK876"/>
  <c r="BL876" s="1"/>
  <c r="AZ876"/>
  <c r="BA877"/>
  <c r="BE876"/>
  <c r="BG876" s="1"/>
  <c r="AR145" i="6" l="1"/>
  <c r="BZ901"/>
  <c r="BW901" s="1"/>
  <c r="BV901"/>
  <c r="BX901" s="1"/>
  <c r="BY902"/>
  <c r="BF879" i="4"/>
  <c r="BG879" s="1"/>
  <c r="AW879"/>
  <c r="BD879" s="1"/>
  <c r="BE879" s="1"/>
  <c r="AU879"/>
  <c r="AZ879"/>
  <c r="BB879" s="1"/>
  <c r="AV880"/>
  <c r="AY879"/>
  <c r="BA879" s="1"/>
  <c r="BK877" i="5"/>
  <c r="BL877" s="1"/>
  <c r="BA878"/>
  <c r="BB877"/>
  <c r="BD877"/>
  <c r="BF877" s="1"/>
  <c r="BE877"/>
  <c r="BG877" s="1"/>
  <c r="BI877"/>
  <c r="BJ877" s="1"/>
  <c r="AZ877"/>
  <c r="AJ867" i="12"/>
  <c r="AK866"/>
  <c r="AL866"/>
  <c r="AN866"/>
  <c r="AO866"/>
  <c r="AL867" l="1"/>
  <c r="AO867" s="1"/>
  <c r="AK867"/>
  <c r="AJ868"/>
  <c r="AN867"/>
  <c r="AS145" i="6"/>
  <c r="BY903"/>
  <c r="BZ902"/>
  <c r="BW902" s="1"/>
  <c r="BV902"/>
  <c r="BX902" s="1"/>
  <c r="BB878" i="5"/>
  <c r="BE878"/>
  <c r="BG878" s="1"/>
  <c r="BK878"/>
  <c r="BL878" s="1"/>
  <c r="BD878"/>
  <c r="BF878" s="1"/>
  <c r="BI878"/>
  <c r="BJ878" s="1"/>
  <c r="AZ878"/>
  <c r="BA879"/>
  <c r="AW880" i="4"/>
  <c r="BD880" s="1"/>
  <c r="BE880" s="1"/>
  <c r="AU880"/>
  <c r="AZ880"/>
  <c r="BB880" s="1"/>
  <c r="AV881"/>
  <c r="BF880"/>
  <c r="BG880" s="1"/>
  <c r="AY880"/>
  <c r="BA880" s="1"/>
  <c r="AZ879" i="5" l="1"/>
  <c r="BE879"/>
  <c r="BG879" s="1"/>
  <c r="BA880"/>
  <c r="BB879"/>
  <c r="BI879" s="1"/>
  <c r="BJ879" s="1"/>
  <c r="BD879"/>
  <c r="BF879" s="1"/>
  <c r="BK879"/>
  <c r="BL879" s="1"/>
  <c r="AR146" i="6"/>
  <c r="AU881" i="4"/>
  <c r="AZ881"/>
  <c r="BB881" s="1"/>
  <c r="AV882"/>
  <c r="AY881"/>
  <c r="BA881" s="1"/>
  <c r="BF881"/>
  <c r="BG881" s="1"/>
  <c r="AW881"/>
  <c r="BD881" s="1"/>
  <c r="BE881" s="1"/>
  <c r="BY904" i="6"/>
  <c r="BZ903"/>
  <c r="BW903" s="1"/>
  <c r="BV903"/>
  <c r="BX903" s="1"/>
  <c r="AK868" i="12"/>
  <c r="AJ869"/>
  <c r="AL868"/>
  <c r="AN868"/>
  <c r="AO868"/>
  <c r="BZ904" i="6" l="1"/>
  <c r="BW904" s="1"/>
  <c r="BV904"/>
  <c r="BX904" s="1"/>
  <c r="BY905"/>
  <c r="AY882" i="4"/>
  <c r="BA882" s="1"/>
  <c r="BF882"/>
  <c r="BG882" s="1"/>
  <c r="AZ882"/>
  <c r="BB882" s="1"/>
  <c r="AU882"/>
  <c r="AV883"/>
  <c r="AW882"/>
  <c r="BD882"/>
  <c r="BE882" s="1"/>
  <c r="AL869" i="12"/>
  <c r="AO869" s="1"/>
  <c r="AK869"/>
  <c r="AN869"/>
  <c r="AJ870"/>
  <c r="AS146" i="6"/>
  <c r="BD880" i="5"/>
  <c r="BF880" s="1"/>
  <c r="AZ880"/>
  <c r="BE880"/>
  <c r="BG880" s="1"/>
  <c r="BI880"/>
  <c r="BJ880" s="1"/>
  <c r="BB880"/>
  <c r="BK880"/>
  <c r="BL880" s="1"/>
  <c r="BA881"/>
  <c r="AR147" i="6" l="1"/>
  <c r="BF883" i="4"/>
  <c r="BG883" s="1"/>
  <c r="AW883"/>
  <c r="AY883"/>
  <c r="BA883" s="1"/>
  <c r="AZ883"/>
  <c r="BB883" s="1"/>
  <c r="AV884"/>
  <c r="BD883"/>
  <c r="BE883" s="1"/>
  <c r="AU883"/>
  <c r="BK881" i="5"/>
  <c r="BL881" s="1"/>
  <c r="BB881"/>
  <c r="AZ881"/>
  <c r="BE881"/>
  <c r="BG881" s="1"/>
  <c r="BD881"/>
  <c r="BF881" s="1"/>
  <c r="BA882"/>
  <c r="BI881"/>
  <c r="BJ881" s="1"/>
  <c r="AJ871" i="12"/>
  <c r="AL870"/>
  <c r="AK870"/>
  <c r="AN870"/>
  <c r="AO870"/>
  <c r="BY906" i="6"/>
  <c r="BV905"/>
  <c r="BX905" s="1"/>
  <c r="BZ905"/>
  <c r="BW905" s="1"/>
  <c r="AK871" i="12" l="1"/>
  <c r="AJ872"/>
  <c r="AO871"/>
  <c r="AL871"/>
  <c r="AN871"/>
  <c r="AS147" i="6"/>
  <c r="BY907"/>
  <c r="BZ906"/>
  <c r="BW906" s="1"/>
  <c r="BV906"/>
  <c r="BX906" s="1"/>
  <c r="BB882" i="5"/>
  <c r="BD882"/>
  <c r="BF882" s="1"/>
  <c r="BI882"/>
  <c r="BJ882" s="1"/>
  <c r="BA883"/>
  <c r="AZ882"/>
  <c r="BK882"/>
  <c r="BL882" s="1"/>
  <c r="BE882"/>
  <c r="BG882" s="1"/>
  <c r="AW884" i="4"/>
  <c r="BD884" s="1"/>
  <c r="BE884" s="1"/>
  <c r="AU884"/>
  <c r="AZ884"/>
  <c r="BB884" s="1"/>
  <c r="AV885"/>
  <c r="AY884"/>
  <c r="BA884" s="1"/>
  <c r="BF884"/>
  <c r="BG884" s="1"/>
  <c r="AR148" i="6" l="1"/>
  <c r="AK872" i="12"/>
  <c r="AJ873"/>
  <c r="AL872"/>
  <c r="AO872" s="1"/>
  <c r="AN872"/>
  <c r="AU885" i="4"/>
  <c r="AZ885"/>
  <c r="BB885" s="1"/>
  <c r="AV886"/>
  <c r="AY885"/>
  <c r="BA885" s="1"/>
  <c r="AW885"/>
  <c r="BD885" s="1"/>
  <c r="BE885" s="1"/>
  <c r="BF885"/>
  <c r="BG885" s="1"/>
  <c r="AZ883" i="5"/>
  <c r="BE883"/>
  <c r="BG883" s="1"/>
  <c r="BI883"/>
  <c r="BJ883" s="1"/>
  <c r="BA884"/>
  <c r="BB883"/>
  <c r="BK883"/>
  <c r="BL883" s="1"/>
  <c r="BD883"/>
  <c r="BF883" s="1"/>
  <c r="BY908" i="6"/>
  <c r="BV907"/>
  <c r="BX907" s="1"/>
  <c r="BZ907"/>
  <c r="BW907" s="1"/>
  <c r="AS148" l="1"/>
  <c r="BY909"/>
  <c r="BV908"/>
  <c r="BX908" s="1"/>
  <c r="BZ908"/>
  <c r="BW908" s="1"/>
  <c r="BD884" i="5"/>
  <c r="BF884" s="1"/>
  <c r="BE884"/>
  <c r="BG884" s="1"/>
  <c r="BI884"/>
  <c r="BJ884" s="1"/>
  <c r="BA885"/>
  <c r="BB884"/>
  <c r="AZ884"/>
  <c r="BK884"/>
  <c r="BL884" s="1"/>
  <c r="AY886" i="4"/>
  <c r="BA886" s="1"/>
  <c r="BF886"/>
  <c r="BG886" s="1"/>
  <c r="AW886"/>
  <c r="BD886"/>
  <c r="BE886" s="1"/>
  <c r="AV887"/>
  <c r="AU886"/>
  <c r="AZ886"/>
  <c r="BB886" s="1"/>
  <c r="AL873" i="12"/>
  <c r="AO873" s="1"/>
  <c r="AN873"/>
  <c r="AK873"/>
  <c r="AJ874"/>
  <c r="BF887" i="4" l="1"/>
  <c r="BG887" s="1"/>
  <c r="AW887"/>
  <c r="BD887" s="1"/>
  <c r="BE887" s="1"/>
  <c r="AU887"/>
  <c r="AY887"/>
  <c r="BA887" s="1"/>
  <c r="AV888"/>
  <c r="AZ887"/>
  <c r="BB887" s="1"/>
  <c r="BK885" i="5"/>
  <c r="BL885" s="1"/>
  <c r="AZ885"/>
  <c r="BE885"/>
  <c r="BG885" s="1"/>
  <c r="BD885"/>
  <c r="BF885" s="1"/>
  <c r="BA886"/>
  <c r="BB885"/>
  <c r="BI885" s="1"/>
  <c r="BJ885" s="1"/>
  <c r="AR149" i="6"/>
  <c r="BZ909"/>
  <c r="BW909" s="1"/>
  <c r="BV909"/>
  <c r="BX909" s="1"/>
  <c r="BY910"/>
  <c r="AL874" i="12"/>
  <c r="AK874"/>
  <c r="AJ875"/>
  <c r="AN874"/>
  <c r="AO874"/>
  <c r="AW888" i="4" l="1"/>
  <c r="BD888" s="1"/>
  <c r="BE888" s="1"/>
  <c r="AU888"/>
  <c r="AZ888"/>
  <c r="BB888" s="1"/>
  <c r="AV889"/>
  <c r="BF888"/>
  <c r="BG888" s="1"/>
  <c r="AY888"/>
  <c r="BA888" s="1"/>
  <c r="AS149" i="6"/>
  <c r="BB886" i="5"/>
  <c r="BA887"/>
  <c r="AZ886"/>
  <c r="BI886"/>
  <c r="BJ886" s="1"/>
  <c r="BE886"/>
  <c r="BG886" s="1"/>
  <c r="BD886"/>
  <c r="BF886" s="1"/>
  <c r="BK886"/>
  <c r="BL886" s="1"/>
  <c r="AJ876" i="12"/>
  <c r="AL875"/>
  <c r="AO875" s="1"/>
  <c r="AK875"/>
  <c r="AN875"/>
  <c r="BY911" i="6"/>
  <c r="BZ910"/>
  <c r="BV910"/>
  <c r="BX910" s="1"/>
  <c r="BW910"/>
  <c r="AU889" i="4" l="1"/>
  <c r="AZ889"/>
  <c r="BB889" s="1"/>
  <c r="AV890"/>
  <c r="AY889"/>
  <c r="BA889" s="1"/>
  <c r="BF889"/>
  <c r="BG889" s="1"/>
  <c r="AW889"/>
  <c r="BD889" s="1"/>
  <c r="BE889" s="1"/>
  <c r="BY912" i="6"/>
  <c r="BZ911"/>
  <c r="BW911" s="1"/>
  <c r="BV911"/>
  <c r="BX911" s="1"/>
  <c r="AZ887" i="5"/>
  <c r="BE887"/>
  <c r="BG887" s="1"/>
  <c r="BA888"/>
  <c r="BK887"/>
  <c r="BL887" s="1"/>
  <c r="BD887"/>
  <c r="BF887" s="1"/>
  <c r="BB887"/>
  <c r="BI887" s="1"/>
  <c r="BJ887" s="1"/>
  <c r="AJ877" i="12"/>
  <c r="AK876"/>
  <c r="AN876"/>
  <c r="AO876"/>
  <c r="AL876"/>
  <c r="AR150" i="6"/>
  <c r="AK877" i="12" l="1"/>
  <c r="AJ878"/>
  <c r="AO877"/>
  <c r="AL877"/>
  <c r="AN877"/>
  <c r="BD888" i="5"/>
  <c r="BF888" s="1"/>
  <c r="BA889"/>
  <c r="BB888"/>
  <c r="BK888"/>
  <c r="BL888" s="1"/>
  <c r="AZ888"/>
  <c r="BI888"/>
  <c r="BJ888" s="1"/>
  <c r="BE888"/>
  <c r="BG888" s="1"/>
  <c r="AS150" i="6"/>
  <c r="BY913"/>
  <c r="BZ912"/>
  <c r="BV912"/>
  <c r="BX912" s="1"/>
  <c r="BW912"/>
  <c r="AY890" i="4"/>
  <c r="BA890" s="1"/>
  <c r="BF890"/>
  <c r="BG890" s="1"/>
  <c r="AZ890"/>
  <c r="BB890" s="1"/>
  <c r="AU890"/>
  <c r="AV891"/>
  <c r="AW890"/>
  <c r="BD890" s="1"/>
  <c r="BE890" s="1"/>
  <c r="AL878" i="12" l="1"/>
  <c r="AK878"/>
  <c r="AJ879"/>
  <c r="AN878"/>
  <c r="AO878"/>
  <c r="AR151" i="6"/>
  <c r="BF891" i="4"/>
  <c r="BG891" s="1"/>
  <c r="AW891"/>
  <c r="AY891"/>
  <c r="BA891" s="1"/>
  <c r="AZ891"/>
  <c r="BB891" s="1"/>
  <c r="AV892"/>
  <c r="BD891"/>
  <c r="BE891" s="1"/>
  <c r="AU891"/>
  <c r="BY914" i="6"/>
  <c r="BZ913"/>
  <c r="BW913" s="1"/>
  <c r="BV913"/>
  <c r="BX913" s="1"/>
  <c r="BK889" i="5"/>
  <c r="BL889" s="1"/>
  <c r="BD889"/>
  <c r="BF889" s="1"/>
  <c r="BI889"/>
  <c r="BJ889" s="1"/>
  <c r="BA890"/>
  <c r="BB889"/>
  <c r="AZ889"/>
  <c r="BE889"/>
  <c r="BG889" s="1"/>
  <c r="BB890" l="1"/>
  <c r="BI890" s="1"/>
  <c r="BJ890" s="1"/>
  <c r="AZ890"/>
  <c r="BE890"/>
  <c r="BG890" s="1"/>
  <c r="BK890"/>
  <c r="BL890" s="1"/>
  <c r="BD890"/>
  <c r="BF890" s="1"/>
  <c r="BA891"/>
  <c r="AS151" i="6"/>
  <c r="BY915"/>
  <c r="BZ914"/>
  <c r="BW914" s="1"/>
  <c r="BV914"/>
  <c r="BX914" s="1"/>
  <c r="AJ880" i="12"/>
  <c r="AL879"/>
  <c r="AO879" s="1"/>
  <c r="AN879"/>
  <c r="AK879"/>
  <c r="AW892" i="4"/>
  <c r="AU892"/>
  <c r="AZ892"/>
  <c r="BB892" s="1"/>
  <c r="BD892"/>
  <c r="BE892" s="1"/>
  <c r="AV893"/>
  <c r="BF892"/>
  <c r="BG892" s="1"/>
  <c r="AY892"/>
  <c r="BA892" s="1"/>
  <c r="AJ881" i="12" l="1"/>
  <c r="AL880"/>
  <c r="AK880"/>
  <c r="AN880"/>
  <c r="AO880"/>
  <c r="BY916" i="6"/>
  <c r="BZ915"/>
  <c r="BV915"/>
  <c r="BX915" s="1"/>
  <c r="BW915"/>
  <c r="AU893" i="4"/>
  <c r="AZ893"/>
  <c r="BB893" s="1"/>
  <c r="AV894"/>
  <c r="AY893"/>
  <c r="BA893" s="1"/>
  <c r="AW893"/>
  <c r="BD893" s="1"/>
  <c r="BE893" s="1"/>
  <c r="BF893"/>
  <c r="BG893" s="1"/>
  <c r="AZ891" i="5"/>
  <c r="BE891"/>
  <c r="BG891" s="1"/>
  <c r="BA892"/>
  <c r="BD891"/>
  <c r="BF891" s="1"/>
  <c r="BB891"/>
  <c r="BI891" s="1"/>
  <c r="BJ891" s="1"/>
  <c r="BK891"/>
  <c r="BL891" s="1"/>
  <c r="AR152" i="6"/>
  <c r="BV916" l="1"/>
  <c r="BX916" s="1"/>
  <c r="BY917"/>
  <c r="BZ916"/>
  <c r="BW916" s="1"/>
  <c r="AY894" i="4"/>
  <c r="BA894" s="1"/>
  <c r="BF894"/>
  <c r="BG894" s="1"/>
  <c r="AW894"/>
  <c r="BD894" s="1"/>
  <c r="BE894" s="1"/>
  <c r="AU894"/>
  <c r="AZ894"/>
  <c r="BB894" s="1"/>
  <c r="AV895"/>
  <c r="AK881" i="12"/>
  <c r="AO881"/>
  <c r="AN881"/>
  <c r="AJ882"/>
  <c r="AL881"/>
  <c r="AS152" i="6"/>
  <c r="BD892" i="5"/>
  <c r="BF892" s="1"/>
  <c r="BB892"/>
  <c r="BK892"/>
  <c r="BL892" s="1"/>
  <c r="AZ892"/>
  <c r="BE892"/>
  <c r="BG892" s="1"/>
  <c r="BA893"/>
  <c r="BI892"/>
  <c r="BJ892" s="1"/>
  <c r="BZ917" i="6" l="1"/>
  <c r="BW917" s="1"/>
  <c r="BV917"/>
  <c r="BX917" s="1"/>
  <c r="BY918"/>
  <c r="AR153"/>
  <c r="AL882" i="12"/>
  <c r="AK882"/>
  <c r="AJ883"/>
  <c r="AN882"/>
  <c r="AO882"/>
  <c r="BF895" i="4"/>
  <c r="BG895" s="1"/>
  <c r="AW895"/>
  <c r="BD895" s="1"/>
  <c r="BE895" s="1"/>
  <c r="AU895"/>
  <c r="AZ895"/>
  <c r="BB895" s="1"/>
  <c r="AY895"/>
  <c r="BA895" s="1"/>
  <c r="AV896"/>
  <c r="BK893" i="5"/>
  <c r="BL893" s="1"/>
  <c r="BA894"/>
  <c r="BB893"/>
  <c r="BI893" s="1"/>
  <c r="BJ893" s="1"/>
  <c r="AZ893"/>
  <c r="BD893"/>
  <c r="BF893" s="1"/>
  <c r="BE893"/>
  <c r="BG893" s="1"/>
  <c r="AS153" i="6" l="1"/>
  <c r="AW896" i="4"/>
  <c r="AU896"/>
  <c r="AZ896"/>
  <c r="BB896" s="1"/>
  <c r="BD896"/>
  <c r="BE896" s="1"/>
  <c r="AV897"/>
  <c r="BF896"/>
  <c r="BG896" s="1"/>
  <c r="AY896"/>
  <c r="BA896" s="1"/>
  <c r="AJ884" i="12"/>
  <c r="AL883"/>
  <c r="AK883"/>
  <c r="AO883"/>
  <c r="AN883"/>
  <c r="BY919" i="6"/>
  <c r="BZ918"/>
  <c r="BV918"/>
  <c r="BX918" s="1"/>
  <c r="BW918"/>
  <c r="BB894" i="5"/>
  <c r="BE894"/>
  <c r="BG894" s="1"/>
  <c r="BK894"/>
  <c r="BL894" s="1"/>
  <c r="BD894"/>
  <c r="BF894" s="1"/>
  <c r="BI894"/>
  <c r="BJ894" s="1"/>
  <c r="BA895"/>
  <c r="AZ894"/>
  <c r="AJ885" i="12" l="1"/>
  <c r="AK884"/>
  <c r="AL884"/>
  <c r="AN884"/>
  <c r="AO884"/>
  <c r="BY920" i="6"/>
  <c r="BZ919"/>
  <c r="BV919"/>
  <c r="BX919" s="1"/>
  <c r="BW919"/>
  <c r="AU897" i="4"/>
  <c r="AZ897"/>
  <c r="BB897" s="1"/>
  <c r="AV898"/>
  <c r="AY897"/>
  <c r="BA897" s="1"/>
  <c r="BF897"/>
  <c r="BG897" s="1"/>
  <c r="AW897"/>
  <c r="BD897" s="1"/>
  <c r="BE897" s="1"/>
  <c r="AR154" i="6"/>
  <c r="AZ895" i="5"/>
  <c r="BE895"/>
  <c r="BG895" s="1"/>
  <c r="BA896"/>
  <c r="BB895"/>
  <c r="BI895" s="1"/>
  <c r="BJ895" s="1"/>
  <c r="BK895"/>
  <c r="BL895" s="1"/>
  <c r="BD895"/>
  <c r="BF895" s="1"/>
  <c r="AS154" i="6" l="1"/>
  <c r="AY898" i="4"/>
  <c r="BA898" s="1"/>
  <c r="BF898"/>
  <c r="BG898" s="1"/>
  <c r="AZ898"/>
  <c r="BB898" s="1"/>
  <c r="AU898"/>
  <c r="AV899"/>
  <c r="AW898"/>
  <c r="BD898"/>
  <c r="BE898" s="1"/>
  <c r="AK885" i="12"/>
  <c r="AJ886"/>
  <c r="AL885"/>
  <c r="AO885" s="1"/>
  <c r="AN885"/>
  <c r="BD896" i="5"/>
  <c r="BF896" s="1"/>
  <c r="AZ896"/>
  <c r="BE896"/>
  <c r="BG896" s="1"/>
  <c r="BI896"/>
  <c r="BJ896" s="1"/>
  <c r="BA897"/>
  <c r="BK896"/>
  <c r="BL896" s="1"/>
  <c r="BB896"/>
  <c r="BV920" i="6"/>
  <c r="BX920" s="1"/>
  <c r="BZ920"/>
  <c r="BY921"/>
  <c r="BW920"/>
  <c r="AR155" l="1"/>
  <c r="BF899" i="4"/>
  <c r="BG899" s="1"/>
  <c r="AW899"/>
  <c r="AY899"/>
  <c r="BA899" s="1"/>
  <c r="AZ899"/>
  <c r="BB899" s="1"/>
  <c r="AV900"/>
  <c r="AU899"/>
  <c r="BD899"/>
  <c r="BE899" s="1"/>
  <c r="BK897" i="5"/>
  <c r="BL897" s="1"/>
  <c r="BB897"/>
  <c r="AZ897"/>
  <c r="BE897"/>
  <c r="BG897" s="1"/>
  <c r="BI897"/>
  <c r="BJ897" s="1"/>
  <c r="BA898"/>
  <c r="BD897"/>
  <c r="BF897" s="1"/>
  <c r="AL886" i="12"/>
  <c r="AK886"/>
  <c r="AN886"/>
  <c r="AJ887"/>
  <c r="AO886"/>
  <c r="BY922" i="6"/>
  <c r="BV921"/>
  <c r="BX921" s="1"/>
  <c r="BZ921"/>
  <c r="BW921" s="1"/>
  <c r="AS155" l="1"/>
  <c r="BY923"/>
  <c r="BZ922"/>
  <c r="BV922"/>
  <c r="BX922" s="1"/>
  <c r="BW922"/>
  <c r="BB898" i="5"/>
  <c r="BD898"/>
  <c r="BF898" s="1"/>
  <c r="BI898"/>
  <c r="BJ898" s="1"/>
  <c r="BA899"/>
  <c r="BE898"/>
  <c r="BG898" s="1"/>
  <c r="AZ898"/>
  <c r="BK898"/>
  <c r="BL898" s="1"/>
  <c r="AW900" i="4"/>
  <c r="BD900" s="1"/>
  <c r="BE900" s="1"/>
  <c r="AU900"/>
  <c r="AZ900"/>
  <c r="BB900" s="1"/>
  <c r="AV901"/>
  <c r="AY900"/>
  <c r="BA900" s="1"/>
  <c r="BF900"/>
  <c r="BG900" s="1"/>
  <c r="AJ888" i="12"/>
  <c r="AL887"/>
  <c r="AO887" s="1"/>
  <c r="AN887"/>
  <c r="AK887"/>
  <c r="AU901" i="4" l="1"/>
  <c r="AZ901"/>
  <c r="BB901" s="1"/>
  <c r="AV902"/>
  <c r="AY901"/>
  <c r="BA901" s="1"/>
  <c r="AW901"/>
  <c r="BD901" s="1"/>
  <c r="BE901" s="1"/>
  <c r="BF901"/>
  <c r="BG901" s="1"/>
  <c r="AZ899" i="5"/>
  <c r="BE899"/>
  <c r="BG899" s="1"/>
  <c r="BI899"/>
  <c r="BJ899" s="1"/>
  <c r="BA900"/>
  <c r="BB899"/>
  <c r="BK899"/>
  <c r="BL899" s="1"/>
  <c r="BD899"/>
  <c r="BF899" s="1"/>
  <c r="AJ889" i="12"/>
  <c r="AL888"/>
  <c r="AK888"/>
  <c r="AO888"/>
  <c r="AN888"/>
  <c r="AR156" i="6"/>
  <c r="BY924"/>
  <c r="BV923"/>
  <c r="BX923" s="1"/>
  <c r="BZ923"/>
  <c r="BW923"/>
  <c r="BY925" l="1"/>
  <c r="BV924"/>
  <c r="BX924" s="1"/>
  <c r="BZ924"/>
  <c r="BW924" s="1"/>
  <c r="AK889" i="12"/>
  <c r="AO889"/>
  <c r="AN889"/>
  <c r="AL889"/>
  <c r="AJ890"/>
  <c r="BD900" i="5"/>
  <c r="BF900" s="1"/>
  <c r="BE900"/>
  <c r="BG900" s="1"/>
  <c r="BA901"/>
  <c r="BK900"/>
  <c r="BL900" s="1"/>
  <c r="AZ900"/>
  <c r="BB900"/>
  <c r="BI900" s="1"/>
  <c r="BJ900" s="1"/>
  <c r="AS156" i="6"/>
  <c r="AY902" i="4"/>
  <c r="BA902" s="1"/>
  <c r="BF902"/>
  <c r="BG902" s="1"/>
  <c r="AW902"/>
  <c r="BD902" s="1"/>
  <c r="BE902" s="1"/>
  <c r="AZ902"/>
  <c r="BB902" s="1"/>
  <c r="AU902"/>
  <c r="AV903"/>
  <c r="BK901" i="5" l="1"/>
  <c r="BL901" s="1"/>
  <c r="AZ901"/>
  <c r="BE901"/>
  <c r="BG901" s="1"/>
  <c r="BD901"/>
  <c r="BF901" s="1"/>
  <c r="BB901"/>
  <c r="BI901" s="1"/>
  <c r="BJ901" s="1"/>
  <c r="BA902"/>
  <c r="AL890" i="12"/>
  <c r="AK890"/>
  <c r="AJ891"/>
  <c r="AN890"/>
  <c r="AO890"/>
  <c r="BZ925" i="6"/>
  <c r="BV925"/>
  <c r="BX925" s="1"/>
  <c r="BW925"/>
  <c r="BY926"/>
  <c r="AR157"/>
  <c r="BF903" i="4"/>
  <c r="BG903" s="1"/>
  <c r="AW903"/>
  <c r="AU903"/>
  <c r="BD903"/>
  <c r="BE903" s="1"/>
  <c r="AZ903"/>
  <c r="BB903" s="1"/>
  <c r="AY903"/>
  <c r="BA903" s="1"/>
  <c r="AV904"/>
  <c r="AJ892" i="12" l="1"/>
  <c r="AL891"/>
  <c r="AK891"/>
  <c r="AO891"/>
  <c r="AN891"/>
  <c r="AW904" i="4"/>
  <c r="AU904"/>
  <c r="AZ904"/>
  <c r="BB904" s="1"/>
  <c r="BD904"/>
  <c r="BE904" s="1"/>
  <c r="AV905"/>
  <c r="BF904"/>
  <c r="BG904" s="1"/>
  <c r="AY904"/>
  <c r="BA904" s="1"/>
  <c r="AS157" i="6"/>
  <c r="BB902" i="5"/>
  <c r="BA903"/>
  <c r="AZ902"/>
  <c r="BD902"/>
  <c r="BF902" s="1"/>
  <c r="BK902"/>
  <c r="BL902" s="1"/>
  <c r="BE902"/>
  <c r="BG902" s="1"/>
  <c r="BI902"/>
  <c r="BJ902" s="1"/>
  <c r="BY927" i="6"/>
  <c r="BZ926"/>
  <c r="BV926"/>
  <c r="BX926" s="1"/>
  <c r="BW926"/>
  <c r="AU905" i="4" l="1"/>
  <c r="AZ905"/>
  <c r="BB905" s="1"/>
  <c r="AV906"/>
  <c r="AY905"/>
  <c r="BA905" s="1"/>
  <c r="BF905"/>
  <c r="BG905" s="1"/>
  <c r="AW905"/>
  <c r="BD905" s="1"/>
  <c r="BE905" s="1"/>
  <c r="AR158" i="6"/>
  <c r="AJ893" i="12"/>
  <c r="AL892"/>
  <c r="AN892"/>
  <c r="AO892"/>
  <c r="AK892"/>
  <c r="BY928" i="6"/>
  <c r="BZ927"/>
  <c r="BV927"/>
  <c r="BX927" s="1"/>
  <c r="BW927"/>
  <c r="AZ903" i="5"/>
  <c r="BE903"/>
  <c r="BG903" s="1"/>
  <c r="BA904"/>
  <c r="BK903"/>
  <c r="BL903" s="1"/>
  <c r="BD903"/>
  <c r="BF903" s="1"/>
  <c r="BB903"/>
  <c r="BI903" s="1"/>
  <c r="BJ903" s="1"/>
  <c r="BD904" l="1"/>
  <c r="BF904" s="1"/>
  <c r="BA905"/>
  <c r="BB904"/>
  <c r="BI904" s="1"/>
  <c r="BJ904" s="1"/>
  <c r="BK904"/>
  <c r="BL904" s="1"/>
  <c r="BE904"/>
  <c r="BG904" s="1"/>
  <c r="AZ904"/>
  <c r="AK893" i="12"/>
  <c r="AJ894"/>
  <c r="AL893"/>
  <c r="AO893" s="1"/>
  <c r="AN893"/>
  <c r="BY929" i="6"/>
  <c r="BZ928"/>
  <c r="BV928"/>
  <c r="BX928" s="1"/>
  <c r="BW928"/>
  <c r="AS158"/>
  <c r="AY906" i="4"/>
  <c r="BA906" s="1"/>
  <c r="BF906"/>
  <c r="BG906" s="1"/>
  <c r="AZ906"/>
  <c r="BB906" s="1"/>
  <c r="AU906"/>
  <c r="AV907"/>
  <c r="AW906"/>
  <c r="BD906" s="1"/>
  <c r="BE906" s="1"/>
  <c r="BK905" i="5" l="1"/>
  <c r="BL905" s="1"/>
  <c r="BD905"/>
  <c r="BF905" s="1"/>
  <c r="BA906"/>
  <c r="BE905"/>
  <c r="BG905" s="1"/>
  <c r="AZ905"/>
  <c r="BB905"/>
  <c r="BI905" s="1"/>
  <c r="BJ905" s="1"/>
  <c r="AR159" i="6"/>
  <c r="BY930"/>
  <c r="BV929"/>
  <c r="BX929" s="1"/>
  <c r="BZ929"/>
  <c r="BW929" s="1"/>
  <c r="AL894" i="12"/>
  <c r="AK894"/>
  <c r="AJ895"/>
  <c r="AN894"/>
  <c r="AO894"/>
  <c r="BF907" i="4"/>
  <c r="BG907" s="1"/>
  <c r="AW907"/>
  <c r="AY907"/>
  <c r="BA907" s="1"/>
  <c r="AZ907"/>
  <c r="BB907" s="1"/>
  <c r="AV908"/>
  <c r="BD907"/>
  <c r="BE907" s="1"/>
  <c r="AU907"/>
  <c r="BY931" i="6" l="1"/>
  <c r="BZ930"/>
  <c r="BW930" s="1"/>
  <c r="BV930"/>
  <c r="BX930" s="1"/>
  <c r="AW908" i="4"/>
  <c r="BD908" s="1"/>
  <c r="BE908" s="1"/>
  <c r="AU908"/>
  <c r="AZ908"/>
  <c r="BB908" s="1"/>
  <c r="AV909"/>
  <c r="BF908"/>
  <c r="BG908" s="1"/>
  <c r="AY908"/>
  <c r="BA908" s="1"/>
  <c r="AJ896" i="12"/>
  <c r="AL895"/>
  <c r="AO895" s="1"/>
  <c r="AN895"/>
  <c r="AK895"/>
  <c r="AS159" i="6"/>
  <c r="BB906" i="5"/>
  <c r="AZ906"/>
  <c r="BE906"/>
  <c r="BG906" s="1"/>
  <c r="BK906"/>
  <c r="BL906" s="1"/>
  <c r="BI906"/>
  <c r="BJ906" s="1"/>
  <c r="BA907"/>
  <c r="BD906"/>
  <c r="BF906" s="1"/>
  <c r="AU909" i="4" l="1"/>
  <c r="AZ909"/>
  <c r="BB909" s="1"/>
  <c r="AV910"/>
  <c r="AY909"/>
  <c r="BA909" s="1"/>
  <c r="AW909"/>
  <c r="BD909" s="1"/>
  <c r="BE909" s="1"/>
  <c r="BF909"/>
  <c r="BG909" s="1"/>
  <c r="AR160" i="6"/>
  <c r="BY932"/>
  <c r="BZ931"/>
  <c r="BV931"/>
  <c r="BX931" s="1"/>
  <c r="BW931"/>
  <c r="AZ907" i="5"/>
  <c r="BE907"/>
  <c r="BG907" s="1"/>
  <c r="BA908"/>
  <c r="BD907"/>
  <c r="BF907" s="1"/>
  <c r="BB907"/>
  <c r="BI907" s="1"/>
  <c r="BJ907" s="1"/>
  <c r="BK907"/>
  <c r="BL907" s="1"/>
  <c r="AJ897" i="12"/>
  <c r="AL896"/>
  <c r="AK896"/>
  <c r="AN896"/>
  <c r="AO896"/>
  <c r="AK897" l="1"/>
  <c r="AN897"/>
  <c r="AL897"/>
  <c r="AO897" s="1"/>
  <c r="AJ898"/>
  <c r="BD908" i="5"/>
  <c r="BF908" s="1"/>
  <c r="BB908"/>
  <c r="BK908"/>
  <c r="BL908" s="1"/>
  <c r="AZ908"/>
  <c r="BI908"/>
  <c r="BJ908" s="1"/>
  <c r="BA909"/>
  <c r="BE908"/>
  <c r="BG908" s="1"/>
  <c r="BY933" i="6"/>
  <c r="BV932"/>
  <c r="BX932" s="1"/>
  <c r="BZ932"/>
  <c r="BW932"/>
  <c r="AS160"/>
  <c r="AY910" i="4"/>
  <c r="BA910" s="1"/>
  <c r="BF910"/>
  <c r="BG910" s="1"/>
  <c r="AW910"/>
  <c r="BD910" s="1"/>
  <c r="BE910" s="1"/>
  <c r="AZ910"/>
  <c r="BB910" s="1"/>
  <c r="AV911"/>
  <c r="AU910"/>
  <c r="AL898" i="12" l="1"/>
  <c r="AK898"/>
  <c r="AJ899"/>
  <c r="AN898"/>
  <c r="AO898"/>
  <c r="BK909" i="5"/>
  <c r="BL909" s="1"/>
  <c r="BA910"/>
  <c r="BB909"/>
  <c r="BD909"/>
  <c r="BF909" s="1"/>
  <c r="BE909"/>
  <c r="BG909" s="1"/>
  <c r="AZ909"/>
  <c r="BI909"/>
  <c r="BJ909" s="1"/>
  <c r="AR161" i="6"/>
  <c r="BV933"/>
  <c r="BX933" s="1"/>
  <c r="BZ933"/>
  <c r="BY934"/>
  <c r="BW933"/>
  <c r="BF911" i="4"/>
  <c r="BG911" s="1"/>
  <c r="AW911"/>
  <c r="AU911"/>
  <c r="BD911"/>
  <c r="BE911" s="1"/>
  <c r="AZ911"/>
  <c r="BB911" s="1"/>
  <c r="AY911"/>
  <c r="BA911" s="1"/>
  <c r="AV912"/>
  <c r="AW912" l="1"/>
  <c r="BD912" s="1"/>
  <c r="BE912" s="1"/>
  <c r="AU912"/>
  <c r="AZ912"/>
  <c r="BB912" s="1"/>
  <c r="AV913"/>
  <c r="BF912"/>
  <c r="BG912" s="1"/>
  <c r="AY912"/>
  <c r="BA912" s="1"/>
  <c r="BY935" i="6"/>
  <c r="BZ934"/>
  <c r="BW934" s="1"/>
  <c r="BV934"/>
  <c r="BX934" s="1"/>
  <c r="BB910" i="5"/>
  <c r="BE910"/>
  <c r="BG910" s="1"/>
  <c r="BK910"/>
  <c r="BL910" s="1"/>
  <c r="BD910"/>
  <c r="BF910" s="1"/>
  <c r="BI910"/>
  <c r="BJ910" s="1"/>
  <c r="AZ910"/>
  <c r="BA911"/>
  <c r="AJ900" i="12"/>
  <c r="AL899"/>
  <c r="AK899"/>
  <c r="AO899"/>
  <c r="AN899"/>
  <c r="AS161" i="6"/>
  <c r="AU913" i="4" l="1"/>
  <c r="AZ913"/>
  <c r="BB913" s="1"/>
  <c r="AV914"/>
  <c r="AY913"/>
  <c r="BA913" s="1"/>
  <c r="BF913"/>
  <c r="BG913" s="1"/>
  <c r="AW913"/>
  <c r="BD913" s="1"/>
  <c r="BE913" s="1"/>
  <c r="AZ911" i="5"/>
  <c r="BE911"/>
  <c r="BG911" s="1"/>
  <c r="BI911"/>
  <c r="BJ911" s="1"/>
  <c r="BA912"/>
  <c r="BB911"/>
  <c r="BD911"/>
  <c r="BF911" s="1"/>
  <c r="BK911"/>
  <c r="BL911" s="1"/>
  <c r="AJ901" i="12"/>
  <c r="AK900"/>
  <c r="AL900"/>
  <c r="AO900" s="1"/>
  <c r="AN900"/>
  <c r="AR162" i="6"/>
  <c r="BY936"/>
  <c r="BZ935"/>
  <c r="BV935"/>
  <c r="BX935" s="1"/>
  <c r="BW935"/>
  <c r="BZ936" l="1"/>
  <c r="BW936" s="1"/>
  <c r="BY937"/>
  <c r="BV936"/>
  <c r="BX936" s="1"/>
  <c r="AK901" i="12"/>
  <c r="AJ902"/>
  <c r="AO901"/>
  <c r="AL901"/>
  <c r="AN901"/>
  <c r="BD912" i="5"/>
  <c r="BF912" s="1"/>
  <c r="AZ912"/>
  <c r="BE912"/>
  <c r="BG912" s="1"/>
  <c r="BI912"/>
  <c r="BJ912" s="1"/>
  <c r="BB912"/>
  <c r="BK912"/>
  <c r="BL912" s="1"/>
  <c r="BA913"/>
  <c r="AS162" i="6"/>
  <c r="AY914" i="4"/>
  <c r="BA914" s="1"/>
  <c r="BF914"/>
  <c r="BG914" s="1"/>
  <c r="AZ914"/>
  <c r="BB914" s="1"/>
  <c r="AU914"/>
  <c r="AV915"/>
  <c r="AW914"/>
  <c r="BD914"/>
  <c r="BE914" s="1"/>
  <c r="AL902" i="12" l="1"/>
  <c r="AO902" s="1"/>
  <c r="AK902"/>
  <c r="AN902"/>
  <c r="AJ903"/>
  <c r="BY938" i="6"/>
  <c r="BV937"/>
  <c r="BX937" s="1"/>
  <c r="BZ937"/>
  <c r="BW937" s="1"/>
  <c r="AR163"/>
  <c r="BF915" i="4"/>
  <c r="BG915" s="1"/>
  <c r="AW915"/>
  <c r="BD915" s="1"/>
  <c r="BE915" s="1"/>
  <c r="AY915"/>
  <c r="BA915" s="1"/>
  <c r="AZ915"/>
  <c r="BB915" s="1"/>
  <c r="AV916"/>
  <c r="AU915"/>
  <c r="BK913" i="5"/>
  <c r="BL913" s="1"/>
  <c r="BB913"/>
  <c r="AZ913"/>
  <c r="BE913"/>
  <c r="BG913" s="1"/>
  <c r="BD913"/>
  <c r="BF913" s="1"/>
  <c r="BI913"/>
  <c r="BJ913" s="1"/>
  <c r="BA914"/>
  <c r="BB914" l="1"/>
  <c r="BI914" s="1"/>
  <c r="BJ914" s="1"/>
  <c r="BD914"/>
  <c r="BF914" s="1"/>
  <c r="BA915"/>
  <c r="AZ914"/>
  <c r="BK914"/>
  <c r="BL914" s="1"/>
  <c r="BE914"/>
  <c r="BG914" s="1"/>
  <c r="AJ904" i="12"/>
  <c r="AL903"/>
  <c r="AO903" s="1"/>
  <c r="AN903"/>
  <c r="AK903"/>
  <c r="AS163" i="6"/>
  <c r="BY939"/>
  <c r="BZ938"/>
  <c r="BV938"/>
  <c r="BX938" s="1"/>
  <c r="BW938"/>
  <c r="AW916" i="4"/>
  <c r="AU916"/>
  <c r="AZ916"/>
  <c r="BB916" s="1"/>
  <c r="BD916"/>
  <c r="BE916" s="1"/>
  <c r="AV917"/>
  <c r="AY916"/>
  <c r="BA916" s="1"/>
  <c r="BF916"/>
  <c r="BG916" s="1"/>
  <c r="AR164" i="6" l="1"/>
  <c r="AU917" i="4"/>
  <c r="AZ917"/>
  <c r="BB917" s="1"/>
  <c r="AV918"/>
  <c r="AY917"/>
  <c r="BA917" s="1"/>
  <c r="AW917"/>
  <c r="BD917" s="1"/>
  <c r="BE917" s="1"/>
  <c r="BF917"/>
  <c r="BG917" s="1"/>
  <c r="BY940" i="6"/>
  <c r="BZ939"/>
  <c r="BW939" s="1"/>
  <c r="BV939"/>
  <c r="BX939" s="1"/>
  <c r="AJ905" i="12"/>
  <c r="AL904"/>
  <c r="AO904" s="1"/>
  <c r="AK904"/>
  <c r="AN904"/>
  <c r="AZ915" i="5"/>
  <c r="BE915"/>
  <c r="BG915" s="1"/>
  <c r="BA916"/>
  <c r="BB915"/>
  <c r="BI915" s="1"/>
  <c r="BJ915" s="1"/>
  <c r="BK915"/>
  <c r="BL915" s="1"/>
  <c r="BD915"/>
  <c r="BF915" s="1"/>
  <c r="AS164" i="6" l="1"/>
  <c r="BD916" i="5"/>
  <c r="BF916" s="1"/>
  <c r="BE916"/>
  <c r="BG916" s="1"/>
  <c r="BI916"/>
  <c r="BJ916" s="1"/>
  <c r="BA917"/>
  <c r="BB916"/>
  <c r="AZ916"/>
  <c r="BK916"/>
  <c r="BL916" s="1"/>
  <c r="AK905" i="12"/>
  <c r="AN905"/>
  <c r="AL905"/>
  <c r="AO905" s="1"/>
  <c r="AJ906"/>
  <c r="BY941" i="6"/>
  <c r="BV940"/>
  <c r="BX940" s="1"/>
  <c r="BZ940"/>
  <c r="BW940" s="1"/>
  <c r="AY918" i="4"/>
  <c r="BA918" s="1"/>
  <c r="BF918"/>
  <c r="BG918" s="1"/>
  <c r="AW918"/>
  <c r="BD918" s="1"/>
  <c r="BE918" s="1"/>
  <c r="AZ918"/>
  <c r="BB918" s="1"/>
  <c r="AU918"/>
  <c r="AV919"/>
  <c r="AL906" i="12" l="1"/>
  <c r="AK906"/>
  <c r="AJ907"/>
  <c r="AN906"/>
  <c r="AO906"/>
  <c r="BK917" i="5"/>
  <c r="BL917" s="1"/>
  <c r="AZ917"/>
  <c r="BE917"/>
  <c r="BG917" s="1"/>
  <c r="BD917"/>
  <c r="BF917" s="1"/>
  <c r="BA918"/>
  <c r="BB917"/>
  <c r="BI917" s="1"/>
  <c r="BJ917" s="1"/>
  <c r="AR165" i="6"/>
  <c r="BF919" i="4"/>
  <c r="BG919" s="1"/>
  <c r="AW919"/>
  <c r="BD919" s="1"/>
  <c r="BE919" s="1"/>
  <c r="AU919"/>
  <c r="AY919"/>
  <c r="BA919" s="1"/>
  <c r="AV920"/>
  <c r="AZ919"/>
  <c r="BB919" s="1"/>
  <c r="BV941" i="6"/>
  <c r="BX941" s="1"/>
  <c r="BZ941"/>
  <c r="BW941" s="1"/>
  <c r="BY942"/>
  <c r="AS165" l="1"/>
  <c r="BB918" i="5"/>
  <c r="BA919"/>
  <c r="AZ918"/>
  <c r="BI918"/>
  <c r="BJ918" s="1"/>
  <c r="BK918"/>
  <c r="BL918" s="1"/>
  <c r="BE918"/>
  <c r="BG918" s="1"/>
  <c r="BD918"/>
  <c r="BF918" s="1"/>
  <c r="AJ908" i="12"/>
  <c r="AL907"/>
  <c r="AK907"/>
  <c r="AO907"/>
  <c r="AN907"/>
  <c r="BY943" i="6"/>
  <c r="BZ942"/>
  <c r="BW942"/>
  <c r="BV942"/>
  <c r="BX942" s="1"/>
  <c r="AW920" i="4"/>
  <c r="AU920"/>
  <c r="AZ920"/>
  <c r="BB920" s="1"/>
  <c r="BD920"/>
  <c r="BE920" s="1"/>
  <c r="AV921"/>
  <c r="BF920"/>
  <c r="BG920" s="1"/>
  <c r="AY920"/>
  <c r="BA920" s="1"/>
  <c r="AR166" i="6" l="1"/>
  <c r="AU921" i="4"/>
  <c r="AZ921"/>
  <c r="BB921" s="1"/>
  <c r="AV922"/>
  <c r="AY921"/>
  <c r="BA921" s="1"/>
  <c r="BF921"/>
  <c r="BG921" s="1"/>
  <c r="AW921"/>
  <c r="BD921" s="1"/>
  <c r="BE921" s="1"/>
  <c r="BY944" i="6"/>
  <c r="BZ943"/>
  <c r="BW943" s="1"/>
  <c r="BV943"/>
  <c r="BX943" s="1"/>
  <c r="AJ909" i="12"/>
  <c r="AK908"/>
  <c r="AN908"/>
  <c r="AL908"/>
  <c r="AO908" s="1"/>
  <c r="AZ919" i="5"/>
  <c r="BE919"/>
  <c r="BG919" s="1"/>
  <c r="BA920"/>
  <c r="BK919"/>
  <c r="BL919" s="1"/>
  <c r="BD919"/>
  <c r="BF919" s="1"/>
  <c r="BB919"/>
  <c r="BI919" s="1"/>
  <c r="BJ919" s="1"/>
  <c r="AS166" i="6" l="1"/>
  <c r="BD920" i="5"/>
  <c r="BF920" s="1"/>
  <c r="BA921"/>
  <c r="BB920"/>
  <c r="BI920" s="1"/>
  <c r="BJ920" s="1"/>
  <c r="BK920"/>
  <c r="BL920" s="1"/>
  <c r="AZ920"/>
  <c r="BE920"/>
  <c r="BG920" s="1"/>
  <c r="AK909" i="12"/>
  <c r="AJ910"/>
  <c r="AL909"/>
  <c r="AO909" s="1"/>
  <c r="AN909"/>
  <c r="BY945" i="6"/>
  <c r="BV944"/>
  <c r="BX944" s="1"/>
  <c r="BZ944"/>
  <c r="BW944" s="1"/>
  <c r="AY922" i="4"/>
  <c r="BA922" s="1"/>
  <c r="BF922"/>
  <c r="BG922" s="1"/>
  <c r="AZ922"/>
  <c r="BB922" s="1"/>
  <c r="AU922"/>
  <c r="AV923"/>
  <c r="AW922"/>
  <c r="BD922" s="1"/>
  <c r="BE922" s="1"/>
  <c r="AR167" i="6" l="1"/>
  <c r="BY946"/>
  <c r="BV945"/>
  <c r="BX945" s="1"/>
  <c r="BW945"/>
  <c r="BZ945"/>
  <c r="AL910" i="12"/>
  <c r="AK910"/>
  <c r="AJ911"/>
  <c r="AN910"/>
  <c r="AO910"/>
  <c r="BF923" i="4"/>
  <c r="BG923" s="1"/>
  <c r="AW923"/>
  <c r="AY923"/>
  <c r="BA923" s="1"/>
  <c r="AZ923"/>
  <c r="BB923" s="1"/>
  <c r="AV924"/>
  <c r="BD923"/>
  <c r="BE923" s="1"/>
  <c r="AU923"/>
  <c r="BK921" i="5"/>
  <c r="BL921" s="1"/>
  <c r="BD921"/>
  <c r="BF921" s="1"/>
  <c r="BI921"/>
  <c r="BJ921" s="1"/>
  <c r="BA922"/>
  <c r="BB921"/>
  <c r="BE921"/>
  <c r="BG921" s="1"/>
  <c r="AZ921"/>
  <c r="AJ912" i="12" l="1"/>
  <c r="AL911"/>
  <c r="AO911"/>
  <c r="AN911"/>
  <c r="AK911"/>
  <c r="AS167" i="6"/>
  <c r="BB922" i="5"/>
  <c r="AZ922"/>
  <c r="BE922"/>
  <c r="BG922" s="1"/>
  <c r="BK922"/>
  <c r="BL922" s="1"/>
  <c r="BD922"/>
  <c r="BF922" s="1"/>
  <c r="BA923"/>
  <c r="BI922"/>
  <c r="BJ922" s="1"/>
  <c r="BY947" i="6"/>
  <c r="BZ946"/>
  <c r="BW946" s="1"/>
  <c r="BV946"/>
  <c r="BX946" s="1"/>
  <c r="AW924" i="4"/>
  <c r="BD924" s="1"/>
  <c r="BE924" s="1"/>
  <c r="AU924"/>
  <c r="AZ924"/>
  <c r="BB924" s="1"/>
  <c r="AV925"/>
  <c r="BF924"/>
  <c r="BG924" s="1"/>
  <c r="AY924"/>
  <c r="BA924" s="1"/>
  <c r="AZ923" i="5" l="1"/>
  <c r="BE923"/>
  <c r="BG923" s="1"/>
  <c r="BA924"/>
  <c r="BD923"/>
  <c r="BF923" s="1"/>
  <c r="BB923"/>
  <c r="BI923" s="1"/>
  <c r="BJ923" s="1"/>
  <c r="BK923"/>
  <c r="BL923" s="1"/>
  <c r="AJ913" i="12"/>
  <c r="AL912"/>
  <c r="AO912" s="1"/>
  <c r="AK912"/>
  <c r="AN912"/>
  <c r="AR168" i="6"/>
  <c r="AU925" i="4"/>
  <c r="AZ925"/>
  <c r="BB925" s="1"/>
  <c r="BD925"/>
  <c r="BE925" s="1"/>
  <c r="AV926"/>
  <c r="AY925"/>
  <c r="BA925" s="1"/>
  <c r="AW925"/>
  <c r="BF925"/>
  <c r="BG925" s="1"/>
  <c r="BY948" i="6"/>
  <c r="BV947"/>
  <c r="BX947" s="1"/>
  <c r="BZ947"/>
  <c r="BW947"/>
  <c r="AS168" l="1"/>
  <c r="BY949"/>
  <c r="BV948"/>
  <c r="BX948" s="1"/>
  <c r="BZ948"/>
  <c r="BW948" s="1"/>
  <c r="AY926" i="4"/>
  <c r="BA926" s="1"/>
  <c r="BF926"/>
  <c r="BG926" s="1"/>
  <c r="AW926"/>
  <c r="BD926" s="1"/>
  <c r="BE926" s="1"/>
  <c r="AZ926"/>
  <c r="BB926" s="1"/>
  <c r="AV927"/>
  <c r="AU926"/>
  <c r="AK913" i="12"/>
  <c r="AN913"/>
  <c r="AJ914"/>
  <c r="AL913"/>
  <c r="AO913" s="1"/>
  <c r="BD924" i="5"/>
  <c r="BF924" s="1"/>
  <c r="BB924"/>
  <c r="BK924"/>
  <c r="BL924" s="1"/>
  <c r="AZ924"/>
  <c r="BE924"/>
  <c r="BG924" s="1"/>
  <c r="BA925"/>
  <c r="BI924"/>
  <c r="BJ924" s="1"/>
  <c r="AL914" i="12" l="1"/>
  <c r="AK914"/>
  <c r="AJ915"/>
  <c r="AN914"/>
  <c r="AO914"/>
  <c r="AR169" i="6"/>
  <c r="BZ949"/>
  <c r="BW949" s="1"/>
  <c r="BY950"/>
  <c r="BV949"/>
  <c r="BX949" s="1"/>
  <c r="BK925" i="5"/>
  <c r="BL925" s="1"/>
  <c r="BA926"/>
  <c r="BB925"/>
  <c r="AZ925"/>
  <c r="BI925"/>
  <c r="BJ925" s="1"/>
  <c r="BE925"/>
  <c r="BG925" s="1"/>
  <c r="BD925"/>
  <c r="BF925" s="1"/>
  <c r="BF927" i="4"/>
  <c r="BG927" s="1"/>
  <c r="AW927"/>
  <c r="AU927"/>
  <c r="BD927"/>
  <c r="BE927" s="1"/>
  <c r="AZ927"/>
  <c r="BB927" s="1"/>
  <c r="AY927"/>
  <c r="BA927" s="1"/>
  <c r="AV928"/>
  <c r="BB926" i="5" l="1"/>
  <c r="BE926"/>
  <c r="BG926" s="1"/>
  <c r="BK926"/>
  <c r="BL926" s="1"/>
  <c r="BD926"/>
  <c r="BF926" s="1"/>
  <c r="BI926"/>
  <c r="BJ926" s="1"/>
  <c r="BA927"/>
  <c r="AZ926"/>
  <c r="BY951" i="6"/>
  <c r="BZ950"/>
  <c r="BW950" s="1"/>
  <c r="BV950"/>
  <c r="BX950" s="1"/>
  <c r="AS169"/>
  <c r="AW928" i="4"/>
  <c r="AU928"/>
  <c r="AZ928"/>
  <c r="BB928" s="1"/>
  <c r="BD928"/>
  <c r="BE928" s="1"/>
  <c r="AV929"/>
  <c r="BF928"/>
  <c r="BG928" s="1"/>
  <c r="AY928"/>
  <c r="BA928" s="1"/>
  <c r="AJ916" i="12"/>
  <c r="AL915"/>
  <c r="AK915"/>
  <c r="AO915"/>
  <c r="AN915"/>
  <c r="AU929" i="4" l="1"/>
  <c r="AZ929"/>
  <c r="BB929" s="1"/>
  <c r="AV930"/>
  <c r="AY929"/>
  <c r="BA929" s="1"/>
  <c r="BF929"/>
  <c r="BG929" s="1"/>
  <c r="AW929"/>
  <c r="BD929" s="1"/>
  <c r="BE929" s="1"/>
  <c r="AZ927" i="5"/>
  <c r="BE927"/>
  <c r="BG927" s="1"/>
  <c r="BI927"/>
  <c r="BJ927" s="1"/>
  <c r="BA928"/>
  <c r="BB927"/>
  <c r="BD927"/>
  <c r="BF927" s="1"/>
  <c r="BK927"/>
  <c r="BL927" s="1"/>
  <c r="AJ917" i="12"/>
  <c r="AK916"/>
  <c r="AL916"/>
  <c r="AO916" s="1"/>
  <c r="AN916"/>
  <c r="AR170" i="6"/>
  <c r="BY952"/>
  <c r="BZ951"/>
  <c r="BV951"/>
  <c r="BX951" s="1"/>
  <c r="BW951"/>
  <c r="BV952" l="1"/>
  <c r="BX952" s="1"/>
  <c r="BZ952"/>
  <c r="BW952" s="1"/>
  <c r="BY953"/>
  <c r="AK917" i="12"/>
  <c r="AJ918"/>
  <c r="AO917"/>
  <c r="AL917"/>
  <c r="AN917"/>
  <c r="BD928" i="5"/>
  <c r="BF928" s="1"/>
  <c r="AZ928"/>
  <c r="BE928"/>
  <c r="BG928" s="1"/>
  <c r="BI928"/>
  <c r="BJ928" s="1"/>
  <c r="BA929"/>
  <c r="BB928"/>
  <c r="BK928"/>
  <c r="BL928" s="1"/>
  <c r="AS170" i="6"/>
  <c r="AY930" i="4"/>
  <c r="BA930" s="1"/>
  <c r="BF930"/>
  <c r="BG930" s="1"/>
  <c r="AZ930"/>
  <c r="BB930" s="1"/>
  <c r="AU930"/>
  <c r="AV931"/>
  <c r="AW930"/>
  <c r="BD930" s="1"/>
  <c r="BE930" s="1"/>
  <c r="BK929" i="5" l="1"/>
  <c r="BL929" s="1"/>
  <c r="BB929"/>
  <c r="AZ929"/>
  <c r="BE929"/>
  <c r="BG929" s="1"/>
  <c r="BI929"/>
  <c r="BJ929" s="1"/>
  <c r="BA930"/>
  <c r="BD929"/>
  <c r="BF929" s="1"/>
  <c r="AL918" i="12"/>
  <c r="AK918"/>
  <c r="AN918"/>
  <c r="AJ919"/>
  <c r="AO918"/>
  <c r="BF931" i="4"/>
  <c r="BG931" s="1"/>
  <c r="AW931"/>
  <c r="AY931"/>
  <c r="BA931" s="1"/>
  <c r="AZ931"/>
  <c r="BB931" s="1"/>
  <c r="AV932"/>
  <c r="AU931"/>
  <c r="BD931"/>
  <c r="BE931" s="1"/>
  <c r="BY954" i="6"/>
  <c r="BV953"/>
  <c r="BX953" s="1"/>
  <c r="BZ953"/>
  <c r="BW953" s="1"/>
  <c r="AR171"/>
  <c r="AW932" i="4" l="1"/>
  <c r="BD932" s="1"/>
  <c r="BE932" s="1"/>
  <c r="AU932"/>
  <c r="AZ932"/>
  <c r="BB932" s="1"/>
  <c r="AV933"/>
  <c r="AY932"/>
  <c r="BA932" s="1"/>
  <c r="BF932"/>
  <c r="BG932" s="1"/>
  <c r="BB930" i="5"/>
  <c r="BD930"/>
  <c r="BF930" s="1"/>
  <c r="BI930"/>
  <c r="BJ930" s="1"/>
  <c r="BA931"/>
  <c r="BE930"/>
  <c r="BG930" s="1"/>
  <c r="AZ930"/>
  <c r="BK930"/>
  <c r="BL930" s="1"/>
  <c r="AJ920" i="12"/>
  <c r="AL919"/>
  <c r="AO919"/>
  <c r="AN919"/>
  <c r="AK919"/>
  <c r="AS171" i="6"/>
  <c r="BY955"/>
  <c r="BZ954"/>
  <c r="BV954"/>
  <c r="BX954" s="1"/>
  <c r="BW954"/>
  <c r="AU933" i="4" l="1"/>
  <c r="AZ933"/>
  <c r="BB933" s="1"/>
  <c r="AV934"/>
  <c r="AY933"/>
  <c r="BA933" s="1"/>
  <c r="AW933"/>
  <c r="BD933" s="1"/>
  <c r="BE933" s="1"/>
  <c r="BF933"/>
  <c r="BG933" s="1"/>
  <c r="BY956" i="6"/>
  <c r="BZ955"/>
  <c r="BW955" s="1"/>
  <c r="BV955"/>
  <c r="BX955" s="1"/>
  <c r="AJ921" i="12"/>
  <c r="AL920"/>
  <c r="AO920" s="1"/>
  <c r="AK920"/>
  <c r="AN920"/>
  <c r="AZ931" i="5"/>
  <c r="BE931"/>
  <c r="BG931" s="1"/>
  <c r="BA932"/>
  <c r="BB931"/>
  <c r="BI931" s="1"/>
  <c r="BJ931" s="1"/>
  <c r="BK931"/>
  <c r="BL931" s="1"/>
  <c r="BD931"/>
  <c r="BF931" s="1"/>
  <c r="AR172" i="6"/>
  <c r="AS172" l="1"/>
  <c r="BD932" i="5"/>
  <c r="BF932" s="1"/>
  <c r="BE932"/>
  <c r="BG932" s="1"/>
  <c r="BA933"/>
  <c r="BK932"/>
  <c r="BL932" s="1"/>
  <c r="AZ932"/>
  <c r="BB932"/>
  <c r="BI932" s="1"/>
  <c r="BJ932" s="1"/>
  <c r="AK921" i="12"/>
  <c r="AN921"/>
  <c r="AL921"/>
  <c r="AO921" s="1"/>
  <c r="AJ922"/>
  <c r="BY957" i="6"/>
  <c r="BV956"/>
  <c r="BX956" s="1"/>
  <c r="BZ956"/>
  <c r="BW956" s="1"/>
  <c r="AY934" i="4"/>
  <c r="BA934" s="1"/>
  <c r="BF934"/>
  <c r="BG934" s="1"/>
  <c r="AW934"/>
  <c r="BD934" s="1"/>
  <c r="BE934" s="1"/>
  <c r="AZ934"/>
  <c r="BB934" s="1"/>
  <c r="AU934"/>
  <c r="AV935"/>
  <c r="AL922" i="12" l="1"/>
  <c r="AK922"/>
  <c r="AJ923"/>
  <c r="AN922"/>
  <c r="AO922"/>
  <c r="BK933" i="5"/>
  <c r="BL933" s="1"/>
  <c r="AZ933"/>
  <c r="BE933"/>
  <c r="BG933" s="1"/>
  <c r="BD933"/>
  <c r="BF933" s="1"/>
  <c r="BB933"/>
  <c r="BI933" s="1"/>
  <c r="BJ933" s="1"/>
  <c r="BA934"/>
  <c r="AR173" i="6"/>
  <c r="BZ957"/>
  <c r="BV957"/>
  <c r="BX957" s="1"/>
  <c r="BW957"/>
  <c r="BY958"/>
  <c r="BF935" i="4"/>
  <c r="BG935" s="1"/>
  <c r="AW935"/>
  <c r="BD935" s="1"/>
  <c r="BE935" s="1"/>
  <c r="AU935"/>
  <c r="AY935"/>
  <c r="BA935" s="1"/>
  <c r="AV936"/>
  <c r="AZ935"/>
  <c r="BB935" s="1"/>
  <c r="BY959" i="6" l="1"/>
  <c r="BZ958"/>
  <c r="BW958" s="1"/>
  <c r="BV958"/>
  <c r="BX958" s="1"/>
  <c r="AJ924" i="12"/>
  <c r="AL923"/>
  <c r="AK923"/>
  <c r="AO923"/>
  <c r="AN923"/>
  <c r="AS173" i="6"/>
  <c r="AW936" i="4"/>
  <c r="AU936"/>
  <c r="AZ936"/>
  <c r="BB936" s="1"/>
  <c r="BD936"/>
  <c r="BE936" s="1"/>
  <c r="AV937"/>
  <c r="BF936"/>
  <c r="BG936" s="1"/>
  <c r="AY936"/>
  <c r="BA936" s="1"/>
  <c r="BB934" i="5"/>
  <c r="BA935"/>
  <c r="AZ934"/>
  <c r="BD934"/>
  <c r="BF934" s="1"/>
  <c r="BK934"/>
  <c r="BL934" s="1"/>
  <c r="BE934"/>
  <c r="BG934" s="1"/>
  <c r="BI934"/>
  <c r="BJ934" s="1"/>
  <c r="AJ925" i="12" l="1"/>
  <c r="AL924"/>
  <c r="AK924"/>
  <c r="AN924"/>
  <c r="AO924"/>
  <c r="BY960" i="6"/>
  <c r="BZ959"/>
  <c r="BW959" s="1"/>
  <c r="BV959"/>
  <c r="BX959" s="1"/>
  <c r="AR174"/>
  <c r="AZ935" i="5"/>
  <c r="BE935"/>
  <c r="BG935" s="1"/>
  <c r="BA936"/>
  <c r="BK935"/>
  <c r="BL935" s="1"/>
  <c r="BD935"/>
  <c r="BF935" s="1"/>
  <c r="BB935"/>
  <c r="BI935" s="1"/>
  <c r="BJ935" s="1"/>
  <c r="AU937" i="4"/>
  <c r="AZ937"/>
  <c r="BB937" s="1"/>
  <c r="AV938"/>
  <c r="AY937"/>
  <c r="BA937" s="1"/>
  <c r="BF937"/>
  <c r="BG937" s="1"/>
  <c r="AW937"/>
  <c r="BD937" s="1"/>
  <c r="BE937" s="1"/>
  <c r="AK925" i="12" l="1"/>
  <c r="AJ926"/>
  <c r="AO925"/>
  <c r="AL925"/>
  <c r="AN925"/>
  <c r="AY938" i="4"/>
  <c r="BA938" s="1"/>
  <c r="BF938"/>
  <c r="BG938" s="1"/>
  <c r="AZ938"/>
  <c r="BB938" s="1"/>
  <c r="AU938"/>
  <c r="AV939"/>
  <c r="BD938"/>
  <c r="BE938" s="1"/>
  <c r="AW938"/>
  <c r="AS174" i="6"/>
  <c r="BV960"/>
  <c r="BX960" s="1"/>
  <c r="BY961"/>
  <c r="BZ960"/>
  <c r="BW960"/>
  <c r="BD936" i="5"/>
  <c r="BF936" s="1"/>
  <c r="BA937"/>
  <c r="BB936"/>
  <c r="BK936"/>
  <c r="BL936" s="1"/>
  <c r="BE936"/>
  <c r="BG936" s="1"/>
  <c r="AZ936"/>
  <c r="BI936"/>
  <c r="BJ936" s="1"/>
  <c r="AL926" i="12" l="1"/>
  <c r="AK926"/>
  <c r="AJ927"/>
  <c r="AN926"/>
  <c r="AO926"/>
  <c r="AR175" i="6"/>
  <c r="BF939" i="4"/>
  <c r="BG939" s="1"/>
  <c r="AW939"/>
  <c r="AY939"/>
  <c r="BA939" s="1"/>
  <c r="AZ939"/>
  <c r="BB939" s="1"/>
  <c r="AV940"/>
  <c r="BD939"/>
  <c r="BE939" s="1"/>
  <c r="AU939"/>
  <c r="BK937" i="5"/>
  <c r="BL937" s="1"/>
  <c r="BD937"/>
  <c r="BF937" s="1"/>
  <c r="BA938"/>
  <c r="BE937"/>
  <c r="BG937" s="1"/>
  <c r="AZ937"/>
  <c r="BB937"/>
  <c r="BI937" s="1"/>
  <c r="BJ937" s="1"/>
  <c r="BY962" i="6"/>
  <c r="BV961"/>
  <c r="BX961" s="1"/>
  <c r="BW961"/>
  <c r="BZ961"/>
  <c r="AS175" l="1"/>
  <c r="BY963"/>
  <c r="BZ962"/>
  <c r="BV962"/>
  <c r="BX962" s="1"/>
  <c r="BW962"/>
  <c r="BB938" i="5"/>
  <c r="AZ938"/>
  <c r="BE938"/>
  <c r="BG938" s="1"/>
  <c r="BK938"/>
  <c r="BL938" s="1"/>
  <c r="BI938"/>
  <c r="BJ938" s="1"/>
  <c r="BA939"/>
  <c r="BD938"/>
  <c r="BF938" s="1"/>
  <c r="AJ928" i="12"/>
  <c r="AL927"/>
  <c r="AO927" s="1"/>
  <c r="AN927"/>
  <c r="AK927"/>
  <c r="AW940" i="4"/>
  <c r="AU940"/>
  <c r="AZ940"/>
  <c r="BB940" s="1"/>
  <c r="BD940"/>
  <c r="BE940" s="1"/>
  <c r="AV941"/>
  <c r="BF940"/>
  <c r="BG940" s="1"/>
  <c r="AY940"/>
  <c r="BA940" s="1"/>
  <c r="AJ929" i="12" l="1"/>
  <c r="AL928"/>
  <c r="AK928"/>
  <c r="AN928"/>
  <c r="AO928"/>
  <c r="AU941" i="4"/>
  <c r="AZ941"/>
  <c r="BB941" s="1"/>
  <c r="AV942"/>
  <c r="AY941"/>
  <c r="BA941" s="1"/>
  <c r="AW941"/>
  <c r="BD941" s="1"/>
  <c r="BE941" s="1"/>
  <c r="BF941"/>
  <c r="BG941" s="1"/>
  <c r="BY964" i="6"/>
  <c r="BZ963"/>
  <c r="BW963"/>
  <c r="BV963"/>
  <c r="BX963" s="1"/>
  <c r="AR176"/>
  <c r="AZ939" i="5"/>
  <c r="BE939"/>
  <c r="BG939" s="1"/>
  <c r="BA940"/>
  <c r="BD939"/>
  <c r="BF939" s="1"/>
  <c r="BK939"/>
  <c r="BL939" s="1"/>
  <c r="BB939"/>
  <c r="BI939" s="1"/>
  <c r="BJ939" s="1"/>
  <c r="AS176" i="6" l="1"/>
  <c r="BV964"/>
  <c r="BX964" s="1"/>
  <c r="BY965"/>
  <c r="BZ964"/>
  <c r="BW964" s="1"/>
  <c r="AY942" i="4"/>
  <c r="BA942" s="1"/>
  <c r="BF942"/>
  <c r="BG942" s="1"/>
  <c r="AW942"/>
  <c r="BD942" s="1"/>
  <c r="BE942" s="1"/>
  <c r="AU942"/>
  <c r="AZ942"/>
  <c r="BB942" s="1"/>
  <c r="AV943"/>
  <c r="AK929" i="12"/>
  <c r="AN929"/>
  <c r="AL929"/>
  <c r="AO929" s="1"/>
  <c r="AJ930"/>
  <c r="BD940" i="5"/>
  <c r="BF940" s="1"/>
  <c r="BB940"/>
  <c r="BK940"/>
  <c r="BL940" s="1"/>
  <c r="AZ940"/>
  <c r="BI940"/>
  <c r="BJ940" s="1"/>
  <c r="BA941"/>
  <c r="BE940"/>
  <c r="BG940" s="1"/>
  <c r="AR177" i="6" l="1"/>
  <c r="BF943" i="4"/>
  <c r="BG943" s="1"/>
  <c r="AW943"/>
  <c r="AU943"/>
  <c r="BD943"/>
  <c r="BE943" s="1"/>
  <c r="AZ943"/>
  <c r="BB943" s="1"/>
  <c r="AY943"/>
  <c r="BA943" s="1"/>
  <c r="AV944"/>
  <c r="AL930" i="12"/>
  <c r="AK930"/>
  <c r="AJ931"/>
  <c r="AN930"/>
  <c r="AO930"/>
  <c r="BK941" i="5"/>
  <c r="BL941" s="1"/>
  <c r="BA942"/>
  <c r="BB941"/>
  <c r="BI941" s="1"/>
  <c r="BJ941" s="1"/>
  <c r="BD941"/>
  <c r="BF941" s="1"/>
  <c r="BE941"/>
  <c r="BG941" s="1"/>
  <c r="AZ941"/>
  <c r="BZ965" i="6"/>
  <c r="BY966"/>
  <c r="BV965"/>
  <c r="BX965" s="1"/>
  <c r="BW965"/>
  <c r="AW944" i="4" l="1"/>
  <c r="BD944" s="1"/>
  <c r="BE944" s="1"/>
  <c r="AU944"/>
  <c r="AZ944"/>
  <c r="BB944" s="1"/>
  <c r="AV945"/>
  <c r="BF944"/>
  <c r="BG944" s="1"/>
  <c r="AY944"/>
  <c r="BA944" s="1"/>
  <c r="AS177" i="6"/>
  <c r="BY967"/>
  <c r="BZ966"/>
  <c r="BV966"/>
  <c r="BX966" s="1"/>
  <c r="BW966"/>
  <c r="BB942" i="5"/>
  <c r="BE942"/>
  <c r="BG942" s="1"/>
  <c r="BK942"/>
  <c r="BL942" s="1"/>
  <c r="BD942"/>
  <c r="BF942" s="1"/>
  <c r="BI942"/>
  <c r="BJ942" s="1"/>
  <c r="AZ942"/>
  <c r="BA943"/>
  <c r="AJ932" i="12"/>
  <c r="AL931"/>
  <c r="AK931"/>
  <c r="AO931"/>
  <c r="AN931"/>
  <c r="AU945" i="4" l="1"/>
  <c r="AZ945"/>
  <c r="BB945" s="1"/>
  <c r="AV946"/>
  <c r="AY945"/>
  <c r="BA945" s="1"/>
  <c r="BF945"/>
  <c r="BG945" s="1"/>
  <c r="AW945"/>
  <c r="BD945" s="1"/>
  <c r="BE945" s="1"/>
  <c r="BY968" i="6"/>
  <c r="BZ967"/>
  <c r="BW967" s="1"/>
  <c r="BV967"/>
  <c r="BX967" s="1"/>
  <c r="AJ933" i="12"/>
  <c r="AK932"/>
  <c r="AL932"/>
  <c r="AO932" s="1"/>
  <c r="AN932"/>
  <c r="AZ943" i="5"/>
  <c r="BE943"/>
  <c r="BG943" s="1"/>
  <c r="BA944"/>
  <c r="BB943"/>
  <c r="BI943" s="1"/>
  <c r="BJ943" s="1"/>
  <c r="BD943"/>
  <c r="BF943" s="1"/>
  <c r="BK943"/>
  <c r="BL943" s="1"/>
  <c r="AR178" i="6"/>
  <c r="AS178" l="1"/>
  <c r="BD944" i="5"/>
  <c r="BF944" s="1"/>
  <c r="AZ944"/>
  <c r="BE944"/>
  <c r="BG944" s="1"/>
  <c r="BI944"/>
  <c r="BJ944" s="1"/>
  <c r="BB944"/>
  <c r="BK944"/>
  <c r="BL944" s="1"/>
  <c r="BA945"/>
  <c r="AK933" i="12"/>
  <c r="AJ934"/>
  <c r="AL933"/>
  <c r="AO933" s="1"/>
  <c r="AN933"/>
  <c r="BZ968" i="6"/>
  <c r="BV968"/>
  <c r="BX968" s="1"/>
  <c r="BW968"/>
  <c r="BY969"/>
  <c r="AY946" i="4"/>
  <c r="BA946" s="1"/>
  <c r="BF946"/>
  <c r="BG946" s="1"/>
  <c r="AZ946"/>
  <c r="BB946" s="1"/>
  <c r="AU946"/>
  <c r="AV947"/>
  <c r="AW946"/>
  <c r="BD946"/>
  <c r="BE946" s="1"/>
  <c r="BK945" i="5" l="1"/>
  <c r="BL945" s="1"/>
  <c r="BB945"/>
  <c r="AZ945"/>
  <c r="BE945"/>
  <c r="BG945" s="1"/>
  <c r="BD945"/>
  <c r="BF945" s="1"/>
  <c r="BA946"/>
  <c r="BI945"/>
  <c r="BJ945" s="1"/>
  <c r="AL934" i="12"/>
  <c r="AO934" s="1"/>
  <c r="AK934"/>
  <c r="AN934"/>
  <c r="AJ935"/>
  <c r="AR179" i="6"/>
  <c r="BY970"/>
  <c r="BV969"/>
  <c r="BX969" s="1"/>
  <c r="BW969"/>
  <c r="BZ969"/>
  <c r="BF947" i="4"/>
  <c r="BG947" s="1"/>
  <c r="AW947"/>
  <c r="AY947"/>
  <c r="BA947" s="1"/>
  <c r="AZ947"/>
  <c r="BB947" s="1"/>
  <c r="AV948"/>
  <c r="AU947"/>
  <c r="BD947"/>
  <c r="BE947" s="1"/>
  <c r="AS179" i="6" l="1"/>
  <c r="BB946" i="5"/>
  <c r="BD946"/>
  <c r="BF946" s="1"/>
  <c r="BI946"/>
  <c r="BJ946" s="1"/>
  <c r="BA947"/>
  <c r="AZ946"/>
  <c r="BK946"/>
  <c r="BL946" s="1"/>
  <c r="BE946"/>
  <c r="BG946" s="1"/>
  <c r="AW948" i="4"/>
  <c r="AU948"/>
  <c r="AZ948"/>
  <c r="BB948" s="1"/>
  <c r="BD948"/>
  <c r="BE948" s="1"/>
  <c r="AV949"/>
  <c r="AY948"/>
  <c r="BA948" s="1"/>
  <c r="BF948"/>
  <c r="BG948" s="1"/>
  <c r="BY971" i="6"/>
  <c r="BZ970"/>
  <c r="BW970" s="1"/>
  <c r="BV970"/>
  <c r="BX970" s="1"/>
  <c r="AJ936" i="12"/>
  <c r="AL935"/>
  <c r="AO935" s="1"/>
  <c r="AN935"/>
  <c r="AK935"/>
  <c r="AR180" i="6" l="1"/>
  <c r="AJ937" i="12"/>
  <c r="AL936"/>
  <c r="AK936"/>
  <c r="AO936"/>
  <c r="AN936"/>
  <c r="BY972" i="6"/>
  <c r="BV971"/>
  <c r="BX971" s="1"/>
  <c r="BZ971"/>
  <c r="BW971" s="1"/>
  <c r="AU949" i="4"/>
  <c r="AZ949"/>
  <c r="BB949" s="1"/>
  <c r="AV950"/>
  <c r="AY949"/>
  <c r="BA949" s="1"/>
  <c r="AW949"/>
  <c r="BD949" s="1"/>
  <c r="BE949" s="1"/>
  <c r="BF949"/>
  <c r="BG949" s="1"/>
  <c r="AZ947" i="5"/>
  <c r="BE947"/>
  <c r="BG947" s="1"/>
  <c r="BI947"/>
  <c r="BJ947" s="1"/>
  <c r="BA948"/>
  <c r="BB947"/>
  <c r="BK947"/>
  <c r="BL947" s="1"/>
  <c r="BD947"/>
  <c r="BF947" s="1"/>
  <c r="AS180" i="6" l="1"/>
  <c r="BD948" i="5"/>
  <c r="BF948" s="1"/>
  <c r="BE948"/>
  <c r="BG948" s="1"/>
  <c r="BI948"/>
  <c r="BJ948" s="1"/>
  <c r="BA949"/>
  <c r="BB948"/>
  <c r="AZ948"/>
  <c r="BK948"/>
  <c r="BL948" s="1"/>
  <c r="AY950" i="4"/>
  <c r="BA950" s="1"/>
  <c r="BF950"/>
  <c r="BG950" s="1"/>
  <c r="AW950"/>
  <c r="BD950"/>
  <c r="BE950" s="1"/>
  <c r="AV951"/>
  <c r="AU950"/>
  <c r="AZ950"/>
  <c r="BB950" s="1"/>
  <c r="AK937" i="12"/>
  <c r="AN937"/>
  <c r="AL937"/>
  <c r="AO937" s="1"/>
  <c r="AJ938"/>
  <c r="BY973" i="6"/>
  <c r="BZ972"/>
  <c r="BV972"/>
  <c r="BX972" s="1"/>
  <c r="BW972"/>
  <c r="BV973" l="1"/>
  <c r="BX973" s="1"/>
  <c r="BZ973"/>
  <c r="BW973" s="1"/>
  <c r="BY974"/>
  <c r="BF951" i="4"/>
  <c r="BG951" s="1"/>
  <c r="AW951"/>
  <c r="BD951" s="1"/>
  <c r="BE951" s="1"/>
  <c r="AU951"/>
  <c r="AY951"/>
  <c r="BA951" s="1"/>
  <c r="AV952"/>
  <c r="AZ951"/>
  <c r="BB951" s="1"/>
  <c r="BK949" i="5"/>
  <c r="BL949" s="1"/>
  <c r="AZ949"/>
  <c r="BE949"/>
  <c r="BG949" s="1"/>
  <c r="BD949"/>
  <c r="BF949" s="1"/>
  <c r="BA950"/>
  <c r="BB949"/>
  <c r="BI949" s="1"/>
  <c r="BJ949" s="1"/>
  <c r="AR181" i="6"/>
  <c r="AL938" i="12"/>
  <c r="AK938"/>
  <c r="AJ939"/>
  <c r="AN938"/>
  <c r="AO938"/>
  <c r="BB950" i="5" l="1"/>
  <c r="BI950" s="1"/>
  <c r="BJ950" s="1"/>
  <c r="BA951"/>
  <c r="AZ950"/>
  <c r="BE950"/>
  <c r="BG950" s="1"/>
  <c r="BK950"/>
  <c r="BL950" s="1"/>
  <c r="BD950"/>
  <c r="BF950" s="1"/>
  <c r="AW952" i="4"/>
  <c r="AU952"/>
  <c r="AZ952"/>
  <c r="BB952" s="1"/>
  <c r="BD952"/>
  <c r="BE952" s="1"/>
  <c r="AV953"/>
  <c r="BF952"/>
  <c r="BG952" s="1"/>
  <c r="AY952"/>
  <c r="BA952" s="1"/>
  <c r="AJ940" i="12"/>
  <c r="AL939"/>
  <c r="AK939"/>
  <c r="AO939"/>
  <c r="AN939"/>
  <c r="AS181" i="6"/>
  <c r="BY975"/>
  <c r="BZ974"/>
  <c r="BV974"/>
  <c r="BX974" s="1"/>
  <c r="BW974"/>
  <c r="AZ951" i="5" l="1"/>
  <c r="BE951"/>
  <c r="BG951" s="1"/>
  <c r="BA952"/>
  <c r="BK951"/>
  <c r="BL951" s="1"/>
  <c r="BD951"/>
  <c r="BF951" s="1"/>
  <c r="BB951"/>
  <c r="BI951" s="1"/>
  <c r="BJ951" s="1"/>
  <c r="AJ941" i="12"/>
  <c r="AK940"/>
  <c r="AN940"/>
  <c r="AO940"/>
  <c r="AL940"/>
  <c r="BY976" i="6"/>
  <c r="BV975"/>
  <c r="BX975" s="1"/>
  <c r="BZ975"/>
  <c r="BW975" s="1"/>
  <c r="AR182"/>
  <c r="AU953" i="4"/>
  <c r="AZ953"/>
  <c r="BB953" s="1"/>
  <c r="BD953"/>
  <c r="BE953" s="1"/>
  <c r="AV954"/>
  <c r="AY953"/>
  <c r="BA953" s="1"/>
  <c r="BF953"/>
  <c r="BG953" s="1"/>
  <c r="AW953"/>
  <c r="AS182" i="6" l="1"/>
  <c r="BY977"/>
  <c r="BZ976"/>
  <c r="BV976"/>
  <c r="BX976" s="1"/>
  <c r="BW976"/>
  <c r="AY954" i="4"/>
  <c r="BA954" s="1"/>
  <c r="BF954"/>
  <c r="BG954" s="1"/>
  <c r="AZ954"/>
  <c r="BB954" s="1"/>
  <c r="AU954"/>
  <c r="AV955"/>
  <c r="AW954"/>
  <c r="BD954" s="1"/>
  <c r="BE954" s="1"/>
  <c r="AK941" i="12"/>
  <c r="AJ942"/>
  <c r="AL941"/>
  <c r="AO941" s="1"/>
  <c r="AN941"/>
  <c r="BD952" i="5"/>
  <c r="BF952" s="1"/>
  <c r="BA953"/>
  <c r="BB952"/>
  <c r="BI952" s="1"/>
  <c r="BJ952" s="1"/>
  <c r="BK952"/>
  <c r="BL952" s="1"/>
  <c r="AZ952"/>
  <c r="BE952"/>
  <c r="BG952" s="1"/>
  <c r="AR183" i="6" l="1"/>
  <c r="AL942" i="12"/>
  <c r="AK942"/>
  <c r="AJ943"/>
  <c r="AN942"/>
  <c r="AO942"/>
  <c r="BF955" i="4"/>
  <c r="BG955" s="1"/>
  <c r="AW955"/>
  <c r="AY955"/>
  <c r="BA955" s="1"/>
  <c r="AZ955"/>
  <c r="BB955" s="1"/>
  <c r="AV956"/>
  <c r="BD955"/>
  <c r="BE955" s="1"/>
  <c r="AU955"/>
  <c r="BY978" i="6"/>
  <c r="BZ977"/>
  <c r="BW977" s="1"/>
  <c r="BV977"/>
  <c r="BX977" s="1"/>
  <c r="BK953" i="5"/>
  <c r="BL953" s="1"/>
  <c r="BD953"/>
  <c r="BF953" s="1"/>
  <c r="BI953"/>
  <c r="BJ953" s="1"/>
  <c r="BA954"/>
  <c r="BB953"/>
  <c r="AZ953"/>
  <c r="BE953"/>
  <c r="BG953" s="1"/>
  <c r="AS183" i="6" l="1"/>
  <c r="BB954" i="5"/>
  <c r="AZ954"/>
  <c r="BE954"/>
  <c r="BG954" s="1"/>
  <c r="BK954"/>
  <c r="BL954" s="1"/>
  <c r="BD954"/>
  <c r="BF954" s="1"/>
  <c r="BI954"/>
  <c r="BJ954" s="1"/>
  <c r="BA955"/>
  <c r="AJ944" i="12"/>
  <c r="AL943"/>
  <c r="AO943" s="1"/>
  <c r="AN943"/>
  <c r="AK943"/>
  <c r="BY979" i="6"/>
  <c r="BZ978"/>
  <c r="BV978"/>
  <c r="BX978" s="1"/>
  <c r="BW978"/>
  <c r="AW956" i="4"/>
  <c r="AU956"/>
  <c r="AZ956"/>
  <c r="BB956" s="1"/>
  <c r="BD956"/>
  <c r="BE956" s="1"/>
  <c r="AV957"/>
  <c r="BF956"/>
  <c r="BG956" s="1"/>
  <c r="AY956"/>
  <c r="BA956" s="1"/>
  <c r="AR184" i="6" l="1"/>
  <c r="AJ945" i="12"/>
  <c r="AL944"/>
  <c r="AK944"/>
  <c r="AN944"/>
  <c r="AO944"/>
  <c r="AU957" i="4"/>
  <c r="AZ957"/>
  <c r="BB957" s="1"/>
  <c r="AV958"/>
  <c r="AY957"/>
  <c r="BA957" s="1"/>
  <c r="AW957"/>
  <c r="BD957" s="1"/>
  <c r="BE957" s="1"/>
  <c r="BF957"/>
  <c r="BG957" s="1"/>
  <c r="BY980" i="6"/>
  <c r="BZ979"/>
  <c r="BW979" s="1"/>
  <c r="BV979"/>
  <c r="BX979" s="1"/>
  <c r="AZ955" i="5"/>
  <c r="BE955"/>
  <c r="BG955" s="1"/>
  <c r="BI955"/>
  <c r="BJ955" s="1"/>
  <c r="BA956"/>
  <c r="BD955"/>
  <c r="BF955" s="1"/>
  <c r="BB955"/>
  <c r="BK955"/>
  <c r="BL955" s="1"/>
  <c r="AS184" i="6" l="1"/>
  <c r="BD956" i="5"/>
  <c r="BF956" s="1"/>
  <c r="BB956"/>
  <c r="BK956"/>
  <c r="BL956" s="1"/>
  <c r="AZ956"/>
  <c r="BE956"/>
  <c r="BG956" s="1"/>
  <c r="BA957"/>
  <c r="BI956"/>
  <c r="BJ956" s="1"/>
  <c r="BY981" i="6"/>
  <c r="BV980"/>
  <c r="BX980" s="1"/>
  <c r="BZ980"/>
  <c r="BW980"/>
  <c r="AY958" i="4"/>
  <c r="BA958" s="1"/>
  <c r="BF958"/>
  <c r="BG958" s="1"/>
  <c r="AW958"/>
  <c r="BD958"/>
  <c r="BE958" s="1"/>
  <c r="AZ958"/>
  <c r="BB958" s="1"/>
  <c r="AV959"/>
  <c r="AU958"/>
  <c r="AK945" i="12"/>
  <c r="AN945"/>
  <c r="AJ946"/>
  <c r="AL945"/>
  <c r="AO945" s="1"/>
  <c r="AR185" i="6" l="1"/>
  <c r="BZ981"/>
  <c r="BY982"/>
  <c r="BV981"/>
  <c r="BX981" s="1"/>
  <c r="BW981"/>
  <c r="BF959" i="4"/>
  <c r="BG959" s="1"/>
  <c r="AW959"/>
  <c r="AU959"/>
  <c r="BD959"/>
  <c r="BE959" s="1"/>
  <c r="AZ959"/>
  <c r="BB959" s="1"/>
  <c r="AV960"/>
  <c r="AY959"/>
  <c r="BA959" s="1"/>
  <c r="AL946" i="12"/>
  <c r="AK946"/>
  <c r="AJ947"/>
  <c r="AN946"/>
  <c r="AO946"/>
  <c r="BK957" i="5"/>
  <c r="BL957" s="1"/>
  <c r="BA958"/>
  <c r="BB957"/>
  <c r="BI957" s="1"/>
  <c r="BJ957" s="1"/>
  <c r="AZ957"/>
  <c r="BD957"/>
  <c r="BF957" s="1"/>
  <c r="BE957"/>
  <c r="BG957" s="1"/>
  <c r="AS185" i="6" l="1"/>
  <c r="BB958" i="5"/>
  <c r="BE958"/>
  <c r="BG958" s="1"/>
  <c r="BK958"/>
  <c r="BL958" s="1"/>
  <c r="BD958"/>
  <c r="BF958" s="1"/>
  <c r="BI958"/>
  <c r="BJ958" s="1"/>
  <c r="BA959"/>
  <c r="AZ958"/>
  <c r="AJ948" i="12"/>
  <c r="AL947"/>
  <c r="AK947"/>
  <c r="AO947"/>
  <c r="AN947"/>
  <c r="AW960" i="4"/>
  <c r="AU960"/>
  <c r="AZ960"/>
  <c r="BB960" s="1"/>
  <c r="BD960"/>
  <c r="BE960" s="1"/>
  <c r="AV961"/>
  <c r="BF960"/>
  <c r="BG960" s="1"/>
  <c r="AY960"/>
  <c r="BA960" s="1"/>
  <c r="BY983" i="6"/>
  <c r="BZ982"/>
  <c r="BV982"/>
  <c r="BX982" s="1"/>
  <c r="BW982"/>
  <c r="AR186" l="1"/>
  <c r="AJ949" i="12"/>
  <c r="AK948"/>
  <c r="AL948"/>
  <c r="AO948" s="1"/>
  <c r="AN948"/>
  <c r="AU961" i="4"/>
  <c r="AZ961"/>
  <c r="BB961" s="1"/>
  <c r="AV962"/>
  <c r="AY961"/>
  <c r="BA961" s="1"/>
  <c r="BF961"/>
  <c r="BG961" s="1"/>
  <c r="AW961"/>
  <c r="BD961" s="1"/>
  <c r="BE961" s="1"/>
  <c r="BY984" i="6"/>
  <c r="BZ983"/>
  <c r="BW983" s="1"/>
  <c r="BV983"/>
  <c r="BX983" s="1"/>
  <c r="AZ959" i="5"/>
  <c r="BE959"/>
  <c r="BG959" s="1"/>
  <c r="BI959"/>
  <c r="BJ959" s="1"/>
  <c r="BA960"/>
  <c r="BB959"/>
  <c r="BK959"/>
  <c r="BL959" s="1"/>
  <c r="BD959"/>
  <c r="BF959" s="1"/>
  <c r="AS186" i="6" l="1"/>
  <c r="BD960" i="5"/>
  <c r="BF960" s="1"/>
  <c r="AZ960"/>
  <c r="BE960"/>
  <c r="BG960" s="1"/>
  <c r="BA961"/>
  <c r="BK960"/>
  <c r="BL960" s="1"/>
  <c r="BB960"/>
  <c r="BI960" s="1"/>
  <c r="BJ960" s="1"/>
  <c r="BZ984" i="6"/>
  <c r="BW984" s="1"/>
  <c r="BY985"/>
  <c r="BV984"/>
  <c r="BX984" s="1"/>
  <c r="AY962" i="4"/>
  <c r="BA962" s="1"/>
  <c r="BF962"/>
  <c r="BG962" s="1"/>
  <c r="AZ962"/>
  <c r="BB962" s="1"/>
  <c r="AU962"/>
  <c r="AV963"/>
  <c r="AW962"/>
  <c r="BD962"/>
  <c r="BE962" s="1"/>
  <c r="AK949" i="12"/>
  <c r="AJ950"/>
  <c r="AL949"/>
  <c r="AO949" s="1"/>
  <c r="AN949"/>
  <c r="AR187" i="6" l="1"/>
  <c r="AL950" i="12"/>
  <c r="AK950"/>
  <c r="AN950"/>
  <c r="AJ951"/>
  <c r="AO950"/>
  <c r="BF963" i="4"/>
  <c r="BG963" s="1"/>
  <c r="AW963"/>
  <c r="BD963" s="1"/>
  <c r="BE963" s="1"/>
  <c r="AY963"/>
  <c r="BA963" s="1"/>
  <c r="AZ963"/>
  <c r="BB963" s="1"/>
  <c r="AV964"/>
  <c r="AU963"/>
  <c r="BY986" i="6"/>
  <c r="BV985"/>
  <c r="BX985" s="1"/>
  <c r="BW985"/>
  <c r="BZ985"/>
  <c r="BK961" i="5"/>
  <c r="BL961" s="1"/>
  <c r="BB961"/>
  <c r="AZ961"/>
  <c r="BE961"/>
  <c r="BG961" s="1"/>
  <c r="BI961"/>
  <c r="BJ961" s="1"/>
  <c r="BA962"/>
  <c r="BD961"/>
  <c r="BF961" s="1"/>
  <c r="AJ952" i="12" l="1"/>
  <c r="AL951"/>
  <c r="AO951"/>
  <c r="AN951"/>
  <c r="AK951"/>
  <c r="BY987" i="6"/>
  <c r="BZ986"/>
  <c r="BV986"/>
  <c r="BX986" s="1"/>
  <c r="BW986"/>
  <c r="AS187"/>
  <c r="BB962" i="5"/>
  <c r="BI962" s="1"/>
  <c r="BJ962" s="1"/>
  <c r="BD962"/>
  <c r="BF962" s="1"/>
  <c r="BA963"/>
  <c r="BE962"/>
  <c r="BG962" s="1"/>
  <c r="AZ962"/>
  <c r="BK962"/>
  <c r="BL962" s="1"/>
  <c r="AW964" i="4"/>
  <c r="BD964" s="1"/>
  <c r="BE964" s="1"/>
  <c r="AU964"/>
  <c r="AZ964"/>
  <c r="BB964" s="1"/>
  <c r="AV965"/>
  <c r="AY964"/>
  <c r="BA964" s="1"/>
  <c r="BF964"/>
  <c r="BG964" s="1"/>
  <c r="AZ963" i="5" l="1"/>
  <c r="BE963"/>
  <c r="BG963" s="1"/>
  <c r="BA964"/>
  <c r="BB963"/>
  <c r="BI963" s="1"/>
  <c r="BJ963" s="1"/>
  <c r="BK963"/>
  <c r="BL963" s="1"/>
  <c r="BD963"/>
  <c r="BF963" s="1"/>
  <c r="AJ953" i="12"/>
  <c r="AL952"/>
  <c r="AO952" s="1"/>
  <c r="AK952"/>
  <c r="AN952"/>
  <c r="AR188" i="6"/>
  <c r="BY988"/>
  <c r="BZ987"/>
  <c r="BV987"/>
  <c r="BX987" s="1"/>
  <c r="BW987"/>
  <c r="AU965" i="4"/>
  <c r="AZ965"/>
  <c r="BB965" s="1"/>
  <c r="BD965"/>
  <c r="BE965" s="1"/>
  <c r="AV966"/>
  <c r="AY965"/>
  <c r="BA965" s="1"/>
  <c r="AW965"/>
  <c r="BF965"/>
  <c r="BG965" s="1"/>
  <c r="AS188" i="6" l="1"/>
  <c r="AY966" i="4"/>
  <c r="BA966" s="1"/>
  <c r="BF966"/>
  <c r="BG966" s="1"/>
  <c r="AW966"/>
  <c r="BD966" s="1"/>
  <c r="BE966" s="1"/>
  <c r="AZ966"/>
  <c r="BB966" s="1"/>
  <c r="AU966"/>
  <c r="AV967"/>
  <c r="BV988" i="6"/>
  <c r="BX988" s="1"/>
  <c r="BY989"/>
  <c r="BZ988"/>
  <c r="BW988"/>
  <c r="AK953" i="12"/>
  <c r="AN953"/>
  <c r="AL953"/>
  <c r="AO953" s="1"/>
  <c r="AJ954"/>
  <c r="BD964" i="5"/>
  <c r="BF964" s="1"/>
  <c r="BE964"/>
  <c r="BG964" s="1"/>
  <c r="BA965"/>
  <c r="BK964"/>
  <c r="BL964" s="1"/>
  <c r="AZ964"/>
  <c r="BB964"/>
  <c r="BI964" s="1"/>
  <c r="BJ964" s="1"/>
  <c r="BK965" l="1"/>
  <c r="BL965" s="1"/>
  <c r="AZ965"/>
  <c r="BE965"/>
  <c r="BG965" s="1"/>
  <c r="BD965"/>
  <c r="BF965" s="1"/>
  <c r="BI965"/>
  <c r="BJ965" s="1"/>
  <c r="BB965"/>
  <c r="BA966"/>
  <c r="AL954" i="12"/>
  <c r="AK954"/>
  <c r="AJ955"/>
  <c r="AN954"/>
  <c r="AO954"/>
  <c r="AR189" i="6"/>
  <c r="BF967" i="4"/>
  <c r="BG967" s="1"/>
  <c r="AW967"/>
  <c r="AU967"/>
  <c r="BD967"/>
  <c r="BE967" s="1"/>
  <c r="AZ967"/>
  <c r="BB967" s="1"/>
  <c r="AY967"/>
  <c r="BA967" s="1"/>
  <c r="AV968"/>
  <c r="BV989" i="6"/>
  <c r="BX989" s="1"/>
  <c r="BZ989"/>
  <c r="BW989" s="1"/>
  <c r="BY990"/>
  <c r="AS189" l="1"/>
  <c r="AJ956" i="12"/>
  <c r="AL955"/>
  <c r="AK955"/>
  <c r="AO955"/>
  <c r="AN955"/>
  <c r="BB966" i="5"/>
  <c r="BA967"/>
  <c r="AZ966"/>
  <c r="BD966"/>
  <c r="BF966" s="1"/>
  <c r="BK966"/>
  <c r="BL966" s="1"/>
  <c r="BE966"/>
  <c r="BG966" s="1"/>
  <c r="BI966"/>
  <c r="BJ966" s="1"/>
  <c r="BY991" i="6"/>
  <c r="BZ990"/>
  <c r="BV990"/>
  <c r="BX990" s="1"/>
  <c r="BW990"/>
  <c r="AW968" i="4"/>
  <c r="AU968"/>
  <c r="AZ968"/>
  <c r="BB968" s="1"/>
  <c r="BD968"/>
  <c r="BE968" s="1"/>
  <c r="AV969"/>
  <c r="BF968"/>
  <c r="BG968" s="1"/>
  <c r="AY968"/>
  <c r="BA968" s="1"/>
  <c r="AZ967" i="5" l="1"/>
  <c r="BE967"/>
  <c r="BG967" s="1"/>
  <c r="BA968"/>
  <c r="BK967"/>
  <c r="BL967" s="1"/>
  <c r="BD967"/>
  <c r="BF967" s="1"/>
  <c r="BB967"/>
  <c r="BI967" s="1"/>
  <c r="BJ967" s="1"/>
  <c r="AR190" i="6"/>
  <c r="AJ957" i="12"/>
  <c r="AL956"/>
  <c r="AN956"/>
  <c r="AO956"/>
  <c r="AK956"/>
  <c r="AU969" i="4"/>
  <c r="AZ969"/>
  <c r="BB969" s="1"/>
  <c r="AV970"/>
  <c r="AY969"/>
  <c r="BA969" s="1"/>
  <c r="BF969"/>
  <c r="BG969" s="1"/>
  <c r="AW969"/>
  <c r="BD969" s="1"/>
  <c r="BE969" s="1"/>
  <c r="BY992" i="6"/>
  <c r="BZ991"/>
  <c r="BV991"/>
  <c r="BX991" s="1"/>
  <c r="BW991"/>
  <c r="BV992" l="1"/>
  <c r="BX992" s="1"/>
  <c r="BY993"/>
  <c r="BZ992"/>
  <c r="BW992" s="1"/>
  <c r="AY970" i="4"/>
  <c r="BA970" s="1"/>
  <c r="BF970"/>
  <c r="BG970" s="1"/>
  <c r="AZ970"/>
  <c r="BB970" s="1"/>
  <c r="AU970"/>
  <c r="AV971"/>
  <c r="AW970"/>
  <c r="BD970" s="1"/>
  <c r="BE970" s="1"/>
  <c r="AK957" i="12"/>
  <c r="AJ958"/>
  <c r="AL957"/>
  <c r="AO957" s="1"/>
  <c r="AN957"/>
  <c r="AS190" i="6"/>
  <c r="BD968" i="5"/>
  <c r="BF968" s="1"/>
  <c r="BA969"/>
  <c r="BB968"/>
  <c r="BI968" s="1"/>
  <c r="BJ968" s="1"/>
  <c r="BK968"/>
  <c r="BL968" s="1"/>
  <c r="BE968"/>
  <c r="BG968" s="1"/>
  <c r="AZ968"/>
  <c r="BY994" i="6" l="1"/>
  <c r="BW993"/>
  <c r="BZ993"/>
  <c r="BV993"/>
  <c r="BX993" s="1"/>
  <c r="AR191"/>
  <c r="AL958" i="12"/>
  <c r="AK958"/>
  <c r="AJ959"/>
  <c r="AN958"/>
  <c r="AO958"/>
  <c r="BF971" i="4"/>
  <c r="BG971" s="1"/>
  <c r="AW971"/>
  <c r="AY971"/>
  <c r="BA971" s="1"/>
  <c r="AZ971"/>
  <c r="BB971" s="1"/>
  <c r="AV972"/>
  <c r="BD971"/>
  <c r="BE971" s="1"/>
  <c r="AU971"/>
  <c r="BK969" i="5"/>
  <c r="BL969" s="1"/>
  <c r="BD969"/>
  <c r="BF969" s="1"/>
  <c r="BA970"/>
  <c r="BE969"/>
  <c r="BG969" s="1"/>
  <c r="AZ969"/>
  <c r="BB969"/>
  <c r="BI969" s="1"/>
  <c r="BJ969" s="1"/>
  <c r="AJ960" i="12" l="1"/>
  <c r="AL959"/>
  <c r="AO959"/>
  <c r="AN959"/>
  <c r="AK959"/>
  <c r="AS191" i="6"/>
  <c r="BY995"/>
  <c r="BZ994"/>
  <c r="BW994" s="1"/>
  <c r="BV994"/>
  <c r="BX994" s="1"/>
  <c r="BB970" i="5"/>
  <c r="AZ970"/>
  <c r="BE970"/>
  <c r="BG970" s="1"/>
  <c r="BK970"/>
  <c r="BL970" s="1"/>
  <c r="BI970"/>
  <c r="BJ970" s="1"/>
  <c r="BA971"/>
  <c r="BD970"/>
  <c r="BF970" s="1"/>
  <c r="AW972" i="4"/>
  <c r="BD972" s="1"/>
  <c r="BE972" s="1"/>
  <c r="AU972"/>
  <c r="AZ972"/>
  <c r="BB972" s="1"/>
  <c r="AV973"/>
  <c r="BF972"/>
  <c r="BG972" s="1"/>
  <c r="AY972"/>
  <c r="BA972" s="1"/>
  <c r="AJ961" i="12" l="1"/>
  <c r="AL960"/>
  <c r="AK960"/>
  <c r="AN960"/>
  <c r="AO960"/>
  <c r="AR192" i="6"/>
  <c r="AZ971" i="5"/>
  <c r="BE971"/>
  <c r="BG971" s="1"/>
  <c r="BA972"/>
  <c r="BD971"/>
  <c r="BF971" s="1"/>
  <c r="BB971"/>
  <c r="BI971" s="1"/>
  <c r="BJ971" s="1"/>
  <c r="BK971"/>
  <c r="BL971" s="1"/>
  <c r="AU973" i="4"/>
  <c r="AZ973"/>
  <c r="BB973" s="1"/>
  <c r="AV974"/>
  <c r="AY973"/>
  <c r="BA973" s="1"/>
  <c r="AW973"/>
  <c r="BD973" s="1"/>
  <c r="BE973" s="1"/>
  <c r="BF973"/>
  <c r="BG973" s="1"/>
  <c r="BY996" i="6"/>
  <c r="BZ995"/>
  <c r="BV995"/>
  <c r="BX995" s="1"/>
  <c r="BW995"/>
  <c r="AK961" i="12" l="1"/>
  <c r="AN961"/>
  <c r="AL961"/>
  <c r="AO961" s="1"/>
  <c r="AJ962"/>
  <c r="BV996" i="6"/>
  <c r="BX996" s="1"/>
  <c r="BY997"/>
  <c r="BZ996"/>
  <c r="BW996"/>
  <c r="AY974" i="4"/>
  <c r="BA974" s="1"/>
  <c r="BF974"/>
  <c r="BG974" s="1"/>
  <c r="AW974"/>
  <c r="BD974"/>
  <c r="BE974" s="1"/>
  <c r="AU974"/>
  <c r="AZ974"/>
  <c r="BB974" s="1"/>
  <c r="AV975"/>
  <c r="AS192" i="6"/>
  <c r="BD972" i="5"/>
  <c r="BF972" s="1"/>
  <c r="BB972"/>
  <c r="BK972"/>
  <c r="BL972" s="1"/>
  <c r="AZ972"/>
  <c r="BI972"/>
  <c r="BJ972" s="1"/>
  <c r="BA973"/>
  <c r="BE972"/>
  <c r="BG972" s="1"/>
  <c r="AL962" i="12" l="1"/>
  <c r="AK962"/>
  <c r="AJ963"/>
  <c r="AN962"/>
  <c r="AO962"/>
  <c r="BZ997" i="6"/>
  <c r="BY998"/>
  <c r="BV997"/>
  <c r="BX997" s="1"/>
  <c r="BW997"/>
  <c r="AR193"/>
  <c r="BK973" i="5"/>
  <c r="BL973" s="1"/>
  <c r="BA974"/>
  <c r="BB973"/>
  <c r="BD973"/>
  <c r="BF973" s="1"/>
  <c r="BE973"/>
  <c r="BG973" s="1"/>
  <c r="AZ973"/>
  <c r="BI973"/>
  <c r="BJ973" s="1"/>
  <c r="BF975" i="4"/>
  <c r="BG975" s="1"/>
  <c r="AW975"/>
  <c r="BD975" s="1"/>
  <c r="BE975" s="1"/>
  <c r="AU975"/>
  <c r="AZ975"/>
  <c r="BB975" s="1"/>
  <c r="AY975"/>
  <c r="BA975" s="1"/>
  <c r="AV976"/>
  <c r="AW976" l="1"/>
  <c r="BD976" s="1"/>
  <c r="BE976" s="1"/>
  <c r="AU976"/>
  <c r="AZ976"/>
  <c r="BB976" s="1"/>
  <c r="AV977"/>
  <c r="BF976"/>
  <c r="BG976" s="1"/>
  <c r="AY976"/>
  <c r="BA976" s="1"/>
  <c r="BB974" i="5"/>
  <c r="BE974"/>
  <c r="BG974" s="1"/>
  <c r="BK974"/>
  <c r="BL974" s="1"/>
  <c r="BD974"/>
  <c r="BF974" s="1"/>
  <c r="BI974"/>
  <c r="BJ974" s="1"/>
  <c r="AZ974"/>
  <c r="BA975"/>
  <c r="AS193" i="6"/>
  <c r="BY999"/>
  <c r="BZ998"/>
  <c r="BV998"/>
  <c r="BX998" s="1"/>
  <c r="BW998"/>
  <c r="AJ964" i="12"/>
  <c r="AL963"/>
  <c r="AK963"/>
  <c r="AO963"/>
  <c r="AN963"/>
  <c r="AJ965" l="1"/>
  <c r="AK964"/>
  <c r="AL964"/>
  <c r="AN964"/>
  <c r="AO964"/>
  <c r="BY1000" i="6"/>
  <c r="BV999"/>
  <c r="BX999" s="1"/>
  <c r="BZ999"/>
  <c r="BW999"/>
  <c r="AU977" i="4"/>
  <c r="AZ977"/>
  <c r="BB977" s="1"/>
  <c r="AV978"/>
  <c r="AY977"/>
  <c r="BA977" s="1"/>
  <c r="BF977"/>
  <c r="BG977" s="1"/>
  <c r="AW977"/>
  <c r="BD977" s="1"/>
  <c r="BE977" s="1"/>
  <c r="AZ975" i="5"/>
  <c r="BE975"/>
  <c r="BG975" s="1"/>
  <c r="BI975"/>
  <c r="BJ975" s="1"/>
  <c r="BA976"/>
  <c r="BB975"/>
  <c r="BD975"/>
  <c r="BF975" s="1"/>
  <c r="BK975"/>
  <c r="BL975" s="1"/>
  <c r="AR194" i="6"/>
  <c r="AY978" i="4" l="1"/>
  <c r="BA978" s="1"/>
  <c r="BF978"/>
  <c r="BG978" s="1"/>
  <c r="AZ978"/>
  <c r="BB978" s="1"/>
  <c r="AU978"/>
  <c r="AV979"/>
  <c r="BD978"/>
  <c r="BE978" s="1"/>
  <c r="AW978"/>
  <c r="AK965" i="12"/>
  <c r="AJ966"/>
  <c r="AO965"/>
  <c r="AL965"/>
  <c r="AN965"/>
  <c r="BZ1000" i="6"/>
  <c r="BW1000" s="1"/>
  <c r="BV1000"/>
  <c r="BX1000" s="1"/>
  <c r="BY1001"/>
  <c r="AS194"/>
  <c r="BD976" i="5"/>
  <c r="BF976" s="1"/>
  <c r="AZ976"/>
  <c r="BE976"/>
  <c r="BG976" s="1"/>
  <c r="BI976"/>
  <c r="BJ976" s="1"/>
  <c r="BB976"/>
  <c r="BK976"/>
  <c r="BL976" s="1"/>
  <c r="BA977"/>
  <c r="BK977" l="1"/>
  <c r="BL977" s="1"/>
  <c r="BB977"/>
  <c r="AZ977"/>
  <c r="BE977"/>
  <c r="BG977" s="1"/>
  <c r="BD977"/>
  <c r="BF977" s="1"/>
  <c r="BI977"/>
  <c r="BJ977" s="1"/>
  <c r="BA978"/>
  <c r="AR195" i="6"/>
  <c r="AL966" i="12"/>
  <c r="AK966"/>
  <c r="AN966"/>
  <c r="AO966"/>
  <c r="AJ967"/>
  <c r="BF979" i="4"/>
  <c r="BG979" s="1"/>
  <c r="AW979"/>
  <c r="AY979"/>
  <c r="BA979" s="1"/>
  <c r="AZ979"/>
  <c r="BB979" s="1"/>
  <c r="AV980"/>
  <c r="AU979"/>
  <c r="BD979"/>
  <c r="BE979" s="1"/>
  <c r="BY1002" i="6"/>
  <c r="BV1001"/>
  <c r="BX1001" s="1"/>
  <c r="BZ1001"/>
  <c r="BW1001" s="1"/>
  <c r="BY1003" l="1"/>
  <c r="BZ1002"/>
  <c r="BW1002" s="1"/>
  <c r="BV1002"/>
  <c r="BX1002" s="1"/>
  <c r="AL967" i="12"/>
  <c r="AO967" s="1"/>
  <c r="AJ968"/>
  <c r="AN967"/>
  <c r="AK967"/>
  <c r="AW980" i="4"/>
  <c r="AU980"/>
  <c r="AZ980"/>
  <c r="BB980" s="1"/>
  <c r="BD980"/>
  <c r="BE980" s="1"/>
  <c r="AV981"/>
  <c r="AY980"/>
  <c r="BA980" s="1"/>
  <c r="BF980"/>
  <c r="BG980" s="1"/>
  <c r="BB978" i="5"/>
  <c r="BD978"/>
  <c r="BF978" s="1"/>
  <c r="BI978"/>
  <c r="BJ978" s="1"/>
  <c r="BA979"/>
  <c r="AZ978"/>
  <c r="BK978"/>
  <c r="BL978" s="1"/>
  <c r="BE978"/>
  <c r="BG978" s="1"/>
  <c r="AS195" i="6"/>
  <c r="BY1004" l="1"/>
  <c r="BZ1003"/>
  <c r="BW1003" s="1"/>
  <c r="BV1003"/>
  <c r="BX1003" s="1"/>
  <c r="AU981" i="4"/>
  <c r="AZ981"/>
  <c r="BB981" s="1"/>
  <c r="BD981"/>
  <c r="BE981" s="1"/>
  <c r="AV982"/>
  <c r="AY981"/>
  <c r="BA981" s="1"/>
  <c r="AW981"/>
  <c r="BF981"/>
  <c r="BG981" s="1"/>
  <c r="AJ969" i="12"/>
  <c r="AK968"/>
  <c r="AL968"/>
  <c r="AO968"/>
  <c r="AN968"/>
  <c r="AR196" i="6"/>
  <c r="AZ979" i="5"/>
  <c r="BE979"/>
  <c r="BG979" s="1"/>
  <c r="BI979"/>
  <c r="BJ979" s="1"/>
  <c r="BA980"/>
  <c r="BB979"/>
  <c r="BK979"/>
  <c r="BL979" s="1"/>
  <c r="BD979"/>
  <c r="BF979" s="1"/>
  <c r="BY1005" i="6" l="1"/>
  <c r="BV1004"/>
  <c r="BX1004" s="1"/>
  <c r="BZ1004"/>
  <c r="BW1004" s="1"/>
  <c r="BD980" i="5"/>
  <c r="BF980" s="1"/>
  <c r="BE980"/>
  <c r="BG980" s="1"/>
  <c r="BA981"/>
  <c r="BB980"/>
  <c r="BI980" s="1"/>
  <c r="BJ980" s="1"/>
  <c r="BK980"/>
  <c r="BL980" s="1"/>
  <c r="AZ980"/>
  <c r="AS196" i="6"/>
  <c r="AJ970" i="12"/>
  <c r="AL969"/>
  <c r="AO969" s="1"/>
  <c r="AN969"/>
  <c r="AK969"/>
  <c r="AY982" i="4"/>
  <c r="BA982" s="1"/>
  <c r="BF982"/>
  <c r="BG982" s="1"/>
  <c r="AW982"/>
  <c r="BD982" s="1"/>
  <c r="BE982" s="1"/>
  <c r="AV983"/>
  <c r="AU982"/>
  <c r="AZ982"/>
  <c r="BB982" s="1"/>
  <c r="BZ1005" i="6" l="1"/>
  <c r="BW1005" s="1"/>
  <c r="BV1005"/>
  <c r="BX1005" s="1"/>
  <c r="BY1006"/>
  <c r="AK970" i="12"/>
  <c r="AN970"/>
  <c r="AL970"/>
  <c r="AO970" s="1"/>
  <c r="AJ971"/>
  <c r="AR197" i="6"/>
  <c r="BF983" i="4"/>
  <c r="BG983" s="1"/>
  <c r="AW983"/>
  <c r="BD983" s="1"/>
  <c r="BE983" s="1"/>
  <c r="AU983"/>
  <c r="AZ983"/>
  <c r="BB983" s="1"/>
  <c r="AY983"/>
  <c r="BA983" s="1"/>
  <c r="AV984"/>
  <c r="BK981" i="5"/>
  <c r="BL981" s="1"/>
  <c r="AZ981"/>
  <c r="BE981"/>
  <c r="BG981" s="1"/>
  <c r="BD981"/>
  <c r="BF981" s="1"/>
  <c r="BA982"/>
  <c r="BB981"/>
  <c r="BI981" s="1"/>
  <c r="BJ981" s="1"/>
  <c r="AL971" i="12" l="1"/>
  <c r="AO971" s="1"/>
  <c r="AJ972"/>
  <c r="AK971"/>
  <c r="AN971"/>
  <c r="AW984" i="4"/>
  <c r="AU984"/>
  <c r="AZ984"/>
  <c r="BB984" s="1"/>
  <c r="BD984"/>
  <c r="BE984" s="1"/>
  <c r="AV985"/>
  <c r="BF984"/>
  <c r="BG984" s="1"/>
  <c r="AY984"/>
  <c r="BA984" s="1"/>
  <c r="AS197" i="6"/>
  <c r="BB982" i="5"/>
  <c r="BA983"/>
  <c r="AZ982"/>
  <c r="BI982"/>
  <c r="BJ982" s="1"/>
  <c r="BK982"/>
  <c r="BL982" s="1"/>
  <c r="BD982"/>
  <c r="BF982" s="1"/>
  <c r="BE982"/>
  <c r="BG982" s="1"/>
  <c r="BY1007" i="6"/>
  <c r="BZ1006"/>
  <c r="BV1006"/>
  <c r="BX1006" s="1"/>
  <c r="BW1006"/>
  <c r="AU985" i="4" l="1"/>
  <c r="AZ985"/>
  <c r="BB985" s="1"/>
  <c r="AV986"/>
  <c r="AY985"/>
  <c r="BA985" s="1"/>
  <c r="BF985"/>
  <c r="BG985" s="1"/>
  <c r="AW985"/>
  <c r="BD985" s="1"/>
  <c r="BE985" s="1"/>
  <c r="AJ973" i="12"/>
  <c r="AK972"/>
  <c r="AL972"/>
  <c r="AO972" s="1"/>
  <c r="AN972"/>
  <c r="BY1008" i="6"/>
  <c r="BZ1007"/>
  <c r="BW1007" s="1"/>
  <c r="BV1007"/>
  <c r="BX1007" s="1"/>
  <c r="AR198"/>
  <c r="AZ983" i="5"/>
  <c r="BE983"/>
  <c r="BG983" s="1"/>
  <c r="BI983"/>
  <c r="BJ983" s="1"/>
  <c r="BA984"/>
  <c r="BK983"/>
  <c r="BL983" s="1"/>
  <c r="BD983"/>
  <c r="BF983" s="1"/>
  <c r="BB983"/>
  <c r="AS198" i="6" l="1"/>
  <c r="BY1009"/>
  <c r="BV1008"/>
  <c r="BX1008" s="1"/>
  <c r="BZ1008"/>
  <c r="BW1008" s="1"/>
  <c r="BD984" i="5"/>
  <c r="BF984" s="1"/>
  <c r="BA985"/>
  <c r="BB984"/>
  <c r="BI984" s="1"/>
  <c r="BJ984" s="1"/>
  <c r="BK984"/>
  <c r="BL984" s="1"/>
  <c r="AZ984"/>
  <c r="BE984"/>
  <c r="BG984" s="1"/>
  <c r="AL973" i="12"/>
  <c r="AO973" s="1"/>
  <c r="AK973"/>
  <c r="AN973"/>
  <c r="AJ974"/>
  <c r="AY986" i="4"/>
  <c r="BA986" s="1"/>
  <c r="BF986"/>
  <c r="BG986" s="1"/>
  <c r="AZ986"/>
  <c r="BB986" s="1"/>
  <c r="AU986"/>
  <c r="AV987"/>
  <c r="AW986"/>
  <c r="BD986" s="1"/>
  <c r="BE986" s="1"/>
  <c r="AK974" i="12" l="1"/>
  <c r="AJ975"/>
  <c r="AL974"/>
  <c r="AN974"/>
  <c r="AO974"/>
  <c r="BF987" i="4"/>
  <c r="BG987" s="1"/>
  <c r="AW987"/>
  <c r="AY987"/>
  <c r="BA987" s="1"/>
  <c r="AZ987"/>
  <c r="BB987" s="1"/>
  <c r="AV988"/>
  <c r="BD987"/>
  <c r="BE987" s="1"/>
  <c r="AU987"/>
  <c r="BY1010" i="6"/>
  <c r="BV1009"/>
  <c r="BX1009" s="1"/>
  <c r="BZ1009"/>
  <c r="BW1009" s="1"/>
  <c r="AR199"/>
  <c r="BK985" i="5"/>
  <c r="BL985" s="1"/>
  <c r="BD985"/>
  <c r="BF985" s="1"/>
  <c r="BI985"/>
  <c r="BJ985" s="1"/>
  <c r="BA986"/>
  <c r="BB985"/>
  <c r="BE985"/>
  <c r="BG985" s="1"/>
  <c r="AZ985"/>
  <c r="BB986" l="1"/>
  <c r="BI986" s="1"/>
  <c r="BJ986" s="1"/>
  <c r="AZ986"/>
  <c r="BE986"/>
  <c r="BG986" s="1"/>
  <c r="BK986"/>
  <c r="BL986" s="1"/>
  <c r="BD986"/>
  <c r="BF986" s="1"/>
  <c r="BA987"/>
  <c r="AW988" i="4"/>
  <c r="AU988"/>
  <c r="AZ988"/>
  <c r="BB988" s="1"/>
  <c r="BD988"/>
  <c r="BE988" s="1"/>
  <c r="AV989"/>
  <c r="BF988"/>
  <c r="BG988" s="1"/>
  <c r="AY988"/>
  <c r="BA988" s="1"/>
  <c r="AL975" i="12"/>
  <c r="AK975"/>
  <c r="AO975"/>
  <c r="AN975"/>
  <c r="AJ976"/>
  <c r="AS199" i="6"/>
  <c r="BY1011"/>
  <c r="BZ1010"/>
  <c r="BV1010"/>
  <c r="BX1010" s="1"/>
  <c r="BW1010"/>
  <c r="AZ987" i="5" l="1"/>
  <c r="BE987"/>
  <c r="BG987" s="1"/>
  <c r="BA988"/>
  <c r="BD987"/>
  <c r="BF987" s="1"/>
  <c r="BB987"/>
  <c r="BI987" s="1"/>
  <c r="BJ987" s="1"/>
  <c r="BK987"/>
  <c r="BL987" s="1"/>
  <c r="BY1012" i="6"/>
  <c r="BZ1011"/>
  <c r="BW1011" s="1"/>
  <c r="BV1011"/>
  <c r="BX1011" s="1"/>
  <c r="AJ977" i="12"/>
  <c r="AL976"/>
  <c r="AO976" s="1"/>
  <c r="AK976"/>
  <c r="AN976"/>
  <c r="AR200" i="6"/>
  <c r="AU989" i="4"/>
  <c r="AZ989"/>
  <c r="BB989" s="1"/>
  <c r="BD989"/>
  <c r="BE989" s="1"/>
  <c r="AV990"/>
  <c r="AY989"/>
  <c r="BA989" s="1"/>
  <c r="AW989"/>
  <c r="BF989"/>
  <c r="BG989" s="1"/>
  <c r="AS200" i="6" l="1"/>
  <c r="AY990" i="4"/>
  <c r="BA990" s="1"/>
  <c r="BF990"/>
  <c r="BG990" s="1"/>
  <c r="AW990"/>
  <c r="BD990"/>
  <c r="BE990" s="1"/>
  <c r="AU990"/>
  <c r="AZ990"/>
  <c r="BB990" s="1"/>
  <c r="AV991"/>
  <c r="AK977" i="12"/>
  <c r="AO977"/>
  <c r="AN977"/>
  <c r="AL977"/>
  <c r="AJ978"/>
  <c r="BY1013" i="6"/>
  <c r="BV1012"/>
  <c r="BX1012" s="1"/>
  <c r="BZ1012"/>
  <c r="BW1012"/>
  <c r="BD988" i="5"/>
  <c r="BF988" s="1"/>
  <c r="BB988"/>
  <c r="BK988"/>
  <c r="BL988" s="1"/>
  <c r="AZ988"/>
  <c r="BE988"/>
  <c r="BG988" s="1"/>
  <c r="BA989"/>
  <c r="BI988"/>
  <c r="BJ988" s="1"/>
  <c r="BF991" i="4" l="1"/>
  <c r="BG991" s="1"/>
  <c r="AW991"/>
  <c r="AU991"/>
  <c r="BD991"/>
  <c r="BE991" s="1"/>
  <c r="AZ991"/>
  <c r="BB991" s="1"/>
  <c r="AY991"/>
  <c r="BA991" s="1"/>
  <c r="AV992"/>
  <c r="AR201" i="6"/>
  <c r="BZ1013"/>
  <c r="BY1014"/>
  <c r="BV1013"/>
  <c r="BX1013" s="1"/>
  <c r="BW1013"/>
  <c r="AK978" i="12"/>
  <c r="AJ979"/>
  <c r="AL978"/>
  <c r="AO978" s="1"/>
  <c r="AN978"/>
  <c r="BK989" i="5"/>
  <c r="BL989" s="1"/>
  <c r="BA990"/>
  <c r="BB989"/>
  <c r="BI989" s="1"/>
  <c r="BJ989" s="1"/>
  <c r="AZ989"/>
  <c r="BE989"/>
  <c r="BG989" s="1"/>
  <c r="BD989"/>
  <c r="BF989" s="1"/>
  <c r="AL979" i="12" l="1"/>
  <c r="AO979"/>
  <c r="AN979"/>
  <c r="AK979"/>
  <c r="AJ980"/>
  <c r="BY1015" i="6"/>
  <c r="BZ1014"/>
  <c r="BW1014" s="1"/>
  <c r="BV1014"/>
  <c r="BX1014" s="1"/>
  <c r="AW992" i="4"/>
  <c r="BD992" s="1"/>
  <c r="BE992" s="1"/>
  <c r="AU992"/>
  <c r="AZ992"/>
  <c r="BB992" s="1"/>
  <c r="AV993"/>
  <c r="BF992"/>
  <c r="BG992" s="1"/>
  <c r="AY992"/>
  <c r="BA992" s="1"/>
  <c r="BB990" i="5"/>
  <c r="BE990"/>
  <c r="BG990" s="1"/>
  <c r="BK990"/>
  <c r="BL990" s="1"/>
  <c r="BD990"/>
  <c r="BF990" s="1"/>
  <c r="BI990"/>
  <c r="BJ990" s="1"/>
  <c r="BA991"/>
  <c r="AZ990"/>
  <c r="AS201" i="6"/>
  <c r="AJ981" i="12" l="1"/>
  <c r="AL980"/>
  <c r="AK980"/>
  <c r="AN980"/>
  <c r="AO980"/>
  <c r="AU993" i="4"/>
  <c r="AZ993"/>
  <c r="BB993" s="1"/>
  <c r="AV994"/>
  <c r="AY993"/>
  <c r="BA993" s="1"/>
  <c r="BF993"/>
  <c r="BG993" s="1"/>
  <c r="AW993"/>
  <c r="BD993" s="1"/>
  <c r="BE993" s="1"/>
  <c r="BY1016" i="6"/>
  <c r="BV1015"/>
  <c r="BX1015" s="1"/>
  <c r="BZ1015"/>
  <c r="BW1015" s="1"/>
  <c r="AZ991" i="5"/>
  <c r="BE991"/>
  <c r="BG991" s="1"/>
  <c r="BA992"/>
  <c r="BB991"/>
  <c r="BI991" s="1"/>
  <c r="BJ991" s="1"/>
  <c r="BD991"/>
  <c r="BF991" s="1"/>
  <c r="BK991"/>
  <c r="BL991" s="1"/>
  <c r="AR202" i="6"/>
  <c r="AY994" i="4" l="1"/>
  <c r="BA994" s="1"/>
  <c r="BF994"/>
  <c r="BG994" s="1"/>
  <c r="AZ994"/>
  <c r="BB994" s="1"/>
  <c r="AU994"/>
  <c r="AV995"/>
  <c r="AW994"/>
  <c r="BD994"/>
  <c r="BE994" s="1"/>
  <c r="BZ1016" i="6"/>
  <c r="BV1016"/>
  <c r="BX1016" s="1"/>
  <c r="BY1017"/>
  <c r="BW1016"/>
  <c r="AJ982" i="12"/>
  <c r="AN981"/>
  <c r="AL981"/>
  <c r="AO981" s="1"/>
  <c r="AK981"/>
  <c r="AS202" i="6"/>
  <c r="BD992" i="5"/>
  <c r="BF992" s="1"/>
  <c r="AZ992"/>
  <c r="BE992"/>
  <c r="BG992" s="1"/>
  <c r="BA993"/>
  <c r="BK992"/>
  <c r="BL992" s="1"/>
  <c r="BB992"/>
  <c r="BI992" s="1"/>
  <c r="BJ992" s="1"/>
  <c r="BY1018" i="6" l="1"/>
  <c r="BV1017"/>
  <c r="BX1017" s="1"/>
  <c r="BZ1017"/>
  <c r="BW1017" s="1"/>
  <c r="AR203"/>
  <c r="AK982" i="12"/>
  <c r="AL982"/>
  <c r="AJ983"/>
  <c r="AN982"/>
  <c r="AO982"/>
  <c r="BF995" i="4"/>
  <c r="BG995" s="1"/>
  <c r="AW995"/>
  <c r="AY995"/>
  <c r="BA995" s="1"/>
  <c r="AZ995"/>
  <c r="BB995" s="1"/>
  <c r="AV996"/>
  <c r="BD995"/>
  <c r="BE995" s="1"/>
  <c r="AU995"/>
  <c r="BK993" i="5"/>
  <c r="BL993" s="1"/>
  <c r="BB993"/>
  <c r="AZ993"/>
  <c r="BE993"/>
  <c r="BG993" s="1"/>
  <c r="BI993"/>
  <c r="BJ993" s="1"/>
  <c r="BA994"/>
  <c r="BD993"/>
  <c r="BF993" s="1"/>
  <c r="AL983" i="12" l="1"/>
  <c r="AO983" s="1"/>
  <c r="AJ984"/>
  <c r="AN983"/>
  <c r="AK983"/>
  <c r="AS203" i="6"/>
  <c r="BY1019"/>
  <c r="BZ1018"/>
  <c r="BW1018" s="1"/>
  <c r="BV1018"/>
  <c r="BX1018" s="1"/>
  <c r="BB994" i="5"/>
  <c r="BD994"/>
  <c r="BF994" s="1"/>
  <c r="BI994"/>
  <c r="BJ994" s="1"/>
  <c r="BA995"/>
  <c r="BE994"/>
  <c r="BG994" s="1"/>
  <c r="BK994"/>
  <c r="BL994" s="1"/>
  <c r="AZ994"/>
  <c r="AW996" i="4"/>
  <c r="BD996" s="1"/>
  <c r="BE996" s="1"/>
  <c r="AU996"/>
  <c r="AZ996"/>
  <c r="BB996" s="1"/>
  <c r="AV997"/>
  <c r="AY996"/>
  <c r="BA996" s="1"/>
  <c r="BF996"/>
  <c r="BG996" s="1"/>
  <c r="AR204" i="6" l="1"/>
  <c r="AJ985" i="12"/>
  <c r="AK984"/>
  <c r="AL984"/>
  <c r="AO984" s="1"/>
  <c r="AN984"/>
  <c r="AU997" i="4"/>
  <c r="AZ997"/>
  <c r="BB997" s="1"/>
  <c r="AV998"/>
  <c r="AY997"/>
  <c r="BA997" s="1"/>
  <c r="AW997"/>
  <c r="BD997" s="1"/>
  <c r="BE997" s="1"/>
  <c r="BF997"/>
  <c r="BG997" s="1"/>
  <c r="AZ995" i="5"/>
  <c r="BE995"/>
  <c r="BG995" s="1"/>
  <c r="BI995"/>
  <c r="BJ995" s="1"/>
  <c r="BA996"/>
  <c r="BB995"/>
  <c r="BK995"/>
  <c r="BL995" s="1"/>
  <c r="BD995"/>
  <c r="BF995" s="1"/>
  <c r="BY1020" i="6"/>
  <c r="BZ1019"/>
  <c r="BV1019"/>
  <c r="BX1019" s="1"/>
  <c r="BW1019"/>
  <c r="AS204" l="1"/>
  <c r="BV1020"/>
  <c r="BX1020" s="1"/>
  <c r="BY1021"/>
  <c r="BZ1020"/>
  <c r="BW1020" s="1"/>
  <c r="BD996" i="5"/>
  <c r="BF996" s="1"/>
  <c r="BE996"/>
  <c r="BG996" s="1"/>
  <c r="BA997"/>
  <c r="BK996"/>
  <c r="BL996" s="1"/>
  <c r="AZ996"/>
  <c r="BB996"/>
  <c r="BI996" s="1"/>
  <c r="BJ996" s="1"/>
  <c r="AY998" i="4"/>
  <c r="BA998" s="1"/>
  <c r="BF998"/>
  <c r="BG998" s="1"/>
  <c r="AW998"/>
  <c r="BD998"/>
  <c r="BE998" s="1"/>
  <c r="AV999"/>
  <c r="AU998"/>
  <c r="AZ998"/>
  <c r="BB998" s="1"/>
  <c r="AJ986" i="12"/>
  <c r="AL985"/>
  <c r="AO985" s="1"/>
  <c r="AN985"/>
  <c r="AK985"/>
  <c r="BF999" i="4" l="1"/>
  <c r="BG999" s="1"/>
  <c r="AW999"/>
  <c r="AU999"/>
  <c r="BD999"/>
  <c r="BE999" s="1"/>
  <c r="AY999"/>
  <c r="BA999" s="1"/>
  <c r="AV1000"/>
  <c r="AZ999"/>
  <c r="BB999" s="1"/>
  <c r="BK997" i="5"/>
  <c r="BL997" s="1"/>
  <c r="AZ997"/>
  <c r="BE997"/>
  <c r="BG997" s="1"/>
  <c r="BD997"/>
  <c r="BF997" s="1"/>
  <c r="BB997"/>
  <c r="BI997" s="1"/>
  <c r="BJ997" s="1"/>
  <c r="BA998"/>
  <c r="AR205" i="6"/>
  <c r="AK986" i="12"/>
  <c r="AL986"/>
  <c r="AJ987"/>
  <c r="AN986"/>
  <c r="AO986"/>
  <c r="BZ1021" i="6"/>
  <c r="BW1021"/>
  <c r="BY1022"/>
  <c r="BV1021"/>
  <c r="BX1021" s="1"/>
  <c r="BB998" i="5" l="1"/>
  <c r="BI998" s="1"/>
  <c r="BJ998" s="1"/>
  <c r="BA999"/>
  <c r="AZ998"/>
  <c r="BD998"/>
  <c r="BF998" s="1"/>
  <c r="BK998"/>
  <c r="BL998" s="1"/>
  <c r="BE998"/>
  <c r="BG998" s="1"/>
  <c r="AW1000" i="4"/>
  <c r="BD1000" s="1"/>
  <c r="BE1000" s="1"/>
  <c r="AU1000"/>
  <c r="AZ1000"/>
  <c r="BB1000" s="1"/>
  <c r="AV1001"/>
  <c r="BF1000"/>
  <c r="BG1000" s="1"/>
  <c r="AY1000"/>
  <c r="BA1000" s="1"/>
  <c r="AL987" i="12"/>
  <c r="AJ988"/>
  <c r="AO987"/>
  <c r="AK987"/>
  <c r="AN987"/>
  <c r="AS205" i="6"/>
  <c r="BY1023"/>
  <c r="BZ1022"/>
  <c r="BW1022" s="1"/>
  <c r="BV1022"/>
  <c r="BX1022" s="1"/>
  <c r="AZ999" i="5" l="1"/>
  <c r="BE999"/>
  <c r="BG999" s="1"/>
  <c r="BA1000"/>
  <c r="BK999"/>
  <c r="BL999" s="1"/>
  <c r="BD999"/>
  <c r="BF999" s="1"/>
  <c r="BB999"/>
  <c r="BI999" s="1"/>
  <c r="BJ999" s="1"/>
  <c r="BY1024" i="6"/>
  <c r="BZ1023"/>
  <c r="BW1023" s="1"/>
  <c r="BV1023"/>
  <c r="BX1023" s="1"/>
  <c r="AR206"/>
  <c r="AJ989" i="12"/>
  <c r="AL988"/>
  <c r="AN988"/>
  <c r="AO988"/>
  <c r="AK988"/>
  <c r="AU1001" i="4"/>
  <c r="AZ1001"/>
  <c r="BB1001" s="1"/>
  <c r="AV1002"/>
  <c r="AY1001"/>
  <c r="BA1001" s="1"/>
  <c r="BF1001"/>
  <c r="BG1001" s="1"/>
  <c r="AW1001"/>
  <c r="BD1001" s="1"/>
  <c r="BE1001" s="1"/>
  <c r="AY1002" l="1"/>
  <c r="BA1002" s="1"/>
  <c r="BF1002"/>
  <c r="BG1002" s="1"/>
  <c r="AZ1002"/>
  <c r="BB1002" s="1"/>
  <c r="AU1002"/>
  <c r="AV1003"/>
  <c r="AW1002"/>
  <c r="BD1002" s="1"/>
  <c r="BE1002" s="1"/>
  <c r="AL989" i="12"/>
  <c r="AO989"/>
  <c r="AK989"/>
  <c r="AN989"/>
  <c r="AJ990"/>
  <c r="AS206" i="6"/>
  <c r="BY1025"/>
  <c r="BZ1024"/>
  <c r="BV1024"/>
  <c r="BX1024" s="1"/>
  <c r="BW1024"/>
  <c r="BD1000" i="5"/>
  <c r="BF1000" s="1"/>
  <c r="BA1001"/>
  <c r="BB1000"/>
  <c r="BK1000"/>
  <c r="BL1000" s="1"/>
  <c r="BE1000"/>
  <c r="BG1000" s="1"/>
  <c r="AZ1000"/>
  <c r="BI1000"/>
  <c r="BJ1000" s="1"/>
  <c r="BY1026" i="6" l="1"/>
  <c r="BZ1025"/>
  <c r="BW1025" s="1"/>
  <c r="BV1025"/>
  <c r="BX1025" s="1"/>
  <c r="AR207"/>
  <c r="BF1003" i="4"/>
  <c r="BG1003" s="1"/>
  <c r="AW1003"/>
  <c r="AY1003"/>
  <c r="BA1003" s="1"/>
  <c r="AZ1003"/>
  <c r="BB1003" s="1"/>
  <c r="AV1004"/>
  <c r="BD1003"/>
  <c r="BE1003" s="1"/>
  <c r="AU1003"/>
  <c r="BK1001" i="5"/>
  <c r="BL1001" s="1"/>
  <c r="BD1001"/>
  <c r="BF1001" s="1"/>
  <c r="BA1002"/>
  <c r="BE1001"/>
  <c r="BG1001" s="1"/>
  <c r="AZ1001"/>
  <c r="BB1001"/>
  <c r="BI1001" s="1"/>
  <c r="BJ1001" s="1"/>
  <c r="AK990" i="12"/>
  <c r="AJ991"/>
  <c r="AL990"/>
  <c r="AN990"/>
  <c r="AO990"/>
  <c r="BB1002" i="5" l="1"/>
  <c r="AZ1002"/>
  <c r="BE1002"/>
  <c r="BG1002" s="1"/>
  <c r="BK1002"/>
  <c r="BL1002" s="1"/>
  <c r="BI1002"/>
  <c r="BJ1002" s="1"/>
  <c r="BA1003"/>
  <c r="BD1002"/>
  <c r="BF1002" s="1"/>
  <c r="AS207" i="6"/>
  <c r="BY1027"/>
  <c r="BZ1026"/>
  <c r="BV1026"/>
  <c r="BX1026" s="1"/>
  <c r="BW1026"/>
  <c r="AL991" i="12"/>
  <c r="AO991" s="1"/>
  <c r="AK991"/>
  <c r="AN991"/>
  <c r="AJ992"/>
  <c r="AW1004" i="4"/>
  <c r="BD1004" s="1"/>
  <c r="BE1004" s="1"/>
  <c r="AU1004"/>
  <c r="AZ1004"/>
  <c r="BB1004" s="1"/>
  <c r="AV1005"/>
  <c r="BF1004"/>
  <c r="BG1004" s="1"/>
  <c r="AY1004"/>
  <c r="BA1004" s="1"/>
  <c r="AJ993" i="12" l="1"/>
  <c r="AL992"/>
  <c r="AN992"/>
  <c r="AK992"/>
  <c r="AO992"/>
  <c r="BY1028" i="6"/>
  <c r="BV1027"/>
  <c r="BX1027" s="1"/>
  <c r="BZ1027"/>
  <c r="BW1027"/>
  <c r="AZ1003" i="5"/>
  <c r="BE1003"/>
  <c r="BG1003" s="1"/>
  <c r="BA1004"/>
  <c r="BD1003"/>
  <c r="BF1003" s="1"/>
  <c r="BB1003"/>
  <c r="BI1003" s="1"/>
  <c r="BJ1003" s="1"/>
  <c r="BK1003"/>
  <c r="BL1003" s="1"/>
  <c r="AU1005" i="4"/>
  <c r="AZ1005"/>
  <c r="BB1005" s="1"/>
  <c r="AV1006"/>
  <c r="AY1005"/>
  <c r="BA1005" s="1"/>
  <c r="AW1005"/>
  <c r="BD1005" s="1"/>
  <c r="BE1005" s="1"/>
  <c r="BF1005"/>
  <c r="BG1005" s="1"/>
  <c r="AR208" i="6"/>
  <c r="BY1029" l="1"/>
  <c r="BV1028"/>
  <c r="BX1028" s="1"/>
  <c r="BZ1028"/>
  <c r="BW1028" s="1"/>
  <c r="AK993" i="12"/>
  <c r="AO993"/>
  <c r="AN993"/>
  <c r="AL993"/>
  <c r="AJ994"/>
  <c r="BD1004" i="5"/>
  <c r="BF1004" s="1"/>
  <c r="BB1004"/>
  <c r="BK1004"/>
  <c r="BL1004" s="1"/>
  <c r="AZ1004"/>
  <c r="BI1004"/>
  <c r="BJ1004" s="1"/>
  <c r="BA1005"/>
  <c r="BE1004"/>
  <c r="BG1004" s="1"/>
  <c r="AS208" i="6"/>
  <c r="AY1006" i="4"/>
  <c r="BA1006" s="1"/>
  <c r="BF1006"/>
  <c r="BG1006" s="1"/>
  <c r="AW1006"/>
  <c r="BD1006" s="1"/>
  <c r="BE1006" s="1"/>
  <c r="AZ1006"/>
  <c r="BB1006" s="1"/>
  <c r="AV1007"/>
  <c r="AU1006"/>
  <c r="BK1005" i="5" l="1"/>
  <c r="BL1005" s="1"/>
  <c r="BA1006"/>
  <c r="BB1005"/>
  <c r="BD1005"/>
  <c r="BF1005" s="1"/>
  <c r="BE1005"/>
  <c r="BG1005" s="1"/>
  <c r="BI1005"/>
  <c r="BJ1005" s="1"/>
  <c r="AZ1005"/>
  <c r="AR209" i="6"/>
  <c r="AK994" i="12"/>
  <c r="AJ995"/>
  <c r="AL994"/>
  <c r="AN994"/>
  <c r="AO994"/>
  <c r="BZ1029" i="6"/>
  <c r="BY1030"/>
  <c r="BV1029"/>
  <c r="BX1029" s="1"/>
  <c r="BW1029"/>
  <c r="BF1007" i="4"/>
  <c r="BG1007" s="1"/>
  <c r="AW1007"/>
  <c r="AU1007"/>
  <c r="BD1007"/>
  <c r="BE1007" s="1"/>
  <c r="AZ1007"/>
  <c r="BB1007" s="1"/>
  <c r="AY1007"/>
  <c r="BA1007" s="1"/>
  <c r="AV1008"/>
  <c r="BB1006" i="5" l="1"/>
  <c r="BE1006"/>
  <c r="BG1006" s="1"/>
  <c r="BK1006"/>
  <c r="BL1006" s="1"/>
  <c r="BD1006"/>
  <c r="BF1006" s="1"/>
  <c r="BI1006"/>
  <c r="BJ1006" s="1"/>
  <c r="AZ1006"/>
  <c r="BA1007"/>
  <c r="AL995" i="12"/>
  <c r="AO995"/>
  <c r="AN995"/>
  <c r="AJ996"/>
  <c r="AK995"/>
  <c r="AW1008" i="4"/>
  <c r="BD1008" s="1"/>
  <c r="BE1008" s="1"/>
  <c r="AU1008"/>
  <c r="AZ1008"/>
  <c r="BB1008" s="1"/>
  <c r="AV1009"/>
  <c r="BF1008"/>
  <c r="BG1008" s="1"/>
  <c r="AY1008"/>
  <c r="BA1008" s="1"/>
  <c r="BY1031" i="6"/>
  <c r="BZ1030"/>
  <c r="BW1030" s="1"/>
  <c r="BV1030"/>
  <c r="BX1030" s="1"/>
  <c r="AS209"/>
  <c r="AJ997" i="12" l="1"/>
  <c r="AL996"/>
  <c r="AK996"/>
  <c r="AN996"/>
  <c r="AO996"/>
  <c r="AZ1007" i="5"/>
  <c r="BE1007"/>
  <c r="BG1007" s="1"/>
  <c r="BI1007"/>
  <c r="BJ1007" s="1"/>
  <c r="BA1008"/>
  <c r="BB1007"/>
  <c r="BD1007"/>
  <c r="BF1007" s="1"/>
  <c r="BK1007"/>
  <c r="BL1007" s="1"/>
  <c r="AU1009" i="4"/>
  <c r="AZ1009"/>
  <c r="BB1009" s="1"/>
  <c r="AV1010"/>
  <c r="AY1009"/>
  <c r="BA1009" s="1"/>
  <c r="BF1009"/>
  <c r="BG1009" s="1"/>
  <c r="AW1009"/>
  <c r="BD1009" s="1"/>
  <c r="BE1009" s="1"/>
  <c r="AR210" i="6"/>
  <c r="BY1032"/>
  <c r="BZ1031"/>
  <c r="BV1031"/>
  <c r="BX1031" s="1"/>
  <c r="BW1031"/>
  <c r="BD1008" i="5" l="1"/>
  <c r="BF1008" s="1"/>
  <c r="AZ1008"/>
  <c r="BE1008"/>
  <c r="BG1008" s="1"/>
  <c r="BB1008"/>
  <c r="BI1008" s="1"/>
  <c r="BJ1008" s="1"/>
  <c r="BK1008"/>
  <c r="BL1008" s="1"/>
  <c r="BA1009"/>
  <c r="AJ998" i="12"/>
  <c r="AN997"/>
  <c r="AK997"/>
  <c r="AL997"/>
  <c r="AO997" s="1"/>
  <c r="BZ1032" i="6"/>
  <c r="BW1032" s="1"/>
  <c r="BV1032"/>
  <c r="BX1032" s="1"/>
  <c r="BY1033"/>
  <c r="AS210"/>
  <c r="AY1010" i="4"/>
  <c r="BA1010" s="1"/>
  <c r="BF1010"/>
  <c r="BG1010" s="1"/>
  <c r="AZ1010"/>
  <c r="BB1010" s="1"/>
  <c r="AU1010"/>
  <c r="AV1011"/>
  <c r="AW1010"/>
  <c r="BD1010"/>
  <c r="BE1010" s="1"/>
  <c r="BF1011" l="1"/>
  <c r="BG1011" s="1"/>
  <c r="AW1011"/>
  <c r="AY1011"/>
  <c r="BA1011" s="1"/>
  <c r="AZ1011"/>
  <c r="BB1011" s="1"/>
  <c r="AV1012"/>
  <c r="AU1011"/>
  <c r="BD1011"/>
  <c r="BE1011" s="1"/>
  <c r="BK1009" i="5"/>
  <c r="BL1009" s="1"/>
  <c r="BB1009"/>
  <c r="BI1009" s="1"/>
  <c r="BJ1009" s="1"/>
  <c r="AZ1009"/>
  <c r="BE1009"/>
  <c r="BG1009" s="1"/>
  <c r="BD1009"/>
  <c r="BF1009" s="1"/>
  <c r="BA1010"/>
  <c r="AR211" i="6"/>
  <c r="AK998" i="12"/>
  <c r="AL998"/>
  <c r="AN998"/>
  <c r="AJ999"/>
  <c r="AO998"/>
  <c r="BY1034" i="6"/>
  <c r="BZ1033"/>
  <c r="BW1033" s="1"/>
  <c r="BV1033"/>
  <c r="BX1033" s="1"/>
  <c r="AL999" i="12" l="1"/>
  <c r="AO999" s="1"/>
  <c r="AJ1000"/>
  <c r="AN999"/>
  <c r="AK999"/>
  <c r="BB1010" i="5"/>
  <c r="BI1010" s="1"/>
  <c r="BJ1010" s="1"/>
  <c r="BD1010"/>
  <c r="BF1010" s="1"/>
  <c r="BA1011"/>
  <c r="AZ1010"/>
  <c r="BK1010"/>
  <c r="BL1010" s="1"/>
  <c r="BE1010"/>
  <c r="BG1010" s="1"/>
  <c r="AW1012" i="4"/>
  <c r="BD1012" s="1"/>
  <c r="BE1012" s="1"/>
  <c r="AU1012"/>
  <c r="AZ1012"/>
  <c r="BB1012" s="1"/>
  <c r="AV1013"/>
  <c r="AY1012"/>
  <c r="BA1012" s="1"/>
  <c r="BF1012"/>
  <c r="BG1012" s="1"/>
  <c r="BY1035" i="6"/>
  <c r="BZ1034"/>
  <c r="BW1034" s="1"/>
  <c r="BV1034"/>
  <c r="BX1034" s="1"/>
  <c r="AS211"/>
  <c r="AU1013" i="4" l="1"/>
  <c r="AZ1013"/>
  <c r="BB1013" s="1"/>
  <c r="AV1014"/>
  <c r="AY1013"/>
  <c r="BA1013" s="1"/>
  <c r="AW1013"/>
  <c r="BD1013" s="1"/>
  <c r="BE1013" s="1"/>
  <c r="BF1013"/>
  <c r="BG1013" s="1"/>
  <c r="AJ1001" i="12"/>
  <c r="AK1000"/>
  <c r="AL1000"/>
  <c r="AO1000" s="1"/>
  <c r="AN1000"/>
  <c r="AZ1011" i="5"/>
  <c r="BE1011"/>
  <c r="BG1011" s="1"/>
  <c r="BA1012"/>
  <c r="BB1011"/>
  <c r="BI1011" s="1"/>
  <c r="BJ1011" s="1"/>
  <c r="BK1011"/>
  <c r="BL1011" s="1"/>
  <c r="BD1011"/>
  <c r="BF1011" s="1"/>
  <c r="AR212" i="6"/>
  <c r="BY1036"/>
  <c r="BZ1035"/>
  <c r="BV1035"/>
  <c r="BX1035" s="1"/>
  <c r="BW1035"/>
  <c r="BV1036" l="1"/>
  <c r="BX1036" s="1"/>
  <c r="BY1037"/>
  <c r="BZ1036"/>
  <c r="BW1036" s="1"/>
  <c r="AS212"/>
  <c r="BD1012" i="5"/>
  <c r="BF1012" s="1"/>
  <c r="BE1012"/>
  <c r="BG1012" s="1"/>
  <c r="BI1012"/>
  <c r="BJ1012" s="1"/>
  <c r="BA1013"/>
  <c r="BB1012"/>
  <c r="AZ1012"/>
  <c r="BK1012"/>
  <c r="BL1012" s="1"/>
  <c r="AJ1002" i="12"/>
  <c r="AO1001"/>
  <c r="AL1001"/>
  <c r="AN1001"/>
  <c r="AK1001"/>
  <c r="AY1014" i="4"/>
  <c r="BA1014" s="1"/>
  <c r="BF1014"/>
  <c r="BG1014" s="1"/>
  <c r="AW1014"/>
  <c r="BD1014" s="1"/>
  <c r="BE1014" s="1"/>
  <c r="AV1015"/>
  <c r="AU1014"/>
  <c r="AZ1014"/>
  <c r="BB1014" s="1"/>
  <c r="AK1002" i="12" l="1"/>
  <c r="AJ1003"/>
  <c r="AN1002"/>
  <c r="AL1002"/>
  <c r="AO1002" s="1"/>
  <c r="BK1013" i="5"/>
  <c r="BL1013" s="1"/>
  <c r="AZ1013"/>
  <c r="BE1013"/>
  <c r="BG1013" s="1"/>
  <c r="BD1013"/>
  <c r="BF1013" s="1"/>
  <c r="BA1014"/>
  <c r="BB1013"/>
  <c r="BI1013" s="1"/>
  <c r="BJ1013" s="1"/>
  <c r="AR213" i="6"/>
  <c r="BZ1037"/>
  <c r="BW1037" s="1"/>
  <c r="BV1037"/>
  <c r="BX1037" s="1"/>
  <c r="BY1038"/>
  <c r="BF1015" i="4"/>
  <c r="BG1015" s="1"/>
  <c r="AW1015"/>
  <c r="BD1015" s="1"/>
  <c r="BE1015" s="1"/>
  <c r="AU1015"/>
  <c r="AY1015"/>
  <c r="BA1015" s="1"/>
  <c r="AV1016"/>
  <c r="AZ1015"/>
  <c r="BB1015" s="1"/>
  <c r="AW1016" l="1"/>
  <c r="AU1016"/>
  <c r="AZ1016"/>
  <c r="BB1016" s="1"/>
  <c r="BD1016"/>
  <c r="BE1016" s="1"/>
  <c r="AV1017"/>
  <c r="BF1016"/>
  <c r="BG1016" s="1"/>
  <c r="AY1016"/>
  <c r="BA1016" s="1"/>
  <c r="BB1014" i="5"/>
  <c r="BA1015"/>
  <c r="AZ1014"/>
  <c r="BI1014"/>
  <c r="BJ1014" s="1"/>
  <c r="BE1014"/>
  <c r="BG1014" s="1"/>
  <c r="BD1014"/>
  <c r="BF1014" s="1"/>
  <c r="BK1014"/>
  <c r="BL1014" s="1"/>
  <c r="AS213" i="6"/>
  <c r="BY1039"/>
  <c r="BZ1038"/>
  <c r="BW1038"/>
  <c r="BV1038"/>
  <c r="BX1038" s="1"/>
  <c r="AL1003" i="12"/>
  <c r="AJ1004"/>
  <c r="AO1003"/>
  <c r="AK1003"/>
  <c r="AN1003"/>
  <c r="BY1040" i="6" l="1"/>
  <c r="BV1039"/>
  <c r="BX1039" s="1"/>
  <c r="BZ1039"/>
  <c r="BW1039" s="1"/>
  <c r="AZ1015" i="5"/>
  <c r="BE1015"/>
  <c r="BG1015" s="1"/>
  <c r="BA1016"/>
  <c r="BK1015"/>
  <c r="BL1015" s="1"/>
  <c r="BD1015"/>
  <c r="BF1015" s="1"/>
  <c r="BB1015"/>
  <c r="BI1015" s="1"/>
  <c r="BJ1015" s="1"/>
  <c r="AU1017" i="4"/>
  <c r="AZ1017"/>
  <c r="BB1017" s="1"/>
  <c r="AV1018"/>
  <c r="AY1017"/>
  <c r="BA1017" s="1"/>
  <c r="BF1017"/>
  <c r="BG1017" s="1"/>
  <c r="AW1017"/>
  <c r="BD1017" s="1"/>
  <c r="BE1017" s="1"/>
  <c r="AR214" i="6"/>
  <c r="AJ1005" i="12"/>
  <c r="AK1004"/>
  <c r="AL1004"/>
  <c r="AO1004" s="1"/>
  <c r="AN1004"/>
  <c r="AL1005" l="1"/>
  <c r="AO1005" s="1"/>
  <c r="AK1005"/>
  <c r="AN1005"/>
  <c r="AJ1006"/>
  <c r="BY1041" i="6"/>
  <c r="BZ1040"/>
  <c r="BV1040"/>
  <c r="BX1040" s="1"/>
  <c r="BW1040"/>
  <c r="AS214"/>
  <c r="AY1018" i="4"/>
  <c r="BA1018" s="1"/>
  <c r="BF1018"/>
  <c r="BG1018" s="1"/>
  <c r="AZ1018"/>
  <c r="BB1018" s="1"/>
  <c r="AU1018"/>
  <c r="AV1019"/>
  <c r="BD1018"/>
  <c r="BE1018" s="1"/>
  <c r="AW1018"/>
  <c r="BD1016" i="5"/>
  <c r="BF1016" s="1"/>
  <c r="BA1017"/>
  <c r="BB1016"/>
  <c r="BI1016" s="1"/>
  <c r="BJ1016" s="1"/>
  <c r="BK1016"/>
  <c r="BL1016" s="1"/>
  <c r="AZ1016"/>
  <c r="BE1016"/>
  <c r="BG1016" s="1"/>
  <c r="AK1006" i="12" l="1"/>
  <c r="AJ1007"/>
  <c r="AN1006"/>
  <c r="AL1006"/>
  <c r="AO1006" s="1"/>
  <c r="AR215" i="6"/>
  <c r="BY1042"/>
  <c r="BW1041"/>
  <c r="BZ1041"/>
  <c r="BV1041"/>
  <c r="BX1041" s="1"/>
  <c r="BK1017" i="5"/>
  <c r="BL1017" s="1"/>
  <c r="BD1017"/>
  <c r="BF1017" s="1"/>
  <c r="BA1018"/>
  <c r="BB1017"/>
  <c r="BI1017" s="1"/>
  <c r="BJ1017" s="1"/>
  <c r="AZ1017"/>
  <c r="BE1017"/>
  <c r="BG1017" s="1"/>
  <c r="BF1019" i="4"/>
  <c r="BG1019" s="1"/>
  <c r="AW1019"/>
  <c r="AY1019"/>
  <c r="BA1019" s="1"/>
  <c r="AZ1019"/>
  <c r="BB1019" s="1"/>
  <c r="AV1020"/>
  <c r="BD1019"/>
  <c r="BE1019" s="1"/>
  <c r="AU1019"/>
  <c r="AS215" i="6" l="1"/>
  <c r="AT215"/>
  <c r="AU215" s="1"/>
  <c r="AL1007" i="12"/>
  <c r="AK1007"/>
  <c r="AO1007"/>
  <c r="AN1007"/>
  <c r="AJ1008"/>
  <c r="AW1020" i="4"/>
  <c r="AU1020"/>
  <c r="AZ1020"/>
  <c r="BB1020" s="1"/>
  <c r="BD1020"/>
  <c r="BE1020" s="1"/>
  <c r="AV1021"/>
  <c r="BF1020"/>
  <c r="BG1020" s="1"/>
  <c r="AY1020"/>
  <c r="BA1020" s="1"/>
  <c r="BB1018" i="5"/>
  <c r="AZ1018"/>
  <c r="BE1018"/>
  <c r="BG1018" s="1"/>
  <c r="BK1018"/>
  <c r="BL1018" s="1"/>
  <c r="BD1018"/>
  <c r="BF1018" s="1"/>
  <c r="BI1018"/>
  <c r="BJ1018" s="1"/>
  <c r="BA1019"/>
  <c r="AO116" i="6"/>
  <c r="AO115"/>
  <c r="AO117"/>
  <c r="AO118"/>
  <c r="AO119"/>
  <c r="AO120"/>
  <c r="AO121"/>
  <c r="AO122"/>
  <c r="AO123"/>
  <c r="AO124"/>
  <c r="AO125"/>
  <c r="AO126"/>
  <c r="AO127"/>
  <c r="AO128"/>
  <c r="AO129"/>
  <c r="AO130"/>
  <c r="AO131"/>
  <c r="AO132"/>
  <c r="AO133"/>
  <c r="AO134"/>
  <c r="AO135"/>
  <c r="AO136"/>
  <c r="AO137"/>
  <c r="AO138"/>
  <c r="AO139"/>
  <c r="AO140"/>
  <c r="AO141"/>
  <c r="AO142"/>
  <c r="AO143"/>
  <c r="AO144"/>
  <c r="AO145"/>
  <c r="AO146"/>
  <c r="AO147"/>
  <c r="AO148"/>
  <c r="AO149"/>
  <c r="AO150"/>
  <c r="AO151"/>
  <c r="AO152"/>
  <c r="AO153"/>
  <c r="AO154"/>
  <c r="AO155"/>
  <c r="AO156"/>
  <c r="AO157"/>
  <c r="AO159"/>
  <c r="AO160"/>
  <c r="AO161"/>
  <c r="AO162"/>
  <c r="AO163"/>
  <c r="AO164"/>
  <c r="AO165"/>
  <c r="AO166"/>
  <c r="AO167"/>
  <c r="AO168"/>
  <c r="AO169"/>
  <c r="AO170"/>
  <c r="AO171"/>
  <c r="AO172"/>
  <c r="AO173"/>
  <c r="AO174"/>
  <c r="AO175"/>
  <c r="AO176"/>
  <c r="AO177"/>
  <c r="AO178"/>
  <c r="AO179"/>
  <c r="AO180"/>
  <c r="AO181"/>
  <c r="AO182"/>
  <c r="AO183"/>
  <c r="AO184"/>
  <c r="AO185"/>
  <c r="AO186"/>
  <c r="AO187"/>
  <c r="AO188"/>
  <c r="AO189"/>
  <c r="AO190"/>
  <c r="AO191"/>
  <c r="AO192"/>
  <c r="AO193"/>
  <c r="AO194"/>
  <c r="AO195"/>
  <c r="AO196"/>
  <c r="AO197"/>
  <c r="AO198"/>
  <c r="AO199"/>
  <c r="AO200"/>
  <c r="AO201"/>
  <c r="AO202"/>
  <c r="AO203"/>
  <c r="AO204"/>
  <c r="AO205"/>
  <c r="AO206"/>
  <c r="AO207"/>
  <c r="AO208"/>
  <c r="AO209"/>
  <c r="AO210"/>
  <c r="AO211"/>
  <c r="AO212"/>
  <c r="AO213"/>
  <c r="AO214"/>
  <c r="AO215"/>
  <c r="AO216"/>
  <c r="AO217"/>
  <c r="AO218"/>
  <c r="AO219"/>
  <c r="AO220"/>
  <c r="AO221"/>
  <c r="AO222"/>
  <c r="AO223"/>
  <c r="AO224"/>
  <c r="AO225"/>
  <c r="AO226"/>
  <c r="AO227"/>
  <c r="AO228"/>
  <c r="AO229"/>
  <c r="AO230"/>
  <c r="AO231"/>
  <c r="AO232"/>
  <c r="AO233"/>
  <c r="AO234"/>
  <c r="AO235"/>
  <c r="AO236"/>
  <c r="AO237"/>
  <c r="AO238"/>
  <c r="AO239"/>
  <c r="AO240"/>
  <c r="AO241"/>
  <c r="AO242"/>
  <c r="AO243"/>
  <c r="AO244"/>
  <c r="AO245"/>
  <c r="AO246"/>
  <c r="AO247"/>
  <c r="AO248"/>
  <c r="AO249"/>
  <c r="AO250"/>
  <c r="AO251"/>
  <c r="AO252"/>
  <c r="AO253"/>
  <c r="AO254"/>
  <c r="AO255"/>
  <c r="AO256"/>
  <c r="AO257"/>
  <c r="AO258"/>
  <c r="AO259"/>
  <c r="AO260"/>
  <c r="AO261"/>
  <c r="AO262"/>
  <c r="AO263"/>
  <c r="AO264"/>
  <c r="AO265"/>
  <c r="AO266"/>
  <c r="AO267"/>
  <c r="AO268"/>
  <c r="AO269"/>
  <c r="AO270"/>
  <c r="AO271"/>
  <c r="AO272"/>
  <c r="AO273"/>
  <c r="AO274"/>
  <c r="AO275"/>
  <c r="AO276"/>
  <c r="AO277"/>
  <c r="AO278"/>
  <c r="AO279"/>
  <c r="AO280"/>
  <c r="AO281"/>
  <c r="AO282"/>
  <c r="AO283"/>
  <c r="AO284"/>
  <c r="AO285"/>
  <c r="AO286"/>
  <c r="AO287"/>
  <c r="AO288"/>
  <c r="AO289"/>
  <c r="AO290"/>
  <c r="AO291"/>
  <c r="AO292"/>
  <c r="AO293"/>
  <c r="AO294"/>
  <c r="AO295"/>
  <c r="AO296"/>
  <c r="AO297"/>
  <c r="AO298"/>
  <c r="AO299"/>
  <c r="AO300"/>
  <c r="AO301"/>
  <c r="AO302"/>
  <c r="AO303"/>
  <c r="AO304"/>
  <c r="AO305"/>
  <c r="AO306"/>
  <c r="AO307"/>
  <c r="AO308"/>
  <c r="AO309"/>
  <c r="AO310"/>
  <c r="AO311"/>
  <c r="AO312"/>
  <c r="AO313"/>
  <c r="AO314"/>
  <c r="AO315"/>
  <c r="AO316"/>
  <c r="AO317"/>
  <c r="AO318"/>
  <c r="AO319"/>
  <c r="AO320"/>
  <c r="AO321"/>
  <c r="AO322"/>
  <c r="AO323"/>
  <c r="AO324"/>
  <c r="AO325"/>
  <c r="AO326"/>
  <c r="AO327"/>
  <c r="AO328"/>
  <c r="AO329"/>
  <c r="AO330"/>
  <c r="AO331"/>
  <c r="AO332"/>
  <c r="AO333"/>
  <c r="AO334"/>
  <c r="AO335"/>
  <c r="AO336"/>
  <c r="AO337"/>
  <c r="AO338"/>
  <c r="AO339"/>
  <c r="AO340"/>
  <c r="AO341"/>
  <c r="AO342"/>
  <c r="AO343"/>
  <c r="AO344"/>
  <c r="AO345"/>
  <c r="AO346"/>
  <c r="AO347"/>
  <c r="AO348"/>
  <c r="AO349"/>
  <c r="AO350"/>
  <c r="AO351"/>
  <c r="AO352"/>
  <c r="AO353"/>
  <c r="AO354"/>
  <c r="AO355"/>
  <c r="AO356"/>
  <c r="AO357"/>
  <c r="AO358"/>
  <c r="AO359"/>
  <c r="AO360"/>
  <c r="AO361"/>
  <c r="AO362"/>
  <c r="AO363"/>
  <c r="AO364"/>
  <c r="AO365"/>
  <c r="AO366"/>
  <c r="AO367"/>
  <c r="AO368"/>
  <c r="AO369"/>
  <c r="AO370"/>
  <c r="AO371"/>
  <c r="AO372"/>
  <c r="AO373"/>
  <c r="AO374"/>
  <c r="AO375"/>
  <c r="AO376"/>
  <c r="AO377"/>
  <c r="AO378"/>
  <c r="AO379"/>
  <c r="AO380"/>
  <c r="AO381"/>
  <c r="AO382"/>
  <c r="AO383"/>
  <c r="AO384"/>
  <c r="AO385"/>
  <c r="AO386"/>
  <c r="AO387"/>
  <c r="AO388"/>
  <c r="AO389"/>
  <c r="AO390"/>
  <c r="AO391"/>
  <c r="AO392"/>
  <c r="AO393"/>
  <c r="AO394"/>
  <c r="AO395"/>
  <c r="AO396"/>
  <c r="AO397"/>
  <c r="AO398"/>
  <c r="AO399"/>
  <c r="AO400"/>
  <c r="AO401"/>
  <c r="AO402"/>
  <c r="AO403"/>
  <c r="AO404"/>
  <c r="AO405"/>
  <c r="AO406"/>
  <c r="AO407"/>
  <c r="AO408"/>
  <c r="AO409"/>
  <c r="AO410"/>
  <c r="AO411"/>
  <c r="AO412"/>
  <c r="AO413"/>
  <c r="AO414"/>
  <c r="AO415"/>
  <c r="AO416"/>
  <c r="AO417"/>
  <c r="AO418"/>
  <c r="AO419"/>
  <c r="AO420"/>
  <c r="AO421"/>
  <c r="AO422"/>
  <c r="AO423"/>
  <c r="AO424"/>
  <c r="AO425"/>
  <c r="AO426"/>
  <c r="AO427"/>
  <c r="AO428"/>
  <c r="AO429"/>
  <c r="AO430"/>
  <c r="AO431"/>
  <c r="AO432"/>
  <c r="AO433"/>
  <c r="AO434"/>
  <c r="AO435"/>
  <c r="AO436"/>
  <c r="AO437"/>
  <c r="AO438"/>
  <c r="AO439"/>
  <c r="AO440"/>
  <c r="AO441"/>
  <c r="AO442"/>
  <c r="AO443"/>
  <c r="AO444"/>
  <c r="AO445"/>
  <c r="AO446"/>
  <c r="AO447"/>
  <c r="AO448"/>
  <c r="AO449"/>
  <c r="AO450"/>
  <c r="AO451"/>
  <c r="AO452"/>
  <c r="AO453"/>
  <c r="AO454"/>
  <c r="AO455"/>
  <c r="AO456"/>
  <c r="AO457"/>
  <c r="AO458"/>
  <c r="AO459"/>
  <c r="AO460"/>
  <c r="AO461"/>
  <c r="AO462"/>
  <c r="AO463"/>
  <c r="AO464"/>
  <c r="AO465"/>
  <c r="AO466"/>
  <c r="AO467"/>
  <c r="AO468"/>
  <c r="AO469"/>
  <c r="AO470"/>
  <c r="AO471"/>
  <c r="AO472"/>
  <c r="AO473"/>
  <c r="AO474"/>
  <c r="AO475"/>
  <c r="AO476"/>
  <c r="AO477"/>
  <c r="AO478"/>
  <c r="AO479"/>
  <c r="AO480"/>
  <c r="AO481"/>
  <c r="AO482"/>
  <c r="AO483"/>
  <c r="AO484"/>
  <c r="AO485"/>
  <c r="AO486"/>
  <c r="AO487"/>
  <c r="AO488"/>
  <c r="AO489"/>
  <c r="AO490"/>
  <c r="AO491"/>
  <c r="AO492"/>
  <c r="AO493"/>
  <c r="AO494"/>
  <c r="AO495"/>
  <c r="AO496"/>
  <c r="AO497"/>
  <c r="AO498"/>
  <c r="AO499"/>
  <c r="AO500"/>
  <c r="AO501"/>
  <c r="AO502"/>
  <c r="AO503"/>
  <c r="AO504"/>
  <c r="AO505"/>
  <c r="AO506"/>
  <c r="AO507"/>
  <c r="AO508"/>
  <c r="AO509"/>
  <c r="AO510"/>
  <c r="AO511"/>
  <c r="AO512"/>
  <c r="AO513"/>
  <c r="AO514"/>
  <c r="AT115"/>
  <c r="AT116"/>
  <c r="AT117"/>
  <c r="AT118"/>
  <c r="AT119"/>
  <c r="AT120"/>
  <c r="AT121"/>
  <c r="AT122"/>
  <c r="AT123"/>
  <c r="AT124"/>
  <c r="AT125"/>
  <c r="AT126"/>
  <c r="AT127"/>
  <c r="AT128"/>
  <c r="AT129"/>
  <c r="AT130"/>
  <c r="AT131"/>
  <c r="AT132"/>
  <c r="AT133"/>
  <c r="AT134"/>
  <c r="AT135"/>
  <c r="AT136"/>
  <c r="AT137"/>
  <c r="AT138"/>
  <c r="AT139"/>
  <c r="AT140"/>
  <c r="AT141"/>
  <c r="AT142"/>
  <c r="AT143"/>
  <c r="AT144"/>
  <c r="AT145"/>
  <c r="AT146"/>
  <c r="AT147"/>
  <c r="AT148"/>
  <c r="AT149"/>
  <c r="AT150"/>
  <c r="AT151"/>
  <c r="AT152"/>
  <c r="AT153"/>
  <c r="AT154"/>
  <c r="AT155"/>
  <c r="AT156"/>
  <c r="AT157"/>
  <c r="AT158"/>
  <c r="AT159"/>
  <c r="AT160"/>
  <c r="AT161"/>
  <c r="AT162"/>
  <c r="AT163"/>
  <c r="AT164"/>
  <c r="AT165"/>
  <c r="AT166"/>
  <c r="AT167"/>
  <c r="AT168"/>
  <c r="AT169"/>
  <c r="AT170"/>
  <c r="AT171"/>
  <c r="AT172"/>
  <c r="AT173"/>
  <c r="AT174"/>
  <c r="AT175"/>
  <c r="AT176"/>
  <c r="AT177"/>
  <c r="AT178"/>
  <c r="AT179"/>
  <c r="AT180"/>
  <c r="AT181"/>
  <c r="AT182"/>
  <c r="AT183"/>
  <c r="AT184"/>
  <c r="AT185"/>
  <c r="AT186"/>
  <c r="AT187"/>
  <c r="AT188"/>
  <c r="AT189"/>
  <c r="AT190"/>
  <c r="AT191"/>
  <c r="AT192"/>
  <c r="AT193"/>
  <c r="AT194"/>
  <c r="AT195"/>
  <c r="AT196"/>
  <c r="AT197"/>
  <c r="AT198"/>
  <c r="AT199"/>
  <c r="AT200"/>
  <c r="AT201"/>
  <c r="AT202"/>
  <c r="AT203"/>
  <c r="AT204"/>
  <c r="AT205"/>
  <c r="AT206"/>
  <c r="AT207"/>
  <c r="AT208"/>
  <c r="AT209"/>
  <c r="AT210"/>
  <c r="AT211"/>
  <c r="AT212"/>
  <c r="AT213"/>
  <c r="AT214"/>
  <c r="BZ1042"/>
  <c r="BV1042"/>
  <c r="BX1042" s="1"/>
  <c r="AO158" s="1"/>
  <c r="BW1042"/>
  <c r="BW38" s="1"/>
  <c r="BY1043"/>
  <c r="AP158" l="1"/>
  <c r="AU210"/>
  <c r="AU198"/>
  <c r="AU194"/>
  <c r="AU182"/>
  <c r="AU178"/>
  <c r="AU166"/>
  <c r="AU154"/>
  <c r="AU150"/>
  <c r="AU138"/>
  <c r="AU134"/>
  <c r="AU122"/>
  <c r="AP514"/>
  <c r="AP506"/>
  <c r="AP494"/>
  <c r="AP490"/>
  <c r="AP482"/>
  <c r="AP474"/>
  <c r="AP470"/>
  <c r="AP466"/>
  <c r="AP462"/>
  <c r="AP458"/>
  <c r="AP454"/>
  <c r="AP450"/>
  <c r="AP446"/>
  <c r="AP442"/>
  <c r="AP438"/>
  <c r="AP434"/>
  <c r="AP430"/>
  <c r="AP426"/>
  <c r="AP422"/>
  <c r="AP418"/>
  <c r="AP414"/>
  <c r="AP410"/>
  <c r="AP406"/>
  <c r="AP402"/>
  <c r="AP398"/>
  <c r="AP394"/>
  <c r="AP390"/>
  <c r="AP386"/>
  <c r="AP382"/>
  <c r="AP378"/>
  <c r="AP374"/>
  <c r="AP370"/>
  <c r="AP366"/>
  <c r="AP362"/>
  <c r="AP358"/>
  <c r="AP354"/>
  <c r="AP350"/>
  <c r="AP346"/>
  <c r="AP342"/>
  <c r="AP338"/>
  <c r="AP334"/>
  <c r="AP330"/>
  <c r="AP326"/>
  <c r="AP322"/>
  <c r="AP318"/>
  <c r="AP314"/>
  <c r="AP310"/>
  <c r="AP306"/>
  <c r="AP302"/>
  <c r="AP298"/>
  <c r="AP294"/>
  <c r="AP290"/>
  <c r="AP286"/>
  <c r="AP282"/>
  <c r="AP278"/>
  <c r="AP274"/>
  <c r="AP270"/>
  <c r="AP266"/>
  <c r="AP262"/>
  <c r="AP258"/>
  <c r="AP254"/>
  <c r="AP250"/>
  <c r="AP246"/>
  <c r="AP242"/>
  <c r="AP238"/>
  <c r="AP234"/>
  <c r="AP230"/>
  <c r="AP226"/>
  <c r="AP222"/>
  <c r="AP218"/>
  <c r="AP214"/>
  <c r="AP210"/>
  <c r="AP206"/>
  <c r="AP202"/>
  <c r="AP198"/>
  <c r="AP194"/>
  <c r="AP190"/>
  <c r="AP186"/>
  <c r="AP182"/>
  <c r="AP178"/>
  <c r="AP174"/>
  <c r="AP170"/>
  <c r="AP166"/>
  <c r="AP162"/>
  <c r="AP154"/>
  <c r="AP150"/>
  <c r="AP146"/>
  <c r="AP142"/>
  <c r="AP138"/>
  <c r="AP134"/>
  <c r="AP130"/>
  <c r="AP126"/>
  <c r="AP122"/>
  <c r="AP118"/>
  <c r="AZ1019" i="5"/>
  <c r="BE1019"/>
  <c r="BG1019" s="1"/>
  <c r="BA1020"/>
  <c r="BD1019"/>
  <c r="BF1019" s="1"/>
  <c r="BB1019"/>
  <c r="BI1019" s="1"/>
  <c r="BJ1019" s="1"/>
  <c r="BK1019"/>
  <c r="BL1019" s="1"/>
  <c r="AR216" i="6"/>
  <c r="AV215"/>
  <c r="BZ3"/>
  <c r="BX40"/>
  <c r="BZ40"/>
  <c r="CD42" s="1"/>
  <c r="AU211"/>
  <c r="AU207"/>
  <c r="AV207"/>
  <c r="AU203"/>
  <c r="AU199"/>
  <c r="AV199"/>
  <c r="AU195"/>
  <c r="AU191"/>
  <c r="AV191"/>
  <c r="AU187"/>
  <c r="AU183"/>
  <c r="AV183"/>
  <c r="AU179"/>
  <c r="AU175"/>
  <c r="AV175"/>
  <c r="AU171"/>
  <c r="AU167"/>
  <c r="AV167"/>
  <c r="AU163"/>
  <c r="AU159"/>
  <c r="AV159"/>
  <c r="AU155"/>
  <c r="AU151"/>
  <c r="AV151"/>
  <c r="AU147"/>
  <c r="AU143"/>
  <c r="AV143"/>
  <c r="AU139"/>
  <c r="AU135"/>
  <c r="AV135"/>
  <c r="AU131"/>
  <c r="AU127"/>
  <c r="AV127"/>
  <c r="AU123"/>
  <c r="AU119"/>
  <c r="AV119"/>
  <c r="AU115"/>
  <c r="AP511"/>
  <c r="AQ511"/>
  <c r="AP507"/>
  <c r="AP503"/>
  <c r="AQ503"/>
  <c r="AP499"/>
  <c r="AP495"/>
  <c r="AQ495"/>
  <c r="AP491"/>
  <c r="AP487"/>
  <c r="AQ487"/>
  <c r="AP483"/>
  <c r="AP479"/>
  <c r="AQ479"/>
  <c r="AP475"/>
  <c r="AP471"/>
  <c r="AQ471"/>
  <c r="AP467"/>
  <c r="AP463"/>
  <c r="AQ463"/>
  <c r="AP459"/>
  <c r="AP455"/>
  <c r="AQ455"/>
  <c r="AP451"/>
  <c r="AP447"/>
  <c r="AQ447"/>
  <c r="AP443"/>
  <c r="AP439"/>
  <c r="AQ439"/>
  <c r="AP435"/>
  <c r="AP431"/>
  <c r="AQ431"/>
  <c r="AP427"/>
  <c r="AP423"/>
  <c r="AQ423"/>
  <c r="AP419"/>
  <c r="AP415"/>
  <c r="AQ415"/>
  <c r="AP411"/>
  <c r="AP407"/>
  <c r="AQ407"/>
  <c r="AP403"/>
  <c r="AP399"/>
  <c r="AQ399"/>
  <c r="AP395"/>
  <c r="AP391"/>
  <c r="AQ391"/>
  <c r="AP387"/>
  <c r="AP383"/>
  <c r="AQ383"/>
  <c r="AP379"/>
  <c r="AP375"/>
  <c r="AQ375"/>
  <c r="AP371"/>
  <c r="AP367"/>
  <c r="AQ367"/>
  <c r="AP363"/>
  <c r="AQ363"/>
  <c r="AP359"/>
  <c r="AQ359"/>
  <c r="AP355"/>
  <c r="AQ355"/>
  <c r="AP351"/>
  <c r="AQ351"/>
  <c r="AP347"/>
  <c r="AQ347"/>
  <c r="AP343"/>
  <c r="AQ343"/>
  <c r="AP339"/>
  <c r="AQ339"/>
  <c r="AP335"/>
  <c r="AQ335"/>
  <c r="AP331"/>
  <c r="AQ331"/>
  <c r="AP327"/>
  <c r="AQ327"/>
  <c r="AP323"/>
  <c r="AQ323"/>
  <c r="AP319"/>
  <c r="AQ319"/>
  <c r="AP315"/>
  <c r="AQ315"/>
  <c r="AP311"/>
  <c r="AQ311"/>
  <c r="AP307"/>
  <c r="AQ307"/>
  <c r="AP303"/>
  <c r="AQ303"/>
  <c r="AP299"/>
  <c r="AQ299"/>
  <c r="AP295"/>
  <c r="AQ295"/>
  <c r="AP291"/>
  <c r="AQ291"/>
  <c r="AP287"/>
  <c r="AQ287"/>
  <c r="AP283"/>
  <c r="AQ283"/>
  <c r="AP279"/>
  <c r="AQ279"/>
  <c r="AP275"/>
  <c r="AQ275"/>
  <c r="AP271"/>
  <c r="AQ271"/>
  <c r="AP267"/>
  <c r="AQ267"/>
  <c r="AP263"/>
  <c r="AQ263"/>
  <c r="AP259"/>
  <c r="AQ259"/>
  <c r="AP255"/>
  <c r="AQ255"/>
  <c r="AP251"/>
  <c r="AQ251"/>
  <c r="AP247"/>
  <c r="AQ247"/>
  <c r="AP243"/>
  <c r="AQ243"/>
  <c r="AP239"/>
  <c r="AQ239"/>
  <c r="AP235"/>
  <c r="AQ235"/>
  <c r="AP231"/>
  <c r="AQ231"/>
  <c r="AP227"/>
  <c r="AQ227"/>
  <c r="AP223"/>
  <c r="AQ223"/>
  <c r="AP219"/>
  <c r="AQ219"/>
  <c r="AP215"/>
  <c r="AQ215"/>
  <c r="AP211"/>
  <c r="AQ211"/>
  <c r="AP207"/>
  <c r="AQ207"/>
  <c r="AP203"/>
  <c r="AQ203"/>
  <c r="AP199"/>
  <c r="AQ199"/>
  <c r="AP195"/>
  <c r="AQ195"/>
  <c r="AP191"/>
  <c r="AQ191"/>
  <c r="AP187"/>
  <c r="AQ187"/>
  <c r="AP183"/>
  <c r="AQ183"/>
  <c r="AP179"/>
  <c r="AQ179"/>
  <c r="AP175"/>
  <c r="AQ175"/>
  <c r="AP171"/>
  <c r="AQ171"/>
  <c r="AP167"/>
  <c r="AQ167"/>
  <c r="AP163"/>
  <c r="AQ163"/>
  <c r="AP159"/>
  <c r="AQ159"/>
  <c r="AP155"/>
  <c r="AQ155"/>
  <c r="AP151"/>
  <c r="AQ151"/>
  <c r="AP147"/>
  <c r="AQ147"/>
  <c r="AP143"/>
  <c r="AQ143"/>
  <c r="AP139"/>
  <c r="AQ139"/>
  <c r="AP135"/>
  <c r="AQ135"/>
  <c r="AP131"/>
  <c r="AQ131"/>
  <c r="AP127"/>
  <c r="AQ127"/>
  <c r="AP123"/>
  <c r="AQ123"/>
  <c r="AP119"/>
  <c r="AQ119"/>
  <c r="AP116"/>
  <c r="AQ116"/>
  <c r="AU214"/>
  <c r="AV214"/>
  <c r="AU206"/>
  <c r="AV206"/>
  <c r="AU190"/>
  <c r="AV190"/>
  <c r="AU174"/>
  <c r="AV174"/>
  <c r="AU162"/>
  <c r="AV162"/>
  <c r="AU146"/>
  <c r="AV146"/>
  <c r="AU130"/>
  <c r="AV130"/>
  <c r="AU118"/>
  <c r="AV118"/>
  <c r="AP502"/>
  <c r="AQ502"/>
  <c r="AP486"/>
  <c r="AQ486"/>
  <c r="AP478"/>
  <c r="AQ478"/>
  <c r="AU212"/>
  <c r="AV212"/>
  <c r="AU208"/>
  <c r="AV208"/>
  <c r="AU204"/>
  <c r="AV204"/>
  <c r="AU200"/>
  <c r="AV200"/>
  <c r="AU196"/>
  <c r="AV196"/>
  <c r="AU192"/>
  <c r="AV192"/>
  <c r="AU188"/>
  <c r="AV188"/>
  <c r="AU184"/>
  <c r="AV184"/>
  <c r="AU180"/>
  <c r="AV180"/>
  <c r="AU176"/>
  <c r="AV176"/>
  <c r="AU172"/>
  <c r="AV172"/>
  <c r="AU168"/>
  <c r="AV168"/>
  <c r="AU164"/>
  <c r="AV164"/>
  <c r="AU160"/>
  <c r="AV160"/>
  <c r="AU156"/>
  <c r="AV156"/>
  <c r="AU152"/>
  <c r="AV152"/>
  <c r="AU148"/>
  <c r="AV148"/>
  <c r="AU144"/>
  <c r="AV144"/>
  <c r="AU140"/>
  <c r="AV140"/>
  <c r="AU136"/>
  <c r="AV136"/>
  <c r="AU132"/>
  <c r="AV132"/>
  <c r="AU128"/>
  <c r="AV128"/>
  <c r="AU124"/>
  <c r="AV124"/>
  <c r="AU120"/>
  <c r="AV120"/>
  <c r="AU116"/>
  <c r="AV116"/>
  <c r="AP512"/>
  <c r="AQ512"/>
  <c r="AP508"/>
  <c r="AQ508"/>
  <c r="AP504"/>
  <c r="AQ504"/>
  <c r="AP500"/>
  <c r="AQ500"/>
  <c r="AP496"/>
  <c r="AQ496"/>
  <c r="AP492"/>
  <c r="AQ492"/>
  <c r="AP488"/>
  <c r="AQ488"/>
  <c r="AP484"/>
  <c r="AQ484"/>
  <c r="AP480"/>
  <c r="AQ480"/>
  <c r="AP476"/>
  <c r="AQ476"/>
  <c r="AP472"/>
  <c r="AQ472"/>
  <c r="AP468"/>
  <c r="AQ468"/>
  <c r="AP464"/>
  <c r="AQ464"/>
  <c r="AP460"/>
  <c r="AQ460"/>
  <c r="AP456"/>
  <c r="AQ456"/>
  <c r="AP452"/>
  <c r="AQ452"/>
  <c r="AP448"/>
  <c r="AQ448"/>
  <c r="AP444"/>
  <c r="AQ444"/>
  <c r="AP440"/>
  <c r="AQ440"/>
  <c r="AP436"/>
  <c r="AQ436"/>
  <c r="AP432"/>
  <c r="AQ432"/>
  <c r="AP428"/>
  <c r="AQ428"/>
  <c r="AP424"/>
  <c r="AQ424"/>
  <c r="AP420"/>
  <c r="AQ420"/>
  <c r="AP416"/>
  <c r="AQ416"/>
  <c r="AP412"/>
  <c r="AQ412"/>
  <c r="AP408"/>
  <c r="AQ408"/>
  <c r="AP404"/>
  <c r="AQ404"/>
  <c r="AP400"/>
  <c r="AQ400"/>
  <c r="AP396"/>
  <c r="AQ396"/>
  <c r="AP392"/>
  <c r="AQ392"/>
  <c r="AP388"/>
  <c r="AQ388"/>
  <c r="AP384"/>
  <c r="AQ384"/>
  <c r="AP380"/>
  <c r="AQ380"/>
  <c r="AP376"/>
  <c r="AQ376"/>
  <c r="AP372"/>
  <c r="AQ372"/>
  <c r="AP368"/>
  <c r="AQ368"/>
  <c r="AP364"/>
  <c r="AQ364"/>
  <c r="AP360"/>
  <c r="AQ360"/>
  <c r="AP356"/>
  <c r="AQ356"/>
  <c r="AP352"/>
  <c r="AQ352"/>
  <c r="AP348"/>
  <c r="AQ348"/>
  <c r="AP344"/>
  <c r="AQ344"/>
  <c r="AP340"/>
  <c r="AQ340"/>
  <c r="AP336"/>
  <c r="AQ336"/>
  <c r="AP332"/>
  <c r="AQ332"/>
  <c r="AP328"/>
  <c r="AQ328"/>
  <c r="AP324"/>
  <c r="AQ324"/>
  <c r="AP320"/>
  <c r="AQ320"/>
  <c r="AP316"/>
  <c r="AQ316"/>
  <c r="AP312"/>
  <c r="AQ312"/>
  <c r="AP308"/>
  <c r="AQ308"/>
  <c r="AP304"/>
  <c r="AQ304"/>
  <c r="AP300"/>
  <c r="AQ300"/>
  <c r="AP296"/>
  <c r="AQ296"/>
  <c r="AP292"/>
  <c r="AQ292"/>
  <c r="AP288"/>
  <c r="AQ288"/>
  <c r="AP284"/>
  <c r="AQ284"/>
  <c r="AP280"/>
  <c r="AQ280"/>
  <c r="AP276"/>
  <c r="AQ276"/>
  <c r="AP272"/>
  <c r="AQ272"/>
  <c r="AP268"/>
  <c r="AQ268"/>
  <c r="AP264"/>
  <c r="AQ264"/>
  <c r="AP260"/>
  <c r="AQ260"/>
  <c r="AP256"/>
  <c r="AQ256"/>
  <c r="AP252"/>
  <c r="AQ252"/>
  <c r="AP248"/>
  <c r="AQ248"/>
  <c r="AP244"/>
  <c r="AQ244"/>
  <c r="AP240"/>
  <c r="AQ240"/>
  <c r="AP236"/>
  <c r="AQ236"/>
  <c r="AP232"/>
  <c r="AQ232"/>
  <c r="AP228"/>
  <c r="AQ228"/>
  <c r="AP224"/>
  <c r="AQ224"/>
  <c r="AP220"/>
  <c r="AQ220"/>
  <c r="AP216"/>
  <c r="AQ216"/>
  <c r="AP212"/>
  <c r="AQ212"/>
  <c r="AP208"/>
  <c r="AQ208"/>
  <c r="AP204"/>
  <c r="AQ204"/>
  <c r="AP200"/>
  <c r="AQ200"/>
  <c r="AP196"/>
  <c r="AQ196"/>
  <c r="AP192"/>
  <c r="AQ192"/>
  <c r="AP188"/>
  <c r="AQ188"/>
  <c r="AP184"/>
  <c r="AQ184"/>
  <c r="AP180"/>
  <c r="AQ180"/>
  <c r="AP176"/>
  <c r="AQ176"/>
  <c r="AP172"/>
  <c r="AQ172"/>
  <c r="AP168"/>
  <c r="AQ168"/>
  <c r="AP164"/>
  <c r="AQ164"/>
  <c r="AP160"/>
  <c r="AQ160"/>
  <c r="AP156"/>
  <c r="AQ156"/>
  <c r="AP152"/>
  <c r="AQ152"/>
  <c r="AP148"/>
  <c r="AQ148"/>
  <c r="AP144"/>
  <c r="AQ144"/>
  <c r="AP140"/>
  <c r="AQ140"/>
  <c r="AP136"/>
  <c r="AQ136"/>
  <c r="AP132"/>
  <c r="AQ132"/>
  <c r="AP128"/>
  <c r="AQ128"/>
  <c r="AP124"/>
  <c r="AQ124"/>
  <c r="AP120"/>
  <c r="AQ120"/>
  <c r="AP115"/>
  <c r="AQ115"/>
  <c r="AJ1009" i="12"/>
  <c r="AL1008"/>
  <c r="AO1008" s="1"/>
  <c r="AK1008"/>
  <c r="AN1008"/>
  <c r="BY1044" i="6"/>
  <c r="BZ1043"/>
  <c r="BW1043" s="1"/>
  <c r="BV1043"/>
  <c r="AU202"/>
  <c r="AV202"/>
  <c r="AU186"/>
  <c r="AU170"/>
  <c r="AV170"/>
  <c r="AU158"/>
  <c r="AU142"/>
  <c r="AV142"/>
  <c r="AU126"/>
  <c r="AP510"/>
  <c r="AQ510"/>
  <c r="AP498"/>
  <c r="AU213"/>
  <c r="AV213"/>
  <c r="AU209"/>
  <c r="AU205"/>
  <c r="AV205"/>
  <c r="AU201"/>
  <c r="AU197"/>
  <c r="AV197"/>
  <c r="AU193"/>
  <c r="AU189"/>
  <c r="AV189"/>
  <c r="AU185"/>
  <c r="AV185"/>
  <c r="AU181"/>
  <c r="AV181"/>
  <c r="AU177"/>
  <c r="AV177"/>
  <c r="AU173"/>
  <c r="AV173"/>
  <c r="AU169"/>
  <c r="AV169"/>
  <c r="AU165"/>
  <c r="AV165"/>
  <c r="AU161"/>
  <c r="AV161"/>
  <c r="AU157"/>
  <c r="AV157"/>
  <c r="AU153"/>
  <c r="AV153"/>
  <c r="AU149"/>
  <c r="AV149"/>
  <c r="AU145"/>
  <c r="AV145"/>
  <c r="AU141"/>
  <c r="AV141"/>
  <c r="AU137"/>
  <c r="AV137"/>
  <c r="AU133"/>
  <c r="AV133"/>
  <c r="AU129"/>
  <c r="AV129"/>
  <c r="AU125"/>
  <c r="AV125"/>
  <c r="AU121"/>
  <c r="AV121"/>
  <c r="AU117"/>
  <c r="AV117"/>
  <c r="AP513"/>
  <c r="AQ513"/>
  <c r="AP509"/>
  <c r="AQ509"/>
  <c r="AP505"/>
  <c r="AQ505"/>
  <c r="AP501"/>
  <c r="AQ501"/>
  <c r="AP497"/>
  <c r="AQ497"/>
  <c r="AP493"/>
  <c r="AQ493"/>
  <c r="AP489"/>
  <c r="AQ489"/>
  <c r="AP485"/>
  <c r="AQ485"/>
  <c r="AP481"/>
  <c r="AQ481"/>
  <c r="AP477"/>
  <c r="AQ477"/>
  <c r="AP473"/>
  <c r="AQ473"/>
  <c r="AP469"/>
  <c r="AQ469"/>
  <c r="AP465"/>
  <c r="AQ465"/>
  <c r="AP461"/>
  <c r="AQ461"/>
  <c r="AP457"/>
  <c r="AQ457"/>
  <c r="AP453"/>
  <c r="AQ453"/>
  <c r="AP449"/>
  <c r="AQ449"/>
  <c r="AP445"/>
  <c r="AQ445"/>
  <c r="AP441"/>
  <c r="AQ441"/>
  <c r="AP437"/>
  <c r="AQ437"/>
  <c r="AP433"/>
  <c r="AQ433"/>
  <c r="AP429"/>
  <c r="AQ429"/>
  <c r="AP425"/>
  <c r="AQ425"/>
  <c r="AP421"/>
  <c r="AQ421"/>
  <c r="AP417"/>
  <c r="AQ417"/>
  <c r="AP413"/>
  <c r="AQ413"/>
  <c r="AP409"/>
  <c r="AQ409"/>
  <c r="AP405"/>
  <c r="AQ405"/>
  <c r="AP401"/>
  <c r="AQ401"/>
  <c r="AP397"/>
  <c r="AQ397"/>
  <c r="AP393"/>
  <c r="AQ393"/>
  <c r="AP389"/>
  <c r="AQ389"/>
  <c r="AP385"/>
  <c r="AQ385"/>
  <c r="AP381"/>
  <c r="AQ381"/>
  <c r="AP377"/>
  <c r="AQ377"/>
  <c r="AP373"/>
  <c r="AQ373"/>
  <c r="AP369"/>
  <c r="AQ369"/>
  <c r="AP365"/>
  <c r="AQ365"/>
  <c r="AP361"/>
  <c r="AQ361"/>
  <c r="AP357"/>
  <c r="AQ357"/>
  <c r="AP353"/>
  <c r="AQ353"/>
  <c r="AP349"/>
  <c r="AQ349"/>
  <c r="AP345"/>
  <c r="AQ345"/>
  <c r="AP341"/>
  <c r="AQ341"/>
  <c r="AP337"/>
  <c r="AQ337"/>
  <c r="AP333"/>
  <c r="AQ333"/>
  <c r="AP329"/>
  <c r="AQ329"/>
  <c r="AP325"/>
  <c r="AQ325"/>
  <c r="AP321"/>
  <c r="AQ321"/>
  <c r="AP317"/>
  <c r="AQ317"/>
  <c r="AP313"/>
  <c r="AQ313"/>
  <c r="AP309"/>
  <c r="AQ309"/>
  <c r="AP305"/>
  <c r="AQ305"/>
  <c r="AP301"/>
  <c r="AQ301"/>
  <c r="AP297"/>
  <c r="AQ297"/>
  <c r="AP293"/>
  <c r="AQ293"/>
  <c r="AP289"/>
  <c r="AQ289"/>
  <c r="AP285"/>
  <c r="AQ285"/>
  <c r="AP281"/>
  <c r="AQ281"/>
  <c r="AP277"/>
  <c r="AQ277"/>
  <c r="AP273"/>
  <c r="AQ273"/>
  <c r="AP269"/>
  <c r="AQ269"/>
  <c r="AP265"/>
  <c r="AQ265"/>
  <c r="AP261"/>
  <c r="AQ261"/>
  <c r="AP257"/>
  <c r="AQ257"/>
  <c r="AP253"/>
  <c r="AQ253"/>
  <c r="AP249"/>
  <c r="AQ249"/>
  <c r="AP245"/>
  <c r="AQ245"/>
  <c r="AP241"/>
  <c r="AQ241"/>
  <c r="AP237"/>
  <c r="AQ237"/>
  <c r="AP233"/>
  <c r="AQ233"/>
  <c r="AP229"/>
  <c r="AQ229"/>
  <c r="AP225"/>
  <c r="AQ225"/>
  <c r="AP221"/>
  <c r="AQ221"/>
  <c r="AP217"/>
  <c r="AQ217"/>
  <c r="AP213"/>
  <c r="AQ213"/>
  <c r="AP209"/>
  <c r="AQ209"/>
  <c r="AP205"/>
  <c r="AQ205"/>
  <c r="AP201"/>
  <c r="AQ201"/>
  <c r="AP197"/>
  <c r="AQ197"/>
  <c r="AP193"/>
  <c r="AQ193"/>
  <c r="AP189"/>
  <c r="AQ189"/>
  <c r="AP185"/>
  <c r="AQ185"/>
  <c r="AP181"/>
  <c r="AQ181"/>
  <c r="AP177"/>
  <c r="AQ177"/>
  <c r="AP173"/>
  <c r="AQ173"/>
  <c r="AP169"/>
  <c r="AQ169"/>
  <c r="AP165"/>
  <c r="AQ165"/>
  <c r="AP161"/>
  <c r="AQ161"/>
  <c r="AP157"/>
  <c r="AQ157"/>
  <c r="AP153"/>
  <c r="AQ153"/>
  <c r="AP149"/>
  <c r="AQ149"/>
  <c r="AP145"/>
  <c r="AQ145"/>
  <c r="AP141"/>
  <c r="AQ141"/>
  <c r="AP137"/>
  <c r="AQ137"/>
  <c r="AP133"/>
  <c r="AQ133"/>
  <c r="AP129"/>
  <c r="AQ129"/>
  <c r="AP125"/>
  <c r="AQ125"/>
  <c r="AP121"/>
  <c r="AQ121"/>
  <c r="AP117"/>
  <c r="AQ117"/>
  <c r="AU1021" i="4"/>
  <c r="AZ1021"/>
  <c r="BB1021" s="1"/>
  <c r="BD1021"/>
  <c r="BE1021" s="1"/>
  <c r="AV1022"/>
  <c r="AY1021"/>
  <c r="BA1021" s="1"/>
  <c r="AW1021"/>
  <c r="BF1021"/>
  <c r="BG1021" s="1"/>
  <c r="BZ1044" i="6" l="1"/>
  <c r="BW1044" s="1"/>
  <c r="BY1045"/>
  <c r="BV1044"/>
  <c r="AY1022" i="4"/>
  <c r="BA1022" s="1"/>
  <c r="BF1022"/>
  <c r="BG1022" s="1"/>
  <c r="AW1022"/>
  <c r="BD1022"/>
  <c r="BE1022" s="1"/>
  <c r="AU1022"/>
  <c r="AZ1022"/>
  <c r="BB1022" s="1"/>
  <c r="AV1023"/>
  <c r="AQ371" i="6"/>
  <c r="AQ379"/>
  <c r="AQ387"/>
  <c r="AQ395"/>
  <c r="AQ403"/>
  <c r="AQ411"/>
  <c r="AQ419"/>
  <c r="AQ427"/>
  <c r="AQ435"/>
  <c r="AQ443"/>
  <c r="AQ451"/>
  <c r="AQ459"/>
  <c r="AQ467"/>
  <c r="AQ475"/>
  <c r="AQ483"/>
  <c r="AQ491"/>
  <c r="AQ499"/>
  <c r="AQ507"/>
  <c r="AV115"/>
  <c r="AV123"/>
  <c r="AV131"/>
  <c r="AV139"/>
  <c r="AV147"/>
  <c r="AV155"/>
  <c r="AV163"/>
  <c r="AV171"/>
  <c r="AV179"/>
  <c r="AV187"/>
  <c r="AV195"/>
  <c r="AV203"/>
  <c r="AV211"/>
  <c r="AQ122"/>
  <c r="AQ130"/>
  <c r="AQ138"/>
  <c r="AQ146"/>
  <c r="AQ154"/>
  <c r="AQ166"/>
  <c r="AQ174"/>
  <c r="AQ182"/>
  <c r="AQ190"/>
  <c r="AQ198"/>
  <c r="AQ206"/>
  <c r="AQ214"/>
  <c r="AQ222"/>
  <c r="AQ230"/>
  <c r="AQ238"/>
  <c r="AQ246"/>
  <c r="AQ254"/>
  <c r="AQ262"/>
  <c r="AQ270"/>
  <c r="AQ278"/>
  <c r="AQ286"/>
  <c r="AQ294"/>
  <c r="AQ302"/>
  <c r="AQ310"/>
  <c r="AQ318"/>
  <c r="AQ326"/>
  <c r="AQ334"/>
  <c r="AQ342"/>
  <c r="AQ350"/>
  <c r="AQ358"/>
  <c r="AQ366"/>
  <c r="AQ374"/>
  <c r="AQ382"/>
  <c r="AQ390"/>
  <c r="AQ398"/>
  <c r="AQ406"/>
  <c r="AQ414"/>
  <c r="AQ422"/>
  <c r="AQ430"/>
  <c r="AQ438"/>
  <c r="AQ446"/>
  <c r="AQ454"/>
  <c r="AQ462"/>
  <c r="AQ470"/>
  <c r="AQ482"/>
  <c r="AQ494"/>
  <c r="AQ514"/>
  <c r="AV134"/>
  <c r="AV150"/>
  <c r="AV166"/>
  <c r="AV182"/>
  <c r="AV198"/>
  <c r="AQ158"/>
  <c r="AK1009" i="12"/>
  <c r="AO1009"/>
  <c r="AN1009"/>
  <c r="AJ1010"/>
  <c r="AL1009"/>
  <c r="AV193" i="6"/>
  <c r="AV201"/>
  <c r="AV209"/>
  <c r="AQ498"/>
  <c r="AV126"/>
  <c r="AV158"/>
  <c r="AV186"/>
  <c r="AS216"/>
  <c r="AT216"/>
  <c r="AU216" s="1"/>
  <c r="BD1020" i="5"/>
  <c r="BF1020" s="1"/>
  <c r="BB1020"/>
  <c r="BI1020" s="1"/>
  <c r="BJ1020" s="1"/>
  <c r="BK1020"/>
  <c r="BL1020" s="1"/>
  <c r="AZ1020"/>
  <c r="BE1020"/>
  <c r="BG1020" s="1"/>
  <c r="BA1021"/>
  <c r="AQ118" i="6"/>
  <c r="AQ126"/>
  <c r="AQ134"/>
  <c r="AQ142"/>
  <c r="AQ150"/>
  <c r="AQ162"/>
  <c r="AQ170"/>
  <c r="AQ178"/>
  <c r="AQ186"/>
  <c r="AQ194"/>
  <c r="AQ202"/>
  <c r="AQ210"/>
  <c r="AQ218"/>
  <c r="AQ226"/>
  <c r="AQ234"/>
  <c r="AQ242"/>
  <c r="AQ250"/>
  <c r="AQ258"/>
  <c r="AQ266"/>
  <c r="AQ274"/>
  <c r="AQ282"/>
  <c r="AQ290"/>
  <c r="AQ298"/>
  <c r="AQ306"/>
  <c r="AQ314"/>
  <c r="AQ322"/>
  <c r="AQ330"/>
  <c r="AQ338"/>
  <c r="AQ346"/>
  <c r="AQ354"/>
  <c r="AQ362"/>
  <c r="AQ370"/>
  <c r="AQ378"/>
  <c r="AQ386"/>
  <c r="AQ394"/>
  <c r="AQ402"/>
  <c r="AQ410"/>
  <c r="AQ418"/>
  <c r="AQ426"/>
  <c r="AQ434"/>
  <c r="AQ442"/>
  <c r="AQ450"/>
  <c r="AQ458"/>
  <c r="AQ466"/>
  <c r="AQ474"/>
  <c r="AQ490"/>
  <c r="AQ506"/>
  <c r="AV122"/>
  <c r="AV138"/>
  <c r="AV154"/>
  <c r="AV178"/>
  <c r="AV194"/>
  <c r="AV210"/>
  <c r="BK1021" i="5" l="1"/>
  <c r="BL1021" s="1"/>
  <c r="BA1022"/>
  <c r="BB1021"/>
  <c r="AZ1021"/>
  <c r="BI1021"/>
  <c r="BJ1021" s="1"/>
  <c r="BD1021"/>
  <c r="BF1021" s="1"/>
  <c r="BE1021"/>
  <c r="BG1021" s="1"/>
  <c r="AK1010" i="12"/>
  <c r="AL1010"/>
  <c r="AN1010"/>
  <c r="BF1023" i="4"/>
  <c r="BG1023" s="1"/>
  <c r="AW1023"/>
  <c r="BD1023" s="1"/>
  <c r="BE1023" s="1"/>
  <c r="AU1023"/>
  <c r="AZ1023"/>
  <c r="BB1023" s="1"/>
  <c r="AY1023"/>
  <c r="BA1023" s="1"/>
  <c r="AV1024"/>
  <c r="BY1046" i="6"/>
  <c r="BV1045"/>
  <c r="BZ1045"/>
  <c r="BW1045" s="1"/>
  <c r="AR217"/>
  <c r="AV216"/>
  <c r="AL8" i="12" l="1"/>
  <c r="AH17" s="1"/>
  <c r="AH19" s="1"/>
  <c r="AN7"/>
  <c r="AW1024" i="4"/>
  <c r="AU1024"/>
  <c r="AZ1024"/>
  <c r="BB1024" s="1"/>
  <c r="BD1024"/>
  <c r="BE1024" s="1"/>
  <c r="AV1025"/>
  <c r="BF1024"/>
  <c r="BG1024" s="1"/>
  <c r="AY1024"/>
  <c r="BA1024" s="1"/>
  <c r="BB1022" i="5"/>
  <c r="BE1022"/>
  <c r="BG1022" s="1"/>
  <c r="BK1022"/>
  <c r="BL1022" s="1"/>
  <c r="BD1022"/>
  <c r="BF1022" s="1"/>
  <c r="BI1022"/>
  <c r="BJ1022" s="1"/>
  <c r="BA1023"/>
  <c r="AZ1022"/>
  <c r="AS217" i="6"/>
  <c r="AT217"/>
  <c r="AU217" s="1"/>
  <c r="BZ1046"/>
  <c r="BY1047"/>
  <c r="BV1046"/>
  <c r="BW1046"/>
  <c r="AO1010" i="12"/>
  <c r="AR218" i="6" l="1"/>
  <c r="AV217"/>
  <c r="AP7" i="12"/>
  <c r="AP8"/>
  <c r="AZ1023" i="5"/>
  <c r="BE1023"/>
  <c r="BG1023" s="1"/>
  <c r="BA1024"/>
  <c r="BB1023"/>
  <c r="BI1023" s="1"/>
  <c r="BJ1023" s="1"/>
  <c r="BK1023"/>
  <c r="BL1023" s="1"/>
  <c r="BD1023"/>
  <c r="BF1023" s="1"/>
  <c r="AU1025" i="4"/>
  <c r="AZ1025"/>
  <c r="BB1025" s="1"/>
  <c r="BD1025"/>
  <c r="BE1025" s="1"/>
  <c r="AV1026"/>
  <c r="AY1025"/>
  <c r="BA1025" s="1"/>
  <c r="BF1025"/>
  <c r="BG1025" s="1"/>
  <c r="AW1025"/>
  <c r="BY1048" i="6"/>
  <c r="BZ1047"/>
  <c r="BV1047"/>
  <c r="BW1047"/>
  <c r="AS218" l="1"/>
  <c r="AT218"/>
  <c r="AU218" s="1"/>
  <c r="BZ1048"/>
  <c r="BY1049"/>
  <c r="BW1048"/>
  <c r="BV1048"/>
  <c r="AY1026" i="4"/>
  <c r="BA1026" s="1"/>
  <c r="BF1026"/>
  <c r="BG1026" s="1"/>
  <c r="AZ1026"/>
  <c r="BB1026" s="1"/>
  <c r="AU1026"/>
  <c r="AV1027"/>
  <c r="AW1026"/>
  <c r="BD1026" s="1"/>
  <c r="BE1026" s="1"/>
  <c r="BD1024" i="5"/>
  <c r="BF1024" s="1"/>
  <c r="AZ1024"/>
  <c r="BE1024"/>
  <c r="BG1024" s="1"/>
  <c r="BI1024"/>
  <c r="BJ1024" s="1"/>
  <c r="BA1025"/>
  <c r="BK1024"/>
  <c r="BL1024" s="1"/>
  <c r="BB1024"/>
  <c r="BK1025" l="1"/>
  <c r="BL1025" s="1"/>
  <c r="BB1025"/>
  <c r="AZ1025"/>
  <c r="BE1025"/>
  <c r="BG1025" s="1"/>
  <c r="BI1025"/>
  <c r="BJ1025" s="1"/>
  <c r="BA1026"/>
  <c r="BD1025"/>
  <c r="BF1025" s="1"/>
  <c r="AR219" i="6"/>
  <c r="AV218"/>
  <c r="BF1027" i="4"/>
  <c r="BG1027" s="1"/>
  <c r="AW1027"/>
  <c r="BD1027" s="1"/>
  <c r="BE1027" s="1"/>
  <c r="AY1027"/>
  <c r="BA1027" s="1"/>
  <c r="AZ1027"/>
  <c r="BB1027" s="1"/>
  <c r="AV1028"/>
  <c r="AU1027"/>
  <c r="BY1050" i="6"/>
  <c r="BZ1049"/>
  <c r="BW1049" s="1"/>
  <c r="BV1049"/>
  <c r="BZ1050" l="1"/>
  <c r="BW1050" s="1"/>
  <c r="BV1050"/>
  <c r="BY1051"/>
  <c r="AW1028" i="4"/>
  <c r="BD1028" s="1"/>
  <c r="BE1028" s="1"/>
  <c r="AU1028"/>
  <c r="AZ1028"/>
  <c r="BB1028" s="1"/>
  <c r="AV1029"/>
  <c r="AY1028"/>
  <c r="BA1028" s="1"/>
  <c r="BF1028"/>
  <c r="BG1028" s="1"/>
  <c r="BB1026" i="5"/>
  <c r="BD1026"/>
  <c r="BF1026" s="1"/>
  <c r="BI1026"/>
  <c r="BJ1026" s="1"/>
  <c r="BA1027"/>
  <c r="BE1026"/>
  <c r="BG1026" s="1"/>
  <c r="AZ1026"/>
  <c r="BK1026"/>
  <c r="BL1026" s="1"/>
  <c r="AS219" i="6"/>
  <c r="AT219"/>
  <c r="AU219" s="1"/>
  <c r="AU1029" i="4" l="1"/>
  <c r="AZ1029"/>
  <c r="BB1029" s="1"/>
  <c r="AV1030"/>
  <c r="AY1029"/>
  <c r="BA1029" s="1"/>
  <c r="AW1029"/>
  <c r="BD1029" s="1"/>
  <c r="BE1029" s="1"/>
  <c r="BF1029"/>
  <c r="BG1029" s="1"/>
  <c r="AR220" i="6"/>
  <c r="AV219"/>
  <c r="AZ1027" i="5"/>
  <c r="BE1027"/>
  <c r="BG1027" s="1"/>
  <c r="BA1028"/>
  <c r="BB1027"/>
  <c r="BI1027" s="1"/>
  <c r="BJ1027" s="1"/>
  <c r="BK1027"/>
  <c r="BL1027" s="1"/>
  <c r="BD1027"/>
  <c r="BF1027" s="1"/>
  <c r="BY1052" i="6"/>
  <c r="BZ1051"/>
  <c r="BW1051" s="1"/>
  <c r="BV1051"/>
  <c r="BZ1052" l="1"/>
  <c r="BW1052" s="1"/>
  <c r="BY1053"/>
  <c r="BV1052"/>
  <c r="BD1028" i="5"/>
  <c r="BF1028" s="1"/>
  <c r="BE1028"/>
  <c r="BG1028" s="1"/>
  <c r="BA1029"/>
  <c r="BK1028"/>
  <c r="BL1028" s="1"/>
  <c r="AZ1028"/>
  <c r="BB1028"/>
  <c r="BI1028" s="1"/>
  <c r="BJ1028" s="1"/>
  <c r="AT220" i="6"/>
  <c r="AU220" s="1"/>
  <c r="AS220"/>
  <c r="AY1030" i="4"/>
  <c r="BA1030" s="1"/>
  <c r="BF1030"/>
  <c r="BG1030" s="1"/>
  <c r="AW1030"/>
  <c r="BD1030" s="1"/>
  <c r="BE1030" s="1"/>
  <c r="AV1031"/>
  <c r="AU1030"/>
  <c r="AZ1030"/>
  <c r="BB1030" s="1"/>
  <c r="AR221" i="6" l="1"/>
  <c r="AV220"/>
  <c r="BY1054"/>
  <c r="BZ1053"/>
  <c r="BW1053" s="1"/>
  <c r="BV1053"/>
  <c r="BF1031" i="4"/>
  <c r="BG1031" s="1"/>
  <c r="AW1031"/>
  <c r="AU1031"/>
  <c r="BD1031"/>
  <c r="BE1031" s="1"/>
  <c r="AZ1031"/>
  <c r="BB1031" s="1"/>
  <c r="AY1031"/>
  <c r="BA1031" s="1"/>
  <c r="AV1032"/>
  <c r="BK1029" i="5"/>
  <c r="BL1029" s="1"/>
  <c r="AZ1029"/>
  <c r="BE1029"/>
  <c r="BG1029" s="1"/>
  <c r="BD1029"/>
  <c r="BF1029" s="1"/>
  <c r="BI1029"/>
  <c r="BJ1029" s="1"/>
  <c r="BB1029"/>
  <c r="BA1030"/>
  <c r="AW1032" i="4" l="1"/>
  <c r="BD1032" s="1"/>
  <c r="BE1032" s="1"/>
  <c r="AU1032"/>
  <c r="AZ1032"/>
  <c r="BB1032" s="1"/>
  <c r="AV1033"/>
  <c r="BF1032"/>
  <c r="BG1032" s="1"/>
  <c r="AY1032"/>
  <c r="BA1032" s="1"/>
  <c r="AS221" i="6"/>
  <c r="AT221"/>
  <c r="AU221" s="1"/>
  <c r="BZ1054"/>
  <c r="BY1055"/>
  <c r="BV1054"/>
  <c r="BW1054"/>
  <c r="BB1030" i="5"/>
  <c r="BI1030" s="1"/>
  <c r="BJ1030" s="1"/>
  <c r="BA1031"/>
  <c r="AZ1030"/>
  <c r="BD1030"/>
  <c r="BF1030" s="1"/>
  <c r="BK1030"/>
  <c r="BL1030" s="1"/>
  <c r="BE1030"/>
  <c r="BG1030" s="1"/>
  <c r="BY1056" i="6" l="1"/>
  <c r="BZ1055"/>
  <c r="BW1055" s="1"/>
  <c r="BV1055"/>
  <c r="AU1033" i="4"/>
  <c r="AZ1033"/>
  <c r="BB1033" s="1"/>
  <c r="AV1034"/>
  <c r="AY1033"/>
  <c r="BA1033" s="1"/>
  <c r="BF1033"/>
  <c r="BG1033" s="1"/>
  <c r="AW1033"/>
  <c r="BD1033" s="1"/>
  <c r="BE1033" s="1"/>
  <c r="AZ1031" i="5"/>
  <c r="BE1031"/>
  <c r="BG1031" s="1"/>
  <c r="BI1031"/>
  <c r="BJ1031" s="1"/>
  <c r="BA1032"/>
  <c r="BK1031"/>
  <c r="BL1031" s="1"/>
  <c r="BD1031"/>
  <c r="BF1031" s="1"/>
  <c r="BB1031"/>
  <c r="AR222" i="6"/>
  <c r="AV221"/>
  <c r="AS222" l="1"/>
  <c r="AT222"/>
  <c r="AU222" s="1"/>
  <c r="BD1032" i="5"/>
  <c r="BF1032" s="1"/>
  <c r="BA1033"/>
  <c r="BB1032"/>
  <c r="BK1032"/>
  <c r="BL1032" s="1"/>
  <c r="BE1032"/>
  <c r="BG1032" s="1"/>
  <c r="BI1032"/>
  <c r="BJ1032" s="1"/>
  <c r="AZ1032"/>
  <c r="BZ1056" i="6"/>
  <c r="BY1057"/>
  <c r="BW1056"/>
  <c r="BV1056"/>
  <c r="AY1034" i="4"/>
  <c r="BA1034" s="1"/>
  <c r="BF1034"/>
  <c r="BG1034" s="1"/>
  <c r="AZ1034"/>
  <c r="BB1034" s="1"/>
  <c r="AU1034"/>
  <c r="AV1035"/>
  <c r="AW1034"/>
  <c r="BD1034" s="1"/>
  <c r="BE1034" s="1"/>
  <c r="AR223" i="6" l="1"/>
  <c r="AV222"/>
  <c r="BF1035" i="4"/>
  <c r="BG1035" s="1"/>
  <c r="AW1035"/>
  <c r="AY1035"/>
  <c r="BA1035" s="1"/>
  <c r="AZ1035"/>
  <c r="BB1035" s="1"/>
  <c r="AV1036"/>
  <c r="BD1035"/>
  <c r="BE1035" s="1"/>
  <c r="AU1035"/>
  <c r="BY1058" i="6"/>
  <c r="BZ1057"/>
  <c r="BW1057" s="1"/>
  <c r="BV1057"/>
  <c r="BK1033" i="5"/>
  <c r="BL1033" s="1"/>
  <c r="BD1033"/>
  <c r="BF1033" s="1"/>
  <c r="BA1034"/>
  <c r="BE1033"/>
  <c r="BG1033" s="1"/>
  <c r="AZ1033"/>
  <c r="BB1033"/>
  <c r="BI1033" s="1"/>
  <c r="BJ1033" s="1"/>
  <c r="BB1034" l="1"/>
  <c r="AZ1034"/>
  <c r="BE1034"/>
  <c r="BG1034" s="1"/>
  <c r="BK1034"/>
  <c r="BL1034" s="1"/>
  <c r="BI1034"/>
  <c r="BJ1034" s="1"/>
  <c r="BA1035"/>
  <c r="BD1034"/>
  <c r="BF1034" s="1"/>
  <c r="BZ1058" i="6"/>
  <c r="BW1058" s="1"/>
  <c r="BV1058"/>
  <c r="BY1059"/>
  <c r="AW1036" i="4"/>
  <c r="AU1036"/>
  <c r="AZ1036"/>
  <c r="BB1036" s="1"/>
  <c r="BD1036"/>
  <c r="BE1036" s="1"/>
  <c r="AV1037"/>
  <c r="BF1036"/>
  <c r="BG1036" s="1"/>
  <c r="AY1036"/>
  <c r="BA1036" s="1"/>
  <c r="AS223" i="6"/>
  <c r="AT223"/>
  <c r="AU223" s="1"/>
  <c r="AZ1035" i="5" l="1"/>
  <c r="BE1035"/>
  <c r="BG1035" s="1"/>
  <c r="BA1036"/>
  <c r="BD1035"/>
  <c r="BF1035" s="1"/>
  <c r="BB1035"/>
  <c r="BI1035" s="1"/>
  <c r="BJ1035" s="1"/>
  <c r="BK1035"/>
  <c r="BL1035" s="1"/>
  <c r="AR224" i="6"/>
  <c r="AV223"/>
  <c r="BY1060"/>
  <c r="BZ1059"/>
  <c r="BV1059"/>
  <c r="BW1059"/>
  <c r="AU1037" i="4"/>
  <c r="AZ1037"/>
  <c r="BB1037" s="1"/>
  <c r="AV1038"/>
  <c r="AY1037"/>
  <c r="BA1037" s="1"/>
  <c r="AW1037"/>
  <c r="BD1037" s="1"/>
  <c r="BE1037" s="1"/>
  <c r="BF1037"/>
  <c r="BG1037" s="1"/>
  <c r="AY1038" l="1"/>
  <c r="BA1038" s="1"/>
  <c r="BF1038"/>
  <c r="BG1038" s="1"/>
  <c r="AW1038"/>
  <c r="BD1038" s="1"/>
  <c r="BE1038" s="1"/>
  <c r="AZ1038"/>
  <c r="BB1038" s="1"/>
  <c r="AV1039"/>
  <c r="AU1038"/>
  <c r="BZ1060" i="6"/>
  <c r="BY1061"/>
  <c r="BW1060"/>
  <c r="BV1060"/>
  <c r="AS224"/>
  <c r="AT224"/>
  <c r="AU224" s="1"/>
  <c r="BD1036" i="5"/>
  <c r="BF1036" s="1"/>
  <c r="BB1036"/>
  <c r="BK1036"/>
  <c r="BL1036" s="1"/>
  <c r="AZ1036"/>
  <c r="BI1036"/>
  <c r="BJ1036" s="1"/>
  <c r="BA1037"/>
  <c r="BE1036"/>
  <c r="BG1036" s="1"/>
  <c r="BF1039" i="4" l="1"/>
  <c r="BG1039" s="1"/>
  <c r="AW1039"/>
  <c r="BD1039" s="1"/>
  <c r="BE1039" s="1"/>
  <c r="AU1039"/>
  <c r="AZ1039"/>
  <c r="BB1039" s="1"/>
  <c r="AY1039"/>
  <c r="BA1039" s="1"/>
  <c r="AV1040"/>
  <c r="BY1062" i="6"/>
  <c r="BV1061"/>
  <c r="BZ1061"/>
  <c r="BW1061" s="1"/>
  <c r="BK1037" i="5"/>
  <c r="BL1037" s="1"/>
  <c r="BA1038"/>
  <c r="BB1037"/>
  <c r="BD1037"/>
  <c r="BF1037" s="1"/>
  <c r="BE1037"/>
  <c r="BG1037" s="1"/>
  <c r="AZ1037"/>
  <c r="BI1037"/>
  <c r="BJ1037" s="1"/>
  <c r="AR225" i="6"/>
  <c r="AV224"/>
  <c r="AS225" l="1"/>
  <c r="AT225"/>
  <c r="AU225" s="1"/>
  <c r="AW1040" i="4"/>
  <c r="AU1040"/>
  <c r="AZ1040"/>
  <c r="BB1040" s="1"/>
  <c r="BD1040"/>
  <c r="BE1040" s="1"/>
  <c r="AV1041"/>
  <c r="BF1040"/>
  <c r="BG1040" s="1"/>
  <c r="AY1040"/>
  <c r="BA1040" s="1"/>
  <c r="BB1038" i="5"/>
  <c r="BE1038"/>
  <c r="BG1038" s="1"/>
  <c r="BK1038"/>
  <c r="BL1038" s="1"/>
  <c r="BD1038"/>
  <c r="BF1038" s="1"/>
  <c r="BI1038"/>
  <c r="BJ1038" s="1"/>
  <c r="AZ1038"/>
  <c r="BA1039"/>
  <c r="BZ1062" i="6"/>
  <c r="BW1062" s="1"/>
  <c r="BY1063"/>
  <c r="BV1062"/>
  <c r="AR226" l="1"/>
  <c r="AV225"/>
  <c r="BY1064"/>
  <c r="BZ1063"/>
  <c r="BV1063"/>
  <c r="BW1063"/>
  <c r="AU1041" i="4"/>
  <c r="AZ1041"/>
  <c r="BB1041" s="1"/>
  <c r="AV1042"/>
  <c r="AY1041"/>
  <c r="BA1041" s="1"/>
  <c r="BF1041"/>
  <c r="BG1041" s="1"/>
  <c r="AW1041"/>
  <c r="BD1041" s="1"/>
  <c r="BE1041" s="1"/>
  <c r="AZ1039" i="5"/>
  <c r="BE1039"/>
  <c r="BG1039" s="1"/>
  <c r="BI1039"/>
  <c r="BJ1039" s="1"/>
  <c r="BA1040"/>
  <c r="BB1039"/>
  <c r="BD1039"/>
  <c r="BF1039" s="1"/>
  <c r="BK1039"/>
  <c r="BL1039" s="1"/>
  <c r="BD1040" l="1"/>
  <c r="BF1040" s="1"/>
  <c r="AZ1040"/>
  <c r="BE1040"/>
  <c r="BG1040" s="1"/>
  <c r="BB1040"/>
  <c r="BI1040" s="1"/>
  <c r="BJ1040" s="1"/>
  <c r="BK1040"/>
  <c r="BL1040" s="1"/>
  <c r="BA1041"/>
  <c r="AS226" i="6"/>
  <c r="AT226"/>
  <c r="AU226" s="1"/>
  <c r="AY1042" i="4"/>
  <c r="BA1042" s="1"/>
  <c r="BF1042"/>
  <c r="BG1042" s="1"/>
  <c r="AZ1042"/>
  <c r="BB1042" s="1"/>
  <c r="AU1042"/>
  <c r="AV1043"/>
  <c r="BD1042"/>
  <c r="BE1042" s="1"/>
  <c r="AW1042"/>
  <c r="BZ1064" i="6"/>
  <c r="BW1064" s="1"/>
  <c r="BY1065"/>
  <c r="BV1064"/>
  <c r="BY1066" l="1"/>
  <c r="BW1065"/>
  <c r="BZ1065"/>
  <c r="BV1065"/>
  <c r="BF1043" i="4"/>
  <c r="BG1043" s="1"/>
  <c r="AW1043"/>
  <c r="BD1043" s="1"/>
  <c r="BE1043" s="1"/>
  <c r="AY1043"/>
  <c r="BA1043" s="1"/>
  <c r="AZ1043"/>
  <c r="BB1043" s="1"/>
  <c r="AV1044"/>
  <c r="AU1043"/>
  <c r="BK1041" i="5"/>
  <c r="BL1041" s="1"/>
  <c r="BB1041"/>
  <c r="AZ1041"/>
  <c r="BE1041"/>
  <c r="BG1041" s="1"/>
  <c r="BD1041"/>
  <c r="BF1041" s="1"/>
  <c r="BI1041"/>
  <c r="BJ1041" s="1"/>
  <c r="BA1042"/>
  <c r="AR227" i="6"/>
  <c r="AV226"/>
  <c r="BB1042" i="5" l="1"/>
  <c r="BI1042" s="1"/>
  <c r="BJ1042" s="1"/>
  <c r="BD1042"/>
  <c r="BF1042" s="1"/>
  <c r="BA1043"/>
  <c r="AZ1042"/>
  <c r="BK1042"/>
  <c r="BL1042" s="1"/>
  <c r="BE1042"/>
  <c r="BG1042" s="1"/>
  <c r="AW1044" i="4"/>
  <c r="AU1044"/>
  <c r="AZ1044"/>
  <c r="BB1044" s="1"/>
  <c r="BD1044"/>
  <c r="BE1044" s="1"/>
  <c r="AV1045"/>
  <c r="AY1044"/>
  <c r="BA1044" s="1"/>
  <c r="BF1044"/>
  <c r="BG1044" s="1"/>
  <c r="BZ1066" i="6"/>
  <c r="BV1066"/>
  <c r="BW1066"/>
  <c r="BY1067"/>
  <c r="AS227"/>
  <c r="AT227"/>
  <c r="AU227" s="1"/>
  <c r="BY1068" l="1"/>
  <c r="BZ1067"/>
  <c r="BW1067" s="1"/>
  <c r="BV1067"/>
  <c r="AR228"/>
  <c r="AV227"/>
  <c r="AU1045" i="4"/>
  <c r="AZ1045"/>
  <c r="BB1045" s="1"/>
  <c r="BD1045"/>
  <c r="BE1045" s="1"/>
  <c r="AV1046"/>
  <c r="AY1045"/>
  <c r="BA1045" s="1"/>
  <c r="AW1045"/>
  <c r="BF1045"/>
  <c r="BG1045" s="1"/>
  <c r="AZ1043" i="5"/>
  <c r="BE1043"/>
  <c r="BG1043" s="1"/>
  <c r="BA1044"/>
  <c r="BB1043"/>
  <c r="BI1043" s="1"/>
  <c r="BJ1043" s="1"/>
  <c r="BK1043"/>
  <c r="BL1043" s="1"/>
  <c r="BD1043"/>
  <c r="BF1043" s="1"/>
  <c r="BD1044" l="1"/>
  <c r="BF1044" s="1"/>
  <c r="BE1044"/>
  <c r="BG1044" s="1"/>
  <c r="BA1045"/>
  <c r="BB1044"/>
  <c r="BI1044" s="1"/>
  <c r="BJ1044" s="1"/>
  <c r="BK1044"/>
  <c r="BL1044" s="1"/>
  <c r="AZ1044"/>
  <c r="AT228" i="6"/>
  <c r="AU228" s="1"/>
  <c r="AS228"/>
  <c r="AY1046" i="4"/>
  <c r="BA1046" s="1"/>
  <c r="BF1046"/>
  <c r="BG1046" s="1"/>
  <c r="AW1046"/>
  <c r="BD1046" s="1"/>
  <c r="BE1046" s="1"/>
  <c r="AZ1046"/>
  <c r="BB1046" s="1"/>
  <c r="AU1046"/>
  <c r="AV1047"/>
  <c r="BZ1068" i="6"/>
  <c r="BW1068" s="1"/>
  <c r="BY1069"/>
  <c r="BV1068"/>
  <c r="BF1047" i="4" l="1"/>
  <c r="BG1047" s="1"/>
  <c r="AW1047"/>
  <c r="AU1047"/>
  <c r="BD1047"/>
  <c r="BE1047" s="1"/>
  <c r="AZ1047"/>
  <c r="BB1047" s="1"/>
  <c r="AY1047"/>
  <c r="BA1047" s="1"/>
  <c r="AV1048"/>
  <c r="AR229" i="6"/>
  <c r="AV228"/>
  <c r="BY1070"/>
  <c r="BW1069"/>
  <c r="BZ1069"/>
  <c r="BV1069"/>
  <c r="BK1045" i="5"/>
  <c r="BL1045" s="1"/>
  <c r="AZ1045"/>
  <c r="BE1045"/>
  <c r="BG1045" s="1"/>
  <c r="BD1045"/>
  <c r="BF1045" s="1"/>
  <c r="BA1046"/>
  <c r="BB1045"/>
  <c r="BI1045" s="1"/>
  <c r="BJ1045" s="1"/>
  <c r="BZ1070" i="6" l="1"/>
  <c r="BW1070" s="1"/>
  <c r="BY1071"/>
  <c r="BV1070"/>
  <c r="BB1046" i="5"/>
  <c r="BI1046" s="1"/>
  <c r="BJ1046" s="1"/>
  <c r="BA1047"/>
  <c r="AZ1046"/>
  <c r="BK1046"/>
  <c r="BL1046" s="1"/>
  <c r="BD1046"/>
  <c r="BF1046" s="1"/>
  <c r="BE1046"/>
  <c r="BG1046" s="1"/>
  <c r="AW1048" i="4"/>
  <c r="AU1048"/>
  <c r="AZ1048"/>
  <c r="BB1048" s="1"/>
  <c r="BD1048"/>
  <c r="BE1048" s="1"/>
  <c r="AV1049"/>
  <c r="BF1048"/>
  <c r="BG1048" s="1"/>
  <c r="AY1048"/>
  <c r="BA1048" s="1"/>
  <c r="AS229" i="6"/>
  <c r="AT229"/>
  <c r="AU229" s="1"/>
  <c r="AZ1047" i="5" l="1"/>
  <c r="BE1047"/>
  <c r="BG1047" s="1"/>
  <c r="BA1048"/>
  <c r="BK1047"/>
  <c r="BL1047" s="1"/>
  <c r="BD1047"/>
  <c r="BF1047" s="1"/>
  <c r="BB1047"/>
  <c r="BI1047" s="1"/>
  <c r="BJ1047" s="1"/>
  <c r="AR230" i="6"/>
  <c r="AV229"/>
  <c r="BY1072"/>
  <c r="BZ1071"/>
  <c r="BV1071"/>
  <c r="BW1071"/>
  <c r="AU1049" i="4"/>
  <c r="AZ1049"/>
  <c r="BB1049" s="1"/>
  <c r="AV1050"/>
  <c r="AY1049"/>
  <c r="BA1049" s="1"/>
  <c r="BF1049"/>
  <c r="BG1049" s="1"/>
  <c r="AW1049"/>
  <c r="BD1049" s="1"/>
  <c r="BE1049" s="1"/>
  <c r="AY1050" l="1"/>
  <c r="BA1050" s="1"/>
  <c r="BF1050"/>
  <c r="BG1050" s="1"/>
  <c r="AZ1050"/>
  <c r="BB1050" s="1"/>
  <c r="AU1050"/>
  <c r="AV1051"/>
  <c r="AW1050"/>
  <c r="BD1050" s="1"/>
  <c r="BE1050" s="1"/>
  <c r="BZ1072" i="6"/>
  <c r="BW1072" s="1"/>
  <c r="BY1073"/>
  <c r="BV1072"/>
  <c r="AS230"/>
  <c r="AT230"/>
  <c r="AU230" s="1"/>
  <c r="BD1048" i="5"/>
  <c r="BF1048" s="1"/>
  <c r="BA1049"/>
  <c r="BB1048"/>
  <c r="BK1048"/>
  <c r="BL1048" s="1"/>
  <c r="AZ1048"/>
  <c r="BI1048"/>
  <c r="BJ1048" s="1"/>
  <c r="BE1048"/>
  <c r="BG1048" s="1"/>
  <c r="BY1074" i="6" l="1"/>
  <c r="BZ1073"/>
  <c r="BW1073" s="1"/>
  <c r="BV1073"/>
  <c r="BK1049" i="5"/>
  <c r="BL1049" s="1"/>
  <c r="BD1049"/>
  <c r="BF1049" s="1"/>
  <c r="BA1050"/>
  <c r="BB1049"/>
  <c r="BI1049" s="1"/>
  <c r="BJ1049" s="1"/>
  <c r="BE1049"/>
  <c r="BG1049" s="1"/>
  <c r="AZ1049"/>
  <c r="BF1051" i="4"/>
  <c r="BG1051" s="1"/>
  <c r="AW1051"/>
  <c r="AY1051"/>
  <c r="BA1051" s="1"/>
  <c r="AZ1051"/>
  <c r="BB1051" s="1"/>
  <c r="AV1052"/>
  <c r="BD1051"/>
  <c r="BE1051" s="1"/>
  <c r="AU1051"/>
  <c r="AR231" i="6"/>
  <c r="AV230"/>
  <c r="AS231" l="1"/>
  <c r="AT231"/>
  <c r="AU231" s="1"/>
  <c r="BZ1074"/>
  <c r="BV1074"/>
  <c r="BW1074"/>
  <c r="BY1075"/>
  <c r="AW1052" i="4"/>
  <c r="AU1052"/>
  <c r="AZ1052"/>
  <c r="BB1052" s="1"/>
  <c r="BD1052"/>
  <c r="BE1052" s="1"/>
  <c r="AV1053"/>
  <c r="BF1052"/>
  <c r="BG1052" s="1"/>
  <c r="AY1052"/>
  <c r="BA1052" s="1"/>
  <c r="BB1050" i="5"/>
  <c r="AZ1050"/>
  <c r="BE1050"/>
  <c r="BG1050" s="1"/>
  <c r="BK1050"/>
  <c r="BL1050" s="1"/>
  <c r="BD1050"/>
  <c r="BF1050" s="1"/>
  <c r="BA1051"/>
  <c r="BI1050"/>
  <c r="BJ1050" s="1"/>
  <c r="BY1076" i="6" l="1"/>
  <c r="BZ1075"/>
  <c r="BW1075" s="1"/>
  <c r="BV1075"/>
  <c r="AZ1051" i="5"/>
  <c r="BE1051"/>
  <c r="BG1051" s="1"/>
  <c r="BA1052"/>
  <c r="BD1051"/>
  <c r="BF1051" s="1"/>
  <c r="BB1051"/>
  <c r="BI1051" s="1"/>
  <c r="BJ1051" s="1"/>
  <c r="BK1051"/>
  <c r="BL1051" s="1"/>
  <c r="AU1053" i="4"/>
  <c r="AZ1053"/>
  <c r="BB1053" s="1"/>
  <c r="BD1053"/>
  <c r="BE1053" s="1"/>
  <c r="AV1054"/>
  <c r="AY1053"/>
  <c r="BA1053" s="1"/>
  <c r="AW1053"/>
  <c r="BF1053"/>
  <c r="BG1053" s="1"/>
  <c r="AR232" i="6"/>
  <c r="AV231"/>
  <c r="BZ1076" l="1"/>
  <c r="BW1076" s="1"/>
  <c r="BY1077"/>
  <c r="BV1076"/>
  <c r="AS232"/>
  <c r="AT232"/>
  <c r="AU232" s="1"/>
  <c r="AY1054" i="4"/>
  <c r="BA1054" s="1"/>
  <c r="BF1054"/>
  <c r="BG1054" s="1"/>
  <c r="AW1054"/>
  <c r="BD1054" s="1"/>
  <c r="BE1054" s="1"/>
  <c r="AU1054"/>
  <c r="AZ1054"/>
  <c r="BB1054" s="1"/>
  <c r="AV1055"/>
  <c r="BD1052" i="5"/>
  <c r="BF1052" s="1"/>
  <c r="BB1052"/>
  <c r="BI1052" s="1"/>
  <c r="BJ1052" s="1"/>
  <c r="BK1052"/>
  <c r="BL1052" s="1"/>
  <c r="AZ1052"/>
  <c r="BE1052"/>
  <c r="BG1052" s="1"/>
  <c r="BA1053"/>
  <c r="BY1078" i="6" l="1"/>
  <c r="BV1077"/>
  <c r="BZ1077"/>
  <c r="BW1077" s="1"/>
  <c r="BF1055" i="4"/>
  <c r="BG1055" s="1"/>
  <c r="AW1055"/>
  <c r="AU1055"/>
  <c r="BD1055"/>
  <c r="BE1055" s="1"/>
  <c r="AZ1055"/>
  <c r="BB1055" s="1"/>
  <c r="AV1056"/>
  <c r="AY1055"/>
  <c r="BA1055" s="1"/>
  <c r="BK1053" i="5"/>
  <c r="BL1053" s="1"/>
  <c r="BA1054"/>
  <c r="BB1053"/>
  <c r="AZ1053"/>
  <c r="BI1053"/>
  <c r="BJ1053" s="1"/>
  <c r="BE1053"/>
  <c r="BG1053" s="1"/>
  <c r="BD1053"/>
  <c r="BF1053" s="1"/>
  <c r="AR233" i="6"/>
  <c r="AV232"/>
  <c r="AS233" l="1"/>
  <c r="AT233"/>
  <c r="AU233" s="1"/>
  <c r="BB1054" i="5"/>
  <c r="BE1054"/>
  <c r="BG1054" s="1"/>
  <c r="BK1054"/>
  <c r="BL1054" s="1"/>
  <c r="BD1054"/>
  <c r="BF1054" s="1"/>
  <c r="BI1054"/>
  <c r="BJ1054" s="1"/>
  <c r="BA1055"/>
  <c r="AZ1054"/>
  <c r="BZ1078" i="6"/>
  <c r="BY1079"/>
  <c r="BV1078"/>
  <c r="BW1078"/>
  <c r="AW1056" i="4"/>
  <c r="AU1056"/>
  <c r="AZ1056"/>
  <c r="BB1056" s="1"/>
  <c r="BD1056"/>
  <c r="BE1056" s="1"/>
  <c r="AV1057"/>
  <c r="BF1056"/>
  <c r="BG1056" s="1"/>
  <c r="AY1056"/>
  <c r="BA1056" s="1"/>
  <c r="AR234" i="6" l="1"/>
  <c r="AV233"/>
  <c r="AU1057" i="4"/>
  <c r="AZ1057"/>
  <c r="BB1057" s="1"/>
  <c r="AV1058"/>
  <c r="AY1057"/>
  <c r="BA1057" s="1"/>
  <c r="BF1057"/>
  <c r="BG1057" s="1"/>
  <c r="AW1057"/>
  <c r="BD1057" s="1"/>
  <c r="BE1057" s="1"/>
  <c r="BY1080" i="6"/>
  <c r="BZ1079"/>
  <c r="BV1079"/>
  <c r="BW1079"/>
  <c r="AZ1055" i="5"/>
  <c r="BE1055"/>
  <c r="BG1055" s="1"/>
  <c r="BA1056"/>
  <c r="BB1055"/>
  <c r="BI1055" s="1"/>
  <c r="BJ1055" s="1"/>
  <c r="BK1055"/>
  <c r="BL1055" s="1"/>
  <c r="BD1055"/>
  <c r="BF1055" s="1"/>
  <c r="AS234" i="6" l="1"/>
  <c r="AT234"/>
  <c r="AU234" s="1"/>
  <c r="BZ1080"/>
  <c r="BY1081"/>
  <c r="BW1080"/>
  <c r="BV1080"/>
  <c r="AY1058" i="4"/>
  <c r="BA1058" s="1"/>
  <c r="BF1058"/>
  <c r="BG1058" s="1"/>
  <c r="AZ1058"/>
  <c r="BB1058" s="1"/>
  <c r="AU1058"/>
  <c r="AV1059"/>
  <c r="AW1058"/>
  <c r="BD1058"/>
  <c r="BE1058" s="1"/>
  <c r="BD1056" i="5"/>
  <c r="BF1056" s="1"/>
  <c r="AZ1056"/>
  <c r="BE1056"/>
  <c r="BG1056" s="1"/>
  <c r="BI1056"/>
  <c r="BJ1056" s="1"/>
  <c r="BA1057"/>
  <c r="BB1056"/>
  <c r="BK1056"/>
  <c r="BL1056" s="1"/>
  <c r="AR235" i="6" l="1"/>
  <c r="AV234"/>
  <c r="BK1057" i="5"/>
  <c r="BL1057" s="1"/>
  <c r="BB1057"/>
  <c r="AZ1057"/>
  <c r="BE1057"/>
  <c r="BG1057" s="1"/>
  <c r="BI1057"/>
  <c r="BJ1057" s="1"/>
  <c r="BA1058"/>
  <c r="BD1057"/>
  <c r="BF1057" s="1"/>
  <c r="BF1059" i="4"/>
  <c r="BG1059" s="1"/>
  <c r="AW1059"/>
  <c r="AY1059"/>
  <c r="BA1059" s="1"/>
  <c r="AZ1059"/>
  <c r="BB1059" s="1"/>
  <c r="AV1060"/>
  <c r="AU1059"/>
  <c r="BD1059"/>
  <c r="BE1059" s="1"/>
  <c r="BY1082" i="6"/>
  <c r="BW1081"/>
  <c r="BZ1081"/>
  <c r="BV1081"/>
  <c r="BZ1082" l="1"/>
  <c r="BW1082" s="1"/>
  <c r="BV1082"/>
  <c r="BY1083"/>
  <c r="AS235"/>
  <c r="AT235"/>
  <c r="AU235" s="1"/>
  <c r="AW1060" i="4"/>
  <c r="AU1060"/>
  <c r="AZ1060"/>
  <c r="BB1060" s="1"/>
  <c r="BD1060"/>
  <c r="BE1060" s="1"/>
  <c r="AV1061"/>
  <c r="AY1060"/>
  <c r="BA1060" s="1"/>
  <c r="BF1060"/>
  <c r="BG1060" s="1"/>
  <c r="BB1058" i="5"/>
  <c r="BI1058" s="1"/>
  <c r="BJ1058" s="1"/>
  <c r="BD1058"/>
  <c r="BF1058" s="1"/>
  <c r="BA1059"/>
  <c r="BE1058"/>
  <c r="BG1058" s="1"/>
  <c r="AZ1058"/>
  <c r="BK1058"/>
  <c r="BL1058" s="1"/>
  <c r="AR236" i="6" l="1"/>
  <c r="AV235"/>
  <c r="AU1061" i="4"/>
  <c r="AZ1061"/>
  <c r="BB1061" s="1"/>
  <c r="BD1061"/>
  <c r="BE1061" s="1"/>
  <c r="AV1062"/>
  <c r="AY1061"/>
  <c r="BA1061" s="1"/>
  <c r="AW1061"/>
  <c r="BF1061"/>
  <c r="BG1061" s="1"/>
  <c r="AZ1059" i="5"/>
  <c r="BE1059"/>
  <c r="BG1059" s="1"/>
  <c r="BA1060"/>
  <c r="BB1059"/>
  <c r="BI1059" s="1"/>
  <c r="BJ1059" s="1"/>
  <c r="BK1059"/>
  <c r="BL1059" s="1"/>
  <c r="BD1059"/>
  <c r="BF1059" s="1"/>
  <c r="BY1084" i="6"/>
  <c r="BZ1083"/>
  <c r="BW1083" s="1"/>
  <c r="BV1083"/>
  <c r="BZ1084" l="1"/>
  <c r="BW1084" s="1"/>
  <c r="BY1085"/>
  <c r="BV1084"/>
  <c r="BD1060" i="5"/>
  <c r="BF1060" s="1"/>
  <c r="BE1060"/>
  <c r="BG1060" s="1"/>
  <c r="BA1061"/>
  <c r="BK1060"/>
  <c r="BL1060" s="1"/>
  <c r="AZ1060"/>
  <c r="BB1060"/>
  <c r="BI1060" s="1"/>
  <c r="BJ1060" s="1"/>
  <c r="AT236" i="6"/>
  <c r="AU236" s="1"/>
  <c r="AS236"/>
  <c r="AY1062" i="4"/>
  <c r="BA1062" s="1"/>
  <c r="BF1062"/>
  <c r="BG1062" s="1"/>
  <c r="AW1062"/>
  <c r="BD1062" s="1"/>
  <c r="BE1062" s="1"/>
  <c r="AZ1062"/>
  <c r="BB1062" s="1"/>
  <c r="AU1062"/>
  <c r="AV1063"/>
  <c r="AR237" i="6" l="1"/>
  <c r="AV236"/>
  <c r="BY1086"/>
  <c r="BZ1085"/>
  <c r="BW1085" s="1"/>
  <c r="BV1085"/>
  <c r="BF1063" i="4"/>
  <c r="BG1063" s="1"/>
  <c r="AW1063"/>
  <c r="AU1063"/>
  <c r="BD1063"/>
  <c r="BE1063" s="1"/>
  <c r="AZ1063"/>
  <c r="BB1063" s="1"/>
  <c r="AY1063"/>
  <c r="BA1063" s="1"/>
  <c r="AV1064"/>
  <c r="BK1061" i="5"/>
  <c r="BL1061" s="1"/>
  <c r="AZ1061"/>
  <c r="BE1061"/>
  <c r="BG1061" s="1"/>
  <c r="BD1061"/>
  <c r="BF1061" s="1"/>
  <c r="BB1061"/>
  <c r="BI1061" s="1"/>
  <c r="BJ1061" s="1"/>
  <c r="BA1062"/>
  <c r="AS237" i="6" l="1"/>
  <c r="AT237"/>
  <c r="AU237" s="1"/>
  <c r="BZ1086"/>
  <c r="BY1087"/>
  <c r="BV1086"/>
  <c r="BW1086"/>
  <c r="AW1064" i="4"/>
  <c r="AU1064"/>
  <c r="AZ1064"/>
  <c r="BB1064" s="1"/>
  <c r="BD1064"/>
  <c r="BE1064" s="1"/>
  <c r="AV1065"/>
  <c r="BF1064"/>
  <c r="BG1064" s="1"/>
  <c r="AY1064"/>
  <c r="BA1064" s="1"/>
  <c r="BB1062" i="5"/>
  <c r="BI1062" s="1"/>
  <c r="BJ1062" s="1"/>
  <c r="BA1063"/>
  <c r="AZ1062"/>
  <c r="BD1062"/>
  <c r="BF1062" s="1"/>
  <c r="BK1062"/>
  <c r="BL1062" s="1"/>
  <c r="BE1062"/>
  <c r="BG1062" s="1"/>
  <c r="AR238" i="6" l="1"/>
  <c r="AV237"/>
  <c r="AZ1063" i="5"/>
  <c r="BE1063"/>
  <c r="BG1063" s="1"/>
  <c r="BA1064"/>
  <c r="BK1063"/>
  <c r="BL1063" s="1"/>
  <c r="BD1063"/>
  <c r="BF1063" s="1"/>
  <c r="BB1063"/>
  <c r="BI1063" s="1"/>
  <c r="BJ1063" s="1"/>
  <c r="AU1065" i="4"/>
  <c r="AZ1065"/>
  <c r="BB1065" s="1"/>
  <c r="AV1066"/>
  <c r="AY1065"/>
  <c r="BA1065" s="1"/>
  <c r="BF1065"/>
  <c r="BG1065" s="1"/>
  <c r="AW1065"/>
  <c r="BD1065" s="1"/>
  <c r="BE1065" s="1"/>
  <c r="BY1088" i="6"/>
  <c r="BZ1087"/>
  <c r="BW1087" s="1"/>
  <c r="BV1087"/>
  <c r="BD1064" i="5" l="1"/>
  <c r="BF1064" s="1"/>
  <c r="BA1065"/>
  <c r="BB1064"/>
  <c r="BK1064"/>
  <c r="BL1064" s="1"/>
  <c r="BE1064"/>
  <c r="BG1064" s="1"/>
  <c r="AZ1064"/>
  <c r="BI1064"/>
  <c r="BJ1064" s="1"/>
  <c r="BZ1088" i="6"/>
  <c r="BY1089"/>
  <c r="BW1088"/>
  <c r="BV1088"/>
  <c r="AS238"/>
  <c r="AT238"/>
  <c r="AU238" s="1"/>
  <c r="AY1066" i="4"/>
  <c r="BA1066" s="1"/>
  <c r="BF1066"/>
  <c r="BG1066" s="1"/>
  <c r="AZ1066"/>
  <c r="BB1066" s="1"/>
  <c r="AU1066"/>
  <c r="AV1067"/>
  <c r="BD1066"/>
  <c r="BE1066" s="1"/>
  <c r="AW1066"/>
  <c r="BY1090" i="6" l="1"/>
  <c r="BZ1089"/>
  <c r="BW1089" s="1"/>
  <c r="BV1089"/>
  <c r="BK1065" i="5"/>
  <c r="BL1065" s="1"/>
  <c r="BD1065"/>
  <c r="BF1065" s="1"/>
  <c r="BA1066"/>
  <c r="BE1065"/>
  <c r="BG1065" s="1"/>
  <c r="AZ1065"/>
  <c r="BB1065"/>
  <c r="BI1065" s="1"/>
  <c r="BJ1065" s="1"/>
  <c r="BF1067" i="4"/>
  <c r="BG1067" s="1"/>
  <c r="AW1067"/>
  <c r="AY1067"/>
  <c r="BA1067" s="1"/>
  <c r="AZ1067"/>
  <c r="BB1067" s="1"/>
  <c r="AV1068"/>
  <c r="BD1067"/>
  <c r="BE1067" s="1"/>
  <c r="AU1067"/>
  <c r="AR239" i="6"/>
  <c r="AV238"/>
  <c r="BZ1090" l="1"/>
  <c r="BW1090" s="1"/>
  <c r="BV1090"/>
  <c r="BY1091"/>
  <c r="AS239"/>
  <c r="AT239"/>
  <c r="AU239" s="1"/>
  <c r="AW1068" i="4"/>
  <c r="AU1068"/>
  <c r="AZ1068"/>
  <c r="BB1068" s="1"/>
  <c r="BD1068"/>
  <c r="BE1068" s="1"/>
  <c r="AV1069"/>
  <c r="BF1068"/>
  <c r="BG1068" s="1"/>
  <c r="AY1068"/>
  <c r="BA1068" s="1"/>
  <c r="BB1066" i="5"/>
  <c r="AZ1066"/>
  <c r="BE1066"/>
  <c r="BG1066" s="1"/>
  <c r="BK1066"/>
  <c r="BL1066" s="1"/>
  <c r="BI1066"/>
  <c r="BJ1066" s="1"/>
  <c r="BA1067"/>
  <c r="BD1066"/>
  <c r="BF1066" s="1"/>
  <c r="AR240" i="6" l="1"/>
  <c r="AV239"/>
  <c r="AZ1067" i="5"/>
  <c r="BE1067"/>
  <c r="BG1067" s="1"/>
  <c r="BI1067"/>
  <c r="BJ1067" s="1"/>
  <c r="BA1068"/>
  <c r="BD1067"/>
  <c r="BF1067" s="1"/>
  <c r="BK1067"/>
  <c r="BL1067" s="1"/>
  <c r="BB1067"/>
  <c r="AU1069" i="4"/>
  <c r="AZ1069"/>
  <c r="BB1069" s="1"/>
  <c r="AV1070"/>
  <c r="AY1069"/>
  <c r="BA1069" s="1"/>
  <c r="AW1069"/>
  <c r="BD1069" s="1"/>
  <c r="BE1069" s="1"/>
  <c r="BF1069"/>
  <c r="BG1069" s="1"/>
  <c r="BY1092" i="6"/>
  <c r="BZ1091"/>
  <c r="BW1091" s="1"/>
  <c r="BV1091"/>
  <c r="BZ1092" l="1"/>
  <c r="BW1092" s="1"/>
  <c r="BY1093"/>
  <c r="BV1092"/>
  <c r="AY1070" i="4"/>
  <c r="BA1070" s="1"/>
  <c r="BF1070"/>
  <c r="BG1070" s="1"/>
  <c r="AW1070"/>
  <c r="BD1070"/>
  <c r="BE1070" s="1"/>
  <c r="AU1070"/>
  <c r="AZ1070"/>
  <c r="BB1070" s="1"/>
  <c r="AV1071"/>
  <c r="AS240" i="6"/>
  <c r="AT240"/>
  <c r="AU240" s="1"/>
  <c r="BD1068" i="5"/>
  <c r="BF1068" s="1"/>
  <c r="BB1068"/>
  <c r="BK1068"/>
  <c r="BL1068" s="1"/>
  <c r="AZ1068"/>
  <c r="BI1068"/>
  <c r="BJ1068" s="1"/>
  <c r="BA1069"/>
  <c r="BE1068"/>
  <c r="BG1068" s="1"/>
  <c r="BY1094" i="6" l="1"/>
  <c r="BV1093"/>
  <c r="BZ1093"/>
  <c r="BW1093" s="1"/>
  <c r="BK1069" i="5"/>
  <c r="BL1069" s="1"/>
  <c r="BA1070"/>
  <c r="BB1069"/>
  <c r="BI1069" s="1"/>
  <c r="BJ1069" s="1"/>
  <c r="BD1069"/>
  <c r="BF1069" s="1"/>
  <c r="BE1069"/>
  <c r="BG1069" s="1"/>
  <c r="AZ1069"/>
  <c r="BF1071" i="4"/>
  <c r="BG1071" s="1"/>
  <c r="AW1071"/>
  <c r="BD1071" s="1"/>
  <c r="BE1071" s="1"/>
  <c r="AU1071"/>
  <c r="AZ1071"/>
  <c r="BB1071" s="1"/>
  <c r="AV1072"/>
  <c r="AY1071"/>
  <c r="BA1071" s="1"/>
  <c r="AV240" i="6"/>
  <c r="AR241"/>
  <c r="AS241" l="1"/>
  <c r="AT241"/>
  <c r="AU241" s="1"/>
  <c r="AW1072" i="4"/>
  <c r="AU1072"/>
  <c r="AZ1072"/>
  <c r="BB1072" s="1"/>
  <c r="BD1072"/>
  <c r="BE1072" s="1"/>
  <c r="AV1073"/>
  <c r="BF1072"/>
  <c r="BG1072" s="1"/>
  <c r="AY1072"/>
  <c r="BA1072" s="1"/>
  <c r="BZ1094" i="6"/>
  <c r="BY1095"/>
  <c r="BV1094"/>
  <c r="BW1094"/>
  <c r="BB1070" i="5"/>
  <c r="BE1070"/>
  <c r="BG1070" s="1"/>
  <c r="BK1070"/>
  <c r="BL1070" s="1"/>
  <c r="BD1070"/>
  <c r="BF1070" s="1"/>
  <c r="BI1070"/>
  <c r="BJ1070" s="1"/>
  <c r="AZ1070"/>
  <c r="BA1071"/>
  <c r="AR242" i="6" l="1"/>
  <c r="AV241"/>
  <c r="BY1096"/>
  <c r="BZ1095"/>
  <c r="BV1095"/>
  <c r="BW1095"/>
  <c r="AU1073" i="4"/>
  <c r="AZ1073"/>
  <c r="BB1073" s="1"/>
  <c r="AV1074"/>
  <c r="AY1073"/>
  <c r="BA1073" s="1"/>
  <c r="BF1073"/>
  <c r="BG1073" s="1"/>
  <c r="AW1073"/>
  <c r="BD1073" s="1"/>
  <c r="BE1073" s="1"/>
  <c r="AZ1071" i="5"/>
  <c r="BE1071"/>
  <c r="BG1071" s="1"/>
  <c r="BA1072"/>
  <c r="BB1071"/>
  <c r="BI1071" s="1"/>
  <c r="BJ1071" s="1"/>
  <c r="BD1071"/>
  <c r="BF1071" s="1"/>
  <c r="BK1071"/>
  <c r="BL1071" s="1"/>
  <c r="AY1074" i="4" l="1"/>
  <c r="BA1074" s="1"/>
  <c r="BF1074"/>
  <c r="BG1074" s="1"/>
  <c r="AZ1074"/>
  <c r="BB1074" s="1"/>
  <c r="AU1074"/>
  <c r="AV1075"/>
  <c r="AW1074"/>
  <c r="BD1074" s="1"/>
  <c r="BE1074" s="1"/>
  <c r="AS242" i="6"/>
  <c r="AT242"/>
  <c r="AU242" s="1"/>
  <c r="BZ1096"/>
  <c r="BW1096" s="1"/>
  <c r="BY1097"/>
  <c r="BV1096"/>
  <c r="BD1072" i="5"/>
  <c r="BF1072" s="1"/>
  <c r="AZ1072"/>
  <c r="BE1072"/>
  <c r="BG1072" s="1"/>
  <c r="BI1072"/>
  <c r="BJ1072" s="1"/>
  <c r="BB1072"/>
  <c r="BK1072"/>
  <c r="BL1072" s="1"/>
  <c r="BA1073"/>
  <c r="BF1075" i="4" l="1"/>
  <c r="BG1075" s="1"/>
  <c r="AW1075"/>
  <c r="BD1075" s="1"/>
  <c r="BE1075" s="1"/>
  <c r="AY1075"/>
  <c r="BA1075" s="1"/>
  <c r="AZ1075"/>
  <c r="BB1075" s="1"/>
  <c r="AV1076"/>
  <c r="AU1075"/>
  <c r="BY1098" i="6"/>
  <c r="BZ1097"/>
  <c r="BW1097" s="1"/>
  <c r="BV1097"/>
  <c r="BK1073" i="5"/>
  <c r="BL1073" s="1"/>
  <c r="BB1073"/>
  <c r="AZ1073"/>
  <c r="BE1073"/>
  <c r="BG1073" s="1"/>
  <c r="BD1073"/>
  <c r="BF1073" s="1"/>
  <c r="BI1073"/>
  <c r="BJ1073" s="1"/>
  <c r="BA1074"/>
  <c r="AR243" i="6"/>
  <c r="AV242"/>
  <c r="AW1076" i="4" l="1"/>
  <c r="BD1076" s="1"/>
  <c r="BE1076" s="1"/>
  <c r="AU1076"/>
  <c r="AZ1076"/>
  <c r="BB1076" s="1"/>
  <c r="AV1077"/>
  <c r="AY1076"/>
  <c r="BA1076" s="1"/>
  <c r="BF1076"/>
  <c r="BG1076" s="1"/>
  <c r="BB1074" i="5"/>
  <c r="BD1074"/>
  <c r="BF1074" s="1"/>
  <c r="BI1074"/>
  <c r="BJ1074" s="1"/>
  <c r="BA1075"/>
  <c r="AZ1074"/>
  <c r="BK1074"/>
  <c r="BL1074" s="1"/>
  <c r="BE1074"/>
  <c r="BG1074" s="1"/>
  <c r="AS243" i="6"/>
  <c r="AT243"/>
  <c r="AU243" s="1"/>
  <c r="BZ1098"/>
  <c r="BW1098" s="1"/>
  <c r="BV1098"/>
  <c r="BY1099"/>
  <c r="BY1100" l="1"/>
  <c r="BZ1099"/>
  <c r="BW1099" s="1"/>
  <c r="BV1099"/>
  <c r="AU1077" i="4"/>
  <c r="AZ1077"/>
  <c r="BB1077" s="1"/>
  <c r="AV1078"/>
  <c r="AY1077"/>
  <c r="BA1077" s="1"/>
  <c r="AW1077"/>
  <c r="BD1077" s="1"/>
  <c r="BE1077" s="1"/>
  <c r="BF1077"/>
  <c r="BG1077" s="1"/>
  <c r="AR244" i="6"/>
  <c r="AV243"/>
  <c r="AZ1075" i="5"/>
  <c r="BE1075"/>
  <c r="BG1075" s="1"/>
  <c r="BA1076"/>
  <c r="BB1075"/>
  <c r="BI1075" s="1"/>
  <c r="BJ1075" s="1"/>
  <c r="BK1075"/>
  <c r="BL1075" s="1"/>
  <c r="BD1075"/>
  <c r="BF1075" s="1"/>
  <c r="BD1076" l="1"/>
  <c r="BF1076" s="1"/>
  <c r="BE1076"/>
  <c r="BG1076" s="1"/>
  <c r="BA1077"/>
  <c r="BB1076"/>
  <c r="BI1076" s="1"/>
  <c r="BJ1076" s="1"/>
  <c r="AZ1076"/>
  <c r="BK1076"/>
  <c r="BL1076" s="1"/>
  <c r="BZ1100" i="6"/>
  <c r="BY1101"/>
  <c r="BW1100"/>
  <c r="BV1100"/>
  <c r="AT244"/>
  <c r="AU244" s="1"/>
  <c r="AS244"/>
  <c r="AY1078" i="4"/>
  <c r="BA1078" s="1"/>
  <c r="BF1078"/>
  <c r="BG1078" s="1"/>
  <c r="AW1078"/>
  <c r="BD1078" s="1"/>
  <c r="BE1078" s="1"/>
  <c r="AZ1078"/>
  <c r="BB1078" s="1"/>
  <c r="AU1078"/>
  <c r="AV1079"/>
  <c r="BF1079" l="1"/>
  <c r="BG1079" s="1"/>
  <c r="AW1079"/>
  <c r="BD1079" s="1"/>
  <c r="BE1079" s="1"/>
  <c r="AU1079"/>
  <c r="AY1079"/>
  <c r="BA1079" s="1"/>
  <c r="AV1080"/>
  <c r="AZ1079"/>
  <c r="BB1079" s="1"/>
  <c r="AR245" i="6"/>
  <c r="AV244"/>
  <c r="BY1102"/>
  <c r="BW1101"/>
  <c r="BZ1101"/>
  <c r="BV1101"/>
  <c r="BK1077" i="5"/>
  <c r="BL1077" s="1"/>
  <c r="AZ1077"/>
  <c r="BE1077"/>
  <c r="BG1077" s="1"/>
  <c r="BD1077"/>
  <c r="BF1077" s="1"/>
  <c r="BA1078"/>
  <c r="BB1077"/>
  <c r="BI1077" s="1"/>
  <c r="BJ1077" s="1"/>
  <c r="BZ1102" i="6" l="1"/>
  <c r="BW1102" s="1"/>
  <c r="BY1103"/>
  <c r="BV1102"/>
  <c r="AW1080" i="4"/>
  <c r="BD1080" s="1"/>
  <c r="BE1080" s="1"/>
  <c r="AU1080"/>
  <c r="AZ1080"/>
  <c r="BB1080" s="1"/>
  <c r="AV1081"/>
  <c r="BF1080"/>
  <c r="BG1080" s="1"/>
  <c r="AY1080"/>
  <c r="BA1080" s="1"/>
  <c r="BB1078" i="5"/>
  <c r="BA1079"/>
  <c r="AZ1078"/>
  <c r="BI1078"/>
  <c r="BJ1078" s="1"/>
  <c r="BE1078"/>
  <c r="BG1078" s="1"/>
  <c r="BD1078"/>
  <c r="BF1078" s="1"/>
  <c r="BK1078"/>
  <c r="BL1078" s="1"/>
  <c r="AS245" i="6"/>
  <c r="AT245"/>
  <c r="AU245" s="1"/>
  <c r="AR246" l="1"/>
  <c r="AV245"/>
  <c r="AZ1079" i="5"/>
  <c r="BE1079"/>
  <c r="BG1079" s="1"/>
  <c r="BI1079"/>
  <c r="BJ1079" s="1"/>
  <c r="BA1080"/>
  <c r="BK1079"/>
  <c r="BL1079" s="1"/>
  <c r="BD1079"/>
  <c r="BF1079" s="1"/>
  <c r="BB1079"/>
  <c r="AU1081" i="4"/>
  <c r="AZ1081"/>
  <c r="BB1081" s="1"/>
  <c r="AV1082"/>
  <c r="AY1081"/>
  <c r="BA1081" s="1"/>
  <c r="BF1081"/>
  <c r="BG1081" s="1"/>
  <c r="AW1081"/>
  <c r="BD1081" s="1"/>
  <c r="BE1081" s="1"/>
  <c r="BY1104" i="6"/>
  <c r="BZ1103"/>
  <c r="BW1103" s="1"/>
  <c r="BV1103"/>
  <c r="BD1080" i="5" l="1"/>
  <c r="BF1080" s="1"/>
  <c r="BA1081"/>
  <c r="BB1080"/>
  <c r="BI1080" s="1"/>
  <c r="BJ1080" s="1"/>
  <c r="BK1080"/>
  <c r="BL1080" s="1"/>
  <c r="AZ1080"/>
  <c r="BE1080"/>
  <c r="BG1080" s="1"/>
  <c r="BZ1104" i="6"/>
  <c r="BW1104" s="1"/>
  <c r="BY1105"/>
  <c r="BV1104"/>
  <c r="AY1082" i="4"/>
  <c r="BA1082" s="1"/>
  <c r="BF1082"/>
  <c r="BG1082" s="1"/>
  <c r="AZ1082"/>
  <c r="BB1082" s="1"/>
  <c r="AU1082"/>
  <c r="AV1083"/>
  <c r="BD1082"/>
  <c r="BE1082" s="1"/>
  <c r="AW1082"/>
  <c r="AS246" i="6"/>
  <c r="AT246"/>
  <c r="AU246" s="1"/>
  <c r="BY1106" l="1"/>
  <c r="BW1105"/>
  <c r="BZ1105"/>
  <c r="BV1105"/>
  <c r="BK1081" i="5"/>
  <c r="BL1081" s="1"/>
  <c r="BD1081"/>
  <c r="BF1081" s="1"/>
  <c r="BA1082"/>
  <c r="BB1081"/>
  <c r="BI1081" s="1"/>
  <c r="BJ1081" s="1"/>
  <c r="AZ1081"/>
  <c r="BE1081"/>
  <c r="BG1081" s="1"/>
  <c r="AR247" i="6"/>
  <c r="AV246"/>
  <c r="BF1083" i="4"/>
  <c r="BG1083" s="1"/>
  <c r="AW1083"/>
  <c r="AY1083"/>
  <c r="BA1083" s="1"/>
  <c r="AZ1083"/>
  <c r="BB1083" s="1"/>
  <c r="AV1084"/>
  <c r="BD1083"/>
  <c r="BE1083" s="1"/>
  <c r="AU1083"/>
  <c r="BZ1106" i="6" l="1"/>
  <c r="BW1106" s="1"/>
  <c r="BV1106"/>
  <c r="BY1107"/>
  <c r="AW1084" i="4"/>
  <c r="BD1084" s="1"/>
  <c r="BE1084" s="1"/>
  <c r="AU1084"/>
  <c r="AZ1084"/>
  <c r="BB1084" s="1"/>
  <c r="AV1085"/>
  <c r="BF1084"/>
  <c r="BG1084" s="1"/>
  <c r="AY1084"/>
  <c r="BA1084" s="1"/>
  <c r="AS247" i="6"/>
  <c r="AT247"/>
  <c r="AU247" s="1"/>
  <c r="BB1082" i="5"/>
  <c r="AZ1082"/>
  <c r="BE1082"/>
  <c r="BG1082" s="1"/>
  <c r="BK1082"/>
  <c r="BL1082" s="1"/>
  <c r="BD1082"/>
  <c r="BF1082" s="1"/>
  <c r="BI1082"/>
  <c r="BJ1082" s="1"/>
  <c r="BA1083"/>
  <c r="AU1085" i="4" l="1"/>
  <c r="AZ1085"/>
  <c r="BB1085" s="1"/>
  <c r="AV1086"/>
  <c r="AY1085"/>
  <c r="BA1085" s="1"/>
  <c r="AW1085"/>
  <c r="BD1085" s="1"/>
  <c r="BE1085" s="1"/>
  <c r="BF1085"/>
  <c r="BG1085" s="1"/>
  <c r="AZ1083" i="5"/>
  <c r="BE1083"/>
  <c r="BG1083" s="1"/>
  <c r="BA1084"/>
  <c r="BD1083"/>
  <c r="BF1083" s="1"/>
  <c r="BB1083"/>
  <c r="BI1083" s="1"/>
  <c r="BJ1083" s="1"/>
  <c r="BK1083"/>
  <c r="BL1083" s="1"/>
  <c r="AR248" i="6"/>
  <c r="AV247"/>
  <c r="BY1108"/>
  <c r="BZ1107"/>
  <c r="BV1107"/>
  <c r="BW1107"/>
  <c r="BZ1108" l="1"/>
  <c r="BW1108" s="1"/>
  <c r="BY1109"/>
  <c r="BV1108"/>
  <c r="AS248"/>
  <c r="AT248"/>
  <c r="AU248" s="1"/>
  <c r="BD1084" i="5"/>
  <c r="BF1084" s="1"/>
  <c r="BB1084"/>
  <c r="BK1084"/>
  <c r="BL1084" s="1"/>
  <c r="AZ1084"/>
  <c r="BE1084"/>
  <c r="BG1084" s="1"/>
  <c r="BA1085"/>
  <c r="BI1084"/>
  <c r="BJ1084" s="1"/>
  <c r="AY1086" i="4"/>
  <c r="BA1086" s="1"/>
  <c r="BF1086"/>
  <c r="BG1086" s="1"/>
  <c r="AW1086"/>
  <c r="BD1086"/>
  <c r="BE1086" s="1"/>
  <c r="AZ1086"/>
  <c r="BB1086" s="1"/>
  <c r="AV1087"/>
  <c r="AU1086"/>
  <c r="BY1110" i="6" l="1"/>
  <c r="BW1109"/>
  <c r="BV1109"/>
  <c r="BZ1109"/>
  <c r="AR249"/>
  <c r="AV248"/>
  <c r="BF1087" i="4"/>
  <c r="BG1087" s="1"/>
  <c r="AW1087"/>
  <c r="AU1087"/>
  <c r="BD1087"/>
  <c r="BE1087" s="1"/>
  <c r="AZ1087"/>
  <c r="BB1087" s="1"/>
  <c r="AY1087"/>
  <c r="BA1087" s="1"/>
  <c r="AV1088"/>
  <c r="BK1085" i="5"/>
  <c r="BL1085" s="1"/>
  <c r="BA1086"/>
  <c r="BB1085"/>
  <c r="AZ1085"/>
  <c r="BI1085"/>
  <c r="BJ1085" s="1"/>
  <c r="BD1085"/>
  <c r="BF1085" s="1"/>
  <c r="BE1085"/>
  <c r="BG1085" s="1"/>
  <c r="BB1086" l="1"/>
  <c r="BE1086"/>
  <c r="BG1086" s="1"/>
  <c r="BK1086"/>
  <c r="BL1086" s="1"/>
  <c r="BD1086"/>
  <c r="BF1086" s="1"/>
  <c r="BI1086"/>
  <c r="BJ1086" s="1"/>
  <c r="BA1087"/>
  <c r="AZ1086"/>
  <c r="AW1088" i="4"/>
  <c r="AU1088"/>
  <c r="AZ1088"/>
  <c r="BB1088" s="1"/>
  <c r="BD1088"/>
  <c r="BE1088" s="1"/>
  <c r="AV1089"/>
  <c r="BF1088"/>
  <c r="BG1088" s="1"/>
  <c r="AY1088"/>
  <c r="BA1088" s="1"/>
  <c r="AS249" i="6"/>
  <c r="AT249"/>
  <c r="AU249" s="1"/>
  <c r="BZ1110"/>
  <c r="BY1111"/>
  <c r="BV1110"/>
  <c r="BW1110"/>
  <c r="BY1112" l="1"/>
  <c r="BZ1111"/>
  <c r="BW1111" s="1"/>
  <c r="BV1111"/>
  <c r="AZ1087" i="5"/>
  <c r="BE1087"/>
  <c r="BG1087" s="1"/>
  <c r="BA1088"/>
  <c r="BB1087"/>
  <c r="BI1087" s="1"/>
  <c r="BJ1087" s="1"/>
  <c r="BK1087"/>
  <c r="BL1087" s="1"/>
  <c r="BD1087"/>
  <c r="BF1087" s="1"/>
  <c r="AR250" i="6"/>
  <c r="AV249"/>
  <c r="AU1089" i="4"/>
  <c r="AZ1089"/>
  <c r="BB1089" s="1"/>
  <c r="AV1090"/>
  <c r="AY1089"/>
  <c r="BA1089" s="1"/>
  <c r="BF1089"/>
  <c r="BG1089" s="1"/>
  <c r="AW1089"/>
  <c r="BD1089" s="1"/>
  <c r="BE1089" s="1"/>
  <c r="AY1090" l="1"/>
  <c r="BA1090" s="1"/>
  <c r="BF1090"/>
  <c r="BG1090" s="1"/>
  <c r="AZ1090"/>
  <c r="BB1090" s="1"/>
  <c r="AU1090"/>
  <c r="AV1091"/>
  <c r="BD1090"/>
  <c r="BE1090" s="1"/>
  <c r="AW1090"/>
  <c r="BZ1112" i="6"/>
  <c r="BY1113"/>
  <c r="BW1112"/>
  <c r="BV1112"/>
  <c r="AS250"/>
  <c r="AT250"/>
  <c r="AU250" s="1"/>
  <c r="BD1088" i="5"/>
  <c r="BF1088" s="1"/>
  <c r="AZ1088"/>
  <c r="BE1088"/>
  <c r="BG1088" s="1"/>
  <c r="BI1088"/>
  <c r="BJ1088" s="1"/>
  <c r="BA1089"/>
  <c r="BK1088"/>
  <c r="BL1088" s="1"/>
  <c r="BB1088"/>
  <c r="BY1114" i="6" l="1"/>
  <c r="BZ1113"/>
  <c r="BW1113" s="1"/>
  <c r="BV1113"/>
  <c r="BF1091" i="4"/>
  <c r="BG1091" s="1"/>
  <c r="AW1091"/>
  <c r="AY1091"/>
  <c r="BA1091" s="1"/>
  <c r="AZ1091"/>
  <c r="BB1091" s="1"/>
  <c r="AV1092"/>
  <c r="AU1091"/>
  <c r="BD1091"/>
  <c r="BE1091" s="1"/>
  <c r="BK1089" i="5"/>
  <c r="BL1089" s="1"/>
  <c r="BB1089"/>
  <c r="AZ1089"/>
  <c r="BE1089"/>
  <c r="BG1089" s="1"/>
  <c r="BI1089"/>
  <c r="BJ1089" s="1"/>
  <c r="BA1090"/>
  <c r="BD1089"/>
  <c r="BF1089" s="1"/>
  <c r="AR251" i="6"/>
  <c r="AV250"/>
  <c r="BB1090" i="5" l="1"/>
  <c r="BI1090" s="1"/>
  <c r="BJ1090" s="1"/>
  <c r="BD1090"/>
  <c r="BF1090" s="1"/>
  <c r="BA1091"/>
  <c r="BE1090"/>
  <c r="BG1090" s="1"/>
  <c r="AZ1090"/>
  <c r="BK1090"/>
  <c r="BL1090" s="1"/>
  <c r="AW1092" i="4"/>
  <c r="AU1092"/>
  <c r="AZ1092"/>
  <c r="BB1092" s="1"/>
  <c r="BD1092"/>
  <c r="BE1092" s="1"/>
  <c r="AV1093"/>
  <c r="AY1092"/>
  <c r="BA1092" s="1"/>
  <c r="BF1092"/>
  <c r="BG1092" s="1"/>
  <c r="BZ1114" i="6"/>
  <c r="BV1114"/>
  <c r="BW1114"/>
  <c r="BY1115"/>
  <c r="AS251"/>
  <c r="AT251"/>
  <c r="AU251" s="1"/>
  <c r="BY1116" l="1"/>
  <c r="BZ1115"/>
  <c r="BW1115" s="1"/>
  <c r="BV1115"/>
  <c r="AR252"/>
  <c r="AV251"/>
  <c r="AU1093" i="4"/>
  <c r="AZ1093"/>
  <c r="BB1093" s="1"/>
  <c r="BD1093"/>
  <c r="BE1093" s="1"/>
  <c r="AV1094"/>
  <c r="AY1093"/>
  <c r="BA1093" s="1"/>
  <c r="AW1093"/>
  <c r="BF1093"/>
  <c r="BG1093" s="1"/>
  <c r="AZ1091" i="5"/>
  <c r="BE1091"/>
  <c r="BG1091" s="1"/>
  <c r="BA1092"/>
  <c r="BB1091"/>
  <c r="BI1091" s="1"/>
  <c r="BJ1091" s="1"/>
  <c r="BK1091"/>
  <c r="BL1091" s="1"/>
  <c r="BD1091"/>
  <c r="BF1091" s="1"/>
  <c r="BD1092" l="1"/>
  <c r="BF1092" s="1"/>
  <c r="BE1092"/>
  <c r="BG1092" s="1"/>
  <c r="BA1093"/>
  <c r="BK1092"/>
  <c r="BL1092" s="1"/>
  <c r="AZ1092"/>
  <c r="BB1092"/>
  <c r="BI1092" s="1"/>
  <c r="BJ1092" s="1"/>
  <c r="AT252" i="6"/>
  <c r="AU252" s="1"/>
  <c r="AS252"/>
  <c r="BZ1116"/>
  <c r="BY1117"/>
  <c r="BW1116"/>
  <c r="BV1116"/>
  <c r="AY1094" i="4"/>
  <c r="BA1094" s="1"/>
  <c r="BF1094"/>
  <c r="BG1094" s="1"/>
  <c r="AW1094"/>
  <c r="BD1094" s="1"/>
  <c r="BE1094" s="1"/>
  <c r="AZ1094"/>
  <c r="BB1094" s="1"/>
  <c r="AU1094"/>
  <c r="AV1095"/>
  <c r="AR253" i="6" l="1"/>
  <c r="AV252"/>
  <c r="BF1095" i="4"/>
  <c r="BG1095" s="1"/>
  <c r="AW1095"/>
  <c r="AU1095"/>
  <c r="BD1095"/>
  <c r="BE1095" s="1"/>
  <c r="AZ1095"/>
  <c r="BB1095" s="1"/>
  <c r="AY1095"/>
  <c r="BA1095" s="1"/>
  <c r="AV1096"/>
  <c r="BY1118" i="6"/>
  <c r="BW1117"/>
  <c r="BZ1117"/>
  <c r="BV1117"/>
  <c r="BK1093" i="5"/>
  <c r="BL1093" s="1"/>
  <c r="AZ1093"/>
  <c r="BE1093"/>
  <c r="BG1093" s="1"/>
  <c r="BD1093"/>
  <c r="BF1093" s="1"/>
  <c r="BB1093"/>
  <c r="BI1093" s="1"/>
  <c r="BJ1093" s="1"/>
  <c r="BA1094"/>
  <c r="BB1094" l="1"/>
  <c r="BA1095"/>
  <c r="AZ1094"/>
  <c r="BD1094"/>
  <c r="BF1094" s="1"/>
  <c r="BK1094"/>
  <c r="BL1094" s="1"/>
  <c r="BE1094"/>
  <c r="BG1094" s="1"/>
  <c r="BI1094"/>
  <c r="BJ1094" s="1"/>
  <c r="AW1096" i="4"/>
  <c r="AU1096"/>
  <c r="AZ1096"/>
  <c r="BB1096" s="1"/>
  <c r="BD1096"/>
  <c r="BE1096" s="1"/>
  <c r="AV1097"/>
  <c r="BF1096"/>
  <c r="BG1096" s="1"/>
  <c r="AY1096"/>
  <c r="BA1096" s="1"/>
  <c r="AS253" i="6"/>
  <c r="AT253"/>
  <c r="AU253" s="1"/>
  <c r="BZ1118"/>
  <c r="BY1119"/>
  <c r="BV1118"/>
  <c r="BW1118"/>
  <c r="BY1120" l="1"/>
  <c r="BZ1119"/>
  <c r="BW1119" s="1"/>
  <c r="BV1119"/>
  <c r="AZ1095" i="5"/>
  <c r="BE1095"/>
  <c r="BG1095" s="1"/>
  <c r="BA1096"/>
  <c r="BK1095"/>
  <c r="BL1095" s="1"/>
  <c r="BD1095"/>
  <c r="BF1095" s="1"/>
  <c r="BB1095"/>
  <c r="BI1095" s="1"/>
  <c r="BJ1095" s="1"/>
  <c r="AR254" i="6"/>
  <c r="AV253"/>
  <c r="AU1097" i="4"/>
  <c r="AZ1097"/>
  <c r="BB1097" s="1"/>
  <c r="AV1098"/>
  <c r="AY1097"/>
  <c r="BA1097" s="1"/>
  <c r="BF1097"/>
  <c r="BG1097" s="1"/>
  <c r="AW1097"/>
  <c r="BD1097" s="1"/>
  <c r="BE1097" s="1"/>
  <c r="AY1098" l="1"/>
  <c r="BA1098" s="1"/>
  <c r="BF1098"/>
  <c r="BG1098" s="1"/>
  <c r="AZ1098"/>
  <c r="BB1098" s="1"/>
  <c r="AU1098"/>
  <c r="AV1099"/>
  <c r="AW1098"/>
  <c r="BD1098" s="1"/>
  <c r="BE1098" s="1"/>
  <c r="BZ1120" i="6"/>
  <c r="BW1120" s="1"/>
  <c r="BY1121"/>
  <c r="BV1120"/>
  <c r="AS254"/>
  <c r="AT254"/>
  <c r="AU254" s="1"/>
  <c r="BD1096" i="5"/>
  <c r="BF1096" s="1"/>
  <c r="BA1097"/>
  <c r="BB1096"/>
  <c r="BK1096"/>
  <c r="BL1096" s="1"/>
  <c r="BE1096"/>
  <c r="BG1096" s="1"/>
  <c r="BI1096"/>
  <c r="BJ1096" s="1"/>
  <c r="AZ1096"/>
  <c r="BY1122" i="6" l="1"/>
  <c r="BZ1121"/>
  <c r="BW1121" s="1"/>
  <c r="BV1121"/>
  <c r="BF1099" i="4"/>
  <c r="BG1099" s="1"/>
  <c r="AW1099"/>
  <c r="AY1099"/>
  <c r="BA1099" s="1"/>
  <c r="AZ1099"/>
  <c r="BB1099" s="1"/>
  <c r="AV1100"/>
  <c r="BD1099"/>
  <c r="BE1099" s="1"/>
  <c r="AU1099"/>
  <c r="BK1097" i="5"/>
  <c r="BL1097" s="1"/>
  <c r="BD1097"/>
  <c r="BF1097" s="1"/>
  <c r="BA1098"/>
  <c r="BE1097"/>
  <c r="BG1097" s="1"/>
  <c r="AZ1097"/>
  <c r="BB1097"/>
  <c r="BI1097" s="1"/>
  <c r="BJ1097" s="1"/>
  <c r="AR255" i="6"/>
  <c r="AV254"/>
  <c r="AW1100" i="4" l="1"/>
  <c r="BD1100" s="1"/>
  <c r="BE1100" s="1"/>
  <c r="AU1100"/>
  <c r="AZ1100"/>
  <c r="BB1100" s="1"/>
  <c r="AV1101"/>
  <c r="BF1100"/>
  <c r="BG1100" s="1"/>
  <c r="AY1100"/>
  <c r="BA1100" s="1"/>
  <c r="BZ1122" i="6"/>
  <c r="BV1122"/>
  <c r="BW1122"/>
  <c r="BY1123"/>
  <c r="AS255"/>
  <c r="AT255"/>
  <c r="AU255" s="1"/>
  <c r="BB1098" i="5"/>
  <c r="AZ1098"/>
  <c r="BE1098"/>
  <c r="BG1098" s="1"/>
  <c r="BK1098"/>
  <c r="BL1098" s="1"/>
  <c r="BI1098"/>
  <c r="BJ1098" s="1"/>
  <c r="BA1099"/>
  <c r="BD1098"/>
  <c r="BF1098" s="1"/>
  <c r="AU1101" i="4" l="1"/>
  <c r="AZ1101"/>
  <c r="BB1101" s="1"/>
  <c r="AV1102"/>
  <c r="AY1101"/>
  <c r="BA1101" s="1"/>
  <c r="AW1101"/>
  <c r="BD1101" s="1"/>
  <c r="BE1101" s="1"/>
  <c r="BF1101"/>
  <c r="BG1101" s="1"/>
  <c r="AZ1099" i="5"/>
  <c r="BE1099"/>
  <c r="BG1099" s="1"/>
  <c r="BA1100"/>
  <c r="BD1099"/>
  <c r="BF1099" s="1"/>
  <c r="BB1099"/>
  <c r="BI1099" s="1"/>
  <c r="BJ1099" s="1"/>
  <c r="BK1099"/>
  <c r="BL1099" s="1"/>
  <c r="BY1124" i="6"/>
  <c r="BZ1123"/>
  <c r="BW1123" s="1"/>
  <c r="BV1123"/>
  <c r="AR256"/>
  <c r="AV255"/>
  <c r="AS256" l="1"/>
  <c r="AT256"/>
  <c r="AU256" s="1"/>
  <c r="BZ1124"/>
  <c r="BY1125"/>
  <c r="BW1124"/>
  <c r="BV1124"/>
  <c r="BD1100" i="5"/>
  <c r="BF1100" s="1"/>
  <c r="BB1100"/>
  <c r="BK1100"/>
  <c r="BL1100" s="1"/>
  <c r="AZ1100"/>
  <c r="BI1100"/>
  <c r="BJ1100" s="1"/>
  <c r="BA1101"/>
  <c r="BE1100"/>
  <c r="BG1100" s="1"/>
  <c r="AY1102" i="4"/>
  <c r="BA1102" s="1"/>
  <c r="BF1102"/>
  <c r="BG1102" s="1"/>
  <c r="AW1102"/>
  <c r="BD1102"/>
  <c r="BE1102" s="1"/>
  <c r="AZ1102"/>
  <c r="BB1102" s="1"/>
  <c r="AV1103"/>
  <c r="AU1102"/>
  <c r="AR257" i="6" l="1"/>
  <c r="AV256"/>
  <c r="BF1103" i="4"/>
  <c r="BG1103" s="1"/>
  <c r="AW1103"/>
  <c r="AU1103"/>
  <c r="BD1103"/>
  <c r="BE1103" s="1"/>
  <c r="AZ1103"/>
  <c r="BB1103" s="1"/>
  <c r="AV1104"/>
  <c r="AY1103"/>
  <c r="BA1103" s="1"/>
  <c r="BK1101" i="5"/>
  <c r="BL1101" s="1"/>
  <c r="BA1102"/>
  <c r="BB1101"/>
  <c r="BD1101"/>
  <c r="BF1101" s="1"/>
  <c r="BE1101"/>
  <c r="BG1101" s="1"/>
  <c r="AZ1101"/>
  <c r="BI1101"/>
  <c r="BJ1101" s="1"/>
  <c r="BY1126" i="6"/>
  <c r="BW1125"/>
  <c r="BV1125"/>
  <c r="BZ1125"/>
  <c r="BZ1126" l="1"/>
  <c r="BW1126" s="1"/>
  <c r="BY1127"/>
  <c r="BV1126"/>
  <c r="AS257"/>
  <c r="AT257"/>
  <c r="AU257" s="1"/>
  <c r="BB1102" i="5"/>
  <c r="BE1102"/>
  <c r="BG1102" s="1"/>
  <c r="BK1102"/>
  <c r="BL1102" s="1"/>
  <c r="BD1102"/>
  <c r="BF1102" s="1"/>
  <c r="BI1102"/>
  <c r="BJ1102" s="1"/>
  <c r="AZ1102"/>
  <c r="BA1103"/>
  <c r="AW1104" i="4"/>
  <c r="AU1104"/>
  <c r="AZ1104"/>
  <c r="BB1104" s="1"/>
  <c r="BD1104"/>
  <c r="BE1104" s="1"/>
  <c r="AV1105"/>
  <c r="BF1104"/>
  <c r="BG1104" s="1"/>
  <c r="AY1104"/>
  <c r="BA1104" s="1"/>
  <c r="BY1128" i="6" l="1"/>
  <c r="BZ1127"/>
  <c r="BW1127" s="1"/>
  <c r="BV1127"/>
  <c r="AZ1103" i="5"/>
  <c r="BE1103"/>
  <c r="BG1103" s="1"/>
  <c r="BA1104"/>
  <c r="BB1103"/>
  <c r="BI1103" s="1"/>
  <c r="BJ1103" s="1"/>
  <c r="BD1103"/>
  <c r="BF1103" s="1"/>
  <c r="BK1103"/>
  <c r="BL1103" s="1"/>
  <c r="AR258" i="6"/>
  <c r="AV257"/>
  <c r="AU1105" i="4"/>
  <c r="AZ1105"/>
  <c r="BB1105" s="1"/>
  <c r="AV1106"/>
  <c r="AY1105"/>
  <c r="BA1105" s="1"/>
  <c r="BF1105"/>
  <c r="BG1105" s="1"/>
  <c r="AW1105"/>
  <c r="BD1105" s="1"/>
  <c r="BE1105" s="1"/>
  <c r="BZ1128" i="6" l="1"/>
  <c r="BW1128" s="1"/>
  <c r="BY1129"/>
  <c r="BV1128"/>
  <c r="AY1106" i="4"/>
  <c r="BA1106" s="1"/>
  <c r="BF1106"/>
  <c r="BG1106" s="1"/>
  <c r="AZ1106"/>
  <c r="BB1106" s="1"/>
  <c r="AU1106"/>
  <c r="AV1107"/>
  <c r="BD1106"/>
  <c r="BE1106" s="1"/>
  <c r="AW1106"/>
  <c r="AS258" i="6"/>
  <c r="AT258"/>
  <c r="AU258" s="1"/>
  <c r="BD1104" i="5"/>
  <c r="BF1104" s="1"/>
  <c r="AZ1104"/>
  <c r="BE1104"/>
  <c r="BG1104" s="1"/>
  <c r="BI1104"/>
  <c r="BJ1104" s="1"/>
  <c r="BB1104"/>
  <c r="BK1104"/>
  <c r="BL1104" s="1"/>
  <c r="BA1105"/>
  <c r="BY1130" i="6" l="1"/>
  <c r="BZ1129"/>
  <c r="BW1129" s="1"/>
  <c r="BV1129"/>
  <c r="BF1107" i="4"/>
  <c r="BG1107" s="1"/>
  <c r="AW1107"/>
  <c r="AY1107"/>
  <c r="BA1107" s="1"/>
  <c r="AZ1107"/>
  <c r="BB1107" s="1"/>
  <c r="AV1108"/>
  <c r="AU1107"/>
  <c r="BD1107"/>
  <c r="BE1107" s="1"/>
  <c r="BK1105" i="5"/>
  <c r="BL1105" s="1"/>
  <c r="BB1105"/>
  <c r="AZ1105"/>
  <c r="BE1105"/>
  <c r="BG1105" s="1"/>
  <c r="BD1105"/>
  <c r="BF1105" s="1"/>
  <c r="BI1105"/>
  <c r="BJ1105" s="1"/>
  <c r="BA1106"/>
  <c r="AR259" i="6"/>
  <c r="AV258"/>
  <c r="AS259" l="1"/>
  <c r="AT259"/>
  <c r="AU259" s="1"/>
  <c r="AW1108" i="4"/>
  <c r="AU1108"/>
  <c r="AZ1108"/>
  <c r="BB1108" s="1"/>
  <c r="BD1108"/>
  <c r="BE1108" s="1"/>
  <c r="AV1109"/>
  <c r="AY1108"/>
  <c r="BA1108" s="1"/>
  <c r="BF1108"/>
  <c r="BG1108" s="1"/>
  <c r="BZ1130" i="6"/>
  <c r="BW1130" s="1"/>
  <c r="BV1130"/>
  <c r="BY1131"/>
  <c r="BB1106" i="5"/>
  <c r="BI1106" s="1"/>
  <c r="BJ1106" s="1"/>
  <c r="BD1106"/>
  <c r="BF1106" s="1"/>
  <c r="BA1107"/>
  <c r="AZ1106"/>
  <c r="BK1106"/>
  <c r="BL1106" s="1"/>
  <c r="BE1106"/>
  <c r="BG1106" s="1"/>
  <c r="AZ1107" l="1"/>
  <c r="BE1107"/>
  <c r="BG1107" s="1"/>
  <c r="BA1108"/>
  <c r="BB1107"/>
  <c r="BI1107" s="1"/>
  <c r="BJ1107" s="1"/>
  <c r="BK1107"/>
  <c r="BL1107" s="1"/>
  <c r="BD1107"/>
  <c r="BF1107" s="1"/>
  <c r="BY1132" i="6"/>
  <c r="BZ1131"/>
  <c r="BW1131" s="1"/>
  <c r="BV1131"/>
  <c r="AU1109" i="4"/>
  <c r="AZ1109"/>
  <c r="BB1109" s="1"/>
  <c r="AV1110"/>
  <c r="AY1109"/>
  <c r="BA1109" s="1"/>
  <c r="AW1109"/>
  <c r="BD1109" s="1"/>
  <c r="BE1109" s="1"/>
  <c r="BF1109"/>
  <c r="BG1109" s="1"/>
  <c r="AR260" i="6"/>
  <c r="AV259"/>
  <c r="AT260" l="1"/>
  <c r="AU260" s="1"/>
  <c r="AS260"/>
  <c r="AY1110" i="4"/>
  <c r="BA1110" s="1"/>
  <c r="BF1110"/>
  <c r="BG1110" s="1"/>
  <c r="AW1110"/>
  <c r="BD1110" s="1"/>
  <c r="BE1110" s="1"/>
  <c r="AV1111"/>
  <c r="AU1110"/>
  <c r="AZ1110"/>
  <c r="BB1110" s="1"/>
  <c r="BZ1132" i="6"/>
  <c r="BY1133"/>
  <c r="BW1132"/>
  <c r="BV1132"/>
  <c r="BD1108" i="5"/>
  <c r="BF1108" s="1"/>
  <c r="BE1108"/>
  <c r="BG1108" s="1"/>
  <c r="BA1109"/>
  <c r="BB1108"/>
  <c r="BI1108" s="1"/>
  <c r="BJ1108" s="1"/>
  <c r="AZ1108"/>
  <c r="BK1108"/>
  <c r="BL1108" s="1"/>
  <c r="AR261" i="6" l="1"/>
  <c r="AV260"/>
  <c r="BY1134"/>
  <c r="BZ1133"/>
  <c r="BW1133" s="1"/>
  <c r="BV1133"/>
  <c r="BF1111" i="4"/>
  <c r="BG1111" s="1"/>
  <c r="AW1111"/>
  <c r="AU1111"/>
  <c r="BD1111"/>
  <c r="BE1111" s="1"/>
  <c r="AY1111"/>
  <c r="BA1111" s="1"/>
  <c r="AV1112"/>
  <c r="AZ1111"/>
  <c r="BB1111" s="1"/>
  <c r="BK1109" i="5"/>
  <c r="BL1109" s="1"/>
  <c r="AZ1109"/>
  <c r="BE1109"/>
  <c r="BG1109" s="1"/>
  <c r="BD1109"/>
  <c r="BF1109" s="1"/>
  <c r="BI1109"/>
  <c r="BJ1109" s="1"/>
  <c r="BA1110"/>
  <c r="BB1109"/>
  <c r="AS261" i="6" l="1"/>
  <c r="AT261"/>
  <c r="AU261" s="1"/>
  <c r="BZ1134"/>
  <c r="BY1135"/>
  <c r="BV1134"/>
  <c r="BW1134"/>
  <c r="BB1110" i="5"/>
  <c r="BA1111"/>
  <c r="AZ1110"/>
  <c r="BI1110"/>
  <c r="BJ1110" s="1"/>
  <c r="BK1110"/>
  <c r="BL1110" s="1"/>
  <c r="BD1110"/>
  <c r="BF1110" s="1"/>
  <c r="BE1110"/>
  <c r="BG1110" s="1"/>
  <c r="AW1112" i="4"/>
  <c r="AU1112"/>
  <c r="AZ1112"/>
  <c r="BB1112" s="1"/>
  <c r="BD1112"/>
  <c r="BE1112" s="1"/>
  <c r="AV1113"/>
  <c r="BF1112"/>
  <c r="BG1112" s="1"/>
  <c r="AY1112"/>
  <c r="BA1112" s="1"/>
  <c r="AR262" i="6" l="1"/>
  <c r="AV261"/>
  <c r="AU1113" i="4"/>
  <c r="AZ1113"/>
  <c r="BB1113" s="1"/>
  <c r="AV1114"/>
  <c r="AY1113"/>
  <c r="BA1113" s="1"/>
  <c r="BF1113"/>
  <c r="BG1113" s="1"/>
  <c r="AW1113"/>
  <c r="BD1113" s="1"/>
  <c r="BE1113" s="1"/>
  <c r="AZ1111" i="5"/>
  <c r="BE1111"/>
  <c r="BG1111" s="1"/>
  <c r="BA1112"/>
  <c r="BK1111"/>
  <c r="BL1111" s="1"/>
  <c r="BD1111"/>
  <c r="BF1111" s="1"/>
  <c r="BB1111"/>
  <c r="BI1111" s="1"/>
  <c r="BJ1111" s="1"/>
  <c r="BY1136" i="6"/>
  <c r="BZ1135"/>
  <c r="BW1135" s="1"/>
  <c r="BV1135"/>
  <c r="BZ1136" l="1"/>
  <c r="BW1136" s="1"/>
  <c r="BY1137"/>
  <c r="BV1136"/>
  <c r="BD1112" i="5"/>
  <c r="BF1112" s="1"/>
  <c r="BA1113"/>
  <c r="BB1112"/>
  <c r="BK1112"/>
  <c r="BL1112" s="1"/>
  <c r="AZ1112"/>
  <c r="BI1112"/>
  <c r="BJ1112" s="1"/>
  <c r="BE1112"/>
  <c r="BG1112" s="1"/>
  <c r="AS262" i="6"/>
  <c r="AT262"/>
  <c r="AU262" s="1"/>
  <c r="AY1114" i="4"/>
  <c r="BA1114" s="1"/>
  <c r="BF1114"/>
  <c r="BG1114" s="1"/>
  <c r="AZ1114"/>
  <c r="BB1114" s="1"/>
  <c r="AU1114"/>
  <c r="AV1115"/>
  <c r="BD1114"/>
  <c r="BE1114" s="1"/>
  <c r="AW1114"/>
  <c r="BF1115" l="1"/>
  <c r="BG1115" s="1"/>
  <c r="AW1115"/>
  <c r="AY1115"/>
  <c r="BA1115" s="1"/>
  <c r="AZ1115"/>
  <c r="BB1115" s="1"/>
  <c r="AV1116"/>
  <c r="BD1115"/>
  <c r="BE1115" s="1"/>
  <c r="AU1115"/>
  <c r="BK1113" i="5"/>
  <c r="BL1113" s="1"/>
  <c r="BD1113"/>
  <c r="BF1113" s="1"/>
  <c r="BA1114"/>
  <c r="BB1113"/>
  <c r="BI1113" s="1"/>
  <c r="BJ1113" s="1"/>
  <c r="BE1113"/>
  <c r="BG1113" s="1"/>
  <c r="AZ1113"/>
  <c r="BY1138" i="6"/>
  <c r="BZ1137"/>
  <c r="BW1137" s="1"/>
  <c r="BV1137"/>
  <c r="AR263"/>
  <c r="AV262"/>
  <c r="AW1116" i="4" l="1"/>
  <c r="BD1116" s="1"/>
  <c r="BE1116" s="1"/>
  <c r="AU1116"/>
  <c r="AZ1116"/>
  <c r="BB1116" s="1"/>
  <c r="AV1117"/>
  <c r="BF1116"/>
  <c r="BG1116" s="1"/>
  <c r="AY1116"/>
  <c r="BA1116" s="1"/>
  <c r="AS263" i="6"/>
  <c r="AT263"/>
  <c r="AU263" s="1"/>
  <c r="BZ1138"/>
  <c r="BW1138" s="1"/>
  <c r="BV1138"/>
  <c r="BY1139"/>
  <c r="BB1114" i="5"/>
  <c r="AZ1114"/>
  <c r="BE1114"/>
  <c r="BG1114" s="1"/>
  <c r="BK1114"/>
  <c r="BL1114" s="1"/>
  <c r="BD1114"/>
  <c r="BF1114" s="1"/>
  <c r="BA1115"/>
  <c r="BI1114"/>
  <c r="BJ1114" s="1"/>
  <c r="AU1117" i="4" l="1"/>
  <c r="AZ1117"/>
  <c r="BB1117" s="1"/>
  <c r="AV1118"/>
  <c r="AY1117"/>
  <c r="BA1117" s="1"/>
  <c r="AW1117"/>
  <c r="BD1117" s="1"/>
  <c r="BE1117" s="1"/>
  <c r="BF1117"/>
  <c r="BG1117" s="1"/>
  <c r="BY1140" i="6"/>
  <c r="BZ1139"/>
  <c r="BW1139" s="1"/>
  <c r="BV1139"/>
  <c r="AZ1115" i="5"/>
  <c r="BE1115"/>
  <c r="BG1115" s="1"/>
  <c r="BA1116"/>
  <c r="BD1115"/>
  <c r="BF1115" s="1"/>
  <c r="BB1115"/>
  <c r="BI1115" s="1"/>
  <c r="BJ1115" s="1"/>
  <c r="BK1115"/>
  <c r="BL1115" s="1"/>
  <c r="AR264" i="6"/>
  <c r="AV263"/>
  <c r="AS264" l="1"/>
  <c r="AT264"/>
  <c r="AU264" s="1"/>
  <c r="BD1116" i="5"/>
  <c r="BF1116" s="1"/>
  <c r="BB1116"/>
  <c r="BK1116"/>
  <c r="BL1116" s="1"/>
  <c r="AZ1116"/>
  <c r="BE1116"/>
  <c r="BG1116" s="1"/>
  <c r="BA1117"/>
  <c r="BI1116"/>
  <c r="BJ1116" s="1"/>
  <c r="BZ1140" i="6"/>
  <c r="BY1141"/>
  <c r="BV1140"/>
  <c r="BW1140"/>
  <c r="AY1118" i="4"/>
  <c r="BA1118" s="1"/>
  <c r="BF1118"/>
  <c r="BG1118" s="1"/>
  <c r="AW1118"/>
  <c r="BD1118"/>
  <c r="BE1118" s="1"/>
  <c r="AZ1118"/>
  <c r="BB1118" s="1"/>
  <c r="AV1119"/>
  <c r="AU1118"/>
  <c r="BF1119" l="1"/>
  <c r="BG1119" s="1"/>
  <c r="AW1119"/>
  <c r="AU1119"/>
  <c r="BD1119"/>
  <c r="BE1119" s="1"/>
  <c r="AZ1119"/>
  <c r="BB1119" s="1"/>
  <c r="AV1120"/>
  <c r="AY1119"/>
  <c r="BA1119" s="1"/>
  <c r="BY1142" i="6"/>
  <c r="BW1141"/>
  <c r="BV1141"/>
  <c r="BZ1141"/>
  <c r="AR265"/>
  <c r="AV264"/>
  <c r="BK1117" i="5"/>
  <c r="BL1117" s="1"/>
  <c r="BA1118"/>
  <c r="BB1117"/>
  <c r="BI1117" s="1"/>
  <c r="BJ1117" s="1"/>
  <c r="AZ1117"/>
  <c r="BD1117"/>
  <c r="BF1117" s="1"/>
  <c r="BE1117"/>
  <c r="BG1117" s="1"/>
  <c r="AW1120" i="4" l="1"/>
  <c r="BD1120" s="1"/>
  <c r="BE1120" s="1"/>
  <c r="AU1120"/>
  <c r="AZ1120"/>
  <c r="BB1120" s="1"/>
  <c r="AV1121"/>
  <c r="BF1120"/>
  <c r="BG1120" s="1"/>
  <c r="AY1120"/>
  <c r="BA1120" s="1"/>
  <c r="BB1118" i="5"/>
  <c r="BE1118"/>
  <c r="BG1118" s="1"/>
  <c r="BK1118"/>
  <c r="BL1118" s="1"/>
  <c r="BD1118"/>
  <c r="BF1118" s="1"/>
  <c r="BI1118"/>
  <c r="BJ1118" s="1"/>
  <c r="BA1119"/>
  <c r="AZ1118"/>
  <c r="AS265" i="6"/>
  <c r="AT265"/>
  <c r="AU265" s="1"/>
  <c r="BZ1142"/>
  <c r="BY1143"/>
  <c r="BV1142"/>
  <c r="BW1142"/>
  <c r="AR266" l="1"/>
  <c r="AV265"/>
  <c r="AZ1119" i="5"/>
  <c r="BE1119"/>
  <c r="BG1119" s="1"/>
  <c r="BA1120"/>
  <c r="BB1119"/>
  <c r="BI1119" s="1"/>
  <c r="BJ1119" s="1"/>
  <c r="BD1119"/>
  <c r="BF1119" s="1"/>
  <c r="BK1119"/>
  <c r="BL1119" s="1"/>
  <c r="AU1121" i="4"/>
  <c r="AZ1121"/>
  <c r="BB1121" s="1"/>
  <c r="BD1121"/>
  <c r="BE1121" s="1"/>
  <c r="AV1122"/>
  <c r="AY1121"/>
  <c r="BA1121" s="1"/>
  <c r="BF1121"/>
  <c r="BG1121" s="1"/>
  <c r="AW1121"/>
  <c r="BY1144" i="6"/>
  <c r="BZ1143"/>
  <c r="BW1143" s="1"/>
  <c r="BV1143"/>
  <c r="BZ1144" l="1"/>
  <c r="BW1144" s="1"/>
  <c r="BY1145"/>
  <c r="BV1144"/>
  <c r="AY1122" i="4"/>
  <c r="BA1122" s="1"/>
  <c r="BF1122"/>
  <c r="BG1122" s="1"/>
  <c r="AZ1122"/>
  <c r="BB1122" s="1"/>
  <c r="AU1122"/>
  <c r="AV1123"/>
  <c r="AW1122"/>
  <c r="BD1122"/>
  <c r="BE1122" s="1"/>
  <c r="AS266" i="6"/>
  <c r="AT266"/>
  <c r="AU266" s="1"/>
  <c r="BD1120" i="5"/>
  <c r="BF1120" s="1"/>
  <c r="AZ1120"/>
  <c r="BE1120"/>
  <c r="BG1120" s="1"/>
  <c r="BI1120"/>
  <c r="BJ1120" s="1"/>
  <c r="BA1121"/>
  <c r="BK1120"/>
  <c r="BL1120" s="1"/>
  <c r="BB1120"/>
  <c r="BF1123" i="4" l="1"/>
  <c r="BG1123" s="1"/>
  <c r="AW1123"/>
  <c r="AY1123"/>
  <c r="BA1123" s="1"/>
  <c r="AZ1123"/>
  <c r="BB1123" s="1"/>
  <c r="AV1124"/>
  <c r="AU1123"/>
  <c r="BD1123"/>
  <c r="BE1123" s="1"/>
  <c r="BK1121" i="5"/>
  <c r="BL1121" s="1"/>
  <c r="BB1121"/>
  <c r="BI1121" s="1"/>
  <c r="BJ1121" s="1"/>
  <c r="AZ1121"/>
  <c r="BE1121"/>
  <c r="BG1121" s="1"/>
  <c r="BA1122"/>
  <c r="BD1121"/>
  <c r="BF1121" s="1"/>
  <c r="BY1146" i="6"/>
  <c r="BZ1145"/>
  <c r="BW1145" s="1"/>
  <c r="BV1145"/>
  <c r="AR267"/>
  <c r="AV266"/>
  <c r="AW1124" i="4" l="1"/>
  <c r="BD1124" s="1"/>
  <c r="BE1124" s="1"/>
  <c r="AU1124"/>
  <c r="AZ1124"/>
  <c r="BB1124" s="1"/>
  <c r="AV1125"/>
  <c r="AY1124"/>
  <c r="BA1124" s="1"/>
  <c r="BF1124"/>
  <c r="BG1124" s="1"/>
  <c r="BB1122" i="5"/>
  <c r="BD1122"/>
  <c r="BF1122" s="1"/>
  <c r="BI1122"/>
  <c r="BJ1122" s="1"/>
  <c r="BA1123"/>
  <c r="BE1122"/>
  <c r="BG1122" s="1"/>
  <c r="BK1122"/>
  <c r="BL1122" s="1"/>
  <c r="AZ1122"/>
  <c r="AS267" i="6"/>
  <c r="AT267"/>
  <c r="AU267" s="1"/>
  <c r="BZ1146"/>
  <c r="BW1146" s="1"/>
  <c r="BV1146"/>
  <c r="BY1147"/>
  <c r="BY1148" l="1"/>
  <c r="BZ1147"/>
  <c r="BW1147" s="1"/>
  <c r="BV1147"/>
  <c r="AU1125" i="4"/>
  <c r="AZ1125"/>
  <c r="BB1125" s="1"/>
  <c r="AV1126"/>
  <c r="AY1125"/>
  <c r="BA1125" s="1"/>
  <c r="AW1125"/>
  <c r="BD1125" s="1"/>
  <c r="BE1125" s="1"/>
  <c r="BF1125"/>
  <c r="BG1125" s="1"/>
  <c r="AR268" i="6"/>
  <c r="AV267"/>
  <c r="AZ1123" i="5"/>
  <c r="BE1123"/>
  <c r="BG1123" s="1"/>
  <c r="BA1124"/>
  <c r="BB1123"/>
  <c r="BI1123" s="1"/>
  <c r="BJ1123" s="1"/>
  <c r="BK1123"/>
  <c r="BL1123" s="1"/>
  <c r="BD1123"/>
  <c r="BF1123" s="1"/>
  <c r="BD1124" l="1"/>
  <c r="BF1124" s="1"/>
  <c r="BE1124"/>
  <c r="BG1124" s="1"/>
  <c r="BA1125"/>
  <c r="BK1124"/>
  <c r="BL1124" s="1"/>
  <c r="AZ1124"/>
  <c r="BB1124"/>
  <c r="BI1124" s="1"/>
  <c r="BJ1124" s="1"/>
  <c r="BZ1148" i="6"/>
  <c r="BY1149"/>
  <c r="BW1148"/>
  <c r="BV1148"/>
  <c r="AS268"/>
  <c r="AT268"/>
  <c r="AU268" s="1"/>
  <c r="AY1126" i="4"/>
  <c r="BA1126" s="1"/>
  <c r="BF1126"/>
  <c r="BG1126" s="1"/>
  <c r="AW1126"/>
  <c r="BD1126"/>
  <c r="BE1126" s="1"/>
  <c r="AZ1126"/>
  <c r="BB1126" s="1"/>
  <c r="AU1126"/>
  <c r="AV1127"/>
  <c r="BY1150" i="6" l="1"/>
  <c r="BZ1149"/>
  <c r="BW1149" s="1"/>
  <c r="BV1149"/>
  <c r="BF1127" i="4"/>
  <c r="BG1127" s="1"/>
  <c r="AW1127"/>
  <c r="AU1127"/>
  <c r="BD1127"/>
  <c r="BE1127" s="1"/>
  <c r="AY1127"/>
  <c r="BA1127" s="1"/>
  <c r="AV1128"/>
  <c r="AZ1127"/>
  <c r="BB1127" s="1"/>
  <c r="AR269" i="6"/>
  <c r="AV268"/>
  <c r="BK1125" i="5"/>
  <c r="BL1125" s="1"/>
  <c r="AZ1125"/>
  <c r="BE1125"/>
  <c r="BG1125" s="1"/>
  <c r="BD1125"/>
  <c r="BF1125" s="1"/>
  <c r="BB1125"/>
  <c r="BI1125" s="1"/>
  <c r="BJ1125" s="1"/>
  <c r="BA1126"/>
  <c r="BZ1150" i="6" l="1"/>
  <c r="BW1150" s="1"/>
  <c r="BY1151"/>
  <c r="BV1150"/>
  <c r="AW1128" i="4"/>
  <c r="BD1128" s="1"/>
  <c r="BE1128" s="1"/>
  <c r="AU1128"/>
  <c r="AZ1128"/>
  <c r="BB1128" s="1"/>
  <c r="AV1129"/>
  <c r="BF1128"/>
  <c r="BG1128" s="1"/>
  <c r="AY1128"/>
  <c r="BA1128" s="1"/>
  <c r="BB1126" i="5"/>
  <c r="BA1127"/>
  <c r="AZ1126"/>
  <c r="BD1126"/>
  <c r="BF1126" s="1"/>
  <c r="BK1126"/>
  <c r="BL1126" s="1"/>
  <c r="BE1126"/>
  <c r="BG1126" s="1"/>
  <c r="BI1126"/>
  <c r="BJ1126" s="1"/>
  <c r="AS269" i="6"/>
  <c r="AT269"/>
  <c r="AU269" s="1"/>
  <c r="AZ1127" i="5" l="1"/>
  <c r="BE1127"/>
  <c r="BG1127" s="1"/>
  <c r="BA1128"/>
  <c r="BK1127"/>
  <c r="BL1127" s="1"/>
  <c r="BD1127"/>
  <c r="BF1127" s="1"/>
  <c r="BB1127"/>
  <c r="BI1127" s="1"/>
  <c r="BJ1127" s="1"/>
  <c r="AU1129" i="4"/>
  <c r="AZ1129"/>
  <c r="BB1129" s="1"/>
  <c r="AV1130"/>
  <c r="AY1129"/>
  <c r="BA1129" s="1"/>
  <c r="BF1129"/>
  <c r="BG1129" s="1"/>
  <c r="AW1129"/>
  <c r="BD1129" s="1"/>
  <c r="BE1129" s="1"/>
  <c r="BY1152" i="6"/>
  <c r="BZ1151"/>
  <c r="BW1151"/>
  <c r="BV1151"/>
  <c r="AR270"/>
  <c r="AV269"/>
  <c r="AS270" l="1"/>
  <c r="AT270"/>
  <c r="AU270" s="1"/>
  <c r="BZ1152"/>
  <c r="BY1153"/>
  <c r="BW1152"/>
  <c r="BV1152"/>
  <c r="AY1130" i="4"/>
  <c r="BA1130" s="1"/>
  <c r="BF1130"/>
  <c r="BG1130" s="1"/>
  <c r="AZ1130"/>
  <c r="BB1130" s="1"/>
  <c r="AU1130"/>
  <c r="AV1131"/>
  <c r="AW1130"/>
  <c r="BD1130" s="1"/>
  <c r="BE1130" s="1"/>
  <c r="BD1128" i="5"/>
  <c r="BF1128" s="1"/>
  <c r="BA1129"/>
  <c r="BB1128"/>
  <c r="BK1128"/>
  <c r="BL1128" s="1"/>
  <c r="BE1128"/>
  <c r="BG1128" s="1"/>
  <c r="AZ1128"/>
  <c r="BI1128"/>
  <c r="BJ1128" s="1"/>
  <c r="AR271" i="6" l="1"/>
  <c r="AV270"/>
  <c r="BK1129" i="5"/>
  <c r="BL1129" s="1"/>
  <c r="BD1129"/>
  <c r="BF1129" s="1"/>
  <c r="BI1129"/>
  <c r="BJ1129" s="1"/>
  <c r="BA1130"/>
  <c r="BE1129"/>
  <c r="BG1129" s="1"/>
  <c r="AZ1129"/>
  <c r="BB1129"/>
  <c r="BF1131" i="4"/>
  <c r="BG1131" s="1"/>
  <c r="AW1131"/>
  <c r="AY1131"/>
  <c r="BA1131" s="1"/>
  <c r="AZ1131"/>
  <c r="BB1131" s="1"/>
  <c r="AV1132"/>
  <c r="BD1131"/>
  <c r="BE1131" s="1"/>
  <c r="AU1131"/>
  <c r="BY1154" i="6"/>
  <c r="BW1153"/>
  <c r="BZ1153"/>
  <c r="BV1153"/>
  <c r="AS271" l="1"/>
  <c r="AT271"/>
  <c r="AU271" s="1"/>
  <c r="AW1132" i="4"/>
  <c r="AU1132"/>
  <c r="AZ1132"/>
  <c r="BB1132" s="1"/>
  <c r="BD1132"/>
  <c r="BE1132" s="1"/>
  <c r="AV1133"/>
  <c r="BF1132"/>
  <c r="BG1132" s="1"/>
  <c r="AY1132"/>
  <c r="BA1132" s="1"/>
  <c r="BB1130" i="5"/>
  <c r="AZ1130"/>
  <c r="BE1130"/>
  <c r="BG1130" s="1"/>
  <c r="BK1130"/>
  <c r="BL1130" s="1"/>
  <c r="BI1130"/>
  <c r="BJ1130" s="1"/>
  <c r="BA1131"/>
  <c r="BD1130"/>
  <c r="BF1130" s="1"/>
  <c r="BZ1154" i="6"/>
  <c r="BW1154" s="1"/>
  <c r="BV1154"/>
  <c r="BY1155"/>
  <c r="AR272" l="1"/>
  <c r="AV271"/>
  <c r="AZ1131" i="5"/>
  <c r="BE1131"/>
  <c r="BG1131" s="1"/>
  <c r="BI1131"/>
  <c r="BJ1131" s="1"/>
  <c r="BA1132"/>
  <c r="BD1131"/>
  <c r="BF1131" s="1"/>
  <c r="BB1131"/>
  <c r="BK1131"/>
  <c r="BL1131" s="1"/>
  <c r="AU1133" i="4"/>
  <c r="AZ1133"/>
  <c r="BB1133" s="1"/>
  <c r="AV1134"/>
  <c r="AY1133"/>
  <c r="BA1133" s="1"/>
  <c r="AW1133"/>
  <c r="BD1133" s="1"/>
  <c r="BE1133" s="1"/>
  <c r="BF1133"/>
  <c r="BG1133" s="1"/>
  <c r="BY1156" i="6"/>
  <c r="BZ1155"/>
  <c r="BW1155" s="1"/>
  <c r="BV1155"/>
  <c r="BZ1156" l="1"/>
  <c r="BW1156" s="1"/>
  <c r="BY1157"/>
  <c r="BV1156"/>
  <c r="AY1134" i="4"/>
  <c r="BA1134" s="1"/>
  <c r="BF1134"/>
  <c r="BG1134" s="1"/>
  <c r="AW1134"/>
  <c r="BD1134" s="1"/>
  <c r="BE1134" s="1"/>
  <c r="AU1134"/>
  <c r="AZ1134"/>
  <c r="BB1134" s="1"/>
  <c r="AV1135"/>
  <c r="BD1132" i="5"/>
  <c r="BF1132" s="1"/>
  <c r="BB1132"/>
  <c r="BI1132" s="1"/>
  <c r="BJ1132" s="1"/>
  <c r="BK1132"/>
  <c r="BL1132" s="1"/>
  <c r="AZ1132"/>
  <c r="BA1133"/>
  <c r="BE1132"/>
  <c r="BG1132" s="1"/>
  <c r="AS272" i="6"/>
  <c r="AT272"/>
  <c r="AU272" s="1"/>
  <c r="BK1133" i="5" l="1"/>
  <c r="BL1133" s="1"/>
  <c r="BA1134"/>
  <c r="BB1133"/>
  <c r="BI1133" s="1"/>
  <c r="BJ1133" s="1"/>
  <c r="BD1133"/>
  <c r="BF1133" s="1"/>
  <c r="BE1133"/>
  <c r="BG1133" s="1"/>
  <c r="AZ1133"/>
  <c r="BY1158" i="6"/>
  <c r="BW1157"/>
  <c r="BV1157"/>
  <c r="BZ1157"/>
  <c r="AR273"/>
  <c r="AV272"/>
  <c r="BF1135" i="4"/>
  <c r="BG1135" s="1"/>
  <c r="AW1135"/>
  <c r="AU1135"/>
  <c r="BD1135"/>
  <c r="BE1135" s="1"/>
  <c r="AZ1135"/>
  <c r="BB1135" s="1"/>
  <c r="AV1136"/>
  <c r="AY1135"/>
  <c r="BA1135" s="1"/>
  <c r="BB1134" i="5" l="1"/>
  <c r="BE1134"/>
  <c r="BG1134" s="1"/>
  <c r="BK1134"/>
  <c r="BL1134" s="1"/>
  <c r="BD1134"/>
  <c r="BF1134" s="1"/>
  <c r="BI1134"/>
  <c r="BJ1134" s="1"/>
  <c r="AZ1134"/>
  <c r="BA1135"/>
  <c r="AW1136" i="4"/>
  <c r="BD1136" s="1"/>
  <c r="BE1136" s="1"/>
  <c r="AU1136"/>
  <c r="AZ1136"/>
  <c r="BB1136" s="1"/>
  <c r="AV1137"/>
  <c r="BF1136"/>
  <c r="BG1136" s="1"/>
  <c r="AY1136"/>
  <c r="BA1136" s="1"/>
  <c r="AS273" i="6"/>
  <c r="AT273"/>
  <c r="AU273" s="1"/>
  <c r="BZ1158"/>
  <c r="BY1159"/>
  <c r="BV1158"/>
  <c r="BW1158"/>
  <c r="BY1160" l="1"/>
  <c r="BZ1159"/>
  <c r="BW1159" s="1"/>
  <c r="BV1159"/>
  <c r="AR274"/>
  <c r="AV273"/>
  <c r="AZ1135" i="5"/>
  <c r="BE1135"/>
  <c r="BG1135" s="1"/>
  <c r="BI1135"/>
  <c r="BJ1135" s="1"/>
  <c r="BA1136"/>
  <c r="BB1135"/>
  <c r="BD1135"/>
  <c r="BF1135" s="1"/>
  <c r="BK1135"/>
  <c r="BL1135" s="1"/>
  <c r="AU1137" i="4"/>
  <c r="AZ1137"/>
  <c r="BB1137" s="1"/>
  <c r="AV1138"/>
  <c r="AY1137"/>
  <c r="BA1137" s="1"/>
  <c r="BF1137"/>
  <c r="BG1137" s="1"/>
  <c r="AW1137"/>
  <c r="BD1137" s="1"/>
  <c r="BE1137" s="1"/>
  <c r="AS274" i="6" l="1"/>
  <c r="AT274"/>
  <c r="AU274" s="1"/>
  <c r="BZ1160"/>
  <c r="BY1161"/>
  <c r="BW1160"/>
  <c r="BV1160"/>
  <c r="BD1136" i="5"/>
  <c r="BF1136" s="1"/>
  <c r="AZ1136"/>
  <c r="BE1136"/>
  <c r="BG1136" s="1"/>
  <c r="BI1136"/>
  <c r="BJ1136" s="1"/>
  <c r="BB1136"/>
  <c r="BK1136"/>
  <c r="BL1136" s="1"/>
  <c r="BA1137"/>
  <c r="AY1138" i="4"/>
  <c r="BA1138" s="1"/>
  <c r="BF1138"/>
  <c r="BG1138" s="1"/>
  <c r="AZ1138"/>
  <c r="BB1138" s="1"/>
  <c r="AU1138"/>
  <c r="AV1139"/>
  <c r="AW1138"/>
  <c r="BD1138" s="1"/>
  <c r="BE1138" s="1"/>
  <c r="AR275" i="6" l="1"/>
  <c r="AV274"/>
  <c r="BF1139" i="4"/>
  <c r="BG1139" s="1"/>
  <c r="AW1139"/>
  <c r="AY1139"/>
  <c r="BA1139" s="1"/>
  <c r="AZ1139"/>
  <c r="BB1139" s="1"/>
  <c r="AV1140"/>
  <c r="AU1139"/>
  <c r="BD1139"/>
  <c r="BE1139" s="1"/>
  <c r="BK1137" i="5"/>
  <c r="BL1137" s="1"/>
  <c r="BB1137"/>
  <c r="BI1137" s="1"/>
  <c r="BJ1137" s="1"/>
  <c r="AZ1137"/>
  <c r="BE1137"/>
  <c r="BG1137" s="1"/>
  <c r="BD1137"/>
  <c r="BF1137" s="1"/>
  <c r="BA1138"/>
  <c r="BY1162" i="6"/>
  <c r="BW1161"/>
  <c r="BZ1161"/>
  <c r="BV1161"/>
  <c r="AS275" l="1"/>
  <c r="AT275"/>
  <c r="AU275" s="1"/>
  <c r="BZ1162"/>
  <c r="BV1162"/>
  <c r="BW1162"/>
  <c r="BY1163"/>
  <c r="BB1138" i="5"/>
  <c r="BD1138"/>
  <c r="BF1138" s="1"/>
  <c r="BI1138"/>
  <c r="BJ1138" s="1"/>
  <c r="BA1139"/>
  <c r="AZ1138"/>
  <c r="BK1138"/>
  <c r="BL1138" s="1"/>
  <c r="BE1138"/>
  <c r="BG1138" s="1"/>
  <c r="AW1140" i="4"/>
  <c r="AU1140"/>
  <c r="AZ1140"/>
  <c r="BB1140" s="1"/>
  <c r="BD1140"/>
  <c r="BE1140" s="1"/>
  <c r="AV1141"/>
  <c r="AY1140"/>
  <c r="BA1140" s="1"/>
  <c r="BF1140"/>
  <c r="BG1140" s="1"/>
  <c r="AR276" i="6" l="1"/>
  <c r="AV275"/>
  <c r="AU1141" i="4"/>
  <c r="AZ1141"/>
  <c r="BB1141" s="1"/>
  <c r="BD1141"/>
  <c r="BE1141" s="1"/>
  <c r="AV1142"/>
  <c r="AY1141"/>
  <c r="BA1141" s="1"/>
  <c r="AW1141"/>
  <c r="BF1141"/>
  <c r="BG1141" s="1"/>
  <c r="AZ1139" i="5"/>
  <c r="BE1139"/>
  <c r="BG1139" s="1"/>
  <c r="BA1140"/>
  <c r="BB1139"/>
  <c r="BI1139" s="1"/>
  <c r="BJ1139" s="1"/>
  <c r="BK1139"/>
  <c r="BL1139" s="1"/>
  <c r="BD1139"/>
  <c r="BF1139" s="1"/>
  <c r="BY1164" i="6"/>
  <c r="BZ1163"/>
  <c r="BW1163" s="1"/>
  <c r="BV1163"/>
  <c r="AT276" l="1"/>
  <c r="AU276" s="1"/>
  <c r="AS276"/>
  <c r="AY1142" i="4"/>
  <c r="BA1142" s="1"/>
  <c r="BF1142"/>
  <c r="BG1142" s="1"/>
  <c r="AW1142"/>
  <c r="BD1142" s="1"/>
  <c r="BE1142" s="1"/>
  <c r="AV1143"/>
  <c r="AU1142"/>
  <c r="AZ1142"/>
  <c r="BB1142" s="1"/>
  <c r="BZ1164" i="6"/>
  <c r="BW1164" s="1"/>
  <c r="BY1165"/>
  <c r="BV1164"/>
  <c r="BD1140" i="5"/>
  <c r="BF1140" s="1"/>
  <c r="BE1140"/>
  <c r="BG1140" s="1"/>
  <c r="BA1141"/>
  <c r="BB1140"/>
  <c r="BI1140" s="1"/>
  <c r="BJ1140" s="1"/>
  <c r="AZ1140"/>
  <c r="BK1140"/>
  <c r="BL1140" s="1"/>
  <c r="AR277" i="6" l="1"/>
  <c r="AV276"/>
  <c r="BY1166"/>
  <c r="BZ1165"/>
  <c r="BW1165" s="1"/>
  <c r="BV1165"/>
  <c r="BF1143" i="4"/>
  <c r="BG1143" s="1"/>
  <c r="AW1143"/>
  <c r="AU1143"/>
  <c r="BD1143"/>
  <c r="BE1143" s="1"/>
  <c r="AY1143"/>
  <c r="BA1143" s="1"/>
  <c r="AV1144"/>
  <c r="AZ1143"/>
  <c r="BB1143" s="1"/>
  <c r="BK1141" i="5"/>
  <c r="BL1141" s="1"/>
  <c r="AZ1141"/>
  <c r="BE1141"/>
  <c r="BG1141" s="1"/>
  <c r="BD1141"/>
  <c r="BF1141" s="1"/>
  <c r="BI1141"/>
  <c r="BJ1141" s="1"/>
  <c r="BA1142"/>
  <c r="BB1141"/>
  <c r="BZ1166" i="6" l="1"/>
  <c r="BW1166" s="1"/>
  <c r="BY1167"/>
  <c r="BV1166"/>
  <c r="AS277"/>
  <c r="AT277"/>
  <c r="AU277" s="1"/>
  <c r="BB1142" i="5"/>
  <c r="BA1143"/>
  <c r="AZ1142"/>
  <c r="BI1142"/>
  <c r="BJ1142" s="1"/>
  <c r="BE1142"/>
  <c r="BG1142" s="1"/>
  <c r="BK1142"/>
  <c r="BL1142" s="1"/>
  <c r="BD1142"/>
  <c r="BF1142" s="1"/>
  <c r="AW1144" i="4"/>
  <c r="AU1144"/>
  <c r="AZ1144"/>
  <c r="BB1144" s="1"/>
  <c r="BD1144"/>
  <c r="BE1144" s="1"/>
  <c r="AV1145"/>
  <c r="BF1144"/>
  <c r="BG1144" s="1"/>
  <c r="AY1144"/>
  <c r="BA1144" s="1"/>
  <c r="BY1168" i="6" l="1"/>
  <c r="BZ1167"/>
  <c r="BW1167" s="1"/>
  <c r="BV1167"/>
  <c r="AR278"/>
  <c r="AV277"/>
  <c r="AU1145" i="4"/>
  <c r="AZ1145"/>
  <c r="BB1145" s="1"/>
  <c r="AV1146"/>
  <c r="AY1145"/>
  <c r="BA1145" s="1"/>
  <c r="BF1145"/>
  <c r="BG1145" s="1"/>
  <c r="AW1145"/>
  <c r="BD1145" s="1"/>
  <c r="BE1145" s="1"/>
  <c r="AZ1143" i="5"/>
  <c r="BE1143"/>
  <c r="BG1143" s="1"/>
  <c r="BA1144"/>
  <c r="BK1143"/>
  <c r="BL1143" s="1"/>
  <c r="BD1143"/>
  <c r="BF1143" s="1"/>
  <c r="BB1143"/>
  <c r="BI1143" s="1"/>
  <c r="BJ1143" s="1"/>
  <c r="BD1144" l="1"/>
  <c r="BF1144" s="1"/>
  <c r="BA1145"/>
  <c r="BB1144"/>
  <c r="BK1144"/>
  <c r="BL1144" s="1"/>
  <c r="AZ1144"/>
  <c r="BI1144"/>
  <c r="BJ1144" s="1"/>
  <c r="BE1144"/>
  <c r="BG1144" s="1"/>
  <c r="AS278" i="6"/>
  <c r="AT278"/>
  <c r="AU278" s="1"/>
  <c r="BZ1168"/>
  <c r="BW1168" s="1"/>
  <c r="BY1169"/>
  <c r="BV1168"/>
  <c r="AY1146" i="4"/>
  <c r="BA1146" s="1"/>
  <c r="BF1146"/>
  <c r="BG1146" s="1"/>
  <c r="AZ1146"/>
  <c r="BB1146" s="1"/>
  <c r="AU1146"/>
  <c r="AV1147"/>
  <c r="BD1146"/>
  <c r="BE1146" s="1"/>
  <c r="AW1146"/>
  <c r="BK1145" i="5" l="1"/>
  <c r="BL1145" s="1"/>
  <c r="BD1145"/>
  <c r="BF1145" s="1"/>
  <c r="BA1146"/>
  <c r="BB1145"/>
  <c r="BI1145" s="1"/>
  <c r="BJ1145" s="1"/>
  <c r="AZ1145"/>
  <c r="BE1145"/>
  <c r="BG1145" s="1"/>
  <c r="BY1170" i="6"/>
  <c r="BW1169"/>
  <c r="BZ1169"/>
  <c r="BV1169"/>
  <c r="BF1147" i="4"/>
  <c r="BG1147" s="1"/>
  <c r="AW1147"/>
  <c r="AY1147"/>
  <c r="BA1147" s="1"/>
  <c r="AZ1147"/>
  <c r="BB1147" s="1"/>
  <c r="AV1148"/>
  <c r="BD1147"/>
  <c r="BE1147" s="1"/>
  <c r="AU1147"/>
  <c r="AR279" i="6"/>
  <c r="AV278"/>
  <c r="AS279" l="1"/>
  <c r="AT279"/>
  <c r="AU279" s="1"/>
  <c r="AW1148" i="4"/>
  <c r="AU1148"/>
  <c r="AZ1148"/>
  <c r="BB1148" s="1"/>
  <c r="BD1148"/>
  <c r="BE1148" s="1"/>
  <c r="AV1149"/>
  <c r="BF1148"/>
  <c r="BG1148" s="1"/>
  <c r="AY1148"/>
  <c r="BA1148" s="1"/>
  <c r="BZ1170" i="6"/>
  <c r="BW1170" s="1"/>
  <c r="BV1170"/>
  <c r="BY1171"/>
  <c r="BB1146" i="5"/>
  <c r="BI1146" s="1"/>
  <c r="BJ1146" s="1"/>
  <c r="AZ1146"/>
  <c r="BE1146"/>
  <c r="BG1146" s="1"/>
  <c r="BK1146"/>
  <c r="BL1146" s="1"/>
  <c r="BD1146"/>
  <c r="BF1146" s="1"/>
  <c r="BA1147"/>
  <c r="AU1149" i="4" l="1"/>
  <c r="AZ1149"/>
  <c r="BB1149" s="1"/>
  <c r="AV1150"/>
  <c r="AY1149"/>
  <c r="BA1149" s="1"/>
  <c r="AW1149"/>
  <c r="BD1149" s="1"/>
  <c r="BE1149" s="1"/>
  <c r="BF1149"/>
  <c r="BG1149" s="1"/>
  <c r="BY1172" i="6"/>
  <c r="BZ1171"/>
  <c r="BW1171" s="1"/>
  <c r="BV1171"/>
  <c r="AR280"/>
  <c r="AV279"/>
  <c r="AZ1147" i="5"/>
  <c r="BE1147"/>
  <c r="BG1147" s="1"/>
  <c r="BA1148"/>
  <c r="BD1147"/>
  <c r="BF1147" s="1"/>
  <c r="BB1147"/>
  <c r="BI1147" s="1"/>
  <c r="BJ1147" s="1"/>
  <c r="BK1147"/>
  <c r="BL1147" s="1"/>
  <c r="BD1148" l="1"/>
  <c r="BF1148" s="1"/>
  <c r="BB1148"/>
  <c r="BK1148"/>
  <c r="BL1148" s="1"/>
  <c r="AZ1148"/>
  <c r="BE1148"/>
  <c r="BG1148" s="1"/>
  <c r="BI1148"/>
  <c r="BJ1148" s="1"/>
  <c r="BA1149"/>
  <c r="AS280" i="6"/>
  <c r="AT280"/>
  <c r="AU280" s="1"/>
  <c r="BZ1172"/>
  <c r="BY1173"/>
  <c r="BV1172"/>
  <c r="BW1172"/>
  <c r="AY1150" i="4"/>
  <c r="BA1150" s="1"/>
  <c r="BF1150"/>
  <c r="BG1150" s="1"/>
  <c r="AW1150"/>
  <c r="BD1150"/>
  <c r="BE1150" s="1"/>
  <c r="AU1150"/>
  <c r="AZ1150"/>
  <c r="BB1150" s="1"/>
  <c r="AV1151"/>
  <c r="BY1174" i="6" l="1"/>
  <c r="BV1173"/>
  <c r="BZ1173"/>
  <c r="BW1173" s="1"/>
  <c r="BK1149" i="5"/>
  <c r="BL1149" s="1"/>
  <c r="BA1150"/>
  <c r="BB1149"/>
  <c r="AZ1149"/>
  <c r="BI1149"/>
  <c r="BJ1149" s="1"/>
  <c r="BD1149"/>
  <c r="BF1149" s="1"/>
  <c r="BE1149"/>
  <c r="BG1149" s="1"/>
  <c r="BF1151" i="4"/>
  <c r="BG1151" s="1"/>
  <c r="AW1151"/>
  <c r="BD1151" s="1"/>
  <c r="BE1151" s="1"/>
  <c r="AU1151"/>
  <c r="AZ1151"/>
  <c r="BB1151" s="1"/>
  <c r="AV1152"/>
  <c r="AY1151"/>
  <c r="BA1151" s="1"/>
  <c r="AR281" i="6"/>
  <c r="AV280"/>
  <c r="BZ1174" l="1"/>
  <c r="BW1174" s="1"/>
  <c r="BY1175"/>
  <c r="BV1174"/>
  <c r="BB1150" i="5"/>
  <c r="BE1150"/>
  <c r="BG1150" s="1"/>
  <c r="BK1150"/>
  <c r="BL1150" s="1"/>
  <c r="BD1150"/>
  <c r="BF1150" s="1"/>
  <c r="BI1150"/>
  <c r="BJ1150" s="1"/>
  <c r="BA1151"/>
  <c r="AZ1150"/>
  <c r="AW1152" i="4"/>
  <c r="AU1152"/>
  <c r="AZ1152"/>
  <c r="BB1152" s="1"/>
  <c r="BD1152"/>
  <c r="BE1152" s="1"/>
  <c r="AV1153"/>
  <c r="BF1152"/>
  <c r="BG1152" s="1"/>
  <c r="AY1152"/>
  <c r="BA1152" s="1"/>
  <c r="AS281" i="6"/>
  <c r="AT281"/>
  <c r="AU281" s="1"/>
  <c r="AZ1151" i="5" l="1"/>
  <c r="BE1151"/>
  <c r="BG1151" s="1"/>
  <c r="BA1152"/>
  <c r="BB1151"/>
  <c r="BI1151" s="1"/>
  <c r="BJ1151" s="1"/>
  <c r="BK1151"/>
  <c r="BL1151" s="1"/>
  <c r="BD1151"/>
  <c r="BF1151" s="1"/>
  <c r="BY1176" i="6"/>
  <c r="BZ1175"/>
  <c r="BW1175" s="1"/>
  <c r="BV1175"/>
  <c r="AR282"/>
  <c r="AV281"/>
  <c r="AU1153" i="4"/>
  <c r="AZ1153"/>
  <c r="BB1153" s="1"/>
  <c r="AV1154"/>
  <c r="AY1153"/>
  <c r="BA1153" s="1"/>
  <c r="BF1153"/>
  <c r="BG1153" s="1"/>
  <c r="AW1153"/>
  <c r="BD1153" s="1"/>
  <c r="BE1153" s="1"/>
  <c r="AY1154" l="1"/>
  <c r="BA1154" s="1"/>
  <c r="BF1154"/>
  <c r="BG1154" s="1"/>
  <c r="AZ1154"/>
  <c r="BB1154" s="1"/>
  <c r="AU1154"/>
  <c r="AV1155"/>
  <c r="AW1154"/>
  <c r="BD1154"/>
  <c r="BE1154" s="1"/>
  <c r="AS282" i="6"/>
  <c r="AT282"/>
  <c r="AU282" s="1"/>
  <c r="BZ1176"/>
  <c r="BY1177"/>
  <c r="BW1176"/>
  <c r="BV1176"/>
  <c r="BD1152" i="5"/>
  <c r="BF1152" s="1"/>
  <c r="AZ1152"/>
  <c r="BE1152"/>
  <c r="BG1152" s="1"/>
  <c r="BI1152"/>
  <c r="BJ1152" s="1"/>
  <c r="BA1153"/>
  <c r="BK1152"/>
  <c r="BL1152" s="1"/>
  <c r="BB1152"/>
  <c r="BK1153" l="1"/>
  <c r="BL1153" s="1"/>
  <c r="BB1153"/>
  <c r="AZ1153"/>
  <c r="BE1153"/>
  <c r="BG1153" s="1"/>
  <c r="BI1153"/>
  <c r="BJ1153" s="1"/>
  <c r="BA1154"/>
  <c r="BD1153"/>
  <c r="BF1153" s="1"/>
  <c r="BY1178" i="6"/>
  <c r="BW1177"/>
  <c r="BZ1177"/>
  <c r="BV1177"/>
  <c r="BF1155" i="4"/>
  <c r="BG1155" s="1"/>
  <c r="AW1155"/>
  <c r="BD1155" s="1"/>
  <c r="BE1155" s="1"/>
  <c r="AY1155"/>
  <c r="BA1155" s="1"/>
  <c r="AZ1155"/>
  <c r="BB1155" s="1"/>
  <c r="AV1156"/>
  <c r="AU1155"/>
  <c r="AR283" i="6"/>
  <c r="AV282"/>
  <c r="AS283" l="1"/>
  <c r="AT283"/>
  <c r="AU283" s="1"/>
  <c r="BB1154" i="5"/>
  <c r="BD1154"/>
  <c r="BF1154" s="1"/>
  <c r="BI1154"/>
  <c r="BJ1154" s="1"/>
  <c r="BA1155"/>
  <c r="BE1154"/>
  <c r="BG1154" s="1"/>
  <c r="AZ1154"/>
  <c r="BK1154"/>
  <c r="BL1154" s="1"/>
  <c r="AW1156" i="4"/>
  <c r="BD1156" s="1"/>
  <c r="BE1156" s="1"/>
  <c r="AU1156"/>
  <c r="AZ1156"/>
  <c r="BB1156" s="1"/>
  <c r="AV1157"/>
  <c r="AY1156"/>
  <c r="BA1156" s="1"/>
  <c r="BF1156"/>
  <c r="BG1156" s="1"/>
  <c r="BZ1178" i="6"/>
  <c r="BV1178"/>
  <c r="BW1178"/>
  <c r="BY1179"/>
  <c r="BY1180" l="1"/>
  <c r="BZ1179"/>
  <c r="BW1179" s="1"/>
  <c r="BV1179"/>
  <c r="AR284"/>
  <c r="AV283"/>
  <c r="AU1157" i="4"/>
  <c r="AZ1157"/>
  <c r="BB1157" s="1"/>
  <c r="BD1157"/>
  <c r="BE1157" s="1"/>
  <c r="AV1158"/>
  <c r="AY1157"/>
  <c r="BA1157" s="1"/>
  <c r="AW1157"/>
  <c r="BF1157"/>
  <c r="BG1157" s="1"/>
  <c r="AZ1155" i="5"/>
  <c r="BE1155"/>
  <c r="BG1155" s="1"/>
  <c r="BI1155"/>
  <c r="BJ1155" s="1"/>
  <c r="BA1156"/>
  <c r="BB1155"/>
  <c r="BK1155"/>
  <c r="BL1155" s="1"/>
  <c r="BD1155"/>
  <c r="BF1155" s="1"/>
  <c r="BD1156" l="1"/>
  <c r="BF1156" s="1"/>
  <c r="BE1156"/>
  <c r="BG1156" s="1"/>
  <c r="BA1157"/>
  <c r="BK1156"/>
  <c r="BL1156" s="1"/>
  <c r="AZ1156"/>
  <c r="BB1156"/>
  <c r="BI1156" s="1"/>
  <c r="BJ1156" s="1"/>
  <c r="AT284" i="6"/>
  <c r="AU284" s="1"/>
  <c r="AS284"/>
  <c r="BZ1180"/>
  <c r="BY1181"/>
  <c r="BW1180"/>
  <c r="BV1180"/>
  <c r="AY1158" i="4"/>
  <c r="BA1158" s="1"/>
  <c r="BF1158"/>
  <c r="BG1158" s="1"/>
  <c r="AW1158"/>
  <c r="BD1158" s="1"/>
  <c r="BE1158" s="1"/>
  <c r="AZ1158"/>
  <c r="BB1158" s="1"/>
  <c r="AU1158"/>
  <c r="AV1159"/>
  <c r="BF1159" l="1"/>
  <c r="BG1159" s="1"/>
  <c r="AW1159"/>
  <c r="AU1159"/>
  <c r="BD1159"/>
  <c r="BE1159" s="1"/>
  <c r="AZ1159"/>
  <c r="BB1159" s="1"/>
  <c r="AY1159"/>
  <c r="BA1159" s="1"/>
  <c r="AV1160"/>
  <c r="AR285" i="6"/>
  <c r="AV284"/>
  <c r="BY1182"/>
  <c r="BZ1181"/>
  <c r="BW1181" s="1"/>
  <c r="BV1181"/>
  <c r="BK1157" i="5"/>
  <c r="BL1157" s="1"/>
  <c r="AZ1157"/>
  <c r="BE1157"/>
  <c r="BG1157" s="1"/>
  <c r="BD1157"/>
  <c r="BF1157" s="1"/>
  <c r="BI1157"/>
  <c r="BJ1157" s="1"/>
  <c r="BB1157"/>
  <c r="BA1158"/>
  <c r="BZ1182" i="6" l="1"/>
  <c r="BW1182" s="1"/>
  <c r="BY1183"/>
  <c r="BV1182"/>
  <c r="AW1160" i="4"/>
  <c r="BD1160" s="1"/>
  <c r="BE1160" s="1"/>
  <c r="AU1160"/>
  <c r="AZ1160"/>
  <c r="BB1160" s="1"/>
  <c r="AV1161"/>
  <c r="BF1160"/>
  <c r="BG1160" s="1"/>
  <c r="AY1160"/>
  <c r="BA1160" s="1"/>
  <c r="BB1158" i="5"/>
  <c r="BA1159"/>
  <c r="AZ1158"/>
  <c r="BD1158"/>
  <c r="BF1158" s="1"/>
  <c r="BK1158"/>
  <c r="BL1158" s="1"/>
  <c r="BE1158"/>
  <c r="BG1158" s="1"/>
  <c r="BI1158"/>
  <c r="BJ1158" s="1"/>
  <c r="AS285" i="6"/>
  <c r="AT285"/>
  <c r="AU285" s="1"/>
  <c r="AZ1159" i="5" l="1"/>
  <c r="BE1159"/>
  <c r="BG1159" s="1"/>
  <c r="BA1160"/>
  <c r="BK1159"/>
  <c r="BL1159" s="1"/>
  <c r="BD1159"/>
  <c r="BF1159" s="1"/>
  <c r="BB1159"/>
  <c r="BI1159" s="1"/>
  <c r="BJ1159" s="1"/>
  <c r="AU1161" i="4"/>
  <c r="AZ1161"/>
  <c r="BB1161" s="1"/>
  <c r="AV1162"/>
  <c r="AY1161"/>
  <c r="BA1161" s="1"/>
  <c r="BF1161"/>
  <c r="BG1161" s="1"/>
  <c r="AW1161"/>
  <c r="BD1161" s="1"/>
  <c r="BE1161" s="1"/>
  <c r="BY1184" i="6"/>
  <c r="BZ1183"/>
  <c r="BW1183"/>
  <c r="BV1183"/>
  <c r="AR286"/>
  <c r="AV285"/>
  <c r="AS286" l="1"/>
  <c r="AT286"/>
  <c r="AU286" s="1"/>
  <c r="BZ1184"/>
  <c r="BY1185"/>
  <c r="BW1184"/>
  <c r="BV1184"/>
  <c r="AY1162" i="4"/>
  <c r="BA1162" s="1"/>
  <c r="BF1162"/>
  <c r="BG1162" s="1"/>
  <c r="AZ1162"/>
  <c r="BB1162" s="1"/>
  <c r="AU1162"/>
  <c r="AV1163"/>
  <c r="AW1162"/>
  <c r="BD1162" s="1"/>
  <c r="BE1162" s="1"/>
  <c r="BD1160" i="5"/>
  <c r="BF1160" s="1"/>
  <c r="BA1161"/>
  <c r="BB1160"/>
  <c r="BK1160"/>
  <c r="BL1160" s="1"/>
  <c r="BE1160"/>
  <c r="BG1160" s="1"/>
  <c r="BI1160"/>
  <c r="BJ1160" s="1"/>
  <c r="AZ1160"/>
  <c r="AR287" i="6" l="1"/>
  <c r="AV286"/>
  <c r="BK1161" i="5"/>
  <c r="BL1161" s="1"/>
  <c r="BD1161"/>
  <c r="BF1161" s="1"/>
  <c r="BA1162"/>
  <c r="BE1161"/>
  <c r="BG1161" s="1"/>
  <c r="AZ1161"/>
  <c r="BB1161"/>
  <c r="BI1161" s="1"/>
  <c r="BJ1161" s="1"/>
  <c r="BF1163" i="4"/>
  <c r="BG1163" s="1"/>
  <c r="AW1163"/>
  <c r="AY1163"/>
  <c r="BA1163" s="1"/>
  <c r="AZ1163"/>
  <c r="BB1163" s="1"/>
  <c r="AV1164"/>
  <c r="BD1163"/>
  <c r="BE1163" s="1"/>
  <c r="AU1163"/>
  <c r="BY1186" i="6"/>
  <c r="BZ1185"/>
  <c r="BW1185" s="1"/>
  <c r="BV1185"/>
  <c r="AS287" l="1"/>
  <c r="AT287"/>
  <c r="AU287" s="1"/>
  <c r="AW1164" i="4"/>
  <c r="AU1164"/>
  <c r="AZ1164"/>
  <c r="BB1164" s="1"/>
  <c r="BD1164"/>
  <c r="BE1164" s="1"/>
  <c r="AV1165"/>
  <c r="BF1164"/>
  <c r="BG1164" s="1"/>
  <c r="AY1164"/>
  <c r="BA1164" s="1"/>
  <c r="BB1162" i="5"/>
  <c r="AZ1162"/>
  <c r="BE1162"/>
  <c r="BG1162" s="1"/>
  <c r="BK1162"/>
  <c r="BL1162" s="1"/>
  <c r="BI1162"/>
  <c r="BJ1162" s="1"/>
  <c r="BA1163"/>
  <c r="BD1162"/>
  <c r="BF1162" s="1"/>
  <c r="BZ1186" i="6"/>
  <c r="BW1186" s="1"/>
  <c r="BV1186"/>
  <c r="BY1187"/>
  <c r="AR288" l="1"/>
  <c r="AV287"/>
  <c r="AZ1163" i="5"/>
  <c r="BE1163"/>
  <c r="BG1163" s="1"/>
  <c r="BI1163"/>
  <c r="BJ1163" s="1"/>
  <c r="BA1164"/>
  <c r="BD1163"/>
  <c r="BF1163" s="1"/>
  <c r="BB1163"/>
  <c r="BK1163"/>
  <c r="BL1163" s="1"/>
  <c r="AU1165" i="4"/>
  <c r="AZ1165"/>
  <c r="BB1165" s="1"/>
  <c r="AV1166"/>
  <c r="AY1165"/>
  <c r="BA1165" s="1"/>
  <c r="AW1165"/>
  <c r="BD1165" s="1"/>
  <c r="BE1165" s="1"/>
  <c r="BF1165"/>
  <c r="BG1165" s="1"/>
  <c r="BY1188" i="6"/>
  <c r="BZ1187"/>
  <c r="BW1187" s="1"/>
  <c r="BV1187"/>
  <c r="BD1164" i="5" l="1"/>
  <c r="BF1164" s="1"/>
  <c r="BB1164"/>
  <c r="BK1164"/>
  <c r="BL1164" s="1"/>
  <c r="AZ1164"/>
  <c r="BI1164"/>
  <c r="BJ1164" s="1"/>
  <c r="BA1165"/>
  <c r="BE1164"/>
  <c r="BG1164" s="1"/>
  <c r="BZ1188" i="6"/>
  <c r="BY1189"/>
  <c r="BV1188"/>
  <c r="BW1188"/>
  <c r="AY1166" i="4"/>
  <c r="BA1166" s="1"/>
  <c r="BF1166"/>
  <c r="BG1166" s="1"/>
  <c r="AW1166"/>
  <c r="BD1166"/>
  <c r="BE1166" s="1"/>
  <c r="AU1166"/>
  <c r="AZ1166"/>
  <c r="BB1166" s="1"/>
  <c r="AV1167"/>
  <c r="AS288" i="6"/>
  <c r="AT288"/>
  <c r="AU288" s="1"/>
  <c r="BF1167" i="4" l="1"/>
  <c r="BG1167" s="1"/>
  <c r="AW1167"/>
  <c r="BD1167" s="1"/>
  <c r="BE1167" s="1"/>
  <c r="AU1167"/>
  <c r="AZ1167"/>
  <c r="BB1167" s="1"/>
  <c r="AV1168"/>
  <c r="AY1167"/>
  <c r="BA1167" s="1"/>
  <c r="BK1165" i="5"/>
  <c r="BL1165" s="1"/>
  <c r="BA1166"/>
  <c r="BB1165"/>
  <c r="BD1165"/>
  <c r="BF1165" s="1"/>
  <c r="BE1165"/>
  <c r="BG1165" s="1"/>
  <c r="AZ1165"/>
  <c r="BI1165"/>
  <c r="BJ1165" s="1"/>
  <c r="BY1190" i="6"/>
  <c r="BW1189"/>
  <c r="BV1189"/>
  <c r="BZ1189"/>
  <c r="AR289"/>
  <c r="AV288"/>
  <c r="AW1168" i="4" l="1"/>
  <c r="BD1168" s="1"/>
  <c r="BE1168" s="1"/>
  <c r="AU1168"/>
  <c r="AZ1168"/>
  <c r="BB1168" s="1"/>
  <c r="AV1169"/>
  <c r="BF1168"/>
  <c r="BG1168" s="1"/>
  <c r="AY1168"/>
  <c r="BA1168" s="1"/>
  <c r="BB1166" i="5"/>
  <c r="BE1166"/>
  <c r="BG1166" s="1"/>
  <c r="BK1166"/>
  <c r="BL1166" s="1"/>
  <c r="BD1166"/>
  <c r="BF1166" s="1"/>
  <c r="BI1166"/>
  <c r="BJ1166" s="1"/>
  <c r="AZ1166"/>
  <c r="BA1167"/>
  <c r="AS289" i="6"/>
  <c r="AT289"/>
  <c r="AU289" s="1"/>
  <c r="BZ1190"/>
  <c r="BW1190" s="1"/>
  <c r="BY1191"/>
  <c r="BV1190"/>
  <c r="AU1169" i="4" l="1"/>
  <c r="AZ1169"/>
  <c r="BB1169" s="1"/>
  <c r="AV1170"/>
  <c r="AY1169"/>
  <c r="BA1169" s="1"/>
  <c r="BF1169"/>
  <c r="BG1169" s="1"/>
  <c r="AW1169"/>
  <c r="BD1169" s="1"/>
  <c r="BE1169" s="1"/>
  <c r="BY1192" i="6"/>
  <c r="BZ1191"/>
  <c r="BW1191" s="1"/>
  <c r="BV1191"/>
  <c r="AZ1167" i="5"/>
  <c r="BE1167"/>
  <c r="BG1167" s="1"/>
  <c r="BI1167"/>
  <c r="BJ1167" s="1"/>
  <c r="BA1168"/>
  <c r="BB1167"/>
  <c r="BD1167"/>
  <c r="BF1167" s="1"/>
  <c r="BK1167"/>
  <c r="BL1167" s="1"/>
  <c r="AR290" i="6"/>
  <c r="AV289"/>
  <c r="AS290" l="1"/>
  <c r="AT290"/>
  <c r="AU290" s="1"/>
  <c r="BD1168" i="5"/>
  <c r="BF1168" s="1"/>
  <c r="AZ1168"/>
  <c r="BE1168"/>
  <c r="BG1168" s="1"/>
  <c r="BI1168"/>
  <c r="BJ1168" s="1"/>
  <c r="BB1168"/>
  <c r="BK1168"/>
  <c r="BL1168" s="1"/>
  <c r="BA1169"/>
  <c r="BZ1192" i="6"/>
  <c r="BW1192" s="1"/>
  <c r="BY1193"/>
  <c r="BV1192"/>
  <c r="AY1170" i="4"/>
  <c r="BA1170" s="1"/>
  <c r="BF1170"/>
  <c r="BG1170" s="1"/>
  <c r="AZ1170"/>
  <c r="BB1170" s="1"/>
  <c r="AU1170"/>
  <c r="AV1171"/>
  <c r="AW1170"/>
  <c r="BD1170" s="1"/>
  <c r="BE1170" s="1"/>
  <c r="AR291" i="6" l="1"/>
  <c r="AV290"/>
  <c r="BF1171" i="4"/>
  <c r="BG1171" s="1"/>
  <c r="AW1171"/>
  <c r="AY1171"/>
  <c r="BA1171" s="1"/>
  <c r="AZ1171"/>
  <c r="BB1171" s="1"/>
  <c r="AV1172"/>
  <c r="BD1171"/>
  <c r="BE1171" s="1"/>
  <c r="AU1171"/>
  <c r="BY1194" i="6"/>
  <c r="BW1193"/>
  <c r="BZ1193"/>
  <c r="BV1193"/>
  <c r="BK1169" i="5"/>
  <c r="BL1169" s="1"/>
  <c r="BB1169"/>
  <c r="AZ1169"/>
  <c r="BE1169"/>
  <c r="BG1169" s="1"/>
  <c r="BD1169"/>
  <c r="BF1169" s="1"/>
  <c r="BI1169"/>
  <c r="BJ1169" s="1"/>
  <c r="BA1170"/>
  <c r="BZ1194" i="6" l="1"/>
  <c r="BW1194" s="1"/>
  <c r="BV1194"/>
  <c r="BY1195"/>
  <c r="AW1172" i="4"/>
  <c r="BD1172" s="1"/>
  <c r="BE1172" s="1"/>
  <c r="AU1172"/>
  <c r="AZ1172"/>
  <c r="BB1172" s="1"/>
  <c r="AV1173"/>
  <c r="AY1172"/>
  <c r="BA1172" s="1"/>
  <c r="BF1172"/>
  <c r="BG1172" s="1"/>
  <c r="AS291" i="6"/>
  <c r="AT291"/>
  <c r="AU291" s="1"/>
  <c r="BB1170" i="5"/>
  <c r="BI1170" s="1"/>
  <c r="BJ1170" s="1"/>
  <c r="BD1170"/>
  <c r="BF1170" s="1"/>
  <c r="BA1171"/>
  <c r="AZ1170"/>
  <c r="BK1170"/>
  <c r="BL1170" s="1"/>
  <c r="BE1170"/>
  <c r="BG1170" s="1"/>
  <c r="AZ1171" l="1"/>
  <c r="BE1171"/>
  <c r="BG1171" s="1"/>
  <c r="BA1172"/>
  <c r="BB1171"/>
  <c r="BI1171" s="1"/>
  <c r="BJ1171" s="1"/>
  <c r="BK1171"/>
  <c r="BL1171" s="1"/>
  <c r="BD1171"/>
  <c r="BF1171" s="1"/>
  <c r="AU1173" i="4"/>
  <c r="AZ1173"/>
  <c r="BB1173" s="1"/>
  <c r="AV1174"/>
  <c r="AY1173"/>
  <c r="BA1173" s="1"/>
  <c r="AW1173"/>
  <c r="BD1173" s="1"/>
  <c r="BE1173" s="1"/>
  <c r="BF1173"/>
  <c r="BG1173" s="1"/>
  <c r="AR292" i="6"/>
  <c r="AV291"/>
  <c r="BY1196"/>
  <c r="BZ1195"/>
  <c r="BW1195" s="1"/>
  <c r="BV1195"/>
  <c r="AT292" l="1"/>
  <c r="AU292" s="1"/>
  <c r="AS292"/>
  <c r="AY1174" i="4"/>
  <c r="BA1174" s="1"/>
  <c r="BF1174"/>
  <c r="BG1174" s="1"/>
  <c r="AW1174"/>
  <c r="BD1174" s="1"/>
  <c r="BE1174" s="1"/>
  <c r="AZ1174"/>
  <c r="BB1174" s="1"/>
  <c r="AU1174"/>
  <c r="AV1175"/>
  <c r="BZ1196" i="6"/>
  <c r="BW1196" s="1"/>
  <c r="BY1197"/>
  <c r="BV1196"/>
  <c r="BD1172" i="5"/>
  <c r="BF1172" s="1"/>
  <c r="BE1172"/>
  <c r="BG1172" s="1"/>
  <c r="BA1173"/>
  <c r="BB1172"/>
  <c r="BI1172" s="1"/>
  <c r="BJ1172" s="1"/>
  <c r="AZ1172"/>
  <c r="BK1172"/>
  <c r="BL1172" s="1"/>
  <c r="BK1173" l="1"/>
  <c r="BL1173" s="1"/>
  <c r="AZ1173"/>
  <c r="BE1173"/>
  <c r="BG1173" s="1"/>
  <c r="BD1173"/>
  <c r="BF1173" s="1"/>
  <c r="BI1173"/>
  <c r="BJ1173" s="1"/>
  <c r="BA1174"/>
  <c r="BB1173"/>
  <c r="AR293" i="6"/>
  <c r="AV292"/>
  <c r="BF1175" i="4"/>
  <c r="BG1175" s="1"/>
  <c r="AW1175"/>
  <c r="AU1175"/>
  <c r="BD1175"/>
  <c r="BE1175" s="1"/>
  <c r="AY1175"/>
  <c r="BA1175" s="1"/>
  <c r="AV1176"/>
  <c r="AZ1175"/>
  <c r="BB1175" s="1"/>
  <c r="BY1198" i="6"/>
  <c r="BZ1197"/>
  <c r="BW1197" s="1"/>
  <c r="BV1197"/>
  <c r="BB1174" i="5" l="1"/>
  <c r="BI1174" s="1"/>
  <c r="BJ1174" s="1"/>
  <c r="BA1175"/>
  <c r="AZ1174"/>
  <c r="BK1174"/>
  <c r="BL1174" s="1"/>
  <c r="BE1174"/>
  <c r="BG1174" s="1"/>
  <c r="BD1174"/>
  <c r="BF1174" s="1"/>
  <c r="BZ1198" i="6"/>
  <c r="BY1199"/>
  <c r="BV1198"/>
  <c r="BW1198"/>
  <c r="AW1176" i="4"/>
  <c r="AU1176"/>
  <c r="AZ1176"/>
  <c r="BB1176" s="1"/>
  <c r="BD1176"/>
  <c r="BE1176" s="1"/>
  <c r="AV1177"/>
  <c r="BF1176"/>
  <c r="BG1176" s="1"/>
  <c r="AY1176"/>
  <c r="BA1176" s="1"/>
  <c r="AS293" i="6"/>
  <c r="AT293"/>
  <c r="AU293" s="1"/>
  <c r="BY1200" l="1"/>
  <c r="BZ1199"/>
  <c r="BW1199"/>
  <c r="BV1199"/>
  <c r="AZ1175" i="5"/>
  <c r="BE1175"/>
  <c r="BG1175" s="1"/>
  <c r="BA1176"/>
  <c r="BK1175"/>
  <c r="BL1175" s="1"/>
  <c r="BD1175"/>
  <c r="BF1175" s="1"/>
  <c r="BB1175"/>
  <c r="BI1175" s="1"/>
  <c r="BJ1175" s="1"/>
  <c r="AR294" i="6"/>
  <c r="AV293"/>
  <c r="AU1177" i="4"/>
  <c r="AZ1177"/>
  <c r="BB1177" s="1"/>
  <c r="AV1178"/>
  <c r="AY1177"/>
  <c r="BA1177" s="1"/>
  <c r="BF1177"/>
  <c r="BG1177" s="1"/>
  <c r="AW1177"/>
  <c r="BD1177" s="1"/>
  <c r="BE1177" s="1"/>
  <c r="AY1178" l="1"/>
  <c r="BA1178" s="1"/>
  <c r="BF1178"/>
  <c r="BG1178" s="1"/>
  <c r="AZ1178"/>
  <c r="BB1178" s="1"/>
  <c r="AU1178"/>
  <c r="AV1179"/>
  <c r="AW1178"/>
  <c r="BD1178" s="1"/>
  <c r="BE1178" s="1"/>
  <c r="BZ1200" i="6"/>
  <c r="BY1201"/>
  <c r="BW1200"/>
  <c r="BV1200"/>
  <c r="AS294"/>
  <c r="AT294"/>
  <c r="AU294" s="1"/>
  <c r="BD1176" i="5"/>
  <c r="BF1176" s="1"/>
  <c r="BA1177"/>
  <c r="BB1176"/>
  <c r="BK1176"/>
  <c r="BL1176" s="1"/>
  <c r="AZ1176"/>
  <c r="BI1176"/>
  <c r="BJ1176" s="1"/>
  <c r="BE1176"/>
  <c r="BG1176" s="1"/>
  <c r="BY1202" i="6" l="1"/>
  <c r="BZ1201"/>
  <c r="BW1201" s="1"/>
  <c r="BV1201"/>
  <c r="BF1179" i="4"/>
  <c r="BG1179" s="1"/>
  <c r="AW1179"/>
  <c r="AY1179"/>
  <c r="BA1179" s="1"/>
  <c r="AZ1179"/>
  <c r="BB1179" s="1"/>
  <c r="AV1180"/>
  <c r="BD1179"/>
  <c r="BE1179" s="1"/>
  <c r="AU1179"/>
  <c r="BK1177" i="5"/>
  <c r="BL1177" s="1"/>
  <c r="BD1177"/>
  <c r="BF1177" s="1"/>
  <c r="BA1178"/>
  <c r="BB1177"/>
  <c r="BI1177" s="1"/>
  <c r="BJ1177" s="1"/>
  <c r="BE1177"/>
  <c r="BG1177" s="1"/>
  <c r="AZ1177"/>
  <c r="AR295" i="6"/>
  <c r="AV294"/>
  <c r="AW1180" i="4" l="1"/>
  <c r="BD1180" s="1"/>
  <c r="BE1180" s="1"/>
  <c r="AU1180"/>
  <c r="AZ1180"/>
  <c r="BB1180" s="1"/>
  <c r="AV1181"/>
  <c r="BF1180"/>
  <c r="BG1180" s="1"/>
  <c r="AY1180"/>
  <c r="BA1180" s="1"/>
  <c r="BZ1202" i="6"/>
  <c r="BW1202" s="1"/>
  <c r="BV1202"/>
  <c r="BY1203"/>
  <c r="AS295"/>
  <c r="AT295"/>
  <c r="AU295" s="1"/>
  <c r="BB1178" i="5"/>
  <c r="AZ1178"/>
  <c r="BE1178"/>
  <c r="BG1178" s="1"/>
  <c r="BK1178"/>
  <c r="BL1178" s="1"/>
  <c r="BD1178"/>
  <c r="BF1178" s="1"/>
  <c r="BA1179"/>
  <c r="BI1178"/>
  <c r="BJ1178" s="1"/>
  <c r="AU1181" i="4" l="1"/>
  <c r="AZ1181"/>
  <c r="BB1181" s="1"/>
  <c r="AV1182"/>
  <c r="AY1181"/>
  <c r="BA1181" s="1"/>
  <c r="AW1181"/>
  <c r="BD1181" s="1"/>
  <c r="BE1181" s="1"/>
  <c r="BF1181"/>
  <c r="BG1181" s="1"/>
  <c r="AZ1179" i="5"/>
  <c r="BE1179"/>
  <c r="BG1179" s="1"/>
  <c r="BA1180"/>
  <c r="BD1179"/>
  <c r="BF1179" s="1"/>
  <c r="BB1179"/>
  <c r="BI1179" s="1"/>
  <c r="BJ1179" s="1"/>
  <c r="BK1179"/>
  <c r="BL1179" s="1"/>
  <c r="BY1204" i="6"/>
  <c r="BZ1203"/>
  <c r="BW1203" s="1"/>
  <c r="BV1203"/>
  <c r="AR296"/>
  <c r="AV295"/>
  <c r="AS296" l="1"/>
  <c r="AT296"/>
  <c r="AU296" s="1"/>
  <c r="BZ1204"/>
  <c r="BY1205"/>
  <c r="BV1204"/>
  <c r="BW1204"/>
  <c r="BD1180" i="5"/>
  <c r="BF1180" s="1"/>
  <c r="BB1180"/>
  <c r="BK1180"/>
  <c r="BL1180" s="1"/>
  <c r="AZ1180"/>
  <c r="BE1180"/>
  <c r="BG1180" s="1"/>
  <c r="BA1181"/>
  <c r="BI1180"/>
  <c r="BJ1180" s="1"/>
  <c r="AY1182" i="4"/>
  <c r="BA1182" s="1"/>
  <c r="BF1182"/>
  <c r="BG1182" s="1"/>
  <c r="AW1182"/>
  <c r="BD1182"/>
  <c r="BE1182" s="1"/>
  <c r="AZ1182"/>
  <c r="BB1182" s="1"/>
  <c r="AV1183"/>
  <c r="AU1182"/>
  <c r="AR297" i="6" l="1"/>
  <c r="AV296"/>
  <c r="BF1183" i="4"/>
  <c r="BG1183" s="1"/>
  <c r="AW1183"/>
  <c r="AU1183"/>
  <c r="BD1183"/>
  <c r="BE1183" s="1"/>
  <c r="AZ1183"/>
  <c r="BB1183" s="1"/>
  <c r="AY1183"/>
  <c r="BA1183" s="1"/>
  <c r="AV1184"/>
  <c r="BK1181" i="5"/>
  <c r="BL1181" s="1"/>
  <c r="BA1182"/>
  <c r="BB1181"/>
  <c r="AZ1181"/>
  <c r="BI1181"/>
  <c r="BJ1181" s="1"/>
  <c r="BE1181"/>
  <c r="BG1181" s="1"/>
  <c r="BD1181"/>
  <c r="BF1181" s="1"/>
  <c r="BY1206" i="6"/>
  <c r="BW1205"/>
  <c r="BV1205"/>
  <c r="BZ1205"/>
  <c r="BZ1206" l="1"/>
  <c r="BW1206" s="1"/>
  <c r="BY1207"/>
  <c r="BV1206"/>
  <c r="AW1184" i="4"/>
  <c r="BD1184" s="1"/>
  <c r="BE1184" s="1"/>
  <c r="AU1184"/>
  <c r="AZ1184"/>
  <c r="BB1184" s="1"/>
  <c r="AV1185"/>
  <c r="BF1184"/>
  <c r="BG1184" s="1"/>
  <c r="AY1184"/>
  <c r="BA1184" s="1"/>
  <c r="AS297" i="6"/>
  <c r="AT297"/>
  <c r="AU297" s="1"/>
  <c r="BB1182" i="5"/>
  <c r="BE1182"/>
  <c r="BG1182" s="1"/>
  <c r="BK1182"/>
  <c r="BL1182" s="1"/>
  <c r="BD1182"/>
  <c r="BF1182" s="1"/>
  <c r="BI1182"/>
  <c r="BJ1182" s="1"/>
  <c r="BA1183"/>
  <c r="AZ1182"/>
  <c r="AU1185" i="4" l="1"/>
  <c r="AZ1185"/>
  <c r="BB1185" s="1"/>
  <c r="AV1186"/>
  <c r="AY1185"/>
  <c r="BA1185" s="1"/>
  <c r="BF1185"/>
  <c r="BG1185" s="1"/>
  <c r="AW1185"/>
  <c r="BD1185" s="1"/>
  <c r="BE1185" s="1"/>
  <c r="BY1208" i="6"/>
  <c r="BZ1207"/>
  <c r="BW1207" s="1"/>
  <c r="BV1207"/>
  <c r="AZ1183" i="5"/>
  <c r="BE1183"/>
  <c r="BG1183" s="1"/>
  <c r="BI1183"/>
  <c r="BJ1183" s="1"/>
  <c r="BA1184"/>
  <c r="BB1183"/>
  <c r="BD1183"/>
  <c r="BF1183" s="1"/>
  <c r="BK1183"/>
  <c r="BL1183" s="1"/>
  <c r="AR298" i="6"/>
  <c r="AV297"/>
  <c r="AS298" l="1"/>
  <c r="AT298"/>
  <c r="AU298" s="1"/>
  <c r="BD1184" i="5"/>
  <c r="BF1184" s="1"/>
  <c r="AZ1184"/>
  <c r="BE1184"/>
  <c r="BG1184" s="1"/>
  <c r="BI1184"/>
  <c r="BJ1184" s="1"/>
  <c r="BA1185"/>
  <c r="BB1184"/>
  <c r="BK1184"/>
  <c r="BL1184" s="1"/>
  <c r="BZ1208" i="6"/>
  <c r="BW1208" s="1"/>
  <c r="BY1209"/>
  <c r="BV1208"/>
  <c r="AY1186" i="4"/>
  <c r="BA1186" s="1"/>
  <c r="BF1186"/>
  <c r="BG1186" s="1"/>
  <c r="AZ1186"/>
  <c r="BB1186" s="1"/>
  <c r="AU1186"/>
  <c r="AV1187"/>
  <c r="AW1186"/>
  <c r="BD1186" s="1"/>
  <c r="BE1186" s="1"/>
  <c r="BF1187" l="1"/>
  <c r="BG1187" s="1"/>
  <c r="AW1187"/>
  <c r="AY1187"/>
  <c r="BA1187" s="1"/>
  <c r="AZ1187"/>
  <c r="BB1187" s="1"/>
  <c r="AV1188"/>
  <c r="AU1187"/>
  <c r="BD1187"/>
  <c r="BE1187" s="1"/>
  <c r="AR299" i="6"/>
  <c r="AV298"/>
  <c r="BY1210"/>
  <c r="BW1209"/>
  <c r="BZ1209"/>
  <c r="BV1209"/>
  <c r="BK1185" i="5"/>
  <c r="BL1185" s="1"/>
  <c r="BB1185"/>
  <c r="BI1185" s="1"/>
  <c r="BJ1185" s="1"/>
  <c r="AZ1185"/>
  <c r="BE1185"/>
  <c r="BG1185" s="1"/>
  <c r="BA1186"/>
  <c r="BD1185"/>
  <c r="BF1185" s="1"/>
  <c r="AW1188" i="4" l="1"/>
  <c r="BD1188" s="1"/>
  <c r="BE1188" s="1"/>
  <c r="AU1188"/>
  <c r="AZ1188"/>
  <c r="BB1188" s="1"/>
  <c r="AV1189"/>
  <c r="AY1188"/>
  <c r="BA1188" s="1"/>
  <c r="BF1188"/>
  <c r="BG1188" s="1"/>
  <c r="BZ1210" i="6"/>
  <c r="BV1210"/>
  <c r="BW1210"/>
  <c r="BY1211"/>
  <c r="BB1186" i="5"/>
  <c r="BD1186"/>
  <c r="BF1186" s="1"/>
  <c r="BI1186"/>
  <c r="BJ1186" s="1"/>
  <c r="BA1187"/>
  <c r="BE1186"/>
  <c r="BG1186" s="1"/>
  <c r="AZ1186"/>
  <c r="BK1186"/>
  <c r="BL1186" s="1"/>
  <c r="AS299" i="6"/>
  <c r="AT299"/>
  <c r="AU299" s="1"/>
  <c r="AU1189" i="4" l="1"/>
  <c r="AZ1189"/>
  <c r="BB1189" s="1"/>
  <c r="AV1190"/>
  <c r="AY1189"/>
  <c r="BA1189" s="1"/>
  <c r="AW1189"/>
  <c r="BD1189" s="1"/>
  <c r="BE1189" s="1"/>
  <c r="BF1189"/>
  <c r="BG1189" s="1"/>
  <c r="AR300" i="6"/>
  <c r="AV299"/>
  <c r="AZ1187" i="5"/>
  <c r="BE1187"/>
  <c r="BG1187" s="1"/>
  <c r="BA1188"/>
  <c r="BB1187"/>
  <c r="BI1187" s="1"/>
  <c r="BJ1187" s="1"/>
  <c r="BK1187"/>
  <c r="BL1187" s="1"/>
  <c r="BD1187"/>
  <c r="BF1187" s="1"/>
  <c r="BY1212" i="6"/>
  <c r="BZ1211"/>
  <c r="BW1211" s="1"/>
  <c r="BV1211"/>
  <c r="BZ1212" l="1"/>
  <c r="BW1212" s="1"/>
  <c r="BY1213"/>
  <c r="BV1212"/>
  <c r="BD1188" i="5"/>
  <c r="BF1188" s="1"/>
  <c r="BE1188"/>
  <c r="BG1188" s="1"/>
  <c r="BA1189"/>
  <c r="BK1188"/>
  <c r="BL1188" s="1"/>
  <c r="AZ1188"/>
  <c r="BB1188"/>
  <c r="BI1188" s="1"/>
  <c r="BJ1188" s="1"/>
  <c r="AT300" i="6"/>
  <c r="AU300" s="1"/>
  <c r="AS300"/>
  <c r="AY1190" i="4"/>
  <c r="BA1190" s="1"/>
  <c r="BF1190"/>
  <c r="BG1190" s="1"/>
  <c r="AW1190"/>
  <c r="BD1190" s="1"/>
  <c r="BE1190" s="1"/>
  <c r="AZ1190"/>
  <c r="BB1190" s="1"/>
  <c r="AU1190"/>
  <c r="AV1191"/>
  <c r="BF1191" l="1"/>
  <c r="BG1191" s="1"/>
  <c r="AW1191"/>
  <c r="AU1191"/>
  <c r="BD1191"/>
  <c r="BE1191" s="1"/>
  <c r="AY1191"/>
  <c r="BA1191" s="1"/>
  <c r="AV1192"/>
  <c r="AZ1191"/>
  <c r="BB1191" s="1"/>
  <c r="BY1214" i="6"/>
  <c r="BW1213"/>
  <c r="BZ1213"/>
  <c r="BV1213"/>
  <c r="AR301"/>
  <c r="AV300"/>
  <c r="BK1189" i="5"/>
  <c r="BL1189" s="1"/>
  <c r="AZ1189"/>
  <c r="BE1189"/>
  <c r="BG1189" s="1"/>
  <c r="BD1189"/>
  <c r="BF1189" s="1"/>
  <c r="BB1189"/>
  <c r="BI1189" s="1"/>
  <c r="BJ1189" s="1"/>
  <c r="BA1190"/>
  <c r="AW1192" i="4" l="1"/>
  <c r="BD1192" s="1"/>
  <c r="BE1192" s="1"/>
  <c r="AU1192"/>
  <c r="AZ1192"/>
  <c r="BB1192" s="1"/>
  <c r="AV1193"/>
  <c r="BF1192"/>
  <c r="BG1192" s="1"/>
  <c r="AY1192"/>
  <c r="BA1192" s="1"/>
  <c r="BB1190" i="5"/>
  <c r="BA1191"/>
  <c r="AZ1190"/>
  <c r="BD1190"/>
  <c r="BF1190" s="1"/>
  <c r="BK1190"/>
  <c r="BL1190" s="1"/>
  <c r="BE1190"/>
  <c r="BG1190" s="1"/>
  <c r="BI1190"/>
  <c r="BJ1190" s="1"/>
  <c r="AS301" i="6"/>
  <c r="AT301"/>
  <c r="AU301" s="1"/>
  <c r="BZ1214"/>
  <c r="BY1215"/>
  <c r="BV1214"/>
  <c r="BW1214"/>
  <c r="AR302" l="1"/>
  <c r="AV301"/>
  <c r="AZ1191" i="5"/>
  <c r="BE1191"/>
  <c r="BG1191" s="1"/>
  <c r="BA1192"/>
  <c r="BK1191"/>
  <c r="BL1191" s="1"/>
  <c r="BD1191"/>
  <c r="BF1191" s="1"/>
  <c r="BB1191"/>
  <c r="BI1191" s="1"/>
  <c r="BJ1191" s="1"/>
  <c r="AU1193" i="4"/>
  <c r="AZ1193"/>
  <c r="BB1193" s="1"/>
  <c r="AV1194"/>
  <c r="AY1193"/>
  <c r="BA1193" s="1"/>
  <c r="BF1193"/>
  <c r="BG1193" s="1"/>
  <c r="AW1193"/>
  <c r="BD1193" s="1"/>
  <c r="BE1193" s="1"/>
  <c r="BY1216" i="6"/>
  <c r="BZ1215"/>
  <c r="BW1215" s="1"/>
  <c r="BV1215"/>
  <c r="BZ1216" l="1"/>
  <c r="BW1216" s="1"/>
  <c r="BY1217"/>
  <c r="BV1216"/>
  <c r="AY1194" i="4"/>
  <c r="BA1194" s="1"/>
  <c r="BF1194"/>
  <c r="BG1194" s="1"/>
  <c r="AZ1194"/>
  <c r="BB1194" s="1"/>
  <c r="AU1194"/>
  <c r="AV1195"/>
  <c r="AW1194"/>
  <c r="BD1194" s="1"/>
  <c r="BE1194" s="1"/>
  <c r="AS302" i="6"/>
  <c r="AT302"/>
  <c r="AU302" s="1"/>
  <c r="BD1192" i="5"/>
  <c r="BF1192" s="1"/>
  <c r="BA1193"/>
  <c r="BB1192"/>
  <c r="BK1192"/>
  <c r="BL1192" s="1"/>
  <c r="BE1192"/>
  <c r="BG1192" s="1"/>
  <c r="AZ1192"/>
  <c r="BI1192"/>
  <c r="BJ1192" s="1"/>
  <c r="BY1218" i="6" l="1"/>
  <c r="BW1217"/>
  <c r="BZ1217"/>
  <c r="BV1217"/>
  <c r="BK1193" i="5"/>
  <c r="BL1193" s="1"/>
  <c r="BD1193"/>
  <c r="BF1193" s="1"/>
  <c r="BA1194"/>
  <c r="BE1193"/>
  <c r="BG1193" s="1"/>
  <c r="AZ1193"/>
  <c r="BB1193"/>
  <c r="BI1193" s="1"/>
  <c r="BJ1193" s="1"/>
  <c r="BF1195" i="4"/>
  <c r="BG1195" s="1"/>
  <c r="AW1195"/>
  <c r="AY1195"/>
  <c r="BA1195" s="1"/>
  <c r="AZ1195"/>
  <c r="BB1195" s="1"/>
  <c r="AV1196"/>
  <c r="BD1195"/>
  <c r="BE1195" s="1"/>
  <c r="AU1195"/>
  <c r="AR303" i="6"/>
  <c r="AV302"/>
  <c r="BZ1218" l="1"/>
  <c r="BW1218" s="1"/>
  <c r="BV1218"/>
  <c r="BY1219"/>
  <c r="AS303"/>
  <c r="AT303"/>
  <c r="AU303" s="1"/>
  <c r="AW1196" i="4"/>
  <c r="AU1196"/>
  <c r="AZ1196"/>
  <c r="BB1196" s="1"/>
  <c r="BD1196"/>
  <c r="BE1196" s="1"/>
  <c r="AV1197"/>
  <c r="BF1196"/>
  <c r="BG1196" s="1"/>
  <c r="AY1196"/>
  <c r="BA1196" s="1"/>
  <c r="BB1194" i="5"/>
  <c r="AZ1194"/>
  <c r="BE1194"/>
  <c r="BG1194" s="1"/>
  <c r="BK1194"/>
  <c r="BL1194" s="1"/>
  <c r="BI1194"/>
  <c r="BJ1194" s="1"/>
  <c r="BA1195"/>
  <c r="BD1194"/>
  <c r="BF1194" s="1"/>
  <c r="AR304" i="6" l="1"/>
  <c r="AV303"/>
  <c r="AZ1195" i="5"/>
  <c r="BE1195"/>
  <c r="BG1195" s="1"/>
  <c r="BI1195"/>
  <c r="BJ1195" s="1"/>
  <c r="BA1196"/>
  <c r="BD1195"/>
  <c r="BF1195" s="1"/>
  <c r="BK1195"/>
  <c r="BL1195" s="1"/>
  <c r="BB1195"/>
  <c r="AU1197" i="4"/>
  <c r="AZ1197"/>
  <c r="BB1197" s="1"/>
  <c r="AV1198"/>
  <c r="AY1197"/>
  <c r="BA1197" s="1"/>
  <c r="AW1197"/>
  <c r="BD1197" s="1"/>
  <c r="BE1197" s="1"/>
  <c r="BF1197"/>
  <c r="BG1197" s="1"/>
  <c r="BY1220" i="6"/>
  <c r="BZ1219"/>
  <c r="BV1219"/>
  <c r="BW1219"/>
  <c r="BZ1220" l="1"/>
  <c r="BW1220" s="1"/>
  <c r="BY1221"/>
  <c r="BV1220"/>
  <c r="AY1198" i="4"/>
  <c r="BA1198" s="1"/>
  <c r="BF1198"/>
  <c r="BG1198" s="1"/>
  <c r="AW1198"/>
  <c r="BD1198" s="1"/>
  <c r="BE1198" s="1"/>
  <c r="AU1198"/>
  <c r="AZ1198"/>
  <c r="BB1198" s="1"/>
  <c r="AV1199"/>
  <c r="AS304" i="6"/>
  <c r="AT304"/>
  <c r="AU304" s="1"/>
  <c r="BD1196" i="5"/>
  <c r="BF1196" s="1"/>
  <c r="BB1196"/>
  <c r="BK1196"/>
  <c r="BL1196" s="1"/>
  <c r="AZ1196"/>
  <c r="BI1196"/>
  <c r="BJ1196" s="1"/>
  <c r="BA1197"/>
  <c r="BE1196"/>
  <c r="BG1196" s="1"/>
  <c r="BY1222" i="6" l="1"/>
  <c r="BV1221"/>
  <c r="BZ1221"/>
  <c r="BW1221" s="1"/>
  <c r="BK1197" i="5"/>
  <c r="BL1197" s="1"/>
  <c r="BA1198"/>
  <c r="BB1197"/>
  <c r="BI1197" s="1"/>
  <c r="BJ1197" s="1"/>
  <c r="BD1197"/>
  <c r="BF1197" s="1"/>
  <c r="BE1197"/>
  <c r="BG1197" s="1"/>
  <c r="AZ1197"/>
  <c r="BF1199" i="4"/>
  <c r="BG1199" s="1"/>
  <c r="AW1199"/>
  <c r="BD1199" s="1"/>
  <c r="BE1199" s="1"/>
  <c r="AU1199"/>
  <c r="AZ1199"/>
  <c r="BB1199" s="1"/>
  <c r="AV1200"/>
  <c r="AY1199"/>
  <c r="BA1199" s="1"/>
  <c r="AR305" i="6"/>
  <c r="AV304"/>
  <c r="BZ1222" l="1"/>
  <c r="BW1222" s="1"/>
  <c r="BY1223"/>
  <c r="BV1222"/>
  <c r="BB1198" i="5"/>
  <c r="BE1198"/>
  <c r="BG1198" s="1"/>
  <c r="BK1198"/>
  <c r="BL1198" s="1"/>
  <c r="BD1198"/>
  <c r="BF1198" s="1"/>
  <c r="BI1198"/>
  <c r="BJ1198" s="1"/>
  <c r="AZ1198"/>
  <c r="BA1199"/>
  <c r="AW1200" i="4"/>
  <c r="AU1200"/>
  <c r="AZ1200"/>
  <c r="BB1200" s="1"/>
  <c r="BD1200"/>
  <c r="BE1200" s="1"/>
  <c r="AV1201"/>
  <c r="BF1200"/>
  <c r="BG1200" s="1"/>
  <c r="AY1200"/>
  <c r="BA1200" s="1"/>
  <c r="AS305" i="6"/>
  <c r="AT305"/>
  <c r="AU305" s="1"/>
  <c r="BY1224" l="1"/>
  <c r="BZ1223"/>
  <c r="BW1223"/>
  <c r="BV1223"/>
  <c r="AR306"/>
  <c r="AV305"/>
  <c r="AZ1199" i="5"/>
  <c r="BE1199"/>
  <c r="BG1199" s="1"/>
  <c r="BI1199"/>
  <c r="BJ1199" s="1"/>
  <c r="BA1200"/>
  <c r="BB1199"/>
  <c r="BD1199"/>
  <c r="BF1199" s="1"/>
  <c r="BK1199"/>
  <c r="BL1199" s="1"/>
  <c r="AU1201" i="4"/>
  <c r="AZ1201"/>
  <c r="BB1201" s="1"/>
  <c r="AV1202"/>
  <c r="AY1201"/>
  <c r="BA1201" s="1"/>
  <c r="BF1201"/>
  <c r="BG1201" s="1"/>
  <c r="AW1201"/>
  <c r="BD1201" s="1"/>
  <c r="BE1201" s="1"/>
  <c r="AS306" i="6" l="1"/>
  <c r="AT306"/>
  <c r="AU306" s="1"/>
  <c r="BZ1224"/>
  <c r="BY1225"/>
  <c r="BW1224"/>
  <c r="BV1224"/>
  <c r="BD1200" i="5"/>
  <c r="BF1200" s="1"/>
  <c r="AZ1200"/>
  <c r="BE1200"/>
  <c r="BG1200" s="1"/>
  <c r="BI1200"/>
  <c r="BJ1200" s="1"/>
  <c r="BB1200"/>
  <c r="BK1200"/>
  <c r="BL1200" s="1"/>
  <c r="BA1201"/>
  <c r="AY1202" i="4"/>
  <c r="BA1202" s="1"/>
  <c r="BF1202"/>
  <c r="BG1202" s="1"/>
  <c r="AZ1202"/>
  <c r="BB1202" s="1"/>
  <c r="AU1202"/>
  <c r="AV1203"/>
  <c r="AW1202"/>
  <c r="BD1202" s="1"/>
  <c r="BE1202" s="1"/>
  <c r="AR307" i="6" l="1"/>
  <c r="AV306"/>
  <c r="BF1203" i="4"/>
  <c r="BG1203" s="1"/>
  <c r="AW1203"/>
  <c r="AY1203"/>
  <c r="BA1203" s="1"/>
  <c r="AZ1203"/>
  <c r="BB1203" s="1"/>
  <c r="AV1204"/>
  <c r="AU1203"/>
  <c r="BD1203"/>
  <c r="BE1203" s="1"/>
  <c r="BK1201" i="5"/>
  <c r="BL1201" s="1"/>
  <c r="BB1201"/>
  <c r="BI1201" s="1"/>
  <c r="BJ1201" s="1"/>
  <c r="AZ1201"/>
  <c r="BE1201"/>
  <c r="BG1201" s="1"/>
  <c r="BD1201"/>
  <c r="BF1201" s="1"/>
  <c r="BA1202"/>
  <c r="BY1226" i="6"/>
  <c r="BW1225"/>
  <c r="BZ1225"/>
  <c r="BV1225"/>
  <c r="AS307" l="1"/>
  <c r="AT307"/>
  <c r="AU307" s="1"/>
  <c r="BB1202" i="5"/>
  <c r="BD1202"/>
  <c r="BF1202" s="1"/>
  <c r="BI1202"/>
  <c r="BJ1202" s="1"/>
  <c r="BA1203"/>
  <c r="AZ1202"/>
  <c r="BK1202"/>
  <c r="BL1202" s="1"/>
  <c r="BE1202"/>
  <c r="BG1202" s="1"/>
  <c r="AW1204" i="4"/>
  <c r="BD1204" s="1"/>
  <c r="BE1204" s="1"/>
  <c r="AU1204"/>
  <c r="AZ1204"/>
  <c r="BB1204" s="1"/>
  <c r="AV1205"/>
  <c r="AY1204"/>
  <c r="BA1204" s="1"/>
  <c r="BF1204"/>
  <c r="BG1204" s="1"/>
  <c r="BZ1226" i="6"/>
  <c r="BW1226" s="1"/>
  <c r="BV1226"/>
  <c r="BY1227"/>
  <c r="AR308" l="1"/>
  <c r="AV307"/>
  <c r="AU1205" i="4"/>
  <c r="AZ1205"/>
  <c r="BB1205" s="1"/>
  <c r="BD1205"/>
  <c r="BE1205" s="1"/>
  <c r="AV1206"/>
  <c r="AY1205"/>
  <c r="BA1205" s="1"/>
  <c r="AW1205"/>
  <c r="BF1205"/>
  <c r="BG1205" s="1"/>
  <c r="AZ1203" i="5"/>
  <c r="BE1203"/>
  <c r="BG1203" s="1"/>
  <c r="BI1203"/>
  <c r="BJ1203" s="1"/>
  <c r="BA1204"/>
  <c r="BB1203"/>
  <c r="BK1203"/>
  <c r="BL1203" s="1"/>
  <c r="BD1203"/>
  <c r="BF1203" s="1"/>
  <c r="BY1228" i="6"/>
  <c r="BZ1227"/>
  <c r="BV1227"/>
  <c r="BW1227"/>
  <c r="BZ1228" l="1"/>
  <c r="BW1228" s="1"/>
  <c r="BY1229"/>
  <c r="BV1228"/>
  <c r="BD1204" i="5"/>
  <c r="BF1204" s="1"/>
  <c r="BE1204"/>
  <c r="BG1204" s="1"/>
  <c r="BA1205"/>
  <c r="BB1204"/>
  <c r="BI1204" s="1"/>
  <c r="BJ1204" s="1"/>
  <c r="AZ1204"/>
  <c r="BK1204"/>
  <c r="BL1204" s="1"/>
  <c r="AT308" i="6"/>
  <c r="AU308" s="1"/>
  <c r="AS308"/>
  <c r="AY1206" i="4"/>
  <c r="BA1206" s="1"/>
  <c r="BF1206"/>
  <c r="BG1206" s="1"/>
  <c r="AW1206"/>
  <c r="BD1206" s="1"/>
  <c r="BE1206" s="1"/>
  <c r="AZ1206"/>
  <c r="BB1206" s="1"/>
  <c r="AU1206"/>
  <c r="AV1207"/>
  <c r="BF1207" l="1"/>
  <c r="BG1207" s="1"/>
  <c r="AW1207"/>
  <c r="AU1207"/>
  <c r="BD1207"/>
  <c r="BE1207" s="1"/>
  <c r="AY1207"/>
  <c r="BA1207" s="1"/>
  <c r="AV1208"/>
  <c r="AZ1207"/>
  <c r="BB1207" s="1"/>
  <c r="BY1230" i="6"/>
  <c r="BW1229"/>
  <c r="BZ1229"/>
  <c r="BV1229"/>
  <c r="AR309"/>
  <c r="AV308"/>
  <c r="BK1205" i="5"/>
  <c r="BL1205" s="1"/>
  <c r="AZ1205"/>
  <c r="BE1205"/>
  <c r="BG1205" s="1"/>
  <c r="BD1205"/>
  <c r="BF1205" s="1"/>
  <c r="BA1206"/>
  <c r="BB1205"/>
  <c r="BI1205" s="1"/>
  <c r="BJ1205" s="1"/>
  <c r="AW1208" i="4" l="1"/>
  <c r="BD1208" s="1"/>
  <c r="BE1208" s="1"/>
  <c r="AU1208"/>
  <c r="AZ1208"/>
  <c r="BB1208" s="1"/>
  <c r="AV1209"/>
  <c r="BF1208"/>
  <c r="BG1208" s="1"/>
  <c r="AY1208"/>
  <c r="BA1208" s="1"/>
  <c r="BB1206" i="5"/>
  <c r="BA1207"/>
  <c r="AZ1206"/>
  <c r="BI1206"/>
  <c r="BJ1206" s="1"/>
  <c r="BE1206"/>
  <c r="BG1206" s="1"/>
  <c r="BK1206"/>
  <c r="BL1206" s="1"/>
  <c r="BD1206"/>
  <c r="BF1206" s="1"/>
  <c r="AS309" i="6"/>
  <c r="AT309"/>
  <c r="AU309" s="1"/>
  <c r="BZ1230"/>
  <c r="BY1231"/>
  <c r="BV1230"/>
  <c r="BW1230"/>
  <c r="AR310" l="1"/>
  <c r="AV309"/>
  <c r="AZ1207" i="5"/>
  <c r="BE1207"/>
  <c r="BG1207" s="1"/>
  <c r="BA1208"/>
  <c r="BK1207"/>
  <c r="BL1207" s="1"/>
  <c r="BD1207"/>
  <c r="BF1207" s="1"/>
  <c r="BB1207"/>
  <c r="BI1207" s="1"/>
  <c r="BJ1207" s="1"/>
  <c r="AU1209" i="4"/>
  <c r="AZ1209"/>
  <c r="BB1209" s="1"/>
  <c r="AV1210"/>
  <c r="AY1209"/>
  <c r="BA1209" s="1"/>
  <c r="BF1209"/>
  <c r="BG1209" s="1"/>
  <c r="AW1209"/>
  <c r="BD1209" s="1"/>
  <c r="BE1209" s="1"/>
  <c r="BY1232" i="6"/>
  <c r="BZ1231"/>
  <c r="BW1231" s="1"/>
  <c r="BV1231"/>
  <c r="BZ1232" l="1"/>
  <c r="BW1232" s="1"/>
  <c r="BY1233"/>
  <c r="BV1232"/>
  <c r="AY1210" i="4"/>
  <c r="BA1210" s="1"/>
  <c r="BF1210"/>
  <c r="BG1210" s="1"/>
  <c r="AZ1210"/>
  <c r="BB1210" s="1"/>
  <c r="AU1210"/>
  <c r="AV1211"/>
  <c r="AW1210"/>
  <c r="BD1210" s="1"/>
  <c r="BE1210" s="1"/>
  <c r="AS310" i="6"/>
  <c r="AT310"/>
  <c r="AU310" s="1"/>
  <c r="BD1208" i="5"/>
  <c r="BF1208" s="1"/>
  <c r="BA1209"/>
  <c r="BB1208"/>
  <c r="BK1208"/>
  <c r="BL1208" s="1"/>
  <c r="AZ1208"/>
  <c r="BI1208"/>
  <c r="BJ1208" s="1"/>
  <c r="BE1208"/>
  <c r="BG1208" s="1"/>
  <c r="BY1234" i="6" l="1"/>
  <c r="BW1233"/>
  <c r="BZ1233"/>
  <c r="BV1233"/>
  <c r="BF1211" i="4"/>
  <c r="BG1211" s="1"/>
  <c r="AW1211"/>
  <c r="AY1211"/>
  <c r="BA1211" s="1"/>
  <c r="AZ1211"/>
  <c r="BB1211" s="1"/>
  <c r="AV1212"/>
  <c r="BD1211"/>
  <c r="BE1211" s="1"/>
  <c r="AU1211"/>
  <c r="BK1209" i="5"/>
  <c r="BL1209" s="1"/>
  <c r="BD1209"/>
  <c r="BF1209" s="1"/>
  <c r="BI1209"/>
  <c r="BJ1209" s="1"/>
  <c r="BA1210"/>
  <c r="BB1209"/>
  <c r="AZ1209"/>
  <c r="BE1209"/>
  <c r="BG1209" s="1"/>
  <c r="AR311" i="6"/>
  <c r="AV310"/>
  <c r="AW1212" i="4" l="1"/>
  <c r="BD1212" s="1"/>
  <c r="BE1212" s="1"/>
  <c r="AU1212"/>
  <c r="AZ1212"/>
  <c r="BB1212" s="1"/>
  <c r="AV1213"/>
  <c r="BF1212"/>
  <c r="BG1212" s="1"/>
  <c r="AY1212"/>
  <c r="BA1212" s="1"/>
  <c r="BZ1234" i="6"/>
  <c r="BV1234"/>
  <c r="BW1234"/>
  <c r="BY1235"/>
  <c r="AS311"/>
  <c r="AT311"/>
  <c r="AU311" s="1"/>
  <c r="BB1210" i="5"/>
  <c r="BI1210" s="1"/>
  <c r="BJ1210" s="1"/>
  <c r="AZ1210"/>
  <c r="BE1210"/>
  <c r="BG1210" s="1"/>
  <c r="BK1210"/>
  <c r="BL1210" s="1"/>
  <c r="BD1210"/>
  <c r="BF1210" s="1"/>
  <c r="BA1211"/>
  <c r="AU1213" i="4" l="1"/>
  <c r="AZ1213"/>
  <c r="BB1213" s="1"/>
  <c r="AV1214"/>
  <c r="AY1213"/>
  <c r="BA1213" s="1"/>
  <c r="AW1213"/>
  <c r="BD1213" s="1"/>
  <c r="BE1213" s="1"/>
  <c r="BF1213"/>
  <c r="BG1213" s="1"/>
  <c r="BY1236" i="6"/>
  <c r="BZ1235"/>
  <c r="BW1235" s="1"/>
  <c r="BV1235"/>
  <c r="AZ1211" i="5"/>
  <c r="BE1211"/>
  <c r="BG1211" s="1"/>
  <c r="BA1212"/>
  <c r="BD1211"/>
  <c r="BF1211" s="1"/>
  <c r="BB1211"/>
  <c r="BI1211" s="1"/>
  <c r="BJ1211" s="1"/>
  <c r="BK1211"/>
  <c r="BL1211" s="1"/>
  <c r="AR312" i="6"/>
  <c r="AV311"/>
  <c r="AS312" l="1"/>
  <c r="AT312"/>
  <c r="AU312" s="1"/>
  <c r="BD1212" i="5"/>
  <c r="BF1212" s="1"/>
  <c r="BB1212"/>
  <c r="BK1212"/>
  <c r="BL1212" s="1"/>
  <c r="AZ1212"/>
  <c r="BE1212"/>
  <c r="BG1212" s="1"/>
  <c r="BA1213"/>
  <c r="BI1212"/>
  <c r="BJ1212" s="1"/>
  <c r="BZ1236" i="6"/>
  <c r="BY1237"/>
  <c r="BV1236"/>
  <c r="BW1236"/>
  <c r="AY1214" i="4"/>
  <c r="BA1214" s="1"/>
  <c r="BF1214"/>
  <c r="BG1214" s="1"/>
  <c r="AW1214"/>
  <c r="BD1214"/>
  <c r="BE1214" s="1"/>
  <c r="AZ1214"/>
  <c r="BB1214" s="1"/>
  <c r="AV1215"/>
  <c r="AU1214"/>
  <c r="BF1215" l="1"/>
  <c r="BG1215" s="1"/>
  <c r="AW1215"/>
  <c r="AU1215"/>
  <c r="BD1215"/>
  <c r="BE1215" s="1"/>
  <c r="AZ1215"/>
  <c r="BB1215" s="1"/>
  <c r="AV1216"/>
  <c r="AY1215"/>
  <c r="BA1215" s="1"/>
  <c r="BY1238" i="6"/>
  <c r="BW1237"/>
  <c r="BV1237"/>
  <c r="BZ1237"/>
  <c r="AR313"/>
  <c r="AV312"/>
  <c r="BK1213" i="5"/>
  <c r="BL1213" s="1"/>
  <c r="BA1214"/>
  <c r="BB1213"/>
  <c r="BI1213" s="1"/>
  <c r="BJ1213" s="1"/>
  <c r="AZ1213"/>
  <c r="BD1213"/>
  <c r="BF1213" s="1"/>
  <c r="BE1213"/>
  <c r="BG1213" s="1"/>
  <c r="AW1216" i="4" l="1"/>
  <c r="BD1216" s="1"/>
  <c r="BE1216" s="1"/>
  <c r="AU1216"/>
  <c r="AZ1216"/>
  <c r="BB1216" s="1"/>
  <c r="AV1217"/>
  <c r="BF1216"/>
  <c r="BG1216" s="1"/>
  <c r="AY1216"/>
  <c r="BA1216" s="1"/>
  <c r="BB1214" i="5"/>
  <c r="BE1214"/>
  <c r="BG1214" s="1"/>
  <c r="BK1214"/>
  <c r="BL1214" s="1"/>
  <c r="BD1214"/>
  <c r="BF1214" s="1"/>
  <c r="BI1214"/>
  <c r="BJ1214" s="1"/>
  <c r="BA1215"/>
  <c r="AZ1214"/>
  <c r="AS313" i="6"/>
  <c r="AT313"/>
  <c r="AU313" s="1"/>
  <c r="BZ1238"/>
  <c r="BY1239"/>
  <c r="BV1238"/>
  <c r="BW1238"/>
  <c r="AR314" l="1"/>
  <c r="AV313"/>
  <c r="AZ1215" i="5"/>
  <c r="BE1215"/>
  <c r="BG1215" s="1"/>
  <c r="BI1215"/>
  <c r="BJ1215" s="1"/>
  <c r="BA1216"/>
  <c r="BB1215"/>
  <c r="BK1215"/>
  <c r="BL1215" s="1"/>
  <c r="BD1215"/>
  <c r="BF1215" s="1"/>
  <c r="AU1217" i="4"/>
  <c r="AZ1217"/>
  <c r="BB1217" s="1"/>
  <c r="AV1218"/>
  <c r="AY1217"/>
  <c r="BA1217" s="1"/>
  <c r="BF1217"/>
  <c r="BG1217" s="1"/>
  <c r="AW1217"/>
  <c r="BD1217" s="1"/>
  <c r="BE1217" s="1"/>
  <c r="BY1240" i="6"/>
  <c r="BZ1239"/>
  <c r="BW1239" s="1"/>
  <c r="BV1239"/>
  <c r="BZ1240" l="1"/>
  <c r="BW1240" s="1"/>
  <c r="BY1241"/>
  <c r="BV1240"/>
  <c r="AY1218" i="4"/>
  <c r="BA1218" s="1"/>
  <c r="BF1218"/>
  <c r="BG1218" s="1"/>
  <c r="AZ1218"/>
  <c r="BB1218" s="1"/>
  <c r="AU1218"/>
  <c r="AV1219"/>
  <c r="AW1218"/>
  <c r="BD1218"/>
  <c r="BE1218" s="1"/>
  <c r="AS314" i="6"/>
  <c r="AT314"/>
  <c r="AU314" s="1"/>
  <c r="BD1216" i="5"/>
  <c r="BF1216" s="1"/>
  <c r="AZ1216"/>
  <c r="BE1216"/>
  <c r="BG1216" s="1"/>
  <c r="BI1216"/>
  <c r="BJ1216" s="1"/>
  <c r="BA1217"/>
  <c r="BK1216"/>
  <c r="BL1216" s="1"/>
  <c r="BB1216"/>
  <c r="BK1217" l="1"/>
  <c r="BL1217" s="1"/>
  <c r="BB1217"/>
  <c r="AZ1217"/>
  <c r="BE1217"/>
  <c r="BG1217" s="1"/>
  <c r="BI1217"/>
  <c r="BJ1217" s="1"/>
  <c r="BA1218"/>
  <c r="BD1217"/>
  <c r="BF1217" s="1"/>
  <c r="BY1242" i="6"/>
  <c r="BW1241"/>
  <c r="BZ1241"/>
  <c r="BV1241"/>
  <c r="BF1219" i="4"/>
  <c r="BG1219" s="1"/>
  <c r="AW1219"/>
  <c r="BD1219" s="1"/>
  <c r="BE1219" s="1"/>
  <c r="AY1219"/>
  <c r="BA1219" s="1"/>
  <c r="AZ1219"/>
  <c r="BB1219" s="1"/>
  <c r="AV1220"/>
  <c r="AU1219"/>
  <c r="AR315" i="6"/>
  <c r="AV314"/>
  <c r="AS315" l="1"/>
  <c r="AT315"/>
  <c r="AU315" s="1"/>
  <c r="BB1218" i="5"/>
  <c r="BD1218"/>
  <c r="BF1218" s="1"/>
  <c r="BI1218"/>
  <c r="BJ1218" s="1"/>
  <c r="BA1219"/>
  <c r="BE1218"/>
  <c r="BG1218" s="1"/>
  <c r="AZ1218"/>
  <c r="BK1218"/>
  <c r="BL1218" s="1"/>
  <c r="AW1220" i="4"/>
  <c r="BD1220" s="1"/>
  <c r="BE1220" s="1"/>
  <c r="AU1220"/>
  <c r="AZ1220"/>
  <c r="BB1220" s="1"/>
  <c r="AV1221"/>
  <c r="AY1220"/>
  <c r="BA1220" s="1"/>
  <c r="BF1220"/>
  <c r="BG1220" s="1"/>
  <c r="BZ1242" i="6"/>
  <c r="BV1242"/>
  <c r="BW1242"/>
  <c r="BY1243"/>
  <c r="AU1221" i="4" l="1"/>
  <c r="AZ1221"/>
  <c r="BB1221" s="1"/>
  <c r="AY1221"/>
  <c r="BA1221" s="1"/>
  <c r="AW1221"/>
  <c r="BD1221" s="1"/>
  <c r="BE1221" s="1"/>
  <c r="BF1221"/>
  <c r="BG1221" s="1"/>
  <c r="AZ1219" i="5"/>
  <c r="BE1219"/>
  <c r="BG1219" s="1"/>
  <c r="BA1220"/>
  <c r="BB1219"/>
  <c r="BI1219" s="1"/>
  <c r="BJ1219" s="1"/>
  <c r="BK1219"/>
  <c r="BL1219" s="1"/>
  <c r="BD1219"/>
  <c r="BF1219" s="1"/>
  <c r="AR316" i="6"/>
  <c r="AV315"/>
  <c r="BY1244"/>
  <c r="BZ1243"/>
  <c r="BW1243" s="1"/>
  <c r="BV1243"/>
  <c r="AT316" l="1"/>
  <c r="AU316" s="1"/>
  <c r="AS316"/>
  <c r="BD1220" i="5"/>
  <c r="BF1220" s="1"/>
  <c r="BE1220"/>
  <c r="BG1220" s="1"/>
  <c r="BI1220"/>
  <c r="BJ1220" s="1"/>
  <c r="BA1221"/>
  <c r="BK1220"/>
  <c r="BL1220" s="1"/>
  <c r="AZ1220"/>
  <c r="BB1220"/>
  <c r="BZ1244" i="6"/>
  <c r="BY1245"/>
  <c r="BW1244"/>
  <c r="BV1244"/>
  <c r="BK1221" i="5" l="1"/>
  <c r="BL1221" s="1"/>
  <c r="AZ1221"/>
  <c r="BE1221"/>
  <c r="BG1221" s="1"/>
  <c r="BD1221"/>
  <c r="BF1221" s="1"/>
  <c r="BB1221"/>
  <c r="BI1221" s="1"/>
  <c r="BJ1221" s="1"/>
  <c r="AR317" i="6"/>
  <c r="AV316"/>
  <c r="BY1246"/>
  <c r="BW1245"/>
  <c r="BZ1245"/>
  <c r="BV1245"/>
  <c r="BZ1246" l="1"/>
  <c r="BW1246" s="1"/>
  <c r="BY1247"/>
  <c r="BV1246"/>
  <c r="AS317"/>
  <c r="AT317"/>
  <c r="AU317" s="1"/>
  <c r="BY1248" l="1"/>
  <c r="BZ1247"/>
  <c r="BW1247" s="1"/>
  <c r="BV1247"/>
  <c r="AR318"/>
  <c r="AV317"/>
  <c r="AS318" l="1"/>
  <c r="AT318"/>
  <c r="AU318" s="1"/>
  <c r="BZ1248"/>
  <c r="BY1249"/>
  <c r="BW1248"/>
  <c r="BV1248"/>
  <c r="AR319" l="1"/>
  <c r="AV318"/>
  <c r="BY1250"/>
  <c r="BZ1249"/>
  <c r="BW1249" s="1"/>
  <c r="BV1249"/>
  <c r="AS319" l="1"/>
  <c r="AT319"/>
  <c r="AU319" s="1"/>
  <c r="BZ1250"/>
  <c r="BV1250"/>
  <c r="BW1250"/>
  <c r="BY1251"/>
  <c r="BY1252" l="1"/>
  <c r="BZ1251"/>
  <c r="BW1251" s="1"/>
  <c r="BV1251"/>
  <c r="AR320"/>
  <c r="AV319"/>
  <c r="AS320" l="1"/>
  <c r="AT320"/>
  <c r="AU320" s="1"/>
  <c r="BZ1252"/>
  <c r="BW1252" s="1"/>
  <c r="BY1253"/>
  <c r="BV1252"/>
  <c r="AR321" l="1"/>
  <c r="AV320"/>
  <c r="BY1254"/>
  <c r="BV1253"/>
  <c r="BZ1253"/>
  <c r="BW1253" s="1"/>
  <c r="AS321" l="1"/>
  <c r="AT321"/>
  <c r="AU321" s="1"/>
  <c r="BZ1254"/>
  <c r="BW1254" s="1"/>
  <c r="BY1255"/>
  <c r="BV1254"/>
  <c r="AR322" l="1"/>
  <c r="AV321"/>
  <c r="BY1256"/>
  <c r="BZ1255"/>
  <c r="BW1255"/>
  <c r="BV1255"/>
  <c r="AS322" l="1"/>
  <c r="AT322"/>
  <c r="AU322" s="1"/>
  <c r="BZ1256"/>
  <c r="BY1257"/>
  <c r="BW1256"/>
  <c r="BV1256"/>
  <c r="AR323" l="1"/>
  <c r="AV322"/>
  <c r="BY1258"/>
  <c r="BZ1257"/>
  <c r="BW1257" s="1"/>
  <c r="BV1257"/>
  <c r="AS323" l="1"/>
  <c r="AT323"/>
  <c r="AU323" s="1"/>
  <c r="BZ1258"/>
  <c r="BV1258"/>
  <c r="BW1258"/>
  <c r="BY1259"/>
  <c r="AR324" l="1"/>
  <c r="AV323"/>
  <c r="BY1260"/>
  <c r="BZ1259"/>
  <c r="BV1259"/>
  <c r="BW1259"/>
  <c r="AT324" l="1"/>
  <c r="AU324" s="1"/>
  <c r="AS324"/>
  <c r="BZ1260"/>
  <c r="BY1261"/>
  <c r="BW1260"/>
  <c r="BV1260"/>
  <c r="AR325" l="1"/>
  <c r="AV324"/>
  <c r="BY1262"/>
  <c r="BZ1261"/>
  <c r="BW1261" s="1"/>
  <c r="BV1261"/>
  <c r="AS325" l="1"/>
  <c r="AT325"/>
  <c r="AU325" s="1"/>
  <c r="BZ1262"/>
  <c r="BW1262" s="1"/>
  <c r="BY1263"/>
  <c r="BV1262"/>
  <c r="AR326" l="1"/>
  <c r="AV325"/>
  <c r="BY1264"/>
  <c r="BZ1263"/>
  <c r="BW1263"/>
  <c r="BV1263"/>
  <c r="BZ1264" l="1"/>
  <c r="BW1264" s="1"/>
  <c r="BY1265"/>
  <c r="BV1264"/>
  <c r="AS326"/>
  <c r="AT326"/>
  <c r="AU326" s="1"/>
  <c r="BY1266" l="1"/>
  <c r="BZ1265"/>
  <c r="BW1265" s="1"/>
  <c r="BV1265"/>
  <c r="AR327"/>
  <c r="AV326"/>
  <c r="AS327" l="1"/>
  <c r="AT327"/>
  <c r="AU327" s="1"/>
  <c r="BZ1266"/>
  <c r="BV1266"/>
  <c r="BW1266"/>
  <c r="BY1267"/>
  <c r="BY1268" l="1"/>
  <c r="BZ1267"/>
  <c r="BW1267" s="1"/>
  <c r="BV1267"/>
  <c r="AR328"/>
  <c r="AV327"/>
  <c r="BZ1268" l="1"/>
  <c r="BW1268" s="1"/>
  <c r="BY1269"/>
  <c r="BV1268"/>
  <c r="AS328"/>
  <c r="AT328"/>
  <c r="AU328" s="1"/>
  <c r="BY1270" l="1"/>
  <c r="BV1269"/>
  <c r="BZ1269"/>
  <c r="BW1269" s="1"/>
  <c r="AR329"/>
  <c r="AV328"/>
  <c r="AS329" l="1"/>
  <c r="AT329"/>
  <c r="AU329" s="1"/>
  <c r="BZ1270"/>
  <c r="BY1271"/>
  <c r="BV1270"/>
  <c r="BW1270"/>
  <c r="AR330" l="1"/>
  <c r="AV329"/>
  <c r="BY1272"/>
  <c r="BZ1271"/>
  <c r="BW1271"/>
  <c r="BV1271"/>
  <c r="BZ1272" l="1"/>
  <c r="BW1272" s="1"/>
  <c r="BY1273"/>
  <c r="BV1272"/>
  <c r="AS330"/>
  <c r="AT330"/>
  <c r="AU330" s="1"/>
  <c r="BY1274" l="1"/>
  <c r="BZ1273"/>
  <c r="BW1273" s="1"/>
  <c r="BV1273"/>
  <c r="AR331"/>
  <c r="AV330"/>
  <c r="AS331" l="1"/>
  <c r="AT331"/>
  <c r="AU331" s="1"/>
  <c r="BZ1274"/>
  <c r="BV1274"/>
  <c r="BW1274"/>
  <c r="BY1275"/>
  <c r="AR332" l="1"/>
  <c r="AV331"/>
  <c r="BY1276"/>
  <c r="BZ1275"/>
  <c r="BV1275"/>
  <c r="BW1275"/>
  <c r="AT332" l="1"/>
  <c r="AU332" s="1"/>
  <c r="AS332"/>
  <c r="BZ1276"/>
  <c r="BY1277"/>
  <c r="BW1276"/>
  <c r="BV1276"/>
  <c r="AR333" l="1"/>
  <c r="AV332"/>
  <c r="BY1278"/>
  <c r="BZ1277"/>
  <c r="BW1277" s="1"/>
  <c r="BV1277"/>
  <c r="AS333" l="1"/>
  <c r="AT333"/>
  <c r="AU333" s="1"/>
  <c r="BZ1278"/>
  <c r="BW1278" s="1"/>
  <c r="BY1279"/>
  <c r="BV1278"/>
  <c r="AR334" l="1"/>
  <c r="AV333"/>
  <c r="BY1280"/>
  <c r="BZ1279"/>
  <c r="BW1279"/>
  <c r="BV1279"/>
  <c r="BZ1280" l="1"/>
  <c r="BW1280" s="1"/>
  <c r="BY1281"/>
  <c r="BV1280"/>
  <c r="AS334"/>
  <c r="AT334"/>
  <c r="AU334" s="1"/>
  <c r="BY1282" l="1"/>
  <c r="BZ1281"/>
  <c r="BW1281" s="1"/>
  <c r="BV1281"/>
  <c r="AR335"/>
  <c r="AV334"/>
  <c r="AS335" l="1"/>
  <c r="AT335"/>
  <c r="AU335" s="1"/>
  <c r="BZ1282"/>
  <c r="BV1282"/>
  <c r="BW1282"/>
  <c r="BY1283"/>
  <c r="BY1284" l="1"/>
  <c r="BZ1283"/>
  <c r="BW1283" s="1"/>
  <c r="BV1283"/>
  <c r="AR336"/>
  <c r="AV335"/>
  <c r="AS336" l="1"/>
  <c r="AT336"/>
  <c r="AU336" s="1"/>
  <c r="BZ1284"/>
  <c r="BW1284" s="1"/>
  <c r="BY1285"/>
  <c r="BV1284"/>
  <c r="AR337" l="1"/>
  <c r="AV336"/>
  <c r="BY1286"/>
  <c r="BV1285"/>
  <c r="BZ1285"/>
  <c r="BW1285" s="1"/>
  <c r="AS337" l="1"/>
  <c r="AT337"/>
  <c r="AU337" s="1"/>
  <c r="BZ1286"/>
  <c r="BW1286" s="1"/>
  <c r="BY1287"/>
  <c r="BV1286"/>
  <c r="AR338" l="1"/>
  <c r="AV337"/>
  <c r="BY1288"/>
  <c r="BZ1287"/>
  <c r="BW1287"/>
  <c r="BV1287"/>
  <c r="BZ1288" l="1"/>
  <c r="BW1288" s="1"/>
  <c r="BY1289"/>
  <c r="BV1288"/>
  <c r="AS338"/>
  <c r="AT338"/>
  <c r="AU338" s="1"/>
  <c r="BY1290" l="1"/>
  <c r="BW1289"/>
  <c r="BZ1289"/>
  <c r="BV1289"/>
  <c r="AR339"/>
  <c r="AV338"/>
  <c r="BZ1290" l="1"/>
  <c r="BW1290" s="1"/>
  <c r="BV1290"/>
  <c r="BY1291"/>
  <c r="AS339"/>
  <c r="AT339"/>
  <c r="AU339" s="1"/>
  <c r="AR340" l="1"/>
  <c r="AV339"/>
  <c r="BY1292"/>
  <c r="BZ1291"/>
  <c r="BV1291"/>
  <c r="BW1291"/>
  <c r="BZ1292" l="1"/>
  <c r="BW1292" s="1"/>
  <c r="BY1293"/>
  <c r="BV1292"/>
  <c r="AT340"/>
  <c r="AU340" s="1"/>
  <c r="AS340"/>
  <c r="AR341" l="1"/>
  <c r="AV340"/>
  <c r="BY1294"/>
  <c r="BZ1293"/>
  <c r="BW1293" s="1"/>
  <c r="BV1293"/>
  <c r="AS341" l="1"/>
  <c r="AT341"/>
  <c r="AU341" s="1"/>
  <c r="BZ1294"/>
  <c r="BY1295"/>
  <c r="BV1294"/>
  <c r="BW1294"/>
  <c r="AR342" l="1"/>
  <c r="AV341"/>
  <c r="BY1296"/>
  <c r="BZ1295"/>
  <c r="BW1295"/>
  <c r="BV1295"/>
  <c r="BZ1296" l="1"/>
  <c r="BW1296" s="1"/>
  <c r="BY1297"/>
  <c r="BV1296"/>
  <c r="AS342"/>
  <c r="AT342"/>
  <c r="AU342" s="1"/>
  <c r="BY1298" l="1"/>
  <c r="BZ1297"/>
  <c r="BW1297" s="1"/>
  <c r="BV1297"/>
  <c r="AR343"/>
  <c r="AV342"/>
  <c r="AS343" l="1"/>
  <c r="AT343"/>
  <c r="AU343" s="1"/>
  <c r="BZ1298"/>
  <c r="BV1298"/>
  <c r="BW1298"/>
  <c r="BY1299"/>
  <c r="BY1300" l="1"/>
  <c r="BZ1299"/>
  <c r="BW1299" s="1"/>
  <c r="BV1299"/>
  <c r="AR344"/>
  <c r="AV343"/>
  <c r="AS344" l="1"/>
  <c r="AT344"/>
  <c r="AU344" s="1"/>
  <c r="BZ1300"/>
  <c r="BW1300" s="1"/>
  <c r="BY1301"/>
  <c r="BV1300"/>
  <c r="AR345" l="1"/>
  <c r="AV344"/>
  <c r="BY1302"/>
  <c r="BV1301"/>
  <c r="BZ1301"/>
  <c r="BW1301" s="1"/>
  <c r="AS345" l="1"/>
  <c r="AT345"/>
  <c r="AU345" s="1"/>
  <c r="BZ1302"/>
  <c r="BW1302" s="1"/>
  <c r="BY1303"/>
  <c r="BV1302"/>
  <c r="AR346" l="1"/>
  <c r="AV345"/>
  <c r="BY1304"/>
  <c r="BZ1303"/>
  <c r="BW1303"/>
  <c r="BV1303"/>
  <c r="AS346" l="1"/>
  <c r="AT346"/>
  <c r="AU346" s="1"/>
  <c r="BZ1304"/>
  <c r="BY1305"/>
  <c r="BW1304"/>
  <c r="BV1304"/>
  <c r="AR347" l="1"/>
  <c r="AV346"/>
  <c r="BY1306"/>
  <c r="BZ1305"/>
  <c r="BW1305" s="1"/>
  <c r="BV1305"/>
  <c r="AS347" l="1"/>
  <c r="AT347"/>
  <c r="AU347" s="1"/>
  <c r="BZ1306"/>
  <c r="BV1306"/>
  <c r="BW1306"/>
  <c r="BY1307"/>
  <c r="BY1308" l="1"/>
  <c r="BZ1307"/>
  <c r="BW1307" s="1"/>
  <c r="BV1307"/>
  <c r="AR348"/>
  <c r="AV347"/>
  <c r="AT348" l="1"/>
  <c r="AU348" s="1"/>
  <c r="AS348"/>
  <c r="BZ1308"/>
  <c r="BY1309"/>
  <c r="BW1308"/>
  <c r="BV1308"/>
  <c r="AR349" l="1"/>
  <c r="AV348"/>
  <c r="BY1310"/>
  <c r="BZ1309"/>
  <c r="BW1309" s="1"/>
  <c r="BV1309"/>
  <c r="AS349" l="1"/>
  <c r="AT349"/>
  <c r="AU349" s="1"/>
  <c r="BZ1310"/>
  <c r="BW1310" s="1"/>
  <c r="BY1311"/>
  <c r="BV1310"/>
  <c r="AR350" l="1"/>
  <c r="AV349"/>
  <c r="BY1312"/>
  <c r="BZ1311"/>
  <c r="BW1311"/>
  <c r="BV1311"/>
  <c r="AS350" l="1"/>
  <c r="AT350"/>
  <c r="AU350" s="1"/>
  <c r="BZ1312"/>
  <c r="BY1313"/>
  <c r="BW1312"/>
  <c r="BV1312"/>
  <c r="AR351" l="1"/>
  <c r="AV350"/>
  <c r="BY1314"/>
  <c r="BZ1313"/>
  <c r="BW1313" s="1"/>
  <c r="BV1313"/>
  <c r="AS351" l="1"/>
  <c r="AT351"/>
  <c r="AU351" s="1"/>
  <c r="BZ1314"/>
  <c r="BV1314"/>
  <c r="BW1314"/>
  <c r="BY1315"/>
  <c r="AR352" l="1"/>
  <c r="AV351"/>
  <c r="BY1316"/>
  <c r="BZ1315"/>
  <c r="BV1315"/>
  <c r="BW1315"/>
  <c r="AS352" l="1"/>
  <c r="AT352"/>
  <c r="AU352" s="1"/>
  <c r="BZ1316"/>
  <c r="BW1316" s="1"/>
  <c r="BY1317"/>
  <c r="BV1316"/>
  <c r="AR353" l="1"/>
  <c r="AV352"/>
  <c r="BY1318"/>
  <c r="BV1317"/>
  <c r="BZ1317"/>
  <c r="BW1317" s="1"/>
  <c r="AS353" l="1"/>
  <c r="AT353"/>
  <c r="AU353" s="1"/>
  <c r="BZ1318"/>
  <c r="BW1318" s="1"/>
  <c r="BY1319"/>
  <c r="BV1318"/>
  <c r="AR354" l="1"/>
  <c r="AV353"/>
  <c r="BY1320"/>
  <c r="BZ1319"/>
  <c r="BW1319"/>
  <c r="BV1319"/>
  <c r="BZ1320" l="1"/>
  <c r="BW1320" s="1"/>
  <c r="BY1321"/>
  <c r="BV1320"/>
  <c r="AS354"/>
  <c r="AT354"/>
  <c r="AU354" s="1"/>
  <c r="BY1322" l="1"/>
  <c r="BZ1321"/>
  <c r="BW1321" s="1"/>
  <c r="BV1321"/>
  <c r="AR355"/>
  <c r="AV354"/>
  <c r="AS355" l="1"/>
  <c r="AT355"/>
  <c r="AU355" s="1"/>
  <c r="BZ1322"/>
  <c r="BV1322"/>
  <c r="BW1322"/>
  <c r="BY1323"/>
  <c r="AR356" l="1"/>
  <c r="AV355"/>
  <c r="BY1324"/>
  <c r="BZ1323"/>
  <c r="BW1323" s="1"/>
  <c r="BV1323"/>
  <c r="AT356" l="1"/>
  <c r="AU356" s="1"/>
  <c r="AS356"/>
  <c r="BZ1324"/>
  <c r="BY1325"/>
  <c r="BW1324"/>
  <c r="BV1324"/>
  <c r="AR357" l="1"/>
  <c r="AV356"/>
  <c r="BY1326"/>
  <c r="BZ1325"/>
  <c r="BW1325" s="1"/>
  <c r="BV1325"/>
  <c r="AS357" l="1"/>
  <c r="AT357"/>
  <c r="AU357" s="1"/>
  <c r="BZ1326"/>
  <c r="BW1326" s="1"/>
  <c r="BY1327"/>
  <c r="BV1326"/>
  <c r="AR358" l="1"/>
  <c r="AV357"/>
  <c r="BY1328"/>
  <c r="BZ1327"/>
  <c r="BW1327"/>
  <c r="BV1327"/>
  <c r="AS358" l="1"/>
  <c r="AT358"/>
  <c r="AU358" s="1"/>
  <c r="BZ1328"/>
  <c r="BY1329"/>
  <c r="BW1328"/>
  <c r="BV1328"/>
  <c r="AR359" l="1"/>
  <c r="AV358"/>
  <c r="BY1330"/>
  <c r="BZ1329"/>
  <c r="BW1329" s="1"/>
  <c r="BV1329"/>
  <c r="AS359" l="1"/>
  <c r="AT359"/>
  <c r="AU359" s="1"/>
  <c r="BZ1330"/>
  <c r="BV1330"/>
  <c r="BW1330"/>
  <c r="BY1331"/>
  <c r="BY1332" l="1"/>
  <c r="BZ1331"/>
  <c r="BW1331" s="1"/>
  <c r="BV1331"/>
  <c r="AR360"/>
  <c r="AV359"/>
  <c r="BZ1332" l="1"/>
  <c r="BW1332" s="1"/>
  <c r="BY1333"/>
  <c r="BV1332"/>
  <c r="AS360"/>
  <c r="AT360"/>
  <c r="AU360" s="1"/>
  <c r="BY1334" l="1"/>
  <c r="BV1333"/>
  <c r="BZ1333"/>
  <c r="BW1333" s="1"/>
  <c r="AR361"/>
  <c r="AV360"/>
  <c r="AS361" l="1"/>
  <c r="AT361"/>
  <c r="AU361" s="1"/>
  <c r="BZ1334"/>
  <c r="BY1335"/>
  <c r="BV1334"/>
  <c r="BW1334"/>
  <c r="AR362" l="1"/>
  <c r="AV361"/>
  <c r="BY1336"/>
  <c r="BZ1335"/>
  <c r="BW1335"/>
  <c r="BV1335"/>
  <c r="BZ1336" l="1"/>
  <c r="BW1336" s="1"/>
  <c r="BY1337"/>
  <c r="BV1336"/>
  <c r="AS362"/>
  <c r="AT362"/>
  <c r="AU362" s="1"/>
  <c r="BY1338" l="1"/>
  <c r="BZ1337"/>
  <c r="BW1337" s="1"/>
  <c r="BV1337"/>
  <c r="AR363"/>
  <c r="AV362"/>
  <c r="AS363" l="1"/>
  <c r="AT363"/>
  <c r="AU363" s="1"/>
  <c r="BZ1338"/>
  <c r="BV1338"/>
  <c r="BW1338"/>
  <c r="BY1339"/>
  <c r="BY1340" l="1"/>
  <c r="BZ1339"/>
  <c r="BW1339" s="1"/>
  <c r="BV1339"/>
  <c r="AR364"/>
  <c r="AV363"/>
  <c r="AT364" l="1"/>
  <c r="AU364" s="1"/>
  <c r="AS364"/>
  <c r="BZ1340"/>
  <c r="BY1341"/>
  <c r="BW1340"/>
  <c r="BV1340"/>
  <c r="AR365" l="1"/>
  <c r="AV364"/>
  <c r="BY1342"/>
  <c r="BZ1341"/>
  <c r="BW1341" s="1"/>
  <c r="BV1341"/>
  <c r="AS365" l="1"/>
  <c r="AT365"/>
  <c r="AU365" s="1"/>
  <c r="BZ1342"/>
  <c r="BW1342" s="1"/>
  <c r="BY1343"/>
  <c r="BV1342"/>
  <c r="AR366" l="1"/>
  <c r="AV365"/>
  <c r="BY1344"/>
  <c r="BZ1343"/>
  <c r="BW1343"/>
  <c r="BV1343"/>
  <c r="BZ1344" l="1"/>
  <c r="BW1344" s="1"/>
  <c r="BY1345"/>
  <c r="BV1344"/>
  <c r="AS366"/>
  <c r="AT366"/>
  <c r="AU366" s="1"/>
  <c r="AR367" l="1"/>
  <c r="AV366"/>
  <c r="BY1346"/>
  <c r="BZ1345"/>
  <c r="BW1345" s="1"/>
  <c r="BV1345"/>
  <c r="AS367" l="1"/>
  <c r="AT367"/>
  <c r="AU367" s="1"/>
  <c r="BZ1346"/>
  <c r="BV1346"/>
  <c r="BW1346"/>
  <c r="BY1347"/>
  <c r="AR368" l="1"/>
  <c r="AV367"/>
  <c r="BY1348"/>
  <c r="BZ1347"/>
  <c r="BV1347"/>
  <c r="BW1347"/>
  <c r="AS368" l="1"/>
  <c r="AT368"/>
  <c r="AU368" s="1"/>
  <c r="BZ1348"/>
  <c r="BW1348" s="1"/>
  <c r="BY1349"/>
  <c r="BV1348"/>
  <c r="AR369" l="1"/>
  <c r="AV368"/>
  <c r="BY1350"/>
  <c r="BV1349"/>
  <c r="BZ1349"/>
  <c r="BW1349" s="1"/>
  <c r="AS369" l="1"/>
  <c r="AT369"/>
  <c r="AU369" s="1"/>
  <c r="BZ1350"/>
  <c r="BW1350" s="1"/>
  <c r="BY1351"/>
  <c r="BV1350"/>
  <c r="AR370" l="1"/>
  <c r="AV369"/>
  <c r="BY1352"/>
  <c r="BZ1351"/>
  <c r="BW1351"/>
  <c r="BV1351"/>
  <c r="BZ1352" l="1"/>
  <c r="BW1352" s="1"/>
  <c r="BY1353"/>
  <c r="BV1352"/>
  <c r="AS370"/>
  <c r="AT370"/>
  <c r="AU370" s="1"/>
  <c r="AR371" l="1"/>
  <c r="AV370"/>
  <c r="BY1354"/>
  <c r="BZ1353"/>
  <c r="BW1353" s="1"/>
  <c r="BV1353"/>
  <c r="AS371" l="1"/>
  <c r="AT371"/>
  <c r="AU371" s="1"/>
  <c r="BZ1354"/>
  <c r="BV1354"/>
  <c r="BW1354"/>
  <c r="BY1355"/>
  <c r="AR372" l="1"/>
  <c r="AV371"/>
  <c r="BY1356"/>
  <c r="BZ1355"/>
  <c r="BV1355"/>
  <c r="BW1355"/>
  <c r="BZ1356" l="1"/>
  <c r="BW1356" s="1"/>
  <c r="BY1357"/>
  <c r="BV1356"/>
  <c r="AT372"/>
  <c r="AU372" s="1"/>
  <c r="AS372"/>
  <c r="AR373" l="1"/>
  <c r="AV372"/>
  <c r="BY1358"/>
  <c r="BZ1357"/>
  <c r="BW1357" s="1"/>
  <c r="BV1357"/>
  <c r="AS373" l="1"/>
  <c r="AT373"/>
  <c r="AU373" s="1"/>
  <c r="BZ1358"/>
  <c r="BW1358" s="1"/>
  <c r="BY1359"/>
  <c r="BV1358"/>
  <c r="AR374" l="1"/>
  <c r="AV373"/>
  <c r="BY1360"/>
  <c r="BZ1359"/>
  <c r="BW1359"/>
  <c r="BV1359"/>
  <c r="BZ1360" l="1"/>
  <c r="BW1360" s="1"/>
  <c r="BY1361"/>
  <c r="BV1360"/>
  <c r="AS374"/>
  <c r="AT374"/>
  <c r="AU374" s="1"/>
  <c r="AR375" l="1"/>
  <c r="AV374"/>
  <c r="BY1362"/>
  <c r="BZ1361"/>
  <c r="BW1361" s="1"/>
  <c r="BV1361"/>
  <c r="AS375" l="1"/>
  <c r="AT375"/>
  <c r="AU375" s="1"/>
  <c r="BZ1362"/>
  <c r="BV1362"/>
  <c r="BW1362"/>
  <c r="BY1363"/>
  <c r="BY1364" l="1"/>
  <c r="BZ1363"/>
  <c r="BW1363" s="1"/>
  <c r="BV1363"/>
  <c r="AR376"/>
  <c r="AV375"/>
  <c r="AS376" l="1"/>
  <c r="AT376"/>
  <c r="AU376" s="1"/>
  <c r="BZ1364"/>
  <c r="BW1364" s="1"/>
  <c r="BY1365"/>
  <c r="BV1364"/>
  <c r="AR377" l="1"/>
  <c r="AV376"/>
  <c r="BY1366"/>
  <c r="BV1365"/>
  <c r="BZ1365"/>
  <c r="BW1365" s="1"/>
  <c r="AS377" l="1"/>
  <c r="AT377"/>
  <c r="AU377" s="1"/>
  <c r="BZ1366"/>
  <c r="BW1366" s="1"/>
  <c r="BY1367"/>
  <c r="BV1366"/>
  <c r="AR378" l="1"/>
  <c r="AV377"/>
  <c r="BY1368"/>
  <c r="BZ1367"/>
  <c r="BW1367"/>
  <c r="BV1367"/>
  <c r="BZ1368" l="1"/>
  <c r="BW1368" s="1"/>
  <c r="BY1369"/>
  <c r="BV1368"/>
  <c r="AS378"/>
  <c r="AT378"/>
  <c r="AU378" s="1"/>
  <c r="BY1370" l="1"/>
  <c r="BZ1369"/>
  <c r="BW1369" s="1"/>
  <c r="BV1369"/>
  <c r="AR379"/>
  <c r="AV378"/>
  <c r="AS379" l="1"/>
  <c r="AT379"/>
  <c r="AU379" s="1"/>
  <c r="BZ1370"/>
  <c r="BV1370"/>
  <c r="BW1370"/>
  <c r="BY1371"/>
  <c r="AR380" l="1"/>
  <c r="AV379"/>
  <c r="BY1372"/>
  <c r="BZ1371"/>
  <c r="BV1371"/>
  <c r="BW1371"/>
  <c r="BZ1372" l="1"/>
  <c r="BW1372" s="1"/>
  <c r="BY1373"/>
  <c r="BV1372"/>
  <c r="AT380"/>
  <c r="AU380" s="1"/>
  <c r="AS380"/>
  <c r="AR381" l="1"/>
  <c r="AV380"/>
  <c r="BY1374"/>
  <c r="BZ1373"/>
  <c r="BW1373" s="1"/>
  <c r="BV1373"/>
  <c r="AS381" l="1"/>
  <c r="AT381"/>
  <c r="AU381" s="1"/>
  <c r="BZ1374"/>
  <c r="BY1375"/>
  <c r="BV1374"/>
  <c r="BW1374"/>
  <c r="AR382" l="1"/>
  <c r="AV381"/>
  <c r="BY1376"/>
  <c r="BZ1375"/>
  <c r="BW1375"/>
  <c r="BV1375"/>
  <c r="BZ1376" l="1"/>
  <c r="BW1376" s="1"/>
  <c r="BY1377"/>
  <c r="BV1376"/>
  <c r="AS382"/>
  <c r="AT382"/>
  <c r="AU382" s="1"/>
  <c r="BY1378" l="1"/>
  <c r="BZ1377"/>
  <c r="BW1377" s="1"/>
  <c r="BV1377"/>
  <c r="AR383"/>
  <c r="AV382"/>
  <c r="AS383" l="1"/>
  <c r="AT383"/>
  <c r="AU383" s="1"/>
  <c r="BZ1378"/>
  <c r="BV1378"/>
  <c r="BW1378"/>
  <c r="BY1379"/>
  <c r="AR384" l="1"/>
  <c r="AV383"/>
  <c r="BY1380"/>
  <c r="BZ1379"/>
  <c r="BV1379"/>
  <c r="BW1379"/>
  <c r="AS384" l="1"/>
  <c r="AT384"/>
  <c r="AU384" s="1"/>
  <c r="BZ1380"/>
  <c r="BY1381"/>
  <c r="BV1380"/>
  <c r="BW1380"/>
  <c r="AR385" l="1"/>
  <c r="AV384"/>
  <c r="BY1382"/>
  <c r="BV1381"/>
  <c r="BZ1381"/>
  <c r="BW1381" s="1"/>
  <c r="AS385" l="1"/>
  <c r="AT385"/>
  <c r="AU385" s="1"/>
  <c r="BZ1382"/>
  <c r="BW1382" s="1"/>
  <c r="BY1383"/>
  <c r="BV1382"/>
  <c r="AR386" l="1"/>
  <c r="AV385"/>
  <c r="BY1384"/>
  <c r="BZ1383"/>
  <c r="BW1383"/>
  <c r="BV1383"/>
  <c r="AS386" l="1"/>
  <c r="AT386"/>
  <c r="AU386" s="1"/>
  <c r="BZ1384"/>
  <c r="BY1385"/>
  <c r="BW1384"/>
  <c r="BV1384"/>
  <c r="AR387" l="1"/>
  <c r="AV386"/>
  <c r="BY1386"/>
  <c r="BZ1385"/>
  <c r="BW1385" s="1"/>
  <c r="BV1385"/>
  <c r="AS387" l="1"/>
  <c r="AT387"/>
  <c r="AU387" s="1"/>
  <c r="BZ1386"/>
  <c r="BV1386"/>
  <c r="BW1386"/>
  <c r="BY1387"/>
  <c r="AR388" l="1"/>
  <c r="AV387"/>
  <c r="BY1388"/>
  <c r="BZ1387"/>
  <c r="BW1387" s="1"/>
  <c r="BV1387"/>
  <c r="AT388" l="1"/>
  <c r="AU388" s="1"/>
  <c r="AS388"/>
  <c r="BZ1388"/>
  <c r="BY1389"/>
  <c r="BW1388"/>
  <c r="BV1388"/>
  <c r="AR389" l="1"/>
  <c r="AV388"/>
  <c r="BY1390"/>
  <c r="BZ1389"/>
  <c r="BW1389" s="1"/>
  <c r="BV1389"/>
  <c r="BZ1390" l="1"/>
  <c r="BW1390" s="1"/>
  <c r="BY1391"/>
  <c r="BV1390"/>
  <c r="AS389"/>
  <c r="AT389"/>
  <c r="AU389" s="1"/>
  <c r="AR390" l="1"/>
  <c r="AV389"/>
  <c r="BY1392"/>
  <c r="BZ1391"/>
  <c r="BW1391"/>
  <c r="BV1391"/>
  <c r="AS390" l="1"/>
  <c r="AT390"/>
  <c r="AU390" s="1"/>
  <c r="BZ1392"/>
  <c r="BY1393"/>
  <c r="BW1392"/>
  <c r="BV1392"/>
  <c r="AR391" l="1"/>
  <c r="AV390"/>
  <c r="BY1394"/>
  <c r="BZ1393"/>
  <c r="BW1393" s="1"/>
  <c r="BV1393"/>
  <c r="AS391" l="1"/>
  <c r="AT391"/>
  <c r="AU391" s="1"/>
  <c r="BZ1394"/>
  <c r="BV1394"/>
  <c r="BW1394"/>
  <c r="BY1395"/>
  <c r="AR392" l="1"/>
  <c r="AV391"/>
  <c r="BY1396"/>
  <c r="BZ1395"/>
  <c r="BW1395"/>
  <c r="BV1395"/>
  <c r="AS392" l="1"/>
  <c r="AT392"/>
  <c r="AU392" s="1"/>
  <c r="BZ1396"/>
  <c r="BW1396" s="1"/>
  <c r="BY1397"/>
  <c r="BV1396"/>
  <c r="AR393" l="1"/>
  <c r="AV392"/>
  <c r="BY1398"/>
  <c r="BV1397"/>
  <c r="BZ1397"/>
  <c r="BW1397" s="1"/>
  <c r="AS393" l="1"/>
  <c r="AT393"/>
  <c r="AU393" s="1"/>
  <c r="BZ1398"/>
  <c r="BY1399"/>
  <c r="BV1398"/>
  <c r="BW1398"/>
  <c r="AR394" l="1"/>
  <c r="AV393"/>
  <c r="BY1400"/>
  <c r="BZ1399"/>
  <c r="BW1399"/>
  <c r="BV1399"/>
  <c r="AS394" l="1"/>
  <c r="AT394"/>
  <c r="AU394" s="1"/>
  <c r="BZ1400"/>
  <c r="BY1401"/>
  <c r="BW1400"/>
  <c r="BV1400"/>
  <c r="AR395" l="1"/>
  <c r="AV394"/>
  <c r="BY1402"/>
  <c r="BZ1401"/>
  <c r="BW1401" s="1"/>
  <c r="BV1401"/>
  <c r="AS395" l="1"/>
  <c r="AT395"/>
  <c r="AU395" s="1"/>
  <c r="BZ1402"/>
  <c r="BV1402"/>
  <c r="BW1402"/>
  <c r="BY1403"/>
  <c r="AR396" l="1"/>
  <c r="AV395"/>
  <c r="BY1404"/>
  <c r="BZ1403"/>
  <c r="BW1403" s="1"/>
  <c r="BV1403"/>
  <c r="AS396" l="1"/>
  <c r="AT396"/>
  <c r="AU396" s="1"/>
  <c r="BZ1404"/>
  <c r="BY1405"/>
  <c r="BW1404"/>
  <c r="BV1404"/>
  <c r="AR397" l="1"/>
  <c r="AV396"/>
  <c r="BY1406"/>
  <c r="BZ1405"/>
  <c r="BW1405" s="1"/>
  <c r="BV1405"/>
  <c r="AS397" l="1"/>
  <c r="AT397"/>
  <c r="AU397" s="1"/>
  <c r="BZ1406"/>
  <c r="BW1406" s="1"/>
  <c r="BY1407"/>
  <c r="BV1406"/>
  <c r="AR398" l="1"/>
  <c r="AV397"/>
  <c r="BY1408"/>
  <c r="BZ1407"/>
  <c r="BW1407"/>
  <c r="BV1407"/>
  <c r="AS398" l="1"/>
  <c r="AT398"/>
  <c r="AU398" s="1"/>
  <c r="BZ1408"/>
  <c r="BY1409"/>
  <c r="BW1408"/>
  <c r="BV1408"/>
  <c r="AR399" l="1"/>
  <c r="AV398"/>
  <c r="BY1410"/>
  <c r="BZ1409"/>
  <c r="BW1409" s="1"/>
  <c r="BV1409"/>
  <c r="AS399" l="1"/>
  <c r="AT399"/>
  <c r="AU399" s="1"/>
  <c r="BZ1410"/>
  <c r="BV1410"/>
  <c r="BW1410"/>
  <c r="BY1411"/>
  <c r="AR400" l="1"/>
  <c r="AV399"/>
  <c r="BY1412"/>
  <c r="BZ1411"/>
  <c r="BW1411" s="1"/>
  <c r="BV1411"/>
  <c r="AS400" l="1"/>
  <c r="AT400"/>
  <c r="AU400" s="1"/>
  <c r="BZ1412"/>
  <c r="BY1413"/>
  <c r="BV1412"/>
  <c r="BW1412"/>
  <c r="AR401" l="1"/>
  <c r="AV400"/>
  <c r="BY1414"/>
  <c r="BV1413"/>
  <c r="BZ1413"/>
  <c r="BW1413" s="1"/>
  <c r="AS401" l="1"/>
  <c r="AT401"/>
  <c r="AU401" s="1"/>
  <c r="BZ1414"/>
  <c r="BY1415"/>
  <c r="BV1414"/>
  <c r="BW1414"/>
  <c r="AR402" l="1"/>
  <c r="AV401"/>
  <c r="BY1416"/>
  <c r="BZ1415"/>
  <c r="BW1415"/>
  <c r="BV1415"/>
  <c r="AS402" l="1"/>
  <c r="AT402"/>
  <c r="AU402" s="1"/>
  <c r="BZ1416"/>
  <c r="BY1417"/>
  <c r="BW1416"/>
  <c r="BV1416"/>
  <c r="AR403" l="1"/>
  <c r="AV402"/>
  <c r="BY1418"/>
  <c r="BZ1417"/>
  <c r="BW1417" s="1"/>
  <c r="BV1417"/>
  <c r="AS403" l="1"/>
  <c r="AT403"/>
  <c r="AU403" s="1"/>
  <c r="BZ1418"/>
  <c r="BV1418"/>
  <c r="BW1418"/>
  <c r="BY1419"/>
  <c r="AR404" l="1"/>
  <c r="AV403"/>
  <c r="BY1420"/>
  <c r="BZ1419"/>
  <c r="BW1419" s="1"/>
  <c r="BV1419"/>
  <c r="AT404" l="1"/>
  <c r="AU404" s="1"/>
  <c r="AS404"/>
  <c r="BZ1420"/>
  <c r="BY1421"/>
  <c r="BW1420"/>
  <c r="BV1420"/>
  <c r="AR405" l="1"/>
  <c r="AV404"/>
  <c r="BY1422"/>
  <c r="BZ1421"/>
  <c r="BW1421" s="1"/>
  <c r="BV1421"/>
  <c r="AS405" l="1"/>
  <c r="AT405"/>
  <c r="AU405" s="1"/>
  <c r="BZ1422"/>
  <c r="BY1423"/>
  <c r="BV1422"/>
  <c r="BW1422"/>
  <c r="AR406" l="1"/>
  <c r="AV405"/>
  <c r="BY1424"/>
  <c r="BZ1423"/>
  <c r="BW1423"/>
  <c r="BV1423"/>
  <c r="AS406" l="1"/>
  <c r="AT406"/>
  <c r="AU406" s="1"/>
  <c r="BZ1424"/>
  <c r="BY1425"/>
  <c r="BW1424"/>
  <c r="BV1424"/>
  <c r="AR407" l="1"/>
  <c r="AV406"/>
  <c r="BY1426"/>
  <c r="BZ1425"/>
  <c r="BW1425" s="1"/>
  <c r="BV1425"/>
  <c r="AS407" l="1"/>
  <c r="AT407"/>
  <c r="AU407" s="1"/>
  <c r="BZ1426"/>
  <c r="BV1426"/>
  <c r="BW1426"/>
  <c r="BY1427"/>
  <c r="AR408" l="1"/>
  <c r="AV407"/>
  <c r="BY1428"/>
  <c r="BZ1427"/>
  <c r="BV1427"/>
  <c r="BW1427"/>
  <c r="AS408" l="1"/>
  <c r="AT408"/>
  <c r="AU408" s="1"/>
  <c r="BZ1428"/>
  <c r="BY1429"/>
  <c r="BV1428"/>
  <c r="BW1428"/>
  <c r="AR409" l="1"/>
  <c r="AV408"/>
  <c r="BY1430"/>
  <c r="BV1429"/>
  <c r="BZ1429"/>
  <c r="BW1429" s="1"/>
  <c r="AS409" l="1"/>
  <c r="AT409"/>
  <c r="AU409" s="1"/>
  <c r="BZ1430"/>
  <c r="BY1431"/>
  <c r="BV1430"/>
  <c r="BW1430"/>
  <c r="AR410" l="1"/>
  <c r="AV409"/>
  <c r="BY1432"/>
  <c r="BZ1431"/>
  <c r="BW1431"/>
  <c r="BV1431"/>
  <c r="AS410" l="1"/>
  <c r="AT410"/>
  <c r="AU410" s="1"/>
  <c r="BZ1432"/>
  <c r="BY1433"/>
  <c r="BW1432"/>
  <c r="BV1432"/>
  <c r="AR411" l="1"/>
  <c r="AV410"/>
  <c r="BY1434"/>
  <c r="BZ1433"/>
  <c r="BW1433" s="1"/>
  <c r="BV1433"/>
  <c r="AS411" l="1"/>
  <c r="AT411"/>
  <c r="AU411" s="1"/>
  <c r="BZ1434"/>
  <c r="BV1434"/>
  <c r="BW1434"/>
  <c r="BY1435"/>
  <c r="AR412" l="1"/>
  <c r="AV411"/>
  <c r="BY1436"/>
  <c r="BZ1435"/>
  <c r="BW1435" s="1"/>
  <c r="BV1435"/>
  <c r="AT412" l="1"/>
  <c r="AU412" s="1"/>
  <c r="AS412"/>
  <c r="BZ1436"/>
  <c r="BY1437"/>
  <c r="BW1436"/>
  <c r="BV1436"/>
  <c r="AR413" l="1"/>
  <c r="AV412"/>
  <c r="BY1438"/>
  <c r="BZ1437"/>
  <c r="BW1437" s="1"/>
  <c r="BV1437"/>
  <c r="AS413" l="1"/>
  <c r="AT413"/>
  <c r="AU413" s="1"/>
  <c r="BZ1438"/>
  <c r="BW1438" s="1"/>
  <c r="BY1439"/>
  <c r="BV1438"/>
  <c r="AR414" l="1"/>
  <c r="AV413"/>
  <c r="BY1440"/>
  <c r="BZ1439"/>
  <c r="BW1439"/>
  <c r="BV1439"/>
  <c r="AS414" l="1"/>
  <c r="AT414"/>
  <c r="AU414" s="1"/>
  <c r="BZ1440"/>
  <c r="BY1441"/>
  <c r="BW1440"/>
  <c r="BV1440"/>
  <c r="AR415" l="1"/>
  <c r="AV414"/>
  <c r="BY1442"/>
  <c r="BZ1441"/>
  <c r="BW1441" s="1"/>
  <c r="BV1441"/>
  <c r="BZ1442" l="1"/>
  <c r="BW1442" s="1"/>
  <c r="BV1442"/>
  <c r="BY1443"/>
  <c r="AS415"/>
  <c r="AT415"/>
  <c r="AU415" s="1"/>
  <c r="AR416" l="1"/>
  <c r="AV415"/>
  <c r="BY1444"/>
  <c r="BZ1443"/>
  <c r="BW1443" s="1"/>
  <c r="BV1443"/>
  <c r="AS416" l="1"/>
  <c r="AT416"/>
  <c r="AU416" s="1"/>
  <c r="BZ1444"/>
  <c r="BW1444" s="1"/>
  <c r="BY1445"/>
  <c r="BV1444"/>
  <c r="AR417" l="1"/>
  <c r="AV416"/>
  <c r="BY1446"/>
  <c r="BV1445"/>
  <c r="BZ1445"/>
  <c r="BW1445" s="1"/>
  <c r="AS417" l="1"/>
  <c r="AT417"/>
  <c r="AU417" s="1"/>
  <c r="BZ1446"/>
  <c r="BY1447"/>
  <c r="BV1446"/>
  <c r="BW1446"/>
  <c r="AR418" l="1"/>
  <c r="AV417"/>
  <c r="BY1448"/>
  <c r="BZ1447"/>
  <c r="BW1447"/>
  <c r="BV1447"/>
  <c r="AS418" l="1"/>
  <c r="AT418"/>
  <c r="AU418" s="1"/>
  <c r="BZ1448"/>
  <c r="BY1449"/>
  <c r="BW1448"/>
  <c r="BV1448"/>
  <c r="AR419" l="1"/>
  <c r="AV418"/>
  <c r="BY1450"/>
  <c r="BZ1449"/>
  <c r="BW1449" s="1"/>
  <c r="BV1449"/>
  <c r="AS419" l="1"/>
  <c r="AT419"/>
  <c r="AU419" s="1"/>
  <c r="BZ1450"/>
  <c r="BV1450"/>
  <c r="BW1450"/>
  <c r="BY1451"/>
  <c r="AR420" l="1"/>
  <c r="AV419"/>
  <c r="BY1452"/>
  <c r="BZ1451"/>
  <c r="BW1451" s="1"/>
  <c r="BV1451"/>
  <c r="AT420" l="1"/>
  <c r="AU420" s="1"/>
  <c r="AS420"/>
  <c r="BZ1452"/>
  <c r="BY1453"/>
  <c r="BW1452"/>
  <c r="BV1452"/>
  <c r="AR421" l="1"/>
  <c r="AV420"/>
  <c r="BY1454"/>
  <c r="BZ1453"/>
  <c r="BW1453" s="1"/>
  <c r="BV1453"/>
  <c r="AS421" l="1"/>
  <c r="AT421"/>
  <c r="AU421" s="1"/>
  <c r="BZ1454"/>
  <c r="BY1455"/>
  <c r="BV1454"/>
  <c r="BW1454"/>
  <c r="AR422" l="1"/>
  <c r="AV421"/>
  <c r="BY1456"/>
  <c r="BZ1455"/>
  <c r="BW1455"/>
  <c r="BV1455"/>
  <c r="AS422" l="1"/>
  <c r="AT422"/>
  <c r="AU422" s="1"/>
  <c r="BZ1456"/>
  <c r="BY1457"/>
  <c r="BW1456"/>
  <c r="BV1456"/>
  <c r="AR423" l="1"/>
  <c r="AV422"/>
  <c r="BY1458"/>
  <c r="BZ1457"/>
  <c r="BW1457" s="1"/>
  <c r="BV1457"/>
  <c r="AS423" l="1"/>
  <c r="AT423"/>
  <c r="AU423" s="1"/>
  <c r="BZ1458"/>
  <c r="BV1458"/>
  <c r="BW1458"/>
  <c r="BY1459"/>
  <c r="AR424" l="1"/>
  <c r="AV423"/>
  <c r="BY1460"/>
  <c r="BZ1459"/>
  <c r="BW1459" s="1"/>
  <c r="BV1459"/>
  <c r="AS424" l="1"/>
  <c r="AT424"/>
  <c r="AU424" s="1"/>
  <c r="BZ1460"/>
  <c r="BY1461"/>
  <c r="BV1460"/>
  <c r="BW1460"/>
  <c r="AR425" l="1"/>
  <c r="AV424"/>
  <c r="BY1462"/>
  <c r="BV1461"/>
  <c r="BZ1461"/>
  <c r="BW1461" s="1"/>
  <c r="AS425" l="1"/>
  <c r="AT425"/>
  <c r="AU425" s="1"/>
  <c r="BZ1462"/>
  <c r="BY1463"/>
  <c r="BV1462"/>
  <c r="BW1462"/>
  <c r="AR426" l="1"/>
  <c r="AV425"/>
  <c r="BY1464"/>
  <c r="BZ1463"/>
  <c r="BW1463"/>
  <c r="BV1463"/>
  <c r="AS426" l="1"/>
  <c r="AT426"/>
  <c r="AU426" s="1"/>
  <c r="BZ1464"/>
  <c r="BY1465"/>
  <c r="BW1464"/>
  <c r="BV1464"/>
  <c r="AR427" l="1"/>
  <c r="AV426"/>
  <c r="BY1466"/>
  <c r="BZ1465"/>
  <c r="BW1465" s="1"/>
  <c r="BV1465"/>
  <c r="AS427" l="1"/>
  <c r="AT427"/>
  <c r="AU427" s="1"/>
  <c r="BZ1466"/>
  <c r="BV1466"/>
  <c r="BW1466"/>
  <c r="BY1467"/>
  <c r="AR428" l="1"/>
  <c r="AV427"/>
  <c r="BY1468"/>
  <c r="BZ1467"/>
  <c r="BW1467" s="1"/>
  <c r="BV1467"/>
  <c r="AT428" l="1"/>
  <c r="AU428" s="1"/>
  <c r="AS428"/>
  <c r="BZ1468"/>
  <c r="BY1469"/>
  <c r="BW1468"/>
  <c r="BV1468"/>
  <c r="AR429" l="1"/>
  <c r="AV428"/>
  <c r="BY1470"/>
  <c r="BZ1469"/>
  <c r="BW1469" s="1"/>
  <c r="BV1469"/>
  <c r="AS429" l="1"/>
  <c r="AT429"/>
  <c r="AU429" s="1"/>
  <c r="BZ1470"/>
  <c r="BY1471"/>
  <c r="BV1470"/>
  <c r="BW1470"/>
  <c r="AR430" l="1"/>
  <c r="AV429"/>
  <c r="BY1472"/>
  <c r="BZ1471"/>
  <c r="BW1471"/>
  <c r="BV1471"/>
  <c r="AS430" l="1"/>
  <c r="AT430"/>
  <c r="AU430" s="1"/>
  <c r="BZ1472"/>
  <c r="BY1473"/>
  <c r="BW1472"/>
  <c r="BV1472"/>
  <c r="AR431" l="1"/>
  <c r="AV430"/>
  <c r="BY1474"/>
  <c r="BZ1473"/>
  <c r="BW1473" s="1"/>
  <c r="BV1473"/>
  <c r="AS431" l="1"/>
  <c r="AT431"/>
  <c r="AU431" s="1"/>
  <c r="BZ1474"/>
  <c r="BV1474"/>
  <c r="BW1474"/>
  <c r="BY1475"/>
  <c r="AR432" l="1"/>
  <c r="AV431"/>
  <c r="BY1476"/>
  <c r="BZ1475"/>
  <c r="BW1475" s="1"/>
  <c r="BV1475"/>
  <c r="AS432" l="1"/>
  <c r="AT432"/>
  <c r="AU432" s="1"/>
  <c r="BZ1476"/>
  <c r="BY1477"/>
  <c r="BV1476"/>
  <c r="BW1476"/>
  <c r="AV432" l="1"/>
  <c r="AR433"/>
  <c r="BY1478"/>
  <c r="BV1477"/>
  <c r="BZ1477"/>
  <c r="BW1477" s="1"/>
  <c r="AS433" l="1"/>
  <c r="AT433"/>
  <c r="AU433" s="1"/>
  <c r="BZ1478"/>
  <c r="BW1478" s="1"/>
  <c r="BY1479"/>
  <c r="BV1478"/>
  <c r="AR434" l="1"/>
  <c r="AV433"/>
  <c r="BY1480"/>
  <c r="BZ1479"/>
  <c r="BW1479"/>
  <c r="BV1479"/>
  <c r="AS434" l="1"/>
  <c r="AT434"/>
  <c r="AU434" s="1"/>
  <c r="BZ1480"/>
  <c r="BY1481"/>
  <c r="BW1480"/>
  <c r="BV1480"/>
  <c r="AR435" l="1"/>
  <c r="AV434"/>
  <c r="BY1482"/>
  <c r="BZ1481"/>
  <c r="BW1481" s="1"/>
  <c r="BV1481"/>
  <c r="AS435" l="1"/>
  <c r="AT435"/>
  <c r="AU435" s="1"/>
  <c r="BZ1482"/>
  <c r="BV1482"/>
  <c r="BW1482"/>
  <c r="BY1483"/>
  <c r="AR436" l="1"/>
  <c r="AV435"/>
  <c r="BY1484"/>
  <c r="BZ1483"/>
  <c r="BW1483" s="1"/>
  <c r="BV1483"/>
  <c r="AT436" l="1"/>
  <c r="AU436" s="1"/>
  <c r="AS436"/>
  <c r="BZ1484"/>
  <c r="BY1485"/>
  <c r="BW1484"/>
  <c r="BV1484"/>
  <c r="AR437" l="1"/>
  <c r="AV436"/>
  <c r="BY1486"/>
  <c r="BZ1485"/>
  <c r="BW1485" s="1"/>
  <c r="BV1485"/>
  <c r="AS437" l="1"/>
  <c r="AT437"/>
  <c r="AU437" s="1"/>
  <c r="BZ1486"/>
  <c r="BY1487"/>
  <c r="BV1486"/>
  <c r="BW1486"/>
  <c r="AR438" l="1"/>
  <c r="AV437"/>
  <c r="BY1488"/>
  <c r="BZ1487"/>
  <c r="BW1487"/>
  <c r="BV1487"/>
  <c r="AS438" l="1"/>
  <c r="AT438"/>
  <c r="AU438" s="1"/>
  <c r="BZ1488"/>
  <c r="BY1489"/>
  <c r="BW1488"/>
  <c r="BV1488"/>
  <c r="AR439" l="1"/>
  <c r="AV438"/>
  <c r="BY1490"/>
  <c r="BZ1489"/>
  <c r="BW1489" s="1"/>
  <c r="BV1489"/>
  <c r="AS439" l="1"/>
  <c r="AT439"/>
  <c r="AU439" s="1"/>
  <c r="BZ1490"/>
  <c r="BV1490"/>
  <c r="BW1490"/>
  <c r="BY1491"/>
  <c r="AR440" l="1"/>
  <c r="AV439"/>
  <c r="BY1492"/>
  <c r="BZ1491"/>
  <c r="BW1491" s="1"/>
  <c r="BV1491"/>
  <c r="AS440" l="1"/>
  <c r="AT440"/>
  <c r="AU440" s="1"/>
  <c r="BZ1492"/>
  <c r="BY1493"/>
  <c r="BV1492"/>
  <c r="BW1492"/>
  <c r="AR441" l="1"/>
  <c r="AV440"/>
  <c r="BY1494"/>
  <c r="BV1493"/>
  <c r="BZ1493"/>
  <c r="BW1493" s="1"/>
  <c r="AS441" l="1"/>
  <c r="AT441"/>
  <c r="AU441" s="1"/>
  <c r="BZ1494"/>
  <c r="BW1494" s="1"/>
  <c r="BY1495"/>
  <c r="BV1494"/>
  <c r="AR442" l="1"/>
  <c r="AV441"/>
  <c r="BY1496"/>
  <c r="BZ1495"/>
  <c r="BW1495"/>
  <c r="BV1495"/>
  <c r="AS442" l="1"/>
  <c r="AT442"/>
  <c r="AU442" s="1"/>
  <c r="BZ1496"/>
  <c r="BY1497"/>
  <c r="BW1496"/>
  <c r="BV1496"/>
  <c r="AR443" l="1"/>
  <c r="AV442"/>
  <c r="BY1498"/>
  <c r="BZ1497"/>
  <c r="BW1497" s="1"/>
  <c r="BV1497"/>
  <c r="AS443" l="1"/>
  <c r="AT443"/>
  <c r="AU443" s="1"/>
  <c r="BZ1498"/>
  <c r="BV1498"/>
  <c r="BW1498"/>
  <c r="BY1499"/>
  <c r="AR444" l="1"/>
  <c r="AV443"/>
  <c r="BY1500"/>
  <c r="BZ1499"/>
  <c r="BV1499"/>
  <c r="BW1499"/>
  <c r="AT444" l="1"/>
  <c r="AU444" s="1"/>
  <c r="AS444"/>
  <c r="BZ1500"/>
  <c r="BY1501"/>
  <c r="BW1500"/>
  <c r="BV1500"/>
  <c r="AR445" l="1"/>
  <c r="AV444"/>
  <c r="BY1502"/>
  <c r="BZ1501"/>
  <c r="BW1501" s="1"/>
  <c r="BV1501"/>
  <c r="AS445" l="1"/>
  <c r="AT445"/>
  <c r="AU445" s="1"/>
  <c r="BZ1502"/>
  <c r="BY1503"/>
  <c r="BV1502"/>
  <c r="BW1502"/>
  <c r="AR446" l="1"/>
  <c r="AV445"/>
  <c r="BY1504"/>
  <c r="BZ1503"/>
  <c r="BW1503"/>
  <c r="BV1503"/>
  <c r="AS446" l="1"/>
  <c r="AT446"/>
  <c r="AU446" s="1"/>
  <c r="BZ1504"/>
  <c r="BY1505"/>
  <c r="BW1504"/>
  <c r="BV1504"/>
  <c r="AR447" l="1"/>
  <c r="AV446"/>
  <c r="BY1506"/>
  <c r="BZ1505"/>
  <c r="BW1505" s="1"/>
  <c r="BV1505"/>
  <c r="AS447" l="1"/>
  <c r="AT447"/>
  <c r="AU447" s="1"/>
  <c r="BZ1506"/>
  <c r="BV1506"/>
  <c r="BW1506"/>
  <c r="BY1507"/>
  <c r="AR448" l="1"/>
  <c r="AV447"/>
  <c r="BY1508"/>
  <c r="BZ1507"/>
  <c r="BW1507" s="1"/>
  <c r="BV1507"/>
  <c r="AS448" l="1"/>
  <c r="AT448"/>
  <c r="AU448" s="1"/>
  <c r="BZ1508"/>
  <c r="BY1509"/>
  <c r="BV1508"/>
  <c r="BW1508"/>
  <c r="AR449" l="1"/>
  <c r="AV448"/>
  <c r="BY1510"/>
  <c r="BV1509"/>
  <c r="BZ1509"/>
  <c r="BW1509" s="1"/>
  <c r="AS449" l="1"/>
  <c r="AT449"/>
  <c r="AU449" s="1"/>
  <c r="BZ1510"/>
  <c r="BY1511"/>
  <c r="BV1510"/>
  <c r="BW1510"/>
  <c r="AR450" l="1"/>
  <c r="AV449"/>
  <c r="BY1512"/>
  <c r="BZ1511"/>
  <c r="BW1511"/>
  <c r="BV1511"/>
  <c r="AS450" l="1"/>
  <c r="AT450"/>
  <c r="AU450" s="1"/>
  <c r="BZ1512"/>
  <c r="BY1513"/>
  <c r="BW1512"/>
  <c r="BV1512"/>
  <c r="AR451" l="1"/>
  <c r="AV450"/>
  <c r="BY1514"/>
  <c r="BZ1513"/>
  <c r="BW1513" s="1"/>
  <c r="BV1513"/>
  <c r="AS451" l="1"/>
  <c r="AT451"/>
  <c r="AU451" s="1"/>
  <c r="BZ1514"/>
  <c r="BV1514"/>
  <c r="BW1514"/>
  <c r="BY1515"/>
  <c r="AR452" l="1"/>
  <c r="AV451"/>
  <c r="BY1516"/>
  <c r="BZ1515"/>
  <c r="BW1515" s="1"/>
  <c r="BV1515"/>
  <c r="AT452" l="1"/>
  <c r="AU452" s="1"/>
  <c r="AS452"/>
  <c r="BZ1516"/>
  <c r="BY1517"/>
  <c r="BW1516"/>
  <c r="BV1516"/>
  <c r="AR453" l="1"/>
  <c r="AV452"/>
  <c r="BY1518"/>
  <c r="BZ1517"/>
  <c r="BW1517" s="1"/>
  <c r="BV1517"/>
  <c r="AS453" l="1"/>
  <c r="AT453"/>
  <c r="AU453" s="1"/>
  <c r="BZ1518"/>
  <c r="BW1518" s="1"/>
  <c r="BY1519"/>
  <c r="BV1518"/>
  <c r="AR454" l="1"/>
  <c r="AV453"/>
  <c r="BY1520"/>
  <c r="BZ1519"/>
  <c r="BW1519"/>
  <c r="BV1519"/>
  <c r="AS454" l="1"/>
  <c r="AT454"/>
  <c r="AU454" s="1"/>
  <c r="BZ1520"/>
  <c r="BY1521"/>
  <c r="BW1520"/>
  <c r="BV1520"/>
  <c r="AR455" l="1"/>
  <c r="AV454"/>
  <c r="BY1522"/>
  <c r="BZ1521"/>
  <c r="BW1521" s="1"/>
  <c r="BV1521"/>
  <c r="BZ1522" l="1"/>
  <c r="BW1522" s="1"/>
  <c r="BV1522"/>
  <c r="BY1523"/>
  <c r="AS455"/>
  <c r="AT455"/>
  <c r="AU455" s="1"/>
  <c r="AR456" l="1"/>
  <c r="AV455"/>
  <c r="BY1524"/>
  <c r="BZ1523"/>
  <c r="BW1523"/>
  <c r="BV1523"/>
  <c r="AS456" l="1"/>
  <c r="AT456"/>
  <c r="AU456" s="1"/>
  <c r="BZ1524"/>
  <c r="BY1525"/>
  <c r="BV1524"/>
  <c r="BW1524"/>
  <c r="AR457" l="1"/>
  <c r="AV456"/>
  <c r="BY1526"/>
  <c r="BV1525"/>
  <c r="BZ1525"/>
  <c r="BW1525" s="1"/>
  <c r="AS457" l="1"/>
  <c r="AT457"/>
  <c r="AU457" s="1"/>
  <c r="BZ1526"/>
  <c r="BY1527"/>
  <c r="BV1526"/>
  <c r="BW1526"/>
  <c r="AR458" l="1"/>
  <c r="AV457"/>
  <c r="BY1528"/>
  <c r="BZ1527"/>
  <c r="BW1527"/>
  <c r="BV1527"/>
  <c r="AS458" l="1"/>
  <c r="AT458"/>
  <c r="AU458" s="1"/>
  <c r="BZ1528"/>
  <c r="BY1529"/>
  <c r="BW1528"/>
  <c r="BV1528"/>
  <c r="AR459" l="1"/>
  <c r="AV458"/>
  <c r="BY1530"/>
  <c r="BZ1529"/>
  <c r="BW1529" s="1"/>
  <c r="BV1529"/>
  <c r="AS459" l="1"/>
  <c r="AT459"/>
  <c r="AU459" s="1"/>
  <c r="BZ1530"/>
  <c r="BV1530"/>
  <c r="BW1530"/>
  <c r="BY1531"/>
  <c r="AR460" l="1"/>
  <c r="AV459"/>
  <c r="BY1532"/>
  <c r="BZ1531"/>
  <c r="BW1531" s="1"/>
  <c r="BV1531"/>
  <c r="AT460" l="1"/>
  <c r="AU460" s="1"/>
  <c r="AS460"/>
  <c r="BZ1532"/>
  <c r="BY1533"/>
  <c r="BW1532"/>
  <c r="BV1532"/>
  <c r="AR461" l="1"/>
  <c r="AV460"/>
  <c r="BY1534"/>
  <c r="BZ1533"/>
  <c r="BW1533" s="1"/>
  <c r="BV1533"/>
  <c r="AS461" l="1"/>
  <c r="AT461"/>
  <c r="AU461" s="1"/>
  <c r="BZ1534"/>
  <c r="BY1535"/>
  <c r="BV1534"/>
  <c r="BW1534"/>
  <c r="AR462" l="1"/>
  <c r="AV461"/>
  <c r="BY1536"/>
  <c r="BZ1535"/>
  <c r="BW1535"/>
  <c r="BV1535"/>
  <c r="AS462" l="1"/>
  <c r="AT462"/>
  <c r="AU462" s="1"/>
  <c r="BZ1536"/>
  <c r="BY1537"/>
  <c r="BW1536"/>
  <c r="BV1536"/>
  <c r="AR463" l="1"/>
  <c r="AV462"/>
  <c r="BY1538"/>
  <c r="BZ1537"/>
  <c r="BW1537" s="1"/>
  <c r="BV1537"/>
  <c r="AS463" l="1"/>
  <c r="AT463"/>
  <c r="AU463" s="1"/>
  <c r="BZ1538"/>
  <c r="BV1538"/>
  <c r="BW1538"/>
  <c r="BY1539"/>
  <c r="AR464" l="1"/>
  <c r="AV463"/>
  <c r="BY1540"/>
  <c r="BZ1539"/>
  <c r="BW1539" s="1"/>
  <c r="BV1539"/>
  <c r="AS464" l="1"/>
  <c r="AT464"/>
  <c r="AU464" s="1"/>
  <c r="BZ1540"/>
  <c r="BY1541"/>
  <c r="BV1540"/>
  <c r="BW1540"/>
  <c r="AR465" l="1"/>
  <c r="AV464"/>
  <c r="BY1542"/>
  <c r="BV1541"/>
  <c r="BZ1541"/>
  <c r="BW1541" s="1"/>
  <c r="AS465" l="1"/>
  <c r="AT465"/>
  <c r="AU465" s="1"/>
  <c r="BZ1542"/>
  <c r="BY1543"/>
  <c r="BV1542"/>
  <c r="BW1542"/>
  <c r="AR466" l="1"/>
  <c r="AV465"/>
  <c r="BY1544"/>
  <c r="BZ1543"/>
  <c r="BW1543"/>
  <c r="BV1543"/>
  <c r="AS466" l="1"/>
  <c r="AT466"/>
  <c r="AU466" s="1"/>
  <c r="BZ1544"/>
  <c r="BY1545"/>
  <c r="BW1544"/>
  <c r="BV1544"/>
  <c r="AR467" l="1"/>
  <c r="AV466"/>
  <c r="BY1546"/>
  <c r="BZ1545"/>
  <c r="BW1545" s="1"/>
  <c r="BV1545"/>
  <c r="AS467" l="1"/>
  <c r="AT467"/>
  <c r="AU467" s="1"/>
  <c r="BZ1546"/>
  <c r="BV1546"/>
  <c r="BW1546"/>
  <c r="BY1547"/>
  <c r="AR468" l="1"/>
  <c r="AV467"/>
  <c r="BY1548"/>
  <c r="BZ1547"/>
  <c r="BW1547" s="1"/>
  <c r="BV1547"/>
  <c r="AT468" l="1"/>
  <c r="AU468" s="1"/>
  <c r="AS468"/>
  <c r="BZ1548"/>
  <c r="BY1549"/>
  <c r="BW1548"/>
  <c r="BV1548"/>
  <c r="AR469" l="1"/>
  <c r="AV468"/>
  <c r="BY1550"/>
  <c r="BZ1549"/>
  <c r="BW1549" s="1"/>
  <c r="BV1549"/>
  <c r="BZ1550" l="1"/>
  <c r="BW1550" s="1"/>
  <c r="BY1551"/>
  <c r="BV1550"/>
  <c r="AS469"/>
  <c r="AT469"/>
  <c r="AU469" s="1"/>
  <c r="AR470" l="1"/>
  <c r="AV469"/>
  <c r="BY1552"/>
  <c r="BZ1551"/>
  <c r="BW1551"/>
  <c r="BV1551"/>
  <c r="AS470" l="1"/>
  <c r="AT470"/>
  <c r="AU470" s="1"/>
  <c r="BZ1552"/>
  <c r="BY1553"/>
  <c r="BW1552"/>
  <c r="BV1552"/>
  <c r="AR471" l="1"/>
  <c r="AV470"/>
  <c r="BY1554"/>
  <c r="BZ1553"/>
  <c r="BW1553" s="1"/>
  <c r="BV1553"/>
  <c r="AS471" l="1"/>
  <c r="AT471"/>
  <c r="AU471" s="1"/>
  <c r="BZ1554"/>
  <c r="BV1554"/>
  <c r="BW1554"/>
  <c r="BY1555"/>
  <c r="AR472" l="1"/>
  <c r="AV471"/>
  <c r="BY1556"/>
  <c r="BZ1555"/>
  <c r="BW1555" s="1"/>
  <c r="BV1555"/>
  <c r="AS472" l="1"/>
  <c r="AT472"/>
  <c r="AU472" s="1"/>
  <c r="BZ1556"/>
  <c r="BY1557"/>
  <c r="BV1556"/>
  <c r="BW1556"/>
  <c r="AR473" l="1"/>
  <c r="AV472"/>
  <c r="BY1558"/>
  <c r="BV1557"/>
  <c r="BZ1557"/>
  <c r="BW1557" s="1"/>
  <c r="AS473" l="1"/>
  <c r="AT473"/>
  <c r="AU473" s="1"/>
  <c r="BZ1558"/>
  <c r="BY1559"/>
  <c r="BV1558"/>
  <c r="BW1558"/>
  <c r="AR474" l="1"/>
  <c r="AV473"/>
  <c r="BY1560"/>
  <c r="BZ1559"/>
  <c r="BW1559"/>
  <c r="BV1559"/>
  <c r="AS474" l="1"/>
  <c r="AT474"/>
  <c r="AU474" s="1"/>
  <c r="BZ1560"/>
  <c r="BY1561"/>
  <c r="BW1560"/>
  <c r="BV1560"/>
  <c r="AR475" l="1"/>
  <c r="AV474"/>
  <c r="BY1562"/>
  <c r="BZ1561"/>
  <c r="BW1561" s="1"/>
  <c r="BV1561"/>
  <c r="AS475" l="1"/>
  <c r="AT475"/>
  <c r="AU475" s="1"/>
  <c r="BZ1562"/>
  <c r="BV1562"/>
  <c r="BW1562"/>
  <c r="BY1563"/>
  <c r="AR476" l="1"/>
  <c r="AV475"/>
  <c r="BY1564"/>
  <c r="BZ1563"/>
  <c r="BW1563" s="1"/>
  <c r="BV1563"/>
  <c r="AT476" l="1"/>
  <c r="AU476" s="1"/>
  <c r="AS476"/>
  <c r="BZ1564"/>
  <c r="BY1565"/>
  <c r="BW1564"/>
  <c r="BV1564"/>
  <c r="AR477" l="1"/>
  <c r="AV476"/>
  <c r="BY1566"/>
  <c r="BZ1565"/>
  <c r="BW1565" s="1"/>
  <c r="BV1565"/>
  <c r="AS477" l="1"/>
  <c r="AT477"/>
  <c r="AU477" s="1"/>
  <c r="BZ1566"/>
  <c r="BY1567"/>
  <c r="BV1566"/>
  <c r="BW1566"/>
  <c r="AR478" l="1"/>
  <c r="AV477"/>
  <c r="BY1568"/>
  <c r="BZ1567"/>
  <c r="BW1567"/>
  <c r="BV1567"/>
  <c r="AS478" l="1"/>
  <c r="AT478"/>
  <c r="AU478" s="1"/>
  <c r="BZ1568"/>
  <c r="BY1569"/>
  <c r="BW1568"/>
  <c r="BV1568"/>
  <c r="AR479" l="1"/>
  <c r="AV478"/>
  <c r="BY1570"/>
  <c r="BZ1569"/>
  <c r="BW1569" s="1"/>
  <c r="BV1569"/>
  <c r="AS479" l="1"/>
  <c r="AT479"/>
  <c r="AU479" s="1"/>
  <c r="BZ1570"/>
  <c r="BV1570"/>
  <c r="BW1570"/>
  <c r="BY1571"/>
  <c r="AR480" l="1"/>
  <c r="AV479"/>
  <c r="BY1572"/>
  <c r="BZ1571"/>
  <c r="BW1571" s="1"/>
  <c r="BV1571"/>
  <c r="AS480" l="1"/>
  <c r="AT480"/>
  <c r="AU480" s="1"/>
  <c r="BZ1572"/>
  <c r="BW1572" s="1"/>
  <c r="BY1573"/>
  <c r="BV1572"/>
  <c r="AR481" l="1"/>
  <c r="AV480"/>
  <c r="BY1574"/>
  <c r="BV1573"/>
  <c r="BZ1573"/>
  <c r="BW1573" s="1"/>
  <c r="AS481" l="1"/>
  <c r="AT481"/>
  <c r="AU481" s="1"/>
  <c r="BZ1574"/>
  <c r="BW1574" s="1"/>
  <c r="BY1575"/>
  <c r="BV1574"/>
  <c r="AR482" l="1"/>
  <c r="AV481"/>
  <c r="BY1576"/>
  <c r="BZ1575"/>
  <c r="BW1575"/>
  <c r="BV1575"/>
  <c r="AS482" l="1"/>
  <c r="AT482"/>
  <c r="AU482" s="1"/>
  <c r="BZ1576"/>
  <c r="BY1577"/>
  <c r="BW1576"/>
  <c r="BV1576"/>
  <c r="AR483" l="1"/>
  <c r="AV482"/>
  <c r="BY1578"/>
  <c r="BZ1577"/>
  <c r="BW1577" s="1"/>
  <c r="BV1577"/>
  <c r="AS483" l="1"/>
  <c r="AT483"/>
  <c r="AU483" s="1"/>
  <c r="BZ1578"/>
  <c r="BV1578"/>
  <c r="BW1578"/>
  <c r="BY1579"/>
  <c r="AR484" l="1"/>
  <c r="AV483"/>
  <c r="BY1580"/>
  <c r="BZ1579"/>
  <c r="BW1579" s="1"/>
  <c r="BV1579"/>
  <c r="AT484" l="1"/>
  <c r="AU484" s="1"/>
  <c r="AS484"/>
  <c r="BZ1580"/>
  <c r="BY1581"/>
  <c r="BW1580"/>
  <c r="BV1580"/>
  <c r="AR485" l="1"/>
  <c r="AV484"/>
  <c r="BY1582"/>
  <c r="BZ1581"/>
  <c r="BW1581" s="1"/>
  <c r="BV1581"/>
  <c r="AS485" l="1"/>
  <c r="AT485"/>
  <c r="AU485" s="1"/>
  <c r="BZ1582"/>
  <c r="BY1583"/>
  <c r="BV1582"/>
  <c r="BW1582"/>
  <c r="AR486" l="1"/>
  <c r="AV485"/>
  <c r="BY1584"/>
  <c r="BZ1583"/>
  <c r="BW1583"/>
  <c r="BV1583"/>
  <c r="AS486" l="1"/>
  <c r="AT486"/>
  <c r="AU486" s="1"/>
  <c r="BZ1584"/>
  <c r="BY1585"/>
  <c r="BW1584"/>
  <c r="BV1584"/>
  <c r="AR487" l="1"/>
  <c r="AV486"/>
  <c r="BY1586"/>
  <c r="BZ1585"/>
  <c r="BW1585" s="1"/>
  <c r="BV1585"/>
  <c r="AS487" l="1"/>
  <c r="AT487"/>
  <c r="AU487" s="1"/>
  <c r="BZ1586"/>
  <c r="BV1586"/>
  <c r="BW1586"/>
  <c r="BY1587"/>
  <c r="AR488" l="1"/>
  <c r="AV487"/>
  <c r="BY1588"/>
  <c r="BZ1587"/>
  <c r="BW1587"/>
  <c r="BV1587"/>
  <c r="AS488" l="1"/>
  <c r="AT488"/>
  <c r="AU488" s="1"/>
  <c r="BZ1588"/>
  <c r="BW1588" s="1"/>
  <c r="BY1589"/>
  <c r="BV1588"/>
  <c r="AR489" l="1"/>
  <c r="AV488"/>
  <c r="BY1590"/>
  <c r="BV1589"/>
  <c r="BZ1589"/>
  <c r="BW1589" s="1"/>
  <c r="AS489" l="1"/>
  <c r="AT489"/>
  <c r="AU489" s="1"/>
  <c r="BZ1590"/>
  <c r="BY1591"/>
  <c r="BV1590"/>
  <c r="BW1590"/>
  <c r="AR490" l="1"/>
  <c r="AV489"/>
  <c r="BY1592"/>
  <c r="BZ1591"/>
  <c r="BW1591"/>
  <c r="BV1591"/>
  <c r="AS490" l="1"/>
  <c r="AT490"/>
  <c r="AU490" s="1"/>
  <c r="BZ1592"/>
  <c r="BY1593"/>
  <c r="BW1592"/>
  <c r="BV1592"/>
  <c r="AR491" l="1"/>
  <c r="AV490"/>
  <c r="BY1594"/>
  <c r="BZ1593"/>
  <c r="BW1593" s="1"/>
  <c r="BV1593"/>
  <c r="AS491" l="1"/>
  <c r="AT491"/>
  <c r="AU491" s="1"/>
  <c r="BZ1594"/>
  <c r="BV1594"/>
  <c r="BW1594"/>
  <c r="BY1595"/>
  <c r="AR492" l="1"/>
  <c r="AV491"/>
  <c r="BY1596"/>
  <c r="BZ1595"/>
  <c r="BW1595" s="1"/>
  <c r="BV1595"/>
  <c r="BZ1596" l="1"/>
  <c r="BW1596" s="1"/>
  <c r="BY1597"/>
  <c r="BV1596"/>
  <c r="AT492"/>
  <c r="AU492" s="1"/>
  <c r="AS492"/>
  <c r="AR493" l="1"/>
  <c r="AV492"/>
  <c r="BY1598"/>
  <c r="BZ1597"/>
  <c r="BW1597" s="1"/>
  <c r="BV1597"/>
  <c r="AS493" l="1"/>
  <c r="AT493"/>
  <c r="AU493" s="1"/>
  <c r="BZ1598"/>
  <c r="BW1598" s="1"/>
  <c r="BY1599"/>
  <c r="BV1598"/>
  <c r="AR494" l="1"/>
  <c r="AV493"/>
  <c r="BY1600"/>
  <c r="BZ1599"/>
  <c r="BW1599"/>
  <c r="BV1599"/>
  <c r="AS494" l="1"/>
  <c r="AT494"/>
  <c r="AU494" s="1"/>
  <c r="BZ1600"/>
  <c r="BY1601"/>
  <c r="BW1600"/>
  <c r="BV1600"/>
  <c r="AR495" l="1"/>
  <c r="AV494"/>
  <c r="BY1602"/>
  <c r="BZ1601"/>
  <c r="BW1601" s="1"/>
  <c r="BV1601"/>
  <c r="AS495" l="1"/>
  <c r="AT495"/>
  <c r="AU495" s="1"/>
  <c r="BZ1602"/>
  <c r="BV1602"/>
  <c r="BW1602"/>
  <c r="BY1603"/>
  <c r="AR496" l="1"/>
  <c r="AV495"/>
  <c r="BY1604"/>
  <c r="BZ1603"/>
  <c r="BW1603" s="1"/>
  <c r="BV1603"/>
  <c r="AS496" l="1"/>
  <c r="AT496"/>
  <c r="AU496" s="1"/>
  <c r="BZ1604"/>
  <c r="BY1605"/>
  <c r="BV1604"/>
  <c r="BW1604"/>
  <c r="AR497" l="1"/>
  <c r="AV496"/>
  <c r="BY1606"/>
  <c r="BV1605"/>
  <c r="BZ1605"/>
  <c r="BW1605" s="1"/>
  <c r="AS497" l="1"/>
  <c r="AT497"/>
  <c r="AU497" s="1"/>
  <c r="BZ1606"/>
  <c r="BY1607"/>
  <c r="BV1606"/>
  <c r="BW1606"/>
  <c r="AR498" l="1"/>
  <c r="AV497"/>
  <c r="BY1608"/>
  <c r="BZ1607"/>
  <c r="BW1607"/>
  <c r="BV1607"/>
  <c r="AS498" l="1"/>
  <c r="AT498"/>
  <c r="AU498" s="1"/>
  <c r="BZ1608"/>
  <c r="BY1609"/>
  <c r="BW1608"/>
  <c r="BV1608"/>
  <c r="AR499" l="1"/>
  <c r="AV498"/>
  <c r="BY1610"/>
  <c r="BZ1609"/>
  <c r="BW1609" s="1"/>
  <c r="BV1609"/>
  <c r="AS499" l="1"/>
  <c r="AT499"/>
  <c r="AU499" s="1"/>
  <c r="BZ1610"/>
  <c r="BV1610"/>
  <c r="BW1610"/>
  <c r="BY1611"/>
  <c r="AR500" l="1"/>
  <c r="AV499"/>
  <c r="BY1612"/>
  <c r="BZ1611"/>
  <c r="BW1611" s="1"/>
  <c r="BV1611"/>
  <c r="AT500" l="1"/>
  <c r="AU500" s="1"/>
  <c r="AS500"/>
  <c r="BZ1612"/>
  <c r="BY1613"/>
  <c r="BW1612"/>
  <c r="BV1612"/>
  <c r="AR501" l="1"/>
  <c r="AV500"/>
  <c r="BY1614"/>
  <c r="BZ1613"/>
  <c r="BW1613" s="1"/>
  <c r="BV1613"/>
  <c r="AS501" l="1"/>
  <c r="AT501"/>
  <c r="AU501" s="1"/>
  <c r="BZ1614"/>
  <c r="BW1614" s="1"/>
  <c r="BY1615"/>
  <c r="BV1614"/>
  <c r="AR502" l="1"/>
  <c r="AV501"/>
  <c r="BY1616"/>
  <c r="BZ1615"/>
  <c r="BW1615"/>
  <c r="BV1615"/>
  <c r="AS502" l="1"/>
  <c r="AT502"/>
  <c r="AU502" s="1"/>
  <c r="BZ1616"/>
  <c r="BY1617"/>
  <c r="BW1616"/>
  <c r="BV1616"/>
  <c r="AR503" l="1"/>
  <c r="AV502"/>
  <c r="BY1618"/>
  <c r="BZ1617"/>
  <c r="BW1617" s="1"/>
  <c r="BV1617"/>
  <c r="AS503" l="1"/>
  <c r="AT503"/>
  <c r="AU503" s="1"/>
  <c r="BZ1618"/>
  <c r="BV1618"/>
  <c r="BW1618"/>
  <c r="BY1619"/>
  <c r="AR504" l="1"/>
  <c r="AV503"/>
  <c r="BY1620"/>
  <c r="BZ1619"/>
  <c r="BW1619" s="1"/>
  <c r="BV1619"/>
  <c r="AS504" l="1"/>
  <c r="AT504"/>
  <c r="AU504" s="1"/>
  <c r="BZ1620"/>
  <c r="BY1621"/>
  <c r="BV1620"/>
  <c r="BW1620"/>
  <c r="AR505" l="1"/>
  <c r="AV504"/>
  <c r="BY1622"/>
  <c r="BV1621"/>
  <c r="BZ1621"/>
  <c r="BW1621" s="1"/>
  <c r="AS505" l="1"/>
  <c r="AT505"/>
  <c r="AU505" s="1"/>
  <c r="BZ1622"/>
  <c r="BY1623"/>
  <c r="BV1622"/>
  <c r="BW1622"/>
  <c r="AR506" l="1"/>
  <c r="AV505"/>
  <c r="BY1624"/>
  <c r="BZ1623"/>
  <c r="BW1623"/>
  <c r="BV1623"/>
  <c r="AS506" l="1"/>
  <c r="AT506"/>
  <c r="AU506" s="1"/>
  <c r="BZ1624"/>
  <c r="BY1625"/>
  <c r="BW1624"/>
  <c r="BV1624"/>
  <c r="AR507" l="1"/>
  <c r="AV506"/>
  <c r="BY1626"/>
  <c r="BZ1625"/>
  <c r="BW1625" s="1"/>
  <c r="BV1625"/>
  <c r="AS507" l="1"/>
  <c r="AT507"/>
  <c r="AU507" s="1"/>
  <c r="BZ1626"/>
  <c r="BV1626"/>
  <c r="BW1626"/>
  <c r="BY1627"/>
  <c r="AR508" l="1"/>
  <c r="AV507"/>
  <c r="BY1628"/>
  <c r="BZ1627"/>
  <c r="BW1627" s="1"/>
  <c r="BV1627"/>
  <c r="AT508" l="1"/>
  <c r="AU508" s="1"/>
  <c r="AS508"/>
  <c r="BZ1628"/>
  <c r="BY1629"/>
  <c r="BW1628"/>
  <c r="BV1628"/>
  <c r="AR509" l="1"/>
  <c r="AV508"/>
  <c r="BY1630"/>
  <c r="BZ1629"/>
  <c r="BW1629" s="1"/>
  <c r="BV1629"/>
  <c r="AS509" l="1"/>
  <c r="AT509"/>
  <c r="AU509" s="1"/>
  <c r="BZ1630"/>
  <c r="BY1631"/>
  <c r="BV1630"/>
  <c r="BW1630"/>
  <c r="AR510" l="1"/>
  <c r="AV509"/>
  <c r="BY1632"/>
  <c r="BZ1631"/>
  <c r="BW1631"/>
  <c r="BV1631"/>
  <c r="AS510" l="1"/>
  <c r="AT510"/>
  <c r="AU510" s="1"/>
  <c r="BZ1632"/>
  <c r="BY1633"/>
  <c r="BW1632"/>
  <c r="BV1632"/>
  <c r="AR511" l="1"/>
  <c r="AV510"/>
  <c r="BY1634"/>
  <c r="BZ1633"/>
  <c r="BW1633" s="1"/>
  <c r="BV1633"/>
  <c r="AS511" l="1"/>
  <c r="AT511"/>
  <c r="AU511" s="1"/>
  <c r="BZ1634"/>
  <c r="BV1634"/>
  <c r="BW1634"/>
  <c r="BY1635"/>
  <c r="AR512" l="1"/>
  <c r="AV511"/>
  <c r="BY1636"/>
  <c r="BZ1635"/>
  <c r="BW1635" s="1"/>
  <c r="BV1635"/>
  <c r="AS512" l="1"/>
  <c r="AT512"/>
  <c r="AU512" s="1"/>
  <c r="BZ1636"/>
  <c r="BW1636" s="1"/>
  <c r="BY1637"/>
  <c r="BV1636"/>
  <c r="AR513" l="1"/>
  <c r="AV512"/>
  <c r="BY1638"/>
  <c r="BV1637"/>
  <c r="BZ1637"/>
  <c r="BW1637" s="1"/>
  <c r="AS513" l="1"/>
  <c r="AT513"/>
  <c r="AU513" s="1"/>
  <c r="BZ1638"/>
  <c r="BY1639"/>
  <c r="BV1638"/>
  <c r="BW1638"/>
  <c r="AR514" l="1"/>
  <c r="AV513"/>
  <c r="BY1640"/>
  <c r="BZ1639"/>
  <c r="BW1639"/>
  <c r="BV1639"/>
  <c r="AS514" l="1"/>
  <c r="AT514"/>
  <c r="AU514" s="1"/>
  <c r="BZ1640"/>
  <c r="BY1641"/>
  <c r="BW1640"/>
  <c r="BV1640"/>
  <c r="AR515" l="1"/>
  <c r="AW115" s="1"/>
  <c r="AV514"/>
  <c r="BY1642"/>
  <c r="BZ1641"/>
  <c r="BW1641" s="1"/>
  <c r="BV1641"/>
  <c r="AX115" l="1"/>
  <c r="AY115"/>
  <c r="AZ115" s="1"/>
  <c r="BZ1642"/>
  <c r="BV1642"/>
  <c r="BW1642"/>
  <c r="BY1643"/>
  <c r="AW116" l="1"/>
  <c r="BA115"/>
  <c r="BY1644"/>
  <c r="BZ1643"/>
  <c r="BW1643" s="1"/>
  <c r="BV1643"/>
  <c r="AY116" l="1"/>
  <c r="AZ116" s="1"/>
  <c r="AX116"/>
  <c r="BZ1644"/>
  <c r="BY1645"/>
  <c r="BW1644"/>
  <c r="BV1644"/>
  <c r="AW117" l="1"/>
  <c r="BA116"/>
  <c r="BY1646"/>
  <c r="BZ1645"/>
  <c r="BW1645" s="1"/>
  <c r="BV1645"/>
  <c r="AX117" l="1"/>
  <c r="AY117"/>
  <c r="AZ117" s="1"/>
  <c r="BZ1646"/>
  <c r="BY1647"/>
  <c r="BV1646"/>
  <c r="BW1646"/>
  <c r="AW118" l="1"/>
  <c r="BA117"/>
  <c r="BY1648"/>
  <c r="BZ1647"/>
  <c r="BW1647" s="1"/>
  <c r="BV1647"/>
  <c r="AX118" l="1"/>
  <c r="AY118"/>
  <c r="AZ118" s="1"/>
  <c r="BZ1648"/>
  <c r="BY1649"/>
  <c r="BW1648"/>
  <c r="BV1648"/>
  <c r="AW119" l="1"/>
  <c r="BA118"/>
  <c r="BY1650"/>
  <c r="BZ1649"/>
  <c r="BW1649" s="1"/>
  <c r="BV1649"/>
  <c r="AX119" l="1"/>
  <c r="AY119"/>
  <c r="AZ119" s="1"/>
  <c r="BZ1650"/>
  <c r="BV1650"/>
  <c r="BW1650"/>
  <c r="BY1651"/>
  <c r="AW120" l="1"/>
  <c r="BA119"/>
  <c r="BY1652"/>
  <c r="BZ1651"/>
  <c r="BW1651"/>
  <c r="BV1651"/>
  <c r="AY120" l="1"/>
  <c r="AZ120" s="1"/>
  <c r="AX120"/>
  <c r="BZ1652"/>
  <c r="BW1652" s="1"/>
  <c r="BY1653"/>
  <c r="BV1652"/>
  <c r="AW121" l="1"/>
  <c r="BA120"/>
  <c r="BY1654"/>
  <c r="BV1653"/>
  <c r="BZ1653"/>
  <c r="BW1653" s="1"/>
  <c r="AX121" l="1"/>
  <c r="AY121"/>
  <c r="AZ121" s="1"/>
  <c r="BZ1654"/>
  <c r="BW1654" s="1"/>
  <c r="BY1655"/>
  <c r="BV1654"/>
  <c r="AW122" l="1"/>
  <c r="BA121"/>
  <c r="BY1656"/>
  <c r="BZ1655"/>
  <c r="BW1655"/>
  <c r="BV1655"/>
  <c r="AX122" l="1"/>
  <c r="AY122"/>
  <c r="AZ122" s="1"/>
  <c r="BZ1656"/>
  <c r="BY1657"/>
  <c r="BW1656"/>
  <c r="BV1656"/>
  <c r="AW123" l="1"/>
  <c r="BA122"/>
  <c r="BY1658"/>
  <c r="BZ1657"/>
  <c r="BW1657" s="1"/>
  <c r="BV1657"/>
  <c r="AX123" l="1"/>
  <c r="AY123"/>
  <c r="AZ123" s="1"/>
  <c r="BZ1658"/>
  <c r="BV1658"/>
  <c r="BW1658"/>
  <c r="BY1659"/>
  <c r="BA123" l="1"/>
  <c r="AW124"/>
  <c r="BY1660"/>
  <c r="BZ1659"/>
  <c r="BW1659" s="1"/>
  <c r="BV1659"/>
  <c r="AY124" l="1"/>
  <c r="AZ124" s="1"/>
  <c r="AX124"/>
  <c r="BZ1660"/>
  <c r="BY1661"/>
  <c r="BW1660"/>
  <c r="BV1660"/>
  <c r="AW125" l="1"/>
  <c r="BA124"/>
  <c r="BY1662"/>
  <c r="BZ1661"/>
  <c r="BW1661" s="1"/>
  <c r="BV1661"/>
  <c r="AX125" l="1"/>
  <c r="AY125"/>
  <c r="AZ125" s="1"/>
  <c r="BZ1662"/>
  <c r="BY1663"/>
  <c r="BV1662"/>
  <c r="BW1662"/>
  <c r="AW126" l="1"/>
  <c r="BA125"/>
  <c r="BY1664"/>
  <c r="BZ1663"/>
  <c r="BW1663"/>
  <c r="BV1663"/>
  <c r="AY126" l="1"/>
  <c r="AZ126" s="1"/>
  <c r="AX126"/>
  <c r="BZ1664"/>
  <c r="BY1665"/>
  <c r="BW1664"/>
  <c r="BV1664"/>
  <c r="AW127" l="1"/>
  <c r="BA126"/>
  <c r="BY1666"/>
  <c r="BZ1665"/>
  <c r="BW1665" s="1"/>
  <c r="BV1665"/>
  <c r="AX127" l="1"/>
  <c r="AY127"/>
  <c r="AZ127" s="1"/>
  <c r="BZ1666"/>
  <c r="BV1666"/>
  <c r="BW1666"/>
  <c r="BY1667"/>
  <c r="AW128" l="1"/>
  <c r="BA127"/>
  <c r="BY1668"/>
  <c r="BZ1667"/>
  <c r="BW1667" s="1"/>
  <c r="BV1667"/>
  <c r="AY128" l="1"/>
  <c r="AZ128" s="1"/>
  <c r="AX128"/>
  <c r="BZ1668"/>
  <c r="BY1669"/>
  <c r="BV1668"/>
  <c r="BW1668"/>
  <c r="AW129" l="1"/>
  <c r="BA128"/>
  <c r="BY1670"/>
  <c r="BV1669"/>
  <c r="BZ1669"/>
  <c r="BW1669" s="1"/>
  <c r="AX129" l="1"/>
  <c r="AY129"/>
  <c r="AZ129" s="1"/>
  <c r="BZ1670"/>
  <c r="BW1670" s="1"/>
  <c r="BY1671"/>
  <c r="BV1670"/>
  <c r="AW130" l="1"/>
  <c r="BA129"/>
  <c r="BY1672"/>
  <c r="BZ1671"/>
  <c r="BW1671"/>
  <c r="BV1671"/>
  <c r="AY130" l="1"/>
  <c r="AZ130" s="1"/>
  <c r="AX130"/>
  <c r="BZ1672"/>
  <c r="BY1673"/>
  <c r="BW1672"/>
  <c r="BV1672"/>
  <c r="AW131" l="1"/>
  <c r="BA130"/>
  <c r="BY1674"/>
  <c r="BZ1673"/>
  <c r="BW1673" s="1"/>
  <c r="BV1673"/>
  <c r="AX131" l="1"/>
  <c r="AY131"/>
  <c r="AZ131" s="1"/>
  <c r="BZ1674"/>
  <c r="BV1674"/>
  <c r="BW1674"/>
  <c r="BY1675"/>
  <c r="AW132" l="1"/>
  <c r="BA131"/>
  <c r="BY1676"/>
  <c r="BZ1675"/>
  <c r="BW1675" s="1"/>
  <c r="BV1675"/>
  <c r="AX132" l="1"/>
  <c r="AY132"/>
  <c r="AZ132" s="1"/>
  <c r="BZ1676"/>
  <c r="BY1677"/>
  <c r="BW1676"/>
  <c r="BV1676"/>
  <c r="AW133" l="1"/>
  <c r="BA132"/>
  <c r="BY1678"/>
  <c r="BZ1677"/>
  <c r="BW1677" s="1"/>
  <c r="BV1677"/>
  <c r="AX133" l="1"/>
  <c r="AY133"/>
  <c r="AZ133" s="1"/>
  <c r="BZ1678"/>
  <c r="BY1679"/>
  <c r="BV1678"/>
  <c r="BW1678"/>
  <c r="AW134" l="1"/>
  <c r="BA133"/>
  <c r="BY1680"/>
  <c r="BZ1679"/>
  <c r="BW1679"/>
  <c r="BV1679"/>
  <c r="AY134" l="1"/>
  <c r="AZ134" s="1"/>
  <c r="AX134"/>
  <c r="BZ1680"/>
  <c r="BY1681"/>
  <c r="BW1680"/>
  <c r="BV1680"/>
  <c r="AW135" l="1"/>
  <c r="BA134"/>
  <c r="BY1682"/>
  <c r="BZ1681"/>
  <c r="BW1681" s="1"/>
  <c r="BV1681"/>
  <c r="AX135" l="1"/>
  <c r="AY135"/>
  <c r="AZ135" s="1"/>
  <c r="BZ1682"/>
  <c r="BV1682"/>
  <c r="BW1682"/>
  <c r="BY1683"/>
  <c r="AW136" l="1"/>
  <c r="BA135"/>
  <c r="BY1684"/>
  <c r="BZ1683"/>
  <c r="BW1683" s="1"/>
  <c r="BV1683"/>
  <c r="AX136" l="1"/>
  <c r="AY136"/>
  <c r="AZ136" s="1"/>
  <c r="BZ1684"/>
  <c r="BW1684" s="1"/>
  <c r="BY1685"/>
  <c r="BV1684"/>
  <c r="AW137" l="1"/>
  <c r="BA136"/>
  <c r="BY1686"/>
  <c r="BV1685"/>
  <c r="BZ1685"/>
  <c r="BW1685" s="1"/>
  <c r="AX137" l="1"/>
  <c r="AY137"/>
  <c r="AZ137" s="1"/>
  <c r="BZ1686"/>
  <c r="BY1687"/>
  <c r="BV1686"/>
  <c r="BW1686"/>
  <c r="AW138" l="1"/>
  <c r="BA137"/>
  <c r="BY1688"/>
  <c r="BZ1687"/>
  <c r="BW1687"/>
  <c r="BV1687"/>
  <c r="AY138" l="1"/>
  <c r="AZ138" s="1"/>
  <c r="AX138"/>
  <c r="BZ1688"/>
  <c r="BY1689"/>
  <c r="BW1688"/>
  <c r="BV1688"/>
  <c r="AW139" l="1"/>
  <c r="BA138"/>
  <c r="BY1690"/>
  <c r="BZ1689"/>
  <c r="BW1689" s="1"/>
  <c r="BV1689"/>
  <c r="AX139" l="1"/>
  <c r="AY139"/>
  <c r="AZ139" s="1"/>
  <c r="BZ1690"/>
  <c r="BV1690"/>
  <c r="BW1690"/>
  <c r="BY1691"/>
  <c r="BA139" l="1"/>
  <c r="AW140"/>
  <c r="BY1692"/>
  <c r="BZ1691"/>
  <c r="BW1691" s="1"/>
  <c r="BV1691"/>
  <c r="AX140" l="1"/>
  <c r="AY140"/>
  <c r="AZ140" s="1"/>
  <c r="BZ1692"/>
  <c r="BY1693"/>
  <c r="BW1692"/>
  <c r="BV1692"/>
  <c r="AW141" l="1"/>
  <c r="BA140"/>
  <c r="BY1694"/>
  <c r="BZ1693"/>
  <c r="BW1693" s="1"/>
  <c r="BV1693"/>
  <c r="AX141" l="1"/>
  <c r="AY141"/>
  <c r="AZ141" s="1"/>
  <c r="BZ1694"/>
  <c r="BY1695"/>
  <c r="BV1694"/>
  <c r="BW1694"/>
  <c r="AW142" l="1"/>
  <c r="BA141"/>
  <c r="BY1696"/>
  <c r="BZ1695"/>
  <c r="BW1695"/>
  <c r="BV1695"/>
  <c r="AY142" l="1"/>
  <c r="AZ142" s="1"/>
  <c r="AX142"/>
  <c r="BZ1696"/>
  <c r="BY1697"/>
  <c r="BW1696"/>
  <c r="BV1696"/>
  <c r="AW143" l="1"/>
  <c r="BA142"/>
  <c r="BY1698"/>
  <c r="BZ1697"/>
  <c r="BW1697" s="1"/>
  <c r="BV1697"/>
  <c r="BZ1698" l="1"/>
  <c r="BW1698" s="1"/>
  <c r="BV1698"/>
  <c r="BY1699"/>
  <c r="AX143"/>
  <c r="AY143"/>
  <c r="AZ143" s="1"/>
  <c r="AW144" l="1"/>
  <c r="BA143"/>
  <c r="BY1700"/>
  <c r="BZ1699"/>
  <c r="BV1699"/>
  <c r="BW1699"/>
  <c r="AY144" l="1"/>
  <c r="AZ144" s="1"/>
  <c r="AX144"/>
  <c r="BZ1700"/>
  <c r="BW1700" s="1"/>
  <c r="BY1701"/>
  <c r="BV1700"/>
  <c r="AW145" l="1"/>
  <c r="BA144"/>
  <c r="BY1702"/>
  <c r="BV1701"/>
  <c r="BZ1701"/>
  <c r="BW1701" s="1"/>
  <c r="AX145" l="1"/>
  <c r="AY145"/>
  <c r="AZ145" s="1"/>
  <c r="BZ1702"/>
  <c r="BY1703"/>
  <c r="BV1702"/>
  <c r="BW1702"/>
  <c r="AW146" l="1"/>
  <c r="BA145"/>
  <c r="BY1704"/>
  <c r="BZ1703"/>
  <c r="BW1703"/>
  <c r="BV1703"/>
  <c r="AY146" l="1"/>
  <c r="AZ146" s="1"/>
  <c r="AX146"/>
  <c r="BZ1704"/>
  <c r="BY1705"/>
  <c r="BW1704"/>
  <c r="BV1704"/>
  <c r="AW147" l="1"/>
  <c r="BA146"/>
  <c r="BY1706"/>
  <c r="BZ1705"/>
  <c r="BW1705" s="1"/>
  <c r="BV1705"/>
  <c r="AX147" l="1"/>
  <c r="AY147"/>
  <c r="AZ147" s="1"/>
  <c r="BZ1706"/>
  <c r="BV1706"/>
  <c r="BW1706"/>
  <c r="BY1707"/>
  <c r="AW148" l="1"/>
  <c r="BA147"/>
  <c r="BY1708"/>
  <c r="BZ1707"/>
  <c r="BW1707" s="1"/>
  <c r="BV1707"/>
  <c r="AX148" l="1"/>
  <c r="AY148"/>
  <c r="AZ148" s="1"/>
  <c r="BZ1708"/>
  <c r="BY1709"/>
  <c r="BW1708"/>
  <c r="BV1708"/>
  <c r="AW149" l="1"/>
  <c r="BA148"/>
  <c r="BY1710"/>
  <c r="BZ1709"/>
  <c r="BW1709" s="1"/>
  <c r="BV1709"/>
  <c r="AX149" l="1"/>
  <c r="AY149"/>
  <c r="AZ149" s="1"/>
  <c r="BZ1710"/>
  <c r="BY1711"/>
  <c r="BV1710"/>
  <c r="BW1710"/>
  <c r="AW150" l="1"/>
  <c r="BA149"/>
  <c r="BY1712"/>
  <c r="BZ1711"/>
  <c r="BW1711"/>
  <c r="BV1711"/>
  <c r="AY150" l="1"/>
  <c r="AZ150" s="1"/>
  <c r="AX150"/>
  <c r="BZ1712"/>
  <c r="BY1713"/>
  <c r="BW1712"/>
  <c r="BV1712"/>
  <c r="AW151" l="1"/>
  <c r="BA150"/>
  <c r="BY1714"/>
  <c r="BZ1713"/>
  <c r="BW1713" s="1"/>
  <c r="BV1713"/>
  <c r="AX151" l="1"/>
  <c r="AY151"/>
  <c r="AZ151" s="1"/>
  <c r="BZ1714"/>
  <c r="BV1714"/>
  <c r="BW1714"/>
  <c r="BY1715"/>
  <c r="AW152" l="1"/>
  <c r="BA151"/>
  <c r="BY1716"/>
  <c r="BZ1715"/>
  <c r="BW1715" s="1"/>
  <c r="BV1715"/>
  <c r="AX152" l="1"/>
  <c r="AY152"/>
  <c r="AZ152" s="1"/>
  <c r="BZ1716"/>
  <c r="BW1716" s="1"/>
  <c r="BY1717"/>
  <c r="BV1716"/>
  <c r="AW153" l="1"/>
  <c r="BA152"/>
  <c r="BY1718"/>
  <c r="BV1717"/>
  <c r="BZ1717"/>
  <c r="BW1717" s="1"/>
  <c r="AX153" l="1"/>
  <c r="AY153"/>
  <c r="AZ153" s="1"/>
  <c r="BZ1718"/>
  <c r="BY1719"/>
  <c r="BV1718"/>
  <c r="BW1718"/>
  <c r="AW154" l="1"/>
  <c r="BA153"/>
  <c r="BY1720"/>
  <c r="BZ1719"/>
  <c r="BW1719"/>
  <c r="BV1719"/>
  <c r="AY154" l="1"/>
  <c r="AZ154" s="1"/>
  <c r="AX154"/>
  <c r="BZ1720"/>
  <c r="BW1720" s="1"/>
  <c r="BY1721"/>
  <c r="BV1720"/>
  <c r="BY1722" l="1"/>
  <c r="BZ1721"/>
  <c r="BW1721" s="1"/>
  <c r="BV1721"/>
  <c r="AW155"/>
  <c r="BA154"/>
  <c r="AX155" l="1"/>
  <c r="AY155"/>
  <c r="AZ155" s="1"/>
  <c r="BZ1722"/>
  <c r="BW1722" s="1"/>
  <c r="BV1722"/>
  <c r="BY1723"/>
  <c r="BY1724" l="1"/>
  <c r="BZ1723"/>
  <c r="BV1723"/>
  <c r="BW1723"/>
  <c r="BA155"/>
  <c r="AW156"/>
  <c r="BZ1724" l="1"/>
  <c r="BY1725"/>
  <c r="BW1724"/>
  <c r="BV1724"/>
  <c r="AX156"/>
  <c r="AY156"/>
  <c r="AZ156" s="1"/>
  <c r="AW157" l="1"/>
  <c r="BA156"/>
  <c r="BY1726"/>
  <c r="BZ1725"/>
  <c r="BW1725" s="1"/>
  <c r="BV1725"/>
  <c r="AX157" l="1"/>
  <c r="AY157"/>
  <c r="AZ157" s="1"/>
  <c r="BZ1726"/>
  <c r="BY1727"/>
  <c r="BV1726"/>
  <c r="BW1726"/>
  <c r="BY1728" l="1"/>
  <c r="BZ1727"/>
  <c r="BW1727" s="1"/>
  <c r="BV1727"/>
  <c r="AW158"/>
  <c r="BA157"/>
  <c r="AY158" l="1"/>
  <c r="AZ158" s="1"/>
  <c r="AX158"/>
  <c r="BZ1728"/>
  <c r="BY1729"/>
  <c r="BW1728"/>
  <c r="BV1728"/>
  <c r="AW159" l="1"/>
  <c r="BA158"/>
  <c r="BY1730"/>
  <c r="BZ1729"/>
  <c r="BW1729" s="1"/>
  <c r="BV1729"/>
  <c r="BZ1730" l="1"/>
  <c r="BW1730" s="1"/>
  <c r="BV1730"/>
  <c r="BY1731"/>
  <c r="AX159"/>
  <c r="AY159"/>
  <c r="AZ159" s="1"/>
  <c r="AW160" l="1"/>
  <c r="BA159"/>
  <c r="BY1732"/>
  <c r="BZ1731"/>
  <c r="BW1731" s="1"/>
  <c r="BV1731"/>
  <c r="AY160" l="1"/>
  <c r="AZ160" s="1"/>
  <c r="AX160"/>
  <c r="BZ1732"/>
  <c r="BW1732" s="1"/>
  <c r="BY1733"/>
  <c r="BV1732"/>
  <c r="AW161" l="1"/>
  <c r="BA160"/>
  <c r="BY1734"/>
  <c r="BV1733"/>
  <c r="BZ1733"/>
  <c r="BW1733" s="1"/>
  <c r="AX161" l="1"/>
  <c r="AY161"/>
  <c r="AZ161" s="1"/>
  <c r="BZ1734"/>
  <c r="BY1735"/>
  <c r="BV1734"/>
  <c r="BW1734"/>
  <c r="AW162" l="1"/>
  <c r="BA161"/>
  <c r="BY1736"/>
  <c r="BZ1735"/>
  <c r="BW1735"/>
  <c r="BV1735"/>
  <c r="AY162" l="1"/>
  <c r="AZ162" s="1"/>
  <c r="AX162"/>
  <c r="BZ1736"/>
  <c r="BY1737"/>
  <c r="BW1736"/>
  <c r="BV1736"/>
  <c r="AW163" l="1"/>
  <c r="BA162"/>
  <c r="BY1738"/>
  <c r="BZ1737"/>
  <c r="BW1737" s="1"/>
  <c r="BV1737"/>
  <c r="BZ1738" l="1"/>
  <c r="BW1738" s="1"/>
  <c r="BV1738"/>
  <c r="BY1739"/>
  <c r="AX163"/>
  <c r="AY163"/>
  <c r="AZ163" s="1"/>
  <c r="AW164" l="1"/>
  <c r="BA163"/>
  <c r="BY1740"/>
  <c r="BZ1739"/>
  <c r="BV1739"/>
  <c r="BW1739"/>
  <c r="AX164" l="1"/>
  <c r="AY164"/>
  <c r="AZ164" s="1"/>
  <c r="BZ1740"/>
  <c r="BY1741"/>
  <c r="BW1740"/>
  <c r="BV1740"/>
  <c r="AW165" l="1"/>
  <c r="BA164"/>
  <c r="BY1742"/>
  <c r="BZ1741"/>
  <c r="BW1741" s="1"/>
  <c r="BV1741"/>
  <c r="AX165" l="1"/>
  <c r="AY165"/>
  <c r="AZ165" s="1"/>
  <c r="BZ1742"/>
  <c r="BY1743"/>
  <c r="BV1742"/>
  <c r="BW1742"/>
  <c r="AW166" l="1"/>
  <c r="BA165"/>
  <c r="BY1744"/>
  <c r="BZ1743"/>
  <c r="BW1743"/>
  <c r="BV1743"/>
  <c r="AY166" l="1"/>
  <c r="AZ166" s="1"/>
  <c r="AX166"/>
  <c r="BZ1744"/>
  <c r="BY1745"/>
  <c r="BW1744"/>
  <c r="BV1744"/>
  <c r="AW167" l="1"/>
  <c r="BA166"/>
  <c r="BY1746"/>
  <c r="BZ1745"/>
  <c r="BW1745" s="1"/>
  <c r="BV1745"/>
  <c r="AX167" l="1"/>
  <c r="AY167"/>
  <c r="AZ167" s="1"/>
  <c r="BZ1746"/>
  <c r="BV1746"/>
  <c r="BW1746"/>
  <c r="BY1747"/>
  <c r="AW168" l="1"/>
  <c r="BA167"/>
  <c r="BY1748"/>
  <c r="BZ1747"/>
  <c r="BW1747" s="1"/>
  <c r="BV1747"/>
  <c r="AX168" l="1"/>
  <c r="AY168"/>
  <c r="AZ168" s="1"/>
  <c r="BZ1748"/>
  <c r="BY1749"/>
  <c r="BV1748"/>
  <c r="BW1748"/>
  <c r="AW169" l="1"/>
  <c r="BA168"/>
  <c r="BY1750"/>
  <c r="BV1749"/>
  <c r="BZ1749"/>
  <c r="BW1749" s="1"/>
  <c r="AX169" l="1"/>
  <c r="AY169"/>
  <c r="AZ169" s="1"/>
  <c r="BZ1750"/>
  <c r="BW1750" s="1"/>
  <c r="BY1751"/>
  <c r="BV1750"/>
  <c r="AW170" l="1"/>
  <c r="BA169"/>
  <c r="BY1752"/>
  <c r="BZ1751"/>
  <c r="BW1751"/>
  <c r="BV1751"/>
  <c r="AY170" l="1"/>
  <c r="AZ170" s="1"/>
  <c r="AX170"/>
  <c r="BZ1752"/>
  <c r="BY1753"/>
  <c r="BW1752"/>
  <c r="BV1752"/>
  <c r="AW171" l="1"/>
  <c r="BA170"/>
  <c r="BY1754"/>
  <c r="BZ1753"/>
  <c r="BW1753" s="1"/>
  <c r="BV1753"/>
  <c r="AX171" l="1"/>
  <c r="AY171"/>
  <c r="AZ171" s="1"/>
  <c r="BZ1754"/>
  <c r="BV1754"/>
  <c r="BW1754"/>
  <c r="BY1755"/>
  <c r="BA171" l="1"/>
  <c r="AW172"/>
  <c r="BY1756"/>
  <c r="BZ1755"/>
  <c r="BW1755" s="1"/>
  <c r="BV1755"/>
  <c r="AX172" l="1"/>
  <c r="AY172"/>
  <c r="AZ172" s="1"/>
  <c r="BZ1756"/>
  <c r="BY1757"/>
  <c r="BW1756"/>
  <c r="BV1756"/>
  <c r="AW173" l="1"/>
  <c r="BA172"/>
  <c r="BY1758"/>
  <c r="BZ1757"/>
  <c r="BW1757" s="1"/>
  <c r="BV1757"/>
  <c r="AX173" l="1"/>
  <c r="AY173"/>
  <c r="AZ173" s="1"/>
  <c r="BZ1758"/>
  <c r="BY1759"/>
  <c r="BV1758"/>
  <c r="BW1758"/>
  <c r="AW174" l="1"/>
  <c r="BA173"/>
  <c r="BY1760"/>
  <c r="BZ1759"/>
  <c r="BW1759"/>
  <c r="BV1759"/>
  <c r="AY174" l="1"/>
  <c r="AZ174" s="1"/>
  <c r="AX174"/>
  <c r="BZ1760"/>
  <c r="BY1761"/>
  <c r="BW1760"/>
  <c r="BV1760"/>
  <c r="AW175" l="1"/>
  <c r="BA174"/>
  <c r="BY1762"/>
  <c r="BZ1761"/>
  <c r="BW1761" s="1"/>
  <c r="BV1761"/>
  <c r="AX175" l="1"/>
  <c r="AY175"/>
  <c r="AZ175" s="1"/>
  <c r="BZ1762"/>
  <c r="BV1762"/>
  <c r="BW1762"/>
  <c r="BY1763"/>
  <c r="AW176" l="1"/>
  <c r="BA175"/>
  <c r="BY1764"/>
  <c r="BZ1763"/>
  <c r="BW1763" s="1"/>
  <c r="BV1763"/>
  <c r="AY176" l="1"/>
  <c r="AZ176" s="1"/>
  <c r="AX176"/>
  <c r="BZ1764"/>
  <c r="BY1765"/>
  <c r="BV1764"/>
  <c r="BW1764"/>
  <c r="AW177" l="1"/>
  <c r="BA176"/>
  <c r="BY1766"/>
  <c r="BV1765"/>
  <c r="BZ1765"/>
  <c r="BW1765" s="1"/>
  <c r="AX177" l="1"/>
  <c r="AY177"/>
  <c r="AZ177" s="1"/>
  <c r="BZ1766"/>
  <c r="BY1767"/>
  <c r="BV1766"/>
  <c r="BW1766"/>
  <c r="AW178" l="1"/>
  <c r="BA177"/>
  <c r="BY1768"/>
  <c r="BZ1767"/>
  <c r="BW1767"/>
  <c r="BV1767"/>
  <c r="AY178" l="1"/>
  <c r="AZ178" s="1"/>
  <c r="AX178"/>
  <c r="BZ1768"/>
  <c r="BY1769"/>
  <c r="BW1768"/>
  <c r="BV1768"/>
  <c r="AW179" l="1"/>
  <c r="BA178"/>
  <c r="BY1770"/>
  <c r="BZ1769"/>
  <c r="BW1769" s="1"/>
  <c r="BV1769"/>
  <c r="BZ1770" l="1"/>
  <c r="BW1770" s="1"/>
  <c r="BV1770"/>
  <c r="BY1771"/>
  <c r="AX179"/>
  <c r="AY179"/>
  <c r="AZ179" s="1"/>
  <c r="AW180" l="1"/>
  <c r="BA179"/>
  <c r="BY1772"/>
  <c r="BZ1771"/>
  <c r="BW1771" s="1"/>
  <c r="BV1771"/>
  <c r="AX180" l="1"/>
  <c r="AY180"/>
  <c r="AZ180" s="1"/>
  <c r="BZ1772"/>
  <c r="BY1773"/>
  <c r="BW1772"/>
  <c r="BV1772"/>
  <c r="AW181" l="1"/>
  <c r="BA180"/>
  <c r="BY1774"/>
  <c r="BZ1773"/>
  <c r="BW1773" s="1"/>
  <c r="BV1773"/>
  <c r="AX181" l="1"/>
  <c r="AY181"/>
  <c r="AZ181" s="1"/>
  <c r="BZ1774"/>
  <c r="BY1775"/>
  <c r="BV1774"/>
  <c r="BW1774"/>
  <c r="AW182" l="1"/>
  <c r="BA181"/>
  <c r="BY1776"/>
  <c r="BZ1775"/>
  <c r="BW1775"/>
  <c r="BV1775"/>
  <c r="AY182" l="1"/>
  <c r="AZ182" s="1"/>
  <c r="AX182"/>
  <c r="BZ1776"/>
  <c r="BY1777"/>
  <c r="BW1776"/>
  <c r="BV1776"/>
  <c r="AW183" l="1"/>
  <c r="BA182"/>
  <c r="BY1778"/>
  <c r="BZ1777"/>
  <c r="BW1777" s="1"/>
  <c r="BV1777"/>
  <c r="BZ1778" l="1"/>
  <c r="BW1778" s="1"/>
  <c r="BV1778"/>
  <c r="BY1779"/>
  <c r="AX183"/>
  <c r="AY183"/>
  <c r="AZ183" s="1"/>
  <c r="AW184" l="1"/>
  <c r="BA183"/>
  <c r="BY1780"/>
  <c r="BZ1779"/>
  <c r="BW1779"/>
  <c r="BV1779"/>
  <c r="AX184" l="1"/>
  <c r="AY184"/>
  <c r="AZ184" s="1"/>
  <c r="BZ1780"/>
  <c r="BW1780" s="1"/>
  <c r="BY1781"/>
  <c r="BV1780"/>
  <c r="AW185" l="1"/>
  <c r="BA184"/>
  <c r="BY1782"/>
  <c r="BV1781"/>
  <c r="BZ1781"/>
  <c r="BW1781" s="1"/>
  <c r="AX185" l="1"/>
  <c r="AY185"/>
  <c r="AZ185" s="1"/>
  <c r="BZ1782"/>
  <c r="BY1783"/>
  <c r="BV1782"/>
  <c r="BW1782"/>
  <c r="AW186" l="1"/>
  <c r="BA185"/>
  <c r="BY1784"/>
  <c r="BZ1783"/>
  <c r="BW1783"/>
  <c r="BV1783"/>
  <c r="AY186" l="1"/>
  <c r="AZ186" s="1"/>
  <c r="AX186"/>
  <c r="BZ1784"/>
  <c r="BY1785"/>
  <c r="BW1784"/>
  <c r="BV1784"/>
  <c r="AW187" l="1"/>
  <c r="BA186"/>
  <c r="BY1786"/>
  <c r="BZ1785"/>
  <c r="BW1785" s="1"/>
  <c r="BV1785"/>
  <c r="AX187" l="1"/>
  <c r="AY187"/>
  <c r="AZ187" s="1"/>
  <c r="BZ1786"/>
  <c r="BV1786"/>
  <c r="BW1786"/>
  <c r="BY1787"/>
  <c r="BA187" l="1"/>
  <c r="AW188"/>
  <c r="BY1788"/>
  <c r="BZ1787"/>
  <c r="BW1787" s="1"/>
  <c r="BV1787"/>
  <c r="AX188" l="1"/>
  <c r="AY188"/>
  <c r="AZ188" s="1"/>
  <c r="BZ1788"/>
  <c r="BY1789"/>
  <c r="BW1788"/>
  <c r="BV1788"/>
  <c r="AW189" l="1"/>
  <c r="BA188"/>
  <c r="BY1790"/>
  <c r="BZ1789"/>
  <c r="BW1789" s="1"/>
  <c r="BV1789"/>
  <c r="AX189" l="1"/>
  <c r="AY189"/>
  <c r="AZ189" s="1"/>
  <c r="BZ1790"/>
  <c r="BY1791"/>
  <c r="BV1790"/>
  <c r="BW1790"/>
  <c r="AW190" l="1"/>
  <c r="BA189"/>
  <c r="BY1792"/>
  <c r="BZ1791"/>
  <c r="BW1791" s="1"/>
  <c r="BV1791"/>
  <c r="AY190" l="1"/>
  <c r="AZ190" s="1"/>
  <c r="AX190"/>
  <c r="BZ1792"/>
  <c r="BY1793"/>
  <c r="BW1792"/>
  <c r="BV1792"/>
  <c r="AW191" l="1"/>
  <c r="BA190"/>
  <c r="BY1794"/>
  <c r="BZ1793"/>
  <c r="BW1793" s="1"/>
  <c r="BV1793"/>
  <c r="AX191" l="1"/>
  <c r="AY191"/>
  <c r="AZ191" s="1"/>
  <c r="BZ1794"/>
  <c r="BV1794"/>
  <c r="BW1794"/>
  <c r="BY1795"/>
  <c r="AW192" l="1"/>
  <c r="BA191"/>
  <c r="BY1796"/>
  <c r="BZ1795"/>
  <c r="BW1795" s="1"/>
  <c r="BV1795"/>
  <c r="AY192" l="1"/>
  <c r="AZ192" s="1"/>
  <c r="AX192"/>
  <c r="BZ1796"/>
  <c r="BW1796" s="1"/>
  <c r="BY1797"/>
  <c r="BV1796"/>
  <c r="AW193" l="1"/>
  <c r="BA192"/>
  <c r="BY1798"/>
  <c r="BV1797"/>
  <c r="BZ1797"/>
  <c r="BW1797" s="1"/>
  <c r="AX193" l="1"/>
  <c r="AY193"/>
  <c r="AZ193" s="1"/>
  <c r="BZ1798"/>
  <c r="BY1799"/>
  <c r="BV1798"/>
  <c r="BW1798"/>
  <c r="AW194" l="1"/>
  <c r="BA193"/>
  <c r="BY1800"/>
  <c r="BZ1799"/>
  <c r="BW1799"/>
  <c r="BV1799"/>
  <c r="AY194" l="1"/>
  <c r="AZ194" s="1"/>
  <c r="AX194"/>
  <c r="BZ1800"/>
  <c r="BY1801"/>
  <c r="BW1800"/>
  <c r="BV1800"/>
  <c r="AW195" l="1"/>
  <c r="BA194"/>
  <c r="BY1802"/>
  <c r="BZ1801"/>
  <c r="BW1801" s="1"/>
  <c r="BV1801"/>
  <c r="AX195" l="1"/>
  <c r="AY195"/>
  <c r="AZ195" s="1"/>
  <c r="BZ1802"/>
  <c r="BV1802"/>
  <c r="BW1802"/>
  <c r="BY1803"/>
  <c r="AW196" l="1"/>
  <c r="BA195"/>
  <c r="BY1804"/>
  <c r="BZ1803"/>
  <c r="BW1803" s="1"/>
  <c r="BV1803"/>
  <c r="AX196" l="1"/>
  <c r="AY196"/>
  <c r="AZ196" s="1"/>
  <c r="BZ1804"/>
  <c r="BY1805"/>
  <c r="BW1804"/>
  <c r="BV1804"/>
  <c r="AW197" l="1"/>
  <c r="BA196"/>
  <c r="BY1806"/>
  <c r="BZ1805"/>
  <c r="BW1805" s="1"/>
  <c r="BV1805"/>
  <c r="AX197" l="1"/>
  <c r="AY197"/>
  <c r="AZ197" s="1"/>
  <c r="BZ1806"/>
  <c r="BW1806" s="1"/>
  <c r="BY1807"/>
  <c r="BV1806"/>
  <c r="AW198" l="1"/>
  <c r="BA197"/>
  <c r="BY1808"/>
  <c r="BZ1807"/>
  <c r="BW1807"/>
  <c r="BV1807"/>
  <c r="AY198" l="1"/>
  <c r="AZ198" s="1"/>
  <c r="AX198"/>
  <c r="BZ1808"/>
  <c r="BY1809"/>
  <c r="BW1808"/>
  <c r="BV1808"/>
  <c r="AW199" l="1"/>
  <c r="BA198"/>
  <c r="BY1810"/>
  <c r="BZ1809"/>
  <c r="BW1809" s="1"/>
  <c r="BV1809"/>
  <c r="AX199" l="1"/>
  <c r="AY199"/>
  <c r="AZ199" s="1"/>
  <c r="BZ1810"/>
  <c r="BV1810"/>
  <c r="BW1810"/>
  <c r="BY1811"/>
  <c r="AW200" l="1"/>
  <c r="BA199"/>
  <c r="BY1812"/>
  <c r="BZ1811"/>
  <c r="BW1811" s="1"/>
  <c r="BV1811"/>
  <c r="AX200" l="1"/>
  <c r="AY200"/>
  <c r="AZ200" s="1"/>
  <c r="BZ1812"/>
  <c r="BY1813"/>
  <c r="BV1812"/>
  <c r="BW1812"/>
  <c r="AW201" l="1"/>
  <c r="BA200"/>
  <c r="BY1814"/>
  <c r="BV1813"/>
  <c r="BZ1813"/>
  <c r="BW1813" s="1"/>
  <c r="AX201" l="1"/>
  <c r="AY201"/>
  <c r="AZ201" s="1"/>
  <c r="BZ1814"/>
  <c r="BY1815"/>
  <c r="BV1814"/>
  <c r="BW1814"/>
  <c r="AW202" l="1"/>
  <c r="BA201"/>
  <c r="BY1816"/>
  <c r="BZ1815"/>
  <c r="BW1815"/>
  <c r="BV1815"/>
  <c r="AY202" l="1"/>
  <c r="AZ202" s="1"/>
  <c r="AX202"/>
  <c r="BZ1816"/>
  <c r="BY1817"/>
  <c r="BW1816"/>
  <c r="BV1816"/>
  <c r="AW203" l="1"/>
  <c r="BA202"/>
  <c r="BY1818"/>
  <c r="BZ1817"/>
  <c r="BW1817" s="1"/>
  <c r="BV1817"/>
  <c r="BZ1818" l="1"/>
  <c r="BW1818" s="1"/>
  <c r="BV1818"/>
  <c r="BY1819"/>
  <c r="AX203"/>
  <c r="AY203"/>
  <c r="AZ203" s="1"/>
  <c r="BA203" l="1"/>
  <c r="AW204"/>
  <c r="BY1820"/>
  <c r="BZ1819"/>
  <c r="BV1819"/>
  <c r="BW1819"/>
  <c r="AX204" l="1"/>
  <c r="AY204"/>
  <c r="AZ204" s="1"/>
  <c r="BZ1820"/>
  <c r="BY1821"/>
  <c r="BW1820"/>
  <c r="BV1820"/>
  <c r="AW205" l="1"/>
  <c r="BA204"/>
  <c r="BY1822"/>
  <c r="BZ1821"/>
  <c r="BW1821" s="1"/>
  <c r="BV1821"/>
  <c r="AX205" l="1"/>
  <c r="AY205"/>
  <c r="AZ205" s="1"/>
  <c r="BZ1822"/>
  <c r="BY1823"/>
  <c r="BV1822"/>
  <c r="BW1822"/>
  <c r="AW206" l="1"/>
  <c r="BA205"/>
  <c r="BY1824"/>
  <c r="BZ1823"/>
  <c r="BW1823"/>
  <c r="BV1823"/>
  <c r="AY206" l="1"/>
  <c r="AZ206" s="1"/>
  <c r="AX206"/>
  <c r="BZ1824"/>
  <c r="BY1825"/>
  <c r="BW1824"/>
  <c r="BV1824"/>
  <c r="AW207" l="1"/>
  <c r="BA206"/>
  <c r="BY1826"/>
  <c r="BZ1825"/>
  <c r="BW1825" s="1"/>
  <c r="BV1825"/>
  <c r="AX207" l="1"/>
  <c r="AY207"/>
  <c r="AZ207" s="1"/>
  <c r="BZ1826"/>
  <c r="BV1826"/>
  <c r="BW1826"/>
  <c r="BY1827"/>
  <c r="AW208" l="1"/>
  <c r="BA207"/>
  <c r="BY1828"/>
  <c r="BZ1827"/>
  <c r="BW1827" s="1"/>
  <c r="BV1827"/>
  <c r="AY208" l="1"/>
  <c r="AZ208" s="1"/>
  <c r="AX208"/>
  <c r="BZ1828"/>
  <c r="BY1829"/>
  <c r="BV1828"/>
  <c r="BW1828"/>
  <c r="AW209" l="1"/>
  <c r="BA208"/>
  <c r="BY1830"/>
  <c r="BV1829"/>
  <c r="BZ1829"/>
  <c r="BW1829" s="1"/>
  <c r="AX209" l="1"/>
  <c r="AY209"/>
  <c r="AZ209" s="1"/>
  <c r="BZ1830"/>
  <c r="BW1830" s="1"/>
  <c r="BY1831"/>
  <c r="BV1830"/>
  <c r="AW210" l="1"/>
  <c r="BA209"/>
  <c r="BY1832"/>
  <c r="BZ1831"/>
  <c r="BW1831"/>
  <c r="BV1831"/>
  <c r="AY210" l="1"/>
  <c r="AZ210" s="1"/>
  <c r="AX210"/>
  <c r="BZ1832"/>
  <c r="BY1833"/>
  <c r="BW1832"/>
  <c r="BV1832"/>
  <c r="AW211" l="1"/>
  <c r="BA210"/>
  <c r="BY1834"/>
  <c r="BZ1833"/>
  <c r="BW1833" s="1"/>
  <c r="BV1833"/>
  <c r="AX211" l="1"/>
  <c r="AY211"/>
  <c r="AZ211" s="1"/>
  <c r="BZ1834"/>
  <c r="BV1834"/>
  <c r="BW1834"/>
  <c r="BY1835"/>
  <c r="AW212" l="1"/>
  <c r="BA211"/>
  <c r="BY1836"/>
  <c r="BZ1835"/>
  <c r="BW1835" s="1"/>
  <c r="BV1835"/>
  <c r="AX212" l="1"/>
  <c r="AY212"/>
  <c r="AZ212" s="1"/>
  <c r="BZ1836"/>
  <c r="BY1837"/>
  <c r="BW1836"/>
  <c r="BV1836"/>
  <c r="AW213" l="1"/>
  <c r="BA212"/>
  <c r="BY1838"/>
  <c r="BZ1837"/>
  <c r="BW1837" s="1"/>
  <c r="BV1837"/>
  <c r="BZ1838" l="1"/>
  <c r="BW1838" s="1"/>
  <c r="BY1839"/>
  <c r="BV1838"/>
  <c r="AX213"/>
  <c r="AY213"/>
  <c r="AZ213" s="1"/>
  <c r="AW214" l="1"/>
  <c r="BA213"/>
  <c r="BY1840"/>
  <c r="BZ1839"/>
  <c r="BW1839"/>
  <c r="BV1839"/>
  <c r="BZ1840" l="1"/>
  <c r="BW1840" s="1"/>
  <c r="BY1841"/>
  <c r="BV1840"/>
  <c r="AY214"/>
  <c r="AZ214" s="1"/>
  <c r="AX214"/>
  <c r="AW215" l="1"/>
  <c r="BA214"/>
  <c r="BY1842"/>
  <c r="BZ1841"/>
  <c r="BW1841" s="1"/>
  <c r="BV1841"/>
  <c r="BZ1842" l="1"/>
  <c r="BW1842" s="1"/>
  <c r="BV1842"/>
  <c r="BY1843"/>
  <c r="AX215"/>
  <c r="AY215"/>
  <c r="AZ215" s="1"/>
  <c r="AW216" l="1"/>
  <c r="BA215"/>
  <c r="BY1844"/>
  <c r="BZ1843"/>
  <c r="BW1843"/>
  <c r="BV1843"/>
  <c r="AX216" l="1"/>
  <c r="AY216"/>
  <c r="AZ216" s="1"/>
  <c r="BZ1844"/>
  <c r="BW1844" s="1"/>
  <c r="BY1845"/>
  <c r="BV1844"/>
  <c r="AW217" l="1"/>
  <c r="BA216"/>
  <c r="BY1846"/>
  <c r="BV1845"/>
  <c r="BZ1845"/>
  <c r="BW1845" s="1"/>
  <c r="AX217" l="1"/>
  <c r="AY217"/>
  <c r="AZ217" s="1"/>
  <c r="BZ1846"/>
  <c r="BW1846" s="1"/>
  <c r="BY1847"/>
  <c r="BV1846"/>
  <c r="AW218" l="1"/>
  <c r="BA217"/>
  <c r="BY1848"/>
  <c r="BZ1847"/>
  <c r="BW1847"/>
  <c r="BV1847"/>
  <c r="AY218" l="1"/>
  <c r="AZ218" s="1"/>
  <c r="AX218"/>
  <c r="BZ1848"/>
  <c r="BY1849"/>
  <c r="BW1848"/>
  <c r="BV1848"/>
  <c r="AW219" l="1"/>
  <c r="BA218"/>
  <c r="BY1850"/>
  <c r="BZ1849"/>
  <c r="BW1849" s="1"/>
  <c r="BV1849"/>
  <c r="AX219" l="1"/>
  <c r="AY219"/>
  <c r="AZ219" s="1"/>
  <c r="BZ1850"/>
  <c r="BV1850"/>
  <c r="BW1850"/>
  <c r="BY1851"/>
  <c r="BA219" l="1"/>
  <c r="AW220"/>
  <c r="BY1852"/>
  <c r="BZ1851"/>
  <c r="BW1851" s="1"/>
  <c r="BV1851"/>
  <c r="AX220" l="1"/>
  <c r="AY220"/>
  <c r="AZ220" s="1"/>
  <c r="BZ1852"/>
  <c r="BY1853"/>
  <c r="BW1852"/>
  <c r="BV1852"/>
  <c r="AW221" l="1"/>
  <c r="BA220"/>
  <c r="BY1854"/>
  <c r="BZ1853"/>
  <c r="BW1853" s="1"/>
  <c r="BV1853"/>
  <c r="AX221" l="1"/>
  <c r="AY221"/>
  <c r="AZ221" s="1"/>
  <c r="BZ1854"/>
  <c r="BY1855"/>
  <c r="BV1854"/>
  <c r="BW1854"/>
  <c r="AW222" l="1"/>
  <c r="BA221"/>
  <c r="BY1856"/>
  <c r="BZ1855"/>
  <c r="BW1855"/>
  <c r="BV1855"/>
  <c r="AY222" l="1"/>
  <c r="AZ222" s="1"/>
  <c r="AX222"/>
  <c r="BZ1856"/>
  <c r="BY1857"/>
  <c r="BW1856"/>
  <c r="BV1856"/>
  <c r="AW223" l="1"/>
  <c r="BA222"/>
  <c r="BY1858"/>
  <c r="BZ1857"/>
  <c r="BW1857" s="1"/>
  <c r="BV1857"/>
  <c r="AX223" l="1"/>
  <c r="AY223"/>
  <c r="AZ223" s="1"/>
  <c r="BZ1858"/>
  <c r="BV1858"/>
  <c r="BW1858"/>
  <c r="BY1859"/>
  <c r="AW224" l="1"/>
  <c r="BA223"/>
  <c r="BY1860"/>
  <c r="BZ1859"/>
  <c r="BW1859" s="1"/>
  <c r="BV1859"/>
  <c r="AY224" l="1"/>
  <c r="AZ224" s="1"/>
  <c r="AX224"/>
  <c r="BZ1860"/>
  <c r="BY1861"/>
  <c r="BV1860"/>
  <c r="BW1860"/>
  <c r="AW225" l="1"/>
  <c r="BA224"/>
  <c r="BY1862"/>
  <c r="BV1861"/>
  <c r="BZ1861"/>
  <c r="BW1861" s="1"/>
  <c r="AX225" l="1"/>
  <c r="AY225"/>
  <c r="AZ225" s="1"/>
  <c r="BZ1862"/>
  <c r="BY1863"/>
  <c r="BV1862"/>
  <c r="BW1862"/>
  <c r="AW226" l="1"/>
  <c r="BA225"/>
  <c r="BY1864"/>
  <c r="BZ1863"/>
  <c r="BW1863" s="1"/>
  <c r="BV1863"/>
  <c r="AY226" l="1"/>
  <c r="AZ226" s="1"/>
  <c r="AX226"/>
  <c r="BZ1864"/>
  <c r="BY1865"/>
  <c r="BW1864"/>
  <c r="BV1864"/>
  <c r="AW227" l="1"/>
  <c r="BA226"/>
  <c r="BY1866"/>
  <c r="BZ1865"/>
  <c r="BW1865" s="1"/>
  <c r="BV1865"/>
  <c r="AX227" l="1"/>
  <c r="AY227"/>
  <c r="AZ227" s="1"/>
  <c r="BZ1866"/>
  <c r="BV1866"/>
  <c r="BW1866"/>
  <c r="BY1867"/>
  <c r="AW228" l="1"/>
  <c r="BA227"/>
  <c r="BY1868"/>
  <c r="BZ1867"/>
  <c r="BW1867" s="1"/>
  <c r="BV1867"/>
  <c r="AX228" l="1"/>
  <c r="AY228"/>
  <c r="AZ228" s="1"/>
  <c r="BZ1868"/>
  <c r="BY1869"/>
  <c r="BW1868"/>
  <c r="BV1868"/>
  <c r="AW229" l="1"/>
  <c r="BA228"/>
  <c r="BY1870"/>
  <c r="BZ1869"/>
  <c r="BW1869" s="1"/>
  <c r="BV1869"/>
  <c r="AX229" l="1"/>
  <c r="AY229"/>
  <c r="AZ229" s="1"/>
  <c r="BZ1870"/>
  <c r="BY1871"/>
  <c r="BV1870"/>
  <c r="BW1870"/>
  <c r="AW230" l="1"/>
  <c r="BA229"/>
  <c r="BY1872"/>
  <c r="BZ1871"/>
  <c r="BW1871"/>
  <c r="BV1871"/>
  <c r="AY230" l="1"/>
  <c r="AZ230" s="1"/>
  <c r="AX230"/>
  <c r="BZ1872"/>
  <c r="BY1873"/>
  <c r="BW1872"/>
  <c r="BV1872"/>
  <c r="AW231" l="1"/>
  <c r="BA230"/>
  <c r="BY1874"/>
  <c r="BZ1873"/>
  <c r="BW1873" s="1"/>
  <c r="BV1873"/>
  <c r="AX231" l="1"/>
  <c r="AY231"/>
  <c r="AZ231" s="1"/>
  <c r="BZ1874"/>
  <c r="BV1874"/>
  <c r="BW1874"/>
  <c r="BY1875"/>
  <c r="AW232" l="1"/>
  <c r="BA231"/>
  <c r="BY1876"/>
  <c r="BZ1875"/>
  <c r="BW1875" s="1"/>
  <c r="BV1875"/>
  <c r="AX232" l="1"/>
  <c r="AY232"/>
  <c r="AZ232" s="1"/>
  <c r="BZ1876"/>
  <c r="BY1877"/>
  <c r="BV1876"/>
  <c r="BW1876"/>
  <c r="AW233" l="1"/>
  <c r="BA232"/>
  <c r="BY1878"/>
  <c r="BV1877"/>
  <c r="BZ1877"/>
  <c r="BW1877" s="1"/>
  <c r="AX233" l="1"/>
  <c r="AY233"/>
  <c r="AZ233" s="1"/>
  <c r="BZ1878"/>
  <c r="BY1879"/>
  <c r="BV1878"/>
  <c r="BW1878"/>
  <c r="AW234" l="1"/>
  <c r="BA233"/>
  <c r="BY1880"/>
  <c r="BZ1879"/>
  <c r="BW1879"/>
  <c r="BV1879"/>
  <c r="AY234" l="1"/>
  <c r="AZ234" s="1"/>
  <c r="AX234"/>
  <c r="BZ1880"/>
  <c r="BY1881"/>
  <c r="BW1880"/>
  <c r="BV1880"/>
  <c r="AW235" l="1"/>
  <c r="BA234"/>
  <c r="BY1882"/>
  <c r="BZ1881"/>
  <c r="BW1881" s="1"/>
  <c r="BV1881"/>
  <c r="AX235" l="1"/>
  <c r="AY235"/>
  <c r="AZ235" s="1"/>
  <c r="BZ1882"/>
  <c r="BV1882"/>
  <c r="BW1882"/>
  <c r="BY1883"/>
  <c r="BA235" l="1"/>
  <c r="AW236"/>
  <c r="BY1884"/>
  <c r="BZ1883"/>
  <c r="BW1883" s="1"/>
  <c r="BV1883"/>
  <c r="AX236" l="1"/>
  <c r="AY236"/>
  <c r="AZ236" s="1"/>
  <c r="BZ1884"/>
  <c r="BY1885"/>
  <c r="BW1884"/>
  <c r="BV1884"/>
  <c r="AW237" l="1"/>
  <c r="BA236"/>
  <c r="BY1886"/>
  <c r="BZ1885"/>
  <c r="BW1885" s="1"/>
  <c r="BV1885"/>
  <c r="AX237" l="1"/>
  <c r="AY237"/>
  <c r="AZ237" s="1"/>
  <c r="BZ1886"/>
  <c r="BY1887"/>
  <c r="BV1886"/>
  <c r="BW1886"/>
  <c r="AW238" l="1"/>
  <c r="BA237"/>
  <c r="BY1888"/>
  <c r="BZ1887"/>
  <c r="BW1887"/>
  <c r="BV1887"/>
  <c r="AY238" l="1"/>
  <c r="AZ238" s="1"/>
  <c r="AX238"/>
  <c r="BZ1888"/>
  <c r="BY1889"/>
  <c r="BW1888"/>
  <c r="BV1888"/>
  <c r="AW239" l="1"/>
  <c r="BA238"/>
  <c r="BY1890"/>
  <c r="BZ1889"/>
  <c r="BW1889" s="1"/>
  <c r="BV1889"/>
  <c r="AX239" l="1"/>
  <c r="AY239"/>
  <c r="AZ239" s="1"/>
  <c r="BZ1890"/>
  <c r="BV1890"/>
  <c r="BW1890"/>
  <c r="BY1891"/>
  <c r="AW240" l="1"/>
  <c r="BA239"/>
  <c r="BY1892"/>
  <c r="BZ1891"/>
  <c r="BW1891" s="1"/>
  <c r="BV1891"/>
  <c r="AY240" l="1"/>
  <c r="AZ240" s="1"/>
  <c r="AX240"/>
  <c r="BZ1892"/>
  <c r="BY1893"/>
  <c r="BV1892"/>
  <c r="BW1892"/>
  <c r="AW241" l="1"/>
  <c r="BA240"/>
  <c r="BY1894"/>
  <c r="BV1893"/>
  <c r="BZ1893"/>
  <c r="BW1893" s="1"/>
  <c r="AX241" l="1"/>
  <c r="AY241"/>
  <c r="AZ241" s="1"/>
  <c r="BZ1894"/>
  <c r="BY1895"/>
  <c r="BV1894"/>
  <c r="BW1894"/>
  <c r="AW242" l="1"/>
  <c r="BA241"/>
  <c r="BY1896"/>
  <c r="BZ1895"/>
  <c r="BW1895"/>
  <c r="BV1895"/>
  <c r="AY242" l="1"/>
  <c r="AZ242" s="1"/>
  <c r="AX242"/>
  <c r="BZ1896"/>
  <c r="BY1897"/>
  <c r="BW1896"/>
  <c r="BV1896"/>
  <c r="AW243" l="1"/>
  <c r="BA242"/>
  <c r="BY1898"/>
  <c r="BZ1897"/>
  <c r="BW1897" s="1"/>
  <c r="BV1897"/>
  <c r="AX243" l="1"/>
  <c r="AY243"/>
  <c r="AZ243" s="1"/>
  <c r="BZ1898"/>
  <c r="BV1898"/>
  <c r="BW1898"/>
  <c r="BY1899"/>
  <c r="AW244" l="1"/>
  <c r="BA243"/>
  <c r="BY1900"/>
  <c r="BZ1899"/>
  <c r="BW1899" s="1"/>
  <c r="BV1899"/>
  <c r="AX244" l="1"/>
  <c r="AY244"/>
  <c r="AZ244" s="1"/>
  <c r="BZ1900"/>
  <c r="BY1901"/>
  <c r="BW1900"/>
  <c r="BV1900"/>
  <c r="AW245" l="1"/>
  <c r="BA244"/>
  <c r="BY1902"/>
  <c r="BZ1901"/>
  <c r="BW1901" s="1"/>
  <c r="BV1901"/>
  <c r="AX245" l="1"/>
  <c r="AY245"/>
  <c r="AZ245" s="1"/>
  <c r="BZ1902"/>
  <c r="BY1903"/>
  <c r="BV1902"/>
  <c r="BW1902"/>
  <c r="AW246" l="1"/>
  <c r="BA245"/>
  <c r="BY1904"/>
  <c r="BZ1903"/>
  <c r="BW1903"/>
  <c r="BV1903"/>
  <c r="AY246" l="1"/>
  <c r="AZ246" s="1"/>
  <c r="AX246"/>
  <c r="BZ1904"/>
  <c r="BY1905"/>
  <c r="BW1904"/>
  <c r="BV1904"/>
  <c r="AW247" l="1"/>
  <c r="BA246"/>
  <c r="BY1906"/>
  <c r="BZ1905"/>
  <c r="BW1905" s="1"/>
  <c r="BV1905"/>
  <c r="AX247" l="1"/>
  <c r="AY247"/>
  <c r="AZ247" s="1"/>
  <c r="BZ1906"/>
  <c r="BV1906"/>
  <c r="BW1906"/>
  <c r="BY1907"/>
  <c r="AW248" l="1"/>
  <c r="BA247"/>
  <c r="BY1908"/>
  <c r="BZ1907"/>
  <c r="BW1907"/>
  <c r="BV1907"/>
  <c r="AX248" l="1"/>
  <c r="AY248"/>
  <c r="AZ248" s="1"/>
  <c r="BZ1908"/>
  <c r="BY1909"/>
  <c r="BV1908"/>
  <c r="BW1908"/>
  <c r="AW249" l="1"/>
  <c r="BA248"/>
  <c r="BY1910"/>
  <c r="BV1909"/>
  <c r="BZ1909"/>
  <c r="BW1909" s="1"/>
  <c r="AX249" l="1"/>
  <c r="AY249"/>
  <c r="AZ249" s="1"/>
  <c r="BZ1910"/>
  <c r="BY1911"/>
  <c r="BV1910"/>
  <c r="BW1910"/>
  <c r="AW250" l="1"/>
  <c r="BA249"/>
  <c r="BY1912"/>
  <c r="BZ1911"/>
  <c r="BW1911"/>
  <c r="BV1911"/>
  <c r="AY250" l="1"/>
  <c r="AZ250" s="1"/>
  <c r="AX250"/>
  <c r="BZ1912"/>
  <c r="BY1913"/>
  <c r="BW1912"/>
  <c r="BV1912"/>
  <c r="AW251" l="1"/>
  <c r="BA250"/>
  <c r="BY1914"/>
  <c r="BZ1913"/>
  <c r="BW1913" s="1"/>
  <c r="BV1913"/>
  <c r="AX251" l="1"/>
  <c r="AY251"/>
  <c r="AZ251" s="1"/>
  <c r="BZ1914"/>
  <c r="BV1914"/>
  <c r="BW1914"/>
  <c r="BY1915"/>
  <c r="BA251" l="1"/>
  <c r="AW252"/>
  <c r="BY1916"/>
  <c r="BZ1915"/>
  <c r="BW1915" s="1"/>
  <c r="BV1915"/>
  <c r="AX252" l="1"/>
  <c r="AY252"/>
  <c r="AZ252" s="1"/>
  <c r="BZ1916"/>
  <c r="BY1917"/>
  <c r="BW1916"/>
  <c r="BV1916"/>
  <c r="AW253" l="1"/>
  <c r="BA252"/>
  <c r="BY1918"/>
  <c r="BZ1917"/>
  <c r="BW1917" s="1"/>
  <c r="BV1917"/>
  <c r="AX253" l="1"/>
  <c r="AY253"/>
  <c r="AZ253" s="1"/>
  <c r="BZ1918"/>
  <c r="BY1919"/>
  <c r="BV1918"/>
  <c r="BW1918"/>
  <c r="AW254" l="1"/>
  <c r="BA253"/>
  <c r="BY1920"/>
  <c r="BZ1919"/>
  <c r="BW1919"/>
  <c r="BV1919"/>
  <c r="AY254" l="1"/>
  <c r="AZ254" s="1"/>
  <c r="AX254"/>
  <c r="BZ1920"/>
  <c r="BY1921"/>
  <c r="BW1920"/>
  <c r="BV1920"/>
  <c r="AW255" l="1"/>
  <c r="BA254"/>
  <c r="BY1922"/>
  <c r="BZ1921"/>
  <c r="BW1921" s="1"/>
  <c r="BV1921"/>
  <c r="BZ1922" l="1"/>
  <c r="BW1922" s="1"/>
  <c r="BV1922"/>
  <c r="BY1923"/>
  <c r="AX255"/>
  <c r="AY255"/>
  <c r="AZ255" s="1"/>
  <c r="AW256" l="1"/>
  <c r="BA255"/>
  <c r="BY1924"/>
  <c r="BZ1923"/>
  <c r="BV1923"/>
  <c r="BW1923"/>
  <c r="AY256" l="1"/>
  <c r="AZ256" s="1"/>
  <c r="AX256"/>
  <c r="BZ1924"/>
  <c r="BW1924" s="1"/>
  <c r="BY1925"/>
  <c r="BV1924"/>
  <c r="AW257" l="1"/>
  <c r="BA256"/>
  <c r="BY1926"/>
  <c r="BV1925"/>
  <c r="BZ1925"/>
  <c r="BW1925" s="1"/>
  <c r="AX257" l="1"/>
  <c r="AY257"/>
  <c r="AZ257" s="1"/>
  <c r="BZ1926"/>
  <c r="BY1927"/>
  <c r="BV1926"/>
  <c r="BW1926"/>
  <c r="AW258" l="1"/>
  <c r="BA257"/>
  <c r="BY1928"/>
  <c r="BZ1927"/>
  <c r="BW1927"/>
  <c r="BV1927"/>
  <c r="AY258" l="1"/>
  <c r="AZ258" s="1"/>
  <c r="AX258"/>
  <c r="BZ1928"/>
  <c r="BY1929"/>
  <c r="BW1928"/>
  <c r="BV1928"/>
  <c r="AW259" l="1"/>
  <c r="BA258"/>
  <c r="BY1930"/>
  <c r="BZ1929"/>
  <c r="BW1929" s="1"/>
  <c r="BV1929"/>
  <c r="AX259" l="1"/>
  <c r="AY259"/>
  <c r="AZ259" s="1"/>
  <c r="BZ1930"/>
  <c r="BV1930"/>
  <c r="BW1930"/>
  <c r="BY1931"/>
  <c r="AW260" l="1"/>
  <c r="BA259"/>
  <c r="BY1932"/>
  <c r="BZ1931"/>
  <c r="BW1931" s="1"/>
  <c r="BV1931"/>
  <c r="AX260" l="1"/>
  <c r="AY260"/>
  <c r="AZ260" s="1"/>
  <c r="BZ1932"/>
  <c r="BY1933"/>
  <c r="BW1932"/>
  <c r="BV1932"/>
  <c r="AW261" l="1"/>
  <c r="BA260"/>
  <c r="BY1934"/>
  <c r="BZ1933"/>
  <c r="BW1933" s="1"/>
  <c r="BV1933"/>
  <c r="AX261" l="1"/>
  <c r="AY261"/>
  <c r="AZ261" s="1"/>
  <c r="BZ1934"/>
  <c r="BY1935"/>
  <c r="BV1934"/>
  <c r="BW1934"/>
  <c r="AW262" l="1"/>
  <c r="BA261"/>
  <c r="BY1936"/>
  <c r="BZ1935"/>
  <c r="BW1935"/>
  <c r="BV1935"/>
  <c r="AY262" l="1"/>
  <c r="AZ262" s="1"/>
  <c r="AX262"/>
  <c r="BZ1936"/>
  <c r="BY1937"/>
  <c r="BW1936"/>
  <c r="BV1936"/>
  <c r="AW263" l="1"/>
  <c r="BA262"/>
  <c r="BY1938"/>
  <c r="BZ1937"/>
  <c r="BW1937" s="1"/>
  <c r="BV1937"/>
  <c r="AX263" l="1"/>
  <c r="AY263"/>
  <c r="AZ263" s="1"/>
  <c r="BZ1938"/>
  <c r="BV1938"/>
  <c r="BW1938"/>
  <c r="BY1939"/>
  <c r="AW264" l="1"/>
  <c r="BA263"/>
  <c r="BY1940"/>
  <c r="BZ1939"/>
  <c r="BW1939" s="1"/>
  <c r="BV1939"/>
  <c r="AX264" l="1"/>
  <c r="AY264"/>
  <c r="AZ264" s="1"/>
  <c r="BZ1940"/>
  <c r="BY1941"/>
  <c r="BV1940"/>
  <c r="BW1940"/>
  <c r="AW265" l="1"/>
  <c r="BA264"/>
  <c r="BY1942"/>
  <c r="BV1941"/>
  <c r="BZ1941"/>
  <c r="BW1941" s="1"/>
  <c r="AX265" l="1"/>
  <c r="AY265"/>
  <c r="AZ265" s="1"/>
  <c r="BZ1942"/>
  <c r="BY1943"/>
  <c r="BV1942"/>
  <c r="BW1942"/>
  <c r="AW266" l="1"/>
  <c r="BA265"/>
  <c r="BY1944"/>
  <c r="BZ1943"/>
  <c r="BW1943"/>
  <c r="BV1943"/>
  <c r="AY266" l="1"/>
  <c r="AZ266" s="1"/>
  <c r="AX266"/>
  <c r="BZ1944"/>
  <c r="BY1945"/>
  <c r="BW1944"/>
  <c r="BV1944"/>
  <c r="AW267" l="1"/>
  <c r="BA266"/>
  <c r="BY1946"/>
  <c r="BZ1945"/>
  <c r="BW1945" s="1"/>
  <c r="BV1945"/>
  <c r="AX267" l="1"/>
  <c r="AY267"/>
  <c r="AZ267" s="1"/>
  <c r="BZ1946"/>
  <c r="BV1946"/>
  <c r="BW1946"/>
  <c r="BY1947"/>
  <c r="BA267" l="1"/>
  <c r="AW268"/>
  <c r="BY1948"/>
  <c r="BZ1947"/>
  <c r="BW1947" s="1"/>
  <c r="BV1947"/>
  <c r="AX268" l="1"/>
  <c r="AY268"/>
  <c r="AZ268" s="1"/>
  <c r="BZ1948"/>
  <c r="BY1949"/>
  <c r="BW1948"/>
  <c r="BV1948"/>
  <c r="AW269" l="1"/>
  <c r="BA268"/>
  <c r="BY1950"/>
  <c r="BZ1949"/>
  <c r="BW1949" s="1"/>
  <c r="BV1949"/>
  <c r="AX269" l="1"/>
  <c r="AY269"/>
  <c r="AZ269" s="1"/>
  <c r="BZ1950"/>
  <c r="BW1950" s="1"/>
  <c r="BY1951"/>
  <c r="BV1950"/>
  <c r="AW270" l="1"/>
  <c r="BA269"/>
  <c r="BY1952"/>
  <c r="BZ1951"/>
  <c r="BW1951"/>
  <c r="BV1951"/>
  <c r="AY270" l="1"/>
  <c r="AZ270" s="1"/>
  <c r="AX270"/>
  <c r="BZ1952"/>
  <c r="BY1953"/>
  <c r="BW1952"/>
  <c r="BV1952"/>
  <c r="AW271" l="1"/>
  <c r="BA270"/>
  <c r="BY1954"/>
  <c r="BZ1953"/>
  <c r="BW1953" s="1"/>
  <c r="BV1953"/>
  <c r="AX271" l="1"/>
  <c r="AY271"/>
  <c r="AZ271" s="1"/>
  <c r="BZ1954"/>
  <c r="BV1954"/>
  <c r="BW1954"/>
  <c r="BY1955"/>
  <c r="AW272" l="1"/>
  <c r="BA271"/>
  <c r="BY1956"/>
  <c r="BZ1955"/>
  <c r="BW1955" s="1"/>
  <c r="BV1955"/>
  <c r="AY272" l="1"/>
  <c r="AZ272" s="1"/>
  <c r="AX272"/>
  <c r="BZ1956"/>
  <c r="BY1957"/>
  <c r="BV1956"/>
  <c r="BW1956"/>
  <c r="AW273" l="1"/>
  <c r="BA272"/>
  <c r="BY1958"/>
  <c r="BV1957"/>
  <c r="BZ1957"/>
  <c r="BW1957" s="1"/>
  <c r="AX273" l="1"/>
  <c r="AY273"/>
  <c r="AZ273" s="1"/>
  <c r="BZ1958"/>
  <c r="BY1959"/>
  <c r="BV1958"/>
  <c r="BW1958"/>
  <c r="AW274" l="1"/>
  <c r="BA273"/>
  <c r="BY1960"/>
  <c r="BZ1959"/>
  <c r="BW1959"/>
  <c r="BV1959"/>
  <c r="AY274" l="1"/>
  <c r="AZ274" s="1"/>
  <c r="AX274"/>
  <c r="BZ1960"/>
  <c r="BY1961"/>
  <c r="BW1960"/>
  <c r="BV1960"/>
  <c r="AW275" l="1"/>
  <c r="BA274"/>
  <c r="BY1962"/>
  <c r="BZ1961"/>
  <c r="BW1961" s="1"/>
  <c r="BV1961"/>
  <c r="AX275" l="1"/>
  <c r="AY275"/>
  <c r="AZ275" s="1"/>
  <c r="BZ1962"/>
  <c r="BV1962"/>
  <c r="BW1962"/>
  <c r="BY1963"/>
  <c r="AW276" l="1"/>
  <c r="BA275"/>
  <c r="BY1964"/>
  <c r="BZ1963"/>
  <c r="BW1963" s="1"/>
  <c r="BV1963"/>
  <c r="AX276" l="1"/>
  <c r="AY276"/>
  <c r="AZ276" s="1"/>
  <c r="BZ1964"/>
  <c r="BY1965"/>
  <c r="BW1964"/>
  <c r="BV1964"/>
  <c r="AW277" l="1"/>
  <c r="BA276"/>
  <c r="BY1966"/>
  <c r="BZ1965"/>
  <c r="BW1965" s="1"/>
  <c r="BV1965"/>
  <c r="AX277" l="1"/>
  <c r="AY277"/>
  <c r="AZ277" s="1"/>
  <c r="BZ1966"/>
  <c r="BY1967"/>
  <c r="BV1966"/>
  <c r="BW1966"/>
  <c r="AW278" l="1"/>
  <c r="BA277"/>
  <c r="BY1968"/>
  <c r="BZ1967"/>
  <c r="BW1967"/>
  <c r="BV1967"/>
  <c r="AY278" l="1"/>
  <c r="AZ278" s="1"/>
  <c r="AX278"/>
  <c r="BZ1968"/>
  <c r="BY1969"/>
  <c r="BW1968"/>
  <c r="BV1968"/>
  <c r="AW279" l="1"/>
  <c r="BA278"/>
  <c r="BY1970"/>
  <c r="BZ1969"/>
  <c r="BW1969" s="1"/>
  <c r="BV1969"/>
  <c r="AX279" l="1"/>
  <c r="AY279"/>
  <c r="AZ279" s="1"/>
  <c r="BZ1970"/>
  <c r="BV1970"/>
  <c r="BW1970"/>
  <c r="BY1971"/>
  <c r="AW280" l="1"/>
  <c r="BA279"/>
  <c r="BY1972"/>
  <c r="BZ1971"/>
  <c r="BW1971" s="1"/>
  <c r="BV1971"/>
  <c r="AX280" l="1"/>
  <c r="AY280"/>
  <c r="AZ280" s="1"/>
  <c r="BZ1972"/>
  <c r="BY1973"/>
  <c r="BV1972"/>
  <c r="BW1972"/>
  <c r="AW281" l="1"/>
  <c r="BA280"/>
  <c r="BY1974"/>
  <c r="BV1973"/>
  <c r="BZ1973"/>
  <c r="BW1973" s="1"/>
  <c r="BZ1974" l="1"/>
  <c r="BW1974" s="1"/>
  <c r="BY1975"/>
  <c r="BV1974"/>
  <c r="AX281"/>
  <c r="AY281"/>
  <c r="AZ281" s="1"/>
  <c r="AW282" l="1"/>
  <c r="BA281"/>
  <c r="BY1976"/>
  <c r="BZ1975"/>
  <c r="BW1975"/>
  <c r="BV1975"/>
  <c r="AY282" l="1"/>
  <c r="AZ282" s="1"/>
  <c r="AX282"/>
  <c r="BZ1976"/>
  <c r="BY1977"/>
  <c r="BW1976"/>
  <c r="BV1976"/>
  <c r="AW283" l="1"/>
  <c r="BA282"/>
  <c r="BY1978"/>
  <c r="BZ1977"/>
  <c r="BW1977" s="1"/>
  <c r="BV1977"/>
  <c r="BZ1978" l="1"/>
  <c r="BW1978" s="1"/>
  <c r="BV1978"/>
  <c r="BY1979"/>
  <c r="AX283"/>
  <c r="AY283"/>
  <c r="AZ283" s="1"/>
  <c r="BA283" l="1"/>
  <c r="AW284"/>
  <c r="BY1980"/>
  <c r="BZ1979"/>
  <c r="BW1979" s="1"/>
  <c r="BV1979"/>
  <c r="AX284" l="1"/>
  <c r="AY284"/>
  <c r="AZ284" s="1"/>
  <c r="BZ1980"/>
  <c r="BY1981"/>
  <c r="BW1980"/>
  <c r="BV1980"/>
  <c r="AW285" l="1"/>
  <c r="BA284"/>
  <c r="BY1982"/>
  <c r="BZ1981"/>
  <c r="BW1981" s="1"/>
  <c r="BV1981"/>
  <c r="AX285" l="1"/>
  <c r="AY285"/>
  <c r="AZ285" s="1"/>
  <c r="BZ1982"/>
  <c r="BY1983"/>
  <c r="BV1982"/>
  <c r="BW1982"/>
  <c r="AW286" l="1"/>
  <c r="BA285"/>
  <c r="BY1984"/>
  <c r="BZ1983"/>
  <c r="BW1983"/>
  <c r="BV1983"/>
  <c r="AY286" l="1"/>
  <c r="AZ286" s="1"/>
  <c r="AX286"/>
  <c r="BZ1984"/>
  <c r="BY1985"/>
  <c r="BW1984"/>
  <c r="BV1984"/>
  <c r="AW287" l="1"/>
  <c r="BA286"/>
  <c r="BY1986"/>
  <c r="BZ1985"/>
  <c r="BW1985" s="1"/>
  <c r="BV1985"/>
  <c r="AX287" l="1"/>
  <c r="AY287"/>
  <c r="AZ287" s="1"/>
  <c r="BZ1986"/>
  <c r="BV1986"/>
  <c r="BW1986"/>
  <c r="BY1987"/>
  <c r="AW288" l="1"/>
  <c r="BA287"/>
  <c r="BY1988"/>
  <c r="BZ1987"/>
  <c r="BW1987" s="1"/>
  <c r="BV1987"/>
  <c r="AY288" l="1"/>
  <c r="AZ288" s="1"/>
  <c r="AX288"/>
  <c r="BZ1988"/>
  <c r="BW1988" s="1"/>
  <c r="BY1989"/>
  <c r="BV1988"/>
  <c r="AW289" l="1"/>
  <c r="BA288"/>
  <c r="BY1990"/>
  <c r="BV1989"/>
  <c r="BZ1989"/>
  <c r="BW1989" s="1"/>
  <c r="AX289" l="1"/>
  <c r="AY289"/>
  <c r="AZ289" s="1"/>
  <c r="BZ1990"/>
  <c r="BY1991"/>
  <c r="BV1990"/>
  <c r="BW1990"/>
  <c r="AW290" l="1"/>
  <c r="BA289"/>
  <c r="BY1992"/>
  <c r="BZ1991"/>
  <c r="BW1991"/>
  <c r="BV1991"/>
  <c r="AY290" l="1"/>
  <c r="AZ290" s="1"/>
  <c r="AX290"/>
  <c r="BZ1992"/>
  <c r="BY1993"/>
  <c r="BW1992"/>
  <c r="BV1992"/>
  <c r="AW291" l="1"/>
  <c r="BA290"/>
  <c r="BY1994"/>
  <c r="BZ1993"/>
  <c r="BW1993" s="1"/>
  <c r="BV1993"/>
  <c r="AX291" l="1"/>
  <c r="AY291"/>
  <c r="AZ291" s="1"/>
  <c r="BZ1994"/>
  <c r="BV1994"/>
  <c r="BW1994"/>
  <c r="BY1995"/>
  <c r="AW292" l="1"/>
  <c r="BA291"/>
  <c r="BY1996"/>
  <c r="BZ1995"/>
  <c r="BW1995" s="1"/>
  <c r="BV1995"/>
  <c r="AX292" l="1"/>
  <c r="AY292"/>
  <c r="AZ292" s="1"/>
  <c r="BZ1996"/>
  <c r="BY1997"/>
  <c r="BW1996"/>
  <c r="BV1996"/>
  <c r="AW293" l="1"/>
  <c r="BA292"/>
  <c r="BY1998"/>
  <c r="BZ1997"/>
  <c r="BW1997" s="1"/>
  <c r="BV1997"/>
  <c r="AX293" l="1"/>
  <c r="AY293"/>
  <c r="AZ293" s="1"/>
  <c r="BZ1998"/>
  <c r="BY1999"/>
  <c r="BV1998"/>
  <c r="BW1998"/>
  <c r="AW294" l="1"/>
  <c r="BA293"/>
  <c r="BY2000"/>
  <c r="BZ1999"/>
  <c r="BW1999"/>
  <c r="BV1999"/>
  <c r="AY294" l="1"/>
  <c r="AZ294" s="1"/>
  <c r="AX294"/>
  <c r="BZ2000"/>
  <c r="BY2001"/>
  <c r="BW2000"/>
  <c r="BV2000"/>
  <c r="AW295" l="1"/>
  <c r="BA294"/>
  <c r="BY2002"/>
  <c r="BZ2001"/>
  <c r="BW2001" s="1"/>
  <c r="BV2001"/>
  <c r="AX295" l="1"/>
  <c r="AY295"/>
  <c r="AZ295" s="1"/>
  <c r="BZ2002"/>
  <c r="BV2002"/>
  <c r="BW2002"/>
  <c r="BY2003"/>
  <c r="AW296" l="1"/>
  <c r="BA295"/>
  <c r="BY2004"/>
  <c r="BZ2003"/>
  <c r="BW2003" s="1"/>
  <c r="BV2003"/>
  <c r="AX296" l="1"/>
  <c r="AY296"/>
  <c r="AZ296" s="1"/>
  <c r="BZ2004"/>
  <c r="BW2004" s="1"/>
  <c r="BY2005"/>
  <c r="BV2004"/>
  <c r="AW297" l="1"/>
  <c r="BA296"/>
  <c r="BY2006"/>
  <c r="BV2005"/>
  <c r="BZ2005"/>
  <c r="BW2005" s="1"/>
  <c r="AX297" l="1"/>
  <c r="AY297"/>
  <c r="AZ297" s="1"/>
  <c r="BZ2006"/>
  <c r="BW2006" s="1"/>
  <c r="BY2007"/>
  <c r="BV2006"/>
  <c r="AW298" l="1"/>
  <c r="BA297"/>
  <c r="BY2008"/>
  <c r="BZ2007"/>
  <c r="BW2007"/>
  <c r="BV2007"/>
  <c r="AY298" l="1"/>
  <c r="AZ298" s="1"/>
  <c r="AX298"/>
  <c r="BZ2008"/>
  <c r="BY2009"/>
  <c r="BW2008"/>
  <c r="BV2008"/>
  <c r="AW299" l="1"/>
  <c r="BA298"/>
  <c r="BY2010"/>
  <c r="BZ2009"/>
  <c r="BW2009" s="1"/>
  <c r="BV2009"/>
  <c r="AX299" l="1"/>
  <c r="AY299"/>
  <c r="AZ299" s="1"/>
  <c r="BZ2010"/>
  <c r="BV2010"/>
  <c r="BW2010"/>
  <c r="BY2011"/>
  <c r="BA299" l="1"/>
  <c r="AW300"/>
  <c r="BY2012"/>
  <c r="BZ2011"/>
  <c r="BW2011" s="1"/>
  <c r="BV2011"/>
  <c r="AX300" l="1"/>
  <c r="AY300"/>
  <c r="AZ300" s="1"/>
  <c r="BZ2012"/>
  <c r="BY2013"/>
  <c r="BW2012"/>
  <c r="BV2012"/>
  <c r="AW301" l="1"/>
  <c r="BA300"/>
  <c r="BY2014"/>
  <c r="BZ2013"/>
  <c r="BW2013" s="1"/>
  <c r="BV2013"/>
  <c r="AX301" l="1"/>
  <c r="AY301"/>
  <c r="AZ301" s="1"/>
  <c r="BZ2014"/>
  <c r="BY2015"/>
  <c r="BV2014"/>
  <c r="BW2014"/>
  <c r="AW302" l="1"/>
  <c r="BA301"/>
  <c r="BY2016"/>
  <c r="BZ2015"/>
  <c r="BW2015"/>
  <c r="BV2015"/>
  <c r="AY302" l="1"/>
  <c r="AZ302" s="1"/>
  <c r="AX302"/>
  <c r="BZ2016"/>
  <c r="BY2017"/>
  <c r="BW2016"/>
  <c r="BV2016"/>
  <c r="AW303" l="1"/>
  <c r="BA302"/>
  <c r="BY2018"/>
  <c r="BZ2017"/>
  <c r="BW2017" s="1"/>
  <c r="BV2017"/>
  <c r="AX303" l="1"/>
  <c r="AY303"/>
  <c r="AZ303" s="1"/>
  <c r="BZ2018"/>
  <c r="BV2018"/>
  <c r="BW2018"/>
  <c r="BY2019"/>
  <c r="AW304" l="1"/>
  <c r="BA303"/>
  <c r="BY2020"/>
  <c r="BZ2019"/>
  <c r="BW2019" s="1"/>
  <c r="BV2019"/>
  <c r="AY304" l="1"/>
  <c r="AZ304" s="1"/>
  <c r="AX304"/>
  <c r="BZ2020"/>
  <c r="BY2021"/>
  <c r="BV2020"/>
  <c r="BW2020"/>
  <c r="AW305" l="1"/>
  <c r="BA304"/>
  <c r="BY2022"/>
  <c r="BV2021"/>
  <c r="BZ2021"/>
  <c r="BW2021" s="1"/>
  <c r="AX305" l="1"/>
  <c r="AY305"/>
  <c r="AZ305" s="1"/>
  <c r="BZ2022"/>
  <c r="BY2023"/>
  <c r="BV2022"/>
  <c r="BW2022"/>
  <c r="AW306" l="1"/>
  <c r="BA305"/>
  <c r="BY2024"/>
  <c r="BZ2023"/>
  <c r="BW2023"/>
  <c r="BV2023"/>
  <c r="AY306" l="1"/>
  <c r="AZ306" s="1"/>
  <c r="AX306"/>
  <c r="BZ2024"/>
  <c r="BY2025"/>
  <c r="BW2024"/>
  <c r="BV2024"/>
  <c r="AW307" l="1"/>
  <c r="BA306"/>
  <c r="BY2026"/>
  <c r="BZ2025"/>
  <c r="BW2025" s="1"/>
  <c r="BV2025"/>
  <c r="AX307" l="1"/>
  <c r="AY307"/>
  <c r="AZ307" s="1"/>
  <c r="BZ2026"/>
  <c r="BV2026"/>
  <c r="BW2026"/>
  <c r="BY2027"/>
  <c r="AW308" l="1"/>
  <c r="BA307"/>
  <c r="BY2028"/>
  <c r="BZ2027"/>
  <c r="BW2027" s="1"/>
  <c r="BV2027"/>
  <c r="AX308" l="1"/>
  <c r="AY308"/>
  <c r="AZ308" s="1"/>
  <c r="BZ2028"/>
  <c r="BY2029"/>
  <c r="BW2028"/>
  <c r="BV2028"/>
  <c r="AW309" l="1"/>
  <c r="BA308"/>
  <c r="BY2030"/>
  <c r="BZ2029"/>
  <c r="BW2029" s="1"/>
  <c r="BV2029"/>
  <c r="AX309" l="1"/>
  <c r="AY309"/>
  <c r="AZ309" s="1"/>
  <c r="BZ2030"/>
  <c r="BY2031"/>
  <c r="BV2030"/>
  <c r="BW2030"/>
  <c r="AW310" l="1"/>
  <c r="BA309"/>
  <c r="BY2032"/>
  <c r="BZ2031"/>
  <c r="BW2031"/>
  <c r="BV2031"/>
  <c r="AY310" l="1"/>
  <c r="AZ310" s="1"/>
  <c r="AX310"/>
  <c r="BZ2032"/>
  <c r="BY2033"/>
  <c r="BW2032"/>
  <c r="BV2032"/>
  <c r="AW311" l="1"/>
  <c r="BA310"/>
  <c r="BY2034"/>
  <c r="BZ2033"/>
  <c r="BW2033" s="1"/>
  <c r="BV2033"/>
  <c r="BZ2034" l="1"/>
  <c r="BW2034" s="1"/>
  <c r="BV2034"/>
  <c r="BY2035"/>
  <c r="AX311"/>
  <c r="AY311"/>
  <c r="AZ311" s="1"/>
  <c r="AW312" l="1"/>
  <c r="BA311"/>
  <c r="BY2036"/>
  <c r="BZ2035"/>
  <c r="BW2035"/>
  <c r="BV2035"/>
  <c r="AX312" l="1"/>
  <c r="AY312"/>
  <c r="AZ312" s="1"/>
  <c r="BZ2036"/>
  <c r="BY2037"/>
  <c r="BV2036"/>
  <c r="BW2036"/>
  <c r="AW313" l="1"/>
  <c r="BA312"/>
  <c r="BY2038"/>
  <c r="BV2037"/>
  <c r="BZ2037"/>
  <c r="BW2037" s="1"/>
  <c r="AX313" l="1"/>
  <c r="AY313"/>
  <c r="AZ313" s="1"/>
  <c r="BZ2038"/>
  <c r="BY2039"/>
  <c r="BV2038"/>
  <c r="BW2038"/>
  <c r="AW314" l="1"/>
  <c r="BA313"/>
  <c r="BY2040"/>
  <c r="BZ2039"/>
  <c r="BW2039"/>
  <c r="BV2039"/>
  <c r="AY314" l="1"/>
  <c r="AZ314" s="1"/>
  <c r="AX314"/>
  <c r="BZ2040"/>
  <c r="BY2041"/>
  <c r="BW2040"/>
  <c r="BV2040"/>
  <c r="AW315" l="1"/>
  <c r="BA314"/>
  <c r="BY2042"/>
  <c r="BZ2041"/>
  <c r="BW2041" s="1"/>
  <c r="BV2041"/>
  <c r="BZ2042" l="1"/>
  <c r="BW2042" s="1"/>
  <c r="BW39" s="1"/>
  <c r="BV2042"/>
  <c r="BY2043"/>
  <c r="AX315"/>
  <c r="AY315"/>
  <c r="AZ315" s="1"/>
  <c r="BA315" l="1"/>
  <c r="AW316"/>
  <c r="BY2044"/>
  <c r="BZ2043"/>
  <c r="BW2043" s="1"/>
  <c r="BV2043"/>
  <c r="AX316" l="1"/>
  <c r="AY316"/>
  <c r="AZ316" s="1"/>
  <c r="BZ2044"/>
  <c r="BW2044" s="1"/>
  <c r="BY2045"/>
  <c r="BV2044"/>
  <c r="AW317" l="1"/>
  <c r="BA316"/>
  <c r="BY2046"/>
  <c r="BZ2045"/>
  <c r="BW2045" s="1"/>
  <c r="BV2045"/>
  <c r="AX317" l="1"/>
  <c r="AY317"/>
  <c r="AZ317" s="1"/>
  <c r="BZ2046"/>
  <c r="BY2047"/>
  <c r="BW2046"/>
  <c r="BV2046"/>
  <c r="AW318" l="1"/>
  <c r="BA317"/>
  <c r="BY2048"/>
  <c r="BZ2047"/>
  <c r="BW2047" s="1"/>
  <c r="BV2047"/>
  <c r="AY318" l="1"/>
  <c r="AZ318" s="1"/>
  <c r="AX318"/>
  <c r="BZ2048"/>
  <c r="BY2049"/>
  <c r="BW2048"/>
  <c r="BV2048"/>
  <c r="AW319" l="1"/>
  <c r="BA318"/>
  <c r="BY2050"/>
  <c r="BZ2049"/>
  <c r="BW2049" s="1"/>
  <c r="BV2049"/>
  <c r="AX319" l="1"/>
  <c r="AY319"/>
  <c r="AZ319" s="1"/>
  <c r="BZ2050"/>
  <c r="BW2050" s="1"/>
  <c r="BY2051"/>
  <c r="BV2050"/>
  <c r="AW320" l="1"/>
  <c r="BA319"/>
  <c r="BY2052"/>
  <c r="BZ2051"/>
  <c r="BW2051" s="1"/>
  <c r="BV2051"/>
  <c r="AY320" l="1"/>
  <c r="AZ320" s="1"/>
  <c r="AX320"/>
  <c r="BZ2052"/>
  <c r="BY2053"/>
  <c r="BV2052"/>
  <c r="BW2052"/>
  <c r="AW321" l="1"/>
  <c r="BA320"/>
  <c r="BY2054"/>
  <c r="BV2053"/>
  <c r="BZ2053"/>
  <c r="BW2053" s="1"/>
  <c r="AX321" l="1"/>
  <c r="AY321"/>
  <c r="AZ321" s="1"/>
  <c r="BZ2054"/>
  <c r="BY2055"/>
  <c r="BW2054"/>
  <c r="BV2054"/>
  <c r="AW322" l="1"/>
  <c r="BA321"/>
  <c r="BY2056"/>
  <c r="BZ2055"/>
  <c r="BW2055" s="1"/>
  <c r="BV2055"/>
  <c r="AY322" l="1"/>
  <c r="AZ322" s="1"/>
  <c r="AX322"/>
  <c r="BZ2056"/>
  <c r="BY2057"/>
  <c r="BW2056"/>
  <c r="BV2056"/>
  <c r="AW323" l="1"/>
  <c r="BA322"/>
  <c r="BY2058"/>
  <c r="BZ2057"/>
  <c r="BW2057" s="1"/>
  <c r="BV2057"/>
  <c r="AX323" l="1"/>
  <c r="AY323"/>
  <c r="AZ323" s="1"/>
  <c r="BZ2058"/>
  <c r="BW2058" s="1"/>
  <c r="BV2058"/>
  <c r="BY2059"/>
  <c r="BY2060" l="1"/>
  <c r="BZ2059"/>
  <c r="BW2059" s="1"/>
  <c r="BV2059"/>
  <c r="AW324"/>
  <c r="BA323"/>
  <c r="AX324" l="1"/>
  <c r="AY324"/>
  <c r="AZ324" s="1"/>
  <c r="BZ2060"/>
  <c r="BW2060" s="1"/>
  <c r="BY2061"/>
  <c r="BV2060"/>
  <c r="AW325" l="1"/>
  <c r="BA324"/>
  <c r="BY2062"/>
  <c r="BZ2061"/>
  <c r="BW2061" s="1"/>
  <c r="BV2061"/>
  <c r="AX325" l="1"/>
  <c r="AY325"/>
  <c r="AZ325" s="1"/>
  <c r="BZ2062"/>
  <c r="BY2063"/>
  <c r="BW2062"/>
  <c r="BV2062"/>
  <c r="AW326" l="1"/>
  <c r="BA325"/>
  <c r="BY2064"/>
  <c r="BZ2063"/>
  <c r="BW2063" s="1"/>
  <c r="BV2063"/>
  <c r="AY326" l="1"/>
  <c r="AZ326" s="1"/>
  <c r="AX326"/>
  <c r="BZ2064"/>
  <c r="BY2065"/>
  <c r="BW2064"/>
  <c r="BV2064"/>
  <c r="AW327" l="1"/>
  <c r="BA326"/>
  <c r="BY2066"/>
  <c r="BZ2065"/>
  <c r="BW2065" s="1"/>
  <c r="BV2065"/>
  <c r="AX327" l="1"/>
  <c r="AY327"/>
  <c r="AZ327" s="1"/>
  <c r="BZ2066"/>
  <c r="BW2066" s="1"/>
  <c r="BY2067"/>
  <c r="BV2066"/>
  <c r="BY2068" l="1"/>
  <c r="BZ2067"/>
  <c r="BW2067" s="1"/>
  <c r="BV2067"/>
  <c r="AW328"/>
  <c r="BA327"/>
  <c r="AX328" l="1"/>
  <c r="AY328"/>
  <c r="AZ328" s="1"/>
  <c r="BZ2068"/>
  <c r="BW2068" s="1"/>
  <c r="BY2069"/>
  <c r="BV2068"/>
  <c r="AW329" l="1"/>
  <c r="BA328"/>
  <c r="BY2070"/>
  <c r="BV2069"/>
  <c r="BZ2069"/>
  <c r="BW2069" s="1"/>
  <c r="AX329" l="1"/>
  <c r="AY329"/>
  <c r="AZ329" s="1"/>
  <c r="BZ2070"/>
  <c r="BY2071"/>
  <c r="BW2070"/>
  <c r="BV2070"/>
  <c r="AW330" l="1"/>
  <c r="BA329"/>
  <c r="BY2072"/>
  <c r="BZ2071"/>
  <c r="BW2071" s="1"/>
  <c r="BV2071"/>
  <c r="AY330" l="1"/>
  <c r="AZ330" s="1"/>
  <c r="AX330"/>
  <c r="BZ2072"/>
  <c r="BY2073"/>
  <c r="BW2072"/>
  <c r="BV2072"/>
  <c r="AW331" l="1"/>
  <c r="BA330"/>
  <c r="BY2074"/>
  <c r="BZ2073"/>
  <c r="BW2073" s="1"/>
  <c r="BV2073"/>
  <c r="AX331" l="1"/>
  <c r="AY331"/>
  <c r="AZ331" s="1"/>
  <c r="BZ2074"/>
  <c r="BW2074" s="1"/>
  <c r="BV2074"/>
  <c r="BY2075"/>
  <c r="BA331" l="1"/>
  <c r="AW332"/>
  <c r="BY2076"/>
  <c r="BZ2075"/>
  <c r="BW2075" s="1"/>
  <c r="BV2075"/>
  <c r="AX332" l="1"/>
  <c r="AY332"/>
  <c r="AZ332" s="1"/>
  <c r="BZ2076"/>
  <c r="BW2076" s="1"/>
  <c r="BY2077"/>
  <c r="BV2076"/>
  <c r="AW333" l="1"/>
  <c r="BA332"/>
  <c r="BY2078"/>
  <c r="BZ2077"/>
  <c r="BW2077" s="1"/>
  <c r="BV2077"/>
  <c r="AX333" l="1"/>
  <c r="AY333"/>
  <c r="AZ333" s="1"/>
  <c r="BZ2078"/>
  <c r="BY2079"/>
  <c r="BW2078"/>
  <c r="BV2078"/>
  <c r="AW334" l="1"/>
  <c r="BA333"/>
  <c r="BY2080"/>
  <c r="BZ2079"/>
  <c r="BW2079" s="1"/>
  <c r="BV2079"/>
  <c r="AY334" l="1"/>
  <c r="AZ334" s="1"/>
  <c r="AX334"/>
  <c r="BZ2080"/>
  <c r="BY2081"/>
  <c r="BW2080"/>
  <c r="BV2080"/>
  <c r="AW335" l="1"/>
  <c r="BA334"/>
  <c r="BY2082"/>
  <c r="BZ2081"/>
  <c r="BW2081" s="1"/>
  <c r="BV2081"/>
  <c r="AX335" l="1"/>
  <c r="AY335"/>
  <c r="AZ335" s="1"/>
  <c r="BZ2082"/>
  <c r="BW2082" s="1"/>
  <c r="BY2083"/>
  <c r="BV2082"/>
  <c r="BY2084" l="1"/>
  <c r="BZ2083"/>
  <c r="BW2083" s="1"/>
  <c r="BV2083"/>
  <c r="AW336"/>
  <c r="BA335"/>
  <c r="BZ2084" l="1"/>
  <c r="BW2084" s="1"/>
  <c r="BY2085"/>
  <c r="BV2084"/>
  <c r="AY336"/>
  <c r="AZ336" s="1"/>
  <c r="AX336"/>
  <c r="AW337" l="1"/>
  <c r="BA336"/>
  <c r="BY2086"/>
  <c r="BV2085"/>
  <c r="BZ2085"/>
  <c r="BW2085" s="1"/>
  <c r="AX337" l="1"/>
  <c r="AY337"/>
  <c r="AZ337" s="1"/>
  <c r="BZ2086"/>
  <c r="BY2087"/>
  <c r="BW2086"/>
  <c r="BV2086"/>
  <c r="AW338" l="1"/>
  <c r="BA337"/>
  <c r="BY2088"/>
  <c r="BZ2087"/>
  <c r="BW2087" s="1"/>
  <c r="BV2087"/>
  <c r="AY338" l="1"/>
  <c r="AZ338" s="1"/>
  <c r="AX338"/>
  <c r="BZ2088"/>
  <c r="BY2089"/>
  <c r="BW2088"/>
  <c r="BV2088"/>
  <c r="AW339" l="1"/>
  <c r="BA338"/>
  <c r="BY2090"/>
  <c r="BZ2089"/>
  <c r="BW2089" s="1"/>
  <c r="BV2089"/>
  <c r="AX339" l="1"/>
  <c r="AY339"/>
  <c r="AZ339" s="1"/>
  <c r="BZ2090"/>
  <c r="BW2090" s="1"/>
  <c r="BV2090"/>
  <c r="BY2091"/>
  <c r="AW340" l="1"/>
  <c r="BA339"/>
  <c r="BY2092"/>
  <c r="BZ2091"/>
  <c r="BV2091"/>
  <c r="BW2091"/>
  <c r="AX340" l="1"/>
  <c r="AY340"/>
  <c r="AZ340" s="1"/>
  <c r="BZ2092"/>
  <c r="BW2092" s="1"/>
  <c r="BY2093"/>
  <c r="BV2092"/>
  <c r="AW341" l="1"/>
  <c r="BA340"/>
  <c r="BY2094"/>
  <c r="BZ2093"/>
  <c r="BW2093" s="1"/>
  <c r="BV2093"/>
  <c r="AX341" l="1"/>
  <c r="AY341"/>
  <c r="AZ341" s="1"/>
  <c r="BZ2094"/>
  <c r="BY2095"/>
  <c r="BW2094"/>
  <c r="BV2094"/>
  <c r="AW342" l="1"/>
  <c r="BA341"/>
  <c r="BY2096"/>
  <c r="BZ2095"/>
  <c r="BW2095" s="1"/>
  <c r="BV2095"/>
  <c r="AY342" l="1"/>
  <c r="AZ342" s="1"/>
  <c r="AX342"/>
  <c r="BZ2096"/>
  <c r="BY2097"/>
  <c r="BW2096"/>
  <c r="BV2096"/>
  <c r="AW343" l="1"/>
  <c r="BA342"/>
  <c r="BY2098"/>
  <c r="BZ2097"/>
  <c r="BW2097" s="1"/>
  <c r="BV2097"/>
  <c r="AX343" l="1"/>
  <c r="AY343"/>
  <c r="AZ343" s="1"/>
  <c r="BZ2098"/>
  <c r="BW2098" s="1"/>
  <c r="BY2099"/>
  <c r="BV2098"/>
  <c r="AW344" l="1"/>
  <c r="BA343"/>
  <c r="BY2100"/>
  <c r="BZ2099"/>
  <c r="BW2099" s="1"/>
  <c r="BV2099"/>
  <c r="AX344" l="1"/>
  <c r="AY344"/>
  <c r="AZ344" s="1"/>
  <c r="BZ2100"/>
  <c r="BY2101"/>
  <c r="BW2100"/>
  <c r="BV2100"/>
  <c r="AW345" l="1"/>
  <c r="BA344"/>
  <c r="BY2102"/>
  <c r="BV2101"/>
  <c r="BZ2101"/>
  <c r="BW2101" s="1"/>
  <c r="AX345" l="1"/>
  <c r="AY345"/>
  <c r="AZ345" s="1"/>
  <c r="BZ2102"/>
  <c r="BY2103"/>
  <c r="BW2102"/>
  <c r="BV2102"/>
  <c r="AW346" l="1"/>
  <c r="BA345"/>
  <c r="BY2104"/>
  <c r="BZ2103"/>
  <c r="BV2103"/>
  <c r="BW2103"/>
  <c r="AY346" l="1"/>
  <c r="AZ346" s="1"/>
  <c r="AX346"/>
  <c r="BZ2104"/>
  <c r="BY2105"/>
  <c r="BW2104"/>
  <c r="BV2104"/>
  <c r="AW347" l="1"/>
  <c r="BA346"/>
  <c r="BY2106"/>
  <c r="BZ2105"/>
  <c r="BW2105" s="1"/>
  <c r="BV2105"/>
  <c r="AX347" l="1"/>
  <c r="AY347"/>
  <c r="AZ347" s="1"/>
  <c r="BZ2106"/>
  <c r="BW2106" s="1"/>
  <c r="BV2106"/>
  <c r="BY2107"/>
  <c r="BA347" l="1"/>
  <c r="AW348"/>
  <c r="BY2108"/>
  <c r="BZ2107"/>
  <c r="BV2107"/>
  <c r="BW2107"/>
  <c r="AX348" l="1"/>
  <c r="AY348"/>
  <c r="AZ348" s="1"/>
  <c r="BZ2108"/>
  <c r="BW2108" s="1"/>
  <c r="BY2109"/>
  <c r="BV2108"/>
  <c r="AW349" l="1"/>
  <c r="BA348"/>
  <c r="BY2110"/>
  <c r="BZ2109"/>
  <c r="BW2109" s="1"/>
  <c r="BV2109"/>
  <c r="AX349" l="1"/>
  <c r="AY349"/>
  <c r="AZ349" s="1"/>
  <c r="BZ2110"/>
  <c r="BY2111"/>
  <c r="BW2110"/>
  <c r="BV2110"/>
  <c r="AW350" l="1"/>
  <c r="BA349"/>
  <c r="BY2112"/>
  <c r="BZ2111"/>
  <c r="BW2111" s="1"/>
  <c r="BV2111"/>
  <c r="AY350" l="1"/>
  <c r="AZ350" s="1"/>
  <c r="AX350"/>
  <c r="BZ2112"/>
  <c r="BY2113"/>
  <c r="BW2112"/>
  <c r="BV2112"/>
  <c r="AW351" l="1"/>
  <c r="BA350"/>
  <c r="BY2114"/>
  <c r="BZ2113"/>
  <c r="BW2113" s="1"/>
  <c r="BV2113"/>
  <c r="BZ2114" l="1"/>
  <c r="BW2114" s="1"/>
  <c r="BY2115"/>
  <c r="BV2114"/>
  <c r="AX351"/>
  <c r="AY351"/>
  <c r="AZ351" s="1"/>
  <c r="AW352" l="1"/>
  <c r="BA351"/>
  <c r="BY2116"/>
  <c r="BZ2115"/>
  <c r="BW2115" s="1"/>
  <c r="BV2115"/>
  <c r="AY352" l="1"/>
  <c r="AZ352" s="1"/>
  <c r="AX352"/>
  <c r="BZ2116"/>
  <c r="BW2116" s="1"/>
  <c r="BY2117"/>
  <c r="BV2116"/>
  <c r="AW353" l="1"/>
  <c r="BA352"/>
  <c r="BY2118"/>
  <c r="BV2117"/>
  <c r="BZ2117"/>
  <c r="BW2117" s="1"/>
  <c r="AX353" l="1"/>
  <c r="AY353"/>
  <c r="AZ353" s="1"/>
  <c r="BZ2118"/>
  <c r="BY2119"/>
  <c r="BW2118"/>
  <c r="BV2118"/>
  <c r="AW354" l="1"/>
  <c r="BA353"/>
  <c r="BY2120"/>
  <c r="BZ2119"/>
  <c r="BW2119" s="1"/>
  <c r="BV2119"/>
  <c r="AY354" l="1"/>
  <c r="AZ354" s="1"/>
  <c r="AX354"/>
  <c r="BZ2120"/>
  <c r="BY2121"/>
  <c r="BW2120"/>
  <c r="BV2120"/>
  <c r="AW355" l="1"/>
  <c r="BA354"/>
  <c r="BY2122"/>
  <c r="BZ2121"/>
  <c r="BW2121" s="1"/>
  <c r="BV2121"/>
  <c r="AX355" l="1"/>
  <c r="AY355"/>
  <c r="AZ355" s="1"/>
  <c r="BZ2122"/>
  <c r="BW2122" s="1"/>
  <c r="BV2122"/>
  <c r="BY2123"/>
  <c r="BY2124" l="1"/>
  <c r="BZ2123"/>
  <c r="BW2123" s="1"/>
  <c r="BV2123"/>
  <c r="AW356"/>
  <c r="BA355"/>
  <c r="AX356" l="1"/>
  <c r="AY356"/>
  <c r="AZ356" s="1"/>
  <c r="BZ2124"/>
  <c r="BW2124" s="1"/>
  <c r="BY2125"/>
  <c r="BV2124"/>
  <c r="AW357" l="1"/>
  <c r="BA356"/>
  <c r="BY2126"/>
  <c r="BZ2125"/>
  <c r="BW2125" s="1"/>
  <c r="BV2125"/>
  <c r="AX357" l="1"/>
  <c r="AY357"/>
  <c r="AZ357" s="1"/>
  <c r="BZ2126"/>
  <c r="BY2127"/>
  <c r="BW2126"/>
  <c r="BV2126"/>
  <c r="AW358" l="1"/>
  <c r="BA357"/>
  <c r="BY2128"/>
  <c r="BZ2127"/>
  <c r="BW2127" s="1"/>
  <c r="BV2127"/>
  <c r="AY358" l="1"/>
  <c r="AZ358" s="1"/>
  <c r="AX358"/>
  <c r="BZ2128"/>
  <c r="BY2129"/>
  <c r="BW2128"/>
  <c r="BV2128"/>
  <c r="AW359" l="1"/>
  <c r="BA358"/>
  <c r="BY2130"/>
  <c r="BZ2129"/>
  <c r="BW2129" s="1"/>
  <c r="BV2129"/>
  <c r="AX359" l="1"/>
  <c r="AY359"/>
  <c r="AZ359" s="1"/>
  <c r="BZ2130"/>
  <c r="BW2130" s="1"/>
  <c r="BY2131"/>
  <c r="BV2130"/>
  <c r="AW360" l="1"/>
  <c r="BA359"/>
  <c r="BY2132"/>
  <c r="BZ2131"/>
  <c r="BW2131" s="1"/>
  <c r="BV2131"/>
  <c r="AX360" l="1"/>
  <c r="AY360"/>
  <c r="AZ360" s="1"/>
  <c r="BZ2132"/>
  <c r="BW2132" s="1"/>
  <c r="BY2133"/>
  <c r="BV2132"/>
  <c r="AW361" l="1"/>
  <c r="BA360"/>
  <c r="BY2134"/>
  <c r="BV2133"/>
  <c r="BZ2133"/>
  <c r="BW2133" s="1"/>
  <c r="AX361" l="1"/>
  <c r="AY361"/>
  <c r="AZ361" s="1"/>
  <c r="BZ2134"/>
  <c r="BY2135"/>
  <c r="BW2134"/>
  <c r="BV2134"/>
  <c r="AW362" l="1"/>
  <c r="BA361"/>
  <c r="BY2136"/>
  <c r="BZ2135"/>
  <c r="BW2135" s="1"/>
  <c r="BV2135"/>
  <c r="AY362" l="1"/>
  <c r="AZ362" s="1"/>
  <c r="AX362"/>
  <c r="BZ2136"/>
  <c r="BY2137"/>
  <c r="BW2136"/>
  <c r="BV2136"/>
  <c r="AW363" l="1"/>
  <c r="BA362"/>
  <c r="BY2138"/>
  <c r="BZ2137"/>
  <c r="BW2137" s="1"/>
  <c r="BV2137"/>
  <c r="AX363" l="1"/>
  <c r="AY363"/>
  <c r="AZ363" s="1"/>
  <c r="BZ2138"/>
  <c r="BW2138" s="1"/>
  <c r="BV2138"/>
  <c r="BY2139"/>
  <c r="BA363" l="1"/>
  <c r="AW364"/>
  <c r="BY2140"/>
  <c r="BZ2139"/>
  <c r="BW2139" s="1"/>
  <c r="BV2139"/>
  <c r="AX364" l="1"/>
  <c r="AY364"/>
  <c r="AZ364" s="1"/>
  <c r="BZ2140"/>
  <c r="BW2140" s="1"/>
  <c r="BY2141"/>
  <c r="BV2140"/>
  <c r="AW365" l="1"/>
  <c r="BA364"/>
  <c r="BY2142"/>
  <c r="BZ2141"/>
  <c r="BW2141" s="1"/>
  <c r="BV2141"/>
  <c r="AX365" l="1"/>
  <c r="AY365"/>
  <c r="AZ365" s="1"/>
  <c r="BZ2142"/>
  <c r="BY2143"/>
  <c r="BW2142"/>
  <c r="BV2142"/>
  <c r="AW366" l="1"/>
  <c r="BA365"/>
  <c r="BY2144"/>
  <c r="BZ2143"/>
  <c r="BW2143" s="1"/>
  <c r="BV2143"/>
  <c r="AY366" l="1"/>
  <c r="AZ366" s="1"/>
  <c r="AX366"/>
  <c r="BZ2144"/>
  <c r="BY2145"/>
  <c r="BW2144"/>
  <c r="BV2144"/>
  <c r="AW367" l="1"/>
  <c r="BA366"/>
  <c r="BY2146"/>
  <c r="BZ2145"/>
  <c r="BW2145" s="1"/>
  <c r="BV2145"/>
  <c r="AX367" l="1"/>
  <c r="AY367"/>
  <c r="AZ367" s="1"/>
  <c r="BZ2146"/>
  <c r="BW2146" s="1"/>
  <c r="BY2147"/>
  <c r="BV2146"/>
  <c r="BY2148" l="1"/>
  <c r="BZ2147"/>
  <c r="BW2147" s="1"/>
  <c r="BV2147"/>
  <c r="AW368"/>
  <c r="BA367"/>
  <c r="AY368" l="1"/>
  <c r="AZ368" s="1"/>
  <c r="AX368"/>
  <c r="BZ2148"/>
  <c r="BY2149"/>
  <c r="BV2148"/>
  <c r="BW2148"/>
  <c r="AW369" l="1"/>
  <c r="BA368"/>
  <c r="BY2150"/>
  <c r="BV2149"/>
  <c r="BZ2149"/>
  <c r="BW2149" s="1"/>
  <c r="BZ2150" l="1"/>
  <c r="BW2150" s="1"/>
  <c r="BY2151"/>
  <c r="BV2150"/>
  <c r="AX369"/>
  <c r="AY369"/>
  <c r="AZ369" s="1"/>
  <c r="BY2152" l="1"/>
  <c r="BZ2151"/>
  <c r="BW2151" s="1"/>
  <c r="BV2151"/>
  <c r="AW370"/>
  <c r="BA369"/>
  <c r="AY370" l="1"/>
  <c r="AZ370" s="1"/>
  <c r="AX370"/>
  <c r="BZ2152"/>
  <c r="BY2153"/>
  <c r="BW2152"/>
  <c r="BV2152"/>
  <c r="AW371" l="1"/>
  <c r="BA370"/>
  <c r="BY2154"/>
  <c r="BZ2153"/>
  <c r="BW2153" s="1"/>
  <c r="BV2153"/>
  <c r="AX371" l="1"/>
  <c r="AY371"/>
  <c r="AZ371" s="1"/>
  <c r="BZ2154"/>
  <c r="BW2154" s="1"/>
  <c r="BV2154"/>
  <c r="BY2155"/>
  <c r="AW372" l="1"/>
  <c r="BA371"/>
  <c r="BY2156"/>
  <c r="BZ2155"/>
  <c r="BW2155" s="1"/>
  <c r="BV2155"/>
  <c r="AX372" l="1"/>
  <c r="AY372"/>
  <c r="AZ372" s="1"/>
  <c r="BZ2156"/>
  <c r="BW2156" s="1"/>
  <c r="BY2157"/>
  <c r="BV2156"/>
  <c r="AW373" l="1"/>
  <c r="BA372"/>
  <c r="BY2158"/>
  <c r="BZ2157"/>
  <c r="BW2157" s="1"/>
  <c r="BV2157"/>
  <c r="AX373" l="1"/>
  <c r="AY373"/>
  <c r="AZ373" s="1"/>
  <c r="BZ2158"/>
  <c r="BY2159"/>
  <c r="BW2158"/>
  <c r="BV2158"/>
  <c r="AW374" l="1"/>
  <c r="BA373"/>
  <c r="BY2160"/>
  <c r="BZ2159"/>
  <c r="BW2159" s="1"/>
  <c r="BV2159"/>
  <c r="AY374" l="1"/>
  <c r="AZ374" s="1"/>
  <c r="AX374"/>
  <c r="BZ2160"/>
  <c r="BY2161"/>
  <c r="BW2160"/>
  <c r="BV2160"/>
  <c r="AW375" l="1"/>
  <c r="BA374"/>
  <c r="BY2162"/>
  <c r="BZ2161"/>
  <c r="BW2161" s="1"/>
  <c r="BV2161"/>
  <c r="AX375" l="1"/>
  <c r="AY375"/>
  <c r="AZ375" s="1"/>
  <c r="BZ2162"/>
  <c r="BW2162" s="1"/>
  <c r="BY2163"/>
  <c r="BV2162"/>
  <c r="AW376" l="1"/>
  <c r="BA375"/>
  <c r="BY2164"/>
  <c r="BZ2163"/>
  <c r="BW2163" s="1"/>
  <c r="BV2163"/>
  <c r="AX376" l="1"/>
  <c r="AY376"/>
  <c r="AZ376" s="1"/>
  <c r="BZ2164"/>
  <c r="BW2164" s="1"/>
  <c r="BY2165"/>
  <c r="BV2164"/>
  <c r="AW377" l="1"/>
  <c r="BA376"/>
  <c r="BY2166"/>
  <c r="BV2165"/>
  <c r="BZ2165"/>
  <c r="BW2165" s="1"/>
  <c r="AX377" l="1"/>
  <c r="AY377"/>
  <c r="AZ377" s="1"/>
  <c r="BZ2166"/>
  <c r="BY2167"/>
  <c r="BW2166"/>
  <c r="BV2166"/>
  <c r="AW378" l="1"/>
  <c r="BA377"/>
  <c r="BY2168"/>
  <c r="BZ2167"/>
  <c r="BW2167" s="1"/>
  <c r="BV2167"/>
  <c r="AY378" l="1"/>
  <c r="AZ378" s="1"/>
  <c r="AX378"/>
  <c r="BZ2168"/>
  <c r="BY2169"/>
  <c r="BW2168"/>
  <c r="BV2168"/>
  <c r="AW379" l="1"/>
  <c r="BA378"/>
  <c r="BY2170"/>
  <c r="BZ2169"/>
  <c r="BW2169" s="1"/>
  <c r="BV2169"/>
  <c r="AX379" l="1"/>
  <c r="AY379"/>
  <c r="AZ379" s="1"/>
  <c r="BZ2170"/>
  <c r="BW2170" s="1"/>
  <c r="BV2170"/>
  <c r="BY2171"/>
  <c r="BY2172" l="1"/>
  <c r="BZ2171"/>
  <c r="BW2171" s="1"/>
  <c r="BV2171"/>
  <c r="BA379"/>
  <c r="AW380"/>
  <c r="BZ2172" l="1"/>
  <c r="BY2173"/>
  <c r="BV2172"/>
  <c r="BW2172"/>
  <c r="AX380"/>
  <c r="AY380"/>
  <c r="AZ380" s="1"/>
  <c r="BY2174" l="1"/>
  <c r="BW2173"/>
  <c r="BZ2173"/>
  <c r="BV2173"/>
  <c r="AW381"/>
  <c r="BA380"/>
  <c r="BZ2174" l="1"/>
  <c r="BW2174" s="1"/>
  <c r="BY2175"/>
  <c r="BV2174"/>
  <c r="AX381"/>
  <c r="AY381"/>
  <c r="AZ381" s="1"/>
  <c r="AW382" l="1"/>
  <c r="BA381"/>
  <c r="BY2176"/>
  <c r="BZ2175"/>
  <c r="BV2175"/>
  <c r="BW2175"/>
  <c r="AY382" l="1"/>
  <c r="AZ382" s="1"/>
  <c r="AX382"/>
  <c r="BZ2176"/>
  <c r="BY2177"/>
  <c r="BW2176"/>
  <c r="BV2176"/>
  <c r="AW383" l="1"/>
  <c r="BA382"/>
  <c r="BY2178"/>
  <c r="BZ2177"/>
  <c r="BW2177" s="1"/>
  <c r="BV2177"/>
  <c r="AX383" l="1"/>
  <c r="AY383"/>
  <c r="AZ383" s="1"/>
  <c r="BZ2178"/>
  <c r="BW2178" s="1"/>
  <c r="BY2179"/>
  <c r="BV2178"/>
  <c r="BY2180" l="1"/>
  <c r="BZ2179"/>
  <c r="BW2179" s="1"/>
  <c r="BV2179"/>
  <c r="AW384"/>
  <c r="BA383"/>
  <c r="AY384" l="1"/>
  <c r="AZ384" s="1"/>
  <c r="AX384"/>
  <c r="BZ2180"/>
  <c r="BW2180" s="1"/>
  <c r="BY2181"/>
  <c r="BV2180"/>
  <c r="AW385" l="1"/>
  <c r="BA384"/>
  <c r="BY2182"/>
  <c r="BV2181"/>
  <c r="BZ2181"/>
  <c r="BW2181" s="1"/>
  <c r="AX385" l="1"/>
  <c r="AY385"/>
  <c r="AZ385" s="1"/>
  <c r="BZ2182"/>
  <c r="BY2183"/>
  <c r="BW2182"/>
  <c r="BV2182"/>
  <c r="AW386" l="1"/>
  <c r="BA385"/>
  <c r="BY2184"/>
  <c r="BZ2183"/>
  <c r="BW2183" s="1"/>
  <c r="BV2183"/>
  <c r="AY386" l="1"/>
  <c r="AZ386" s="1"/>
  <c r="AX386"/>
  <c r="BZ2184"/>
  <c r="BY2185"/>
  <c r="BW2184"/>
  <c r="BV2184"/>
  <c r="AW387" l="1"/>
  <c r="BA386"/>
  <c r="BY2186"/>
  <c r="BZ2185"/>
  <c r="BW2185" s="1"/>
  <c r="BV2185"/>
  <c r="AX387" l="1"/>
  <c r="AY387"/>
  <c r="AZ387" s="1"/>
  <c r="BZ2186"/>
  <c r="BW2186" s="1"/>
  <c r="BV2186"/>
  <c r="BY2187"/>
  <c r="BY2188" l="1"/>
  <c r="BZ2187"/>
  <c r="BW2187" s="1"/>
  <c r="BV2187"/>
  <c r="AW388"/>
  <c r="BA387"/>
  <c r="AX388" l="1"/>
  <c r="AY388"/>
  <c r="AZ388" s="1"/>
  <c r="BZ2188"/>
  <c r="BW2188" s="1"/>
  <c r="BY2189"/>
  <c r="BV2188"/>
  <c r="AW389" l="1"/>
  <c r="BA388"/>
  <c r="BY2190"/>
  <c r="BZ2189"/>
  <c r="BW2189" s="1"/>
  <c r="BV2189"/>
  <c r="AX389" l="1"/>
  <c r="AY389"/>
  <c r="AZ389" s="1"/>
  <c r="BZ2190"/>
  <c r="BY2191"/>
  <c r="BW2190"/>
  <c r="BV2190"/>
  <c r="AW390" l="1"/>
  <c r="BA389"/>
  <c r="BY2192"/>
  <c r="BZ2191"/>
  <c r="BW2191" s="1"/>
  <c r="BV2191"/>
  <c r="AY390" l="1"/>
  <c r="AZ390" s="1"/>
  <c r="AX390"/>
  <c r="BZ2192"/>
  <c r="BY2193"/>
  <c r="BW2192"/>
  <c r="BV2192"/>
  <c r="AW391" l="1"/>
  <c r="BA390"/>
  <c r="BY2194"/>
  <c r="BZ2193"/>
  <c r="BW2193" s="1"/>
  <c r="BV2193"/>
  <c r="AX391" l="1"/>
  <c r="AY391"/>
  <c r="AZ391" s="1"/>
  <c r="BZ2194"/>
  <c r="BW2194" s="1"/>
  <c r="BY2195"/>
  <c r="BV2194"/>
  <c r="BY2196" l="1"/>
  <c r="BZ2195"/>
  <c r="BW2195" s="1"/>
  <c r="BV2195"/>
  <c r="AW392"/>
  <c r="BA391"/>
  <c r="AX392" l="1"/>
  <c r="AY392"/>
  <c r="AZ392" s="1"/>
  <c r="BZ2196"/>
  <c r="BY2197"/>
  <c r="BV2196"/>
  <c r="BW2196"/>
  <c r="AW393" l="1"/>
  <c r="BA392"/>
  <c r="BY2198"/>
  <c r="BV2197"/>
  <c r="BZ2197"/>
  <c r="BW2197" s="1"/>
  <c r="BZ2198" l="1"/>
  <c r="BW2198" s="1"/>
  <c r="BY2199"/>
  <c r="BV2198"/>
  <c r="AX393"/>
  <c r="AY393"/>
  <c r="AZ393" s="1"/>
  <c r="AW394" l="1"/>
  <c r="BA393"/>
  <c r="BY2200"/>
  <c r="BZ2199"/>
  <c r="BV2199"/>
  <c r="BW2199"/>
  <c r="AY394" l="1"/>
  <c r="AZ394" s="1"/>
  <c r="AX394"/>
  <c r="BZ2200"/>
  <c r="BY2201"/>
  <c r="BW2200"/>
  <c r="BV2200"/>
  <c r="AW395" l="1"/>
  <c r="BA394"/>
  <c r="BY2202"/>
  <c r="BZ2201"/>
  <c r="BW2201" s="1"/>
  <c r="BV2201"/>
  <c r="AX395" l="1"/>
  <c r="AY395"/>
  <c r="AZ395" s="1"/>
  <c r="BZ2202"/>
  <c r="BW2202" s="1"/>
  <c r="BV2202"/>
  <c r="BY2203"/>
  <c r="BY2204" l="1"/>
  <c r="BZ2203"/>
  <c r="BW2203" s="1"/>
  <c r="BV2203"/>
  <c r="BA395"/>
  <c r="AW396"/>
  <c r="BZ2204" l="1"/>
  <c r="BW2204" s="1"/>
  <c r="BY2205"/>
  <c r="BV2204"/>
  <c r="AX396"/>
  <c r="AY396"/>
  <c r="AZ396" s="1"/>
  <c r="AW397" l="1"/>
  <c r="BA396"/>
  <c r="BY2206"/>
  <c r="BZ2205"/>
  <c r="BW2205" s="1"/>
  <c r="BV2205"/>
  <c r="AX397" l="1"/>
  <c r="AY397"/>
  <c r="AZ397" s="1"/>
  <c r="BZ2206"/>
  <c r="BY2207"/>
  <c r="BW2206"/>
  <c r="BV2206"/>
  <c r="AW398" l="1"/>
  <c r="BA397"/>
  <c r="BY2208"/>
  <c r="BZ2207"/>
  <c r="BW2207" s="1"/>
  <c r="BV2207"/>
  <c r="AY398" l="1"/>
  <c r="AZ398" s="1"/>
  <c r="AX398"/>
  <c r="BZ2208"/>
  <c r="BY2209"/>
  <c r="BW2208"/>
  <c r="BV2208"/>
  <c r="AW399" l="1"/>
  <c r="BA398"/>
  <c r="BY2210"/>
  <c r="BZ2209"/>
  <c r="BW2209" s="1"/>
  <c r="BV2209"/>
  <c r="AX399" l="1"/>
  <c r="AY399"/>
  <c r="AZ399" s="1"/>
  <c r="BZ2210"/>
  <c r="BW2210" s="1"/>
  <c r="BY2211"/>
  <c r="BV2210"/>
  <c r="BY2212" l="1"/>
  <c r="BZ2211"/>
  <c r="BW2211" s="1"/>
  <c r="BV2211"/>
  <c r="AW400"/>
  <c r="BA399"/>
  <c r="AY400" l="1"/>
  <c r="AZ400" s="1"/>
  <c r="AX400"/>
  <c r="BZ2212"/>
  <c r="BW2212" s="1"/>
  <c r="BY2213"/>
  <c r="BV2212"/>
  <c r="AW401" l="1"/>
  <c r="BA400"/>
  <c r="BY2214"/>
  <c r="BV2213"/>
  <c r="BZ2213"/>
  <c r="BW2213" s="1"/>
  <c r="AX401" l="1"/>
  <c r="AY401"/>
  <c r="AZ401" s="1"/>
  <c r="BZ2214"/>
  <c r="BY2215"/>
  <c r="BW2214"/>
  <c r="BV2214"/>
  <c r="AW402" l="1"/>
  <c r="BA401"/>
  <c r="BY2216"/>
  <c r="BZ2215"/>
  <c r="BW2215" s="1"/>
  <c r="BV2215"/>
  <c r="AY402" l="1"/>
  <c r="AZ402" s="1"/>
  <c r="AX402"/>
  <c r="BZ2216"/>
  <c r="BY2217"/>
  <c r="BW2216"/>
  <c r="BV2216"/>
  <c r="AW403" l="1"/>
  <c r="BA402"/>
  <c r="BY2218"/>
  <c r="BZ2217"/>
  <c r="BW2217" s="1"/>
  <c r="BV2217"/>
  <c r="AX403" l="1"/>
  <c r="AY403"/>
  <c r="AZ403" s="1"/>
  <c r="BZ2218"/>
  <c r="BW2218" s="1"/>
  <c r="BV2218"/>
  <c r="BY2219"/>
  <c r="AW404" l="1"/>
  <c r="BA403"/>
  <c r="BY2220"/>
  <c r="BZ2219"/>
  <c r="BV2219"/>
  <c r="BW2219"/>
  <c r="AX404" l="1"/>
  <c r="AY404"/>
  <c r="AZ404" s="1"/>
  <c r="BZ2220"/>
  <c r="BY2221"/>
  <c r="BV2220"/>
  <c r="BW2220"/>
  <c r="AW405" l="1"/>
  <c r="BA404"/>
  <c r="BY2222"/>
  <c r="BZ2221"/>
  <c r="BW2221" s="1"/>
  <c r="BV2221"/>
  <c r="AX405" l="1"/>
  <c r="AY405"/>
  <c r="AZ405" s="1"/>
  <c r="BZ2222"/>
  <c r="BY2223"/>
  <c r="BW2222"/>
  <c r="BV2222"/>
  <c r="AW406" l="1"/>
  <c r="BA405"/>
  <c r="BY2224"/>
  <c r="BZ2223"/>
  <c r="BW2223" s="1"/>
  <c r="BV2223"/>
  <c r="AY406" l="1"/>
  <c r="AZ406" s="1"/>
  <c r="AX406"/>
  <c r="BZ2224"/>
  <c r="BY2225"/>
  <c r="BW2224"/>
  <c r="BV2224"/>
  <c r="AW407" l="1"/>
  <c r="BA406"/>
  <c r="BY2226"/>
  <c r="BZ2225"/>
  <c r="BW2225" s="1"/>
  <c r="BV2225"/>
  <c r="AX407" l="1"/>
  <c r="AY407"/>
  <c r="AZ407" s="1"/>
  <c r="BZ2226"/>
  <c r="BW2226" s="1"/>
  <c r="BY2227"/>
  <c r="BV2226"/>
  <c r="AW408" l="1"/>
  <c r="BA407"/>
  <c r="BY2228"/>
  <c r="BZ2227"/>
  <c r="BW2227" s="1"/>
  <c r="BV2227"/>
  <c r="AX408" l="1"/>
  <c r="AY408"/>
  <c r="AZ408" s="1"/>
  <c r="BZ2228"/>
  <c r="BW2228" s="1"/>
  <c r="BY2229"/>
  <c r="BV2228"/>
  <c r="AW409" l="1"/>
  <c r="BA408"/>
  <c r="BY2230"/>
  <c r="BV2229"/>
  <c r="BZ2229"/>
  <c r="BW2229" s="1"/>
  <c r="AX409" l="1"/>
  <c r="AY409"/>
  <c r="AZ409" s="1"/>
  <c r="BZ2230"/>
  <c r="BY2231"/>
  <c r="BW2230"/>
  <c r="BV2230"/>
  <c r="AW410" l="1"/>
  <c r="BA409"/>
  <c r="BY2232"/>
  <c r="BZ2231"/>
  <c r="BW2231" s="1"/>
  <c r="BV2231"/>
  <c r="AY410" l="1"/>
  <c r="AZ410" s="1"/>
  <c r="AX410"/>
  <c r="BZ2232"/>
  <c r="BY2233"/>
  <c r="BW2232"/>
  <c r="BV2232"/>
  <c r="AW411" l="1"/>
  <c r="BA410"/>
  <c r="BY2234"/>
  <c r="BZ2233"/>
  <c r="BW2233" s="1"/>
  <c r="BV2233"/>
  <c r="AX411" l="1"/>
  <c r="AY411"/>
  <c r="AZ411" s="1"/>
  <c r="BZ2234"/>
  <c r="BW2234" s="1"/>
  <c r="BV2234"/>
  <c r="BY2235"/>
  <c r="BY2236" l="1"/>
  <c r="BZ2235"/>
  <c r="BW2235" s="1"/>
  <c r="BV2235"/>
  <c r="BA411"/>
  <c r="AW412"/>
  <c r="BZ2236" l="1"/>
  <c r="BW2236" s="1"/>
  <c r="BY2237"/>
  <c r="BV2236"/>
  <c r="AX412"/>
  <c r="AY412"/>
  <c r="AZ412" s="1"/>
  <c r="AW413" l="1"/>
  <c r="BA412"/>
  <c r="BY2238"/>
  <c r="BZ2237"/>
  <c r="BW2237" s="1"/>
  <c r="BV2237"/>
  <c r="AX413" l="1"/>
  <c r="AY413"/>
  <c r="AZ413" s="1"/>
  <c r="BZ2238"/>
  <c r="BY2239"/>
  <c r="BW2238"/>
  <c r="BV2238"/>
  <c r="AW414" l="1"/>
  <c r="BA413"/>
  <c r="BY2240"/>
  <c r="BZ2239"/>
  <c r="BW2239" s="1"/>
  <c r="BV2239"/>
  <c r="AY414" l="1"/>
  <c r="AZ414" s="1"/>
  <c r="AX414"/>
  <c r="BZ2240"/>
  <c r="BY2241"/>
  <c r="BW2240"/>
  <c r="BV2240"/>
  <c r="AW415" l="1"/>
  <c r="BA414"/>
  <c r="BY2242"/>
  <c r="BZ2241"/>
  <c r="BW2241" s="1"/>
  <c r="BV2241"/>
  <c r="AX415" l="1"/>
  <c r="AY415"/>
  <c r="AZ415" s="1"/>
  <c r="BZ2242"/>
  <c r="BW2242" s="1"/>
  <c r="BY2243"/>
  <c r="BV2242"/>
  <c r="BY2244" l="1"/>
  <c r="BZ2243"/>
  <c r="BW2243" s="1"/>
  <c r="BV2243"/>
  <c r="AW416"/>
  <c r="BA415"/>
  <c r="AY416" l="1"/>
  <c r="AZ416" s="1"/>
  <c r="AX416"/>
  <c r="BZ2244"/>
  <c r="BW2244" s="1"/>
  <c r="BY2245"/>
  <c r="BV2244"/>
  <c r="AW417" l="1"/>
  <c r="BA416"/>
  <c r="BY2246"/>
  <c r="BV2245"/>
  <c r="BZ2245"/>
  <c r="BW2245" s="1"/>
  <c r="AX417" l="1"/>
  <c r="AY417"/>
  <c r="AZ417" s="1"/>
  <c r="BZ2246"/>
  <c r="BY2247"/>
  <c r="BW2246"/>
  <c r="BV2246"/>
  <c r="AW418" l="1"/>
  <c r="BA417"/>
  <c r="BY2248"/>
  <c r="BZ2247"/>
  <c r="BW2247" s="1"/>
  <c r="BV2247"/>
  <c r="AY418" l="1"/>
  <c r="AZ418" s="1"/>
  <c r="AX418"/>
  <c r="BZ2248"/>
  <c r="BY2249"/>
  <c r="BW2248"/>
  <c r="BV2248"/>
  <c r="AW419" l="1"/>
  <c r="BA418"/>
  <c r="BY2250"/>
  <c r="BZ2249"/>
  <c r="BW2249" s="1"/>
  <c r="BV2249"/>
  <c r="AX419" l="1"/>
  <c r="AY419"/>
  <c r="AZ419" s="1"/>
  <c r="BZ2250"/>
  <c r="BW2250" s="1"/>
  <c r="BV2250"/>
  <c r="BY2251"/>
  <c r="AW420" l="1"/>
  <c r="BA419"/>
  <c r="BY2252"/>
  <c r="BZ2251"/>
  <c r="BV2251"/>
  <c r="BW2251"/>
  <c r="AX420" l="1"/>
  <c r="AY420"/>
  <c r="AZ420" s="1"/>
  <c r="BZ2252"/>
  <c r="BW2252" s="1"/>
  <c r="BY2253"/>
  <c r="BV2252"/>
  <c r="AW421" l="1"/>
  <c r="BA420"/>
  <c r="BY2254"/>
  <c r="BZ2253"/>
  <c r="BW2253" s="1"/>
  <c r="BV2253"/>
  <c r="AX421" l="1"/>
  <c r="AY421"/>
  <c r="AZ421" s="1"/>
  <c r="BZ2254"/>
  <c r="BY2255"/>
  <c r="BW2254"/>
  <c r="BV2254"/>
  <c r="AW422" l="1"/>
  <c r="BA421"/>
  <c r="BY2256"/>
  <c r="BZ2255"/>
  <c r="BW2255" s="1"/>
  <c r="BV2255"/>
  <c r="AY422" l="1"/>
  <c r="AZ422" s="1"/>
  <c r="AX422"/>
  <c r="BZ2256"/>
  <c r="BY2257"/>
  <c r="BW2256"/>
  <c r="BV2256"/>
  <c r="AW423" l="1"/>
  <c r="BA422"/>
  <c r="BY2258"/>
  <c r="BZ2257"/>
  <c r="BW2257" s="1"/>
  <c r="BV2257"/>
  <c r="AX423" l="1"/>
  <c r="AY423"/>
  <c r="AZ423" s="1"/>
  <c r="BZ2258"/>
  <c r="BW2258" s="1"/>
  <c r="BY2259"/>
  <c r="BV2258"/>
  <c r="AW424" l="1"/>
  <c r="BA423"/>
  <c r="BY2260"/>
  <c r="BZ2259"/>
  <c r="BV2259"/>
  <c r="BW2259"/>
  <c r="AX424" l="1"/>
  <c r="AY424"/>
  <c r="AZ424" s="1"/>
  <c r="BZ2260"/>
  <c r="BY2261"/>
  <c r="BV2260"/>
  <c r="BW2260"/>
  <c r="AW425" l="1"/>
  <c r="BA424"/>
  <c r="BY2262"/>
  <c r="BV2261"/>
  <c r="BZ2261"/>
  <c r="BW2261" s="1"/>
  <c r="AX425" l="1"/>
  <c r="AY425"/>
  <c r="AZ425" s="1"/>
  <c r="BZ2262"/>
  <c r="BY2263"/>
  <c r="BW2262"/>
  <c r="BV2262"/>
  <c r="AW426" l="1"/>
  <c r="BA425"/>
  <c r="BY2264"/>
  <c r="BZ2263"/>
  <c r="BW2263" s="1"/>
  <c r="BV2263"/>
  <c r="AY426" l="1"/>
  <c r="AZ426" s="1"/>
  <c r="AX426"/>
  <c r="BZ2264"/>
  <c r="BY2265"/>
  <c r="BW2264"/>
  <c r="BV2264"/>
  <c r="AW427" l="1"/>
  <c r="BA426"/>
  <c r="BY2266"/>
  <c r="BZ2265"/>
  <c r="BW2265" s="1"/>
  <c r="BV2265"/>
  <c r="AX427" l="1"/>
  <c r="AY427"/>
  <c r="AZ427" s="1"/>
  <c r="BZ2266"/>
  <c r="BW2266" s="1"/>
  <c r="BV2266"/>
  <c r="BY2267"/>
  <c r="BY2268" l="1"/>
  <c r="BZ2267"/>
  <c r="BW2267" s="1"/>
  <c r="BV2267"/>
  <c r="BA427"/>
  <c r="AW428"/>
  <c r="BZ2268" l="1"/>
  <c r="BW2268" s="1"/>
  <c r="BY2269"/>
  <c r="BV2268"/>
  <c r="AX428"/>
  <c r="AY428"/>
  <c r="AZ428" s="1"/>
  <c r="AW429" l="1"/>
  <c r="BA428"/>
  <c r="BY2270"/>
  <c r="BZ2269"/>
  <c r="BW2269" s="1"/>
  <c r="BV2269"/>
  <c r="AX429" l="1"/>
  <c r="AY429"/>
  <c r="AZ429" s="1"/>
  <c r="BZ2270"/>
  <c r="BY2271"/>
  <c r="BW2270"/>
  <c r="BV2270"/>
  <c r="AW430" l="1"/>
  <c r="BA429"/>
  <c r="BY2272"/>
  <c r="BZ2271"/>
  <c r="BW2271" s="1"/>
  <c r="BV2271"/>
  <c r="AY430" l="1"/>
  <c r="AZ430" s="1"/>
  <c r="AX430"/>
  <c r="BZ2272"/>
  <c r="BY2273"/>
  <c r="BW2272"/>
  <c r="BV2272"/>
  <c r="AW431" l="1"/>
  <c r="BA430"/>
  <c r="BY2274"/>
  <c r="BZ2273"/>
  <c r="BW2273" s="1"/>
  <c r="BV2273"/>
  <c r="AX431" l="1"/>
  <c r="AY431"/>
  <c r="AZ431" s="1"/>
  <c r="BZ2274"/>
  <c r="BW2274" s="1"/>
  <c r="BY2275"/>
  <c r="BV2274"/>
  <c r="AW432" l="1"/>
  <c r="BA431"/>
  <c r="BY2276"/>
  <c r="BZ2275"/>
  <c r="BW2275" s="1"/>
  <c r="BV2275"/>
  <c r="AY432" l="1"/>
  <c r="AZ432" s="1"/>
  <c r="AX432"/>
  <c r="BZ2276"/>
  <c r="BW2276" s="1"/>
  <c r="BY2277"/>
  <c r="BV2276"/>
  <c r="AW433" l="1"/>
  <c r="BA432"/>
  <c r="BY2278"/>
  <c r="BV2277"/>
  <c r="BZ2277"/>
  <c r="BW2277" s="1"/>
  <c r="AX433" l="1"/>
  <c r="AY433"/>
  <c r="AZ433" s="1"/>
  <c r="BZ2278"/>
  <c r="BY2279"/>
  <c r="BW2278"/>
  <c r="BV2278"/>
  <c r="AW434" l="1"/>
  <c r="BA433"/>
  <c r="BY2280"/>
  <c r="BZ2279"/>
  <c r="BW2279" s="1"/>
  <c r="BV2279"/>
  <c r="AY434" l="1"/>
  <c r="AZ434" s="1"/>
  <c r="AX434"/>
  <c r="BZ2280"/>
  <c r="BY2281"/>
  <c r="BW2280"/>
  <c r="BV2280"/>
  <c r="AW435" l="1"/>
  <c r="BA434"/>
  <c r="BY2282"/>
  <c r="BZ2281"/>
  <c r="BW2281" s="1"/>
  <c r="BV2281"/>
  <c r="AX435" l="1"/>
  <c r="AY435"/>
  <c r="AZ435" s="1"/>
  <c r="BZ2282"/>
  <c r="BW2282" s="1"/>
  <c r="BV2282"/>
  <c r="BY2283"/>
  <c r="AW436" l="1"/>
  <c r="BA435"/>
  <c r="BY2284"/>
  <c r="BZ2283"/>
  <c r="BW2283" s="1"/>
  <c r="BV2283"/>
  <c r="AX436" l="1"/>
  <c r="AY436"/>
  <c r="AZ436" s="1"/>
  <c r="BZ2284"/>
  <c r="BW2284" s="1"/>
  <c r="BY2285"/>
  <c r="BV2284"/>
  <c r="AW437" l="1"/>
  <c r="BA436"/>
  <c r="BY2286"/>
  <c r="BZ2285"/>
  <c r="BW2285" s="1"/>
  <c r="BV2285"/>
  <c r="AX437" l="1"/>
  <c r="AY437"/>
  <c r="AZ437" s="1"/>
  <c r="BZ2286"/>
  <c r="BY2287"/>
  <c r="BW2286"/>
  <c r="BV2286"/>
  <c r="AW438" l="1"/>
  <c r="BA437"/>
  <c r="BY2288"/>
  <c r="BZ2287"/>
  <c r="BW2287" s="1"/>
  <c r="BV2287"/>
  <c r="AY438" l="1"/>
  <c r="AZ438" s="1"/>
  <c r="AX438"/>
  <c r="BZ2288"/>
  <c r="BY2289"/>
  <c r="BW2288"/>
  <c r="BV2288"/>
  <c r="AW439" l="1"/>
  <c r="BA438"/>
  <c r="BY2290"/>
  <c r="BZ2289"/>
  <c r="BW2289" s="1"/>
  <c r="BV2289"/>
  <c r="AX439" l="1"/>
  <c r="AY439"/>
  <c r="AZ439" s="1"/>
  <c r="BZ2290"/>
  <c r="BW2290" s="1"/>
  <c r="BY2291"/>
  <c r="BV2290"/>
  <c r="BY2292" l="1"/>
  <c r="BZ2291"/>
  <c r="BW2291" s="1"/>
  <c r="BV2291"/>
  <c r="AW440"/>
  <c r="BA439"/>
  <c r="AX440" l="1"/>
  <c r="AY440"/>
  <c r="AZ440" s="1"/>
  <c r="BZ2292"/>
  <c r="BW2292" s="1"/>
  <c r="BY2293"/>
  <c r="BV2292"/>
  <c r="AW441" l="1"/>
  <c r="BA440"/>
  <c r="BY2294"/>
  <c r="BV2293"/>
  <c r="BZ2293"/>
  <c r="BW2293" s="1"/>
  <c r="AX441" l="1"/>
  <c r="AY441"/>
  <c r="AZ441" s="1"/>
  <c r="BZ2294"/>
  <c r="BY2295"/>
  <c r="BW2294"/>
  <c r="BV2294"/>
  <c r="AW442" l="1"/>
  <c r="BA441"/>
  <c r="BY2296"/>
  <c r="BZ2295"/>
  <c r="BW2295" s="1"/>
  <c r="BV2295"/>
  <c r="AY442" l="1"/>
  <c r="AZ442" s="1"/>
  <c r="AX442"/>
  <c r="BZ2296"/>
  <c r="BY2297"/>
  <c r="BW2296"/>
  <c r="BV2296"/>
  <c r="AW443" l="1"/>
  <c r="BA442"/>
  <c r="BY2298"/>
  <c r="BZ2297"/>
  <c r="BW2297" s="1"/>
  <c r="BV2297"/>
  <c r="AX443" l="1"/>
  <c r="AY443"/>
  <c r="AZ443" s="1"/>
  <c r="BZ2298"/>
  <c r="BW2298" s="1"/>
  <c r="BV2298"/>
  <c r="BY2299"/>
  <c r="BA443" l="1"/>
  <c r="AW444"/>
  <c r="BY2300"/>
  <c r="BZ2299"/>
  <c r="BW2299" s="1"/>
  <c r="BV2299"/>
  <c r="AX444" l="1"/>
  <c r="AY444"/>
  <c r="AZ444" s="1"/>
  <c r="BZ2300"/>
  <c r="BW2300" s="1"/>
  <c r="BY2301"/>
  <c r="BV2300"/>
  <c r="AW445" l="1"/>
  <c r="BA444"/>
  <c r="BY2302"/>
  <c r="BZ2301"/>
  <c r="BW2301" s="1"/>
  <c r="BV2301"/>
  <c r="AX445" l="1"/>
  <c r="AY445"/>
  <c r="AZ445" s="1"/>
  <c r="BZ2302"/>
  <c r="BY2303"/>
  <c r="BW2302"/>
  <c r="BV2302"/>
  <c r="AW446" l="1"/>
  <c r="BA445"/>
  <c r="BY2304"/>
  <c r="BZ2303"/>
  <c r="BW2303" s="1"/>
  <c r="BV2303"/>
  <c r="AY446" l="1"/>
  <c r="AZ446" s="1"/>
  <c r="AX446"/>
  <c r="BZ2304"/>
  <c r="BY2305"/>
  <c r="BW2304"/>
  <c r="BV2304"/>
  <c r="AW447" l="1"/>
  <c r="BA446"/>
  <c r="BY2306"/>
  <c r="BZ2305"/>
  <c r="BW2305" s="1"/>
  <c r="BV2305"/>
  <c r="BZ2306" l="1"/>
  <c r="BW2306" s="1"/>
  <c r="BY2307"/>
  <c r="BV2306"/>
  <c r="AX447"/>
  <c r="AY447"/>
  <c r="AZ447" s="1"/>
  <c r="AW448" l="1"/>
  <c r="BA447"/>
  <c r="BY2308"/>
  <c r="BZ2307"/>
  <c r="BW2307" s="1"/>
  <c r="BV2307"/>
  <c r="AY448" l="1"/>
  <c r="AZ448" s="1"/>
  <c r="AX448"/>
  <c r="BZ2308"/>
  <c r="BW2308" s="1"/>
  <c r="BY2309"/>
  <c r="BV2308"/>
  <c r="AW449" l="1"/>
  <c r="BA448"/>
  <c r="BY2310"/>
  <c r="BV2309"/>
  <c r="BZ2309"/>
  <c r="BW2309" s="1"/>
  <c r="AX449" l="1"/>
  <c r="AY449"/>
  <c r="AZ449" s="1"/>
  <c r="BZ2310"/>
  <c r="BY2311"/>
  <c r="BW2310"/>
  <c r="BV2310"/>
  <c r="AW450" l="1"/>
  <c r="BA449"/>
  <c r="BY2312"/>
  <c r="BZ2311"/>
  <c r="BW2311" s="1"/>
  <c r="BV2311"/>
  <c r="AY450" l="1"/>
  <c r="AZ450" s="1"/>
  <c r="AX450"/>
  <c r="BZ2312"/>
  <c r="BY2313"/>
  <c r="BW2312"/>
  <c r="BV2312"/>
  <c r="AW451" l="1"/>
  <c r="BA450"/>
  <c r="BY2314"/>
  <c r="BZ2313"/>
  <c r="BW2313" s="1"/>
  <c r="BV2313"/>
  <c r="AX451" l="1"/>
  <c r="AY451"/>
  <c r="AZ451" s="1"/>
  <c r="BZ2314"/>
  <c r="BW2314" s="1"/>
  <c r="BV2314"/>
  <c r="BY2315"/>
  <c r="BY2316" l="1"/>
  <c r="BZ2315"/>
  <c r="BW2315" s="1"/>
  <c r="BV2315"/>
  <c r="AW452"/>
  <c r="BA451"/>
  <c r="AX452" l="1"/>
  <c r="AY452"/>
  <c r="AZ452" s="1"/>
  <c r="BZ2316"/>
  <c r="BW2316" s="1"/>
  <c r="BY2317"/>
  <c r="BV2316"/>
  <c r="AW453" l="1"/>
  <c r="BA452"/>
  <c r="BY2318"/>
  <c r="BZ2317"/>
  <c r="BW2317" s="1"/>
  <c r="BV2317"/>
  <c r="AX453" l="1"/>
  <c r="AY453"/>
  <c r="AZ453" s="1"/>
  <c r="BZ2318"/>
  <c r="BY2319"/>
  <c r="BW2318"/>
  <c r="BV2318"/>
  <c r="AW454" l="1"/>
  <c r="BA453"/>
  <c r="BY2320"/>
  <c r="BZ2319"/>
  <c r="BW2319" s="1"/>
  <c r="BV2319"/>
  <c r="AY454" l="1"/>
  <c r="AZ454" s="1"/>
  <c r="AX454"/>
  <c r="BZ2320"/>
  <c r="BY2321"/>
  <c r="BW2320"/>
  <c r="BV2320"/>
  <c r="AW455" l="1"/>
  <c r="BA454"/>
  <c r="BY2322"/>
  <c r="BZ2321"/>
  <c r="BW2321" s="1"/>
  <c r="BV2321"/>
  <c r="AX455" l="1"/>
  <c r="AY455"/>
  <c r="AZ455" s="1"/>
  <c r="BZ2322"/>
  <c r="BW2322" s="1"/>
  <c r="BY2323"/>
  <c r="BV2322"/>
  <c r="BY2324" l="1"/>
  <c r="BZ2323"/>
  <c r="BW2323" s="1"/>
  <c r="BV2323"/>
  <c r="AW456"/>
  <c r="BA455"/>
  <c r="AX456" l="1"/>
  <c r="AY456"/>
  <c r="AZ456" s="1"/>
  <c r="BZ2324"/>
  <c r="BW2324" s="1"/>
  <c r="BY2325"/>
  <c r="BV2324"/>
  <c r="AW457" l="1"/>
  <c r="BA456"/>
  <c r="BY2326"/>
  <c r="BV2325"/>
  <c r="BZ2325"/>
  <c r="BW2325" s="1"/>
  <c r="AX457" l="1"/>
  <c r="AY457"/>
  <c r="AZ457" s="1"/>
  <c r="BZ2326"/>
  <c r="BY2327"/>
  <c r="BW2326"/>
  <c r="BV2326"/>
  <c r="AW458" l="1"/>
  <c r="BA457"/>
  <c r="BY2328"/>
  <c r="BZ2327"/>
  <c r="BW2327" s="1"/>
  <c r="BV2327"/>
  <c r="AY458" l="1"/>
  <c r="AZ458" s="1"/>
  <c r="AX458"/>
  <c r="BZ2328"/>
  <c r="BY2329"/>
  <c r="BW2328"/>
  <c r="BV2328"/>
  <c r="AW459" l="1"/>
  <c r="BA458"/>
  <c r="BY2330"/>
  <c r="BZ2329"/>
  <c r="BW2329" s="1"/>
  <c r="BV2329"/>
  <c r="AX459" l="1"/>
  <c r="AY459"/>
  <c r="AZ459" s="1"/>
  <c r="BZ2330"/>
  <c r="BW2330" s="1"/>
  <c r="BV2330"/>
  <c r="BY2331"/>
  <c r="BA459" l="1"/>
  <c r="AW460"/>
  <c r="BY2332"/>
  <c r="BZ2331"/>
  <c r="BW2331" s="1"/>
  <c r="BV2331"/>
  <c r="AX460" l="1"/>
  <c r="AY460"/>
  <c r="AZ460" s="1"/>
  <c r="BZ2332"/>
  <c r="BW2332" s="1"/>
  <c r="BY2333"/>
  <c r="BV2332"/>
  <c r="AW461" l="1"/>
  <c r="BA460"/>
  <c r="BY2334"/>
  <c r="BZ2333"/>
  <c r="BW2333" s="1"/>
  <c r="BV2333"/>
  <c r="AX461" l="1"/>
  <c r="AY461"/>
  <c r="AZ461" s="1"/>
  <c r="BZ2334"/>
  <c r="BY2335"/>
  <c r="BW2334"/>
  <c r="BV2334"/>
  <c r="AW462" l="1"/>
  <c r="BA461"/>
  <c r="BY2336"/>
  <c r="BZ2335"/>
  <c r="BW2335" s="1"/>
  <c r="BV2335"/>
  <c r="AY462" l="1"/>
  <c r="AZ462" s="1"/>
  <c r="AX462"/>
  <c r="BZ2336"/>
  <c r="BY2337"/>
  <c r="BW2336"/>
  <c r="BV2336"/>
  <c r="AW463" l="1"/>
  <c r="BA462"/>
  <c r="BY2338"/>
  <c r="BZ2337"/>
  <c r="BW2337" s="1"/>
  <c r="BV2337"/>
  <c r="AX463" l="1"/>
  <c r="AY463"/>
  <c r="AZ463" s="1"/>
  <c r="BZ2338"/>
  <c r="BW2338" s="1"/>
  <c r="BY2339"/>
  <c r="BV2338"/>
  <c r="BY2340" l="1"/>
  <c r="BZ2339"/>
  <c r="BW2339" s="1"/>
  <c r="BV2339"/>
  <c r="AW464"/>
  <c r="BA463"/>
  <c r="AY464" l="1"/>
  <c r="AZ464" s="1"/>
  <c r="AX464"/>
  <c r="BZ2340"/>
  <c r="BW2340" s="1"/>
  <c r="BY2341"/>
  <c r="BV2340"/>
  <c r="AW465" l="1"/>
  <c r="BA464"/>
  <c r="BY2342"/>
  <c r="BV2341"/>
  <c r="BZ2341"/>
  <c r="BW2341" s="1"/>
  <c r="AX465" l="1"/>
  <c r="AY465"/>
  <c r="AZ465" s="1"/>
  <c r="BZ2342"/>
  <c r="BY2343"/>
  <c r="BW2342"/>
  <c r="BV2342"/>
  <c r="AW466" l="1"/>
  <c r="BA465"/>
  <c r="BY2344"/>
  <c r="BZ2343"/>
  <c r="BW2343" s="1"/>
  <c r="BV2343"/>
  <c r="AY466" l="1"/>
  <c r="AZ466" s="1"/>
  <c r="AX466"/>
  <c r="BZ2344"/>
  <c r="BY2345"/>
  <c r="BW2344"/>
  <c r="BV2344"/>
  <c r="AW467" l="1"/>
  <c r="BA466"/>
  <c r="BY2346"/>
  <c r="BZ2345"/>
  <c r="BW2345" s="1"/>
  <c r="BV2345"/>
  <c r="AX467" l="1"/>
  <c r="AY467"/>
  <c r="AZ467" s="1"/>
  <c r="BZ2346"/>
  <c r="BW2346" s="1"/>
  <c r="BV2346"/>
  <c r="BY2347"/>
  <c r="BY2348" l="1"/>
  <c r="BZ2347"/>
  <c r="BW2347" s="1"/>
  <c r="BV2347"/>
  <c r="AW468"/>
  <c r="BA467"/>
  <c r="AX468" l="1"/>
  <c r="AY468"/>
  <c r="AZ468" s="1"/>
  <c r="BZ2348"/>
  <c r="BW2348" s="1"/>
  <c r="BY2349"/>
  <c r="BV2348"/>
  <c r="AW469" l="1"/>
  <c r="BA468"/>
  <c r="BY2350"/>
  <c r="BZ2349"/>
  <c r="BW2349" s="1"/>
  <c r="BV2349"/>
  <c r="AX469" l="1"/>
  <c r="AY469"/>
  <c r="AZ469" s="1"/>
  <c r="BZ2350"/>
  <c r="BY2351"/>
  <c r="BW2350"/>
  <c r="BV2350"/>
  <c r="AW470" l="1"/>
  <c r="BA469"/>
  <c r="BY2352"/>
  <c r="BZ2351"/>
  <c r="BW2351" s="1"/>
  <c r="BV2351"/>
  <c r="AY470" l="1"/>
  <c r="AZ470" s="1"/>
  <c r="AX470"/>
  <c r="BZ2352"/>
  <c r="BY2353"/>
  <c r="BW2352"/>
  <c r="BV2352"/>
  <c r="AW471" l="1"/>
  <c r="BA470"/>
  <c r="BY2354"/>
  <c r="BZ2353"/>
  <c r="BW2353" s="1"/>
  <c r="BV2353"/>
  <c r="AX471" l="1"/>
  <c r="AY471"/>
  <c r="AZ471" s="1"/>
  <c r="BZ2354"/>
  <c r="BW2354" s="1"/>
  <c r="BY2355"/>
  <c r="BV2354"/>
  <c r="BY2356" l="1"/>
  <c r="BZ2355"/>
  <c r="BW2355" s="1"/>
  <c r="BV2355"/>
  <c r="AW472"/>
  <c r="BA471"/>
  <c r="AX472" l="1"/>
  <c r="AY472"/>
  <c r="AZ472" s="1"/>
  <c r="BZ2356"/>
  <c r="BY2357"/>
  <c r="BW2356"/>
  <c r="BV2356"/>
  <c r="AW473" l="1"/>
  <c r="BA472"/>
  <c r="BY2358"/>
  <c r="BV2357"/>
  <c r="BZ2357"/>
  <c r="BW2357" s="1"/>
  <c r="AX473" l="1"/>
  <c r="AY473"/>
  <c r="AZ473" s="1"/>
  <c r="BZ2358"/>
  <c r="BY2359"/>
  <c r="BW2358"/>
  <c r="BV2358"/>
  <c r="AW474" l="1"/>
  <c r="BA473"/>
  <c r="BY2360"/>
  <c r="BZ2359"/>
  <c r="BW2359" s="1"/>
  <c r="BV2359"/>
  <c r="AY474" l="1"/>
  <c r="AZ474" s="1"/>
  <c r="AX474"/>
  <c r="BZ2360"/>
  <c r="BY2361"/>
  <c r="BW2360"/>
  <c r="BV2360"/>
  <c r="AW475" l="1"/>
  <c r="BA474"/>
  <c r="BY2362"/>
  <c r="BZ2361"/>
  <c r="BW2361" s="1"/>
  <c r="BV2361"/>
  <c r="AX475" l="1"/>
  <c r="AY475"/>
  <c r="AZ475" s="1"/>
  <c r="BZ2362"/>
  <c r="BW2362" s="1"/>
  <c r="BV2362"/>
  <c r="BY2363"/>
  <c r="BA475" l="1"/>
  <c r="AW476"/>
  <c r="BY2364"/>
  <c r="BZ2363"/>
  <c r="BW2363" s="1"/>
  <c r="BV2363"/>
  <c r="AX476" l="1"/>
  <c r="AY476"/>
  <c r="AZ476" s="1"/>
  <c r="BZ2364"/>
  <c r="BW2364" s="1"/>
  <c r="BY2365"/>
  <c r="BV2364"/>
  <c r="AW477" l="1"/>
  <c r="BA476"/>
  <c r="BY2366"/>
  <c r="BZ2365"/>
  <c r="BW2365" s="1"/>
  <c r="BV2365"/>
  <c r="AX477" l="1"/>
  <c r="AY477"/>
  <c r="AZ477" s="1"/>
  <c r="BZ2366"/>
  <c r="BY2367"/>
  <c r="BW2366"/>
  <c r="BV2366"/>
  <c r="AW478" l="1"/>
  <c r="BA477"/>
  <c r="BY2368"/>
  <c r="BZ2367"/>
  <c r="BW2367" s="1"/>
  <c r="BV2367"/>
  <c r="AY478" l="1"/>
  <c r="AZ478" s="1"/>
  <c r="AX478"/>
  <c r="BZ2368"/>
  <c r="BY2369"/>
  <c r="BW2368"/>
  <c r="BV2368"/>
  <c r="AW479" l="1"/>
  <c r="BA478"/>
  <c r="BY2370"/>
  <c r="BZ2369"/>
  <c r="BW2369" s="1"/>
  <c r="BV2369"/>
  <c r="AX479" l="1"/>
  <c r="AY479"/>
  <c r="AZ479" s="1"/>
  <c r="BZ2370"/>
  <c r="BW2370" s="1"/>
  <c r="BY2371"/>
  <c r="BV2370"/>
  <c r="BY2372" l="1"/>
  <c r="BZ2371"/>
  <c r="BW2371" s="1"/>
  <c r="BV2371"/>
  <c r="AW480"/>
  <c r="BA479"/>
  <c r="BZ2372" l="1"/>
  <c r="BW2372" s="1"/>
  <c r="BY2373"/>
  <c r="BV2372"/>
  <c r="AY480"/>
  <c r="AZ480" s="1"/>
  <c r="AX480"/>
  <c r="AW481" l="1"/>
  <c r="BA480"/>
  <c r="BY2374"/>
  <c r="BV2373"/>
  <c r="BZ2373"/>
  <c r="BW2373" s="1"/>
  <c r="AX481" l="1"/>
  <c r="AY481"/>
  <c r="AZ481" s="1"/>
  <c r="BZ2374"/>
  <c r="BY2375"/>
  <c r="BW2374"/>
  <c r="BV2374"/>
  <c r="AW482" l="1"/>
  <c r="BA481"/>
  <c r="BY2376"/>
  <c r="BZ2375"/>
  <c r="BW2375" s="1"/>
  <c r="BV2375"/>
  <c r="AY482" l="1"/>
  <c r="AZ482" s="1"/>
  <c r="AX482"/>
  <c r="BZ2376"/>
  <c r="BY2377"/>
  <c r="BW2376"/>
  <c r="BV2376"/>
  <c r="AW483" l="1"/>
  <c r="BA482"/>
  <c r="BY2378"/>
  <c r="BZ2377"/>
  <c r="BW2377" s="1"/>
  <c r="BV2377"/>
  <c r="AX483" l="1"/>
  <c r="AY483"/>
  <c r="AZ483" s="1"/>
  <c r="BZ2378"/>
  <c r="BW2378" s="1"/>
  <c r="BV2378"/>
  <c r="BY2379"/>
  <c r="AW484" l="1"/>
  <c r="BA483"/>
  <c r="BY2380"/>
  <c r="BZ2379"/>
  <c r="BV2379"/>
  <c r="BW2379"/>
  <c r="AX484" l="1"/>
  <c r="AY484"/>
  <c r="AZ484" s="1"/>
  <c r="BZ2380"/>
  <c r="BW2380" s="1"/>
  <c r="BY2381"/>
  <c r="BV2380"/>
  <c r="AW485" l="1"/>
  <c r="BA484"/>
  <c r="BY2382"/>
  <c r="BZ2381"/>
  <c r="BW2381" s="1"/>
  <c r="BV2381"/>
  <c r="AX485" l="1"/>
  <c r="AY485"/>
  <c r="AZ485" s="1"/>
  <c r="BZ2382"/>
  <c r="BY2383"/>
  <c r="BW2382"/>
  <c r="BV2382"/>
  <c r="AW486" l="1"/>
  <c r="BA485"/>
  <c r="BY2384"/>
  <c r="BZ2383"/>
  <c r="BV2383"/>
  <c r="BW2383"/>
  <c r="AY486" l="1"/>
  <c r="AZ486" s="1"/>
  <c r="AX486"/>
  <c r="BZ2384"/>
  <c r="BY2385"/>
  <c r="BW2384"/>
  <c r="BV2384"/>
  <c r="AW487" l="1"/>
  <c r="BA486"/>
  <c r="BY2386"/>
  <c r="BZ2385"/>
  <c r="BW2385" s="1"/>
  <c r="BV2385"/>
  <c r="AX487" l="1"/>
  <c r="AY487"/>
  <c r="AZ487" s="1"/>
  <c r="BZ2386"/>
  <c r="BW2386" s="1"/>
  <c r="BY2387"/>
  <c r="BV2386"/>
  <c r="BY2388" l="1"/>
  <c r="BZ2387"/>
  <c r="BW2387" s="1"/>
  <c r="BV2387"/>
  <c r="AW488"/>
  <c r="BA487"/>
  <c r="BZ2388" l="1"/>
  <c r="BW2388" s="1"/>
  <c r="BY2389"/>
  <c r="BV2388"/>
  <c r="AX488"/>
  <c r="AY488"/>
  <c r="AZ488" s="1"/>
  <c r="AW489" l="1"/>
  <c r="BA488"/>
  <c r="BY2390"/>
  <c r="BV2389"/>
  <c r="BZ2389"/>
  <c r="BW2389" s="1"/>
  <c r="AX489" l="1"/>
  <c r="AY489"/>
  <c r="AZ489" s="1"/>
  <c r="BZ2390"/>
  <c r="BY2391"/>
  <c r="BW2390"/>
  <c r="BV2390"/>
  <c r="AW490" l="1"/>
  <c r="BA489"/>
  <c r="BY2392"/>
  <c r="BZ2391"/>
  <c r="BW2391" s="1"/>
  <c r="BV2391"/>
  <c r="AY490" l="1"/>
  <c r="AZ490" s="1"/>
  <c r="AX490"/>
  <c r="BZ2392"/>
  <c r="BY2393"/>
  <c r="BW2392"/>
  <c r="BV2392"/>
  <c r="AW491" l="1"/>
  <c r="BA490"/>
  <c r="BY2394"/>
  <c r="BZ2393"/>
  <c r="BW2393" s="1"/>
  <c r="BV2393"/>
  <c r="AX491" l="1"/>
  <c r="AY491"/>
  <c r="AZ491" s="1"/>
  <c r="BZ2394"/>
  <c r="BW2394" s="1"/>
  <c r="BV2394"/>
  <c r="BY2395"/>
  <c r="BY2396" l="1"/>
  <c r="BZ2395"/>
  <c r="BW2395" s="1"/>
  <c r="BV2395"/>
  <c r="BA491"/>
  <c r="AW492"/>
  <c r="BZ2396" l="1"/>
  <c r="BW2396" s="1"/>
  <c r="BY2397"/>
  <c r="BV2396"/>
  <c r="AX492"/>
  <c r="AY492"/>
  <c r="AZ492" s="1"/>
  <c r="AW493" l="1"/>
  <c r="BA492"/>
  <c r="BY2398"/>
  <c r="BZ2397"/>
  <c r="BW2397" s="1"/>
  <c r="BV2397"/>
  <c r="AX493" l="1"/>
  <c r="AY493"/>
  <c r="AZ493" s="1"/>
  <c r="BZ2398"/>
  <c r="BY2399"/>
  <c r="BW2398"/>
  <c r="BV2398"/>
  <c r="AW494" l="1"/>
  <c r="BA493"/>
  <c r="BY2400"/>
  <c r="BZ2399"/>
  <c r="BW2399" s="1"/>
  <c r="BV2399"/>
  <c r="AY494" l="1"/>
  <c r="AZ494" s="1"/>
  <c r="AX494"/>
  <c r="BZ2400"/>
  <c r="BY2401"/>
  <c r="BW2400"/>
  <c r="BV2400"/>
  <c r="AW495" l="1"/>
  <c r="BA494"/>
  <c r="BY2402"/>
  <c r="BZ2401"/>
  <c r="BW2401" s="1"/>
  <c r="BV2401"/>
  <c r="AX495" l="1"/>
  <c r="AY495"/>
  <c r="AZ495" s="1"/>
  <c r="BZ2402"/>
  <c r="BW2402" s="1"/>
  <c r="BY2403"/>
  <c r="BV2402"/>
  <c r="BY2404" l="1"/>
  <c r="BZ2403"/>
  <c r="BW2403" s="1"/>
  <c r="BV2403"/>
  <c r="AW496"/>
  <c r="BA495"/>
  <c r="BZ2404" l="1"/>
  <c r="BW2404" s="1"/>
  <c r="BY2405"/>
  <c r="BV2404"/>
  <c r="AY496"/>
  <c r="AZ496" s="1"/>
  <c r="AX496"/>
  <c r="AW497" l="1"/>
  <c r="BA496"/>
  <c r="BY2406"/>
  <c r="BV2405"/>
  <c r="BZ2405"/>
  <c r="BW2405" s="1"/>
  <c r="AX497" l="1"/>
  <c r="AY497"/>
  <c r="AZ497" s="1"/>
  <c r="BZ2406"/>
  <c r="BY2407"/>
  <c r="BW2406"/>
  <c r="BV2406"/>
  <c r="AW498" l="1"/>
  <c r="BA497"/>
  <c r="BY2408"/>
  <c r="BZ2407"/>
  <c r="BW2407" s="1"/>
  <c r="BV2407"/>
  <c r="AY498" l="1"/>
  <c r="AZ498" s="1"/>
  <c r="AX498"/>
  <c r="BZ2408"/>
  <c r="BY2409"/>
  <c r="BW2408"/>
  <c r="BV2408"/>
  <c r="AW499" l="1"/>
  <c r="BA498"/>
  <c r="BY2410"/>
  <c r="BZ2409"/>
  <c r="BW2409" s="1"/>
  <c r="BV2409"/>
  <c r="AX499" l="1"/>
  <c r="AY499"/>
  <c r="AZ499" s="1"/>
  <c r="BZ2410"/>
  <c r="BW2410" s="1"/>
  <c r="BV2410"/>
  <c r="BY2411"/>
  <c r="AW500" l="1"/>
  <c r="BA499"/>
  <c r="BY2412"/>
  <c r="BZ2411"/>
  <c r="BV2411"/>
  <c r="BW2411"/>
  <c r="AX500" l="1"/>
  <c r="AY500"/>
  <c r="AZ500" s="1"/>
  <c r="BZ2412"/>
  <c r="BW2412" s="1"/>
  <c r="BY2413"/>
  <c r="BV2412"/>
  <c r="AW501" l="1"/>
  <c r="BA500"/>
  <c r="BY2414"/>
  <c r="BZ2413"/>
  <c r="BW2413" s="1"/>
  <c r="BV2413"/>
  <c r="AX501" l="1"/>
  <c r="AY501"/>
  <c r="AZ501" s="1"/>
  <c r="BZ2414"/>
  <c r="BY2415"/>
  <c r="BW2414"/>
  <c r="BV2414"/>
  <c r="AW502" l="1"/>
  <c r="BA501"/>
  <c r="BY2416"/>
  <c r="BZ2415"/>
  <c r="BW2415" s="1"/>
  <c r="BV2415"/>
  <c r="AY502" l="1"/>
  <c r="AZ502" s="1"/>
  <c r="AX502"/>
  <c r="BZ2416"/>
  <c r="BY2417"/>
  <c r="BW2416"/>
  <c r="BV2416"/>
  <c r="AW503" l="1"/>
  <c r="BA502"/>
  <c r="BY2418"/>
  <c r="BZ2417"/>
  <c r="BW2417" s="1"/>
  <c r="BV2417"/>
  <c r="AX503" l="1"/>
  <c r="AY503"/>
  <c r="AZ503" s="1"/>
  <c r="BZ2418"/>
  <c r="BW2418" s="1"/>
  <c r="BY2419"/>
  <c r="BV2418"/>
  <c r="AW504" l="1"/>
  <c r="BA503"/>
  <c r="BY2420"/>
  <c r="BZ2419"/>
  <c r="BW2419" s="1"/>
  <c r="BV2419"/>
  <c r="AX504" l="1"/>
  <c r="AY504"/>
  <c r="AZ504" s="1"/>
  <c r="BZ2420"/>
  <c r="BY2421"/>
  <c r="BV2420"/>
  <c r="BW2420"/>
  <c r="AW505" l="1"/>
  <c r="BA504"/>
  <c r="BY2422"/>
  <c r="BV2421"/>
  <c r="BZ2421"/>
  <c r="BW2421" s="1"/>
  <c r="AX505" l="1"/>
  <c r="AY505"/>
  <c r="AZ505" s="1"/>
  <c r="BZ2422"/>
  <c r="BY2423"/>
  <c r="BW2422"/>
  <c r="BV2422"/>
  <c r="AW506" l="1"/>
  <c r="BA505"/>
  <c r="BY2424"/>
  <c r="BZ2423"/>
  <c r="BW2423" s="1"/>
  <c r="BV2423"/>
  <c r="AY506" l="1"/>
  <c r="AZ506" s="1"/>
  <c r="AX506"/>
  <c r="BZ2424"/>
  <c r="BY2425"/>
  <c r="BW2424"/>
  <c r="BV2424"/>
  <c r="AW507" l="1"/>
  <c r="BA506"/>
  <c r="BY2426"/>
  <c r="BZ2425"/>
  <c r="BW2425" s="1"/>
  <c r="BV2425"/>
  <c r="AX507" l="1"/>
  <c r="AY507"/>
  <c r="AZ507" s="1"/>
  <c r="BZ2426"/>
  <c r="BW2426" s="1"/>
  <c r="BV2426"/>
  <c r="BY2427"/>
  <c r="BA507" l="1"/>
  <c r="AW508"/>
  <c r="BY2428"/>
  <c r="BZ2427"/>
  <c r="BW2427" s="1"/>
  <c r="BV2427"/>
  <c r="AX508" l="1"/>
  <c r="AY508"/>
  <c r="AZ508" s="1"/>
  <c r="BZ2428"/>
  <c r="BW2428" s="1"/>
  <c r="BY2429"/>
  <c r="BV2428"/>
  <c r="AW509" l="1"/>
  <c r="BA508"/>
  <c r="BY2430"/>
  <c r="BZ2429"/>
  <c r="BW2429" s="1"/>
  <c r="BV2429"/>
  <c r="AX509" l="1"/>
  <c r="AY509"/>
  <c r="AZ509" s="1"/>
  <c r="BZ2430"/>
  <c r="BY2431"/>
  <c r="BW2430"/>
  <c r="BV2430"/>
  <c r="AW510" l="1"/>
  <c r="BA509"/>
  <c r="BY2432"/>
  <c r="BZ2431"/>
  <c r="BV2431"/>
  <c r="BW2431"/>
  <c r="AY510" l="1"/>
  <c r="AZ510" s="1"/>
  <c r="AX510"/>
  <c r="BZ2432"/>
  <c r="BY2433"/>
  <c r="BW2432"/>
  <c r="BV2432"/>
  <c r="AW511" l="1"/>
  <c r="BA510"/>
  <c r="BY2434"/>
  <c r="BW2433"/>
  <c r="BZ2433"/>
  <c r="BV2433"/>
  <c r="AX511" l="1"/>
  <c r="AY511"/>
  <c r="AZ511" s="1"/>
  <c r="BZ2434"/>
  <c r="BW2434" s="1"/>
  <c r="BY2435"/>
  <c r="BV2434"/>
  <c r="AW512" l="1"/>
  <c r="BA511"/>
  <c r="BY2436"/>
  <c r="BZ2435"/>
  <c r="BW2435" s="1"/>
  <c r="BV2435"/>
  <c r="AY512" l="1"/>
  <c r="AZ512" s="1"/>
  <c r="AX512"/>
  <c r="BZ2436"/>
  <c r="BY2437"/>
  <c r="BV2436"/>
  <c r="BW2436"/>
  <c r="AW513" l="1"/>
  <c r="BA512"/>
  <c r="BY2438"/>
  <c r="BV2437"/>
  <c r="BZ2437"/>
  <c r="BW2437" s="1"/>
  <c r="AX513" l="1"/>
  <c r="AY513"/>
  <c r="AZ513" s="1"/>
  <c r="BZ2438"/>
  <c r="BY2439"/>
  <c r="BW2438"/>
  <c r="BV2438"/>
  <c r="AW514" l="1"/>
  <c r="BA513"/>
  <c r="BY2440"/>
  <c r="BZ2439"/>
  <c r="BW2439" s="1"/>
  <c r="BV2439"/>
  <c r="AY514" l="1"/>
  <c r="AZ514" s="1"/>
  <c r="AX514"/>
  <c r="BZ2440"/>
  <c r="BY2441"/>
  <c r="BW2440"/>
  <c r="BV2440"/>
  <c r="AW515" l="1"/>
  <c r="BB115" s="1"/>
  <c r="BA514"/>
  <c r="BY2442"/>
  <c r="BZ2441"/>
  <c r="BW2441" s="1"/>
  <c r="BV2441"/>
  <c r="BC115" l="1"/>
  <c r="BD115"/>
  <c r="BE115" s="1"/>
  <c r="BZ2442"/>
  <c r="BW2442" s="1"/>
  <c r="BV2442"/>
  <c r="BY2443"/>
  <c r="BB116" l="1"/>
  <c r="BF115"/>
  <c r="BY2444"/>
  <c r="BZ2443"/>
  <c r="BW2443" s="1"/>
  <c r="BV2443"/>
  <c r="BD116" l="1"/>
  <c r="BE116" s="1"/>
  <c r="BC116"/>
  <c r="BZ2444"/>
  <c r="BW2444" s="1"/>
  <c r="BY2445"/>
  <c r="BV2444"/>
  <c r="BB117" l="1"/>
  <c r="BF116"/>
  <c r="BY2446"/>
  <c r="BZ2445"/>
  <c r="BW2445" s="1"/>
  <c r="BV2445"/>
  <c r="BD117" l="1"/>
  <c r="BE117" s="1"/>
  <c r="BC117"/>
  <c r="BZ2446"/>
  <c r="BY2447"/>
  <c r="BW2446"/>
  <c r="BV2446"/>
  <c r="BB118" l="1"/>
  <c r="BF117"/>
  <c r="BY2448"/>
  <c r="BZ2447"/>
  <c r="BW2447" s="1"/>
  <c r="BV2447"/>
  <c r="BD118" l="1"/>
  <c r="BE118" s="1"/>
  <c r="BC118"/>
  <c r="BZ2448"/>
  <c r="BY2449"/>
  <c r="BW2448"/>
  <c r="BV2448"/>
  <c r="BB119" l="1"/>
  <c r="BF118"/>
  <c r="BY2450"/>
  <c r="BZ2449"/>
  <c r="BW2449" s="1"/>
  <c r="BV2449"/>
  <c r="BC119" l="1"/>
  <c r="BD119"/>
  <c r="BE119" s="1"/>
  <c r="BZ2450"/>
  <c r="BW2450" s="1"/>
  <c r="BY2451"/>
  <c r="BV2450"/>
  <c r="BY2452" l="1"/>
  <c r="BZ2451"/>
  <c r="BW2451" s="1"/>
  <c r="BV2451"/>
  <c r="BB120"/>
  <c r="BF119"/>
  <c r="BC120" l="1"/>
  <c r="BD120"/>
  <c r="BE120" s="1"/>
  <c r="BZ2452"/>
  <c r="BW2452" s="1"/>
  <c r="BY2453"/>
  <c r="BV2452"/>
  <c r="BB121" l="1"/>
  <c r="BF120"/>
  <c r="BY2454"/>
  <c r="BV2453"/>
  <c r="BZ2453"/>
  <c r="BW2453" s="1"/>
  <c r="BD121" l="1"/>
  <c r="BE121" s="1"/>
  <c r="BC121"/>
  <c r="BZ2454"/>
  <c r="BY2455"/>
  <c r="BW2454"/>
  <c r="BV2454"/>
  <c r="BB122" l="1"/>
  <c r="BF121"/>
  <c r="BY2456"/>
  <c r="BZ2455"/>
  <c r="BW2455" s="1"/>
  <c r="BV2455"/>
  <c r="BD122" l="1"/>
  <c r="BE122" s="1"/>
  <c r="BC122"/>
  <c r="BZ2456"/>
  <c r="BY2457"/>
  <c r="BW2456"/>
  <c r="BV2456"/>
  <c r="BB123" l="1"/>
  <c r="BF122"/>
  <c r="BY2458"/>
  <c r="BZ2457"/>
  <c r="BW2457" s="1"/>
  <c r="BV2457"/>
  <c r="BC123" l="1"/>
  <c r="BD123"/>
  <c r="BE123" s="1"/>
  <c r="BZ2458"/>
  <c r="BW2458" s="1"/>
  <c r="BV2458"/>
  <c r="BY2459"/>
  <c r="BY2460" l="1"/>
  <c r="BZ2459"/>
  <c r="BW2459" s="1"/>
  <c r="BV2459"/>
  <c r="BB124"/>
  <c r="BF123"/>
  <c r="BD124" l="1"/>
  <c r="BE124" s="1"/>
  <c r="BC124"/>
  <c r="BZ2460"/>
  <c r="BW2460" s="1"/>
  <c r="BY2461"/>
  <c r="BV2460"/>
  <c r="BB125" l="1"/>
  <c r="BF124"/>
  <c r="BY2462"/>
  <c r="BZ2461"/>
  <c r="BW2461" s="1"/>
  <c r="BV2461"/>
  <c r="BC125" l="1"/>
  <c r="BD125"/>
  <c r="BE125" s="1"/>
  <c r="BZ2462"/>
  <c r="BY2463"/>
  <c r="BW2462"/>
  <c r="BV2462"/>
  <c r="BB126" l="1"/>
  <c r="BF125"/>
  <c r="BY2464"/>
  <c r="BZ2463"/>
  <c r="BW2463" s="1"/>
  <c r="BV2463"/>
  <c r="BD126" l="1"/>
  <c r="BE126" s="1"/>
  <c r="BC126"/>
  <c r="BZ2464"/>
  <c r="BY2465"/>
  <c r="BW2464"/>
  <c r="BV2464"/>
  <c r="BB127" l="1"/>
  <c r="BF126"/>
  <c r="BY2466"/>
  <c r="BZ2465"/>
  <c r="BW2465" s="1"/>
  <c r="BV2465"/>
  <c r="BC127" l="1"/>
  <c r="BD127"/>
  <c r="BE127" s="1"/>
  <c r="BZ2466"/>
  <c r="BW2466" s="1"/>
  <c r="BY2467"/>
  <c r="BV2466"/>
  <c r="BB128" l="1"/>
  <c r="BF127"/>
  <c r="BY2468"/>
  <c r="BZ2467"/>
  <c r="BW2467" s="1"/>
  <c r="BV2467"/>
  <c r="BD128" l="1"/>
  <c r="BE128" s="1"/>
  <c r="BC128"/>
  <c r="BZ2468"/>
  <c r="BW2468" s="1"/>
  <c r="BY2469"/>
  <c r="BV2468"/>
  <c r="BB129" l="1"/>
  <c r="BF128"/>
  <c r="BY2470"/>
  <c r="BV2469"/>
  <c r="BZ2469"/>
  <c r="BW2469" s="1"/>
  <c r="BC129" l="1"/>
  <c r="BD129"/>
  <c r="BE129" s="1"/>
  <c r="BZ2470"/>
  <c r="BY2471"/>
  <c r="BW2470"/>
  <c r="BV2470"/>
  <c r="BB130" l="1"/>
  <c r="BF129"/>
  <c r="BY2472"/>
  <c r="BZ2471"/>
  <c r="BV2471"/>
  <c r="BW2471"/>
  <c r="BC130" l="1"/>
  <c r="BD130"/>
  <c r="BE130" s="1"/>
  <c r="BZ2472"/>
  <c r="BY2473"/>
  <c r="BW2472"/>
  <c r="BV2472"/>
  <c r="BB131" l="1"/>
  <c r="BF130"/>
  <c r="BY2474"/>
  <c r="BZ2473"/>
  <c r="BW2473" s="1"/>
  <c r="BV2473"/>
  <c r="BC131" l="1"/>
  <c r="BD131"/>
  <c r="BE131" s="1"/>
  <c r="BZ2474"/>
  <c r="BW2474" s="1"/>
  <c r="BV2474"/>
  <c r="BY2475"/>
  <c r="BY2476" l="1"/>
  <c r="BZ2475"/>
  <c r="BW2475" s="1"/>
  <c r="BV2475"/>
  <c r="BB132"/>
  <c r="BF131"/>
  <c r="BD132" l="1"/>
  <c r="BE132" s="1"/>
  <c r="BC132"/>
  <c r="BZ2476"/>
  <c r="BW2476" s="1"/>
  <c r="BY2477"/>
  <c r="BV2476"/>
  <c r="BB133" l="1"/>
  <c r="BF132"/>
  <c r="BY2478"/>
  <c r="BZ2477"/>
  <c r="BW2477" s="1"/>
  <c r="BV2477"/>
  <c r="BC133" l="1"/>
  <c r="BD133"/>
  <c r="BE133" s="1"/>
  <c r="BZ2478"/>
  <c r="BY2479"/>
  <c r="BW2478"/>
  <c r="BV2478"/>
  <c r="BB134" l="1"/>
  <c r="BF133"/>
  <c r="BY2480"/>
  <c r="BZ2479"/>
  <c r="BV2479"/>
  <c r="BW2479"/>
  <c r="BD134" l="1"/>
  <c r="BE134" s="1"/>
  <c r="BC134"/>
  <c r="BZ2480"/>
  <c r="BY2481"/>
  <c r="BW2480"/>
  <c r="BV2480"/>
  <c r="BF134" l="1"/>
  <c r="BB135"/>
  <c r="BY2482"/>
  <c r="BZ2481"/>
  <c r="BW2481" s="1"/>
  <c r="BV2481"/>
  <c r="BC135" l="1"/>
  <c r="BD135"/>
  <c r="BE135" s="1"/>
  <c r="BZ2482"/>
  <c r="BW2482" s="1"/>
  <c r="BY2483"/>
  <c r="BV2482"/>
  <c r="BB136" l="1"/>
  <c r="BF135"/>
  <c r="BY2484"/>
  <c r="BZ2483"/>
  <c r="BW2483" s="1"/>
  <c r="BV2483"/>
  <c r="BC136" l="1"/>
  <c r="BD136"/>
  <c r="BE136" s="1"/>
  <c r="BZ2484"/>
  <c r="BW2484" s="1"/>
  <c r="BY2485"/>
  <c r="BV2484"/>
  <c r="BB137" l="1"/>
  <c r="BF136"/>
  <c r="BY2486"/>
  <c r="BV2485"/>
  <c r="BZ2485"/>
  <c r="BW2485" s="1"/>
  <c r="BC137" l="1"/>
  <c r="BD137"/>
  <c r="BE137" s="1"/>
  <c r="BZ2486"/>
  <c r="BY2487"/>
  <c r="BW2486"/>
  <c r="BV2486"/>
  <c r="BB138" l="1"/>
  <c r="BF137"/>
  <c r="BY2488"/>
  <c r="BZ2487"/>
  <c r="BW2487" s="1"/>
  <c r="BV2487"/>
  <c r="BC138" l="1"/>
  <c r="BD138"/>
  <c r="BE138" s="1"/>
  <c r="BZ2488"/>
  <c r="BY2489"/>
  <c r="BW2488"/>
  <c r="BV2488"/>
  <c r="BB139" l="1"/>
  <c r="BF138"/>
  <c r="BY2490"/>
  <c r="BZ2489"/>
  <c r="BW2489" s="1"/>
  <c r="BV2489"/>
  <c r="BC139" l="1"/>
  <c r="BD139"/>
  <c r="BE139" s="1"/>
  <c r="BZ2490"/>
  <c r="BW2490" s="1"/>
  <c r="BV2490"/>
  <c r="BY2491"/>
  <c r="BB140" l="1"/>
  <c r="BF139"/>
  <c r="BY2492"/>
  <c r="BZ2491"/>
  <c r="BW2491" s="1"/>
  <c r="BV2491"/>
  <c r="BD140" l="1"/>
  <c r="BE140" s="1"/>
  <c r="BC140"/>
  <c r="BZ2492"/>
  <c r="BW2492" s="1"/>
  <c r="BY2493"/>
  <c r="BV2492"/>
  <c r="BB141" l="1"/>
  <c r="BF140"/>
  <c r="BY2494"/>
  <c r="BZ2493"/>
  <c r="BW2493" s="1"/>
  <c r="BV2493"/>
  <c r="BD141" l="1"/>
  <c r="BE141" s="1"/>
  <c r="BC141"/>
  <c r="BZ2494"/>
  <c r="BY2495"/>
  <c r="BW2494"/>
  <c r="BV2494"/>
  <c r="BF141" l="1"/>
  <c r="BB142"/>
  <c r="BY2496"/>
  <c r="BZ2495"/>
  <c r="BW2495" s="1"/>
  <c r="BV2495"/>
  <c r="BD142" l="1"/>
  <c r="BE142" s="1"/>
  <c r="BC142"/>
  <c r="BZ2496"/>
  <c r="BY2497"/>
  <c r="BW2496"/>
  <c r="BV2496"/>
  <c r="BB143" l="1"/>
  <c r="BF142"/>
  <c r="BY2498"/>
  <c r="BZ2497"/>
  <c r="BW2497" s="1"/>
  <c r="BV2497"/>
  <c r="BD143" l="1"/>
  <c r="BE143" s="1"/>
  <c r="BC143"/>
  <c r="BZ2498"/>
  <c r="BW2498" s="1"/>
  <c r="BY2499"/>
  <c r="BV2498"/>
  <c r="BY2500" l="1"/>
  <c r="BZ2499"/>
  <c r="BW2499" s="1"/>
  <c r="BV2499"/>
  <c r="BF143"/>
  <c r="BB144"/>
  <c r="BZ2500" l="1"/>
  <c r="BW2500" s="1"/>
  <c r="BY2501"/>
  <c r="BV2500"/>
  <c r="BD144"/>
  <c r="BE144" s="1"/>
  <c r="BC144"/>
  <c r="BB145" l="1"/>
  <c r="BF144"/>
  <c r="BY2502"/>
  <c r="BV2501"/>
  <c r="BZ2501"/>
  <c r="BW2501" s="1"/>
  <c r="BC145" l="1"/>
  <c r="BD145"/>
  <c r="BE145" s="1"/>
  <c r="BZ2502"/>
  <c r="BY2503"/>
  <c r="BW2502"/>
  <c r="BV2502"/>
  <c r="BB146" l="1"/>
  <c r="BF145"/>
  <c r="BY2504"/>
  <c r="BZ2503"/>
  <c r="BW2503" s="1"/>
  <c r="BV2503"/>
  <c r="BC146" l="1"/>
  <c r="BD146"/>
  <c r="BE146" s="1"/>
  <c r="BZ2504"/>
  <c r="BY2505"/>
  <c r="BW2504"/>
  <c r="BV2504"/>
  <c r="BB147" l="1"/>
  <c r="BF146"/>
  <c r="BY2506"/>
  <c r="BZ2505"/>
  <c r="BW2505" s="1"/>
  <c r="BV2505"/>
  <c r="BC147" l="1"/>
  <c r="BD147"/>
  <c r="BE147" s="1"/>
  <c r="BZ2506"/>
  <c r="BW2506" s="1"/>
  <c r="BV2506"/>
  <c r="BY2507"/>
  <c r="BB148" l="1"/>
  <c r="BF147"/>
  <c r="BY2508"/>
  <c r="BZ2507"/>
  <c r="BW2507" s="1"/>
  <c r="BV2507"/>
  <c r="BD148" l="1"/>
  <c r="BE148" s="1"/>
  <c r="BC148"/>
  <c r="BZ2508"/>
  <c r="BW2508" s="1"/>
  <c r="BY2509"/>
  <c r="BV2508"/>
  <c r="BB149" l="1"/>
  <c r="BF148"/>
  <c r="BY2510"/>
  <c r="BZ2509"/>
  <c r="BW2509" s="1"/>
  <c r="BV2509"/>
  <c r="BC149" l="1"/>
  <c r="BD149"/>
  <c r="BE149" s="1"/>
  <c r="BZ2510"/>
  <c r="BY2511"/>
  <c r="BW2510"/>
  <c r="BV2510"/>
  <c r="BB150" l="1"/>
  <c r="BF149"/>
  <c r="BY2512"/>
  <c r="BZ2511"/>
  <c r="BW2511" s="1"/>
  <c r="BV2511"/>
  <c r="BD150" l="1"/>
  <c r="BE150" s="1"/>
  <c r="BC150"/>
  <c r="BZ2512"/>
  <c r="BY2513"/>
  <c r="BW2512"/>
  <c r="BV2512"/>
  <c r="BB151" l="1"/>
  <c r="BF150"/>
  <c r="BY2514"/>
  <c r="BZ2513"/>
  <c r="BW2513" s="1"/>
  <c r="BV2513"/>
  <c r="BC151" l="1"/>
  <c r="BD151"/>
  <c r="BE151" s="1"/>
  <c r="BZ2514"/>
  <c r="BW2514" s="1"/>
  <c r="BY2515"/>
  <c r="BV2514"/>
  <c r="BB152" l="1"/>
  <c r="BF151"/>
  <c r="BY2516"/>
  <c r="BZ2515"/>
  <c r="BV2515"/>
  <c r="BW2515"/>
  <c r="BD152" l="1"/>
  <c r="BE152" s="1"/>
  <c r="BC152"/>
  <c r="BZ2516"/>
  <c r="BY2517"/>
  <c r="BV2516"/>
  <c r="BW2516"/>
  <c r="BF152" l="1"/>
  <c r="BB153"/>
  <c r="BY2518"/>
  <c r="BV2517"/>
  <c r="BZ2517"/>
  <c r="BW2517" s="1"/>
  <c r="BC153" l="1"/>
  <c r="BD153"/>
  <c r="BE153" s="1"/>
  <c r="BZ2518"/>
  <c r="BY2519"/>
  <c r="BW2518"/>
  <c r="BV2518"/>
  <c r="BF153" l="1"/>
  <c r="BB154"/>
  <c r="BY2520"/>
  <c r="BZ2519"/>
  <c r="BW2519" s="1"/>
  <c r="BV2519"/>
  <c r="BC154" l="1"/>
  <c r="BD154"/>
  <c r="BE154" s="1"/>
  <c r="BZ2520"/>
  <c r="BY2521"/>
  <c r="BW2520"/>
  <c r="BV2520"/>
  <c r="BB155" l="1"/>
  <c r="BF154"/>
  <c r="BY2522"/>
  <c r="BZ2521"/>
  <c r="BW2521" s="1"/>
  <c r="BV2521"/>
  <c r="BC155" l="1"/>
  <c r="BD155"/>
  <c r="BE155" s="1"/>
  <c r="BZ2522"/>
  <c r="BW2522" s="1"/>
  <c r="BV2522"/>
  <c r="BY2523"/>
  <c r="BY2524" l="1"/>
  <c r="BZ2523"/>
  <c r="BW2523" s="1"/>
  <c r="BV2523"/>
  <c r="BB156"/>
  <c r="BF155"/>
  <c r="BC156" l="1"/>
  <c r="BD156"/>
  <c r="BE156" s="1"/>
  <c r="BZ2524"/>
  <c r="BW2524" s="1"/>
  <c r="BY2525"/>
  <c r="BV2524"/>
  <c r="BB157" l="1"/>
  <c r="BF156"/>
  <c r="BY2526"/>
  <c r="BZ2525"/>
  <c r="BW2525" s="1"/>
  <c r="BV2525"/>
  <c r="BC157" l="1"/>
  <c r="BD157"/>
  <c r="BE157" s="1"/>
  <c r="BZ2526"/>
  <c r="BY2527"/>
  <c r="BW2526"/>
  <c r="BV2526"/>
  <c r="BB158" l="1"/>
  <c r="BF157"/>
  <c r="BY2528"/>
  <c r="BZ2527"/>
  <c r="BW2527" s="1"/>
  <c r="BV2527"/>
  <c r="BD158" l="1"/>
  <c r="BE158" s="1"/>
  <c r="BC158"/>
  <c r="BZ2528"/>
  <c r="BY2529"/>
  <c r="BW2528"/>
  <c r="BV2528"/>
  <c r="BF158" l="1"/>
  <c r="BB159"/>
  <c r="BY2530"/>
  <c r="BZ2529"/>
  <c r="BW2529" s="1"/>
  <c r="BV2529"/>
  <c r="BC159" l="1"/>
  <c r="BD159"/>
  <c r="BE159" s="1"/>
  <c r="BZ2530"/>
  <c r="BW2530" s="1"/>
  <c r="BY2531"/>
  <c r="BV2530"/>
  <c r="BB160" l="1"/>
  <c r="BF159"/>
  <c r="BY2532"/>
  <c r="BZ2531"/>
  <c r="BW2531" s="1"/>
  <c r="BV2531"/>
  <c r="BC160" l="1"/>
  <c r="BD160"/>
  <c r="BE160" s="1"/>
  <c r="BZ2532"/>
  <c r="BW2532" s="1"/>
  <c r="BY2533"/>
  <c r="BV2532"/>
  <c r="BB161" l="1"/>
  <c r="BF160"/>
  <c r="BY2534"/>
  <c r="BV2533"/>
  <c r="BZ2533"/>
  <c r="BW2533" s="1"/>
  <c r="BD161" l="1"/>
  <c r="BE161" s="1"/>
  <c r="BC161"/>
  <c r="BZ2534"/>
  <c r="BY2535"/>
  <c r="BW2534"/>
  <c r="BV2534"/>
  <c r="BB162" l="1"/>
  <c r="BF161"/>
  <c r="BY2536"/>
  <c r="BZ2535"/>
  <c r="BW2535" s="1"/>
  <c r="BV2535"/>
  <c r="BD162" l="1"/>
  <c r="BE162" s="1"/>
  <c r="BC162"/>
  <c r="BZ2536"/>
  <c r="BY2537"/>
  <c r="BW2536"/>
  <c r="BV2536"/>
  <c r="BB163" l="1"/>
  <c r="BF162"/>
  <c r="BY2538"/>
  <c r="BZ2537"/>
  <c r="BW2537" s="1"/>
  <c r="BV2537"/>
  <c r="BC163" l="1"/>
  <c r="BD163"/>
  <c r="BE163" s="1"/>
  <c r="BZ2538"/>
  <c r="BW2538" s="1"/>
  <c r="BV2538"/>
  <c r="BY2539"/>
  <c r="BB164" l="1"/>
  <c r="BF163"/>
  <c r="BY2540"/>
  <c r="BZ2539"/>
  <c r="BW2539" s="1"/>
  <c r="BV2539"/>
  <c r="BC164" l="1"/>
  <c r="BD164"/>
  <c r="BE164" s="1"/>
  <c r="BZ2540"/>
  <c r="BW2540" s="1"/>
  <c r="BY2541"/>
  <c r="BV2540"/>
  <c r="BB165" l="1"/>
  <c r="BF164"/>
  <c r="BY2542"/>
  <c r="BZ2541"/>
  <c r="BW2541" s="1"/>
  <c r="BV2541"/>
  <c r="BC165" l="1"/>
  <c r="BD165"/>
  <c r="BE165" s="1"/>
  <c r="BZ2542"/>
  <c r="BY2543"/>
  <c r="BW2542"/>
  <c r="BV2542"/>
  <c r="BF165" l="1"/>
  <c r="BB166"/>
  <c r="BY2544"/>
  <c r="BZ2543"/>
  <c r="BV2543"/>
  <c r="BW2543"/>
  <c r="BC166" l="1"/>
  <c r="BD166"/>
  <c r="BE166" s="1"/>
  <c r="BZ2544"/>
  <c r="BY2545"/>
  <c r="BW2544"/>
  <c r="BV2544"/>
  <c r="BB167" l="1"/>
  <c r="BF166"/>
  <c r="BY2546"/>
  <c r="BZ2545"/>
  <c r="BW2545" s="1"/>
  <c r="BV2545"/>
  <c r="BD167" l="1"/>
  <c r="BE167" s="1"/>
  <c r="BC167"/>
  <c r="BZ2546"/>
  <c r="BW2546" s="1"/>
  <c r="BY2547"/>
  <c r="BV2546"/>
  <c r="BY2548" l="1"/>
  <c r="BZ2547"/>
  <c r="BW2547" s="1"/>
  <c r="BV2547"/>
  <c r="BF167"/>
  <c r="BB168"/>
  <c r="BZ2548" l="1"/>
  <c r="BW2548" s="1"/>
  <c r="BY2549"/>
  <c r="BV2548"/>
  <c r="BC168"/>
  <c r="BD168"/>
  <c r="BE168" s="1"/>
  <c r="BB169" l="1"/>
  <c r="BF168"/>
  <c r="BY2550"/>
  <c r="BV2549"/>
  <c r="BZ2549"/>
  <c r="BW2549" s="1"/>
  <c r="BC169" l="1"/>
  <c r="BD169"/>
  <c r="BE169" s="1"/>
  <c r="BZ2550"/>
  <c r="BY2551"/>
  <c r="BW2550"/>
  <c r="BV2550"/>
  <c r="BB170" l="1"/>
  <c r="BF169"/>
  <c r="BY2552"/>
  <c r="BZ2551"/>
  <c r="BW2551" s="1"/>
  <c r="BV2551"/>
  <c r="BD170" l="1"/>
  <c r="BE170" s="1"/>
  <c r="BC170"/>
  <c r="BZ2552"/>
  <c r="BY2553"/>
  <c r="BW2552"/>
  <c r="BV2552"/>
  <c r="BB171" l="1"/>
  <c r="BF170"/>
  <c r="BY2554"/>
  <c r="BZ2553"/>
  <c r="BW2553" s="1"/>
  <c r="BV2553"/>
  <c r="BC171" l="1"/>
  <c r="BD171"/>
  <c r="BE171" s="1"/>
  <c r="BZ2554"/>
  <c r="BW2554" s="1"/>
  <c r="BV2554"/>
  <c r="BY2555"/>
  <c r="BY2556" l="1"/>
  <c r="BZ2555"/>
  <c r="BW2555" s="1"/>
  <c r="BV2555"/>
  <c r="BB172"/>
  <c r="BF171"/>
  <c r="BD172" l="1"/>
  <c r="BE172" s="1"/>
  <c r="BC172"/>
  <c r="BZ2556"/>
  <c r="BW2556" s="1"/>
  <c r="BY2557"/>
  <c r="BV2556"/>
  <c r="BB173" l="1"/>
  <c r="BF172"/>
  <c r="BY2558"/>
  <c r="BZ2557"/>
  <c r="BW2557" s="1"/>
  <c r="BV2557"/>
  <c r="BC173" l="1"/>
  <c r="BD173"/>
  <c r="BE173" s="1"/>
  <c r="BZ2558"/>
  <c r="BY2559"/>
  <c r="BW2558"/>
  <c r="BV2558"/>
  <c r="BB174" l="1"/>
  <c r="BF173"/>
  <c r="BY2560"/>
  <c r="BZ2559"/>
  <c r="BW2559" s="1"/>
  <c r="BV2559"/>
  <c r="BC174" l="1"/>
  <c r="BD174"/>
  <c r="BE174" s="1"/>
  <c r="BZ2560"/>
  <c r="BY2561"/>
  <c r="BW2560"/>
  <c r="BV2560"/>
  <c r="BB175" l="1"/>
  <c r="BF174"/>
  <c r="BY2562"/>
  <c r="BZ2561"/>
  <c r="BW2561" s="1"/>
  <c r="BV2561"/>
  <c r="BC175" l="1"/>
  <c r="BD175"/>
  <c r="BE175" s="1"/>
  <c r="BZ2562"/>
  <c r="BW2562" s="1"/>
  <c r="BY2563"/>
  <c r="BV2562"/>
  <c r="BB176" l="1"/>
  <c r="BF175"/>
  <c r="BY2564"/>
  <c r="BZ2563"/>
  <c r="BW2563" s="1"/>
  <c r="BV2563"/>
  <c r="BD176" l="1"/>
  <c r="BE176" s="1"/>
  <c r="BC176"/>
  <c r="BZ2564"/>
  <c r="BW2564" s="1"/>
  <c r="BY2565"/>
  <c r="BV2564"/>
  <c r="BF176" l="1"/>
  <c r="BB177"/>
  <c r="BY2566"/>
  <c r="BV2565"/>
  <c r="BZ2565"/>
  <c r="BW2565" s="1"/>
  <c r="BZ2566" l="1"/>
  <c r="BW2566" s="1"/>
  <c r="BY2567"/>
  <c r="BV2566"/>
  <c r="BD177"/>
  <c r="BE177" s="1"/>
  <c r="BC177"/>
  <c r="BY2568" l="1"/>
  <c r="BZ2567"/>
  <c r="BW2567" s="1"/>
  <c r="BV2567"/>
  <c r="BB178"/>
  <c r="BF177"/>
  <c r="BD178" l="1"/>
  <c r="BE178" s="1"/>
  <c r="BC178"/>
  <c r="BZ2568"/>
  <c r="BY2569"/>
  <c r="BW2568"/>
  <c r="BV2568"/>
  <c r="BB179" l="1"/>
  <c r="BF178"/>
  <c r="BY2570"/>
  <c r="BZ2569"/>
  <c r="BW2569" s="1"/>
  <c r="BV2569"/>
  <c r="BC179" l="1"/>
  <c r="BD179"/>
  <c r="BE179" s="1"/>
  <c r="BZ2570"/>
  <c r="BW2570" s="1"/>
  <c r="BV2570"/>
  <c r="BY2571"/>
  <c r="BB180" l="1"/>
  <c r="BF179"/>
  <c r="BY2572"/>
  <c r="BZ2571"/>
  <c r="BW2571" s="1"/>
  <c r="BV2571"/>
  <c r="BD180" l="1"/>
  <c r="BE180" s="1"/>
  <c r="BC180"/>
  <c r="BZ2572"/>
  <c r="BY2573"/>
  <c r="BV2572"/>
  <c r="BW2572"/>
  <c r="BB181" l="1"/>
  <c r="BF180"/>
  <c r="BY2574"/>
  <c r="BZ2573"/>
  <c r="BW2573" s="1"/>
  <c r="BV2573"/>
  <c r="BC181" l="1"/>
  <c r="BD181"/>
  <c r="BE181" s="1"/>
  <c r="BZ2574"/>
  <c r="BY2575"/>
  <c r="BW2574"/>
  <c r="BV2574"/>
  <c r="BB182" l="1"/>
  <c r="BF181"/>
  <c r="BY2576"/>
  <c r="BZ2575"/>
  <c r="BV2575"/>
  <c r="BW2575"/>
  <c r="BC182" l="1"/>
  <c r="BD182"/>
  <c r="BE182" s="1"/>
  <c r="BZ2576"/>
  <c r="BY2577"/>
  <c r="BW2576"/>
  <c r="BV2576"/>
  <c r="BB183" l="1"/>
  <c r="BF182"/>
  <c r="BY2578"/>
  <c r="BZ2577"/>
  <c r="BW2577" s="1"/>
  <c r="BV2577"/>
  <c r="BC183" l="1"/>
  <c r="BD183"/>
  <c r="BE183" s="1"/>
  <c r="BZ2578"/>
  <c r="BW2578" s="1"/>
  <c r="BY2579"/>
  <c r="BV2578"/>
  <c r="BY2580" l="1"/>
  <c r="BZ2579"/>
  <c r="BW2579" s="1"/>
  <c r="BV2579"/>
  <c r="BB184"/>
  <c r="BF183"/>
  <c r="BD184" l="1"/>
  <c r="BE184" s="1"/>
  <c r="BC184"/>
  <c r="BZ2580"/>
  <c r="BW2580" s="1"/>
  <c r="BY2581"/>
  <c r="BV2580"/>
  <c r="BB185" l="1"/>
  <c r="BF184"/>
  <c r="BY2582"/>
  <c r="BV2581"/>
  <c r="BZ2581"/>
  <c r="BW2581" s="1"/>
  <c r="BC185" l="1"/>
  <c r="BD185"/>
  <c r="BE185" s="1"/>
  <c r="BZ2582"/>
  <c r="BY2583"/>
  <c r="BW2582"/>
  <c r="BV2582"/>
  <c r="BB186" l="1"/>
  <c r="BF185"/>
  <c r="BY2584"/>
  <c r="BZ2583"/>
  <c r="BW2583" s="1"/>
  <c r="BV2583"/>
  <c r="BD186" l="1"/>
  <c r="BE186" s="1"/>
  <c r="BC186"/>
  <c r="BZ2584"/>
  <c r="BY2585"/>
  <c r="BW2584"/>
  <c r="BV2584"/>
  <c r="BB187" l="1"/>
  <c r="BF186"/>
  <c r="BY2586"/>
  <c r="BZ2585"/>
  <c r="BW2585" s="1"/>
  <c r="BV2585"/>
  <c r="BD187" l="1"/>
  <c r="BE187" s="1"/>
  <c r="BC187"/>
  <c r="BZ2586"/>
  <c r="BW2586" s="1"/>
  <c r="BV2586"/>
  <c r="BY2587"/>
  <c r="BY2588" l="1"/>
  <c r="BZ2587"/>
  <c r="BW2587" s="1"/>
  <c r="BV2587"/>
  <c r="BF187"/>
  <c r="BB188"/>
  <c r="BZ2588" l="1"/>
  <c r="BW2588" s="1"/>
  <c r="BY2589"/>
  <c r="BV2588"/>
  <c r="BD188"/>
  <c r="BE188" s="1"/>
  <c r="BC188"/>
  <c r="BF188" l="1"/>
  <c r="BB189"/>
  <c r="BY2590"/>
  <c r="BZ2589"/>
  <c r="BW2589" s="1"/>
  <c r="BV2589"/>
  <c r="BC189" l="1"/>
  <c r="BD189"/>
  <c r="BE189" s="1"/>
  <c r="BZ2590"/>
  <c r="BY2591"/>
  <c r="BW2590"/>
  <c r="BV2590"/>
  <c r="BB190" l="1"/>
  <c r="BF189"/>
  <c r="BY2592"/>
  <c r="BZ2591"/>
  <c r="BW2591" s="1"/>
  <c r="BV2591"/>
  <c r="BC190" l="1"/>
  <c r="BD190"/>
  <c r="BE190" s="1"/>
  <c r="BZ2592"/>
  <c r="BY2593"/>
  <c r="BW2592"/>
  <c r="BV2592"/>
  <c r="BB191" l="1"/>
  <c r="BF190"/>
  <c r="BY2594"/>
  <c r="BZ2593"/>
  <c r="BW2593" s="1"/>
  <c r="BV2593"/>
  <c r="BC191" l="1"/>
  <c r="BD191"/>
  <c r="BE191" s="1"/>
  <c r="BZ2594"/>
  <c r="BW2594" s="1"/>
  <c r="BY2595"/>
  <c r="BV2594"/>
  <c r="BY2596" l="1"/>
  <c r="BZ2595"/>
  <c r="BW2595" s="1"/>
  <c r="BV2595"/>
  <c r="BB192"/>
  <c r="BF191"/>
  <c r="BD192" l="1"/>
  <c r="BE192" s="1"/>
  <c r="BC192"/>
  <c r="BZ2596"/>
  <c r="BW2596" s="1"/>
  <c r="BY2597"/>
  <c r="BV2596"/>
  <c r="BB193" l="1"/>
  <c r="BF192"/>
  <c r="BY2598"/>
  <c r="BV2597"/>
  <c r="BZ2597"/>
  <c r="BW2597" s="1"/>
  <c r="BD193" l="1"/>
  <c r="BE193" s="1"/>
  <c r="BC193"/>
  <c r="BZ2598"/>
  <c r="BY2599"/>
  <c r="BW2598"/>
  <c r="BV2598"/>
  <c r="BF193" l="1"/>
  <c r="BB194"/>
  <c r="BY2600"/>
  <c r="BZ2599"/>
  <c r="BW2599" s="1"/>
  <c r="BV2599"/>
  <c r="BD194" l="1"/>
  <c r="BE194" s="1"/>
  <c r="BC194"/>
  <c r="BZ2600"/>
  <c r="BY2601"/>
  <c r="BW2600"/>
  <c r="BV2600"/>
  <c r="BB195" l="1"/>
  <c r="BF194"/>
  <c r="BY2602"/>
  <c r="BZ2601"/>
  <c r="BW2601" s="1"/>
  <c r="BV2601"/>
  <c r="BC195" l="1"/>
  <c r="BD195"/>
  <c r="BE195" s="1"/>
  <c r="BZ2602"/>
  <c r="BW2602" s="1"/>
  <c r="BV2602"/>
  <c r="BY2603"/>
  <c r="BY2604" l="1"/>
  <c r="BZ2603"/>
  <c r="BW2603" s="1"/>
  <c r="BV2603"/>
  <c r="BB196"/>
  <c r="BF195"/>
  <c r="BC196" l="1"/>
  <c r="BD196"/>
  <c r="BE196" s="1"/>
  <c r="BZ2604"/>
  <c r="BW2604" s="1"/>
  <c r="BY2605"/>
  <c r="BV2604"/>
  <c r="BB197" l="1"/>
  <c r="BF196"/>
  <c r="BY2606"/>
  <c r="BZ2605"/>
  <c r="BW2605" s="1"/>
  <c r="BV2605"/>
  <c r="BD197" l="1"/>
  <c r="BE197" s="1"/>
  <c r="BC197"/>
  <c r="BZ2606"/>
  <c r="BY2607"/>
  <c r="BW2606"/>
  <c r="BV2606"/>
  <c r="BB198" l="1"/>
  <c r="BF197"/>
  <c r="BY2608"/>
  <c r="BZ2607"/>
  <c r="BW2607" s="1"/>
  <c r="BV2607"/>
  <c r="BD198" l="1"/>
  <c r="BE198" s="1"/>
  <c r="BC198"/>
  <c r="BZ2608"/>
  <c r="BY2609"/>
  <c r="BW2608"/>
  <c r="BV2608"/>
  <c r="BB199" l="1"/>
  <c r="BF198"/>
  <c r="BY2610"/>
  <c r="BZ2609"/>
  <c r="BW2609" s="1"/>
  <c r="BV2609"/>
  <c r="BC199" l="1"/>
  <c r="BD199"/>
  <c r="BE199" s="1"/>
  <c r="BZ2610"/>
  <c r="BW2610" s="1"/>
  <c r="BY2611"/>
  <c r="BV2610"/>
  <c r="BF199" l="1"/>
  <c r="BB200"/>
  <c r="BY2612"/>
  <c r="BZ2611"/>
  <c r="BV2611"/>
  <c r="BW2611"/>
  <c r="BD200" l="1"/>
  <c r="BE200" s="1"/>
  <c r="BC200"/>
  <c r="BZ2612"/>
  <c r="BY2613"/>
  <c r="BW2612"/>
  <c r="BV2612"/>
  <c r="BB201" l="1"/>
  <c r="BF200"/>
  <c r="BY2614"/>
  <c r="BV2613"/>
  <c r="BZ2613"/>
  <c r="BW2613" s="1"/>
  <c r="BC201" l="1"/>
  <c r="BD201"/>
  <c r="BE201" s="1"/>
  <c r="BZ2614"/>
  <c r="BY2615"/>
  <c r="BW2614"/>
  <c r="BV2614"/>
  <c r="BB202" l="1"/>
  <c r="BF201"/>
  <c r="BY2616"/>
  <c r="BZ2615"/>
  <c r="BW2615" s="1"/>
  <c r="BV2615"/>
  <c r="BD202" l="1"/>
  <c r="BE202" s="1"/>
  <c r="BC202"/>
  <c r="BZ2616"/>
  <c r="BY2617"/>
  <c r="BW2616"/>
  <c r="BV2616"/>
  <c r="BB203" l="1"/>
  <c r="BF202"/>
  <c r="BY2618"/>
  <c r="BZ2617"/>
  <c r="BW2617" s="1"/>
  <c r="BV2617"/>
  <c r="BC203" l="1"/>
  <c r="BD203"/>
  <c r="BE203" s="1"/>
  <c r="BZ2618"/>
  <c r="BW2618" s="1"/>
  <c r="BV2618"/>
  <c r="BY2619"/>
  <c r="BY2620" l="1"/>
  <c r="BZ2619"/>
  <c r="BW2619" s="1"/>
  <c r="BV2619"/>
  <c r="BB204"/>
  <c r="BF203"/>
  <c r="BC204" l="1"/>
  <c r="BD204"/>
  <c r="BE204" s="1"/>
  <c r="BZ2620"/>
  <c r="BW2620" s="1"/>
  <c r="BY2621"/>
  <c r="BV2620"/>
  <c r="BB205" l="1"/>
  <c r="BF204"/>
  <c r="BY2622"/>
  <c r="BZ2621"/>
  <c r="BW2621" s="1"/>
  <c r="BV2621"/>
  <c r="BD205" l="1"/>
  <c r="BE205" s="1"/>
  <c r="BC205"/>
  <c r="BZ2622"/>
  <c r="BY2623"/>
  <c r="BW2622"/>
  <c r="BV2622"/>
  <c r="BB206" l="1"/>
  <c r="BF205"/>
  <c r="BY2624"/>
  <c r="BZ2623"/>
  <c r="BW2623" s="1"/>
  <c r="BV2623"/>
  <c r="BD206" l="1"/>
  <c r="BE206" s="1"/>
  <c r="BC206"/>
  <c r="BZ2624"/>
  <c r="BY2625"/>
  <c r="BW2624"/>
  <c r="BV2624"/>
  <c r="BB207" l="1"/>
  <c r="BF206"/>
  <c r="BY2626"/>
  <c r="BZ2625"/>
  <c r="BW2625" s="1"/>
  <c r="BV2625"/>
  <c r="BC207" l="1"/>
  <c r="BD207"/>
  <c r="BE207" s="1"/>
  <c r="BZ2626"/>
  <c r="BW2626" s="1"/>
  <c r="BY2627"/>
  <c r="BV2626"/>
  <c r="BY2628" l="1"/>
  <c r="BZ2627"/>
  <c r="BW2627" s="1"/>
  <c r="BV2627"/>
  <c r="BB208"/>
  <c r="BF207"/>
  <c r="BC208" l="1"/>
  <c r="BD208"/>
  <c r="BE208" s="1"/>
  <c r="BZ2628"/>
  <c r="BW2628" s="1"/>
  <c r="BY2629"/>
  <c r="BV2628"/>
  <c r="BB209" l="1"/>
  <c r="BF208"/>
  <c r="BY2630"/>
  <c r="BV2629"/>
  <c r="BZ2629"/>
  <c r="BW2629" s="1"/>
  <c r="BC209" l="1"/>
  <c r="BD209"/>
  <c r="BE209" s="1"/>
  <c r="BZ2630"/>
  <c r="BY2631"/>
  <c r="BW2630"/>
  <c r="BV2630"/>
  <c r="BB210" l="1"/>
  <c r="BF209"/>
  <c r="BY2632"/>
  <c r="BZ2631"/>
  <c r="BW2631" s="1"/>
  <c r="BV2631"/>
  <c r="BD210" l="1"/>
  <c r="BE210" s="1"/>
  <c r="BC210"/>
  <c r="BZ2632"/>
  <c r="BY2633"/>
  <c r="BW2632"/>
  <c r="BV2632"/>
  <c r="BB211" l="1"/>
  <c r="BF210"/>
  <c r="BY2634"/>
  <c r="BZ2633"/>
  <c r="BW2633" s="1"/>
  <c r="BV2633"/>
  <c r="BD211" l="1"/>
  <c r="BE211" s="1"/>
  <c r="BC211"/>
  <c r="BZ2634"/>
  <c r="BW2634" s="1"/>
  <c r="BV2634"/>
  <c r="BY2635"/>
  <c r="BY2636" l="1"/>
  <c r="BZ2635"/>
  <c r="BW2635" s="1"/>
  <c r="BV2635"/>
  <c r="BB212"/>
  <c r="BF211"/>
  <c r="BD212" l="1"/>
  <c r="BE212" s="1"/>
  <c r="BC212"/>
  <c r="BZ2636"/>
  <c r="BW2636" s="1"/>
  <c r="BY2637"/>
  <c r="BV2636"/>
  <c r="BB213" l="1"/>
  <c r="BF212"/>
  <c r="BY2638"/>
  <c r="BZ2637"/>
  <c r="BW2637" s="1"/>
  <c r="BV2637"/>
  <c r="BC213" l="1"/>
  <c r="BD213"/>
  <c r="BE213" s="1"/>
  <c r="BZ2638"/>
  <c r="BY2639"/>
  <c r="BW2638"/>
  <c r="BV2638"/>
  <c r="BF213" l="1"/>
  <c r="BB214"/>
  <c r="BY2640"/>
  <c r="BZ2639"/>
  <c r="BV2639"/>
  <c r="BW2639"/>
  <c r="BD214" l="1"/>
  <c r="BE214" s="1"/>
  <c r="BC214"/>
  <c r="BZ2640"/>
  <c r="BY2641"/>
  <c r="BW2640"/>
  <c r="BV2640"/>
  <c r="BB215" l="1"/>
  <c r="BF214"/>
  <c r="BY2642"/>
  <c r="BZ2641"/>
  <c r="BW2641" s="1"/>
  <c r="BV2641"/>
  <c r="BC215" l="1"/>
  <c r="BD215"/>
  <c r="BE215" s="1"/>
  <c r="BZ2642"/>
  <c r="BW2642" s="1"/>
  <c r="BY2643"/>
  <c r="BV2642"/>
  <c r="BY2644" l="1"/>
  <c r="BZ2643"/>
  <c r="BW2643" s="1"/>
  <c r="BV2643"/>
  <c r="BB216"/>
  <c r="BF215"/>
  <c r="BD216" l="1"/>
  <c r="BE216" s="1"/>
  <c r="BC216"/>
  <c r="BZ2644"/>
  <c r="BW2644" s="1"/>
  <c r="BY2645"/>
  <c r="BV2644"/>
  <c r="BB217" l="1"/>
  <c r="BF216"/>
  <c r="BY2646"/>
  <c r="BV2645"/>
  <c r="BZ2645"/>
  <c r="BW2645" s="1"/>
  <c r="BC217" l="1"/>
  <c r="BD217"/>
  <c r="BE217" s="1"/>
  <c r="BZ2646"/>
  <c r="BY2647"/>
  <c r="BW2646"/>
  <c r="BV2646"/>
  <c r="BB218" l="1"/>
  <c r="BF217"/>
  <c r="BY2648"/>
  <c r="BZ2647"/>
  <c r="BV2647"/>
  <c r="BW2647"/>
  <c r="BD218" l="1"/>
  <c r="BE218" s="1"/>
  <c r="BC218"/>
  <c r="BZ2648"/>
  <c r="BY2649"/>
  <c r="BW2648"/>
  <c r="BV2648"/>
  <c r="BB219" l="1"/>
  <c r="BF218"/>
  <c r="BY2650"/>
  <c r="BZ2649"/>
  <c r="BW2649" s="1"/>
  <c r="BV2649"/>
  <c r="BC219" l="1"/>
  <c r="BD219"/>
  <c r="BE219" s="1"/>
  <c r="BZ2650"/>
  <c r="BW2650" s="1"/>
  <c r="BV2650"/>
  <c r="BY2651"/>
  <c r="BB220" l="1"/>
  <c r="BF219"/>
  <c r="BY2652"/>
  <c r="BZ2651"/>
  <c r="BW2651" s="1"/>
  <c r="BV2651"/>
  <c r="BC220" l="1"/>
  <c r="BD220"/>
  <c r="BE220" s="1"/>
  <c r="BZ2652"/>
  <c r="BW2652" s="1"/>
  <c r="BY2653"/>
  <c r="BV2652"/>
  <c r="BB221" l="1"/>
  <c r="BF220"/>
  <c r="BY2654"/>
  <c r="BZ2653"/>
  <c r="BW2653" s="1"/>
  <c r="BV2653"/>
  <c r="BC221" l="1"/>
  <c r="BD221"/>
  <c r="BE221" s="1"/>
  <c r="BZ2654"/>
  <c r="BY2655"/>
  <c r="BW2654"/>
  <c r="BV2654"/>
  <c r="BF221" l="1"/>
  <c r="BB222"/>
  <c r="BY2656"/>
  <c r="BZ2655"/>
  <c r="BW2655" s="1"/>
  <c r="BV2655"/>
  <c r="BD222" l="1"/>
  <c r="BE222" s="1"/>
  <c r="BC222"/>
  <c r="BZ2656"/>
  <c r="BY2657"/>
  <c r="BW2656"/>
  <c r="BV2656"/>
  <c r="BB223" l="1"/>
  <c r="BF222"/>
  <c r="BY2658"/>
  <c r="BZ2657"/>
  <c r="BW2657" s="1"/>
  <c r="BV2657"/>
  <c r="BC223" l="1"/>
  <c r="BD223"/>
  <c r="BE223" s="1"/>
  <c r="BZ2658"/>
  <c r="BW2658" s="1"/>
  <c r="BY2659"/>
  <c r="BV2658"/>
  <c r="BY2660" l="1"/>
  <c r="BZ2659"/>
  <c r="BW2659" s="1"/>
  <c r="BV2659"/>
  <c r="BB224"/>
  <c r="BF223"/>
  <c r="BZ2660" l="1"/>
  <c r="BW2660" s="1"/>
  <c r="BY2661"/>
  <c r="BV2660"/>
  <c r="BD224"/>
  <c r="BE224" s="1"/>
  <c r="BC224"/>
  <c r="BB225" l="1"/>
  <c r="BF224"/>
  <c r="BY2662"/>
  <c r="BV2661"/>
  <c r="BZ2661"/>
  <c r="BW2661" s="1"/>
  <c r="BC225" l="1"/>
  <c r="BD225"/>
  <c r="BE225" s="1"/>
  <c r="BZ2662"/>
  <c r="BY2663"/>
  <c r="BW2662"/>
  <c r="BV2662"/>
  <c r="BB226" l="1"/>
  <c r="BF225"/>
  <c r="BY2664"/>
  <c r="BZ2663"/>
  <c r="BV2663"/>
  <c r="BW2663"/>
  <c r="BD226" l="1"/>
  <c r="BE226" s="1"/>
  <c r="BC226"/>
  <c r="BZ2664"/>
  <c r="BY2665"/>
  <c r="BW2664"/>
  <c r="BV2664"/>
  <c r="BB227" l="1"/>
  <c r="BF226"/>
  <c r="BY2666"/>
  <c r="BZ2665"/>
  <c r="BW2665" s="1"/>
  <c r="BV2665"/>
  <c r="BC227" l="1"/>
  <c r="BD227"/>
  <c r="BE227" s="1"/>
  <c r="BZ2666"/>
  <c r="BW2666" s="1"/>
  <c r="BV2666"/>
  <c r="BY2667"/>
  <c r="BB228" l="1"/>
  <c r="BF227"/>
  <c r="BY2668"/>
  <c r="BZ2667"/>
  <c r="BW2667" s="1"/>
  <c r="BV2667"/>
  <c r="BD228" l="1"/>
  <c r="BE228" s="1"/>
  <c r="BC228"/>
  <c r="BZ2668"/>
  <c r="BW2668" s="1"/>
  <c r="BY2669"/>
  <c r="BV2668"/>
  <c r="BB229" l="1"/>
  <c r="BF228"/>
  <c r="BY2670"/>
  <c r="BZ2669"/>
  <c r="BW2669" s="1"/>
  <c r="BV2669"/>
  <c r="BC229" l="1"/>
  <c r="BD229"/>
  <c r="BE229" s="1"/>
  <c r="BZ2670"/>
  <c r="BY2671"/>
  <c r="BW2670"/>
  <c r="BV2670"/>
  <c r="BB230" l="1"/>
  <c r="BF229"/>
  <c r="BY2672"/>
  <c r="BZ2671"/>
  <c r="BV2671"/>
  <c r="BW2671"/>
  <c r="BD230" l="1"/>
  <c r="BE230" s="1"/>
  <c r="BC230"/>
  <c r="BZ2672"/>
  <c r="BY2673"/>
  <c r="BW2672"/>
  <c r="BV2672"/>
  <c r="BB231" l="1"/>
  <c r="BF230"/>
  <c r="BY2674"/>
  <c r="BZ2673"/>
  <c r="BW2673" s="1"/>
  <c r="BV2673"/>
  <c r="BD231" l="1"/>
  <c r="BE231" s="1"/>
  <c r="BC231"/>
  <c r="BZ2674"/>
  <c r="BW2674" s="1"/>
  <c r="BY2675"/>
  <c r="BV2674"/>
  <c r="BY2676" l="1"/>
  <c r="BZ2675"/>
  <c r="BW2675" s="1"/>
  <c r="BV2675"/>
  <c r="BB232"/>
  <c r="BF231"/>
  <c r="BD232" l="1"/>
  <c r="BE232" s="1"/>
  <c r="BC232"/>
  <c r="BZ2676"/>
  <c r="BW2676" s="1"/>
  <c r="BY2677"/>
  <c r="BV2676"/>
  <c r="BF232" l="1"/>
  <c r="BB233"/>
  <c r="BY2678"/>
  <c r="BV2677"/>
  <c r="BZ2677"/>
  <c r="BW2677" s="1"/>
  <c r="BZ2678" l="1"/>
  <c r="BW2678" s="1"/>
  <c r="BY2679"/>
  <c r="BV2678"/>
  <c r="BD233"/>
  <c r="BE233" s="1"/>
  <c r="BC233"/>
  <c r="BB234" l="1"/>
  <c r="BF233"/>
  <c r="BY2680"/>
  <c r="BZ2679"/>
  <c r="BW2679" s="1"/>
  <c r="BV2679"/>
  <c r="BD234" l="1"/>
  <c r="BE234" s="1"/>
  <c r="BC234"/>
  <c r="BZ2680"/>
  <c r="BY2681"/>
  <c r="BW2680"/>
  <c r="BV2680"/>
  <c r="BB235" l="1"/>
  <c r="BF234"/>
  <c r="BY2682"/>
  <c r="BZ2681"/>
  <c r="BW2681" s="1"/>
  <c r="BV2681"/>
  <c r="BC235" l="1"/>
  <c r="BD235"/>
  <c r="BE235" s="1"/>
  <c r="BZ2682"/>
  <c r="BW2682" s="1"/>
  <c r="BV2682"/>
  <c r="BY2683"/>
  <c r="BY2684" l="1"/>
  <c r="BZ2683"/>
  <c r="BW2683" s="1"/>
  <c r="BV2683"/>
  <c r="BB236"/>
  <c r="BF235"/>
  <c r="BD236" l="1"/>
  <c r="BE236" s="1"/>
  <c r="BC236"/>
  <c r="BZ2684"/>
  <c r="BW2684" s="1"/>
  <c r="BY2685"/>
  <c r="BV2684"/>
  <c r="BB237" l="1"/>
  <c r="BF236"/>
  <c r="BY2686"/>
  <c r="BZ2685"/>
  <c r="BW2685" s="1"/>
  <c r="BV2685"/>
  <c r="BC237" l="1"/>
  <c r="BD237"/>
  <c r="BE237" s="1"/>
  <c r="BZ2686"/>
  <c r="BY2687"/>
  <c r="BW2686"/>
  <c r="BV2686"/>
  <c r="BB238" l="1"/>
  <c r="BF237"/>
  <c r="BY2688"/>
  <c r="BZ2687"/>
  <c r="BV2687"/>
  <c r="BW2687"/>
  <c r="BC238" l="1"/>
  <c r="BD238"/>
  <c r="BE238" s="1"/>
  <c r="BZ2688"/>
  <c r="BY2689"/>
  <c r="BW2688"/>
  <c r="BV2688"/>
  <c r="BB239" l="1"/>
  <c r="BF238"/>
  <c r="BY2690"/>
  <c r="BZ2689"/>
  <c r="BW2689" s="1"/>
  <c r="BV2689"/>
  <c r="BD239" l="1"/>
  <c r="BE239" s="1"/>
  <c r="BC239"/>
  <c r="BZ2690"/>
  <c r="BW2690" s="1"/>
  <c r="BY2691"/>
  <c r="BV2690"/>
  <c r="BY2692" l="1"/>
  <c r="BZ2691"/>
  <c r="BW2691" s="1"/>
  <c r="BV2691"/>
  <c r="BB240"/>
  <c r="BF239"/>
  <c r="BD240" l="1"/>
  <c r="BE240" s="1"/>
  <c r="BC240"/>
  <c r="BZ2692"/>
  <c r="BY2693"/>
  <c r="BV2692"/>
  <c r="BW2692"/>
  <c r="BB241" l="1"/>
  <c r="BF240"/>
  <c r="BY2694"/>
  <c r="BV2693"/>
  <c r="BZ2693"/>
  <c r="BW2693" s="1"/>
  <c r="BC241" l="1"/>
  <c r="BD241"/>
  <c r="BE241" s="1"/>
  <c r="BZ2694"/>
  <c r="BY2695"/>
  <c r="BW2694"/>
  <c r="BV2694"/>
  <c r="BB242" l="1"/>
  <c r="BF241"/>
  <c r="BY2696"/>
  <c r="BZ2695"/>
  <c r="BW2695" s="1"/>
  <c r="BV2695"/>
  <c r="BC242" l="1"/>
  <c r="BD242"/>
  <c r="BE242" s="1"/>
  <c r="BZ2696"/>
  <c r="BY2697"/>
  <c r="BW2696"/>
  <c r="BV2696"/>
  <c r="BB243" l="1"/>
  <c r="BF242"/>
  <c r="BY2698"/>
  <c r="BZ2697"/>
  <c r="BW2697" s="1"/>
  <c r="BV2697"/>
  <c r="BC243" l="1"/>
  <c r="BD243"/>
  <c r="BE243" s="1"/>
  <c r="BZ2698"/>
  <c r="BW2698" s="1"/>
  <c r="BV2698"/>
  <c r="BY2699"/>
  <c r="BB244" l="1"/>
  <c r="BF243"/>
  <c r="BY2700"/>
  <c r="BZ2699"/>
  <c r="BW2699" s="1"/>
  <c r="BV2699"/>
  <c r="BD244" l="1"/>
  <c r="BE244" s="1"/>
  <c r="BC244"/>
  <c r="BZ2700"/>
  <c r="BW2700" s="1"/>
  <c r="BY2701"/>
  <c r="BV2700"/>
  <c r="BB245" l="1"/>
  <c r="BF244"/>
  <c r="BY2702"/>
  <c r="BZ2701"/>
  <c r="BW2701" s="1"/>
  <c r="BV2701"/>
  <c r="BC245" l="1"/>
  <c r="BD245"/>
  <c r="BE245" s="1"/>
  <c r="BZ2702"/>
  <c r="BY2703"/>
  <c r="BW2702"/>
  <c r="BV2702"/>
  <c r="BB246" l="1"/>
  <c r="BF245"/>
  <c r="BY2704"/>
  <c r="BZ2703"/>
  <c r="BV2703"/>
  <c r="BW2703"/>
  <c r="BC246" l="1"/>
  <c r="BD246"/>
  <c r="BE246" s="1"/>
  <c r="BZ2704"/>
  <c r="BY2705"/>
  <c r="BW2704"/>
  <c r="BV2704"/>
  <c r="BB247" l="1"/>
  <c r="BF246"/>
  <c r="BY2706"/>
  <c r="BZ2705"/>
  <c r="BW2705" s="1"/>
  <c r="BV2705"/>
  <c r="BD247" l="1"/>
  <c r="BE247" s="1"/>
  <c r="BC247"/>
  <c r="BZ2706"/>
  <c r="BW2706" s="1"/>
  <c r="BY2707"/>
  <c r="BV2706"/>
  <c r="BY2708" l="1"/>
  <c r="BZ2707"/>
  <c r="BW2707" s="1"/>
  <c r="BV2707"/>
  <c r="BB248"/>
  <c r="BF247"/>
  <c r="BD248" l="1"/>
  <c r="BE248" s="1"/>
  <c r="BC248"/>
  <c r="BZ2708"/>
  <c r="BW2708" s="1"/>
  <c r="BY2709"/>
  <c r="BV2708"/>
  <c r="BB249" l="1"/>
  <c r="BF248"/>
  <c r="BY2710"/>
  <c r="BV2709"/>
  <c r="BZ2709"/>
  <c r="BW2709" s="1"/>
  <c r="BC249" l="1"/>
  <c r="BD249"/>
  <c r="BE249" s="1"/>
  <c r="BZ2710"/>
  <c r="BY2711"/>
  <c r="BW2710"/>
  <c r="BV2710"/>
  <c r="BB250" l="1"/>
  <c r="BF249"/>
  <c r="BY2712"/>
  <c r="BZ2711"/>
  <c r="BW2711" s="1"/>
  <c r="BV2711"/>
  <c r="BD250" l="1"/>
  <c r="BE250" s="1"/>
  <c r="BC250"/>
  <c r="BZ2712"/>
  <c r="BY2713"/>
  <c r="BW2712"/>
  <c r="BV2712"/>
  <c r="BB251" l="1"/>
  <c r="BF250"/>
  <c r="BY2714"/>
  <c r="BZ2713"/>
  <c r="BW2713" s="1"/>
  <c r="BV2713"/>
  <c r="BC251" l="1"/>
  <c r="BD251"/>
  <c r="BE251" s="1"/>
  <c r="BZ2714"/>
  <c r="BW2714" s="1"/>
  <c r="BV2714"/>
  <c r="BY2715"/>
  <c r="BY2716" l="1"/>
  <c r="BZ2715"/>
  <c r="BW2715" s="1"/>
  <c r="BV2715"/>
  <c r="BB252"/>
  <c r="BF251"/>
  <c r="BD252" l="1"/>
  <c r="BE252" s="1"/>
  <c r="BC252"/>
  <c r="BZ2716"/>
  <c r="BW2716" s="1"/>
  <c r="BY2717"/>
  <c r="BV2716"/>
  <c r="BF252" l="1"/>
  <c r="BB253"/>
  <c r="BY2718"/>
  <c r="BZ2717"/>
  <c r="BW2717" s="1"/>
  <c r="BV2717"/>
  <c r="BZ2718" l="1"/>
  <c r="BW2718" s="1"/>
  <c r="BY2719"/>
  <c r="BV2718"/>
  <c r="BC253"/>
  <c r="BD253"/>
  <c r="BE253" s="1"/>
  <c r="BY2720" l="1"/>
  <c r="BZ2719"/>
  <c r="BW2719" s="1"/>
  <c r="BV2719"/>
  <c r="BB254"/>
  <c r="BF253"/>
  <c r="BC254" l="1"/>
  <c r="BD254"/>
  <c r="BE254" s="1"/>
  <c r="BZ2720"/>
  <c r="BY2721"/>
  <c r="BW2720"/>
  <c r="BV2720"/>
  <c r="BB255" l="1"/>
  <c r="BF254"/>
  <c r="BY2722"/>
  <c r="BZ2721"/>
  <c r="BW2721" s="1"/>
  <c r="BV2721"/>
  <c r="BD255" l="1"/>
  <c r="BE255" s="1"/>
  <c r="BC255"/>
  <c r="BZ2722"/>
  <c r="BW2722" s="1"/>
  <c r="BY2723"/>
  <c r="BV2722"/>
  <c r="BY2724" l="1"/>
  <c r="BZ2723"/>
  <c r="BW2723" s="1"/>
  <c r="BV2723"/>
  <c r="BB256"/>
  <c r="BF255"/>
  <c r="BD256" l="1"/>
  <c r="BE256" s="1"/>
  <c r="BC256"/>
  <c r="BZ2724"/>
  <c r="BW2724" s="1"/>
  <c r="BY2725"/>
  <c r="BV2724"/>
  <c r="BB257" l="1"/>
  <c r="BF256"/>
  <c r="BY2726"/>
  <c r="BV2725"/>
  <c r="BZ2725"/>
  <c r="BW2725" s="1"/>
  <c r="BC257" l="1"/>
  <c r="BD257"/>
  <c r="BE257" s="1"/>
  <c r="BZ2726"/>
  <c r="BY2727"/>
  <c r="BW2726"/>
  <c r="BV2726"/>
  <c r="BB258" l="1"/>
  <c r="BF257"/>
  <c r="BY2728"/>
  <c r="BZ2727"/>
  <c r="BV2727"/>
  <c r="BW2727"/>
  <c r="BD258" l="1"/>
  <c r="BE258" s="1"/>
  <c r="BC258"/>
  <c r="BZ2728"/>
  <c r="BY2729"/>
  <c r="BW2728"/>
  <c r="BV2728"/>
  <c r="BB259" l="1"/>
  <c r="BF258"/>
  <c r="BY2730"/>
  <c r="BZ2729"/>
  <c r="BW2729" s="1"/>
  <c r="BV2729"/>
  <c r="BC259" l="1"/>
  <c r="BD259"/>
  <c r="BE259" s="1"/>
  <c r="BZ2730"/>
  <c r="BW2730" s="1"/>
  <c r="BV2730"/>
  <c r="BY2731"/>
  <c r="BY2732" l="1"/>
  <c r="BZ2731"/>
  <c r="BW2731" s="1"/>
  <c r="BV2731"/>
  <c r="BB260"/>
  <c r="BF259"/>
  <c r="BZ2732" l="1"/>
  <c r="BW2732" s="1"/>
  <c r="BY2733"/>
  <c r="BV2732"/>
  <c r="BD260"/>
  <c r="BE260" s="1"/>
  <c r="BC260"/>
  <c r="BB261" l="1"/>
  <c r="BF260"/>
  <c r="BY2734"/>
  <c r="BZ2733"/>
  <c r="BW2733" s="1"/>
  <c r="BV2733"/>
  <c r="BC261" l="1"/>
  <c r="BD261"/>
  <c r="BE261" s="1"/>
  <c r="BZ2734"/>
  <c r="BY2735"/>
  <c r="BW2734"/>
  <c r="BV2734"/>
  <c r="BB262" l="1"/>
  <c r="BF261"/>
  <c r="BY2736"/>
  <c r="BZ2735"/>
  <c r="BV2735"/>
  <c r="BW2735"/>
  <c r="BC262" l="1"/>
  <c r="BD262"/>
  <c r="BE262" s="1"/>
  <c r="BZ2736"/>
  <c r="BY2737"/>
  <c r="BW2736"/>
  <c r="BV2736"/>
  <c r="BB263" l="1"/>
  <c r="BF262"/>
  <c r="BY2738"/>
  <c r="BZ2737"/>
  <c r="BW2737" s="1"/>
  <c r="BV2737"/>
  <c r="BD263" l="1"/>
  <c r="BE263" s="1"/>
  <c r="BC263"/>
  <c r="BZ2738"/>
  <c r="BW2738" s="1"/>
  <c r="BY2739"/>
  <c r="BV2738"/>
  <c r="BY2740" l="1"/>
  <c r="BZ2739"/>
  <c r="BW2739" s="1"/>
  <c r="BV2739"/>
  <c r="BB264"/>
  <c r="BF263"/>
  <c r="BD264" l="1"/>
  <c r="BE264" s="1"/>
  <c r="BC264"/>
  <c r="BZ2740"/>
  <c r="BW2740" s="1"/>
  <c r="BY2741"/>
  <c r="BV2740"/>
  <c r="BB265" l="1"/>
  <c r="BF264"/>
  <c r="BY2742"/>
  <c r="BV2741"/>
  <c r="BZ2741"/>
  <c r="BW2741" s="1"/>
  <c r="BC265" l="1"/>
  <c r="BD265"/>
  <c r="BE265" s="1"/>
  <c r="BZ2742"/>
  <c r="BY2743"/>
  <c r="BW2742"/>
  <c r="BV2742"/>
  <c r="BB266" l="1"/>
  <c r="BF265"/>
  <c r="BY2744"/>
  <c r="BZ2743"/>
  <c r="BV2743"/>
  <c r="BW2743"/>
  <c r="BD266" l="1"/>
  <c r="BE266" s="1"/>
  <c r="BC266"/>
  <c r="BZ2744"/>
  <c r="BY2745"/>
  <c r="BW2744"/>
  <c r="BV2744"/>
  <c r="BB267" l="1"/>
  <c r="BF266"/>
  <c r="BY2746"/>
  <c r="BZ2745"/>
  <c r="BW2745" s="1"/>
  <c r="BV2745"/>
  <c r="BC267" l="1"/>
  <c r="BD267"/>
  <c r="BE267" s="1"/>
  <c r="BZ2746"/>
  <c r="BW2746" s="1"/>
  <c r="BV2746"/>
  <c r="BY2747"/>
  <c r="BY2748" l="1"/>
  <c r="BZ2747"/>
  <c r="BW2747" s="1"/>
  <c r="BV2747"/>
  <c r="BB268"/>
  <c r="BF267"/>
  <c r="BZ2748" l="1"/>
  <c r="BW2748" s="1"/>
  <c r="BY2749"/>
  <c r="BV2748"/>
  <c r="BD268"/>
  <c r="BE268" s="1"/>
  <c r="BC268"/>
  <c r="BB269" l="1"/>
  <c r="BF268"/>
  <c r="BY2750"/>
  <c r="BZ2749"/>
  <c r="BW2749" s="1"/>
  <c r="BV2749"/>
  <c r="BD269" l="1"/>
  <c r="BE269" s="1"/>
  <c r="BC269"/>
  <c r="BZ2750"/>
  <c r="BY2751"/>
  <c r="BW2750"/>
  <c r="BV2750"/>
  <c r="BF269" l="1"/>
  <c r="BB270"/>
  <c r="BY2752"/>
  <c r="BZ2751"/>
  <c r="BV2751"/>
  <c r="BW2751"/>
  <c r="BD270" l="1"/>
  <c r="BE270" s="1"/>
  <c r="BC270"/>
  <c r="BZ2752"/>
  <c r="BY2753"/>
  <c r="BW2752"/>
  <c r="BV2752"/>
  <c r="BB271" l="1"/>
  <c r="BF270"/>
  <c r="BY2754"/>
  <c r="BZ2753"/>
  <c r="BW2753" s="1"/>
  <c r="BV2753"/>
  <c r="BC271" l="1"/>
  <c r="BD271"/>
  <c r="BE271" s="1"/>
  <c r="BZ2754"/>
  <c r="BW2754" s="1"/>
  <c r="BY2755"/>
  <c r="BV2754"/>
  <c r="BY2756" l="1"/>
  <c r="BZ2755"/>
  <c r="BW2755" s="1"/>
  <c r="BV2755"/>
  <c r="BB272"/>
  <c r="BF271"/>
  <c r="BZ2756" l="1"/>
  <c r="BW2756" s="1"/>
  <c r="BY2757"/>
  <c r="BV2756"/>
  <c r="BC272"/>
  <c r="BD272"/>
  <c r="BE272" s="1"/>
  <c r="BB273" l="1"/>
  <c r="BF272"/>
  <c r="BY2758"/>
  <c r="BV2757"/>
  <c r="BZ2757"/>
  <c r="BW2757" s="1"/>
  <c r="BD273" l="1"/>
  <c r="BE273" s="1"/>
  <c r="BC273"/>
  <c r="BZ2758"/>
  <c r="BY2759"/>
  <c r="BW2758"/>
  <c r="BV2758"/>
  <c r="BB274" l="1"/>
  <c r="BF273"/>
  <c r="BY2760"/>
  <c r="BZ2759"/>
  <c r="BW2759" s="1"/>
  <c r="BV2759"/>
  <c r="BD274" l="1"/>
  <c r="BE274" s="1"/>
  <c r="BC274"/>
  <c r="BZ2760"/>
  <c r="BY2761"/>
  <c r="BW2760"/>
  <c r="BV2760"/>
  <c r="BB275" l="1"/>
  <c r="BF274"/>
  <c r="BY2762"/>
  <c r="BZ2761"/>
  <c r="BW2761" s="1"/>
  <c r="BV2761"/>
  <c r="BC275" l="1"/>
  <c r="BD275"/>
  <c r="BE275" s="1"/>
  <c r="BZ2762"/>
  <c r="BW2762" s="1"/>
  <c r="BV2762"/>
  <c r="BY2763"/>
  <c r="BY2764" l="1"/>
  <c r="BZ2763"/>
  <c r="BW2763" s="1"/>
  <c r="BV2763"/>
  <c r="BB276"/>
  <c r="BF275"/>
  <c r="BZ2764" l="1"/>
  <c r="BW2764" s="1"/>
  <c r="BY2765"/>
  <c r="BV2764"/>
  <c r="BD276"/>
  <c r="BE276" s="1"/>
  <c r="BC276"/>
  <c r="BB277" l="1"/>
  <c r="BF276"/>
  <c r="BY2766"/>
  <c r="BZ2765"/>
  <c r="BW2765" s="1"/>
  <c r="BV2765"/>
  <c r="BC277" l="1"/>
  <c r="BD277"/>
  <c r="BE277" s="1"/>
  <c r="BZ2766"/>
  <c r="BY2767"/>
  <c r="BW2766"/>
  <c r="BV2766"/>
  <c r="BB278" l="1"/>
  <c r="BF277"/>
  <c r="BY2768"/>
  <c r="BZ2767"/>
  <c r="BW2767" s="1"/>
  <c r="BV2767"/>
  <c r="BD278" l="1"/>
  <c r="BE278" s="1"/>
  <c r="BC278"/>
  <c r="BZ2768"/>
  <c r="BY2769"/>
  <c r="BW2768"/>
  <c r="BV2768"/>
  <c r="BB279" l="1"/>
  <c r="BF278"/>
  <c r="BY2770"/>
  <c r="BZ2769"/>
  <c r="BW2769" s="1"/>
  <c r="BV2769"/>
  <c r="BD279" l="1"/>
  <c r="BE279" s="1"/>
  <c r="BC279"/>
  <c r="BZ2770"/>
  <c r="BW2770" s="1"/>
  <c r="BY2771"/>
  <c r="BV2770"/>
  <c r="BY2772" l="1"/>
  <c r="BZ2771"/>
  <c r="BW2771" s="1"/>
  <c r="BV2771"/>
  <c r="BB280"/>
  <c r="BF279"/>
  <c r="BD280" l="1"/>
  <c r="BE280" s="1"/>
  <c r="BC280"/>
  <c r="BZ2772"/>
  <c r="BW2772" s="1"/>
  <c r="BY2773"/>
  <c r="BV2772"/>
  <c r="BB281" l="1"/>
  <c r="BF280"/>
  <c r="BY2774"/>
  <c r="BV2773"/>
  <c r="BZ2773"/>
  <c r="BW2773" s="1"/>
  <c r="BC281" l="1"/>
  <c r="BD281"/>
  <c r="BE281" s="1"/>
  <c r="BZ2774"/>
  <c r="BY2775"/>
  <c r="BW2774"/>
  <c r="BV2774"/>
  <c r="BF281" l="1"/>
  <c r="BB282"/>
  <c r="BY2776"/>
  <c r="BZ2775"/>
  <c r="BV2775"/>
  <c r="BW2775"/>
  <c r="BD282" l="1"/>
  <c r="BE282" s="1"/>
  <c r="BC282"/>
  <c r="BZ2776"/>
  <c r="BY2777"/>
  <c r="BW2776"/>
  <c r="BV2776"/>
  <c r="BB283" l="1"/>
  <c r="BF282"/>
  <c r="BY2778"/>
  <c r="BZ2777"/>
  <c r="BW2777" s="1"/>
  <c r="BV2777"/>
  <c r="BC283" l="1"/>
  <c r="BD283"/>
  <c r="BE283" s="1"/>
  <c r="BZ2778"/>
  <c r="BW2778" s="1"/>
  <c r="BV2778"/>
  <c r="BY2779"/>
  <c r="BB284" l="1"/>
  <c r="BF283"/>
  <c r="BY2780"/>
  <c r="BZ2779"/>
  <c r="BW2779" s="1"/>
  <c r="BV2779"/>
  <c r="BD284" l="1"/>
  <c r="BE284" s="1"/>
  <c r="BC284"/>
  <c r="BZ2780"/>
  <c r="BW2780" s="1"/>
  <c r="BY2781"/>
  <c r="BV2780"/>
  <c r="BB285" l="1"/>
  <c r="BF284"/>
  <c r="BY2782"/>
  <c r="BZ2781"/>
  <c r="BW2781" s="1"/>
  <c r="BV2781"/>
  <c r="BC285" l="1"/>
  <c r="BD285"/>
  <c r="BE285" s="1"/>
  <c r="BZ2782"/>
  <c r="BY2783"/>
  <c r="BW2782"/>
  <c r="BV2782"/>
  <c r="BB286" l="1"/>
  <c r="BF285"/>
  <c r="BY2784"/>
  <c r="BZ2783"/>
  <c r="BV2783"/>
  <c r="BW2783"/>
  <c r="BC286" l="1"/>
  <c r="BD286"/>
  <c r="BE286" s="1"/>
  <c r="BZ2784"/>
  <c r="BY2785"/>
  <c r="BW2784"/>
  <c r="BV2784"/>
  <c r="BB287" l="1"/>
  <c r="BF286"/>
  <c r="BY2786"/>
  <c r="BZ2785"/>
  <c r="BW2785" s="1"/>
  <c r="BV2785"/>
  <c r="BD287" l="1"/>
  <c r="BE287" s="1"/>
  <c r="BC287"/>
  <c r="BZ2786"/>
  <c r="BW2786" s="1"/>
  <c r="BY2787"/>
  <c r="BV2786"/>
  <c r="BY2788" l="1"/>
  <c r="BZ2787"/>
  <c r="BW2787" s="1"/>
  <c r="BV2787"/>
  <c r="BB288"/>
  <c r="BF287"/>
  <c r="BD288" l="1"/>
  <c r="BE288" s="1"/>
  <c r="BC288"/>
  <c r="BZ2788"/>
  <c r="BW2788" s="1"/>
  <c r="BY2789"/>
  <c r="BV2788"/>
  <c r="BB289" l="1"/>
  <c r="BF288"/>
  <c r="BY2790"/>
  <c r="BV2789"/>
  <c r="BZ2789"/>
  <c r="BW2789" s="1"/>
  <c r="BC289" l="1"/>
  <c r="BD289"/>
  <c r="BE289" s="1"/>
  <c r="BZ2790"/>
  <c r="BY2791"/>
  <c r="BW2790"/>
  <c r="BV2790"/>
  <c r="BF289" l="1"/>
  <c r="BB290"/>
  <c r="BY2792"/>
  <c r="BZ2791"/>
  <c r="BV2791"/>
  <c r="BW2791"/>
  <c r="BD290" l="1"/>
  <c r="BE290" s="1"/>
  <c r="BC290"/>
  <c r="BZ2792"/>
  <c r="BY2793"/>
  <c r="BW2792"/>
  <c r="BV2792"/>
  <c r="BB291" l="1"/>
  <c r="BF290"/>
  <c r="BY2794"/>
  <c r="BZ2793"/>
  <c r="BW2793" s="1"/>
  <c r="BV2793"/>
  <c r="BC291" l="1"/>
  <c r="BD291"/>
  <c r="BE291" s="1"/>
  <c r="BZ2794"/>
  <c r="BW2794" s="1"/>
  <c r="BV2794"/>
  <c r="BY2795"/>
  <c r="BB292" l="1"/>
  <c r="BF291"/>
  <c r="BY2796"/>
  <c r="BZ2795"/>
  <c r="BV2795"/>
  <c r="BW2795"/>
  <c r="BZ2796" l="1"/>
  <c r="BW2796" s="1"/>
  <c r="BY2797"/>
  <c r="BV2796"/>
  <c r="BD292"/>
  <c r="BE292" s="1"/>
  <c r="BC292"/>
  <c r="BB293" l="1"/>
  <c r="BF292"/>
  <c r="BY2798"/>
  <c r="BZ2797"/>
  <c r="BW2797" s="1"/>
  <c r="BV2797"/>
  <c r="BC293" l="1"/>
  <c r="BD293"/>
  <c r="BE293" s="1"/>
  <c r="BZ2798"/>
  <c r="BY2799"/>
  <c r="BW2798"/>
  <c r="BV2798"/>
  <c r="BB294" l="1"/>
  <c r="BF293"/>
  <c r="BY2800"/>
  <c r="BZ2799"/>
  <c r="BV2799"/>
  <c r="BW2799"/>
  <c r="BD294" l="1"/>
  <c r="BE294" s="1"/>
  <c r="BC294"/>
  <c r="BZ2800"/>
  <c r="BY2801"/>
  <c r="BW2800"/>
  <c r="BV2800"/>
  <c r="BB295" l="1"/>
  <c r="BF294"/>
  <c r="BY2802"/>
  <c r="BZ2801"/>
  <c r="BW2801" s="1"/>
  <c r="BV2801"/>
  <c r="BC295" l="1"/>
  <c r="BD295"/>
  <c r="BE295" s="1"/>
  <c r="BZ2802"/>
  <c r="BW2802" s="1"/>
  <c r="BY2803"/>
  <c r="BV2802"/>
  <c r="BY2804" l="1"/>
  <c r="BZ2803"/>
  <c r="BW2803" s="1"/>
  <c r="BV2803"/>
  <c r="BB296"/>
  <c r="BF295"/>
  <c r="BZ2804" l="1"/>
  <c r="BW2804" s="1"/>
  <c r="BY2805"/>
  <c r="BV2804"/>
  <c r="BD296"/>
  <c r="BE296" s="1"/>
  <c r="BC296"/>
  <c r="BF296" l="1"/>
  <c r="BB297"/>
  <c r="BY2806"/>
  <c r="BV2805"/>
  <c r="BZ2805"/>
  <c r="BW2805" s="1"/>
  <c r="BZ2806" l="1"/>
  <c r="BW2806" s="1"/>
  <c r="BY2807"/>
  <c r="BV2806"/>
  <c r="BC297"/>
  <c r="BD297"/>
  <c r="BE297" s="1"/>
  <c r="BY2808" l="1"/>
  <c r="BZ2807"/>
  <c r="BW2807" s="1"/>
  <c r="BV2807"/>
  <c r="BB298"/>
  <c r="BF297"/>
  <c r="BC298" l="1"/>
  <c r="BD298"/>
  <c r="BE298" s="1"/>
  <c r="BZ2808"/>
  <c r="BY2809"/>
  <c r="BW2808"/>
  <c r="BV2808"/>
  <c r="BB299" l="1"/>
  <c r="BF298"/>
  <c r="BY2810"/>
  <c r="BZ2809"/>
  <c r="BW2809" s="1"/>
  <c r="BV2809"/>
  <c r="BC299" l="1"/>
  <c r="BD299"/>
  <c r="BE299" s="1"/>
  <c r="BZ2810"/>
  <c r="BW2810" s="1"/>
  <c r="BV2810"/>
  <c r="BY2811"/>
  <c r="BF299" l="1"/>
  <c r="BB300"/>
  <c r="BY2812"/>
  <c r="BZ2811"/>
  <c r="BV2811"/>
  <c r="BW2811"/>
  <c r="BD300" l="1"/>
  <c r="BE300" s="1"/>
  <c r="BC300"/>
  <c r="BZ2812"/>
  <c r="BW2812" s="1"/>
  <c r="BY2813"/>
  <c r="BV2812"/>
  <c r="BB301" l="1"/>
  <c r="BF300"/>
  <c r="BY2814"/>
  <c r="BZ2813"/>
  <c r="BW2813" s="1"/>
  <c r="BV2813"/>
  <c r="BC301" l="1"/>
  <c r="BD301"/>
  <c r="BE301" s="1"/>
  <c r="BZ2814"/>
  <c r="BY2815"/>
  <c r="BW2814"/>
  <c r="BV2814"/>
  <c r="BB302" l="1"/>
  <c r="BF301"/>
  <c r="BY2816"/>
  <c r="BZ2815"/>
  <c r="BW2815" s="1"/>
  <c r="BV2815"/>
  <c r="BD302" l="1"/>
  <c r="BE302" s="1"/>
  <c r="BC302"/>
  <c r="BZ2816"/>
  <c r="BY2817"/>
  <c r="BW2816"/>
  <c r="BV2816"/>
  <c r="BB303" l="1"/>
  <c r="BF302"/>
  <c r="BY2818"/>
  <c r="BZ2817"/>
  <c r="BW2817" s="1"/>
  <c r="BV2817"/>
  <c r="BC303" l="1"/>
  <c r="BD303"/>
  <c r="BE303" s="1"/>
  <c r="BZ2818"/>
  <c r="BW2818" s="1"/>
  <c r="BY2819"/>
  <c r="BV2818"/>
  <c r="BY2820" l="1"/>
  <c r="BZ2819"/>
  <c r="BW2819" s="1"/>
  <c r="BV2819"/>
  <c r="BB304"/>
  <c r="BF303"/>
  <c r="BZ2820" l="1"/>
  <c r="BW2820" s="1"/>
  <c r="BY2821"/>
  <c r="BV2820"/>
  <c r="BD304"/>
  <c r="BE304" s="1"/>
  <c r="BC304"/>
  <c r="BB305" l="1"/>
  <c r="BF304"/>
  <c r="BY2822"/>
  <c r="BV2821"/>
  <c r="BZ2821"/>
  <c r="BW2821" s="1"/>
  <c r="BC305" l="1"/>
  <c r="BD305"/>
  <c r="BE305" s="1"/>
  <c r="BZ2822"/>
  <c r="BY2823"/>
  <c r="BW2822"/>
  <c r="BV2822"/>
  <c r="BB306" l="1"/>
  <c r="BF305"/>
  <c r="BY2824"/>
  <c r="BZ2823"/>
  <c r="BV2823"/>
  <c r="BW2823"/>
  <c r="BD306" l="1"/>
  <c r="BE306" s="1"/>
  <c r="BC306"/>
  <c r="BZ2824"/>
  <c r="BY2825"/>
  <c r="BW2824"/>
  <c r="BV2824"/>
  <c r="BF306" l="1"/>
  <c r="BB307"/>
  <c r="BY2826"/>
  <c r="BZ2825"/>
  <c r="BW2825" s="1"/>
  <c r="BV2825"/>
  <c r="BC307" l="1"/>
  <c r="BD307"/>
  <c r="BE307" s="1"/>
  <c r="BZ2826"/>
  <c r="BW2826" s="1"/>
  <c r="BV2826"/>
  <c r="BY2827"/>
  <c r="BB308" l="1"/>
  <c r="BF307"/>
  <c r="BY2828"/>
  <c r="BZ2827"/>
  <c r="BV2827"/>
  <c r="BW2827"/>
  <c r="BZ2828" l="1"/>
  <c r="BW2828" s="1"/>
  <c r="BY2829"/>
  <c r="BV2828"/>
  <c r="BC308"/>
  <c r="BD308"/>
  <c r="BE308" s="1"/>
  <c r="BB309" l="1"/>
  <c r="BF308"/>
  <c r="BY2830"/>
  <c r="BZ2829"/>
  <c r="BW2829" s="1"/>
  <c r="BV2829"/>
  <c r="BD309" l="1"/>
  <c r="BE309" s="1"/>
  <c r="BC309"/>
  <c r="BZ2830"/>
  <c r="BY2831"/>
  <c r="BW2830"/>
  <c r="BV2830"/>
  <c r="BB310" l="1"/>
  <c r="BF309"/>
  <c r="BY2832"/>
  <c r="BZ2831"/>
  <c r="BW2831" s="1"/>
  <c r="BV2831"/>
  <c r="BD310" l="1"/>
  <c r="BE310" s="1"/>
  <c r="BC310"/>
  <c r="BZ2832"/>
  <c r="BY2833"/>
  <c r="BW2832"/>
  <c r="BV2832"/>
  <c r="BB311" l="1"/>
  <c r="BF310"/>
  <c r="BY2834"/>
  <c r="BZ2833"/>
  <c r="BW2833" s="1"/>
  <c r="BV2833"/>
  <c r="BC311" l="1"/>
  <c r="BD311"/>
  <c r="BE311" s="1"/>
  <c r="BZ2834"/>
  <c r="BW2834" s="1"/>
  <c r="BY2835"/>
  <c r="BV2834"/>
  <c r="BY2836" l="1"/>
  <c r="BZ2835"/>
  <c r="BW2835" s="1"/>
  <c r="BV2835"/>
  <c r="BB312"/>
  <c r="BF311"/>
  <c r="BZ2836" l="1"/>
  <c r="BW2836" s="1"/>
  <c r="BY2837"/>
  <c r="BV2836"/>
  <c r="BD312"/>
  <c r="BE312" s="1"/>
  <c r="BC312"/>
  <c r="BB313" l="1"/>
  <c r="BF312"/>
  <c r="BY2838"/>
  <c r="BV2837"/>
  <c r="BZ2837"/>
  <c r="BW2837" s="1"/>
  <c r="BC313" l="1"/>
  <c r="BD313"/>
  <c r="BE313" s="1"/>
  <c r="BZ2838"/>
  <c r="BY2839"/>
  <c r="BW2838"/>
  <c r="BV2838"/>
  <c r="BB314" l="1"/>
  <c r="BF313"/>
  <c r="BY2840"/>
  <c r="BZ2839"/>
  <c r="BV2839"/>
  <c r="BW2839"/>
  <c r="BD314" l="1"/>
  <c r="BE314" s="1"/>
  <c r="BC314"/>
  <c r="BZ2840"/>
  <c r="BY2841"/>
  <c r="BW2840"/>
  <c r="BV2840"/>
  <c r="BB315" l="1"/>
  <c r="BF314"/>
  <c r="BY2842"/>
  <c r="BZ2841"/>
  <c r="BW2841" s="1"/>
  <c r="BV2841"/>
  <c r="BC315" l="1"/>
  <c r="BD315"/>
  <c r="BE315" s="1"/>
  <c r="BZ2842"/>
  <c r="BW2842" s="1"/>
  <c r="BV2842"/>
  <c r="BY2843"/>
  <c r="BY2844" l="1"/>
  <c r="BZ2843"/>
  <c r="BW2843" s="1"/>
  <c r="BV2843"/>
  <c r="BB316"/>
  <c r="BF315"/>
  <c r="BD316" l="1"/>
  <c r="BE316" s="1"/>
  <c r="BC316"/>
  <c r="BZ2844"/>
  <c r="BW2844" s="1"/>
  <c r="BY2845"/>
  <c r="BV2844"/>
  <c r="BF316" l="1"/>
  <c r="BB317"/>
  <c r="BY2846"/>
  <c r="BZ2845"/>
  <c r="BW2845" s="1"/>
  <c r="BV2845"/>
  <c r="BZ2846" l="1"/>
  <c r="BW2846" s="1"/>
  <c r="BY2847"/>
  <c r="BV2846"/>
  <c r="BC317"/>
  <c r="BD317"/>
  <c r="BE317" s="1"/>
  <c r="BY2848" l="1"/>
  <c r="BZ2847"/>
  <c r="BW2847" s="1"/>
  <c r="BV2847"/>
  <c r="BB318"/>
  <c r="BF317"/>
  <c r="BZ2848" l="1"/>
  <c r="BW2848" s="1"/>
  <c r="BY2849"/>
  <c r="BV2848"/>
  <c r="BC318"/>
  <c r="BD318"/>
  <c r="BE318" s="1"/>
  <c r="BB319" l="1"/>
  <c r="BF318"/>
  <c r="BY2850"/>
  <c r="BZ2849"/>
  <c r="BW2849" s="1"/>
  <c r="BV2849"/>
  <c r="BD319" l="1"/>
  <c r="BE319" s="1"/>
  <c r="BC319"/>
  <c r="BZ2850"/>
  <c r="BW2850" s="1"/>
  <c r="BY2851"/>
  <c r="BV2850"/>
  <c r="BY2852" l="1"/>
  <c r="BZ2851"/>
  <c r="BW2851" s="1"/>
  <c r="BV2851"/>
  <c r="BB320"/>
  <c r="BF319"/>
  <c r="BZ2852" l="1"/>
  <c r="BW2852" s="1"/>
  <c r="BY2853"/>
  <c r="BV2852"/>
  <c r="BD320"/>
  <c r="BE320" s="1"/>
  <c r="BC320"/>
  <c r="BB321" l="1"/>
  <c r="BF320"/>
  <c r="BY2854"/>
  <c r="BV2853"/>
  <c r="BZ2853"/>
  <c r="BW2853" s="1"/>
  <c r="BC321" l="1"/>
  <c r="BD321"/>
  <c r="BE321" s="1"/>
  <c r="BZ2854"/>
  <c r="BY2855"/>
  <c r="BW2854"/>
  <c r="BV2854"/>
  <c r="BB322" l="1"/>
  <c r="BF321"/>
  <c r="BY2856"/>
  <c r="BZ2855"/>
  <c r="BV2855"/>
  <c r="BW2855"/>
  <c r="BC322" l="1"/>
  <c r="BD322"/>
  <c r="BE322" s="1"/>
  <c r="BZ2856"/>
  <c r="BY2857"/>
  <c r="BW2856"/>
  <c r="BV2856"/>
  <c r="BB323" l="1"/>
  <c r="BF322"/>
  <c r="BY2858"/>
  <c r="BZ2857"/>
  <c r="BW2857" s="1"/>
  <c r="BV2857"/>
  <c r="BD323" l="1"/>
  <c r="BE323" s="1"/>
  <c r="BC323"/>
  <c r="BZ2858"/>
  <c r="BW2858" s="1"/>
  <c r="BV2858"/>
  <c r="BY2859"/>
  <c r="BY2860" l="1"/>
  <c r="BZ2859"/>
  <c r="BW2859" s="1"/>
  <c r="BV2859"/>
  <c r="BF323"/>
  <c r="BB324"/>
  <c r="BZ2860" l="1"/>
  <c r="BW2860" s="1"/>
  <c r="BY2861"/>
  <c r="BV2860"/>
  <c r="BD324"/>
  <c r="BE324" s="1"/>
  <c r="BC324"/>
  <c r="BB325" l="1"/>
  <c r="BF324"/>
  <c r="BY2862"/>
  <c r="BZ2861"/>
  <c r="BW2861" s="1"/>
  <c r="BV2861"/>
  <c r="BC325" l="1"/>
  <c r="BD325"/>
  <c r="BE325" s="1"/>
  <c r="BZ2862"/>
  <c r="BY2863"/>
  <c r="BW2862"/>
  <c r="BV2862"/>
  <c r="BB326" l="1"/>
  <c r="BF325"/>
  <c r="BY2864"/>
  <c r="BZ2863"/>
  <c r="BV2863"/>
  <c r="BW2863"/>
  <c r="BD326" l="1"/>
  <c r="BE326" s="1"/>
  <c r="BC326"/>
  <c r="BZ2864"/>
  <c r="BY2865"/>
  <c r="BW2864"/>
  <c r="BV2864"/>
  <c r="BF326" l="1"/>
  <c r="BB327"/>
  <c r="BY2866"/>
  <c r="BZ2865"/>
  <c r="BW2865" s="1"/>
  <c r="BV2865"/>
  <c r="BZ2866" l="1"/>
  <c r="BW2866" s="1"/>
  <c r="BY2867"/>
  <c r="BV2866"/>
  <c r="BC327"/>
  <c r="BD327"/>
  <c r="BE327" s="1"/>
  <c r="BB328" l="1"/>
  <c r="BF327"/>
  <c r="BY2868"/>
  <c r="BZ2867"/>
  <c r="BV2867"/>
  <c r="BW2867"/>
  <c r="BZ2868" l="1"/>
  <c r="BW2868" s="1"/>
  <c r="BY2869"/>
  <c r="BV2868"/>
  <c r="BC328"/>
  <c r="BD328"/>
  <c r="BE328" s="1"/>
  <c r="BB329" l="1"/>
  <c r="BF328"/>
  <c r="BY2870"/>
  <c r="BV2869"/>
  <c r="BZ2869"/>
  <c r="BW2869" s="1"/>
  <c r="BD329" l="1"/>
  <c r="BE329" s="1"/>
  <c r="BC329"/>
  <c r="BZ2870"/>
  <c r="BY2871"/>
  <c r="BW2870"/>
  <c r="BV2870"/>
  <c r="BB330" l="1"/>
  <c r="BF329"/>
  <c r="BY2872"/>
  <c r="BZ2871"/>
  <c r="BW2871" s="1"/>
  <c r="BV2871"/>
  <c r="BD330" l="1"/>
  <c r="BE330" s="1"/>
  <c r="BC330"/>
  <c r="BZ2872"/>
  <c r="BY2873"/>
  <c r="BW2872"/>
  <c r="BV2872"/>
  <c r="BB331" l="1"/>
  <c r="BF330"/>
  <c r="BY2874"/>
  <c r="BZ2873"/>
  <c r="BW2873" s="1"/>
  <c r="BV2873"/>
  <c r="BC331" l="1"/>
  <c r="BD331"/>
  <c r="BE331" s="1"/>
  <c r="BZ2874"/>
  <c r="BW2874" s="1"/>
  <c r="BV2874"/>
  <c r="BY2875"/>
  <c r="BF331" l="1"/>
  <c r="BB332"/>
  <c r="BY2876"/>
  <c r="BZ2875"/>
  <c r="BW2875" s="1"/>
  <c r="BV2875"/>
  <c r="BC332" l="1"/>
  <c r="BD332"/>
  <c r="BE332" s="1"/>
  <c r="BZ2876"/>
  <c r="BY2877"/>
  <c r="BV2876"/>
  <c r="BW2876"/>
  <c r="BB333" l="1"/>
  <c r="BF332"/>
  <c r="BY2878"/>
  <c r="BZ2877"/>
  <c r="BW2877" s="1"/>
  <c r="BV2877"/>
  <c r="BD333" l="1"/>
  <c r="BE333" s="1"/>
  <c r="BC333"/>
  <c r="BZ2878"/>
  <c r="BY2879"/>
  <c r="BW2878"/>
  <c r="BV2878"/>
  <c r="BF333" l="1"/>
  <c r="BB334"/>
  <c r="BY2880"/>
  <c r="BZ2879"/>
  <c r="BW2879" s="1"/>
  <c r="BV2879"/>
  <c r="BD334" l="1"/>
  <c r="BE334" s="1"/>
  <c r="BC334"/>
  <c r="BZ2880"/>
  <c r="BY2881"/>
  <c r="BW2880"/>
  <c r="BV2880"/>
  <c r="BB335" l="1"/>
  <c r="BF334"/>
  <c r="BY2882"/>
  <c r="BZ2881"/>
  <c r="BW2881" s="1"/>
  <c r="BV2881"/>
  <c r="BC335" l="1"/>
  <c r="BD335"/>
  <c r="BE335" s="1"/>
  <c r="BZ2882"/>
  <c r="BW2882" s="1"/>
  <c r="BY2883"/>
  <c r="BV2882"/>
  <c r="BY2884" l="1"/>
  <c r="BZ2883"/>
  <c r="BW2883" s="1"/>
  <c r="BV2883"/>
  <c r="BB336"/>
  <c r="BF335"/>
  <c r="BZ2884" l="1"/>
  <c r="BW2884" s="1"/>
  <c r="BY2885"/>
  <c r="BV2884"/>
  <c r="BD336"/>
  <c r="BE336" s="1"/>
  <c r="BC336"/>
  <c r="BB337" l="1"/>
  <c r="BF336"/>
  <c r="BY2886"/>
  <c r="BV2885"/>
  <c r="BZ2885"/>
  <c r="BW2885" s="1"/>
  <c r="BD337" l="1"/>
  <c r="BE337" s="1"/>
  <c r="BC337"/>
  <c r="BZ2886"/>
  <c r="BY2887"/>
  <c r="BW2886"/>
  <c r="BV2886"/>
  <c r="BB338" l="1"/>
  <c r="BF337"/>
  <c r="BY2888"/>
  <c r="BZ2887"/>
  <c r="BW2887" s="1"/>
  <c r="BV2887"/>
  <c r="BD338" l="1"/>
  <c r="BE338" s="1"/>
  <c r="BC338"/>
  <c r="BZ2888"/>
  <c r="BY2889"/>
  <c r="BW2888"/>
  <c r="BV2888"/>
  <c r="BF338" l="1"/>
  <c r="BB339"/>
  <c r="BY2890"/>
  <c r="BZ2889"/>
  <c r="BW2889" s="1"/>
  <c r="BV2889"/>
  <c r="BC339" l="1"/>
  <c r="BD339"/>
  <c r="BE339" s="1"/>
  <c r="BZ2890"/>
  <c r="BW2890" s="1"/>
  <c r="BV2890"/>
  <c r="BY2891"/>
  <c r="BB340" l="1"/>
  <c r="BF339"/>
  <c r="BY2892"/>
  <c r="BZ2891"/>
  <c r="BV2891"/>
  <c r="BW2891"/>
  <c r="BZ2892" l="1"/>
  <c r="BW2892" s="1"/>
  <c r="BY2893"/>
  <c r="BV2892"/>
  <c r="BD340"/>
  <c r="BE340" s="1"/>
  <c r="BC340"/>
  <c r="BB341" l="1"/>
  <c r="BF340"/>
  <c r="BY2894"/>
  <c r="BZ2893"/>
  <c r="BW2893" s="1"/>
  <c r="BV2893"/>
  <c r="BC341" l="1"/>
  <c r="BD341"/>
  <c r="BE341" s="1"/>
  <c r="BZ2894"/>
  <c r="BY2895"/>
  <c r="BW2894"/>
  <c r="BV2894"/>
  <c r="BB342" l="1"/>
  <c r="BF341"/>
  <c r="BY2896"/>
  <c r="BZ2895"/>
  <c r="BV2895"/>
  <c r="BW2895"/>
  <c r="BD342" l="1"/>
  <c r="BE342" s="1"/>
  <c r="BC342"/>
  <c r="BZ2896"/>
  <c r="BY2897"/>
  <c r="BW2896"/>
  <c r="BV2896"/>
  <c r="BB343" l="1"/>
  <c r="BF342"/>
  <c r="BY2898"/>
  <c r="BZ2897"/>
  <c r="BW2897" s="1"/>
  <c r="BV2897"/>
  <c r="BC343" l="1"/>
  <c r="BD343"/>
  <c r="BE343" s="1"/>
  <c r="BZ2898"/>
  <c r="BW2898" s="1"/>
  <c r="BY2899"/>
  <c r="BV2898"/>
  <c r="BY2900" l="1"/>
  <c r="BZ2899"/>
  <c r="BW2899" s="1"/>
  <c r="BV2899"/>
  <c r="BB344"/>
  <c r="BF343"/>
  <c r="BZ2900" l="1"/>
  <c r="BW2900" s="1"/>
  <c r="BY2901"/>
  <c r="BV2900"/>
  <c r="BD344"/>
  <c r="BE344" s="1"/>
  <c r="BC344"/>
  <c r="BB345" l="1"/>
  <c r="BF344"/>
  <c r="BY2902"/>
  <c r="BV2901"/>
  <c r="BZ2901"/>
  <c r="BW2901" s="1"/>
  <c r="BD345" l="1"/>
  <c r="BE345" s="1"/>
  <c r="BC345"/>
  <c r="BZ2902"/>
  <c r="BY2903"/>
  <c r="BW2902"/>
  <c r="BV2902"/>
  <c r="BF345" l="1"/>
  <c r="BB346"/>
  <c r="BY2904"/>
  <c r="BZ2903"/>
  <c r="BV2903"/>
  <c r="BW2903"/>
  <c r="BD346" l="1"/>
  <c r="BE346" s="1"/>
  <c r="BC346"/>
  <c r="BZ2904"/>
  <c r="BY2905"/>
  <c r="BW2904"/>
  <c r="BV2904"/>
  <c r="BB347" l="1"/>
  <c r="BF346"/>
  <c r="BY2906"/>
  <c r="BZ2905"/>
  <c r="BW2905" s="1"/>
  <c r="BV2905"/>
  <c r="BC347" l="1"/>
  <c r="BD347"/>
  <c r="BE347" s="1"/>
  <c r="BZ2906"/>
  <c r="BW2906" s="1"/>
  <c r="BV2906"/>
  <c r="BY2907"/>
  <c r="BB348" l="1"/>
  <c r="BF347"/>
  <c r="BY2908"/>
  <c r="BZ2907"/>
  <c r="BW2907" s="1"/>
  <c r="BV2907"/>
  <c r="BC348" l="1"/>
  <c r="BD348"/>
  <c r="BE348" s="1"/>
  <c r="BZ2908"/>
  <c r="BW2908" s="1"/>
  <c r="BY2909"/>
  <c r="BV2908"/>
  <c r="BB349" l="1"/>
  <c r="BF348"/>
  <c r="BY2910"/>
  <c r="BZ2909"/>
  <c r="BW2909" s="1"/>
  <c r="BV2909"/>
  <c r="BD349" l="1"/>
  <c r="BE349" s="1"/>
  <c r="BC349"/>
  <c r="BZ2910"/>
  <c r="BY2911"/>
  <c r="BW2910"/>
  <c r="BV2910"/>
  <c r="BB350" l="1"/>
  <c r="BF349"/>
  <c r="BY2912"/>
  <c r="BZ2911"/>
  <c r="BW2911" s="1"/>
  <c r="BV2911"/>
  <c r="BD350" l="1"/>
  <c r="BE350" s="1"/>
  <c r="BC350"/>
  <c r="BZ2912"/>
  <c r="BY2913"/>
  <c r="BW2912"/>
  <c r="BV2912"/>
  <c r="BB351" l="1"/>
  <c r="BF350"/>
  <c r="BY2914"/>
  <c r="BZ2913"/>
  <c r="BW2913" s="1"/>
  <c r="BV2913"/>
  <c r="BC351" l="1"/>
  <c r="BD351"/>
  <c r="BE351" s="1"/>
  <c r="BZ2914"/>
  <c r="BW2914" s="1"/>
  <c r="BY2915"/>
  <c r="BV2914"/>
  <c r="BF351" l="1"/>
  <c r="BB352"/>
  <c r="BY2916"/>
  <c r="BZ2915"/>
  <c r="BV2915"/>
  <c r="BW2915"/>
  <c r="BD352" l="1"/>
  <c r="BE352" s="1"/>
  <c r="BC352"/>
  <c r="BZ2916"/>
  <c r="BW2916" s="1"/>
  <c r="BY2917"/>
  <c r="BV2916"/>
  <c r="BB353" l="1"/>
  <c r="BF352"/>
  <c r="BY2918"/>
  <c r="BV2917"/>
  <c r="BZ2917"/>
  <c r="BW2917" s="1"/>
  <c r="BC353" l="1"/>
  <c r="BD353"/>
  <c r="BE353" s="1"/>
  <c r="BZ2918"/>
  <c r="BY2919"/>
  <c r="BW2918"/>
  <c r="BV2918"/>
  <c r="BB354" l="1"/>
  <c r="BF353"/>
  <c r="BY2920"/>
  <c r="BZ2919"/>
  <c r="BV2919"/>
  <c r="BW2919"/>
  <c r="BD354" l="1"/>
  <c r="BE354" s="1"/>
  <c r="BC354"/>
  <c r="BZ2920"/>
  <c r="BY2921"/>
  <c r="BW2920"/>
  <c r="BV2920"/>
  <c r="BB355" l="1"/>
  <c r="BF354"/>
  <c r="BY2922"/>
  <c r="BZ2921"/>
  <c r="BW2921" s="1"/>
  <c r="BV2921"/>
  <c r="BC355" l="1"/>
  <c r="BD355"/>
  <c r="BE355" s="1"/>
  <c r="BZ2922"/>
  <c r="BW2922" s="1"/>
  <c r="BV2922"/>
  <c r="BY2923"/>
  <c r="BY2924" l="1"/>
  <c r="BZ2923"/>
  <c r="BW2923" s="1"/>
  <c r="BV2923"/>
  <c r="BB356"/>
  <c r="BF355"/>
  <c r="BZ2924" l="1"/>
  <c r="BW2924" s="1"/>
  <c r="BY2925"/>
  <c r="BV2924"/>
  <c r="BD356"/>
  <c r="BE356" s="1"/>
  <c r="BC356"/>
  <c r="BB357" l="1"/>
  <c r="BF356"/>
  <c r="BY2926"/>
  <c r="BZ2925"/>
  <c r="BW2925" s="1"/>
  <c r="BV2925"/>
  <c r="BC357" l="1"/>
  <c r="BD357"/>
  <c r="BE357" s="1"/>
  <c r="BZ2926"/>
  <c r="BY2927"/>
  <c r="BW2926"/>
  <c r="BV2926"/>
  <c r="BB358" l="1"/>
  <c r="BF357"/>
  <c r="BY2928"/>
  <c r="BZ2927"/>
  <c r="BV2927"/>
  <c r="BW2927"/>
  <c r="BC358" l="1"/>
  <c r="BD358"/>
  <c r="BE358" s="1"/>
  <c r="BZ2928"/>
  <c r="BY2929"/>
  <c r="BW2928"/>
  <c r="BV2928"/>
  <c r="BB359" l="1"/>
  <c r="BF358"/>
  <c r="BY2930"/>
  <c r="BZ2929"/>
  <c r="BW2929" s="1"/>
  <c r="BV2929"/>
  <c r="BD359" l="1"/>
  <c r="BE359" s="1"/>
  <c r="BC359"/>
  <c r="BZ2930"/>
  <c r="BW2930" s="1"/>
  <c r="BY2931"/>
  <c r="BV2930"/>
  <c r="BY2932" l="1"/>
  <c r="BZ2931"/>
  <c r="BW2931" s="1"/>
  <c r="BV2931"/>
  <c r="BB360"/>
  <c r="BF359"/>
  <c r="BD360" l="1"/>
  <c r="BE360" s="1"/>
  <c r="BC360"/>
  <c r="BZ2932"/>
  <c r="BW2932" s="1"/>
  <c r="BY2933"/>
  <c r="BV2932"/>
  <c r="BB361" l="1"/>
  <c r="BF360"/>
  <c r="BY2934"/>
  <c r="BV2933"/>
  <c r="BZ2933"/>
  <c r="BW2933" s="1"/>
  <c r="BC361" l="1"/>
  <c r="BD361"/>
  <c r="BE361" s="1"/>
  <c r="BZ2934"/>
  <c r="BY2935"/>
  <c r="BW2934"/>
  <c r="BV2934"/>
  <c r="BF361" l="1"/>
  <c r="BB362"/>
  <c r="BY2936"/>
  <c r="BZ2935"/>
  <c r="BV2935"/>
  <c r="BW2935"/>
  <c r="BD362" l="1"/>
  <c r="BE362" s="1"/>
  <c r="BC362"/>
  <c r="BZ2936"/>
  <c r="BY2937"/>
  <c r="BW2936"/>
  <c r="BV2936"/>
  <c r="BB363" l="1"/>
  <c r="BF362"/>
  <c r="BY2938"/>
  <c r="BZ2937"/>
  <c r="BW2937" s="1"/>
  <c r="BV2937"/>
  <c r="BC363" l="1"/>
  <c r="BD363"/>
  <c r="BE363" s="1"/>
  <c r="BZ2938"/>
  <c r="BW2938" s="1"/>
  <c r="BV2938"/>
  <c r="BY2939"/>
  <c r="BY2940" l="1"/>
  <c r="BZ2939"/>
  <c r="BW2939" s="1"/>
  <c r="BV2939"/>
  <c r="BB364"/>
  <c r="BF363"/>
  <c r="BD364" l="1"/>
  <c r="BE364" s="1"/>
  <c r="BC364"/>
  <c r="BZ2940"/>
  <c r="BW2940" s="1"/>
  <c r="BY2941"/>
  <c r="BV2940"/>
  <c r="BB365" l="1"/>
  <c r="BF364"/>
  <c r="BY2942"/>
  <c r="BZ2941"/>
  <c r="BW2941" s="1"/>
  <c r="BV2941"/>
  <c r="BC365" l="1"/>
  <c r="BD365"/>
  <c r="BE365" s="1"/>
  <c r="BZ2942"/>
  <c r="BY2943"/>
  <c r="BW2942"/>
  <c r="BV2942"/>
  <c r="BB366" l="1"/>
  <c r="BF365"/>
  <c r="BY2944"/>
  <c r="BZ2943"/>
  <c r="BV2943"/>
  <c r="BW2943"/>
  <c r="BD366" l="1"/>
  <c r="BE366" s="1"/>
  <c r="BC366"/>
  <c r="BZ2944"/>
  <c r="BY2945"/>
  <c r="BW2944"/>
  <c r="BV2944"/>
  <c r="BB367" l="1"/>
  <c r="BF366"/>
  <c r="BY2946"/>
  <c r="BZ2945"/>
  <c r="BW2945" s="1"/>
  <c r="BV2945"/>
  <c r="BC367" l="1"/>
  <c r="BD367"/>
  <c r="BE367" s="1"/>
  <c r="BZ2946"/>
  <c r="BW2946" s="1"/>
  <c r="BY2947"/>
  <c r="BV2946"/>
  <c r="BY2948" l="1"/>
  <c r="BZ2947"/>
  <c r="BW2947" s="1"/>
  <c r="BV2947"/>
  <c r="BB368"/>
  <c r="BF367"/>
  <c r="BC368" l="1"/>
  <c r="BD368"/>
  <c r="BE368" s="1"/>
  <c r="BZ2948"/>
  <c r="BW2948" s="1"/>
  <c r="BY2949"/>
  <c r="BV2948"/>
  <c r="BB369" l="1"/>
  <c r="BF368"/>
  <c r="BY2950"/>
  <c r="BV2949"/>
  <c r="BZ2949"/>
  <c r="BW2949" s="1"/>
  <c r="BD369" l="1"/>
  <c r="BE369" s="1"/>
  <c r="BC369"/>
  <c r="BZ2950"/>
  <c r="BY2951"/>
  <c r="BW2950"/>
  <c r="BV2950"/>
  <c r="BB370" l="1"/>
  <c r="BF369"/>
  <c r="BY2952"/>
  <c r="BZ2951"/>
  <c r="BW2951" s="1"/>
  <c r="BV2951"/>
  <c r="BD370" l="1"/>
  <c r="BE370" s="1"/>
  <c r="BC370"/>
  <c r="BZ2952"/>
  <c r="BY2953"/>
  <c r="BW2952"/>
  <c r="BV2952"/>
  <c r="BB371" l="1"/>
  <c r="BF370"/>
  <c r="BY2954"/>
  <c r="BZ2953"/>
  <c r="BW2953" s="1"/>
  <c r="BV2953"/>
  <c r="BC371" l="1"/>
  <c r="BD371"/>
  <c r="BE371" s="1"/>
  <c r="BZ2954"/>
  <c r="BW2954" s="1"/>
  <c r="BV2954"/>
  <c r="BY2955"/>
  <c r="BY2956" l="1"/>
  <c r="BZ2955"/>
  <c r="BW2955" s="1"/>
  <c r="BV2955"/>
  <c r="BF371"/>
  <c r="BB372"/>
  <c r="BZ2956" l="1"/>
  <c r="BW2956" s="1"/>
  <c r="BY2957"/>
  <c r="BV2956"/>
  <c r="BD372"/>
  <c r="BE372" s="1"/>
  <c r="BC372"/>
  <c r="BB373" l="1"/>
  <c r="BF372"/>
  <c r="BY2958"/>
  <c r="BZ2957"/>
  <c r="BW2957" s="1"/>
  <c r="BV2957"/>
  <c r="BC373" l="1"/>
  <c r="BD373"/>
  <c r="BE373" s="1"/>
  <c r="BZ2958"/>
  <c r="BY2959"/>
  <c r="BW2958"/>
  <c r="BV2958"/>
  <c r="BB374" l="1"/>
  <c r="BF373"/>
  <c r="BY2960"/>
  <c r="BZ2959"/>
  <c r="BW2959" s="1"/>
  <c r="BV2959"/>
  <c r="BD374" l="1"/>
  <c r="BE374" s="1"/>
  <c r="BC374"/>
  <c r="BZ2960"/>
  <c r="BY2961"/>
  <c r="BW2960"/>
  <c r="BV2960"/>
  <c r="BB375" l="1"/>
  <c r="BF374"/>
  <c r="BY2962"/>
  <c r="BZ2961"/>
  <c r="BW2961" s="1"/>
  <c r="BV2961"/>
  <c r="BC375" l="1"/>
  <c r="BD375"/>
  <c r="BE375" s="1"/>
  <c r="BZ2962"/>
  <c r="BW2962" s="1"/>
  <c r="BY2963"/>
  <c r="BV2962"/>
  <c r="BY2964" l="1"/>
  <c r="BZ2963"/>
  <c r="BW2963" s="1"/>
  <c r="BV2963"/>
  <c r="BB376"/>
  <c r="BF375"/>
  <c r="BD376" l="1"/>
  <c r="BE376" s="1"/>
  <c r="BC376"/>
  <c r="BZ2964"/>
  <c r="BW2964" s="1"/>
  <c r="BY2965"/>
  <c r="BV2964"/>
  <c r="BB377" l="1"/>
  <c r="BF376"/>
  <c r="BY2966"/>
  <c r="BV2965"/>
  <c r="BZ2965"/>
  <c r="BW2965" s="1"/>
  <c r="BC377" l="1"/>
  <c r="BD377"/>
  <c r="BE377" s="1"/>
  <c r="BZ2966"/>
  <c r="BY2967"/>
  <c r="BW2966"/>
  <c r="BV2966"/>
  <c r="BB378" l="1"/>
  <c r="BF377"/>
  <c r="BY2968"/>
  <c r="BZ2967"/>
  <c r="BV2967"/>
  <c r="BW2967"/>
  <c r="BC378" l="1"/>
  <c r="BD378"/>
  <c r="BE378" s="1"/>
  <c r="BZ2968"/>
  <c r="BY2969"/>
  <c r="BW2968"/>
  <c r="BV2968"/>
  <c r="BB379" l="1"/>
  <c r="BF378"/>
  <c r="BY2970"/>
  <c r="BZ2969"/>
  <c r="BW2969" s="1"/>
  <c r="BV2969"/>
  <c r="BD379" l="1"/>
  <c r="BE379" s="1"/>
  <c r="BC379"/>
  <c r="BZ2970"/>
  <c r="BW2970" s="1"/>
  <c r="BV2970"/>
  <c r="BY2971"/>
  <c r="BY2972" l="1"/>
  <c r="BZ2971"/>
  <c r="BW2971" s="1"/>
  <c r="BV2971"/>
  <c r="BB380"/>
  <c r="BF379"/>
  <c r="BD380" l="1"/>
  <c r="BE380" s="1"/>
  <c r="BC380"/>
  <c r="BZ2972"/>
  <c r="BW2972" s="1"/>
  <c r="BY2973"/>
  <c r="BV2972"/>
  <c r="BB381" l="1"/>
  <c r="BF380"/>
  <c r="BY2974"/>
  <c r="BZ2973"/>
  <c r="BW2973" s="1"/>
  <c r="BV2973"/>
  <c r="BC381" l="1"/>
  <c r="BD381"/>
  <c r="BE381" s="1"/>
  <c r="BZ2974"/>
  <c r="BY2975"/>
  <c r="BW2974"/>
  <c r="BV2974"/>
  <c r="BF381" l="1"/>
  <c r="BB382"/>
  <c r="BY2976"/>
  <c r="BZ2975"/>
  <c r="BV2975"/>
  <c r="BW2975"/>
  <c r="BD382" l="1"/>
  <c r="BE382" s="1"/>
  <c r="BC382"/>
  <c r="BZ2976"/>
  <c r="BY2977"/>
  <c r="BW2976"/>
  <c r="BV2976"/>
  <c r="BB383" l="1"/>
  <c r="BF382"/>
  <c r="BY2978"/>
  <c r="BZ2977"/>
  <c r="BW2977" s="1"/>
  <c r="BV2977"/>
  <c r="BC383" l="1"/>
  <c r="BD383"/>
  <c r="BE383" s="1"/>
  <c r="BZ2978"/>
  <c r="BW2978" s="1"/>
  <c r="BY2979"/>
  <c r="BV2978"/>
  <c r="BB384" l="1"/>
  <c r="BF383"/>
  <c r="BY2980"/>
  <c r="BZ2979"/>
  <c r="BV2979"/>
  <c r="BW2979"/>
  <c r="BZ2980" l="1"/>
  <c r="BW2980" s="1"/>
  <c r="BY2981"/>
  <c r="BV2980"/>
  <c r="BD384"/>
  <c r="BE384" s="1"/>
  <c r="BC384"/>
  <c r="BB385" l="1"/>
  <c r="BF384"/>
  <c r="BY2982"/>
  <c r="BV2981"/>
  <c r="BZ2981"/>
  <c r="BW2981" s="1"/>
  <c r="BC385" l="1"/>
  <c r="BD385"/>
  <c r="BE385" s="1"/>
  <c r="BZ2982"/>
  <c r="BY2983"/>
  <c r="BW2982"/>
  <c r="BV2982"/>
  <c r="BB386" l="1"/>
  <c r="BF385"/>
  <c r="BY2984"/>
  <c r="BZ2983"/>
  <c r="BV2983"/>
  <c r="BW2983"/>
  <c r="BD386" l="1"/>
  <c r="BE386" s="1"/>
  <c r="BC386"/>
  <c r="BZ2984"/>
  <c r="BY2985"/>
  <c r="BW2984"/>
  <c r="BV2984"/>
  <c r="BB387" l="1"/>
  <c r="BF386"/>
  <c r="BY2986"/>
  <c r="BZ2985"/>
  <c r="BW2985" s="1"/>
  <c r="BV2985"/>
  <c r="BC387" l="1"/>
  <c r="BD387"/>
  <c r="BE387" s="1"/>
  <c r="BZ2986"/>
  <c r="BW2986" s="1"/>
  <c r="BV2986"/>
  <c r="BY2987"/>
  <c r="BY2988" l="1"/>
  <c r="BZ2987"/>
  <c r="BW2987" s="1"/>
  <c r="BV2987"/>
  <c r="BB388"/>
  <c r="BF387"/>
  <c r="BZ2988" l="1"/>
  <c r="BW2988" s="1"/>
  <c r="BY2989"/>
  <c r="BV2988"/>
  <c r="BD388"/>
  <c r="BE388" s="1"/>
  <c r="BC388"/>
  <c r="BF388" l="1"/>
  <c r="BB389"/>
  <c r="BY2990"/>
  <c r="BZ2989"/>
  <c r="BW2989" s="1"/>
  <c r="BV2989"/>
  <c r="BC389" l="1"/>
  <c r="BD389"/>
  <c r="BE389" s="1"/>
  <c r="BZ2990"/>
  <c r="BY2991"/>
  <c r="BW2990"/>
  <c r="BV2990"/>
  <c r="BB390" l="1"/>
  <c r="BF389"/>
  <c r="BY2992"/>
  <c r="BZ2991"/>
  <c r="BV2991"/>
  <c r="BW2991"/>
  <c r="BC390" l="1"/>
  <c r="BD390"/>
  <c r="BE390" s="1"/>
  <c r="BZ2992"/>
  <c r="BY2993"/>
  <c r="BW2992"/>
  <c r="BV2992"/>
  <c r="BB391" l="1"/>
  <c r="BF390"/>
  <c r="BY2994"/>
  <c r="BZ2993"/>
  <c r="BW2993" s="1"/>
  <c r="BV2993"/>
  <c r="BD391" l="1"/>
  <c r="BE391" s="1"/>
  <c r="BC391"/>
  <c r="BZ2994"/>
  <c r="BW2994" s="1"/>
  <c r="BY2995"/>
  <c r="BV2994"/>
  <c r="BY2996" l="1"/>
  <c r="BZ2995"/>
  <c r="BW2995" s="1"/>
  <c r="BV2995"/>
  <c r="BB392"/>
  <c r="BF391"/>
  <c r="BD392" l="1"/>
  <c r="BE392" s="1"/>
  <c r="BC392"/>
  <c r="BZ2996"/>
  <c r="BY2997"/>
  <c r="BW2996"/>
  <c r="BV2996"/>
  <c r="BB393" l="1"/>
  <c r="BF392"/>
  <c r="BY2998"/>
  <c r="BV2997"/>
  <c r="BZ2997"/>
  <c r="BW2997" s="1"/>
  <c r="BC393" l="1"/>
  <c r="BD393"/>
  <c r="BE393" s="1"/>
  <c r="BZ2998"/>
  <c r="BY2999"/>
  <c r="BW2998"/>
  <c r="BV2998"/>
  <c r="BF393" l="1"/>
  <c r="BB394"/>
  <c r="BY3000"/>
  <c r="BZ2999"/>
  <c r="BV2999"/>
  <c r="BW2999"/>
  <c r="BC394" l="1"/>
  <c r="BD394"/>
  <c r="BE394" s="1"/>
  <c r="BZ3000"/>
  <c r="BY3001"/>
  <c r="BW3000"/>
  <c r="BV3000"/>
  <c r="BB395" l="1"/>
  <c r="BF394"/>
  <c r="BY3002"/>
  <c r="BZ3001"/>
  <c r="BW3001" s="1"/>
  <c r="BV3001"/>
  <c r="BD395" l="1"/>
  <c r="BE395" s="1"/>
  <c r="BC395"/>
  <c r="BZ3002"/>
  <c r="BW3002" s="1"/>
  <c r="BV3002"/>
  <c r="BY3003"/>
  <c r="BY3004" l="1"/>
  <c r="BZ3003"/>
  <c r="BW3003" s="1"/>
  <c r="BV3003"/>
  <c r="BF395"/>
  <c r="BB396"/>
  <c r="BD396" l="1"/>
  <c r="BE396" s="1"/>
  <c r="BC396"/>
  <c r="BZ3004"/>
  <c r="BW3004" s="1"/>
  <c r="BY3005"/>
  <c r="BV3004"/>
  <c r="BB397" l="1"/>
  <c r="BF396"/>
  <c r="BY3006"/>
  <c r="BZ3005"/>
  <c r="BW3005" s="1"/>
  <c r="BV3005"/>
  <c r="BC397" l="1"/>
  <c r="BD397"/>
  <c r="BE397" s="1"/>
  <c r="BZ3006"/>
  <c r="BY3007"/>
  <c r="BW3006"/>
  <c r="BV3006"/>
  <c r="BB398" l="1"/>
  <c r="BF397"/>
  <c r="BY3008"/>
  <c r="BZ3007"/>
  <c r="BW3007" s="1"/>
  <c r="BV3007"/>
  <c r="BD398" l="1"/>
  <c r="BE398" s="1"/>
  <c r="BC398"/>
  <c r="BZ3008"/>
  <c r="BY3009"/>
  <c r="BW3008"/>
  <c r="BV3008"/>
  <c r="BB399" l="1"/>
  <c r="BF398"/>
  <c r="BY3010"/>
  <c r="BZ3009"/>
  <c r="BW3009" s="1"/>
  <c r="BV3009"/>
  <c r="BD399" l="1"/>
  <c r="BE399" s="1"/>
  <c r="BC399"/>
  <c r="BZ3010"/>
  <c r="BW3010" s="1"/>
  <c r="BY3011"/>
  <c r="BV3010"/>
  <c r="BY3012" l="1"/>
  <c r="BZ3011"/>
  <c r="BW3011" s="1"/>
  <c r="BV3011"/>
  <c r="BB400"/>
  <c r="BF399"/>
  <c r="BZ3012" l="1"/>
  <c r="BW3012" s="1"/>
  <c r="BY3013"/>
  <c r="BV3012"/>
  <c r="BD400"/>
  <c r="BE400" s="1"/>
  <c r="BC400"/>
  <c r="BF400" l="1"/>
  <c r="BB401"/>
  <c r="BY3014"/>
  <c r="BV3013"/>
  <c r="BZ3013"/>
  <c r="BW3013" s="1"/>
  <c r="BZ3014" l="1"/>
  <c r="BW3014" s="1"/>
  <c r="BY3015"/>
  <c r="BV3014"/>
  <c r="BC401"/>
  <c r="BD401"/>
  <c r="BE401" s="1"/>
  <c r="BY3016" l="1"/>
  <c r="BZ3015"/>
  <c r="BW3015" s="1"/>
  <c r="BV3015"/>
  <c r="BB402"/>
  <c r="BF401"/>
  <c r="BD402" l="1"/>
  <c r="BE402" s="1"/>
  <c r="BC402"/>
  <c r="BZ3016"/>
  <c r="BY3017"/>
  <c r="BW3016"/>
  <c r="BV3016"/>
  <c r="BB403" l="1"/>
  <c r="BF402"/>
  <c r="BY3018"/>
  <c r="BZ3017"/>
  <c r="BW3017" s="1"/>
  <c r="BV3017"/>
  <c r="BC403" l="1"/>
  <c r="BD403"/>
  <c r="BE403" s="1"/>
  <c r="BZ3018"/>
  <c r="BW3018" s="1"/>
  <c r="BV3018"/>
  <c r="BY3019"/>
  <c r="BY3020" l="1"/>
  <c r="BZ3019"/>
  <c r="BW3019" s="1"/>
  <c r="BV3019"/>
  <c r="BB404"/>
  <c r="BF403"/>
  <c r="BZ3020" l="1"/>
  <c r="BW3020" s="1"/>
  <c r="BY3021"/>
  <c r="BV3020"/>
  <c r="BD404"/>
  <c r="BE404" s="1"/>
  <c r="BC404"/>
  <c r="BB405" l="1"/>
  <c r="BF404"/>
  <c r="BY3022"/>
  <c r="BZ3021"/>
  <c r="BW3021" s="1"/>
  <c r="BV3021"/>
  <c r="BC405" l="1"/>
  <c r="BD405"/>
  <c r="BE405" s="1"/>
  <c r="BZ3022"/>
  <c r="BY3023"/>
  <c r="BW3022"/>
  <c r="BV3022"/>
  <c r="BB406" l="1"/>
  <c r="BF405"/>
  <c r="BY3024"/>
  <c r="BZ3023"/>
  <c r="BV3023"/>
  <c r="BW3023"/>
  <c r="BD406" l="1"/>
  <c r="BE406" s="1"/>
  <c r="BC406"/>
  <c r="BZ3024"/>
  <c r="BY3025"/>
  <c r="BW3024"/>
  <c r="BV3024"/>
  <c r="BB407" l="1"/>
  <c r="BF406"/>
  <c r="BY3026"/>
  <c r="BZ3025"/>
  <c r="BW3025" s="1"/>
  <c r="BV3025"/>
  <c r="BD407" l="1"/>
  <c r="BE407" s="1"/>
  <c r="BC407"/>
  <c r="BZ3026"/>
  <c r="BW3026" s="1"/>
  <c r="BY3027"/>
  <c r="BV3026"/>
  <c r="BY3028" l="1"/>
  <c r="BZ3027"/>
  <c r="BW3027" s="1"/>
  <c r="BV3027"/>
  <c r="BF407"/>
  <c r="BB408"/>
  <c r="BD408" l="1"/>
  <c r="BE408" s="1"/>
  <c r="BC408"/>
  <c r="BZ3028"/>
  <c r="BW3028" s="1"/>
  <c r="BY3029"/>
  <c r="BV3028"/>
  <c r="BB409" l="1"/>
  <c r="BF408"/>
  <c r="BY3030"/>
  <c r="BV3029"/>
  <c r="BZ3029"/>
  <c r="BW3029" s="1"/>
  <c r="BC409" l="1"/>
  <c r="BD409"/>
  <c r="BE409" s="1"/>
  <c r="BZ3030"/>
  <c r="BY3031"/>
  <c r="BW3030"/>
  <c r="BV3030"/>
  <c r="BB410" l="1"/>
  <c r="BF409"/>
  <c r="BY3032"/>
  <c r="BZ3031"/>
  <c r="BV3031"/>
  <c r="BW3031"/>
  <c r="BD410" l="1"/>
  <c r="BE410" s="1"/>
  <c r="BC410"/>
  <c r="BZ3032"/>
  <c r="BY3033"/>
  <c r="BW3032"/>
  <c r="BV3032"/>
  <c r="BB411" l="1"/>
  <c r="BF410"/>
  <c r="BY3034"/>
  <c r="BZ3033"/>
  <c r="BW3033" s="1"/>
  <c r="BV3033"/>
  <c r="BC411" l="1"/>
  <c r="BD411"/>
  <c r="BE411" s="1"/>
  <c r="BZ3034"/>
  <c r="BW3034" s="1"/>
  <c r="BV3034"/>
  <c r="BY3035"/>
  <c r="BY3036" l="1"/>
  <c r="BZ3035"/>
  <c r="BW3035" s="1"/>
  <c r="BV3035"/>
  <c r="BB412"/>
  <c r="BF411"/>
  <c r="BZ3036" l="1"/>
  <c r="BW3036" s="1"/>
  <c r="BY3037"/>
  <c r="BV3036"/>
  <c r="BD412"/>
  <c r="BE412" s="1"/>
  <c r="BC412"/>
  <c r="BB413" l="1"/>
  <c r="BF412"/>
  <c r="BY3038"/>
  <c r="BZ3037"/>
  <c r="BW3037" s="1"/>
  <c r="BV3037"/>
  <c r="BC413" l="1"/>
  <c r="BD413"/>
  <c r="BE413" s="1"/>
  <c r="BZ3038"/>
  <c r="BY3039"/>
  <c r="BW3038"/>
  <c r="BV3038"/>
  <c r="BB414" l="1"/>
  <c r="BF413"/>
  <c r="BY3040"/>
  <c r="BZ3039"/>
  <c r="BV3039"/>
  <c r="BW3039"/>
  <c r="BD414" l="1"/>
  <c r="BE414" s="1"/>
  <c r="BC414"/>
  <c r="BZ3040"/>
  <c r="BY3041"/>
  <c r="BW3040"/>
  <c r="BV3040"/>
  <c r="BB415" l="1"/>
  <c r="BF414"/>
  <c r="BY3042"/>
  <c r="BZ3041"/>
  <c r="BW3041" s="1"/>
  <c r="BV3041"/>
  <c r="BC415" l="1"/>
  <c r="BD415"/>
  <c r="BE415" s="1"/>
  <c r="BZ3042"/>
  <c r="BW3042" s="1"/>
  <c r="BY3043"/>
  <c r="BV3042"/>
  <c r="BY3044" l="1"/>
  <c r="BZ3043"/>
  <c r="BW3043" s="1"/>
  <c r="BV3043"/>
  <c r="BB416"/>
  <c r="BF415"/>
  <c r="BD416" l="1"/>
  <c r="BE416" s="1"/>
  <c r="BC416"/>
  <c r="BZ3044"/>
  <c r="BW3044" s="1"/>
  <c r="BY3045"/>
  <c r="BV3044"/>
  <c r="BB417" l="1"/>
  <c r="BF416"/>
  <c r="BY3046"/>
  <c r="BV3045"/>
  <c r="BZ3045"/>
  <c r="BW3045" s="1"/>
  <c r="BC417" l="1"/>
  <c r="BD417"/>
  <c r="BE417" s="1"/>
  <c r="BZ3046"/>
  <c r="BY3047"/>
  <c r="BW3046"/>
  <c r="BV3046"/>
  <c r="BB418" l="1"/>
  <c r="BF417"/>
  <c r="BY3048"/>
  <c r="BZ3047"/>
  <c r="BW3047" s="1"/>
  <c r="BV3047"/>
  <c r="BD418" l="1"/>
  <c r="BE418" s="1"/>
  <c r="BC418"/>
  <c r="BZ3048"/>
  <c r="BY3049"/>
  <c r="BW3048"/>
  <c r="BV3048"/>
  <c r="BB419" l="1"/>
  <c r="BF418"/>
  <c r="BY3050"/>
  <c r="BZ3049"/>
  <c r="BW3049" s="1"/>
  <c r="BV3049"/>
  <c r="BC419" l="1"/>
  <c r="BD419"/>
  <c r="BE419" s="1"/>
  <c r="BZ3050"/>
  <c r="BW3050" s="1"/>
  <c r="BV3050"/>
  <c r="BY3051"/>
  <c r="BB420" l="1"/>
  <c r="BF419"/>
  <c r="BY3052"/>
  <c r="BZ3051"/>
  <c r="BW3051" s="1"/>
  <c r="BV3051"/>
  <c r="BD420" l="1"/>
  <c r="BE420" s="1"/>
  <c r="BC420"/>
  <c r="BZ3052"/>
  <c r="BW3052" s="1"/>
  <c r="BY3053"/>
  <c r="BV3052"/>
  <c r="BB421" l="1"/>
  <c r="BF420"/>
  <c r="BY3054"/>
  <c r="BZ3053"/>
  <c r="BW3053" s="1"/>
  <c r="BV3053"/>
  <c r="BC421" l="1"/>
  <c r="BD421"/>
  <c r="BE421" s="1"/>
  <c r="BZ3054"/>
  <c r="BY3055"/>
  <c r="BW3054"/>
  <c r="BV3054"/>
  <c r="BB422" l="1"/>
  <c r="BF421"/>
  <c r="BY3056"/>
  <c r="BZ3055"/>
  <c r="BV3055"/>
  <c r="BW3055"/>
  <c r="BD422" l="1"/>
  <c r="BE422" s="1"/>
  <c r="BC422"/>
  <c r="BZ3056"/>
  <c r="BY3057"/>
  <c r="BW3056"/>
  <c r="BV3056"/>
  <c r="BB423" l="1"/>
  <c r="BF422"/>
  <c r="BY3058"/>
  <c r="BZ3057"/>
  <c r="BW3057" s="1"/>
  <c r="BV3057"/>
  <c r="BD423" l="1"/>
  <c r="BE423" s="1"/>
  <c r="BC423"/>
  <c r="BZ3058"/>
  <c r="BW3058" s="1"/>
  <c r="BY3059"/>
  <c r="BV3058"/>
  <c r="BY3060" l="1"/>
  <c r="BZ3059"/>
  <c r="BW3059" s="1"/>
  <c r="BV3059"/>
  <c r="BB424"/>
  <c r="BF423"/>
  <c r="BD424" l="1"/>
  <c r="BE424" s="1"/>
  <c r="BC424"/>
  <c r="BZ3060"/>
  <c r="BW3060" s="1"/>
  <c r="BY3061"/>
  <c r="BV3060"/>
  <c r="BB425" l="1"/>
  <c r="BF424"/>
  <c r="BY3062"/>
  <c r="BV3061"/>
  <c r="BZ3061"/>
  <c r="BW3061" s="1"/>
  <c r="BC425" l="1"/>
  <c r="BD425"/>
  <c r="BE425" s="1"/>
  <c r="BZ3062"/>
  <c r="BY3063"/>
  <c r="BW3062"/>
  <c r="BV3062"/>
  <c r="BF425" l="1"/>
  <c r="BB426"/>
  <c r="BY3064"/>
  <c r="BZ3063"/>
  <c r="BW3063" s="1"/>
  <c r="BV3063"/>
  <c r="BC426" l="1"/>
  <c r="BD426"/>
  <c r="BE426" s="1"/>
  <c r="BZ3064"/>
  <c r="BY3065"/>
  <c r="BW3064"/>
  <c r="BV3064"/>
  <c r="BB427" l="1"/>
  <c r="BF426"/>
  <c r="BY3066"/>
  <c r="BZ3065"/>
  <c r="BW3065" s="1"/>
  <c r="BV3065"/>
  <c r="BD427" l="1"/>
  <c r="BE427" s="1"/>
  <c r="BC427"/>
  <c r="BZ3066"/>
  <c r="BW3066" s="1"/>
  <c r="BV3066"/>
  <c r="BY3067"/>
  <c r="BY3068" l="1"/>
  <c r="BZ3067"/>
  <c r="BW3067" s="1"/>
  <c r="BV3067"/>
  <c r="BB428"/>
  <c r="BF427"/>
  <c r="BZ3068" l="1"/>
  <c r="BW3068" s="1"/>
  <c r="BY3069"/>
  <c r="BV3068"/>
  <c r="BD428"/>
  <c r="BE428" s="1"/>
  <c r="BC428"/>
  <c r="BB429" l="1"/>
  <c r="BF428"/>
  <c r="BY3070"/>
  <c r="BZ3069"/>
  <c r="BW3069" s="1"/>
  <c r="BV3069"/>
  <c r="BC429" l="1"/>
  <c r="BD429"/>
  <c r="BE429" s="1"/>
  <c r="BZ3070"/>
  <c r="BY3071"/>
  <c r="BW3070"/>
  <c r="BV3070"/>
  <c r="BF429" l="1"/>
  <c r="BB430"/>
  <c r="BY3072"/>
  <c r="BZ3071"/>
  <c r="BV3071"/>
  <c r="BW3071"/>
  <c r="BD430" l="1"/>
  <c r="BE430" s="1"/>
  <c r="BC430"/>
  <c r="BZ3072"/>
  <c r="BY3073"/>
  <c r="BW3072"/>
  <c r="BV3072"/>
  <c r="BB431" l="1"/>
  <c r="BF430"/>
  <c r="BY3074"/>
  <c r="BZ3073"/>
  <c r="BW3073" s="1"/>
  <c r="BV3073"/>
  <c r="BD431" l="1"/>
  <c r="BE431" s="1"/>
  <c r="BC431"/>
  <c r="BZ3074"/>
  <c r="BW3074" s="1"/>
  <c r="BY3075"/>
  <c r="BV3074"/>
  <c r="BY3076" l="1"/>
  <c r="BZ3075"/>
  <c r="BW3075" s="1"/>
  <c r="BV3075"/>
  <c r="BB432"/>
  <c r="BF431"/>
  <c r="BD432" l="1"/>
  <c r="BE432" s="1"/>
  <c r="BC432"/>
  <c r="BZ3076"/>
  <c r="BW3076" s="1"/>
  <c r="BY3077"/>
  <c r="BV3076"/>
  <c r="BF432" l="1"/>
  <c r="BB433"/>
  <c r="BY3078"/>
  <c r="BV3077"/>
  <c r="BZ3077"/>
  <c r="BW3077" s="1"/>
  <c r="BZ3078" l="1"/>
  <c r="BW3078" s="1"/>
  <c r="BY3079"/>
  <c r="BV3078"/>
  <c r="BC433"/>
  <c r="BD433"/>
  <c r="BE433" s="1"/>
  <c r="BY3080" l="1"/>
  <c r="BZ3079"/>
  <c r="BW3079" s="1"/>
  <c r="BV3079"/>
  <c r="BB434"/>
  <c r="BF433"/>
  <c r="BD434" l="1"/>
  <c r="BE434" s="1"/>
  <c r="BC434"/>
  <c r="BZ3080"/>
  <c r="BY3081"/>
  <c r="BW3080"/>
  <c r="BV3080"/>
  <c r="BB435" l="1"/>
  <c r="BF434"/>
  <c r="BY3082"/>
  <c r="BZ3081"/>
  <c r="BW3081" s="1"/>
  <c r="BV3081"/>
  <c r="BC435" l="1"/>
  <c r="BD435"/>
  <c r="BE435" s="1"/>
  <c r="BZ3082"/>
  <c r="BW3082" s="1"/>
  <c r="BV3082"/>
  <c r="BY3083"/>
  <c r="BY3084" l="1"/>
  <c r="BZ3083"/>
  <c r="BW3083" s="1"/>
  <c r="BV3083"/>
  <c r="BB436"/>
  <c r="BF435"/>
  <c r="BD436" l="1"/>
  <c r="BE436" s="1"/>
  <c r="BC436"/>
  <c r="BZ3084"/>
  <c r="BW3084" s="1"/>
  <c r="BY3085"/>
  <c r="BV3084"/>
  <c r="BF436" l="1"/>
  <c r="BB437"/>
  <c r="BY3086"/>
  <c r="BZ3085"/>
  <c r="BW3085" s="1"/>
  <c r="BV3085"/>
  <c r="BC437" l="1"/>
  <c r="BD437"/>
  <c r="BE437" s="1"/>
  <c r="BZ3086"/>
  <c r="BY3087"/>
  <c r="BW3086"/>
  <c r="BV3086"/>
  <c r="BB438" l="1"/>
  <c r="BF437"/>
  <c r="BY3088"/>
  <c r="BZ3087"/>
  <c r="BW3087" s="1"/>
  <c r="BV3087"/>
  <c r="BD438" l="1"/>
  <c r="BE438" s="1"/>
  <c r="BC438"/>
  <c r="BZ3088"/>
  <c r="BY3089"/>
  <c r="BW3088"/>
  <c r="BV3088"/>
  <c r="BB439" l="1"/>
  <c r="BF438"/>
  <c r="BY3090"/>
  <c r="BZ3089"/>
  <c r="BW3089" s="1"/>
  <c r="BV3089"/>
  <c r="BD439" l="1"/>
  <c r="BE439" s="1"/>
  <c r="BC439"/>
  <c r="BZ3090"/>
  <c r="BW3090" s="1"/>
  <c r="BY3091"/>
  <c r="BV3090"/>
  <c r="BF439" l="1"/>
  <c r="BB440"/>
  <c r="BY3092"/>
  <c r="BZ3091"/>
  <c r="BW3091" s="1"/>
  <c r="BV3091"/>
  <c r="BD440" l="1"/>
  <c r="BE440" s="1"/>
  <c r="BC440"/>
  <c r="BZ3092"/>
  <c r="BY3093"/>
  <c r="BV3092"/>
  <c r="BW3092"/>
  <c r="BB441" l="1"/>
  <c r="BF440"/>
  <c r="BY3094"/>
  <c r="BV3093"/>
  <c r="BZ3093"/>
  <c r="BW3093" s="1"/>
  <c r="BC441" l="1"/>
  <c r="BD441"/>
  <c r="BE441" s="1"/>
  <c r="BZ3094"/>
  <c r="BY3095"/>
  <c r="BW3094"/>
  <c r="BV3094"/>
  <c r="BB442" l="1"/>
  <c r="BF441"/>
  <c r="BY3096"/>
  <c r="BZ3095"/>
  <c r="BV3095"/>
  <c r="BW3095"/>
  <c r="BC442" l="1"/>
  <c r="BD442"/>
  <c r="BE442" s="1"/>
  <c r="BZ3096"/>
  <c r="BY3097"/>
  <c r="BW3096"/>
  <c r="BV3096"/>
  <c r="BB443" l="1"/>
  <c r="BF442"/>
  <c r="BY3098"/>
  <c r="BZ3097"/>
  <c r="BW3097" s="1"/>
  <c r="BV3097"/>
  <c r="BD443" l="1"/>
  <c r="BE443" s="1"/>
  <c r="BC443"/>
  <c r="BZ3098"/>
  <c r="BW3098" s="1"/>
  <c r="BV3098"/>
  <c r="BY3099"/>
  <c r="BY3100" l="1"/>
  <c r="BZ3099"/>
  <c r="BW3099" s="1"/>
  <c r="BV3099"/>
  <c r="BF443"/>
  <c r="BB444"/>
  <c r="BZ3100" l="1"/>
  <c r="BW3100" s="1"/>
  <c r="BY3101"/>
  <c r="BV3100"/>
  <c r="BD444"/>
  <c r="BE444" s="1"/>
  <c r="BC444"/>
  <c r="BB445" l="1"/>
  <c r="BF444"/>
  <c r="BY3102"/>
  <c r="BZ3101"/>
  <c r="BW3101" s="1"/>
  <c r="BV3101"/>
  <c r="BC445" l="1"/>
  <c r="BD445"/>
  <c r="BE445" s="1"/>
  <c r="BZ3102"/>
  <c r="BY3103"/>
  <c r="BW3102"/>
  <c r="BV3102"/>
  <c r="BB446" l="1"/>
  <c r="BF445"/>
  <c r="BY3104"/>
  <c r="BZ3103"/>
  <c r="BV3103"/>
  <c r="BW3103"/>
  <c r="BD446" l="1"/>
  <c r="BE446" s="1"/>
  <c r="BC446"/>
  <c r="BZ3104"/>
  <c r="BY3105"/>
  <c r="BW3104"/>
  <c r="BV3104"/>
  <c r="BB447" l="1"/>
  <c r="BF446"/>
  <c r="BY3106"/>
  <c r="BZ3105"/>
  <c r="BW3105" s="1"/>
  <c r="BV3105"/>
  <c r="BC447" l="1"/>
  <c r="BD447"/>
  <c r="BE447" s="1"/>
  <c r="BZ3106"/>
  <c r="BW3106" s="1"/>
  <c r="BY3107"/>
  <c r="BV3106"/>
  <c r="BY3108" l="1"/>
  <c r="BZ3107"/>
  <c r="BW3107" s="1"/>
  <c r="BV3107"/>
  <c r="BB448"/>
  <c r="BF447"/>
  <c r="BZ3108" l="1"/>
  <c r="BW3108" s="1"/>
  <c r="BY3109"/>
  <c r="BV3108"/>
  <c r="BD448"/>
  <c r="BE448" s="1"/>
  <c r="BC448"/>
  <c r="BB449" l="1"/>
  <c r="BF448"/>
  <c r="BY3110"/>
  <c r="BV3109"/>
  <c r="BZ3109"/>
  <c r="BW3109" s="1"/>
  <c r="BC449" l="1"/>
  <c r="BD449"/>
  <c r="BE449" s="1"/>
  <c r="BZ3110"/>
  <c r="BY3111"/>
  <c r="BW3110"/>
  <c r="BV3110"/>
  <c r="BB450" l="1"/>
  <c r="BF449"/>
  <c r="BY3112"/>
  <c r="BZ3111"/>
  <c r="BV3111"/>
  <c r="BW3111"/>
  <c r="BD450" l="1"/>
  <c r="BE450" s="1"/>
  <c r="BC450"/>
  <c r="BZ3112"/>
  <c r="BY3113"/>
  <c r="BW3112"/>
  <c r="BV3112"/>
  <c r="BB451" l="1"/>
  <c r="BF450"/>
  <c r="BY3114"/>
  <c r="BZ3113"/>
  <c r="BW3113" s="1"/>
  <c r="BV3113"/>
  <c r="BC451" l="1"/>
  <c r="BD451"/>
  <c r="BE451" s="1"/>
  <c r="BZ3114"/>
  <c r="BW3114" s="1"/>
  <c r="BV3114"/>
  <c r="BY3115"/>
  <c r="BB452" l="1"/>
  <c r="BF451"/>
  <c r="BY3116"/>
  <c r="BZ3115"/>
  <c r="BW3115" s="1"/>
  <c r="BV3115"/>
  <c r="BZ3116" l="1"/>
  <c r="BW3116" s="1"/>
  <c r="BY3117"/>
  <c r="BV3116"/>
  <c r="BD452"/>
  <c r="BE452" s="1"/>
  <c r="BC452"/>
  <c r="BB453" l="1"/>
  <c r="BF452"/>
  <c r="BY3118"/>
  <c r="BZ3117"/>
  <c r="BW3117" s="1"/>
  <c r="BV3117"/>
  <c r="BC453" l="1"/>
  <c r="BD453"/>
  <c r="BE453" s="1"/>
  <c r="BZ3118"/>
  <c r="BY3119"/>
  <c r="BW3118"/>
  <c r="BV3118"/>
  <c r="BB454" l="1"/>
  <c r="BF453"/>
  <c r="BY3120"/>
  <c r="BZ3119"/>
  <c r="BV3119"/>
  <c r="BW3119"/>
  <c r="BC454" l="1"/>
  <c r="BD454"/>
  <c r="BE454" s="1"/>
  <c r="BZ3120"/>
  <c r="BY3121"/>
  <c r="BW3120"/>
  <c r="BV3120"/>
  <c r="BB455" l="1"/>
  <c r="BF454"/>
  <c r="BY3122"/>
  <c r="BZ3121"/>
  <c r="BW3121" s="1"/>
  <c r="BV3121"/>
  <c r="BD455" l="1"/>
  <c r="BE455" s="1"/>
  <c r="BC455"/>
  <c r="BZ3122"/>
  <c r="BW3122" s="1"/>
  <c r="BY3123"/>
  <c r="BV3122"/>
  <c r="BY3124" l="1"/>
  <c r="BZ3123"/>
  <c r="BW3123" s="1"/>
  <c r="BV3123"/>
  <c r="BB456"/>
  <c r="BF455"/>
  <c r="BD456" l="1"/>
  <c r="BE456" s="1"/>
  <c r="BC456"/>
  <c r="BZ3124"/>
  <c r="BW3124" s="1"/>
  <c r="BY3125"/>
  <c r="BV3124"/>
  <c r="BB457" l="1"/>
  <c r="BF456"/>
  <c r="BY3126"/>
  <c r="BV3125"/>
  <c r="BZ3125"/>
  <c r="BW3125" s="1"/>
  <c r="BC457" l="1"/>
  <c r="BD457"/>
  <c r="BE457" s="1"/>
  <c r="BZ3126"/>
  <c r="BY3127"/>
  <c r="BW3126"/>
  <c r="BV3126"/>
  <c r="BF457" l="1"/>
  <c r="BB458"/>
  <c r="BY3128"/>
  <c r="BZ3127"/>
  <c r="BV3127"/>
  <c r="BW3127"/>
  <c r="BC458" l="1"/>
  <c r="BD458"/>
  <c r="BE458" s="1"/>
  <c r="BZ3128"/>
  <c r="BY3129"/>
  <c r="BW3128"/>
  <c r="BV3128"/>
  <c r="BB459" l="1"/>
  <c r="BF458"/>
  <c r="BY3130"/>
  <c r="BZ3129"/>
  <c r="BW3129" s="1"/>
  <c r="BV3129"/>
  <c r="BD459" l="1"/>
  <c r="BE459" s="1"/>
  <c r="BC459"/>
  <c r="BZ3130"/>
  <c r="BW3130" s="1"/>
  <c r="BV3130"/>
  <c r="BY3131"/>
  <c r="BY3132" l="1"/>
  <c r="BZ3131"/>
  <c r="BW3131" s="1"/>
  <c r="BV3131"/>
  <c r="BB460"/>
  <c r="BF459"/>
  <c r="BZ3132" l="1"/>
  <c r="BW3132" s="1"/>
  <c r="BY3133"/>
  <c r="BV3132"/>
  <c r="BD460"/>
  <c r="BE460" s="1"/>
  <c r="BC460"/>
  <c r="BB461" l="1"/>
  <c r="BF460"/>
  <c r="BY3134"/>
  <c r="BZ3133"/>
  <c r="BW3133" s="1"/>
  <c r="BV3133"/>
  <c r="BC461" l="1"/>
  <c r="BD461"/>
  <c r="BE461" s="1"/>
  <c r="BZ3134"/>
  <c r="BY3135"/>
  <c r="BW3134"/>
  <c r="BV3134"/>
  <c r="BB462" l="1"/>
  <c r="BF461"/>
  <c r="BY3136"/>
  <c r="BZ3135"/>
  <c r="BV3135"/>
  <c r="BW3135"/>
  <c r="BD462" l="1"/>
  <c r="BE462" s="1"/>
  <c r="BC462"/>
  <c r="BZ3136"/>
  <c r="BY3137"/>
  <c r="BW3136"/>
  <c r="BV3136"/>
  <c r="BB463" l="1"/>
  <c r="BF462"/>
  <c r="BY3138"/>
  <c r="BZ3137"/>
  <c r="BW3137" s="1"/>
  <c r="BV3137"/>
  <c r="BD463" l="1"/>
  <c r="BE463" s="1"/>
  <c r="BC463"/>
  <c r="BZ3138"/>
  <c r="BW3138" s="1"/>
  <c r="BY3139"/>
  <c r="BV3138"/>
  <c r="BY3140" l="1"/>
  <c r="BZ3139"/>
  <c r="BW3139" s="1"/>
  <c r="BV3139"/>
  <c r="BB464"/>
  <c r="BF463"/>
  <c r="BZ3140" l="1"/>
  <c r="BW3140" s="1"/>
  <c r="BY3141"/>
  <c r="BV3140"/>
  <c r="BD464"/>
  <c r="BE464" s="1"/>
  <c r="BC464"/>
  <c r="BF464" l="1"/>
  <c r="BB465"/>
  <c r="BY3142"/>
  <c r="BV3141"/>
  <c r="BZ3141"/>
  <c r="BW3141" s="1"/>
  <c r="BZ3142" l="1"/>
  <c r="BW3142" s="1"/>
  <c r="BY3143"/>
  <c r="BV3142"/>
  <c r="BC465"/>
  <c r="BD465"/>
  <c r="BE465" s="1"/>
  <c r="BY3144" l="1"/>
  <c r="BZ3143"/>
  <c r="BW3143" s="1"/>
  <c r="BV3143"/>
  <c r="BB466"/>
  <c r="BF465"/>
  <c r="BD466" l="1"/>
  <c r="BE466" s="1"/>
  <c r="BC466"/>
  <c r="BZ3144"/>
  <c r="BY3145"/>
  <c r="BW3144"/>
  <c r="BV3144"/>
  <c r="BB467" l="1"/>
  <c r="BF466"/>
  <c r="BY3146"/>
  <c r="BZ3145"/>
  <c r="BW3145" s="1"/>
  <c r="BV3145"/>
  <c r="BC467" l="1"/>
  <c r="BD467"/>
  <c r="BE467" s="1"/>
  <c r="BZ3146"/>
  <c r="BW3146" s="1"/>
  <c r="BV3146"/>
  <c r="BY3147"/>
  <c r="BY3148" l="1"/>
  <c r="BZ3147"/>
  <c r="BW3147" s="1"/>
  <c r="BV3147"/>
  <c r="BB468"/>
  <c r="BF467"/>
  <c r="BZ3148" l="1"/>
  <c r="BW3148" s="1"/>
  <c r="BY3149"/>
  <c r="BV3148"/>
  <c r="BD468"/>
  <c r="BE468" s="1"/>
  <c r="BC468"/>
  <c r="BB469" l="1"/>
  <c r="BF468"/>
  <c r="BY3150"/>
  <c r="BZ3149"/>
  <c r="BW3149" s="1"/>
  <c r="BV3149"/>
  <c r="BC469" l="1"/>
  <c r="BD469"/>
  <c r="BE469" s="1"/>
  <c r="BZ3150"/>
  <c r="BY3151"/>
  <c r="BW3150"/>
  <c r="BV3150"/>
  <c r="BB470" l="1"/>
  <c r="BF469"/>
  <c r="BY3152"/>
  <c r="BZ3151"/>
  <c r="BV3151"/>
  <c r="BW3151"/>
  <c r="BD470" l="1"/>
  <c r="BE470" s="1"/>
  <c r="BC470"/>
  <c r="BZ3152"/>
  <c r="BY3153"/>
  <c r="BW3152"/>
  <c r="BV3152"/>
  <c r="BB471" l="1"/>
  <c r="BF470"/>
  <c r="BY3154"/>
  <c r="BZ3153"/>
  <c r="BW3153" s="1"/>
  <c r="BV3153"/>
  <c r="BD471" l="1"/>
  <c r="BE471" s="1"/>
  <c r="BC471"/>
  <c r="BZ3154"/>
  <c r="BW3154" s="1"/>
  <c r="BY3155"/>
  <c r="BV3154"/>
  <c r="BY3156" l="1"/>
  <c r="BZ3155"/>
  <c r="BW3155" s="1"/>
  <c r="BV3155"/>
  <c r="BF471"/>
  <c r="BB472"/>
  <c r="BD472" l="1"/>
  <c r="BE472" s="1"/>
  <c r="BC472"/>
  <c r="BZ3156"/>
  <c r="BY3157"/>
  <c r="BV3156"/>
  <c r="BW3156"/>
  <c r="BB473" l="1"/>
  <c r="BF472"/>
  <c r="BY3158"/>
  <c r="BV3157"/>
  <c r="BZ3157"/>
  <c r="BW3157" s="1"/>
  <c r="BC473" l="1"/>
  <c r="BD473"/>
  <c r="BE473" s="1"/>
  <c r="BZ3158"/>
  <c r="BY3159"/>
  <c r="BW3158"/>
  <c r="BV3158"/>
  <c r="BB474" l="1"/>
  <c r="BF473"/>
  <c r="BY3160"/>
  <c r="BZ3159"/>
  <c r="BW3159" s="1"/>
  <c r="BV3159"/>
  <c r="BC474" l="1"/>
  <c r="BD474"/>
  <c r="BE474" s="1"/>
  <c r="BZ3160"/>
  <c r="BY3161"/>
  <c r="BW3160"/>
  <c r="BV3160"/>
  <c r="BB475" l="1"/>
  <c r="BF474"/>
  <c r="BY3162"/>
  <c r="BZ3161"/>
  <c r="BW3161" s="1"/>
  <c r="BV3161"/>
  <c r="BD475" l="1"/>
  <c r="BE475" s="1"/>
  <c r="BC475"/>
  <c r="BZ3162"/>
  <c r="BW3162" s="1"/>
  <c r="BV3162"/>
  <c r="BY3163"/>
  <c r="BY3164" l="1"/>
  <c r="BZ3163"/>
  <c r="BW3163" s="1"/>
  <c r="BV3163"/>
  <c r="BB476"/>
  <c r="BF475"/>
  <c r="BZ3164" l="1"/>
  <c r="BW3164" s="1"/>
  <c r="BY3165"/>
  <c r="BV3164"/>
  <c r="BD476"/>
  <c r="BE476" s="1"/>
  <c r="BC476"/>
  <c r="BB477" l="1"/>
  <c r="BF476"/>
  <c r="BY3166"/>
  <c r="BZ3165"/>
  <c r="BW3165" s="1"/>
  <c r="BV3165"/>
  <c r="BC477" l="1"/>
  <c r="BD477"/>
  <c r="BE477" s="1"/>
  <c r="BZ3166"/>
  <c r="BY3167"/>
  <c r="BW3166"/>
  <c r="BV3166"/>
  <c r="BB478" l="1"/>
  <c r="BF477"/>
  <c r="BY3168"/>
  <c r="BZ3167"/>
  <c r="BW3167" s="1"/>
  <c r="BV3167"/>
  <c r="BD478" l="1"/>
  <c r="BE478" s="1"/>
  <c r="BC478"/>
  <c r="BZ3168"/>
  <c r="BY3169"/>
  <c r="BW3168"/>
  <c r="BV3168"/>
  <c r="BB479" l="1"/>
  <c r="BF478"/>
  <c r="BY3170"/>
  <c r="BZ3169"/>
  <c r="BW3169" s="1"/>
  <c r="BV3169"/>
  <c r="BD479" l="1"/>
  <c r="BE479" s="1"/>
  <c r="BC479"/>
  <c r="BZ3170"/>
  <c r="BW3170" s="1"/>
  <c r="BY3171"/>
  <c r="BV3170"/>
  <c r="BY3172" l="1"/>
  <c r="BZ3171"/>
  <c r="BW3171" s="1"/>
  <c r="BV3171"/>
  <c r="BB480"/>
  <c r="BF479"/>
  <c r="BD480" l="1"/>
  <c r="BE480" s="1"/>
  <c r="BC480"/>
  <c r="BZ3172"/>
  <c r="BW3172" s="1"/>
  <c r="BY3173"/>
  <c r="BV3172"/>
  <c r="BB481" l="1"/>
  <c r="BF480"/>
  <c r="BY3174"/>
  <c r="BV3173"/>
  <c r="BZ3173"/>
  <c r="BW3173" s="1"/>
  <c r="BC481" l="1"/>
  <c r="BD481"/>
  <c r="BE481" s="1"/>
  <c r="BZ3174"/>
  <c r="BY3175"/>
  <c r="BW3174"/>
  <c r="BV3174"/>
  <c r="BB482" l="1"/>
  <c r="BF481"/>
  <c r="BY3176"/>
  <c r="BZ3175"/>
  <c r="BV3175"/>
  <c r="BW3175"/>
  <c r="BD482" l="1"/>
  <c r="BE482" s="1"/>
  <c r="BC482"/>
  <c r="BZ3176"/>
  <c r="BY3177"/>
  <c r="BW3176"/>
  <c r="BV3176"/>
  <c r="BB483" l="1"/>
  <c r="BF482"/>
  <c r="BY3178"/>
  <c r="BZ3177"/>
  <c r="BW3177" s="1"/>
  <c r="BV3177"/>
  <c r="BC483" l="1"/>
  <c r="BD483"/>
  <c r="BE483" s="1"/>
  <c r="BZ3178"/>
  <c r="BW3178" s="1"/>
  <c r="BV3178"/>
  <c r="BY3179"/>
  <c r="BY3180" l="1"/>
  <c r="BZ3179"/>
  <c r="BW3179" s="1"/>
  <c r="BV3179"/>
  <c r="BB484"/>
  <c r="BF483"/>
  <c r="BZ3180" l="1"/>
  <c r="BW3180" s="1"/>
  <c r="BY3181"/>
  <c r="BV3180"/>
  <c r="BD484"/>
  <c r="BE484" s="1"/>
  <c r="BC484"/>
  <c r="BB485" l="1"/>
  <c r="BF484"/>
  <c r="BY3182"/>
  <c r="BZ3181"/>
  <c r="BW3181" s="1"/>
  <c r="BV3181"/>
  <c r="BC485" l="1"/>
  <c r="BD485"/>
  <c r="BE485" s="1"/>
  <c r="BZ3182"/>
  <c r="BY3183"/>
  <c r="BW3182"/>
  <c r="BV3182"/>
  <c r="BB486" l="1"/>
  <c r="BF485"/>
  <c r="BY3184"/>
  <c r="BZ3183"/>
  <c r="BW3183" s="1"/>
  <c r="BV3183"/>
  <c r="BC486" l="1"/>
  <c r="BD486"/>
  <c r="BE486" s="1"/>
  <c r="BZ3184"/>
  <c r="BY3185"/>
  <c r="BW3184"/>
  <c r="BV3184"/>
  <c r="BB487" l="1"/>
  <c r="BF486"/>
  <c r="BY3186"/>
  <c r="BZ3185"/>
  <c r="BW3185" s="1"/>
  <c r="BV3185"/>
  <c r="BD487" l="1"/>
  <c r="BE487" s="1"/>
  <c r="BC487"/>
  <c r="BZ3186"/>
  <c r="BW3186" s="1"/>
  <c r="BY3187"/>
  <c r="BV3186"/>
  <c r="BY3188" l="1"/>
  <c r="BZ3187"/>
  <c r="BW3187" s="1"/>
  <c r="BV3187"/>
  <c r="BB488"/>
  <c r="BF487"/>
  <c r="BD488" l="1"/>
  <c r="BE488" s="1"/>
  <c r="BC488"/>
  <c r="BZ3188"/>
  <c r="BW3188" s="1"/>
  <c r="BY3189"/>
  <c r="BV3188"/>
  <c r="BB489" l="1"/>
  <c r="BF488"/>
  <c r="BY3190"/>
  <c r="BV3189"/>
  <c r="BZ3189"/>
  <c r="BW3189" s="1"/>
  <c r="BC489" l="1"/>
  <c r="BD489"/>
  <c r="BE489" s="1"/>
  <c r="BZ3190"/>
  <c r="BY3191"/>
  <c r="BW3190"/>
  <c r="BV3190"/>
  <c r="BF489" l="1"/>
  <c r="BB490"/>
  <c r="BY3192"/>
  <c r="BZ3191"/>
  <c r="BV3191"/>
  <c r="BW3191"/>
  <c r="BC490" l="1"/>
  <c r="BD490"/>
  <c r="BE490" s="1"/>
  <c r="BZ3192"/>
  <c r="BY3193"/>
  <c r="BW3192"/>
  <c r="BV3192"/>
  <c r="BB491" l="1"/>
  <c r="BF490"/>
  <c r="BY3194"/>
  <c r="BZ3193"/>
  <c r="BW3193" s="1"/>
  <c r="BV3193"/>
  <c r="BD491" l="1"/>
  <c r="BE491" s="1"/>
  <c r="BC491"/>
  <c r="BZ3194"/>
  <c r="BW3194" s="1"/>
  <c r="BV3194"/>
  <c r="BY3195"/>
  <c r="BY3196" l="1"/>
  <c r="BZ3195"/>
  <c r="BW3195" s="1"/>
  <c r="BV3195"/>
  <c r="BB492"/>
  <c r="BF491"/>
  <c r="BZ3196" l="1"/>
  <c r="BW3196" s="1"/>
  <c r="BY3197"/>
  <c r="BV3196"/>
  <c r="BD492"/>
  <c r="BE492" s="1"/>
  <c r="BC492"/>
  <c r="BB493" l="1"/>
  <c r="BF492"/>
  <c r="BY3198"/>
  <c r="BZ3197"/>
  <c r="BW3197" s="1"/>
  <c r="BV3197"/>
  <c r="BC493" l="1"/>
  <c r="BD493"/>
  <c r="BE493" s="1"/>
  <c r="BZ3198"/>
  <c r="BY3199"/>
  <c r="BW3198"/>
  <c r="BV3198"/>
  <c r="BF493" l="1"/>
  <c r="BB494"/>
  <c r="BY3200"/>
  <c r="BZ3199"/>
  <c r="BV3199"/>
  <c r="BW3199"/>
  <c r="BD494" l="1"/>
  <c r="BE494" s="1"/>
  <c r="BC494"/>
  <c r="BZ3200"/>
  <c r="BY3201"/>
  <c r="BW3200"/>
  <c r="BV3200"/>
  <c r="BB495" l="1"/>
  <c r="BF494"/>
  <c r="BY3202"/>
  <c r="BZ3201"/>
  <c r="BW3201" s="1"/>
  <c r="BV3201"/>
  <c r="BD495" l="1"/>
  <c r="BE495" s="1"/>
  <c r="BC495"/>
  <c r="BZ3202"/>
  <c r="BW3202" s="1"/>
  <c r="BY3203"/>
  <c r="BV3202"/>
  <c r="BY3204" l="1"/>
  <c r="BZ3203"/>
  <c r="BW3203" s="1"/>
  <c r="BV3203"/>
  <c r="BB496"/>
  <c r="BF495"/>
  <c r="BD496" l="1"/>
  <c r="BE496" s="1"/>
  <c r="BC496"/>
  <c r="BZ3204"/>
  <c r="BW3204" s="1"/>
  <c r="BY3205"/>
  <c r="BV3204"/>
  <c r="BF496" l="1"/>
  <c r="BB497"/>
  <c r="BY3206"/>
  <c r="BV3205"/>
  <c r="BZ3205"/>
  <c r="BW3205" s="1"/>
  <c r="BZ3206" l="1"/>
  <c r="BW3206" s="1"/>
  <c r="BY3207"/>
  <c r="BV3206"/>
  <c r="BC497"/>
  <c r="BD497"/>
  <c r="BE497" s="1"/>
  <c r="BY3208" l="1"/>
  <c r="BZ3207"/>
  <c r="BW3207" s="1"/>
  <c r="BV3207"/>
  <c r="BB498"/>
  <c r="BF497"/>
  <c r="BD498" l="1"/>
  <c r="BE498" s="1"/>
  <c r="BC498"/>
  <c r="BZ3208"/>
  <c r="BY3209"/>
  <c r="BW3208"/>
  <c r="BV3208"/>
  <c r="BB499" l="1"/>
  <c r="BF498"/>
  <c r="BY3210"/>
  <c r="BZ3209"/>
  <c r="BW3209" s="1"/>
  <c r="BV3209"/>
  <c r="BC499" l="1"/>
  <c r="BD499"/>
  <c r="BE499" s="1"/>
  <c r="BZ3210"/>
  <c r="BW3210" s="1"/>
  <c r="BV3210"/>
  <c r="BY3211"/>
  <c r="BY3212" l="1"/>
  <c r="BZ3211"/>
  <c r="BW3211" s="1"/>
  <c r="BV3211"/>
  <c r="BB500"/>
  <c r="BF499"/>
  <c r="BD500" l="1"/>
  <c r="BE500" s="1"/>
  <c r="BC500"/>
  <c r="BZ3212"/>
  <c r="BW3212" s="1"/>
  <c r="BY3213"/>
  <c r="BV3212"/>
  <c r="BF500" l="1"/>
  <c r="BB501"/>
  <c r="BY3214"/>
  <c r="BZ3213"/>
  <c r="BW3213" s="1"/>
  <c r="BV3213"/>
  <c r="BC501" l="1"/>
  <c r="BD501"/>
  <c r="BE501" s="1"/>
  <c r="BZ3214"/>
  <c r="BY3215"/>
  <c r="BW3214"/>
  <c r="BV3214"/>
  <c r="BB502" l="1"/>
  <c r="BF501"/>
  <c r="BY3216"/>
  <c r="BZ3215"/>
  <c r="BV3215"/>
  <c r="BW3215"/>
  <c r="BD502" l="1"/>
  <c r="BE502" s="1"/>
  <c r="BC502"/>
  <c r="BZ3216"/>
  <c r="BY3217"/>
  <c r="BW3216"/>
  <c r="BV3216"/>
  <c r="BB503" l="1"/>
  <c r="BF502"/>
  <c r="BY3218"/>
  <c r="BZ3217"/>
  <c r="BW3217" s="1"/>
  <c r="BV3217"/>
  <c r="BD503" l="1"/>
  <c r="BE503" s="1"/>
  <c r="BC503"/>
  <c r="BZ3218"/>
  <c r="BW3218" s="1"/>
  <c r="BY3219"/>
  <c r="BV3218"/>
  <c r="BY3220" l="1"/>
  <c r="BZ3219"/>
  <c r="BW3219" s="1"/>
  <c r="BV3219"/>
  <c r="BF503"/>
  <c r="BB504"/>
  <c r="BZ3220" l="1"/>
  <c r="BW3220" s="1"/>
  <c r="BY3221"/>
  <c r="BV3220"/>
  <c r="BD504"/>
  <c r="BE504" s="1"/>
  <c r="BC504"/>
  <c r="BB505" l="1"/>
  <c r="BF504"/>
  <c r="BY3222"/>
  <c r="BV3221"/>
  <c r="BZ3221"/>
  <c r="BW3221" s="1"/>
  <c r="BC505" l="1"/>
  <c r="BD505"/>
  <c r="BE505" s="1"/>
  <c r="BZ3222"/>
  <c r="BY3223"/>
  <c r="BW3222"/>
  <c r="BV3222"/>
  <c r="BB506" l="1"/>
  <c r="BF505"/>
  <c r="BY3224"/>
  <c r="BZ3223"/>
  <c r="BV3223"/>
  <c r="BW3223"/>
  <c r="BC506" l="1"/>
  <c r="BD506"/>
  <c r="BE506" s="1"/>
  <c r="BZ3224"/>
  <c r="BY3225"/>
  <c r="BW3224"/>
  <c r="BV3224"/>
  <c r="BB507" l="1"/>
  <c r="BF506"/>
  <c r="BY3226"/>
  <c r="BZ3225"/>
  <c r="BW3225" s="1"/>
  <c r="BV3225"/>
  <c r="BD507" l="1"/>
  <c r="BE507" s="1"/>
  <c r="BC507"/>
  <c r="BZ3226"/>
  <c r="BW3226" s="1"/>
  <c r="BV3226"/>
  <c r="BY3227"/>
  <c r="BY3228" l="1"/>
  <c r="BZ3227"/>
  <c r="BW3227" s="1"/>
  <c r="BV3227"/>
  <c r="BF507"/>
  <c r="BB508"/>
  <c r="BD508" l="1"/>
  <c r="BE508" s="1"/>
  <c r="BC508"/>
  <c r="BZ3228"/>
  <c r="BW3228" s="1"/>
  <c r="BY3229"/>
  <c r="BV3228"/>
  <c r="BB509" l="1"/>
  <c r="BF508"/>
  <c r="BY3230"/>
  <c r="BZ3229"/>
  <c r="BW3229" s="1"/>
  <c r="BV3229"/>
  <c r="BC509" l="1"/>
  <c r="BD509"/>
  <c r="BE509" s="1"/>
  <c r="BZ3230"/>
  <c r="BY3231"/>
  <c r="BW3230"/>
  <c r="BV3230"/>
  <c r="BB510" l="1"/>
  <c r="BF509"/>
  <c r="BY3232"/>
  <c r="BZ3231"/>
  <c r="BV3231"/>
  <c r="BW3231"/>
  <c r="BD510" l="1"/>
  <c r="BE510" s="1"/>
  <c r="BC510"/>
  <c r="BZ3232"/>
  <c r="BY3233"/>
  <c r="BW3232"/>
  <c r="BV3232"/>
  <c r="BB511" l="1"/>
  <c r="BF510"/>
  <c r="BY3234"/>
  <c r="BZ3233"/>
  <c r="BW3233" s="1"/>
  <c r="BV3233"/>
  <c r="BC511" l="1"/>
  <c r="BD511"/>
  <c r="BE511" s="1"/>
  <c r="BZ3234"/>
  <c r="BW3234" s="1"/>
  <c r="BY3235"/>
  <c r="BV3234"/>
  <c r="BY3236" l="1"/>
  <c r="BZ3235"/>
  <c r="BW3235" s="1"/>
  <c r="BV3235"/>
  <c r="BB512"/>
  <c r="BF511"/>
  <c r="BZ3236" l="1"/>
  <c r="BW3236" s="1"/>
  <c r="BY3237"/>
  <c r="BV3236"/>
  <c r="BD512"/>
  <c r="BE512" s="1"/>
  <c r="BC512"/>
  <c r="BB513" l="1"/>
  <c r="BF512"/>
  <c r="BY3238"/>
  <c r="BV3237"/>
  <c r="BZ3237"/>
  <c r="BW3237" s="1"/>
  <c r="BC513" l="1"/>
  <c r="BD513"/>
  <c r="BE513" s="1"/>
  <c r="BZ3238"/>
  <c r="BY3239"/>
  <c r="BW3238"/>
  <c r="BV3238"/>
  <c r="BB514" l="1"/>
  <c r="BF513"/>
  <c r="BY3240"/>
  <c r="BZ3239"/>
  <c r="BV3239"/>
  <c r="BW3239"/>
  <c r="BD514" l="1"/>
  <c r="BE514" s="1"/>
  <c r="BC514"/>
  <c r="BZ3240"/>
  <c r="BY3241"/>
  <c r="BW3240"/>
  <c r="BV3240"/>
  <c r="BF514" l="1"/>
  <c r="BB515"/>
  <c r="BY3242"/>
  <c r="BZ3241"/>
  <c r="BW3241" s="1"/>
  <c r="BV3241"/>
  <c r="BZ3242" l="1"/>
  <c r="BW3242" s="1"/>
  <c r="BV3242"/>
  <c r="BY3243"/>
  <c r="BY3244" l="1"/>
  <c r="BZ3243"/>
  <c r="BW3243" s="1"/>
  <c r="BV3243"/>
  <c r="BZ3244" l="1"/>
  <c r="BW3244" s="1"/>
  <c r="BY3245"/>
  <c r="BV3244"/>
  <c r="BY3246" l="1"/>
  <c r="BZ3245"/>
  <c r="BW3245" s="1"/>
  <c r="BV3245"/>
  <c r="BZ3246" l="1"/>
  <c r="BW3246" s="1"/>
  <c r="BY3247"/>
  <c r="BV3246"/>
  <c r="BY3248" l="1"/>
  <c r="BZ3247"/>
  <c r="BW3247" s="1"/>
  <c r="BV3247"/>
  <c r="BZ3248" l="1"/>
  <c r="BW3248" s="1"/>
  <c r="BY3249"/>
  <c r="BV3248"/>
  <c r="BY3250" l="1"/>
  <c r="BW3249"/>
  <c r="BZ3249"/>
  <c r="BV3249"/>
  <c r="BZ3250" l="1"/>
  <c r="BW3250" s="1"/>
  <c r="BY3251"/>
  <c r="BV3250"/>
  <c r="BY3252" l="1"/>
  <c r="BZ3251"/>
  <c r="BW3251" s="1"/>
  <c r="BV3251"/>
  <c r="BZ3252" l="1"/>
  <c r="BW3252" s="1"/>
  <c r="BY3253"/>
  <c r="BV3252"/>
  <c r="BY3254" l="1"/>
  <c r="BW3253"/>
  <c r="BV3253"/>
  <c r="BZ3253"/>
  <c r="BZ3254" l="1"/>
  <c r="BW3254" s="1"/>
  <c r="BY3255"/>
  <c r="BV3254"/>
  <c r="BY3256" l="1"/>
  <c r="BZ3255"/>
  <c r="BW3255" s="1"/>
  <c r="BV3255"/>
  <c r="BZ3256" l="1"/>
  <c r="BW3256" s="1"/>
  <c r="BY3257"/>
  <c r="BV3256"/>
  <c r="BY3258" l="1"/>
  <c r="BW3257"/>
  <c r="BZ3257"/>
  <c r="BV3257"/>
  <c r="BZ3258" l="1"/>
  <c r="BW3258" s="1"/>
  <c r="BV3258"/>
  <c r="BY3259"/>
  <c r="BY3260" l="1"/>
  <c r="BZ3259"/>
  <c r="BW3259" s="1"/>
  <c r="BV3259"/>
  <c r="BZ3260" l="1"/>
  <c r="BW3260" s="1"/>
  <c r="BY3261"/>
  <c r="BV3260"/>
  <c r="BY3262" l="1"/>
  <c r="BW3261"/>
  <c r="BZ3261"/>
  <c r="BV3261"/>
  <c r="BZ3262" l="1"/>
  <c r="BW3262" s="1"/>
  <c r="BY3263"/>
  <c r="BV3262"/>
  <c r="BY3264" l="1"/>
  <c r="BZ3263"/>
  <c r="BW3263" s="1"/>
  <c r="BV3263"/>
  <c r="BZ3264" l="1"/>
  <c r="BW3264" s="1"/>
  <c r="BY3265"/>
  <c r="BV3264"/>
  <c r="BY3266" l="1"/>
  <c r="BW3265"/>
  <c r="BZ3265"/>
  <c r="BV3265"/>
  <c r="BZ3266" l="1"/>
  <c r="BW3266" s="1"/>
  <c r="BY3267"/>
  <c r="BV3266"/>
  <c r="BY3268" l="1"/>
  <c r="BZ3267"/>
  <c r="BW3267" s="1"/>
  <c r="BV3267"/>
  <c r="BZ3268" l="1"/>
  <c r="BW3268" s="1"/>
  <c r="BY3269"/>
  <c r="BV3268"/>
  <c r="BY3270" l="1"/>
  <c r="BV3269"/>
  <c r="BZ3269"/>
  <c r="BW3269" s="1"/>
  <c r="BZ3270" l="1"/>
  <c r="BW3270" s="1"/>
  <c r="BY3271"/>
  <c r="BV3270"/>
  <c r="BY3272" l="1"/>
  <c r="BZ3271"/>
  <c r="BW3271" s="1"/>
  <c r="BV3271"/>
  <c r="BZ3272" l="1"/>
  <c r="BW3272" s="1"/>
  <c r="BY3273"/>
  <c r="BV3272"/>
  <c r="BY3274" l="1"/>
  <c r="BW3273"/>
  <c r="BZ3273"/>
  <c r="BV3273"/>
  <c r="BZ3274" l="1"/>
  <c r="BW3274" s="1"/>
  <c r="BV3274"/>
  <c r="BY3275"/>
  <c r="BY3276" l="1"/>
  <c r="BZ3275"/>
  <c r="BW3275" s="1"/>
  <c r="BV3275"/>
  <c r="BZ3276" l="1"/>
  <c r="BW3276" s="1"/>
  <c r="BY3277"/>
  <c r="BV3276"/>
  <c r="BY3278" l="1"/>
  <c r="BW3277"/>
  <c r="BZ3277"/>
  <c r="BV3277"/>
  <c r="BZ3278" l="1"/>
  <c r="BW3278" s="1"/>
  <c r="BY3279"/>
  <c r="BV3278"/>
  <c r="BY3280" l="1"/>
  <c r="BZ3279"/>
  <c r="BW3279" s="1"/>
  <c r="BV3279"/>
  <c r="BZ3280" l="1"/>
  <c r="BW3280" s="1"/>
  <c r="BY3281"/>
  <c r="BV3280"/>
  <c r="BY3282" l="1"/>
  <c r="BW3281"/>
  <c r="BZ3281"/>
  <c r="BV3281"/>
  <c r="BZ3282" l="1"/>
  <c r="BW3282" s="1"/>
  <c r="BY3283"/>
  <c r="BV3282"/>
  <c r="BY3284" l="1"/>
  <c r="BZ3283"/>
  <c r="BW3283" s="1"/>
  <c r="BV3283"/>
  <c r="BZ3284" l="1"/>
  <c r="BW3284" s="1"/>
  <c r="BY3285"/>
  <c r="BV3284"/>
  <c r="BY3286" l="1"/>
  <c r="BW3285"/>
  <c r="BV3285"/>
  <c r="BZ3285"/>
  <c r="BZ3286" l="1"/>
  <c r="BW3286" s="1"/>
  <c r="BY3287"/>
  <c r="BV3286"/>
  <c r="BY3288" l="1"/>
  <c r="BZ3287"/>
  <c r="BW3287" s="1"/>
  <c r="BV3287"/>
  <c r="BZ3288" l="1"/>
  <c r="BW3288" s="1"/>
  <c r="BY3289"/>
  <c r="BV3288"/>
  <c r="BY3290" l="1"/>
  <c r="BW3289"/>
  <c r="BZ3289"/>
  <c r="BV3289"/>
  <c r="BZ3290" l="1"/>
  <c r="BW3290" s="1"/>
  <c r="BV3290"/>
  <c r="BY3291"/>
  <c r="BY3292" l="1"/>
  <c r="BZ3291"/>
  <c r="BW3291" s="1"/>
  <c r="BV3291"/>
  <c r="BZ3292" l="1"/>
  <c r="BW3292" s="1"/>
  <c r="BY3293"/>
  <c r="BV3292"/>
  <c r="BY3294" l="1"/>
  <c r="BZ3293"/>
  <c r="BW3293" s="1"/>
  <c r="BV3293"/>
  <c r="BZ3294" l="1"/>
  <c r="BW3294" s="1"/>
  <c r="BY3295"/>
  <c r="BV3294"/>
  <c r="BY3296" l="1"/>
  <c r="BZ3295"/>
  <c r="BW3295" s="1"/>
  <c r="BV3295"/>
  <c r="BZ3296" l="1"/>
  <c r="BW3296" s="1"/>
  <c r="BY3297"/>
  <c r="BV3296"/>
  <c r="BY3298" l="1"/>
  <c r="BW3297"/>
  <c r="BZ3297"/>
  <c r="BV3297"/>
  <c r="BZ3298" l="1"/>
  <c r="BW3298" s="1"/>
  <c r="BY3299"/>
  <c r="BV3298"/>
  <c r="BY3300" l="1"/>
  <c r="BZ3299"/>
  <c r="BW3299" s="1"/>
  <c r="BV3299"/>
  <c r="BZ3300" l="1"/>
  <c r="BW3300" s="1"/>
  <c r="BY3301"/>
  <c r="BV3300"/>
  <c r="BY3302" l="1"/>
  <c r="BW3301"/>
  <c r="BV3301"/>
  <c r="BZ3301"/>
  <c r="BZ3302" l="1"/>
  <c r="BW3302" s="1"/>
  <c r="BY3303"/>
  <c r="BV3302"/>
  <c r="BY3304" l="1"/>
  <c r="BZ3303"/>
  <c r="BW3303" s="1"/>
  <c r="BV3303"/>
  <c r="BZ3304" l="1"/>
  <c r="BW3304" s="1"/>
  <c r="BY3305"/>
  <c r="BV3304"/>
  <c r="BY3306" l="1"/>
  <c r="BW3305"/>
  <c r="BZ3305"/>
  <c r="BV3305"/>
  <c r="BZ3306" l="1"/>
  <c r="BW3306" s="1"/>
  <c r="BV3306"/>
  <c r="BY3307"/>
  <c r="BY3308" l="1"/>
  <c r="BZ3307"/>
  <c r="BW3307" s="1"/>
  <c r="BV3307"/>
  <c r="BZ3308" l="1"/>
  <c r="BW3308" s="1"/>
  <c r="BY3309"/>
  <c r="BV3308"/>
  <c r="BY3310" l="1"/>
  <c r="BW3309"/>
  <c r="BZ3309"/>
  <c r="BV3309"/>
  <c r="BZ3310" l="1"/>
  <c r="BW3310" s="1"/>
  <c r="BY3311"/>
  <c r="BV3310"/>
  <c r="BY3312" l="1"/>
  <c r="BZ3311"/>
  <c r="BW3311" s="1"/>
  <c r="BV3311"/>
  <c r="BZ3312" l="1"/>
  <c r="BW3312" s="1"/>
  <c r="BY3313"/>
  <c r="BV3312"/>
  <c r="BY3314" l="1"/>
  <c r="BZ3313"/>
  <c r="BW3313" s="1"/>
  <c r="BV3313"/>
  <c r="BZ3314" l="1"/>
  <c r="BW3314" s="1"/>
  <c r="BY3315"/>
  <c r="BV3314"/>
  <c r="BY3316" l="1"/>
  <c r="BZ3315"/>
  <c r="BW3315" s="1"/>
  <c r="BV3315"/>
  <c r="BZ3316" l="1"/>
  <c r="BW3316" s="1"/>
  <c r="BY3317"/>
  <c r="BV3316"/>
  <c r="BY3318" l="1"/>
  <c r="BV3317"/>
  <c r="BZ3317"/>
  <c r="BW3317" s="1"/>
  <c r="BZ3318" l="1"/>
  <c r="BW3318" s="1"/>
  <c r="BY3319"/>
  <c r="BV3318"/>
  <c r="BY3320" l="1"/>
  <c r="BZ3319"/>
  <c r="BW3319" s="1"/>
  <c r="BV3319"/>
  <c r="BZ3320" l="1"/>
  <c r="BW3320" s="1"/>
  <c r="BY3321"/>
  <c r="BV3320"/>
  <c r="BY3322" l="1"/>
  <c r="BZ3321"/>
  <c r="BW3321" s="1"/>
  <c r="BV3321"/>
  <c r="BZ3322" l="1"/>
  <c r="BW3322" s="1"/>
  <c r="BV3322"/>
  <c r="BY3323"/>
  <c r="BY3324" l="1"/>
  <c r="BZ3323"/>
  <c r="BW3323" s="1"/>
  <c r="BV3323"/>
  <c r="BZ3324" l="1"/>
  <c r="BW3324" s="1"/>
  <c r="BY3325"/>
  <c r="BV3324"/>
  <c r="BY3326" l="1"/>
  <c r="BZ3325"/>
  <c r="BW3325" s="1"/>
  <c r="BV3325"/>
  <c r="BZ3326" l="1"/>
  <c r="BW3326" s="1"/>
  <c r="BY3327"/>
  <c r="BV3326"/>
  <c r="BY3328" l="1"/>
  <c r="BZ3327"/>
  <c r="BW3327" s="1"/>
  <c r="BV3327"/>
  <c r="BZ3328" l="1"/>
  <c r="BW3328" s="1"/>
  <c r="BY3329"/>
  <c r="BV3328"/>
  <c r="BY3330" l="1"/>
  <c r="BZ3329"/>
  <c r="BW3329" s="1"/>
  <c r="BV3329"/>
  <c r="BZ3330" l="1"/>
  <c r="BW3330" s="1"/>
  <c r="BY3331"/>
  <c r="BV3330"/>
  <c r="BY3332" l="1"/>
  <c r="BZ3331"/>
  <c r="BW3331" s="1"/>
  <c r="BV3331"/>
  <c r="BZ3332" l="1"/>
  <c r="BW3332" s="1"/>
  <c r="BY3333"/>
  <c r="BV3332"/>
  <c r="BY3334" l="1"/>
  <c r="BV3333"/>
  <c r="BZ3333"/>
  <c r="BW3333" s="1"/>
  <c r="BZ3334" l="1"/>
  <c r="BW3334" s="1"/>
  <c r="BY3335"/>
  <c r="BV3334"/>
  <c r="BY3336" l="1"/>
  <c r="BZ3335"/>
  <c r="BW3335" s="1"/>
  <c r="BV3335"/>
  <c r="BZ3336" l="1"/>
  <c r="BW3336" s="1"/>
  <c r="BY3337"/>
  <c r="BV3336"/>
  <c r="BY3338" l="1"/>
  <c r="BW3337"/>
  <c r="BZ3337"/>
  <c r="BV3337"/>
  <c r="BZ3338" l="1"/>
  <c r="BW3338" s="1"/>
  <c r="BV3338"/>
  <c r="BY3339"/>
  <c r="BY3340" l="1"/>
  <c r="BZ3339"/>
  <c r="BW3339" s="1"/>
  <c r="BV3339"/>
  <c r="BZ3340" l="1"/>
  <c r="BW3340" s="1"/>
  <c r="BY3341"/>
  <c r="BV3340"/>
  <c r="BY3342" l="1"/>
  <c r="BZ3341"/>
  <c r="BW3341" s="1"/>
  <c r="BV3341"/>
  <c r="BZ3342" l="1"/>
  <c r="BW3342" s="1"/>
  <c r="BY3343"/>
  <c r="BV3342"/>
  <c r="BY3344" l="1"/>
  <c r="BZ3343"/>
  <c r="BW3343" s="1"/>
  <c r="BV3343"/>
  <c r="BZ3344" l="1"/>
  <c r="BW3344" s="1"/>
  <c r="BY3345"/>
  <c r="BV3344"/>
  <c r="BY3346" l="1"/>
  <c r="BW3345"/>
  <c r="BZ3345"/>
  <c r="BV3345"/>
  <c r="BZ3346" l="1"/>
  <c r="BW3346" s="1"/>
  <c r="BY3347"/>
  <c r="BV3346"/>
  <c r="BY3348" l="1"/>
  <c r="BZ3347"/>
  <c r="BW3347" s="1"/>
  <c r="BV3347"/>
  <c r="BZ3348" l="1"/>
  <c r="BW3348" s="1"/>
  <c r="BY3349"/>
  <c r="BV3348"/>
  <c r="BY3350" l="1"/>
  <c r="BV3349"/>
  <c r="BZ3349"/>
  <c r="BW3349" s="1"/>
  <c r="BZ3350" l="1"/>
  <c r="BW3350" s="1"/>
  <c r="BY3351"/>
  <c r="BV3350"/>
  <c r="BY3352" l="1"/>
  <c r="BZ3351"/>
  <c r="BW3351" s="1"/>
  <c r="BV3351"/>
  <c r="BZ3352" l="1"/>
  <c r="BW3352" s="1"/>
  <c r="BY3353"/>
  <c r="BV3352"/>
  <c r="BY3354" l="1"/>
  <c r="BW3353"/>
  <c r="BZ3353"/>
  <c r="BV3353"/>
  <c r="BZ3354" l="1"/>
  <c r="BW3354" s="1"/>
  <c r="BV3354"/>
  <c r="BY3355"/>
  <c r="BY3356" l="1"/>
  <c r="BZ3355"/>
  <c r="BW3355" s="1"/>
  <c r="BV3355"/>
  <c r="BZ3356" l="1"/>
  <c r="BW3356" s="1"/>
  <c r="BY3357"/>
  <c r="BV3356"/>
  <c r="BY3358" l="1"/>
  <c r="BW3357"/>
  <c r="BZ3357"/>
  <c r="BV3357"/>
  <c r="BZ3358" l="1"/>
  <c r="BW3358" s="1"/>
  <c r="BY3359"/>
  <c r="BV3358"/>
  <c r="BY3360" l="1"/>
  <c r="BZ3359"/>
  <c r="BW3359" s="1"/>
  <c r="BV3359"/>
  <c r="BZ3360" l="1"/>
  <c r="BW3360" s="1"/>
  <c r="BY3361"/>
  <c r="BV3360"/>
  <c r="BY3362" l="1"/>
  <c r="BW3361"/>
  <c r="BZ3361"/>
  <c r="BV3361"/>
  <c r="BZ3362" l="1"/>
  <c r="BW3362" s="1"/>
  <c r="BY3363"/>
  <c r="BV3362"/>
  <c r="BY3364" l="1"/>
  <c r="BZ3363"/>
  <c r="BW3363" s="1"/>
  <c r="BV3363"/>
  <c r="BZ3364" l="1"/>
  <c r="BW3364" s="1"/>
  <c r="BY3365"/>
  <c r="BV3364"/>
  <c r="BY3366" l="1"/>
  <c r="BW3365"/>
  <c r="BV3365"/>
  <c r="BZ3365"/>
  <c r="BZ3366" l="1"/>
  <c r="BW3366" s="1"/>
  <c r="BY3367"/>
  <c r="BV3366"/>
  <c r="BY3368" l="1"/>
  <c r="BZ3367"/>
  <c r="BW3367" s="1"/>
  <c r="BV3367"/>
  <c r="BZ3368" l="1"/>
  <c r="BW3368" s="1"/>
  <c r="BY3369"/>
  <c r="BV3368"/>
  <c r="BY3370" l="1"/>
  <c r="BW3369"/>
  <c r="BZ3369"/>
  <c r="BV3369"/>
  <c r="BZ3370" l="1"/>
  <c r="BW3370" s="1"/>
  <c r="BV3370"/>
  <c r="BY3371"/>
  <c r="BY3372" l="1"/>
  <c r="BZ3371"/>
  <c r="BW3371" s="1"/>
  <c r="BV3371"/>
  <c r="BZ3372" l="1"/>
  <c r="BW3372" s="1"/>
  <c r="BY3373"/>
  <c r="BV3372"/>
  <c r="BY3374" l="1"/>
  <c r="BZ3373"/>
  <c r="BW3373" s="1"/>
  <c r="BV3373"/>
  <c r="BZ3374" l="1"/>
  <c r="BW3374" s="1"/>
  <c r="BY3375"/>
  <c r="BV3374"/>
  <c r="BY3376" l="1"/>
  <c r="BZ3375"/>
  <c r="BW3375" s="1"/>
  <c r="BV3375"/>
  <c r="BZ3376" l="1"/>
  <c r="BW3376" s="1"/>
  <c r="BY3377"/>
  <c r="BV3376"/>
  <c r="BY3378" l="1"/>
  <c r="BW3377"/>
  <c r="BZ3377"/>
  <c r="BV3377"/>
  <c r="BZ3378" l="1"/>
  <c r="BW3378" s="1"/>
  <c r="BY3379"/>
  <c r="BV3378"/>
  <c r="BY3380" l="1"/>
  <c r="BZ3379"/>
  <c r="BW3379" s="1"/>
  <c r="BV3379"/>
  <c r="BZ3380" l="1"/>
  <c r="BW3380" s="1"/>
  <c r="BY3381"/>
  <c r="BV3380"/>
  <c r="BY3382" l="1"/>
  <c r="BW3381"/>
  <c r="BV3381"/>
  <c r="BZ3381"/>
  <c r="BZ3382" l="1"/>
  <c r="BW3382" s="1"/>
  <c r="BY3383"/>
  <c r="BV3382"/>
  <c r="BY3384" l="1"/>
  <c r="BZ3383"/>
  <c r="BW3383" s="1"/>
  <c r="BV3383"/>
  <c r="BZ3384" l="1"/>
  <c r="BW3384" s="1"/>
  <c r="BY3385"/>
  <c r="BV3384"/>
  <c r="BY3386" l="1"/>
  <c r="BZ3385"/>
  <c r="BW3385" s="1"/>
  <c r="BV3385"/>
  <c r="BZ3386" l="1"/>
  <c r="BW3386" s="1"/>
  <c r="BV3386"/>
  <c r="BY3387"/>
  <c r="BY3388" l="1"/>
  <c r="BZ3387"/>
  <c r="BW3387" s="1"/>
  <c r="BV3387"/>
  <c r="BZ3388" l="1"/>
  <c r="BW3388" s="1"/>
  <c r="BY3389"/>
  <c r="BV3388"/>
  <c r="BY3390" l="1"/>
  <c r="BW3389"/>
  <c r="BZ3389"/>
  <c r="BV3389"/>
  <c r="BZ3390" l="1"/>
  <c r="BW3390" s="1"/>
  <c r="BY3391"/>
  <c r="BV3390"/>
  <c r="BY3392" l="1"/>
  <c r="BZ3391"/>
  <c r="BW3391" s="1"/>
  <c r="BV3391"/>
  <c r="BZ3392" l="1"/>
  <c r="BW3392" s="1"/>
  <c r="BY3393"/>
  <c r="BV3392"/>
  <c r="BY3394" l="1"/>
  <c r="BW3393"/>
  <c r="BZ3393"/>
  <c r="BV3393"/>
  <c r="BZ3394" l="1"/>
  <c r="BW3394" s="1"/>
  <c r="BY3395"/>
  <c r="BV3394"/>
  <c r="BY3396" l="1"/>
  <c r="BZ3395"/>
  <c r="BW3395" s="1"/>
  <c r="BV3395"/>
  <c r="BZ3396" l="1"/>
  <c r="BW3396" s="1"/>
  <c r="BY3397"/>
  <c r="BV3396"/>
  <c r="BY3398" l="1"/>
  <c r="BW3397"/>
  <c r="BV3397"/>
  <c r="BZ3397"/>
  <c r="BZ3398" l="1"/>
  <c r="BW3398" s="1"/>
  <c r="BY3399"/>
  <c r="BV3398"/>
  <c r="BY3400" l="1"/>
  <c r="BZ3399"/>
  <c r="BW3399" s="1"/>
  <c r="BV3399"/>
  <c r="BZ3400" l="1"/>
  <c r="BW3400" s="1"/>
  <c r="BY3401"/>
  <c r="BV3400"/>
  <c r="BY3402" l="1"/>
  <c r="BW3401"/>
  <c r="BZ3401"/>
  <c r="BV3401"/>
  <c r="BZ3402" l="1"/>
  <c r="BW3402" s="1"/>
  <c r="BV3402"/>
  <c r="BY3403"/>
  <c r="BY3404" l="1"/>
  <c r="BZ3403"/>
  <c r="BW3403" s="1"/>
  <c r="BV3403"/>
  <c r="BZ3404" l="1"/>
  <c r="BW3404" s="1"/>
  <c r="BY3405"/>
  <c r="BV3404"/>
  <c r="BY3406" l="1"/>
  <c r="BZ3405"/>
  <c r="BW3405" s="1"/>
  <c r="BV3405"/>
  <c r="BZ3406" l="1"/>
  <c r="BW3406" s="1"/>
  <c r="BY3407"/>
  <c r="BV3406"/>
  <c r="BY3408" l="1"/>
  <c r="BZ3407"/>
  <c r="BW3407" s="1"/>
  <c r="BV3407"/>
  <c r="BZ3408" l="1"/>
  <c r="BW3408" s="1"/>
  <c r="BY3409"/>
  <c r="BV3408"/>
  <c r="BY3410" l="1"/>
  <c r="BW3409"/>
  <c r="BZ3409"/>
  <c r="BV3409"/>
  <c r="BZ3410" l="1"/>
  <c r="BW3410" s="1"/>
  <c r="BY3411"/>
  <c r="BV3410"/>
  <c r="BY3412" l="1"/>
  <c r="BZ3411"/>
  <c r="BW3411" s="1"/>
  <c r="BV3411"/>
  <c r="BZ3412" l="1"/>
  <c r="BW3412" s="1"/>
  <c r="BY3413"/>
  <c r="BV3412"/>
  <c r="BY3414" l="1"/>
  <c r="BW3413"/>
  <c r="BV3413"/>
  <c r="BZ3413"/>
  <c r="BZ3414" l="1"/>
  <c r="BW3414" s="1"/>
  <c r="BY3415"/>
  <c r="BV3414"/>
  <c r="BY3416" l="1"/>
  <c r="BZ3415"/>
  <c r="BW3415" s="1"/>
  <c r="BV3415"/>
  <c r="BZ3416" l="1"/>
  <c r="BW3416" s="1"/>
  <c r="BY3417"/>
  <c r="BV3416"/>
  <c r="BY3418" l="1"/>
  <c r="BW3417"/>
  <c r="BZ3417"/>
  <c r="BV3417"/>
  <c r="BZ3418" l="1"/>
  <c r="BW3418" s="1"/>
  <c r="BV3418"/>
  <c r="BY3419"/>
  <c r="BY3420" l="1"/>
  <c r="BZ3419"/>
  <c r="BW3419" s="1"/>
  <c r="BV3419"/>
  <c r="BZ3420" l="1"/>
  <c r="BW3420" s="1"/>
  <c r="BY3421"/>
  <c r="BV3420"/>
  <c r="BY3422" l="1"/>
  <c r="BW3421"/>
  <c r="BZ3421"/>
  <c r="BV3421"/>
  <c r="BZ3422" l="1"/>
  <c r="BW3422" s="1"/>
  <c r="BY3423"/>
  <c r="BV3422"/>
  <c r="BY3424" l="1"/>
  <c r="BZ3423"/>
  <c r="BW3423" s="1"/>
  <c r="BV3423"/>
  <c r="BZ3424" l="1"/>
  <c r="BW3424" s="1"/>
  <c r="BY3425"/>
  <c r="BV3424"/>
  <c r="BY3426" l="1"/>
  <c r="BW3425"/>
  <c r="BZ3425"/>
  <c r="BV3425"/>
  <c r="BZ3426" l="1"/>
  <c r="BW3426" s="1"/>
  <c r="BY3427"/>
  <c r="BV3426"/>
  <c r="BY3428" l="1"/>
  <c r="BZ3427"/>
  <c r="BW3427" s="1"/>
  <c r="BV3427"/>
  <c r="BZ3428" l="1"/>
  <c r="BW3428" s="1"/>
  <c r="BY3429"/>
  <c r="BV3428"/>
  <c r="BY3430" l="1"/>
  <c r="BW3429"/>
  <c r="BV3429"/>
  <c r="BZ3429"/>
  <c r="BZ3430" l="1"/>
  <c r="BW3430" s="1"/>
  <c r="BY3431"/>
  <c r="BV3430"/>
  <c r="BY3432" l="1"/>
  <c r="BZ3431"/>
  <c r="BW3431" s="1"/>
  <c r="BV3431"/>
  <c r="BZ3432" l="1"/>
  <c r="BW3432" s="1"/>
  <c r="BY3433"/>
  <c r="BV3432"/>
  <c r="BY3434" l="1"/>
  <c r="BW3433"/>
  <c r="BZ3433"/>
  <c r="BV3433"/>
  <c r="BZ3434" l="1"/>
  <c r="BW3434" s="1"/>
  <c r="BV3434"/>
  <c r="BY3435"/>
  <c r="BY3436" l="1"/>
  <c r="BZ3435"/>
  <c r="BW3435" s="1"/>
  <c r="BV3435"/>
  <c r="BZ3436" l="1"/>
  <c r="BW3436" s="1"/>
  <c r="BY3437"/>
  <c r="BV3436"/>
  <c r="BY3438" l="1"/>
  <c r="BZ3437"/>
  <c r="BW3437" s="1"/>
  <c r="BV3437"/>
  <c r="BZ3438" l="1"/>
  <c r="BW3438" s="1"/>
  <c r="BY3439"/>
  <c r="BV3438"/>
  <c r="BY3440" l="1"/>
  <c r="BZ3439"/>
  <c r="BW3439" s="1"/>
  <c r="BV3439"/>
  <c r="BZ3440" l="1"/>
  <c r="BW3440" s="1"/>
  <c r="BY3441"/>
  <c r="BV3440"/>
  <c r="BY3442" l="1"/>
  <c r="BW3441"/>
  <c r="BZ3441"/>
  <c r="BV3441"/>
  <c r="BZ3442" l="1"/>
  <c r="BW3442" s="1"/>
  <c r="BY3443"/>
  <c r="BV3442"/>
  <c r="BY3444" l="1"/>
  <c r="BZ3443"/>
  <c r="BW3443" s="1"/>
  <c r="BV3443"/>
  <c r="BZ3444" l="1"/>
  <c r="BW3444" s="1"/>
  <c r="BY3445"/>
  <c r="BV3444"/>
  <c r="BY3446" l="1"/>
  <c r="BW3445"/>
  <c r="BV3445"/>
  <c r="BZ3445"/>
  <c r="BZ3446" l="1"/>
  <c r="BW3446" s="1"/>
  <c r="BY3447"/>
  <c r="BV3446"/>
  <c r="BY3448" l="1"/>
  <c r="BZ3447"/>
  <c r="BW3447" s="1"/>
  <c r="BV3447"/>
  <c r="BZ3448" l="1"/>
  <c r="BW3448" s="1"/>
  <c r="BY3449"/>
  <c r="BV3448"/>
  <c r="BY3450" l="1"/>
  <c r="BW3449"/>
  <c r="BZ3449"/>
  <c r="BV3449"/>
  <c r="BZ3450" l="1"/>
  <c r="BW3450" s="1"/>
  <c r="BV3450"/>
  <c r="BY3451"/>
  <c r="BY3452" l="1"/>
  <c r="BZ3451"/>
  <c r="BW3451" s="1"/>
  <c r="BV3451"/>
  <c r="BZ3452" l="1"/>
  <c r="BW3452" s="1"/>
  <c r="BY3453"/>
  <c r="BV3452"/>
  <c r="BY3454" l="1"/>
  <c r="BW3453"/>
  <c r="BZ3453"/>
  <c r="BV3453"/>
  <c r="BZ3454" l="1"/>
  <c r="BW3454" s="1"/>
  <c r="BY3455"/>
  <c r="BV3454"/>
  <c r="BY3456" l="1"/>
  <c r="BZ3455"/>
  <c r="BW3455" s="1"/>
  <c r="BV3455"/>
  <c r="BZ3456" l="1"/>
  <c r="BW3456" s="1"/>
  <c r="BY3457"/>
  <c r="BV3456"/>
  <c r="BY3458" l="1"/>
  <c r="BW3457"/>
  <c r="BZ3457"/>
  <c r="BV3457"/>
  <c r="BZ3458" l="1"/>
  <c r="BW3458" s="1"/>
  <c r="BY3459"/>
  <c r="BV3458"/>
  <c r="BY3460" l="1"/>
  <c r="BZ3459"/>
  <c r="BW3459" s="1"/>
  <c r="BV3459"/>
  <c r="BZ3460" l="1"/>
  <c r="BW3460" s="1"/>
  <c r="BY3461"/>
  <c r="BV3460"/>
  <c r="BY3462" l="1"/>
  <c r="BW3461"/>
  <c r="BV3461"/>
  <c r="BZ3461"/>
  <c r="BZ3462" l="1"/>
  <c r="BW3462" s="1"/>
  <c r="BY3463"/>
  <c r="BV3462"/>
  <c r="BY3464" l="1"/>
  <c r="BZ3463"/>
  <c r="BW3463" s="1"/>
  <c r="BV3463"/>
  <c r="BZ3464" l="1"/>
  <c r="BW3464" s="1"/>
  <c r="BY3465"/>
  <c r="BV3464"/>
  <c r="BY3466" l="1"/>
  <c r="BZ3465"/>
  <c r="BW3465" s="1"/>
  <c r="BV3465"/>
  <c r="BZ3466" l="1"/>
  <c r="BW3466" s="1"/>
  <c r="BV3466"/>
  <c r="BY3467"/>
  <c r="BY3468" l="1"/>
  <c r="BZ3467"/>
  <c r="BW3467" s="1"/>
  <c r="BV3467"/>
  <c r="BZ3468" l="1"/>
  <c r="BW3468" s="1"/>
  <c r="BY3469"/>
  <c r="BV3468"/>
  <c r="BY3470" l="1"/>
  <c r="BZ3469"/>
  <c r="BW3469" s="1"/>
  <c r="BV3469"/>
  <c r="BZ3470" l="1"/>
  <c r="BW3470" s="1"/>
  <c r="BY3471"/>
  <c r="BV3470"/>
  <c r="BY3472" l="1"/>
  <c r="BZ3471"/>
  <c r="BW3471" s="1"/>
  <c r="BV3471"/>
  <c r="BZ3472" l="1"/>
  <c r="BW3472" s="1"/>
  <c r="BY3473"/>
  <c r="BV3472"/>
  <c r="BY3474" l="1"/>
  <c r="BZ3473"/>
  <c r="BW3473" s="1"/>
  <c r="BV3473"/>
  <c r="BZ3474" l="1"/>
  <c r="BW3474" s="1"/>
  <c r="BY3475"/>
  <c r="BV3474"/>
  <c r="BY3476" l="1"/>
  <c r="BZ3475"/>
  <c r="BW3475" s="1"/>
  <c r="BV3475"/>
  <c r="BZ3476" l="1"/>
  <c r="BW3476" s="1"/>
  <c r="BY3477"/>
  <c r="BV3476"/>
  <c r="BY3478" l="1"/>
  <c r="BW3477"/>
  <c r="BV3477"/>
  <c r="BZ3477"/>
  <c r="BZ3478" l="1"/>
  <c r="BW3478" s="1"/>
  <c r="BY3479"/>
  <c r="BV3478"/>
  <c r="BY3480" l="1"/>
  <c r="BZ3479"/>
  <c r="BW3479" s="1"/>
  <c r="BV3479"/>
  <c r="BZ3480" l="1"/>
  <c r="BW3480" s="1"/>
  <c r="BY3481"/>
  <c r="BV3480"/>
  <c r="BY3482" l="1"/>
  <c r="BW3481"/>
  <c r="BZ3481"/>
  <c r="BV3481"/>
  <c r="BZ3482" l="1"/>
  <c r="BW3482" s="1"/>
  <c r="BV3482"/>
  <c r="BY3483"/>
  <c r="BY3484" l="1"/>
  <c r="BZ3483"/>
  <c r="BW3483" s="1"/>
  <c r="BV3483"/>
  <c r="BZ3484" l="1"/>
  <c r="BW3484" s="1"/>
  <c r="BY3485"/>
  <c r="BV3484"/>
  <c r="BY3486" l="1"/>
  <c r="BZ3485"/>
  <c r="BW3485" s="1"/>
  <c r="BV3485"/>
  <c r="BZ3486" l="1"/>
  <c r="BW3486" s="1"/>
  <c r="BY3487"/>
  <c r="BV3486"/>
  <c r="BY3488" l="1"/>
  <c r="BZ3487"/>
  <c r="BW3487" s="1"/>
  <c r="BV3487"/>
  <c r="BZ3488" l="1"/>
  <c r="BW3488" s="1"/>
  <c r="BY3489"/>
  <c r="BV3488"/>
  <c r="BY3490" l="1"/>
  <c r="BW3489"/>
  <c r="BZ3489"/>
  <c r="BV3489"/>
  <c r="BZ3490" l="1"/>
  <c r="BW3490" s="1"/>
  <c r="BY3491"/>
  <c r="BV3490"/>
  <c r="BY3492" l="1"/>
  <c r="BZ3491"/>
  <c r="BW3491" s="1"/>
  <c r="BV3491"/>
  <c r="BZ3492" l="1"/>
  <c r="BW3492" s="1"/>
  <c r="BY3493"/>
  <c r="BV3492"/>
  <c r="BY3494" l="1"/>
  <c r="BW3493"/>
  <c r="BV3493"/>
  <c r="BZ3493"/>
  <c r="BZ3494" l="1"/>
  <c r="BW3494" s="1"/>
  <c r="BY3495"/>
  <c r="BV3494"/>
  <c r="BY3496" l="1"/>
  <c r="BZ3495"/>
  <c r="BW3495" s="1"/>
  <c r="BV3495"/>
  <c r="BZ3496" l="1"/>
  <c r="BW3496" s="1"/>
  <c r="BY3497"/>
  <c r="BV3496"/>
  <c r="BY3498" l="1"/>
  <c r="BW3497"/>
  <c r="BZ3497"/>
  <c r="BV3497"/>
  <c r="BZ3498" l="1"/>
  <c r="BW3498" s="1"/>
  <c r="BY3499"/>
  <c r="BV3498"/>
  <c r="BY3500" l="1"/>
  <c r="BV3499"/>
  <c r="BZ3499"/>
  <c r="BW3499" s="1"/>
  <c r="BY3501" l="1"/>
  <c r="BZ3500"/>
  <c r="BW3500" s="1"/>
  <c r="BV3500"/>
  <c r="BY3502" l="1"/>
  <c r="BZ3501"/>
  <c r="BW3501" s="1"/>
  <c r="BV3501"/>
  <c r="BZ3502" l="1"/>
  <c r="BW3502" s="1"/>
  <c r="BY3503"/>
  <c r="BV3502"/>
  <c r="BY3504" l="1"/>
  <c r="BZ3503"/>
  <c r="BW3503" s="1"/>
  <c r="BV3503"/>
  <c r="BZ3504" l="1"/>
  <c r="BW3504" s="1"/>
  <c r="BV3504"/>
  <c r="BY3505"/>
  <c r="BY3506" l="1"/>
  <c r="BZ3505"/>
  <c r="BW3505" s="1"/>
  <c r="BV3505"/>
  <c r="BZ3506" l="1"/>
  <c r="BW3506" s="1"/>
  <c r="BY3507"/>
  <c r="BV3506"/>
  <c r="BY3508" l="1"/>
  <c r="BV3507"/>
  <c r="BZ3507"/>
  <c r="BW3507" s="1"/>
  <c r="BY3509" l="1"/>
  <c r="BZ3508"/>
  <c r="BW3508" s="1"/>
  <c r="BV3508"/>
  <c r="BY3510" l="1"/>
  <c r="BZ3509"/>
  <c r="BW3509" s="1"/>
  <c r="BV3509"/>
  <c r="BY3511" l="1"/>
  <c r="BV3510"/>
  <c r="BZ3510"/>
  <c r="BW3510" s="1"/>
  <c r="BY3512" l="1"/>
  <c r="BZ3511"/>
  <c r="BW3511" s="1"/>
  <c r="BV3511"/>
  <c r="BZ3512" l="1"/>
  <c r="BW3512" s="1"/>
  <c r="BY3513"/>
  <c r="BV3512"/>
  <c r="BY3514" l="1"/>
  <c r="BW3513"/>
  <c r="BZ3513"/>
  <c r="BV3513"/>
  <c r="BZ3514" l="1"/>
  <c r="BW3514" s="1"/>
  <c r="BY3515"/>
  <c r="BV3514"/>
  <c r="BY3516" l="1"/>
  <c r="BV3515"/>
  <c r="BZ3515"/>
  <c r="BW3515" s="1"/>
  <c r="BY3517" l="1"/>
  <c r="BZ3516"/>
  <c r="BW3516" s="1"/>
  <c r="BV3516"/>
  <c r="BY3518" l="1"/>
  <c r="BZ3517"/>
  <c r="BW3517" s="1"/>
  <c r="BV3517"/>
  <c r="BZ3518" l="1"/>
  <c r="BW3518" s="1"/>
  <c r="BY3519"/>
  <c r="BV3518"/>
  <c r="BY3520" l="1"/>
  <c r="BZ3519"/>
  <c r="BW3519" s="1"/>
  <c r="BV3519"/>
  <c r="BZ3520" l="1"/>
  <c r="BW3520" s="1"/>
  <c r="BY3521"/>
  <c r="BV3520"/>
  <c r="BY3522" l="1"/>
  <c r="BZ3521"/>
  <c r="BW3521" s="1"/>
  <c r="BV3521"/>
  <c r="BZ3522" l="1"/>
  <c r="BW3522" s="1"/>
  <c r="BY3523"/>
  <c r="BV3522"/>
  <c r="BY3524" l="1"/>
  <c r="BV3523"/>
  <c r="BZ3523"/>
  <c r="BW3523" s="1"/>
  <c r="BY3525" l="1"/>
  <c r="BZ3524"/>
  <c r="BW3524" s="1"/>
  <c r="BV3524"/>
  <c r="BY3526" l="1"/>
  <c r="BZ3525"/>
  <c r="BW3525" s="1"/>
  <c r="BV3525"/>
  <c r="BY3527" l="1"/>
  <c r="BW3526"/>
  <c r="BV3526"/>
  <c r="BZ3526"/>
  <c r="BY3528" l="1"/>
  <c r="BZ3527"/>
  <c r="BW3527" s="1"/>
  <c r="BV3527"/>
  <c r="BZ3528" l="1"/>
  <c r="BW3528" s="1"/>
  <c r="BY3529"/>
  <c r="BV3528"/>
  <c r="BY3530" l="1"/>
  <c r="BW3529"/>
  <c r="BZ3529"/>
  <c r="BV3529"/>
  <c r="BZ3530" l="1"/>
  <c r="BW3530" s="1"/>
  <c r="BY3531"/>
  <c r="BV3530"/>
  <c r="BY3532" l="1"/>
  <c r="BV3531"/>
  <c r="BZ3531"/>
  <c r="BW3531" s="1"/>
  <c r="BY3533" l="1"/>
  <c r="BZ3532"/>
  <c r="BW3532" s="1"/>
  <c r="BV3532"/>
  <c r="BY3534" l="1"/>
  <c r="BZ3533"/>
  <c r="BW3533" s="1"/>
  <c r="BV3533"/>
  <c r="BZ3534" l="1"/>
  <c r="BW3534" s="1"/>
  <c r="BY3535"/>
  <c r="BV3534"/>
  <c r="BY3536" l="1"/>
  <c r="BZ3535"/>
  <c r="BW3535" s="1"/>
  <c r="BV3535"/>
  <c r="BZ3536" l="1"/>
  <c r="BW3536" s="1"/>
  <c r="BV3536"/>
  <c r="BY3537"/>
  <c r="BY3538" l="1"/>
  <c r="BZ3537"/>
  <c r="BW3537" s="1"/>
  <c r="BV3537"/>
  <c r="BZ3538" l="1"/>
  <c r="BW3538" s="1"/>
  <c r="BY3539"/>
  <c r="BV3538"/>
  <c r="BY3540" l="1"/>
  <c r="BV3539"/>
  <c r="BZ3539"/>
  <c r="BW3539" s="1"/>
  <c r="BY3541" l="1"/>
  <c r="BZ3540"/>
  <c r="BW3540" s="1"/>
  <c r="BV3540"/>
  <c r="BY3542" l="1"/>
  <c r="BZ3541"/>
  <c r="BW3541" s="1"/>
  <c r="BV3541"/>
  <c r="BY3543" l="1"/>
  <c r="BW3542"/>
  <c r="BV3542"/>
  <c r="BZ3542"/>
  <c r="BY3544" l="1"/>
  <c r="BZ3543"/>
  <c r="BW3543" s="1"/>
  <c r="BV3543"/>
  <c r="BZ3544" l="1"/>
  <c r="BW3544" s="1"/>
  <c r="BY3545"/>
  <c r="BV3544"/>
  <c r="BY3546" l="1"/>
  <c r="BW3545"/>
  <c r="BZ3545"/>
  <c r="BV3545"/>
  <c r="BZ3546" l="1"/>
  <c r="BW3546" s="1"/>
  <c r="BY3547"/>
  <c r="BV3546"/>
  <c r="BY3548" l="1"/>
  <c r="BV3547"/>
  <c r="BZ3547"/>
  <c r="BW3547" s="1"/>
  <c r="BY3549" l="1"/>
  <c r="BZ3548"/>
  <c r="BW3548" s="1"/>
  <c r="BV3548"/>
  <c r="BY3550" l="1"/>
  <c r="BZ3549"/>
  <c r="BW3549" s="1"/>
  <c r="BV3549"/>
  <c r="BZ3550" l="1"/>
  <c r="BW3550" s="1"/>
  <c r="BY3551"/>
  <c r="BV3550"/>
  <c r="BY3552" l="1"/>
  <c r="BZ3551"/>
  <c r="BW3551" s="1"/>
  <c r="BV3551"/>
  <c r="BZ3552" l="1"/>
  <c r="BW3552" s="1"/>
  <c r="BY3553"/>
  <c r="BV3552"/>
  <c r="BY3554" l="1"/>
  <c r="BZ3553"/>
  <c r="BW3553" s="1"/>
  <c r="BV3553"/>
  <c r="BZ3554" l="1"/>
  <c r="BW3554" s="1"/>
  <c r="BY3555"/>
  <c r="BV3554"/>
  <c r="BY3556" l="1"/>
  <c r="BV3555"/>
  <c r="BZ3555"/>
  <c r="BW3555" s="1"/>
  <c r="BY3557" l="1"/>
  <c r="BZ3556"/>
  <c r="BW3556" s="1"/>
  <c r="BV3556"/>
  <c r="BY3558" l="1"/>
  <c r="BZ3557"/>
  <c r="BW3557" s="1"/>
  <c r="BV3557"/>
  <c r="BY3559" l="1"/>
  <c r="BW3558"/>
  <c r="BV3558"/>
  <c r="BZ3558"/>
  <c r="BY3560" l="1"/>
  <c r="BZ3559"/>
  <c r="BW3559" s="1"/>
  <c r="BV3559"/>
  <c r="BZ3560" l="1"/>
  <c r="BW3560" s="1"/>
  <c r="BY3561"/>
  <c r="BV3560"/>
  <c r="BY3562" l="1"/>
  <c r="BW3561"/>
  <c r="BZ3561"/>
  <c r="BV3561"/>
  <c r="BZ3562" l="1"/>
  <c r="BW3562" s="1"/>
  <c r="BY3563"/>
  <c r="BV3562"/>
  <c r="BY3564" l="1"/>
  <c r="BV3563"/>
  <c r="BZ3563"/>
  <c r="BW3563" s="1"/>
  <c r="BY3565" l="1"/>
  <c r="BZ3564"/>
  <c r="BW3564" s="1"/>
  <c r="BV3564"/>
  <c r="BY3566" l="1"/>
  <c r="BZ3565"/>
  <c r="BW3565" s="1"/>
  <c r="BV3565"/>
  <c r="BZ3566" l="1"/>
  <c r="BW3566" s="1"/>
  <c r="BY3567"/>
  <c r="BV3566"/>
  <c r="BY3568" l="1"/>
  <c r="BZ3567"/>
  <c r="BW3567" s="1"/>
  <c r="BV3567"/>
  <c r="BZ3568" l="1"/>
  <c r="BW3568" s="1"/>
  <c r="BV3568"/>
  <c r="BY3569"/>
  <c r="BY3570" l="1"/>
  <c r="BZ3569"/>
  <c r="BW3569" s="1"/>
  <c r="BV3569"/>
  <c r="BZ3570" l="1"/>
  <c r="BW3570" s="1"/>
  <c r="BY3571"/>
  <c r="BV3570"/>
  <c r="BY3572" l="1"/>
  <c r="BV3571"/>
  <c r="BZ3571"/>
  <c r="BW3571" s="1"/>
  <c r="BY3573" l="1"/>
  <c r="BZ3572"/>
  <c r="BW3572" s="1"/>
  <c r="BV3572"/>
  <c r="BY3574" l="1"/>
  <c r="BZ3573"/>
  <c r="BW3573" s="1"/>
  <c r="BV3573"/>
  <c r="BY3575" l="1"/>
  <c r="BW3574"/>
  <c r="BV3574"/>
  <c r="BZ3574"/>
  <c r="BY3576" l="1"/>
  <c r="BZ3575"/>
  <c r="BW3575" s="1"/>
  <c r="BV3575"/>
  <c r="BZ3576" l="1"/>
  <c r="BW3576" s="1"/>
  <c r="BY3577"/>
  <c r="BV3576"/>
  <c r="BY3578" l="1"/>
  <c r="BW3577"/>
  <c r="BZ3577"/>
  <c r="BV3577"/>
  <c r="BZ3578" l="1"/>
  <c r="BW3578" s="1"/>
  <c r="BY3579"/>
  <c r="BV3578"/>
  <c r="BY3580" l="1"/>
  <c r="BV3579"/>
  <c r="BZ3579"/>
  <c r="BW3579" s="1"/>
  <c r="BY3581" l="1"/>
  <c r="BZ3580"/>
  <c r="BW3580" s="1"/>
  <c r="BV3580"/>
  <c r="BY3582" l="1"/>
  <c r="BZ3581"/>
  <c r="BW3581" s="1"/>
  <c r="BV3581"/>
  <c r="BZ3582" l="1"/>
  <c r="BW3582" s="1"/>
  <c r="BY3583"/>
  <c r="BV3582"/>
  <c r="BY3584" l="1"/>
  <c r="BZ3583"/>
  <c r="BW3583" s="1"/>
  <c r="BV3583"/>
  <c r="BZ3584" l="1"/>
  <c r="BW3584" s="1"/>
  <c r="BY3585"/>
  <c r="BV3584"/>
  <c r="BY3586" l="1"/>
  <c r="BZ3585"/>
  <c r="BW3585" s="1"/>
  <c r="BV3585"/>
  <c r="BZ3586" l="1"/>
  <c r="BW3586" s="1"/>
  <c r="BY3587"/>
  <c r="BV3586"/>
  <c r="BY3588" l="1"/>
  <c r="BV3587"/>
  <c r="BZ3587"/>
  <c r="BW3587" s="1"/>
  <c r="BY3589" l="1"/>
  <c r="BZ3588"/>
  <c r="BW3588" s="1"/>
  <c r="BV3588"/>
  <c r="BY3590" l="1"/>
  <c r="BZ3589"/>
  <c r="BW3589" s="1"/>
  <c r="BV3589"/>
  <c r="BY3591" l="1"/>
  <c r="BV3590"/>
  <c r="BZ3590"/>
  <c r="BW3590" s="1"/>
  <c r="BY3592" l="1"/>
  <c r="BZ3591"/>
  <c r="BW3591" s="1"/>
  <c r="BV3591"/>
  <c r="BZ3592" l="1"/>
  <c r="BW3592" s="1"/>
  <c r="BY3593"/>
  <c r="BV3592"/>
  <c r="BY3594" l="1"/>
  <c r="BW3593"/>
  <c r="BZ3593"/>
  <c r="BV3593"/>
  <c r="BZ3594" l="1"/>
  <c r="BW3594" s="1"/>
  <c r="BY3595"/>
  <c r="BV3594"/>
  <c r="BY3596" l="1"/>
  <c r="BV3595"/>
  <c r="BZ3595"/>
  <c r="BW3595" s="1"/>
  <c r="BY3597" l="1"/>
  <c r="BZ3596"/>
  <c r="BW3596" s="1"/>
  <c r="BV3596"/>
  <c r="BY3598" l="1"/>
  <c r="BZ3597"/>
  <c r="BW3597" s="1"/>
  <c r="BV3597"/>
  <c r="BZ3598" l="1"/>
  <c r="BW3598" s="1"/>
  <c r="BY3599"/>
  <c r="BV3598"/>
  <c r="BY3600" l="1"/>
  <c r="BZ3599"/>
  <c r="BW3599" s="1"/>
  <c r="BV3599"/>
  <c r="BZ3600" l="1"/>
  <c r="BW3600" s="1"/>
  <c r="BV3600"/>
  <c r="BY3601"/>
  <c r="BY3602" l="1"/>
  <c r="BZ3601"/>
  <c r="BW3601" s="1"/>
  <c r="BV3601"/>
  <c r="BZ3602" l="1"/>
  <c r="BW3602" s="1"/>
  <c r="BY3603"/>
  <c r="BV3602"/>
  <c r="BY3604" l="1"/>
  <c r="BV3603"/>
  <c r="BZ3603"/>
  <c r="BW3603" s="1"/>
  <c r="BY3605" l="1"/>
  <c r="BZ3604"/>
  <c r="BW3604" s="1"/>
  <c r="BV3604"/>
  <c r="BY3606" l="1"/>
  <c r="BZ3605"/>
  <c r="BW3605" s="1"/>
  <c r="BV3605"/>
  <c r="BY3607" l="1"/>
  <c r="BW3606"/>
  <c r="BV3606"/>
  <c r="BZ3606"/>
  <c r="BY3608" l="1"/>
  <c r="BZ3607"/>
  <c r="BW3607" s="1"/>
  <c r="BV3607"/>
  <c r="BZ3608" l="1"/>
  <c r="BW3608" s="1"/>
  <c r="BY3609"/>
  <c r="BV3608"/>
  <c r="BY3610" l="1"/>
  <c r="BW3609"/>
  <c r="BZ3609"/>
  <c r="BV3609"/>
  <c r="BZ3610" l="1"/>
  <c r="BW3610" s="1"/>
  <c r="BY3611"/>
  <c r="BV3610"/>
  <c r="BY3612" l="1"/>
  <c r="BV3611"/>
  <c r="BZ3611"/>
  <c r="BW3611" s="1"/>
  <c r="BY3613" l="1"/>
  <c r="BZ3612"/>
  <c r="BW3612" s="1"/>
  <c r="BV3612"/>
  <c r="BY3614" l="1"/>
  <c r="BZ3613"/>
  <c r="BW3613" s="1"/>
  <c r="BV3613"/>
  <c r="BZ3614" l="1"/>
  <c r="BW3614" s="1"/>
  <c r="BY3615"/>
  <c r="BV3614"/>
  <c r="BY3616" l="1"/>
  <c r="BZ3615"/>
  <c r="BW3615" s="1"/>
  <c r="BV3615"/>
  <c r="BZ3616" l="1"/>
  <c r="BW3616" s="1"/>
  <c r="BY3617"/>
  <c r="BV3616"/>
  <c r="BY3618" l="1"/>
  <c r="BZ3617"/>
  <c r="BW3617" s="1"/>
  <c r="BV3617"/>
  <c r="BZ3618" l="1"/>
  <c r="BW3618" s="1"/>
  <c r="BY3619"/>
  <c r="BV3618"/>
  <c r="BY3620" l="1"/>
  <c r="BV3619"/>
  <c r="BZ3619"/>
  <c r="BW3619" s="1"/>
  <c r="BY3621" l="1"/>
  <c r="BZ3620"/>
  <c r="BW3620" s="1"/>
  <c r="BV3620"/>
  <c r="BY3622" l="1"/>
  <c r="BZ3621"/>
  <c r="BW3621" s="1"/>
  <c r="BV3621"/>
  <c r="BY3623" l="1"/>
  <c r="BW3622"/>
  <c r="BV3622"/>
  <c r="BZ3622"/>
  <c r="BY3624" l="1"/>
  <c r="BZ3623"/>
  <c r="BW3623" s="1"/>
  <c r="BV3623"/>
  <c r="BZ3624" l="1"/>
  <c r="BW3624" s="1"/>
  <c r="BY3625"/>
  <c r="BV3624"/>
  <c r="BY3626" l="1"/>
  <c r="BW3625"/>
  <c r="BZ3625"/>
  <c r="BV3625"/>
  <c r="BZ3626" l="1"/>
  <c r="BW3626" s="1"/>
  <c r="BY3627"/>
  <c r="BV3626"/>
  <c r="BY3628" l="1"/>
  <c r="BV3627"/>
  <c r="BZ3627"/>
  <c r="BW3627" s="1"/>
  <c r="BY3629" l="1"/>
  <c r="BZ3628"/>
  <c r="BW3628" s="1"/>
  <c r="BV3628"/>
  <c r="BY3630" l="1"/>
  <c r="BZ3629"/>
  <c r="BW3629" s="1"/>
  <c r="BV3629"/>
  <c r="BZ3630" l="1"/>
  <c r="BW3630" s="1"/>
  <c r="BY3631"/>
  <c r="BV3630"/>
  <c r="BY3632" l="1"/>
  <c r="BZ3631"/>
  <c r="BW3631" s="1"/>
  <c r="BV3631"/>
  <c r="BZ3632" l="1"/>
  <c r="BW3632" s="1"/>
  <c r="BV3632"/>
  <c r="BY3633"/>
  <c r="BY3634" l="1"/>
  <c r="BZ3633"/>
  <c r="BW3633" s="1"/>
  <c r="BV3633"/>
  <c r="BZ3634" l="1"/>
  <c r="BW3634" s="1"/>
  <c r="BY3635"/>
  <c r="BV3634"/>
  <c r="BY3636" l="1"/>
  <c r="BV3635"/>
  <c r="BZ3635"/>
  <c r="BW3635" s="1"/>
  <c r="BY3637" l="1"/>
  <c r="BZ3636"/>
  <c r="BW3636" s="1"/>
  <c r="BV3636"/>
  <c r="BY3638" l="1"/>
  <c r="BZ3637"/>
  <c r="BW3637" s="1"/>
  <c r="BV3637"/>
  <c r="BY3639" l="1"/>
  <c r="BW3638"/>
  <c r="BV3638"/>
  <c r="BZ3638"/>
  <c r="BY3640" l="1"/>
  <c r="BZ3639"/>
  <c r="BW3639" s="1"/>
  <c r="BV3639"/>
  <c r="BZ3640" l="1"/>
  <c r="BW3640" s="1"/>
  <c r="BY3641"/>
  <c r="BV3640"/>
  <c r="BY3642" l="1"/>
  <c r="BW3641"/>
  <c r="BZ3641"/>
  <c r="BV3641"/>
  <c r="BZ3642" l="1"/>
  <c r="BW3642" s="1"/>
  <c r="BY3643"/>
  <c r="BV3642"/>
  <c r="BY3644" l="1"/>
  <c r="BV3643"/>
  <c r="BZ3643"/>
  <c r="BW3643" s="1"/>
  <c r="BY3645" l="1"/>
  <c r="BZ3644"/>
  <c r="BW3644" s="1"/>
  <c r="BV3644"/>
  <c r="BY3646" l="1"/>
  <c r="BZ3645"/>
  <c r="BW3645" s="1"/>
  <c r="BV3645"/>
  <c r="BZ3646" l="1"/>
  <c r="BW3646" s="1"/>
  <c r="BY3647"/>
  <c r="BV3646"/>
  <c r="BY3648" l="1"/>
  <c r="BZ3647"/>
  <c r="BW3647" s="1"/>
  <c r="BV3647"/>
  <c r="BZ3648" l="1"/>
  <c r="BW3648" s="1"/>
  <c r="BY3649"/>
  <c r="BV3648"/>
  <c r="BY3650" l="1"/>
  <c r="BZ3649"/>
  <c r="BW3649" s="1"/>
  <c r="BV3649"/>
  <c r="BZ3650" l="1"/>
  <c r="BW3650" s="1"/>
  <c r="BY3651"/>
  <c r="BV3650"/>
  <c r="BY3652" l="1"/>
  <c r="BV3651"/>
  <c r="BZ3651"/>
  <c r="BW3651" s="1"/>
  <c r="BY3653" l="1"/>
  <c r="BZ3652"/>
  <c r="BW3652" s="1"/>
  <c r="BV3652"/>
  <c r="BY3654" l="1"/>
  <c r="BZ3653"/>
  <c r="BW3653" s="1"/>
  <c r="BV3653"/>
  <c r="BY3655" l="1"/>
  <c r="BW3654"/>
  <c r="BV3654"/>
  <c r="BZ3654"/>
  <c r="BY3656" l="1"/>
  <c r="BZ3655"/>
  <c r="BW3655" s="1"/>
  <c r="BV3655"/>
  <c r="BZ3656" l="1"/>
  <c r="BW3656" s="1"/>
  <c r="BY3657"/>
  <c r="BV3656"/>
  <c r="BY3658" l="1"/>
  <c r="BW3657"/>
  <c r="BZ3657"/>
  <c r="BV3657"/>
  <c r="BZ3658" l="1"/>
  <c r="BW3658" s="1"/>
  <c r="BY3659"/>
  <c r="BV3658"/>
  <c r="BY3660" l="1"/>
  <c r="BV3659"/>
  <c r="BZ3659"/>
  <c r="BW3659" s="1"/>
  <c r="BY3661" l="1"/>
  <c r="BZ3660"/>
  <c r="BW3660" s="1"/>
  <c r="BV3660"/>
  <c r="BY3662" l="1"/>
  <c r="BZ3661"/>
  <c r="BW3661" s="1"/>
  <c r="BV3661"/>
  <c r="BZ3662" l="1"/>
  <c r="BW3662" s="1"/>
  <c r="BY3663"/>
  <c r="BV3662"/>
  <c r="BY3664" l="1"/>
  <c r="BZ3663"/>
  <c r="BW3663" s="1"/>
  <c r="BV3663"/>
  <c r="BZ3664" l="1"/>
  <c r="BW3664" s="1"/>
  <c r="BV3664"/>
  <c r="BY3665"/>
  <c r="BY3666" l="1"/>
  <c r="BZ3665"/>
  <c r="BW3665" s="1"/>
  <c r="BV3665"/>
  <c r="BZ3666" l="1"/>
  <c r="BW3666" s="1"/>
  <c r="BY3667"/>
  <c r="BV3666"/>
  <c r="BY3668" l="1"/>
  <c r="BV3667"/>
  <c r="BZ3667"/>
  <c r="BW3667" s="1"/>
  <c r="BY3669" l="1"/>
  <c r="BZ3668"/>
  <c r="BW3668" s="1"/>
  <c r="BV3668"/>
  <c r="BY3670" l="1"/>
  <c r="BZ3669"/>
  <c r="BW3669" s="1"/>
  <c r="BV3669"/>
  <c r="BY3671" l="1"/>
  <c r="BW3670"/>
  <c r="BV3670"/>
  <c r="BZ3670"/>
  <c r="BY3672" l="1"/>
  <c r="BZ3671"/>
  <c r="BW3671" s="1"/>
  <c r="BV3671"/>
  <c r="BZ3672" l="1"/>
  <c r="BW3672" s="1"/>
  <c r="BY3673"/>
  <c r="BV3672"/>
  <c r="BY3674" l="1"/>
  <c r="BW3673"/>
  <c r="BZ3673"/>
  <c r="BV3673"/>
  <c r="BZ3674" l="1"/>
  <c r="BW3674" s="1"/>
  <c r="BY3675"/>
  <c r="BV3674"/>
  <c r="BY3676" l="1"/>
  <c r="BV3675"/>
  <c r="BZ3675"/>
  <c r="BW3675" s="1"/>
  <c r="BY3677" l="1"/>
  <c r="BZ3676"/>
  <c r="BW3676" s="1"/>
  <c r="BV3676"/>
  <c r="BY3678" l="1"/>
  <c r="BZ3677"/>
  <c r="BW3677" s="1"/>
  <c r="BV3677"/>
  <c r="BZ3678" l="1"/>
  <c r="BW3678" s="1"/>
  <c r="BY3679"/>
  <c r="BV3678"/>
  <c r="BY3680" l="1"/>
  <c r="BZ3679"/>
  <c r="BW3679" s="1"/>
  <c r="BV3679"/>
  <c r="BZ3680" l="1"/>
  <c r="BW3680" s="1"/>
  <c r="BY3681"/>
  <c r="BV3680"/>
  <c r="BY3682" l="1"/>
  <c r="BZ3681"/>
  <c r="BW3681" s="1"/>
  <c r="BV3681"/>
  <c r="BZ3682" l="1"/>
  <c r="BW3682" s="1"/>
  <c r="BY3683"/>
  <c r="BV3682"/>
  <c r="BY3684" l="1"/>
  <c r="BV3683"/>
  <c r="BZ3683"/>
  <c r="BW3683" s="1"/>
  <c r="BY3685" l="1"/>
  <c r="BZ3684"/>
  <c r="BW3684" s="1"/>
  <c r="BV3684"/>
  <c r="BY3686" l="1"/>
  <c r="BZ3685"/>
  <c r="BW3685" s="1"/>
  <c r="BV3685"/>
  <c r="BY3687" l="1"/>
  <c r="BV3686"/>
  <c r="BZ3686"/>
  <c r="BW3686" s="1"/>
  <c r="BY3688" l="1"/>
  <c r="BZ3687"/>
  <c r="BW3687" s="1"/>
  <c r="BV3687"/>
  <c r="BZ3688" l="1"/>
  <c r="BW3688" s="1"/>
  <c r="BY3689"/>
  <c r="BV3688"/>
  <c r="BY3690" l="1"/>
  <c r="BW3689"/>
  <c r="BZ3689"/>
  <c r="BV3689"/>
  <c r="BZ3690" l="1"/>
  <c r="BW3690" s="1"/>
  <c r="BY3691"/>
  <c r="BV3690"/>
  <c r="BY3692" l="1"/>
  <c r="BV3691"/>
  <c r="BZ3691"/>
  <c r="BW3691" s="1"/>
  <c r="BY3693" l="1"/>
  <c r="BZ3692"/>
  <c r="BW3692" s="1"/>
  <c r="BV3692"/>
  <c r="BY3694" l="1"/>
  <c r="BZ3693"/>
  <c r="BW3693" s="1"/>
  <c r="BV3693"/>
  <c r="BZ3694" l="1"/>
  <c r="BW3694" s="1"/>
  <c r="BY3695"/>
  <c r="BV3694"/>
  <c r="BY3696" l="1"/>
  <c r="BZ3695"/>
  <c r="BW3695" s="1"/>
  <c r="BV3695"/>
  <c r="BZ3696" l="1"/>
  <c r="BW3696" s="1"/>
  <c r="BV3696"/>
  <c r="BY3697"/>
  <c r="BY3698" l="1"/>
  <c r="BZ3697"/>
  <c r="BW3697" s="1"/>
  <c r="BV3697"/>
  <c r="BZ3698" l="1"/>
  <c r="BW3698" s="1"/>
  <c r="BY3699"/>
  <c r="BV3698"/>
  <c r="BY3700" l="1"/>
  <c r="BV3699"/>
  <c r="BZ3699"/>
  <c r="BW3699" s="1"/>
  <c r="BY3701" l="1"/>
  <c r="BZ3700"/>
  <c r="BW3700" s="1"/>
  <c r="BV3700"/>
  <c r="BY3702" l="1"/>
  <c r="BZ3701"/>
  <c r="BW3701" s="1"/>
  <c r="BV3701"/>
  <c r="BY3703" l="1"/>
  <c r="BV3702"/>
  <c r="BZ3702"/>
  <c r="BW3702" s="1"/>
  <c r="BY3704" l="1"/>
  <c r="BZ3703"/>
  <c r="BW3703" s="1"/>
  <c r="BV3703"/>
  <c r="BZ3704" l="1"/>
  <c r="BW3704" s="1"/>
  <c r="BY3705"/>
  <c r="BV3704"/>
  <c r="BY3706" l="1"/>
  <c r="BW3705"/>
  <c r="BZ3705"/>
  <c r="BV3705"/>
  <c r="BZ3706" l="1"/>
  <c r="BW3706" s="1"/>
  <c r="BY3707"/>
  <c r="BV3706"/>
  <c r="BY3708" l="1"/>
  <c r="BV3707"/>
  <c r="BZ3707"/>
  <c r="BW3707" s="1"/>
  <c r="BY3709" l="1"/>
  <c r="BZ3708"/>
  <c r="BW3708" s="1"/>
  <c r="BV3708"/>
  <c r="BY3710" l="1"/>
  <c r="BZ3709"/>
  <c r="BW3709" s="1"/>
  <c r="BV3709"/>
  <c r="BZ3710" l="1"/>
  <c r="BW3710" s="1"/>
  <c r="BY3711"/>
  <c r="BV3710"/>
  <c r="BY3712" l="1"/>
  <c r="BZ3711"/>
  <c r="BW3711" s="1"/>
  <c r="BV3711"/>
  <c r="BZ3712" l="1"/>
  <c r="BW3712" s="1"/>
  <c r="BY3713"/>
  <c r="BV3712"/>
  <c r="BY3714" l="1"/>
  <c r="BZ3713"/>
  <c r="BW3713" s="1"/>
  <c r="BV3713"/>
  <c r="BZ3714" l="1"/>
  <c r="BW3714" s="1"/>
  <c r="BY3715"/>
  <c r="BV3714"/>
  <c r="BY3716" l="1"/>
  <c r="BV3715"/>
  <c r="BZ3715"/>
  <c r="BW3715" s="1"/>
  <c r="BY3717" l="1"/>
  <c r="BZ3716"/>
  <c r="BW3716" s="1"/>
  <c r="BV3716"/>
  <c r="BY3718" l="1"/>
  <c r="BZ3717"/>
  <c r="BW3717" s="1"/>
  <c r="BV3717"/>
  <c r="BY3719" l="1"/>
  <c r="BV3718"/>
  <c r="BZ3718"/>
  <c r="BW3718" s="1"/>
  <c r="BY3720" l="1"/>
  <c r="BZ3719"/>
  <c r="BW3719" s="1"/>
  <c r="BV3719"/>
  <c r="BZ3720" l="1"/>
  <c r="BW3720" s="1"/>
  <c r="BY3721"/>
  <c r="BV3720"/>
  <c r="BY3722" l="1"/>
  <c r="BW3721"/>
  <c r="BZ3721"/>
  <c r="BV3721"/>
  <c r="BZ3722" l="1"/>
  <c r="BW3722" s="1"/>
  <c r="BY3723"/>
  <c r="BV3722"/>
  <c r="BY3724" l="1"/>
  <c r="BV3723"/>
  <c r="BZ3723"/>
  <c r="BW3723" s="1"/>
  <c r="BY3725" l="1"/>
  <c r="BZ3724"/>
  <c r="BW3724" s="1"/>
  <c r="BV3724"/>
  <c r="BY3726" l="1"/>
  <c r="BZ3725"/>
  <c r="BW3725" s="1"/>
  <c r="BV3725"/>
  <c r="BZ3726" l="1"/>
  <c r="BW3726" s="1"/>
  <c r="BY3727"/>
  <c r="BV3726"/>
  <c r="BY3728" l="1"/>
  <c r="BZ3727"/>
  <c r="BW3727" s="1"/>
  <c r="BV3727"/>
  <c r="BZ3728" l="1"/>
  <c r="BW3728" s="1"/>
  <c r="BV3728"/>
  <c r="BY3729"/>
  <c r="BY3730" l="1"/>
  <c r="BZ3729"/>
  <c r="BW3729" s="1"/>
  <c r="BV3729"/>
  <c r="BZ3730" l="1"/>
  <c r="BW3730" s="1"/>
  <c r="BY3731"/>
  <c r="BV3730"/>
  <c r="BY3732" l="1"/>
  <c r="BV3731"/>
  <c r="BZ3731"/>
  <c r="BW3731" s="1"/>
  <c r="BY3733" l="1"/>
  <c r="BZ3732"/>
  <c r="BW3732" s="1"/>
  <c r="BV3732"/>
  <c r="BY3734" l="1"/>
  <c r="BZ3733"/>
  <c r="BW3733" s="1"/>
  <c r="BV3733"/>
  <c r="BY3735" l="1"/>
  <c r="BW3734"/>
  <c r="BV3734"/>
  <c r="BZ3734"/>
  <c r="BY3736" l="1"/>
  <c r="BZ3735"/>
  <c r="BW3735" s="1"/>
  <c r="BV3735"/>
  <c r="BZ3736" l="1"/>
  <c r="BW3736" s="1"/>
  <c r="BY3737"/>
  <c r="BV3736"/>
  <c r="BY3738" l="1"/>
  <c r="BW3737"/>
  <c r="BZ3737"/>
  <c r="BV3737"/>
  <c r="BZ3738" l="1"/>
  <c r="BW3738" s="1"/>
  <c r="BY3739"/>
  <c r="BV3738"/>
  <c r="BY3740" l="1"/>
  <c r="BV3739"/>
  <c r="BZ3739"/>
  <c r="BW3739" s="1"/>
  <c r="BY3741" l="1"/>
  <c r="BZ3740"/>
  <c r="BW3740" s="1"/>
  <c r="BV3740"/>
  <c r="BY3742" l="1"/>
  <c r="BZ3741"/>
  <c r="BW3741" s="1"/>
  <c r="BV3741"/>
  <c r="BZ3742" l="1"/>
  <c r="BW3742" s="1"/>
  <c r="BY3743"/>
  <c r="BV3742"/>
  <c r="BY3744" l="1"/>
  <c r="BZ3743"/>
  <c r="BW3743" s="1"/>
  <c r="BV3743"/>
  <c r="BZ3744" l="1"/>
  <c r="BW3744" s="1"/>
  <c r="BY3745"/>
  <c r="BV3744"/>
  <c r="BY3746" l="1"/>
  <c r="BZ3745"/>
  <c r="BW3745" s="1"/>
  <c r="BV3745"/>
  <c r="BZ3746" l="1"/>
  <c r="BW3746" s="1"/>
  <c r="BY3747"/>
  <c r="BV3746"/>
  <c r="BY3748" l="1"/>
  <c r="BV3747"/>
  <c r="BZ3747"/>
  <c r="BW3747" s="1"/>
  <c r="BY3749" l="1"/>
  <c r="BZ3748"/>
  <c r="BW3748" s="1"/>
  <c r="BV3748"/>
  <c r="BY3750" l="1"/>
  <c r="BZ3749"/>
  <c r="BW3749" s="1"/>
  <c r="BV3749"/>
  <c r="BY3751" l="1"/>
  <c r="BV3750"/>
  <c r="BZ3750"/>
  <c r="BW3750" s="1"/>
  <c r="BY3752" l="1"/>
  <c r="BZ3751"/>
  <c r="BW3751" s="1"/>
  <c r="BV3751"/>
  <c r="BZ3752" l="1"/>
  <c r="BW3752" s="1"/>
  <c r="BY3753"/>
  <c r="BV3752"/>
  <c r="BY3754" l="1"/>
  <c r="BW3753"/>
  <c r="BZ3753"/>
  <c r="BV3753"/>
  <c r="BZ3754" l="1"/>
  <c r="BW3754" s="1"/>
  <c r="BY3755"/>
  <c r="BV3754"/>
  <c r="BY3756" l="1"/>
  <c r="BV3755"/>
  <c r="BZ3755"/>
  <c r="BW3755" s="1"/>
  <c r="BY3757" l="1"/>
  <c r="BZ3756"/>
  <c r="BW3756" s="1"/>
  <c r="BV3756"/>
  <c r="BY3758" l="1"/>
  <c r="BZ3757"/>
  <c r="BW3757" s="1"/>
  <c r="BV3757"/>
  <c r="BZ3758" l="1"/>
  <c r="BW3758" s="1"/>
  <c r="BY3759"/>
  <c r="BV3758"/>
  <c r="BY3760" l="1"/>
  <c r="BZ3759"/>
  <c r="BW3759" s="1"/>
  <c r="BV3759"/>
  <c r="BZ3760" l="1"/>
  <c r="BW3760" s="1"/>
  <c r="BV3760"/>
  <c r="BY3761"/>
  <c r="BY3762" l="1"/>
  <c r="BZ3761"/>
  <c r="BW3761" s="1"/>
  <c r="BV3761"/>
  <c r="BZ3762" l="1"/>
  <c r="BW3762" s="1"/>
  <c r="BY3763"/>
  <c r="BV3762"/>
  <c r="BY3764" l="1"/>
  <c r="BV3763"/>
  <c r="BZ3763"/>
  <c r="BW3763" s="1"/>
  <c r="BY3765" l="1"/>
  <c r="BZ3764"/>
  <c r="BW3764" s="1"/>
  <c r="BV3764"/>
  <c r="BY3766" l="1"/>
  <c r="BZ3765"/>
  <c r="BW3765" s="1"/>
  <c r="BV3765"/>
  <c r="BY3767" l="1"/>
  <c r="BW3766"/>
  <c r="BV3766"/>
  <c r="BZ3766"/>
  <c r="BY3768" l="1"/>
  <c r="BZ3767"/>
  <c r="BW3767" s="1"/>
  <c r="BV3767"/>
  <c r="BZ3768" l="1"/>
  <c r="BW3768" s="1"/>
  <c r="BY3769"/>
  <c r="BV3768"/>
  <c r="BY3770" l="1"/>
  <c r="BW3769"/>
  <c r="BZ3769"/>
  <c r="BV3769"/>
  <c r="BZ3770" l="1"/>
  <c r="BW3770" s="1"/>
  <c r="BY3771"/>
  <c r="BV3770"/>
  <c r="BY3772" l="1"/>
  <c r="BV3771"/>
  <c r="BZ3771"/>
  <c r="BW3771" s="1"/>
  <c r="BY3773" l="1"/>
  <c r="BZ3772"/>
  <c r="BW3772" s="1"/>
  <c r="BV3772"/>
  <c r="BY3774" l="1"/>
  <c r="BZ3773"/>
  <c r="BW3773" s="1"/>
  <c r="BV3773"/>
  <c r="BZ3774" l="1"/>
  <c r="BW3774" s="1"/>
  <c r="BY3775"/>
  <c r="BV3774"/>
  <c r="BY3776" l="1"/>
  <c r="BZ3775"/>
  <c r="BW3775" s="1"/>
  <c r="BV3775"/>
  <c r="BZ3776" l="1"/>
  <c r="BW3776" s="1"/>
  <c r="BY3777"/>
  <c r="BV3776"/>
  <c r="BY3778" l="1"/>
  <c r="BZ3777"/>
  <c r="BW3777" s="1"/>
  <c r="BV3777"/>
  <c r="BZ3778" l="1"/>
  <c r="BW3778" s="1"/>
  <c r="BY3779"/>
  <c r="BV3778"/>
  <c r="BY3780" l="1"/>
  <c r="BV3779"/>
  <c r="BZ3779"/>
  <c r="BW3779" s="1"/>
  <c r="BY3781" l="1"/>
  <c r="BZ3780"/>
  <c r="BW3780" s="1"/>
  <c r="BV3780"/>
  <c r="BY3782" l="1"/>
  <c r="BZ3781"/>
  <c r="BW3781" s="1"/>
  <c r="BV3781"/>
  <c r="BY3783" l="1"/>
  <c r="BW3782"/>
  <c r="BV3782"/>
  <c r="BZ3782"/>
  <c r="BY3784" l="1"/>
  <c r="BZ3783"/>
  <c r="BW3783" s="1"/>
  <c r="BV3783"/>
  <c r="BZ3784" l="1"/>
  <c r="BW3784" s="1"/>
  <c r="BY3785"/>
  <c r="BV3784"/>
  <c r="BY3786" l="1"/>
  <c r="BZ3785"/>
  <c r="BW3785" s="1"/>
  <c r="BV3785"/>
  <c r="BZ3786" l="1"/>
  <c r="BW3786" s="1"/>
  <c r="BY3787"/>
  <c r="BV3786"/>
  <c r="BY3788" l="1"/>
  <c r="BV3787"/>
  <c r="BZ3787"/>
  <c r="BW3787" s="1"/>
  <c r="BY3789" l="1"/>
  <c r="BZ3788"/>
  <c r="BW3788" s="1"/>
  <c r="BV3788"/>
  <c r="BY3790" l="1"/>
  <c r="BZ3789"/>
  <c r="BW3789" s="1"/>
  <c r="BV3789"/>
  <c r="BZ3790" l="1"/>
  <c r="BW3790" s="1"/>
  <c r="BY3791"/>
  <c r="BV3790"/>
  <c r="BY3792" l="1"/>
  <c r="BZ3791"/>
  <c r="BW3791" s="1"/>
  <c r="BV3791"/>
  <c r="BZ3792" l="1"/>
  <c r="BW3792" s="1"/>
  <c r="BV3792"/>
  <c r="BY3793"/>
  <c r="BY3794" l="1"/>
  <c r="BZ3793"/>
  <c r="BW3793" s="1"/>
  <c r="BV3793"/>
  <c r="BZ3794" l="1"/>
  <c r="BW3794" s="1"/>
  <c r="BY3795"/>
  <c r="BV3794"/>
  <c r="BY3796" l="1"/>
  <c r="BV3795"/>
  <c r="BZ3795"/>
  <c r="BW3795" s="1"/>
  <c r="BY3797" l="1"/>
  <c r="BZ3796"/>
  <c r="BW3796" s="1"/>
  <c r="BV3796"/>
  <c r="BY3798" l="1"/>
  <c r="BZ3797"/>
  <c r="BW3797" s="1"/>
  <c r="BV3797"/>
  <c r="BY3799" l="1"/>
  <c r="BW3798"/>
  <c r="BV3798"/>
  <c r="BZ3798"/>
  <c r="BY3800" l="1"/>
  <c r="BZ3799"/>
  <c r="BW3799" s="1"/>
  <c r="BV3799"/>
  <c r="BZ3800" l="1"/>
  <c r="BW3800" s="1"/>
  <c r="BY3801"/>
  <c r="BV3800"/>
  <c r="BY3802" l="1"/>
  <c r="BW3801"/>
  <c r="BZ3801"/>
  <c r="BV3801"/>
  <c r="BZ3802" l="1"/>
  <c r="BW3802" s="1"/>
  <c r="BY3803"/>
  <c r="BV3802"/>
  <c r="BY3804" l="1"/>
  <c r="BV3803"/>
  <c r="BZ3803"/>
  <c r="BW3803" s="1"/>
  <c r="BY3805" l="1"/>
  <c r="BZ3804"/>
  <c r="BW3804" s="1"/>
  <c r="BV3804"/>
  <c r="BY3806" l="1"/>
  <c r="BZ3805"/>
  <c r="BW3805" s="1"/>
  <c r="BV3805"/>
  <c r="BZ3806" l="1"/>
  <c r="BW3806" s="1"/>
  <c r="BY3807"/>
  <c r="BV3806"/>
  <c r="BY3808" l="1"/>
  <c r="BZ3807"/>
  <c r="BW3807" s="1"/>
  <c r="BV3807"/>
  <c r="BZ3808" l="1"/>
  <c r="BW3808" s="1"/>
  <c r="BY3809"/>
  <c r="BV3808"/>
  <c r="BY3810" l="1"/>
  <c r="BZ3809"/>
  <c r="BW3809" s="1"/>
  <c r="BV3809"/>
  <c r="BZ3810" l="1"/>
  <c r="BW3810" s="1"/>
  <c r="BY3811"/>
  <c r="BV3810"/>
  <c r="BY3812" l="1"/>
  <c r="BV3811"/>
  <c r="BZ3811"/>
  <c r="BW3811" s="1"/>
  <c r="BY3813" l="1"/>
  <c r="BZ3812"/>
  <c r="BW3812" s="1"/>
  <c r="BV3812"/>
  <c r="BY3814" l="1"/>
  <c r="BZ3813"/>
  <c r="BW3813" s="1"/>
  <c r="BV3813"/>
  <c r="BY3815" l="1"/>
  <c r="BV3814"/>
  <c r="BZ3814"/>
  <c r="BW3814" s="1"/>
  <c r="BY3816" l="1"/>
  <c r="BZ3815"/>
  <c r="BW3815" s="1"/>
  <c r="BV3815"/>
  <c r="BZ3816" l="1"/>
  <c r="BW3816" s="1"/>
  <c r="BY3817"/>
  <c r="BV3816"/>
  <c r="BY3818" l="1"/>
  <c r="BW3817"/>
  <c r="BZ3817"/>
  <c r="BV3817"/>
  <c r="BZ3818" l="1"/>
  <c r="BW3818" s="1"/>
  <c r="BY3819"/>
  <c r="BV3818"/>
  <c r="BY3820" l="1"/>
  <c r="BV3819"/>
  <c r="BZ3819"/>
  <c r="BW3819" s="1"/>
  <c r="BY3821" l="1"/>
  <c r="BZ3820"/>
  <c r="BW3820" s="1"/>
  <c r="BV3820"/>
  <c r="BY3822" l="1"/>
  <c r="BZ3821"/>
  <c r="BW3821" s="1"/>
  <c r="BV3821"/>
  <c r="BZ3822" l="1"/>
  <c r="BW3822" s="1"/>
  <c r="BY3823"/>
  <c r="BV3822"/>
  <c r="BY3824" l="1"/>
  <c r="BZ3823"/>
  <c r="BW3823" s="1"/>
  <c r="BV3823"/>
  <c r="BZ3824" l="1"/>
  <c r="BW3824" s="1"/>
  <c r="BV3824"/>
  <c r="BY3825"/>
  <c r="BY3826" l="1"/>
  <c r="BZ3825"/>
  <c r="BW3825" s="1"/>
  <c r="BV3825"/>
  <c r="BZ3826" l="1"/>
  <c r="BW3826" s="1"/>
  <c r="BY3827"/>
  <c r="BV3826"/>
  <c r="BY3828" l="1"/>
  <c r="BV3827"/>
  <c r="BZ3827"/>
  <c r="BW3827" s="1"/>
  <c r="BY3829" l="1"/>
  <c r="BZ3828"/>
  <c r="BW3828" s="1"/>
  <c r="BV3828"/>
  <c r="BY3830" l="1"/>
  <c r="BZ3829"/>
  <c r="BW3829" s="1"/>
  <c r="BV3829"/>
  <c r="BY3831" l="1"/>
  <c r="BW3830"/>
  <c r="BV3830"/>
  <c r="BZ3830"/>
  <c r="BY3832" l="1"/>
  <c r="BZ3831"/>
  <c r="BW3831" s="1"/>
  <c r="BV3831"/>
  <c r="BZ3832" l="1"/>
  <c r="BW3832" s="1"/>
  <c r="BY3833"/>
  <c r="BV3832"/>
  <c r="BY3834" l="1"/>
  <c r="BW3833"/>
  <c r="BZ3833"/>
  <c r="BV3833"/>
  <c r="BZ3834" l="1"/>
  <c r="BW3834" s="1"/>
  <c r="BY3835"/>
  <c r="BV3834"/>
  <c r="BY3836" l="1"/>
  <c r="BV3835"/>
  <c r="BZ3835"/>
  <c r="BW3835" s="1"/>
  <c r="BY3837" l="1"/>
  <c r="BZ3836"/>
  <c r="BW3836" s="1"/>
  <c r="BV3836"/>
  <c r="BY3838" l="1"/>
  <c r="BZ3837"/>
  <c r="BW3837" s="1"/>
  <c r="BV3837"/>
  <c r="BZ3838" l="1"/>
  <c r="BW3838" s="1"/>
  <c r="BY3839"/>
  <c r="BV3838"/>
  <c r="BY3840" l="1"/>
  <c r="BZ3839"/>
  <c r="BW3839" s="1"/>
  <c r="BV3839"/>
  <c r="BZ3840" l="1"/>
  <c r="BW3840" s="1"/>
  <c r="BY3841"/>
  <c r="BV3840"/>
  <c r="BY3842" l="1"/>
  <c r="BZ3841"/>
  <c r="BW3841" s="1"/>
  <c r="BV3841"/>
  <c r="BZ3842" l="1"/>
  <c r="BW3842" s="1"/>
  <c r="BY3843"/>
  <c r="BV3842"/>
  <c r="BY3844" l="1"/>
  <c r="BV3843"/>
  <c r="BZ3843"/>
  <c r="BW3843" s="1"/>
  <c r="BY3845" l="1"/>
  <c r="BZ3844"/>
  <c r="BW3844" s="1"/>
  <c r="BV3844"/>
  <c r="BY3846" l="1"/>
  <c r="BZ3845"/>
  <c r="BW3845" s="1"/>
  <c r="BV3845"/>
  <c r="BY3847" l="1"/>
  <c r="BW3846"/>
  <c r="BV3846"/>
  <c r="BZ3846"/>
  <c r="BY3848" l="1"/>
  <c r="BZ3847"/>
  <c r="BW3847" s="1"/>
  <c r="BV3847"/>
  <c r="BZ3848" l="1"/>
  <c r="BW3848" s="1"/>
  <c r="BY3849"/>
  <c r="BV3848"/>
  <c r="BY3850" l="1"/>
  <c r="BW3849"/>
  <c r="BZ3849"/>
  <c r="BV3849"/>
  <c r="BZ3850" l="1"/>
  <c r="BW3850" s="1"/>
  <c r="BY3851"/>
  <c r="BV3850"/>
  <c r="BY3852" l="1"/>
  <c r="BV3851"/>
  <c r="BZ3851"/>
  <c r="BW3851" s="1"/>
  <c r="BY3853" l="1"/>
  <c r="BZ3852"/>
  <c r="BW3852" s="1"/>
  <c r="BV3852"/>
  <c r="BY3854" l="1"/>
  <c r="BZ3853"/>
  <c r="BW3853" s="1"/>
  <c r="BV3853"/>
  <c r="BZ3854" l="1"/>
  <c r="BW3854" s="1"/>
  <c r="BY3855"/>
  <c r="BV3854"/>
  <c r="BY3856" l="1"/>
  <c r="BZ3855"/>
  <c r="BW3855" s="1"/>
  <c r="BV3855"/>
  <c r="BZ3856" l="1"/>
  <c r="BW3856" s="1"/>
  <c r="BV3856"/>
  <c r="BY3857"/>
  <c r="BY3858" l="1"/>
  <c r="BZ3857"/>
  <c r="BW3857" s="1"/>
  <c r="BV3857"/>
  <c r="BZ3858" l="1"/>
  <c r="BW3858" s="1"/>
  <c r="BY3859"/>
  <c r="BV3858"/>
  <c r="BY3860" l="1"/>
  <c r="BV3859"/>
  <c r="BZ3859"/>
  <c r="BW3859" s="1"/>
  <c r="BY3861" l="1"/>
  <c r="BZ3860"/>
  <c r="BW3860" s="1"/>
  <c r="BV3860"/>
  <c r="BY3862" l="1"/>
  <c r="BZ3861"/>
  <c r="BW3861" s="1"/>
  <c r="BV3861"/>
  <c r="BY3863" l="1"/>
  <c r="BW3862"/>
  <c r="BV3862"/>
  <c r="BZ3862"/>
  <c r="BY3864" l="1"/>
  <c r="BZ3863"/>
  <c r="BW3863" s="1"/>
  <c r="BV3863"/>
  <c r="BZ3864" l="1"/>
  <c r="BW3864" s="1"/>
  <c r="BY3865"/>
  <c r="BV3864"/>
  <c r="BY3866" l="1"/>
  <c r="BW3865"/>
  <c r="BZ3865"/>
  <c r="BV3865"/>
  <c r="BZ3866" l="1"/>
  <c r="BW3866" s="1"/>
  <c r="BY3867"/>
  <c r="BV3866"/>
  <c r="BY3868" l="1"/>
  <c r="BV3867"/>
  <c r="BZ3867"/>
  <c r="BW3867" s="1"/>
  <c r="BY3869" l="1"/>
  <c r="BZ3868"/>
  <c r="BW3868" s="1"/>
  <c r="BV3868"/>
  <c r="BY3870" l="1"/>
  <c r="BZ3869"/>
  <c r="BW3869" s="1"/>
  <c r="BV3869"/>
  <c r="BZ3870" l="1"/>
  <c r="BW3870" s="1"/>
  <c r="BY3871"/>
  <c r="BV3870"/>
  <c r="BY3872" l="1"/>
  <c r="BZ3871"/>
  <c r="BW3871" s="1"/>
  <c r="BV3871"/>
  <c r="BZ3872" l="1"/>
  <c r="BW3872" s="1"/>
  <c r="BY3873"/>
  <c r="BV3872"/>
  <c r="BY3874" l="1"/>
  <c r="BZ3873"/>
  <c r="BW3873" s="1"/>
  <c r="BV3873"/>
  <c r="BZ3874" l="1"/>
  <c r="BW3874" s="1"/>
  <c r="BY3875"/>
  <c r="BV3874"/>
  <c r="BY3876" l="1"/>
  <c r="BV3875"/>
  <c r="BZ3875"/>
  <c r="BW3875" s="1"/>
  <c r="BY3877" l="1"/>
  <c r="BZ3876"/>
  <c r="BW3876" s="1"/>
  <c r="BV3876"/>
  <c r="BY3878" l="1"/>
  <c r="BZ3877"/>
  <c r="BW3877" s="1"/>
  <c r="BV3877"/>
  <c r="BY3879" l="1"/>
  <c r="BV3878"/>
  <c r="BZ3878"/>
  <c r="BW3878" s="1"/>
  <c r="BY3880" l="1"/>
  <c r="BZ3879"/>
  <c r="BW3879" s="1"/>
  <c r="BV3879"/>
  <c r="BZ3880" l="1"/>
  <c r="BW3880" s="1"/>
  <c r="BY3881"/>
  <c r="BV3880"/>
  <c r="BY3882" l="1"/>
  <c r="BW3881"/>
  <c r="BZ3881"/>
  <c r="BV3881"/>
  <c r="BZ3882" l="1"/>
  <c r="BW3882" s="1"/>
  <c r="BY3883"/>
  <c r="BV3882"/>
  <c r="BY3884" l="1"/>
  <c r="BV3883"/>
  <c r="BZ3883"/>
  <c r="BW3883" s="1"/>
  <c r="BY3885" l="1"/>
  <c r="BZ3884"/>
  <c r="BW3884" s="1"/>
  <c r="BV3884"/>
  <c r="BY3886" l="1"/>
  <c r="BZ3885"/>
  <c r="BW3885" s="1"/>
  <c r="BV3885"/>
  <c r="BZ3886" l="1"/>
  <c r="BW3886" s="1"/>
  <c r="BY3887"/>
  <c r="BV3886"/>
  <c r="BY3888" l="1"/>
  <c r="BZ3887"/>
  <c r="BW3887" s="1"/>
  <c r="BV3887"/>
  <c r="BZ3888" l="1"/>
  <c r="BW3888" s="1"/>
  <c r="BV3888"/>
  <c r="BY3889"/>
  <c r="BY3890" l="1"/>
  <c r="BZ3889"/>
  <c r="BW3889" s="1"/>
  <c r="BV3889"/>
  <c r="BZ3890" l="1"/>
  <c r="BW3890" s="1"/>
  <c r="BY3891"/>
  <c r="BV3890"/>
  <c r="BY3892" l="1"/>
  <c r="BV3891"/>
  <c r="BZ3891"/>
  <c r="BW3891" s="1"/>
  <c r="BY3893" l="1"/>
  <c r="BZ3892"/>
  <c r="BW3892" s="1"/>
  <c r="BV3892"/>
  <c r="BY3894" l="1"/>
  <c r="BZ3893"/>
  <c r="BW3893" s="1"/>
  <c r="BV3893"/>
  <c r="BY3895" l="1"/>
  <c r="BV3894"/>
  <c r="BZ3894"/>
  <c r="BW3894" s="1"/>
  <c r="BY3896" l="1"/>
  <c r="BZ3895"/>
  <c r="BW3895" s="1"/>
  <c r="BV3895"/>
  <c r="BZ3896" l="1"/>
  <c r="BW3896" s="1"/>
  <c r="BY3897"/>
  <c r="BV3896"/>
  <c r="BY3898" l="1"/>
  <c r="BW3897"/>
  <c r="BZ3897"/>
  <c r="BV3897"/>
  <c r="BZ3898" l="1"/>
  <c r="BW3898" s="1"/>
  <c r="BY3899"/>
  <c r="BV3898"/>
  <c r="BY3900" l="1"/>
  <c r="BV3899"/>
  <c r="BZ3899"/>
  <c r="BW3899" s="1"/>
  <c r="BY3901" l="1"/>
  <c r="BZ3900"/>
  <c r="BW3900" s="1"/>
  <c r="BV3900"/>
  <c r="BY3902" l="1"/>
  <c r="BZ3901"/>
  <c r="BW3901" s="1"/>
  <c r="BV3901"/>
  <c r="BZ3902" l="1"/>
  <c r="BW3902" s="1"/>
  <c r="BY3903"/>
  <c r="BV3902"/>
  <c r="BY3904" l="1"/>
  <c r="BZ3903"/>
  <c r="BW3903" s="1"/>
  <c r="BV3903"/>
  <c r="BZ3904" l="1"/>
  <c r="BW3904" s="1"/>
  <c r="BY3905"/>
  <c r="BV3904"/>
  <c r="BY3906" l="1"/>
  <c r="BZ3905"/>
  <c r="BW3905" s="1"/>
  <c r="BV3905"/>
  <c r="BZ3906" l="1"/>
  <c r="BW3906" s="1"/>
  <c r="BY3907"/>
  <c r="BV3906"/>
  <c r="BY3908" l="1"/>
  <c r="BV3907"/>
  <c r="BZ3907"/>
  <c r="BW3907" s="1"/>
  <c r="BY3909" l="1"/>
  <c r="BZ3908"/>
  <c r="BW3908" s="1"/>
  <c r="BV3908"/>
  <c r="BY3910" l="1"/>
  <c r="BZ3909"/>
  <c r="BW3909" s="1"/>
  <c r="BV3909"/>
  <c r="BY3911" l="1"/>
  <c r="BW3910"/>
  <c r="BV3910"/>
  <c r="BZ3910"/>
  <c r="BY3912" l="1"/>
  <c r="BZ3911"/>
  <c r="BW3911" s="1"/>
  <c r="BV3911"/>
  <c r="BZ3912" l="1"/>
  <c r="BW3912" s="1"/>
  <c r="BY3913"/>
  <c r="BV3912"/>
  <c r="BY3914" l="1"/>
  <c r="BW3913"/>
  <c r="BZ3913"/>
  <c r="BV3913"/>
  <c r="BZ3914" l="1"/>
  <c r="BW3914" s="1"/>
  <c r="BY3915"/>
  <c r="BV3914"/>
  <c r="BY3916" l="1"/>
  <c r="BV3915"/>
  <c r="BZ3915"/>
  <c r="BW3915" s="1"/>
  <c r="BY3917" l="1"/>
  <c r="BZ3916"/>
  <c r="BW3916" s="1"/>
  <c r="BV3916"/>
  <c r="BY3918" l="1"/>
  <c r="BZ3917"/>
  <c r="BW3917" s="1"/>
  <c r="BV3917"/>
  <c r="BZ3918" l="1"/>
  <c r="BW3918" s="1"/>
  <c r="BY3919"/>
  <c r="BV3918"/>
  <c r="BY3920" l="1"/>
  <c r="BZ3919"/>
  <c r="BW3919" s="1"/>
  <c r="BV3919"/>
  <c r="BZ3920" l="1"/>
  <c r="BW3920" s="1"/>
  <c r="BV3920"/>
  <c r="BY3921"/>
  <c r="BY3922" l="1"/>
  <c r="BZ3921"/>
  <c r="BW3921" s="1"/>
  <c r="BV3921"/>
  <c r="BZ3922" l="1"/>
  <c r="BW3922" s="1"/>
  <c r="BY3923"/>
  <c r="BV3922"/>
  <c r="BY3924" l="1"/>
  <c r="BV3923"/>
  <c r="BZ3923"/>
  <c r="BW3923" s="1"/>
  <c r="BY3925" l="1"/>
  <c r="BZ3924"/>
  <c r="BW3924" s="1"/>
  <c r="BV3924"/>
  <c r="BY3926" l="1"/>
  <c r="BZ3925"/>
  <c r="BW3925" s="1"/>
  <c r="BV3925"/>
  <c r="BY3927" l="1"/>
  <c r="BV3926"/>
  <c r="BZ3926"/>
  <c r="BW3926" s="1"/>
  <c r="BY3928" l="1"/>
  <c r="BZ3927"/>
  <c r="BW3927" s="1"/>
  <c r="BV3927"/>
  <c r="BZ3928" l="1"/>
  <c r="BW3928" s="1"/>
  <c r="BY3929"/>
  <c r="BV3928"/>
  <c r="BY3930" l="1"/>
  <c r="BW3929"/>
  <c r="BZ3929"/>
  <c r="BV3929"/>
  <c r="BZ3930" l="1"/>
  <c r="BW3930" s="1"/>
  <c r="BY3931"/>
  <c r="BV3930"/>
  <c r="BY3932" l="1"/>
  <c r="BV3931"/>
  <c r="BZ3931"/>
  <c r="BW3931" s="1"/>
  <c r="BY3933" l="1"/>
  <c r="BZ3932"/>
  <c r="BW3932" s="1"/>
  <c r="BV3932"/>
  <c r="BY3934" l="1"/>
  <c r="BZ3933"/>
  <c r="BW3933" s="1"/>
  <c r="BV3933"/>
  <c r="BZ3934" l="1"/>
  <c r="BW3934" s="1"/>
  <c r="BY3935"/>
  <c r="BV3934"/>
  <c r="BY3936" l="1"/>
  <c r="BZ3935"/>
  <c r="BW3935" s="1"/>
  <c r="BV3935"/>
  <c r="BZ3936" l="1"/>
  <c r="BW3936" s="1"/>
  <c r="BY3937"/>
  <c r="BV3936"/>
  <c r="BY3938" l="1"/>
  <c r="BZ3937"/>
  <c r="BW3937" s="1"/>
  <c r="BV3937"/>
  <c r="BZ3938" l="1"/>
  <c r="BW3938" s="1"/>
  <c r="BY3939"/>
  <c r="BV3938"/>
  <c r="BY3940" l="1"/>
  <c r="BV3939"/>
  <c r="BZ3939"/>
  <c r="BW3939" s="1"/>
  <c r="BY3941" l="1"/>
  <c r="BZ3940"/>
  <c r="BW3940" s="1"/>
  <c r="BV3940"/>
  <c r="BY3942" l="1"/>
  <c r="BZ3941"/>
  <c r="BW3941" s="1"/>
  <c r="BV3941"/>
  <c r="BY3943" l="1"/>
  <c r="BV3942"/>
  <c r="BZ3942"/>
  <c r="BW3942" s="1"/>
  <c r="BY3944" l="1"/>
  <c r="BZ3943"/>
  <c r="BW3943" s="1"/>
  <c r="BV3943"/>
  <c r="BZ3944" l="1"/>
  <c r="BW3944" s="1"/>
  <c r="BY3945"/>
  <c r="BV3944"/>
  <c r="BY3946" l="1"/>
  <c r="BW3945"/>
  <c r="BZ3945"/>
  <c r="BV3945"/>
  <c r="BZ3946" l="1"/>
  <c r="BW3946" s="1"/>
  <c r="BY3947"/>
  <c r="BV3946"/>
  <c r="BY3948" l="1"/>
  <c r="BV3947"/>
  <c r="BZ3947"/>
  <c r="BW3947" s="1"/>
  <c r="BY3949" l="1"/>
  <c r="BZ3948"/>
  <c r="BW3948" s="1"/>
  <c r="BV3948"/>
  <c r="BY3950" l="1"/>
  <c r="BZ3949"/>
  <c r="BW3949" s="1"/>
  <c r="BV3949"/>
  <c r="BZ3950" l="1"/>
  <c r="BW3950" s="1"/>
  <c r="BY3951"/>
  <c r="BV3950"/>
  <c r="BY3952" l="1"/>
  <c r="BZ3951"/>
  <c r="BW3951" s="1"/>
  <c r="BV3951"/>
  <c r="BZ3952" l="1"/>
  <c r="BW3952" s="1"/>
  <c r="BV3952"/>
  <c r="BY3953"/>
  <c r="BY3954" l="1"/>
  <c r="BZ3953"/>
  <c r="BW3953" s="1"/>
  <c r="BV3953"/>
  <c r="BZ3954" l="1"/>
  <c r="BW3954" s="1"/>
  <c r="BY3955"/>
  <c r="BV3954"/>
  <c r="BY3956" l="1"/>
  <c r="BV3955"/>
  <c r="BZ3955"/>
  <c r="BW3955" s="1"/>
  <c r="BY3957" l="1"/>
  <c r="BZ3956"/>
  <c r="BW3956" s="1"/>
  <c r="BV3956"/>
  <c r="BY3958" l="1"/>
  <c r="BZ3957"/>
  <c r="BW3957" s="1"/>
  <c r="BV3957"/>
  <c r="BY3959" l="1"/>
  <c r="BV3958"/>
  <c r="BZ3958"/>
  <c r="BW3958" s="1"/>
  <c r="BY3960" l="1"/>
  <c r="BZ3959"/>
  <c r="BW3959" s="1"/>
  <c r="BV3959"/>
  <c r="BZ3960" l="1"/>
  <c r="BW3960" s="1"/>
  <c r="BY3961"/>
  <c r="BV3960"/>
  <c r="BY3962" l="1"/>
  <c r="BW3961"/>
  <c r="BZ3961"/>
  <c r="BV3961"/>
  <c r="BZ3962" l="1"/>
  <c r="BW3962" s="1"/>
  <c r="BY3963"/>
  <c r="BV3962"/>
  <c r="BY3964" l="1"/>
  <c r="BV3963"/>
  <c r="BZ3963"/>
  <c r="BW3963" s="1"/>
  <c r="BY3965" l="1"/>
  <c r="BZ3964"/>
  <c r="BW3964" s="1"/>
  <c r="BV3964"/>
  <c r="BY3966" l="1"/>
  <c r="BZ3965"/>
  <c r="BW3965" s="1"/>
  <c r="BV3965"/>
  <c r="BZ3966" l="1"/>
  <c r="BW3966" s="1"/>
  <c r="BY3967"/>
  <c r="BV3966"/>
  <c r="BY3968" l="1"/>
  <c r="BZ3967"/>
  <c r="BW3967" s="1"/>
  <c r="BV3967"/>
  <c r="BZ3968" l="1"/>
  <c r="BW3968" s="1"/>
  <c r="BY3969"/>
  <c r="BV3968"/>
  <c r="BY3970" l="1"/>
  <c r="BZ3969"/>
  <c r="BW3969" s="1"/>
  <c r="BV3969"/>
  <c r="BZ3970" l="1"/>
  <c r="BW3970" s="1"/>
  <c r="BY3971"/>
  <c r="BV3970"/>
  <c r="BY3972" l="1"/>
  <c r="BV3971"/>
  <c r="BZ3971"/>
  <c r="BW3971" s="1"/>
  <c r="BY3973" l="1"/>
  <c r="BZ3972"/>
  <c r="BW3972" s="1"/>
  <c r="BV3972"/>
  <c r="BY3974" l="1"/>
  <c r="BZ3973"/>
  <c r="BW3973" s="1"/>
  <c r="BV3973"/>
  <c r="BY3975" l="1"/>
  <c r="BW3974"/>
  <c r="BV3974"/>
  <c r="BZ3974"/>
  <c r="BY3976" l="1"/>
  <c r="BZ3975"/>
  <c r="BW3975" s="1"/>
  <c r="BV3975"/>
  <c r="BZ3976" l="1"/>
  <c r="BW3976" s="1"/>
  <c r="BY3977"/>
  <c r="BV3976"/>
  <c r="BY3978" l="1"/>
  <c r="BW3977"/>
  <c r="BZ3977"/>
  <c r="BV3977"/>
  <c r="BZ3978" l="1"/>
  <c r="BW3978" s="1"/>
  <c r="BY3979"/>
  <c r="BV3978"/>
  <c r="BY3980" l="1"/>
  <c r="BV3979"/>
  <c r="BZ3979"/>
  <c r="BW3979" s="1"/>
  <c r="BY3981" l="1"/>
  <c r="BZ3980"/>
  <c r="BW3980" s="1"/>
  <c r="BV3980"/>
  <c r="BY3982" l="1"/>
  <c r="BZ3981"/>
  <c r="BW3981" s="1"/>
  <c r="BV3981"/>
  <c r="BZ3982" l="1"/>
  <c r="BW3982" s="1"/>
  <c r="BY3983"/>
  <c r="BV3982"/>
  <c r="BY3984" l="1"/>
  <c r="BZ3983"/>
  <c r="BW3983" s="1"/>
  <c r="BV3983"/>
  <c r="BZ3984" l="1"/>
  <c r="BW3984" s="1"/>
  <c r="BV3984"/>
  <c r="BY3985"/>
  <c r="BY3986" l="1"/>
  <c r="BZ3985"/>
  <c r="BW3985" s="1"/>
  <c r="BV3985"/>
  <c r="BZ3986" l="1"/>
  <c r="BW3986" s="1"/>
  <c r="BY3987"/>
  <c r="BV3986"/>
  <c r="BY3988" l="1"/>
  <c r="BV3987"/>
  <c r="BZ3987"/>
  <c r="BW3987" s="1"/>
  <c r="BY3989" l="1"/>
  <c r="BZ3988"/>
  <c r="BW3988" s="1"/>
  <c r="BV3988"/>
  <c r="BY3990" l="1"/>
  <c r="BZ3989"/>
  <c r="BW3989" s="1"/>
  <c r="BV3989"/>
  <c r="BY3991" l="1"/>
  <c r="BV3990"/>
  <c r="BZ3990"/>
  <c r="BW3990" s="1"/>
  <c r="BY3992" l="1"/>
  <c r="BZ3991"/>
  <c r="BW3991" s="1"/>
  <c r="BV3991"/>
  <c r="BZ3992" l="1"/>
  <c r="BW3992" s="1"/>
  <c r="BY3993"/>
  <c r="BV3992"/>
  <c r="BY3994" l="1"/>
  <c r="BW3993"/>
  <c r="BZ3993"/>
  <c r="BV3993"/>
  <c r="BZ3994" l="1"/>
  <c r="BW3994" s="1"/>
  <c r="BY3995"/>
  <c r="BV3994"/>
  <c r="BY3996" l="1"/>
  <c r="BV3995"/>
  <c r="BZ3995"/>
  <c r="BW3995" s="1"/>
  <c r="BY3997" l="1"/>
  <c r="BZ3996"/>
  <c r="BW3996" s="1"/>
  <c r="BV3996"/>
  <c r="BY3998" l="1"/>
  <c r="BZ3997"/>
  <c r="BW3997" s="1"/>
  <c r="BV3997"/>
  <c r="BZ3998" l="1"/>
  <c r="BW3998" s="1"/>
  <c r="BY3999"/>
  <c r="BV3998"/>
  <c r="BY4000" l="1"/>
  <c r="BZ3999"/>
  <c r="BW3999" s="1"/>
  <c r="BV3999"/>
  <c r="BZ4000" l="1"/>
  <c r="BW4000" s="1"/>
  <c r="BY4001"/>
  <c r="BV4000"/>
  <c r="BY4002" l="1"/>
  <c r="BZ4001"/>
  <c r="BW4001" s="1"/>
  <c r="BV4001"/>
  <c r="BZ4002" l="1"/>
  <c r="BW4002" s="1"/>
  <c r="BY4003"/>
  <c r="BV4002"/>
  <c r="BY4004" l="1"/>
  <c r="BV4003"/>
  <c r="BZ4003"/>
  <c r="BW4003" s="1"/>
  <c r="BY4005" l="1"/>
  <c r="BZ4004"/>
  <c r="BW4004" s="1"/>
  <c r="BV4004"/>
  <c r="BY4006" l="1"/>
  <c r="BZ4005"/>
  <c r="BW4005" s="1"/>
  <c r="BV4005"/>
  <c r="BY4007" l="1"/>
  <c r="BW4006"/>
  <c r="BV4006"/>
  <c r="BZ4006"/>
  <c r="BY4008" l="1"/>
  <c r="BZ4007"/>
  <c r="BW4007" s="1"/>
  <c r="BV4007"/>
  <c r="BZ4008" l="1"/>
  <c r="BW4008" s="1"/>
  <c r="BY4009"/>
  <c r="BV4008"/>
  <c r="BY4010" l="1"/>
  <c r="BW4009"/>
  <c r="BZ4009"/>
  <c r="BV4009"/>
  <c r="BZ4010" l="1"/>
  <c r="BW4010" s="1"/>
  <c r="BY4011"/>
  <c r="BV4010"/>
  <c r="BY4012" l="1"/>
  <c r="BV4011"/>
  <c r="BZ4011"/>
  <c r="BW4011" s="1"/>
  <c r="BY4013" l="1"/>
  <c r="BZ4012"/>
  <c r="BW4012" s="1"/>
  <c r="BV4012"/>
  <c r="BY4014" l="1"/>
  <c r="BZ4013"/>
  <c r="BW4013" s="1"/>
  <c r="BV4013"/>
  <c r="BZ4014" l="1"/>
  <c r="BW4014" s="1"/>
  <c r="BY4015"/>
  <c r="BV4014"/>
  <c r="BY4016" l="1"/>
  <c r="BZ4015"/>
  <c r="BW4015" s="1"/>
  <c r="BV4015"/>
  <c r="BZ4016" l="1"/>
  <c r="BW4016" s="1"/>
  <c r="BV4016"/>
  <c r="BY4017"/>
  <c r="BY4018" l="1"/>
  <c r="BZ4017"/>
  <c r="BW4017" s="1"/>
  <c r="BV4017"/>
  <c r="BZ4018" l="1"/>
  <c r="BW4018" s="1"/>
  <c r="BY4019"/>
  <c r="BV4018"/>
  <c r="BY4020" l="1"/>
  <c r="BV4019"/>
  <c r="BZ4019"/>
  <c r="BW4019" s="1"/>
  <c r="BY4021" l="1"/>
  <c r="BZ4020"/>
  <c r="BW4020" s="1"/>
  <c r="BV4020"/>
  <c r="BY4022" l="1"/>
  <c r="BZ4021"/>
  <c r="BW4021" s="1"/>
  <c r="BV4021"/>
  <c r="BY4023" l="1"/>
  <c r="BV4022"/>
  <c r="BZ4022"/>
  <c r="BW4022" s="1"/>
  <c r="BY4024" l="1"/>
  <c r="BZ4023"/>
  <c r="BW4023" s="1"/>
  <c r="BV4023"/>
  <c r="BZ4024" l="1"/>
  <c r="BW4024" s="1"/>
  <c r="BY4025"/>
  <c r="BV4024"/>
  <c r="BY4026" l="1"/>
  <c r="BZ4025"/>
  <c r="BW4025" s="1"/>
  <c r="BV4025"/>
  <c r="BZ4026" l="1"/>
  <c r="BW4026" s="1"/>
  <c r="BY4027"/>
  <c r="BV4026"/>
  <c r="BY4028" l="1"/>
  <c r="BV4027"/>
  <c r="BZ4027"/>
  <c r="BW4027" s="1"/>
  <c r="BY4029" l="1"/>
  <c r="BZ4028"/>
  <c r="BW4028" s="1"/>
  <c r="BV4028"/>
  <c r="BY4030" l="1"/>
  <c r="BZ4029"/>
  <c r="BW4029" s="1"/>
  <c r="BV4029"/>
  <c r="BZ4030" l="1"/>
  <c r="BW4030" s="1"/>
  <c r="BY4031"/>
  <c r="BV4030"/>
  <c r="BY4032" l="1"/>
  <c r="BZ4031"/>
  <c r="BW4031" s="1"/>
  <c r="BV4031"/>
  <c r="BZ4032" l="1"/>
  <c r="BW4032" s="1"/>
  <c r="BY4033"/>
  <c r="BV4032"/>
  <c r="BY4034" l="1"/>
  <c r="BZ4033"/>
  <c r="BW4033" s="1"/>
  <c r="BV4033"/>
  <c r="BZ4034" l="1"/>
  <c r="BW4034" s="1"/>
  <c r="BY4035"/>
  <c r="BV4034"/>
  <c r="BY4036" l="1"/>
  <c r="BV4035"/>
  <c r="BZ4035"/>
  <c r="BW4035" s="1"/>
  <c r="BY4037" l="1"/>
  <c r="BZ4036"/>
  <c r="BW4036" s="1"/>
  <c r="BV4036"/>
  <c r="BY4038" l="1"/>
  <c r="BZ4037"/>
  <c r="BW4037" s="1"/>
  <c r="BV4037"/>
  <c r="BY4039" l="1"/>
  <c r="BV4038"/>
  <c r="BZ4038"/>
  <c r="BW4038" s="1"/>
  <c r="BY4040" l="1"/>
  <c r="BZ4039"/>
  <c r="BW4039" s="1"/>
  <c r="BV4039"/>
  <c r="BZ4040" l="1"/>
  <c r="BW4040" s="1"/>
  <c r="BY4041"/>
  <c r="BV4040"/>
  <c r="BY4042" l="1"/>
  <c r="BW4041"/>
  <c r="BZ4041"/>
  <c r="BV4041"/>
  <c r="BZ4042" l="1"/>
  <c r="BV40" s="1"/>
  <c r="BV4042"/>
  <c r="BW4042" l="1"/>
  <c r="BW40" s="1"/>
  <c r="BW18" s="1"/>
</calcChain>
</file>

<file path=xl/comments1.xml><?xml version="1.0" encoding="utf-8"?>
<comments xmlns="http://schemas.openxmlformats.org/spreadsheetml/2006/main">
  <authors>
    <author>Geoff Cumming</author>
  </authors>
  <commentList>
    <comment ref="J3" authorId="0">
      <text>
        <r>
          <rPr>
            <sz val="9"/>
            <color indexed="81"/>
            <rFont val="Tahoma"/>
            <family val="2"/>
          </rPr>
          <t>ESCI to accompany "Introduction to The New Statistics &amp; Open Science" introductory textbook</t>
        </r>
      </text>
    </comment>
  </commentList>
</comments>
</file>

<file path=xl/comments2.xml><?xml version="1.0" encoding="utf-8"?>
<comments xmlns="http://schemas.openxmlformats.org/spreadsheetml/2006/main">
  <authors>
    <author>Psychology</author>
    <author>Geoff Cumming</author>
  </authors>
  <commentList>
    <comment ref="E1" authorId="0">
      <text>
        <r>
          <rPr>
            <sz val="9"/>
            <color indexed="81"/>
            <rFont val="Tahoma"/>
            <family val="2"/>
          </rPr>
          <t xml:space="preserve">Type in data. Press Enter after each value.
____________
To copy data from the clipboard, Use Paste Special/Values.
To generate data, use the </t>
        </r>
        <r>
          <rPr>
            <sz val="9"/>
            <color indexed="10"/>
            <rFont val="Tahoma"/>
            <family val="2"/>
          </rPr>
          <t>Generate data</t>
        </r>
        <r>
          <rPr>
            <sz val="9"/>
            <color indexed="81"/>
            <rFont val="Tahoma"/>
            <family val="2"/>
          </rPr>
          <t xml:space="preserve"> button at </t>
        </r>
        <r>
          <rPr>
            <b/>
            <sz val="9"/>
            <color indexed="10"/>
            <rFont val="Tahoma"/>
            <family val="2"/>
          </rPr>
          <t>5</t>
        </r>
        <r>
          <rPr>
            <sz val="9"/>
            <color indexed="81"/>
            <rFont val="Tahoma"/>
            <family val="2"/>
          </rPr>
          <t xml:space="preserve"> below.
</t>
        </r>
      </text>
    </comment>
    <comment ref="H1" authorId="1">
      <text>
        <r>
          <rPr>
            <sz val="9"/>
            <color indexed="81"/>
            <rFont val="Tahoma"/>
            <family val="2"/>
          </rPr>
          <t xml:space="preserve">The data values ordered from lowest to highest.  At right, scroll the ordered data.  
______________
If the cursor is visible, its slider and this scrollbar are linked, so either will move the cursor </t>
        </r>
        <r>
          <rPr>
            <i/>
            <sz val="9"/>
            <color indexed="81"/>
            <rFont val="Tahoma"/>
            <family val="2"/>
          </rPr>
          <t>and</t>
        </r>
        <r>
          <rPr>
            <sz val="9"/>
            <color indexed="81"/>
            <rFont val="Tahoma"/>
            <family val="2"/>
          </rPr>
          <t xml:space="preserve"> scroll the ordered data.
</t>
        </r>
      </text>
    </comment>
    <comment ref="I1" authorId="1">
      <text>
        <r>
          <rPr>
            <sz val="8"/>
            <color indexed="81"/>
            <rFont val="Tahoma"/>
            <family val="2"/>
          </rPr>
          <t xml:space="preserve">Scroll the display of ordered data.  If the cursor is visibile, its slider and this scrollbar are linked, so either will move the cursor </t>
        </r>
        <r>
          <rPr>
            <i/>
            <sz val="8"/>
            <color indexed="81"/>
            <rFont val="Tahoma"/>
            <family val="2"/>
          </rPr>
          <t>and</t>
        </r>
        <r>
          <rPr>
            <sz val="8"/>
            <color indexed="81"/>
            <rFont val="Tahoma"/>
            <family val="2"/>
          </rPr>
          <t xml:space="preserve"> scroll the ordered data.</t>
        </r>
        <r>
          <rPr>
            <sz val="8"/>
            <color indexed="81"/>
            <rFont val="Tahoma"/>
            <family val="2"/>
          </rPr>
          <t xml:space="preserve">
</t>
        </r>
      </text>
    </comment>
    <comment ref="L1" authorId="1">
      <text>
        <r>
          <rPr>
            <sz val="9"/>
            <color indexed="81"/>
            <rFont val="Tahoma"/>
            <family val="2"/>
          </rPr>
          <t xml:space="preserve">The values in this panel describe the histogram
</t>
        </r>
      </text>
    </comment>
    <comment ref="DC1" authorId="1">
      <text>
        <r>
          <rPr>
            <sz val="9"/>
            <color indexed="81"/>
            <rFont val="Tahoma"/>
            <family val="2"/>
          </rPr>
          <t xml:space="preserve">When columns in the dotplot are too high, squash them down, so they overlap vertically a bit.
</t>
        </r>
      </text>
    </comment>
    <comment ref="BI2" authorId="1">
      <text>
        <r>
          <rPr>
            <sz val="9"/>
            <color indexed="81"/>
            <rFont val="Tahoma"/>
            <family val="2"/>
          </rPr>
          <t xml:space="preserve">Click to transfer the dataset below, with name and labels, to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P2" authorId="1">
      <text>
        <r>
          <rPr>
            <sz val="9"/>
            <color indexed="81"/>
            <rFont val="Tahoma"/>
            <family val="2"/>
          </rPr>
          <t xml:space="preserve">Click to transfer the dataset below, with name and labels, to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W2" authorId="1">
      <text>
        <r>
          <rPr>
            <sz val="9"/>
            <color indexed="81"/>
            <rFont val="Tahoma"/>
            <family val="2"/>
          </rPr>
          <t xml:space="preserve">Click to transfer the dataset below, with name and labels, to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DA2" authorId="1">
      <text>
        <r>
          <rPr>
            <sz val="9"/>
            <color indexed="81"/>
            <rFont val="Tahoma"/>
            <family val="2"/>
          </rPr>
          <t xml:space="preserve">to figure out what squashing, if any, is needed
</t>
        </r>
      </text>
    </comment>
    <comment ref="AX3" authorId="1">
      <text>
        <r>
          <rPr>
            <sz val="9"/>
            <color indexed="81"/>
            <rFont val="Tahoma"/>
            <family val="2"/>
          </rPr>
          <t xml:space="preserve">The top, bottom, left and right of the pale blue rectangles need to be set to just touch the heavy dark outlines.  Use spinners to adjust, if required because of changes to screen resolution or zoom factor. 
</t>
        </r>
      </text>
    </comment>
    <comment ref="CY3" authorId="1">
      <text>
        <r>
          <rPr>
            <sz val="9"/>
            <color indexed="81"/>
            <rFont val="Tahoma"/>
            <family val="2"/>
          </rPr>
          <t xml:space="preserve">For display of dots in lower display panel
</t>
        </r>
      </text>
    </comment>
    <comment ref="CZ3" authorId="1">
      <text>
        <r>
          <rPr>
            <sz val="9"/>
            <color indexed="81"/>
            <rFont val="Tahoma"/>
            <family val="2"/>
          </rPr>
          <t xml:space="preserve">For display of dots in lower display panel, squashed if necessary
</t>
        </r>
      </text>
    </comment>
    <comment ref="DA3" authorId="1">
      <text>
        <r>
          <rPr>
            <sz val="9"/>
            <color indexed="81"/>
            <rFont val="Tahoma"/>
            <family val="2"/>
          </rPr>
          <t xml:space="preserve">if no squashing
</t>
        </r>
      </text>
    </comment>
    <comment ref="A5" authorId="0">
      <text>
        <r>
          <rPr>
            <sz val="9"/>
            <color indexed="81"/>
            <rFont val="Tahoma"/>
            <family val="2"/>
          </rPr>
          <t xml:space="preserve">Type in labels if you wish. Then press Enter.
</t>
        </r>
      </text>
    </comment>
    <comment ref="N5" authorId="0">
      <text>
        <r>
          <rPr>
            <sz val="9"/>
            <color indexed="81"/>
            <rFont val="Tahoma"/>
            <family val="2"/>
          </rPr>
          <t xml:space="preserve">A frequency histogram is in the upper display panel
</t>
        </r>
      </text>
    </comment>
    <comment ref="BK5" authorId="1">
      <text>
        <r>
          <rPr>
            <sz val="9"/>
            <color indexed="81"/>
            <rFont val="Tahoma"/>
            <family val="2"/>
          </rPr>
          <t>Type a short name for the dataset if you wish</t>
        </r>
        <r>
          <rPr>
            <sz val="9"/>
            <color indexed="81"/>
            <rFont val="Tahoma"/>
            <family val="2"/>
          </rPr>
          <t xml:space="preserve">
</t>
        </r>
      </text>
    </comment>
    <comment ref="BR5" authorId="1">
      <text>
        <r>
          <rPr>
            <sz val="9"/>
            <color indexed="81"/>
            <rFont val="Tahoma"/>
            <family val="2"/>
          </rPr>
          <t>Type a short name for the dataset if you wish</t>
        </r>
        <r>
          <rPr>
            <sz val="9"/>
            <color indexed="81"/>
            <rFont val="Tahoma"/>
            <family val="2"/>
          </rPr>
          <t xml:space="preserve">
</t>
        </r>
      </text>
    </comment>
    <comment ref="BY5" authorId="1">
      <text>
        <r>
          <rPr>
            <sz val="9"/>
            <color indexed="81"/>
            <rFont val="Tahoma"/>
            <family val="2"/>
          </rPr>
          <t>Type a short name for the dataset if you wish</t>
        </r>
        <r>
          <rPr>
            <sz val="9"/>
            <color indexed="81"/>
            <rFont val="Tahoma"/>
            <family val="2"/>
          </rPr>
          <t xml:space="preserve">
</t>
        </r>
      </text>
    </comment>
    <comment ref="B6" authorId="1">
      <text>
        <r>
          <rPr>
            <sz val="9"/>
            <color indexed="81"/>
            <rFont val="Tahoma"/>
            <family val="2"/>
          </rPr>
          <t>Type a short name for the dataset if you wish</t>
        </r>
        <r>
          <rPr>
            <sz val="9"/>
            <color indexed="81"/>
            <rFont val="Tahoma"/>
            <family val="2"/>
          </rPr>
          <t xml:space="preserve">
</t>
        </r>
      </text>
    </comment>
    <comment ref="K6" authorId="1">
      <text>
        <r>
          <rPr>
            <sz val="9"/>
            <color indexed="81"/>
            <rFont val="Tahoma"/>
            <family val="2"/>
          </rPr>
          <t xml:space="preserve">The values of bin boundaries are shown by small red numbers
</t>
        </r>
      </text>
    </comment>
    <comment ref="L6" authorId="1">
      <text>
        <r>
          <rPr>
            <sz val="9"/>
            <color indexed="81"/>
            <rFont val="Tahoma"/>
            <family val="2"/>
          </rPr>
          <t xml:space="preserve">The number of data values in a bin, shown also as the height of the column in the histogram
</t>
        </r>
      </text>
    </comment>
    <comment ref="BK6" authorId="1">
      <text>
        <r>
          <rPr>
            <sz val="9"/>
            <color indexed="81"/>
            <rFont val="Tahoma"/>
            <family val="2"/>
          </rPr>
          <t xml:space="preserve">Type at right a short (max 18 characters) label for the units
</t>
        </r>
      </text>
    </comment>
    <comment ref="BR6" authorId="1">
      <text>
        <r>
          <rPr>
            <sz val="9"/>
            <color indexed="81"/>
            <rFont val="Tahoma"/>
            <family val="2"/>
          </rPr>
          <t xml:space="preserve">Type at right a short (max 18 characters) label for the units
</t>
        </r>
      </text>
    </comment>
    <comment ref="BY6" authorId="1">
      <text>
        <r>
          <rPr>
            <sz val="9"/>
            <color indexed="81"/>
            <rFont val="Tahoma"/>
            <family val="2"/>
          </rPr>
          <t xml:space="preserve">Type at right a short (max 18 characters) label for the units
</t>
        </r>
      </text>
    </comment>
    <comment ref="B7" authorId="1">
      <text>
        <r>
          <rPr>
            <sz val="9"/>
            <color indexed="81"/>
            <rFont val="Tahoma"/>
            <family val="2"/>
          </rPr>
          <t xml:space="preserve">Type at right a short (max 18 characters) label for the units
</t>
        </r>
      </text>
    </comment>
    <comment ref="O7" authorId="1">
      <text>
        <r>
          <rPr>
            <sz val="9"/>
            <color indexed="81"/>
            <rFont val="Tahoma"/>
            <family val="2"/>
          </rPr>
          <t xml:space="preserve">Use the spinner to set the number of bins.  (Max 30)
</t>
        </r>
      </text>
    </comment>
    <comment ref="AX8" authorId="1">
      <text>
        <r>
          <rPr>
            <sz val="9"/>
            <color indexed="81"/>
            <rFont val="Tahoma"/>
            <family val="2"/>
          </rPr>
          <t xml:space="preserve">Adjust so bottom of red rectangles (when cursor is on) just touch axis
</t>
        </r>
      </text>
    </comment>
    <comment ref="BJ8" authorId="1">
      <text>
        <r>
          <rPr>
            <sz val="9"/>
            <color indexed="81"/>
            <rFont val="Tahoma"/>
            <family val="2"/>
          </rPr>
          <t>Type a short label for Condition if you wish</t>
        </r>
      </text>
    </comment>
    <comment ref="BQ8" authorId="1">
      <text>
        <r>
          <rPr>
            <sz val="9"/>
            <color indexed="81"/>
            <rFont val="Tahoma"/>
            <family val="2"/>
          </rPr>
          <t>Type a short label for Condition if you wish</t>
        </r>
      </text>
    </comment>
    <comment ref="BX8" authorId="1">
      <text>
        <r>
          <rPr>
            <sz val="9"/>
            <color indexed="81"/>
            <rFont val="Tahoma"/>
            <family val="2"/>
          </rPr>
          <t>Type a short label for Condition if you wish</t>
        </r>
      </text>
    </comment>
    <comment ref="B9" authorId="1">
      <text>
        <r>
          <rPr>
            <sz val="9"/>
            <color indexed="81"/>
            <rFont val="Tahoma"/>
            <family val="2"/>
          </rPr>
          <t>Type a short label for Condition if you wish</t>
        </r>
      </text>
    </comment>
    <comment ref="BI9" authorId="1">
      <text>
        <r>
          <rPr>
            <sz val="9"/>
            <color indexed="81"/>
            <rFont val="Tahoma"/>
            <family val="2"/>
          </rPr>
          <t xml:space="preserve">Type in your single group of data points.  Press Enter after each value.  Max 300 points.  
__________
You can paste data from the clipboard  by clicking to select the top cell, then using Paste Special/Values.
</t>
        </r>
      </text>
    </comment>
    <comment ref="BP9" authorId="1">
      <text>
        <r>
          <rPr>
            <sz val="9"/>
            <color indexed="81"/>
            <rFont val="Tahoma"/>
            <family val="2"/>
          </rPr>
          <t xml:space="preserve">Type in your single group of data points.  Press Enter after each value.  Max 300 points.  
__________
You can paste data from the clipboard  by clicking to select the top cell, then using Paste Special/Values.
</t>
        </r>
      </text>
    </comment>
    <comment ref="BW9" authorId="1">
      <text>
        <r>
          <rPr>
            <sz val="9"/>
            <color indexed="81"/>
            <rFont val="Tahoma"/>
            <family val="2"/>
          </rPr>
          <t xml:space="preserve">Type in your single group of data points.  Press Enter after each value.  Max 300 points.  
__________
You can paste data from the clipboard  by clicking to select the top cell, then using Paste Special/Values.
</t>
        </r>
      </text>
    </comment>
    <comment ref="A12" authorId="0">
      <text>
        <r>
          <rPr>
            <sz val="9"/>
            <color indexed="81"/>
            <rFont val="Tahoma"/>
            <family val="2"/>
          </rPr>
          <t xml:space="preserve">Descriptive statistics for the dataset
</t>
        </r>
      </text>
    </comment>
    <comment ref="B14" authorId="1">
      <text>
        <r>
          <rPr>
            <sz val="9"/>
            <color indexed="81"/>
            <rFont val="Tahoma"/>
            <family val="2"/>
          </rPr>
          <t xml:space="preserve">Number of values in the dataset.  (Max 300)
</t>
        </r>
      </text>
    </comment>
    <comment ref="C16" authorId="1">
      <text>
        <r>
          <rPr>
            <sz val="9"/>
            <color indexed="81"/>
            <rFont val="Tahoma"/>
            <family val="2"/>
          </rPr>
          <t xml:space="preserve">Click to show below the values of Mean, Median, SD, quartiles
</t>
        </r>
      </text>
    </comment>
    <comment ref="N16" authorId="1">
      <text>
        <r>
          <rPr>
            <sz val="9"/>
            <color indexed="81"/>
            <rFont val="Tahoma"/>
            <family val="2"/>
          </rPr>
          <t xml:space="preserve">Click boxes below to control various aspects of both displays.
</t>
        </r>
      </text>
    </comment>
    <comment ref="B18" authorId="1">
      <text>
        <r>
          <rPr>
            <sz val="9"/>
            <color indexed="81"/>
            <rFont val="Tahoma"/>
            <family val="2"/>
          </rPr>
          <t xml:space="preserve">Click at left to display a green triangle to mark the mean
</t>
        </r>
      </text>
    </comment>
    <comment ref="P19" authorId="1">
      <text>
        <r>
          <rPr>
            <sz val="9"/>
            <color indexed="81"/>
            <rFont val="Tahoma"/>
            <family val="2"/>
          </rPr>
          <t>Click to display the red cursor, controlled by a slider.  The percentile  is shown for the cursor position.  
_______________
If z lines are visible, the z score for the cursor is shown.</t>
        </r>
      </text>
    </comment>
    <comment ref="AY20" authorId="1">
      <text>
        <r>
          <rPr>
            <sz val="9"/>
            <color indexed="81"/>
            <rFont val="Tahoma"/>
            <family val="2"/>
          </rPr>
          <t xml:space="preserve">A rectangular distribution with the chosen mean and SD will have max and min of these values
</t>
        </r>
      </text>
    </comment>
    <comment ref="B21" authorId="1">
      <text>
        <r>
          <rPr>
            <sz val="9"/>
            <color indexed="81"/>
            <rFont val="Tahoma"/>
            <family val="2"/>
          </rPr>
          <t xml:space="preserve">Click at left to display a pink diamond to mark the median
</t>
        </r>
      </text>
    </comment>
    <comment ref="P21" authorId="1">
      <text>
        <r>
          <rPr>
            <sz val="9"/>
            <color indexed="81"/>
            <rFont val="Tahoma"/>
            <family val="2"/>
          </rPr>
          <t xml:space="preserve">Click to display grey vertical lines at z=0, z=-1, z=1, etc
________________
If the cursor is visible, its z value is shown.
</t>
        </r>
      </text>
    </comment>
    <comment ref="Q23" authorId="1">
      <text>
        <r>
          <rPr>
            <sz val="9"/>
            <color indexed="81"/>
            <rFont val="Tahoma"/>
            <family val="2"/>
          </rPr>
          <t xml:space="preserve">Click to freeze the Frequency and X axes, so they are not updated when data values or number of bins are changed.  (Usually best </t>
        </r>
        <r>
          <rPr>
            <b/>
            <sz val="9"/>
            <color indexed="81"/>
            <rFont val="Tahoma"/>
            <family val="2"/>
          </rPr>
          <t>not</t>
        </r>
        <r>
          <rPr>
            <sz val="9"/>
            <color indexed="81"/>
            <rFont val="Tahoma"/>
            <family val="2"/>
          </rPr>
          <t xml:space="preserve"> to freeze axes.)
_________________
If major changes are made while axes are frozen, display quality will drop.
</t>
        </r>
      </text>
    </comment>
    <comment ref="B24" authorId="1">
      <text>
        <r>
          <rPr>
            <sz val="9"/>
            <color indexed="81"/>
            <rFont val="Tahoma"/>
            <family val="2"/>
          </rPr>
          <t xml:space="preserve">Click at left to display green crosses to mark the standard deviation
</t>
        </r>
      </text>
    </comment>
    <comment ref="AX24" authorId="1">
      <text>
        <r>
          <rPr>
            <sz val="9"/>
            <color indexed="81"/>
            <rFont val="Tahoma"/>
            <family val="2"/>
          </rPr>
          <t xml:space="preserve">Shape, or skew, coefficient </t>
        </r>
        <r>
          <rPr>
            <sz val="9"/>
            <color indexed="81"/>
            <rFont val="Symbol"/>
            <family val="1"/>
            <charset val="2"/>
          </rPr>
          <t>s</t>
        </r>
        <r>
          <rPr>
            <sz val="9"/>
            <color indexed="81"/>
            <rFont val="Tahoma"/>
            <family val="2"/>
          </rPr>
          <t xml:space="preserve"> (not a SD!)
</t>
        </r>
      </text>
    </comment>
    <comment ref="AY24" authorId="1">
      <text>
        <r>
          <rPr>
            <sz val="9"/>
            <color indexed="81"/>
            <rFont val="Tahoma"/>
            <family val="2"/>
          </rPr>
          <t xml:space="preserve">Adjust this value in small steps to change the amount of skew.  Lower values = less skew.
</t>
        </r>
      </text>
    </comment>
    <comment ref="B27" authorId="1">
      <text>
        <r>
          <rPr>
            <sz val="9"/>
            <color indexed="81"/>
            <rFont val="Tahoma"/>
            <family val="2"/>
          </rPr>
          <t xml:space="preserve">Click at left to display pink diamonds to mark Q1 and Q3, the first and third quartiles.
_____________
Q1, the first quartile, is the same as the 25th percentile. 
(Q2, the second quartile, is the same as the median.)
</t>
        </r>
      </text>
    </comment>
    <comment ref="B28" authorId="1">
      <text>
        <r>
          <rPr>
            <sz val="9"/>
            <color indexed="81"/>
            <rFont val="Tahoma"/>
            <family val="2"/>
          </rPr>
          <t xml:space="preserve">Click at left to display pink diamonds to mark Q1 and Q3, the first and third quartiles.
_____________
Q3, the third quartile, is the same as the 75th percentile. 
(Q2, the second quartile, is the same as the median.)
</t>
        </r>
      </text>
    </comment>
    <comment ref="AW28" authorId="1">
      <text>
        <r>
          <rPr>
            <sz val="9"/>
            <color indexed="81"/>
            <rFont val="Tahoma"/>
            <family val="2"/>
          </rPr>
          <t xml:space="preserve">Adjust vertical spacing of dots in stacked dot plot.
</t>
        </r>
      </text>
    </comment>
    <comment ref="B30" authorId="1">
      <text>
        <r>
          <rPr>
            <sz val="9"/>
            <color indexed="81"/>
            <rFont val="Tahoma"/>
            <family val="2"/>
          </rPr>
          <t xml:space="preserve">The interquartile range (IQR) extends from Q1 to Q3.
</t>
        </r>
      </text>
    </comment>
    <comment ref="AW30" authorId="1">
      <text>
        <r>
          <rPr>
            <sz val="9"/>
            <color indexed="81"/>
            <rFont val="Tahoma"/>
            <family val="2"/>
          </rPr>
          <t xml:space="preserve">Adjust horizontal spacing of dots in stacked dot plot.
</t>
        </r>
      </text>
    </comment>
    <comment ref="N31" authorId="0">
      <text>
        <r>
          <rPr>
            <sz val="9"/>
            <color indexed="81"/>
            <rFont val="Tahoma"/>
            <family val="2"/>
          </rPr>
          <t>A dot plot is in the lower panel</t>
        </r>
      </text>
    </comment>
    <comment ref="A33" authorId="0">
      <text>
        <r>
          <rPr>
            <sz val="9"/>
            <color indexed="81"/>
            <rFont val="Tahoma"/>
            <family val="2"/>
          </rPr>
          <t xml:space="preserve">Click to clear the current dataset
</t>
        </r>
      </text>
    </comment>
    <comment ref="Q33" authorId="1">
      <text>
        <r>
          <rPr>
            <sz val="9"/>
            <color indexed="81"/>
            <rFont val="Tahoma"/>
            <family val="2"/>
          </rPr>
          <t xml:space="preserve">Click to raise some dots, to avoid overlap. Move dots slightly horizontally, so they line up into neat vertical columns.
</t>
        </r>
      </text>
    </comment>
    <comment ref="A36" authorId="0">
      <text>
        <r>
          <rPr>
            <sz val="9"/>
            <color indexed="81"/>
            <rFont val="Tahoma"/>
            <family val="2"/>
          </rPr>
          <t xml:space="preserve">Click to generate a new dataset that is a random sample from a selected population distribution
</t>
        </r>
      </text>
    </comment>
    <comment ref="CQ36" authorId="1">
      <text>
        <r>
          <rPr>
            <sz val="9"/>
            <color indexed="81"/>
            <rFont val="Tahoma"/>
            <family val="2"/>
          </rPr>
          <t xml:space="preserve">Left and right ends of the X axis, both display panels.  Bottom and top of the Y axis, lower panel.
</t>
        </r>
      </text>
    </comment>
    <comment ref="Q39" authorId="1">
      <text>
        <r>
          <rPr>
            <sz val="9"/>
            <color indexed="81"/>
            <rFont val="Tahoma"/>
            <family val="2"/>
          </rPr>
          <t xml:space="preserve">When red cursor is displayed, use slider to move cursor left or right, in both the upper and lower panels.
</t>
        </r>
      </text>
    </comment>
  </commentList>
</comments>
</file>

<file path=xl/comments3.xml><?xml version="1.0" encoding="utf-8"?>
<comments xmlns="http://schemas.openxmlformats.org/spreadsheetml/2006/main">
  <authors>
    <author>Geoff Cumming</author>
  </authors>
  <commentList>
    <comment ref="B6" authorId="0">
      <text>
        <r>
          <rPr>
            <sz val="9"/>
            <color indexed="81"/>
            <rFont val="Tahoma"/>
            <family val="2"/>
          </rPr>
          <t xml:space="preserve">Click to select whether tails are displayed.  Also click for display of tail area values.
</t>
        </r>
      </text>
    </comment>
    <comment ref="E7" authorId="0">
      <text>
        <r>
          <rPr>
            <sz val="9"/>
            <color indexed="81"/>
            <rFont val="Tahoma"/>
            <family val="2"/>
          </rPr>
          <t xml:space="preserve">No display of tails
</t>
        </r>
      </text>
    </comment>
    <comment ref="E9" authorId="0">
      <text>
        <r>
          <rPr>
            <sz val="9"/>
            <color indexed="81"/>
            <rFont val="Tahoma"/>
            <family val="2"/>
          </rPr>
          <t xml:space="preserve">Display a single tail
</t>
        </r>
      </text>
    </comment>
    <comment ref="H10" authorId="0">
      <text>
        <r>
          <rPr>
            <sz val="9"/>
            <color indexed="81"/>
            <rFont val="Tahoma"/>
            <family val="2"/>
          </rPr>
          <t xml:space="preserve">Black numbers report probabilities, which are areas under the normal curve
</t>
        </r>
      </text>
    </comment>
    <comment ref="E11" authorId="0">
      <text>
        <r>
          <rPr>
            <sz val="9"/>
            <color indexed="81"/>
            <rFont val="Tahoma"/>
            <family val="2"/>
          </rPr>
          <t xml:space="preserve">Display two equal-area tails
</t>
        </r>
      </text>
    </comment>
    <comment ref="B13" authorId="0">
      <text>
        <r>
          <rPr>
            <sz val="9"/>
            <color indexed="81"/>
            <rFont val="Tahoma"/>
            <family val="2"/>
          </rPr>
          <t xml:space="preserve">Click for vertical marker lines
</t>
        </r>
      </text>
    </comment>
    <comment ref="B16" authorId="0">
      <text>
        <r>
          <rPr>
            <i/>
            <sz val="9"/>
            <color indexed="81"/>
            <rFont val="Tahoma"/>
            <family val="2"/>
          </rPr>
          <t>X</t>
        </r>
        <r>
          <rPr>
            <sz val="9"/>
            <color indexed="81"/>
            <rFont val="Tahoma"/>
            <family val="2"/>
          </rPr>
          <t xml:space="preserve"> is any variable that is normally distributed and for which you know the mean and SD.
</t>
        </r>
      </text>
    </comment>
    <comment ref="F17" authorId="0">
      <text>
        <r>
          <rPr>
            <sz val="9"/>
            <color indexed="81"/>
            <rFont val="Tahoma"/>
            <family val="2"/>
          </rPr>
          <t xml:space="preserve">Click to display an </t>
        </r>
        <r>
          <rPr>
            <i/>
            <sz val="9"/>
            <color indexed="81"/>
            <rFont val="Tahoma"/>
            <family val="2"/>
          </rPr>
          <t>X</t>
        </r>
        <r>
          <rPr>
            <sz val="9"/>
            <color indexed="81"/>
            <rFont val="Tahoma"/>
            <family val="2"/>
          </rPr>
          <t xml:space="preserve"> axis at the top of the figure.</t>
        </r>
        <r>
          <rPr>
            <sz val="9"/>
            <color indexed="81"/>
            <rFont val="Tahoma"/>
            <family val="2"/>
          </rPr>
          <t xml:space="preserve">
</t>
        </r>
      </text>
    </comment>
    <comment ref="G18" authorId="0">
      <text>
        <r>
          <rPr>
            <sz val="9"/>
            <color indexed="81"/>
            <rFont val="Tahoma"/>
            <family val="2"/>
          </rPr>
          <t xml:space="preserve">Type below a short label for the units of </t>
        </r>
        <r>
          <rPr>
            <i/>
            <sz val="9"/>
            <color indexed="81"/>
            <rFont val="Tahoma"/>
            <family val="2"/>
          </rPr>
          <t>X</t>
        </r>
        <r>
          <rPr>
            <sz val="9"/>
            <color indexed="81"/>
            <rFont val="Tahoma"/>
            <family val="2"/>
          </rPr>
          <t xml:space="preserve">
</t>
        </r>
      </text>
    </comment>
    <comment ref="D19" authorId="0">
      <text>
        <r>
          <rPr>
            <sz val="9"/>
            <color indexed="81"/>
            <rFont val="Tahoma"/>
            <family val="2"/>
          </rPr>
          <t xml:space="preserve">Type in the mean of </t>
        </r>
        <r>
          <rPr>
            <i/>
            <sz val="9"/>
            <color indexed="81"/>
            <rFont val="Tahoma"/>
            <family val="2"/>
          </rPr>
          <t>X</t>
        </r>
        <r>
          <rPr>
            <sz val="9"/>
            <color indexed="81"/>
            <rFont val="Tahoma"/>
            <family val="2"/>
          </rPr>
          <t xml:space="preserve">
</t>
        </r>
      </text>
    </comment>
    <comment ref="D21" authorId="0">
      <text>
        <r>
          <rPr>
            <sz val="9"/>
            <color indexed="81"/>
            <rFont val="Tahoma"/>
            <family val="2"/>
          </rPr>
          <t xml:space="preserve">Type in the standard deviation of </t>
        </r>
        <r>
          <rPr>
            <i/>
            <sz val="9"/>
            <color indexed="81"/>
            <rFont val="Tahoma"/>
            <family val="2"/>
          </rPr>
          <t>X</t>
        </r>
        <r>
          <rPr>
            <sz val="9"/>
            <color indexed="81"/>
            <rFont val="Tahoma"/>
            <family val="2"/>
          </rPr>
          <t xml:space="preserve">
</t>
        </r>
      </text>
    </comment>
    <comment ref="R29" authorId="0">
      <text>
        <r>
          <rPr>
            <sz val="9"/>
            <color indexed="81"/>
            <rFont val="Tahoma"/>
            <family val="2"/>
          </rPr>
          <t xml:space="preserve">Use the large slider below to position the cursor (vertical black line marking boundary of a tail).  Its position on the </t>
        </r>
        <r>
          <rPr>
            <i/>
            <sz val="9"/>
            <color indexed="81"/>
            <rFont val="Tahoma"/>
            <family val="2"/>
          </rPr>
          <t>z</t>
        </r>
        <r>
          <rPr>
            <sz val="9"/>
            <color indexed="81"/>
            <rFont val="Tahoma"/>
            <family val="2"/>
          </rPr>
          <t xml:space="preserve"> axis is shown at right. For two tails, both </t>
        </r>
        <r>
          <rPr>
            <i/>
            <sz val="9"/>
            <color indexed="81"/>
            <rFont val="Tahoma"/>
            <family val="2"/>
          </rPr>
          <t>z</t>
        </r>
        <r>
          <rPr>
            <sz val="9"/>
            <color indexed="81"/>
            <rFont val="Tahoma"/>
            <family val="2"/>
          </rPr>
          <t xml:space="preserve"> values are shown.
</t>
        </r>
      </text>
    </comment>
    <comment ref="W29" authorId="0">
      <text>
        <r>
          <rPr>
            <sz val="9"/>
            <color indexed="81"/>
            <rFont val="Tahoma"/>
            <family val="2"/>
          </rPr>
          <t xml:space="preserve">Use the large slider below to position the cursor (vertical black line marking boundary of a tail).  Its position on the </t>
        </r>
        <r>
          <rPr>
            <i/>
            <sz val="9"/>
            <color indexed="81"/>
            <rFont val="Tahoma"/>
            <family val="2"/>
          </rPr>
          <t>X</t>
        </r>
        <r>
          <rPr>
            <sz val="9"/>
            <color indexed="81"/>
            <rFont val="Tahoma"/>
            <family val="2"/>
          </rPr>
          <t xml:space="preserve"> axis (at the top of the figure) is shown at right. For two tails, both </t>
        </r>
        <r>
          <rPr>
            <i/>
            <sz val="9"/>
            <color indexed="81"/>
            <rFont val="Tahoma"/>
            <family val="2"/>
          </rPr>
          <t>X</t>
        </r>
        <r>
          <rPr>
            <sz val="9"/>
            <color indexed="81"/>
            <rFont val="Tahoma"/>
            <family val="2"/>
          </rPr>
          <t xml:space="preserve"> values are shown.
</t>
        </r>
      </text>
    </comment>
  </commentList>
</comments>
</file>

<file path=xl/comments4.xml><?xml version="1.0" encoding="utf-8"?>
<comments xmlns="http://schemas.openxmlformats.org/spreadsheetml/2006/main">
  <authors>
    <author>Geoff Cumming</author>
  </authors>
  <commentList>
    <comment ref="B6" authorId="0">
      <text>
        <r>
          <rPr>
            <sz val="9"/>
            <color indexed="81"/>
            <rFont val="Tahoma"/>
            <family val="2"/>
          </rPr>
          <t xml:space="preserve">Click one radio button to select which curve(s) to display
</t>
        </r>
      </text>
    </comment>
    <comment ref="D7" authorId="0">
      <text>
        <r>
          <rPr>
            <sz val="9"/>
            <color indexed="81"/>
            <rFont val="Tahoma"/>
            <family val="2"/>
          </rPr>
          <t xml:space="preserve">Display normal distribution
</t>
        </r>
      </text>
    </comment>
    <comment ref="D9" authorId="0">
      <text>
        <r>
          <rPr>
            <sz val="9"/>
            <color indexed="81"/>
            <rFont val="Tahoma"/>
            <family val="2"/>
          </rPr>
          <t xml:space="preserve">Display </t>
        </r>
        <r>
          <rPr>
            <i/>
            <sz val="9"/>
            <color indexed="81"/>
            <rFont val="Tahoma"/>
            <family val="2"/>
          </rPr>
          <t>t</t>
        </r>
        <r>
          <rPr>
            <sz val="9"/>
            <color indexed="81"/>
            <rFont val="Tahoma"/>
            <family val="2"/>
          </rPr>
          <t xml:space="preserve"> 
distribution
</t>
        </r>
      </text>
    </comment>
    <comment ref="F10" authorId="0">
      <text>
        <r>
          <rPr>
            <sz val="9"/>
            <color indexed="81"/>
            <rFont val="Tahoma"/>
            <family val="2"/>
          </rPr>
          <t xml:space="preserve">Use spinner to set the degrees of freedom, for the </t>
        </r>
        <r>
          <rPr>
            <i/>
            <sz val="9"/>
            <color indexed="81"/>
            <rFont val="Tahoma"/>
            <family val="2"/>
          </rPr>
          <t>t</t>
        </r>
        <r>
          <rPr>
            <sz val="9"/>
            <color indexed="81"/>
            <rFont val="Tahoma"/>
            <family val="2"/>
          </rPr>
          <t xml:space="preserve"> distribution
</t>
        </r>
        <r>
          <rPr>
            <i/>
            <sz val="9"/>
            <color indexed="81"/>
            <rFont val="Tahoma"/>
            <family val="2"/>
          </rPr>
          <t>df</t>
        </r>
        <r>
          <rPr>
            <sz val="9"/>
            <color indexed="81"/>
            <rFont val="Tahoma"/>
            <family val="2"/>
          </rPr>
          <t xml:space="preserve"> = </t>
        </r>
        <r>
          <rPr>
            <i/>
            <sz val="9"/>
            <color indexed="81"/>
            <rFont val="Tahoma"/>
            <family val="2"/>
          </rPr>
          <t>N</t>
        </r>
        <r>
          <rPr>
            <sz val="9"/>
            <color indexed="81"/>
            <rFont val="Tahoma"/>
            <family val="2"/>
          </rPr>
          <t xml:space="preserve"> - 1
</t>
        </r>
      </text>
    </comment>
    <comment ref="E11" authorId="0">
      <text>
        <r>
          <rPr>
            <sz val="9"/>
            <color indexed="81"/>
            <rFont val="Tahoma"/>
            <family val="2"/>
          </rPr>
          <t xml:space="preserve">Display </t>
        </r>
        <r>
          <rPr>
            <i/>
            <sz val="9"/>
            <color indexed="81"/>
            <rFont val="Tahoma"/>
            <family val="2"/>
          </rPr>
          <t>t</t>
        </r>
        <r>
          <rPr>
            <sz val="9"/>
            <color indexed="81"/>
            <rFont val="Tahoma"/>
            <family val="2"/>
          </rPr>
          <t xml:space="preserve"> distribution, and the normal distribution
</t>
        </r>
      </text>
    </comment>
    <comment ref="B13" authorId="0">
      <text>
        <r>
          <rPr>
            <sz val="9"/>
            <color indexed="81"/>
            <rFont val="Tahoma"/>
            <family val="2"/>
          </rPr>
          <t xml:space="preserve">Click to select whether tails are displayed.  Also click for display of tail area values.
</t>
        </r>
      </text>
    </comment>
    <comment ref="E14" authorId="0">
      <text>
        <r>
          <rPr>
            <sz val="9"/>
            <color indexed="81"/>
            <rFont val="Tahoma"/>
            <family val="2"/>
          </rPr>
          <t xml:space="preserve">No display of tails
</t>
        </r>
      </text>
    </comment>
    <comment ref="E16" authorId="0">
      <text>
        <r>
          <rPr>
            <sz val="9"/>
            <color indexed="81"/>
            <rFont val="Tahoma"/>
            <family val="2"/>
          </rPr>
          <t xml:space="preserve">Display a single tail
</t>
        </r>
      </text>
    </comment>
    <comment ref="G17" authorId="0">
      <text>
        <r>
          <rPr>
            <sz val="9"/>
            <color indexed="81"/>
            <rFont val="Tahoma"/>
            <family val="2"/>
          </rPr>
          <t xml:space="preserve">Black numbers report probabilities, which are areas under the blue or red curve
</t>
        </r>
      </text>
    </comment>
    <comment ref="E18" authorId="0">
      <text>
        <r>
          <rPr>
            <sz val="9"/>
            <color indexed="81"/>
            <rFont val="Tahoma"/>
            <family val="2"/>
          </rPr>
          <t xml:space="preserve">Display two equal-area tails
</t>
        </r>
      </text>
    </comment>
    <comment ref="B20" authorId="0">
      <text>
        <r>
          <rPr>
            <sz val="9"/>
            <color indexed="81"/>
            <rFont val="Tahoma"/>
            <family val="2"/>
          </rPr>
          <t xml:space="preserve">Click for vertical marker lines
</t>
        </r>
      </text>
    </comment>
    <comment ref="S29" authorId="0">
      <text>
        <r>
          <rPr>
            <sz val="9"/>
            <color indexed="81"/>
            <rFont val="Tahoma"/>
            <family val="2"/>
          </rPr>
          <t>Use the large slider below to position the cursor (vertical black line marking boundary of a tail).  Its position on the (</t>
        </r>
        <r>
          <rPr>
            <i/>
            <sz val="9"/>
            <color indexed="81"/>
            <rFont val="Tahoma"/>
            <family val="2"/>
          </rPr>
          <t>z</t>
        </r>
        <r>
          <rPr>
            <sz val="9"/>
            <color indexed="81"/>
            <rFont val="Tahoma"/>
            <family val="2"/>
          </rPr>
          <t xml:space="preserve"> or </t>
        </r>
        <r>
          <rPr>
            <i/>
            <sz val="9"/>
            <color indexed="81"/>
            <rFont val="Tahoma"/>
            <family val="2"/>
          </rPr>
          <t>t</t>
        </r>
        <r>
          <rPr>
            <sz val="9"/>
            <color indexed="81"/>
            <rFont val="Tahoma"/>
            <family val="2"/>
          </rPr>
          <t xml:space="preserve">) axis is shown at right.
</t>
        </r>
      </text>
    </comment>
    <comment ref="J34" authorId="0">
      <text>
        <r>
          <rPr>
            <sz val="9"/>
            <color indexed="81"/>
            <rFont val="Tahoma"/>
            <family val="2"/>
          </rPr>
          <t xml:space="preserve">To find tail areas, and critical values of </t>
        </r>
        <r>
          <rPr>
            <i/>
            <sz val="9"/>
            <color indexed="81"/>
            <rFont val="Tahoma"/>
            <family val="2"/>
          </rPr>
          <t>z</t>
        </r>
        <r>
          <rPr>
            <sz val="9"/>
            <color indexed="81"/>
            <rFont val="Tahoma"/>
            <family val="2"/>
          </rPr>
          <t xml:space="preserve"> and </t>
        </r>
        <r>
          <rPr>
            <i/>
            <sz val="9"/>
            <color indexed="81"/>
            <rFont val="Tahoma"/>
            <family val="2"/>
          </rPr>
          <t>t</t>
        </r>
        <r>
          <rPr>
            <sz val="9"/>
            <color indexed="81"/>
            <rFont val="Tahoma"/>
            <family val="2"/>
          </rPr>
          <t xml:space="preserve">, more accurately, use the values displayed here
</t>
        </r>
      </text>
    </comment>
  </commentList>
</comments>
</file>

<file path=xl/comments5.xml><?xml version="1.0" encoding="utf-8"?>
<comments xmlns="http://schemas.openxmlformats.org/spreadsheetml/2006/main">
  <authors>
    <author>Geoff Cumming</author>
    <author>G.Cumming</author>
  </authors>
  <commentList>
    <comment ref="S5" authorId="0">
      <text>
        <r>
          <rPr>
            <sz val="9"/>
            <color indexed="81"/>
            <rFont val="Tahoma"/>
            <family val="2"/>
          </rPr>
          <t xml:space="preserve">Choose the parameters of the population, and its shape.
</t>
        </r>
      </text>
    </comment>
    <comment ref="AF5" authorId="0">
      <text>
        <r>
          <rPr>
            <sz val="9"/>
            <color indexed="81"/>
            <rFont val="Tahoma"/>
            <family val="2"/>
          </rPr>
          <t>Click below to control many features of what's displayed in the upper and lower figure.</t>
        </r>
        <r>
          <rPr>
            <sz val="9"/>
            <color indexed="81"/>
            <rFont val="Tahoma"/>
            <family val="2"/>
          </rPr>
          <t xml:space="preserve">
</t>
        </r>
      </text>
    </comment>
    <comment ref="X6" authorId="1">
      <text>
        <r>
          <rPr>
            <sz val="9"/>
            <color indexed="81"/>
            <rFont val="Tahoma"/>
            <family val="2"/>
          </rPr>
          <t>Population mean.  Use slider, or type in value.  Min 0, max 100.</t>
        </r>
      </text>
    </comment>
    <comment ref="X8" authorId="1">
      <text>
        <r>
          <rPr>
            <sz val="9"/>
            <color indexed="81"/>
            <rFont val="Tahoma"/>
            <family val="2"/>
          </rPr>
          <t xml:space="preserve">Standard deviation of the population.  Use slider or type in value.  Min 1, max 50.
</t>
        </r>
      </text>
    </comment>
    <comment ref="BX8" authorId="0">
      <text>
        <r>
          <rPr>
            <sz val="9"/>
            <color indexed="81"/>
            <rFont val="Tahoma"/>
            <family val="2"/>
          </rPr>
          <t>Follow Wikipedia for lognormal dist. Y is N(0,sigma^2), and X=EXP(Y) is lognormal.</t>
        </r>
        <r>
          <rPr>
            <sz val="9"/>
            <color indexed="81"/>
            <rFont val="Tahoma"/>
            <family val="2"/>
          </rPr>
          <t xml:space="preserve">
</t>
        </r>
      </text>
    </comment>
    <comment ref="AE9" authorId="0">
      <text>
        <r>
          <rPr>
            <sz val="9"/>
            <color indexed="81"/>
            <rFont val="Tahoma"/>
            <family val="2"/>
          </rPr>
          <t xml:space="preserve">Display verticals to mark the mean, and </t>
        </r>
        <r>
          <rPr>
            <sz val="10"/>
            <color indexed="81"/>
            <rFont val="Symbol"/>
            <family val="1"/>
            <charset val="2"/>
          </rPr>
          <t>s</t>
        </r>
        <r>
          <rPr>
            <sz val="9"/>
            <color indexed="81"/>
            <rFont val="Tahoma"/>
            <family val="2"/>
          </rPr>
          <t xml:space="preserve"> units either side of the mean.  These lines mark </t>
        </r>
        <r>
          <rPr>
            <i/>
            <sz val="9"/>
            <color indexed="81"/>
            <rFont val="Tahoma"/>
            <family val="2"/>
          </rPr>
          <t>z</t>
        </r>
        <r>
          <rPr>
            <sz val="9"/>
            <color indexed="81"/>
            <rFont val="Tahoma"/>
            <family val="2"/>
          </rPr>
          <t xml:space="preserve">=0, </t>
        </r>
        <r>
          <rPr>
            <i/>
            <sz val="9"/>
            <color indexed="81"/>
            <rFont val="Tahoma"/>
            <family val="2"/>
          </rPr>
          <t>z</t>
        </r>
        <r>
          <rPr>
            <sz val="9"/>
            <color indexed="81"/>
            <rFont val="Tahoma"/>
            <family val="2"/>
          </rPr>
          <t xml:space="preserve">=-1, </t>
        </r>
        <r>
          <rPr>
            <i/>
            <sz val="9"/>
            <color indexed="81"/>
            <rFont val="Tahoma"/>
            <family val="2"/>
          </rPr>
          <t>z</t>
        </r>
        <r>
          <rPr>
            <sz val="9"/>
            <color indexed="81"/>
            <rFont val="Tahoma"/>
            <family val="2"/>
          </rPr>
          <t xml:space="preserve">=1, etc.
</t>
        </r>
      </text>
    </comment>
    <comment ref="U10" authorId="0">
      <text>
        <r>
          <rPr>
            <sz val="9"/>
            <color indexed="81"/>
            <rFont val="Tahoma"/>
            <family val="2"/>
          </rPr>
          <t xml:space="preserve">Click to choose the shape of the population distribution: Normal, rectangular, or skewed to the right.
__________________
For the skewed population, the degree of skew is controlled by the spinner at the right. Min = 0.1 (minimal skew), max = 1 (strong skew). The skewed distribution is a lognormal distribution, with the number displayed being the SD of the underlying normal distribution.
</t>
        </r>
      </text>
    </comment>
    <comment ref="X11" authorId="0">
      <text>
        <r>
          <rPr>
            <sz val="9"/>
            <color indexed="81"/>
            <rFont val="Tahoma"/>
            <family val="2"/>
          </rPr>
          <t xml:space="preserve">Use the spinner to set the degree of right skew, when Skew is chosen as the shape of the population distribution. Min 0.1, max 1.
</t>
        </r>
      </text>
    </comment>
    <comment ref="AF11" authorId="0">
      <text>
        <r>
          <rPr>
            <sz val="9"/>
            <color indexed="81"/>
            <rFont val="Tahoma"/>
            <family val="2"/>
          </rPr>
          <t xml:space="preserve">Click to fill under the population curve.  A large number of data circles are placed randomly in the area.  
______________
A new randomisation is made each time 'Fill random' is clicked on.
</t>
        </r>
      </text>
    </comment>
    <comment ref="BY11" authorId="0">
      <text>
        <r>
          <rPr>
            <sz val="9"/>
            <color indexed="81"/>
            <rFont val="Tahoma"/>
            <family val="2"/>
          </rPr>
          <t>1 = normal
2 = rectangular</t>
        </r>
      </text>
    </comment>
    <comment ref="S13" authorId="0">
      <text>
        <r>
          <rPr>
            <sz val="9"/>
            <color indexed="81"/>
            <rFont val="Tahoma"/>
            <family val="2"/>
          </rPr>
          <t xml:space="preserve">Click the three buttons to control sampling.
_________
'Clear' clears all samples.
</t>
        </r>
      </text>
    </comment>
    <comment ref="Y13" authorId="0">
      <text>
        <r>
          <rPr>
            <sz val="9"/>
            <color indexed="81"/>
            <rFont val="Tahoma"/>
            <family val="2"/>
          </rPr>
          <t xml:space="preserve">Click to take another random, independent sample from the population.
</t>
        </r>
      </text>
    </comment>
    <comment ref="AG13" authorId="0">
      <text>
        <r>
          <rPr>
            <sz val="9"/>
            <color indexed="81"/>
            <rFont val="Tahoma"/>
            <family val="2"/>
          </rPr>
          <t xml:space="preserve">Click to start and stop a sequence of samples.
</t>
        </r>
      </text>
    </comment>
    <comment ref="S16" authorId="0">
      <text>
        <r>
          <rPr>
            <sz val="9"/>
            <color indexed="81"/>
            <rFont val="Tahoma"/>
            <family val="2"/>
          </rPr>
          <t xml:space="preserve">Choose sample size, see information about the latest sample, and see the number of samples in the current set of samples
</t>
        </r>
      </text>
    </comment>
    <comment ref="X16" authorId="0">
      <text>
        <r>
          <rPr>
            <sz val="9"/>
            <color indexed="81"/>
            <rFont val="Tahoma"/>
            <family val="2"/>
          </rPr>
          <t>Information about the latest sample</t>
        </r>
        <r>
          <rPr>
            <sz val="9"/>
            <color indexed="81"/>
            <rFont val="Tahoma"/>
            <family val="2"/>
          </rPr>
          <t xml:space="preserve">
</t>
        </r>
      </text>
    </comment>
    <comment ref="AF16" authorId="0">
      <text>
        <r>
          <rPr>
            <sz val="9"/>
            <color indexed="81"/>
            <rFont val="Tahoma"/>
            <family val="2"/>
          </rPr>
          <t>Click to display data points (</t>
        </r>
        <r>
          <rPr>
            <sz val="9"/>
            <color indexed="12"/>
            <rFont val="Tahoma"/>
            <family val="2"/>
          </rPr>
          <t>ooo</t>
        </r>
        <r>
          <rPr>
            <sz val="9"/>
            <color indexed="81"/>
            <rFont val="Tahoma"/>
            <family val="2"/>
          </rPr>
          <t xml:space="preserve">) of the latest sample.
</t>
        </r>
      </text>
    </comment>
    <comment ref="W17" authorId="0">
      <text>
        <r>
          <rPr>
            <sz val="9"/>
            <color indexed="81"/>
            <rFont val="Tahoma"/>
            <family val="2"/>
          </rPr>
          <t xml:space="preserve">of the latest sample
</t>
        </r>
      </text>
    </comment>
    <comment ref="Z17" authorId="0">
      <text>
        <r>
          <rPr>
            <sz val="9"/>
            <color indexed="81"/>
            <rFont val="Tahoma"/>
            <family val="2"/>
          </rPr>
          <t xml:space="preserve">Number of samples in the current set of samples.
__________
A new set is started after 'Clear', or whenever a major parameter (e.g., </t>
        </r>
        <r>
          <rPr>
            <sz val="11"/>
            <color indexed="81"/>
            <rFont val="Symbol"/>
            <family val="1"/>
            <charset val="2"/>
          </rPr>
          <t>m</t>
        </r>
        <r>
          <rPr>
            <sz val="9"/>
            <color indexed="81"/>
            <rFont val="Tahoma"/>
            <family val="2"/>
          </rPr>
          <t xml:space="preserve">, </t>
        </r>
        <r>
          <rPr>
            <sz val="11"/>
            <color indexed="81"/>
            <rFont val="Symbol"/>
            <family val="1"/>
            <charset val="2"/>
          </rPr>
          <t>s</t>
        </r>
        <r>
          <rPr>
            <sz val="9"/>
            <color indexed="81"/>
            <rFont val="Tahoma"/>
            <family val="2"/>
          </rPr>
          <t xml:space="preserve">, </t>
        </r>
        <r>
          <rPr>
            <i/>
            <sz val="9"/>
            <color indexed="81"/>
            <rFont val="Tahoma"/>
            <family val="2"/>
          </rPr>
          <t>N</t>
        </r>
        <r>
          <rPr>
            <sz val="9"/>
            <color indexed="81"/>
            <rFont val="Tahoma"/>
            <family val="2"/>
          </rPr>
          <t xml:space="preserve">), or display setting (e.g., assume </t>
        </r>
        <r>
          <rPr>
            <sz val="11"/>
            <color indexed="81"/>
            <rFont val="Symbol"/>
            <family val="1"/>
            <charset val="2"/>
          </rPr>
          <t>s</t>
        </r>
        <r>
          <rPr>
            <sz val="9"/>
            <color indexed="81"/>
            <rFont val="Tahoma"/>
            <family val="2"/>
          </rPr>
          <t xml:space="preserve"> known) is changed.
</t>
        </r>
      </text>
    </comment>
    <comment ref="BJ17" authorId="0">
      <text>
        <r>
          <rPr>
            <sz val="9"/>
            <color indexed="81"/>
            <rFont val="Tahoma"/>
            <family val="2"/>
          </rPr>
          <t xml:space="preserve">Various screen resolutions, and  zoom factors may require different y and x values for the mean heap to look good.  Adjust so that the mean circles just touch horizontally and vertically.
</t>
        </r>
      </text>
    </comment>
    <comment ref="S18" authorId="1">
      <text>
        <r>
          <rPr>
            <sz val="9"/>
            <color indexed="81"/>
            <rFont val="Tahoma"/>
            <family val="2"/>
          </rPr>
          <t xml:space="preserve">Sample size.  
Min 1, max 100.  Use spinner or type in value.
</t>
        </r>
      </text>
    </comment>
    <comment ref="W18" authorId="0">
      <text>
        <r>
          <rPr>
            <sz val="9"/>
            <color indexed="81"/>
            <rFont val="Tahoma"/>
            <family val="2"/>
          </rPr>
          <t xml:space="preserve">of the latest sample
</t>
        </r>
      </text>
    </comment>
    <comment ref="AG18" authorId="0">
      <text>
        <r>
          <rPr>
            <sz val="9"/>
            <color indexed="81"/>
            <rFont val="Tahoma"/>
            <family val="2"/>
          </rPr>
          <t xml:space="preserve">Display sample means as green dots
</t>
        </r>
      </text>
    </comment>
    <comment ref="BI18" authorId="0">
      <text>
        <r>
          <rPr>
            <sz val="9"/>
            <color indexed="81"/>
            <rFont val="Tahoma"/>
            <family val="2"/>
          </rPr>
          <t xml:space="preserve">Use spinner to adjust vertical spacing of means in the mean heap that are in the same bin.
</t>
        </r>
      </text>
    </comment>
    <comment ref="W19" authorId="0">
      <text>
        <r>
          <rPr>
            <sz val="9"/>
            <color indexed="81"/>
            <rFont val="Tahoma"/>
            <family val="2"/>
          </rPr>
          <t xml:space="preserve">Margin of error (MoE) of the CI around the mean of the latest sample.
_________
The MoE is the length of either arm of the latest CI, so is half the total length of this CI.
</t>
        </r>
      </text>
    </comment>
    <comment ref="AG20" authorId="0">
      <text>
        <r>
          <rPr>
            <sz val="9"/>
            <color indexed="81"/>
            <rFont val="Tahoma"/>
            <family val="2"/>
          </rPr>
          <t>Click to display means as they drop. When mean heap is displayed, unclick here to see just the means in the mean heap.</t>
        </r>
        <r>
          <rPr>
            <sz val="9"/>
            <color indexed="81"/>
            <rFont val="Tahoma"/>
            <family val="2"/>
          </rPr>
          <t xml:space="preserve">
</t>
        </r>
      </text>
    </comment>
    <comment ref="S21" authorId="0">
      <text>
        <r>
          <rPr>
            <sz val="9"/>
            <color indexed="81"/>
            <rFont val="Tahoma"/>
            <family val="2"/>
          </rPr>
          <t>The mean heap is a pile of the sample means in the current set of samples.
___________
Only the most recent 600 means are displayed.</t>
        </r>
      </text>
    </comment>
    <comment ref="AE21" authorId="0">
      <text>
        <r>
          <rPr>
            <sz val="9"/>
            <color indexed="81"/>
            <rFont val="Tahoma"/>
            <family val="2"/>
          </rPr>
          <t xml:space="preserve">Click to show the mean heap, a dot plot of sample means.  
______________
Only the most recent 600 means in the current set of samples are displayed.
</t>
        </r>
      </text>
    </comment>
    <comment ref="BI21" authorId="0">
      <text>
        <r>
          <rPr>
            <sz val="9"/>
            <color indexed="81"/>
            <rFont val="Tahoma"/>
            <family val="2"/>
          </rPr>
          <t xml:space="preserve">Use spinner to adjust bin width in the mean heap.  0=narrow bins (little rounding); 1000=wide bins (course rounding).
</t>
        </r>
      </text>
    </comment>
    <comment ref="X22" authorId="0">
      <text>
        <r>
          <rPr>
            <sz val="9"/>
            <color indexed="81"/>
            <rFont val="Tahoma"/>
            <family val="2"/>
          </rPr>
          <t xml:space="preserve">SE calculated for the means in the mean heap
</t>
        </r>
      </text>
    </comment>
    <comment ref="X23" authorId="0">
      <text>
        <r>
          <rPr>
            <sz val="9"/>
            <color indexed="81"/>
            <rFont val="Tahoma"/>
            <family val="2"/>
          </rPr>
          <t xml:space="preserve">SE for the sampling distribution curve; it equals </t>
        </r>
        <r>
          <rPr>
            <sz val="11"/>
            <color indexed="81"/>
            <rFont val="Symbol"/>
            <family val="1"/>
            <charset val="2"/>
          </rPr>
          <t>s</t>
        </r>
        <r>
          <rPr>
            <sz val="9"/>
            <color indexed="81"/>
            <rFont val="Tahoma"/>
            <family val="2"/>
          </rPr>
          <t xml:space="preserve">/(square root of </t>
        </r>
        <r>
          <rPr>
            <i/>
            <sz val="9"/>
            <color indexed="81"/>
            <rFont val="Tahoma"/>
            <family val="2"/>
          </rPr>
          <t>N</t>
        </r>
        <r>
          <rPr>
            <sz val="9"/>
            <color indexed="81"/>
            <rFont val="Tahoma"/>
            <family val="2"/>
          </rPr>
          <t>).</t>
        </r>
      </text>
    </comment>
    <comment ref="AI23" authorId="0">
      <text>
        <r>
          <rPr>
            <sz val="9"/>
            <color indexed="81"/>
            <rFont val="Tahoma"/>
            <family val="2"/>
          </rPr>
          <t>When the mean heap is displayed:
The sampling distribution curve is the shape of the mean heap expected if we took an infinite number of samples, and the population is normal.  The sampling distribution curve is a normal distribution.  It is scaled vertically to match the number of samples in the current set of samples.
_______________________
When the population is rectangular, the displayed normal sampling distribution curve is usually a good fit to the mean heap for a large number of samples, because of the central limit theorem. For a skewed population the fit is sometimes not so close, especially for small samples and a highly skewed population.</t>
        </r>
      </text>
    </comment>
    <comment ref="Y24" authorId="0">
      <text>
        <r>
          <rPr>
            <sz val="9"/>
            <color indexed="81"/>
            <rFont val="Tahoma"/>
            <family val="2"/>
          </rPr>
          <t xml:space="preserve">Number of means displayed in the mean heap.
</t>
        </r>
      </text>
    </comment>
    <comment ref="AE24" authorId="0">
      <text>
        <r>
          <rPr>
            <sz val="9"/>
            <color indexed="81"/>
            <rFont val="Tahoma"/>
            <family val="2"/>
          </rPr>
          <t xml:space="preserve">When the mean heap is displayed:
Display verticals to mark </t>
        </r>
        <r>
          <rPr>
            <sz val="11"/>
            <color indexed="81"/>
            <rFont val="Symbol"/>
            <family val="1"/>
            <charset val="2"/>
          </rPr>
          <t xml:space="preserve">m </t>
        </r>
        <r>
          <rPr>
            <sz val="9"/>
            <color indexed="81"/>
            <rFont val="Tahoma"/>
            <family val="2"/>
          </rPr>
          <t xml:space="preserve">, and SE units either side of </t>
        </r>
        <r>
          <rPr>
            <sz val="11"/>
            <color indexed="81"/>
            <rFont val="Symbol"/>
            <family val="1"/>
            <charset val="2"/>
          </rPr>
          <t>m</t>
        </r>
        <r>
          <rPr>
            <sz val="9"/>
            <color indexed="81"/>
            <rFont val="Symbol"/>
            <family val="1"/>
            <charset val="2"/>
          </rPr>
          <t>.</t>
        </r>
        <r>
          <rPr>
            <sz val="9"/>
            <color indexed="81"/>
            <rFont val="Tahoma"/>
            <family val="2"/>
          </rPr>
          <t xml:space="preserve">  These lines mark </t>
        </r>
        <r>
          <rPr>
            <i/>
            <sz val="9"/>
            <color indexed="81"/>
            <rFont val="Tahoma"/>
            <family val="2"/>
          </rPr>
          <t>z</t>
        </r>
        <r>
          <rPr>
            <sz val="9"/>
            <color indexed="81"/>
            <rFont val="Tahoma"/>
            <family val="2"/>
          </rPr>
          <t xml:space="preserve">=0, </t>
        </r>
        <r>
          <rPr>
            <i/>
            <sz val="9"/>
            <color indexed="81"/>
            <rFont val="Tahoma"/>
            <family val="2"/>
          </rPr>
          <t>z</t>
        </r>
        <r>
          <rPr>
            <sz val="9"/>
            <color indexed="81"/>
            <rFont val="Tahoma"/>
            <family val="2"/>
          </rPr>
          <t xml:space="preserve">=-1, </t>
        </r>
        <r>
          <rPr>
            <i/>
            <sz val="9"/>
            <color indexed="81"/>
            <rFont val="Tahoma"/>
            <family val="2"/>
          </rPr>
          <t>z</t>
        </r>
        <r>
          <rPr>
            <sz val="9"/>
            <color indexed="81"/>
            <rFont val="Tahoma"/>
            <family val="2"/>
          </rPr>
          <t>=1, etc, for the sampling distribution curve.</t>
        </r>
      </text>
    </comment>
    <comment ref="X26" authorId="0">
      <text>
        <r>
          <rPr>
            <sz val="9"/>
            <color indexed="81"/>
            <rFont val="Tahoma"/>
            <family val="2"/>
          </rPr>
          <t xml:space="preserve">Margin of error (MoE) calculated using </t>
        </r>
        <r>
          <rPr>
            <sz val="11"/>
            <color indexed="81"/>
            <rFont val="Symbol"/>
            <family val="1"/>
            <charset val="2"/>
          </rPr>
          <t>s</t>
        </r>
        <r>
          <rPr>
            <sz val="9"/>
            <color indexed="81"/>
            <rFont val="Tahoma"/>
            <family val="2"/>
          </rPr>
          <t xml:space="preserve">.
</t>
        </r>
        <r>
          <rPr>
            <i/>
            <sz val="9"/>
            <color indexed="81"/>
            <rFont val="Tahoma"/>
            <family val="2"/>
          </rPr>
          <t>C</t>
        </r>
        <r>
          <rPr>
            <sz val="9"/>
            <color indexed="81"/>
            <rFont val="Tahoma"/>
            <family val="2"/>
          </rPr>
          <t xml:space="preserve">% of sample means lie within this MoE of </t>
        </r>
        <r>
          <rPr>
            <sz val="11"/>
            <color indexed="81"/>
            <rFont val="Symbol"/>
            <family val="1"/>
            <charset val="2"/>
          </rPr>
          <t>m</t>
        </r>
        <r>
          <rPr>
            <sz val="9"/>
            <color indexed="81"/>
            <rFont val="Tahoma"/>
            <family val="2"/>
          </rPr>
          <t xml:space="preserve">.
____________
When </t>
        </r>
        <r>
          <rPr>
            <sz val="10"/>
            <color indexed="81"/>
            <rFont val="Symbol"/>
            <family val="1"/>
            <charset val="2"/>
          </rPr>
          <t>s</t>
        </r>
        <r>
          <rPr>
            <sz val="9"/>
            <color indexed="81"/>
            <rFont val="Tahoma"/>
            <family val="2"/>
          </rPr>
          <t xml:space="preserve"> is assumed known, this value is the MoE of every CI.</t>
        </r>
      </text>
    </comment>
    <comment ref="AH26" authorId="0">
      <text>
        <r>
          <rPr>
            <sz val="9"/>
            <color indexed="81"/>
            <rFont val="Tahoma"/>
            <family val="2"/>
          </rPr>
          <t xml:space="preserve">This interval marks the central </t>
        </r>
        <r>
          <rPr>
            <i/>
            <sz val="9"/>
            <color indexed="81"/>
            <rFont val="Tahoma"/>
            <family val="2"/>
          </rPr>
          <t>C</t>
        </r>
        <r>
          <rPr>
            <sz val="9"/>
            <color indexed="81"/>
            <rFont val="Tahoma"/>
            <family val="2"/>
          </rPr>
          <t xml:space="preserve">% area under the sampling distribution curve.  It is marked by a green bar along the X axis, with green verticals to mark its ends.
__________________
When </t>
        </r>
        <r>
          <rPr>
            <sz val="11"/>
            <color indexed="81"/>
            <rFont val="Symbol"/>
            <family val="1"/>
            <charset val="2"/>
          </rPr>
          <t>s</t>
        </r>
        <r>
          <rPr>
            <sz val="9"/>
            <color indexed="81"/>
            <rFont val="Tahoma"/>
            <family val="2"/>
          </rPr>
          <t xml:space="preserve"> is assumed known, this interval gives the width of every CI.</t>
        </r>
      </text>
    </comment>
    <comment ref="S27" authorId="0">
      <text>
        <r>
          <rPr>
            <sz val="9"/>
            <color indexed="81"/>
            <rFont val="Tahoma"/>
            <family val="2"/>
          </rPr>
          <t>CIs can be displayed on every mean in the dance of the means, to give the dance of the confidence intervals</t>
        </r>
      </text>
    </comment>
    <comment ref="U28" authorId="0">
      <text>
        <r>
          <rPr>
            <sz val="9"/>
            <color indexed="81"/>
            <rFont val="Tahoma"/>
            <family val="2"/>
          </rPr>
          <t xml:space="preserve">Click a radio button to state whether or not </t>
        </r>
        <r>
          <rPr>
            <sz val="11"/>
            <color indexed="81"/>
            <rFont val="Symbol"/>
            <family val="1"/>
            <charset val="2"/>
          </rPr>
          <t>s</t>
        </r>
        <r>
          <rPr>
            <sz val="11"/>
            <color indexed="81"/>
            <rFont val="Tahoma"/>
            <family val="2"/>
          </rPr>
          <t xml:space="preserve"> </t>
        </r>
        <r>
          <rPr>
            <sz val="9"/>
            <color indexed="81"/>
            <rFont val="Tahoma"/>
            <family val="2"/>
          </rPr>
          <t xml:space="preserve">is assumed known.
If 'Known', CIs are calculated using </t>
        </r>
        <r>
          <rPr>
            <sz val="10"/>
            <color indexed="81"/>
            <rFont val="Symbol"/>
            <family val="1"/>
            <charset val="2"/>
          </rPr>
          <t>s</t>
        </r>
        <r>
          <rPr>
            <sz val="9"/>
            <color indexed="81"/>
            <rFont val="Tahoma"/>
            <family val="2"/>
          </rPr>
          <t xml:space="preserve"> 
and </t>
        </r>
        <r>
          <rPr>
            <i/>
            <sz val="9"/>
            <color indexed="81"/>
            <rFont val="Tahoma"/>
            <family val="2"/>
          </rPr>
          <t>z</t>
        </r>
        <r>
          <rPr>
            <sz val="9"/>
            <color indexed="81"/>
            <rFont val="Tahoma"/>
            <family val="2"/>
          </rPr>
          <t>, so all samples have the same length CIs.
If 'Unkown',</t>
        </r>
        <r>
          <rPr>
            <i/>
            <sz val="9"/>
            <color indexed="81"/>
            <rFont val="Tahoma"/>
            <family val="2"/>
          </rPr>
          <t xml:space="preserve"> s</t>
        </r>
        <r>
          <rPr>
            <sz val="9"/>
            <color indexed="81"/>
            <rFont val="Tahoma"/>
            <family val="2"/>
          </rPr>
          <t xml:space="preserve"> and </t>
        </r>
        <r>
          <rPr>
            <i/>
            <sz val="9"/>
            <color indexed="81"/>
            <rFont val="Tahoma"/>
            <family val="2"/>
          </rPr>
          <t>t</t>
        </r>
        <r>
          <rPr>
            <sz val="9"/>
            <color indexed="81"/>
            <rFont val="Tahoma"/>
            <family val="2"/>
          </rPr>
          <t xml:space="preserve"> are used, so CI length varies from sample to sample.</t>
        </r>
      </text>
    </comment>
    <comment ref="X28" authorId="0">
      <text>
        <r>
          <rPr>
            <sz val="9"/>
            <color indexed="81"/>
            <rFont val="Tahoma"/>
            <family val="2"/>
          </rPr>
          <t xml:space="preserve">Confidence level (%) for CIs displayed on the sample means.  Use spinner or type in a value.  Min 0, max 99.9
</t>
        </r>
      </text>
    </comment>
    <comment ref="AD28" authorId="0">
      <text>
        <r>
          <rPr>
            <sz val="9"/>
            <color indexed="81"/>
            <rFont val="Tahoma"/>
            <family val="2"/>
          </rPr>
          <t>Display a CI on every mean in the dance of the means, to see the dance of the confidence intervals</t>
        </r>
        <r>
          <rPr>
            <sz val="9"/>
            <color indexed="81"/>
            <rFont val="Tahoma"/>
            <family val="2"/>
          </rPr>
          <t xml:space="preserve">
</t>
        </r>
      </text>
    </comment>
    <comment ref="S31" authorId="0">
      <text>
        <r>
          <rPr>
            <sz val="9"/>
            <color indexed="81"/>
            <rFont val="Tahoma"/>
            <family val="2"/>
          </rPr>
          <t xml:space="preserve">When the mean heap is not displayed:
Explore capture of </t>
        </r>
        <r>
          <rPr>
            <sz val="11"/>
            <color indexed="81"/>
            <rFont val="Symbol"/>
            <family val="1"/>
            <charset val="2"/>
          </rPr>
          <t>m</t>
        </r>
        <r>
          <rPr>
            <sz val="9"/>
            <color indexed="81"/>
            <rFont val="Tahoma"/>
            <family val="2"/>
          </rPr>
          <t xml:space="preserve"> by CIs. Click both checkboxes to mark the population mean </t>
        </r>
        <r>
          <rPr>
            <sz val="11"/>
            <color indexed="81"/>
            <rFont val="Symbol"/>
            <family val="1"/>
            <charset val="2"/>
          </rPr>
          <t>m</t>
        </r>
        <r>
          <rPr>
            <sz val="9"/>
            <color indexed="81"/>
            <rFont val="Tahoma"/>
            <family val="2"/>
          </rPr>
          <t xml:space="preserve">, and see red when a CI does not capture </t>
        </r>
        <r>
          <rPr>
            <sz val="11"/>
            <color indexed="81"/>
            <rFont val="Symbol"/>
            <family val="1"/>
            <charset val="2"/>
          </rPr>
          <t>m</t>
        </r>
        <r>
          <rPr>
            <sz val="9"/>
            <color indexed="81"/>
            <rFont val="Tahoma"/>
            <family val="2"/>
          </rPr>
          <t>.</t>
        </r>
      </text>
    </comment>
    <comment ref="AD31" authorId="0">
      <text>
        <r>
          <rPr>
            <sz val="9"/>
            <color indexed="81"/>
            <rFont val="Tahoma"/>
            <family val="2"/>
          </rPr>
          <t>A vertical line to mark the population mean</t>
        </r>
        <r>
          <rPr>
            <sz val="9"/>
            <color indexed="81"/>
            <rFont val="Tahoma"/>
            <family val="2"/>
          </rPr>
          <t xml:space="preserve">
in the lower figure</t>
        </r>
      </text>
    </comment>
    <comment ref="Y32" authorId="0">
      <text>
        <r>
          <rPr>
            <sz val="9"/>
            <color indexed="81"/>
            <rFont val="Tahoma"/>
            <family val="2"/>
          </rPr>
          <t xml:space="preserve">Number of samples in the current set of samples for which the CI captures </t>
        </r>
        <r>
          <rPr>
            <sz val="11"/>
            <color indexed="81"/>
            <rFont val="Symbol"/>
            <family val="1"/>
            <charset val="2"/>
          </rPr>
          <t>m</t>
        </r>
      </text>
    </comment>
    <comment ref="X33" authorId="0">
      <text>
        <r>
          <rPr>
            <sz val="9"/>
            <color indexed="81"/>
            <rFont val="Tahoma"/>
            <family val="2"/>
          </rPr>
          <t xml:space="preserve">Percent of samples in the current set of samples for which the CI captures </t>
        </r>
        <r>
          <rPr>
            <sz val="11"/>
            <color indexed="81"/>
            <rFont val="Symbol"/>
            <family val="1"/>
            <charset val="2"/>
          </rPr>
          <t>m</t>
        </r>
        <r>
          <rPr>
            <sz val="9"/>
            <color indexed="81"/>
            <rFont val="Tahoma"/>
            <family val="2"/>
          </rPr>
          <t>.  This proportion is expected in the long run to equal % confidence (</t>
        </r>
        <r>
          <rPr>
            <i/>
            <sz val="9"/>
            <color indexed="81"/>
            <rFont val="Tahoma"/>
            <family val="2"/>
          </rPr>
          <t>C</t>
        </r>
        <r>
          <rPr>
            <sz val="9"/>
            <color indexed="81"/>
            <rFont val="Tahoma"/>
            <family val="2"/>
          </rPr>
          <t xml:space="preserve">).  </t>
        </r>
      </text>
    </comment>
    <comment ref="AG33" authorId="0">
      <text>
        <r>
          <rPr>
            <sz val="9"/>
            <color indexed="81"/>
            <rFont val="Tahoma"/>
            <family val="2"/>
          </rPr>
          <t xml:space="preserve">When the mean heap is not displayed:
Click to indicate capture by the CIs of </t>
        </r>
        <r>
          <rPr>
            <sz val="11"/>
            <color indexed="81"/>
            <rFont val="Symbol"/>
            <family val="1"/>
            <charset val="2"/>
          </rPr>
          <t>m</t>
        </r>
        <r>
          <rPr>
            <sz val="9"/>
            <color indexed="81"/>
            <rFont val="Tahoma"/>
            <family val="2"/>
          </rPr>
          <t>.  Red indicates non-capture.</t>
        </r>
      </text>
    </comment>
    <comment ref="S35" authorId="0">
      <text>
        <r>
          <rPr>
            <sz val="9"/>
            <color indexed="81"/>
            <rFont val="Tahoma"/>
            <family val="2"/>
          </rPr>
          <t>When the mean heap is not displayed:
Explore capture by CIs of the next mean, which is the mean just above a CI in the dance. 
_______________
When the checkbox is clicked on, then cases where the next mean falls outside the CI are indicated by a pink diagonal line joining the closer limit of the CI to that next mean just above.</t>
        </r>
      </text>
    </comment>
    <comment ref="Y36" authorId="0">
      <text>
        <r>
          <rPr>
            <sz val="9"/>
            <color indexed="81"/>
            <rFont val="Tahoma"/>
            <family val="2"/>
          </rPr>
          <t>Number of samples in the current set of samples for which the CI captures the next mean, which is the mean just above it in the dance.</t>
        </r>
      </text>
    </comment>
    <comment ref="X37" authorId="0">
      <text>
        <r>
          <rPr>
            <sz val="9"/>
            <color indexed="81"/>
            <rFont val="Tahoma"/>
            <family val="2"/>
          </rPr>
          <t xml:space="preserve">Percent of samples in the current set of samples for which the CI captures the next mean, which is the mean immediately above it in the dance. In the long run, about 83% of CIs are expected to capture the next mean.
__________________
For further information, see:
Cumming, G., &amp; Maillardet, R. (2006). Confidence intervals and replication: Where will the next mean fall? </t>
        </r>
        <r>
          <rPr>
            <i/>
            <sz val="9"/>
            <color indexed="81"/>
            <rFont val="Tahoma"/>
            <family val="2"/>
          </rPr>
          <t>Psychological Methods, 11,</t>
        </r>
        <r>
          <rPr>
            <sz val="9"/>
            <color indexed="81"/>
            <rFont val="Tahoma"/>
            <family val="2"/>
          </rPr>
          <t xml:space="preserve"> 217-227.</t>
        </r>
      </text>
    </comment>
    <comment ref="AF37" authorId="0">
      <text>
        <r>
          <rPr>
            <sz val="9"/>
            <color indexed="81"/>
            <rFont val="Tahoma"/>
            <family val="2"/>
          </rPr>
          <t>When the mean heap is not displayed:
Click to show a pink diagonal line joining the  closer limit of the CI to the next mean, which is the mean just above, in all cases in which the CI does not capture that next mean. 
__________________
In the long run, we expect about 83% of 95% CIs to capture the next mean.</t>
        </r>
      </text>
    </comment>
  </commentList>
</comments>
</file>

<file path=xl/comments6.xml><?xml version="1.0" encoding="utf-8"?>
<comments xmlns="http://schemas.openxmlformats.org/spreadsheetml/2006/main">
  <authors>
    <author>Geoff Cumming</author>
  </authors>
  <commentList>
    <comment ref="D1" authorId="0">
      <text>
        <r>
          <rPr>
            <sz val="9"/>
            <color indexed="81"/>
            <rFont val="Tahoma"/>
            <family val="2"/>
          </rPr>
          <t xml:space="preserve">For the single-group case.  Assumes the underlying population is normally distributed, and the CIs are calculated assuming </t>
        </r>
        <r>
          <rPr>
            <sz val="11"/>
            <color indexed="81"/>
            <rFont val="Symbol"/>
            <family val="1"/>
            <charset val="2"/>
          </rPr>
          <t>s</t>
        </r>
        <r>
          <rPr>
            <sz val="9"/>
            <color indexed="81"/>
            <rFont val="Tahoma"/>
            <family val="2"/>
          </rPr>
          <t xml:space="preserve"> is known.
</t>
        </r>
      </text>
    </comment>
    <comment ref="A7" authorId="0">
      <text>
        <r>
          <rPr>
            <sz val="9"/>
            <color indexed="81"/>
            <rFont val="Tahoma"/>
            <family val="2"/>
          </rPr>
          <t xml:space="preserve">Our sample mean is </t>
        </r>
        <r>
          <rPr>
            <i/>
            <sz val="9"/>
            <color indexed="81"/>
            <rFont val="Tahoma"/>
            <family val="2"/>
          </rPr>
          <t>M</t>
        </r>
      </text>
    </comment>
    <comment ref="D7" authorId="0">
      <text>
        <r>
          <rPr>
            <sz val="9"/>
            <color indexed="81"/>
            <rFont val="Tahoma"/>
            <family val="2"/>
          </rPr>
          <t xml:space="preserve">Use large slider at right to adjust the value of </t>
        </r>
        <r>
          <rPr>
            <i/>
            <sz val="9"/>
            <color indexed="81"/>
            <rFont val="Tahoma"/>
            <family val="2"/>
          </rPr>
          <t>M</t>
        </r>
        <r>
          <rPr>
            <sz val="9"/>
            <color indexed="81"/>
            <rFont val="Tahoma"/>
            <family val="2"/>
          </rPr>
          <t>, our sample mean</t>
        </r>
      </text>
    </comment>
    <comment ref="A11" authorId="0">
      <text>
        <r>
          <rPr>
            <sz val="9"/>
            <color indexed="81"/>
            <rFont val="Tahoma"/>
            <family val="2"/>
          </rPr>
          <t xml:space="preserve">Click to display our </t>
        </r>
        <r>
          <rPr>
            <i/>
            <sz val="10"/>
            <color indexed="81"/>
            <rFont val="Tahoma"/>
            <family val="2"/>
          </rPr>
          <t>p</t>
        </r>
        <r>
          <rPr>
            <sz val="9"/>
            <color indexed="81"/>
            <rFont val="Tahoma"/>
            <family val="2"/>
          </rPr>
          <t xml:space="preserve"> value</t>
        </r>
      </text>
    </comment>
    <comment ref="B11" authorId="0">
      <text>
        <r>
          <rPr>
            <sz val="9"/>
            <color indexed="81"/>
            <rFont val="Tahoma"/>
            <family val="2"/>
          </rPr>
          <t xml:space="preserve">The </t>
        </r>
        <r>
          <rPr>
            <i/>
            <sz val="10"/>
            <color indexed="81"/>
            <rFont val="Tahoma"/>
            <family val="2"/>
          </rPr>
          <t>p</t>
        </r>
        <r>
          <rPr>
            <sz val="9"/>
            <color indexed="81"/>
            <rFont val="Tahoma"/>
            <family val="2"/>
          </rPr>
          <t xml:space="preserve"> value, for our </t>
        </r>
        <r>
          <rPr>
            <i/>
            <sz val="9"/>
            <color indexed="81"/>
            <rFont val="Tahoma"/>
            <family val="2"/>
          </rPr>
          <t>M</t>
        </r>
        <r>
          <rPr>
            <sz val="9"/>
            <color indexed="81"/>
            <rFont val="Tahoma"/>
            <family val="2"/>
          </rPr>
          <t xml:space="preserve">, in relation to the null hypothesis value </t>
        </r>
        <r>
          <rPr>
            <sz val="11"/>
            <color indexed="81"/>
            <rFont val="Symbol"/>
            <family val="1"/>
            <charset val="2"/>
          </rPr>
          <t>m</t>
        </r>
        <r>
          <rPr>
            <vertAlign val="subscript"/>
            <sz val="11"/>
            <color indexed="81"/>
            <rFont val="Tahoma"/>
            <family val="2"/>
          </rPr>
          <t>0</t>
        </r>
        <r>
          <rPr>
            <sz val="9"/>
            <color indexed="81"/>
            <rFont val="Tahoma"/>
            <family val="2"/>
          </rPr>
          <t xml:space="preserve">, marked by the blue line.
_____________
The </t>
        </r>
        <r>
          <rPr>
            <i/>
            <sz val="10"/>
            <color indexed="81"/>
            <rFont val="Tahoma"/>
            <family val="2"/>
          </rPr>
          <t xml:space="preserve">p </t>
        </r>
        <r>
          <rPr>
            <sz val="9"/>
            <color indexed="81"/>
            <rFont val="Tahoma"/>
            <family val="2"/>
          </rPr>
          <t>value is two-tail.</t>
        </r>
        <r>
          <rPr>
            <sz val="9"/>
            <color indexed="81"/>
            <rFont val="Tahoma"/>
            <family val="2"/>
          </rPr>
          <t xml:space="preserve">
</t>
        </r>
      </text>
    </comment>
    <comment ref="F13" authorId="0">
      <text>
        <r>
          <rPr>
            <sz val="9"/>
            <color indexed="81"/>
            <rFont val="Tahoma"/>
            <family val="2"/>
          </rPr>
          <t xml:space="preserve">Click to display the </t>
        </r>
        <r>
          <rPr>
            <i/>
            <sz val="10"/>
            <color indexed="81"/>
            <rFont val="Tahoma"/>
            <family val="2"/>
          </rPr>
          <t>p</t>
        </r>
        <r>
          <rPr>
            <sz val="9"/>
            <color indexed="81"/>
            <rFont val="Tahoma"/>
            <family val="2"/>
          </rPr>
          <t xml:space="preserve"> value for this positioning of</t>
        </r>
        <r>
          <rPr>
            <i/>
            <sz val="9"/>
            <color indexed="81"/>
            <rFont val="Tahoma"/>
            <family val="2"/>
          </rPr>
          <t xml:space="preserve"> M</t>
        </r>
        <r>
          <rPr>
            <sz val="9"/>
            <color indexed="81"/>
            <rFont val="Tahoma"/>
            <family val="2"/>
          </rPr>
          <t xml:space="preserve"> and the CI in relation to the null hypothesis value.
</t>
        </r>
      </text>
    </comment>
    <comment ref="A16" authorId="0">
      <text>
        <r>
          <rPr>
            <sz val="9"/>
            <color indexed="81"/>
            <rFont val="Tahoma"/>
            <family val="2"/>
          </rPr>
          <t xml:space="preserve">Click to display hints about the relation between the position of the 95% CI, and the </t>
        </r>
        <r>
          <rPr>
            <i/>
            <sz val="10"/>
            <color indexed="81"/>
            <rFont val="Tahoma"/>
            <family val="2"/>
          </rPr>
          <t>p</t>
        </r>
        <r>
          <rPr>
            <sz val="9"/>
            <color indexed="81"/>
            <rFont val="Tahoma"/>
            <family val="2"/>
          </rPr>
          <t xml:space="preserve"> value</t>
        </r>
      </text>
    </comment>
    <comment ref="E18" authorId="0">
      <text>
        <r>
          <rPr>
            <sz val="9"/>
            <color indexed="81"/>
            <rFont val="Tahoma"/>
            <family val="2"/>
          </rPr>
          <t xml:space="preserve">Click to display short markers for benchmark </t>
        </r>
        <r>
          <rPr>
            <i/>
            <sz val="10"/>
            <color indexed="81"/>
            <rFont val="Tahoma"/>
            <family val="2"/>
          </rPr>
          <t>p</t>
        </r>
        <r>
          <rPr>
            <sz val="9"/>
            <color indexed="81"/>
            <rFont val="Tahoma"/>
            <family val="2"/>
          </rPr>
          <t xml:space="preserve"> values, on 95% CI</t>
        </r>
        <r>
          <rPr>
            <sz val="9"/>
            <color indexed="81"/>
            <rFont val="Tahoma"/>
            <family val="2"/>
          </rPr>
          <t xml:space="preserve">
</t>
        </r>
      </text>
    </comment>
    <comment ref="E20" authorId="0">
      <text>
        <r>
          <rPr>
            <sz val="9"/>
            <color indexed="81"/>
            <rFont val="Tahoma"/>
            <family val="2"/>
          </rPr>
          <t xml:space="preserve">Click to display three CIs with different values of </t>
        </r>
        <r>
          <rPr>
            <i/>
            <sz val="9"/>
            <color indexed="81"/>
            <rFont val="Tahoma"/>
            <family val="2"/>
          </rPr>
          <t>C</t>
        </r>
        <r>
          <rPr>
            <sz val="9"/>
            <color indexed="81"/>
            <rFont val="Tahoma"/>
            <family val="2"/>
          </rPr>
          <t>, the level of confidence</t>
        </r>
      </text>
    </comment>
    <comment ref="A23" authorId="0">
      <text>
        <r>
          <rPr>
            <sz val="9"/>
            <color indexed="81"/>
            <rFont val="Tahoma"/>
            <family val="2"/>
          </rPr>
          <t xml:space="preserve">Click to display a red CI, with </t>
        </r>
        <r>
          <rPr>
            <i/>
            <sz val="9"/>
            <color indexed="81"/>
            <rFont val="Tahoma"/>
            <family val="2"/>
          </rPr>
          <t>C</t>
        </r>
        <r>
          <rPr>
            <sz val="9"/>
            <color indexed="81"/>
            <rFont val="Tahoma"/>
            <family val="2"/>
          </rPr>
          <t xml:space="preserve"> set by spinner below at right
</t>
        </r>
      </text>
    </comment>
    <comment ref="F25" authorId="0">
      <text>
        <r>
          <rPr>
            <sz val="9"/>
            <color indexed="81"/>
            <rFont val="Tahoma"/>
            <family val="2"/>
          </rPr>
          <t xml:space="preserve">Click to display a red CI, with </t>
        </r>
        <r>
          <rPr>
            <i/>
            <sz val="9"/>
            <color indexed="81"/>
            <rFont val="Tahoma"/>
            <family val="2"/>
          </rPr>
          <t>C</t>
        </r>
        <r>
          <rPr>
            <sz val="9"/>
            <color indexed="81"/>
            <rFont val="Tahoma"/>
            <family val="2"/>
          </rPr>
          <t xml:space="preserve"> set by spinner below at right
</t>
        </r>
      </text>
    </comment>
    <comment ref="F27" authorId="0">
      <text>
        <r>
          <rPr>
            <sz val="9"/>
            <color indexed="81"/>
            <rFont val="Tahoma"/>
            <family val="2"/>
          </rPr>
          <t xml:space="preserve">Use the spinner to set </t>
        </r>
        <r>
          <rPr>
            <i/>
            <sz val="9"/>
            <color indexed="81"/>
            <rFont val="Tahoma"/>
            <family val="2"/>
          </rPr>
          <t>C</t>
        </r>
        <r>
          <rPr>
            <sz val="9"/>
            <color indexed="81"/>
            <rFont val="Tahoma"/>
            <family val="2"/>
          </rPr>
          <t xml:space="preserve">, the level of confidence of the red adjustable CI
</t>
        </r>
      </text>
    </comment>
    <comment ref="G27" authorId="0">
      <text>
        <r>
          <rPr>
            <sz val="9"/>
            <color indexed="81"/>
            <rFont val="Tahoma"/>
            <family val="2"/>
          </rPr>
          <t>Min 0, max 99.9</t>
        </r>
        <r>
          <rPr>
            <sz val="9"/>
            <color indexed="81"/>
            <rFont val="Tahoma"/>
            <family val="2"/>
          </rPr>
          <t xml:space="preserve">
</t>
        </r>
      </text>
    </comment>
  </commentList>
</comments>
</file>

<file path=xl/comments7.xml><?xml version="1.0" encoding="utf-8"?>
<comments xmlns="http://schemas.openxmlformats.org/spreadsheetml/2006/main">
  <authors>
    <author>Geoff Cumming</author>
  </authors>
  <commentList>
    <comment ref="Q2" authorId="0">
      <text>
        <r>
          <rPr>
            <sz val="9"/>
            <color indexed="81"/>
            <rFont val="Tahoma"/>
            <family val="2"/>
          </rPr>
          <t xml:space="preserve">Click to clear your data
</t>
        </r>
      </text>
    </comment>
    <comment ref="BI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Q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Y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G5" authorId="0">
      <text>
        <r>
          <rPr>
            <sz val="9"/>
            <color indexed="81"/>
            <rFont val="Tahoma"/>
            <family val="2"/>
          </rPr>
          <t>Type a short name for the dataset if you wish</t>
        </r>
        <r>
          <rPr>
            <sz val="9"/>
            <color indexed="81"/>
            <rFont val="Tahoma"/>
            <family val="2"/>
          </rPr>
          <t xml:space="preserve">
</t>
        </r>
      </text>
    </comment>
    <comment ref="L5" authorId="0">
      <text>
        <r>
          <rPr>
            <sz val="9"/>
            <color indexed="81"/>
            <rFont val="Tahoma"/>
            <family val="2"/>
          </rPr>
          <t xml:space="preserve">Set basic features of the display
</t>
        </r>
      </text>
    </comment>
    <comment ref="BK5" authorId="0">
      <text>
        <r>
          <rPr>
            <sz val="9"/>
            <color indexed="81"/>
            <rFont val="Tahoma"/>
            <family val="2"/>
          </rPr>
          <t>Type a short name for the dataset if you wish</t>
        </r>
        <r>
          <rPr>
            <sz val="9"/>
            <color indexed="81"/>
            <rFont val="Tahoma"/>
            <family val="2"/>
          </rPr>
          <t xml:space="preserve">
</t>
        </r>
      </text>
    </comment>
    <comment ref="BS5" authorId="0">
      <text>
        <r>
          <rPr>
            <sz val="9"/>
            <color indexed="81"/>
            <rFont val="Tahoma"/>
            <family val="2"/>
          </rPr>
          <t>Type a short name for the dataset if you wish</t>
        </r>
        <r>
          <rPr>
            <sz val="9"/>
            <color indexed="81"/>
            <rFont val="Tahoma"/>
            <family val="2"/>
          </rPr>
          <t xml:space="preserve">
</t>
        </r>
      </text>
    </comment>
    <comment ref="CA5" authorId="0">
      <text>
        <r>
          <rPr>
            <sz val="9"/>
            <color indexed="81"/>
            <rFont val="Tahoma"/>
            <family val="2"/>
          </rPr>
          <t>Type a short name for the dataset if you wish</t>
        </r>
        <r>
          <rPr>
            <sz val="9"/>
            <color indexed="81"/>
            <rFont val="Tahoma"/>
            <family val="2"/>
          </rPr>
          <t xml:space="preserve">
</t>
        </r>
      </text>
    </comment>
    <comment ref="E6" authorId="0">
      <text>
        <r>
          <rPr>
            <sz val="9"/>
            <color indexed="81"/>
            <rFont val="Tahoma"/>
            <family val="2"/>
          </rPr>
          <t xml:space="preserve">At right, type name for dataset, units, and a label for each group
</t>
        </r>
      </text>
    </comment>
    <comment ref="F6" authorId="0">
      <text>
        <r>
          <rPr>
            <sz val="9"/>
            <color indexed="81"/>
            <rFont val="Tahoma"/>
            <family val="2"/>
          </rPr>
          <t xml:space="preserve">Type units at right
</t>
        </r>
      </text>
    </comment>
    <comment ref="I6" authorId="0">
      <text>
        <r>
          <rPr>
            <sz val="9"/>
            <color indexed="81"/>
            <rFont val="Tahoma"/>
            <family val="2"/>
          </rPr>
          <t xml:space="preserve">The original units of measurement, e.g., cm, $
</t>
        </r>
      </text>
    </comment>
    <comment ref="O6" authorId="0">
      <text>
        <r>
          <rPr>
            <sz val="9"/>
            <color indexed="81"/>
            <rFont val="Tahoma"/>
            <family val="2"/>
          </rPr>
          <t xml:space="preserve">Display data points as small blue circles
____________
Only the first 100 points in each sample are displayed
</t>
        </r>
      </text>
    </comment>
    <comment ref="S6" authorId="0">
      <text>
        <r>
          <rPr>
            <sz val="9"/>
            <color indexed="81"/>
            <rFont val="Tahoma"/>
            <family val="2"/>
          </rPr>
          <t xml:space="preserve">Offset points horizontally so all are visible
____________
To adjust the appearance of offset points, scroll right and adjust x and y at </t>
        </r>
        <r>
          <rPr>
            <b/>
            <sz val="9"/>
            <color indexed="10"/>
            <rFont val="Tahoma"/>
            <family val="2"/>
          </rPr>
          <t>13</t>
        </r>
      </text>
    </comment>
    <comment ref="BI6" authorId="0">
      <text>
        <r>
          <rPr>
            <sz val="9"/>
            <color indexed="81"/>
            <rFont val="Tahoma"/>
            <family val="2"/>
          </rPr>
          <t xml:space="preserve">At right, type name for dataset, units, and a label for each group
</t>
        </r>
      </text>
    </comment>
    <comment ref="BJ6" authorId="0">
      <text>
        <r>
          <rPr>
            <sz val="9"/>
            <color indexed="81"/>
            <rFont val="Tahoma"/>
            <family val="2"/>
          </rPr>
          <t xml:space="preserve">Type units at right
</t>
        </r>
      </text>
    </comment>
    <comment ref="BM6" authorId="0">
      <text>
        <r>
          <rPr>
            <sz val="9"/>
            <color indexed="81"/>
            <rFont val="Tahoma"/>
            <family val="2"/>
          </rPr>
          <t xml:space="preserve">The original units of measurement, e.g., cm, $
</t>
        </r>
      </text>
    </comment>
    <comment ref="BQ6" authorId="0">
      <text>
        <r>
          <rPr>
            <sz val="9"/>
            <color indexed="81"/>
            <rFont val="Tahoma"/>
            <family val="2"/>
          </rPr>
          <t xml:space="preserve">At right, type name for dataset, units, and a label for each group
</t>
        </r>
      </text>
    </comment>
    <comment ref="BR6" authorId="0">
      <text>
        <r>
          <rPr>
            <sz val="9"/>
            <color indexed="81"/>
            <rFont val="Tahoma"/>
            <family val="2"/>
          </rPr>
          <t xml:space="preserve">Type units at right
</t>
        </r>
      </text>
    </comment>
    <comment ref="BU6" authorId="0">
      <text>
        <r>
          <rPr>
            <sz val="9"/>
            <color indexed="81"/>
            <rFont val="Tahoma"/>
            <family val="2"/>
          </rPr>
          <t xml:space="preserve">The original units of measurement, e.g., cm, $
</t>
        </r>
      </text>
    </comment>
    <comment ref="BY6" authorId="0">
      <text>
        <r>
          <rPr>
            <sz val="9"/>
            <color indexed="81"/>
            <rFont val="Tahoma"/>
            <family val="2"/>
          </rPr>
          <t xml:space="preserve">At right, type name for dataset, units, and a label for each group
</t>
        </r>
      </text>
    </comment>
    <comment ref="BZ6" authorId="0">
      <text>
        <r>
          <rPr>
            <sz val="9"/>
            <color indexed="81"/>
            <rFont val="Tahoma"/>
            <family val="2"/>
          </rPr>
          <t xml:space="preserve">Type units at right
</t>
        </r>
      </text>
    </comment>
    <comment ref="CC6" authorId="0">
      <text>
        <r>
          <rPr>
            <sz val="9"/>
            <color indexed="81"/>
            <rFont val="Tahoma"/>
            <family val="2"/>
          </rPr>
          <t xml:space="preserve">The original units of measurement, e.g., cm, $
</t>
        </r>
      </text>
    </comment>
    <comment ref="G8" authorId="0">
      <text>
        <r>
          <rPr>
            <sz val="9"/>
            <color indexed="81"/>
            <rFont val="Tahoma"/>
            <family val="2"/>
          </rPr>
          <t>Type a short label for Group 1, to appear at bottom of the figure
______________
Should be at least 3 characters long</t>
        </r>
      </text>
    </comment>
    <comment ref="J8" authorId="0">
      <text>
        <r>
          <rPr>
            <sz val="9"/>
            <color indexed="81"/>
            <rFont val="Tahoma"/>
            <family val="2"/>
          </rPr>
          <t xml:space="preserve">Type a short label for Group 2, to appear at bottom of the figure
</t>
        </r>
      </text>
    </comment>
    <comment ref="L8" authorId="0">
      <text>
        <r>
          <rPr>
            <sz val="9"/>
            <color indexed="81"/>
            <rFont val="Tahoma"/>
            <family val="2"/>
          </rPr>
          <t xml:space="preserve">Choose CI features to display
</t>
        </r>
      </text>
    </comment>
    <comment ref="AQ8" authorId="0">
      <text>
        <r>
          <rPr>
            <sz val="9"/>
            <color indexed="81"/>
            <rFont val="Tahoma"/>
            <family val="2"/>
          </rPr>
          <t xml:space="preserve">Adjust the vertical and horizontal spacing that governs how data points are displayed when 'Offset points' is selected near </t>
        </r>
        <r>
          <rPr>
            <b/>
            <sz val="9"/>
            <color indexed="10"/>
            <rFont val="Tahoma"/>
            <family val="2"/>
          </rPr>
          <t>4</t>
        </r>
        <r>
          <rPr>
            <sz val="9"/>
            <color indexed="81"/>
            <rFont val="Tahoma"/>
            <family val="2"/>
          </rPr>
          <t xml:space="preserve">
</t>
        </r>
      </text>
    </comment>
    <comment ref="BK8" authorId="0">
      <text>
        <r>
          <rPr>
            <sz val="9"/>
            <color indexed="81"/>
            <rFont val="Tahoma"/>
            <family val="2"/>
          </rPr>
          <t xml:space="preserve">Type a short label for Group 1, to appear at bottom of the figure
</t>
        </r>
      </text>
    </comment>
    <comment ref="BN8" authorId="0">
      <text>
        <r>
          <rPr>
            <sz val="9"/>
            <color indexed="81"/>
            <rFont val="Tahoma"/>
            <family val="2"/>
          </rPr>
          <t xml:space="preserve">Type a short label for Group 2, to appear at bottom of the figure
</t>
        </r>
      </text>
    </comment>
    <comment ref="BS8" authorId="0">
      <text>
        <r>
          <rPr>
            <sz val="9"/>
            <color indexed="81"/>
            <rFont val="Tahoma"/>
            <family val="2"/>
          </rPr>
          <t xml:space="preserve">Type a short label for Group 1, to appear at bottom of the figure
</t>
        </r>
      </text>
    </comment>
    <comment ref="BV8" authorId="0">
      <text>
        <r>
          <rPr>
            <sz val="9"/>
            <color indexed="81"/>
            <rFont val="Tahoma"/>
            <family val="2"/>
          </rPr>
          <t xml:space="preserve">Type a short label for Group 2, to appear at bottom of the figure
</t>
        </r>
      </text>
    </comment>
    <comment ref="CA8" authorId="0">
      <text>
        <r>
          <rPr>
            <sz val="9"/>
            <color indexed="81"/>
            <rFont val="Tahoma"/>
            <family val="2"/>
          </rPr>
          <t xml:space="preserve">Type a short label for Group 1, to appear at bottom of the figure
</t>
        </r>
      </text>
    </comment>
    <comment ref="CD8" authorId="0">
      <text>
        <r>
          <rPr>
            <sz val="9"/>
            <color indexed="81"/>
            <rFont val="Tahoma"/>
            <family val="2"/>
          </rPr>
          <t xml:space="preserve">Type a short label for Group 2, to appear at bottom of the figure
</t>
        </r>
      </text>
    </comment>
    <comment ref="E9" authorId="0">
      <text>
        <r>
          <rPr>
            <sz val="9"/>
            <color indexed="81"/>
            <rFont val="Tahoma"/>
            <family val="2"/>
          </rPr>
          <t>Type in your two groups of data points.  Press Enter after each value.  Max 1000 points per set.  
(To clear all data, click at</t>
        </r>
        <r>
          <rPr>
            <b/>
            <sz val="9"/>
            <color indexed="10"/>
            <rFont val="Tahoma"/>
            <family val="2"/>
          </rPr>
          <t xml:space="preserve"> </t>
        </r>
        <r>
          <rPr>
            <b/>
            <sz val="9"/>
            <color indexed="10"/>
            <rFont val="Arial"/>
            <family val="2"/>
          </rPr>
          <t>3</t>
        </r>
        <r>
          <rPr>
            <sz val="9"/>
            <color indexed="81"/>
            <rFont val="Tahoma"/>
            <family val="2"/>
          </rPr>
          <t xml:space="preserve">)
You can paste data from the clipboard, one group at a time, by clicking to select the top cell, then using Paste Special/Values.
</t>
        </r>
      </text>
    </comment>
    <comment ref="P9" authorId="0">
      <text>
        <r>
          <rPr>
            <sz val="9"/>
            <color indexed="81"/>
            <rFont val="Tahoma"/>
            <family val="2"/>
          </rPr>
          <t xml:space="preserve">Confidence level (%) for CIs.  Use the spinner or type in a value.  
Min 0, max 99.9
</t>
        </r>
      </text>
    </comment>
    <comment ref="BI9" authorId="0">
      <text>
        <r>
          <rPr>
            <sz val="9"/>
            <color indexed="81"/>
            <rFont val="Tahoma"/>
            <family val="2"/>
          </rPr>
          <t xml:space="preserve">Type in your two groups of data points.  Press Enter after each value.  Max 1000 points per set.  
</t>
        </r>
        <r>
          <rPr>
            <sz val="9"/>
            <color indexed="81"/>
            <rFont val="Tahoma"/>
            <family val="2"/>
          </rPr>
          <t xml:space="preserve">You can paste data from the clipboard, one group at a time, by clicking to select the top cell, then using Paste Special/Values.
</t>
        </r>
      </text>
    </comment>
    <comment ref="BQ9" authorId="0">
      <text>
        <r>
          <rPr>
            <sz val="9"/>
            <color indexed="81"/>
            <rFont val="Tahoma"/>
            <family val="2"/>
          </rPr>
          <t xml:space="preserve">Type in your two groups of data points.  Press Enter after each value.  Max 1000 points per set.  
</t>
        </r>
        <r>
          <rPr>
            <sz val="9"/>
            <color indexed="81"/>
            <rFont val="Tahoma"/>
            <family val="2"/>
          </rPr>
          <t xml:space="preserve">You can paste data from the clipboard, one group at a time, by clicking to select the top cell, then using Paste Special/Values.
</t>
        </r>
      </text>
    </comment>
    <comment ref="BY9" authorId="0">
      <text>
        <r>
          <rPr>
            <sz val="9"/>
            <color indexed="81"/>
            <rFont val="Tahoma"/>
            <family val="2"/>
          </rPr>
          <t xml:space="preserve">Type in your two groups of data points.  Press Enter after each value.  Max 1000 points per set.  
</t>
        </r>
        <r>
          <rPr>
            <sz val="9"/>
            <color indexed="81"/>
            <rFont val="Tahoma"/>
            <family val="2"/>
          </rPr>
          <t xml:space="preserve">You can paste data from the clipboard, one group at a time, by clicking to select the top cell, then using Paste Special/Values.
</t>
        </r>
      </text>
    </comment>
    <comment ref="P10" authorId="0">
      <text>
        <r>
          <rPr>
            <sz val="9"/>
            <color indexed="81"/>
            <rFont val="Tahoma"/>
            <family val="2"/>
          </rPr>
          <t xml:space="preserve">Display grey horizontal lines to mark overlap of CIs
</t>
        </r>
      </text>
    </comment>
    <comment ref="AS10" authorId="0">
      <text>
        <r>
          <rPr>
            <sz val="9"/>
            <color indexed="81"/>
            <rFont val="Tahoma"/>
            <family val="2"/>
          </rPr>
          <t>Use spinner, or type in a value, to adjust the vertical spacing of the offset points.
___________
It's usually best to aim for points just touching those above and below.</t>
        </r>
      </text>
    </comment>
    <comment ref="L12" authorId="0">
      <text>
        <r>
          <rPr>
            <sz val="9"/>
            <color indexed="81"/>
            <rFont val="Tahoma"/>
            <family val="2"/>
          </rPr>
          <t xml:space="preserve">Descriptive statistics for your two groups
</t>
        </r>
      </text>
    </comment>
    <comment ref="AS13" authorId="0">
      <text>
        <r>
          <rPr>
            <sz val="9"/>
            <color indexed="81"/>
            <rFont val="Tahoma"/>
            <family val="2"/>
          </rPr>
          <t xml:space="preserve">Use spinner, or type in a value, to adjust the horizontal spacing of the offset points.
___________
It's usually best to aim for points just touching, or overlapping a little with those to left and right. </t>
        </r>
      </text>
    </comment>
    <comment ref="O14" authorId="0">
      <text>
        <r>
          <rPr>
            <sz val="9"/>
            <color indexed="81"/>
            <rFont val="Tahoma"/>
            <family val="2"/>
          </rPr>
          <t xml:space="preserve">Type in this label at </t>
        </r>
        <r>
          <rPr>
            <b/>
            <sz val="9"/>
            <color indexed="10"/>
            <rFont val="Tahoma"/>
            <family val="2"/>
          </rPr>
          <t>1</t>
        </r>
        <r>
          <rPr>
            <sz val="9"/>
            <color indexed="81"/>
            <rFont val="Tahoma"/>
            <family val="2"/>
          </rPr>
          <t xml:space="preserve">
</t>
        </r>
      </text>
    </comment>
    <comment ref="Q14" authorId="0">
      <text>
        <r>
          <rPr>
            <sz val="9"/>
            <color indexed="81"/>
            <rFont val="Tahoma"/>
            <family val="2"/>
          </rPr>
          <t xml:space="preserve">Type in this label at </t>
        </r>
        <r>
          <rPr>
            <b/>
            <sz val="9"/>
            <color indexed="10"/>
            <rFont val="Tahoma"/>
            <family val="2"/>
          </rPr>
          <t>1</t>
        </r>
        <r>
          <rPr>
            <sz val="9"/>
            <color indexed="81"/>
            <rFont val="Tahoma"/>
            <family val="2"/>
          </rPr>
          <t xml:space="preserve">
</t>
        </r>
      </text>
    </comment>
    <comment ref="N15" authorId="0">
      <text>
        <r>
          <rPr>
            <sz val="9"/>
            <color indexed="81"/>
            <rFont val="Tahoma"/>
            <family val="2"/>
          </rPr>
          <t xml:space="preserve">Number of data points, Group 1
</t>
        </r>
      </text>
    </comment>
    <comment ref="P15" authorId="0">
      <text>
        <r>
          <rPr>
            <sz val="9"/>
            <color indexed="81"/>
            <rFont val="Tahoma"/>
            <family val="2"/>
          </rPr>
          <t xml:space="preserve">Number of data points, Group 2
</t>
        </r>
      </text>
    </comment>
    <comment ref="N16" authorId="0">
      <text>
        <r>
          <rPr>
            <sz val="9"/>
            <color indexed="81"/>
            <rFont val="Tahoma"/>
            <family val="2"/>
          </rPr>
          <t xml:space="preserve">Sample mean, Group 1
</t>
        </r>
      </text>
    </comment>
    <comment ref="P16" authorId="0">
      <text>
        <r>
          <rPr>
            <sz val="9"/>
            <color indexed="81"/>
            <rFont val="Tahoma"/>
            <family val="2"/>
          </rPr>
          <t xml:space="preserve">Sample mean, Group 2
</t>
        </r>
      </text>
    </comment>
    <comment ref="N17" authorId="0">
      <text>
        <r>
          <rPr>
            <sz val="9"/>
            <color indexed="81"/>
            <rFont val="Tahoma"/>
            <family val="2"/>
          </rPr>
          <t xml:space="preserve">Sample standard deviation, Group 1
</t>
        </r>
      </text>
    </comment>
    <comment ref="P17" authorId="0">
      <text>
        <r>
          <rPr>
            <sz val="9"/>
            <color indexed="81"/>
            <rFont val="Tahoma"/>
            <family val="2"/>
          </rPr>
          <t xml:space="preserve">Sample standard deviation, Group 2
</t>
        </r>
      </text>
    </comment>
    <comment ref="L18" authorId="0">
      <text>
        <r>
          <rPr>
            <sz val="9"/>
            <color indexed="81"/>
            <rFont val="Tahoma"/>
            <family val="2"/>
          </rPr>
          <t>Information about the CIs on the two means, and initial information for comparing the two groups.</t>
        </r>
      </text>
    </comment>
    <comment ref="N19" authorId="0">
      <text>
        <r>
          <rPr>
            <sz val="9"/>
            <color indexed="81"/>
            <rFont val="Tahoma"/>
            <family val="2"/>
          </rPr>
          <t>Margin of error (</t>
        </r>
        <r>
          <rPr>
            <i/>
            <sz val="9"/>
            <color indexed="81"/>
            <rFont val="Tahoma"/>
            <family val="2"/>
          </rPr>
          <t>MoE</t>
        </r>
        <r>
          <rPr>
            <sz val="9"/>
            <color indexed="81"/>
            <rFont val="Tahoma"/>
            <family val="2"/>
          </rPr>
          <t xml:space="preserve">) of the CI for the mean of the first population, calculated using the current Group 1 data.
</t>
        </r>
      </text>
    </comment>
    <comment ref="P19" authorId="0">
      <text>
        <r>
          <rPr>
            <sz val="9"/>
            <color indexed="81"/>
            <rFont val="Tahoma"/>
            <family val="2"/>
          </rPr>
          <t>Margin of error (</t>
        </r>
        <r>
          <rPr>
            <i/>
            <sz val="9"/>
            <color indexed="81"/>
            <rFont val="Tahoma"/>
            <family val="2"/>
          </rPr>
          <t>MoE</t>
        </r>
        <r>
          <rPr>
            <sz val="9"/>
            <color indexed="81"/>
            <rFont val="Tahoma"/>
            <family val="2"/>
          </rPr>
          <t xml:space="preserve">) of the CI for the mean of the second population, calculated using the current Group 2 data.
</t>
        </r>
      </text>
    </comment>
    <comment ref="N20" authorId="0">
      <text>
        <r>
          <rPr>
            <sz val="9"/>
            <color indexed="81"/>
            <rFont val="Tahoma"/>
            <family val="2"/>
          </rPr>
          <t xml:space="preserve">CI lower limit
</t>
        </r>
      </text>
    </comment>
    <comment ref="P20" authorId="0">
      <text>
        <r>
          <rPr>
            <sz val="9"/>
            <color indexed="81"/>
            <rFont val="Tahoma"/>
            <family val="2"/>
          </rPr>
          <t xml:space="preserve">CI lower limit
</t>
        </r>
      </text>
    </comment>
    <comment ref="N21" authorId="0">
      <text>
        <r>
          <rPr>
            <sz val="9"/>
            <color indexed="81"/>
            <rFont val="Tahoma"/>
            <family val="2"/>
          </rPr>
          <t xml:space="preserve">CI upper limit
</t>
        </r>
      </text>
    </comment>
    <comment ref="P21" authorId="0">
      <text>
        <r>
          <rPr>
            <sz val="9"/>
            <color indexed="81"/>
            <rFont val="Tahoma"/>
            <family val="2"/>
          </rPr>
          <t xml:space="preserve">CI upper limit
</t>
        </r>
      </text>
    </comment>
    <comment ref="O22" authorId="0">
      <text>
        <r>
          <rPr>
            <sz val="9"/>
            <color indexed="81"/>
            <rFont val="Tahoma"/>
            <family val="2"/>
          </rPr>
          <t xml:space="preserve">Mean </t>
        </r>
        <r>
          <rPr>
            <i/>
            <sz val="9"/>
            <color indexed="81"/>
            <rFont val="Tahoma"/>
            <family val="2"/>
          </rPr>
          <t>MoE</t>
        </r>
        <r>
          <rPr>
            <sz val="9"/>
            <color indexed="81"/>
            <rFont val="Tahoma"/>
            <family val="2"/>
          </rPr>
          <t xml:space="preserve">
</t>
        </r>
      </text>
    </comment>
    <comment ref="O23" authorId="0">
      <text>
        <r>
          <rPr>
            <sz val="9"/>
            <color indexed="81"/>
            <rFont val="Tahoma"/>
            <family val="2"/>
          </rPr>
          <t xml:space="preserve">Overlap, or gap, in units of mean </t>
        </r>
        <r>
          <rPr>
            <i/>
            <sz val="9"/>
            <color indexed="81"/>
            <rFont val="Tahoma"/>
            <family val="2"/>
          </rPr>
          <t>MoE</t>
        </r>
        <r>
          <rPr>
            <sz val="9"/>
            <color indexed="81"/>
            <rFont val="Tahoma"/>
            <family val="2"/>
          </rPr>
          <t xml:space="preserve">.
</t>
        </r>
      </text>
    </comment>
    <comment ref="O24" authorId="0">
      <text>
        <r>
          <rPr>
            <sz val="9"/>
            <color indexed="81"/>
            <rFont val="Tahoma"/>
            <family val="2"/>
          </rPr>
          <t xml:space="preserve">The difference between the two sample means, </t>
        </r>
        <r>
          <rPr>
            <sz val="10"/>
            <color indexed="81"/>
            <rFont val="Tahoma"/>
            <family val="2"/>
          </rPr>
          <t>(</t>
        </r>
        <r>
          <rPr>
            <i/>
            <sz val="9"/>
            <color indexed="81"/>
            <rFont val="Tahoma"/>
            <family val="2"/>
          </rPr>
          <t>M</t>
        </r>
        <r>
          <rPr>
            <vertAlign val="subscript"/>
            <sz val="10"/>
            <color indexed="81"/>
            <rFont val="Tahoma"/>
            <family val="2"/>
          </rPr>
          <t>2</t>
        </r>
        <r>
          <rPr>
            <i/>
            <sz val="9"/>
            <color indexed="81"/>
            <rFont val="Tahoma"/>
            <family val="2"/>
          </rPr>
          <t>-M</t>
        </r>
        <r>
          <rPr>
            <vertAlign val="subscript"/>
            <sz val="11"/>
            <color indexed="81"/>
            <rFont val="Tahoma"/>
            <family val="2"/>
          </rPr>
          <t>1</t>
        </r>
        <r>
          <rPr>
            <sz val="10"/>
            <color indexed="81"/>
            <rFont val="Tahoma"/>
            <family val="2"/>
          </rPr>
          <t>)</t>
        </r>
        <r>
          <rPr>
            <sz val="9"/>
            <color indexed="81"/>
            <rFont val="Tahoma"/>
            <family val="2"/>
          </rPr>
          <t xml:space="preserve">, in original units
</t>
        </r>
      </text>
    </comment>
    <comment ref="L25" authorId="0">
      <text>
        <r>
          <rPr>
            <sz val="9"/>
            <color indexed="81"/>
            <rFont val="Tahoma"/>
            <family val="2"/>
          </rPr>
          <t xml:space="preserve">Choice of assumption affects calculation of the CI on the difference between means, and inference about that difference.
</t>
        </r>
      </text>
    </comment>
    <comment ref="P26" authorId="0">
      <text>
        <r>
          <rPr>
            <sz val="9"/>
            <color indexed="81"/>
            <rFont val="Tahoma"/>
            <family val="2"/>
          </rPr>
          <t xml:space="preserve">Click </t>
        </r>
        <r>
          <rPr>
            <b/>
            <sz val="9"/>
            <color indexed="81"/>
            <rFont val="Tahoma"/>
            <family val="2"/>
          </rPr>
          <t>Yes</t>
        </r>
        <r>
          <rPr>
            <sz val="9"/>
            <color indexed="81"/>
            <rFont val="Tahoma"/>
            <family val="2"/>
          </rPr>
          <t xml:space="preserve"> to assume the two population variances are equal.  (This is the conventional assumption of homogeneity of variance.)
Click </t>
        </r>
        <r>
          <rPr>
            <b/>
            <sz val="9"/>
            <color indexed="81"/>
            <rFont val="Tahoma"/>
            <family val="2"/>
          </rPr>
          <t>No</t>
        </r>
        <r>
          <rPr>
            <sz val="9"/>
            <color indexed="81"/>
            <rFont val="Tahoma"/>
            <family val="2"/>
          </rPr>
          <t xml:space="preserve"> and use the Welch-Satterthwaite approximation, which does not assume equality of variances.
</t>
        </r>
      </text>
    </comment>
    <comment ref="L28" authorId="0">
      <text>
        <r>
          <rPr>
            <sz val="9"/>
            <color indexed="81"/>
            <rFont val="Tahoma"/>
            <family val="2"/>
          </rPr>
          <t xml:space="preserve">All these values depend on which assumption is made about variances
</t>
        </r>
      </text>
    </comment>
    <comment ref="O28" authorId="0">
      <text>
        <r>
          <rPr>
            <sz val="9"/>
            <color indexed="81"/>
            <rFont val="Tahoma"/>
            <family val="2"/>
          </rPr>
          <t xml:space="preserve">Pooled SD for the two groups. Displayed only when </t>
        </r>
        <r>
          <rPr>
            <b/>
            <sz val="9"/>
            <color indexed="81"/>
            <rFont val="Tahoma"/>
            <family val="2"/>
          </rPr>
          <t>Yes</t>
        </r>
        <r>
          <rPr>
            <sz val="9"/>
            <color indexed="81"/>
            <rFont val="Tahoma"/>
            <family val="2"/>
          </rPr>
          <t xml:space="preserve"> is selected at </t>
        </r>
        <r>
          <rPr>
            <b/>
            <sz val="9"/>
            <color indexed="10"/>
            <rFont val="Tahoma"/>
            <family val="2"/>
          </rPr>
          <t>8</t>
        </r>
        <r>
          <rPr>
            <sz val="9"/>
            <color indexed="81"/>
            <rFont val="Tahoma"/>
            <family val="2"/>
          </rPr>
          <t xml:space="preserve">
</t>
        </r>
      </text>
    </comment>
    <comment ref="O29" authorId="0">
      <text>
        <r>
          <rPr>
            <i/>
            <sz val="9"/>
            <color indexed="81"/>
            <rFont val="Tahoma"/>
            <family val="2"/>
          </rPr>
          <t>MoE</t>
        </r>
        <r>
          <rPr>
            <sz val="9"/>
            <color indexed="81"/>
            <rFont val="Tahoma"/>
            <family val="2"/>
          </rPr>
          <t xml:space="preserve"> for the CI on the difference between the two means.  
</t>
        </r>
      </text>
    </comment>
    <comment ref="O30" authorId="0">
      <text>
        <r>
          <rPr>
            <sz val="9"/>
            <color indexed="81"/>
            <rFont val="Tahoma"/>
            <family val="2"/>
          </rPr>
          <t xml:space="preserve">CI on the difference: The lower limit
</t>
        </r>
      </text>
    </comment>
    <comment ref="O31" authorId="0">
      <text>
        <r>
          <rPr>
            <sz val="9"/>
            <color indexed="81"/>
            <rFont val="Tahoma"/>
            <family val="2"/>
          </rPr>
          <t xml:space="preserve">CI on the difference: The upper limit
</t>
        </r>
      </text>
    </comment>
    <comment ref="O32" authorId="0">
      <text>
        <r>
          <rPr>
            <sz val="9"/>
            <color indexed="81"/>
            <rFont val="Tahoma"/>
            <family val="2"/>
          </rPr>
          <t xml:space="preserve">Value of </t>
        </r>
        <r>
          <rPr>
            <i/>
            <sz val="9"/>
            <color indexed="81"/>
            <rFont val="Tahoma"/>
            <family val="2"/>
          </rPr>
          <t xml:space="preserve">t </t>
        </r>
        <r>
          <rPr>
            <sz val="9"/>
            <color indexed="81"/>
            <rFont val="Tahoma"/>
            <family val="2"/>
          </rPr>
          <t>for testing the difference against zero</t>
        </r>
      </text>
    </comment>
    <comment ref="Q32" authorId="0">
      <text>
        <r>
          <rPr>
            <sz val="9"/>
            <color indexed="81"/>
            <rFont val="Tahoma"/>
            <family val="2"/>
          </rPr>
          <t xml:space="preserve">For variances assumed equal, </t>
        </r>
        <r>
          <rPr>
            <i/>
            <sz val="9"/>
            <color indexed="81"/>
            <rFont val="Tahoma"/>
            <family val="2"/>
          </rPr>
          <t>degrees of freedom</t>
        </r>
        <r>
          <rPr>
            <sz val="9"/>
            <color indexed="81"/>
            <rFont val="Tahoma"/>
            <family val="2"/>
          </rPr>
          <t xml:space="preserve"> = (</t>
        </r>
        <r>
          <rPr>
            <i/>
            <sz val="9"/>
            <color indexed="81"/>
            <rFont val="Tahoma"/>
            <family val="2"/>
          </rPr>
          <t>N</t>
        </r>
        <r>
          <rPr>
            <vertAlign val="subscript"/>
            <sz val="10"/>
            <color indexed="81"/>
            <rFont val="Tahoma"/>
            <family val="2"/>
          </rPr>
          <t>1</t>
        </r>
        <r>
          <rPr>
            <sz val="9"/>
            <color indexed="81"/>
            <rFont val="Tahoma"/>
            <family val="2"/>
          </rPr>
          <t xml:space="preserve"> + </t>
        </r>
        <r>
          <rPr>
            <i/>
            <sz val="9"/>
            <color indexed="81"/>
            <rFont val="Tahoma"/>
            <family val="2"/>
          </rPr>
          <t>N</t>
        </r>
        <r>
          <rPr>
            <vertAlign val="subscript"/>
            <sz val="10"/>
            <color indexed="81"/>
            <rFont val="Tahoma"/>
            <family val="2"/>
          </rPr>
          <t>2</t>
        </r>
        <r>
          <rPr>
            <sz val="9"/>
            <color indexed="81"/>
            <rFont val="Tahoma"/>
            <family val="2"/>
          </rPr>
          <t xml:space="preserve"> - 2).
For variances not assumed equal, use Welch-Satterthwaite, and find </t>
        </r>
        <r>
          <rPr>
            <i/>
            <sz val="10"/>
            <color indexed="81"/>
            <rFont val="Tahoma"/>
            <family val="2"/>
          </rPr>
          <t>df</t>
        </r>
        <r>
          <rPr>
            <sz val="10"/>
            <color indexed="81"/>
            <rFont val="Tahoma"/>
            <family val="2"/>
          </rPr>
          <t xml:space="preserve"> </t>
        </r>
        <r>
          <rPr>
            <sz val="9"/>
            <color indexed="81"/>
            <rFont val="Tahoma"/>
            <family val="2"/>
          </rPr>
          <t xml:space="preserve">is typically a non-integer.  
</t>
        </r>
      </text>
    </comment>
    <comment ref="O33" authorId="0">
      <text>
        <r>
          <rPr>
            <i/>
            <sz val="10"/>
            <color indexed="81"/>
            <rFont val="Tahoma"/>
            <family val="2"/>
          </rPr>
          <t>p</t>
        </r>
        <r>
          <rPr>
            <sz val="10"/>
            <color indexed="81"/>
            <rFont val="Tahoma"/>
            <family val="2"/>
          </rPr>
          <t xml:space="preserve"> </t>
        </r>
        <r>
          <rPr>
            <sz val="9"/>
            <color indexed="81"/>
            <rFont val="Tahoma"/>
            <family val="2"/>
          </rPr>
          <t xml:space="preserve">value for testing the null hypothesis of no difference between the two group means 
_________
It's a two-tailed </t>
        </r>
        <r>
          <rPr>
            <i/>
            <sz val="10"/>
            <color indexed="81"/>
            <rFont val="Tahoma"/>
            <family val="2"/>
          </rPr>
          <t>p</t>
        </r>
        <r>
          <rPr>
            <sz val="9"/>
            <color indexed="81"/>
            <rFont val="Tahoma"/>
            <family val="2"/>
          </rPr>
          <t xml:space="preserve"> value</t>
        </r>
      </text>
    </comment>
    <comment ref="L35" authorId="0">
      <text>
        <r>
          <rPr>
            <sz val="9"/>
            <color indexed="81"/>
            <rFont val="Tahoma"/>
            <family val="2"/>
          </rPr>
          <t xml:space="preserve">Click to reveal or hide a figure at far right that displays the difference, with its CI, on a Difference axis
</t>
        </r>
      </text>
    </comment>
    <comment ref="O36" authorId="0">
      <text>
        <r>
          <rPr>
            <sz val="9"/>
            <color indexed="81"/>
            <rFont val="Tahoma"/>
            <family val="2"/>
          </rPr>
          <t xml:space="preserve">Click to display Cohen's </t>
        </r>
        <r>
          <rPr>
            <i/>
            <sz val="10"/>
            <color indexed="81"/>
            <rFont val="Tahoma"/>
            <family val="2"/>
          </rPr>
          <t>d</t>
        </r>
        <r>
          <rPr>
            <sz val="9"/>
            <color indexed="81"/>
            <rFont val="Tahoma"/>
            <family val="2"/>
          </rPr>
          <t xml:space="preserve">, with its CI.
</t>
        </r>
      </text>
    </comment>
    <comment ref="L37" authorId="0">
      <text>
        <r>
          <rPr>
            <sz val="9"/>
            <color indexed="81"/>
            <rFont val="Tahoma"/>
            <family val="2"/>
          </rPr>
          <t xml:space="preserve">See values of </t>
        </r>
        <r>
          <rPr>
            <i/>
            <sz val="10"/>
            <color indexed="81"/>
            <rFont val="Tahoma"/>
            <family val="2"/>
          </rPr>
          <t>d</t>
        </r>
        <r>
          <rPr>
            <sz val="9"/>
            <color indexed="81"/>
            <rFont val="Tahoma"/>
            <family val="2"/>
          </rPr>
          <t xml:space="preserve"> and </t>
        </r>
        <r>
          <rPr>
            <i/>
            <sz val="10"/>
            <color indexed="81"/>
            <rFont val="Tahoma"/>
            <family val="2"/>
          </rPr>
          <t>d</t>
        </r>
        <r>
          <rPr>
            <vertAlign val="subscript"/>
            <sz val="11"/>
            <color indexed="81"/>
            <rFont val="Tahoma"/>
            <family val="2"/>
          </rPr>
          <t>unbiased</t>
        </r>
        <r>
          <rPr>
            <sz val="9"/>
            <color indexed="81"/>
            <rFont val="Tahoma"/>
            <family val="2"/>
          </rPr>
          <t xml:space="preserve">.
Click below to carry out the calculation of CI for </t>
        </r>
        <r>
          <rPr>
            <sz val="11"/>
            <color indexed="81"/>
            <rFont val="Symbol"/>
            <family val="1"/>
            <charset val="2"/>
          </rPr>
          <t>d</t>
        </r>
        <r>
          <rPr>
            <sz val="9"/>
            <color indexed="81"/>
            <rFont val="Tahoma"/>
            <family val="2"/>
          </rPr>
          <t xml:space="preserve">. You need to click again after any change in the data or </t>
        </r>
        <r>
          <rPr>
            <i/>
            <sz val="9"/>
            <color indexed="81"/>
            <rFont val="Tahoma"/>
            <family val="2"/>
          </rPr>
          <t>C</t>
        </r>
        <r>
          <rPr>
            <sz val="9"/>
            <color indexed="81"/>
            <rFont val="Tahoma"/>
            <family val="2"/>
          </rPr>
          <t xml:space="preserve">.
_________________
For CI calculation, max value of </t>
        </r>
        <r>
          <rPr>
            <i/>
            <sz val="10"/>
            <color indexed="81"/>
            <rFont val="Tahoma"/>
            <family val="2"/>
          </rPr>
          <t>df</t>
        </r>
        <r>
          <rPr>
            <sz val="9"/>
            <color indexed="81"/>
            <rFont val="Tahoma"/>
            <family val="2"/>
          </rPr>
          <t xml:space="preserve"> is 200, and </t>
        </r>
        <r>
          <rPr>
            <i/>
            <sz val="10"/>
            <color indexed="81"/>
            <rFont val="Tahoma"/>
            <family val="2"/>
          </rPr>
          <t>d</t>
        </r>
        <r>
          <rPr>
            <sz val="9"/>
            <color indexed="81"/>
            <rFont val="Tahoma"/>
            <family val="2"/>
          </rPr>
          <t xml:space="preserve"> must lie between -10 and +10.
</t>
        </r>
      </text>
    </comment>
    <comment ref="O37" authorId="0">
      <text>
        <r>
          <rPr>
            <sz val="9"/>
            <color indexed="81"/>
            <rFont val="Tahoma"/>
            <family val="2"/>
          </rPr>
          <t xml:space="preserve">Show Cohen's </t>
        </r>
        <r>
          <rPr>
            <i/>
            <sz val="10"/>
            <color indexed="81"/>
            <rFont val="Tahoma"/>
            <family val="2"/>
          </rPr>
          <t>d</t>
        </r>
        <r>
          <rPr>
            <sz val="9"/>
            <color indexed="81"/>
            <rFont val="Tahoma"/>
            <family val="2"/>
          </rPr>
          <t xml:space="preserve">, with its CI.
</t>
        </r>
        <r>
          <rPr>
            <i/>
            <sz val="10"/>
            <color indexed="81"/>
            <rFont val="Tahoma"/>
            <family val="2"/>
          </rPr>
          <t>d</t>
        </r>
        <r>
          <rPr>
            <sz val="9"/>
            <color indexed="81"/>
            <rFont val="Tahoma"/>
            <family val="2"/>
          </rPr>
          <t xml:space="preserve"> is calculated as: 
    </t>
        </r>
        <r>
          <rPr>
            <i/>
            <sz val="10"/>
            <color indexed="81"/>
            <rFont val="Tahoma"/>
            <family val="2"/>
          </rPr>
          <t>d</t>
        </r>
        <r>
          <rPr>
            <sz val="10"/>
            <color indexed="81"/>
            <rFont val="Tahoma"/>
            <family val="2"/>
          </rPr>
          <t xml:space="preserve"> = </t>
        </r>
        <r>
          <rPr>
            <sz val="9"/>
            <color indexed="81"/>
            <rFont val="Tahoma"/>
            <family val="2"/>
          </rPr>
          <t xml:space="preserve">ES / (pooled SD within groups) 
which is equivalent to: 
    </t>
        </r>
        <r>
          <rPr>
            <i/>
            <sz val="10"/>
            <color indexed="81"/>
            <rFont val="Tahoma"/>
            <family val="2"/>
          </rPr>
          <t>d</t>
        </r>
        <r>
          <rPr>
            <sz val="10"/>
            <color indexed="81"/>
            <rFont val="Tahoma"/>
            <family val="2"/>
          </rPr>
          <t xml:space="preserve"> = (</t>
        </r>
        <r>
          <rPr>
            <i/>
            <sz val="10"/>
            <color indexed="81"/>
            <rFont val="Tahoma"/>
            <family val="2"/>
          </rPr>
          <t>M</t>
        </r>
        <r>
          <rPr>
            <vertAlign val="subscript"/>
            <sz val="11"/>
            <color indexed="81"/>
            <rFont val="Tahoma"/>
            <family val="2"/>
          </rPr>
          <t>2</t>
        </r>
        <r>
          <rPr>
            <sz val="10"/>
            <color indexed="81"/>
            <rFont val="Tahoma"/>
            <family val="2"/>
          </rPr>
          <t xml:space="preserve"> - </t>
        </r>
        <r>
          <rPr>
            <i/>
            <sz val="10"/>
            <color indexed="81"/>
            <rFont val="Tahoma"/>
            <family val="2"/>
          </rPr>
          <t>M</t>
        </r>
        <r>
          <rPr>
            <vertAlign val="subscript"/>
            <sz val="11"/>
            <color indexed="81"/>
            <rFont val="Tahoma"/>
            <family val="2"/>
          </rPr>
          <t>1</t>
        </r>
        <r>
          <rPr>
            <sz val="10"/>
            <color indexed="81"/>
            <rFont val="Tahoma"/>
            <family val="2"/>
          </rPr>
          <t xml:space="preserve">) / </t>
        </r>
        <r>
          <rPr>
            <i/>
            <sz val="10"/>
            <color indexed="81"/>
            <rFont val="Tahoma"/>
            <family val="2"/>
          </rPr>
          <t>s</t>
        </r>
        <r>
          <rPr>
            <vertAlign val="subscript"/>
            <sz val="11"/>
            <color indexed="81"/>
            <rFont val="Tahoma"/>
            <family val="2"/>
          </rPr>
          <t>p</t>
        </r>
        <r>
          <rPr>
            <sz val="9"/>
            <color indexed="81"/>
            <rFont val="Tahoma"/>
            <family val="2"/>
          </rPr>
          <t xml:space="preserve">
At </t>
        </r>
        <r>
          <rPr>
            <b/>
            <sz val="9"/>
            <color indexed="10"/>
            <rFont val="Tahoma"/>
            <family val="2"/>
          </rPr>
          <t>8</t>
        </r>
        <r>
          <rPr>
            <sz val="9"/>
            <color indexed="81"/>
            <rFont val="Tahoma"/>
            <family val="2"/>
          </rPr>
          <t xml:space="preserve">, </t>
        </r>
        <r>
          <rPr>
            <b/>
            <sz val="9"/>
            <color indexed="81"/>
            <rFont val="Tahoma"/>
            <family val="2"/>
          </rPr>
          <t>Yes</t>
        </r>
        <r>
          <rPr>
            <sz val="9"/>
            <color indexed="81"/>
            <rFont val="Tahoma"/>
            <family val="2"/>
          </rPr>
          <t xml:space="preserve"> must be selected to assume variances equal.</t>
        </r>
      </text>
    </comment>
    <comment ref="O38" authorId="0">
      <text>
        <r>
          <rPr>
            <sz val="9"/>
            <color indexed="81"/>
            <rFont val="Tahoma"/>
            <family val="2"/>
          </rPr>
          <t xml:space="preserve">When Cohen's </t>
        </r>
        <r>
          <rPr>
            <i/>
            <sz val="10"/>
            <color indexed="81"/>
            <rFont val="Tahoma"/>
            <family val="2"/>
          </rPr>
          <t>d</t>
        </r>
        <r>
          <rPr>
            <sz val="10"/>
            <color indexed="81"/>
            <rFont val="Tahoma"/>
            <family val="2"/>
          </rPr>
          <t xml:space="preserve"> </t>
        </r>
        <r>
          <rPr>
            <sz val="9"/>
            <color indexed="81"/>
            <rFont val="Tahoma"/>
            <family val="2"/>
          </rPr>
          <t xml:space="preserve">is shown above, show here </t>
        </r>
        <r>
          <rPr>
            <i/>
            <sz val="10"/>
            <color indexed="81"/>
            <rFont val="Tahoma"/>
            <family val="2"/>
          </rPr>
          <t>d</t>
        </r>
        <r>
          <rPr>
            <vertAlign val="subscript"/>
            <sz val="11"/>
            <color indexed="81"/>
            <rFont val="Tahoma"/>
            <family val="2"/>
          </rPr>
          <t>unbiased</t>
        </r>
        <r>
          <rPr>
            <sz val="9"/>
            <color indexed="81"/>
            <rFont val="Tahoma"/>
            <family val="2"/>
          </rPr>
          <t xml:space="preserve">, which is calculated from </t>
        </r>
        <r>
          <rPr>
            <i/>
            <sz val="10"/>
            <color indexed="81"/>
            <rFont val="Tahoma"/>
            <family val="2"/>
          </rPr>
          <t>d</t>
        </r>
        <r>
          <rPr>
            <sz val="9"/>
            <color indexed="81"/>
            <rFont val="Tahoma"/>
            <family val="2"/>
          </rPr>
          <t xml:space="preserve"> to be an unbiased estimate of population effect size </t>
        </r>
        <r>
          <rPr>
            <sz val="11"/>
            <color indexed="81"/>
            <rFont val="Symbol"/>
            <family val="1"/>
            <charset val="2"/>
          </rPr>
          <t>d</t>
        </r>
        <r>
          <rPr>
            <sz val="9"/>
            <color indexed="81"/>
            <rFont val="Tahoma"/>
            <family val="2"/>
          </rPr>
          <t>.</t>
        </r>
        <r>
          <rPr>
            <sz val="9"/>
            <color indexed="81"/>
            <rFont val="Tahoma"/>
            <family val="2"/>
          </rPr>
          <t xml:space="preserve">
</t>
        </r>
      </text>
    </comment>
    <comment ref="O39" authorId="0">
      <text>
        <r>
          <rPr>
            <sz val="9"/>
            <color indexed="81"/>
            <rFont val="Tahoma"/>
            <family val="2"/>
          </rPr>
          <t xml:space="preserve">Click to carry out the calculation of CI for </t>
        </r>
        <r>
          <rPr>
            <sz val="11"/>
            <color indexed="81"/>
            <rFont val="Symbol"/>
            <family val="1"/>
            <charset val="2"/>
          </rPr>
          <t>d</t>
        </r>
        <r>
          <rPr>
            <sz val="9"/>
            <color indexed="81"/>
            <rFont val="Tahoma"/>
            <family val="2"/>
          </rPr>
          <t xml:space="preserve">. You need to click again after any change in the data or </t>
        </r>
        <r>
          <rPr>
            <i/>
            <sz val="9"/>
            <color indexed="81"/>
            <rFont val="Tahoma"/>
            <family val="2"/>
          </rPr>
          <t>C</t>
        </r>
        <r>
          <rPr>
            <sz val="9"/>
            <color indexed="81"/>
            <rFont val="Tahoma"/>
            <family val="2"/>
          </rPr>
          <t xml:space="preserve">.
_________________
For CI calculation, max value of </t>
        </r>
        <r>
          <rPr>
            <i/>
            <sz val="10"/>
            <color indexed="81"/>
            <rFont val="Tahoma"/>
            <family val="2"/>
          </rPr>
          <t>df</t>
        </r>
        <r>
          <rPr>
            <sz val="9"/>
            <color indexed="81"/>
            <rFont val="Tahoma"/>
            <family val="2"/>
          </rPr>
          <t xml:space="preserve"> is 200, and </t>
        </r>
        <r>
          <rPr>
            <i/>
            <sz val="10"/>
            <color indexed="81"/>
            <rFont val="Tahoma"/>
            <family val="2"/>
          </rPr>
          <t>d</t>
        </r>
        <r>
          <rPr>
            <sz val="9"/>
            <color indexed="81"/>
            <rFont val="Tahoma"/>
            <family val="2"/>
          </rPr>
          <t xml:space="preserve"> must lie between -10 and +10.
</t>
        </r>
      </text>
    </comment>
    <comment ref="S39" authorId="0">
      <text>
        <r>
          <rPr>
            <sz val="9"/>
            <color indexed="81"/>
            <rFont val="Tahoma"/>
            <family val="2"/>
          </rPr>
          <t xml:space="preserve">CI calculated for </t>
        </r>
        <r>
          <rPr>
            <sz val="11"/>
            <color indexed="81"/>
            <rFont val="Symbol"/>
            <family val="1"/>
            <charset val="2"/>
          </rPr>
          <t>d</t>
        </r>
        <r>
          <rPr>
            <sz val="9"/>
            <color indexed="81"/>
            <rFont val="Tahoma"/>
            <family val="2"/>
          </rPr>
          <t xml:space="preserve">
</t>
        </r>
      </text>
    </comment>
    <comment ref="O41" authorId="0">
      <text>
        <r>
          <rPr>
            <sz val="9"/>
            <color indexed="81"/>
            <rFont val="Tahoma"/>
            <family val="2"/>
          </rPr>
          <t xml:space="preserve">Average length of the two arms of the CI for </t>
        </r>
        <r>
          <rPr>
            <sz val="11"/>
            <color indexed="81"/>
            <rFont val="Symbol"/>
            <family val="1"/>
            <charset val="2"/>
          </rPr>
          <t>d</t>
        </r>
        <r>
          <rPr>
            <sz val="9"/>
            <color indexed="81"/>
            <rFont val="Tahoma"/>
            <family val="2"/>
          </rPr>
          <t>.  This is half the length of the CI, and our measure of precision.</t>
        </r>
        <r>
          <rPr>
            <sz val="9"/>
            <color indexed="81"/>
            <rFont val="Tahoma"/>
            <family val="2"/>
          </rPr>
          <t xml:space="preserve">
</t>
        </r>
      </text>
    </comment>
  </commentList>
</comments>
</file>

<file path=xl/comments8.xml><?xml version="1.0" encoding="utf-8"?>
<comments xmlns="http://schemas.openxmlformats.org/spreadsheetml/2006/main">
  <authors>
    <author>Geoff Cumming</author>
  </authors>
  <commentList>
    <comment ref="E5" authorId="0">
      <text>
        <r>
          <rPr>
            <sz val="9"/>
            <color indexed="81"/>
            <rFont val="Tahoma"/>
            <family val="2"/>
          </rPr>
          <t>Type in labels and summary statistics for your data</t>
        </r>
      </text>
    </comment>
    <comment ref="I6" authorId="0">
      <text>
        <r>
          <rPr>
            <sz val="9"/>
            <color indexed="81"/>
            <rFont val="Tahoma"/>
            <family val="2"/>
          </rPr>
          <t xml:space="preserve">Type in the original units of measurement, e.g., cm, $
</t>
        </r>
      </text>
    </comment>
    <comment ref="H7" authorId="0">
      <text>
        <r>
          <rPr>
            <sz val="9"/>
            <color indexed="81"/>
            <rFont val="Tahoma"/>
            <family val="2"/>
          </rPr>
          <t xml:space="preserve">Type a short label for Group 1, to appear at bottom of the figure
</t>
        </r>
      </text>
    </comment>
    <comment ref="L7" authorId="0">
      <text>
        <r>
          <rPr>
            <sz val="9"/>
            <color indexed="81"/>
            <rFont val="Tahoma"/>
            <family val="2"/>
          </rPr>
          <t xml:space="preserve">Type a short label for Group 2, to appear at bottom of the figure
</t>
        </r>
      </text>
    </comment>
    <comment ref="G8" authorId="0">
      <text>
        <r>
          <rPr>
            <sz val="9"/>
            <color indexed="81"/>
            <rFont val="Tahoma"/>
            <family val="2"/>
          </rPr>
          <t xml:space="preserve">Number of data points, Group 1. Use spinner or type in a value
</t>
        </r>
      </text>
    </comment>
    <comment ref="K8" authorId="0">
      <text>
        <r>
          <rPr>
            <sz val="9"/>
            <color indexed="81"/>
            <rFont val="Tahoma"/>
            <family val="2"/>
          </rPr>
          <t xml:space="preserve">Number of data points, Group 2. Use spinner or type in a value
</t>
        </r>
      </text>
    </comment>
    <comment ref="G10" authorId="0">
      <text>
        <r>
          <rPr>
            <sz val="9"/>
            <color indexed="81"/>
            <rFont val="Tahoma"/>
            <family val="2"/>
          </rPr>
          <t xml:space="preserve">Type in the sample mean, Group 1
</t>
        </r>
      </text>
    </comment>
    <comment ref="K10" authorId="0">
      <text>
        <r>
          <rPr>
            <sz val="9"/>
            <color indexed="81"/>
            <rFont val="Tahoma"/>
            <family val="2"/>
          </rPr>
          <t xml:space="preserve">Type in the sample mean, Group 2
</t>
        </r>
      </text>
    </comment>
    <comment ref="G12" authorId="0">
      <text>
        <r>
          <rPr>
            <sz val="9"/>
            <color indexed="81"/>
            <rFont val="Tahoma"/>
            <family val="2"/>
          </rPr>
          <t xml:space="preserve">Type in the sample standard deviation, Group 1
</t>
        </r>
      </text>
    </comment>
    <comment ref="K12" authorId="0">
      <text>
        <r>
          <rPr>
            <sz val="9"/>
            <color indexed="81"/>
            <rFont val="Tahoma"/>
            <family val="2"/>
          </rPr>
          <t xml:space="preserve">Type in the sample standard deviation, Group 2
</t>
        </r>
      </text>
    </comment>
    <comment ref="E14" authorId="0">
      <text>
        <r>
          <rPr>
            <sz val="9"/>
            <color indexed="81"/>
            <rFont val="Tahoma"/>
            <family val="2"/>
          </rPr>
          <t xml:space="preserve">Choose features for display
</t>
        </r>
      </text>
    </comment>
    <comment ref="J15" authorId="0">
      <text>
        <r>
          <rPr>
            <sz val="9"/>
            <color indexed="81"/>
            <rFont val="Tahoma"/>
            <family val="2"/>
          </rPr>
          <t xml:space="preserve">Click to display grey horizontal lines to mark overlap of CIs, and show value of overlap below.
</t>
        </r>
      </text>
    </comment>
    <comment ref="K15" authorId="0">
      <text>
        <r>
          <rPr>
            <sz val="9"/>
            <color indexed="81"/>
            <rFont val="Tahoma"/>
            <family val="2"/>
          </rPr>
          <t>Confidence level (%)
for CIs. Use the spinner or type in a value. 
Min 0, max 99.9</t>
        </r>
      </text>
    </comment>
    <comment ref="E17" authorId="0">
      <text>
        <r>
          <rPr>
            <sz val="9"/>
            <color indexed="81"/>
            <rFont val="Tahoma"/>
            <family val="2"/>
          </rPr>
          <t>Information about the CIs on the two means, and initial information for comparing the two groups.</t>
        </r>
      </text>
    </comment>
    <comment ref="G18" authorId="0">
      <text>
        <r>
          <rPr>
            <sz val="9"/>
            <color indexed="81"/>
            <rFont val="Tahoma"/>
            <family val="2"/>
          </rPr>
          <t>Margin of error (</t>
        </r>
        <r>
          <rPr>
            <i/>
            <sz val="9"/>
            <color indexed="81"/>
            <rFont val="Tahoma"/>
            <family val="2"/>
          </rPr>
          <t>MoE</t>
        </r>
        <r>
          <rPr>
            <sz val="9"/>
            <color indexed="81"/>
            <rFont val="Tahoma"/>
            <family val="2"/>
          </rPr>
          <t xml:space="preserve">) of the CI on the Group 1 mean
</t>
        </r>
      </text>
    </comment>
    <comment ref="K18" authorId="0">
      <text>
        <r>
          <rPr>
            <sz val="9"/>
            <color indexed="81"/>
            <rFont val="Tahoma"/>
            <family val="2"/>
          </rPr>
          <t>Margin of error (</t>
        </r>
        <r>
          <rPr>
            <i/>
            <sz val="9"/>
            <color indexed="81"/>
            <rFont val="Tahoma"/>
            <family val="2"/>
          </rPr>
          <t>MoE</t>
        </r>
        <r>
          <rPr>
            <sz val="9"/>
            <color indexed="81"/>
            <rFont val="Tahoma"/>
            <family val="2"/>
          </rPr>
          <t xml:space="preserve">) of the CI on the Group 2 mean
</t>
        </r>
      </text>
    </comment>
    <comment ref="G19" authorId="0">
      <text>
        <r>
          <rPr>
            <sz val="9"/>
            <color indexed="81"/>
            <rFont val="Tahoma"/>
            <family val="2"/>
          </rPr>
          <t xml:space="preserve">CI lower limit
</t>
        </r>
      </text>
    </comment>
    <comment ref="K19" authorId="0">
      <text>
        <r>
          <rPr>
            <sz val="9"/>
            <color indexed="81"/>
            <rFont val="Tahoma"/>
            <family val="2"/>
          </rPr>
          <t xml:space="preserve">CI lower limit
</t>
        </r>
      </text>
    </comment>
    <comment ref="G20" authorId="0">
      <text>
        <r>
          <rPr>
            <sz val="9"/>
            <color indexed="81"/>
            <rFont val="Tahoma"/>
            <family val="2"/>
          </rPr>
          <t xml:space="preserve">CI upper limit
</t>
        </r>
      </text>
    </comment>
    <comment ref="K20" authorId="0">
      <text>
        <r>
          <rPr>
            <sz val="9"/>
            <color indexed="81"/>
            <rFont val="Tahoma"/>
            <family val="2"/>
          </rPr>
          <t xml:space="preserve">CI upper limit
</t>
        </r>
      </text>
    </comment>
    <comment ref="I21" authorId="0">
      <text>
        <r>
          <rPr>
            <sz val="9"/>
            <color indexed="81"/>
            <rFont val="Tahoma"/>
            <family val="2"/>
          </rPr>
          <t xml:space="preserve">Mean </t>
        </r>
        <r>
          <rPr>
            <i/>
            <sz val="9"/>
            <color indexed="81"/>
            <rFont val="Tahoma"/>
            <family val="2"/>
          </rPr>
          <t>MoE</t>
        </r>
        <r>
          <rPr>
            <sz val="9"/>
            <color indexed="81"/>
            <rFont val="Tahoma"/>
            <family val="2"/>
          </rPr>
          <t xml:space="preserve">
</t>
        </r>
      </text>
    </comment>
    <comment ref="I22" authorId="0">
      <text>
        <r>
          <rPr>
            <sz val="9"/>
            <color indexed="81"/>
            <rFont val="Tahoma"/>
            <family val="2"/>
          </rPr>
          <t xml:space="preserve">Overlap, or gap, in units of mean </t>
        </r>
        <r>
          <rPr>
            <i/>
            <sz val="9"/>
            <color indexed="81"/>
            <rFont val="Tahoma"/>
            <family val="2"/>
          </rPr>
          <t>MoE</t>
        </r>
        <r>
          <rPr>
            <sz val="9"/>
            <color indexed="81"/>
            <rFont val="Tahoma"/>
            <family val="2"/>
          </rPr>
          <t>.
Shown only when overlap lines are displayed.</t>
        </r>
      </text>
    </comment>
    <comment ref="I23" authorId="0">
      <text>
        <r>
          <rPr>
            <sz val="9"/>
            <color indexed="81"/>
            <rFont val="Tahoma"/>
            <family val="2"/>
          </rPr>
          <t xml:space="preserve">The difference between the two sample means, </t>
        </r>
        <r>
          <rPr>
            <i/>
            <sz val="10"/>
            <color indexed="81"/>
            <rFont val="Tahoma"/>
            <family val="2"/>
          </rPr>
          <t>M</t>
        </r>
        <r>
          <rPr>
            <vertAlign val="subscript"/>
            <sz val="11"/>
            <color indexed="81"/>
            <rFont val="Tahoma"/>
            <family val="2"/>
          </rPr>
          <t>2</t>
        </r>
        <r>
          <rPr>
            <i/>
            <sz val="10"/>
            <color indexed="81"/>
            <rFont val="Tahoma"/>
            <family val="2"/>
          </rPr>
          <t>-M</t>
        </r>
        <r>
          <rPr>
            <vertAlign val="subscript"/>
            <sz val="11"/>
            <color indexed="81"/>
            <rFont val="Tahoma"/>
            <family val="2"/>
          </rPr>
          <t>1</t>
        </r>
        <r>
          <rPr>
            <sz val="9"/>
            <color indexed="81"/>
            <rFont val="Tahoma"/>
            <family val="2"/>
          </rPr>
          <t xml:space="preserve">, in original units
</t>
        </r>
      </text>
    </comment>
    <comment ref="E24" authorId="0">
      <text>
        <r>
          <rPr>
            <sz val="9"/>
            <color indexed="81"/>
            <rFont val="Tahoma"/>
            <family val="2"/>
          </rPr>
          <t xml:space="preserve">Choice of assumption affects calculation of the CI on the difference between means, and inference about that difference.
</t>
        </r>
      </text>
    </comment>
    <comment ref="J25" authorId="0">
      <text>
        <r>
          <rPr>
            <sz val="9"/>
            <color indexed="81"/>
            <rFont val="Tahoma"/>
            <family val="2"/>
          </rPr>
          <t xml:space="preserve">Click </t>
        </r>
        <r>
          <rPr>
            <b/>
            <sz val="9"/>
            <color indexed="81"/>
            <rFont val="Tahoma"/>
            <family val="2"/>
          </rPr>
          <t>Yes</t>
        </r>
        <r>
          <rPr>
            <sz val="9"/>
            <color indexed="81"/>
            <rFont val="Tahoma"/>
            <family val="2"/>
          </rPr>
          <t xml:space="preserve"> to assume the two population variances are equal.
(This is the conventional assumption of homogeneity of variance.)
__________________
Click </t>
        </r>
        <r>
          <rPr>
            <b/>
            <sz val="9"/>
            <color indexed="81"/>
            <rFont val="Tahoma"/>
            <family val="2"/>
          </rPr>
          <t>No</t>
        </r>
        <r>
          <rPr>
            <sz val="9"/>
            <color indexed="81"/>
            <rFont val="Tahoma"/>
            <family val="2"/>
          </rPr>
          <t xml:space="preserve"> and use the Welch-Satterthwaite approximation, which does not assume equality of variances.
</t>
        </r>
      </text>
    </comment>
    <comment ref="E27" authorId="0">
      <text>
        <r>
          <rPr>
            <sz val="9"/>
            <color indexed="81"/>
            <rFont val="Tahoma"/>
            <family val="2"/>
          </rPr>
          <t xml:space="preserve">All these values depend on which assumption is made about variances
</t>
        </r>
      </text>
    </comment>
    <comment ref="I27" authorId="0">
      <text>
        <r>
          <rPr>
            <sz val="9"/>
            <color indexed="81"/>
            <rFont val="Tahoma"/>
            <family val="2"/>
          </rPr>
          <t xml:space="preserve">Pooled SD for the two groups. Displayed only when </t>
        </r>
        <r>
          <rPr>
            <b/>
            <sz val="9"/>
            <color indexed="81"/>
            <rFont val="Tahoma"/>
            <family val="2"/>
          </rPr>
          <t>Yes</t>
        </r>
        <r>
          <rPr>
            <sz val="9"/>
            <color indexed="81"/>
            <rFont val="Tahoma"/>
            <family val="2"/>
          </rPr>
          <t xml:space="preserve"> is selected at </t>
        </r>
        <r>
          <rPr>
            <b/>
            <sz val="9"/>
            <color indexed="10"/>
            <rFont val="Tahoma"/>
            <family val="2"/>
          </rPr>
          <t>4</t>
        </r>
        <r>
          <rPr>
            <sz val="9"/>
            <color indexed="81"/>
            <rFont val="Tahoma"/>
            <family val="2"/>
          </rPr>
          <t xml:space="preserve">
</t>
        </r>
      </text>
    </comment>
    <comment ref="I28" authorId="0">
      <text>
        <r>
          <rPr>
            <i/>
            <sz val="9"/>
            <color indexed="81"/>
            <rFont val="Tahoma"/>
            <family val="2"/>
          </rPr>
          <t>MoE</t>
        </r>
        <r>
          <rPr>
            <sz val="9"/>
            <color indexed="81"/>
            <rFont val="Tahoma"/>
            <family val="2"/>
          </rPr>
          <t xml:space="preserve"> for the CI on the difference between the two means.  
</t>
        </r>
      </text>
    </comment>
    <comment ref="I29" authorId="0">
      <text>
        <r>
          <rPr>
            <sz val="9"/>
            <color indexed="81"/>
            <rFont val="Tahoma"/>
            <family val="2"/>
          </rPr>
          <t xml:space="preserve">CI on the difference: 
The lower limit
</t>
        </r>
      </text>
    </comment>
    <comment ref="I30" authorId="0">
      <text>
        <r>
          <rPr>
            <sz val="9"/>
            <color indexed="81"/>
            <rFont val="Tahoma"/>
            <family val="2"/>
          </rPr>
          <t xml:space="preserve">CI on the difference: 
The uper limit
</t>
        </r>
      </text>
    </comment>
    <comment ref="I31" authorId="0">
      <text>
        <r>
          <rPr>
            <sz val="9"/>
            <color indexed="81"/>
            <rFont val="Tahoma"/>
            <family val="2"/>
          </rPr>
          <t xml:space="preserve">Value of </t>
        </r>
        <r>
          <rPr>
            <i/>
            <sz val="9"/>
            <color indexed="81"/>
            <rFont val="Tahoma"/>
            <family val="2"/>
          </rPr>
          <t xml:space="preserve">t </t>
        </r>
        <r>
          <rPr>
            <sz val="9"/>
            <color indexed="81"/>
            <rFont val="Tahoma"/>
            <family val="2"/>
          </rPr>
          <t>for testing the difference against zero</t>
        </r>
      </text>
    </comment>
    <comment ref="L31" authorId="0">
      <text>
        <r>
          <rPr>
            <sz val="9"/>
            <color indexed="81"/>
            <rFont val="Tahoma"/>
            <family val="2"/>
          </rPr>
          <t xml:space="preserve">For variances assumed equal, </t>
        </r>
        <r>
          <rPr>
            <i/>
            <sz val="9"/>
            <color indexed="81"/>
            <rFont val="Tahoma"/>
            <family val="2"/>
          </rPr>
          <t>degrees of freedom</t>
        </r>
        <r>
          <rPr>
            <sz val="9"/>
            <color indexed="81"/>
            <rFont val="Tahoma"/>
            <family val="2"/>
          </rPr>
          <t xml:space="preserve"> = </t>
        </r>
        <r>
          <rPr>
            <sz val="10"/>
            <color indexed="81"/>
            <rFont val="Tahoma"/>
            <family val="2"/>
          </rPr>
          <t>(</t>
        </r>
        <r>
          <rPr>
            <i/>
            <sz val="10"/>
            <color indexed="81"/>
            <rFont val="Tahoma"/>
            <family val="2"/>
          </rPr>
          <t>N</t>
        </r>
        <r>
          <rPr>
            <vertAlign val="subscript"/>
            <sz val="11"/>
            <color indexed="81"/>
            <rFont val="Tahoma"/>
            <family val="2"/>
          </rPr>
          <t>1</t>
        </r>
        <r>
          <rPr>
            <sz val="10"/>
            <color indexed="81"/>
            <rFont val="Tahoma"/>
            <family val="2"/>
          </rPr>
          <t xml:space="preserve"> + </t>
        </r>
        <r>
          <rPr>
            <i/>
            <sz val="10"/>
            <color indexed="81"/>
            <rFont val="Tahoma"/>
            <family val="2"/>
          </rPr>
          <t>N</t>
        </r>
        <r>
          <rPr>
            <vertAlign val="subscript"/>
            <sz val="11"/>
            <color indexed="81"/>
            <rFont val="Tahoma"/>
            <family val="2"/>
          </rPr>
          <t>2</t>
        </r>
        <r>
          <rPr>
            <sz val="10"/>
            <color indexed="81"/>
            <rFont val="Tahoma"/>
            <family val="2"/>
          </rPr>
          <t xml:space="preserve"> - 2)</t>
        </r>
        <r>
          <rPr>
            <sz val="9"/>
            <color indexed="81"/>
            <rFont val="Tahoma"/>
            <family val="2"/>
          </rPr>
          <t xml:space="preserve">.
________________
For variances not assumed equal, use Welch-Satterthwaite, and find </t>
        </r>
        <r>
          <rPr>
            <i/>
            <sz val="10"/>
            <color indexed="81"/>
            <rFont val="Tahoma"/>
            <family val="2"/>
          </rPr>
          <t>df</t>
        </r>
        <r>
          <rPr>
            <sz val="9"/>
            <color indexed="81"/>
            <rFont val="Tahoma"/>
            <family val="2"/>
          </rPr>
          <t xml:space="preserve"> is typically a non-integer.  
</t>
        </r>
      </text>
    </comment>
    <comment ref="I32" authorId="0">
      <text>
        <r>
          <rPr>
            <i/>
            <sz val="9"/>
            <color indexed="81"/>
            <rFont val="Tahoma"/>
            <family val="2"/>
          </rPr>
          <t>p</t>
        </r>
        <r>
          <rPr>
            <sz val="9"/>
            <color indexed="81"/>
            <rFont val="Tahoma"/>
            <family val="2"/>
          </rPr>
          <t xml:space="preserve"> value for testing the null hypothesis of no difference between the two group means 
_________
It's a two-tailed </t>
        </r>
        <r>
          <rPr>
            <i/>
            <sz val="9"/>
            <color indexed="81"/>
            <rFont val="Tahoma"/>
            <family val="2"/>
          </rPr>
          <t>p</t>
        </r>
        <r>
          <rPr>
            <sz val="9"/>
            <color indexed="81"/>
            <rFont val="Tahoma"/>
            <family val="2"/>
          </rPr>
          <t xml:space="preserve"> value</t>
        </r>
      </text>
    </comment>
    <comment ref="E34" authorId="0">
      <text>
        <r>
          <rPr>
            <sz val="9"/>
            <color indexed="81"/>
            <rFont val="Tahoma"/>
            <family val="2"/>
          </rPr>
          <t xml:space="preserve">Click to reveal or hide a figure at far right that displays the difference, with its CI, on a Difference axis
</t>
        </r>
      </text>
    </comment>
    <comment ref="I35" authorId="0">
      <text>
        <r>
          <rPr>
            <sz val="9"/>
            <color indexed="81"/>
            <rFont val="Tahoma"/>
            <family val="2"/>
          </rPr>
          <t xml:space="preserve">Click to display Cohen's </t>
        </r>
        <r>
          <rPr>
            <i/>
            <sz val="10"/>
            <color indexed="81"/>
            <rFont val="Tahoma"/>
            <family val="2"/>
          </rPr>
          <t>d</t>
        </r>
        <r>
          <rPr>
            <sz val="9"/>
            <color indexed="81"/>
            <rFont val="Tahoma"/>
            <family val="2"/>
          </rPr>
          <t xml:space="preserve">, with its CI.
</t>
        </r>
      </text>
    </comment>
    <comment ref="E36" authorId="0">
      <text>
        <r>
          <rPr>
            <sz val="9"/>
            <color indexed="81"/>
            <rFont val="Tahoma"/>
            <family val="2"/>
          </rPr>
          <t xml:space="preserve">See values of </t>
        </r>
        <r>
          <rPr>
            <i/>
            <sz val="10"/>
            <color indexed="81"/>
            <rFont val="Tahoma"/>
            <family val="2"/>
          </rPr>
          <t>d</t>
        </r>
        <r>
          <rPr>
            <sz val="9"/>
            <color indexed="81"/>
            <rFont val="Tahoma"/>
            <family val="2"/>
          </rPr>
          <t xml:space="preserve"> and </t>
        </r>
        <r>
          <rPr>
            <i/>
            <sz val="10"/>
            <color indexed="81"/>
            <rFont val="Tahoma"/>
            <family val="2"/>
          </rPr>
          <t>d</t>
        </r>
        <r>
          <rPr>
            <vertAlign val="subscript"/>
            <sz val="11"/>
            <color indexed="81"/>
            <rFont val="Tahoma"/>
            <family val="2"/>
          </rPr>
          <t>unbiased</t>
        </r>
        <r>
          <rPr>
            <sz val="9"/>
            <color indexed="81"/>
            <rFont val="Tahoma"/>
            <family val="2"/>
          </rPr>
          <t xml:space="preserve">.
Click below to carry out the calculation of CI for </t>
        </r>
        <r>
          <rPr>
            <sz val="11"/>
            <color indexed="81"/>
            <rFont val="Symbol"/>
            <family val="1"/>
            <charset val="2"/>
          </rPr>
          <t>d</t>
        </r>
        <r>
          <rPr>
            <sz val="9"/>
            <color indexed="81"/>
            <rFont val="Tahoma"/>
            <family val="2"/>
          </rPr>
          <t xml:space="preserve">. You need to click again after any change in the data or </t>
        </r>
        <r>
          <rPr>
            <i/>
            <sz val="9"/>
            <color indexed="81"/>
            <rFont val="Tahoma"/>
            <family val="2"/>
          </rPr>
          <t>C</t>
        </r>
        <r>
          <rPr>
            <sz val="9"/>
            <color indexed="81"/>
            <rFont val="Tahoma"/>
            <family val="2"/>
          </rPr>
          <t xml:space="preserve">.
_________________
For CI calculation, max value of </t>
        </r>
        <r>
          <rPr>
            <i/>
            <sz val="10"/>
            <color indexed="81"/>
            <rFont val="Tahoma"/>
            <family val="2"/>
          </rPr>
          <t>df</t>
        </r>
        <r>
          <rPr>
            <sz val="9"/>
            <color indexed="81"/>
            <rFont val="Tahoma"/>
            <family val="2"/>
          </rPr>
          <t xml:space="preserve"> is 200, and </t>
        </r>
        <r>
          <rPr>
            <i/>
            <sz val="10"/>
            <color indexed="81"/>
            <rFont val="Tahoma"/>
            <family val="2"/>
          </rPr>
          <t>d</t>
        </r>
        <r>
          <rPr>
            <sz val="9"/>
            <color indexed="81"/>
            <rFont val="Tahoma"/>
            <family val="2"/>
          </rPr>
          <t xml:space="preserve"> must lie between -10 and +10.
</t>
        </r>
      </text>
    </comment>
    <comment ref="I36" authorId="0">
      <text>
        <r>
          <rPr>
            <sz val="9"/>
            <color indexed="81"/>
            <rFont val="Tahoma"/>
            <family val="2"/>
          </rPr>
          <t xml:space="preserve">Show Cohen's </t>
        </r>
        <r>
          <rPr>
            <i/>
            <sz val="10"/>
            <color indexed="81"/>
            <rFont val="Tahoma"/>
            <family val="2"/>
          </rPr>
          <t>d</t>
        </r>
        <r>
          <rPr>
            <sz val="9"/>
            <color indexed="81"/>
            <rFont val="Tahoma"/>
            <family val="2"/>
          </rPr>
          <t xml:space="preserve">, with its CI.
</t>
        </r>
        <r>
          <rPr>
            <i/>
            <sz val="10"/>
            <color indexed="81"/>
            <rFont val="Tahoma"/>
            <family val="2"/>
          </rPr>
          <t>d</t>
        </r>
        <r>
          <rPr>
            <sz val="9"/>
            <color indexed="81"/>
            <rFont val="Tahoma"/>
            <family val="2"/>
          </rPr>
          <t xml:space="preserve"> is calculated as: 
    </t>
        </r>
        <r>
          <rPr>
            <i/>
            <sz val="10"/>
            <color indexed="81"/>
            <rFont val="Tahoma"/>
            <family val="2"/>
          </rPr>
          <t>d</t>
        </r>
        <r>
          <rPr>
            <sz val="10"/>
            <color indexed="81"/>
            <rFont val="Tahoma"/>
            <family val="2"/>
          </rPr>
          <t xml:space="preserve"> = </t>
        </r>
        <r>
          <rPr>
            <sz val="9"/>
            <color indexed="81"/>
            <rFont val="Tahoma"/>
            <family val="2"/>
          </rPr>
          <t xml:space="preserve">ES / (pooled SD within groups) 
which is equivalent to: 
    </t>
        </r>
        <r>
          <rPr>
            <i/>
            <sz val="10"/>
            <color indexed="81"/>
            <rFont val="Tahoma"/>
            <family val="2"/>
          </rPr>
          <t>d</t>
        </r>
        <r>
          <rPr>
            <sz val="10"/>
            <color indexed="81"/>
            <rFont val="Tahoma"/>
            <family val="2"/>
          </rPr>
          <t xml:space="preserve"> = (</t>
        </r>
        <r>
          <rPr>
            <i/>
            <sz val="10"/>
            <color indexed="81"/>
            <rFont val="Tahoma"/>
            <family val="2"/>
          </rPr>
          <t>M</t>
        </r>
        <r>
          <rPr>
            <vertAlign val="subscript"/>
            <sz val="11"/>
            <color indexed="81"/>
            <rFont val="Tahoma"/>
            <family val="2"/>
          </rPr>
          <t>2</t>
        </r>
        <r>
          <rPr>
            <sz val="10"/>
            <color indexed="81"/>
            <rFont val="Tahoma"/>
            <family val="2"/>
          </rPr>
          <t xml:space="preserve"> - </t>
        </r>
        <r>
          <rPr>
            <i/>
            <sz val="10"/>
            <color indexed="81"/>
            <rFont val="Tahoma"/>
            <family val="2"/>
          </rPr>
          <t>M</t>
        </r>
        <r>
          <rPr>
            <vertAlign val="subscript"/>
            <sz val="11"/>
            <color indexed="81"/>
            <rFont val="Tahoma"/>
            <family val="2"/>
          </rPr>
          <t>1</t>
        </r>
        <r>
          <rPr>
            <sz val="10"/>
            <color indexed="81"/>
            <rFont val="Tahoma"/>
            <family val="2"/>
          </rPr>
          <t xml:space="preserve">) / </t>
        </r>
        <r>
          <rPr>
            <i/>
            <sz val="10"/>
            <color indexed="81"/>
            <rFont val="Tahoma"/>
            <family val="2"/>
          </rPr>
          <t>s</t>
        </r>
        <r>
          <rPr>
            <vertAlign val="subscript"/>
            <sz val="11"/>
            <color indexed="81"/>
            <rFont val="Tahoma"/>
            <family val="2"/>
          </rPr>
          <t>p</t>
        </r>
        <r>
          <rPr>
            <sz val="9"/>
            <color indexed="81"/>
            <rFont val="Tahoma"/>
            <family val="2"/>
          </rPr>
          <t xml:space="preserve">
At </t>
        </r>
        <r>
          <rPr>
            <b/>
            <sz val="9"/>
            <color indexed="10"/>
            <rFont val="Tahoma"/>
            <family val="2"/>
          </rPr>
          <t>4</t>
        </r>
        <r>
          <rPr>
            <sz val="9"/>
            <color indexed="81"/>
            <rFont val="Tahoma"/>
            <family val="2"/>
          </rPr>
          <t xml:space="preserve">, </t>
        </r>
        <r>
          <rPr>
            <b/>
            <sz val="9"/>
            <color indexed="81"/>
            <rFont val="Tahoma"/>
            <family val="2"/>
          </rPr>
          <t>Yes</t>
        </r>
        <r>
          <rPr>
            <sz val="9"/>
            <color indexed="81"/>
            <rFont val="Tahoma"/>
            <family val="2"/>
          </rPr>
          <t xml:space="preserve"> must be selected to assume variances equal.</t>
        </r>
      </text>
    </comment>
    <comment ref="I37" authorId="0">
      <text>
        <r>
          <rPr>
            <sz val="9"/>
            <color indexed="81"/>
            <rFont val="Tahoma"/>
            <family val="2"/>
          </rPr>
          <t xml:space="preserve">When Cohen's </t>
        </r>
        <r>
          <rPr>
            <i/>
            <sz val="10"/>
            <color indexed="81"/>
            <rFont val="Tahoma"/>
            <family val="2"/>
          </rPr>
          <t>d</t>
        </r>
        <r>
          <rPr>
            <sz val="10"/>
            <color indexed="81"/>
            <rFont val="Tahoma"/>
            <family val="2"/>
          </rPr>
          <t xml:space="preserve"> </t>
        </r>
        <r>
          <rPr>
            <sz val="9"/>
            <color indexed="81"/>
            <rFont val="Tahoma"/>
            <family val="2"/>
          </rPr>
          <t xml:space="preserve">is shown above, show here </t>
        </r>
        <r>
          <rPr>
            <i/>
            <sz val="10"/>
            <color indexed="81"/>
            <rFont val="Tahoma"/>
            <family val="2"/>
          </rPr>
          <t>d</t>
        </r>
        <r>
          <rPr>
            <vertAlign val="subscript"/>
            <sz val="11"/>
            <color indexed="81"/>
            <rFont val="Tahoma"/>
            <family val="2"/>
          </rPr>
          <t>unbiased</t>
        </r>
        <r>
          <rPr>
            <sz val="9"/>
            <color indexed="81"/>
            <rFont val="Tahoma"/>
            <family val="2"/>
          </rPr>
          <t xml:space="preserve">, which is calculated from </t>
        </r>
        <r>
          <rPr>
            <i/>
            <sz val="10"/>
            <color indexed="81"/>
            <rFont val="Tahoma"/>
            <family val="2"/>
          </rPr>
          <t>d</t>
        </r>
        <r>
          <rPr>
            <sz val="9"/>
            <color indexed="81"/>
            <rFont val="Tahoma"/>
            <family val="2"/>
          </rPr>
          <t xml:space="preserve"> to be an unbiased estimate of population effect size </t>
        </r>
        <r>
          <rPr>
            <sz val="11"/>
            <color indexed="81"/>
            <rFont val="Symbol"/>
            <family val="1"/>
            <charset val="2"/>
          </rPr>
          <t>d</t>
        </r>
        <r>
          <rPr>
            <sz val="9"/>
            <color indexed="81"/>
            <rFont val="Tahoma"/>
            <family val="2"/>
          </rPr>
          <t>.</t>
        </r>
        <r>
          <rPr>
            <sz val="9"/>
            <color indexed="81"/>
            <rFont val="Tahoma"/>
            <family val="2"/>
          </rPr>
          <t xml:space="preserve">
</t>
        </r>
      </text>
    </comment>
    <comment ref="H38" authorId="0">
      <text>
        <r>
          <rPr>
            <sz val="9"/>
            <color indexed="81"/>
            <rFont val="Tahoma"/>
            <family val="2"/>
          </rPr>
          <t xml:space="preserve">Click to carry out the calculation of CI for </t>
        </r>
        <r>
          <rPr>
            <sz val="11"/>
            <color indexed="81"/>
            <rFont val="Symbol"/>
            <family val="1"/>
            <charset val="2"/>
          </rPr>
          <t>d</t>
        </r>
        <r>
          <rPr>
            <sz val="9"/>
            <color indexed="81"/>
            <rFont val="Tahoma"/>
            <family val="2"/>
          </rPr>
          <t xml:space="preserve">. You need to click again after any change in the data or </t>
        </r>
        <r>
          <rPr>
            <i/>
            <sz val="9"/>
            <color indexed="81"/>
            <rFont val="Tahoma"/>
            <family val="2"/>
          </rPr>
          <t>C</t>
        </r>
        <r>
          <rPr>
            <sz val="9"/>
            <color indexed="81"/>
            <rFont val="Tahoma"/>
            <family val="2"/>
          </rPr>
          <t xml:space="preserve">.
_________________
For CI calculation, max value of </t>
        </r>
        <r>
          <rPr>
            <i/>
            <sz val="10"/>
            <color indexed="81"/>
            <rFont val="Tahoma"/>
            <family val="2"/>
          </rPr>
          <t>df</t>
        </r>
        <r>
          <rPr>
            <sz val="9"/>
            <color indexed="81"/>
            <rFont val="Tahoma"/>
            <family val="2"/>
          </rPr>
          <t xml:space="preserve"> is 200, and </t>
        </r>
        <r>
          <rPr>
            <i/>
            <sz val="10"/>
            <color indexed="81"/>
            <rFont val="Tahoma"/>
            <family val="2"/>
          </rPr>
          <t>d</t>
        </r>
        <r>
          <rPr>
            <sz val="9"/>
            <color indexed="81"/>
            <rFont val="Tahoma"/>
            <family val="2"/>
          </rPr>
          <t xml:space="preserve"> must lie between -10 and +10.
</t>
        </r>
      </text>
    </comment>
    <comment ref="N38" authorId="0">
      <text>
        <r>
          <rPr>
            <sz val="9"/>
            <color indexed="81"/>
            <rFont val="Tahoma"/>
            <family val="2"/>
          </rPr>
          <t xml:space="preserve">CI calculated for </t>
        </r>
        <r>
          <rPr>
            <sz val="11"/>
            <color indexed="81"/>
            <rFont val="Symbol"/>
            <family val="1"/>
            <charset val="2"/>
          </rPr>
          <t>d</t>
        </r>
        <r>
          <rPr>
            <sz val="9"/>
            <color indexed="81"/>
            <rFont val="Tahoma"/>
            <family val="2"/>
          </rPr>
          <t xml:space="preserve">
</t>
        </r>
      </text>
    </comment>
    <comment ref="I40" authorId="0">
      <text>
        <r>
          <rPr>
            <sz val="9"/>
            <color indexed="81"/>
            <rFont val="Tahoma"/>
            <family val="2"/>
          </rPr>
          <t xml:space="preserve">Average arm length of the CI for </t>
        </r>
        <r>
          <rPr>
            <sz val="11"/>
            <color indexed="81"/>
            <rFont val="Symbol"/>
            <family val="1"/>
            <charset val="2"/>
          </rPr>
          <t>d</t>
        </r>
        <r>
          <rPr>
            <sz val="9"/>
            <color indexed="81"/>
            <rFont val="Tahoma"/>
            <family val="2"/>
          </rPr>
          <t>.  
This is our measure of precision.</t>
        </r>
        <r>
          <rPr>
            <sz val="9"/>
            <color indexed="81"/>
            <rFont val="Tahoma"/>
            <family val="2"/>
          </rPr>
          <t xml:space="preserve">
</t>
        </r>
      </text>
    </comment>
  </commentList>
</comments>
</file>

<file path=xl/comments9.xml><?xml version="1.0" encoding="utf-8"?>
<comments xmlns="http://schemas.openxmlformats.org/spreadsheetml/2006/main">
  <authors>
    <author>Geoff Cumming</author>
  </authors>
  <commentList>
    <comment ref="A5" authorId="0">
      <text>
        <r>
          <rPr>
            <sz val="9"/>
            <color indexed="81"/>
            <rFont val="Tahoma"/>
            <family val="2"/>
          </rPr>
          <t xml:space="preserve">Use the slider to set the value of Cohen's </t>
        </r>
        <r>
          <rPr>
            <i/>
            <sz val="10"/>
            <color indexed="81"/>
            <rFont val="Tahoma"/>
            <family val="2"/>
          </rPr>
          <t>d</t>
        </r>
        <r>
          <rPr>
            <sz val="9"/>
            <color indexed="81"/>
            <rFont val="Tahoma"/>
            <family val="2"/>
          </rPr>
          <t>.
Min -5, max 5</t>
        </r>
      </text>
    </comment>
    <comment ref="E8" authorId="0">
      <text>
        <r>
          <rPr>
            <sz val="9"/>
            <color indexed="81"/>
            <rFont val="Tahoma"/>
            <family val="2"/>
          </rPr>
          <t xml:space="preserve">Cohen's </t>
        </r>
        <r>
          <rPr>
            <i/>
            <sz val="9"/>
            <color indexed="81"/>
            <rFont val="Tahoma"/>
            <family val="2"/>
          </rPr>
          <t>d</t>
        </r>
        <r>
          <rPr>
            <sz val="9"/>
            <color indexed="81"/>
            <rFont val="Tahoma"/>
            <family val="2"/>
          </rPr>
          <t xml:space="preserve">, calculated as the difference between the two means, divided by the SD, which is assumed the same for the two distributions.
</t>
        </r>
      </text>
    </comment>
    <comment ref="A11" authorId="0">
      <text>
        <r>
          <rPr>
            <sz val="9"/>
            <color indexed="81"/>
            <rFont val="Tahoma"/>
            <family val="2"/>
          </rPr>
          <t>Area under one curve, to show its relation to the other curve</t>
        </r>
        <r>
          <rPr>
            <sz val="9"/>
            <color indexed="81"/>
            <rFont val="Tahoma"/>
            <family val="2"/>
          </rPr>
          <t xml:space="preserve">
</t>
        </r>
      </text>
    </comment>
    <comment ref="E13" authorId="0">
      <text>
        <r>
          <rPr>
            <sz val="9"/>
            <color indexed="81"/>
            <rFont val="Tahoma"/>
            <family val="2"/>
          </rPr>
          <t xml:space="preserve">Area under the </t>
        </r>
        <r>
          <rPr>
            <sz val="9"/>
            <color indexed="10"/>
            <rFont val="Tahoma"/>
            <family val="2"/>
          </rPr>
          <t xml:space="preserve">red Experimental (E) curve </t>
        </r>
        <r>
          <rPr>
            <sz val="9"/>
            <color indexed="81"/>
            <rFont val="Tahoma"/>
            <family val="2"/>
          </rPr>
          <t xml:space="preserve">to the right of the </t>
        </r>
        <r>
          <rPr>
            <sz val="9"/>
            <color indexed="12"/>
            <rFont val="Tahoma"/>
            <family val="2"/>
          </rPr>
          <t xml:space="preserve">blue Control (C) curve </t>
        </r>
        <r>
          <rPr>
            <sz val="9"/>
            <color indexed="81"/>
            <rFont val="Tahoma"/>
            <family val="2"/>
          </rPr>
          <t>mean</t>
        </r>
        <r>
          <rPr>
            <sz val="9"/>
            <color indexed="81"/>
            <rFont val="Tahoma"/>
            <family val="2"/>
          </rPr>
          <t xml:space="preserve">
</t>
        </r>
      </text>
    </comment>
    <comment ref="G13" authorId="0">
      <text>
        <r>
          <rPr>
            <sz val="9"/>
            <color indexed="81"/>
            <rFont val="Tahoma"/>
            <family val="2"/>
          </rPr>
          <t>Click to highlight this area with colored shading</t>
        </r>
      </text>
    </comment>
    <comment ref="E15" authorId="0">
      <text>
        <r>
          <rPr>
            <sz val="9"/>
            <color indexed="81"/>
            <rFont val="Tahoma"/>
            <family val="2"/>
          </rPr>
          <t xml:space="preserve">Area under the </t>
        </r>
        <r>
          <rPr>
            <sz val="9"/>
            <color indexed="12"/>
            <rFont val="Tahoma"/>
            <family val="2"/>
          </rPr>
          <t>blue</t>
        </r>
        <r>
          <rPr>
            <sz val="9"/>
            <color indexed="81"/>
            <rFont val="Tahoma"/>
            <family val="2"/>
          </rPr>
          <t xml:space="preserve"> </t>
        </r>
        <r>
          <rPr>
            <sz val="9"/>
            <color indexed="12"/>
            <rFont val="Tahoma"/>
            <family val="2"/>
          </rPr>
          <t>Control (C) curve</t>
        </r>
        <r>
          <rPr>
            <sz val="9"/>
            <color indexed="81"/>
            <rFont val="Tahoma"/>
            <family val="2"/>
          </rPr>
          <t xml:space="preserve"> to the left of the </t>
        </r>
        <r>
          <rPr>
            <sz val="9"/>
            <color indexed="10"/>
            <rFont val="Tahoma"/>
            <family val="2"/>
          </rPr>
          <t>red</t>
        </r>
        <r>
          <rPr>
            <sz val="9"/>
            <color indexed="81"/>
            <rFont val="Tahoma"/>
            <family val="2"/>
          </rPr>
          <t xml:space="preserve"> </t>
        </r>
        <r>
          <rPr>
            <sz val="9"/>
            <color indexed="10"/>
            <rFont val="Tahoma"/>
            <family val="2"/>
          </rPr>
          <t xml:space="preserve">Experimental (E) curve </t>
        </r>
        <r>
          <rPr>
            <sz val="9"/>
            <color indexed="81"/>
            <rFont val="Tahoma"/>
            <family val="2"/>
          </rPr>
          <t>mean</t>
        </r>
        <r>
          <rPr>
            <sz val="9"/>
            <color indexed="81"/>
            <rFont val="Tahoma"/>
            <family val="2"/>
          </rPr>
          <t xml:space="preserve">
</t>
        </r>
      </text>
    </comment>
    <comment ref="G15" authorId="0">
      <text>
        <r>
          <rPr>
            <sz val="9"/>
            <color indexed="81"/>
            <rFont val="Tahoma"/>
            <family val="2"/>
          </rPr>
          <t>Click to highlight this area with colored shading</t>
        </r>
      </text>
    </comment>
    <comment ref="AG26" authorId="0">
      <text>
        <r>
          <rPr>
            <sz val="9"/>
            <color indexed="81"/>
            <rFont val="Tahoma"/>
            <family val="2"/>
          </rPr>
          <t xml:space="preserve">Mean of Control distribution
</t>
        </r>
      </text>
    </comment>
    <comment ref="AG27" authorId="0">
      <text>
        <r>
          <rPr>
            <sz val="9"/>
            <color indexed="81"/>
            <rFont val="Tahoma"/>
            <family val="2"/>
          </rPr>
          <t xml:space="preserve">Mean of Experimental distribution
</t>
        </r>
      </text>
    </comment>
    <comment ref="AG28" authorId="0">
      <text>
        <r>
          <rPr>
            <sz val="9"/>
            <color indexed="81"/>
            <rFont val="Tahoma"/>
            <family val="2"/>
          </rPr>
          <t>Standard deviation of each distribution</t>
        </r>
      </text>
    </comment>
  </commentList>
</comments>
</file>

<file path=xl/comments10.xml><?xml version="1.0" encoding="utf-8"?>
<comments xmlns="http://schemas.openxmlformats.org/spreadsheetml/2006/main">
  <authors>
    <author>Geoff Cumming</author>
  </authors>
  <commentList>
    <comment ref="O2" authorId="0">
      <text>
        <r>
          <rPr>
            <sz val="9"/>
            <color indexed="81"/>
            <rFont val="Tahoma"/>
            <family val="2"/>
          </rPr>
          <t xml:space="preserve">Click to clear your data
</t>
        </r>
      </text>
    </comment>
    <comment ref="BG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t>
        </r>
        <r>
          <rPr>
            <b/>
            <sz val="9"/>
            <color indexed="10"/>
            <rFont val="Tahoma"/>
            <family val="2"/>
          </rPr>
          <t>2</t>
        </r>
        <r>
          <rPr>
            <sz val="9"/>
            <color indexed="81"/>
            <rFont val="Tahoma"/>
            <family val="2"/>
          </rPr>
          <t xml:space="preserve">, and </t>
        </r>
        <r>
          <rPr>
            <b/>
            <sz val="9"/>
            <color indexed="10"/>
            <rFont val="Tahoma"/>
            <family val="2"/>
          </rPr>
          <t>3</t>
        </r>
        <r>
          <rPr>
            <sz val="9"/>
            <color indexed="81"/>
            <rFont val="Tahoma"/>
            <family val="2"/>
          </rPr>
          <t xml:space="preserve"> at left. Replace any existing data.
___________
You can also enter new data below, for later transfer left. </t>
        </r>
      </text>
    </comment>
    <comment ref="BL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t>
        </r>
        <r>
          <rPr>
            <b/>
            <sz val="9"/>
            <color indexed="10"/>
            <rFont val="Tahoma"/>
            <family val="2"/>
          </rPr>
          <t>2</t>
        </r>
        <r>
          <rPr>
            <sz val="9"/>
            <color indexed="81"/>
            <rFont val="Tahoma"/>
            <family val="2"/>
          </rPr>
          <t xml:space="preserve">, and </t>
        </r>
        <r>
          <rPr>
            <b/>
            <sz val="9"/>
            <color indexed="10"/>
            <rFont val="Tahoma"/>
            <family val="2"/>
          </rPr>
          <t>3</t>
        </r>
        <r>
          <rPr>
            <sz val="9"/>
            <color indexed="81"/>
            <rFont val="Tahoma"/>
            <family val="2"/>
          </rPr>
          <t xml:space="preserve"> at left. Replace any existing data.
___________
You can also enter new data below, for later transfer left. </t>
        </r>
      </text>
    </comment>
    <comment ref="BQ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t>
        </r>
        <r>
          <rPr>
            <b/>
            <sz val="9"/>
            <color indexed="10"/>
            <rFont val="Tahoma"/>
            <family val="2"/>
          </rPr>
          <t>2</t>
        </r>
        <r>
          <rPr>
            <sz val="9"/>
            <color indexed="81"/>
            <rFont val="Tahoma"/>
            <family val="2"/>
          </rPr>
          <t xml:space="preserve">, and </t>
        </r>
        <r>
          <rPr>
            <b/>
            <sz val="9"/>
            <color indexed="10"/>
            <rFont val="Tahoma"/>
            <family val="2"/>
          </rPr>
          <t>3</t>
        </r>
        <r>
          <rPr>
            <sz val="9"/>
            <color indexed="81"/>
            <rFont val="Tahoma"/>
            <family val="2"/>
          </rPr>
          <t xml:space="preserve"> at left. Replace any existing data.
___________
You can also enter new data below, for later transfer left. </t>
        </r>
      </text>
    </comment>
    <comment ref="BH4" authorId="0">
      <text>
        <r>
          <rPr>
            <sz val="9"/>
            <color indexed="81"/>
            <rFont val="Tahoma"/>
            <family val="2"/>
          </rPr>
          <t>Type a short name for the dataset if you wish</t>
        </r>
        <r>
          <rPr>
            <sz val="9"/>
            <color indexed="81"/>
            <rFont val="Tahoma"/>
            <family val="2"/>
          </rPr>
          <t xml:space="preserve">
</t>
        </r>
      </text>
    </comment>
    <comment ref="BM4" authorId="0">
      <text>
        <r>
          <rPr>
            <sz val="9"/>
            <color indexed="81"/>
            <rFont val="Tahoma"/>
            <family val="2"/>
          </rPr>
          <t>Type a short name for the dataset if you wish</t>
        </r>
        <r>
          <rPr>
            <sz val="9"/>
            <color indexed="81"/>
            <rFont val="Tahoma"/>
            <family val="2"/>
          </rPr>
          <t xml:space="preserve">
</t>
        </r>
      </text>
    </comment>
    <comment ref="BR4" authorId="0">
      <text>
        <r>
          <rPr>
            <sz val="9"/>
            <color indexed="81"/>
            <rFont val="Tahoma"/>
            <family val="2"/>
          </rPr>
          <t>Type a short name for the dataset if you wish</t>
        </r>
        <r>
          <rPr>
            <sz val="9"/>
            <color indexed="81"/>
            <rFont val="Tahoma"/>
            <family val="2"/>
          </rPr>
          <t xml:space="preserve">
</t>
        </r>
      </text>
    </comment>
    <comment ref="F5" authorId="0">
      <text>
        <r>
          <rPr>
            <sz val="9"/>
            <color indexed="81"/>
            <rFont val="Tahoma"/>
            <family val="2"/>
          </rPr>
          <t>Type a short name for the dataset if you wish</t>
        </r>
        <r>
          <rPr>
            <sz val="9"/>
            <color indexed="81"/>
            <rFont val="Tahoma"/>
            <family val="2"/>
          </rPr>
          <t xml:space="preserve">
</t>
        </r>
      </text>
    </comment>
    <comment ref="K5" authorId="0">
      <text>
        <r>
          <rPr>
            <sz val="9"/>
            <color indexed="81"/>
            <rFont val="Tahoma"/>
            <family val="2"/>
          </rPr>
          <t xml:space="preserve">Set basic features of the display
</t>
        </r>
      </text>
    </comment>
    <comment ref="P5" authorId="0">
      <text>
        <r>
          <rPr>
            <sz val="9"/>
            <color indexed="81"/>
            <rFont val="Tahoma"/>
            <family val="2"/>
          </rPr>
          <t xml:space="preserve">Mark values of differences with small pink triangles, against the differences axis
</t>
        </r>
      </text>
    </comment>
    <comment ref="BH5" authorId="0">
      <text>
        <r>
          <rPr>
            <sz val="9"/>
            <color indexed="81"/>
            <rFont val="Tahoma"/>
            <family val="2"/>
          </rPr>
          <t xml:space="preserve">Type units at right
</t>
        </r>
      </text>
    </comment>
    <comment ref="BM5" authorId="0">
      <text>
        <r>
          <rPr>
            <sz val="9"/>
            <color indexed="81"/>
            <rFont val="Tahoma"/>
            <family val="2"/>
          </rPr>
          <t xml:space="preserve">Type units at right
</t>
        </r>
      </text>
    </comment>
    <comment ref="BR5" authorId="0">
      <text>
        <r>
          <rPr>
            <sz val="9"/>
            <color indexed="81"/>
            <rFont val="Tahoma"/>
            <family val="2"/>
          </rPr>
          <t xml:space="preserve">Type units at right
</t>
        </r>
      </text>
    </comment>
    <comment ref="F6" authorId="0">
      <text>
        <r>
          <rPr>
            <sz val="9"/>
            <color indexed="81"/>
            <rFont val="Tahoma"/>
            <family val="2"/>
          </rPr>
          <t xml:space="preserve">Type units at right
</t>
        </r>
      </text>
    </comment>
    <comment ref="N6" authorId="0">
      <text>
        <r>
          <rPr>
            <sz val="9"/>
            <color indexed="81"/>
            <rFont val="Tahoma"/>
            <family val="2"/>
          </rPr>
          <t xml:space="preserve">Mark values of data points with small blue circles
</t>
        </r>
      </text>
    </comment>
    <comment ref="R6" authorId="0">
      <text>
        <r>
          <rPr>
            <sz val="9"/>
            <color indexed="81"/>
            <rFont val="Tahoma"/>
            <family val="2"/>
          </rPr>
          <t xml:space="preserve">Offset points horizontally so all are visible
____________
To adjust the appearance of offset points, scroll right and adjust x and y at </t>
        </r>
        <r>
          <rPr>
            <b/>
            <sz val="9"/>
            <color indexed="10"/>
            <rFont val="Tahoma"/>
            <family val="2"/>
          </rPr>
          <t>11</t>
        </r>
      </text>
    </comment>
    <comment ref="I7" authorId="0">
      <text>
        <r>
          <rPr>
            <sz val="9"/>
            <color indexed="81"/>
            <rFont val="Tahoma"/>
            <family val="2"/>
          </rPr>
          <t xml:space="preserve">The column below gives the calculated 
(Measure 2 - Measure 1) difference, for each pair
</t>
        </r>
      </text>
    </comment>
    <comment ref="BH7"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J7"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M7"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O7"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R7"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T7"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E8" authorId="0">
      <text>
        <r>
          <rPr>
            <sz val="9"/>
            <color indexed="81"/>
            <rFont val="Tahoma"/>
            <family val="2"/>
          </rPr>
          <t xml:space="preserve">At right, type brief labels for the two measures, to appear at bottom of the figure
</t>
        </r>
      </text>
    </comment>
    <comment ref="F8" authorId="0">
      <text>
        <r>
          <rPr>
            <sz val="9"/>
            <color indexed="81"/>
            <rFont val="Tahoma"/>
            <family val="2"/>
          </rPr>
          <t xml:space="preserve">Type brief label for Measure 1, to appear at bottom of the figure
</t>
        </r>
      </text>
    </comment>
    <comment ref="G8" authorId="0">
      <text>
        <r>
          <rPr>
            <sz val="9"/>
            <color indexed="81"/>
            <rFont val="Tahoma"/>
            <family val="2"/>
          </rPr>
          <t xml:space="preserve">Type brief label for Measure 2, to appear at bottom of the figure
</t>
        </r>
      </text>
    </comment>
    <comment ref="I8" authorId="0">
      <text>
        <r>
          <rPr>
            <sz val="9"/>
            <color indexed="81"/>
            <rFont val="Tahoma"/>
            <family val="2"/>
          </rPr>
          <t xml:space="preserve">Click any of the checkboxes below to highlight in the figure the corresponding pair and its difference.
---Only works when data pairs, and differences, are displayed in the figure.
(Click near </t>
        </r>
        <r>
          <rPr>
            <b/>
            <sz val="9"/>
            <color indexed="10"/>
            <rFont val="Tahoma"/>
            <family val="2"/>
          </rPr>
          <t>5</t>
        </r>
        <r>
          <rPr>
            <sz val="9"/>
            <color indexed="81"/>
            <rFont val="Tahoma"/>
            <family val="2"/>
          </rPr>
          <t xml:space="preserve"> for those.)
Only pairs 1, 3, 5, and 7 can be highlighted.  
</t>
        </r>
      </text>
    </comment>
    <comment ref="K8" authorId="0">
      <text>
        <r>
          <rPr>
            <sz val="9"/>
            <color indexed="81"/>
            <rFont val="Tahoma"/>
            <family val="2"/>
          </rPr>
          <t xml:space="preserve">Choose CIs to display
</t>
        </r>
      </text>
    </comment>
    <comment ref="AO8" authorId="0">
      <text>
        <r>
          <rPr>
            <sz val="9"/>
            <color indexed="81"/>
            <rFont val="Tahoma"/>
            <family val="2"/>
          </rPr>
          <t xml:space="preserve">Adjust the vertical and horizontal spacing that governs how data points are displayed when 'Offset points' is selected near </t>
        </r>
        <r>
          <rPr>
            <b/>
            <sz val="9"/>
            <color indexed="10"/>
            <rFont val="Tahoma"/>
            <family val="2"/>
          </rPr>
          <t>5</t>
        </r>
        <r>
          <rPr>
            <sz val="9"/>
            <color indexed="81"/>
            <rFont val="Tahoma"/>
            <family val="2"/>
          </rPr>
          <t xml:space="preserve">
</t>
        </r>
      </text>
    </comment>
    <comment ref="BG8"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L8"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Q8"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E9" authorId="0">
      <text>
        <r>
          <rPr>
            <sz val="9"/>
            <color indexed="81"/>
            <rFont val="Tahoma"/>
            <family val="2"/>
          </rPr>
          <t>Type in your pairs of data points.  Each pair comprises a value on Measure 1, and a value on Measure 2.
Press Enter after each value.  Max 1000 pairs.  
______________
You can paste data from the clipboard by clicking to select the top cell, then using 
Paste Special/Values.</t>
        </r>
      </text>
    </comment>
    <comment ref="N9" authorId="0">
      <text>
        <r>
          <rPr>
            <sz val="9"/>
            <color indexed="81"/>
            <rFont val="Tahoma"/>
            <family val="2"/>
          </rPr>
          <t xml:space="preserve">Show CIs on the means of Measures 1 and 2
</t>
        </r>
      </text>
    </comment>
    <comment ref="O9" authorId="0">
      <text>
        <r>
          <rPr>
            <sz val="9"/>
            <color indexed="81"/>
            <rFont val="Tahoma"/>
            <family val="2"/>
          </rPr>
          <t xml:space="preserve">Confidence level (%) for CIs.  Use the spinner or type in a value.  Min 0, max 99.9.
</t>
        </r>
      </text>
    </comment>
    <comment ref="O10" authorId="0">
      <text>
        <r>
          <rPr>
            <sz val="9"/>
            <color indexed="81"/>
            <rFont val="Tahoma"/>
            <family val="2"/>
          </rPr>
          <t xml:space="preserve">Show the CI on the differences
</t>
        </r>
      </text>
    </comment>
    <comment ref="AQ10" authorId="0">
      <text>
        <r>
          <rPr>
            <sz val="9"/>
            <color indexed="81"/>
            <rFont val="Tahoma"/>
            <family val="2"/>
          </rPr>
          <t>Use spinner, or type in a value, to adjust the vertical spacing of the offset points.
___________
It's usually best to aim for points just touching those above and below.</t>
        </r>
      </text>
    </comment>
    <comment ref="K12" authorId="0">
      <text>
        <r>
          <rPr>
            <sz val="9"/>
            <color indexed="81"/>
            <rFont val="Tahoma"/>
            <family val="2"/>
          </rPr>
          <t xml:space="preserve">Below are descriptive and inferential statistics for the two measures
</t>
        </r>
      </text>
    </comment>
    <comment ref="AQ13" authorId="0">
      <text>
        <r>
          <rPr>
            <sz val="9"/>
            <color indexed="81"/>
            <rFont val="Tahoma"/>
            <family val="2"/>
          </rPr>
          <t xml:space="preserve">Use spinner, or type in a value, to adjust the horizontal spacing of the offset points.
___________
It's usually best to aim for points just touching, or overlapping a little with those to left and right. </t>
        </r>
      </text>
    </comment>
    <comment ref="M14" authorId="0">
      <text>
        <r>
          <rPr>
            <sz val="9"/>
            <color indexed="81"/>
            <rFont val="Tahoma"/>
            <family val="2"/>
          </rPr>
          <t xml:space="preserve">Type in this label at </t>
        </r>
        <r>
          <rPr>
            <b/>
            <sz val="9"/>
            <color indexed="10"/>
            <rFont val="Tahoma"/>
            <family val="2"/>
          </rPr>
          <t>2</t>
        </r>
        <r>
          <rPr>
            <sz val="9"/>
            <color indexed="81"/>
            <rFont val="Tahoma"/>
            <family val="2"/>
          </rPr>
          <t xml:space="preserve">
</t>
        </r>
      </text>
    </comment>
    <comment ref="O14" authorId="0">
      <text>
        <r>
          <rPr>
            <sz val="9"/>
            <color indexed="81"/>
            <rFont val="Tahoma"/>
            <family val="2"/>
          </rPr>
          <t xml:space="preserve">Type in this label at </t>
        </r>
        <r>
          <rPr>
            <b/>
            <sz val="9"/>
            <color indexed="10"/>
            <rFont val="Tahoma"/>
            <family val="2"/>
          </rPr>
          <t>2</t>
        </r>
        <r>
          <rPr>
            <sz val="9"/>
            <color indexed="81"/>
            <rFont val="Tahoma"/>
            <family val="2"/>
          </rPr>
          <t xml:space="preserve">
</t>
        </r>
      </text>
    </comment>
    <comment ref="M15" authorId="0">
      <text>
        <r>
          <rPr>
            <sz val="9"/>
            <color indexed="81"/>
            <rFont val="Tahoma"/>
            <family val="2"/>
          </rPr>
          <t xml:space="preserve">Number of pairs
</t>
        </r>
      </text>
    </comment>
    <comment ref="L16" authorId="0">
      <text>
        <r>
          <rPr>
            <sz val="9"/>
            <color indexed="81"/>
            <rFont val="Tahoma"/>
            <family val="2"/>
          </rPr>
          <t xml:space="preserve">Mean of  Measure 1
</t>
        </r>
      </text>
    </comment>
    <comment ref="N16" authorId="0">
      <text>
        <r>
          <rPr>
            <sz val="9"/>
            <color indexed="81"/>
            <rFont val="Tahoma"/>
            <family val="2"/>
          </rPr>
          <t xml:space="preserve">Mean of  Measure 2
</t>
        </r>
      </text>
    </comment>
    <comment ref="L17" authorId="0">
      <text>
        <r>
          <rPr>
            <sz val="9"/>
            <color indexed="81"/>
            <rFont val="Tahoma"/>
            <family val="2"/>
          </rPr>
          <t>SD of  Measure 1</t>
        </r>
      </text>
    </comment>
    <comment ref="N17" authorId="0">
      <text>
        <r>
          <rPr>
            <sz val="9"/>
            <color indexed="81"/>
            <rFont val="Tahoma"/>
            <family val="2"/>
          </rPr>
          <t>SD of  Measure 2</t>
        </r>
      </text>
    </comment>
    <comment ref="L18" authorId="0">
      <text>
        <r>
          <rPr>
            <i/>
            <sz val="9"/>
            <color indexed="81"/>
            <rFont val="Tahoma"/>
            <family val="2"/>
          </rPr>
          <t>MoE</t>
        </r>
        <r>
          <rPr>
            <sz val="9"/>
            <color indexed="81"/>
            <rFont val="Tahoma"/>
            <family val="2"/>
          </rPr>
          <t xml:space="preserve"> of the CI for the mean of Measure 1</t>
        </r>
      </text>
    </comment>
    <comment ref="N18" authorId="0">
      <text>
        <r>
          <rPr>
            <i/>
            <sz val="9"/>
            <color indexed="81"/>
            <rFont val="Tahoma"/>
            <family val="2"/>
          </rPr>
          <t>MoE</t>
        </r>
        <r>
          <rPr>
            <sz val="9"/>
            <color indexed="81"/>
            <rFont val="Tahoma"/>
            <family val="2"/>
          </rPr>
          <t xml:space="preserve"> of the CI for the mean of Measure 2</t>
        </r>
      </text>
    </comment>
    <comment ref="L19" authorId="0">
      <text>
        <r>
          <rPr>
            <sz val="9"/>
            <color indexed="81"/>
            <rFont val="Tahoma"/>
            <family val="2"/>
          </rPr>
          <t xml:space="preserve">CI lower limit
</t>
        </r>
      </text>
    </comment>
    <comment ref="N19" authorId="0">
      <text>
        <r>
          <rPr>
            <sz val="9"/>
            <color indexed="81"/>
            <rFont val="Tahoma"/>
            <family val="2"/>
          </rPr>
          <t xml:space="preserve">CI lower limit
</t>
        </r>
      </text>
    </comment>
    <comment ref="L20" authorId="0">
      <text>
        <r>
          <rPr>
            <sz val="9"/>
            <color indexed="81"/>
            <rFont val="Tahoma"/>
            <family val="2"/>
          </rPr>
          <t xml:space="preserve">CI upper limit
</t>
        </r>
      </text>
    </comment>
    <comment ref="N20" authorId="0">
      <text>
        <r>
          <rPr>
            <sz val="9"/>
            <color indexed="81"/>
            <rFont val="Tahoma"/>
            <family val="2"/>
          </rPr>
          <t xml:space="preserve">CI upper limit
</t>
        </r>
      </text>
    </comment>
    <comment ref="M21" authorId="0">
      <text>
        <r>
          <rPr>
            <sz val="9"/>
            <color indexed="81"/>
            <rFont val="Tahoma"/>
            <family val="2"/>
          </rPr>
          <t xml:space="preserve">of the two measures, for this data set.
</t>
        </r>
      </text>
    </comment>
    <comment ref="K23" authorId="0">
      <text>
        <r>
          <rPr>
            <sz val="9"/>
            <color indexed="81"/>
            <rFont val="Tahoma"/>
            <family val="2"/>
          </rPr>
          <t xml:space="preserve">Below are descriptive and inferential statistics for your set of data pairs
</t>
        </r>
      </text>
    </comment>
    <comment ref="M24" authorId="0">
      <text>
        <r>
          <rPr>
            <sz val="9"/>
            <color indexed="81"/>
            <rFont val="Tahoma"/>
            <family val="2"/>
          </rPr>
          <t xml:space="preserve">Mean of the differences
</t>
        </r>
      </text>
    </comment>
    <comment ref="M25" authorId="0">
      <text>
        <r>
          <rPr>
            <sz val="9"/>
            <color indexed="81"/>
            <rFont val="Tahoma"/>
            <family val="2"/>
          </rPr>
          <t xml:space="preserve">Standard deviation of the differences
</t>
        </r>
      </text>
    </comment>
    <comment ref="M26" authorId="0">
      <text>
        <r>
          <rPr>
            <i/>
            <sz val="9"/>
            <color indexed="81"/>
            <rFont val="Tahoma"/>
            <family val="2"/>
          </rPr>
          <t>MoE</t>
        </r>
        <r>
          <rPr>
            <sz val="9"/>
            <color indexed="81"/>
            <rFont val="Tahoma"/>
            <family val="2"/>
          </rPr>
          <t xml:space="preserve"> of the CI for the mean difference</t>
        </r>
      </text>
    </comment>
    <comment ref="M27" authorId="0">
      <text>
        <r>
          <rPr>
            <sz val="9"/>
            <color indexed="81"/>
            <rFont val="Tahoma"/>
            <family val="2"/>
          </rPr>
          <t xml:space="preserve">CI for mean of the differences
</t>
        </r>
      </text>
    </comment>
    <comment ref="M29" authorId="0">
      <text>
        <r>
          <rPr>
            <sz val="9"/>
            <color indexed="81"/>
            <rFont val="Tahoma"/>
            <family val="2"/>
          </rPr>
          <t xml:space="preserve">Effect size, in original measurement units.  The same as </t>
        </r>
        <r>
          <rPr>
            <i/>
            <sz val="9"/>
            <color indexed="81"/>
            <rFont val="Tahoma"/>
            <family val="2"/>
          </rPr>
          <t>M</t>
        </r>
        <r>
          <rPr>
            <vertAlign val="subscript"/>
            <sz val="10"/>
            <color indexed="81"/>
            <rFont val="Tahoma"/>
            <family val="2"/>
          </rPr>
          <t>diff</t>
        </r>
        <r>
          <rPr>
            <sz val="9"/>
            <color indexed="81"/>
            <rFont val="Tahoma"/>
            <family val="2"/>
          </rPr>
          <t xml:space="preserve">.
</t>
        </r>
      </text>
    </comment>
    <comment ref="M30" authorId="0">
      <text>
        <r>
          <rPr>
            <sz val="9"/>
            <color indexed="81"/>
            <rFont val="Tahoma"/>
            <family val="2"/>
          </rPr>
          <t xml:space="preserve">Value of </t>
        </r>
        <r>
          <rPr>
            <i/>
            <sz val="10"/>
            <color indexed="81"/>
            <rFont val="Tahoma"/>
            <family val="2"/>
          </rPr>
          <t>t</t>
        </r>
        <r>
          <rPr>
            <i/>
            <sz val="9"/>
            <color indexed="81"/>
            <rFont val="Tahoma"/>
            <family val="2"/>
          </rPr>
          <t xml:space="preserve"> </t>
        </r>
        <r>
          <rPr>
            <sz val="9"/>
            <color indexed="81"/>
            <rFont val="Tahoma"/>
            <family val="2"/>
          </rPr>
          <t>for testing the difference against zero</t>
        </r>
      </text>
    </comment>
    <comment ref="O30" authorId="0">
      <text>
        <r>
          <rPr>
            <sz val="9"/>
            <color indexed="81"/>
            <rFont val="Tahoma"/>
            <family val="2"/>
          </rPr>
          <t>degrees of freedom = (</t>
        </r>
        <r>
          <rPr>
            <i/>
            <sz val="10"/>
            <color indexed="81"/>
            <rFont val="Tahoma"/>
            <family val="2"/>
          </rPr>
          <t>N</t>
        </r>
        <r>
          <rPr>
            <sz val="10"/>
            <color indexed="81"/>
            <rFont val="Tahoma"/>
            <family val="2"/>
          </rPr>
          <t xml:space="preserve"> </t>
        </r>
        <r>
          <rPr>
            <sz val="9"/>
            <color indexed="81"/>
            <rFont val="Tahoma"/>
            <family val="2"/>
          </rPr>
          <t xml:space="preserve">- 1)
</t>
        </r>
      </text>
    </comment>
    <comment ref="M31" authorId="0">
      <text>
        <r>
          <rPr>
            <i/>
            <sz val="10"/>
            <color indexed="81"/>
            <rFont val="Tahoma"/>
            <family val="2"/>
          </rPr>
          <t>p</t>
        </r>
        <r>
          <rPr>
            <sz val="9"/>
            <color indexed="81"/>
            <rFont val="Tahoma"/>
            <family val="2"/>
          </rPr>
          <t xml:space="preserve"> value for testing the null hypothesis of no difference between the two conditions 
_________
It's a two-tailed </t>
        </r>
        <r>
          <rPr>
            <i/>
            <sz val="10"/>
            <color indexed="81"/>
            <rFont val="Tahoma"/>
            <family val="2"/>
          </rPr>
          <t>p</t>
        </r>
        <r>
          <rPr>
            <sz val="9"/>
            <color indexed="81"/>
            <rFont val="Tahoma"/>
            <family val="2"/>
          </rPr>
          <t xml:space="preserve"> value</t>
        </r>
      </text>
    </comment>
    <comment ref="M33" authorId="0">
      <text>
        <r>
          <rPr>
            <sz val="9"/>
            <color indexed="81"/>
            <rFont val="Tahoma"/>
            <family val="2"/>
          </rPr>
          <t xml:space="preserve">Click to display Cohen's </t>
        </r>
        <r>
          <rPr>
            <i/>
            <sz val="10"/>
            <color indexed="81"/>
            <rFont val="Tahoma"/>
            <family val="2"/>
          </rPr>
          <t>d</t>
        </r>
        <r>
          <rPr>
            <sz val="9"/>
            <color indexed="81"/>
            <rFont val="Tahoma"/>
            <family val="2"/>
          </rPr>
          <t xml:space="preserve">, with its CI.
</t>
        </r>
      </text>
    </comment>
    <comment ref="K34" authorId="0">
      <text>
        <r>
          <rPr>
            <sz val="9"/>
            <color indexed="81"/>
            <rFont val="Tahoma"/>
            <family val="2"/>
          </rPr>
          <t xml:space="preserve">See values of </t>
        </r>
        <r>
          <rPr>
            <i/>
            <sz val="10"/>
            <color indexed="81"/>
            <rFont val="Tahoma"/>
            <family val="2"/>
          </rPr>
          <t>d</t>
        </r>
        <r>
          <rPr>
            <sz val="9"/>
            <color indexed="81"/>
            <rFont val="Tahoma"/>
            <family val="2"/>
          </rPr>
          <t xml:space="preserve"> and </t>
        </r>
        <r>
          <rPr>
            <i/>
            <sz val="10"/>
            <color indexed="81"/>
            <rFont val="Tahoma"/>
            <family val="2"/>
          </rPr>
          <t>d</t>
        </r>
        <r>
          <rPr>
            <vertAlign val="subscript"/>
            <sz val="11"/>
            <color indexed="81"/>
            <rFont val="Tahoma"/>
            <family val="2"/>
          </rPr>
          <t>unbiased</t>
        </r>
        <r>
          <rPr>
            <sz val="9"/>
            <color indexed="81"/>
            <rFont val="Tahoma"/>
            <family val="2"/>
          </rPr>
          <t xml:space="preserve">.
Click below to carry out the calculation of an approximate 95% CI for </t>
        </r>
        <r>
          <rPr>
            <sz val="11"/>
            <color indexed="81"/>
            <rFont val="Symbol"/>
            <family val="1"/>
            <charset val="2"/>
          </rPr>
          <t>d</t>
        </r>
        <r>
          <rPr>
            <sz val="9"/>
            <color indexed="81"/>
            <rFont val="Tahoma"/>
            <family val="2"/>
          </rPr>
          <t xml:space="preserve">.  You need to click again after any change in the data or </t>
        </r>
        <r>
          <rPr>
            <i/>
            <sz val="9"/>
            <color indexed="81"/>
            <rFont val="Tahoma"/>
            <family val="2"/>
          </rPr>
          <t>C</t>
        </r>
        <r>
          <rPr>
            <sz val="9"/>
            <color indexed="81"/>
            <rFont val="Tahoma"/>
            <family val="2"/>
          </rPr>
          <t xml:space="preserve">.
_______________________________
For CI calculation, min </t>
        </r>
        <r>
          <rPr>
            <i/>
            <sz val="10"/>
            <color indexed="81"/>
            <rFont val="Tahoma"/>
            <family val="2"/>
          </rPr>
          <t>df</t>
        </r>
        <r>
          <rPr>
            <sz val="9"/>
            <color indexed="81"/>
            <rFont val="Tahoma"/>
            <family val="2"/>
          </rPr>
          <t xml:space="preserve"> is 5, max </t>
        </r>
        <r>
          <rPr>
            <i/>
            <sz val="10"/>
            <color indexed="81"/>
            <rFont val="Tahoma"/>
            <family val="2"/>
          </rPr>
          <t>df</t>
        </r>
        <r>
          <rPr>
            <sz val="10"/>
            <color indexed="81"/>
            <rFont val="Tahoma"/>
            <family val="2"/>
          </rPr>
          <t xml:space="preserve"> </t>
        </r>
        <r>
          <rPr>
            <sz val="9"/>
            <color indexed="81"/>
            <rFont val="Tahoma"/>
            <family val="2"/>
          </rPr>
          <t xml:space="preserve">is 200, </t>
        </r>
        <r>
          <rPr>
            <i/>
            <sz val="9"/>
            <color indexed="81"/>
            <rFont val="Tahoma"/>
            <family val="2"/>
          </rPr>
          <t>C</t>
        </r>
        <r>
          <rPr>
            <sz val="9"/>
            <color indexed="81"/>
            <rFont val="Tahoma"/>
            <family val="2"/>
          </rPr>
          <t xml:space="preserve"> must be 95, and </t>
        </r>
        <r>
          <rPr>
            <i/>
            <sz val="10"/>
            <color indexed="81"/>
            <rFont val="Tahoma"/>
            <family val="2"/>
          </rPr>
          <t>d</t>
        </r>
        <r>
          <rPr>
            <vertAlign val="subscript"/>
            <sz val="11"/>
            <color indexed="81"/>
            <rFont val="Tahoma"/>
            <family val="2"/>
          </rPr>
          <t>unbiased</t>
        </r>
        <r>
          <rPr>
            <sz val="9"/>
            <color indexed="81"/>
            <rFont val="Tahoma"/>
            <family val="2"/>
          </rPr>
          <t xml:space="preserve"> must lie between -2 and +2.
</t>
        </r>
      </text>
    </comment>
    <comment ref="M34" authorId="0">
      <text>
        <r>
          <rPr>
            <sz val="9"/>
            <color indexed="81"/>
            <rFont val="Tahoma"/>
            <family val="2"/>
          </rPr>
          <t xml:space="preserve">Average SD for the two conditions, calculated as: 
</t>
        </r>
        <r>
          <rPr>
            <i/>
            <sz val="10"/>
            <color indexed="81"/>
            <rFont val="Tahoma"/>
            <family val="2"/>
          </rPr>
          <t>s</t>
        </r>
        <r>
          <rPr>
            <vertAlign val="subscript"/>
            <sz val="11"/>
            <color indexed="81"/>
            <rFont val="Tahoma"/>
            <family val="2"/>
          </rPr>
          <t>av</t>
        </r>
        <r>
          <rPr>
            <sz val="10"/>
            <color indexed="81"/>
            <rFont val="Tahoma"/>
            <family val="2"/>
          </rPr>
          <t xml:space="preserve"> = </t>
        </r>
        <r>
          <rPr>
            <sz val="10"/>
            <color indexed="81"/>
            <rFont val="Arial"/>
            <family val="2"/>
          </rPr>
          <t>√</t>
        </r>
        <r>
          <rPr>
            <sz val="10"/>
            <color indexed="81"/>
            <rFont val="Tahoma"/>
            <family val="2"/>
          </rPr>
          <t>((</t>
        </r>
        <r>
          <rPr>
            <i/>
            <sz val="10"/>
            <color indexed="81"/>
            <rFont val="Tahoma"/>
            <family val="2"/>
          </rPr>
          <t>s</t>
        </r>
        <r>
          <rPr>
            <vertAlign val="subscript"/>
            <sz val="11"/>
            <color indexed="81"/>
            <rFont val="Tahoma"/>
            <family val="2"/>
          </rPr>
          <t>1</t>
        </r>
        <r>
          <rPr>
            <vertAlign val="superscript"/>
            <sz val="11"/>
            <color indexed="81"/>
            <rFont val="Tahoma"/>
            <family val="2"/>
          </rPr>
          <t>2</t>
        </r>
        <r>
          <rPr>
            <sz val="10"/>
            <color indexed="81"/>
            <rFont val="Tahoma"/>
            <family val="2"/>
          </rPr>
          <t>+</t>
        </r>
        <r>
          <rPr>
            <i/>
            <sz val="10"/>
            <color indexed="81"/>
            <rFont val="Tahoma"/>
            <family val="2"/>
          </rPr>
          <t>s</t>
        </r>
        <r>
          <rPr>
            <vertAlign val="subscript"/>
            <sz val="11"/>
            <color indexed="81"/>
            <rFont val="Tahoma"/>
            <family val="2"/>
          </rPr>
          <t>2</t>
        </r>
        <r>
          <rPr>
            <vertAlign val="superscript"/>
            <sz val="11"/>
            <color indexed="81"/>
            <rFont val="Tahoma"/>
            <family val="2"/>
          </rPr>
          <t>2</t>
        </r>
        <r>
          <rPr>
            <sz val="10"/>
            <color indexed="81"/>
            <rFont val="Tahoma"/>
            <family val="2"/>
          </rPr>
          <t>)/2)</t>
        </r>
      </text>
    </comment>
    <comment ref="M35" authorId="0">
      <text>
        <r>
          <rPr>
            <sz val="9"/>
            <color indexed="81"/>
            <rFont val="Tahoma"/>
            <family val="2"/>
          </rPr>
          <t xml:space="preserve">Show Cohen's </t>
        </r>
        <r>
          <rPr>
            <i/>
            <sz val="10"/>
            <color indexed="81"/>
            <rFont val="Tahoma"/>
            <family val="2"/>
          </rPr>
          <t>d</t>
        </r>
        <r>
          <rPr>
            <sz val="9"/>
            <color indexed="81"/>
            <rFont val="Tahoma"/>
            <family val="2"/>
          </rPr>
          <t xml:space="preserve">, calculated as:
 </t>
        </r>
        <r>
          <rPr>
            <i/>
            <sz val="10"/>
            <color indexed="81"/>
            <rFont val="Tahoma"/>
            <family val="2"/>
          </rPr>
          <t>M</t>
        </r>
        <r>
          <rPr>
            <vertAlign val="subscript"/>
            <sz val="10"/>
            <color indexed="81"/>
            <rFont val="Tahoma"/>
            <family val="2"/>
          </rPr>
          <t>diff</t>
        </r>
        <r>
          <rPr>
            <sz val="10"/>
            <color indexed="81"/>
            <rFont val="Tahoma"/>
            <family val="2"/>
          </rPr>
          <t xml:space="preserve"> / </t>
        </r>
        <r>
          <rPr>
            <sz val="10"/>
            <color indexed="81"/>
            <rFont val="Arial"/>
            <family val="2"/>
          </rPr>
          <t>√</t>
        </r>
        <r>
          <rPr>
            <sz val="10"/>
            <color indexed="81"/>
            <rFont val="Tahoma"/>
            <family val="2"/>
          </rPr>
          <t>((</t>
        </r>
        <r>
          <rPr>
            <i/>
            <sz val="10"/>
            <color indexed="81"/>
            <rFont val="Tahoma"/>
            <family val="2"/>
          </rPr>
          <t>s</t>
        </r>
        <r>
          <rPr>
            <vertAlign val="subscript"/>
            <sz val="10"/>
            <color indexed="81"/>
            <rFont val="Tahoma"/>
            <family val="2"/>
          </rPr>
          <t>1</t>
        </r>
        <r>
          <rPr>
            <vertAlign val="superscript"/>
            <sz val="10"/>
            <color indexed="81"/>
            <rFont val="Tahoma"/>
            <family val="2"/>
          </rPr>
          <t>2</t>
        </r>
        <r>
          <rPr>
            <sz val="10"/>
            <color indexed="81"/>
            <rFont val="Tahoma"/>
            <family val="2"/>
          </rPr>
          <t>+</t>
        </r>
        <r>
          <rPr>
            <i/>
            <sz val="10"/>
            <color indexed="81"/>
            <rFont val="Tahoma"/>
            <family val="2"/>
          </rPr>
          <t>s</t>
        </r>
        <r>
          <rPr>
            <vertAlign val="subscript"/>
            <sz val="10"/>
            <color indexed="81"/>
            <rFont val="Tahoma"/>
            <family val="2"/>
          </rPr>
          <t>2</t>
        </r>
        <r>
          <rPr>
            <vertAlign val="superscript"/>
            <sz val="10"/>
            <color indexed="81"/>
            <rFont val="Tahoma"/>
            <family val="2"/>
          </rPr>
          <t>2</t>
        </r>
        <r>
          <rPr>
            <sz val="10"/>
            <color indexed="81"/>
            <rFont val="Tahoma"/>
            <family val="2"/>
          </rPr>
          <t>)/2)</t>
        </r>
        <r>
          <rPr>
            <sz val="9"/>
            <color indexed="81"/>
            <rFont val="Tahoma"/>
            <family val="2"/>
          </rPr>
          <t xml:space="preserve">
 </t>
        </r>
      </text>
    </comment>
    <comment ref="M36" authorId="0">
      <text>
        <r>
          <rPr>
            <sz val="9"/>
            <color indexed="81"/>
            <rFont val="Tahoma"/>
            <family val="2"/>
          </rPr>
          <t xml:space="preserve">When Cohen's </t>
        </r>
        <r>
          <rPr>
            <i/>
            <sz val="10"/>
            <color indexed="81"/>
            <rFont val="Tahoma"/>
            <family val="2"/>
          </rPr>
          <t>d</t>
        </r>
        <r>
          <rPr>
            <sz val="10"/>
            <color indexed="81"/>
            <rFont val="Tahoma"/>
            <family val="2"/>
          </rPr>
          <t xml:space="preserve"> </t>
        </r>
        <r>
          <rPr>
            <sz val="9"/>
            <color indexed="81"/>
            <rFont val="Tahoma"/>
            <family val="2"/>
          </rPr>
          <t xml:space="preserve">is shown above, and </t>
        </r>
        <r>
          <rPr>
            <i/>
            <sz val="10"/>
            <color indexed="81"/>
            <rFont val="Tahoma"/>
            <family val="2"/>
          </rPr>
          <t>df</t>
        </r>
        <r>
          <rPr>
            <sz val="10"/>
            <color indexed="81"/>
            <rFont val="Tahoma"/>
            <family val="2"/>
          </rPr>
          <t xml:space="preserve"> </t>
        </r>
        <r>
          <rPr>
            <sz val="9"/>
            <color indexed="81"/>
            <rFont val="Tahoma"/>
            <family val="2"/>
          </rPr>
          <t xml:space="preserve">is at least 2, show here </t>
        </r>
        <r>
          <rPr>
            <i/>
            <sz val="10"/>
            <color indexed="81"/>
            <rFont val="Tahoma"/>
            <family val="2"/>
          </rPr>
          <t>d</t>
        </r>
        <r>
          <rPr>
            <vertAlign val="subscript"/>
            <sz val="11"/>
            <color indexed="81"/>
            <rFont val="Tahoma"/>
            <family val="2"/>
          </rPr>
          <t>unbiased</t>
        </r>
        <r>
          <rPr>
            <sz val="9"/>
            <color indexed="81"/>
            <rFont val="Tahoma"/>
            <family val="2"/>
          </rPr>
          <t xml:space="preserve">, which is calculated from </t>
        </r>
        <r>
          <rPr>
            <i/>
            <sz val="10"/>
            <color indexed="81"/>
            <rFont val="Tahoma"/>
            <family val="2"/>
          </rPr>
          <t>d</t>
        </r>
        <r>
          <rPr>
            <sz val="10"/>
            <color indexed="81"/>
            <rFont val="Tahoma"/>
            <family val="2"/>
          </rPr>
          <t xml:space="preserve"> </t>
        </r>
        <r>
          <rPr>
            <sz val="9"/>
            <color indexed="81"/>
            <rFont val="Tahoma"/>
            <family val="2"/>
          </rPr>
          <t xml:space="preserve">to be an unbiased estimate of population effect size </t>
        </r>
        <r>
          <rPr>
            <sz val="11"/>
            <color indexed="81"/>
            <rFont val="Symbol"/>
            <family val="1"/>
            <charset val="2"/>
          </rPr>
          <t>d</t>
        </r>
        <r>
          <rPr>
            <sz val="9"/>
            <color indexed="81"/>
            <rFont val="Tahoma"/>
            <family val="2"/>
          </rPr>
          <t>.</t>
        </r>
        <r>
          <rPr>
            <sz val="9"/>
            <color indexed="81"/>
            <rFont val="Tahoma"/>
            <family val="2"/>
          </rPr>
          <t xml:space="preserve">
</t>
        </r>
      </text>
    </comment>
    <comment ref="M37" authorId="0">
      <text>
        <r>
          <rPr>
            <sz val="9"/>
            <color indexed="81"/>
            <rFont val="Tahoma"/>
            <family val="2"/>
          </rPr>
          <t xml:space="preserve">Click to carry out the calculation of an approximate 95% CI for </t>
        </r>
        <r>
          <rPr>
            <sz val="11"/>
            <color indexed="81"/>
            <rFont val="Symbol"/>
            <family val="1"/>
            <charset val="2"/>
          </rPr>
          <t>d</t>
        </r>
        <r>
          <rPr>
            <sz val="9"/>
            <color indexed="81"/>
            <rFont val="Tahoma"/>
            <family val="2"/>
          </rPr>
          <t xml:space="preserve">.  You need to click again after any change in the data or </t>
        </r>
        <r>
          <rPr>
            <i/>
            <sz val="9"/>
            <color indexed="81"/>
            <rFont val="Tahoma"/>
            <family val="2"/>
          </rPr>
          <t>C</t>
        </r>
        <r>
          <rPr>
            <sz val="9"/>
            <color indexed="81"/>
            <rFont val="Tahoma"/>
            <family val="2"/>
          </rPr>
          <t xml:space="preserve">.
_______________________________
For CI calculation, min </t>
        </r>
        <r>
          <rPr>
            <i/>
            <sz val="10"/>
            <color indexed="81"/>
            <rFont val="Tahoma"/>
            <family val="2"/>
          </rPr>
          <t>df</t>
        </r>
        <r>
          <rPr>
            <sz val="9"/>
            <color indexed="81"/>
            <rFont val="Tahoma"/>
            <family val="2"/>
          </rPr>
          <t xml:space="preserve"> is 5, max </t>
        </r>
        <r>
          <rPr>
            <i/>
            <sz val="10"/>
            <color indexed="81"/>
            <rFont val="Tahoma"/>
            <family val="2"/>
          </rPr>
          <t>df</t>
        </r>
        <r>
          <rPr>
            <sz val="10"/>
            <color indexed="81"/>
            <rFont val="Tahoma"/>
            <family val="2"/>
          </rPr>
          <t xml:space="preserve"> </t>
        </r>
        <r>
          <rPr>
            <sz val="9"/>
            <color indexed="81"/>
            <rFont val="Tahoma"/>
            <family val="2"/>
          </rPr>
          <t xml:space="preserve">is 200, </t>
        </r>
        <r>
          <rPr>
            <i/>
            <sz val="9"/>
            <color indexed="81"/>
            <rFont val="Tahoma"/>
            <family val="2"/>
          </rPr>
          <t>C</t>
        </r>
        <r>
          <rPr>
            <sz val="9"/>
            <color indexed="81"/>
            <rFont val="Tahoma"/>
            <family val="2"/>
          </rPr>
          <t xml:space="preserve"> must be 95, and </t>
        </r>
        <r>
          <rPr>
            <i/>
            <sz val="10"/>
            <color indexed="81"/>
            <rFont val="Tahoma"/>
            <family val="2"/>
          </rPr>
          <t>d</t>
        </r>
        <r>
          <rPr>
            <vertAlign val="subscript"/>
            <sz val="11"/>
            <color indexed="81"/>
            <rFont val="Tahoma"/>
            <family val="2"/>
          </rPr>
          <t>unbiased</t>
        </r>
        <r>
          <rPr>
            <sz val="9"/>
            <color indexed="81"/>
            <rFont val="Tahoma"/>
            <family val="2"/>
          </rPr>
          <t xml:space="preserve"> must lie between -2 and +2.
</t>
        </r>
      </text>
    </comment>
    <comment ref="R37" authorId="0">
      <text>
        <r>
          <rPr>
            <sz val="9"/>
            <color indexed="81"/>
            <rFont val="Tahoma"/>
            <family val="2"/>
          </rPr>
          <t xml:space="preserve">Approximate 95% CI calculated for </t>
        </r>
        <r>
          <rPr>
            <sz val="11"/>
            <color indexed="81"/>
            <rFont val="Symbol"/>
            <family val="1"/>
            <charset val="2"/>
          </rPr>
          <t>d</t>
        </r>
        <r>
          <rPr>
            <sz val="9"/>
            <color indexed="81"/>
            <rFont val="Tahoma"/>
            <family val="2"/>
          </rPr>
          <t xml:space="preserve">
</t>
        </r>
      </text>
    </comment>
    <comment ref="N39" authorId="0">
      <text>
        <r>
          <rPr>
            <sz val="9"/>
            <color indexed="81"/>
            <rFont val="Tahoma"/>
            <family val="2"/>
          </rPr>
          <t xml:space="preserve">Average length of the two arms of the CI for </t>
        </r>
        <r>
          <rPr>
            <sz val="11"/>
            <color indexed="81"/>
            <rFont val="Symbol"/>
            <family val="1"/>
            <charset val="2"/>
          </rPr>
          <t>d</t>
        </r>
        <r>
          <rPr>
            <sz val="9"/>
            <color indexed="81"/>
            <rFont val="Tahoma"/>
            <family val="2"/>
          </rPr>
          <t>.  This is half the length of the CI, and our measure of precision.</t>
        </r>
        <r>
          <rPr>
            <sz val="9"/>
            <color indexed="81"/>
            <rFont val="Tahoma"/>
            <family val="2"/>
          </rPr>
          <t xml:space="preserve">
</t>
        </r>
      </text>
    </comment>
  </commentList>
</comments>
</file>

<file path=xl/comments11.xml><?xml version="1.0" encoding="utf-8"?>
<comments xmlns="http://schemas.openxmlformats.org/spreadsheetml/2006/main">
  <authors>
    <author>Geoff Cumming</author>
  </authors>
  <commentList>
    <comment ref="E5" authorId="0">
      <text>
        <r>
          <rPr>
            <sz val="9"/>
            <color indexed="81"/>
            <rFont val="Tahoma"/>
            <family val="2"/>
          </rPr>
          <t>Type in labels and summary statistics for your data</t>
        </r>
      </text>
    </comment>
    <comment ref="G6" authorId="0">
      <text>
        <r>
          <rPr>
            <sz val="9"/>
            <color indexed="81"/>
            <rFont val="Tahoma"/>
            <family val="2"/>
          </rPr>
          <t xml:space="preserve">Type units at right
</t>
        </r>
      </text>
    </comment>
    <comment ref="H6" authorId="0">
      <text>
        <r>
          <rPr>
            <sz val="9"/>
            <color indexed="81"/>
            <rFont val="Tahoma"/>
            <family val="2"/>
          </rPr>
          <t xml:space="preserve">Your units
</t>
        </r>
      </text>
    </comment>
    <comment ref="G8" authorId="0">
      <text>
        <r>
          <rPr>
            <sz val="9"/>
            <color indexed="81"/>
            <rFont val="Tahoma"/>
            <family val="2"/>
          </rPr>
          <t xml:space="preserve">Type brief label for Measure 1, to appear at bottom of the figure
</t>
        </r>
      </text>
    </comment>
    <comment ref="K8" authorId="0">
      <text>
        <r>
          <rPr>
            <sz val="9"/>
            <color indexed="81"/>
            <rFont val="Tahoma"/>
            <family val="2"/>
          </rPr>
          <t xml:space="preserve">Type brief label for Measure 2, to appear at bottom of the figure
</t>
        </r>
      </text>
    </comment>
    <comment ref="H9" authorId="0">
      <text>
        <r>
          <rPr>
            <sz val="9"/>
            <color indexed="81"/>
            <rFont val="Tahoma"/>
            <family val="2"/>
          </rPr>
          <t xml:space="preserve">Number of data pairs. Use spinner or type in a value. Min 2
</t>
        </r>
      </text>
    </comment>
    <comment ref="F11" authorId="0">
      <text>
        <r>
          <rPr>
            <sz val="9"/>
            <color indexed="81"/>
            <rFont val="Tahoma"/>
            <family val="2"/>
          </rPr>
          <t xml:space="preserve">Type in mean of  Measure 1
</t>
        </r>
      </text>
    </comment>
    <comment ref="J11" authorId="0">
      <text>
        <r>
          <rPr>
            <sz val="9"/>
            <color indexed="81"/>
            <rFont val="Tahoma"/>
            <family val="2"/>
          </rPr>
          <t xml:space="preserve">Type in mean of  Measure 2
</t>
        </r>
      </text>
    </comment>
    <comment ref="F13" authorId="0">
      <text>
        <r>
          <rPr>
            <sz val="9"/>
            <color indexed="81"/>
            <rFont val="Tahoma"/>
            <family val="2"/>
          </rPr>
          <t xml:space="preserve">Type in SD of  Measure 1
</t>
        </r>
      </text>
    </comment>
    <comment ref="J13" authorId="0">
      <text>
        <r>
          <rPr>
            <sz val="9"/>
            <color indexed="81"/>
            <rFont val="Tahoma"/>
            <family val="2"/>
          </rPr>
          <t xml:space="preserve">Type in SD of  Measure 2
</t>
        </r>
      </text>
    </comment>
    <comment ref="H14" authorId="0">
      <text>
        <r>
          <rPr>
            <sz val="9"/>
            <color indexed="81"/>
            <rFont val="Tahoma"/>
            <family val="2"/>
          </rPr>
          <t xml:space="preserve">Type in SD of the paired differences
______________
Maximum value is twice the pooled value of </t>
        </r>
        <r>
          <rPr>
            <i/>
            <sz val="10"/>
            <color indexed="81"/>
            <rFont val="Tahoma"/>
            <family val="2"/>
          </rPr>
          <t>s</t>
        </r>
        <r>
          <rPr>
            <vertAlign val="subscript"/>
            <sz val="11"/>
            <color indexed="81"/>
            <rFont val="Tahoma"/>
            <family val="2"/>
          </rPr>
          <t>1</t>
        </r>
        <r>
          <rPr>
            <sz val="9"/>
            <color indexed="81"/>
            <rFont val="Tahoma"/>
            <family val="2"/>
          </rPr>
          <t xml:space="preserve"> and </t>
        </r>
        <r>
          <rPr>
            <i/>
            <sz val="10"/>
            <color indexed="81"/>
            <rFont val="Tahoma"/>
            <family val="2"/>
          </rPr>
          <t>s</t>
        </r>
        <r>
          <rPr>
            <vertAlign val="subscript"/>
            <sz val="11"/>
            <color indexed="81"/>
            <rFont val="Tahoma"/>
            <family val="2"/>
          </rPr>
          <t>2</t>
        </r>
        <r>
          <rPr>
            <sz val="9"/>
            <color indexed="81"/>
            <rFont val="Tahoma"/>
            <family val="2"/>
          </rPr>
          <t xml:space="preserve">. If too large, the cell becomes </t>
        </r>
        <r>
          <rPr>
            <b/>
            <sz val="10"/>
            <color indexed="10"/>
            <rFont val="Tahoma"/>
            <family val="2"/>
          </rPr>
          <t>red</t>
        </r>
        <r>
          <rPr>
            <sz val="9"/>
            <color indexed="81"/>
            <rFont val="Tahoma"/>
            <family val="2"/>
          </rPr>
          <t>.</t>
        </r>
      </text>
    </comment>
    <comment ref="E16" authorId="0">
      <text>
        <r>
          <rPr>
            <sz val="9"/>
            <color indexed="81"/>
            <rFont val="Tahoma"/>
            <family val="2"/>
          </rPr>
          <t xml:space="preserve">Choose CIs to display
</t>
        </r>
      </text>
    </comment>
    <comment ref="H17" authorId="0">
      <text>
        <r>
          <rPr>
            <sz val="9"/>
            <color indexed="81"/>
            <rFont val="Tahoma"/>
            <family val="2"/>
          </rPr>
          <t xml:space="preserve">Display CIs on the means of Measures 1 and 2
</t>
        </r>
      </text>
    </comment>
    <comment ref="K17" authorId="0">
      <text>
        <r>
          <rPr>
            <sz val="9"/>
            <color indexed="81"/>
            <rFont val="Tahoma"/>
            <family val="2"/>
          </rPr>
          <t xml:space="preserve">Confidence level (%) for CIs.  Use the spinner or type in a value.  Min 0, max 99.9.
</t>
        </r>
      </text>
    </comment>
    <comment ref="J18" authorId="0">
      <text>
        <r>
          <rPr>
            <sz val="9"/>
            <color indexed="81"/>
            <rFont val="Tahoma"/>
            <family val="2"/>
          </rPr>
          <t>Display CI on the mean difference</t>
        </r>
      </text>
    </comment>
    <comment ref="E20" authorId="0">
      <text>
        <r>
          <rPr>
            <sz val="9"/>
            <color indexed="81"/>
            <rFont val="Tahoma"/>
            <family val="2"/>
          </rPr>
          <t>Information about the CIs on the two means, the mean difference and its CI, and additional information for inference.</t>
        </r>
      </text>
    </comment>
    <comment ref="F22" authorId="0">
      <text>
        <r>
          <rPr>
            <i/>
            <sz val="9"/>
            <color indexed="81"/>
            <rFont val="Tahoma"/>
            <family val="2"/>
          </rPr>
          <t>MoE</t>
        </r>
        <r>
          <rPr>
            <sz val="9"/>
            <color indexed="81"/>
            <rFont val="Tahoma"/>
            <family val="2"/>
          </rPr>
          <t xml:space="preserve"> of the CI on the mean of Measure 1</t>
        </r>
      </text>
    </comment>
    <comment ref="J22" authorId="0">
      <text>
        <r>
          <rPr>
            <i/>
            <sz val="9"/>
            <color indexed="81"/>
            <rFont val="Tahoma"/>
            <family val="2"/>
          </rPr>
          <t>MoE</t>
        </r>
        <r>
          <rPr>
            <sz val="9"/>
            <color indexed="81"/>
            <rFont val="Tahoma"/>
            <family val="2"/>
          </rPr>
          <t xml:space="preserve"> of the CI on the mean of Measure 2</t>
        </r>
      </text>
    </comment>
    <comment ref="F23" authorId="0">
      <text>
        <r>
          <rPr>
            <sz val="9"/>
            <color indexed="81"/>
            <rFont val="Tahoma"/>
            <family val="2"/>
          </rPr>
          <t xml:space="preserve">CI lower limit
</t>
        </r>
      </text>
    </comment>
    <comment ref="H23" authorId="0">
      <text>
        <r>
          <rPr>
            <sz val="9"/>
            <color indexed="81"/>
            <rFont val="Tahoma"/>
            <family val="2"/>
          </rPr>
          <t xml:space="preserve">CI lower limit
</t>
        </r>
      </text>
    </comment>
    <comment ref="F24" authorId="0">
      <text>
        <r>
          <rPr>
            <sz val="9"/>
            <color indexed="81"/>
            <rFont val="Tahoma"/>
            <family val="2"/>
          </rPr>
          <t xml:space="preserve">CI upper limit
</t>
        </r>
      </text>
    </comment>
    <comment ref="H24" authorId="0">
      <text>
        <r>
          <rPr>
            <sz val="9"/>
            <color indexed="81"/>
            <rFont val="Tahoma"/>
            <family val="2"/>
          </rPr>
          <t xml:space="preserve">CI uper limit
</t>
        </r>
      </text>
    </comment>
    <comment ref="I26" authorId="0">
      <text>
        <r>
          <rPr>
            <sz val="9"/>
            <color indexed="81"/>
            <rFont val="Tahoma"/>
            <family val="2"/>
          </rPr>
          <t xml:space="preserve">Focus on the differences, and the mean and CI for differences in the figure
</t>
        </r>
      </text>
    </comment>
    <comment ref="H27" authorId="0">
      <text>
        <r>
          <rPr>
            <sz val="9"/>
            <color indexed="81"/>
            <rFont val="Tahoma"/>
            <family val="2"/>
          </rPr>
          <t xml:space="preserve">Mean of the paired differences. This is equal to the difference between the means of the two measures:
</t>
        </r>
        <r>
          <rPr>
            <sz val="10"/>
            <color indexed="81"/>
            <rFont val="Tahoma"/>
            <family val="2"/>
          </rPr>
          <t>(</t>
        </r>
        <r>
          <rPr>
            <i/>
            <sz val="10"/>
            <color indexed="81"/>
            <rFont val="Tahoma"/>
            <family val="2"/>
          </rPr>
          <t>M</t>
        </r>
        <r>
          <rPr>
            <vertAlign val="subscript"/>
            <sz val="11"/>
            <color indexed="81"/>
            <rFont val="Tahoma"/>
            <family val="2"/>
          </rPr>
          <t>2</t>
        </r>
        <r>
          <rPr>
            <sz val="10"/>
            <color indexed="81"/>
            <rFont val="Tahoma"/>
            <family val="2"/>
          </rPr>
          <t xml:space="preserve"> - </t>
        </r>
        <r>
          <rPr>
            <i/>
            <sz val="10"/>
            <color indexed="81"/>
            <rFont val="Tahoma"/>
            <family val="2"/>
          </rPr>
          <t>M</t>
        </r>
        <r>
          <rPr>
            <vertAlign val="subscript"/>
            <sz val="11"/>
            <color indexed="81"/>
            <rFont val="Tahoma"/>
            <family val="2"/>
          </rPr>
          <t>1</t>
        </r>
        <r>
          <rPr>
            <sz val="10"/>
            <color indexed="81"/>
            <rFont val="Tahoma"/>
            <family val="2"/>
          </rPr>
          <t>)</t>
        </r>
        <r>
          <rPr>
            <sz val="9"/>
            <color indexed="81"/>
            <rFont val="Tahoma"/>
            <family val="2"/>
          </rPr>
          <t xml:space="preserve">
</t>
        </r>
      </text>
    </comment>
    <comment ref="H28" authorId="0">
      <text>
        <r>
          <rPr>
            <i/>
            <sz val="9"/>
            <color indexed="81"/>
            <rFont val="Tahoma"/>
            <family val="2"/>
          </rPr>
          <t>MoE</t>
        </r>
        <r>
          <rPr>
            <sz val="9"/>
            <color indexed="81"/>
            <rFont val="Tahoma"/>
            <family val="2"/>
          </rPr>
          <t xml:space="preserve"> of the CI on the mean difference</t>
        </r>
      </text>
    </comment>
    <comment ref="H29" authorId="0">
      <text>
        <r>
          <rPr>
            <sz val="9"/>
            <color indexed="81"/>
            <rFont val="Tahoma"/>
            <family val="2"/>
          </rPr>
          <t xml:space="preserve">LL of the CI on the mean of the differences
</t>
        </r>
      </text>
    </comment>
    <comment ref="H30" authorId="0">
      <text>
        <r>
          <rPr>
            <sz val="9"/>
            <color indexed="81"/>
            <rFont val="Tahoma"/>
            <family val="2"/>
          </rPr>
          <t xml:space="preserve">UL of the CI on the mean of the differences
</t>
        </r>
      </text>
    </comment>
    <comment ref="H31" authorId="0">
      <text>
        <r>
          <rPr>
            <sz val="9"/>
            <color indexed="81"/>
            <rFont val="Tahoma"/>
            <family val="2"/>
          </rPr>
          <t xml:space="preserve">Effect size, in original measurement units.  The same as </t>
        </r>
        <r>
          <rPr>
            <i/>
            <sz val="10"/>
            <color indexed="81"/>
            <rFont val="Tahoma"/>
            <family val="2"/>
          </rPr>
          <t>M</t>
        </r>
        <r>
          <rPr>
            <vertAlign val="subscript"/>
            <sz val="11"/>
            <color indexed="81"/>
            <rFont val="Tahoma"/>
            <family val="2"/>
          </rPr>
          <t>diff</t>
        </r>
        <r>
          <rPr>
            <sz val="9"/>
            <color indexed="81"/>
            <rFont val="Tahoma"/>
            <family val="2"/>
          </rPr>
          <t xml:space="preserve"> </t>
        </r>
        <r>
          <rPr>
            <sz val="10"/>
            <color indexed="81"/>
            <rFont val="Tahoma"/>
            <family val="2"/>
          </rPr>
          <t>= (</t>
        </r>
        <r>
          <rPr>
            <i/>
            <sz val="10"/>
            <color indexed="81"/>
            <rFont val="Tahoma"/>
            <family val="2"/>
          </rPr>
          <t>M</t>
        </r>
        <r>
          <rPr>
            <vertAlign val="subscript"/>
            <sz val="11"/>
            <color indexed="81"/>
            <rFont val="Tahoma"/>
            <family val="2"/>
          </rPr>
          <t>2</t>
        </r>
        <r>
          <rPr>
            <sz val="10"/>
            <color indexed="81"/>
            <rFont val="Tahoma"/>
            <family val="2"/>
          </rPr>
          <t xml:space="preserve"> - </t>
        </r>
        <r>
          <rPr>
            <i/>
            <sz val="10"/>
            <color indexed="81"/>
            <rFont val="Tahoma"/>
            <family val="2"/>
          </rPr>
          <t>M</t>
        </r>
        <r>
          <rPr>
            <vertAlign val="subscript"/>
            <sz val="11"/>
            <color indexed="81"/>
            <rFont val="Tahoma"/>
            <family val="2"/>
          </rPr>
          <t>1</t>
        </r>
        <r>
          <rPr>
            <sz val="10"/>
            <color indexed="81"/>
            <rFont val="Tahoma"/>
            <family val="2"/>
          </rPr>
          <t>)</t>
        </r>
        <r>
          <rPr>
            <sz val="9"/>
            <color indexed="81"/>
            <rFont val="Tahoma"/>
            <family val="2"/>
          </rPr>
          <t xml:space="preserve">
</t>
        </r>
      </text>
    </comment>
    <comment ref="H32" authorId="0">
      <text>
        <r>
          <rPr>
            <sz val="9"/>
            <color indexed="81"/>
            <rFont val="Tahoma"/>
            <family val="2"/>
          </rPr>
          <t xml:space="preserve">Value of </t>
        </r>
        <r>
          <rPr>
            <i/>
            <sz val="10"/>
            <color indexed="81"/>
            <rFont val="Tahoma"/>
            <family val="2"/>
          </rPr>
          <t>t</t>
        </r>
        <r>
          <rPr>
            <i/>
            <sz val="9"/>
            <color indexed="81"/>
            <rFont val="Tahoma"/>
            <family val="2"/>
          </rPr>
          <t xml:space="preserve"> </t>
        </r>
        <r>
          <rPr>
            <sz val="9"/>
            <color indexed="81"/>
            <rFont val="Tahoma"/>
            <family val="2"/>
          </rPr>
          <t>for testing the difference against zero</t>
        </r>
      </text>
    </comment>
    <comment ref="K32" authorId="0">
      <text>
        <r>
          <rPr>
            <sz val="9"/>
            <color indexed="81"/>
            <rFont val="Tahoma"/>
            <family val="2"/>
          </rPr>
          <t>degrees of freedom = (</t>
        </r>
        <r>
          <rPr>
            <i/>
            <sz val="10"/>
            <color indexed="81"/>
            <rFont val="Tahoma"/>
            <family val="2"/>
          </rPr>
          <t>N</t>
        </r>
        <r>
          <rPr>
            <sz val="10"/>
            <color indexed="81"/>
            <rFont val="Tahoma"/>
            <family val="2"/>
          </rPr>
          <t xml:space="preserve"> </t>
        </r>
        <r>
          <rPr>
            <sz val="9"/>
            <color indexed="81"/>
            <rFont val="Tahoma"/>
            <family val="2"/>
          </rPr>
          <t xml:space="preserve">- 1)
</t>
        </r>
      </text>
    </comment>
    <comment ref="H33" authorId="0">
      <text>
        <r>
          <rPr>
            <i/>
            <sz val="10"/>
            <color indexed="81"/>
            <rFont val="Tahoma"/>
            <family val="2"/>
          </rPr>
          <t>p</t>
        </r>
        <r>
          <rPr>
            <sz val="9"/>
            <color indexed="81"/>
            <rFont val="Tahoma"/>
            <family val="2"/>
          </rPr>
          <t xml:space="preserve"> value for testing the null hypothesis of no difference between the two conditions 
_________
It's a two-tailed </t>
        </r>
        <r>
          <rPr>
            <i/>
            <sz val="10"/>
            <color indexed="81"/>
            <rFont val="Tahoma"/>
            <family val="2"/>
          </rPr>
          <t>p</t>
        </r>
        <r>
          <rPr>
            <sz val="9"/>
            <color indexed="81"/>
            <rFont val="Tahoma"/>
            <family val="2"/>
          </rPr>
          <t xml:space="preserve"> value</t>
        </r>
      </text>
    </comment>
    <comment ref="H35" authorId="0">
      <text>
        <r>
          <rPr>
            <sz val="9"/>
            <color indexed="81"/>
            <rFont val="Tahoma"/>
            <family val="2"/>
          </rPr>
          <t xml:space="preserve">Click to display Cohen's </t>
        </r>
        <r>
          <rPr>
            <i/>
            <sz val="10"/>
            <color indexed="81"/>
            <rFont val="Tahoma"/>
            <family val="2"/>
          </rPr>
          <t>d</t>
        </r>
        <r>
          <rPr>
            <sz val="9"/>
            <color indexed="81"/>
            <rFont val="Tahoma"/>
            <family val="2"/>
          </rPr>
          <t xml:space="preserve">, with its CI.
</t>
        </r>
      </text>
    </comment>
    <comment ref="E36" authorId="0">
      <text>
        <r>
          <rPr>
            <sz val="9"/>
            <color indexed="81"/>
            <rFont val="Tahoma"/>
            <family val="2"/>
          </rPr>
          <t xml:space="preserve">Show </t>
        </r>
        <r>
          <rPr>
            <i/>
            <sz val="10"/>
            <color indexed="81"/>
            <rFont val="Tahoma"/>
            <family val="2"/>
          </rPr>
          <t>d</t>
        </r>
        <r>
          <rPr>
            <sz val="9"/>
            <color indexed="81"/>
            <rFont val="Tahoma"/>
            <family val="2"/>
          </rPr>
          <t xml:space="preserve"> and </t>
        </r>
        <r>
          <rPr>
            <i/>
            <sz val="10"/>
            <color indexed="81"/>
            <rFont val="Tahoma"/>
            <family val="2"/>
          </rPr>
          <t>d</t>
        </r>
        <r>
          <rPr>
            <vertAlign val="subscript"/>
            <sz val="11"/>
            <color indexed="81"/>
            <rFont val="Tahoma"/>
            <family val="2"/>
          </rPr>
          <t>unbiased</t>
        </r>
        <r>
          <rPr>
            <sz val="9"/>
            <color indexed="81"/>
            <rFont val="Tahoma"/>
            <family val="2"/>
          </rPr>
          <t xml:space="preserve">.
Click to carry out the calculation of an approximate 95% CI for </t>
        </r>
        <r>
          <rPr>
            <sz val="11"/>
            <color indexed="81"/>
            <rFont val="Symbol"/>
            <family val="1"/>
            <charset val="2"/>
          </rPr>
          <t>d</t>
        </r>
        <r>
          <rPr>
            <sz val="9"/>
            <color indexed="81"/>
            <rFont val="Tahoma"/>
            <family val="2"/>
          </rPr>
          <t xml:space="preserve">.  You need to click here again after any change in the data or </t>
        </r>
        <r>
          <rPr>
            <i/>
            <sz val="9"/>
            <color indexed="81"/>
            <rFont val="Tahoma"/>
            <family val="2"/>
          </rPr>
          <t>C</t>
        </r>
        <r>
          <rPr>
            <sz val="9"/>
            <color indexed="81"/>
            <rFont val="Tahoma"/>
            <family val="2"/>
          </rPr>
          <t xml:space="preserve">.
For CI calculation, min </t>
        </r>
        <r>
          <rPr>
            <i/>
            <sz val="10"/>
            <color indexed="81"/>
            <rFont val="Tahoma"/>
            <family val="2"/>
          </rPr>
          <t>df</t>
        </r>
        <r>
          <rPr>
            <sz val="9"/>
            <color indexed="81"/>
            <rFont val="Tahoma"/>
            <family val="2"/>
          </rPr>
          <t xml:space="preserve"> is 5, max </t>
        </r>
        <r>
          <rPr>
            <i/>
            <sz val="10"/>
            <color indexed="81"/>
            <rFont val="Tahoma"/>
            <family val="2"/>
          </rPr>
          <t>df</t>
        </r>
        <r>
          <rPr>
            <sz val="10"/>
            <color indexed="81"/>
            <rFont val="Tahoma"/>
            <family val="2"/>
          </rPr>
          <t xml:space="preserve"> </t>
        </r>
        <r>
          <rPr>
            <sz val="9"/>
            <color indexed="81"/>
            <rFont val="Tahoma"/>
            <family val="2"/>
          </rPr>
          <t xml:space="preserve">is 200, </t>
        </r>
        <r>
          <rPr>
            <i/>
            <sz val="9"/>
            <color indexed="81"/>
            <rFont val="Tahoma"/>
            <family val="2"/>
          </rPr>
          <t>C</t>
        </r>
        <r>
          <rPr>
            <sz val="9"/>
            <color indexed="81"/>
            <rFont val="Tahoma"/>
            <family val="2"/>
          </rPr>
          <t xml:space="preserve"> must be 95, and </t>
        </r>
        <r>
          <rPr>
            <i/>
            <sz val="10"/>
            <color indexed="81"/>
            <rFont val="Tahoma"/>
            <family val="2"/>
          </rPr>
          <t>d</t>
        </r>
        <r>
          <rPr>
            <vertAlign val="subscript"/>
            <sz val="11"/>
            <color indexed="81"/>
            <rFont val="Tahoma"/>
            <family val="2"/>
          </rPr>
          <t>unbiased</t>
        </r>
        <r>
          <rPr>
            <sz val="9"/>
            <color indexed="81"/>
            <rFont val="Tahoma"/>
            <family val="2"/>
          </rPr>
          <t xml:space="preserve"> must lie between -2 and +2.
</t>
        </r>
      </text>
    </comment>
    <comment ref="H36" authorId="0">
      <text>
        <r>
          <rPr>
            <sz val="9"/>
            <color indexed="81"/>
            <rFont val="Tahoma"/>
            <family val="2"/>
          </rPr>
          <t xml:space="preserve">Average SD for the two conditions, calculated as: 
</t>
        </r>
        <r>
          <rPr>
            <i/>
            <sz val="10"/>
            <color indexed="81"/>
            <rFont val="Tahoma"/>
            <family val="2"/>
          </rPr>
          <t>s</t>
        </r>
        <r>
          <rPr>
            <vertAlign val="subscript"/>
            <sz val="11"/>
            <color indexed="81"/>
            <rFont val="Tahoma"/>
            <family val="2"/>
          </rPr>
          <t>av</t>
        </r>
        <r>
          <rPr>
            <sz val="10"/>
            <color indexed="81"/>
            <rFont val="Tahoma"/>
            <family val="2"/>
          </rPr>
          <t xml:space="preserve"> = </t>
        </r>
        <r>
          <rPr>
            <sz val="10"/>
            <color indexed="81"/>
            <rFont val="Arial"/>
            <family val="2"/>
          </rPr>
          <t>√</t>
        </r>
        <r>
          <rPr>
            <sz val="10"/>
            <color indexed="81"/>
            <rFont val="Tahoma"/>
            <family val="2"/>
          </rPr>
          <t>((</t>
        </r>
        <r>
          <rPr>
            <i/>
            <sz val="10"/>
            <color indexed="81"/>
            <rFont val="Tahoma"/>
            <family val="2"/>
          </rPr>
          <t>s</t>
        </r>
        <r>
          <rPr>
            <vertAlign val="subscript"/>
            <sz val="11"/>
            <color indexed="81"/>
            <rFont val="Tahoma"/>
            <family val="2"/>
          </rPr>
          <t>1</t>
        </r>
        <r>
          <rPr>
            <vertAlign val="superscript"/>
            <sz val="11"/>
            <color indexed="81"/>
            <rFont val="Tahoma"/>
            <family val="2"/>
          </rPr>
          <t>2</t>
        </r>
        <r>
          <rPr>
            <sz val="10"/>
            <color indexed="81"/>
            <rFont val="Tahoma"/>
            <family val="2"/>
          </rPr>
          <t>+</t>
        </r>
        <r>
          <rPr>
            <i/>
            <sz val="10"/>
            <color indexed="81"/>
            <rFont val="Tahoma"/>
            <family val="2"/>
          </rPr>
          <t>s</t>
        </r>
        <r>
          <rPr>
            <vertAlign val="subscript"/>
            <sz val="11"/>
            <color indexed="81"/>
            <rFont val="Tahoma"/>
            <family val="2"/>
          </rPr>
          <t>2</t>
        </r>
        <r>
          <rPr>
            <vertAlign val="superscript"/>
            <sz val="11"/>
            <color indexed="81"/>
            <rFont val="Tahoma"/>
            <family val="2"/>
          </rPr>
          <t>2</t>
        </r>
        <r>
          <rPr>
            <sz val="10"/>
            <color indexed="81"/>
            <rFont val="Tahoma"/>
            <family val="2"/>
          </rPr>
          <t>)/2)</t>
        </r>
      </text>
    </comment>
    <comment ref="H37" authorId="0">
      <text>
        <r>
          <rPr>
            <sz val="9"/>
            <color indexed="81"/>
            <rFont val="Tahoma"/>
            <family val="2"/>
          </rPr>
          <t xml:space="preserve">Display of Cohen's </t>
        </r>
        <r>
          <rPr>
            <i/>
            <sz val="10"/>
            <color indexed="81"/>
            <rFont val="Tahoma"/>
            <family val="2"/>
          </rPr>
          <t>d</t>
        </r>
        <r>
          <rPr>
            <sz val="9"/>
            <color indexed="81"/>
            <rFont val="Tahoma"/>
            <family val="2"/>
          </rPr>
          <t xml:space="preserve">, calculated as: 
</t>
        </r>
        <r>
          <rPr>
            <i/>
            <sz val="10"/>
            <color indexed="81"/>
            <rFont val="Tahoma"/>
            <family val="2"/>
          </rPr>
          <t>M</t>
        </r>
        <r>
          <rPr>
            <vertAlign val="subscript"/>
            <sz val="11"/>
            <color indexed="81"/>
            <rFont val="Tahoma"/>
            <family val="2"/>
          </rPr>
          <t xml:space="preserve">diff </t>
        </r>
        <r>
          <rPr>
            <sz val="10"/>
            <color indexed="81"/>
            <rFont val="Tahoma"/>
            <family val="2"/>
          </rPr>
          <t xml:space="preserve">/ </t>
        </r>
        <r>
          <rPr>
            <sz val="10"/>
            <color indexed="81"/>
            <rFont val="Arial"/>
            <family val="2"/>
          </rPr>
          <t>√</t>
        </r>
        <r>
          <rPr>
            <sz val="10"/>
            <color indexed="81"/>
            <rFont val="Tahoma"/>
            <family val="2"/>
          </rPr>
          <t>((</t>
        </r>
        <r>
          <rPr>
            <i/>
            <sz val="10"/>
            <color indexed="81"/>
            <rFont val="Tahoma"/>
            <family val="2"/>
          </rPr>
          <t>s</t>
        </r>
        <r>
          <rPr>
            <vertAlign val="subscript"/>
            <sz val="11"/>
            <color indexed="81"/>
            <rFont val="Tahoma"/>
            <family val="2"/>
          </rPr>
          <t>1</t>
        </r>
        <r>
          <rPr>
            <vertAlign val="superscript"/>
            <sz val="11"/>
            <color indexed="81"/>
            <rFont val="Tahoma"/>
            <family val="2"/>
          </rPr>
          <t>2</t>
        </r>
        <r>
          <rPr>
            <sz val="10"/>
            <color indexed="81"/>
            <rFont val="Tahoma"/>
            <family val="2"/>
          </rPr>
          <t>+</t>
        </r>
        <r>
          <rPr>
            <i/>
            <sz val="10"/>
            <color indexed="81"/>
            <rFont val="Tahoma"/>
            <family val="2"/>
          </rPr>
          <t>s</t>
        </r>
        <r>
          <rPr>
            <vertAlign val="subscript"/>
            <sz val="11"/>
            <color indexed="81"/>
            <rFont val="Tahoma"/>
            <family val="2"/>
          </rPr>
          <t>2</t>
        </r>
        <r>
          <rPr>
            <vertAlign val="superscript"/>
            <sz val="11"/>
            <color indexed="81"/>
            <rFont val="Tahoma"/>
            <family val="2"/>
          </rPr>
          <t>2</t>
        </r>
        <r>
          <rPr>
            <sz val="10"/>
            <color indexed="81"/>
            <rFont val="Tahoma"/>
            <family val="2"/>
          </rPr>
          <t>)/2)</t>
        </r>
        <r>
          <rPr>
            <sz val="9"/>
            <color indexed="81"/>
            <rFont val="Tahoma"/>
            <family val="2"/>
          </rPr>
          <t xml:space="preserve">
</t>
        </r>
      </text>
    </comment>
    <comment ref="H38" authorId="0">
      <text>
        <r>
          <rPr>
            <sz val="9"/>
            <color indexed="81"/>
            <rFont val="Tahoma"/>
            <family val="2"/>
          </rPr>
          <t xml:space="preserve">When Cohen's </t>
        </r>
        <r>
          <rPr>
            <i/>
            <sz val="10"/>
            <color indexed="81"/>
            <rFont val="Tahoma"/>
            <family val="2"/>
          </rPr>
          <t>d</t>
        </r>
        <r>
          <rPr>
            <sz val="10"/>
            <color indexed="81"/>
            <rFont val="Tahoma"/>
            <family val="2"/>
          </rPr>
          <t xml:space="preserve"> </t>
        </r>
        <r>
          <rPr>
            <sz val="9"/>
            <color indexed="81"/>
            <rFont val="Tahoma"/>
            <family val="2"/>
          </rPr>
          <t xml:space="preserve">is shown above, and </t>
        </r>
        <r>
          <rPr>
            <i/>
            <sz val="10"/>
            <color indexed="81"/>
            <rFont val="Tahoma"/>
            <family val="2"/>
          </rPr>
          <t>df</t>
        </r>
        <r>
          <rPr>
            <sz val="10"/>
            <color indexed="81"/>
            <rFont val="Tahoma"/>
            <family val="2"/>
          </rPr>
          <t xml:space="preserve"> </t>
        </r>
        <r>
          <rPr>
            <sz val="9"/>
            <color indexed="81"/>
            <rFont val="Tahoma"/>
            <family val="2"/>
          </rPr>
          <t xml:space="preserve">is at least 2, show here </t>
        </r>
        <r>
          <rPr>
            <i/>
            <sz val="10"/>
            <color indexed="81"/>
            <rFont val="Tahoma"/>
            <family val="2"/>
          </rPr>
          <t>d</t>
        </r>
        <r>
          <rPr>
            <vertAlign val="subscript"/>
            <sz val="11"/>
            <color indexed="81"/>
            <rFont val="Tahoma"/>
            <family val="2"/>
          </rPr>
          <t>unbiased</t>
        </r>
        <r>
          <rPr>
            <sz val="9"/>
            <color indexed="81"/>
            <rFont val="Tahoma"/>
            <family val="2"/>
          </rPr>
          <t xml:space="preserve">, which is calculated from </t>
        </r>
        <r>
          <rPr>
            <i/>
            <sz val="10"/>
            <color indexed="81"/>
            <rFont val="Tahoma"/>
            <family val="2"/>
          </rPr>
          <t>d</t>
        </r>
        <r>
          <rPr>
            <sz val="10"/>
            <color indexed="81"/>
            <rFont val="Tahoma"/>
            <family val="2"/>
          </rPr>
          <t xml:space="preserve"> </t>
        </r>
        <r>
          <rPr>
            <sz val="9"/>
            <color indexed="81"/>
            <rFont val="Tahoma"/>
            <family val="2"/>
          </rPr>
          <t xml:space="preserve">to be an unbiased estimate of population effect size </t>
        </r>
        <r>
          <rPr>
            <sz val="11"/>
            <color indexed="81"/>
            <rFont val="Symbol"/>
            <family val="1"/>
            <charset val="2"/>
          </rPr>
          <t>d</t>
        </r>
        <r>
          <rPr>
            <sz val="9"/>
            <color indexed="81"/>
            <rFont val="Tahoma"/>
            <family val="2"/>
          </rPr>
          <t>.</t>
        </r>
        <r>
          <rPr>
            <sz val="9"/>
            <color indexed="81"/>
            <rFont val="Tahoma"/>
            <family val="2"/>
          </rPr>
          <t xml:space="preserve">
</t>
        </r>
      </text>
    </comment>
    <comment ref="H39" authorId="0">
      <text>
        <r>
          <rPr>
            <sz val="9"/>
            <color indexed="81"/>
            <rFont val="Tahoma"/>
            <family val="2"/>
          </rPr>
          <t xml:space="preserve">Click to carry out the calculation of an approximate 95% CI for </t>
        </r>
        <r>
          <rPr>
            <sz val="11"/>
            <color indexed="81"/>
            <rFont val="Symbol"/>
            <family val="1"/>
            <charset val="2"/>
          </rPr>
          <t>d</t>
        </r>
        <r>
          <rPr>
            <sz val="9"/>
            <color indexed="81"/>
            <rFont val="Tahoma"/>
            <family val="2"/>
          </rPr>
          <t xml:space="preserve">.  You need to click here again after any change in the data or </t>
        </r>
        <r>
          <rPr>
            <i/>
            <sz val="9"/>
            <color indexed="81"/>
            <rFont val="Tahoma"/>
            <family val="2"/>
          </rPr>
          <t>C</t>
        </r>
        <r>
          <rPr>
            <sz val="9"/>
            <color indexed="81"/>
            <rFont val="Tahoma"/>
            <family val="2"/>
          </rPr>
          <t xml:space="preserve">.
For CI calculation, min </t>
        </r>
        <r>
          <rPr>
            <i/>
            <sz val="10"/>
            <color indexed="81"/>
            <rFont val="Tahoma"/>
            <family val="2"/>
          </rPr>
          <t>df</t>
        </r>
        <r>
          <rPr>
            <sz val="9"/>
            <color indexed="81"/>
            <rFont val="Tahoma"/>
            <family val="2"/>
          </rPr>
          <t xml:space="preserve"> is 5, max </t>
        </r>
        <r>
          <rPr>
            <i/>
            <sz val="10"/>
            <color indexed="81"/>
            <rFont val="Tahoma"/>
            <family val="2"/>
          </rPr>
          <t>df</t>
        </r>
        <r>
          <rPr>
            <sz val="10"/>
            <color indexed="81"/>
            <rFont val="Tahoma"/>
            <family val="2"/>
          </rPr>
          <t xml:space="preserve"> </t>
        </r>
        <r>
          <rPr>
            <sz val="9"/>
            <color indexed="81"/>
            <rFont val="Tahoma"/>
            <family val="2"/>
          </rPr>
          <t xml:space="preserve">is 200, </t>
        </r>
        <r>
          <rPr>
            <i/>
            <sz val="9"/>
            <color indexed="81"/>
            <rFont val="Tahoma"/>
            <family val="2"/>
          </rPr>
          <t>C</t>
        </r>
        <r>
          <rPr>
            <sz val="9"/>
            <color indexed="81"/>
            <rFont val="Tahoma"/>
            <family val="2"/>
          </rPr>
          <t xml:space="preserve"> must be 95, and </t>
        </r>
        <r>
          <rPr>
            <i/>
            <sz val="10"/>
            <color indexed="81"/>
            <rFont val="Tahoma"/>
            <family val="2"/>
          </rPr>
          <t>d</t>
        </r>
        <r>
          <rPr>
            <vertAlign val="subscript"/>
            <sz val="11"/>
            <color indexed="81"/>
            <rFont val="Tahoma"/>
            <family val="2"/>
          </rPr>
          <t>unbiased</t>
        </r>
        <r>
          <rPr>
            <sz val="9"/>
            <color indexed="81"/>
            <rFont val="Tahoma"/>
            <family val="2"/>
          </rPr>
          <t xml:space="preserve"> must lie between -2 and +2.
</t>
        </r>
      </text>
    </comment>
    <comment ref="N39" authorId="0">
      <text>
        <r>
          <rPr>
            <sz val="9"/>
            <color indexed="81"/>
            <rFont val="Tahoma"/>
            <family val="2"/>
          </rPr>
          <t xml:space="preserve">Approximate 95% CI calculated around </t>
        </r>
        <r>
          <rPr>
            <i/>
            <sz val="10"/>
            <color indexed="81"/>
            <rFont val="Tahoma"/>
            <family val="2"/>
          </rPr>
          <t>d</t>
        </r>
        <r>
          <rPr>
            <sz val="9"/>
            <color indexed="81"/>
            <rFont val="Tahoma"/>
            <family val="2"/>
          </rPr>
          <t xml:space="preserve">
</t>
        </r>
      </text>
    </comment>
    <comment ref="J41" authorId="0">
      <text>
        <r>
          <rPr>
            <sz val="9"/>
            <color indexed="81"/>
            <rFont val="Tahoma"/>
            <family val="2"/>
          </rPr>
          <t xml:space="preserve">Average length of the two arms of the CI for </t>
        </r>
        <r>
          <rPr>
            <sz val="11"/>
            <color indexed="81"/>
            <rFont val="Symbol"/>
            <family val="1"/>
            <charset val="2"/>
          </rPr>
          <t>d</t>
        </r>
        <r>
          <rPr>
            <sz val="9"/>
            <color indexed="81"/>
            <rFont val="Tahoma"/>
            <family val="2"/>
          </rPr>
          <t>.  
This is half the length of the CI, and our measure of precision.</t>
        </r>
        <r>
          <rPr>
            <sz val="9"/>
            <color indexed="81"/>
            <rFont val="Tahoma"/>
            <family val="2"/>
          </rPr>
          <t xml:space="preserve">
</t>
        </r>
      </text>
    </comment>
  </commentList>
</comments>
</file>

<file path=xl/sharedStrings.xml><?xml version="1.0" encoding="utf-8"?>
<sst xmlns="http://schemas.openxmlformats.org/spreadsheetml/2006/main" count="1957" uniqueCount="1405">
  <si>
    <t>C disp</t>
  </si>
  <si>
    <t>Red adjustable CI</t>
  </si>
  <si>
    <t xml:space="preserve">        Small hints</t>
  </si>
  <si>
    <t xml:space="preserve">        Large hints</t>
  </si>
  <si>
    <t xml:space="preserve">        Display red CI</t>
  </si>
  <si>
    <r>
      <t xml:space="preserve">Level of confidence </t>
    </r>
    <r>
      <rPr>
        <i/>
        <sz val="9"/>
        <rFont val="Arial"/>
        <family val="2"/>
      </rPr>
      <t xml:space="preserve">C </t>
    </r>
  </si>
  <si>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</si>
  <si>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</si>
  <si>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</si>
  <si>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</si>
  <si>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</si>
  <si>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</si>
  <si>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</si>
  <si>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</si>
  <si>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</si>
  <si>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</si>
  <si>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</si>
  <si>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</si>
  <si>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</si>
  <si>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</si>
  <si>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</si>
  <si>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</si>
  <si>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</si>
  <si>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</si>
  <si>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</si>
  <si>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</si>
  <si>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</si>
  <si>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</si>
  <si>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</si>
  <si>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</si>
  <si>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</si>
  <si>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</si>
  <si>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</si>
  <si>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</si>
  <si>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</si>
  <si>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</si>
  <si>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</si>
  <si>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</si>
  <si>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</si>
  <si>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</si>
  <si>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</si>
  <si>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</si>
  <si>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</si>
  <si>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</si>
  <si>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</si>
  <si>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</si>
  <si>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</si>
  <si>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</si>
  <si>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</si>
  <si>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</si>
  <si>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</si>
  <si>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</si>
  <si>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</si>
  <si>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</si>
  <si>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</si>
  <si>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</si>
  <si>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</si>
  <si>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</si>
  <si>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</si>
  <si>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</si>
  <si>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</si>
  <si>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</si>
  <si>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</si>
  <si>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For skew, use lognormal</t>
  </si>
  <si>
    <t>Mean of lognormal</t>
  </si>
  <si>
    <t>Var of lognormal</t>
  </si>
  <si>
    <t>My scale factor</t>
  </si>
  <si>
    <t>Zero</t>
  </si>
  <si>
    <t>SD, my units</t>
  </si>
  <si>
    <t>SD of lognormal</t>
  </si>
  <si>
    <t>Pop'n ordinate</t>
  </si>
  <si>
    <t>Pop'n area to L</t>
  </si>
  <si>
    <t>Sum (ordinates)</t>
  </si>
  <si>
    <t>shape, sigma</t>
  </si>
  <si>
    <t>to 1042</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</si>
  <si>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</si>
  <si>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</si>
  <si>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</si>
  <si>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</si>
  <si>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</si>
  <si>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</si>
  <si>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</si>
  <si>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</si>
  <si>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</si>
  <si>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</si>
  <si>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</si>
  <si>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</si>
  <si>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</si>
  <si>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</si>
  <si>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</si>
  <si>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</si>
  <si>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</si>
  <si>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</si>
  <si>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</si>
  <si>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</si>
  <si>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</si>
  <si>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</si>
  <si>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</si>
  <si>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</si>
  <si>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</si>
  <si>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</si>
  <si>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Mean line</t>
  </si>
  <si>
    <r>
      <t xml:space="preserve">Display normal, </t>
    </r>
    <r>
      <rPr>
        <i/>
        <sz val="9"/>
        <rFont val="Arial"/>
        <family val="2"/>
      </rPr>
      <t>t</t>
    </r>
    <r>
      <rPr>
        <sz val="9"/>
        <rFont val="Arial"/>
        <family val="2"/>
      </rPr>
      <t xml:space="preserve"> distributions</t>
    </r>
  </si>
  <si>
    <r>
      <t>z</t>
    </r>
    <r>
      <rPr>
        <sz val="9"/>
        <rFont val="Arial"/>
        <family val="2"/>
      </rPr>
      <t xml:space="preserve"> or </t>
    </r>
    <r>
      <rPr>
        <i/>
        <sz val="9"/>
        <rFont val="Arial"/>
        <family val="2"/>
      </rPr>
      <t>t</t>
    </r>
    <r>
      <rPr>
        <sz val="9"/>
        <rFont val="Arial"/>
        <family val="2"/>
      </rPr>
      <t xml:space="preserve"> lines</t>
    </r>
  </si>
  <si>
    <t>Areas</t>
  </si>
  <si>
    <r>
      <t>z</t>
    </r>
    <r>
      <rPr>
        <sz val="9"/>
        <rFont val="Arial"/>
        <family val="2"/>
      </rPr>
      <t xml:space="preserve"> lines</t>
    </r>
  </si>
  <si>
    <t>label</t>
  </si>
  <si>
    <t>IQ points</t>
  </si>
  <si>
    <t>For X axis</t>
  </si>
  <si>
    <t>disp z</t>
  </si>
  <si>
    <t>X axis label</t>
  </si>
  <si>
    <r>
      <t>z</t>
    </r>
    <r>
      <rPr>
        <sz val="9"/>
        <rFont val="Arial"/>
        <family val="2"/>
      </rPr>
      <t xml:space="preserve"> cursor</t>
    </r>
  </si>
  <si>
    <t>Normal</t>
  </si>
  <si>
    <r>
      <t>X</t>
    </r>
    <r>
      <rPr>
        <b/>
        <sz val="9"/>
        <rFont val="Arial"/>
        <family val="2"/>
      </rPr>
      <t xml:space="preserve"> variable</t>
    </r>
  </si>
  <si>
    <r>
      <t xml:space="preserve">Display </t>
    </r>
    <r>
      <rPr>
        <i/>
        <sz val="9"/>
        <rFont val="Arial"/>
        <family val="2"/>
      </rPr>
      <t>X</t>
    </r>
    <r>
      <rPr>
        <sz val="9"/>
        <rFont val="Arial"/>
        <family val="2"/>
      </rPr>
      <t xml:space="preserve"> axis</t>
    </r>
  </si>
  <si>
    <r>
      <t>X</t>
    </r>
    <r>
      <rPr>
        <sz val="9"/>
        <rFont val="Arial"/>
        <family val="2"/>
      </rPr>
      <t xml:space="preserve"> cursor</t>
    </r>
  </si>
  <si>
    <t>Disp X axis?</t>
  </si>
  <si>
    <t>z cursor</t>
  </si>
  <si>
    <t xml:space="preserve">SD </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</si>
  <si>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</si>
  <si>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</si>
  <si>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</si>
  <si>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</si>
  <si>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</si>
  <si>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</si>
  <si>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</si>
  <si>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</si>
  <si>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</si>
  <si>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</si>
  <si>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</si>
  <si>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</si>
  <si>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</si>
  <si>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</si>
  <si>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</si>
  <si>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</si>
  <si>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</si>
  <si>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</si>
  <si>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</si>
  <si>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</si>
  <si>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</si>
  <si>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</si>
  <si>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</si>
  <si>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</si>
  <si>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</si>
  <si>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</si>
  <si>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</si>
  <si>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</si>
  <si>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</si>
  <si>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</si>
  <si>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</si>
  <si>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</si>
  <si>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</si>
  <si>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</si>
  <si>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</si>
  <si>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</si>
  <si>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Does CI capture next mean above?</t>
  </si>
  <si>
    <t>Mean disp</t>
  </si>
  <si>
    <t xml:space="preserve"> Capture of next mean</t>
  </si>
  <si>
    <t>Show capt</t>
  </si>
  <si>
    <t>Stripes</t>
  </si>
  <si>
    <t>LL</t>
  </si>
  <si>
    <t>UL</t>
  </si>
  <si>
    <t>End verticals</t>
  </si>
  <si>
    <t>Next mean</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</si>
  <si>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</si>
  <si>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</si>
  <si>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</si>
  <si>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</si>
  <si>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</si>
  <si>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</si>
  <si>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</si>
  <si>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</si>
  <si>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</si>
  <si>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</si>
  <si>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</si>
  <si>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</si>
  <si>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</si>
  <si>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</si>
  <si>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</si>
  <si>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</si>
  <si>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</si>
  <si>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</si>
  <si>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</si>
  <si>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</si>
  <si>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</si>
  <si>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</si>
  <si>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</si>
  <si>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</si>
  <si>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</si>
  <si>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</si>
  <si>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</si>
  <si>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</si>
  <si>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</si>
  <si>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</si>
  <si>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</si>
  <si>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</si>
  <si>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</si>
  <si>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Copyright ©  Geoff Cumming 2015</t>
  </si>
  <si>
    <t>Find areas and critical values,</t>
  </si>
  <si>
    <t>For the displayed slider value of</t>
  </si>
  <si>
    <t>for the displayed tail probability, which is</t>
  </si>
  <si>
    <t>Text box</t>
  </si>
  <si>
    <t>Population</t>
  </si>
  <si>
    <t>SD lines</t>
  </si>
  <si>
    <t>Fill random</t>
  </si>
  <si>
    <t>Sample means</t>
  </si>
  <si>
    <t>Data points</t>
  </si>
  <si>
    <r>
      <t xml:space="preserve">Show </t>
    </r>
    <r>
      <rPr>
        <sz val="9"/>
        <rFont val="Symbol"/>
        <family val="1"/>
        <charset val="2"/>
      </rPr>
      <t>m</t>
    </r>
    <r>
      <rPr>
        <sz val="9"/>
        <rFont val="Arial"/>
        <family val="2"/>
      </rPr>
      <t>0</t>
    </r>
  </si>
  <si>
    <r>
      <t>m</t>
    </r>
    <r>
      <rPr>
        <sz val="9"/>
        <rFont val="Arial"/>
        <family val="2"/>
      </rPr>
      <t>0 value</t>
    </r>
  </si>
  <si>
    <r>
      <t xml:space="preserve">Show </t>
    </r>
    <r>
      <rPr>
        <sz val="9"/>
        <rFont val="Symbol"/>
        <family val="1"/>
        <charset val="2"/>
      </rPr>
      <t>m</t>
    </r>
    <r>
      <rPr>
        <sz val="9"/>
        <rFont val="Arial"/>
        <family val="2"/>
      </rPr>
      <t>0 capt</t>
    </r>
  </si>
  <si>
    <r>
      <t xml:space="preserve">Assume </t>
    </r>
    <r>
      <rPr>
        <sz val="9"/>
        <rFont val="Symbol"/>
        <family val="1"/>
        <charset val="2"/>
      </rPr>
      <t>s</t>
    </r>
    <r>
      <rPr>
        <sz val="9"/>
        <rFont val="Arial"/>
        <family val="2"/>
      </rPr>
      <t xml:space="preserve"> known</t>
    </r>
  </si>
  <si>
    <r>
      <t xml:space="preserve">For </t>
    </r>
    <r>
      <rPr>
        <sz val="9"/>
        <rFont val="Symbol"/>
        <family val="1"/>
        <charset val="2"/>
      </rPr>
      <t>m</t>
    </r>
    <r>
      <rPr>
        <sz val="9"/>
        <rFont val="Arial"/>
        <family val="2"/>
      </rPr>
      <t>0 line</t>
    </r>
  </si>
  <si>
    <r>
      <t>m</t>
    </r>
    <r>
      <rPr>
        <sz val="9"/>
        <rFont val="Arial"/>
        <family val="2"/>
      </rPr>
      <t>0 line bar</t>
    </r>
  </si>
  <si>
    <r>
      <t xml:space="preserve">Mean  </t>
    </r>
    <r>
      <rPr>
        <i/>
        <sz val="9"/>
        <rFont val="Arial"/>
        <family val="2"/>
      </rPr>
      <t xml:space="preserve">M </t>
    </r>
  </si>
  <si>
    <r>
      <t xml:space="preserve">SD  </t>
    </r>
    <r>
      <rPr>
        <i/>
        <sz val="9"/>
        <rFont val="Arial"/>
        <family val="2"/>
      </rPr>
      <t xml:space="preserve">s </t>
    </r>
  </si>
  <si>
    <r>
      <t xml:space="preserve">Number capturing </t>
    </r>
    <r>
      <rPr>
        <sz val="9"/>
        <rFont val="Symbol"/>
        <family val="1"/>
        <charset val="2"/>
      </rPr>
      <t xml:space="preserve">m </t>
    </r>
  </si>
  <si>
    <r>
      <t xml:space="preserve">Percent capturing </t>
    </r>
    <r>
      <rPr>
        <sz val="9"/>
        <rFont val="Symbol"/>
        <family val="1"/>
        <charset val="2"/>
      </rPr>
      <t>m</t>
    </r>
  </si>
  <si>
    <t>Sampling</t>
  </si>
  <si>
    <t>SE lines</t>
  </si>
  <si>
    <t xml:space="preserve">MoE </t>
  </si>
  <si>
    <t>CIs</t>
  </si>
  <si>
    <r>
      <t xml:space="preserve">Capture of </t>
    </r>
    <r>
      <rPr>
        <sz val="10"/>
        <rFont val="Symbol"/>
        <family val="1"/>
        <charset val="2"/>
      </rPr>
      <t>m</t>
    </r>
  </si>
  <si>
    <t xml:space="preserve">Capture of </t>
  </si>
  <si>
    <t>next mean</t>
  </si>
  <si>
    <t xml:space="preserve"> Confidence intervals</t>
  </si>
  <si>
    <t>Latest sample:</t>
  </si>
  <si>
    <t xml:space="preserve">samples </t>
  </si>
  <si>
    <t>Number of</t>
  </si>
  <si>
    <t>Samples</t>
  </si>
  <si>
    <r>
      <t xml:space="preserve"> Capture of </t>
    </r>
    <r>
      <rPr>
        <b/>
        <sz val="10"/>
        <rFont val="Symbol"/>
        <family val="1"/>
        <charset val="2"/>
      </rPr>
      <t>m</t>
    </r>
  </si>
  <si>
    <r>
      <t xml:space="preserve">Assume </t>
    </r>
    <r>
      <rPr>
        <sz val="10"/>
        <rFont val="Symbol"/>
        <family val="1"/>
        <charset val="2"/>
      </rPr>
      <t>s</t>
    </r>
    <r>
      <rPr>
        <sz val="9"/>
        <rFont val="Arial"/>
        <family val="2"/>
      </rPr>
      <t xml:space="preserve"> is:</t>
    </r>
  </si>
  <si>
    <t xml:space="preserve">   Known</t>
  </si>
  <si>
    <t xml:space="preserve">  Unknown</t>
  </si>
  <si>
    <t>1=known</t>
  </si>
  <si>
    <r>
      <t xml:space="preserve">For </t>
    </r>
    <r>
      <rPr>
        <sz val="10"/>
        <rFont val="Symbol"/>
        <family val="1"/>
        <charset val="2"/>
      </rPr>
      <t>s</t>
    </r>
    <r>
      <rPr>
        <sz val="9"/>
        <rFont val="Arial"/>
        <family val="2"/>
      </rPr>
      <t xml:space="preserve"> known</t>
    </r>
  </si>
  <si>
    <r>
      <t xml:space="preserve">±MoE around </t>
    </r>
    <r>
      <rPr>
        <sz val="10"/>
        <rFont val="Symbol"/>
        <family val="1"/>
        <charset val="2"/>
      </rPr>
      <t>m</t>
    </r>
  </si>
  <si>
    <t xml:space="preserve">  distribution curve</t>
  </si>
  <si>
    <t xml:space="preserve">Shape: </t>
  </si>
  <si>
    <r>
      <t xml:space="preserve">2  </t>
    </r>
    <r>
      <rPr>
        <b/>
        <sz val="9"/>
        <rFont val="Arial"/>
        <family val="2"/>
      </rPr>
      <t>Click to display:</t>
    </r>
  </si>
  <si>
    <t>maxheight</t>
  </si>
  <si>
    <t>SElinelength</t>
  </si>
  <si>
    <t>extra</t>
  </si>
  <si>
    <t xml:space="preserve">Number in mean heap </t>
  </si>
  <si>
    <t>highest</t>
  </si>
  <si>
    <t>y and 0</t>
  </si>
  <si>
    <t>Bar</t>
  </si>
  <si>
    <t>lowest</t>
  </si>
  <si>
    <t>y and 99</t>
  </si>
  <si>
    <t>Disp mean</t>
  </si>
  <si>
    <t>meanheap?</t>
  </si>
  <si>
    <t>In heap?</t>
  </si>
  <si>
    <t>y disp</t>
  </si>
  <si>
    <t>Heap N</t>
  </si>
  <si>
    <t>X in heap</t>
  </si>
  <si>
    <t>SE heap</t>
  </si>
  <si>
    <t>Upper limit of X axis</t>
  </si>
  <si>
    <t>meanheapOK?</t>
  </si>
  <si>
    <t>ToCountCaptMU</t>
  </si>
  <si>
    <t>BarCaptMU</t>
  </si>
  <si>
    <t>Previous Bar</t>
  </si>
  <si>
    <t xml:space="preserve">Mean heap SE </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</si>
  <si>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</si>
  <si>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</si>
  <si>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</si>
  <si>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</si>
  <si>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</si>
  <si>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</si>
  <si>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</si>
  <si>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</si>
  <si>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</si>
  <si>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</si>
  <si>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</si>
  <si>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</si>
  <si>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</si>
  <si>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Data Two</t>
  </si>
  <si>
    <t>Enter your own data, for two independent groups</t>
  </si>
  <si>
    <t xml:space="preserve">13 </t>
  </si>
  <si>
    <t xml:space="preserve">14 </t>
  </si>
  <si>
    <t xml:space="preserve">15 </t>
  </si>
  <si>
    <t>Display sample means, with CIs</t>
  </si>
  <si>
    <t>sum G1</t>
  </si>
  <si>
    <t>sum G2</t>
  </si>
  <si>
    <t xml:space="preserve"> Dataset name </t>
  </si>
  <si>
    <t>PenLaptop 1</t>
  </si>
  <si>
    <t>PenLaptop 2</t>
  </si>
  <si>
    <t>PenLaptop 3</t>
  </si>
  <si>
    <t>sumsq G1</t>
  </si>
  <si>
    <t xml:space="preserve">Units </t>
  </si>
  <si>
    <t>Transcription %</t>
  </si>
  <si>
    <t xml:space="preserve">  Display data points</t>
  </si>
  <si>
    <t xml:space="preserve">       Offset points</t>
  </si>
  <si>
    <t>sumsq G2</t>
  </si>
  <si>
    <t>Group 1</t>
  </si>
  <si>
    <t>Group 2</t>
  </si>
  <si>
    <t>Pen</t>
  </si>
  <si>
    <t>Laptop</t>
  </si>
  <si>
    <t>Confidence Intervals</t>
  </si>
  <si>
    <t xml:space="preserve">11 </t>
  </si>
  <si>
    <t>Offset points</t>
  </si>
  <si>
    <t xml:space="preserve">12 </t>
  </si>
  <si>
    <t>N1</t>
  </si>
  <si>
    <r>
      <t>2</t>
    </r>
    <r>
      <rPr>
        <sz val="8"/>
        <rFont val="Arial"/>
        <family val="2"/>
      </rPr>
      <t xml:space="preserve">  1</t>
    </r>
  </si>
  <si>
    <t xml:space="preserve">  Display CIs</t>
  </si>
  <si>
    <t>N2</t>
  </si>
  <si>
    <t xml:space="preserve">        Display CI overlap</t>
  </si>
  <si>
    <t>To calculate CIs on d</t>
  </si>
  <si>
    <t>targtailPs</t>
  </si>
  <si>
    <t>tobezero</t>
  </si>
  <si>
    <t>NCP limits</t>
  </si>
  <si>
    <t>nct</t>
  </si>
  <si>
    <t>approx CI</t>
  </si>
  <si>
    <t>CIs and inference</t>
  </si>
  <si>
    <t>equiv d</t>
  </si>
  <si>
    <t>equiv ncp</t>
  </si>
  <si>
    <t>to</t>
  </si>
  <si>
    <t>Assume var equal?</t>
  </si>
  <si>
    <t>]</t>
  </si>
  <si>
    <t>Effect Size</t>
  </si>
  <si>
    <t>Assumption</t>
  </si>
  <si>
    <t xml:space="preserve">       Yes</t>
  </si>
  <si>
    <t xml:space="preserve">Assume variances equal?  </t>
  </si>
  <si>
    <t xml:space="preserve">       No</t>
  </si>
  <si>
    <t>Inference</t>
  </si>
  <si>
    <t xml:space="preserve">df </t>
  </si>
  <si>
    <t xml:space="preserve">       Reveal figure displaying difference</t>
  </si>
  <si>
    <t xml:space="preserve">d </t>
  </si>
  <si>
    <t>[</t>
  </si>
  <si>
    <t>,</t>
  </si>
  <si>
    <t>offset?</t>
  </si>
  <si>
    <t>For Display</t>
  </si>
  <si>
    <t>Group1</t>
  </si>
  <si>
    <t>Group2</t>
  </si>
  <si>
    <t>To debias</t>
  </si>
  <si>
    <t>oldy1disp</t>
  </si>
  <si>
    <t>y1dispround</t>
  </si>
  <si>
    <t>y1ticks</t>
  </si>
  <si>
    <t>x1ticks</t>
  </si>
  <si>
    <t>x1dispinc</t>
  </si>
  <si>
    <t>oldy2disp</t>
  </si>
  <si>
    <t>y2dispround</t>
  </si>
  <si>
    <t>y2ticks</t>
  </si>
  <si>
    <t>x2ticks</t>
  </si>
  <si>
    <t>x2dispinc</t>
  </si>
  <si>
    <t>To get wide figure</t>
  </si>
  <si>
    <t>Dotted lines</t>
  </si>
  <si>
    <t>maxy</t>
  </si>
  <si>
    <t>Group 1?</t>
  </si>
  <si>
    <t>Show O'lap</t>
  </si>
  <si>
    <t>ytick</t>
  </si>
  <si>
    <t>Group 2?</t>
  </si>
  <si>
    <t>Dot only</t>
  </si>
  <si>
    <t>miny</t>
  </si>
  <si>
    <t>Disp data</t>
  </si>
  <si>
    <t>Yes-No</t>
  </si>
  <si>
    <t>Reveal Diff fig</t>
  </si>
  <si>
    <t>Calcs for unit on diff axis</t>
  </si>
  <si>
    <t>xtick</t>
  </si>
  <si>
    <t>X-axis labels</t>
  </si>
  <si>
    <t>Difference</t>
  </si>
  <si>
    <t>Range</t>
  </si>
  <si>
    <t>Disp difference</t>
  </si>
  <si>
    <t>Dot Means</t>
  </si>
  <si>
    <t>Powerof10</t>
  </si>
  <si>
    <t>Col Means</t>
  </si>
  <si>
    <t>Estnoints</t>
  </si>
  <si>
    <t>Disp all diff stuff</t>
  </si>
  <si>
    <t>CI bars</t>
  </si>
  <si>
    <t>divisor</t>
  </si>
  <si>
    <t>Bar widths</t>
  </si>
  <si>
    <t>Overlap</t>
  </si>
  <si>
    <t>For diff axis</t>
  </si>
  <si>
    <t>Max y needed</t>
  </si>
  <si>
    <t>Min y needed</t>
  </si>
  <si>
    <t>(Invisible points to keep y axis stable)</t>
  </si>
  <si>
    <t>y axis label</t>
  </si>
  <si>
    <t>Pooled s</t>
  </si>
  <si>
    <t>tcrit C</t>
  </si>
  <si>
    <t>For Welch-Satterthwaite</t>
  </si>
  <si>
    <t>For WS SE</t>
  </si>
  <si>
    <t>WS SE</t>
  </si>
  <si>
    <t>WS t</t>
  </si>
  <si>
    <t>WS df</t>
  </si>
  <si>
    <t>WS p rddown</t>
  </si>
  <si>
    <t>tcrit C rddn</t>
  </si>
  <si>
    <t>WS p rdup</t>
  </si>
  <si>
    <t>tcrit C rdup</t>
  </si>
  <si>
    <t>WS interp frac</t>
  </si>
  <si>
    <t>WS p</t>
  </si>
  <si>
    <r>
      <t xml:space="preserve">Display </t>
    </r>
    <r>
      <rPr>
        <sz val="9"/>
        <rFont val="Arial"/>
        <family val="2"/>
      </rPr>
      <t xml:space="preserve">information for: </t>
    </r>
  </si>
  <si>
    <r>
      <t xml:space="preserve">Calc CI on </t>
    </r>
    <r>
      <rPr>
        <i/>
        <sz val="9"/>
        <rFont val="Arial"/>
        <family val="2"/>
      </rPr>
      <t>d</t>
    </r>
    <r>
      <rPr>
        <sz val="9"/>
        <rFont val="Arial"/>
        <family val="2"/>
      </rPr>
      <t>?</t>
    </r>
  </si>
  <si>
    <r>
      <t>N</t>
    </r>
    <r>
      <rPr>
        <vertAlign val="subscript"/>
        <sz val="10"/>
        <rFont val="Arial"/>
        <family val="2"/>
      </rPr>
      <t>1</t>
    </r>
  </si>
  <si>
    <r>
      <t>N</t>
    </r>
    <r>
      <rPr>
        <vertAlign val="subscript"/>
        <sz val="10"/>
        <rFont val="Arial"/>
        <family val="2"/>
      </rPr>
      <t>2</t>
    </r>
  </si>
  <si>
    <r>
      <t xml:space="preserve">Means   </t>
    </r>
    <r>
      <rPr>
        <i/>
        <sz val="9"/>
        <rFont val="Arial"/>
        <family val="2"/>
      </rPr>
      <t>M</t>
    </r>
    <r>
      <rPr>
        <vertAlign val="subscript"/>
        <sz val="10"/>
        <rFont val="Arial"/>
        <family val="2"/>
      </rPr>
      <t>1</t>
    </r>
  </si>
  <si>
    <r>
      <t>M</t>
    </r>
    <r>
      <rPr>
        <vertAlign val="subscript"/>
        <sz val="10"/>
        <rFont val="Arial"/>
        <family val="2"/>
      </rPr>
      <t>2</t>
    </r>
  </si>
  <si>
    <r>
      <t xml:space="preserve">SDs   </t>
    </r>
    <r>
      <rPr>
        <i/>
        <sz val="9"/>
        <rFont val="Arial"/>
        <family val="2"/>
      </rPr>
      <t>s</t>
    </r>
    <r>
      <rPr>
        <vertAlign val="subscript"/>
        <sz val="10"/>
        <rFont val="Arial"/>
        <family val="2"/>
      </rPr>
      <t>1</t>
    </r>
  </si>
  <si>
    <r>
      <t>s</t>
    </r>
    <r>
      <rPr>
        <vertAlign val="subscript"/>
        <sz val="10"/>
        <rFont val="Arial"/>
        <family val="2"/>
      </rPr>
      <t>2</t>
    </r>
  </si>
  <si>
    <r>
      <t>MoE</t>
    </r>
    <r>
      <rPr>
        <vertAlign val="subscript"/>
        <sz val="10"/>
        <rFont val="Arial"/>
        <family val="2"/>
      </rPr>
      <t>1</t>
    </r>
  </si>
  <si>
    <r>
      <t>MoE</t>
    </r>
    <r>
      <rPr>
        <vertAlign val="subscript"/>
        <sz val="10"/>
        <rFont val="Arial"/>
        <family val="2"/>
      </rPr>
      <t>2</t>
    </r>
  </si>
  <si>
    <r>
      <t>CI</t>
    </r>
    <r>
      <rPr>
        <b/>
        <sz val="9"/>
        <rFont val="Arial"/>
        <family val="2"/>
      </rPr>
      <t xml:space="preserve"> [</t>
    </r>
    <r>
      <rPr>
        <b/>
        <sz val="9"/>
        <color indexed="45"/>
        <rFont val="Arial"/>
        <family val="2"/>
      </rPr>
      <t>i</t>
    </r>
    <r>
      <rPr>
        <b/>
        <sz val="9"/>
        <rFont val="Arial"/>
        <family val="2"/>
      </rPr>
      <t xml:space="preserve">    </t>
    </r>
  </si>
  <si>
    <r>
      <t xml:space="preserve">to  </t>
    </r>
    <r>
      <rPr>
        <b/>
        <sz val="9"/>
        <rFont val="Arial"/>
        <family val="2"/>
      </rPr>
      <t xml:space="preserve">       [</t>
    </r>
  </si>
  <si>
    <r>
      <t xml:space="preserve">Mean of </t>
    </r>
    <r>
      <rPr>
        <i/>
        <sz val="9"/>
        <color indexed="8"/>
        <rFont val="Arial"/>
        <family val="2"/>
      </rPr>
      <t>MoE</t>
    </r>
    <r>
      <rPr>
        <vertAlign val="subscript"/>
        <sz val="10"/>
        <color indexed="8"/>
        <rFont val="Arial"/>
        <family val="2"/>
      </rPr>
      <t>1</t>
    </r>
    <r>
      <rPr>
        <sz val="9"/>
        <color indexed="8"/>
        <rFont val="Arial"/>
        <family val="2"/>
      </rPr>
      <t xml:space="preserve"> and </t>
    </r>
    <r>
      <rPr>
        <i/>
        <sz val="9"/>
        <color indexed="8"/>
        <rFont val="Arial"/>
        <family val="2"/>
      </rPr>
      <t>MoE</t>
    </r>
    <r>
      <rPr>
        <vertAlign val="subscript"/>
        <sz val="10"/>
        <color indexed="8"/>
        <rFont val="Arial"/>
        <family val="2"/>
      </rPr>
      <t>2</t>
    </r>
  </si>
  <si>
    <r>
      <t>s</t>
    </r>
    <r>
      <rPr>
        <vertAlign val="subscript"/>
        <sz val="10"/>
        <rFont val="Arial"/>
        <family val="2"/>
      </rPr>
      <t xml:space="preserve">p </t>
    </r>
  </si>
  <si>
    <r>
      <t>MoE</t>
    </r>
    <r>
      <rPr>
        <vertAlign val="subscript"/>
        <sz val="10"/>
        <rFont val="Arial"/>
        <family val="2"/>
      </rPr>
      <t>diff</t>
    </r>
  </si>
  <si>
    <r>
      <t>Independent groups</t>
    </r>
    <r>
      <rPr>
        <i/>
        <sz val="9"/>
        <rFont val="Arial"/>
        <family val="2"/>
      </rPr>
      <t xml:space="preserve"> t </t>
    </r>
  </si>
  <si>
    <r>
      <t xml:space="preserve"> </t>
    </r>
    <r>
      <rPr>
        <i/>
        <sz val="9"/>
        <rFont val="Arial"/>
        <family val="2"/>
      </rPr>
      <t>p</t>
    </r>
    <r>
      <rPr>
        <sz val="9"/>
        <rFont val="Arial"/>
        <family val="2"/>
      </rPr>
      <t xml:space="preserve"> value </t>
    </r>
  </si>
  <si>
    <r>
      <t xml:space="preserve"> Cohen's </t>
    </r>
    <r>
      <rPr>
        <b/>
        <i/>
        <sz val="9"/>
        <rFont val="Arial"/>
        <family val="2"/>
      </rPr>
      <t>d</t>
    </r>
  </si>
  <si>
    <r>
      <t xml:space="preserve">     Unbiased </t>
    </r>
    <r>
      <rPr>
        <b/>
        <i/>
        <sz val="9"/>
        <rFont val="Arial"/>
        <family val="2"/>
      </rPr>
      <t>d</t>
    </r>
  </si>
  <si>
    <r>
      <t xml:space="preserve"> </t>
    </r>
    <r>
      <rPr>
        <i/>
        <sz val="9"/>
        <color indexed="20"/>
        <rFont val="Arial"/>
        <family val="2"/>
      </rPr>
      <t>d</t>
    </r>
    <r>
      <rPr>
        <vertAlign val="subscript"/>
        <sz val="11"/>
        <color indexed="20"/>
        <rFont val="Arial"/>
        <family val="2"/>
      </rPr>
      <t>unbiased</t>
    </r>
  </si>
  <si>
    <r>
      <t xml:space="preserve"> MoE</t>
    </r>
    <r>
      <rPr>
        <vertAlign val="subscript"/>
        <sz val="10"/>
        <color indexed="20"/>
        <rFont val="Arial"/>
        <family val="2"/>
      </rPr>
      <t>av</t>
    </r>
  </si>
  <si>
    <r>
      <t xml:space="preserve">Disp </t>
    </r>
    <r>
      <rPr>
        <i/>
        <sz val="9"/>
        <rFont val="Arial"/>
        <family val="2"/>
      </rPr>
      <t>d</t>
    </r>
    <r>
      <rPr>
        <sz val="9"/>
        <rFont val="Arial"/>
        <family val="2"/>
      </rPr>
      <t>, CI?</t>
    </r>
  </si>
  <si>
    <r>
      <t>C</t>
    </r>
    <r>
      <rPr>
        <sz val="9"/>
        <rFont val="Arial"/>
        <family val="2"/>
      </rPr>
      <t xml:space="preserve"> OK?</t>
    </r>
  </si>
  <si>
    <t>LSAT score</t>
  </si>
  <si>
    <t>X</t>
  </si>
  <si>
    <t>Y</t>
  </si>
  <si>
    <t>Pretest</t>
  </si>
  <si>
    <t>Posttest</t>
  </si>
  <si>
    <t>Statistics for differences</t>
  </si>
  <si>
    <t>Statistics for two measures</t>
  </si>
  <si>
    <t>For % label, red area</t>
  </si>
  <si>
    <t xml:space="preserve">Area of E above mean of C </t>
  </si>
  <si>
    <t xml:space="preserve">Area of C below mean of E </t>
  </si>
  <si>
    <t>For % label, blue area</t>
  </si>
  <si>
    <t>Summary Two</t>
  </si>
  <si>
    <t xml:space="preserve"> for two independent groups</t>
  </si>
  <si>
    <t>Summary data</t>
  </si>
  <si>
    <t xml:space="preserve">Display features </t>
  </si>
  <si>
    <t>Enter your own summary data,</t>
  </si>
  <si>
    <t xml:space="preserve">3 </t>
  </si>
  <si>
    <t>UL diff</t>
  </si>
  <si>
    <t>LL diff</t>
  </si>
  <si>
    <t>Gp1 data?</t>
  </si>
  <si>
    <t>Gp2 data?</t>
  </si>
  <si>
    <t xml:space="preserve">1 3 5 </t>
  </si>
  <si>
    <t>2 4 6</t>
  </si>
  <si>
    <t>Dataset name</t>
  </si>
  <si>
    <t>Sdiff</t>
  </si>
  <si>
    <t xml:space="preserve">          Summary Paired</t>
  </si>
  <si>
    <t>Enter your own matched-pairs data</t>
  </si>
  <si>
    <r>
      <t xml:space="preserve">number </t>
    </r>
    <r>
      <rPr>
        <sz val="8"/>
        <rFont val="Arial"/>
        <family val="2"/>
      </rPr>
      <t>2</t>
    </r>
  </si>
  <si>
    <r>
      <t xml:space="preserve"> 3</t>
    </r>
    <r>
      <rPr>
        <sz val="9"/>
        <rFont val="Arial"/>
        <family val="2"/>
      </rPr>
      <t xml:space="preserve">   Pair</t>
    </r>
    <r>
      <rPr>
        <sz val="8"/>
        <rFont val="Arial"/>
        <family val="2"/>
      </rPr>
      <t xml:space="preserve">  </t>
    </r>
    <r>
      <rPr>
        <sz val="9"/>
        <rFont val="Arial"/>
        <family val="2"/>
      </rPr>
      <t xml:space="preserve"> </t>
    </r>
    <r>
      <rPr>
        <sz val="8"/>
        <rFont val="Arial"/>
        <family val="2"/>
      </rPr>
      <t>1</t>
    </r>
  </si>
  <si>
    <t xml:space="preserve">7 </t>
  </si>
  <si>
    <t xml:space="preserve">               for the paired design</t>
  </si>
  <si>
    <t xml:space="preserve">          Enter your own summary data,</t>
  </si>
  <si>
    <t xml:space="preserve">         Display CI on measures</t>
  </si>
  <si>
    <t xml:space="preserve">        Display CI on difference</t>
  </si>
  <si>
    <t>M1</t>
  </si>
  <si>
    <t>M2</t>
  </si>
  <si>
    <t>SD1</t>
  </si>
  <si>
    <t>SD2</t>
  </si>
  <si>
    <t>Means and N OK?</t>
  </si>
  <si>
    <t>Show CI on diff</t>
  </si>
  <si>
    <t>Show CI on measures</t>
  </si>
  <si>
    <t>Means, N, and 2 SDs OK?</t>
  </si>
  <si>
    <t>Means, N, and SD diff OK?</t>
  </si>
  <si>
    <t>Means, N, and 3 SDs OK?</t>
  </si>
  <si>
    <t xml:space="preserve"> Units </t>
  </si>
  <si>
    <t xml:space="preserve">4 </t>
  </si>
  <si>
    <t>3</t>
  </si>
  <si>
    <t xml:space="preserve">    Display CI on differences</t>
  </si>
  <si>
    <t xml:space="preserve">             Display CI on measures</t>
  </si>
  <si>
    <t>yLorig</t>
  </si>
  <si>
    <t>yRorig</t>
  </si>
  <si>
    <t>yLticks</t>
  </si>
  <si>
    <t>yRticks</t>
  </si>
  <si>
    <t>yLround</t>
  </si>
  <si>
    <t>yRround</t>
  </si>
  <si>
    <t>Label height</t>
  </si>
  <si>
    <t>shade adjust</t>
  </si>
  <si>
    <t>X axis L end</t>
  </si>
  <si>
    <t>High E shade?</t>
  </si>
  <si>
    <t>X axis R end</t>
  </si>
  <si>
    <t>Low C shade?</t>
  </si>
  <si>
    <t>y max +</t>
  </si>
  <si>
    <t>index</t>
  </si>
  <si>
    <t>y Control</t>
  </si>
  <si>
    <t>y Experimental</t>
  </si>
  <si>
    <t>low C shade</t>
  </si>
  <si>
    <t>high E shade</t>
  </si>
  <si>
    <t>Shade?</t>
  </si>
  <si>
    <t>Thomason 1</t>
  </si>
  <si>
    <t>Thomason 2</t>
  </si>
  <si>
    <t>Thomason 3</t>
  </si>
  <si>
    <t>Dot-Col</t>
  </si>
  <si>
    <t>ShowData</t>
  </si>
  <si>
    <t xml:space="preserve">9 </t>
  </si>
  <si>
    <t>Horizontals</t>
  </si>
  <si>
    <t>Display1</t>
  </si>
  <si>
    <t>Display mean of differences, with CI</t>
  </si>
  <si>
    <t>ShowCIdiffs</t>
  </si>
  <si>
    <t>ShowCImeas</t>
  </si>
  <si>
    <t>Correlation</t>
  </si>
  <si>
    <t>Measure 1</t>
  </si>
  <si>
    <t>Measure 2</t>
  </si>
  <si>
    <t>Diffs</t>
  </si>
  <si>
    <t>CI bars, measures</t>
  </si>
  <si>
    <t>Mean Diff</t>
  </si>
  <si>
    <t>Diff bars</t>
  </si>
  <si>
    <t>for pink</t>
  </si>
  <si>
    <t>for highlighting</t>
  </si>
  <si>
    <t>DisplayDiff</t>
  </si>
  <si>
    <t>Data Paired</t>
  </si>
  <si>
    <t>MeansOK?</t>
  </si>
  <si>
    <t>SDs OK?</t>
  </si>
  <si>
    <t>Differences</t>
  </si>
  <si>
    <t>Points for</t>
  </si>
  <si>
    <t>stable y</t>
  </si>
  <si>
    <t>Disp1</t>
  </si>
  <si>
    <t>Disp2</t>
  </si>
  <si>
    <t>Highlight</t>
  </si>
  <si>
    <t>Display</t>
  </si>
  <si>
    <t xml:space="preserve">16 </t>
  </si>
  <si>
    <t>Pooled value of s1, s2</t>
  </si>
  <si>
    <t>Highlight 1</t>
  </si>
  <si>
    <t>Highlight 3</t>
  </si>
  <si>
    <t>Highlight 5</t>
  </si>
  <si>
    <t>Highlight 7</t>
  </si>
  <si>
    <t xml:space="preserve">Diff </t>
  </si>
  <si>
    <t>Horiz line at zero</t>
  </si>
  <si>
    <t>hor axis bar</t>
  </si>
  <si>
    <t>multiple</t>
  </si>
  <si>
    <t>Divisor</t>
  </si>
  <si>
    <t>Intsize</t>
  </si>
  <si>
    <t>x for diff axis</t>
  </si>
  <si>
    <t>Zero?</t>
  </si>
  <si>
    <t>HCTA score</t>
  </si>
  <si>
    <r>
      <t xml:space="preserve"> 2</t>
    </r>
    <r>
      <rPr>
        <sz val="9"/>
        <rFont val="Arial"/>
        <family val="2"/>
      </rPr>
      <t xml:space="preserve">  Labels</t>
    </r>
  </si>
  <si>
    <t xml:space="preserve">    Offset points</t>
  </si>
  <si>
    <t xml:space="preserve">             Display data pairs</t>
  </si>
  <si>
    <t xml:space="preserve">          Display differences</t>
  </si>
  <si>
    <t xml:space="preserve">     Display CIs</t>
  </si>
  <si>
    <t xml:space="preserve">    Yes</t>
  </si>
  <si>
    <t xml:space="preserve">   No</t>
  </si>
  <si>
    <t>x for data pts</t>
  </si>
  <si>
    <t>Display data pairs</t>
  </si>
  <si>
    <t>est of sigma</t>
  </si>
  <si>
    <t>d</t>
  </si>
  <si>
    <r>
      <t>1</t>
    </r>
    <r>
      <rPr>
        <sz val="9"/>
        <rFont val="Arial"/>
        <family val="2"/>
      </rPr>
      <t xml:space="preserve">   Dataset name</t>
    </r>
  </si>
  <si>
    <t>ydiffticks</t>
  </si>
  <si>
    <t>xdiffticks</t>
  </si>
  <si>
    <t>xdiffdispinc</t>
  </si>
  <si>
    <r>
      <t xml:space="preserve">Means </t>
    </r>
    <r>
      <rPr>
        <i/>
        <sz val="9"/>
        <rFont val="Arial"/>
        <family val="2"/>
      </rPr>
      <t>M</t>
    </r>
    <r>
      <rPr>
        <vertAlign val="subscript"/>
        <sz val="10"/>
        <rFont val="Arial"/>
        <family val="2"/>
      </rPr>
      <t>1</t>
    </r>
    <r>
      <rPr>
        <i/>
        <vertAlign val="subscript"/>
        <sz val="10"/>
        <rFont val="Arial"/>
        <family val="2"/>
      </rPr>
      <t xml:space="preserve"> </t>
    </r>
  </si>
  <si>
    <r>
      <t>M</t>
    </r>
    <r>
      <rPr>
        <vertAlign val="subscript"/>
        <sz val="10"/>
        <rFont val="Arial"/>
        <family val="2"/>
      </rPr>
      <t>2</t>
    </r>
    <r>
      <rPr>
        <i/>
        <vertAlign val="subscript"/>
        <sz val="10"/>
        <rFont val="Arial"/>
        <family val="2"/>
      </rPr>
      <t xml:space="preserve"> </t>
    </r>
  </si>
  <si>
    <r>
      <t xml:space="preserve">SDs  </t>
    </r>
    <r>
      <rPr>
        <i/>
        <sz val="9"/>
        <rFont val="Arial"/>
        <family val="2"/>
      </rPr>
      <t>s</t>
    </r>
    <r>
      <rPr>
        <vertAlign val="subscript"/>
        <sz val="10"/>
        <rFont val="Arial"/>
        <family val="2"/>
      </rPr>
      <t>1</t>
    </r>
    <r>
      <rPr>
        <i/>
        <vertAlign val="subscript"/>
        <sz val="10"/>
        <rFont val="Arial"/>
        <family val="2"/>
      </rPr>
      <t xml:space="preserve"> </t>
    </r>
  </si>
  <si>
    <r>
      <t>s</t>
    </r>
    <r>
      <rPr>
        <vertAlign val="subscript"/>
        <sz val="10"/>
        <rFont val="Arial"/>
        <family val="2"/>
      </rPr>
      <t>2</t>
    </r>
    <r>
      <rPr>
        <i/>
        <vertAlign val="subscript"/>
        <sz val="9"/>
        <rFont val="Arial"/>
        <family val="2"/>
      </rPr>
      <t xml:space="preserve"> </t>
    </r>
  </si>
  <si>
    <r>
      <t>MoE</t>
    </r>
    <r>
      <rPr>
        <vertAlign val="subscript"/>
        <sz val="10"/>
        <rFont val="Arial"/>
        <family val="2"/>
      </rPr>
      <t>1</t>
    </r>
    <r>
      <rPr>
        <i/>
        <vertAlign val="subscript"/>
        <sz val="10"/>
        <rFont val="Arial"/>
        <family val="2"/>
      </rPr>
      <t xml:space="preserve"> </t>
    </r>
  </si>
  <si>
    <r>
      <t>MoE</t>
    </r>
    <r>
      <rPr>
        <vertAlign val="subscript"/>
        <sz val="10"/>
        <rFont val="Arial"/>
        <family val="2"/>
      </rPr>
      <t>2</t>
    </r>
    <r>
      <rPr>
        <i/>
        <vertAlign val="subscript"/>
        <sz val="9"/>
        <rFont val="Arial"/>
        <family val="2"/>
      </rPr>
      <t xml:space="preserve"> </t>
    </r>
  </si>
  <si>
    <r>
      <t>CI</t>
    </r>
    <r>
      <rPr>
        <b/>
        <sz val="9"/>
        <rFont val="Arial"/>
        <family val="2"/>
      </rPr>
      <t xml:space="preserve"> [</t>
    </r>
    <r>
      <rPr>
        <b/>
        <sz val="9"/>
        <color indexed="41"/>
        <rFont val="Arial"/>
        <family val="2"/>
      </rPr>
      <t xml:space="preserve">i   </t>
    </r>
    <r>
      <rPr>
        <b/>
        <sz val="9"/>
        <rFont val="Arial"/>
        <family val="2"/>
      </rPr>
      <t xml:space="preserve"> </t>
    </r>
  </si>
  <si>
    <r>
      <t>to</t>
    </r>
    <r>
      <rPr>
        <b/>
        <sz val="9"/>
        <rFont val="Arial"/>
        <family val="2"/>
      </rPr>
      <t xml:space="preserve">       </t>
    </r>
    <r>
      <rPr>
        <sz val="9"/>
        <rFont val="Arial"/>
        <family val="2"/>
      </rPr>
      <t xml:space="preserve">CI </t>
    </r>
    <r>
      <rPr>
        <b/>
        <sz val="9"/>
        <rFont val="Arial"/>
        <family val="2"/>
      </rPr>
      <t>[</t>
    </r>
  </si>
  <si>
    <r>
      <t>M</t>
    </r>
    <r>
      <rPr>
        <vertAlign val="subscript"/>
        <sz val="10"/>
        <rFont val="Arial"/>
        <family val="2"/>
      </rPr>
      <t>diff</t>
    </r>
    <r>
      <rPr>
        <i/>
        <vertAlign val="subscript"/>
        <sz val="10"/>
        <rFont val="Arial"/>
        <family val="2"/>
      </rPr>
      <t xml:space="preserve"> </t>
    </r>
    <r>
      <rPr>
        <vertAlign val="subscript"/>
        <sz val="10"/>
        <rFont val="Arial"/>
        <family val="2"/>
      </rPr>
      <t xml:space="preserve"> </t>
    </r>
  </si>
  <si>
    <r>
      <t>s</t>
    </r>
    <r>
      <rPr>
        <vertAlign val="subscript"/>
        <sz val="10"/>
        <rFont val="Arial"/>
        <family val="2"/>
      </rPr>
      <t>diff</t>
    </r>
    <r>
      <rPr>
        <i/>
        <vertAlign val="subscript"/>
        <sz val="10"/>
        <rFont val="Arial"/>
        <family val="2"/>
      </rPr>
      <t xml:space="preserve"> </t>
    </r>
  </si>
  <si>
    <r>
      <t>MoE</t>
    </r>
    <r>
      <rPr>
        <vertAlign val="subscript"/>
        <sz val="10"/>
        <rFont val="Arial"/>
        <family val="2"/>
      </rPr>
      <t>diff</t>
    </r>
    <r>
      <rPr>
        <i/>
        <vertAlign val="subscript"/>
        <sz val="10"/>
        <rFont val="Arial"/>
        <family val="2"/>
      </rPr>
      <t xml:space="preserve"> </t>
    </r>
  </si>
  <si>
    <r>
      <t xml:space="preserve">CI </t>
    </r>
    <r>
      <rPr>
        <b/>
        <sz val="9"/>
        <rFont val="Arial"/>
        <family val="2"/>
      </rPr>
      <t>[</t>
    </r>
  </si>
  <si>
    <r>
      <t>ES</t>
    </r>
    <r>
      <rPr>
        <i/>
        <sz val="9"/>
        <rFont val="Arial"/>
        <family val="2"/>
      </rPr>
      <t xml:space="preserve"> </t>
    </r>
  </si>
  <si>
    <r>
      <t>Paired</t>
    </r>
    <r>
      <rPr>
        <i/>
        <sz val="9"/>
        <rFont val="Arial"/>
        <family val="2"/>
      </rPr>
      <t xml:space="preserve"> </t>
    </r>
    <r>
      <rPr>
        <i/>
        <sz val="10"/>
        <rFont val="Arial"/>
        <family val="2"/>
      </rPr>
      <t>t</t>
    </r>
    <r>
      <rPr>
        <i/>
        <vertAlign val="subscript"/>
        <sz val="10"/>
        <rFont val="Arial"/>
        <family val="2"/>
      </rPr>
      <t xml:space="preserve"> </t>
    </r>
    <r>
      <rPr>
        <i/>
        <sz val="9"/>
        <rFont val="Arial"/>
        <family val="2"/>
      </rPr>
      <t xml:space="preserve"> </t>
    </r>
  </si>
  <si>
    <r>
      <t xml:space="preserve"> </t>
    </r>
    <r>
      <rPr>
        <i/>
        <sz val="10"/>
        <rFont val="Arial"/>
        <family val="2"/>
      </rPr>
      <t>p</t>
    </r>
    <r>
      <rPr>
        <sz val="9"/>
        <rFont val="Arial"/>
        <family val="2"/>
      </rPr>
      <t xml:space="preserve"> value </t>
    </r>
  </si>
  <si>
    <r>
      <t>s</t>
    </r>
    <r>
      <rPr>
        <vertAlign val="subscript"/>
        <sz val="10"/>
        <rFont val="Arial"/>
        <family val="2"/>
      </rPr>
      <t>av</t>
    </r>
    <r>
      <rPr>
        <i/>
        <vertAlign val="subscript"/>
        <sz val="10"/>
        <rFont val="Arial"/>
        <family val="2"/>
      </rPr>
      <t xml:space="preserve"> </t>
    </r>
  </si>
  <si>
    <r>
      <t xml:space="preserve">     Cohen's </t>
    </r>
    <r>
      <rPr>
        <b/>
        <i/>
        <sz val="9"/>
        <rFont val="Arial"/>
        <family val="2"/>
      </rPr>
      <t>d</t>
    </r>
  </si>
  <si>
    <r>
      <t xml:space="preserve">   Unbiased </t>
    </r>
    <r>
      <rPr>
        <b/>
        <i/>
        <sz val="9"/>
        <rFont val="Arial"/>
        <family val="2"/>
      </rPr>
      <t>d</t>
    </r>
  </si>
  <si>
    <r>
      <t xml:space="preserve">CI for </t>
    </r>
    <r>
      <rPr>
        <sz val="10"/>
        <color indexed="20"/>
        <rFont val="Symbol"/>
        <family val="1"/>
        <charset val="2"/>
      </rPr>
      <t>d</t>
    </r>
  </si>
  <si>
    <r>
      <t>MOE</t>
    </r>
    <r>
      <rPr>
        <vertAlign val="subscript"/>
        <sz val="11"/>
        <color indexed="20"/>
        <rFont val="Arial"/>
        <family val="2"/>
      </rPr>
      <t>av</t>
    </r>
  </si>
  <si>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</si>
  <si>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</si>
  <si>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</si>
  <si>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</si>
  <si>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</si>
  <si>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</si>
  <si>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</si>
  <si>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</si>
  <si>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</si>
  <si>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</si>
  <si>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</si>
  <si>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</si>
  <si>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</si>
  <si>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</si>
  <si>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</si>
  <si>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</si>
  <si>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</si>
  <si>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</si>
  <si>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</si>
  <si>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</si>
  <si>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</si>
  <si>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</si>
  <si>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</si>
  <si>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</si>
  <si>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</si>
  <si>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</si>
  <si>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</si>
  <si>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&lt;http://www.gnu.org/licenses/&gt;.</t>
  </si>
  <si>
    <t>Also add information on how to contact you by electronic and paper mail.</t>
  </si>
  <si>
    <t xml:space="preserve">  If the program does terminal interaction, make it output a short</t>
  </si>
  <si>
    <t>notice like this when it starts in an interactive mode:</t>
  </si>
  <si>
    <t xml:space="preserve">    &lt;program&gt;  Copyright (C) &lt;year&gt;  &lt;name of author&gt;</t>
  </si>
  <si>
    <t xml:space="preserve">    This program comes with ABSOLUTELY NO WARRANTY; for details type `show w'.</t>
  </si>
  <si>
    <t xml:space="preserve">    This is free software, and you are welcome to redistribute it</t>
  </si>
  <si>
    <t xml:space="preserve">    under certain conditions; type `show c' for details.</t>
  </si>
  <si>
    <t>The hypothetical commands `show w' and `show c' should show the appropriate</t>
  </si>
  <si>
    <t>parts of the General Public License.  Of course, your program's commands</t>
  </si>
  <si>
    <t>might be different; for a GUI interface, you would use an "about box".</t>
  </si>
  <si>
    <t xml:space="preserve">  You should also get your employer (if you work as a programmer) or school,</t>
  </si>
  <si>
    <t>if any, to sign a "copyright disclaimer" for the program, if necessary.</t>
  </si>
  <si>
    <t>For more information on this, and how to apply and follow the GNU GPL, see</t>
  </si>
  <si>
    <t>&lt;http://www.gnu.org/licenses/&gt;.</t>
  </si>
  <si>
    <t xml:space="preserve">  The GNU General Public License does not permit incorporating your program</t>
  </si>
  <si>
    <t>into proprietary programs.  If your program is a subroutine library, you</t>
  </si>
  <si>
    <t>may consider it more useful to permit linking proprietary applications with</t>
  </si>
  <si>
    <t>the library.  If this is what you want to do, use the GNU Lesser General</t>
  </si>
  <si>
    <t>Public License instead of this License.  But first, please read</t>
  </si>
  <si>
    <t>&lt;http://www.gnu.org/philosophy/why-not-lgpl.html&gt;.</t>
  </si>
  <si>
    <r>
      <t xml:space="preserve">► </t>
    </r>
    <r>
      <rPr>
        <sz val="9"/>
        <color indexed="8"/>
        <rFont val="Arial"/>
        <family val="2"/>
      </rPr>
      <t xml:space="preserve">For </t>
    </r>
    <r>
      <rPr>
        <b/>
        <sz val="9"/>
        <color indexed="8"/>
        <rFont val="Arial"/>
        <family val="2"/>
      </rPr>
      <t>help,</t>
    </r>
    <r>
      <rPr>
        <sz val="9"/>
        <color indexed="8"/>
        <rFont val="Arial"/>
        <family val="2"/>
      </rPr>
      <t xml:space="preserve"> see the book's Appendix A.</t>
    </r>
  </si>
  <si>
    <r>
      <t xml:space="preserve">► </t>
    </r>
    <r>
      <rPr>
        <sz val="9"/>
        <color indexed="8"/>
        <rFont val="Arial"/>
        <family val="2"/>
      </rPr>
      <t xml:space="preserve">Use the </t>
    </r>
    <r>
      <rPr>
        <b/>
        <sz val="9"/>
        <color indexed="8"/>
        <rFont val="Arial"/>
        <family val="2"/>
      </rPr>
      <t>tabs</t>
    </r>
    <r>
      <rPr>
        <sz val="9"/>
        <color indexed="8"/>
        <rFont val="Arial"/>
        <family val="2"/>
      </rPr>
      <t xml:space="preserve"> below to go to your page of choice.</t>
    </r>
  </si>
  <si>
    <t>Exploratory Software for Confidence Intervals</t>
  </si>
  <si>
    <t>Geoff Cumming</t>
  </si>
  <si>
    <t>School of Psychological Science</t>
  </si>
  <si>
    <t>esci@latrobe.edu.au</t>
  </si>
  <si>
    <t>upper</t>
  </si>
  <si>
    <t>lower</t>
  </si>
  <si>
    <t>maxmin</t>
  </si>
  <si>
    <t>nudged</t>
  </si>
  <si>
    <t>range</t>
  </si>
  <si>
    <t>nudgefactor</t>
  </si>
  <si>
    <t>powerof10</t>
  </si>
  <si>
    <t>estnoints</t>
  </si>
  <si>
    <t>intsize</t>
  </si>
  <si>
    <t>forXaxis</t>
  </si>
  <si>
    <t>cwu</t>
  </si>
  <si>
    <t>colwidth</t>
  </si>
  <si>
    <t>histowidth</t>
  </si>
  <si>
    <t>leftextra</t>
  </si>
  <si>
    <t>starthisto</t>
  </si>
  <si>
    <t>bins</t>
  </si>
  <si>
    <t>freq</t>
  </si>
  <si>
    <t>for chart</t>
  </si>
  <si>
    <t>noints</t>
  </si>
  <si>
    <t>halflabels</t>
  </si>
  <si>
    <t>draw histogram</t>
  </si>
  <si>
    <t>label col bndries</t>
  </si>
  <si>
    <t>no.bins</t>
  </si>
  <si>
    <t>k</t>
  </si>
  <si>
    <t>roundcwu</t>
  </si>
  <si>
    <t>x</t>
  </si>
  <si>
    <t>y</t>
  </si>
  <si>
    <t>xinc</t>
  </si>
  <si>
    <t>yinc</t>
  </si>
  <si>
    <t>n(xinc)</t>
  </si>
  <si>
    <t>n(yinc)</t>
  </si>
  <si>
    <t>xdisp</t>
  </si>
  <si>
    <t>ydisp</t>
  </si>
  <si>
    <t>Freq</t>
  </si>
  <si>
    <t>n</t>
  </si>
  <si>
    <t>Mean</t>
  </si>
  <si>
    <t>SD</t>
  </si>
  <si>
    <t>divisor1</t>
  </si>
  <si>
    <t>divisr1indx</t>
  </si>
  <si>
    <t>divisor2</t>
  </si>
  <si>
    <t>colmultiple</t>
  </si>
  <si>
    <t>Round</t>
  </si>
  <si>
    <t>Generate data</t>
  </si>
  <si>
    <t>Nos.</t>
  </si>
  <si>
    <t>Rand</t>
  </si>
  <si>
    <t>data</t>
  </si>
  <si>
    <t>rand</t>
  </si>
  <si>
    <t>nos</t>
  </si>
  <si>
    <t>norm</t>
  </si>
  <si>
    <t>stackdots</t>
  </si>
  <si>
    <t>maxfreq</t>
  </si>
  <si>
    <t>minor unit</t>
  </si>
  <si>
    <t>major unit</t>
  </si>
  <si>
    <t>axis max</t>
  </si>
  <si>
    <t>for Y axis</t>
  </si>
  <si>
    <t>Median</t>
  </si>
  <si>
    <t>yaxismax</t>
  </si>
  <si>
    <t>bin 1</t>
  </si>
  <si>
    <t>bin ends</t>
  </si>
  <si>
    <t>bar height</t>
  </si>
  <si>
    <t>x inc</t>
  </si>
  <si>
    <t>no.points</t>
  </si>
  <si>
    <t>x extreme</t>
  </si>
  <si>
    <t>bin no.,frq</t>
  </si>
  <si>
    <t>bin 2</t>
  </si>
  <si>
    <t>bin 3</t>
  </si>
  <si>
    <t>bin 4</t>
  </si>
  <si>
    <t>bin 5</t>
  </si>
  <si>
    <t>bin 6</t>
  </si>
  <si>
    <t>bin 7</t>
  </si>
  <si>
    <t>bin 8</t>
  </si>
  <si>
    <t>bin 9</t>
  </si>
  <si>
    <t>bin 10</t>
  </si>
  <si>
    <t>bin 11</t>
  </si>
  <si>
    <t>bin 12</t>
  </si>
  <si>
    <t>bin 13</t>
  </si>
  <si>
    <t>bin 14</t>
  </si>
  <si>
    <t>bin 15</t>
  </si>
  <si>
    <t>bin 16</t>
  </si>
  <si>
    <t>bin 17</t>
  </si>
  <si>
    <t>bin 18</t>
  </si>
  <si>
    <t>bin 19</t>
  </si>
  <si>
    <t>bin 20</t>
  </si>
  <si>
    <t>bin 21</t>
  </si>
  <si>
    <t>bin 22</t>
  </si>
  <si>
    <t>bin 23</t>
  </si>
  <si>
    <t>bin 24</t>
  </si>
  <si>
    <t>bin 25</t>
  </si>
  <si>
    <t>bin 26</t>
  </si>
  <si>
    <t>bin 27</t>
  </si>
  <si>
    <t>bin 28</t>
  </si>
  <si>
    <t>bin 29</t>
  </si>
  <si>
    <t>bin 30</t>
  </si>
  <si>
    <t>Data (X)</t>
  </si>
  <si>
    <t>dispmean</t>
  </si>
  <si>
    <t>dispmedian</t>
  </si>
  <si>
    <t>showmean</t>
  </si>
  <si>
    <t>showmedian</t>
  </si>
  <si>
    <t>showSD</t>
  </si>
  <si>
    <t>dispSD</t>
  </si>
  <si>
    <t>z lines</t>
  </si>
  <si>
    <t>for z lines</t>
  </si>
  <si>
    <t>labels</t>
  </si>
  <si>
    <t>50</t>
  </si>
  <si>
    <t>for ydisp</t>
  </si>
  <si>
    <t>ymax</t>
  </si>
  <si>
    <t>topval</t>
  </si>
  <si>
    <t>squashto</t>
  </si>
  <si>
    <t>power</t>
  </si>
  <si>
    <t>sqshfac</t>
  </si>
  <si>
    <t>L,R ends</t>
  </si>
  <si>
    <t>%cursr</t>
  </si>
  <si>
    <t>z cursr</t>
  </si>
  <si>
    <t>cursor</t>
  </si>
  <si>
    <t>ordered</t>
  </si>
  <si>
    <t>for red display</t>
  </si>
  <si>
    <t>bottom space</t>
  </si>
  <si>
    <t>top space</t>
  </si>
  <si>
    <t>left space</t>
  </si>
  <si>
    <t>right space</t>
  </si>
  <si>
    <t>for cursor display</t>
  </si>
  <si>
    <t>%</t>
  </si>
  <si>
    <t>%ile</t>
  </si>
  <si>
    <t>z</t>
  </si>
  <si>
    <t>X cursor</t>
  </si>
  <si>
    <t>red freq</t>
  </si>
  <si>
    <t>red ordered data</t>
  </si>
  <si>
    <t>Ordered</t>
  </si>
  <si>
    <t xml:space="preserve">    Bin width</t>
  </si>
  <si>
    <t xml:space="preserve">   Histogram</t>
  </si>
  <si>
    <t>Xwide?</t>
  </si>
  <si>
    <t>Is X wider with SD shown?</t>
  </si>
  <si>
    <t>skewL</t>
  </si>
  <si>
    <t>skewR</t>
  </si>
  <si>
    <t>rectangu</t>
  </si>
  <si>
    <t>for rect</t>
  </si>
  <si>
    <t>for skew</t>
  </si>
  <si>
    <t>b</t>
  </si>
  <si>
    <t>a</t>
  </si>
  <si>
    <t>ln(b)</t>
  </si>
  <si>
    <t>Generated data</t>
  </si>
  <si>
    <t>Rectangular</t>
  </si>
  <si>
    <t>Max</t>
  </si>
  <si>
    <t>Min</t>
  </si>
  <si>
    <t>Skew, L or R</t>
  </si>
  <si>
    <t>ends</t>
  </si>
  <si>
    <t>Bin</t>
  </si>
  <si>
    <t>for v short columns</t>
  </si>
  <si>
    <t>ymax/?</t>
  </si>
  <si>
    <t>bar</t>
  </si>
  <si>
    <t>Units</t>
  </si>
  <si>
    <t>Descriptive statistics</t>
  </si>
  <si>
    <t>Histogram</t>
  </si>
  <si>
    <t>No. bins</t>
  </si>
  <si>
    <t>blue</t>
  </si>
  <si>
    <t>red</t>
  </si>
  <si>
    <t>Scrolls</t>
  </si>
  <si>
    <t>Xcursr</t>
  </si>
  <si>
    <t>edge</t>
  </si>
  <si>
    <t>freeze</t>
  </si>
  <si>
    <t>descriptf</t>
  </si>
  <si>
    <t>X axis</t>
  </si>
  <si>
    <t>Y axis</t>
  </si>
  <si>
    <t>calib 1</t>
  </si>
  <si>
    <t>calib 2</t>
  </si>
  <si>
    <t>Skew ordinate</t>
  </si>
  <si>
    <t>forseed</t>
  </si>
  <si>
    <t>seed</t>
  </si>
  <si>
    <t>Xcounter</t>
  </si>
  <si>
    <t>Hidden series</t>
  </si>
  <si>
    <t>2 calib points</t>
  </si>
  <si>
    <t>dots?</t>
  </si>
  <si>
    <t>kbins</t>
  </si>
  <si>
    <t>savexinc</t>
  </si>
  <si>
    <t>Fill histogram columns</t>
  </si>
  <si>
    <t>For histo</t>
  </si>
  <si>
    <t>colouring</t>
  </si>
  <si>
    <t>www.thenewstatistics.com</t>
  </si>
  <si>
    <t>ESCI is free software: you can redistribute it and/or modify it under the terms of the GNU General Public License</t>
  </si>
  <si>
    <t>La Trobe University, Melbourne</t>
  </si>
  <si>
    <t xml:space="preserve">      as published by the Free Software Foundation, either version 3 of the License, or (at your option) any later version.</t>
  </si>
  <si>
    <t>Australia  3086</t>
  </si>
  <si>
    <t>This program is distributed in the hope that it will be useful, but WITHOUT ANY WARRANTY; without even the implied warranty of</t>
  </si>
  <si>
    <t xml:space="preserve">      MERCHANTABILITY or FITNESS FOR A PARTICULAR PURPOSE.  Scroll down to see the GNU General Public License for more details.</t>
  </si>
  <si>
    <t>Click the tabs at the bottom of the screen to go to these pages:</t>
  </si>
  <si>
    <t>Please scroll down to see the GNU General Public License below</t>
  </si>
  <si>
    <t xml:space="preserve">                    GNU GENERAL PUBLIC LICENSE</t>
  </si>
  <si>
    <t xml:space="preserve">                       Version 3, 29 June 2007</t>
  </si>
  <si>
    <t xml:space="preserve"> Copyright (C) 2007 Free Software Foundation, Inc. &lt;http://fsf.org/&gt;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</si>
  <si>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</si>
  <si>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</si>
  <si>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</si>
  <si>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</si>
  <si>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</si>
  <si>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</si>
  <si>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</si>
  <si>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</si>
  <si>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</si>
  <si>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</si>
  <si>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</si>
  <si>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</si>
  <si>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</si>
  <si>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</si>
  <si>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</si>
  <si>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</si>
  <si>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</si>
  <si>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</si>
  <si>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</si>
  <si>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</si>
  <si>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</si>
  <si>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</si>
  <si>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</si>
  <si>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</si>
  <si>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</si>
  <si>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</si>
  <si>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r>
      <t xml:space="preserve">shape </t>
    </r>
    <r>
      <rPr>
        <sz val="9"/>
        <rFont val="Symbol"/>
        <family val="1"/>
        <charset val="2"/>
      </rPr>
      <t>s</t>
    </r>
  </si>
  <si>
    <r>
      <t xml:space="preserve">Shape </t>
    </r>
    <r>
      <rPr>
        <sz val="9"/>
        <rFont val="Symbol"/>
        <family val="1"/>
        <charset val="2"/>
      </rPr>
      <t>s</t>
    </r>
  </si>
  <si>
    <t>Cursor</t>
  </si>
  <si>
    <t>Freeze axes</t>
  </si>
  <si>
    <t xml:space="preserve"> and Dot plot</t>
  </si>
  <si>
    <t>Stack dots</t>
  </si>
  <si>
    <t>For symbols</t>
  </si>
  <si>
    <t xml:space="preserve"> Show values </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</si>
  <si>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</si>
  <si>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</si>
  <si>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</si>
  <si>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</si>
  <si>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</si>
  <si>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</si>
  <si>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</si>
  <si>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</si>
  <si>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</si>
  <si>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</si>
  <si>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</si>
  <si>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</si>
  <si>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</si>
  <si>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</si>
  <si>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</si>
  <si>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</si>
  <si>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</si>
  <si>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</si>
  <si>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</si>
  <si>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</si>
  <si>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</si>
  <si>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</si>
  <si>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 xml:space="preserve">Describe      </t>
  </si>
  <si>
    <t>Jiggle</t>
  </si>
  <si>
    <t xml:space="preserve">  Display one   </t>
  </si>
  <si>
    <t xml:space="preserve">  dataset     </t>
  </si>
  <si>
    <t>Adjust dots in stacked</t>
  </si>
  <si>
    <t>dotplot</t>
  </si>
  <si>
    <t>Q1</t>
  </si>
  <si>
    <t xml:space="preserve">Mean </t>
  </si>
  <si>
    <t xml:space="preserve">SD  </t>
  </si>
  <si>
    <t xml:space="preserve">Median </t>
  </si>
  <si>
    <t xml:space="preserve">Q3 </t>
  </si>
  <si>
    <t>Display quartiles</t>
  </si>
  <si>
    <t>Q3</t>
  </si>
  <si>
    <t>For Q1, Q3 display</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</si>
  <si>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</si>
  <si>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</si>
  <si>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</si>
  <si>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</si>
  <si>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</si>
  <si>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</si>
  <si>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</si>
  <si>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</si>
  <si>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</si>
  <si>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</si>
  <si>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</si>
  <si>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</si>
  <si>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</si>
  <si>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</si>
  <si>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</si>
  <si>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</si>
  <si>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</si>
  <si>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</si>
  <si>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</si>
  <si>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</si>
  <si>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</si>
  <si>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</si>
  <si>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</si>
  <si>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</si>
  <si>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</si>
  <si>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</si>
  <si>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300</t>
  </si>
  <si>
    <t>10</t>
  </si>
  <si>
    <t>1</t>
  </si>
  <si>
    <t xml:space="preserve">  To "convey" a work means any kind of propagation that enables other</t>
  </si>
  <si>
    <t>parties to make or receive copies.  Mere interaction with a user through</t>
  </si>
  <si>
    <t>a computer network, with no transfer of a copy, is not conveying.</t>
  </si>
  <si>
    <t xml:space="preserve">N </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</si>
  <si>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</si>
  <si>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</si>
  <si>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</si>
  <si>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</si>
  <si>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</si>
  <si>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</si>
  <si>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</si>
  <si>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</si>
  <si>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</si>
  <si>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</si>
  <si>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</si>
  <si>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</si>
  <si>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</si>
  <si>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</si>
  <si>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</si>
  <si>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</si>
  <si>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</si>
  <si>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</si>
  <si>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</si>
  <si>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</si>
  <si>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</si>
  <si>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</si>
  <si>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</si>
  <si>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</si>
  <si>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</si>
  <si>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</si>
  <si>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</si>
  <si>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r>
      <t xml:space="preserve">► </t>
    </r>
    <r>
      <rPr>
        <sz val="9"/>
        <color indexed="8"/>
        <rFont val="Arial"/>
        <family val="2"/>
      </rPr>
      <t xml:space="preserve">At any page, </t>
    </r>
    <r>
      <rPr>
        <b/>
        <sz val="9"/>
        <color indexed="8"/>
        <rFont val="Arial"/>
        <family val="2"/>
      </rPr>
      <t>explore</t>
    </r>
    <r>
      <rPr>
        <sz val="9"/>
        <color indexed="8"/>
        <rFont val="Arial"/>
        <family val="2"/>
      </rPr>
      <t>--with guidance from a relevant chapter of the book.</t>
    </r>
  </si>
  <si>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</si>
  <si>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</si>
  <si>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</si>
  <si>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</si>
  <si>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-999=noncapture</t>
  </si>
  <si>
    <t>num not cap next</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</si>
  <si>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</si>
  <si>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</si>
  <si>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</si>
  <si>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</si>
  <si>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</si>
  <si>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</si>
  <si>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</si>
  <si>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</si>
  <si>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</si>
  <si>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</si>
  <si>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</si>
  <si>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</si>
  <si>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</si>
  <si>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</si>
  <si>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</si>
  <si>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</si>
  <si>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</si>
  <si>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</si>
  <si>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</si>
  <si>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</si>
  <si>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</si>
  <si>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</si>
  <si>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</si>
  <si>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</si>
  <si>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</si>
  <si>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</si>
  <si>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</si>
  <si>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</si>
  <si>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z R tail</t>
  </si>
  <si>
    <t>t R tail</t>
  </si>
  <si>
    <t>for disp</t>
  </si>
  <si>
    <t>disp 1 tail values</t>
  </si>
  <si>
    <t>1 tail</t>
  </si>
  <si>
    <t>2 tail</t>
  </si>
  <si>
    <t>z L area</t>
  </si>
  <si>
    <t>t L area</t>
  </si>
  <si>
    <t>x offset</t>
  </si>
  <si>
    <t>z height</t>
  </si>
  <si>
    <t>z 2 tails</t>
  </si>
  <si>
    <t>t 2 tails</t>
  </si>
  <si>
    <t>for t height</t>
  </si>
  <si>
    <t>z central</t>
  </si>
  <si>
    <t>t central</t>
  </si>
  <si>
    <t>cursor -</t>
  </si>
  <si>
    <t>cursor +</t>
  </si>
  <si>
    <t>t - area</t>
  </si>
  <si>
    <t>t + area</t>
  </si>
  <si>
    <t>t height</t>
  </si>
  <si>
    <t>disp 2 tail values</t>
  </si>
  <si>
    <t>tail for 2</t>
  </si>
  <si>
    <t>Curves</t>
  </si>
  <si>
    <t>Disp mean line</t>
  </si>
  <si>
    <t>For SD lines</t>
  </si>
  <si>
    <t>Disp SD lines</t>
  </si>
  <si>
    <t>extra x offset, disp hts</t>
  </si>
  <si>
    <t>No. points</t>
  </si>
  <si>
    <t>disp heights</t>
  </si>
  <si>
    <t xml:space="preserve">z  </t>
  </si>
  <si>
    <t>t</t>
  </si>
  <si>
    <t>X max</t>
  </si>
  <si>
    <t>df</t>
  </si>
  <si>
    <t>X step size</t>
  </si>
  <si>
    <t>2 tails</t>
  </si>
  <si>
    <t>areas?</t>
  </si>
  <si>
    <t>heights?</t>
  </si>
  <si>
    <t>xcursordisp</t>
  </si>
  <si>
    <t>For greater accuracy</t>
  </si>
  <si>
    <t>Lines</t>
  </si>
  <si>
    <t>Curve?</t>
  </si>
  <si>
    <t>Displayed tail</t>
  </si>
  <si>
    <t>Accurate</t>
  </si>
  <si>
    <t>z 1 tail</t>
  </si>
  <si>
    <t>z 2 tail</t>
  </si>
  <si>
    <t>t 1 tail</t>
  </si>
  <si>
    <t>t 2 tail</t>
  </si>
  <si>
    <t>display</t>
  </si>
  <si>
    <t>tails</t>
  </si>
  <si>
    <t>Rounded</t>
  </si>
  <si>
    <t>Tails</t>
  </si>
  <si>
    <t>slider</t>
  </si>
  <si>
    <t>No tails</t>
  </si>
  <si>
    <t>m</t>
  </si>
  <si>
    <t>Max z ht</t>
  </si>
  <si>
    <t>cutoff</t>
  </si>
  <si>
    <t>s</t>
  </si>
  <si>
    <t>delta</t>
  </si>
  <si>
    <t>tweak ht</t>
  </si>
  <si>
    <t>One tail</t>
  </si>
  <si>
    <t>Max height</t>
  </si>
  <si>
    <t>Ht mean line</t>
  </si>
  <si>
    <t>NormDist</t>
  </si>
  <si>
    <t>grey z curve</t>
  </si>
  <si>
    <t>x -</t>
  </si>
  <si>
    <t>x +</t>
  </si>
  <si>
    <t>z tail(s)</t>
  </si>
  <si>
    <t>z tail(s) ht</t>
  </si>
  <si>
    <t>t tail(s)</t>
  </si>
  <si>
    <t>t tail(s) ht</t>
  </si>
  <si>
    <t>Two tails</t>
  </si>
  <si>
    <t>Greater accuracy</t>
  </si>
  <si>
    <t>The slider value would, more accurately, need to be</t>
  </si>
  <si>
    <r>
      <t xml:space="preserve">Normal </t>
    </r>
    <r>
      <rPr>
        <b/>
        <i/>
        <sz val="9"/>
        <color indexed="12"/>
        <rFont val="Arial"/>
        <family val="2"/>
      </rPr>
      <t>z t</t>
    </r>
  </si>
  <si>
    <r>
      <t xml:space="preserve">For </t>
    </r>
    <r>
      <rPr>
        <sz val="8"/>
        <rFont val="Symbol"/>
        <family val="1"/>
        <charset val="2"/>
      </rPr>
      <t>m</t>
    </r>
    <r>
      <rPr>
        <sz val="8"/>
        <rFont val="Arial"/>
        <family val="2"/>
      </rPr>
      <t xml:space="preserve"> line</t>
    </r>
  </si>
  <si>
    <r>
      <t>z</t>
    </r>
    <r>
      <rPr>
        <sz val="9"/>
        <rFont val="Arial"/>
        <family val="2"/>
      </rPr>
      <t xml:space="preserve"> or </t>
    </r>
    <r>
      <rPr>
        <i/>
        <sz val="9"/>
        <rFont val="Arial"/>
        <family val="2"/>
      </rPr>
      <t>t</t>
    </r>
    <r>
      <rPr>
        <sz val="9"/>
        <rFont val="Arial"/>
        <family val="2"/>
      </rPr>
      <t xml:space="preserve"> slider</t>
    </r>
  </si>
  <si>
    <t>C</t>
  </si>
  <si>
    <t>N</t>
  </si>
  <si>
    <t>CIjumping</t>
  </si>
  <si>
    <t>SwToMeanHeap</t>
  </si>
  <si>
    <t>rand no.</t>
  </si>
  <si>
    <t>data point</t>
  </si>
  <si>
    <t>New Sample, for display</t>
  </si>
  <si>
    <t>Take samples, explore CI concepts</t>
  </si>
  <si>
    <t>n samp</t>
  </si>
  <si>
    <t>Bars indicator</t>
  </si>
  <si>
    <t>DispMeanHeap</t>
  </si>
  <si>
    <t>See the dance of the means, and the mean heap</t>
  </si>
  <si>
    <t>Show t, p</t>
  </si>
  <si>
    <t>DispSampDist</t>
  </si>
  <si>
    <t>Show CI</t>
  </si>
  <si>
    <t>Show data pts</t>
  </si>
  <si>
    <t>Display MOE</t>
  </si>
  <si>
    <t>The population</t>
  </si>
  <si>
    <t>DisplayPopDist</t>
  </si>
  <si>
    <t>Don'tClearDisp</t>
  </si>
  <si>
    <t>Display means</t>
  </si>
  <si>
    <t>Disp SE lines</t>
  </si>
  <si>
    <t>KeepShowSmps</t>
  </si>
  <si>
    <t>Population SE</t>
  </si>
  <si>
    <t>For Tails</t>
  </si>
  <si>
    <t>3 points on MOE</t>
  </si>
  <si>
    <t>For MOE</t>
  </si>
  <si>
    <t>HND</t>
  </si>
  <si>
    <t>alpha</t>
  </si>
  <si>
    <t>mu</t>
  </si>
  <si>
    <t>zero</t>
  </si>
  <si>
    <t>check mean (1)</t>
  </si>
  <si>
    <t>x*height</t>
  </si>
  <si>
    <t>Show Stats</t>
  </si>
  <si>
    <t>For fill</t>
  </si>
  <si>
    <t>Samp mean</t>
  </si>
  <si>
    <t>Bars capture pop mean?</t>
  </si>
  <si>
    <t>SE</t>
  </si>
  <si>
    <t>Bar disp</t>
  </si>
  <si>
    <t>Yes</t>
  </si>
  <si>
    <t>No</t>
  </si>
  <si>
    <t>not capt'g</t>
  </si>
  <si>
    <t>increments</t>
  </si>
  <si>
    <t>Mean heap</t>
  </si>
  <si>
    <t xml:space="preserve"> Mean heap </t>
  </si>
  <si>
    <t>appearance</t>
  </si>
  <si>
    <t xml:space="preserve">Curve SE </t>
  </si>
  <si>
    <t>Maxpop</t>
  </si>
  <si>
    <t>DotFraction</t>
  </si>
  <si>
    <t>SampDistMult</t>
  </si>
  <si>
    <t>SampDist</t>
  </si>
  <si>
    <t>To fill population curve with data points</t>
  </si>
  <si>
    <t>X adjust</t>
  </si>
  <si>
    <t>For SE lines</t>
  </si>
  <si>
    <t>Display mean heap</t>
  </si>
  <si>
    <t>xticks</t>
  </si>
  <si>
    <t>yticks</t>
  </si>
  <si>
    <t>x for display</t>
  </si>
  <si>
    <t>y for display</t>
  </si>
  <si>
    <t>For pop label</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</si>
  <si>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</si>
  <si>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</si>
  <si>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</si>
  <si>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</si>
  <si>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</si>
  <si>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</si>
  <si>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</si>
  <si>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</si>
  <si>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</si>
  <si>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</si>
  <si>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</si>
  <si>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</si>
  <si>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</si>
  <si>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</si>
  <si>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</si>
  <si>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</si>
  <si>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</si>
  <si>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</si>
  <si>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</si>
  <si>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</si>
  <si>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</si>
  <si>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</si>
  <si>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</si>
  <si>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</si>
  <si>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</si>
  <si>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</si>
  <si>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</si>
  <si>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</si>
  <si>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</si>
  <si>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</si>
  <si>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</si>
  <si>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</si>
  <si>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</si>
  <si>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</si>
  <si>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</si>
  <si>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</si>
  <si>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</si>
  <si>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</si>
  <si>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</si>
  <si>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</si>
  <si>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</si>
  <si>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</si>
  <si>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</si>
  <si>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</si>
  <si>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</si>
  <si>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</si>
  <si>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</si>
  <si>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</si>
  <si>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</si>
  <si>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</si>
  <si>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</si>
  <si>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</si>
  <si>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</si>
  <si>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</si>
  <si>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</si>
  <si>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</si>
  <si>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</si>
  <si>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</si>
  <si>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</si>
  <si>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</si>
  <si>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</si>
  <si>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</si>
  <si>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</si>
  <si>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</si>
  <si>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</si>
  <si>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</si>
  <si>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</si>
  <si>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</si>
  <si>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</si>
  <si>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</si>
  <si>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Dot plot</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</si>
  <si>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</si>
  <si>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</si>
  <si>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</si>
  <si>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</si>
  <si>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r>
      <t xml:space="preserve"> </t>
    </r>
    <r>
      <rPr>
        <sz val="10"/>
        <rFont val="Symbol"/>
        <family val="1"/>
        <charset val="2"/>
      </rPr>
      <t>m</t>
    </r>
    <r>
      <rPr>
        <sz val="9"/>
        <rFont val="Symbol"/>
        <family val="1"/>
        <charset val="2"/>
      </rPr>
      <t xml:space="preserve"> </t>
    </r>
    <r>
      <rPr>
        <sz val="9"/>
        <rFont val="Arial"/>
        <family val="2"/>
      </rPr>
      <t>line</t>
    </r>
  </si>
  <si>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</si>
  <si>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</si>
  <si>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</si>
  <si>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</si>
  <si>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</si>
  <si>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</si>
  <si>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</si>
  <si>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</si>
  <si>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</si>
  <si>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</si>
  <si>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</si>
  <si>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</si>
  <si>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</si>
  <si>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pos z cursor</t>
  </si>
  <si>
    <t>Display normal distribution</t>
  </si>
  <si>
    <r>
      <t xml:space="preserve">For </t>
    </r>
    <r>
      <rPr>
        <sz val="9"/>
        <rFont val="Symbol"/>
        <family val="1"/>
        <charset val="2"/>
      </rPr>
      <t>m</t>
    </r>
    <r>
      <rPr>
        <sz val="9"/>
        <rFont val="Arial"/>
        <family val="2"/>
      </rPr>
      <t xml:space="preserve"> line</t>
    </r>
  </si>
  <si>
    <t xml:space="preserve">5  </t>
  </si>
  <si>
    <t xml:space="preserve">Units    </t>
  </si>
  <si>
    <t xml:space="preserve">4  </t>
  </si>
  <si>
    <r>
      <t>t</t>
    </r>
    <r>
      <rPr>
        <sz val="9"/>
        <rFont val="Arial"/>
        <family val="2"/>
      </rPr>
      <t xml:space="preserve"> and </t>
    </r>
    <r>
      <rPr>
        <i/>
        <sz val="9"/>
        <rFont val="Arial"/>
        <family val="2"/>
      </rPr>
      <t>z</t>
    </r>
  </si>
  <si>
    <t>abs(cursor)</t>
  </si>
  <si>
    <t xml:space="preserve">, the tail probability is, more accurately, </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</si>
  <si>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</si>
  <si>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</si>
  <si>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</si>
  <si>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</si>
  <si>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</si>
  <si>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</si>
  <si>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</si>
  <si>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X line</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</si>
  <si>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</si>
  <si>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</si>
  <si>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</si>
  <si>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</si>
  <si>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</si>
  <si>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</si>
  <si>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</si>
  <si>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</si>
  <si>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</si>
  <si>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</si>
  <si>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</si>
  <si>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</si>
  <si>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</si>
  <si>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</si>
  <si>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</si>
  <si>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</si>
  <si>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</si>
  <si>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</si>
  <si>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</si>
  <si>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</si>
  <si>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</si>
  <si>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</si>
  <si>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</si>
  <si>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</si>
  <si>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</si>
  <si>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</si>
  <si>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</si>
  <si>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</si>
  <si>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</si>
  <si>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</si>
  <si>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</si>
  <si>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</si>
  <si>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</si>
  <si>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</si>
  <si>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</si>
  <si>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</si>
  <si>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</si>
  <si>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</si>
  <si>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Count next not capt</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</si>
  <si>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</si>
  <si>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</si>
  <si>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</si>
  <si>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</si>
  <si>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</si>
  <si>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</si>
  <si>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</si>
  <si>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</si>
  <si>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</si>
  <si>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</si>
  <si>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</si>
  <si>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</si>
  <si>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</si>
  <si>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</si>
  <si>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</si>
  <si>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</si>
  <si>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</si>
  <si>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 xml:space="preserve">Q1 </t>
  </si>
  <si>
    <t>Quartiles</t>
  </si>
  <si>
    <t xml:space="preserve">IQR </t>
  </si>
  <si>
    <t>IQR</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</si>
  <si>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</si>
  <si>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</si>
  <si>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</si>
  <si>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</si>
  <si>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</si>
  <si>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</si>
  <si>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</si>
  <si>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</si>
  <si>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</si>
  <si>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</si>
  <si>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</si>
  <si>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</si>
  <si>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</si>
  <si>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</si>
  <si>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</si>
  <si>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</si>
  <si>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</si>
  <si>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</si>
  <si>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</si>
  <si>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</si>
  <si>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</si>
  <si>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</si>
  <si>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</si>
  <si>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</si>
  <si>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</si>
  <si>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</si>
  <si>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</si>
  <si>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</si>
  <si>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</si>
  <si>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</si>
  <si>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Min = mu - sqrt3*sigma</t>
  </si>
  <si>
    <t>Max = mu + sqrt3*sigma</t>
  </si>
  <si>
    <t>Height</t>
  </si>
  <si>
    <t>Height = 1 / (Max - Min)</t>
  </si>
  <si>
    <t>Length</t>
  </si>
  <si>
    <t>Length = Max - Min</t>
  </si>
  <si>
    <t>Rand is on (0, 1)</t>
  </si>
  <si>
    <t>Random data point = Min + Rand*Length</t>
  </si>
  <si>
    <t>Which shape?</t>
  </si>
  <si>
    <t>Rectangular distribution</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</si>
  <si>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</si>
  <si>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</si>
  <si>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</si>
  <si>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</si>
  <si>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</si>
  <si>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</si>
  <si>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</si>
  <si>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 xml:space="preserve">  means</t>
  </si>
  <si>
    <t>Hide dropping means</t>
  </si>
  <si>
    <t>Dropping</t>
  </si>
  <si>
    <r>
      <t xml:space="preserve"> </t>
    </r>
    <r>
      <rPr>
        <b/>
        <sz val="9"/>
        <rFont val="Arial"/>
        <family val="2"/>
      </rPr>
      <t xml:space="preserve">      [</t>
    </r>
  </si>
  <si>
    <r>
      <t>s</t>
    </r>
    <r>
      <rPr>
        <vertAlign val="subscript"/>
        <sz val="10"/>
        <rFont val="Arial"/>
        <family val="2"/>
      </rPr>
      <t>p</t>
    </r>
    <r>
      <rPr>
        <vertAlign val="subscript"/>
        <sz val="9"/>
        <rFont val="Arial"/>
        <family val="2"/>
      </rPr>
      <t xml:space="preserve"> </t>
    </r>
  </si>
  <si>
    <r>
      <t>MoE</t>
    </r>
    <r>
      <rPr>
        <vertAlign val="subscript"/>
        <sz val="10"/>
        <rFont val="Arial"/>
        <family val="2"/>
      </rPr>
      <t>diff</t>
    </r>
    <r>
      <rPr>
        <vertAlign val="subscript"/>
        <sz val="9"/>
        <rFont val="Arial"/>
        <family val="2"/>
      </rPr>
      <t xml:space="preserve">  </t>
    </r>
  </si>
  <si>
    <r>
      <t xml:space="preserve">      Cohen's </t>
    </r>
    <r>
      <rPr>
        <b/>
        <i/>
        <sz val="9"/>
        <rFont val="Arial"/>
        <family val="2"/>
      </rPr>
      <t>d</t>
    </r>
  </si>
  <si>
    <r>
      <t xml:space="preserve">    Unbiased </t>
    </r>
    <r>
      <rPr>
        <b/>
        <i/>
        <sz val="9"/>
        <rFont val="Arial"/>
        <family val="2"/>
      </rPr>
      <t>d</t>
    </r>
  </si>
  <si>
    <r>
      <t xml:space="preserve">Means   </t>
    </r>
    <r>
      <rPr>
        <i/>
        <sz val="9"/>
        <rFont val="Arial"/>
        <family val="2"/>
      </rPr>
      <t>M</t>
    </r>
    <r>
      <rPr>
        <vertAlign val="subscript"/>
        <sz val="10"/>
        <rFont val="Arial"/>
        <family val="2"/>
      </rPr>
      <t>1</t>
    </r>
    <r>
      <rPr>
        <i/>
        <vertAlign val="subscript"/>
        <sz val="10"/>
        <rFont val="Arial"/>
        <family val="2"/>
      </rPr>
      <t xml:space="preserve"> </t>
    </r>
  </si>
  <si>
    <r>
      <t xml:space="preserve">SDs    </t>
    </r>
    <r>
      <rPr>
        <i/>
        <sz val="9"/>
        <rFont val="Arial"/>
        <family val="2"/>
      </rPr>
      <t>s</t>
    </r>
    <r>
      <rPr>
        <vertAlign val="subscript"/>
        <sz val="10"/>
        <rFont val="Arial"/>
        <family val="2"/>
      </rPr>
      <t>1</t>
    </r>
    <r>
      <rPr>
        <i/>
        <vertAlign val="subscript"/>
        <sz val="10"/>
        <rFont val="Arial"/>
        <family val="2"/>
      </rPr>
      <t xml:space="preserve"> </t>
    </r>
  </si>
  <si>
    <r>
      <t>CI</t>
    </r>
    <r>
      <rPr>
        <b/>
        <sz val="9"/>
        <rFont val="Arial"/>
        <family val="2"/>
      </rPr>
      <t xml:space="preserve"> [</t>
    </r>
    <r>
      <rPr>
        <b/>
        <sz val="9"/>
        <color indexed="45"/>
        <rFont val="Arial"/>
        <family val="2"/>
      </rPr>
      <t xml:space="preserve">i  </t>
    </r>
    <r>
      <rPr>
        <b/>
        <sz val="9"/>
        <color indexed="41"/>
        <rFont val="Arial"/>
        <family val="2"/>
      </rPr>
      <t xml:space="preserve"> </t>
    </r>
    <r>
      <rPr>
        <b/>
        <sz val="9"/>
        <rFont val="Arial"/>
        <family val="2"/>
      </rPr>
      <t xml:space="preserve"> </t>
    </r>
  </si>
  <si>
    <r>
      <t xml:space="preserve">to                    </t>
    </r>
    <r>
      <rPr>
        <b/>
        <sz val="9"/>
        <rFont val="Arial"/>
        <family val="2"/>
      </rPr>
      <t xml:space="preserve">      </t>
    </r>
    <r>
      <rPr>
        <sz val="9"/>
        <rFont val="Arial"/>
        <family val="2"/>
      </rPr>
      <t xml:space="preserve">CI </t>
    </r>
    <r>
      <rPr>
        <b/>
        <sz val="9"/>
        <rFont val="Arial"/>
        <family val="2"/>
      </rPr>
      <t>[</t>
    </r>
  </si>
  <si>
    <r>
      <t xml:space="preserve">          Cohen's </t>
    </r>
    <r>
      <rPr>
        <b/>
        <i/>
        <sz val="9"/>
        <rFont val="Arial"/>
        <family val="2"/>
      </rPr>
      <t>d</t>
    </r>
  </si>
  <si>
    <r>
      <t xml:space="preserve">       Unbiased </t>
    </r>
    <r>
      <rPr>
        <b/>
        <i/>
        <sz val="9"/>
        <rFont val="Arial"/>
        <family val="2"/>
      </rPr>
      <t>d</t>
    </r>
  </si>
  <si>
    <r>
      <t xml:space="preserve"> </t>
    </r>
    <r>
      <rPr>
        <i/>
        <sz val="9"/>
        <color indexed="20"/>
        <rFont val="Arial"/>
        <family val="2"/>
      </rPr>
      <t>d</t>
    </r>
    <r>
      <rPr>
        <vertAlign val="subscript"/>
        <sz val="10"/>
        <color indexed="20"/>
        <rFont val="Arial"/>
        <family val="2"/>
      </rPr>
      <t>unbiased</t>
    </r>
  </si>
  <si>
    <r>
      <t xml:space="preserve"> MOE</t>
    </r>
    <r>
      <rPr>
        <vertAlign val="subscript"/>
        <sz val="10"/>
        <color indexed="20"/>
        <rFont val="Arial"/>
        <family val="2"/>
      </rPr>
      <t>av</t>
    </r>
  </si>
  <si>
    <r>
      <t>d</t>
    </r>
    <r>
      <rPr>
        <b/>
        <sz val="9"/>
        <color indexed="12"/>
        <rFont val="Arial"/>
        <family val="2"/>
      </rPr>
      <t xml:space="preserve"> picture</t>
    </r>
  </si>
  <si>
    <r>
      <t xml:space="preserve">See distributions for a chosen </t>
    </r>
    <r>
      <rPr>
        <i/>
        <sz val="10"/>
        <rFont val="Arial"/>
        <family val="2"/>
      </rPr>
      <t>d</t>
    </r>
  </si>
  <si>
    <r>
      <t xml:space="preserve">Cohen's </t>
    </r>
    <r>
      <rPr>
        <b/>
        <i/>
        <sz val="9"/>
        <rFont val="Arial"/>
        <family val="2"/>
      </rPr>
      <t>d</t>
    </r>
  </si>
  <si>
    <r>
      <t xml:space="preserve">Set Cohen's </t>
    </r>
    <r>
      <rPr>
        <i/>
        <sz val="10"/>
        <rFont val="Arial"/>
        <family val="2"/>
      </rPr>
      <t>d</t>
    </r>
  </si>
  <si>
    <r>
      <t xml:space="preserve">  M</t>
    </r>
    <r>
      <rPr>
        <vertAlign val="subscript"/>
        <sz val="9"/>
        <rFont val="Arial"/>
        <family val="2"/>
      </rPr>
      <t xml:space="preserve">C  </t>
    </r>
  </si>
  <si>
    <r>
      <t>M</t>
    </r>
    <r>
      <rPr>
        <vertAlign val="subscript"/>
        <sz val="9"/>
        <rFont val="Arial"/>
        <family val="2"/>
      </rPr>
      <t>E</t>
    </r>
  </si>
  <si>
    <r>
      <t xml:space="preserve">      Display </t>
    </r>
    <r>
      <rPr>
        <i/>
        <sz val="9"/>
        <rFont val="Arial"/>
        <family val="2"/>
      </rPr>
      <t>d</t>
    </r>
    <r>
      <rPr>
        <sz val="9"/>
        <rFont val="Arial"/>
        <family val="2"/>
      </rPr>
      <t xml:space="preserve"> and CI for </t>
    </r>
    <r>
      <rPr>
        <sz val="10"/>
        <rFont val="Symbol"/>
        <family val="1"/>
        <charset val="2"/>
      </rPr>
      <t>d</t>
    </r>
  </si>
  <si>
    <r>
      <t xml:space="preserve">       Display </t>
    </r>
    <r>
      <rPr>
        <i/>
        <sz val="9"/>
        <rFont val="Arial"/>
        <family val="2"/>
      </rPr>
      <t xml:space="preserve">d </t>
    </r>
    <r>
      <rPr>
        <sz val="9"/>
        <rFont val="Arial"/>
        <family val="2"/>
      </rPr>
      <t xml:space="preserve">and CI for </t>
    </r>
    <r>
      <rPr>
        <sz val="10"/>
        <rFont val="Symbol"/>
        <family val="1"/>
        <charset val="2"/>
      </rPr>
      <t>d</t>
    </r>
  </si>
  <si>
    <r>
      <t xml:space="preserve">       Click to display </t>
    </r>
    <r>
      <rPr>
        <i/>
        <sz val="9"/>
        <rFont val="Arial"/>
        <family val="2"/>
      </rPr>
      <t>d</t>
    </r>
    <r>
      <rPr>
        <sz val="9"/>
        <rFont val="Arial"/>
        <family val="2"/>
      </rPr>
      <t xml:space="preserve"> and CI for </t>
    </r>
    <r>
      <rPr>
        <sz val="10"/>
        <rFont val="Symbol"/>
        <family val="1"/>
        <charset val="2"/>
      </rPr>
      <t>d</t>
    </r>
  </si>
  <si>
    <t>not survive such relicensing or conveying.</t>
  </si>
  <si>
    <t>ESCI intro chapters 3-8</t>
  </si>
  <si>
    <r>
      <t>►</t>
    </r>
    <r>
      <rPr>
        <sz val="9"/>
        <rFont val="Arial"/>
        <family val="2"/>
      </rPr>
      <t xml:space="preserve"> </t>
    </r>
    <r>
      <rPr>
        <b/>
        <sz val="9"/>
        <color indexed="10"/>
        <rFont val="Arial"/>
        <family val="2"/>
      </rPr>
      <t>ESCI intro chapters 3-8</t>
    </r>
    <r>
      <rPr>
        <sz val="9"/>
        <rFont val="Arial"/>
        <family val="2"/>
      </rPr>
      <t xml:space="preserve"> accompanies the book </t>
    </r>
    <r>
      <rPr>
        <i/>
        <sz val="9"/>
        <rFont val="Arial"/>
        <family val="2"/>
      </rPr>
      <t xml:space="preserve">Introduction to The New Statistics &amp; Open Science: Estimation for Better Understanding </t>
    </r>
    <r>
      <rPr>
        <sz val="9"/>
        <rFont val="Arial"/>
        <family val="2"/>
      </rPr>
      <t>(Routledge, 2016)</t>
    </r>
  </si>
  <si>
    <r>
      <t>Describe</t>
    </r>
    <r>
      <rPr>
        <sz val="9"/>
        <rFont val="Arial"/>
        <family val="2"/>
      </rPr>
      <t xml:space="preserve">   See </t>
    </r>
    <r>
      <rPr>
        <sz val="9"/>
        <color indexed="12"/>
        <rFont val="Arial"/>
        <family val="2"/>
      </rPr>
      <t>Chapter 3</t>
    </r>
    <r>
      <rPr>
        <sz val="9"/>
        <rFont val="Arial"/>
        <family val="2"/>
      </rPr>
      <t xml:space="preserve">. See a dataset displayed in three ways, including a </t>
    </r>
    <r>
      <rPr>
        <b/>
        <sz val="9"/>
        <rFont val="Arial"/>
        <family val="2"/>
      </rPr>
      <t>frequency histogram</t>
    </r>
    <r>
      <rPr>
        <sz val="9"/>
        <rFont val="Arial"/>
        <family val="2"/>
      </rPr>
      <t xml:space="preserve"> and a </t>
    </r>
    <r>
      <rPr>
        <b/>
        <sz val="9"/>
        <rFont val="Arial"/>
        <family val="2"/>
      </rPr>
      <t>dot plot</t>
    </r>
    <r>
      <rPr>
        <sz val="9"/>
        <rFont val="Arial"/>
        <family val="2"/>
      </rPr>
      <t xml:space="preserve">. Calculate and see basic </t>
    </r>
    <r>
      <rPr>
        <b/>
        <sz val="9"/>
        <rFont val="Arial"/>
        <family val="2"/>
      </rPr>
      <t>descriptive statistics</t>
    </r>
    <r>
      <rPr>
        <sz val="9"/>
        <rFont val="Arial"/>
        <family val="2"/>
      </rPr>
      <t xml:space="preserve">. </t>
    </r>
  </si>
  <si>
    <r>
      <t xml:space="preserve">Normal  </t>
    </r>
    <r>
      <rPr>
        <sz val="9"/>
        <rFont val="Arial"/>
        <family val="2"/>
      </rPr>
      <t xml:space="preserve">See </t>
    </r>
    <r>
      <rPr>
        <sz val="9"/>
        <color indexed="12"/>
        <rFont val="Arial"/>
        <family val="2"/>
      </rPr>
      <t>Chapters 3 and 4</t>
    </r>
    <r>
      <rPr>
        <sz val="9"/>
        <rFont val="Arial"/>
        <family val="2"/>
      </rPr>
      <t xml:space="preserve">.  See the </t>
    </r>
    <r>
      <rPr>
        <b/>
        <sz val="9"/>
        <rFont val="Arial"/>
        <family val="2"/>
      </rPr>
      <t>normal</t>
    </r>
    <r>
      <rPr>
        <sz val="9"/>
        <rFont val="Arial"/>
        <family val="2"/>
      </rPr>
      <t xml:space="preserve"> </t>
    </r>
    <r>
      <rPr>
        <b/>
        <sz val="9"/>
        <rFont val="Arial"/>
        <family val="2"/>
      </rPr>
      <t>distribution</t>
    </r>
    <r>
      <rPr>
        <sz val="9"/>
        <rFont val="Arial"/>
        <family val="2"/>
      </rPr>
      <t xml:space="preserve">.  Find tail areas, and </t>
    </r>
    <r>
      <rPr>
        <b/>
        <sz val="9"/>
        <rFont val="Arial"/>
        <family val="2"/>
      </rPr>
      <t>critical values</t>
    </r>
    <r>
      <rPr>
        <sz val="9"/>
        <rFont val="Arial"/>
        <family val="2"/>
      </rPr>
      <t xml:space="preserve"> of </t>
    </r>
    <r>
      <rPr>
        <i/>
        <sz val="9"/>
        <rFont val="Arial"/>
        <family val="2"/>
      </rPr>
      <t>z</t>
    </r>
    <r>
      <rPr>
        <sz val="9"/>
        <rFont val="Arial"/>
        <family val="2"/>
      </rPr>
      <t>.</t>
    </r>
  </si>
  <si>
    <r>
      <t xml:space="preserve">Normal and t  </t>
    </r>
    <r>
      <rPr>
        <sz val="9"/>
        <rFont val="Arial"/>
        <family val="2"/>
      </rPr>
      <t xml:space="preserve">See </t>
    </r>
    <r>
      <rPr>
        <sz val="9"/>
        <color indexed="12"/>
        <rFont val="Arial"/>
        <family val="2"/>
      </rPr>
      <t>Chapter 5</t>
    </r>
    <r>
      <rPr>
        <sz val="9"/>
        <rFont val="Arial"/>
        <family val="2"/>
      </rPr>
      <t>.  See the normal and</t>
    </r>
    <r>
      <rPr>
        <i/>
        <sz val="9"/>
        <rFont val="Arial"/>
        <family val="2"/>
      </rPr>
      <t xml:space="preserve"> </t>
    </r>
    <r>
      <rPr>
        <b/>
        <i/>
        <sz val="9"/>
        <rFont val="Arial"/>
        <family val="2"/>
      </rPr>
      <t>t</t>
    </r>
    <r>
      <rPr>
        <sz val="9"/>
        <rFont val="Arial"/>
        <family val="2"/>
      </rPr>
      <t xml:space="preserve"> </t>
    </r>
    <r>
      <rPr>
        <b/>
        <sz val="9"/>
        <rFont val="Arial"/>
        <family val="2"/>
      </rPr>
      <t>distributions</t>
    </r>
    <r>
      <rPr>
        <sz val="9"/>
        <rFont val="Arial"/>
        <family val="2"/>
      </rPr>
      <t xml:space="preserve">.  Find tail areas, and </t>
    </r>
    <r>
      <rPr>
        <b/>
        <sz val="9"/>
        <rFont val="Arial"/>
        <family val="2"/>
      </rPr>
      <t>critical values</t>
    </r>
    <r>
      <rPr>
        <sz val="9"/>
        <rFont val="Arial"/>
        <family val="2"/>
      </rPr>
      <t xml:space="preserve"> of </t>
    </r>
    <r>
      <rPr>
        <i/>
        <sz val="9"/>
        <rFont val="Arial"/>
        <family val="2"/>
      </rPr>
      <t>z</t>
    </r>
    <r>
      <rPr>
        <sz val="9"/>
        <rFont val="Arial"/>
        <family val="2"/>
      </rPr>
      <t xml:space="preserve"> and </t>
    </r>
    <r>
      <rPr>
        <i/>
        <sz val="9"/>
        <rFont val="Arial"/>
        <family val="2"/>
      </rPr>
      <t>t</t>
    </r>
    <r>
      <rPr>
        <sz val="9"/>
        <rFont val="Arial"/>
        <family val="2"/>
      </rPr>
      <t>.</t>
    </r>
  </si>
  <si>
    <r>
      <t xml:space="preserve">CIjumping   </t>
    </r>
    <r>
      <rPr>
        <sz val="9"/>
        <rFont val="Arial"/>
        <family val="2"/>
      </rPr>
      <t xml:space="preserve">See </t>
    </r>
    <r>
      <rPr>
        <sz val="9"/>
        <color indexed="12"/>
        <rFont val="Arial"/>
        <family val="2"/>
      </rPr>
      <t>Chapters 4 and 5</t>
    </r>
    <r>
      <rPr>
        <sz val="9"/>
        <rFont val="Arial"/>
        <family val="2"/>
      </rPr>
      <t xml:space="preserve">.  See population, samples, sample means, and </t>
    </r>
    <r>
      <rPr>
        <b/>
        <sz val="9"/>
        <rFont val="Arial"/>
        <family val="2"/>
      </rPr>
      <t>CIs</t>
    </r>
    <r>
      <rPr>
        <sz val="9"/>
        <rFont val="Arial"/>
        <family val="2"/>
      </rPr>
      <t xml:space="preserve">. Explore the mean heap, dance of the means, central limit theorem, and </t>
    </r>
    <r>
      <rPr>
        <b/>
        <sz val="9"/>
        <rFont val="Arial"/>
        <family val="2"/>
      </rPr>
      <t>dance of the CIs</t>
    </r>
    <r>
      <rPr>
        <sz val="9"/>
        <rFont val="Arial"/>
        <family val="2"/>
      </rPr>
      <t>.</t>
    </r>
  </si>
  <si>
    <r>
      <t xml:space="preserve">CI and p   </t>
    </r>
    <r>
      <rPr>
        <sz val="9"/>
        <rFont val="Arial"/>
        <family val="2"/>
      </rPr>
      <t xml:space="preserve">See </t>
    </r>
    <r>
      <rPr>
        <sz val="9"/>
        <color indexed="12"/>
        <rFont val="Arial"/>
        <family val="2"/>
      </rPr>
      <t>Chapter 6</t>
    </r>
    <r>
      <rPr>
        <sz val="9"/>
        <rFont val="Arial"/>
        <family val="2"/>
      </rPr>
      <t xml:space="preserve">.  See sample mean, </t>
    </r>
    <r>
      <rPr>
        <i/>
        <sz val="9"/>
        <rFont val="Arial"/>
        <family val="2"/>
      </rPr>
      <t>M</t>
    </r>
    <r>
      <rPr>
        <sz val="9"/>
        <rFont val="Arial"/>
        <family val="2"/>
      </rPr>
      <t xml:space="preserve">, null hypothesis value, </t>
    </r>
    <r>
      <rPr>
        <sz val="11"/>
        <rFont val="Symbol"/>
        <family val="1"/>
        <charset val="2"/>
      </rPr>
      <t>m</t>
    </r>
    <r>
      <rPr>
        <vertAlign val="subscript"/>
        <sz val="11"/>
        <rFont val="Arial"/>
        <family val="2"/>
      </rPr>
      <t>0</t>
    </r>
    <r>
      <rPr>
        <sz val="9"/>
        <rFont val="Arial"/>
        <family val="2"/>
      </rPr>
      <t xml:space="preserve">, and the 95% CI. Explore how position of the 95% CI is related to the </t>
    </r>
    <r>
      <rPr>
        <i/>
        <sz val="10"/>
        <rFont val="Arial"/>
        <family val="2"/>
      </rPr>
      <t>p</t>
    </r>
    <r>
      <rPr>
        <sz val="9"/>
        <rFont val="Arial"/>
        <family val="2"/>
      </rPr>
      <t xml:space="preserve"> value.</t>
    </r>
  </si>
  <si>
    <r>
      <t>Data two</t>
    </r>
    <r>
      <rPr>
        <sz val="9"/>
        <rFont val="Arial"/>
        <family val="2"/>
      </rPr>
      <t xml:space="preserve">   See </t>
    </r>
    <r>
      <rPr>
        <sz val="9"/>
        <color indexed="12"/>
        <rFont val="Arial"/>
        <family val="2"/>
      </rPr>
      <t>Chapter 7</t>
    </r>
    <r>
      <rPr>
        <sz val="9"/>
        <rFont val="Arial"/>
        <family val="2"/>
      </rPr>
      <t xml:space="preserve">.  Type (or paste) in </t>
    </r>
    <r>
      <rPr>
        <b/>
        <sz val="9"/>
        <rFont val="Arial"/>
        <family val="2"/>
      </rPr>
      <t>your own data</t>
    </r>
    <r>
      <rPr>
        <sz val="9"/>
        <rFont val="Arial"/>
        <family val="2"/>
      </rPr>
      <t xml:space="preserve">, for the </t>
    </r>
    <r>
      <rPr>
        <b/>
        <sz val="9"/>
        <rFont val="Arial"/>
        <family val="2"/>
      </rPr>
      <t>two independent groups</t>
    </r>
    <r>
      <rPr>
        <sz val="9"/>
        <rFont val="Arial"/>
        <family val="2"/>
      </rPr>
      <t xml:space="preserve"> design.  See one or two figures, with CIs.</t>
    </r>
  </si>
  <si>
    <r>
      <t>Summary two</t>
    </r>
    <r>
      <rPr>
        <sz val="9"/>
        <rFont val="Arial"/>
        <family val="2"/>
      </rPr>
      <t xml:space="preserve">  See </t>
    </r>
    <r>
      <rPr>
        <sz val="9"/>
        <color indexed="12"/>
        <rFont val="Arial"/>
        <family val="2"/>
      </rPr>
      <t>Chapter 7</t>
    </r>
    <r>
      <rPr>
        <sz val="9"/>
        <rFont val="Arial"/>
        <family val="2"/>
      </rPr>
      <t xml:space="preserve">.  Enter </t>
    </r>
    <r>
      <rPr>
        <b/>
        <sz val="9"/>
        <rFont val="Arial"/>
        <family val="2"/>
      </rPr>
      <t xml:space="preserve">summary data </t>
    </r>
    <r>
      <rPr>
        <sz val="9"/>
        <rFont val="Arial"/>
        <family val="2"/>
      </rPr>
      <t xml:space="preserve">for your own two independent groups. Obtain calculated values of </t>
    </r>
    <r>
      <rPr>
        <b/>
        <sz val="9"/>
        <rFont val="Arial"/>
        <family val="2"/>
      </rPr>
      <t>CIs</t>
    </r>
    <r>
      <rPr>
        <sz val="9"/>
        <rFont val="Arial"/>
        <family val="2"/>
      </rPr>
      <t xml:space="preserve"> and </t>
    </r>
    <r>
      <rPr>
        <b/>
        <sz val="9"/>
        <rFont val="Arial"/>
        <family val="2"/>
      </rPr>
      <t xml:space="preserve">Cohen's </t>
    </r>
    <r>
      <rPr>
        <b/>
        <i/>
        <sz val="9"/>
        <rFont val="Arial"/>
        <family val="2"/>
      </rPr>
      <t>d</t>
    </r>
    <r>
      <rPr>
        <sz val="9"/>
        <rFont val="Arial"/>
        <family val="2"/>
      </rPr>
      <t>, and see CI figures.</t>
    </r>
  </si>
  <si>
    <r>
      <t>d picture</t>
    </r>
    <r>
      <rPr>
        <sz val="9"/>
        <rFont val="Arial"/>
        <family val="2"/>
      </rPr>
      <t xml:space="preserve">  See </t>
    </r>
    <r>
      <rPr>
        <sz val="9"/>
        <color indexed="12"/>
        <rFont val="Arial"/>
        <family val="2"/>
      </rPr>
      <t>Chapters 7 and 8</t>
    </r>
    <r>
      <rPr>
        <sz val="9"/>
        <rFont val="Arial"/>
        <family val="2"/>
      </rPr>
      <t xml:space="preserve">.  See how two populations relate for a chosen value of </t>
    </r>
    <r>
      <rPr>
        <b/>
        <i/>
        <sz val="9"/>
        <rFont val="Arial"/>
        <family val="2"/>
      </rPr>
      <t>d</t>
    </r>
    <r>
      <rPr>
        <sz val="9"/>
        <rFont val="Arial"/>
        <family val="2"/>
      </rPr>
      <t>.</t>
    </r>
  </si>
  <si>
    <r>
      <t>Data paired</t>
    </r>
    <r>
      <rPr>
        <sz val="9"/>
        <rFont val="Arial"/>
        <family val="2"/>
      </rPr>
      <t xml:space="preserve">   See </t>
    </r>
    <r>
      <rPr>
        <sz val="9"/>
        <color indexed="12"/>
        <rFont val="Arial"/>
        <family val="2"/>
      </rPr>
      <t>Chapter 8</t>
    </r>
    <r>
      <rPr>
        <sz val="9"/>
        <rFont val="Arial"/>
        <family val="2"/>
      </rPr>
      <t xml:space="preserve">.  Type (or paste) in </t>
    </r>
    <r>
      <rPr>
        <b/>
        <sz val="9"/>
        <rFont val="Arial"/>
        <family val="2"/>
      </rPr>
      <t>your own data</t>
    </r>
    <r>
      <rPr>
        <sz val="9"/>
        <rFont val="Arial"/>
        <family val="2"/>
      </rPr>
      <t xml:space="preserve">, for the </t>
    </r>
    <r>
      <rPr>
        <b/>
        <sz val="9"/>
        <rFont val="Arial"/>
        <family val="2"/>
      </rPr>
      <t>paired design</t>
    </r>
    <r>
      <rPr>
        <sz val="9"/>
        <rFont val="Arial"/>
        <family val="2"/>
      </rPr>
      <t>.  See a figure with floating Difference axis.</t>
    </r>
  </si>
  <si>
    <r>
      <t>Summary paired</t>
    </r>
    <r>
      <rPr>
        <sz val="9"/>
        <rFont val="Arial"/>
        <family val="2"/>
      </rPr>
      <t xml:space="preserve">  See </t>
    </r>
    <r>
      <rPr>
        <sz val="9"/>
        <color indexed="12"/>
        <rFont val="Arial"/>
        <family val="2"/>
      </rPr>
      <t>Chapter 8</t>
    </r>
    <r>
      <rPr>
        <sz val="9"/>
        <rFont val="Arial"/>
        <family val="2"/>
      </rPr>
      <t xml:space="preserve">.  Enter </t>
    </r>
    <r>
      <rPr>
        <b/>
        <sz val="9"/>
        <rFont val="Arial"/>
        <family val="2"/>
      </rPr>
      <t xml:space="preserve">summary data </t>
    </r>
    <r>
      <rPr>
        <sz val="9"/>
        <rFont val="Arial"/>
        <family val="2"/>
      </rPr>
      <t xml:space="preserve">for your own paired design. Obtain calculated values of </t>
    </r>
    <r>
      <rPr>
        <b/>
        <sz val="9"/>
        <rFont val="Arial"/>
        <family val="2"/>
      </rPr>
      <t>CIs</t>
    </r>
    <r>
      <rPr>
        <sz val="9"/>
        <rFont val="Arial"/>
        <family val="2"/>
      </rPr>
      <t xml:space="preserve"> and </t>
    </r>
    <r>
      <rPr>
        <b/>
        <sz val="9"/>
        <rFont val="Arial"/>
        <family val="2"/>
      </rPr>
      <t xml:space="preserve">Cohen's </t>
    </r>
    <r>
      <rPr>
        <b/>
        <i/>
        <sz val="9"/>
        <rFont val="Arial"/>
        <family val="2"/>
      </rPr>
      <t>d</t>
    </r>
    <r>
      <rPr>
        <sz val="9"/>
        <rFont val="Arial"/>
        <family val="2"/>
      </rPr>
      <t>, and see a CI figure.</t>
    </r>
  </si>
  <si>
    <r>
      <t xml:space="preserve">Main point </t>
    </r>
    <r>
      <rPr>
        <i/>
        <sz val="9"/>
        <rFont val="Arial"/>
        <family val="2"/>
      </rPr>
      <t>M</t>
    </r>
  </si>
  <si>
    <r>
      <t xml:space="preserve">H bars on </t>
    </r>
    <r>
      <rPr>
        <i/>
        <sz val="9"/>
        <rFont val="Arial"/>
        <family val="2"/>
      </rPr>
      <t>M</t>
    </r>
  </si>
  <si>
    <r>
      <t xml:space="preserve">See the two-tail </t>
    </r>
    <r>
      <rPr>
        <i/>
        <sz val="9"/>
        <rFont val="Arial"/>
        <family val="2"/>
      </rPr>
      <t>p</t>
    </r>
    <r>
      <rPr>
        <sz val="9"/>
        <rFont val="Arial"/>
        <family val="2"/>
      </rPr>
      <t xml:space="preserve"> value for a</t>
    </r>
  </si>
  <si>
    <r>
      <t xml:space="preserve">M </t>
    </r>
    <r>
      <rPr>
        <sz val="9"/>
        <rFont val="Arial"/>
        <family val="2"/>
      </rPr>
      <t>label</t>
    </r>
  </si>
  <si>
    <r>
      <t xml:space="preserve">Bar </t>
    </r>
    <r>
      <rPr>
        <sz val="9"/>
        <rFont val="Symbol"/>
        <family val="1"/>
        <charset val="2"/>
      </rPr>
      <t>s</t>
    </r>
    <r>
      <rPr>
        <sz val="9"/>
        <rFont val="Arial"/>
        <family val="2"/>
      </rPr>
      <t xml:space="preserve"> known</t>
    </r>
  </si>
  <si>
    <r>
      <t xml:space="preserve">p </t>
    </r>
    <r>
      <rPr>
        <sz val="9"/>
        <rFont val="Arial"/>
        <family val="2"/>
      </rPr>
      <t>=</t>
    </r>
  </si>
  <si>
    <r>
      <t>p</t>
    </r>
    <r>
      <rPr>
        <sz val="9"/>
        <rFont val="Arial"/>
        <family val="2"/>
      </rPr>
      <t xml:space="preserve"> value big</t>
    </r>
  </si>
  <si>
    <r>
      <t>p</t>
    </r>
    <r>
      <rPr>
        <b/>
        <sz val="9"/>
        <rFont val="Arial"/>
        <family val="2"/>
      </rPr>
      <t xml:space="preserve"> value</t>
    </r>
  </si>
  <si>
    <r>
      <t>p</t>
    </r>
    <r>
      <rPr>
        <sz val="9"/>
        <rFont val="Arial"/>
        <family val="2"/>
      </rPr>
      <t xml:space="preserve"> value small</t>
    </r>
  </si>
  <si>
    <r>
      <t xml:space="preserve">null hypothesis value </t>
    </r>
    <r>
      <rPr>
        <sz val="10"/>
        <rFont val="Symbol"/>
        <family val="1"/>
        <charset val="2"/>
      </rPr>
      <t>m</t>
    </r>
    <r>
      <rPr>
        <vertAlign val="subscript"/>
        <sz val="10"/>
        <rFont val="Arial"/>
        <family val="2"/>
      </rPr>
      <t>0</t>
    </r>
  </si>
  <si>
    <r>
      <t xml:space="preserve">Sample mean, </t>
    </r>
    <r>
      <rPr>
        <b/>
        <i/>
        <sz val="10"/>
        <rFont val="Arial"/>
        <family val="2"/>
      </rPr>
      <t>M</t>
    </r>
  </si>
  <si>
    <r>
      <t xml:space="preserve">CI and </t>
    </r>
    <r>
      <rPr>
        <b/>
        <i/>
        <sz val="10"/>
        <color indexed="12"/>
        <rFont val="Arial"/>
        <family val="2"/>
      </rPr>
      <t>p</t>
    </r>
  </si>
  <si>
    <r>
      <t xml:space="preserve">        Display </t>
    </r>
    <r>
      <rPr>
        <i/>
        <sz val="10"/>
        <rFont val="Arial"/>
        <family val="2"/>
      </rPr>
      <t>p</t>
    </r>
    <r>
      <rPr>
        <sz val="9"/>
        <rFont val="Arial"/>
        <family val="2"/>
      </rPr>
      <t xml:space="preserve"> value</t>
    </r>
  </si>
  <si>
    <t>Condition</t>
  </si>
  <si>
    <t xml:space="preserve">10 </t>
  </si>
  <si>
    <t>qwert</t>
  </si>
  <si>
    <t>ertyu</t>
  </si>
  <si>
    <t>dfghj</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</si>
  <si>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</si>
  <si>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</si>
  <si>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</si>
  <si>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</si>
  <si>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</si>
  <si>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</si>
  <si>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</si>
  <si>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</si>
  <si>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</si>
  <si>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</si>
  <si>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</si>
  <si>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</si>
  <si>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</si>
  <si>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</si>
  <si>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95% CI that is positioned where</t>
  </si>
  <si>
    <t>you choose in relation to a</t>
  </si>
  <si>
    <t>For b'marks</t>
  </si>
  <si>
    <t>For slider</t>
  </si>
  <si>
    <t>p vals?</t>
  </si>
  <si>
    <t>benchmarks</t>
  </si>
  <si>
    <t>bars</t>
  </si>
  <si>
    <t>For C</t>
  </si>
  <si>
    <t>mu0 line</t>
  </si>
  <si>
    <t>mu0 label</t>
  </si>
  <si>
    <t>%labels</t>
  </si>
  <si>
    <t>big</t>
  </si>
  <si>
    <t>small</t>
  </si>
  <si>
    <t>Hints</t>
  </si>
  <si>
    <t>hints?</t>
  </si>
  <si>
    <t>p hints</t>
  </si>
  <si>
    <t>Red CI</t>
  </si>
  <si>
    <t>red CI?</t>
  </si>
</sst>
</file>

<file path=xl/styles.xml><?xml version="1.0" encoding="utf-8"?>
<styleSheet xmlns="http://schemas.openxmlformats.org/spreadsheetml/2006/main">
  <numFmts count="11">
    <numFmt numFmtId="164" formatCode="0.000"/>
    <numFmt numFmtId="165" formatCode="0.0"/>
    <numFmt numFmtId="166" formatCode="0.0000"/>
    <numFmt numFmtId="167" formatCode="0.0%"/>
    <numFmt numFmtId="168" formatCode=".00"/>
    <numFmt numFmtId="169" formatCode="0.0000000"/>
    <numFmt numFmtId="170" formatCode=".##"/>
    <numFmt numFmtId="171" formatCode=".0##"/>
    <numFmt numFmtId="172" formatCode=".0###;;0"/>
    <numFmt numFmtId="173" formatCode="0.00000000000000000000"/>
    <numFmt numFmtId="174" formatCode=".00;\-.00;0"/>
  </numFmts>
  <fonts count="95">
    <font>
      <sz val="10"/>
      <name val="Arial"/>
    </font>
    <font>
      <sz val="10"/>
      <name val="Arial"/>
      <family val="2"/>
    </font>
    <font>
      <sz val="8"/>
      <name val="Arial"/>
      <family val="2"/>
    </font>
    <font>
      <sz val="8"/>
      <name val="Arial"/>
      <family val="2"/>
    </font>
    <font>
      <b/>
      <sz val="8"/>
      <color indexed="10"/>
      <name val="Arial"/>
      <family val="2"/>
    </font>
    <font>
      <sz val="8"/>
      <color indexed="81"/>
      <name val="Tahoma"/>
      <family val="2"/>
    </font>
    <font>
      <sz val="8"/>
      <name val="Tahoma"/>
      <family val="2"/>
    </font>
    <font>
      <sz val="8"/>
      <name val="Symbol"/>
      <family val="1"/>
      <charset val="2"/>
    </font>
    <font>
      <b/>
      <sz val="9"/>
      <color indexed="10"/>
      <name val="Arial"/>
      <family val="2"/>
    </font>
    <font>
      <i/>
      <sz val="9"/>
      <name val="Arial"/>
      <family val="2"/>
    </font>
    <font>
      <sz val="9"/>
      <color indexed="81"/>
      <name val="Symbol"/>
      <family val="1"/>
      <charset val="2"/>
    </font>
    <font>
      <b/>
      <sz val="9"/>
      <color indexed="12"/>
      <name val="Arial"/>
      <family val="2"/>
    </font>
    <font>
      <sz val="9"/>
      <name val="Arial"/>
      <family val="2"/>
    </font>
    <font>
      <b/>
      <i/>
      <sz val="16"/>
      <color indexed="12"/>
      <name val="Arial"/>
      <family val="2"/>
    </font>
    <font>
      <b/>
      <sz val="12"/>
      <color indexed="10"/>
      <name val="Arial"/>
      <family val="2"/>
    </font>
    <font>
      <b/>
      <i/>
      <sz val="10"/>
      <color indexed="12"/>
      <name val="Arial"/>
      <family val="2"/>
    </font>
    <font>
      <i/>
      <sz val="8"/>
      <color indexed="81"/>
      <name val="Tahom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Courier New"/>
      <family val="3"/>
    </font>
    <font>
      <sz val="9"/>
      <name val="Arial"/>
      <family val="2"/>
    </font>
    <font>
      <b/>
      <sz val="9"/>
      <name val="Arial"/>
      <family val="2"/>
    </font>
    <font>
      <sz val="9"/>
      <color indexed="8"/>
      <name val="Arial"/>
      <family val="2"/>
    </font>
    <font>
      <b/>
      <sz val="9"/>
      <color indexed="8"/>
      <name val="Arial"/>
      <family val="2"/>
    </font>
    <font>
      <b/>
      <i/>
      <sz val="9"/>
      <color indexed="10"/>
      <name val="Arial"/>
      <family val="2"/>
    </font>
    <font>
      <sz val="9"/>
      <color indexed="12"/>
      <name val="Arial"/>
      <family val="2"/>
    </font>
    <font>
      <b/>
      <i/>
      <sz val="9"/>
      <name val="Arial"/>
      <family val="2"/>
    </font>
    <font>
      <sz val="11"/>
      <name val="Calibri"/>
      <family val="2"/>
    </font>
    <font>
      <b/>
      <sz val="8"/>
      <name val="Arial"/>
      <family val="2"/>
    </font>
    <font>
      <sz val="9"/>
      <color indexed="81"/>
      <name val="Tahoma"/>
      <family val="2"/>
    </font>
    <font>
      <b/>
      <i/>
      <sz val="9"/>
      <color indexed="12"/>
      <name val="Arial"/>
      <family val="2"/>
    </font>
    <font>
      <sz val="9"/>
      <name val="Symbol"/>
      <family val="1"/>
      <charset val="2"/>
    </font>
    <font>
      <b/>
      <sz val="10"/>
      <color indexed="10"/>
      <name val="Arial"/>
      <family val="2"/>
    </font>
    <font>
      <i/>
      <sz val="9"/>
      <color indexed="81"/>
      <name val="Tahoma"/>
      <family val="2"/>
    </font>
    <font>
      <sz val="9"/>
      <color indexed="12"/>
      <name val="Tahoma"/>
      <family val="2"/>
    </font>
    <font>
      <sz val="10"/>
      <color indexed="81"/>
      <name val="Symbol"/>
      <family val="1"/>
      <charset val="2"/>
    </font>
    <font>
      <b/>
      <sz val="9"/>
      <color indexed="81"/>
      <name val="Tahoma"/>
      <family val="2"/>
    </font>
    <font>
      <sz val="11"/>
      <color indexed="81"/>
      <name val="Symbol"/>
      <family val="1"/>
      <charset val="2"/>
    </font>
    <font>
      <sz val="11"/>
      <color indexed="81"/>
      <name val="Tahoma"/>
      <family val="2"/>
    </font>
    <font>
      <sz val="10"/>
      <name val="Symbol"/>
      <family val="1"/>
      <charset val="2"/>
    </font>
    <font>
      <i/>
      <sz val="10"/>
      <color indexed="81"/>
      <name val="Tahoma"/>
      <family val="2"/>
    </font>
    <font>
      <vertAlign val="subscript"/>
      <sz val="11"/>
      <color indexed="81"/>
      <name val="Tahoma"/>
      <family val="2"/>
    </font>
    <font>
      <vertAlign val="subscript"/>
      <sz val="10"/>
      <name val="Arial"/>
      <family val="2"/>
    </font>
    <font>
      <sz val="11"/>
      <name val="Symbol"/>
      <family val="1"/>
      <charset val="2"/>
    </font>
    <font>
      <vertAlign val="subscript"/>
      <sz val="11"/>
      <name val="Arial"/>
      <family val="2"/>
    </font>
    <font>
      <i/>
      <sz val="10"/>
      <name val="Arial"/>
      <family val="2"/>
    </font>
    <font>
      <sz val="9"/>
      <color indexed="61"/>
      <name val="Arial"/>
      <family val="2"/>
    </font>
    <font>
      <sz val="9"/>
      <color indexed="10"/>
      <name val="Arial"/>
      <family val="2"/>
    </font>
    <font>
      <sz val="9"/>
      <color indexed="10"/>
      <name val="Tahoma"/>
      <family val="2"/>
    </font>
    <font>
      <b/>
      <sz val="9"/>
      <color indexed="10"/>
      <name val="Tahoma"/>
      <family val="2"/>
    </font>
    <font>
      <sz val="8"/>
      <color indexed="12"/>
      <name val="Arial"/>
      <family val="2"/>
    </font>
    <font>
      <b/>
      <sz val="9"/>
      <color indexed="10"/>
      <name val="Times New Roman"/>
      <family val="1"/>
    </font>
    <font>
      <b/>
      <sz val="9"/>
      <name val="Times New Roman"/>
      <family val="1"/>
    </font>
    <font>
      <b/>
      <sz val="10"/>
      <name val="Symbol"/>
      <family val="1"/>
      <charset val="2"/>
    </font>
    <font>
      <b/>
      <sz val="9"/>
      <color indexed="45"/>
      <name val="Arial"/>
      <family val="2"/>
    </font>
    <font>
      <i/>
      <sz val="9"/>
      <color indexed="8"/>
      <name val="Arial"/>
      <family val="2"/>
    </font>
    <font>
      <vertAlign val="subscript"/>
      <sz val="10"/>
      <color indexed="8"/>
      <name val="Arial"/>
      <family val="2"/>
    </font>
    <font>
      <i/>
      <sz val="9"/>
      <color indexed="20"/>
      <name val="Arial"/>
      <family val="2"/>
    </font>
    <font>
      <sz val="9"/>
      <color indexed="20"/>
      <name val="Arial"/>
      <family val="2"/>
    </font>
    <font>
      <vertAlign val="subscript"/>
      <sz val="11"/>
      <color indexed="20"/>
      <name val="Arial"/>
      <family val="2"/>
    </font>
    <font>
      <vertAlign val="subscript"/>
      <sz val="10"/>
      <color indexed="20"/>
      <name val="Arial"/>
      <family val="2"/>
    </font>
    <font>
      <sz val="9"/>
      <color indexed="60"/>
      <name val="Arial"/>
      <family val="2"/>
    </font>
    <font>
      <sz val="7"/>
      <name val="Arial"/>
      <family val="2"/>
    </font>
    <font>
      <sz val="10"/>
      <color indexed="81"/>
      <name val="Tahoma"/>
      <family val="2"/>
    </font>
    <font>
      <vertAlign val="subscript"/>
      <sz val="10"/>
      <color indexed="81"/>
      <name val="Tahoma"/>
      <family val="2"/>
    </font>
    <font>
      <sz val="9"/>
      <color indexed="14"/>
      <name val="Arial"/>
      <family val="2"/>
    </font>
    <font>
      <i/>
      <vertAlign val="subscript"/>
      <sz val="10"/>
      <name val="Arial"/>
      <family val="2"/>
    </font>
    <font>
      <i/>
      <vertAlign val="subscript"/>
      <sz val="9"/>
      <name val="Arial"/>
      <family val="2"/>
    </font>
    <font>
      <b/>
      <sz val="9"/>
      <color indexed="41"/>
      <name val="Arial"/>
      <family val="2"/>
    </font>
    <font>
      <b/>
      <sz val="9"/>
      <name val="symbol"/>
      <family val="1"/>
      <charset val="2"/>
    </font>
    <font>
      <sz val="10"/>
      <color indexed="20"/>
      <name val="Symbol"/>
      <family val="1"/>
      <charset val="2"/>
    </font>
    <font>
      <sz val="10"/>
      <color indexed="81"/>
      <name val="Arial"/>
      <family val="2"/>
    </font>
    <font>
      <vertAlign val="superscript"/>
      <sz val="11"/>
      <color indexed="81"/>
      <name val="Tahoma"/>
      <family val="2"/>
    </font>
    <font>
      <vertAlign val="superscript"/>
      <sz val="10"/>
      <color indexed="81"/>
      <name val="Tahoma"/>
      <family val="2"/>
    </font>
    <font>
      <vertAlign val="subscript"/>
      <sz val="9"/>
      <name val="Arial"/>
      <family val="2"/>
    </font>
    <font>
      <b/>
      <sz val="10"/>
      <color indexed="10"/>
      <name val="Tahoma"/>
      <family val="2"/>
    </font>
    <font>
      <i/>
      <sz val="10"/>
      <color indexed="8"/>
      <name val="Arial"/>
      <family val="2"/>
    </font>
    <font>
      <sz val="9"/>
      <color indexed="8"/>
      <name val="Arial"/>
      <family val="2"/>
    </font>
    <font>
      <b/>
      <i/>
      <sz val="10"/>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7"/>
        <bgColor indexed="64"/>
      </patternFill>
    </fill>
    <fill>
      <patternFill patternType="solid">
        <fgColor indexed="45"/>
        <bgColor indexed="64"/>
      </patternFill>
    </fill>
    <fill>
      <patternFill patternType="solid">
        <fgColor indexed="46"/>
        <bgColor indexed="64"/>
      </patternFill>
    </fill>
    <fill>
      <patternFill patternType="solid">
        <fgColor indexed="44"/>
        <bgColor indexed="64"/>
      </patternFill>
    </fill>
    <fill>
      <patternFill patternType="solid">
        <fgColor indexed="10"/>
        <bgColor indexed="64"/>
      </patternFill>
    </fill>
    <fill>
      <patternFill patternType="solid">
        <fgColor indexed="15"/>
        <bgColor indexed="64"/>
      </patternFill>
    </fill>
    <fill>
      <patternFill patternType="solid">
        <fgColor indexed="13"/>
        <bgColor indexed="64"/>
      </patternFill>
    </fill>
    <fill>
      <patternFill patternType="solid">
        <fgColor indexed="14"/>
        <bgColor indexed="64"/>
      </patternFill>
    </fill>
  </fills>
  <borders count="4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hair">
        <color indexed="64"/>
      </top>
      <bottom/>
      <diagonal/>
    </border>
    <border>
      <left style="thin">
        <color indexed="12"/>
      </left>
      <right style="thin">
        <color indexed="12"/>
      </right>
      <top style="thin">
        <color indexed="12"/>
      </top>
      <bottom style="thin">
        <color indexed="12"/>
      </bottom>
      <diagonal/>
    </border>
    <border>
      <left/>
      <right/>
      <top/>
      <bottom style="thin">
        <color indexed="22"/>
      </bottom>
      <diagonal/>
    </border>
    <border>
      <left style="thin">
        <color indexed="64"/>
      </left>
      <right style="thin">
        <color indexed="12"/>
      </right>
      <top/>
      <bottom/>
      <diagonal/>
    </border>
    <border>
      <left style="thin">
        <color indexed="12"/>
      </left>
      <right style="thin">
        <color indexed="12"/>
      </right>
      <top style="thin">
        <color indexed="12"/>
      </top>
      <bottom/>
      <diagonal/>
    </border>
    <border>
      <left style="thin">
        <color indexed="12"/>
      </left>
      <right/>
      <top style="thin">
        <color indexed="12"/>
      </top>
      <bottom/>
      <diagonal/>
    </border>
    <border>
      <left/>
      <right/>
      <top style="thin">
        <color indexed="12"/>
      </top>
      <bottom/>
      <diagonal/>
    </border>
    <border>
      <left style="thin">
        <color indexed="12"/>
      </left>
      <right/>
      <top style="thin">
        <color indexed="12"/>
      </top>
      <bottom style="thin">
        <color indexed="12"/>
      </bottom>
      <diagonal/>
    </border>
    <border>
      <left/>
      <right style="thin">
        <color indexed="64"/>
      </right>
      <top style="hair">
        <color indexed="64"/>
      </top>
      <bottom style="thin">
        <color indexed="64"/>
      </bottom>
      <diagonal/>
    </border>
    <border>
      <left style="thin">
        <color indexed="64"/>
      </left>
      <right/>
      <top/>
      <bottom style="thin">
        <color indexed="12"/>
      </bottom>
      <diagonal/>
    </border>
    <border>
      <left/>
      <right/>
      <top/>
      <bottom style="thin">
        <color indexed="12"/>
      </bottom>
      <diagonal/>
    </border>
    <border>
      <left style="thin">
        <color indexed="64"/>
      </left>
      <right style="thin">
        <color indexed="64"/>
      </right>
      <top style="thin">
        <color indexed="22"/>
      </top>
      <bottom style="thin">
        <color indexed="22"/>
      </bottom>
      <diagonal/>
    </border>
    <border>
      <left/>
      <right/>
      <top style="thin">
        <color indexed="22"/>
      </top>
      <bottom style="thin">
        <color indexed="22"/>
      </bottom>
      <diagonal/>
    </border>
    <border>
      <left/>
      <right/>
      <top style="thin">
        <color indexed="22"/>
      </top>
      <bottom/>
      <diagonal/>
    </border>
    <border>
      <left style="thin">
        <color indexed="64"/>
      </left>
      <right style="thin">
        <color indexed="22"/>
      </right>
      <top style="thin">
        <color indexed="64"/>
      </top>
      <bottom style="thin">
        <color indexed="64"/>
      </bottom>
      <diagonal/>
    </border>
    <border>
      <left style="thin">
        <color indexed="22"/>
      </left>
      <right style="thin">
        <color indexed="64"/>
      </right>
      <top style="thin">
        <color indexed="64"/>
      </top>
      <bottom style="thin">
        <color indexed="64"/>
      </bottom>
      <diagonal/>
    </border>
    <border>
      <left style="thin">
        <color indexed="64"/>
      </left>
      <right style="thin">
        <color indexed="22"/>
      </right>
      <top/>
      <bottom style="thin">
        <color indexed="64"/>
      </bottom>
      <diagonal/>
    </border>
    <border>
      <left style="thin">
        <color indexed="22"/>
      </left>
      <right style="thin">
        <color indexed="64"/>
      </right>
      <top/>
      <bottom style="thin">
        <color indexed="64"/>
      </bottom>
      <diagonal/>
    </border>
  </borders>
  <cellStyleXfs count="44">
    <xf numFmtId="0" fontId="0" fillId="0" borderId="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19" fillId="3" borderId="0" applyNumberFormat="0" applyBorder="0" applyAlignment="0" applyProtection="0"/>
    <xf numFmtId="0" fontId="20" fillId="20" borderId="1" applyNumberFormat="0" applyAlignment="0" applyProtection="0"/>
    <xf numFmtId="0" fontId="21" fillId="21" borderId="2" applyNumberFormat="0" applyAlignment="0" applyProtection="0"/>
    <xf numFmtId="0" fontId="22" fillId="0" borderId="0" applyNumberFormat="0" applyFill="0" applyBorder="0" applyAlignment="0" applyProtection="0"/>
    <xf numFmtId="0" fontId="23" fillId="4" borderId="0" applyNumberFormat="0" applyBorder="0" applyAlignment="0" applyProtection="0"/>
    <xf numFmtId="0" fontId="24" fillId="0" borderId="3" applyNumberFormat="0" applyFill="0" applyAlignment="0" applyProtection="0"/>
    <xf numFmtId="0" fontId="25" fillId="0" borderId="4" applyNumberFormat="0" applyFill="0" applyAlignment="0" applyProtection="0"/>
    <xf numFmtId="0" fontId="26" fillId="0" borderId="5" applyNumberFormat="0" applyFill="0" applyAlignment="0" applyProtection="0"/>
    <xf numFmtId="0" fontId="26" fillId="0" borderId="0" applyNumberFormat="0" applyFill="0" applyBorder="0" applyAlignment="0" applyProtection="0"/>
    <xf numFmtId="0" fontId="27" fillId="7" borderId="1" applyNumberFormat="0" applyAlignment="0" applyProtection="0"/>
    <xf numFmtId="0" fontId="28" fillId="0" borderId="6" applyNumberFormat="0" applyFill="0" applyAlignment="0" applyProtection="0"/>
    <xf numFmtId="0" fontId="29" fillId="22" borderId="0" applyNumberFormat="0" applyBorder="0" applyAlignment="0" applyProtection="0"/>
    <xf numFmtId="0" fontId="36" fillId="0" borderId="0"/>
    <xf numFmtId="0" fontId="30" fillId="23" borderId="7" applyNumberFormat="0" applyFont="0" applyAlignment="0" applyProtection="0"/>
    <xf numFmtId="0" fontId="31" fillId="20" borderId="8" applyNumberFormat="0" applyAlignment="0" applyProtection="0"/>
    <xf numFmtId="9" fontId="1" fillId="0" borderId="0" applyFont="0" applyFill="0" applyBorder="0" applyAlignment="0" applyProtection="0"/>
    <xf numFmtId="0" fontId="32" fillId="0" borderId="0" applyNumberFormat="0" applyFill="0" applyBorder="0" applyAlignment="0" applyProtection="0"/>
    <xf numFmtId="0" fontId="33" fillId="0" borderId="9" applyNumberFormat="0" applyFill="0" applyAlignment="0" applyProtection="0"/>
    <xf numFmtId="0" fontId="34" fillId="0" borderId="0" applyNumberFormat="0" applyFill="0" applyBorder="0" applyAlignment="0" applyProtection="0"/>
  </cellStyleXfs>
  <cellXfs count="1139">
    <xf numFmtId="0" fontId="0" fillId="0" borderId="0" xfId="0"/>
    <xf numFmtId="0" fontId="3" fillId="0" borderId="0" xfId="0" applyFont="1"/>
    <xf numFmtId="0" fontId="3" fillId="0" borderId="0" xfId="0" applyFont="1" applyFill="1"/>
    <xf numFmtId="0" fontId="3" fillId="0" borderId="10" xfId="0" applyFont="1" applyBorder="1" applyProtection="1">
      <protection locked="0"/>
    </xf>
    <xf numFmtId="0" fontId="3" fillId="0" borderId="0" xfId="0" applyFont="1" applyProtection="1">
      <protection locked="0"/>
    </xf>
    <xf numFmtId="0" fontId="3" fillId="0" borderId="11" xfId="0" applyFont="1" applyFill="1" applyBorder="1" applyProtection="1">
      <protection locked="0"/>
    </xf>
    <xf numFmtId="0" fontId="0" fillId="0" borderId="0" xfId="0" applyProtection="1"/>
    <xf numFmtId="0" fontId="3" fillId="0" borderId="0" xfId="0" applyFont="1" applyProtection="1"/>
    <xf numFmtId="0" fontId="3" fillId="0" borderId="0" xfId="0" applyFont="1" applyFill="1" applyBorder="1" applyProtection="1"/>
    <xf numFmtId="0" fontId="3" fillId="0" borderId="12" xfId="0" applyFont="1" applyBorder="1" applyProtection="1">
      <protection locked="0"/>
    </xf>
    <xf numFmtId="0" fontId="3" fillId="0" borderId="13" xfId="0" applyFont="1" applyBorder="1" applyProtection="1">
      <protection locked="0"/>
    </xf>
    <xf numFmtId="0" fontId="13" fillId="0" borderId="0" xfId="0" applyFont="1" applyAlignment="1">
      <alignment horizontal="left"/>
    </xf>
    <xf numFmtId="0" fontId="14" fillId="0" borderId="0" xfId="0" applyFont="1"/>
    <xf numFmtId="0" fontId="15" fillId="0" borderId="0" xfId="0" applyFont="1"/>
    <xf numFmtId="0" fontId="3" fillId="0" borderId="0" xfId="0" applyFont="1" applyBorder="1" applyProtection="1"/>
    <xf numFmtId="0" fontId="35" fillId="0" borderId="0" xfId="0" applyFont="1"/>
    <xf numFmtId="0" fontId="36" fillId="0" borderId="0" xfId="0" applyFont="1"/>
    <xf numFmtId="0" fontId="37" fillId="0" borderId="0" xfId="0" applyFont="1" applyAlignment="1">
      <alignment horizontal="right"/>
    </xf>
    <xf numFmtId="0" fontId="37" fillId="0" borderId="0" xfId="0" applyFont="1"/>
    <xf numFmtId="0" fontId="36" fillId="24" borderId="14" xfId="0" applyFont="1" applyFill="1" applyBorder="1"/>
    <xf numFmtId="0" fontId="36" fillId="24" borderId="15" xfId="0" applyFont="1" applyFill="1" applyBorder="1"/>
    <xf numFmtId="0" fontId="36" fillId="24" borderId="13" xfId="0" applyFont="1" applyFill="1" applyBorder="1"/>
    <xf numFmtId="0" fontId="8" fillId="24" borderId="16" xfId="0" applyFont="1" applyFill="1" applyBorder="1"/>
    <xf numFmtId="0" fontId="36" fillId="24" borderId="0" xfId="0" applyFont="1" applyFill="1" applyBorder="1"/>
    <xf numFmtId="0" fontId="36" fillId="24" borderId="17" xfId="0" applyFont="1" applyFill="1" applyBorder="1"/>
    <xf numFmtId="0" fontId="36" fillId="0" borderId="0" xfId="0" applyFont="1" applyFill="1"/>
    <xf numFmtId="0" fontId="8" fillId="24" borderId="18" xfId="0" applyFont="1" applyFill="1" applyBorder="1"/>
    <xf numFmtId="0" fontId="36" fillId="24" borderId="19" xfId="0" applyFont="1" applyFill="1" applyBorder="1"/>
    <xf numFmtId="0" fontId="36" fillId="24" borderId="12" xfId="0" applyFont="1" applyFill="1" applyBorder="1"/>
    <xf numFmtId="0" fontId="8" fillId="0" borderId="0" xfId="0" applyFont="1" applyFill="1" applyBorder="1"/>
    <xf numFmtId="0" fontId="36" fillId="0" borderId="0" xfId="0" applyFont="1" applyFill="1" applyBorder="1"/>
    <xf numFmtId="0" fontId="8" fillId="0" borderId="0" xfId="0" applyFont="1"/>
    <xf numFmtId="0" fontId="36" fillId="25" borderId="0" xfId="0" applyFont="1" applyFill="1"/>
    <xf numFmtId="0" fontId="40" fillId="0" borderId="0" xfId="0" applyFont="1"/>
    <xf numFmtId="0" fontId="36" fillId="24" borderId="0" xfId="0" applyFont="1" applyFill="1"/>
    <xf numFmtId="0" fontId="9" fillId="0" borderId="0" xfId="0" applyFont="1"/>
    <xf numFmtId="0" fontId="37" fillId="0" borderId="0" xfId="0" applyFont="1" applyAlignment="1"/>
    <xf numFmtId="0" fontId="42" fillId="0" borderId="0" xfId="0" applyFont="1"/>
    <xf numFmtId="0" fontId="37" fillId="0" borderId="0" xfId="0" applyFont="1" applyFill="1"/>
    <xf numFmtId="0" fontId="8" fillId="0" borderId="0" xfId="0" applyFont="1" applyFill="1"/>
    <xf numFmtId="0" fontId="43" fillId="0" borderId="0" xfId="0" applyFont="1"/>
    <xf numFmtId="0" fontId="11" fillId="0" borderId="0" xfId="0" applyFont="1" applyAlignment="1">
      <alignment horizontal="left"/>
    </xf>
    <xf numFmtId="0" fontId="9" fillId="26" borderId="0" xfId="0" applyFont="1" applyFill="1" applyBorder="1" applyAlignment="1">
      <alignment horizontal="right"/>
    </xf>
    <xf numFmtId="0" fontId="11" fillId="0" borderId="0" xfId="0" applyFont="1" applyAlignment="1" applyProtection="1">
      <alignment horizontal="left" vertical="top"/>
    </xf>
    <xf numFmtId="0" fontId="11" fillId="0" borderId="0" xfId="0" applyFont="1" applyAlignment="1" applyProtection="1">
      <alignment horizontal="right"/>
    </xf>
    <xf numFmtId="1" fontId="3" fillId="0" borderId="0" xfId="0" applyNumberFormat="1" applyFont="1" applyProtection="1"/>
    <xf numFmtId="1" fontId="3" fillId="0" borderId="0" xfId="0" applyNumberFormat="1" applyFont="1" applyAlignment="1" applyProtection="1">
      <alignment horizontal="left"/>
    </xf>
    <xf numFmtId="0" fontId="3" fillId="0" borderId="0" xfId="0" applyFont="1" applyAlignment="1" applyProtection="1">
      <alignment horizontal="right"/>
    </xf>
    <xf numFmtId="0" fontId="3" fillId="24" borderId="0" xfId="0" applyFont="1" applyFill="1" applyAlignment="1" applyProtection="1">
      <alignment horizontal="right"/>
    </xf>
    <xf numFmtId="0" fontId="3" fillId="24" borderId="0" xfId="0" applyFont="1" applyFill="1" applyProtection="1"/>
    <xf numFmtId="0" fontId="3" fillId="0" borderId="14" xfId="0" applyFont="1" applyBorder="1" applyProtection="1"/>
    <xf numFmtId="0" fontId="3" fillId="0" borderId="13" xfId="0" applyFont="1" applyBorder="1" applyProtection="1"/>
    <xf numFmtId="0" fontId="3" fillId="0" borderId="15" xfId="0" applyFont="1" applyBorder="1" applyAlignment="1" applyProtection="1">
      <alignment horizontal="center"/>
    </xf>
    <xf numFmtId="0" fontId="3" fillId="0" borderId="13" xfId="0" applyFont="1" applyBorder="1" applyAlignment="1" applyProtection="1">
      <alignment horizontal="center"/>
    </xf>
    <xf numFmtId="1" fontId="3" fillId="0" borderId="0" xfId="0" applyNumberFormat="1" applyFont="1" applyAlignment="1" applyProtection="1">
      <alignment horizontal="right"/>
    </xf>
    <xf numFmtId="0" fontId="3" fillId="0" borderId="16" xfId="0" applyFont="1" applyBorder="1" applyProtection="1"/>
    <xf numFmtId="0" fontId="3" fillId="0" borderId="17" xfId="0" applyFont="1" applyBorder="1" applyProtection="1"/>
    <xf numFmtId="0" fontId="3" fillId="27" borderId="18" xfId="0" applyFont="1" applyFill="1" applyBorder="1" applyAlignment="1" applyProtection="1">
      <alignment horizontal="right"/>
    </xf>
    <xf numFmtId="166" fontId="3" fillId="27" borderId="19" xfId="0" applyNumberFormat="1" applyFont="1" applyFill="1" applyBorder="1" applyProtection="1"/>
    <xf numFmtId="166" fontId="3" fillId="27" borderId="12" xfId="0" applyNumberFormat="1" applyFont="1" applyFill="1" applyBorder="1" applyProtection="1"/>
    <xf numFmtId="0" fontId="3" fillId="0" borderId="0" xfId="0" applyFont="1" applyFill="1" applyProtection="1"/>
    <xf numFmtId="0" fontId="3" fillId="0" borderId="0" xfId="0" applyFont="1" applyAlignment="1" applyProtection="1">
      <alignment horizontal="center"/>
    </xf>
    <xf numFmtId="0" fontId="3" fillId="0" borderId="18" xfId="0" applyFont="1" applyBorder="1" applyProtection="1"/>
    <xf numFmtId="0" fontId="3" fillId="0" borderId="12" xfId="0" applyFont="1" applyBorder="1" applyProtection="1"/>
    <xf numFmtId="0" fontId="3" fillId="27" borderId="0" xfId="0" applyFont="1" applyFill="1" applyAlignment="1" applyProtection="1">
      <alignment horizontal="center"/>
    </xf>
    <xf numFmtId="166" fontId="3" fillId="27" borderId="0" xfId="0" applyNumberFormat="1" applyFont="1" applyFill="1" applyProtection="1"/>
    <xf numFmtId="0" fontId="3" fillId="0" borderId="15" xfId="0" applyFont="1" applyBorder="1" applyProtection="1"/>
    <xf numFmtId="0" fontId="3" fillId="0" borderId="15" xfId="0" applyFont="1" applyFill="1" applyBorder="1" applyAlignment="1" applyProtection="1">
      <alignment horizontal="right"/>
    </xf>
    <xf numFmtId="0" fontId="3" fillId="0" borderId="13" xfId="0" applyFont="1" applyFill="1" applyBorder="1" applyProtection="1">
      <protection locked="0"/>
    </xf>
    <xf numFmtId="0" fontId="44" fillId="0" borderId="14" xfId="0" applyFont="1" applyFill="1" applyBorder="1" applyProtection="1"/>
    <xf numFmtId="0" fontId="3" fillId="0" borderId="15" xfId="0" applyFont="1" applyFill="1" applyBorder="1" applyProtection="1"/>
    <xf numFmtId="0" fontId="3" fillId="0" borderId="19" xfId="0" applyFont="1" applyFill="1" applyBorder="1" applyProtection="1"/>
    <xf numFmtId="0" fontId="3" fillId="0" borderId="19" xfId="0" applyFont="1" applyFill="1" applyBorder="1" applyAlignment="1" applyProtection="1">
      <alignment horizontal="right"/>
    </xf>
    <xf numFmtId="0" fontId="3" fillId="0" borderId="19" xfId="0" applyFont="1" applyFill="1" applyBorder="1" applyProtection="1">
      <protection locked="0"/>
    </xf>
    <xf numFmtId="0" fontId="3" fillId="0" borderId="14" xfId="0" applyFont="1" applyFill="1" applyBorder="1" applyProtection="1"/>
    <xf numFmtId="0" fontId="44" fillId="0" borderId="0" xfId="0" applyFont="1" applyProtection="1"/>
    <xf numFmtId="0" fontId="3" fillId="0" borderId="0" xfId="0" applyFont="1" applyFill="1" applyAlignment="1" applyProtection="1">
      <alignment horizontal="right"/>
    </xf>
    <xf numFmtId="0" fontId="3" fillId="0" borderId="16" xfId="0" applyFont="1" applyFill="1" applyBorder="1" applyProtection="1"/>
    <xf numFmtId="0" fontId="9" fillId="24" borderId="0" xfId="0" applyFont="1" applyFill="1" applyBorder="1" applyAlignment="1" applyProtection="1">
      <alignment horizontal="center"/>
    </xf>
    <xf numFmtId="0" fontId="3" fillId="0" borderId="0" xfId="0" applyFont="1" applyFill="1" applyBorder="1" applyAlignment="1" applyProtection="1">
      <alignment horizontal="right"/>
    </xf>
    <xf numFmtId="0" fontId="3" fillId="0" borderId="20" xfId="0" applyFont="1" applyBorder="1" applyAlignment="1" applyProtection="1">
      <alignment horizontal="right"/>
    </xf>
    <xf numFmtId="0" fontId="3" fillId="0" borderId="14" xfId="0" applyFont="1" applyBorder="1" applyAlignment="1" applyProtection="1">
      <alignment horizontal="right"/>
    </xf>
    <xf numFmtId="0" fontId="3" fillId="0" borderId="0" xfId="0" applyFont="1" applyBorder="1" applyAlignment="1" applyProtection="1">
      <alignment horizontal="right"/>
    </xf>
    <xf numFmtId="0" fontId="3" fillId="0" borderId="0" xfId="0" applyFont="1" applyBorder="1" applyAlignment="1" applyProtection="1">
      <alignment horizontal="center"/>
    </xf>
    <xf numFmtId="0" fontId="3" fillId="0" borderId="16" xfId="0" applyFont="1" applyBorder="1" applyAlignment="1" applyProtection="1">
      <alignment horizontal="right"/>
    </xf>
    <xf numFmtId="0" fontId="3" fillId="0" borderId="0" xfId="0" applyFont="1" applyFill="1" applyBorder="1" applyAlignment="1" applyProtection="1">
      <alignment horizontal="center"/>
    </xf>
    <xf numFmtId="0" fontId="44" fillId="0" borderId="0" xfId="0" applyFont="1" applyBorder="1" applyAlignment="1" applyProtection="1">
      <alignment horizontal="center"/>
    </xf>
    <xf numFmtId="0" fontId="3" fillId="0" borderId="17" xfId="0" applyFont="1" applyBorder="1" applyProtection="1">
      <protection locked="0"/>
    </xf>
    <xf numFmtId="0" fontId="3" fillId="0" borderId="19" xfId="0" applyFont="1" applyBorder="1" applyProtection="1"/>
    <xf numFmtId="166" fontId="3" fillId="0" borderId="0" xfId="0" applyNumberFormat="1" applyFont="1" applyProtection="1"/>
    <xf numFmtId="0" fontId="3" fillId="0" borderId="0" xfId="0" applyNumberFormat="1" applyFont="1" applyProtection="1"/>
    <xf numFmtId="0" fontId="3" fillId="0" borderId="18" xfId="0" applyFont="1" applyBorder="1" applyAlignment="1" applyProtection="1">
      <alignment horizontal="right"/>
    </xf>
    <xf numFmtId="0" fontId="3" fillId="0" borderId="20" xfId="0" applyFont="1" applyFill="1" applyBorder="1" applyAlignment="1" applyProtection="1">
      <alignment horizontal="right"/>
    </xf>
    <xf numFmtId="0" fontId="3" fillId="0" borderId="21" xfId="0" applyFont="1" applyFill="1" applyBorder="1" applyProtection="1"/>
    <xf numFmtId="0" fontId="47" fillId="0" borderId="0" xfId="0" applyFont="1" applyFill="1" applyBorder="1" applyAlignment="1" applyProtection="1">
      <alignment horizontal="right"/>
    </xf>
    <xf numFmtId="0" fontId="3" fillId="0" borderId="18" xfId="0" applyFont="1" applyFill="1" applyBorder="1" applyAlignment="1" applyProtection="1">
      <alignment vertical="center"/>
    </xf>
    <xf numFmtId="169" fontId="3" fillId="0" borderId="0" xfId="0" applyNumberFormat="1" applyFont="1" applyAlignment="1" applyProtection="1">
      <alignment horizontal="left"/>
    </xf>
    <xf numFmtId="0" fontId="3" fillId="0" borderId="22" xfId="0" applyFont="1" applyFill="1" applyBorder="1" applyAlignment="1" applyProtection="1">
      <alignment vertical="center"/>
    </xf>
    <xf numFmtId="0" fontId="3" fillId="0" borderId="16" xfId="0" applyFont="1" applyBorder="1" applyAlignment="1" applyProtection="1">
      <alignment horizontal="center"/>
    </xf>
    <xf numFmtId="0" fontId="3" fillId="0" borderId="10" xfId="0" applyFont="1" applyFill="1" applyBorder="1" applyProtection="1"/>
    <xf numFmtId="0" fontId="3" fillId="0" borderId="20" xfId="0" applyFont="1" applyBorder="1" applyProtection="1"/>
    <xf numFmtId="0" fontId="3" fillId="0" borderId="10" xfId="0" applyFont="1" applyBorder="1" applyProtection="1"/>
    <xf numFmtId="0" fontId="3" fillId="0" borderId="18" xfId="0" applyFont="1" applyFill="1" applyBorder="1" applyProtection="1"/>
    <xf numFmtId="0" fontId="44" fillId="0" borderId="23" xfId="0" applyFont="1" applyBorder="1" applyProtection="1"/>
    <xf numFmtId="0" fontId="44" fillId="0" borderId="23" xfId="0" applyFont="1" applyBorder="1" applyAlignment="1" applyProtection="1">
      <alignment horizontal="right"/>
    </xf>
    <xf numFmtId="0" fontId="44" fillId="0" borderId="23" xfId="0" applyFont="1" applyBorder="1" applyAlignment="1" applyProtection="1">
      <alignment horizontal="center"/>
    </xf>
    <xf numFmtId="0" fontId="0" fillId="28" borderId="24" xfId="0" applyFill="1" applyBorder="1" applyAlignment="1" applyProtection="1">
      <alignment horizontal="center"/>
    </xf>
    <xf numFmtId="0" fontId="3" fillId="28" borderId="23" xfId="0" applyFont="1" applyFill="1" applyBorder="1" applyAlignment="1" applyProtection="1">
      <alignment horizontal="center"/>
    </xf>
    <xf numFmtId="0" fontId="3" fillId="26" borderId="0" xfId="0" applyFont="1" applyFill="1" applyBorder="1" applyAlignment="1" applyProtection="1">
      <alignment horizontal="center"/>
    </xf>
    <xf numFmtId="0" fontId="3" fillId="28" borderId="0" xfId="0" applyFont="1" applyFill="1" applyBorder="1" applyAlignment="1" applyProtection="1">
      <alignment horizontal="center"/>
    </xf>
    <xf numFmtId="0" fontId="0" fillId="29" borderId="15" xfId="0" applyFill="1" applyBorder="1" applyProtection="1"/>
    <xf numFmtId="0" fontId="3" fillId="29" borderId="15" xfId="0" applyFont="1" applyFill="1" applyBorder="1" applyProtection="1"/>
    <xf numFmtId="0" fontId="9" fillId="29" borderId="15" xfId="0" applyFont="1" applyFill="1" applyBorder="1" applyAlignment="1" applyProtection="1">
      <alignment horizontal="right"/>
    </xf>
    <xf numFmtId="1" fontId="3" fillId="29" borderId="15" xfId="0" applyNumberFormat="1" applyFont="1" applyFill="1" applyBorder="1" applyAlignment="1" applyProtection="1">
      <alignment horizontal="left"/>
    </xf>
    <xf numFmtId="0" fontId="0" fillId="29" borderId="16" xfId="0" applyFill="1" applyBorder="1" applyProtection="1"/>
    <xf numFmtId="0" fontId="0" fillId="29" borderId="0" xfId="0" applyFill="1" applyBorder="1" applyProtection="1"/>
    <xf numFmtId="0" fontId="3" fillId="29" borderId="0" xfId="0" applyFont="1" applyFill="1" applyBorder="1" applyProtection="1"/>
    <xf numFmtId="1" fontId="3" fillId="29" borderId="0" xfId="0" applyNumberFormat="1" applyFont="1" applyFill="1" applyBorder="1" applyAlignment="1" applyProtection="1">
      <alignment horizontal="left"/>
    </xf>
    <xf numFmtId="1" fontId="3" fillId="29" borderId="17" xfId="0" applyNumberFormat="1" applyFont="1" applyFill="1" applyBorder="1" applyAlignment="1" applyProtection="1">
      <alignment horizontal="left"/>
    </xf>
    <xf numFmtId="0" fontId="3" fillId="29" borderId="16" xfId="0" applyFont="1" applyFill="1" applyBorder="1" applyProtection="1"/>
    <xf numFmtId="0" fontId="37" fillId="29" borderId="0" xfId="0" applyFont="1" applyFill="1" applyBorder="1" applyProtection="1"/>
    <xf numFmtId="0" fontId="36" fillId="29" borderId="0" xfId="0" applyFont="1" applyFill="1" applyBorder="1" applyProtection="1"/>
    <xf numFmtId="1" fontId="3" fillId="29" borderId="0" xfId="0" applyNumberFormat="1" applyFont="1" applyFill="1" applyBorder="1" applyProtection="1"/>
    <xf numFmtId="0" fontId="36" fillId="29" borderId="0" xfId="0" applyFont="1" applyFill="1" applyBorder="1" applyAlignment="1" applyProtection="1">
      <alignment horizontal="right"/>
    </xf>
    <xf numFmtId="169" fontId="36" fillId="0" borderId="11" xfId="0" applyNumberFormat="1" applyFont="1" applyFill="1" applyBorder="1" applyProtection="1"/>
    <xf numFmtId="1" fontId="36" fillId="29" borderId="0" xfId="0" applyNumberFormat="1" applyFont="1" applyFill="1" applyBorder="1" applyAlignment="1" applyProtection="1">
      <alignment horizontal="left"/>
    </xf>
    <xf numFmtId="1" fontId="36" fillId="29" borderId="17" xfId="0" applyNumberFormat="1" applyFont="1" applyFill="1" applyBorder="1" applyAlignment="1" applyProtection="1">
      <alignment horizontal="left"/>
    </xf>
    <xf numFmtId="0" fontId="0" fillId="29" borderId="19" xfId="0" applyFill="1" applyBorder="1" applyProtection="1"/>
    <xf numFmtId="0" fontId="3" fillId="29" borderId="19" xfId="0" applyFont="1" applyFill="1" applyBorder="1" applyProtection="1"/>
    <xf numFmtId="1" fontId="3" fillId="29" borderId="19" xfId="0" applyNumberFormat="1" applyFont="1" applyFill="1" applyBorder="1" applyAlignment="1" applyProtection="1">
      <alignment horizontal="left"/>
    </xf>
    <xf numFmtId="1" fontId="3" fillId="29" borderId="12" xfId="0" applyNumberFormat="1" applyFont="1" applyFill="1" applyBorder="1" applyAlignment="1" applyProtection="1">
      <alignment horizontal="left"/>
    </xf>
    <xf numFmtId="1" fontId="3" fillId="0" borderId="0" xfId="0" applyNumberFormat="1" applyFont="1" applyFill="1" applyBorder="1" applyAlignment="1" applyProtection="1">
      <alignment horizontal="right"/>
    </xf>
    <xf numFmtId="1" fontId="3" fillId="0" borderId="0" xfId="0" applyNumberFormat="1" applyFont="1" applyFill="1" applyBorder="1" applyProtection="1"/>
    <xf numFmtId="0" fontId="11" fillId="0" borderId="0" xfId="0" applyFont="1" applyAlignment="1">
      <alignment horizontal="left" vertical="top"/>
    </xf>
    <xf numFmtId="0" fontId="11" fillId="0" borderId="0" xfId="0" applyFont="1" applyAlignment="1">
      <alignment horizontal="right"/>
    </xf>
    <xf numFmtId="0" fontId="8" fillId="30" borderId="16" xfId="0" applyFont="1" applyFill="1" applyBorder="1" applyAlignment="1">
      <alignment horizontal="left"/>
    </xf>
    <xf numFmtId="0" fontId="36" fillId="0" borderId="0" xfId="0" applyFont="1" applyProtection="1"/>
    <xf numFmtId="0" fontId="36" fillId="0" borderId="0" xfId="0" applyFont="1" applyAlignment="1" applyProtection="1">
      <alignment horizontal="left" vertical="center"/>
    </xf>
    <xf numFmtId="0" fontId="36" fillId="0" borderId="0" xfId="0" applyFont="1" applyBorder="1" applyProtection="1"/>
    <xf numFmtId="0" fontId="37" fillId="24" borderId="15" xfId="0" applyFont="1" applyFill="1" applyBorder="1" applyAlignment="1" applyProtection="1">
      <alignment horizontal="left"/>
    </xf>
    <xf numFmtId="0" fontId="36" fillId="24" borderId="15" xfId="0" applyFont="1" applyFill="1" applyBorder="1" applyProtection="1"/>
    <xf numFmtId="0" fontId="36" fillId="24" borderId="15" xfId="0" applyFont="1" applyFill="1" applyBorder="1" applyAlignment="1" applyProtection="1">
      <alignment horizontal="right"/>
    </xf>
    <xf numFmtId="0" fontId="36" fillId="24" borderId="13" xfId="0" applyFont="1" applyFill="1" applyBorder="1" applyAlignment="1" applyProtection="1">
      <alignment horizontal="right"/>
    </xf>
    <xf numFmtId="0" fontId="36" fillId="24" borderId="16" xfId="0" applyFont="1" applyFill="1" applyBorder="1" applyProtection="1"/>
    <xf numFmtId="0" fontId="36" fillId="24" borderId="0" xfId="0" applyFont="1" applyFill="1" applyBorder="1" applyProtection="1"/>
    <xf numFmtId="0" fontId="36" fillId="24" borderId="17" xfId="0" applyFont="1" applyFill="1" applyBorder="1" applyProtection="1"/>
    <xf numFmtId="0" fontId="37" fillId="26" borderId="15" xfId="0" applyFont="1" applyFill="1" applyBorder="1" applyAlignment="1" applyProtection="1">
      <alignment horizontal="left"/>
    </xf>
    <xf numFmtId="0" fontId="36" fillId="26" borderId="15" xfId="0" applyFont="1" applyFill="1" applyBorder="1" applyProtection="1"/>
    <xf numFmtId="0" fontId="36" fillId="26" borderId="13" xfId="0" applyFont="1" applyFill="1" applyBorder="1" applyProtection="1"/>
    <xf numFmtId="0" fontId="36" fillId="26" borderId="16" xfId="0" applyFont="1" applyFill="1" applyBorder="1" applyProtection="1"/>
    <xf numFmtId="0" fontId="36" fillId="26" borderId="0" xfId="0" applyFont="1" applyFill="1" applyBorder="1" applyProtection="1"/>
    <xf numFmtId="0" fontId="36" fillId="26" borderId="17" xfId="0" applyFont="1" applyFill="1" applyBorder="1" applyProtection="1"/>
    <xf numFmtId="0" fontId="37" fillId="28" borderId="15" xfId="0" applyFont="1" applyFill="1" applyBorder="1" applyAlignment="1" applyProtection="1">
      <alignment horizontal="left"/>
    </xf>
    <xf numFmtId="0" fontId="36" fillId="28" borderId="15" xfId="0" applyFont="1" applyFill="1" applyBorder="1" applyProtection="1"/>
    <xf numFmtId="0" fontId="36" fillId="28" borderId="13" xfId="0" applyFont="1" applyFill="1" applyBorder="1" applyProtection="1"/>
    <xf numFmtId="0" fontId="36" fillId="28" borderId="16" xfId="0" applyFont="1" applyFill="1" applyBorder="1" applyProtection="1"/>
    <xf numFmtId="0" fontId="36" fillId="28" borderId="0" xfId="0" applyFont="1" applyFill="1" applyBorder="1" applyProtection="1"/>
    <xf numFmtId="0" fontId="36" fillId="28" borderId="0" xfId="0" applyFont="1" applyFill="1" applyBorder="1" applyAlignment="1" applyProtection="1">
      <alignment horizontal="left"/>
    </xf>
    <xf numFmtId="0" fontId="36" fillId="28" borderId="17" xfId="0" applyFont="1" applyFill="1" applyBorder="1" applyProtection="1"/>
    <xf numFmtId="0" fontId="8" fillId="28" borderId="0" xfId="0" applyFont="1" applyFill="1" applyBorder="1" applyAlignment="1" applyProtection="1">
      <alignment horizontal="center"/>
    </xf>
    <xf numFmtId="0" fontId="8" fillId="28" borderId="17" xfId="0" applyFont="1" applyFill="1" applyBorder="1" applyAlignment="1" applyProtection="1">
      <alignment horizontal="center"/>
    </xf>
    <xf numFmtId="0" fontId="36" fillId="0" borderId="11" xfId="0" applyFont="1" applyBorder="1" applyProtection="1">
      <protection locked="0"/>
    </xf>
    <xf numFmtId="0" fontId="36" fillId="0" borderId="11" xfId="0" applyFont="1" applyBorder="1" applyProtection="1"/>
    <xf numFmtId="0" fontId="9" fillId="24" borderId="0" xfId="0" applyFont="1" applyFill="1" applyBorder="1" applyProtection="1"/>
    <xf numFmtId="0" fontId="36" fillId="0" borderId="0" xfId="0" applyFont="1" applyFill="1" applyBorder="1" applyProtection="1"/>
    <xf numFmtId="0" fontId="9" fillId="26" borderId="0" xfId="0" applyFont="1" applyFill="1" applyBorder="1" applyProtection="1"/>
    <xf numFmtId="0" fontId="36" fillId="28" borderId="0" xfId="0" applyFont="1" applyFill="1" applyBorder="1" applyAlignment="1" applyProtection="1">
      <alignment horizontal="right"/>
    </xf>
    <xf numFmtId="0" fontId="42" fillId="24" borderId="15" xfId="0" applyFont="1" applyFill="1" applyBorder="1" applyAlignment="1" applyProtection="1">
      <alignment horizontal="left"/>
    </xf>
    <xf numFmtId="0" fontId="36" fillId="0" borderId="11" xfId="0" applyFont="1" applyFill="1" applyBorder="1" applyProtection="1"/>
    <xf numFmtId="0" fontId="36" fillId="24" borderId="0" xfId="0" applyFont="1" applyFill="1" applyProtection="1"/>
    <xf numFmtId="0" fontId="36" fillId="24" borderId="0" xfId="0" applyFont="1" applyFill="1" applyAlignment="1" applyProtection="1">
      <alignment horizontal="right"/>
    </xf>
    <xf numFmtId="0" fontId="8" fillId="31" borderId="14" xfId="37" applyFont="1" applyFill="1" applyBorder="1" applyAlignment="1" applyProtection="1">
      <alignment horizontal="center"/>
    </xf>
    <xf numFmtId="0" fontId="8" fillId="28" borderId="14" xfId="37" applyFont="1" applyFill="1" applyBorder="1" applyAlignment="1" applyProtection="1">
      <alignment horizontal="center"/>
    </xf>
    <xf numFmtId="0" fontId="8" fillId="24" borderId="14" xfId="37" applyFont="1" applyFill="1" applyBorder="1" applyAlignment="1" applyProtection="1">
      <alignment horizontal="center"/>
    </xf>
    <xf numFmtId="0" fontId="8" fillId="27" borderId="14" xfId="37" applyFont="1" applyFill="1" applyBorder="1" applyAlignment="1" applyProtection="1">
      <alignment horizontal="center"/>
    </xf>
    <xf numFmtId="0" fontId="36" fillId="0" borderId="19" xfId="0" applyFont="1" applyFill="1" applyBorder="1" applyAlignment="1" applyProtection="1">
      <alignment horizontal="center"/>
    </xf>
    <xf numFmtId="0" fontId="62" fillId="0" borderId="17" xfId="0" applyFont="1" applyFill="1" applyBorder="1" applyAlignment="1">
      <alignment horizontal="left"/>
    </xf>
    <xf numFmtId="0" fontId="36" fillId="0" borderId="0" xfId="0" applyFont="1" applyFill="1" applyBorder="1" applyAlignment="1">
      <alignment horizontal="center"/>
    </xf>
    <xf numFmtId="0" fontId="36" fillId="0" borderId="0" xfId="0" applyFont="1" applyFill="1" applyBorder="1" applyAlignment="1">
      <alignment horizontal="left"/>
    </xf>
    <xf numFmtId="1" fontId="36" fillId="0" borderId="0" xfId="0" applyNumberFormat="1" applyFont="1" applyAlignment="1">
      <alignment horizontal="right"/>
    </xf>
    <xf numFmtId="1" fontId="36" fillId="0" borderId="0" xfId="0" applyNumberFormat="1" applyFont="1" applyAlignment="1">
      <alignment horizontal="left"/>
    </xf>
    <xf numFmtId="0" fontId="12" fillId="0" borderId="0" xfId="0" applyFont="1"/>
    <xf numFmtId="0" fontId="36" fillId="32" borderId="0" xfId="0" applyFont="1" applyFill="1" applyAlignment="1">
      <alignment horizontal="center"/>
    </xf>
    <xf numFmtId="0" fontId="36" fillId="0" borderId="20" xfId="0" applyFont="1" applyBorder="1" applyAlignment="1">
      <alignment horizontal="right"/>
    </xf>
    <xf numFmtId="0" fontId="36" fillId="0" borderId="10" xfId="0" applyFont="1" applyBorder="1"/>
    <xf numFmtId="0" fontId="36" fillId="0" borderId="0" xfId="0" applyFont="1" applyAlignment="1">
      <alignment horizontal="right"/>
    </xf>
    <xf numFmtId="167" fontId="36" fillId="0" borderId="0" xfId="0" applyNumberFormat="1" applyFont="1"/>
    <xf numFmtId="0" fontId="36" fillId="0" borderId="0" xfId="0" applyFont="1" applyAlignment="1">
      <alignment horizontal="center"/>
    </xf>
    <xf numFmtId="0" fontId="36" fillId="28" borderId="14" xfId="0" applyFont="1" applyFill="1" applyBorder="1" applyAlignment="1">
      <alignment horizontal="center"/>
    </xf>
    <xf numFmtId="0" fontId="36" fillId="28" borderId="15" xfId="0" applyFont="1" applyFill="1" applyBorder="1" applyAlignment="1">
      <alignment horizontal="center"/>
    </xf>
    <xf numFmtId="0" fontId="36" fillId="31" borderId="0" xfId="0" applyFont="1" applyFill="1" applyAlignment="1">
      <alignment horizontal="center"/>
    </xf>
    <xf numFmtId="0" fontId="36" fillId="31" borderId="17" xfId="0" applyFont="1" applyFill="1" applyBorder="1" applyAlignment="1">
      <alignment horizontal="center"/>
    </xf>
    <xf numFmtId="0" fontId="36" fillId="0" borderId="17" xfId="0" applyFont="1" applyBorder="1"/>
    <xf numFmtId="0" fontId="36" fillId="33" borderId="0" xfId="0" applyFont="1" applyFill="1" applyAlignment="1">
      <alignment horizontal="center"/>
    </xf>
    <xf numFmtId="0" fontId="36" fillId="33" borderId="0" xfId="0" applyFont="1" applyFill="1"/>
    <xf numFmtId="0" fontId="36" fillId="0" borderId="22" xfId="0" applyFont="1" applyBorder="1"/>
    <xf numFmtId="0" fontId="36" fillId="0" borderId="0" xfId="0" applyFont="1" applyBorder="1" applyAlignment="1">
      <alignment horizontal="center"/>
    </xf>
    <xf numFmtId="0" fontId="36" fillId="0" borderId="0" xfId="0" applyFont="1" applyBorder="1"/>
    <xf numFmtId="0" fontId="36" fillId="0" borderId="14" xfId="0" applyFont="1" applyBorder="1"/>
    <xf numFmtId="0" fontId="36" fillId="0" borderId="13" xfId="0" applyFont="1" applyBorder="1"/>
    <xf numFmtId="0" fontId="36" fillId="0" borderId="15" xfId="0" applyFont="1" applyBorder="1"/>
    <xf numFmtId="0" fontId="36" fillId="0" borderId="0" xfId="0" applyFont="1" applyAlignment="1">
      <alignment horizontal="left"/>
    </xf>
    <xf numFmtId="0" fontId="62" fillId="0" borderId="25" xfId="0" applyFont="1" applyFill="1" applyBorder="1" applyAlignment="1">
      <alignment horizontal="left"/>
    </xf>
    <xf numFmtId="0" fontId="36" fillId="0" borderId="14" xfId="0" applyFont="1" applyBorder="1" applyAlignment="1">
      <alignment horizontal="right"/>
    </xf>
    <xf numFmtId="0" fontId="36" fillId="0" borderId="15" xfId="0" applyFont="1" applyBorder="1" applyAlignment="1">
      <alignment horizontal="center"/>
    </xf>
    <xf numFmtId="0" fontId="36" fillId="0" borderId="13" xfId="0" applyFont="1" applyBorder="1" applyAlignment="1">
      <alignment horizontal="center"/>
    </xf>
    <xf numFmtId="0" fontId="36" fillId="24" borderId="14" xfId="0" applyFont="1" applyFill="1" applyBorder="1" applyAlignment="1">
      <alignment horizontal="left"/>
    </xf>
    <xf numFmtId="0" fontId="36" fillId="27" borderId="14" xfId="0" applyFont="1" applyFill="1" applyBorder="1" applyAlignment="1">
      <alignment horizontal="left"/>
    </xf>
    <xf numFmtId="0" fontId="36" fillId="27" borderId="15" xfId="0" applyFont="1" applyFill="1" applyBorder="1" applyAlignment="1">
      <alignment horizontal="center"/>
    </xf>
    <xf numFmtId="0" fontId="36" fillId="27" borderId="15" xfId="0" applyFont="1" applyFill="1" applyBorder="1" applyAlignment="1">
      <alignment horizontal="left"/>
    </xf>
    <xf numFmtId="0" fontId="36" fillId="27" borderId="13" xfId="0" applyFont="1" applyFill="1" applyBorder="1" applyAlignment="1">
      <alignment horizontal="left"/>
    </xf>
    <xf numFmtId="0" fontId="36" fillId="0" borderId="0" xfId="0" applyFont="1" applyProtection="1">
      <protection locked="0"/>
    </xf>
    <xf numFmtId="0" fontId="36" fillId="32" borderId="0" xfId="0" applyFont="1" applyFill="1" applyBorder="1" applyAlignment="1">
      <alignment horizontal="center"/>
    </xf>
    <xf numFmtId="0" fontId="36" fillId="34" borderId="0" xfId="0" applyFont="1" applyFill="1" applyBorder="1" applyAlignment="1">
      <alignment horizontal="center"/>
    </xf>
    <xf numFmtId="0" fontId="36" fillId="28" borderId="16" xfId="0" applyFont="1" applyFill="1" applyBorder="1" applyAlignment="1">
      <alignment horizontal="center"/>
    </xf>
    <xf numFmtId="0" fontId="36" fillId="28" borderId="0" xfId="0" applyFont="1" applyFill="1" applyBorder="1" applyAlignment="1">
      <alignment horizontal="center"/>
    </xf>
    <xf numFmtId="0" fontId="36" fillId="28" borderId="17" xfId="0" applyFont="1" applyFill="1" applyBorder="1" applyAlignment="1">
      <alignment horizontal="center"/>
    </xf>
    <xf numFmtId="0" fontId="36" fillId="34" borderId="0" xfId="0" applyFont="1" applyFill="1"/>
    <xf numFmtId="0" fontId="36" fillId="34" borderId="17" xfId="0" applyFont="1" applyFill="1" applyBorder="1"/>
    <xf numFmtId="0" fontId="36" fillId="35" borderId="0" xfId="0" applyFont="1" applyFill="1"/>
    <xf numFmtId="0" fontId="36" fillId="35" borderId="17" xfId="0" applyFont="1" applyFill="1" applyBorder="1"/>
    <xf numFmtId="0" fontId="36" fillId="0" borderId="25" xfId="0" applyFont="1" applyBorder="1"/>
    <xf numFmtId="0" fontId="36" fillId="0" borderId="16" xfId="0" applyFont="1" applyBorder="1"/>
    <xf numFmtId="0" fontId="36" fillId="0" borderId="26" xfId="0" applyFont="1" applyFill="1" applyBorder="1" applyProtection="1"/>
    <xf numFmtId="0" fontId="36" fillId="0" borderId="22" xfId="0" applyFont="1" applyBorder="1" applyProtection="1">
      <protection locked="0"/>
    </xf>
    <xf numFmtId="0" fontId="36" fillId="0" borderId="16" xfId="0" applyFont="1" applyBorder="1" applyAlignment="1">
      <alignment horizontal="right"/>
    </xf>
    <xf numFmtId="2" fontId="36" fillId="0" borderId="0" xfId="0" applyNumberFormat="1" applyFont="1" applyFill="1" applyAlignment="1">
      <alignment horizontal="center"/>
    </xf>
    <xf numFmtId="0" fontId="36" fillId="0" borderId="25" xfId="0" applyFont="1" applyBorder="1" applyAlignment="1">
      <alignment horizontal="center"/>
    </xf>
    <xf numFmtId="0" fontId="36" fillId="29" borderId="0" xfId="0" applyFont="1" applyFill="1" applyBorder="1"/>
    <xf numFmtId="0" fontId="12" fillId="0" borderId="0" xfId="0" applyFont="1" applyFill="1" applyAlignment="1"/>
    <xf numFmtId="0" fontId="36" fillId="0" borderId="0" xfId="0" applyFont="1" applyFill="1" applyAlignment="1">
      <alignment horizontal="center"/>
    </xf>
    <xf numFmtId="0" fontId="36" fillId="0" borderId="18" xfId="0" applyFont="1" applyBorder="1"/>
    <xf numFmtId="0" fontId="36" fillId="0" borderId="19" xfId="0" applyFont="1" applyBorder="1"/>
    <xf numFmtId="0" fontId="36" fillId="32" borderId="0" xfId="0" applyFont="1" applyFill="1" applyBorder="1"/>
    <xf numFmtId="0" fontId="36" fillId="32" borderId="16" xfId="0" applyFont="1" applyFill="1" applyBorder="1"/>
    <xf numFmtId="0" fontId="36" fillId="32" borderId="17" xfId="0" applyFont="1" applyFill="1" applyBorder="1"/>
    <xf numFmtId="0" fontId="36" fillId="28" borderId="15" xfId="0" applyFont="1" applyFill="1" applyBorder="1"/>
    <xf numFmtId="0" fontId="37" fillId="31" borderId="15" xfId="0" applyFont="1" applyFill="1" applyBorder="1"/>
    <xf numFmtId="0" fontId="36" fillId="0" borderId="0" xfId="0" quotePrefix="1" applyFont="1"/>
    <xf numFmtId="0" fontId="36" fillId="24" borderId="16" xfId="0" applyFont="1" applyFill="1" applyBorder="1"/>
    <xf numFmtId="0" fontId="36" fillId="28" borderId="16" xfId="0" applyFont="1" applyFill="1" applyBorder="1"/>
    <xf numFmtId="0" fontId="36" fillId="28" borderId="0" xfId="0" applyFont="1" applyFill="1" applyBorder="1" applyAlignment="1">
      <alignment horizontal="right"/>
    </xf>
    <xf numFmtId="0" fontId="36" fillId="0" borderId="11" xfId="0" applyFont="1" applyFill="1" applyBorder="1" applyProtection="1">
      <protection locked="0"/>
    </xf>
    <xf numFmtId="0" fontId="36" fillId="31" borderId="0" xfId="0" applyFont="1" applyFill="1" applyBorder="1" applyAlignment="1">
      <alignment horizontal="right"/>
    </xf>
    <xf numFmtId="0" fontId="36" fillId="0" borderId="11" xfId="0" applyFont="1" applyBorder="1"/>
    <xf numFmtId="0" fontId="36" fillId="31" borderId="17" xfId="0" applyFont="1" applyFill="1" applyBorder="1"/>
    <xf numFmtId="0" fontId="36" fillId="28" borderId="18" xfId="0" applyFont="1" applyFill="1" applyBorder="1"/>
    <xf numFmtId="0" fontId="36" fillId="28" borderId="19" xfId="0" applyFont="1" applyFill="1" applyBorder="1"/>
    <xf numFmtId="0" fontId="36" fillId="0" borderId="27" xfId="0" applyFont="1" applyFill="1" applyBorder="1"/>
    <xf numFmtId="0" fontId="36" fillId="0" borderId="18" xfId="0" applyFont="1" applyBorder="1" applyAlignment="1">
      <alignment horizontal="right"/>
    </xf>
    <xf numFmtId="0" fontId="36" fillId="0" borderId="10" xfId="0" applyFont="1" applyBorder="1" applyProtection="1">
      <protection locked="0"/>
    </xf>
    <xf numFmtId="0" fontId="36" fillId="24" borderId="13" xfId="0" applyFont="1" applyFill="1" applyBorder="1" applyAlignment="1">
      <alignment horizontal="center"/>
    </xf>
    <xf numFmtId="0" fontId="36" fillId="0" borderId="0" xfId="0" applyFont="1" applyBorder="1" applyProtection="1">
      <protection locked="0"/>
    </xf>
    <xf numFmtId="0" fontId="41" fillId="0" borderId="0" xfId="0" applyFont="1" applyAlignment="1">
      <alignment horizontal="center"/>
    </xf>
    <xf numFmtId="0" fontId="63" fillId="0" borderId="0" xfId="0" applyFont="1" applyAlignment="1">
      <alignment horizontal="center"/>
    </xf>
    <xf numFmtId="0" fontId="37" fillId="26" borderId="15" xfId="0" applyFont="1" applyFill="1" applyBorder="1"/>
    <xf numFmtId="0" fontId="36" fillId="26" borderId="15" xfId="0" applyFont="1" applyFill="1" applyBorder="1"/>
    <xf numFmtId="0" fontId="36" fillId="0" borderId="0" xfId="0" applyFont="1" applyBorder="1" applyAlignment="1">
      <alignment horizontal="right"/>
    </xf>
    <xf numFmtId="166" fontId="36" fillId="0" borderId="0" xfId="0" applyNumberFormat="1" applyFont="1" applyAlignment="1">
      <alignment horizontal="left"/>
    </xf>
    <xf numFmtId="0" fontId="36" fillId="26" borderId="16" xfId="0" applyFont="1" applyFill="1" applyBorder="1"/>
    <xf numFmtId="0" fontId="36" fillId="26" borderId="0" xfId="0" applyFont="1" applyFill="1" applyBorder="1"/>
    <xf numFmtId="0" fontId="36" fillId="0" borderId="19" xfId="0" applyFont="1" applyBorder="1" applyProtection="1">
      <protection locked="0"/>
    </xf>
    <xf numFmtId="0" fontId="36" fillId="0" borderId="12" xfId="0" applyFont="1" applyBorder="1"/>
    <xf numFmtId="0" fontId="36" fillId="24" borderId="20" xfId="0" applyFont="1" applyFill="1" applyBorder="1"/>
    <xf numFmtId="0" fontId="36" fillId="0" borderId="21" xfId="0" applyFont="1" applyBorder="1"/>
    <xf numFmtId="9" fontId="36" fillId="0" borderId="0" xfId="40" applyFont="1" applyAlignment="1">
      <alignment horizontal="right"/>
    </xf>
    <xf numFmtId="0" fontId="36" fillId="33" borderId="25" xfId="0" applyFont="1" applyFill="1" applyBorder="1" applyAlignment="1">
      <alignment horizontal="center"/>
    </xf>
    <xf numFmtId="0" fontId="36" fillId="0" borderId="20" xfId="0" applyFont="1" applyBorder="1"/>
    <xf numFmtId="0" fontId="36" fillId="0" borderId="21" xfId="0" applyFont="1" applyBorder="1" applyAlignment="1">
      <alignment horizontal="right"/>
    </xf>
    <xf numFmtId="0" fontId="36" fillId="0" borderId="12" xfId="0" applyFont="1" applyBorder="1" applyProtection="1">
      <protection locked="0"/>
    </xf>
    <xf numFmtId="0" fontId="36" fillId="26" borderId="0" xfId="0" applyFont="1" applyFill="1" applyBorder="1" applyAlignment="1">
      <alignment horizontal="right"/>
    </xf>
    <xf numFmtId="0" fontId="36" fillId="0" borderId="16" xfId="0" applyFont="1" applyFill="1" applyBorder="1"/>
    <xf numFmtId="0" fontId="36" fillId="0" borderId="24" xfId="0" applyFont="1" applyBorder="1" applyProtection="1">
      <protection locked="0"/>
    </xf>
    <xf numFmtId="0" fontId="36" fillId="0" borderId="0" xfId="0" applyFont="1" applyFill="1" applyAlignment="1">
      <alignment horizontal="right"/>
    </xf>
    <xf numFmtId="0" fontId="36" fillId="0" borderId="18" xfId="0" applyFont="1" applyFill="1" applyBorder="1"/>
    <xf numFmtId="0" fontId="36" fillId="0" borderId="19" xfId="0" applyFont="1" applyBorder="1" applyAlignment="1">
      <alignment horizontal="right"/>
    </xf>
    <xf numFmtId="0" fontId="36" fillId="0" borderId="15" xfId="0" applyFont="1" applyBorder="1" applyAlignment="1">
      <alignment horizontal="right"/>
    </xf>
    <xf numFmtId="0" fontId="36" fillId="0" borderId="0" xfId="0" applyNumberFormat="1" applyFont="1" applyAlignment="1">
      <alignment horizontal="left"/>
    </xf>
    <xf numFmtId="0" fontId="37" fillId="26" borderId="0" xfId="0" applyFont="1" applyFill="1"/>
    <xf numFmtId="0" fontId="36" fillId="26" borderId="0" xfId="0" applyFont="1" applyFill="1"/>
    <xf numFmtId="0" fontId="36" fillId="0" borderId="28" xfId="0" applyFont="1" applyBorder="1"/>
    <xf numFmtId="1" fontId="36" fillId="0" borderId="0" xfId="0" applyNumberFormat="1" applyFont="1" applyAlignment="1" applyProtection="1">
      <alignment horizontal="right"/>
      <protection locked="0"/>
    </xf>
    <xf numFmtId="167" fontId="36" fillId="0" borderId="17" xfId="0" quotePrefix="1" applyNumberFormat="1" applyFont="1" applyBorder="1"/>
    <xf numFmtId="2" fontId="36" fillId="0" borderId="19" xfId="0" applyNumberFormat="1" applyFont="1" applyBorder="1"/>
    <xf numFmtId="0" fontId="36" fillId="26" borderId="18" xfId="0" applyFont="1" applyFill="1" applyBorder="1"/>
    <xf numFmtId="0" fontId="36" fillId="26" borderId="19" xfId="0" applyFont="1" applyFill="1" applyBorder="1"/>
    <xf numFmtId="0" fontId="37" fillId="29" borderId="15" xfId="0" applyFont="1" applyFill="1" applyBorder="1"/>
    <xf numFmtId="0" fontId="36" fillId="29" borderId="15" xfId="0" applyFont="1" applyFill="1" applyBorder="1"/>
    <xf numFmtId="0" fontId="36" fillId="0" borderId="17" xfId="0" applyFont="1" applyBorder="1" applyAlignment="1">
      <alignment horizontal="right"/>
    </xf>
    <xf numFmtId="0" fontId="36" fillId="0" borderId="0" xfId="0" applyFont="1" applyAlignment="1" applyProtection="1">
      <alignment horizontal="right"/>
      <protection locked="0"/>
    </xf>
    <xf numFmtId="0" fontId="36" fillId="29" borderId="16" xfId="0" applyFont="1" applyFill="1" applyBorder="1"/>
    <xf numFmtId="1" fontId="12" fillId="0" borderId="0" xfId="0" applyNumberFormat="1" applyFont="1"/>
    <xf numFmtId="0" fontId="36" fillId="0" borderId="13" xfId="0" applyFont="1" applyFill="1" applyBorder="1"/>
    <xf numFmtId="0" fontId="36" fillId="0" borderId="17" xfId="0" applyFont="1" applyFill="1" applyBorder="1"/>
    <xf numFmtId="0" fontId="36" fillId="0" borderId="13" xfId="0" applyFont="1" applyBorder="1" applyProtection="1">
      <protection locked="0"/>
    </xf>
    <xf numFmtId="0" fontId="36" fillId="0" borderId="29" xfId="0" applyFont="1" applyFill="1" applyBorder="1"/>
    <xf numFmtId="0" fontId="36" fillId="0" borderId="30" xfId="0" applyFont="1" applyFill="1" applyBorder="1"/>
    <xf numFmtId="0" fontId="36" fillId="0" borderId="31" xfId="0" applyFont="1" applyFill="1" applyBorder="1"/>
    <xf numFmtId="0" fontId="36" fillId="0" borderId="12" xfId="0" applyFont="1" applyFill="1" applyBorder="1"/>
    <xf numFmtId="0" fontId="36" fillId="0" borderId="17" xfId="0" applyFont="1" applyBorder="1" applyProtection="1">
      <protection locked="0"/>
    </xf>
    <xf numFmtId="0" fontId="36" fillId="0" borderId="0" xfId="0" applyFont="1" applyAlignment="1" applyProtection="1">
      <alignment horizontal="left"/>
    </xf>
    <xf numFmtId="0" fontId="36" fillId="0" borderId="32" xfId="0" applyFont="1" applyFill="1" applyBorder="1"/>
    <xf numFmtId="0" fontId="36" fillId="0" borderId="33" xfId="0" applyFont="1" applyFill="1" applyBorder="1"/>
    <xf numFmtId="0" fontId="12" fillId="0" borderId="16" xfId="0" applyFont="1" applyBorder="1"/>
    <xf numFmtId="0" fontId="12" fillId="0" borderId="17" xfId="0" applyFont="1" applyBorder="1"/>
    <xf numFmtId="0" fontId="12" fillId="0" borderId="14" xfId="0" applyFont="1" applyBorder="1"/>
    <xf numFmtId="0" fontId="12" fillId="0" borderId="15" xfId="0" applyFont="1" applyBorder="1" applyProtection="1">
      <protection locked="0"/>
    </xf>
    <xf numFmtId="0" fontId="12" fillId="0" borderId="13" xfId="0" applyFont="1" applyBorder="1"/>
    <xf numFmtId="0" fontId="36" fillId="0" borderId="34" xfId="0" applyFont="1" applyFill="1" applyBorder="1" applyProtection="1"/>
    <xf numFmtId="0" fontId="36" fillId="0" borderId="10" xfId="0" applyFont="1" applyFill="1" applyBorder="1" applyProtection="1">
      <protection locked="0"/>
    </xf>
    <xf numFmtId="0" fontId="12" fillId="0" borderId="19" xfId="0" applyFont="1" applyBorder="1"/>
    <xf numFmtId="0" fontId="12" fillId="0" borderId="12" xfId="0" applyFont="1" applyBorder="1"/>
    <xf numFmtId="0" fontId="12" fillId="0" borderId="0" xfId="0" applyFont="1" applyBorder="1" applyProtection="1">
      <protection locked="0"/>
    </xf>
    <xf numFmtId="0" fontId="12" fillId="0" borderId="17" xfId="0" applyFont="1" applyBorder="1" applyProtection="1">
      <protection locked="0"/>
    </xf>
    <xf numFmtId="0" fontId="12" fillId="0" borderId="19" xfId="0" applyFont="1" applyFill="1" applyBorder="1" applyProtection="1"/>
    <xf numFmtId="0" fontId="62" fillId="0" borderId="12" xfId="0" applyFont="1" applyFill="1" applyBorder="1" applyAlignment="1">
      <alignment horizontal="left"/>
    </xf>
    <xf numFmtId="0" fontId="36" fillId="0" borderId="35" xfId="0" applyFont="1" applyFill="1" applyBorder="1"/>
    <xf numFmtId="0" fontId="36" fillId="0" borderId="36" xfId="0" applyFont="1" applyFill="1" applyBorder="1"/>
    <xf numFmtId="0" fontId="12" fillId="0" borderId="18" xfId="0" applyFont="1" applyBorder="1"/>
    <xf numFmtId="0" fontId="12" fillId="0" borderId="19" xfId="0" applyFont="1" applyBorder="1" applyProtection="1">
      <protection locked="0"/>
    </xf>
    <xf numFmtId="0" fontId="12" fillId="0" borderId="12" xfId="0" applyFont="1" applyBorder="1" applyProtection="1">
      <protection locked="0"/>
    </xf>
    <xf numFmtId="0" fontId="12" fillId="0" borderId="0" xfId="0" applyFont="1" applyProtection="1"/>
    <xf numFmtId="0" fontId="62" fillId="0" borderId="0" xfId="0" applyFont="1" applyAlignment="1">
      <alignment horizontal="left"/>
    </xf>
    <xf numFmtId="1" fontId="36" fillId="0" borderId="0" xfId="0" applyNumberFormat="1" applyFont="1" applyFill="1" applyBorder="1" applyAlignment="1">
      <alignment horizontal="right"/>
    </xf>
    <xf numFmtId="0" fontId="36" fillId="0" borderId="0" xfId="0" applyFont="1" applyFill="1" applyBorder="1" applyAlignment="1">
      <alignment horizontal="right"/>
    </xf>
    <xf numFmtId="1" fontId="36" fillId="0" borderId="0" xfId="0" applyNumberFormat="1" applyFont="1" applyFill="1" applyBorder="1" applyAlignment="1">
      <alignment horizontal="left"/>
    </xf>
    <xf numFmtId="0" fontId="62" fillId="0" borderId="0" xfId="0" applyFont="1" applyFill="1" applyBorder="1" applyAlignment="1">
      <alignment horizontal="left"/>
    </xf>
    <xf numFmtId="0" fontId="41" fillId="0" borderId="0" xfId="0" applyFont="1"/>
    <xf numFmtId="0" fontId="12" fillId="31" borderId="15" xfId="0" applyFont="1" applyFill="1" applyBorder="1" applyAlignment="1"/>
    <xf numFmtId="0" fontId="12" fillId="31" borderId="13" xfId="0" applyFont="1" applyFill="1" applyBorder="1" applyAlignment="1"/>
    <xf numFmtId="0" fontId="36" fillId="31" borderId="16" xfId="0" applyFont="1" applyFill="1" applyBorder="1"/>
    <xf numFmtId="0" fontId="36" fillId="31" borderId="0" xfId="0" applyFont="1" applyFill="1" applyBorder="1"/>
    <xf numFmtId="0" fontId="36" fillId="31" borderId="16" xfId="0" applyFont="1" applyFill="1" applyBorder="1" applyAlignment="1">
      <alignment horizontal="center"/>
    </xf>
    <xf numFmtId="0" fontId="36" fillId="31" borderId="18" xfId="0" applyFont="1" applyFill="1" applyBorder="1"/>
    <xf numFmtId="0" fontId="36" fillId="31" borderId="19" xfId="0" applyFont="1" applyFill="1" applyBorder="1"/>
    <xf numFmtId="0" fontId="36" fillId="31" borderId="12" xfId="0" applyFont="1" applyFill="1" applyBorder="1"/>
    <xf numFmtId="0" fontId="37" fillId="29" borderId="0" xfId="0" applyFont="1" applyFill="1" applyBorder="1"/>
    <xf numFmtId="0" fontId="36" fillId="29" borderId="13" xfId="0" applyFont="1" applyFill="1" applyBorder="1"/>
    <xf numFmtId="0" fontId="36" fillId="29" borderId="17" xfId="0" applyFont="1" applyFill="1" applyBorder="1"/>
    <xf numFmtId="0" fontId="36" fillId="29" borderId="18" xfId="0" applyFont="1" applyFill="1" applyBorder="1"/>
    <xf numFmtId="0" fontId="36" fillId="29" borderId="19" xfId="0" applyFont="1" applyFill="1" applyBorder="1"/>
    <xf numFmtId="0" fontId="36" fillId="29" borderId="12" xfId="0" applyFont="1" applyFill="1" applyBorder="1"/>
    <xf numFmtId="0" fontId="37" fillId="27" borderId="15" xfId="0" applyFont="1" applyFill="1" applyBorder="1"/>
    <xf numFmtId="0" fontId="36" fillId="27" borderId="15" xfId="0" applyFont="1" applyFill="1" applyBorder="1"/>
    <xf numFmtId="0" fontId="8" fillId="27" borderId="13" xfId="0" applyFont="1" applyFill="1" applyBorder="1" applyAlignment="1"/>
    <xf numFmtId="0" fontId="36" fillId="27" borderId="16" xfId="0" applyFont="1" applyFill="1" applyBorder="1"/>
    <xf numFmtId="0" fontId="36" fillId="27" borderId="0" xfId="0" applyFont="1" applyFill="1" applyBorder="1"/>
    <xf numFmtId="0" fontId="36" fillId="27" borderId="17" xfId="0" applyFont="1" applyFill="1" applyBorder="1"/>
    <xf numFmtId="49" fontId="36" fillId="27" borderId="0" xfId="0" applyNumberFormat="1" applyFont="1" applyFill="1" applyBorder="1" applyAlignment="1">
      <alignment horizontal="left"/>
    </xf>
    <xf numFmtId="0" fontId="36" fillId="27" borderId="18" xfId="0" applyFont="1" applyFill="1" applyBorder="1"/>
    <xf numFmtId="0" fontId="36" fillId="27" borderId="19" xfId="0" applyFont="1" applyFill="1" applyBorder="1"/>
    <xf numFmtId="0" fontId="36" fillId="27" borderId="12" xfId="0" applyFont="1" applyFill="1" applyBorder="1"/>
    <xf numFmtId="0" fontId="36" fillId="28" borderId="0" xfId="0" applyFont="1" applyFill="1" applyBorder="1"/>
    <xf numFmtId="1" fontId="36" fillId="0" borderId="0" xfId="0" applyNumberFormat="1" applyFont="1" applyProtection="1"/>
    <xf numFmtId="1" fontId="36" fillId="0" borderId="0" xfId="0" applyNumberFormat="1" applyFont="1" applyAlignment="1" applyProtection="1">
      <alignment horizontal="left"/>
    </xf>
    <xf numFmtId="0" fontId="36" fillId="0" borderId="0" xfId="0" applyNumberFormat="1" applyFont="1" applyProtection="1"/>
    <xf numFmtId="0" fontId="36" fillId="0" borderId="0" xfId="0" applyFont="1" applyAlignment="1" applyProtection="1">
      <alignment horizontal="right"/>
    </xf>
    <xf numFmtId="0" fontId="36" fillId="0" borderId="14" xfId="0" applyFont="1" applyBorder="1" applyProtection="1"/>
    <xf numFmtId="0" fontId="36" fillId="0" borderId="13" xfId="0" applyFont="1" applyBorder="1" applyProtection="1"/>
    <xf numFmtId="0" fontId="36" fillId="0" borderId="15" xfId="0" applyFont="1" applyBorder="1" applyAlignment="1" applyProtection="1">
      <alignment horizontal="center"/>
    </xf>
    <xf numFmtId="0" fontId="36" fillId="0" borderId="13" xfId="0" applyFont="1" applyBorder="1" applyAlignment="1" applyProtection="1">
      <alignment horizontal="center"/>
    </xf>
    <xf numFmtId="1" fontId="36" fillId="0" borderId="0" xfId="0" applyNumberFormat="1" applyFont="1" applyAlignment="1" applyProtection="1">
      <alignment horizontal="right"/>
    </xf>
    <xf numFmtId="0" fontId="36" fillId="0" borderId="16" xfId="0" applyFont="1" applyBorder="1" applyProtection="1"/>
    <xf numFmtId="0" fontId="36" fillId="0" borderId="17" xfId="0" applyFont="1" applyBorder="1" applyProtection="1"/>
    <xf numFmtId="0" fontId="36" fillId="27" borderId="18" xfId="0" applyFont="1" applyFill="1" applyBorder="1" applyAlignment="1" applyProtection="1">
      <alignment horizontal="right"/>
    </xf>
    <xf numFmtId="166" fontId="36" fillId="27" borderId="19" xfId="0" applyNumberFormat="1" applyFont="1" applyFill="1" applyBorder="1" applyProtection="1"/>
    <xf numFmtId="166" fontId="36" fillId="27" borderId="12" xfId="0" applyNumberFormat="1" applyFont="1" applyFill="1" applyBorder="1" applyProtection="1"/>
    <xf numFmtId="0" fontId="36" fillId="0" borderId="0" xfId="0" applyFont="1" applyFill="1" applyProtection="1"/>
    <xf numFmtId="0" fontId="36" fillId="0" borderId="0" xfId="0" applyFont="1" applyAlignment="1" applyProtection="1">
      <alignment horizontal="center"/>
    </xf>
    <xf numFmtId="0" fontId="36" fillId="0" borderId="0" xfId="0" applyNumberFormat="1" applyFont="1" applyAlignment="1" applyProtection="1">
      <alignment horizontal="left"/>
    </xf>
    <xf numFmtId="0" fontId="36" fillId="0" borderId="18" xfId="0" applyFont="1" applyBorder="1" applyProtection="1"/>
    <xf numFmtId="0" fontId="36" fillId="0" borderId="12" xfId="0" applyFont="1" applyBorder="1" applyProtection="1"/>
    <xf numFmtId="0" fontId="36" fillId="27" borderId="0" xfId="0" applyFont="1" applyFill="1" applyAlignment="1" applyProtection="1">
      <alignment horizontal="center"/>
    </xf>
    <xf numFmtId="0" fontId="12" fillId="0" borderId="0" xfId="0" applyFont="1" applyFill="1" applyBorder="1" applyProtection="1"/>
    <xf numFmtId="166" fontId="36" fillId="27" borderId="0" xfId="0" applyNumberFormat="1" applyFont="1" applyFill="1" applyProtection="1"/>
    <xf numFmtId="0" fontId="36" fillId="0" borderId="15" xfId="0" applyFont="1" applyBorder="1" applyProtection="1"/>
    <xf numFmtId="0" fontId="36" fillId="0" borderId="15" xfId="0" applyFont="1" applyFill="1" applyBorder="1" applyAlignment="1" applyProtection="1">
      <alignment horizontal="right"/>
    </xf>
    <xf numFmtId="0" fontId="36" fillId="0" borderId="13" xfId="0" applyFont="1" applyFill="1" applyBorder="1" applyProtection="1">
      <protection locked="0"/>
    </xf>
    <xf numFmtId="0" fontId="37" fillId="0" borderId="14" xfId="0" applyFont="1" applyFill="1" applyBorder="1" applyProtection="1"/>
    <xf numFmtId="0" fontId="36" fillId="0" borderId="15" xfId="0" applyFont="1" applyFill="1" applyBorder="1" applyProtection="1"/>
    <xf numFmtId="0" fontId="36" fillId="0" borderId="19" xfId="0" applyFont="1" applyFill="1" applyBorder="1" applyProtection="1"/>
    <xf numFmtId="0" fontId="36" fillId="0" borderId="19" xfId="0" applyFont="1" applyFill="1" applyBorder="1" applyAlignment="1" applyProtection="1">
      <alignment horizontal="right"/>
    </xf>
    <xf numFmtId="0" fontId="36" fillId="0" borderId="19" xfId="0" applyFont="1" applyFill="1" applyBorder="1" applyProtection="1">
      <protection locked="0"/>
    </xf>
    <xf numFmtId="0" fontId="36" fillId="0" borderId="14" xfId="0" applyFont="1" applyFill="1" applyBorder="1" applyProtection="1"/>
    <xf numFmtId="0" fontId="37" fillId="0" borderId="0" xfId="0" applyFont="1" applyProtection="1"/>
    <xf numFmtId="0" fontId="36" fillId="0" borderId="0" xfId="0" applyFont="1" applyFill="1" applyAlignment="1" applyProtection="1">
      <alignment horizontal="right"/>
    </xf>
    <xf numFmtId="0" fontId="36" fillId="0" borderId="16" xfId="0" applyFont="1" applyFill="1" applyBorder="1" applyProtection="1"/>
    <xf numFmtId="0" fontId="36" fillId="0" borderId="0" xfId="0" applyNumberFormat="1" applyFont="1" applyAlignment="1" applyProtection="1">
      <alignment horizontal="right"/>
    </xf>
    <xf numFmtId="0" fontId="36" fillId="0" borderId="0" xfId="0" applyFont="1" applyFill="1" applyBorder="1" applyAlignment="1" applyProtection="1">
      <alignment horizontal="right"/>
    </xf>
    <xf numFmtId="0" fontId="36" fillId="0" borderId="20" xfId="0" applyFont="1" applyBorder="1" applyAlignment="1" applyProtection="1">
      <alignment horizontal="right"/>
    </xf>
    <xf numFmtId="0" fontId="36" fillId="0" borderId="14" xfId="0" applyFont="1" applyBorder="1" applyAlignment="1" applyProtection="1">
      <alignment horizontal="right"/>
    </xf>
    <xf numFmtId="0" fontId="36" fillId="0" borderId="0" xfId="0" applyFont="1" applyBorder="1" applyAlignment="1" applyProtection="1">
      <alignment horizontal="right"/>
    </xf>
    <xf numFmtId="0" fontId="36" fillId="0" borderId="0" xfId="0" applyFont="1" applyBorder="1" applyAlignment="1" applyProtection="1">
      <alignment horizontal="center"/>
    </xf>
    <xf numFmtId="0" fontId="36" fillId="0" borderId="16" xfId="0" applyFont="1" applyBorder="1" applyAlignment="1" applyProtection="1">
      <alignment horizontal="right"/>
    </xf>
    <xf numFmtId="0" fontId="36" fillId="0" borderId="0" xfId="0" applyFont="1" applyFill="1" applyBorder="1" applyAlignment="1" applyProtection="1">
      <alignment horizontal="center"/>
    </xf>
    <xf numFmtId="0" fontId="37" fillId="0" borderId="0" xfId="0" applyFont="1" applyBorder="1" applyAlignment="1" applyProtection="1">
      <alignment horizontal="center"/>
    </xf>
    <xf numFmtId="0" fontId="36" fillId="0" borderId="19" xfId="0" applyFont="1" applyBorder="1" applyProtection="1"/>
    <xf numFmtId="166" fontId="36" fillId="0" borderId="0" xfId="0" applyNumberFormat="1" applyFont="1" applyProtection="1"/>
    <xf numFmtId="0" fontId="36" fillId="0" borderId="0" xfId="0" applyNumberFormat="1" applyFont="1" applyBorder="1" applyProtection="1"/>
    <xf numFmtId="0" fontId="36" fillId="0" borderId="18" xfId="0" applyFont="1" applyBorder="1" applyAlignment="1" applyProtection="1">
      <alignment horizontal="right"/>
    </xf>
    <xf numFmtId="0" fontId="36" fillId="0" borderId="20" xfId="0" applyFont="1" applyFill="1" applyBorder="1" applyAlignment="1" applyProtection="1">
      <alignment horizontal="right"/>
    </xf>
    <xf numFmtId="0" fontId="36" fillId="0" borderId="21" xfId="0" applyFont="1" applyFill="1" applyBorder="1" applyProtection="1"/>
    <xf numFmtId="0" fontId="36" fillId="0" borderId="18" xfId="0" applyFont="1" applyFill="1" applyBorder="1" applyAlignment="1" applyProtection="1">
      <alignment vertical="center"/>
    </xf>
    <xf numFmtId="169" fontId="36" fillId="0" borderId="0" xfId="0" applyNumberFormat="1" applyFont="1" applyAlignment="1" applyProtection="1">
      <alignment horizontal="left"/>
    </xf>
    <xf numFmtId="0" fontId="36" fillId="0" borderId="22" xfId="0" applyFont="1" applyFill="1" applyBorder="1" applyAlignment="1" applyProtection="1">
      <alignment vertical="center"/>
    </xf>
    <xf numFmtId="0" fontId="36" fillId="0" borderId="16" xfId="0" applyFont="1" applyBorder="1" applyAlignment="1" applyProtection="1">
      <alignment horizontal="center"/>
    </xf>
    <xf numFmtId="0" fontId="36" fillId="0" borderId="10" xfId="0" applyFont="1" applyFill="1" applyBorder="1" applyProtection="1"/>
    <xf numFmtId="0" fontId="36" fillId="0" borderId="20" xfId="0" applyFont="1" applyBorder="1" applyProtection="1"/>
    <xf numFmtId="0" fontId="36" fillId="0" borderId="10" xfId="0" applyFont="1" applyBorder="1" applyProtection="1"/>
    <xf numFmtId="0" fontId="36" fillId="0" borderId="18" xfId="0" applyFont="1" applyFill="1" applyBorder="1" applyProtection="1"/>
    <xf numFmtId="0" fontId="37" fillId="0" borderId="23" xfId="0" applyFont="1" applyBorder="1" applyProtection="1"/>
    <xf numFmtId="0" fontId="37" fillId="0" borderId="23" xfId="0" applyFont="1" applyBorder="1" applyAlignment="1" applyProtection="1">
      <alignment horizontal="right"/>
    </xf>
    <xf numFmtId="0" fontId="37" fillId="0" borderId="23" xfId="0" applyFont="1" applyBorder="1" applyAlignment="1" applyProtection="1">
      <alignment horizontal="center"/>
    </xf>
    <xf numFmtId="0" fontId="12" fillId="28" borderId="24" xfId="0" applyFont="1" applyFill="1" applyBorder="1" applyAlignment="1" applyProtection="1">
      <alignment horizontal="center"/>
    </xf>
    <xf numFmtId="0" fontId="36" fillId="28" borderId="23" xfId="0" applyFont="1" applyFill="1" applyBorder="1" applyAlignment="1" applyProtection="1">
      <alignment horizontal="center"/>
    </xf>
    <xf numFmtId="0" fontId="36" fillId="26" borderId="0" xfId="0" applyFont="1" applyFill="1" applyBorder="1" applyAlignment="1" applyProtection="1">
      <alignment horizontal="center"/>
    </xf>
    <xf numFmtId="0" fontId="36" fillId="28" borderId="0" xfId="0" applyFont="1" applyFill="1" applyBorder="1" applyAlignment="1" applyProtection="1">
      <alignment horizontal="center"/>
    </xf>
    <xf numFmtId="0" fontId="12" fillId="29" borderId="15" xfId="0" applyFont="1" applyFill="1" applyBorder="1" applyProtection="1"/>
    <xf numFmtId="0" fontId="36" fillId="29" borderId="15" xfId="0" applyFont="1" applyFill="1" applyBorder="1" applyProtection="1"/>
    <xf numFmtId="1" fontId="36" fillId="29" borderId="15" xfId="0" applyNumberFormat="1" applyFont="1" applyFill="1" applyBorder="1" applyAlignment="1" applyProtection="1">
      <alignment horizontal="left"/>
    </xf>
    <xf numFmtId="0" fontId="12" fillId="29" borderId="0" xfId="0" applyFont="1" applyFill="1" applyBorder="1" applyProtection="1"/>
    <xf numFmtId="0" fontId="12" fillId="29" borderId="19" xfId="0" applyFont="1" applyFill="1" applyBorder="1" applyProtection="1"/>
    <xf numFmtId="0" fontId="36" fillId="29" borderId="19" xfId="0" applyFont="1" applyFill="1" applyBorder="1" applyProtection="1"/>
    <xf numFmtId="1" fontId="36" fillId="29" borderId="19" xfId="0" applyNumberFormat="1" applyFont="1" applyFill="1" applyBorder="1" applyAlignment="1" applyProtection="1">
      <alignment horizontal="left"/>
    </xf>
    <xf numFmtId="1" fontId="36" fillId="29" borderId="12" xfId="0" applyNumberFormat="1" applyFont="1" applyFill="1" applyBorder="1" applyAlignment="1" applyProtection="1">
      <alignment horizontal="left"/>
    </xf>
    <xf numFmtId="1" fontId="36" fillId="0" borderId="0" xfId="0" applyNumberFormat="1" applyFont="1" applyFill="1" applyBorder="1" applyAlignment="1" applyProtection="1">
      <alignment horizontal="right"/>
    </xf>
    <xf numFmtId="1" fontId="36" fillId="0" borderId="0" xfId="0" applyNumberFormat="1" applyFont="1" applyFill="1" applyBorder="1" applyProtection="1"/>
    <xf numFmtId="0" fontId="12" fillId="0" borderId="0" xfId="0" applyNumberFormat="1" applyFont="1" applyProtection="1"/>
    <xf numFmtId="0" fontId="36" fillId="24" borderId="0" xfId="0" applyFont="1" applyFill="1" applyBorder="1" applyAlignment="1" applyProtection="1">
      <alignment horizontal="right"/>
    </xf>
    <xf numFmtId="0" fontId="36" fillId="24" borderId="0" xfId="0" applyFont="1" applyFill="1" applyBorder="1" applyProtection="1">
      <protection locked="0"/>
    </xf>
    <xf numFmtId="0" fontId="36" fillId="24" borderId="18" xfId="0" applyFont="1" applyFill="1" applyBorder="1" applyProtection="1"/>
    <xf numFmtId="0" fontId="36" fillId="24" borderId="19" xfId="0" applyFont="1" applyFill="1" applyBorder="1" applyProtection="1"/>
    <xf numFmtId="0" fontId="36" fillId="24" borderId="12" xfId="0" applyFont="1" applyFill="1" applyBorder="1" applyProtection="1"/>
    <xf numFmtId="0" fontId="48" fillId="28" borderId="14" xfId="0" applyFont="1" applyFill="1" applyBorder="1" applyAlignment="1" applyProtection="1">
      <alignment horizontal="left" vertical="center"/>
    </xf>
    <xf numFmtId="0" fontId="48" fillId="28" borderId="14" xfId="0" applyFont="1" applyFill="1" applyBorder="1" applyAlignment="1">
      <alignment horizontal="left" vertical="center"/>
    </xf>
    <xf numFmtId="0" fontId="48" fillId="26" borderId="14" xfId="0" applyFont="1" applyFill="1" applyBorder="1" applyAlignment="1">
      <alignment horizontal="left" vertical="center"/>
    </xf>
    <xf numFmtId="0" fontId="48" fillId="0" borderId="0" xfId="0" applyFont="1" applyFill="1" applyBorder="1" applyAlignment="1">
      <alignment horizontal="left" vertical="center"/>
    </xf>
    <xf numFmtId="0" fontId="48" fillId="0" borderId="0" xfId="0" applyFont="1" applyAlignment="1">
      <alignment horizontal="left" vertical="center"/>
    </xf>
    <xf numFmtId="0" fontId="48" fillId="27" borderId="14" xfId="0" applyFont="1" applyFill="1" applyBorder="1" applyAlignment="1">
      <alignment horizontal="center" vertical="center"/>
    </xf>
    <xf numFmtId="0" fontId="48" fillId="31" borderId="14" xfId="0" applyFont="1" applyFill="1" applyBorder="1" applyAlignment="1">
      <alignment horizontal="center" vertical="center"/>
    </xf>
    <xf numFmtId="0" fontId="48" fillId="29" borderId="14" xfId="0" applyFont="1" applyFill="1" applyBorder="1" applyAlignment="1">
      <alignment horizontal="center" vertical="center"/>
    </xf>
    <xf numFmtId="0" fontId="48" fillId="26" borderId="14" xfId="0" applyFont="1" applyFill="1" applyBorder="1" applyAlignment="1" applyProtection="1">
      <alignment horizontal="left" vertical="center"/>
    </xf>
    <xf numFmtId="0" fontId="48" fillId="24" borderId="14" xfId="0" applyFont="1" applyFill="1" applyBorder="1" applyAlignment="1" applyProtection="1">
      <alignment horizontal="left" vertical="center"/>
    </xf>
    <xf numFmtId="0" fontId="48" fillId="29" borderId="15" xfId="0" quotePrefix="1" applyFont="1" applyFill="1" applyBorder="1" applyAlignment="1" applyProtection="1">
      <alignment horizontal="right" vertical="center"/>
    </xf>
    <xf numFmtId="0" fontId="36" fillId="24" borderId="19" xfId="0" applyFont="1" applyFill="1" applyBorder="1" applyAlignment="1" applyProtection="1">
      <alignment horizontal="right"/>
    </xf>
    <xf numFmtId="1" fontId="36" fillId="29" borderId="15" xfId="0" applyNumberFormat="1" applyFont="1" applyFill="1" applyBorder="1" applyProtection="1"/>
    <xf numFmtId="0" fontId="36" fillId="29" borderId="14" xfId="0" applyFont="1" applyFill="1" applyBorder="1" applyProtection="1"/>
    <xf numFmtId="1" fontId="36" fillId="29" borderId="13" xfId="0" applyNumberFormat="1" applyFont="1" applyFill="1" applyBorder="1" applyAlignment="1" applyProtection="1">
      <alignment horizontal="left"/>
    </xf>
    <xf numFmtId="0" fontId="36" fillId="29" borderId="16" xfId="0" applyFont="1" applyFill="1" applyBorder="1" applyProtection="1"/>
    <xf numFmtId="0" fontId="12" fillId="29" borderId="18" xfId="0" applyFont="1" applyFill="1" applyBorder="1" applyProtection="1"/>
    <xf numFmtId="0" fontId="36" fillId="26" borderId="18" xfId="0" applyFont="1" applyFill="1" applyBorder="1" applyProtection="1"/>
    <xf numFmtId="0" fontId="36" fillId="26" borderId="19" xfId="0" applyFont="1" applyFill="1" applyBorder="1" applyProtection="1"/>
    <xf numFmtId="0" fontId="36" fillId="26" borderId="12" xfId="0" applyFont="1" applyFill="1" applyBorder="1" applyProtection="1"/>
    <xf numFmtId="0" fontId="48" fillId="29" borderId="0" xfId="0" quotePrefix="1" applyFont="1" applyFill="1" applyBorder="1" applyAlignment="1" applyProtection="1">
      <alignment horizontal="right" vertical="center"/>
    </xf>
    <xf numFmtId="0" fontId="12" fillId="0" borderId="11" xfId="0" applyFont="1" applyFill="1" applyBorder="1" applyProtection="1"/>
    <xf numFmtId="1" fontId="3" fillId="29" borderId="15" xfId="0" applyNumberFormat="1" applyFont="1" applyFill="1" applyBorder="1" applyProtection="1"/>
    <xf numFmtId="0" fontId="3" fillId="29" borderId="14" xfId="0" applyFont="1" applyFill="1" applyBorder="1" applyProtection="1"/>
    <xf numFmtId="1" fontId="3" fillId="29" borderId="13" xfId="0" applyNumberFormat="1" applyFont="1" applyFill="1" applyBorder="1" applyAlignment="1" applyProtection="1">
      <alignment horizontal="left"/>
    </xf>
    <xf numFmtId="0" fontId="0" fillId="29" borderId="18" xfId="0" applyFill="1" applyBorder="1" applyProtection="1"/>
    <xf numFmtId="172" fontId="3" fillId="0" borderId="0" xfId="0" applyNumberFormat="1" applyFont="1" applyProtection="1"/>
    <xf numFmtId="172" fontId="36" fillId="0" borderId="0" xfId="0" applyNumberFormat="1" applyFont="1" applyProtection="1"/>
    <xf numFmtId="0" fontId="36" fillId="24" borderId="19" xfId="0" applyFont="1" applyFill="1" applyBorder="1" applyProtection="1">
      <protection locked="0"/>
    </xf>
    <xf numFmtId="0" fontId="3" fillId="0" borderId="0" xfId="0" applyFont="1" applyFill="1" applyProtection="1">
      <protection locked="0"/>
    </xf>
    <xf numFmtId="0" fontId="0" fillId="0" borderId="0" xfId="0" applyProtection="1">
      <protection locked="0"/>
    </xf>
    <xf numFmtId="0" fontId="12" fillId="0" borderId="22" xfId="0" applyFont="1" applyBorder="1" applyProtection="1">
      <protection locked="0"/>
    </xf>
    <xf numFmtId="0" fontId="12" fillId="0" borderId="24" xfId="0" applyFont="1" applyBorder="1" applyProtection="1">
      <protection locked="0"/>
    </xf>
    <xf numFmtId="0" fontId="66" fillId="24" borderId="16" xfId="0" applyFont="1" applyFill="1" applyBorder="1" applyProtection="1">
      <protection locked="0"/>
    </xf>
    <xf numFmtId="0" fontId="12" fillId="24" borderId="18" xfId="0" applyFont="1" applyFill="1" applyBorder="1"/>
    <xf numFmtId="0" fontId="48" fillId="24" borderId="14" xfId="0" applyFont="1" applyFill="1" applyBorder="1" applyAlignment="1">
      <alignment horizontal="center" vertical="center"/>
    </xf>
    <xf numFmtId="0" fontId="36" fillId="24" borderId="15" xfId="0" applyFont="1" applyFill="1" applyBorder="1" applyAlignment="1" applyProtection="1">
      <alignment horizontal="center"/>
    </xf>
    <xf numFmtId="0" fontId="36" fillId="24" borderId="13" xfId="0" applyFont="1" applyFill="1" applyBorder="1" applyAlignment="1" applyProtection="1">
      <alignment horizontal="center"/>
    </xf>
    <xf numFmtId="0" fontId="12" fillId="24" borderId="17" xfId="0" applyFont="1" applyFill="1" applyBorder="1" applyProtection="1"/>
    <xf numFmtId="0" fontId="12" fillId="24" borderId="12" xfId="0" applyFont="1" applyFill="1" applyBorder="1" applyProtection="1"/>
    <xf numFmtId="0" fontId="12" fillId="24" borderId="19" xfId="0" applyFont="1" applyFill="1" applyBorder="1" applyProtection="1"/>
    <xf numFmtId="0" fontId="12" fillId="0" borderId="37" xfId="0" applyFont="1" applyBorder="1" applyProtection="1">
      <protection locked="0"/>
    </xf>
    <xf numFmtId="0" fontId="3" fillId="29" borderId="0" xfId="0" applyFont="1" applyFill="1" applyProtection="1"/>
    <xf numFmtId="0" fontId="8" fillId="28" borderId="17" xfId="0" applyFont="1" applyFill="1" applyBorder="1" applyAlignment="1">
      <alignment horizontal="left"/>
    </xf>
    <xf numFmtId="0" fontId="67" fillId="0" borderId="0" xfId="0" applyFont="1" applyAlignment="1">
      <alignment vertical="center"/>
    </xf>
    <xf numFmtId="0" fontId="36" fillId="24" borderId="23" xfId="0" applyFont="1" applyFill="1" applyBorder="1"/>
    <xf numFmtId="0" fontId="36" fillId="0" borderId="23" xfId="0" applyFont="1" applyBorder="1"/>
    <xf numFmtId="0" fontId="36" fillId="0" borderId="23" xfId="0" applyFont="1" applyBorder="1" applyAlignment="1">
      <alignment horizontal="right"/>
    </xf>
    <xf numFmtId="0" fontId="68" fillId="0" borderId="0" xfId="0" applyFont="1"/>
    <xf numFmtId="0" fontId="36" fillId="0" borderId="0" xfId="0" applyFont="1" applyAlignment="1">
      <alignment horizontal="left" vertical="center"/>
    </xf>
    <xf numFmtId="0" fontId="47" fillId="0" borderId="0" xfId="0" applyFont="1" applyAlignment="1">
      <alignment horizontal="right"/>
    </xf>
    <xf numFmtId="0" fontId="36" fillId="0" borderId="0" xfId="0" applyFont="1" applyFill="1" applyBorder="1" applyAlignment="1" applyProtection="1">
      <alignment vertical="center"/>
    </xf>
    <xf numFmtId="0" fontId="36" fillId="0" borderId="0" xfId="0" applyFont="1" applyAlignment="1" applyProtection="1">
      <alignment horizontal="center"/>
      <protection locked="0"/>
    </xf>
    <xf numFmtId="0" fontId="37" fillId="24" borderId="15" xfId="0" applyFont="1" applyFill="1" applyBorder="1" applyAlignment="1">
      <alignment horizontal="left"/>
    </xf>
    <xf numFmtId="0" fontId="36" fillId="24" borderId="15" xfId="0" applyFont="1" applyFill="1" applyBorder="1" applyAlignment="1">
      <alignment horizontal="right"/>
    </xf>
    <xf numFmtId="0" fontId="36" fillId="24" borderId="0" xfId="0" applyFont="1" applyFill="1" applyBorder="1" applyAlignment="1" applyProtection="1">
      <alignment vertical="center"/>
    </xf>
    <xf numFmtId="0" fontId="37" fillId="0" borderId="0" xfId="0" applyFont="1" applyBorder="1"/>
    <xf numFmtId="0" fontId="36" fillId="24" borderId="0" xfId="0" applyFont="1" applyFill="1" applyBorder="1" applyAlignment="1">
      <alignment horizontal="left"/>
    </xf>
    <xf numFmtId="0" fontId="36" fillId="24" borderId="0" xfId="0" applyFont="1" applyFill="1" applyBorder="1" applyAlignment="1">
      <alignment horizontal="right"/>
    </xf>
    <xf numFmtId="0" fontId="36" fillId="0" borderId="0" xfId="0" applyNumberFormat="1" applyFont="1" applyAlignment="1">
      <alignment horizontal="right"/>
    </xf>
    <xf numFmtId="0" fontId="36" fillId="0" borderId="0" xfId="0" applyFont="1" applyBorder="1" applyAlignment="1"/>
    <xf numFmtId="0" fontId="8" fillId="24" borderId="0" xfId="0" applyFont="1" applyFill="1" applyBorder="1" applyAlignment="1">
      <alignment horizontal="center"/>
    </xf>
    <xf numFmtId="1" fontId="36" fillId="0" borderId="0" xfId="0" applyNumberFormat="1" applyFont="1"/>
    <xf numFmtId="0" fontId="36" fillId="24" borderId="18" xfId="0" applyFont="1" applyFill="1" applyBorder="1"/>
    <xf numFmtId="1" fontId="36" fillId="0" borderId="24" xfId="0" applyNumberFormat="1" applyFont="1" applyBorder="1" applyAlignment="1" applyProtection="1">
      <alignment horizontal="left"/>
      <protection locked="0"/>
    </xf>
    <xf numFmtId="0" fontId="8" fillId="0" borderId="0" xfId="0" applyFont="1" applyFill="1" applyBorder="1" applyAlignment="1">
      <alignment horizontal="right"/>
    </xf>
    <xf numFmtId="0" fontId="37" fillId="0" borderId="0" xfId="0" applyFont="1" applyBorder="1" applyAlignment="1">
      <alignment horizontal="left"/>
    </xf>
    <xf numFmtId="0" fontId="37" fillId="0" borderId="0" xfId="0" applyFont="1" applyBorder="1" applyAlignment="1">
      <alignment horizontal="center"/>
    </xf>
    <xf numFmtId="0" fontId="36" fillId="28" borderId="17" xfId="0" applyFont="1" applyFill="1" applyBorder="1"/>
    <xf numFmtId="0" fontId="36" fillId="0" borderId="0" xfId="0" applyNumberFormat="1" applyFont="1" applyProtection="1">
      <protection locked="0"/>
    </xf>
    <xf numFmtId="0" fontId="36" fillId="31" borderId="15" xfId="0" applyFont="1" applyFill="1" applyBorder="1"/>
    <xf numFmtId="0" fontId="36" fillId="31" borderId="15" xfId="0" applyFont="1" applyFill="1" applyBorder="1" applyAlignment="1">
      <alignment horizontal="right"/>
    </xf>
    <xf numFmtId="0" fontId="36" fillId="31" borderId="0" xfId="0" applyFont="1" applyFill="1" applyBorder="1" applyAlignment="1"/>
    <xf numFmtId="0" fontId="8" fillId="31" borderId="16" xfId="0" applyFont="1" applyFill="1" applyBorder="1" applyAlignment="1">
      <alignment horizontal="left"/>
    </xf>
    <xf numFmtId="0" fontId="8" fillId="31" borderId="0" xfId="0" applyFont="1" applyFill="1" applyBorder="1" applyAlignment="1">
      <alignment vertical="top"/>
    </xf>
    <xf numFmtId="0" fontId="36" fillId="0" borderId="38" xfId="0" applyFont="1" applyFill="1" applyBorder="1"/>
    <xf numFmtId="0" fontId="36" fillId="0" borderId="14" xfId="0" applyFont="1" applyBorder="1" applyAlignment="1">
      <alignment horizontal="left"/>
    </xf>
    <xf numFmtId="0" fontId="36" fillId="0" borderId="39" xfId="0" applyFont="1" applyFill="1" applyBorder="1"/>
    <xf numFmtId="0" fontId="36" fillId="0" borderId="0" xfId="0" applyFont="1" applyAlignment="1" applyProtection="1">
      <alignment horizontal="right" vertical="center"/>
      <protection locked="0"/>
    </xf>
    <xf numFmtId="0" fontId="37" fillId="0" borderId="0" xfId="0" applyNumberFormat="1" applyFont="1" applyAlignment="1">
      <alignment horizontal="left"/>
    </xf>
    <xf numFmtId="0" fontId="37" fillId="24" borderId="16" xfId="0" applyFont="1" applyFill="1" applyBorder="1" applyAlignment="1">
      <alignment horizontal="left"/>
    </xf>
    <xf numFmtId="0" fontId="36" fillId="24" borderId="0" xfId="0" applyFont="1" applyFill="1" applyBorder="1" applyAlignment="1"/>
    <xf numFmtId="0" fontId="9" fillId="24" borderId="0" xfId="0" applyFont="1" applyFill="1" applyBorder="1" applyAlignment="1">
      <alignment horizontal="right"/>
    </xf>
    <xf numFmtId="0" fontId="36" fillId="0" borderId="11" xfId="0" applyFont="1" applyFill="1" applyBorder="1" applyAlignment="1" applyProtection="1">
      <protection locked="0"/>
    </xf>
    <xf numFmtId="0" fontId="47" fillId="0" borderId="0" xfId="0" applyNumberFormat="1" applyFont="1" applyAlignment="1">
      <alignment horizontal="right"/>
    </xf>
    <xf numFmtId="0" fontId="36" fillId="30" borderId="15" xfId="0" applyFont="1" applyFill="1" applyBorder="1"/>
    <xf numFmtId="0" fontId="36" fillId="30" borderId="16" xfId="0" applyFont="1" applyFill="1" applyBorder="1"/>
    <xf numFmtId="0" fontId="36" fillId="30" borderId="0" xfId="0" applyFont="1" applyFill="1" applyBorder="1"/>
    <xf numFmtId="0" fontId="36" fillId="30" borderId="0" xfId="0" applyFont="1" applyFill="1"/>
    <xf numFmtId="0" fontId="36" fillId="30" borderId="0" xfId="0" applyFont="1" applyFill="1" applyBorder="1" applyAlignment="1">
      <alignment horizontal="left"/>
    </xf>
    <xf numFmtId="0" fontId="37" fillId="30" borderId="0" xfId="0" applyFont="1" applyFill="1" applyBorder="1" applyAlignment="1"/>
    <xf numFmtId="0" fontId="36" fillId="30" borderId="0" xfId="0" applyFont="1" applyFill="1" applyBorder="1" applyAlignment="1">
      <alignment horizontal="right"/>
    </xf>
    <xf numFmtId="0" fontId="36" fillId="0" borderId="0" xfId="0" applyFont="1" applyFill="1" applyBorder="1" applyAlignment="1">
      <alignment vertical="center"/>
    </xf>
    <xf numFmtId="0" fontId="36" fillId="30" borderId="18" xfId="0" applyFont="1" applyFill="1" applyBorder="1"/>
    <xf numFmtId="0" fontId="36" fillId="30" borderId="19" xfId="0" applyFont="1" applyFill="1" applyBorder="1"/>
    <xf numFmtId="1" fontId="36" fillId="0" borderId="0" xfId="0" applyNumberFormat="1" applyFont="1" applyFill="1" applyBorder="1"/>
    <xf numFmtId="0" fontId="37" fillId="0" borderId="0" xfId="0" applyFont="1" applyBorder="1" applyAlignment="1">
      <alignment horizontal="right"/>
    </xf>
    <xf numFmtId="0" fontId="36" fillId="0" borderId="19" xfId="0" applyFont="1" applyBorder="1" applyAlignment="1">
      <alignment horizontal="center"/>
    </xf>
    <xf numFmtId="0" fontId="37" fillId="0" borderId="23" xfId="0" applyFont="1" applyBorder="1"/>
    <xf numFmtId="0" fontId="36" fillId="0" borderId="24" xfId="0" applyFont="1" applyBorder="1" applyAlignment="1">
      <alignment horizontal="center"/>
    </xf>
    <xf numFmtId="0" fontId="37" fillId="0" borderId="23" xfId="0" applyFont="1" applyBorder="1" applyAlignment="1">
      <alignment horizontal="right"/>
    </xf>
    <xf numFmtId="0" fontId="36" fillId="0" borderId="0" xfId="0" applyFont="1" applyBorder="1" applyAlignment="1" applyProtection="1">
      <alignment horizontal="right"/>
      <protection locked="0"/>
    </xf>
    <xf numFmtId="0" fontId="36" fillId="24" borderId="23" xfId="0" applyFont="1" applyFill="1" applyBorder="1" applyAlignment="1">
      <alignment horizontal="right"/>
    </xf>
    <xf numFmtId="0" fontId="36" fillId="0" borderId="23" xfId="0" applyFont="1" applyBorder="1" applyAlignment="1">
      <alignment horizontal="center"/>
    </xf>
    <xf numFmtId="0" fontId="36" fillId="24" borderId="0" xfId="0" applyNumberFormat="1" applyFont="1" applyFill="1"/>
    <xf numFmtId="1" fontId="36" fillId="0" borderId="0" xfId="0" applyNumberFormat="1" applyFont="1" applyBorder="1" applyAlignment="1">
      <alignment horizontal="right"/>
    </xf>
    <xf numFmtId="1" fontId="36" fillId="0" borderId="23" xfId="0" applyNumberFormat="1" applyFont="1" applyBorder="1"/>
    <xf numFmtId="0" fontId="36" fillId="0" borderId="0" xfId="0" applyNumberFormat="1" applyFont="1"/>
    <xf numFmtId="0" fontId="55" fillId="24" borderId="0" xfId="0" applyFont="1" applyFill="1" applyBorder="1" applyAlignment="1">
      <alignment horizontal="right"/>
    </xf>
    <xf numFmtId="0" fontId="36" fillId="0" borderId="11" xfId="0" applyFont="1" applyBorder="1" applyAlignment="1">
      <alignment horizontal="left"/>
    </xf>
    <xf numFmtId="0" fontId="36" fillId="0" borderId="11" xfId="0" applyFont="1" applyFill="1" applyBorder="1" applyAlignment="1" applyProtection="1">
      <alignment vertical="center"/>
      <protection locked="0"/>
    </xf>
    <xf numFmtId="0" fontId="36" fillId="0" borderId="0" xfId="0" applyFont="1" applyFill="1" applyBorder="1" applyAlignment="1"/>
    <xf numFmtId="0" fontId="36" fillId="31" borderId="17" xfId="0" applyFont="1" applyFill="1" applyBorder="1" applyAlignment="1"/>
    <xf numFmtId="0" fontId="36" fillId="31" borderId="13" xfId="0" applyFont="1" applyFill="1" applyBorder="1"/>
    <xf numFmtId="0" fontId="9" fillId="31" borderId="16" xfId="0" applyFont="1" applyFill="1" applyBorder="1" applyAlignment="1">
      <alignment horizontal="center"/>
    </xf>
    <xf numFmtId="0" fontId="36" fillId="27" borderId="0" xfId="0" applyFont="1" applyFill="1" applyBorder="1" applyAlignment="1">
      <alignment horizontal="right"/>
    </xf>
    <xf numFmtId="0" fontId="36" fillId="27" borderId="0" xfId="0" applyFont="1" applyFill="1"/>
    <xf numFmtId="0" fontId="36" fillId="27" borderId="0" xfId="0" applyFont="1" applyFill="1" applyBorder="1" applyAlignment="1">
      <alignment horizontal="left"/>
    </xf>
    <xf numFmtId="165" fontId="36" fillId="0" borderId="0" xfId="0" applyNumberFormat="1" applyFont="1" applyFill="1" applyBorder="1" applyAlignment="1">
      <alignment horizontal="right"/>
    </xf>
    <xf numFmtId="0" fontId="8" fillId="24" borderId="15" xfId="0" applyFont="1" applyFill="1" applyBorder="1"/>
    <xf numFmtId="0" fontId="36" fillId="31" borderId="0" xfId="0" applyFont="1" applyFill="1"/>
    <xf numFmtId="0" fontId="36" fillId="27" borderId="0" xfId="0" applyFont="1" applyFill="1" applyBorder="1" applyAlignment="1">
      <alignment vertical="center"/>
    </xf>
    <xf numFmtId="0" fontId="37" fillId="31" borderId="15" xfId="0" applyFont="1" applyFill="1" applyBorder="1" applyAlignment="1">
      <alignment horizontal="left"/>
    </xf>
    <xf numFmtId="0" fontId="36" fillId="28" borderId="19" xfId="0" applyFont="1" applyFill="1" applyBorder="1" applyAlignment="1">
      <alignment horizontal="right"/>
    </xf>
    <xf numFmtId="165" fontId="36" fillId="0" borderId="19" xfId="0" applyNumberFormat="1" applyFont="1" applyFill="1" applyBorder="1" applyAlignment="1">
      <alignment horizontal="right"/>
    </xf>
    <xf numFmtId="0" fontId="36" fillId="28" borderId="12" xfId="0" applyFont="1" applyFill="1" applyBorder="1"/>
    <xf numFmtId="0" fontId="37" fillId="28" borderId="0" xfId="0" applyFont="1" applyFill="1" applyBorder="1" applyAlignment="1">
      <alignment horizontal="left"/>
    </xf>
    <xf numFmtId="0" fontId="37" fillId="30" borderId="15" xfId="0" applyFont="1" applyFill="1" applyBorder="1"/>
    <xf numFmtId="0" fontId="8" fillId="30" borderId="15" xfId="0" applyFont="1" applyFill="1" applyBorder="1" applyAlignment="1">
      <alignment horizontal="left"/>
    </xf>
    <xf numFmtId="0" fontId="8" fillId="30" borderId="13" xfId="0" applyFont="1" applyFill="1" applyBorder="1" applyAlignment="1">
      <alignment horizontal="left"/>
    </xf>
    <xf numFmtId="0" fontId="36" fillId="30" borderId="17" xfId="0" applyFont="1" applyFill="1" applyBorder="1"/>
    <xf numFmtId="0" fontId="36" fillId="30" borderId="19" xfId="0" applyFont="1" applyFill="1" applyBorder="1" applyAlignment="1"/>
    <xf numFmtId="0" fontId="36" fillId="30" borderId="12" xfId="0" applyFont="1" applyFill="1" applyBorder="1"/>
    <xf numFmtId="0" fontId="36" fillId="27" borderId="0" xfId="0" applyFont="1" applyFill="1" applyBorder="1" applyAlignment="1"/>
    <xf numFmtId="0" fontId="8" fillId="24" borderId="16" xfId="0" applyFont="1" applyFill="1" applyBorder="1" applyAlignment="1">
      <alignment horizontal="left"/>
    </xf>
    <xf numFmtId="0" fontId="37" fillId="24" borderId="0" xfId="0" applyFont="1" applyFill="1" applyBorder="1" applyAlignment="1">
      <alignment horizontal="left"/>
    </xf>
    <xf numFmtId="0" fontId="36" fillId="27" borderId="13" xfId="0" applyFont="1" applyFill="1" applyBorder="1"/>
    <xf numFmtId="0" fontId="36" fillId="27" borderId="19" xfId="0" applyFont="1" applyFill="1" applyBorder="1" applyAlignment="1">
      <alignment horizontal="left"/>
    </xf>
    <xf numFmtId="0" fontId="8" fillId="24" borderId="12" xfId="0" applyFont="1" applyFill="1" applyBorder="1"/>
    <xf numFmtId="0" fontId="8" fillId="24" borderId="14" xfId="0" applyFont="1" applyFill="1" applyBorder="1" applyAlignment="1">
      <alignment horizontal="center"/>
    </xf>
    <xf numFmtId="0" fontId="8" fillId="0" borderId="0" xfId="0" applyFont="1" applyAlignment="1">
      <alignment horizontal="center"/>
    </xf>
    <xf numFmtId="0" fontId="8" fillId="31" borderId="14" xfId="0" applyFont="1" applyFill="1" applyBorder="1" applyAlignment="1">
      <alignment horizontal="center"/>
    </xf>
    <xf numFmtId="0" fontId="8" fillId="27" borderId="14" xfId="0" applyFont="1" applyFill="1" applyBorder="1" applyAlignment="1">
      <alignment horizontal="center"/>
    </xf>
    <xf numFmtId="0" fontId="8" fillId="24" borderId="16" xfId="0" applyFont="1" applyFill="1" applyBorder="1" applyAlignment="1">
      <alignment horizontal="center"/>
    </xf>
    <xf numFmtId="0" fontId="8" fillId="30" borderId="14" xfId="0" applyFont="1" applyFill="1" applyBorder="1" applyAlignment="1">
      <alignment horizontal="center"/>
    </xf>
    <xf numFmtId="0" fontId="8" fillId="28" borderId="16" xfId="0" applyFont="1" applyFill="1" applyBorder="1" applyAlignment="1">
      <alignment horizontal="center"/>
    </xf>
    <xf numFmtId="0" fontId="36" fillId="24" borderId="17" xfId="0" applyFont="1" applyFill="1" applyBorder="1" applyAlignment="1"/>
    <xf numFmtId="1" fontId="36" fillId="0" borderId="16" xfId="0" applyNumberFormat="1" applyFont="1" applyFill="1" applyBorder="1" applyAlignment="1">
      <alignment horizontal="right"/>
    </xf>
    <xf numFmtId="0" fontId="36" fillId="0" borderId="22" xfId="0" applyFont="1" applyBorder="1" applyAlignment="1">
      <alignment horizontal="center"/>
    </xf>
    <xf numFmtId="0" fontId="36" fillId="0" borderId="24" xfId="0" applyFont="1" applyBorder="1"/>
    <xf numFmtId="0" fontId="36" fillId="0" borderId="0" xfId="0" quotePrefix="1" applyFont="1" applyAlignment="1">
      <alignment horizontal="center"/>
    </xf>
    <xf numFmtId="1" fontId="36" fillId="0" borderId="0" xfId="0" applyNumberFormat="1" applyFont="1" applyProtection="1">
      <protection locked="0"/>
    </xf>
    <xf numFmtId="0" fontId="11" fillId="0" borderId="0" xfId="0" applyFont="1"/>
    <xf numFmtId="0" fontId="40" fillId="24" borderId="0" xfId="0" applyFont="1" applyFill="1" applyBorder="1"/>
    <xf numFmtId="0" fontId="11" fillId="24" borderId="0" xfId="0" applyFont="1" applyFill="1" applyBorder="1"/>
    <xf numFmtId="49" fontId="8" fillId="0" borderId="0" xfId="0" applyNumberFormat="1" applyFont="1" applyAlignment="1">
      <alignment horizontal="right"/>
    </xf>
    <xf numFmtId="0" fontId="8" fillId="24" borderId="16" xfId="0" quotePrefix="1" applyFont="1" applyFill="1" applyBorder="1" applyAlignment="1" applyProtection="1">
      <alignment horizontal="right"/>
    </xf>
    <xf numFmtId="0" fontId="37" fillId="24" borderId="0" xfId="0" applyFont="1" applyFill="1" applyBorder="1"/>
    <xf numFmtId="0" fontId="36" fillId="0" borderId="20" xfId="0" applyFont="1" applyFill="1" applyBorder="1" applyAlignment="1" applyProtection="1">
      <alignment horizontal="left" vertical="center"/>
      <protection locked="0"/>
    </xf>
    <xf numFmtId="0" fontId="36" fillId="0" borderId="10" xfId="0" applyFont="1" applyFill="1" applyBorder="1" applyAlignment="1" applyProtection="1">
      <alignment vertical="center"/>
    </xf>
    <xf numFmtId="0" fontId="36" fillId="24" borderId="22" xfId="0" applyFont="1" applyFill="1" applyBorder="1"/>
    <xf numFmtId="0" fontId="8" fillId="31" borderId="15" xfId="0" applyFont="1" applyFill="1" applyBorder="1" applyAlignment="1">
      <alignment horizontal="center"/>
    </xf>
    <xf numFmtId="0" fontId="36" fillId="24" borderId="25" xfId="0" applyFont="1" applyFill="1" applyBorder="1"/>
    <xf numFmtId="49" fontId="36" fillId="24" borderId="0" xfId="0" applyNumberFormat="1" applyFont="1" applyFill="1" applyBorder="1" applyAlignment="1">
      <alignment horizontal="right"/>
    </xf>
    <xf numFmtId="0" fontId="36" fillId="0" borderId="21" xfId="0" applyFont="1" applyFill="1" applyBorder="1" applyAlignment="1" applyProtection="1">
      <alignment vertical="center"/>
    </xf>
    <xf numFmtId="0" fontId="12" fillId="31" borderId="0" xfId="0" applyFont="1" applyFill="1" applyBorder="1"/>
    <xf numFmtId="0" fontId="8" fillId="24" borderId="17" xfId="0" applyFont="1" applyFill="1" applyBorder="1" applyAlignment="1">
      <alignment horizontal="center"/>
    </xf>
    <xf numFmtId="0" fontId="38" fillId="24" borderId="11" xfId="0" applyFont="1" applyFill="1" applyBorder="1" applyAlignment="1">
      <alignment horizontal="center"/>
    </xf>
    <xf numFmtId="0" fontId="8" fillId="24" borderId="16" xfId="0" applyFont="1" applyFill="1" applyBorder="1" applyAlignment="1" applyProtection="1">
      <alignment horizontal="left"/>
    </xf>
    <xf numFmtId="0" fontId="36" fillId="24" borderId="17" xfId="0" applyFont="1" applyFill="1" applyBorder="1" applyAlignment="1">
      <alignment horizontal="center"/>
    </xf>
    <xf numFmtId="0" fontId="12" fillId="0" borderId="0" xfId="0" applyFont="1" applyFill="1" applyBorder="1" applyAlignment="1" applyProtection="1">
      <alignment horizontal="center"/>
      <protection locked="0"/>
    </xf>
    <xf numFmtId="0" fontId="8" fillId="24" borderId="25" xfId="0" applyFont="1" applyFill="1" applyBorder="1" applyAlignment="1">
      <alignment horizontal="center"/>
    </xf>
    <xf numFmtId="0" fontId="9" fillId="0" borderId="0" xfId="0" applyFont="1" applyAlignment="1">
      <alignment horizontal="right"/>
    </xf>
    <xf numFmtId="0" fontId="41" fillId="0" borderId="20" xfId="0" applyFont="1" applyFill="1" applyBorder="1" applyAlignment="1" applyProtection="1">
      <alignment horizontal="left"/>
      <protection locked="0"/>
    </xf>
    <xf numFmtId="0" fontId="41" fillId="0" borderId="10" xfId="0" applyFont="1" applyFill="1" applyBorder="1" applyAlignment="1" applyProtection="1"/>
    <xf numFmtId="0" fontId="8" fillId="28" borderId="15" xfId="0" applyFont="1" applyFill="1" applyBorder="1" applyAlignment="1">
      <alignment horizontal="center"/>
    </xf>
    <xf numFmtId="0" fontId="39" fillId="28" borderId="15" xfId="0" applyFont="1" applyFill="1" applyBorder="1" applyAlignment="1">
      <alignment horizontal="left" vertical="center"/>
    </xf>
    <xf numFmtId="0" fontId="37" fillId="28" borderId="15" xfId="0" applyFont="1" applyFill="1" applyBorder="1" applyAlignment="1">
      <alignment vertical="center"/>
    </xf>
    <xf numFmtId="0" fontId="37" fillId="28" borderId="13" xfId="0" applyFont="1" applyFill="1" applyBorder="1" applyAlignment="1">
      <alignment vertical="center"/>
    </xf>
    <xf numFmtId="49" fontId="8" fillId="27" borderId="14" xfId="0" applyNumberFormat="1" applyFont="1" applyFill="1" applyBorder="1" applyAlignment="1">
      <alignment horizontal="center" vertical="center"/>
    </xf>
    <xf numFmtId="0" fontId="36" fillId="28" borderId="13" xfId="0" applyFont="1" applyFill="1" applyBorder="1"/>
    <xf numFmtId="0" fontId="41" fillId="0" borderId="24" xfId="0" applyNumberFormat="1" applyFont="1" applyFill="1" applyBorder="1" applyAlignment="1" applyProtection="1">
      <alignment horizontal="right" vertical="center"/>
      <protection locked="0"/>
    </xf>
    <xf numFmtId="0" fontId="3" fillId="24" borderId="0" xfId="0" applyNumberFormat="1" applyFont="1" applyFill="1" applyBorder="1" applyAlignment="1">
      <alignment vertical="center"/>
    </xf>
    <xf numFmtId="0" fontId="41" fillId="0" borderId="24" xfId="0" applyNumberFormat="1" applyFont="1" applyFill="1" applyBorder="1" applyAlignment="1" applyProtection="1">
      <alignment vertical="center"/>
      <protection locked="0"/>
    </xf>
    <xf numFmtId="0" fontId="36" fillId="24" borderId="16" xfId="0" applyFont="1" applyFill="1" applyBorder="1" applyAlignment="1" applyProtection="1"/>
    <xf numFmtId="0" fontId="36" fillId="24" borderId="17" xfId="0" applyFont="1" applyFill="1" applyBorder="1" applyAlignment="1" applyProtection="1"/>
    <xf numFmtId="0" fontId="9" fillId="28" borderId="0" xfId="0" applyFont="1" applyFill="1" applyBorder="1" applyAlignment="1">
      <alignment horizontal="right" vertical="center"/>
    </xf>
    <xf numFmtId="0" fontId="36" fillId="28" borderId="0" xfId="0" applyFont="1" applyFill="1" applyBorder="1" applyProtection="1">
      <protection locked="0"/>
    </xf>
    <xf numFmtId="0" fontId="3" fillId="24" borderId="16" xfId="0" applyFont="1" applyFill="1" applyBorder="1" applyAlignment="1">
      <alignment horizontal="right"/>
    </xf>
    <xf numFmtId="0" fontId="41" fillId="0" borderId="11" xfId="0" applyNumberFormat="1" applyFont="1" applyFill="1" applyBorder="1" applyAlignment="1" applyProtection="1">
      <alignment horizontal="right" vertical="center"/>
      <protection locked="0"/>
    </xf>
    <xf numFmtId="0" fontId="41" fillId="24" borderId="0" xfId="0" applyNumberFormat="1" applyFont="1" applyFill="1" applyBorder="1" applyAlignment="1" applyProtection="1">
      <alignment horizontal="right" vertical="center"/>
    </xf>
    <xf numFmtId="0" fontId="41" fillId="0" borderId="11" xfId="0" applyNumberFormat="1" applyFont="1" applyFill="1" applyBorder="1" applyAlignment="1" applyProtection="1">
      <alignment vertical="center"/>
      <protection locked="0"/>
    </xf>
    <xf numFmtId="0" fontId="8" fillId="28" borderId="0" xfId="0" applyFont="1" applyFill="1" applyBorder="1" applyAlignment="1">
      <alignment horizontal="right"/>
    </xf>
    <xf numFmtId="0" fontId="36" fillId="27" borderId="17" xfId="0" applyFont="1" applyFill="1" applyBorder="1" applyAlignment="1">
      <alignment horizontal="left"/>
    </xf>
    <xf numFmtId="0" fontId="36" fillId="0" borderId="11" xfId="0" applyFont="1" applyFill="1" applyBorder="1" applyAlignment="1" applyProtection="1">
      <alignment horizontal="right" vertical="center"/>
      <protection locked="0"/>
    </xf>
    <xf numFmtId="0" fontId="8" fillId="26" borderId="15" xfId="0" applyFont="1" applyFill="1" applyBorder="1" applyAlignment="1">
      <alignment horizontal="center"/>
    </xf>
    <xf numFmtId="0" fontId="37" fillId="26" borderId="15" xfId="0" applyFont="1" applyFill="1" applyBorder="1" applyAlignment="1"/>
    <xf numFmtId="0" fontId="36" fillId="26" borderId="13" xfId="0" applyFont="1" applyFill="1" applyBorder="1"/>
    <xf numFmtId="0" fontId="38" fillId="26" borderId="19" xfId="0" applyFont="1" applyFill="1" applyBorder="1" applyAlignment="1">
      <alignment horizontal="center"/>
    </xf>
    <xf numFmtId="0" fontId="38" fillId="26" borderId="0" xfId="0" applyFont="1" applyFill="1" applyBorder="1" applyAlignment="1">
      <alignment horizontal="center"/>
    </xf>
    <xf numFmtId="0" fontId="36" fillId="26" borderId="17" xfId="0" applyFont="1" applyFill="1" applyBorder="1"/>
    <xf numFmtId="0" fontId="41" fillId="0" borderId="11" xfId="0" applyFont="1" applyFill="1" applyBorder="1" applyAlignment="1">
      <alignment horizontal="center"/>
    </xf>
    <xf numFmtId="0" fontId="36" fillId="26" borderId="0" xfId="0" applyFont="1" applyFill="1" applyBorder="1" applyAlignment="1">
      <alignment horizontal="center"/>
    </xf>
    <xf numFmtId="0" fontId="41" fillId="26" borderId="0" xfId="0" applyFont="1" applyFill="1" applyBorder="1" applyAlignment="1">
      <alignment horizontal="center"/>
    </xf>
    <xf numFmtId="0" fontId="36" fillId="0" borderId="11" xfId="0" applyFont="1" applyFill="1" applyBorder="1" applyAlignment="1" applyProtection="1">
      <alignment horizontal="right"/>
      <protection locked="0"/>
    </xf>
    <xf numFmtId="0" fontId="36" fillId="0" borderId="24" xfId="0" applyNumberFormat="1" applyFont="1" applyFill="1" applyBorder="1" applyAlignment="1">
      <alignment horizontal="right" vertical="center"/>
    </xf>
    <xf numFmtId="0" fontId="36" fillId="0" borderId="11" xfId="0" applyNumberFormat="1" applyFont="1" applyFill="1" applyBorder="1" applyAlignment="1">
      <alignment horizontal="right" vertical="center"/>
    </xf>
    <xf numFmtId="0" fontId="36" fillId="26" borderId="0" xfId="0" applyNumberFormat="1" applyFont="1" applyFill="1" applyBorder="1" applyAlignment="1">
      <alignment horizontal="right" vertical="center"/>
    </xf>
    <xf numFmtId="0" fontId="36" fillId="0" borderId="21" xfId="0" applyFont="1" applyBorder="1" applyProtection="1">
      <protection locked="0"/>
    </xf>
    <xf numFmtId="0" fontId="41" fillId="0" borderId="11" xfId="0" applyNumberFormat="1" applyFont="1" applyFill="1" applyBorder="1" applyAlignment="1">
      <alignment vertical="center"/>
    </xf>
    <xf numFmtId="0" fontId="9" fillId="26" borderId="0" xfId="0" applyNumberFormat="1" applyFont="1" applyFill="1" applyBorder="1" applyAlignment="1">
      <alignment horizontal="right"/>
    </xf>
    <xf numFmtId="0" fontId="36" fillId="0" borderId="21" xfId="0" applyFont="1" applyBorder="1" applyAlignment="1">
      <alignment vertical="center"/>
    </xf>
    <xf numFmtId="0" fontId="36" fillId="0" borderId="10" xfId="0" applyFont="1" applyBorder="1" applyAlignment="1">
      <alignment vertical="center"/>
    </xf>
    <xf numFmtId="0" fontId="36" fillId="26" borderId="19" xfId="0" applyFont="1" applyFill="1" applyBorder="1" applyAlignment="1">
      <alignment horizontal="right"/>
    </xf>
    <xf numFmtId="0" fontId="9" fillId="26" borderId="19" xfId="0" applyNumberFormat="1" applyFont="1" applyFill="1" applyBorder="1" applyAlignment="1">
      <alignment horizontal="right"/>
    </xf>
    <xf numFmtId="0" fontId="36" fillId="26" borderId="12" xfId="0" applyFont="1" applyFill="1" applyBorder="1"/>
    <xf numFmtId="1" fontId="36" fillId="0" borderId="0" xfId="0" applyNumberFormat="1" applyFont="1" applyAlignment="1">
      <alignment horizontal="right" vertical="center"/>
    </xf>
    <xf numFmtId="2" fontId="36" fillId="0" borderId="15" xfId="0" applyNumberFormat="1" applyFont="1" applyBorder="1"/>
    <xf numFmtId="2" fontId="36" fillId="0" borderId="13" xfId="0" applyNumberFormat="1" applyFont="1" applyBorder="1"/>
    <xf numFmtId="49" fontId="8" fillId="29" borderId="15" xfId="0" applyNumberFormat="1" applyFont="1" applyFill="1" applyBorder="1" applyAlignment="1">
      <alignment horizontal="center"/>
    </xf>
    <xf numFmtId="0" fontId="9" fillId="29" borderId="0" xfId="0" applyFont="1" applyFill="1" applyBorder="1" applyAlignment="1">
      <alignment horizontal="right"/>
    </xf>
    <xf numFmtId="0" fontId="41" fillId="0" borderId="22" xfId="0" applyNumberFormat="1" applyFont="1" applyFill="1" applyBorder="1" applyAlignment="1">
      <alignment vertical="center"/>
    </xf>
    <xf numFmtId="0" fontId="9" fillId="29" borderId="0" xfId="0" applyNumberFormat="1" applyFont="1" applyFill="1" applyBorder="1" applyAlignment="1">
      <alignment horizontal="right"/>
    </xf>
    <xf numFmtId="0" fontId="36" fillId="29" borderId="0" xfId="0" applyFont="1" applyFill="1" applyBorder="1" applyAlignment="1">
      <alignment vertical="center"/>
    </xf>
    <xf numFmtId="0" fontId="36" fillId="29" borderId="0" xfId="0" applyFont="1" applyFill="1"/>
    <xf numFmtId="0" fontId="36" fillId="29" borderId="0" xfId="0" applyFont="1" applyFill="1" applyBorder="1" applyAlignment="1">
      <alignment horizontal="right"/>
    </xf>
    <xf numFmtId="0" fontId="41" fillId="0" borderId="22" xfId="0" applyNumberFormat="1" applyFont="1" applyFill="1" applyBorder="1"/>
    <xf numFmtId="0" fontId="36" fillId="29" borderId="25" xfId="0" applyNumberFormat="1" applyFont="1" applyFill="1" applyBorder="1"/>
    <xf numFmtId="0" fontId="41" fillId="0" borderId="24" xfId="0" applyNumberFormat="1" applyFont="1" applyFill="1" applyBorder="1"/>
    <xf numFmtId="0" fontId="37" fillId="29" borderId="25" xfId="0" applyNumberFormat="1" applyFont="1" applyFill="1" applyBorder="1" applyAlignment="1">
      <alignment vertical="center"/>
    </xf>
    <xf numFmtId="0" fontId="37" fillId="29" borderId="17" xfId="0" applyFont="1" applyFill="1" applyBorder="1"/>
    <xf numFmtId="0" fontId="38" fillId="29" borderId="17" xfId="0" applyNumberFormat="1" applyFont="1" applyFill="1" applyBorder="1" applyAlignment="1">
      <alignment horizontal="right" vertical="center"/>
    </xf>
    <xf numFmtId="0" fontId="41" fillId="0" borderId="10" xfId="0" applyNumberFormat="1" applyFont="1" applyFill="1" applyBorder="1" applyAlignment="1">
      <alignment vertical="center"/>
    </xf>
    <xf numFmtId="0" fontId="3" fillId="24" borderId="16" xfId="0" applyFont="1" applyFill="1" applyBorder="1" applyAlignment="1">
      <alignment horizontal="right" vertical="center"/>
    </xf>
    <xf numFmtId="0" fontId="36" fillId="29" borderId="17" xfId="0" applyNumberFormat="1" applyFont="1" applyFill="1" applyBorder="1" applyAlignment="1">
      <alignment horizontal="right"/>
    </xf>
    <xf numFmtId="164" fontId="36" fillId="0" borderId="10" xfId="0" applyNumberFormat="1" applyFont="1" applyFill="1" applyBorder="1"/>
    <xf numFmtId="0" fontId="36" fillId="29" borderId="0" xfId="0" applyNumberFormat="1" applyFont="1" applyFill="1" applyBorder="1"/>
    <xf numFmtId="0" fontId="36" fillId="29" borderId="17" xfId="0" applyFont="1" applyFill="1" applyBorder="1" applyAlignment="1">
      <alignment horizontal="right"/>
    </xf>
    <xf numFmtId="0" fontId="41" fillId="0" borderId="13" xfId="0" applyFont="1" applyFill="1" applyBorder="1"/>
    <xf numFmtId="0" fontId="8" fillId="27" borderId="15" xfId="0" applyFont="1" applyFill="1" applyBorder="1" applyAlignment="1">
      <alignment horizontal="center"/>
    </xf>
    <xf numFmtId="0" fontId="8" fillId="29" borderId="15" xfId="0" applyFont="1" applyFill="1" applyBorder="1" applyAlignment="1">
      <alignment horizontal="center" vertical="center"/>
    </xf>
    <xf numFmtId="0" fontId="37" fillId="29" borderId="15" xfId="0" applyFont="1" applyFill="1" applyBorder="1" applyAlignment="1">
      <alignment vertical="center"/>
    </xf>
    <xf numFmtId="0" fontId="36" fillId="29" borderId="15" xfId="0" applyFont="1" applyFill="1" applyBorder="1" applyAlignment="1">
      <alignment vertical="center"/>
    </xf>
    <xf numFmtId="49" fontId="9" fillId="29" borderId="15" xfId="0" applyNumberFormat="1" applyFont="1" applyFill="1" applyBorder="1" applyAlignment="1">
      <alignment horizontal="right"/>
    </xf>
    <xf numFmtId="0" fontId="41" fillId="0" borderId="11" xfId="0" applyFont="1" applyBorder="1"/>
    <xf numFmtId="0" fontId="9" fillId="29" borderId="0" xfId="0" applyFont="1" applyFill="1" applyBorder="1" applyAlignment="1"/>
    <xf numFmtId="0" fontId="41" fillId="0" borderId="11" xfId="0" applyFont="1" applyBorder="1" applyAlignment="1">
      <alignment vertical="center"/>
    </xf>
    <xf numFmtId="0" fontId="36" fillId="24" borderId="0" xfId="0" applyFont="1" applyFill="1" applyBorder="1" applyAlignment="1">
      <alignment vertical="center"/>
    </xf>
    <xf numFmtId="0" fontId="36" fillId="24" borderId="17" xfId="0" applyFont="1" applyFill="1" applyBorder="1" applyAlignment="1">
      <alignment vertical="center"/>
    </xf>
    <xf numFmtId="49" fontId="36" fillId="29" borderId="17" xfId="0" applyNumberFormat="1" applyFont="1" applyFill="1" applyBorder="1" applyAlignment="1">
      <alignment horizontal="right"/>
    </xf>
    <xf numFmtId="164" fontId="38" fillId="0" borderId="10" xfId="0" applyNumberFormat="1" applyFont="1" applyFill="1" applyBorder="1"/>
    <xf numFmtId="0" fontId="36" fillId="0" borderId="11" xfId="0" applyNumberFormat="1" applyFont="1" applyFill="1" applyBorder="1" applyAlignment="1"/>
    <xf numFmtId="0" fontId="36" fillId="29" borderId="17" xfId="0" applyFont="1" applyFill="1" applyBorder="1" applyAlignment="1">
      <alignment horizontal="right" vertical="center"/>
    </xf>
    <xf numFmtId="171" fontId="63" fillId="0" borderId="10" xfId="0" applyNumberFormat="1" applyFont="1" applyFill="1" applyBorder="1" applyAlignment="1">
      <alignment vertical="center"/>
    </xf>
    <xf numFmtId="0" fontId="8" fillId="0" borderId="0" xfId="0" applyFont="1" applyFill="1" applyBorder="1" applyAlignment="1">
      <alignment horizontal="center"/>
    </xf>
    <xf numFmtId="0" fontId="36" fillId="0" borderId="0" xfId="0" applyFont="1" applyAlignment="1">
      <alignment vertical="center"/>
    </xf>
    <xf numFmtId="0" fontId="8" fillId="28" borderId="14" xfId="0" applyFont="1" applyFill="1" applyBorder="1" applyAlignment="1">
      <alignment horizontal="left"/>
    </xf>
    <xf numFmtId="0" fontId="37" fillId="28" borderId="15" xfId="0" applyFont="1" applyFill="1" applyBorder="1" applyAlignment="1">
      <alignment horizontal="left" vertical="top"/>
    </xf>
    <xf numFmtId="0" fontId="37" fillId="28" borderId="16" xfId="0" applyFont="1" applyFill="1" applyBorder="1" applyAlignment="1">
      <alignment horizontal="left" vertical="top"/>
    </xf>
    <xf numFmtId="0" fontId="74" fillId="28" borderId="0" xfId="0" applyFont="1" applyFill="1" applyBorder="1" applyAlignment="1">
      <alignment horizontal="right"/>
    </xf>
    <xf numFmtId="164" fontId="74" fillId="0" borderId="11" xfId="0" applyNumberFormat="1" applyFont="1" applyFill="1" applyBorder="1" applyAlignment="1">
      <alignment vertical="center"/>
    </xf>
    <xf numFmtId="0" fontId="8" fillId="28" borderId="16" xfId="0" applyFont="1" applyFill="1" applyBorder="1" applyAlignment="1">
      <alignment horizontal="left"/>
    </xf>
    <xf numFmtId="0" fontId="74" fillId="28" borderId="0" xfId="0" applyFont="1" applyFill="1" applyBorder="1" applyAlignment="1">
      <alignment horizontal="center" vertical="center"/>
    </xf>
    <xf numFmtId="0" fontId="37" fillId="28" borderId="0" xfId="0" applyFont="1" applyFill="1" applyBorder="1" applyAlignment="1">
      <alignment horizontal="right"/>
    </xf>
    <xf numFmtId="164" fontId="74" fillId="0" borderId="11" xfId="0" applyNumberFormat="1" applyFont="1" applyFill="1" applyBorder="1"/>
    <xf numFmtId="0" fontId="37" fillId="28" borderId="0" xfId="0" applyFont="1" applyFill="1" applyBorder="1" applyAlignment="1">
      <alignment horizontal="center"/>
    </xf>
    <xf numFmtId="0" fontId="37" fillId="28" borderId="17" xfId="0" applyFont="1" applyFill="1" applyBorder="1"/>
    <xf numFmtId="0" fontId="37" fillId="28" borderId="19" xfId="0" applyFont="1" applyFill="1" applyBorder="1" applyAlignment="1">
      <alignment horizontal="right"/>
    </xf>
    <xf numFmtId="164" fontId="77" fillId="28" borderId="19" xfId="0" applyNumberFormat="1" applyFont="1" applyFill="1" applyBorder="1"/>
    <xf numFmtId="0" fontId="37" fillId="28" borderId="19" xfId="0" applyFont="1" applyFill="1" applyBorder="1" applyAlignment="1">
      <alignment horizontal="center"/>
    </xf>
    <xf numFmtId="0" fontId="37" fillId="28" borderId="12" xfId="0" applyFont="1" applyFill="1" applyBorder="1"/>
    <xf numFmtId="2" fontId="36" fillId="0" borderId="0" xfId="0" applyNumberFormat="1" applyFont="1"/>
    <xf numFmtId="2" fontId="36" fillId="0" borderId="0" xfId="0" applyNumberFormat="1" applyFont="1" applyAlignment="1">
      <alignment horizontal="right"/>
    </xf>
    <xf numFmtId="0" fontId="36" fillId="0" borderId="15" xfId="0" applyNumberFormat="1" applyFont="1" applyBorder="1"/>
    <xf numFmtId="0" fontId="36" fillId="0" borderId="19" xfId="0" applyNumberFormat="1" applyFont="1" applyBorder="1" applyAlignment="1">
      <alignment vertical="center"/>
    </xf>
    <xf numFmtId="0" fontId="36" fillId="29" borderId="14" xfId="0" applyFont="1" applyFill="1" applyBorder="1" applyAlignment="1">
      <alignment horizontal="left"/>
    </xf>
    <xf numFmtId="2" fontId="36" fillId="0" borderId="0" xfId="0" applyNumberFormat="1" applyFont="1" applyBorder="1"/>
    <xf numFmtId="173" fontId="36" fillId="0" borderId="19" xfId="0" applyNumberFormat="1" applyFont="1" applyBorder="1"/>
    <xf numFmtId="0" fontId="41" fillId="0" borderId="11" xfId="0" applyNumberFormat="1" applyFont="1" applyFill="1" applyBorder="1" applyAlignment="1" applyProtection="1">
      <alignment horizontal="right"/>
      <protection locked="0"/>
    </xf>
    <xf numFmtId="0" fontId="41" fillId="24" borderId="0" xfId="0" applyNumberFormat="1" applyFont="1" applyFill="1" applyBorder="1" applyAlignment="1" applyProtection="1">
      <alignment horizontal="right"/>
    </xf>
    <xf numFmtId="0" fontId="3" fillId="24" borderId="0" xfId="0" applyNumberFormat="1" applyFont="1" applyFill="1" applyBorder="1" applyAlignment="1"/>
    <xf numFmtId="0" fontId="41" fillId="0" borderId="11" xfId="0" applyNumberFormat="1" applyFont="1" applyFill="1" applyBorder="1" applyProtection="1">
      <protection locked="0"/>
    </xf>
    <xf numFmtId="0" fontId="78" fillId="24" borderId="16" xfId="0" applyFont="1" applyFill="1" applyBorder="1" applyAlignment="1">
      <alignment horizontal="right"/>
    </xf>
    <xf numFmtId="0" fontId="78" fillId="24" borderId="0" xfId="0" applyNumberFormat="1" applyFont="1" applyFill="1" applyBorder="1" applyAlignment="1"/>
    <xf numFmtId="1" fontId="36" fillId="24" borderId="14" xfId="0" applyNumberFormat="1" applyFont="1" applyFill="1" applyBorder="1" applyAlignment="1" applyProtection="1">
      <alignment horizontal="left"/>
    </xf>
    <xf numFmtId="1" fontId="36" fillId="24" borderId="15" xfId="0" applyNumberFormat="1" applyFont="1" applyFill="1" applyBorder="1" applyAlignment="1" applyProtection="1">
      <alignment horizontal="left"/>
    </xf>
    <xf numFmtId="0" fontId="36" fillId="24" borderId="13" xfId="0" applyFont="1" applyFill="1" applyBorder="1" applyProtection="1"/>
    <xf numFmtId="0" fontId="36" fillId="24" borderId="14" xfId="0" applyFont="1" applyFill="1" applyBorder="1" applyProtection="1"/>
    <xf numFmtId="0" fontId="8" fillId="0" borderId="0" xfId="0" applyFont="1" applyBorder="1" applyAlignment="1">
      <alignment horizontal="right"/>
    </xf>
    <xf numFmtId="0" fontId="8" fillId="0" borderId="19" xfId="0" applyFont="1" applyBorder="1" applyAlignment="1">
      <alignment horizontal="right"/>
    </xf>
    <xf numFmtId="0" fontId="36" fillId="0" borderId="0" xfId="0" applyFont="1" applyFill="1" applyBorder="1" applyProtection="1">
      <protection locked="0"/>
    </xf>
    <xf numFmtId="0" fontId="36" fillId="24" borderId="17" xfId="0" applyFont="1" applyFill="1" applyBorder="1" applyAlignment="1">
      <alignment horizontal="right"/>
    </xf>
    <xf numFmtId="0" fontId="36" fillId="0" borderId="10" xfId="0" applyFont="1" applyFill="1" applyBorder="1" applyAlignment="1" applyProtection="1">
      <alignment vertical="center"/>
      <protection locked="0"/>
    </xf>
    <xf numFmtId="0" fontId="8" fillId="24" borderId="15" xfId="0" applyFont="1" applyFill="1" applyBorder="1" applyAlignment="1">
      <alignment horizontal="right"/>
    </xf>
    <xf numFmtId="0" fontId="36" fillId="0" borderId="20" xfId="0" applyFont="1" applyBorder="1" applyAlignment="1" applyProtection="1">
      <alignment horizontal="left"/>
      <protection locked="0"/>
    </xf>
    <xf numFmtId="49" fontId="36" fillId="24" borderId="17" xfId="0" applyNumberFormat="1" applyFont="1" applyFill="1" applyBorder="1" applyAlignment="1">
      <alignment horizontal="right"/>
    </xf>
    <xf numFmtId="0" fontId="36" fillId="0" borderId="19" xfId="0" applyFont="1" applyFill="1" applyBorder="1" applyAlignment="1" applyProtection="1">
      <alignment horizontal="left" vertical="center"/>
      <protection locked="0"/>
    </xf>
    <xf numFmtId="0" fontId="36" fillId="24" borderId="12" xfId="0" applyFont="1" applyFill="1" applyBorder="1" applyAlignment="1" applyProtection="1">
      <alignment vertical="center"/>
      <protection locked="0"/>
    </xf>
    <xf numFmtId="0" fontId="36" fillId="0" borderId="21" xfId="0" applyFont="1" applyBorder="1" applyAlignment="1" applyProtection="1">
      <protection locked="0"/>
    </xf>
    <xf numFmtId="0" fontId="36" fillId="24" borderId="21" xfId="0" applyFont="1" applyFill="1" applyBorder="1" applyAlignment="1" applyProtection="1"/>
    <xf numFmtId="0" fontId="36" fillId="24" borderId="10" xfId="0" applyFont="1" applyFill="1" applyBorder="1" applyAlignment="1" applyProtection="1"/>
    <xf numFmtId="0" fontId="38" fillId="0" borderId="0" xfId="0" applyFont="1" applyFill="1" applyBorder="1" applyAlignment="1" applyProtection="1">
      <alignment vertical="center"/>
      <protection locked="0"/>
    </xf>
    <xf numFmtId="0" fontId="8" fillId="24" borderId="18" xfId="0" quotePrefix="1" applyFont="1" applyFill="1" applyBorder="1" applyAlignment="1" applyProtection="1">
      <alignment horizontal="right"/>
    </xf>
    <xf numFmtId="2" fontId="42" fillId="24" borderId="19" xfId="0" applyNumberFormat="1" applyFont="1" applyFill="1" applyBorder="1" applyAlignment="1" applyProtection="1">
      <alignment horizontal="center"/>
    </xf>
    <xf numFmtId="2" fontId="36" fillId="24" borderId="12" xfId="0" applyNumberFormat="1" applyFont="1" applyFill="1" applyBorder="1" applyAlignment="1" applyProtection="1"/>
    <xf numFmtId="2" fontId="42" fillId="24" borderId="0" xfId="0" applyNumberFormat="1" applyFont="1" applyFill="1" applyBorder="1" applyAlignment="1" applyProtection="1">
      <alignment horizontal="center"/>
    </xf>
    <xf numFmtId="2" fontId="36" fillId="24" borderId="19" xfId="0" applyNumberFormat="1" applyFont="1" applyFill="1" applyBorder="1" applyAlignment="1">
      <alignment horizontal="left"/>
    </xf>
    <xf numFmtId="2" fontId="36" fillId="24" borderId="0" xfId="0" applyNumberFormat="1" applyFont="1" applyFill="1" applyBorder="1" applyAlignment="1" applyProtection="1"/>
    <xf numFmtId="0" fontId="38" fillId="24" borderId="0" xfId="0" applyFont="1" applyFill="1" applyBorder="1" applyAlignment="1">
      <alignment horizontal="right"/>
    </xf>
    <xf numFmtId="0" fontId="12" fillId="31" borderId="19" xfId="0" applyFont="1" applyFill="1" applyBorder="1"/>
    <xf numFmtId="0" fontId="12" fillId="31" borderId="12" xfId="0" applyFont="1" applyFill="1" applyBorder="1"/>
    <xf numFmtId="0" fontId="41" fillId="0" borderId="11" xfId="0" applyNumberFormat="1" applyFont="1" applyBorder="1" applyAlignment="1" applyProtection="1">
      <alignment horizontal="right" vertical="center"/>
      <protection locked="0"/>
    </xf>
    <xf numFmtId="0" fontId="41" fillId="0" borderId="20" xfId="0" applyNumberFormat="1" applyFont="1" applyBorder="1" applyAlignment="1" applyProtection="1">
      <alignment horizontal="left" vertical="center"/>
      <protection locked="0"/>
    </xf>
    <xf numFmtId="0" fontId="41" fillId="0" borderId="10" xfId="0" applyNumberFormat="1" applyFont="1" applyBorder="1" applyAlignment="1" applyProtection="1">
      <alignment vertical="center"/>
      <protection locked="0"/>
    </xf>
    <xf numFmtId="0" fontId="41" fillId="0" borderId="10" xfId="0" applyNumberFormat="1" applyFont="1" applyBorder="1" applyAlignment="1" applyProtection="1">
      <alignment horizontal="right" vertical="center"/>
      <protection locked="0"/>
    </xf>
    <xf numFmtId="0" fontId="41" fillId="0" borderId="21" xfId="0" applyNumberFormat="1" applyFont="1" applyBorder="1" applyAlignment="1" applyProtection="1">
      <alignment horizontal="left" vertical="center"/>
      <protection locked="0"/>
    </xf>
    <xf numFmtId="0" fontId="41" fillId="0" borderId="10" xfId="0" applyNumberFormat="1" applyFont="1" applyBorder="1" applyAlignment="1" applyProtection="1">
      <alignment vertical="center"/>
    </xf>
    <xf numFmtId="0" fontId="41" fillId="0" borderId="40" xfId="0" applyNumberFormat="1" applyFont="1" applyBorder="1" applyAlignment="1" applyProtection="1">
      <alignment horizontal="center" vertical="center"/>
      <protection locked="0"/>
    </xf>
    <xf numFmtId="0" fontId="41" fillId="0" borderId="41" xfId="0" applyNumberFormat="1" applyFont="1" applyBorder="1" applyAlignment="1" applyProtection="1">
      <alignment horizontal="center" vertical="center"/>
      <protection locked="0"/>
    </xf>
    <xf numFmtId="2" fontId="36" fillId="24" borderId="0" xfId="0" applyNumberFormat="1" applyFont="1" applyFill="1" applyBorder="1" applyAlignment="1">
      <alignment horizontal="center" vertical="center"/>
    </xf>
    <xf numFmtId="0" fontId="36" fillId="24" borderId="19" xfId="0" applyFont="1" applyFill="1" applyBorder="1" applyAlignment="1" applyProtection="1">
      <alignment horizontal="right" vertical="center"/>
    </xf>
    <xf numFmtId="0" fontId="37" fillId="28" borderId="15" xfId="0" applyFont="1" applyFill="1" applyBorder="1" applyAlignment="1">
      <alignment horizontal="left"/>
    </xf>
    <xf numFmtId="0" fontId="8" fillId="28" borderId="15" xfId="0" applyFont="1" applyFill="1" applyBorder="1" applyAlignment="1">
      <alignment vertical="center"/>
    </xf>
    <xf numFmtId="0" fontId="3" fillId="24" borderId="16" xfId="0" applyFont="1" applyFill="1" applyBorder="1" applyAlignment="1" applyProtection="1">
      <alignment horizontal="right"/>
    </xf>
    <xf numFmtId="0" fontId="41" fillId="0" borderId="42" xfId="0" applyNumberFormat="1" applyFont="1" applyBorder="1" applyAlignment="1" applyProtection="1">
      <alignment vertical="center"/>
      <protection locked="0"/>
    </xf>
    <xf numFmtId="0" fontId="41" fillId="0" borderId="43" xfId="0" applyNumberFormat="1" applyFont="1" applyBorder="1" applyAlignment="1" applyProtection="1">
      <alignment vertical="center"/>
      <protection locked="0"/>
    </xf>
    <xf numFmtId="0" fontId="41" fillId="24" borderId="17" xfId="0" applyNumberFormat="1" applyFont="1" applyFill="1" applyBorder="1" applyAlignment="1" applyProtection="1">
      <alignment vertical="center"/>
    </xf>
    <xf numFmtId="0" fontId="8" fillId="24" borderId="16" xfId="0" applyFont="1" applyFill="1" applyBorder="1" applyAlignment="1">
      <alignment horizontal="right"/>
    </xf>
    <xf numFmtId="0" fontId="41" fillId="0" borderId="40" xfId="0" applyNumberFormat="1" applyFont="1" applyBorder="1" applyAlignment="1" applyProtection="1">
      <alignment vertical="center"/>
      <protection locked="0"/>
    </xf>
    <xf numFmtId="0" fontId="41" fillId="0" borderId="41" xfId="0" applyNumberFormat="1" applyFont="1" applyBorder="1" applyAlignment="1" applyProtection="1">
      <alignment vertical="center"/>
      <protection locked="0"/>
    </xf>
    <xf numFmtId="0" fontId="41" fillId="24" borderId="0" xfId="0" applyNumberFormat="1" applyFont="1" applyFill="1" applyBorder="1" applyAlignment="1">
      <alignment vertical="center"/>
    </xf>
    <xf numFmtId="0" fontId="81" fillId="0" borderId="20" xfId="0" applyNumberFormat="1" applyFont="1" applyBorder="1" applyAlignment="1">
      <alignment vertical="center"/>
    </xf>
    <xf numFmtId="2" fontId="41" fillId="24" borderId="25" xfId="0" applyNumberFormat="1" applyFont="1" applyFill="1" applyBorder="1"/>
    <xf numFmtId="0" fontId="36" fillId="24" borderId="16" xfId="0" applyFont="1" applyFill="1" applyBorder="1" applyAlignment="1">
      <alignment horizontal="right"/>
    </xf>
    <xf numFmtId="0" fontId="36" fillId="28" borderId="0" xfId="0" applyFont="1" applyFill="1"/>
    <xf numFmtId="2" fontId="41" fillId="24" borderId="25" xfId="0" applyNumberFormat="1" applyFont="1" applyFill="1" applyBorder="1" applyAlignment="1">
      <alignment vertical="center"/>
    </xf>
    <xf numFmtId="0" fontId="36" fillId="0" borderId="11" xfId="0" applyFont="1" applyBorder="1" applyAlignment="1" applyProtection="1">
      <alignment horizontal="right" vertical="center"/>
      <protection locked="0"/>
    </xf>
    <xf numFmtId="0" fontId="36" fillId="0" borderId="0" xfId="0" applyFont="1" applyAlignment="1">
      <alignment horizontal="right" vertical="center"/>
    </xf>
    <xf numFmtId="0" fontId="36" fillId="0" borderId="0" xfId="0" quotePrefix="1" applyFont="1" applyAlignment="1">
      <alignment vertical="center"/>
    </xf>
    <xf numFmtId="0" fontId="37" fillId="26" borderId="0" xfId="0" applyFont="1" applyFill="1" applyBorder="1" applyAlignment="1"/>
    <xf numFmtId="0" fontId="12" fillId="26" borderId="0" xfId="0" applyFont="1" applyFill="1"/>
    <xf numFmtId="2" fontId="36" fillId="26" borderId="19" xfId="0" applyNumberFormat="1" applyFont="1" applyFill="1" applyBorder="1" applyAlignment="1">
      <alignment horizontal="center"/>
    </xf>
    <xf numFmtId="0" fontId="41" fillId="0" borderId="11" xfId="0" applyFont="1" applyBorder="1" applyAlignment="1">
      <alignment horizontal="center"/>
    </xf>
    <xf numFmtId="2" fontId="36" fillId="26" borderId="0" xfId="0" applyNumberFormat="1" applyFont="1" applyFill="1" applyBorder="1" applyAlignment="1">
      <alignment horizontal="center"/>
    </xf>
    <xf numFmtId="0" fontId="36" fillId="0" borderId="11" xfId="0" applyFont="1" applyBorder="1" applyAlignment="1" applyProtection="1">
      <alignment horizontal="right"/>
      <protection locked="0"/>
    </xf>
    <xf numFmtId="0" fontId="36" fillId="0" borderId="11" xfId="0" applyFont="1" applyFill="1" applyBorder="1"/>
    <xf numFmtId="0" fontId="36" fillId="26" borderId="17" xfId="0" applyFont="1" applyFill="1" applyBorder="1" applyAlignment="1">
      <alignment horizontal="right"/>
    </xf>
    <xf numFmtId="2" fontId="36" fillId="26" borderId="0" xfId="0" applyNumberFormat="1" applyFont="1" applyFill="1" applyBorder="1" applyAlignment="1">
      <alignment horizontal="left"/>
    </xf>
    <xf numFmtId="2" fontId="36" fillId="26" borderId="0" xfId="0" applyNumberFormat="1" applyFont="1" applyFill="1" applyBorder="1"/>
    <xf numFmtId="0" fontId="9" fillId="26" borderId="17" xfId="0" applyFont="1" applyFill="1" applyBorder="1" applyAlignment="1">
      <alignment horizontal="right"/>
    </xf>
    <xf numFmtId="0" fontId="36" fillId="26" borderId="16" xfId="0" applyNumberFormat="1" applyFont="1" applyFill="1" applyBorder="1" applyAlignment="1">
      <alignment horizontal="left"/>
    </xf>
    <xf numFmtId="0" fontId="37" fillId="26" borderId="16" xfId="0" applyNumberFormat="1" applyFont="1" applyFill="1" applyBorder="1" applyAlignment="1">
      <alignment horizontal="left" vertical="center"/>
    </xf>
    <xf numFmtId="0" fontId="37" fillId="26" borderId="0" xfId="0" applyNumberFormat="1" applyFont="1" applyFill="1" applyBorder="1" applyAlignment="1">
      <alignment vertical="center"/>
    </xf>
    <xf numFmtId="2" fontId="36" fillId="26" borderId="0" xfId="0" applyNumberFormat="1" applyFont="1" applyFill="1" applyBorder="1" applyAlignment="1">
      <alignment horizontal="right"/>
    </xf>
    <xf numFmtId="174" fontId="36" fillId="0" borderId="11" xfId="0" applyNumberFormat="1" applyFont="1" applyFill="1" applyBorder="1" applyAlignment="1"/>
    <xf numFmtId="0" fontId="37" fillId="29" borderId="15" xfId="0" applyFont="1" applyFill="1" applyBorder="1" applyAlignment="1"/>
    <xf numFmtId="0" fontId="81" fillId="0" borderId="11" xfId="0" applyNumberFormat="1" applyFont="1" applyFill="1" applyBorder="1" applyAlignment="1">
      <alignment vertical="center"/>
    </xf>
    <xf numFmtId="2" fontId="36" fillId="29" borderId="0" xfId="0" applyNumberFormat="1" applyFont="1" applyFill="1" applyBorder="1" applyAlignment="1">
      <alignment horizontal="left"/>
    </xf>
    <xf numFmtId="2" fontId="36" fillId="29" borderId="0" xfId="0" applyNumberFormat="1" applyFont="1" applyFill="1" applyBorder="1"/>
    <xf numFmtId="0" fontId="3" fillId="24" borderId="16" xfId="0" applyFont="1" applyFill="1" applyBorder="1" applyAlignment="1" applyProtection="1">
      <alignment horizontal="right" vertical="center"/>
    </xf>
    <xf numFmtId="15" fontId="85" fillId="29" borderId="0" xfId="0" applyNumberFormat="1" applyFont="1" applyFill="1" applyBorder="1" applyAlignment="1">
      <alignment horizontal="left"/>
    </xf>
    <xf numFmtId="173" fontId="36" fillId="0" borderId="0" xfId="0" applyNumberFormat="1" applyFont="1" applyAlignment="1" applyProtection="1"/>
    <xf numFmtId="0" fontId="36" fillId="29" borderId="0" xfId="0" applyFont="1" applyFill="1" applyBorder="1" applyAlignment="1">
      <alignment horizontal="right" vertical="center"/>
    </xf>
    <xf numFmtId="0" fontId="39" fillId="29" borderId="0" xfId="0" applyFont="1" applyFill="1" applyBorder="1" applyAlignment="1">
      <alignment vertical="center"/>
    </xf>
    <xf numFmtId="1" fontId="36" fillId="0" borderId="0" xfId="0" applyNumberFormat="1" applyFont="1" applyAlignment="1">
      <alignment horizontal="left" vertical="center"/>
    </xf>
    <xf numFmtId="0" fontId="81" fillId="0" borderId="11" xfId="0" applyFont="1" applyFill="1" applyBorder="1" applyAlignment="1">
      <alignment vertical="center"/>
    </xf>
    <xf numFmtId="2" fontId="36" fillId="29" borderId="0" xfId="0" applyNumberFormat="1" applyFont="1" applyFill="1" applyBorder="1" applyAlignment="1">
      <alignment horizontal="right"/>
    </xf>
    <xf numFmtId="0" fontId="81" fillId="0" borderId="11" xfId="0" applyNumberFormat="1" applyFont="1" applyFill="1" applyBorder="1"/>
    <xf numFmtId="49" fontId="36" fillId="29" borderId="0" xfId="0" applyNumberFormat="1" applyFont="1" applyFill="1" applyBorder="1" applyAlignment="1">
      <alignment horizontal="right" vertical="center"/>
    </xf>
    <xf numFmtId="164" fontId="36" fillId="0" borderId="11" xfId="0" applyNumberFormat="1" applyFont="1" applyBorder="1"/>
    <xf numFmtId="0" fontId="61" fillId="29" borderId="0" xfId="0" applyFont="1" applyFill="1" applyBorder="1" applyAlignment="1">
      <alignment horizontal="right"/>
    </xf>
    <xf numFmtId="1" fontId="36" fillId="0" borderId="11" xfId="0" applyNumberFormat="1" applyFont="1" applyFill="1" applyBorder="1"/>
    <xf numFmtId="1" fontId="36" fillId="29" borderId="0" xfId="0" applyNumberFormat="1" applyFont="1" applyFill="1" applyBorder="1"/>
    <xf numFmtId="0" fontId="30" fillId="29" borderId="0" xfId="0" applyFont="1" applyFill="1" applyBorder="1" applyAlignment="1">
      <alignment horizontal="right" vertical="center"/>
    </xf>
    <xf numFmtId="171" fontId="63" fillId="0" borderId="11" xfId="0" applyNumberFormat="1" applyFont="1" applyBorder="1"/>
    <xf numFmtId="0" fontId="36" fillId="28" borderId="15" xfId="0" applyFont="1" applyFill="1" applyBorder="1" applyAlignment="1">
      <alignment vertical="center"/>
    </xf>
    <xf numFmtId="0" fontId="73" fillId="28" borderId="0" xfId="0" applyFont="1" applyFill="1" applyBorder="1" applyAlignment="1">
      <alignment horizontal="right"/>
    </xf>
    <xf numFmtId="164" fontId="74" fillId="0" borderId="11" xfId="0" quotePrefix="1" applyNumberFormat="1" applyFont="1" applyFill="1" applyBorder="1" applyAlignment="1">
      <alignment horizontal="right"/>
    </xf>
    <xf numFmtId="0" fontId="12" fillId="28" borderId="0" xfId="0" applyFont="1" applyFill="1" applyBorder="1"/>
    <xf numFmtId="164" fontId="74" fillId="0" borderId="11" xfId="0" quotePrefix="1" applyNumberFormat="1" applyFont="1" applyFill="1" applyBorder="1" applyAlignment="1">
      <alignment horizontal="right" vertical="center"/>
    </xf>
    <xf numFmtId="173" fontId="36" fillId="0" borderId="0" xfId="0" applyNumberFormat="1" applyFont="1"/>
    <xf numFmtId="0" fontId="37" fillId="28" borderId="0" xfId="0" applyFont="1" applyFill="1" applyBorder="1" applyAlignment="1">
      <alignment horizontal="right" vertical="center"/>
    </xf>
    <xf numFmtId="0" fontId="37" fillId="28" borderId="17" xfId="0" applyFont="1" applyFill="1" applyBorder="1" applyAlignment="1">
      <alignment vertical="center"/>
    </xf>
    <xf numFmtId="0" fontId="12" fillId="28" borderId="18" xfId="0" applyFont="1" applyFill="1" applyBorder="1"/>
    <xf numFmtId="0" fontId="12" fillId="28" borderId="19" xfId="0" applyFont="1" applyFill="1" applyBorder="1"/>
    <xf numFmtId="0" fontId="12" fillId="28" borderId="12" xfId="0" applyFont="1" applyFill="1" applyBorder="1"/>
    <xf numFmtId="2" fontId="41" fillId="0" borderId="0" xfId="0" applyNumberFormat="1" applyFont="1" applyBorder="1"/>
    <xf numFmtId="0" fontId="36" fillId="34" borderId="14" xfId="0" applyFont="1" applyFill="1" applyBorder="1"/>
    <xf numFmtId="0" fontId="36" fillId="34" borderId="13" xfId="0" applyFont="1" applyFill="1" applyBorder="1"/>
    <xf numFmtId="0" fontId="36" fillId="34" borderId="0" xfId="0" applyFont="1" applyFill="1" applyBorder="1"/>
    <xf numFmtId="0" fontId="36" fillId="34" borderId="12" xfId="0" applyFont="1" applyFill="1" applyBorder="1"/>
    <xf numFmtId="0" fontId="36" fillId="24" borderId="17" xfId="0" applyFont="1" applyFill="1" applyBorder="1" applyAlignment="1" applyProtection="1">
      <alignment vertical="center"/>
    </xf>
    <xf numFmtId="0" fontId="36" fillId="24" borderId="18" xfId="0" applyFont="1" applyFill="1" applyBorder="1" applyAlignment="1" applyProtection="1">
      <alignment horizontal="right"/>
    </xf>
    <xf numFmtId="0" fontId="36" fillId="24" borderId="19" xfId="0" applyFont="1" applyFill="1" applyBorder="1" applyAlignment="1" applyProtection="1">
      <alignment vertical="center"/>
    </xf>
    <xf numFmtId="0" fontId="36" fillId="24" borderId="12" xfId="0" applyFont="1" applyFill="1" applyBorder="1" applyAlignment="1" applyProtection="1">
      <alignment vertical="center"/>
    </xf>
    <xf numFmtId="0" fontId="81" fillId="0" borderId="14" xfId="0" applyNumberFormat="1" applyFont="1" applyBorder="1" applyAlignment="1">
      <alignment vertical="center"/>
    </xf>
    <xf numFmtId="0" fontId="36" fillId="24" borderId="18" xfId="0" applyFont="1" applyFill="1" applyBorder="1" applyAlignment="1">
      <alignment horizontal="right"/>
    </xf>
    <xf numFmtId="0" fontId="36" fillId="24" borderId="19" xfId="0" applyFont="1" applyFill="1" applyBorder="1" applyAlignment="1">
      <alignment vertical="center"/>
    </xf>
    <xf numFmtId="0" fontId="36" fillId="24" borderId="21" xfId="0" applyFont="1" applyFill="1" applyBorder="1" applyAlignment="1">
      <alignment vertical="center"/>
    </xf>
    <xf numFmtId="0" fontId="37" fillId="24" borderId="15" xfId="0" applyFont="1" applyFill="1" applyBorder="1" applyAlignment="1"/>
    <xf numFmtId="0" fontId="38" fillId="24" borderId="19" xfId="0" applyFont="1" applyFill="1" applyBorder="1" applyAlignment="1">
      <alignment horizontal="center"/>
    </xf>
    <xf numFmtId="0" fontId="38" fillId="24" borderId="0" xfId="0" applyFont="1" applyFill="1" applyBorder="1" applyAlignment="1">
      <alignment horizontal="center"/>
    </xf>
    <xf numFmtId="0" fontId="41" fillId="0" borderId="11" xfId="0" applyFont="1" applyFill="1" applyBorder="1" applyAlignment="1" applyProtection="1">
      <alignment horizontal="center"/>
      <protection locked="0"/>
    </xf>
    <xf numFmtId="0" fontId="41" fillId="24" borderId="0" xfId="0" applyFont="1" applyFill="1" applyBorder="1" applyAlignment="1" applyProtection="1">
      <alignment horizontal="center"/>
    </xf>
    <xf numFmtId="0" fontId="36" fillId="24" borderId="0" xfId="0" applyFont="1" applyFill="1" applyBorder="1" applyAlignment="1">
      <alignment horizontal="center"/>
    </xf>
    <xf numFmtId="0" fontId="41" fillId="24" borderId="0" xfId="0" applyFont="1" applyFill="1" applyBorder="1" applyAlignment="1">
      <alignment horizontal="center"/>
    </xf>
    <xf numFmtId="0" fontId="36" fillId="0" borderId="24" xfId="0" applyNumberFormat="1" applyFont="1" applyFill="1" applyBorder="1" applyAlignment="1" applyProtection="1">
      <alignment horizontal="right" vertical="center"/>
      <protection locked="0"/>
    </xf>
    <xf numFmtId="0" fontId="36" fillId="24" borderId="0" xfId="0" applyNumberFormat="1" applyFont="1" applyFill="1" applyBorder="1" applyAlignment="1">
      <alignment horizontal="right" vertical="center"/>
    </xf>
    <xf numFmtId="0" fontId="36" fillId="0" borderId="11" xfId="0" applyNumberFormat="1" applyFont="1" applyFill="1" applyBorder="1" applyAlignment="1" applyProtection="1">
      <alignment horizontal="right" vertical="center"/>
      <protection locked="0"/>
    </xf>
    <xf numFmtId="0" fontId="9" fillId="24" borderId="0" xfId="0" applyNumberFormat="1" applyFont="1" applyFill="1" applyBorder="1" applyAlignment="1">
      <alignment horizontal="right"/>
    </xf>
    <xf numFmtId="0" fontId="37" fillId="28" borderId="0" xfId="0" applyFont="1" applyFill="1" applyBorder="1"/>
    <xf numFmtId="0" fontId="36" fillId="28" borderId="19" xfId="0" applyFont="1" applyFill="1" applyBorder="1" applyProtection="1">
      <protection locked="0"/>
    </xf>
    <xf numFmtId="49" fontId="8" fillId="29" borderId="14" xfId="0" applyNumberFormat="1" applyFont="1" applyFill="1" applyBorder="1" applyAlignment="1">
      <alignment horizontal="center"/>
    </xf>
    <xf numFmtId="0" fontId="41" fillId="29" borderId="0" xfId="0" applyNumberFormat="1" applyFont="1" applyFill="1" applyBorder="1" applyAlignment="1">
      <alignment vertical="center"/>
    </xf>
    <xf numFmtId="0" fontId="36" fillId="29" borderId="16" xfId="0" applyNumberFormat="1" applyFont="1" applyFill="1" applyBorder="1"/>
    <xf numFmtId="0" fontId="36" fillId="29" borderId="17" xfId="0" applyNumberFormat="1" applyFont="1" applyFill="1" applyBorder="1"/>
    <xf numFmtId="0" fontId="37" fillId="29" borderId="17" xfId="0" applyNumberFormat="1" applyFont="1" applyFill="1" applyBorder="1" applyAlignment="1">
      <alignment vertical="center"/>
    </xf>
    <xf numFmtId="0" fontId="41" fillId="0" borderId="12" xfId="0" applyNumberFormat="1" applyFont="1" applyFill="1" applyBorder="1" applyAlignment="1">
      <alignment vertical="center"/>
    </xf>
    <xf numFmtId="0" fontId="8" fillId="29" borderId="14" xfId="0" applyFont="1" applyFill="1" applyBorder="1" applyAlignment="1">
      <alignment horizontal="center" vertical="center"/>
    </xf>
    <xf numFmtId="49" fontId="9" fillId="29" borderId="0" xfId="0" quotePrefix="1" applyNumberFormat="1" applyFont="1" applyFill="1" applyBorder="1" applyAlignment="1">
      <alignment horizontal="right"/>
    </xf>
    <xf numFmtId="164" fontId="38" fillId="29" borderId="0" xfId="0" applyNumberFormat="1" applyFont="1" applyFill="1" applyBorder="1"/>
    <xf numFmtId="171" fontId="63" fillId="29" borderId="0" xfId="0" applyNumberFormat="1" applyFont="1" applyFill="1" applyBorder="1" applyAlignment="1">
      <alignment vertical="center"/>
    </xf>
    <xf numFmtId="0" fontId="8" fillId="0" borderId="16" xfId="0" applyFont="1" applyFill="1" applyBorder="1" applyAlignment="1">
      <alignment horizontal="center"/>
    </xf>
    <xf numFmtId="0" fontId="8" fillId="28" borderId="14" xfId="0" applyFont="1" applyFill="1" applyBorder="1" applyAlignment="1">
      <alignment horizontal="center"/>
    </xf>
    <xf numFmtId="0" fontId="37" fillId="28" borderId="0" xfId="0" applyFont="1" applyFill="1" applyBorder="1" applyAlignment="1">
      <alignment horizontal="left" vertical="top"/>
    </xf>
    <xf numFmtId="164" fontId="74" fillId="28" borderId="0" xfId="0" applyNumberFormat="1" applyFont="1" applyFill="1" applyBorder="1"/>
    <xf numFmtId="0" fontId="12" fillId="24" borderId="15" xfId="0" applyFont="1" applyFill="1" applyBorder="1"/>
    <xf numFmtId="2" fontId="36" fillId="24" borderId="19" xfId="0" applyNumberFormat="1" applyFont="1" applyFill="1" applyBorder="1" applyAlignment="1">
      <alignment horizontal="center"/>
    </xf>
    <xf numFmtId="0" fontId="41" fillId="0" borderId="11" xfId="0" applyNumberFormat="1" applyFont="1" applyBorder="1" applyAlignment="1" applyProtection="1">
      <alignment horizontal="center" vertical="center"/>
      <protection locked="0"/>
    </xf>
    <xf numFmtId="2" fontId="36" fillId="24" borderId="0" xfId="0" applyNumberFormat="1" applyFont="1" applyFill="1" applyBorder="1" applyAlignment="1">
      <alignment horizontal="center"/>
    </xf>
    <xf numFmtId="2" fontId="36" fillId="24" borderId="0" xfId="0" applyNumberFormat="1" applyFont="1" applyFill="1" applyBorder="1" applyAlignment="1">
      <alignment horizontal="left"/>
    </xf>
    <xf numFmtId="2" fontId="36" fillId="24" borderId="0" xfId="0" applyNumberFormat="1" applyFont="1" applyFill="1" applyBorder="1"/>
    <xf numFmtId="0" fontId="41" fillId="0" borderId="10" xfId="0" applyNumberFormat="1" applyFont="1" applyFill="1" applyBorder="1" applyAlignment="1" applyProtection="1">
      <alignment vertical="center"/>
      <protection locked="0"/>
    </xf>
    <xf numFmtId="0" fontId="8" fillId="28" borderId="0" xfId="0" applyFont="1" applyFill="1" applyBorder="1" applyAlignment="1">
      <alignment horizontal="center"/>
    </xf>
    <xf numFmtId="0" fontId="39" fillId="28" borderId="0" xfId="0" applyFont="1" applyFill="1" applyBorder="1" applyAlignment="1">
      <alignment horizontal="left" vertical="center"/>
    </xf>
    <xf numFmtId="0" fontId="37" fillId="28" borderId="0" xfId="0" applyFont="1" applyFill="1" applyBorder="1" applyAlignment="1">
      <alignment vertical="center"/>
    </xf>
    <xf numFmtId="0" fontId="8" fillId="28" borderId="0" xfId="0" applyFont="1" applyFill="1" applyBorder="1" applyAlignment="1">
      <alignment vertical="center"/>
    </xf>
    <xf numFmtId="0" fontId="41" fillId="0" borderId="11" xfId="0" applyNumberFormat="1" applyFont="1" applyFill="1" applyBorder="1"/>
    <xf numFmtId="0" fontId="37" fillId="29" borderId="0" xfId="0" applyNumberFormat="1" applyFont="1" applyFill="1" applyBorder="1" applyAlignment="1">
      <alignment vertical="center"/>
    </xf>
    <xf numFmtId="0" fontId="8" fillId="29" borderId="16" xfId="0" applyFont="1" applyFill="1" applyBorder="1" applyAlignment="1">
      <alignment horizontal="right"/>
    </xf>
    <xf numFmtId="0" fontId="8" fillId="29" borderId="0" xfId="0" applyFont="1" applyFill="1" applyBorder="1" applyAlignment="1">
      <alignment horizontal="right"/>
    </xf>
    <xf numFmtId="15" fontId="85" fillId="29" borderId="16" xfId="0" applyNumberFormat="1" applyFont="1" applyFill="1" applyBorder="1" applyAlignment="1">
      <alignment horizontal="left"/>
    </xf>
    <xf numFmtId="0" fontId="39" fillId="29" borderId="0" xfId="0" applyFont="1" applyFill="1" applyBorder="1" applyAlignment="1">
      <alignment horizontal="center"/>
    </xf>
    <xf numFmtId="0" fontId="36" fillId="29" borderId="16" xfId="0" applyFont="1" applyFill="1" applyBorder="1" applyAlignment="1">
      <alignment vertical="center"/>
    </xf>
    <xf numFmtId="164" fontId="36" fillId="0" borderId="11" xfId="0" applyNumberFormat="1" applyFont="1" applyFill="1" applyBorder="1"/>
    <xf numFmtId="171" fontId="63" fillId="0" borderId="11" xfId="0" applyNumberFormat="1" applyFont="1" applyFill="1" applyBorder="1"/>
    <xf numFmtId="0" fontId="37" fillId="28" borderId="0" xfId="0" applyFont="1" applyFill="1" applyBorder="1" applyAlignment="1">
      <alignment horizontal="left" vertical="center"/>
    </xf>
    <xf numFmtId="0" fontId="36" fillId="28" borderId="0" xfId="0" applyFont="1" applyFill="1" applyBorder="1" applyAlignment="1">
      <alignment horizontal="right" vertical="center"/>
    </xf>
    <xf numFmtId="0" fontId="36" fillId="28" borderId="16" xfId="0" applyFont="1" applyFill="1" applyBorder="1" applyAlignment="1">
      <alignment vertical="center"/>
    </xf>
    <xf numFmtId="0" fontId="36" fillId="28" borderId="0" xfId="0" applyFont="1" applyFill="1" applyBorder="1" applyAlignment="1">
      <alignment vertical="center"/>
    </xf>
    <xf numFmtId="0" fontId="36" fillId="0" borderId="0" xfId="0" applyFont="1" applyBorder="1" applyAlignment="1">
      <alignment vertical="center"/>
    </xf>
    <xf numFmtId="0" fontId="36" fillId="0" borderId="14" xfId="0" applyFont="1" applyBorder="1" applyAlignment="1">
      <alignment vertical="center"/>
    </xf>
    <xf numFmtId="0" fontId="36" fillId="0" borderId="13" xfId="0" applyFont="1" applyBorder="1" applyAlignment="1">
      <alignment horizontal="right" vertical="center"/>
    </xf>
    <xf numFmtId="0" fontId="36" fillId="0" borderId="15" xfId="0" applyFont="1" applyBorder="1" applyAlignment="1">
      <alignment vertical="center"/>
    </xf>
    <xf numFmtId="0" fontId="36" fillId="0" borderId="14" xfId="0" applyFont="1" applyBorder="1" applyAlignment="1" applyProtection="1">
      <alignment vertical="center"/>
      <protection locked="0"/>
    </xf>
    <xf numFmtId="0" fontId="36" fillId="0" borderId="15" xfId="0" applyFont="1" applyBorder="1" applyAlignment="1">
      <alignment horizontal="right" vertical="center"/>
    </xf>
    <xf numFmtId="0" fontId="36" fillId="0" borderId="13" xfId="0" applyFont="1" applyBorder="1" applyAlignment="1" applyProtection="1">
      <alignment vertical="center"/>
    </xf>
    <xf numFmtId="0" fontId="36" fillId="0" borderId="14" xfId="0" applyFont="1" applyBorder="1" applyAlignment="1">
      <alignment horizontal="left" vertical="center"/>
    </xf>
    <xf numFmtId="0" fontId="36" fillId="0" borderId="13" xfId="0" applyFont="1" applyBorder="1" applyAlignment="1">
      <alignment vertical="center"/>
    </xf>
    <xf numFmtId="2" fontId="36" fillId="0" borderId="16" xfId="0" applyNumberFormat="1" applyFont="1" applyBorder="1" applyAlignment="1">
      <alignment horizontal="right"/>
    </xf>
    <xf numFmtId="0" fontId="12" fillId="0" borderId="20" xfId="0" applyFont="1" applyBorder="1"/>
    <xf numFmtId="0" fontId="36" fillId="0" borderId="21" xfId="0" applyFont="1" applyBorder="1" applyAlignment="1">
      <alignment horizontal="center"/>
    </xf>
    <xf numFmtId="0" fontId="36" fillId="0" borderId="16" xfId="0" applyFont="1" applyBorder="1" applyAlignment="1">
      <alignment vertical="center"/>
    </xf>
    <xf numFmtId="0" fontId="36" fillId="0" borderId="17" xfId="0" applyFont="1" applyBorder="1" applyAlignment="1">
      <alignment vertical="center"/>
    </xf>
    <xf numFmtId="0" fontId="0" fillId="0" borderId="16" xfId="0" applyBorder="1"/>
    <xf numFmtId="0" fontId="9" fillId="0" borderId="0" xfId="0" applyFont="1" applyBorder="1" applyAlignment="1">
      <alignment horizontal="right"/>
    </xf>
    <xf numFmtId="2" fontId="36" fillId="0" borderId="18" xfId="0" applyNumberFormat="1" applyFont="1" applyBorder="1" applyAlignment="1">
      <alignment horizontal="right"/>
    </xf>
    <xf numFmtId="2" fontId="36" fillId="0" borderId="12" xfId="0" applyNumberFormat="1" applyFont="1" applyBorder="1"/>
    <xf numFmtId="0" fontId="36" fillId="0" borderId="21" xfId="0" applyNumberFormat="1" applyFont="1" applyBorder="1"/>
    <xf numFmtId="2" fontId="36" fillId="0" borderId="10" xfId="0" applyNumberFormat="1" applyFont="1" applyBorder="1"/>
    <xf numFmtId="2" fontId="36" fillId="0" borderId="17" xfId="0" applyNumberFormat="1" applyFont="1" applyBorder="1"/>
    <xf numFmtId="0" fontId="0" fillId="0" borderId="18" xfId="0" applyBorder="1"/>
    <xf numFmtId="0" fontId="12" fillId="0" borderId="0" xfId="0" applyFont="1" applyAlignment="1" applyProtection="1">
      <alignment horizontal="right"/>
    </xf>
    <xf numFmtId="0" fontId="46" fillId="0" borderId="0" xfId="0" applyFont="1" applyProtection="1"/>
    <xf numFmtId="0" fontId="11" fillId="0" borderId="0" xfId="0" applyFont="1" applyProtection="1"/>
    <xf numFmtId="1" fontId="12" fillId="0" borderId="0" xfId="0" applyNumberFormat="1" applyFont="1" applyProtection="1"/>
    <xf numFmtId="1" fontId="12" fillId="0" borderId="0" xfId="0" applyNumberFormat="1" applyFont="1" applyAlignment="1" applyProtection="1">
      <alignment horizontal="right"/>
    </xf>
    <xf numFmtId="1" fontId="12" fillId="0" borderId="0" xfId="0" applyNumberFormat="1" applyFont="1" applyAlignment="1" applyProtection="1">
      <alignment horizontal="left"/>
    </xf>
    <xf numFmtId="0" fontId="12" fillId="0" borderId="0" xfId="0" applyFont="1" applyProtection="1">
      <protection locked="0"/>
    </xf>
    <xf numFmtId="0" fontId="8" fillId="27" borderId="14" xfId="0" applyFont="1" applyFill="1" applyBorder="1" applyAlignment="1" applyProtection="1">
      <alignment horizontal="left"/>
    </xf>
    <xf numFmtId="0" fontId="37" fillId="27" borderId="15" xfId="0" applyFont="1" applyFill="1" applyBorder="1" applyAlignment="1" applyProtection="1">
      <alignment horizontal="left"/>
    </xf>
    <xf numFmtId="0" fontId="12" fillId="27" borderId="15" xfId="0" applyFont="1" applyFill="1" applyBorder="1" applyProtection="1"/>
    <xf numFmtId="0" fontId="12" fillId="27" borderId="13" xfId="0" applyFont="1" applyFill="1" applyBorder="1" applyProtection="1"/>
    <xf numFmtId="0" fontId="12" fillId="0" borderId="0" xfId="0" applyFont="1" applyAlignment="1" applyProtection="1"/>
    <xf numFmtId="0" fontId="12" fillId="27" borderId="16" xfId="0" applyFont="1" applyFill="1" applyBorder="1" applyAlignment="1" applyProtection="1">
      <alignment horizontal="right"/>
    </xf>
    <xf numFmtId="0" fontId="12" fillId="27" borderId="0" xfId="0" applyFont="1" applyFill="1" applyBorder="1" applyProtection="1"/>
    <xf numFmtId="0" fontId="12" fillId="27" borderId="0" xfId="0" applyFont="1" applyFill="1" applyProtection="1"/>
    <xf numFmtId="0" fontId="12" fillId="27" borderId="17" xfId="0" applyFont="1" applyFill="1" applyBorder="1" applyProtection="1"/>
    <xf numFmtId="0" fontId="12" fillId="27" borderId="0" xfId="0" applyFont="1" applyFill="1" applyBorder="1" applyProtection="1">
      <protection locked="0"/>
    </xf>
    <xf numFmtId="0" fontId="92" fillId="27" borderId="0" xfId="0" applyFont="1" applyFill="1" applyBorder="1" applyAlignment="1" applyProtection="1">
      <alignment horizontal="right"/>
    </xf>
    <xf numFmtId="2" fontId="38" fillId="0" borderId="11" xfId="0" applyNumberFormat="1" applyFont="1" applyFill="1" applyBorder="1" applyProtection="1"/>
    <xf numFmtId="0" fontId="0" fillId="27" borderId="0" xfId="0" applyFill="1" applyProtection="1"/>
    <xf numFmtId="0" fontId="8" fillId="28" borderId="14" xfId="0" applyFont="1" applyFill="1" applyBorder="1" applyAlignment="1" applyProtection="1">
      <alignment horizontal="left"/>
    </xf>
    <xf numFmtId="0" fontId="12" fillId="28" borderId="15" xfId="0" applyFont="1" applyFill="1" applyBorder="1" applyProtection="1"/>
    <xf numFmtId="0" fontId="8" fillId="28" borderId="15" xfId="0" applyFont="1" applyFill="1" applyBorder="1" applyAlignment="1" applyProtection="1">
      <alignment horizontal="left"/>
    </xf>
    <xf numFmtId="0" fontId="12" fillId="28" borderId="13" xfId="0" applyFont="1" applyFill="1" applyBorder="1" applyProtection="1"/>
    <xf numFmtId="0" fontId="12" fillId="28" borderId="16" xfId="0" applyFont="1" applyFill="1" applyBorder="1" applyAlignment="1" applyProtection="1">
      <alignment horizontal="right"/>
    </xf>
    <xf numFmtId="0" fontId="12" fillId="28" borderId="0" xfId="0" applyFont="1" applyFill="1" applyBorder="1" applyProtection="1"/>
    <xf numFmtId="0" fontId="12" fillId="28" borderId="17" xfId="0" applyFont="1" applyFill="1" applyBorder="1" applyProtection="1"/>
    <xf numFmtId="0" fontId="12" fillId="28" borderId="0" xfId="0" applyFont="1" applyFill="1" applyBorder="1" applyAlignment="1" applyProtection="1">
      <alignment horizontal="right"/>
    </xf>
    <xf numFmtId="165" fontId="12" fillId="0" borderId="0" xfId="0" applyNumberFormat="1" applyFont="1" applyFill="1" applyBorder="1" applyProtection="1"/>
    <xf numFmtId="1" fontId="12" fillId="0" borderId="13" xfId="0" applyNumberFormat="1" applyFont="1" applyBorder="1" applyProtection="1"/>
    <xf numFmtId="1" fontId="12" fillId="0" borderId="17" xfId="0" applyNumberFormat="1" applyFont="1" applyBorder="1" applyProtection="1"/>
    <xf numFmtId="0" fontId="12" fillId="28" borderId="18" xfId="0" applyFont="1" applyFill="1" applyBorder="1" applyAlignment="1" applyProtection="1">
      <alignment horizontal="right"/>
    </xf>
    <xf numFmtId="0" fontId="12" fillId="28" borderId="19" xfId="0" applyFont="1" applyFill="1" applyBorder="1" applyProtection="1"/>
    <xf numFmtId="9" fontId="12" fillId="0" borderId="0" xfId="0" applyNumberFormat="1" applyFont="1" applyProtection="1"/>
    <xf numFmtId="1" fontId="12" fillId="28" borderId="17" xfId="0" applyNumberFormat="1" applyFont="1" applyFill="1" applyBorder="1" applyProtection="1"/>
    <xf numFmtId="1" fontId="12" fillId="28" borderId="12" xfId="0" applyNumberFormat="1" applyFont="1" applyFill="1" applyBorder="1" applyProtection="1"/>
    <xf numFmtId="0" fontId="9" fillId="27" borderId="0" xfId="0" applyFont="1" applyFill="1" applyBorder="1" applyAlignment="1" applyProtection="1">
      <alignment horizontal="right"/>
    </xf>
    <xf numFmtId="0" fontId="12" fillId="0" borderId="11" xfId="0" applyFont="1" applyFill="1" applyBorder="1" applyAlignment="1" applyProtection="1">
      <alignment vertical="center"/>
    </xf>
    <xf numFmtId="0" fontId="61" fillId="24" borderId="0" xfId="0" applyFont="1" applyFill="1" applyBorder="1" applyAlignment="1" applyProtection="1">
      <alignment horizontal="right"/>
    </xf>
    <xf numFmtId="0" fontId="93" fillId="0" borderId="0" xfId="0" applyFont="1" applyProtection="1"/>
    <xf numFmtId="0" fontId="37" fillId="0" borderId="0" xfId="0" applyFont="1" applyAlignment="1">
      <alignment vertical="center"/>
    </xf>
    <xf numFmtId="164" fontId="74" fillId="0" borderId="24" xfId="0" applyNumberFormat="1" applyFont="1" applyFill="1" applyBorder="1"/>
    <xf numFmtId="49" fontId="8" fillId="0" borderId="19" xfId="0" applyNumberFormat="1" applyFont="1" applyFill="1" applyBorder="1" applyAlignment="1">
      <alignment horizontal="right" vertical="center"/>
    </xf>
    <xf numFmtId="0" fontId="36" fillId="0" borderId="19" xfId="0" applyFont="1" applyFill="1" applyBorder="1" applyAlignment="1">
      <alignment vertical="top"/>
    </xf>
    <xf numFmtId="0" fontId="36" fillId="0" borderId="19" xfId="0" applyFont="1" applyFill="1" applyBorder="1" applyAlignment="1"/>
    <xf numFmtId="0" fontId="9" fillId="28" borderId="0" xfId="0" applyFont="1" applyFill="1" applyBorder="1" applyAlignment="1">
      <alignment horizontal="right"/>
    </xf>
    <xf numFmtId="0" fontId="36" fillId="0" borderId="17" xfId="0" applyFont="1" applyFill="1" applyBorder="1" applyAlignment="1">
      <alignment vertical="top"/>
    </xf>
    <xf numFmtId="0" fontId="8" fillId="29" borderId="15" xfId="0" applyFont="1" applyFill="1" applyBorder="1" applyAlignment="1">
      <alignment horizontal="center"/>
    </xf>
    <xf numFmtId="0" fontId="41" fillId="0" borderId="24" xfId="0" applyFont="1" applyBorder="1" applyAlignment="1">
      <alignment vertical="center"/>
    </xf>
    <xf numFmtId="49" fontId="8" fillId="0" borderId="21" xfId="0" applyNumberFormat="1" applyFont="1" applyFill="1" applyBorder="1" applyAlignment="1">
      <alignment horizontal="right" vertical="center"/>
    </xf>
    <xf numFmtId="0" fontId="36" fillId="0" borderId="21" xfId="0" applyFont="1" applyFill="1" applyBorder="1" applyAlignment="1"/>
    <xf numFmtId="2" fontId="36" fillId="0" borderId="0" xfId="0" applyNumberFormat="1" applyFont="1" applyProtection="1">
      <protection locked="0"/>
    </xf>
    <xf numFmtId="2" fontId="11" fillId="0" borderId="0" xfId="37" applyNumberFormat="1" applyFont="1" applyProtection="1"/>
    <xf numFmtId="2" fontId="36" fillId="0" borderId="0" xfId="37" applyNumberFormat="1" applyFont="1" applyProtection="1"/>
    <xf numFmtId="0" fontId="11" fillId="0" borderId="0" xfId="37" applyFont="1" applyProtection="1"/>
    <xf numFmtId="0" fontId="36" fillId="0" borderId="0" xfId="37" applyFont="1" applyProtection="1"/>
    <xf numFmtId="164" fontId="36" fillId="0" borderId="0" xfId="37" applyNumberFormat="1" applyFont="1" applyProtection="1"/>
    <xf numFmtId="0" fontId="36" fillId="31" borderId="22" xfId="37" applyFont="1" applyFill="1" applyBorder="1" applyProtection="1"/>
    <xf numFmtId="1" fontId="36" fillId="0" borderId="0" xfId="37" applyNumberFormat="1" applyFont="1" applyAlignment="1" applyProtection="1">
      <alignment horizontal="right"/>
    </xf>
    <xf numFmtId="1" fontId="36" fillId="0" borderId="0" xfId="37" applyNumberFormat="1" applyFont="1" applyAlignment="1" applyProtection="1">
      <alignment horizontal="left"/>
    </xf>
    <xf numFmtId="0" fontId="36" fillId="0" borderId="14" xfId="37" applyFont="1" applyBorder="1" applyProtection="1"/>
    <xf numFmtId="0" fontId="36" fillId="0" borderId="15" xfId="37" applyFont="1" applyBorder="1" applyAlignment="1" applyProtection="1">
      <alignment horizontal="right"/>
    </xf>
    <xf numFmtId="0" fontId="36" fillId="0" borderId="14" xfId="37" applyNumberFormat="1" applyFont="1" applyBorder="1" applyAlignment="1" applyProtection="1">
      <alignment horizontal="left"/>
    </xf>
    <xf numFmtId="0" fontId="36" fillId="0" borderId="15" xfId="37" applyNumberFormat="1" applyFont="1" applyBorder="1" applyAlignment="1" applyProtection="1">
      <alignment horizontal="right"/>
    </xf>
    <xf numFmtId="0" fontId="36" fillId="0" borderId="15" xfId="37" applyNumberFormat="1" applyFont="1" applyBorder="1" applyAlignment="1" applyProtection="1">
      <alignment horizontal="left"/>
    </xf>
    <xf numFmtId="0" fontId="36" fillId="0" borderId="13" xfId="37" applyNumberFormat="1" applyFont="1" applyBorder="1" applyAlignment="1" applyProtection="1">
      <alignment horizontal="left"/>
    </xf>
    <xf numFmtId="0" fontId="36" fillId="0" borderId="0" xfId="37" applyNumberFormat="1" applyFont="1" applyAlignment="1" applyProtection="1">
      <alignment horizontal="left"/>
    </xf>
    <xf numFmtId="0" fontId="36" fillId="31" borderId="25" xfId="37" applyFont="1" applyFill="1" applyBorder="1" applyProtection="1"/>
    <xf numFmtId="0" fontId="36" fillId="0" borderId="0" xfId="37" applyFont="1" applyFill="1" applyBorder="1" applyProtection="1"/>
    <xf numFmtId="0" fontId="36" fillId="0" borderId="16" xfId="37" applyFont="1" applyBorder="1" applyProtection="1"/>
    <xf numFmtId="0" fontId="9" fillId="0" borderId="0" xfId="37" applyFont="1" applyBorder="1" applyAlignment="1" applyProtection="1">
      <alignment horizontal="right"/>
    </xf>
    <xf numFmtId="0" fontId="36" fillId="0" borderId="0" xfId="37" applyFont="1" applyBorder="1" applyProtection="1"/>
    <xf numFmtId="0" fontId="9" fillId="0" borderId="16" xfId="37" applyNumberFormat="1" applyFont="1" applyBorder="1" applyAlignment="1" applyProtection="1">
      <alignment horizontal="right"/>
    </xf>
    <xf numFmtId="0" fontId="36" fillId="0" borderId="0" xfId="37" applyNumberFormat="1" applyFont="1" applyFill="1" applyBorder="1" applyAlignment="1" applyProtection="1"/>
    <xf numFmtId="0" fontId="36" fillId="0" borderId="0" xfId="37" applyNumberFormat="1" applyFont="1" applyBorder="1" applyProtection="1"/>
    <xf numFmtId="0" fontId="36" fillId="0" borderId="12" xfId="0" applyNumberFormat="1" applyFont="1" applyBorder="1"/>
    <xf numFmtId="0" fontId="36" fillId="0" borderId="0" xfId="37" applyNumberFormat="1" applyFont="1" applyProtection="1"/>
    <xf numFmtId="0" fontId="36" fillId="0" borderId="15" xfId="37" applyFont="1" applyBorder="1" applyProtection="1"/>
    <xf numFmtId="0" fontId="36" fillId="0" borderId="14" xfId="37" applyNumberFormat="1" applyFont="1" applyBorder="1" applyAlignment="1" applyProtection="1">
      <alignment horizontal="right"/>
    </xf>
    <xf numFmtId="0" fontId="36" fillId="0" borderId="13" xfId="37" applyNumberFormat="1" applyFont="1" applyBorder="1" applyProtection="1">
      <protection locked="0"/>
    </xf>
    <xf numFmtId="0" fontId="36" fillId="0" borderId="0" xfId="37" applyFont="1" applyFill="1" applyBorder="1" applyAlignment="1" applyProtection="1">
      <alignment horizontal="left"/>
    </xf>
    <xf numFmtId="0" fontId="36" fillId="0" borderId="0" xfId="37" applyFont="1" applyBorder="1" applyAlignment="1" applyProtection="1">
      <alignment horizontal="right"/>
    </xf>
    <xf numFmtId="0" fontId="36" fillId="0" borderId="0" xfId="37" applyFont="1" applyBorder="1" applyAlignment="1" applyProtection="1"/>
    <xf numFmtId="0" fontId="36" fillId="0" borderId="16" xfId="37" applyNumberFormat="1" applyFont="1" applyBorder="1" applyProtection="1"/>
    <xf numFmtId="0" fontId="36" fillId="0" borderId="0" xfId="37" applyNumberFormat="1" applyFont="1" applyBorder="1" applyAlignment="1" applyProtection="1">
      <alignment horizontal="right"/>
    </xf>
    <xf numFmtId="0" fontId="36" fillId="0" borderId="17" xfId="37" applyNumberFormat="1" applyFont="1" applyBorder="1" applyProtection="1">
      <protection locked="0"/>
    </xf>
    <xf numFmtId="0" fontId="36" fillId="0" borderId="0" xfId="37" applyFont="1" applyAlignment="1" applyProtection="1">
      <alignment vertical="center"/>
    </xf>
    <xf numFmtId="164" fontId="36" fillId="0" borderId="0" xfId="37" applyNumberFormat="1" applyFont="1" applyFill="1" applyBorder="1" applyProtection="1"/>
    <xf numFmtId="0" fontId="36" fillId="0" borderId="18" xfId="37" applyFont="1" applyBorder="1" applyProtection="1"/>
    <xf numFmtId="0" fontId="36" fillId="0" borderId="19" xfId="37" applyFont="1" applyBorder="1" applyAlignment="1" applyProtection="1">
      <alignment horizontal="right"/>
    </xf>
    <xf numFmtId="0" fontId="36" fillId="0" borderId="19" xfId="37" applyFont="1" applyBorder="1" applyProtection="1"/>
    <xf numFmtId="0" fontId="36" fillId="0" borderId="20" xfId="37" applyFont="1" applyBorder="1" applyAlignment="1" applyProtection="1">
      <alignment horizontal="right"/>
    </xf>
    <xf numFmtId="0" fontId="36" fillId="0" borderId="10" xfId="37" applyFont="1" applyBorder="1" applyAlignment="1" applyProtection="1">
      <alignment horizontal="right"/>
      <protection locked="0"/>
    </xf>
    <xf numFmtId="2" fontId="36" fillId="0" borderId="0" xfId="37" applyNumberFormat="1" applyFont="1" applyBorder="1" applyProtection="1"/>
    <xf numFmtId="0" fontId="36" fillId="0" borderId="17" xfId="37" applyFont="1" applyBorder="1" applyProtection="1">
      <protection locked="0"/>
    </xf>
    <xf numFmtId="0" fontId="37" fillId="31" borderId="15" xfId="37" applyFont="1" applyFill="1" applyBorder="1" applyProtection="1"/>
    <xf numFmtId="0" fontId="36" fillId="31" borderId="15" xfId="37" applyFont="1" applyFill="1" applyBorder="1" applyProtection="1"/>
    <xf numFmtId="2" fontId="36" fillId="31" borderId="15" xfId="37" applyNumberFormat="1" applyFont="1" applyFill="1" applyBorder="1" applyProtection="1"/>
    <xf numFmtId="164" fontId="36" fillId="31" borderId="15" xfId="37" applyNumberFormat="1" applyFont="1" applyFill="1" applyBorder="1" applyProtection="1"/>
    <xf numFmtId="0" fontId="36" fillId="31" borderId="17" xfId="37" applyFont="1" applyFill="1" applyBorder="1" applyProtection="1"/>
    <xf numFmtId="0" fontId="36" fillId="0" borderId="20" xfId="37" applyFont="1" applyBorder="1" applyProtection="1"/>
    <xf numFmtId="0" fontId="36" fillId="0" borderId="15" xfId="37" applyFont="1" applyFill="1" applyBorder="1" applyProtection="1">
      <protection locked="0"/>
    </xf>
    <xf numFmtId="0" fontId="36" fillId="0" borderId="16" xfId="37" applyFont="1" applyBorder="1" applyAlignment="1" applyProtection="1">
      <alignment horizontal="right"/>
    </xf>
    <xf numFmtId="0" fontId="36" fillId="0" borderId="12" xfId="37" applyFont="1" applyBorder="1" applyProtection="1"/>
    <xf numFmtId="0" fontId="36" fillId="31" borderId="16" xfId="37" applyFont="1" applyFill="1" applyBorder="1" applyProtection="1"/>
    <xf numFmtId="0" fontId="36" fillId="31" borderId="0" xfId="37" applyFont="1" applyFill="1" applyBorder="1" applyProtection="1"/>
    <xf numFmtId="2" fontId="36" fillId="31" borderId="0" xfId="37" applyNumberFormat="1" applyFont="1" applyFill="1" applyBorder="1" applyProtection="1"/>
    <xf numFmtId="164" fontId="36" fillId="31" borderId="0" xfId="37" applyNumberFormat="1" applyFont="1" applyFill="1" applyBorder="1" applyProtection="1"/>
    <xf numFmtId="0" fontId="36" fillId="0" borderId="21" xfId="37" applyFont="1" applyBorder="1" applyAlignment="1" applyProtection="1">
      <alignment horizontal="right"/>
    </xf>
    <xf numFmtId="0" fontId="36" fillId="0" borderId="10" xfId="37" applyFont="1" applyBorder="1" applyProtection="1"/>
    <xf numFmtId="0" fontId="36" fillId="31" borderId="18" xfId="37" applyFont="1" applyFill="1" applyBorder="1" applyProtection="1"/>
    <xf numFmtId="0" fontId="36" fillId="31" borderId="19" xfId="37" applyFont="1" applyFill="1" applyBorder="1" applyProtection="1"/>
    <xf numFmtId="2" fontId="36" fillId="31" borderId="19" xfId="37" applyNumberFormat="1" applyFont="1" applyFill="1" applyBorder="1" applyProtection="1"/>
    <xf numFmtId="164" fontId="36" fillId="31" borderId="19" xfId="37" applyNumberFormat="1" applyFont="1" applyFill="1" applyBorder="1" applyProtection="1"/>
    <xf numFmtId="0" fontId="9" fillId="0" borderId="15" xfId="37" applyFont="1" applyBorder="1" applyAlignment="1" applyProtection="1">
      <alignment horizontal="right"/>
    </xf>
    <xf numFmtId="0" fontId="36" fillId="0" borderId="13" xfId="37" applyNumberFormat="1" applyFont="1" applyBorder="1" applyProtection="1"/>
    <xf numFmtId="0" fontId="9" fillId="0" borderId="0" xfId="37" applyNumberFormat="1" applyFont="1" applyBorder="1" applyProtection="1"/>
    <xf numFmtId="0" fontId="36" fillId="0" borderId="17" xfId="37" applyFont="1" applyFill="1" applyBorder="1" applyProtection="1"/>
    <xf numFmtId="0" fontId="36" fillId="0" borderId="17" xfId="37" applyNumberFormat="1" applyFont="1" applyBorder="1" applyProtection="1"/>
    <xf numFmtId="0" fontId="37" fillId="27" borderId="15" xfId="37" applyFont="1" applyFill="1" applyBorder="1" applyAlignment="1" applyProtection="1">
      <alignment horizontal="left"/>
    </xf>
    <xf numFmtId="164" fontId="36" fillId="27" borderId="15" xfId="37" applyNumberFormat="1" applyFont="1" applyFill="1" applyBorder="1" applyProtection="1"/>
    <xf numFmtId="0" fontId="36" fillId="27" borderId="15" xfId="37" applyFont="1" applyFill="1" applyBorder="1" applyProtection="1"/>
    <xf numFmtId="168" fontId="36" fillId="0" borderId="0" xfId="37" applyNumberFormat="1" applyFont="1" applyBorder="1" applyProtection="1"/>
    <xf numFmtId="0" fontId="36" fillId="27" borderId="16" xfId="37" applyFont="1" applyFill="1" applyBorder="1" applyProtection="1"/>
    <xf numFmtId="0" fontId="36" fillId="27" borderId="0" xfId="37" applyFont="1" applyFill="1" applyBorder="1" applyProtection="1"/>
    <xf numFmtId="2" fontId="36" fillId="27" borderId="0" xfId="37" applyNumberFormat="1" applyFont="1" applyFill="1" applyBorder="1" applyProtection="1"/>
    <xf numFmtId="164" fontId="36" fillId="27" borderId="0" xfId="37" applyNumberFormat="1" applyFont="1" applyFill="1" applyBorder="1" applyProtection="1"/>
    <xf numFmtId="164" fontId="36" fillId="27" borderId="0" xfId="37" applyNumberFormat="1" applyFont="1" applyFill="1" applyProtection="1"/>
    <xf numFmtId="0" fontId="12" fillId="27" borderId="0" xfId="0" applyFont="1" applyFill="1" applyBorder="1"/>
    <xf numFmtId="0" fontId="12" fillId="27" borderId="17" xfId="0" applyFont="1" applyFill="1" applyBorder="1"/>
    <xf numFmtId="171" fontId="36" fillId="0" borderId="19" xfId="37" applyNumberFormat="1" applyFont="1" applyBorder="1" applyProtection="1"/>
    <xf numFmtId="0" fontId="36" fillId="0" borderId="12" xfId="37" applyNumberFormat="1" applyFont="1" applyBorder="1" applyProtection="1"/>
    <xf numFmtId="0" fontId="36" fillId="27" borderId="18" xfId="37" applyFont="1" applyFill="1" applyBorder="1" applyProtection="1"/>
    <xf numFmtId="0" fontId="36" fillId="27" borderId="19" xfId="37" applyFont="1" applyFill="1" applyBorder="1" applyProtection="1"/>
    <xf numFmtId="2" fontId="36" fillId="27" borderId="19" xfId="37" applyNumberFormat="1" applyFont="1" applyFill="1" applyBorder="1" applyProtection="1"/>
    <xf numFmtId="0" fontId="12" fillId="27" borderId="19" xfId="0" applyFont="1" applyFill="1" applyBorder="1" applyProtection="1"/>
    <xf numFmtId="0" fontId="36" fillId="27" borderId="12" xfId="37" applyFont="1" applyFill="1" applyBorder="1" applyProtection="1"/>
    <xf numFmtId="170" fontId="36" fillId="0" borderId="17" xfId="37" applyNumberFormat="1" applyFont="1" applyBorder="1" applyProtection="1"/>
    <xf numFmtId="2" fontId="36" fillId="0" borderId="0" xfId="37" applyNumberFormat="1" applyFont="1" applyFill="1" applyBorder="1" applyProtection="1"/>
    <xf numFmtId="0" fontId="36" fillId="0" borderId="13" xfId="37" applyFont="1" applyBorder="1" applyProtection="1"/>
    <xf numFmtId="0" fontId="37" fillId="28" borderId="15" xfId="37" applyFont="1" applyFill="1" applyBorder="1" applyProtection="1"/>
    <xf numFmtId="0" fontId="36" fillId="28" borderId="15" xfId="37" applyFont="1" applyFill="1" applyBorder="1" applyProtection="1"/>
    <xf numFmtId="2" fontId="36" fillId="28" borderId="15" xfId="37" applyNumberFormat="1" applyFont="1" applyFill="1" applyBorder="1" applyProtection="1"/>
    <xf numFmtId="164" fontId="36" fillId="28" borderId="15" xfId="37" applyNumberFormat="1" applyFont="1" applyFill="1" applyBorder="1" applyProtection="1"/>
    <xf numFmtId="0" fontId="36" fillId="28" borderId="13" xfId="37" applyFont="1" applyFill="1" applyBorder="1" applyProtection="1"/>
    <xf numFmtId="0" fontId="36" fillId="0" borderId="0" xfId="37" applyNumberFormat="1" applyFont="1" applyBorder="1" applyAlignment="1" applyProtection="1">
      <alignment horizontal="left"/>
    </xf>
    <xf numFmtId="0" fontId="36" fillId="0" borderId="17" xfId="37" applyFont="1" applyBorder="1" applyProtection="1"/>
    <xf numFmtId="0" fontId="12" fillId="28" borderId="16" xfId="0" applyFont="1" applyFill="1" applyBorder="1" applyProtection="1"/>
    <xf numFmtId="0" fontId="36" fillId="28" borderId="17" xfId="37" applyFont="1" applyFill="1" applyBorder="1" applyProtection="1"/>
    <xf numFmtId="0" fontId="36" fillId="28" borderId="16" xfId="37" applyFont="1" applyFill="1" applyBorder="1" applyProtection="1"/>
    <xf numFmtId="0" fontId="36" fillId="28" borderId="0" xfId="37" applyFont="1" applyFill="1" applyBorder="1" applyProtection="1"/>
    <xf numFmtId="164" fontId="36" fillId="28" borderId="0" xfId="37" applyNumberFormat="1" applyFont="1" applyFill="1" applyBorder="1" applyProtection="1"/>
    <xf numFmtId="164" fontId="36" fillId="28" borderId="0" xfId="37" applyNumberFormat="1" applyFont="1" applyFill="1" applyProtection="1"/>
    <xf numFmtId="2" fontId="36" fillId="28" borderId="0" xfId="37" applyNumberFormat="1" applyFont="1" applyFill="1" applyBorder="1" applyProtection="1"/>
    <xf numFmtId="0" fontId="36" fillId="28" borderId="18" xfId="37" applyFont="1" applyFill="1" applyBorder="1" applyProtection="1"/>
    <xf numFmtId="0" fontId="36" fillId="28" borderId="19" xfId="37" applyFont="1" applyFill="1" applyBorder="1" applyProtection="1"/>
    <xf numFmtId="2" fontId="36" fillId="28" borderId="19" xfId="37" applyNumberFormat="1" applyFont="1" applyFill="1" applyBorder="1" applyProtection="1"/>
    <xf numFmtId="164" fontId="36" fillId="28" borderId="19" xfId="37" applyNumberFormat="1" applyFont="1" applyFill="1" applyBorder="1" applyProtection="1"/>
    <xf numFmtId="0" fontId="36" fillId="28" borderId="12" xfId="37" applyFont="1" applyFill="1" applyBorder="1" applyProtection="1"/>
    <xf numFmtId="0" fontId="36" fillId="0" borderId="18" xfId="37" applyNumberFormat="1" applyFont="1" applyBorder="1" applyProtection="1"/>
    <xf numFmtId="0" fontId="36" fillId="0" borderId="19" xfId="37" applyNumberFormat="1" applyFont="1" applyBorder="1" applyProtection="1"/>
    <xf numFmtId="0" fontId="36" fillId="0" borderId="19" xfId="37" applyNumberFormat="1" applyFont="1" applyBorder="1" applyAlignment="1" applyProtection="1">
      <alignment horizontal="left"/>
    </xf>
    <xf numFmtId="0" fontId="37" fillId="24" borderId="15" xfId="37" applyFont="1" applyFill="1" applyBorder="1" applyProtection="1"/>
    <xf numFmtId="0" fontId="36" fillId="24" borderId="15" xfId="37" applyFont="1" applyFill="1" applyBorder="1" applyProtection="1"/>
    <xf numFmtId="2" fontId="36" fillId="24" borderId="15" xfId="37" applyNumberFormat="1" applyFont="1" applyFill="1" applyBorder="1" applyProtection="1"/>
    <xf numFmtId="164" fontId="36" fillId="24" borderId="15" xfId="37" applyNumberFormat="1" applyFont="1" applyFill="1" applyBorder="1" applyProtection="1"/>
    <xf numFmtId="0" fontId="36" fillId="24" borderId="13" xfId="37" applyFont="1" applyFill="1" applyBorder="1" applyProtection="1"/>
    <xf numFmtId="0" fontId="36" fillId="0" borderId="14" xfId="37" applyNumberFormat="1" applyFont="1" applyBorder="1" applyProtection="1"/>
    <xf numFmtId="0" fontId="36" fillId="0" borderId="15" xfId="37" applyNumberFormat="1" applyFont="1" applyBorder="1" applyProtection="1"/>
    <xf numFmtId="0" fontId="36" fillId="24" borderId="16" xfId="37" applyFont="1" applyFill="1" applyBorder="1" applyProtection="1"/>
    <xf numFmtId="0" fontId="36" fillId="24" borderId="0" xfId="37" applyFont="1" applyFill="1" applyBorder="1" applyProtection="1"/>
    <xf numFmtId="2" fontId="36" fillId="24" borderId="0" xfId="37" applyNumberFormat="1" applyFont="1" applyFill="1" applyBorder="1" applyProtection="1"/>
    <xf numFmtId="164" fontId="36" fillId="24" borderId="0" xfId="37" applyNumberFormat="1" applyFont="1" applyFill="1" applyBorder="1" applyProtection="1"/>
    <xf numFmtId="0" fontId="36" fillId="24" borderId="17" xfId="37" applyFont="1" applyFill="1" applyBorder="1" applyProtection="1"/>
    <xf numFmtId="0" fontId="36" fillId="24" borderId="0" xfId="37" applyFont="1" applyFill="1" applyProtection="1"/>
    <xf numFmtId="164" fontId="36" fillId="24" borderId="0" xfId="37" applyNumberFormat="1" applyFont="1" applyFill="1" applyProtection="1"/>
    <xf numFmtId="0" fontId="12" fillId="24" borderId="0" xfId="0" applyFont="1" applyFill="1" applyBorder="1" applyProtection="1"/>
    <xf numFmtId="2" fontId="36" fillId="24" borderId="0" xfId="37" applyNumberFormat="1" applyFont="1" applyFill="1" applyProtection="1"/>
    <xf numFmtId="164" fontId="36" fillId="24" borderId="0" xfId="37" applyNumberFormat="1" applyFont="1" applyFill="1" applyBorder="1" applyAlignment="1" applyProtection="1">
      <alignment horizontal="right"/>
    </xf>
    <xf numFmtId="0" fontId="36" fillId="0" borderId="11" xfId="37" applyFont="1" applyFill="1" applyBorder="1" applyProtection="1"/>
    <xf numFmtId="0" fontId="12" fillId="24" borderId="0" xfId="0" applyFont="1" applyFill="1" applyBorder="1"/>
    <xf numFmtId="0" fontId="36" fillId="24" borderId="18" xfId="37" applyFont="1" applyFill="1" applyBorder="1" applyProtection="1"/>
    <xf numFmtId="0" fontId="36" fillId="24" borderId="19" xfId="37" applyFont="1" applyFill="1" applyBorder="1" applyProtection="1"/>
    <xf numFmtId="2" fontId="36" fillId="24" borderId="19" xfId="37" applyNumberFormat="1" applyFont="1" applyFill="1" applyBorder="1" applyProtection="1"/>
    <xf numFmtId="0" fontId="36" fillId="24" borderId="12" xfId="37" applyFont="1" applyFill="1" applyBorder="1" applyProtection="1"/>
    <xf numFmtId="0" fontId="36" fillId="0" borderId="16" xfId="37" applyNumberFormat="1" applyFont="1" applyBorder="1" applyAlignment="1" applyProtection="1">
      <alignment horizontal="right"/>
    </xf>
    <xf numFmtId="167" fontId="36" fillId="0" borderId="0" xfId="40" applyNumberFormat="1" applyFont="1" applyBorder="1" applyProtection="1"/>
    <xf numFmtId="9" fontId="36" fillId="0" borderId="19" xfId="40" applyFont="1" applyBorder="1" applyProtection="1"/>
    <xf numFmtId="1" fontId="36" fillId="0" borderId="0" xfId="37" applyNumberFormat="1" applyFont="1" applyProtection="1"/>
    <xf numFmtId="0" fontId="36" fillId="31" borderId="24" xfId="37" applyFont="1" applyFill="1" applyBorder="1" applyProtection="1"/>
    <xf numFmtId="0" fontId="36" fillId="0" borderId="0" xfId="37" applyFont="1" applyFill="1" applyProtection="1"/>
    <xf numFmtId="0" fontId="36" fillId="0" borderId="0" xfId="37" applyFont="1" applyFill="1" applyAlignment="1" applyProtection="1">
      <alignment horizontal="left"/>
    </xf>
    <xf numFmtId="0" fontId="36" fillId="0" borderId="0" xfId="37" applyFont="1" applyAlignment="1" applyProtection="1">
      <alignment horizontal="center"/>
    </xf>
    <xf numFmtId="0" fontId="36" fillId="0" borderId="0" xfId="37" applyFont="1" applyFill="1" applyAlignment="1" applyProtection="1">
      <alignment horizontal="center"/>
    </xf>
    <xf numFmtId="0" fontId="36" fillId="0" borderId="0" xfId="37" applyNumberFormat="1" applyFont="1" applyAlignment="1" applyProtection="1">
      <alignment horizontal="center"/>
    </xf>
    <xf numFmtId="164" fontId="9" fillId="0" borderId="0" xfId="37" applyNumberFormat="1" applyFont="1" applyAlignment="1" applyProtection="1">
      <alignment horizontal="center"/>
    </xf>
    <xf numFmtId="2" fontId="9" fillId="0" borderId="0" xfId="37" applyNumberFormat="1" applyFont="1" applyAlignment="1" applyProtection="1">
      <alignment horizontal="center"/>
    </xf>
    <xf numFmtId="0" fontId="9" fillId="0" borderId="0" xfId="37" applyFont="1" applyAlignment="1" applyProtection="1">
      <alignment horizontal="center"/>
    </xf>
    <xf numFmtId="0" fontId="9" fillId="0" borderId="0" xfId="37" applyNumberFormat="1" applyFont="1" applyAlignment="1" applyProtection="1">
      <alignment horizontal="center"/>
    </xf>
    <xf numFmtId="165" fontId="36" fillId="0" borderId="0" xfId="37" applyNumberFormat="1" applyFont="1" applyProtection="1"/>
    <xf numFmtId="165" fontId="36" fillId="0" borderId="0" xfId="37" applyNumberFormat="1" applyFont="1" applyFill="1" applyProtection="1"/>
    <xf numFmtId="165" fontId="36" fillId="0" borderId="0" xfId="37" applyNumberFormat="1" applyFont="1" applyFill="1" applyAlignment="1" applyProtection="1">
      <alignment horizontal="left"/>
    </xf>
    <xf numFmtId="164" fontId="36" fillId="0" borderId="0" xfId="37" applyNumberFormat="1" applyFont="1" applyAlignment="1" applyProtection="1">
      <alignment horizontal="center"/>
    </xf>
    <xf numFmtId="0" fontId="94" fillId="27" borderId="15" xfId="37" applyFont="1" applyFill="1" applyBorder="1" applyAlignment="1" applyProtection="1">
      <alignment horizontal="left"/>
    </xf>
    <xf numFmtId="0" fontId="0" fillId="24" borderId="0" xfId="0" applyFill="1"/>
    <xf numFmtId="0" fontId="41" fillId="24" borderId="0" xfId="0" applyFont="1" applyFill="1" applyBorder="1" applyAlignment="1" applyProtection="1"/>
    <xf numFmtId="0" fontId="41" fillId="0" borderId="11" xfId="0" applyFont="1" applyFill="1" applyBorder="1" applyAlignment="1" applyProtection="1">
      <alignment horizontal="left"/>
      <protection locked="0"/>
    </xf>
    <xf numFmtId="0" fontId="36" fillId="28" borderId="0" xfId="0" applyFont="1" applyFill="1" applyAlignment="1">
      <alignment horizontal="right"/>
    </xf>
    <xf numFmtId="0" fontId="66" fillId="24" borderId="0" xfId="0" applyFont="1" applyFill="1" applyBorder="1" applyProtection="1">
      <protection locked="0"/>
    </xf>
    <xf numFmtId="0" fontId="36" fillId="0" borderId="14" xfId="0" applyFont="1" applyBorder="1" applyProtection="1">
      <protection locked="0"/>
    </xf>
    <xf numFmtId="0" fontId="36" fillId="0" borderId="20" xfId="0" applyFont="1" applyFill="1" applyBorder="1" applyProtection="1">
      <protection locked="0"/>
    </xf>
    <xf numFmtId="0" fontId="36" fillId="0" borderId="10" xfId="0" applyFont="1" applyFill="1" applyBorder="1"/>
    <xf numFmtId="0" fontId="36" fillId="0" borderId="14" xfId="0" applyFont="1" applyFill="1" applyBorder="1" applyAlignment="1" applyProtection="1">
      <alignment horizontal="left" vertical="center"/>
      <protection locked="0"/>
    </xf>
    <xf numFmtId="0" fontId="36" fillId="24" borderId="0" xfId="0" applyFont="1" applyFill="1" applyBorder="1" applyAlignment="1" applyProtection="1">
      <protection locked="0"/>
    </xf>
    <xf numFmtId="0" fontId="36" fillId="30" borderId="15" xfId="0" applyFont="1" applyFill="1" applyBorder="1" applyProtection="1">
      <protection locked="0"/>
    </xf>
    <xf numFmtId="0" fontId="36" fillId="24" borderId="0" xfId="0" applyFont="1" applyFill="1" applyProtection="1">
      <protection locked="0"/>
    </xf>
    <xf numFmtId="164" fontId="36" fillId="0" borderId="0" xfId="0" applyNumberFormat="1" applyFont="1"/>
    <xf numFmtId="0" fontId="36" fillId="0" borderId="0" xfId="0" applyFont="1" applyFill="1" applyBorder="1" applyAlignment="1">
      <alignment horizontal="center"/>
    </xf>
    <xf numFmtId="0" fontId="12" fillId="0" borderId="0" xfId="0" applyFont="1" applyFill="1" applyAlignment="1"/>
    <xf numFmtId="0" fontId="36" fillId="0" borderId="0" xfId="0" applyFont="1" applyFill="1" applyBorder="1" applyAlignment="1">
      <alignment horizontal="right"/>
    </xf>
    <xf numFmtId="0" fontId="36" fillId="0" borderId="17" xfId="0" applyFont="1" applyFill="1" applyBorder="1" applyAlignment="1">
      <alignment horizontal="right"/>
    </xf>
    <xf numFmtId="0" fontId="36" fillId="0" borderId="20" xfId="0" applyFont="1" applyBorder="1" applyAlignment="1" applyProtection="1">
      <alignment horizontal="left"/>
      <protection locked="0"/>
    </xf>
    <xf numFmtId="0" fontId="36" fillId="0" borderId="10" xfId="0" applyFont="1" applyBorder="1" applyAlignment="1" applyProtection="1">
      <alignment horizontal="left"/>
      <protection locked="0"/>
    </xf>
    <xf numFmtId="0" fontId="36" fillId="0" borderId="0" xfId="0" applyNumberFormat="1" applyFont="1" applyFill="1" applyBorder="1" applyAlignment="1">
      <alignment horizontal="right"/>
    </xf>
    <xf numFmtId="0" fontId="36" fillId="0" borderId="20" xfId="0" applyFont="1" applyFill="1" applyBorder="1" applyAlignment="1" applyProtection="1">
      <alignment horizontal="center" vertical="center"/>
      <protection locked="0"/>
    </xf>
    <xf numFmtId="0" fontId="36" fillId="0" borderId="21" xfId="0" applyFont="1" applyFill="1" applyBorder="1" applyAlignment="1" applyProtection="1">
      <alignment horizontal="center" vertical="center"/>
      <protection locked="0"/>
    </xf>
    <xf numFmtId="0" fontId="36" fillId="0" borderId="10" xfId="0" applyFont="1" applyFill="1" applyBorder="1" applyAlignment="1" applyProtection="1">
      <alignment horizontal="center" vertical="center"/>
      <protection locked="0"/>
    </xf>
    <xf numFmtId="0" fontId="36" fillId="29" borderId="16" xfId="0" applyNumberFormat="1" applyFont="1" applyFill="1" applyBorder="1" applyAlignment="1">
      <alignment horizontal="center"/>
    </xf>
    <xf numFmtId="0" fontId="36" fillId="29" borderId="0" xfId="0" applyNumberFormat="1" applyFont="1" applyFill="1" applyBorder="1" applyAlignment="1">
      <alignment horizontal="center"/>
    </xf>
    <xf numFmtId="0" fontId="36" fillId="29" borderId="17" xfId="0" applyNumberFormat="1" applyFont="1" applyFill="1" applyBorder="1" applyAlignment="1">
      <alignment horizontal="center"/>
    </xf>
    <xf numFmtId="0" fontId="37" fillId="29" borderId="16" xfId="0" applyNumberFormat="1" applyFont="1" applyFill="1" applyBorder="1" applyAlignment="1">
      <alignment horizontal="left" vertical="center"/>
    </xf>
    <xf numFmtId="0" fontId="37" fillId="29" borderId="0" xfId="0" applyNumberFormat="1" applyFont="1" applyFill="1" applyBorder="1" applyAlignment="1">
      <alignment horizontal="left" vertical="center"/>
    </xf>
    <xf numFmtId="0" fontId="37" fillId="29" borderId="17" xfId="0" applyNumberFormat="1" applyFont="1" applyFill="1" applyBorder="1" applyAlignment="1">
      <alignment horizontal="left" vertical="center"/>
    </xf>
    <xf numFmtId="0" fontId="36" fillId="0" borderId="21" xfId="0" applyFont="1" applyBorder="1" applyAlignment="1" applyProtection="1">
      <alignment horizontal="left"/>
      <protection locked="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p value function 10-11-2" xfId="37"/>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2">
    <dxf>
      <fill>
        <patternFill>
          <bgColor indexed="10"/>
        </patternFill>
      </fill>
    </dxf>
    <dxf>
      <fill>
        <patternFill>
          <bgColor indexed="29"/>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externalLink" Target="externalLinks/externalLink15.xml"/><Relationship Id="rId39" Type="http://schemas.openxmlformats.org/officeDocument/2006/relationships/externalLink" Target="externalLinks/externalLink28.xml"/><Relationship Id="rId3" Type="http://schemas.openxmlformats.org/officeDocument/2006/relationships/worksheet" Target="worksheets/sheet3.xml"/><Relationship Id="rId21" Type="http://schemas.openxmlformats.org/officeDocument/2006/relationships/externalLink" Target="externalLinks/externalLink10.xml"/><Relationship Id="rId34" Type="http://schemas.openxmlformats.org/officeDocument/2006/relationships/externalLink" Target="externalLinks/externalLink23.xml"/><Relationship Id="rId42" Type="http://schemas.openxmlformats.org/officeDocument/2006/relationships/externalLink" Target="externalLinks/externalLink31.xml"/><Relationship Id="rId47" Type="http://schemas.openxmlformats.org/officeDocument/2006/relationships/externalLink" Target="externalLinks/externalLink36.xml"/><Relationship Id="rId50"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externalLink" Target="externalLinks/externalLink14.xml"/><Relationship Id="rId33" Type="http://schemas.openxmlformats.org/officeDocument/2006/relationships/externalLink" Target="externalLinks/externalLink22.xml"/><Relationship Id="rId38" Type="http://schemas.openxmlformats.org/officeDocument/2006/relationships/externalLink" Target="externalLinks/externalLink27.xml"/><Relationship Id="rId46" Type="http://schemas.openxmlformats.org/officeDocument/2006/relationships/externalLink" Target="externalLinks/externalLink35.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externalLink" Target="externalLinks/externalLink9.xml"/><Relationship Id="rId29" Type="http://schemas.openxmlformats.org/officeDocument/2006/relationships/externalLink" Target="externalLinks/externalLink18.xml"/><Relationship Id="rId41" Type="http://schemas.openxmlformats.org/officeDocument/2006/relationships/externalLink" Target="externalLinks/externalLink30.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3.xml"/><Relationship Id="rId32" Type="http://schemas.openxmlformats.org/officeDocument/2006/relationships/externalLink" Target="externalLinks/externalLink21.xml"/><Relationship Id="rId37" Type="http://schemas.openxmlformats.org/officeDocument/2006/relationships/externalLink" Target="externalLinks/externalLink26.xml"/><Relationship Id="rId40" Type="http://schemas.openxmlformats.org/officeDocument/2006/relationships/externalLink" Target="externalLinks/externalLink29.xml"/><Relationship Id="rId45" Type="http://schemas.openxmlformats.org/officeDocument/2006/relationships/externalLink" Target="externalLinks/externalLink34.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externalLink" Target="externalLinks/externalLink12.xml"/><Relationship Id="rId28" Type="http://schemas.openxmlformats.org/officeDocument/2006/relationships/externalLink" Target="externalLinks/externalLink17.xml"/><Relationship Id="rId36" Type="http://schemas.openxmlformats.org/officeDocument/2006/relationships/externalLink" Target="externalLinks/externalLink25.xml"/><Relationship Id="rId49" Type="http://schemas.openxmlformats.org/officeDocument/2006/relationships/externalLink" Target="externalLinks/externalLink38.xml"/><Relationship Id="rId10" Type="http://schemas.openxmlformats.org/officeDocument/2006/relationships/worksheet" Target="worksheets/sheet10.xml"/><Relationship Id="rId19" Type="http://schemas.openxmlformats.org/officeDocument/2006/relationships/externalLink" Target="externalLinks/externalLink8.xml"/><Relationship Id="rId31" Type="http://schemas.openxmlformats.org/officeDocument/2006/relationships/externalLink" Target="externalLinks/externalLink20.xml"/><Relationship Id="rId44" Type="http://schemas.openxmlformats.org/officeDocument/2006/relationships/externalLink" Target="externalLinks/externalLink33.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openxmlformats.org/officeDocument/2006/relationships/externalLink" Target="externalLinks/externalLink16.xml"/><Relationship Id="rId30" Type="http://schemas.openxmlformats.org/officeDocument/2006/relationships/externalLink" Target="externalLinks/externalLink19.xml"/><Relationship Id="rId35" Type="http://schemas.openxmlformats.org/officeDocument/2006/relationships/externalLink" Target="externalLinks/externalLink24.xml"/><Relationship Id="rId43" Type="http://schemas.openxmlformats.org/officeDocument/2006/relationships/externalLink" Target="externalLinks/externalLink32.xml"/><Relationship Id="rId48" Type="http://schemas.openxmlformats.org/officeDocument/2006/relationships/externalLink" Target="externalLinks/externalLink37.xml"/><Relationship Id="rId8" Type="http://schemas.openxmlformats.org/officeDocument/2006/relationships/worksheet" Target="worksheets/sheet8.xml"/><Relationship Id="rId51"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7.4721780604133606E-2"/>
          <c:y val="0.11374433904847417"/>
          <c:w val="0.90461049284578743"/>
          <c:h val="0.66350864444943314"/>
        </c:manualLayout>
      </c:layout>
      <c:scatterChart>
        <c:scatterStyle val="lineMarker"/>
        <c:ser>
          <c:idx val="2"/>
          <c:order val="0"/>
          <c:spPr>
            <a:ln w="28575">
              <a:noFill/>
            </a:ln>
          </c:spPr>
          <c:marker>
            <c:symbol val="none"/>
          </c:marker>
          <c:xVal>
            <c:numRef>
              <c:f>Describe!$DN$3:$DN$33</c:f>
              <c:numCache>
                <c:formatCode>General</c:formatCode>
                <c:ptCount val="31"/>
                <c:pt idx="0">
                  <c:v>0</c:v>
                </c:pt>
                <c:pt idx="1">
                  <c:v>3</c:v>
                </c:pt>
                <c:pt idx="2">
                  <c:v>6</c:v>
                </c:pt>
                <c:pt idx="3">
                  <c:v>9</c:v>
                </c:pt>
                <c:pt idx="4">
                  <c:v>12</c:v>
                </c:pt>
                <c:pt idx="5">
                  <c:v>15</c:v>
                </c:pt>
                <c:pt idx="6">
                  <c:v>18</c:v>
                </c:pt>
                <c:pt idx="7">
                  <c:v>21</c:v>
                </c:pt>
                <c:pt idx="8">
                  <c:v>24</c:v>
                </c:pt>
                <c:pt idx="9">
                  <c:v>27</c:v>
                </c:pt>
                <c:pt idx="10">
                  <c:v>30</c:v>
                </c:pt>
                <c:pt idx="11">
                  <c:v>33</c:v>
                </c:pt>
                <c:pt idx="12">
                  <c:v>36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xVal>
          <c:yVal>
            <c:numRef>
              <c:f>Describe!$DO$3:$DO$33</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er>
        <c:ser>
          <c:idx val="0"/>
          <c:order val="1"/>
          <c:spPr>
            <a:ln w="28575">
              <a:noFill/>
            </a:ln>
          </c:spPr>
          <c:marker>
            <c:symbol val="circle"/>
            <c:size val="6"/>
            <c:spPr>
              <a:solidFill>
                <a:srgbClr val="9999FF"/>
              </a:solidFill>
              <a:ln>
                <a:solidFill>
                  <a:srgbClr val="000000"/>
                </a:solidFill>
                <a:prstDash val="solid"/>
              </a:ln>
            </c:spPr>
          </c:marker>
          <c:xVal>
            <c:numRef>
              <c:f>Describe!$CY$4:$CY$303</c:f>
              <c:numCache>
                <c:formatCode>General</c:formatCode>
                <c:ptCount val="300"/>
                <c:pt idx="0">
                  <c:v>1.2729999999999997</c:v>
                </c:pt>
                <c:pt idx="1">
                  <c:v>4.0609999999999999</c:v>
                </c:pt>
                <c:pt idx="2">
                  <c:v>4.7579999999999991</c:v>
                </c:pt>
                <c:pt idx="3">
                  <c:v>8.2429999999999986</c:v>
                </c:pt>
                <c:pt idx="4">
                  <c:v>8.94</c:v>
                </c:pt>
                <c:pt idx="5">
                  <c:v>8.94</c:v>
                </c:pt>
                <c:pt idx="6">
                  <c:v>8.94</c:v>
                </c:pt>
                <c:pt idx="7">
                  <c:v>9.6369999999999987</c:v>
                </c:pt>
                <c:pt idx="8">
                  <c:v>9.6369999999999987</c:v>
                </c:pt>
                <c:pt idx="9">
                  <c:v>10.334</c:v>
                </c:pt>
                <c:pt idx="10">
                  <c:v>10.334</c:v>
                </c:pt>
                <c:pt idx="11">
                  <c:v>11.727999999999998</c:v>
                </c:pt>
                <c:pt idx="12">
                  <c:v>11.727999999999998</c:v>
                </c:pt>
                <c:pt idx="13">
                  <c:v>13.122</c:v>
                </c:pt>
                <c:pt idx="14">
                  <c:v>13.122</c:v>
                </c:pt>
                <c:pt idx="15">
                  <c:v>13.122</c:v>
                </c:pt>
                <c:pt idx="16">
                  <c:v>13.818999999999999</c:v>
                </c:pt>
                <c:pt idx="17">
                  <c:v>15.212999999999997</c:v>
                </c:pt>
                <c:pt idx="18">
                  <c:v>15.212999999999997</c:v>
                </c:pt>
                <c:pt idx="19">
                  <c:v>16.606999999999999</c:v>
                </c:pt>
                <c:pt idx="20">
                  <c:v>16.606999999999999</c:v>
                </c:pt>
                <c:pt idx="21">
                  <c:v>18.000999999999998</c:v>
                </c:pt>
                <c:pt idx="22">
                  <c:v>18.000999999999998</c:v>
                </c:pt>
                <c:pt idx="23">
                  <c:v>18.000999999999998</c:v>
                </c:pt>
                <c:pt idx="24">
                  <c:v>18.697999999999997</c:v>
                </c:pt>
                <c:pt idx="25">
                  <c:v>18.697999999999997</c:v>
                </c:pt>
                <c:pt idx="26">
                  <c:v>20.788999999999998</c:v>
                </c:pt>
                <c:pt idx="27">
                  <c:v>21.485999999999997</c:v>
                </c:pt>
                <c:pt idx="28">
                  <c:v>26.364999999999998</c:v>
                </c:pt>
                <c:pt idx="29">
                  <c:v>30.546999999999997</c:v>
                </c:pt>
                <c:pt idx="30">
                  <c:v>34.728999999999999</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Describe!$CZ$4:$CZ$303</c:f>
              <c:numCache>
                <c:formatCode>General</c:formatCode>
                <c:ptCount val="300"/>
                <c:pt idx="0">
                  <c:v>0.55900000000000005</c:v>
                </c:pt>
                <c:pt idx="1">
                  <c:v>0.55900000000000005</c:v>
                </c:pt>
                <c:pt idx="2">
                  <c:v>0.55900000000000005</c:v>
                </c:pt>
                <c:pt idx="3">
                  <c:v>0.55900000000000005</c:v>
                </c:pt>
                <c:pt idx="4">
                  <c:v>0.55900000000000005</c:v>
                </c:pt>
                <c:pt idx="5">
                  <c:v>1.677</c:v>
                </c:pt>
                <c:pt idx="6">
                  <c:v>2.7950000000000004</c:v>
                </c:pt>
                <c:pt idx="7">
                  <c:v>0.55900000000000005</c:v>
                </c:pt>
                <c:pt idx="8">
                  <c:v>1.677</c:v>
                </c:pt>
                <c:pt idx="9">
                  <c:v>0.55900000000000005</c:v>
                </c:pt>
                <c:pt idx="10">
                  <c:v>1.677</c:v>
                </c:pt>
                <c:pt idx="11">
                  <c:v>0.55900000000000005</c:v>
                </c:pt>
                <c:pt idx="12">
                  <c:v>1.677</c:v>
                </c:pt>
                <c:pt idx="13">
                  <c:v>0.55900000000000005</c:v>
                </c:pt>
                <c:pt idx="14">
                  <c:v>1.677</c:v>
                </c:pt>
                <c:pt idx="15">
                  <c:v>2.7950000000000004</c:v>
                </c:pt>
                <c:pt idx="16">
                  <c:v>0.55900000000000005</c:v>
                </c:pt>
                <c:pt idx="17">
                  <c:v>0.55900000000000005</c:v>
                </c:pt>
                <c:pt idx="18">
                  <c:v>1.677</c:v>
                </c:pt>
                <c:pt idx="19">
                  <c:v>0.55900000000000005</c:v>
                </c:pt>
                <c:pt idx="20">
                  <c:v>1.677</c:v>
                </c:pt>
                <c:pt idx="21">
                  <c:v>0.55900000000000005</c:v>
                </c:pt>
                <c:pt idx="22">
                  <c:v>1.677</c:v>
                </c:pt>
                <c:pt idx="23">
                  <c:v>2.7950000000000004</c:v>
                </c:pt>
                <c:pt idx="24">
                  <c:v>0.55900000000000005</c:v>
                </c:pt>
                <c:pt idx="25">
                  <c:v>1.677</c:v>
                </c:pt>
                <c:pt idx="26">
                  <c:v>0.55900000000000005</c:v>
                </c:pt>
                <c:pt idx="27">
                  <c:v>0.55900000000000005</c:v>
                </c:pt>
                <c:pt idx="28">
                  <c:v>0.55900000000000005</c:v>
                </c:pt>
                <c:pt idx="29">
                  <c:v>0.55900000000000005</c:v>
                </c:pt>
                <c:pt idx="30">
                  <c:v>0.55900000000000005</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6"/>
          <c:order val="2"/>
          <c:spPr>
            <a:ln w="12700">
              <a:solidFill>
                <a:srgbClr val="008000"/>
              </a:solidFill>
              <a:prstDash val="solid"/>
            </a:ln>
          </c:spPr>
          <c:marker>
            <c:symbol val="star"/>
            <c:size val="8"/>
            <c:spPr>
              <a:noFill/>
              <a:ln>
                <a:solidFill>
                  <a:srgbClr val="008000"/>
                </a:solidFill>
                <a:prstDash val="solid"/>
              </a:ln>
            </c:spPr>
          </c:marker>
          <c:xVal>
            <c:numRef>
              <c:f>Describe!$V$29:$V$31</c:f>
              <c:numCache>
                <c:formatCode>General</c:formatCode>
                <c:ptCount val="3"/>
                <c:pt idx="0">
                  <c:v>#N/A</c:v>
                </c:pt>
                <c:pt idx="1">
                  <c:v>#N/A</c:v>
                </c:pt>
                <c:pt idx="2">
                  <c:v>#N/A</c:v>
                </c:pt>
              </c:numCache>
            </c:numRef>
          </c:xVal>
          <c:yVal>
            <c:numRef>
              <c:f>Describe!$W$29:$W$31</c:f>
              <c:numCache>
                <c:formatCode>General</c:formatCode>
                <c:ptCount val="3"/>
                <c:pt idx="0">
                  <c:v>18</c:v>
                </c:pt>
                <c:pt idx="1">
                  <c:v>18</c:v>
                </c:pt>
                <c:pt idx="2">
                  <c:v>18</c:v>
                </c:pt>
              </c:numCache>
            </c:numRef>
          </c:yVal>
        </c:ser>
        <c:ser>
          <c:idx val="8"/>
          <c:order val="3"/>
          <c:spPr>
            <a:ln w="28575">
              <a:noFill/>
            </a:ln>
          </c:spPr>
          <c:marker>
            <c:symbol val="none"/>
          </c:marker>
          <c:errBars>
            <c:errDir val="y"/>
            <c:errBarType val="minus"/>
            <c:errValType val="cust"/>
            <c:noEndCap val="1"/>
            <c:minus>
              <c:numLit>
                <c:formatCode>General</c:formatCode>
                <c:ptCount val="1"/>
                <c:pt idx="0">
                  <c:v>18</c:v>
                </c:pt>
              </c:numLit>
            </c:minus>
            <c:spPr>
              <a:ln w="12700">
                <a:solidFill>
                  <a:srgbClr val="969696"/>
                </a:solidFill>
                <a:prstDash val="solid"/>
              </a:ln>
            </c:spPr>
          </c:errBars>
          <c:xVal>
            <c:numRef>
              <c:f>Describe!$AB$3:$AB$23</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Describe!$AD$3:$AD$23</c:f>
              <c:numCache>
                <c:formatCode>General</c:formatCode>
                <c:ptCount val="21"/>
                <c:pt idx="0">
                  <c:v>18</c:v>
                </c:pt>
                <c:pt idx="1">
                  <c:v>18</c:v>
                </c:pt>
                <c:pt idx="2">
                  <c:v>18</c:v>
                </c:pt>
                <c:pt idx="3">
                  <c:v>18</c:v>
                </c:pt>
                <c:pt idx="4">
                  <c:v>18</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numCache>
            </c:numRef>
          </c:yVal>
        </c:ser>
        <c:ser>
          <c:idx val="4"/>
          <c:order val="4"/>
          <c:spPr>
            <a:ln w="28575">
              <a:noFill/>
            </a:ln>
          </c:spPr>
          <c:marker>
            <c:symbol val="diamond"/>
            <c:size val="9"/>
            <c:spPr>
              <a:solidFill>
                <a:srgbClr val="FF00FF"/>
              </a:solidFill>
              <a:ln>
                <a:solidFill>
                  <a:srgbClr val="000000"/>
                </a:solidFill>
                <a:prstDash val="solid"/>
              </a:ln>
            </c:spPr>
          </c:marker>
          <c:errBars>
            <c:errDir val="y"/>
            <c:errBarType val="minus"/>
            <c:errValType val="cust"/>
            <c:noEndCap val="1"/>
            <c:minus>
              <c:numLit>
                <c:formatCode>General</c:formatCode>
                <c:ptCount val="1"/>
                <c:pt idx="0">
                  <c:v>20</c:v>
                </c:pt>
              </c:numLit>
            </c:minus>
            <c:spPr>
              <a:ln w="25400">
                <a:solidFill>
                  <a:srgbClr val="FF00FF"/>
                </a:solidFill>
                <a:prstDash val="solid"/>
              </a:ln>
            </c:spPr>
          </c:errBars>
          <c:xVal>
            <c:numRef>
              <c:f>Describe!$V$25</c:f>
              <c:numCache>
                <c:formatCode>General</c:formatCode>
                <c:ptCount val="1"/>
                <c:pt idx="0">
                  <c:v>#N/A</c:v>
                </c:pt>
              </c:numCache>
            </c:numRef>
          </c:xVal>
          <c:yVal>
            <c:numRef>
              <c:f>Describe!$W$25</c:f>
              <c:numCache>
                <c:formatCode>General</c:formatCode>
                <c:ptCount val="1"/>
                <c:pt idx="0">
                  <c:v>20</c:v>
                </c:pt>
              </c:numCache>
            </c:numRef>
          </c:yVal>
        </c:ser>
        <c:ser>
          <c:idx val="3"/>
          <c:order val="5"/>
          <c:spPr>
            <a:ln w="28575">
              <a:noFill/>
            </a:ln>
          </c:spPr>
          <c:marker>
            <c:symbol val="circle"/>
            <c:size val="6"/>
            <c:spPr>
              <a:solidFill>
                <a:srgbClr val="FF0000"/>
              </a:solidFill>
              <a:ln>
                <a:solidFill>
                  <a:srgbClr val="000000"/>
                </a:solidFill>
                <a:prstDash val="solid"/>
              </a:ln>
            </c:spPr>
          </c:marker>
          <c:xVal>
            <c:numRef>
              <c:f>Describe!$CU$4:$CU$303</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Describe!$CV$4:$CV$303</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7"/>
          <c:order val="6"/>
          <c:spPr>
            <a:ln w="28575">
              <a:noFill/>
            </a:ln>
          </c:spPr>
          <c:marker>
            <c:symbol val="none"/>
          </c:marker>
          <c:dLbls>
            <c:dLbl>
              <c:idx val="0"/>
              <c:layout>
                <c:manualLayout>
                  <c:x val="-7.6331842988123242E-4"/>
                  <c:y val="-7.5213164217509912E-2"/>
                </c:manualLayout>
              </c:layout>
              <c:tx>
                <c:strRef>
                  <c:f>Describe!$AA$27</c:f>
                  <c:strCache>
                    <c:ptCount val="1"/>
                    <c:pt idx="0">
                      <c:v>#N/A</c:v>
                    </c:pt>
                  </c:strCache>
                </c:strRef>
              </c:tx>
              <c:dLblPos val="r"/>
            </c:dLbl>
            <c:spPr>
              <a:noFill/>
              <a:ln w="25400">
                <a:noFill/>
              </a:ln>
            </c:spPr>
            <c:txPr>
              <a:bodyPr/>
              <a:lstStyle/>
              <a:p>
                <a:pPr>
                  <a:defRPr sz="800" b="0" i="0" u="none" strike="noStrike" baseline="0">
                    <a:solidFill>
                      <a:srgbClr val="000000"/>
                    </a:solidFill>
                    <a:latin typeface="Arial"/>
                    <a:ea typeface="Arial"/>
                    <a:cs typeface="Arial"/>
                  </a:defRPr>
                </a:pPr>
                <a:endParaRPr lang="en-US"/>
              </a:p>
            </c:txPr>
            <c:showVal val="1"/>
          </c:dLbls>
          <c:errBars>
            <c:errDir val="y"/>
            <c:errBarType val="minus"/>
            <c:errValType val="cust"/>
            <c:noEndCap val="1"/>
            <c:minus>
              <c:numRef>
                <c:f>Describe!$AB$26</c:f>
                <c:numCache>
                  <c:formatCode>General</c:formatCode>
                  <c:ptCount val="1"/>
                  <c:pt idx="0">
                    <c:v>17</c:v>
                  </c:pt>
                </c:numCache>
              </c:numRef>
            </c:minus>
            <c:spPr>
              <a:ln w="25400">
                <a:solidFill>
                  <a:srgbClr val="FF0000"/>
                </a:solidFill>
                <a:prstDash val="solid"/>
              </a:ln>
            </c:spPr>
          </c:errBars>
          <c:xVal>
            <c:numRef>
              <c:f>Describe!$AA$26</c:f>
              <c:numCache>
                <c:formatCode>General</c:formatCode>
                <c:ptCount val="1"/>
                <c:pt idx="0">
                  <c:v>#N/A</c:v>
                </c:pt>
              </c:numCache>
            </c:numRef>
          </c:xVal>
          <c:yVal>
            <c:numRef>
              <c:f>Describe!$AB$26</c:f>
              <c:numCache>
                <c:formatCode>General</c:formatCode>
                <c:ptCount val="1"/>
                <c:pt idx="0">
                  <c:v>17</c:v>
                </c:pt>
              </c:numCache>
            </c:numRef>
          </c:yVal>
        </c:ser>
        <c:ser>
          <c:idx val="1"/>
          <c:order val="7"/>
          <c:spPr>
            <a:ln w="28575">
              <a:noFill/>
            </a:ln>
          </c:spPr>
          <c:marker>
            <c:symbol val="triangle"/>
            <c:size val="10"/>
            <c:spPr>
              <a:solidFill>
                <a:srgbClr val="00FF00"/>
              </a:solidFill>
              <a:ln>
                <a:solidFill>
                  <a:srgbClr val="000000"/>
                </a:solidFill>
                <a:prstDash val="solid"/>
              </a:ln>
              <a:effectLst>
                <a:outerShdw dist="35921" dir="2700000" algn="br">
                  <a:srgbClr val="000000"/>
                </a:outerShdw>
              </a:effectLst>
            </c:spPr>
          </c:marker>
          <c:errBars>
            <c:errDir val="y"/>
            <c:errBarType val="plus"/>
            <c:errValType val="cust"/>
            <c:noEndCap val="1"/>
            <c:plus>
              <c:numLit>
                <c:formatCode>General</c:formatCode>
                <c:ptCount val="1"/>
                <c:pt idx="0">
                  <c:v>20</c:v>
                </c:pt>
              </c:numLit>
            </c:plus>
            <c:spPr>
              <a:ln w="25400">
                <a:solidFill>
                  <a:srgbClr val="339966"/>
                </a:solidFill>
                <a:prstDash val="solid"/>
              </a:ln>
            </c:spPr>
          </c:errBars>
          <c:xVal>
            <c:numRef>
              <c:f>Describe!$V$23</c:f>
              <c:numCache>
                <c:formatCode>General</c:formatCode>
                <c:ptCount val="1"/>
                <c:pt idx="0">
                  <c:v>14.519354838709676</c:v>
                </c:pt>
              </c:numCache>
            </c:numRef>
          </c:xVal>
          <c:yVal>
            <c:numRef>
              <c:f>Describe!$W$23</c:f>
              <c:numCache>
                <c:formatCode>General</c:formatCode>
                <c:ptCount val="1"/>
                <c:pt idx="0">
                  <c:v>0</c:v>
                </c:pt>
              </c:numCache>
            </c:numRef>
          </c:yVal>
        </c:ser>
        <c:ser>
          <c:idx val="5"/>
          <c:order val="8"/>
          <c:spPr>
            <a:ln w="28575">
              <a:noFill/>
            </a:ln>
          </c:spPr>
          <c:marker>
            <c:symbol val="none"/>
          </c:marker>
          <c:dLbls>
            <c:dLbl>
              <c:idx val="0"/>
              <c:layout>
                <c:manualLayout>
                  <c:x val="-9.5640086619224807E-4"/>
                  <c:y val="-1.3601647232919857E-2"/>
                </c:manualLayout>
              </c:layout>
              <c:tx>
                <c:strRef>
                  <c:f>Describe!$CX$1</c:f>
                  <c:strCache>
                    <c:ptCount val="1"/>
                    <c:pt idx="0">
                      <c:v>0.0%</c:v>
                    </c:pt>
                  </c:strCache>
                </c:strRef>
              </c:tx>
              <c:dLblPos val="r"/>
            </c:dLbl>
            <c:spPr>
              <a:noFill/>
              <a:ln w="25400">
                <a:noFill/>
              </a:ln>
            </c:spPr>
            <c:txPr>
              <a:bodyPr/>
              <a:lstStyle/>
              <a:p>
                <a:pPr algn="l">
                  <a:defRPr sz="800" b="0" i="0" u="none" strike="noStrike" baseline="0">
                    <a:solidFill>
                      <a:srgbClr val="FF0000"/>
                    </a:solidFill>
                    <a:latin typeface="Arial"/>
                    <a:ea typeface="Arial"/>
                    <a:cs typeface="Arial"/>
                  </a:defRPr>
                </a:pPr>
                <a:endParaRPr lang="en-US"/>
              </a:p>
            </c:txPr>
            <c:dLblPos val="l"/>
            <c:showVal val="1"/>
          </c:dLbls>
          <c:errBars>
            <c:errDir val="y"/>
            <c:errBarType val="minus"/>
            <c:errValType val="cust"/>
            <c:noEndCap val="1"/>
            <c:minus>
              <c:numRef>
                <c:f>Describe!$AB$25</c:f>
                <c:numCache>
                  <c:formatCode>General</c:formatCode>
                  <c:ptCount val="1"/>
                  <c:pt idx="0">
                    <c:v>17</c:v>
                  </c:pt>
                </c:numCache>
              </c:numRef>
            </c:minus>
            <c:spPr>
              <a:ln w="25400">
                <a:solidFill>
                  <a:srgbClr val="FF0000"/>
                </a:solidFill>
                <a:prstDash val="solid"/>
              </a:ln>
            </c:spPr>
          </c:errBars>
          <c:xVal>
            <c:numRef>
              <c:f>Describe!$AA$25</c:f>
              <c:numCache>
                <c:formatCode>General</c:formatCode>
                <c:ptCount val="1"/>
                <c:pt idx="0">
                  <c:v>#N/A</c:v>
                </c:pt>
              </c:numCache>
            </c:numRef>
          </c:xVal>
          <c:yVal>
            <c:numRef>
              <c:f>Describe!$AB$25</c:f>
              <c:numCache>
                <c:formatCode>General</c:formatCode>
                <c:ptCount val="1"/>
                <c:pt idx="0">
                  <c:v>17</c:v>
                </c:pt>
              </c:numCache>
            </c:numRef>
          </c:yVal>
        </c:ser>
        <c:ser>
          <c:idx val="9"/>
          <c:order val="9"/>
          <c:spPr>
            <a:ln w="28575">
              <a:noFill/>
            </a:ln>
          </c:spPr>
          <c:marker>
            <c:symbol val="diamond"/>
            <c:size val="9"/>
            <c:spPr>
              <a:solidFill>
                <a:srgbClr val="FF0000"/>
              </a:solidFill>
              <a:ln>
                <a:solidFill>
                  <a:srgbClr val="FF0000"/>
                </a:solidFill>
                <a:prstDash val="solid"/>
              </a:ln>
            </c:spPr>
          </c:marker>
          <c:xVal>
            <c:numRef>
              <c:f>Describe!$Y$34</c:f>
              <c:numCache>
                <c:formatCode>General</c:formatCode>
                <c:ptCount val="1"/>
                <c:pt idx="0">
                  <c:v>0</c:v>
                </c:pt>
              </c:numCache>
            </c:numRef>
          </c:xVal>
          <c:yVal>
            <c:numRef>
              <c:f>Describe!$Z$34</c:f>
              <c:numCache>
                <c:formatCode>General</c:formatCode>
                <c:ptCount val="1"/>
                <c:pt idx="0">
                  <c:v>-99</c:v>
                </c:pt>
              </c:numCache>
            </c:numRef>
          </c:yVal>
        </c:ser>
        <c:ser>
          <c:idx val="10"/>
          <c:order val="10"/>
          <c:spPr>
            <a:ln w="28575">
              <a:noFill/>
            </a:ln>
          </c:spPr>
          <c:marker>
            <c:symbol val="plus"/>
            <c:size val="10"/>
            <c:spPr>
              <a:noFill/>
              <a:ln>
                <a:solidFill>
                  <a:srgbClr val="FF0000"/>
                </a:solidFill>
                <a:prstDash val="solid"/>
              </a:ln>
            </c:spPr>
          </c:marker>
          <c:xVal>
            <c:numRef>
              <c:f>Describe!$Y$36</c:f>
              <c:numCache>
                <c:formatCode>General</c:formatCode>
                <c:ptCount val="1"/>
                <c:pt idx="0">
                  <c:v>#N/A</c:v>
                </c:pt>
              </c:numCache>
            </c:numRef>
          </c:xVal>
          <c:yVal>
            <c:numRef>
              <c:f>Describe!$Z$36</c:f>
              <c:numCache>
                <c:formatCode>General</c:formatCode>
                <c:ptCount val="1"/>
                <c:pt idx="0">
                  <c:v>0</c:v>
                </c:pt>
              </c:numCache>
            </c:numRef>
          </c:yVal>
        </c:ser>
        <c:ser>
          <c:idx val="11"/>
          <c:order val="11"/>
          <c:spPr>
            <a:ln w="28575">
              <a:noFill/>
            </a:ln>
          </c:spPr>
          <c:marker>
            <c:symbol val="plus"/>
            <c:size val="10"/>
            <c:spPr>
              <a:noFill/>
              <a:ln>
                <a:solidFill>
                  <a:srgbClr val="FF0000"/>
                </a:solidFill>
                <a:prstDash val="solid"/>
              </a:ln>
            </c:spPr>
          </c:marker>
          <c:xVal>
            <c:numRef>
              <c:f>Describe!$Y$37</c:f>
              <c:numCache>
                <c:formatCode>General</c:formatCode>
                <c:ptCount val="1"/>
                <c:pt idx="0">
                  <c:v>#N/A</c:v>
                </c:pt>
              </c:numCache>
            </c:numRef>
          </c:xVal>
          <c:yVal>
            <c:numRef>
              <c:f>Describe!$Z$37</c:f>
              <c:numCache>
                <c:formatCode>General</c:formatCode>
                <c:ptCount val="1"/>
                <c:pt idx="0">
                  <c:v>20</c:v>
                </c:pt>
              </c:numCache>
            </c:numRef>
          </c:yVal>
        </c:ser>
        <c:ser>
          <c:idx val="12"/>
          <c:order val="12"/>
          <c:spPr>
            <a:ln w="12700">
              <a:solidFill>
                <a:srgbClr val="FF00FF"/>
              </a:solidFill>
              <a:prstDash val="solid"/>
            </a:ln>
          </c:spPr>
          <c:marker>
            <c:symbol val="diamond"/>
            <c:size val="9"/>
            <c:spPr>
              <a:noFill/>
              <a:ln>
                <a:solidFill>
                  <a:srgbClr val="FF00FF"/>
                </a:solidFill>
                <a:prstDash val="solid"/>
              </a:ln>
            </c:spPr>
          </c:marker>
          <c:errBars>
            <c:errDir val="y"/>
            <c:errBarType val="minus"/>
            <c:errValType val="cust"/>
            <c:noEndCap val="1"/>
            <c:minus>
              <c:numLit>
                <c:formatCode>General</c:formatCode>
                <c:ptCount val="1"/>
                <c:pt idx="0">
                  <c:v>20</c:v>
                </c:pt>
              </c:numLit>
            </c:minus>
            <c:spPr>
              <a:ln w="12700">
                <a:solidFill>
                  <a:srgbClr val="FF00FF"/>
                </a:solidFill>
                <a:prstDash val="solid"/>
              </a:ln>
            </c:spPr>
          </c:errBars>
          <c:xVal>
            <c:numRef>
              <c:f>Describe!$CR$27:$CR$28</c:f>
              <c:numCache>
                <c:formatCode>General</c:formatCode>
                <c:ptCount val="2"/>
                <c:pt idx="0">
                  <c:v>#N/A</c:v>
                </c:pt>
                <c:pt idx="1">
                  <c:v>#N/A</c:v>
                </c:pt>
              </c:numCache>
            </c:numRef>
          </c:xVal>
          <c:yVal>
            <c:numRef>
              <c:f>Describe!$CS$27:$CS$28</c:f>
              <c:numCache>
                <c:formatCode>0</c:formatCode>
                <c:ptCount val="2"/>
                <c:pt idx="0">
                  <c:v>20</c:v>
                </c:pt>
                <c:pt idx="1">
                  <c:v>20</c:v>
                </c:pt>
              </c:numCache>
            </c:numRef>
          </c:yVal>
        </c:ser>
        <c:axId val="228930304"/>
        <c:axId val="134911872"/>
      </c:scatterChart>
      <c:valAx>
        <c:axId val="228930304"/>
        <c:scaling>
          <c:orientation val="minMax"/>
          <c:max val="45"/>
          <c:min val="-5"/>
        </c:scaling>
        <c:axPos val="b"/>
        <c:title>
          <c:tx>
            <c:strRef>
              <c:f>Describe!$AB$35</c:f>
              <c:strCache>
                <c:ptCount val="1"/>
                <c:pt idx="0">
                  <c:v>X (Transcription %)</c:v>
                </c:pt>
              </c:strCache>
            </c:strRef>
          </c:tx>
          <c:layout>
            <c:manualLayout>
              <c:xMode val="edge"/>
              <c:yMode val="edge"/>
              <c:x val="0.41812400635930086"/>
              <c:y val="0.87677928016532225"/>
            </c:manualLayout>
          </c:layout>
          <c:spPr>
            <a:noFill/>
            <a:ln w="25400">
              <a:noFill/>
            </a:ln>
          </c:spPr>
          <c:txPr>
            <a:bodyPr/>
            <a:lstStyle/>
            <a:p>
              <a:pPr>
                <a:defRPr sz="900" b="0" i="0" u="none" strike="noStrike" baseline="0">
                  <a:solidFill>
                    <a:srgbClr val="000000"/>
                  </a:solidFill>
                  <a:latin typeface="Arial"/>
                  <a:ea typeface="Arial"/>
                  <a:cs typeface="Arial"/>
                </a:defRPr>
              </a:pPr>
              <a:endParaRPr lang="en-US"/>
            </a:p>
          </c:txPr>
        </c:title>
        <c:numFmt formatCode="General" sourceLinked="1"/>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34911872"/>
        <c:crosses val="autoZero"/>
        <c:crossBetween val="midCat"/>
        <c:majorUnit val="5"/>
      </c:valAx>
      <c:valAx>
        <c:axId val="134911872"/>
        <c:scaling>
          <c:orientation val="minMax"/>
          <c:max val="20"/>
          <c:min val="0"/>
        </c:scaling>
        <c:axPos val="l"/>
        <c:numFmt formatCode="General" sourceLinked="1"/>
        <c:tickLblPos val="nextTo"/>
        <c:spPr>
          <a:ln w="3175">
            <a:solidFill>
              <a:srgbClr val="FFFFFF"/>
            </a:solidFill>
            <a:prstDash val="solid"/>
          </a:ln>
        </c:spPr>
        <c:txPr>
          <a:bodyPr rot="0" vert="horz"/>
          <a:lstStyle/>
          <a:p>
            <a:pPr>
              <a:defRPr sz="975" b="0" i="0" u="none" strike="noStrike" baseline="0">
                <a:solidFill>
                  <a:srgbClr val="FFFFFF"/>
                </a:solidFill>
                <a:latin typeface="Arial"/>
                <a:ea typeface="Arial"/>
                <a:cs typeface="Arial"/>
              </a:defRPr>
            </a:pPr>
            <a:endParaRPr lang="en-US"/>
          </a:p>
        </c:txPr>
        <c:crossAx val="228930304"/>
        <c:crossesAt val="-5"/>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8.2670906200317973E-2"/>
          <c:y val="4.6703359352677713E-2"/>
          <c:w val="0.89507154213036566"/>
          <c:h val="0.86263851980828277"/>
        </c:manualLayout>
      </c:layout>
      <c:scatterChart>
        <c:scatterStyle val="lineMarker"/>
        <c:ser>
          <c:idx val="1"/>
          <c:order val="0"/>
          <c:spPr>
            <a:ln w="25400">
              <a:solidFill>
                <a:srgbClr val="0000FF"/>
              </a:solidFill>
              <a:prstDash val="solid"/>
            </a:ln>
          </c:spPr>
          <c:marker>
            <c:symbol val="none"/>
          </c:marker>
          <c:xVal>
            <c:numRef>
              <c:f>Describe!$DL$3:$DL$93</c:f>
              <c:numCache>
                <c:formatCode>General</c:formatCode>
                <c:ptCount val="91"/>
                <c:pt idx="0">
                  <c:v>0</c:v>
                </c:pt>
                <c:pt idx="1">
                  <c:v>0</c:v>
                </c:pt>
                <c:pt idx="2">
                  <c:v>3</c:v>
                </c:pt>
                <c:pt idx="3">
                  <c:v>3</c:v>
                </c:pt>
                <c:pt idx="4">
                  <c:v>3</c:v>
                </c:pt>
                <c:pt idx="5">
                  <c:v>6</c:v>
                </c:pt>
                <c:pt idx="6">
                  <c:v>6</c:v>
                </c:pt>
                <c:pt idx="7">
                  <c:v>6</c:v>
                </c:pt>
                <c:pt idx="8">
                  <c:v>9</c:v>
                </c:pt>
                <c:pt idx="9">
                  <c:v>9</c:v>
                </c:pt>
                <c:pt idx="10">
                  <c:v>9</c:v>
                </c:pt>
                <c:pt idx="11">
                  <c:v>12</c:v>
                </c:pt>
                <c:pt idx="12">
                  <c:v>12</c:v>
                </c:pt>
                <c:pt idx="13">
                  <c:v>12</c:v>
                </c:pt>
                <c:pt idx="14">
                  <c:v>15</c:v>
                </c:pt>
                <c:pt idx="15">
                  <c:v>15</c:v>
                </c:pt>
                <c:pt idx="16">
                  <c:v>15</c:v>
                </c:pt>
                <c:pt idx="17">
                  <c:v>18</c:v>
                </c:pt>
                <c:pt idx="18">
                  <c:v>18</c:v>
                </c:pt>
                <c:pt idx="19">
                  <c:v>18</c:v>
                </c:pt>
                <c:pt idx="20">
                  <c:v>21</c:v>
                </c:pt>
                <c:pt idx="21">
                  <c:v>21</c:v>
                </c:pt>
                <c:pt idx="22">
                  <c:v>21</c:v>
                </c:pt>
                <c:pt idx="23">
                  <c:v>24</c:v>
                </c:pt>
                <c:pt idx="24">
                  <c:v>24</c:v>
                </c:pt>
                <c:pt idx="25">
                  <c:v>24</c:v>
                </c:pt>
                <c:pt idx="26">
                  <c:v>27</c:v>
                </c:pt>
                <c:pt idx="27">
                  <c:v>27</c:v>
                </c:pt>
                <c:pt idx="28">
                  <c:v>27</c:v>
                </c:pt>
                <c:pt idx="29">
                  <c:v>30</c:v>
                </c:pt>
                <c:pt idx="30">
                  <c:v>30</c:v>
                </c:pt>
                <c:pt idx="31">
                  <c:v>30</c:v>
                </c:pt>
                <c:pt idx="32">
                  <c:v>33</c:v>
                </c:pt>
                <c:pt idx="33">
                  <c:v>33</c:v>
                </c:pt>
                <c:pt idx="34">
                  <c:v>33</c:v>
                </c:pt>
                <c:pt idx="35">
                  <c:v>36</c:v>
                </c:pt>
                <c:pt idx="36">
                  <c:v>36</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numCache>
            </c:numRef>
          </c:xVal>
          <c:yVal>
            <c:numRef>
              <c:f>Describe!$DM$3:$DM$93</c:f>
              <c:numCache>
                <c:formatCode>General</c:formatCode>
                <c:ptCount val="91"/>
                <c:pt idx="0">
                  <c:v>0</c:v>
                </c:pt>
                <c:pt idx="1">
                  <c:v>1</c:v>
                </c:pt>
                <c:pt idx="2">
                  <c:v>1</c:v>
                </c:pt>
                <c:pt idx="3">
                  <c:v>0</c:v>
                </c:pt>
                <c:pt idx="4">
                  <c:v>2</c:v>
                </c:pt>
                <c:pt idx="5">
                  <c:v>2</c:v>
                </c:pt>
                <c:pt idx="6">
                  <c:v>0</c:v>
                </c:pt>
                <c:pt idx="7">
                  <c:v>4</c:v>
                </c:pt>
                <c:pt idx="8">
                  <c:v>4</c:v>
                </c:pt>
                <c:pt idx="9">
                  <c:v>0</c:v>
                </c:pt>
                <c:pt idx="10">
                  <c:v>6</c:v>
                </c:pt>
                <c:pt idx="11">
                  <c:v>6</c:v>
                </c:pt>
                <c:pt idx="12">
                  <c:v>0</c:v>
                </c:pt>
                <c:pt idx="13">
                  <c:v>4</c:v>
                </c:pt>
                <c:pt idx="14">
                  <c:v>4</c:v>
                </c:pt>
                <c:pt idx="15">
                  <c:v>0</c:v>
                </c:pt>
                <c:pt idx="16">
                  <c:v>7</c:v>
                </c:pt>
                <c:pt idx="17">
                  <c:v>7</c:v>
                </c:pt>
                <c:pt idx="18">
                  <c:v>0</c:v>
                </c:pt>
                <c:pt idx="19">
                  <c:v>2</c:v>
                </c:pt>
                <c:pt idx="20">
                  <c:v>2</c:v>
                </c:pt>
                <c:pt idx="21">
                  <c:v>0</c:v>
                </c:pt>
                <c:pt idx="22">
                  <c:v>2</c:v>
                </c:pt>
                <c:pt idx="23">
                  <c:v>2</c:v>
                </c:pt>
                <c:pt idx="24">
                  <c:v>0</c:v>
                </c:pt>
                <c:pt idx="25">
                  <c:v>1</c:v>
                </c:pt>
                <c:pt idx="26">
                  <c:v>1</c:v>
                </c:pt>
                <c:pt idx="27">
                  <c:v>0</c:v>
                </c:pt>
                <c:pt idx="28">
                  <c:v>0</c:v>
                </c:pt>
                <c:pt idx="29">
                  <c:v>0</c:v>
                </c:pt>
                <c:pt idx="30">
                  <c:v>0</c:v>
                </c:pt>
                <c:pt idx="31">
                  <c:v>1</c:v>
                </c:pt>
                <c:pt idx="32">
                  <c:v>1</c:v>
                </c:pt>
                <c:pt idx="33">
                  <c:v>0</c:v>
                </c:pt>
                <c:pt idx="34">
                  <c:v>1</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er>
        <c:ser>
          <c:idx val="2"/>
          <c:order val="1"/>
          <c:spPr>
            <a:ln w="28575">
              <a:noFill/>
            </a:ln>
          </c:spPr>
          <c:marker>
            <c:symbol val="none"/>
          </c:marker>
          <c:dLbls>
            <c:dLbl>
              <c:idx val="0"/>
              <c:layout>
                <c:manualLayout>
                  <c:x val="-2.3527709328140418E-2"/>
                  <c:y val="1.7491049136687066E-2"/>
                </c:manualLayout>
              </c:layout>
              <c:dLblPos val="r"/>
              <c:showCatName val="1"/>
            </c:dLbl>
            <c:dLbl>
              <c:idx val="1"/>
              <c:layout>
                <c:manualLayout>
                  <c:x val="-2.2751881389044777E-2"/>
                  <c:y val="1.7491049136687066E-2"/>
                </c:manualLayout>
              </c:layout>
              <c:dLblPos val="r"/>
              <c:showCatName val="1"/>
            </c:dLbl>
            <c:dLbl>
              <c:idx val="2"/>
              <c:layout>
                <c:manualLayout>
                  <c:x val="-2.6745528807659583E-2"/>
                  <c:y val="1.7491049136687066E-2"/>
                </c:manualLayout>
              </c:layout>
              <c:dLblPos val="r"/>
              <c:showCatName val="1"/>
            </c:dLbl>
            <c:dLbl>
              <c:idx val="3"/>
              <c:layout>
                <c:manualLayout>
                  <c:x val="-2.5969700868563952E-2"/>
                  <c:y val="1.7491049136687066E-2"/>
                </c:manualLayout>
              </c:layout>
              <c:dLblPos val="r"/>
              <c:showCatName val="1"/>
            </c:dLbl>
            <c:dLbl>
              <c:idx val="4"/>
              <c:layout>
                <c:manualLayout>
                  <c:x val="-2.5193872929468151E-2"/>
                  <c:y val="1.7491049136687066E-2"/>
                </c:manualLayout>
              </c:layout>
              <c:dLblPos val="r"/>
              <c:showCatName val="1"/>
            </c:dLbl>
            <c:dLbl>
              <c:idx val="5"/>
              <c:layout>
                <c:manualLayout>
                  <c:x val="-2.6007870109609296E-2"/>
                  <c:y val="1.7491049136687066E-2"/>
                </c:manualLayout>
              </c:layout>
              <c:dLblPos val="r"/>
              <c:showCatName val="1"/>
            </c:dLbl>
            <c:dLbl>
              <c:idx val="6"/>
              <c:layout>
                <c:manualLayout>
                  <c:x val="-2.6821867289749775E-2"/>
                  <c:y val="1.7491049136687066E-2"/>
                </c:manualLayout>
              </c:layout>
              <c:dLblPos val="r"/>
              <c:showCatName val="1"/>
            </c:dLbl>
            <c:dLbl>
              <c:idx val="7"/>
              <c:layout>
                <c:manualLayout>
                  <c:x val="-2.6045871639989025E-2"/>
                  <c:y val="1.7491049136687066E-2"/>
                </c:manualLayout>
              </c:layout>
              <c:dLblPos val="r"/>
              <c:showCatName val="1"/>
            </c:dLbl>
            <c:dLbl>
              <c:idx val="8"/>
              <c:layout>
                <c:manualLayout>
                  <c:x val="-2.5270043700893061E-2"/>
                  <c:y val="1.7491049136687066E-2"/>
                </c:manualLayout>
              </c:layout>
              <c:dLblPos val="r"/>
              <c:showCatName val="1"/>
            </c:dLbl>
            <c:dLbl>
              <c:idx val="9"/>
              <c:layout>
                <c:manualLayout>
                  <c:x val="-2.6084040881034144E-2"/>
                  <c:y val="1.7491049136687066E-2"/>
                </c:manualLayout>
              </c:layout>
              <c:dLblPos val="r"/>
              <c:showCatName val="1"/>
            </c:dLbl>
            <c:dLbl>
              <c:idx val="10"/>
              <c:layout>
                <c:manualLayout>
                  <c:x val="-2.3718387822701626E-2"/>
                  <c:y val="1.7491049136687066E-2"/>
                </c:manualLayout>
              </c:layout>
              <c:dLblPos val="r"/>
              <c:showCatName val="1"/>
            </c:dLbl>
            <c:dLbl>
              <c:idx val="11"/>
              <c:layout>
                <c:manualLayout>
                  <c:x val="-2.2942559883605662E-2"/>
                  <c:y val="1.7491049136687066E-2"/>
                </c:manualLayout>
              </c:layout>
              <c:dLblPos val="r"/>
              <c:showCatName val="1"/>
            </c:dLbl>
            <c:dLbl>
              <c:idx val="12"/>
              <c:layout>
                <c:manualLayout>
                  <c:x val="-2.3756557063747137E-2"/>
                  <c:y val="1.7491049136687066E-2"/>
                </c:manualLayout>
              </c:layout>
              <c:dLblPos val="r"/>
              <c:showCatName val="1"/>
            </c:dLbl>
            <c:dLbl>
              <c:idx val="13"/>
              <c:layout>
                <c:manualLayout>
                  <c:x val="-2.2980729124651229E-2"/>
                  <c:y val="1.7491049136687066E-2"/>
                </c:manualLayout>
              </c:layout>
              <c:dLblPos val="r"/>
              <c:showCatName val="1"/>
            </c:dLbl>
            <c:dLbl>
              <c:idx val="14"/>
              <c:layout>
                <c:manualLayout>
                  <c:x val="-2.6974376543266371E-2"/>
                  <c:y val="1.7491049136687066E-2"/>
                </c:manualLayout>
              </c:layout>
              <c:dLblPos val="r"/>
              <c:showCatName val="1"/>
            </c:dLbl>
            <c:dLbl>
              <c:idx val="15"/>
              <c:layout>
                <c:manualLayout>
                  <c:x val="-2.3018898365696851E-2"/>
                  <c:y val="1.7491049136687066E-2"/>
                </c:manualLayout>
              </c:layout>
              <c:dLblPos val="r"/>
              <c:showCatName val="1"/>
            </c:dLbl>
            <c:dLbl>
              <c:idx val="16"/>
              <c:layout>
                <c:manualLayout>
                  <c:x val="-2.3832895545837497E-2"/>
                  <c:y val="1.7491049136687066E-2"/>
                </c:manualLayout>
              </c:layout>
              <c:dLblPos val="r"/>
              <c:showCatName val="1"/>
            </c:dLbl>
            <c:dLbl>
              <c:idx val="18"/>
              <c:layout>
                <c:manualLayout>
                  <c:x val="-2.7050715025357004E-2"/>
                  <c:y val="1.4743792704176563E-2"/>
                </c:manualLayout>
              </c:layout>
              <c:dLblPos val="r"/>
              <c:showCatName val="1"/>
            </c:dLbl>
            <c:dLbl>
              <c:idx val="20"/>
              <c:layout>
                <c:manualLayout>
                  <c:x val="-2.7088884266402959E-2"/>
                  <c:y val="1.4743792704176563E-2"/>
                </c:manualLayout>
              </c:layout>
              <c:dLblPos val="r"/>
              <c:showCatName val="1"/>
            </c:dLbl>
            <c:dLbl>
              <c:idx val="22"/>
              <c:layout>
                <c:manualLayout>
                  <c:x val="-2.3947403268974141E-2"/>
                  <c:y val="1.4743792704176563E-2"/>
                </c:manualLayout>
              </c:layout>
              <c:dLblPos val="r"/>
              <c:showCatName val="1"/>
            </c:dLbl>
            <c:dLbl>
              <c:idx val="24"/>
              <c:layout>
                <c:manualLayout>
                  <c:x val="-2.3985572510019544E-2"/>
                  <c:y val="1.4743792704176563E-2"/>
                </c:manualLayout>
              </c:layout>
              <c:dLblPos val="r"/>
              <c:showCatName val="1"/>
            </c:dLbl>
            <c:dLbl>
              <c:idx val="26"/>
              <c:layout>
                <c:manualLayout>
                  <c:x val="-2.4023741751064389E-2"/>
                  <c:y val="1.4743792704176563E-2"/>
                </c:manualLayout>
              </c:layout>
              <c:dLblPos val="r"/>
              <c:showCatName val="1"/>
            </c:dLbl>
            <c:dLbl>
              <c:idx val="28"/>
              <c:layout>
                <c:manualLayout>
                  <c:x val="-2.2471918162207675E-2"/>
                  <c:y val="1.4743792704176563E-2"/>
                </c:manualLayout>
              </c:layout>
              <c:dLblPos val="r"/>
              <c:showCatName val="1"/>
            </c:dLbl>
            <c:dLbl>
              <c:idx val="30"/>
              <c:layout>
                <c:manualLayout>
                  <c:x val="-2.5689737641727071E-2"/>
                  <c:y val="1.4743792704176563E-2"/>
                </c:manualLayout>
              </c:layout>
              <c:dLblPos val="r"/>
              <c:showCatName val="1"/>
            </c:dLbl>
            <c:spPr>
              <a:noFill/>
              <a:ln w="25400">
                <a:noFill/>
              </a:ln>
            </c:spPr>
            <c:txPr>
              <a:bodyPr/>
              <a:lstStyle/>
              <a:p>
                <a:pPr>
                  <a:defRPr sz="700" b="0" i="0" u="none" strike="noStrike" baseline="0">
                    <a:solidFill>
                      <a:srgbClr val="FF0000"/>
                    </a:solidFill>
                    <a:latin typeface="Arial"/>
                    <a:ea typeface="Arial"/>
                    <a:cs typeface="Arial"/>
                  </a:defRPr>
                </a:pPr>
                <a:endParaRPr lang="en-US"/>
              </a:p>
            </c:txPr>
            <c:dLblPos val="b"/>
            <c:showCatName val="1"/>
          </c:dLbls>
          <c:xVal>
            <c:numRef>
              <c:f>Describe!$DN$3:$DN$33</c:f>
              <c:numCache>
                <c:formatCode>General</c:formatCode>
                <c:ptCount val="31"/>
                <c:pt idx="0">
                  <c:v>0</c:v>
                </c:pt>
                <c:pt idx="1">
                  <c:v>3</c:v>
                </c:pt>
                <c:pt idx="2">
                  <c:v>6</c:v>
                </c:pt>
                <c:pt idx="3">
                  <c:v>9</c:v>
                </c:pt>
                <c:pt idx="4">
                  <c:v>12</c:v>
                </c:pt>
                <c:pt idx="5">
                  <c:v>15</c:v>
                </c:pt>
                <c:pt idx="6">
                  <c:v>18</c:v>
                </c:pt>
                <c:pt idx="7">
                  <c:v>21</c:v>
                </c:pt>
                <c:pt idx="8">
                  <c:v>24</c:v>
                </c:pt>
                <c:pt idx="9">
                  <c:v>27</c:v>
                </c:pt>
                <c:pt idx="10">
                  <c:v>30</c:v>
                </c:pt>
                <c:pt idx="11">
                  <c:v>33</c:v>
                </c:pt>
                <c:pt idx="12">
                  <c:v>36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xVal>
          <c:yVal>
            <c:numRef>
              <c:f>Describe!$DO$3:$DO$33</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er>
        <c:ser>
          <c:idx val="5"/>
          <c:order val="2"/>
          <c:spPr>
            <a:ln w="28575">
              <a:noFill/>
            </a:ln>
          </c:spPr>
          <c:marker>
            <c:symbol val="none"/>
          </c:marker>
          <c:errBars>
            <c:errDir val="y"/>
            <c:errBarType val="minus"/>
            <c:errValType val="cust"/>
            <c:noEndCap val="1"/>
            <c:minus>
              <c:numRef>
                <c:f>Describe!$DY$10</c:f>
                <c:numCache>
                  <c:formatCode>General</c:formatCode>
                  <c:ptCount val="1"/>
                  <c:pt idx="0">
                    <c:v>0.90102399999999994</c:v>
                  </c:pt>
                </c:numCache>
              </c:numRef>
            </c:minus>
            <c:spPr>
              <a:ln w="38100">
                <a:pattFill prst="pct50">
                  <a:fgClr>
                    <a:srgbClr val="3366FF"/>
                  </a:fgClr>
                  <a:bgClr>
                    <a:srgbClr val="FFFFFF"/>
                  </a:bgClr>
                </a:pattFill>
                <a:prstDash val="solid"/>
              </a:ln>
            </c:spPr>
          </c:errBars>
          <c:xVal>
            <c:numRef>
              <c:f>Describe!$DX$11:$DX$200</c:f>
              <c:numCache>
                <c:formatCode>General</c:formatCode>
                <c:ptCount val="190"/>
                <c:pt idx="0">
                  <c:v>0.22189999999999999</c:v>
                </c:pt>
                <c:pt idx="1">
                  <c:v>0.2354248677248677</c:v>
                </c:pt>
                <c:pt idx="2">
                  <c:v>0.24894973544973542</c:v>
                </c:pt>
                <c:pt idx="3">
                  <c:v>0.26247460317460314</c:v>
                </c:pt>
                <c:pt idx="4">
                  <c:v>0.27599947089947086</c:v>
                </c:pt>
                <c:pt idx="5">
                  <c:v>0.28952433862433857</c:v>
                </c:pt>
                <c:pt idx="6">
                  <c:v>0.30304920634920629</c:v>
                </c:pt>
                <c:pt idx="7">
                  <c:v>0.31657407407407401</c:v>
                </c:pt>
                <c:pt idx="8">
                  <c:v>0.33009894179894173</c:v>
                </c:pt>
                <c:pt idx="9">
                  <c:v>0.34362380952380944</c:v>
                </c:pt>
                <c:pt idx="10">
                  <c:v>0.35714867724867716</c:v>
                </c:pt>
                <c:pt idx="11">
                  <c:v>0.37067354497354488</c:v>
                </c:pt>
                <c:pt idx="12">
                  <c:v>0.38419841269841259</c:v>
                </c:pt>
                <c:pt idx="13">
                  <c:v>0.39772328042328031</c:v>
                </c:pt>
                <c:pt idx="14">
                  <c:v>0.41124814814814803</c:v>
                </c:pt>
                <c:pt idx="15">
                  <c:v>0.42477301587301575</c:v>
                </c:pt>
                <c:pt idx="16">
                  <c:v>0.43829788359788346</c:v>
                </c:pt>
                <c:pt idx="17">
                  <c:v>0.45182275132275118</c:v>
                </c:pt>
                <c:pt idx="18">
                  <c:v>0.4653476190476189</c:v>
                </c:pt>
                <c:pt idx="19">
                  <c:v>0.47887248677248662</c:v>
                </c:pt>
                <c:pt idx="20">
                  <c:v>0.49239735449735433</c:v>
                </c:pt>
                <c:pt idx="21">
                  <c:v>0.50592222222222205</c:v>
                </c:pt>
                <c:pt idx="22">
                  <c:v>0.51944708994708977</c:v>
                </c:pt>
                <c:pt idx="23">
                  <c:v>0.53297195767195749</c:v>
                </c:pt>
                <c:pt idx="24">
                  <c:v>0.5464968253968252</c:v>
                </c:pt>
                <c:pt idx="25">
                  <c:v>0.56002169312169292</c:v>
                </c:pt>
                <c:pt idx="26">
                  <c:v>0.57354656084656064</c:v>
                </c:pt>
                <c:pt idx="27">
                  <c:v>0.58707142857142836</c:v>
                </c:pt>
                <c:pt idx="28">
                  <c:v>0.60059629629629607</c:v>
                </c:pt>
                <c:pt idx="29">
                  <c:v>0.61412116402116379</c:v>
                </c:pt>
                <c:pt idx="30">
                  <c:v>0.62764603174603151</c:v>
                </c:pt>
                <c:pt idx="31">
                  <c:v>0.64117089947089922</c:v>
                </c:pt>
                <c:pt idx="32">
                  <c:v>0.65469576719576694</c:v>
                </c:pt>
                <c:pt idx="33">
                  <c:v>0.66822063492063466</c:v>
                </c:pt>
                <c:pt idx="34">
                  <c:v>0.68174550264550238</c:v>
                </c:pt>
                <c:pt idx="35">
                  <c:v>0.69527037037037009</c:v>
                </c:pt>
                <c:pt idx="36">
                  <c:v>0.70879523809523781</c:v>
                </c:pt>
                <c:pt idx="37">
                  <c:v>0.72232010582010553</c:v>
                </c:pt>
                <c:pt idx="38">
                  <c:v>0.73584497354497325</c:v>
                </c:pt>
                <c:pt idx="39">
                  <c:v>0.74936984126984096</c:v>
                </c:pt>
                <c:pt idx="40">
                  <c:v>0.76289470899470868</c:v>
                </c:pt>
                <c:pt idx="41">
                  <c:v>0.7764195767195764</c:v>
                </c:pt>
                <c:pt idx="42">
                  <c:v>0.78994444444444412</c:v>
                </c:pt>
                <c:pt idx="43">
                  <c:v>0.80346931216931183</c:v>
                </c:pt>
                <c:pt idx="44">
                  <c:v>0.81699417989417955</c:v>
                </c:pt>
                <c:pt idx="45">
                  <c:v>0.83051904761904727</c:v>
                </c:pt>
                <c:pt idx="46">
                  <c:v>0.84404391534391499</c:v>
                </c:pt>
                <c:pt idx="47">
                  <c:v>0.8575687830687827</c:v>
                </c:pt>
                <c:pt idx="48">
                  <c:v>0.87109365079365042</c:v>
                </c:pt>
                <c:pt idx="49">
                  <c:v>0.88461851851851814</c:v>
                </c:pt>
                <c:pt idx="50">
                  <c:v>0.89814338624338586</c:v>
                </c:pt>
                <c:pt idx="51">
                  <c:v>0.91166825396825357</c:v>
                </c:pt>
                <c:pt idx="52">
                  <c:v>0.92519312169312129</c:v>
                </c:pt>
                <c:pt idx="53">
                  <c:v>0.93871798941798901</c:v>
                </c:pt>
                <c:pt idx="54">
                  <c:v>0.95224285714285672</c:v>
                </c:pt>
                <c:pt idx="55">
                  <c:v>0.96576772486772444</c:v>
                </c:pt>
                <c:pt idx="56">
                  <c:v>0.97929259259259216</c:v>
                </c:pt>
                <c:pt idx="57">
                  <c:v>0.99281746031745988</c:v>
                </c:pt>
                <c:pt idx="58">
                  <c:v>1.0063423280423276</c:v>
                </c:pt>
                <c:pt idx="59">
                  <c:v>1.0198671957671954</c:v>
                </c:pt>
                <c:pt idx="60">
                  <c:v>1.0333920634920633</c:v>
                </c:pt>
                <c:pt idx="61">
                  <c:v>1.0469169312169311</c:v>
                </c:pt>
                <c:pt idx="62">
                  <c:v>1.0604417989417989</c:v>
                </c:pt>
                <c:pt idx="63">
                  <c:v>1.0739666666666667</c:v>
                </c:pt>
                <c:pt idx="64">
                  <c:v>1.0874915343915346</c:v>
                </c:pt>
                <c:pt idx="65">
                  <c:v>1.1010164021164024</c:v>
                </c:pt>
                <c:pt idx="66">
                  <c:v>1.1145412698412702</c:v>
                </c:pt>
                <c:pt idx="67">
                  <c:v>1.128066137566138</c:v>
                </c:pt>
                <c:pt idx="68">
                  <c:v>1.1415910052910059</c:v>
                </c:pt>
                <c:pt idx="69">
                  <c:v>1.1551158730158737</c:v>
                </c:pt>
                <c:pt idx="70">
                  <c:v>1.1686407407407415</c:v>
                </c:pt>
                <c:pt idx="71">
                  <c:v>1.1821656084656094</c:v>
                </c:pt>
                <c:pt idx="72">
                  <c:v>1.1956904761904772</c:v>
                </c:pt>
                <c:pt idx="73">
                  <c:v>1.209215343915345</c:v>
                </c:pt>
                <c:pt idx="74">
                  <c:v>1.2227402116402128</c:v>
                </c:pt>
                <c:pt idx="75">
                  <c:v>1.2362650793650807</c:v>
                </c:pt>
                <c:pt idx="76">
                  <c:v>1.2497899470899485</c:v>
                </c:pt>
                <c:pt idx="77">
                  <c:v>1.2633148148148163</c:v>
                </c:pt>
                <c:pt idx="78">
                  <c:v>1.2768396825396842</c:v>
                </c:pt>
                <c:pt idx="79">
                  <c:v>1.290364550264552</c:v>
                </c:pt>
                <c:pt idx="80">
                  <c:v>1.3038894179894198</c:v>
                </c:pt>
                <c:pt idx="81">
                  <c:v>1.3174142857142876</c:v>
                </c:pt>
                <c:pt idx="82">
                  <c:v>1.3309391534391555</c:v>
                </c:pt>
                <c:pt idx="83">
                  <c:v>1.3444640211640233</c:v>
                </c:pt>
                <c:pt idx="84">
                  <c:v>1.3579888888888911</c:v>
                </c:pt>
                <c:pt idx="85">
                  <c:v>1.371513756613759</c:v>
                </c:pt>
                <c:pt idx="86">
                  <c:v>1.3850386243386268</c:v>
                </c:pt>
                <c:pt idx="87">
                  <c:v>1.3985634920634946</c:v>
                </c:pt>
                <c:pt idx="88">
                  <c:v>1.4120883597883624</c:v>
                </c:pt>
                <c:pt idx="89">
                  <c:v>1.4256132275132303</c:v>
                </c:pt>
                <c:pt idx="90">
                  <c:v>1.4391380952380981</c:v>
                </c:pt>
                <c:pt idx="91">
                  <c:v>1.4526629629629659</c:v>
                </c:pt>
                <c:pt idx="92">
                  <c:v>1.4661878306878338</c:v>
                </c:pt>
                <c:pt idx="93">
                  <c:v>1.4797126984127016</c:v>
                </c:pt>
                <c:pt idx="94">
                  <c:v>1.4932375661375694</c:v>
                </c:pt>
                <c:pt idx="95">
                  <c:v>1.5067624338624372</c:v>
                </c:pt>
                <c:pt idx="96">
                  <c:v>1.5202873015873051</c:v>
                </c:pt>
                <c:pt idx="97">
                  <c:v>1.5338121693121729</c:v>
                </c:pt>
                <c:pt idx="98">
                  <c:v>1.5473370370370407</c:v>
                </c:pt>
                <c:pt idx="99">
                  <c:v>1.5608619047619086</c:v>
                </c:pt>
                <c:pt idx="100">
                  <c:v>1.5743867724867764</c:v>
                </c:pt>
                <c:pt idx="101">
                  <c:v>1.5879116402116442</c:v>
                </c:pt>
                <c:pt idx="102">
                  <c:v>1.601436507936512</c:v>
                </c:pt>
                <c:pt idx="103">
                  <c:v>1.6149613756613799</c:v>
                </c:pt>
                <c:pt idx="104">
                  <c:v>1.6284862433862477</c:v>
                </c:pt>
                <c:pt idx="105">
                  <c:v>1.6420111111111155</c:v>
                </c:pt>
                <c:pt idx="106">
                  <c:v>1.6555359788359834</c:v>
                </c:pt>
                <c:pt idx="107">
                  <c:v>1.6690608465608512</c:v>
                </c:pt>
                <c:pt idx="108">
                  <c:v>1.682585714285719</c:v>
                </c:pt>
                <c:pt idx="109">
                  <c:v>1.6961105820105868</c:v>
                </c:pt>
                <c:pt idx="110">
                  <c:v>1.7096354497354547</c:v>
                </c:pt>
                <c:pt idx="111">
                  <c:v>1.7231603174603225</c:v>
                </c:pt>
                <c:pt idx="112">
                  <c:v>1.7366851851851903</c:v>
                </c:pt>
                <c:pt idx="113">
                  <c:v>1.7502100529100582</c:v>
                </c:pt>
                <c:pt idx="114">
                  <c:v>1.763734920634926</c:v>
                </c:pt>
                <c:pt idx="115">
                  <c:v>1.7772597883597938</c:v>
                </c:pt>
                <c:pt idx="116">
                  <c:v>1.7907846560846616</c:v>
                </c:pt>
                <c:pt idx="117">
                  <c:v>1.8043095238095295</c:v>
                </c:pt>
                <c:pt idx="118">
                  <c:v>1.8178343915343973</c:v>
                </c:pt>
                <c:pt idx="119">
                  <c:v>1.8313592592592651</c:v>
                </c:pt>
                <c:pt idx="120">
                  <c:v>1.844884126984133</c:v>
                </c:pt>
                <c:pt idx="121">
                  <c:v>1.8584089947090008</c:v>
                </c:pt>
                <c:pt idx="122">
                  <c:v>1.8719338624338686</c:v>
                </c:pt>
                <c:pt idx="123">
                  <c:v>1.8854587301587364</c:v>
                </c:pt>
                <c:pt idx="124">
                  <c:v>1.8989835978836043</c:v>
                </c:pt>
                <c:pt idx="125">
                  <c:v>1.9125084656084721</c:v>
                </c:pt>
                <c:pt idx="126">
                  <c:v>1.9260333333333399</c:v>
                </c:pt>
                <c:pt idx="127">
                  <c:v>1.9395582010582078</c:v>
                </c:pt>
                <c:pt idx="128">
                  <c:v>1.9530830687830756</c:v>
                </c:pt>
                <c:pt idx="129">
                  <c:v>1.9666079365079434</c:v>
                </c:pt>
                <c:pt idx="130">
                  <c:v>1.9801328042328112</c:v>
                </c:pt>
                <c:pt idx="131">
                  <c:v>1.9936576719576791</c:v>
                </c:pt>
                <c:pt idx="132">
                  <c:v>2.0071825396825469</c:v>
                </c:pt>
                <c:pt idx="133">
                  <c:v>2.0207074074074147</c:v>
                </c:pt>
                <c:pt idx="134">
                  <c:v>2.0342322751322826</c:v>
                </c:pt>
                <c:pt idx="135">
                  <c:v>2.0477571428571504</c:v>
                </c:pt>
                <c:pt idx="136">
                  <c:v>2.0612820105820182</c:v>
                </c:pt>
                <c:pt idx="137">
                  <c:v>2.074806878306886</c:v>
                </c:pt>
                <c:pt idx="138">
                  <c:v>2.0883317460317539</c:v>
                </c:pt>
                <c:pt idx="139">
                  <c:v>2.1018566137566217</c:v>
                </c:pt>
                <c:pt idx="140">
                  <c:v>2.1153814814814895</c:v>
                </c:pt>
                <c:pt idx="141">
                  <c:v>2.1289063492063574</c:v>
                </c:pt>
                <c:pt idx="142">
                  <c:v>2.1424312169312252</c:v>
                </c:pt>
                <c:pt idx="143">
                  <c:v>2.155956084656093</c:v>
                </c:pt>
                <c:pt idx="144">
                  <c:v>2.1694809523809608</c:v>
                </c:pt>
                <c:pt idx="145">
                  <c:v>2.1830058201058287</c:v>
                </c:pt>
                <c:pt idx="146">
                  <c:v>2.1965306878306965</c:v>
                </c:pt>
                <c:pt idx="147">
                  <c:v>2.2100555555555643</c:v>
                </c:pt>
                <c:pt idx="148">
                  <c:v>2.2235804232804322</c:v>
                </c:pt>
                <c:pt idx="149">
                  <c:v>2.2371052910053</c:v>
                </c:pt>
                <c:pt idx="150">
                  <c:v>2.2506301587301678</c:v>
                </c:pt>
                <c:pt idx="151">
                  <c:v>2.2641550264550356</c:v>
                </c:pt>
                <c:pt idx="152">
                  <c:v>2.2776798941799035</c:v>
                </c:pt>
                <c:pt idx="153">
                  <c:v>2.2912047619047713</c:v>
                </c:pt>
                <c:pt idx="154">
                  <c:v>2.3047296296296391</c:v>
                </c:pt>
                <c:pt idx="155">
                  <c:v>2.3182544973545069</c:v>
                </c:pt>
                <c:pt idx="156">
                  <c:v>2.3317793650793748</c:v>
                </c:pt>
                <c:pt idx="157">
                  <c:v>2.3453042328042426</c:v>
                </c:pt>
                <c:pt idx="158">
                  <c:v>2.3588291005291104</c:v>
                </c:pt>
                <c:pt idx="159">
                  <c:v>2.3723539682539783</c:v>
                </c:pt>
                <c:pt idx="160">
                  <c:v>2.3858788359788461</c:v>
                </c:pt>
                <c:pt idx="161">
                  <c:v>2.3994037037037139</c:v>
                </c:pt>
                <c:pt idx="162">
                  <c:v>2.4129285714285817</c:v>
                </c:pt>
                <c:pt idx="163">
                  <c:v>2.4264534391534496</c:v>
                </c:pt>
                <c:pt idx="164">
                  <c:v>2.4399783068783174</c:v>
                </c:pt>
                <c:pt idx="165">
                  <c:v>2.4535031746031852</c:v>
                </c:pt>
                <c:pt idx="166">
                  <c:v>2.4670280423280531</c:v>
                </c:pt>
                <c:pt idx="167">
                  <c:v>2.4805529100529209</c:v>
                </c:pt>
                <c:pt idx="168">
                  <c:v>2.4940777777777887</c:v>
                </c:pt>
                <c:pt idx="169">
                  <c:v>2.5076026455026565</c:v>
                </c:pt>
                <c:pt idx="170">
                  <c:v>2.5211275132275244</c:v>
                </c:pt>
                <c:pt idx="171">
                  <c:v>2.5346523809523922</c:v>
                </c:pt>
                <c:pt idx="172">
                  <c:v>2.54817724867726</c:v>
                </c:pt>
                <c:pt idx="173">
                  <c:v>2.5617021164021279</c:v>
                </c:pt>
                <c:pt idx="174">
                  <c:v>2.5752269841269957</c:v>
                </c:pt>
                <c:pt idx="175">
                  <c:v>2.5887518518518635</c:v>
                </c:pt>
                <c:pt idx="176">
                  <c:v>2.6022767195767313</c:v>
                </c:pt>
                <c:pt idx="177">
                  <c:v>2.6158015873015992</c:v>
                </c:pt>
                <c:pt idx="178">
                  <c:v>2.629326455026467</c:v>
                </c:pt>
                <c:pt idx="179">
                  <c:v>2.6428513227513348</c:v>
                </c:pt>
                <c:pt idx="180">
                  <c:v>2.6563761904762027</c:v>
                </c:pt>
                <c:pt idx="181">
                  <c:v>2.6699010582010705</c:v>
                </c:pt>
                <c:pt idx="182">
                  <c:v>2.6834259259259383</c:v>
                </c:pt>
                <c:pt idx="183">
                  <c:v>2.6969507936508061</c:v>
                </c:pt>
                <c:pt idx="184">
                  <c:v>2.710475661375674</c:v>
                </c:pt>
                <c:pt idx="185">
                  <c:v>2.7240005291005418</c:v>
                </c:pt>
                <c:pt idx="186">
                  <c:v>2.7375253968254096</c:v>
                </c:pt>
                <c:pt idx="187">
                  <c:v>2.7510502645502775</c:v>
                </c:pt>
                <c:pt idx="188">
                  <c:v>2.7645751322751453</c:v>
                </c:pt>
                <c:pt idx="189">
                  <c:v>2.7781000000000131</c:v>
                </c:pt>
              </c:numCache>
            </c:numRef>
          </c:xVal>
          <c:yVal>
            <c:numRef>
              <c:f>Describe!$DY$11:$DY$200</c:f>
              <c:numCache>
                <c:formatCode>General</c:formatCode>
                <c:ptCount val="190"/>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pt idx="15">
                  <c:v>0.93702399999999997</c:v>
                </c:pt>
                <c:pt idx="16">
                  <c:v>0.93702399999999997</c:v>
                </c:pt>
                <c:pt idx="17">
                  <c:v>0.93702399999999997</c:v>
                </c:pt>
                <c:pt idx="18">
                  <c:v>0.93702399999999997</c:v>
                </c:pt>
                <c:pt idx="19">
                  <c:v>0.93702399999999997</c:v>
                </c:pt>
                <c:pt idx="20">
                  <c:v>0.93702399999999997</c:v>
                </c:pt>
                <c:pt idx="21">
                  <c:v>0.93702399999999997</c:v>
                </c:pt>
                <c:pt idx="22">
                  <c:v>0.93702399999999997</c:v>
                </c:pt>
                <c:pt idx="23">
                  <c:v>0.93702399999999997</c:v>
                </c:pt>
                <c:pt idx="24">
                  <c:v>0.93702399999999997</c:v>
                </c:pt>
                <c:pt idx="25">
                  <c:v>0.93702399999999997</c:v>
                </c:pt>
                <c:pt idx="26">
                  <c:v>0.93702399999999997</c:v>
                </c:pt>
                <c:pt idx="27">
                  <c:v>0.93702399999999997</c:v>
                </c:pt>
                <c:pt idx="28">
                  <c:v>0.93702399999999997</c:v>
                </c:pt>
                <c:pt idx="29">
                  <c:v>0.93702399999999997</c:v>
                </c:pt>
                <c:pt idx="30">
                  <c:v>0.93702399999999997</c:v>
                </c:pt>
                <c:pt idx="31">
                  <c:v>0.93702399999999997</c:v>
                </c:pt>
                <c:pt idx="32">
                  <c:v>0.93702399999999997</c:v>
                </c:pt>
                <c:pt idx="33">
                  <c:v>0.93702399999999997</c:v>
                </c:pt>
                <c:pt idx="34">
                  <c:v>0.93702399999999997</c:v>
                </c:pt>
                <c:pt idx="35">
                  <c:v>0.93702399999999997</c:v>
                </c:pt>
                <c:pt idx="36">
                  <c:v>0.93702399999999997</c:v>
                </c:pt>
                <c:pt idx="37">
                  <c:v>0.93702399999999997</c:v>
                </c:pt>
                <c:pt idx="38">
                  <c:v>0.93702399999999997</c:v>
                </c:pt>
                <c:pt idx="39">
                  <c:v>0.93702399999999997</c:v>
                </c:pt>
                <c:pt idx="40">
                  <c:v>0.93702399999999997</c:v>
                </c:pt>
                <c:pt idx="41">
                  <c:v>0.93702399999999997</c:v>
                </c:pt>
                <c:pt idx="42">
                  <c:v>0.93702399999999997</c:v>
                </c:pt>
                <c:pt idx="43">
                  <c:v>0.93702399999999997</c:v>
                </c:pt>
                <c:pt idx="44">
                  <c:v>0.93702399999999997</c:v>
                </c:pt>
                <c:pt idx="45">
                  <c:v>0.93702399999999997</c:v>
                </c:pt>
                <c:pt idx="46">
                  <c:v>0.93702399999999997</c:v>
                </c:pt>
                <c:pt idx="47">
                  <c:v>0.93702399999999997</c:v>
                </c:pt>
                <c:pt idx="48">
                  <c:v>0.93702399999999997</c:v>
                </c:pt>
                <c:pt idx="49">
                  <c:v>0.93702399999999997</c:v>
                </c:pt>
                <c:pt idx="50">
                  <c:v>0.93702399999999997</c:v>
                </c:pt>
                <c:pt idx="51">
                  <c:v>0.93702399999999997</c:v>
                </c:pt>
                <c:pt idx="52">
                  <c:v>0.93702399999999997</c:v>
                </c:pt>
                <c:pt idx="53">
                  <c:v>0.93702399999999997</c:v>
                </c:pt>
                <c:pt idx="54">
                  <c:v>0.93702399999999997</c:v>
                </c:pt>
                <c:pt idx="55">
                  <c:v>0.93702399999999997</c:v>
                </c:pt>
                <c:pt idx="56">
                  <c:v>0.93702399999999997</c:v>
                </c:pt>
                <c:pt idx="57">
                  <c:v>0.93702399999999997</c:v>
                </c:pt>
                <c:pt idx="58">
                  <c:v>0.93702399999999997</c:v>
                </c:pt>
                <c:pt idx="59">
                  <c:v>0.93702399999999997</c:v>
                </c:pt>
                <c:pt idx="60">
                  <c:v>0.93702399999999997</c:v>
                </c:pt>
                <c:pt idx="61">
                  <c:v>0.93702399999999997</c:v>
                </c:pt>
                <c:pt idx="62">
                  <c:v>0.93702399999999997</c:v>
                </c:pt>
                <c:pt idx="63">
                  <c:v>0.93702399999999997</c:v>
                </c:pt>
                <c:pt idx="64">
                  <c:v>0.93702399999999997</c:v>
                </c:pt>
                <c:pt idx="65">
                  <c:v>0.93702399999999997</c:v>
                </c:pt>
                <c:pt idx="66">
                  <c:v>0.93702399999999997</c:v>
                </c:pt>
                <c:pt idx="67">
                  <c:v>0.93702399999999997</c:v>
                </c:pt>
                <c:pt idx="68">
                  <c:v>0.93702399999999997</c:v>
                </c:pt>
                <c:pt idx="69">
                  <c:v>0.93702399999999997</c:v>
                </c:pt>
                <c:pt idx="70">
                  <c:v>0.93702399999999997</c:v>
                </c:pt>
                <c:pt idx="71">
                  <c:v>0.93702399999999997</c:v>
                </c:pt>
                <c:pt idx="72">
                  <c:v>0.93702399999999997</c:v>
                </c:pt>
                <c:pt idx="73">
                  <c:v>0.93702399999999997</c:v>
                </c:pt>
                <c:pt idx="74">
                  <c:v>0.93702399999999997</c:v>
                </c:pt>
                <c:pt idx="75">
                  <c:v>0.93702399999999997</c:v>
                </c:pt>
                <c:pt idx="76">
                  <c:v>0.93702399999999997</c:v>
                </c:pt>
                <c:pt idx="77">
                  <c:v>0.93702399999999997</c:v>
                </c:pt>
                <c:pt idx="78">
                  <c:v>0.93702399999999997</c:v>
                </c:pt>
                <c:pt idx="79">
                  <c:v>0.93702399999999997</c:v>
                </c:pt>
                <c:pt idx="80">
                  <c:v>0.93702399999999997</c:v>
                </c:pt>
                <c:pt idx="81">
                  <c:v>0.93702399999999997</c:v>
                </c:pt>
                <c:pt idx="82">
                  <c:v>0.93702399999999997</c:v>
                </c:pt>
                <c:pt idx="83">
                  <c:v>0.93702399999999997</c:v>
                </c:pt>
                <c:pt idx="84">
                  <c:v>0.93702399999999997</c:v>
                </c:pt>
                <c:pt idx="85">
                  <c:v>0.93702399999999997</c:v>
                </c:pt>
                <c:pt idx="86">
                  <c:v>0.93702399999999997</c:v>
                </c:pt>
                <c:pt idx="87">
                  <c:v>0.93702399999999997</c:v>
                </c:pt>
                <c:pt idx="88">
                  <c:v>0.93702399999999997</c:v>
                </c:pt>
                <c:pt idx="89">
                  <c:v>0.93702399999999997</c:v>
                </c:pt>
                <c:pt idx="90">
                  <c:v>0.93702399999999997</c:v>
                </c:pt>
                <c:pt idx="91">
                  <c:v>0.93702399999999997</c:v>
                </c:pt>
                <c:pt idx="92">
                  <c:v>0.93702399999999997</c:v>
                </c:pt>
                <c:pt idx="93">
                  <c:v>0.93702399999999997</c:v>
                </c:pt>
                <c:pt idx="94">
                  <c:v>0.93702399999999997</c:v>
                </c:pt>
                <c:pt idx="95">
                  <c:v>0.93702399999999997</c:v>
                </c:pt>
                <c:pt idx="96">
                  <c:v>0.93702399999999997</c:v>
                </c:pt>
                <c:pt idx="97">
                  <c:v>0.93702399999999997</c:v>
                </c:pt>
                <c:pt idx="98">
                  <c:v>0.93702399999999997</c:v>
                </c:pt>
                <c:pt idx="99">
                  <c:v>0.93702399999999997</c:v>
                </c:pt>
                <c:pt idx="100">
                  <c:v>0.93702399999999997</c:v>
                </c:pt>
                <c:pt idx="101">
                  <c:v>0.93702399999999997</c:v>
                </c:pt>
                <c:pt idx="102">
                  <c:v>0.93702399999999997</c:v>
                </c:pt>
                <c:pt idx="103">
                  <c:v>0.93702399999999997</c:v>
                </c:pt>
                <c:pt idx="104">
                  <c:v>0.93702399999999997</c:v>
                </c:pt>
                <c:pt idx="105">
                  <c:v>0.93702399999999997</c:v>
                </c:pt>
                <c:pt idx="106">
                  <c:v>0.93702399999999997</c:v>
                </c:pt>
                <c:pt idx="107">
                  <c:v>0.93702399999999997</c:v>
                </c:pt>
                <c:pt idx="108">
                  <c:v>0.93702399999999997</c:v>
                </c:pt>
                <c:pt idx="109">
                  <c:v>0.93702399999999997</c:v>
                </c:pt>
                <c:pt idx="110">
                  <c:v>0.93702399999999997</c:v>
                </c:pt>
                <c:pt idx="111">
                  <c:v>0.93702399999999997</c:v>
                </c:pt>
                <c:pt idx="112">
                  <c:v>0.93702399999999997</c:v>
                </c:pt>
                <c:pt idx="113">
                  <c:v>0.93702399999999997</c:v>
                </c:pt>
                <c:pt idx="114">
                  <c:v>0.93702399999999997</c:v>
                </c:pt>
                <c:pt idx="115">
                  <c:v>0.93702399999999997</c:v>
                </c:pt>
                <c:pt idx="116">
                  <c:v>0.93702399999999997</c:v>
                </c:pt>
                <c:pt idx="117">
                  <c:v>0.93702399999999997</c:v>
                </c:pt>
                <c:pt idx="118">
                  <c:v>0.93702399999999997</c:v>
                </c:pt>
                <c:pt idx="119">
                  <c:v>0.93702399999999997</c:v>
                </c:pt>
                <c:pt idx="120">
                  <c:v>0.93702399999999997</c:v>
                </c:pt>
                <c:pt idx="121">
                  <c:v>0.93702399999999997</c:v>
                </c:pt>
                <c:pt idx="122">
                  <c:v>0.93702399999999997</c:v>
                </c:pt>
                <c:pt idx="123">
                  <c:v>0.93702399999999997</c:v>
                </c:pt>
                <c:pt idx="124">
                  <c:v>0.93702399999999997</c:v>
                </c:pt>
                <c:pt idx="125">
                  <c:v>0.93702399999999997</c:v>
                </c:pt>
                <c:pt idx="126">
                  <c:v>0.93702399999999997</c:v>
                </c:pt>
                <c:pt idx="127">
                  <c:v>0.93702399999999997</c:v>
                </c:pt>
                <c:pt idx="128">
                  <c:v>0.93702399999999997</c:v>
                </c:pt>
                <c:pt idx="129">
                  <c:v>0.93702399999999997</c:v>
                </c:pt>
                <c:pt idx="130">
                  <c:v>0.93702399999999997</c:v>
                </c:pt>
                <c:pt idx="131">
                  <c:v>0.93702399999999997</c:v>
                </c:pt>
                <c:pt idx="132">
                  <c:v>0.93702399999999997</c:v>
                </c:pt>
                <c:pt idx="133">
                  <c:v>0.93702399999999997</c:v>
                </c:pt>
                <c:pt idx="134">
                  <c:v>0.93702399999999997</c:v>
                </c:pt>
                <c:pt idx="135">
                  <c:v>0.93702399999999997</c:v>
                </c:pt>
                <c:pt idx="136">
                  <c:v>0.93702399999999997</c:v>
                </c:pt>
                <c:pt idx="137">
                  <c:v>0.93702399999999997</c:v>
                </c:pt>
                <c:pt idx="138">
                  <c:v>0.93702399999999997</c:v>
                </c:pt>
                <c:pt idx="139">
                  <c:v>0.93702399999999997</c:v>
                </c:pt>
                <c:pt idx="140">
                  <c:v>0.93702399999999997</c:v>
                </c:pt>
                <c:pt idx="141">
                  <c:v>0.93702399999999997</c:v>
                </c:pt>
                <c:pt idx="142">
                  <c:v>0.93702399999999997</c:v>
                </c:pt>
                <c:pt idx="143">
                  <c:v>0.93702399999999997</c:v>
                </c:pt>
                <c:pt idx="144">
                  <c:v>0.93702399999999997</c:v>
                </c:pt>
                <c:pt idx="145">
                  <c:v>0.93702399999999997</c:v>
                </c:pt>
                <c:pt idx="146">
                  <c:v>0.93702399999999997</c:v>
                </c:pt>
                <c:pt idx="147">
                  <c:v>0.93702399999999997</c:v>
                </c:pt>
                <c:pt idx="148">
                  <c:v>0.93702399999999997</c:v>
                </c:pt>
                <c:pt idx="149">
                  <c:v>0.93702399999999997</c:v>
                </c:pt>
                <c:pt idx="150">
                  <c:v>0.93702399999999997</c:v>
                </c:pt>
                <c:pt idx="151">
                  <c:v>0.93702399999999997</c:v>
                </c:pt>
                <c:pt idx="152">
                  <c:v>0.93702399999999997</c:v>
                </c:pt>
                <c:pt idx="153">
                  <c:v>0.93702399999999997</c:v>
                </c:pt>
                <c:pt idx="154">
                  <c:v>0.93702399999999997</c:v>
                </c:pt>
                <c:pt idx="155">
                  <c:v>0.93702399999999997</c:v>
                </c:pt>
                <c:pt idx="156">
                  <c:v>0.93702399999999997</c:v>
                </c:pt>
                <c:pt idx="157">
                  <c:v>0.93702399999999997</c:v>
                </c:pt>
                <c:pt idx="158">
                  <c:v>0.93702399999999997</c:v>
                </c:pt>
                <c:pt idx="159">
                  <c:v>0.93702399999999997</c:v>
                </c:pt>
                <c:pt idx="160">
                  <c:v>0.93702399999999997</c:v>
                </c:pt>
                <c:pt idx="161">
                  <c:v>0.93702399999999997</c:v>
                </c:pt>
                <c:pt idx="162">
                  <c:v>0.93702399999999997</c:v>
                </c:pt>
                <c:pt idx="163">
                  <c:v>0.93702399999999997</c:v>
                </c:pt>
                <c:pt idx="164">
                  <c:v>0.93702399999999997</c:v>
                </c:pt>
                <c:pt idx="165">
                  <c:v>0.93702399999999997</c:v>
                </c:pt>
                <c:pt idx="166">
                  <c:v>0.93702399999999997</c:v>
                </c:pt>
                <c:pt idx="167">
                  <c:v>0.93702399999999997</c:v>
                </c:pt>
                <c:pt idx="168">
                  <c:v>0.93702399999999997</c:v>
                </c:pt>
                <c:pt idx="169">
                  <c:v>0.93702399999999997</c:v>
                </c:pt>
                <c:pt idx="170">
                  <c:v>0.93702399999999997</c:v>
                </c:pt>
                <c:pt idx="171">
                  <c:v>0.93702399999999997</c:v>
                </c:pt>
                <c:pt idx="172">
                  <c:v>0.93702399999999997</c:v>
                </c:pt>
                <c:pt idx="173">
                  <c:v>0.93702399999999997</c:v>
                </c:pt>
                <c:pt idx="174">
                  <c:v>0.93702399999999997</c:v>
                </c:pt>
                <c:pt idx="175">
                  <c:v>0.93702399999999997</c:v>
                </c:pt>
                <c:pt idx="176">
                  <c:v>0.93702399999999997</c:v>
                </c:pt>
                <c:pt idx="177">
                  <c:v>0.93702399999999997</c:v>
                </c:pt>
                <c:pt idx="178">
                  <c:v>0.93702399999999997</c:v>
                </c:pt>
                <c:pt idx="179">
                  <c:v>0.93702399999999997</c:v>
                </c:pt>
                <c:pt idx="180">
                  <c:v>0.93702399999999997</c:v>
                </c:pt>
                <c:pt idx="181">
                  <c:v>0.93702399999999997</c:v>
                </c:pt>
                <c:pt idx="182">
                  <c:v>0.93702399999999997</c:v>
                </c:pt>
                <c:pt idx="183">
                  <c:v>0.93702399999999997</c:v>
                </c:pt>
                <c:pt idx="184">
                  <c:v>0.93702399999999997</c:v>
                </c:pt>
                <c:pt idx="185">
                  <c:v>0.93702399999999997</c:v>
                </c:pt>
                <c:pt idx="186">
                  <c:v>0.93702399999999997</c:v>
                </c:pt>
                <c:pt idx="187">
                  <c:v>0.93702399999999997</c:v>
                </c:pt>
                <c:pt idx="188">
                  <c:v>0.93702399999999997</c:v>
                </c:pt>
                <c:pt idx="189">
                  <c:v>0.93702399999999997</c:v>
                </c:pt>
              </c:numCache>
            </c:numRef>
          </c:yVal>
        </c:ser>
        <c:ser>
          <c:idx val="4"/>
          <c:order val="3"/>
          <c:spPr>
            <a:ln w="28575">
              <a:noFill/>
            </a:ln>
          </c:spPr>
          <c:marker>
            <c:symbol val="none"/>
          </c:marker>
          <c:errBars>
            <c:errDir val="y"/>
            <c:errBarType val="minus"/>
            <c:errValType val="cust"/>
            <c:noEndCap val="1"/>
            <c:minus>
              <c:numRef>
                <c:f>Describe!$EA$10</c:f>
                <c:numCache>
                  <c:formatCode>General</c:formatCode>
                  <c:ptCount val="1"/>
                  <c:pt idx="0">
                    <c:v>1.901024</c:v>
                  </c:pt>
                </c:numCache>
              </c:numRef>
            </c:minus>
            <c:spPr>
              <a:ln w="38100">
                <a:pattFill prst="pct50">
                  <a:fgClr>
                    <a:srgbClr val="3366FF"/>
                  </a:fgClr>
                  <a:bgClr>
                    <a:srgbClr val="FFFFFF"/>
                  </a:bgClr>
                </a:pattFill>
                <a:prstDash val="solid"/>
              </a:ln>
            </c:spPr>
          </c:errBars>
          <c:xVal>
            <c:numRef>
              <c:f>Describe!$DZ$11:$DZ$105</c:f>
              <c:numCache>
                <c:formatCode>General</c:formatCode>
                <c:ptCount val="95"/>
                <c:pt idx="0">
                  <c:v>3.2218999999999998</c:v>
                </c:pt>
                <c:pt idx="1">
                  <c:v>3.2490936170212765</c:v>
                </c:pt>
                <c:pt idx="2">
                  <c:v>3.2762872340425533</c:v>
                </c:pt>
                <c:pt idx="3">
                  <c:v>3.30348085106383</c:v>
                </c:pt>
                <c:pt idx="4">
                  <c:v>3.3306744680851068</c:v>
                </c:pt>
                <c:pt idx="5">
                  <c:v>3.3578680851063836</c:v>
                </c:pt>
                <c:pt idx="6">
                  <c:v>3.3850617021276603</c:v>
                </c:pt>
                <c:pt idx="7">
                  <c:v>3.4122553191489371</c:v>
                </c:pt>
                <c:pt idx="8">
                  <c:v>3.4394489361702139</c:v>
                </c:pt>
                <c:pt idx="9">
                  <c:v>3.4666425531914906</c:v>
                </c:pt>
                <c:pt idx="10">
                  <c:v>3.4938361702127674</c:v>
                </c:pt>
                <c:pt idx="11">
                  <c:v>3.5210297872340441</c:v>
                </c:pt>
                <c:pt idx="12">
                  <c:v>3.5482234042553209</c:v>
                </c:pt>
                <c:pt idx="13">
                  <c:v>3.5754170212765977</c:v>
                </c:pt>
                <c:pt idx="14">
                  <c:v>3.6026106382978744</c:v>
                </c:pt>
                <c:pt idx="15">
                  <c:v>3.6298042553191512</c:v>
                </c:pt>
                <c:pt idx="16">
                  <c:v>3.6569978723404279</c:v>
                </c:pt>
                <c:pt idx="17">
                  <c:v>3.6841914893617047</c:v>
                </c:pt>
                <c:pt idx="18">
                  <c:v>3.7113851063829815</c:v>
                </c:pt>
                <c:pt idx="19">
                  <c:v>3.7385787234042582</c:v>
                </c:pt>
                <c:pt idx="20">
                  <c:v>3.765772340425535</c:v>
                </c:pt>
                <c:pt idx="21">
                  <c:v>3.7929659574468118</c:v>
                </c:pt>
                <c:pt idx="22">
                  <c:v>3.8201595744680885</c:v>
                </c:pt>
                <c:pt idx="23">
                  <c:v>3.8473531914893653</c:v>
                </c:pt>
                <c:pt idx="24">
                  <c:v>3.874546808510642</c:v>
                </c:pt>
                <c:pt idx="25">
                  <c:v>3.9017404255319188</c:v>
                </c:pt>
                <c:pt idx="26">
                  <c:v>3.9289340425531956</c:v>
                </c:pt>
                <c:pt idx="27">
                  <c:v>3.9561276595744723</c:v>
                </c:pt>
                <c:pt idx="28">
                  <c:v>3.9833212765957491</c:v>
                </c:pt>
                <c:pt idx="29">
                  <c:v>4.0105148936170254</c:v>
                </c:pt>
                <c:pt idx="30">
                  <c:v>4.0377085106383017</c:v>
                </c:pt>
                <c:pt idx="31">
                  <c:v>4.064902127659578</c:v>
                </c:pt>
                <c:pt idx="32">
                  <c:v>4.0920957446808544</c:v>
                </c:pt>
                <c:pt idx="33">
                  <c:v>4.1192893617021307</c:v>
                </c:pt>
                <c:pt idx="34">
                  <c:v>4.146482978723407</c:v>
                </c:pt>
                <c:pt idx="35">
                  <c:v>4.1736765957446833</c:v>
                </c:pt>
                <c:pt idx="36">
                  <c:v>4.2008702127659596</c:v>
                </c:pt>
                <c:pt idx="37">
                  <c:v>4.2280638297872359</c:v>
                </c:pt>
                <c:pt idx="38">
                  <c:v>4.2552574468085123</c:v>
                </c:pt>
                <c:pt idx="39">
                  <c:v>4.2824510638297886</c:v>
                </c:pt>
                <c:pt idx="40">
                  <c:v>4.3096446808510649</c:v>
                </c:pt>
                <c:pt idx="41">
                  <c:v>4.3368382978723412</c:v>
                </c:pt>
                <c:pt idx="42">
                  <c:v>4.3640319148936175</c:v>
                </c:pt>
                <c:pt idx="43">
                  <c:v>4.3912255319148938</c:v>
                </c:pt>
                <c:pt idx="44">
                  <c:v>4.4184191489361702</c:v>
                </c:pt>
                <c:pt idx="45">
                  <c:v>4.4456127659574465</c:v>
                </c:pt>
                <c:pt idx="46">
                  <c:v>4.4728063829787228</c:v>
                </c:pt>
                <c:pt idx="47">
                  <c:v>4.4999999999999991</c:v>
                </c:pt>
                <c:pt idx="48">
                  <c:v>4.5271936170212754</c:v>
                </c:pt>
                <c:pt idx="49">
                  <c:v>4.5543872340425517</c:v>
                </c:pt>
                <c:pt idx="50">
                  <c:v>4.5815808510638281</c:v>
                </c:pt>
                <c:pt idx="51">
                  <c:v>4.6087744680851044</c:v>
                </c:pt>
                <c:pt idx="52">
                  <c:v>4.6359680851063807</c:v>
                </c:pt>
                <c:pt idx="53">
                  <c:v>4.663161702127657</c:v>
                </c:pt>
                <c:pt idx="54">
                  <c:v>4.6903553191489333</c:v>
                </c:pt>
                <c:pt idx="55">
                  <c:v>4.7175489361702097</c:v>
                </c:pt>
                <c:pt idx="56">
                  <c:v>4.744742553191486</c:v>
                </c:pt>
                <c:pt idx="57">
                  <c:v>4.7719361702127623</c:v>
                </c:pt>
                <c:pt idx="58">
                  <c:v>4.7991297872340386</c:v>
                </c:pt>
                <c:pt idx="59">
                  <c:v>4.8263234042553149</c:v>
                </c:pt>
                <c:pt idx="60">
                  <c:v>4.8535170212765912</c:v>
                </c:pt>
                <c:pt idx="61">
                  <c:v>4.8807106382978676</c:v>
                </c:pt>
                <c:pt idx="62">
                  <c:v>4.9079042553191439</c:v>
                </c:pt>
                <c:pt idx="63">
                  <c:v>4.9350978723404202</c:v>
                </c:pt>
                <c:pt idx="64">
                  <c:v>4.9622914893616965</c:v>
                </c:pt>
                <c:pt idx="65">
                  <c:v>4.9894851063829728</c:v>
                </c:pt>
                <c:pt idx="66">
                  <c:v>5.0166787234042491</c:v>
                </c:pt>
                <c:pt idx="67">
                  <c:v>5.0438723404255255</c:v>
                </c:pt>
                <c:pt idx="68">
                  <c:v>5.0710659574468018</c:v>
                </c:pt>
                <c:pt idx="69">
                  <c:v>5.0982595744680781</c:v>
                </c:pt>
                <c:pt idx="70">
                  <c:v>5.1254531914893544</c:v>
                </c:pt>
                <c:pt idx="71">
                  <c:v>5.1526468085106307</c:v>
                </c:pt>
                <c:pt idx="72">
                  <c:v>5.179840425531907</c:v>
                </c:pt>
                <c:pt idx="73">
                  <c:v>5.2070340425531834</c:v>
                </c:pt>
                <c:pt idx="74">
                  <c:v>5.2342276595744597</c:v>
                </c:pt>
                <c:pt idx="75">
                  <c:v>5.261421276595736</c:v>
                </c:pt>
                <c:pt idx="76">
                  <c:v>5.2886148936170123</c:v>
                </c:pt>
                <c:pt idx="77">
                  <c:v>5.3158085106382886</c:v>
                </c:pt>
                <c:pt idx="78">
                  <c:v>5.3430021276595649</c:v>
                </c:pt>
                <c:pt idx="79">
                  <c:v>5.3701957446808413</c:v>
                </c:pt>
                <c:pt idx="80">
                  <c:v>5.3973893617021176</c:v>
                </c:pt>
                <c:pt idx="81">
                  <c:v>5.4245829787233939</c:v>
                </c:pt>
                <c:pt idx="82">
                  <c:v>5.4517765957446702</c:v>
                </c:pt>
                <c:pt idx="83">
                  <c:v>5.4789702127659465</c:v>
                </c:pt>
                <c:pt idx="84">
                  <c:v>5.5061638297872229</c:v>
                </c:pt>
                <c:pt idx="85">
                  <c:v>5.5333574468084992</c:v>
                </c:pt>
                <c:pt idx="86">
                  <c:v>5.5605510638297755</c:v>
                </c:pt>
                <c:pt idx="87">
                  <c:v>5.5877446808510518</c:v>
                </c:pt>
                <c:pt idx="88">
                  <c:v>5.6149382978723281</c:v>
                </c:pt>
                <c:pt idx="89">
                  <c:v>5.6421319148936044</c:v>
                </c:pt>
                <c:pt idx="90">
                  <c:v>5.6693255319148808</c:v>
                </c:pt>
                <c:pt idx="91">
                  <c:v>5.6965191489361571</c:v>
                </c:pt>
                <c:pt idx="92">
                  <c:v>5.7237127659574334</c:v>
                </c:pt>
                <c:pt idx="93">
                  <c:v>5.7509063829787097</c:v>
                </c:pt>
                <c:pt idx="94">
                  <c:v>5.778099999999986</c:v>
                </c:pt>
              </c:numCache>
            </c:numRef>
          </c:xVal>
          <c:yVal>
            <c:numRef>
              <c:f>Describe!$EA$11:$EA$105</c:f>
              <c:numCache>
                <c:formatCode>General</c:formatCode>
                <c:ptCount val="95"/>
                <c:pt idx="0">
                  <c:v>1.9370240000000001</c:v>
                </c:pt>
                <c:pt idx="1">
                  <c:v>1.9370240000000001</c:v>
                </c:pt>
                <c:pt idx="2">
                  <c:v>1.9370240000000001</c:v>
                </c:pt>
                <c:pt idx="3">
                  <c:v>1.9370240000000001</c:v>
                </c:pt>
                <c:pt idx="4">
                  <c:v>1.9370240000000001</c:v>
                </c:pt>
                <c:pt idx="5">
                  <c:v>1.9370240000000001</c:v>
                </c:pt>
                <c:pt idx="6">
                  <c:v>1.9370240000000001</c:v>
                </c:pt>
                <c:pt idx="7">
                  <c:v>1.9370240000000001</c:v>
                </c:pt>
                <c:pt idx="8">
                  <c:v>1.9370240000000001</c:v>
                </c:pt>
                <c:pt idx="9">
                  <c:v>1.9370240000000001</c:v>
                </c:pt>
                <c:pt idx="10">
                  <c:v>1.9370240000000001</c:v>
                </c:pt>
                <c:pt idx="11">
                  <c:v>1.9370240000000001</c:v>
                </c:pt>
                <c:pt idx="12">
                  <c:v>1.9370240000000001</c:v>
                </c:pt>
                <c:pt idx="13">
                  <c:v>1.9370240000000001</c:v>
                </c:pt>
                <c:pt idx="14">
                  <c:v>1.9370240000000001</c:v>
                </c:pt>
                <c:pt idx="15">
                  <c:v>1.9370240000000001</c:v>
                </c:pt>
                <c:pt idx="16">
                  <c:v>1.9370240000000001</c:v>
                </c:pt>
                <c:pt idx="17">
                  <c:v>1.9370240000000001</c:v>
                </c:pt>
                <c:pt idx="18">
                  <c:v>1.9370240000000001</c:v>
                </c:pt>
                <c:pt idx="19">
                  <c:v>1.9370240000000001</c:v>
                </c:pt>
                <c:pt idx="20">
                  <c:v>1.9370240000000001</c:v>
                </c:pt>
                <c:pt idx="21">
                  <c:v>1.9370240000000001</c:v>
                </c:pt>
                <c:pt idx="22">
                  <c:v>1.9370240000000001</c:v>
                </c:pt>
                <c:pt idx="23">
                  <c:v>1.9370240000000001</c:v>
                </c:pt>
                <c:pt idx="24">
                  <c:v>1.9370240000000001</c:v>
                </c:pt>
                <c:pt idx="25">
                  <c:v>1.9370240000000001</c:v>
                </c:pt>
                <c:pt idx="26">
                  <c:v>1.9370240000000001</c:v>
                </c:pt>
                <c:pt idx="27">
                  <c:v>1.9370240000000001</c:v>
                </c:pt>
                <c:pt idx="28">
                  <c:v>1.9370240000000001</c:v>
                </c:pt>
                <c:pt idx="29">
                  <c:v>1.9370240000000001</c:v>
                </c:pt>
                <c:pt idx="30">
                  <c:v>1.9370240000000001</c:v>
                </c:pt>
                <c:pt idx="31">
                  <c:v>1.9370240000000001</c:v>
                </c:pt>
                <c:pt idx="32">
                  <c:v>1.9370240000000001</c:v>
                </c:pt>
                <c:pt idx="33">
                  <c:v>1.9370240000000001</c:v>
                </c:pt>
                <c:pt idx="34">
                  <c:v>1.9370240000000001</c:v>
                </c:pt>
                <c:pt idx="35">
                  <c:v>1.9370240000000001</c:v>
                </c:pt>
                <c:pt idx="36">
                  <c:v>1.9370240000000001</c:v>
                </c:pt>
                <c:pt idx="37">
                  <c:v>1.9370240000000001</c:v>
                </c:pt>
                <c:pt idx="38">
                  <c:v>1.9370240000000001</c:v>
                </c:pt>
                <c:pt idx="39">
                  <c:v>1.9370240000000001</c:v>
                </c:pt>
                <c:pt idx="40">
                  <c:v>1.9370240000000001</c:v>
                </c:pt>
                <c:pt idx="41">
                  <c:v>1.9370240000000001</c:v>
                </c:pt>
                <c:pt idx="42">
                  <c:v>1.9370240000000001</c:v>
                </c:pt>
                <c:pt idx="43">
                  <c:v>1.9370240000000001</c:v>
                </c:pt>
                <c:pt idx="44">
                  <c:v>1.9370240000000001</c:v>
                </c:pt>
                <c:pt idx="45">
                  <c:v>1.9370240000000001</c:v>
                </c:pt>
                <c:pt idx="46">
                  <c:v>1.9370240000000001</c:v>
                </c:pt>
                <c:pt idx="47">
                  <c:v>1.9370240000000001</c:v>
                </c:pt>
                <c:pt idx="48">
                  <c:v>1.9370240000000001</c:v>
                </c:pt>
                <c:pt idx="49">
                  <c:v>1.9370240000000001</c:v>
                </c:pt>
                <c:pt idx="50">
                  <c:v>1.9370240000000001</c:v>
                </c:pt>
                <c:pt idx="51">
                  <c:v>1.9370240000000001</c:v>
                </c:pt>
                <c:pt idx="52">
                  <c:v>1.9370240000000001</c:v>
                </c:pt>
                <c:pt idx="53">
                  <c:v>1.9370240000000001</c:v>
                </c:pt>
                <c:pt idx="54">
                  <c:v>1.9370240000000001</c:v>
                </c:pt>
                <c:pt idx="55">
                  <c:v>1.9370240000000001</c:v>
                </c:pt>
                <c:pt idx="56">
                  <c:v>1.9370240000000001</c:v>
                </c:pt>
                <c:pt idx="57">
                  <c:v>1.9370240000000001</c:v>
                </c:pt>
                <c:pt idx="58">
                  <c:v>1.9370240000000001</c:v>
                </c:pt>
                <c:pt idx="59">
                  <c:v>1.9370240000000001</c:v>
                </c:pt>
                <c:pt idx="60">
                  <c:v>1.9370240000000001</c:v>
                </c:pt>
                <c:pt idx="61">
                  <c:v>1.9370240000000001</c:v>
                </c:pt>
                <c:pt idx="62">
                  <c:v>1.9370240000000001</c:v>
                </c:pt>
                <c:pt idx="63">
                  <c:v>1.9370240000000001</c:v>
                </c:pt>
                <c:pt idx="64">
                  <c:v>1.9370240000000001</c:v>
                </c:pt>
                <c:pt idx="65">
                  <c:v>1.9370240000000001</c:v>
                </c:pt>
                <c:pt idx="66">
                  <c:v>1.9370240000000001</c:v>
                </c:pt>
                <c:pt idx="67">
                  <c:v>1.9370240000000001</c:v>
                </c:pt>
                <c:pt idx="68">
                  <c:v>1.9370240000000001</c:v>
                </c:pt>
                <c:pt idx="69">
                  <c:v>1.9370240000000001</c:v>
                </c:pt>
                <c:pt idx="70">
                  <c:v>1.9370240000000001</c:v>
                </c:pt>
                <c:pt idx="71">
                  <c:v>1.9370240000000001</c:v>
                </c:pt>
                <c:pt idx="72">
                  <c:v>1.9370240000000001</c:v>
                </c:pt>
                <c:pt idx="73">
                  <c:v>1.9370240000000001</c:v>
                </c:pt>
                <c:pt idx="74">
                  <c:v>1.9370240000000001</c:v>
                </c:pt>
                <c:pt idx="75">
                  <c:v>1.9370240000000001</c:v>
                </c:pt>
                <c:pt idx="76">
                  <c:v>1.9370240000000001</c:v>
                </c:pt>
                <c:pt idx="77">
                  <c:v>1.9370240000000001</c:v>
                </c:pt>
                <c:pt idx="78">
                  <c:v>1.9370240000000001</c:v>
                </c:pt>
                <c:pt idx="79">
                  <c:v>1.9370240000000001</c:v>
                </c:pt>
                <c:pt idx="80">
                  <c:v>1.9370240000000001</c:v>
                </c:pt>
                <c:pt idx="81">
                  <c:v>1.9370240000000001</c:v>
                </c:pt>
                <c:pt idx="82">
                  <c:v>1.9370240000000001</c:v>
                </c:pt>
                <c:pt idx="83">
                  <c:v>1.9370240000000001</c:v>
                </c:pt>
                <c:pt idx="84">
                  <c:v>1.9370240000000001</c:v>
                </c:pt>
                <c:pt idx="85">
                  <c:v>1.9370240000000001</c:v>
                </c:pt>
                <c:pt idx="86">
                  <c:v>1.9370240000000001</c:v>
                </c:pt>
                <c:pt idx="87">
                  <c:v>1.9370240000000001</c:v>
                </c:pt>
                <c:pt idx="88">
                  <c:v>1.9370240000000001</c:v>
                </c:pt>
                <c:pt idx="89">
                  <c:v>1.9370240000000001</c:v>
                </c:pt>
                <c:pt idx="90">
                  <c:v>1.9370240000000001</c:v>
                </c:pt>
                <c:pt idx="91">
                  <c:v>1.9370240000000001</c:v>
                </c:pt>
                <c:pt idx="92">
                  <c:v>1.9370240000000001</c:v>
                </c:pt>
                <c:pt idx="93">
                  <c:v>1.9370240000000001</c:v>
                </c:pt>
                <c:pt idx="94">
                  <c:v>1.9370240000000001</c:v>
                </c:pt>
              </c:numCache>
            </c:numRef>
          </c:yVal>
        </c:ser>
        <c:ser>
          <c:idx val="6"/>
          <c:order val="4"/>
          <c:spPr>
            <a:ln w="28575">
              <a:noFill/>
            </a:ln>
          </c:spPr>
          <c:marker>
            <c:symbol val="none"/>
          </c:marker>
          <c:errBars>
            <c:errDir val="y"/>
            <c:errBarType val="minus"/>
            <c:errValType val="cust"/>
            <c:noEndCap val="1"/>
            <c:minus>
              <c:numRef>
                <c:f>Describe!$EC$10</c:f>
                <c:numCache>
                  <c:formatCode>General</c:formatCode>
                  <c:ptCount val="1"/>
                  <c:pt idx="0">
                    <c:v>3.901024</c:v>
                  </c:pt>
                </c:numCache>
              </c:numRef>
            </c:minus>
            <c:spPr>
              <a:ln w="38100">
                <a:pattFill prst="pct50">
                  <a:fgClr>
                    <a:srgbClr val="3366FF"/>
                  </a:fgClr>
                  <a:bgClr>
                    <a:srgbClr val="FFFFFF"/>
                  </a:bgClr>
                </a:pattFill>
                <a:prstDash val="solid"/>
              </a:ln>
            </c:spPr>
          </c:errBars>
          <c:xVal>
            <c:numRef>
              <c:f>Describe!$EB$11:$EB$70</c:f>
              <c:numCache>
                <c:formatCode>General</c:formatCode>
                <c:ptCount val="60"/>
                <c:pt idx="0">
                  <c:v>6.2218999999999998</c:v>
                </c:pt>
                <c:pt idx="1">
                  <c:v>6.265225423728813</c:v>
                </c:pt>
                <c:pt idx="2">
                  <c:v>6.3085508474576262</c:v>
                </c:pt>
                <c:pt idx="3">
                  <c:v>6.3518762711864394</c:v>
                </c:pt>
                <c:pt idx="4">
                  <c:v>6.3952016949152526</c:v>
                </c:pt>
                <c:pt idx="5">
                  <c:v>6.4385271186440658</c:v>
                </c:pt>
                <c:pt idx="6">
                  <c:v>6.481852542372879</c:v>
                </c:pt>
                <c:pt idx="7">
                  <c:v>6.5251779661016922</c:v>
                </c:pt>
                <c:pt idx="8">
                  <c:v>6.5685033898305054</c:v>
                </c:pt>
                <c:pt idx="9">
                  <c:v>6.6118288135593186</c:v>
                </c:pt>
                <c:pt idx="10">
                  <c:v>6.6551542372881318</c:v>
                </c:pt>
                <c:pt idx="11">
                  <c:v>6.698479661016945</c:v>
                </c:pt>
                <c:pt idx="12">
                  <c:v>6.7418050847457582</c:v>
                </c:pt>
                <c:pt idx="13">
                  <c:v>6.7851305084745714</c:v>
                </c:pt>
                <c:pt idx="14">
                  <c:v>6.8284559322033846</c:v>
                </c:pt>
                <c:pt idx="15">
                  <c:v>6.8717813559321979</c:v>
                </c:pt>
                <c:pt idx="16">
                  <c:v>6.9151067796610111</c:v>
                </c:pt>
                <c:pt idx="17">
                  <c:v>6.9584322033898243</c:v>
                </c:pt>
                <c:pt idx="18">
                  <c:v>7.0017576271186375</c:v>
                </c:pt>
                <c:pt idx="19">
                  <c:v>7.0450830508474507</c:v>
                </c:pt>
                <c:pt idx="20">
                  <c:v>7.0884084745762639</c:v>
                </c:pt>
                <c:pt idx="21">
                  <c:v>7.1317338983050771</c:v>
                </c:pt>
                <c:pt idx="22">
                  <c:v>7.1750593220338903</c:v>
                </c:pt>
                <c:pt idx="23">
                  <c:v>7.2183847457627035</c:v>
                </c:pt>
                <c:pt idx="24">
                  <c:v>7.2617101694915167</c:v>
                </c:pt>
                <c:pt idx="25">
                  <c:v>7.3050355932203299</c:v>
                </c:pt>
                <c:pt idx="26">
                  <c:v>7.3483610169491431</c:v>
                </c:pt>
                <c:pt idx="27">
                  <c:v>7.3916864406779563</c:v>
                </c:pt>
                <c:pt idx="28">
                  <c:v>7.4350118644067695</c:v>
                </c:pt>
                <c:pt idx="29">
                  <c:v>7.4783372881355827</c:v>
                </c:pt>
                <c:pt idx="30">
                  <c:v>7.5216627118643959</c:v>
                </c:pt>
                <c:pt idx="31">
                  <c:v>7.5649881355932092</c:v>
                </c:pt>
                <c:pt idx="32">
                  <c:v>7.6083135593220224</c:v>
                </c:pt>
                <c:pt idx="33">
                  <c:v>7.6516389830508356</c:v>
                </c:pt>
                <c:pt idx="34">
                  <c:v>7.6949644067796488</c:v>
                </c:pt>
                <c:pt idx="35">
                  <c:v>7.738289830508462</c:v>
                </c:pt>
                <c:pt idx="36">
                  <c:v>7.7816152542372752</c:v>
                </c:pt>
                <c:pt idx="37">
                  <c:v>7.8249406779660884</c:v>
                </c:pt>
                <c:pt idx="38">
                  <c:v>7.8682661016949016</c:v>
                </c:pt>
                <c:pt idx="39">
                  <c:v>7.9115915254237148</c:v>
                </c:pt>
                <c:pt idx="40">
                  <c:v>7.954916949152528</c:v>
                </c:pt>
                <c:pt idx="41">
                  <c:v>7.9982423728813412</c:v>
                </c:pt>
                <c:pt idx="42">
                  <c:v>8.0415677966101544</c:v>
                </c:pt>
                <c:pt idx="43">
                  <c:v>8.0848932203389676</c:v>
                </c:pt>
                <c:pt idx="44">
                  <c:v>8.1282186440677808</c:v>
                </c:pt>
                <c:pt idx="45">
                  <c:v>8.171544067796594</c:v>
                </c:pt>
                <c:pt idx="46">
                  <c:v>8.2148694915254072</c:v>
                </c:pt>
                <c:pt idx="47">
                  <c:v>8.2581949152542204</c:v>
                </c:pt>
                <c:pt idx="48">
                  <c:v>8.3015203389830337</c:v>
                </c:pt>
                <c:pt idx="49">
                  <c:v>8.3448457627118469</c:v>
                </c:pt>
                <c:pt idx="50">
                  <c:v>8.3881711864406601</c:v>
                </c:pt>
                <c:pt idx="51">
                  <c:v>8.4314966101694733</c:v>
                </c:pt>
                <c:pt idx="52">
                  <c:v>8.4748220338982865</c:v>
                </c:pt>
                <c:pt idx="53">
                  <c:v>8.5181474576270997</c:v>
                </c:pt>
                <c:pt idx="54">
                  <c:v>8.5614728813559129</c:v>
                </c:pt>
                <c:pt idx="55">
                  <c:v>8.6047983050847261</c:v>
                </c:pt>
                <c:pt idx="56">
                  <c:v>8.6481237288135393</c:v>
                </c:pt>
                <c:pt idx="57">
                  <c:v>8.6914491525423525</c:v>
                </c:pt>
                <c:pt idx="58">
                  <c:v>8.7347745762711657</c:v>
                </c:pt>
                <c:pt idx="59">
                  <c:v>8.7780999999999789</c:v>
                </c:pt>
              </c:numCache>
            </c:numRef>
          </c:xVal>
          <c:yVal>
            <c:numRef>
              <c:f>Describe!$EC$11:$EC$70</c:f>
              <c:numCache>
                <c:formatCode>General</c:formatCode>
                <c:ptCount val="60"/>
                <c:pt idx="0">
                  <c:v>3.9370240000000001</c:v>
                </c:pt>
                <c:pt idx="1">
                  <c:v>3.9370240000000001</c:v>
                </c:pt>
                <c:pt idx="2">
                  <c:v>3.9370240000000001</c:v>
                </c:pt>
                <c:pt idx="3">
                  <c:v>3.9370240000000001</c:v>
                </c:pt>
                <c:pt idx="4">
                  <c:v>3.9370240000000001</c:v>
                </c:pt>
                <c:pt idx="5">
                  <c:v>3.9370240000000001</c:v>
                </c:pt>
                <c:pt idx="6">
                  <c:v>3.9370240000000001</c:v>
                </c:pt>
                <c:pt idx="7">
                  <c:v>3.9370240000000001</c:v>
                </c:pt>
                <c:pt idx="8">
                  <c:v>3.9370240000000001</c:v>
                </c:pt>
                <c:pt idx="9">
                  <c:v>3.9370240000000001</c:v>
                </c:pt>
                <c:pt idx="10">
                  <c:v>3.9370240000000001</c:v>
                </c:pt>
                <c:pt idx="11">
                  <c:v>3.9370240000000001</c:v>
                </c:pt>
                <c:pt idx="12">
                  <c:v>3.9370240000000001</c:v>
                </c:pt>
                <c:pt idx="13">
                  <c:v>3.9370240000000001</c:v>
                </c:pt>
                <c:pt idx="14">
                  <c:v>3.9370240000000001</c:v>
                </c:pt>
                <c:pt idx="15">
                  <c:v>3.9370240000000001</c:v>
                </c:pt>
                <c:pt idx="16">
                  <c:v>3.9370240000000001</c:v>
                </c:pt>
                <c:pt idx="17">
                  <c:v>3.9370240000000001</c:v>
                </c:pt>
                <c:pt idx="18">
                  <c:v>3.9370240000000001</c:v>
                </c:pt>
                <c:pt idx="19">
                  <c:v>3.9370240000000001</c:v>
                </c:pt>
                <c:pt idx="20">
                  <c:v>3.9370240000000001</c:v>
                </c:pt>
                <c:pt idx="21">
                  <c:v>3.9370240000000001</c:v>
                </c:pt>
                <c:pt idx="22">
                  <c:v>3.9370240000000001</c:v>
                </c:pt>
                <c:pt idx="23">
                  <c:v>3.9370240000000001</c:v>
                </c:pt>
                <c:pt idx="24">
                  <c:v>3.9370240000000001</c:v>
                </c:pt>
                <c:pt idx="25">
                  <c:v>3.9370240000000001</c:v>
                </c:pt>
                <c:pt idx="26">
                  <c:v>3.9370240000000001</c:v>
                </c:pt>
                <c:pt idx="27">
                  <c:v>3.9370240000000001</c:v>
                </c:pt>
                <c:pt idx="28">
                  <c:v>3.9370240000000001</c:v>
                </c:pt>
                <c:pt idx="29">
                  <c:v>3.9370240000000001</c:v>
                </c:pt>
                <c:pt idx="30">
                  <c:v>3.9370240000000001</c:v>
                </c:pt>
                <c:pt idx="31">
                  <c:v>3.9370240000000001</c:v>
                </c:pt>
                <c:pt idx="32">
                  <c:v>3.9370240000000001</c:v>
                </c:pt>
                <c:pt idx="33">
                  <c:v>3.9370240000000001</c:v>
                </c:pt>
                <c:pt idx="34">
                  <c:v>3.9370240000000001</c:v>
                </c:pt>
                <c:pt idx="35">
                  <c:v>3.9370240000000001</c:v>
                </c:pt>
                <c:pt idx="36">
                  <c:v>3.9370240000000001</c:v>
                </c:pt>
                <c:pt idx="37">
                  <c:v>3.9370240000000001</c:v>
                </c:pt>
                <c:pt idx="38">
                  <c:v>3.9370240000000001</c:v>
                </c:pt>
                <c:pt idx="39">
                  <c:v>3.9370240000000001</c:v>
                </c:pt>
                <c:pt idx="40">
                  <c:v>3.9370240000000001</c:v>
                </c:pt>
                <c:pt idx="41">
                  <c:v>3.9370240000000001</c:v>
                </c:pt>
                <c:pt idx="42">
                  <c:v>3.9370240000000001</c:v>
                </c:pt>
                <c:pt idx="43">
                  <c:v>3.9370240000000001</c:v>
                </c:pt>
                <c:pt idx="44">
                  <c:v>3.9370240000000001</c:v>
                </c:pt>
                <c:pt idx="45">
                  <c:v>3.9370240000000001</c:v>
                </c:pt>
                <c:pt idx="46">
                  <c:v>3.9370240000000001</c:v>
                </c:pt>
                <c:pt idx="47">
                  <c:v>3.9370240000000001</c:v>
                </c:pt>
                <c:pt idx="48">
                  <c:v>3.9370240000000001</c:v>
                </c:pt>
                <c:pt idx="49">
                  <c:v>3.9370240000000001</c:v>
                </c:pt>
                <c:pt idx="50">
                  <c:v>3.9370240000000001</c:v>
                </c:pt>
                <c:pt idx="51">
                  <c:v>3.9370240000000001</c:v>
                </c:pt>
                <c:pt idx="52">
                  <c:v>3.9370240000000001</c:v>
                </c:pt>
                <c:pt idx="53">
                  <c:v>3.9370240000000001</c:v>
                </c:pt>
                <c:pt idx="54">
                  <c:v>3.9370240000000001</c:v>
                </c:pt>
                <c:pt idx="55">
                  <c:v>3.9370240000000001</c:v>
                </c:pt>
                <c:pt idx="56">
                  <c:v>3.9370240000000001</c:v>
                </c:pt>
                <c:pt idx="57">
                  <c:v>3.9370240000000001</c:v>
                </c:pt>
                <c:pt idx="58">
                  <c:v>3.9370240000000001</c:v>
                </c:pt>
                <c:pt idx="59">
                  <c:v>3.9370240000000001</c:v>
                </c:pt>
              </c:numCache>
            </c:numRef>
          </c:yVal>
        </c:ser>
        <c:ser>
          <c:idx val="7"/>
          <c:order val="5"/>
          <c:spPr>
            <a:ln w="28575">
              <a:noFill/>
            </a:ln>
          </c:spPr>
          <c:marker>
            <c:symbol val="none"/>
          </c:marker>
          <c:errBars>
            <c:errDir val="y"/>
            <c:errBarType val="minus"/>
            <c:errValType val="cust"/>
            <c:noEndCap val="1"/>
            <c:minus>
              <c:numRef>
                <c:f>Describe!$EE$10</c:f>
                <c:numCache>
                  <c:formatCode>General</c:formatCode>
                  <c:ptCount val="1"/>
                  <c:pt idx="0">
                    <c:v>5.9010240000000005</c:v>
                  </c:pt>
                </c:numCache>
              </c:numRef>
            </c:minus>
            <c:spPr>
              <a:ln w="38100">
                <a:pattFill prst="pct50">
                  <a:fgClr>
                    <a:srgbClr val="3366FF"/>
                  </a:fgClr>
                  <a:bgClr>
                    <a:srgbClr val="FFFFFF"/>
                  </a:bgClr>
                </a:pattFill>
                <a:prstDash val="solid"/>
              </a:ln>
            </c:spPr>
          </c:errBars>
          <c:xVal>
            <c:numRef>
              <c:f>Describe!$ED$11:$ED$55</c:f>
              <c:numCache>
                <c:formatCode>General</c:formatCode>
                <c:ptCount val="45"/>
                <c:pt idx="0">
                  <c:v>9.2218999999999998</c:v>
                </c:pt>
                <c:pt idx="1">
                  <c:v>9.279995454545455</c:v>
                </c:pt>
                <c:pt idx="2">
                  <c:v>9.3380909090909103</c:v>
                </c:pt>
                <c:pt idx="3">
                  <c:v>9.3961863636363656</c:v>
                </c:pt>
                <c:pt idx="4">
                  <c:v>9.4542818181818209</c:v>
                </c:pt>
                <c:pt idx="5">
                  <c:v>9.5123772727272762</c:v>
                </c:pt>
                <c:pt idx="6">
                  <c:v>9.5704727272727315</c:v>
                </c:pt>
                <c:pt idx="7">
                  <c:v>9.6285681818181867</c:v>
                </c:pt>
                <c:pt idx="8">
                  <c:v>9.686663636363642</c:v>
                </c:pt>
                <c:pt idx="9">
                  <c:v>9.7447590909090973</c:v>
                </c:pt>
                <c:pt idx="10">
                  <c:v>9.8028545454545526</c:v>
                </c:pt>
                <c:pt idx="11">
                  <c:v>9.8609500000000079</c:v>
                </c:pt>
                <c:pt idx="12">
                  <c:v>9.9190454545454632</c:v>
                </c:pt>
                <c:pt idx="13">
                  <c:v>9.9771409090909184</c:v>
                </c:pt>
                <c:pt idx="14">
                  <c:v>10.035236363636374</c:v>
                </c:pt>
                <c:pt idx="15">
                  <c:v>10.093331818181829</c:v>
                </c:pt>
                <c:pt idx="16">
                  <c:v>10.151427272727284</c:v>
                </c:pt>
                <c:pt idx="17">
                  <c:v>10.20952272727274</c:v>
                </c:pt>
                <c:pt idx="18">
                  <c:v>10.267618181818195</c:v>
                </c:pt>
                <c:pt idx="19">
                  <c:v>10.32571363636365</c:v>
                </c:pt>
                <c:pt idx="20">
                  <c:v>10.383809090909105</c:v>
                </c:pt>
                <c:pt idx="21">
                  <c:v>10.441904545454561</c:v>
                </c:pt>
                <c:pt idx="22">
                  <c:v>10.500000000000016</c:v>
                </c:pt>
                <c:pt idx="23">
                  <c:v>10.558095454545471</c:v>
                </c:pt>
                <c:pt idx="24">
                  <c:v>10.616190909090927</c:v>
                </c:pt>
                <c:pt idx="25">
                  <c:v>10.674286363636382</c:v>
                </c:pt>
                <c:pt idx="26">
                  <c:v>10.732381818181837</c:v>
                </c:pt>
                <c:pt idx="27">
                  <c:v>10.790477272727292</c:v>
                </c:pt>
                <c:pt idx="28">
                  <c:v>10.848572727272748</c:v>
                </c:pt>
                <c:pt idx="29">
                  <c:v>10.906668181818203</c:v>
                </c:pt>
                <c:pt idx="30">
                  <c:v>10.964763636363658</c:v>
                </c:pt>
                <c:pt idx="31">
                  <c:v>11.022859090909114</c:v>
                </c:pt>
                <c:pt idx="32">
                  <c:v>11.080954545454569</c:v>
                </c:pt>
                <c:pt idx="33">
                  <c:v>11.139050000000024</c:v>
                </c:pt>
                <c:pt idx="34">
                  <c:v>11.197145454545479</c:v>
                </c:pt>
                <c:pt idx="35">
                  <c:v>11.255240909090935</c:v>
                </c:pt>
                <c:pt idx="36">
                  <c:v>11.31333636363639</c:v>
                </c:pt>
                <c:pt idx="37">
                  <c:v>11.371431818181845</c:v>
                </c:pt>
                <c:pt idx="38">
                  <c:v>11.429527272727301</c:v>
                </c:pt>
                <c:pt idx="39">
                  <c:v>11.487622727272756</c:v>
                </c:pt>
                <c:pt idx="40">
                  <c:v>11.545718181818211</c:v>
                </c:pt>
                <c:pt idx="41">
                  <c:v>11.603813636363666</c:v>
                </c:pt>
                <c:pt idx="42">
                  <c:v>11.661909090909122</c:v>
                </c:pt>
                <c:pt idx="43">
                  <c:v>11.720004545454577</c:v>
                </c:pt>
                <c:pt idx="44">
                  <c:v>11.778100000000032</c:v>
                </c:pt>
              </c:numCache>
            </c:numRef>
          </c:xVal>
          <c:yVal>
            <c:numRef>
              <c:f>Describe!$EE$11:$EE$55</c:f>
              <c:numCache>
                <c:formatCode>General</c:formatCode>
                <c:ptCount val="45"/>
                <c:pt idx="0">
                  <c:v>5.9370240000000001</c:v>
                </c:pt>
                <c:pt idx="1">
                  <c:v>5.9370240000000001</c:v>
                </c:pt>
                <c:pt idx="2">
                  <c:v>5.9370240000000001</c:v>
                </c:pt>
                <c:pt idx="3">
                  <c:v>5.9370240000000001</c:v>
                </c:pt>
                <c:pt idx="4">
                  <c:v>5.9370240000000001</c:v>
                </c:pt>
                <c:pt idx="5">
                  <c:v>5.9370240000000001</c:v>
                </c:pt>
                <c:pt idx="6">
                  <c:v>5.9370240000000001</c:v>
                </c:pt>
                <c:pt idx="7">
                  <c:v>5.9370240000000001</c:v>
                </c:pt>
                <c:pt idx="8">
                  <c:v>5.9370240000000001</c:v>
                </c:pt>
                <c:pt idx="9">
                  <c:v>5.9370240000000001</c:v>
                </c:pt>
                <c:pt idx="10">
                  <c:v>5.9370240000000001</c:v>
                </c:pt>
                <c:pt idx="11">
                  <c:v>5.9370240000000001</c:v>
                </c:pt>
                <c:pt idx="12">
                  <c:v>5.9370240000000001</c:v>
                </c:pt>
                <c:pt idx="13">
                  <c:v>5.9370240000000001</c:v>
                </c:pt>
                <c:pt idx="14">
                  <c:v>5.9370240000000001</c:v>
                </c:pt>
                <c:pt idx="15">
                  <c:v>5.9370240000000001</c:v>
                </c:pt>
                <c:pt idx="16">
                  <c:v>5.9370240000000001</c:v>
                </c:pt>
                <c:pt idx="17">
                  <c:v>5.9370240000000001</c:v>
                </c:pt>
                <c:pt idx="18">
                  <c:v>5.9370240000000001</c:v>
                </c:pt>
                <c:pt idx="19">
                  <c:v>5.9370240000000001</c:v>
                </c:pt>
                <c:pt idx="20">
                  <c:v>5.9370240000000001</c:v>
                </c:pt>
                <c:pt idx="21">
                  <c:v>5.9370240000000001</c:v>
                </c:pt>
                <c:pt idx="22">
                  <c:v>5.9370240000000001</c:v>
                </c:pt>
                <c:pt idx="23">
                  <c:v>5.9370240000000001</c:v>
                </c:pt>
                <c:pt idx="24">
                  <c:v>5.9370240000000001</c:v>
                </c:pt>
                <c:pt idx="25">
                  <c:v>5.9370240000000001</c:v>
                </c:pt>
                <c:pt idx="26">
                  <c:v>5.9370240000000001</c:v>
                </c:pt>
                <c:pt idx="27">
                  <c:v>5.9370240000000001</c:v>
                </c:pt>
                <c:pt idx="28">
                  <c:v>5.9370240000000001</c:v>
                </c:pt>
                <c:pt idx="29">
                  <c:v>5.9370240000000001</c:v>
                </c:pt>
                <c:pt idx="30">
                  <c:v>5.9370240000000001</c:v>
                </c:pt>
                <c:pt idx="31">
                  <c:v>5.9370240000000001</c:v>
                </c:pt>
                <c:pt idx="32">
                  <c:v>5.9370240000000001</c:v>
                </c:pt>
                <c:pt idx="33">
                  <c:v>5.9370240000000001</c:v>
                </c:pt>
                <c:pt idx="34">
                  <c:v>5.9370240000000001</c:v>
                </c:pt>
                <c:pt idx="35">
                  <c:v>5.9370240000000001</c:v>
                </c:pt>
                <c:pt idx="36">
                  <c:v>5.9370240000000001</c:v>
                </c:pt>
                <c:pt idx="37">
                  <c:v>5.9370240000000001</c:v>
                </c:pt>
                <c:pt idx="38">
                  <c:v>5.9370240000000001</c:v>
                </c:pt>
                <c:pt idx="39">
                  <c:v>5.9370240000000001</c:v>
                </c:pt>
                <c:pt idx="40">
                  <c:v>5.9370240000000001</c:v>
                </c:pt>
                <c:pt idx="41">
                  <c:v>5.9370240000000001</c:v>
                </c:pt>
                <c:pt idx="42">
                  <c:v>5.9370240000000001</c:v>
                </c:pt>
                <c:pt idx="43">
                  <c:v>5.9370240000000001</c:v>
                </c:pt>
                <c:pt idx="44">
                  <c:v>5.9370240000000001</c:v>
                </c:pt>
              </c:numCache>
            </c:numRef>
          </c:yVal>
        </c:ser>
        <c:ser>
          <c:idx val="8"/>
          <c:order val="6"/>
          <c:spPr>
            <a:ln w="28575">
              <a:noFill/>
            </a:ln>
          </c:spPr>
          <c:marker>
            <c:symbol val="none"/>
          </c:marker>
          <c:errBars>
            <c:errDir val="y"/>
            <c:errBarType val="minus"/>
            <c:errValType val="cust"/>
            <c:noEndCap val="1"/>
            <c:minus>
              <c:numRef>
                <c:f>Describe!$EG$10</c:f>
                <c:numCache>
                  <c:formatCode>General</c:formatCode>
                  <c:ptCount val="1"/>
                  <c:pt idx="0">
                    <c:v>3.901024</c:v>
                  </c:pt>
                </c:numCache>
              </c:numRef>
            </c:minus>
            <c:spPr>
              <a:ln w="38100">
                <a:pattFill prst="pct50">
                  <a:fgClr>
                    <a:srgbClr val="3366FF"/>
                  </a:fgClr>
                  <a:bgClr>
                    <a:srgbClr val="FFFFFF"/>
                  </a:bgClr>
                </a:pattFill>
                <a:prstDash val="solid"/>
              </a:ln>
            </c:spPr>
          </c:errBars>
          <c:xVal>
            <c:numRef>
              <c:f>Describe!$EF$11:$EF$45</c:f>
              <c:numCache>
                <c:formatCode>General</c:formatCode>
                <c:ptCount val="35"/>
                <c:pt idx="0">
                  <c:v>12.2219</c:v>
                </c:pt>
                <c:pt idx="1">
                  <c:v>12.297082352941176</c:v>
                </c:pt>
                <c:pt idx="2">
                  <c:v>12.372264705882353</c:v>
                </c:pt>
                <c:pt idx="3">
                  <c:v>12.44744705882353</c:v>
                </c:pt>
                <c:pt idx="4">
                  <c:v>12.522629411764706</c:v>
                </c:pt>
                <c:pt idx="5">
                  <c:v>12.597811764705883</c:v>
                </c:pt>
                <c:pt idx="6">
                  <c:v>12.672994117647059</c:v>
                </c:pt>
                <c:pt idx="7">
                  <c:v>12.748176470588236</c:v>
                </c:pt>
                <c:pt idx="8">
                  <c:v>12.823358823529412</c:v>
                </c:pt>
                <c:pt idx="9">
                  <c:v>12.898541176470589</c:v>
                </c:pt>
                <c:pt idx="10">
                  <c:v>12.973723529411766</c:v>
                </c:pt>
                <c:pt idx="11">
                  <c:v>13.048905882352942</c:v>
                </c:pt>
                <c:pt idx="12">
                  <c:v>13.124088235294119</c:v>
                </c:pt>
                <c:pt idx="13">
                  <c:v>13.199270588235295</c:v>
                </c:pt>
                <c:pt idx="14">
                  <c:v>13.274452941176472</c:v>
                </c:pt>
                <c:pt idx="15">
                  <c:v>13.349635294117649</c:v>
                </c:pt>
                <c:pt idx="16">
                  <c:v>13.424817647058825</c:v>
                </c:pt>
                <c:pt idx="17">
                  <c:v>13.500000000000002</c:v>
                </c:pt>
                <c:pt idx="18">
                  <c:v>13.575182352941178</c:v>
                </c:pt>
                <c:pt idx="19">
                  <c:v>13.650364705882355</c:v>
                </c:pt>
                <c:pt idx="20">
                  <c:v>13.725547058823532</c:v>
                </c:pt>
                <c:pt idx="21">
                  <c:v>13.800729411764708</c:v>
                </c:pt>
                <c:pt idx="22">
                  <c:v>13.875911764705885</c:v>
                </c:pt>
                <c:pt idx="23">
                  <c:v>13.951094117647061</c:v>
                </c:pt>
                <c:pt idx="24">
                  <c:v>14.026276470588238</c:v>
                </c:pt>
                <c:pt idx="25">
                  <c:v>14.101458823529414</c:v>
                </c:pt>
                <c:pt idx="26">
                  <c:v>14.176641176470591</c:v>
                </c:pt>
                <c:pt idx="27">
                  <c:v>14.251823529411768</c:v>
                </c:pt>
                <c:pt idx="28">
                  <c:v>14.327005882352944</c:v>
                </c:pt>
                <c:pt idx="29">
                  <c:v>14.402188235294121</c:v>
                </c:pt>
                <c:pt idx="30">
                  <c:v>14.477370588235297</c:v>
                </c:pt>
                <c:pt idx="31">
                  <c:v>14.552552941176474</c:v>
                </c:pt>
                <c:pt idx="32">
                  <c:v>14.627735294117651</c:v>
                </c:pt>
                <c:pt idx="33">
                  <c:v>14.702917647058827</c:v>
                </c:pt>
                <c:pt idx="34">
                  <c:v>14.778100000000004</c:v>
                </c:pt>
              </c:numCache>
            </c:numRef>
          </c:xVal>
          <c:yVal>
            <c:numRef>
              <c:f>Describe!$EG$11:$EG$45</c:f>
              <c:numCache>
                <c:formatCode>General</c:formatCode>
                <c:ptCount val="35"/>
                <c:pt idx="0">
                  <c:v>3.9370240000000001</c:v>
                </c:pt>
                <c:pt idx="1">
                  <c:v>3.9370240000000001</c:v>
                </c:pt>
                <c:pt idx="2">
                  <c:v>3.9370240000000001</c:v>
                </c:pt>
                <c:pt idx="3">
                  <c:v>3.9370240000000001</c:v>
                </c:pt>
                <c:pt idx="4">
                  <c:v>3.9370240000000001</c:v>
                </c:pt>
                <c:pt idx="5">
                  <c:v>3.9370240000000001</c:v>
                </c:pt>
                <c:pt idx="6">
                  <c:v>3.9370240000000001</c:v>
                </c:pt>
                <c:pt idx="7">
                  <c:v>3.9370240000000001</c:v>
                </c:pt>
                <c:pt idx="8">
                  <c:v>3.9370240000000001</c:v>
                </c:pt>
                <c:pt idx="9">
                  <c:v>3.9370240000000001</c:v>
                </c:pt>
                <c:pt idx="10">
                  <c:v>3.9370240000000001</c:v>
                </c:pt>
                <c:pt idx="11">
                  <c:v>3.9370240000000001</c:v>
                </c:pt>
                <c:pt idx="12">
                  <c:v>3.9370240000000001</c:v>
                </c:pt>
                <c:pt idx="13">
                  <c:v>3.9370240000000001</c:v>
                </c:pt>
                <c:pt idx="14">
                  <c:v>3.9370240000000001</c:v>
                </c:pt>
                <c:pt idx="15">
                  <c:v>3.9370240000000001</c:v>
                </c:pt>
                <c:pt idx="16">
                  <c:v>3.9370240000000001</c:v>
                </c:pt>
                <c:pt idx="17">
                  <c:v>3.9370240000000001</c:v>
                </c:pt>
                <c:pt idx="18">
                  <c:v>3.9370240000000001</c:v>
                </c:pt>
                <c:pt idx="19">
                  <c:v>3.9370240000000001</c:v>
                </c:pt>
                <c:pt idx="20">
                  <c:v>3.9370240000000001</c:v>
                </c:pt>
                <c:pt idx="21">
                  <c:v>3.9370240000000001</c:v>
                </c:pt>
                <c:pt idx="22">
                  <c:v>3.9370240000000001</c:v>
                </c:pt>
                <c:pt idx="23">
                  <c:v>3.9370240000000001</c:v>
                </c:pt>
                <c:pt idx="24">
                  <c:v>3.9370240000000001</c:v>
                </c:pt>
                <c:pt idx="25">
                  <c:v>3.9370240000000001</c:v>
                </c:pt>
                <c:pt idx="26">
                  <c:v>3.9370240000000001</c:v>
                </c:pt>
                <c:pt idx="27">
                  <c:v>3.9370240000000001</c:v>
                </c:pt>
                <c:pt idx="28">
                  <c:v>3.9370240000000001</c:v>
                </c:pt>
                <c:pt idx="29">
                  <c:v>3.9370240000000001</c:v>
                </c:pt>
                <c:pt idx="30">
                  <c:v>3.9370240000000001</c:v>
                </c:pt>
                <c:pt idx="31">
                  <c:v>3.9370240000000001</c:v>
                </c:pt>
                <c:pt idx="32">
                  <c:v>3.9370240000000001</c:v>
                </c:pt>
                <c:pt idx="33">
                  <c:v>3.9370240000000001</c:v>
                </c:pt>
                <c:pt idx="34">
                  <c:v>3.9370240000000001</c:v>
                </c:pt>
              </c:numCache>
            </c:numRef>
          </c:yVal>
        </c:ser>
        <c:ser>
          <c:idx val="9"/>
          <c:order val="7"/>
          <c:spPr>
            <a:ln w="28575">
              <a:noFill/>
            </a:ln>
          </c:spPr>
          <c:marker>
            <c:symbol val="none"/>
          </c:marker>
          <c:errBars>
            <c:errDir val="y"/>
            <c:errBarType val="minus"/>
            <c:errValType val="cust"/>
            <c:noEndCap val="1"/>
            <c:minus>
              <c:numRef>
                <c:f>Describe!$EI$10</c:f>
                <c:numCache>
                  <c:formatCode>General</c:formatCode>
                  <c:ptCount val="1"/>
                  <c:pt idx="0">
                    <c:v>6.9010240000000005</c:v>
                  </c:pt>
                </c:numCache>
              </c:numRef>
            </c:minus>
            <c:spPr>
              <a:ln w="38100">
                <a:pattFill prst="pct50">
                  <a:fgClr>
                    <a:srgbClr val="3366FF"/>
                  </a:fgClr>
                  <a:bgClr>
                    <a:srgbClr val="FFFFFF"/>
                  </a:bgClr>
                </a:pattFill>
                <a:prstDash val="solid"/>
              </a:ln>
            </c:spPr>
          </c:errBars>
          <c:xVal>
            <c:numRef>
              <c:f>Describe!$EH$11:$EH$40</c:f>
              <c:numCache>
                <c:formatCode>General</c:formatCode>
                <c:ptCount val="30"/>
                <c:pt idx="0">
                  <c:v>15.2219</c:v>
                </c:pt>
                <c:pt idx="1">
                  <c:v>15.310044827586207</c:v>
                </c:pt>
                <c:pt idx="2">
                  <c:v>15.398189655172414</c:v>
                </c:pt>
                <c:pt idx="3">
                  <c:v>15.486334482758622</c:v>
                </c:pt>
                <c:pt idx="4">
                  <c:v>15.574479310344829</c:v>
                </c:pt>
                <c:pt idx="5">
                  <c:v>15.662624137931036</c:v>
                </c:pt>
                <c:pt idx="6">
                  <c:v>15.750768965517244</c:v>
                </c:pt>
                <c:pt idx="7">
                  <c:v>15.838913793103451</c:v>
                </c:pt>
                <c:pt idx="8">
                  <c:v>15.927058620689658</c:v>
                </c:pt>
                <c:pt idx="9">
                  <c:v>16.015203448275866</c:v>
                </c:pt>
                <c:pt idx="10">
                  <c:v>16.103348275862071</c:v>
                </c:pt>
                <c:pt idx="11">
                  <c:v>16.191493103448277</c:v>
                </c:pt>
                <c:pt idx="12">
                  <c:v>16.279637931034483</c:v>
                </c:pt>
                <c:pt idx="13">
                  <c:v>16.367782758620688</c:v>
                </c:pt>
                <c:pt idx="14">
                  <c:v>16.455927586206894</c:v>
                </c:pt>
                <c:pt idx="15">
                  <c:v>16.544072413793099</c:v>
                </c:pt>
                <c:pt idx="16">
                  <c:v>16.632217241379305</c:v>
                </c:pt>
                <c:pt idx="17">
                  <c:v>16.72036206896551</c:v>
                </c:pt>
                <c:pt idx="18">
                  <c:v>16.808506896551716</c:v>
                </c:pt>
                <c:pt idx="19">
                  <c:v>16.896651724137921</c:v>
                </c:pt>
                <c:pt idx="20">
                  <c:v>16.984796551724127</c:v>
                </c:pt>
                <c:pt idx="21">
                  <c:v>17.072941379310333</c:v>
                </c:pt>
                <c:pt idx="22">
                  <c:v>17.161086206896538</c:v>
                </c:pt>
                <c:pt idx="23">
                  <c:v>17.249231034482744</c:v>
                </c:pt>
                <c:pt idx="24">
                  <c:v>17.337375862068949</c:v>
                </c:pt>
                <c:pt idx="25">
                  <c:v>17.425520689655155</c:v>
                </c:pt>
                <c:pt idx="26">
                  <c:v>17.51366551724136</c:v>
                </c:pt>
                <c:pt idx="27">
                  <c:v>17.601810344827566</c:v>
                </c:pt>
                <c:pt idx="28">
                  <c:v>17.689955172413772</c:v>
                </c:pt>
                <c:pt idx="29">
                  <c:v>17.778099999999977</c:v>
                </c:pt>
              </c:numCache>
            </c:numRef>
          </c:xVal>
          <c:yVal>
            <c:numRef>
              <c:f>Describe!$EI$11:$EI$40</c:f>
              <c:numCache>
                <c:formatCode>General</c:formatCode>
                <c:ptCount val="30"/>
                <c:pt idx="0">
                  <c:v>6.9370240000000001</c:v>
                </c:pt>
                <c:pt idx="1">
                  <c:v>6.9370240000000001</c:v>
                </c:pt>
                <c:pt idx="2">
                  <c:v>6.9370240000000001</c:v>
                </c:pt>
                <c:pt idx="3">
                  <c:v>6.9370240000000001</c:v>
                </c:pt>
                <c:pt idx="4">
                  <c:v>6.9370240000000001</c:v>
                </c:pt>
                <c:pt idx="5">
                  <c:v>6.9370240000000001</c:v>
                </c:pt>
                <c:pt idx="6">
                  <c:v>6.9370240000000001</c:v>
                </c:pt>
                <c:pt idx="7">
                  <c:v>6.9370240000000001</c:v>
                </c:pt>
                <c:pt idx="8">
                  <c:v>6.9370240000000001</c:v>
                </c:pt>
                <c:pt idx="9">
                  <c:v>6.9370240000000001</c:v>
                </c:pt>
                <c:pt idx="10">
                  <c:v>6.9370240000000001</c:v>
                </c:pt>
                <c:pt idx="11">
                  <c:v>6.9370240000000001</c:v>
                </c:pt>
                <c:pt idx="12">
                  <c:v>6.9370240000000001</c:v>
                </c:pt>
                <c:pt idx="13">
                  <c:v>6.9370240000000001</c:v>
                </c:pt>
                <c:pt idx="14">
                  <c:v>6.9370240000000001</c:v>
                </c:pt>
                <c:pt idx="15">
                  <c:v>6.9370240000000001</c:v>
                </c:pt>
                <c:pt idx="16">
                  <c:v>6.9370240000000001</c:v>
                </c:pt>
                <c:pt idx="17">
                  <c:v>6.9370240000000001</c:v>
                </c:pt>
                <c:pt idx="18">
                  <c:v>6.9370240000000001</c:v>
                </c:pt>
                <c:pt idx="19">
                  <c:v>6.9370240000000001</c:v>
                </c:pt>
                <c:pt idx="20">
                  <c:v>6.9370240000000001</c:v>
                </c:pt>
                <c:pt idx="21">
                  <c:v>6.9370240000000001</c:v>
                </c:pt>
                <c:pt idx="22">
                  <c:v>6.9370240000000001</c:v>
                </c:pt>
                <c:pt idx="23">
                  <c:v>6.9370240000000001</c:v>
                </c:pt>
                <c:pt idx="24">
                  <c:v>6.9370240000000001</c:v>
                </c:pt>
                <c:pt idx="25">
                  <c:v>6.9370240000000001</c:v>
                </c:pt>
                <c:pt idx="26">
                  <c:v>6.9370240000000001</c:v>
                </c:pt>
                <c:pt idx="27">
                  <c:v>6.9370240000000001</c:v>
                </c:pt>
                <c:pt idx="28">
                  <c:v>6.9370240000000001</c:v>
                </c:pt>
                <c:pt idx="29">
                  <c:v>6.9370240000000001</c:v>
                </c:pt>
              </c:numCache>
            </c:numRef>
          </c:yVal>
        </c:ser>
        <c:ser>
          <c:idx val="10"/>
          <c:order val="8"/>
          <c:spPr>
            <a:ln w="28575">
              <a:noFill/>
            </a:ln>
          </c:spPr>
          <c:marker>
            <c:symbol val="none"/>
          </c:marker>
          <c:errBars>
            <c:errDir val="y"/>
            <c:errBarType val="minus"/>
            <c:errValType val="cust"/>
            <c:noEndCap val="1"/>
            <c:minus>
              <c:numRef>
                <c:f>Describe!$EK$10</c:f>
                <c:numCache>
                  <c:formatCode>General</c:formatCode>
                  <c:ptCount val="1"/>
                  <c:pt idx="0">
                    <c:v>1.901024</c:v>
                  </c:pt>
                </c:numCache>
              </c:numRef>
            </c:minus>
            <c:spPr>
              <a:ln w="38100">
                <a:pattFill prst="pct50">
                  <a:fgClr>
                    <a:srgbClr val="3366FF"/>
                  </a:fgClr>
                  <a:bgClr>
                    <a:srgbClr val="FFFFFF"/>
                  </a:bgClr>
                </a:pattFill>
                <a:prstDash val="solid"/>
              </a:ln>
            </c:spPr>
          </c:errBars>
          <c:xVal>
            <c:numRef>
              <c:f>Describe!$EJ$11:$EJ$35</c:f>
              <c:numCache>
                <c:formatCode>General</c:formatCode>
                <c:ptCount val="25"/>
                <c:pt idx="0">
                  <c:v>18.221900000000002</c:v>
                </c:pt>
                <c:pt idx="1">
                  <c:v>18.328408333333336</c:v>
                </c:pt>
                <c:pt idx="2">
                  <c:v>18.43491666666667</c:v>
                </c:pt>
                <c:pt idx="3">
                  <c:v>18.541425000000004</c:v>
                </c:pt>
                <c:pt idx="4">
                  <c:v>18.647933333333338</c:v>
                </c:pt>
                <c:pt idx="5">
                  <c:v>18.754441666666672</c:v>
                </c:pt>
                <c:pt idx="6">
                  <c:v>18.860950000000006</c:v>
                </c:pt>
                <c:pt idx="7">
                  <c:v>18.96745833333334</c:v>
                </c:pt>
                <c:pt idx="8">
                  <c:v>19.073966666666674</c:v>
                </c:pt>
                <c:pt idx="9">
                  <c:v>19.180475000000008</c:v>
                </c:pt>
                <c:pt idx="10">
                  <c:v>19.286983333333342</c:v>
                </c:pt>
                <c:pt idx="11">
                  <c:v>19.393491666666677</c:v>
                </c:pt>
                <c:pt idx="12">
                  <c:v>19.500000000000011</c:v>
                </c:pt>
                <c:pt idx="13">
                  <c:v>19.606508333333345</c:v>
                </c:pt>
                <c:pt idx="14">
                  <c:v>19.713016666666679</c:v>
                </c:pt>
                <c:pt idx="15">
                  <c:v>19.819525000000013</c:v>
                </c:pt>
                <c:pt idx="16">
                  <c:v>19.926033333333347</c:v>
                </c:pt>
                <c:pt idx="17">
                  <c:v>20.032541666666681</c:v>
                </c:pt>
                <c:pt idx="18">
                  <c:v>20.139050000000015</c:v>
                </c:pt>
                <c:pt idx="19">
                  <c:v>20.245558333333349</c:v>
                </c:pt>
                <c:pt idx="20">
                  <c:v>20.352066666666683</c:v>
                </c:pt>
                <c:pt idx="21">
                  <c:v>20.458575000000017</c:v>
                </c:pt>
                <c:pt idx="22">
                  <c:v>20.565083333333352</c:v>
                </c:pt>
                <c:pt idx="23">
                  <c:v>20.671591666666686</c:v>
                </c:pt>
                <c:pt idx="24">
                  <c:v>20.77810000000002</c:v>
                </c:pt>
              </c:numCache>
            </c:numRef>
          </c:xVal>
          <c:yVal>
            <c:numRef>
              <c:f>Describe!$EK$11:$EK$35</c:f>
              <c:numCache>
                <c:formatCode>General</c:formatCode>
                <c:ptCount val="25"/>
                <c:pt idx="0">
                  <c:v>1.9370240000000001</c:v>
                </c:pt>
                <c:pt idx="1">
                  <c:v>1.9370240000000001</c:v>
                </c:pt>
                <c:pt idx="2">
                  <c:v>1.9370240000000001</c:v>
                </c:pt>
                <c:pt idx="3">
                  <c:v>1.9370240000000001</c:v>
                </c:pt>
                <c:pt idx="4">
                  <c:v>1.9370240000000001</c:v>
                </c:pt>
                <c:pt idx="5">
                  <c:v>1.9370240000000001</c:v>
                </c:pt>
                <c:pt idx="6">
                  <c:v>1.9370240000000001</c:v>
                </c:pt>
                <c:pt idx="7">
                  <c:v>1.9370240000000001</c:v>
                </c:pt>
                <c:pt idx="8">
                  <c:v>1.9370240000000001</c:v>
                </c:pt>
                <c:pt idx="9">
                  <c:v>1.9370240000000001</c:v>
                </c:pt>
                <c:pt idx="10">
                  <c:v>1.9370240000000001</c:v>
                </c:pt>
                <c:pt idx="11">
                  <c:v>1.9370240000000001</c:v>
                </c:pt>
                <c:pt idx="12">
                  <c:v>1.9370240000000001</c:v>
                </c:pt>
                <c:pt idx="13">
                  <c:v>1.9370240000000001</c:v>
                </c:pt>
                <c:pt idx="14">
                  <c:v>1.9370240000000001</c:v>
                </c:pt>
                <c:pt idx="15">
                  <c:v>1.9370240000000001</c:v>
                </c:pt>
                <c:pt idx="16">
                  <c:v>1.9370240000000001</c:v>
                </c:pt>
                <c:pt idx="17">
                  <c:v>1.9370240000000001</c:v>
                </c:pt>
                <c:pt idx="18">
                  <c:v>1.9370240000000001</c:v>
                </c:pt>
                <c:pt idx="19">
                  <c:v>1.9370240000000001</c:v>
                </c:pt>
                <c:pt idx="20">
                  <c:v>1.9370240000000001</c:v>
                </c:pt>
                <c:pt idx="21">
                  <c:v>1.9370240000000001</c:v>
                </c:pt>
                <c:pt idx="22">
                  <c:v>1.9370240000000001</c:v>
                </c:pt>
                <c:pt idx="23">
                  <c:v>1.9370240000000001</c:v>
                </c:pt>
                <c:pt idx="24">
                  <c:v>1.9370240000000001</c:v>
                </c:pt>
              </c:numCache>
            </c:numRef>
          </c:yVal>
        </c:ser>
        <c:ser>
          <c:idx val="11"/>
          <c:order val="9"/>
          <c:spPr>
            <a:ln w="28575">
              <a:noFill/>
            </a:ln>
          </c:spPr>
          <c:marker>
            <c:symbol val="none"/>
          </c:marker>
          <c:errBars>
            <c:errDir val="y"/>
            <c:errBarType val="minus"/>
            <c:errValType val="cust"/>
            <c:noEndCap val="1"/>
            <c:minus>
              <c:numRef>
                <c:f>Describe!$EM$10</c:f>
                <c:numCache>
                  <c:formatCode>General</c:formatCode>
                  <c:ptCount val="1"/>
                  <c:pt idx="0">
                    <c:v>1.901024</c:v>
                  </c:pt>
                </c:numCache>
              </c:numRef>
            </c:minus>
            <c:spPr>
              <a:ln w="38100">
                <a:pattFill prst="pct50">
                  <a:fgClr>
                    <a:srgbClr val="3366FF"/>
                  </a:fgClr>
                  <a:bgClr>
                    <a:srgbClr val="FFFFFF"/>
                  </a:bgClr>
                </a:pattFill>
                <a:prstDash val="solid"/>
              </a:ln>
            </c:spPr>
          </c:errBars>
          <c:xVal>
            <c:numRef>
              <c:f>Describe!$EL$11:$EL$35</c:f>
              <c:numCache>
                <c:formatCode>General</c:formatCode>
                <c:ptCount val="25"/>
                <c:pt idx="0">
                  <c:v>21.221900000000002</c:v>
                </c:pt>
                <c:pt idx="1">
                  <c:v>21.328408333333336</c:v>
                </c:pt>
                <c:pt idx="2">
                  <c:v>21.43491666666667</c:v>
                </c:pt>
                <c:pt idx="3">
                  <c:v>21.541425000000004</c:v>
                </c:pt>
                <c:pt idx="4">
                  <c:v>21.647933333333338</c:v>
                </c:pt>
                <c:pt idx="5">
                  <c:v>21.754441666666672</c:v>
                </c:pt>
                <c:pt idx="6">
                  <c:v>21.860950000000006</c:v>
                </c:pt>
                <c:pt idx="7">
                  <c:v>21.96745833333334</c:v>
                </c:pt>
                <c:pt idx="8">
                  <c:v>22.073966666666674</c:v>
                </c:pt>
                <c:pt idx="9">
                  <c:v>22.180475000000008</c:v>
                </c:pt>
                <c:pt idx="10">
                  <c:v>22.286983333333342</c:v>
                </c:pt>
                <c:pt idx="11">
                  <c:v>22.393491666666677</c:v>
                </c:pt>
                <c:pt idx="12">
                  <c:v>22.500000000000011</c:v>
                </c:pt>
                <c:pt idx="13">
                  <c:v>22.606508333333345</c:v>
                </c:pt>
                <c:pt idx="14">
                  <c:v>22.713016666666679</c:v>
                </c:pt>
                <c:pt idx="15">
                  <c:v>22.819525000000013</c:v>
                </c:pt>
                <c:pt idx="16">
                  <c:v>22.926033333333347</c:v>
                </c:pt>
                <c:pt idx="17">
                  <c:v>23.032541666666681</c:v>
                </c:pt>
                <c:pt idx="18">
                  <c:v>23.139050000000015</c:v>
                </c:pt>
                <c:pt idx="19">
                  <c:v>23.245558333333349</c:v>
                </c:pt>
                <c:pt idx="20">
                  <c:v>23.352066666666683</c:v>
                </c:pt>
                <c:pt idx="21">
                  <c:v>23.458575000000017</c:v>
                </c:pt>
                <c:pt idx="22">
                  <c:v>23.565083333333352</c:v>
                </c:pt>
                <c:pt idx="23">
                  <c:v>23.671591666666686</c:v>
                </c:pt>
                <c:pt idx="24">
                  <c:v>23.77810000000002</c:v>
                </c:pt>
              </c:numCache>
            </c:numRef>
          </c:xVal>
          <c:yVal>
            <c:numRef>
              <c:f>Describe!$EM$11:$EM$35</c:f>
              <c:numCache>
                <c:formatCode>General</c:formatCode>
                <c:ptCount val="25"/>
                <c:pt idx="0">
                  <c:v>1.9370240000000001</c:v>
                </c:pt>
                <c:pt idx="1">
                  <c:v>1.9370240000000001</c:v>
                </c:pt>
                <c:pt idx="2">
                  <c:v>1.9370240000000001</c:v>
                </c:pt>
                <c:pt idx="3">
                  <c:v>1.9370240000000001</c:v>
                </c:pt>
                <c:pt idx="4">
                  <c:v>1.9370240000000001</c:v>
                </c:pt>
                <c:pt idx="5">
                  <c:v>1.9370240000000001</c:v>
                </c:pt>
                <c:pt idx="6">
                  <c:v>1.9370240000000001</c:v>
                </c:pt>
                <c:pt idx="7">
                  <c:v>1.9370240000000001</c:v>
                </c:pt>
                <c:pt idx="8">
                  <c:v>1.9370240000000001</c:v>
                </c:pt>
                <c:pt idx="9">
                  <c:v>1.9370240000000001</c:v>
                </c:pt>
                <c:pt idx="10">
                  <c:v>1.9370240000000001</c:v>
                </c:pt>
                <c:pt idx="11">
                  <c:v>1.9370240000000001</c:v>
                </c:pt>
                <c:pt idx="12">
                  <c:v>1.9370240000000001</c:v>
                </c:pt>
                <c:pt idx="13">
                  <c:v>1.9370240000000001</c:v>
                </c:pt>
                <c:pt idx="14">
                  <c:v>1.9370240000000001</c:v>
                </c:pt>
                <c:pt idx="15">
                  <c:v>1.9370240000000001</c:v>
                </c:pt>
                <c:pt idx="16">
                  <c:v>1.9370240000000001</c:v>
                </c:pt>
                <c:pt idx="17">
                  <c:v>1.9370240000000001</c:v>
                </c:pt>
                <c:pt idx="18">
                  <c:v>1.9370240000000001</c:v>
                </c:pt>
                <c:pt idx="19">
                  <c:v>1.9370240000000001</c:v>
                </c:pt>
                <c:pt idx="20">
                  <c:v>1.9370240000000001</c:v>
                </c:pt>
                <c:pt idx="21">
                  <c:v>1.9370240000000001</c:v>
                </c:pt>
                <c:pt idx="22">
                  <c:v>1.9370240000000001</c:v>
                </c:pt>
                <c:pt idx="23">
                  <c:v>1.9370240000000001</c:v>
                </c:pt>
                <c:pt idx="24">
                  <c:v>1.9370240000000001</c:v>
                </c:pt>
              </c:numCache>
            </c:numRef>
          </c:yVal>
        </c:ser>
        <c:ser>
          <c:idx val="12"/>
          <c:order val="10"/>
          <c:spPr>
            <a:ln w="28575">
              <a:noFill/>
            </a:ln>
          </c:spPr>
          <c:marker>
            <c:symbol val="none"/>
          </c:marker>
          <c:errBars>
            <c:errDir val="y"/>
            <c:errBarType val="minus"/>
            <c:errValType val="cust"/>
            <c:noEndCap val="1"/>
            <c:minus>
              <c:numRef>
                <c:f>Describe!$EO$10</c:f>
                <c:numCache>
                  <c:formatCode>General</c:formatCode>
                  <c:ptCount val="1"/>
                  <c:pt idx="0">
                    <c:v>0.90102399999999994</c:v>
                  </c:pt>
                </c:numCache>
              </c:numRef>
            </c:minus>
            <c:spPr>
              <a:ln w="38100">
                <a:pattFill prst="pct50">
                  <a:fgClr>
                    <a:srgbClr val="3366FF"/>
                  </a:fgClr>
                  <a:bgClr>
                    <a:srgbClr val="FFFFFF"/>
                  </a:bgClr>
                </a:pattFill>
                <a:prstDash val="solid"/>
              </a:ln>
            </c:spPr>
          </c:errBars>
          <c:xVal>
            <c:numRef>
              <c:f>Describe!$EN$11:$EN$30</c:f>
              <c:numCache>
                <c:formatCode>General</c:formatCode>
                <c:ptCount val="20"/>
                <c:pt idx="0">
                  <c:v>24.221900000000002</c:v>
                </c:pt>
                <c:pt idx="1">
                  <c:v>24.356436842105264</c:v>
                </c:pt>
                <c:pt idx="2">
                  <c:v>24.490973684210527</c:v>
                </c:pt>
                <c:pt idx="3">
                  <c:v>24.625510526315789</c:v>
                </c:pt>
                <c:pt idx="4">
                  <c:v>24.760047368421052</c:v>
                </c:pt>
                <c:pt idx="5">
                  <c:v>24.894584210526315</c:v>
                </c:pt>
                <c:pt idx="6">
                  <c:v>25.029121052631577</c:v>
                </c:pt>
                <c:pt idx="7">
                  <c:v>25.16365789473684</c:v>
                </c:pt>
                <c:pt idx="8">
                  <c:v>25.298194736842103</c:v>
                </c:pt>
                <c:pt idx="9">
                  <c:v>25.432731578947365</c:v>
                </c:pt>
                <c:pt idx="10">
                  <c:v>25.567268421052628</c:v>
                </c:pt>
                <c:pt idx="11">
                  <c:v>25.70180526315789</c:v>
                </c:pt>
                <c:pt idx="12">
                  <c:v>25.836342105263153</c:v>
                </c:pt>
                <c:pt idx="13">
                  <c:v>25.970878947368416</c:v>
                </c:pt>
                <c:pt idx="14">
                  <c:v>26.105415789473678</c:v>
                </c:pt>
                <c:pt idx="15">
                  <c:v>26.239952631578941</c:v>
                </c:pt>
                <c:pt idx="16">
                  <c:v>26.374489473684203</c:v>
                </c:pt>
                <c:pt idx="17">
                  <c:v>26.509026315789466</c:v>
                </c:pt>
                <c:pt idx="18">
                  <c:v>26.643563157894729</c:v>
                </c:pt>
                <c:pt idx="19">
                  <c:v>26.778099999999991</c:v>
                </c:pt>
              </c:numCache>
            </c:numRef>
          </c:xVal>
          <c:yVal>
            <c:numRef>
              <c:f>Describe!$EO$11:$EO$30</c:f>
              <c:numCache>
                <c:formatCode>General</c:formatCode>
                <c:ptCount val="20"/>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pt idx="15">
                  <c:v>0.93702399999999997</c:v>
                </c:pt>
                <c:pt idx="16">
                  <c:v>0.93702399999999997</c:v>
                </c:pt>
                <c:pt idx="17">
                  <c:v>0.93702399999999997</c:v>
                </c:pt>
                <c:pt idx="18">
                  <c:v>0.93702399999999997</c:v>
                </c:pt>
                <c:pt idx="19">
                  <c:v>0.93702399999999997</c:v>
                </c:pt>
              </c:numCache>
            </c:numRef>
          </c:yVal>
        </c:ser>
        <c:ser>
          <c:idx val="13"/>
          <c:order val="11"/>
          <c:spPr>
            <a:ln w="28575">
              <a:noFill/>
            </a:ln>
          </c:spPr>
          <c:marker>
            <c:symbol val="none"/>
          </c:marker>
          <c:errBars>
            <c:errDir val="y"/>
            <c:errBarType val="minus"/>
            <c:errValType val="cust"/>
            <c:noEndCap val="1"/>
            <c:minus>
              <c:numRef>
                <c:f>Describe!$EQ$10</c:f>
                <c:numCache>
                  <c:formatCode>General</c:formatCode>
                  <c:ptCount val="1"/>
                  <c:pt idx="0">
                    <c:v>#N/A</c:v>
                  </c:pt>
                </c:numCache>
              </c:numRef>
            </c:minus>
            <c:spPr>
              <a:ln w="38100">
                <a:pattFill prst="pct50">
                  <a:fgClr>
                    <a:srgbClr val="3366FF"/>
                  </a:fgClr>
                  <a:bgClr>
                    <a:srgbClr val="FFFFFF"/>
                  </a:bgClr>
                </a:pattFill>
                <a:prstDash val="solid"/>
              </a:ln>
            </c:spPr>
          </c:errBars>
          <c:xVal>
            <c:numRef>
              <c:f>Describe!$EP$11:$EP$30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Describe!$EQ$11:$EQ$30</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er>
        <c:ser>
          <c:idx val="14"/>
          <c:order val="12"/>
          <c:spPr>
            <a:ln w="28575">
              <a:noFill/>
            </a:ln>
          </c:spPr>
          <c:marker>
            <c:symbol val="none"/>
          </c:marker>
          <c:errBars>
            <c:errDir val="y"/>
            <c:errBarType val="minus"/>
            <c:errValType val="cust"/>
            <c:noEndCap val="1"/>
            <c:minus>
              <c:numRef>
                <c:f>Describe!$ES$10</c:f>
                <c:numCache>
                  <c:formatCode>General</c:formatCode>
                  <c:ptCount val="1"/>
                  <c:pt idx="0">
                    <c:v>0.90102399999999994</c:v>
                  </c:pt>
                </c:numCache>
              </c:numRef>
            </c:minus>
            <c:spPr>
              <a:ln w="38100">
                <a:pattFill prst="pct50">
                  <a:fgClr>
                    <a:srgbClr val="3366FF"/>
                  </a:fgClr>
                  <a:bgClr>
                    <a:srgbClr val="FFFFFF"/>
                  </a:bgClr>
                </a:pattFill>
                <a:prstDash val="solid"/>
              </a:ln>
            </c:spPr>
          </c:errBars>
          <c:xVal>
            <c:numRef>
              <c:f>Describe!$ER$11:$ER$30</c:f>
              <c:numCache>
                <c:formatCode>General</c:formatCode>
                <c:ptCount val="20"/>
                <c:pt idx="0">
                  <c:v>30.221900000000002</c:v>
                </c:pt>
                <c:pt idx="1">
                  <c:v>30.356436842105264</c:v>
                </c:pt>
                <c:pt idx="2">
                  <c:v>30.490973684210527</c:v>
                </c:pt>
                <c:pt idx="3">
                  <c:v>30.625510526315789</c:v>
                </c:pt>
                <c:pt idx="4">
                  <c:v>30.760047368421052</c:v>
                </c:pt>
                <c:pt idx="5">
                  <c:v>30.894584210526315</c:v>
                </c:pt>
                <c:pt idx="6">
                  <c:v>31.029121052631577</c:v>
                </c:pt>
                <c:pt idx="7">
                  <c:v>31.16365789473684</c:v>
                </c:pt>
                <c:pt idx="8">
                  <c:v>31.298194736842103</c:v>
                </c:pt>
                <c:pt idx="9">
                  <c:v>31.432731578947365</c:v>
                </c:pt>
                <c:pt idx="10">
                  <c:v>31.567268421052628</c:v>
                </c:pt>
                <c:pt idx="11">
                  <c:v>31.70180526315789</c:v>
                </c:pt>
                <c:pt idx="12">
                  <c:v>31.836342105263153</c:v>
                </c:pt>
                <c:pt idx="13">
                  <c:v>31.970878947368416</c:v>
                </c:pt>
                <c:pt idx="14">
                  <c:v>32.105415789473682</c:v>
                </c:pt>
                <c:pt idx="15">
                  <c:v>32.239952631578944</c:v>
                </c:pt>
                <c:pt idx="16">
                  <c:v>32.374489473684207</c:v>
                </c:pt>
                <c:pt idx="17">
                  <c:v>32.50902631578947</c:v>
                </c:pt>
                <c:pt idx="18">
                  <c:v>32.643563157894732</c:v>
                </c:pt>
                <c:pt idx="19">
                  <c:v>32.778099999999995</c:v>
                </c:pt>
              </c:numCache>
            </c:numRef>
          </c:xVal>
          <c:yVal>
            <c:numRef>
              <c:f>Describe!$ES$11:$ES$30</c:f>
              <c:numCache>
                <c:formatCode>General</c:formatCode>
                <c:ptCount val="20"/>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pt idx="15">
                  <c:v>0.93702399999999997</c:v>
                </c:pt>
                <c:pt idx="16">
                  <c:v>0.93702399999999997</c:v>
                </c:pt>
                <c:pt idx="17">
                  <c:v>0.93702399999999997</c:v>
                </c:pt>
                <c:pt idx="18">
                  <c:v>0.93702399999999997</c:v>
                </c:pt>
                <c:pt idx="19">
                  <c:v>0.93702399999999997</c:v>
                </c:pt>
              </c:numCache>
            </c:numRef>
          </c:yVal>
        </c:ser>
        <c:ser>
          <c:idx val="15"/>
          <c:order val="13"/>
          <c:spPr>
            <a:ln w="28575">
              <a:noFill/>
            </a:ln>
          </c:spPr>
          <c:marker>
            <c:symbol val="none"/>
          </c:marker>
          <c:errBars>
            <c:errDir val="y"/>
            <c:errBarType val="minus"/>
            <c:errValType val="cust"/>
            <c:noEndCap val="1"/>
            <c:minus>
              <c:numRef>
                <c:f>Describe!$EU$10</c:f>
                <c:numCache>
                  <c:formatCode>General</c:formatCode>
                  <c:ptCount val="1"/>
                  <c:pt idx="0">
                    <c:v>0.90102399999999994</c:v>
                  </c:pt>
                </c:numCache>
              </c:numRef>
            </c:minus>
            <c:spPr>
              <a:ln w="38100">
                <a:pattFill prst="pct50">
                  <a:fgClr>
                    <a:srgbClr val="3366FF"/>
                  </a:fgClr>
                  <a:bgClr>
                    <a:srgbClr val="FFFFFF"/>
                  </a:bgClr>
                </a:pattFill>
                <a:prstDash val="solid"/>
              </a:ln>
            </c:spPr>
          </c:errBars>
          <c:xVal>
            <c:numRef>
              <c:f>Describe!$ET$11:$ET$25</c:f>
              <c:numCache>
                <c:formatCode>General</c:formatCode>
                <c:ptCount val="15"/>
                <c:pt idx="0">
                  <c:v>33.221899999999998</c:v>
                </c:pt>
                <c:pt idx="1">
                  <c:v>33.404485714285713</c:v>
                </c:pt>
                <c:pt idx="2">
                  <c:v>33.587071428571427</c:v>
                </c:pt>
                <c:pt idx="3">
                  <c:v>33.769657142857142</c:v>
                </c:pt>
                <c:pt idx="4">
                  <c:v>33.952242857142856</c:v>
                </c:pt>
                <c:pt idx="5">
                  <c:v>34.134828571428571</c:v>
                </c:pt>
                <c:pt idx="6">
                  <c:v>34.317414285714285</c:v>
                </c:pt>
                <c:pt idx="7">
                  <c:v>34.5</c:v>
                </c:pt>
                <c:pt idx="8">
                  <c:v>34.682585714285715</c:v>
                </c:pt>
                <c:pt idx="9">
                  <c:v>34.865171428571429</c:v>
                </c:pt>
                <c:pt idx="10">
                  <c:v>35.047757142857144</c:v>
                </c:pt>
                <c:pt idx="11">
                  <c:v>35.230342857142858</c:v>
                </c:pt>
                <c:pt idx="12">
                  <c:v>35.412928571428573</c:v>
                </c:pt>
                <c:pt idx="13">
                  <c:v>35.595514285714287</c:v>
                </c:pt>
                <c:pt idx="14">
                  <c:v>35.778100000000002</c:v>
                </c:pt>
              </c:numCache>
            </c:numRef>
          </c:xVal>
          <c:yVal>
            <c:numRef>
              <c:f>Describe!$EU$11:$EU$25</c:f>
              <c:numCache>
                <c:formatCode>General</c:formatCode>
                <c:ptCount val="15"/>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numCache>
            </c:numRef>
          </c:yVal>
        </c:ser>
        <c:ser>
          <c:idx val="16"/>
          <c:order val="14"/>
          <c:spPr>
            <a:ln w="28575">
              <a:noFill/>
            </a:ln>
          </c:spPr>
          <c:marker>
            <c:symbol val="none"/>
          </c:marker>
          <c:errBars>
            <c:errDir val="y"/>
            <c:errBarType val="minus"/>
            <c:errValType val="cust"/>
            <c:noEndCap val="1"/>
            <c:minus>
              <c:numRef>
                <c:f>Describe!$EW$10</c:f>
                <c:numCache>
                  <c:formatCode>General</c:formatCode>
                  <c:ptCount val="1"/>
                  <c:pt idx="0">
                    <c:v>#N/A</c:v>
                  </c:pt>
                </c:numCache>
              </c:numRef>
            </c:minus>
            <c:spPr>
              <a:ln w="38100">
                <a:pattFill prst="pct50">
                  <a:fgClr>
                    <a:srgbClr val="3366FF"/>
                  </a:fgClr>
                  <a:bgClr>
                    <a:srgbClr val="FFFFFF"/>
                  </a:bgClr>
                </a:pattFill>
                <a:prstDash val="solid"/>
              </a:ln>
            </c:spPr>
          </c:errBars>
          <c:xVal>
            <c:numRef>
              <c:f>Describe!$EV$11:$EV$25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Describe!$EW$11:$EW$25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er>
        <c:ser>
          <c:idx val="17"/>
          <c:order val="15"/>
          <c:spPr>
            <a:ln w="28575">
              <a:noFill/>
            </a:ln>
          </c:spPr>
          <c:marker>
            <c:symbol val="none"/>
          </c:marker>
          <c:errBars>
            <c:errDir val="y"/>
            <c:errBarType val="minus"/>
            <c:errValType val="cust"/>
            <c:noEndCap val="1"/>
            <c:minus>
              <c:numRef>
                <c:f>Describe!$EY$10</c:f>
                <c:numCache>
                  <c:formatCode>General</c:formatCode>
                  <c:ptCount val="1"/>
                  <c:pt idx="0">
                    <c:v>#N/A</c:v>
                  </c:pt>
                </c:numCache>
              </c:numRef>
            </c:minus>
            <c:spPr>
              <a:ln w="38100">
                <a:pattFill prst="pct50">
                  <a:fgClr>
                    <a:srgbClr val="3366FF"/>
                  </a:fgClr>
                  <a:bgClr>
                    <a:srgbClr val="FFFFFF"/>
                  </a:bgClr>
                </a:pattFill>
                <a:prstDash val="solid"/>
              </a:ln>
            </c:spPr>
          </c:errBars>
          <c:xVal>
            <c:numRef>
              <c:f>Describe!$EX$11:$EX$25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Describe!$EY$11:$EY$25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er>
        <c:ser>
          <c:idx val="18"/>
          <c:order val="16"/>
          <c:spPr>
            <a:ln w="28575">
              <a:noFill/>
            </a:ln>
          </c:spPr>
          <c:marker>
            <c:symbol val="none"/>
          </c:marker>
          <c:errBars>
            <c:errDir val="y"/>
            <c:errBarType val="minus"/>
            <c:errValType val="cust"/>
            <c:noEndCap val="1"/>
            <c:minus>
              <c:numRef>
                <c:f>Describe!$FA$10</c:f>
                <c:numCache>
                  <c:formatCode>General</c:formatCode>
                  <c:ptCount val="1"/>
                  <c:pt idx="0">
                    <c:v>#N/A</c:v>
                  </c:pt>
                </c:numCache>
              </c:numRef>
            </c:minus>
            <c:spPr>
              <a:ln w="38100">
                <a:pattFill prst="pct50">
                  <a:fgClr>
                    <a:srgbClr val="3366FF"/>
                  </a:fgClr>
                  <a:bgClr>
                    <a:srgbClr val="FFFFFF"/>
                  </a:bgClr>
                </a:pattFill>
                <a:prstDash val="solid"/>
              </a:ln>
            </c:spPr>
          </c:errBars>
          <c:xVal>
            <c:numRef>
              <c:f>Describe!$EZ$11:$EZ$22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Describe!$FA$11:$FA$22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er>
        <c:ser>
          <c:idx val="19"/>
          <c:order val="17"/>
          <c:spPr>
            <a:ln w="28575">
              <a:noFill/>
            </a:ln>
          </c:spPr>
          <c:marker>
            <c:symbol val="none"/>
          </c:marker>
          <c:errBars>
            <c:errDir val="y"/>
            <c:errBarType val="minus"/>
            <c:errValType val="cust"/>
            <c:noEndCap val="1"/>
            <c:minus>
              <c:numRef>
                <c:f>Describe!$FC$10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Describe!$FB$11:$FB$22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Describe!$FC$11:$FC$22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er>
        <c:ser>
          <c:idx val="20"/>
          <c:order val="18"/>
          <c:spPr>
            <a:ln w="28575">
              <a:noFill/>
            </a:ln>
          </c:spPr>
          <c:marker>
            <c:symbol val="none"/>
          </c:marker>
          <c:errBars>
            <c:errDir val="y"/>
            <c:errBarType val="minus"/>
            <c:errValType val="cust"/>
            <c:noEndCap val="1"/>
            <c:minus>
              <c:numRef>
                <c:f>Describe!$FE$10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Describe!$FD$11:$FD$22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Describe!$FE$11:$FE$22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er>
        <c:ser>
          <c:idx val="21"/>
          <c:order val="19"/>
          <c:spPr>
            <a:ln w="28575">
              <a:noFill/>
            </a:ln>
          </c:spPr>
          <c:marker>
            <c:symbol val="none"/>
          </c:marker>
          <c:errBars>
            <c:errDir val="y"/>
            <c:errBarType val="minus"/>
            <c:errValType val="cust"/>
            <c:noEndCap val="1"/>
            <c:minus>
              <c:numRef>
                <c:f>Describe!$FG$10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Describe!$FF$11:$FF$20</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Describe!$FG$11:$FG$20</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22"/>
          <c:order val="20"/>
          <c:spPr>
            <a:ln w="28575">
              <a:noFill/>
            </a:ln>
          </c:spPr>
          <c:marker>
            <c:symbol val="none"/>
          </c:marker>
          <c:errBars>
            <c:errDir val="y"/>
            <c:errBarType val="minus"/>
            <c:errValType val="cust"/>
            <c:noEndCap val="1"/>
            <c:minus>
              <c:numRef>
                <c:f>Describe!$FI$10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Describe!$FH$11:$FH$20</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Describe!$FI$11:$FI$20</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23"/>
          <c:order val="21"/>
          <c:spPr>
            <a:ln w="28575">
              <a:noFill/>
            </a:ln>
          </c:spPr>
          <c:marker>
            <c:symbol val="none"/>
          </c:marker>
          <c:errBars>
            <c:errDir val="y"/>
            <c:errBarType val="minus"/>
            <c:errValType val="cust"/>
            <c:noEndCap val="1"/>
            <c:minus>
              <c:numRef>
                <c:f>Describe!$FK$10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Describe!$FJ$11:$FJ$20</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Describe!$FK$11:$FK$20</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24"/>
          <c:order val="22"/>
          <c:spPr>
            <a:ln w="28575">
              <a:noFill/>
            </a:ln>
          </c:spPr>
          <c:marker>
            <c:symbol val="none"/>
          </c:marker>
          <c:errBars>
            <c:errDir val="y"/>
            <c:errBarType val="minus"/>
            <c:errValType val="cust"/>
            <c:noEndCap val="1"/>
            <c:minus>
              <c:numRef>
                <c:f>Describe!$FM$10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Describe!$FL$11:$FL$20</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Describe!$FM$11:$FM$20</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25"/>
          <c:order val="23"/>
          <c:spPr>
            <a:ln w="28575">
              <a:noFill/>
            </a:ln>
          </c:spPr>
          <c:marker>
            <c:symbol val="none"/>
          </c:marker>
          <c:errBars>
            <c:errDir val="y"/>
            <c:errBarType val="minus"/>
            <c:errValType val="cust"/>
            <c:noEndCap val="1"/>
            <c:minus>
              <c:numRef>
                <c:f>Describe!$FO$10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Describe!$FN$11:$FN$18</c:f>
              <c:numCache>
                <c:formatCode>General</c:formatCode>
                <c:ptCount val="8"/>
                <c:pt idx="0">
                  <c:v>#N/A</c:v>
                </c:pt>
                <c:pt idx="1">
                  <c:v>#N/A</c:v>
                </c:pt>
                <c:pt idx="2">
                  <c:v>#N/A</c:v>
                </c:pt>
                <c:pt idx="3">
                  <c:v>#N/A</c:v>
                </c:pt>
                <c:pt idx="4">
                  <c:v>#N/A</c:v>
                </c:pt>
                <c:pt idx="5">
                  <c:v>#N/A</c:v>
                </c:pt>
                <c:pt idx="6">
                  <c:v>#N/A</c:v>
                </c:pt>
                <c:pt idx="7">
                  <c:v>#N/A</c:v>
                </c:pt>
              </c:numCache>
            </c:numRef>
          </c:xVal>
          <c:yVal>
            <c:numRef>
              <c:f>Describe!$FO$11:$FO$18</c:f>
              <c:numCache>
                <c:formatCode>General</c:formatCode>
                <c:ptCount val="8"/>
                <c:pt idx="0">
                  <c:v>0</c:v>
                </c:pt>
                <c:pt idx="1">
                  <c:v>0</c:v>
                </c:pt>
                <c:pt idx="2">
                  <c:v>0</c:v>
                </c:pt>
                <c:pt idx="3">
                  <c:v>0</c:v>
                </c:pt>
                <c:pt idx="4">
                  <c:v>0</c:v>
                </c:pt>
                <c:pt idx="5">
                  <c:v>0</c:v>
                </c:pt>
                <c:pt idx="6">
                  <c:v>0</c:v>
                </c:pt>
                <c:pt idx="7">
                  <c:v>0</c:v>
                </c:pt>
              </c:numCache>
            </c:numRef>
          </c:yVal>
        </c:ser>
        <c:ser>
          <c:idx val="26"/>
          <c:order val="24"/>
          <c:spPr>
            <a:ln w="28575">
              <a:noFill/>
            </a:ln>
          </c:spPr>
          <c:marker>
            <c:symbol val="none"/>
          </c:marker>
          <c:errBars>
            <c:errDir val="y"/>
            <c:errBarType val="minus"/>
            <c:errValType val="cust"/>
            <c:noEndCap val="1"/>
            <c:minus>
              <c:numRef>
                <c:f>Describe!$FQ$10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Describe!$FP$11:$FP$18</c:f>
              <c:numCache>
                <c:formatCode>General</c:formatCode>
                <c:ptCount val="8"/>
                <c:pt idx="0">
                  <c:v>#N/A</c:v>
                </c:pt>
                <c:pt idx="1">
                  <c:v>#N/A</c:v>
                </c:pt>
                <c:pt idx="2">
                  <c:v>#N/A</c:v>
                </c:pt>
                <c:pt idx="3">
                  <c:v>#N/A</c:v>
                </c:pt>
                <c:pt idx="4">
                  <c:v>#N/A</c:v>
                </c:pt>
                <c:pt idx="5">
                  <c:v>#N/A</c:v>
                </c:pt>
                <c:pt idx="6">
                  <c:v>#N/A</c:v>
                </c:pt>
                <c:pt idx="7">
                  <c:v>#N/A</c:v>
                </c:pt>
              </c:numCache>
            </c:numRef>
          </c:xVal>
          <c:yVal>
            <c:numRef>
              <c:f>Describe!$FQ$11:$FQ$18</c:f>
              <c:numCache>
                <c:formatCode>General</c:formatCode>
                <c:ptCount val="8"/>
                <c:pt idx="0">
                  <c:v>0</c:v>
                </c:pt>
                <c:pt idx="1">
                  <c:v>0</c:v>
                </c:pt>
                <c:pt idx="2">
                  <c:v>0</c:v>
                </c:pt>
                <c:pt idx="3">
                  <c:v>0</c:v>
                </c:pt>
                <c:pt idx="4">
                  <c:v>0</c:v>
                </c:pt>
                <c:pt idx="5">
                  <c:v>0</c:v>
                </c:pt>
                <c:pt idx="6">
                  <c:v>0</c:v>
                </c:pt>
                <c:pt idx="7">
                  <c:v>0</c:v>
                </c:pt>
              </c:numCache>
            </c:numRef>
          </c:yVal>
        </c:ser>
        <c:ser>
          <c:idx val="27"/>
          <c:order val="25"/>
          <c:spPr>
            <a:ln w="28575">
              <a:noFill/>
            </a:ln>
          </c:spPr>
          <c:marker>
            <c:symbol val="none"/>
          </c:marker>
          <c:errBars>
            <c:errDir val="y"/>
            <c:errBarType val="minus"/>
            <c:errValType val="cust"/>
            <c:noEndCap val="1"/>
            <c:minus>
              <c:numRef>
                <c:f>Describe!$FS$10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Describe!$FR$11:$FR$18</c:f>
              <c:numCache>
                <c:formatCode>General</c:formatCode>
                <c:ptCount val="8"/>
                <c:pt idx="0">
                  <c:v>#N/A</c:v>
                </c:pt>
                <c:pt idx="1">
                  <c:v>#N/A</c:v>
                </c:pt>
                <c:pt idx="2">
                  <c:v>#N/A</c:v>
                </c:pt>
                <c:pt idx="3">
                  <c:v>#N/A</c:v>
                </c:pt>
                <c:pt idx="4">
                  <c:v>#N/A</c:v>
                </c:pt>
                <c:pt idx="5">
                  <c:v>#N/A</c:v>
                </c:pt>
                <c:pt idx="6">
                  <c:v>#N/A</c:v>
                </c:pt>
                <c:pt idx="7">
                  <c:v>#N/A</c:v>
                </c:pt>
              </c:numCache>
            </c:numRef>
          </c:xVal>
          <c:yVal>
            <c:numRef>
              <c:f>Describe!$FS$11:$FS$18</c:f>
              <c:numCache>
                <c:formatCode>General</c:formatCode>
                <c:ptCount val="8"/>
                <c:pt idx="0">
                  <c:v>0</c:v>
                </c:pt>
                <c:pt idx="1">
                  <c:v>0</c:v>
                </c:pt>
                <c:pt idx="2">
                  <c:v>0</c:v>
                </c:pt>
                <c:pt idx="3">
                  <c:v>0</c:v>
                </c:pt>
                <c:pt idx="4">
                  <c:v>0</c:v>
                </c:pt>
                <c:pt idx="5">
                  <c:v>0</c:v>
                </c:pt>
                <c:pt idx="6">
                  <c:v>0</c:v>
                </c:pt>
                <c:pt idx="7">
                  <c:v>0</c:v>
                </c:pt>
              </c:numCache>
            </c:numRef>
          </c:yVal>
        </c:ser>
        <c:ser>
          <c:idx val="28"/>
          <c:order val="26"/>
          <c:spPr>
            <a:ln w="28575">
              <a:noFill/>
            </a:ln>
          </c:spPr>
          <c:marker>
            <c:symbol val="none"/>
          </c:marker>
          <c:errBars>
            <c:errDir val="y"/>
            <c:errBarType val="minus"/>
            <c:errValType val="cust"/>
            <c:noEndCap val="1"/>
            <c:minus>
              <c:numRef>
                <c:f>Describe!$FU$10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Describe!$FT$11:$FT$18</c:f>
              <c:numCache>
                <c:formatCode>General</c:formatCode>
                <c:ptCount val="8"/>
                <c:pt idx="0">
                  <c:v>#N/A</c:v>
                </c:pt>
                <c:pt idx="1">
                  <c:v>#N/A</c:v>
                </c:pt>
                <c:pt idx="2">
                  <c:v>#N/A</c:v>
                </c:pt>
                <c:pt idx="3">
                  <c:v>#N/A</c:v>
                </c:pt>
                <c:pt idx="4">
                  <c:v>#N/A</c:v>
                </c:pt>
                <c:pt idx="5">
                  <c:v>#N/A</c:v>
                </c:pt>
                <c:pt idx="6">
                  <c:v>#N/A</c:v>
                </c:pt>
                <c:pt idx="7">
                  <c:v>#N/A</c:v>
                </c:pt>
              </c:numCache>
            </c:numRef>
          </c:xVal>
          <c:yVal>
            <c:numRef>
              <c:f>Describe!$FU$11:$FU$18</c:f>
              <c:numCache>
                <c:formatCode>General</c:formatCode>
                <c:ptCount val="8"/>
                <c:pt idx="0">
                  <c:v>0</c:v>
                </c:pt>
                <c:pt idx="1">
                  <c:v>0</c:v>
                </c:pt>
                <c:pt idx="2">
                  <c:v>0</c:v>
                </c:pt>
                <c:pt idx="3">
                  <c:v>0</c:v>
                </c:pt>
                <c:pt idx="4">
                  <c:v>0</c:v>
                </c:pt>
                <c:pt idx="5">
                  <c:v>0</c:v>
                </c:pt>
                <c:pt idx="6">
                  <c:v>0</c:v>
                </c:pt>
                <c:pt idx="7">
                  <c:v>0</c:v>
                </c:pt>
              </c:numCache>
            </c:numRef>
          </c:yVal>
        </c:ser>
        <c:ser>
          <c:idx val="29"/>
          <c:order val="27"/>
          <c:spPr>
            <a:ln w="28575">
              <a:noFill/>
            </a:ln>
          </c:spPr>
          <c:marker>
            <c:symbol val="none"/>
          </c:marker>
          <c:errBars>
            <c:errDir val="y"/>
            <c:errBarType val="minus"/>
            <c:errValType val="cust"/>
            <c:noEndCap val="1"/>
            <c:minus>
              <c:numRef>
                <c:f>Describe!$FW$10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Describe!$FV$11:$FV$18</c:f>
              <c:numCache>
                <c:formatCode>General</c:formatCode>
                <c:ptCount val="8"/>
                <c:pt idx="0">
                  <c:v>#N/A</c:v>
                </c:pt>
                <c:pt idx="1">
                  <c:v>#N/A</c:v>
                </c:pt>
                <c:pt idx="2">
                  <c:v>#N/A</c:v>
                </c:pt>
                <c:pt idx="3">
                  <c:v>#N/A</c:v>
                </c:pt>
                <c:pt idx="4">
                  <c:v>#N/A</c:v>
                </c:pt>
                <c:pt idx="5">
                  <c:v>#N/A</c:v>
                </c:pt>
                <c:pt idx="6">
                  <c:v>#N/A</c:v>
                </c:pt>
                <c:pt idx="7">
                  <c:v>#N/A</c:v>
                </c:pt>
              </c:numCache>
            </c:numRef>
          </c:xVal>
          <c:yVal>
            <c:numRef>
              <c:f>Describe!$FW$11:$FW$18</c:f>
              <c:numCache>
                <c:formatCode>General</c:formatCode>
                <c:ptCount val="8"/>
                <c:pt idx="0">
                  <c:v>0</c:v>
                </c:pt>
                <c:pt idx="1">
                  <c:v>0</c:v>
                </c:pt>
                <c:pt idx="2">
                  <c:v>0</c:v>
                </c:pt>
                <c:pt idx="3">
                  <c:v>0</c:v>
                </c:pt>
                <c:pt idx="4">
                  <c:v>0</c:v>
                </c:pt>
                <c:pt idx="5">
                  <c:v>0</c:v>
                </c:pt>
                <c:pt idx="6">
                  <c:v>0</c:v>
                </c:pt>
                <c:pt idx="7">
                  <c:v>0</c:v>
                </c:pt>
              </c:numCache>
            </c:numRef>
          </c:yVal>
        </c:ser>
        <c:ser>
          <c:idx val="30"/>
          <c:order val="28"/>
          <c:spPr>
            <a:ln w="28575">
              <a:noFill/>
            </a:ln>
          </c:spPr>
          <c:marker>
            <c:symbol val="none"/>
          </c:marker>
          <c:errBars>
            <c:errDir val="y"/>
            <c:errBarType val="minus"/>
            <c:errValType val="cust"/>
            <c:noEndCap val="1"/>
            <c:minus>
              <c:numRef>
                <c:f>Describe!$FY$10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Describe!$FX$11:$FX$18</c:f>
              <c:numCache>
                <c:formatCode>General</c:formatCode>
                <c:ptCount val="8"/>
                <c:pt idx="0">
                  <c:v>#N/A</c:v>
                </c:pt>
                <c:pt idx="1">
                  <c:v>#N/A</c:v>
                </c:pt>
                <c:pt idx="2">
                  <c:v>#N/A</c:v>
                </c:pt>
                <c:pt idx="3">
                  <c:v>#N/A</c:v>
                </c:pt>
                <c:pt idx="4">
                  <c:v>#N/A</c:v>
                </c:pt>
                <c:pt idx="5">
                  <c:v>#N/A</c:v>
                </c:pt>
                <c:pt idx="6">
                  <c:v>#N/A</c:v>
                </c:pt>
                <c:pt idx="7">
                  <c:v>#N/A</c:v>
                </c:pt>
              </c:numCache>
            </c:numRef>
          </c:xVal>
          <c:yVal>
            <c:numRef>
              <c:f>Describe!$FY$11:$FY$18</c:f>
              <c:numCache>
                <c:formatCode>General</c:formatCode>
                <c:ptCount val="8"/>
                <c:pt idx="0">
                  <c:v>0</c:v>
                </c:pt>
                <c:pt idx="1">
                  <c:v>0</c:v>
                </c:pt>
                <c:pt idx="2">
                  <c:v>0</c:v>
                </c:pt>
                <c:pt idx="3">
                  <c:v>0</c:v>
                </c:pt>
                <c:pt idx="4">
                  <c:v>0</c:v>
                </c:pt>
                <c:pt idx="5">
                  <c:v>0</c:v>
                </c:pt>
                <c:pt idx="6">
                  <c:v>0</c:v>
                </c:pt>
                <c:pt idx="7">
                  <c:v>0</c:v>
                </c:pt>
              </c:numCache>
            </c:numRef>
          </c:yVal>
        </c:ser>
        <c:ser>
          <c:idx val="31"/>
          <c:order val="29"/>
          <c:spPr>
            <a:ln w="28575">
              <a:noFill/>
            </a:ln>
          </c:spPr>
          <c:marker>
            <c:symbol val="none"/>
          </c:marker>
          <c:errBars>
            <c:errDir val="y"/>
            <c:errBarType val="minus"/>
            <c:errValType val="cust"/>
            <c:noEndCap val="1"/>
            <c:minus>
              <c:numRef>
                <c:f>Describe!$GA$10</c:f>
                <c:numCache>
                  <c:formatCode>General</c:formatCode>
                  <c:ptCount val="1"/>
                  <c:pt idx="0">
                    <c:v>#N/A</c:v>
                  </c:pt>
                </c:numCache>
              </c:numRef>
            </c:minus>
            <c:spPr>
              <a:ln w="38100">
                <a:pattFill prst="pct50">
                  <a:fgClr>
                    <a:srgbClr val="3366FF"/>
                  </a:fgClr>
                  <a:bgClr>
                    <a:srgbClr val="FFFFFF"/>
                  </a:bgClr>
                </a:pattFill>
                <a:prstDash val="solid"/>
              </a:ln>
            </c:spPr>
          </c:errBars>
          <c:xVal>
            <c:numRef>
              <c:f>Describe!$FZ$11:$FZ$18</c:f>
              <c:numCache>
                <c:formatCode>General</c:formatCode>
                <c:ptCount val="8"/>
                <c:pt idx="0">
                  <c:v>#N/A</c:v>
                </c:pt>
                <c:pt idx="1">
                  <c:v>#N/A</c:v>
                </c:pt>
                <c:pt idx="2">
                  <c:v>#N/A</c:v>
                </c:pt>
                <c:pt idx="3">
                  <c:v>#N/A</c:v>
                </c:pt>
                <c:pt idx="4">
                  <c:v>#N/A</c:v>
                </c:pt>
                <c:pt idx="5">
                  <c:v>#N/A</c:v>
                </c:pt>
                <c:pt idx="6">
                  <c:v>#N/A</c:v>
                </c:pt>
                <c:pt idx="7">
                  <c:v>#N/A</c:v>
                </c:pt>
              </c:numCache>
            </c:numRef>
          </c:xVal>
          <c:yVal>
            <c:numRef>
              <c:f>Describe!$GA$11:$GA$18</c:f>
              <c:numCache>
                <c:formatCode>General</c:formatCode>
                <c:ptCount val="8"/>
                <c:pt idx="0">
                  <c:v>0</c:v>
                </c:pt>
                <c:pt idx="1">
                  <c:v>0</c:v>
                </c:pt>
                <c:pt idx="2">
                  <c:v>0</c:v>
                </c:pt>
                <c:pt idx="3">
                  <c:v>0</c:v>
                </c:pt>
                <c:pt idx="4">
                  <c:v>0</c:v>
                </c:pt>
                <c:pt idx="5">
                  <c:v>0</c:v>
                </c:pt>
                <c:pt idx="6">
                  <c:v>0</c:v>
                </c:pt>
                <c:pt idx="7">
                  <c:v>0</c:v>
                </c:pt>
              </c:numCache>
            </c:numRef>
          </c:yVal>
        </c:ser>
        <c:ser>
          <c:idx val="32"/>
          <c:order val="30"/>
          <c:spPr>
            <a:ln w="28575">
              <a:noFill/>
            </a:ln>
          </c:spPr>
          <c:marker>
            <c:symbol val="none"/>
          </c:marker>
          <c:errBars>
            <c:errDir val="y"/>
            <c:errBarType val="minus"/>
            <c:errValType val="cust"/>
            <c:noEndCap val="1"/>
            <c:minus>
              <c:numRef>
                <c:f>Describe!$GC$10</c:f>
                <c:numCache>
                  <c:formatCode>General</c:formatCode>
                  <c:ptCount val="1"/>
                  <c:pt idx="0">
                    <c:v>#N/A</c:v>
                  </c:pt>
                </c:numCache>
              </c:numRef>
            </c:minus>
            <c:spPr>
              <a:ln w="38100">
                <a:pattFill prst="pct50">
                  <a:fgClr>
                    <a:srgbClr val="3366FF"/>
                  </a:fgClr>
                  <a:bgClr>
                    <a:srgbClr val="FFFFFF"/>
                  </a:bgClr>
                </a:pattFill>
                <a:prstDash val="solid"/>
              </a:ln>
            </c:spPr>
          </c:errBars>
          <c:xVal>
            <c:numRef>
              <c:f>Describe!$GB$11:$GB$18</c:f>
              <c:numCache>
                <c:formatCode>General</c:formatCode>
                <c:ptCount val="8"/>
                <c:pt idx="0">
                  <c:v>#N/A</c:v>
                </c:pt>
                <c:pt idx="1">
                  <c:v>#N/A</c:v>
                </c:pt>
                <c:pt idx="2">
                  <c:v>#N/A</c:v>
                </c:pt>
                <c:pt idx="3">
                  <c:v>#N/A</c:v>
                </c:pt>
                <c:pt idx="4">
                  <c:v>#N/A</c:v>
                </c:pt>
                <c:pt idx="5">
                  <c:v>#N/A</c:v>
                </c:pt>
                <c:pt idx="6">
                  <c:v>#N/A</c:v>
                </c:pt>
                <c:pt idx="7">
                  <c:v>#N/A</c:v>
                </c:pt>
              </c:numCache>
            </c:numRef>
          </c:xVal>
          <c:yVal>
            <c:numRef>
              <c:f>Describe!$GC$11:$GC$18</c:f>
              <c:numCache>
                <c:formatCode>General</c:formatCode>
                <c:ptCount val="8"/>
                <c:pt idx="0">
                  <c:v>0</c:v>
                </c:pt>
                <c:pt idx="1">
                  <c:v>0</c:v>
                </c:pt>
                <c:pt idx="2">
                  <c:v>0</c:v>
                </c:pt>
                <c:pt idx="3">
                  <c:v>0</c:v>
                </c:pt>
                <c:pt idx="4">
                  <c:v>0</c:v>
                </c:pt>
                <c:pt idx="5">
                  <c:v>0</c:v>
                </c:pt>
                <c:pt idx="6">
                  <c:v>0</c:v>
                </c:pt>
                <c:pt idx="7">
                  <c:v>0</c:v>
                </c:pt>
              </c:numCache>
            </c:numRef>
          </c:yVal>
        </c:ser>
        <c:ser>
          <c:idx val="33"/>
          <c:order val="31"/>
          <c:spPr>
            <a:ln w="28575">
              <a:noFill/>
            </a:ln>
          </c:spPr>
          <c:marker>
            <c:symbol val="none"/>
          </c:marker>
          <c:errBars>
            <c:errDir val="y"/>
            <c:errBarType val="minus"/>
            <c:errValType val="cust"/>
            <c:noEndCap val="1"/>
            <c:minus>
              <c:numRef>
                <c:f>Describe!$GE$10</c:f>
                <c:numCache>
                  <c:formatCode>General</c:formatCode>
                  <c:ptCount val="1"/>
                  <c:pt idx="0">
                    <c:v>#N/A</c:v>
                  </c:pt>
                </c:numCache>
              </c:numRef>
            </c:minus>
            <c:spPr>
              <a:ln w="38100">
                <a:pattFill prst="pct50">
                  <a:fgClr>
                    <a:srgbClr val="3366FF"/>
                  </a:fgClr>
                  <a:bgClr>
                    <a:srgbClr val="FFFFFF"/>
                  </a:bgClr>
                </a:pattFill>
                <a:prstDash val="solid"/>
              </a:ln>
            </c:spPr>
          </c:errBars>
          <c:xVal>
            <c:numRef>
              <c:f>Describe!$GD$11:$GD$18</c:f>
              <c:numCache>
                <c:formatCode>General</c:formatCode>
                <c:ptCount val="8"/>
                <c:pt idx="0">
                  <c:v>#N/A</c:v>
                </c:pt>
                <c:pt idx="1">
                  <c:v>#N/A</c:v>
                </c:pt>
                <c:pt idx="2">
                  <c:v>#N/A</c:v>
                </c:pt>
                <c:pt idx="3">
                  <c:v>#N/A</c:v>
                </c:pt>
                <c:pt idx="4">
                  <c:v>#N/A</c:v>
                </c:pt>
                <c:pt idx="5">
                  <c:v>#N/A</c:v>
                </c:pt>
                <c:pt idx="6">
                  <c:v>#N/A</c:v>
                </c:pt>
                <c:pt idx="7">
                  <c:v>#N/A</c:v>
                </c:pt>
              </c:numCache>
            </c:numRef>
          </c:xVal>
          <c:yVal>
            <c:numRef>
              <c:f>Describe!$GE$11:$GE$18</c:f>
              <c:numCache>
                <c:formatCode>General</c:formatCode>
                <c:ptCount val="8"/>
                <c:pt idx="0">
                  <c:v>0</c:v>
                </c:pt>
                <c:pt idx="1">
                  <c:v>0</c:v>
                </c:pt>
                <c:pt idx="2">
                  <c:v>0</c:v>
                </c:pt>
                <c:pt idx="3">
                  <c:v>0</c:v>
                </c:pt>
                <c:pt idx="4">
                  <c:v>0</c:v>
                </c:pt>
                <c:pt idx="5">
                  <c:v>0</c:v>
                </c:pt>
                <c:pt idx="6">
                  <c:v>0</c:v>
                </c:pt>
                <c:pt idx="7">
                  <c:v>0</c:v>
                </c:pt>
              </c:numCache>
            </c:numRef>
          </c:yVal>
        </c:ser>
        <c:ser>
          <c:idx val="36"/>
          <c:order val="32"/>
          <c:spPr>
            <a:ln w="12700">
              <a:solidFill>
                <a:srgbClr val="008000"/>
              </a:solidFill>
              <a:prstDash val="solid"/>
            </a:ln>
          </c:spPr>
          <c:marker>
            <c:symbol val="star"/>
            <c:size val="8"/>
            <c:spPr>
              <a:noFill/>
              <a:ln>
                <a:solidFill>
                  <a:srgbClr val="008000"/>
                </a:solidFill>
                <a:prstDash val="solid"/>
              </a:ln>
            </c:spPr>
          </c:marker>
          <c:xVal>
            <c:numRef>
              <c:f>Describe!$V$26:$V$28</c:f>
              <c:numCache>
                <c:formatCode>General</c:formatCode>
                <c:ptCount val="3"/>
                <c:pt idx="0">
                  <c:v>#N/A</c:v>
                </c:pt>
                <c:pt idx="1">
                  <c:v>#N/A</c:v>
                </c:pt>
                <c:pt idx="2">
                  <c:v>#N/A</c:v>
                </c:pt>
              </c:numCache>
            </c:numRef>
          </c:xVal>
          <c:yVal>
            <c:numRef>
              <c:f>Describe!$W$26:$W$28</c:f>
              <c:numCache>
                <c:formatCode>General</c:formatCode>
                <c:ptCount val="3"/>
                <c:pt idx="0">
                  <c:v>7.6</c:v>
                </c:pt>
                <c:pt idx="1">
                  <c:v>7.6</c:v>
                </c:pt>
                <c:pt idx="2">
                  <c:v>7.6</c:v>
                </c:pt>
              </c:numCache>
            </c:numRef>
          </c:yVal>
        </c:ser>
        <c:ser>
          <c:idx val="37"/>
          <c:order val="33"/>
          <c:spPr>
            <a:ln w="28575">
              <a:noFill/>
            </a:ln>
          </c:spPr>
          <c:marker>
            <c:symbol val="none"/>
          </c:marker>
          <c:dLbls>
            <c:dLbl>
              <c:idx val="0"/>
              <c:layout/>
              <c:tx>
                <c:strRef>
                  <c:f>Describe!$AE$3</c:f>
                  <c:strCache>
                    <c:ptCount val="1"/>
                    <c:pt idx="0">
                      <c:v>#N/A</c:v>
                    </c:pt>
                  </c:strCache>
                </c:strRef>
              </c:tx>
              <c:dLblPos val="t"/>
            </c:dLbl>
            <c:dLbl>
              <c:idx val="1"/>
              <c:layout/>
              <c:tx>
                <c:strRef>
                  <c:f>Describe!$AE$4</c:f>
                  <c:strCache>
                    <c:ptCount val="1"/>
                    <c:pt idx="0">
                      <c:v>#N/A</c:v>
                    </c:pt>
                  </c:strCache>
                </c:strRef>
              </c:tx>
              <c:dLblPos val="t"/>
            </c:dLbl>
            <c:dLbl>
              <c:idx val="2"/>
              <c:layout/>
              <c:tx>
                <c:strRef>
                  <c:f>Describe!$AE$5</c:f>
                  <c:strCache>
                    <c:ptCount val="1"/>
                    <c:pt idx="0">
                      <c:v>#N/A</c:v>
                    </c:pt>
                  </c:strCache>
                </c:strRef>
              </c:tx>
              <c:dLblPos val="t"/>
            </c:dLbl>
            <c:dLbl>
              <c:idx val="3"/>
              <c:layout/>
              <c:tx>
                <c:strRef>
                  <c:f>Describe!$AE$6</c:f>
                  <c:strCache>
                    <c:ptCount val="1"/>
                    <c:pt idx="0">
                      <c:v>#N/A</c:v>
                    </c:pt>
                  </c:strCache>
                </c:strRef>
              </c:tx>
              <c:dLblPos val="t"/>
            </c:dLbl>
            <c:dLbl>
              <c:idx val="4"/>
              <c:layout/>
              <c:tx>
                <c:strRef>
                  <c:f>Describe!$AE$7</c:f>
                  <c:strCache>
                    <c:ptCount val="1"/>
                    <c:pt idx="0">
                      <c:v>#N/A</c:v>
                    </c:pt>
                  </c:strCache>
                </c:strRef>
              </c:tx>
              <c:dLblPos val="t"/>
            </c:dLbl>
            <c:dLbl>
              <c:idx val="5"/>
              <c:layout/>
              <c:tx>
                <c:strRef>
                  <c:f>Describe!$AE$8</c:f>
                  <c:strCache>
                    <c:ptCount val="1"/>
                    <c:pt idx="0">
                      <c:v>#N/A</c:v>
                    </c:pt>
                  </c:strCache>
                </c:strRef>
              </c:tx>
              <c:dLblPos val="t"/>
            </c:dLbl>
            <c:dLbl>
              <c:idx val="6"/>
              <c:layout/>
              <c:tx>
                <c:strRef>
                  <c:f>Describe!$AE$9</c:f>
                  <c:strCache>
                    <c:ptCount val="1"/>
                    <c:pt idx="0">
                      <c:v>#N/A</c:v>
                    </c:pt>
                  </c:strCache>
                </c:strRef>
              </c:tx>
              <c:dLblPos val="t"/>
            </c:dLbl>
            <c:dLbl>
              <c:idx val="7"/>
              <c:layout/>
              <c:tx>
                <c:strRef>
                  <c:f>Describe!$AE$10</c:f>
                  <c:strCache>
                    <c:ptCount val="1"/>
                    <c:pt idx="0">
                      <c:v>#N/A</c:v>
                    </c:pt>
                  </c:strCache>
                </c:strRef>
              </c:tx>
              <c:dLblPos val="t"/>
            </c:dLbl>
            <c:dLbl>
              <c:idx val="8"/>
              <c:layout/>
              <c:tx>
                <c:strRef>
                  <c:f>Describe!$AE$11</c:f>
                  <c:strCache>
                    <c:ptCount val="1"/>
                    <c:pt idx="0">
                      <c:v>#N/A</c:v>
                    </c:pt>
                  </c:strCache>
                </c:strRef>
              </c:tx>
              <c:dLblPos val="t"/>
            </c:dLbl>
            <c:dLbl>
              <c:idx val="9"/>
              <c:layout/>
              <c:tx>
                <c:strRef>
                  <c:f>Describe!$AE$12</c:f>
                  <c:strCache>
                    <c:ptCount val="1"/>
                    <c:pt idx="0">
                      <c:v>#N/A</c:v>
                    </c:pt>
                  </c:strCache>
                </c:strRef>
              </c:tx>
              <c:dLblPos val="t"/>
            </c:dLbl>
            <c:dLbl>
              <c:idx val="10"/>
              <c:layout/>
              <c:tx>
                <c:strRef>
                  <c:f>Describe!$AE$13</c:f>
                  <c:strCache>
                    <c:ptCount val="1"/>
                    <c:pt idx="0">
                      <c:v>#N/A</c:v>
                    </c:pt>
                  </c:strCache>
                </c:strRef>
              </c:tx>
              <c:dLblPos val="t"/>
            </c:dLbl>
            <c:dLbl>
              <c:idx val="11"/>
              <c:layout/>
              <c:tx>
                <c:strRef>
                  <c:f>Describe!$AE$14</c:f>
                  <c:strCache>
                    <c:ptCount val="1"/>
                    <c:pt idx="0">
                      <c:v>#N/A</c:v>
                    </c:pt>
                  </c:strCache>
                </c:strRef>
              </c:tx>
              <c:dLblPos val="t"/>
            </c:dLbl>
            <c:dLbl>
              <c:idx val="12"/>
              <c:layout/>
              <c:tx>
                <c:strRef>
                  <c:f>Describe!$AE$15</c:f>
                  <c:strCache>
                    <c:ptCount val="1"/>
                    <c:pt idx="0">
                      <c:v>#N/A</c:v>
                    </c:pt>
                  </c:strCache>
                </c:strRef>
              </c:tx>
              <c:dLblPos val="t"/>
            </c:dLbl>
            <c:dLbl>
              <c:idx val="13"/>
              <c:layout/>
              <c:tx>
                <c:strRef>
                  <c:f>Describe!$AE$16</c:f>
                  <c:strCache>
                    <c:ptCount val="1"/>
                    <c:pt idx="0">
                      <c:v>#N/A</c:v>
                    </c:pt>
                  </c:strCache>
                </c:strRef>
              </c:tx>
              <c:dLblPos val="t"/>
            </c:dLbl>
            <c:dLbl>
              <c:idx val="14"/>
              <c:layout/>
              <c:tx>
                <c:strRef>
                  <c:f>Describe!$AE$17</c:f>
                  <c:strCache>
                    <c:ptCount val="1"/>
                    <c:pt idx="0">
                      <c:v>#N/A</c:v>
                    </c:pt>
                  </c:strCache>
                </c:strRef>
              </c:tx>
              <c:dLblPos val="t"/>
            </c:dLbl>
            <c:dLbl>
              <c:idx val="15"/>
              <c:layout/>
              <c:tx>
                <c:strRef>
                  <c:f>Describe!$AE$18</c:f>
                  <c:strCache>
                    <c:ptCount val="1"/>
                    <c:pt idx="0">
                      <c:v>#N/A</c:v>
                    </c:pt>
                  </c:strCache>
                </c:strRef>
              </c:tx>
              <c:dLblPos val="t"/>
            </c:dLbl>
            <c:dLbl>
              <c:idx val="16"/>
              <c:layout/>
              <c:tx>
                <c:strRef>
                  <c:f>Describe!$AE$19</c:f>
                  <c:strCache>
                    <c:ptCount val="1"/>
                    <c:pt idx="0">
                      <c:v>#N/A</c:v>
                    </c:pt>
                  </c:strCache>
                </c:strRef>
              </c:tx>
              <c:dLblPos val="t"/>
            </c:dLbl>
            <c:dLbl>
              <c:idx val="17"/>
              <c:layout/>
              <c:tx>
                <c:strRef>
                  <c:f>Describe!$AE$20</c:f>
                  <c:strCache>
                    <c:ptCount val="1"/>
                    <c:pt idx="0">
                      <c:v>#N/A</c:v>
                    </c:pt>
                  </c:strCache>
                </c:strRef>
              </c:tx>
              <c:dLblPos val="t"/>
            </c:dLbl>
            <c:dLbl>
              <c:idx val="18"/>
              <c:layout/>
              <c:tx>
                <c:strRef>
                  <c:f>Describe!$AE$21</c:f>
                  <c:strCache>
                    <c:ptCount val="1"/>
                    <c:pt idx="0">
                      <c:v>#N/A</c:v>
                    </c:pt>
                  </c:strCache>
                </c:strRef>
              </c:tx>
              <c:dLblPos val="t"/>
            </c:dLbl>
            <c:dLbl>
              <c:idx val="19"/>
              <c:layout/>
              <c:tx>
                <c:strRef>
                  <c:f>Describe!$AE$22</c:f>
                  <c:strCache>
                    <c:ptCount val="1"/>
                    <c:pt idx="0">
                      <c:v>#N/A</c:v>
                    </c:pt>
                  </c:strCache>
                </c:strRef>
              </c:tx>
              <c:dLblPos val="t"/>
            </c:dLbl>
            <c:dLbl>
              <c:idx val="20"/>
              <c:layout/>
              <c:tx>
                <c:strRef>
                  <c:f>Describe!$AE$23</c:f>
                  <c:strCache>
                    <c:ptCount val="1"/>
                    <c:pt idx="0">
                      <c:v>#N/A</c:v>
                    </c:pt>
                  </c:strCache>
                </c:strRef>
              </c:tx>
              <c:dLblPos val="t"/>
            </c:dLbl>
            <c:spPr>
              <a:noFill/>
              <a:ln w="25400">
                <a:noFill/>
              </a:ln>
            </c:spPr>
            <c:txPr>
              <a:bodyPr/>
              <a:lstStyle/>
              <a:p>
                <a:pPr>
                  <a:defRPr sz="800" b="0" i="0" u="none" strike="noStrike" baseline="0">
                    <a:solidFill>
                      <a:srgbClr val="969696"/>
                    </a:solidFill>
                    <a:latin typeface="Arial"/>
                    <a:ea typeface="Arial"/>
                    <a:cs typeface="Arial"/>
                  </a:defRPr>
                </a:pPr>
                <a:endParaRPr lang="en-US"/>
              </a:p>
            </c:txPr>
            <c:dLblPos val="t"/>
            <c:showVal val="1"/>
          </c:dLbls>
          <c:errBars>
            <c:errDir val="y"/>
            <c:errBarType val="minus"/>
            <c:errValType val="cust"/>
            <c:noEndCap val="1"/>
            <c:minus>
              <c:numRef>
                <c:f>Describe!$Y$19</c:f>
                <c:numCache>
                  <c:formatCode>General</c:formatCode>
                  <c:ptCount val="1"/>
                  <c:pt idx="0">
                    <c:v>8</c:v>
                  </c:pt>
                </c:numCache>
              </c:numRef>
            </c:minus>
            <c:spPr>
              <a:ln w="12700">
                <a:solidFill>
                  <a:srgbClr val="969696"/>
                </a:solidFill>
                <a:prstDash val="solid"/>
              </a:ln>
            </c:spPr>
          </c:errBars>
          <c:xVal>
            <c:numRef>
              <c:f>Describe!$AB$3:$AB$23</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Describe!$AC$3:$AC$23</c:f>
              <c:numCache>
                <c:formatCode>General</c:formatCode>
                <c:ptCount val="21"/>
                <c:pt idx="0">
                  <c:v>7.8</c:v>
                </c:pt>
                <c:pt idx="1">
                  <c:v>7.8</c:v>
                </c:pt>
                <c:pt idx="2">
                  <c:v>7.8</c:v>
                </c:pt>
                <c:pt idx="3">
                  <c:v>7.8</c:v>
                </c:pt>
                <c:pt idx="4">
                  <c:v>7.8</c:v>
                </c:pt>
                <c:pt idx="5">
                  <c:v>7.8</c:v>
                </c:pt>
                <c:pt idx="6">
                  <c:v>7.8</c:v>
                </c:pt>
                <c:pt idx="7">
                  <c:v>7.8</c:v>
                </c:pt>
                <c:pt idx="8">
                  <c:v>7.8</c:v>
                </c:pt>
                <c:pt idx="9">
                  <c:v>7.8</c:v>
                </c:pt>
                <c:pt idx="10">
                  <c:v>7.8</c:v>
                </c:pt>
                <c:pt idx="11">
                  <c:v>7.8</c:v>
                </c:pt>
                <c:pt idx="12">
                  <c:v>7.8</c:v>
                </c:pt>
                <c:pt idx="13">
                  <c:v>7.8</c:v>
                </c:pt>
                <c:pt idx="14">
                  <c:v>7.8</c:v>
                </c:pt>
                <c:pt idx="15">
                  <c:v>7.8</c:v>
                </c:pt>
                <c:pt idx="16">
                  <c:v>7.8</c:v>
                </c:pt>
                <c:pt idx="17">
                  <c:v>7.8</c:v>
                </c:pt>
                <c:pt idx="18">
                  <c:v>7.8</c:v>
                </c:pt>
                <c:pt idx="19">
                  <c:v>7.8</c:v>
                </c:pt>
                <c:pt idx="20">
                  <c:v>7.8</c:v>
                </c:pt>
              </c:numCache>
            </c:numRef>
          </c:yVal>
        </c:ser>
        <c:ser>
          <c:idx val="35"/>
          <c:order val="34"/>
          <c:spPr>
            <a:ln w="28575">
              <a:noFill/>
            </a:ln>
          </c:spPr>
          <c:marker>
            <c:symbol val="none"/>
          </c:marker>
          <c:errBars>
            <c:errDir val="y"/>
            <c:errBarType val="minus"/>
            <c:errValType val="cust"/>
            <c:noEndCap val="1"/>
            <c:minus>
              <c:numRef>
                <c:f>Describe!$DX$10</c:f>
                <c:numCache>
                  <c:formatCode>General</c:formatCode>
                  <c:ptCount val="1"/>
                  <c:pt idx="0">
                    <c:v>0.89807999999999999</c:v>
                  </c:pt>
                </c:numCache>
              </c:numRef>
            </c:minus>
            <c:spPr>
              <a:ln w="38100">
                <a:pattFill prst="pct75">
                  <a:fgClr>
                    <a:srgbClr val="FF0000"/>
                  </a:fgClr>
                  <a:bgClr>
                    <a:srgbClr val="FFFFFF"/>
                  </a:bgClr>
                </a:pattFill>
                <a:prstDash val="solid"/>
              </a:ln>
            </c:spPr>
          </c:errBars>
          <c:xVal>
            <c:numRef>
              <c:f>Describe!$DX$202:$DX$391</c:f>
              <c:numCache>
                <c:formatCode>General</c:formatCode>
                <c:ptCount val="19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numCache>
            </c:numRef>
          </c:xVal>
          <c:yVal>
            <c:numRef>
              <c:f>Describe!$DY$202:$DY$391</c:f>
              <c:numCache>
                <c:formatCode>General</c:formatCode>
                <c:ptCount val="190"/>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pt idx="15">
                  <c:v>0.93702399999999997</c:v>
                </c:pt>
                <c:pt idx="16">
                  <c:v>0.93702399999999997</c:v>
                </c:pt>
                <c:pt idx="17">
                  <c:v>0.93702399999999997</c:v>
                </c:pt>
                <c:pt idx="18">
                  <c:v>0.93702399999999997</c:v>
                </c:pt>
                <c:pt idx="19">
                  <c:v>0.93702399999999997</c:v>
                </c:pt>
                <c:pt idx="20">
                  <c:v>0.93702399999999997</c:v>
                </c:pt>
                <c:pt idx="21">
                  <c:v>0.93702399999999997</c:v>
                </c:pt>
                <c:pt idx="22">
                  <c:v>0.93702399999999997</c:v>
                </c:pt>
                <c:pt idx="23">
                  <c:v>0.93702399999999997</c:v>
                </c:pt>
                <c:pt idx="24">
                  <c:v>0.93702399999999997</c:v>
                </c:pt>
                <c:pt idx="25">
                  <c:v>0.93702399999999997</c:v>
                </c:pt>
                <c:pt idx="26">
                  <c:v>0.93702399999999997</c:v>
                </c:pt>
                <c:pt idx="27">
                  <c:v>0.93702399999999997</c:v>
                </c:pt>
                <c:pt idx="28">
                  <c:v>0.93702399999999997</c:v>
                </c:pt>
                <c:pt idx="29">
                  <c:v>0.93702399999999997</c:v>
                </c:pt>
                <c:pt idx="30">
                  <c:v>0.93702399999999997</c:v>
                </c:pt>
                <c:pt idx="31">
                  <c:v>0.93702399999999997</c:v>
                </c:pt>
                <c:pt idx="32">
                  <c:v>0.93702399999999997</c:v>
                </c:pt>
                <c:pt idx="33">
                  <c:v>0.93702399999999997</c:v>
                </c:pt>
                <c:pt idx="34">
                  <c:v>0.93702399999999997</c:v>
                </c:pt>
                <c:pt idx="35">
                  <c:v>0.93702399999999997</c:v>
                </c:pt>
                <c:pt idx="36">
                  <c:v>0.93702399999999997</c:v>
                </c:pt>
                <c:pt idx="37">
                  <c:v>0.93702399999999997</c:v>
                </c:pt>
                <c:pt idx="38">
                  <c:v>0.93702399999999997</c:v>
                </c:pt>
                <c:pt idx="39">
                  <c:v>0.93702399999999997</c:v>
                </c:pt>
                <c:pt idx="40">
                  <c:v>0.93702399999999997</c:v>
                </c:pt>
                <c:pt idx="41">
                  <c:v>0.93702399999999997</c:v>
                </c:pt>
                <c:pt idx="42">
                  <c:v>0.93702399999999997</c:v>
                </c:pt>
                <c:pt idx="43">
                  <c:v>0.93702399999999997</c:v>
                </c:pt>
                <c:pt idx="44">
                  <c:v>0.93702399999999997</c:v>
                </c:pt>
                <c:pt idx="45">
                  <c:v>0.93702399999999997</c:v>
                </c:pt>
                <c:pt idx="46">
                  <c:v>0.93702399999999997</c:v>
                </c:pt>
                <c:pt idx="47">
                  <c:v>0.93702399999999997</c:v>
                </c:pt>
                <c:pt idx="48">
                  <c:v>0.93702399999999997</c:v>
                </c:pt>
                <c:pt idx="49">
                  <c:v>0.93702399999999997</c:v>
                </c:pt>
                <c:pt idx="50">
                  <c:v>0.93702399999999997</c:v>
                </c:pt>
                <c:pt idx="51">
                  <c:v>0.93702399999999997</c:v>
                </c:pt>
                <c:pt idx="52">
                  <c:v>0.93702399999999997</c:v>
                </c:pt>
                <c:pt idx="53">
                  <c:v>0.93702399999999997</c:v>
                </c:pt>
                <c:pt idx="54">
                  <c:v>0.93702399999999997</c:v>
                </c:pt>
                <c:pt idx="55">
                  <c:v>0.93702399999999997</c:v>
                </c:pt>
                <c:pt idx="56">
                  <c:v>0.93702399999999997</c:v>
                </c:pt>
                <c:pt idx="57">
                  <c:v>0.93702399999999997</c:v>
                </c:pt>
                <c:pt idx="58">
                  <c:v>0.93702399999999997</c:v>
                </c:pt>
                <c:pt idx="59">
                  <c:v>0.93702399999999997</c:v>
                </c:pt>
                <c:pt idx="60">
                  <c:v>0.93702399999999997</c:v>
                </c:pt>
                <c:pt idx="61">
                  <c:v>0.93702399999999997</c:v>
                </c:pt>
                <c:pt idx="62">
                  <c:v>0.93702399999999997</c:v>
                </c:pt>
                <c:pt idx="63">
                  <c:v>0.93702399999999997</c:v>
                </c:pt>
                <c:pt idx="64">
                  <c:v>0.93702399999999997</c:v>
                </c:pt>
                <c:pt idx="65">
                  <c:v>0.93702399999999997</c:v>
                </c:pt>
                <c:pt idx="66">
                  <c:v>0.93702399999999997</c:v>
                </c:pt>
                <c:pt idx="67">
                  <c:v>0.93702399999999997</c:v>
                </c:pt>
                <c:pt idx="68">
                  <c:v>0.93702399999999997</c:v>
                </c:pt>
                <c:pt idx="69">
                  <c:v>0.93702399999999997</c:v>
                </c:pt>
                <c:pt idx="70">
                  <c:v>0.93702399999999997</c:v>
                </c:pt>
                <c:pt idx="71">
                  <c:v>0.93702399999999997</c:v>
                </c:pt>
                <c:pt idx="72">
                  <c:v>0.93702399999999997</c:v>
                </c:pt>
                <c:pt idx="73">
                  <c:v>0.93702399999999997</c:v>
                </c:pt>
                <c:pt idx="74">
                  <c:v>0.93702399999999997</c:v>
                </c:pt>
                <c:pt idx="75">
                  <c:v>0.93702399999999997</c:v>
                </c:pt>
                <c:pt idx="76">
                  <c:v>0.93702399999999997</c:v>
                </c:pt>
                <c:pt idx="77">
                  <c:v>0.93702399999999997</c:v>
                </c:pt>
                <c:pt idx="78">
                  <c:v>0.93702399999999997</c:v>
                </c:pt>
                <c:pt idx="79">
                  <c:v>0.93702399999999997</c:v>
                </c:pt>
                <c:pt idx="80">
                  <c:v>0.93702399999999997</c:v>
                </c:pt>
                <c:pt idx="81">
                  <c:v>0.93702399999999997</c:v>
                </c:pt>
                <c:pt idx="82">
                  <c:v>0.93702399999999997</c:v>
                </c:pt>
                <c:pt idx="83">
                  <c:v>0.93702399999999997</c:v>
                </c:pt>
                <c:pt idx="84">
                  <c:v>0.93702399999999997</c:v>
                </c:pt>
                <c:pt idx="85">
                  <c:v>0.93702399999999997</c:v>
                </c:pt>
                <c:pt idx="86">
                  <c:v>0.93702399999999997</c:v>
                </c:pt>
                <c:pt idx="87">
                  <c:v>0.93702399999999997</c:v>
                </c:pt>
                <c:pt idx="88">
                  <c:v>0.93702399999999997</c:v>
                </c:pt>
                <c:pt idx="89">
                  <c:v>0.93702399999999997</c:v>
                </c:pt>
                <c:pt idx="90">
                  <c:v>0.93702399999999997</c:v>
                </c:pt>
                <c:pt idx="91">
                  <c:v>0.93702399999999997</c:v>
                </c:pt>
                <c:pt idx="92">
                  <c:v>0.93702399999999997</c:v>
                </c:pt>
                <c:pt idx="93">
                  <c:v>0.93702399999999997</c:v>
                </c:pt>
                <c:pt idx="94">
                  <c:v>0.93702399999999997</c:v>
                </c:pt>
                <c:pt idx="95">
                  <c:v>0.93702399999999997</c:v>
                </c:pt>
                <c:pt idx="96">
                  <c:v>0.93702399999999997</c:v>
                </c:pt>
                <c:pt idx="97">
                  <c:v>0.93702399999999997</c:v>
                </c:pt>
                <c:pt idx="98">
                  <c:v>0.93702399999999997</c:v>
                </c:pt>
                <c:pt idx="99">
                  <c:v>0.93702399999999997</c:v>
                </c:pt>
                <c:pt idx="100">
                  <c:v>0.93702399999999997</c:v>
                </c:pt>
                <c:pt idx="101">
                  <c:v>0.93702399999999997</c:v>
                </c:pt>
                <c:pt idx="102">
                  <c:v>0.93702399999999997</c:v>
                </c:pt>
                <c:pt idx="103">
                  <c:v>0.93702399999999997</c:v>
                </c:pt>
                <c:pt idx="104">
                  <c:v>0.93702399999999997</c:v>
                </c:pt>
                <c:pt idx="105">
                  <c:v>0.93702399999999997</c:v>
                </c:pt>
                <c:pt idx="106">
                  <c:v>0.93702399999999997</c:v>
                </c:pt>
                <c:pt idx="107">
                  <c:v>0.93702399999999997</c:v>
                </c:pt>
                <c:pt idx="108">
                  <c:v>0.93702399999999997</c:v>
                </c:pt>
                <c:pt idx="109">
                  <c:v>0.93702399999999997</c:v>
                </c:pt>
                <c:pt idx="110">
                  <c:v>0.93702399999999997</c:v>
                </c:pt>
                <c:pt idx="111">
                  <c:v>0.93702399999999997</c:v>
                </c:pt>
                <c:pt idx="112">
                  <c:v>0.93702399999999997</c:v>
                </c:pt>
                <c:pt idx="113">
                  <c:v>0.93702399999999997</c:v>
                </c:pt>
                <c:pt idx="114">
                  <c:v>0.93702399999999997</c:v>
                </c:pt>
                <c:pt idx="115">
                  <c:v>0.93702399999999997</c:v>
                </c:pt>
                <c:pt idx="116">
                  <c:v>0.93702399999999997</c:v>
                </c:pt>
                <c:pt idx="117">
                  <c:v>0.93702399999999997</c:v>
                </c:pt>
                <c:pt idx="118">
                  <c:v>0.93702399999999997</c:v>
                </c:pt>
                <c:pt idx="119">
                  <c:v>0.93702399999999997</c:v>
                </c:pt>
                <c:pt idx="120">
                  <c:v>0.93702399999999997</c:v>
                </c:pt>
                <c:pt idx="121">
                  <c:v>0.93702399999999997</c:v>
                </c:pt>
                <c:pt idx="122">
                  <c:v>0.93702399999999997</c:v>
                </c:pt>
                <c:pt idx="123">
                  <c:v>0.93702399999999997</c:v>
                </c:pt>
                <c:pt idx="124">
                  <c:v>0.93702399999999997</c:v>
                </c:pt>
                <c:pt idx="125">
                  <c:v>0.93702399999999997</c:v>
                </c:pt>
                <c:pt idx="126">
                  <c:v>0.93702399999999997</c:v>
                </c:pt>
                <c:pt idx="127">
                  <c:v>0.93702399999999997</c:v>
                </c:pt>
                <c:pt idx="128">
                  <c:v>0.93702399999999997</c:v>
                </c:pt>
                <c:pt idx="129">
                  <c:v>0.93702399999999997</c:v>
                </c:pt>
                <c:pt idx="130">
                  <c:v>0.93702399999999997</c:v>
                </c:pt>
                <c:pt idx="131">
                  <c:v>0.93702399999999997</c:v>
                </c:pt>
                <c:pt idx="132">
                  <c:v>0.93702399999999997</c:v>
                </c:pt>
                <c:pt idx="133">
                  <c:v>0.93702399999999997</c:v>
                </c:pt>
                <c:pt idx="134">
                  <c:v>0.93702399999999997</c:v>
                </c:pt>
                <c:pt idx="135">
                  <c:v>0.93702399999999997</c:v>
                </c:pt>
                <c:pt idx="136">
                  <c:v>0.93702399999999997</c:v>
                </c:pt>
                <c:pt idx="137">
                  <c:v>0.93702399999999997</c:v>
                </c:pt>
                <c:pt idx="138">
                  <c:v>0.93702399999999997</c:v>
                </c:pt>
                <c:pt idx="139">
                  <c:v>0.93702399999999997</c:v>
                </c:pt>
                <c:pt idx="140">
                  <c:v>0.93702399999999997</c:v>
                </c:pt>
                <c:pt idx="141">
                  <c:v>0.93702399999999997</c:v>
                </c:pt>
                <c:pt idx="142">
                  <c:v>0.93702399999999997</c:v>
                </c:pt>
                <c:pt idx="143">
                  <c:v>0.93702399999999997</c:v>
                </c:pt>
                <c:pt idx="144">
                  <c:v>0.93702399999999997</c:v>
                </c:pt>
                <c:pt idx="145">
                  <c:v>0.93702399999999997</c:v>
                </c:pt>
                <c:pt idx="146">
                  <c:v>0.93702399999999997</c:v>
                </c:pt>
                <c:pt idx="147">
                  <c:v>0.93702399999999997</c:v>
                </c:pt>
                <c:pt idx="148">
                  <c:v>0.93702399999999997</c:v>
                </c:pt>
                <c:pt idx="149">
                  <c:v>0.93702399999999997</c:v>
                </c:pt>
                <c:pt idx="150">
                  <c:v>0.93702399999999997</c:v>
                </c:pt>
                <c:pt idx="151">
                  <c:v>0.93702399999999997</c:v>
                </c:pt>
                <c:pt idx="152">
                  <c:v>0.93702399999999997</c:v>
                </c:pt>
                <c:pt idx="153">
                  <c:v>0.93702399999999997</c:v>
                </c:pt>
                <c:pt idx="154">
                  <c:v>0.93702399999999997</c:v>
                </c:pt>
                <c:pt idx="155">
                  <c:v>0.93702399999999997</c:v>
                </c:pt>
                <c:pt idx="156">
                  <c:v>0.93702399999999997</c:v>
                </c:pt>
                <c:pt idx="157">
                  <c:v>0.93702399999999997</c:v>
                </c:pt>
                <c:pt idx="158">
                  <c:v>0.93702399999999997</c:v>
                </c:pt>
                <c:pt idx="159">
                  <c:v>0.93702399999999997</c:v>
                </c:pt>
                <c:pt idx="160">
                  <c:v>0.93702399999999997</c:v>
                </c:pt>
                <c:pt idx="161">
                  <c:v>0.93702399999999997</c:v>
                </c:pt>
                <c:pt idx="162">
                  <c:v>0.93702399999999997</c:v>
                </c:pt>
                <c:pt idx="163">
                  <c:v>0.93702399999999997</c:v>
                </c:pt>
                <c:pt idx="164">
                  <c:v>0.93702399999999997</c:v>
                </c:pt>
                <c:pt idx="165">
                  <c:v>0.93702399999999997</c:v>
                </c:pt>
                <c:pt idx="166">
                  <c:v>0.93702399999999997</c:v>
                </c:pt>
                <c:pt idx="167">
                  <c:v>0.93702399999999997</c:v>
                </c:pt>
                <c:pt idx="168">
                  <c:v>0.93702399999999997</c:v>
                </c:pt>
                <c:pt idx="169">
                  <c:v>0.93702399999999997</c:v>
                </c:pt>
                <c:pt idx="170">
                  <c:v>0.93702399999999997</c:v>
                </c:pt>
                <c:pt idx="171">
                  <c:v>0.93702399999999997</c:v>
                </c:pt>
                <c:pt idx="172">
                  <c:v>0.93702399999999997</c:v>
                </c:pt>
                <c:pt idx="173">
                  <c:v>0.93702399999999997</c:v>
                </c:pt>
                <c:pt idx="174">
                  <c:v>0.93702399999999997</c:v>
                </c:pt>
                <c:pt idx="175">
                  <c:v>0.93702399999999997</c:v>
                </c:pt>
                <c:pt idx="176">
                  <c:v>0.93702399999999997</c:v>
                </c:pt>
                <c:pt idx="177">
                  <c:v>0.93702399999999997</c:v>
                </c:pt>
                <c:pt idx="178">
                  <c:v>0.93702399999999997</c:v>
                </c:pt>
                <c:pt idx="179">
                  <c:v>0.93702399999999997</c:v>
                </c:pt>
                <c:pt idx="180">
                  <c:v>0.93702399999999997</c:v>
                </c:pt>
                <c:pt idx="181">
                  <c:v>0.93702399999999997</c:v>
                </c:pt>
                <c:pt idx="182">
                  <c:v>0.93702399999999997</c:v>
                </c:pt>
                <c:pt idx="183">
                  <c:v>0.93702399999999997</c:v>
                </c:pt>
                <c:pt idx="184">
                  <c:v>0.93702399999999997</c:v>
                </c:pt>
                <c:pt idx="185">
                  <c:v>0.93702399999999997</c:v>
                </c:pt>
                <c:pt idx="186">
                  <c:v>0.93702399999999997</c:v>
                </c:pt>
                <c:pt idx="187">
                  <c:v>0.93702399999999997</c:v>
                </c:pt>
                <c:pt idx="188">
                  <c:v>0.93702399999999997</c:v>
                </c:pt>
                <c:pt idx="189">
                  <c:v>0.93702399999999997</c:v>
                </c:pt>
              </c:numCache>
            </c:numRef>
          </c:yVal>
        </c:ser>
        <c:ser>
          <c:idx val="38"/>
          <c:order val="35"/>
          <c:spPr>
            <a:ln w="28575">
              <a:noFill/>
            </a:ln>
          </c:spPr>
          <c:marker>
            <c:symbol val="none"/>
          </c:marker>
          <c:errBars>
            <c:errDir val="y"/>
            <c:errBarType val="minus"/>
            <c:errValType val="cust"/>
            <c:noEndCap val="1"/>
            <c:minus>
              <c:numRef>
                <c:f>Describe!$DZ$10</c:f>
                <c:numCache>
                  <c:formatCode>General</c:formatCode>
                  <c:ptCount val="1"/>
                  <c:pt idx="0">
                    <c:v>1.89808</c:v>
                  </c:pt>
                </c:numCache>
              </c:numRef>
            </c:minus>
            <c:spPr>
              <a:ln w="38100">
                <a:pattFill prst="pct75">
                  <a:fgClr>
                    <a:srgbClr val="FF0000"/>
                  </a:fgClr>
                  <a:bgClr>
                    <a:srgbClr val="FFFFFF"/>
                  </a:bgClr>
                </a:pattFill>
                <a:prstDash val="solid"/>
              </a:ln>
            </c:spPr>
          </c:errBars>
          <c:xVal>
            <c:numRef>
              <c:f>Describe!$DZ$107:$DZ$201</c:f>
              <c:numCache>
                <c:formatCode>General</c:formatCode>
                <c:ptCount val="9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numCache>
            </c:numRef>
          </c:xVal>
          <c:yVal>
            <c:numRef>
              <c:f>Describe!$EA$107:$EA$201</c:f>
              <c:numCache>
                <c:formatCode>General</c:formatCode>
                <c:ptCount val="95"/>
                <c:pt idx="0">
                  <c:v>1.9370240000000001</c:v>
                </c:pt>
                <c:pt idx="1">
                  <c:v>1.9370240000000001</c:v>
                </c:pt>
                <c:pt idx="2">
                  <c:v>1.9370240000000001</c:v>
                </c:pt>
                <c:pt idx="3">
                  <c:v>1.9370240000000001</c:v>
                </c:pt>
                <c:pt idx="4">
                  <c:v>1.9370240000000001</c:v>
                </c:pt>
                <c:pt idx="5">
                  <c:v>1.9370240000000001</c:v>
                </c:pt>
                <c:pt idx="6">
                  <c:v>1.9370240000000001</c:v>
                </c:pt>
                <c:pt idx="7">
                  <c:v>1.9370240000000001</c:v>
                </c:pt>
                <c:pt idx="8">
                  <c:v>1.9370240000000001</c:v>
                </c:pt>
                <c:pt idx="9">
                  <c:v>1.9370240000000001</c:v>
                </c:pt>
                <c:pt idx="10">
                  <c:v>1.9370240000000001</c:v>
                </c:pt>
                <c:pt idx="11">
                  <c:v>1.9370240000000001</c:v>
                </c:pt>
                <c:pt idx="12">
                  <c:v>1.9370240000000001</c:v>
                </c:pt>
                <c:pt idx="13">
                  <c:v>1.9370240000000001</c:v>
                </c:pt>
                <c:pt idx="14">
                  <c:v>1.9370240000000001</c:v>
                </c:pt>
                <c:pt idx="15">
                  <c:v>1.9370240000000001</c:v>
                </c:pt>
                <c:pt idx="16">
                  <c:v>1.9370240000000001</c:v>
                </c:pt>
                <c:pt idx="17">
                  <c:v>1.9370240000000001</c:v>
                </c:pt>
                <c:pt idx="18">
                  <c:v>1.9370240000000001</c:v>
                </c:pt>
                <c:pt idx="19">
                  <c:v>1.9370240000000001</c:v>
                </c:pt>
                <c:pt idx="20">
                  <c:v>1.9370240000000001</c:v>
                </c:pt>
                <c:pt idx="21">
                  <c:v>1.9370240000000001</c:v>
                </c:pt>
                <c:pt idx="22">
                  <c:v>1.9370240000000001</c:v>
                </c:pt>
                <c:pt idx="23">
                  <c:v>1.9370240000000001</c:v>
                </c:pt>
                <c:pt idx="24">
                  <c:v>1.9370240000000001</c:v>
                </c:pt>
                <c:pt idx="25">
                  <c:v>1.9370240000000001</c:v>
                </c:pt>
                <c:pt idx="26">
                  <c:v>1.9370240000000001</c:v>
                </c:pt>
                <c:pt idx="27">
                  <c:v>1.9370240000000001</c:v>
                </c:pt>
                <c:pt idx="28">
                  <c:v>1.9370240000000001</c:v>
                </c:pt>
                <c:pt idx="29">
                  <c:v>1.9370240000000001</c:v>
                </c:pt>
                <c:pt idx="30">
                  <c:v>1.9370240000000001</c:v>
                </c:pt>
                <c:pt idx="31">
                  <c:v>1.9370240000000001</c:v>
                </c:pt>
                <c:pt idx="32">
                  <c:v>1.9370240000000001</c:v>
                </c:pt>
                <c:pt idx="33">
                  <c:v>1.9370240000000001</c:v>
                </c:pt>
                <c:pt idx="34">
                  <c:v>1.9370240000000001</c:v>
                </c:pt>
                <c:pt idx="35">
                  <c:v>1.9370240000000001</c:v>
                </c:pt>
                <c:pt idx="36">
                  <c:v>1.9370240000000001</c:v>
                </c:pt>
                <c:pt idx="37">
                  <c:v>1.9370240000000001</c:v>
                </c:pt>
                <c:pt idx="38">
                  <c:v>1.9370240000000001</c:v>
                </c:pt>
                <c:pt idx="39">
                  <c:v>1.9370240000000001</c:v>
                </c:pt>
                <c:pt idx="40">
                  <c:v>1.9370240000000001</c:v>
                </c:pt>
                <c:pt idx="41">
                  <c:v>1.9370240000000001</c:v>
                </c:pt>
                <c:pt idx="42">
                  <c:v>1.9370240000000001</c:v>
                </c:pt>
                <c:pt idx="43">
                  <c:v>1.9370240000000001</c:v>
                </c:pt>
                <c:pt idx="44">
                  <c:v>1.9370240000000001</c:v>
                </c:pt>
                <c:pt idx="45">
                  <c:v>1.9370240000000001</c:v>
                </c:pt>
                <c:pt idx="46">
                  <c:v>1.9370240000000001</c:v>
                </c:pt>
                <c:pt idx="47">
                  <c:v>1.9370240000000001</c:v>
                </c:pt>
                <c:pt idx="48">
                  <c:v>1.9370240000000001</c:v>
                </c:pt>
                <c:pt idx="49">
                  <c:v>1.9370240000000001</c:v>
                </c:pt>
                <c:pt idx="50">
                  <c:v>1.9370240000000001</c:v>
                </c:pt>
                <c:pt idx="51">
                  <c:v>1.9370240000000001</c:v>
                </c:pt>
                <c:pt idx="52">
                  <c:v>1.9370240000000001</c:v>
                </c:pt>
                <c:pt idx="53">
                  <c:v>1.9370240000000001</c:v>
                </c:pt>
                <c:pt idx="54">
                  <c:v>1.9370240000000001</c:v>
                </c:pt>
                <c:pt idx="55">
                  <c:v>1.9370240000000001</c:v>
                </c:pt>
                <c:pt idx="56">
                  <c:v>1.9370240000000001</c:v>
                </c:pt>
                <c:pt idx="57">
                  <c:v>1.9370240000000001</c:v>
                </c:pt>
                <c:pt idx="58">
                  <c:v>1.9370240000000001</c:v>
                </c:pt>
                <c:pt idx="59">
                  <c:v>1.9370240000000001</c:v>
                </c:pt>
                <c:pt idx="60">
                  <c:v>1.9370240000000001</c:v>
                </c:pt>
                <c:pt idx="61">
                  <c:v>1.9370240000000001</c:v>
                </c:pt>
                <c:pt idx="62">
                  <c:v>1.9370240000000001</c:v>
                </c:pt>
                <c:pt idx="63">
                  <c:v>1.9370240000000001</c:v>
                </c:pt>
                <c:pt idx="64">
                  <c:v>1.9370240000000001</c:v>
                </c:pt>
                <c:pt idx="65">
                  <c:v>1.9370240000000001</c:v>
                </c:pt>
                <c:pt idx="66">
                  <c:v>1.9370240000000001</c:v>
                </c:pt>
                <c:pt idx="67">
                  <c:v>1.9370240000000001</c:v>
                </c:pt>
                <c:pt idx="68">
                  <c:v>1.9370240000000001</c:v>
                </c:pt>
                <c:pt idx="69">
                  <c:v>1.9370240000000001</c:v>
                </c:pt>
                <c:pt idx="70">
                  <c:v>1.9370240000000001</c:v>
                </c:pt>
                <c:pt idx="71">
                  <c:v>1.9370240000000001</c:v>
                </c:pt>
                <c:pt idx="72">
                  <c:v>1.9370240000000001</c:v>
                </c:pt>
                <c:pt idx="73">
                  <c:v>1.9370240000000001</c:v>
                </c:pt>
                <c:pt idx="74">
                  <c:v>1.9370240000000001</c:v>
                </c:pt>
                <c:pt idx="75">
                  <c:v>1.9370240000000001</c:v>
                </c:pt>
                <c:pt idx="76">
                  <c:v>1.9370240000000001</c:v>
                </c:pt>
                <c:pt idx="77">
                  <c:v>1.9370240000000001</c:v>
                </c:pt>
                <c:pt idx="78">
                  <c:v>1.9370240000000001</c:v>
                </c:pt>
                <c:pt idx="79">
                  <c:v>1.9370240000000001</c:v>
                </c:pt>
                <c:pt idx="80">
                  <c:v>1.9370240000000001</c:v>
                </c:pt>
                <c:pt idx="81">
                  <c:v>1.9370240000000001</c:v>
                </c:pt>
                <c:pt idx="82">
                  <c:v>1.9370240000000001</c:v>
                </c:pt>
                <c:pt idx="83">
                  <c:v>1.9370240000000001</c:v>
                </c:pt>
                <c:pt idx="84">
                  <c:v>1.9370240000000001</c:v>
                </c:pt>
                <c:pt idx="85">
                  <c:v>1.9370240000000001</c:v>
                </c:pt>
                <c:pt idx="86">
                  <c:v>1.9370240000000001</c:v>
                </c:pt>
                <c:pt idx="87">
                  <c:v>1.9370240000000001</c:v>
                </c:pt>
                <c:pt idx="88">
                  <c:v>1.9370240000000001</c:v>
                </c:pt>
                <c:pt idx="89">
                  <c:v>1.9370240000000001</c:v>
                </c:pt>
                <c:pt idx="90">
                  <c:v>1.9370240000000001</c:v>
                </c:pt>
                <c:pt idx="91">
                  <c:v>1.9370240000000001</c:v>
                </c:pt>
                <c:pt idx="92">
                  <c:v>1.9370240000000001</c:v>
                </c:pt>
                <c:pt idx="93">
                  <c:v>1.9370240000000001</c:v>
                </c:pt>
                <c:pt idx="94">
                  <c:v>1.9370240000000001</c:v>
                </c:pt>
              </c:numCache>
            </c:numRef>
          </c:yVal>
        </c:ser>
        <c:ser>
          <c:idx val="39"/>
          <c:order val="36"/>
          <c:spPr>
            <a:ln w="28575">
              <a:noFill/>
            </a:ln>
          </c:spPr>
          <c:marker>
            <c:symbol val="none"/>
          </c:marker>
          <c:errBars>
            <c:errDir val="y"/>
            <c:errBarType val="minus"/>
            <c:errValType val="cust"/>
            <c:noEndCap val="1"/>
            <c:minus>
              <c:numRef>
                <c:f>Describe!$EB$10</c:f>
                <c:numCache>
                  <c:formatCode>General</c:formatCode>
                  <c:ptCount val="1"/>
                  <c:pt idx="0">
                    <c:v>3.8980800000000002</c:v>
                  </c:pt>
                </c:numCache>
              </c:numRef>
            </c:minus>
            <c:spPr>
              <a:ln w="38100">
                <a:pattFill prst="pct75">
                  <a:fgClr>
                    <a:srgbClr val="FF0000"/>
                  </a:fgClr>
                  <a:bgClr>
                    <a:srgbClr val="FFFFFF"/>
                  </a:bgClr>
                </a:pattFill>
                <a:prstDash val="solid"/>
              </a:ln>
            </c:spPr>
          </c:errBars>
          <c:xVal>
            <c:numRef>
              <c:f>Describe!$EB$72:$EB$131</c:f>
              <c:numCache>
                <c:formatCode>General</c:formatCode>
                <c:ptCount val="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numCache>
            </c:numRef>
          </c:xVal>
          <c:yVal>
            <c:numRef>
              <c:f>Describe!$EC$72:$EC$131</c:f>
              <c:numCache>
                <c:formatCode>General</c:formatCode>
                <c:ptCount val="60"/>
                <c:pt idx="0">
                  <c:v>3.9370240000000001</c:v>
                </c:pt>
                <c:pt idx="1">
                  <c:v>3.9370240000000001</c:v>
                </c:pt>
                <c:pt idx="2">
                  <c:v>3.9370240000000001</c:v>
                </c:pt>
                <c:pt idx="3">
                  <c:v>3.9370240000000001</c:v>
                </c:pt>
                <c:pt idx="4">
                  <c:v>3.9370240000000001</c:v>
                </c:pt>
                <c:pt idx="5">
                  <c:v>3.9370240000000001</c:v>
                </c:pt>
                <c:pt idx="6">
                  <c:v>3.9370240000000001</c:v>
                </c:pt>
                <c:pt idx="7">
                  <c:v>3.9370240000000001</c:v>
                </c:pt>
                <c:pt idx="8">
                  <c:v>3.9370240000000001</c:v>
                </c:pt>
                <c:pt idx="9">
                  <c:v>3.9370240000000001</c:v>
                </c:pt>
                <c:pt idx="10">
                  <c:v>3.9370240000000001</c:v>
                </c:pt>
                <c:pt idx="11">
                  <c:v>3.9370240000000001</c:v>
                </c:pt>
                <c:pt idx="12">
                  <c:v>3.9370240000000001</c:v>
                </c:pt>
                <c:pt idx="13">
                  <c:v>3.9370240000000001</c:v>
                </c:pt>
                <c:pt idx="14">
                  <c:v>3.9370240000000001</c:v>
                </c:pt>
                <c:pt idx="15">
                  <c:v>3.9370240000000001</c:v>
                </c:pt>
                <c:pt idx="16">
                  <c:v>3.9370240000000001</c:v>
                </c:pt>
                <c:pt idx="17">
                  <c:v>3.9370240000000001</c:v>
                </c:pt>
                <c:pt idx="18">
                  <c:v>3.9370240000000001</c:v>
                </c:pt>
                <c:pt idx="19">
                  <c:v>3.9370240000000001</c:v>
                </c:pt>
                <c:pt idx="20">
                  <c:v>3.9370240000000001</c:v>
                </c:pt>
                <c:pt idx="21">
                  <c:v>3.9370240000000001</c:v>
                </c:pt>
                <c:pt idx="22">
                  <c:v>3.9370240000000001</c:v>
                </c:pt>
                <c:pt idx="23">
                  <c:v>3.9370240000000001</c:v>
                </c:pt>
                <c:pt idx="24">
                  <c:v>3.9370240000000001</c:v>
                </c:pt>
                <c:pt idx="25">
                  <c:v>3.9370240000000001</c:v>
                </c:pt>
                <c:pt idx="26">
                  <c:v>3.9370240000000001</c:v>
                </c:pt>
                <c:pt idx="27">
                  <c:v>3.9370240000000001</c:v>
                </c:pt>
                <c:pt idx="28">
                  <c:v>3.9370240000000001</c:v>
                </c:pt>
                <c:pt idx="29">
                  <c:v>3.9370240000000001</c:v>
                </c:pt>
                <c:pt idx="30">
                  <c:v>3.9370240000000001</c:v>
                </c:pt>
                <c:pt idx="31">
                  <c:v>3.9370240000000001</c:v>
                </c:pt>
                <c:pt idx="32">
                  <c:v>3.9370240000000001</c:v>
                </c:pt>
                <c:pt idx="33">
                  <c:v>3.9370240000000001</c:v>
                </c:pt>
                <c:pt idx="34">
                  <c:v>3.9370240000000001</c:v>
                </c:pt>
                <c:pt idx="35">
                  <c:v>3.9370240000000001</c:v>
                </c:pt>
                <c:pt idx="36">
                  <c:v>3.9370240000000001</c:v>
                </c:pt>
                <c:pt idx="37">
                  <c:v>3.9370240000000001</c:v>
                </c:pt>
                <c:pt idx="38">
                  <c:v>3.9370240000000001</c:v>
                </c:pt>
                <c:pt idx="39">
                  <c:v>3.9370240000000001</c:v>
                </c:pt>
                <c:pt idx="40">
                  <c:v>3.9370240000000001</c:v>
                </c:pt>
                <c:pt idx="41">
                  <c:v>3.9370240000000001</c:v>
                </c:pt>
                <c:pt idx="42">
                  <c:v>3.9370240000000001</c:v>
                </c:pt>
                <c:pt idx="43">
                  <c:v>3.9370240000000001</c:v>
                </c:pt>
                <c:pt idx="44">
                  <c:v>3.9370240000000001</c:v>
                </c:pt>
                <c:pt idx="45">
                  <c:v>3.9370240000000001</c:v>
                </c:pt>
                <c:pt idx="46">
                  <c:v>3.9370240000000001</c:v>
                </c:pt>
                <c:pt idx="47">
                  <c:v>3.9370240000000001</c:v>
                </c:pt>
                <c:pt idx="48">
                  <c:v>3.9370240000000001</c:v>
                </c:pt>
                <c:pt idx="49">
                  <c:v>3.9370240000000001</c:v>
                </c:pt>
                <c:pt idx="50">
                  <c:v>3.9370240000000001</c:v>
                </c:pt>
                <c:pt idx="51">
                  <c:v>3.9370240000000001</c:v>
                </c:pt>
                <c:pt idx="52">
                  <c:v>3.9370240000000001</c:v>
                </c:pt>
                <c:pt idx="53">
                  <c:v>3.9370240000000001</c:v>
                </c:pt>
                <c:pt idx="54">
                  <c:v>3.9370240000000001</c:v>
                </c:pt>
                <c:pt idx="55">
                  <c:v>3.9370240000000001</c:v>
                </c:pt>
                <c:pt idx="56">
                  <c:v>3.9370240000000001</c:v>
                </c:pt>
                <c:pt idx="57">
                  <c:v>3.9370240000000001</c:v>
                </c:pt>
                <c:pt idx="58">
                  <c:v>3.9370240000000001</c:v>
                </c:pt>
                <c:pt idx="59">
                  <c:v>3.9370240000000001</c:v>
                </c:pt>
              </c:numCache>
            </c:numRef>
          </c:yVal>
        </c:ser>
        <c:ser>
          <c:idx val="40"/>
          <c:order val="37"/>
          <c:spPr>
            <a:ln w="28575">
              <a:noFill/>
            </a:ln>
          </c:spPr>
          <c:marker>
            <c:symbol val="none"/>
          </c:marker>
          <c:errBars>
            <c:errDir val="y"/>
            <c:errBarType val="minus"/>
            <c:errValType val="cust"/>
            <c:noEndCap val="1"/>
            <c:minus>
              <c:numRef>
                <c:f>Describe!$GB$10</c:f>
                <c:numCache>
                  <c:formatCode>General</c:formatCode>
                  <c:ptCount val="1"/>
                  <c:pt idx="0">
                    <c:v>#N/A</c:v>
                  </c:pt>
                </c:numCache>
              </c:numRef>
            </c:minus>
            <c:spPr>
              <a:ln w="38100">
                <a:pattFill prst="pct75">
                  <a:fgClr>
                    <a:srgbClr val="FF0000"/>
                  </a:fgClr>
                  <a:bgClr>
                    <a:srgbClr val="FFFFFF"/>
                  </a:bgClr>
                </a:pattFill>
                <a:prstDash val="solid"/>
              </a:ln>
            </c:spPr>
          </c:errBars>
          <c:xVal>
            <c:numRef>
              <c:f>Describe!$GB$20:$GB$27</c:f>
              <c:numCache>
                <c:formatCode>General</c:formatCode>
                <c:ptCount val="8"/>
                <c:pt idx="0">
                  <c:v>#N/A</c:v>
                </c:pt>
                <c:pt idx="1">
                  <c:v>#N/A</c:v>
                </c:pt>
                <c:pt idx="2">
                  <c:v>#N/A</c:v>
                </c:pt>
                <c:pt idx="3">
                  <c:v>#N/A</c:v>
                </c:pt>
                <c:pt idx="4">
                  <c:v>#N/A</c:v>
                </c:pt>
                <c:pt idx="5">
                  <c:v>#N/A</c:v>
                </c:pt>
                <c:pt idx="6">
                  <c:v>#N/A</c:v>
                </c:pt>
                <c:pt idx="7">
                  <c:v>#N/A</c:v>
                </c:pt>
              </c:numCache>
            </c:numRef>
          </c:xVal>
          <c:yVal>
            <c:numRef>
              <c:f>Describe!$GC$20:$GC$27</c:f>
              <c:numCache>
                <c:formatCode>General</c:formatCode>
                <c:ptCount val="8"/>
                <c:pt idx="0">
                  <c:v>0</c:v>
                </c:pt>
                <c:pt idx="1">
                  <c:v>0</c:v>
                </c:pt>
                <c:pt idx="2">
                  <c:v>0</c:v>
                </c:pt>
                <c:pt idx="3">
                  <c:v>0</c:v>
                </c:pt>
                <c:pt idx="4">
                  <c:v>0</c:v>
                </c:pt>
                <c:pt idx="5">
                  <c:v>0</c:v>
                </c:pt>
                <c:pt idx="6">
                  <c:v>0</c:v>
                </c:pt>
                <c:pt idx="7">
                  <c:v>0</c:v>
                </c:pt>
              </c:numCache>
            </c:numRef>
          </c:yVal>
        </c:ser>
        <c:ser>
          <c:idx val="41"/>
          <c:order val="38"/>
          <c:spPr>
            <a:ln w="28575">
              <a:noFill/>
            </a:ln>
          </c:spPr>
          <c:marker>
            <c:symbol val="none"/>
          </c:marker>
          <c:errBars>
            <c:errDir val="y"/>
            <c:errBarType val="minus"/>
            <c:errValType val="cust"/>
            <c:noEndCap val="1"/>
            <c:minus>
              <c:numRef>
                <c:f>Describe!$ED$10</c:f>
                <c:numCache>
                  <c:formatCode>General</c:formatCode>
                  <c:ptCount val="1"/>
                  <c:pt idx="0">
                    <c:v>5.8980800000000002</c:v>
                  </c:pt>
                </c:numCache>
              </c:numRef>
            </c:minus>
            <c:spPr>
              <a:ln w="38100">
                <a:pattFill prst="pct75">
                  <a:fgClr>
                    <a:srgbClr val="FF0000"/>
                  </a:fgClr>
                  <a:bgClr>
                    <a:srgbClr val="FFFFFF"/>
                  </a:bgClr>
                </a:pattFill>
                <a:prstDash val="solid"/>
              </a:ln>
            </c:spPr>
          </c:errBars>
          <c:xVal>
            <c:numRef>
              <c:f>Describe!$ED$57:$ED$101</c:f>
              <c:numCache>
                <c:formatCode>General</c:formatCode>
                <c:ptCount val="4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numCache>
            </c:numRef>
          </c:xVal>
          <c:yVal>
            <c:numRef>
              <c:f>Describe!$EE$57:$EE$101</c:f>
              <c:numCache>
                <c:formatCode>General</c:formatCode>
                <c:ptCount val="45"/>
                <c:pt idx="0">
                  <c:v>5.9370240000000001</c:v>
                </c:pt>
                <c:pt idx="1">
                  <c:v>5.9370240000000001</c:v>
                </c:pt>
                <c:pt idx="2">
                  <c:v>5.9370240000000001</c:v>
                </c:pt>
                <c:pt idx="3">
                  <c:v>5.9370240000000001</c:v>
                </c:pt>
                <c:pt idx="4">
                  <c:v>5.9370240000000001</c:v>
                </c:pt>
                <c:pt idx="5">
                  <c:v>5.9370240000000001</c:v>
                </c:pt>
                <c:pt idx="6">
                  <c:v>5.9370240000000001</c:v>
                </c:pt>
                <c:pt idx="7">
                  <c:v>5.9370240000000001</c:v>
                </c:pt>
                <c:pt idx="8">
                  <c:v>5.9370240000000001</c:v>
                </c:pt>
                <c:pt idx="9">
                  <c:v>5.9370240000000001</c:v>
                </c:pt>
                <c:pt idx="10">
                  <c:v>5.9370240000000001</c:v>
                </c:pt>
                <c:pt idx="11">
                  <c:v>5.9370240000000001</c:v>
                </c:pt>
                <c:pt idx="12">
                  <c:v>5.9370240000000001</c:v>
                </c:pt>
                <c:pt idx="13">
                  <c:v>5.9370240000000001</c:v>
                </c:pt>
                <c:pt idx="14">
                  <c:v>5.9370240000000001</c:v>
                </c:pt>
                <c:pt idx="15">
                  <c:v>5.9370240000000001</c:v>
                </c:pt>
                <c:pt idx="16">
                  <c:v>5.9370240000000001</c:v>
                </c:pt>
                <c:pt idx="17">
                  <c:v>5.9370240000000001</c:v>
                </c:pt>
                <c:pt idx="18">
                  <c:v>5.9370240000000001</c:v>
                </c:pt>
                <c:pt idx="19">
                  <c:v>5.9370240000000001</c:v>
                </c:pt>
                <c:pt idx="20">
                  <c:v>5.9370240000000001</c:v>
                </c:pt>
                <c:pt idx="21">
                  <c:v>5.9370240000000001</c:v>
                </c:pt>
                <c:pt idx="22">
                  <c:v>5.9370240000000001</c:v>
                </c:pt>
                <c:pt idx="23">
                  <c:v>5.9370240000000001</c:v>
                </c:pt>
                <c:pt idx="24">
                  <c:v>5.9370240000000001</c:v>
                </c:pt>
                <c:pt idx="25">
                  <c:v>5.9370240000000001</c:v>
                </c:pt>
                <c:pt idx="26">
                  <c:v>5.9370240000000001</c:v>
                </c:pt>
                <c:pt idx="27">
                  <c:v>5.9370240000000001</c:v>
                </c:pt>
                <c:pt idx="28">
                  <c:v>5.9370240000000001</c:v>
                </c:pt>
                <c:pt idx="29">
                  <c:v>5.9370240000000001</c:v>
                </c:pt>
                <c:pt idx="30">
                  <c:v>5.9370240000000001</c:v>
                </c:pt>
                <c:pt idx="31">
                  <c:v>5.9370240000000001</c:v>
                </c:pt>
                <c:pt idx="32">
                  <c:v>5.9370240000000001</c:v>
                </c:pt>
                <c:pt idx="33">
                  <c:v>5.9370240000000001</c:v>
                </c:pt>
                <c:pt idx="34">
                  <c:v>5.9370240000000001</c:v>
                </c:pt>
                <c:pt idx="35">
                  <c:v>5.9370240000000001</c:v>
                </c:pt>
                <c:pt idx="36">
                  <c:v>5.9370240000000001</c:v>
                </c:pt>
                <c:pt idx="37">
                  <c:v>5.9370240000000001</c:v>
                </c:pt>
                <c:pt idx="38">
                  <c:v>5.9370240000000001</c:v>
                </c:pt>
                <c:pt idx="39">
                  <c:v>5.9370240000000001</c:v>
                </c:pt>
                <c:pt idx="40">
                  <c:v>5.9370240000000001</c:v>
                </c:pt>
                <c:pt idx="41">
                  <c:v>5.9370240000000001</c:v>
                </c:pt>
                <c:pt idx="42">
                  <c:v>5.9370240000000001</c:v>
                </c:pt>
                <c:pt idx="43">
                  <c:v>5.9370240000000001</c:v>
                </c:pt>
                <c:pt idx="44">
                  <c:v>5.9370240000000001</c:v>
                </c:pt>
              </c:numCache>
            </c:numRef>
          </c:yVal>
        </c:ser>
        <c:ser>
          <c:idx val="42"/>
          <c:order val="39"/>
          <c:spPr>
            <a:ln w="28575">
              <a:noFill/>
            </a:ln>
          </c:spPr>
          <c:marker>
            <c:symbol val="none"/>
          </c:marker>
          <c:errBars>
            <c:errDir val="y"/>
            <c:errBarType val="minus"/>
            <c:errValType val="cust"/>
            <c:noEndCap val="1"/>
            <c:minus>
              <c:numRef>
                <c:f>Describe!$EF$10</c:f>
                <c:numCache>
                  <c:formatCode>General</c:formatCode>
                  <c:ptCount val="1"/>
                  <c:pt idx="0">
                    <c:v>3.8980800000000002</c:v>
                  </c:pt>
                </c:numCache>
              </c:numRef>
            </c:minus>
            <c:spPr>
              <a:ln w="38100">
                <a:pattFill prst="pct75">
                  <a:fgClr>
                    <a:srgbClr val="FF0000"/>
                  </a:fgClr>
                  <a:bgClr>
                    <a:srgbClr val="FFFFFF"/>
                  </a:bgClr>
                </a:pattFill>
                <a:prstDash val="solid"/>
              </a:ln>
            </c:spPr>
          </c:errBars>
          <c:xVal>
            <c:numRef>
              <c:f>Describe!$EF$47:$EF$81</c:f>
              <c:numCache>
                <c:formatCode>General</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xVal>
          <c:yVal>
            <c:numRef>
              <c:f>Describe!$EG$47:$EG$81</c:f>
              <c:numCache>
                <c:formatCode>General</c:formatCode>
                <c:ptCount val="35"/>
                <c:pt idx="0">
                  <c:v>3.9370240000000001</c:v>
                </c:pt>
                <c:pt idx="1">
                  <c:v>3.9370240000000001</c:v>
                </c:pt>
                <c:pt idx="2">
                  <c:v>3.9370240000000001</c:v>
                </c:pt>
                <c:pt idx="3">
                  <c:v>3.9370240000000001</c:v>
                </c:pt>
                <c:pt idx="4">
                  <c:v>3.9370240000000001</c:v>
                </c:pt>
                <c:pt idx="5">
                  <c:v>3.9370240000000001</c:v>
                </c:pt>
                <c:pt idx="6">
                  <c:v>3.9370240000000001</c:v>
                </c:pt>
                <c:pt idx="7">
                  <c:v>3.9370240000000001</c:v>
                </c:pt>
                <c:pt idx="8">
                  <c:v>3.9370240000000001</c:v>
                </c:pt>
                <c:pt idx="9">
                  <c:v>3.9370240000000001</c:v>
                </c:pt>
                <c:pt idx="10">
                  <c:v>3.9370240000000001</c:v>
                </c:pt>
                <c:pt idx="11">
                  <c:v>3.9370240000000001</c:v>
                </c:pt>
                <c:pt idx="12">
                  <c:v>3.9370240000000001</c:v>
                </c:pt>
                <c:pt idx="13">
                  <c:v>3.9370240000000001</c:v>
                </c:pt>
                <c:pt idx="14">
                  <c:v>3.9370240000000001</c:v>
                </c:pt>
                <c:pt idx="15">
                  <c:v>3.9370240000000001</c:v>
                </c:pt>
                <c:pt idx="16">
                  <c:v>3.9370240000000001</c:v>
                </c:pt>
                <c:pt idx="17">
                  <c:v>3.9370240000000001</c:v>
                </c:pt>
                <c:pt idx="18">
                  <c:v>3.9370240000000001</c:v>
                </c:pt>
                <c:pt idx="19">
                  <c:v>3.9370240000000001</c:v>
                </c:pt>
                <c:pt idx="20">
                  <c:v>3.9370240000000001</c:v>
                </c:pt>
                <c:pt idx="21">
                  <c:v>3.9370240000000001</c:v>
                </c:pt>
                <c:pt idx="22">
                  <c:v>3.9370240000000001</c:v>
                </c:pt>
                <c:pt idx="23">
                  <c:v>3.9370240000000001</c:v>
                </c:pt>
                <c:pt idx="24">
                  <c:v>3.9370240000000001</c:v>
                </c:pt>
                <c:pt idx="25">
                  <c:v>3.9370240000000001</c:v>
                </c:pt>
                <c:pt idx="26">
                  <c:v>3.9370240000000001</c:v>
                </c:pt>
                <c:pt idx="27">
                  <c:v>3.9370240000000001</c:v>
                </c:pt>
                <c:pt idx="28">
                  <c:v>3.9370240000000001</c:v>
                </c:pt>
                <c:pt idx="29">
                  <c:v>3.9370240000000001</c:v>
                </c:pt>
                <c:pt idx="30">
                  <c:v>3.9370240000000001</c:v>
                </c:pt>
                <c:pt idx="31">
                  <c:v>3.9370240000000001</c:v>
                </c:pt>
                <c:pt idx="32">
                  <c:v>3.9370240000000001</c:v>
                </c:pt>
                <c:pt idx="33">
                  <c:v>3.9370240000000001</c:v>
                </c:pt>
                <c:pt idx="34">
                  <c:v>3.9370240000000001</c:v>
                </c:pt>
              </c:numCache>
            </c:numRef>
          </c:yVal>
        </c:ser>
        <c:ser>
          <c:idx val="43"/>
          <c:order val="40"/>
          <c:spPr>
            <a:ln w="28575">
              <a:noFill/>
            </a:ln>
          </c:spPr>
          <c:marker>
            <c:symbol val="none"/>
          </c:marker>
          <c:errBars>
            <c:errDir val="y"/>
            <c:errBarType val="minus"/>
            <c:errValType val="cust"/>
            <c:noEndCap val="1"/>
            <c:minus>
              <c:numRef>
                <c:f>Describe!$EH$10</c:f>
                <c:numCache>
                  <c:formatCode>General</c:formatCode>
                  <c:ptCount val="1"/>
                  <c:pt idx="0">
                    <c:v>6.8980800000000002</c:v>
                  </c:pt>
                </c:numCache>
              </c:numRef>
            </c:minus>
            <c:spPr>
              <a:ln w="38100">
                <a:pattFill prst="pct75">
                  <a:fgClr>
                    <a:srgbClr val="FF0000"/>
                  </a:fgClr>
                  <a:bgClr>
                    <a:srgbClr val="FFFFFF"/>
                  </a:bgClr>
                </a:pattFill>
                <a:prstDash val="solid"/>
              </a:ln>
            </c:spPr>
          </c:errBars>
          <c:xVal>
            <c:numRef>
              <c:f>Describe!$EH$42:$EH$71</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xVal>
          <c:yVal>
            <c:numRef>
              <c:f>Describe!$EI$42:$EI$71</c:f>
              <c:numCache>
                <c:formatCode>General</c:formatCode>
                <c:ptCount val="30"/>
                <c:pt idx="0">
                  <c:v>6.9370240000000001</c:v>
                </c:pt>
                <c:pt idx="1">
                  <c:v>6.9370240000000001</c:v>
                </c:pt>
                <c:pt idx="2">
                  <c:v>6.9370240000000001</c:v>
                </c:pt>
                <c:pt idx="3">
                  <c:v>6.9370240000000001</c:v>
                </c:pt>
                <c:pt idx="4">
                  <c:v>6.9370240000000001</c:v>
                </c:pt>
                <c:pt idx="5">
                  <c:v>6.9370240000000001</c:v>
                </c:pt>
                <c:pt idx="6">
                  <c:v>6.9370240000000001</c:v>
                </c:pt>
                <c:pt idx="7">
                  <c:v>6.9370240000000001</c:v>
                </c:pt>
                <c:pt idx="8">
                  <c:v>6.9370240000000001</c:v>
                </c:pt>
                <c:pt idx="9">
                  <c:v>6.9370240000000001</c:v>
                </c:pt>
                <c:pt idx="10">
                  <c:v>6.9370240000000001</c:v>
                </c:pt>
                <c:pt idx="11">
                  <c:v>6.9370240000000001</c:v>
                </c:pt>
                <c:pt idx="12">
                  <c:v>6.9370240000000001</c:v>
                </c:pt>
                <c:pt idx="13">
                  <c:v>6.9370240000000001</c:v>
                </c:pt>
                <c:pt idx="14">
                  <c:v>6.9370240000000001</c:v>
                </c:pt>
                <c:pt idx="15">
                  <c:v>6.9370240000000001</c:v>
                </c:pt>
                <c:pt idx="16">
                  <c:v>6.9370240000000001</c:v>
                </c:pt>
                <c:pt idx="17">
                  <c:v>6.9370240000000001</c:v>
                </c:pt>
                <c:pt idx="18">
                  <c:v>6.9370240000000001</c:v>
                </c:pt>
                <c:pt idx="19">
                  <c:v>6.9370240000000001</c:v>
                </c:pt>
                <c:pt idx="20">
                  <c:v>6.9370240000000001</c:v>
                </c:pt>
                <c:pt idx="21">
                  <c:v>6.9370240000000001</c:v>
                </c:pt>
                <c:pt idx="22">
                  <c:v>6.9370240000000001</c:v>
                </c:pt>
                <c:pt idx="23">
                  <c:v>6.9370240000000001</c:v>
                </c:pt>
                <c:pt idx="24">
                  <c:v>6.9370240000000001</c:v>
                </c:pt>
                <c:pt idx="25">
                  <c:v>6.9370240000000001</c:v>
                </c:pt>
                <c:pt idx="26">
                  <c:v>6.9370240000000001</c:v>
                </c:pt>
                <c:pt idx="27">
                  <c:v>6.9370240000000001</c:v>
                </c:pt>
                <c:pt idx="28">
                  <c:v>6.9370240000000001</c:v>
                </c:pt>
                <c:pt idx="29">
                  <c:v>6.9370240000000001</c:v>
                </c:pt>
              </c:numCache>
            </c:numRef>
          </c:yVal>
        </c:ser>
        <c:ser>
          <c:idx val="44"/>
          <c:order val="41"/>
          <c:spPr>
            <a:ln w="28575">
              <a:noFill/>
            </a:ln>
          </c:spPr>
          <c:marker>
            <c:symbol val="none"/>
          </c:marker>
          <c:errBars>
            <c:errDir val="y"/>
            <c:errBarType val="minus"/>
            <c:errValType val="cust"/>
            <c:noEndCap val="1"/>
            <c:minus>
              <c:numRef>
                <c:f>Describe!$EJ$10</c:f>
                <c:numCache>
                  <c:formatCode>General</c:formatCode>
                  <c:ptCount val="1"/>
                  <c:pt idx="0">
                    <c:v>1.89808</c:v>
                  </c:pt>
                </c:numCache>
              </c:numRef>
            </c:minus>
            <c:spPr>
              <a:ln w="38100">
                <a:pattFill prst="pct75">
                  <a:fgClr>
                    <a:srgbClr val="FF0000"/>
                  </a:fgClr>
                  <a:bgClr>
                    <a:srgbClr val="FFFFFF"/>
                  </a:bgClr>
                </a:pattFill>
                <a:prstDash val="solid"/>
              </a:ln>
            </c:spPr>
          </c:errBars>
          <c:xVal>
            <c:numRef>
              <c:f>Describe!$EJ$37:$EJ$61</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Describe!$EK$37:$EK$61</c:f>
              <c:numCache>
                <c:formatCode>General</c:formatCode>
                <c:ptCount val="25"/>
                <c:pt idx="0">
                  <c:v>1.9370240000000001</c:v>
                </c:pt>
                <c:pt idx="1">
                  <c:v>1.9370240000000001</c:v>
                </c:pt>
                <c:pt idx="2">
                  <c:v>1.9370240000000001</c:v>
                </c:pt>
                <c:pt idx="3">
                  <c:v>1.9370240000000001</c:v>
                </c:pt>
                <c:pt idx="4">
                  <c:v>1.9370240000000001</c:v>
                </c:pt>
                <c:pt idx="5">
                  <c:v>1.9370240000000001</c:v>
                </c:pt>
                <c:pt idx="6">
                  <c:v>1.9370240000000001</c:v>
                </c:pt>
                <c:pt idx="7">
                  <c:v>1.9370240000000001</c:v>
                </c:pt>
                <c:pt idx="8">
                  <c:v>1.9370240000000001</c:v>
                </c:pt>
                <c:pt idx="9">
                  <c:v>1.9370240000000001</c:v>
                </c:pt>
                <c:pt idx="10">
                  <c:v>1.9370240000000001</c:v>
                </c:pt>
                <c:pt idx="11">
                  <c:v>1.9370240000000001</c:v>
                </c:pt>
                <c:pt idx="12">
                  <c:v>1.9370240000000001</c:v>
                </c:pt>
                <c:pt idx="13">
                  <c:v>1.9370240000000001</c:v>
                </c:pt>
                <c:pt idx="14">
                  <c:v>1.9370240000000001</c:v>
                </c:pt>
                <c:pt idx="15">
                  <c:v>1.9370240000000001</c:v>
                </c:pt>
                <c:pt idx="16">
                  <c:v>1.9370240000000001</c:v>
                </c:pt>
                <c:pt idx="17">
                  <c:v>1.9370240000000001</c:v>
                </c:pt>
                <c:pt idx="18">
                  <c:v>1.9370240000000001</c:v>
                </c:pt>
                <c:pt idx="19">
                  <c:v>1.9370240000000001</c:v>
                </c:pt>
                <c:pt idx="20">
                  <c:v>1.9370240000000001</c:v>
                </c:pt>
                <c:pt idx="21">
                  <c:v>1.9370240000000001</c:v>
                </c:pt>
                <c:pt idx="22">
                  <c:v>1.9370240000000001</c:v>
                </c:pt>
                <c:pt idx="23">
                  <c:v>1.9370240000000001</c:v>
                </c:pt>
                <c:pt idx="24">
                  <c:v>1.9370240000000001</c:v>
                </c:pt>
              </c:numCache>
            </c:numRef>
          </c:yVal>
        </c:ser>
        <c:ser>
          <c:idx val="45"/>
          <c:order val="42"/>
          <c:spPr>
            <a:ln w="28575">
              <a:noFill/>
            </a:ln>
          </c:spPr>
          <c:marker>
            <c:symbol val="none"/>
          </c:marker>
          <c:errBars>
            <c:errDir val="y"/>
            <c:errBarType val="minus"/>
            <c:errValType val="cust"/>
            <c:noEndCap val="1"/>
            <c:minus>
              <c:numRef>
                <c:f>Describe!$EL$10</c:f>
                <c:numCache>
                  <c:formatCode>General</c:formatCode>
                  <c:ptCount val="1"/>
                  <c:pt idx="0">
                    <c:v>1.89808</c:v>
                  </c:pt>
                </c:numCache>
              </c:numRef>
            </c:minus>
            <c:spPr>
              <a:ln w="38100">
                <a:pattFill prst="pct75">
                  <a:fgClr>
                    <a:srgbClr val="FF0000"/>
                  </a:fgClr>
                  <a:bgClr>
                    <a:srgbClr val="FFFFFF"/>
                  </a:bgClr>
                </a:pattFill>
                <a:prstDash val="solid"/>
              </a:ln>
            </c:spPr>
          </c:errBars>
          <c:xVal>
            <c:numRef>
              <c:f>Describe!$EL$37:$EL$61</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Describe!$EM$37:$EM$61</c:f>
              <c:numCache>
                <c:formatCode>General</c:formatCode>
                <c:ptCount val="25"/>
                <c:pt idx="0">
                  <c:v>1.9370240000000001</c:v>
                </c:pt>
                <c:pt idx="1">
                  <c:v>1.9370240000000001</c:v>
                </c:pt>
                <c:pt idx="2">
                  <c:v>1.9370240000000001</c:v>
                </c:pt>
                <c:pt idx="3">
                  <c:v>1.9370240000000001</c:v>
                </c:pt>
                <c:pt idx="4">
                  <c:v>1.9370240000000001</c:v>
                </c:pt>
                <c:pt idx="5">
                  <c:v>1.9370240000000001</c:v>
                </c:pt>
                <c:pt idx="6">
                  <c:v>1.9370240000000001</c:v>
                </c:pt>
                <c:pt idx="7">
                  <c:v>1.9370240000000001</c:v>
                </c:pt>
                <c:pt idx="8">
                  <c:v>1.9370240000000001</c:v>
                </c:pt>
                <c:pt idx="9">
                  <c:v>1.9370240000000001</c:v>
                </c:pt>
                <c:pt idx="10">
                  <c:v>1.9370240000000001</c:v>
                </c:pt>
                <c:pt idx="11">
                  <c:v>1.9370240000000001</c:v>
                </c:pt>
                <c:pt idx="12">
                  <c:v>1.9370240000000001</c:v>
                </c:pt>
                <c:pt idx="13">
                  <c:v>1.9370240000000001</c:v>
                </c:pt>
                <c:pt idx="14">
                  <c:v>1.9370240000000001</c:v>
                </c:pt>
                <c:pt idx="15">
                  <c:v>1.9370240000000001</c:v>
                </c:pt>
                <c:pt idx="16">
                  <c:v>1.9370240000000001</c:v>
                </c:pt>
                <c:pt idx="17">
                  <c:v>1.9370240000000001</c:v>
                </c:pt>
                <c:pt idx="18">
                  <c:v>1.9370240000000001</c:v>
                </c:pt>
                <c:pt idx="19">
                  <c:v>1.9370240000000001</c:v>
                </c:pt>
                <c:pt idx="20">
                  <c:v>1.9370240000000001</c:v>
                </c:pt>
                <c:pt idx="21">
                  <c:v>1.9370240000000001</c:v>
                </c:pt>
                <c:pt idx="22">
                  <c:v>1.9370240000000001</c:v>
                </c:pt>
                <c:pt idx="23">
                  <c:v>1.9370240000000001</c:v>
                </c:pt>
                <c:pt idx="24">
                  <c:v>1.9370240000000001</c:v>
                </c:pt>
              </c:numCache>
            </c:numRef>
          </c:yVal>
        </c:ser>
        <c:ser>
          <c:idx val="46"/>
          <c:order val="43"/>
          <c:spPr>
            <a:ln w="28575">
              <a:noFill/>
            </a:ln>
          </c:spPr>
          <c:marker>
            <c:symbol val="none"/>
          </c:marker>
          <c:errBars>
            <c:errDir val="y"/>
            <c:errBarType val="minus"/>
            <c:errValType val="cust"/>
            <c:noEndCap val="1"/>
            <c:minus>
              <c:numRef>
                <c:f>Describe!$EN$10</c:f>
                <c:numCache>
                  <c:formatCode>General</c:formatCode>
                  <c:ptCount val="1"/>
                  <c:pt idx="0">
                    <c:v>0.89807999999999999</c:v>
                  </c:pt>
                </c:numCache>
              </c:numRef>
            </c:minus>
            <c:spPr>
              <a:ln w="38100">
                <a:pattFill prst="pct75">
                  <a:fgClr>
                    <a:srgbClr val="FF0000"/>
                  </a:fgClr>
                  <a:bgClr>
                    <a:srgbClr val="FFFFFF"/>
                  </a:bgClr>
                </a:pattFill>
                <a:prstDash val="solid"/>
              </a:ln>
            </c:spPr>
          </c:errBars>
          <c:xVal>
            <c:numRef>
              <c:f>Describe!$EN$32:$EN$51</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Describe!$EO$32:$EO$51</c:f>
              <c:numCache>
                <c:formatCode>General</c:formatCode>
                <c:ptCount val="20"/>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pt idx="15">
                  <c:v>0.93702399999999997</c:v>
                </c:pt>
                <c:pt idx="16">
                  <c:v>0.93702399999999997</c:v>
                </c:pt>
                <c:pt idx="17">
                  <c:v>0.93702399999999997</c:v>
                </c:pt>
                <c:pt idx="18">
                  <c:v>0.93702399999999997</c:v>
                </c:pt>
                <c:pt idx="19">
                  <c:v>0.93702399999999997</c:v>
                </c:pt>
              </c:numCache>
            </c:numRef>
          </c:yVal>
        </c:ser>
        <c:ser>
          <c:idx val="47"/>
          <c:order val="44"/>
          <c:spPr>
            <a:ln w="28575">
              <a:noFill/>
            </a:ln>
          </c:spPr>
          <c:marker>
            <c:symbol val="none"/>
          </c:marker>
          <c:errBars>
            <c:errDir val="y"/>
            <c:errBarType val="minus"/>
            <c:errValType val="cust"/>
            <c:noEndCap val="1"/>
            <c:minus>
              <c:numRef>
                <c:f>Describe!$EP$10</c:f>
                <c:numCache>
                  <c:formatCode>General</c:formatCode>
                  <c:ptCount val="1"/>
                  <c:pt idx="0">
                    <c:v>#N/A</c:v>
                  </c:pt>
                </c:numCache>
              </c:numRef>
            </c:minus>
            <c:spPr>
              <a:ln w="38100">
                <a:pattFill prst="pct75">
                  <a:fgClr>
                    <a:srgbClr val="FF0000"/>
                  </a:fgClr>
                  <a:bgClr>
                    <a:srgbClr val="FFFFFF"/>
                  </a:bgClr>
                </a:pattFill>
                <a:prstDash val="solid"/>
              </a:ln>
            </c:spPr>
          </c:errBars>
          <c:xVal>
            <c:numRef>
              <c:f>Describe!$EP$32:$EP$51</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Describe!$EQ$32:$EQ$51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er>
        <c:ser>
          <c:idx val="48"/>
          <c:order val="45"/>
          <c:spPr>
            <a:ln w="28575">
              <a:noFill/>
            </a:ln>
          </c:spPr>
          <c:marker>
            <c:symbol val="none"/>
          </c:marker>
          <c:errBars>
            <c:errDir val="y"/>
            <c:errBarType val="minus"/>
            <c:errValType val="cust"/>
            <c:noEndCap val="1"/>
            <c:minus>
              <c:numRef>
                <c:f>Describe!$ER$10</c:f>
                <c:numCache>
                  <c:formatCode>General</c:formatCode>
                  <c:ptCount val="1"/>
                  <c:pt idx="0">
                    <c:v>0.89807999999999999</c:v>
                  </c:pt>
                </c:numCache>
              </c:numRef>
            </c:minus>
            <c:spPr>
              <a:ln w="38100">
                <a:pattFill prst="pct75">
                  <a:fgClr>
                    <a:srgbClr val="FF0000"/>
                  </a:fgClr>
                  <a:bgClr>
                    <a:srgbClr val="FFFFFF"/>
                  </a:bgClr>
                </a:pattFill>
                <a:prstDash val="solid"/>
              </a:ln>
            </c:spPr>
          </c:errBars>
          <c:xVal>
            <c:numRef>
              <c:f>Describe!$ER$32:$ER$51</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Describe!$ES$32:$ES$51</c:f>
              <c:numCache>
                <c:formatCode>General</c:formatCode>
                <c:ptCount val="20"/>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pt idx="15">
                  <c:v>0.93702399999999997</c:v>
                </c:pt>
                <c:pt idx="16">
                  <c:v>0.93702399999999997</c:v>
                </c:pt>
                <c:pt idx="17">
                  <c:v>0.93702399999999997</c:v>
                </c:pt>
                <c:pt idx="18">
                  <c:v>0.93702399999999997</c:v>
                </c:pt>
                <c:pt idx="19">
                  <c:v>0.93702399999999997</c:v>
                </c:pt>
              </c:numCache>
            </c:numRef>
          </c:yVal>
        </c:ser>
        <c:ser>
          <c:idx val="49"/>
          <c:order val="46"/>
          <c:spPr>
            <a:ln w="28575">
              <a:noFill/>
            </a:ln>
          </c:spPr>
          <c:marker>
            <c:symbol val="none"/>
          </c:marker>
          <c:errBars>
            <c:errDir val="y"/>
            <c:errBarType val="minus"/>
            <c:errValType val="cust"/>
            <c:noEndCap val="1"/>
            <c:minus>
              <c:numRef>
                <c:f>Describe!$ET$10</c:f>
                <c:numCache>
                  <c:formatCode>General</c:formatCode>
                  <c:ptCount val="1"/>
                  <c:pt idx="0">
                    <c:v>0.89807999999999999</c:v>
                  </c:pt>
                </c:numCache>
              </c:numRef>
            </c:minus>
            <c:spPr>
              <a:ln w="38100">
                <a:pattFill prst="pct75">
                  <a:fgClr>
                    <a:srgbClr val="FF0000"/>
                  </a:fgClr>
                  <a:bgClr>
                    <a:srgbClr val="FFFFFF"/>
                  </a:bgClr>
                </a:pattFill>
                <a:prstDash val="solid"/>
              </a:ln>
            </c:spPr>
          </c:errBars>
          <c:xVal>
            <c:numRef>
              <c:f>Describe!$ET$27:$ET$41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Describe!$EU$27:$EU$41</c:f>
              <c:numCache>
                <c:formatCode>General</c:formatCode>
                <c:ptCount val="15"/>
                <c:pt idx="0">
                  <c:v>0.93702399999999997</c:v>
                </c:pt>
                <c:pt idx="1">
                  <c:v>0.93702399999999997</c:v>
                </c:pt>
                <c:pt idx="2">
                  <c:v>0.93702399999999997</c:v>
                </c:pt>
                <c:pt idx="3">
                  <c:v>0.93702399999999997</c:v>
                </c:pt>
                <c:pt idx="4">
                  <c:v>0.93702399999999997</c:v>
                </c:pt>
                <c:pt idx="5">
                  <c:v>0.93702399999999997</c:v>
                </c:pt>
                <c:pt idx="6">
                  <c:v>0.93702399999999997</c:v>
                </c:pt>
                <c:pt idx="7">
                  <c:v>0.93702399999999997</c:v>
                </c:pt>
                <c:pt idx="8">
                  <c:v>0.93702399999999997</c:v>
                </c:pt>
                <c:pt idx="9">
                  <c:v>0.93702399999999997</c:v>
                </c:pt>
                <c:pt idx="10">
                  <c:v>0.93702399999999997</c:v>
                </c:pt>
                <c:pt idx="11">
                  <c:v>0.93702399999999997</c:v>
                </c:pt>
                <c:pt idx="12">
                  <c:v>0.93702399999999997</c:v>
                </c:pt>
                <c:pt idx="13">
                  <c:v>0.93702399999999997</c:v>
                </c:pt>
                <c:pt idx="14">
                  <c:v>0.93702399999999997</c:v>
                </c:pt>
              </c:numCache>
            </c:numRef>
          </c:yVal>
        </c:ser>
        <c:ser>
          <c:idx val="50"/>
          <c:order val="47"/>
          <c:spPr>
            <a:ln w="28575">
              <a:noFill/>
            </a:ln>
          </c:spPr>
          <c:marker>
            <c:symbol val="none"/>
          </c:marker>
          <c:errBars>
            <c:errDir val="y"/>
            <c:errBarType val="minus"/>
            <c:errValType val="cust"/>
            <c:noEndCap val="1"/>
            <c:minus>
              <c:numRef>
                <c:f>Describe!$EV$10</c:f>
                <c:numCache>
                  <c:formatCode>General</c:formatCode>
                  <c:ptCount val="1"/>
                  <c:pt idx="0">
                    <c:v>#N/A</c:v>
                  </c:pt>
                </c:numCache>
              </c:numRef>
            </c:minus>
            <c:spPr>
              <a:ln w="38100">
                <a:pattFill prst="pct75">
                  <a:fgClr>
                    <a:srgbClr val="FF0000"/>
                  </a:fgClr>
                  <a:bgClr>
                    <a:srgbClr val="FFFFFF"/>
                  </a:bgClr>
                </a:pattFill>
                <a:prstDash val="solid"/>
              </a:ln>
            </c:spPr>
          </c:errBars>
          <c:xVal>
            <c:numRef>
              <c:f>Describe!$EV$27:$EV$41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Describe!$EW$27:$EW$41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er>
        <c:ser>
          <c:idx val="51"/>
          <c:order val="48"/>
          <c:spPr>
            <a:ln w="28575">
              <a:noFill/>
            </a:ln>
          </c:spPr>
          <c:marker>
            <c:symbol val="none"/>
          </c:marker>
          <c:errBars>
            <c:errDir val="y"/>
            <c:errBarType val="minus"/>
            <c:errValType val="cust"/>
            <c:noEndCap val="1"/>
            <c:minus>
              <c:numRef>
                <c:f>Describe!$EX$10</c:f>
                <c:numCache>
                  <c:formatCode>General</c:formatCode>
                  <c:ptCount val="1"/>
                  <c:pt idx="0">
                    <c:v>#N/A</c:v>
                  </c:pt>
                </c:numCache>
              </c:numRef>
            </c:minus>
            <c:spPr>
              <a:ln w="38100">
                <a:pattFill prst="pct75">
                  <a:fgClr>
                    <a:srgbClr val="FF0000"/>
                  </a:fgClr>
                  <a:bgClr>
                    <a:srgbClr val="FFFFFF"/>
                  </a:bgClr>
                </a:pattFill>
                <a:prstDash val="solid"/>
              </a:ln>
            </c:spPr>
          </c:errBars>
          <c:xVal>
            <c:numRef>
              <c:f>Describe!$EX$27:$EX$41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Describe!$EY$27:$EY$41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er>
        <c:ser>
          <c:idx val="52"/>
          <c:order val="49"/>
          <c:spPr>
            <a:ln w="28575">
              <a:noFill/>
            </a:ln>
          </c:spPr>
          <c:marker>
            <c:symbol val="none"/>
          </c:marker>
          <c:errBars>
            <c:errDir val="y"/>
            <c:errBarType val="minus"/>
            <c:errValType val="cust"/>
            <c:noEndCap val="1"/>
            <c:minus>
              <c:numRef>
                <c:f>Describe!$EZ$10</c:f>
                <c:numCache>
                  <c:formatCode>General</c:formatCode>
                  <c:ptCount val="1"/>
                  <c:pt idx="0">
                    <c:v>#N/A</c:v>
                  </c:pt>
                </c:numCache>
              </c:numRef>
            </c:minus>
            <c:spPr>
              <a:ln w="38100">
                <a:pattFill prst="pct75">
                  <a:fgClr>
                    <a:srgbClr val="FF0000"/>
                  </a:fgClr>
                  <a:bgClr>
                    <a:srgbClr val="FFFFFF"/>
                  </a:bgClr>
                </a:pattFill>
                <a:prstDash val="solid"/>
              </a:ln>
            </c:spPr>
          </c:errBars>
          <c:xVal>
            <c:numRef>
              <c:f>Describe!$EZ$24:$EZ$35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Describe!$FA$24:$FA$35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er>
        <c:ser>
          <c:idx val="53"/>
          <c:order val="50"/>
          <c:spPr>
            <a:ln w="28575">
              <a:noFill/>
            </a:ln>
          </c:spPr>
          <c:marker>
            <c:symbol val="none"/>
          </c:marker>
          <c:errBars>
            <c:errDir val="y"/>
            <c:errBarType val="minus"/>
            <c:errValType val="cust"/>
            <c:noEndCap val="1"/>
            <c:minus>
              <c:numRef>
                <c:f>Describe!$FB$10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Describe!$FB$24:$FB$35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Describe!$FC$24:$FC$35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er>
        <c:ser>
          <c:idx val="54"/>
          <c:order val="51"/>
          <c:spPr>
            <a:ln w="28575">
              <a:noFill/>
            </a:ln>
          </c:spPr>
          <c:marker>
            <c:symbol val="none"/>
          </c:marker>
          <c:errBars>
            <c:errDir val="y"/>
            <c:errBarType val="minus"/>
            <c:errValType val="cust"/>
            <c:noEndCap val="1"/>
            <c:minus>
              <c:numRef>
                <c:f>Describe!$FD$10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Describe!$FD$24:$FD$35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Describe!$FE$24:$FE$35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er>
        <c:ser>
          <c:idx val="55"/>
          <c:order val="52"/>
          <c:spPr>
            <a:ln w="28575">
              <a:noFill/>
            </a:ln>
          </c:spPr>
          <c:marker>
            <c:symbol val="none"/>
          </c:marker>
          <c:errBars>
            <c:errDir val="y"/>
            <c:errBarType val="minus"/>
            <c:errValType val="cust"/>
            <c:noEndCap val="1"/>
            <c:minus>
              <c:numRef>
                <c:f>Describe!$FF$10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Describe!$FF$22:$FF$31</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Describe!$FG$22:$FG$31</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56"/>
          <c:order val="53"/>
          <c:spPr>
            <a:ln w="28575">
              <a:noFill/>
            </a:ln>
          </c:spPr>
          <c:marker>
            <c:symbol val="none"/>
          </c:marker>
          <c:errBars>
            <c:errDir val="y"/>
            <c:errBarType val="minus"/>
            <c:errValType val="cust"/>
            <c:noEndCap val="1"/>
            <c:minus>
              <c:numRef>
                <c:f>Describe!$FH$10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Describe!$FH$22:$FH$31</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Describe!$FI$22:$FI$31</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3"/>
          <c:order val="54"/>
          <c:spPr>
            <a:ln w="28575">
              <a:noFill/>
            </a:ln>
          </c:spPr>
          <c:marker>
            <c:symbol val="diamond"/>
            <c:size val="9"/>
            <c:spPr>
              <a:solidFill>
                <a:srgbClr val="FF00FF"/>
              </a:solidFill>
              <a:ln>
                <a:solidFill>
                  <a:srgbClr val="000000"/>
                </a:solidFill>
                <a:prstDash val="solid"/>
              </a:ln>
            </c:spPr>
          </c:marker>
          <c:errBars>
            <c:errDir val="y"/>
            <c:errBarType val="minus"/>
            <c:errValType val="cust"/>
            <c:noEndCap val="1"/>
            <c:minus>
              <c:numRef>
                <c:f>Describe!$Y$19</c:f>
                <c:numCache>
                  <c:formatCode>General</c:formatCode>
                  <c:ptCount val="1"/>
                  <c:pt idx="0">
                    <c:v>8</c:v>
                  </c:pt>
                </c:numCache>
              </c:numRef>
            </c:minus>
            <c:spPr>
              <a:ln w="25400">
                <a:solidFill>
                  <a:srgbClr val="FF00FF"/>
                </a:solidFill>
                <a:prstDash val="solid"/>
              </a:ln>
            </c:spPr>
          </c:errBars>
          <c:xVal>
            <c:numRef>
              <c:f>Describe!$V$24</c:f>
              <c:numCache>
                <c:formatCode>General</c:formatCode>
                <c:ptCount val="1"/>
                <c:pt idx="0">
                  <c:v>#N/A</c:v>
                </c:pt>
              </c:numCache>
            </c:numRef>
          </c:xVal>
          <c:yVal>
            <c:numRef>
              <c:f>Describe!$W$24</c:f>
              <c:numCache>
                <c:formatCode>General</c:formatCode>
                <c:ptCount val="1"/>
                <c:pt idx="0">
                  <c:v>8</c:v>
                </c:pt>
              </c:numCache>
            </c:numRef>
          </c:yVal>
        </c:ser>
        <c:ser>
          <c:idx val="0"/>
          <c:order val="55"/>
          <c:spPr>
            <a:ln w="28575">
              <a:noFill/>
            </a:ln>
          </c:spPr>
          <c:marker>
            <c:symbol val="triangle"/>
            <c:size val="10"/>
            <c:spPr>
              <a:solidFill>
                <a:srgbClr val="00FF00"/>
              </a:solidFill>
              <a:ln>
                <a:solidFill>
                  <a:srgbClr val="000000"/>
                </a:solidFill>
                <a:prstDash val="solid"/>
              </a:ln>
              <a:effectLst>
                <a:outerShdw dist="35921" dir="2700000" algn="br">
                  <a:srgbClr val="000000"/>
                </a:outerShdw>
              </a:effectLst>
            </c:spPr>
          </c:marker>
          <c:errBars>
            <c:errDir val="y"/>
            <c:errBarType val="plus"/>
            <c:errValType val="cust"/>
            <c:noEndCap val="1"/>
            <c:plus>
              <c:numRef>
                <c:f>Describe!$Y$19</c:f>
                <c:numCache>
                  <c:formatCode>General</c:formatCode>
                  <c:ptCount val="1"/>
                  <c:pt idx="0">
                    <c:v>8</c:v>
                  </c:pt>
                </c:numCache>
              </c:numRef>
            </c:plus>
            <c:spPr>
              <a:ln w="25400">
                <a:solidFill>
                  <a:srgbClr val="339966"/>
                </a:solidFill>
                <a:prstDash val="solid"/>
              </a:ln>
            </c:spPr>
          </c:errBars>
          <c:xVal>
            <c:numRef>
              <c:f>Describe!$V$22</c:f>
              <c:numCache>
                <c:formatCode>General</c:formatCode>
                <c:ptCount val="1"/>
                <c:pt idx="0">
                  <c:v>14.519354838709676</c:v>
                </c:pt>
              </c:numCache>
            </c:numRef>
          </c:xVal>
          <c:yVal>
            <c:numRef>
              <c:f>Describe!$W$22</c:f>
              <c:numCache>
                <c:formatCode>General</c:formatCode>
                <c:ptCount val="1"/>
                <c:pt idx="0">
                  <c:v>0</c:v>
                </c:pt>
              </c:numCache>
            </c:numRef>
          </c:yVal>
        </c:ser>
        <c:ser>
          <c:idx val="57"/>
          <c:order val="56"/>
          <c:spPr>
            <a:ln w="28575">
              <a:noFill/>
            </a:ln>
          </c:spPr>
          <c:marker>
            <c:symbol val="none"/>
          </c:marker>
          <c:errBars>
            <c:errDir val="y"/>
            <c:errBarType val="minus"/>
            <c:errValType val="cust"/>
            <c:noEndCap val="1"/>
            <c:minus>
              <c:numRef>
                <c:f>Describe!$FJ$10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Describe!$FJ$22:$FJ$31</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Describe!$FK$22:$FK$31</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58"/>
          <c:order val="57"/>
          <c:spPr>
            <a:ln w="28575">
              <a:noFill/>
            </a:ln>
          </c:spPr>
          <c:marker>
            <c:symbol val="none"/>
          </c:marker>
          <c:errBars>
            <c:errDir val="y"/>
            <c:errBarType val="minus"/>
            <c:errValType val="cust"/>
            <c:noEndCap val="1"/>
            <c:minus>
              <c:numRef>
                <c:f>Describe!$FL$10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Describe!$FL$22:$FL$31</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Describe!$FM$22:$FM$31</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59"/>
          <c:order val="58"/>
          <c:spPr>
            <a:ln w="28575">
              <a:noFill/>
            </a:ln>
          </c:spPr>
          <c:marker>
            <c:symbol val="none"/>
          </c:marker>
          <c:errBars>
            <c:errDir val="y"/>
            <c:errBarType val="minus"/>
            <c:errValType val="cust"/>
            <c:noEndCap val="1"/>
            <c:minus>
              <c:numRef>
                <c:f>Describe!$FN$10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Describe!$FN$20:$FN$27</c:f>
              <c:numCache>
                <c:formatCode>General</c:formatCode>
                <c:ptCount val="8"/>
                <c:pt idx="0">
                  <c:v>#N/A</c:v>
                </c:pt>
                <c:pt idx="1">
                  <c:v>#N/A</c:v>
                </c:pt>
                <c:pt idx="2">
                  <c:v>#N/A</c:v>
                </c:pt>
                <c:pt idx="3">
                  <c:v>#N/A</c:v>
                </c:pt>
                <c:pt idx="4">
                  <c:v>#N/A</c:v>
                </c:pt>
                <c:pt idx="5">
                  <c:v>#N/A</c:v>
                </c:pt>
                <c:pt idx="6">
                  <c:v>#N/A</c:v>
                </c:pt>
                <c:pt idx="7">
                  <c:v>#N/A</c:v>
                </c:pt>
              </c:numCache>
            </c:numRef>
          </c:xVal>
          <c:yVal>
            <c:numRef>
              <c:f>Describe!$FO$20:$FO$27</c:f>
              <c:numCache>
                <c:formatCode>General</c:formatCode>
                <c:ptCount val="8"/>
                <c:pt idx="0">
                  <c:v>0</c:v>
                </c:pt>
                <c:pt idx="1">
                  <c:v>0</c:v>
                </c:pt>
                <c:pt idx="2">
                  <c:v>0</c:v>
                </c:pt>
                <c:pt idx="3">
                  <c:v>0</c:v>
                </c:pt>
                <c:pt idx="4">
                  <c:v>0</c:v>
                </c:pt>
                <c:pt idx="5">
                  <c:v>0</c:v>
                </c:pt>
                <c:pt idx="6">
                  <c:v>0</c:v>
                </c:pt>
                <c:pt idx="7">
                  <c:v>0</c:v>
                </c:pt>
              </c:numCache>
            </c:numRef>
          </c:yVal>
        </c:ser>
        <c:ser>
          <c:idx val="60"/>
          <c:order val="59"/>
          <c:spPr>
            <a:ln w="28575">
              <a:noFill/>
            </a:ln>
          </c:spPr>
          <c:marker>
            <c:symbol val="none"/>
          </c:marker>
          <c:errBars>
            <c:errDir val="y"/>
            <c:errBarType val="minus"/>
            <c:errValType val="cust"/>
            <c:noEndCap val="1"/>
            <c:minus>
              <c:numRef>
                <c:f>Describe!$FP$10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Describe!$FP$20:$FP$27</c:f>
              <c:numCache>
                <c:formatCode>General</c:formatCode>
                <c:ptCount val="8"/>
                <c:pt idx="0">
                  <c:v>#N/A</c:v>
                </c:pt>
                <c:pt idx="1">
                  <c:v>#N/A</c:v>
                </c:pt>
                <c:pt idx="2">
                  <c:v>#N/A</c:v>
                </c:pt>
                <c:pt idx="3">
                  <c:v>#N/A</c:v>
                </c:pt>
                <c:pt idx="4">
                  <c:v>#N/A</c:v>
                </c:pt>
                <c:pt idx="5">
                  <c:v>#N/A</c:v>
                </c:pt>
                <c:pt idx="6">
                  <c:v>#N/A</c:v>
                </c:pt>
                <c:pt idx="7">
                  <c:v>#N/A</c:v>
                </c:pt>
              </c:numCache>
            </c:numRef>
          </c:xVal>
          <c:yVal>
            <c:numRef>
              <c:f>Describe!$FQ$20:$FQ$27</c:f>
              <c:numCache>
                <c:formatCode>General</c:formatCode>
                <c:ptCount val="8"/>
                <c:pt idx="0">
                  <c:v>0</c:v>
                </c:pt>
                <c:pt idx="1">
                  <c:v>0</c:v>
                </c:pt>
                <c:pt idx="2">
                  <c:v>0</c:v>
                </c:pt>
                <c:pt idx="3">
                  <c:v>0</c:v>
                </c:pt>
                <c:pt idx="4">
                  <c:v>0</c:v>
                </c:pt>
                <c:pt idx="5">
                  <c:v>0</c:v>
                </c:pt>
                <c:pt idx="6">
                  <c:v>0</c:v>
                </c:pt>
                <c:pt idx="7">
                  <c:v>0</c:v>
                </c:pt>
              </c:numCache>
            </c:numRef>
          </c:yVal>
        </c:ser>
        <c:ser>
          <c:idx val="61"/>
          <c:order val="60"/>
          <c:spPr>
            <a:ln w="28575">
              <a:noFill/>
            </a:ln>
          </c:spPr>
          <c:marker>
            <c:symbol val="none"/>
          </c:marker>
          <c:errBars>
            <c:errDir val="y"/>
            <c:errBarType val="minus"/>
            <c:errValType val="cust"/>
            <c:noEndCap val="1"/>
            <c:minus>
              <c:numRef>
                <c:f>Describe!$FR$10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Describe!$FR$20:$FR$27</c:f>
              <c:numCache>
                <c:formatCode>General</c:formatCode>
                <c:ptCount val="8"/>
                <c:pt idx="0">
                  <c:v>#N/A</c:v>
                </c:pt>
                <c:pt idx="1">
                  <c:v>#N/A</c:v>
                </c:pt>
                <c:pt idx="2">
                  <c:v>#N/A</c:v>
                </c:pt>
                <c:pt idx="3">
                  <c:v>#N/A</c:v>
                </c:pt>
                <c:pt idx="4">
                  <c:v>#N/A</c:v>
                </c:pt>
                <c:pt idx="5">
                  <c:v>#N/A</c:v>
                </c:pt>
                <c:pt idx="6">
                  <c:v>#N/A</c:v>
                </c:pt>
                <c:pt idx="7">
                  <c:v>#N/A</c:v>
                </c:pt>
              </c:numCache>
            </c:numRef>
          </c:xVal>
          <c:yVal>
            <c:numRef>
              <c:f>Describe!$FS$20:$FS$27</c:f>
              <c:numCache>
                <c:formatCode>General</c:formatCode>
                <c:ptCount val="8"/>
                <c:pt idx="0">
                  <c:v>0</c:v>
                </c:pt>
                <c:pt idx="1">
                  <c:v>0</c:v>
                </c:pt>
                <c:pt idx="2">
                  <c:v>0</c:v>
                </c:pt>
                <c:pt idx="3">
                  <c:v>0</c:v>
                </c:pt>
                <c:pt idx="4">
                  <c:v>0</c:v>
                </c:pt>
                <c:pt idx="5">
                  <c:v>0</c:v>
                </c:pt>
                <c:pt idx="6">
                  <c:v>0</c:v>
                </c:pt>
                <c:pt idx="7">
                  <c:v>0</c:v>
                </c:pt>
              </c:numCache>
            </c:numRef>
          </c:yVal>
        </c:ser>
        <c:ser>
          <c:idx val="62"/>
          <c:order val="61"/>
          <c:spPr>
            <a:ln w="28575">
              <a:noFill/>
            </a:ln>
          </c:spPr>
          <c:marker>
            <c:symbol val="none"/>
          </c:marker>
          <c:errBars>
            <c:errDir val="y"/>
            <c:errBarType val="minus"/>
            <c:errValType val="cust"/>
            <c:noEndCap val="1"/>
            <c:minus>
              <c:numRef>
                <c:f>Describe!$FT$10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Describe!$FT$20:$FT$27</c:f>
              <c:numCache>
                <c:formatCode>General</c:formatCode>
                <c:ptCount val="8"/>
                <c:pt idx="0">
                  <c:v>#N/A</c:v>
                </c:pt>
                <c:pt idx="1">
                  <c:v>#N/A</c:v>
                </c:pt>
                <c:pt idx="2">
                  <c:v>#N/A</c:v>
                </c:pt>
                <c:pt idx="3">
                  <c:v>#N/A</c:v>
                </c:pt>
                <c:pt idx="4">
                  <c:v>#N/A</c:v>
                </c:pt>
                <c:pt idx="5">
                  <c:v>#N/A</c:v>
                </c:pt>
                <c:pt idx="6">
                  <c:v>#N/A</c:v>
                </c:pt>
                <c:pt idx="7">
                  <c:v>#N/A</c:v>
                </c:pt>
              </c:numCache>
            </c:numRef>
          </c:xVal>
          <c:yVal>
            <c:numRef>
              <c:f>Describe!$FU$20:$FU$27</c:f>
              <c:numCache>
                <c:formatCode>General</c:formatCode>
                <c:ptCount val="8"/>
                <c:pt idx="0">
                  <c:v>0</c:v>
                </c:pt>
                <c:pt idx="1">
                  <c:v>0</c:v>
                </c:pt>
                <c:pt idx="2">
                  <c:v>0</c:v>
                </c:pt>
                <c:pt idx="3">
                  <c:v>0</c:v>
                </c:pt>
                <c:pt idx="4">
                  <c:v>0</c:v>
                </c:pt>
                <c:pt idx="5">
                  <c:v>0</c:v>
                </c:pt>
                <c:pt idx="6">
                  <c:v>0</c:v>
                </c:pt>
                <c:pt idx="7">
                  <c:v>0</c:v>
                </c:pt>
              </c:numCache>
            </c:numRef>
          </c:yVal>
        </c:ser>
        <c:ser>
          <c:idx val="63"/>
          <c:order val="62"/>
          <c:spPr>
            <a:ln w="28575">
              <a:noFill/>
            </a:ln>
          </c:spPr>
          <c:marker>
            <c:symbol val="none"/>
          </c:marker>
          <c:errBars>
            <c:errDir val="y"/>
            <c:errBarType val="minus"/>
            <c:errValType val="cust"/>
            <c:noEndCap val="1"/>
            <c:minus>
              <c:numRef>
                <c:f>Describe!$FV$10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Describe!$FV$20:$FV$27</c:f>
              <c:numCache>
                <c:formatCode>General</c:formatCode>
                <c:ptCount val="8"/>
                <c:pt idx="0">
                  <c:v>#N/A</c:v>
                </c:pt>
                <c:pt idx="1">
                  <c:v>#N/A</c:v>
                </c:pt>
                <c:pt idx="2">
                  <c:v>#N/A</c:v>
                </c:pt>
                <c:pt idx="3">
                  <c:v>#N/A</c:v>
                </c:pt>
                <c:pt idx="4">
                  <c:v>#N/A</c:v>
                </c:pt>
                <c:pt idx="5">
                  <c:v>#N/A</c:v>
                </c:pt>
                <c:pt idx="6">
                  <c:v>#N/A</c:v>
                </c:pt>
                <c:pt idx="7">
                  <c:v>#N/A</c:v>
                </c:pt>
              </c:numCache>
            </c:numRef>
          </c:xVal>
          <c:yVal>
            <c:numRef>
              <c:f>Describe!$FW$20:$FW$27</c:f>
              <c:numCache>
                <c:formatCode>General</c:formatCode>
                <c:ptCount val="8"/>
                <c:pt idx="0">
                  <c:v>0</c:v>
                </c:pt>
                <c:pt idx="1">
                  <c:v>0</c:v>
                </c:pt>
                <c:pt idx="2">
                  <c:v>0</c:v>
                </c:pt>
                <c:pt idx="3">
                  <c:v>0</c:v>
                </c:pt>
                <c:pt idx="4">
                  <c:v>0</c:v>
                </c:pt>
                <c:pt idx="5">
                  <c:v>0</c:v>
                </c:pt>
                <c:pt idx="6">
                  <c:v>0</c:v>
                </c:pt>
                <c:pt idx="7">
                  <c:v>0</c:v>
                </c:pt>
              </c:numCache>
            </c:numRef>
          </c:yVal>
        </c:ser>
        <c:ser>
          <c:idx val="64"/>
          <c:order val="63"/>
          <c:spPr>
            <a:ln w="28575">
              <a:noFill/>
            </a:ln>
          </c:spPr>
          <c:marker>
            <c:symbol val="none"/>
          </c:marker>
          <c:errBars>
            <c:errDir val="y"/>
            <c:errBarType val="minus"/>
            <c:errValType val="cust"/>
            <c:noEndCap val="1"/>
            <c:minus>
              <c:numRef>
                <c:f>Describe!$FX$10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Describe!$FX$20:$FX$27</c:f>
              <c:numCache>
                <c:formatCode>General</c:formatCode>
                <c:ptCount val="8"/>
                <c:pt idx="0">
                  <c:v>#N/A</c:v>
                </c:pt>
                <c:pt idx="1">
                  <c:v>#N/A</c:v>
                </c:pt>
                <c:pt idx="2">
                  <c:v>#N/A</c:v>
                </c:pt>
                <c:pt idx="3">
                  <c:v>#N/A</c:v>
                </c:pt>
                <c:pt idx="4">
                  <c:v>#N/A</c:v>
                </c:pt>
                <c:pt idx="5">
                  <c:v>#N/A</c:v>
                </c:pt>
                <c:pt idx="6">
                  <c:v>#N/A</c:v>
                </c:pt>
                <c:pt idx="7">
                  <c:v>#N/A</c:v>
                </c:pt>
              </c:numCache>
            </c:numRef>
          </c:xVal>
          <c:yVal>
            <c:numRef>
              <c:f>Describe!$FY$20:$FY$27</c:f>
              <c:numCache>
                <c:formatCode>General</c:formatCode>
                <c:ptCount val="8"/>
                <c:pt idx="0">
                  <c:v>0</c:v>
                </c:pt>
                <c:pt idx="1">
                  <c:v>0</c:v>
                </c:pt>
                <c:pt idx="2">
                  <c:v>0</c:v>
                </c:pt>
                <c:pt idx="3">
                  <c:v>0</c:v>
                </c:pt>
                <c:pt idx="4">
                  <c:v>0</c:v>
                </c:pt>
                <c:pt idx="5">
                  <c:v>0</c:v>
                </c:pt>
                <c:pt idx="6">
                  <c:v>0</c:v>
                </c:pt>
                <c:pt idx="7">
                  <c:v>0</c:v>
                </c:pt>
              </c:numCache>
            </c:numRef>
          </c:yVal>
        </c:ser>
        <c:ser>
          <c:idx val="65"/>
          <c:order val="64"/>
          <c:spPr>
            <a:ln w="28575">
              <a:noFill/>
            </a:ln>
          </c:spPr>
          <c:marker>
            <c:symbol val="none"/>
          </c:marker>
          <c:errBars>
            <c:errDir val="y"/>
            <c:errBarType val="minus"/>
            <c:errValType val="cust"/>
            <c:noEndCap val="1"/>
            <c:minus>
              <c:numRef>
                <c:f>Describe!$FZ$10</c:f>
                <c:numCache>
                  <c:formatCode>General</c:formatCode>
                  <c:ptCount val="1"/>
                  <c:pt idx="0">
                    <c:v>#N/A</c:v>
                  </c:pt>
                </c:numCache>
              </c:numRef>
            </c:minus>
            <c:spPr>
              <a:ln w="38100">
                <a:pattFill prst="pct75">
                  <a:fgClr>
                    <a:srgbClr val="FF0000"/>
                  </a:fgClr>
                  <a:bgClr>
                    <a:srgbClr val="FFFFFF"/>
                  </a:bgClr>
                </a:pattFill>
                <a:prstDash val="solid"/>
              </a:ln>
            </c:spPr>
          </c:errBars>
          <c:xVal>
            <c:numRef>
              <c:f>Describe!$FZ$20:$FZ$27</c:f>
              <c:numCache>
                <c:formatCode>General</c:formatCode>
                <c:ptCount val="8"/>
                <c:pt idx="0">
                  <c:v>#N/A</c:v>
                </c:pt>
                <c:pt idx="1">
                  <c:v>#N/A</c:v>
                </c:pt>
                <c:pt idx="2">
                  <c:v>#N/A</c:v>
                </c:pt>
                <c:pt idx="3">
                  <c:v>#N/A</c:v>
                </c:pt>
                <c:pt idx="4">
                  <c:v>#N/A</c:v>
                </c:pt>
                <c:pt idx="5">
                  <c:v>#N/A</c:v>
                </c:pt>
                <c:pt idx="6">
                  <c:v>#N/A</c:v>
                </c:pt>
                <c:pt idx="7">
                  <c:v>#N/A</c:v>
                </c:pt>
              </c:numCache>
            </c:numRef>
          </c:xVal>
          <c:yVal>
            <c:numRef>
              <c:f>Describe!$GA$20:$GA$27</c:f>
              <c:numCache>
                <c:formatCode>General</c:formatCode>
                <c:ptCount val="8"/>
                <c:pt idx="0">
                  <c:v>0</c:v>
                </c:pt>
                <c:pt idx="1">
                  <c:v>0</c:v>
                </c:pt>
                <c:pt idx="2">
                  <c:v>0</c:v>
                </c:pt>
                <c:pt idx="3">
                  <c:v>0</c:v>
                </c:pt>
                <c:pt idx="4">
                  <c:v>0</c:v>
                </c:pt>
                <c:pt idx="5">
                  <c:v>0</c:v>
                </c:pt>
                <c:pt idx="6">
                  <c:v>0</c:v>
                </c:pt>
                <c:pt idx="7">
                  <c:v>0</c:v>
                </c:pt>
              </c:numCache>
            </c:numRef>
          </c:yVal>
        </c:ser>
        <c:ser>
          <c:idx val="66"/>
          <c:order val="65"/>
          <c:spPr>
            <a:ln w="28575">
              <a:noFill/>
            </a:ln>
          </c:spPr>
          <c:marker>
            <c:symbol val="none"/>
          </c:marker>
          <c:errBars>
            <c:errDir val="y"/>
            <c:errBarType val="minus"/>
            <c:errValType val="cust"/>
            <c:noEndCap val="1"/>
            <c:minus>
              <c:numRef>
                <c:f>Describe!$GD$10</c:f>
                <c:numCache>
                  <c:formatCode>General</c:formatCode>
                  <c:ptCount val="1"/>
                  <c:pt idx="0">
                    <c:v>#N/A</c:v>
                  </c:pt>
                </c:numCache>
              </c:numRef>
            </c:minus>
            <c:spPr>
              <a:ln w="38100">
                <a:pattFill prst="pct75">
                  <a:fgClr>
                    <a:srgbClr val="FF0000"/>
                  </a:fgClr>
                  <a:bgClr>
                    <a:srgbClr val="FFFFFF"/>
                  </a:bgClr>
                </a:pattFill>
                <a:prstDash val="solid"/>
              </a:ln>
            </c:spPr>
          </c:errBars>
          <c:xVal>
            <c:numRef>
              <c:f>Describe!$GD$20:$GD$27</c:f>
              <c:numCache>
                <c:formatCode>General</c:formatCode>
                <c:ptCount val="8"/>
                <c:pt idx="0">
                  <c:v>#N/A</c:v>
                </c:pt>
                <c:pt idx="1">
                  <c:v>#N/A</c:v>
                </c:pt>
                <c:pt idx="2">
                  <c:v>#N/A</c:v>
                </c:pt>
                <c:pt idx="3">
                  <c:v>#N/A</c:v>
                </c:pt>
                <c:pt idx="4">
                  <c:v>#N/A</c:v>
                </c:pt>
                <c:pt idx="5">
                  <c:v>#N/A</c:v>
                </c:pt>
                <c:pt idx="6">
                  <c:v>#N/A</c:v>
                </c:pt>
                <c:pt idx="7">
                  <c:v>#N/A</c:v>
                </c:pt>
              </c:numCache>
            </c:numRef>
          </c:xVal>
          <c:yVal>
            <c:numRef>
              <c:f>Describe!$GE$20:$GE$27</c:f>
              <c:numCache>
                <c:formatCode>General</c:formatCode>
                <c:ptCount val="8"/>
                <c:pt idx="0">
                  <c:v>0</c:v>
                </c:pt>
                <c:pt idx="1">
                  <c:v>0</c:v>
                </c:pt>
                <c:pt idx="2">
                  <c:v>0</c:v>
                </c:pt>
                <c:pt idx="3">
                  <c:v>0</c:v>
                </c:pt>
                <c:pt idx="4">
                  <c:v>0</c:v>
                </c:pt>
                <c:pt idx="5">
                  <c:v>0</c:v>
                </c:pt>
                <c:pt idx="6">
                  <c:v>0</c:v>
                </c:pt>
                <c:pt idx="7">
                  <c:v>0</c:v>
                </c:pt>
              </c:numCache>
            </c:numRef>
          </c:yVal>
        </c:ser>
        <c:ser>
          <c:idx val="67"/>
          <c:order val="66"/>
          <c:spPr>
            <a:ln w="28575">
              <a:noFill/>
            </a:ln>
          </c:spPr>
          <c:marker>
            <c:symbol val="none"/>
          </c:marker>
          <c:dLbls>
            <c:dLbl>
              <c:idx val="0"/>
              <c:layout>
                <c:manualLayout>
                  <c:x val="2.4423032316283023E-3"/>
                  <c:y val="-5.8012659960264258E-2"/>
                </c:manualLayout>
              </c:layout>
              <c:tx>
                <c:strRef>
                  <c:f>Describe!$AD$27</c:f>
                  <c:strCache>
                    <c:ptCount val="1"/>
                    <c:pt idx="0">
                      <c:v>#N/A</c:v>
                    </c:pt>
                  </c:strCache>
                </c:strRef>
              </c:tx>
              <c:dLblPos val="r"/>
            </c:dLbl>
            <c:spPr>
              <a:noFill/>
              <a:ln w="25400">
                <a:noFill/>
              </a:ln>
            </c:spPr>
            <c:txPr>
              <a:bodyPr/>
              <a:lstStyle/>
              <a:p>
                <a:pPr>
                  <a:defRPr sz="850" b="0" i="0" u="none" strike="noStrike" baseline="0">
                    <a:solidFill>
                      <a:srgbClr val="000000"/>
                    </a:solidFill>
                    <a:latin typeface="Arial"/>
                    <a:ea typeface="Arial"/>
                    <a:cs typeface="Arial"/>
                  </a:defRPr>
                </a:pPr>
                <a:endParaRPr lang="en-US"/>
              </a:p>
            </c:txPr>
            <c:dLblPos val="t"/>
            <c:showVal val="1"/>
          </c:dLbls>
          <c:errBars>
            <c:errDir val="y"/>
            <c:errBarType val="minus"/>
            <c:errValType val="cust"/>
            <c:noEndCap val="1"/>
            <c:minus>
              <c:numRef>
                <c:f>Describe!$AD$26</c:f>
                <c:numCache>
                  <c:formatCode>General</c:formatCode>
                  <c:ptCount val="1"/>
                  <c:pt idx="0">
                    <c:v>7.3</c:v>
                  </c:pt>
                </c:numCache>
              </c:numRef>
            </c:minus>
            <c:spPr>
              <a:ln w="25400">
                <a:solidFill>
                  <a:srgbClr val="FF0000"/>
                </a:solidFill>
                <a:prstDash val="solid"/>
              </a:ln>
            </c:spPr>
          </c:errBars>
          <c:xVal>
            <c:numRef>
              <c:f>Describe!$AC$26</c:f>
              <c:numCache>
                <c:formatCode>General</c:formatCode>
                <c:ptCount val="1"/>
                <c:pt idx="0">
                  <c:v>#N/A</c:v>
                </c:pt>
              </c:numCache>
            </c:numRef>
          </c:xVal>
          <c:yVal>
            <c:numRef>
              <c:f>Describe!$AD$26</c:f>
              <c:numCache>
                <c:formatCode>General</c:formatCode>
                <c:ptCount val="1"/>
                <c:pt idx="0">
                  <c:v>7.3</c:v>
                </c:pt>
              </c:numCache>
            </c:numRef>
          </c:yVal>
        </c:ser>
        <c:ser>
          <c:idx val="34"/>
          <c:order val="67"/>
          <c:spPr>
            <a:ln w="28575">
              <a:noFill/>
            </a:ln>
          </c:spPr>
          <c:marker>
            <c:symbol val="none"/>
          </c:marker>
          <c:dLbls>
            <c:dLbl>
              <c:idx val="0"/>
              <c:layout>
                <c:manualLayout>
                  <c:x val="-5.3272517019932837E-3"/>
                  <c:y val="2.4269815549657109E-3"/>
                </c:manualLayout>
              </c:layout>
              <c:tx>
                <c:strRef>
                  <c:f>Describe!$AE$25</c:f>
                  <c:strCache>
                    <c:ptCount val="1"/>
                    <c:pt idx="0">
                      <c:v>#N/A</c:v>
                    </c:pt>
                  </c:strCache>
                </c:strRef>
              </c:tx>
              <c:dLblPos val="r"/>
            </c:dLbl>
            <c:spPr>
              <a:noFill/>
              <a:ln w="25400">
                <a:noFill/>
              </a:ln>
            </c:spPr>
            <c:txPr>
              <a:bodyPr/>
              <a:lstStyle/>
              <a:p>
                <a:pPr algn="l">
                  <a:defRPr sz="850" b="0" i="0" u="none" strike="noStrike" baseline="0">
                    <a:solidFill>
                      <a:srgbClr val="FF0000"/>
                    </a:solidFill>
                    <a:latin typeface="Arial"/>
                    <a:ea typeface="Arial"/>
                    <a:cs typeface="Arial"/>
                  </a:defRPr>
                </a:pPr>
                <a:endParaRPr lang="en-US"/>
              </a:p>
            </c:txPr>
            <c:dLblPos val="l"/>
            <c:showVal val="1"/>
          </c:dLbls>
          <c:errBars>
            <c:errDir val="y"/>
            <c:errBarType val="minus"/>
            <c:errValType val="cust"/>
            <c:noEndCap val="1"/>
            <c:minus>
              <c:numRef>
                <c:f>Describe!$AD$25</c:f>
                <c:numCache>
                  <c:formatCode>General</c:formatCode>
                  <c:ptCount val="1"/>
                  <c:pt idx="0">
                    <c:v>7.3</c:v>
                  </c:pt>
                </c:numCache>
              </c:numRef>
            </c:minus>
            <c:spPr>
              <a:ln w="25400">
                <a:solidFill>
                  <a:srgbClr val="FF0000"/>
                </a:solidFill>
                <a:prstDash val="solid"/>
              </a:ln>
            </c:spPr>
          </c:errBars>
          <c:xVal>
            <c:numRef>
              <c:f>Describe!$AC$25</c:f>
              <c:numCache>
                <c:formatCode>General</c:formatCode>
                <c:ptCount val="1"/>
                <c:pt idx="0">
                  <c:v>#N/A</c:v>
                </c:pt>
              </c:numCache>
            </c:numRef>
          </c:xVal>
          <c:yVal>
            <c:numRef>
              <c:f>Describe!$AD$25</c:f>
              <c:numCache>
                <c:formatCode>General</c:formatCode>
                <c:ptCount val="1"/>
                <c:pt idx="0">
                  <c:v>7.3</c:v>
                </c:pt>
              </c:numCache>
            </c:numRef>
          </c:yVal>
        </c:ser>
        <c:ser>
          <c:idx val="68"/>
          <c:order val="68"/>
          <c:spPr>
            <a:ln w="12700">
              <a:solidFill>
                <a:srgbClr val="FF00FF"/>
              </a:solidFill>
              <a:prstDash val="solid"/>
            </a:ln>
          </c:spPr>
          <c:marker>
            <c:symbol val="diamond"/>
            <c:size val="9"/>
            <c:spPr>
              <a:noFill/>
              <a:ln>
                <a:solidFill>
                  <a:srgbClr val="FF00FF"/>
                </a:solidFill>
                <a:prstDash val="solid"/>
              </a:ln>
            </c:spPr>
          </c:marker>
          <c:errBars>
            <c:errDir val="y"/>
            <c:errBarType val="minus"/>
            <c:errValType val="cust"/>
            <c:noEndCap val="1"/>
            <c:minus>
              <c:numRef>
                <c:f>Describe!$CS$29:$CS$30</c:f>
                <c:numCache>
                  <c:formatCode>General</c:formatCode>
                  <c:ptCount val="2"/>
                  <c:pt idx="0">
                    <c:v>8</c:v>
                  </c:pt>
                  <c:pt idx="1">
                    <c:v>8</c:v>
                  </c:pt>
                </c:numCache>
              </c:numRef>
            </c:minus>
            <c:spPr>
              <a:ln w="12700">
                <a:solidFill>
                  <a:srgbClr val="FF00FF"/>
                </a:solidFill>
                <a:prstDash val="solid"/>
              </a:ln>
            </c:spPr>
          </c:errBars>
          <c:xVal>
            <c:numRef>
              <c:f>Describe!$CR$29:$CR$30</c:f>
              <c:numCache>
                <c:formatCode>General</c:formatCode>
                <c:ptCount val="2"/>
                <c:pt idx="0">
                  <c:v>#N/A</c:v>
                </c:pt>
                <c:pt idx="1">
                  <c:v>#N/A</c:v>
                </c:pt>
              </c:numCache>
            </c:numRef>
          </c:xVal>
          <c:yVal>
            <c:numRef>
              <c:f>Describe!$CS$29:$CS$30</c:f>
              <c:numCache>
                <c:formatCode>0</c:formatCode>
                <c:ptCount val="2"/>
                <c:pt idx="0" formatCode="General">
                  <c:v>8</c:v>
                </c:pt>
                <c:pt idx="1">
                  <c:v>8</c:v>
                </c:pt>
              </c:numCache>
            </c:numRef>
          </c:yVal>
        </c:ser>
        <c:axId val="135638016"/>
        <c:axId val="135656192"/>
      </c:scatterChart>
      <c:valAx>
        <c:axId val="135638016"/>
        <c:scaling>
          <c:orientation val="minMax"/>
          <c:max val="45"/>
          <c:min val="-5"/>
        </c:scaling>
        <c:axPos val="b"/>
        <c:numFmt formatCode="General" sourceLinked="1"/>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35656192"/>
        <c:crosses val="autoZero"/>
        <c:crossBetween val="midCat"/>
        <c:majorUnit val="5"/>
      </c:valAx>
      <c:valAx>
        <c:axId val="135656192"/>
        <c:scaling>
          <c:orientation val="minMax"/>
          <c:max val="8"/>
          <c:min val="0"/>
        </c:scaling>
        <c:axPos val="l"/>
        <c:title>
          <c:tx>
            <c:rich>
              <a:bodyPr/>
              <a:lstStyle/>
              <a:p>
                <a:pPr>
                  <a:defRPr sz="900" b="0" i="0" u="none" strike="noStrike" baseline="0">
                    <a:solidFill>
                      <a:srgbClr val="000000"/>
                    </a:solidFill>
                    <a:latin typeface="Arial"/>
                    <a:ea typeface="Arial"/>
                    <a:cs typeface="Arial"/>
                  </a:defRPr>
                </a:pPr>
                <a:r>
                  <a:rPr lang="en-AU"/>
                  <a:t>Frequency</a:t>
                </a:r>
              </a:p>
            </c:rich>
          </c:tx>
          <c:layout>
            <c:manualLayout>
              <c:xMode val="edge"/>
              <c:yMode val="edge"/>
              <c:x val="7.9491255961844261E-3"/>
              <c:y val="0.39011041341648456"/>
            </c:manualLayout>
          </c:layout>
          <c:spPr>
            <a:noFill/>
            <a:ln w="25400">
              <a:noFill/>
            </a:ln>
          </c:spPr>
        </c:title>
        <c:numFmt formatCode="000" sourceLinked="0"/>
        <c:minorTickMark val="out"/>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35638016"/>
        <c:crossesAt val="-5"/>
        <c:crossBetween val="midCat"/>
        <c:majorUnit val="1"/>
        <c:minorUnit val="1"/>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AU"/>
  <c:chart>
    <c:plotArea>
      <c:layout/>
      <c:scatterChart>
        <c:scatterStyle val="lineMarker"/>
        <c:ser>
          <c:idx val="1"/>
          <c:order val="0"/>
          <c:spPr>
            <a:ln w="28575">
              <a:noFill/>
            </a:ln>
          </c:spPr>
          <c:marker>
            <c:symbol val="triangle"/>
            <c:size val="10"/>
            <c:spPr>
              <a:solidFill>
                <a:srgbClr val="00FF00"/>
              </a:solidFill>
              <a:ln>
                <a:solidFill>
                  <a:srgbClr val="000000"/>
                </a:solidFill>
                <a:prstDash val="solid"/>
              </a:ln>
              <a:effectLst>
                <a:outerShdw dist="35921" dir="2700000" algn="br">
                  <a:srgbClr val="000000"/>
                </a:outerShdw>
              </a:effectLst>
            </c:spPr>
          </c:marker>
          <c:xVal>
            <c:numRef>
              <c:f>Describe!$CR$7</c:f>
              <c:numCache>
                <c:formatCode>0</c:formatCode>
                <c:ptCount val="1"/>
                <c:pt idx="0">
                  <c:v>0</c:v>
                </c:pt>
              </c:numCache>
            </c:numRef>
          </c:xVal>
          <c:yVal>
            <c:numRef>
              <c:f>Describe!$CS$7</c:f>
              <c:numCache>
                <c:formatCode>0</c:formatCode>
                <c:ptCount val="1"/>
                <c:pt idx="0">
                  <c:v>0</c:v>
                </c:pt>
              </c:numCache>
            </c:numRef>
          </c:yVal>
        </c:ser>
        <c:axId val="135684864"/>
        <c:axId val="135686784"/>
      </c:scatterChart>
      <c:valAx>
        <c:axId val="135684864"/>
        <c:scaling>
          <c:orientation val="minMax"/>
          <c:max val="1"/>
          <c:min val="-0.2"/>
        </c:scaling>
        <c:axPos val="b"/>
        <c:numFmt formatCode="0" sourceLinked="1"/>
        <c:majorTickMark val="none"/>
        <c:tickLblPos val="none"/>
        <c:spPr>
          <a:ln w="9525">
            <a:noFill/>
          </a:ln>
        </c:spPr>
        <c:crossAx val="135686784"/>
        <c:crosses val="autoZero"/>
        <c:crossBetween val="midCat"/>
      </c:valAx>
      <c:valAx>
        <c:axId val="135686784"/>
        <c:scaling>
          <c:orientation val="minMax"/>
          <c:max val="0.2"/>
          <c:min val="-1"/>
        </c:scaling>
        <c:axPos val="l"/>
        <c:numFmt formatCode="0" sourceLinked="1"/>
        <c:majorTickMark val="none"/>
        <c:tickLblPos val="none"/>
        <c:spPr>
          <a:ln w="9525">
            <a:noFill/>
          </a:ln>
        </c:spPr>
        <c:crossAx val="135684864"/>
        <c:crosses val="autoZero"/>
        <c:crossBetween val="midCat"/>
      </c:valAx>
      <c:spPr>
        <a:noFill/>
        <a:ln w="25400">
          <a:noFill/>
        </a:ln>
      </c:spPr>
    </c:plotArea>
    <c:plotVisOnly val="1"/>
    <c:dispBlanksAs val="gap"/>
  </c:chart>
  <c:spPr>
    <a:no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AU"/>
  <c:chart>
    <c:plotArea>
      <c:layout/>
      <c:scatterChart>
        <c:scatterStyle val="lineMarker"/>
        <c:ser>
          <c:idx val="1"/>
          <c:order val="0"/>
          <c:spPr>
            <a:ln w="28575">
              <a:noFill/>
            </a:ln>
          </c:spPr>
          <c:marker>
            <c:symbol val="diamond"/>
            <c:size val="10"/>
            <c:spPr>
              <a:solidFill>
                <a:srgbClr val="FFFFFF"/>
              </a:solidFill>
              <a:ln>
                <a:solidFill>
                  <a:srgbClr val="FF00FF"/>
                </a:solidFill>
                <a:prstDash val="solid"/>
              </a:ln>
            </c:spPr>
          </c:marker>
          <c:xVal>
            <c:numRef>
              <c:f>Describe!$CR$7</c:f>
              <c:numCache>
                <c:formatCode>0</c:formatCode>
                <c:ptCount val="1"/>
                <c:pt idx="0">
                  <c:v>0</c:v>
                </c:pt>
              </c:numCache>
            </c:numRef>
          </c:xVal>
          <c:yVal>
            <c:numRef>
              <c:f>Describe!$CS$7</c:f>
              <c:numCache>
                <c:formatCode>0</c:formatCode>
                <c:ptCount val="1"/>
                <c:pt idx="0">
                  <c:v>0</c:v>
                </c:pt>
              </c:numCache>
            </c:numRef>
          </c:yVal>
        </c:ser>
        <c:axId val="135697536"/>
        <c:axId val="135699456"/>
      </c:scatterChart>
      <c:valAx>
        <c:axId val="135697536"/>
        <c:scaling>
          <c:orientation val="minMax"/>
          <c:max val="1"/>
          <c:min val="-0.2"/>
        </c:scaling>
        <c:axPos val="b"/>
        <c:numFmt formatCode="0" sourceLinked="1"/>
        <c:majorTickMark val="none"/>
        <c:tickLblPos val="none"/>
        <c:spPr>
          <a:ln w="9525">
            <a:noFill/>
          </a:ln>
        </c:spPr>
        <c:crossAx val="135699456"/>
        <c:crosses val="autoZero"/>
        <c:crossBetween val="midCat"/>
      </c:valAx>
      <c:valAx>
        <c:axId val="135699456"/>
        <c:scaling>
          <c:orientation val="minMax"/>
          <c:max val="0.2"/>
          <c:min val="-1"/>
        </c:scaling>
        <c:axPos val="l"/>
        <c:numFmt formatCode="0" sourceLinked="1"/>
        <c:majorTickMark val="none"/>
        <c:tickLblPos val="none"/>
        <c:spPr>
          <a:ln w="9525">
            <a:noFill/>
          </a:ln>
        </c:spPr>
        <c:crossAx val="135697536"/>
        <c:crosses val="autoZero"/>
        <c:crossBetween val="midCat"/>
      </c:valAx>
      <c:spPr>
        <a:noFill/>
        <a:ln w="25400">
          <a:noFill/>
        </a:ln>
      </c:spPr>
    </c:plotArea>
    <c:plotVisOnly val="1"/>
    <c:dispBlanksAs val="gap"/>
  </c:chart>
  <c:spPr>
    <a:no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AU"/>
  <c:chart>
    <c:plotArea>
      <c:layout/>
      <c:scatterChart>
        <c:scatterStyle val="lineMarker"/>
        <c:ser>
          <c:idx val="1"/>
          <c:order val="0"/>
          <c:spPr>
            <a:ln w="28575">
              <a:noFill/>
            </a:ln>
          </c:spPr>
          <c:marker>
            <c:symbol val="star"/>
            <c:size val="10"/>
            <c:spPr>
              <a:solidFill>
                <a:srgbClr val="CCFFFF"/>
              </a:solidFill>
              <a:ln>
                <a:solidFill>
                  <a:srgbClr val="008000"/>
                </a:solidFill>
                <a:prstDash val="solid"/>
              </a:ln>
            </c:spPr>
          </c:marker>
          <c:xVal>
            <c:numRef>
              <c:f>Describe!$CR$7</c:f>
              <c:numCache>
                <c:formatCode>0</c:formatCode>
                <c:ptCount val="1"/>
                <c:pt idx="0">
                  <c:v>0</c:v>
                </c:pt>
              </c:numCache>
            </c:numRef>
          </c:xVal>
          <c:yVal>
            <c:numRef>
              <c:f>Describe!$CS$7</c:f>
              <c:numCache>
                <c:formatCode>0</c:formatCode>
                <c:ptCount val="1"/>
                <c:pt idx="0">
                  <c:v>0</c:v>
                </c:pt>
              </c:numCache>
            </c:numRef>
          </c:yVal>
        </c:ser>
        <c:axId val="135710208"/>
        <c:axId val="135712128"/>
      </c:scatterChart>
      <c:valAx>
        <c:axId val="135710208"/>
        <c:scaling>
          <c:orientation val="minMax"/>
          <c:max val="1"/>
          <c:min val="-0.2"/>
        </c:scaling>
        <c:axPos val="b"/>
        <c:numFmt formatCode="0" sourceLinked="1"/>
        <c:majorTickMark val="none"/>
        <c:tickLblPos val="none"/>
        <c:spPr>
          <a:ln w="9525">
            <a:noFill/>
          </a:ln>
        </c:spPr>
        <c:crossAx val="135712128"/>
        <c:crosses val="autoZero"/>
        <c:crossBetween val="midCat"/>
      </c:valAx>
      <c:valAx>
        <c:axId val="135712128"/>
        <c:scaling>
          <c:orientation val="minMax"/>
          <c:max val="0.2"/>
          <c:min val="-1"/>
        </c:scaling>
        <c:axPos val="l"/>
        <c:numFmt formatCode="0" sourceLinked="1"/>
        <c:majorTickMark val="none"/>
        <c:tickLblPos val="none"/>
        <c:spPr>
          <a:ln w="9525">
            <a:noFill/>
          </a:ln>
        </c:spPr>
        <c:crossAx val="135710208"/>
        <c:crosses val="autoZero"/>
        <c:crossBetween val="midCat"/>
      </c:valAx>
      <c:spPr>
        <a:noFill/>
        <a:ln w="25400">
          <a:noFill/>
        </a:ln>
      </c:spPr>
    </c:plotArea>
    <c:plotVisOnly val="1"/>
    <c:dispBlanksAs val="gap"/>
  </c:chart>
  <c:spPr>
    <a:no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AU"/>
  <c:chart>
    <c:plotArea>
      <c:layout/>
      <c:scatterChart>
        <c:scatterStyle val="lineMarker"/>
        <c:ser>
          <c:idx val="1"/>
          <c:order val="0"/>
          <c:spPr>
            <a:ln w="28575">
              <a:noFill/>
            </a:ln>
          </c:spPr>
          <c:marker>
            <c:symbol val="diamond"/>
            <c:size val="10"/>
            <c:spPr>
              <a:solidFill>
                <a:srgbClr val="FF00FF"/>
              </a:solidFill>
              <a:ln>
                <a:solidFill>
                  <a:srgbClr val="000000"/>
                </a:solidFill>
                <a:prstDash val="solid"/>
              </a:ln>
            </c:spPr>
          </c:marker>
          <c:xVal>
            <c:numRef>
              <c:f>Describe!$CR$7</c:f>
              <c:numCache>
                <c:formatCode>0</c:formatCode>
                <c:ptCount val="1"/>
                <c:pt idx="0">
                  <c:v>0</c:v>
                </c:pt>
              </c:numCache>
            </c:numRef>
          </c:xVal>
          <c:yVal>
            <c:numRef>
              <c:f>Describe!$CS$7</c:f>
              <c:numCache>
                <c:formatCode>0</c:formatCode>
                <c:ptCount val="1"/>
                <c:pt idx="0">
                  <c:v>0</c:v>
                </c:pt>
              </c:numCache>
            </c:numRef>
          </c:yVal>
        </c:ser>
        <c:axId val="135722880"/>
        <c:axId val="135733248"/>
      </c:scatterChart>
      <c:valAx>
        <c:axId val="135722880"/>
        <c:scaling>
          <c:orientation val="minMax"/>
          <c:max val="1"/>
          <c:min val="-0.2"/>
        </c:scaling>
        <c:axPos val="b"/>
        <c:numFmt formatCode="0" sourceLinked="1"/>
        <c:majorTickMark val="none"/>
        <c:tickLblPos val="none"/>
        <c:spPr>
          <a:ln w="9525">
            <a:noFill/>
          </a:ln>
        </c:spPr>
        <c:crossAx val="135733248"/>
        <c:crosses val="autoZero"/>
        <c:crossBetween val="midCat"/>
      </c:valAx>
      <c:valAx>
        <c:axId val="135733248"/>
        <c:scaling>
          <c:orientation val="minMax"/>
          <c:max val="0.2"/>
          <c:min val="-1"/>
        </c:scaling>
        <c:axPos val="l"/>
        <c:numFmt formatCode="0" sourceLinked="1"/>
        <c:majorTickMark val="none"/>
        <c:tickLblPos val="none"/>
        <c:spPr>
          <a:ln w="9525">
            <a:noFill/>
          </a:ln>
        </c:spPr>
        <c:crossAx val="135722880"/>
        <c:crosses val="autoZero"/>
        <c:crossBetween val="midCat"/>
      </c:valAx>
      <c:spPr>
        <a:noFill/>
        <a:ln w="25400">
          <a:noFill/>
        </a:ln>
      </c:spPr>
    </c:plotArea>
    <c:plotVisOnly val="1"/>
    <c:dispBlanksAs val="gap"/>
  </c:chart>
  <c:spPr>
    <a:no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4.024770843994023E-2"/>
          <c:y val="2.7777853130026953E-2"/>
          <c:w val="0.93498522683553464"/>
          <c:h val="0.87778015890885164"/>
        </c:manualLayout>
      </c:layout>
      <c:scatterChart>
        <c:scatterStyle val="lineMarker"/>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Normal!$BA$37:$BA$47</c:f>
              <c:numCache>
                <c:formatCode>General</c:formatCode>
                <c:ptCount val="11"/>
                <c:pt idx="0">
                  <c:v>1.4045498534131234E-2</c:v>
                </c:pt>
                <c:pt idx="1">
                  <c:v>1.4091703717228583E-2</c:v>
                </c:pt>
                <c:pt idx="2">
                  <c:v>1.4138133996140901E-2</c:v>
                </c:pt>
                <c:pt idx="3">
                  <c:v>1.4184790813646436E-2</c:v>
                </c:pt>
                <c:pt idx="4">
                  <c:v>1.4231675623921509E-2</c:v>
                </c:pt>
                <c:pt idx="5">
                  <c:v>1.4278789892646856E-2</c:v>
                </c:pt>
                <c:pt idx="6">
                  <c:v>1.4326135097115309E-2</c:v>
                </c:pt>
                <c:pt idx="7">
                  <c:v>1.4373712726340445E-2</c:v>
                </c:pt>
                <c:pt idx="8">
                  <c:v>1.4421524281166519E-2</c:v>
                </c:pt>
                <c:pt idx="9">
                  <c:v>1.4469571274379459E-2</c:v>
                </c:pt>
                <c:pt idx="10">
                  <c:v>1.4517855230819273E-2</c:v>
                </c:pt>
              </c:numCache>
            </c:numRef>
          </c:xVal>
          <c:yVal>
            <c:numRef>
              <c:f>Normal!$BB$37:$BB$47</c:f>
              <c:numCache>
                <c:formatCode>General</c:formatCode>
                <c:ptCount val="11"/>
                <c:pt idx="0">
                  <c:v>1.4045590720805128E-2</c:v>
                </c:pt>
                <c:pt idx="1">
                  <c:v>1.4091796352661742E-2</c:v>
                </c:pt>
                <c:pt idx="2">
                  <c:v>1.4138227083207576E-2</c:v>
                </c:pt>
                <c:pt idx="3">
                  <c:v>1.4184884355243562E-2</c:v>
                </c:pt>
                <c:pt idx="4">
                  <c:v>1.4231769622968928E-2</c:v>
                </c:pt>
                <c:pt idx="5">
                  <c:v>1.4278884352087538E-2</c:v>
                </c:pt>
                <c:pt idx="6">
                  <c:v>1.4326230019915542E-2</c:v>
                </c:pt>
                <c:pt idx="7">
                  <c:v>1.4373808115490086E-2</c:v>
                </c:pt>
                <c:pt idx="8">
                  <c:v>1.4421620139679158E-2</c:v>
                </c:pt>
                <c:pt idx="9">
                  <c:v>1.4469667605292729E-2</c:v>
                </c:pt>
                <c:pt idx="10">
                  <c:v>1.4517952037195008E-2</c:v>
                </c:pt>
              </c:numCache>
            </c:numRef>
          </c:yVal>
        </c:ser>
        <c:ser>
          <c:idx val="2"/>
          <c:order val="1"/>
          <c:spPr>
            <a:ln w="28575">
              <a:noFill/>
            </a:ln>
          </c:spPr>
          <c:marker>
            <c:symbol val="circle"/>
            <c:size val="6"/>
            <c:spPr>
              <a:noFill/>
              <a:ln>
                <a:solidFill>
                  <a:srgbClr val="0000FF"/>
                </a:solidFill>
                <a:prstDash val="solid"/>
              </a:ln>
            </c:spPr>
          </c:marker>
          <c:xVal>
            <c:strRef>
              <c:f>Normal!$BF$10:$BF$108</c:f>
              <c:strCache>
                <c:ptCount val="99"/>
                <c:pt idx="0">
                  <c:v>#N/A</c:v>
                </c:pt>
                <c:pt idx="1">
                  <c:v>#N/A</c:v>
                </c:pt>
                <c:pt idx="4">
                  <c:v>z 2 tail</c:v>
                </c:pt>
                <c:pt idx="5">
                  <c:v>1.959963985</c:v>
                </c:pt>
                <c:pt idx="7">
                  <c:v>cutoff</c:v>
                </c:pt>
                <c:pt idx="8">
                  <c:v>0.004</c:v>
                </c:pt>
                <c:pt idx="9">
                  <c:v>1.964</c:v>
                </c:pt>
                <c:pt idx="10">
                  <c:v>t tail(s)</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strCache>
            </c:strRef>
          </c:xVal>
          <c:yVal>
            <c:numRef>
              <c:f>Normal!$BG$10:$BG$108</c:f>
              <c:numCache>
                <c:formatCode>General</c:formatCode>
                <c:ptCount val="99"/>
                <c:pt idx="0">
                  <c:v>0.39</c:v>
                </c:pt>
                <c:pt idx="1">
                  <c:v>0.39</c:v>
                </c:pt>
                <c:pt idx="4">
                  <c:v>0</c:v>
                </c:pt>
                <c:pt idx="5">
                  <c:v>2.919985580097558</c:v>
                </c:pt>
                <c:pt idx="8">
                  <c:v>0</c:v>
                </c:pt>
                <c:pt idx="9">
                  <c:v>1E-3</c:v>
                </c:pt>
                <c:pt idx="10">
                  <c:v>0</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numCache>
            </c:numRef>
          </c:yVal>
        </c:ser>
        <c:ser>
          <c:idx val="0"/>
          <c:order val="2"/>
          <c:spPr>
            <a:ln w="28575">
              <a:noFill/>
            </a:ln>
          </c:spPr>
          <c:marker>
            <c:symbol val="circle"/>
            <c:size val="6"/>
            <c:spPr>
              <a:solidFill>
                <a:srgbClr val="00FF00"/>
              </a:solidFill>
              <a:ln>
                <a:solidFill>
                  <a:srgbClr val="000000"/>
                </a:solidFill>
                <a:prstDash val="solid"/>
              </a:ln>
            </c:spPr>
          </c:marker>
          <c:xVal>
            <c:numRef>
              <c:f>Normal!$BB$83:$BB$382</c:f>
              <c:numCache>
                <c:formatCode>General</c:formatCode>
                <c:ptCount val="300"/>
                <c:pt idx="0">
                  <c:v>1.6427946029043076E-2</c:v>
                </c:pt>
                <c:pt idx="1">
                  <c:v>1.6486191595060217E-2</c:v>
                </c:pt>
                <c:pt idx="2">
                  <c:v>1.654474224815471E-2</c:v>
                </c:pt>
                <c:pt idx="3">
                  <c:v>1.6603600085425559E-2</c:v>
                </c:pt>
                <c:pt idx="4">
                  <c:v>1.6662767221687635E-2</c:v>
                </c:pt>
                <c:pt idx="5">
                  <c:v>1.6722245789648059E-2</c:v>
                </c:pt>
                <c:pt idx="6">
                  <c:v>1.6782037940084451E-2</c:v>
                </c:pt>
                <c:pt idx="7">
                  <c:v>1.6842145842025358E-2</c:v>
                </c:pt>
                <c:pt idx="8">
                  <c:v>1.6902571682932566E-2</c:v>
                </c:pt>
                <c:pt idx="9">
                  <c:v>1.6963317668885605E-2</c:v>
                </c:pt>
                <c:pt idx="10">
                  <c:v>1.7024386024768374E-2</c:v>
                </c:pt>
                <c:pt idx="11">
                  <c:v>1.7085778994457821E-2</c:v>
                </c:pt>
                <c:pt idx="12">
                  <c:v>1.7147498841014869E-2</c:v>
                </c:pt>
                <c:pt idx="13">
                  <c:v>1.7209547846877456E-2</c:v>
                </c:pt>
                <c:pt idx="14">
                  <c:v>1.7271928314055884E-2</c:v>
                </c:pt>
                <c:pt idx="15">
                  <c:v>1.7334642564330306E-2</c:v>
                </c:pt>
                <c:pt idx="16">
                  <c:v>1.7397692939450621E-2</c:v>
                </c:pt>
                <c:pt idx="17">
                  <c:v>1.7461081801338537E-2</c:v>
                </c:pt>
                <c:pt idx="18">
                  <c:v>1.7524811532292042E-2</c:v>
                </c:pt>
                <c:pt idx="19">
                  <c:v>1.7588884535192292E-2</c:v>
                </c:pt>
                <c:pt idx="20">
                  <c:v>1.765330323371276E-2</c:v>
                </c:pt>
                <c:pt idx="21">
                  <c:v>1.7718070072530935E-2</c:v>
                </c:pt>
                <c:pt idx="22">
                  <c:v>1.7783187517542411E-2</c:v>
                </c:pt>
                <c:pt idx="23">
                  <c:v>1.7848658056077472E-2</c:v>
                </c:pt>
                <c:pt idx="24">
                  <c:v>1.7914484197120266E-2</c:v>
                </c:pt>
                <c:pt idx="25">
                  <c:v>1.7980668471530382E-2</c:v>
                </c:pt>
                <c:pt idx="26">
                  <c:v>1.8047213432267267E-2</c:v>
                </c:pt>
                <c:pt idx="27">
                  <c:v>1.8114121654616906E-2</c:v>
                </c:pt>
                <c:pt idx="28">
                  <c:v>1.8181395736421541E-2</c:v>
                </c:pt>
                <c:pt idx="29">
                  <c:v>1.8249038298311804E-2</c:v>
                </c:pt>
                <c:pt idx="30">
                  <c:v>1.8317051983941696E-2</c:v>
                </c:pt>
                <c:pt idx="31">
                  <c:v>1.8385439460226329E-2</c:v>
                </c:pt>
                <c:pt idx="32">
                  <c:v>1.8454203417582377E-2</c:v>
                </c:pt>
                <c:pt idx="33">
                  <c:v>1.8523346570171441E-2</c:v>
                </c:pt>
                <c:pt idx="34">
                  <c:v>1.8592871656146336E-2</c:v>
                </c:pt>
                <c:pt idx="35">
                  <c:v>1.8662781437900098E-2</c:v>
                </c:pt>
                <c:pt idx="36">
                  <c:v>1.8733078702318134E-2</c:v>
                </c:pt>
                <c:pt idx="37">
                  <c:v>1.8803766261033257E-2</c:v>
                </c:pt>
                <c:pt idx="38">
                  <c:v>1.8874846950683772E-2</c:v>
                </c:pt>
                <c:pt idx="39">
                  <c:v>1.8946323633174569E-2</c:v>
                </c:pt>
                <c:pt idx="40">
                  <c:v>1.9018199195941433E-2</c:v>
                </c:pt>
                <c:pt idx="41">
                  <c:v>1.9090476552218398E-2</c:v>
                </c:pt>
                <c:pt idx="42">
                  <c:v>1.9163158641308374E-2</c:v>
                </c:pt>
                <c:pt idx="43">
                  <c:v>1.9236248428856857E-2</c:v>
                </c:pt>
                <c:pt idx="44">
                  <c:v>1.9309748907129123E-2</c:v>
                </c:pt>
                <c:pt idx="45">
                  <c:v>1.9383663095290563E-2</c:v>
                </c:pt>
                <c:pt idx="46">
                  <c:v>1.9457994039690417E-2</c:v>
                </c:pt>
                <c:pt idx="47">
                  <c:v>1.9532744814149006E-2</c:v>
                </c:pt>
                <c:pt idx="48">
                  <c:v>1.9607918520248242E-2</c:v>
                </c:pt>
                <c:pt idx="49">
                  <c:v>1.9683518287625823E-2</c:v>
                </c:pt>
                <c:pt idx="50">
                  <c:v>1.9759547274272822E-2</c:v>
                </c:pt>
                <c:pt idx="51">
                  <c:v>1.9836008666834937E-2</c:v>
                </c:pt>
                <c:pt idx="52">
                  <c:v>1.9912905680917348E-2</c:v>
                </c:pt>
                <c:pt idx="53">
                  <c:v>1.9990241561393274E-2</c:v>
                </c:pt>
                <c:pt idx="54">
                  <c:v>2.0068019582716288E-2</c:v>
                </c:pt>
                <c:pt idx="55">
                  <c:v>2.0146243049236373E-2</c:v>
                </c:pt>
                <c:pt idx="56">
                  <c:v>2.022491529551983E-2</c:v>
                </c:pt>
                <c:pt idx="57">
                  <c:v>2.0304039686673055E-2</c:v>
                </c:pt>
                <c:pt idx="58">
                  <c:v>2.0383619618670315E-2</c:v>
                </c:pt>
                <c:pt idx="59">
                  <c:v>2.0463658518685465E-2</c:v>
                </c:pt>
                <c:pt idx="60">
                  <c:v>2.0544159845427713E-2</c:v>
                </c:pt>
                <c:pt idx="61">
                  <c:v>2.0625127089481509E-2</c:v>
                </c:pt>
                <c:pt idx="62">
                  <c:v>2.0706563773650547E-2</c:v>
                </c:pt>
                <c:pt idx="63">
                  <c:v>2.0788473453306065E-2</c:v>
                </c:pt>
                <c:pt idx="64">
                  <c:v>2.0870859716739288E-2</c:v>
                </c:pt>
                <c:pt idx="65">
                  <c:v>2.0953726185518353E-2</c:v>
                </c:pt>
                <c:pt idx="66">
                  <c:v>2.1037076514849432E-2</c:v>
                </c:pt>
                <c:pt idx="67">
                  <c:v>2.1120914393942532E-2</c:v>
                </c:pt>
                <c:pt idx="68">
                  <c:v>2.1205243546381543E-2</c:v>
                </c:pt>
                <c:pt idx="69">
                  <c:v>2.1290067730499095E-2</c:v>
                </c:pt>
                <c:pt idx="70">
                  <c:v>2.1375390739755838E-2</c:v>
                </c:pt>
                <c:pt idx="71">
                  <c:v>2.1461216403124577E-2</c:v>
                </c:pt>
                <c:pt idx="72">
                  <c:v>2.1547548585479068E-2</c:v>
                </c:pt>
                <c:pt idx="73">
                  <c:v>2.163439118798767E-2</c:v>
                </c:pt>
                <c:pt idx="74">
                  <c:v>2.1721748148511862E-2</c:v>
                </c:pt>
                <c:pt idx="75">
                  <c:v>2.1809623442009752E-2</c:v>
                </c:pt>
                <c:pt idx="76">
                  <c:v>2.189802108094455E-2</c:v>
                </c:pt>
                <c:pt idx="77">
                  <c:v>2.1986945115698198E-2</c:v>
                </c:pt>
                <c:pt idx="78">
                  <c:v>2.2076399634990175E-2</c:v>
                </c:pt>
                <c:pt idx="79">
                  <c:v>2.216638876630132E-2</c:v>
                </c:pt>
                <c:pt idx="80">
                  <c:v>2.2256916676303369E-2</c:v>
                </c:pt>
                <c:pt idx="81">
                  <c:v>2.234798757129338E-2</c:v>
                </c:pt>
                <c:pt idx="82">
                  <c:v>2.2439605697634066E-2</c:v>
                </c:pt>
                <c:pt idx="83">
                  <c:v>2.2531775342199287E-2</c:v>
                </c:pt>
                <c:pt idx="84">
                  <c:v>2.2624500832825419E-2</c:v>
                </c:pt>
                <c:pt idx="85">
                  <c:v>2.2717786538768169E-2</c:v>
                </c:pt>
                <c:pt idx="86">
                  <c:v>2.2811636874941154E-2</c:v>
                </c:pt>
                <c:pt idx="87">
                  <c:v>2.2906056287394554E-2</c:v>
                </c:pt>
                <c:pt idx="88">
                  <c:v>2.3001049276107889E-2</c:v>
                </c:pt>
                <c:pt idx="89">
                  <c:v>2.3096620380700237E-2</c:v>
                </c:pt>
                <c:pt idx="90">
                  <c:v>2.3192774184582696E-2</c:v>
                </c:pt>
                <c:pt idx="91">
                  <c:v>2.3289515315451075E-2</c:v>
                </c:pt>
                <c:pt idx="92">
                  <c:v>2.3386848445784883E-2</c:v>
                </c:pt>
                <c:pt idx="93">
                  <c:v>2.3484778293352555E-2</c:v>
                </c:pt>
                <c:pt idx="94">
                  <c:v>2.3583309621723267E-2</c:v>
                </c:pt>
                <c:pt idx="95">
                  <c:v>2.3682447240785071E-2</c:v>
                </c:pt>
                <c:pt idx="96">
                  <c:v>2.3782196007269864E-2</c:v>
                </c:pt>
                <c:pt idx="97">
                  <c:v>2.3882560825284883E-2</c:v>
                </c:pt>
                <c:pt idx="98">
                  <c:v>2.3983546646851036E-2</c:v>
                </c:pt>
                <c:pt idx="99">
                  <c:v>2.4085158472448177E-2</c:v>
                </c:pt>
                <c:pt idx="100">
                  <c:v>2.4187401351567384E-2</c:v>
                </c:pt>
                <c:pt idx="101">
                  <c:v>2.4290280383270167E-2</c:v>
                </c:pt>
                <c:pt idx="102">
                  <c:v>2.4393800716755124E-2</c:v>
                </c:pt>
                <c:pt idx="103">
                  <c:v>2.4497967551931565E-2</c:v>
                </c:pt>
                <c:pt idx="104">
                  <c:v>2.4602786140000828E-2</c:v>
                </c:pt>
                <c:pt idx="105">
                  <c:v>2.4708261784044932E-2</c:v>
                </c:pt>
                <c:pt idx="106">
                  <c:v>2.4814399839622744E-2</c:v>
                </c:pt>
                <c:pt idx="107">
                  <c:v>2.4921205715374126E-2</c:v>
                </c:pt>
                <c:pt idx="108">
                  <c:v>2.5028684873631541E-2</c:v>
                </c:pt>
                <c:pt idx="109">
                  <c:v>2.5136842831039972E-2</c:v>
                </c:pt>
                <c:pt idx="110">
                  <c:v>2.5245685159184513E-2</c:v>
                </c:pt>
                <c:pt idx="111">
                  <c:v>2.5355217485226327E-2</c:v>
                </c:pt>
                <c:pt idx="112">
                  <c:v>2.5465445492546871E-2</c:v>
                </c:pt>
                <c:pt idx="113">
                  <c:v>2.557637492140033E-2</c:v>
                </c:pt>
                <c:pt idx="114">
                  <c:v>2.5688011569574787E-2</c:v>
                </c:pt>
                <c:pt idx="115">
                  <c:v>2.5800361293061826E-2</c:v>
                </c:pt>
                <c:pt idx="116">
                  <c:v>2.5913430006734964E-2</c:v>
                </c:pt>
                <c:pt idx="117">
                  <c:v>2.6027223685036936E-2</c:v>
                </c:pt>
                <c:pt idx="118">
                  <c:v>2.6141748362676007E-2</c:v>
                </c:pt>
                <c:pt idx="119">
                  <c:v>2.6257010135331302E-2</c:v>
                </c:pt>
                <c:pt idx="120">
                  <c:v>2.6373015160367528E-2</c:v>
                </c:pt>
                <c:pt idx="121">
                  <c:v>2.6489769657558993E-2</c:v>
                </c:pt>
                <c:pt idx="122">
                  <c:v>2.66072799098231E-2</c:v>
                </c:pt>
                <c:pt idx="123">
                  <c:v>2.6725552263963673E-2</c:v>
                </c:pt>
                <c:pt idx="124">
                  <c:v>2.6844593131423764E-2</c:v>
                </c:pt>
                <c:pt idx="125">
                  <c:v>2.6964408989048807E-2</c:v>
                </c:pt>
                <c:pt idx="126">
                  <c:v>2.7085006379859417E-2</c:v>
                </c:pt>
                <c:pt idx="127">
                  <c:v>2.7206391913834713E-2</c:v>
                </c:pt>
                <c:pt idx="128">
                  <c:v>2.7328572268705852E-2</c:v>
                </c:pt>
                <c:pt idx="129">
                  <c:v>2.7451554190760126E-2</c:v>
                </c:pt>
                <c:pt idx="130">
                  <c:v>2.757534449565565E-2</c:v>
                </c:pt>
                <c:pt idx="131">
                  <c:v>2.7699950069247057E-2</c:v>
                </c:pt>
                <c:pt idx="132">
                  <c:v>2.7825377868421795E-2</c:v>
                </c:pt>
                <c:pt idx="133">
                  <c:v>2.7951634921948045E-2</c:v>
                </c:pt>
                <c:pt idx="134">
                  <c:v>2.807872833133342E-2</c:v>
                </c:pt>
                <c:pt idx="135">
                  <c:v>2.8206665271695484E-2</c:v>
                </c:pt>
                <c:pt idx="136">
                  <c:v>2.8335452992643704E-2</c:v>
                </c:pt>
                <c:pt idx="137">
                  <c:v>2.8465098819173165E-2</c:v>
                </c:pt>
                <c:pt idx="138">
                  <c:v>2.8595610152570377E-2</c:v>
                </c:pt>
                <c:pt idx="139">
                  <c:v>2.872699447133106E-2</c:v>
                </c:pt>
                <c:pt idx="140">
                  <c:v>2.8859259332090183E-2</c:v>
                </c:pt>
                <c:pt idx="141">
                  <c:v>2.8992412370564841E-2</c:v>
                </c:pt>
                <c:pt idx="142">
                  <c:v>2.9126461302509111E-2</c:v>
                </c:pt>
                <c:pt idx="143">
                  <c:v>2.9261413924682438E-2</c:v>
                </c:pt>
                <c:pt idx="144">
                  <c:v>2.9397278115830521E-2</c:v>
                </c:pt>
                <c:pt idx="145">
                  <c:v>2.9534061837679815E-2</c:v>
                </c:pt>
                <c:pt idx="146">
                  <c:v>2.9671773135945018E-2</c:v>
                </c:pt>
                <c:pt idx="147">
                  <c:v>2.981042014135046E-2</c:v>
                </c:pt>
                <c:pt idx="148">
                  <c:v>2.9950011070665156E-2</c:v>
                </c:pt>
                <c:pt idx="149">
                  <c:v>3.0090554227751802E-2</c:v>
                </c:pt>
                <c:pt idx="150">
                  <c:v>3.0232058004630094E-2</c:v>
                </c:pt>
                <c:pt idx="151">
                  <c:v>3.0374530882554176E-2</c:v>
                </c:pt>
                <c:pt idx="152">
                  <c:v>3.0517981433104985E-2</c:v>
                </c:pt>
                <c:pt idx="153">
                  <c:v>3.0662418319297301E-2</c:v>
                </c:pt>
                <c:pt idx="154">
                  <c:v>3.0807850296701626E-2</c:v>
                </c:pt>
                <c:pt idx="155">
                  <c:v>3.09542862145816E-2</c:v>
                </c:pt>
                <c:pt idx="156">
                  <c:v>3.110173501704664E-2</c:v>
                </c:pt>
                <c:pt idx="157">
                  <c:v>3.1250205744220459E-2</c:v>
                </c:pt>
                <c:pt idx="158">
                  <c:v>3.139970753342522E-2</c:v>
                </c:pt>
                <c:pt idx="159">
                  <c:v>3.1550249620382199E-2</c:v>
                </c:pt>
                <c:pt idx="160">
                  <c:v>3.1701841340428416E-2</c:v>
                </c:pt>
                <c:pt idx="161">
                  <c:v>3.1854492129750236E-2</c:v>
                </c:pt>
                <c:pt idx="162">
                  <c:v>3.2008211526633468E-2</c:v>
                </c:pt>
                <c:pt idx="163">
                  <c:v>3.2163009172730954E-2</c:v>
                </c:pt>
                <c:pt idx="164">
                  <c:v>3.2318894814347111E-2</c:v>
                </c:pt>
                <c:pt idx="165">
                  <c:v>3.2475878303740227E-2</c:v>
                </c:pt>
                <c:pt idx="166">
                  <c:v>3.2633969600442701E-2</c:v>
                </c:pt>
                <c:pt idx="167">
                  <c:v>3.279317877259922E-2</c:v>
                </c:pt>
                <c:pt idx="168">
                  <c:v>3.2953515998323302E-2</c:v>
                </c:pt>
                <c:pt idx="169">
                  <c:v>3.3114991567072621E-2</c:v>
                </c:pt>
                <c:pt idx="170">
                  <c:v>3.3277615881043061E-2</c:v>
                </c:pt>
                <c:pt idx="171">
                  <c:v>3.3441399456581936E-2</c:v>
                </c:pt>
                <c:pt idx="172">
                  <c:v>3.3606352925620836E-2</c:v>
                </c:pt>
                <c:pt idx="173">
                  <c:v>3.3772487037127957E-2</c:v>
                </c:pt>
                <c:pt idx="174">
                  <c:v>3.393981265858069E-2</c:v>
                </c:pt>
                <c:pt idx="175">
                  <c:v>3.4108340777458182E-2</c:v>
                </c:pt>
                <c:pt idx="176">
                  <c:v>3.4278082502754804E-2</c:v>
                </c:pt>
                <c:pt idx="177">
                  <c:v>3.4449049066514331E-2</c:v>
                </c:pt>
                <c:pt idx="178">
                  <c:v>3.4621251825385412E-2</c:v>
                </c:pt>
                <c:pt idx="179">
                  <c:v>3.4794702262198267E-2</c:v>
                </c:pt>
                <c:pt idx="180">
                  <c:v>3.4969411987563599E-2</c:v>
                </c:pt>
                <c:pt idx="181">
                  <c:v>3.5145392741493239E-2</c:v>
                </c:pt>
                <c:pt idx="182">
                  <c:v>3.5322656395043464E-2</c:v>
                </c:pt>
                <c:pt idx="183">
                  <c:v>3.5501214951980942E-2</c:v>
                </c:pt>
                <c:pt idx="184">
                  <c:v>3.5681080550471658E-2</c:v>
                </c:pt>
                <c:pt idx="185">
                  <c:v>3.5862265464793673E-2</c:v>
                </c:pt>
                <c:pt idx="186">
                  <c:v>3.604478210707291E-2</c:v>
                </c:pt>
                <c:pt idx="187">
                  <c:v>3.6228643029043828E-2</c:v>
                </c:pt>
                <c:pt idx="188">
                  <c:v>3.6413860923833787E-2</c:v>
                </c:pt>
                <c:pt idx="189">
                  <c:v>3.6600448627772779E-2</c:v>
                </c:pt>
                <c:pt idx="190">
                  <c:v>3.67884191222278E-2</c:v>
                </c:pt>
                <c:pt idx="191">
                  <c:v>3.6977785535463055E-2</c:v>
                </c:pt>
                <c:pt idx="192">
                  <c:v>3.716856114452588E-2</c:v>
                </c:pt>
                <c:pt idx="193">
                  <c:v>3.7360759377158763E-2</c:v>
                </c:pt>
                <c:pt idx="194">
                  <c:v>3.7554393813738172E-2</c:v>
                </c:pt>
                <c:pt idx="195">
                  <c:v>3.7749478189240161E-2</c:v>
                </c:pt>
                <c:pt idx="196">
                  <c:v>3.7946026395233361E-2</c:v>
                </c:pt>
                <c:pt idx="197">
                  <c:v>3.8144052481899789E-2</c:v>
                </c:pt>
                <c:pt idx="198">
                  <c:v>3.8343570660083627E-2</c:v>
                </c:pt>
                <c:pt idx="199">
                  <c:v>3.8544595303368623E-2</c:v>
                </c:pt>
                <c:pt idx="200">
                  <c:v>3.8747140950184403E-2</c:v>
                </c:pt>
                <c:pt idx="201">
                  <c:v>3.8951222305941981E-2</c:v>
                </c:pt>
                <c:pt idx="202">
                  <c:v>3.9156854245199213E-2</c:v>
                </c:pt>
                <c:pt idx="203">
                  <c:v>3.9364051813856119E-2</c:v>
                </c:pt>
                <c:pt idx="204">
                  <c:v>3.9572830231381105E-2</c:v>
                </c:pt>
                <c:pt idx="205">
                  <c:v>3.9783204893067907E-2</c:v>
                </c:pt>
                <c:pt idx="206">
                  <c:v>3.9995191372323984E-2</c:v>
                </c:pt>
                <c:pt idx="207">
                  <c:v>4.0208805422991031E-2</c:v>
                </c:pt>
                <c:pt idx="208">
                  <c:v>4.0424062981697366E-2</c:v>
                </c:pt>
                <c:pt idx="209">
                  <c:v>4.0640980170243569E-2</c:v>
                </c:pt>
                <c:pt idx="210">
                  <c:v>4.0859573298020778E-2</c:v>
                </c:pt>
                <c:pt idx="211">
                  <c:v>4.1079858864463061E-2</c:v>
                </c:pt>
                <c:pt idx="212">
                  <c:v>4.1301853561533819E-2</c:v>
                </c:pt>
                <c:pt idx="213">
                  <c:v>4.1525574276246528E-2</c:v>
                </c:pt>
                <c:pt idx="214">
                  <c:v>4.1751038093220817E-2</c:v>
                </c:pt>
                <c:pt idx="215">
                  <c:v>4.197826229727402E-2</c:v>
                </c:pt>
                <c:pt idx="216">
                  <c:v>4.2207264376048541E-2</c:v>
                </c:pt>
                <c:pt idx="217">
                  <c:v>4.2438062022676054E-2</c:v>
                </c:pt>
                <c:pt idx="218">
                  <c:v>4.2670673138478367E-2</c:v>
                </c:pt>
                <c:pt idx="219">
                  <c:v>4.290511583570595E-2</c:v>
                </c:pt>
                <c:pt idx="220">
                  <c:v>4.3141408440314409E-2</c:v>
                </c:pt>
                <c:pt idx="221">
                  <c:v>4.337956949477953E-2</c:v>
                </c:pt>
                <c:pt idx="222">
                  <c:v>4.361961776095117E-2</c:v>
                </c:pt>
                <c:pt idx="223">
                  <c:v>4.3861572222946746E-2</c:v>
                </c:pt>
                <c:pt idx="224">
                  <c:v>4.4105452090084901E-2</c:v>
                </c:pt>
                <c:pt idx="225">
                  <c:v>4.4351276799859486E-2</c:v>
                </c:pt>
                <c:pt idx="226">
                  <c:v>4.4599066020954863E-2</c:v>
                </c:pt>
                <c:pt idx="227">
                  <c:v>4.484883965630266E-2</c:v>
                </c:pt>
                <c:pt idx="228">
                  <c:v>4.5100617846180836E-2</c:v>
                </c:pt>
                <c:pt idx="229">
                  <c:v>4.5354420971355516E-2</c:v>
                </c:pt>
                <c:pt idx="230">
                  <c:v>4.5610269656265766E-2</c:v>
                </c:pt>
                <c:pt idx="231">
                  <c:v>4.5868184772252525E-2</c:v>
                </c:pt>
                <c:pt idx="232">
                  <c:v>4.61281874408319E-2</c:v>
                </c:pt>
                <c:pt idx="233">
                  <c:v>4.6390299037013097E-2</c:v>
                </c:pt>
                <c:pt idx="234">
                  <c:v>4.6654541192662068E-2</c:v>
                </c:pt>
                <c:pt idx="235">
                  <c:v>4.6920935799911377E-2</c:v>
                </c:pt>
                <c:pt idx="236">
                  <c:v>4.718950501461619E-2</c:v>
                </c:pt>
                <c:pt idx="237">
                  <c:v>4.7460271259858126E-2</c:v>
                </c:pt>
                <c:pt idx="238">
                  <c:v>4.7733257229496312E-2</c:v>
                </c:pt>
                <c:pt idx="239">
                  <c:v>4.800848589176724E-2</c:v>
                </c:pt>
                <c:pt idx="240">
                  <c:v>4.8285980492933235E-2</c:v>
                </c:pt>
                <c:pt idx="241">
                  <c:v>4.8565764560980787E-2</c:v>
                </c:pt>
                <c:pt idx="242">
                  <c:v>4.8847861909368746E-2</c:v>
                </c:pt>
                <c:pt idx="243">
                  <c:v>4.9132296640827307E-2</c:v>
                </c:pt>
                <c:pt idx="244">
                  <c:v>4.9419093151208467E-2</c:v>
                </c:pt>
                <c:pt idx="245">
                  <c:v>4.9708276133388081E-2</c:v>
                </c:pt>
                <c:pt idx="246">
                  <c:v>4.9999870581220733E-2</c:v>
                </c:pt>
                <c:pt idx="247">
                  <c:v>5.0293901793547501E-2</c:v>
                </c:pt>
                <c:pt idx="248">
                  <c:v>5.0590395378257477E-2</c:v>
                </c:pt>
                <c:pt idx="249">
                  <c:v>5.0889377256403516E-2</c:v>
                </c:pt>
                <c:pt idx="250">
                  <c:v>5.119087366637317E-2</c:v>
                </c:pt>
                <c:pt idx="251">
                  <c:v>5.1494911168114652E-2</c:v>
                </c:pt>
                <c:pt idx="252">
                  <c:v>5.1801516647419193E-2</c:v>
                </c:pt>
                <c:pt idx="253">
                  <c:v>5.2110717320260055E-2</c:v>
                </c:pt>
                <c:pt idx="254">
                  <c:v>5.2422540737188779E-2</c:v>
                </c:pt>
                <c:pt idx="255">
                  <c:v>5.2737014787789256E-2</c:v>
                </c:pt>
                <c:pt idx="256">
                  <c:v>5.3054167705190412E-2</c:v>
                </c:pt>
                <c:pt idx="257">
                  <c:v>5.3374028070637743E-2</c:v>
                </c:pt>
                <c:pt idx="258">
                  <c:v>5.3696624818124664E-2</c:v>
                </c:pt>
                <c:pt idx="259">
                  <c:v>5.4021987239083968E-2</c:v>
                </c:pt>
                <c:pt idx="260">
                  <c:v>5.4350144987140261E-2</c:v>
                </c:pt>
                <c:pt idx="261">
                  <c:v>5.4681128082923337E-2</c:v>
                </c:pt>
                <c:pt idx="262">
                  <c:v>5.5014966918944024E-2</c:v>
                </c:pt>
                <c:pt idx="263">
                  <c:v>5.5351692264532272E-2</c:v>
                </c:pt>
                <c:pt idx="264">
                  <c:v>5.5691335270837999E-2</c:v>
                </c:pt>
                <c:pt idx="265">
                  <c:v>5.6033927475896229E-2</c:v>
                </c:pt>
                <c:pt idx="266">
                  <c:v>5.6379500809755491E-2</c:v>
                </c:pt>
                <c:pt idx="267">
                  <c:v>5.6728087599671718E-2</c:v>
                </c:pt>
                <c:pt idx="268">
                  <c:v>5.7079720575366574E-2</c:v>
                </c:pt>
                <c:pt idx="269">
                  <c:v>5.7434432874352133E-2</c:v>
                </c:pt>
                <c:pt idx="270">
                  <c:v>5.7792258047320973E-2</c:v>
                </c:pt>
                <c:pt idx="271">
                  <c:v>5.8153230063603761E-2</c:v>
                </c:pt>
                <c:pt idx="272">
                  <c:v>5.8517383316693102E-2</c:v>
                </c:pt>
                <c:pt idx="273">
                  <c:v>5.8884752629835953E-2</c:v>
                </c:pt>
                <c:pt idx="274">
                  <c:v>5.9255373261692779E-2</c:v>
                </c:pt>
                <c:pt idx="275">
                  <c:v>5.9629280912066457E-2</c:v>
                </c:pt>
                <c:pt idx="276">
                  <c:v>6.0006511727699031E-2</c:v>
                </c:pt>
                <c:pt idx="277">
                  <c:v>6.038710230813811E-2</c:v>
                </c:pt>
                <c:pt idx="278">
                  <c:v>6.0771089711672971E-2</c:v>
                </c:pt>
                <c:pt idx="279">
                  <c:v>6.115851146134002E-2</c:v>
                </c:pt>
                <c:pt idx="280">
                  <c:v>6.1549405550999137E-2</c:v>
                </c:pt>
                <c:pt idx="281">
                  <c:v>6.1943810451480168E-2</c:v>
                </c:pt>
                <c:pt idx="282">
                  <c:v>6.2341765116800098E-2</c:v>
                </c:pt>
                <c:pt idx="283">
                  <c:v>6.2743308990451982E-2</c:v>
                </c:pt>
                <c:pt idx="284">
                  <c:v>6.3148482011763762E-2</c:v>
                </c:pt>
                <c:pt idx="285">
                  <c:v>6.3557324622330075E-2</c:v>
                </c:pt>
                <c:pt idx="286">
                  <c:v>6.3969877772514491E-2</c:v>
                </c:pt>
                <c:pt idx="287">
                  <c:v>6.4386182928023616E-2</c:v>
                </c:pt>
                <c:pt idx="288">
                  <c:v>6.4806282076553534E-2</c:v>
                </c:pt>
                <c:pt idx="289">
                  <c:v>6.5230217734507448E-2</c:v>
                </c:pt>
                <c:pt idx="290">
                  <c:v>6.5658032953784778E-2</c:v>
                </c:pt>
                <c:pt idx="291">
                  <c:v>6.6089771328643326E-2</c:v>
                </c:pt>
                <c:pt idx="292">
                  <c:v>6.6525477002631325E-2</c:v>
                </c:pt>
                <c:pt idx="293">
                  <c:v>6.6965194675592449E-2</c:v>
                </c:pt>
                <c:pt idx="294">
                  <c:v>6.7408969610741123E-2</c:v>
                </c:pt>
                <c:pt idx="295">
                  <c:v>6.7856847641809645E-2</c:v>
                </c:pt>
                <c:pt idx="296">
                  <c:v>6.8308875180265349E-2</c:v>
                </c:pt>
                <c:pt idx="297">
                  <c:v>6.8765099222598686E-2</c:v>
                </c:pt>
                <c:pt idx="298">
                  <c:v>6.922556735768122E-2</c:v>
                </c:pt>
                <c:pt idx="299">
                  <c:v>6.9690327774192845E-2</c:v>
                </c:pt>
              </c:numCache>
            </c:numRef>
          </c:xVal>
          <c:yVal>
            <c:numRef>
              <c:f>Normal!$BC$112:$BC$411</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3"/>
          <c:order val="3"/>
          <c:spPr>
            <a:ln w="28575">
              <a:noFill/>
            </a:ln>
          </c:spPr>
          <c:marker>
            <c:symbol val="circle"/>
            <c:size val="6"/>
            <c:spPr>
              <a:solidFill>
                <a:srgbClr val="008000"/>
              </a:solidFill>
              <a:ln>
                <a:solidFill>
                  <a:srgbClr val="000000"/>
                </a:solidFill>
                <a:prstDash val="solid"/>
              </a:ln>
            </c:spPr>
          </c:marker>
          <c:xVal>
            <c:numRef>
              <c:f>Normal!$BB$81</c:f>
              <c:numCache>
                <c:formatCode>General</c:formatCode>
                <c:ptCount val="1"/>
                <c:pt idx="0">
                  <c:v>1.6312361857380567E-2</c:v>
                </c:pt>
              </c:numCache>
            </c:numRef>
          </c:xVal>
          <c:yVal>
            <c:numRef>
              <c:f>Normal!$BC$110</c:f>
              <c:numCache>
                <c:formatCode>General</c:formatCode>
                <c:ptCount val="1"/>
                <c:pt idx="0">
                  <c:v>#N/A</c:v>
                </c:pt>
              </c:numCache>
            </c:numRef>
          </c:yVal>
        </c:ser>
        <c:ser>
          <c:idx val="5"/>
          <c:order val="4"/>
          <c:spPr>
            <a:ln w="25400">
              <a:solidFill>
                <a:srgbClr val="008000"/>
              </a:solidFill>
              <a:prstDash val="solid"/>
            </a:ln>
          </c:spPr>
          <c:marker>
            <c:symbol val="none"/>
          </c:marker>
          <c:xVal>
            <c:numRef>
              <c:f>Normal!$AV$21:$AV$221</c:f>
              <c:numCache>
                <c:formatCode>General</c:formatCode>
                <c:ptCount val="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numCache>
            </c:numRef>
          </c:xVal>
          <c:yVal>
            <c:numRef>
              <c:f>Normal!$AY$20:$AY$220</c:f>
              <c:numCache>
                <c:formatCode>General</c:formatCode>
                <c:ptCount val="201"/>
                <c:pt idx="0">
                  <c:v>0</c:v>
                </c:pt>
                <c:pt idx="1">
                  <c:v>-6.0000099999999996</c:v>
                </c:pt>
                <c:pt idx="2">
                  <c:v>-5.9900099999999998</c:v>
                </c:pt>
                <c:pt idx="3">
                  <c:v>-5.98001</c:v>
                </c:pt>
                <c:pt idx="4">
                  <c:v>-5.9700100000000003</c:v>
                </c:pt>
                <c:pt idx="5">
                  <c:v>-5.9600100000000005</c:v>
                </c:pt>
                <c:pt idx="6">
                  <c:v>-5.9500100000000007</c:v>
                </c:pt>
                <c:pt idx="7">
                  <c:v>-5.9400100000000009</c:v>
                </c:pt>
                <c:pt idx="8">
                  <c:v>-5.9300100000000011</c:v>
                </c:pt>
                <c:pt idx="9">
                  <c:v>-5.9200100000000013</c:v>
                </c:pt>
                <c:pt idx="10">
                  <c:v>-5.9100100000000015</c:v>
                </c:pt>
                <c:pt idx="11">
                  <c:v>-5.9000100000000018</c:v>
                </c:pt>
                <c:pt idx="12">
                  <c:v>-5.890010000000002</c:v>
                </c:pt>
                <c:pt idx="13">
                  <c:v>-5.8800100000000022</c:v>
                </c:pt>
                <c:pt idx="14">
                  <c:v>-5.8700100000000024</c:v>
                </c:pt>
                <c:pt idx="15">
                  <c:v>-5.8600100000000026</c:v>
                </c:pt>
                <c:pt idx="16">
                  <c:v>-5.8500100000000028</c:v>
                </c:pt>
                <c:pt idx="17">
                  <c:v>-5.840010000000003</c:v>
                </c:pt>
                <c:pt idx="18">
                  <c:v>-5.8300100000000032</c:v>
                </c:pt>
                <c:pt idx="19">
                  <c:v>-5.8200100000000035</c:v>
                </c:pt>
                <c:pt idx="20">
                  <c:v>-5.8100100000000037</c:v>
                </c:pt>
                <c:pt idx="21">
                  <c:v>-5.8000100000000039</c:v>
                </c:pt>
                <c:pt idx="22">
                  <c:v>-5.7900100000000041</c:v>
                </c:pt>
                <c:pt idx="23">
                  <c:v>-5.7800100000000043</c:v>
                </c:pt>
                <c:pt idx="24">
                  <c:v>-5.7700100000000045</c:v>
                </c:pt>
                <c:pt idx="25">
                  <c:v>-5.7600100000000047</c:v>
                </c:pt>
                <c:pt idx="26">
                  <c:v>-5.750010000000005</c:v>
                </c:pt>
                <c:pt idx="27">
                  <c:v>-5.7400100000000052</c:v>
                </c:pt>
                <c:pt idx="28">
                  <c:v>-5.7300100000000054</c:v>
                </c:pt>
                <c:pt idx="29">
                  <c:v>-5.7200100000000056</c:v>
                </c:pt>
                <c:pt idx="30">
                  <c:v>-5.7100100000000058</c:v>
                </c:pt>
                <c:pt idx="31">
                  <c:v>-5.700010000000006</c:v>
                </c:pt>
                <c:pt idx="32">
                  <c:v>-5.6900100000000062</c:v>
                </c:pt>
                <c:pt idx="33">
                  <c:v>-5.6800100000000064</c:v>
                </c:pt>
                <c:pt idx="34">
                  <c:v>-5.6700100000000067</c:v>
                </c:pt>
                <c:pt idx="35">
                  <c:v>-5.6600100000000069</c:v>
                </c:pt>
                <c:pt idx="36">
                  <c:v>-5.6500100000000071</c:v>
                </c:pt>
                <c:pt idx="37">
                  <c:v>-5.6400100000000073</c:v>
                </c:pt>
                <c:pt idx="38">
                  <c:v>-5.6300100000000075</c:v>
                </c:pt>
                <c:pt idx="39">
                  <c:v>-5.6200100000000077</c:v>
                </c:pt>
                <c:pt idx="40">
                  <c:v>-5.6100100000000079</c:v>
                </c:pt>
                <c:pt idx="41">
                  <c:v>-5.6000100000000081</c:v>
                </c:pt>
                <c:pt idx="42">
                  <c:v>-5.5900100000000084</c:v>
                </c:pt>
                <c:pt idx="43">
                  <c:v>-5.5800100000000086</c:v>
                </c:pt>
                <c:pt idx="44">
                  <c:v>-5.5700100000000088</c:v>
                </c:pt>
                <c:pt idx="45">
                  <c:v>-5.560010000000009</c:v>
                </c:pt>
                <c:pt idx="46">
                  <c:v>-5.5500100000000092</c:v>
                </c:pt>
                <c:pt idx="47">
                  <c:v>-5.5400100000000094</c:v>
                </c:pt>
                <c:pt idx="48">
                  <c:v>-5.5300100000000096</c:v>
                </c:pt>
                <c:pt idx="49">
                  <c:v>-5.5200100000000099</c:v>
                </c:pt>
                <c:pt idx="50">
                  <c:v>-5.5100100000000101</c:v>
                </c:pt>
                <c:pt idx="51">
                  <c:v>-5.5000100000000103</c:v>
                </c:pt>
                <c:pt idx="52">
                  <c:v>-5.4900100000000105</c:v>
                </c:pt>
                <c:pt idx="53">
                  <c:v>-5.4800100000000107</c:v>
                </c:pt>
                <c:pt idx="54">
                  <c:v>-5.4700100000000109</c:v>
                </c:pt>
                <c:pt idx="55">
                  <c:v>-5.4600100000000111</c:v>
                </c:pt>
                <c:pt idx="56">
                  <c:v>-5.4500100000000113</c:v>
                </c:pt>
                <c:pt idx="57">
                  <c:v>-5.4400100000000116</c:v>
                </c:pt>
                <c:pt idx="58">
                  <c:v>-5.4300100000000118</c:v>
                </c:pt>
                <c:pt idx="59">
                  <c:v>-5.420010000000012</c:v>
                </c:pt>
                <c:pt idx="60">
                  <c:v>-5.4100100000000122</c:v>
                </c:pt>
                <c:pt idx="61">
                  <c:v>-5.4000100000000124</c:v>
                </c:pt>
                <c:pt idx="62">
                  <c:v>-5.3900100000000126</c:v>
                </c:pt>
                <c:pt idx="63">
                  <c:v>-5.3800100000000128</c:v>
                </c:pt>
                <c:pt idx="64">
                  <c:v>-5.3700100000000131</c:v>
                </c:pt>
                <c:pt idx="65">
                  <c:v>-5.3600100000000133</c:v>
                </c:pt>
                <c:pt idx="66">
                  <c:v>-5.3500100000000135</c:v>
                </c:pt>
                <c:pt idx="67">
                  <c:v>-5.3400100000000137</c:v>
                </c:pt>
                <c:pt idx="68">
                  <c:v>-5.3300100000000139</c:v>
                </c:pt>
                <c:pt idx="69">
                  <c:v>-5.3200100000000141</c:v>
                </c:pt>
                <c:pt idx="70">
                  <c:v>-5.3100100000000143</c:v>
                </c:pt>
                <c:pt idx="71">
                  <c:v>-5.3000100000000145</c:v>
                </c:pt>
                <c:pt idx="72">
                  <c:v>-5.2900100000000148</c:v>
                </c:pt>
                <c:pt idx="73">
                  <c:v>-5.280010000000015</c:v>
                </c:pt>
                <c:pt idx="74">
                  <c:v>-5.2700100000000152</c:v>
                </c:pt>
                <c:pt idx="75">
                  <c:v>-5.2600100000000154</c:v>
                </c:pt>
                <c:pt idx="76">
                  <c:v>-5.2500100000000156</c:v>
                </c:pt>
                <c:pt idx="77">
                  <c:v>-5.2400100000000158</c:v>
                </c:pt>
                <c:pt idx="78">
                  <c:v>-5.230010000000016</c:v>
                </c:pt>
                <c:pt idx="79">
                  <c:v>-5.2200100000000162</c:v>
                </c:pt>
                <c:pt idx="80">
                  <c:v>-5.2100100000000165</c:v>
                </c:pt>
                <c:pt idx="81">
                  <c:v>-5.2000100000000167</c:v>
                </c:pt>
                <c:pt idx="82">
                  <c:v>-5.1900100000000169</c:v>
                </c:pt>
                <c:pt idx="83">
                  <c:v>-5.1800100000000171</c:v>
                </c:pt>
                <c:pt idx="84">
                  <c:v>-5.1700100000000173</c:v>
                </c:pt>
                <c:pt idx="85">
                  <c:v>-5.1600100000000175</c:v>
                </c:pt>
                <c:pt idx="86">
                  <c:v>-5.1500100000000177</c:v>
                </c:pt>
                <c:pt idx="87">
                  <c:v>-5.140010000000018</c:v>
                </c:pt>
                <c:pt idx="88">
                  <c:v>-5.1300100000000182</c:v>
                </c:pt>
                <c:pt idx="89">
                  <c:v>-5.1200100000000184</c:v>
                </c:pt>
                <c:pt idx="90">
                  <c:v>-5.1100100000000186</c:v>
                </c:pt>
                <c:pt idx="91">
                  <c:v>-5.1000100000000188</c:v>
                </c:pt>
                <c:pt idx="92">
                  <c:v>-5.090010000000019</c:v>
                </c:pt>
                <c:pt idx="93">
                  <c:v>-5.0800100000000192</c:v>
                </c:pt>
                <c:pt idx="94">
                  <c:v>-5.0700100000000194</c:v>
                </c:pt>
                <c:pt idx="95">
                  <c:v>-5.0600100000000197</c:v>
                </c:pt>
                <c:pt idx="96">
                  <c:v>-5.0500100000000199</c:v>
                </c:pt>
                <c:pt idx="97">
                  <c:v>-5.0400100000000201</c:v>
                </c:pt>
                <c:pt idx="98">
                  <c:v>-5.0300100000000203</c:v>
                </c:pt>
                <c:pt idx="99">
                  <c:v>-5.0200100000000205</c:v>
                </c:pt>
                <c:pt idx="100">
                  <c:v>-5.0100100000000207</c:v>
                </c:pt>
                <c:pt idx="101">
                  <c:v>-5.0000100000000209</c:v>
                </c:pt>
                <c:pt idx="102">
                  <c:v>-4.9900100000000212</c:v>
                </c:pt>
                <c:pt idx="103">
                  <c:v>-4.9800100000000214</c:v>
                </c:pt>
                <c:pt idx="104">
                  <c:v>-4.9700100000000216</c:v>
                </c:pt>
                <c:pt idx="105">
                  <c:v>-4.9600100000000218</c:v>
                </c:pt>
                <c:pt idx="106">
                  <c:v>-4.950010000000022</c:v>
                </c:pt>
                <c:pt idx="107">
                  <c:v>-4.9400100000000222</c:v>
                </c:pt>
                <c:pt idx="108">
                  <c:v>-4.9300100000000224</c:v>
                </c:pt>
                <c:pt idx="109">
                  <c:v>-4.9200100000000226</c:v>
                </c:pt>
                <c:pt idx="110">
                  <c:v>-4.9100100000000229</c:v>
                </c:pt>
                <c:pt idx="111">
                  <c:v>-4.9000100000000231</c:v>
                </c:pt>
                <c:pt idx="112">
                  <c:v>-4.8900100000000233</c:v>
                </c:pt>
                <c:pt idx="113">
                  <c:v>-4.8800100000000235</c:v>
                </c:pt>
                <c:pt idx="114">
                  <c:v>-4.8700100000000237</c:v>
                </c:pt>
                <c:pt idx="115">
                  <c:v>-4.8600100000000239</c:v>
                </c:pt>
                <c:pt idx="116">
                  <c:v>-4.8500100000000241</c:v>
                </c:pt>
                <c:pt idx="117">
                  <c:v>-4.8400100000000243</c:v>
                </c:pt>
                <c:pt idx="118">
                  <c:v>-4.8300100000000246</c:v>
                </c:pt>
                <c:pt idx="119">
                  <c:v>-4.8200100000000248</c:v>
                </c:pt>
                <c:pt idx="120">
                  <c:v>-4.810010000000025</c:v>
                </c:pt>
                <c:pt idx="121">
                  <c:v>-4.8000100000000252</c:v>
                </c:pt>
                <c:pt idx="122">
                  <c:v>-4.7900100000000254</c:v>
                </c:pt>
                <c:pt idx="123">
                  <c:v>-4.7800100000000256</c:v>
                </c:pt>
                <c:pt idx="124">
                  <c:v>-4.7700100000000258</c:v>
                </c:pt>
                <c:pt idx="125">
                  <c:v>-4.7600100000000261</c:v>
                </c:pt>
                <c:pt idx="126">
                  <c:v>-4.7500100000000263</c:v>
                </c:pt>
                <c:pt idx="127">
                  <c:v>-4.7400100000000265</c:v>
                </c:pt>
                <c:pt idx="128">
                  <c:v>-4.7300100000000267</c:v>
                </c:pt>
                <c:pt idx="129">
                  <c:v>-4.7200100000000269</c:v>
                </c:pt>
                <c:pt idx="130">
                  <c:v>-4.7100100000000271</c:v>
                </c:pt>
                <c:pt idx="131">
                  <c:v>-4.7000100000000273</c:v>
                </c:pt>
                <c:pt idx="132">
                  <c:v>-4.6900100000000275</c:v>
                </c:pt>
                <c:pt idx="133">
                  <c:v>-4.6800100000000278</c:v>
                </c:pt>
                <c:pt idx="134">
                  <c:v>-4.670010000000028</c:v>
                </c:pt>
                <c:pt idx="135">
                  <c:v>-4.6600100000000282</c:v>
                </c:pt>
                <c:pt idx="136">
                  <c:v>-4.6500100000000284</c:v>
                </c:pt>
                <c:pt idx="137">
                  <c:v>-4.6400100000000286</c:v>
                </c:pt>
                <c:pt idx="138">
                  <c:v>-4.6300100000000288</c:v>
                </c:pt>
                <c:pt idx="139">
                  <c:v>-4.620010000000029</c:v>
                </c:pt>
                <c:pt idx="140">
                  <c:v>-4.6100100000000293</c:v>
                </c:pt>
                <c:pt idx="141">
                  <c:v>-4.6000100000000295</c:v>
                </c:pt>
                <c:pt idx="142">
                  <c:v>-4.5900100000000297</c:v>
                </c:pt>
                <c:pt idx="143">
                  <c:v>-4.5800100000000299</c:v>
                </c:pt>
                <c:pt idx="144">
                  <c:v>-4.5700100000000301</c:v>
                </c:pt>
                <c:pt idx="145">
                  <c:v>-4.5600100000000303</c:v>
                </c:pt>
                <c:pt idx="146">
                  <c:v>-4.5500100000000305</c:v>
                </c:pt>
                <c:pt idx="147">
                  <c:v>-4.5400100000000307</c:v>
                </c:pt>
                <c:pt idx="148">
                  <c:v>-4.530010000000031</c:v>
                </c:pt>
                <c:pt idx="149">
                  <c:v>-4.5200100000000312</c:v>
                </c:pt>
                <c:pt idx="150">
                  <c:v>-4.5100100000000314</c:v>
                </c:pt>
                <c:pt idx="151">
                  <c:v>-4.5000100000000316</c:v>
                </c:pt>
                <c:pt idx="152">
                  <c:v>-4.4900100000000318</c:v>
                </c:pt>
                <c:pt idx="153">
                  <c:v>-4.480010000000032</c:v>
                </c:pt>
                <c:pt idx="154">
                  <c:v>-4.4700100000000322</c:v>
                </c:pt>
                <c:pt idx="155">
                  <c:v>-4.4600100000000324</c:v>
                </c:pt>
                <c:pt idx="156">
                  <c:v>-4.4500100000000327</c:v>
                </c:pt>
                <c:pt idx="157">
                  <c:v>-4.4400100000000329</c:v>
                </c:pt>
                <c:pt idx="158">
                  <c:v>-4.4300100000000331</c:v>
                </c:pt>
                <c:pt idx="159">
                  <c:v>-4.4200100000000333</c:v>
                </c:pt>
                <c:pt idx="160">
                  <c:v>-4.4100100000000335</c:v>
                </c:pt>
                <c:pt idx="161">
                  <c:v>-4.4000100000000337</c:v>
                </c:pt>
                <c:pt idx="162">
                  <c:v>-4.3900100000000339</c:v>
                </c:pt>
                <c:pt idx="163">
                  <c:v>-4.3800100000000342</c:v>
                </c:pt>
                <c:pt idx="164">
                  <c:v>-4.3700100000000344</c:v>
                </c:pt>
                <c:pt idx="165">
                  <c:v>-4.3600100000000346</c:v>
                </c:pt>
                <c:pt idx="166">
                  <c:v>-4.3500100000000348</c:v>
                </c:pt>
                <c:pt idx="167">
                  <c:v>-4.340010000000035</c:v>
                </c:pt>
                <c:pt idx="168">
                  <c:v>-4.3300100000000352</c:v>
                </c:pt>
                <c:pt idx="169">
                  <c:v>-4.3200100000000354</c:v>
                </c:pt>
                <c:pt idx="170">
                  <c:v>-4.3100100000000356</c:v>
                </c:pt>
                <c:pt idx="171">
                  <c:v>-4.3000100000000359</c:v>
                </c:pt>
                <c:pt idx="172">
                  <c:v>-4.2900100000000361</c:v>
                </c:pt>
                <c:pt idx="173">
                  <c:v>-4.2800100000000363</c:v>
                </c:pt>
                <c:pt idx="174">
                  <c:v>-4.2700100000000365</c:v>
                </c:pt>
                <c:pt idx="175">
                  <c:v>-4.2600100000000367</c:v>
                </c:pt>
                <c:pt idx="176">
                  <c:v>-4.2500100000000369</c:v>
                </c:pt>
                <c:pt idx="177">
                  <c:v>-4.2400100000000371</c:v>
                </c:pt>
                <c:pt idx="178">
                  <c:v>-4.2300100000000374</c:v>
                </c:pt>
                <c:pt idx="179">
                  <c:v>-4.2200100000000376</c:v>
                </c:pt>
                <c:pt idx="180">
                  <c:v>-4.2100100000000378</c:v>
                </c:pt>
                <c:pt idx="181">
                  <c:v>-4.200010000000038</c:v>
                </c:pt>
                <c:pt idx="182">
                  <c:v>-4.1900100000000382</c:v>
                </c:pt>
                <c:pt idx="183">
                  <c:v>-4.1800100000000384</c:v>
                </c:pt>
                <c:pt idx="184">
                  <c:v>-4.1700100000000386</c:v>
                </c:pt>
                <c:pt idx="185">
                  <c:v>-4.1600100000000388</c:v>
                </c:pt>
                <c:pt idx="186">
                  <c:v>-4.1500100000000391</c:v>
                </c:pt>
                <c:pt idx="187">
                  <c:v>-4.1400100000000393</c:v>
                </c:pt>
                <c:pt idx="188">
                  <c:v>-4.1300100000000395</c:v>
                </c:pt>
                <c:pt idx="189">
                  <c:v>-4.1200100000000397</c:v>
                </c:pt>
                <c:pt idx="190">
                  <c:v>-4.1100100000000399</c:v>
                </c:pt>
                <c:pt idx="191">
                  <c:v>-4.1000100000000401</c:v>
                </c:pt>
                <c:pt idx="192">
                  <c:v>-4.0900100000000403</c:v>
                </c:pt>
                <c:pt idx="193">
                  <c:v>-4.0800100000000405</c:v>
                </c:pt>
                <c:pt idx="194">
                  <c:v>-4.0700100000000408</c:v>
                </c:pt>
                <c:pt idx="195">
                  <c:v>-4.060010000000041</c:v>
                </c:pt>
                <c:pt idx="196">
                  <c:v>-4.0500100000000412</c:v>
                </c:pt>
                <c:pt idx="197">
                  <c:v>-4.0400100000000414</c:v>
                </c:pt>
                <c:pt idx="198">
                  <c:v>-4.0300100000000416</c:v>
                </c:pt>
                <c:pt idx="199">
                  <c:v>-4.0200100000000418</c:v>
                </c:pt>
                <c:pt idx="200">
                  <c:v>-4.010010000000042</c:v>
                </c:pt>
              </c:numCache>
            </c:numRef>
          </c:yVal>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Normal!#REF!</c:f>
              <c:numCache>
                <c:formatCode>General</c:formatCode>
                <c:ptCount val="1"/>
                <c:pt idx="0">
                  <c:v>1</c:v>
                </c:pt>
              </c:numCache>
            </c:numRef>
          </c:xVal>
          <c:yVal>
            <c:numRef>
              <c:f>Normal!$BB$16:$BB$17</c:f>
              <c:numCache>
                <c:formatCode>General</c:formatCode>
                <c:ptCount val="2"/>
                <c:pt idx="0">
                  <c:v>3</c:v>
                </c:pt>
                <c:pt idx="1">
                  <c:v>4</c:v>
                </c:pt>
              </c:numCache>
            </c:numRef>
          </c:yVal>
        </c:ser>
        <c:ser>
          <c:idx val="8"/>
          <c:order val="6"/>
          <c:spPr>
            <a:ln w="28575">
              <a:noFill/>
            </a:ln>
          </c:spPr>
          <c:marker>
            <c:symbol val="none"/>
          </c:marker>
          <c:errBars>
            <c:errDir val="x"/>
            <c:errBarType val="both"/>
            <c:errValType val="cust"/>
            <c:noEndCap val="1"/>
            <c:plus>
              <c:numRef>
                <c:f>Normal!#REF!</c:f>
                <c:numCache>
                  <c:formatCode>General</c:formatCode>
                  <c:ptCount val="1"/>
                  <c:pt idx="0">
                    <c:v>2</c:v>
                  </c:pt>
                </c:numCache>
              </c:numRef>
            </c:plus>
            <c:minus>
              <c:numRef>
                <c:f>Normal!#REF!</c:f>
                <c:numCache>
                  <c:formatCode>General</c:formatCode>
                  <c:ptCount val="1"/>
                  <c:pt idx="0">
                    <c:v>0</c:v>
                  </c:pt>
                </c:numCache>
              </c:numRef>
            </c:minus>
            <c:spPr>
              <a:ln w="38100">
                <a:pattFill prst="pct75">
                  <a:fgClr>
                    <a:srgbClr val="008000"/>
                  </a:fgClr>
                  <a:bgClr>
                    <a:srgbClr val="FFFFFF"/>
                  </a:bgClr>
                </a:pattFill>
                <a:prstDash val="solid"/>
              </a:ln>
            </c:spPr>
          </c:errBars>
          <c:xVal>
            <c:numRef>
              <c:f>Normal!#REF!</c:f>
              <c:numCache>
                <c:formatCode>General</c:formatCode>
                <c:ptCount val="1"/>
                <c:pt idx="0">
                  <c:v>1</c:v>
                </c:pt>
              </c:numCache>
            </c:numRef>
          </c:xVal>
          <c:yVal>
            <c:numRef>
              <c:f>Normal!#REF!</c:f>
              <c:numCache>
                <c:formatCode>General</c:formatCode>
                <c:ptCount val="1"/>
                <c:pt idx="0">
                  <c:v>1</c:v>
                </c:pt>
              </c:numCache>
            </c:numRef>
          </c:yVal>
        </c:ser>
        <c:ser>
          <c:idx val="4"/>
          <c:order val="7"/>
          <c:spPr>
            <a:ln w="28575">
              <a:noFill/>
            </a:ln>
          </c:spPr>
          <c:marker>
            <c:symbol val="plus"/>
            <c:size val="12"/>
            <c:spPr>
              <a:noFill/>
              <a:ln>
                <a:solidFill>
                  <a:srgbClr val="000000"/>
                </a:solidFill>
                <a:prstDash val="solid"/>
              </a:ln>
            </c:spPr>
          </c:marker>
          <c:xVal>
            <c:numRef>
              <c:f>Normal!#REF!</c:f>
              <c:numCache>
                <c:formatCode>General</c:formatCode>
                <c:ptCount val="1"/>
                <c:pt idx="0">
                  <c:v>1</c:v>
                </c:pt>
              </c:numCache>
            </c:numRef>
          </c:xVal>
          <c:yVal>
            <c:numRef>
              <c:f>Normal!#REF!</c:f>
              <c:numCache>
                <c:formatCode>General</c:formatCode>
                <c:ptCount val="1"/>
                <c:pt idx="0">
                  <c:v>1</c:v>
                </c:pt>
              </c:numCache>
            </c:numRef>
          </c:yVal>
        </c:ser>
        <c:ser>
          <c:idx val="1"/>
          <c:order val="8"/>
          <c:spPr>
            <a:ln w="28575">
              <a:noFill/>
            </a:ln>
          </c:spPr>
          <c:marker>
            <c:symbol val="none"/>
          </c:marker>
          <c:dLbls>
            <c:dLbl>
              <c:idx val="0"/>
              <c:layout>
                <c:manualLayout>
                  <c:x val="-1.7589659412298061E-2"/>
                  <c:y val="1.0637616673751397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dLbl>
            <c:spPr>
              <a:noFill/>
              <a:ln w="25400">
                <a:noFill/>
              </a:ln>
            </c:spPr>
            <c:txPr>
              <a:bodyPr/>
              <a:lstStyle/>
              <a:p>
                <a:pPr>
                  <a:defRPr sz="925" b="0" i="0" u="none" strike="noStrike" baseline="0">
                    <a:solidFill>
                      <a:srgbClr val="000000"/>
                    </a:solidFill>
                    <a:latin typeface="Arial"/>
                    <a:ea typeface="Arial"/>
                    <a:cs typeface="Arial"/>
                  </a:defRPr>
                </a:pPr>
                <a:endParaRPr lang="en-US"/>
              </a:p>
            </c:txPr>
            <c:showVal val="1"/>
          </c:dLbls>
          <c:errBars>
            <c:errDir val="y"/>
            <c:errBarType val="minus"/>
            <c:errValType val="cust"/>
            <c:noEndCap val="1"/>
            <c:minus>
              <c:numRef>
                <c:f>Normal!#REF!</c:f>
                <c:numCache>
                  <c:formatCode>General</c:formatCode>
                  <c:ptCount val="1"/>
                  <c:pt idx="0">
                    <c:v>0</c:v>
                  </c:pt>
                </c:numCache>
              </c:numRef>
            </c:minus>
            <c:spPr>
              <a:ln w="12700">
                <a:solidFill>
                  <a:srgbClr val="000000"/>
                </a:solidFill>
                <a:prstDash val="solid"/>
              </a:ln>
            </c:spPr>
          </c:errBars>
          <c:xVal>
            <c:numRef>
              <c:f>Normal!#REF!</c:f>
              <c:numCache>
                <c:formatCode>General</c:formatCode>
                <c:ptCount val="1"/>
                <c:pt idx="0">
                  <c:v>1</c:v>
                </c:pt>
              </c:numCache>
            </c:numRef>
          </c:xVal>
          <c:yVal>
            <c:numRef>
              <c:f>Normal!#REF!</c:f>
              <c:numCache>
                <c:formatCode>General</c:formatCode>
                <c:ptCount val="1"/>
                <c:pt idx="0">
                  <c:v>1</c:v>
                </c:pt>
              </c:numCache>
            </c:numRef>
          </c:yVal>
        </c:ser>
        <c:axId val="137579904"/>
        <c:axId val="137610368"/>
      </c:scatterChart>
      <c:valAx>
        <c:axId val="137579904"/>
        <c:scaling>
          <c:orientation val="minMax"/>
          <c:max val="100"/>
          <c:min val="0"/>
        </c:scaling>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37610368"/>
        <c:crossesAt val="26"/>
        <c:crossBetween val="midCat"/>
        <c:majorUnit val="10"/>
        <c:minorUnit val="2"/>
      </c:valAx>
      <c:valAx>
        <c:axId val="137610368"/>
        <c:scaling>
          <c:orientation val="maxMin"/>
          <c:max val="26"/>
          <c:min val="0"/>
        </c:scaling>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63E-3"/>
              <c:y val="0.27777865266841645"/>
            </c:manualLayout>
          </c:layout>
          <c:spPr>
            <a:noFill/>
            <a:ln w="25400">
              <a:noFill/>
            </a:ln>
          </c:spPr>
        </c:title>
        <c:numFmt formatCode="General" sourceLinked="1"/>
        <c:majorTickMark val="none"/>
        <c:tickLblPos val="none"/>
        <c:spPr>
          <a:ln w="3175">
            <a:solidFill>
              <a:srgbClr val="000000"/>
            </a:solidFill>
            <a:prstDash val="solid"/>
          </a:ln>
        </c:spPr>
        <c:crossAx val="137579904"/>
        <c:crossesAt val="0"/>
        <c:crossBetween val="midCat"/>
        <c:majorUnit val="1"/>
        <c:minorUnit val="1"/>
      </c:valAx>
      <c:spPr>
        <a:no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3.437503496809384E-2"/>
          <c:y val="7.6555113350302489E-2"/>
          <c:w val="0.95000096639095699"/>
          <c:h val="0.82775216310014554"/>
        </c:manualLayout>
      </c:layout>
      <c:scatterChart>
        <c:scatterStyle val="lineMarker"/>
        <c:ser>
          <c:idx val="11"/>
          <c:order val="0"/>
          <c:spPr>
            <a:ln w="28575">
              <a:noFill/>
            </a:ln>
          </c:spPr>
          <c:marker>
            <c:symbol val="none"/>
          </c:marker>
          <c:errBars>
            <c:errDir val="y"/>
            <c:errBarType val="minus"/>
            <c:errValType val="cust"/>
            <c:noEndCap val="1"/>
            <c:minus>
              <c:numRef>
                <c:f>Normal!$BE$21:$BE$1221</c:f>
                <c:numCache>
                  <c:formatCode>General</c:formatCode>
                  <c:ptCount val="1201"/>
                  <c:pt idx="0">
                    <c:v>-9.9999392411715023E-4</c:v>
                  </c:pt>
                  <c:pt idx="1">
                    <c:v>-9.9999354872810919E-4</c:v>
                  </c:pt>
                  <c:pt idx="2">
                    <c:v>-9.9999315083118697E-4</c:v>
                  </c:pt>
                  <c:pt idx="3">
                    <c:v>-9.9999272912018817E-4</c:v>
                  </c:pt>
                  <c:pt idx="4">
                    <c:v>-9.9999228221578753E-4</c:v>
                  </c:pt>
                  <c:pt idx="5">
                    <c:v>-9.9999180866159644E-4</c:v>
                  </c:pt>
                  <c:pt idx="6">
                    <c:v>-9.9999130692002714E-4</c:v>
                  </c:pt>
                  <c:pt idx="7">
                    <c:v>-9.9999077536794267E-4</c:v>
                  </c:pt>
                  <c:pt idx="8">
                    <c:v>-9.9999021229208764E-4</c:v>
                  </c:pt>
                  <c:pt idx="9">
                    <c:v>-9.9998961588428233E-4</c:v>
                  </c:pt>
                  <c:pt idx="10">
                    <c:v>-9.9998898423637539E-4</c:v>
                  </c:pt>
                  <c:pt idx="11">
                    <c:v>-9.9998831533493703E-4</c:v>
                  </c:pt>
                  <c:pt idx="12">
                    <c:v>-9.9998760705568581E-4</c:v>
                  </c:pt>
                  <c:pt idx="13">
                    <c:v>-9.9998685715763308E-4</c:v>
                  </c:pt>
                  <c:pt idx="14">
                    <c:v>-9.9998606327693102E-4</c:v>
                  </c:pt>
                  <c:pt idx="15">
                    <c:v>-9.9998522292041358E-4</c:v>
                  </c:pt>
                  <c:pt idx="16">
                    <c:v>-9.9998433345881198E-4</c:v>
                  </c:pt>
                  <c:pt idx="17">
                    <c:v>-9.9998339211963111E-4</c:v>
                  </c:pt>
                  <c:pt idx="18">
                    <c:v>-9.999823959796711E-4</c:v>
                  </c:pt>
                  <c:pt idx="19">
                    <c:v>-9.9998134195717616E-4</c:v>
                  </c:pt>
                  <c:pt idx="20">
                    <c:v>-9.9998022680359384E-4</c:v>
                  </c:pt>
                  <c:pt idx="21">
                    <c:v>-9.9997904709492672E-4</c:v>
                  </c:pt>
                  <c:pt idx="22">
                    <c:v>-9.9997779922265636E-4</c:v>
                  </c:pt>
                  <c:pt idx="23">
                    <c:v>-9.9997647938422163E-4</c:v>
                  </c:pt>
                  <c:pt idx="24">
                    <c:v>-9.9997508357302714E-4</c:v>
                  </c:pt>
                  <c:pt idx="25">
                    <c:v>-9.9997360756796439E-4</c:v>
                  </c:pt>
                  <c:pt idx="26">
                    <c:v>-9.9997204692241996E-4</c:v>
                  </c:pt>
                  <c:pt idx="27">
                    <c:v>-9.9997039695274778E-4</c:v>
                  </c:pt>
                  <c:pt idx="28">
                    <c:v>-9.9996865272618208E-4</c:v>
                  </c:pt>
                  <c:pt idx="29">
                    <c:v>-9.9996680904816324E-4</c:v>
                  </c:pt>
                  <c:pt idx="30">
                    <c:v>-9.9996486044905174E-4</c:v>
                  </c:pt>
                  <c:pt idx="31">
                    <c:v>-9.9996280117020209E-4</c:v>
                  </c:pt>
                  <c:pt idx="32">
                    <c:v>-9.9996062514936504E-4</c:v>
                  </c:pt>
                  <c:pt idx="33">
                    <c:v>-9.9995832600539283E-4</c:v>
                  </c:pt>
                  <c:pt idx="34">
                    <c:v>-9.9995589702221071E-4</c:v>
                  </c:pt>
                  <c:pt idx="35">
                    <c:v>-9.9995333113202418E-4</c:v>
                  </c:pt>
                  <c:pt idx="36">
                    <c:v>-9.9995062089772895E-4</c:v>
                  </c:pt>
                  <c:pt idx="37">
                    <c:v>-9.999477584944857E-4</c:v>
                  </c:pt>
                  <c:pt idx="38">
                    <c:v>-9.9994473569042243E-4</c:v>
                  </c:pt>
                  <c:pt idx="39">
                    <c:v>-9.9994154382642905E-4</c:v>
                  </c:pt>
                  <c:pt idx="40">
                    <c:v>-9.9993817379499827E-4</c:v>
                  </c:pt>
                  <c:pt idx="41">
                    <c:v>-9.9993461601807689E-4</c:v>
                  </c:pt>
                  <c:pt idx="42">
                    <c:v>-9.9993086042387885E-4</c:v>
                  </c:pt>
                  <c:pt idx="43">
                    <c:v>-9.999268964226188E-4</c:v>
                  </c:pt>
                  <c:pt idx="44">
                    <c:v>-9.9992271288111469E-4</c:v>
                  </c:pt>
                  <c:pt idx="45">
                    <c:v>-9.9991829809621463E-4</c:v>
                  </c:pt>
                  <c:pt idx="46">
                    <c:v>-9.9991363976699226E-4</c:v>
                  </c:pt>
                  <c:pt idx="47">
                    <c:v>-9.9990872496566246E-4</c:v>
                  </c:pt>
                  <c:pt idx="48">
                    <c:v>-9.9990354010715725E-4</c:v>
                  </c:pt>
                  <c:pt idx="49">
                    <c:v>-9.9989807091730863E-4</c:v>
                  </c:pt>
                  <c:pt idx="50">
                    <c:v>-9.9989230239957462E-4</c:v>
                  </c:pt>
                  <c:pt idx="51">
                    <c:v>-9.9988621880024958E-4</c:v>
                  </c:pt>
                  <c:pt idx="52">
                    <c:v>-9.9987980357209381E-4</c:v>
                  </c:pt>
                  <c:pt idx="53">
                    <c:v>-9.9987303933631185E-4</c:v>
                  </c:pt>
                  <c:pt idx="54">
                    <c:v>-9.998659078428165E-4</c:v>
                  </c:pt>
                  <c:pt idx="55">
                    <c:v>-9.9985838992869844E-4</c:v>
                  </c:pt>
                  <c:pt idx="56">
                    <c:v>-9.9985046547483277E-4</c:v>
                  </c:pt>
                  <c:pt idx="57">
                    <c:v>-9.9984211336054114E-4</c:v>
                  </c:pt>
                  <c:pt idx="58">
                    <c:v>-9.9983331141622776E-4</c:v>
                  </c:pt>
                  <c:pt idx="59">
                    <c:v>-9.9982403637390894E-4</c:v>
                  </c:pt>
                  <c:pt idx="60">
                    <c:v>-9.9981426381554441E-4</c:v>
                  </c:pt>
                  <c:pt idx="61">
                    <c:v>-9.9980396811908323E-4</c:v>
                  </c:pt>
                  <c:pt idx="62">
                    <c:v>-9.9979312240212805E-4</c:v>
                  </c:pt>
                  <c:pt idx="63">
                    <c:v>-9.9978169846312213E-4</c:v>
                  </c:pt>
                  <c:pt idx="64">
                    <c:v>-9.9976966671995612E-4</c:v>
                  </c:pt>
                  <c:pt idx="65">
                    <c:v>-9.9975699614589198E-4</c:v>
                  </c:pt>
                  <c:pt idx="66">
                    <c:v>-9.9974365420269266E-4</c:v>
                  </c:pt>
                  <c:pt idx="67">
                    <c:v>-9.9972960677084666E-4</c:v>
                  </c:pt>
                  <c:pt idx="68">
                    <c:v>-9.9971481807677154E-4</c:v>
                  </c:pt>
                  <c:pt idx="69">
                    <c:v>-9.996992506168716E-4</c:v>
                  </c:pt>
                  <c:pt idx="70">
                    <c:v>-9.9968286507832842E-4</c:v>
                  </c:pt>
                  <c:pt idx="71">
                    <c:v>-9.9966562025649206E-4</c:v>
                  </c:pt>
                  <c:pt idx="72">
                    <c:v>-9.996474729687386E-4</c:v>
                  </c:pt>
                  <c:pt idx="73">
                    <c:v>-9.9962837796465503E-4</c:v>
                  </c:pt>
                  <c:pt idx="74">
                    <c:v>-9.9960828783240648E-4</c:v>
                  </c:pt>
                  <c:pt idx="75">
                    <c:v>-9.9958715290113698E-4</c:v>
                  </c:pt>
                  <c:pt idx="76">
                    <c:v>-9.9956492113924852E-4</c:v>
                  </c:pt>
                  <c:pt idx="77">
                    <c:v>-9.9954153804839843E-4</c:v>
                  </c:pt>
                  <c:pt idx="78">
                    <c:v>-9.9951694655305012E-4</c:v>
                  </c:pt>
                  <c:pt idx="79">
                    <c:v>-9.9949108688540331E-4</c:v>
                  </c:pt>
                  <c:pt idx="80">
                    <c:v>-9.9946389646553041E-4</c:v>
                  </c:pt>
                  <c:pt idx="81">
                    <c:v>-9.9943530977653094E-4</c:v>
                  </c:pt>
                  <c:pt idx="82">
                    <c:v>-9.9940525823451936E-4</c:v>
                  </c:pt>
                  <c:pt idx="83">
                    <c:v>-9.9937367005324424E-4</c:v>
                  </c:pt>
                  <c:pt idx="84">
                    <c:v>-9.9934047010314265E-4</c:v>
                  </c:pt>
                  <c:pt idx="85">
                    <c:v>-9.993055797646146E-4</c:v>
                  </c:pt>
                  <c:pt idx="86">
                    <c:v>-9.9926891677530475E-4</c:v>
                  </c:pt>
                  <c:pt idx="87">
                    <c:v>-9.9923039507116549E-4</c:v>
                  </c:pt>
                  <c:pt idx="88">
                    <c:v>-9.9918992462107192E-4</c:v>
                  </c:pt>
                  <c:pt idx="89">
                    <c:v>-9.9914741125474828E-4</c:v>
                  </c:pt>
                  <c:pt idx="90">
                    <c:v>-9.9910275648376168E-4</c:v>
                  </c:pt>
                  <c:pt idx="91">
                    <c:v>-9.9905585731532701E-4</c:v>
                  </c:pt>
                  <c:pt idx="92">
                    <c:v>-9.9900660605866027E-4</c:v>
                  </c:pt>
                  <c:pt idx="93">
                    <c:v>-9.989548901236107E-4</c:v>
                  </c:pt>
                  <c:pt idx="94">
                    <c:v>-9.9890059181129186E-4</c:v>
                  </c:pt>
                  <c:pt idx="95">
                    <c:v>-9.9884358809642043E-4</c:v>
                  </c:pt>
                  <c:pt idx="96">
                    <c:v>-9.9878375040106881E-4</c:v>
                  </c:pt>
                  <c:pt idx="97">
                    <c:v>-9.9872094435952356E-4</c:v>
                  </c:pt>
                  <c:pt idx="98">
                    <c:v>-9.9865502957393075E-4</c:v>
                  </c:pt>
                  <c:pt idx="99">
                    <c:v>-9.9858585936040507E-4</c:v>
                  </c:pt>
                  <c:pt idx="100">
                    <c:v>-9.9851328048526579E-4</c:v>
                  </c:pt>
                  <c:pt idx="101">
                    <c:v>-9.9843713289105083E-4</c:v>
                  </c:pt>
                  <c:pt idx="102">
                    <c:v>-9.9835724941195513E-4</c:v>
                  </c:pt>
                  <c:pt idx="103">
                    <c:v>-9.9827345547832307E-4</c:v>
                  </c:pt>
                  <c:pt idx="104">
                    <c:v>-9.9818556880981821E-4</c:v>
                  </c:pt>
                  <c:pt idx="105">
                    <c:v>-9.9809339909687732E-4</c:v>
                  </c:pt>
                  <c:pt idx="106">
                    <c:v>-9.9799674767005165E-4</c:v>
                  </c:pt>
                  <c:pt idx="107">
                    <c:v>-9.978954071568171E-4</c:v>
                  </c:pt>
                  <c:pt idx="108">
                    <c:v>-9.977891611254318E-4</c:v>
                  </c:pt>
                  <c:pt idx="109">
                    <c:v>-9.9767778371540224E-4</c:v>
                  </c:pt>
                  <c:pt idx="110">
                    <c:v>-9.9756103925410702E-4</c:v>
                  </c:pt>
                  <c:pt idx="111">
                    <c:v>-9.9743868185911584E-4</c:v>
                  </c:pt>
                  <c:pt idx="112">
                    <c:v>-9.9731045502572885E-4</c:v>
                  </c:pt>
                  <c:pt idx="113">
                    <c:v>-9.9717609119924456E-4</c:v>
                  </c:pt>
                  <c:pt idx="114">
                    <c:v>-9.9703531133145504E-4</c:v>
                  </c:pt>
                  <c:pt idx="115">
                    <c:v>-9.9688782442085137E-4</c:v>
                  </c:pt>
                  <c:pt idx="116">
                    <c:v>-9.9673332703600708E-4</c:v>
                  </c:pt>
                  <c:pt idx="117">
                    <c:v>-9.9657150282159547E-4</c:v>
                  </c:pt>
                  <c:pt idx="118">
                    <c:v>-9.9640202198647923E-4</c:v>
                  </c:pt>
                  <c:pt idx="119">
                    <c:v>-9.9622454077329917E-4</c:v>
                  </c:pt>
                  <c:pt idx="120">
                    <c:v>-9.9603870090896832E-4</c:v>
                  </c:pt>
                  <c:pt idx="121">
                    <c:v>-9.9584412903546944E-4</c:v>
                  </c:pt>
                  <c:pt idx="122">
                    <c:v>-9.9564043612032898E-4</c:v>
                  </c:pt>
                  <c:pt idx="123">
                    <c:v>-9.9542721684613643E-4</c:v>
                  </c:pt>
                  <c:pt idx="124">
                    <c:v>-9.95204048978448E-4</c:v>
                  </c:pt>
                  <c:pt idx="125">
                    <c:v>-9.9497049271140832E-4</c:v>
                  </c:pt>
                  <c:pt idx="126">
                    <c:v>-9.9472608999039928E-4</c:v>
                  </c:pt>
                  <c:pt idx="127">
                    <c:v>-9.9447036381101659E-4</c:v>
                  </c:pt>
                  <c:pt idx="128">
                    <c:v>-9.9420281749364355E-4</c:v>
                  </c:pt>
                  <c:pt idx="129">
                    <c:v>-9.9392293393288974E-4</c:v>
                  </c:pt>
                  <c:pt idx="130">
                    <c:v>-9.9363017482113382E-4</c:v>
                  </c:pt>
                  <c:pt idx="131">
                    <c:v>-9.9332397984539336E-4</c:v>
                  </c:pt>
                  <c:pt idx="132">
                    <c:v>-9.9300376585673058E-4</c:v>
                  </c:pt>
                  <c:pt idx="133">
                    <c:v>-9.9266892601137711E-4</c:v>
                  </c:pt>
                  <c:pt idx="134">
                    <c:v>-9.9231882888275048E-4</c:v>
                  </c:pt>
                  <c:pt idx="135">
                    <c:v>-9.9195281754350874E-4</c:v>
                  </c:pt>
                  <c:pt idx="136">
                    <c:v>-9.9157020861677229E-4</c:v>
                  </c:pt>
                  <c:pt idx="137">
                    <c:v>-9.9117029129562714E-4</c:v>
                  </c:pt>
                  <c:pt idx="138">
                    <c:v>-9.907523263299957E-4</c:v>
                  </c:pt>
                  <c:pt idx="139">
                    <c:v>-9.9031554497994992E-4</c:v>
                  </c:pt>
                  <c:pt idx="140">
                    <c:v>-9.8985914793451473E-4</c:v>
                  </c:pt>
                  <c:pt idx="141">
                    <c:v>-9.89382304194993E-4</c:v>
                  </c:pt>
                  <c:pt idx="142">
                    <c:v>-9.8888414992182386E-4</c:v>
                  </c:pt>
                  <c:pt idx="143">
                    <c:v>-9.8836378724395896E-4</c:v>
                  </c:pt>
                  <c:pt idx="144">
                    <c:v>-9.8782028302973304E-4</c:v>
                  </c:pt>
                  <c:pt idx="145">
                    <c:v>-9.8725266761816831E-4</c:v>
                  </c:pt>
                  <c:pt idx="146">
                    <c:v>-9.8665993350964608E-4</c:v>
                  </c:pt>
                  <c:pt idx="147">
                    <c:v>-9.8604103401484715E-4</c:v>
                  </c:pt>
                  <c:pt idx="148">
                    <c:v>-9.8539488186084922E-4</c:v>
                  </c:pt>
                  <c:pt idx="149">
                    <c:v>-9.8472034775324061E-4</c:v>
                  </c:pt>
                  <c:pt idx="150">
                    <c:v>-9.8401625889309695E-4</c:v>
                  </c:pt>
                  <c:pt idx="151">
                    <c:v>-9.8328139744763743E-4</c:v>
                  </c:pt>
                  <c:pt idx="152">
                    <c:v>-9.8251449897336337E-4</c:v>
                  </c:pt>
                  <c:pt idx="153">
                    <c:v>-9.8171425079045531E-4</c:v>
                  </c:pt>
                  <c:pt idx="154">
                    <c:v>-9.8087929030718501E-4</c:v>
                  </c:pt>
                  <c:pt idx="155">
                    <c:v>-9.8000820329308016E-4</c:v>
                  </c:pt>
                  <c:pt idx="156">
                    <c:v>-9.790995220995526E-4</c:v>
                  </c:pt>
                  <c:pt idx="157">
                    <c:v>-9.7815172382668676E-4</c:v>
                  </c:pt>
                  <c:pt idx="158">
                    <c:v>-9.7716322843485661E-4</c:v>
                  </c:pt>
                  <c:pt idx="159">
                    <c:v>-9.7613239679982401E-4</c:v>
                  </c:pt>
                  <c:pt idx="160">
                    <c:v>-9.7505752870995026E-4</c:v>
                  </c:pt>
                  <c:pt idx="161">
                    <c:v>-9.7393686080412558E-4</c:v>
                  </c:pt>
                  <c:pt idx="162">
                    <c:v>-9.7276856444901156E-4</c:v>
                  </c:pt>
                  <c:pt idx="163">
                    <c:v>-9.7155074355416004E-4</c:v>
                  </c:pt>
                  <c:pt idx="164">
                    <c:v>-9.7028143232356229E-4</c:v>
                  </c:pt>
                  <c:pt idx="165">
                    <c:v>-9.6895859294215459E-4</c:v>
                  </c:pt>
                  <c:pt idx="166">
                    <c:v>-9.6758011319579128E-4</c:v>
                  </c:pt>
                  <c:pt idx="167">
                    <c:v>-9.6614380402317739E-4</c:v>
                  </c:pt>
                  <c:pt idx="168">
                    <c:v>-9.6464739699823237E-4</c:v>
                  </c:pt>
                  <c:pt idx="169">
                    <c:v>-9.6308854174133958E-4</c:v>
                  </c:pt>
                  <c:pt idx="170">
                    <c:v>-9.6146480325791893E-4</c:v>
                  </c:pt>
                  <c:pt idx="171">
                    <c:v>-9.5977365920274136E-4</c:v>
                  </c:pt>
                  <c:pt idx="172">
                    <c:v>-9.5801249706838933E-4</c:v>
                  </c:pt>
                  <c:pt idx="173">
                    <c:v>-9.5617861129624888E-4</c:v>
                  </c:pt>
                  <c:pt idx="174">
                    <c:v>-9.5426920030840603E-4</c:v>
                  </c:pt>
                  <c:pt idx="175">
                    <c:v>-9.5228136345880258E-4</c:v>
                  </c:pt>
                  <c:pt idx="176">
                    <c:v>-9.5021209790199584E-4</c:v>
                  </c:pt>
                  <c:pt idx="177">
                    <c:v>-9.4805829537784848E-4</c:v>
                  </c:pt>
                  <c:pt idx="178">
                    <c:v>-9.4581673891046855E-4</c:v>
                  </c:pt>
                  <c:pt idx="179">
                    <c:v>-9.4348409941970171E-4</c:v>
                  </c:pt>
                  <c:pt idx="180">
                    <c:v>-9.4105693224346971E-4</c:v>
                  </c:pt>
                  <c:pt idx="181">
                    <c:v>-9.3853167356924068E-4</c:v>
                  </c:pt>
                  <c:pt idx="182">
                    <c:v>-9.3590463677290436E-4</c:v>
                  </c:pt>
                  <c:pt idx="183">
                    <c:v>-9.3317200866332029E-4</c:v>
                  </c:pt>
                  <c:pt idx="184">
                    <c:v>-9.3032984563079697E-4</c:v>
                  </c:pt>
                  <c:pt idx="185">
                    <c:v>-9.2737406969775941E-4</c:v>
                  </c:pt>
                  <c:pt idx="186">
                    <c:v>-9.2430046446985133E-4</c:v>
                  </c:pt>
                  <c:pt idx="187">
                    <c:v>-9.2110467098571996E-4</c:v>
                  </c:pt>
                  <c:pt idx="188">
                    <c:v>-9.1778218346372762E-4</c:v>
                  </c:pt>
                  <c:pt idx="189">
                    <c:v>-9.1432834494383213E-4</c:v>
                  </c:pt>
                  <c:pt idx="190">
                    <c:v>-9.1073834282288197E-4</c:v>
                  </c:pt>
                  <c:pt idx="191">
                    <c:v>-9.0700720428156967E-4</c:v>
                  </c:pt>
                  <c:pt idx="192">
                    <c:v>-9.031297916012969E-4</c:v>
                  </c:pt>
                  <c:pt idx="193">
                    <c:v>-8.9910079736920247E-4</c:v>
                  </c:pt>
                  <c:pt idx="194">
                    <c:v>-8.9491473956961748E-4</c:v>
                  </c:pt>
                  <c:pt idx="195">
                    <c:v>-8.9056595656021793E-4</c:v>
                  </c:pt>
                  <c:pt idx="196">
                    <c:v>-8.8604860193115462E-4</c:v>
                  </c:pt>
                  <c:pt idx="197">
                    <c:v>-8.8135663924545412E-4</c:v>
                  </c:pt>
                  <c:pt idx="198">
                    <c:v>-8.7648383665899767E-4</c:v>
                  </c:pt>
                  <c:pt idx="199">
                    <c:v>-8.7142376141840085E-4</c:v>
                  </c:pt>
                  <c:pt idx="200">
                    <c:v>-8.6616977423513756E-4</c:v>
                  </c:pt>
                  <c:pt idx="201">
                    <c:v>-8.6071502353426391E-4</c:v>
                  </c:pt>
                  <c:pt idx="202">
                    <c:v>-8.5505243957613387E-4</c:v>
                  </c:pt>
                  <c:pt idx="203">
                    <c:v>-8.4917472844950814E-4</c:v>
                  </c:pt>
                  <c:pt idx="204">
                    <c:v>-8.4307436593449481E-4</c:v>
                  </c:pt>
                  <c:pt idx="205">
                    <c:v>-8.3674359123378614E-4</c:v>
                  </c:pt>
                  <c:pt idx="206">
                    <c:v>-8.3017440057068593E-4</c:v>
                  </c:pt>
                  <c:pt idx="207">
                    <c:v>-8.2335854065245971E-4</c:v>
                  </c:pt>
                  <c:pt idx="208">
                    <c:v>-8.1628750199757498E-4</c:v>
                  </c:pt>
                  <c:pt idx="209">
                    <c:v>-8.0895251212543553E-4</c:v>
                  </c:pt>
                  <c:pt idx="210">
                    <c:v>-8.0134452860726208E-4</c:v>
                  </c:pt>
                  <c:pt idx="211">
                    <c:v>-7.9345423197681056E-4</c:v>
                  </c:pt>
                  <c:pt idx="212">
                    <c:v>-7.8527201849967082E-4</c:v>
                  </c:pt>
                  <c:pt idx="213">
                    <c:v>-7.7678799279993723E-4</c:v>
                  </c:pt>
                  <c:pt idx="214">
                    <c:v>-7.6799196034309865E-4</c:v>
                  </c:pt>
                  <c:pt idx="215">
                    <c:v>-7.5887341977404926E-4</c:v>
                  </c:pt>
                  <c:pt idx="216">
                    <c:v>-7.4942155510918356E-4</c:v>
                  </c:pt>
                  <c:pt idx="217">
                    <c:v>-7.3962522778160363E-4</c:v>
                  </c:pt>
                  <c:pt idx="218">
                    <c:v>-7.2947296853852705E-4</c:v>
                  </c:pt>
                  <c:pt idx="219">
                    <c:v>-7.1895296919006362E-4</c:v>
                  </c:pt>
                  <c:pt idx="220">
                    <c:v>-7.080530742085919E-4</c:v>
                  </c:pt>
                  <c:pt idx="221">
                    <c:v>-6.9676077217805006E-4</c:v>
                  </c:pt>
                  <c:pt idx="222">
                    <c:v>-6.8506318709253469E-4</c:v>
                  </c:pt>
                  <c:pt idx="223">
                    <c:v>-6.7294706950368375E-4</c:v>
                  </c:pt>
                  <c:pt idx="224">
                    <c:v>-6.6039878751640644E-4</c:v>
                  </c:pt>
                  <c:pt idx="225">
                    <c:v>-6.4740431763261799E-4</c:v>
                  </c:pt>
                  <c:pt idx="226">
                    <c:v>-6.3394923544273082E-4</c:v>
                  </c:pt>
                  <c:pt idx="227">
                    <c:v>-6.2001870616474708E-4</c:v>
                  </c:pt>
                  <c:pt idx="228">
                    <c:v>-6.0559747503091503E-4</c:v>
                  </c:pt>
                  <c:pt idx="229">
                    <c:v>-5.9066985752199552E-4</c:v>
                  </c:pt>
                  <c:pt idx="230">
                    <c:v>-5.7521972944932567E-4</c:v>
                  </c:pt>
                  <c:pt idx="231">
                    <c:v>-5.5923051688494779E-4</c:v>
                  </c:pt>
                  <c:pt idx="232">
                    <c:v>-5.4268518594022654E-4</c:v>
                  </c:pt>
                  <c:pt idx="233">
                    <c:v>-5.2556623239346579E-4</c:v>
                  </c:pt>
                  <c:pt idx="234">
                    <c:v>-5.0785567116719656E-4</c:v>
                  </c:pt>
                  <c:pt idx="235">
                    <c:v>-4.8953502565590788E-4</c:v>
                  </c:pt>
                  <c:pt idx="236">
                    <c:v>-4.705853169051623E-4</c:v>
                  </c:pt>
                  <c:pt idx="237">
                    <c:v>-4.5098705264314237E-4</c:v>
                  </c:pt>
                  <c:pt idx="238">
                    <c:v>-4.3072021616585214E-4</c:v>
                  </c:pt>
                  <c:pt idx="239">
                    <c:v>-4.0976425507732305E-4</c:v>
                  </c:pt>
                  <c:pt idx="240">
                    <c:v>-3.8809806988634066E-4</c:v>
                  </c:pt>
                  <c:pt idx="241">
                    <c:v>-3.6570000246135973E-4</c:v>
                  </c:pt>
                  <c:pt idx="242">
                    <c:v>-3.4254782434544511E-4</c:v>
                  </c:pt>
                  <c:pt idx="243">
                    <c:v>-3.1861872493323443E-4</c:v>
                  </c:pt>
                  <c:pt idx="244">
                    <c:v>-2.9388929951209436E-4</c:v>
                  </c:pt>
                  <c:pt idx="245">
                    <c:v>-2.6833553716982509E-4</c:v>
                  </c:pt>
                  <c:pt idx="246">
                    <c:v>-2.419328085714299E-4</c:v>
                  </c:pt>
                  <c:pt idx="247">
                    <c:v>-2.1465585360767674E-4</c:v>
                  </c:pt>
                  <c:pt idx="248">
                    <c:v>-1.864787689183434E-4</c:v>
                  </c:pt>
                  <c:pt idx="249">
                    <c:v>-1.5737499529325542E-4</c:v>
                  </c:pt>
                  <c:pt idx="250">
                    <c:v>-1.2731730495440282E-4</c:v>
                  </c:pt>
                  <c:pt idx="251">
                    <c:v>-9.6277788722644243E-5</c:v>
                  </c:pt>
                  <c:pt idx="252">
                    <c:v>-6.4227843072695023E-5</c:v>
                  </c:pt>
                  <c:pt idx="253">
                    <c:v>-3.1138157080334958E-5</c:v>
                  </c:pt>
                  <c:pt idx="254">
                    <c:v>3.0213007340493953E-6</c:v>
                  </c:pt>
                  <c:pt idx="255">
                    <c:v>3.8281295661216465E-5</c:v>
                  </c:pt>
                  <c:pt idx="256">
                    <c:v>7.4673340153533305E-5</c:v>
                  </c:pt>
                  <c:pt idx="257">
                    <c:v>1.1222970726535624E-4</c:v>
                  </c:pt>
                  <c:pt idx="258">
                    <c:v>1.5098344417826745E-4</c:v>
                  </c:pt>
                  <c:pt idx="259">
                    <c:v>1.9096838580589322E-4</c:v>
                  </c:pt>
                  <c:pt idx="260">
                    <c:v>2.3221916847278637E-4</c:v>
                  </c:pt>
                  <c:pt idx="261">
                    <c:v>2.7477124366159246E-4</c:v>
                  </c:pt>
                  <c:pt idx="262">
                    <c:v>3.186608918224925E-4</c:v>
                  </c:pt>
                  <c:pt idx="263">
                    <c:v>3.6392523623864645E-4</c:v>
                  </c:pt>
                  <c:pt idx="264">
                    <c:v>4.1060225694111675E-4</c:v>
                  </c:pt>
                  <c:pt idx="265">
                    <c:v>4.5873080466646982E-4</c:v>
                  </c:pt>
                  <c:pt idx="266">
                    <c:v>5.0835061485002189E-4</c:v>
                  </c:pt>
                  <c:pt idx="267">
                    <c:v>5.5950232164739635E-4</c:v>
                  </c:pt>
                  <c:pt idx="268">
                    <c:v>6.12227471976818E-4</c:v>
                  </c:pt>
                  <c:pt idx="269">
                    <c:v>6.6656853957426415E-4</c:v>
                  </c:pt>
                  <c:pt idx="270">
                    <c:v>7.2256893905335226E-4</c:v>
                  </c:pt>
                  <c:pt idx="271">
                    <c:v>7.802730399615401E-4</c:v>
                  </c:pt>
                  <c:pt idx="272">
                    <c:v>8.3972618082392924E-4</c:v>
                  </c:pt>
                  <c:pt idx="273">
                    <c:v>9.0097468316571879E-4</c:v>
                  </c:pt>
                  <c:pt idx="274">
                    <c:v>9.6406586550400056E-4</c:v>
                  </c:pt>
                  <c:pt idx="275">
                    <c:v>1.0290480572993821E-3</c:v>
                  </c:pt>
                  <c:pt idx="276">
                    <c:v>1.095970612857545E-3</c:v>
                  </c:pt>
                  <c:pt idx="277">
                    <c:v>1.1648839251706487E-3</c:v>
                  </c:pt>
                  <c:pt idx="278">
                    <c:v>1.235839439688113E-3</c:v>
                  </c:pt>
                  <c:pt idx="279">
                    <c:v>1.3088896680060543E-3</c:v>
                  </c:pt>
                  <c:pt idx="280">
                    <c:v>1.3840882014643867E-3</c:v>
                  </c:pt>
                  <c:pt idx="281">
                    <c:v>1.46148972464023E-3</c:v>
                  </c:pt>
                  <c:pt idx="282">
                    <c:v>1.5411500287260357E-3</c:v>
                  </c:pt>
                  <c:pt idx="283">
                    <c:v>1.6231260247805235E-3</c:v>
                  </c:pt>
                  <c:pt idx="284">
                    <c:v>1.7074757568401851E-3</c:v>
                  </c:pt>
                  <c:pt idx="285">
                    <c:v>1.7942584148789107E-3</c:v>
                  </c:pt>
                  <c:pt idx="286">
                    <c:v>1.883534347602888E-3</c:v>
                  </c:pt>
                  <c:pt idx="287">
                    <c:v>1.9753650750676823E-3</c:v>
                  </c:pt>
                  <c:pt idx="288">
                    <c:v>2.069813301104154E-3</c:v>
                  </c:pt>
                  <c:pt idx="289">
                    <c:v>2.1669429255394704E-3</c:v>
                  </c:pt>
                  <c:pt idx="290">
                    <c:v>2.2668190561992946E-3</c:v>
                  </c:pt>
                  <c:pt idx="291">
                    <c:v>2.3695080206768341E-3</c:v>
                  </c:pt>
                  <c:pt idx="292">
                    <c:v>2.4750773778542709E-3</c:v>
                  </c:pt>
                  <c:pt idx="293">
                    <c:v>2.5835959291616735E-3</c:v>
                  </c:pt>
                  <c:pt idx="294">
                    <c:v>2.6951337295583254E-3</c:v>
                  </c:pt>
                  <c:pt idx="295">
                    <c:v>2.8097620982210757E-3</c:v>
                  </c:pt>
                  <c:pt idx="296">
                    <c:v>2.9275536289240251E-3</c:v>
                  </c:pt>
                  <c:pt idx="297">
                    <c:v>3.0485822000936519E-3</c:v>
                  </c:pt>
                  <c:pt idx="298">
                    <c:v>3.1729229845231608E-3</c:v>
                  </c:pt>
                  <c:pt idx="299">
                    <c:v>3.3006524587296205E-3</c:v>
                  </c:pt>
                  <c:pt idx="300">
                    <c:v>3.4318484119371566E-3</c:v>
                  </c:pt>
                  <c:pt idx="301">
                    <c:v>3.5665899546692718E-3</c:v>
                  </c:pt>
                  <c:pt idx="302">
                    <c:v>3.7049575269330762E-3</c:v>
                  </c:pt>
                  <c:pt idx="303">
                    <c:v>3.8470329059780185E-3</c:v>
                  </c:pt>
                  <c:pt idx="304">
                    <c:v>3.992899213611417E-3</c:v>
                  </c:pt>
                  <c:pt idx="305">
                    <c:v>4.1426409230529513E-3</c:v>
                  </c:pt>
                  <c:pt idx="306">
                    <c:v>4.2963438653100027E-3</c:v>
                  </c:pt>
                  <c:pt idx="307">
                    <c:v>4.4540952350555036E-3</c:v>
                  </c:pt>
                  <c:pt idx="308">
                    <c:v>4.61598359598989E-3</c:v>
                  </c:pt>
                  <c:pt idx="309">
                    <c:v>4.782098885668367E-3</c:v>
                  </c:pt>
                  <c:pt idx="310">
                    <c:v>4.9525324197747115E-3</c:v>
                  </c:pt>
                  <c:pt idx="311">
                    <c:v>5.1273768958225111E-3</c:v>
                  </c:pt>
                  <c:pt idx="312">
                    <c:v>5.3067263962647167E-3</c:v>
                  </c:pt>
                  <c:pt idx="313">
                    <c:v>5.4906763909921231E-3</c:v>
                  </c:pt>
                  <c:pt idx="314">
                    <c:v>5.679323739201339E-3</c:v>
                  </c:pt>
                  <c:pt idx="315">
                    <c:v>5.872766690612658E-3</c:v>
                  </c:pt>
                  <c:pt idx="316">
                    <c:v>6.0711048860180982E-3</c:v>
                  </c:pt>
                  <c:pt idx="317">
                    <c:v>6.2744393571398278E-3</c:v>
                  </c:pt>
                  <c:pt idx="318">
                    <c:v>6.4828725257791275E-3</c:v>
                  </c:pt>
                  <c:pt idx="319">
                    <c:v>6.6965082022358508E-3</c:v>
                  </c:pt>
                  <c:pt idx="320">
                    <c:v>6.9154515829784506E-3</c:v>
                  </c:pt>
                  <c:pt idx="321">
                    <c:v>7.1398092475444689E-3</c:v>
                  </c:pt>
                  <c:pt idx="322">
                    <c:v>7.3696891546514301E-3</c:v>
                  </c:pt>
                  <c:pt idx="323">
                    <c:v>7.6052006374980321E-3</c:v>
                  </c:pt>
                  <c:pt idx="324">
                    <c:v>7.8464543982355375E-3</c:v>
                  </c:pt>
                  <c:pt idx="325">
                    <c:v>8.0935625015893208E-3</c:v>
                  </c:pt>
                  <c:pt idx="326">
                    <c:v>8.3466383676105045E-3</c:v>
                  </c:pt>
                  <c:pt idx="327">
                    <c:v>8.6057967635377562E-3</c:v>
                  </c:pt>
                  <c:pt idx="328">
                    <c:v>8.8711537947492591E-3</c:v>
                  </c:pt>
                  <c:pt idx="329">
                    <c:v>9.1428268947851485E-3</c:v>
                  </c:pt>
                  <c:pt idx="330">
                    <c:v>9.4209348144206131E-3</c:v>
                  </c:pt>
                  <c:pt idx="331">
                    <c:v>9.7055976097701509E-3</c:v>
                  </c:pt>
                  <c:pt idx="332">
                    <c:v>9.9969366294034891E-3</c:v>
                  </c:pt>
                  <c:pt idx="333">
                    <c:v>1.0295074500453992E-2</c:v>
                  </c:pt>
                  <c:pt idx="334">
                    <c:v>1.0600135113700365E-2</c:v>
                  </c:pt>
                  <c:pt idx="335">
                    <c:v>1.0912243607602925E-2</c:v>
                  </c:pt>
                  <c:pt idx="336">
                    <c:v>1.123152635127566E-2</c:v>
                  </c:pt>
                  <c:pt idx="337">
                    <c:v>1.1558110926375834E-2</c:v>
                  </c:pt>
                  <c:pt idx="338">
                    <c:v>1.1892126107892875E-2</c:v>
                  </c:pt>
                  <c:pt idx="339">
                    <c:v>1.2233701843818869E-2</c:v>
                  </c:pt>
                  <c:pt idx="340">
                    <c:v>1.2582969233683055E-2</c:v>
                  </c:pt>
                  <c:pt idx="341">
                    <c:v>1.2940060505933191E-2</c:v>
                  </c:pt>
                  <c:pt idx="342">
                    <c:v>1.3305108994147E-2</c:v>
                  </c:pt>
                  <c:pt idx="343">
                    <c:v>1.367824911205728E-2</c:v>
                  </c:pt>
                  <c:pt idx="344">
                    <c:v>1.4059616327374628E-2</c:v>
                  </c:pt>
                  <c:pt idx="345">
                    <c:v>1.4449347134392269E-2</c:v>
                  </c:pt>
                  <c:pt idx="346">
                    <c:v>1.4847579025357844E-2</c:v>
                  </c:pt>
                  <c:pt idx="347">
                    <c:v>1.5254450460597459E-2</c:v>
                  </c:pt>
                  <c:pt idx="348">
                    <c:v>1.5670100837377944E-2</c:v>
                  </c:pt>
                  <c:pt idx="349">
                    <c:v>1.6094670457493746E-2</c:v>
                  </c:pt>
                  <c:pt idx="350">
                    <c:v>1.6528300493565268E-2</c:v>
                  </c:pt>
                  <c:pt idx="351">
                    <c:v>1.6971132954036284E-2</c:v>
                  </c:pt>
                  <c:pt idx="352">
                    <c:v>1.7423310646858616E-2</c:v>
                  </c:pt>
                  <c:pt idx="353">
                    <c:v>1.7884977141852661E-2</c:v>
                  </c:pt>
                  <c:pt idx="354">
                    <c:v>1.8356276731733366E-2</c:v>
                  </c:pt>
                  <c:pt idx="355">
                    <c:v>1.8837354391791645E-2</c:v>
                  </c:pt>
                  <c:pt idx="356">
                    <c:v>1.9328355738222069E-2</c:v>
                  </c:pt>
                  <c:pt idx="357">
                    <c:v>1.9829426985088335E-2</c:v>
                  </c:pt>
                  <c:pt idx="358">
                    <c:v>2.0340714899918837E-2</c:v>
                  </c:pt>
                  <c:pt idx="359">
                    <c:v>2.0862366757925351E-2</c:v>
                  </c:pt>
                  <c:pt idx="360">
                    <c:v>2.139453029483877E-2</c:v>
                  </c:pt>
                  <c:pt idx="361">
                    <c:v>2.1937353658356473E-2</c:v>
                  </c:pt>
                  <c:pt idx="362">
                    <c:v>2.2490985358197043E-2</c:v>
                  </c:pt>
                  <c:pt idx="363">
                    <c:v>2.3055574214758554E-2</c:v>
                  </c:pt>
                  <c:pt idx="364">
                    <c:v>2.3631269306377985E-2</c:v>
                  </c:pt>
                  <c:pt idx="365">
                    <c:v>2.421821991518977E-2</c:v>
                  </c:pt>
                  <c:pt idx="366">
                    <c:v>2.4816575471582964E-2</c:v>
                  </c:pt>
                  <c:pt idx="367">
                    <c:v>2.5426485497256908E-2</c:v>
                  </c:pt>
                  <c:pt idx="368">
                    <c:v>2.6048099546876858E-2</c:v>
                  </c:pt>
                  <c:pt idx="369">
                    <c:v>2.6681567148331541E-2</c:v>
                  </c:pt>
                  <c:pt idx="370">
                    <c:v>2.732703774159604E-2</c:v>
                  </c:pt>
                  <c:pt idx="371">
                    <c:v>2.7984660616204173E-2</c:v>
                  </c:pt>
                  <c:pt idx="372">
                    <c:v>2.8654584847335903E-2</c:v>
                  </c:pt>
                  <c:pt idx="373">
                    <c:v>2.933695923052615E-2</c:v>
                  </c:pt>
                  <c:pt idx="374">
                    <c:v>3.0031932215002659E-2</c:v>
                  </c:pt>
                  <c:pt idx="375">
                    <c:v>3.0739651835661706E-2</c:v>
                  </c:pt>
                  <c:pt idx="376">
                    <c:v>3.1460265643691629E-2</c:v>
                  </c:pt>
                  <c:pt idx="377">
                    <c:v>3.2193920635855175E-2</c:v>
                  </c:pt>
                  <c:pt idx="378">
                    <c:v>3.2940763182443114E-2</c:v>
                  </c:pt>
                  <c:pt idx="379">
                    <c:v>3.3700938953912622E-2</c:v>
                  </c:pt>
                  <c:pt idx="380">
                    <c:v>3.4474592846225116E-2</c:v>
                  </c:pt>
                  <c:pt idx="381">
                    <c:v>3.5261868904899775E-2</c:v>
                  </c:pt>
                  <c:pt idx="382">
                    <c:v>3.6062910247799902E-2</c:v>
                  </c:pt>
                  <c:pt idx="383">
                    <c:v>3.6877858986670758E-2</c:v>
                  </c:pt>
                  <c:pt idx="384">
                    <c:v>3.7706856147448765E-2</c:v>
                  </c:pt>
                  <c:pt idx="385">
                    <c:v>3.8550041589363225E-2</c:v>
                  </c:pt>
                  <c:pt idx="386">
                    <c:v>3.9407553922853195E-2</c:v>
                  </c:pt>
                  <c:pt idx="387">
                    <c:v>4.0279530426323151E-2</c:v>
                  </c:pt>
                  <c:pt idx="388">
                    <c:v>4.1166106961762927E-2</c:v>
                  </c:pt>
                  <c:pt idx="389">
                    <c:v>4.2067417889258198E-2</c:v>
                  </c:pt>
                  <c:pt idx="390">
                    <c:v>4.2983595980419516E-2</c:v>
                  </c:pt>
                  <c:pt idx="391">
                    <c:v>4.3914772330759251E-2</c:v>
                  </c:pt>
                  <c:pt idx="392">
                    <c:v>4.4861076271046914E-2</c:v>
                  </c:pt>
                  <c:pt idx="393">
                    <c:v>4.5822635277675029E-2</c:v>
                  </c:pt>
                  <c:pt idx="394">
                    <c:v>4.6799574882068748E-2</c:v>
                  </c:pt>
                  <c:pt idx="395">
                    <c:v>4.7792018579174325E-2</c:v>
                  </c:pt>
                  <c:pt idx="396">
                    <c:v>4.8800087735062184E-2</c:v>
                  </c:pt>
                  <c:pt idx="397">
                    <c:v>4.9823901493682439E-2</c:v>
                  </c:pt>
                  <c:pt idx="398">
                    <c:v>5.0863576682811669E-2</c:v>
                  </c:pt>
                  <c:pt idx="399">
                    <c:v>5.1919227719231235E-2</c:v>
                  </c:pt>
                  <c:pt idx="400">
                    <c:v>5.299096651317884E-2</c:v>
                  </c:pt>
                  <c:pt idx="401">
                    <c:v>5.4078902372116412E-2</c:v>
                  </c:pt>
                  <c:pt idx="402">
                    <c:v>5.5183141903858549E-2</c:v>
                  </c:pt>
                  <c:pt idx="403">
                    <c:v>5.6303788919107499E-2</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5.63037889191264E-2</c:v>
                  </c:pt>
                  <c:pt idx="798">
                    <c:v>5.5183141903877166E-2</c:v>
                  </c:pt>
                  <c:pt idx="799">
                    <c:v>5.4078902372134773E-2</c:v>
                  </c:pt>
                  <c:pt idx="800">
                    <c:v>5.2990966513196923E-2</c:v>
                  </c:pt>
                  <c:pt idx="801">
                    <c:v>5.1919227719249041E-2</c:v>
                  </c:pt>
                  <c:pt idx="802">
                    <c:v>5.0863576682829217E-2</c:v>
                  </c:pt>
                  <c:pt idx="803">
                    <c:v>4.9823901493699703E-2</c:v>
                  </c:pt>
                  <c:pt idx="804">
                    <c:v>4.8800087735079191E-2</c:v>
                  </c:pt>
                  <c:pt idx="805">
                    <c:v>4.7792018579191083E-2</c:v>
                  </c:pt>
                  <c:pt idx="806">
                    <c:v>4.6799574882085242E-2</c:v>
                  </c:pt>
                  <c:pt idx="807">
                    <c:v>4.5822635277691245E-2</c:v>
                  </c:pt>
                  <c:pt idx="808">
                    <c:v>4.486107627106288E-2</c:v>
                  </c:pt>
                  <c:pt idx="809">
                    <c:v>4.3914772330774968E-2</c:v>
                  </c:pt>
                  <c:pt idx="810">
                    <c:v>4.2983595980434983E-2</c:v>
                  </c:pt>
                  <c:pt idx="811">
                    <c:v>4.2067417889273401E-2</c:v>
                  </c:pt>
                  <c:pt idx="812">
                    <c:v>4.1166106961777887E-2</c:v>
                  </c:pt>
                  <c:pt idx="813">
                    <c:v>4.0279530426337869E-2</c:v>
                  </c:pt>
                  <c:pt idx="814">
                    <c:v>3.9407553922867662E-2</c:v>
                  </c:pt>
                  <c:pt idx="815">
                    <c:v>3.8550041589377471E-2</c:v>
                  </c:pt>
                  <c:pt idx="816">
                    <c:v>3.7706856147462768E-2</c:v>
                  </c:pt>
                  <c:pt idx="817">
                    <c:v>3.6877858986684525E-2</c:v>
                  </c:pt>
                  <c:pt idx="818">
                    <c:v>3.6062910247813426E-2</c:v>
                  </c:pt>
                  <c:pt idx="819">
                    <c:v>3.5261868904913063E-2</c:v>
                  </c:pt>
                  <c:pt idx="820">
                    <c:v>3.4474592846238175E-2</c:v>
                  </c:pt>
                  <c:pt idx="821">
                    <c:v>3.3700938953925459E-2</c:v>
                  </c:pt>
                  <c:pt idx="822">
                    <c:v>3.2940763182455736E-2</c:v>
                  </c:pt>
                  <c:pt idx="823">
                    <c:v>3.2193920635867554E-2</c:v>
                  </c:pt>
                  <c:pt idx="824">
                    <c:v>3.1460265643703793E-2</c:v>
                  </c:pt>
                  <c:pt idx="825">
                    <c:v>3.0739651835673662E-2</c:v>
                  </c:pt>
                  <c:pt idx="826">
                    <c:v>3.0031932215014399E-2</c:v>
                  </c:pt>
                  <c:pt idx="827">
                    <c:v>2.9336959230537682E-2</c:v>
                  </c:pt>
                  <c:pt idx="828">
                    <c:v>2.8654584847347224E-2</c:v>
                  </c:pt>
                  <c:pt idx="829">
                    <c:v>2.7984660616215278E-2</c:v>
                  </c:pt>
                  <c:pt idx="830">
                    <c:v>2.7327037741606941E-2</c:v>
                  </c:pt>
                  <c:pt idx="831">
                    <c:v>2.6681567148342248E-2</c:v>
                  </c:pt>
                  <c:pt idx="832">
                    <c:v>2.6048099546887353E-2</c:v>
                  </c:pt>
                  <c:pt idx="833">
                    <c:v>2.5426485497267219E-2</c:v>
                  </c:pt>
                  <c:pt idx="834">
                    <c:v>2.4816575471593078E-2</c:v>
                  </c:pt>
                  <c:pt idx="835">
                    <c:v>2.42182199151997E-2</c:v>
                  </c:pt>
                  <c:pt idx="836">
                    <c:v>2.3631269306387721E-2</c:v>
                  </c:pt>
                  <c:pt idx="837">
                    <c:v>2.3055574214768105E-2</c:v>
                  </c:pt>
                  <c:pt idx="838">
                    <c:v>2.24909853582064E-2</c:v>
                  </c:pt>
                  <c:pt idx="839">
                    <c:v>2.193735365836565E-2</c:v>
                  </c:pt>
                  <c:pt idx="840">
                    <c:v>2.139453029484777E-2</c:v>
                  </c:pt>
                  <c:pt idx="841">
                    <c:v>2.0862366757934177E-2</c:v>
                  </c:pt>
                  <c:pt idx="842">
                    <c:v>2.0340714899927479E-2</c:v>
                  </c:pt>
                  <c:pt idx="843">
                    <c:v>1.9829426985096807E-2</c:v>
                  </c:pt>
                  <c:pt idx="844">
                    <c:v>1.9328355738230375E-2</c:v>
                  </c:pt>
                  <c:pt idx="845">
                    <c:v>1.8837354391799781E-2</c:v>
                  </c:pt>
                  <c:pt idx="846">
                    <c:v>1.8356276731741335E-2</c:v>
                  </c:pt>
                  <c:pt idx="847">
                    <c:v>1.7884977141860468E-2</c:v>
                  </c:pt>
                  <c:pt idx="848">
                    <c:v>1.7423310646866266E-2</c:v>
                  </c:pt>
                  <c:pt idx="849">
                    <c:v>1.6971132954043778E-2</c:v>
                  </c:pt>
                  <c:pt idx="850">
                    <c:v>1.6528300493572599E-2</c:v>
                  </c:pt>
                  <c:pt idx="851">
                    <c:v>1.6094670457500928E-2</c:v>
                  </c:pt>
                  <c:pt idx="852">
                    <c:v>1.567010083738498E-2</c:v>
                  </c:pt>
                  <c:pt idx="853">
                    <c:v>1.5254450460604335E-2</c:v>
                  </c:pt>
                  <c:pt idx="854">
                    <c:v>1.4847579025364585E-2</c:v>
                  </c:pt>
                  <c:pt idx="855">
                    <c:v>1.4449347134398868E-2</c:v>
                  </c:pt>
                  <c:pt idx="856">
                    <c:v>1.4059616327381078E-2</c:v>
                  </c:pt>
                  <c:pt idx="857">
                    <c:v>1.3678249112063594E-2</c:v>
                  </c:pt>
                  <c:pt idx="858">
                    <c:v>1.3305108994153183E-2</c:v>
                  </c:pt>
                  <c:pt idx="859">
                    <c:v>1.2940060505939235E-2</c:v>
                  </c:pt>
                  <c:pt idx="860">
                    <c:v>1.2582969233688974E-2</c:v>
                  </c:pt>
                  <c:pt idx="861">
                    <c:v>1.2233701843824649E-2</c:v>
                  </c:pt>
                  <c:pt idx="862">
                    <c:v>1.1892126107898526E-2</c:v>
                  </c:pt>
                  <c:pt idx="863">
                    <c:v>1.155811092638136E-2</c:v>
                  </c:pt>
                  <c:pt idx="864">
                    <c:v>1.1231526351281065E-2</c:v>
                  </c:pt>
                  <c:pt idx="865">
                    <c:v>1.0912243607608209E-2</c:v>
                  </c:pt>
                  <c:pt idx="866">
                    <c:v>1.0600135113705531E-2</c:v>
                  </c:pt>
                  <c:pt idx="867">
                    <c:v>1.0295074500459044E-2</c:v>
                  </c:pt>
                  <c:pt idx="868">
                    <c:v>9.9969366294084261E-3</c:v>
                  </c:pt>
                  <c:pt idx="869">
                    <c:v>9.7055976097749734E-3</c:v>
                  </c:pt>
                  <c:pt idx="870">
                    <c:v>9.4209348144253247E-3</c:v>
                  </c:pt>
                  <c:pt idx="871">
                    <c:v>9.1428268947897524E-3</c:v>
                  </c:pt>
                  <c:pt idx="872">
                    <c:v>8.8711537947537555E-3</c:v>
                  </c:pt>
                  <c:pt idx="873">
                    <c:v>8.6057967635421451E-3</c:v>
                  </c:pt>
                  <c:pt idx="874">
                    <c:v>8.3466383676147927E-3</c:v>
                  </c:pt>
                  <c:pt idx="875">
                    <c:v>8.0935625015935084E-3</c:v>
                  </c:pt>
                  <c:pt idx="876">
                    <c:v>7.846454398239628E-3</c:v>
                  </c:pt>
                  <c:pt idx="877">
                    <c:v>7.605200637502022E-3</c:v>
                  </c:pt>
                  <c:pt idx="878">
                    <c:v>7.3696891546553263E-3</c:v>
                  </c:pt>
                  <c:pt idx="879">
                    <c:v>7.1398092475482679E-3</c:v>
                  </c:pt>
                  <c:pt idx="880">
                    <c:v>6.9154515829821595E-3</c:v>
                  </c:pt>
                  <c:pt idx="881">
                    <c:v>6.6965082022394738E-3</c:v>
                  </c:pt>
                  <c:pt idx="882">
                    <c:v>6.4828725257826628E-3</c:v>
                  </c:pt>
                  <c:pt idx="883">
                    <c:v>6.2744393571432713E-3</c:v>
                  </c:pt>
                  <c:pt idx="884">
                    <c:v>6.0711048860214575E-3</c:v>
                  </c:pt>
                  <c:pt idx="885">
                    <c:v>5.8727666906159348E-3</c:v>
                  </c:pt>
                  <c:pt idx="886">
                    <c:v>5.6793237392045361E-3</c:v>
                  </c:pt>
                  <c:pt idx="887">
                    <c:v>5.4906763909952421E-3</c:v>
                  </c:pt>
                  <c:pt idx="888">
                    <c:v>5.3067263962677585E-3</c:v>
                  </c:pt>
                  <c:pt idx="889">
                    <c:v>5.1273768958254766E-3</c:v>
                  </c:pt>
                  <c:pt idx="890">
                    <c:v>4.9525324197776032E-3</c:v>
                  </c:pt>
                  <c:pt idx="891">
                    <c:v>4.7820988856711868E-3</c:v>
                  </c:pt>
                  <c:pt idx="892">
                    <c:v>4.6159835959926334E-3</c:v>
                  </c:pt>
                  <c:pt idx="893">
                    <c:v>4.4540952350581777E-3</c:v>
                  </c:pt>
                  <c:pt idx="894">
                    <c:v>4.2963438653126091E-3</c:v>
                  </c:pt>
                  <c:pt idx="895">
                    <c:v>4.1426409230554918E-3</c:v>
                  </c:pt>
                  <c:pt idx="896">
                    <c:v>3.9928992136138916E-3</c:v>
                  </c:pt>
                  <c:pt idx="897">
                    <c:v>3.8470329059804289E-3</c:v>
                  </c:pt>
                  <c:pt idx="898">
                    <c:v>3.704957526935425E-3</c:v>
                  </c:pt>
                  <c:pt idx="899">
                    <c:v>3.5665899546715556E-3</c:v>
                  </c:pt>
                  <c:pt idx="900">
                    <c:v>3.4318484119393849E-3</c:v>
                  </c:pt>
                  <c:pt idx="901">
                    <c:v>3.3006524587317898E-3</c:v>
                  </c:pt>
                  <c:pt idx="902">
                    <c:v>3.1729229845252694E-3</c:v>
                  </c:pt>
                  <c:pt idx="903">
                    <c:v>3.0485822000957058E-3</c:v>
                  </c:pt>
                  <c:pt idx="904">
                    <c:v>2.9275536289260244E-3</c:v>
                  </c:pt>
                  <c:pt idx="905">
                    <c:v>2.8097620982230208E-3</c:v>
                  </c:pt>
                  <c:pt idx="906">
                    <c:v>2.6951337295602188E-3</c:v>
                  </c:pt>
                  <c:pt idx="907">
                    <c:v>2.5835959291635132E-3</c:v>
                  </c:pt>
                  <c:pt idx="908">
                    <c:v>2.4750773778560637E-3</c:v>
                  </c:pt>
                  <c:pt idx="909">
                    <c:v>2.3695080206785788E-3</c:v>
                  </c:pt>
                  <c:pt idx="910">
                    <c:v>2.2668190562009885E-3</c:v>
                  </c:pt>
                  <c:pt idx="911">
                    <c:v>2.166942925541121E-3</c:v>
                  </c:pt>
                  <c:pt idx="912">
                    <c:v>2.0698133011057569E-3</c:v>
                  </c:pt>
                  <c:pt idx="913">
                    <c:v>1.9753650750692414E-3</c:v>
                  </c:pt>
                  <c:pt idx="914">
                    <c:v>1.8835343476044041E-3</c:v>
                  </c:pt>
                  <c:pt idx="915">
                    <c:v>1.7942584148803848E-3</c:v>
                  </c:pt>
                  <c:pt idx="916">
                    <c:v>1.7074757568416158E-3</c:v>
                  </c:pt>
                  <c:pt idx="917">
                    <c:v>1.6231260247819138E-3</c:v>
                  </c:pt>
                  <c:pt idx="918">
                    <c:v>1.5411500287273901E-3</c:v>
                  </c:pt>
                  <c:pt idx="919">
                    <c:v>1.4614897246415441E-3</c:v>
                  </c:pt>
                  <c:pt idx="920">
                    <c:v>1.3840882014656635E-3</c:v>
                  </c:pt>
                  <c:pt idx="921">
                    <c:v>1.308889668007295E-3</c:v>
                  </c:pt>
                  <c:pt idx="922">
                    <c:v>1.2358394396893182E-3</c:v>
                  </c:pt>
                  <c:pt idx="923">
                    <c:v>1.1648839251718196E-3</c:v>
                  </c:pt>
                  <c:pt idx="924">
                    <c:v>1.0959706128586804E-3</c:v>
                  </c:pt>
                  <c:pt idx="925">
                    <c:v>1.029048057300485E-3</c:v>
                  </c:pt>
                  <c:pt idx="926">
                    <c:v>9.6406586550507349E-4</c:v>
                  </c:pt>
                  <c:pt idx="927">
                    <c:v>9.0097468316675897E-4</c:v>
                  </c:pt>
                  <c:pt idx="928">
                    <c:v>8.3972618082493928E-4</c:v>
                  </c:pt>
                  <c:pt idx="929">
                    <c:v>7.8027303996252022E-4</c:v>
                  </c:pt>
                  <c:pt idx="930">
                    <c:v>7.2256893905430506E-4</c:v>
                  </c:pt>
                  <c:pt idx="931">
                    <c:v>6.6656853957518811E-4</c:v>
                  </c:pt>
                  <c:pt idx="932">
                    <c:v>6.122274719777142E-4</c:v>
                  </c:pt>
                  <c:pt idx="933">
                    <c:v>5.5950232164826631E-4</c:v>
                  </c:pt>
                  <c:pt idx="934">
                    <c:v>5.0835061485086431E-4</c:v>
                  </c:pt>
                  <c:pt idx="935">
                    <c:v>4.587308046672873E-4</c:v>
                  </c:pt>
                  <c:pt idx="936">
                    <c:v>4.1060225694191104E-4</c:v>
                  </c:pt>
                  <c:pt idx="937">
                    <c:v>3.639252362394158E-4</c:v>
                  </c:pt>
                  <c:pt idx="938">
                    <c:v>3.1866089182323865E-4</c:v>
                  </c:pt>
                  <c:pt idx="939">
                    <c:v>2.7477124366231606E-4</c:v>
                  </c:pt>
                  <c:pt idx="940">
                    <c:v>2.3221916847348807E-4</c:v>
                  </c:pt>
                  <c:pt idx="941">
                    <c:v>1.9096838580657366E-4</c:v>
                  </c:pt>
                  <c:pt idx="942">
                    <c:v>1.50983444178926E-4</c:v>
                  </c:pt>
                  <c:pt idx="943">
                    <c:v>1.122297072659944E-4</c:v>
                  </c:pt>
                  <c:pt idx="944">
                    <c:v>7.4673340154151734E-5</c:v>
                  </c:pt>
                  <c:pt idx="945">
                    <c:v>3.8281295661816029E-5</c:v>
                  </c:pt>
                  <c:pt idx="946">
                    <c:v>3.0213007346311781E-6</c:v>
                  </c:pt>
                  <c:pt idx="947">
                    <c:v>-3.1138157079772149E-5</c:v>
                  </c:pt>
                  <c:pt idx="948">
                    <c:v>-6.4227843072149778E-5</c:v>
                  </c:pt>
                  <c:pt idx="949">
                    <c:v>-9.627778872211602E-5</c:v>
                  </c:pt>
                  <c:pt idx="950">
                    <c:v>-1.2731730495389119E-4</c:v>
                  </c:pt>
                  <c:pt idx="951">
                    <c:v>-1.5737499529275983E-4</c:v>
                  </c:pt>
                  <c:pt idx="952">
                    <c:v>-1.8647876891786364E-4</c:v>
                  </c:pt>
                  <c:pt idx="953">
                    <c:v>-2.1465585360721292E-4</c:v>
                  </c:pt>
                  <c:pt idx="954">
                    <c:v>-2.4193280857098083E-4</c:v>
                  </c:pt>
                  <c:pt idx="955">
                    <c:v>-2.6833553716939032E-4</c:v>
                  </c:pt>
                  <c:pt idx="956">
                    <c:v>-2.9388929951167347E-4</c:v>
                  </c:pt>
                  <c:pt idx="957">
                    <c:v>-3.1861872493282721E-4</c:v>
                  </c:pt>
                  <c:pt idx="958">
                    <c:v>-3.42547824345051E-4</c:v>
                  </c:pt>
                  <c:pt idx="959">
                    <c:v>-3.6570000246097831E-4</c:v>
                  </c:pt>
                  <c:pt idx="960">
                    <c:v>-3.880980698859716E-4</c:v>
                  </c:pt>
                  <c:pt idx="961">
                    <c:v>-4.0976425507696656E-4</c:v>
                  </c:pt>
                  <c:pt idx="962">
                    <c:v>-4.3072021616550682E-4</c:v>
                  </c:pt>
                  <c:pt idx="963">
                    <c:v>-4.5098705264280832E-4</c:v>
                  </c:pt>
                  <c:pt idx="964">
                    <c:v>-4.7058531690483965E-4</c:v>
                  </c:pt>
                  <c:pt idx="965">
                    <c:v>-4.8953502565559596E-4</c:v>
                  </c:pt>
                  <c:pt idx="966">
                    <c:v>-5.0785567116689494E-4</c:v>
                  </c:pt>
                  <c:pt idx="967">
                    <c:v>-5.2556623239317468E-4</c:v>
                  </c:pt>
                  <c:pt idx="968">
                    <c:v>-5.4268518593994465E-4</c:v>
                  </c:pt>
                  <c:pt idx="969">
                    <c:v>-5.5923051688467533E-4</c:v>
                  </c:pt>
                  <c:pt idx="970">
                    <c:v>-5.7521972944906232E-4</c:v>
                  </c:pt>
                  <c:pt idx="971">
                    <c:v>-5.9066985752174127E-4</c:v>
                  </c:pt>
                  <c:pt idx="972">
                    <c:v>-6.0559747503066903E-4</c:v>
                  </c:pt>
                  <c:pt idx="973">
                    <c:v>-6.2001870616450985E-4</c:v>
                  </c:pt>
                  <c:pt idx="974">
                    <c:v>-6.3394923544250162E-4</c:v>
                  </c:pt>
                  <c:pt idx="975">
                    <c:v>-6.4740431763239681E-4</c:v>
                  </c:pt>
                  <c:pt idx="976">
                    <c:v>-6.6039878751619264E-4</c:v>
                  </c:pt>
                  <c:pt idx="977">
                    <c:v>-6.7294706950347721E-4</c:v>
                  </c:pt>
                  <c:pt idx="978">
                    <c:v>-6.850631870923353E-4</c:v>
                  </c:pt>
                  <c:pt idx="979">
                    <c:v>-6.967607721778574E-4</c:v>
                  </c:pt>
                  <c:pt idx="980">
                    <c:v>-7.0805307420840628E-4</c:v>
                  </c:pt>
                  <c:pt idx="981">
                    <c:v>-7.189529691898844E-4</c:v>
                  </c:pt>
                  <c:pt idx="982">
                    <c:v>-7.2947296853835412E-4</c:v>
                  </c:pt>
                  <c:pt idx="983">
                    <c:v>-7.3962522778143656E-4</c:v>
                  </c:pt>
                  <c:pt idx="984">
                    <c:v>-7.4942155510902245E-4</c:v>
                  </c:pt>
                  <c:pt idx="985">
                    <c:v>-7.5887341977389378E-4</c:v>
                  </c:pt>
                  <c:pt idx="986">
                    <c:v>-7.679919603429487E-4</c:v>
                  </c:pt>
                  <c:pt idx="987">
                    <c:v>-7.7678799279979249E-4</c:v>
                  </c:pt>
                  <c:pt idx="988">
                    <c:v>-7.8527201849953117E-4</c:v>
                  </c:pt>
                  <c:pt idx="989">
                    <c:v>-7.9345423197667601E-4</c:v>
                  </c:pt>
                  <c:pt idx="990">
                    <c:v>-8.0134452860713241E-4</c:v>
                  </c:pt>
                  <c:pt idx="991">
                    <c:v>-8.0895251212531052E-4</c:v>
                  </c:pt>
                  <c:pt idx="992">
                    <c:v>-8.1628750199745431E-4</c:v>
                  </c:pt>
                  <c:pt idx="993">
                    <c:v>-8.2335854065234348E-4</c:v>
                  </c:pt>
                  <c:pt idx="994">
                    <c:v>-8.3017440057057382E-4</c:v>
                  </c:pt>
                  <c:pt idx="995">
                    <c:v>-8.3674359123367815E-4</c:v>
                  </c:pt>
                  <c:pt idx="996">
                    <c:v>-8.4307436593439083E-4</c:v>
                  </c:pt>
                  <c:pt idx="997">
                    <c:v>-8.4917472844940774E-4</c:v>
                  </c:pt>
                  <c:pt idx="998">
                    <c:v>-8.5505243957603716E-4</c:v>
                  </c:pt>
                  <c:pt idx="999">
                    <c:v>-8.6071502353417088E-4</c:v>
                  </c:pt>
                  <c:pt idx="1000">
                    <c:v>-8.6616977423504789E-4</c:v>
                  </c:pt>
                  <c:pt idx="1001">
                    <c:v>-8.7142376141831476E-4</c:v>
                  </c:pt>
                  <c:pt idx="1002">
                    <c:v>-8.7648383665891473E-4</c:v>
                  </c:pt>
                  <c:pt idx="1003">
                    <c:v>-8.8135663924537421E-4</c:v>
                  </c:pt>
                  <c:pt idx="1004">
                    <c:v>-8.8604860193107775E-4</c:v>
                  </c:pt>
                  <c:pt idx="1005">
                    <c:v>-8.9056595656014387E-4</c:v>
                  </c:pt>
                  <c:pt idx="1006">
                    <c:v>-8.9491473956954614E-4</c:v>
                  </c:pt>
                  <c:pt idx="1007">
                    <c:v>-8.9910079736913384E-4</c:v>
                  </c:pt>
                  <c:pt idx="1008">
                    <c:v>-9.0312979160123109E-4</c:v>
                  </c:pt>
                  <c:pt idx="1009">
                    <c:v>-9.0700720428150625E-4</c:v>
                  </c:pt>
                  <c:pt idx="1010">
                    <c:v>-9.1073834282282082E-4</c:v>
                  </c:pt>
                  <c:pt idx="1011">
                    <c:v>-9.1432834494377347E-4</c:v>
                  </c:pt>
                  <c:pt idx="1012">
                    <c:v>-9.1778218346367114E-4</c:v>
                  </c:pt>
                  <c:pt idx="1013">
                    <c:v>-9.2110467098566564E-4</c:v>
                  </c:pt>
                  <c:pt idx="1014">
                    <c:v>-9.2430046446979907E-4</c:v>
                  </c:pt>
                  <c:pt idx="1015">
                    <c:v>-9.273740696977091E-4</c:v>
                  </c:pt>
                  <c:pt idx="1016">
                    <c:v>-9.3032984563074861E-4</c:v>
                  </c:pt>
                  <c:pt idx="1017">
                    <c:v>-9.3317200866327378E-4</c:v>
                  </c:pt>
                  <c:pt idx="1018">
                    <c:v>-9.3590463677285969E-4</c:v>
                  </c:pt>
                  <c:pt idx="1019">
                    <c:v>-9.3853167356919764E-4</c:v>
                  </c:pt>
                  <c:pt idx="1020">
                    <c:v>-9.410569322434283E-4</c:v>
                  </c:pt>
                  <c:pt idx="1021">
                    <c:v>-9.4348409941966203E-4</c:v>
                  </c:pt>
                  <c:pt idx="1022">
                    <c:v>-9.4581673891043039E-4</c:v>
                  </c:pt>
                  <c:pt idx="1023">
                    <c:v>-9.4805829537781172E-4</c:v>
                  </c:pt>
                  <c:pt idx="1024">
                    <c:v>-9.5021209790196049E-4</c:v>
                  </c:pt>
                  <c:pt idx="1025">
                    <c:v>-9.5228136345876886E-4</c:v>
                  </c:pt>
                  <c:pt idx="1026">
                    <c:v>-9.542692003083734E-4</c:v>
                  </c:pt>
                  <c:pt idx="1027">
                    <c:v>-9.5617861129621766E-4</c:v>
                  </c:pt>
                  <c:pt idx="1028">
                    <c:v>-9.5801249706835929E-4</c:v>
                  </c:pt>
                  <c:pt idx="1029">
                    <c:v>-9.5977365920271252E-4</c:v>
                  </c:pt>
                  <c:pt idx="1030">
                    <c:v>-9.6146480325789128E-4</c:v>
                  </c:pt>
                  <c:pt idx="1031">
                    <c:v>-9.6308854174131302E-4</c:v>
                  </c:pt>
                  <c:pt idx="1032">
                    <c:v>-9.6464739699820689E-4</c:v>
                  </c:pt>
                  <c:pt idx="1033">
                    <c:v>-9.6614380402315289E-4</c:v>
                  </c:pt>
                  <c:pt idx="1034">
                    <c:v>-9.6758011319576776E-4</c:v>
                  </c:pt>
                  <c:pt idx="1035">
                    <c:v>-9.6895859294213204E-4</c:v>
                  </c:pt>
                  <c:pt idx="1036">
                    <c:v>-9.7028143232354071E-4</c:v>
                  </c:pt>
                  <c:pt idx="1037">
                    <c:v>-9.7155074355413922E-4</c:v>
                  </c:pt>
                  <c:pt idx="1038">
                    <c:v>-9.7276856444899161E-4</c:v>
                  </c:pt>
                  <c:pt idx="1039">
                    <c:v>-9.739368608041065E-4</c:v>
                  </c:pt>
                  <c:pt idx="1040">
                    <c:v>-9.7505752870993183E-4</c:v>
                  </c:pt>
                  <c:pt idx="1041">
                    <c:v>-9.7613239679980644E-4</c:v>
                  </c:pt>
                  <c:pt idx="1042">
                    <c:v>-9.771632284348397E-4</c:v>
                  </c:pt>
                  <c:pt idx="1043">
                    <c:v>-9.7815172382667071E-4</c:v>
                  </c:pt>
                  <c:pt idx="1044">
                    <c:v>-9.790995220995372E-4</c:v>
                  </c:pt>
                  <c:pt idx="1045">
                    <c:v>-9.800082032930652E-4</c:v>
                  </c:pt>
                  <c:pt idx="1046">
                    <c:v>-9.8087929030717092E-4</c:v>
                  </c:pt>
                  <c:pt idx="1047">
                    <c:v>-9.8171425079044165E-4</c:v>
                  </c:pt>
                  <c:pt idx="1048">
                    <c:v>-9.8251449897335036E-4</c:v>
                  </c:pt>
                  <c:pt idx="1049">
                    <c:v>-9.8328139744762485E-4</c:v>
                  </c:pt>
                  <c:pt idx="1050">
                    <c:v>-9.8401625889308481E-4</c:v>
                  </c:pt>
                  <c:pt idx="1051">
                    <c:v>-9.8472034775322912E-4</c:v>
                  </c:pt>
                  <c:pt idx="1052">
                    <c:v>-9.8539488186083816E-4</c:v>
                  </c:pt>
                  <c:pt idx="1053">
                    <c:v>-9.8604103401483674E-4</c:v>
                  </c:pt>
                  <c:pt idx="1054">
                    <c:v>-9.8665993350963588E-4</c:v>
                  </c:pt>
                  <c:pt idx="1055">
                    <c:v>-9.8725266761815877E-4</c:v>
                  </c:pt>
                  <c:pt idx="1056">
                    <c:v>-9.8782028302972372E-4</c:v>
                  </c:pt>
                  <c:pt idx="1057">
                    <c:v>-9.8836378724395007E-4</c:v>
                  </c:pt>
                  <c:pt idx="1058">
                    <c:v>-9.8888414992181518E-4</c:v>
                  </c:pt>
                  <c:pt idx="1059">
                    <c:v>-9.8938230419498498E-4</c:v>
                  </c:pt>
                  <c:pt idx="1060">
                    <c:v>-9.8985914793450693E-4</c:v>
                  </c:pt>
                  <c:pt idx="1061">
                    <c:v>-9.9031554497994254E-4</c:v>
                  </c:pt>
                  <c:pt idx="1062">
                    <c:v>-9.9075232632998855E-4</c:v>
                  </c:pt>
                  <c:pt idx="1063">
                    <c:v>-9.9117029129562021E-4</c:v>
                  </c:pt>
                  <c:pt idx="1064">
                    <c:v>-9.9157020861676578E-4</c:v>
                  </c:pt>
                  <c:pt idx="1065">
                    <c:v>-9.9195281754350245E-4</c:v>
                  </c:pt>
                  <c:pt idx="1066">
                    <c:v>-9.9231882888274462E-4</c:v>
                  </c:pt>
                  <c:pt idx="1067">
                    <c:v>-9.9266892601137125E-4</c:v>
                  </c:pt>
                  <c:pt idx="1068">
                    <c:v>-9.9300376585672516E-4</c:v>
                  </c:pt>
                  <c:pt idx="1069">
                    <c:v>-9.9332397984538815E-4</c:v>
                  </c:pt>
                  <c:pt idx="1070">
                    <c:v>-9.9363017482112883E-4</c:v>
                  </c:pt>
                  <c:pt idx="1071">
                    <c:v>-9.9392293393288497E-4</c:v>
                  </c:pt>
                  <c:pt idx="1072">
                    <c:v>-9.9420281749363899E-4</c:v>
                  </c:pt>
                  <c:pt idx="1073">
                    <c:v>-9.9447036381101225E-4</c:v>
                  </c:pt>
                  <c:pt idx="1074">
                    <c:v>-9.9472608999039516E-4</c:v>
                  </c:pt>
                  <c:pt idx="1075">
                    <c:v>-9.949704927114042E-4</c:v>
                  </c:pt>
                  <c:pt idx="1076">
                    <c:v>-9.9520404897844431E-4</c:v>
                  </c:pt>
                  <c:pt idx="1077">
                    <c:v>-9.9542721684613275E-4</c:v>
                  </c:pt>
                  <c:pt idx="1078">
                    <c:v>-9.9564043612032551E-4</c:v>
                  </c:pt>
                  <c:pt idx="1079">
                    <c:v>-9.9584412903546598E-4</c:v>
                  </c:pt>
                  <c:pt idx="1080">
                    <c:v>-9.9603870090896529E-4</c:v>
                  </c:pt>
                  <c:pt idx="1081">
                    <c:v>-9.9622454077329613E-4</c:v>
                  </c:pt>
                  <c:pt idx="1082">
                    <c:v>-9.9640202198647641E-4</c:v>
                  </c:pt>
                  <c:pt idx="1083">
                    <c:v>-9.9657150282159265E-4</c:v>
                  </c:pt>
                  <c:pt idx="1084">
                    <c:v>-9.9673332703600448E-4</c:v>
                  </c:pt>
                  <c:pt idx="1085">
                    <c:v>-9.9688782442084898E-4</c:v>
                  </c:pt>
                  <c:pt idx="1086">
                    <c:v>-9.9703531133145265E-4</c:v>
                  </c:pt>
                  <c:pt idx="1087">
                    <c:v>-9.9717609119924218E-4</c:v>
                  </c:pt>
                  <c:pt idx="1088">
                    <c:v>-9.9731045502572668E-4</c:v>
                  </c:pt>
                  <c:pt idx="1089">
                    <c:v>-9.9743868185911367E-4</c:v>
                  </c:pt>
                  <c:pt idx="1090">
                    <c:v>-9.9756103925410485E-4</c:v>
                  </c:pt>
                  <c:pt idx="1091">
                    <c:v>-9.9767778371540028E-4</c:v>
                  </c:pt>
                  <c:pt idx="1092">
                    <c:v>-9.9778916112543007E-4</c:v>
                  </c:pt>
                  <c:pt idx="1093">
                    <c:v>-9.9789540715681537E-4</c:v>
                  </c:pt>
                  <c:pt idx="1094">
                    <c:v>-9.9799674767005013E-4</c:v>
                  </c:pt>
                  <c:pt idx="1095">
                    <c:v>-9.980933990968758E-4</c:v>
                  </c:pt>
                  <c:pt idx="1096">
                    <c:v>-9.981855688098167E-4</c:v>
                  </c:pt>
                  <c:pt idx="1097">
                    <c:v>-9.9827345547832177E-4</c:v>
                  </c:pt>
                  <c:pt idx="1098">
                    <c:v>-9.9835724941195383E-4</c:v>
                  </c:pt>
                  <c:pt idx="1099">
                    <c:v>-9.9843713289104953E-4</c:v>
                  </c:pt>
                  <c:pt idx="1100">
                    <c:v>-9.9851328048526471E-4</c:v>
                  </c:pt>
                  <c:pt idx="1101">
                    <c:v>-9.9858585936040399E-4</c:v>
                  </c:pt>
                  <c:pt idx="1102">
                    <c:v>-9.9865502957392966E-4</c:v>
                  </c:pt>
                  <c:pt idx="1103">
                    <c:v>-9.9872094435952247E-4</c:v>
                  </c:pt>
                  <c:pt idx="1104">
                    <c:v>-9.9878375040106772E-4</c:v>
                  </c:pt>
                  <c:pt idx="1105">
                    <c:v>-9.9884358809641935E-4</c:v>
                  </c:pt>
                  <c:pt idx="1106">
                    <c:v>-9.9890059181129099E-4</c:v>
                  </c:pt>
                  <c:pt idx="1107">
                    <c:v>-9.9895489012360983E-4</c:v>
                  </c:pt>
                  <c:pt idx="1108">
                    <c:v>-9.990066060586594E-4</c:v>
                  </c:pt>
                  <c:pt idx="1109">
                    <c:v>-9.9905585731532615E-4</c:v>
                  </c:pt>
                  <c:pt idx="1110">
                    <c:v>-9.9910275648376103E-4</c:v>
                  </c:pt>
                  <c:pt idx="1111">
                    <c:v>-9.9914741125474763E-4</c:v>
                  </c:pt>
                  <c:pt idx="1112">
                    <c:v>-9.9918992462107127E-4</c:v>
                  </c:pt>
                  <c:pt idx="1113">
                    <c:v>-9.9923039507116484E-4</c:v>
                  </c:pt>
                  <c:pt idx="1114">
                    <c:v>-9.992689167753041E-4</c:v>
                  </c:pt>
                  <c:pt idx="1115">
                    <c:v>-9.9930557976461395E-4</c:v>
                  </c:pt>
                  <c:pt idx="1116">
                    <c:v>-9.99340470103142E-4</c:v>
                  </c:pt>
                  <c:pt idx="1117">
                    <c:v>-9.9937367005324359E-4</c:v>
                  </c:pt>
                  <c:pt idx="1118">
                    <c:v>-9.9940525823451871E-4</c:v>
                  </c:pt>
                  <c:pt idx="1119">
                    <c:v>-9.9943530977653051E-4</c:v>
                  </c:pt>
                  <c:pt idx="1120">
                    <c:v>-9.9946389646552976E-4</c:v>
                  </c:pt>
                  <c:pt idx="1121">
                    <c:v>-9.9949108688540287E-4</c:v>
                  </c:pt>
                  <c:pt idx="1122">
                    <c:v>-9.9951694655304969E-4</c:v>
                  </c:pt>
                  <c:pt idx="1123">
                    <c:v>-9.9954153804839821E-4</c:v>
                  </c:pt>
                  <c:pt idx="1124">
                    <c:v>-9.9956492113924809E-4</c:v>
                  </c:pt>
                  <c:pt idx="1125">
                    <c:v>-9.9958715290113676E-4</c:v>
                  </c:pt>
                  <c:pt idx="1126">
                    <c:v>-9.9960828783240627E-4</c:v>
                  </c:pt>
                  <c:pt idx="1127">
                    <c:v>-9.9962837796465482E-4</c:v>
                  </c:pt>
                  <c:pt idx="1128">
                    <c:v>-9.9964747296873839E-4</c:v>
                  </c:pt>
                  <c:pt idx="1129">
                    <c:v>-9.9966562025649184E-4</c:v>
                  </c:pt>
                  <c:pt idx="1130">
                    <c:v>-9.996828650783282E-4</c:v>
                  </c:pt>
                  <c:pt idx="1131">
                    <c:v>-9.9969925061687138E-4</c:v>
                  </c:pt>
                  <c:pt idx="1132">
                    <c:v>-9.9971481807677133E-4</c:v>
                  </c:pt>
                  <c:pt idx="1133">
                    <c:v>-9.9972960677084644E-4</c:v>
                  </c:pt>
                  <c:pt idx="1134">
                    <c:v>-9.9974365420269244E-4</c:v>
                  </c:pt>
                  <c:pt idx="1135">
                    <c:v>-9.9975699614589177E-4</c:v>
                  </c:pt>
                  <c:pt idx="1136">
                    <c:v>-9.997696667199559E-4</c:v>
                  </c:pt>
                  <c:pt idx="1137">
                    <c:v>-9.9978169846312191E-4</c:v>
                  </c:pt>
                  <c:pt idx="1138">
                    <c:v>-9.9979312240212784E-4</c:v>
                  </c:pt>
                  <c:pt idx="1139">
                    <c:v>-9.9980396811908301E-4</c:v>
                  </c:pt>
                  <c:pt idx="1140">
                    <c:v>-9.9981426381554441E-4</c:v>
                  </c:pt>
                  <c:pt idx="1141">
                    <c:v>-9.9982403637390873E-4</c:v>
                  </c:pt>
                  <c:pt idx="1142">
                    <c:v>-9.9983331141622776E-4</c:v>
                  </c:pt>
                  <c:pt idx="1143">
                    <c:v>-9.9984211336054092E-4</c:v>
                  </c:pt>
                  <c:pt idx="1144">
                    <c:v>-9.9985046547483277E-4</c:v>
                  </c:pt>
                  <c:pt idx="1145">
                    <c:v>-9.9985838992869822E-4</c:v>
                  </c:pt>
                  <c:pt idx="1146">
                    <c:v>-9.9986590784281629E-4</c:v>
                  </c:pt>
                  <c:pt idx="1147">
                    <c:v>-9.9987303933631185E-4</c:v>
                  </c:pt>
                  <c:pt idx="1148">
                    <c:v>-9.9987980357209359E-4</c:v>
                  </c:pt>
                  <c:pt idx="1149">
                    <c:v>-9.9988621880024958E-4</c:v>
                  </c:pt>
                  <c:pt idx="1150">
                    <c:v>-9.998923023995744E-4</c:v>
                  </c:pt>
                  <c:pt idx="1151">
                    <c:v>-9.9989807091730863E-4</c:v>
                  </c:pt>
                  <c:pt idx="1152">
                    <c:v>-9.9990354010715725E-4</c:v>
                  </c:pt>
                  <c:pt idx="1153">
                    <c:v>-9.9990872496566225E-4</c:v>
                  </c:pt>
                  <c:pt idx="1154">
                    <c:v>-9.9991363976699205E-4</c:v>
                  </c:pt>
                  <c:pt idx="1155">
                    <c:v>-9.9991829809621441E-4</c:v>
                  </c:pt>
                  <c:pt idx="1156">
                    <c:v>-9.9992271288111469E-4</c:v>
                  </c:pt>
                  <c:pt idx="1157">
                    <c:v>-9.999268964226188E-4</c:v>
                  </c:pt>
                  <c:pt idx="1158">
                    <c:v>-9.9993086042387885E-4</c:v>
                  </c:pt>
                  <c:pt idx="1159">
                    <c:v>-9.9993461601807689E-4</c:v>
                  </c:pt>
                  <c:pt idx="1160">
                    <c:v>-9.9993817379499827E-4</c:v>
                  </c:pt>
                  <c:pt idx="1161">
                    <c:v>-9.9994154382642905E-4</c:v>
                  </c:pt>
                  <c:pt idx="1162">
                    <c:v>-9.9994473569042243E-4</c:v>
                  </c:pt>
                  <c:pt idx="1163">
                    <c:v>-9.9994775849448548E-4</c:v>
                  </c:pt>
                  <c:pt idx="1164">
                    <c:v>-9.9995062089772895E-4</c:v>
                  </c:pt>
                  <c:pt idx="1165">
                    <c:v>-9.9995333113202397E-4</c:v>
                  </c:pt>
                  <c:pt idx="1166">
                    <c:v>-9.9995589702221071E-4</c:v>
                  </c:pt>
                  <c:pt idx="1167">
                    <c:v>-9.9995832600539283E-4</c:v>
                  </c:pt>
                  <c:pt idx="1168">
                    <c:v>-9.9996062514936504E-4</c:v>
                  </c:pt>
                  <c:pt idx="1169">
                    <c:v>-9.9996280117020187E-4</c:v>
                  </c:pt>
                  <c:pt idx="1170">
                    <c:v>-9.9996486044905174E-4</c:v>
                  </c:pt>
                  <c:pt idx="1171">
                    <c:v>-9.9996680904816324E-4</c:v>
                  </c:pt>
                  <c:pt idx="1172">
                    <c:v>-9.9996865272618208E-4</c:v>
                  </c:pt>
                  <c:pt idx="1173">
                    <c:v>-9.9997039695274778E-4</c:v>
                  </c:pt>
                  <c:pt idx="1174">
                    <c:v>-9.9997204692241974E-4</c:v>
                  </c:pt>
                  <c:pt idx="1175">
                    <c:v>-9.9997360756796439E-4</c:v>
                  </c:pt>
                  <c:pt idx="1176">
                    <c:v>-9.9997508357302714E-4</c:v>
                  </c:pt>
                  <c:pt idx="1177">
                    <c:v>-9.9997647938422163E-4</c:v>
                  </c:pt>
                  <c:pt idx="1178">
                    <c:v>-9.9997779922265636E-4</c:v>
                  </c:pt>
                  <c:pt idx="1179">
                    <c:v>-9.9997904709492672E-4</c:v>
                  </c:pt>
                  <c:pt idx="1180">
                    <c:v>-9.9998022680359384E-4</c:v>
                  </c:pt>
                  <c:pt idx="1181">
                    <c:v>-9.9998134195717616E-4</c:v>
                  </c:pt>
                  <c:pt idx="1182">
                    <c:v>-9.999823959796711E-4</c:v>
                  </c:pt>
                  <c:pt idx="1183">
                    <c:v>-9.9998339211963111E-4</c:v>
                  </c:pt>
                  <c:pt idx="1184">
                    <c:v>-9.9998433345881198E-4</c:v>
                  </c:pt>
                  <c:pt idx="1185">
                    <c:v>-9.9998522292041358E-4</c:v>
                  </c:pt>
                  <c:pt idx="1186">
                    <c:v>-9.9998606327693102E-4</c:v>
                  </c:pt>
                  <c:pt idx="1187">
                    <c:v>-9.9998685715763308E-4</c:v>
                  </c:pt>
                  <c:pt idx="1188">
                    <c:v>-9.9998760705568581E-4</c:v>
                  </c:pt>
                  <c:pt idx="1189">
                    <c:v>-9.9998831533493703E-4</c:v>
                  </c:pt>
                  <c:pt idx="1190">
                    <c:v>-9.9998898423637539E-4</c:v>
                  </c:pt>
                  <c:pt idx="1191">
                    <c:v>-9.9998961588428233E-4</c:v>
                  </c:pt>
                  <c:pt idx="1192">
                    <c:v>-9.9999021229208764E-4</c:v>
                  </c:pt>
                  <c:pt idx="1193">
                    <c:v>-9.9999077536794267E-4</c:v>
                  </c:pt>
                  <c:pt idx="1194">
                    <c:v>-9.9999130692002714E-4</c:v>
                  </c:pt>
                  <c:pt idx="1195">
                    <c:v>-9.9999180866159644E-4</c:v>
                  </c:pt>
                  <c:pt idx="1196">
                    <c:v>-9.9999228221578753E-4</c:v>
                  </c:pt>
                  <c:pt idx="1197">
                    <c:v>-9.9999272912018817E-4</c:v>
                  </c:pt>
                  <c:pt idx="1198">
                    <c:v>-9.9999315083118697E-4</c:v>
                  </c:pt>
                  <c:pt idx="1199">
                    <c:v>-9.9999354872810919E-4</c:v>
                  </c:pt>
                  <c:pt idx="1200">
                    <c:v>-9.9999392411715023E-4</c:v>
                  </c:pt>
                </c:numCache>
              </c:numRef>
            </c:minus>
            <c:spPr>
              <a:ln w="25400">
                <a:solidFill>
                  <a:srgbClr val="99CCFF"/>
                </a:solidFill>
                <a:prstDash val="solid"/>
              </a:ln>
            </c:spPr>
          </c:errBars>
          <c:xVal>
            <c:numRef>
              <c:f>Normal!$AV$21:$AV$1221</c:f>
              <c:numCache>
                <c:formatCode>General</c:formatCode>
                <c:ptCount val="1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pt idx="201">
                  <c:v>-3.9900000000000428</c:v>
                </c:pt>
                <c:pt idx="202">
                  <c:v>-3.9800000000000431</c:v>
                </c:pt>
                <c:pt idx="203">
                  <c:v>-3.9700000000000433</c:v>
                </c:pt>
                <c:pt idx="204">
                  <c:v>-3.9600000000000435</c:v>
                </c:pt>
                <c:pt idx="205">
                  <c:v>-3.9500000000000437</c:v>
                </c:pt>
                <c:pt idx="206">
                  <c:v>-3.9400000000000439</c:v>
                </c:pt>
                <c:pt idx="207">
                  <c:v>-3.9300000000000441</c:v>
                </c:pt>
                <c:pt idx="208">
                  <c:v>-3.9200000000000443</c:v>
                </c:pt>
                <c:pt idx="209">
                  <c:v>-3.9100000000000446</c:v>
                </c:pt>
                <c:pt idx="210">
                  <c:v>-3.9000000000000448</c:v>
                </c:pt>
                <c:pt idx="211">
                  <c:v>-3.890000000000045</c:v>
                </c:pt>
                <c:pt idx="212">
                  <c:v>-3.8800000000000452</c:v>
                </c:pt>
                <c:pt idx="213">
                  <c:v>-3.8700000000000454</c:v>
                </c:pt>
                <c:pt idx="214">
                  <c:v>-3.8600000000000456</c:v>
                </c:pt>
                <c:pt idx="215">
                  <c:v>-3.8500000000000458</c:v>
                </c:pt>
                <c:pt idx="216">
                  <c:v>-3.840000000000046</c:v>
                </c:pt>
                <c:pt idx="217">
                  <c:v>-3.8300000000000463</c:v>
                </c:pt>
                <c:pt idx="218">
                  <c:v>-3.8200000000000465</c:v>
                </c:pt>
                <c:pt idx="219">
                  <c:v>-3.8100000000000467</c:v>
                </c:pt>
                <c:pt idx="220">
                  <c:v>-3.8000000000000469</c:v>
                </c:pt>
                <c:pt idx="221">
                  <c:v>-3.7900000000000471</c:v>
                </c:pt>
                <c:pt idx="222">
                  <c:v>-3.7800000000000473</c:v>
                </c:pt>
                <c:pt idx="223">
                  <c:v>-3.7700000000000475</c:v>
                </c:pt>
                <c:pt idx="224">
                  <c:v>-3.7600000000000477</c:v>
                </c:pt>
                <c:pt idx="225">
                  <c:v>-3.750000000000048</c:v>
                </c:pt>
                <c:pt idx="226">
                  <c:v>-3.7400000000000482</c:v>
                </c:pt>
                <c:pt idx="227">
                  <c:v>-3.7300000000000484</c:v>
                </c:pt>
                <c:pt idx="228">
                  <c:v>-3.7200000000000486</c:v>
                </c:pt>
                <c:pt idx="229">
                  <c:v>-3.7100000000000488</c:v>
                </c:pt>
                <c:pt idx="230">
                  <c:v>-3.700000000000049</c:v>
                </c:pt>
                <c:pt idx="231">
                  <c:v>-3.6900000000000492</c:v>
                </c:pt>
                <c:pt idx="232">
                  <c:v>-3.6800000000000495</c:v>
                </c:pt>
                <c:pt idx="233">
                  <c:v>-3.6700000000000497</c:v>
                </c:pt>
                <c:pt idx="234">
                  <c:v>-3.6600000000000499</c:v>
                </c:pt>
                <c:pt idx="235">
                  <c:v>-3.6500000000000501</c:v>
                </c:pt>
                <c:pt idx="236">
                  <c:v>-3.6400000000000503</c:v>
                </c:pt>
                <c:pt idx="237">
                  <c:v>-3.6300000000000505</c:v>
                </c:pt>
                <c:pt idx="238">
                  <c:v>-3.6200000000000507</c:v>
                </c:pt>
                <c:pt idx="239">
                  <c:v>-3.6100000000000509</c:v>
                </c:pt>
                <c:pt idx="240">
                  <c:v>-3.6000000000000512</c:v>
                </c:pt>
                <c:pt idx="241">
                  <c:v>-3.5900000000000514</c:v>
                </c:pt>
                <c:pt idx="242">
                  <c:v>-3.5800000000000516</c:v>
                </c:pt>
                <c:pt idx="243">
                  <c:v>-3.5700000000000518</c:v>
                </c:pt>
                <c:pt idx="244">
                  <c:v>-3.560000000000052</c:v>
                </c:pt>
                <c:pt idx="245">
                  <c:v>-3.5500000000000522</c:v>
                </c:pt>
                <c:pt idx="246">
                  <c:v>-3.5400000000000524</c:v>
                </c:pt>
                <c:pt idx="247">
                  <c:v>-3.5300000000000527</c:v>
                </c:pt>
                <c:pt idx="248">
                  <c:v>-3.5200000000000529</c:v>
                </c:pt>
                <c:pt idx="249">
                  <c:v>-3.5100000000000531</c:v>
                </c:pt>
                <c:pt idx="250">
                  <c:v>-3.5000000000000533</c:v>
                </c:pt>
                <c:pt idx="251">
                  <c:v>-3.4900000000000535</c:v>
                </c:pt>
                <c:pt idx="252">
                  <c:v>-3.4800000000000537</c:v>
                </c:pt>
                <c:pt idx="253">
                  <c:v>-3.4700000000000539</c:v>
                </c:pt>
                <c:pt idx="254">
                  <c:v>-3.4600000000000541</c:v>
                </c:pt>
                <c:pt idx="255">
                  <c:v>-3.4500000000000544</c:v>
                </c:pt>
                <c:pt idx="256">
                  <c:v>-3.4400000000000546</c:v>
                </c:pt>
                <c:pt idx="257">
                  <c:v>-3.4300000000000548</c:v>
                </c:pt>
                <c:pt idx="258">
                  <c:v>-3.420000000000055</c:v>
                </c:pt>
                <c:pt idx="259">
                  <c:v>-3.4100000000000552</c:v>
                </c:pt>
                <c:pt idx="260">
                  <c:v>-3.4000000000000554</c:v>
                </c:pt>
                <c:pt idx="261">
                  <c:v>-3.3900000000000556</c:v>
                </c:pt>
                <c:pt idx="262">
                  <c:v>-3.3800000000000558</c:v>
                </c:pt>
                <c:pt idx="263">
                  <c:v>-3.3700000000000561</c:v>
                </c:pt>
                <c:pt idx="264">
                  <c:v>-3.3600000000000563</c:v>
                </c:pt>
                <c:pt idx="265">
                  <c:v>-3.3500000000000565</c:v>
                </c:pt>
                <c:pt idx="266">
                  <c:v>-3.3400000000000567</c:v>
                </c:pt>
                <c:pt idx="267">
                  <c:v>-3.3300000000000569</c:v>
                </c:pt>
                <c:pt idx="268">
                  <c:v>-3.3200000000000571</c:v>
                </c:pt>
                <c:pt idx="269">
                  <c:v>-3.3100000000000573</c:v>
                </c:pt>
                <c:pt idx="270">
                  <c:v>-3.3000000000000576</c:v>
                </c:pt>
                <c:pt idx="271">
                  <c:v>-3.2900000000000578</c:v>
                </c:pt>
                <c:pt idx="272">
                  <c:v>-3.280000000000058</c:v>
                </c:pt>
                <c:pt idx="273">
                  <c:v>-3.2700000000000582</c:v>
                </c:pt>
                <c:pt idx="274">
                  <c:v>-3.2600000000000584</c:v>
                </c:pt>
                <c:pt idx="275">
                  <c:v>-3.2500000000000586</c:v>
                </c:pt>
                <c:pt idx="276">
                  <c:v>-3.2400000000000588</c:v>
                </c:pt>
                <c:pt idx="277">
                  <c:v>-3.230000000000059</c:v>
                </c:pt>
                <c:pt idx="278">
                  <c:v>-3.2200000000000593</c:v>
                </c:pt>
                <c:pt idx="279">
                  <c:v>-3.2100000000000595</c:v>
                </c:pt>
                <c:pt idx="280">
                  <c:v>-3.2000000000000597</c:v>
                </c:pt>
                <c:pt idx="281">
                  <c:v>-3.1900000000000599</c:v>
                </c:pt>
                <c:pt idx="282">
                  <c:v>-3.1800000000000601</c:v>
                </c:pt>
                <c:pt idx="283">
                  <c:v>-3.1700000000000603</c:v>
                </c:pt>
                <c:pt idx="284">
                  <c:v>-3.1600000000000605</c:v>
                </c:pt>
                <c:pt idx="285">
                  <c:v>-3.1500000000000608</c:v>
                </c:pt>
                <c:pt idx="286">
                  <c:v>-3.140000000000061</c:v>
                </c:pt>
                <c:pt idx="287">
                  <c:v>-3.1300000000000612</c:v>
                </c:pt>
                <c:pt idx="288">
                  <c:v>-3.1200000000000614</c:v>
                </c:pt>
                <c:pt idx="289">
                  <c:v>-3.1100000000000616</c:v>
                </c:pt>
                <c:pt idx="290">
                  <c:v>-3.1000000000000618</c:v>
                </c:pt>
                <c:pt idx="291">
                  <c:v>-3.090000000000062</c:v>
                </c:pt>
                <c:pt idx="292">
                  <c:v>-3.0800000000000622</c:v>
                </c:pt>
                <c:pt idx="293">
                  <c:v>-3.0700000000000625</c:v>
                </c:pt>
                <c:pt idx="294">
                  <c:v>-3.0600000000000627</c:v>
                </c:pt>
                <c:pt idx="295">
                  <c:v>-3.0500000000000629</c:v>
                </c:pt>
                <c:pt idx="296">
                  <c:v>-3.0400000000000631</c:v>
                </c:pt>
                <c:pt idx="297">
                  <c:v>-3.0300000000000633</c:v>
                </c:pt>
                <c:pt idx="298">
                  <c:v>-3.0200000000000635</c:v>
                </c:pt>
                <c:pt idx="299">
                  <c:v>-3.0100000000000637</c:v>
                </c:pt>
                <c:pt idx="300">
                  <c:v>-3.0000000000000639</c:v>
                </c:pt>
                <c:pt idx="301">
                  <c:v>-2.9900000000000642</c:v>
                </c:pt>
                <c:pt idx="302">
                  <c:v>-2.9800000000000644</c:v>
                </c:pt>
                <c:pt idx="303">
                  <c:v>-2.9700000000000646</c:v>
                </c:pt>
                <c:pt idx="304">
                  <c:v>-2.9600000000000648</c:v>
                </c:pt>
                <c:pt idx="305">
                  <c:v>-2.950000000000065</c:v>
                </c:pt>
                <c:pt idx="306">
                  <c:v>-2.9400000000000652</c:v>
                </c:pt>
                <c:pt idx="307">
                  <c:v>-2.9300000000000654</c:v>
                </c:pt>
                <c:pt idx="308">
                  <c:v>-2.9200000000000657</c:v>
                </c:pt>
                <c:pt idx="309">
                  <c:v>-2.9100000000000659</c:v>
                </c:pt>
                <c:pt idx="310">
                  <c:v>-2.9000000000000661</c:v>
                </c:pt>
                <c:pt idx="311">
                  <c:v>-2.8900000000000663</c:v>
                </c:pt>
                <c:pt idx="312">
                  <c:v>-2.8800000000000665</c:v>
                </c:pt>
                <c:pt idx="313">
                  <c:v>-2.8700000000000667</c:v>
                </c:pt>
                <c:pt idx="314">
                  <c:v>-2.8600000000000669</c:v>
                </c:pt>
                <c:pt idx="315">
                  <c:v>-2.8500000000000671</c:v>
                </c:pt>
                <c:pt idx="316">
                  <c:v>-2.8400000000000674</c:v>
                </c:pt>
                <c:pt idx="317">
                  <c:v>-2.8300000000000676</c:v>
                </c:pt>
                <c:pt idx="318">
                  <c:v>-2.8200000000000678</c:v>
                </c:pt>
                <c:pt idx="319">
                  <c:v>-2.810000000000068</c:v>
                </c:pt>
                <c:pt idx="320">
                  <c:v>-2.8000000000000682</c:v>
                </c:pt>
                <c:pt idx="321">
                  <c:v>-2.7900000000000684</c:v>
                </c:pt>
                <c:pt idx="322">
                  <c:v>-2.7800000000000686</c:v>
                </c:pt>
                <c:pt idx="323">
                  <c:v>-2.7700000000000689</c:v>
                </c:pt>
                <c:pt idx="324">
                  <c:v>-2.7600000000000691</c:v>
                </c:pt>
                <c:pt idx="325">
                  <c:v>-2.7500000000000693</c:v>
                </c:pt>
                <c:pt idx="326">
                  <c:v>-2.7400000000000695</c:v>
                </c:pt>
                <c:pt idx="327">
                  <c:v>-2.7300000000000697</c:v>
                </c:pt>
                <c:pt idx="328">
                  <c:v>-2.7200000000000699</c:v>
                </c:pt>
                <c:pt idx="329">
                  <c:v>-2.7100000000000701</c:v>
                </c:pt>
                <c:pt idx="330">
                  <c:v>-2.7000000000000703</c:v>
                </c:pt>
                <c:pt idx="331">
                  <c:v>-2.6900000000000706</c:v>
                </c:pt>
                <c:pt idx="332">
                  <c:v>-2.6800000000000708</c:v>
                </c:pt>
                <c:pt idx="333">
                  <c:v>-2.670000000000071</c:v>
                </c:pt>
                <c:pt idx="334">
                  <c:v>-2.6600000000000712</c:v>
                </c:pt>
                <c:pt idx="335">
                  <c:v>-2.6500000000000714</c:v>
                </c:pt>
                <c:pt idx="336">
                  <c:v>-2.6400000000000716</c:v>
                </c:pt>
                <c:pt idx="337">
                  <c:v>-2.6300000000000718</c:v>
                </c:pt>
                <c:pt idx="338">
                  <c:v>-2.620000000000072</c:v>
                </c:pt>
                <c:pt idx="339">
                  <c:v>-2.6100000000000723</c:v>
                </c:pt>
                <c:pt idx="340">
                  <c:v>-2.6000000000000725</c:v>
                </c:pt>
                <c:pt idx="341">
                  <c:v>-2.5900000000000727</c:v>
                </c:pt>
                <c:pt idx="342">
                  <c:v>-2.5800000000000729</c:v>
                </c:pt>
                <c:pt idx="343">
                  <c:v>-2.5700000000000731</c:v>
                </c:pt>
                <c:pt idx="344">
                  <c:v>-2.5600000000000733</c:v>
                </c:pt>
                <c:pt idx="345">
                  <c:v>-2.5500000000000735</c:v>
                </c:pt>
                <c:pt idx="346">
                  <c:v>-2.5400000000000738</c:v>
                </c:pt>
                <c:pt idx="347">
                  <c:v>-2.530000000000074</c:v>
                </c:pt>
                <c:pt idx="348">
                  <c:v>-2.5200000000000742</c:v>
                </c:pt>
                <c:pt idx="349">
                  <c:v>-2.5100000000000744</c:v>
                </c:pt>
                <c:pt idx="350">
                  <c:v>-2.5000000000000746</c:v>
                </c:pt>
                <c:pt idx="351">
                  <c:v>-2.4900000000000748</c:v>
                </c:pt>
                <c:pt idx="352">
                  <c:v>-2.480000000000075</c:v>
                </c:pt>
                <c:pt idx="353">
                  <c:v>-2.4700000000000752</c:v>
                </c:pt>
                <c:pt idx="354">
                  <c:v>-2.4600000000000755</c:v>
                </c:pt>
                <c:pt idx="355">
                  <c:v>-2.4500000000000757</c:v>
                </c:pt>
                <c:pt idx="356">
                  <c:v>-2.4400000000000759</c:v>
                </c:pt>
                <c:pt idx="357">
                  <c:v>-2.4300000000000761</c:v>
                </c:pt>
                <c:pt idx="358">
                  <c:v>-2.4200000000000763</c:v>
                </c:pt>
                <c:pt idx="359">
                  <c:v>-2.4100000000000765</c:v>
                </c:pt>
                <c:pt idx="360">
                  <c:v>-2.4000000000000767</c:v>
                </c:pt>
                <c:pt idx="361">
                  <c:v>-2.390000000000077</c:v>
                </c:pt>
                <c:pt idx="362">
                  <c:v>-2.3800000000000772</c:v>
                </c:pt>
                <c:pt idx="363">
                  <c:v>-2.3700000000000774</c:v>
                </c:pt>
                <c:pt idx="364">
                  <c:v>-2.3600000000000776</c:v>
                </c:pt>
                <c:pt idx="365">
                  <c:v>-2.3500000000000778</c:v>
                </c:pt>
                <c:pt idx="366">
                  <c:v>-2.340000000000078</c:v>
                </c:pt>
                <c:pt idx="367">
                  <c:v>-2.3300000000000782</c:v>
                </c:pt>
                <c:pt idx="368">
                  <c:v>-2.3200000000000784</c:v>
                </c:pt>
                <c:pt idx="369">
                  <c:v>-2.3100000000000787</c:v>
                </c:pt>
                <c:pt idx="370">
                  <c:v>-2.3000000000000789</c:v>
                </c:pt>
                <c:pt idx="371">
                  <c:v>-2.2900000000000791</c:v>
                </c:pt>
                <c:pt idx="372">
                  <c:v>-2.2800000000000793</c:v>
                </c:pt>
                <c:pt idx="373">
                  <c:v>-2.2700000000000795</c:v>
                </c:pt>
                <c:pt idx="374">
                  <c:v>-2.2600000000000797</c:v>
                </c:pt>
                <c:pt idx="375">
                  <c:v>-2.2500000000000799</c:v>
                </c:pt>
                <c:pt idx="376">
                  <c:v>-2.2400000000000801</c:v>
                </c:pt>
                <c:pt idx="377">
                  <c:v>-2.2300000000000804</c:v>
                </c:pt>
                <c:pt idx="378">
                  <c:v>-2.2200000000000806</c:v>
                </c:pt>
                <c:pt idx="379">
                  <c:v>-2.2100000000000808</c:v>
                </c:pt>
                <c:pt idx="380">
                  <c:v>-2.200000000000081</c:v>
                </c:pt>
                <c:pt idx="381">
                  <c:v>-2.1900000000000812</c:v>
                </c:pt>
                <c:pt idx="382">
                  <c:v>-2.1800000000000814</c:v>
                </c:pt>
                <c:pt idx="383">
                  <c:v>-2.1700000000000816</c:v>
                </c:pt>
                <c:pt idx="384">
                  <c:v>-2.1600000000000819</c:v>
                </c:pt>
                <c:pt idx="385">
                  <c:v>-2.1500000000000821</c:v>
                </c:pt>
                <c:pt idx="386">
                  <c:v>-2.1400000000000823</c:v>
                </c:pt>
                <c:pt idx="387">
                  <c:v>-2.1300000000000825</c:v>
                </c:pt>
                <c:pt idx="388">
                  <c:v>-2.1200000000000827</c:v>
                </c:pt>
                <c:pt idx="389">
                  <c:v>-2.1100000000000829</c:v>
                </c:pt>
                <c:pt idx="390">
                  <c:v>-2.1000000000000831</c:v>
                </c:pt>
                <c:pt idx="391">
                  <c:v>-2.0900000000000833</c:v>
                </c:pt>
                <c:pt idx="392">
                  <c:v>-2.0800000000000836</c:v>
                </c:pt>
                <c:pt idx="393">
                  <c:v>-2.0700000000000838</c:v>
                </c:pt>
                <c:pt idx="394">
                  <c:v>-2.060000000000084</c:v>
                </c:pt>
                <c:pt idx="395">
                  <c:v>-2.0500000000000842</c:v>
                </c:pt>
                <c:pt idx="396">
                  <c:v>-2.0400000000000844</c:v>
                </c:pt>
                <c:pt idx="397">
                  <c:v>-2.0300000000000846</c:v>
                </c:pt>
                <c:pt idx="398">
                  <c:v>-2.0200000000000848</c:v>
                </c:pt>
                <c:pt idx="399">
                  <c:v>-2.0100000000000851</c:v>
                </c:pt>
                <c:pt idx="400">
                  <c:v>-2.0000000000000853</c:v>
                </c:pt>
                <c:pt idx="401">
                  <c:v>-1.9900000000000853</c:v>
                </c:pt>
                <c:pt idx="402">
                  <c:v>-1.9800000000000852</c:v>
                </c:pt>
                <c:pt idx="403">
                  <c:v>-1.9700000000000852</c:v>
                </c:pt>
                <c:pt idx="404">
                  <c:v>-1.9600000000000852</c:v>
                </c:pt>
                <c:pt idx="405">
                  <c:v>-1.9500000000000852</c:v>
                </c:pt>
                <c:pt idx="406">
                  <c:v>-1.9400000000000852</c:v>
                </c:pt>
                <c:pt idx="407">
                  <c:v>-1.9300000000000852</c:v>
                </c:pt>
                <c:pt idx="408">
                  <c:v>-1.9200000000000852</c:v>
                </c:pt>
                <c:pt idx="409">
                  <c:v>-1.9100000000000852</c:v>
                </c:pt>
                <c:pt idx="410">
                  <c:v>-1.9000000000000852</c:v>
                </c:pt>
                <c:pt idx="411">
                  <c:v>-1.8900000000000852</c:v>
                </c:pt>
                <c:pt idx="412">
                  <c:v>-1.8800000000000852</c:v>
                </c:pt>
                <c:pt idx="413">
                  <c:v>-1.8700000000000851</c:v>
                </c:pt>
                <c:pt idx="414">
                  <c:v>-1.8600000000000851</c:v>
                </c:pt>
                <c:pt idx="415">
                  <c:v>-1.8500000000000851</c:v>
                </c:pt>
                <c:pt idx="416">
                  <c:v>-1.8400000000000851</c:v>
                </c:pt>
                <c:pt idx="417">
                  <c:v>-1.8300000000000851</c:v>
                </c:pt>
                <c:pt idx="418">
                  <c:v>-1.8200000000000851</c:v>
                </c:pt>
                <c:pt idx="419">
                  <c:v>-1.8100000000000851</c:v>
                </c:pt>
                <c:pt idx="420">
                  <c:v>-1.8000000000000851</c:v>
                </c:pt>
                <c:pt idx="421">
                  <c:v>-1.7900000000000851</c:v>
                </c:pt>
                <c:pt idx="422">
                  <c:v>-1.7800000000000851</c:v>
                </c:pt>
                <c:pt idx="423">
                  <c:v>-1.7700000000000851</c:v>
                </c:pt>
                <c:pt idx="424">
                  <c:v>-1.7600000000000851</c:v>
                </c:pt>
                <c:pt idx="425">
                  <c:v>-1.750000000000085</c:v>
                </c:pt>
                <c:pt idx="426">
                  <c:v>-1.740000000000085</c:v>
                </c:pt>
                <c:pt idx="427">
                  <c:v>-1.730000000000085</c:v>
                </c:pt>
                <c:pt idx="428">
                  <c:v>-1.720000000000085</c:v>
                </c:pt>
                <c:pt idx="429">
                  <c:v>-1.710000000000085</c:v>
                </c:pt>
                <c:pt idx="430">
                  <c:v>-1.700000000000085</c:v>
                </c:pt>
                <c:pt idx="431">
                  <c:v>-1.690000000000085</c:v>
                </c:pt>
                <c:pt idx="432">
                  <c:v>-1.680000000000085</c:v>
                </c:pt>
                <c:pt idx="433">
                  <c:v>-1.670000000000085</c:v>
                </c:pt>
                <c:pt idx="434">
                  <c:v>-1.660000000000085</c:v>
                </c:pt>
                <c:pt idx="435">
                  <c:v>-1.650000000000085</c:v>
                </c:pt>
                <c:pt idx="436">
                  <c:v>-1.6400000000000849</c:v>
                </c:pt>
                <c:pt idx="437">
                  <c:v>-1.6300000000000849</c:v>
                </c:pt>
                <c:pt idx="438">
                  <c:v>-1.6200000000000849</c:v>
                </c:pt>
                <c:pt idx="439">
                  <c:v>-1.6100000000000849</c:v>
                </c:pt>
                <c:pt idx="440">
                  <c:v>-1.6000000000000849</c:v>
                </c:pt>
                <c:pt idx="441">
                  <c:v>-1.5900000000000849</c:v>
                </c:pt>
                <c:pt idx="442">
                  <c:v>-1.5800000000000849</c:v>
                </c:pt>
                <c:pt idx="443">
                  <c:v>-1.5700000000000849</c:v>
                </c:pt>
                <c:pt idx="444">
                  <c:v>-1.5600000000000849</c:v>
                </c:pt>
                <c:pt idx="445">
                  <c:v>-1.5500000000000849</c:v>
                </c:pt>
                <c:pt idx="446">
                  <c:v>-1.5400000000000849</c:v>
                </c:pt>
                <c:pt idx="447">
                  <c:v>-1.5300000000000848</c:v>
                </c:pt>
                <c:pt idx="448">
                  <c:v>-1.5200000000000848</c:v>
                </c:pt>
                <c:pt idx="449">
                  <c:v>-1.5100000000000848</c:v>
                </c:pt>
                <c:pt idx="450">
                  <c:v>-1.5000000000000848</c:v>
                </c:pt>
                <c:pt idx="451">
                  <c:v>-1.4900000000000848</c:v>
                </c:pt>
                <c:pt idx="452">
                  <c:v>-1.4800000000000848</c:v>
                </c:pt>
                <c:pt idx="453">
                  <c:v>-1.4700000000000848</c:v>
                </c:pt>
                <c:pt idx="454">
                  <c:v>-1.4600000000000848</c:v>
                </c:pt>
                <c:pt idx="455">
                  <c:v>-1.4500000000000848</c:v>
                </c:pt>
                <c:pt idx="456">
                  <c:v>-1.4400000000000848</c:v>
                </c:pt>
                <c:pt idx="457">
                  <c:v>-1.4300000000000848</c:v>
                </c:pt>
                <c:pt idx="458">
                  <c:v>-1.4200000000000847</c:v>
                </c:pt>
                <c:pt idx="459">
                  <c:v>-1.4100000000000847</c:v>
                </c:pt>
                <c:pt idx="460">
                  <c:v>-1.4000000000000847</c:v>
                </c:pt>
                <c:pt idx="461">
                  <c:v>-1.3900000000000847</c:v>
                </c:pt>
                <c:pt idx="462">
                  <c:v>-1.3800000000000847</c:v>
                </c:pt>
                <c:pt idx="463">
                  <c:v>-1.3700000000000847</c:v>
                </c:pt>
                <c:pt idx="464">
                  <c:v>-1.3600000000000847</c:v>
                </c:pt>
                <c:pt idx="465">
                  <c:v>-1.3500000000000847</c:v>
                </c:pt>
                <c:pt idx="466">
                  <c:v>-1.3400000000000847</c:v>
                </c:pt>
                <c:pt idx="467">
                  <c:v>-1.3300000000000847</c:v>
                </c:pt>
                <c:pt idx="468">
                  <c:v>-1.3200000000000847</c:v>
                </c:pt>
                <c:pt idx="469">
                  <c:v>-1.3100000000000847</c:v>
                </c:pt>
                <c:pt idx="470">
                  <c:v>-1.3000000000000846</c:v>
                </c:pt>
                <c:pt idx="471">
                  <c:v>-1.2900000000000846</c:v>
                </c:pt>
                <c:pt idx="472">
                  <c:v>-1.2800000000000846</c:v>
                </c:pt>
                <c:pt idx="473">
                  <c:v>-1.2700000000000846</c:v>
                </c:pt>
                <c:pt idx="474">
                  <c:v>-1.2600000000000846</c:v>
                </c:pt>
                <c:pt idx="475">
                  <c:v>-1.2500000000000846</c:v>
                </c:pt>
                <c:pt idx="476">
                  <c:v>-1.2400000000000846</c:v>
                </c:pt>
                <c:pt idx="477">
                  <c:v>-1.2300000000000846</c:v>
                </c:pt>
                <c:pt idx="478">
                  <c:v>-1.2200000000000846</c:v>
                </c:pt>
                <c:pt idx="479">
                  <c:v>-1.2100000000000846</c:v>
                </c:pt>
                <c:pt idx="480">
                  <c:v>-1.2000000000000846</c:v>
                </c:pt>
                <c:pt idx="481">
                  <c:v>-1.1900000000000845</c:v>
                </c:pt>
                <c:pt idx="482">
                  <c:v>-1.1800000000000845</c:v>
                </c:pt>
                <c:pt idx="483">
                  <c:v>-1.1700000000000845</c:v>
                </c:pt>
                <c:pt idx="484">
                  <c:v>-1.1600000000000845</c:v>
                </c:pt>
                <c:pt idx="485">
                  <c:v>-1.1500000000000845</c:v>
                </c:pt>
                <c:pt idx="486">
                  <c:v>-1.1400000000000845</c:v>
                </c:pt>
                <c:pt idx="487">
                  <c:v>-1.1300000000000845</c:v>
                </c:pt>
                <c:pt idx="488">
                  <c:v>-1.1200000000000845</c:v>
                </c:pt>
                <c:pt idx="489">
                  <c:v>-1.1100000000000845</c:v>
                </c:pt>
                <c:pt idx="490">
                  <c:v>-1.1000000000000845</c:v>
                </c:pt>
                <c:pt idx="491">
                  <c:v>-1.0900000000000845</c:v>
                </c:pt>
                <c:pt idx="492">
                  <c:v>-1.0800000000000844</c:v>
                </c:pt>
                <c:pt idx="493">
                  <c:v>-1.0700000000000844</c:v>
                </c:pt>
                <c:pt idx="494">
                  <c:v>-1.0600000000000844</c:v>
                </c:pt>
                <c:pt idx="495">
                  <c:v>-1.0500000000000844</c:v>
                </c:pt>
                <c:pt idx="496">
                  <c:v>-1.0400000000000844</c:v>
                </c:pt>
                <c:pt idx="497">
                  <c:v>-1.0300000000000844</c:v>
                </c:pt>
                <c:pt idx="498">
                  <c:v>-1.0200000000000844</c:v>
                </c:pt>
                <c:pt idx="499">
                  <c:v>-1.0100000000000844</c:v>
                </c:pt>
                <c:pt idx="500">
                  <c:v>-1.0000000000000844</c:v>
                </c:pt>
                <c:pt idx="501">
                  <c:v>-0.99000000000008437</c:v>
                </c:pt>
                <c:pt idx="502">
                  <c:v>-0.98000000000008436</c:v>
                </c:pt>
                <c:pt idx="503">
                  <c:v>-0.97000000000008435</c:v>
                </c:pt>
                <c:pt idx="504">
                  <c:v>-0.96000000000008434</c:v>
                </c:pt>
                <c:pt idx="505">
                  <c:v>-0.95000000000008433</c:v>
                </c:pt>
                <c:pt idx="506">
                  <c:v>-0.94000000000008432</c:v>
                </c:pt>
                <c:pt idx="507">
                  <c:v>-0.93000000000008431</c:v>
                </c:pt>
                <c:pt idx="508">
                  <c:v>-0.92000000000008431</c:v>
                </c:pt>
                <c:pt idx="509">
                  <c:v>-0.9100000000000843</c:v>
                </c:pt>
                <c:pt idx="510">
                  <c:v>-0.90000000000008429</c:v>
                </c:pt>
                <c:pt idx="511">
                  <c:v>-0.89000000000008428</c:v>
                </c:pt>
                <c:pt idx="512">
                  <c:v>-0.88000000000008427</c:v>
                </c:pt>
                <c:pt idx="513">
                  <c:v>-0.87000000000008426</c:v>
                </c:pt>
                <c:pt idx="514">
                  <c:v>-0.86000000000008425</c:v>
                </c:pt>
                <c:pt idx="515">
                  <c:v>-0.85000000000008424</c:v>
                </c:pt>
                <c:pt idx="516">
                  <c:v>-0.84000000000008423</c:v>
                </c:pt>
                <c:pt idx="517">
                  <c:v>-0.83000000000008423</c:v>
                </c:pt>
                <c:pt idx="518">
                  <c:v>-0.82000000000008422</c:v>
                </c:pt>
                <c:pt idx="519">
                  <c:v>-0.81000000000008421</c:v>
                </c:pt>
                <c:pt idx="520">
                  <c:v>-0.8000000000000842</c:v>
                </c:pt>
                <c:pt idx="521">
                  <c:v>-0.79000000000008419</c:v>
                </c:pt>
                <c:pt idx="522">
                  <c:v>-0.78000000000008418</c:v>
                </c:pt>
                <c:pt idx="523">
                  <c:v>-0.77000000000008417</c:v>
                </c:pt>
                <c:pt idx="524">
                  <c:v>-0.76000000000008416</c:v>
                </c:pt>
                <c:pt idx="525">
                  <c:v>-0.75000000000008415</c:v>
                </c:pt>
                <c:pt idx="526">
                  <c:v>-0.74000000000008415</c:v>
                </c:pt>
                <c:pt idx="527">
                  <c:v>-0.73000000000008414</c:v>
                </c:pt>
                <c:pt idx="528">
                  <c:v>-0.72000000000008413</c:v>
                </c:pt>
                <c:pt idx="529">
                  <c:v>-0.71000000000008412</c:v>
                </c:pt>
                <c:pt idx="530">
                  <c:v>-0.70000000000008411</c:v>
                </c:pt>
                <c:pt idx="531">
                  <c:v>-0.6900000000000841</c:v>
                </c:pt>
                <c:pt idx="532">
                  <c:v>-0.68000000000008409</c:v>
                </c:pt>
                <c:pt idx="533">
                  <c:v>-0.67000000000008408</c:v>
                </c:pt>
                <c:pt idx="534">
                  <c:v>-0.66000000000008407</c:v>
                </c:pt>
                <c:pt idx="535">
                  <c:v>-0.65000000000008407</c:v>
                </c:pt>
                <c:pt idx="536">
                  <c:v>-0.64000000000008406</c:v>
                </c:pt>
                <c:pt idx="537">
                  <c:v>-0.63000000000008405</c:v>
                </c:pt>
                <c:pt idx="538">
                  <c:v>-0.62000000000008404</c:v>
                </c:pt>
                <c:pt idx="539">
                  <c:v>-0.61000000000008403</c:v>
                </c:pt>
                <c:pt idx="540">
                  <c:v>-0.60000000000008402</c:v>
                </c:pt>
                <c:pt idx="541">
                  <c:v>-0.59000000000008401</c:v>
                </c:pt>
                <c:pt idx="542">
                  <c:v>-0.580000000000084</c:v>
                </c:pt>
                <c:pt idx="543">
                  <c:v>-0.570000000000084</c:v>
                </c:pt>
                <c:pt idx="544">
                  <c:v>-0.56000000000008399</c:v>
                </c:pt>
                <c:pt idx="545">
                  <c:v>-0.55000000000008398</c:v>
                </c:pt>
                <c:pt idx="546">
                  <c:v>-0.54000000000008397</c:v>
                </c:pt>
                <c:pt idx="547">
                  <c:v>-0.53000000000008396</c:v>
                </c:pt>
                <c:pt idx="548">
                  <c:v>-0.52000000000008395</c:v>
                </c:pt>
                <c:pt idx="549">
                  <c:v>-0.51000000000008394</c:v>
                </c:pt>
                <c:pt idx="550">
                  <c:v>-0.50000000000008393</c:v>
                </c:pt>
                <c:pt idx="551">
                  <c:v>-0.49000000000008392</c:v>
                </c:pt>
                <c:pt idx="552">
                  <c:v>-0.48000000000008392</c:v>
                </c:pt>
                <c:pt idx="553">
                  <c:v>-0.47000000000008391</c:v>
                </c:pt>
                <c:pt idx="554">
                  <c:v>-0.4600000000000839</c:v>
                </c:pt>
                <c:pt idx="555">
                  <c:v>-0.45000000000008389</c:v>
                </c:pt>
                <c:pt idx="556">
                  <c:v>-0.44000000000008388</c:v>
                </c:pt>
                <c:pt idx="557">
                  <c:v>-0.43000000000008387</c:v>
                </c:pt>
                <c:pt idx="558">
                  <c:v>-0.42000000000008386</c:v>
                </c:pt>
                <c:pt idx="559">
                  <c:v>-0.41000000000008385</c:v>
                </c:pt>
                <c:pt idx="560">
                  <c:v>-0.40000000000008384</c:v>
                </c:pt>
                <c:pt idx="561">
                  <c:v>-0.39000000000008384</c:v>
                </c:pt>
                <c:pt idx="562">
                  <c:v>-0.38000000000008383</c:v>
                </c:pt>
                <c:pt idx="563">
                  <c:v>-0.37000000000008382</c:v>
                </c:pt>
                <c:pt idx="564">
                  <c:v>-0.36000000000008381</c:v>
                </c:pt>
                <c:pt idx="565">
                  <c:v>-0.3500000000000838</c:v>
                </c:pt>
                <c:pt idx="566">
                  <c:v>-0.34000000000008379</c:v>
                </c:pt>
                <c:pt idx="567">
                  <c:v>-0.33000000000008378</c:v>
                </c:pt>
                <c:pt idx="568">
                  <c:v>-0.32000000000008377</c:v>
                </c:pt>
                <c:pt idx="569">
                  <c:v>-0.31000000000008376</c:v>
                </c:pt>
                <c:pt idx="570">
                  <c:v>-0.30000000000008376</c:v>
                </c:pt>
                <c:pt idx="571">
                  <c:v>-0.29000000000008375</c:v>
                </c:pt>
                <c:pt idx="572">
                  <c:v>-0.28000000000008374</c:v>
                </c:pt>
                <c:pt idx="573">
                  <c:v>-0.27000000000008373</c:v>
                </c:pt>
                <c:pt idx="574">
                  <c:v>-0.26000000000008372</c:v>
                </c:pt>
                <c:pt idx="575">
                  <c:v>-0.25000000000008371</c:v>
                </c:pt>
                <c:pt idx="576">
                  <c:v>-0.2400000000000837</c:v>
                </c:pt>
                <c:pt idx="577">
                  <c:v>-0.23000000000008369</c:v>
                </c:pt>
                <c:pt idx="578">
                  <c:v>-0.22000000000008368</c:v>
                </c:pt>
                <c:pt idx="579">
                  <c:v>-0.21000000000008368</c:v>
                </c:pt>
                <c:pt idx="580">
                  <c:v>-0.20000000000008367</c:v>
                </c:pt>
                <c:pt idx="581">
                  <c:v>-0.19000000000008366</c:v>
                </c:pt>
                <c:pt idx="582">
                  <c:v>-0.18000000000008365</c:v>
                </c:pt>
                <c:pt idx="583">
                  <c:v>-0.17000000000008364</c:v>
                </c:pt>
                <c:pt idx="584">
                  <c:v>-0.16000000000008363</c:v>
                </c:pt>
                <c:pt idx="585">
                  <c:v>-0.15000000000008362</c:v>
                </c:pt>
                <c:pt idx="586">
                  <c:v>-0.14000000000008361</c:v>
                </c:pt>
                <c:pt idx="587">
                  <c:v>-0.1300000000000836</c:v>
                </c:pt>
                <c:pt idx="588">
                  <c:v>-0.12000000000008361</c:v>
                </c:pt>
                <c:pt idx="589">
                  <c:v>-0.11000000000008361</c:v>
                </c:pt>
                <c:pt idx="590">
                  <c:v>-0.10000000000008362</c:v>
                </c:pt>
                <c:pt idx="591">
                  <c:v>-9.0000000000083624E-2</c:v>
                </c:pt>
                <c:pt idx="592">
                  <c:v>-8.0000000000083629E-2</c:v>
                </c:pt>
                <c:pt idx="593">
                  <c:v>-7.0000000000083634E-2</c:v>
                </c:pt>
                <c:pt idx="594">
                  <c:v>-6.0000000000083632E-2</c:v>
                </c:pt>
                <c:pt idx="595">
                  <c:v>-5.000000000008363E-2</c:v>
                </c:pt>
                <c:pt idx="596">
                  <c:v>-4.0000000000083628E-2</c:v>
                </c:pt>
                <c:pt idx="597">
                  <c:v>-3.0000000000083626E-2</c:v>
                </c:pt>
                <c:pt idx="598">
                  <c:v>-2.0000000000083624E-2</c:v>
                </c:pt>
                <c:pt idx="599">
                  <c:v>-1.0000000000083624E-2</c:v>
                </c:pt>
                <c:pt idx="600">
                  <c:v>-8.3624079882937963E-14</c:v>
                </c:pt>
                <c:pt idx="601">
                  <c:v>9.9999999999163761E-3</c:v>
                </c:pt>
                <c:pt idx="602">
                  <c:v>1.9999999999916376E-2</c:v>
                </c:pt>
                <c:pt idx="603">
                  <c:v>2.9999999999916378E-2</c:v>
                </c:pt>
                <c:pt idx="604">
                  <c:v>3.999999999991638E-2</c:v>
                </c:pt>
                <c:pt idx="605">
                  <c:v>4.9999999999916382E-2</c:v>
                </c:pt>
                <c:pt idx="606">
                  <c:v>5.9999999999916384E-2</c:v>
                </c:pt>
                <c:pt idx="607">
                  <c:v>6.9999999999916379E-2</c:v>
                </c:pt>
                <c:pt idx="608">
                  <c:v>7.9999999999916374E-2</c:v>
                </c:pt>
                <c:pt idx="609">
                  <c:v>8.9999999999916369E-2</c:v>
                </c:pt>
                <c:pt idx="610">
                  <c:v>9.9999999999916364E-2</c:v>
                </c:pt>
                <c:pt idx="611">
                  <c:v>0.10999999999991636</c:v>
                </c:pt>
                <c:pt idx="612">
                  <c:v>0.11999999999991635</c:v>
                </c:pt>
                <c:pt idx="613">
                  <c:v>0.12999999999991635</c:v>
                </c:pt>
                <c:pt idx="614">
                  <c:v>0.13999999999991636</c:v>
                </c:pt>
                <c:pt idx="615">
                  <c:v>0.14999999999991637</c:v>
                </c:pt>
                <c:pt idx="616">
                  <c:v>0.15999999999991638</c:v>
                </c:pt>
                <c:pt idx="617">
                  <c:v>0.16999999999991638</c:v>
                </c:pt>
                <c:pt idx="618">
                  <c:v>0.17999999999991639</c:v>
                </c:pt>
                <c:pt idx="619">
                  <c:v>0.1899999999999164</c:v>
                </c:pt>
                <c:pt idx="620">
                  <c:v>0.19999999999991641</c:v>
                </c:pt>
                <c:pt idx="621">
                  <c:v>0.20999999999991642</c:v>
                </c:pt>
                <c:pt idx="622">
                  <c:v>0.21999999999991643</c:v>
                </c:pt>
                <c:pt idx="623">
                  <c:v>0.22999999999991644</c:v>
                </c:pt>
                <c:pt idx="624">
                  <c:v>0.23999999999991645</c:v>
                </c:pt>
                <c:pt idx="625">
                  <c:v>0.24999999999991646</c:v>
                </c:pt>
                <c:pt idx="626">
                  <c:v>0.25999999999991646</c:v>
                </c:pt>
                <c:pt idx="627">
                  <c:v>0.26999999999991647</c:v>
                </c:pt>
                <c:pt idx="628">
                  <c:v>0.27999999999991648</c:v>
                </c:pt>
                <c:pt idx="629">
                  <c:v>0.28999999999991649</c:v>
                </c:pt>
                <c:pt idx="630">
                  <c:v>0.2999999999999165</c:v>
                </c:pt>
                <c:pt idx="631">
                  <c:v>0.30999999999991651</c:v>
                </c:pt>
                <c:pt idx="632">
                  <c:v>0.31999999999991652</c:v>
                </c:pt>
                <c:pt idx="633">
                  <c:v>0.32999999999991653</c:v>
                </c:pt>
                <c:pt idx="634">
                  <c:v>0.33999999999991654</c:v>
                </c:pt>
                <c:pt idx="635">
                  <c:v>0.34999999999991654</c:v>
                </c:pt>
                <c:pt idx="636">
                  <c:v>0.35999999999991655</c:v>
                </c:pt>
                <c:pt idx="637">
                  <c:v>0.36999999999991656</c:v>
                </c:pt>
                <c:pt idx="638">
                  <c:v>0.37999999999991657</c:v>
                </c:pt>
                <c:pt idx="639">
                  <c:v>0.38999999999991658</c:v>
                </c:pt>
                <c:pt idx="640">
                  <c:v>0.39999999999991659</c:v>
                </c:pt>
                <c:pt idx="641">
                  <c:v>0.4099999999999166</c:v>
                </c:pt>
                <c:pt idx="642">
                  <c:v>0.41999999999991661</c:v>
                </c:pt>
                <c:pt idx="643">
                  <c:v>0.42999999999991662</c:v>
                </c:pt>
                <c:pt idx="644">
                  <c:v>0.43999999999991662</c:v>
                </c:pt>
                <c:pt idx="645">
                  <c:v>0.44999999999991663</c:v>
                </c:pt>
                <c:pt idx="646">
                  <c:v>0.45999999999991664</c:v>
                </c:pt>
                <c:pt idx="647">
                  <c:v>0.46999999999991665</c:v>
                </c:pt>
                <c:pt idx="648">
                  <c:v>0.47999999999991666</c:v>
                </c:pt>
                <c:pt idx="649">
                  <c:v>0.48999999999991667</c:v>
                </c:pt>
                <c:pt idx="650">
                  <c:v>0.49999999999991668</c:v>
                </c:pt>
                <c:pt idx="651">
                  <c:v>0.50999999999991663</c:v>
                </c:pt>
                <c:pt idx="652">
                  <c:v>0.51999999999991664</c:v>
                </c:pt>
                <c:pt idx="653">
                  <c:v>0.52999999999991665</c:v>
                </c:pt>
                <c:pt idx="654">
                  <c:v>0.53999999999991666</c:v>
                </c:pt>
                <c:pt idx="655">
                  <c:v>0.54999999999991667</c:v>
                </c:pt>
                <c:pt idx="656">
                  <c:v>0.55999999999991668</c:v>
                </c:pt>
                <c:pt idx="657">
                  <c:v>0.56999999999991668</c:v>
                </c:pt>
                <c:pt idx="658">
                  <c:v>0.57999999999991669</c:v>
                </c:pt>
                <c:pt idx="659">
                  <c:v>0.5899999999999167</c:v>
                </c:pt>
                <c:pt idx="660">
                  <c:v>0.59999999999991671</c:v>
                </c:pt>
                <c:pt idx="661">
                  <c:v>0.60999999999991672</c:v>
                </c:pt>
                <c:pt idx="662">
                  <c:v>0.61999999999991673</c:v>
                </c:pt>
                <c:pt idx="663">
                  <c:v>0.62999999999991674</c:v>
                </c:pt>
                <c:pt idx="664">
                  <c:v>0.63999999999991675</c:v>
                </c:pt>
                <c:pt idx="665">
                  <c:v>0.64999999999991676</c:v>
                </c:pt>
                <c:pt idx="666">
                  <c:v>0.65999999999991676</c:v>
                </c:pt>
                <c:pt idx="667">
                  <c:v>0.66999999999991677</c:v>
                </c:pt>
                <c:pt idx="668">
                  <c:v>0.67999999999991678</c:v>
                </c:pt>
                <c:pt idx="669">
                  <c:v>0.68999999999991679</c:v>
                </c:pt>
                <c:pt idx="670">
                  <c:v>0.6999999999999168</c:v>
                </c:pt>
                <c:pt idx="671">
                  <c:v>0.70999999999991681</c:v>
                </c:pt>
                <c:pt idx="672">
                  <c:v>0.71999999999991682</c:v>
                </c:pt>
                <c:pt idx="673">
                  <c:v>0.72999999999991683</c:v>
                </c:pt>
                <c:pt idx="674">
                  <c:v>0.73999999999991684</c:v>
                </c:pt>
                <c:pt idx="675">
                  <c:v>0.74999999999991684</c:v>
                </c:pt>
                <c:pt idx="676">
                  <c:v>0.75999999999991685</c:v>
                </c:pt>
                <c:pt idx="677">
                  <c:v>0.76999999999991686</c:v>
                </c:pt>
                <c:pt idx="678">
                  <c:v>0.77999999999991687</c:v>
                </c:pt>
                <c:pt idx="679">
                  <c:v>0.78999999999991688</c:v>
                </c:pt>
                <c:pt idx="680">
                  <c:v>0.79999999999991689</c:v>
                </c:pt>
                <c:pt idx="681">
                  <c:v>0.8099999999999169</c:v>
                </c:pt>
                <c:pt idx="682">
                  <c:v>0.81999999999991691</c:v>
                </c:pt>
                <c:pt idx="683">
                  <c:v>0.82999999999991692</c:v>
                </c:pt>
                <c:pt idx="684">
                  <c:v>0.83999999999991692</c:v>
                </c:pt>
                <c:pt idx="685">
                  <c:v>0.84999999999991693</c:v>
                </c:pt>
                <c:pt idx="686">
                  <c:v>0.85999999999991694</c:v>
                </c:pt>
                <c:pt idx="687">
                  <c:v>0.86999999999991695</c:v>
                </c:pt>
                <c:pt idx="688">
                  <c:v>0.87999999999991696</c:v>
                </c:pt>
                <c:pt idx="689">
                  <c:v>0.88999999999991697</c:v>
                </c:pt>
                <c:pt idx="690">
                  <c:v>0.89999999999991698</c:v>
                </c:pt>
                <c:pt idx="691">
                  <c:v>0.90999999999991699</c:v>
                </c:pt>
                <c:pt idx="692">
                  <c:v>0.919999999999917</c:v>
                </c:pt>
                <c:pt idx="693">
                  <c:v>0.929999999999917</c:v>
                </c:pt>
                <c:pt idx="694">
                  <c:v>0.93999999999991701</c:v>
                </c:pt>
                <c:pt idx="695">
                  <c:v>0.94999999999991702</c:v>
                </c:pt>
                <c:pt idx="696">
                  <c:v>0.95999999999991703</c:v>
                </c:pt>
                <c:pt idx="697">
                  <c:v>0.96999999999991704</c:v>
                </c:pt>
                <c:pt idx="698">
                  <c:v>0.97999999999991705</c:v>
                </c:pt>
                <c:pt idx="699">
                  <c:v>0.98999999999991706</c:v>
                </c:pt>
                <c:pt idx="700">
                  <c:v>0.99999999999991707</c:v>
                </c:pt>
                <c:pt idx="701">
                  <c:v>1.009999999999917</c:v>
                </c:pt>
                <c:pt idx="702">
                  <c:v>1.019999999999917</c:v>
                </c:pt>
                <c:pt idx="703">
                  <c:v>1.029999999999917</c:v>
                </c:pt>
                <c:pt idx="704">
                  <c:v>1.039999999999917</c:v>
                </c:pt>
                <c:pt idx="705">
                  <c:v>1.049999999999917</c:v>
                </c:pt>
                <c:pt idx="706">
                  <c:v>1.059999999999917</c:v>
                </c:pt>
                <c:pt idx="707">
                  <c:v>1.069999999999917</c:v>
                </c:pt>
                <c:pt idx="708">
                  <c:v>1.079999999999917</c:v>
                </c:pt>
                <c:pt idx="709">
                  <c:v>1.089999999999917</c:v>
                </c:pt>
                <c:pt idx="710">
                  <c:v>1.099999999999917</c:v>
                </c:pt>
                <c:pt idx="711">
                  <c:v>1.1099999999999171</c:v>
                </c:pt>
                <c:pt idx="712">
                  <c:v>1.1199999999999171</c:v>
                </c:pt>
                <c:pt idx="713">
                  <c:v>1.1299999999999171</c:v>
                </c:pt>
                <c:pt idx="714">
                  <c:v>1.1399999999999171</c:v>
                </c:pt>
                <c:pt idx="715">
                  <c:v>1.1499999999999171</c:v>
                </c:pt>
                <c:pt idx="716">
                  <c:v>1.1599999999999171</c:v>
                </c:pt>
                <c:pt idx="717">
                  <c:v>1.1699999999999171</c:v>
                </c:pt>
                <c:pt idx="718">
                  <c:v>1.1799999999999171</c:v>
                </c:pt>
                <c:pt idx="719">
                  <c:v>1.1899999999999171</c:v>
                </c:pt>
                <c:pt idx="720">
                  <c:v>1.1999999999999171</c:v>
                </c:pt>
                <c:pt idx="721">
                  <c:v>1.2099999999999171</c:v>
                </c:pt>
                <c:pt idx="722">
                  <c:v>1.2199999999999172</c:v>
                </c:pt>
                <c:pt idx="723">
                  <c:v>1.2299999999999172</c:v>
                </c:pt>
                <c:pt idx="724">
                  <c:v>1.2399999999999172</c:v>
                </c:pt>
                <c:pt idx="725">
                  <c:v>1.2499999999999172</c:v>
                </c:pt>
                <c:pt idx="726">
                  <c:v>1.2599999999999172</c:v>
                </c:pt>
                <c:pt idx="727">
                  <c:v>1.2699999999999172</c:v>
                </c:pt>
                <c:pt idx="728">
                  <c:v>1.2799999999999172</c:v>
                </c:pt>
                <c:pt idx="729">
                  <c:v>1.2899999999999172</c:v>
                </c:pt>
                <c:pt idx="730">
                  <c:v>1.2999999999999172</c:v>
                </c:pt>
                <c:pt idx="731">
                  <c:v>1.3099999999999172</c:v>
                </c:pt>
                <c:pt idx="732">
                  <c:v>1.3199999999999172</c:v>
                </c:pt>
                <c:pt idx="733">
                  <c:v>1.3299999999999172</c:v>
                </c:pt>
                <c:pt idx="734">
                  <c:v>1.3399999999999173</c:v>
                </c:pt>
                <c:pt idx="735">
                  <c:v>1.3499999999999173</c:v>
                </c:pt>
                <c:pt idx="736">
                  <c:v>1.3599999999999173</c:v>
                </c:pt>
                <c:pt idx="737">
                  <c:v>1.3699999999999173</c:v>
                </c:pt>
                <c:pt idx="738">
                  <c:v>1.3799999999999173</c:v>
                </c:pt>
                <c:pt idx="739">
                  <c:v>1.3899999999999173</c:v>
                </c:pt>
                <c:pt idx="740">
                  <c:v>1.3999999999999173</c:v>
                </c:pt>
                <c:pt idx="741">
                  <c:v>1.4099999999999173</c:v>
                </c:pt>
                <c:pt idx="742">
                  <c:v>1.4199999999999173</c:v>
                </c:pt>
                <c:pt idx="743">
                  <c:v>1.4299999999999173</c:v>
                </c:pt>
                <c:pt idx="744">
                  <c:v>1.4399999999999173</c:v>
                </c:pt>
                <c:pt idx="745">
                  <c:v>1.4499999999999174</c:v>
                </c:pt>
                <c:pt idx="746">
                  <c:v>1.4599999999999174</c:v>
                </c:pt>
                <c:pt idx="747">
                  <c:v>1.4699999999999174</c:v>
                </c:pt>
                <c:pt idx="748">
                  <c:v>1.4799999999999174</c:v>
                </c:pt>
                <c:pt idx="749">
                  <c:v>1.4899999999999174</c:v>
                </c:pt>
                <c:pt idx="750">
                  <c:v>1.4999999999999174</c:v>
                </c:pt>
                <c:pt idx="751">
                  <c:v>1.5099999999999174</c:v>
                </c:pt>
                <c:pt idx="752">
                  <c:v>1.5199999999999174</c:v>
                </c:pt>
                <c:pt idx="753">
                  <c:v>1.5299999999999174</c:v>
                </c:pt>
                <c:pt idx="754">
                  <c:v>1.5399999999999174</c:v>
                </c:pt>
                <c:pt idx="755">
                  <c:v>1.5499999999999174</c:v>
                </c:pt>
                <c:pt idx="756">
                  <c:v>1.5599999999999175</c:v>
                </c:pt>
                <c:pt idx="757">
                  <c:v>1.5699999999999175</c:v>
                </c:pt>
                <c:pt idx="758">
                  <c:v>1.5799999999999175</c:v>
                </c:pt>
                <c:pt idx="759">
                  <c:v>1.5899999999999175</c:v>
                </c:pt>
                <c:pt idx="760">
                  <c:v>1.5999999999999175</c:v>
                </c:pt>
                <c:pt idx="761">
                  <c:v>1.6099999999999175</c:v>
                </c:pt>
                <c:pt idx="762">
                  <c:v>1.6199999999999175</c:v>
                </c:pt>
                <c:pt idx="763">
                  <c:v>1.6299999999999175</c:v>
                </c:pt>
                <c:pt idx="764">
                  <c:v>1.6399999999999175</c:v>
                </c:pt>
                <c:pt idx="765">
                  <c:v>1.6499999999999175</c:v>
                </c:pt>
                <c:pt idx="766">
                  <c:v>1.6599999999999175</c:v>
                </c:pt>
                <c:pt idx="767">
                  <c:v>1.6699999999999176</c:v>
                </c:pt>
                <c:pt idx="768">
                  <c:v>1.6799999999999176</c:v>
                </c:pt>
                <c:pt idx="769">
                  <c:v>1.6899999999999176</c:v>
                </c:pt>
                <c:pt idx="770">
                  <c:v>1.6999999999999176</c:v>
                </c:pt>
                <c:pt idx="771">
                  <c:v>1.7099999999999176</c:v>
                </c:pt>
                <c:pt idx="772">
                  <c:v>1.7199999999999176</c:v>
                </c:pt>
                <c:pt idx="773">
                  <c:v>1.7299999999999176</c:v>
                </c:pt>
                <c:pt idx="774">
                  <c:v>1.7399999999999176</c:v>
                </c:pt>
                <c:pt idx="775">
                  <c:v>1.7499999999999176</c:v>
                </c:pt>
                <c:pt idx="776">
                  <c:v>1.7599999999999176</c:v>
                </c:pt>
                <c:pt idx="777">
                  <c:v>1.7699999999999176</c:v>
                </c:pt>
                <c:pt idx="778">
                  <c:v>1.7799999999999176</c:v>
                </c:pt>
                <c:pt idx="779">
                  <c:v>1.7899999999999177</c:v>
                </c:pt>
                <c:pt idx="780">
                  <c:v>1.7999999999999177</c:v>
                </c:pt>
                <c:pt idx="781">
                  <c:v>1.8099999999999177</c:v>
                </c:pt>
                <c:pt idx="782">
                  <c:v>1.8199999999999177</c:v>
                </c:pt>
                <c:pt idx="783">
                  <c:v>1.8299999999999177</c:v>
                </c:pt>
                <c:pt idx="784">
                  <c:v>1.8399999999999177</c:v>
                </c:pt>
                <c:pt idx="785">
                  <c:v>1.8499999999999177</c:v>
                </c:pt>
                <c:pt idx="786">
                  <c:v>1.8599999999999177</c:v>
                </c:pt>
                <c:pt idx="787">
                  <c:v>1.8699999999999177</c:v>
                </c:pt>
                <c:pt idx="788">
                  <c:v>1.8799999999999177</c:v>
                </c:pt>
                <c:pt idx="789">
                  <c:v>1.8899999999999177</c:v>
                </c:pt>
                <c:pt idx="790">
                  <c:v>1.8999999999999178</c:v>
                </c:pt>
                <c:pt idx="791">
                  <c:v>1.9099999999999178</c:v>
                </c:pt>
                <c:pt idx="792">
                  <c:v>1.9199999999999178</c:v>
                </c:pt>
                <c:pt idx="793">
                  <c:v>1.9299999999999178</c:v>
                </c:pt>
                <c:pt idx="794">
                  <c:v>1.9399999999999178</c:v>
                </c:pt>
                <c:pt idx="795">
                  <c:v>1.9499999999999178</c:v>
                </c:pt>
                <c:pt idx="796">
                  <c:v>1.9599999999999178</c:v>
                </c:pt>
                <c:pt idx="797">
                  <c:v>1.9699999999999178</c:v>
                </c:pt>
                <c:pt idx="798">
                  <c:v>1.9799999999999178</c:v>
                </c:pt>
                <c:pt idx="799">
                  <c:v>1.9899999999999178</c:v>
                </c:pt>
                <c:pt idx="800">
                  <c:v>1.9999999999999178</c:v>
                </c:pt>
                <c:pt idx="801">
                  <c:v>2.0099999999999176</c:v>
                </c:pt>
                <c:pt idx="802">
                  <c:v>2.0199999999999174</c:v>
                </c:pt>
                <c:pt idx="803">
                  <c:v>2.0299999999999172</c:v>
                </c:pt>
                <c:pt idx="804">
                  <c:v>2.039999999999917</c:v>
                </c:pt>
                <c:pt idx="805">
                  <c:v>2.0499999999999168</c:v>
                </c:pt>
                <c:pt idx="806">
                  <c:v>2.0599999999999166</c:v>
                </c:pt>
                <c:pt idx="807">
                  <c:v>2.0699999999999164</c:v>
                </c:pt>
                <c:pt idx="808">
                  <c:v>2.0799999999999161</c:v>
                </c:pt>
                <c:pt idx="809">
                  <c:v>2.0899999999999159</c:v>
                </c:pt>
                <c:pt idx="810">
                  <c:v>2.0999999999999157</c:v>
                </c:pt>
                <c:pt idx="811">
                  <c:v>2.1099999999999155</c:v>
                </c:pt>
                <c:pt idx="812">
                  <c:v>2.1199999999999153</c:v>
                </c:pt>
                <c:pt idx="813">
                  <c:v>2.1299999999999151</c:v>
                </c:pt>
                <c:pt idx="814">
                  <c:v>2.1399999999999149</c:v>
                </c:pt>
                <c:pt idx="815">
                  <c:v>2.1499999999999146</c:v>
                </c:pt>
                <c:pt idx="816">
                  <c:v>2.1599999999999144</c:v>
                </c:pt>
                <c:pt idx="817">
                  <c:v>2.1699999999999142</c:v>
                </c:pt>
                <c:pt idx="818">
                  <c:v>2.179999999999914</c:v>
                </c:pt>
                <c:pt idx="819">
                  <c:v>2.1899999999999138</c:v>
                </c:pt>
                <c:pt idx="820">
                  <c:v>2.1999999999999136</c:v>
                </c:pt>
                <c:pt idx="821">
                  <c:v>2.2099999999999134</c:v>
                </c:pt>
                <c:pt idx="822">
                  <c:v>2.2199999999999132</c:v>
                </c:pt>
                <c:pt idx="823">
                  <c:v>2.2299999999999129</c:v>
                </c:pt>
                <c:pt idx="824">
                  <c:v>2.2399999999999127</c:v>
                </c:pt>
                <c:pt idx="825">
                  <c:v>2.2499999999999125</c:v>
                </c:pt>
                <c:pt idx="826">
                  <c:v>2.2599999999999123</c:v>
                </c:pt>
                <c:pt idx="827">
                  <c:v>2.2699999999999121</c:v>
                </c:pt>
                <c:pt idx="828">
                  <c:v>2.2799999999999119</c:v>
                </c:pt>
                <c:pt idx="829">
                  <c:v>2.2899999999999117</c:v>
                </c:pt>
                <c:pt idx="830">
                  <c:v>2.2999999999999114</c:v>
                </c:pt>
                <c:pt idx="831">
                  <c:v>2.3099999999999112</c:v>
                </c:pt>
                <c:pt idx="832">
                  <c:v>2.319999999999911</c:v>
                </c:pt>
                <c:pt idx="833">
                  <c:v>2.3299999999999108</c:v>
                </c:pt>
                <c:pt idx="834">
                  <c:v>2.3399999999999106</c:v>
                </c:pt>
                <c:pt idx="835">
                  <c:v>2.3499999999999104</c:v>
                </c:pt>
                <c:pt idx="836">
                  <c:v>2.3599999999999102</c:v>
                </c:pt>
                <c:pt idx="837">
                  <c:v>2.36999999999991</c:v>
                </c:pt>
                <c:pt idx="838">
                  <c:v>2.3799999999999097</c:v>
                </c:pt>
                <c:pt idx="839">
                  <c:v>2.3899999999999095</c:v>
                </c:pt>
                <c:pt idx="840">
                  <c:v>2.3999999999999093</c:v>
                </c:pt>
                <c:pt idx="841">
                  <c:v>2.4099999999999091</c:v>
                </c:pt>
                <c:pt idx="842">
                  <c:v>2.4199999999999089</c:v>
                </c:pt>
                <c:pt idx="843">
                  <c:v>2.4299999999999087</c:v>
                </c:pt>
                <c:pt idx="844">
                  <c:v>2.4399999999999085</c:v>
                </c:pt>
                <c:pt idx="845">
                  <c:v>2.4499999999999083</c:v>
                </c:pt>
                <c:pt idx="846">
                  <c:v>2.459999999999908</c:v>
                </c:pt>
                <c:pt idx="847">
                  <c:v>2.4699999999999078</c:v>
                </c:pt>
                <c:pt idx="848">
                  <c:v>2.4799999999999076</c:v>
                </c:pt>
                <c:pt idx="849">
                  <c:v>2.4899999999999074</c:v>
                </c:pt>
                <c:pt idx="850">
                  <c:v>2.4999999999999072</c:v>
                </c:pt>
                <c:pt idx="851">
                  <c:v>2.509999999999907</c:v>
                </c:pt>
                <c:pt idx="852">
                  <c:v>2.5199999999999068</c:v>
                </c:pt>
                <c:pt idx="853">
                  <c:v>2.5299999999999065</c:v>
                </c:pt>
                <c:pt idx="854">
                  <c:v>2.5399999999999063</c:v>
                </c:pt>
                <c:pt idx="855">
                  <c:v>2.5499999999999061</c:v>
                </c:pt>
                <c:pt idx="856">
                  <c:v>2.5599999999999059</c:v>
                </c:pt>
                <c:pt idx="857">
                  <c:v>2.5699999999999057</c:v>
                </c:pt>
                <c:pt idx="858">
                  <c:v>2.5799999999999055</c:v>
                </c:pt>
                <c:pt idx="859">
                  <c:v>2.5899999999999053</c:v>
                </c:pt>
                <c:pt idx="860">
                  <c:v>2.5999999999999051</c:v>
                </c:pt>
                <c:pt idx="861">
                  <c:v>2.6099999999999048</c:v>
                </c:pt>
                <c:pt idx="862">
                  <c:v>2.6199999999999046</c:v>
                </c:pt>
                <c:pt idx="863">
                  <c:v>2.6299999999999044</c:v>
                </c:pt>
                <c:pt idx="864">
                  <c:v>2.6399999999999042</c:v>
                </c:pt>
                <c:pt idx="865">
                  <c:v>2.649999999999904</c:v>
                </c:pt>
                <c:pt idx="866">
                  <c:v>2.6599999999999038</c:v>
                </c:pt>
                <c:pt idx="867">
                  <c:v>2.6699999999999036</c:v>
                </c:pt>
                <c:pt idx="868">
                  <c:v>2.6799999999999033</c:v>
                </c:pt>
                <c:pt idx="869">
                  <c:v>2.6899999999999031</c:v>
                </c:pt>
                <c:pt idx="870">
                  <c:v>2.6999999999999029</c:v>
                </c:pt>
                <c:pt idx="871">
                  <c:v>2.7099999999999027</c:v>
                </c:pt>
                <c:pt idx="872">
                  <c:v>2.7199999999999025</c:v>
                </c:pt>
                <c:pt idx="873">
                  <c:v>2.7299999999999023</c:v>
                </c:pt>
                <c:pt idx="874">
                  <c:v>2.7399999999999021</c:v>
                </c:pt>
                <c:pt idx="875">
                  <c:v>2.7499999999999019</c:v>
                </c:pt>
                <c:pt idx="876">
                  <c:v>2.7599999999999016</c:v>
                </c:pt>
                <c:pt idx="877">
                  <c:v>2.7699999999999014</c:v>
                </c:pt>
                <c:pt idx="878">
                  <c:v>2.7799999999999012</c:v>
                </c:pt>
                <c:pt idx="879">
                  <c:v>2.789999999999901</c:v>
                </c:pt>
                <c:pt idx="880">
                  <c:v>2.7999999999999008</c:v>
                </c:pt>
                <c:pt idx="881">
                  <c:v>2.8099999999999006</c:v>
                </c:pt>
                <c:pt idx="882">
                  <c:v>2.8199999999999004</c:v>
                </c:pt>
                <c:pt idx="883">
                  <c:v>2.8299999999999002</c:v>
                </c:pt>
                <c:pt idx="884">
                  <c:v>2.8399999999998999</c:v>
                </c:pt>
                <c:pt idx="885">
                  <c:v>2.8499999999998997</c:v>
                </c:pt>
                <c:pt idx="886">
                  <c:v>2.8599999999998995</c:v>
                </c:pt>
                <c:pt idx="887">
                  <c:v>2.8699999999998993</c:v>
                </c:pt>
                <c:pt idx="888">
                  <c:v>2.8799999999998991</c:v>
                </c:pt>
                <c:pt idx="889">
                  <c:v>2.8899999999998989</c:v>
                </c:pt>
                <c:pt idx="890">
                  <c:v>2.8999999999998987</c:v>
                </c:pt>
                <c:pt idx="891">
                  <c:v>2.9099999999998984</c:v>
                </c:pt>
                <c:pt idx="892">
                  <c:v>2.9199999999998982</c:v>
                </c:pt>
                <c:pt idx="893">
                  <c:v>2.929999999999898</c:v>
                </c:pt>
                <c:pt idx="894">
                  <c:v>2.9399999999998978</c:v>
                </c:pt>
                <c:pt idx="895">
                  <c:v>2.9499999999998976</c:v>
                </c:pt>
                <c:pt idx="896">
                  <c:v>2.9599999999998974</c:v>
                </c:pt>
                <c:pt idx="897">
                  <c:v>2.9699999999998972</c:v>
                </c:pt>
                <c:pt idx="898">
                  <c:v>2.979999999999897</c:v>
                </c:pt>
                <c:pt idx="899">
                  <c:v>2.9899999999998967</c:v>
                </c:pt>
                <c:pt idx="900">
                  <c:v>2.9999999999998965</c:v>
                </c:pt>
                <c:pt idx="901">
                  <c:v>3.0099999999998963</c:v>
                </c:pt>
                <c:pt idx="902">
                  <c:v>3.0199999999998961</c:v>
                </c:pt>
                <c:pt idx="903">
                  <c:v>3.0299999999998959</c:v>
                </c:pt>
                <c:pt idx="904">
                  <c:v>3.0399999999998957</c:v>
                </c:pt>
                <c:pt idx="905">
                  <c:v>3.0499999999998955</c:v>
                </c:pt>
                <c:pt idx="906">
                  <c:v>3.0599999999998952</c:v>
                </c:pt>
                <c:pt idx="907">
                  <c:v>3.069999999999895</c:v>
                </c:pt>
                <c:pt idx="908">
                  <c:v>3.0799999999998948</c:v>
                </c:pt>
                <c:pt idx="909">
                  <c:v>3.0899999999998946</c:v>
                </c:pt>
                <c:pt idx="910">
                  <c:v>3.0999999999998944</c:v>
                </c:pt>
                <c:pt idx="911">
                  <c:v>3.1099999999998942</c:v>
                </c:pt>
                <c:pt idx="912">
                  <c:v>3.119999999999894</c:v>
                </c:pt>
                <c:pt idx="913">
                  <c:v>3.1299999999998938</c:v>
                </c:pt>
                <c:pt idx="914">
                  <c:v>3.1399999999998935</c:v>
                </c:pt>
                <c:pt idx="915">
                  <c:v>3.1499999999998933</c:v>
                </c:pt>
                <c:pt idx="916">
                  <c:v>3.1599999999998931</c:v>
                </c:pt>
                <c:pt idx="917">
                  <c:v>3.1699999999998929</c:v>
                </c:pt>
                <c:pt idx="918">
                  <c:v>3.1799999999998927</c:v>
                </c:pt>
                <c:pt idx="919">
                  <c:v>3.1899999999998925</c:v>
                </c:pt>
                <c:pt idx="920">
                  <c:v>3.1999999999998923</c:v>
                </c:pt>
                <c:pt idx="921">
                  <c:v>3.2099999999998921</c:v>
                </c:pt>
                <c:pt idx="922">
                  <c:v>3.2199999999998918</c:v>
                </c:pt>
                <c:pt idx="923">
                  <c:v>3.2299999999998916</c:v>
                </c:pt>
                <c:pt idx="924">
                  <c:v>3.2399999999998914</c:v>
                </c:pt>
                <c:pt idx="925">
                  <c:v>3.2499999999998912</c:v>
                </c:pt>
                <c:pt idx="926">
                  <c:v>3.259999999999891</c:v>
                </c:pt>
                <c:pt idx="927">
                  <c:v>3.2699999999998908</c:v>
                </c:pt>
                <c:pt idx="928">
                  <c:v>3.2799999999998906</c:v>
                </c:pt>
                <c:pt idx="929">
                  <c:v>3.2899999999998903</c:v>
                </c:pt>
                <c:pt idx="930">
                  <c:v>3.2999999999998901</c:v>
                </c:pt>
                <c:pt idx="931">
                  <c:v>3.3099999999998899</c:v>
                </c:pt>
                <c:pt idx="932">
                  <c:v>3.3199999999998897</c:v>
                </c:pt>
                <c:pt idx="933">
                  <c:v>3.3299999999998895</c:v>
                </c:pt>
                <c:pt idx="934">
                  <c:v>3.3399999999998893</c:v>
                </c:pt>
                <c:pt idx="935">
                  <c:v>3.3499999999998891</c:v>
                </c:pt>
                <c:pt idx="936">
                  <c:v>3.3599999999998889</c:v>
                </c:pt>
                <c:pt idx="937">
                  <c:v>3.3699999999998886</c:v>
                </c:pt>
                <c:pt idx="938">
                  <c:v>3.3799999999998884</c:v>
                </c:pt>
                <c:pt idx="939">
                  <c:v>3.3899999999998882</c:v>
                </c:pt>
                <c:pt idx="940">
                  <c:v>3.399999999999888</c:v>
                </c:pt>
                <c:pt idx="941">
                  <c:v>3.4099999999998878</c:v>
                </c:pt>
                <c:pt idx="942">
                  <c:v>3.4199999999998876</c:v>
                </c:pt>
                <c:pt idx="943">
                  <c:v>3.4299999999998874</c:v>
                </c:pt>
                <c:pt idx="944">
                  <c:v>3.4399999999998871</c:v>
                </c:pt>
                <c:pt idx="945">
                  <c:v>3.4499999999998869</c:v>
                </c:pt>
                <c:pt idx="946">
                  <c:v>3.4599999999998867</c:v>
                </c:pt>
                <c:pt idx="947">
                  <c:v>3.4699999999998865</c:v>
                </c:pt>
                <c:pt idx="948">
                  <c:v>3.4799999999998863</c:v>
                </c:pt>
                <c:pt idx="949">
                  <c:v>3.4899999999998861</c:v>
                </c:pt>
                <c:pt idx="950">
                  <c:v>3.4999999999998859</c:v>
                </c:pt>
                <c:pt idx="951">
                  <c:v>3.5099999999998857</c:v>
                </c:pt>
                <c:pt idx="952">
                  <c:v>3.5199999999998854</c:v>
                </c:pt>
                <c:pt idx="953">
                  <c:v>3.5299999999998852</c:v>
                </c:pt>
                <c:pt idx="954">
                  <c:v>3.539999999999885</c:v>
                </c:pt>
                <c:pt idx="955">
                  <c:v>3.5499999999998848</c:v>
                </c:pt>
                <c:pt idx="956">
                  <c:v>3.5599999999998846</c:v>
                </c:pt>
                <c:pt idx="957">
                  <c:v>3.5699999999998844</c:v>
                </c:pt>
                <c:pt idx="958">
                  <c:v>3.5799999999998842</c:v>
                </c:pt>
                <c:pt idx="959">
                  <c:v>3.589999999999884</c:v>
                </c:pt>
                <c:pt idx="960">
                  <c:v>3.5999999999998837</c:v>
                </c:pt>
                <c:pt idx="961">
                  <c:v>3.6099999999998835</c:v>
                </c:pt>
                <c:pt idx="962">
                  <c:v>3.6199999999998833</c:v>
                </c:pt>
                <c:pt idx="963">
                  <c:v>3.6299999999998831</c:v>
                </c:pt>
                <c:pt idx="964">
                  <c:v>3.6399999999998829</c:v>
                </c:pt>
                <c:pt idx="965">
                  <c:v>3.6499999999998827</c:v>
                </c:pt>
                <c:pt idx="966">
                  <c:v>3.6599999999998825</c:v>
                </c:pt>
                <c:pt idx="967">
                  <c:v>3.6699999999998822</c:v>
                </c:pt>
                <c:pt idx="968">
                  <c:v>3.679999999999882</c:v>
                </c:pt>
                <c:pt idx="969">
                  <c:v>3.6899999999998818</c:v>
                </c:pt>
                <c:pt idx="970">
                  <c:v>3.6999999999998816</c:v>
                </c:pt>
                <c:pt idx="971">
                  <c:v>3.7099999999998814</c:v>
                </c:pt>
                <c:pt idx="972">
                  <c:v>3.7199999999998812</c:v>
                </c:pt>
                <c:pt idx="973">
                  <c:v>3.729999999999881</c:v>
                </c:pt>
                <c:pt idx="974">
                  <c:v>3.7399999999998808</c:v>
                </c:pt>
                <c:pt idx="975">
                  <c:v>3.7499999999998805</c:v>
                </c:pt>
                <c:pt idx="976">
                  <c:v>3.7599999999998803</c:v>
                </c:pt>
                <c:pt idx="977">
                  <c:v>3.7699999999998801</c:v>
                </c:pt>
                <c:pt idx="978">
                  <c:v>3.7799999999998799</c:v>
                </c:pt>
                <c:pt idx="979">
                  <c:v>3.7899999999998797</c:v>
                </c:pt>
                <c:pt idx="980">
                  <c:v>3.7999999999998795</c:v>
                </c:pt>
                <c:pt idx="981">
                  <c:v>3.8099999999998793</c:v>
                </c:pt>
                <c:pt idx="982">
                  <c:v>3.819999999999879</c:v>
                </c:pt>
                <c:pt idx="983">
                  <c:v>3.8299999999998788</c:v>
                </c:pt>
                <c:pt idx="984">
                  <c:v>3.8399999999998786</c:v>
                </c:pt>
                <c:pt idx="985">
                  <c:v>3.8499999999998784</c:v>
                </c:pt>
                <c:pt idx="986">
                  <c:v>3.8599999999998782</c:v>
                </c:pt>
                <c:pt idx="987">
                  <c:v>3.869999999999878</c:v>
                </c:pt>
                <c:pt idx="988">
                  <c:v>3.8799999999998778</c:v>
                </c:pt>
                <c:pt idx="989">
                  <c:v>3.8899999999998776</c:v>
                </c:pt>
                <c:pt idx="990">
                  <c:v>3.8999999999998773</c:v>
                </c:pt>
                <c:pt idx="991">
                  <c:v>3.9099999999998771</c:v>
                </c:pt>
                <c:pt idx="992">
                  <c:v>3.9199999999998769</c:v>
                </c:pt>
                <c:pt idx="993">
                  <c:v>3.9299999999998767</c:v>
                </c:pt>
                <c:pt idx="994">
                  <c:v>3.9399999999998765</c:v>
                </c:pt>
                <c:pt idx="995">
                  <c:v>3.9499999999998763</c:v>
                </c:pt>
                <c:pt idx="996">
                  <c:v>3.9599999999998761</c:v>
                </c:pt>
                <c:pt idx="997">
                  <c:v>3.9699999999998759</c:v>
                </c:pt>
                <c:pt idx="998">
                  <c:v>3.9799999999998756</c:v>
                </c:pt>
                <c:pt idx="999">
                  <c:v>3.9899999999998754</c:v>
                </c:pt>
                <c:pt idx="1000">
                  <c:v>3.9999999999998752</c:v>
                </c:pt>
                <c:pt idx="1001">
                  <c:v>4.0099999999998754</c:v>
                </c:pt>
                <c:pt idx="1002">
                  <c:v>4.0199999999998752</c:v>
                </c:pt>
                <c:pt idx="1003">
                  <c:v>4.029999999999875</c:v>
                </c:pt>
                <c:pt idx="1004">
                  <c:v>4.0399999999998748</c:v>
                </c:pt>
                <c:pt idx="1005">
                  <c:v>4.0499999999998746</c:v>
                </c:pt>
                <c:pt idx="1006">
                  <c:v>4.0599999999998744</c:v>
                </c:pt>
                <c:pt idx="1007">
                  <c:v>4.0699999999998742</c:v>
                </c:pt>
                <c:pt idx="1008">
                  <c:v>4.0799999999998739</c:v>
                </c:pt>
                <c:pt idx="1009">
                  <c:v>4.0899999999998737</c:v>
                </c:pt>
                <c:pt idx="1010">
                  <c:v>4.0999999999998735</c:v>
                </c:pt>
                <c:pt idx="1011">
                  <c:v>4.1099999999998733</c:v>
                </c:pt>
                <c:pt idx="1012">
                  <c:v>4.1199999999998731</c:v>
                </c:pt>
                <c:pt idx="1013">
                  <c:v>4.1299999999998729</c:v>
                </c:pt>
                <c:pt idx="1014">
                  <c:v>4.1399999999998727</c:v>
                </c:pt>
                <c:pt idx="1015">
                  <c:v>4.1499999999998725</c:v>
                </c:pt>
                <c:pt idx="1016">
                  <c:v>4.1599999999998722</c:v>
                </c:pt>
                <c:pt idx="1017">
                  <c:v>4.169999999999872</c:v>
                </c:pt>
                <c:pt idx="1018">
                  <c:v>4.1799999999998718</c:v>
                </c:pt>
                <c:pt idx="1019">
                  <c:v>4.1899999999998716</c:v>
                </c:pt>
                <c:pt idx="1020">
                  <c:v>4.1999999999998714</c:v>
                </c:pt>
                <c:pt idx="1021">
                  <c:v>4.2099999999998712</c:v>
                </c:pt>
                <c:pt idx="1022">
                  <c:v>4.219999999999871</c:v>
                </c:pt>
                <c:pt idx="1023">
                  <c:v>4.2299999999998708</c:v>
                </c:pt>
                <c:pt idx="1024">
                  <c:v>4.2399999999998705</c:v>
                </c:pt>
                <c:pt idx="1025">
                  <c:v>4.2499999999998703</c:v>
                </c:pt>
                <c:pt idx="1026">
                  <c:v>4.2599999999998701</c:v>
                </c:pt>
                <c:pt idx="1027">
                  <c:v>4.2699999999998699</c:v>
                </c:pt>
                <c:pt idx="1028">
                  <c:v>4.2799999999998697</c:v>
                </c:pt>
                <c:pt idx="1029">
                  <c:v>4.2899999999998695</c:v>
                </c:pt>
                <c:pt idx="1030">
                  <c:v>4.2999999999998693</c:v>
                </c:pt>
                <c:pt idx="1031">
                  <c:v>4.309999999999869</c:v>
                </c:pt>
                <c:pt idx="1032">
                  <c:v>4.3199999999998688</c:v>
                </c:pt>
                <c:pt idx="1033">
                  <c:v>4.3299999999998686</c:v>
                </c:pt>
                <c:pt idx="1034">
                  <c:v>4.3399999999998684</c:v>
                </c:pt>
                <c:pt idx="1035">
                  <c:v>4.3499999999998682</c:v>
                </c:pt>
                <c:pt idx="1036">
                  <c:v>4.359999999999868</c:v>
                </c:pt>
                <c:pt idx="1037">
                  <c:v>4.3699999999998678</c:v>
                </c:pt>
                <c:pt idx="1038">
                  <c:v>4.3799999999998676</c:v>
                </c:pt>
                <c:pt idx="1039">
                  <c:v>4.3899999999998673</c:v>
                </c:pt>
                <c:pt idx="1040">
                  <c:v>4.3999999999998671</c:v>
                </c:pt>
                <c:pt idx="1041">
                  <c:v>4.4099999999998669</c:v>
                </c:pt>
                <c:pt idx="1042">
                  <c:v>4.4199999999998667</c:v>
                </c:pt>
                <c:pt idx="1043">
                  <c:v>4.4299999999998665</c:v>
                </c:pt>
                <c:pt idx="1044">
                  <c:v>4.4399999999998663</c:v>
                </c:pt>
                <c:pt idx="1045">
                  <c:v>4.4499999999998661</c:v>
                </c:pt>
                <c:pt idx="1046">
                  <c:v>4.4599999999998658</c:v>
                </c:pt>
                <c:pt idx="1047">
                  <c:v>4.4699999999998656</c:v>
                </c:pt>
                <c:pt idx="1048">
                  <c:v>4.4799999999998654</c:v>
                </c:pt>
                <c:pt idx="1049">
                  <c:v>4.4899999999998652</c:v>
                </c:pt>
                <c:pt idx="1050">
                  <c:v>4.499999999999865</c:v>
                </c:pt>
                <c:pt idx="1051">
                  <c:v>4.5099999999998648</c:v>
                </c:pt>
                <c:pt idx="1052">
                  <c:v>4.5199999999998646</c:v>
                </c:pt>
                <c:pt idx="1053">
                  <c:v>4.5299999999998644</c:v>
                </c:pt>
                <c:pt idx="1054">
                  <c:v>4.5399999999998641</c:v>
                </c:pt>
                <c:pt idx="1055">
                  <c:v>4.5499999999998639</c:v>
                </c:pt>
                <c:pt idx="1056">
                  <c:v>4.5599999999998637</c:v>
                </c:pt>
                <c:pt idx="1057">
                  <c:v>4.5699999999998635</c:v>
                </c:pt>
                <c:pt idx="1058">
                  <c:v>4.5799999999998633</c:v>
                </c:pt>
                <c:pt idx="1059">
                  <c:v>4.5899999999998631</c:v>
                </c:pt>
                <c:pt idx="1060">
                  <c:v>4.5999999999998629</c:v>
                </c:pt>
                <c:pt idx="1061">
                  <c:v>4.6099999999998627</c:v>
                </c:pt>
                <c:pt idx="1062">
                  <c:v>4.6199999999998624</c:v>
                </c:pt>
                <c:pt idx="1063">
                  <c:v>4.6299999999998622</c:v>
                </c:pt>
                <c:pt idx="1064">
                  <c:v>4.639999999999862</c:v>
                </c:pt>
                <c:pt idx="1065">
                  <c:v>4.6499999999998618</c:v>
                </c:pt>
                <c:pt idx="1066">
                  <c:v>4.6599999999998616</c:v>
                </c:pt>
                <c:pt idx="1067">
                  <c:v>4.6699999999998614</c:v>
                </c:pt>
                <c:pt idx="1068">
                  <c:v>4.6799999999998612</c:v>
                </c:pt>
                <c:pt idx="1069">
                  <c:v>4.6899999999998609</c:v>
                </c:pt>
                <c:pt idx="1070">
                  <c:v>4.6999999999998607</c:v>
                </c:pt>
                <c:pt idx="1071">
                  <c:v>4.7099999999998605</c:v>
                </c:pt>
                <c:pt idx="1072">
                  <c:v>4.7199999999998603</c:v>
                </c:pt>
                <c:pt idx="1073">
                  <c:v>4.7299999999998601</c:v>
                </c:pt>
                <c:pt idx="1074">
                  <c:v>4.7399999999998599</c:v>
                </c:pt>
                <c:pt idx="1075">
                  <c:v>4.7499999999998597</c:v>
                </c:pt>
                <c:pt idx="1076">
                  <c:v>4.7599999999998595</c:v>
                </c:pt>
                <c:pt idx="1077">
                  <c:v>4.7699999999998592</c:v>
                </c:pt>
                <c:pt idx="1078">
                  <c:v>4.779999999999859</c:v>
                </c:pt>
                <c:pt idx="1079">
                  <c:v>4.7899999999998588</c:v>
                </c:pt>
                <c:pt idx="1080">
                  <c:v>4.7999999999998586</c:v>
                </c:pt>
                <c:pt idx="1081">
                  <c:v>4.8099999999998584</c:v>
                </c:pt>
                <c:pt idx="1082">
                  <c:v>4.8199999999998582</c:v>
                </c:pt>
                <c:pt idx="1083">
                  <c:v>4.829999999999858</c:v>
                </c:pt>
                <c:pt idx="1084">
                  <c:v>4.8399999999998577</c:v>
                </c:pt>
                <c:pt idx="1085">
                  <c:v>4.8499999999998575</c:v>
                </c:pt>
                <c:pt idx="1086">
                  <c:v>4.8599999999998573</c:v>
                </c:pt>
                <c:pt idx="1087">
                  <c:v>4.8699999999998571</c:v>
                </c:pt>
                <c:pt idx="1088">
                  <c:v>4.8799999999998569</c:v>
                </c:pt>
                <c:pt idx="1089">
                  <c:v>4.8899999999998567</c:v>
                </c:pt>
                <c:pt idx="1090">
                  <c:v>4.8999999999998565</c:v>
                </c:pt>
                <c:pt idx="1091">
                  <c:v>4.9099999999998563</c:v>
                </c:pt>
                <c:pt idx="1092">
                  <c:v>4.919999999999856</c:v>
                </c:pt>
                <c:pt idx="1093">
                  <c:v>4.9299999999998558</c:v>
                </c:pt>
                <c:pt idx="1094">
                  <c:v>4.9399999999998556</c:v>
                </c:pt>
                <c:pt idx="1095">
                  <c:v>4.9499999999998554</c:v>
                </c:pt>
                <c:pt idx="1096">
                  <c:v>4.9599999999998552</c:v>
                </c:pt>
                <c:pt idx="1097">
                  <c:v>4.969999999999855</c:v>
                </c:pt>
                <c:pt idx="1098">
                  <c:v>4.9799999999998548</c:v>
                </c:pt>
                <c:pt idx="1099">
                  <c:v>4.9899999999998546</c:v>
                </c:pt>
                <c:pt idx="1100">
                  <c:v>4.9999999999998543</c:v>
                </c:pt>
                <c:pt idx="1101">
                  <c:v>5.0099999999998541</c:v>
                </c:pt>
                <c:pt idx="1102">
                  <c:v>5.0199999999998539</c:v>
                </c:pt>
                <c:pt idx="1103">
                  <c:v>5.0299999999998537</c:v>
                </c:pt>
                <c:pt idx="1104">
                  <c:v>5.0399999999998535</c:v>
                </c:pt>
                <c:pt idx="1105">
                  <c:v>5.0499999999998533</c:v>
                </c:pt>
                <c:pt idx="1106">
                  <c:v>5.0599999999998531</c:v>
                </c:pt>
                <c:pt idx="1107">
                  <c:v>5.0699999999998528</c:v>
                </c:pt>
                <c:pt idx="1108">
                  <c:v>5.0799999999998526</c:v>
                </c:pt>
                <c:pt idx="1109">
                  <c:v>5.0899999999998524</c:v>
                </c:pt>
                <c:pt idx="1110">
                  <c:v>5.0999999999998522</c:v>
                </c:pt>
                <c:pt idx="1111">
                  <c:v>5.109999999999852</c:v>
                </c:pt>
                <c:pt idx="1112">
                  <c:v>5.1199999999998518</c:v>
                </c:pt>
                <c:pt idx="1113">
                  <c:v>5.1299999999998516</c:v>
                </c:pt>
                <c:pt idx="1114">
                  <c:v>5.1399999999998514</c:v>
                </c:pt>
                <c:pt idx="1115">
                  <c:v>5.1499999999998511</c:v>
                </c:pt>
                <c:pt idx="1116">
                  <c:v>5.1599999999998509</c:v>
                </c:pt>
                <c:pt idx="1117">
                  <c:v>5.1699999999998507</c:v>
                </c:pt>
                <c:pt idx="1118">
                  <c:v>5.1799999999998505</c:v>
                </c:pt>
                <c:pt idx="1119">
                  <c:v>5.1899999999998503</c:v>
                </c:pt>
                <c:pt idx="1120">
                  <c:v>5.1999999999998501</c:v>
                </c:pt>
                <c:pt idx="1121">
                  <c:v>5.2099999999998499</c:v>
                </c:pt>
                <c:pt idx="1122">
                  <c:v>5.2199999999998496</c:v>
                </c:pt>
                <c:pt idx="1123">
                  <c:v>5.2299999999998494</c:v>
                </c:pt>
                <c:pt idx="1124">
                  <c:v>5.2399999999998492</c:v>
                </c:pt>
                <c:pt idx="1125">
                  <c:v>5.249999999999849</c:v>
                </c:pt>
                <c:pt idx="1126">
                  <c:v>5.2599999999998488</c:v>
                </c:pt>
                <c:pt idx="1127">
                  <c:v>5.2699999999998486</c:v>
                </c:pt>
                <c:pt idx="1128">
                  <c:v>5.2799999999998484</c:v>
                </c:pt>
                <c:pt idx="1129">
                  <c:v>5.2899999999998482</c:v>
                </c:pt>
                <c:pt idx="1130">
                  <c:v>5.2999999999998479</c:v>
                </c:pt>
                <c:pt idx="1131">
                  <c:v>5.3099999999998477</c:v>
                </c:pt>
                <c:pt idx="1132">
                  <c:v>5.3199999999998475</c:v>
                </c:pt>
                <c:pt idx="1133">
                  <c:v>5.3299999999998473</c:v>
                </c:pt>
                <c:pt idx="1134">
                  <c:v>5.3399999999998471</c:v>
                </c:pt>
                <c:pt idx="1135">
                  <c:v>5.3499999999998469</c:v>
                </c:pt>
                <c:pt idx="1136">
                  <c:v>5.3599999999998467</c:v>
                </c:pt>
                <c:pt idx="1137">
                  <c:v>5.3699999999998465</c:v>
                </c:pt>
                <c:pt idx="1138">
                  <c:v>5.3799999999998462</c:v>
                </c:pt>
                <c:pt idx="1139">
                  <c:v>5.389999999999846</c:v>
                </c:pt>
                <c:pt idx="1140">
                  <c:v>5.3999999999998458</c:v>
                </c:pt>
                <c:pt idx="1141">
                  <c:v>5.4099999999998456</c:v>
                </c:pt>
                <c:pt idx="1142">
                  <c:v>5.4199999999998454</c:v>
                </c:pt>
                <c:pt idx="1143">
                  <c:v>5.4299999999998452</c:v>
                </c:pt>
                <c:pt idx="1144">
                  <c:v>5.439999999999845</c:v>
                </c:pt>
                <c:pt idx="1145">
                  <c:v>5.4499999999998447</c:v>
                </c:pt>
                <c:pt idx="1146">
                  <c:v>5.4599999999998445</c:v>
                </c:pt>
                <c:pt idx="1147">
                  <c:v>5.4699999999998443</c:v>
                </c:pt>
                <c:pt idx="1148">
                  <c:v>5.4799999999998441</c:v>
                </c:pt>
                <c:pt idx="1149">
                  <c:v>5.4899999999998439</c:v>
                </c:pt>
                <c:pt idx="1150">
                  <c:v>5.4999999999998437</c:v>
                </c:pt>
                <c:pt idx="1151">
                  <c:v>5.5099999999998435</c:v>
                </c:pt>
                <c:pt idx="1152">
                  <c:v>5.5199999999998433</c:v>
                </c:pt>
                <c:pt idx="1153">
                  <c:v>5.529999999999843</c:v>
                </c:pt>
                <c:pt idx="1154">
                  <c:v>5.5399999999998428</c:v>
                </c:pt>
                <c:pt idx="1155">
                  <c:v>5.5499999999998426</c:v>
                </c:pt>
                <c:pt idx="1156">
                  <c:v>5.5599999999998424</c:v>
                </c:pt>
                <c:pt idx="1157">
                  <c:v>5.5699999999998422</c:v>
                </c:pt>
                <c:pt idx="1158">
                  <c:v>5.579999999999842</c:v>
                </c:pt>
                <c:pt idx="1159">
                  <c:v>5.5899999999998418</c:v>
                </c:pt>
                <c:pt idx="1160">
                  <c:v>5.5999999999998415</c:v>
                </c:pt>
                <c:pt idx="1161">
                  <c:v>5.6099999999998413</c:v>
                </c:pt>
                <c:pt idx="1162">
                  <c:v>5.6199999999998411</c:v>
                </c:pt>
                <c:pt idx="1163">
                  <c:v>5.6299999999998409</c:v>
                </c:pt>
                <c:pt idx="1164">
                  <c:v>5.6399999999998407</c:v>
                </c:pt>
                <c:pt idx="1165">
                  <c:v>5.6499999999998405</c:v>
                </c:pt>
                <c:pt idx="1166">
                  <c:v>5.6599999999998403</c:v>
                </c:pt>
                <c:pt idx="1167">
                  <c:v>5.6699999999998401</c:v>
                </c:pt>
                <c:pt idx="1168">
                  <c:v>5.6799999999998398</c:v>
                </c:pt>
                <c:pt idx="1169">
                  <c:v>5.6899999999998396</c:v>
                </c:pt>
                <c:pt idx="1170">
                  <c:v>5.6999999999998394</c:v>
                </c:pt>
                <c:pt idx="1171">
                  <c:v>5.7099999999998392</c:v>
                </c:pt>
                <c:pt idx="1172">
                  <c:v>5.719999999999839</c:v>
                </c:pt>
                <c:pt idx="1173">
                  <c:v>5.7299999999998388</c:v>
                </c:pt>
                <c:pt idx="1174">
                  <c:v>5.7399999999998386</c:v>
                </c:pt>
                <c:pt idx="1175">
                  <c:v>5.7499999999998384</c:v>
                </c:pt>
                <c:pt idx="1176">
                  <c:v>5.7599999999998381</c:v>
                </c:pt>
                <c:pt idx="1177">
                  <c:v>5.7699999999998379</c:v>
                </c:pt>
                <c:pt idx="1178">
                  <c:v>5.7799999999998377</c:v>
                </c:pt>
                <c:pt idx="1179">
                  <c:v>5.7899999999998375</c:v>
                </c:pt>
                <c:pt idx="1180">
                  <c:v>5.7999999999998373</c:v>
                </c:pt>
                <c:pt idx="1181">
                  <c:v>5.8099999999998371</c:v>
                </c:pt>
                <c:pt idx="1182">
                  <c:v>5.8199999999998369</c:v>
                </c:pt>
                <c:pt idx="1183">
                  <c:v>5.8299999999998366</c:v>
                </c:pt>
                <c:pt idx="1184">
                  <c:v>5.8399999999998364</c:v>
                </c:pt>
                <c:pt idx="1185">
                  <c:v>5.8499999999998362</c:v>
                </c:pt>
                <c:pt idx="1186">
                  <c:v>5.859999999999836</c:v>
                </c:pt>
                <c:pt idx="1187">
                  <c:v>5.8699999999998358</c:v>
                </c:pt>
                <c:pt idx="1188">
                  <c:v>5.8799999999998356</c:v>
                </c:pt>
                <c:pt idx="1189">
                  <c:v>5.8899999999998354</c:v>
                </c:pt>
                <c:pt idx="1190">
                  <c:v>5.8999999999998352</c:v>
                </c:pt>
                <c:pt idx="1191">
                  <c:v>5.9099999999998349</c:v>
                </c:pt>
                <c:pt idx="1192">
                  <c:v>5.9199999999998347</c:v>
                </c:pt>
                <c:pt idx="1193">
                  <c:v>5.9299999999998345</c:v>
                </c:pt>
                <c:pt idx="1194">
                  <c:v>5.9399999999998343</c:v>
                </c:pt>
                <c:pt idx="1195">
                  <c:v>5.9499999999998341</c:v>
                </c:pt>
                <c:pt idx="1196">
                  <c:v>5.9599999999998339</c:v>
                </c:pt>
                <c:pt idx="1197">
                  <c:v>5.9699999999998337</c:v>
                </c:pt>
                <c:pt idx="1198">
                  <c:v>5.9799999999998334</c:v>
                </c:pt>
                <c:pt idx="1199">
                  <c:v>5.9899999999998332</c:v>
                </c:pt>
                <c:pt idx="1200">
                  <c:v>5.999999999999833</c:v>
                </c:pt>
              </c:numCache>
            </c:numRef>
          </c:xVal>
          <c:yVal>
            <c:numRef>
              <c:f>Normal!$BD$21:$BD$1221</c:f>
              <c:numCache>
                <c:formatCode>General</c:formatCode>
                <c:ptCount val="1201"/>
                <c:pt idx="0">
                  <c:v>6.0758828498232853E-9</c:v>
                </c:pt>
                <c:pt idx="1">
                  <c:v>6.4512718908117505E-9</c:v>
                </c:pt>
                <c:pt idx="2">
                  <c:v>6.8491688129857578E-9</c:v>
                </c:pt>
                <c:pt idx="3">
                  <c:v>7.2708798119000543E-9</c:v>
                </c:pt>
                <c:pt idx="4">
                  <c:v>7.7177842125704726E-9</c:v>
                </c:pt>
                <c:pt idx="5">
                  <c:v>8.1913384034791439E-9</c:v>
                </c:pt>
                <c:pt idx="6">
                  <c:v>8.693079972880142E-9</c:v>
                </c:pt>
                <c:pt idx="7">
                  <c:v>9.2246320572826198E-9</c:v>
                </c:pt>
                <c:pt idx="8">
                  <c:v>9.7877079124410719E-9</c:v>
                </c:pt>
                <c:pt idx="9">
                  <c:v>1.0384115717656214E-8</c:v>
                </c:pt>
                <c:pt idx="10">
                  <c:v>1.1015763624682189E-8</c:v>
                </c:pt>
                <c:pt idx="11">
                  <c:v>1.1684665063049702E-8</c:v>
                </c:pt>
                <c:pt idx="12">
                  <c:v>1.2392944314149906E-8</c:v>
                </c:pt>
                <c:pt idx="13">
                  <c:v>1.3142842366981953E-8</c:v>
                </c:pt>
                <c:pt idx="14">
                  <c:v>1.3936723069047191E-8</c:v>
                </c:pt>
                <c:pt idx="15">
                  <c:v>1.4777079586479737E-8</c:v>
                </c:pt>
                <c:pt idx="16">
                  <c:v>1.5666541188132235E-8</c:v>
                </c:pt>
                <c:pt idx="17">
                  <c:v>1.6607880368991689E-8</c:v>
                </c:pt>
                <c:pt idx="18">
                  <c:v>1.7604020328985466E-8</c:v>
                </c:pt>
                <c:pt idx="19">
                  <c:v>1.8658042823945709E-8</c:v>
                </c:pt>
                <c:pt idx="20">
                  <c:v>1.9773196406244176E-8</c:v>
                </c:pt>
                <c:pt idx="21">
                  <c:v>2.0952905073376448E-8</c:v>
                </c:pt>
                <c:pt idx="22">
                  <c:v>2.2200777343578378E-8</c:v>
                </c:pt>
                <c:pt idx="23">
                  <c:v>2.3520615778390081E-8</c:v>
                </c:pt>
                <c:pt idx="24">
                  <c:v>2.4916426972950188E-8</c:v>
                </c:pt>
                <c:pt idx="25">
                  <c:v>2.6392432035704888E-8</c:v>
                </c:pt>
                <c:pt idx="26">
                  <c:v>2.7953077580153754E-8</c:v>
                </c:pt>
                <c:pt idx="27">
                  <c:v>2.9603047252229099E-8</c:v>
                </c:pt>
                <c:pt idx="28">
                  <c:v>3.1347273817918672E-8</c:v>
                </c:pt>
                <c:pt idx="29">
                  <c:v>3.3190951836794195E-8</c:v>
                </c:pt>
                <c:pt idx="30">
                  <c:v>3.513955094820309E-8</c:v>
                </c:pt>
                <c:pt idx="31">
                  <c:v>3.719882979801471E-8</c:v>
                </c:pt>
                <c:pt idx="32">
                  <c:v>3.9374850634996962E-8</c:v>
                </c:pt>
                <c:pt idx="33">
                  <c:v>4.1673994607121722E-8</c:v>
                </c:pt>
                <c:pt idx="34">
                  <c:v>4.4102977789371349E-8</c:v>
                </c:pt>
                <c:pt idx="35">
                  <c:v>4.6668867975940648E-8</c:v>
                </c:pt>
                <c:pt idx="36">
                  <c:v>4.9379102271102286E-8</c:v>
                </c:pt>
                <c:pt idx="37">
                  <c:v>5.2241505514422051E-8</c:v>
                </c:pt>
                <c:pt idx="38">
                  <c:v>5.5264309577494689E-8</c:v>
                </c:pt>
                <c:pt idx="39">
                  <c:v>5.8456173570897893E-8</c:v>
                </c:pt>
                <c:pt idx="40">
                  <c:v>6.1826205001655489E-8</c:v>
                </c:pt>
                <c:pt idx="41">
                  <c:v>6.5383981923148184E-8</c:v>
                </c:pt>
                <c:pt idx="42">
                  <c:v>6.9139576121120543E-8</c:v>
                </c:pt>
                <c:pt idx="43">
                  <c:v>7.3103577381205687E-8</c:v>
                </c:pt>
                <c:pt idx="44">
                  <c:v>7.7287118885224935E-8</c:v>
                </c:pt>
                <c:pt idx="45">
                  <c:v>8.1701903785427822E-8</c:v>
                </c:pt>
                <c:pt idx="46">
                  <c:v>8.6360233007805262E-8</c:v>
                </c:pt>
                <c:pt idx="47">
                  <c:v>9.1275034337659897E-8</c:v>
                </c:pt>
                <c:pt idx="48">
                  <c:v>9.6459892842728164E-8</c:v>
                </c:pt>
                <c:pt idx="49">
                  <c:v>1.0192908269134693E-7</c:v>
                </c:pt>
                <c:pt idx="50">
                  <c:v>1.0769760042542645E-7</c:v>
                </c:pt>
                <c:pt idx="51">
                  <c:v>1.1378119975033922E-7</c:v>
                </c:pt>
                <c:pt idx="52">
                  <c:v>1.2019642790627524E-7</c:v>
                </c:pt>
                <c:pt idx="53">
                  <c:v>1.2696066368812117E-7</c:v>
                </c:pt>
                <c:pt idx="54">
                  <c:v>1.3409215718353893E-7</c:v>
                </c:pt>
                <c:pt idx="55">
                  <c:v>1.4161007130160268E-7</c:v>
                </c:pt>
                <c:pt idx="56">
                  <c:v>1.4953452516714987E-7</c:v>
                </c:pt>
                <c:pt idx="57">
                  <c:v>1.5788663945887994E-7</c:v>
                </c:pt>
                <c:pt idx="58">
                  <c:v>1.66688583772217E-7</c:v>
                </c:pt>
                <c:pt idx="59">
                  <c:v>1.7596362609103401E-7</c:v>
                </c:pt>
                <c:pt idx="60">
                  <c:v>1.8573618445551639E-7</c:v>
                </c:pt>
                <c:pt idx="61">
                  <c:v>1.9603188091674326E-7</c:v>
                </c:pt>
                <c:pt idx="62">
                  <c:v>2.0687759787195041E-7</c:v>
                </c:pt>
                <c:pt idx="63">
                  <c:v>2.1830153687796297E-7</c:v>
                </c:pt>
                <c:pt idx="64">
                  <c:v>2.3033328004390427E-7</c:v>
                </c:pt>
                <c:pt idx="65">
                  <c:v>2.4300385410803492E-7</c:v>
                </c:pt>
                <c:pt idx="66">
                  <c:v>2.563457973074397E-7</c:v>
                </c:pt>
                <c:pt idx="67">
                  <c:v>2.7039322915327235E-7</c:v>
                </c:pt>
                <c:pt idx="68">
                  <c:v>2.8518192322837581E-7</c:v>
                </c:pt>
                <c:pt idx="69">
                  <c:v>3.0074938312835919E-7</c:v>
                </c:pt>
                <c:pt idx="70">
                  <c:v>3.1713492167157213E-7</c:v>
                </c:pt>
                <c:pt idx="71">
                  <c:v>3.3437974350795325E-7</c:v>
                </c:pt>
                <c:pt idx="72">
                  <c:v>3.525270312613756E-7</c:v>
                </c:pt>
                <c:pt idx="73">
                  <c:v>3.7162203534491956E-7</c:v>
                </c:pt>
                <c:pt idx="74">
                  <c:v>3.9171216759344815E-7</c:v>
                </c:pt>
                <c:pt idx="75">
                  <c:v>4.1284709886296532E-7</c:v>
                </c:pt>
                <c:pt idx="76">
                  <c:v>4.350788607514745E-7</c:v>
                </c:pt>
                <c:pt idx="77">
                  <c:v>4.5846195160149453E-7</c:v>
                </c:pt>
                <c:pt idx="78">
                  <c:v>4.830534469499253E-7</c:v>
                </c:pt>
                <c:pt idx="79">
                  <c:v>5.0891311459672057E-7</c:v>
                </c:pt>
                <c:pt idx="80">
                  <c:v>5.3610353446971465E-7</c:v>
                </c:pt>
                <c:pt idx="81">
                  <c:v>5.6469022346902573E-7</c:v>
                </c:pt>
                <c:pt idx="82">
                  <c:v>5.9474176548072136E-7</c:v>
                </c:pt>
                <c:pt idx="83">
                  <c:v>6.2632994675583231E-7</c:v>
                </c:pt>
                <c:pt idx="84">
                  <c:v>6.5952989685746175E-7</c:v>
                </c:pt>
                <c:pt idx="85">
                  <c:v>6.9442023538547093E-7</c:v>
                </c:pt>
                <c:pt idx="86">
                  <c:v>7.3108322469528001E-7</c:v>
                </c:pt>
                <c:pt idx="87">
                  <c:v>7.6960492883444052E-7</c:v>
                </c:pt>
                <c:pt idx="88">
                  <c:v>8.1007537892805665E-7</c:v>
                </c:pt>
                <c:pt idx="89">
                  <c:v>8.5258874525170403E-7</c:v>
                </c:pt>
                <c:pt idx="90">
                  <c:v>8.9724351623824438E-7</c:v>
                </c:pt>
                <c:pt idx="91">
                  <c:v>9.4414268467299333E-7</c:v>
                </c:pt>
                <c:pt idx="92">
                  <c:v>9.9339394133981313E-7</c:v>
                </c:pt>
                <c:pt idx="93">
                  <c:v>1.0451098763892137E-6</c:v>
                </c:pt>
                <c:pt idx="94">
                  <c:v>1.0994081887080917E-6</c:v>
                </c:pt>
                <c:pt idx="95">
                  <c:v>1.156411903579664E-6</c:v>
                </c:pt>
                <c:pt idx="96">
                  <c:v>1.2162495989311927E-6</c:v>
                </c:pt>
                <c:pt idx="97">
                  <c:v>1.2790556404764422E-6</c:v>
                </c:pt>
                <c:pt idx="98">
                  <c:v>1.344970426069301E-6</c:v>
                </c:pt>
                <c:pt idx="99">
                  <c:v>1.4141406395948527E-6</c:v>
                </c:pt>
                <c:pt idx="100">
                  <c:v>1.4867195147341391E-6</c:v>
                </c:pt>
                <c:pt idx="101">
                  <c:v>1.5628671089491233E-6</c:v>
                </c:pt>
                <c:pt idx="102">
                  <c:v>1.642750588044896E-6</c:v>
                </c:pt>
                <c:pt idx="103">
                  <c:v>1.726544521676883E-6</c:v>
                </c:pt>
                <c:pt idx="104">
                  <c:v>1.8144311901818304E-6</c:v>
                </c:pt>
                <c:pt idx="105">
                  <c:v>1.9066009031226007E-6</c:v>
                </c:pt>
                <c:pt idx="106">
                  <c:v>2.0032523299482683E-6</c:v>
                </c:pt>
                <c:pt idx="107">
                  <c:v>2.1045928431828902E-6</c:v>
                </c:pt>
                <c:pt idx="108">
                  <c:v>2.2108388745681696E-6</c:v>
                </c:pt>
                <c:pt idx="109">
                  <c:v>2.3222162845977327E-6</c:v>
                </c:pt>
                <c:pt idx="110">
                  <c:v>2.438960745893079E-6</c:v>
                </c:pt>
                <c:pt idx="111">
                  <c:v>2.5613181408842436E-6</c:v>
                </c:pt>
                <c:pt idx="112">
                  <c:v>2.6895449742712074E-6</c:v>
                </c:pt>
                <c:pt idx="113">
                  <c:v>2.8239088007554944E-6</c:v>
                </c:pt>
                <c:pt idx="114">
                  <c:v>2.9646886685449248E-6</c:v>
                </c:pt>
                <c:pt idx="115">
                  <c:v>3.1121755791485684E-6</c:v>
                </c:pt>
                <c:pt idx="116">
                  <c:v>3.26667296399288E-6</c:v>
                </c:pt>
                <c:pt idx="117">
                  <c:v>3.4284971784046243E-6</c:v>
                </c:pt>
                <c:pt idx="118">
                  <c:v>3.5979780135208121E-6</c:v>
                </c:pt>
                <c:pt idx="119">
                  <c:v>3.7754592267008785E-6</c:v>
                </c:pt>
                <c:pt idx="120">
                  <c:v>3.96129909103159E-6</c:v>
                </c:pt>
                <c:pt idx="121">
                  <c:v>4.1558709645306835E-6</c:v>
                </c:pt>
                <c:pt idx="122">
                  <c:v>4.3595638796710937E-6</c:v>
                </c:pt>
                <c:pt idx="123">
                  <c:v>4.5727831538635669E-6</c:v>
                </c:pt>
                <c:pt idx="124">
                  <c:v>4.7959510215519161E-6</c:v>
                </c:pt>
                <c:pt idx="125">
                  <c:v>5.0295072885918101E-6</c:v>
                </c:pt>
                <c:pt idx="126">
                  <c:v>5.2739100096006385E-6</c:v>
                </c:pt>
                <c:pt idx="127">
                  <c:v>5.5296361889833535E-6</c:v>
                </c:pt>
                <c:pt idx="128">
                  <c:v>5.797182506356534E-6</c:v>
                </c:pt>
                <c:pt idx="129">
                  <c:v>6.0770660671103265E-6</c:v>
                </c:pt>
                <c:pt idx="130">
                  <c:v>6.369825178866275E-6</c:v>
                </c:pt>
                <c:pt idx="131">
                  <c:v>6.6760201546065952E-6</c:v>
                </c:pt>
                <c:pt idx="132">
                  <c:v>6.9962341432694716E-6</c:v>
                </c:pt>
                <c:pt idx="133">
                  <c:v>7.3310739886229666E-6</c:v>
                </c:pt>
                <c:pt idx="134">
                  <c:v>7.6811711172494457E-6</c:v>
                </c:pt>
                <c:pt idx="135">
                  <c:v>8.0471824564912195E-6</c:v>
                </c:pt>
                <c:pt idx="136">
                  <c:v>8.4297913832276333E-6</c:v>
                </c:pt>
                <c:pt idx="137">
                  <c:v>8.8297087043728882E-6</c:v>
                </c:pt>
                <c:pt idx="138">
                  <c:v>9.2476736700043681E-6</c:v>
                </c:pt>
                <c:pt idx="139">
                  <c:v>9.6844550200501275E-6</c:v>
                </c:pt>
                <c:pt idx="140">
                  <c:v>1.0140852065485354E-5</c:v>
                </c:pt>
                <c:pt idx="141">
                  <c:v>1.0617695805006919E-5</c:v>
                </c:pt>
                <c:pt idx="142">
                  <c:v>1.1115850078176247E-5</c:v>
                </c:pt>
                <c:pt idx="143">
                  <c:v>1.1636212756041055E-5</c:v>
                </c:pt>
                <c:pt idx="144">
                  <c:v>1.2179716970266988E-5</c:v>
                </c:pt>
                <c:pt idx="145">
                  <c:v>1.274733238183165E-5</c:v>
                </c:pt>
                <c:pt idx="146">
                  <c:v>1.3340066490353941E-5</c:v>
                </c:pt>
                <c:pt idx="147">
                  <c:v>1.3958965985152786E-5</c:v>
                </c:pt>
                <c:pt idx="148">
                  <c:v>1.4605118139150813E-5</c:v>
                </c:pt>
                <c:pt idx="149">
                  <c:v>1.5279652246759421E-5</c:v>
                </c:pt>
                <c:pt idx="150">
                  <c:v>1.5983741106903174E-5</c:v>
                </c:pt>
                <c:pt idx="151">
                  <c:v>1.6718602552362692E-5</c:v>
                </c:pt>
                <c:pt idx="152">
                  <c:v>1.7485501026636618E-5</c:v>
                </c:pt>
                <c:pt idx="153">
                  <c:v>1.828574920954468E-5</c:v>
                </c:pt>
                <c:pt idx="154">
                  <c:v>1.9120709692814949E-5</c:v>
                </c:pt>
                <c:pt idx="155">
                  <c:v>1.9991796706919877E-5</c:v>
                </c:pt>
                <c:pt idx="156">
                  <c:v>2.0900477900447358E-5</c:v>
                </c:pt>
                <c:pt idx="157">
                  <c:v>2.1848276173313207E-5</c:v>
                </c:pt>
                <c:pt idx="158">
                  <c:v>2.2836771565143512E-5</c:v>
                </c:pt>
                <c:pt idx="159">
                  <c:v>2.3867603200176034E-5</c:v>
                </c:pt>
                <c:pt idx="160">
                  <c:v>2.4942471290049805E-5</c:v>
                </c:pt>
                <c:pt idx="161">
                  <c:v>2.6063139195874405E-5</c:v>
                </c:pt>
                <c:pt idx="162">
                  <c:v>2.7231435550988492E-5</c:v>
                </c:pt>
                <c:pt idx="163">
                  <c:v>2.8449256445840005E-5</c:v>
                </c:pt>
                <c:pt idx="164">
                  <c:v>2.9718567676437706E-5</c:v>
                </c:pt>
                <c:pt idx="165">
                  <c:v>3.1041407057845469E-5</c:v>
                </c:pt>
                <c:pt idx="166">
                  <c:v>3.2419886804208763E-5</c:v>
                </c:pt>
                <c:pt idx="167">
                  <c:v>3.385619597682265E-5</c:v>
                </c:pt>
                <c:pt idx="168">
                  <c:v>3.5352603001767628E-5</c:v>
                </c:pt>
                <c:pt idx="169">
                  <c:v>3.6911458258660422E-5</c:v>
                </c:pt>
                <c:pt idx="170">
                  <c:v>3.8535196742081105E-5</c:v>
                </c:pt>
                <c:pt idx="171">
                  <c:v>4.0226340797258676E-5</c:v>
                </c:pt>
                <c:pt idx="172">
                  <c:v>4.1987502931610749E-5</c:v>
                </c:pt>
                <c:pt idx="173">
                  <c:v>4.3821388703751186E-5</c:v>
                </c:pt>
                <c:pt idx="174">
                  <c:v>4.5730799691593995E-5</c:v>
                </c:pt>
                <c:pt idx="175">
                  <c:v>4.7718636541197396E-5</c:v>
                </c:pt>
                <c:pt idx="176">
                  <c:v>4.9787902098004209E-5</c:v>
                </c:pt>
                <c:pt idx="177">
                  <c:v>5.1941704622151557E-5</c:v>
                </c:pt>
                <c:pt idx="178">
                  <c:v>5.4183261089531471E-5</c:v>
                </c:pt>
                <c:pt idx="179">
                  <c:v>5.6515900580298361E-5</c:v>
                </c:pt>
                <c:pt idx="180">
                  <c:v>5.8943067756530321E-5</c:v>
                </c:pt>
                <c:pt idx="181">
                  <c:v>6.1468326430759378E-5</c:v>
                </c:pt>
                <c:pt idx="182">
                  <c:v>6.4095363227095606E-5</c:v>
                </c:pt>
                <c:pt idx="183">
                  <c:v>6.6827991336679686E-5</c:v>
                </c:pt>
                <c:pt idx="184">
                  <c:v>6.9670154369203051E-5</c:v>
                </c:pt>
                <c:pt idx="185">
                  <c:v>7.2625930302240587E-5</c:v>
                </c:pt>
                <c:pt idx="186">
                  <c:v>7.5699535530148704E-5</c:v>
                </c:pt>
                <c:pt idx="187">
                  <c:v>7.889532901428005E-5</c:v>
                </c:pt>
                <c:pt idx="188">
                  <c:v>8.221781653627241E-5</c:v>
                </c:pt>
                <c:pt idx="189">
                  <c:v>8.5671655056167851E-5</c:v>
                </c:pt>
                <c:pt idx="190">
                  <c:v>8.9261657177118006E-5</c:v>
                </c:pt>
                <c:pt idx="191">
                  <c:v>9.2992795718430362E-5</c:v>
                </c:pt>
                <c:pt idx="192">
                  <c:v>9.6870208398703079E-5</c:v>
                </c:pt>
                <c:pt idx="193">
                  <c:v>1.0089920263079756E-4</c:v>
                </c:pt>
                <c:pt idx="194">
                  <c:v>1.0508526043038254E-4</c:v>
                </c:pt>
                <c:pt idx="195">
                  <c:v>1.0943404343978207E-4</c:v>
                </c:pt>
                <c:pt idx="196">
                  <c:v>1.1395139806884536E-4</c:v>
                </c:pt>
                <c:pt idx="197">
                  <c:v>1.1864336075454596E-4</c:v>
                </c:pt>
                <c:pt idx="198">
                  <c:v>1.2351616334100237E-4</c:v>
                </c:pt>
                <c:pt idx="199">
                  <c:v>1.2857623858159912E-4</c:v>
                </c:pt>
                <c:pt idx="200">
                  <c:v>1.3383022576486252E-4</c:v>
                </c:pt>
                <c:pt idx="201">
                  <c:v>1.3928497646573614E-4</c:v>
                </c:pt>
                <c:pt idx="202">
                  <c:v>1.4494756042386617E-4</c:v>
                </c:pt>
                <c:pt idx="203">
                  <c:v>1.5082527155049191E-4</c:v>
                </c:pt>
                <c:pt idx="204">
                  <c:v>1.5692563406550521E-4</c:v>
                </c:pt>
                <c:pt idx="205">
                  <c:v>1.6325640876621385E-4</c:v>
                </c:pt>
                <c:pt idx="206">
                  <c:v>1.6982559942931415E-4</c:v>
                </c:pt>
                <c:pt idx="207">
                  <c:v>1.7664145934754029E-4</c:v>
                </c:pt>
                <c:pt idx="208">
                  <c:v>1.837124980024251E-4</c:v>
                </c:pt>
                <c:pt idx="209">
                  <c:v>1.9104748787456449E-4</c:v>
                </c:pt>
                <c:pt idx="210">
                  <c:v>1.9865547139273792E-4</c:v>
                </c:pt>
                <c:pt idx="211">
                  <c:v>2.0654576802318949E-4</c:v>
                </c:pt>
                <c:pt idx="212">
                  <c:v>2.1472798150032926E-4</c:v>
                </c:pt>
                <c:pt idx="213">
                  <c:v>2.2321200720006276E-4</c:v>
                </c:pt>
                <c:pt idx="214">
                  <c:v>2.3200803965690134E-4</c:v>
                </c:pt>
                <c:pt idx="215">
                  <c:v>2.4112658022595082E-4</c:v>
                </c:pt>
                <c:pt idx="216">
                  <c:v>2.5057844489081646E-4</c:v>
                </c:pt>
                <c:pt idx="217">
                  <c:v>2.6037477221839639E-4</c:v>
                </c:pt>
                <c:pt idx="218">
                  <c:v>2.7052703146147292E-4</c:v>
                </c:pt>
                <c:pt idx="219">
                  <c:v>2.8104703080993634E-4</c:v>
                </c:pt>
                <c:pt idx="220">
                  <c:v>2.9194692579140812E-4</c:v>
                </c:pt>
                <c:pt idx="221">
                  <c:v>3.0323922782195001E-4</c:v>
                </c:pt>
                <c:pt idx="222">
                  <c:v>3.1493681290746528E-4</c:v>
                </c:pt>
                <c:pt idx="223">
                  <c:v>3.2705293049631627E-4</c:v>
                </c:pt>
                <c:pt idx="224">
                  <c:v>3.3960121248359352E-4</c:v>
                </c:pt>
                <c:pt idx="225">
                  <c:v>3.5259568236738209E-4</c:v>
                </c:pt>
                <c:pt idx="226">
                  <c:v>3.6605076455726925E-4</c:v>
                </c:pt>
                <c:pt idx="227">
                  <c:v>3.7998129383525289E-4</c:v>
                </c:pt>
                <c:pt idx="228">
                  <c:v>3.9440252496908504E-4</c:v>
                </c:pt>
                <c:pt idx="229">
                  <c:v>4.0933014247800456E-4</c:v>
                </c:pt>
                <c:pt idx="230">
                  <c:v>4.247802705506744E-4</c:v>
                </c:pt>
                <c:pt idx="231">
                  <c:v>4.4076948311505218E-4</c:v>
                </c:pt>
                <c:pt idx="232">
                  <c:v>4.5731481405977348E-4</c:v>
                </c:pt>
                <c:pt idx="233">
                  <c:v>4.7443376760653423E-4</c:v>
                </c:pt>
                <c:pt idx="234">
                  <c:v>4.9214432883280346E-4</c:v>
                </c:pt>
                <c:pt idx="235">
                  <c:v>5.1046497434409214E-4</c:v>
                </c:pt>
                <c:pt idx="236">
                  <c:v>5.2941468309483772E-4</c:v>
                </c:pt>
                <c:pt idx="237">
                  <c:v>5.4901294735685766E-4</c:v>
                </c:pt>
                <c:pt idx="238">
                  <c:v>5.6927978383414788E-4</c:v>
                </c:pt>
                <c:pt idx="239">
                  <c:v>5.9023574492267697E-4</c:v>
                </c:pt>
                <c:pt idx="240">
                  <c:v>6.1190193011365936E-4</c:v>
                </c:pt>
                <c:pt idx="241">
                  <c:v>6.3429999753864029E-4</c:v>
                </c:pt>
                <c:pt idx="242">
                  <c:v>6.5745217565455491E-4</c:v>
                </c:pt>
                <c:pt idx="243">
                  <c:v>6.8138127506676559E-4</c:v>
                </c:pt>
                <c:pt idx="244">
                  <c:v>7.0611070048790566E-4</c:v>
                </c:pt>
                <c:pt idx="245">
                  <c:v>7.3166446283017494E-4</c:v>
                </c:pt>
                <c:pt idx="246">
                  <c:v>7.5806719142857012E-4</c:v>
                </c:pt>
                <c:pt idx="247">
                  <c:v>7.8534414639232328E-4</c:v>
                </c:pt>
                <c:pt idx="248">
                  <c:v>8.1352123108165662E-4</c:v>
                </c:pt>
                <c:pt idx="249">
                  <c:v>8.426250047067446E-4</c:v>
                </c:pt>
                <c:pt idx="250">
                  <c:v>8.726826950455972E-4</c:v>
                </c:pt>
                <c:pt idx="251">
                  <c:v>9.0372221127735578E-4</c:v>
                </c:pt>
                <c:pt idx="252">
                  <c:v>9.35772156927305E-4</c:v>
                </c:pt>
                <c:pt idx="253">
                  <c:v>9.6886184291966506E-4</c:v>
                </c:pt>
                <c:pt idx="254">
                  <c:v>1.0030213007340494E-3</c:v>
                </c:pt>
                <c:pt idx="255">
                  <c:v>1.0382812956612165E-3</c:v>
                </c:pt>
                <c:pt idx="256">
                  <c:v>1.0746733401535333E-3</c:v>
                </c:pt>
                <c:pt idx="257">
                  <c:v>1.1122297072653563E-3</c:v>
                </c:pt>
                <c:pt idx="258">
                  <c:v>1.1509834441782675E-3</c:v>
                </c:pt>
                <c:pt idx="259">
                  <c:v>1.1909683858058932E-3</c:v>
                </c:pt>
                <c:pt idx="260">
                  <c:v>1.2322191684727864E-3</c:v>
                </c:pt>
                <c:pt idx="261">
                  <c:v>1.2747712436615925E-3</c:v>
                </c:pt>
                <c:pt idx="262">
                  <c:v>1.3186608918224925E-3</c:v>
                </c:pt>
                <c:pt idx="263">
                  <c:v>1.3639252362386465E-3</c:v>
                </c:pt>
                <c:pt idx="264">
                  <c:v>1.4106022569411168E-3</c:v>
                </c:pt>
                <c:pt idx="265">
                  <c:v>1.4587308046664698E-3</c:v>
                </c:pt>
                <c:pt idx="266">
                  <c:v>1.5083506148500219E-3</c:v>
                </c:pt>
                <c:pt idx="267">
                  <c:v>1.5595023216473964E-3</c:v>
                </c:pt>
                <c:pt idx="268">
                  <c:v>1.612227471976818E-3</c:v>
                </c:pt>
                <c:pt idx="269">
                  <c:v>1.6665685395742642E-3</c:v>
                </c:pt>
                <c:pt idx="270">
                  <c:v>1.7225689390533523E-3</c:v>
                </c:pt>
                <c:pt idx="271">
                  <c:v>1.7802730399615401E-3</c:v>
                </c:pt>
                <c:pt idx="272">
                  <c:v>1.8397261808239293E-3</c:v>
                </c:pt>
                <c:pt idx="273">
                  <c:v>1.9009746831657188E-3</c:v>
                </c:pt>
                <c:pt idx="274">
                  <c:v>1.9640658655040006E-3</c:v>
                </c:pt>
                <c:pt idx="275">
                  <c:v>2.0290480572993821E-3</c:v>
                </c:pt>
                <c:pt idx="276">
                  <c:v>2.095970612857545E-3</c:v>
                </c:pt>
                <c:pt idx="277">
                  <c:v>2.1648839251706487E-3</c:v>
                </c:pt>
                <c:pt idx="278">
                  <c:v>2.2358394396881131E-3</c:v>
                </c:pt>
                <c:pt idx="279">
                  <c:v>2.3088896680060543E-3</c:v>
                </c:pt>
                <c:pt idx="280">
                  <c:v>2.3840882014643868E-3</c:v>
                </c:pt>
                <c:pt idx="281">
                  <c:v>2.4614897246402301E-3</c:v>
                </c:pt>
                <c:pt idx="282">
                  <c:v>2.5411500287260357E-3</c:v>
                </c:pt>
                <c:pt idx="283">
                  <c:v>2.6231260247805235E-3</c:v>
                </c:pt>
                <c:pt idx="284">
                  <c:v>2.7074757568401851E-3</c:v>
                </c:pt>
                <c:pt idx="285">
                  <c:v>2.7942584148789107E-3</c:v>
                </c:pt>
                <c:pt idx="286">
                  <c:v>2.883534347602888E-3</c:v>
                </c:pt>
                <c:pt idx="287">
                  <c:v>2.9753650750676823E-3</c:v>
                </c:pt>
                <c:pt idx="288">
                  <c:v>3.069813301104154E-3</c:v>
                </c:pt>
                <c:pt idx="289">
                  <c:v>3.1669429255394704E-3</c:v>
                </c:pt>
                <c:pt idx="290">
                  <c:v>3.2668190561992946E-3</c:v>
                </c:pt>
                <c:pt idx="291">
                  <c:v>3.3695080206768342E-3</c:v>
                </c:pt>
                <c:pt idx="292">
                  <c:v>3.4750773778542709E-3</c:v>
                </c:pt>
                <c:pt idx="293">
                  <c:v>3.5835959291616736E-3</c:v>
                </c:pt>
                <c:pt idx="294">
                  <c:v>3.6951337295583254E-3</c:v>
                </c:pt>
                <c:pt idx="295">
                  <c:v>3.8097620982210758E-3</c:v>
                </c:pt>
                <c:pt idx="296">
                  <c:v>3.9275536289240251E-3</c:v>
                </c:pt>
                <c:pt idx="297">
                  <c:v>4.0485822000936519E-3</c:v>
                </c:pt>
                <c:pt idx="298">
                  <c:v>4.1729229845231608E-3</c:v>
                </c:pt>
                <c:pt idx="299">
                  <c:v>4.3006524587296206E-3</c:v>
                </c:pt>
                <c:pt idx="300">
                  <c:v>4.4318484119371566E-3</c:v>
                </c:pt>
                <c:pt idx="301">
                  <c:v>4.5665899546692718E-3</c:v>
                </c:pt>
                <c:pt idx="302">
                  <c:v>4.7049575269330762E-3</c:v>
                </c:pt>
                <c:pt idx="303">
                  <c:v>4.8470329059780186E-3</c:v>
                </c:pt>
                <c:pt idx="304">
                  <c:v>4.992899213611417E-3</c:v>
                </c:pt>
                <c:pt idx="305">
                  <c:v>5.1426409230529513E-3</c:v>
                </c:pt>
                <c:pt idx="306">
                  <c:v>5.2963438653100027E-3</c:v>
                </c:pt>
                <c:pt idx="307">
                  <c:v>5.4540952350555037E-3</c:v>
                </c:pt>
                <c:pt idx="308">
                  <c:v>5.61598359598989E-3</c:v>
                </c:pt>
                <c:pt idx="309">
                  <c:v>5.782098885668367E-3</c:v>
                </c:pt>
                <c:pt idx="310">
                  <c:v>5.9525324197747115E-3</c:v>
                </c:pt>
                <c:pt idx="311">
                  <c:v>6.1273768958225111E-3</c:v>
                </c:pt>
                <c:pt idx="312">
                  <c:v>6.3067263962647167E-3</c:v>
                </c:pt>
                <c:pt idx="313">
                  <c:v>6.4906763909921231E-3</c:v>
                </c:pt>
                <c:pt idx="314">
                  <c:v>6.6793237392013391E-3</c:v>
                </c:pt>
                <c:pt idx="315">
                  <c:v>6.872766690612658E-3</c:v>
                </c:pt>
                <c:pt idx="316">
                  <c:v>7.0711048860180982E-3</c:v>
                </c:pt>
                <c:pt idx="317">
                  <c:v>7.2744393571398279E-3</c:v>
                </c:pt>
                <c:pt idx="318">
                  <c:v>7.4828725257791275E-3</c:v>
                </c:pt>
                <c:pt idx="319">
                  <c:v>7.6965082022358508E-3</c:v>
                </c:pt>
                <c:pt idx="320">
                  <c:v>7.9154515829784507E-3</c:v>
                </c:pt>
                <c:pt idx="321">
                  <c:v>8.1398092475444689E-3</c:v>
                </c:pt>
                <c:pt idx="322">
                  <c:v>8.3696891546514302E-3</c:v>
                </c:pt>
                <c:pt idx="323">
                  <c:v>8.6052006374980321E-3</c:v>
                </c:pt>
                <c:pt idx="324">
                  <c:v>8.8464543982355367E-3</c:v>
                </c:pt>
                <c:pt idx="325">
                  <c:v>9.0935625015893199E-3</c:v>
                </c:pt>
                <c:pt idx="326">
                  <c:v>9.3466383676105054E-3</c:v>
                </c:pt>
                <c:pt idx="327">
                  <c:v>9.6057967635377554E-3</c:v>
                </c:pt>
                <c:pt idx="328">
                  <c:v>9.8711537947492583E-3</c:v>
                </c:pt>
                <c:pt idx="329">
                  <c:v>1.0142826894785148E-2</c:v>
                </c:pt>
                <c:pt idx="330">
                  <c:v>1.0420934814420612E-2</c:v>
                </c:pt>
                <c:pt idx="331">
                  <c:v>1.0705597609770152E-2</c:v>
                </c:pt>
                <c:pt idx="332">
                  <c:v>1.099693662940349E-2</c:v>
                </c:pt>
                <c:pt idx="333">
                  <c:v>1.1295074500453993E-2</c:v>
                </c:pt>
                <c:pt idx="334">
                  <c:v>1.1600135113700366E-2</c:v>
                </c:pt>
                <c:pt idx="335">
                  <c:v>1.1912243607602924E-2</c:v>
                </c:pt>
                <c:pt idx="336">
                  <c:v>1.2231526351275661E-2</c:v>
                </c:pt>
                <c:pt idx="337">
                  <c:v>1.2558110926375834E-2</c:v>
                </c:pt>
                <c:pt idx="338">
                  <c:v>1.2892126107892874E-2</c:v>
                </c:pt>
                <c:pt idx="339">
                  <c:v>1.3233701843818868E-2</c:v>
                </c:pt>
                <c:pt idx="340">
                  <c:v>1.3582969233683054E-2</c:v>
                </c:pt>
                <c:pt idx="341">
                  <c:v>1.394006050593319E-2</c:v>
                </c:pt>
                <c:pt idx="342">
                  <c:v>1.4305108994147001E-2</c:v>
                </c:pt>
                <c:pt idx="343">
                  <c:v>1.4678249112057279E-2</c:v>
                </c:pt>
                <c:pt idx="344">
                  <c:v>1.5059616327374627E-2</c:v>
                </c:pt>
                <c:pt idx="345">
                  <c:v>1.544934713439227E-2</c:v>
                </c:pt>
                <c:pt idx="346">
                  <c:v>1.5847579025357845E-2</c:v>
                </c:pt>
                <c:pt idx="347">
                  <c:v>1.625445046059746E-2</c:v>
                </c:pt>
                <c:pt idx="348">
                  <c:v>1.6670100837377945E-2</c:v>
                </c:pt>
                <c:pt idx="349">
                  <c:v>1.7094670457493747E-2</c:v>
                </c:pt>
                <c:pt idx="350">
                  <c:v>1.7528300493565269E-2</c:v>
                </c:pt>
                <c:pt idx="351">
                  <c:v>1.7971132954036285E-2</c:v>
                </c:pt>
                <c:pt idx="352">
                  <c:v>1.8423310646858617E-2</c:v>
                </c:pt>
                <c:pt idx="353">
                  <c:v>1.8884977141852662E-2</c:v>
                </c:pt>
                <c:pt idx="354">
                  <c:v>1.9356276731733367E-2</c:v>
                </c:pt>
                <c:pt idx="355">
                  <c:v>1.9837354391791646E-2</c:v>
                </c:pt>
                <c:pt idx="356">
                  <c:v>2.032835573822207E-2</c:v>
                </c:pt>
                <c:pt idx="357">
                  <c:v>2.0829426985088335E-2</c:v>
                </c:pt>
                <c:pt idx="358">
                  <c:v>2.1340714899918838E-2</c:v>
                </c:pt>
                <c:pt idx="359">
                  <c:v>2.1862366757925352E-2</c:v>
                </c:pt>
                <c:pt idx="360">
                  <c:v>2.2394530294838771E-2</c:v>
                </c:pt>
                <c:pt idx="361">
                  <c:v>2.2937353658356474E-2</c:v>
                </c:pt>
                <c:pt idx="362">
                  <c:v>2.3490985358197044E-2</c:v>
                </c:pt>
                <c:pt idx="363">
                  <c:v>2.4055574214758554E-2</c:v>
                </c:pt>
                <c:pt idx="364">
                  <c:v>2.4631269306377986E-2</c:v>
                </c:pt>
                <c:pt idx="365">
                  <c:v>2.5218219915189771E-2</c:v>
                </c:pt>
                <c:pt idx="366">
                  <c:v>2.5816575471582965E-2</c:v>
                </c:pt>
                <c:pt idx="367">
                  <c:v>2.6426485497256909E-2</c:v>
                </c:pt>
                <c:pt idx="368">
                  <c:v>2.7048099546876859E-2</c:v>
                </c:pt>
                <c:pt idx="369">
                  <c:v>2.7681567148331542E-2</c:v>
                </c:pt>
                <c:pt idx="370">
                  <c:v>2.8327037741596041E-2</c:v>
                </c:pt>
                <c:pt idx="371">
                  <c:v>2.8984660616204173E-2</c:v>
                </c:pt>
                <c:pt idx="372">
                  <c:v>2.9654584847335904E-2</c:v>
                </c:pt>
                <c:pt idx="373">
                  <c:v>3.033695923052615E-2</c:v>
                </c:pt>
                <c:pt idx="374">
                  <c:v>3.103193221500266E-2</c:v>
                </c:pt>
                <c:pt idx="375">
                  <c:v>3.1739651835661707E-2</c:v>
                </c:pt>
                <c:pt idx="376">
                  <c:v>3.246026564369163E-2</c:v>
                </c:pt>
                <c:pt idx="377">
                  <c:v>3.3193920635855176E-2</c:v>
                </c:pt>
                <c:pt idx="378">
                  <c:v>3.3940763182443115E-2</c:v>
                </c:pt>
                <c:pt idx="379">
                  <c:v>3.4700938953912623E-2</c:v>
                </c:pt>
                <c:pt idx="380">
                  <c:v>3.5474592846225117E-2</c:v>
                </c:pt>
                <c:pt idx="381">
                  <c:v>3.6261868904899776E-2</c:v>
                </c:pt>
                <c:pt idx="382">
                  <c:v>3.7062910247799903E-2</c:v>
                </c:pt>
                <c:pt idx="383">
                  <c:v>3.7877858986670759E-2</c:v>
                </c:pt>
                <c:pt idx="384">
                  <c:v>3.8706856147448766E-2</c:v>
                </c:pt>
                <c:pt idx="385">
                  <c:v>3.9550041589363226E-2</c:v>
                </c:pt>
                <c:pt idx="386">
                  <c:v>4.0407553922853195E-2</c:v>
                </c:pt>
                <c:pt idx="387">
                  <c:v>4.1279530426323152E-2</c:v>
                </c:pt>
                <c:pt idx="388">
                  <c:v>4.2166106961762928E-2</c:v>
                </c:pt>
                <c:pt idx="389">
                  <c:v>4.3067417889258199E-2</c:v>
                </c:pt>
                <c:pt idx="390">
                  <c:v>4.3983595980419517E-2</c:v>
                </c:pt>
                <c:pt idx="391">
                  <c:v>4.4914772330759252E-2</c:v>
                </c:pt>
                <c:pt idx="392">
                  <c:v>4.5861076271046915E-2</c:v>
                </c:pt>
                <c:pt idx="393">
                  <c:v>4.682263527767503E-2</c:v>
                </c:pt>
                <c:pt idx="394">
                  <c:v>4.7799574882068749E-2</c:v>
                </c:pt>
                <c:pt idx="395">
                  <c:v>4.8792018579174326E-2</c:v>
                </c:pt>
                <c:pt idx="396">
                  <c:v>4.9800087735062185E-2</c:v>
                </c:pt>
                <c:pt idx="397">
                  <c:v>5.082390149368244E-2</c:v>
                </c:pt>
                <c:pt idx="398">
                  <c:v>5.186357668281167E-2</c:v>
                </c:pt>
                <c:pt idx="399">
                  <c:v>5.2919227719231236E-2</c:v>
                </c:pt>
                <c:pt idx="400">
                  <c:v>5.3990966513178841E-2</c:v>
                </c:pt>
                <c:pt idx="401">
                  <c:v>5.5078902372116413E-2</c:v>
                </c:pt>
                <c:pt idx="402">
                  <c:v>5.6183141903858549E-2</c:v>
                </c:pt>
                <c:pt idx="403">
                  <c:v>5.73037889191075E-2</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5.7303788919126401E-2</c:v>
                </c:pt>
                <c:pt idx="798">
                  <c:v>5.6183141903877167E-2</c:v>
                </c:pt>
                <c:pt idx="799">
                  <c:v>5.5078902372134773E-2</c:v>
                </c:pt>
                <c:pt idx="800">
                  <c:v>5.3990966513196924E-2</c:v>
                </c:pt>
                <c:pt idx="801">
                  <c:v>5.2919227719249042E-2</c:v>
                </c:pt>
                <c:pt idx="802">
                  <c:v>5.1863576682829218E-2</c:v>
                </c:pt>
                <c:pt idx="803">
                  <c:v>5.0823901493699704E-2</c:v>
                </c:pt>
                <c:pt idx="804">
                  <c:v>4.9800087735079192E-2</c:v>
                </c:pt>
                <c:pt idx="805">
                  <c:v>4.8792018579191083E-2</c:v>
                </c:pt>
                <c:pt idx="806">
                  <c:v>4.7799574882085243E-2</c:v>
                </c:pt>
                <c:pt idx="807">
                  <c:v>4.6822635277691246E-2</c:v>
                </c:pt>
                <c:pt idx="808">
                  <c:v>4.5861076271062881E-2</c:v>
                </c:pt>
                <c:pt idx="809">
                  <c:v>4.4914772330774969E-2</c:v>
                </c:pt>
                <c:pt idx="810">
                  <c:v>4.3983595980434984E-2</c:v>
                </c:pt>
                <c:pt idx="811">
                  <c:v>4.3067417889273402E-2</c:v>
                </c:pt>
                <c:pt idx="812">
                  <c:v>4.2166106961777888E-2</c:v>
                </c:pt>
                <c:pt idx="813">
                  <c:v>4.127953042633787E-2</c:v>
                </c:pt>
                <c:pt idx="814">
                  <c:v>4.0407553922867663E-2</c:v>
                </c:pt>
                <c:pt idx="815">
                  <c:v>3.9550041589377471E-2</c:v>
                </c:pt>
                <c:pt idx="816">
                  <c:v>3.8706856147462769E-2</c:v>
                </c:pt>
                <c:pt idx="817">
                  <c:v>3.7877858986684526E-2</c:v>
                </c:pt>
                <c:pt idx="818">
                  <c:v>3.7062910247813427E-2</c:v>
                </c:pt>
                <c:pt idx="819">
                  <c:v>3.6261868904913064E-2</c:v>
                </c:pt>
                <c:pt idx="820">
                  <c:v>3.5474592846238176E-2</c:v>
                </c:pt>
                <c:pt idx="821">
                  <c:v>3.470093895392546E-2</c:v>
                </c:pt>
                <c:pt idx="822">
                  <c:v>3.3940763182455737E-2</c:v>
                </c:pt>
                <c:pt idx="823">
                  <c:v>3.3193920635867555E-2</c:v>
                </c:pt>
                <c:pt idx="824">
                  <c:v>3.2460265643703794E-2</c:v>
                </c:pt>
                <c:pt idx="825">
                  <c:v>3.1739651835673663E-2</c:v>
                </c:pt>
                <c:pt idx="826">
                  <c:v>3.10319322150144E-2</c:v>
                </c:pt>
                <c:pt idx="827">
                  <c:v>3.0336959230537683E-2</c:v>
                </c:pt>
                <c:pt idx="828">
                  <c:v>2.9654584847347225E-2</c:v>
                </c:pt>
                <c:pt idx="829">
                  <c:v>2.8984660616215279E-2</c:v>
                </c:pt>
                <c:pt idx="830">
                  <c:v>2.8327037741606942E-2</c:v>
                </c:pt>
                <c:pt idx="831">
                  <c:v>2.7681567148342249E-2</c:v>
                </c:pt>
                <c:pt idx="832">
                  <c:v>2.7048099546887354E-2</c:v>
                </c:pt>
                <c:pt idx="833">
                  <c:v>2.642648549726722E-2</c:v>
                </c:pt>
                <c:pt idx="834">
                  <c:v>2.5816575471593078E-2</c:v>
                </c:pt>
                <c:pt idx="835">
                  <c:v>2.5218219915199701E-2</c:v>
                </c:pt>
                <c:pt idx="836">
                  <c:v>2.4631269306387722E-2</c:v>
                </c:pt>
                <c:pt idx="837">
                  <c:v>2.4055574214768106E-2</c:v>
                </c:pt>
                <c:pt idx="838">
                  <c:v>2.3490985358206401E-2</c:v>
                </c:pt>
                <c:pt idx="839">
                  <c:v>2.2937353658365651E-2</c:v>
                </c:pt>
                <c:pt idx="840">
                  <c:v>2.239453029484777E-2</c:v>
                </c:pt>
                <c:pt idx="841">
                  <c:v>2.1862366757934178E-2</c:v>
                </c:pt>
                <c:pt idx="842">
                  <c:v>2.134071489992748E-2</c:v>
                </c:pt>
                <c:pt idx="843">
                  <c:v>2.0829426985096808E-2</c:v>
                </c:pt>
                <c:pt idx="844">
                  <c:v>2.0328355738230375E-2</c:v>
                </c:pt>
                <c:pt idx="845">
                  <c:v>1.9837354391799782E-2</c:v>
                </c:pt>
                <c:pt idx="846">
                  <c:v>1.9356276731741336E-2</c:v>
                </c:pt>
                <c:pt idx="847">
                  <c:v>1.8884977141860469E-2</c:v>
                </c:pt>
                <c:pt idx="848">
                  <c:v>1.8423310646866267E-2</c:v>
                </c:pt>
                <c:pt idx="849">
                  <c:v>1.7971132954043779E-2</c:v>
                </c:pt>
                <c:pt idx="850">
                  <c:v>1.75283004935726E-2</c:v>
                </c:pt>
                <c:pt idx="851">
                  <c:v>1.7094670457500929E-2</c:v>
                </c:pt>
                <c:pt idx="852">
                  <c:v>1.6670100837384981E-2</c:v>
                </c:pt>
                <c:pt idx="853">
                  <c:v>1.6254450460604336E-2</c:v>
                </c:pt>
                <c:pt idx="854">
                  <c:v>1.5847579025364586E-2</c:v>
                </c:pt>
                <c:pt idx="855">
                  <c:v>1.5449347134398869E-2</c:v>
                </c:pt>
                <c:pt idx="856">
                  <c:v>1.5059616327381078E-2</c:v>
                </c:pt>
                <c:pt idx="857">
                  <c:v>1.4678249112063594E-2</c:v>
                </c:pt>
                <c:pt idx="858">
                  <c:v>1.4305108994153182E-2</c:v>
                </c:pt>
                <c:pt idx="859">
                  <c:v>1.3940060505939234E-2</c:v>
                </c:pt>
                <c:pt idx="860">
                  <c:v>1.3582969233688973E-2</c:v>
                </c:pt>
                <c:pt idx="861">
                  <c:v>1.323370184382465E-2</c:v>
                </c:pt>
                <c:pt idx="862">
                  <c:v>1.2892126107898527E-2</c:v>
                </c:pt>
                <c:pt idx="863">
                  <c:v>1.255811092638136E-2</c:v>
                </c:pt>
                <c:pt idx="864">
                  <c:v>1.2231526351281066E-2</c:v>
                </c:pt>
                <c:pt idx="865">
                  <c:v>1.1912243607608208E-2</c:v>
                </c:pt>
                <c:pt idx="866">
                  <c:v>1.1600135113705532E-2</c:v>
                </c:pt>
                <c:pt idx="867">
                  <c:v>1.1295074500459043E-2</c:v>
                </c:pt>
                <c:pt idx="868">
                  <c:v>1.0996936629408427E-2</c:v>
                </c:pt>
                <c:pt idx="869">
                  <c:v>1.0705597609774973E-2</c:v>
                </c:pt>
                <c:pt idx="870">
                  <c:v>1.0420934814425324E-2</c:v>
                </c:pt>
                <c:pt idx="871">
                  <c:v>1.0142826894789752E-2</c:v>
                </c:pt>
                <c:pt idx="872">
                  <c:v>9.8711537947537547E-3</c:v>
                </c:pt>
                <c:pt idx="873">
                  <c:v>9.605796763542146E-3</c:v>
                </c:pt>
                <c:pt idx="874">
                  <c:v>9.3466383676147919E-3</c:v>
                </c:pt>
                <c:pt idx="875">
                  <c:v>9.0935625015935075E-3</c:v>
                </c:pt>
                <c:pt idx="876">
                  <c:v>8.8464543982396272E-3</c:v>
                </c:pt>
                <c:pt idx="877">
                  <c:v>8.605200637502022E-3</c:v>
                </c:pt>
                <c:pt idx="878">
                  <c:v>8.3696891546553263E-3</c:v>
                </c:pt>
                <c:pt idx="879">
                  <c:v>8.1398092475482679E-3</c:v>
                </c:pt>
                <c:pt idx="880">
                  <c:v>7.9154515829821595E-3</c:v>
                </c:pt>
                <c:pt idx="881">
                  <c:v>7.6965082022394738E-3</c:v>
                </c:pt>
                <c:pt idx="882">
                  <c:v>7.4828725257826629E-3</c:v>
                </c:pt>
                <c:pt idx="883">
                  <c:v>7.2744393571432713E-3</c:v>
                </c:pt>
                <c:pt idx="884">
                  <c:v>7.0711048860214575E-3</c:v>
                </c:pt>
                <c:pt idx="885">
                  <c:v>6.8727666906159349E-3</c:v>
                </c:pt>
                <c:pt idx="886">
                  <c:v>6.6793237392045362E-3</c:v>
                </c:pt>
                <c:pt idx="887">
                  <c:v>6.4906763909952422E-3</c:v>
                </c:pt>
                <c:pt idx="888">
                  <c:v>6.3067263962677585E-3</c:v>
                </c:pt>
                <c:pt idx="889">
                  <c:v>6.1273768958254766E-3</c:v>
                </c:pt>
                <c:pt idx="890">
                  <c:v>5.9525324197776033E-3</c:v>
                </c:pt>
                <c:pt idx="891">
                  <c:v>5.7820988856711868E-3</c:v>
                </c:pt>
                <c:pt idx="892">
                  <c:v>5.6159835959926335E-3</c:v>
                </c:pt>
                <c:pt idx="893">
                  <c:v>5.4540952350581777E-3</c:v>
                </c:pt>
                <c:pt idx="894">
                  <c:v>5.2963438653126091E-3</c:v>
                </c:pt>
                <c:pt idx="895">
                  <c:v>5.1426409230554918E-3</c:v>
                </c:pt>
                <c:pt idx="896">
                  <c:v>4.9928992136138916E-3</c:v>
                </c:pt>
                <c:pt idx="897">
                  <c:v>4.8470329059804289E-3</c:v>
                </c:pt>
                <c:pt idx="898">
                  <c:v>4.704957526935425E-3</c:v>
                </c:pt>
                <c:pt idx="899">
                  <c:v>4.5665899546715556E-3</c:v>
                </c:pt>
                <c:pt idx="900">
                  <c:v>4.4318484119393849E-3</c:v>
                </c:pt>
                <c:pt idx="901">
                  <c:v>4.3006524587317898E-3</c:v>
                </c:pt>
                <c:pt idx="902">
                  <c:v>4.1729229845252694E-3</c:v>
                </c:pt>
                <c:pt idx="903">
                  <c:v>4.0485822000957059E-3</c:v>
                </c:pt>
                <c:pt idx="904">
                  <c:v>3.9275536289260244E-3</c:v>
                </c:pt>
                <c:pt idx="905">
                  <c:v>3.8097620982230208E-3</c:v>
                </c:pt>
                <c:pt idx="906">
                  <c:v>3.6951337295602188E-3</c:v>
                </c:pt>
                <c:pt idx="907">
                  <c:v>3.5835959291635132E-3</c:v>
                </c:pt>
                <c:pt idx="908">
                  <c:v>3.4750773778560637E-3</c:v>
                </c:pt>
                <c:pt idx="909">
                  <c:v>3.3695080206785789E-3</c:v>
                </c:pt>
                <c:pt idx="910">
                  <c:v>3.2668190562009885E-3</c:v>
                </c:pt>
                <c:pt idx="911">
                  <c:v>3.166942925541121E-3</c:v>
                </c:pt>
                <c:pt idx="912">
                  <c:v>3.0698133011057569E-3</c:v>
                </c:pt>
                <c:pt idx="913">
                  <c:v>2.9753650750692414E-3</c:v>
                </c:pt>
                <c:pt idx="914">
                  <c:v>2.8835343476044041E-3</c:v>
                </c:pt>
                <c:pt idx="915">
                  <c:v>2.7942584148803848E-3</c:v>
                </c:pt>
                <c:pt idx="916">
                  <c:v>2.7074757568416158E-3</c:v>
                </c:pt>
                <c:pt idx="917">
                  <c:v>2.6231260247819139E-3</c:v>
                </c:pt>
                <c:pt idx="918">
                  <c:v>2.5411500287273901E-3</c:v>
                </c:pt>
                <c:pt idx="919">
                  <c:v>2.4614897246415441E-3</c:v>
                </c:pt>
                <c:pt idx="920">
                  <c:v>2.3840882014656635E-3</c:v>
                </c:pt>
                <c:pt idx="921">
                  <c:v>2.308889668007295E-3</c:v>
                </c:pt>
                <c:pt idx="922">
                  <c:v>2.2358394396893183E-3</c:v>
                </c:pt>
                <c:pt idx="923">
                  <c:v>2.1648839251718196E-3</c:v>
                </c:pt>
                <c:pt idx="924">
                  <c:v>2.0959706128586804E-3</c:v>
                </c:pt>
                <c:pt idx="925">
                  <c:v>2.029048057300485E-3</c:v>
                </c:pt>
                <c:pt idx="926">
                  <c:v>1.9640658655050735E-3</c:v>
                </c:pt>
                <c:pt idx="927">
                  <c:v>1.900974683166759E-3</c:v>
                </c:pt>
                <c:pt idx="928">
                  <c:v>1.8397261808249393E-3</c:v>
                </c:pt>
                <c:pt idx="929">
                  <c:v>1.7802730399625202E-3</c:v>
                </c:pt>
                <c:pt idx="930">
                  <c:v>1.7225689390543051E-3</c:v>
                </c:pt>
                <c:pt idx="931">
                  <c:v>1.6665685395751881E-3</c:v>
                </c:pt>
                <c:pt idx="932">
                  <c:v>1.6122274719777142E-3</c:v>
                </c:pt>
                <c:pt idx="933">
                  <c:v>1.5595023216482663E-3</c:v>
                </c:pt>
                <c:pt idx="934">
                  <c:v>1.5083506148508643E-3</c:v>
                </c:pt>
                <c:pt idx="935">
                  <c:v>1.4587308046672873E-3</c:v>
                </c:pt>
                <c:pt idx="936">
                  <c:v>1.4106022569419111E-3</c:v>
                </c:pt>
                <c:pt idx="937">
                  <c:v>1.3639252362394158E-3</c:v>
                </c:pt>
                <c:pt idx="938">
                  <c:v>1.3186608918232387E-3</c:v>
                </c:pt>
                <c:pt idx="939">
                  <c:v>1.2747712436623161E-3</c:v>
                </c:pt>
                <c:pt idx="940">
                  <c:v>1.2322191684734881E-3</c:v>
                </c:pt>
                <c:pt idx="941">
                  <c:v>1.1909683858065737E-3</c:v>
                </c:pt>
                <c:pt idx="942">
                  <c:v>1.150983444178926E-3</c:v>
                </c:pt>
                <c:pt idx="943">
                  <c:v>1.1122297072659944E-3</c:v>
                </c:pt>
                <c:pt idx="944">
                  <c:v>1.0746733401541518E-3</c:v>
                </c:pt>
                <c:pt idx="945">
                  <c:v>1.038281295661816E-3</c:v>
                </c:pt>
                <c:pt idx="946">
                  <c:v>1.0030213007346312E-3</c:v>
                </c:pt>
                <c:pt idx="947">
                  <c:v>9.6886184292022787E-4</c:v>
                </c:pt>
                <c:pt idx="948">
                  <c:v>9.3577215692785024E-4</c:v>
                </c:pt>
                <c:pt idx="949">
                  <c:v>9.03722211277884E-4</c:v>
                </c:pt>
                <c:pt idx="950">
                  <c:v>8.7268269504610883E-4</c:v>
                </c:pt>
                <c:pt idx="951">
                  <c:v>8.4262500470724019E-4</c:v>
                </c:pt>
                <c:pt idx="952">
                  <c:v>8.1352123108213638E-4</c:v>
                </c:pt>
                <c:pt idx="953">
                  <c:v>7.853441463927871E-4</c:v>
                </c:pt>
                <c:pt idx="954">
                  <c:v>7.5806719142901919E-4</c:v>
                </c:pt>
                <c:pt idx="955">
                  <c:v>7.316644628306097E-4</c:v>
                </c:pt>
                <c:pt idx="956">
                  <c:v>7.0611070048832655E-4</c:v>
                </c:pt>
                <c:pt idx="957">
                  <c:v>6.8138127506717282E-4</c:v>
                </c:pt>
                <c:pt idx="958">
                  <c:v>6.5745217565494902E-4</c:v>
                </c:pt>
                <c:pt idx="959">
                  <c:v>6.3429999753902172E-4</c:v>
                </c:pt>
                <c:pt idx="960">
                  <c:v>6.1190193011402842E-4</c:v>
                </c:pt>
                <c:pt idx="961">
                  <c:v>5.9023574492303346E-4</c:v>
                </c:pt>
                <c:pt idx="962">
                  <c:v>5.692797838344932E-4</c:v>
                </c:pt>
                <c:pt idx="963">
                  <c:v>5.490129473571917E-4</c:v>
                </c:pt>
                <c:pt idx="964">
                  <c:v>5.2941468309516038E-4</c:v>
                </c:pt>
                <c:pt idx="965">
                  <c:v>5.1046497434440407E-4</c:v>
                </c:pt>
                <c:pt idx="966">
                  <c:v>4.9214432883310508E-4</c:v>
                </c:pt>
                <c:pt idx="967">
                  <c:v>4.744337676068254E-4</c:v>
                </c:pt>
                <c:pt idx="968">
                  <c:v>4.5731481406005532E-4</c:v>
                </c:pt>
                <c:pt idx="969">
                  <c:v>4.4076948311532469E-4</c:v>
                </c:pt>
                <c:pt idx="970">
                  <c:v>4.247802705509377E-4</c:v>
                </c:pt>
                <c:pt idx="971">
                  <c:v>4.0933014247825875E-4</c:v>
                </c:pt>
                <c:pt idx="972">
                  <c:v>3.94402524969331E-4</c:v>
                </c:pt>
                <c:pt idx="973">
                  <c:v>3.7998129383549017E-4</c:v>
                </c:pt>
                <c:pt idx="974">
                  <c:v>3.6605076455749845E-4</c:v>
                </c:pt>
                <c:pt idx="975">
                  <c:v>3.5259568236760321E-4</c:v>
                </c:pt>
                <c:pt idx="976">
                  <c:v>3.3960121248380738E-4</c:v>
                </c:pt>
                <c:pt idx="977">
                  <c:v>3.2705293049652281E-4</c:v>
                </c:pt>
                <c:pt idx="978">
                  <c:v>3.1493681290766472E-4</c:v>
                </c:pt>
                <c:pt idx="979">
                  <c:v>3.0323922782214262E-4</c:v>
                </c:pt>
                <c:pt idx="980">
                  <c:v>2.9194692579159374E-4</c:v>
                </c:pt>
                <c:pt idx="981">
                  <c:v>2.8104703081011562E-4</c:v>
                </c:pt>
                <c:pt idx="982">
                  <c:v>2.705270314616459E-4</c:v>
                </c:pt>
                <c:pt idx="983">
                  <c:v>2.6037477221856341E-4</c:v>
                </c:pt>
                <c:pt idx="984">
                  <c:v>2.5057844489097757E-4</c:v>
                </c:pt>
                <c:pt idx="985">
                  <c:v>2.4112658022610627E-4</c:v>
                </c:pt>
                <c:pt idx="986">
                  <c:v>2.3200803965705134E-4</c:v>
                </c:pt>
                <c:pt idx="987">
                  <c:v>2.232120072002075E-4</c:v>
                </c:pt>
                <c:pt idx="988">
                  <c:v>2.1472798150046882E-4</c:v>
                </c:pt>
                <c:pt idx="989">
                  <c:v>2.0654576802332398E-4</c:v>
                </c:pt>
                <c:pt idx="990">
                  <c:v>1.9865547139286764E-4</c:v>
                </c:pt>
                <c:pt idx="991">
                  <c:v>1.9104748787468953E-4</c:v>
                </c:pt>
                <c:pt idx="992">
                  <c:v>1.8371249800254569E-4</c:v>
                </c:pt>
                <c:pt idx="993">
                  <c:v>1.7664145934765657E-4</c:v>
                </c:pt>
                <c:pt idx="994">
                  <c:v>1.6982559942942623E-4</c:v>
                </c:pt>
                <c:pt idx="995">
                  <c:v>1.6325640876632187E-4</c:v>
                </c:pt>
                <c:pt idx="996">
                  <c:v>1.5692563406560919E-4</c:v>
                </c:pt>
                <c:pt idx="997">
                  <c:v>1.5082527155059225E-4</c:v>
                </c:pt>
                <c:pt idx="998">
                  <c:v>1.4494756042396286E-4</c:v>
                </c:pt>
                <c:pt idx="999">
                  <c:v>1.3928497646582919E-4</c:v>
                </c:pt>
                <c:pt idx="1000">
                  <c:v>1.3383022576495215E-4</c:v>
                </c:pt>
                <c:pt idx="1001">
                  <c:v>1.2857623858168523E-4</c:v>
                </c:pt>
                <c:pt idx="1002">
                  <c:v>1.2351616334108531E-4</c:v>
                </c:pt>
                <c:pt idx="1003">
                  <c:v>1.1864336075462582E-4</c:v>
                </c:pt>
                <c:pt idx="1004">
                  <c:v>1.1395139806892229E-4</c:v>
                </c:pt>
                <c:pt idx="1005">
                  <c:v>1.0943404343985613E-4</c:v>
                </c:pt>
                <c:pt idx="1006">
                  <c:v>1.0508526043045386E-4</c:v>
                </c:pt>
                <c:pt idx="1007">
                  <c:v>1.008992026308662E-4</c:v>
                </c:pt>
                <c:pt idx="1008">
                  <c:v>9.6870208398768985E-5</c:v>
                </c:pt>
                <c:pt idx="1009">
                  <c:v>9.2992795718493788E-5</c:v>
                </c:pt>
                <c:pt idx="1010">
                  <c:v>8.926165717717921E-5</c:v>
                </c:pt>
                <c:pt idx="1011">
                  <c:v>8.5671655056226601E-5</c:v>
                </c:pt>
                <c:pt idx="1012">
                  <c:v>8.2217816536328924E-5</c:v>
                </c:pt>
                <c:pt idx="1013">
                  <c:v>7.8895329014334423E-5</c:v>
                </c:pt>
                <c:pt idx="1014">
                  <c:v>7.5699535530201003E-5</c:v>
                </c:pt>
                <c:pt idx="1015">
                  <c:v>7.2625930302290894E-5</c:v>
                </c:pt>
                <c:pt idx="1016">
                  <c:v>6.9670154369251447E-5</c:v>
                </c:pt>
                <c:pt idx="1017">
                  <c:v>6.6827991336726225E-5</c:v>
                </c:pt>
                <c:pt idx="1018">
                  <c:v>6.4095363227140357E-5</c:v>
                </c:pt>
                <c:pt idx="1019">
                  <c:v>6.1468326430802394E-5</c:v>
                </c:pt>
                <c:pt idx="1020">
                  <c:v>5.8943067756571676E-5</c:v>
                </c:pt>
                <c:pt idx="1021">
                  <c:v>5.6515900580338022E-5</c:v>
                </c:pt>
                <c:pt idx="1022">
                  <c:v>5.4183261089569587E-5</c:v>
                </c:pt>
                <c:pt idx="1023">
                  <c:v>5.1941704622188277E-5</c:v>
                </c:pt>
                <c:pt idx="1024">
                  <c:v>4.9787902098039493E-5</c:v>
                </c:pt>
                <c:pt idx="1025">
                  <c:v>4.7718636541231217E-5</c:v>
                </c:pt>
                <c:pt idx="1026">
                  <c:v>4.5730799691626576E-5</c:v>
                </c:pt>
                <c:pt idx="1027">
                  <c:v>4.3821388703782397E-5</c:v>
                </c:pt>
                <c:pt idx="1028">
                  <c:v>4.1987502931640733E-5</c:v>
                </c:pt>
                <c:pt idx="1029">
                  <c:v>4.0226340797287469E-5</c:v>
                </c:pt>
                <c:pt idx="1030">
                  <c:v>3.8535196742108759E-5</c:v>
                </c:pt>
                <c:pt idx="1031">
                  <c:v>3.6911458258686985E-5</c:v>
                </c:pt>
                <c:pt idx="1032">
                  <c:v>3.535260300179312E-5</c:v>
                </c:pt>
                <c:pt idx="1033">
                  <c:v>3.3856195976847125E-5</c:v>
                </c:pt>
                <c:pt idx="1034">
                  <c:v>3.2419886804232257E-5</c:v>
                </c:pt>
                <c:pt idx="1035">
                  <c:v>3.104140705786802E-5</c:v>
                </c:pt>
                <c:pt idx="1036">
                  <c:v>2.9718567676459353E-5</c:v>
                </c:pt>
                <c:pt idx="1037">
                  <c:v>2.8449256445860778E-5</c:v>
                </c:pt>
                <c:pt idx="1038">
                  <c:v>2.7231435551008424E-5</c:v>
                </c:pt>
                <c:pt idx="1039">
                  <c:v>2.606313919589348E-5</c:v>
                </c:pt>
                <c:pt idx="1040">
                  <c:v>2.4942471290068152E-5</c:v>
                </c:pt>
                <c:pt idx="1041">
                  <c:v>2.3867603200193587E-5</c:v>
                </c:pt>
                <c:pt idx="1042">
                  <c:v>2.2836771565160385E-5</c:v>
                </c:pt>
                <c:pt idx="1043">
                  <c:v>2.1848276173329351E-5</c:v>
                </c:pt>
                <c:pt idx="1044">
                  <c:v>2.0900477900462842E-5</c:v>
                </c:pt>
                <c:pt idx="1045">
                  <c:v>1.9991796706934721E-5</c:v>
                </c:pt>
                <c:pt idx="1046">
                  <c:v>1.9120709692829179E-5</c:v>
                </c:pt>
                <c:pt idx="1047">
                  <c:v>1.8285749209558354E-5</c:v>
                </c:pt>
                <c:pt idx="1048">
                  <c:v>1.7485501026649693E-5</c:v>
                </c:pt>
                <c:pt idx="1049">
                  <c:v>1.6718602552375225E-5</c:v>
                </c:pt>
                <c:pt idx="1050">
                  <c:v>1.5983741106915185E-5</c:v>
                </c:pt>
                <c:pt idx="1051">
                  <c:v>1.5279652246770927E-5</c:v>
                </c:pt>
                <c:pt idx="1052">
                  <c:v>1.4605118139161839E-5</c:v>
                </c:pt>
                <c:pt idx="1053">
                  <c:v>1.3958965985163351E-5</c:v>
                </c:pt>
                <c:pt idx="1054">
                  <c:v>1.3340066490364058E-5</c:v>
                </c:pt>
                <c:pt idx="1055">
                  <c:v>1.2747332381841341E-5</c:v>
                </c:pt>
                <c:pt idx="1056">
                  <c:v>1.2179716970276248E-5</c:v>
                </c:pt>
                <c:pt idx="1057">
                  <c:v>1.1636212756049942E-5</c:v>
                </c:pt>
                <c:pt idx="1058">
                  <c:v>1.1115850078184757E-5</c:v>
                </c:pt>
                <c:pt idx="1059">
                  <c:v>1.0617695805015047E-5</c:v>
                </c:pt>
                <c:pt idx="1060">
                  <c:v>1.0140852065493135E-5</c:v>
                </c:pt>
                <c:pt idx="1061">
                  <c:v>9.6844550200575763E-6</c:v>
                </c:pt>
                <c:pt idx="1062">
                  <c:v>9.2476736700114968E-6</c:v>
                </c:pt>
                <c:pt idx="1063">
                  <c:v>8.8297087043797102E-6</c:v>
                </c:pt>
                <c:pt idx="1064">
                  <c:v>8.4297913832341605E-6</c:v>
                </c:pt>
                <c:pt idx="1065">
                  <c:v>8.0471824564974672E-6</c:v>
                </c:pt>
                <c:pt idx="1066">
                  <c:v>7.6811711172554206E-6</c:v>
                </c:pt>
                <c:pt idx="1067">
                  <c:v>7.3310739886286849E-6</c:v>
                </c:pt>
                <c:pt idx="1068">
                  <c:v>6.99623414327494E-6</c:v>
                </c:pt>
                <c:pt idx="1069">
                  <c:v>6.6760201546118248E-6</c:v>
                </c:pt>
                <c:pt idx="1070">
                  <c:v>6.3698251788712641E-6</c:v>
                </c:pt>
                <c:pt idx="1071">
                  <c:v>6.0770660671151089E-6</c:v>
                </c:pt>
                <c:pt idx="1072">
                  <c:v>5.7971825063611071E-6</c:v>
                </c:pt>
                <c:pt idx="1073">
                  <c:v>5.5296361889877251E-6</c:v>
                </c:pt>
                <c:pt idx="1074">
                  <c:v>5.2739100096048067E-6</c:v>
                </c:pt>
                <c:pt idx="1075">
                  <c:v>5.0295072885957954E-6</c:v>
                </c:pt>
                <c:pt idx="1076">
                  <c:v>4.7959510215557243E-6</c:v>
                </c:pt>
                <c:pt idx="1077">
                  <c:v>4.5727831538672066E-6</c:v>
                </c:pt>
                <c:pt idx="1078">
                  <c:v>4.3595638796745784E-6</c:v>
                </c:pt>
                <c:pt idx="1079">
                  <c:v>4.1558709645340056E-6</c:v>
                </c:pt>
                <c:pt idx="1080">
                  <c:v>3.9612990910347629E-6</c:v>
                </c:pt>
                <c:pt idx="1081">
                  <c:v>3.7754592267039096E-6</c:v>
                </c:pt>
                <c:pt idx="1082">
                  <c:v>3.5979780135237076E-6</c:v>
                </c:pt>
                <c:pt idx="1083">
                  <c:v>3.4284971784073898E-6</c:v>
                </c:pt>
                <c:pt idx="1084">
                  <c:v>3.2666729639955198E-6</c:v>
                </c:pt>
                <c:pt idx="1085">
                  <c:v>3.1121755791510891E-6</c:v>
                </c:pt>
                <c:pt idx="1086">
                  <c:v>2.9646886685473312E-6</c:v>
                </c:pt>
                <c:pt idx="1087">
                  <c:v>2.8239088007577869E-6</c:v>
                </c:pt>
                <c:pt idx="1088">
                  <c:v>2.6895449742734008E-6</c:v>
                </c:pt>
                <c:pt idx="1089">
                  <c:v>2.561318140886332E-6</c:v>
                </c:pt>
                <c:pt idx="1090">
                  <c:v>2.4389607458950721E-6</c:v>
                </c:pt>
                <c:pt idx="1091">
                  <c:v>2.3222162845996347E-6</c:v>
                </c:pt>
                <c:pt idx="1092">
                  <c:v>2.210838874569984E-6</c:v>
                </c:pt>
                <c:pt idx="1093">
                  <c:v>2.1045928431846207E-6</c:v>
                </c:pt>
                <c:pt idx="1094">
                  <c:v>2.003252329949923E-6</c:v>
                </c:pt>
                <c:pt idx="1095">
                  <c:v>1.9066009031241753E-6</c:v>
                </c:pt>
                <c:pt idx="1096">
                  <c:v>1.8144311901833356E-6</c:v>
                </c:pt>
                <c:pt idx="1097">
                  <c:v>1.7265445216783154E-6</c:v>
                </c:pt>
                <c:pt idx="1098">
                  <c:v>1.6427505880462614E-6</c:v>
                </c:pt>
                <c:pt idx="1099">
                  <c:v>1.5628671089504256E-6</c:v>
                </c:pt>
                <c:pt idx="1100">
                  <c:v>1.4867195147353804E-6</c:v>
                </c:pt>
                <c:pt idx="1101">
                  <c:v>1.4141406395960358E-6</c:v>
                </c:pt>
                <c:pt idx="1102">
                  <c:v>1.3449704260704263E-6</c:v>
                </c:pt>
                <c:pt idx="1103">
                  <c:v>1.2790556404775167E-6</c:v>
                </c:pt>
                <c:pt idx="1104">
                  <c:v>1.2162495989322167E-6</c:v>
                </c:pt>
                <c:pt idx="1105">
                  <c:v>1.1564119035806376E-6</c:v>
                </c:pt>
                <c:pt idx="1106">
                  <c:v>1.0994081887090213E-6</c:v>
                </c:pt>
                <c:pt idx="1107">
                  <c:v>1.0451098763900991E-6</c:v>
                </c:pt>
                <c:pt idx="1108">
                  <c:v>9.9339394134065466E-7</c:v>
                </c:pt>
                <c:pt idx="1109">
                  <c:v>9.4414268467379505E-7</c:v>
                </c:pt>
                <c:pt idx="1110">
                  <c:v>8.9724351623900935E-7</c:v>
                </c:pt>
                <c:pt idx="1111">
                  <c:v>8.525887452524311E-7</c:v>
                </c:pt>
                <c:pt idx="1112">
                  <c:v>8.1007537892875027E-7</c:v>
                </c:pt>
                <c:pt idx="1113">
                  <c:v>7.6960492883509941E-7</c:v>
                </c:pt>
                <c:pt idx="1114">
                  <c:v>7.3108322469590734E-7</c:v>
                </c:pt>
                <c:pt idx="1115">
                  <c:v>6.9442023538606788E-7</c:v>
                </c:pt>
                <c:pt idx="1116">
                  <c:v>6.5952989685802989E-7</c:v>
                </c:pt>
                <c:pt idx="1117">
                  <c:v>6.2632994675637304E-7</c:v>
                </c:pt>
                <c:pt idx="1118">
                  <c:v>5.9474176548123583E-7</c:v>
                </c:pt>
                <c:pt idx="1119">
                  <c:v>5.6469022346951531E-7</c:v>
                </c:pt>
                <c:pt idx="1120">
                  <c:v>5.3610353447018042E-7</c:v>
                </c:pt>
                <c:pt idx="1121">
                  <c:v>5.0891311459716356E-7</c:v>
                </c:pt>
                <c:pt idx="1122">
                  <c:v>4.830534469503466E-7</c:v>
                </c:pt>
                <c:pt idx="1123">
                  <c:v>4.5846195160189523E-7</c:v>
                </c:pt>
                <c:pt idx="1124">
                  <c:v>4.350788607518555E-7</c:v>
                </c:pt>
                <c:pt idx="1125">
                  <c:v>4.128470988633269E-7</c:v>
                </c:pt>
                <c:pt idx="1126">
                  <c:v>3.9171216759379263E-7</c:v>
                </c:pt>
                <c:pt idx="1127">
                  <c:v>3.716220353452463E-7</c:v>
                </c:pt>
                <c:pt idx="1128">
                  <c:v>3.5252703126168619E-7</c:v>
                </c:pt>
                <c:pt idx="1129">
                  <c:v>3.3437974350824902E-7</c:v>
                </c:pt>
                <c:pt idx="1130">
                  <c:v>3.1713492167185329E-7</c:v>
                </c:pt>
                <c:pt idx="1131">
                  <c:v>3.0074938312862632E-7</c:v>
                </c:pt>
                <c:pt idx="1132">
                  <c:v>2.8518192322862913E-7</c:v>
                </c:pt>
                <c:pt idx="1133">
                  <c:v>2.7039322915351301E-7</c:v>
                </c:pt>
                <c:pt idx="1134">
                  <c:v>2.563457973076683E-7</c:v>
                </c:pt>
                <c:pt idx="1135">
                  <c:v>2.4300385410825208E-7</c:v>
                </c:pt>
                <c:pt idx="1136">
                  <c:v>2.3033328004411047E-7</c:v>
                </c:pt>
                <c:pt idx="1137">
                  <c:v>2.1830153687815879E-7</c:v>
                </c:pt>
                <c:pt idx="1138">
                  <c:v>2.0687759787213633E-7</c:v>
                </c:pt>
                <c:pt idx="1139">
                  <c:v>1.9603188091691979E-7</c:v>
                </c:pt>
                <c:pt idx="1140">
                  <c:v>1.85736184455684E-7</c:v>
                </c:pt>
                <c:pt idx="1141">
                  <c:v>1.759636260911928E-7</c:v>
                </c:pt>
                <c:pt idx="1142">
                  <c:v>1.6668858377236801E-7</c:v>
                </c:pt>
                <c:pt idx="1143">
                  <c:v>1.5788663945902299E-7</c:v>
                </c:pt>
                <c:pt idx="1144">
                  <c:v>1.4953452516728561E-7</c:v>
                </c:pt>
                <c:pt idx="1145">
                  <c:v>1.4161007130173148E-7</c:v>
                </c:pt>
                <c:pt idx="1146">
                  <c:v>1.3409215718366112E-7</c:v>
                </c:pt>
                <c:pt idx="1147">
                  <c:v>1.2696066368823708E-7</c:v>
                </c:pt>
                <c:pt idx="1148">
                  <c:v>1.2019642790638519E-7</c:v>
                </c:pt>
                <c:pt idx="1149">
                  <c:v>1.1378119975044371E-7</c:v>
                </c:pt>
                <c:pt idx="1150">
                  <c:v>1.0769760042552535E-7</c:v>
                </c:pt>
                <c:pt idx="1151">
                  <c:v>1.0192908269144073E-7</c:v>
                </c:pt>
                <c:pt idx="1152">
                  <c:v>9.6459892842817102E-8</c:v>
                </c:pt>
                <c:pt idx="1153">
                  <c:v>9.1275034337744203E-8</c:v>
                </c:pt>
                <c:pt idx="1154">
                  <c:v>8.6360233007885042E-8</c:v>
                </c:pt>
                <c:pt idx="1155">
                  <c:v>8.1701903785503446E-8</c:v>
                </c:pt>
                <c:pt idx="1156">
                  <c:v>7.7287118885296748E-8</c:v>
                </c:pt>
                <c:pt idx="1157">
                  <c:v>7.3103577381273741E-8</c:v>
                </c:pt>
                <c:pt idx="1158">
                  <c:v>6.913957612118501E-8</c:v>
                </c:pt>
                <c:pt idx="1159">
                  <c:v>6.5383981923209157E-8</c:v>
                </c:pt>
                <c:pt idx="1160">
                  <c:v>6.1826205001713246E-8</c:v>
                </c:pt>
                <c:pt idx="1161">
                  <c:v>5.8456173570952626E-8</c:v>
                </c:pt>
                <c:pt idx="1162">
                  <c:v>5.5264309577546524E-8</c:v>
                </c:pt>
                <c:pt idx="1163">
                  <c:v>5.2241505514471133E-8</c:v>
                </c:pt>
                <c:pt idx="1164">
                  <c:v>4.937910227114878E-8</c:v>
                </c:pt>
                <c:pt idx="1165">
                  <c:v>4.6668867975984667E-8</c:v>
                </c:pt>
                <c:pt idx="1166">
                  <c:v>4.4102977789413032E-8</c:v>
                </c:pt>
                <c:pt idx="1167">
                  <c:v>4.1673994607161255E-8</c:v>
                </c:pt>
                <c:pt idx="1168">
                  <c:v>3.9374850635034311E-8</c:v>
                </c:pt>
                <c:pt idx="1169">
                  <c:v>3.7198829798049994E-8</c:v>
                </c:pt>
                <c:pt idx="1170">
                  <c:v>3.5139550948236541E-8</c:v>
                </c:pt>
                <c:pt idx="1171">
                  <c:v>3.3190951836825919E-8</c:v>
                </c:pt>
                <c:pt idx="1172">
                  <c:v>3.1347273817948629E-8</c:v>
                </c:pt>
                <c:pt idx="1173">
                  <c:v>2.9603047252257389E-8</c:v>
                </c:pt>
                <c:pt idx="1174">
                  <c:v>2.7953077580180564E-8</c:v>
                </c:pt>
                <c:pt idx="1175">
                  <c:v>2.6392432035730299E-8</c:v>
                </c:pt>
                <c:pt idx="1176">
                  <c:v>2.4916426972974176E-8</c:v>
                </c:pt>
                <c:pt idx="1177">
                  <c:v>2.3520615778412809E-8</c:v>
                </c:pt>
                <c:pt idx="1178">
                  <c:v>2.2200777343599831E-8</c:v>
                </c:pt>
                <c:pt idx="1179">
                  <c:v>2.0952905073396694E-8</c:v>
                </c:pt>
                <c:pt idx="1180">
                  <c:v>1.9773196406263356E-8</c:v>
                </c:pt>
                <c:pt idx="1181">
                  <c:v>1.8658042823963807E-8</c:v>
                </c:pt>
                <c:pt idx="1182">
                  <c:v>1.7604020329002542E-8</c:v>
                </c:pt>
                <c:pt idx="1183">
                  <c:v>1.6607880369007856E-8</c:v>
                </c:pt>
                <c:pt idx="1184">
                  <c:v>1.5666541188147484E-8</c:v>
                </c:pt>
                <c:pt idx="1185">
                  <c:v>1.4777079586494175E-8</c:v>
                </c:pt>
                <c:pt idx="1186">
                  <c:v>1.3936723069060808E-8</c:v>
                </c:pt>
                <c:pt idx="1187">
                  <c:v>1.3142842366994842E-8</c:v>
                </c:pt>
                <c:pt idx="1188">
                  <c:v>1.2392944314162104E-8</c:v>
                </c:pt>
                <c:pt idx="1189">
                  <c:v>1.1684665063061159E-8</c:v>
                </c:pt>
                <c:pt idx="1190">
                  <c:v>1.101576362469303E-8</c:v>
                </c:pt>
                <c:pt idx="1191">
                  <c:v>1.0384115717666471E-8</c:v>
                </c:pt>
                <c:pt idx="1192">
                  <c:v>9.7877079124507384E-9</c:v>
                </c:pt>
                <c:pt idx="1193">
                  <c:v>9.2246320572917634E-9</c:v>
                </c:pt>
                <c:pt idx="1194">
                  <c:v>8.6930799728887595E-9</c:v>
                </c:pt>
                <c:pt idx="1195">
                  <c:v>8.1913384034872618E-9</c:v>
                </c:pt>
                <c:pt idx="1196">
                  <c:v>7.7177842125781769E-9</c:v>
                </c:pt>
                <c:pt idx="1197">
                  <c:v>7.2708798119073129E-9</c:v>
                </c:pt>
                <c:pt idx="1198">
                  <c:v>6.8491688129925952E-9</c:v>
                </c:pt>
                <c:pt idx="1199">
                  <c:v>6.4512718908182141E-9</c:v>
                </c:pt>
                <c:pt idx="1200">
                  <c:v>6.0758828498293717E-9</c:v>
                </c:pt>
              </c:numCache>
            </c:numRef>
          </c:yVal>
        </c:ser>
        <c:ser>
          <c:idx val="5"/>
          <c:order val="1"/>
          <c:spPr>
            <a:ln w="28575">
              <a:noFill/>
            </a:ln>
          </c:spPr>
          <c:marker>
            <c:symbol val="circle"/>
            <c:size val="6"/>
            <c:spPr>
              <a:noFill/>
              <a:ln>
                <a:solidFill>
                  <a:srgbClr val="0000FF"/>
                </a:solidFill>
                <a:prstDash val="solid"/>
              </a:ln>
            </c:spPr>
          </c:marker>
          <c:xVal>
            <c:numRef>
              <c:f>Normal!$G$54:$G$453</c:f>
              <c:numCache>
                <c:formatCode>General</c:formatCode>
                <c:ptCount val="400"/>
              </c:numCache>
            </c:numRef>
          </c:xVal>
          <c:yVal>
            <c:numRef>
              <c:f>Normal!$J$52:$J$451</c:f>
              <c:numCache>
                <c:formatCode>General</c:formatCode>
                <c:ptCount val="400"/>
              </c:numCache>
            </c:numRef>
          </c:yVal>
        </c:ser>
        <c:ser>
          <c:idx val="7"/>
          <c:order val="2"/>
          <c:spPr>
            <a:ln w="28575">
              <a:noFill/>
            </a:ln>
          </c:spPr>
          <c:marker>
            <c:symbol val="circle"/>
            <c:size val="5"/>
            <c:spPr>
              <a:noFill/>
              <a:ln>
                <a:solidFill>
                  <a:srgbClr val="0000FF"/>
                </a:solidFill>
                <a:prstDash val="solid"/>
              </a:ln>
            </c:spPr>
          </c:marker>
          <c:xVal>
            <c:numRef>
              <c:f>Normal!$O$52:$O$451</c:f>
              <c:numCache>
                <c:formatCode>General</c:formatCode>
                <c:ptCount val="400"/>
              </c:numCache>
            </c:numRef>
          </c:xVal>
          <c:yVal>
            <c:numRef>
              <c:f>Normal!$P$52:$P$451</c:f>
              <c:numCache>
                <c:formatCode>General</c:formatCode>
                <c:ptCount val="400"/>
              </c:numCache>
            </c:numRef>
          </c:yVal>
        </c:ser>
        <c:ser>
          <c:idx val="6"/>
          <c:order val="3"/>
          <c:spPr>
            <a:ln w="28575">
              <a:noFill/>
            </a:ln>
          </c:spPr>
          <c:marker>
            <c:symbol val="circle"/>
            <c:size val="5"/>
            <c:spPr>
              <a:noFill/>
              <a:ln>
                <a:solidFill>
                  <a:srgbClr val="0000FF"/>
                </a:solidFill>
                <a:prstDash val="solid"/>
              </a:ln>
            </c:spPr>
          </c:marker>
          <c:xVal>
            <c:numRef>
              <c:f>Normal!$W$52:$W$451</c:f>
              <c:numCache>
                <c:formatCode>General</c:formatCode>
                <c:ptCount val="400"/>
              </c:numCache>
            </c:numRef>
          </c:xVal>
          <c:yVal>
            <c:numRef>
              <c:f>Normal!$X$52:$X$451</c:f>
              <c:numCache>
                <c:formatCode>General</c:formatCode>
                <c:ptCount val="400"/>
              </c:numCache>
            </c:numRef>
          </c:yVal>
        </c:ser>
        <c:ser>
          <c:idx val="8"/>
          <c:order val="4"/>
          <c:spPr>
            <a:ln w="28575">
              <a:noFill/>
            </a:ln>
          </c:spPr>
          <c:marker>
            <c:symbol val="circle"/>
            <c:size val="5"/>
            <c:spPr>
              <a:noFill/>
              <a:ln>
                <a:solidFill>
                  <a:srgbClr val="0000FF"/>
                </a:solidFill>
                <a:prstDash val="solid"/>
              </a:ln>
            </c:spPr>
          </c:marker>
          <c:xVal>
            <c:numRef>
              <c:f>Normal!$AS$57:$AS$456</c:f>
              <c:numCache>
                <c:formatCode>General</c:formatCode>
                <c:ptCount val="400"/>
                <c:pt idx="0">
                  <c:v>0.43</c:v>
                </c:pt>
                <c:pt idx="1">
                  <c:v>0.43</c:v>
                </c:pt>
                <c:pt idx="2">
                  <c:v>0.43</c:v>
                </c:pt>
                <c:pt idx="3">
                  <c:v>0.43</c:v>
                </c:pt>
                <c:pt idx="4">
                  <c:v>0.43</c:v>
                </c:pt>
                <c:pt idx="5">
                  <c:v>0.43</c:v>
                </c:pt>
                <c:pt idx="6">
                  <c:v>0.43</c:v>
                </c:pt>
                <c:pt idx="7">
                  <c:v>0.43</c:v>
                </c:pt>
                <c:pt idx="8">
                  <c:v>0.43</c:v>
                </c:pt>
                <c:pt idx="9">
                  <c:v>0.43</c:v>
                </c:pt>
                <c:pt idx="10">
                  <c:v>0.43</c:v>
                </c:pt>
                <c:pt idx="11">
                  <c:v>0.43</c:v>
                </c:pt>
                <c:pt idx="12">
                  <c:v>0.43</c:v>
                </c:pt>
                <c:pt idx="13">
                  <c:v>0.43</c:v>
                </c:pt>
              </c:numCache>
            </c:numRef>
          </c:xVal>
          <c:yVal>
            <c:numRef>
              <c:f>Normal!$AT$57:$AT$456</c:f>
              <c:numCache>
                <c:formatCode>General</c:formatCode>
                <c:ptCount val="400"/>
              </c:numCache>
            </c:numRef>
          </c:yVal>
        </c:ser>
        <c:ser>
          <c:idx val="2"/>
          <c:order val="5"/>
          <c:spPr>
            <a:ln w="28575">
              <a:noFill/>
            </a:ln>
          </c:spPr>
          <c:marker>
            <c:symbol val="none"/>
          </c:marker>
          <c:errBars>
            <c:errDir val="y"/>
            <c:errBarType val="plus"/>
            <c:errValType val="cust"/>
            <c:noEndCap val="1"/>
            <c:plus>
              <c:numRef>
                <c:f>Normal!$AV$19</c:f>
                <c:numCache>
                  <c:formatCode>General</c:formatCode>
                  <c:ptCount val="1"/>
                  <c:pt idx="0">
                    <c:v>0.43</c:v>
                  </c:pt>
                </c:numCache>
              </c:numRef>
            </c:plus>
            <c:spPr>
              <a:ln w="12700">
                <a:pattFill prst="pct50">
                  <a:fgClr>
                    <a:srgbClr val="000000"/>
                  </a:fgClr>
                  <a:bgClr>
                    <a:srgbClr val="FFFFFF"/>
                  </a:bgClr>
                </a:pattFill>
                <a:prstDash val="solid"/>
              </a:ln>
            </c:spPr>
          </c:errBars>
          <c:xVal>
            <c:numRef>
              <c:f>Normal!$AZ$7:$AZ$19</c:f>
              <c:numCache>
                <c:formatCode>General</c:formatCode>
                <c:ptCount val="13"/>
                <c:pt idx="0">
                  <c:v>-6</c:v>
                </c:pt>
                <c:pt idx="1">
                  <c:v>-5</c:v>
                </c:pt>
                <c:pt idx="2">
                  <c:v>-4</c:v>
                </c:pt>
                <c:pt idx="3">
                  <c:v>-3</c:v>
                </c:pt>
                <c:pt idx="4">
                  <c:v>-2</c:v>
                </c:pt>
                <c:pt idx="5">
                  <c:v>-1</c:v>
                </c:pt>
                <c:pt idx="6">
                  <c:v>0</c:v>
                </c:pt>
                <c:pt idx="7">
                  <c:v>1</c:v>
                </c:pt>
                <c:pt idx="8">
                  <c:v>2</c:v>
                </c:pt>
                <c:pt idx="9">
                  <c:v>3</c:v>
                </c:pt>
                <c:pt idx="10">
                  <c:v>4</c:v>
                </c:pt>
                <c:pt idx="11">
                  <c:v>5</c:v>
                </c:pt>
                <c:pt idx="12">
                  <c:v>6</c:v>
                </c:pt>
              </c:numCache>
            </c:numRef>
          </c:xVal>
          <c:yVal>
            <c:numRef>
              <c:f>Normal!$BA$7:$BA$19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er>
        <c:ser>
          <c:idx val="1"/>
          <c:order val="6"/>
          <c:tx>
            <c:v/>
          </c:tx>
          <c:spPr>
            <a:ln w="25400">
              <a:solidFill>
                <a:srgbClr val="0000FF"/>
              </a:solidFill>
              <a:prstDash val="solid"/>
            </a:ln>
          </c:spPr>
          <c:marker>
            <c:symbol val="none"/>
          </c:marker>
          <c:xVal>
            <c:numRef>
              <c:f>Normal!$AV$21:$AV$1221</c:f>
              <c:numCache>
                <c:formatCode>General</c:formatCode>
                <c:ptCount val="1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pt idx="201">
                  <c:v>-3.9900000000000428</c:v>
                </c:pt>
                <c:pt idx="202">
                  <c:v>-3.9800000000000431</c:v>
                </c:pt>
                <c:pt idx="203">
                  <c:v>-3.9700000000000433</c:v>
                </c:pt>
                <c:pt idx="204">
                  <c:v>-3.9600000000000435</c:v>
                </c:pt>
                <c:pt idx="205">
                  <c:v>-3.9500000000000437</c:v>
                </c:pt>
                <c:pt idx="206">
                  <c:v>-3.9400000000000439</c:v>
                </c:pt>
                <c:pt idx="207">
                  <c:v>-3.9300000000000441</c:v>
                </c:pt>
                <c:pt idx="208">
                  <c:v>-3.9200000000000443</c:v>
                </c:pt>
                <c:pt idx="209">
                  <c:v>-3.9100000000000446</c:v>
                </c:pt>
                <c:pt idx="210">
                  <c:v>-3.9000000000000448</c:v>
                </c:pt>
                <c:pt idx="211">
                  <c:v>-3.890000000000045</c:v>
                </c:pt>
                <c:pt idx="212">
                  <c:v>-3.8800000000000452</c:v>
                </c:pt>
                <c:pt idx="213">
                  <c:v>-3.8700000000000454</c:v>
                </c:pt>
                <c:pt idx="214">
                  <c:v>-3.8600000000000456</c:v>
                </c:pt>
                <c:pt idx="215">
                  <c:v>-3.8500000000000458</c:v>
                </c:pt>
                <c:pt idx="216">
                  <c:v>-3.840000000000046</c:v>
                </c:pt>
                <c:pt idx="217">
                  <c:v>-3.8300000000000463</c:v>
                </c:pt>
                <c:pt idx="218">
                  <c:v>-3.8200000000000465</c:v>
                </c:pt>
                <c:pt idx="219">
                  <c:v>-3.8100000000000467</c:v>
                </c:pt>
                <c:pt idx="220">
                  <c:v>-3.8000000000000469</c:v>
                </c:pt>
                <c:pt idx="221">
                  <c:v>-3.7900000000000471</c:v>
                </c:pt>
                <c:pt idx="222">
                  <c:v>-3.7800000000000473</c:v>
                </c:pt>
                <c:pt idx="223">
                  <c:v>-3.7700000000000475</c:v>
                </c:pt>
                <c:pt idx="224">
                  <c:v>-3.7600000000000477</c:v>
                </c:pt>
                <c:pt idx="225">
                  <c:v>-3.750000000000048</c:v>
                </c:pt>
                <c:pt idx="226">
                  <c:v>-3.7400000000000482</c:v>
                </c:pt>
                <c:pt idx="227">
                  <c:v>-3.7300000000000484</c:v>
                </c:pt>
                <c:pt idx="228">
                  <c:v>-3.7200000000000486</c:v>
                </c:pt>
                <c:pt idx="229">
                  <c:v>-3.7100000000000488</c:v>
                </c:pt>
                <c:pt idx="230">
                  <c:v>-3.700000000000049</c:v>
                </c:pt>
                <c:pt idx="231">
                  <c:v>-3.6900000000000492</c:v>
                </c:pt>
                <c:pt idx="232">
                  <c:v>-3.6800000000000495</c:v>
                </c:pt>
                <c:pt idx="233">
                  <c:v>-3.6700000000000497</c:v>
                </c:pt>
                <c:pt idx="234">
                  <c:v>-3.6600000000000499</c:v>
                </c:pt>
                <c:pt idx="235">
                  <c:v>-3.6500000000000501</c:v>
                </c:pt>
                <c:pt idx="236">
                  <c:v>-3.6400000000000503</c:v>
                </c:pt>
                <c:pt idx="237">
                  <c:v>-3.6300000000000505</c:v>
                </c:pt>
                <c:pt idx="238">
                  <c:v>-3.6200000000000507</c:v>
                </c:pt>
                <c:pt idx="239">
                  <c:v>-3.6100000000000509</c:v>
                </c:pt>
                <c:pt idx="240">
                  <c:v>-3.6000000000000512</c:v>
                </c:pt>
                <c:pt idx="241">
                  <c:v>-3.5900000000000514</c:v>
                </c:pt>
                <c:pt idx="242">
                  <c:v>-3.5800000000000516</c:v>
                </c:pt>
                <c:pt idx="243">
                  <c:v>-3.5700000000000518</c:v>
                </c:pt>
                <c:pt idx="244">
                  <c:v>-3.560000000000052</c:v>
                </c:pt>
                <c:pt idx="245">
                  <c:v>-3.5500000000000522</c:v>
                </c:pt>
                <c:pt idx="246">
                  <c:v>-3.5400000000000524</c:v>
                </c:pt>
                <c:pt idx="247">
                  <c:v>-3.5300000000000527</c:v>
                </c:pt>
                <c:pt idx="248">
                  <c:v>-3.5200000000000529</c:v>
                </c:pt>
                <c:pt idx="249">
                  <c:v>-3.5100000000000531</c:v>
                </c:pt>
                <c:pt idx="250">
                  <c:v>-3.5000000000000533</c:v>
                </c:pt>
                <c:pt idx="251">
                  <c:v>-3.4900000000000535</c:v>
                </c:pt>
                <c:pt idx="252">
                  <c:v>-3.4800000000000537</c:v>
                </c:pt>
                <c:pt idx="253">
                  <c:v>-3.4700000000000539</c:v>
                </c:pt>
                <c:pt idx="254">
                  <c:v>-3.4600000000000541</c:v>
                </c:pt>
                <c:pt idx="255">
                  <c:v>-3.4500000000000544</c:v>
                </c:pt>
                <c:pt idx="256">
                  <c:v>-3.4400000000000546</c:v>
                </c:pt>
                <c:pt idx="257">
                  <c:v>-3.4300000000000548</c:v>
                </c:pt>
                <c:pt idx="258">
                  <c:v>-3.420000000000055</c:v>
                </c:pt>
                <c:pt idx="259">
                  <c:v>-3.4100000000000552</c:v>
                </c:pt>
                <c:pt idx="260">
                  <c:v>-3.4000000000000554</c:v>
                </c:pt>
                <c:pt idx="261">
                  <c:v>-3.3900000000000556</c:v>
                </c:pt>
                <c:pt idx="262">
                  <c:v>-3.3800000000000558</c:v>
                </c:pt>
                <c:pt idx="263">
                  <c:v>-3.3700000000000561</c:v>
                </c:pt>
                <c:pt idx="264">
                  <c:v>-3.3600000000000563</c:v>
                </c:pt>
                <c:pt idx="265">
                  <c:v>-3.3500000000000565</c:v>
                </c:pt>
                <c:pt idx="266">
                  <c:v>-3.3400000000000567</c:v>
                </c:pt>
                <c:pt idx="267">
                  <c:v>-3.3300000000000569</c:v>
                </c:pt>
                <c:pt idx="268">
                  <c:v>-3.3200000000000571</c:v>
                </c:pt>
                <c:pt idx="269">
                  <c:v>-3.3100000000000573</c:v>
                </c:pt>
                <c:pt idx="270">
                  <c:v>-3.3000000000000576</c:v>
                </c:pt>
                <c:pt idx="271">
                  <c:v>-3.2900000000000578</c:v>
                </c:pt>
                <c:pt idx="272">
                  <c:v>-3.280000000000058</c:v>
                </c:pt>
                <c:pt idx="273">
                  <c:v>-3.2700000000000582</c:v>
                </c:pt>
                <c:pt idx="274">
                  <c:v>-3.2600000000000584</c:v>
                </c:pt>
                <c:pt idx="275">
                  <c:v>-3.2500000000000586</c:v>
                </c:pt>
                <c:pt idx="276">
                  <c:v>-3.2400000000000588</c:v>
                </c:pt>
                <c:pt idx="277">
                  <c:v>-3.230000000000059</c:v>
                </c:pt>
                <c:pt idx="278">
                  <c:v>-3.2200000000000593</c:v>
                </c:pt>
                <c:pt idx="279">
                  <c:v>-3.2100000000000595</c:v>
                </c:pt>
                <c:pt idx="280">
                  <c:v>-3.2000000000000597</c:v>
                </c:pt>
                <c:pt idx="281">
                  <c:v>-3.1900000000000599</c:v>
                </c:pt>
                <c:pt idx="282">
                  <c:v>-3.1800000000000601</c:v>
                </c:pt>
                <c:pt idx="283">
                  <c:v>-3.1700000000000603</c:v>
                </c:pt>
                <c:pt idx="284">
                  <c:v>-3.1600000000000605</c:v>
                </c:pt>
                <c:pt idx="285">
                  <c:v>-3.1500000000000608</c:v>
                </c:pt>
                <c:pt idx="286">
                  <c:v>-3.140000000000061</c:v>
                </c:pt>
                <c:pt idx="287">
                  <c:v>-3.1300000000000612</c:v>
                </c:pt>
                <c:pt idx="288">
                  <c:v>-3.1200000000000614</c:v>
                </c:pt>
                <c:pt idx="289">
                  <c:v>-3.1100000000000616</c:v>
                </c:pt>
                <c:pt idx="290">
                  <c:v>-3.1000000000000618</c:v>
                </c:pt>
                <c:pt idx="291">
                  <c:v>-3.090000000000062</c:v>
                </c:pt>
                <c:pt idx="292">
                  <c:v>-3.0800000000000622</c:v>
                </c:pt>
                <c:pt idx="293">
                  <c:v>-3.0700000000000625</c:v>
                </c:pt>
                <c:pt idx="294">
                  <c:v>-3.0600000000000627</c:v>
                </c:pt>
                <c:pt idx="295">
                  <c:v>-3.0500000000000629</c:v>
                </c:pt>
                <c:pt idx="296">
                  <c:v>-3.0400000000000631</c:v>
                </c:pt>
                <c:pt idx="297">
                  <c:v>-3.0300000000000633</c:v>
                </c:pt>
                <c:pt idx="298">
                  <c:v>-3.0200000000000635</c:v>
                </c:pt>
                <c:pt idx="299">
                  <c:v>-3.0100000000000637</c:v>
                </c:pt>
                <c:pt idx="300">
                  <c:v>-3.0000000000000639</c:v>
                </c:pt>
                <c:pt idx="301">
                  <c:v>-2.9900000000000642</c:v>
                </c:pt>
                <c:pt idx="302">
                  <c:v>-2.9800000000000644</c:v>
                </c:pt>
                <c:pt idx="303">
                  <c:v>-2.9700000000000646</c:v>
                </c:pt>
                <c:pt idx="304">
                  <c:v>-2.9600000000000648</c:v>
                </c:pt>
                <c:pt idx="305">
                  <c:v>-2.950000000000065</c:v>
                </c:pt>
                <c:pt idx="306">
                  <c:v>-2.9400000000000652</c:v>
                </c:pt>
                <c:pt idx="307">
                  <c:v>-2.9300000000000654</c:v>
                </c:pt>
                <c:pt idx="308">
                  <c:v>-2.9200000000000657</c:v>
                </c:pt>
                <c:pt idx="309">
                  <c:v>-2.9100000000000659</c:v>
                </c:pt>
                <c:pt idx="310">
                  <c:v>-2.9000000000000661</c:v>
                </c:pt>
                <c:pt idx="311">
                  <c:v>-2.8900000000000663</c:v>
                </c:pt>
                <c:pt idx="312">
                  <c:v>-2.8800000000000665</c:v>
                </c:pt>
                <c:pt idx="313">
                  <c:v>-2.8700000000000667</c:v>
                </c:pt>
                <c:pt idx="314">
                  <c:v>-2.8600000000000669</c:v>
                </c:pt>
                <c:pt idx="315">
                  <c:v>-2.8500000000000671</c:v>
                </c:pt>
                <c:pt idx="316">
                  <c:v>-2.8400000000000674</c:v>
                </c:pt>
                <c:pt idx="317">
                  <c:v>-2.8300000000000676</c:v>
                </c:pt>
                <c:pt idx="318">
                  <c:v>-2.8200000000000678</c:v>
                </c:pt>
                <c:pt idx="319">
                  <c:v>-2.810000000000068</c:v>
                </c:pt>
                <c:pt idx="320">
                  <c:v>-2.8000000000000682</c:v>
                </c:pt>
                <c:pt idx="321">
                  <c:v>-2.7900000000000684</c:v>
                </c:pt>
                <c:pt idx="322">
                  <c:v>-2.7800000000000686</c:v>
                </c:pt>
                <c:pt idx="323">
                  <c:v>-2.7700000000000689</c:v>
                </c:pt>
                <c:pt idx="324">
                  <c:v>-2.7600000000000691</c:v>
                </c:pt>
                <c:pt idx="325">
                  <c:v>-2.7500000000000693</c:v>
                </c:pt>
                <c:pt idx="326">
                  <c:v>-2.7400000000000695</c:v>
                </c:pt>
                <c:pt idx="327">
                  <c:v>-2.7300000000000697</c:v>
                </c:pt>
                <c:pt idx="328">
                  <c:v>-2.7200000000000699</c:v>
                </c:pt>
                <c:pt idx="329">
                  <c:v>-2.7100000000000701</c:v>
                </c:pt>
                <c:pt idx="330">
                  <c:v>-2.7000000000000703</c:v>
                </c:pt>
                <c:pt idx="331">
                  <c:v>-2.6900000000000706</c:v>
                </c:pt>
                <c:pt idx="332">
                  <c:v>-2.6800000000000708</c:v>
                </c:pt>
                <c:pt idx="333">
                  <c:v>-2.670000000000071</c:v>
                </c:pt>
                <c:pt idx="334">
                  <c:v>-2.6600000000000712</c:v>
                </c:pt>
                <c:pt idx="335">
                  <c:v>-2.6500000000000714</c:v>
                </c:pt>
                <c:pt idx="336">
                  <c:v>-2.6400000000000716</c:v>
                </c:pt>
                <c:pt idx="337">
                  <c:v>-2.6300000000000718</c:v>
                </c:pt>
                <c:pt idx="338">
                  <c:v>-2.620000000000072</c:v>
                </c:pt>
                <c:pt idx="339">
                  <c:v>-2.6100000000000723</c:v>
                </c:pt>
                <c:pt idx="340">
                  <c:v>-2.6000000000000725</c:v>
                </c:pt>
                <c:pt idx="341">
                  <c:v>-2.5900000000000727</c:v>
                </c:pt>
                <c:pt idx="342">
                  <c:v>-2.5800000000000729</c:v>
                </c:pt>
                <c:pt idx="343">
                  <c:v>-2.5700000000000731</c:v>
                </c:pt>
                <c:pt idx="344">
                  <c:v>-2.5600000000000733</c:v>
                </c:pt>
                <c:pt idx="345">
                  <c:v>-2.5500000000000735</c:v>
                </c:pt>
                <c:pt idx="346">
                  <c:v>-2.5400000000000738</c:v>
                </c:pt>
                <c:pt idx="347">
                  <c:v>-2.530000000000074</c:v>
                </c:pt>
                <c:pt idx="348">
                  <c:v>-2.5200000000000742</c:v>
                </c:pt>
                <c:pt idx="349">
                  <c:v>-2.5100000000000744</c:v>
                </c:pt>
                <c:pt idx="350">
                  <c:v>-2.5000000000000746</c:v>
                </c:pt>
                <c:pt idx="351">
                  <c:v>-2.4900000000000748</c:v>
                </c:pt>
                <c:pt idx="352">
                  <c:v>-2.480000000000075</c:v>
                </c:pt>
                <c:pt idx="353">
                  <c:v>-2.4700000000000752</c:v>
                </c:pt>
                <c:pt idx="354">
                  <c:v>-2.4600000000000755</c:v>
                </c:pt>
                <c:pt idx="355">
                  <c:v>-2.4500000000000757</c:v>
                </c:pt>
                <c:pt idx="356">
                  <c:v>-2.4400000000000759</c:v>
                </c:pt>
                <c:pt idx="357">
                  <c:v>-2.4300000000000761</c:v>
                </c:pt>
                <c:pt idx="358">
                  <c:v>-2.4200000000000763</c:v>
                </c:pt>
                <c:pt idx="359">
                  <c:v>-2.4100000000000765</c:v>
                </c:pt>
                <c:pt idx="360">
                  <c:v>-2.4000000000000767</c:v>
                </c:pt>
                <c:pt idx="361">
                  <c:v>-2.390000000000077</c:v>
                </c:pt>
                <c:pt idx="362">
                  <c:v>-2.3800000000000772</c:v>
                </c:pt>
                <c:pt idx="363">
                  <c:v>-2.3700000000000774</c:v>
                </c:pt>
                <c:pt idx="364">
                  <c:v>-2.3600000000000776</c:v>
                </c:pt>
                <c:pt idx="365">
                  <c:v>-2.3500000000000778</c:v>
                </c:pt>
                <c:pt idx="366">
                  <c:v>-2.340000000000078</c:v>
                </c:pt>
                <c:pt idx="367">
                  <c:v>-2.3300000000000782</c:v>
                </c:pt>
                <c:pt idx="368">
                  <c:v>-2.3200000000000784</c:v>
                </c:pt>
                <c:pt idx="369">
                  <c:v>-2.3100000000000787</c:v>
                </c:pt>
                <c:pt idx="370">
                  <c:v>-2.3000000000000789</c:v>
                </c:pt>
                <c:pt idx="371">
                  <c:v>-2.2900000000000791</c:v>
                </c:pt>
                <c:pt idx="372">
                  <c:v>-2.2800000000000793</c:v>
                </c:pt>
                <c:pt idx="373">
                  <c:v>-2.2700000000000795</c:v>
                </c:pt>
                <c:pt idx="374">
                  <c:v>-2.2600000000000797</c:v>
                </c:pt>
                <c:pt idx="375">
                  <c:v>-2.2500000000000799</c:v>
                </c:pt>
                <c:pt idx="376">
                  <c:v>-2.2400000000000801</c:v>
                </c:pt>
                <c:pt idx="377">
                  <c:v>-2.2300000000000804</c:v>
                </c:pt>
                <c:pt idx="378">
                  <c:v>-2.2200000000000806</c:v>
                </c:pt>
                <c:pt idx="379">
                  <c:v>-2.2100000000000808</c:v>
                </c:pt>
                <c:pt idx="380">
                  <c:v>-2.200000000000081</c:v>
                </c:pt>
                <c:pt idx="381">
                  <c:v>-2.1900000000000812</c:v>
                </c:pt>
                <c:pt idx="382">
                  <c:v>-2.1800000000000814</c:v>
                </c:pt>
                <c:pt idx="383">
                  <c:v>-2.1700000000000816</c:v>
                </c:pt>
                <c:pt idx="384">
                  <c:v>-2.1600000000000819</c:v>
                </c:pt>
                <c:pt idx="385">
                  <c:v>-2.1500000000000821</c:v>
                </c:pt>
                <c:pt idx="386">
                  <c:v>-2.1400000000000823</c:v>
                </c:pt>
                <c:pt idx="387">
                  <c:v>-2.1300000000000825</c:v>
                </c:pt>
                <c:pt idx="388">
                  <c:v>-2.1200000000000827</c:v>
                </c:pt>
                <c:pt idx="389">
                  <c:v>-2.1100000000000829</c:v>
                </c:pt>
                <c:pt idx="390">
                  <c:v>-2.1000000000000831</c:v>
                </c:pt>
                <c:pt idx="391">
                  <c:v>-2.0900000000000833</c:v>
                </c:pt>
                <c:pt idx="392">
                  <c:v>-2.0800000000000836</c:v>
                </c:pt>
                <c:pt idx="393">
                  <c:v>-2.0700000000000838</c:v>
                </c:pt>
                <c:pt idx="394">
                  <c:v>-2.060000000000084</c:v>
                </c:pt>
                <c:pt idx="395">
                  <c:v>-2.0500000000000842</c:v>
                </c:pt>
                <c:pt idx="396">
                  <c:v>-2.0400000000000844</c:v>
                </c:pt>
                <c:pt idx="397">
                  <c:v>-2.0300000000000846</c:v>
                </c:pt>
                <c:pt idx="398">
                  <c:v>-2.0200000000000848</c:v>
                </c:pt>
                <c:pt idx="399">
                  <c:v>-2.0100000000000851</c:v>
                </c:pt>
                <c:pt idx="400">
                  <c:v>-2.0000000000000853</c:v>
                </c:pt>
                <c:pt idx="401">
                  <c:v>-1.9900000000000853</c:v>
                </c:pt>
                <c:pt idx="402">
                  <c:v>-1.9800000000000852</c:v>
                </c:pt>
                <c:pt idx="403">
                  <c:v>-1.9700000000000852</c:v>
                </c:pt>
                <c:pt idx="404">
                  <c:v>-1.9600000000000852</c:v>
                </c:pt>
                <c:pt idx="405">
                  <c:v>-1.9500000000000852</c:v>
                </c:pt>
                <c:pt idx="406">
                  <c:v>-1.9400000000000852</c:v>
                </c:pt>
                <c:pt idx="407">
                  <c:v>-1.9300000000000852</c:v>
                </c:pt>
                <c:pt idx="408">
                  <c:v>-1.9200000000000852</c:v>
                </c:pt>
                <c:pt idx="409">
                  <c:v>-1.9100000000000852</c:v>
                </c:pt>
                <c:pt idx="410">
                  <c:v>-1.9000000000000852</c:v>
                </c:pt>
                <c:pt idx="411">
                  <c:v>-1.8900000000000852</c:v>
                </c:pt>
                <c:pt idx="412">
                  <c:v>-1.8800000000000852</c:v>
                </c:pt>
                <c:pt idx="413">
                  <c:v>-1.8700000000000851</c:v>
                </c:pt>
                <c:pt idx="414">
                  <c:v>-1.8600000000000851</c:v>
                </c:pt>
                <c:pt idx="415">
                  <c:v>-1.8500000000000851</c:v>
                </c:pt>
                <c:pt idx="416">
                  <c:v>-1.8400000000000851</c:v>
                </c:pt>
                <c:pt idx="417">
                  <c:v>-1.8300000000000851</c:v>
                </c:pt>
                <c:pt idx="418">
                  <c:v>-1.8200000000000851</c:v>
                </c:pt>
                <c:pt idx="419">
                  <c:v>-1.8100000000000851</c:v>
                </c:pt>
                <c:pt idx="420">
                  <c:v>-1.8000000000000851</c:v>
                </c:pt>
                <c:pt idx="421">
                  <c:v>-1.7900000000000851</c:v>
                </c:pt>
                <c:pt idx="422">
                  <c:v>-1.7800000000000851</c:v>
                </c:pt>
                <c:pt idx="423">
                  <c:v>-1.7700000000000851</c:v>
                </c:pt>
                <c:pt idx="424">
                  <c:v>-1.7600000000000851</c:v>
                </c:pt>
                <c:pt idx="425">
                  <c:v>-1.750000000000085</c:v>
                </c:pt>
                <c:pt idx="426">
                  <c:v>-1.740000000000085</c:v>
                </c:pt>
                <c:pt idx="427">
                  <c:v>-1.730000000000085</c:v>
                </c:pt>
                <c:pt idx="428">
                  <c:v>-1.720000000000085</c:v>
                </c:pt>
                <c:pt idx="429">
                  <c:v>-1.710000000000085</c:v>
                </c:pt>
                <c:pt idx="430">
                  <c:v>-1.700000000000085</c:v>
                </c:pt>
                <c:pt idx="431">
                  <c:v>-1.690000000000085</c:v>
                </c:pt>
                <c:pt idx="432">
                  <c:v>-1.680000000000085</c:v>
                </c:pt>
                <c:pt idx="433">
                  <c:v>-1.670000000000085</c:v>
                </c:pt>
                <c:pt idx="434">
                  <c:v>-1.660000000000085</c:v>
                </c:pt>
                <c:pt idx="435">
                  <c:v>-1.650000000000085</c:v>
                </c:pt>
                <c:pt idx="436">
                  <c:v>-1.6400000000000849</c:v>
                </c:pt>
                <c:pt idx="437">
                  <c:v>-1.6300000000000849</c:v>
                </c:pt>
                <c:pt idx="438">
                  <c:v>-1.6200000000000849</c:v>
                </c:pt>
                <c:pt idx="439">
                  <c:v>-1.6100000000000849</c:v>
                </c:pt>
                <c:pt idx="440">
                  <c:v>-1.6000000000000849</c:v>
                </c:pt>
                <c:pt idx="441">
                  <c:v>-1.5900000000000849</c:v>
                </c:pt>
                <c:pt idx="442">
                  <c:v>-1.5800000000000849</c:v>
                </c:pt>
                <c:pt idx="443">
                  <c:v>-1.5700000000000849</c:v>
                </c:pt>
                <c:pt idx="444">
                  <c:v>-1.5600000000000849</c:v>
                </c:pt>
                <c:pt idx="445">
                  <c:v>-1.5500000000000849</c:v>
                </c:pt>
                <c:pt idx="446">
                  <c:v>-1.5400000000000849</c:v>
                </c:pt>
                <c:pt idx="447">
                  <c:v>-1.5300000000000848</c:v>
                </c:pt>
                <c:pt idx="448">
                  <c:v>-1.5200000000000848</c:v>
                </c:pt>
                <c:pt idx="449">
                  <c:v>-1.5100000000000848</c:v>
                </c:pt>
                <c:pt idx="450">
                  <c:v>-1.5000000000000848</c:v>
                </c:pt>
                <c:pt idx="451">
                  <c:v>-1.4900000000000848</c:v>
                </c:pt>
                <c:pt idx="452">
                  <c:v>-1.4800000000000848</c:v>
                </c:pt>
                <c:pt idx="453">
                  <c:v>-1.4700000000000848</c:v>
                </c:pt>
                <c:pt idx="454">
                  <c:v>-1.4600000000000848</c:v>
                </c:pt>
                <c:pt idx="455">
                  <c:v>-1.4500000000000848</c:v>
                </c:pt>
                <c:pt idx="456">
                  <c:v>-1.4400000000000848</c:v>
                </c:pt>
                <c:pt idx="457">
                  <c:v>-1.4300000000000848</c:v>
                </c:pt>
                <c:pt idx="458">
                  <c:v>-1.4200000000000847</c:v>
                </c:pt>
                <c:pt idx="459">
                  <c:v>-1.4100000000000847</c:v>
                </c:pt>
                <c:pt idx="460">
                  <c:v>-1.4000000000000847</c:v>
                </c:pt>
                <c:pt idx="461">
                  <c:v>-1.3900000000000847</c:v>
                </c:pt>
                <c:pt idx="462">
                  <c:v>-1.3800000000000847</c:v>
                </c:pt>
                <c:pt idx="463">
                  <c:v>-1.3700000000000847</c:v>
                </c:pt>
                <c:pt idx="464">
                  <c:v>-1.3600000000000847</c:v>
                </c:pt>
                <c:pt idx="465">
                  <c:v>-1.3500000000000847</c:v>
                </c:pt>
                <c:pt idx="466">
                  <c:v>-1.3400000000000847</c:v>
                </c:pt>
                <c:pt idx="467">
                  <c:v>-1.3300000000000847</c:v>
                </c:pt>
                <c:pt idx="468">
                  <c:v>-1.3200000000000847</c:v>
                </c:pt>
                <c:pt idx="469">
                  <c:v>-1.3100000000000847</c:v>
                </c:pt>
                <c:pt idx="470">
                  <c:v>-1.3000000000000846</c:v>
                </c:pt>
                <c:pt idx="471">
                  <c:v>-1.2900000000000846</c:v>
                </c:pt>
                <c:pt idx="472">
                  <c:v>-1.2800000000000846</c:v>
                </c:pt>
                <c:pt idx="473">
                  <c:v>-1.2700000000000846</c:v>
                </c:pt>
                <c:pt idx="474">
                  <c:v>-1.2600000000000846</c:v>
                </c:pt>
                <c:pt idx="475">
                  <c:v>-1.2500000000000846</c:v>
                </c:pt>
                <c:pt idx="476">
                  <c:v>-1.2400000000000846</c:v>
                </c:pt>
                <c:pt idx="477">
                  <c:v>-1.2300000000000846</c:v>
                </c:pt>
                <c:pt idx="478">
                  <c:v>-1.2200000000000846</c:v>
                </c:pt>
                <c:pt idx="479">
                  <c:v>-1.2100000000000846</c:v>
                </c:pt>
                <c:pt idx="480">
                  <c:v>-1.2000000000000846</c:v>
                </c:pt>
                <c:pt idx="481">
                  <c:v>-1.1900000000000845</c:v>
                </c:pt>
                <c:pt idx="482">
                  <c:v>-1.1800000000000845</c:v>
                </c:pt>
                <c:pt idx="483">
                  <c:v>-1.1700000000000845</c:v>
                </c:pt>
                <c:pt idx="484">
                  <c:v>-1.1600000000000845</c:v>
                </c:pt>
                <c:pt idx="485">
                  <c:v>-1.1500000000000845</c:v>
                </c:pt>
                <c:pt idx="486">
                  <c:v>-1.1400000000000845</c:v>
                </c:pt>
                <c:pt idx="487">
                  <c:v>-1.1300000000000845</c:v>
                </c:pt>
                <c:pt idx="488">
                  <c:v>-1.1200000000000845</c:v>
                </c:pt>
                <c:pt idx="489">
                  <c:v>-1.1100000000000845</c:v>
                </c:pt>
                <c:pt idx="490">
                  <c:v>-1.1000000000000845</c:v>
                </c:pt>
                <c:pt idx="491">
                  <c:v>-1.0900000000000845</c:v>
                </c:pt>
                <c:pt idx="492">
                  <c:v>-1.0800000000000844</c:v>
                </c:pt>
                <c:pt idx="493">
                  <c:v>-1.0700000000000844</c:v>
                </c:pt>
                <c:pt idx="494">
                  <c:v>-1.0600000000000844</c:v>
                </c:pt>
                <c:pt idx="495">
                  <c:v>-1.0500000000000844</c:v>
                </c:pt>
                <c:pt idx="496">
                  <c:v>-1.0400000000000844</c:v>
                </c:pt>
                <c:pt idx="497">
                  <c:v>-1.0300000000000844</c:v>
                </c:pt>
                <c:pt idx="498">
                  <c:v>-1.0200000000000844</c:v>
                </c:pt>
                <c:pt idx="499">
                  <c:v>-1.0100000000000844</c:v>
                </c:pt>
                <c:pt idx="500">
                  <c:v>-1.0000000000000844</c:v>
                </c:pt>
                <c:pt idx="501">
                  <c:v>-0.99000000000008437</c:v>
                </c:pt>
                <c:pt idx="502">
                  <c:v>-0.98000000000008436</c:v>
                </c:pt>
                <c:pt idx="503">
                  <c:v>-0.97000000000008435</c:v>
                </c:pt>
                <c:pt idx="504">
                  <c:v>-0.96000000000008434</c:v>
                </c:pt>
                <c:pt idx="505">
                  <c:v>-0.95000000000008433</c:v>
                </c:pt>
                <c:pt idx="506">
                  <c:v>-0.94000000000008432</c:v>
                </c:pt>
                <c:pt idx="507">
                  <c:v>-0.93000000000008431</c:v>
                </c:pt>
                <c:pt idx="508">
                  <c:v>-0.92000000000008431</c:v>
                </c:pt>
                <c:pt idx="509">
                  <c:v>-0.9100000000000843</c:v>
                </c:pt>
                <c:pt idx="510">
                  <c:v>-0.90000000000008429</c:v>
                </c:pt>
                <c:pt idx="511">
                  <c:v>-0.89000000000008428</c:v>
                </c:pt>
                <c:pt idx="512">
                  <c:v>-0.88000000000008427</c:v>
                </c:pt>
                <c:pt idx="513">
                  <c:v>-0.87000000000008426</c:v>
                </c:pt>
                <c:pt idx="514">
                  <c:v>-0.86000000000008425</c:v>
                </c:pt>
                <c:pt idx="515">
                  <c:v>-0.85000000000008424</c:v>
                </c:pt>
                <c:pt idx="516">
                  <c:v>-0.84000000000008423</c:v>
                </c:pt>
                <c:pt idx="517">
                  <c:v>-0.83000000000008423</c:v>
                </c:pt>
                <c:pt idx="518">
                  <c:v>-0.82000000000008422</c:v>
                </c:pt>
                <c:pt idx="519">
                  <c:v>-0.81000000000008421</c:v>
                </c:pt>
                <c:pt idx="520">
                  <c:v>-0.8000000000000842</c:v>
                </c:pt>
                <c:pt idx="521">
                  <c:v>-0.79000000000008419</c:v>
                </c:pt>
                <c:pt idx="522">
                  <c:v>-0.78000000000008418</c:v>
                </c:pt>
                <c:pt idx="523">
                  <c:v>-0.77000000000008417</c:v>
                </c:pt>
                <c:pt idx="524">
                  <c:v>-0.76000000000008416</c:v>
                </c:pt>
                <c:pt idx="525">
                  <c:v>-0.75000000000008415</c:v>
                </c:pt>
                <c:pt idx="526">
                  <c:v>-0.74000000000008415</c:v>
                </c:pt>
                <c:pt idx="527">
                  <c:v>-0.73000000000008414</c:v>
                </c:pt>
                <c:pt idx="528">
                  <c:v>-0.72000000000008413</c:v>
                </c:pt>
                <c:pt idx="529">
                  <c:v>-0.71000000000008412</c:v>
                </c:pt>
                <c:pt idx="530">
                  <c:v>-0.70000000000008411</c:v>
                </c:pt>
                <c:pt idx="531">
                  <c:v>-0.6900000000000841</c:v>
                </c:pt>
                <c:pt idx="532">
                  <c:v>-0.68000000000008409</c:v>
                </c:pt>
                <c:pt idx="533">
                  <c:v>-0.67000000000008408</c:v>
                </c:pt>
                <c:pt idx="534">
                  <c:v>-0.66000000000008407</c:v>
                </c:pt>
                <c:pt idx="535">
                  <c:v>-0.65000000000008407</c:v>
                </c:pt>
                <c:pt idx="536">
                  <c:v>-0.64000000000008406</c:v>
                </c:pt>
                <c:pt idx="537">
                  <c:v>-0.63000000000008405</c:v>
                </c:pt>
                <c:pt idx="538">
                  <c:v>-0.62000000000008404</c:v>
                </c:pt>
                <c:pt idx="539">
                  <c:v>-0.61000000000008403</c:v>
                </c:pt>
                <c:pt idx="540">
                  <c:v>-0.60000000000008402</c:v>
                </c:pt>
                <c:pt idx="541">
                  <c:v>-0.59000000000008401</c:v>
                </c:pt>
                <c:pt idx="542">
                  <c:v>-0.580000000000084</c:v>
                </c:pt>
                <c:pt idx="543">
                  <c:v>-0.570000000000084</c:v>
                </c:pt>
                <c:pt idx="544">
                  <c:v>-0.56000000000008399</c:v>
                </c:pt>
                <c:pt idx="545">
                  <c:v>-0.55000000000008398</c:v>
                </c:pt>
                <c:pt idx="546">
                  <c:v>-0.54000000000008397</c:v>
                </c:pt>
                <c:pt idx="547">
                  <c:v>-0.53000000000008396</c:v>
                </c:pt>
                <c:pt idx="548">
                  <c:v>-0.52000000000008395</c:v>
                </c:pt>
                <c:pt idx="549">
                  <c:v>-0.51000000000008394</c:v>
                </c:pt>
                <c:pt idx="550">
                  <c:v>-0.50000000000008393</c:v>
                </c:pt>
                <c:pt idx="551">
                  <c:v>-0.49000000000008392</c:v>
                </c:pt>
                <c:pt idx="552">
                  <c:v>-0.48000000000008392</c:v>
                </c:pt>
                <c:pt idx="553">
                  <c:v>-0.47000000000008391</c:v>
                </c:pt>
                <c:pt idx="554">
                  <c:v>-0.4600000000000839</c:v>
                </c:pt>
                <c:pt idx="555">
                  <c:v>-0.45000000000008389</c:v>
                </c:pt>
                <c:pt idx="556">
                  <c:v>-0.44000000000008388</c:v>
                </c:pt>
                <c:pt idx="557">
                  <c:v>-0.43000000000008387</c:v>
                </c:pt>
                <c:pt idx="558">
                  <c:v>-0.42000000000008386</c:v>
                </c:pt>
                <c:pt idx="559">
                  <c:v>-0.41000000000008385</c:v>
                </c:pt>
                <c:pt idx="560">
                  <c:v>-0.40000000000008384</c:v>
                </c:pt>
                <c:pt idx="561">
                  <c:v>-0.39000000000008384</c:v>
                </c:pt>
                <c:pt idx="562">
                  <c:v>-0.38000000000008383</c:v>
                </c:pt>
                <c:pt idx="563">
                  <c:v>-0.37000000000008382</c:v>
                </c:pt>
                <c:pt idx="564">
                  <c:v>-0.36000000000008381</c:v>
                </c:pt>
                <c:pt idx="565">
                  <c:v>-0.3500000000000838</c:v>
                </c:pt>
                <c:pt idx="566">
                  <c:v>-0.34000000000008379</c:v>
                </c:pt>
                <c:pt idx="567">
                  <c:v>-0.33000000000008378</c:v>
                </c:pt>
                <c:pt idx="568">
                  <c:v>-0.32000000000008377</c:v>
                </c:pt>
                <c:pt idx="569">
                  <c:v>-0.31000000000008376</c:v>
                </c:pt>
                <c:pt idx="570">
                  <c:v>-0.30000000000008376</c:v>
                </c:pt>
                <c:pt idx="571">
                  <c:v>-0.29000000000008375</c:v>
                </c:pt>
                <c:pt idx="572">
                  <c:v>-0.28000000000008374</c:v>
                </c:pt>
                <c:pt idx="573">
                  <c:v>-0.27000000000008373</c:v>
                </c:pt>
                <c:pt idx="574">
                  <c:v>-0.26000000000008372</c:v>
                </c:pt>
                <c:pt idx="575">
                  <c:v>-0.25000000000008371</c:v>
                </c:pt>
                <c:pt idx="576">
                  <c:v>-0.2400000000000837</c:v>
                </c:pt>
                <c:pt idx="577">
                  <c:v>-0.23000000000008369</c:v>
                </c:pt>
                <c:pt idx="578">
                  <c:v>-0.22000000000008368</c:v>
                </c:pt>
                <c:pt idx="579">
                  <c:v>-0.21000000000008368</c:v>
                </c:pt>
                <c:pt idx="580">
                  <c:v>-0.20000000000008367</c:v>
                </c:pt>
                <c:pt idx="581">
                  <c:v>-0.19000000000008366</c:v>
                </c:pt>
                <c:pt idx="582">
                  <c:v>-0.18000000000008365</c:v>
                </c:pt>
                <c:pt idx="583">
                  <c:v>-0.17000000000008364</c:v>
                </c:pt>
                <c:pt idx="584">
                  <c:v>-0.16000000000008363</c:v>
                </c:pt>
                <c:pt idx="585">
                  <c:v>-0.15000000000008362</c:v>
                </c:pt>
                <c:pt idx="586">
                  <c:v>-0.14000000000008361</c:v>
                </c:pt>
                <c:pt idx="587">
                  <c:v>-0.1300000000000836</c:v>
                </c:pt>
                <c:pt idx="588">
                  <c:v>-0.12000000000008361</c:v>
                </c:pt>
                <c:pt idx="589">
                  <c:v>-0.11000000000008361</c:v>
                </c:pt>
                <c:pt idx="590">
                  <c:v>-0.10000000000008362</c:v>
                </c:pt>
                <c:pt idx="591">
                  <c:v>-9.0000000000083624E-2</c:v>
                </c:pt>
                <c:pt idx="592">
                  <c:v>-8.0000000000083629E-2</c:v>
                </c:pt>
                <c:pt idx="593">
                  <c:v>-7.0000000000083634E-2</c:v>
                </c:pt>
                <c:pt idx="594">
                  <c:v>-6.0000000000083632E-2</c:v>
                </c:pt>
                <c:pt idx="595">
                  <c:v>-5.000000000008363E-2</c:v>
                </c:pt>
                <c:pt idx="596">
                  <c:v>-4.0000000000083628E-2</c:v>
                </c:pt>
                <c:pt idx="597">
                  <c:v>-3.0000000000083626E-2</c:v>
                </c:pt>
                <c:pt idx="598">
                  <c:v>-2.0000000000083624E-2</c:v>
                </c:pt>
                <c:pt idx="599">
                  <c:v>-1.0000000000083624E-2</c:v>
                </c:pt>
                <c:pt idx="600">
                  <c:v>-8.3624079882937963E-14</c:v>
                </c:pt>
                <c:pt idx="601">
                  <c:v>9.9999999999163761E-3</c:v>
                </c:pt>
                <c:pt idx="602">
                  <c:v>1.9999999999916376E-2</c:v>
                </c:pt>
                <c:pt idx="603">
                  <c:v>2.9999999999916378E-2</c:v>
                </c:pt>
                <c:pt idx="604">
                  <c:v>3.999999999991638E-2</c:v>
                </c:pt>
                <c:pt idx="605">
                  <c:v>4.9999999999916382E-2</c:v>
                </c:pt>
                <c:pt idx="606">
                  <c:v>5.9999999999916384E-2</c:v>
                </c:pt>
                <c:pt idx="607">
                  <c:v>6.9999999999916379E-2</c:v>
                </c:pt>
                <c:pt idx="608">
                  <c:v>7.9999999999916374E-2</c:v>
                </c:pt>
                <c:pt idx="609">
                  <c:v>8.9999999999916369E-2</c:v>
                </c:pt>
                <c:pt idx="610">
                  <c:v>9.9999999999916364E-2</c:v>
                </c:pt>
                <c:pt idx="611">
                  <c:v>0.10999999999991636</c:v>
                </c:pt>
                <c:pt idx="612">
                  <c:v>0.11999999999991635</c:v>
                </c:pt>
                <c:pt idx="613">
                  <c:v>0.12999999999991635</c:v>
                </c:pt>
                <c:pt idx="614">
                  <c:v>0.13999999999991636</c:v>
                </c:pt>
                <c:pt idx="615">
                  <c:v>0.14999999999991637</c:v>
                </c:pt>
                <c:pt idx="616">
                  <c:v>0.15999999999991638</c:v>
                </c:pt>
                <c:pt idx="617">
                  <c:v>0.16999999999991638</c:v>
                </c:pt>
                <c:pt idx="618">
                  <c:v>0.17999999999991639</c:v>
                </c:pt>
                <c:pt idx="619">
                  <c:v>0.1899999999999164</c:v>
                </c:pt>
                <c:pt idx="620">
                  <c:v>0.19999999999991641</c:v>
                </c:pt>
                <c:pt idx="621">
                  <c:v>0.20999999999991642</c:v>
                </c:pt>
                <c:pt idx="622">
                  <c:v>0.21999999999991643</c:v>
                </c:pt>
                <c:pt idx="623">
                  <c:v>0.22999999999991644</c:v>
                </c:pt>
                <c:pt idx="624">
                  <c:v>0.23999999999991645</c:v>
                </c:pt>
                <c:pt idx="625">
                  <c:v>0.24999999999991646</c:v>
                </c:pt>
                <c:pt idx="626">
                  <c:v>0.25999999999991646</c:v>
                </c:pt>
                <c:pt idx="627">
                  <c:v>0.26999999999991647</c:v>
                </c:pt>
                <c:pt idx="628">
                  <c:v>0.27999999999991648</c:v>
                </c:pt>
                <c:pt idx="629">
                  <c:v>0.28999999999991649</c:v>
                </c:pt>
                <c:pt idx="630">
                  <c:v>0.2999999999999165</c:v>
                </c:pt>
                <c:pt idx="631">
                  <c:v>0.30999999999991651</c:v>
                </c:pt>
                <c:pt idx="632">
                  <c:v>0.31999999999991652</c:v>
                </c:pt>
                <c:pt idx="633">
                  <c:v>0.32999999999991653</c:v>
                </c:pt>
                <c:pt idx="634">
                  <c:v>0.33999999999991654</c:v>
                </c:pt>
                <c:pt idx="635">
                  <c:v>0.34999999999991654</c:v>
                </c:pt>
                <c:pt idx="636">
                  <c:v>0.35999999999991655</c:v>
                </c:pt>
                <c:pt idx="637">
                  <c:v>0.36999999999991656</c:v>
                </c:pt>
                <c:pt idx="638">
                  <c:v>0.37999999999991657</c:v>
                </c:pt>
                <c:pt idx="639">
                  <c:v>0.38999999999991658</c:v>
                </c:pt>
                <c:pt idx="640">
                  <c:v>0.39999999999991659</c:v>
                </c:pt>
                <c:pt idx="641">
                  <c:v>0.4099999999999166</c:v>
                </c:pt>
                <c:pt idx="642">
                  <c:v>0.41999999999991661</c:v>
                </c:pt>
                <c:pt idx="643">
                  <c:v>0.42999999999991662</c:v>
                </c:pt>
                <c:pt idx="644">
                  <c:v>0.43999999999991662</c:v>
                </c:pt>
                <c:pt idx="645">
                  <c:v>0.44999999999991663</c:v>
                </c:pt>
                <c:pt idx="646">
                  <c:v>0.45999999999991664</c:v>
                </c:pt>
                <c:pt idx="647">
                  <c:v>0.46999999999991665</c:v>
                </c:pt>
                <c:pt idx="648">
                  <c:v>0.47999999999991666</c:v>
                </c:pt>
                <c:pt idx="649">
                  <c:v>0.48999999999991667</c:v>
                </c:pt>
                <c:pt idx="650">
                  <c:v>0.49999999999991668</c:v>
                </c:pt>
                <c:pt idx="651">
                  <c:v>0.50999999999991663</c:v>
                </c:pt>
                <c:pt idx="652">
                  <c:v>0.51999999999991664</c:v>
                </c:pt>
                <c:pt idx="653">
                  <c:v>0.52999999999991665</c:v>
                </c:pt>
                <c:pt idx="654">
                  <c:v>0.53999999999991666</c:v>
                </c:pt>
                <c:pt idx="655">
                  <c:v>0.54999999999991667</c:v>
                </c:pt>
                <c:pt idx="656">
                  <c:v>0.55999999999991668</c:v>
                </c:pt>
                <c:pt idx="657">
                  <c:v>0.56999999999991668</c:v>
                </c:pt>
                <c:pt idx="658">
                  <c:v>0.57999999999991669</c:v>
                </c:pt>
                <c:pt idx="659">
                  <c:v>0.5899999999999167</c:v>
                </c:pt>
                <c:pt idx="660">
                  <c:v>0.59999999999991671</c:v>
                </c:pt>
                <c:pt idx="661">
                  <c:v>0.60999999999991672</c:v>
                </c:pt>
                <c:pt idx="662">
                  <c:v>0.61999999999991673</c:v>
                </c:pt>
                <c:pt idx="663">
                  <c:v>0.62999999999991674</c:v>
                </c:pt>
                <c:pt idx="664">
                  <c:v>0.63999999999991675</c:v>
                </c:pt>
                <c:pt idx="665">
                  <c:v>0.64999999999991676</c:v>
                </c:pt>
                <c:pt idx="666">
                  <c:v>0.65999999999991676</c:v>
                </c:pt>
                <c:pt idx="667">
                  <c:v>0.66999999999991677</c:v>
                </c:pt>
                <c:pt idx="668">
                  <c:v>0.67999999999991678</c:v>
                </c:pt>
                <c:pt idx="669">
                  <c:v>0.68999999999991679</c:v>
                </c:pt>
                <c:pt idx="670">
                  <c:v>0.6999999999999168</c:v>
                </c:pt>
                <c:pt idx="671">
                  <c:v>0.70999999999991681</c:v>
                </c:pt>
                <c:pt idx="672">
                  <c:v>0.71999999999991682</c:v>
                </c:pt>
                <c:pt idx="673">
                  <c:v>0.72999999999991683</c:v>
                </c:pt>
                <c:pt idx="674">
                  <c:v>0.73999999999991684</c:v>
                </c:pt>
                <c:pt idx="675">
                  <c:v>0.74999999999991684</c:v>
                </c:pt>
                <c:pt idx="676">
                  <c:v>0.75999999999991685</c:v>
                </c:pt>
                <c:pt idx="677">
                  <c:v>0.76999999999991686</c:v>
                </c:pt>
                <c:pt idx="678">
                  <c:v>0.77999999999991687</c:v>
                </c:pt>
                <c:pt idx="679">
                  <c:v>0.78999999999991688</c:v>
                </c:pt>
                <c:pt idx="680">
                  <c:v>0.79999999999991689</c:v>
                </c:pt>
                <c:pt idx="681">
                  <c:v>0.8099999999999169</c:v>
                </c:pt>
                <c:pt idx="682">
                  <c:v>0.81999999999991691</c:v>
                </c:pt>
                <c:pt idx="683">
                  <c:v>0.82999999999991692</c:v>
                </c:pt>
                <c:pt idx="684">
                  <c:v>0.83999999999991692</c:v>
                </c:pt>
                <c:pt idx="685">
                  <c:v>0.84999999999991693</c:v>
                </c:pt>
                <c:pt idx="686">
                  <c:v>0.85999999999991694</c:v>
                </c:pt>
                <c:pt idx="687">
                  <c:v>0.86999999999991695</c:v>
                </c:pt>
                <c:pt idx="688">
                  <c:v>0.87999999999991696</c:v>
                </c:pt>
                <c:pt idx="689">
                  <c:v>0.88999999999991697</c:v>
                </c:pt>
                <c:pt idx="690">
                  <c:v>0.89999999999991698</c:v>
                </c:pt>
                <c:pt idx="691">
                  <c:v>0.90999999999991699</c:v>
                </c:pt>
                <c:pt idx="692">
                  <c:v>0.919999999999917</c:v>
                </c:pt>
                <c:pt idx="693">
                  <c:v>0.929999999999917</c:v>
                </c:pt>
                <c:pt idx="694">
                  <c:v>0.93999999999991701</c:v>
                </c:pt>
                <c:pt idx="695">
                  <c:v>0.94999999999991702</c:v>
                </c:pt>
                <c:pt idx="696">
                  <c:v>0.95999999999991703</c:v>
                </c:pt>
                <c:pt idx="697">
                  <c:v>0.96999999999991704</c:v>
                </c:pt>
                <c:pt idx="698">
                  <c:v>0.97999999999991705</c:v>
                </c:pt>
                <c:pt idx="699">
                  <c:v>0.98999999999991706</c:v>
                </c:pt>
                <c:pt idx="700">
                  <c:v>0.99999999999991707</c:v>
                </c:pt>
                <c:pt idx="701">
                  <c:v>1.009999999999917</c:v>
                </c:pt>
                <c:pt idx="702">
                  <c:v>1.019999999999917</c:v>
                </c:pt>
                <c:pt idx="703">
                  <c:v>1.029999999999917</c:v>
                </c:pt>
                <c:pt idx="704">
                  <c:v>1.039999999999917</c:v>
                </c:pt>
                <c:pt idx="705">
                  <c:v>1.049999999999917</c:v>
                </c:pt>
                <c:pt idx="706">
                  <c:v>1.059999999999917</c:v>
                </c:pt>
                <c:pt idx="707">
                  <c:v>1.069999999999917</c:v>
                </c:pt>
                <c:pt idx="708">
                  <c:v>1.079999999999917</c:v>
                </c:pt>
                <c:pt idx="709">
                  <c:v>1.089999999999917</c:v>
                </c:pt>
                <c:pt idx="710">
                  <c:v>1.099999999999917</c:v>
                </c:pt>
                <c:pt idx="711">
                  <c:v>1.1099999999999171</c:v>
                </c:pt>
                <c:pt idx="712">
                  <c:v>1.1199999999999171</c:v>
                </c:pt>
                <c:pt idx="713">
                  <c:v>1.1299999999999171</c:v>
                </c:pt>
                <c:pt idx="714">
                  <c:v>1.1399999999999171</c:v>
                </c:pt>
                <c:pt idx="715">
                  <c:v>1.1499999999999171</c:v>
                </c:pt>
                <c:pt idx="716">
                  <c:v>1.1599999999999171</c:v>
                </c:pt>
                <c:pt idx="717">
                  <c:v>1.1699999999999171</c:v>
                </c:pt>
                <c:pt idx="718">
                  <c:v>1.1799999999999171</c:v>
                </c:pt>
                <c:pt idx="719">
                  <c:v>1.1899999999999171</c:v>
                </c:pt>
                <c:pt idx="720">
                  <c:v>1.1999999999999171</c:v>
                </c:pt>
                <c:pt idx="721">
                  <c:v>1.2099999999999171</c:v>
                </c:pt>
                <c:pt idx="722">
                  <c:v>1.2199999999999172</c:v>
                </c:pt>
                <c:pt idx="723">
                  <c:v>1.2299999999999172</c:v>
                </c:pt>
                <c:pt idx="724">
                  <c:v>1.2399999999999172</c:v>
                </c:pt>
                <c:pt idx="725">
                  <c:v>1.2499999999999172</c:v>
                </c:pt>
                <c:pt idx="726">
                  <c:v>1.2599999999999172</c:v>
                </c:pt>
                <c:pt idx="727">
                  <c:v>1.2699999999999172</c:v>
                </c:pt>
                <c:pt idx="728">
                  <c:v>1.2799999999999172</c:v>
                </c:pt>
                <c:pt idx="729">
                  <c:v>1.2899999999999172</c:v>
                </c:pt>
                <c:pt idx="730">
                  <c:v>1.2999999999999172</c:v>
                </c:pt>
                <c:pt idx="731">
                  <c:v>1.3099999999999172</c:v>
                </c:pt>
                <c:pt idx="732">
                  <c:v>1.3199999999999172</c:v>
                </c:pt>
                <c:pt idx="733">
                  <c:v>1.3299999999999172</c:v>
                </c:pt>
                <c:pt idx="734">
                  <c:v>1.3399999999999173</c:v>
                </c:pt>
                <c:pt idx="735">
                  <c:v>1.3499999999999173</c:v>
                </c:pt>
                <c:pt idx="736">
                  <c:v>1.3599999999999173</c:v>
                </c:pt>
                <c:pt idx="737">
                  <c:v>1.3699999999999173</c:v>
                </c:pt>
                <c:pt idx="738">
                  <c:v>1.3799999999999173</c:v>
                </c:pt>
                <c:pt idx="739">
                  <c:v>1.3899999999999173</c:v>
                </c:pt>
                <c:pt idx="740">
                  <c:v>1.3999999999999173</c:v>
                </c:pt>
                <c:pt idx="741">
                  <c:v>1.4099999999999173</c:v>
                </c:pt>
                <c:pt idx="742">
                  <c:v>1.4199999999999173</c:v>
                </c:pt>
                <c:pt idx="743">
                  <c:v>1.4299999999999173</c:v>
                </c:pt>
                <c:pt idx="744">
                  <c:v>1.4399999999999173</c:v>
                </c:pt>
                <c:pt idx="745">
                  <c:v>1.4499999999999174</c:v>
                </c:pt>
                <c:pt idx="746">
                  <c:v>1.4599999999999174</c:v>
                </c:pt>
                <c:pt idx="747">
                  <c:v>1.4699999999999174</c:v>
                </c:pt>
                <c:pt idx="748">
                  <c:v>1.4799999999999174</c:v>
                </c:pt>
                <c:pt idx="749">
                  <c:v>1.4899999999999174</c:v>
                </c:pt>
                <c:pt idx="750">
                  <c:v>1.4999999999999174</c:v>
                </c:pt>
                <c:pt idx="751">
                  <c:v>1.5099999999999174</c:v>
                </c:pt>
                <c:pt idx="752">
                  <c:v>1.5199999999999174</c:v>
                </c:pt>
                <c:pt idx="753">
                  <c:v>1.5299999999999174</c:v>
                </c:pt>
                <c:pt idx="754">
                  <c:v>1.5399999999999174</c:v>
                </c:pt>
                <c:pt idx="755">
                  <c:v>1.5499999999999174</c:v>
                </c:pt>
                <c:pt idx="756">
                  <c:v>1.5599999999999175</c:v>
                </c:pt>
                <c:pt idx="757">
                  <c:v>1.5699999999999175</c:v>
                </c:pt>
                <c:pt idx="758">
                  <c:v>1.5799999999999175</c:v>
                </c:pt>
                <c:pt idx="759">
                  <c:v>1.5899999999999175</c:v>
                </c:pt>
                <c:pt idx="760">
                  <c:v>1.5999999999999175</c:v>
                </c:pt>
                <c:pt idx="761">
                  <c:v>1.6099999999999175</c:v>
                </c:pt>
                <c:pt idx="762">
                  <c:v>1.6199999999999175</c:v>
                </c:pt>
                <c:pt idx="763">
                  <c:v>1.6299999999999175</c:v>
                </c:pt>
                <c:pt idx="764">
                  <c:v>1.6399999999999175</c:v>
                </c:pt>
                <c:pt idx="765">
                  <c:v>1.6499999999999175</c:v>
                </c:pt>
                <c:pt idx="766">
                  <c:v>1.6599999999999175</c:v>
                </c:pt>
                <c:pt idx="767">
                  <c:v>1.6699999999999176</c:v>
                </c:pt>
                <c:pt idx="768">
                  <c:v>1.6799999999999176</c:v>
                </c:pt>
                <c:pt idx="769">
                  <c:v>1.6899999999999176</c:v>
                </c:pt>
                <c:pt idx="770">
                  <c:v>1.6999999999999176</c:v>
                </c:pt>
                <c:pt idx="771">
                  <c:v>1.7099999999999176</c:v>
                </c:pt>
                <c:pt idx="772">
                  <c:v>1.7199999999999176</c:v>
                </c:pt>
                <c:pt idx="773">
                  <c:v>1.7299999999999176</c:v>
                </c:pt>
                <c:pt idx="774">
                  <c:v>1.7399999999999176</c:v>
                </c:pt>
                <c:pt idx="775">
                  <c:v>1.7499999999999176</c:v>
                </c:pt>
                <c:pt idx="776">
                  <c:v>1.7599999999999176</c:v>
                </c:pt>
                <c:pt idx="777">
                  <c:v>1.7699999999999176</c:v>
                </c:pt>
                <c:pt idx="778">
                  <c:v>1.7799999999999176</c:v>
                </c:pt>
                <c:pt idx="779">
                  <c:v>1.7899999999999177</c:v>
                </c:pt>
                <c:pt idx="780">
                  <c:v>1.7999999999999177</c:v>
                </c:pt>
                <c:pt idx="781">
                  <c:v>1.8099999999999177</c:v>
                </c:pt>
                <c:pt idx="782">
                  <c:v>1.8199999999999177</c:v>
                </c:pt>
                <c:pt idx="783">
                  <c:v>1.8299999999999177</c:v>
                </c:pt>
                <c:pt idx="784">
                  <c:v>1.8399999999999177</c:v>
                </c:pt>
                <c:pt idx="785">
                  <c:v>1.8499999999999177</c:v>
                </c:pt>
                <c:pt idx="786">
                  <c:v>1.8599999999999177</c:v>
                </c:pt>
                <c:pt idx="787">
                  <c:v>1.8699999999999177</c:v>
                </c:pt>
                <c:pt idx="788">
                  <c:v>1.8799999999999177</c:v>
                </c:pt>
                <c:pt idx="789">
                  <c:v>1.8899999999999177</c:v>
                </c:pt>
                <c:pt idx="790">
                  <c:v>1.8999999999999178</c:v>
                </c:pt>
                <c:pt idx="791">
                  <c:v>1.9099999999999178</c:v>
                </c:pt>
                <c:pt idx="792">
                  <c:v>1.9199999999999178</c:v>
                </c:pt>
                <c:pt idx="793">
                  <c:v>1.9299999999999178</c:v>
                </c:pt>
                <c:pt idx="794">
                  <c:v>1.9399999999999178</c:v>
                </c:pt>
                <c:pt idx="795">
                  <c:v>1.9499999999999178</c:v>
                </c:pt>
                <c:pt idx="796">
                  <c:v>1.9599999999999178</c:v>
                </c:pt>
                <c:pt idx="797">
                  <c:v>1.9699999999999178</c:v>
                </c:pt>
                <c:pt idx="798">
                  <c:v>1.9799999999999178</c:v>
                </c:pt>
                <c:pt idx="799">
                  <c:v>1.9899999999999178</c:v>
                </c:pt>
                <c:pt idx="800">
                  <c:v>1.9999999999999178</c:v>
                </c:pt>
                <c:pt idx="801">
                  <c:v>2.0099999999999176</c:v>
                </c:pt>
                <c:pt idx="802">
                  <c:v>2.0199999999999174</c:v>
                </c:pt>
                <c:pt idx="803">
                  <c:v>2.0299999999999172</c:v>
                </c:pt>
                <c:pt idx="804">
                  <c:v>2.039999999999917</c:v>
                </c:pt>
                <c:pt idx="805">
                  <c:v>2.0499999999999168</c:v>
                </c:pt>
                <c:pt idx="806">
                  <c:v>2.0599999999999166</c:v>
                </c:pt>
                <c:pt idx="807">
                  <c:v>2.0699999999999164</c:v>
                </c:pt>
                <c:pt idx="808">
                  <c:v>2.0799999999999161</c:v>
                </c:pt>
                <c:pt idx="809">
                  <c:v>2.0899999999999159</c:v>
                </c:pt>
                <c:pt idx="810">
                  <c:v>2.0999999999999157</c:v>
                </c:pt>
                <c:pt idx="811">
                  <c:v>2.1099999999999155</c:v>
                </c:pt>
                <c:pt idx="812">
                  <c:v>2.1199999999999153</c:v>
                </c:pt>
                <c:pt idx="813">
                  <c:v>2.1299999999999151</c:v>
                </c:pt>
                <c:pt idx="814">
                  <c:v>2.1399999999999149</c:v>
                </c:pt>
                <c:pt idx="815">
                  <c:v>2.1499999999999146</c:v>
                </c:pt>
                <c:pt idx="816">
                  <c:v>2.1599999999999144</c:v>
                </c:pt>
                <c:pt idx="817">
                  <c:v>2.1699999999999142</c:v>
                </c:pt>
                <c:pt idx="818">
                  <c:v>2.179999999999914</c:v>
                </c:pt>
                <c:pt idx="819">
                  <c:v>2.1899999999999138</c:v>
                </c:pt>
                <c:pt idx="820">
                  <c:v>2.1999999999999136</c:v>
                </c:pt>
                <c:pt idx="821">
                  <c:v>2.2099999999999134</c:v>
                </c:pt>
                <c:pt idx="822">
                  <c:v>2.2199999999999132</c:v>
                </c:pt>
                <c:pt idx="823">
                  <c:v>2.2299999999999129</c:v>
                </c:pt>
                <c:pt idx="824">
                  <c:v>2.2399999999999127</c:v>
                </c:pt>
                <c:pt idx="825">
                  <c:v>2.2499999999999125</c:v>
                </c:pt>
                <c:pt idx="826">
                  <c:v>2.2599999999999123</c:v>
                </c:pt>
                <c:pt idx="827">
                  <c:v>2.2699999999999121</c:v>
                </c:pt>
                <c:pt idx="828">
                  <c:v>2.2799999999999119</c:v>
                </c:pt>
                <c:pt idx="829">
                  <c:v>2.2899999999999117</c:v>
                </c:pt>
                <c:pt idx="830">
                  <c:v>2.2999999999999114</c:v>
                </c:pt>
                <c:pt idx="831">
                  <c:v>2.3099999999999112</c:v>
                </c:pt>
                <c:pt idx="832">
                  <c:v>2.319999999999911</c:v>
                </c:pt>
                <c:pt idx="833">
                  <c:v>2.3299999999999108</c:v>
                </c:pt>
                <c:pt idx="834">
                  <c:v>2.3399999999999106</c:v>
                </c:pt>
                <c:pt idx="835">
                  <c:v>2.3499999999999104</c:v>
                </c:pt>
                <c:pt idx="836">
                  <c:v>2.3599999999999102</c:v>
                </c:pt>
                <c:pt idx="837">
                  <c:v>2.36999999999991</c:v>
                </c:pt>
                <c:pt idx="838">
                  <c:v>2.3799999999999097</c:v>
                </c:pt>
                <c:pt idx="839">
                  <c:v>2.3899999999999095</c:v>
                </c:pt>
                <c:pt idx="840">
                  <c:v>2.3999999999999093</c:v>
                </c:pt>
                <c:pt idx="841">
                  <c:v>2.4099999999999091</c:v>
                </c:pt>
                <c:pt idx="842">
                  <c:v>2.4199999999999089</c:v>
                </c:pt>
                <c:pt idx="843">
                  <c:v>2.4299999999999087</c:v>
                </c:pt>
                <c:pt idx="844">
                  <c:v>2.4399999999999085</c:v>
                </c:pt>
                <c:pt idx="845">
                  <c:v>2.4499999999999083</c:v>
                </c:pt>
                <c:pt idx="846">
                  <c:v>2.459999999999908</c:v>
                </c:pt>
                <c:pt idx="847">
                  <c:v>2.4699999999999078</c:v>
                </c:pt>
                <c:pt idx="848">
                  <c:v>2.4799999999999076</c:v>
                </c:pt>
                <c:pt idx="849">
                  <c:v>2.4899999999999074</c:v>
                </c:pt>
                <c:pt idx="850">
                  <c:v>2.4999999999999072</c:v>
                </c:pt>
                <c:pt idx="851">
                  <c:v>2.509999999999907</c:v>
                </c:pt>
                <c:pt idx="852">
                  <c:v>2.5199999999999068</c:v>
                </c:pt>
                <c:pt idx="853">
                  <c:v>2.5299999999999065</c:v>
                </c:pt>
                <c:pt idx="854">
                  <c:v>2.5399999999999063</c:v>
                </c:pt>
                <c:pt idx="855">
                  <c:v>2.5499999999999061</c:v>
                </c:pt>
                <c:pt idx="856">
                  <c:v>2.5599999999999059</c:v>
                </c:pt>
                <c:pt idx="857">
                  <c:v>2.5699999999999057</c:v>
                </c:pt>
                <c:pt idx="858">
                  <c:v>2.5799999999999055</c:v>
                </c:pt>
                <c:pt idx="859">
                  <c:v>2.5899999999999053</c:v>
                </c:pt>
                <c:pt idx="860">
                  <c:v>2.5999999999999051</c:v>
                </c:pt>
                <c:pt idx="861">
                  <c:v>2.6099999999999048</c:v>
                </c:pt>
                <c:pt idx="862">
                  <c:v>2.6199999999999046</c:v>
                </c:pt>
                <c:pt idx="863">
                  <c:v>2.6299999999999044</c:v>
                </c:pt>
                <c:pt idx="864">
                  <c:v>2.6399999999999042</c:v>
                </c:pt>
                <c:pt idx="865">
                  <c:v>2.649999999999904</c:v>
                </c:pt>
                <c:pt idx="866">
                  <c:v>2.6599999999999038</c:v>
                </c:pt>
                <c:pt idx="867">
                  <c:v>2.6699999999999036</c:v>
                </c:pt>
                <c:pt idx="868">
                  <c:v>2.6799999999999033</c:v>
                </c:pt>
                <c:pt idx="869">
                  <c:v>2.6899999999999031</c:v>
                </c:pt>
                <c:pt idx="870">
                  <c:v>2.6999999999999029</c:v>
                </c:pt>
                <c:pt idx="871">
                  <c:v>2.7099999999999027</c:v>
                </c:pt>
                <c:pt idx="872">
                  <c:v>2.7199999999999025</c:v>
                </c:pt>
                <c:pt idx="873">
                  <c:v>2.7299999999999023</c:v>
                </c:pt>
                <c:pt idx="874">
                  <c:v>2.7399999999999021</c:v>
                </c:pt>
                <c:pt idx="875">
                  <c:v>2.7499999999999019</c:v>
                </c:pt>
                <c:pt idx="876">
                  <c:v>2.7599999999999016</c:v>
                </c:pt>
                <c:pt idx="877">
                  <c:v>2.7699999999999014</c:v>
                </c:pt>
                <c:pt idx="878">
                  <c:v>2.7799999999999012</c:v>
                </c:pt>
                <c:pt idx="879">
                  <c:v>2.789999999999901</c:v>
                </c:pt>
                <c:pt idx="880">
                  <c:v>2.7999999999999008</c:v>
                </c:pt>
                <c:pt idx="881">
                  <c:v>2.8099999999999006</c:v>
                </c:pt>
                <c:pt idx="882">
                  <c:v>2.8199999999999004</c:v>
                </c:pt>
                <c:pt idx="883">
                  <c:v>2.8299999999999002</c:v>
                </c:pt>
                <c:pt idx="884">
                  <c:v>2.8399999999998999</c:v>
                </c:pt>
                <c:pt idx="885">
                  <c:v>2.8499999999998997</c:v>
                </c:pt>
                <c:pt idx="886">
                  <c:v>2.8599999999998995</c:v>
                </c:pt>
                <c:pt idx="887">
                  <c:v>2.8699999999998993</c:v>
                </c:pt>
                <c:pt idx="888">
                  <c:v>2.8799999999998991</c:v>
                </c:pt>
                <c:pt idx="889">
                  <c:v>2.8899999999998989</c:v>
                </c:pt>
                <c:pt idx="890">
                  <c:v>2.8999999999998987</c:v>
                </c:pt>
                <c:pt idx="891">
                  <c:v>2.9099999999998984</c:v>
                </c:pt>
                <c:pt idx="892">
                  <c:v>2.9199999999998982</c:v>
                </c:pt>
                <c:pt idx="893">
                  <c:v>2.929999999999898</c:v>
                </c:pt>
                <c:pt idx="894">
                  <c:v>2.9399999999998978</c:v>
                </c:pt>
                <c:pt idx="895">
                  <c:v>2.9499999999998976</c:v>
                </c:pt>
                <c:pt idx="896">
                  <c:v>2.9599999999998974</c:v>
                </c:pt>
                <c:pt idx="897">
                  <c:v>2.9699999999998972</c:v>
                </c:pt>
                <c:pt idx="898">
                  <c:v>2.979999999999897</c:v>
                </c:pt>
                <c:pt idx="899">
                  <c:v>2.9899999999998967</c:v>
                </c:pt>
                <c:pt idx="900">
                  <c:v>2.9999999999998965</c:v>
                </c:pt>
                <c:pt idx="901">
                  <c:v>3.0099999999998963</c:v>
                </c:pt>
                <c:pt idx="902">
                  <c:v>3.0199999999998961</c:v>
                </c:pt>
                <c:pt idx="903">
                  <c:v>3.0299999999998959</c:v>
                </c:pt>
                <c:pt idx="904">
                  <c:v>3.0399999999998957</c:v>
                </c:pt>
                <c:pt idx="905">
                  <c:v>3.0499999999998955</c:v>
                </c:pt>
                <c:pt idx="906">
                  <c:v>3.0599999999998952</c:v>
                </c:pt>
                <c:pt idx="907">
                  <c:v>3.069999999999895</c:v>
                </c:pt>
                <c:pt idx="908">
                  <c:v>3.0799999999998948</c:v>
                </c:pt>
                <c:pt idx="909">
                  <c:v>3.0899999999998946</c:v>
                </c:pt>
                <c:pt idx="910">
                  <c:v>3.0999999999998944</c:v>
                </c:pt>
                <c:pt idx="911">
                  <c:v>3.1099999999998942</c:v>
                </c:pt>
                <c:pt idx="912">
                  <c:v>3.119999999999894</c:v>
                </c:pt>
                <c:pt idx="913">
                  <c:v>3.1299999999998938</c:v>
                </c:pt>
                <c:pt idx="914">
                  <c:v>3.1399999999998935</c:v>
                </c:pt>
                <c:pt idx="915">
                  <c:v>3.1499999999998933</c:v>
                </c:pt>
                <c:pt idx="916">
                  <c:v>3.1599999999998931</c:v>
                </c:pt>
                <c:pt idx="917">
                  <c:v>3.1699999999998929</c:v>
                </c:pt>
                <c:pt idx="918">
                  <c:v>3.1799999999998927</c:v>
                </c:pt>
                <c:pt idx="919">
                  <c:v>3.1899999999998925</c:v>
                </c:pt>
                <c:pt idx="920">
                  <c:v>3.1999999999998923</c:v>
                </c:pt>
                <c:pt idx="921">
                  <c:v>3.2099999999998921</c:v>
                </c:pt>
                <c:pt idx="922">
                  <c:v>3.2199999999998918</c:v>
                </c:pt>
                <c:pt idx="923">
                  <c:v>3.2299999999998916</c:v>
                </c:pt>
                <c:pt idx="924">
                  <c:v>3.2399999999998914</c:v>
                </c:pt>
                <c:pt idx="925">
                  <c:v>3.2499999999998912</c:v>
                </c:pt>
                <c:pt idx="926">
                  <c:v>3.259999999999891</c:v>
                </c:pt>
                <c:pt idx="927">
                  <c:v>3.2699999999998908</c:v>
                </c:pt>
                <c:pt idx="928">
                  <c:v>3.2799999999998906</c:v>
                </c:pt>
                <c:pt idx="929">
                  <c:v>3.2899999999998903</c:v>
                </c:pt>
                <c:pt idx="930">
                  <c:v>3.2999999999998901</c:v>
                </c:pt>
                <c:pt idx="931">
                  <c:v>3.3099999999998899</c:v>
                </c:pt>
                <c:pt idx="932">
                  <c:v>3.3199999999998897</c:v>
                </c:pt>
                <c:pt idx="933">
                  <c:v>3.3299999999998895</c:v>
                </c:pt>
                <c:pt idx="934">
                  <c:v>3.3399999999998893</c:v>
                </c:pt>
                <c:pt idx="935">
                  <c:v>3.3499999999998891</c:v>
                </c:pt>
                <c:pt idx="936">
                  <c:v>3.3599999999998889</c:v>
                </c:pt>
                <c:pt idx="937">
                  <c:v>3.3699999999998886</c:v>
                </c:pt>
                <c:pt idx="938">
                  <c:v>3.3799999999998884</c:v>
                </c:pt>
                <c:pt idx="939">
                  <c:v>3.3899999999998882</c:v>
                </c:pt>
                <c:pt idx="940">
                  <c:v>3.399999999999888</c:v>
                </c:pt>
                <c:pt idx="941">
                  <c:v>3.4099999999998878</c:v>
                </c:pt>
                <c:pt idx="942">
                  <c:v>3.4199999999998876</c:v>
                </c:pt>
                <c:pt idx="943">
                  <c:v>3.4299999999998874</c:v>
                </c:pt>
                <c:pt idx="944">
                  <c:v>3.4399999999998871</c:v>
                </c:pt>
                <c:pt idx="945">
                  <c:v>3.4499999999998869</c:v>
                </c:pt>
                <c:pt idx="946">
                  <c:v>3.4599999999998867</c:v>
                </c:pt>
                <c:pt idx="947">
                  <c:v>3.4699999999998865</c:v>
                </c:pt>
                <c:pt idx="948">
                  <c:v>3.4799999999998863</c:v>
                </c:pt>
                <c:pt idx="949">
                  <c:v>3.4899999999998861</c:v>
                </c:pt>
                <c:pt idx="950">
                  <c:v>3.4999999999998859</c:v>
                </c:pt>
                <c:pt idx="951">
                  <c:v>3.5099999999998857</c:v>
                </c:pt>
                <c:pt idx="952">
                  <c:v>3.5199999999998854</c:v>
                </c:pt>
                <c:pt idx="953">
                  <c:v>3.5299999999998852</c:v>
                </c:pt>
                <c:pt idx="954">
                  <c:v>3.539999999999885</c:v>
                </c:pt>
                <c:pt idx="955">
                  <c:v>3.5499999999998848</c:v>
                </c:pt>
                <c:pt idx="956">
                  <c:v>3.5599999999998846</c:v>
                </c:pt>
                <c:pt idx="957">
                  <c:v>3.5699999999998844</c:v>
                </c:pt>
                <c:pt idx="958">
                  <c:v>3.5799999999998842</c:v>
                </c:pt>
                <c:pt idx="959">
                  <c:v>3.589999999999884</c:v>
                </c:pt>
                <c:pt idx="960">
                  <c:v>3.5999999999998837</c:v>
                </c:pt>
                <c:pt idx="961">
                  <c:v>3.6099999999998835</c:v>
                </c:pt>
                <c:pt idx="962">
                  <c:v>3.6199999999998833</c:v>
                </c:pt>
                <c:pt idx="963">
                  <c:v>3.6299999999998831</c:v>
                </c:pt>
                <c:pt idx="964">
                  <c:v>3.6399999999998829</c:v>
                </c:pt>
                <c:pt idx="965">
                  <c:v>3.6499999999998827</c:v>
                </c:pt>
                <c:pt idx="966">
                  <c:v>3.6599999999998825</c:v>
                </c:pt>
                <c:pt idx="967">
                  <c:v>3.6699999999998822</c:v>
                </c:pt>
                <c:pt idx="968">
                  <c:v>3.679999999999882</c:v>
                </c:pt>
                <c:pt idx="969">
                  <c:v>3.6899999999998818</c:v>
                </c:pt>
                <c:pt idx="970">
                  <c:v>3.6999999999998816</c:v>
                </c:pt>
                <c:pt idx="971">
                  <c:v>3.7099999999998814</c:v>
                </c:pt>
                <c:pt idx="972">
                  <c:v>3.7199999999998812</c:v>
                </c:pt>
                <c:pt idx="973">
                  <c:v>3.729999999999881</c:v>
                </c:pt>
                <c:pt idx="974">
                  <c:v>3.7399999999998808</c:v>
                </c:pt>
                <c:pt idx="975">
                  <c:v>3.7499999999998805</c:v>
                </c:pt>
                <c:pt idx="976">
                  <c:v>3.7599999999998803</c:v>
                </c:pt>
                <c:pt idx="977">
                  <c:v>3.7699999999998801</c:v>
                </c:pt>
                <c:pt idx="978">
                  <c:v>3.7799999999998799</c:v>
                </c:pt>
                <c:pt idx="979">
                  <c:v>3.7899999999998797</c:v>
                </c:pt>
                <c:pt idx="980">
                  <c:v>3.7999999999998795</c:v>
                </c:pt>
                <c:pt idx="981">
                  <c:v>3.8099999999998793</c:v>
                </c:pt>
                <c:pt idx="982">
                  <c:v>3.819999999999879</c:v>
                </c:pt>
                <c:pt idx="983">
                  <c:v>3.8299999999998788</c:v>
                </c:pt>
                <c:pt idx="984">
                  <c:v>3.8399999999998786</c:v>
                </c:pt>
                <c:pt idx="985">
                  <c:v>3.8499999999998784</c:v>
                </c:pt>
                <c:pt idx="986">
                  <c:v>3.8599999999998782</c:v>
                </c:pt>
                <c:pt idx="987">
                  <c:v>3.869999999999878</c:v>
                </c:pt>
                <c:pt idx="988">
                  <c:v>3.8799999999998778</c:v>
                </c:pt>
                <c:pt idx="989">
                  <c:v>3.8899999999998776</c:v>
                </c:pt>
                <c:pt idx="990">
                  <c:v>3.8999999999998773</c:v>
                </c:pt>
                <c:pt idx="991">
                  <c:v>3.9099999999998771</c:v>
                </c:pt>
                <c:pt idx="992">
                  <c:v>3.9199999999998769</c:v>
                </c:pt>
                <c:pt idx="993">
                  <c:v>3.9299999999998767</c:v>
                </c:pt>
                <c:pt idx="994">
                  <c:v>3.9399999999998765</c:v>
                </c:pt>
                <c:pt idx="995">
                  <c:v>3.9499999999998763</c:v>
                </c:pt>
                <c:pt idx="996">
                  <c:v>3.9599999999998761</c:v>
                </c:pt>
                <c:pt idx="997">
                  <c:v>3.9699999999998759</c:v>
                </c:pt>
                <c:pt idx="998">
                  <c:v>3.9799999999998756</c:v>
                </c:pt>
                <c:pt idx="999">
                  <c:v>3.9899999999998754</c:v>
                </c:pt>
                <c:pt idx="1000">
                  <c:v>3.9999999999998752</c:v>
                </c:pt>
                <c:pt idx="1001">
                  <c:v>4.0099999999998754</c:v>
                </c:pt>
                <c:pt idx="1002">
                  <c:v>4.0199999999998752</c:v>
                </c:pt>
                <c:pt idx="1003">
                  <c:v>4.029999999999875</c:v>
                </c:pt>
                <c:pt idx="1004">
                  <c:v>4.0399999999998748</c:v>
                </c:pt>
                <c:pt idx="1005">
                  <c:v>4.0499999999998746</c:v>
                </c:pt>
                <c:pt idx="1006">
                  <c:v>4.0599999999998744</c:v>
                </c:pt>
                <c:pt idx="1007">
                  <c:v>4.0699999999998742</c:v>
                </c:pt>
                <c:pt idx="1008">
                  <c:v>4.0799999999998739</c:v>
                </c:pt>
                <c:pt idx="1009">
                  <c:v>4.0899999999998737</c:v>
                </c:pt>
                <c:pt idx="1010">
                  <c:v>4.0999999999998735</c:v>
                </c:pt>
                <c:pt idx="1011">
                  <c:v>4.1099999999998733</c:v>
                </c:pt>
                <c:pt idx="1012">
                  <c:v>4.1199999999998731</c:v>
                </c:pt>
                <c:pt idx="1013">
                  <c:v>4.1299999999998729</c:v>
                </c:pt>
                <c:pt idx="1014">
                  <c:v>4.1399999999998727</c:v>
                </c:pt>
                <c:pt idx="1015">
                  <c:v>4.1499999999998725</c:v>
                </c:pt>
                <c:pt idx="1016">
                  <c:v>4.1599999999998722</c:v>
                </c:pt>
                <c:pt idx="1017">
                  <c:v>4.169999999999872</c:v>
                </c:pt>
                <c:pt idx="1018">
                  <c:v>4.1799999999998718</c:v>
                </c:pt>
                <c:pt idx="1019">
                  <c:v>4.1899999999998716</c:v>
                </c:pt>
                <c:pt idx="1020">
                  <c:v>4.1999999999998714</c:v>
                </c:pt>
                <c:pt idx="1021">
                  <c:v>4.2099999999998712</c:v>
                </c:pt>
                <c:pt idx="1022">
                  <c:v>4.219999999999871</c:v>
                </c:pt>
                <c:pt idx="1023">
                  <c:v>4.2299999999998708</c:v>
                </c:pt>
                <c:pt idx="1024">
                  <c:v>4.2399999999998705</c:v>
                </c:pt>
                <c:pt idx="1025">
                  <c:v>4.2499999999998703</c:v>
                </c:pt>
                <c:pt idx="1026">
                  <c:v>4.2599999999998701</c:v>
                </c:pt>
                <c:pt idx="1027">
                  <c:v>4.2699999999998699</c:v>
                </c:pt>
                <c:pt idx="1028">
                  <c:v>4.2799999999998697</c:v>
                </c:pt>
                <c:pt idx="1029">
                  <c:v>4.2899999999998695</c:v>
                </c:pt>
                <c:pt idx="1030">
                  <c:v>4.2999999999998693</c:v>
                </c:pt>
                <c:pt idx="1031">
                  <c:v>4.309999999999869</c:v>
                </c:pt>
                <c:pt idx="1032">
                  <c:v>4.3199999999998688</c:v>
                </c:pt>
                <c:pt idx="1033">
                  <c:v>4.3299999999998686</c:v>
                </c:pt>
                <c:pt idx="1034">
                  <c:v>4.3399999999998684</c:v>
                </c:pt>
                <c:pt idx="1035">
                  <c:v>4.3499999999998682</c:v>
                </c:pt>
                <c:pt idx="1036">
                  <c:v>4.359999999999868</c:v>
                </c:pt>
                <c:pt idx="1037">
                  <c:v>4.3699999999998678</c:v>
                </c:pt>
                <c:pt idx="1038">
                  <c:v>4.3799999999998676</c:v>
                </c:pt>
                <c:pt idx="1039">
                  <c:v>4.3899999999998673</c:v>
                </c:pt>
                <c:pt idx="1040">
                  <c:v>4.3999999999998671</c:v>
                </c:pt>
                <c:pt idx="1041">
                  <c:v>4.4099999999998669</c:v>
                </c:pt>
                <c:pt idx="1042">
                  <c:v>4.4199999999998667</c:v>
                </c:pt>
                <c:pt idx="1043">
                  <c:v>4.4299999999998665</c:v>
                </c:pt>
                <c:pt idx="1044">
                  <c:v>4.4399999999998663</c:v>
                </c:pt>
                <c:pt idx="1045">
                  <c:v>4.4499999999998661</c:v>
                </c:pt>
                <c:pt idx="1046">
                  <c:v>4.4599999999998658</c:v>
                </c:pt>
                <c:pt idx="1047">
                  <c:v>4.4699999999998656</c:v>
                </c:pt>
                <c:pt idx="1048">
                  <c:v>4.4799999999998654</c:v>
                </c:pt>
                <c:pt idx="1049">
                  <c:v>4.4899999999998652</c:v>
                </c:pt>
                <c:pt idx="1050">
                  <c:v>4.499999999999865</c:v>
                </c:pt>
                <c:pt idx="1051">
                  <c:v>4.5099999999998648</c:v>
                </c:pt>
                <c:pt idx="1052">
                  <c:v>4.5199999999998646</c:v>
                </c:pt>
                <c:pt idx="1053">
                  <c:v>4.5299999999998644</c:v>
                </c:pt>
                <c:pt idx="1054">
                  <c:v>4.5399999999998641</c:v>
                </c:pt>
                <c:pt idx="1055">
                  <c:v>4.5499999999998639</c:v>
                </c:pt>
                <c:pt idx="1056">
                  <c:v>4.5599999999998637</c:v>
                </c:pt>
                <c:pt idx="1057">
                  <c:v>4.5699999999998635</c:v>
                </c:pt>
                <c:pt idx="1058">
                  <c:v>4.5799999999998633</c:v>
                </c:pt>
                <c:pt idx="1059">
                  <c:v>4.5899999999998631</c:v>
                </c:pt>
                <c:pt idx="1060">
                  <c:v>4.5999999999998629</c:v>
                </c:pt>
                <c:pt idx="1061">
                  <c:v>4.6099999999998627</c:v>
                </c:pt>
                <c:pt idx="1062">
                  <c:v>4.6199999999998624</c:v>
                </c:pt>
                <c:pt idx="1063">
                  <c:v>4.6299999999998622</c:v>
                </c:pt>
                <c:pt idx="1064">
                  <c:v>4.639999999999862</c:v>
                </c:pt>
                <c:pt idx="1065">
                  <c:v>4.6499999999998618</c:v>
                </c:pt>
                <c:pt idx="1066">
                  <c:v>4.6599999999998616</c:v>
                </c:pt>
                <c:pt idx="1067">
                  <c:v>4.6699999999998614</c:v>
                </c:pt>
                <c:pt idx="1068">
                  <c:v>4.6799999999998612</c:v>
                </c:pt>
                <c:pt idx="1069">
                  <c:v>4.6899999999998609</c:v>
                </c:pt>
                <c:pt idx="1070">
                  <c:v>4.6999999999998607</c:v>
                </c:pt>
                <c:pt idx="1071">
                  <c:v>4.7099999999998605</c:v>
                </c:pt>
                <c:pt idx="1072">
                  <c:v>4.7199999999998603</c:v>
                </c:pt>
                <c:pt idx="1073">
                  <c:v>4.7299999999998601</c:v>
                </c:pt>
                <c:pt idx="1074">
                  <c:v>4.7399999999998599</c:v>
                </c:pt>
                <c:pt idx="1075">
                  <c:v>4.7499999999998597</c:v>
                </c:pt>
                <c:pt idx="1076">
                  <c:v>4.7599999999998595</c:v>
                </c:pt>
                <c:pt idx="1077">
                  <c:v>4.7699999999998592</c:v>
                </c:pt>
                <c:pt idx="1078">
                  <c:v>4.779999999999859</c:v>
                </c:pt>
                <c:pt idx="1079">
                  <c:v>4.7899999999998588</c:v>
                </c:pt>
                <c:pt idx="1080">
                  <c:v>4.7999999999998586</c:v>
                </c:pt>
                <c:pt idx="1081">
                  <c:v>4.8099999999998584</c:v>
                </c:pt>
                <c:pt idx="1082">
                  <c:v>4.8199999999998582</c:v>
                </c:pt>
                <c:pt idx="1083">
                  <c:v>4.829999999999858</c:v>
                </c:pt>
                <c:pt idx="1084">
                  <c:v>4.8399999999998577</c:v>
                </c:pt>
                <c:pt idx="1085">
                  <c:v>4.8499999999998575</c:v>
                </c:pt>
                <c:pt idx="1086">
                  <c:v>4.8599999999998573</c:v>
                </c:pt>
                <c:pt idx="1087">
                  <c:v>4.8699999999998571</c:v>
                </c:pt>
                <c:pt idx="1088">
                  <c:v>4.8799999999998569</c:v>
                </c:pt>
                <c:pt idx="1089">
                  <c:v>4.8899999999998567</c:v>
                </c:pt>
                <c:pt idx="1090">
                  <c:v>4.8999999999998565</c:v>
                </c:pt>
                <c:pt idx="1091">
                  <c:v>4.9099999999998563</c:v>
                </c:pt>
                <c:pt idx="1092">
                  <c:v>4.919999999999856</c:v>
                </c:pt>
                <c:pt idx="1093">
                  <c:v>4.9299999999998558</c:v>
                </c:pt>
                <c:pt idx="1094">
                  <c:v>4.9399999999998556</c:v>
                </c:pt>
                <c:pt idx="1095">
                  <c:v>4.9499999999998554</c:v>
                </c:pt>
                <c:pt idx="1096">
                  <c:v>4.9599999999998552</c:v>
                </c:pt>
                <c:pt idx="1097">
                  <c:v>4.969999999999855</c:v>
                </c:pt>
                <c:pt idx="1098">
                  <c:v>4.9799999999998548</c:v>
                </c:pt>
                <c:pt idx="1099">
                  <c:v>4.9899999999998546</c:v>
                </c:pt>
                <c:pt idx="1100">
                  <c:v>4.9999999999998543</c:v>
                </c:pt>
                <c:pt idx="1101">
                  <c:v>5.0099999999998541</c:v>
                </c:pt>
                <c:pt idx="1102">
                  <c:v>5.0199999999998539</c:v>
                </c:pt>
                <c:pt idx="1103">
                  <c:v>5.0299999999998537</c:v>
                </c:pt>
                <c:pt idx="1104">
                  <c:v>5.0399999999998535</c:v>
                </c:pt>
                <c:pt idx="1105">
                  <c:v>5.0499999999998533</c:v>
                </c:pt>
                <c:pt idx="1106">
                  <c:v>5.0599999999998531</c:v>
                </c:pt>
                <c:pt idx="1107">
                  <c:v>5.0699999999998528</c:v>
                </c:pt>
                <c:pt idx="1108">
                  <c:v>5.0799999999998526</c:v>
                </c:pt>
                <c:pt idx="1109">
                  <c:v>5.0899999999998524</c:v>
                </c:pt>
                <c:pt idx="1110">
                  <c:v>5.0999999999998522</c:v>
                </c:pt>
                <c:pt idx="1111">
                  <c:v>5.109999999999852</c:v>
                </c:pt>
                <c:pt idx="1112">
                  <c:v>5.1199999999998518</c:v>
                </c:pt>
                <c:pt idx="1113">
                  <c:v>5.1299999999998516</c:v>
                </c:pt>
                <c:pt idx="1114">
                  <c:v>5.1399999999998514</c:v>
                </c:pt>
                <c:pt idx="1115">
                  <c:v>5.1499999999998511</c:v>
                </c:pt>
                <c:pt idx="1116">
                  <c:v>5.1599999999998509</c:v>
                </c:pt>
                <c:pt idx="1117">
                  <c:v>5.1699999999998507</c:v>
                </c:pt>
                <c:pt idx="1118">
                  <c:v>5.1799999999998505</c:v>
                </c:pt>
                <c:pt idx="1119">
                  <c:v>5.1899999999998503</c:v>
                </c:pt>
                <c:pt idx="1120">
                  <c:v>5.1999999999998501</c:v>
                </c:pt>
                <c:pt idx="1121">
                  <c:v>5.2099999999998499</c:v>
                </c:pt>
                <c:pt idx="1122">
                  <c:v>5.2199999999998496</c:v>
                </c:pt>
                <c:pt idx="1123">
                  <c:v>5.2299999999998494</c:v>
                </c:pt>
                <c:pt idx="1124">
                  <c:v>5.2399999999998492</c:v>
                </c:pt>
                <c:pt idx="1125">
                  <c:v>5.249999999999849</c:v>
                </c:pt>
                <c:pt idx="1126">
                  <c:v>5.2599999999998488</c:v>
                </c:pt>
                <c:pt idx="1127">
                  <c:v>5.2699999999998486</c:v>
                </c:pt>
                <c:pt idx="1128">
                  <c:v>5.2799999999998484</c:v>
                </c:pt>
                <c:pt idx="1129">
                  <c:v>5.2899999999998482</c:v>
                </c:pt>
                <c:pt idx="1130">
                  <c:v>5.2999999999998479</c:v>
                </c:pt>
                <c:pt idx="1131">
                  <c:v>5.3099999999998477</c:v>
                </c:pt>
                <c:pt idx="1132">
                  <c:v>5.3199999999998475</c:v>
                </c:pt>
                <c:pt idx="1133">
                  <c:v>5.3299999999998473</c:v>
                </c:pt>
                <c:pt idx="1134">
                  <c:v>5.3399999999998471</c:v>
                </c:pt>
                <c:pt idx="1135">
                  <c:v>5.3499999999998469</c:v>
                </c:pt>
                <c:pt idx="1136">
                  <c:v>5.3599999999998467</c:v>
                </c:pt>
                <c:pt idx="1137">
                  <c:v>5.3699999999998465</c:v>
                </c:pt>
                <c:pt idx="1138">
                  <c:v>5.3799999999998462</c:v>
                </c:pt>
                <c:pt idx="1139">
                  <c:v>5.389999999999846</c:v>
                </c:pt>
                <c:pt idx="1140">
                  <c:v>5.3999999999998458</c:v>
                </c:pt>
                <c:pt idx="1141">
                  <c:v>5.4099999999998456</c:v>
                </c:pt>
                <c:pt idx="1142">
                  <c:v>5.4199999999998454</c:v>
                </c:pt>
                <c:pt idx="1143">
                  <c:v>5.4299999999998452</c:v>
                </c:pt>
                <c:pt idx="1144">
                  <c:v>5.439999999999845</c:v>
                </c:pt>
                <c:pt idx="1145">
                  <c:v>5.4499999999998447</c:v>
                </c:pt>
                <c:pt idx="1146">
                  <c:v>5.4599999999998445</c:v>
                </c:pt>
                <c:pt idx="1147">
                  <c:v>5.4699999999998443</c:v>
                </c:pt>
                <c:pt idx="1148">
                  <c:v>5.4799999999998441</c:v>
                </c:pt>
                <c:pt idx="1149">
                  <c:v>5.4899999999998439</c:v>
                </c:pt>
                <c:pt idx="1150">
                  <c:v>5.4999999999998437</c:v>
                </c:pt>
                <c:pt idx="1151">
                  <c:v>5.5099999999998435</c:v>
                </c:pt>
                <c:pt idx="1152">
                  <c:v>5.5199999999998433</c:v>
                </c:pt>
                <c:pt idx="1153">
                  <c:v>5.529999999999843</c:v>
                </c:pt>
                <c:pt idx="1154">
                  <c:v>5.5399999999998428</c:v>
                </c:pt>
                <c:pt idx="1155">
                  <c:v>5.5499999999998426</c:v>
                </c:pt>
                <c:pt idx="1156">
                  <c:v>5.5599999999998424</c:v>
                </c:pt>
                <c:pt idx="1157">
                  <c:v>5.5699999999998422</c:v>
                </c:pt>
                <c:pt idx="1158">
                  <c:v>5.579999999999842</c:v>
                </c:pt>
                <c:pt idx="1159">
                  <c:v>5.5899999999998418</c:v>
                </c:pt>
                <c:pt idx="1160">
                  <c:v>5.5999999999998415</c:v>
                </c:pt>
                <c:pt idx="1161">
                  <c:v>5.6099999999998413</c:v>
                </c:pt>
                <c:pt idx="1162">
                  <c:v>5.6199999999998411</c:v>
                </c:pt>
                <c:pt idx="1163">
                  <c:v>5.6299999999998409</c:v>
                </c:pt>
                <c:pt idx="1164">
                  <c:v>5.6399999999998407</c:v>
                </c:pt>
                <c:pt idx="1165">
                  <c:v>5.6499999999998405</c:v>
                </c:pt>
                <c:pt idx="1166">
                  <c:v>5.6599999999998403</c:v>
                </c:pt>
                <c:pt idx="1167">
                  <c:v>5.6699999999998401</c:v>
                </c:pt>
                <c:pt idx="1168">
                  <c:v>5.6799999999998398</c:v>
                </c:pt>
                <c:pt idx="1169">
                  <c:v>5.6899999999998396</c:v>
                </c:pt>
                <c:pt idx="1170">
                  <c:v>5.6999999999998394</c:v>
                </c:pt>
                <c:pt idx="1171">
                  <c:v>5.7099999999998392</c:v>
                </c:pt>
                <c:pt idx="1172">
                  <c:v>5.719999999999839</c:v>
                </c:pt>
                <c:pt idx="1173">
                  <c:v>5.7299999999998388</c:v>
                </c:pt>
                <c:pt idx="1174">
                  <c:v>5.7399999999998386</c:v>
                </c:pt>
                <c:pt idx="1175">
                  <c:v>5.7499999999998384</c:v>
                </c:pt>
                <c:pt idx="1176">
                  <c:v>5.7599999999998381</c:v>
                </c:pt>
                <c:pt idx="1177">
                  <c:v>5.7699999999998379</c:v>
                </c:pt>
                <c:pt idx="1178">
                  <c:v>5.7799999999998377</c:v>
                </c:pt>
                <c:pt idx="1179">
                  <c:v>5.7899999999998375</c:v>
                </c:pt>
                <c:pt idx="1180">
                  <c:v>5.7999999999998373</c:v>
                </c:pt>
                <c:pt idx="1181">
                  <c:v>5.8099999999998371</c:v>
                </c:pt>
                <c:pt idx="1182">
                  <c:v>5.8199999999998369</c:v>
                </c:pt>
                <c:pt idx="1183">
                  <c:v>5.8299999999998366</c:v>
                </c:pt>
                <c:pt idx="1184">
                  <c:v>5.8399999999998364</c:v>
                </c:pt>
                <c:pt idx="1185">
                  <c:v>5.8499999999998362</c:v>
                </c:pt>
                <c:pt idx="1186">
                  <c:v>5.859999999999836</c:v>
                </c:pt>
                <c:pt idx="1187">
                  <c:v>5.8699999999998358</c:v>
                </c:pt>
                <c:pt idx="1188">
                  <c:v>5.8799999999998356</c:v>
                </c:pt>
                <c:pt idx="1189">
                  <c:v>5.8899999999998354</c:v>
                </c:pt>
                <c:pt idx="1190">
                  <c:v>5.8999999999998352</c:v>
                </c:pt>
                <c:pt idx="1191">
                  <c:v>5.9099999999998349</c:v>
                </c:pt>
                <c:pt idx="1192">
                  <c:v>5.9199999999998347</c:v>
                </c:pt>
                <c:pt idx="1193">
                  <c:v>5.9299999999998345</c:v>
                </c:pt>
                <c:pt idx="1194">
                  <c:v>5.9399999999998343</c:v>
                </c:pt>
                <c:pt idx="1195">
                  <c:v>5.9499999999998341</c:v>
                </c:pt>
                <c:pt idx="1196">
                  <c:v>5.9599999999998339</c:v>
                </c:pt>
                <c:pt idx="1197">
                  <c:v>5.9699999999998337</c:v>
                </c:pt>
                <c:pt idx="1198">
                  <c:v>5.9799999999998334</c:v>
                </c:pt>
                <c:pt idx="1199">
                  <c:v>5.9899999999998332</c:v>
                </c:pt>
                <c:pt idx="1200">
                  <c:v>5.999999999999833</c:v>
                </c:pt>
              </c:numCache>
            </c:numRef>
          </c:xVal>
          <c:yVal>
            <c:numRef>
              <c:f>Normal!$AW$21:$AW$1221</c:f>
              <c:numCache>
                <c:formatCode>General</c:formatCode>
                <c:ptCount val="1201"/>
                <c:pt idx="0">
                  <c:v>6.0758828498232853E-9</c:v>
                </c:pt>
                <c:pt idx="1">
                  <c:v>6.4512718908117505E-9</c:v>
                </c:pt>
                <c:pt idx="2">
                  <c:v>6.8491688129857578E-9</c:v>
                </c:pt>
                <c:pt idx="3">
                  <c:v>7.2708798119000543E-9</c:v>
                </c:pt>
                <c:pt idx="4">
                  <c:v>7.7177842125704726E-9</c:v>
                </c:pt>
                <c:pt idx="5">
                  <c:v>8.1913384034791439E-9</c:v>
                </c:pt>
                <c:pt idx="6">
                  <c:v>8.693079972880142E-9</c:v>
                </c:pt>
                <c:pt idx="7">
                  <c:v>9.2246320572826198E-9</c:v>
                </c:pt>
                <c:pt idx="8">
                  <c:v>9.7877079124410719E-9</c:v>
                </c:pt>
                <c:pt idx="9">
                  <c:v>1.0384115717656214E-8</c:v>
                </c:pt>
                <c:pt idx="10">
                  <c:v>1.1015763624682189E-8</c:v>
                </c:pt>
                <c:pt idx="11">
                  <c:v>1.1684665063049702E-8</c:v>
                </c:pt>
                <c:pt idx="12">
                  <c:v>1.2392944314149906E-8</c:v>
                </c:pt>
                <c:pt idx="13">
                  <c:v>1.3142842366981953E-8</c:v>
                </c:pt>
                <c:pt idx="14">
                  <c:v>1.3936723069047191E-8</c:v>
                </c:pt>
                <c:pt idx="15">
                  <c:v>1.4777079586479737E-8</c:v>
                </c:pt>
                <c:pt idx="16">
                  <c:v>1.5666541188132235E-8</c:v>
                </c:pt>
                <c:pt idx="17">
                  <c:v>1.6607880368991689E-8</c:v>
                </c:pt>
                <c:pt idx="18">
                  <c:v>1.7604020328985466E-8</c:v>
                </c:pt>
                <c:pt idx="19">
                  <c:v>1.8658042823945709E-8</c:v>
                </c:pt>
                <c:pt idx="20">
                  <c:v>1.9773196406244176E-8</c:v>
                </c:pt>
                <c:pt idx="21">
                  <c:v>2.0952905073376448E-8</c:v>
                </c:pt>
                <c:pt idx="22">
                  <c:v>2.2200777343578378E-8</c:v>
                </c:pt>
                <c:pt idx="23">
                  <c:v>2.3520615778390081E-8</c:v>
                </c:pt>
                <c:pt idx="24">
                  <c:v>2.4916426972950188E-8</c:v>
                </c:pt>
                <c:pt idx="25">
                  <c:v>2.6392432035704888E-8</c:v>
                </c:pt>
                <c:pt idx="26">
                  <c:v>2.7953077580153754E-8</c:v>
                </c:pt>
                <c:pt idx="27">
                  <c:v>2.9603047252229099E-8</c:v>
                </c:pt>
                <c:pt idx="28">
                  <c:v>3.1347273817918672E-8</c:v>
                </c:pt>
                <c:pt idx="29">
                  <c:v>3.3190951836794195E-8</c:v>
                </c:pt>
                <c:pt idx="30">
                  <c:v>3.513955094820309E-8</c:v>
                </c:pt>
                <c:pt idx="31">
                  <c:v>3.719882979801471E-8</c:v>
                </c:pt>
                <c:pt idx="32">
                  <c:v>3.9374850634996962E-8</c:v>
                </c:pt>
                <c:pt idx="33">
                  <c:v>4.1673994607121722E-8</c:v>
                </c:pt>
                <c:pt idx="34">
                  <c:v>4.4102977789371349E-8</c:v>
                </c:pt>
                <c:pt idx="35">
                  <c:v>4.6668867975940648E-8</c:v>
                </c:pt>
                <c:pt idx="36">
                  <c:v>4.9379102271102286E-8</c:v>
                </c:pt>
                <c:pt idx="37">
                  <c:v>5.2241505514422051E-8</c:v>
                </c:pt>
                <c:pt idx="38">
                  <c:v>5.5264309577494689E-8</c:v>
                </c:pt>
                <c:pt idx="39">
                  <c:v>5.8456173570897893E-8</c:v>
                </c:pt>
                <c:pt idx="40">
                  <c:v>6.1826205001655489E-8</c:v>
                </c:pt>
                <c:pt idx="41">
                  <c:v>6.5383981923148184E-8</c:v>
                </c:pt>
                <c:pt idx="42">
                  <c:v>6.9139576121120543E-8</c:v>
                </c:pt>
                <c:pt idx="43">
                  <c:v>7.3103577381205687E-8</c:v>
                </c:pt>
                <c:pt idx="44">
                  <c:v>7.7287118885224935E-8</c:v>
                </c:pt>
                <c:pt idx="45">
                  <c:v>8.1701903785427822E-8</c:v>
                </c:pt>
                <c:pt idx="46">
                  <c:v>8.6360233007805262E-8</c:v>
                </c:pt>
                <c:pt idx="47">
                  <c:v>9.1275034337659897E-8</c:v>
                </c:pt>
                <c:pt idx="48">
                  <c:v>9.6459892842728164E-8</c:v>
                </c:pt>
                <c:pt idx="49">
                  <c:v>1.0192908269134693E-7</c:v>
                </c:pt>
                <c:pt idx="50">
                  <c:v>1.0769760042542645E-7</c:v>
                </c:pt>
                <c:pt idx="51">
                  <c:v>1.1378119975033922E-7</c:v>
                </c:pt>
                <c:pt idx="52">
                  <c:v>1.2019642790627524E-7</c:v>
                </c:pt>
                <c:pt idx="53">
                  <c:v>1.2696066368812117E-7</c:v>
                </c:pt>
                <c:pt idx="54">
                  <c:v>1.3409215718353893E-7</c:v>
                </c:pt>
                <c:pt idx="55">
                  <c:v>1.4161007130160268E-7</c:v>
                </c:pt>
                <c:pt idx="56">
                  <c:v>1.4953452516714987E-7</c:v>
                </c:pt>
                <c:pt idx="57">
                  <c:v>1.5788663945887994E-7</c:v>
                </c:pt>
                <c:pt idx="58">
                  <c:v>1.66688583772217E-7</c:v>
                </c:pt>
                <c:pt idx="59">
                  <c:v>1.7596362609103401E-7</c:v>
                </c:pt>
                <c:pt idx="60">
                  <c:v>1.8573618445551639E-7</c:v>
                </c:pt>
                <c:pt idx="61">
                  <c:v>1.9603188091674326E-7</c:v>
                </c:pt>
                <c:pt idx="62">
                  <c:v>2.0687759787195041E-7</c:v>
                </c:pt>
                <c:pt idx="63">
                  <c:v>2.1830153687796297E-7</c:v>
                </c:pt>
                <c:pt idx="64">
                  <c:v>2.3033328004390427E-7</c:v>
                </c:pt>
                <c:pt idx="65">
                  <c:v>2.4300385410803492E-7</c:v>
                </c:pt>
                <c:pt idx="66">
                  <c:v>2.563457973074397E-7</c:v>
                </c:pt>
                <c:pt idx="67">
                  <c:v>2.7039322915327235E-7</c:v>
                </c:pt>
                <c:pt idx="68">
                  <c:v>2.8518192322837581E-7</c:v>
                </c:pt>
                <c:pt idx="69">
                  <c:v>3.0074938312835919E-7</c:v>
                </c:pt>
                <c:pt idx="70">
                  <c:v>3.1713492167157213E-7</c:v>
                </c:pt>
                <c:pt idx="71">
                  <c:v>3.3437974350795325E-7</c:v>
                </c:pt>
                <c:pt idx="72">
                  <c:v>3.525270312613756E-7</c:v>
                </c:pt>
                <c:pt idx="73">
                  <c:v>3.7162203534491956E-7</c:v>
                </c:pt>
                <c:pt idx="74">
                  <c:v>3.9171216759344815E-7</c:v>
                </c:pt>
                <c:pt idx="75">
                  <c:v>4.1284709886296532E-7</c:v>
                </c:pt>
                <c:pt idx="76">
                  <c:v>4.350788607514745E-7</c:v>
                </c:pt>
                <c:pt idx="77">
                  <c:v>4.5846195160149453E-7</c:v>
                </c:pt>
                <c:pt idx="78">
                  <c:v>4.830534469499253E-7</c:v>
                </c:pt>
                <c:pt idx="79">
                  <c:v>5.0891311459672057E-7</c:v>
                </c:pt>
                <c:pt idx="80">
                  <c:v>5.3610353446971465E-7</c:v>
                </c:pt>
                <c:pt idx="81">
                  <c:v>5.6469022346902573E-7</c:v>
                </c:pt>
                <c:pt idx="82">
                  <c:v>5.9474176548072136E-7</c:v>
                </c:pt>
                <c:pt idx="83">
                  <c:v>6.2632994675583231E-7</c:v>
                </c:pt>
                <c:pt idx="84">
                  <c:v>6.5952989685746175E-7</c:v>
                </c:pt>
                <c:pt idx="85">
                  <c:v>6.9442023538547093E-7</c:v>
                </c:pt>
                <c:pt idx="86">
                  <c:v>7.3108322469528001E-7</c:v>
                </c:pt>
                <c:pt idx="87">
                  <c:v>7.6960492883444052E-7</c:v>
                </c:pt>
                <c:pt idx="88">
                  <c:v>8.1007537892805665E-7</c:v>
                </c:pt>
                <c:pt idx="89">
                  <c:v>8.5258874525170403E-7</c:v>
                </c:pt>
                <c:pt idx="90">
                  <c:v>8.9724351623824438E-7</c:v>
                </c:pt>
                <c:pt idx="91">
                  <c:v>9.4414268467299333E-7</c:v>
                </c:pt>
                <c:pt idx="92">
                  <c:v>9.9339394133981313E-7</c:v>
                </c:pt>
                <c:pt idx="93">
                  <c:v>1.0451098763892137E-6</c:v>
                </c:pt>
                <c:pt idx="94">
                  <c:v>1.0994081887080917E-6</c:v>
                </c:pt>
                <c:pt idx="95">
                  <c:v>1.156411903579664E-6</c:v>
                </c:pt>
                <c:pt idx="96">
                  <c:v>1.2162495989311927E-6</c:v>
                </c:pt>
                <c:pt idx="97">
                  <c:v>1.2790556404764422E-6</c:v>
                </c:pt>
                <c:pt idx="98">
                  <c:v>1.344970426069301E-6</c:v>
                </c:pt>
                <c:pt idx="99">
                  <c:v>1.4141406395948527E-6</c:v>
                </c:pt>
                <c:pt idx="100">
                  <c:v>1.4867195147341391E-6</c:v>
                </c:pt>
                <c:pt idx="101">
                  <c:v>1.5628671089491233E-6</c:v>
                </c:pt>
                <c:pt idx="102">
                  <c:v>1.642750588044896E-6</c:v>
                </c:pt>
                <c:pt idx="103">
                  <c:v>1.726544521676883E-6</c:v>
                </c:pt>
                <c:pt idx="104">
                  <c:v>1.8144311901818304E-6</c:v>
                </c:pt>
                <c:pt idx="105">
                  <c:v>1.9066009031226007E-6</c:v>
                </c:pt>
                <c:pt idx="106">
                  <c:v>2.0032523299482683E-6</c:v>
                </c:pt>
                <c:pt idx="107">
                  <c:v>2.1045928431828902E-6</c:v>
                </c:pt>
                <c:pt idx="108">
                  <c:v>2.2108388745681696E-6</c:v>
                </c:pt>
                <c:pt idx="109">
                  <c:v>2.3222162845977327E-6</c:v>
                </c:pt>
                <c:pt idx="110">
                  <c:v>2.438960745893079E-6</c:v>
                </c:pt>
                <c:pt idx="111">
                  <c:v>2.5613181408842436E-6</c:v>
                </c:pt>
                <c:pt idx="112">
                  <c:v>2.6895449742712074E-6</c:v>
                </c:pt>
                <c:pt idx="113">
                  <c:v>2.8239088007554944E-6</c:v>
                </c:pt>
                <c:pt idx="114">
                  <c:v>2.9646886685449248E-6</c:v>
                </c:pt>
                <c:pt idx="115">
                  <c:v>3.1121755791485684E-6</c:v>
                </c:pt>
                <c:pt idx="116">
                  <c:v>3.26667296399288E-6</c:v>
                </c:pt>
                <c:pt idx="117">
                  <c:v>3.4284971784046243E-6</c:v>
                </c:pt>
                <c:pt idx="118">
                  <c:v>3.5979780135208121E-6</c:v>
                </c:pt>
                <c:pt idx="119">
                  <c:v>3.7754592267008785E-6</c:v>
                </c:pt>
                <c:pt idx="120">
                  <c:v>3.96129909103159E-6</c:v>
                </c:pt>
                <c:pt idx="121">
                  <c:v>4.1558709645306835E-6</c:v>
                </c:pt>
                <c:pt idx="122">
                  <c:v>4.3595638796710937E-6</c:v>
                </c:pt>
                <c:pt idx="123">
                  <c:v>4.5727831538635669E-6</c:v>
                </c:pt>
                <c:pt idx="124">
                  <c:v>4.7959510215519161E-6</c:v>
                </c:pt>
                <c:pt idx="125">
                  <c:v>5.0295072885918101E-6</c:v>
                </c:pt>
                <c:pt idx="126">
                  <c:v>5.2739100096006385E-6</c:v>
                </c:pt>
                <c:pt idx="127">
                  <c:v>5.5296361889833535E-6</c:v>
                </c:pt>
                <c:pt idx="128">
                  <c:v>5.797182506356534E-6</c:v>
                </c:pt>
                <c:pt idx="129">
                  <c:v>6.0770660671103265E-6</c:v>
                </c:pt>
                <c:pt idx="130">
                  <c:v>6.369825178866275E-6</c:v>
                </c:pt>
                <c:pt idx="131">
                  <c:v>6.6760201546065952E-6</c:v>
                </c:pt>
                <c:pt idx="132">
                  <c:v>6.9962341432694716E-6</c:v>
                </c:pt>
                <c:pt idx="133">
                  <c:v>7.3310739886229666E-6</c:v>
                </c:pt>
                <c:pt idx="134">
                  <c:v>7.6811711172494457E-6</c:v>
                </c:pt>
                <c:pt idx="135">
                  <c:v>8.0471824564912195E-6</c:v>
                </c:pt>
                <c:pt idx="136">
                  <c:v>8.4297913832276333E-6</c:v>
                </c:pt>
                <c:pt idx="137">
                  <c:v>8.8297087043728882E-6</c:v>
                </c:pt>
                <c:pt idx="138">
                  <c:v>9.2476736700043681E-6</c:v>
                </c:pt>
                <c:pt idx="139">
                  <c:v>9.6844550200501275E-6</c:v>
                </c:pt>
                <c:pt idx="140">
                  <c:v>1.0140852065485354E-5</c:v>
                </c:pt>
                <c:pt idx="141">
                  <c:v>1.0617695805006919E-5</c:v>
                </c:pt>
                <c:pt idx="142">
                  <c:v>1.1115850078176247E-5</c:v>
                </c:pt>
                <c:pt idx="143">
                  <c:v>1.1636212756041055E-5</c:v>
                </c:pt>
                <c:pt idx="144">
                  <c:v>1.2179716970266988E-5</c:v>
                </c:pt>
                <c:pt idx="145">
                  <c:v>1.274733238183165E-5</c:v>
                </c:pt>
                <c:pt idx="146">
                  <c:v>1.3340066490353941E-5</c:v>
                </c:pt>
                <c:pt idx="147">
                  <c:v>1.3958965985152786E-5</c:v>
                </c:pt>
                <c:pt idx="148">
                  <c:v>1.4605118139150813E-5</c:v>
                </c:pt>
                <c:pt idx="149">
                  <c:v>1.5279652246759421E-5</c:v>
                </c:pt>
                <c:pt idx="150">
                  <c:v>1.5983741106903174E-5</c:v>
                </c:pt>
                <c:pt idx="151">
                  <c:v>1.6718602552362692E-5</c:v>
                </c:pt>
                <c:pt idx="152">
                  <c:v>1.7485501026636618E-5</c:v>
                </c:pt>
                <c:pt idx="153">
                  <c:v>1.828574920954468E-5</c:v>
                </c:pt>
                <c:pt idx="154">
                  <c:v>1.9120709692814949E-5</c:v>
                </c:pt>
                <c:pt idx="155">
                  <c:v>1.9991796706919877E-5</c:v>
                </c:pt>
                <c:pt idx="156">
                  <c:v>2.0900477900447358E-5</c:v>
                </c:pt>
                <c:pt idx="157">
                  <c:v>2.1848276173313207E-5</c:v>
                </c:pt>
                <c:pt idx="158">
                  <c:v>2.2836771565143512E-5</c:v>
                </c:pt>
                <c:pt idx="159">
                  <c:v>2.3867603200176034E-5</c:v>
                </c:pt>
                <c:pt idx="160">
                  <c:v>2.4942471290049805E-5</c:v>
                </c:pt>
                <c:pt idx="161">
                  <c:v>2.6063139195874405E-5</c:v>
                </c:pt>
                <c:pt idx="162">
                  <c:v>2.7231435550988492E-5</c:v>
                </c:pt>
                <c:pt idx="163">
                  <c:v>2.8449256445840005E-5</c:v>
                </c:pt>
                <c:pt idx="164">
                  <c:v>2.9718567676437706E-5</c:v>
                </c:pt>
                <c:pt idx="165">
                  <c:v>3.1041407057845469E-5</c:v>
                </c:pt>
                <c:pt idx="166">
                  <c:v>3.2419886804208763E-5</c:v>
                </c:pt>
                <c:pt idx="167">
                  <c:v>3.385619597682265E-5</c:v>
                </c:pt>
                <c:pt idx="168">
                  <c:v>3.5352603001767628E-5</c:v>
                </c:pt>
                <c:pt idx="169">
                  <c:v>3.6911458258660422E-5</c:v>
                </c:pt>
                <c:pt idx="170">
                  <c:v>3.8535196742081105E-5</c:v>
                </c:pt>
                <c:pt idx="171">
                  <c:v>4.0226340797258676E-5</c:v>
                </c:pt>
                <c:pt idx="172">
                  <c:v>4.1987502931610749E-5</c:v>
                </c:pt>
                <c:pt idx="173">
                  <c:v>4.3821388703751186E-5</c:v>
                </c:pt>
                <c:pt idx="174">
                  <c:v>4.5730799691593995E-5</c:v>
                </c:pt>
                <c:pt idx="175">
                  <c:v>4.7718636541197396E-5</c:v>
                </c:pt>
                <c:pt idx="176">
                  <c:v>4.9787902098004209E-5</c:v>
                </c:pt>
                <c:pt idx="177">
                  <c:v>5.1941704622151557E-5</c:v>
                </c:pt>
                <c:pt idx="178">
                  <c:v>5.4183261089531471E-5</c:v>
                </c:pt>
                <c:pt idx="179">
                  <c:v>5.6515900580298361E-5</c:v>
                </c:pt>
                <c:pt idx="180">
                  <c:v>5.8943067756530321E-5</c:v>
                </c:pt>
                <c:pt idx="181">
                  <c:v>6.1468326430759378E-5</c:v>
                </c:pt>
                <c:pt idx="182">
                  <c:v>6.4095363227095606E-5</c:v>
                </c:pt>
                <c:pt idx="183">
                  <c:v>6.6827991336679686E-5</c:v>
                </c:pt>
                <c:pt idx="184">
                  <c:v>6.9670154369203051E-5</c:v>
                </c:pt>
                <c:pt idx="185">
                  <c:v>7.2625930302240587E-5</c:v>
                </c:pt>
                <c:pt idx="186">
                  <c:v>7.5699535530148704E-5</c:v>
                </c:pt>
                <c:pt idx="187">
                  <c:v>7.889532901428005E-5</c:v>
                </c:pt>
                <c:pt idx="188">
                  <c:v>8.221781653627241E-5</c:v>
                </c:pt>
                <c:pt idx="189">
                  <c:v>8.5671655056167851E-5</c:v>
                </c:pt>
                <c:pt idx="190">
                  <c:v>8.9261657177118006E-5</c:v>
                </c:pt>
                <c:pt idx="191">
                  <c:v>9.2992795718430362E-5</c:v>
                </c:pt>
                <c:pt idx="192">
                  <c:v>9.6870208398703079E-5</c:v>
                </c:pt>
                <c:pt idx="193">
                  <c:v>1.0089920263079756E-4</c:v>
                </c:pt>
                <c:pt idx="194">
                  <c:v>1.0508526043038254E-4</c:v>
                </c:pt>
                <c:pt idx="195">
                  <c:v>1.0943404343978207E-4</c:v>
                </c:pt>
                <c:pt idx="196">
                  <c:v>1.1395139806884536E-4</c:v>
                </c:pt>
                <c:pt idx="197">
                  <c:v>1.1864336075454596E-4</c:v>
                </c:pt>
                <c:pt idx="198">
                  <c:v>1.2351616334100237E-4</c:v>
                </c:pt>
                <c:pt idx="199">
                  <c:v>1.2857623858159912E-4</c:v>
                </c:pt>
                <c:pt idx="200">
                  <c:v>1.3383022576486252E-4</c:v>
                </c:pt>
                <c:pt idx="201">
                  <c:v>1.3928497646573614E-4</c:v>
                </c:pt>
                <c:pt idx="202">
                  <c:v>1.4494756042386617E-4</c:v>
                </c:pt>
                <c:pt idx="203">
                  <c:v>1.5082527155049191E-4</c:v>
                </c:pt>
                <c:pt idx="204">
                  <c:v>1.5692563406550521E-4</c:v>
                </c:pt>
                <c:pt idx="205">
                  <c:v>1.6325640876621385E-4</c:v>
                </c:pt>
                <c:pt idx="206">
                  <c:v>1.6982559942931415E-4</c:v>
                </c:pt>
                <c:pt idx="207">
                  <c:v>1.7664145934754029E-4</c:v>
                </c:pt>
                <c:pt idx="208">
                  <c:v>1.837124980024251E-4</c:v>
                </c:pt>
                <c:pt idx="209">
                  <c:v>1.9104748787456449E-4</c:v>
                </c:pt>
                <c:pt idx="210">
                  <c:v>1.9865547139273792E-4</c:v>
                </c:pt>
                <c:pt idx="211">
                  <c:v>2.0654576802318949E-4</c:v>
                </c:pt>
                <c:pt idx="212">
                  <c:v>2.1472798150032926E-4</c:v>
                </c:pt>
                <c:pt idx="213">
                  <c:v>2.2321200720006276E-4</c:v>
                </c:pt>
                <c:pt idx="214">
                  <c:v>2.3200803965690134E-4</c:v>
                </c:pt>
                <c:pt idx="215">
                  <c:v>2.4112658022595082E-4</c:v>
                </c:pt>
                <c:pt idx="216">
                  <c:v>2.5057844489081646E-4</c:v>
                </c:pt>
                <c:pt idx="217">
                  <c:v>2.6037477221839639E-4</c:v>
                </c:pt>
                <c:pt idx="218">
                  <c:v>2.7052703146147292E-4</c:v>
                </c:pt>
                <c:pt idx="219">
                  <c:v>2.8104703080993634E-4</c:v>
                </c:pt>
                <c:pt idx="220">
                  <c:v>2.9194692579140812E-4</c:v>
                </c:pt>
                <c:pt idx="221">
                  <c:v>3.0323922782195001E-4</c:v>
                </c:pt>
                <c:pt idx="222">
                  <c:v>3.1493681290746528E-4</c:v>
                </c:pt>
                <c:pt idx="223">
                  <c:v>3.2705293049631627E-4</c:v>
                </c:pt>
                <c:pt idx="224">
                  <c:v>3.3960121248359352E-4</c:v>
                </c:pt>
                <c:pt idx="225">
                  <c:v>3.5259568236738209E-4</c:v>
                </c:pt>
                <c:pt idx="226">
                  <c:v>3.6605076455726925E-4</c:v>
                </c:pt>
                <c:pt idx="227">
                  <c:v>3.7998129383525289E-4</c:v>
                </c:pt>
                <c:pt idx="228">
                  <c:v>3.9440252496908504E-4</c:v>
                </c:pt>
                <c:pt idx="229">
                  <c:v>4.0933014247800456E-4</c:v>
                </c:pt>
                <c:pt idx="230">
                  <c:v>4.247802705506744E-4</c:v>
                </c:pt>
                <c:pt idx="231">
                  <c:v>4.4076948311505218E-4</c:v>
                </c:pt>
                <c:pt idx="232">
                  <c:v>4.5731481405977348E-4</c:v>
                </c:pt>
                <c:pt idx="233">
                  <c:v>4.7443376760653423E-4</c:v>
                </c:pt>
                <c:pt idx="234">
                  <c:v>4.9214432883280346E-4</c:v>
                </c:pt>
                <c:pt idx="235">
                  <c:v>5.1046497434409214E-4</c:v>
                </c:pt>
                <c:pt idx="236">
                  <c:v>5.2941468309483772E-4</c:v>
                </c:pt>
                <c:pt idx="237">
                  <c:v>5.4901294735685766E-4</c:v>
                </c:pt>
                <c:pt idx="238">
                  <c:v>5.6927978383414788E-4</c:v>
                </c:pt>
                <c:pt idx="239">
                  <c:v>5.9023574492267697E-4</c:v>
                </c:pt>
                <c:pt idx="240">
                  <c:v>6.1190193011365936E-4</c:v>
                </c:pt>
                <c:pt idx="241">
                  <c:v>6.3429999753864029E-4</c:v>
                </c:pt>
                <c:pt idx="242">
                  <c:v>6.5745217565455491E-4</c:v>
                </c:pt>
                <c:pt idx="243">
                  <c:v>6.8138127506676559E-4</c:v>
                </c:pt>
                <c:pt idx="244">
                  <c:v>7.0611070048790566E-4</c:v>
                </c:pt>
                <c:pt idx="245">
                  <c:v>7.3166446283017494E-4</c:v>
                </c:pt>
                <c:pt idx="246">
                  <c:v>7.5806719142857012E-4</c:v>
                </c:pt>
                <c:pt idx="247">
                  <c:v>7.8534414639232328E-4</c:v>
                </c:pt>
                <c:pt idx="248">
                  <c:v>8.1352123108165662E-4</c:v>
                </c:pt>
                <c:pt idx="249">
                  <c:v>8.426250047067446E-4</c:v>
                </c:pt>
                <c:pt idx="250">
                  <c:v>8.726826950455972E-4</c:v>
                </c:pt>
                <c:pt idx="251">
                  <c:v>9.0372221127735578E-4</c:v>
                </c:pt>
                <c:pt idx="252">
                  <c:v>9.35772156927305E-4</c:v>
                </c:pt>
                <c:pt idx="253">
                  <c:v>9.6886184291966506E-4</c:v>
                </c:pt>
                <c:pt idx="254">
                  <c:v>1.0030213007340494E-3</c:v>
                </c:pt>
                <c:pt idx="255">
                  <c:v>1.0382812956612165E-3</c:v>
                </c:pt>
                <c:pt idx="256">
                  <c:v>1.0746733401535333E-3</c:v>
                </c:pt>
                <c:pt idx="257">
                  <c:v>1.1122297072653563E-3</c:v>
                </c:pt>
                <c:pt idx="258">
                  <c:v>1.1509834441782675E-3</c:v>
                </c:pt>
                <c:pt idx="259">
                  <c:v>1.1909683858058932E-3</c:v>
                </c:pt>
                <c:pt idx="260">
                  <c:v>1.2322191684727864E-3</c:v>
                </c:pt>
                <c:pt idx="261">
                  <c:v>1.2747712436615925E-3</c:v>
                </c:pt>
                <c:pt idx="262">
                  <c:v>1.3186608918224925E-3</c:v>
                </c:pt>
                <c:pt idx="263">
                  <c:v>1.3639252362386465E-3</c:v>
                </c:pt>
                <c:pt idx="264">
                  <c:v>1.4106022569411168E-3</c:v>
                </c:pt>
                <c:pt idx="265">
                  <c:v>1.4587308046664698E-3</c:v>
                </c:pt>
                <c:pt idx="266">
                  <c:v>1.5083506148500219E-3</c:v>
                </c:pt>
                <c:pt idx="267">
                  <c:v>1.5595023216473964E-3</c:v>
                </c:pt>
                <c:pt idx="268">
                  <c:v>1.612227471976818E-3</c:v>
                </c:pt>
                <c:pt idx="269">
                  <c:v>1.6665685395742642E-3</c:v>
                </c:pt>
                <c:pt idx="270">
                  <c:v>1.7225689390533523E-3</c:v>
                </c:pt>
                <c:pt idx="271">
                  <c:v>1.7802730399615401E-3</c:v>
                </c:pt>
                <c:pt idx="272">
                  <c:v>1.8397261808239293E-3</c:v>
                </c:pt>
                <c:pt idx="273">
                  <c:v>1.9009746831657188E-3</c:v>
                </c:pt>
                <c:pt idx="274">
                  <c:v>1.9640658655040006E-3</c:v>
                </c:pt>
                <c:pt idx="275">
                  <c:v>2.0290480572993821E-3</c:v>
                </c:pt>
                <c:pt idx="276">
                  <c:v>2.095970612857545E-3</c:v>
                </c:pt>
                <c:pt idx="277">
                  <c:v>2.1648839251706487E-3</c:v>
                </c:pt>
                <c:pt idx="278">
                  <c:v>2.2358394396881131E-3</c:v>
                </c:pt>
                <c:pt idx="279">
                  <c:v>2.3088896680060543E-3</c:v>
                </c:pt>
                <c:pt idx="280">
                  <c:v>2.3840882014643868E-3</c:v>
                </c:pt>
                <c:pt idx="281">
                  <c:v>2.4614897246402301E-3</c:v>
                </c:pt>
                <c:pt idx="282">
                  <c:v>2.5411500287260357E-3</c:v>
                </c:pt>
                <c:pt idx="283">
                  <c:v>2.6231260247805235E-3</c:v>
                </c:pt>
                <c:pt idx="284">
                  <c:v>2.7074757568401851E-3</c:v>
                </c:pt>
                <c:pt idx="285">
                  <c:v>2.7942584148789107E-3</c:v>
                </c:pt>
                <c:pt idx="286">
                  <c:v>2.883534347602888E-3</c:v>
                </c:pt>
                <c:pt idx="287">
                  <c:v>2.9753650750676823E-3</c:v>
                </c:pt>
                <c:pt idx="288">
                  <c:v>3.069813301104154E-3</c:v>
                </c:pt>
                <c:pt idx="289">
                  <c:v>3.1669429255394704E-3</c:v>
                </c:pt>
                <c:pt idx="290">
                  <c:v>3.2668190561992946E-3</c:v>
                </c:pt>
                <c:pt idx="291">
                  <c:v>3.3695080206768342E-3</c:v>
                </c:pt>
                <c:pt idx="292">
                  <c:v>3.4750773778542709E-3</c:v>
                </c:pt>
                <c:pt idx="293">
                  <c:v>3.5835959291616736E-3</c:v>
                </c:pt>
                <c:pt idx="294">
                  <c:v>3.6951337295583254E-3</c:v>
                </c:pt>
                <c:pt idx="295">
                  <c:v>3.8097620982210758E-3</c:v>
                </c:pt>
                <c:pt idx="296">
                  <c:v>3.9275536289240251E-3</c:v>
                </c:pt>
                <c:pt idx="297">
                  <c:v>4.0485822000936519E-3</c:v>
                </c:pt>
                <c:pt idx="298">
                  <c:v>4.1729229845231608E-3</c:v>
                </c:pt>
                <c:pt idx="299">
                  <c:v>4.3006524587296206E-3</c:v>
                </c:pt>
                <c:pt idx="300">
                  <c:v>4.4318484119371566E-3</c:v>
                </c:pt>
                <c:pt idx="301">
                  <c:v>4.5665899546692718E-3</c:v>
                </c:pt>
                <c:pt idx="302">
                  <c:v>4.7049575269330762E-3</c:v>
                </c:pt>
                <c:pt idx="303">
                  <c:v>4.8470329059780186E-3</c:v>
                </c:pt>
                <c:pt idx="304">
                  <c:v>4.992899213611417E-3</c:v>
                </c:pt>
                <c:pt idx="305">
                  <c:v>5.1426409230529513E-3</c:v>
                </c:pt>
                <c:pt idx="306">
                  <c:v>5.2963438653100027E-3</c:v>
                </c:pt>
                <c:pt idx="307">
                  <c:v>5.4540952350555037E-3</c:v>
                </c:pt>
                <c:pt idx="308">
                  <c:v>5.61598359598989E-3</c:v>
                </c:pt>
                <c:pt idx="309">
                  <c:v>5.782098885668367E-3</c:v>
                </c:pt>
                <c:pt idx="310">
                  <c:v>5.9525324197747115E-3</c:v>
                </c:pt>
                <c:pt idx="311">
                  <c:v>6.1273768958225111E-3</c:v>
                </c:pt>
                <c:pt idx="312">
                  <c:v>6.3067263962647167E-3</c:v>
                </c:pt>
                <c:pt idx="313">
                  <c:v>6.4906763909921231E-3</c:v>
                </c:pt>
                <c:pt idx="314">
                  <c:v>6.6793237392013391E-3</c:v>
                </c:pt>
                <c:pt idx="315">
                  <c:v>6.872766690612658E-3</c:v>
                </c:pt>
                <c:pt idx="316">
                  <c:v>7.0711048860180982E-3</c:v>
                </c:pt>
                <c:pt idx="317">
                  <c:v>7.2744393571398279E-3</c:v>
                </c:pt>
                <c:pt idx="318">
                  <c:v>7.4828725257791275E-3</c:v>
                </c:pt>
                <c:pt idx="319">
                  <c:v>7.6965082022358508E-3</c:v>
                </c:pt>
                <c:pt idx="320">
                  <c:v>7.9154515829784507E-3</c:v>
                </c:pt>
                <c:pt idx="321">
                  <c:v>8.1398092475444689E-3</c:v>
                </c:pt>
                <c:pt idx="322">
                  <c:v>8.3696891546514302E-3</c:v>
                </c:pt>
                <c:pt idx="323">
                  <c:v>8.6052006374980321E-3</c:v>
                </c:pt>
                <c:pt idx="324">
                  <c:v>8.8464543982355367E-3</c:v>
                </c:pt>
                <c:pt idx="325">
                  <c:v>9.0935625015893199E-3</c:v>
                </c:pt>
                <c:pt idx="326">
                  <c:v>9.3466383676105054E-3</c:v>
                </c:pt>
                <c:pt idx="327">
                  <c:v>9.6057967635377554E-3</c:v>
                </c:pt>
                <c:pt idx="328">
                  <c:v>9.8711537947492583E-3</c:v>
                </c:pt>
                <c:pt idx="329">
                  <c:v>1.0142826894785148E-2</c:v>
                </c:pt>
                <c:pt idx="330">
                  <c:v>1.0420934814420612E-2</c:v>
                </c:pt>
                <c:pt idx="331">
                  <c:v>1.0705597609770152E-2</c:v>
                </c:pt>
                <c:pt idx="332">
                  <c:v>1.099693662940349E-2</c:v>
                </c:pt>
                <c:pt idx="333">
                  <c:v>1.1295074500453993E-2</c:v>
                </c:pt>
                <c:pt idx="334">
                  <c:v>1.1600135113700366E-2</c:v>
                </c:pt>
                <c:pt idx="335">
                  <c:v>1.1912243607602924E-2</c:v>
                </c:pt>
                <c:pt idx="336">
                  <c:v>1.2231526351275661E-2</c:v>
                </c:pt>
                <c:pt idx="337">
                  <c:v>1.2558110926375834E-2</c:v>
                </c:pt>
                <c:pt idx="338">
                  <c:v>1.2892126107892874E-2</c:v>
                </c:pt>
                <c:pt idx="339">
                  <c:v>1.3233701843818868E-2</c:v>
                </c:pt>
                <c:pt idx="340">
                  <c:v>1.3582969233683054E-2</c:v>
                </c:pt>
                <c:pt idx="341">
                  <c:v>1.394006050593319E-2</c:v>
                </c:pt>
                <c:pt idx="342">
                  <c:v>1.4305108994147001E-2</c:v>
                </c:pt>
                <c:pt idx="343">
                  <c:v>1.4678249112057279E-2</c:v>
                </c:pt>
                <c:pt idx="344">
                  <c:v>1.5059616327374627E-2</c:v>
                </c:pt>
                <c:pt idx="345">
                  <c:v>1.544934713439227E-2</c:v>
                </c:pt>
                <c:pt idx="346">
                  <c:v>1.5847579025357845E-2</c:v>
                </c:pt>
                <c:pt idx="347">
                  <c:v>1.625445046059746E-2</c:v>
                </c:pt>
                <c:pt idx="348">
                  <c:v>1.6670100837377945E-2</c:v>
                </c:pt>
                <c:pt idx="349">
                  <c:v>1.7094670457493747E-2</c:v>
                </c:pt>
                <c:pt idx="350">
                  <c:v>1.7528300493565269E-2</c:v>
                </c:pt>
                <c:pt idx="351">
                  <c:v>1.7971132954036285E-2</c:v>
                </c:pt>
                <c:pt idx="352">
                  <c:v>1.8423310646858617E-2</c:v>
                </c:pt>
                <c:pt idx="353">
                  <c:v>1.8884977141852662E-2</c:v>
                </c:pt>
                <c:pt idx="354">
                  <c:v>1.9356276731733367E-2</c:v>
                </c:pt>
                <c:pt idx="355">
                  <c:v>1.9837354391791646E-2</c:v>
                </c:pt>
                <c:pt idx="356">
                  <c:v>2.032835573822207E-2</c:v>
                </c:pt>
                <c:pt idx="357">
                  <c:v>2.0829426985088335E-2</c:v>
                </c:pt>
                <c:pt idx="358">
                  <c:v>2.1340714899918838E-2</c:v>
                </c:pt>
                <c:pt idx="359">
                  <c:v>2.1862366757925352E-2</c:v>
                </c:pt>
                <c:pt idx="360">
                  <c:v>2.2394530294838771E-2</c:v>
                </c:pt>
                <c:pt idx="361">
                  <c:v>2.2937353658356474E-2</c:v>
                </c:pt>
                <c:pt idx="362">
                  <c:v>2.3490985358197044E-2</c:v>
                </c:pt>
                <c:pt idx="363">
                  <c:v>2.4055574214758554E-2</c:v>
                </c:pt>
                <c:pt idx="364">
                  <c:v>2.4631269306377986E-2</c:v>
                </c:pt>
                <c:pt idx="365">
                  <c:v>2.5218219915189771E-2</c:v>
                </c:pt>
                <c:pt idx="366">
                  <c:v>2.5816575471582965E-2</c:v>
                </c:pt>
                <c:pt idx="367">
                  <c:v>2.6426485497256909E-2</c:v>
                </c:pt>
                <c:pt idx="368">
                  <c:v>2.7048099546876859E-2</c:v>
                </c:pt>
                <c:pt idx="369">
                  <c:v>2.7681567148331542E-2</c:v>
                </c:pt>
                <c:pt idx="370">
                  <c:v>2.8327037741596041E-2</c:v>
                </c:pt>
                <c:pt idx="371">
                  <c:v>2.8984660616204173E-2</c:v>
                </c:pt>
                <c:pt idx="372">
                  <c:v>2.9654584847335904E-2</c:v>
                </c:pt>
                <c:pt idx="373">
                  <c:v>3.033695923052615E-2</c:v>
                </c:pt>
                <c:pt idx="374">
                  <c:v>3.103193221500266E-2</c:v>
                </c:pt>
                <c:pt idx="375">
                  <c:v>3.1739651835661707E-2</c:v>
                </c:pt>
                <c:pt idx="376">
                  <c:v>3.246026564369163E-2</c:v>
                </c:pt>
                <c:pt idx="377">
                  <c:v>3.3193920635855176E-2</c:v>
                </c:pt>
                <c:pt idx="378">
                  <c:v>3.3940763182443115E-2</c:v>
                </c:pt>
                <c:pt idx="379">
                  <c:v>3.4700938953912623E-2</c:v>
                </c:pt>
                <c:pt idx="380">
                  <c:v>3.5474592846225117E-2</c:v>
                </c:pt>
                <c:pt idx="381">
                  <c:v>3.6261868904899776E-2</c:v>
                </c:pt>
                <c:pt idx="382">
                  <c:v>3.7062910247799903E-2</c:v>
                </c:pt>
                <c:pt idx="383">
                  <c:v>3.7877858986670759E-2</c:v>
                </c:pt>
                <c:pt idx="384">
                  <c:v>3.8706856147448766E-2</c:v>
                </c:pt>
                <c:pt idx="385">
                  <c:v>3.9550041589363226E-2</c:v>
                </c:pt>
                <c:pt idx="386">
                  <c:v>4.0407553922853195E-2</c:v>
                </c:pt>
                <c:pt idx="387">
                  <c:v>4.1279530426323152E-2</c:v>
                </c:pt>
                <c:pt idx="388">
                  <c:v>4.2166106961762928E-2</c:v>
                </c:pt>
                <c:pt idx="389">
                  <c:v>4.3067417889258199E-2</c:v>
                </c:pt>
                <c:pt idx="390">
                  <c:v>4.3983595980419517E-2</c:v>
                </c:pt>
                <c:pt idx="391">
                  <c:v>4.4914772330759252E-2</c:v>
                </c:pt>
                <c:pt idx="392">
                  <c:v>4.5861076271046915E-2</c:v>
                </c:pt>
                <c:pt idx="393">
                  <c:v>4.682263527767503E-2</c:v>
                </c:pt>
                <c:pt idx="394">
                  <c:v>4.7799574882068749E-2</c:v>
                </c:pt>
                <c:pt idx="395">
                  <c:v>4.8792018579174326E-2</c:v>
                </c:pt>
                <c:pt idx="396">
                  <c:v>4.9800087735062185E-2</c:v>
                </c:pt>
                <c:pt idx="397">
                  <c:v>5.082390149368244E-2</c:v>
                </c:pt>
                <c:pt idx="398">
                  <c:v>5.186357668281167E-2</c:v>
                </c:pt>
                <c:pt idx="399">
                  <c:v>5.2919227719231236E-2</c:v>
                </c:pt>
                <c:pt idx="400">
                  <c:v>5.3990966513178841E-2</c:v>
                </c:pt>
                <c:pt idx="401">
                  <c:v>5.5078902372116413E-2</c:v>
                </c:pt>
                <c:pt idx="402">
                  <c:v>5.6183141903858549E-2</c:v>
                </c:pt>
                <c:pt idx="403">
                  <c:v>5.73037889191075E-2</c:v>
                </c:pt>
                <c:pt idx="404">
                  <c:v>5.8440944333441699E-2</c:v>
                </c:pt>
                <c:pt idx="405">
                  <c:v>5.9594706068806159E-2</c:v>
                </c:pt>
                <c:pt idx="406">
                  <c:v>6.0765168954554728E-2</c:v>
                </c:pt>
                <c:pt idx="407">
                  <c:v>6.1952424628094964E-2</c:v>
                </c:pt>
                <c:pt idx="408">
                  <c:v>6.3156561435188302E-2</c:v>
                </c:pt>
                <c:pt idx="409">
                  <c:v>6.4377664329958867E-2</c:v>
                </c:pt>
                <c:pt idx="410">
                  <c:v>6.5615814774665965E-2</c:v>
                </c:pt>
                <c:pt idx="411">
                  <c:v>6.6871090639296388E-2</c:v>
                </c:pt>
                <c:pt idx="412">
                  <c:v>6.8143566101033642E-2</c:v>
                </c:pt>
                <c:pt idx="413">
                  <c:v>6.9433311543663126E-2</c:v>
                </c:pt>
                <c:pt idx="414">
                  <c:v>7.0740393456972181E-2</c:v>
                </c:pt>
                <c:pt idx="415">
                  <c:v>7.2064874336206633E-2</c:v>
                </c:pt>
                <c:pt idx="416">
                  <c:v>7.3406812581645386E-2</c:v>
                </c:pt>
                <c:pt idx="417">
                  <c:v>7.4766262398355945E-2</c:v>
                </c:pt>
                <c:pt idx="418">
                  <c:v>7.6143273696195515E-2</c:v>
                </c:pt>
                <c:pt idx="419">
                  <c:v>7.7537891990122038E-2</c:v>
                </c:pt>
                <c:pt idx="420">
                  <c:v>7.8950158300882062E-2</c:v>
                </c:pt>
                <c:pt idx="421">
                  <c:v>8.0380109056141916E-2</c:v>
                </c:pt>
                <c:pt idx="422">
                  <c:v>8.1827775992130397E-2</c:v>
                </c:pt>
                <c:pt idx="423">
                  <c:v>8.3293186055861917E-2</c:v>
                </c:pt>
                <c:pt idx="424">
                  <c:v>8.4776361308009529E-2</c:v>
                </c:pt>
                <c:pt idx="425">
                  <c:v>8.6277318826498667E-2</c:v>
                </c:pt>
                <c:pt idx="426">
                  <c:v>8.7796070610892632E-2</c:v>
                </c:pt>
                <c:pt idx="427">
                  <c:v>8.9332623487641843E-2</c:v>
                </c:pt>
                <c:pt idx="428">
                  <c:v>9.0886979016269562E-2</c:v>
                </c:pt>
                <c:pt idx="429">
                  <c:v>9.2459133396567209E-2</c:v>
                </c:pt>
                <c:pt idx="430">
                  <c:v>9.4049077376873333E-2</c:v>
                </c:pt>
                <c:pt idx="431">
                  <c:v>9.5656796163510235E-2</c:v>
                </c:pt>
                <c:pt idx="432">
                  <c:v>9.7282269331453591E-2</c:v>
                </c:pt>
                <c:pt idx="433">
                  <c:v>9.8925470736309667E-2</c:v>
                </c:pt>
                <c:pt idx="434">
                  <c:v>0.10058636842767636</c:v>
                </c:pt>
                <c:pt idx="435">
                  <c:v>0.10226492456396366</c:v>
                </c:pt>
                <c:pt idx="436">
                  <c:v>0.10396109532874971</c:v>
                </c:pt>
                <c:pt idx="437">
                  <c:v>0.10567483084874897</c:v>
                </c:pt>
                <c:pt idx="438">
                  <c:v>0.10740607511346904</c:v>
                </c:pt>
                <c:pt idx="439">
                  <c:v>0.10915476589663244</c:v>
                </c:pt>
                <c:pt idx="440">
                  <c:v>0.11092083467944047</c:v>
                </c:pt>
                <c:pt idx="441">
                  <c:v>0.11270420657575535</c:v>
                </c:pt>
                <c:pt idx="442">
                  <c:v>0.11450480025927701</c:v>
                </c:pt>
                <c:pt idx="443">
                  <c:v>0.11632252789279157</c:v>
                </c:pt>
                <c:pt idx="444">
                  <c:v>0.11815729505956662</c:v>
                </c:pt>
                <c:pt idx="445">
                  <c:v>0.12000900069696979</c:v>
                </c:pt>
                <c:pt idx="446">
                  <c:v>0.12187753703238581</c:v>
                </c:pt>
                <c:pt idx="447">
                  <c:v>0.12376278952150704</c:v>
                </c:pt>
                <c:pt idx="448">
                  <c:v>0.12566463678907192</c:v>
                </c:pt>
                <c:pt idx="449">
                  <c:v>0.12758295057212551</c:v>
                </c:pt>
                <c:pt idx="450">
                  <c:v>0.12951759566587526</c:v>
                </c:pt>
                <c:pt idx="451">
                  <c:v>0.13146842987221441</c:v>
                </c:pt>
                <c:pt idx="452">
                  <c:v>0.13343530395098555</c:v>
                </c:pt>
                <c:pt idx="453">
                  <c:v>0.13541806157405439</c:v>
                </c:pt>
                <c:pt idx="454">
                  <c:v>0.13741653928226474</c:v>
                </c:pt>
                <c:pt idx="455">
                  <c:v>0.1394305664453431</c:v>
                </c:pt>
                <c:pt idx="456">
                  <c:v>0.14145996522482149</c:v>
                </c:pt>
                <c:pt idx="457">
                  <c:v>0.14350455054004502</c:v>
                </c:pt>
                <c:pt idx="458">
                  <c:v>0.14556413003733007</c:v>
                </c:pt>
                <c:pt idx="459">
                  <c:v>0.14763850406233806</c:v>
                </c:pt>
                <c:pt idx="460">
                  <c:v>0.14972746563572706</c:v>
                </c:pt>
                <c:pt idx="461">
                  <c:v>0.15183080043214375</c:v>
                </c:pt>
                <c:pt idx="462">
                  <c:v>0.15394828676261568</c:v>
                </c:pt>
                <c:pt idx="463">
                  <c:v>0.15607969556040271</c:v>
                </c:pt>
                <c:pt idx="464">
                  <c:v>0.1582247903703648</c:v>
                </c:pt>
                <c:pt idx="465">
                  <c:v>0.16038332734190122</c:v>
                </c:pt>
                <c:pt idx="466">
                  <c:v>0.16255505522551567</c:v>
                </c:pt>
                <c:pt idx="467">
                  <c:v>0.16473971537305823</c:v>
                </c:pt>
                <c:pt idx="468">
                  <c:v>0.16693704174169516</c:v>
                </c:pt>
                <c:pt idx="469">
                  <c:v>0.16914676090165365</c:v>
                </c:pt>
                <c:pt idx="470">
                  <c:v>0.17136859204778851</c:v>
                </c:pt>
                <c:pt idx="471">
                  <c:v>0.17360224701501403</c:v>
                </c:pt>
                <c:pt idx="472">
                  <c:v>0.1758474302976433</c:v>
                </c:pt>
                <c:pt idx="473">
                  <c:v>0.17810383907267441</c:v>
                </c:pt>
                <c:pt idx="474">
                  <c:v>0.18037116322706107</c:v>
                </c:pt>
                <c:pt idx="475">
                  <c:v>0.1826490853890026</c:v>
                </c:pt>
                <c:pt idx="476">
                  <c:v>0.18493728096328588</c:v>
                </c:pt>
                <c:pt idx="477">
                  <c:v>0.18723541817071004</c:v>
                </c:pt>
                <c:pt idx="478">
                  <c:v>0.18954315809162064</c:v>
                </c:pt>
                <c:pt idx="479">
                  <c:v>0.19186015471357973</c:v>
                </c:pt>
                <c:pt idx="480">
                  <c:v>0.19418605498319322</c:v>
                </c:pt>
                <c:pt idx="481">
                  <c:v>0.19652049886211673</c:v>
                </c:pt>
                <c:pt idx="482">
                  <c:v>0.19886311938725604</c:v>
                </c:pt>
                <c:pt idx="483">
                  <c:v>0.20121354273517744</c:v>
                </c:pt>
                <c:pt idx="484">
                  <c:v>0.20357138829073942</c:v>
                </c:pt>
                <c:pt idx="485">
                  <c:v>0.20593626871995474</c:v>
                </c:pt>
                <c:pt idx="486">
                  <c:v>0.20830779004708827</c:v>
                </c:pt>
                <c:pt idx="487">
                  <c:v>0.21068555173599515</c:v>
                </c:pt>
                <c:pt idx="488">
                  <c:v>0.21306914677569772</c:v>
                </c:pt>
                <c:pt idx="489">
                  <c:v>0.21545816177019947</c:v>
                </c:pt>
                <c:pt idx="490">
                  <c:v>0.21785217703253026</c:v>
                </c:pt>
                <c:pt idx="491">
                  <c:v>0.22025076668301299</c:v>
                </c:pt>
                <c:pt idx="492">
                  <c:v>0.22265349875174081</c:v>
                </c:pt>
                <c:pt idx="493">
                  <c:v>0.22505993528524931</c:v>
                </c:pt>
                <c:pt idx="494">
                  <c:v>0.22746963245736554</c:v>
                </c:pt>
                <c:pt idx="495">
                  <c:v>0.22988214068421264</c:v>
                </c:pt>
                <c:pt idx="496">
                  <c:v>0.23229700474334578</c:v>
                </c:pt>
                <c:pt idx="497">
                  <c:v>0.23471376389699139</c:v>
                </c:pt>
                <c:pt idx="498">
                  <c:v>0.23713195201935916</c:v>
                </c:pt>
                <c:pt idx="499">
                  <c:v>0.23955109772799291</c:v>
                </c:pt>
                <c:pt idx="500">
                  <c:v>0.24197072451912291</c:v>
                </c:pt>
                <c:pt idx="501">
                  <c:v>0.24439035090697914</c:v>
                </c:pt>
                <c:pt idx="502">
                  <c:v>0.24680949056702228</c:v>
                </c:pt>
                <c:pt idx="503">
                  <c:v>0.24922765248304549</c:v>
                </c:pt>
                <c:pt idx="504">
                  <c:v>0.25164434109809669</c:v>
                </c:pt>
                <c:pt idx="505">
                  <c:v>0.2540590564691686</c:v>
                </c:pt>
                <c:pt idx="506">
                  <c:v>0.25647129442559996</c:v>
                </c:pt>
                <c:pt idx="507">
                  <c:v>0.25888054673112848</c:v>
                </c:pt>
                <c:pt idx="508">
                  <c:v>0.26128630124953284</c:v>
                </c:pt>
                <c:pt idx="509">
                  <c:v>0.26368804211379793</c:v>
                </c:pt>
                <c:pt idx="510">
                  <c:v>0.26608524989873461</c:v>
                </c:pt>
                <c:pt idx="511">
                  <c:v>0.26847740179698221</c:v>
                </c:pt>
                <c:pt idx="512">
                  <c:v>0.27086397179831789</c:v>
                </c:pt>
                <c:pt idx="513">
                  <c:v>0.27324443087219619</c:v>
                </c:pt>
                <c:pt idx="514">
                  <c:v>0.27561824715343669</c:v>
                </c:pt>
                <c:pt idx="515">
                  <c:v>0.27798488613097649</c:v>
                </c:pt>
                <c:pt idx="516">
                  <c:v>0.28034381083960069</c:v>
                </c:pt>
                <c:pt idx="517">
                  <c:v>0.28269448205456044</c:v>
                </c:pt>
                <c:pt idx="518">
                  <c:v>0.28503635848898751</c:v>
                </c:pt>
                <c:pt idx="519">
                  <c:v>0.28736889699400869</c:v>
                </c:pt>
                <c:pt idx="520">
                  <c:v>0.28969155276146319</c:v>
                </c:pt>
                <c:pt idx="521">
                  <c:v>0.29200377952912199</c:v>
                </c:pt>
                <c:pt idx="522">
                  <c:v>0.29430502978830581</c:v>
                </c:pt>
                <c:pt idx="523">
                  <c:v>0.29659475499379645</c:v>
                </c:pt>
                <c:pt idx="524">
                  <c:v>0.2988724057759336</c:v>
                </c:pt>
                <c:pt idx="525">
                  <c:v>0.30113743215478539</c:v>
                </c:pt>
                <c:pt idx="526">
                  <c:v>0.30338928375628121</c:v>
                </c:pt>
                <c:pt idx="527">
                  <c:v>0.30562741003019106</c:v>
                </c:pt>
                <c:pt idx="528">
                  <c:v>0.30785126046983424</c:v>
                </c:pt>
                <c:pt idx="529">
                  <c:v>0.31006028483339759</c:v>
                </c:pt>
                <c:pt idx="530">
                  <c:v>0.31225393336674284</c:v>
                </c:pt>
                <c:pt idx="531">
                  <c:v>0.31443165702757903</c:v>
                </c:pt>
                <c:pt idx="532">
                  <c:v>0.31659290771087467</c:v>
                </c:pt>
                <c:pt idx="533">
                  <c:v>0.31873713847538354</c:v>
                </c:pt>
                <c:pt idx="534">
                  <c:v>0.32086380377115464</c:v>
                </c:pt>
                <c:pt idx="535">
                  <c:v>0.32297235966789661</c:v>
                </c:pt>
                <c:pt idx="536">
                  <c:v>0.32506226408406463</c:v>
                </c:pt>
                <c:pt idx="537">
                  <c:v>0.32713297701653715</c:v>
                </c:pt>
                <c:pt idx="538">
                  <c:v>0.32918396077074757</c:v>
                </c:pt>
                <c:pt idx="539">
                  <c:v>0.33121468019113592</c:v>
                </c:pt>
                <c:pt idx="540">
                  <c:v>0.3332246028917828</c:v>
                </c:pt>
                <c:pt idx="541">
                  <c:v>0.33521319948708944</c:v>
                </c:pt>
                <c:pt idx="542">
                  <c:v>0.3371799438223641</c:v>
                </c:pt>
                <c:pt idx="543">
                  <c:v>0.33912431320417591</c:v>
                </c:pt>
                <c:pt idx="544">
                  <c:v>0.34104578863033647</c:v>
                </c:pt>
                <c:pt idx="545">
                  <c:v>0.34294385501936803</c:v>
                </c:pt>
                <c:pt idx="546">
                  <c:v>0.34481800143931768</c:v>
                </c:pt>
                <c:pt idx="547">
                  <c:v>0.34666772133577617</c:v>
                </c:pt>
                <c:pt idx="548">
                  <c:v>0.34849251275895926</c:v>
                </c:pt>
                <c:pt idx="549">
                  <c:v>0.35029187858971078</c:v>
                </c:pt>
                <c:pt idx="550">
                  <c:v>0.3520653267642847</c:v>
                </c:pt>
                <c:pt idx="551">
                  <c:v>0.35381237049776509</c:v>
                </c:pt>
                <c:pt idx="552">
                  <c:v>0.35553252850598271</c:v>
                </c:pt>
                <c:pt idx="553">
                  <c:v>0.35722532522578671</c:v>
                </c:pt>
                <c:pt idx="554">
                  <c:v>0.35889029103353071</c:v>
                </c:pt>
                <c:pt idx="555">
                  <c:v>0.36052696246163429</c:v>
                </c:pt>
                <c:pt idx="556">
                  <c:v>0.36213488241307878</c:v>
                </c:pt>
                <c:pt idx="557">
                  <c:v>0.36371360037370026</c:v>
                </c:pt>
                <c:pt idx="558">
                  <c:v>0.36526267262214096</c:v>
                </c:pt>
                <c:pt idx="559">
                  <c:v>0.36678166243732346</c:v>
                </c:pt>
                <c:pt idx="560">
                  <c:v>0.3682701403033109</c:v>
                </c:pt>
                <c:pt idx="561">
                  <c:v>0.36972768411142021</c:v>
                </c:pt>
                <c:pt idx="562">
                  <c:v>0.37115387935945415</c:v>
                </c:pt>
                <c:pt idx="563">
                  <c:v>0.37254831934792182</c:v>
                </c:pt>
                <c:pt idx="564">
                  <c:v>0.37391060537311704</c:v>
                </c:pt>
                <c:pt idx="565">
                  <c:v>0.37524034691692681</c:v>
                </c:pt>
                <c:pt idx="566">
                  <c:v>0.37653716183324315</c:v>
                </c:pt>
                <c:pt idx="567">
                  <c:v>0.37780067653085408</c:v>
                </c:pt>
                <c:pt idx="568">
                  <c:v>0.3790305261526915</c:v>
                </c:pt>
                <c:pt idx="569">
                  <c:v>0.380226354751315</c:v>
                </c:pt>
                <c:pt idx="570">
                  <c:v>0.38138781546051448</c:v>
                </c:pt>
                <c:pt idx="571">
                  <c:v>0.38251457066291467</c:v>
                </c:pt>
                <c:pt idx="572">
                  <c:v>0.38360629215346953</c:v>
                </c:pt>
                <c:pt idx="573">
                  <c:v>0.38466266129873405</c:v>
                </c:pt>
                <c:pt idx="574">
                  <c:v>0.38568336919180762</c:v>
                </c:pt>
                <c:pt idx="575">
                  <c:v>0.38666811680284108</c:v>
                </c:pt>
                <c:pt idx="576">
                  <c:v>0.38761661512500634</c:v>
                </c:pt>
                <c:pt idx="577">
                  <c:v>0.3885285853158284</c:v>
                </c:pt>
                <c:pt idx="578">
                  <c:v>0.3894037588337832</c:v>
                </c:pt>
                <c:pt idx="579">
                  <c:v>0.3902418775700674</c:v>
                </c:pt>
                <c:pt idx="580">
                  <c:v>0.39104269397544933</c:v>
                </c:pt>
                <c:pt idx="581">
                  <c:v>0.3918059711821148</c:v>
                </c:pt>
                <c:pt idx="582">
                  <c:v>0.39253148312042296</c:v>
                </c:pt>
                <c:pt idx="583">
                  <c:v>0.39321901463049158</c:v>
                </c:pt>
                <c:pt idx="584">
                  <c:v>0.3938683615685355</c:v>
                </c:pt>
                <c:pt idx="585">
                  <c:v>0.3944793309078839</c:v>
                </c:pt>
                <c:pt idx="586">
                  <c:v>0.39505174083460659</c:v>
                </c:pt>
                <c:pt idx="587">
                  <c:v>0.39558542083768305</c:v>
                </c:pt>
                <c:pt idx="588">
                  <c:v>0.39608021179365205</c:v>
                </c:pt>
                <c:pt idx="589">
                  <c:v>0.39653596604568209</c:v>
                </c:pt>
                <c:pt idx="590">
                  <c:v>0.39695254747700842</c:v>
                </c:pt>
                <c:pt idx="591">
                  <c:v>0.39732983157868529</c:v>
                </c:pt>
                <c:pt idx="592">
                  <c:v>0.39766770551160618</c:v>
                </c:pt>
                <c:pt idx="593">
                  <c:v>0.39796606816274865</c:v>
                </c:pt>
                <c:pt idx="594">
                  <c:v>0.39822483019560484</c:v>
                </c:pt>
                <c:pt idx="595">
                  <c:v>0.39844391409476232</c:v>
                </c:pt>
                <c:pt idx="596">
                  <c:v>0.39862325420460365</c:v>
                </c:pt>
                <c:pt idx="597">
                  <c:v>0.39876279676209864</c:v>
                </c:pt>
                <c:pt idx="598">
                  <c:v>0.3988624999236654</c:v>
                </c:pt>
                <c:pt idx="599">
                  <c:v>0.39892233378608177</c:v>
                </c:pt>
                <c:pt idx="600">
                  <c:v>0.39894228040143265</c:v>
                </c:pt>
                <c:pt idx="601">
                  <c:v>0.39892233378608244</c:v>
                </c:pt>
                <c:pt idx="602">
                  <c:v>0.39886249992366674</c:v>
                </c:pt>
                <c:pt idx="603">
                  <c:v>0.39876279676210064</c:v>
                </c:pt>
                <c:pt idx="604">
                  <c:v>0.39862325420460631</c:v>
                </c:pt>
                <c:pt idx="605">
                  <c:v>0.39844391409476565</c:v>
                </c:pt>
                <c:pt idx="606">
                  <c:v>0.39822483019560889</c:v>
                </c:pt>
                <c:pt idx="607">
                  <c:v>0.39796606816275332</c:v>
                </c:pt>
                <c:pt idx="608">
                  <c:v>0.39766770551161151</c:v>
                </c:pt>
                <c:pt idx="609">
                  <c:v>0.39732983157869128</c:v>
                </c:pt>
                <c:pt idx="610">
                  <c:v>0.39695254747701508</c:v>
                </c:pt>
                <c:pt idx="611">
                  <c:v>0.39653596604568941</c:v>
                </c:pt>
                <c:pt idx="612">
                  <c:v>0.39608021179365999</c:v>
                </c:pt>
                <c:pt idx="613">
                  <c:v>0.39558542083769166</c:v>
                </c:pt>
                <c:pt idx="614">
                  <c:v>0.39505174083461586</c:v>
                </c:pt>
                <c:pt idx="615">
                  <c:v>0.39447933090789378</c:v>
                </c:pt>
                <c:pt idx="616">
                  <c:v>0.39386836156854604</c:v>
                </c:pt>
                <c:pt idx="617">
                  <c:v>0.39321901463050274</c:v>
                </c:pt>
                <c:pt idx="618">
                  <c:v>0.39253148312043479</c:v>
                </c:pt>
                <c:pt idx="619">
                  <c:v>0.39180597118212723</c:v>
                </c:pt>
                <c:pt idx="620">
                  <c:v>0.39104269397546237</c:v>
                </c:pt>
                <c:pt idx="621">
                  <c:v>0.39024187757008105</c:v>
                </c:pt>
                <c:pt idx="622">
                  <c:v>0.38940375883379758</c:v>
                </c:pt>
                <c:pt idx="623">
                  <c:v>0.38852858531584333</c:v>
                </c:pt>
                <c:pt idx="624">
                  <c:v>0.38761661512502188</c:v>
                </c:pt>
                <c:pt idx="625">
                  <c:v>0.38666811680285723</c:v>
                </c:pt>
                <c:pt idx="626">
                  <c:v>0.38568336919182444</c:v>
                </c:pt>
                <c:pt idx="627">
                  <c:v>0.38466266129875143</c:v>
                </c:pt>
                <c:pt idx="628">
                  <c:v>0.38360629215348746</c:v>
                </c:pt>
                <c:pt idx="629">
                  <c:v>0.38251457066293326</c:v>
                </c:pt>
                <c:pt idx="630">
                  <c:v>0.38138781546053357</c:v>
                </c:pt>
                <c:pt idx="631">
                  <c:v>0.38022635475133471</c:v>
                </c:pt>
                <c:pt idx="632">
                  <c:v>0.37903052615271177</c:v>
                </c:pt>
                <c:pt idx="633">
                  <c:v>0.37780067653087496</c:v>
                </c:pt>
                <c:pt idx="634">
                  <c:v>0.37653716183326458</c:v>
                </c:pt>
                <c:pt idx="635">
                  <c:v>0.3752403469169488</c:v>
                </c:pt>
                <c:pt idx="636">
                  <c:v>0.37391060537313958</c:v>
                </c:pt>
                <c:pt idx="637">
                  <c:v>0.37254831934794486</c:v>
                </c:pt>
                <c:pt idx="638">
                  <c:v>0.37115387935947775</c:v>
                </c:pt>
                <c:pt idx="639">
                  <c:v>0.3697276841114443</c:v>
                </c:pt>
                <c:pt idx="640">
                  <c:v>0.3682701403033356</c:v>
                </c:pt>
                <c:pt idx="641">
                  <c:v>0.36678166243734861</c:v>
                </c:pt>
                <c:pt idx="642">
                  <c:v>0.36526267262216666</c:v>
                </c:pt>
                <c:pt idx="643">
                  <c:v>0.36371360037372641</c:v>
                </c:pt>
                <c:pt idx="644">
                  <c:v>0.36213488241310549</c:v>
                </c:pt>
                <c:pt idx="645">
                  <c:v>0.36052696246166144</c:v>
                </c:pt>
                <c:pt idx="646">
                  <c:v>0.35889029103355835</c:v>
                </c:pt>
                <c:pt idx="647">
                  <c:v>0.35722532522581474</c:v>
                </c:pt>
                <c:pt idx="648">
                  <c:v>0.3555325285060113</c:v>
                </c:pt>
                <c:pt idx="649">
                  <c:v>0.35381237049779407</c:v>
                </c:pt>
                <c:pt idx="650">
                  <c:v>0.35206532676431412</c:v>
                </c:pt>
                <c:pt idx="651">
                  <c:v>0.35029187858974065</c:v>
                </c:pt>
                <c:pt idx="652">
                  <c:v>0.34849251275898957</c:v>
                </c:pt>
                <c:pt idx="653">
                  <c:v>0.34666772133580692</c:v>
                </c:pt>
                <c:pt idx="654">
                  <c:v>0.34481800143934888</c:v>
                </c:pt>
                <c:pt idx="655">
                  <c:v>0.34294385501939961</c:v>
                </c:pt>
                <c:pt idx="656">
                  <c:v>0.34104578863036844</c:v>
                </c:pt>
                <c:pt idx="657">
                  <c:v>0.33912431320420822</c:v>
                </c:pt>
                <c:pt idx="658">
                  <c:v>0.3371799438223968</c:v>
                </c:pt>
                <c:pt idx="659">
                  <c:v>0.33521319948712253</c:v>
                </c:pt>
                <c:pt idx="660">
                  <c:v>0.33322460289181627</c:v>
                </c:pt>
                <c:pt idx="661">
                  <c:v>0.33121468019116973</c:v>
                </c:pt>
                <c:pt idx="662">
                  <c:v>0.32918396077078177</c:v>
                </c:pt>
                <c:pt idx="663">
                  <c:v>0.32713297701657157</c:v>
                </c:pt>
                <c:pt idx="664">
                  <c:v>0.32506226408409944</c:v>
                </c:pt>
                <c:pt idx="665">
                  <c:v>0.32297235966793175</c:v>
                </c:pt>
                <c:pt idx="666">
                  <c:v>0.32086380377119011</c:v>
                </c:pt>
                <c:pt idx="667">
                  <c:v>0.31873713847541929</c:v>
                </c:pt>
                <c:pt idx="668">
                  <c:v>0.31659290771091064</c:v>
                </c:pt>
                <c:pt idx="669">
                  <c:v>0.31443165702761533</c:v>
                </c:pt>
                <c:pt idx="670">
                  <c:v>0.31225393336677942</c:v>
                </c:pt>
                <c:pt idx="671">
                  <c:v>0.3100602848334344</c:v>
                </c:pt>
                <c:pt idx="672">
                  <c:v>0.30785126046987132</c:v>
                </c:pt>
                <c:pt idx="673">
                  <c:v>0.30562741003022842</c:v>
                </c:pt>
                <c:pt idx="674">
                  <c:v>0.30338928375631874</c:v>
                </c:pt>
                <c:pt idx="675">
                  <c:v>0.30113743215482319</c:v>
                </c:pt>
                <c:pt idx="676">
                  <c:v>0.29887240577597163</c:v>
                </c:pt>
                <c:pt idx="677">
                  <c:v>0.2965947549938347</c:v>
                </c:pt>
                <c:pt idx="678">
                  <c:v>0.29430502978834416</c:v>
                </c:pt>
                <c:pt idx="679">
                  <c:v>0.29200377952916062</c:v>
                </c:pt>
                <c:pt idx="680">
                  <c:v>0.28969155276150199</c:v>
                </c:pt>
                <c:pt idx="681">
                  <c:v>0.28736889699404761</c:v>
                </c:pt>
                <c:pt idx="682">
                  <c:v>0.28503635848902659</c:v>
                </c:pt>
                <c:pt idx="683">
                  <c:v>0.28269448205459968</c:v>
                </c:pt>
                <c:pt idx="684">
                  <c:v>0.28034381083964011</c:v>
                </c:pt>
                <c:pt idx="685">
                  <c:v>0.27798488613101607</c:v>
                </c:pt>
                <c:pt idx="686">
                  <c:v>0.27561824715347633</c:v>
                </c:pt>
                <c:pt idx="687">
                  <c:v>0.27324443087223593</c:v>
                </c:pt>
                <c:pt idx="688">
                  <c:v>0.27086397179835775</c:v>
                </c:pt>
                <c:pt idx="689">
                  <c:v>0.26847740179702217</c:v>
                </c:pt>
                <c:pt idx="690">
                  <c:v>0.26608524989877469</c:v>
                </c:pt>
                <c:pt idx="691">
                  <c:v>0.26368804211383806</c:v>
                </c:pt>
                <c:pt idx="692">
                  <c:v>0.26128630124957303</c:v>
                </c:pt>
                <c:pt idx="693">
                  <c:v>0.25888054673116878</c:v>
                </c:pt>
                <c:pt idx="694">
                  <c:v>0.25647129442564032</c:v>
                </c:pt>
                <c:pt idx="695">
                  <c:v>0.25405905646920901</c:v>
                </c:pt>
                <c:pt idx="696">
                  <c:v>0.2516443410981371</c:v>
                </c:pt>
                <c:pt idx="697">
                  <c:v>0.24922765248308593</c:v>
                </c:pt>
                <c:pt idx="698">
                  <c:v>0.24680949056706275</c:v>
                </c:pt>
                <c:pt idx="699">
                  <c:v>0.2443903509070196</c:v>
                </c:pt>
                <c:pt idx="700">
                  <c:v>0.2419707245191634</c:v>
                </c:pt>
                <c:pt idx="701">
                  <c:v>0.23955109772803343</c:v>
                </c:pt>
                <c:pt idx="702">
                  <c:v>0.23713195201939963</c:v>
                </c:pt>
                <c:pt idx="703">
                  <c:v>0.23471376389703186</c:v>
                </c:pt>
                <c:pt idx="704">
                  <c:v>0.23229700474338622</c:v>
                </c:pt>
                <c:pt idx="705">
                  <c:v>0.22988214068425303</c:v>
                </c:pt>
                <c:pt idx="706">
                  <c:v>0.2274696324574059</c:v>
                </c:pt>
                <c:pt idx="707">
                  <c:v>0.22505993528528961</c:v>
                </c:pt>
                <c:pt idx="708">
                  <c:v>0.22265349875178109</c:v>
                </c:pt>
                <c:pt idx="709">
                  <c:v>0.22025076668305316</c:v>
                </c:pt>
                <c:pt idx="710">
                  <c:v>0.2178521770325704</c:v>
                </c:pt>
                <c:pt idx="711">
                  <c:v>0.21545816177023949</c:v>
                </c:pt>
                <c:pt idx="712">
                  <c:v>0.21306914677573766</c:v>
                </c:pt>
                <c:pt idx="713">
                  <c:v>0.21068555173603501</c:v>
                </c:pt>
                <c:pt idx="714">
                  <c:v>0.20830779004712804</c:v>
                </c:pt>
                <c:pt idx="715">
                  <c:v>0.20593626871999438</c:v>
                </c:pt>
                <c:pt idx="716">
                  <c:v>0.20357138829077898</c:v>
                </c:pt>
                <c:pt idx="717">
                  <c:v>0.20121354273521685</c:v>
                </c:pt>
                <c:pt idx="718">
                  <c:v>0.19886311938729531</c:v>
                </c:pt>
                <c:pt idx="719">
                  <c:v>0.19652049886215589</c:v>
                </c:pt>
                <c:pt idx="720">
                  <c:v>0.19418605498323221</c:v>
                </c:pt>
                <c:pt idx="721">
                  <c:v>0.19186015471361859</c:v>
                </c:pt>
                <c:pt idx="722">
                  <c:v>0.18954315809165936</c:v>
                </c:pt>
                <c:pt idx="723">
                  <c:v>0.18723541817074857</c:v>
                </c:pt>
                <c:pt idx="724">
                  <c:v>0.18493728096332426</c:v>
                </c:pt>
                <c:pt idx="725">
                  <c:v>0.18264908538904079</c:v>
                </c:pt>
                <c:pt idx="726">
                  <c:v>0.18037116322709912</c:v>
                </c:pt>
                <c:pt idx="727">
                  <c:v>0.17810383907271227</c:v>
                </c:pt>
                <c:pt idx="728">
                  <c:v>0.17584743029768099</c:v>
                </c:pt>
                <c:pt idx="729">
                  <c:v>0.1736022470150515</c:v>
                </c:pt>
                <c:pt idx="730">
                  <c:v>0.17136859204782579</c:v>
                </c:pt>
                <c:pt idx="731">
                  <c:v>0.16914676090169073</c:v>
                </c:pt>
                <c:pt idx="732">
                  <c:v>0.16693704174173205</c:v>
                </c:pt>
                <c:pt idx="733">
                  <c:v>0.16473971537309495</c:v>
                </c:pt>
                <c:pt idx="734">
                  <c:v>0.16255505522555216</c:v>
                </c:pt>
                <c:pt idx="735">
                  <c:v>0.1603833273419375</c:v>
                </c:pt>
                <c:pt idx="736">
                  <c:v>0.15822479037040083</c:v>
                </c:pt>
                <c:pt idx="737">
                  <c:v>0.15607969556043855</c:v>
                </c:pt>
                <c:pt idx="738">
                  <c:v>0.15394828676265124</c:v>
                </c:pt>
                <c:pt idx="739">
                  <c:v>0.15183080043217911</c:v>
                </c:pt>
                <c:pt idx="740">
                  <c:v>0.14972746563576217</c:v>
                </c:pt>
                <c:pt idx="741">
                  <c:v>0.14763850406237292</c:v>
                </c:pt>
                <c:pt idx="742">
                  <c:v>0.14556413003736468</c:v>
                </c:pt>
                <c:pt idx="743">
                  <c:v>0.14350455054007935</c:v>
                </c:pt>
                <c:pt idx="744">
                  <c:v>0.14145996522485563</c:v>
                </c:pt>
                <c:pt idx="745">
                  <c:v>0.13943056644537696</c:v>
                </c:pt>
                <c:pt idx="746">
                  <c:v>0.13741653928229833</c:v>
                </c:pt>
                <c:pt idx="747">
                  <c:v>0.13541806157408773</c:v>
                </c:pt>
                <c:pt idx="748">
                  <c:v>0.13343530395101857</c:v>
                </c:pt>
                <c:pt idx="749">
                  <c:v>0.13146842987224719</c:v>
                </c:pt>
                <c:pt idx="750">
                  <c:v>0.12951759566590776</c:v>
                </c:pt>
                <c:pt idx="751">
                  <c:v>0.12758295057215777</c:v>
                </c:pt>
                <c:pt idx="752">
                  <c:v>0.12566463678910389</c:v>
                </c:pt>
                <c:pt idx="753">
                  <c:v>0.12376278952153875</c:v>
                </c:pt>
                <c:pt idx="754">
                  <c:v>0.12187753703241724</c:v>
                </c:pt>
                <c:pt idx="755">
                  <c:v>0.12000900069700093</c:v>
                </c:pt>
                <c:pt idx="756">
                  <c:v>0.11815729505959748</c:v>
                </c:pt>
                <c:pt idx="757">
                  <c:v>0.11632252789282216</c:v>
                </c:pt>
                <c:pt idx="758">
                  <c:v>0.11450480025930729</c:v>
                </c:pt>
                <c:pt idx="759">
                  <c:v>0.11270420657578534</c:v>
                </c:pt>
                <c:pt idx="760">
                  <c:v>0.11092083467947021</c:v>
                </c:pt>
                <c:pt idx="761">
                  <c:v>0.10915476589666187</c:v>
                </c:pt>
                <c:pt idx="762">
                  <c:v>0.10740607511349817</c:v>
                </c:pt>
                <c:pt idx="763">
                  <c:v>0.10567483084877781</c:v>
                </c:pt>
                <c:pt idx="764">
                  <c:v>0.10396109532877824</c:v>
                </c:pt>
                <c:pt idx="765">
                  <c:v>0.1022649245639919</c:v>
                </c:pt>
                <c:pt idx="766">
                  <c:v>0.10058636842770431</c:v>
                </c:pt>
                <c:pt idx="767">
                  <c:v>9.8925470736337326E-2</c:v>
                </c:pt>
                <c:pt idx="768">
                  <c:v>9.7282269331480972E-2</c:v>
                </c:pt>
                <c:pt idx="769">
                  <c:v>9.5656796163537325E-2</c:v>
                </c:pt>
                <c:pt idx="770">
                  <c:v>9.4049077376900089E-2</c:v>
                </c:pt>
                <c:pt idx="771">
                  <c:v>9.2459133396593673E-2</c:v>
                </c:pt>
                <c:pt idx="772">
                  <c:v>9.0886979016295735E-2</c:v>
                </c:pt>
                <c:pt idx="773">
                  <c:v>8.9332623487667712E-2</c:v>
                </c:pt>
                <c:pt idx="774">
                  <c:v>8.7796070610918209E-2</c:v>
                </c:pt>
                <c:pt idx="775">
                  <c:v>8.6277318826523938E-2</c:v>
                </c:pt>
                <c:pt idx="776">
                  <c:v>8.4776361308034509E-2</c:v>
                </c:pt>
                <c:pt idx="777">
                  <c:v>8.3293186055886592E-2</c:v>
                </c:pt>
                <c:pt idx="778">
                  <c:v>8.1827775992154794E-2</c:v>
                </c:pt>
                <c:pt idx="779">
                  <c:v>8.0380109056166008E-2</c:v>
                </c:pt>
                <c:pt idx="780">
                  <c:v>7.8950158300905848E-2</c:v>
                </c:pt>
                <c:pt idx="781">
                  <c:v>7.7537891990145533E-2</c:v>
                </c:pt>
                <c:pt idx="782">
                  <c:v>7.6143273696218705E-2</c:v>
                </c:pt>
                <c:pt idx="783">
                  <c:v>7.4766262398378858E-2</c:v>
                </c:pt>
                <c:pt idx="784">
                  <c:v>7.3406812581667993E-2</c:v>
                </c:pt>
                <c:pt idx="785">
                  <c:v>7.2064874336228948E-2</c:v>
                </c:pt>
                <c:pt idx="786">
                  <c:v>7.0740393456994191E-2</c:v>
                </c:pt>
                <c:pt idx="787">
                  <c:v>6.9433311543684872E-2</c:v>
                </c:pt>
                <c:pt idx="788">
                  <c:v>6.8143566101055111E-2</c:v>
                </c:pt>
                <c:pt idx="789">
                  <c:v>6.6871090639317537E-2</c:v>
                </c:pt>
                <c:pt idx="790">
                  <c:v>6.5615814774686837E-2</c:v>
                </c:pt>
                <c:pt idx="791">
                  <c:v>6.4377664329979448E-2</c:v>
                </c:pt>
                <c:pt idx="792">
                  <c:v>6.3156561435208605E-2</c:v>
                </c:pt>
                <c:pt idx="793">
                  <c:v>6.1952424628114976E-2</c:v>
                </c:pt>
                <c:pt idx="794">
                  <c:v>6.0765168954574462E-2</c:v>
                </c:pt>
                <c:pt idx="795">
                  <c:v>5.9594706068825609E-2</c:v>
                </c:pt>
                <c:pt idx="796">
                  <c:v>5.8440944333460879E-2</c:v>
                </c:pt>
                <c:pt idx="797">
                  <c:v>5.7303788919126401E-2</c:v>
                </c:pt>
                <c:pt idx="798">
                  <c:v>5.6183141903877167E-2</c:v>
                </c:pt>
                <c:pt idx="799">
                  <c:v>5.5078902372134773E-2</c:v>
                </c:pt>
                <c:pt idx="800">
                  <c:v>5.3990966513196924E-2</c:v>
                </c:pt>
                <c:pt idx="801">
                  <c:v>5.2919227719249042E-2</c:v>
                </c:pt>
                <c:pt idx="802">
                  <c:v>5.1863576682829218E-2</c:v>
                </c:pt>
                <c:pt idx="803">
                  <c:v>5.0823901493699704E-2</c:v>
                </c:pt>
                <c:pt idx="804">
                  <c:v>4.9800087735079192E-2</c:v>
                </c:pt>
                <c:pt idx="805">
                  <c:v>4.8792018579191083E-2</c:v>
                </c:pt>
                <c:pt idx="806">
                  <c:v>4.7799574882085243E-2</c:v>
                </c:pt>
                <c:pt idx="807">
                  <c:v>4.6822635277691246E-2</c:v>
                </c:pt>
                <c:pt idx="808">
                  <c:v>4.5861076271062881E-2</c:v>
                </c:pt>
                <c:pt idx="809">
                  <c:v>4.4914772330774969E-2</c:v>
                </c:pt>
                <c:pt idx="810">
                  <c:v>4.3983595980434984E-2</c:v>
                </c:pt>
                <c:pt idx="811">
                  <c:v>4.3067417889273402E-2</c:v>
                </c:pt>
                <c:pt idx="812">
                  <c:v>4.2166106961777888E-2</c:v>
                </c:pt>
                <c:pt idx="813">
                  <c:v>4.127953042633787E-2</c:v>
                </c:pt>
                <c:pt idx="814">
                  <c:v>4.0407553922867663E-2</c:v>
                </c:pt>
                <c:pt idx="815">
                  <c:v>3.9550041589377471E-2</c:v>
                </c:pt>
                <c:pt idx="816">
                  <c:v>3.8706856147462769E-2</c:v>
                </c:pt>
                <c:pt idx="817">
                  <c:v>3.7877858986684526E-2</c:v>
                </c:pt>
                <c:pt idx="818">
                  <c:v>3.7062910247813427E-2</c:v>
                </c:pt>
                <c:pt idx="819">
                  <c:v>3.6261868904913064E-2</c:v>
                </c:pt>
                <c:pt idx="820">
                  <c:v>3.5474592846238176E-2</c:v>
                </c:pt>
                <c:pt idx="821">
                  <c:v>3.470093895392546E-2</c:v>
                </c:pt>
                <c:pt idx="822">
                  <c:v>3.3940763182455737E-2</c:v>
                </c:pt>
                <c:pt idx="823">
                  <c:v>3.3193920635867555E-2</c:v>
                </c:pt>
                <c:pt idx="824">
                  <c:v>3.2460265643703794E-2</c:v>
                </c:pt>
                <c:pt idx="825">
                  <c:v>3.1739651835673663E-2</c:v>
                </c:pt>
                <c:pt idx="826">
                  <c:v>3.10319322150144E-2</c:v>
                </c:pt>
                <c:pt idx="827">
                  <c:v>3.0336959230537683E-2</c:v>
                </c:pt>
                <c:pt idx="828">
                  <c:v>2.9654584847347225E-2</c:v>
                </c:pt>
                <c:pt idx="829">
                  <c:v>2.8984660616215279E-2</c:v>
                </c:pt>
                <c:pt idx="830">
                  <c:v>2.8327037741606942E-2</c:v>
                </c:pt>
                <c:pt idx="831">
                  <c:v>2.7681567148342249E-2</c:v>
                </c:pt>
                <c:pt idx="832">
                  <c:v>2.7048099546887354E-2</c:v>
                </c:pt>
                <c:pt idx="833">
                  <c:v>2.642648549726722E-2</c:v>
                </c:pt>
                <c:pt idx="834">
                  <c:v>2.5816575471593078E-2</c:v>
                </c:pt>
                <c:pt idx="835">
                  <c:v>2.5218219915199701E-2</c:v>
                </c:pt>
                <c:pt idx="836">
                  <c:v>2.4631269306387722E-2</c:v>
                </c:pt>
                <c:pt idx="837">
                  <c:v>2.4055574214768106E-2</c:v>
                </c:pt>
                <c:pt idx="838">
                  <c:v>2.3490985358206401E-2</c:v>
                </c:pt>
                <c:pt idx="839">
                  <c:v>2.2937353658365651E-2</c:v>
                </c:pt>
                <c:pt idx="840">
                  <c:v>2.239453029484777E-2</c:v>
                </c:pt>
                <c:pt idx="841">
                  <c:v>2.1862366757934178E-2</c:v>
                </c:pt>
                <c:pt idx="842">
                  <c:v>2.134071489992748E-2</c:v>
                </c:pt>
                <c:pt idx="843">
                  <c:v>2.0829426985096808E-2</c:v>
                </c:pt>
                <c:pt idx="844">
                  <c:v>2.0328355738230375E-2</c:v>
                </c:pt>
                <c:pt idx="845">
                  <c:v>1.9837354391799782E-2</c:v>
                </c:pt>
                <c:pt idx="846">
                  <c:v>1.9356276731741336E-2</c:v>
                </c:pt>
                <c:pt idx="847">
                  <c:v>1.8884977141860469E-2</c:v>
                </c:pt>
                <c:pt idx="848">
                  <c:v>1.8423310646866267E-2</c:v>
                </c:pt>
                <c:pt idx="849">
                  <c:v>1.7971132954043779E-2</c:v>
                </c:pt>
                <c:pt idx="850">
                  <c:v>1.75283004935726E-2</c:v>
                </c:pt>
                <c:pt idx="851">
                  <c:v>1.7094670457500929E-2</c:v>
                </c:pt>
                <c:pt idx="852">
                  <c:v>1.6670100837384981E-2</c:v>
                </c:pt>
                <c:pt idx="853">
                  <c:v>1.6254450460604336E-2</c:v>
                </c:pt>
                <c:pt idx="854">
                  <c:v>1.5847579025364586E-2</c:v>
                </c:pt>
                <c:pt idx="855">
                  <c:v>1.5449347134398869E-2</c:v>
                </c:pt>
                <c:pt idx="856">
                  <c:v>1.5059616327381078E-2</c:v>
                </c:pt>
                <c:pt idx="857">
                  <c:v>1.4678249112063594E-2</c:v>
                </c:pt>
                <c:pt idx="858">
                  <c:v>1.4305108994153182E-2</c:v>
                </c:pt>
                <c:pt idx="859">
                  <c:v>1.3940060505939234E-2</c:v>
                </c:pt>
                <c:pt idx="860">
                  <c:v>1.3582969233688973E-2</c:v>
                </c:pt>
                <c:pt idx="861">
                  <c:v>1.323370184382465E-2</c:v>
                </c:pt>
                <c:pt idx="862">
                  <c:v>1.2892126107898527E-2</c:v>
                </c:pt>
                <c:pt idx="863">
                  <c:v>1.255811092638136E-2</c:v>
                </c:pt>
                <c:pt idx="864">
                  <c:v>1.2231526351281066E-2</c:v>
                </c:pt>
                <c:pt idx="865">
                  <c:v>1.1912243607608208E-2</c:v>
                </c:pt>
                <c:pt idx="866">
                  <c:v>1.1600135113705532E-2</c:v>
                </c:pt>
                <c:pt idx="867">
                  <c:v>1.1295074500459043E-2</c:v>
                </c:pt>
                <c:pt idx="868">
                  <c:v>1.0996936629408427E-2</c:v>
                </c:pt>
                <c:pt idx="869">
                  <c:v>1.0705597609774973E-2</c:v>
                </c:pt>
                <c:pt idx="870">
                  <c:v>1.0420934814425324E-2</c:v>
                </c:pt>
                <c:pt idx="871">
                  <c:v>1.0142826894789752E-2</c:v>
                </c:pt>
                <c:pt idx="872">
                  <c:v>9.8711537947537547E-3</c:v>
                </c:pt>
                <c:pt idx="873">
                  <c:v>9.605796763542146E-3</c:v>
                </c:pt>
                <c:pt idx="874">
                  <c:v>9.3466383676147919E-3</c:v>
                </c:pt>
                <c:pt idx="875">
                  <c:v>9.0935625015935075E-3</c:v>
                </c:pt>
                <c:pt idx="876">
                  <c:v>8.8464543982396272E-3</c:v>
                </c:pt>
                <c:pt idx="877">
                  <c:v>8.605200637502022E-3</c:v>
                </c:pt>
                <c:pt idx="878">
                  <c:v>8.3696891546553263E-3</c:v>
                </c:pt>
                <c:pt idx="879">
                  <c:v>8.1398092475482679E-3</c:v>
                </c:pt>
                <c:pt idx="880">
                  <c:v>7.9154515829821595E-3</c:v>
                </c:pt>
                <c:pt idx="881">
                  <c:v>7.6965082022394738E-3</c:v>
                </c:pt>
                <c:pt idx="882">
                  <c:v>7.4828725257826629E-3</c:v>
                </c:pt>
                <c:pt idx="883">
                  <c:v>7.2744393571432713E-3</c:v>
                </c:pt>
                <c:pt idx="884">
                  <c:v>7.0711048860214575E-3</c:v>
                </c:pt>
                <c:pt idx="885">
                  <c:v>6.8727666906159349E-3</c:v>
                </c:pt>
                <c:pt idx="886">
                  <c:v>6.6793237392045362E-3</c:v>
                </c:pt>
                <c:pt idx="887">
                  <c:v>6.4906763909952422E-3</c:v>
                </c:pt>
                <c:pt idx="888">
                  <c:v>6.3067263962677585E-3</c:v>
                </c:pt>
                <c:pt idx="889">
                  <c:v>6.1273768958254766E-3</c:v>
                </c:pt>
                <c:pt idx="890">
                  <c:v>5.9525324197776033E-3</c:v>
                </c:pt>
                <c:pt idx="891">
                  <c:v>5.7820988856711868E-3</c:v>
                </c:pt>
                <c:pt idx="892">
                  <c:v>5.6159835959926335E-3</c:v>
                </c:pt>
                <c:pt idx="893">
                  <c:v>5.4540952350581777E-3</c:v>
                </c:pt>
                <c:pt idx="894">
                  <c:v>5.2963438653126091E-3</c:v>
                </c:pt>
                <c:pt idx="895">
                  <c:v>5.1426409230554918E-3</c:v>
                </c:pt>
                <c:pt idx="896">
                  <c:v>4.9928992136138916E-3</c:v>
                </c:pt>
                <c:pt idx="897">
                  <c:v>4.8470329059804289E-3</c:v>
                </c:pt>
                <c:pt idx="898">
                  <c:v>4.704957526935425E-3</c:v>
                </c:pt>
                <c:pt idx="899">
                  <c:v>4.5665899546715556E-3</c:v>
                </c:pt>
                <c:pt idx="900">
                  <c:v>4.4318484119393849E-3</c:v>
                </c:pt>
                <c:pt idx="901">
                  <c:v>4.3006524587317898E-3</c:v>
                </c:pt>
                <c:pt idx="902">
                  <c:v>4.1729229845252694E-3</c:v>
                </c:pt>
                <c:pt idx="903">
                  <c:v>4.0485822000957059E-3</c:v>
                </c:pt>
                <c:pt idx="904">
                  <c:v>3.9275536289260244E-3</c:v>
                </c:pt>
                <c:pt idx="905">
                  <c:v>3.8097620982230208E-3</c:v>
                </c:pt>
                <c:pt idx="906">
                  <c:v>3.6951337295602188E-3</c:v>
                </c:pt>
                <c:pt idx="907">
                  <c:v>3.5835959291635132E-3</c:v>
                </c:pt>
                <c:pt idx="908">
                  <c:v>3.4750773778560637E-3</c:v>
                </c:pt>
                <c:pt idx="909">
                  <c:v>3.3695080206785789E-3</c:v>
                </c:pt>
                <c:pt idx="910">
                  <c:v>3.2668190562009885E-3</c:v>
                </c:pt>
                <c:pt idx="911">
                  <c:v>3.166942925541121E-3</c:v>
                </c:pt>
                <c:pt idx="912">
                  <c:v>3.0698133011057569E-3</c:v>
                </c:pt>
                <c:pt idx="913">
                  <c:v>2.9753650750692414E-3</c:v>
                </c:pt>
                <c:pt idx="914">
                  <c:v>2.8835343476044041E-3</c:v>
                </c:pt>
                <c:pt idx="915">
                  <c:v>2.7942584148803848E-3</c:v>
                </c:pt>
                <c:pt idx="916">
                  <c:v>2.7074757568416158E-3</c:v>
                </c:pt>
                <c:pt idx="917">
                  <c:v>2.6231260247819139E-3</c:v>
                </c:pt>
                <c:pt idx="918">
                  <c:v>2.5411500287273901E-3</c:v>
                </c:pt>
                <c:pt idx="919">
                  <c:v>2.4614897246415441E-3</c:v>
                </c:pt>
                <c:pt idx="920">
                  <c:v>2.3840882014656635E-3</c:v>
                </c:pt>
                <c:pt idx="921">
                  <c:v>2.308889668007295E-3</c:v>
                </c:pt>
                <c:pt idx="922">
                  <c:v>2.2358394396893183E-3</c:v>
                </c:pt>
                <c:pt idx="923">
                  <c:v>2.1648839251718196E-3</c:v>
                </c:pt>
                <c:pt idx="924">
                  <c:v>2.0959706128586804E-3</c:v>
                </c:pt>
                <c:pt idx="925">
                  <c:v>2.029048057300485E-3</c:v>
                </c:pt>
                <c:pt idx="926">
                  <c:v>1.9640658655050735E-3</c:v>
                </c:pt>
                <c:pt idx="927">
                  <c:v>1.900974683166759E-3</c:v>
                </c:pt>
                <c:pt idx="928">
                  <c:v>1.8397261808249393E-3</c:v>
                </c:pt>
                <c:pt idx="929">
                  <c:v>1.7802730399625202E-3</c:v>
                </c:pt>
                <c:pt idx="930">
                  <c:v>1.7225689390543051E-3</c:v>
                </c:pt>
                <c:pt idx="931">
                  <c:v>1.6665685395751881E-3</c:v>
                </c:pt>
                <c:pt idx="932">
                  <c:v>1.6122274719777142E-3</c:v>
                </c:pt>
                <c:pt idx="933">
                  <c:v>1.5595023216482663E-3</c:v>
                </c:pt>
                <c:pt idx="934">
                  <c:v>1.5083506148508643E-3</c:v>
                </c:pt>
                <c:pt idx="935">
                  <c:v>1.4587308046672873E-3</c:v>
                </c:pt>
                <c:pt idx="936">
                  <c:v>1.4106022569419111E-3</c:v>
                </c:pt>
                <c:pt idx="937">
                  <c:v>1.3639252362394158E-3</c:v>
                </c:pt>
                <c:pt idx="938">
                  <c:v>1.3186608918232387E-3</c:v>
                </c:pt>
                <c:pt idx="939">
                  <c:v>1.2747712436623161E-3</c:v>
                </c:pt>
                <c:pt idx="940">
                  <c:v>1.2322191684734881E-3</c:v>
                </c:pt>
                <c:pt idx="941">
                  <c:v>1.1909683858065737E-3</c:v>
                </c:pt>
                <c:pt idx="942">
                  <c:v>1.150983444178926E-3</c:v>
                </c:pt>
                <c:pt idx="943">
                  <c:v>1.1122297072659944E-3</c:v>
                </c:pt>
                <c:pt idx="944">
                  <c:v>1.0746733401541518E-3</c:v>
                </c:pt>
                <c:pt idx="945">
                  <c:v>1.038281295661816E-3</c:v>
                </c:pt>
                <c:pt idx="946">
                  <c:v>1.0030213007346312E-3</c:v>
                </c:pt>
                <c:pt idx="947">
                  <c:v>9.6886184292022787E-4</c:v>
                </c:pt>
                <c:pt idx="948">
                  <c:v>9.3577215692785024E-4</c:v>
                </c:pt>
                <c:pt idx="949">
                  <c:v>9.03722211277884E-4</c:v>
                </c:pt>
                <c:pt idx="950">
                  <c:v>8.7268269504610883E-4</c:v>
                </c:pt>
                <c:pt idx="951">
                  <c:v>8.4262500470724019E-4</c:v>
                </c:pt>
                <c:pt idx="952">
                  <c:v>8.1352123108213638E-4</c:v>
                </c:pt>
                <c:pt idx="953">
                  <c:v>7.853441463927871E-4</c:v>
                </c:pt>
                <c:pt idx="954">
                  <c:v>7.5806719142901919E-4</c:v>
                </c:pt>
                <c:pt idx="955">
                  <c:v>7.316644628306097E-4</c:v>
                </c:pt>
                <c:pt idx="956">
                  <c:v>7.0611070048832655E-4</c:v>
                </c:pt>
                <c:pt idx="957">
                  <c:v>6.8138127506717282E-4</c:v>
                </c:pt>
                <c:pt idx="958">
                  <c:v>6.5745217565494902E-4</c:v>
                </c:pt>
                <c:pt idx="959">
                  <c:v>6.3429999753902172E-4</c:v>
                </c:pt>
                <c:pt idx="960">
                  <c:v>6.1190193011402842E-4</c:v>
                </c:pt>
                <c:pt idx="961">
                  <c:v>5.9023574492303346E-4</c:v>
                </c:pt>
                <c:pt idx="962">
                  <c:v>5.692797838344932E-4</c:v>
                </c:pt>
                <c:pt idx="963">
                  <c:v>5.490129473571917E-4</c:v>
                </c:pt>
                <c:pt idx="964">
                  <c:v>5.2941468309516038E-4</c:v>
                </c:pt>
                <c:pt idx="965">
                  <c:v>5.1046497434440407E-4</c:v>
                </c:pt>
                <c:pt idx="966">
                  <c:v>4.9214432883310508E-4</c:v>
                </c:pt>
                <c:pt idx="967">
                  <c:v>4.744337676068254E-4</c:v>
                </c:pt>
                <c:pt idx="968">
                  <c:v>4.5731481406005532E-4</c:v>
                </c:pt>
                <c:pt idx="969">
                  <c:v>4.4076948311532469E-4</c:v>
                </c:pt>
                <c:pt idx="970">
                  <c:v>4.247802705509377E-4</c:v>
                </c:pt>
                <c:pt idx="971">
                  <c:v>4.0933014247825875E-4</c:v>
                </c:pt>
                <c:pt idx="972">
                  <c:v>3.94402524969331E-4</c:v>
                </c:pt>
                <c:pt idx="973">
                  <c:v>3.7998129383549017E-4</c:v>
                </c:pt>
                <c:pt idx="974">
                  <c:v>3.6605076455749845E-4</c:v>
                </c:pt>
                <c:pt idx="975">
                  <c:v>3.5259568236760321E-4</c:v>
                </c:pt>
                <c:pt idx="976">
                  <c:v>3.3960121248380738E-4</c:v>
                </c:pt>
                <c:pt idx="977">
                  <c:v>3.2705293049652281E-4</c:v>
                </c:pt>
                <c:pt idx="978">
                  <c:v>3.1493681290766472E-4</c:v>
                </c:pt>
                <c:pt idx="979">
                  <c:v>3.0323922782214262E-4</c:v>
                </c:pt>
                <c:pt idx="980">
                  <c:v>2.9194692579159374E-4</c:v>
                </c:pt>
                <c:pt idx="981">
                  <c:v>2.8104703081011562E-4</c:v>
                </c:pt>
                <c:pt idx="982">
                  <c:v>2.705270314616459E-4</c:v>
                </c:pt>
                <c:pt idx="983">
                  <c:v>2.6037477221856341E-4</c:v>
                </c:pt>
                <c:pt idx="984">
                  <c:v>2.5057844489097757E-4</c:v>
                </c:pt>
                <c:pt idx="985">
                  <c:v>2.4112658022610627E-4</c:v>
                </c:pt>
                <c:pt idx="986">
                  <c:v>2.3200803965705134E-4</c:v>
                </c:pt>
                <c:pt idx="987">
                  <c:v>2.232120072002075E-4</c:v>
                </c:pt>
                <c:pt idx="988">
                  <c:v>2.1472798150046882E-4</c:v>
                </c:pt>
                <c:pt idx="989">
                  <c:v>2.0654576802332398E-4</c:v>
                </c:pt>
                <c:pt idx="990">
                  <c:v>1.9865547139286764E-4</c:v>
                </c:pt>
                <c:pt idx="991">
                  <c:v>1.9104748787468953E-4</c:v>
                </c:pt>
                <c:pt idx="992">
                  <c:v>1.8371249800254569E-4</c:v>
                </c:pt>
                <c:pt idx="993">
                  <c:v>1.7664145934765657E-4</c:v>
                </c:pt>
                <c:pt idx="994">
                  <c:v>1.6982559942942623E-4</c:v>
                </c:pt>
                <c:pt idx="995">
                  <c:v>1.6325640876632187E-4</c:v>
                </c:pt>
                <c:pt idx="996">
                  <c:v>1.5692563406560919E-4</c:v>
                </c:pt>
                <c:pt idx="997">
                  <c:v>1.5082527155059225E-4</c:v>
                </c:pt>
                <c:pt idx="998">
                  <c:v>1.4494756042396286E-4</c:v>
                </c:pt>
                <c:pt idx="999">
                  <c:v>1.3928497646582919E-4</c:v>
                </c:pt>
                <c:pt idx="1000">
                  <c:v>1.3383022576495215E-4</c:v>
                </c:pt>
                <c:pt idx="1001">
                  <c:v>1.2857623858168523E-4</c:v>
                </c:pt>
                <c:pt idx="1002">
                  <c:v>1.2351616334108531E-4</c:v>
                </c:pt>
                <c:pt idx="1003">
                  <c:v>1.1864336075462582E-4</c:v>
                </c:pt>
                <c:pt idx="1004">
                  <c:v>1.1395139806892229E-4</c:v>
                </c:pt>
                <c:pt idx="1005">
                  <c:v>1.0943404343985613E-4</c:v>
                </c:pt>
                <c:pt idx="1006">
                  <c:v>1.0508526043045386E-4</c:v>
                </c:pt>
                <c:pt idx="1007">
                  <c:v>1.008992026308662E-4</c:v>
                </c:pt>
                <c:pt idx="1008">
                  <c:v>9.6870208398768985E-5</c:v>
                </c:pt>
                <c:pt idx="1009">
                  <c:v>9.2992795718493788E-5</c:v>
                </c:pt>
                <c:pt idx="1010">
                  <c:v>8.926165717717921E-5</c:v>
                </c:pt>
                <c:pt idx="1011">
                  <c:v>8.5671655056226601E-5</c:v>
                </c:pt>
                <c:pt idx="1012">
                  <c:v>8.2217816536328924E-5</c:v>
                </c:pt>
                <c:pt idx="1013">
                  <c:v>7.8895329014334423E-5</c:v>
                </c:pt>
                <c:pt idx="1014">
                  <c:v>7.5699535530201003E-5</c:v>
                </c:pt>
                <c:pt idx="1015">
                  <c:v>7.2625930302290894E-5</c:v>
                </c:pt>
                <c:pt idx="1016">
                  <c:v>6.9670154369251447E-5</c:v>
                </c:pt>
                <c:pt idx="1017">
                  <c:v>6.6827991336726225E-5</c:v>
                </c:pt>
                <c:pt idx="1018">
                  <c:v>6.4095363227140357E-5</c:v>
                </c:pt>
                <c:pt idx="1019">
                  <c:v>6.1468326430802394E-5</c:v>
                </c:pt>
                <c:pt idx="1020">
                  <c:v>5.8943067756571676E-5</c:v>
                </c:pt>
                <c:pt idx="1021">
                  <c:v>5.6515900580338022E-5</c:v>
                </c:pt>
                <c:pt idx="1022">
                  <c:v>5.4183261089569587E-5</c:v>
                </c:pt>
                <c:pt idx="1023">
                  <c:v>5.1941704622188277E-5</c:v>
                </c:pt>
                <c:pt idx="1024">
                  <c:v>4.9787902098039493E-5</c:v>
                </c:pt>
                <c:pt idx="1025">
                  <c:v>4.7718636541231217E-5</c:v>
                </c:pt>
                <c:pt idx="1026">
                  <c:v>4.5730799691626576E-5</c:v>
                </c:pt>
                <c:pt idx="1027">
                  <c:v>4.3821388703782397E-5</c:v>
                </c:pt>
                <c:pt idx="1028">
                  <c:v>4.1987502931640733E-5</c:v>
                </c:pt>
                <c:pt idx="1029">
                  <c:v>4.0226340797287469E-5</c:v>
                </c:pt>
                <c:pt idx="1030">
                  <c:v>3.8535196742108759E-5</c:v>
                </c:pt>
                <c:pt idx="1031">
                  <c:v>3.6911458258686985E-5</c:v>
                </c:pt>
                <c:pt idx="1032">
                  <c:v>3.535260300179312E-5</c:v>
                </c:pt>
                <c:pt idx="1033">
                  <c:v>3.3856195976847125E-5</c:v>
                </c:pt>
                <c:pt idx="1034">
                  <c:v>3.2419886804232257E-5</c:v>
                </c:pt>
                <c:pt idx="1035">
                  <c:v>3.104140705786802E-5</c:v>
                </c:pt>
                <c:pt idx="1036">
                  <c:v>2.9718567676459353E-5</c:v>
                </c:pt>
                <c:pt idx="1037">
                  <c:v>2.8449256445860778E-5</c:v>
                </c:pt>
                <c:pt idx="1038">
                  <c:v>2.7231435551008424E-5</c:v>
                </c:pt>
                <c:pt idx="1039">
                  <c:v>2.606313919589348E-5</c:v>
                </c:pt>
                <c:pt idx="1040">
                  <c:v>2.4942471290068152E-5</c:v>
                </c:pt>
                <c:pt idx="1041">
                  <c:v>2.3867603200193587E-5</c:v>
                </c:pt>
                <c:pt idx="1042">
                  <c:v>2.2836771565160385E-5</c:v>
                </c:pt>
                <c:pt idx="1043">
                  <c:v>2.1848276173329351E-5</c:v>
                </c:pt>
                <c:pt idx="1044">
                  <c:v>2.0900477900462842E-5</c:v>
                </c:pt>
                <c:pt idx="1045">
                  <c:v>1.9991796706934721E-5</c:v>
                </c:pt>
                <c:pt idx="1046">
                  <c:v>1.9120709692829179E-5</c:v>
                </c:pt>
                <c:pt idx="1047">
                  <c:v>1.8285749209558354E-5</c:v>
                </c:pt>
                <c:pt idx="1048">
                  <c:v>1.7485501026649693E-5</c:v>
                </c:pt>
                <c:pt idx="1049">
                  <c:v>1.6718602552375225E-5</c:v>
                </c:pt>
                <c:pt idx="1050">
                  <c:v>1.5983741106915185E-5</c:v>
                </c:pt>
                <c:pt idx="1051">
                  <c:v>1.5279652246770927E-5</c:v>
                </c:pt>
                <c:pt idx="1052">
                  <c:v>1.4605118139161839E-5</c:v>
                </c:pt>
                <c:pt idx="1053">
                  <c:v>1.3958965985163351E-5</c:v>
                </c:pt>
                <c:pt idx="1054">
                  <c:v>1.3340066490364058E-5</c:v>
                </c:pt>
                <c:pt idx="1055">
                  <c:v>1.2747332381841341E-5</c:v>
                </c:pt>
                <c:pt idx="1056">
                  <c:v>1.2179716970276248E-5</c:v>
                </c:pt>
                <c:pt idx="1057">
                  <c:v>1.1636212756049942E-5</c:v>
                </c:pt>
                <c:pt idx="1058">
                  <c:v>1.1115850078184757E-5</c:v>
                </c:pt>
                <c:pt idx="1059">
                  <c:v>1.0617695805015047E-5</c:v>
                </c:pt>
                <c:pt idx="1060">
                  <c:v>1.0140852065493135E-5</c:v>
                </c:pt>
                <c:pt idx="1061">
                  <c:v>9.6844550200575763E-6</c:v>
                </c:pt>
                <c:pt idx="1062">
                  <c:v>9.2476736700114968E-6</c:v>
                </c:pt>
                <c:pt idx="1063">
                  <c:v>8.8297087043797102E-6</c:v>
                </c:pt>
                <c:pt idx="1064">
                  <c:v>8.4297913832341605E-6</c:v>
                </c:pt>
                <c:pt idx="1065">
                  <c:v>8.0471824564974672E-6</c:v>
                </c:pt>
                <c:pt idx="1066">
                  <c:v>7.6811711172554206E-6</c:v>
                </c:pt>
                <c:pt idx="1067">
                  <c:v>7.3310739886286849E-6</c:v>
                </c:pt>
                <c:pt idx="1068">
                  <c:v>6.99623414327494E-6</c:v>
                </c:pt>
                <c:pt idx="1069">
                  <c:v>6.6760201546118248E-6</c:v>
                </c:pt>
                <c:pt idx="1070">
                  <c:v>6.3698251788712641E-6</c:v>
                </c:pt>
                <c:pt idx="1071">
                  <c:v>6.0770660671151089E-6</c:v>
                </c:pt>
                <c:pt idx="1072">
                  <c:v>5.7971825063611071E-6</c:v>
                </c:pt>
                <c:pt idx="1073">
                  <c:v>5.5296361889877251E-6</c:v>
                </c:pt>
                <c:pt idx="1074">
                  <c:v>5.2739100096048067E-6</c:v>
                </c:pt>
                <c:pt idx="1075">
                  <c:v>5.0295072885957954E-6</c:v>
                </c:pt>
                <c:pt idx="1076">
                  <c:v>4.7959510215557243E-6</c:v>
                </c:pt>
                <c:pt idx="1077">
                  <c:v>4.5727831538672066E-6</c:v>
                </c:pt>
                <c:pt idx="1078">
                  <c:v>4.3595638796745784E-6</c:v>
                </c:pt>
                <c:pt idx="1079">
                  <c:v>4.1558709645340056E-6</c:v>
                </c:pt>
                <c:pt idx="1080">
                  <c:v>3.9612990910347629E-6</c:v>
                </c:pt>
                <c:pt idx="1081">
                  <c:v>3.7754592267039096E-6</c:v>
                </c:pt>
                <c:pt idx="1082">
                  <c:v>3.5979780135237076E-6</c:v>
                </c:pt>
                <c:pt idx="1083">
                  <c:v>3.4284971784073898E-6</c:v>
                </c:pt>
                <c:pt idx="1084">
                  <c:v>3.2666729639955198E-6</c:v>
                </c:pt>
                <c:pt idx="1085">
                  <c:v>3.1121755791510891E-6</c:v>
                </c:pt>
                <c:pt idx="1086">
                  <c:v>2.9646886685473312E-6</c:v>
                </c:pt>
                <c:pt idx="1087">
                  <c:v>2.8239088007577869E-6</c:v>
                </c:pt>
                <c:pt idx="1088">
                  <c:v>2.6895449742734008E-6</c:v>
                </c:pt>
                <c:pt idx="1089">
                  <c:v>2.561318140886332E-6</c:v>
                </c:pt>
                <c:pt idx="1090">
                  <c:v>2.4389607458950721E-6</c:v>
                </c:pt>
                <c:pt idx="1091">
                  <c:v>2.3222162845996347E-6</c:v>
                </c:pt>
                <c:pt idx="1092">
                  <c:v>2.210838874569984E-6</c:v>
                </c:pt>
                <c:pt idx="1093">
                  <c:v>2.1045928431846207E-6</c:v>
                </c:pt>
                <c:pt idx="1094">
                  <c:v>2.003252329949923E-6</c:v>
                </c:pt>
                <c:pt idx="1095">
                  <c:v>1.9066009031241753E-6</c:v>
                </c:pt>
                <c:pt idx="1096">
                  <c:v>1.8144311901833356E-6</c:v>
                </c:pt>
                <c:pt idx="1097">
                  <c:v>1.7265445216783154E-6</c:v>
                </c:pt>
                <c:pt idx="1098">
                  <c:v>1.6427505880462614E-6</c:v>
                </c:pt>
                <c:pt idx="1099">
                  <c:v>1.5628671089504256E-6</c:v>
                </c:pt>
                <c:pt idx="1100">
                  <c:v>1.4867195147353804E-6</c:v>
                </c:pt>
                <c:pt idx="1101">
                  <c:v>1.4141406395960358E-6</c:v>
                </c:pt>
                <c:pt idx="1102">
                  <c:v>1.3449704260704263E-6</c:v>
                </c:pt>
                <c:pt idx="1103">
                  <c:v>1.2790556404775167E-6</c:v>
                </c:pt>
                <c:pt idx="1104">
                  <c:v>1.2162495989322167E-6</c:v>
                </c:pt>
                <c:pt idx="1105">
                  <c:v>1.1564119035806376E-6</c:v>
                </c:pt>
                <c:pt idx="1106">
                  <c:v>1.0994081887090213E-6</c:v>
                </c:pt>
                <c:pt idx="1107">
                  <c:v>1.0451098763900991E-6</c:v>
                </c:pt>
                <c:pt idx="1108">
                  <c:v>9.9339394134065466E-7</c:v>
                </c:pt>
                <c:pt idx="1109">
                  <c:v>9.4414268467379505E-7</c:v>
                </c:pt>
                <c:pt idx="1110">
                  <c:v>8.9724351623900935E-7</c:v>
                </c:pt>
                <c:pt idx="1111">
                  <c:v>8.525887452524311E-7</c:v>
                </c:pt>
                <c:pt idx="1112">
                  <c:v>8.1007537892875027E-7</c:v>
                </c:pt>
                <c:pt idx="1113">
                  <c:v>7.6960492883509941E-7</c:v>
                </c:pt>
                <c:pt idx="1114">
                  <c:v>7.3108322469590734E-7</c:v>
                </c:pt>
                <c:pt idx="1115">
                  <c:v>6.9442023538606788E-7</c:v>
                </c:pt>
                <c:pt idx="1116">
                  <c:v>6.5952989685802989E-7</c:v>
                </c:pt>
                <c:pt idx="1117">
                  <c:v>6.2632994675637304E-7</c:v>
                </c:pt>
                <c:pt idx="1118">
                  <c:v>5.9474176548123583E-7</c:v>
                </c:pt>
                <c:pt idx="1119">
                  <c:v>5.6469022346951531E-7</c:v>
                </c:pt>
                <c:pt idx="1120">
                  <c:v>5.3610353447018042E-7</c:v>
                </c:pt>
                <c:pt idx="1121">
                  <c:v>5.0891311459716356E-7</c:v>
                </c:pt>
                <c:pt idx="1122">
                  <c:v>4.830534469503466E-7</c:v>
                </c:pt>
                <c:pt idx="1123">
                  <c:v>4.5846195160189523E-7</c:v>
                </c:pt>
                <c:pt idx="1124">
                  <c:v>4.350788607518555E-7</c:v>
                </c:pt>
                <c:pt idx="1125">
                  <c:v>4.128470988633269E-7</c:v>
                </c:pt>
                <c:pt idx="1126">
                  <c:v>3.9171216759379263E-7</c:v>
                </c:pt>
                <c:pt idx="1127">
                  <c:v>3.716220353452463E-7</c:v>
                </c:pt>
                <c:pt idx="1128">
                  <c:v>3.5252703126168619E-7</c:v>
                </c:pt>
                <c:pt idx="1129">
                  <c:v>3.3437974350824902E-7</c:v>
                </c:pt>
                <c:pt idx="1130">
                  <c:v>3.1713492167185329E-7</c:v>
                </c:pt>
                <c:pt idx="1131">
                  <c:v>3.0074938312862632E-7</c:v>
                </c:pt>
                <c:pt idx="1132">
                  <c:v>2.8518192322862913E-7</c:v>
                </c:pt>
                <c:pt idx="1133">
                  <c:v>2.7039322915351301E-7</c:v>
                </c:pt>
                <c:pt idx="1134">
                  <c:v>2.563457973076683E-7</c:v>
                </c:pt>
                <c:pt idx="1135">
                  <c:v>2.4300385410825208E-7</c:v>
                </c:pt>
                <c:pt idx="1136">
                  <c:v>2.3033328004411047E-7</c:v>
                </c:pt>
                <c:pt idx="1137">
                  <c:v>2.1830153687815879E-7</c:v>
                </c:pt>
                <c:pt idx="1138">
                  <c:v>2.0687759787213633E-7</c:v>
                </c:pt>
                <c:pt idx="1139">
                  <c:v>1.9603188091691979E-7</c:v>
                </c:pt>
                <c:pt idx="1140">
                  <c:v>1.85736184455684E-7</c:v>
                </c:pt>
                <c:pt idx="1141">
                  <c:v>1.759636260911928E-7</c:v>
                </c:pt>
                <c:pt idx="1142">
                  <c:v>1.6668858377236801E-7</c:v>
                </c:pt>
                <c:pt idx="1143">
                  <c:v>1.5788663945902299E-7</c:v>
                </c:pt>
                <c:pt idx="1144">
                  <c:v>1.4953452516728561E-7</c:v>
                </c:pt>
                <c:pt idx="1145">
                  <c:v>1.4161007130173148E-7</c:v>
                </c:pt>
                <c:pt idx="1146">
                  <c:v>1.3409215718366112E-7</c:v>
                </c:pt>
                <c:pt idx="1147">
                  <c:v>1.2696066368823708E-7</c:v>
                </c:pt>
                <c:pt idx="1148">
                  <c:v>1.2019642790638519E-7</c:v>
                </c:pt>
                <c:pt idx="1149">
                  <c:v>1.1378119975044371E-7</c:v>
                </c:pt>
                <c:pt idx="1150">
                  <c:v>1.0769760042552535E-7</c:v>
                </c:pt>
                <c:pt idx="1151">
                  <c:v>1.0192908269144073E-7</c:v>
                </c:pt>
                <c:pt idx="1152">
                  <c:v>9.6459892842817102E-8</c:v>
                </c:pt>
                <c:pt idx="1153">
                  <c:v>9.1275034337744203E-8</c:v>
                </c:pt>
                <c:pt idx="1154">
                  <c:v>8.6360233007885042E-8</c:v>
                </c:pt>
                <c:pt idx="1155">
                  <c:v>8.1701903785503446E-8</c:v>
                </c:pt>
                <c:pt idx="1156">
                  <c:v>7.7287118885296748E-8</c:v>
                </c:pt>
                <c:pt idx="1157">
                  <c:v>7.3103577381273741E-8</c:v>
                </c:pt>
                <c:pt idx="1158">
                  <c:v>6.913957612118501E-8</c:v>
                </c:pt>
                <c:pt idx="1159">
                  <c:v>6.5383981923209157E-8</c:v>
                </c:pt>
                <c:pt idx="1160">
                  <c:v>6.1826205001713246E-8</c:v>
                </c:pt>
                <c:pt idx="1161">
                  <c:v>5.8456173570952626E-8</c:v>
                </c:pt>
                <c:pt idx="1162">
                  <c:v>5.5264309577546524E-8</c:v>
                </c:pt>
                <c:pt idx="1163">
                  <c:v>5.2241505514471133E-8</c:v>
                </c:pt>
                <c:pt idx="1164">
                  <c:v>4.937910227114878E-8</c:v>
                </c:pt>
                <c:pt idx="1165">
                  <c:v>4.6668867975984667E-8</c:v>
                </c:pt>
                <c:pt idx="1166">
                  <c:v>4.4102977789413032E-8</c:v>
                </c:pt>
                <c:pt idx="1167">
                  <c:v>4.1673994607161255E-8</c:v>
                </c:pt>
                <c:pt idx="1168">
                  <c:v>3.9374850635034311E-8</c:v>
                </c:pt>
                <c:pt idx="1169">
                  <c:v>3.7198829798049994E-8</c:v>
                </c:pt>
                <c:pt idx="1170">
                  <c:v>3.5139550948236541E-8</c:v>
                </c:pt>
                <c:pt idx="1171">
                  <c:v>3.3190951836825919E-8</c:v>
                </c:pt>
                <c:pt idx="1172">
                  <c:v>3.1347273817948629E-8</c:v>
                </c:pt>
                <c:pt idx="1173">
                  <c:v>2.9603047252257389E-8</c:v>
                </c:pt>
                <c:pt idx="1174">
                  <c:v>2.7953077580180564E-8</c:v>
                </c:pt>
                <c:pt idx="1175">
                  <c:v>2.6392432035730299E-8</c:v>
                </c:pt>
                <c:pt idx="1176">
                  <c:v>2.4916426972974176E-8</c:v>
                </c:pt>
                <c:pt idx="1177">
                  <c:v>2.3520615778412809E-8</c:v>
                </c:pt>
                <c:pt idx="1178">
                  <c:v>2.2200777343599831E-8</c:v>
                </c:pt>
                <c:pt idx="1179">
                  <c:v>2.0952905073396694E-8</c:v>
                </c:pt>
                <c:pt idx="1180">
                  <c:v>1.9773196406263356E-8</c:v>
                </c:pt>
                <c:pt idx="1181">
                  <c:v>1.8658042823963807E-8</c:v>
                </c:pt>
                <c:pt idx="1182">
                  <c:v>1.7604020329002542E-8</c:v>
                </c:pt>
                <c:pt idx="1183">
                  <c:v>1.6607880369007856E-8</c:v>
                </c:pt>
                <c:pt idx="1184">
                  <c:v>1.5666541188147484E-8</c:v>
                </c:pt>
                <c:pt idx="1185">
                  <c:v>1.4777079586494175E-8</c:v>
                </c:pt>
                <c:pt idx="1186">
                  <c:v>1.3936723069060808E-8</c:v>
                </c:pt>
                <c:pt idx="1187">
                  <c:v>1.3142842366994842E-8</c:v>
                </c:pt>
                <c:pt idx="1188">
                  <c:v>1.2392944314162104E-8</c:v>
                </c:pt>
                <c:pt idx="1189">
                  <c:v>1.1684665063061159E-8</c:v>
                </c:pt>
                <c:pt idx="1190">
                  <c:v>1.101576362469303E-8</c:v>
                </c:pt>
                <c:pt idx="1191">
                  <c:v>1.0384115717666471E-8</c:v>
                </c:pt>
                <c:pt idx="1192">
                  <c:v>9.7877079124507384E-9</c:v>
                </c:pt>
                <c:pt idx="1193">
                  <c:v>9.2246320572917634E-9</c:v>
                </c:pt>
                <c:pt idx="1194">
                  <c:v>8.6930799728887595E-9</c:v>
                </c:pt>
                <c:pt idx="1195">
                  <c:v>8.1913384034872618E-9</c:v>
                </c:pt>
                <c:pt idx="1196">
                  <c:v>7.7177842125781769E-9</c:v>
                </c:pt>
                <c:pt idx="1197">
                  <c:v>7.2708798119073129E-9</c:v>
                </c:pt>
                <c:pt idx="1198">
                  <c:v>6.8491688129925952E-9</c:v>
                </c:pt>
                <c:pt idx="1199">
                  <c:v>6.4512718908182141E-9</c:v>
                </c:pt>
                <c:pt idx="1200">
                  <c:v>6.0758828498293717E-9</c:v>
                </c:pt>
              </c:numCache>
            </c:numRef>
          </c:yVal>
        </c:ser>
        <c:ser>
          <c:idx val="3"/>
          <c:order val="7"/>
          <c:spPr>
            <a:ln w="28575">
              <a:noFill/>
            </a:ln>
          </c:spPr>
          <c:marker>
            <c:symbol val="none"/>
          </c:marker>
          <c:dLbls>
            <c:dLbl>
              <c:idx val="0"/>
              <c:tx>
                <c:rich>
                  <a:bodyPr/>
                  <a:lstStyle/>
                  <a:p>
                    <a:pPr>
                      <a:defRPr sz="1750" b="1" i="0" u="none" strike="noStrike" baseline="0">
                        <a:solidFill>
                          <a:srgbClr val="0000FF"/>
                        </a:solidFill>
                        <a:latin typeface="Arial"/>
                        <a:ea typeface="Arial"/>
                        <a:cs typeface="Arial"/>
                      </a:defRPr>
                    </a:pPr>
                    <a:r>
                      <a:rPr lang="en-AU"/>
                      <a:t>Population</a:t>
                    </a:r>
                  </a:p>
                </c:rich>
              </c:tx>
              <c:spPr>
                <a:noFill/>
                <a:ln w="25400">
                  <a:noFill/>
                </a:ln>
              </c:spPr>
              <c:dLblPos val="ctr"/>
            </c:dLbl>
            <c:delete val="1"/>
          </c:dLbls>
          <c:xVal>
            <c:numRef>
              <c:f>Normal!$AW$11</c:f>
              <c:numCache>
                <c:formatCode>General</c:formatCode>
                <c:ptCount val="1"/>
              </c:numCache>
            </c:numRef>
          </c:xVal>
          <c:yVal>
            <c:numRef>
              <c:f>Normal!$AX$11</c:f>
              <c:numCache>
                <c:formatCode>General</c:formatCode>
                <c:ptCount val="1"/>
              </c:numCache>
            </c:numRef>
          </c:yVal>
        </c:ser>
        <c:ser>
          <c:idx val="10"/>
          <c:order val="8"/>
          <c:spPr>
            <a:ln w="28575">
              <a:noFill/>
            </a:ln>
          </c:spPr>
          <c:marker>
            <c:symbol val="none"/>
          </c:marker>
          <c:errBars>
            <c:errDir val="y"/>
            <c:errBarType val="both"/>
            <c:errValType val="cust"/>
            <c:noEndCap val="1"/>
            <c:plus>
              <c:numRef>
                <c:f>Normal!$AV$19</c:f>
                <c:numCache>
                  <c:formatCode>General</c:formatCode>
                  <c:ptCount val="1"/>
                  <c:pt idx="0">
                    <c:v>0.43</c:v>
                  </c:pt>
                </c:numCache>
              </c:numRef>
            </c:plus>
            <c:minus>
              <c:numLit>
                <c:formatCode>General</c:formatCode>
                <c:ptCount val="1"/>
                <c:pt idx="0">
                  <c:v>2.0000000000000011E-2</c:v>
                </c:pt>
              </c:numLit>
            </c:minus>
            <c:spPr>
              <a:ln w="12700">
                <a:solidFill>
                  <a:srgbClr val="000000"/>
                </a:solidFill>
                <a:prstDash val="solid"/>
              </a:ln>
            </c:spPr>
          </c:errBars>
          <c:xVal>
            <c:numRef>
              <c:f>Normal!$AX$13</c:f>
              <c:numCache>
                <c:formatCode>General</c:formatCode>
                <c:ptCount val="1"/>
                <c:pt idx="0">
                  <c:v>#N/A</c:v>
                </c:pt>
              </c:numCache>
            </c:numRef>
          </c:xVal>
          <c:yVal>
            <c:numRef>
              <c:f>Normal!$AY$13</c:f>
              <c:numCache>
                <c:formatCode>General</c:formatCode>
                <c:ptCount val="1"/>
                <c:pt idx="0">
                  <c:v>0</c:v>
                </c:pt>
              </c:numCache>
            </c:numRef>
          </c:yVal>
        </c:ser>
        <c:ser>
          <c:idx val="0"/>
          <c:order val="9"/>
          <c:spPr>
            <a:ln w="28575">
              <a:noFill/>
            </a:ln>
          </c:spPr>
          <c:marker>
            <c:symbol val="none"/>
          </c:marker>
          <c:errBars>
            <c:errDir val="y"/>
            <c:errBarType val="plus"/>
            <c:errValType val="cust"/>
            <c:noEndCap val="1"/>
            <c:plus>
              <c:numRef>
                <c:f>Normal!$AX$19</c:f>
                <c:numCache>
                  <c:formatCode>General</c:formatCode>
                  <c:ptCount val="1"/>
                  <c:pt idx="0">
                    <c:v>0.45</c:v>
                  </c:pt>
                </c:numCache>
              </c:numRef>
            </c:plus>
            <c:spPr>
              <a:ln w="12700">
                <a:solidFill>
                  <a:srgbClr val="000000"/>
                </a:solidFill>
                <a:prstDash val="solid"/>
              </a:ln>
            </c:spPr>
          </c:errBars>
          <c:xVal>
            <c:numRef>
              <c:f>Normal!$AX$16</c:f>
              <c:numCache>
                <c:formatCode>General</c:formatCode>
                <c:ptCount val="1"/>
                <c:pt idx="0">
                  <c:v>0</c:v>
                </c:pt>
              </c:numCache>
            </c:numRef>
          </c:xVal>
          <c:yVal>
            <c:numRef>
              <c:f>Normal!$AY$16</c:f>
              <c:numCache>
                <c:formatCode>General</c:formatCode>
                <c:ptCount val="1"/>
                <c:pt idx="0">
                  <c:v>0</c:v>
                </c:pt>
              </c:numCache>
            </c:numRef>
          </c:yVal>
        </c:ser>
        <c:ser>
          <c:idx val="12"/>
          <c:order val="10"/>
          <c:spPr>
            <a:ln w="28575">
              <a:noFill/>
            </a:ln>
          </c:spPr>
          <c:marker>
            <c:symbol val="none"/>
          </c:marker>
          <c:errBars>
            <c:errDir val="y"/>
            <c:errBarType val="plus"/>
            <c:errValType val="cust"/>
            <c:noEndCap val="1"/>
            <c:plus>
              <c:numRef>
                <c:f>Normal!$AV$19</c:f>
                <c:numCache>
                  <c:formatCode>General</c:formatCode>
                  <c:ptCount val="1"/>
                  <c:pt idx="0">
                    <c:v>0.43</c:v>
                  </c:pt>
                </c:numCache>
              </c:numRef>
            </c:plus>
            <c:spPr>
              <a:ln w="12700">
                <a:solidFill>
                  <a:srgbClr val="000000"/>
                </a:solidFill>
                <a:prstDash val="solid"/>
              </a:ln>
            </c:spPr>
          </c:errBars>
          <c:xVal>
            <c:numRef>
              <c:f>Normal!$AX$14:$AX$15</c:f>
              <c:numCache>
                <c:formatCode>General</c:formatCode>
                <c:ptCount val="2"/>
                <c:pt idx="0">
                  <c:v>1.96</c:v>
                </c:pt>
                <c:pt idx="1">
                  <c:v>-1.96</c:v>
                </c:pt>
              </c:numCache>
            </c:numRef>
          </c:xVal>
          <c:yVal>
            <c:numRef>
              <c:f>Normal!$AY$14:$AY$15</c:f>
              <c:numCache>
                <c:formatCode>General</c:formatCode>
                <c:ptCount val="2"/>
                <c:pt idx="0">
                  <c:v>0</c:v>
                </c:pt>
                <c:pt idx="1">
                  <c:v>0</c:v>
                </c:pt>
              </c:numCache>
            </c:numRef>
          </c:yVal>
        </c:ser>
        <c:ser>
          <c:idx val="14"/>
          <c:order val="11"/>
          <c:spPr>
            <a:ln w="28575">
              <a:noFill/>
            </a:ln>
          </c:spPr>
          <c:marker>
            <c:symbol val="none"/>
          </c:marker>
          <c:dLbls>
            <c:dLbl>
              <c:idx val="0"/>
              <c:layout/>
              <c:tx>
                <c:strRef>
                  <c:f>Normal!$AZ$1</c:f>
                  <c:strCache>
                    <c:ptCount val="1"/>
                    <c:pt idx="0">
                      <c:v>.025</c:v>
                    </c:pt>
                  </c:strCache>
                </c:strRef>
              </c:tx>
              <c:dLblPos val="ctr"/>
            </c:dLbl>
            <c:dLbl>
              <c:idx val="1"/>
              <c:layout/>
              <c:tx>
                <c:strRef>
                  <c:f>Normal!$AZ$2</c:f>
                  <c:strCache>
                    <c:ptCount val="1"/>
                    <c:pt idx="0">
                      <c:v>.975</c:v>
                    </c:pt>
                  </c:strCache>
                </c:strRef>
              </c:tx>
              <c:dLblPos val="ctr"/>
            </c:dLbl>
            <c:spPr>
              <a:solidFill>
                <a:srgbClr val="FFFFFF"/>
              </a:solid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Normal!$BA$3:$BA$4</c:f>
              <c:numCache>
                <c:formatCode>General</c:formatCode>
                <c:ptCount val="2"/>
                <c:pt idx="0">
                  <c:v>#N/A</c:v>
                </c:pt>
                <c:pt idx="1">
                  <c:v>#N/A</c:v>
                </c:pt>
              </c:numCache>
            </c:numRef>
          </c:xVal>
          <c:yVal>
            <c:numRef>
              <c:f>Normal!$BB$3:$BB$4</c:f>
              <c:numCache>
                <c:formatCode>General</c:formatCode>
                <c:ptCount val="2"/>
                <c:pt idx="0">
                  <c:v>0.02</c:v>
                </c:pt>
                <c:pt idx="1">
                  <c:v>0.02</c:v>
                </c:pt>
              </c:numCache>
            </c:numRef>
          </c:yVal>
        </c:ser>
        <c:ser>
          <c:idx val="15"/>
          <c:order val="12"/>
          <c:spPr>
            <a:ln w="28575">
              <a:noFill/>
            </a:ln>
          </c:spPr>
          <c:marker>
            <c:symbol val="none"/>
          </c:marker>
          <c:dLbls>
            <c:dLbl>
              <c:idx val="0"/>
              <c:layout/>
              <c:tx>
                <c:strRef>
                  <c:f>Normal!$AZ$5</c:f>
                  <c:strCache>
                    <c:ptCount val="1"/>
                    <c:pt idx="0">
                      <c:v>.025</c:v>
                    </c:pt>
                  </c:strCache>
                </c:strRef>
              </c:tx>
              <c:dLblPos val="ctr"/>
            </c:dLbl>
            <c:dLbl>
              <c:idx val="1"/>
              <c:layout/>
              <c:tx>
                <c:strRef>
                  <c:f>Normal!$AZ$4</c:f>
                  <c:strCache>
                    <c:ptCount val="1"/>
                    <c:pt idx="0">
                      <c:v>.95</c:v>
                    </c:pt>
                  </c:strCache>
                </c:strRef>
              </c:tx>
              <c:dLblPos val="ctr"/>
            </c:dLbl>
            <c:dLbl>
              <c:idx val="2"/>
              <c:layout/>
              <c:tx>
                <c:strRef>
                  <c:f>Normal!$AZ$5</c:f>
                  <c:strCache>
                    <c:ptCount val="1"/>
                    <c:pt idx="0">
                      <c:v>.025</c:v>
                    </c:pt>
                  </c:strCache>
                </c:strRef>
              </c:tx>
              <c:dLblPos val="ctr"/>
            </c:dLbl>
            <c:dLbl>
              <c:idx val="3"/>
              <c:layout/>
              <c:tx>
                <c:strRef>
                  <c:f>Normal!$AZ$3</c:f>
                  <c:strCache>
                    <c:ptCount val="1"/>
                    <c:pt idx="0">
                      <c:v>.05</c:v>
                    </c:pt>
                  </c:strCache>
                </c:strRef>
              </c:tx>
              <c:dLblPos val="ctr"/>
            </c:dLbl>
            <c:dLbl>
              <c:idx val="4"/>
              <c:layout/>
              <c:tx>
                <c:rich>
                  <a:bodyPr/>
                  <a:lstStyle/>
                  <a:p>
                    <a:r>
                      <a:rPr lang="en-AU"/>
                      <a:t>two tails</a:t>
                    </a:r>
                  </a:p>
                </c:rich>
              </c:tx>
              <c:dLblPos val="ctr"/>
            </c:dLbl>
            <c:spPr>
              <a:solidFill>
                <a:srgbClr val="FFFFFF"/>
              </a:solid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Normal!$AU$6:$AU$10</c:f>
              <c:numCache>
                <c:formatCode>General</c:formatCode>
                <c:ptCount val="5"/>
                <c:pt idx="0">
                  <c:v>-2.395</c:v>
                </c:pt>
                <c:pt idx="1">
                  <c:v>0</c:v>
                </c:pt>
                <c:pt idx="2">
                  <c:v>2.395</c:v>
                </c:pt>
                <c:pt idx="3">
                  <c:v>2.395</c:v>
                </c:pt>
                <c:pt idx="4">
                  <c:v>2.395</c:v>
                </c:pt>
              </c:numCache>
            </c:numRef>
          </c:xVal>
          <c:yVal>
            <c:numRef>
              <c:f>Normal!$AV$6:$AV$10</c:f>
              <c:numCache>
                <c:formatCode>General</c:formatCode>
                <c:ptCount val="5"/>
                <c:pt idx="0">
                  <c:v>0.02</c:v>
                </c:pt>
                <c:pt idx="1">
                  <c:v>0.05</c:v>
                </c:pt>
                <c:pt idx="2">
                  <c:v>0.02</c:v>
                </c:pt>
                <c:pt idx="3">
                  <c:v>0.1</c:v>
                </c:pt>
                <c:pt idx="4">
                  <c:v>0.13</c:v>
                </c:pt>
              </c:numCache>
            </c:numRef>
          </c:yVal>
        </c:ser>
        <c:ser>
          <c:idx val="16"/>
          <c:order val="13"/>
          <c:spPr>
            <a:ln w="28575">
              <a:noFill/>
            </a:ln>
          </c:spPr>
          <c:marker>
            <c:symbol val="none"/>
          </c:marker>
          <c:dLbls>
            <c:dLbl>
              <c:idx val="0"/>
              <c:layout/>
              <c:tx>
                <c:strRef>
                  <c:f>Normal!$BD$2</c:f>
                  <c:strCache>
                    <c:ptCount val="1"/>
                    <c:pt idx="0">
                      <c:v>#N/A</c:v>
                    </c:pt>
                  </c:strCache>
                </c:strRef>
              </c:tx>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ctr"/>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Normal!$BD$9</c:f>
              <c:numCache>
                <c:formatCode>General</c:formatCode>
                <c:ptCount val="1"/>
                <c:pt idx="0">
                  <c:v>#N/A</c:v>
                </c:pt>
              </c:numCache>
            </c:numRef>
          </c:xVal>
          <c:yVal>
            <c:numRef>
              <c:f>Normal!$BE$9</c:f>
              <c:numCache>
                <c:formatCode>General</c:formatCode>
                <c:ptCount val="1"/>
                <c:pt idx="0">
                  <c:v>0.39</c:v>
                </c:pt>
              </c:numCache>
            </c:numRef>
          </c:yVal>
        </c:ser>
        <c:ser>
          <c:idx val="17"/>
          <c:order val="14"/>
          <c:spPr>
            <a:ln w="28575">
              <a:noFill/>
            </a:ln>
          </c:spPr>
          <c:marker>
            <c:symbol val="none"/>
          </c:marker>
          <c:dLbls>
            <c:dLbl>
              <c:idx val="0"/>
              <c:layout/>
              <c:tx>
                <c:rich>
                  <a:bodyPr/>
                  <a:lstStyle/>
                  <a:p>
                    <a:r>
                      <a:rPr lang="en-AU"/>
                      <a:t>height</a:t>
                    </a:r>
                  </a:p>
                </c:rich>
              </c:tx>
              <c:dLblPos val="ctr"/>
            </c:dLbl>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ctr"/>
            <c:showCatName val="1"/>
          </c:dLbls>
          <c:xVal>
            <c:numRef>
              <c:f>Normal!$BF$9</c:f>
              <c:numCache>
                <c:formatCode>General</c:formatCode>
                <c:ptCount val="1"/>
                <c:pt idx="0">
                  <c:v>#N/A</c:v>
                </c:pt>
              </c:numCache>
            </c:numRef>
          </c:xVal>
          <c:yVal>
            <c:numRef>
              <c:f>Normal!$BG$9</c:f>
              <c:numCache>
                <c:formatCode>General</c:formatCode>
                <c:ptCount val="1"/>
                <c:pt idx="0">
                  <c:v>0.39</c:v>
                </c:pt>
              </c:numCache>
            </c:numRef>
          </c:yVal>
        </c:ser>
        <c:ser>
          <c:idx val="18"/>
          <c:order val="15"/>
          <c:spPr>
            <a:ln w="28575">
              <a:noFill/>
            </a:ln>
          </c:spPr>
          <c:marker>
            <c:symbol val="none"/>
          </c:marker>
          <c:dLbls>
            <c:dLbl>
              <c:idx val="0"/>
              <c:layout/>
              <c:tx>
                <c:strRef>
                  <c:f>Normal!$BE$2</c:f>
                  <c:strCache>
                    <c:ptCount val="1"/>
                    <c:pt idx="0">
                      <c:v>0.0584</c:v>
                    </c:pt>
                  </c:strCache>
                </c:strRef>
              </c:tx>
              <c:dLblPos val="ctr"/>
            </c:dLbl>
            <c:dLbl>
              <c:idx val="1"/>
              <c:layout/>
              <c:tx>
                <c:strRef>
                  <c:f>Normal!$BE$2</c:f>
                  <c:strCache>
                    <c:ptCount val="1"/>
                    <c:pt idx="0">
                      <c:v>0.0584</c:v>
                    </c:pt>
                  </c:strCache>
                </c:strRef>
              </c:tx>
              <c:dLblPos val="ctr"/>
            </c:dLbl>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ctr"/>
            <c:showCatName val="1"/>
          </c:dLbls>
          <c:xVal>
            <c:numRef>
              <c:f>Normal!$BD$10:$BD$11</c:f>
              <c:numCache>
                <c:formatCode>General</c:formatCode>
                <c:ptCount val="2"/>
                <c:pt idx="0">
                  <c:v>#N/A</c:v>
                </c:pt>
                <c:pt idx="1">
                  <c:v>#N/A</c:v>
                </c:pt>
              </c:numCache>
            </c:numRef>
          </c:xVal>
          <c:yVal>
            <c:numRef>
              <c:f>Normal!$BE$10:$BE$11</c:f>
              <c:numCache>
                <c:formatCode>General</c:formatCode>
                <c:ptCount val="2"/>
                <c:pt idx="0">
                  <c:v>0.39</c:v>
                </c:pt>
                <c:pt idx="1">
                  <c:v>0.39</c:v>
                </c:pt>
              </c:numCache>
            </c:numRef>
          </c:yVal>
        </c:ser>
        <c:ser>
          <c:idx val="19"/>
          <c:order val="16"/>
          <c:spPr>
            <a:ln w="28575">
              <a:noFill/>
            </a:ln>
          </c:spPr>
          <c:marker>
            <c:symbol val="none"/>
          </c:marker>
          <c:dLbls>
            <c:dLbl>
              <c:idx val="0"/>
              <c:layout/>
              <c:tx>
                <c:rich>
                  <a:bodyPr/>
                  <a:lstStyle/>
                  <a:p>
                    <a:r>
                      <a:rPr lang="en-AU"/>
                      <a:t>height</a:t>
                    </a:r>
                  </a:p>
                </c:rich>
              </c:tx>
              <c:dLblPos val="ctr"/>
            </c:dLbl>
            <c:dLbl>
              <c:idx val="1"/>
              <c:layout/>
              <c:tx>
                <c:rich>
                  <a:bodyPr/>
                  <a:lstStyle/>
                  <a:p>
                    <a:r>
                      <a:rPr lang="en-AU"/>
                      <a:t>height</a:t>
                    </a:r>
                  </a:p>
                </c:rich>
              </c:tx>
              <c:dLblPos val="ctr"/>
            </c:dLbl>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ctr"/>
            <c:showCatName val="1"/>
          </c:dLbls>
          <c:xVal>
            <c:numRef>
              <c:f>Normal!$BF$10:$BF$11</c:f>
              <c:numCache>
                <c:formatCode>General</c:formatCode>
                <c:ptCount val="2"/>
                <c:pt idx="0">
                  <c:v>#N/A</c:v>
                </c:pt>
                <c:pt idx="1">
                  <c:v>#N/A</c:v>
                </c:pt>
              </c:numCache>
            </c:numRef>
          </c:xVal>
          <c:yVal>
            <c:numRef>
              <c:f>Normal!$BG$10:$BG$11</c:f>
              <c:numCache>
                <c:formatCode>General</c:formatCode>
                <c:ptCount val="2"/>
                <c:pt idx="0">
                  <c:v>0.39</c:v>
                </c:pt>
                <c:pt idx="1">
                  <c:v>0.39</c:v>
                </c:pt>
              </c:numCache>
            </c:numRef>
          </c:yVal>
        </c:ser>
        <c:ser>
          <c:idx val="4"/>
          <c:order val="17"/>
          <c:spPr>
            <a:ln w="28575">
              <a:noFill/>
            </a:ln>
          </c:spPr>
          <c:marker>
            <c:symbol val="plus"/>
            <c:size val="10"/>
            <c:spPr>
              <a:noFill/>
              <a:ln>
                <a:solidFill>
                  <a:srgbClr val="800000"/>
                </a:solidFill>
                <a:prstDash val="solid"/>
              </a:ln>
            </c:spPr>
          </c:marker>
          <c:dLbls>
            <c:dLbl>
              <c:idx val="0"/>
              <c:layout/>
              <c:tx>
                <c:strRef>
                  <c:f>Normal!$AT$7</c:f>
                  <c:strCache>
                    <c:ptCount val="1"/>
                    <c:pt idx="0">
                      <c:v>25</c:v>
                    </c:pt>
                  </c:strCache>
                </c:strRef>
              </c:tx>
              <c:dLblPos val="t"/>
            </c:dLbl>
            <c:dLbl>
              <c:idx val="1"/>
              <c:layout/>
              <c:tx>
                <c:strRef>
                  <c:f>Normal!$AT$8</c:f>
                  <c:strCache>
                    <c:ptCount val="1"/>
                    <c:pt idx="0">
                      <c:v>40</c:v>
                    </c:pt>
                  </c:strCache>
                </c:strRef>
              </c:tx>
              <c:dLblPos val="t"/>
            </c:dLbl>
            <c:dLbl>
              <c:idx val="2"/>
              <c:layout/>
              <c:tx>
                <c:strRef>
                  <c:f>Normal!$AT$9</c:f>
                  <c:strCache>
                    <c:ptCount val="1"/>
                    <c:pt idx="0">
                      <c:v>55</c:v>
                    </c:pt>
                  </c:strCache>
                </c:strRef>
              </c:tx>
              <c:dLblPos val="t"/>
            </c:dLbl>
            <c:dLbl>
              <c:idx val="3"/>
              <c:layout/>
              <c:tx>
                <c:strRef>
                  <c:f>Normal!$AT$10</c:f>
                  <c:strCache>
                    <c:ptCount val="1"/>
                    <c:pt idx="0">
                      <c:v>70</c:v>
                    </c:pt>
                  </c:strCache>
                </c:strRef>
              </c:tx>
              <c:dLblPos val="t"/>
            </c:dLbl>
            <c:dLbl>
              <c:idx val="4"/>
              <c:layout/>
              <c:tx>
                <c:strRef>
                  <c:f>Normal!$AT$11</c:f>
                  <c:strCache>
                    <c:ptCount val="1"/>
                    <c:pt idx="0">
                      <c:v>85</c:v>
                    </c:pt>
                  </c:strCache>
                </c:strRef>
              </c:tx>
              <c:dLblPos val="t"/>
            </c:dLbl>
            <c:dLbl>
              <c:idx val="5"/>
              <c:layout/>
              <c:tx>
                <c:strRef>
                  <c:f>Normal!$AT$12</c:f>
                  <c:strCache>
                    <c:ptCount val="1"/>
                    <c:pt idx="0">
                      <c:v>100</c:v>
                    </c:pt>
                  </c:strCache>
                </c:strRef>
              </c:tx>
              <c:dLblPos val="t"/>
            </c:dLbl>
            <c:dLbl>
              <c:idx val="6"/>
              <c:layout/>
              <c:tx>
                <c:strRef>
                  <c:f>Normal!$AT$13</c:f>
                  <c:strCache>
                    <c:ptCount val="1"/>
                    <c:pt idx="0">
                      <c:v>115</c:v>
                    </c:pt>
                  </c:strCache>
                </c:strRef>
              </c:tx>
              <c:dLblPos val="t"/>
            </c:dLbl>
            <c:dLbl>
              <c:idx val="7"/>
              <c:layout/>
              <c:tx>
                <c:strRef>
                  <c:f>Normal!$AT$14</c:f>
                  <c:strCache>
                    <c:ptCount val="1"/>
                    <c:pt idx="0">
                      <c:v>130</c:v>
                    </c:pt>
                  </c:strCache>
                </c:strRef>
              </c:tx>
              <c:dLblPos val="t"/>
            </c:dLbl>
            <c:dLbl>
              <c:idx val="8"/>
              <c:layout/>
              <c:tx>
                <c:strRef>
                  <c:f>Normal!$AT$15</c:f>
                  <c:strCache>
                    <c:ptCount val="1"/>
                    <c:pt idx="0">
                      <c:v>145</c:v>
                    </c:pt>
                  </c:strCache>
                </c:strRef>
              </c:tx>
              <c:dLblPos val="t"/>
            </c:dLbl>
            <c:dLbl>
              <c:idx val="9"/>
              <c:layout/>
              <c:tx>
                <c:strRef>
                  <c:f>Normal!$AT$16</c:f>
                  <c:strCache>
                    <c:ptCount val="1"/>
                    <c:pt idx="0">
                      <c:v>160</c:v>
                    </c:pt>
                  </c:strCache>
                </c:strRef>
              </c:tx>
              <c:dLblPos val="t"/>
            </c:dLbl>
            <c:dLbl>
              <c:idx val="10"/>
              <c:layout/>
              <c:tx>
                <c:strRef>
                  <c:f>Normal!$AT$17</c:f>
                  <c:strCache>
                    <c:ptCount val="1"/>
                    <c:pt idx="0">
                      <c:v>175</c:v>
                    </c:pt>
                  </c:strCache>
                </c:strRef>
              </c:tx>
              <c:dLblPos val="t"/>
            </c:dLbl>
            <c:spPr>
              <a:noFill/>
              <a:ln w="25400">
                <a:noFill/>
              </a:ln>
            </c:spPr>
            <c:txPr>
              <a:bodyPr/>
              <a:lstStyle/>
              <a:p>
                <a:pPr>
                  <a:defRPr sz="1100" b="0" i="0" u="none" strike="noStrike" baseline="0">
                    <a:solidFill>
                      <a:srgbClr val="800000"/>
                    </a:solidFill>
                    <a:latin typeface="Arial"/>
                    <a:ea typeface="Arial"/>
                    <a:cs typeface="Arial"/>
                  </a:defRPr>
                </a:pPr>
                <a:endParaRPr lang="en-US"/>
              </a:p>
            </c:txPr>
            <c:dLblPos val="t"/>
            <c:showCatName val="1"/>
          </c:dLbls>
          <c:xVal>
            <c:numRef>
              <c:f>Normal!$AR$7:$AR$17</c:f>
              <c:numCache>
                <c:formatCode>General</c:formatCode>
                <c:ptCount val="11"/>
                <c:pt idx="0">
                  <c:v>-5</c:v>
                </c:pt>
                <c:pt idx="1">
                  <c:v>-4</c:v>
                </c:pt>
                <c:pt idx="2">
                  <c:v>-3</c:v>
                </c:pt>
                <c:pt idx="3">
                  <c:v>-2</c:v>
                </c:pt>
                <c:pt idx="4">
                  <c:v>-1</c:v>
                </c:pt>
                <c:pt idx="5">
                  <c:v>0</c:v>
                </c:pt>
                <c:pt idx="6">
                  <c:v>1</c:v>
                </c:pt>
                <c:pt idx="7">
                  <c:v>2</c:v>
                </c:pt>
                <c:pt idx="8">
                  <c:v>3</c:v>
                </c:pt>
                <c:pt idx="9">
                  <c:v>4</c:v>
                </c:pt>
                <c:pt idx="10">
                  <c:v>5</c:v>
                </c:pt>
              </c:numCache>
            </c:numRef>
          </c:xVal>
          <c:yVal>
            <c:numRef>
              <c:f>Normal!$AS$7:$AS$17</c:f>
              <c:numCache>
                <c:formatCode>General</c:formatCode>
                <c:ptCount val="11"/>
                <c:pt idx="0">
                  <c:v>0.43</c:v>
                </c:pt>
                <c:pt idx="1">
                  <c:v>0.43</c:v>
                </c:pt>
                <c:pt idx="2">
                  <c:v>0.43</c:v>
                </c:pt>
                <c:pt idx="3">
                  <c:v>0.43</c:v>
                </c:pt>
                <c:pt idx="4">
                  <c:v>0.43</c:v>
                </c:pt>
                <c:pt idx="5">
                  <c:v>0.43</c:v>
                </c:pt>
                <c:pt idx="6">
                  <c:v>0.43</c:v>
                </c:pt>
                <c:pt idx="7">
                  <c:v>0.43</c:v>
                </c:pt>
                <c:pt idx="8">
                  <c:v>0.43</c:v>
                </c:pt>
                <c:pt idx="9">
                  <c:v>0.43</c:v>
                </c:pt>
                <c:pt idx="10">
                  <c:v>0.43</c:v>
                </c:pt>
              </c:numCache>
            </c:numRef>
          </c:yVal>
        </c:ser>
        <c:ser>
          <c:idx val="9"/>
          <c:order val="18"/>
          <c:spPr>
            <a:ln w="28575">
              <a:noFill/>
            </a:ln>
          </c:spPr>
          <c:marker>
            <c:symbol val="plus"/>
            <c:size val="6"/>
            <c:spPr>
              <a:noFill/>
              <a:ln>
                <a:solidFill>
                  <a:srgbClr val="800000"/>
                </a:solidFill>
                <a:prstDash val="solid"/>
              </a:ln>
            </c:spPr>
          </c:marker>
          <c:xVal>
            <c:numRef>
              <c:f>Normal!$AR$20:$AR$70</c:f>
              <c:numCache>
                <c:formatCode>General</c:formatCode>
                <c:ptCount val="51"/>
                <c:pt idx="0">
                  <c:v>-5</c:v>
                </c:pt>
                <c:pt idx="1">
                  <c:v>-4.8</c:v>
                </c:pt>
                <c:pt idx="2">
                  <c:v>-4.5999999999999996</c:v>
                </c:pt>
                <c:pt idx="3">
                  <c:v>-4.4000000000000004</c:v>
                </c:pt>
                <c:pt idx="4">
                  <c:v>-4.2</c:v>
                </c:pt>
                <c:pt idx="5">
                  <c:v>-4</c:v>
                </c:pt>
                <c:pt idx="6">
                  <c:v>-3.8</c:v>
                </c:pt>
                <c:pt idx="7">
                  <c:v>-3.6</c:v>
                </c:pt>
                <c:pt idx="8">
                  <c:v>-3.4</c:v>
                </c:pt>
                <c:pt idx="9">
                  <c:v>-3.2</c:v>
                </c:pt>
                <c:pt idx="10">
                  <c:v>-3</c:v>
                </c:pt>
                <c:pt idx="11">
                  <c:v>-2.8</c:v>
                </c:pt>
                <c:pt idx="12">
                  <c:v>-2.6</c:v>
                </c:pt>
                <c:pt idx="13">
                  <c:v>-2.4</c:v>
                </c:pt>
                <c:pt idx="14">
                  <c:v>-2.2000000000000002</c:v>
                </c:pt>
                <c:pt idx="15">
                  <c:v>-2</c:v>
                </c:pt>
                <c:pt idx="16">
                  <c:v>-1.8</c:v>
                </c:pt>
                <c:pt idx="17">
                  <c:v>-1.6</c:v>
                </c:pt>
                <c:pt idx="18">
                  <c:v>-1.4</c:v>
                </c:pt>
                <c:pt idx="19">
                  <c:v>-1.2</c:v>
                </c:pt>
                <c:pt idx="20">
                  <c:v>-1</c:v>
                </c:pt>
                <c:pt idx="21">
                  <c:v>-0.8</c:v>
                </c:pt>
                <c:pt idx="22">
                  <c:v>-0.6</c:v>
                </c:pt>
                <c:pt idx="23">
                  <c:v>-0.4</c:v>
                </c:pt>
                <c:pt idx="24">
                  <c:v>-0.2</c:v>
                </c:pt>
                <c:pt idx="25">
                  <c:v>0</c:v>
                </c:pt>
                <c:pt idx="26">
                  <c:v>0.2</c:v>
                </c:pt>
                <c:pt idx="27">
                  <c:v>0.4</c:v>
                </c:pt>
                <c:pt idx="28">
                  <c:v>0.6</c:v>
                </c:pt>
                <c:pt idx="29">
                  <c:v>0.80000000000001004</c:v>
                </c:pt>
                <c:pt idx="30">
                  <c:v>1.00000000000001</c:v>
                </c:pt>
                <c:pt idx="31">
                  <c:v>1.2000000000000099</c:v>
                </c:pt>
                <c:pt idx="32">
                  <c:v>1.4000000000000099</c:v>
                </c:pt>
                <c:pt idx="33">
                  <c:v>1.6000000000000101</c:v>
                </c:pt>
                <c:pt idx="34">
                  <c:v>1.80000000000001</c:v>
                </c:pt>
                <c:pt idx="35">
                  <c:v>2.0000000000000102</c:v>
                </c:pt>
                <c:pt idx="36">
                  <c:v>2.2000000000000099</c:v>
                </c:pt>
                <c:pt idx="37">
                  <c:v>2.4000000000000101</c:v>
                </c:pt>
                <c:pt idx="38">
                  <c:v>2.6000000000000099</c:v>
                </c:pt>
                <c:pt idx="39">
                  <c:v>2.80000000000001</c:v>
                </c:pt>
                <c:pt idx="40">
                  <c:v>3.0000000000000102</c:v>
                </c:pt>
                <c:pt idx="41">
                  <c:v>3.2000000000000099</c:v>
                </c:pt>
                <c:pt idx="42">
                  <c:v>3.4000000000000101</c:v>
                </c:pt>
                <c:pt idx="43">
                  <c:v>3.6000000000000099</c:v>
                </c:pt>
                <c:pt idx="44">
                  <c:v>3.80000000000001</c:v>
                </c:pt>
                <c:pt idx="45">
                  <c:v>4.0000000000000098</c:v>
                </c:pt>
                <c:pt idx="46">
                  <c:v>4.2000000000000099</c:v>
                </c:pt>
                <c:pt idx="47">
                  <c:v>4.4000000000000101</c:v>
                </c:pt>
                <c:pt idx="48">
                  <c:v>4.6000000000000103</c:v>
                </c:pt>
                <c:pt idx="49">
                  <c:v>4.8000000000000096</c:v>
                </c:pt>
                <c:pt idx="50">
                  <c:v>5</c:v>
                </c:pt>
              </c:numCache>
            </c:numRef>
          </c:xVal>
          <c:yVal>
            <c:numRef>
              <c:f>Normal!$AS$20:$AS$70</c:f>
              <c:numCache>
                <c:formatCode>General</c:formatCode>
                <c:ptCount val="51"/>
                <c:pt idx="0">
                  <c:v>0.43</c:v>
                </c:pt>
                <c:pt idx="1">
                  <c:v>0.43</c:v>
                </c:pt>
                <c:pt idx="2">
                  <c:v>0.43</c:v>
                </c:pt>
                <c:pt idx="3">
                  <c:v>0.43</c:v>
                </c:pt>
                <c:pt idx="4">
                  <c:v>0.43</c:v>
                </c:pt>
                <c:pt idx="5">
                  <c:v>0.43</c:v>
                </c:pt>
                <c:pt idx="6">
                  <c:v>0.43</c:v>
                </c:pt>
                <c:pt idx="7">
                  <c:v>0.43</c:v>
                </c:pt>
                <c:pt idx="8">
                  <c:v>0.43</c:v>
                </c:pt>
                <c:pt idx="9">
                  <c:v>0.43</c:v>
                </c:pt>
                <c:pt idx="10">
                  <c:v>0.43</c:v>
                </c:pt>
                <c:pt idx="11">
                  <c:v>0.43</c:v>
                </c:pt>
                <c:pt idx="12">
                  <c:v>0.43</c:v>
                </c:pt>
                <c:pt idx="13">
                  <c:v>0.43</c:v>
                </c:pt>
                <c:pt idx="14">
                  <c:v>0.43</c:v>
                </c:pt>
                <c:pt idx="15">
                  <c:v>0.43</c:v>
                </c:pt>
                <c:pt idx="16">
                  <c:v>0.43</c:v>
                </c:pt>
                <c:pt idx="17">
                  <c:v>0.43</c:v>
                </c:pt>
                <c:pt idx="18">
                  <c:v>0.43</c:v>
                </c:pt>
                <c:pt idx="19">
                  <c:v>0.43</c:v>
                </c:pt>
                <c:pt idx="20">
                  <c:v>0.43</c:v>
                </c:pt>
                <c:pt idx="21">
                  <c:v>0.43</c:v>
                </c:pt>
                <c:pt idx="22">
                  <c:v>0.43</c:v>
                </c:pt>
                <c:pt idx="23">
                  <c:v>0.43</c:v>
                </c:pt>
                <c:pt idx="24">
                  <c:v>0.43</c:v>
                </c:pt>
                <c:pt idx="25">
                  <c:v>0.43</c:v>
                </c:pt>
                <c:pt idx="26">
                  <c:v>0.43</c:v>
                </c:pt>
                <c:pt idx="27">
                  <c:v>0.43</c:v>
                </c:pt>
                <c:pt idx="28">
                  <c:v>0.43</c:v>
                </c:pt>
                <c:pt idx="29">
                  <c:v>0.43</c:v>
                </c:pt>
                <c:pt idx="30">
                  <c:v>0.43</c:v>
                </c:pt>
                <c:pt idx="31">
                  <c:v>0.43</c:v>
                </c:pt>
                <c:pt idx="32">
                  <c:v>0.43</c:v>
                </c:pt>
                <c:pt idx="33">
                  <c:v>0.43</c:v>
                </c:pt>
                <c:pt idx="34">
                  <c:v>0.43</c:v>
                </c:pt>
                <c:pt idx="35">
                  <c:v>0.43</c:v>
                </c:pt>
                <c:pt idx="36">
                  <c:v>0.43</c:v>
                </c:pt>
                <c:pt idx="37">
                  <c:v>0.43</c:v>
                </c:pt>
                <c:pt idx="38">
                  <c:v>0.43</c:v>
                </c:pt>
                <c:pt idx="39">
                  <c:v>0.43</c:v>
                </c:pt>
                <c:pt idx="40">
                  <c:v>0.43</c:v>
                </c:pt>
                <c:pt idx="41">
                  <c:v>0.43</c:v>
                </c:pt>
                <c:pt idx="42">
                  <c:v>0.43</c:v>
                </c:pt>
                <c:pt idx="43">
                  <c:v>0.43</c:v>
                </c:pt>
                <c:pt idx="44">
                  <c:v>0.43</c:v>
                </c:pt>
                <c:pt idx="45">
                  <c:v>0.43</c:v>
                </c:pt>
                <c:pt idx="46">
                  <c:v>0.43</c:v>
                </c:pt>
                <c:pt idx="47">
                  <c:v>0.43</c:v>
                </c:pt>
                <c:pt idx="48">
                  <c:v>0.43</c:v>
                </c:pt>
                <c:pt idx="49">
                  <c:v>0.43</c:v>
                </c:pt>
                <c:pt idx="50">
                  <c:v>0.43</c:v>
                </c:pt>
              </c:numCache>
            </c:numRef>
          </c:yVal>
        </c:ser>
        <c:ser>
          <c:idx val="13"/>
          <c:order val="19"/>
          <c:spPr>
            <a:ln w="25400">
              <a:solidFill>
                <a:srgbClr val="800000"/>
              </a:solidFill>
              <a:prstDash val="solid"/>
            </a:ln>
          </c:spPr>
          <c:marker>
            <c:symbol val="none"/>
          </c:marker>
          <c:xVal>
            <c:numRef>
              <c:f>Normal!$AQ$1:$AQ$2</c:f>
              <c:numCache>
                <c:formatCode>General</c:formatCode>
                <c:ptCount val="2"/>
                <c:pt idx="0">
                  <c:v>-5.5</c:v>
                </c:pt>
                <c:pt idx="1">
                  <c:v>5.0999999999999996</c:v>
                </c:pt>
              </c:numCache>
            </c:numRef>
          </c:xVal>
          <c:yVal>
            <c:numRef>
              <c:f>Normal!$AR$1:$AR$2</c:f>
              <c:numCache>
                <c:formatCode>General</c:formatCode>
                <c:ptCount val="2"/>
                <c:pt idx="0">
                  <c:v>0.42899999999999999</c:v>
                </c:pt>
                <c:pt idx="1">
                  <c:v>0.42899999999999999</c:v>
                </c:pt>
              </c:numCache>
            </c:numRef>
          </c:yVal>
        </c:ser>
        <c:axId val="137893376"/>
        <c:axId val="137894912"/>
      </c:scatterChart>
      <c:valAx>
        <c:axId val="137893376"/>
        <c:scaling>
          <c:orientation val="minMax"/>
          <c:max val="5"/>
          <c:min val="-5"/>
        </c:scaling>
        <c:axPos val="b"/>
        <c:numFmt formatCode="0" sourceLinked="0"/>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7894912"/>
        <c:crosses val="autoZero"/>
        <c:crossBetween val="midCat"/>
        <c:majorUnit val="1"/>
        <c:minorUnit val="0.2"/>
      </c:valAx>
      <c:valAx>
        <c:axId val="137894912"/>
        <c:scaling>
          <c:orientation val="minMax"/>
          <c:max val="0.45"/>
          <c:min val="0"/>
        </c:scaling>
        <c:axPos val="l"/>
        <c:numFmt formatCode="General" sourceLinked="1"/>
        <c:majorTickMark val="none"/>
        <c:tickLblPos val="none"/>
        <c:spPr>
          <a:ln w="9525">
            <a:noFill/>
          </a:ln>
        </c:spPr>
        <c:crossAx val="137893376"/>
        <c:crossesAt val="-6"/>
        <c:crossBetween val="midCat"/>
        <c:majorUnit val="0.1"/>
        <c:minorUnit val="2.0000000000000011E-2"/>
      </c:valAx>
      <c:spPr>
        <a:noFill/>
        <a:ln w="25400">
          <a:noFill/>
        </a:ln>
      </c:spPr>
    </c:plotArea>
    <c:plotVisOnly val="1"/>
    <c:dispBlanksAs val="gap"/>
  </c:chart>
  <c:spPr>
    <a:solidFill>
      <a:srgbClr val="FFFFFF"/>
    </a:solidFill>
    <a:ln w="3175">
      <a:solidFill>
        <a:srgbClr val="000000"/>
      </a:solidFill>
      <a:prstDash val="solid"/>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paperSize="9" orientation="landscape"/>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4.024770843994023E-2"/>
          <c:y val="2.7777853130026953E-2"/>
          <c:w val="0.93498522683553464"/>
          <c:h val="0.87778015890885164"/>
        </c:manualLayout>
      </c:layout>
      <c:scatterChart>
        <c:scatterStyle val="lineMarker"/>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'Normal and t'!$BF$37:$BF$47</c:f>
              <c:numCache>
                <c:formatCode>General</c:formatCode>
                <c:ptCount val="11"/>
                <c:pt idx="0">
                  <c:v>8.1905564921948463E-5</c:v>
                </c:pt>
                <c:pt idx="1">
                  <c:v>8.3023756735982438E-5</c:v>
                </c:pt>
                <c:pt idx="2">
                  <c:v>8.4158369720694438E-5</c:v>
                </c:pt>
                <c:pt idx="3">
                  <c:v>8.5309660732083784E-5</c:v>
                </c:pt>
                <c:pt idx="4">
                  <c:v>8.6477890866935972E-5</c:v>
                </c:pt>
                <c:pt idx="5">
                  <c:v>8.766332553608621E-5</c:v>
                </c:pt>
                <c:pt idx="6">
                  <c:v>8.8866234538998546E-5</c:v>
                </c:pt>
                <c:pt idx="7">
                  <c:v>9.0086892139678719E-5</c:v>
                </c:pt>
                <c:pt idx="8">
                  <c:v>9.1325577143951348E-5</c:v>
                </c:pt>
                <c:pt idx="9">
                  <c:v>9.2582572978121549E-5</c:v>
                </c:pt>
                <c:pt idx="10">
                  <c:v>9.3858167769050031E-5</c:v>
                </c:pt>
              </c:numCache>
            </c:numRef>
          </c:xVal>
          <c:yVal>
            <c:numRef>
              <c:f>'Normal and t'!$BG$37:$BG$47</c:f>
              <c:numCache>
                <c:formatCode>General</c:formatCode>
                <c:ptCount val="11"/>
                <c:pt idx="0">
                  <c:v>8.1907785085888092E-5</c:v>
                </c:pt>
                <c:pt idx="1">
                  <c:v>8.3026009488703891E-5</c:v>
                </c:pt>
                <c:pt idx="2">
                  <c:v>8.4160655571725534E-5</c:v>
                </c:pt>
                <c:pt idx="3">
                  <c:v>8.5311980199361399E-5</c:v>
                </c:pt>
                <c:pt idx="4">
                  <c:v>8.6480244476951838E-5</c:v>
                </c:pt>
                <c:pt idx="5">
                  <c:v>8.766571382403426E-5</c:v>
                </c:pt>
                <c:pt idx="6">
                  <c:v>8.8868658048925711E-5</c:v>
                </c:pt>
                <c:pt idx="7">
                  <c:v>9.0089351424638004E-5</c:v>
                </c:pt>
                <c:pt idx="8">
                  <c:v>9.1328072766157443E-5</c:v>
                </c:pt>
                <c:pt idx="9">
                  <c:v>9.2585105509110274E-5</c:v>
                </c:pt>
                <c:pt idx="10">
                  <c:v>9.3860737789839123E-5</c:v>
                </c:pt>
              </c:numCache>
            </c:numRef>
          </c:yVal>
        </c:ser>
        <c:ser>
          <c:idx val="2"/>
          <c:order val="1"/>
          <c:spPr>
            <a:ln w="28575">
              <a:noFill/>
            </a:ln>
          </c:spPr>
          <c:marker>
            <c:symbol val="circle"/>
            <c:size val="6"/>
            <c:spPr>
              <a:noFill/>
              <a:ln>
                <a:solidFill>
                  <a:srgbClr val="0000FF"/>
                </a:solidFill>
                <a:prstDash val="solid"/>
              </a:ln>
            </c:spPr>
          </c:marker>
          <c:xVal>
            <c:strRef>
              <c:f>'Normal and t'!$BK$10:$BK$108</c:f>
              <c:strCache>
                <c:ptCount val="99"/>
                <c:pt idx="0">
                  <c:v>#N/A</c:v>
                </c:pt>
                <c:pt idx="1">
                  <c:v>#N/A</c:v>
                </c:pt>
                <c:pt idx="4">
                  <c:v>z 2 tail</c:v>
                </c:pt>
                <c:pt idx="5">
                  <c:v>1.959963985</c:v>
                </c:pt>
                <c:pt idx="6">
                  <c:v>cutoff</c:v>
                </c:pt>
                <c:pt idx="7">
                  <c:v>0.004</c:v>
                </c:pt>
                <c:pt idx="8">
                  <c:v>1.964</c:v>
                </c:pt>
                <c:pt idx="9">
                  <c:v>1.964</c:v>
                </c:pt>
                <c:pt idx="10">
                  <c:v>t tail(s)</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strCache>
            </c:strRef>
          </c:xVal>
          <c:yVal>
            <c:numRef>
              <c:f>'Normal and t'!$BL$10:$BL$108</c:f>
              <c:numCache>
                <c:formatCode>General</c:formatCode>
                <c:ptCount val="99"/>
                <c:pt idx="0">
                  <c:v>0.40799999999999997</c:v>
                </c:pt>
                <c:pt idx="1">
                  <c:v>0.40799999999999997</c:v>
                </c:pt>
                <c:pt idx="4">
                  <c:v>0</c:v>
                </c:pt>
                <c:pt idx="5">
                  <c:v>1.8124611021972235</c:v>
                </c:pt>
                <c:pt idx="8">
                  <c:v>0</c:v>
                </c:pt>
                <c:pt idx="9">
                  <c:v>1E-3</c:v>
                </c:pt>
                <c:pt idx="10">
                  <c:v>0</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numCache>
            </c:numRef>
          </c:yVal>
        </c:ser>
        <c:ser>
          <c:idx val="0"/>
          <c:order val="2"/>
          <c:spPr>
            <a:ln w="28575">
              <a:noFill/>
            </a:ln>
          </c:spPr>
          <c:marker>
            <c:symbol val="circle"/>
            <c:size val="6"/>
            <c:spPr>
              <a:solidFill>
                <a:srgbClr val="00FF00"/>
              </a:solidFill>
              <a:ln>
                <a:solidFill>
                  <a:srgbClr val="000000"/>
                </a:solidFill>
                <a:prstDash val="solid"/>
              </a:ln>
            </c:spPr>
          </c:marker>
          <c:xVal>
            <c:numRef>
              <c:f>'Normal and t'!$BG$83:$BG$382</c:f>
              <c:numCache>
                <c:formatCode>General</c:formatCode>
                <c:ptCount val="300"/>
                <c:pt idx="0">
                  <c:v>1.5504795356164567E-4</c:v>
                </c:pt>
                <c:pt idx="1">
                  <c:v>1.5726581570233567E-4</c:v>
                </c:pt>
                <c:pt idx="2">
                  <c:v>1.5951766890990527E-4</c:v>
                </c:pt>
                <c:pt idx="3">
                  <c:v>1.6180406553990712E-4</c:v>
                </c:pt>
                <c:pt idx="4">
                  <c:v>1.6412556737133139E-4</c:v>
                </c:pt>
                <c:pt idx="5">
                  <c:v>1.6648274577372351E-4</c:v>
                </c:pt>
                <c:pt idx="6">
                  <c:v>1.6887618187735195E-4</c:v>
                </c:pt>
                <c:pt idx="7">
                  <c:v>1.7130646674647754E-4</c:v>
                </c:pt>
                <c:pt idx="8">
                  <c:v>1.7377420155578662E-4</c:v>
                </c:pt>
                <c:pt idx="9">
                  <c:v>1.7627999777004256E-4</c:v>
                </c:pt>
                <c:pt idx="10">
                  <c:v>1.7882447732701822E-4</c:v>
                </c:pt>
                <c:pt idx="11">
                  <c:v>1.8140827282376909E-4</c:v>
                </c:pt>
                <c:pt idx="12">
                  <c:v>1.8403202770630732E-4</c:v>
                </c:pt>
                <c:pt idx="13">
                  <c:v>1.8669639646274244E-4</c:v>
                </c:pt>
                <c:pt idx="14">
                  <c:v>1.8940204481995084E-4</c:v>
                </c:pt>
                <c:pt idx="15">
                  <c:v>1.9214964994383979E-4</c:v>
                </c:pt>
                <c:pt idx="16">
                  <c:v>1.9493990064327408E-4</c:v>
                </c:pt>
                <c:pt idx="17">
                  <c:v>1.9777349757772871E-4</c:v>
                </c:pt>
                <c:pt idx="18">
                  <c:v>2.0065115346874172E-4</c:v>
                </c:pt>
                <c:pt idx="19">
                  <c:v>2.0357359331523594E-4</c:v>
                </c:pt>
                <c:pt idx="20">
                  <c:v>2.065415546127772E-4</c:v>
                </c:pt>
                <c:pt idx="21">
                  <c:v>2.0955578757684678E-4</c:v>
                </c:pt>
                <c:pt idx="22">
                  <c:v>2.1261705537020258E-4</c:v>
                </c:pt>
                <c:pt idx="23">
                  <c:v>2.157261343343992E-4</c:v>
                </c:pt>
                <c:pt idx="24">
                  <c:v>2.1888381422554645E-4</c:v>
                </c:pt>
                <c:pt idx="25">
                  <c:v>2.22090898454391E-4</c:v>
                </c:pt>
                <c:pt idx="26">
                  <c:v>2.2534820433078745E-4</c:v>
                </c:pt>
                <c:pt idx="27">
                  <c:v>2.2865656331265291E-4</c:v>
                </c:pt>
                <c:pt idx="28">
                  <c:v>2.3201682125948108E-4</c:v>
                </c:pt>
                <c:pt idx="29">
                  <c:v>2.3542983869050062E-4</c:v>
                </c:pt>
                <c:pt idx="30">
                  <c:v>2.3889649104756676E-4</c:v>
                </c:pt>
                <c:pt idx="31">
                  <c:v>2.4241766896286626E-4</c:v>
                </c:pt>
                <c:pt idx="32">
                  <c:v>2.4599427853153435E-4</c:v>
                </c:pt>
                <c:pt idx="33">
                  <c:v>2.496272415892667E-4</c:v>
                </c:pt>
                <c:pt idx="34">
                  <c:v>2.5331749599502069E-4</c:v>
                </c:pt>
                <c:pt idx="35">
                  <c:v>2.5706599591889966E-4</c:v>
                </c:pt>
                <c:pt idx="36">
                  <c:v>2.6087371213531828E-4</c:v>
                </c:pt>
                <c:pt idx="37">
                  <c:v>2.647416323215375E-4</c:v>
                </c:pt>
                <c:pt idx="38">
                  <c:v>2.6867076136168424E-4</c:v>
                </c:pt>
                <c:pt idx="39">
                  <c:v>2.7266212165633655E-4</c:v>
                </c:pt>
                <c:pt idx="40">
                  <c:v>2.7671675343779293E-4</c:v>
                </c:pt>
                <c:pt idx="41">
                  <c:v>2.8083571509112092E-4</c:v>
                </c:pt>
                <c:pt idx="42">
                  <c:v>2.8502008348109571E-4</c:v>
                </c:pt>
                <c:pt idx="43">
                  <c:v>2.8927095428513637E-4</c:v>
                </c:pt>
                <c:pt idx="44">
                  <c:v>2.935894423323452E-4</c:v>
                </c:pt>
                <c:pt idx="45">
                  <c:v>2.9797668194877E-4</c:v>
                </c:pt>
                <c:pt idx="46">
                  <c:v>3.0243382730899693E-4</c:v>
                </c:pt>
                <c:pt idx="47">
                  <c:v>3.0696205279419385E-4</c:v>
                </c:pt>
                <c:pt idx="48">
                  <c:v>3.115625533567185E-4</c:v>
                </c:pt>
                <c:pt idx="49">
                  <c:v>3.1623654489141569E-4</c:v>
                </c:pt>
                <c:pt idx="50">
                  <c:v>3.2098526461372436E-4</c:v>
                </c:pt>
                <c:pt idx="51">
                  <c:v>3.2580997144471865E-4</c:v>
                </c:pt>
                <c:pt idx="52">
                  <c:v>3.3071194640320914E-4</c:v>
                </c:pt>
                <c:pt idx="53">
                  <c:v>3.3569249300503562E-4</c:v>
                </c:pt>
                <c:pt idx="54">
                  <c:v>3.4075293766967963E-4</c:v>
                </c:pt>
                <c:pt idx="55">
                  <c:v>3.4589463013433601E-4</c:v>
                </c:pt>
                <c:pt idx="56">
                  <c:v>3.5111894387556683E-4</c:v>
                </c:pt>
                <c:pt idx="57">
                  <c:v>3.5642727653869595E-4</c:v>
                </c:pt>
                <c:pt idx="58">
                  <c:v>3.6182105037506427E-4</c:v>
                </c:pt>
                <c:pt idx="59">
                  <c:v>3.6730171268730191E-4</c:v>
                </c:pt>
                <c:pt idx="60">
                  <c:v>3.7287073628276097E-4</c:v>
                </c:pt>
                <c:pt idx="61">
                  <c:v>3.7852961993525434E-4</c:v>
                </c:pt>
                <c:pt idx="62">
                  <c:v>3.8427988885524858E-4</c:v>
                </c:pt>
                <c:pt idx="63">
                  <c:v>3.9012309516867527E-4</c:v>
                </c:pt>
                <c:pt idx="64">
                  <c:v>3.9606081840450969E-4</c:v>
                </c:pt>
                <c:pt idx="65">
                  <c:v>4.0209466599126992E-4</c:v>
                </c:pt>
                <c:pt idx="66">
                  <c:v>4.0822627376260691E-4</c:v>
                </c:pt>
                <c:pt idx="67">
                  <c:v>4.1445730647215356E-4</c:v>
                </c:pt>
                <c:pt idx="68">
                  <c:v>4.2078945831778691E-4</c:v>
                </c:pt>
                <c:pt idx="69">
                  <c:v>4.2722445347547871E-4</c:v>
                </c:pt>
                <c:pt idx="70">
                  <c:v>4.3376404664291837E-4</c:v>
                </c:pt>
                <c:pt idx="71">
                  <c:v>4.4041002359306762E-4</c:v>
                </c:pt>
                <c:pt idx="72">
                  <c:v>4.4716420173783217E-4</c:v>
                </c:pt>
                <c:pt idx="73">
                  <c:v>4.5402843070204162E-4</c:v>
                </c:pt>
                <c:pt idx="74">
                  <c:v>4.6100459290790527E-4</c:v>
                </c:pt>
                <c:pt idx="75">
                  <c:v>4.6809460417014768E-4</c:v>
                </c:pt>
                <c:pt idx="76">
                  <c:v>4.7530041430200948E-4</c:v>
                </c:pt>
                <c:pt idx="77">
                  <c:v>4.8262400773230109E-4</c:v>
                </c:pt>
                <c:pt idx="78">
                  <c:v>4.9006740413372351E-4</c:v>
                </c:pt>
                <c:pt idx="79">
                  <c:v>4.9763265906264443E-4</c:v>
                </c:pt>
                <c:pt idx="80">
                  <c:v>5.0532186461053181E-4</c:v>
                </c:pt>
                <c:pt idx="81">
                  <c:v>5.1313715006727056E-4</c:v>
                </c:pt>
                <c:pt idx="82">
                  <c:v>5.210806825965543E-4</c:v>
                </c:pt>
                <c:pt idx="83">
                  <c:v>5.2915466792358026E-4</c:v>
                </c:pt>
                <c:pt idx="84">
                  <c:v>5.3736135103525325E-4</c:v>
                </c:pt>
                <c:pt idx="85">
                  <c:v>5.4570301689314522E-4</c:v>
                </c:pt>
                <c:pt idx="86">
                  <c:v>5.5418199115939929E-4</c:v>
                </c:pt>
                <c:pt idx="87">
                  <c:v>5.6280064093584587E-4</c:v>
                </c:pt>
                <c:pt idx="88">
                  <c:v>5.7156137551653773E-4</c:v>
                </c:pt>
                <c:pt idx="89">
                  <c:v>5.8046664715395485E-4</c:v>
                </c:pt>
                <c:pt idx="90">
                  <c:v>5.8951895183911016E-4</c:v>
                </c:pt>
                <c:pt idx="91">
                  <c:v>5.9872083009581529E-4</c:v>
                </c:pt>
                <c:pt idx="92">
                  <c:v>6.0807486778933638E-4</c:v>
                </c:pt>
                <c:pt idx="93">
                  <c:v>6.175836969497155E-4</c:v>
                </c:pt>
                <c:pt idx="94">
                  <c:v>6.2724999660998797E-4</c:v>
                </c:pt>
                <c:pt idx="95">
                  <c:v>6.3707649365958238E-4</c:v>
                </c:pt>
                <c:pt idx="96">
                  <c:v>6.4706596371315382E-4</c:v>
                </c:pt>
                <c:pt idx="97">
                  <c:v>6.5722123199511858E-4</c:v>
                </c:pt>
                <c:pt idx="98">
                  <c:v>6.6754517424017358E-4</c:v>
                </c:pt>
                <c:pt idx="99">
                  <c:v>6.7804071761007464E-4</c:v>
                </c:pt>
                <c:pt idx="100">
                  <c:v>6.8871084162694959E-4</c:v>
                </c:pt>
                <c:pt idx="101">
                  <c:v>6.9955857912344102E-4</c:v>
                </c:pt>
                <c:pt idx="102">
                  <c:v>7.1058701720996278E-4</c:v>
                </c:pt>
                <c:pt idx="103">
                  <c:v>7.2179929825938569E-4</c:v>
                </c:pt>
                <c:pt idx="104">
                  <c:v>7.3319862090941189E-4</c:v>
                </c:pt>
                <c:pt idx="105">
                  <c:v>7.4478824108299376E-4</c:v>
                </c:pt>
                <c:pt idx="106">
                  <c:v>7.5657147302706147E-4</c:v>
                </c:pt>
                <c:pt idx="107">
                  <c:v>7.6855169036990547E-4</c:v>
                </c:pt>
                <c:pt idx="108">
                  <c:v>7.8073232719751975E-4</c:v>
                </c:pt>
                <c:pt idx="109">
                  <c:v>7.9311687914922105E-4</c:v>
                </c:pt>
                <c:pt idx="110">
                  <c:v>8.0570890453290011E-4</c:v>
                </c:pt>
                <c:pt idx="111">
                  <c:v>8.1851202546019621E-4</c:v>
                </c:pt>
                <c:pt idx="112">
                  <c:v>8.315299290019895E-4</c:v>
                </c:pt>
                <c:pt idx="113">
                  <c:v>8.4476636836448903E-4</c:v>
                </c:pt>
                <c:pt idx="114">
                  <c:v>8.5822516408633198E-4</c:v>
                </c:pt>
                <c:pt idx="115">
                  <c:v>8.7191020525698767E-4</c:v>
                </c:pt>
                <c:pt idx="116">
                  <c:v>8.8582545075687206E-4</c:v>
                </c:pt>
                <c:pt idx="117">
                  <c:v>8.9997493051950704E-4</c:v>
                </c:pt>
                <c:pt idx="118">
                  <c:v>9.1436274681611085E-4</c:v>
                </c:pt>
                <c:pt idx="119">
                  <c:v>9.2899307556296835E-4</c:v>
                </c:pt>
                <c:pt idx="120">
                  <c:v>9.4387016765201215E-4</c:v>
                </c:pt>
                <c:pt idx="121">
                  <c:v>9.5899835030493672E-4</c:v>
                </c:pt>
                <c:pt idx="122">
                  <c:v>9.7438202845127734E-4</c:v>
                </c:pt>
                <c:pt idx="123">
                  <c:v>9.9002568613084166E-4</c:v>
                </c:pt>
                <c:pt idx="124">
                  <c:v>1.0059338879208862E-3</c:v>
                </c:pt>
                <c:pt idx="125">
                  <c:v>1.0221112803884508E-3</c:v>
                </c:pt>
                <c:pt idx="126">
                  <c:v>1.0385625935682634E-3</c:v>
                </c:pt>
                <c:pt idx="127">
                  <c:v>1.0552926424666326E-3</c:v>
                </c:pt>
                <c:pt idx="128">
                  <c:v>1.0723063285917442E-3</c:v>
                </c:pt>
                <c:pt idx="129">
                  <c:v>1.0896086415108064E-3</c:v>
                </c:pt>
                <c:pt idx="130">
                  <c:v>1.1072046604344618E-3</c:v>
                </c:pt>
                <c:pt idx="131">
                  <c:v>1.1250995558289103E-3</c:v>
                </c:pt>
                <c:pt idx="132">
                  <c:v>1.143298591056198E-3</c:v>
                </c:pt>
                <c:pt idx="133">
                  <c:v>1.1618071240431138E-3</c:v>
                </c:pt>
                <c:pt idx="134">
                  <c:v>1.180630608979156E-3</c:v>
                </c:pt>
                <c:pt idx="135">
                  <c:v>1.1997745980440156E-3</c:v>
                </c:pt>
                <c:pt idx="136">
                  <c:v>1.2192447431650854E-3</c:v>
                </c:pt>
                <c:pt idx="137">
                  <c:v>1.2390467978054165E-3</c:v>
                </c:pt>
                <c:pt idx="138">
                  <c:v>1.2591866187826361E-3</c:v>
                </c:pt>
                <c:pt idx="139">
                  <c:v>1.2796701681193131E-3</c:v>
                </c:pt>
                <c:pt idx="140">
                  <c:v>1.300503514925243E-3</c:v>
                </c:pt>
                <c:pt idx="141">
                  <c:v>1.3216928373121629E-3</c:v>
                </c:pt>
                <c:pt idx="142">
                  <c:v>1.3432444291704632E-3</c:v>
                </c:pt>
                <c:pt idx="143">
                  <c:v>1.3651646830818132E-3</c:v>
                </c:pt>
                <c:pt idx="144">
                  <c:v>1.3874601205782987E-3</c:v>
                </c:pt>
                <c:pt idx="145">
                  <c:v>1.4101373755935798E-3</c:v>
                </c:pt>
                <c:pt idx="146">
                  <c:v>1.4332032011410702E-3</c:v>
                </c:pt>
                <c:pt idx="147">
                  <c:v>1.4566644714340213E-3</c:v>
                </c:pt>
                <c:pt idx="148">
                  <c:v>1.4805281840415893E-3</c:v>
                </c:pt>
                <c:pt idx="149">
                  <c:v>1.5048014620815794E-3</c:v>
                </c:pt>
                <c:pt idx="150">
                  <c:v>1.5294915564503194E-3</c:v>
                </c:pt>
                <c:pt idx="151">
                  <c:v>1.5546058480902303E-3</c:v>
                </c:pt>
                <c:pt idx="152">
                  <c:v>1.580151850295691E-3</c:v>
                </c:pt>
                <c:pt idx="153">
                  <c:v>1.6061372110577287E-3</c:v>
                </c:pt>
                <c:pt idx="154">
                  <c:v>1.6325697154480994E-3</c:v>
                </c:pt>
                <c:pt idx="155">
                  <c:v>1.6594572880433687E-3</c:v>
                </c:pt>
                <c:pt idx="156">
                  <c:v>1.6868079953895232E-3</c:v>
                </c:pt>
                <c:pt idx="157">
                  <c:v>1.7146300485077603E-3</c:v>
                </c:pt>
                <c:pt idx="158">
                  <c:v>1.7429318054419621E-3</c:v>
                </c:pt>
                <c:pt idx="159">
                  <c:v>1.7717217738485451E-3</c:v>
                </c:pt>
                <c:pt idx="160">
                  <c:v>1.8010086136292045E-3</c:v>
                </c:pt>
                <c:pt idx="161">
                  <c:v>1.8308011396072107E-3</c:v>
                </c:pt>
                <c:pt idx="162">
                  <c:v>1.8611083242478267E-3</c:v>
                </c:pt>
                <c:pt idx="163">
                  <c:v>1.8919393004234915E-3</c:v>
                </c:pt>
                <c:pt idx="164">
                  <c:v>1.9233033642243845E-3</c:v>
                </c:pt>
                <c:pt idx="165">
                  <c:v>1.9552099778149547E-3</c:v>
                </c:pt>
                <c:pt idx="166">
                  <c:v>1.9876687723371085E-3</c:v>
                </c:pt>
                <c:pt idx="167">
                  <c:v>2.020689550860618E-3</c:v>
                </c:pt>
                <c:pt idx="168">
                  <c:v>2.0542822913814187E-3</c:v>
                </c:pt>
                <c:pt idx="169">
                  <c:v>2.0884571498684442E-3</c:v>
                </c:pt>
                <c:pt idx="170">
                  <c:v>2.1232244633595985E-3</c:v>
                </c:pt>
                <c:pt idx="171">
                  <c:v>2.1585947531075635E-3</c:v>
                </c:pt>
                <c:pt idx="172">
                  <c:v>2.1945787277760386E-3</c:v>
                </c:pt>
                <c:pt idx="173">
                  <c:v>2.2311872866870794E-3</c:v>
                </c:pt>
                <c:pt idx="174">
                  <c:v>2.2684315231202138E-3</c:v>
                </c:pt>
                <c:pt idx="175">
                  <c:v>2.3063227276639573E-3</c:v>
                </c:pt>
                <c:pt idx="176">
                  <c:v>2.3448723916203703E-3</c:v>
                </c:pt>
                <c:pt idx="177">
                  <c:v>2.3840922104634084E-3</c:v>
                </c:pt>
                <c:pt idx="178">
                  <c:v>2.4239940873515588E-3</c:v>
                </c:pt>
                <c:pt idx="179">
                  <c:v>2.4645901366956279E-3</c:v>
                </c:pt>
                <c:pt idx="180">
                  <c:v>2.5058926877821546E-3</c:v>
                </c:pt>
                <c:pt idx="181">
                  <c:v>2.5479142884532549E-3</c:v>
                </c:pt>
                <c:pt idx="182">
                  <c:v>2.5906677088434566E-3</c:v>
                </c:pt>
                <c:pt idx="183">
                  <c:v>2.6341659451742873E-3</c:v>
                </c:pt>
                <c:pt idx="184">
                  <c:v>2.6784222236071464E-3</c:v>
                </c:pt>
                <c:pt idx="185">
                  <c:v>2.7234500041552943E-3</c:v>
                </c:pt>
                <c:pt idx="186">
                  <c:v>2.7692629846554594E-3</c:v>
                </c:pt>
                <c:pt idx="187">
                  <c:v>2.8158751047998093E-3</c:v>
                </c:pt>
                <c:pt idx="188">
                  <c:v>2.8633005502289441E-3</c:v>
                </c:pt>
                <c:pt idx="189">
                  <c:v>2.9115537566865306E-3</c:v>
                </c:pt>
                <c:pt idx="190">
                  <c:v>2.9606494142362569E-3</c:v>
                </c:pt>
                <c:pt idx="191">
                  <c:v>3.0106024715417443E-3</c:v>
                </c:pt>
                <c:pt idx="192">
                  <c:v>3.0614281402100646E-3</c:v>
                </c:pt>
                <c:pt idx="193">
                  <c:v>3.1131418991995228E-3</c:v>
                </c:pt>
                <c:pt idx="194">
                  <c:v>3.1657594992923017E-3</c:v>
                </c:pt>
                <c:pt idx="195">
                  <c:v>3.2192969676326476E-3</c:v>
                </c:pt>
                <c:pt idx="196">
                  <c:v>3.2737706123311962E-3</c:v>
                </c:pt>
                <c:pt idx="197">
                  <c:v>3.3291970271360403E-3</c:v>
                </c:pt>
                <c:pt idx="198">
                  <c:v>3.385593096171177E-3</c:v>
                </c:pt>
                <c:pt idx="199">
                  <c:v>3.4429759987429829E-3</c:v>
                </c:pt>
                <c:pt idx="200">
                  <c:v>3.5013632142151911E-3</c:v>
                </c:pt>
                <c:pt idx="201">
                  <c:v>3.5607725269530916E-3</c:v>
                </c:pt>
                <c:pt idx="202">
                  <c:v>3.6212220313374169E-3</c:v>
                </c:pt>
                <c:pt idx="203">
                  <c:v>3.6827301368486083E-3</c:v>
                </c:pt>
                <c:pt idx="204">
                  <c:v>3.7453155732218683E-3</c:v>
                </c:pt>
                <c:pt idx="205">
                  <c:v>3.8089973956736784E-3</c:v>
                </c:pt>
                <c:pt idx="206">
                  <c:v>3.8737949902002216E-3</c:v>
                </c:pt>
                <c:pt idx="207">
                  <c:v>3.9397280789482897E-3</c:v>
                </c:pt>
                <c:pt idx="208">
                  <c:v>4.0068167256591316E-3</c:v>
                </c:pt>
                <c:pt idx="209">
                  <c:v>4.0750813411857588E-3</c:v>
                </c:pt>
                <c:pt idx="210">
                  <c:v>4.1445426890841745E-3</c:v>
                </c:pt>
                <c:pt idx="211">
                  <c:v>4.2152218912789845E-3</c:v>
                </c:pt>
                <c:pt idx="212">
                  <c:v>4.2871404338038132E-3</c:v>
                </c:pt>
                <c:pt idx="213">
                  <c:v>4.3603201726169476E-3</c:v>
                </c:pt>
                <c:pt idx="214">
                  <c:v>4.4347833394926487E-3</c:v>
                </c:pt>
                <c:pt idx="215">
                  <c:v>4.5105525479884386E-3</c:v>
                </c:pt>
                <c:pt idx="216">
                  <c:v>4.5876507994887482E-3</c:v>
                </c:pt>
                <c:pt idx="217">
                  <c:v>4.6661014893253005E-3</c:v>
                </c:pt>
                <c:pt idx="218">
                  <c:v>4.7459284129744619E-3</c:v>
                </c:pt>
                <c:pt idx="219">
                  <c:v>4.8271557723319211E-3</c:v>
                </c:pt>
                <c:pt idx="220">
                  <c:v>4.9098081820648535E-3</c:v>
                </c:pt>
                <c:pt idx="221">
                  <c:v>4.9939106760419141E-3</c:v>
                </c:pt>
                <c:pt idx="222">
                  <c:v>5.0794887138411893E-3</c:v>
                </c:pt>
                <c:pt idx="223">
                  <c:v>5.1665681873362774E-3</c:v>
                </c:pt>
                <c:pt idx="224">
                  <c:v>5.2551754273606468E-3</c:v>
                </c:pt>
                <c:pt idx="225">
                  <c:v>5.3453372104503996E-3</c:v>
                </c:pt>
                <c:pt idx="226">
                  <c:v>5.4370807656654325E-3</c:v>
                </c:pt>
                <c:pt idx="227">
                  <c:v>5.5304337814891576E-3</c:v>
                </c:pt>
                <c:pt idx="228">
                  <c:v>5.6254244128066426E-3</c:v>
                </c:pt>
                <c:pt idx="229">
                  <c:v>5.7220812879612342E-3</c:v>
                </c:pt>
                <c:pt idx="230">
                  <c:v>5.8204335158894283E-3</c:v>
                </c:pt>
                <c:pt idx="231">
                  <c:v>5.9205106933341804E-3</c:v>
                </c:pt>
                <c:pt idx="232">
                  <c:v>6.022342912136042E-3</c:v>
                </c:pt>
                <c:pt idx="233">
                  <c:v>6.1259607666022953E-3</c:v>
                </c:pt>
                <c:pt idx="234">
                  <c:v>6.2313953609536123E-3</c:v>
                </c:pt>
                <c:pt idx="235">
                  <c:v>6.3386783168479788E-3</c:v>
                </c:pt>
                <c:pt idx="236">
                  <c:v>6.4478417809816033E-3</c:v>
                </c:pt>
                <c:pt idx="237">
                  <c:v>6.5589184327662069E-3</c:v>
                </c:pt>
                <c:pt idx="238">
                  <c:v>6.6719414920824822E-3</c:v>
                </c:pt>
                <c:pt idx="239">
                  <c:v>6.7869447271089274E-3</c:v>
                </c:pt>
                <c:pt idx="240">
                  <c:v>6.9039624622257477E-3</c:v>
                </c:pt>
                <c:pt idx="241">
                  <c:v>7.0230295859929071E-3</c:v>
                </c:pt>
                <c:pt idx="242">
                  <c:v>7.144181559201877E-3</c:v>
                </c:pt>
                <c:pt idx="243">
                  <c:v>7.2674544230001458E-3</c:v>
                </c:pt>
                <c:pt idx="244">
                  <c:v>7.3928848070877462E-3</c:v>
                </c:pt>
                <c:pt idx="245">
                  <c:v>7.5205099379847982E-3</c:v>
                </c:pt>
                <c:pt idx="246">
                  <c:v>7.6503676473692814E-3</c:v>
                </c:pt>
                <c:pt idx="247">
                  <c:v>7.7824963804837277E-3</c:v>
                </c:pt>
                <c:pt idx="248">
                  <c:v>7.9169352046100719E-3</c:v>
                </c:pt>
                <c:pt idx="249">
                  <c:v>8.0537238176109846E-3</c:v>
                </c:pt>
                <c:pt idx="250">
                  <c:v>8.192902556536966E-3</c:v>
                </c:pt>
                <c:pt idx="251">
                  <c:v>8.3345124062972932E-3</c:v>
                </c:pt>
                <c:pt idx="252">
                  <c:v>8.478595008393916E-3</c:v>
                </c:pt>
                <c:pt idx="253">
                  <c:v>8.6251926697162688E-3</c:v>
                </c:pt>
                <c:pt idx="254">
                  <c:v>8.7743483713957696E-3</c:v>
                </c:pt>
                <c:pt idx="255">
                  <c:v>8.9261057777180949E-3</c:v>
                </c:pt>
                <c:pt idx="256">
                  <c:v>9.080509245091458E-3</c:v>
                </c:pt>
                <c:pt idx="257">
                  <c:v>9.2376038310690526E-3</c:v>
                </c:pt>
                <c:pt idx="258">
                  <c:v>9.3974353034236794E-3</c:v>
                </c:pt>
                <c:pt idx="259">
                  <c:v>9.5600501492721385E-3</c:v>
                </c:pt>
                <c:pt idx="260">
                  <c:v>9.7254956932660858E-3</c:v>
                </c:pt>
                <c:pt idx="261">
                  <c:v>9.8938196785376097E-3</c:v>
                </c:pt>
                <c:pt idx="262">
                  <c:v>1.0065070907238124E-2</c:v>
                </c:pt>
                <c:pt idx="263">
                  <c:v>1.0239298836070583E-2</c:v>
                </c:pt>
                <c:pt idx="264">
                  <c:v>1.0416553687377648E-2</c:v>
                </c:pt>
                <c:pt idx="265">
                  <c:v>1.0596886458516626E-2</c:v>
                </c:pt>
                <c:pt idx="266">
                  <c:v>1.0780348931266451E-2</c:v>
                </c:pt>
                <c:pt idx="267">
                  <c:v>1.0966993681264265E-2</c:v>
                </c:pt>
                <c:pt idx="268">
                  <c:v>1.1156874087467669E-2</c:v>
                </c:pt>
                <c:pt idx="269">
                  <c:v>1.1350044341640244E-2</c:v>
                </c:pt>
                <c:pt idx="270">
                  <c:v>1.1546559457856254E-2</c:v>
                </c:pt>
                <c:pt idx="271">
                  <c:v>1.1746475282021334E-2</c:v>
                </c:pt>
                <c:pt idx="272">
                  <c:v>1.1949848501405468E-2</c:v>
                </c:pt>
                <c:pt idx="273">
                  <c:v>1.2156736654184267E-2</c:v>
                </c:pt>
                <c:pt idx="274">
                  <c:v>1.2367198138984794E-2</c:v>
                </c:pt>
                <c:pt idx="275">
                  <c:v>1.2581292224431833E-2</c:v>
                </c:pt>
                <c:pt idx="276">
                  <c:v>1.2799079058689915E-2</c:v>
                </c:pt>
                <c:pt idx="277">
                  <c:v>1.3020619678997425E-2</c:v>
                </c:pt>
                <c:pt idx="278">
                  <c:v>1.3245976021187666E-2</c:v>
                </c:pt>
                <c:pt idx="279">
                  <c:v>1.3475210929192216E-2</c:v>
                </c:pt>
                <c:pt idx="280">
                  <c:v>1.3708388164521901E-2</c:v>
                </c:pt>
                <c:pt idx="281">
                  <c:v>1.3945572415720309E-2</c:v>
                </c:pt>
                <c:pt idx="282">
                  <c:v>1.4186829307784254E-2</c:v>
                </c:pt>
                <c:pt idx="283">
                  <c:v>1.4432225411546479E-2</c:v>
                </c:pt>
                <c:pt idx="284">
                  <c:v>1.4681828253014274E-2</c:v>
                </c:pt>
                <c:pt idx="285">
                  <c:v>1.4935706322658907E-2</c:v>
                </c:pt>
                <c:pt idx="286">
                  <c:v>1.5193929084649602E-2</c:v>
                </c:pt>
                <c:pt idx="287">
                  <c:v>1.5456566986025894E-2</c:v>
                </c:pt>
                <c:pt idx="288">
                  <c:v>1.5723691465802624E-2</c:v>
                </c:pt>
                <c:pt idx="289">
                  <c:v>1.5995374964000216E-2</c:v>
                </c:pt>
                <c:pt idx="290">
                  <c:v>1.6271690930594558E-2</c:v>
                </c:pt>
                <c:pt idx="291">
                  <c:v>1.6552713834378799E-2</c:v>
                </c:pt>
                <c:pt idx="292">
                  <c:v>1.683851917173064E-2</c:v>
                </c:pt>
                <c:pt idx="293">
                  <c:v>1.7129183475277424E-2</c:v>
                </c:pt>
                <c:pt idx="294">
                  <c:v>1.7424784322451908E-2</c:v>
                </c:pt>
                <c:pt idx="295">
                  <c:v>1.7725400343930921E-2</c:v>
                </c:pt>
                <c:pt idx="296">
                  <c:v>1.803111123194906E-2</c:v>
                </c:pt>
                <c:pt idx="297">
                  <c:v>1.8341997748479465E-2</c:v>
                </c:pt>
                <c:pt idx="298">
                  <c:v>1.865814173327341E-2</c:v>
                </c:pt>
                <c:pt idx="299">
                  <c:v>1.8979626111750039E-2</c:v>
                </c:pt>
              </c:numCache>
            </c:numRef>
          </c:xVal>
          <c:yVal>
            <c:numRef>
              <c:f>'Normal and t'!$BH$112:$BH$411</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3"/>
          <c:order val="3"/>
          <c:spPr>
            <a:ln w="28575">
              <a:noFill/>
            </a:ln>
          </c:spPr>
          <c:marker>
            <c:symbol val="circle"/>
            <c:size val="6"/>
            <c:spPr>
              <a:solidFill>
                <a:srgbClr val="008000"/>
              </a:solidFill>
              <a:ln>
                <a:solidFill>
                  <a:srgbClr val="000000"/>
                </a:solidFill>
                <a:prstDash val="solid"/>
              </a:ln>
            </c:spPr>
          </c:marker>
          <c:xVal>
            <c:numRef>
              <c:f>'Normal and t'!$BG$81</c:f>
              <c:numCache>
                <c:formatCode>General</c:formatCode>
                <c:ptCount val="1"/>
                <c:pt idx="0">
                  <c:v>1.507120391940609E-4</c:v>
                </c:pt>
              </c:numCache>
            </c:numRef>
          </c:xVal>
          <c:yVal>
            <c:numRef>
              <c:f>'Normal and t'!$BH$110</c:f>
              <c:numCache>
                <c:formatCode>General</c:formatCode>
                <c:ptCount val="1"/>
                <c:pt idx="0">
                  <c:v>#N/A</c:v>
                </c:pt>
              </c:numCache>
            </c:numRef>
          </c:yVal>
        </c:ser>
        <c:ser>
          <c:idx val="5"/>
          <c:order val="4"/>
          <c:spPr>
            <a:ln w="25400">
              <a:solidFill>
                <a:srgbClr val="008000"/>
              </a:solidFill>
              <a:prstDash val="solid"/>
            </a:ln>
          </c:spPr>
          <c:marker>
            <c:symbol val="none"/>
          </c:marker>
          <c:xVal>
            <c:numRef>
              <c:f>'Normal and t'!$BA$21:$BA$221</c:f>
              <c:numCache>
                <c:formatCode>General</c:formatCode>
                <c:ptCount val="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numCache>
            </c:numRef>
          </c:xVal>
          <c:yVal>
            <c:numRef>
              <c:f>'Normal and t'!$BD$20:$BD$220</c:f>
              <c:numCache>
                <c:formatCode>General</c:formatCode>
                <c:ptCount val="201"/>
                <c:pt idx="0">
                  <c:v>0</c:v>
                </c:pt>
                <c:pt idx="1">
                  <c:v>-6.0000099999999996</c:v>
                </c:pt>
                <c:pt idx="2">
                  <c:v>-5.9900099999999998</c:v>
                </c:pt>
                <c:pt idx="3">
                  <c:v>-5.98001</c:v>
                </c:pt>
                <c:pt idx="4">
                  <c:v>-5.9700100000000003</c:v>
                </c:pt>
                <c:pt idx="5">
                  <c:v>-5.9600100000000005</c:v>
                </c:pt>
                <c:pt idx="6">
                  <c:v>-5.9500100000000007</c:v>
                </c:pt>
                <c:pt idx="7">
                  <c:v>-5.9400100000000009</c:v>
                </c:pt>
                <c:pt idx="8">
                  <c:v>-5.9300100000000011</c:v>
                </c:pt>
                <c:pt idx="9">
                  <c:v>-5.9200100000000013</c:v>
                </c:pt>
                <c:pt idx="10">
                  <c:v>-5.9100100000000015</c:v>
                </c:pt>
                <c:pt idx="11">
                  <c:v>-5.9000100000000018</c:v>
                </c:pt>
                <c:pt idx="12">
                  <c:v>-5.890010000000002</c:v>
                </c:pt>
                <c:pt idx="13">
                  <c:v>-5.8800100000000022</c:v>
                </c:pt>
                <c:pt idx="14">
                  <c:v>-5.8700100000000024</c:v>
                </c:pt>
                <c:pt idx="15">
                  <c:v>-5.8600100000000026</c:v>
                </c:pt>
                <c:pt idx="16">
                  <c:v>-5.8500100000000028</c:v>
                </c:pt>
                <c:pt idx="17">
                  <c:v>-5.840010000000003</c:v>
                </c:pt>
                <c:pt idx="18">
                  <c:v>-5.8300100000000032</c:v>
                </c:pt>
                <c:pt idx="19">
                  <c:v>-5.8200100000000035</c:v>
                </c:pt>
                <c:pt idx="20">
                  <c:v>-5.8100100000000037</c:v>
                </c:pt>
                <c:pt idx="21">
                  <c:v>-5.8000100000000039</c:v>
                </c:pt>
                <c:pt idx="22">
                  <c:v>-5.7900100000000041</c:v>
                </c:pt>
                <c:pt idx="23">
                  <c:v>-5.7800100000000043</c:v>
                </c:pt>
                <c:pt idx="24">
                  <c:v>-5.7700100000000045</c:v>
                </c:pt>
                <c:pt idx="25">
                  <c:v>-5.7600100000000047</c:v>
                </c:pt>
                <c:pt idx="26">
                  <c:v>-5.750010000000005</c:v>
                </c:pt>
                <c:pt idx="27">
                  <c:v>-5.7400100000000052</c:v>
                </c:pt>
                <c:pt idx="28">
                  <c:v>-5.7300100000000054</c:v>
                </c:pt>
                <c:pt idx="29">
                  <c:v>-5.7200100000000056</c:v>
                </c:pt>
                <c:pt idx="30">
                  <c:v>-5.7100100000000058</c:v>
                </c:pt>
                <c:pt idx="31">
                  <c:v>-5.700010000000006</c:v>
                </c:pt>
                <c:pt idx="32">
                  <c:v>-5.6900100000000062</c:v>
                </c:pt>
                <c:pt idx="33">
                  <c:v>-5.6800100000000064</c:v>
                </c:pt>
                <c:pt idx="34">
                  <c:v>-5.6700100000000067</c:v>
                </c:pt>
                <c:pt idx="35">
                  <c:v>-5.6600100000000069</c:v>
                </c:pt>
                <c:pt idx="36">
                  <c:v>-5.6500100000000071</c:v>
                </c:pt>
                <c:pt idx="37">
                  <c:v>-5.6400100000000073</c:v>
                </c:pt>
                <c:pt idx="38">
                  <c:v>-5.6300100000000075</c:v>
                </c:pt>
                <c:pt idx="39">
                  <c:v>-5.6200100000000077</c:v>
                </c:pt>
                <c:pt idx="40">
                  <c:v>-5.6100100000000079</c:v>
                </c:pt>
                <c:pt idx="41">
                  <c:v>-5.6000100000000081</c:v>
                </c:pt>
                <c:pt idx="42">
                  <c:v>-5.5900100000000084</c:v>
                </c:pt>
                <c:pt idx="43">
                  <c:v>-5.5800100000000086</c:v>
                </c:pt>
                <c:pt idx="44">
                  <c:v>-5.5700100000000088</c:v>
                </c:pt>
                <c:pt idx="45">
                  <c:v>-5.560010000000009</c:v>
                </c:pt>
                <c:pt idx="46">
                  <c:v>-5.5500100000000092</c:v>
                </c:pt>
                <c:pt idx="47">
                  <c:v>-5.5400100000000094</c:v>
                </c:pt>
                <c:pt idx="48">
                  <c:v>-5.5300100000000096</c:v>
                </c:pt>
                <c:pt idx="49">
                  <c:v>-5.5200100000000099</c:v>
                </c:pt>
                <c:pt idx="50">
                  <c:v>-5.5100100000000101</c:v>
                </c:pt>
                <c:pt idx="51">
                  <c:v>-5.5000100000000103</c:v>
                </c:pt>
                <c:pt idx="52">
                  <c:v>-5.4900100000000105</c:v>
                </c:pt>
                <c:pt idx="53">
                  <c:v>-5.4800100000000107</c:v>
                </c:pt>
                <c:pt idx="54">
                  <c:v>-5.4700100000000109</c:v>
                </c:pt>
                <c:pt idx="55">
                  <c:v>-5.4600100000000111</c:v>
                </c:pt>
                <c:pt idx="56">
                  <c:v>-5.4500100000000113</c:v>
                </c:pt>
                <c:pt idx="57">
                  <c:v>-5.4400100000000116</c:v>
                </c:pt>
                <c:pt idx="58">
                  <c:v>-5.4300100000000118</c:v>
                </c:pt>
                <c:pt idx="59">
                  <c:v>-5.420010000000012</c:v>
                </c:pt>
                <c:pt idx="60">
                  <c:v>-5.4100100000000122</c:v>
                </c:pt>
                <c:pt idx="61">
                  <c:v>-5.4000100000000124</c:v>
                </c:pt>
                <c:pt idx="62">
                  <c:v>-5.3900100000000126</c:v>
                </c:pt>
                <c:pt idx="63">
                  <c:v>-5.3800100000000128</c:v>
                </c:pt>
                <c:pt idx="64">
                  <c:v>-5.3700100000000131</c:v>
                </c:pt>
                <c:pt idx="65">
                  <c:v>-5.3600100000000133</c:v>
                </c:pt>
                <c:pt idx="66">
                  <c:v>-5.3500100000000135</c:v>
                </c:pt>
                <c:pt idx="67">
                  <c:v>-5.3400100000000137</c:v>
                </c:pt>
                <c:pt idx="68">
                  <c:v>-5.3300100000000139</c:v>
                </c:pt>
                <c:pt idx="69">
                  <c:v>-5.3200100000000141</c:v>
                </c:pt>
                <c:pt idx="70">
                  <c:v>-5.3100100000000143</c:v>
                </c:pt>
                <c:pt idx="71">
                  <c:v>-5.3000100000000145</c:v>
                </c:pt>
                <c:pt idx="72">
                  <c:v>-5.2900100000000148</c:v>
                </c:pt>
                <c:pt idx="73">
                  <c:v>-5.280010000000015</c:v>
                </c:pt>
                <c:pt idx="74">
                  <c:v>-5.2700100000000152</c:v>
                </c:pt>
                <c:pt idx="75">
                  <c:v>-5.2600100000000154</c:v>
                </c:pt>
                <c:pt idx="76">
                  <c:v>-5.2500100000000156</c:v>
                </c:pt>
                <c:pt idx="77">
                  <c:v>-5.2400100000000158</c:v>
                </c:pt>
                <c:pt idx="78">
                  <c:v>-5.230010000000016</c:v>
                </c:pt>
                <c:pt idx="79">
                  <c:v>-5.2200100000000162</c:v>
                </c:pt>
                <c:pt idx="80">
                  <c:v>-5.2100100000000165</c:v>
                </c:pt>
                <c:pt idx="81">
                  <c:v>-5.2000100000000167</c:v>
                </c:pt>
                <c:pt idx="82">
                  <c:v>-5.1900100000000169</c:v>
                </c:pt>
                <c:pt idx="83">
                  <c:v>-5.1800100000000171</c:v>
                </c:pt>
                <c:pt idx="84">
                  <c:v>-5.1700100000000173</c:v>
                </c:pt>
                <c:pt idx="85">
                  <c:v>-5.1600100000000175</c:v>
                </c:pt>
                <c:pt idx="86">
                  <c:v>-5.1500100000000177</c:v>
                </c:pt>
                <c:pt idx="87">
                  <c:v>-5.140010000000018</c:v>
                </c:pt>
                <c:pt idx="88">
                  <c:v>-5.1300100000000182</c:v>
                </c:pt>
                <c:pt idx="89">
                  <c:v>-5.1200100000000184</c:v>
                </c:pt>
                <c:pt idx="90">
                  <c:v>-5.1100100000000186</c:v>
                </c:pt>
                <c:pt idx="91">
                  <c:v>-5.1000100000000188</c:v>
                </c:pt>
                <c:pt idx="92">
                  <c:v>-5.090010000000019</c:v>
                </c:pt>
                <c:pt idx="93">
                  <c:v>-5.0800100000000192</c:v>
                </c:pt>
                <c:pt idx="94">
                  <c:v>-5.0700100000000194</c:v>
                </c:pt>
                <c:pt idx="95">
                  <c:v>-5.0600100000000197</c:v>
                </c:pt>
                <c:pt idx="96">
                  <c:v>-5.0500100000000199</c:v>
                </c:pt>
                <c:pt idx="97">
                  <c:v>-5.0400100000000201</c:v>
                </c:pt>
                <c:pt idx="98">
                  <c:v>-5.0300100000000203</c:v>
                </c:pt>
                <c:pt idx="99">
                  <c:v>-5.0200100000000205</c:v>
                </c:pt>
                <c:pt idx="100">
                  <c:v>-5.0100100000000207</c:v>
                </c:pt>
                <c:pt idx="101">
                  <c:v>-5.0000100000000209</c:v>
                </c:pt>
                <c:pt idx="102">
                  <c:v>-4.9900100000000212</c:v>
                </c:pt>
                <c:pt idx="103">
                  <c:v>-4.9800100000000214</c:v>
                </c:pt>
                <c:pt idx="104">
                  <c:v>-4.9700100000000216</c:v>
                </c:pt>
                <c:pt idx="105">
                  <c:v>-4.9600100000000218</c:v>
                </c:pt>
                <c:pt idx="106">
                  <c:v>-4.950010000000022</c:v>
                </c:pt>
                <c:pt idx="107">
                  <c:v>-4.9400100000000222</c:v>
                </c:pt>
                <c:pt idx="108">
                  <c:v>-4.9300100000000224</c:v>
                </c:pt>
                <c:pt idx="109">
                  <c:v>-4.9200100000000226</c:v>
                </c:pt>
                <c:pt idx="110">
                  <c:v>-4.9100100000000229</c:v>
                </c:pt>
                <c:pt idx="111">
                  <c:v>-4.9000100000000231</c:v>
                </c:pt>
                <c:pt idx="112">
                  <c:v>-4.8900100000000233</c:v>
                </c:pt>
                <c:pt idx="113">
                  <c:v>-4.8800100000000235</c:v>
                </c:pt>
                <c:pt idx="114">
                  <c:v>-4.8700100000000237</c:v>
                </c:pt>
                <c:pt idx="115">
                  <c:v>-4.8600100000000239</c:v>
                </c:pt>
                <c:pt idx="116">
                  <c:v>-4.8500100000000241</c:v>
                </c:pt>
                <c:pt idx="117">
                  <c:v>-4.8400100000000243</c:v>
                </c:pt>
                <c:pt idx="118">
                  <c:v>-4.8300100000000246</c:v>
                </c:pt>
                <c:pt idx="119">
                  <c:v>-4.8200100000000248</c:v>
                </c:pt>
                <c:pt idx="120">
                  <c:v>-4.810010000000025</c:v>
                </c:pt>
                <c:pt idx="121">
                  <c:v>-4.8000100000000252</c:v>
                </c:pt>
                <c:pt idx="122">
                  <c:v>-4.7900100000000254</c:v>
                </c:pt>
                <c:pt idx="123">
                  <c:v>-4.7800100000000256</c:v>
                </c:pt>
                <c:pt idx="124">
                  <c:v>-4.7700100000000258</c:v>
                </c:pt>
                <c:pt idx="125">
                  <c:v>-4.7600100000000261</c:v>
                </c:pt>
                <c:pt idx="126">
                  <c:v>-4.7500100000000263</c:v>
                </c:pt>
                <c:pt idx="127">
                  <c:v>-4.7400100000000265</c:v>
                </c:pt>
                <c:pt idx="128">
                  <c:v>-4.7300100000000267</c:v>
                </c:pt>
                <c:pt idx="129">
                  <c:v>-4.7200100000000269</c:v>
                </c:pt>
                <c:pt idx="130">
                  <c:v>-4.7100100000000271</c:v>
                </c:pt>
                <c:pt idx="131">
                  <c:v>-4.7000100000000273</c:v>
                </c:pt>
                <c:pt idx="132">
                  <c:v>-4.6900100000000275</c:v>
                </c:pt>
                <c:pt idx="133">
                  <c:v>-4.6800100000000278</c:v>
                </c:pt>
                <c:pt idx="134">
                  <c:v>-4.670010000000028</c:v>
                </c:pt>
                <c:pt idx="135">
                  <c:v>-4.6600100000000282</c:v>
                </c:pt>
                <c:pt idx="136">
                  <c:v>-4.6500100000000284</c:v>
                </c:pt>
                <c:pt idx="137">
                  <c:v>-4.6400100000000286</c:v>
                </c:pt>
                <c:pt idx="138">
                  <c:v>-4.6300100000000288</c:v>
                </c:pt>
                <c:pt idx="139">
                  <c:v>-4.620010000000029</c:v>
                </c:pt>
                <c:pt idx="140">
                  <c:v>-4.6100100000000293</c:v>
                </c:pt>
                <c:pt idx="141">
                  <c:v>-4.6000100000000295</c:v>
                </c:pt>
                <c:pt idx="142">
                  <c:v>-4.5900100000000297</c:v>
                </c:pt>
                <c:pt idx="143">
                  <c:v>-4.5800100000000299</c:v>
                </c:pt>
                <c:pt idx="144">
                  <c:v>-4.5700100000000301</c:v>
                </c:pt>
                <c:pt idx="145">
                  <c:v>-4.5600100000000303</c:v>
                </c:pt>
                <c:pt idx="146">
                  <c:v>-4.5500100000000305</c:v>
                </c:pt>
                <c:pt idx="147">
                  <c:v>-4.5400100000000307</c:v>
                </c:pt>
                <c:pt idx="148">
                  <c:v>-4.530010000000031</c:v>
                </c:pt>
                <c:pt idx="149">
                  <c:v>-4.5200100000000312</c:v>
                </c:pt>
                <c:pt idx="150">
                  <c:v>-4.5100100000000314</c:v>
                </c:pt>
                <c:pt idx="151">
                  <c:v>-4.5000100000000316</c:v>
                </c:pt>
                <c:pt idx="152">
                  <c:v>-4.4900100000000318</c:v>
                </c:pt>
                <c:pt idx="153">
                  <c:v>-4.480010000000032</c:v>
                </c:pt>
                <c:pt idx="154">
                  <c:v>-4.4700100000000322</c:v>
                </c:pt>
                <c:pt idx="155">
                  <c:v>-4.4600100000000324</c:v>
                </c:pt>
                <c:pt idx="156">
                  <c:v>-4.4500100000000327</c:v>
                </c:pt>
                <c:pt idx="157">
                  <c:v>-4.4400100000000329</c:v>
                </c:pt>
                <c:pt idx="158">
                  <c:v>-4.4300100000000331</c:v>
                </c:pt>
                <c:pt idx="159">
                  <c:v>-4.4200100000000333</c:v>
                </c:pt>
                <c:pt idx="160">
                  <c:v>-4.4100100000000335</c:v>
                </c:pt>
                <c:pt idx="161">
                  <c:v>-4.4000100000000337</c:v>
                </c:pt>
                <c:pt idx="162">
                  <c:v>-4.3900100000000339</c:v>
                </c:pt>
                <c:pt idx="163">
                  <c:v>-4.3800100000000342</c:v>
                </c:pt>
                <c:pt idx="164">
                  <c:v>-4.3700100000000344</c:v>
                </c:pt>
                <c:pt idx="165">
                  <c:v>-4.3600100000000346</c:v>
                </c:pt>
                <c:pt idx="166">
                  <c:v>-4.3500100000000348</c:v>
                </c:pt>
                <c:pt idx="167">
                  <c:v>-4.340010000000035</c:v>
                </c:pt>
                <c:pt idx="168">
                  <c:v>-4.3300100000000352</c:v>
                </c:pt>
                <c:pt idx="169">
                  <c:v>-4.3200100000000354</c:v>
                </c:pt>
                <c:pt idx="170">
                  <c:v>-4.3100100000000356</c:v>
                </c:pt>
                <c:pt idx="171">
                  <c:v>-4.3000100000000359</c:v>
                </c:pt>
                <c:pt idx="172">
                  <c:v>-4.2900100000000361</c:v>
                </c:pt>
                <c:pt idx="173">
                  <c:v>-4.2800100000000363</c:v>
                </c:pt>
                <c:pt idx="174">
                  <c:v>-4.2700100000000365</c:v>
                </c:pt>
                <c:pt idx="175">
                  <c:v>-4.2600100000000367</c:v>
                </c:pt>
                <c:pt idx="176">
                  <c:v>-4.2500100000000369</c:v>
                </c:pt>
                <c:pt idx="177">
                  <c:v>-4.2400100000000371</c:v>
                </c:pt>
                <c:pt idx="178">
                  <c:v>-4.2300100000000374</c:v>
                </c:pt>
                <c:pt idx="179">
                  <c:v>-4.2200100000000376</c:v>
                </c:pt>
                <c:pt idx="180">
                  <c:v>-4.2100100000000378</c:v>
                </c:pt>
                <c:pt idx="181">
                  <c:v>-4.200010000000038</c:v>
                </c:pt>
                <c:pt idx="182">
                  <c:v>-4.1900100000000382</c:v>
                </c:pt>
                <c:pt idx="183">
                  <c:v>-4.1800100000000384</c:v>
                </c:pt>
                <c:pt idx="184">
                  <c:v>-4.1700100000000386</c:v>
                </c:pt>
                <c:pt idx="185">
                  <c:v>-4.1600100000000388</c:v>
                </c:pt>
                <c:pt idx="186">
                  <c:v>-4.1500100000000391</c:v>
                </c:pt>
                <c:pt idx="187">
                  <c:v>-4.1400100000000393</c:v>
                </c:pt>
                <c:pt idx="188">
                  <c:v>-4.1300100000000395</c:v>
                </c:pt>
                <c:pt idx="189">
                  <c:v>-4.1200100000000397</c:v>
                </c:pt>
                <c:pt idx="190">
                  <c:v>-4.1100100000000399</c:v>
                </c:pt>
                <c:pt idx="191">
                  <c:v>-4.1000100000000401</c:v>
                </c:pt>
                <c:pt idx="192">
                  <c:v>-4.0900100000000403</c:v>
                </c:pt>
                <c:pt idx="193">
                  <c:v>-4.0800100000000405</c:v>
                </c:pt>
                <c:pt idx="194">
                  <c:v>-4.0700100000000408</c:v>
                </c:pt>
                <c:pt idx="195">
                  <c:v>-4.060010000000041</c:v>
                </c:pt>
                <c:pt idx="196">
                  <c:v>-4.0500100000000412</c:v>
                </c:pt>
                <c:pt idx="197">
                  <c:v>-4.0400100000000414</c:v>
                </c:pt>
                <c:pt idx="198">
                  <c:v>-4.0300100000000416</c:v>
                </c:pt>
                <c:pt idx="199">
                  <c:v>-4.0200100000000418</c:v>
                </c:pt>
                <c:pt idx="200">
                  <c:v>-4.010010000000042</c:v>
                </c:pt>
              </c:numCache>
            </c:numRef>
          </c:yVal>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'Normal and t'!#REF!</c:f>
              <c:numCache>
                <c:formatCode>General</c:formatCode>
                <c:ptCount val="1"/>
                <c:pt idx="0">
                  <c:v>1</c:v>
                </c:pt>
              </c:numCache>
            </c:numRef>
          </c:xVal>
          <c:yVal>
            <c:numRef>
              <c:f>'Normal and t'!$BG$16:$BG$17</c:f>
              <c:numCache>
                <c:formatCode>General</c:formatCode>
                <c:ptCount val="2"/>
                <c:pt idx="0">
                  <c:v>3</c:v>
                </c:pt>
                <c:pt idx="1">
                  <c:v>4</c:v>
                </c:pt>
              </c:numCache>
            </c:numRef>
          </c:yVal>
        </c:ser>
        <c:ser>
          <c:idx val="8"/>
          <c:order val="6"/>
          <c:spPr>
            <a:ln w="28575">
              <a:noFill/>
            </a:ln>
          </c:spPr>
          <c:marker>
            <c:symbol val="none"/>
          </c:marker>
          <c:errBars>
            <c:errDir val="x"/>
            <c:errBarType val="both"/>
            <c:errValType val="cust"/>
            <c:noEndCap val="1"/>
            <c:plus>
              <c:numRef>
                <c:f>'Normal and t'!#REF!</c:f>
                <c:numCache>
                  <c:formatCode>General</c:formatCode>
                  <c:ptCount val="1"/>
                  <c:pt idx="0">
                    <c:v>2</c:v>
                  </c:pt>
                </c:numCache>
              </c:numRef>
            </c:plus>
            <c:minus>
              <c:numRef>
                <c:f>'Normal and t'!#REF!</c:f>
                <c:numCache>
                  <c:formatCode>General</c:formatCode>
                  <c:ptCount val="1"/>
                  <c:pt idx="0">
                    <c:v>0</c:v>
                  </c:pt>
                </c:numCache>
              </c:numRef>
            </c:minus>
            <c:spPr>
              <a:ln w="38100">
                <a:pattFill prst="pct75">
                  <a:fgClr>
                    <a:srgbClr val="008000"/>
                  </a:fgClr>
                  <a:bgClr>
                    <a:srgbClr val="FFFFFF"/>
                  </a:bgClr>
                </a:pattFill>
                <a:prstDash val="solid"/>
              </a:ln>
            </c:spPr>
          </c:errBars>
          <c:xVal>
            <c:numRef>
              <c:f>'Normal and t'!#REF!</c:f>
              <c:numCache>
                <c:formatCode>General</c:formatCode>
                <c:ptCount val="1"/>
                <c:pt idx="0">
                  <c:v>1</c:v>
                </c:pt>
              </c:numCache>
            </c:numRef>
          </c:xVal>
          <c:yVal>
            <c:numRef>
              <c:f>'Normal and t'!#REF!</c:f>
              <c:numCache>
                <c:formatCode>General</c:formatCode>
                <c:ptCount val="1"/>
                <c:pt idx="0">
                  <c:v>1</c:v>
                </c:pt>
              </c:numCache>
            </c:numRef>
          </c:yVal>
        </c:ser>
        <c:ser>
          <c:idx val="4"/>
          <c:order val="7"/>
          <c:spPr>
            <a:ln w="28575">
              <a:noFill/>
            </a:ln>
          </c:spPr>
          <c:marker>
            <c:symbol val="plus"/>
            <c:size val="12"/>
            <c:spPr>
              <a:noFill/>
              <a:ln>
                <a:solidFill>
                  <a:srgbClr val="000000"/>
                </a:solidFill>
                <a:prstDash val="solid"/>
              </a:ln>
            </c:spPr>
          </c:marker>
          <c:xVal>
            <c:numRef>
              <c:f>'Normal and t'!#REF!</c:f>
              <c:numCache>
                <c:formatCode>General</c:formatCode>
                <c:ptCount val="1"/>
                <c:pt idx="0">
                  <c:v>1</c:v>
                </c:pt>
              </c:numCache>
            </c:numRef>
          </c:xVal>
          <c:yVal>
            <c:numRef>
              <c:f>'Normal and t'!#REF!</c:f>
              <c:numCache>
                <c:formatCode>General</c:formatCode>
                <c:ptCount val="1"/>
                <c:pt idx="0">
                  <c:v>1</c:v>
                </c:pt>
              </c:numCache>
            </c:numRef>
          </c:yVal>
        </c:ser>
        <c:ser>
          <c:idx val="1"/>
          <c:order val="8"/>
          <c:spPr>
            <a:ln w="28575">
              <a:noFill/>
            </a:ln>
          </c:spPr>
          <c:marker>
            <c:symbol val="none"/>
          </c:marker>
          <c:dLbls>
            <c:dLbl>
              <c:idx val="0"/>
              <c:layout>
                <c:manualLayout>
                  <c:x val="-1.7589659412298061E-2"/>
                  <c:y val="1.0637616673751397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dLbl>
            <c:spPr>
              <a:noFill/>
              <a:ln w="25400">
                <a:noFill/>
              </a:ln>
            </c:spPr>
            <c:txPr>
              <a:bodyPr/>
              <a:lstStyle/>
              <a:p>
                <a:pPr>
                  <a:defRPr sz="925" b="0" i="0" u="none" strike="noStrike" baseline="0">
                    <a:solidFill>
                      <a:srgbClr val="000000"/>
                    </a:solidFill>
                    <a:latin typeface="Arial"/>
                    <a:ea typeface="Arial"/>
                    <a:cs typeface="Arial"/>
                  </a:defRPr>
                </a:pPr>
                <a:endParaRPr lang="en-US"/>
              </a:p>
            </c:txPr>
            <c:showVal val="1"/>
          </c:dLbls>
          <c:errBars>
            <c:errDir val="y"/>
            <c:errBarType val="minus"/>
            <c:errValType val="cust"/>
            <c:noEndCap val="1"/>
            <c:minus>
              <c:numRef>
                <c:f>'Normal and t'!#REF!</c:f>
                <c:numCache>
                  <c:formatCode>General</c:formatCode>
                  <c:ptCount val="1"/>
                  <c:pt idx="0">
                    <c:v>0</c:v>
                  </c:pt>
                </c:numCache>
              </c:numRef>
            </c:minus>
            <c:spPr>
              <a:ln w="12700">
                <a:solidFill>
                  <a:srgbClr val="000000"/>
                </a:solidFill>
                <a:prstDash val="solid"/>
              </a:ln>
            </c:spPr>
          </c:errBars>
          <c:xVal>
            <c:numRef>
              <c:f>'Normal and t'!#REF!</c:f>
              <c:numCache>
                <c:formatCode>General</c:formatCode>
                <c:ptCount val="1"/>
                <c:pt idx="0">
                  <c:v>1</c:v>
                </c:pt>
              </c:numCache>
            </c:numRef>
          </c:xVal>
          <c:yVal>
            <c:numRef>
              <c:f>'Normal and t'!#REF!</c:f>
              <c:numCache>
                <c:formatCode>General</c:formatCode>
                <c:ptCount val="1"/>
                <c:pt idx="0">
                  <c:v>1</c:v>
                </c:pt>
              </c:numCache>
            </c:numRef>
          </c:yVal>
        </c:ser>
        <c:axId val="170556800"/>
        <c:axId val="170583168"/>
      </c:scatterChart>
      <c:valAx>
        <c:axId val="170556800"/>
        <c:scaling>
          <c:orientation val="minMax"/>
          <c:max val="100"/>
          <c:min val="0"/>
        </c:scaling>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70583168"/>
        <c:crossesAt val="26"/>
        <c:crossBetween val="midCat"/>
        <c:majorUnit val="10"/>
        <c:minorUnit val="2"/>
      </c:valAx>
      <c:valAx>
        <c:axId val="170583168"/>
        <c:scaling>
          <c:orientation val="maxMin"/>
          <c:max val="26"/>
          <c:min val="0"/>
        </c:scaling>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63E-3"/>
              <c:y val="0.27777865266841645"/>
            </c:manualLayout>
          </c:layout>
          <c:spPr>
            <a:noFill/>
            <a:ln w="25400">
              <a:noFill/>
            </a:ln>
          </c:spPr>
        </c:title>
        <c:numFmt formatCode="General" sourceLinked="1"/>
        <c:majorTickMark val="none"/>
        <c:tickLblPos val="none"/>
        <c:spPr>
          <a:ln w="3175">
            <a:solidFill>
              <a:srgbClr val="000000"/>
            </a:solidFill>
            <a:prstDash val="solid"/>
          </a:ln>
        </c:spPr>
        <c:crossAx val="170556800"/>
        <c:crossesAt val="0"/>
        <c:crossBetween val="midCat"/>
        <c:majorUnit val="1"/>
        <c:minorUnit val="1"/>
      </c:valAx>
      <c:spPr>
        <a:no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5.624999999999996E-2"/>
          <c:y val="4.0669856459330141E-2"/>
          <c:w val="0.92916666666666659"/>
          <c:h val="0.8612440191387567"/>
        </c:manualLayout>
      </c:layout>
      <c:scatterChart>
        <c:scatterStyle val="lineMarker"/>
        <c:ser>
          <c:idx val="11"/>
          <c:order val="0"/>
          <c:spPr>
            <a:ln w="28575">
              <a:noFill/>
            </a:ln>
          </c:spPr>
          <c:marker>
            <c:symbol val="none"/>
          </c:marker>
          <c:errBars>
            <c:errDir val="y"/>
            <c:errBarType val="minus"/>
            <c:errValType val="cust"/>
            <c:noEndCap val="1"/>
            <c:minus>
              <c:numRef>
                <c:f>'Normal and t'!$BJ$21:$BJ$1221</c:f>
                <c:numCache>
                  <c:formatCode>General</c:formatCode>
                  <c:ptCount val="1201"/>
                  <c:pt idx="0">
                    <c:v>-9.9999392411715023E-4</c:v>
                  </c:pt>
                  <c:pt idx="1">
                    <c:v>-9.9999354872810919E-4</c:v>
                  </c:pt>
                  <c:pt idx="2">
                    <c:v>-9.9999315083118697E-4</c:v>
                  </c:pt>
                  <c:pt idx="3">
                    <c:v>-9.9999272912018817E-4</c:v>
                  </c:pt>
                  <c:pt idx="4">
                    <c:v>-9.9999228221578753E-4</c:v>
                  </c:pt>
                  <c:pt idx="5">
                    <c:v>-9.9999180866159644E-4</c:v>
                  </c:pt>
                  <c:pt idx="6">
                    <c:v>-9.9999130692002714E-4</c:v>
                  </c:pt>
                  <c:pt idx="7">
                    <c:v>-9.9999077536794267E-4</c:v>
                  </c:pt>
                  <c:pt idx="8">
                    <c:v>-9.9999021229208764E-4</c:v>
                  </c:pt>
                  <c:pt idx="9">
                    <c:v>-9.9998961588428233E-4</c:v>
                  </c:pt>
                  <c:pt idx="10">
                    <c:v>-9.9998898423637539E-4</c:v>
                  </c:pt>
                  <c:pt idx="11">
                    <c:v>-9.9998831533493703E-4</c:v>
                  </c:pt>
                  <c:pt idx="12">
                    <c:v>-9.9998760705568581E-4</c:v>
                  </c:pt>
                  <c:pt idx="13">
                    <c:v>-9.9998685715763308E-4</c:v>
                  </c:pt>
                  <c:pt idx="14">
                    <c:v>-9.9998606327693102E-4</c:v>
                  </c:pt>
                  <c:pt idx="15">
                    <c:v>-9.9998522292041358E-4</c:v>
                  </c:pt>
                  <c:pt idx="16">
                    <c:v>-9.9998433345881198E-4</c:v>
                  </c:pt>
                  <c:pt idx="17">
                    <c:v>-9.9998339211963111E-4</c:v>
                  </c:pt>
                  <c:pt idx="18">
                    <c:v>-9.999823959796711E-4</c:v>
                  </c:pt>
                  <c:pt idx="19">
                    <c:v>-9.9998134195717616E-4</c:v>
                  </c:pt>
                  <c:pt idx="20">
                    <c:v>-9.9998022680359384E-4</c:v>
                  </c:pt>
                  <c:pt idx="21">
                    <c:v>-9.9997904709492672E-4</c:v>
                  </c:pt>
                  <c:pt idx="22">
                    <c:v>-9.9997779922265636E-4</c:v>
                  </c:pt>
                  <c:pt idx="23">
                    <c:v>-9.9997647938422163E-4</c:v>
                  </c:pt>
                  <c:pt idx="24">
                    <c:v>-9.9997508357302714E-4</c:v>
                  </c:pt>
                  <c:pt idx="25">
                    <c:v>-9.9997360756796439E-4</c:v>
                  </c:pt>
                  <c:pt idx="26">
                    <c:v>-9.9997204692241996E-4</c:v>
                  </c:pt>
                  <c:pt idx="27">
                    <c:v>-9.9997039695274778E-4</c:v>
                  </c:pt>
                  <c:pt idx="28">
                    <c:v>-9.9996865272618208E-4</c:v>
                  </c:pt>
                  <c:pt idx="29">
                    <c:v>-9.9996680904816324E-4</c:v>
                  </c:pt>
                  <c:pt idx="30">
                    <c:v>-9.9996486044905174E-4</c:v>
                  </c:pt>
                  <c:pt idx="31">
                    <c:v>-9.9996280117020209E-4</c:v>
                  </c:pt>
                  <c:pt idx="32">
                    <c:v>-9.9996062514936504E-4</c:v>
                  </c:pt>
                  <c:pt idx="33">
                    <c:v>-9.9995832600539283E-4</c:v>
                  </c:pt>
                  <c:pt idx="34">
                    <c:v>-9.9995589702221071E-4</c:v>
                  </c:pt>
                  <c:pt idx="35">
                    <c:v>-9.9995333113202418E-4</c:v>
                  </c:pt>
                  <c:pt idx="36">
                    <c:v>-9.9995062089772895E-4</c:v>
                  </c:pt>
                  <c:pt idx="37">
                    <c:v>-9.999477584944857E-4</c:v>
                  </c:pt>
                  <c:pt idx="38">
                    <c:v>-9.9994473569042243E-4</c:v>
                  </c:pt>
                  <c:pt idx="39">
                    <c:v>-9.9994154382642905E-4</c:v>
                  </c:pt>
                  <c:pt idx="40">
                    <c:v>-9.9993817379499827E-4</c:v>
                  </c:pt>
                  <c:pt idx="41">
                    <c:v>-9.9993461601807689E-4</c:v>
                  </c:pt>
                  <c:pt idx="42">
                    <c:v>-9.9993086042387885E-4</c:v>
                  </c:pt>
                  <c:pt idx="43">
                    <c:v>-9.999268964226188E-4</c:v>
                  </c:pt>
                  <c:pt idx="44">
                    <c:v>-9.9992271288111469E-4</c:v>
                  </c:pt>
                  <c:pt idx="45">
                    <c:v>-9.9991829809621463E-4</c:v>
                  </c:pt>
                  <c:pt idx="46">
                    <c:v>-9.9991363976699226E-4</c:v>
                  </c:pt>
                  <c:pt idx="47">
                    <c:v>-9.9990872496566246E-4</c:v>
                  </c:pt>
                  <c:pt idx="48">
                    <c:v>-9.9990354010715725E-4</c:v>
                  </c:pt>
                  <c:pt idx="49">
                    <c:v>-9.9989807091730863E-4</c:v>
                  </c:pt>
                  <c:pt idx="50">
                    <c:v>-9.9989230239957462E-4</c:v>
                  </c:pt>
                  <c:pt idx="51">
                    <c:v>-9.9988621880024958E-4</c:v>
                  </c:pt>
                  <c:pt idx="52">
                    <c:v>-9.9987980357209381E-4</c:v>
                  </c:pt>
                  <c:pt idx="53">
                    <c:v>-9.9987303933631185E-4</c:v>
                  </c:pt>
                  <c:pt idx="54">
                    <c:v>-9.998659078428165E-4</c:v>
                  </c:pt>
                  <c:pt idx="55">
                    <c:v>-9.9985838992869844E-4</c:v>
                  </c:pt>
                  <c:pt idx="56">
                    <c:v>-9.9985046547483277E-4</c:v>
                  </c:pt>
                  <c:pt idx="57">
                    <c:v>-9.9984211336054114E-4</c:v>
                  </c:pt>
                  <c:pt idx="58">
                    <c:v>-9.9983331141622776E-4</c:v>
                  </c:pt>
                  <c:pt idx="59">
                    <c:v>-9.9982403637390894E-4</c:v>
                  </c:pt>
                  <c:pt idx="60">
                    <c:v>-9.9981426381554441E-4</c:v>
                  </c:pt>
                  <c:pt idx="61">
                    <c:v>-9.9980396811908323E-4</c:v>
                  </c:pt>
                  <c:pt idx="62">
                    <c:v>-9.9979312240212805E-4</c:v>
                  </c:pt>
                  <c:pt idx="63">
                    <c:v>-9.9978169846312213E-4</c:v>
                  </c:pt>
                  <c:pt idx="64">
                    <c:v>-9.9976966671995612E-4</c:v>
                  </c:pt>
                  <c:pt idx="65">
                    <c:v>-9.9975699614589198E-4</c:v>
                  </c:pt>
                  <c:pt idx="66">
                    <c:v>-9.9974365420269266E-4</c:v>
                  </c:pt>
                  <c:pt idx="67">
                    <c:v>-9.9972960677084666E-4</c:v>
                  </c:pt>
                  <c:pt idx="68">
                    <c:v>-9.9971481807677154E-4</c:v>
                  </c:pt>
                  <c:pt idx="69">
                    <c:v>-9.996992506168716E-4</c:v>
                  </c:pt>
                  <c:pt idx="70">
                    <c:v>-9.9968286507832842E-4</c:v>
                  </c:pt>
                  <c:pt idx="71">
                    <c:v>-9.9966562025649206E-4</c:v>
                  </c:pt>
                  <c:pt idx="72">
                    <c:v>-9.996474729687386E-4</c:v>
                  </c:pt>
                  <c:pt idx="73">
                    <c:v>-9.9962837796465503E-4</c:v>
                  </c:pt>
                  <c:pt idx="74">
                    <c:v>-9.9960828783240648E-4</c:v>
                  </c:pt>
                  <c:pt idx="75">
                    <c:v>-9.9958715290113698E-4</c:v>
                  </c:pt>
                  <c:pt idx="76">
                    <c:v>-9.9956492113924852E-4</c:v>
                  </c:pt>
                  <c:pt idx="77">
                    <c:v>-9.9954153804839843E-4</c:v>
                  </c:pt>
                  <c:pt idx="78">
                    <c:v>-9.9951694655305012E-4</c:v>
                  </c:pt>
                  <c:pt idx="79">
                    <c:v>-9.9949108688540331E-4</c:v>
                  </c:pt>
                  <c:pt idx="80">
                    <c:v>-9.9946389646553041E-4</c:v>
                  </c:pt>
                  <c:pt idx="81">
                    <c:v>-9.9943530977653094E-4</c:v>
                  </c:pt>
                  <c:pt idx="82">
                    <c:v>-9.9940525823451936E-4</c:v>
                  </c:pt>
                  <c:pt idx="83">
                    <c:v>-9.9937367005324424E-4</c:v>
                  </c:pt>
                  <c:pt idx="84">
                    <c:v>-9.9934047010314265E-4</c:v>
                  </c:pt>
                  <c:pt idx="85">
                    <c:v>-9.993055797646146E-4</c:v>
                  </c:pt>
                  <c:pt idx="86">
                    <c:v>-9.9926891677530475E-4</c:v>
                  </c:pt>
                  <c:pt idx="87">
                    <c:v>-9.9923039507116549E-4</c:v>
                  </c:pt>
                  <c:pt idx="88">
                    <c:v>-9.9918992462107192E-4</c:v>
                  </c:pt>
                  <c:pt idx="89">
                    <c:v>-9.9914741125474828E-4</c:v>
                  </c:pt>
                  <c:pt idx="90">
                    <c:v>-9.9910275648376168E-4</c:v>
                  </c:pt>
                  <c:pt idx="91">
                    <c:v>-9.9905585731532701E-4</c:v>
                  </c:pt>
                  <c:pt idx="92">
                    <c:v>-9.9900660605866027E-4</c:v>
                  </c:pt>
                  <c:pt idx="93">
                    <c:v>-9.989548901236107E-4</c:v>
                  </c:pt>
                  <c:pt idx="94">
                    <c:v>-9.9890059181129186E-4</c:v>
                  </c:pt>
                  <c:pt idx="95">
                    <c:v>-9.9884358809642043E-4</c:v>
                  </c:pt>
                  <c:pt idx="96">
                    <c:v>-9.9878375040106881E-4</c:v>
                  </c:pt>
                  <c:pt idx="97">
                    <c:v>-9.9872094435952356E-4</c:v>
                  </c:pt>
                  <c:pt idx="98">
                    <c:v>-9.9865502957393075E-4</c:v>
                  </c:pt>
                  <c:pt idx="99">
                    <c:v>-9.9858585936040507E-4</c:v>
                  </c:pt>
                  <c:pt idx="100">
                    <c:v>-9.9851328048526579E-4</c:v>
                  </c:pt>
                  <c:pt idx="101">
                    <c:v>-9.9843713289105083E-4</c:v>
                  </c:pt>
                  <c:pt idx="102">
                    <c:v>-9.9835724941195513E-4</c:v>
                  </c:pt>
                  <c:pt idx="103">
                    <c:v>-9.9827345547832307E-4</c:v>
                  </c:pt>
                  <c:pt idx="104">
                    <c:v>-9.9818556880981821E-4</c:v>
                  </c:pt>
                  <c:pt idx="105">
                    <c:v>-9.9809339909687732E-4</c:v>
                  </c:pt>
                  <c:pt idx="106">
                    <c:v>-9.9799674767005165E-4</c:v>
                  </c:pt>
                  <c:pt idx="107">
                    <c:v>-9.978954071568171E-4</c:v>
                  </c:pt>
                  <c:pt idx="108">
                    <c:v>-9.977891611254318E-4</c:v>
                  </c:pt>
                  <c:pt idx="109">
                    <c:v>-9.9767778371540224E-4</c:v>
                  </c:pt>
                  <c:pt idx="110">
                    <c:v>-9.9756103925410702E-4</c:v>
                  </c:pt>
                  <c:pt idx="111">
                    <c:v>-9.9743868185911584E-4</c:v>
                  </c:pt>
                  <c:pt idx="112">
                    <c:v>-9.9731045502572885E-4</c:v>
                  </c:pt>
                  <c:pt idx="113">
                    <c:v>-9.9717609119924456E-4</c:v>
                  </c:pt>
                  <c:pt idx="114">
                    <c:v>-9.9703531133145504E-4</c:v>
                  </c:pt>
                  <c:pt idx="115">
                    <c:v>-9.9688782442085137E-4</c:v>
                  </c:pt>
                  <c:pt idx="116">
                    <c:v>-9.9673332703600708E-4</c:v>
                  </c:pt>
                  <c:pt idx="117">
                    <c:v>-9.9657150282159547E-4</c:v>
                  </c:pt>
                  <c:pt idx="118">
                    <c:v>-9.9640202198647923E-4</c:v>
                  </c:pt>
                  <c:pt idx="119">
                    <c:v>-9.9622454077329917E-4</c:v>
                  </c:pt>
                  <c:pt idx="120">
                    <c:v>-9.9603870090896832E-4</c:v>
                  </c:pt>
                  <c:pt idx="121">
                    <c:v>-9.9584412903546944E-4</c:v>
                  </c:pt>
                  <c:pt idx="122">
                    <c:v>-9.9564043612032898E-4</c:v>
                  </c:pt>
                  <c:pt idx="123">
                    <c:v>-9.9542721684613643E-4</c:v>
                  </c:pt>
                  <c:pt idx="124">
                    <c:v>-9.95204048978448E-4</c:v>
                  </c:pt>
                  <c:pt idx="125">
                    <c:v>-9.9497049271140832E-4</c:v>
                  </c:pt>
                  <c:pt idx="126">
                    <c:v>-9.9472608999039928E-4</c:v>
                  </c:pt>
                  <c:pt idx="127">
                    <c:v>-9.9447036381101659E-4</c:v>
                  </c:pt>
                  <c:pt idx="128">
                    <c:v>-9.9420281749364355E-4</c:v>
                  </c:pt>
                  <c:pt idx="129">
                    <c:v>-9.9392293393288974E-4</c:v>
                  </c:pt>
                  <c:pt idx="130">
                    <c:v>-9.9363017482113382E-4</c:v>
                  </c:pt>
                  <c:pt idx="131">
                    <c:v>-9.9332397984539336E-4</c:v>
                  </c:pt>
                  <c:pt idx="132">
                    <c:v>-9.9300376585673058E-4</c:v>
                  </c:pt>
                  <c:pt idx="133">
                    <c:v>-9.9266892601137711E-4</c:v>
                  </c:pt>
                  <c:pt idx="134">
                    <c:v>-9.9231882888275048E-4</c:v>
                  </c:pt>
                  <c:pt idx="135">
                    <c:v>-9.9195281754350874E-4</c:v>
                  </c:pt>
                  <c:pt idx="136">
                    <c:v>-9.9157020861677229E-4</c:v>
                  </c:pt>
                  <c:pt idx="137">
                    <c:v>-9.9117029129562714E-4</c:v>
                  </c:pt>
                  <c:pt idx="138">
                    <c:v>-9.907523263299957E-4</c:v>
                  </c:pt>
                  <c:pt idx="139">
                    <c:v>-9.9031554497994992E-4</c:v>
                  </c:pt>
                  <c:pt idx="140">
                    <c:v>-9.8985914793451473E-4</c:v>
                  </c:pt>
                  <c:pt idx="141">
                    <c:v>-9.89382304194993E-4</c:v>
                  </c:pt>
                  <c:pt idx="142">
                    <c:v>-9.8888414992182386E-4</c:v>
                  </c:pt>
                  <c:pt idx="143">
                    <c:v>-9.8836378724395896E-4</c:v>
                  </c:pt>
                  <c:pt idx="144">
                    <c:v>-9.8782028302973304E-4</c:v>
                  </c:pt>
                  <c:pt idx="145">
                    <c:v>-9.8725266761816831E-4</c:v>
                  </c:pt>
                  <c:pt idx="146">
                    <c:v>-9.8665993350964608E-4</c:v>
                  </c:pt>
                  <c:pt idx="147">
                    <c:v>-9.8604103401484715E-4</c:v>
                  </c:pt>
                  <c:pt idx="148">
                    <c:v>-9.8539488186084922E-4</c:v>
                  </c:pt>
                  <c:pt idx="149">
                    <c:v>-9.8472034775324061E-4</c:v>
                  </c:pt>
                  <c:pt idx="150">
                    <c:v>-9.8401625889309695E-4</c:v>
                  </c:pt>
                  <c:pt idx="151">
                    <c:v>-9.8328139744763743E-4</c:v>
                  </c:pt>
                  <c:pt idx="152">
                    <c:v>-9.8251449897336337E-4</c:v>
                  </c:pt>
                  <c:pt idx="153">
                    <c:v>-9.8171425079045531E-4</c:v>
                  </c:pt>
                  <c:pt idx="154">
                    <c:v>-9.8087929030718501E-4</c:v>
                  </c:pt>
                  <c:pt idx="155">
                    <c:v>-9.8000820329308016E-4</c:v>
                  </c:pt>
                  <c:pt idx="156">
                    <c:v>-9.790995220995526E-4</c:v>
                  </c:pt>
                  <c:pt idx="157">
                    <c:v>-9.7815172382668676E-4</c:v>
                  </c:pt>
                  <c:pt idx="158">
                    <c:v>-9.7716322843485661E-4</c:v>
                  </c:pt>
                  <c:pt idx="159">
                    <c:v>-9.7613239679982401E-4</c:v>
                  </c:pt>
                  <c:pt idx="160">
                    <c:v>-9.7505752870995026E-4</c:v>
                  </c:pt>
                  <c:pt idx="161">
                    <c:v>-9.7393686080412558E-4</c:v>
                  </c:pt>
                  <c:pt idx="162">
                    <c:v>-9.7276856444901156E-4</c:v>
                  </c:pt>
                  <c:pt idx="163">
                    <c:v>-9.7155074355416004E-4</c:v>
                  </c:pt>
                  <c:pt idx="164">
                    <c:v>-9.7028143232356229E-4</c:v>
                  </c:pt>
                  <c:pt idx="165">
                    <c:v>-9.6895859294215459E-4</c:v>
                  </c:pt>
                  <c:pt idx="166">
                    <c:v>-9.6758011319579128E-4</c:v>
                  </c:pt>
                  <c:pt idx="167">
                    <c:v>-9.6614380402317739E-4</c:v>
                  </c:pt>
                  <c:pt idx="168">
                    <c:v>-9.6464739699823237E-4</c:v>
                  </c:pt>
                  <c:pt idx="169">
                    <c:v>-9.6308854174133958E-4</c:v>
                  </c:pt>
                  <c:pt idx="170">
                    <c:v>-9.6146480325791893E-4</c:v>
                  </c:pt>
                  <c:pt idx="171">
                    <c:v>-9.5977365920274136E-4</c:v>
                  </c:pt>
                  <c:pt idx="172">
                    <c:v>-9.5801249706838933E-4</c:v>
                  </c:pt>
                  <c:pt idx="173">
                    <c:v>-9.5617861129624888E-4</c:v>
                  </c:pt>
                  <c:pt idx="174">
                    <c:v>-9.5426920030840603E-4</c:v>
                  </c:pt>
                  <c:pt idx="175">
                    <c:v>-9.5228136345880258E-4</c:v>
                  </c:pt>
                  <c:pt idx="176">
                    <c:v>-9.5021209790199584E-4</c:v>
                  </c:pt>
                  <c:pt idx="177">
                    <c:v>-9.4805829537784848E-4</c:v>
                  </c:pt>
                  <c:pt idx="178">
                    <c:v>-9.4581673891046855E-4</c:v>
                  </c:pt>
                  <c:pt idx="179">
                    <c:v>-9.4348409941970171E-4</c:v>
                  </c:pt>
                  <c:pt idx="180">
                    <c:v>-9.4105693224346971E-4</c:v>
                  </c:pt>
                  <c:pt idx="181">
                    <c:v>-9.3853167356924068E-4</c:v>
                  </c:pt>
                  <c:pt idx="182">
                    <c:v>-9.3590463677290436E-4</c:v>
                  </c:pt>
                  <c:pt idx="183">
                    <c:v>-9.3317200866332029E-4</c:v>
                  </c:pt>
                  <c:pt idx="184">
                    <c:v>-9.3032984563079697E-4</c:v>
                  </c:pt>
                  <c:pt idx="185">
                    <c:v>-9.2737406969775941E-4</c:v>
                  </c:pt>
                  <c:pt idx="186">
                    <c:v>-9.2430046446985133E-4</c:v>
                  </c:pt>
                  <c:pt idx="187">
                    <c:v>-9.2110467098571996E-4</c:v>
                  </c:pt>
                  <c:pt idx="188">
                    <c:v>-9.1778218346372762E-4</c:v>
                  </c:pt>
                  <c:pt idx="189">
                    <c:v>-9.1432834494383213E-4</c:v>
                  </c:pt>
                  <c:pt idx="190">
                    <c:v>-9.1073834282288197E-4</c:v>
                  </c:pt>
                  <c:pt idx="191">
                    <c:v>-9.0700720428156967E-4</c:v>
                  </c:pt>
                  <c:pt idx="192">
                    <c:v>-9.031297916012969E-4</c:v>
                  </c:pt>
                  <c:pt idx="193">
                    <c:v>-8.9910079736920247E-4</c:v>
                  </c:pt>
                  <c:pt idx="194">
                    <c:v>-8.9491473956961748E-4</c:v>
                  </c:pt>
                  <c:pt idx="195">
                    <c:v>-8.9056595656021793E-4</c:v>
                  </c:pt>
                  <c:pt idx="196">
                    <c:v>-8.8604860193115462E-4</c:v>
                  </c:pt>
                  <c:pt idx="197">
                    <c:v>-8.8135663924545412E-4</c:v>
                  </c:pt>
                  <c:pt idx="198">
                    <c:v>-8.7648383665899767E-4</c:v>
                  </c:pt>
                  <c:pt idx="199">
                    <c:v>-8.7142376141840085E-4</c:v>
                  </c:pt>
                  <c:pt idx="200">
                    <c:v>-8.6616977423513756E-4</c:v>
                  </c:pt>
                  <c:pt idx="201">
                    <c:v>-8.6071502353426391E-4</c:v>
                  </c:pt>
                  <c:pt idx="202">
                    <c:v>-8.5505243957613387E-4</c:v>
                  </c:pt>
                  <c:pt idx="203">
                    <c:v>-8.4917472844950814E-4</c:v>
                  </c:pt>
                  <c:pt idx="204">
                    <c:v>-8.4307436593449481E-4</c:v>
                  </c:pt>
                  <c:pt idx="205">
                    <c:v>-8.3674359123378614E-4</c:v>
                  </c:pt>
                  <c:pt idx="206">
                    <c:v>-8.3017440057068593E-4</c:v>
                  </c:pt>
                  <c:pt idx="207">
                    <c:v>-8.2335854065245971E-4</c:v>
                  </c:pt>
                  <c:pt idx="208">
                    <c:v>-8.1628750199757498E-4</c:v>
                  </c:pt>
                  <c:pt idx="209">
                    <c:v>-8.0895251212543553E-4</c:v>
                  </c:pt>
                  <c:pt idx="210">
                    <c:v>-8.0134452860726208E-4</c:v>
                  </c:pt>
                  <c:pt idx="211">
                    <c:v>-7.9345423197681056E-4</c:v>
                  </c:pt>
                  <c:pt idx="212">
                    <c:v>-7.8527201849967082E-4</c:v>
                  </c:pt>
                  <c:pt idx="213">
                    <c:v>-7.7678799279993723E-4</c:v>
                  </c:pt>
                  <c:pt idx="214">
                    <c:v>-7.6799196034309865E-4</c:v>
                  </c:pt>
                  <c:pt idx="215">
                    <c:v>-7.5887341977404926E-4</c:v>
                  </c:pt>
                  <c:pt idx="216">
                    <c:v>-7.4942155510918356E-4</c:v>
                  </c:pt>
                  <c:pt idx="217">
                    <c:v>-7.3962522778160363E-4</c:v>
                  </c:pt>
                  <c:pt idx="218">
                    <c:v>-7.2947296853852705E-4</c:v>
                  </c:pt>
                  <c:pt idx="219">
                    <c:v>-7.1895296919006362E-4</c:v>
                  </c:pt>
                  <c:pt idx="220">
                    <c:v>-7.080530742085919E-4</c:v>
                  </c:pt>
                  <c:pt idx="221">
                    <c:v>-6.9676077217805006E-4</c:v>
                  </c:pt>
                  <c:pt idx="222">
                    <c:v>-6.8506318709253469E-4</c:v>
                  </c:pt>
                  <c:pt idx="223">
                    <c:v>-6.7294706950368375E-4</c:v>
                  </c:pt>
                  <c:pt idx="224">
                    <c:v>-6.6039878751640644E-4</c:v>
                  </c:pt>
                  <c:pt idx="225">
                    <c:v>-6.4740431763261799E-4</c:v>
                  </c:pt>
                  <c:pt idx="226">
                    <c:v>-6.3394923544273082E-4</c:v>
                  </c:pt>
                  <c:pt idx="227">
                    <c:v>-6.2001870616474708E-4</c:v>
                  </c:pt>
                  <c:pt idx="228">
                    <c:v>-6.0559747503091503E-4</c:v>
                  </c:pt>
                  <c:pt idx="229">
                    <c:v>-5.9066985752199552E-4</c:v>
                  </c:pt>
                  <c:pt idx="230">
                    <c:v>-5.7521972944932567E-4</c:v>
                  </c:pt>
                  <c:pt idx="231">
                    <c:v>-5.5923051688494779E-4</c:v>
                  </c:pt>
                  <c:pt idx="232">
                    <c:v>-5.4268518594022654E-4</c:v>
                  </c:pt>
                  <c:pt idx="233">
                    <c:v>-5.2556623239346579E-4</c:v>
                  </c:pt>
                  <c:pt idx="234">
                    <c:v>-5.0785567116719656E-4</c:v>
                  </c:pt>
                  <c:pt idx="235">
                    <c:v>-4.8953502565590788E-4</c:v>
                  </c:pt>
                  <c:pt idx="236">
                    <c:v>-4.705853169051623E-4</c:v>
                  </c:pt>
                  <c:pt idx="237">
                    <c:v>-4.5098705264314237E-4</c:v>
                  </c:pt>
                  <c:pt idx="238">
                    <c:v>-4.3072021616585214E-4</c:v>
                  </c:pt>
                  <c:pt idx="239">
                    <c:v>-4.0976425507732305E-4</c:v>
                  </c:pt>
                  <c:pt idx="240">
                    <c:v>-3.8809806988634066E-4</c:v>
                  </c:pt>
                  <c:pt idx="241">
                    <c:v>-3.6570000246135973E-4</c:v>
                  </c:pt>
                  <c:pt idx="242">
                    <c:v>-3.4254782434544511E-4</c:v>
                  </c:pt>
                  <c:pt idx="243">
                    <c:v>-3.1861872493323443E-4</c:v>
                  </c:pt>
                  <c:pt idx="244">
                    <c:v>-2.9388929951209436E-4</c:v>
                  </c:pt>
                  <c:pt idx="245">
                    <c:v>-2.6833553716982509E-4</c:v>
                  </c:pt>
                  <c:pt idx="246">
                    <c:v>-2.419328085714299E-4</c:v>
                  </c:pt>
                  <c:pt idx="247">
                    <c:v>-2.1465585360767674E-4</c:v>
                  </c:pt>
                  <c:pt idx="248">
                    <c:v>-1.864787689183434E-4</c:v>
                  </c:pt>
                  <c:pt idx="249">
                    <c:v>-1.5737499529325542E-4</c:v>
                  </c:pt>
                  <c:pt idx="250">
                    <c:v>-1.2731730495440282E-4</c:v>
                  </c:pt>
                  <c:pt idx="251">
                    <c:v>-9.6277788722644243E-5</c:v>
                  </c:pt>
                  <c:pt idx="252">
                    <c:v>-6.4227843072695023E-5</c:v>
                  </c:pt>
                  <c:pt idx="253">
                    <c:v>-3.1138157080334958E-5</c:v>
                  </c:pt>
                  <c:pt idx="254">
                    <c:v>3.0213007340493953E-6</c:v>
                  </c:pt>
                  <c:pt idx="255">
                    <c:v>3.8281295661216465E-5</c:v>
                  </c:pt>
                  <c:pt idx="256">
                    <c:v>7.4673340153533305E-5</c:v>
                  </c:pt>
                  <c:pt idx="257">
                    <c:v>1.1222970726535624E-4</c:v>
                  </c:pt>
                  <c:pt idx="258">
                    <c:v>1.5098344417826745E-4</c:v>
                  </c:pt>
                  <c:pt idx="259">
                    <c:v>1.9096838580589322E-4</c:v>
                  </c:pt>
                  <c:pt idx="260">
                    <c:v>2.3221916847278637E-4</c:v>
                  </c:pt>
                  <c:pt idx="261">
                    <c:v>2.7477124366159246E-4</c:v>
                  </c:pt>
                  <c:pt idx="262">
                    <c:v>3.186608918224925E-4</c:v>
                  </c:pt>
                  <c:pt idx="263">
                    <c:v>3.6392523623864645E-4</c:v>
                  </c:pt>
                  <c:pt idx="264">
                    <c:v>4.1060225694111675E-4</c:v>
                  </c:pt>
                  <c:pt idx="265">
                    <c:v>4.5873080466646982E-4</c:v>
                  </c:pt>
                  <c:pt idx="266">
                    <c:v>5.0835061485002189E-4</c:v>
                  </c:pt>
                  <c:pt idx="267">
                    <c:v>5.5950232164739635E-4</c:v>
                  </c:pt>
                  <c:pt idx="268">
                    <c:v>6.12227471976818E-4</c:v>
                  </c:pt>
                  <c:pt idx="269">
                    <c:v>6.6656853957426415E-4</c:v>
                  </c:pt>
                  <c:pt idx="270">
                    <c:v>7.2256893905335226E-4</c:v>
                  </c:pt>
                  <c:pt idx="271">
                    <c:v>7.802730399615401E-4</c:v>
                  </c:pt>
                  <c:pt idx="272">
                    <c:v>8.3972618082392924E-4</c:v>
                  </c:pt>
                  <c:pt idx="273">
                    <c:v>9.0097468316571879E-4</c:v>
                  </c:pt>
                  <c:pt idx="274">
                    <c:v>9.6406586550400056E-4</c:v>
                  </c:pt>
                  <c:pt idx="275">
                    <c:v>1.0290480572993821E-3</c:v>
                  </c:pt>
                  <c:pt idx="276">
                    <c:v>1.095970612857545E-3</c:v>
                  </c:pt>
                  <c:pt idx="277">
                    <c:v>1.1648839251706487E-3</c:v>
                  </c:pt>
                  <c:pt idx="278">
                    <c:v>1.235839439688113E-3</c:v>
                  </c:pt>
                  <c:pt idx="279">
                    <c:v>1.3088896680060543E-3</c:v>
                  </c:pt>
                  <c:pt idx="280">
                    <c:v>1.3840882014643867E-3</c:v>
                  </c:pt>
                  <c:pt idx="281">
                    <c:v>1.46148972464023E-3</c:v>
                  </c:pt>
                  <c:pt idx="282">
                    <c:v>1.5411500287260357E-3</c:v>
                  </c:pt>
                  <c:pt idx="283">
                    <c:v>1.6231260247805235E-3</c:v>
                  </c:pt>
                  <c:pt idx="284">
                    <c:v>1.7074757568401851E-3</c:v>
                  </c:pt>
                  <c:pt idx="285">
                    <c:v>1.7942584148789107E-3</c:v>
                  </c:pt>
                  <c:pt idx="286">
                    <c:v>1.883534347602888E-3</c:v>
                  </c:pt>
                  <c:pt idx="287">
                    <c:v>1.9753650750676823E-3</c:v>
                  </c:pt>
                  <c:pt idx="288">
                    <c:v>2.069813301104154E-3</c:v>
                  </c:pt>
                  <c:pt idx="289">
                    <c:v>2.1669429255394704E-3</c:v>
                  </c:pt>
                  <c:pt idx="290">
                    <c:v>2.2668190561992946E-3</c:v>
                  </c:pt>
                  <c:pt idx="291">
                    <c:v>2.3695080206768341E-3</c:v>
                  </c:pt>
                  <c:pt idx="292">
                    <c:v>2.4750773778542709E-3</c:v>
                  </c:pt>
                  <c:pt idx="293">
                    <c:v>2.5835959291616735E-3</c:v>
                  </c:pt>
                  <c:pt idx="294">
                    <c:v>2.6951337295583254E-3</c:v>
                  </c:pt>
                  <c:pt idx="295">
                    <c:v>2.8097620982210757E-3</c:v>
                  </c:pt>
                  <c:pt idx="296">
                    <c:v>2.9275536289240251E-3</c:v>
                  </c:pt>
                  <c:pt idx="297">
                    <c:v>3.0485822000936519E-3</c:v>
                  </c:pt>
                  <c:pt idx="298">
                    <c:v>3.1729229845231608E-3</c:v>
                  </c:pt>
                  <c:pt idx="299">
                    <c:v>3.3006524587296205E-3</c:v>
                  </c:pt>
                  <c:pt idx="300">
                    <c:v>3.4318484119371566E-3</c:v>
                  </c:pt>
                  <c:pt idx="301">
                    <c:v>3.5665899546692718E-3</c:v>
                  </c:pt>
                  <c:pt idx="302">
                    <c:v>3.7049575269330762E-3</c:v>
                  </c:pt>
                  <c:pt idx="303">
                    <c:v>3.8470329059780185E-3</c:v>
                  </c:pt>
                  <c:pt idx="304">
                    <c:v>3.992899213611417E-3</c:v>
                  </c:pt>
                  <c:pt idx="305">
                    <c:v>4.1426409230529513E-3</c:v>
                  </c:pt>
                  <c:pt idx="306">
                    <c:v>4.2963438653100027E-3</c:v>
                  </c:pt>
                  <c:pt idx="307">
                    <c:v>4.4540952350555036E-3</c:v>
                  </c:pt>
                  <c:pt idx="308">
                    <c:v>4.61598359598989E-3</c:v>
                  </c:pt>
                  <c:pt idx="309">
                    <c:v>4.782098885668367E-3</c:v>
                  </c:pt>
                  <c:pt idx="310">
                    <c:v>4.9525324197747115E-3</c:v>
                  </c:pt>
                  <c:pt idx="311">
                    <c:v>5.1273768958225111E-3</c:v>
                  </c:pt>
                  <c:pt idx="312">
                    <c:v>5.3067263962647167E-3</c:v>
                  </c:pt>
                  <c:pt idx="313">
                    <c:v>5.4906763909921231E-3</c:v>
                  </c:pt>
                  <c:pt idx="314">
                    <c:v>5.679323739201339E-3</c:v>
                  </c:pt>
                  <c:pt idx="315">
                    <c:v>5.872766690612658E-3</c:v>
                  </c:pt>
                  <c:pt idx="316">
                    <c:v>6.0711048860180982E-3</c:v>
                  </c:pt>
                  <c:pt idx="317">
                    <c:v>6.2744393571398278E-3</c:v>
                  </c:pt>
                  <c:pt idx="318">
                    <c:v>6.4828725257791275E-3</c:v>
                  </c:pt>
                  <c:pt idx="319">
                    <c:v>6.6965082022358508E-3</c:v>
                  </c:pt>
                  <c:pt idx="320">
                    <c:v>6.9154515829784506E-3</c:v>
                  </c:pt>
                  <c:pt idx="321">
                    <c:v>7.1398092475444689E-3</c:v>
                  </c:pt>
                  <c:pt idx="322">
                    <c:v>7.3696891546514301E-3</c:v>
                  </c:pt>
                  <c:pt idx="323">
                    <c:v>7.6052006374980321E-3</c:v>
                  </c:pt>
                  <c:pt idx="324">
                    <c:v>7.8464543982355375E-3</c:v>
                  </c:pt>
                  <c:pt idx="325">
                    <c:v>8.0935625015893208E-3</c:v>
                  </c:pt>
                  <c:pt idx="326">
                    <c:v>8.3466383676105045E-3</c:v>
                  </c:pt>
                  <c:pt idx="327">
                    <c:v>8.6057967635377562E-3</c:v>
                  </c:pt>
                  <c:pt idx="328">
                    <c:v>8.8711537947492591E-3</c:v>
                  </c:pt>
                  <c:pt idx="329">
                    <c:v>9.1428268947851485E-3</c:v>
                  </c:pt>
                  <c:pt idx="330">
                    <c:v>9.4209348144206131E-3</c:v>
                  </c:pt>
                  <c:pt idx="331">
                    <c:v>9.7055976097701509E-3</c:v>
                  </c:pt>
                  <c:pt idx="332">
                    <c:v>9.9969366294034891E-3</c:v>
                  </c:pt>
                  <c:pt idx="333">
                    <c:v>1.0295074500453992E-2</c:v>
                  </c:pt>
                  <c:pt idx="334">
                    <c:v>1.0600135113700365E-2</c:v>
                  </c:pt>
                  <c:pt idx="335">
                    <c:v>1.0912243607602925E-2</c:v>
                  </c:pt>
                  <c:pt idx="336">
                    <c:v>1.123152635127566E-2</c:v>
                  </c:pt>
                  <c:pt idx="337">
                    <c:v>1.1558110926375834E-2</c:v>
                  </c:pt>
                  <c:pt idx="338">
                    <c:v>1.1892126107892875E-2</c:v>
                  </c:pt>
                  <c:pt idx="339">
                    <c:v>1.2233701843818869E-2</c:v>
                  </c:pt>
                  <c:pt idx="340">
                    <c:v>1.2582969233683055E-2</c:v>
                  </c:pt>
                  <c:pt idx="341">
                    <c:v>1.2940060505933191E-2</c:v>
                  </c:pt>
                  <c:pt idx="342">
                    <c:v>1.3305108994147E-2</c:v>
                  </c:pt>
                  <c:pt idx="343">
                    <c:v>1.367824911205728E-2</c:v>
                  </c:pt>
                  <c:pt idx="344">
                    <c:v>1.4059616327374628E-2</c:v>
                  </c:pt>
                  <c:pt idx="345">
                    <c:v>1.4449347134392269E-2</c:v>
                  </c:pt>
                  <c:pt idx="346">
                    <c:v>1.4847579025357844E-2</c:v>
                  </c:pt>
                  <c:pt idx="347">
                    <c:v>1.5254450460597459E-2</c:v>
                  </c:pt>
                  <c:pt idx="348">
                    <c:v>1.5670100837377944E-2</c:v>
                  </c:pt>
                  <c:pt idx="349">
                    <c:v>1.6094670457493746E-2</c:v>
                  </c:pt>
                  <c:pt idx="350">
                    <c:v>1.6528300493565268E-2</c:v>
                  </c:pt>
                  <c:pt idx="351">
                    <c:v>1.6971132954036284E-2</c:v>
                  </c:pt>
                  <c:pt idx="352">
                    <c:v>1.7423310646858616E-2</c:v>
                  </c:pt>
                  <c:pt idx="353">
                    <c:v>1.7884977141852661E-2</c:v>
                  </c:pt>
                  <c:pt idx="354">
                    <c:v>1.8356276731733366E-2</c:v>
                  </c:pt>
                  <c:pt idx="355">
                    <c:v>1.8837354391791645E-2</c:v>
                  </c:pt>
                  <c:pt idx="356">
                    <c:v>1.9328355738222069E-2</c:v>
                  </c:pt>
                  <c:pt idx="357">
                    <c:v>1.9829426985088335E-2</c:v>
                  </c:pt>
                  <c:pt idx="358">
                    <c:v>2.0340714899918837E-2</c:v>
                  </c:pt>
                  <c:pt idx="359">
                    <c:v>2.0862366757925351E-2</c:v>
                  </c:pt>
                  <c:pt idx="360">
                    <c:v>2.139453029483877E-2</c:v>
                  </c:pt>
                  <c:pt idx="361">
                    <c:v>2.1937353658356473E-2</c:v>
                  </c:pt>
                  <c:pt idx="362">
                    <c:v>2.2490985358197043E-2</c:v>
                  </c:pt>
                  <c:pt idx="363">
                    <c:v>2.3055574214758554E-2</c:v>
                  </c:pt>
                  <c:pt idx="364">
                    <c:v>2.3631269306377985E-2</c:v>
                  </c:pt>
                  <c:pt idx="365">
                    <c:v>2.421821991518977E-2</c:v>
                  </c:pt>
                  <c:pt idx="366">
                    <c:v>2.4816575471582964E-2</c:v>
                  </c:pt>
                  <c:pt idx="367">
                    <c:v>2.5426485497256908E-2</c:v>
                  </c:pt>
                  <c:pt idx="368">
                    <c:v>2.6048099546876858E-2</c:v>
                  </c:pt>
                  <c:pt idx="369">
                    <c:v>2.6681567148331541E-2</c:v>
                  </c:pt>
                  <c:pt idx="370">
                    <c:v>2.732703774159604E-2</c:v>
                  </c:pt>
                  <c:pt idx="371">
                    <c:v>2.7984660616204173E-2</c:v>
                  </c:pt>
                  <c:pt idx="372">
                    <c:v>2.8654584847335903E-2</c:v>
                  </c:pt>
                  <c:pt idx="373">
                    <c:v>2.933695923052615E-2</c:v>
                  </c:pt>
                  <c:pt idx="374">
                    <c:v>3.0031932215002659E-2</c:v>
                  </c:pt>
                  <c:pt idx="375">
                    <c:v>3.0739651835661706E-2</c:v>
                  </c:pt>
                  <c:pt idx="376">
                    <c:v>3.1460265643691629E-2</c:v>
                  </c:pt>
                  <c:pt idx="377">
                    <c:v>3.2193920635855175E-2</c:v>
                  </c:pt>
                  <c:pt idx="378">
                    <c:v>3.2940763182443114E-2</c:v>
                  </c:pt>
                  <c:pt idx="379">
                    <c:v>3.3700938953912622E-2</c:v>
                  </c:pt>
                  <c:pt idx="380">
                    <c:v>3.4474592846225116E-2</c:v>
                  </c:pt>
                  <c:pt idx="381">
                    <c:v>3.5261868904899775E-2</c:v>
                  </c:pt>
                  <c:pt idx="382">
                    <c:v>3.6062910247799902E-2</c:v>
                  </c:pt>
                  <c:pt idx="383">
                    <c:v>3.6877858986670758E-2</c:v>
                  </c:pt>
                  <c:pt idx="384">
                    <c:v>3.7706856147448765E-2</c:v>
                  </c:pt>
                  <c:pt idx="385">
                    <c:v>3.8550041589363225E-2</c:v>
                  </c:pt>
                  <c:pt idx="386">
                    <c:v>3.9407553922853195E-2</c:v>
                  </c:pt>
                  <c:pt idx="387">
                    <c:v>4.0279530426323151E-2</c:v>
                  </c:pt>
                  <c:pt idx="388">
                    <c:v>4.1166106961762927E-2</c:v>
                  </c:pt>
                  <c:pt idx="389">
                    <c:v>4.2067417889258198E-2</c:v>
                  </c:pt>
                  <c:pt idx="390">
                    <c:v>4.2983595980419516E-2</c:v>
                  </c:pt>
                  <c:pt idx="391">
                    <c:v>4.3914772330759251E-2</c:v>
                  </c:pt>
                  <c:pt idx="392">
                    <c:v>4.4861076271046914E-2</c:v>
                  </c:pt>
                  <c:pt idx="393">
                    <c:v>4.5822635277675029E-2</c:v>
                  </c:pt>
                  <c:pt idx="394">
                    <c:v>4.6799574882068748E-2</c:v>
                  </c:pt>
                  <c:pt idx="395">
                    <c:v>4.7792018579174325E-2</c:v>
                  </c:pt>
                  <c:pt idx="396">
                    <c:v>4.8800087735062184E-2</c:v>
                  </c:pt>
                  <c:pt idx="397">
                    <c:v>4.9823901493682439E-2</c:v>
                  </c:pt>
                  <c:pt idx="398">
                    <c:v>5.0863576682811669E-2</c:v>
                  </c:pt>
                  <c:pt idx="399">
                    <c:v>5.1919227719231235E-2</c:v>
                  </c:pt>
                  <c:pt idx="400">
                    <c:v>5.299096651317884E-2</c:v>
                  </c:pt>
                  <c:pt idx="401">
                    <c:v>5.4078902372116412E-2</c:v>
                  </c:pt>
                  <c:pt idx="402">
                    <c:v>5.5183141903858549E-2</c:v>
                  </c:pt>
                  <c:pt idx="403">
                    <c:v>5.6303788919107499E-2</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5.63037889191264E-2</c:v>
                  </c:pt>
                  <c:pt idx="798">
                    <c:v>5.5183141903877166E-2</c:v>
                  </c:pt>
                  <c:pt idx="799">
                    <c:v>5.4078902372134773E-2</c:v>
                  </c:pt>
                  <c:pt idx="800">
                    <c:v>5.2990966513196923E-2</c:v>
                  </c:pt>
                  <c:pt idx="801">
                    <c:v>5.1919227719249041E-2</c:v>
                  </c:pt>
                  <c:pt idx="802">
                    <c:v>5.0863576682829217E-2</c:v>
                  </c:pt>
                  <c:pt idx="803">
                    <c:v>4.9823901493699703E-2</c:v>
                  </c:pt>
                  <c:pt idx="804">
                    <c:v>4.8800087735079191E-2</c:v>
                  </c:pt>
                  <c:pt idx="805">
                    <c:v>4.7792018579191083E-2</c:v>
                  </c:pt>
                  <c:pt idx="806">
                    <c:v>4.6799574882085242E-2</c:v>
                  </c:pt>
                  <c:pt idx="807">
                    <c:v>4.5822635277691245E-2</c:v>
                  </c:pt>
                  <c:pt idx="808">
                    <c:v>4.486107627106288E-2</c:v>
                  </c:pt>
                  <c:pt idx="809">
                    <c:v>4.3914772330774968E-2</c:v>
                  </c:pt>
                  <c:pt idx="810">
                    <c:v>4.2983595980434983E-2</c:v>
                  </c:pt>
                  <c:pt idx="811">
                    <c:v>4.2067417889273401E-2</c:v>
                  </c:pt>
                  <c:pt idx="812">
                    <c:v>4.1166106961777887E-2</c:v>
                  </c:pt>
                  <c:pt idx="813">
                    <c:v>4.0279530426337869E-2</c:v>
                  </c:pt>
                  <c:pt idx="814">
                    <c:v>3.9407553922867662E-2</c:v>
                  </c:pt>
                  <c:pt idx="815">
                    <c:v>3.8550041589377471E-2</c:v>
                  </c:pt>
                  <c:pt idx="816">
                    <c:v>3.7706856147462768E-2</c:v>
                  </c:pt>
                  <c:pt idx="817">
                    <c:v>3.6877858986684525E-2</c:v>
                  </c:pt>
                  <c:pt idx="818">
                    <c:v>3.6062910247813426E-2</c:v>
                  </c:pt>
                  <c:pt idx="819">
                    <c:v>3.5261868904913063E-2</c:v>
                  </c:pt>
                  <c:pt idx="820">
                    <c:v>3.4474592846238175E-2</c:v>
                  </c:pt>
                  <c:pt idx="821">
                    <c:v>3.3700938953925459E-2</c:v>
                  </c:pt>
                  <c:pt idx="822">
                    <c:v>3.2940763182455736E-2</c:v>
                  </c:pt>
                  <c:pt idx="823">
                    <c:v>3.2193920635867554E-2</c:v>
                  </c:pt>
                  <c:pt idx="824">
                    <c:v>3.1460265643703793E-2</c:v>
                  </c:pt>
                  <c:pt idx="825">
                    <c:v>3.0739651835673662E-2</c:v>
                  </c:pt>
                  <c:pt idx="826">
                    <c:v>3.0031932215014399E-2</c:v>
                  </c:pt>
                  <c:pt idx="827">
                    <c:v>2.9336959230537682E-2</c:v>
                  </c:pt>
                  <c:pt idx="828">
                    <c:v>2.8654584847347224E-2</c:v>
                  </c:pt>
                  <c:pt idx="829">
                    <c:v>2.7984660616215278E-2</c:v>
                  </c:pt>
                  <c:pt idx="830">
                    <c:v>2.7327037741606941E-2</c:v>
                  </c:pt>
                  <c:pt idx="831">
                    <c:v>2.6681567148342248E-2</c:v>
                  </c:pt>
                  <c:pt idx="832">
                    <c:v>2.6048099546887353E-2</c:v>
                  </c:pt>
                  <c:pt idx="833">
                    <c:v>2.5426485497267219E-2</c:v>
                  </c:pt>
                  <c:pt idx="834">
                    <c:v>2.4816575471593078E-2</c:v>
                  </c:pt>
                  <c:pt idx="835">
                    <c:v>2.42182199151997E-2</c:v>
                  </c:pt>
                  <c:pt idx="836">
                    <c:v>2.3631269306387721E-2</c:v>
                  </c:pt>
                  <c:pt idx="837">
                    <c:v>2.3055574214768105E-2</c:v>
                  </c:pt>
                  <c:pt idx="838">
                    <c:v>2.24909853582064E-2</c:v>
                  </c:pt>
                  <c:pt idx="839">
                    <c:v>2.193735365836565E-2</c:v>
                  </c:pt>
                  <c:pt idx="840">
                    <c:v>2.139453029484777E-2</c:v>
                  </c:pt>
                  <c:pt idx="841">
                    <c:v>2.0862366757934177E-2</c:v>
                  </c:pt>
                  <c:pt idx="842">
                    <c:v>2.0340714899927479E-2</c:v>
                  </c:pt>
                  <c:pt idx="843">
                    <c:v>1.9829426985096807E-2</c:v>
                  </c:pt>
                  <c:pt idx="844">
                    <c:v>1.9328355738230375E-2</c:v>
                  </c:pt>
                  <c:pt idx="845">
                    <c:v>1.8837354391799781E-2</c:v>
                  </c:pt>
                  <c:pt idx="846">
                    <c:v>1.8356276731741335E-2</c:v>
                  </c:pt>
                  <c:pt idx="847">
                    <c:v>1.7884977141860468E-2</c:v>
                  </c:pt>
                  <c:pt idx="848">
                    <c:v>1.7423310646866266E-2</c:v>
                  </c:pt>
                  <c:pt idx="849">
                    <c:v>1.6971132954043778E-2</c:v>
                  </c:pt>
                  <c:pt idx="850">
                    <c:v>1.6528300493572599E-2</c:v>
                  </c:pt>
                  <c:pt idx="851">
                    <c:v>1.6094670457500928E-2</c:v>
                  </c:pt>
                  <c:pt idx="852">
                    <c:v>1.567010083738498E-2</c:v>
                  </c:pt>
                  <c:pt idx="853">
                    <c:v>1.5254450460604335E-2</c:v>
                  </c:pt>
                  <c:pt idx="854">
                    <c:v>1.4847579025364585E-2</c:v>
                  </c:pt>
                  <c:pt idx="855">
                    <c:v>1.4449347134398868E-2</c:v>
                  </c:pt>
                  <c:pt idx="856">
                    <c:v>1.4059616327381078E-2</c:v>
                  </c:pt>
                  <c:pt idx="857">
                    <c:v>1.3678249112063594E-2</c:v>
                  </c:pt>
                  <c:pt idx="858">
                    <c:v>1.3305108994153183E-2</c:v>
                  </c:pt>
                  <c:pt idx="859">
                    <c:v>1.2940060505939235E-2</c:v>
                  </c:pt>
                  <c:pt idx="860">
                    <c:v>1.2582969233688974E-2</c:v>
                  </c:pt>
                  <c:pt idx="861">
                    <c:v>1.2233701843824649E-2</c:v>
                  </c:pt>
                  <c:pt idx="862">
                    <c:v>1.1892126107898526E-2</c:v>
                  </c:pt>
                  <c:pt idx="863">
                    <c:v>1.155811092638136E-2</c:v>
                  </c:pt>
                  <c:pt idx="864">
                    <c:v>1.1231526351281065E-2</c:v>
                  </c:pt>
                  <c:pt idx="865">
                    <c:v>1.0912243607608209E-2</c:v>
                  </c:pt>
                  <c:pt idx="866">
                    <c:v>1.0600135113705531E-2</c:v>
                  </c:pt>
                  <c:pt idx="867">
                    <c:v>1.0295074500459044E-2</c:v>
                  </c:pt>
                  <c:pt idx="868">
                    <c:v>9.9969366294084261E-3</c:v>
                  </c:pt>
                  <c:pt idx="869">
                    <c:v>9.7055976097749734E-3</c:v>
                  </c:pt>
                  <c:pt idx="870">
                    <c:v>9.4209348144253247E-3</c:v>
                  </c:pt>
                  <c:pt idx="871">
                    <c:v>9.1428268947897524E-3</c:v>
                  </c:pt>
                  <c:pt idx="872">
                    <c:v>8.8711537947537555E-3</c:v>
                  </c:pt>
                  <c:pt idx="873">
                    <c:v>8.6057967635421451E-3</c:v>
                  </c:pt>
                  <c:pt idx="874">
                    <c:v>8.3466383676147927E-3</c:v>
                  </c:pt>
                  <c:pt idx="875">
                    <c:v>8.0935625015935084E-3</c:v>
                  </c:pt>
                  <c:pt idx="876">
                    <c:v>7.846454398239628E-3</c:v>
                  </c:pt>
                  <c:pt idx="877">
                    <c:v>7.605200637502022E-3</c:v>
                  </c:pt>
                  <c:pt idx="878">
                    <c:v>7.3696891546553263E-3</c:v>
                  </c:pt>
                  <c:pt idx="879">
                    <c:v>7.1398092475482679E-3</c:v>
                  </c:pt>
                  <c:pt idx="880">
                    <c:v>6.9154515829821595E-3</c:v>
                  </c:pt>
                  <c:pt idx="881">
                    <c:v>6.6965082022394738E-3</c:v>
                  </c:pt>
                  <c:pt idx="882">
                    <c:v>6.4828725257826628E-3</c:v>
                  </c:pt>
                  <c:pt idx="883">
                    <c:v>6.2744393571432713E-3</c:v>
                  </c:pt>
                  <c:pt idx="884">
                    <c:v>6.0711048860214575E-3</c:v>
                  </c:pt>
                  <c:pt idx="885">
                    <c:v>5.8727666906159348E-3</c:v>
                  </c:pt>
                  <c:pt idx="886">
                    <c:v>5.6793237392045361E-3</c:v>
                  </c:pt>
                  <c:pt idx="887">
                    <c:v>5.4906763909952421E-3</c:v>
                  </c:pt>
                  <c:pt idx="888">
                    <c:v>5.3067263962677585E-3</c:v>
                  </c:pt>
                  <c:pt idx="889">
                    <c:v>5.1273768958254766E-3</c:v>
                  </c:pt>
                  <c:pt idx="890">
                    <c:v>4.9525324197776032E-3</c:v>
                  </c:pt>
                  <c:pt idx="891">
                    <c:v>4.7820988856711868E-3</c:v>
                  </c:pt>
                  <c:pt idx="892">
                    <c:v>4.6159835959926334E-3</c:v>
                  </c:pt>
                  <c:pt idx="893">
                    <c:v>4.4540952350581777E-3</c:v>
                  </c:pt>
                  <c:pt idx="894">
                    <c:v>4.2963438653126091E-3</c:v>
                  </c:pt>
                  <c:pt idx="895">
                    <c:v>4.1426409230554918E-3</c:v>
                  </c:pt>
                  <c:pt idx="896">
                    <c:v>3.9928992136138916E-3</c:v>
                  </c:pt>
                  <c:pt idx="897">
                    <c:v>3.8470329059804289E-3</c:v>
                  </c:pt>
                  <c:pt idx="898">
                    <c:v>3.704957526935425E-3</c:v>
                  </c:pt>
                  <c:pt idx="899">
                    <c:v>3.5665899546715556E-3</c:v>
                  </c:pt>
                  <c:pt idx="900">
                    <c:v>3.4318484119393849E-3</c:v>
                  </c:pt>
                  <c:pt idx="901">
                    <c:v>3.3006524587317898E-3</c:v>
                  </c:pt>
                  <c:pt idx="902">
                    <c:v>3.1729229845252694E-3</c:v>
                  </c:pt>
                  <c:pt idx="903">
                    <c:v>3.0485822000957058E-3</c:v>
                  </c:pt>
                  <c:pt idx="904">
                    <c:v>2.9275536289260244E-3</c:v>
                  </c:pt>
                  <c:pt idx="905">
                    <c:v>2.8097620982230208E-3</c:v>
                  </c:pt>
                  <c:pt idx="906">
                    <c:v>2.6951337295602188E-3</c:v>
                  </c:pt>
                  <c:pt idx="907">
                    <c:v>2.5835959291635132E-3</c:v>
                  </c:pt>
                  <c:pt idx="908">
                    <c:v>2.4750773778560637E-3</c:v>
                  </c:pt>
                  <c:pt idx="909">
                    <c:v>2.3695080206785788E-3</c:v>
                  </c:pt>
                  <c:pt idx="910">
                    <c:v>2.2668190562009885E-3</c:v>
                  </c:pt>
                  <c:pt idx="911">
                    <c:v>2.166942925541121E-3</c:v>
                  </c:pt>
                  <c:pt idx="912">
                    <c:v>2.0698133011057569E-3</c:v>
                  </c:pt>
                  <c:pt idx="913">
                    <c:v>1.9753650750692414E-3</c:v>
                  </c:pt>
                  <c:pt idx="914">
                    <c:v>1.8835343476044041E-3</c:v>
                  </c:pt>
                  <c:pt idx="915">
                    <c:v>1.7942584148803848E-3</c:v>
                  </c:pt>
                  <c:pt idx="916">
                    <c:v>1.7074757568416158E-3</c:v>
                  </c:pt>
                  <c:pt idx="917">
                    <c:v>1.6231260247819138E-3</c:v>
                  </c:pt>
                  <c:pt idx="918">
                    <c:v>1.5411500287273901E-3</c:v>
                  </c:pt>
                  <c:pt idx="919">
                    <c:v>1.4614897246415441E-3</c:v>
                  </c:pt>
                  <c:pt idx="920">
                    <c:v>1.3840882014656635E-3</c:v>
                  </c:pt>
                  <c:pt idx="921">
                    <c:v>1.308889668007295E-3</c:v>
                  </c:pt>
                  <c:pt idx="922">
                    <c:v>1.2358394396893182E-3</c:v>
                  </c:pt>
                  <c:pt idx="923">
                    <c:v>1.1648839251718196E-3</c:v>
                  </c:pt>
                  <c:pt idx="924">
                    <c:v>1.0959706128586804E-3</c:v>
                  </c:pt>
                  <c:pt idx="925">
                    <c:v>1.029048057300485E-3</c:v>
                  </c:pt>
                  <c:pt idx="926">
                    <c:v>9.6406586550507349E-4</c:v>
                  </c:pt>
                  <c:pt idx="927">
                    <c:v>9.0097468316675897E-4</c:v>
                  </c:pt>
                  <c:pt idx="928">
                    <c:v>8.3972618082493928E-4</c:v>
                  </c:pt>
                  <c:pt idx="929">
                    <c:v>7.8027303996252022E-4</c:v>
                  </c:pt>
                  <c:pt idx="930">
                    <c:v>7.2256893905430506E-4</c:v>
                  </c:pt>
                  <c:pt idx="931">
                    <c:v>6.6656853957518811E-4</c:v>
                  </c:pt>
                  <c:pt idx="932">
                    <c:v>6.122274719777142E-4</c:v>
                  </c:pt>
                  <c:pt idx="933">
                    <c:v>5.5950232164826631E-4</c:v>
                  </c:pt>
                  <c:pt idx="934">
                    <c:v>5.0835061485086431E-4</c:v>
                  </c:pt>
                  <c:pt idx="935">
                    <c:v>4.587308046672873E-4</c:v>
                  </c:pt>
                  <c:pt idx="936">
                    <c:v>4.1060225694191104E-4</c:v>
                  </c:pt>
                  <c:pt idx="937">
                    <c:v>3.639252362394158E-4</c:v>
                  </c:pt>
                  <c:pt idx="938">
                    <c:v>3.1866089182323865E-4</c:v>
                  </c:pt>
                  <c:pt idx="939">
                    <c:v>2.7477124366231606E-4</c:v>
                  </c:pt>
                  <c:pt idx="940">
                    <c:v>2.3221916847348807E-4</c:v>
                  </c:pt>
                  <c:pt idx="941">
                    <c:v>1.9096838580657366E-4</c:v>
                  </c:pt>
                  <c:pt idx="942">
                    <c:v>1.50983444178926E-4</c:v>
                  </c:pt>
                  <c:pt idx="943">
                    <c:v>1.122297072659944E-4</c:v>
                  </c:pt>
                  <c:pt idx="944">
                    <c:v>7.4673340154151734E-5</c:v>
                  </c:pt>
                  <c:pt idx="945">
                    <c:v>3.8281295661816029E-5</c:v>
                  </c:pt>
                  <c:pt idx="946">
                    <c:v>3.0213007346311781E-6</c:v>
                  </c:pt>
                  <c:pt idx="947">
                    <c:v>-3.1138157079772149E-5</c:v>
                  </c:pt>
                  <c:pt idx="948">
                    <c:v>-6.4227843072149778E-5</c:v>
                  </c:pt>
                  <c:pt idx="949">
                    <c:v>-9.627778872211602E-5</c:v>
                  </c:pt>
                  <c:pt idx="950">
                    <c:v>-1.2731730495389119E-4</c:v>
                  </c:pt>
                  <c:pt idx="951">
                    <c:v>-1.5737499529275983E-4</c:v>
                  </c:pt>
                  <c:pt idx="952">
                    <c:v>-1.8647876891786364E-4</c:v>
                  </c:pt>
                  <c:pt idx="953">
                    <c:v>-2.1465585360721292E-4</c:v>
                  </c:pt>
                  <c:pt idx="954">
                    <c:v>-2.4193280857098083E-4</c:v>
                  </c:pt>
                  <c:pt idx="955">
                    <c:v>-2.6833553716939032E-4</c:v>
                  </c:pt>
                  <c:pt idx="956">
                    <c:v>-2.9388929951167347E-4</c:v>
                  </c:pt>
                  <c:pt idx="957">
                    <c:v>-3.1861872493282721E-4</c:v>
                  </c:pt>
                  <c:pt idx="958">
                    <c:v>-3.42547824345051E-4</c:v>
                  </c:pt>
                  <c:pt idx="959">
                    <c:v>-3.6570000246097831E-4</c:v>
                  </c:pt>
                  <c:pt idx="960">
                    <c:v>-3.880980698859716E-4</c:v>
                  </c:pt>
                  <c:pt idx="961">
                    <c:v>-4.0976425507696656E-4</c:v>
                  </c:pt>
                  <c:pt idx="962">
                    <c:v>-4.3072021616550682E-4</c:v>
                  </c:pt>
                  <c:pt idx="963">
                    <c:v>-4.5098705264280832E-4</c:v>
                  </c:pt>
                  <c:pt idx="964">
                    <c:v>-4.7058531690483965E-4</c:v>
                  </c:pt>
                  <c:pt idx="965">
                    <c:v>-4.8953502565559596E-4</c:v>
                  </c:pt>
                  <c:pt idx="966">
                    <c:v>-5.0785567116689494E-4</c:v>
                  </c:pt>
                  <c:pt idx="967">
                    <c:v>-5.2556623239317468E-4</c:v>
                  </c:pt>
                  <c:pt idx="968">
                    <c:v>-5.4268518593994465E-4</c:v>
                  </c:pt>
                  <c:pt idx="969">
                    <c:v>-5.5923051688467533E-4</c:v>
                  </c:pt>
                  <c:pt idx="970">
                    <c:v>-5.7521972944906232E-4</c:v>
                  </c:pt>
                  <c:pt idx="971">
                    <c:v>-5.9066985752174127E-4</c:v>
                  </c:pt>
                  <c:pt idx="972">
                    <c:v>-6.0559747503066903E-4</c:v>
                  </c:pt>
                  <c:pt idx="973">
                    <c:v>-6.2001870616450985E-4</c:v>
                  </c:pt>
                  <c:pt idx="974">
                    <c:v>-6.3394923544250162E-4</c:v>
                  </c:pt>
                  <c:pt idx="975">
                    <c:v>-6.4740431763239681E-4</c:v>
                  </c:pt>
                  <c:pt idx="976">
                    <c:v>-6.6039878751619264E-4</c:v>
                  </c:pt>
                  <c:pt idx="977">
                    <c:v>-6.7294706950347721E-4</c:v>
                  </c:pt>
                  <c:pt idx="978">
                    <c:v>-6.850631870923353E-4</c:v>
                  </c:pt>
                  <c:pt idx="979">
                    <c:v>-6.967607721778574E-4</c:v>
                  </c:pt>
                  <c:pt idx="980">
                    <c:v>-7.0805307420840628E-4</c:v>
                  </c:pt>
                  <c:pt idx="981">
                    <c:v>-7.189529691898844E-4</c:v>
                  </c:pt>
                  <c:pt idx="982">
                    <c:v>-7.2947296853835412E-4</c:v>
                  </c:pt>
                  <c:pt idx="983">
                    <c:v>-7.3962522778143656E-4</c:v>
                  </c:pt>
                  <c:pt idx="984">
                    <c:v>-7.4942155510902245E-4</c:v>
                  </c:pt>
                  <c:pt idx="985">
                    <c:v>-7.5887341977389378E-4</c:v>
                  </c:pt>
                  <c:pt idx="986">
                    <c:v>-7.679919603429487E-4</c:v>
                  </c:pt>
                  <c:pt idx="987">
                    <c:v>-7.7678799279979249E-4</c:v>
                  </c:pt>
                  <c:pt idx="988">
                    <c:v>-7.8527201849953117E-4</c:v>
                  </c:pt>
                  <c:pt idx="989">
                    <c:v>-7.9345423197667601E-4</c:v>
                  </c:pt>
                  <c:pt idx="990">
                    <c:v>-8.0134452860713241E-4</c:v>
                  </c:pt>
                  <c:pt idx="991">
                    <c:v>-8.0895251212531052E-4</c:v>
                  </c:pt>
                  <c:pt idx="992">
                    <c:v>-8.1628750199745431E-4</c:v>
                  </c:pt>
                  <c:pt idx="993">
                    <c:v>-8.2335854065234348E-4</c:v>
                  </c:pt>
                  <c:pt idx="994">
                    <c:v>-8.3017440057057382E-4</c:v>
                  </c:pt>
                  <c:pt idx="995">
                    <c:v>-8.3674359123367815E-4</c:v>
                  </c:pt>
                  <c:pt idx="996">
                    <c:v>-8.4307436593439083E-4</c:v>
                  </c:pt>
                  <c:pt idx="997">
                    <c:v>-8.4917472844940774E-4</c:v>
                  </c:pt>
                  <c:pt idx="998">
                    <c:v>-8.5505243957603716E-4</c:v>
                  </c:pt>
                  <c:pt idx="999">
                    <c:v>-8.6071502353417088E-4</c:v>
                  </c:pt>
                  <c:pt idx="1000">
                    <c:v>-8.6616977423504789E-4</c:v>
                  </c:pt>
                  <c:pt idx="1001">
                    <c:v>-8.7142376141831476E-4</c:v>
                  </c:pt>
                  <c:pt idx="1002">
                    <c:v>-8.7648383665891473E-4</c:v>
                  </c:pt>
                  <c:pt idx="1003">
                    <c:v>-8.8135663924537421E-4</c:v>
                  </c:pt>
                  <c:pt idx="1004">
                    <c:v>-8.8604860193107775E-4</c:v>
                  </c:pt>
                  <c:pt idx="1005">
                    <c:v>-8.9056595656014387E-4</c:v>
                  </c:pt>
                  <c:pt idx="1006">
                    <c:v>-8.9491473956954614E-4</c:v>
                  </c:pt>
                  <c:pt idx="1007">
                    <c:v>-8.9910079736913384E-4</c:v>
                  </c:pt>
                  <c:pt idx="1008">
                    <c:v>-9.0312979160123109E-4</c:v>
                  </c:pt>
                  <c:pt idx="1009">
                    <c:v>-9.0700720428150625E-4</c:v>
                  </c:pt>
                  <c:pt idx="1010">
                    <c:v>-9.1073834282282082E-4</c:v>
                  </c:pt>
                  <c:pt idx="1011">
                    <c:v>-9.1432834494377347E-4</c:v>
                  </c:pt>
                  <c:pt idx="1012">
                    <c:v>-9.1778218346367114E-4</c:v>
                  </c:pt>
                  <c:pt idx="1013">
                    <c:v>-9.2110467098566564E-4</c:v>
                  </c:pt>
                  <c:pt idx="1014">
                    <c:v>-9.2430046446979907E-4</c:v>
                  </c:pt>
                  <c:pt idx="1015">
                    <c:v>-9.273740696977091E-4</c:v>
                  </c:pt>
                  <c:pt idx="1016">
                    <c:v>-9.3032984563074861E-4</c:v>
                  </c:pt>
                  <c:pt idx="1017">
                    <c:v>-9.3317200866327378E-4</c:v>
                  </c:pt>
                  <c:pt idx="1018">
                    <c:v>-9.3590463677285969E-4</c:v>
                  </c:pt>
                  <c:pt idx="1019">
                    <c:v>-9.3853167356919764E-4</c:v>
                  </c:pt>
                  <c:pt idx="1020">
                    <c:v>-9.410569322434283E-4</c:v>
                  </c:pt>
                  <c:pt idx="1021">
                    <c:v>-9.4348409941966203E-4</c:v>
                  </c:pt>
                  <c:pt idx="1022">
                    <c:v>-9.4581673891043039E-4</c:v>
                  </c:pt>
                  <c:pt idx="1023">
                    <c:v>-9.4805829537781172E-4</c:v>
                  </c:pt>
                  <c:pt idx="1024">
                    <c:v>-9.5021209790196049E-4</c:v>
                  </c:pt>
                  <c:pt idx="1025">
                    <c:v>-9.5228136345876886E-4</c:v>
                  </c:pt>
                  <c:pt idx="1026">
                    <c:v>-9.542692003083734E-4</c:v>
                  </c:pt>
                  <c:pt idx="1027">
                    <c:v>-9.5617861129621766E-4</c:v>
                  </c:pt>
                  <c:pt idx="1028">
                    <c:v>-9.5801249706835929E-4</c:v>
                  </c:pt>
                  <c:pt idx="1029">
                    <c:v>-9.5977365920271252E-4</c:v>
                  </c:pt>
                  <c:pt idx="1030">
                    <c:v>-9.6146480325789128E-4</c:v>
                  </c:pt>
                  <c:pt idx="1031">
                    <c:v>-9.6308854174131302E-4</c:v>
                  </c:pt>
                  <c:pt idx="1032">
                    <c:v>-9.6464739699820689E-4</c:v>
                  </c:pt>
                  <c:pt idx="1033">
                    <c:v>-9.6614380402315289E-4</c:v>
                  </c:pt>
                  <c:pt idx="1034">
                    <c:v>-9.6758011319576776E-4</c:v>
                  </c:pt>
                  <c:pt idx="1035">
                    <c:v>-9.6895859294213204E-4</c:v>
                  </c:pt>
                  <c:pt idx="1036">
                    <c:v>-9.7028143232354071E-4</c:v>
                  </c:pt>
                  <c:pt idx="1037">
                    <c:v>-9.7155074355413922E-4</c:v>
                  </c:pt>
                  <c:pt idx="1038">
                    <c:v>-9.7276856444899161E-4</c:v>
                  </c:pt>
                  <c:pt idx="1039">
                    <c:v>-9.739368608041065E-4</c:v>
                  </c:pt>
                  <c:pt idx="1040">
                    <c:v>-9.7505752870993183E-4</c:v>
                  </c:pt>
                  <c:pt idx="1041">
                    <c:v>-9.7613239679980644E-4</c:v>
                  </c:pt>
                  <c:pt idx="1042">
                    <c:v>-9.771632284348397E-4</c:v>
                  </c:pt>
                  <c:pt idx="1043">
                    <c:v>-9.7815172382667071E-4</c:v>
                  </c:pt>
                  <c:pt idx="1044">
                    <c:v>-9.790995220995372E-4</c:v>
                  </c:pt>
                  <c:pt idx="1045">
                    <c:v>-9.800082032930652E-4</c:v>
                  </c:pt>
                  <c:pt idx="1046">
                    <c:v>-9.8087929030717092E-4</c:v>
                  </c:pt>
                  <c:pt idx="1047">
                    <c:v>-9.8171425079044165E-4</c:v>
                  </c:pt>
                  <c:pt idx="1048">
                    <c:v>-9.8251449897335036E-4</c:v>
                  </c:pt>
                  <c:pt idx="1049">
                    <c:v>-9.8328139744762485E-4</c:v>
                  </c:pt>
                  <c:pt idx="1050">
                    <c:v>-9.8401625889308481E-4</c:v>
                  </c:pt>
                  <c:pt idx="1051">
                    <c:v>-9.8472034775322912E-4</c:v>
                  </c:pt>
                  <c:pt idx="1052">
                    <c:v>-9.8539488186083816E-4</c:v>
                  </c:pt>
                  <c:pt idx="1053">
                    <c:v>-9.8604103401483674E-4</c:v>
                  </c:pt>
                  <c:pt idx="1054">
                    <c:v>-9.8665993350963588E-4</c:v>
                  </c:pt>
                  <c:pt idx="1055">
                    <c:v>-9.8725266761815877E-4</c:v>
                  </c:pt>
                  <c:pt idx="1056">
                    <c:v>-9.8782028302972372E-4</c:v>
                  </c:pt>
                  <c:pt idx="1057">
                    <c:v>-9.8836378724395007E-4</c:v>
                  </c:pt>
                  <c:pt idx="1058">
                    <c:v>-9.8888414992181518E-4</c:v>
                  </c:pt>
                  <c:pt idx="1059">
                    <c:v>-9.8938230419498498E-4</c:v>
                  </c:pt>
                  <c:pt idx="1060">
                    <c:v>-9.8985914793450693E-4</c:v>
                  </c:pt>
                  <c:pt idx="1061">
                    <c:v>-9.9031554497994254E-4</c:v>
                  </c:pt>
                  <c:pt idx="1062">
                    <c:v>-9.9075232632998855E-4</c:v>
                  </c:pt>
                  <c:pt idx="1063">
                    <c:v>-9.9117029129562021E-4</c:v>
                  </c:pt>
                  <c:pt idx="1064">
                    <c:v>-9.9157020861676578E-4</c:v>
                  </c:pt>
                  <c:pt idx="1065">
                    <c:v>-9.9195281754350245E-4</c:v>
                  </c:pt>
                  <c:pt idx="1066">
                    <c:v>-9.9231882888274462E-4</c:v>
                  </c:pt>
                  <c:pt idx="1067">
                    <c:v>-9.9266892601137125E-4</c:v>
                  </c:pt>
                  <c:pt idx="1068">
                    <c:v>-9.9300376585672516E-4</c:v>
                  </c:pt>
                  <c:pt idx="1069">
                    <c:v>-9.9332397984538815E-4</c:v>
                  </c:pt>
                  <c:pt idx="1070">
                    <c:v>-9.9363017482112883E-4</c:v>
                  </c:pt>
                  <c:pt idx="1071">
                    <c:v>-9.9392293393288497E-4</c:v>
                  </c:pt>
                  <c:pt idx="1072">
                    <c:v>-9.9420281749363899E-4</c:v>
                  </c:pt>
                  <c:pt idx="1073">
                    <c:v>-9.9447036381101225E-4</c:v>
                  </c:pt>
                  <c:pt idx="1074">
                    <c:v>-9.9472608999039516E-4</c:v>
                  </c:pt>
                  <c:pt idx="1075">
                    <c:v>-9.949704927114042E-4</c:v>
                  </c:pt>
                  <c:pt idx="1076">
                    <c:v>-9.9520404897844431E-4</c:v>
                  </c:pt>
                  <c:pt idx="1077">
                    <c:v>-9.9542721684613275E-4</c:v>
                  </c:pt>
                  <c:pt idx="1078">
                    <c:v>-9.9564043612032551E-4</c:v>
                  </c:pt>
                  <c:pt idx="1079">
                    <c:v>-9.9584412903546598E-4</c:v>
                  </c:pt>
                  <c:pt idx="1080">
                    <c:v>-9.9603870090896529E-4</c:v>
                  </c:pt>
                  <c:pt idx="1081">
                    <c:v>-9.9622454077329613E-4</c:v>
                  </c:pt>
                  <c:pt idx="1082">
                    <c:v>-9.9640202198647641E-4</c:v>
                  </c:pt>
                  <c:pt idx="1083">
                    <c:v>-9.9657150282159265E-4</c:v>
                  </c:pt>
                  <c:pt idx="1084">
                    <c:v>-9.9673332703600448E-4</c:v>
                  </c:pt>
                  <c:pt idx="1085">
                    <c:v>-9.9688782442084898E-4</c:v>
                  </c:pt>
                  <c:pt idx="1086">
                    <c:v>-9.9703531133145265E-4</c:v>
                  </c:pt>
                  <c:pt idx="1087">
                    <c:v>-9.9717609119924218E-4</c:v>
                  </c:pt>
                  <c:pt idx="1088">
                    <c:v>-9.9731045502572668E-4</c:v>
                  </c:pt>
                  <c:pt idx="1089">
                    <c:v>-9.9743868185911367E-4</c:v>
                  </c:pt>
                  <c:pt idx="1090">
                    <c:v>-9.9756103925410485E-4</c:v>
                  </c:pt>
                  <c:pt idx="1091">
                    <c:v>-9.9767778371540028E-4</c:v>
                  </c:pt>
                  <c:pt idx="1092">
                    <c:v>-9.9778916112543007E-4</c:v>
                  </c:pt>
                  <c:pt idx="1093">
                    <c:v>-9.9789540715681537E-4</c:v>
                  </c:pt>
                  <c:pt idx="1094">
                    <c:v>-9.9799674767005013E-4</c:v>
                  </c:pt>
                  <c:pt idx="1095">
                    <c:v>-9.980933990968758E-4</c:v>
                  </c:pt>
                  <c:pt idx="1096">
                    <c:v>-9.981855688098167E-4</c:v>
                  </c:pt>
                  <c:pt idx="1097">
                    <c:v>-9.9827345547832177E-4</c:v>
                  </c:pt>
                  <c:pt idx="1098">
                    <c:v>-9.9835724941195383E-4</c:v>
                  </c:pt>
                  <c:pt idx="1099">
                    <c:v>-9.9843713289104953E-4</c:v>
                  </c:pt>
                  <c:pt idx="1100">
                    <c:v>-9.9851328048526471E-4</c:v>
                  </c:pt>
                  <c:pt idx="1101">
                    <c:v>-9.9858585936040399E-4</c:v>
                  </c:pt>
                  <c:pt idx="1102">
                    <c:v>-9.9865502957392966E-4</c:v>
                  </c:pt>
                  <c:pt idx="1103">
                    <c:v>-9.9872094435952247E-4</c:v>
                  </c:pt>
                  <c:pt idx="1104">
                    <c:v>-9.9878375040106772E-4</c:v>
                  </c:pt>
                  <c:pt idx="1105">
                    <c:v>-9.9884358809641935E-4</c:v>
                  </c:pt>
                  <c:pt idx="1106">
                    <c:v>-9.9890059181129099E-4</c:v>
                  </c:pt>
                  <c:pt idx="1107">
                    <c:v>-9.9895489012360983E-4</c:v>
                  </c:pt>
                  <c:pt idx="1108">
                    <c:v>-9.990066060586594E-4</c:v>
                  </c:pt>
                  <c:pt idx="1109">
                    <c:v>-9.9905585731532615E-4</c:v>
                  </c:pt>
                  <c:pt idx="1110">
                    <c:v>-9.9910275648376103E-4</c:v>
                  </c:pt>
                  <c:pt idx="1111">
                    <c:v>-9.9914741125474763E-4</c:v>
                  </c:pt>
                  <c:pt idx="1112">
                    <c:v>-9.9918992462107127E-4</c:v>
                  </c:pt>
                  <c:pt idx="1113">
                    <c:v>-9.9923039507116484E-4</c:v>
                  </c:pt>
                  <c:pt idx="1114">
                    <c:v>-9.992689167753041E-4</c:v>
                  </c:pt>
                  <c:pt idx="1115">
                    <c:v>-9.9930557976461395E-4</c:v>
                  </c:pt>
                  <c:pt idx="1116">
                    <c:v>-9.99340470103142E-4</c:v>
                  </c:pt>
                  <c:pt idx="1117">
                    <c:v>-9.9937367005324359E-4</c:v>
                  </c:pt>
                  <c:pt idx="1118">
                    <c:v>-9.9940525823451871E-4</c:v>
                  </c:pt>
                  <c:pt idx="1119">
                    <c:v>-9.9943530977653051E-4</c:v>
                  </c:pt>
                  <c:pt idx="1120">
                    <c:v>-9.9946389646552976E-4</c:v>
                  </c:pt>
                  <c:pt idx="1121">
                    <c:v>-9.9949108688540287E-4</c:v>
                  </c:pt>
                  <c:pt idx="1122">
                    <c:v>-9.9951694655304969E-4</c:v>
                  </c:pt>
                  <c:pt idx="1123">
                    <c:v>-9.9954153804839821E-4</c:v>
                  </c:pt>
                  <c:pt idx="1124">
                    <c:v>-9.9956492113924809E-4</c:v>
                  </c:pt>
                  <c:pt idx="1125">
                    <c:v>-9.9958715290113676E-4</c:v>
                  </c:pt>
                  <c:pt idx="1126">
                    <c:v>-9.9960828783240627E-4</c:v>
                  </c:pt>
                  <c:pt idx="1127">
                    <c:v>-9.9962837796465482E-4</c:v>
                  </c:pt>
                  <c:pt idx="1128">
                    <c:v>-9.9964747296873839E-4</c:v>
                  </c:pt>
                  <c:pt idx="1129">
                    <c:v>-9.9966562025649184E-4</c:v>
                  </c:pt>
                  <c:pt idx="1130">
                    <c:v>-9.996828650783282E-4</c:v>
                  </c:pt>
                  <c:pt idx="1131">
                    <c:v>-9.9969925061687138E-4</c:v>
                  </c:pt>
                  <c:pt idx="1132">
                    <c:v>-9.9971481807677133E-4</c:v>
                  </c:pt>
                  <c:pt idx="1133">
                    <c:v>-9.9972960677084644E-4</c:v>
                  </c:pt>
                  <c:pt idx="1134">
                    <c:v>-9.9974365420269244E-4</c:v>
                  </c:pt>
                  <c:pt idx="1135">
                    <c:v>-9.9975699614589177E-4</c:v>
                  </c:pt>
                  <c:pt idx="1136">
                    <c:v>-9.997696667199559E-4</c:v>
                  </c:pt>
                  <c:pt idx="1137">
                    <c:v>-9.9978169846312191E-4</c:v>
                  </c:pt>
                  <c:pt idx="1138">
                    <c:v>-9.9979312240212784E-4</c:v>
                  </c:pt>
                  <c:pt idx="1139">
                    <c:v>-9.9980396811908301E-4</c:v>
                  </c:pt>
                  <c:pt idx="1140">
                    <c:v>-9.9981426381554441E-4</c:v>
                  </c:pt>
                  <c:pt idx="1141">
                    <c:v>-9.9982403637390873E-4</c:v>
                  </c:pt>
                  <c:pt idx="1142">
                    <c:v>-9.9983331141622776E-4</c:v>
                  </c:pt>
                  <c:pt idx="1143">
                    <c:v>-9.9984211336054092E-4</c:v>
                  </c:pt>
                  <c:pt idx="1144">
                    <c:v>-9.9985046547483277E-4</c:v>
                  </c:pt>
                  <c:pt idx="1145">
                    <c:v>-9.9985838992869822E-4</c:v>
                  </c:pt>
                  <c:pt idx="1146">
                    <c:v>-9.9986590784281629E-4</c:v>
                  </c:pt>
                  <c:pt idx="1147">
                    <c:v>-9.9987303933631185E-4</c:v>
                  </c:pt>
                  <c:pt idx="1148">
                    <c:v>-9.9987980357209359E-4</c:v>
                  </c:pt>
                  <c:pt idx="1149">
                    <c:v>-9.9988621880024958E-4</c:v>
                  </c:pt>
                  <c:pt idx="1150">
                    <c:v>-9.998923023995744E-4</c:v>
                  </c:pt>
                  <c:pt idx="1151">
                    <c:v>-9.9989807091730863E-4</c:v>
                  </c:pt>
                  <c:pt idx="1152">
                    <c:v>-9.9990354010715725E-4</c:v>
                  </c:pt>
                  <c:pt idx="1153">
                    <c:v>-9.9990872496566225E-4</c:v>
                  </c:pt>
                  <c:pt idx="1154">
                    <c:v>-9.9991363976699205E-4</c:v>
                  </c:pt>
                  <c:pt idx="1155">
                    <c:v>-9.9991829809621441E-4</c:v>
                  </c:pt>
                  <c:pt idx="1156">
                    <c:v>-9.9992271288111469E-4</c:v>
                  </c:pt>
                  <c:pt idx="1157">
                    <c:v>-9.999268964226188E-4</c:v>
                  </c:pt>
                  <c:pt idx="1158">
                    <c:v>-9.9993086042387885E-4</c:v>
                  </c:pt>
                  <c:pt idx="1159">
                    <c:v>-9.9993461601807689E-4</c:v>
                  </c:pt>
                  <c:pt idx="1160">
                    <c:v>-9.9993817379499827E-4</c:v>
                  </c:pt>
                  <c:pt idx="1161">
                    <c:v>-9.9994154382642905E-4</c:v>
                  </c:pt>
                  <c:pt idx="1162">
                    <c:v>-9.9994473569042243E-4</c:v>
                  </c:pt>
                  <c:pt idx="1163">
                    <c:v>-9.9994775849448548E-4</c:v>
                  </c:pt>
                  <c:pt idx="1164">
                    <c:v>-9.9995062089772895E-4</c:v>
                  </c:pt>
                  <c:pt idx="1165">
                    <c:v>-9.9995333113202397E-4</c:v>
                  </c:pt>
                  <c:pt idx="1166">
                    <c:v>-9.9995589702221071E-4</c:v>
                  </c:pt>
                  <c:pt idx="1167">
                    <c:v>-9.9995832600539283E-4</c:v>
                  </c:pt>
                  <c:pt idx="1168">
                    <c:v>-9.9996062514936504E-4</c:v>
                  </c:pt>
                  <c:pt idx="1169">
                    <c:v>-9.9996280117020187E-4</c:v>
                  </c:pt>
                  <c:pt idx="1170">
                    <c:v>-9.9996486044905174E-4</c:v>
                  </c:pt>
                  <c:pt idx="1171">
                    <c:v>-9.9996680904816324E-4</c:v>
                  </c:pt>
                  <c:pt idx="1172">
                    <c:v>-9.9996865272618208E-4</c:v>
                  </c:pt>
                  <c:pt idx="1173">
                    <c:v>-9.9997039695274778E-4</c:v>
                  </c:pt>
                  <c:pt idx="1174">
                    <c:v>-9.9997204692241974E-4</c:v>
                  </c:pt>
                  <c:pt idx="1175">
                    <c:v>-9.9997360756796439E-4</c:v>
                  </c:pt>
                  <c:pt idx="1176">
                    <c:v>-9.9997508357302714E-4</c:v>
                  </c:pt>
                  <c:pt idx="1177">
                    <c:v>-9.9997647938422163E-4</c:v>
                  </c:pt>
                  <c:pt idx="1178">
                    <c:v>-9.9997779922265636E-4</c:v>
                  </c:pt>
                  <c:pt idx="1179">
                    <c:v>-9.9997904709492672E-4</c:v>
                  </c:pt>
                  <c:pt idx="1180">
                    <c:v>-9.9998022680359384E-4</c:v>
                  </c:pt>
                  <c:pt idx="1181">
                    <c:v>-9.9998134195717616E-4</c:v>
                  </c:pt>
                  <c:pt idx="1182">
                    <c:v>-9.999823959796711E-4</c:v>
                  </c:pt>
                  <c:pt idx="1183">
                    <c:v>-9.9998339211963111E-4</c:v>
                  </c:pt>
                  <c:pt idx="1184">
                    <c:v>-9.9998433345881198E-4</c:v>
                  </c:pt>
                  <c:pt idx="1185">
                    <c:v>-9.9998522292041358E-4</c:v>
                  </c:pt>
                  <c:pt idx="1186">
                    <c:v>-9.9998606327693102E-4</c:v>
                  </c:pt>
                  <c:pt idx="1187">
                    <c:v>-9.9998685715763308E-4</c:v>
                  </c:pt>
                  <c:pt idx="1188">
                    <c:v>-9.9998760705568581E-4</c:v>
                  </c:pt>
                  <c:pt idx="1189">
                    <c:v>-9.9998831533493703E-4</c:v>
                  </c:pt>
                  <c:pt idx="1190">
                    <c:v>-9.9998898423637539E-4</c:v>
                  </c:pt>
                  <c:pt idx="1191">
                    <c:v>-9.9998961588428233E-4</c:v>
                  </c:pt>
                  <c:pt idx="1192">
                    <c:v>-9.9999021229208764E-4</c:v>
                  </c:pt>
                  <c:pt idx="1193">
                    <c:v>-9.9999077536794267E-4</c:v>
                  </c:pt>
                  <c:pt idx="1194">
                    <c:v>-9.9999130692002714E-4</c:v>
                  </c:pt>
                  <c:pt idx="1195">
                    <c:v>-9.9999180866159644E-4</c:v>
                  </c:pt>
                  <c:pt idx="1196">
                    <c:v>-9.9999228221578753E-4</c:v>
                  </c:pt>
                  <c:pt idx="1197">
                    <c:v>-9.9999272912018817E-4</c:v>
                  </c:pt>
                  <c:pt idx="1198">
                    <c:v>-9.9999315083118697E-4</c:v>
                  </c:pt>
                  <c:pt idx="1199">
                    <c:v>-9.9999354872810919E-4</c:v>
                  </c:pt>
                  <c:pt idx="1200">
                    <c:v>-9.9999392411715023E-4</c:v>
                  </c:pt>
                </c:numCache>
              </c:numRef>
            </c:minus>
            <c:spPr>
              <a:ln w="25400">
                <a:solidFill>
                  <a:srgbClr val="99CCFF"/>
                </a:solidFill>
                <a:prstDash val="solid"/>
              </a:ln>
            </c:spPr>
          </c:errBars>
          <c:xVal>
            <c:numRef>
              <c:f>'Normal and t'!$BA$21:$BA$1221</c:f>
              <c:numCache>
                <c:formatCode>General</c:formatCode>
                <c:ptCount val="1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pt idx="201">
                  <c:v>-3.9900000000000428</c:v>
                </c:pt>
                <c:pt idx="202">
                  <c:v>-3.9800000000000431</c:v>
                </c:pt>
                <c:pt idx="203">
                  <c:v>-3.9700000000000433</c:v>
                </c:pt>
                <c:pt idx="204">
                  <c:v>-3.9600000000000435</c:v>
                </c:pt>
                <c:pt idx="205">
                  <c:v>-3.9500000000000437</c:v>
                </c:pt>
                <c:pt idx="206">
                  <c:v>-3.9400000000000439</c:v>
                </c:pt>
                <c:pt idx="207">
                  <c:v>-3.9300000000000441</c:v>
                </c:pt>
                <c:pt idx="208">
                  <c:v>-3.9200000000000443</c:v>
                </c:pt>
                <c:pt idx="209">
                  <c:v>-3.9100000000000446</c:v>
                </c:pt>
                <c:pt idx="210">
                  <c:v>-3.9000000000000448</c:v>
                </c:pt>
                <c:pt idx="211">
                  <c:v>-3.890000000000045</c:v>
                </c:pt>
                <c:pt idx="212">
                  <c:v>-3.8800000000000452</c:v>
                </c:pt>
                <c:pt idx="213">
                  <c:v>-3.8700000000000454</c:v>
                </c:pt>
                <c:pt idx="214">
                  <c:v>-3.8600000000000456</c:v>
                </c:pt>
                <c:pt idx="215">
                  <c:v>-3.8500000000000458</c:v>
                </c:pt>
                <c:pt idx="216">
                  <c:v>-3.840000000000046</c:v>
                </c:pt>
                <c:pt idx="217">
                  <c:v>-3.8300000000000463</c:v>
                </c:pt>
                <c:pt idx="218">
                  <c:v>-3.8200000000000465</c:v>
                </c:pt>
                <c:pt idx="219">
                  <c:v>-3.8100000000000467</c:v>
                </c:pt>
                <c:pt idx="220">
                  <c:v>-3.8000000000000469</c:v>
                </c:pt>
                <c:pt idx="221">
                  <c:v>-3.7900000000000471</c:v>
                </c:pt>
                <c:pt idx="222">
                  <c:v>-3.7800000000000473</c:v>
                </c:pt>
                <c:pt idx="223">
                  <c:v>-3.7700000000000475</c:v>
                </c:pt>
                <c:pt idx="224">
                  <c:v>-3.7600000000000477</c:v>
                </c:pt>
                <c:pt idx="225">
                  <c:v>-3.750000000000048</c:v>
                </c:pt>
                <c:pt idx="226">
                  <c:v>-3.7400000000000482</c:v>
                </c:pt>
                <c:pt idx="227">
                  <c:v>-3.7300000000000484</c:v>
                </c:pt>
                <c:pt idx="228">
                  <c:v>-3.7200000000000486</c:v>
                </c:pt>
                <c:pt idx="229">
                  <c:v>-3.7100000000000488</c:v>
                </c:pt>
                <c:pt idx="230">
                  <c:v>-3.700000000000049</c:v>
                </c:pt>
                <c:pt idx="231">
                  <c:v>-3.6900000000000492</c:v>
                </c:pt>
                <c:pt idx="232">
                  <c:v>-3.6800000000000495</c:v>
                </c:pt>
                <c:pt idx="233">
                  <c:v>-3.6700000000000497</c:v>
                </c:pt>
                <c:pt idx="234">
                  <c:v>-3.6600000000000499</c:v>
                </c:pt>
                <c:pt idx="235">
                  <c:v>-3.6500000000000501</c:v>
                </c:pt>
                <c:pt idx="236">
                  <c:v>-3.6400000000000503</c:v>
                </c:pt>
                <c:pt idx="237">
                  <c:v>-3.6300000000000505</c:v>
                </c:pt>
                <c:pt idx="238">
                  <c:v>-3.6200000000000507</c:v>
                </c:pt>
                <c:pt idx="239">
                  <c:v>-3.6100000000000509</c:v>
                </c:pt>
                <c:pt idx="240">
                  <c:v>-3.6000000000000512</c:v>
                </c:pt>
                <c:pt idx="241">
                  <c:v>-3.5900000000000514</c:v>
                </c:pt>
                <c:pt idx="242">
                  <c:v>-3.5800000000000516</c:v>
                </c:pt>
                <c:pt idx="243">
                  <c:v>-3.5700000000000518</c:v>
                </c:pt>
                <c:pt idx="244">
                  <c:v>-3.560000000000052</c:v>
                </c:pt>
                <c:pt idx="245">
                  <c:v>-3.5500000000000522</c:v>
                </c:pt>
                <c:pt idx="246">
                  <c:v>-3.5400000000000524</c:v>
                </c:pt>
                <c:pt idx="247">
                  <c:v>-3.5300000000000527</c:v>
                </c:pt>
                <c:pt idx="248">
                  <c:v>-3.5200000000000529</c:v>
                </c:pt>
                <c:pt idx="249">
                  <c:v>-3.5100000000000531</c:v>
                </c:pt>
                <c:pt idx="250">
                  <c:v>-3.5000000000000533</c:v>
                </c:pt>
                <c:pt idx="251">
                  <c:v>-3.4900000000000535</c:v>
                </c:pt>
                <c:pt idx="252">
                  <c:v>-3.4800000000000537</c:v>
                </c:pt>
                <c:pt idx="253">
                  <c:v>-3.4700000000000539</c:v>
                </c:pt>
                <c:pt idx="254">
                  <c:v>-3.4600000000000541</c:v>
                </c:pt>
                <c:pt idx="255">
                  <c:v>-3.4500000000000544</c:v>
                </c:pt>
                <c:pt idx="256">
                  <c:v>-3.4400000000000546</c:v>
                </c:pt>
                <c:pt idx="257">
                  <c:v>-3.4300000000000548</c:v>
                </c:pt>
                <c:pt idx="258">
                  <c:v>-3.420000000000055</c:v>
                </c:pt>
                <c:pt idx="259">
                  <c:v>-3.4100000000000552</c:v>
                </c:pt>
                <c:pt idx="260">
                  <c:v>-3.4000000000000554</c:v>
                </c:pt>
                <c:pt idx="261">
                  <c:v>-3.3900000000000556</c:v>
                </c:pt>
                <c:pt idx="262">
                  <c:v>-3.3800000000000558</c:v>
                </c:pt>
                <c:pt idx="263">
                  <c:v>-3.3700000000000561</c:v>
                </c:pt>
                <c:pt idx="264">
                  <c:v>-3.3600000000000563</c:v>
                </c:pt>
                <c:pt idx="265">
                  <c:v>-3.3500000000000565</c:v>
                </c:pt>
                <c:pt idx="266">
                  <c:v>-3.3400000000000567</c:v>
                </c:pt>
                <c:pt idx="267">
                  <c:v>-3.3300000000000569</c:v>
                </c:pt>
                <c:pt idx="268">
                  <c:v>-3.3200000000000571</c:v>
                </c:pt>
                <c:pt idx="269">
                  <c:v>-3.3100000000000573</c:v>
                </c:pt>
                <c:pt idx="270">
                  <c:v>-3.3000000000000576</c:v>
                </c:pt>
                <c:pt idx="271">
                  <c:v>-3.2900000000000578</c:v>
                </c:pt>
                <c:pt idx="272">
                  <c:v>-3.280000000000058</c:v>
                </c:pt>
                <c:pt idx="273">
                  <c:v>-3.2700000000000582</c:v>
                </c:pt>
                <c:pt idx="274">
                  <c:v>-3.2600000000000584</c:v>
                </c:pt>
                <c:pt idx="275">
                  <c:v>-3.2500000000000586</c:v>
                </c:pt>
                <c:pt idx="276">
                  <c:v>-3.2400000000000588</c:v>
                </c:pt>
                <c:pt idx="277">
                  <c:v>-3.230000000000059</c:v>
                </c:pt>
                <c:pt idx="278">
                  <c:v>-3.2200000000000593</c:v>
                </c:pt>
                <c:pt idx="279">
                  <c:v>-3.2100000000000595</c:v>
                </c:pt>
                <c:pt idx="280">
                  <c:v>-3.2000000000000597</c:v>
                </c:pt>
                <c:pt idx="281">
                  <c:v>-3.1900000000000599</c:v>
                </c:pt>
                <c:pt idx="282">
                  <c:v>-3.1800000000000601</c:v>
                </c:pt>
                <c:pt idx="283">
                  <c:v>-3.1700000000000603</c:v>
                </c:pt>
                <c:pt idx="284">
                  <c:v>-3.1600000000000605</c:v>
                </c:pt>
                <c:pt idx="285">
                  <c:v>-3.1500000000000608</c:v>
                </c:pt>
                <c:pt idx="286">
                  <c:v>-3.140000000000061</c:v>
                </c:pt>
                <c:pt idx="287">
                  <c:v>-3.1300000000000612</c:v>
                </c:pt>
                <c:pt idx="288">
                  <c:v>-3.1200000000000614</c:v>
                </c:pt>
                <c:pt idx="289">
                  <c:v>-3.1100000000000616</c:v>
                </c:pt>
                <c:pt idx="290">
                  <c:v>-3.1000000000000618</c:v>
                </c:pt>
                <c:pt idx="291">
                  <c:v>-3.090000000000062</c:v>
                </c:pt>
                <c:pt idx="292">
                  <c:v>-3.0800000000000622</c:v>
                </c:pt>
                <c:pt idx="293">
                  <c:v>-3.0700000000000625</c:v>
                </c:pt>
                <c:pt idx="294">
                  <c:v>-3.0600000000000627</c:v>
                </c:pt>
                <c:pt idx="295">
                  <c:v>-3.0500000000000629</c:v>
                </c:pt>
                <c:pt idx="296">
                  <c:v>-3.0400000000000631</c:v>
                </c:pt>
                <c:pt idx="297">
                  <c:v>-3.0300000000000633</c:v>
                </c:pt>
                <c:pt idx="298">
                  <c:v>-3.0200000000000635</c:v>
                </c:pt>
                <c:pt idx="299">
                  <c:v>-3.0100000000000637</c:v>
                </c:pt>
                <c:pt idx="300">
                  <c:v>-3.0000000000000639</c:v>
                </c:pt>
                <c:pt idx="301">
                  <c:v>-2.9900000000000642</c:v>
                </c:pt>
                <c:pt idx="302">
                  <c:v>-2.9800000000000644</c:v>
                </c:pt>
                <c:pt idx="303">
                  <c:v>-2.9700000000000646</c:v>
                </c:pt>
                <c:pt idx="304">
                  <c:v>-2.9600000000000648</c:v>
                </c:pt>
                <c:pt idx="305">
                  <c:v>-2.950000000000065</c:v>
                </c:pt>
                <c:pt idx="306">
                  <c:v>-2.9400000000000652</c:v>
                </c:pt>
                <c:pt idx="307">
                  <c:v>-2.9300000000000654</c:v>
                </c:pt>
                <c:pt idx="308">
                  <c:v>-2.9200000000000657</c:v>
                </c:pt>
                <c:pt idx="309">
                  <c:v>-2.9100000000000659</c:v>
                </c:pt>
                <c:pt idx="310">
                  <c:v>-2.9000000000000661</c:v>
                </c:pt>
                <c:pt idx="311">
                  <c:v>-2.8900000000000663</c:v>
                </c:pt>
                <c:pt idx="312">
                  <c:v>-2.8800000000000665</c:v>
                </c:pt>
                <c:pt idx="313">
                  <c:v>-2.8700000000000667</c:v>
                </c:pt>
                <c:pt idx="314">
                  <c:v>-2.8600000000000669</c:v>
                </c:pt>
                <c:pt idx="315">
                  <c:v>-2.8500000000000671</c:v>
                </c:pt>
                <c:pt idx="316">
                  <c:v>-2.8400000000000674</c:v>
                </c:pt>
                <c:pt idx="317">
                  <c:v>-2.8300000000000676</c:v>
                </c:pt>
                <c:pt idx="318">
                  <c:v>-2.8200000000000678</c:v>
                </c:pt>
                <c:pt idx="319">
                  <c:v>-2.810000000000068</c:v>
                </c:pt>
                <c:pt idx="320">
                  <c:v>-2.8000000000000682</c:v>
                </c:pt>
                <c:pt idx="321">
                  <c:v>-2.7900000000000684</c:v>
                </c:pt>
                <c:pt idx="322">
                  <c:v>-2.7800000000000686</c:v>
                </c:pt>
                <c:pt idx="323">
                  <c:v>-2.7700000000000689</c:v>
                </c:pt>
                <c:pt idx="324">
                  <c:v>-2.7600000000000691</c:v>
                </c:pt>
                <c:pt idx="325">
                  <c:v>-2.7500000000000693</c:v>
                </c:pt>
                <c:pt idx="326">
                  <c:v>-2.7400000000000695</c:v>
                </c:pt>
                <c:pt idx="327">
                  <c:v>-2.7300000000000697</c:v>
                </c:pt>
                <c:pt idx="328">
                  <c:v>-2.7200000000000699</c:v>
                </c:pt>
                <c:pt idx="329">
                  <c:v>-2.7100000000000701</c:v>
                </c:pt>
                <c:pt idx="330">
                  <c:v>-2.7000000000000703</c:v>
                </c:pt>
                <c:pt idx="331">
                  <c:v>-2.6900000000000706</c:v>
                </c:pt>
                <c:pt idx="332">
                  <c:v>-2.6800000000000708</c:v>
                </c:pt>
                <c:pt idx="333">
                  <c:v>-2.670000000000071</c:v>
                </c:pt>
                <c:pt idx="334">
                  <c:v>-2.6600000000000712</c:v>
                </c:pt>
                <c:pt idx="335">
                  <c:v>-2.6500000000000714</c:v>
                </c:pt>
                <c:pt idx="336">
                  <c:v>-2.6400000000000716</c:v>
                </c:pt>
                <c:pt idx="337">
                  <c:v>-2.6300000000000718</c:v>
                </c:pt>
                <c:pt idx="338">
                  <c:v>-2.620000000000072</c:v>
                </c:pt>
                <c:pt idx="339">
                  <c:v>-2.6100000000000723</c:v>
                </c:pt>
                <c:pt idx="340">
                  <c:v>-2.6000000000000725</c:v>
                </c:pt>
                <c:pt idx="341">
                  <c:v>-2.5900000000000727</c:v>
                </c:pt>
                <c:pt idx="342">
                  <c:v>-2.5800000000000729</c:v>
                </c:pt>
                <c:pt idx="343">
                  <c:v>-2.5700000000000731</c:v>
                </c:pt>
                <c:pt idx="344">
                  <c:v>-2.5600000000000733</c:v>
                </c:pt>
                <c:pt idx="345">
                  <c:v>-2.5500000000000735</c:v>
                </c:pt>
                <c:pt idx="346">
                  <c:v>-2.5400000000000738</c:v>
                </c:pt>
                <c:pt idx="347">
                  <c:v>-2.530000000000074</c:v>
                </c:pt>
                <c:pt idx="348">
                  <c:v>-2.5200000000000742</c:v>
                </c:pt>
                <c:pt idx="349">
                  <c:v>-2.5100000000000744</c:v>
                </c:pt>
                <c:pt idx="350">
                  <c:v>-2.5000000000000746</c:v>
                </c:pt>
                <c:pt idx="351">
                  <c:v>-2.4900000000000748</c:v>
                </c:pt>
                <c:pt idx="352">
                  <c:v>-2.480000000000075</c:v>
                </c:pt>
                <c:pt idx="353">
                  <c:v>-2.4700000000000752</c:v>
                </c:pt>
                <c:pt idx="354">
                  <c:v>-2.4600000000000755</c:v>
                </c:pt>
                <c:pt idx="355">
                  <c:v>-2.4500000000000757</c:v>
                </c:pt>
                <c:pt idx="356">
                  <c:v>-2.4400000000000759</c:v>
                </c:pt>
                <c:pt idx="357">
                  <c:v>-2.4300000000000761</c:v>
                </c:pt>
                <c:pt idx="358">
                  <c:v>-2.4200000000000763</c:v>
                </c:pt>
                <c:pt idx="359">
                  <c:v>-2.4100000000000765</c:v>
                </c:pt>
                <c:pt idx="360">
                  <c:v>-2.4000000000000767</c:v>
                </c:pt>
                <c:pt idx="361">
                  <c:v>-2.390000000000077</c:v>
                </c:pt>
                <c:pt idx="362">
                  <c:v>-2.3800000000000772</c:v>
                </c:pt>
                <c:pt idx="363">
                  <c:v>-2.3700000000000774</c:v>
                </c:pt>
                <c:pt idx="364">
                  <c:v>-2.3600000000000776</c:v>
                </c:pt>
                <c:pt idx="365">
                  <c:v>-2.3500000000000778</c:v>
                </c:pt>
                <c:pt idx="366">
                  <c:v>-2.340000000000078</c:v>
                </c:pt>
                <c:pt idx="367">
                  <c:v>-2.3300000000000782</c:v>
                </c:pt>
                <c:pt idx="368">
                  <c:v>-2.3200000000000784</c:v>
                </c:pt>
                <c:pt idx="369">
                  <c:v>-2.3100000000000787</c:v>
                </c:pt>
                <c:pt idx="370">
                  <c:v>-2.3000000000000789</c:v>
                </c:pt>
                <c:pt idx="371">
                  <c:v>-2.2900000000000791</c:v>
                </c:pt>
                <c:pt idx="372">
                  <c:v>-2.2800000000000793</c:v>
                </c:pt>
                <c:pt idx="373">
                  <c:v>-2.2700000000000795</c:v>
                </c:pt>
                <c:pt idx="374">
                  <c:v>-2.2600000000000797</c:v>
                </c:pt>
                <c:pt idx="375">
                  <c:v>-2.2500000000000799</c:v>
                </c:pt>
                <c:pt idx="376">
                  <c:v>-2.2400000000000801</c:v>
                </c:pt>
                <c:pt idx="377">
                  <c:v>-2.2300000000000804</c:v>
                </c:pt>
                <c:pt idx="378">
                  <c:v>-2.2200000000000806</c:v>
                </c:pt>
                <c:pt idx="379">
                  <c:v>-2.2100000000000808</c:v>
                </c:pt>
                <c:pt idx="380">
                  <c:v>-2.200000000000081</c:v>
                </c:pt>
                <c:pt idx="381">
                  <c:v>-2.1900000000000812</c:v>
                </c:pt>
                <c:pt idx="382">
                  <c:v>-2.1800000000000814</c:v>
                </c:pt>
                <c:pt idx="383">
                  <c:v>-2.1700000000000816</c:v>
                </c:pt>
                <c:pt idx="384">
                  <c:v>-2.1600000000000819</c:v>
                </c:pt>
                <c:pt idx="385">
                  <c:v>-2.1500000000000821</c:v>
                </c:pt>
                <c:pt idx="386">
                  <c:v>-2.1400000000000823</c:v>
                </c:pt>
                <c:pt idx="387">
                  <c:v>-2.1300000000000825</c:v>
                </c:pt>
                <c:pt idx="388">
                  <c:v>-2.1200000000000827</c:v>
                </c:pt>
                <c:pt idx="389">
                  <c:v>-2.1100000000000829</c:v>
                </c:pt>
                <c:pt idx="390">
                  <c:v>-2.1000000000000831</c:v>
                </c:pt>
                <c:pt idx="391">
                  <c:v>-2.0900000000000833</c:v>
                </c:pt>
                <c:pt idx="392">
                  <c:v>-2.0800000000000836</c:v>
                </c:pt>
                <c:pt idx="393">
                  <c:v>-2.0700000000000838</c:v>
                </c:pt>
                <c:pt idx="394">
                  <c:v>-2.060000000000084</c:v>
                </c:pt>
                <c:pt idx="395">
                  <c:v>-2.0500000000000842</c:v>
                </c:pt>
                <c:pt idx="396">
                  <c:v>-2.0400000000000844</c:v>
                </c:pt>
                <c:pt idx="397">
                  <c:v>-2.0300000000000846</c:v>
                </c:pt>
                <c:pt idx="398">
                  <c:v>-2.0200000000000848</c:v>
                </c:pt>
                <c:pt idx="399">
                  <c:v>-2.0100000000000851</c:v>
                </c:pt>
                <c:pt idx="400">
                  <c:v>-2.0000000000000853</c:v>
                </c:pt>
                <c:pt idx="401">
                  <c:v>-1.9900000000000853</c:v>
                </c:pt>
                <c:pt idx="402">
                  <c:v>-1.9800000000000852</c:v>
                </c:pt>
                <c:pt idx="403">
                  <c:v>-1.9700000000000852</c:v>
                </c:pt>
                <c:pt idx="404">
                  <c:v>-1.9600000000000852</c:v>
                </c:pt>
                <c:pt idx="405">
                  <c:v>-1.9500000000000852</c:v>
                </c:pt>
                <c:pt idx="406">
                  <c:v>-1.9400000000000852</c:v>
                </c:pt>
                <c:pt idx="407">
                  <c:v>-1.9300000000000852</c:v>
                </c:pt>
                <c:pt idx="408">
                  <c:v>-1.9200000000000852</c:v>
                </c:pt>
                <c:pt idx="409">
                  <c:v>-1.9100000000000852</c:v>
                </c:pt>
                <c:pt idx="410">
                  <c:v>-1.9000000000000852</c:v>
                </c:pt>
                <c:pt idx="411">
                  <c:v>-1.8900000000000852</c:v>
                </c:pt>
                <c:pt idx="412">
                  <c:v>-1.8800000000000852</c:v>
                </c:pt>
                <c:pt idx="413">
                  <c:v>-1.8700000000000851</c:v>
                </c:pt>
                <c:pt idx="414">
                  <c:v>-1.8600000000000851</c:v>
                </c:pt>
                <c:pt idx="415">
                  <c:v>-1.8500000000000851</c:v>
                </c:pt>
                <c:pt idx="416">
                  <c:v>-1.8400000000000851</c:v>
                </c:pt>
                <c:pt idx="417">
                  <c:v>-1.8300000000000851</c:v>
                </c:pt>
                <c:pt idx="418">
                  <c:v>-1.8200000000000851</c:v>
                </c:pt>
                <c:pt idx="419">
                  <c:v>-1.8100000000000851</c:v>
                </c:pt>
                <c:pt idx="420">
                  <c:v>-1.8000000000000851</c:v>
                </c:pt>
                <c:pt idx="421">
                  <c:v>-1.7900000000000851</c:v>
                </c:pt>
                <c:pt idx="422">
                  <c:v>-1.7800000000000851</c:v>
                </c:pt>
                <c:pt idx="423">
                  <c:v>-1.7700000000000851</c:v>
                </c:pt>
                <c:pt idx="424">
                  <c:v>-1.7600000000000851</c:v>
                </c:pt>
                <c:pt idx="425">
                  <c:v>-1.750000000000085</c:v>
                </c:pt>
                <c:pt idx="426">
                  <c:v>-1.740000000000085</c:v>
                </c:pt>
                <c:pt idx="427">
                  <c:v>-1.730000000000085</c:v>
                </c:pt>
                <c:pt idx="428">
                  <c:v>-1.720000000000085</c:v>
                </c:pt>
                <c:pt idx="429">
                  <c:v>-1.710000000000085</c:v>
                </c:pt>
                <c:pt idx="430">
                  <c:v>-1.700000000000085</c:v>
                </c:pt>
                <c:pt idx="431">
                  <c:v>-1.690000000000085</c:v>
                </c:pt>
                <c:pt idx="432">
                  <c:v>-1.680000000000085</c:v>
                </c:pt>
                <c:pt idx="433">
                  <c:v>-1.670000000000085</c:v>
                </c:pt>
                <c:pt idx="434">
                  <c:v>-1.660000000000085</c:v>
                </c:pt>
                <c:pt idx="435">
                  <c:v>-1.650000000000085</c:v>
                </c:pt>
                <c:pt idx="436">
                  <c:v>-1.6400000000000849</c:v>
                </c:pt>
                <c:pt idx="437">
                  <c:v>-1.6300000000000849</c:v>
                </c:pt>
                <c:pt idx="438">
                  <c:v>-1.6200000000000849</c:v>
                </c:pt>
                <c:pt idx="439">
                  <c:v>-1.6100000000000849</c:v>
                </c:pt>
                <c:pt idx="440">
                  <c:v>-1.6000000000000849</c:v>
                </c:pt>
                <c:pt idx="441">
                  <c:v>-1.5900000000000849</c:v>
                </c:pt>
                <c:pt idx="442">
                  <c:v>-1.5800000000000849</c:v>
                </c:pt>
                <c:pt idx="443">
                  <c:v>-1.5700000000000849</c:v>
                </c:pt>
                <c:pt idx="444">
                  <c:v>-1.5600000000000849</c:v>
                </c:pt>
                <c:pt idx="445">
                  <c:v>-1.5500000000000849</c:v>
                </c:pt>
                <c:pt idx="446">
                  <c:v>-1.5400000000000849</c:v>
                </c:pt>
                <c:pt idx="447">
                  <c:v>-1.5300000000000848</c:v>
                </c:pt>
                <c:pt idx="448">
                  <c:v>-1.5200000000000848</c:v>
                </c:pt>
                <c:pt idx="449">
                  <c:v>-1.5100000000000848</c:v>
                </c:pt>
                <c:pt idx="450">
                  <c:v>-1.5000000000000848</c:v>
                </c:pt>
                <c:pt idx="451">
                  <c:v>-1.4900000000000848</c:v>
                </c:pt>
                <c:pt idx="452">
                  <c:v>-1.4800000000000848</c:v>
                </c:pt>
                <c:pt idx="453">
                  <c:v>-1.4700000000000848</c:v>
                </c:pt>
                <c:pt idx="454">
                  <c:v>-1.4600000000000848</c:v>
                </c:pt>
                <c:pt idx="455">
                  <c:v>-1.4500000000000848</c:v>
                </c:pt>
                <c:pt idx="456">
                  <c:v>-1.4400000000000848</c:v>
                </c:pt>
                <c:pt idx="457">
                  <c:v>-1.4300000000000848</c:v>
                </c:pt>
                <c:pt idx="458">
                  <c:v>-1.4200000000000847</c:v>
                </c:pt>
                <c:pt idx="459">
                  <c:v>-1.4100000000000847</c:v>
                </c:pt>
                <c:pt idx="460">
                  <c:v>-1.4000000000000847</c:v>
                </c:pt>
                <c:pt idx="461">
                  <c:v>-1.3900000000000847</c:v>
                </c:pt>
                <c:pt idx="462">
                  <c:v>-1.3800000000000847</c:v>
                </c:pt>
                <c:pt idx="463">
                  <c:v>-1.3700000000000847</c:v>
                </c:pt>
                <c:pt idx="464">
                  <c:v>-1.3600000000000847</c:v>
                </c:pt>
                <c:pt idx="465">
                  <c:v>-1.3500000000000847</c:v>
                </c:pt>
                <c:pt idx="466">
                  <c:v>-1.3400000000000847</c:v>
                </c:pt>
                <c:pt idx="467">
                  <c:v>-1.3300000000000847</c:v>
                </c:pt>
                <c:pt idx="468">
                  <c:v>-1.3200000000000847</c:v>
                </c:pt>
                <c:pt idx="469">
                  <c:v>-1.3100000000000847</c:v>
                </c:pt>
                <c:pt idx="470">
                  <c:v>-1.3000000000000846</c:v>
                </c:pt>
                <c:pt idx="471">
                  <c:v>-1.2900000000000846</c:v>
                </c:pt>
                <c:pt idx="472">
                  <c:v>-1.2800000000000846</c:v>
                </c:pt>
                <c:pt idx="473">
                  <c:v>-1.2700000000000846</c:v>
                </c:pt>
                <c:pt idx="474">
                  <c:v>-1.2600000000000846</c:v>
                </c:pt>
                <c:pt idx="475">
                  <c:v>-1.2500000000000846</c:v>
                </c:pt>
                <c:pt idx="476">
                  <c:v>-1.2400000000000846</c:v>
                </c:pt>
                <c:pt idx="477">
                  <c:v>-1.2300000000000846</c:v>
                </c:pt>
                <c:pt idx="478">
                  <c:v>-1.2200000000000846</c:v>
                </c:pt>
                <c:pt idx="479">
                  <c:v>-1.2100000000000846</c:v>
                </c:pt>
                <c:pt idx="480">
                  <c:v>-1.2000000000000846</c:v>
                </c:pt>
                <c:pt idx="481">
                  <c:v>-1.1900000000000845</c:v>
                </c:pt>
                <c:pt idx="482">
                  <c:v>-1.1800000000000845</c:v>
                </c:pt>
                <c:pt idx="483">
                  <c:v>-1.1700000000000845</c:v>
                </c:pt>
                <c:pt idx="484">
                  <c:v>-1.1600000000000845</c:v>
                </c:pt>
                <c:pt idx="485">
                  <c:v>-1.1500000000000845</c:v>
                </c:pt>
                <c:pt idx="486">
                  <c:v>-1.1400000000000845</c:v>
                </c:pt>
                <c:pt idx="487">
                  <c:v>-1.1300000000000845</c:v>
                </c:pt>
                <c:pt idx="488">
                  <c:v>-1.1200000000000845</c:v>
                </c:pt>
                <c:pt idx="489">
                  <c:v>-1.1100000000000845</c:v>
                </c:pt>
                <c:pt idx="490">
                  <c:v>-1.1000000000000845</c:v>
                </c:pt>
                <c:pt idx="491">
                  <c:v>-1.0900000000000845</c:v>
                </c:pt>
                <c:pt idx="492">
                  <c:v>-1.0800000000000844</c:v>
                </c:pt>
                <c:pt idx="493">
                  <c:v>-1.0700000000000844</c:v>
                </c:pt>
                <c:pt idx="494">
                  <c:v>-1.0600000000000844</c:v>
                </c:pt>
                <c:pt idx="495">
                  <c:v>-1.0500000000000844</c:v>
                </c:pt>
                <c:pt idx="496">
                  <c:v>-1.0400000000000844</c:v>
                </c:pt>
                <c:pt idx="497">
                  <c:v>-1.0300000000000844</c:v>
                </c:pt>
                <c:pt idx="498">
                  <c:v>-1.0200000000000844</c:v>
                </c:pt>
                <c:pt idx="499">
                  <c:v>-1.0100000000000844</c:v>
                </c:pt>
                <c:pt idx="500">
                  <c:v>-1.0000000000000844</c:v>
                </c:pt>
                <c:pt idx="501">
                  <c:v>-0.99000000000008437</c:v>
                </c:pt>
                <c:pt idx="502">
                  <c:v>-0.98000000000008436</c:v>
                </c:pt>
                <c:pt idx="503">
                  <c:v>-0.97000000000008435</c:v>
                </c:pt>
                <c:pt idx="504">
                  <c:v>-0.96000000000008434</c:v>
                </c:pt>
                <c:pt idx="505">
                  <c:v>-0.95000000000008433</c:v>
                </c:pt>
                <c:pt idx="506">
                  <c:v>-0.94000000000008432</c:v>
                </c:pt>
                <c:pt idx="507">
                  <c:v>-0.93000000000008431</c:v>
                </c:pt>
                <c:pt idx="508">
                  <c:v>-0.92000000000008431</c:v>
                </c:pt>
                <c:pt idx="509">
                  <c:v>-0.9100000000000843</c:v>
                </c:pt>
                <c:pt idx="510">
                  <c:v>-0.90000000000008429</c:v>
                </c:pt>
                <c:pt idx="511">
                  <c:v>-0.89000000000008428</c:v>
                </c:pt>
                <c:pt idx="512">
                  <c:v>-0.88000000000008427</c:v>
                </c:pt>
                <c:pt idx="513">
                  <c:v>-0.87000000000008426</c:v>
                </c:pt>
                <c:pt idx="514">
                  <c:v>-0.86000000000008425</c:v>
                </c:pt>
                <c:pt idx="515">
                  <c:v>-0.85000000000008424</c:v>
                </c:pt>
                <c:pt idx="516">
                  <c:v>-0.84000000000008423</c:v>
                </c:pt>
                <c:pt idx="517">
                  <c:v>-0.83000000000008423</c:v>
                </c:pt>
                <c:pt idx="518">
                  <c:v>-0.82000000000008422</c:v>
                </c:pt>
                <c:pt idx="519">
                  <c:v>-0.81000000000008421</c:v>
                </c:pt>
                <c:pt idx="520">
                  <c:v>-0.8000000000000842</c:v>
                </c:pt>
                <c:pt idx="521">
                  <c:v>-0.79000000000008419</c:v>
                </c:pt>
                <c:pt idx="522">
                  <c:v>-0.78000000000008418</c:v>
                </c:pt>
                <c:pt idx="523">
                  <c:v>-0.77000000000008417</c:v>
                </c:pt>
                <c:pt idx="524">
                  <c:v>-0.76000000000008416</c:v>
                </c:pt>
                <c:pt idx="525">
                  <c:v>-0.75000000000008415</c:v>
                </c:pt>
                <c:pt idx="526">
                  <c:v>-0.74000000000008415</c:v>
                </c:pt>
                <c:pt idx="527">
                  <c:v>-0.73000000000008414</c:v>
                </c:pt>
                <c:pt idx="528">
                  <c:v>-0.72000000000008413</c:v>
                </c:pt>
                <c:pt idx="529">
                  <c:v>-0.71000000000008412</c:v>
                </c:pt>
                <c:pt idx="530">
                  <c:v>-0.70000000000008411</c:v>
                </c:pt>
                <c:pt idx="531">
                  <c:v>-0.6900000000000841</c:v>
                </c:pt>
                <c:pt idx="532">
                  <c:v>-0.68000000000008409</c:v>
                </c:pt>
                <c:pt idx="533">
                  <c:v>-0.67000000000008408</c:v>
                </c:pt>
                <c:pt idx="534">
                  <c:v>-0.66000000000008407</c:v>
                </c:pt>
                <c:pt idx="535">
                  <c:v>-0.65000000000008407</c:v>
                </c:pt>
                <c:pt idx="536">
                  <c:v>-0.64000000000008406</c:v>
                </c:pt>
                <c:pt idx="537">
                  <c:v>-0.63000000000008405</c:v>
                </c:pt>
                <c:pt idx="538">
                  <c:v>-0.62000000000008404</c:v>
                </c:pt>
                <c:pt idx="539">
                  <c:v>-0.61000000000008403</c:v>
                </c:pt>
                <c:pt idx="540">
                  <c:v>-0.60000000000008402</c:v>
                </c:pt>
                <c:pt idx="541">
                  <c:v>-0.59000000000008401</c:v>
                </c:pt>
                <c:pt idx="542">
                  <c:v>-0.580000000000084</c:v>
                </c:pt>
                <c:pt idx="543">
                  <c:v>-0.570000000000084</c:v>
                </c:pt>
                <c:pt idx="544">
                  <c:v>-0.56000000000008399</c:v>
                </c:pt>
                <c:pt idx="545">
                  <c:v>-0.55000000000008398</c:v>
                </c:pt>
                <c:pt idx="546">
                  <c:v>-0.54000000000008397</c:v>
                </c:pt>
                <c:pt idx="547">
                  <c:v>-0.53000000000008396</c:v>
                </c:pt>
                <c:pt idx="548">
                  <c:v>-0.52000000000008395</c:v>
                </c:pt>
                <c:pt idx="549">
                  <c:v>-0.51000000000008394</c:v>
                </c:pt>
                <c:pt idx="550">
                  <c:v>-0.50000000000008393</c:v>
                </c:pt>
                <c:pt idx="551">
                  <c:v>-0.49000000000008392</c:v>
                </c:pt>
                <c:pt idx="552">
                  <c:v>-0.48000000000008392</c:v>
                </c:pt>
                <c:pt idx="553">
                  <c:v>-0.47000000000008391</c:v>
                </c:pt>
                <c:pt idx="554">
                  <c:v>-0.4600000000000839</c:v>
                </c:pt>
                <c:pt idx="555">
                  <c:v>-0.45000000000008389</c:v>
                </c:pt>
                <c:pt idx="556">
                  <c:v>-0.44000000000008388</c:v>
                </c:pt>
                <c:pt idx="557">
                  <c:v>-0.43000000000008387</c:v>
                </c:pt>
                <c:pt idx="558">
                  <c:v>-0.42000000000008386</c:v>
                </c:pt>
                <c:pt idx="559">
                  <c:v>-0.41000000000008385</c:v>
                </c:pt>
                <c:pt idx="560">
                  <c:v>-0.40000000000008384</c:v>
                </c:pt>
                <c:pt idx="561">
                  <c:v>-0.39000000000008384</c:v>
                </c:pt>
                <c:pt idx="562">
                  <c:v>-0.38000000000008383</c:v>
                </c:pt>
                <c:pt idx="563">
                  <c:v>-0.37000000000008382</c:v>
                </c:pt>
                <c:pt idx="564">
                  <c:v>-0.36000000000008381</c:v>
                </c:pt>
                <c:pt idx="565">
                  <c:v>-0.3500000000000838</c:v>
                </c:pt>
                <c:pt idx="566">
                  <c:v>-0.34000000000008379</c:v>
                </c:pt>
                <c:pt idx="567">
                  <c:v>-0.33000000000008378</c:v>
                </c:pt>
                <c:pt idx="568">
                  <c:v>-0.32000000000008377</c:v>
                </c:pt>
                <c:pt idx="569">
                  <c:v>-0.31000000000008376</c:v>
                </c:pt>
                <c:pt idx="570">
                  <c:v>-0.30000000000008376</c:v>
                </c:pt>
                <c:pt idx="571">
                  <c:v>-0.29000000000008375</c:v>
                </c:pt>
                <c:pt idx="572">
                  <c:v>-0.28000000000008374</c:v>
                </c:pt>
                <c:pt idx="573">
                  <c:v>-0.27000000000008373</c:v>
                </c:pt>
                <c:pt idx="574">
                  <c:v>-0.26000000000008372</c:v>
                </c:pt>
                <c:pt idx="575">
                  <c:v>-0.25000000000008371</c:v>
                </c:pt>
                <c:pt idx="576">
                  <c:v>-0.2400000000000837</c:v>
                </c:pt>
                <c:pt idx="577">
                  <c:v>-0.23000000000008369</c:v>
                </c:pt>
                <c:pt idx="578">
                  <c:v>-0.22000000000008368</c:v>
                </c:pt>
                <c:pt idx="579">
                  <c:v>-0.21000000000008368</c:v>
                </c:pt>
                <c:pt idx="580">
                  <c:v>-0.20000000000008367</c:v>
                </c:pt>
                <c:pt idx="581">
                  <c:v>-0.19000000000008366</c:v>
                </c:pt>
                <c:pt idx="582">
                  <c:v>-0.18000000000008365</c:v>
                </c:pt>
                <c:pt idx="583">
                  <c:v>-0.17000000000008364</c:v>
                </c:pt>
                <c:pt idx="584">
                  <c:v>-0.16000000000008363</c:v>
                </c:pt>
                <c:pt idx="585">
                  <c:v>-0.15000000000008362</c:v>
                </c:pt>
                <c:pt idx="586">
                  <c:v>-0.14000000000008361</c:v>
                </c:pt>
                <c:pt idx="587">
                  <c:v>-0.1300000000000836</c:v>
                </c:pt>
                <c:pt idx="588">
                  <c:v>-0.12000000000008361</c:v>
                </c:pt>
                <c:pt idx="589">
                  <c:v>-0.11000000000008361</c:v>
                </c:pt>
                <c:pt idx="590">
                  <c:v>-0.10000000000008362</c:v>
                </c:pt>
                <c:pt idx="591">
                  <c:v>-9.0000000000083624E-2</c:v>
                </c:pt>
                <c:pt idx="592">
                  <c:v>-8.0000000000083629E-2</c:v>
                </c:pt>
                <c:pt idx="593">
                  <c:v>-7.0000000000083634E-2</c:v>
                </c:pt>
                <c:pt idx="594">
                  <c:v>-6.0000000000083632E-2</c:v>
                </c:pt>
                <c:pt idx="595">
                  <c:v>-5.000000000008363E-2</c:v>
                </c:pt>
                <c:pt idx="596">
                  <c:v>-4.0000000000083628E-2</c:v>
                </c:pt>
                <c:pt idx="597">
                  <c:v>-3.0000000000083626E-2</c:v>
                </c:pt>
                <c:pt idx="598">
                  <c:v>-2.0000000000083624E-2</c:v>
                </c:pt>
                <c:pt idx="599">
                  <c:v>-1.0000000000083624E-2</c:v>
                </c:pt>
                <c:pt idx="600">
                  <c:v>-8.3624079882937963E-14</c:v>
                </c:pt>
                <c:pt idx="601">
                  <c:v>9.9999999999163761E-3</c:v>
                </c:pt>
                <c:pt idx="602">
                  <c:v>1.9999999999916376E-2</c:v>
                </c:pt>
                <c:pt idx="603">
                  <c:v>2.9999999999916378E-2</c:v>
                </c:pt>
                <c:pt idx="604">
                  <c:v>3.999999999991638E-2</c:v>
                </c:pt>
                <c:pt idx="605">
                  <c:v>4.9999999999916382E-2</c:v>
                </c:pt>
                <c:pt idx="606">
                  <c:v>5.9999999999916384E-2</c:v>
                </c:pt>
                <c:pt idx="607">
                  <c:v>6.9999999999916379E-2</c:v>
                </c:pt>
                <c:pt idx="608">
                  <c:v>7.9999999999916374E-2</c:v>
                </c:pt>
                <c:pt idx="609">
                  <c:v>8.9999999999916369E-2</c:v>
                </c:pt>
                <c:pt idx="610">
                  <c:v>9.9999999999916364E-2</c:v>
                </c:pt>
                <c:pt idx="611">
                  <c:v>0.10999999999991636</c:v>
                </c:pt>
                <c:pt idx="612">
                  <c:v>0.11999999999991635</c:v>
                </c:pt>
                <c:pt idx="613">
                  <c:v>0.12999999999991635</c:v>
                </c:pt>
                <c:pt idx="614">
                  <c:v>0.13999999999991636</c:v>
                </c:pt>
                <c:pt idx="615">
                  <c:v>0.14999999999991637</c:v>
                </c:pt>
                <c:pt idx="616">
                  <c:v>0.15999999999991638</c:v>
                </c:pt>
                <c:pt idx="617">
                  <c:v>0.16999999999991638</c:v>
                </c:pt>
                <c:pt idx="618">
                  <c:v>0.17999999999991639</c:v>
                </c:pt>
                <c:pt idx="619">
                  <c:v>0.1899999999999164</c:v>
                </c:pt>
                <c:pt idx="620">
                  <c:v>0.19999999999991641</c:v>
                </c:pt>
                <c:pt idx="621">
                  <c:v>0.20999999999991642</c:v>
                </c:pt>
                <c:pt idx="622">
                  <c:v>0.21999999999991643</c:v>
                </c:pt>
                <c:pt idx="623">
                  <c:v>0.22999999999991644</c:v>
                </c:pt>
                <c:pt idx="624">
                  <c:v>0.23999999999991645</c:v>
                </c:pt>
                <c:pt idx="625">
                  <c:v>0.24999999999991646</c:v>
                </c:pt>
                <c:pt idx="626">
                  <c:v>0.25999999999991646</c:v>
                </c:pt>
                <c:pt idx="627">
                  <c:v>0.26999999999991647</c:v>
                </c:pt>
                <c:pt idx="628">
                  <c:v>0.27999999999991648</c:v>
                </c:pt>
                <c:pt idx="629">
                  <c:v>0.28999999999991649</c:v>
                </c:pt>
                <c:pt idx="630">
                  <c:v>0.2999999999999165</c:v>
                </c:pt>
                <c:pt idx="631">
                  <c:v>0.30999999999991651</c:v>
                </c:pt>
                <c:pt idx="632">
                  <c:v>0.31999999999991652</c:v>
                </c:pt>
                <c:pt idx="633">
                  <c:v>0.32999999999991653</c:v>
                </c:pt>
                <c:pt idx="634">
                  <c:v>0.33999999999991654</c:v>
                </c:pt>
                <c:pt idx="635">
                  <c:v>0.34999999999991654</c:v>
                </c:pt>
                <c:pt idx="636">
                  <c:v>0.35999999999991655</c:v>
                </c:pt>
                <c:pt idx="637">
                  <c:v>0.36999999999991656</c:v>
                </c:pt>
                <c:pt idx="638">
                  <c:v>0.37999999999991657</c:v>
                </c:pt>
                <c:pt idx="639">
                  <c:v>0.38999999999991658</c:v>
                </c:pt>
                <c:pt idx="640">
                  <c:v>0.39999999999991659</c:v>
                </c:pt>
                <c:pt idx="641">
                  <c:v>0.4099999999999166</c:v>
                </c:pt>
                <c:pt idx="642">
                  <c:v>0.41999999999991661</c:v>
                </c:pt>
                <c:pt idx="643">
                  <c:v>0.42999999999991662</c:v>
                </c:pt>
                <c:pt idx="644">
                  <c:v>0.43999999999991662</c:v>
                </c:pt>
                <c:pt idx="645">
                  <c:v>0.44999999999991663</c:v>
                </c:pt>
                <c:pt idx="646">
                  <c:v>0.45999999999991664</c:v>
                </c:pt>
                <c:pt idx="647">
                  <c:v>0.46999999999991665</c:v>
                </c:pt>
                <c:pt idx="648">
                  <c:v>0.47999999999991666</c:v>
                </c:pt>
                <c:pt idx="649">
                  <c:v>0.48999999999991667</c:v>
                </c:pt>
                <c:pt idx="650">
                  <c:v>0.49999999999991668</c:v>
                </c:pt>
                <c:pt idx="651">
                  <c:v>0.50999999999991663</c:v>
                </c:pt>
                <c:pt idx="652">
                  <c:v>0.51999999999991664</c:v>
                </c:pt>
                <c:pt idx="653">
                  <c:v>0.52999999999991665</c:v>
                </c:pt>
                <c:pt idx="654">
                  <c:v>0.53999999999991666</c:v>
                </c:pt>
                <c:pt idx="655">
                  <c:v>0.54999999999991667</c:v>
                </c:pt>
                <c:pt idx="656">
                  <c:v>0.55999999999991668</c:v>
                </c:pt>
                <c:pt idx="657">
                  <c:v>0.56999999999991668</c:v>
                </c:pt>
                <c:pt idx="658">
                  <c:v>0.57999999999991669</c:v>
                </c:pt>
                <c:pt idx="659">
                  <c:v>0.5899999999999167</c:v>
                </c:pt>
                <c:pt idx="660">
                  <c:v>0.59999999999991671</c:v>
                </c:pt>
                <c:pt idx="661">
                  <c:v>0.60999999999991672</c:v>
                </c:pt>
                <c:pt idx="662">
                  <c:v>0.61999999999991673</c:v>
                </c:pt>
                <c:pt idx="663">
                  <c:v>0.62999999999991674</c:v>
                </c:pt>
                <c:pt idx="664">
                  <c:v>0.63999999999991675</c:v>
                </c:pt>
                <c:pt idx="665">
                  <c:v>0.64999999999991676</c:v>
                </c:pt>
                <c:pt idx="666">
                  <c:v>0.65999999999991676</c:v>
                </c:pt>
                <c:pt idx="667">
                  <c:v>0.66999999999991677</c:v>
                </c:pt>
                <c:pt idx="668">
                  <c:v>0.67999999999991678</c:v>
                </c:pt>
                <c:pt idx="669">
                  <c:v>0.68999999999991679</c:v>
                </c:pt>
                <c:pt idx="670">
                  <c:v>0.6999999999999168</c:v>
                </c:pt>
                <c:pt idx="671">
                  <c:v>0.70999999999991681</c:v>
                </c:pt>
                <c:pt idx="672">
                  <c:v>0.71999999999991682</c:v>
                </c:pt>
                <c:pt idx="673">
                  <c:v>0.72999999999991683</c:v>
                </c:pt>
                <c:pt idx="674">
                  <c:v>0.73999999999991684</c:v>
                </c:pt>
                <c:pt idx="675">
                  <c:v>0.74999999999991684</c:v>
                </c:pt>
                <c:pt idx="676">
                  <c:v>0.75999999999991685</c:v>
                </c:pt>
                <c:pt idx="677">
                  <c:v>0.76999999999991686</c:v>
                </c:pt>
                <c:pt idx="678">
                  <c:v>0.77999999999991687</c:v>
                </c:pt>
                <c:pt idx="679">
                  <c:v>0.78999999999991688</c:v>
                </c:pt>
                <c:pt idx="680">
                  <c:v>0.79999999999991689</c:v>
                </c:pt>
                <c:pt idx="681">
                  <c:v>0.8099999999999169</c:v>
                </c:pt>
                <c:pt idx="682">
                  <c:v>0.81999999999991691</c:v>
                </c:pt>
                <c:pt idx="683">
                  <c:v>0.82999999999991692</c:v>
                </c:pt>
                <c:pt idx="684">
                  <c:v>0.83999999999991692</c:v>
                </c:pt>
                <c:pt idx="685">
                  <c:v>0.84999999999991693</c:v>
                </c:pt>
                <c:pt idx="686">
                  <c:v>0.85999999999991694</c:v>
                </c:pt>
                <c:pt idx="687">
                  <c:v>0.86999999999991695</c:v>
                </c:pt>
                <c:pt idx="688">
                  <c:v>0.87999999999991696</c:v>
                </c:pt>
                <c:pt idx="689">
                  <c:v>0.88999999999991697</c:v>
                </c:pt>
                <c:pt idx="690">
                  <c:v>0.89999999999991698</c:v>
                </c:pt>
                <c:pt idx="691">
                  <c:v>0.90999999999991699</c:v>
                </c:pt>
                <c:pt idx="692">
                  <c:v>0.919999999999917</c:v>
                </c:pt>
                <c:pt idx="693">
                  <c:v>0.929999999999917</c:v>
                </c:pt>
                <c:pt idx="694">
                  <c:v>0.93999999999991701</c:v>
                </c:pt>
                <c:pt idx="695">
                  <c:v>0.94999999999991702</c:v>
                </c:pt>
                <c:pt idx="696">
                  <c:v>0.95999999999991703</c:v>
                </c:pt>
                <c:pt idx="697">
                  <c:v>0.96999999999991704</c:v>
                </c:pt>
                <c:pt idx="698">
                  <c:v>0.97999999999991705</c:v>
                </c:pt>
                <c:pt idx="699">
                  <c:v>0.98999999999991706</c:v>
                </c:pt>
                <c:pt idx="700">
                  <c:v>0.99999999999991707</c:v>
                </c:pt>
                <c:pt idx="701">
                  <c:v>1.009999999999917</c:v>
                </c:pt>
                <c:pt idx="702">
                  <c:v>1.019999999999917</c:v>
                </c:pt>
                <c:pt idx="703">
                  <c:v>1.029999999999917</c:v>
                </c:pt>
                <c:pt idx="704">
                  <c:v>1.039999999999917</c:v>
                </c:pt>
                <c:pt idx="705">
                  <c:v>1.049999999999917</c:v>
                </c:pt>
                <c:pt idx="706">
                  <c:v>1.059999999999917</c:v>
                </c:pt>
                <c:pt idx="707">
                  <c:v>1.069999999999917</c:v>
                </c:pt>
                <c:pt idx="708">
                  <c:v>1.079999999999917</c:v>
                </c:pt>
                <c:pt idx="709">
                  <c:v>1.089999999999917</c:v>
                </c:pt>
                <c:pt idx="710">
                  <c:v>1.099999999999917</c:v>
                </c:pt>
                <c:pt idx="711">
                  <c:v>1.1099999999999171</c:v>
                </c:pt>
                <c:pt idx="712">
                  <c:v>1.1199999999999171</c:v>
                </c:pt>
                <c:pt idx="713">
                  <c:v>1.1299999999999171</c:v>
                </c:pt>
                <c:pt idx="714">
                  <c:v>1.1399999999999171</c:v>
                </c:pt>
                <c:pt idx="715">
                  <c:v>1.1499999999999171</c:v>
                </c:pt>
                <c:pt idx="716">
                  <c:v>1.1599999999999171</c:v>
                </c:pt>
                <c:pt idx="717">
                  <c:v>1.1699999999999171</c:v>
                </c:pt>
                <c:pt idx="718">
                  <c:v>1.1799999999999171</c:v>
                </c:pt>
                <c:pt idx="719">
                  <c:v>1.1899999999999171</c:v>
                </c:pt>
                <c:pt idx="720">
                  <c:v>1.1999999999999171</c:v>
                </c:pt>
                <c:pt idx="721">
                  <c:v>1.2099999999999171</c:v>
                </c:pt>
                <c:pt idx="722">
                  <c:v>1.2199999999999172</c:v>
                </c:pt>
                <c:pt idx="723">
                  <c:v>1.2299999999999172</c:v>
                </c:pt>
                <c:pt idx="724">
                  <c:v>1.2399999999999172</c:v>
                </c:pt>
                <c:pt idx="725">
                  <c:v>1.2499999999999172</c:v>
                </c:pt>
                <c:pt idx="726">
                  <c:v>1.2599999999999172</c:v>
                </c:pt>
                <c:pt idx="727">
                  <c:v>1.2699999999999172</c:v>
                </c:pt>
                <c:pt idx="728">
                  <c:v>1.2799999999999172</c:v>
                </c:pt>
                <c:pt idx="729">
                  <c:v>1.2899999999999172</c:v>
                </c:pt>
                <c:pt idx="730">
                  <c:v>1.2999999999999172</c:v>
                </c:pt>
                <c:pt idx="731">
                  <c:v>1.3099999999999172</c:v>
                </c:pt>
                <c:pt idx="732">
                  <c:v>1.3199999999999172</c:v>
                </c:pt>
                <c:pt idx="733">
                  <c:v>1.3299999999999172</c:v>
                </c:pt>
                <c:pt idx="734">
                  <c:v>1.3399999999999173</c:v>
                </c:pt>
                <c:pt idx="735">
                  <c:v>1.3499999999999173</c:v>
                </c:pt>
                <c:pt idx="736">
                  <c:v>1.3599999999999173</c:v>
                </c:pt>
                <c:pt idx="737">
                  <c:v>1.3699999999999173</c:v>
                </c:pt>
                <c:pt idx="738">
                  <c:v>1.3799999999999173</c:v>
                </c:pt>
                <c:pt idx="739">
                  <c:v>1.3899999999999173</c:v>
                </c:pt>
                <c:pt idx="740">
                  <c:v>1.3999999999999173</c:v>
                </c:pt>
                <c:pt idx="741">
                  <c:v>1.4099999999999173</c:v>
                </c:pt>
                <c:pt idx="742">
                  <c:v>1.4199999999999173</c:v>
                </c:pt>
                <c:pt idx="743">
                  <c:v>1.4299999999999173</c:v>
                </c:pt>
                <c:pt idx="744">
                  <c:v>1.4399999999999173</c:v>
                </c:pt>
                <c:pt idx="745">
                  <c:v>1.4499999999999174</c:v>
                </c:pt>
                <c:pt idx="746">
                  <c:v>1.4599999999999174</c:v>
                </c:pt>
                <c:pt idx="747">
                  <c:v>1.4699999999999174</c:v>
                </c:pt>
                <c:pt idx="748">
                  <c:v>1.4799999999999174</c:v>
                </c:pt>
                <c:pt idx="749">
                  <c:v>1.4899999999999174</c:v>
                </c:pt>
                <c:pt idx="750">
                  <c:v>1.4999999999999174</c:v>
                </c:pt>
                <c:pt idx="751">
                  <c:v>1.5099999999999174</c:v>
                </c:pt>
                <c:pt idx="752">
                  <c:v>1.5199999999999174</c:v>
                </c:pt>
                <c:pt idx="753">
                  <c:v>1.5299999999999174</c:v>
                </c:pt>
                <c:pt idx="754">
                  <c:v>1.5399999999999174</c:v>
                </c:pt>
                <c:pt idx="755">
                  <c:v>1.5499999999999174</c:v>
                </c:pt>
                <c:pt idx="756">
                  <c:v>1.5599999999999175</c:v>
                </c:pt>
                <c:pt idx="757">
                  <c:v>1.5699999999999175</c:v>
                </c:pt>
                <c:pt idx="758">
                  <c:v>1.5799999999999175</c:v>
                </c:pt>
                <c:pt idx="759">
                  <c:v>1.5899999999999175</c:v>
                </c:pt>
                <c:pt idx="760">
                  <c:v>1.5999999999999175</c:v>
                </c:pt>
                <c:pt idx="761">
                  <c:v>1.6099999999999175</c:v>
                </c:pt>
                <c:pt idx="762">
                  <c:v>1.6199999999999175</c:v>
                </c:pt>
                <c:pt idx="763">
                  <c:v>1.6299999999999175</c:v>
                </c:pt>
                <c:pt idx="764">
                  <c:v>1.6399999999999175</c:v>
                </c:pt>
                <c:pt idx="765">
                  <c:v>1.6499999999999175</c:v>
                </c:pt>
                <c:pt idx="766">
                  <c:v>1.6599999999999175</c:v>
                </c:pt>
                <c:pt idx="767">
                  <c:v>1.6699999999999176</c:v>
                </c:pt>
                <c:pt idx="768">
                  <c:v>1.6799999999999176</c:v>
                </c:pt>
                <c:pt idx="769">
                  <c:v>1.6899999999999176</c:v>
                </c:pt>
                <c:pt idx="770">
                  <c:v>1.6999999999999176</c:v>
                </c:pt>
                <c:pt idx="771">
                  <c:v>1.7099999999999176</c:v>
                </c:pt>
                <c:pt idx="772">
                  <c:v>1.7199999999999176</c:v>
                </c:pt>
                <c:pt idx="773">
                  <c:v>1.7299999999999176</c:v>
                </c:pt>
                <c:pt idx="774">
                  <c:v>1.7399999999999176</c:v>
                </c:pt>
                <c:pt idx="775">
                  <c:v>1.7499999999999176</c:v>
                </c:pt>
                <c:pt idx="776">
                  <c:v>1.7599999999999176</c:v>
                </c:pt>
                <c:pt idx="777">
                  <c:v>1.7699999999999176</c:v>
                </c:pt>
                <c:pt idx="778">
                  <c:v>1.7799999999999176</c:v>
                </c:pt>
                <c:pt idx="779">
                  <c:v>1.7899999999999177</c:v>
                </c:pt>
                <c:pt idx="780">
                  <c:v>1.7999999999999177</c:v>
                </c:pt>
                <c:pt idx="781">
                  <c:v>1.8099999999999177</c:v>
                </c:pt>
                <c:pt idx="782">
                  <c:v>1.8199999999999177</c:v>
                </c:pt>
                <c:pt idx="783">
                  <c:v>1.8299999999999177</c:v>
                </c:pt>
                <c:pt idx="784">
                  <c:v>1.8399999999999177</c:v>
                </c:pt>
                <c:pt idx="785">
                  <c:v>1.8499999999999177</c:v>
                </c:pt>
                <c:pt idx="786">
                  <c:v>1.8599999999999177</c:v>
                </c:pt>
                <c:pt idx="787">
                  <c:v>1.8699999999999177</c:v>
                </c:pt>
                <c:pt idx="788">
                  <c:v>1.8799999999999177</c:v>
                </c:pt>
                <c:pt idx="789">
                  <c:v>1.8899999999999177</c:v>
                </c:pt>
                <c:pt idx="790">
                  <c:v>1.8999999999999178</c:v>
                </c:pt>
                <c:pt idx="791">
                  <c:v>1.9099999999999178</c:v>
                </c:pt>
                <c:pt idx="792">
                  <c:v>1.9199999999999178</c:v>
                </c:pt>
                <c:pt idx="793">
                  <c:v>1.9299999999999178</c:v>
                </c:pt>
                <c:pt idx="794">
                  <c:v>1.9399999999999178</c:v>
                </c:pt>
                <c:pt idx="795">
                  <c:v>1.9499999999999178</c:v>
                </c:pt>
                <c:pt idx="796">
                  <c:v>1.9599999999999178</c:v>
                </c:pt>
                <c:pt idx="797">
                  <c:v>1.9699999999999178</c:v>
                </c:pt>
                <c:pt idx="798">
                  <c:v>1.9799999999999178</c:v>
                </c:pt>
                <c:pt idx="799">
                  <c:v>1.9899999999999178</c:v>
                </c:pt>
                <c:pt idx="800">
                  <c:v>1.9999999999999178</c:v>
                </c:pt>
                <c:pt idx="801">
                  <c:v>2.0099999999999176</c:v>
                </c:pt>
                <c:pt idx="802">
                  <c:v>2.0199999999999174</c:v>
                </c:pt>
                <c:pt idx="803">
                  <c:v>2.0299999999999172</c:v>
                </c:pt>
                <c:pt idx="804">
                  <c:v>2.039999999999917</c:v>
                </c:pt>
                <c:pt idx="805">
                  <c:v>2.0499999999999168</c:v>
                </c:pt>
                <c:pt idx="806">
                  <c:v>2.0599999999999166</c:v>
                </c:pt>
                <c:pt idx="807">
                  <c:v>2.0699999999999164</c:v>
                </c:pt>
                <c:pt idx="808">
                  <c:v>2.0799999999999161</c:v>
                </c:pt>
                <c:pt idx="809">
                  <c:v>2.0899999999999159</c:v>
                </c:pt>
                <c:pt idx="810">
                  <c:v>2.0999999999999157</c:v>
                </c:pt>
                <c:pt idx="811">
                  <c:v>2.1099999999999155</c:v>
                </c:pt>
                <c:pt idx="812">
                  <c:v>2.1199999999999153</c:v>
                </c:pt>
                <c:pt idx="813">
                  <c:v>2.1299999999999151</c:v>
                </c:pt>
                <c:pt idx="814">
                  <c:v>2.1399999999999149</c:v>
                </c:pt>
                <c:pt idx="815">
                  <c:v>2.1499999999999146</c:v>
                </c:pt>
                <c:pt idx="816">
                  <c:v>2.1599999999999144</c:v>
                </c:pt>
                <c:pt idx="817">
                  <c:v>2.1699999999999142</c:v>
                </c:pt>
                <c:pt idx="818">
                  <c:v>2.179999999999914</c:v>
                </c:pt>
                <c:pt idx="819">
                  <c:v>2.1899999999999138</c:v>
                </c:pt>
                <c:pt idx="820">
                  <c:v>2.1999999999999136</c:v>
                </c:pt>
                <c:pt idx="821">
                  <c:v>2.2099999999999134</c:v>
                </c:pt>
                <c:pt idx="822">
                  <c:v>2.2199999999999132</c:v>
                </c:pt>
                <c:pt idx="823">
                  <c:v>2.2299999999999129</c:v>
                </c:pt>
                <c:pt idx="824">
                  <c:v>2.2399999999999127</c:v>
                </c:pt>
                <c:pt idx="825">
                  <c:v>2.2499999999999125</c:v>
                </c:pt>
                <c:pt idx="826">
                  <c:v>2.2599999999999123</c:v>
                </c:pt>
                <c:pt idx="827">
                  <c:v>2.2699999999999121</c:v>
                </c:pt>
                <c:pt idx="828">
                  <c:v>2.2799999999999119</c:v>
                </c:pt>
                <c:pt idx="829">
                  <c:v>2.2899999999999117</c:v>
                </c:pt>
                <c:pt idx="830">
                  <c:v>2.2999999999999114</c:v>
                </c:pt>
                <c:pt idx="831">
                  <c:v>2.3099999999999112</c:v>
                </c:pt>
                <c:pt idx="832">
                  <c:v>2.319999999999911</c:v>
                </c:pt>
                <c:pt idx="833">
                  <c:v>2.3299999999999108</c:v>
                </c:pt>
                <c:pt idx="834">
                  <c:v>2.3399999999999106</c:v>
                </c:pt>
                <c:pt idx="835">
                  <c:v>2.3499999999999104</c:v>
                </c:pt>
                <c:pt idx="836">
                  <c:v>2.3599999999999102</c:v>
                </c:pt>
                <c:pt idx="837">
                  <c:v>2.36999999999991</c:v>
                </c:pt>
                <c:pt idx="838">
                  <c:v>2.3799999999999097</c:v>
                </c:pt>
                <c:pt idx="839">
                  <c:v>2.3899999999999095</c:v>
                </c:pt>
                <c:pt idx="840">
                  <c:v>2.3999999999999093</c:v>
                </c:pt>
                <c:pt idx="841">
                  <c:v>2.4099999999999091</c:v>
                </c:pt>
                <c:pt idx="842">
                  <c:v>2.4199999999999089</c:v>
                </c:pt>
                <c:pt idx="843">
                  <c:v>2.4299999999999087</c:v>
                </c:pt>
                <c:pt idx="844">
                  <c:v>2.4399999999999085</c:v>
                </c:pt>
                <c:pt idx="845">
                  <c:v>2.4499999999999083</c:v>
                </c:pt>
                <c:pt idx="846">
                  <c:v>2.459999999999908</c:v>
                </c:pt>
                <c:pt idx="847">
                  <c:v>2.4699999999999078</c:v>
                </c:pt>
                <c:pt idx="848">
                  <c:v>2.4799999999999076</c:v>
                </c:pt>
                <c:pt idx="849">
                  <c:v>2.4899999999999074</c:v>
                </c:pt>
                <c:pt idx="850">
                  <c:v>2.4999999999999072</c:v>
                </c:pt>
                <c:pt idx="851">
                  <c:v>2.509999999999907</c:v>
                </c:pt>
                <c:pt idx="852">
                  <c:v>2.5199999999999068</c:v>
                </c:pt>
                <c:pt idx="853">
                  <c:v>2.5299999999999065</c:v>
                </c:pt>
                <c:pt idx="854">
                  <c:v>2.5399999999999063</c:v>
                </c:pt>
                <c:pt idx="855">
                  <c:v>2.5499999999999061</c:v>
                </c:pt>
                <c:pt idx="856">
                  <c:v>2.5599999999999059</c:v>
                </c:pt>
                <c:pt idx="857">
                  <c:v>2.5699999999999057</c:v>
                </c:pt>
                <c:pt idx="858">
                  <c:v>2.5799999999999055</c:v>
                </c:pt>
                <c:pt idx="859">
                  <c:v>2.5899999999999053</c:v>
                </c:pt>
                <c:pt idx="860">
                  <c:v>2.5999999999999051</c:v>
                </c:pt>
                <c:pt idx="861">
                  <c:v>2.6099999999999048</c:v>
                </c:pt>
                <c:pt idx="862">
                  <c:v>2.6199999999999046</c:v>
                </c:pt>
                <c:pt idx="863">
                  <c:v>2.6299999999999044</c:v>
                </c:pt>
                <c:pt idx="864">
                  <c:v>2.6399999999999042</c:v>
                </c:pt>
                <c:pt idx="865">
                  <c:v>2.649999999999904</c:v>
                </c:pt>
                <c:pt idx="866">
                  <c:v>2.6599999999999038</c:v>
                </c:pt>
                <c:pt idx="867">
                  <c:v>2.6699999999999036</c:v>
                </c:pt>
                <c:pt idx="868">
                  <c:v>2.6799999999999033</c:v>
                </c:pt>
                <c:pt idx="869">
                  <c:v>2.6899999999999031</c:v>
                </c:pt>
                <c:pt idx="870">
                  <c:v>2.6999999999999029</c:v>
                </c:pt>
                <c:pt idx="871">
                  <c:v>2.7099999999999027</c:v>
                </c:pt>
                <c:pt idx="872">
                  <c:v>2.7199999999999025</c:v>
                </c:pt>
                <c:pt idx="873">
                  <c:v>2.7299999999999023</c:v>
                </c:pt>
                <c:pt idx="874">
                  <c:v>2.7399999999999021</c:v>
                </c:pt>
                <c:pt idx="875">
                  <c:v>2.7499999999999019</c:v>
                </c:pt>
                <c:pt idx="876">
                  <c:v>2.7599999999999016</c:v>
                </c:pt>
                <c:pt idx="877">
                  <c:v>2.7699999999999014</c:v>
                </c:pt>
                <c:pt idx="878">
                  <c:v>2.7799999999999012</c:v>
                </c:pt>
                <c:pt idx="879">
                  <c:v>2.789999999999901</c:v>
                </c:pt>
                <c:pt idx="880">
                  <c:v>2.7999999999999008</c:v>
                </c:pt>
                <c:pt idx="881">
                  <c:v>2.8099999999999006</c:v>
                </c:pt>
                <c:pt idx="882">
                  <c:v>2.8199999999999004</c:v>
                </c:pt>
                <c:pt idx="883">
                  <c:v>2.8299999999999002</c:v>
                </c:pt>
                <c:pt idx="884">
                  <c:v>2.8399999999998999</c:v>
                </c:pt>
                <c:pt idx="885">
                  <c:v>2.8499999999998997</c:v>
                </c:pt>
                <c:pt idx="886">
                  <c:v>2.8599999999998995</c:v>
                </c:pt>
                <c:pt idx="887">
                  <c:v>2.8699999999998993</c:v>
                </c:pt>
                <c:pt idx="888">
                  <c:v>2.8799999999998991</c:v>
                </c:pt>
                <c:pt idx="889">
                  <c:v>2.8899999999998989</c:v>
                </c:pt>
                <c:pt idx="890">
                  <c:v>2.8999999999998987</c:v>
                </c:pt>
                <c:pt idx="891">
                  <c:v>2.9099999999998984</c:v>
                </c:pt>
                <c:pt idx="892">
                  <c:v>2.9199999999998982</c:v>
                </c:pt>
                <c:pt idx="893">
                  <c:v>2.929999999999898</c:v>
                </c:pt>
                <c:pt idx="894">
                  <c:v>2.9399999999998978</c:v>
                </c:pt>
                <c:pt idx="895">
                  <c:v>2.9499999999998976</c:v>
                </c:pt>
                <c:pt idx="896">
                  <c:v>2.9599999999998974</c:v>
                </c:pt>
                <c:pt idx="897">
                  <c:v>2.9699999999998972</c:v>
                </c:pt>
                <c:pt idx="898">
                  <c:v>2.979999999999897</c:v>
                </c:pt>
                <c:pt idx="899">
                  <c:v>2.9899999999998967</c:v>
                </c:pt>
                <c:pt idx="900">
                  <c:v>2.9999999999998965</c:v>
                </c:pt>
                <c:pt idx="901">
                  <c:v>3.0099999999998963</c:v>
                </c:pt>
                <c:pt idx="902">
                  <c:v>3.0199999999998961</c:v>
                </c:pt>
                <c:pt idx="903">
                  <c:v>3.0299999999998959</c:v>
                </c:pt>
                <c:pt idx="904">
                  <c:v>3.0399999999998957</c:v>
                </c:pt>
                <c:pt idx="905">
                  <c:v>3.0499999999998955</c:v>
                </c:pt>
                <c:pt idx="906">
                  <c:v>3.0599999999998952</c:v>
                </c:pt>
                <c:pt idx="907">
                  <c:v>3.069999999999895</c:v>
                </c:pt>
                <c:pt idx="908">
                  <c:v>3.0799999999998948</c:v>
                </c:pt>
                <c:pt idx="909">
                  <c:v>3.0899999999998946</c:v>
                </c:pt>
                <c:pt idx="910">
                  <c:v>3.0999999999998944</c:v>
                </c:pt>
                <c:pt idx="911">
                  <c:v>3.1099999999998942</c:v>
                </c:pt>
                <c:pt idx="912">
                  <c:v>3.119999999999894</c:v>
                </c:pt>
                <c:pt idx="913">
                  <c:v>3.1299999999998938</c:v>
                </c:pt>
                <c:pt idx="914">
                  <c:v>3.1399999999998935</c:v>
                </c:pt>
                <c:pt idx="915">
                  <c:v>3.1499999999998933</c:v>
                </c:pt>
                <c:pt idx="916">
                  <c:v>3.1599999999998931</c:v>
                </c:pt>
                <c:pt idx="917">
                  <c:v>3.1699999999998929</c:v>
                </c:pt>
                <c:pt idx="918">
                  <c:v>3.1799999999998927</c:v>
                </c:pt>
                <c:pt idx="919">
                  <c:v>3.1899999999998925</c:v>
                </c:pt>
                <c:pt idx="920">
                  <c:v>3.1999999999998923</c:v>
                </c:pt>
                <c:pt idx="921">
                  <c:v>3.2099999999998921</c:v>
                </c:pt>
                <c:pt idx="922">
                  <c:v>3.2199999999998918</c:v>
                </c:pt>
                <c:pt idx="923">
                  <c:v>3.2299999999998916</c:v>
                </c:pt>
                <c:pt idx="924">
                  <c:v>3.2399999999998914</c:v>
                </c:pt>
                <c:pt idx="925">
                  <c:v>3.2499999999998912</c:v>
                </c:pt>
                <c:pt idx="926">
                  <c:v>3.259999999999891</c:v>
                </c:pt>
                <c:pt idx="927">
                  <c:v>3.2699999999998908</c:v>
                </c:pt>
                <c:pt idx="928">
                  <c:v>3.2799999999998906</c:v>
                </c:pt>
                <c:pt idx="929">
                  <c:v>3.2899999999998903</c:v>
                </c:pt>
                <c:pt idx="930">
                  <c:v>3.2999999999998901</c:v>
                </c:pt>
                <c:pt idx="931">
                  <c:v>3.3099999999998899</c:v>
                </c:pt>
                <c:pt idx="932">
                  <c:v>3.3199999999998897</c:v>
                </c:pt>
                <c:pt idx="933">
                  <c:v>3.3299999999998895</c:v>
                </c:pt>
                <c:pt idx="934">
                  <c:v>3.3399999999998893</c:v>
                </c:pt>
                <c:pt idx="935">
                  <c:v>3.3499999999998891</c:v>
                </c:pt>
                <c:pt idx="936">
                  <c:v>3.3599999999998889</c:v>
                </c:pt>
                <c:pt idx="937">
                  <c:v>3.3699999999998886</c:v>
                </c:pt>
                <c:pt idx="938">
                  <c:v>3.3799999999998884</c:v>
                </c:pt>
                <c:pt idx="939">
                  <c:v>3.3899999999998882</c:v>
                </c:pt>
                <c:pt idx="940">
                  <c:v>3.399999999999888</c:v>
                </c:pt>
                <c:pt idx="941">
                  <c:v>3.4099999999998878</c:v>
                </c:pt>
                <c:pt idx="942">
                  <c:v>3.4199999999998876</c:v>
                </c:pt>
                <c:pt idx="943">
                  <c:v>3.4299999999998874</c:v>
                </c:pt>
                <c:pt idx="944">
                  <c:v>3.4399999999998871</c:v>
                </c:pt>
                <c:pt idx="945">
                  <c:v>3.4499999999998869</c:v>
                </c:pt>
                <c:pt idx="946">
                  <c:v>3.4599999999998867</c:v>
                </c:pt>
                <c:pt idx="947">
                  <c:v>3.4699999999998865</c:v>
                </c:pt>
                <c:pt idx="948">
                  <c:v>3.4799999999998863</c:v>
                </c:pt>
                <c:pt idx="949">
                  <c:v>3.4899999999998861</c:v>
                </c:pt>
                <c:pt idx="950">
                  <c:v>3.4999999999998859</c:v>
                </c:pt>
                <c:pt idx="951">
                  <c:v>3.5099999999998857</c:v>
                </c:pt>
                <c:pt idx="952">
                  <c:v>3.5199999999998854</c:v>
                </c:pt>
                <c:pt idx="953">
                  <c:v>3.5299999999998852</c:v>
                </c:pt>
                <c:pt idx="954">
                  <c:v>3.539999999999885</c:v>
                </c:pt>
                <c:pt idx="955">
                  <c:v>3.5499999999998848</c:v>
                </c:pt>
                <c:pt idx="956">
                  <c:v>3.5599999999998846</c:v>
                </c:pt>
                <c:pt idx="957">
                  <c:v>3.5699999999998844</c:v>
                </c:pt>
                <c:pt idx="958">
                  <c:v>3.5799999999998842</c:v>
                </c:pt>
                <c:pt idx="959">
                  <c:v>3.589999999999884</c:v>
                </c:pt>
                <c:pt idx="960">
                  <c:v>3.5999999999998837</c:v>
                </c:pt>
                <c:pt idx="961">
                  <c:v>3.6099999999998835</c:v>
                </c:pt>
                <c:pt idx="962">
                  <c:v>3.6199999999998833</c:v>
                </c:pt>
                <c:pt idx="963">
                  <c:v>3.6299999999998831</c:v>
                </c:pt>
                <c:pt idx="964">
                  <c:v>3.6399999999998829</c:v>
                </c:pt>
                <c:pt idx="965">
                  <c:v>3.6499999999998827</c:v>
                </c:pt>
                <c:pt idx="966">
                  <c:v>3.6599999999998825</c:v>
                </c:pt>
                <c:pt idx="967">
                  <c:v>3.6699999999998822</c:v>
                </c:pt>
                <c:pt idx="968">
                  <c:v>3.679999999999882</c:v>
                </c:pt>
                <c:pt idx="969">
                  <c:v>3.6899999999998818</c:v>
                </c:pt>
                <c:pt idx="970">
                  <c:v>3.6999999999998816</c:v>
                </c:pt>
                <c:pt idx="971">
                  <c:v>3.7099999999998814</c:v>
                </c:pt>
                <c:pt idx="972">
                  <c:v>3.7199999999998812</c:v>
                </c:pt>
                <c:pt idx="973">
                  <c:v>3.729999999999881</c:v>
                </c:pt>
                <c:pt idx="974">
                  <c:v>3.7399999999998808</c:v>
                </c:pt>
                <c:pt idx="975">
                  <c:v>3.7499999999998805</c:v>
                </c:pt>
                <c:pt idx="976">
                  <c:v>3.7599999999998803</c:v>
                </c:pt>
                <c:pt idx="977">
                  <c:v>3.7699999999998801</c:v>
                </c:pt>
                <c:pt idx="978">
                  <c:v>3.7799999999998799</c:v>
                </c:pt>
                <c:pt idx="979">
                  <c:v>3.7899999999998797</c:v>
                </c:pt>
                <c:pt idx="980">
                  <c:v>3.7999999999998795</c:v>
                </c:pt>
                <c:pt idx="981">
                  <c:v>3.8099999999998793</c:v>
                </c:pt>
                <c:pt idx="982">
                  <c:v>3.819999999999879</c:v>
                </c:pt>
                <c:pt idx="983">
                  <c:v>3.8299999999998788</c:v>
                </c:pt>
                <c:pt idx="984">
                  <c:v>3.8399999999998786</c:v>
                </c:pt>
                <c:pt idx="985">
                  <c:v>3.8499999999998784</c:v>
                </c:pt>
                <c:pt idx="986">
                  <c:v>3.8599999999998782</c:v>
                </c:pt>
                <c:pt idx="987">
                  <c:v>3.869999999999878</c:v>
                </c:pt>
                <c:pt idx="988">
                  <c:v>3.8799999999998778</c:v>
                </c:pt>
                <c:pt idx="989">
                  <c:v>3.8899999999998776</c:v>
                </c:pt>
                <c:pt idx="990">
                  <c:v>3.8999999999998773</c:v>
                </c:pt>
                <c:pt idx="991">
                  <c:v>3.9099999999998771</c:v>
                </c:pt>
                <c:pt idx="992">
                  <c:v>3.9199999999998769</c:v>
                </c:pt>
                <c:pt idx="993">
                  <c:v>3.9299999999998767</c:v>
                </c:pt>
                <c:pt idx="994">
                  <c:v>3.9399999999998765</c:v>
                </c:pt>
                <c:pt idx="995">
                  <c:v>3.9499999999998763</c:v>
                </c:pt>
                <c:pt idx="996">
                  <c:v>3.9599999999998761</c:v>
                </c:pt>
                <c:pt idx="997">
                  <c:v>3.9699999999998759</c:v>
                </c:pt>
                <c:pt idx="998">
                  <c:v>3.9799999999998756</c:v>
                </c:pt>
                <c:pt idx="999">
                  <c:v>3.9899999999998754</c:v>
                </c:pt>
                <c:pt idx="1000">
                  <c:v>3.9999999999998752</c:v>
                </c:pt>
                <c:pt idx="1001">
                  <c:v>4.0099999999998754</c:v>
                </c:pt>
                <c:pt idx="1002">
                  <c:v>4.0199999999998752</c:v>
                </c:pt>
                <c:pt idx="1003">
                  <c:v>4.029999999999875</c:v>
                </c:pt>
                <c:pt idx="1004">
                  <c:v>4.0399999999998748</c:v>
                </c:pt>
                <c:pt idx="1005">
                  <c:v>4.0499999999998746</c:v>
                </c:pt>
                <c:pt idx="1006">
                  <c:v>4.0599999999998744</c:v>
                </c:pt>
                <c:pt idx="1007">
                  <c:v>4.0699999999998742</c:v>
                </c:pt>
                <c:pt idx="1008">
                  <c:v>4.0799999999998739</c:v>
                </c:pt>
                <c:pt idx="1009">
                  <c:v>4.0899999999998737</c:v>
                </c:pt>
                <c:pt idx="1010">
                  <c:v>4.0999999999998735</c:v>
                </c:pt>
                <c:pt idx="1011">
                  <c:v>4.1099999999998733</c:v>
                </c:pt>
                <c:pt idx="1012">
                  <c:v>4.1199999999998731</c:v>
                </c:pt>
                <c:pt idx="1013">
                  <c:v>4.1299999999998729</c:v>
                </c:pt>
                <c:pt idx="1014">
                  <c:v>4.1399999999998727</c:v>
                </c:pt>
                <c:pt idx="1015">
                  <c:v>4.1499999999998725</c:v>
                </c:pt>
                <c:pt idx="1016">
                  <c:v>4.1599999999998722</c:v>
                </c:pt>
                <c:pt idx="1017">
                  <c:v>4.169999999999872</c:v>
                </c:pt>
                <c:pt idx="1018">
                  <c:v>4.1799999999998718</c:v>
                </c:pt>
                <c:pt idx="1019">
                  <c:v>4.1899999999998716</c:v>
                </c:pt>
                <c:pt idx="1020">
                  <c:v>4.1999999999998714</c:v>
                </c:pt>
                <c:pt idx="1021">
                  <c:v>4.2099999999998712</c:v>
                </c:pt>
                <c:pt idx="1022">
                  <c:v>4.219999999999871</c:v>
                </c:pt>
                <c:pt idx="1023">
                  <c:v>4.2299999999998708</c:v>
                </c:pt>
                <c:pt idx="1024">
                  <c:v>4.2399999999998705</c:v>
                </c:pt>
                <c:pt idx="1025">
                  <c:v>4.2499999999998703</c:v>
                </c:pt>
                <c:pt idx="1026">
                  <c:v>4.2599999999998701</c:v>
                </c:pt>
                <c:pt idx="1027">
                  <c:v>4.2699999999998699</c:v>
                </c:pt>
                <c:pt idx="1028">
                  <c:v>4.2799999999998697</c:v>
                </c:pt>
                <c:pt idx="1029">
                  <c:v>4.2899999999998695</c:v>
                </c:pt>
                <c:pt idx="1030">
                  <c:v>4.2999999999998693</c:v>
                </c:pt>
                <c:pt idx="1031">
                  <c:v>4.309999999999869</c:v>
                </c:pt>
                <c:pt idx="1032">
                  <c:v>4.3199999999998688</c:v>
                </c:pt>
                <c:pt idx="1033">
                  <c:v>4.3299999999998686</c:v>
                </c:pt>
                <c:pt idx="1034">
                  <c:v>4.3399999999998684</c:v>
                </c:pt>
                <c:pt idx="1035">
                  <c:v>4.3499999999998682</c:v>
                </c:pt>
                <c:pt idx="1036">
                  <c:v>4.359999999999868</c:v>
                </c:pt>
                <c:pt idx="1037">
                  <c:v>4.3699999999998678</c:v>
                </c:pt>
                <c:pt idx="1038">
                  <c:v>4.3799999999998676</c:v>
                </c:pt>
                <c:pt idx="1039">
                  <c:v>4.3899999999998673</c:v>
                </c:pt>
                <c:pt idx="1040">
                  <c:v>4.3999999999998671</c:v>
                </c:pt>
                <c:pt idx="1041">
                  <c:v>4.4099999999998669</c:v>
                </c:pt>
                <c:pt idx="1042">
                  <c:v>4.4199999999998667</c:v>
                </c:pt>
                <c:pt idx="1043">
                  <c:v>4.4299999999998665</c:v>
                </c:pt>
                <c:pt idx="1044">
                  <c:v>4.4399999999998663</c:v>
                </c:pt>
                <c:pt idx="1045">
                  <c:v>4.4499999999998661</c:v>
                </c:pt>
                <c:pt idx="1046">
                  <c:v>4.4599999999998658</c:v>
                </c:pt>
                <c:pt idx="1047">
                  <c:v>4.4699999999998656</c:v>
                </c:pt>
                <c:pt idx="1048">
                  <c:v>4.4799999999998654</c:v>
                </c:pt>
                <c:pt idx="1049">
                  <c:v>4.4899999999998652</c:v>
                </c:pt>
                <c:pt idx="1050">
                  <c:v>4.499999999999865</c:v>
                </c:pt>
                <c:pt idx="1051">
                  <c:v>4.5099999999998648</c:v>
                </c:pt>
                <c:pt idx="1052">
                  <c:v>4.5199999999998646</c:v>
                </c:pt>
                <c:pt idx="1053">
                  <c:v>4.5299999999998644</c:v>
                </c:pt>
                <c:pt idx="1054">
                  <c:v>4.5399999999998641</c:v>
                </c:pt>
                <c:pt idx="1055">
                  <c:v>4.5499999999998639</c:v>
                </c:pt>
                <c:pt idx="1056">
                  <c:v>4.5599999999998637</c:v>
                </c:pt>
                <c:pt idx="1057">
                  <c:v>4.5699999999998635</c:v>
                </c:pt>
                <c:pt idx="1058">
                  <c:v>4.5799999999998633</c:v>
                </c:pt>
                <c:pt idx="1059">
                  <c:v>4.5899999999998631</c:v>
                </c:pt>
                <c:pt idx="1060">
                  <c:v>4.5999999999998629</c:v>
                </c:pt>
                <c:pt idx="1061">
                  <c:v>4.6099999999998627</c:v>
                </c:pt>
                <c:pt idx="1062">
                  <c:v>4.6199999999998624</c:v>
                </c:pt>
                <c:pt idx="1063">
                  <c:v>4.6299999999998622</c:v>
                </c:pt>
                <c:pt idx="1064">
                  <c:v>4.639999999999862</c:v>
                </c:pt>
                <c:pt idx="1065">
                  <c:v>4.6499999999998618</c:v>
                </c:pt>
                <c:pt idx="1066">
                  <c:v>4.6599999999998616</c:v>
                </c:pt>
                <c:pt idx="1067">
                  <c:v>4.6699999999998614</c:v>
                </c:pt>
                <c:pt idx="1068">
                  <c:v>4.6799999999998612</c:v>
                </c:pt>
                <c:pt idx="1069">
                  <c:v>4.6899999999998609</c:v>
                </c:pt>
                <c:pt idx="1070">
                  <c:v>4.6999999999998607</c:v>
                </c:pt>
                <c:pt idx="1071">
                  <c:v>4.7099999999998605</c:v>
                </c:pt>
                <c:pt idx="1072">
                  <c:v>4.7199999999998603</c:v>
                </c:pt>
                <c:pt idx="1073">
                  <c:v>4.7299999999998601</c:v>
                </c:pt>
                <c:pt idx="1074">
                  <c:v>4.7399999999998599</c:v>
                </c:pt>
                <c:pt idx="1075">
                  <c:v>4.7499999999998597</c:v>
                </c:pt>
                <c:pt idx="1076">
                  <c:v>4.7599999999998595</c:v>
                </c:pt>
                <c:pt idx="1077">
                  <c:v>4.7699999999998592</c:v>
                </c:pt>
                <c:pt idx="1078">
                  <c:v>4.779999999999859</c:v>
                </c:pt>
                <c:pt idx="1079">
                  <c:v>4.7899999999998588</c:v>
                </c:pt>
                <c:pt idx="1080">
                  <c:v>4.7999999999998586</c:v>
                </c:pt>
                <c:pt idx="1081">
                  <c:v>4.8099999999998584</c:v>
                </c:pt>
                <c:pt idx="1082">
                  <c:v>4.8199999999998582</c:v>
                </c:pt>
                <c:pt idx="1083">
                  <c:v>4.829999999999858</c:v>
                </c:pt>
                <c:pt idx="1084">
                  <c:v>4.8399999999998577</c:v>
                </c:pt>
                <c:pt idx="1085">
                  <c:v>4.8499999999998575</c:v>
                </c:pt>
                <c:pt idx="1086">
                  <c:v>4.8599999999998573</c:v>
                </c:pt>
                <c:pt idx="1087">
                  <c:v>4.8699999999998571</c:v>
                </c:pt>
                <c:pt idx="1088">
                  <c:v>4.8799999999998569</c:v>
                </c:pt>
                <c:pt idx="1089">
                  <c:v>4.8899999999998567</c:v>
                </c:pt>
                <c:pt idx="1090">
                  <c:v>4.8999999999998565</c:v>
                </c:pt>
                <c:pt idx="1091">
                  <c:v>4.9099999999998563</c:v>
                </c:pt>
                <c:pt idx="1092">
                  <c:v>4.919999999999856</c:v>
                </c:pt>
                <c:pt idx="1093">
                  <c:v>4.9299999999998558</c:v>
                </c:pt>
                <c:pt idx="1094">
                  <c:v>4.9399999999998556</c:v>
                </c:pt>
                <c:pt idx="1095">
                  <c:v>4.9499999999998554</c:v>
                </c:pt>
                <c:pt idx="1096">
                  <c:v>4.9599999999998552</c:v>
                </c:pt>
                <c:pt idx="1097">
                  <c:v>4.969999999999855</c:v>
                </c:pt>
                <c:pt idx="1098">
                  <c:v>4.9799999999998548</c:v>
                </c:pt>
                <c:pt idx="1099">
                  <c:v>4.9899999999998546</c:v>
                </c:pt>
                <c:pt idx="1100">
                  <c:v>4.9999999999998543</c:v>
                </c:pt>
                <c:pt idx="1101">
                  <c:v>5.0099999999998541</c:v>
                </c:pt>
                <c:pt idx="1102">
                  <c:v>5.0199999999998539</c:v>
                </c:pt>
                <c:pt idx="1103">
                  <c:v>5.0299999999998537</c:v>
                </c:pt>
                <c:pt idx="1104">
                  <c:v>5.0399999999998535</c:v>
                </c:pt>
                <c:pt idx="1105">
                  <c:v>5.0499999999998533</c:v>
                </c:pt>
                <c:pt idx="1106">
                  <c:v>5.0599999999998531</c:v>
                </c:pt>
                <c:pt idx="1107">
                  <c:v>5.0699999999998528</c:v>
                </c:pt>
                <c:pt idx="1108">
                  <c:v>5.0799999999998526</c:v>
                </c:pt>
                <c:pt idx="1109">
                  <c:v>5.0899999999998524</c:v>
                </c:pt>
                <c:pt idx="1110">
                  <c:v>5.0999999999998522</c:v>
                </c:pt>
                <c:pt idx="1111">
                  <c:v>5.109999999999852</c:v>
                </c:pt>
                <c:pt idx="1112">
                  <c:v>5.1199999999998518</c:v>
                </c:pt>
                <c:pt idx="1113">
                  <c:v>5.1299999999998516</c:v>
                </c:pt>
                <c:pt idx="1114">
                  <c:v>5.1399999999998514</c:v>
                </c:pt>
                <c:pt idx="1115">
                  <c:v>5.1499999999998511</c:v>
                </c:pt>
                <c:pt idx="1116">
                  <c:v>5.1599999999998509</c:v>
                </c:pt>
                <c:pt idx="1117">
                  <c:v>5.1699999999998507</c:v>
                </c:pt>
                <c:pt idx="1118">
                  <c:v>5.1799999999998505</c:v>
                </c:pt>
                <c:pt idx="1119">
                  <c:v>5.1899999999998503</c:v>
                </c:pt>
                <c:pt idx="1120">
                  <c:v>5.1999999999998501</c:v>
                </c:pt>
                <c:pt idx="1121">
                  <c:v>5.2099999999998499</c:v>
                </c:pt>
                <c:pt idx="1122">
                  <c:v>5.2199999999998496</c:v>
                </c:pt>
                <c:pt idx="1123">
                  <c:v>5.2299999999998494</c:v>
                </c:pt>
                <c:pt idx="1124">
                  <c:v>5.2399999999998492</c:v>
                </c:pt>
                <c:pt idx="1125">
                  <c:v>5.249999999999849</c:v>
                </c:pt>
                <c:pt idx="1126">
                  <c:v>5.2599999999998488</c:v>
                </c:pt>
                <c:pt idx="1127">
                  <c:v>5.2699999999998486</c:v>
                </c:pt>
                <c:pt idx="1128">
                  <c:v>5.2799999999998484</c:v>
                </c:pt>
                <c:pt idx="1129">
                  <c:v>5.2899999999998482</c:v>
                </c:pt>
                <c:pt idx="1130">
                  <c:v>5.2999999999998479</c:v>
                </c:pt>
                <c:pt idx="1131">
                  <c:v>5.3099999999998477</c:v>
                </c:pt>
                <c:pt idx="1132">
                  <c:v>5.3199999999998475</c:v>
                </c:pt>
                <c:pt idx="1133">
                  <c:v>5.3299999999998473</c:v>
                </c:pt>
                <c:pt idx="1134">
                  <c:v>5.3399999999998471</c:v>
                </c:pt>
                <c:pt idx="1135">
                  <c:v>5.3499999999998469</c:v>
                </c:pt>
                <c:pt idx="1136">
                  <c:v>5.3599999999998467</c:v>
                </c:pt>
                <c:pt idx="1137">
                  <c:v>5.3699999999998465</c:v>
                </c:pt>
                <c:pt idx="1138">
                  <c:v>5.3799999999998462</c:v>
                </c:pt>
                <c:pt idx="1139">
                  <c:v>5.389999999999846</c:v>
                </c:pt>
                <c:pt idx="1140">
                  <c:v>5.3999999999998458</c:v>
                </c:pt>
                <c:pt idx="1141">
                  <c:v>5.4099999999998456</c:v>
                </c:pt>
                <c:pt idx="1142">
                  <c:v>5.4199999999998454</c:v>
                </c:pt>
                <c:pt idx="1143">
                  <c:v>5.4299999999998452</c:v>
                </c:pt>
                <c:pt idx="1144">
                  <c:v>5.439999999999845</c:v>
                </c:pt>
                <c:pt idx="1145">
                  <c:v>5.4499999999998447</c:v>
                </c:pt>
                <c:pt idx="1146">
                  <c:v>5.4599999999998445</c:v>
                </c:pt>
                <c:pt idx="1147">
                  <c:v>5.4699999999998443</c:v>
                </c:pt>
                <c:pt idx="1148">
                  <c:v>5.4799999999998441</c:v>
                </c:pt>
                <c:pt idx="1149">
                  <c:v>5.4899999999998439</c:v>
                </c:pt>
                <c:pt idx="1150">
                  <c:v>5.4999999999998437</c:v>
                </c:pt>
                <c:pt idx="1151">
                  <c:v>5.5099999999998435</c:v>
                </c:pt>
                <c:pt idx="1152">
                  <c:v>5.5199999999998433</c:v>
                </c:pt>
                <c:pt idx="1153">
                  <c:v>5.529999999999843</c:v>
                </c:pt>
                <c:pt idx="1154">
                  <c:v>5.5399999999998428</c:v>
                </c:pt>
                <c:pt idx="1155">
                  <c:v>5.5499999999998426</c:v>
                </c:pt>
                <c:pt idx="1156">
                  <c:v>5.5599999999998424</c:v>
                </c:pt>
                <c:pt idx="1157">
                  <c:v>5.5699999999998422</c:v>
                </c:pt>
                <c:pt idx="1158">
                  <c:v>5.579999999999842</c:v>
                </c:pt>
                <c:pt idx="1159">
                  <c:v>5.5899999999998418</c:v>
                </c:pt>
                <c:pt idx="1160">
                  <c:v>5.5999999999998415</c:v>
                </c:pt>
                <c:pt idx="1161">
                  <c:v>5.6099999999998413</c:v>
                </c:pt>
                <c:pt idx="1162">
                  <c:v>5.6199999999998411</c:v>
                </c:pt>
                <c:pt idx="1163">
                  <c:v>5.6299999999998409</c:v>
                </c:pt>
                <c:pt idx="1164">
                  <c:v>5.6399999999998407</c:v>
                </c:pt>
                <c:pt idx="1165">
                  <c:v>5.6499999999998405</c:v>
                </c:pt>
                <c:pt idx="1166">
                  <c:v>5.6599999999998403</c:v>
                </c:pt>
                <c:pt idx="1167">
                  <c:v>5.6699999999998401</c:v>
                </c:pt>
                <c:pt idx="1168">
                  <c:v>5.6799999999998398</c:v>
                </c:pt>
                <c:pt idx="1169">
                  <c:v>5.6899999999998396</c:v>
                </c:pt>
                <c:pt idx="1170">
                  <c:v>5.6999999999998394</c:v>
                </c:pt>
                <c:pt idx="1171">
                  <c:v>5.7099999999998392</c:v>
                </c:pt>
                <c:pt idx="1172">
                  <c:v>5.719999999999839</c:v>
                </c:pt>
                <c:pt idx="1173">
                  <c:v>5.7299999999998388</c:v>
                </c:pt>
                <c:pt idx="1174">
                  <c:v>5.7399999999998386</c:v>
                </c:pt>
                <c:pt idx="1175">
                  <c:v>5.7499999999998384</c:v>
                </c:pt>
                <c:pt idx="1176">
                  <c:v>5.7599999999998381</c:v>
                </c:pt>
                <c:pt idx="1177">
                  <c:v>5.7699999999998379</c:v>
                </c:pt>
                <c:pt idx="1178">
                  <c:v>5.7799999999998377</c:v>
                </c:pt>
                <c:pt idx="1179">
                  <c:v>5.7899999999998375</c:v>
                </c:pt>
                <c:pt idx="1180">
                  <c:v>5.7999999999998373</c:v>
                </c:pt>
                <c:pt idx="1181">
                  <c:v>5.8099999999998371</c:v>
                </c:pt>
                <c:pt idx="1182">
                  <c:v>5.8199999999998369</c:v>
                </c:pt>
                <c:pt idx="1183">
                  <c:v>5.8299999999998366</c:v>
                </c:pt>
                <c:pt idx="1184">
                  <c:v>5.8399999999998364</c:v>
                </c:pt>
                <c:pt idx="1185">
                  <c:v>5.8499999999998362</c:v>
                </c:pt>
                <c:pt idx="1186">
                  <c:v>5.859999999999836</c:v>
                </c:pt>
                <c:pt idx="1187">
                  <c:v>5.8699999999998358</c:v>
                </c:pt>
                <c:pt idx="1188">
                  <c:v>5.8799999999998356</c:v>
                </c:pt>
                <c:pt idx="1189">
                  <c:v>5.8899999999998354</c:v>
                </c:pt>
                <c:pt idx="1190">
                  <c:v>5.8999999999998352</c:v>
                </c:pt>
                <c:pt idx="1191">
                  <c:v>5.9099999999998349</c:v>
                </c:pt>
                <c:pt idx="1192">
                  <c:v>5.9199999999998347</c:v>
                </c:pt>
                <c:pt idx="1193">
                  <c:v>5.9299999999998345</c:v>
                </c:pt>
                <c:pt idx="1194">
                  <c:v>5.9399999999998343</c:v>
                </c:pt>
                <c:pt idx="1195">
                  <c:v>5.9499999999998341</c:v>
                </c:pt>
                <c:pt idx="1196">
                  <c:v>5.9599999999998339</c:v>
                </c:pt>
                <c:pt idx="1197">
                  <c:v>5.9699999999998337</c:v>
                </c:pt>
                <c:pt idx="1198">
                  <c:v>5.9799999999998334</c:v>
                </c:pt>
                <c:pt idx="1199">
                  <c:v>5.9899999999998332</c:v>
                </c:pt>
                <c:pt idx="1200">
                  <c:v>5.999999999999833</c:v>
                </c:pt>
              </c:numCache>
            </c:numRef>
          </c:xVal>
          <c:yVal>
            <c:numRef>
              <c:f>'Normal and t'!$BI$21:$BI$1221</c:f>
              <c:numCache>
                <c:formatCode>General</c:formatCode>
                <c:ptCount val="1201"/>
                <c:pt idx="0">
                  <c:v>6.0758828498232853E-9</c:v>
                </c:pt>
                <c:pt idx="1">
                  <c:v>6.4512718908117505E-9</c:v>
                </c:pt>
                <c:pt idx="2">
                  <c:v>6.8491688129857578E-9</c:v>
                </c:pt>
                <c:pt idx="3">
                  <c:v>7.2708798119000543E-9</c:v>
                </c:pt>
                <c:pt idx="4">
                  <c:v>7.7177842125704726E-9</c:v>
                </c:pt>
                <c:pt idx="5">
                  <c:v>8.1913384034791439E-9</c:v>
                </c:pt>
                <c:pt idx="6">
                  <c:v>8.693079972880142E-9</c:v>
                </c:pt>
                <c:pt idx="7">
                  <c:v>9.2246320572826198E-9</c:v>
                </c:pt>
                <c:pt idx="8">
                  <c:v>9.7877079124410719E-9</c:v>
                </c:pt>
                <c:pt idx="9">
                  <c:v>1.0384115717656214E-8</c:v>
                </c:pt>
                <c:pt idx="10">
                  <c:v>1.1015763624682189E-8</c:v>
                </c:pt>
                <c:pt idx="11">
                  <c:v>1.1684665063049702E-8</c:v>
                </c:pt>
                <c:pt idx="12">
                  <c:v>1.2392944314149906E-8</c:v>
                </c:pt>
                <c:pt idx="13">
                  <c:v>1.3142842366981953E-8</c:v>
                </c:pt>
                <c:pt idx="14">
                  <c:v>1.3936723069047191E-8</c:v>
                </c:pt>
                <c:pt idx="15">
                  <c:v>1.4777079586479737E-8</c:v>
                </c:pt>
                <c:pt idx="16">
                  <c:v>1.5666541188132235E-8</c:v>
                </c:pt>
                <c:pt idx="17">
                  <c:v>1.6607880368991689E-8</c:v>
                </c:pt>
                <c:pt idx="18">
                  <c:v>1.7604020328985466E-8</c:v>
                </c:pt>
                <c:pt idx="19">
                  <c:v>1.8658042823945709E-8</c:v>
                </c:pt>
                <c:pt idx="20">
                  <c:v>1.9773196406244176E-8</c:v>
                </c:pt>
                <c:pt idx="21">
                  <c:v>2.0952905073376448E-8</c:v>
                </c:pt>
                <c:pt idx="22">
                  <c:v>2.2200777343578378E-8</c:v>
                </c:pt>
                <c:pt idx="23">
                  <c:v>2.3520615778390081E-8</c:v>
                </c:pt>
                <c:pt idx="24">
                  <c:v>2.4916426972950188E-8</c:v>
                </c:pt>
                <c:pt idx="25">
                  <c:v>2.6392432035704888E-8</c:v>
                </c:pt>
                <c:pt idx="26">
                  <c:v>2.7953077580153754E-8</c:v>
                </c:pt>
                <c:pt idx="27">
                  <c:v>2.9603047252229099E-8</c:v>
                </c:pt>
                <c:pt idx="28">
                  <c:v>3.1347273817918672E-8</c:v>
                </c:pt>
                <c:pt idx="29">
                  <c:v>3.3190951836794195E-8</c:v>
                </c:pt>
                <c:pt idx="30">
                  <c:v>3.513955094820309E-8</c:v>
                </c:pt>
                <c:pt idx="31">
                  <c:v>3.719882979801471E-8</c:v>
                </c:pt>
                <c:pt idx="32">
                  <c:v>3.9374850634996962E-8</c:v>
                </c:pt>
                <c:pt idx="33">
                  <c:v>4.1673994607121722E-8</c:v>
                </c:pt>
                <c:pt idx="34">
                  <c:v>4.4102977789371349E-8</c:v>
                </c:pt>
                <c:pt idx="35">
                  <c:v>4.6668867975940648E-8</c:v>
                </c:pt>
                <c:pt idx="36">
                  <c:v>4.9379102271102286E-8</c:v>
                </c:pt>
                <c:pt idx="37">
                  <c:v>5.2241505514422051E-8</c:v>
                </c:pt>
                <c:pt idx="38">
                  <c:v>5.5264309577494689E-8</c:v>
                </c:pt>
                <c:pt idx="39">
                  <c:v>5.8456173570897893E-8</c:v>
                </c:pt>
                <c:pt idx="40">
                  <c:v>6.1826205001655489E-8</c:v>
                </c:pt>
                <c:pt idx="41">
                  <c:v>6.5383981923148184E-8</c:v>
                </c:pt>
                <c:pt idx="42">
                  <c:v>6.9139576121120543E-8</c:v>
                </c:pt>
                <c:pt idx="43">
                  <c:v>7.3103577381205687E-8</c:v>
                </c:pt>
                <c:pt idx="44">
                  <c:v>7.7287118885224935E-8</c:v>
                </c:pt>
                <c:pt idx="45">
                  <c:v>8.1701903785427822E-8</c:v>
                </c:pt>
                <c:pt idx="46">
                  <c:v>8.6360233007805262E-8</c:v>
                </c:pt>
                <c:pt idx="47">
                  <c:v>9.1275034337659897E-8</c:v>
                </c:pt>
                <c:pt idx="48">
                  <c:v>9.6459892842728164E-8</c:v>
                </c:pt>
                <c:pt idx="49">
                  <c:v>1.0192908269134693E-7</c:v>
                </c:pt>
                <c:pt idx="50">
                  <c:v>1.0769760042542645E-7</c:v>
                </c:pt>
                <c:pt idx="51">
                  <c:v>1.1378119975033922E-7</c:v>
                </c:pt>
                <c:pt idx="52">
                  <c:v>1.2019642790627524E-7</c:v>
                </c:pt>
                <c:pt idx="53">
                  <c:v>1.2696066368812117E-7</c:v>
                </c:pt>
                <c:pt idx="54">
                  <c:v>1.3409215718353893E-7</c:v>
                </c:pt>
                <c:pt idx="55">
                  <c:v>1.4161007130160268E-7</c:v>
                </c:pt>
                <c:pt idx="56">
                  <c:v>1.4953452516714987E-7</c:v>
                </c:pt>
                <c:pt idx="57">
                  <c:v>1.5788663945887994E-7</c:v>
                </c:pt>
                <c:pt idx="58">
                  <c:v>1.66688583772217E-7</c:v>
                </c:pt>
                <c:pt idx="59">
                  <c:v>1.7596362609103401E-7</c:v>
                </c:pt>
                <c:pt idx="60">
                  <c:v>1.8573618445551639E-7</c:v>
                </c:pt>
                <c:pt idx="61">
                  <c:v>1.9603188091674326E-7</c:v>
                </c:pt>
                <c:pt idx="62">
                  <c:v>2.0687759787195041E-7</c:v>
                </c:pt>
                <c:pt idx="63">
                  <c:v>2.1830153687796297E-7</c:v>
                </c:pt>
                <c:pt idx="64">
                  <c:v>2.3033328004390427E-7</c:v>
                </c:pt>
                <c:pt idx="65">
                  <c:v>2.4300385410803492E-7</c:v>
                </c:pt>
                <c:pt idx="66">
                  <c:v>2.563457973074397E-7</c:v>
                </c:pt>
                <c:pt idx="67">
                  <c:v>2.7039322915327235E-7</c:v>
                </c:pt>
                <c:pt idx="68">
                  <c:v>2.8518192322837581E-7</c:v>
                </c:pt>
                <c:pt idx="69">
                  <c:v>3.0074938312835919E-7</c:v>
                </c:pt>
                <c:pt idx="70">
                  <c:v>3.1713492167157213E-7</c:v>
                </c:pt>
                <c:pt idx="71">
                  <c:v>3.3437974350795325E-7</c:v>
                </c:pt>
                <c:pt idx="72">
                  <c:v>3.525270312613756E-7</c:v>
                </c:pt>
                <c:pt idx="73">
                  <c:v>3.7162203534491956E-7</c:v>
                </c:pt>
                <c:pt idx="74">
                  <c:v>3.9171216759344815E-7</c:v>
                </c:pt>
                <c:pt idx="75">
                  <c:v>4.1284709886296532E-7</c:v>
                </c:pt>
                <c:pt idx="76">
                  <c:v>4.350788607514745E-7</c:v>
                </c:pt>
                <c:pt idx="77">
                  <c:v>4.5846195160149453E-7</c:v>
                </c:pt>
                <c:pt idx="78">
                  <c:v>4.830534469499253E-7</c:v>
                </c:pt>
                <c:pt idx="79">
                  <c:v>5.0891311459672057E-7</c:v>
                </c:pt>
                <c:pt idx="80">
                  <c:v>5.3610353446971465E-7</c:v>
                </c:pt>
                <c:pt idx="81">
                  <c:v>5.6469022346902573E-7</c:v>
                </c:pt>
                <c:pt idx="82">
                  <c:v>5.9474176548072136E-7</c:v>
                </c:pt>
                <c:pt idx="83">
                  <c:v>6.2632994675583231E-7</c:v>
                </c:pt>
                <c:pt idx="84">
                  <c:v>6.5952989685746175E-7</c:v>
                </c:pt>
                <c:pt idx="85">
                  <c:v>6.9442023538547093E-7</c:v>
                </c:pt>
                <c:pt idx="86">
                  <c:v>7.3108322469528001E-7</c:v>
                </c:pt>
                <c:pt idx="87">
                  <c:v>7.6960492883444052E-7</c:v>
                </c:pt>
                <c:pt idx="88">
                  <c:v>8.1007537892805665E-7</c:v>
                </c:pt>
                <c:pt idx="89">
                  <c:v>8.5258874525170403E-7</c:v>
                </c:pt>
                <c:pt idx="90">
                  <c:v>8.9724351623824438E-7</c:v>
                </c:pt>
                <c:pt idx="91">
                  <c:v>9.4414268467299333E-7</c:v>
                </c:pt>
                <c:pt idx="92">
                  <c:v>9.9339394133981313E-7</c:v>
                </c:pt>
                <c:pt idx="93">
                  <c:v>1.0451098763892137E-6</c:v>
                </c:pt>
                <c:pt idx="94">
                  <c:v>1.0994081887080917E-6</c:v>
                </c:pt>
                <c:pt idx="95">
                  <c:v>1.156411903579664E-6</c:v>
                </c:pt>
                <c:pt idx="96">
                  <c:v>1.2162495989311927E-6</c:v>
                </c:pt>
                <c:pt idx="97">
                  <c:v>1.2790556404764422E-6</c:v>
                </c:pt>
                <c:pt idx="98">
                  <c:v>1.344970426069301E-6</c:v>
                </c:pt>
                <c:pt idx="99">
                  <c:v>1.4141406395948527E-6</c:v>
                </c:pt>
                <c:pt idx="100">
                  <c:v>1.4867195147341391E-6</c:v>
                </c:pt>
                <c:pt idx="101">
                  <c:v>1.5628671089491233E-6</c:v>
                </c:pt>
                <c:pt idx="102">
                  <c:v>1.642750588044896E-6</c:v>
                </c:pt>
                <c:pt idx="103">
                  <c:v>1.726544521676883E-6</c:v>
                </c:pt>
                <c:pt idx="104">
                  <c:v>1.8144311901818304E-6</c:v>
                </c:pt>
                <c:pt idx="105">
                  <c:v>1.9066009031226007E-6</c:v>
                </c:pt>
                <c:pt idx="106">
                  <c:v>2.0032523299482683E-6</c:v>
                </c:pt>
                <c:pt idx="107">
                  <c:v>2.1045928431828902E-6</c:v>
                </c:pt>
                <c:pt idx="108">
                  <c:v>2.2108388745681696E-6</c:v>
                </c:pt>
                <c:pt idx="109">
                  <c:v>2.3222162845977327E-6</c:v>
                </c:pt>
                <c:pt idx="110">
                  <c:v>2.438960745893079E-6</c:v>
                </c:pt>
                <c:pt idx="111">
                  <c:v>2.5613181408842436E-6</c:v>
                </c:pt>
                <c:pt idx="112">
                  <c:v>2.6895449742712074E-6</c:v>
                </c:pt>
                <c:pt idx="113">
                  <c:v>2.8239088007554944E-6</c:v>
                </c:pt>
                <c:pt idx="114">
                  <c:v>2.9646886685449248E-6</c:v>
                </c:pt>
                <c:pt idx="115">
                  <c:v>3.1121755791485684E-6</c:v>
                </c:pt>
                <c:pt idx="116">
                  <c:v>3.26667296399288E-6</c:v>
                </c:pt>
                <c:pt idx="117">
                  <c:v>3.4284971784046243E-6</c:v>
                </c:pt>
                <c:pt idx="118">
                  <c:v>3.5979780135208121E-6</c:v>
                </c:pt>
                <c:pt idx="119">
                  <c:v>3.7754592267008785E-6</c:v>
                </c:pt>
                <c:pt idx="120">
                  <c:v>3.96129909103159E-6</c:v>
                </c:pt>
                <c:pt idx="121">
                  <c:v>4.1558709645306835E-6</c:v>
                </c:pt>
                <c:pt idx="122">
                  <c:v>4.3595638796710937E-6</c:v>
                </c:pt>
                <c:pt idx="123">
                  <c:v>4.5727831538635669E-6</c:v>
                </c:pt>
                <c:pt idx="124">
                  <c:v>4.7959510215519161E-6</c:v>
                </c:pt>
                <c:pt idx="125">
                  <c:v>5.0295072885918101E-6</c:v>
                </c:pt>
                <c:pt idx="126">
                  <c:v>5.2739100096006385E-6</c:v>
                </c:pt>
                <c:pt idx="127">
                  <c:v>5.5296361889833535E-6</c:v>
                </c:pt>
                <c:pt idx="128">
                  <c:v>5.797182506356534E-6</c:v>
                </c:pt>
                <c:pt idx="129">
                  <c:v>6.0770660671103265E-6</c:v>
                </c:pt>
                <c:pt idx="130">
                  <c:v>6.369825178866275E-6</c:v>
                </c:pt>
                <c:pt idx="131">
                  <c:v>6.6760201546065952E-6</c:v>
                </c:pt>
                <c:pt idx="132">
                  <c:v>6.9962341432694716E-6</c:v>
                </c:pt>
                <c:pt idx="133">
                  <c:v>7.3310739886229666E-6</c:v>
                </c:pt>
                <c:pt idx="134">
                  <c:v>7.6811711172494457E-6</c:v>
                </c:pt>
                <c:pt idx="135">
                  <c:v>8.0471824564912195E-6</c:v>
                </c:pt>
                <c:pt idx="136">
                  <c:v>8.4297913832276333E-6</c:v>
                </c:pt>
                <c:pt idx="137">
                  <c:v>8.8297087043728882E-6</c:v>
                </c:pt>
                <c:pt idx="138">
                  <c:v>9.2476736700043681E-6</c:v>
                </c:pt>
                <c:pt idx="139">
                  <c:v>9.6844550200501275E-6</c:v>
                </c:pt>
                <c:pt idx="140">
                  <c:v>1.0140852065485354E-5</c:v>
                </c:pt>
                <c:pt idx="141">
                  <c:v>1.0617695805006919E-5</c:v>
                </c:pt>
                <c:pt idx="142">
                  <c:v>1.1115850078176247E-5</c:v>
                </c:pt>
                <c:pt idx="143">
                  <c:v>1.1636212756041055E-5</c:v>
                </c:pt>
                <c:pt idx="144">
                  <c:v>1.2179716970266988E-5</c:v>
                </c:pt>
                <c:pt idx="145">
                  <c:v>1.274733238183165E-5</c:v>
                </c:pt>
                <c:pt idx="146">
                  <c:v>1.3340066490353941E-5</c:v>
                </c:pt>
                <c:pt idx="147">
                  <c:v>1.3958965985152786E-5</c:v>
                </c:pt>
                <c:pt idx="148">
                  <c:v>1.4605118139150813E-5</c:v>
                </c:pt>
                <c:pt idx="149">
                  <c:v>1.5279652246759421E-5</c:v>
                </c:pt>
                <c:pt idx="150">
                  <c:v>1.5983741106903174E-5</c:v>
                </c:pt>
                <c:pt idx="151">
                  <c:v>1.6718602552362692E-5</c:v>
                </c:pt>
                <c:pt idx="152">
                  <c:v>1.7485501026636618E-5</c:v>
                </c:pt>
                <c:pt idx="153">
                  <c:v>1.828574920954468E-5</c:v>
                </c:pt>
                <c:pt idx="154">
                  <c:v>1.9120709692814949E-5</c:v>
                </c:pt>
                <c:pt idx="155">
                  <c:v>1.9991796706919877E-5</c:v>
                </c:pt>
                <c:pt idx="156">
                  <c:v>2.0900477900447358E-5</c:v>
                </c:pt>
                <c:pt idx="157">
                  <c:v>2.1848276173313207E-5</c:v>
                </c:pt>
                <c:pt idx="158">
                  <c:v>2.2836771565143512E-5</c:v>
                </c:pt>
                <c:pt idx="159">
                  <c:v>2.3867603200176034E-5</c:v>
                </c:pt>
                <c:pt idx="160">
                  <c:v>2.4942471290049805E-5</c:v>
                </c:pt>
                <c:pt idx="161">
                  <c:v>2.6063139195874405E-5</c:v>
                </c:pt>
                <c:pt idx="162">
                  <c:v>2.7231435550988492E-5</c:v>
                </c:pt>
                <c:pt idx="163">
                  <c:v>2.8449256445840005E-5</c:v>
                </c:pt>
                <c:pt idx="164">
                  <c:v>2.9718567676437706E-5</c:v>
                </c:pt>
                <c:pt idx="165">
                  <c:v>3.1041407057845469E-5</c:v>
                </c:pt>
                <c:pt idx="166">
                  <c:v>3.2419886804208763E-5</c:v>
                </c:pt>
                <c:pt idx="167">
                  <c:v>3.385619597682265E-5</c:v>
                </c:pt>
                <c:pt idx="168">
                  <c:v>3.5352603001767628E-5</c:v>
                </c:pt>
                <c:pt idx="169">
                  <c:v>3.6911458258660422E-5</c:v>
                </c:pt>
                <c:pt idx="170">
                  <c:v>3.8535196742081105E-5</c:v>
                </c:pt>
                <c:pt idx="171">
                  <c:v>4.0226340797258676E-5</c:v>
                </c:pt>
                <c:pt idx="172">
                  <c:v>4.1987502931610749E-5</c:v>
                </c:pt>
                <c:pt idx="173">
                  <c:v>4.3821388703751186E-5</c:v>
                </c:pt>
                <c:pt idx="174">
                  <c:v>4.5730799691593995E-5</c:v>
                </c:pt>
                <c:pt idx="175">
                  <c:v>4.7718636541197396E-5</c:v>
                </c:pt>
                <c:pt idx="176">
                  <c:v>4.9787902098004209E-5</c:v>
                </c:pt>
                <c:pt idx="177">
                  <c:v>5.1941704622151557E-5</c:v>
                </c:pt>
                <c:pt idx="178">
                  <c:v>5.4183261089531471E-5</c:v>
                </c:pt>
                <c:pt idx="179">
                  <c:v>5.6515900580298361E-5</c:v>
                </c:pt>
                <c:pt idx="180">
                  <c:v>5.8943067756530321E-5</c:v>
                </c:pt>
                <c:pt idx="181">
                  <c:v>6.1468326430759378E-5</c:v>
                </c:pt>
                <c:pt idx="182">
                  <c:v>6.4095363227095606E-5</c:v>
                </c:pt>
                <c:pt idx="183">
                  <c:v>6.6827991336679686E-5</c:v>
                </c:pt>
                <c:pt idx="184">
                  <c:v>6.9670154369203051E-5</c:v>
                </c:pt>
                <c:pt idx="185">
                  <c:v>7.2625930302240587E-5</c:v>
                </c:pt>
                <c:pt idx="186">
                  <c:v>7.5699535530148704E-5</c:v>
                </c:pt>
                <c:pt idx="187">
                  <c:v>7.889532901428005E-5</c:v>
                </c:pt>
                <c:pt idx="188">
                  <c:v>8.221781653627241E-5</c:v>
                </c:pt>
                <c:pt idx="189">
                  <c:v>8.5671655056167851E-5</c:v>
                </c:pt>
                <c:pt idx="190">
                  <c:v>8.9261657177118006E-5</c:v>
                </c:pt>
                <c:pt idx="191">
                  <c:v>9.2992795718430362E-5</c:v>
                </c:pt>
                <c:pt idx="192">
                  <c:v>9.6870208398703079E-5</c:v>
                </c:pt>
                <c:pt idx="193">
                  <c:v>1.0089920263079756E-4</c:v>
                </c:pt>
                <c:pt idx="194">
                  <c:v>1.0508526043038254E-4</c:v>
                </c:pt>
                <c:pt idx="195">
                  <c:v>1.0943404343978207E-4</c:v>
                </c:pt>
                <c:pt idx="196">
                  <c:v>1.1395139806884536E-4</c:v>
                </c:pt>
                <c:pt idx="197">
                  <c:v>1.1864336075454596E-4</c:v>
                </c:pt>
                <c:pt idx="198">
                  <c:v>1.2351616334100237E-4</c:v>
                </c:pt>
                <c:pt idx="199">
                  <c:v>1.2857623858159912E-4</c:v>
                </c:pt>
                <c:pt idx="200">
                  <c:v>1.3383022576486252E-4</c:v>
                </c:pt>
                <c:pt idx="201">
                  <c:v>1.3928497646573614E-4</c:v>
                </c:pt>
                <c:pt idx="202">
                  <c:v>1.4494756042386617E-4</c:v>
                </c:pt>
                <c:pt idx="203">
                  <c:v>1.5082527155049191E-4</c:v>
                </c:pt>
                <c:pt idx="204">
                  <c:v>1.5692563406550521E-4</c:v>
                </c:pt>
                <c:pt idx="205">
                  <c:v>1.6325640876621385E-4</c:v>
                </c:pt>
                <c:pt idx="206">
                  <c:v>1.6982559942931415E-4</c:v>
                </c:pt>
                <c:pt idx="207">
                  <c:v>1.7664145934754029E-4</c:v>
                </c:pt>
                <c:pt idx="208">
                  <c:v>1.837124980024251E-4</c:v>
                </c:pt>
                <c:pt idx="209">
                  <c:v>1.9104748787456449E-4</c:v>
                </c:pt>
                <c:pt idx="210">
                  <c:v>1.9865547139273792E-4</c:v>
                </c:pt>
                <c:pt idx="211">
                  <c:v>2.0654576802318949E-4</c:v>
                </c:pt>
                <c:pt idx="212">
                  <c:v>2.1472798150032926E-4</c:v>
                </c:pt>
                <c:pt idx="213">
                  <c:v>2.2321200720006276E-4</c:v>
                </c:pt>
                <c:pt idx="214">
                  <c:v>2.3200803965690134E-4</c:v>
                </c:pt>
                <c:pt idx="215">
                  <c:v>2.4112658022595082E-4</c:v>
                </c:pt>
                <c:pt idx="216">
                  <c:v>2.5057844489081646E-4</c:v>
                </c:pt>
                <c:pt idx="217">
                  <c:v>2.6037477221839639E-4</c:v>
                </c:pt>
                <c:pt idx="218">
                  <c:v>2.7052703146147292E-4</c:v>
                </c:pt>
                <c:pt idx="219">
                  <c:v>2.8104703080993634E-4</c:v>
                </c:pt>
                <c:pt idx="220">
                  <c:v>2.9194692579140812E-4</c:v>
                </c:pt>
                <c:pt idx="221">
                  <c:v>3.0323922782195001E-4</c:v>
                </c:pt>
                <c:pt idx="222">
                  <c:v>3.1493681290746528E-4</c:v>
                </c:pt>
                <c:pt idx="223">
                  <c:v>3.2705293049631627E-4</c:v>
                </c:pt>
                <c:pt idx="224">
                  <c:v>3.3960121248359352E-4</c:v>
                </c:pt>
                <c:pt idx="225">
                  <c:v>3.5259568236738209E-4</c:v>
                </c:pt>
                <c:pt idx="226">
                  <c:v>3.6605076455726925E-4</c:v>
                </c:pt>
                <c:pt idx="227">
                  <c:v>3.7998129383525289E-4</c:v>
                </c:pt>
                <c:pt idx="228">
                  <c:v>3.9440252496908504E-4</c:v>
                </c:pt>
                <c:pt idx="229">
                  <c:v>4.0933014247800456E-4</c:v>
                </c:pt>
                <c:pt idx="230">
                  <c:v>4.247802705506744E-4</c:v>
                </c:pt>
                <c:pt idx="231">
                  <c:v>4.4076948311505218E-4</c:v>
                </c:pt>
                <c:pt idx="232">
                  <c:v>4.5731481405977348E-4</c:v>
                </c:pt>
                <c:pt idx="233">
                  <c:v>4.7443376760653423E-4</c:v>
                </c:pt>
                <c:pt idx="234">
                  <c:v>4.9214432883280346E-4</c:v>
                </c:pt>
                <c:pt idx="235">
                  <c:v>5.1046497434409214E-4</c:v>
                </c:pt>
                <c:pt idx="236">
                  <c:v>5.2941468309483772E-4</c:v>
                </c:pt>
                <c:pt idx="237">
                  <c:v>5.4901294735685766E-4</c:v>
                </c:pt>
                <c:pt idx="238">
                  <c:v>5.6927978383414788E-4</c:v>
                </c:pt>
                <c:pt idx="239">
                  <c:v>5.9023574492267697E-4</c:v>
                </c:pt>
                <c:pt idx="240">
                  <c:v>6.1190193011365936E-4</c:v>
                </c:pt>
                <c:pt idx="241">
                  <c:v>6.3429999753864029E-4</c:v>
                </c:pt>
                <c:pt idx="242">
                  <c:v>6.5745217565455491E-4</c:v>
                </c:pt>
                <c:pt idx="243">
                  <c:v>6.8138127506676559E-4</c:v>
                </c:pt>
                <c:pt idx="244">
                  <c:v>7.0611070048790566E-4</c:v>
                </c:pt>
                <c:pt idx="245">
                  <c:v>7.3166446283017494E-4</c:v>
                </c:pt>
                <c:pt idx="246">
                  <c:v>7.5806719142857012E-4</c:v>
                </c:pt>
                <c:pt idx="247">
                  <c:v>7.8534414639232328E-4</c:v>
                </c:pt>
                <c:pt idx="248">
                  <c:v>8.1352123108165662E-4</c:v>
                </c:pt>
                <c:pt idx="249">
                  <c:v>8.426250047067446E-4</c:v>
                </c:pt>
                <c:pt idx="250">
                  <c:v>8.726826950455972E-4</c:v>
                </c:pt>
                <c:pt idx="251">
                  <c:v>9.0372221127735578E-4</c:v>
                </c:pt>
                <c:pt idx="252">
                  <c:v>9.35772156927305E-4</c:v>
                </c:pt>
                <c:pt idx="253">
                  <c:v>9.6886184291966506E-4</c:v>
                </c:pt>
                <c:pt idx="254">
                  <c:v>1.0030213007340494E-3</c:v>
                </c:pt>
                <c:pt idx="255">
                  <c:v>1.0382812956612165E-3</c:v>
                </c:pt>
                <c:pt idx="256">
                  <c:v>1.0746733401535333E-3</c:v>
                </c:pt>
                <c:pt idx="257">
                  <c:v>1.1122297072653563E-3</c:v>
                </c:pt>
                <c:pt idx="258">
                  <c:v>1.1509834441782675E-3</c:v>
                </c:pt>
                <c:pt idx="259">
                  <c:v>1.1909683858058932E-3</c:v>
                </c:pt>
                <c:pt idx="260">
                  <c:v>1.2322191684727864E-3</c:v>
                </c:pt>
                <c:pt idx="261">
                  <c:v>1.2747712436615925E-3</c:v>
                </c:pt>
                <c:pt idx="262">
                  <c:v>1.3186608918224925E-3</c:v>
                </c:pt>
                <c:pt idx="263">
                  <c:v>1.3639252362386465E-3</c:v>
                </c:pt>
                <c:pt idx="264">
                  <c:v>1.4106022569411168E-3</c:v>
                </c:pt>
                <c:pt idx="265">
                  <c:v>1.4587308046664698E-3</c:v>
                </c:pt>
                <c:pt idx="266">
                  <c:v>1.5083506148500219E-3</c:v>
                </c:pt>
                <c:pt idx="267">
                  <c:v>1.5595023216473964E-3</c:v>
                </c:pt>
                <c:pt idx="268">
                  <c:v>1.612227471976818E-3</c:v>
                </c:pt>
                <c:pt idx="269">
                  <c:v>1.6665685395742642E-3</c:v>
                </c:pt>
                <c:pt idx="270">
                  <c:v>1.7225689390533523E-3</c:v>
                </c:pt>
                <c:pt idx="271">
                  <c:v>1.7802730399615401E-3</c:v>
                </c:pt>
                <c:pt idx="272">
                  <c:v>1.8397261808239293E-3</c:v>
                </c:pt>
                <c:pt idx="273">
                  <c:v>1.9009746831657188E-3</c:v>
                </c:pt>
                <c:pt idx="274">
                  <c:v>1.9640658655040006E-3</c:v>
                </c:pt>
                <c:pt idx="275">
                  <c:v>2.0290480572993821E-3</c:v>
                </c:pt>
                <c:pt idx="276">
                  <c:v>2.095970612857545E-3</c:v>
                </c:pt>
                <c:pt idx="277">
                  <c:v>2.1648839251706487E-3</c:v>
                </c:pt>
                <c:pt idx="278">
                  <c:v>2.2358394396881131E-3</c:v>
                </c:pt>
                <c:pt idx="279">
                  <c:v>2.3088896680060543E-3</c:v>
                </c:pt>
                <c:pt idx="280">
                  <c:v>2.3840882014643868E-3</c:v>
                </c:pt>
                <c:pt idx="281">
                  <c:v>2.4614897246402301E-3</c:v>
                </c:pt>
                <c:pt idx="282">
                  <c:v>2.5411500287260357E-3</c:v>
                </c:pt>
                <c:pt idx="283">
                  <c:v>2.6231260247805235E-3</c:v>
                </c:pt>
                <c:pt idx="284">
                  <c:v>2.7074757568401851E-3</c:v>
                </c:pt>
                <c:pt idx="285">
                  <c:v>2.7942584148789107E-3</c:v>
                </c:pt>
                <c:pt idx="286">
                  <c:v>2.883534347602888E-3</c:v>
                </c:pt>
                <c:pt idx="287">
                  <c:v>2.9753650750676823E-3</c:v>
                </c:pt>
                <c:pt idx="288">
                  <c:v>3.069813301104154E-3</c:v>
                </c:pt>
                <c:pt idx="289">
                  <c:v>3.1669429255394704E-3</c:v>
                </c:pt>
                <c:pt idx="290">
                  <c:v>3.2668190561992946E-3</c:v>
                </c:pt>
                <c:pt idx="291">
                  <c:v>3.3695080206768342E-3</c:v>
                </c:pt>
                <c:pt idx="292">
                  <c:v>3.4750773778542709E-3</c:v>
                </c:pt>
                <c:pt idx="293">
                  <c:v>3.5835959291616736E-3</c:v>
                </c:pt>
                <c:pt idx="294">
                  <c:v>3.6951337295583254E-3</c:v>
                </c:pt>
                <c:pt idx="295">
                  <c:v>3.8097620982210758E-3</c:v>
                </c:pt>
                <c:pt idx="296">
                  <c:v>3.9275536289240251E-3</c:v>
                </c:pt>
                <c:pt idx="297">
                  <c:v>4.0485822000936519E-3</c:v>
                </c:pt>
                <c:pt idx="298">
                  <c:v>4.1729229845231608E-3</c:v>
                </c:pt>
                <c:pt idx="299">
                  <c:v>4.3006524587296206E-3</c:v>
                </c:pt>
                <c:pt idx="300">
                  <c:v>4.4318484119371566E-3</c:v>
                </c:pt>
                <c:pt idx="301">
                  <c:v>4.5665899546692718E-3</c:v>
                </c:pt>
                <c:pt idx="302">
                  <c:v>4.7049575269330762E-3</c:v>
                </c:pt>
                <c:pt idx="303">
                  <c:v>4.8470329059780186E-3</c:v>
                </c:pt>
                <c:pt idx="304">
                  <c:v>4.992899213611417E-3</c:v>
                </c:pt>
                <c:pt idx="305">
                  <c:v>5.1426409230529513E-3</c:v>
                </c:pt>
                <c:pt idx="306">
                  <c:v>5.2963438653100027E-3</c:v>
                </c:pt>
                <c:pt idx="307">
                  <c:v>5.4540952350555037E-3</c:v>
                </c:pt>
                <c:pt idx="308">
                  <c:v>5.61598359598989E-3</c:v>
                </c:pt>
                <c:pt idx="309">
                  <c:v>5.782098885668367E-3</c:v>
                </c:pt>
                <c:pt idx="310">
                  <c:v>5.9525324197747115E-3</c:v>
                </c:pt>
                <c:pt idx="311">
                  <c:v>6.1273768958225111E-3</c:v>
                </c:pt>
                <c:pt idx="312">
                  <c:v>6.3067263962647167E-3</c:v>
                </c:pt>
                <c:pt idx="313">
                  <c:v>6.4906763909921231E-3</c:v>
                </c:pt>
                <c:pt idx="314">
                  <c:v>6.6793237392013391E-3</c:v>
                </c:pt>
                <c:pt idx="315">
                  <c:v>6.872766690612658E-3</c:v>
                </c:pt>
                <c:pt idx="316">
                  <c:v>7.0711048860180982E-3</c:v>
                </c:pt>
                <c:pt idx="317">
                  <c:v>7.2744393571398279E-3</c:v>
                </c:pt>
                <c:pt idx="318">
                  <c:v>7.4828725257791275E-3</c:v>
                </c:pt>
                <c:pt idx="319">
                  <c:v>7.6965082022358508E-3</c:v>
                </c:pt>
                <c:pt idx="320">
                  <c:v>7.9154515829784507E-3</c:v>
                </c:pt>
                <c:pt idx="321">
                  <c:v>8.1398092475444689E-3</c:v>
                </c:pt>
                <c:pt idx="322">
                  <c:v>8.3696891546514302E-3</c:v>
                </c:pt>
                <c:pt idx="323">
                  <c:v>8.6052006374980321E-3</c:v>
                </c:pt>
                <c:pt idx="324">
                  <c:v>8.8464543982355367E-3</c:v>
                </c:pt>
                <c:pt idx="325">
                  <c:v>9.0935625015893199E-3</c:v>
                </c:pt>
                <c:pt idx="326">
                  <c:v>9.3466383676105054E-3</c:v>
                </c:pt>
                <c:pt idx="327">
                  <c:v>9.6057967635377554E-3</c:v>
                </c:pt>
                <c:pt idx="328">
                  <c:v>9.8711537947492583E-3</c:v>
                </c:pt>
                <c:pt idx="329">
                  <c:v>1.0142826894785148E-2</c:v>
                </c:pt>
                <c:pt idx="330">
                  <c:v>1.0420934814420612E-2</c:v>
                </c:pt>
                <c:pt idx="331">
                  <c:v>1.0705597609770152E-2</c:v>
                </c:pt>
                <c:pt idx="332">
                  <c:v>1.099693662940349E-2</c:v>
                </c:pt>
                <c:pt idx="333">
                  <c:v>1.1295074500453993E-2</c:v>
                </c:pt>
                <c:pt idx="334">
                  <c:v>1.1600135113700366E-2</c:v>
                </c:pt>
                <c:pt idx="335">
                  <c:v>1.1912243607602924E-2</c:v>
                </c:pt>
                <c:pt idx="336">
                  <c:v>1.2231526351275661E-2</c:v>
                </c:pt>
                <c:pt idx="337">
                  <c:v>1.2558110926375834E-2</c:v>
                </c:pt>
                <c:pt idx="338">
                  <c:v>1.2892126107892874E-2</c:v>
                </c:pt>
                <c:pt idx="339">
                  <c:v>1.3233701843818868E-2</c:v>
                </c:pt>
                <c:pt idx="340">
                  <c:v>1.3582969233683054E-2</c:v>
                </c:pt>
                <c:pt idx="341">
                  <c:v>1.394006050593319E-2</c:v>
                </c:pt>
                <c:pt idx="342">
                  <c:v>1.4305108994147001E-2</c:v>
                </c:pt>
                <c:pt idx="343">
                  <c:v>1.4678249112057279E-2</c:v>
                </c:pt>
                <c:pt idx="344">
                  <c:v>1.5059616327374627E-2</c:v>
                </c:pt>
                <c:pt idx="345">
                  <c:v>1.544934713439227E-2</c:v>
                </c:pt>
                <c:pt idx="346">
                  <c:v>1.5847579025357845E-2</c:v>
                </c:pt>
                <c:pt idx="347">
                  <c:v>1.625445046059746E-2</c:v>
                </c:pt>
                <c:pt idx="348">
                  <c:v>1.6670100837377945E-2</c:v>
                </c:pt>
                <c:pt idx="349">
                  <c:v>1.7094670457493747E-2</c:v>
                </c:pt>
                <c:pt idx="350">
                  <c:v>1.7528300493565269E-2</c:v>
                </c:pt>
                <c:pt idx="351">
                  <c:v>1.7971132954036285E-2</c:v>
                </c:pt>
                <c:pt idx="352">
                  <c:v>1.8423310646858617E-2</c:v>
                </c:pt>
                <c:pt idx="353">
                  <c:v>1.8884977141852662E-2</c:v>
                </c:pt>
                <c:pt idx="354">
                  <c:v>1.9356276731733367E-2</c:v>
                </c:pt>
                <c:pt idx="355">
                  <c:v>1.9837354391791646E-2</c:v>
                </c:pt>
                <c:pt idx="356">
                  <c:v>2.032835573822207E-2</c:v>
                </c:pt>
                <c:pt idx="357">
                  <c:v>2.0829426985088335E-2</c:v>
                </c:pt>
                <c:pt idx="358">
                  <c:v>2.1340714899918838E-2</c:v>
                </c:pt>
                <c:pt idx="359">
                  <c:v>2.1862366757925352E-2</c:v>
                </c:pt>
                <c:pt idx="360">
                  <c:v>2.2394530294838771E-2</c:v>
                </c:pt>
                <c:pt idx="361">
                  <c:v>2.2937353658356474E-2</c:v>
                </c:pt>
                <c:pt idx="362">
                  <c:v>2.3490985358197044E-2</c:v>
                </c:pt>
                <c:pt idx="363">
                  <c:v>2.4055574214758554E-2</c:v>
                </c:pt>
                <c:pt idx="364">
                  <c:v>2.4631269306377986E-2</c:v>
                </c:pt>
                <c:pt idx="365">
                  <c:v>2.5218219915189771E-2</c:v>
                </c:pt>
                <c:pt idx="366">
                  <c:v>2.5816575471582965E-2</c:v>
                </c:pt>
                <c:pt idx="367">
                  <c:v>2.6426485497256909E-2</c:v>
                </c:pt>
                <c:pt idx="368">
                  <c:v>2.7048099546876859E-2</c:v>
                </c:pt>
                <c:pt idx="369">
                  <c:v>2.7681567148331542E-2</c:v>
                </c:pt>
                <c:pt idx="370">
                  <c:v>2.8327037741596041E-2</c:v>
                </c:pt>
                <c:pt idx="371">
                  <c:v>2.8984660616204173E-2</c:v>
                </c:pt>
                <c:pt idx="372">
                  <c:v>2.9654584847335904E-2</c:v>
                </c:pt>
                <c:pt idx="373">
                  <c:v>3.033695923052615E-2</c:v>
                </c:pt>
                <c:pt idx="374">
                  <c:v>3.103193221500266E-2</c:v>
                </c:pt>
                <c:pt idx="375">
                  <c:v>3.1739651835661707E-2</c:v>
                </c:pt>
                <c:pt idx="376">
                  <c:v>3.246026564369163E-2</c:v>
                </c:pt>
                <c:pt idx="377">
                  <c:v>3.3193920635855176E-2</c:v>
                </c:pt>
                <c:pt idx="378">
                  <c:v>3.3940763182443115E-2</c:v>
                </c:pt>
                <c:pt idx="379">
                  <c:v>3.4700938953912623E-2</c:v>
                </c:pt>
                <c:pt idx="380">
                  <c:v>3.5474592846225117E-2</c:v>
                </c:pt>
                <c:pt idx="381">
                  <c:v>3.6261868904899776E-2</c:v>
                </c:pt>
                <c:pt idx="382">
                  <c:v>3.7062910247799903E-2</c:v>
                </c:pt>
                <c:pt idx="383">
                  <c:v>3.7877858986670759E-2</c:v>
                </c:pt>
                <c:pt idx="384">
                  <c:v>3.8706856147448766E-2</c:v>
                </c:pt>
                <c:pt idx="385">
                  <c:v>3.9550041589363226E-2</c:v>
                </c:pt>
                <c:pt idx="386">
                  <c:v>4.0407553922853195E-2</c:v>
                </c:pt>
                <c:pt idx="387">
                  <c:v>4.1279530426323152E-2</c:v>
                </c:pt>
                <c:pt idx="388">
                  <c:v>4.2166106961762928E-2</c:v>
                </c:pt>
                <c:pt idx="389">
                  <c:v>4.3067417889258199E-2</c:v>
                </c:pt>
                <c:pt idx="390">
                  <c:v>4.3983595980419517E-2</c:v>
                </c:pt>
                <c:pt idx="391">
                  <c:v>4.4914772330759252E-2</c:v>
                </c:pt>
                <c:pt idx="392">
                  <c:v>4.5861076271046915E-2</c:v>
                </c:pt>
                <c:pt idx="393">
                  <c:v>4.682263527767503E-2</c:v>
                </c:pt>
                <c:pt idx="394">
                  <c:v>4.7799574882068749E-2</c:v>
                </c:pt>
                <c:pt idx="395">
                  <c:v>4.8792018579174326E-2</c:v>
                </c:pt>
                <c:pt idx="396">
                  <c:v>4.9800087735062185E-2</c:v>
                </c:pt>
                <c:pt idx="397">
                  <c:v>5.082390149368244E-2</c:v>
                </c:pt>
                <c:pt idx="398">
                  <c:v>5.186357668281167E-2</c:v>
                </c:pt>
                <c:pt idx="399">
                  <c:v>5.2919227719231236E-2</c:v>
                </c:pt>
                <c:pt idx="400">
                  <c:v>5.3990966513178841E-2</c:v>
                </c:pt>
                <c:pt idx="401">
                  <c:v>5.5078902372116413E-2</c:v>
                </c:pt>
                <c:pt idx="402">
                  <c:v>5.6183141903858549E-2</c:v>
                </c:pt>
                <c:pt idx="403">
                  <c:v>5.73037889191075E-2</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5.7303788919126401E-2</c:v>
                </c:pt>
                <c:pt idx="798">
                  <c:v>5.6183141903877167E-2</c:v>
                </c:pt>
                <c:pt idx="799">
                  <c:v>5.5078902372134773E-2</c:v>
                </c:pt>
                <c:pt idx="800">
                  <c:v>5.3990966513196924E-2</c:v>
                </c:pt>
                <c:pt idx="801">
                  <c:v>5.2919227719249042E-2</c:v>
                </c:pt>
                <c:pt idx="802">
                  <c:v>5.1863576682829218E-2</c:v>
                </c:pt>
                <c:pt idx="803">
                  <c:v>5.0823901493699704E-2</c:v>
                </c:pt>
                <c:pt idx="804">
                  <c:v>4.9800087735079192E-2</c:v>
                </c:pt>
                <c:pt idx="805">
                  <c:v>4.8792018579191083E-2</c:v>
                </c:pt>
                <c:pt idx="806">
                  <c:v>4.7799574882085243E-2</c:v>
                </c:pt>
                <c:pt idx="807">
                  <c:v>4.6822635277691246E-2</c:v>
                </c:pt>
                <c:pt idx="808">
                  <c:v>4.5861076271062881E-2</c:v>
                </c:pt>
                <c:pt idx="809">
                  <c:v>4.4914772330774969E-2</c:v>
                </c:pt>
                <c:pt idx="810">
                  <c:v>4.3983595980434984E-2</c:v>
                </c:pt>
                <c:pt idx="811">
                  <c:v>4.3067417889273402E-2</c:v>
                </c:pt>
                <c:pt idx="812">
                  <c:v>4.2166106961777888E-2</c:v>
                </c:pt>
                <c:pt idx="813">
                  <c:v>4.127953042633787E-2</c:v>
                </c:pt>
                <c:pt idx="814">
                  <c:v>4.0407553922867663E-2</c:v>
                </c:pt>
                <c:pt idx="815">
                  <c:v>3.9550041589377471E-2</c:v>
                </c:pt>
                <c:pt idx="816">
                  <c:v>3.8706856147462769E-2</c:v>
                </c:pt>
                <c:pt idx="817">
                  <c:v>3.7877858986684526E-2</c:v>
                </c:pt>
                <c:pt idx="818">
                  <c:v>3.7062910247813427E-2</c:v>
                </c:pt>
                <c:pt idx="819">
                  <c:v>3.6261868904913064E-2</c:v>
                </c:pt>
                <c:pt idx="820">
                  <c:v>3.5474592846238176E-2</c:v>
                </c:pt>
                <c:pt idx="821">
                  <c:v>3.470093895392546E-2</c:v>
                </c:pt>
                <c:pt idx="822">
                  <c:v>3.3940763182455737E-2</c:v>
                </c:pt>
                <c:pt idx="823">
                  <c:v>3.3193920635867555E-2</c:v>
                </c:pt>
                <c:pt idx="824">
                  <c:v>3.2460265643703794E-2</c:v>
                </c:pt>
                <c:pt idx="825">
                  <c:v>3.1739651835673663E-2</c:v>
                </c:pt>
                <c:pt idx="826">
                  <c:v>3.10319322150144E-2</c:v>
                </c:pt>
                <c:pt idx="827">
                  <c:v>3.0336959230537683E-2</c:v>
                </c:pt>
                <c:pt idx="828">
                  <c:v>2.9654584847347225E-2</c:v>
                </c:pt>
                <c:pt idx="829">
                  <c:v>2.8984660616215279E-2</c:v>
                </c:pt>
                <c:pt idx="830">
                  <c:v>2.8327037741606942E-2</c:v>
                </c:pt>
                <c:pt idx="831">
                  <c:v>2.7681567148342249E-2</c:v>
                </c:pt>
                <c:pt idx="832">
                  <c:v>2.7048099546887354E-2</c:v>
                </c:pt>
                <c:pt idx="833">
                  <c:v>2.642648549726722E-2</c:v>
                </c:pt>
                <c:pt idx="834">
                  <c:v>2.5816575471593078E-2</c:v>
                </c:pt>
                <c:pt idx="835">
                  <c:v>2.5218219915199701E-2</c:v>
                </c:pt>
                <c:pt idx="836">
                  <c:v>2.4631269306387722E-2</c:v>
                </c:pt>
                <c:pt idx="837">
                  <c:v>2.4055574214768106E-2</c:v>
                </c:pt>
                <c:pt idx="838">
                  <c:v>2.3490985358206401E-2</c:v>
                </c:pt>
                <c:pt idx="839">
                  <c:v>2.2937353658365651E-2</c:v>
                </c:pt>
                <c:pt idx="840">
                  <c:v>2.239453029484777E-2</c:v>
                </c:pt>
                <c:pt idx="841">
                  <c:v>2.1862366757934178E-2</c:v>
                </c:pt>
                <c:pt idx="842">
                  <c:v>2.134071489992748E-2</c:v>
                </c:pt>
                <c:pt idx="843">
                  <c:v>2.0829426985096808E-2</c:v>
                </c:pt>
                <c:pt idx="844">
                  <c:v>2.0328355738230375E-2</c:v>
                </c:pt>
                <c:pt idx="845">
                  <c:v>1.9837354391799782E-2</c:v>
                </c:pt>
                <c:pt idx="846">
                  <c:v>1.9356276731741336E-2</c:v>
                </c:pt>
                <c:pt idx="847">
                  <c:v>1.8884977141860469E-2</c:v>
                </c:pt>
                <c:pt idx="848">
                  <c:v>1.8423310646866267E-2</c:v>
                </c:pt>
                <c:pt idx="849">
                  <c:v>1.7971132954043779E-2</c:v>
                </c:pt>
                <c:pt idx="850">
                  <c:v>1.75283004935726E-2</c:v>
                </c:pt>
                <c:pt idx="851">
                  <c:v>1.7094670457500929E-2</c:v>
                </c:pt>
                <c:pt idx="852">
                  <c:v>1.6670100837384981E-2</c:v>
                </c:pt>
                <c:pt idx="853">
                  <c:v>1.6254450460604336E-2</c:v>
                </c:pt>
                <c:pt idx="854">
                  <c:v>1.5847579025364586E-2</c:v>
                </c:pt>
                <c:pt idx="855">
                  <c:v>1.5449347134398869E-2</c:v>
                </c:pt>
                <c:pt idx="856">
                  <c:v>1.5059616327381078E-2</c:v>
                </c:pt>
                <c:pt idx="857">
                  <c:v>1.4678249112063594E-2</c:v>
                </c:pt>
                <c:pt idx="858">
                  <c:v>1.4305108994153182E-2</c:v>
                </c:pt>
                <c:pt idx="859">
                  <c:v>1.3940060505939234E-2</c:v>
                </c:pt>
                <c:pt idx="860">
                  <c:v>1.3582969233688973E-2</c:v>
                </c:pt>
                <c:pt idx="861">
                  <c:v>1.323370184382465E-2</c:v>
                </c:pt>
                <c:pt idx="862">
                  <c:v>1.2892126107898527E-2</c:v>
                </c:pt>
                <c:pt idx="863">
                  <c:v>1.255811092638136E-2</c:v>
                </c:pt>
                <c:pt idx="864">
                  <c:v>1.2231526351281066E-2</c:v>
                </c:pt>
                <c:pt idx="865">
                  <c:v>1.1912243607608208E-2</c:v>
                </c:pt>
                <c:pt idx="866">
                  <c:v>1.1600135113705532E-2</c:v>
                </c:pt>
                <c:pt idx="867">
                  <c:v>1.1295074500459043E-2</c:v>
                </c:pt>
                <c:pt idx="868">
                  <c:v>1.0996936629408427E-2</c:v>
                </c:pt>
                <c:pt idx="869">
                  <c:v>1.0705597609774973E-2</c:v>
                </c:pt>
                <c:pt idx="870">
                  <c:v>1.0420934814425324E-2</c:v>
                </c:pt>
                <c:pt idx="871">
                  <c:v>1.0142826894789752E-2</c:v>
                </c:pt>
                <c:pt idx="872">
                  <c:v>9.8711537947537547E-3</c:v>
                </c:pt>
                <c:pt idx="873">
                  <c:v>9.605796763542146E-3</c:v>
                </c:pt>
                <c:pt idx="874">
                  <c:v>9.3466383676147919E-3</c:v>
                </c:pt>
                <c:pt idx="875">
                  <c:v>9.0935625015935075E-3</c:v>
                </c:pt>
                <c:pt idx="876">
                  <c:v>8.8464543982396272E-3</c:v>
                </c:pt>
                <c:pt idx="877">
                  <c:v>8.605200637502022E-3</c:v>
                </c:pt>
                <c:pt idx="878">
                  <c:v>8.3696891546553263E-3</c:v>
                </c:pt>
                <c:pt idx="879">
                  <c:v>8.1398092475482679E-3</c:v>
                </c:pt>
                <c:pt idx="880">
                  <c:v>7.9154515829821595E-3</c:v>
                </c:pt>
                <c:pt idx="881">
                  <c:v>7.6965082022394738E-3</c:v>
                </c:pt>
                <c:pt idx="882">
                  <c:v>7.4828725257826629E-3</c:v>
                </c:pt>
                <c:pt idx="883">
                  <c:v>7.2744393571432713E-3</c:v>
                </c:pt>
                <c:pt idx="884">
                  <c:v>7.0711048860214575E-3</c:v>
                </c:pt>
                <c:pt idx="885">
                  <c:v>6.8727666906159349E-3</c:v>
                </c:pt>
                <c:pt idx="886">
                  <c:v>6.6793237392045362E-3</c:v>
                </c:pt>
                <c:pt idx="887">
                  <c:v>6.4906763909952422E-3</c:v>
                </c:pt>
                <c:pt idx="888">
                  <c:v>6.3067263962677585E-3</c:v>
                </c:pt>
                <c:pt idx="889">
                  <c:v>6.1273768958254766E-3</c:v>
                </c:pt>
                <c:pt idx="890">
                  <c:v>5.9525324197776033E-3</c:v>
                </c:pt>
                <c:pt idx="891">
                  <c:v>5.7820988856711868E-3</c:v>
                </c:pt>
                <c:pt idx="892">
                  <c:v>5.6159835959926335E-3</c:v>
                </c:pt>
                <c:pt idx="893">
                  <c:v>5.4540952350581777E-3</c:v>
                </c:pt>
                <c:pt idx="894">
                  <c:v>5.2963438653126091E-3</c:v>
                </c:pt>
                <c:pt idx="895">
                  <c:v>5.1426409230554918E-3</c:v>
                </c:pt>
                <c:pt idx="896">
                  <c:v>4.9928992136138916E-3</c:v>
                </c:pt>
                <c:pt idx="897">
                  <c:v>4.8470329059804289E-3</c:v>
                </c:pt>
                <c:pt idx="898">
                  <c:v>4.704957526935425E-3</c:v>
                </c:pt>
                <c:pt idx="899">
                  <c:v>4.5665899546715556E-3</c:v>
                </c:pt>
                <c:pt idx="900">
                  <c:v>4.4318484119393849E-3</c:v>
                </c:pt>
                <c:pt idx="901">
                  <c:v>4.3006524587317898E-3</c:v>
                </c:pt>
                <c:pt idx="902">
                  <c:v>4.1729229845252694E-3</c:v>
                </c:pt>
                <c:pt idx="903">
                  <c:v>4.0485822000957059E-3</c:v>
                </c:pt>
                <c:pt idx="904">
                  <c:v>3.9275536289260244E-3</c:v>
                </c:pt>
                <c:pt idx="905">
                  <c:v>3.8097620982230208E-3</c:v>
                </c:pt>
                <c:pt idx="906">
                  <c:v>3.6951337295602188E-3</c:v>
                </c:pt>
                <c:pt idx="907">
                  <c:v>3.5835959291635132E-3</c:v>
                </c:pt>
                <c:pt idx="908">
                  <c:v>3.4750773778560637E-3</c:v>
                </c:pt>
                <c:pt idx="909">
                  <c:v>3.3695080206785789E-3</c:v>
                </c:pt>
                <c:pt idx="910">
                  <c:v>3.2668190562009885E-3</c:v>
                </c:pt>
                <c:pt idx="911">
                  <c:v>3.166942925541121E-3</c:v>
                </c:pt>
                <c:pt idx="912">
                  <c:v>3.0698133011057569E-3</c:v>
                </c:pt>
                <c:pt idx="913">
                  <c:v>2.9753650750692414E-3</c:v>
                </c:pt>
                <c:pt idx="914">
                  <c:v>2.8835343476044041E-3</c:v>
                </c:pt>
                <c:pt idx="915">
                  <c:v>2.7942584148803848E-3</c:v>
                </c:pt>
                <c:pt idx="916">
                  <c:v>2.7074757568416158E-3</c:v>
                </c:pt>
                <c:pt idx="917">
                  <c:v>2.6231260247819139E-3</c:v>
                </c:pt>
                <c:pt idx="918">
                  <c:v>2.5411500287273901E-3</c:v>
                </c:pt>
                <c:pt idx="919">
                  <c:v>2.4614897246415441E-3</c:v>
                </c:pt>
                <c:pt idx="920">
                  <c:v>2.3840882014656635E-3</c:v>
                </c:pt>
                <c:pt idx="921">
                  <c:v>2.308889668007295E-3</c:v>
                </c:pt>
                <c:pt idx="922">
                  <c:v>2.2358394396893183E-3</c:v>
                </c:pt>
                <c:pt idx="923">
                  <c:v>2.1648839251718196E-3</c:v>
                </c:pt>
                <c:pt idx="924">
                  <c:v>2.0959706128586804E-3</c:v>
                </c:pt>
                <c:pt idx="925">
                  <c:v>2.029048057300485E-3</c:v>
                </c:pt>
                <c:pt idx="926">
                  <c:v>1.9640658655050735E-3</c:v>
                </c:pt>
                <c:pt idx="927">
                  <c:v>1.900974683166759E-3</c:v>
                </c:pt>
                <c:pt idx="928">
                  <c:v>1.8397261808249393E-3</c:v>
                </c:pt>
                <c:pt idx="929">
                  <c:v>1.7802730399625202E-3</c:v>
                </c:pt>
                <c:pt idx="930">
                  <c:v>1.7225689390543051E-3</c:v>
                </c:pt>
                <c:pt idx="931">
                  <c:v>1.6665685395751881E-3</c:v>
                </c:pt>
                <c:pt idx="932">
                  <c:v>1.6122274719777142E-3</c:v>
                </c:pt>
                <c:pt idx="933">
                  <c:v>1.5595023216482663E-3</c:v>
                </c:pt>
                <c:pt idx="934">
                  <c:v>1.5083506148508643E-3</c:v>
                </c:pt>
                <c:pt idx="935">
                  <c:v>1.4587308046672873E-3</c:v>
                </c:pt>
                <c:pt idx="936">
                  <c:v>1.4106022569419111E-3</c:v>
                </c:pt>
                <c:pt idx="937">
                  <c:v>1.3639252362394158E-3</c:v>
                </c:pt>
                <c:pt idx="938">
                  <c:v>1.3186608918232387E-3</c:v>
                </c:pt>
                <c:pt idx="939">
                  <c:v>1.2747712436623161E-3</c:v>
                </c:pt>
                <c:pt idx="940">
                  <c:v>1.2322191684734881E-3</c:v>
                </c:pt>
                <c:pt idx="941">
                  <c:v>1.1909683858065737E-3</c:v>
                </c:pt>
                <c:pt idx="942">
                  <c:v>1.150983444178926E-3</c:v>
                </c:pt>
                <c:pt idx="943">
                  <c:v>1.1122297072659944E-3</c:v>
                </c:pt>
                <c:pt idx="944">
                  <c:v>1.0746733401541518E-3</c:v>
                </c:pt>
                <c:pt idx="945">
                  <c:v>1.038281295661816E-3</c:v>
                </c:pt>
                <c:pt idx="946">
                  <c:v>1.0030213007346312E-3</c:v>
                </c:pt>
                <c:pt idx="947">
                  <c:v>9.6886184292022787E-4</c:v>
                </c:pt>
                <c:pt idx="948">
                  <c:v>9.3577215692785024E-4</c:v>
                </c:pt>
                <c:pt idx="949">
                  <c:v>9.03722211277884E-4</c:v>
                </c:pt>
                <c:pt idx="950">
                  <c:v>8.7268269504610883E-4</c:v>
                </c:pt>
                <c:pt idx="951">
                  <c:v>8.4262500470724019E-4</c:v>
                </c:pt>
                <c:pt idx="952">
                  <c:v>8.1352123108213638E-4</c:v>
                </c:pt>
                <c:pt idx="953">
                  <c:v>7.853441463927871E-4</c:v>
                </c:pt>
                <c:pt idx="954">
                  <c:v>7.5806719142901919E-4</c:v>
                </c:pt>
                <c:pt idx="955">
                  <c:v>7.316644628306097E-4</c:v>
                </c:pt>
                <c:pt idx="956">
                  <c:v>7.0611070048832655E-4</c:v>
                </c:pt>
                <c:pt idx="957">
                  <c:v>6.8138127506717282E-4</c:v>
                </c:pt>
                <c:pt idx="958">
                  <c:v>6.5745217565494902E-4</c:v>
                </c:pt>
                <c:pt idx="959">
                  <c:v>6.3429999753902172E-4</c:v>
                </c:pt>
                <c:pt idx="960">
                  <c:v>6.1190193011402842E-4</c:v>
                </c:pt>
                <c:pt idx="961">
                  <c:v>5.9023574492303346E-4</c:v>
                </c:pt>
                <c:pt idx="962">
                  <c:v>5.692797838344932E-4</c:v>
                </c:pt>
                <c:pt idx="963">
                  <c:v>5.490129473571917E-4</c:v>
                </c:pt>
                <c:pt idx="964">
                  <c:v>5.2941468309516038E-4</c:v>
                </c:pt>
                <c:pt idx="965">
                  <c:v>5.1046497434440407E-4</c:v>
                </c:pt>
                <c:pt idx="966">
                  <c:v>4.9214432883310508E-4</c:v>
                </c:pt>
                <c:pt idx="967">
                  <c:v>4.744337676068254E-4</c:v>
                </c:pt>
                <c:pt idx="968">
                  <c:v>4.5731481406005532E-4</c:v>
                </c:pt>
                <c:pt idx="969">
                  <c:v>4.4076948311532469E-4</c:v>
                </c:pt>
                <c:pt idx="970">
                  <c:v>4.247802705509377E-4</c:v>
                </c:pt>
                <c:pt idx="971">
                  <c:v>4.0933014247825875E-4</c:v>
                </c:pt>
                <c:pt idx="972">
                  <c:v>3.94402524969331E-4</c:v>
                </c:pt>
                <c:pt idx="973">
                  <c:v>3.7998129383549017E-4</c:v>
                </c:pt>
                <c:pt idx="974">
                  <c:v>3.6605076455749845E-4</c:v>
                </c:pt>
                <c:pt idx="975">
                  <c:v>3.5259568236760321E-4</c:v>
                </c:pt>
                <c:pt idx="976">
                  <c:v>3.3960121248380738E-4</c:v>
                </c:pt>
                <c:pt idx="977">
                  <c:v>3.2705293049652281E-4</c:v>
                </c:pt>
                <c:pt idx="978">
                  <c:v>3.1493681290766472E-4</c:v>
                </c:pt>
                <c:pt idx="979">
                  <c:v>3.0323922782214262E-4</c:v>
                </c:pt>
                <c:pt idx="980">
                  <c:v>2.9194692579159374E-4</c:v>
                </c:pt>
                <c:pt idx="981">
                  <c:v>2.8104703081011562E-4</c:v>
                </c:pt>
                <c:pt idx="982">
                  <c:v>2.705270314616459E-4</c:v>
                </c:pt>
                <c:pt idx="983">
                  <c:v>2.6037477221856341E-4</c:v>
                </c:pt>
                <c:pt idx="984">
                  <c:v>2.5057844489097757E-4</c:v>
                </c:pt>
                <c:pt idx="985">
                  <c:v>2.4112658022610627E-4</c:v>
                </c:pt>
                <c:pt idx="986">
                  <c:v>2.3200803965705134E-4</c:v>
                </c:pt>
                <c:pt idx="987">
                  <c:v>2.232120072002075E-4</c:v>
                </c:pt>
                <c:pt idx="988">
                  <c:v>2.1472798150046882E-4</c:v>
                </c:pt>
                <c:pt idx="989">
                  <c:v>2.0654576802332398E-4</c:v>
                </c:pt>
                <c:pt idx="990">
                  <c:v>1.9865547139286764E-4</c:v>
                </c:pt>
                <c:pt idx="991">
                  <c:v>1.9104748787468953E-4</c:v>
                </c:pt>
                <c:pt idx="992">
                  <c:v>1.8371249800254569E-4</c:v>
                </c:pt>
                <c:pt idx="993">
                  <c:v>1.7664145934765657E-4</c:v>
                </c:pt>
                <c:pt idx="994">
                  <c:v>1.6982559942942623E-4</c:v>
                </c:pt>
                <c:pt idx="995">
                  <c:v>1.6325640876632187E-4</c:v>
                </c:pt>
                <c:pt idx="996">
                  <c:v>1.5692563406560919E-4</c:v>
                </c:pt>
                <c:pt idx="997">
                  <c:v>1.5082527155059225E-4</c:v>
                </c:pt>
                <c:pt idx="998">
                  <c:v>1.4494756042396286E-4</c:v>
                </c:pt>
                <c:pt idx="999">
                  <c:v>1.3928497646582919E-4</c:v>
                </c:pt>
                <c:pt idx="1000">
                  <c:v>1.3383022576495215E-4</c:v>
                </c:pt>
                <c:pt idx="1001">
                  <c:v>1.2857623858168523E-4</c:v>
                </c:pt>
                <c:pt idx="1002">
                  <c:v>1.2351616334108531E-4</c:v>
                </c:pt>
                <c:pt idx="1003">
                  <c:v>1.1864336075462582E-4</c:v>
                </c:pt>
                <c:pt idx="1004">
                  <c:v>1.1395139806892229E-4</c:v>
                </c:pt>
                <c:pt idx="1005">
                  <c:v>1.0943404343985613E-4</c:v>
                </c:pt>
                <c:pt idx="1006">
                  <c:v>1.0508526043045386E-4</c:v>
                </c:pt>
                <c:pt idx="1007">
                  <c:v>1.008992026308662E-4</c:v>
                </c:pt>
                <c:pt idx="1008">
                  <c:v>9.6870208398768985E-5</c:v>
                </c:pt>
                <c:pt idx="1009">
                  <c:v>9.2992795718493788E-5</c:v>
                </c:pt>
                <c:pt idx="1010">
                  <c:v>8.926165717717921E-5</c:v>
                </c:pt>
                <c:pt idx="1011">
                  <c:v>8.5671655056226601E-5</c:v>
                </c:pt>
                <c:pt idx="1012">
                  <c:v>8.2217816536328924E-5</c:v>
                </c:pt>
                <c:pt idx="1013">
                  <c:v>7.8895329014334423E-5</c:v>
                </c:pt>
                <c:pt idx="1014">
                  <c:v>7.5699535530201003E-5</c:v>
                </c:pt>
                <c:pt idx="1015">
                  <c:v>7.2625930302290894E-5</c:v>
                </c:pt>
                <c:pt idx="1016">
                  <c:v>6.9670154369251447E-5</c:v>
                </c:pt>
                <c:pt idx="1017">
                  <c:v>6.6827991336726225E-5</c:v>
                </c:pt>
                <c:pt idx="1018">
                  <c:v>6.4095363227140357E-5</c:v>
                </c:pt>
                <c:pt idx="1019">
                  <c:v>6.1468326430802394E-5</c:v>
                </c:pt>
                <c:pt idx="1020">
                  <c:v>5.8943067756571676E-5</c:v>
                </c:pt>
                <c:pt idx="1021">
                  <c:v>5.6515900580338022E-5</c:v>
                </c:pt>
                <c:pt idx="1022">
                  <c:v>5.4183261089569587E-5</c:v>
                </c:pt>
                <c:pt idx="1023">
                  <c:v>5.1941704622188277E-5</c:v>
                </c:pt>
                <c:pt idx="1024">
                  <c:v>4.9787902098039493E-5</c:v>
                </c:pt>
                <c:pt idx="1025">
                  <c:v>4.7718636541231217E-5</c:v>
                </c:pt>
                <c:pt idx="1026">
                  <c:v>4.5730799691626576E-5</c:v>
                </c:pt>
                <c:pt idx="1027">
                  <c:v>4.3821388703782397E-5</c:v>
                </c:pt>
                <c:pt idx="1028">
                  <c:v>4.1987502931640733E-5</c:v>
                </c:pt>
                <c:pt idx="1029">
                  <c:v>4.0226340797287469E-5</c:v>
                </c:pt>
                <c:pt idx="1030">
                  <c:v>3.8535196742108759E-5</c:v>
                </c:pt>
                <c:pt idx="1031">
                  <c:v>3.6911458258686985E-5</c:v>
                </c:pt>
                <c:pt idx="1032">
                  <c:v>3.535260300179312E-5</c:v>
                </c:pt>
                <c:pt idx="1033">
                  <c:v>3.3856195976847125E-5</c:v>
                </c:pt>
                <c:pt idx="1034">
                  <c:v>3.2419886804232257E-5</c:v>
                </c:pt>
                <c:pt idx="1035">
                  <c:v>3.104140705786802E-5</c:v>
                </c:pt>
                <c:pt idx="1036">
                  <c:v>2.9718567676459353E-5</c:v>
                </c:pt>
                <c:pt idx="1037">
                  <c:v>2.8449256445860778E-5</c:v>
                </c:pt>
                <c:pt idx="1038">
                  <c:v>2.7231435551008424E-5</c:v>
                </c:pt>
                <c:pt idx="1039">
                  <c:v>2.606313919589348E-5</c:v>
                </c:pt>
                <c:pt idx="1040">
                  <c:v>2.4942471290068152E-5</c:v>
                </c:pt>
                <c:pt idx="1041">
                  <c:v>2.3867603200193587E-5</c:v>
                </c:pt>
                <c:pt idx="1042">
                  <c:v>2.2836771565160385E-5</c:v>
                </c:pt>
                <c:pt idx="1043">
                  <c:v>2.1848276173329351E-5</c:v>
                </c:pt>
                <c:pt idx="1044">
                  <c:v>2.0900477900462842E-5</c:v>
                </c:pt>
                <c:pt idx="1045">
                  <c:v>1.9991796706934721E-5</c:v>
                </c:pt>
                <c:pt idx="1046">
                  <c:v>1.9120709692829179E-5</c:v>
                </c:pt>
                <c:pt idx="1047">
                  <c:v>1.8285749209558354E-5</c:v>
                </c:pt>
                <c:pt idx="1048">
                  <c:v>1.7485501026649693E-5</c:v>
                </c:pt>
                <c:pt idx="1049">
                  <c:v>1.6718602552375225E-5</c:v>
                </c:pt>
                <c:pt idx="1050">
                  <c:v>1.5983741106915185E-5</c:v>
                </c:pt>
                <c:pt idx="1051">
                  <c:v>1.5279652246770927E-5</c:v>
                </c:pt>
                <c:pt idx="1052">
                  <c:v>1.4605118139161839E-5</c:v>
                </c:pt>
                <c:pt idx="1053">
                  <c:v>1.3958965985163351E-5</c:v>
                </c:pt>
                <c:pt idx="1054">
                  <c:v>1.3340066490364058E-5</c:v>
                </c:pt>
                <c:pt idx="1055">
                  <c:v>1.2747332381841341E-5</c:v>
                </c:pt>
                <c:pt idx="1056">
                  <c:v>1.2179716970276248E-5</c:v>
                </c:pt>
                <c:pt idx="1057">
                  <c:v>1.1636212756049942E-5</c:v>
                </c:pt>
                <c:pt idx="1058">
                  <c:v>1.1115850078184757E-5</c:v>
                </c:pt>
                <c:pt idx="1059">
                  <c:v>1.0617695805015047E-5</c:v>
                </c:pt>
                <c:pt idx="1060">
                  <c:v>1.0140852065493135E-5</c:v>
                </c:pt>
                <c:pt idx="1061">
                  <c:v>9.6844550200575763E-6</c:v>
                </c:pt>
                <c:pt idx="1062">
                  <c:v>9.2476736700114968E-6</c:v>
                </c:pt>
                <c:pt idx="1063">
                  <c:v>8.8297087043797102E-6</c:v>
                </c:pt>
                <c:pt idx="1064">
                  <c:v>8.4297913832341605E-6</c:v>
                </c:pt>
                <c:pt idx="1065">
                  <c:v>8.0471824564974672E-6</c:v>
                </c:pt>
                <c:pt idx="1066">
                  <c:v>7.6811711172554206E-6</c:v>
                </c:pt>
                <c:pt idx="1067">
                  <c:v>7.3310739886286849E-6</c:v>
                </c:pt>
                <c:pt idx="1068">
                  <c:v>6.99623414327494E-6</c:v>
                </c:pt>
                <c:pt idx="1069">
                  <c:v>6.6760201546118248E-6</c:v>
                </c:pt>
                <c:pt idx="1070">
                  <c:v>6.3698251788712641E-6</c:v>
                </c:pt>
                <c:pt idx="1071">
                  <c:v>6.0770660671151089E-6</c:v>
                </c:pt>
                <c:pt idx="1072">
                  <c:v>5.7971825063611071E-6</c:v>
                </c:pt>
                <c:pt idx="1073">
                  <c:v>5.5296361889877251E-6</c:v>
                </c:pt>
                <c:pt idx="1074">
                  <c:v>5.2739100096048067E-6</c:v>
                </c:pt>
                <c:pt idx="1075">
                  <c:v>5.0295072885957954E-6</c:v>
                </c:pt>
                <c:pt idx="1076">
                  <c:v>4.7959510215557243E-6</c:v>
                </c:pt>
                <c:pt idx="1077">
                  <c:v>4.5727831538672066E-6</c:v>
                </c:pt>
                <c:pt idx="1078">
                  <c:v>4.3595638796745784E-6</c:v>
                </c:pt>
                <c:pt idx="1079">
                  <c:v>4.1558709645340056E-6</c:v>
                </c:pt>
                <c:pt idx="1080">
                  <c:v>3.9612990910347629E-6</c:v>
                </c:pt>
                <c:pt idx="1081">
                  <c:v>3.7754592267039096E-6</c:v>
                </c:pt>
                <c:pt idx="1082">
                  <c:v>3.5979780135237076E-6</c:v>
                </c:pt>
                <c:pt idx="1083">
                  <c:v>3.4284971784073898E-6</c:v>
                </c:pt>
                <c:pt idx="1084">
                  <c:v>3.2666729639955198E-6</c:v>
                </c:pt>
                <c:pt idx="1085">
                  <c:v>3.1121755791510891E-6</c:v>
                </c:pt>
                <c:pt idx="1086">
                  <c:v>2.9646886685473312E-6</c:v>
                </c:pt>
                <c:pt idx="1087">
                  <c:v>2.8239088007577869E-6</c:v>
                </c:pt>
                <c:pt idx="1088">
                  <c:v>2.6895449742734008E-6</c:v>
                </c:pt>
                <c:pt idx="1089">
                  <c:v>2.561318140886332E-6</c:v>
                </c:pt>
                <c:pt idx="1090">
                  <c:v>2.4389607458950721E-6</c:v>
                </c:pt>
                <c:pt idx="1091">
                  <c:v>2.3222162845996347E-6</c:v>
                </c:pt>
                <c:pt idx="1092">
                  <c:v>2.210838874569984E-6</c:v>
                </c:pt>
                <c:pt idx="1093">
                  <c:v>2.1045928431846207E-6</c:v>
                </c:pt>
                <c:pt idx="1094">
                  <c:v>2.003252329949923E-6</c:v>
                </c:pt>
                <c:pt idx="1095">
                  <c:v>1.9066009031241753E-6</c:v>
                </c:pt>
                <c:pt idx="1096">
                  <c:v>1.8144311901833356E-6</c:v>
                </c:pt>
                <c:pt idx="1097">
                  <c:v>1.7265445216783154E-6</c:v>
                </c:pt>
                <c:pt idx="1098">
                  <c:v>1.6427505880462614E-6</c:v>
                </c:pt>
                <c:pt idx="1099">
                  <c:v>1.5628671089504256E-6</c:v>
                </c:pt>
                <c:pt idx="1100">
                  <c:v>1.4867195147353804E-6</c:v>
                </c:pt>
                <c:pt idx="1101">
                  <c:v>1.4141406395960358E-6</c:v>
                </c:pt>
                <c:pt idx="1102">
                  <c:v>1.3449704260704263E-6</c:v>
                </c:pt>
                <c:pt idx="1103">
                  <c:v>1.2790556404775167E-6</c:v>
                </c:pt>
                <c:pt idx="1104">
                  <c:v>1.2162495989322167E-6</c:v>
                </c:pt>
                <c:pt idx="1105">
                  <c:v>1.1564119035806376E-6</c:v>
                </c:pt>
                <c:pt idx="1106">
                  <c:v>1.0994081887090213E-6</c:v>
                </c:pt>
                <c:pt idx="1107">
                  <c:v>1.0451098763900991E-6</c:v>
                </c:pt>
                <c:pt idx="1108">
                  <c:v>9.9339394134065466E-7</c:v>
                </c:pt>
                <c:pt idx="1109">
                  <c:v>9.4414268467379505E-7</c:v>
                </c:pt>
                <c:pt idx="1110">
                  <c:v>8.9724351623900935E-7</c:v>
                </c:pt>
                <c:pt idx="1111">
                  <c:v>8.525887452524311E-7</c:v>
                </c:pt>
                <c:pt idx="1112">
                  <c:v>8.1007537892875027E-7</c:v>
                </c:pt>
                <c:pt idx="1113">
                  <c:v>7.6960492883509941E-7</c:v>
                </c:pt>
                <c:pt idx="1114">
                  <c:v>7.3108322469590734E-7</c:v>
                </c:pt>
                <c:pt idx="1115">
                  <c:v>6.9442023538606788E-7</c:v>
                </c:pt>
                <c:pt idx="1116">
                  <c:v>6.5952989685802989E-7</c:v>
                </c:pt>
                <c:pt idx="1117">
                  <c:v>6.2632994675637304E-7</c:v>
                </c:pt>
                <c:pt idx="1118">
                  <c:v>5.9474176548123583E-7</c:v>
                </c:pt>
                <c:pt idx="1119">
                  <c:v>5.6469022346951531E-7</c:v>
                </c:pt>
                <c:pt idx="1120">
                  <c:v>5.3610353447018042E-7</c:v>
                </c:pt>
                <c:pt idx="1121">
                  <c:v>5.0891311459716356E-7</c:v>
                </c:pt>
                <c:pt idx="1122">
                  <c:v>4.830534469503466E-7</c:v>
                </c:pt>
                <c:pt idx="1123">
                  <c:v>4.5846195160189523E-7</c:v>
                </c:pt>
                <c:pt idx="1124">
                  <c:v>4.350788607518555E-7</c:v>
                </c:pt>
                <c:pt idx="1125">
                  <c:v>4.128470988633269E-7</c:v>
                </c:pt>
                <c:pt idx="1126">
                  <c:v>3.9171216759379263E-7</c:v>
                </c:pt>
                <c:pt idx="1127">
                  <c:v>3.716220353452463E-7</c:v>
                </c:pt>
                <c:pt idx="1128">
                  <c:v>3.5252703126168619E-7</c:v>
                </c:pt>
                <c:pt idx="1129">
                  <c:v>3.3437974350824902E-7</c:v>
                </c:pt>
                <c:pt idx="1130">
                  <c:v>3.1713492167185329E-7</c:v>
                </c:pt>
                <c:pt idx="1131">
                  <c:v>3.0074938312862632E-7</c:v>
                </c:pt>
                <c:pt idx="1132">
                  <c:v>2.8518192322862913E-7</c:v>
                </c:pt>
                <c:pt idx="1133">
                  <c:v>2.7039322915351301E-7</c:v>
                </c:pt>
                <c:pt idx="1134">
                  <c:v>2.563457973076683E-7</c:v>
                </c:pt>
                <c:pt idx="1135">
                  <c:v>2.4300385410825208E-7</c:v>
                </c:pt>
                <c:pt idx="1136">
                  <c:v>2.3033328004411047E-7</c:v>
                </c:pt>
                <c:pt idx="1137">
                  <c:v>2.1830153687815879E-7</c:v>
                </c:pt>
                <c:pt idx="1138">
                  <c:v>2.0687759787213633E-7</c:v>
                </c:pt>
                <c:pt idx="1139">
                  <c:v>1.9603188091691979E-7</c:v>
                </c:pt>
                <c:pt idx="1140">
                  <c:v>1.85736184455684E-7</c:v>
                </c:pt>
                <c:pt idx="1141">
                  <c:v>1.759636260911928E-7</c:v>
                </c:pt>
                <c:pt idx="1142">
                  <c:v>1.6668858377236801E-7</c:v>
                </c:pt>
                <c:pt idx="1143">
                  <c:v>1.5788663945902299E-7</c:v>
                </c:pt>
                <c:pt idx="1144">
                  <c:v>1.4953452516728561E-7</c:v>
                </c:pt>
                <c:pt idx="1145">
                  <c:v>1.4161007130173148E-7</c:v>
                </c:pt>
                <c:pt idx="1146">
                  <c:v>1.3409215718366112E-7</c:v>
                </c:pt>
                <c:pt idx="1147">
                  <c:v>1.2696066368823708E-7</c:v>
                </c:pt>
                <c:pt idx="1148">
                  <c:v>1.2019642790638519E-7</c:v>
                </c:pt>
                <c:pt idx="1149">
                  <c:v>1.1378119975044371E-7</c:v>
                </c:pt>
                <c:pt idx="1150">
                  <c:v>1.0769760042552535E-7</c:v>
                </c:pt>
                <c:pt idx="1151">
                  <c:v>1.0192908269144073E-7</c:v>
                </c:pt>
                <c:pt idx="1152">
                  <c:v>9.6459892842817102E-8</c:v>
                </c:pt>
                <c:pt idx="1153">
                  <c:v>9.1275034337744203E-8</c:v>
                </c:pt>
                <c:pt idx="1154">
                  <c:v>8.6360233007885042E-8</c:v>
                </c:pt>
                <c:pt idx="1155">
                  <c:v>8.1701903785503446E-8</c:v>
                </c:pt>
                <c:pt idx="1156">
                  <c:v>7.7287118885296748E-8</c:v>
                </c:pt>
                <c:pt idx="1157">
                  <c:v>7.3103577381273741E-8</c:v>
                </c:pt>
                <c:pt idx="1158">
                  <c:v>6.913957612118501E-8</c:v>
                </c:pt>
                <c:pt idx="1159">
                  <c:v>6.5383981923209157E-8</c:v>
                </c:pt>
                <c:pt idx="1160">
                  <c:v>6.1826205001713246E-8</c:v>
                </c:pt>
                <c:pt idx="1161">
                  <c:v>5.8456173570952626E-8</c:v>
                </c:pt>
                <c:pt idx="1162">
                  <c:v>5.5264309577546524E-8</c:v>
                </c:pt>
                <c:pt idx="1163">
                  <c:v>5.2241505514471133E-8</c:v>
                </c:pt>
                <c:pt idx="1164">
                  <c:v>4.937910227114878E-8</c:v>
                </c:pt>
                <c:pt idx="1165">
                  <c:v>4.6668867975984667E-8</c:v>
                </c:pt>
                <c:pt idx="1166">
                  <c:v>4.4102977789413032E-8</c:v>
                </c:pt>
                <c:pt idx="1167">
                  <c:v>4.1673994607161255E-8</c:v>
                </c:pt>
                <c:pt idx="1168">
                  <c:v>3.9374850635034311E-8</c:v>
                </c:pt>
                <c:pt idx="1169">
                  <c:v>3.7198829798049994E-8</c:v>
                </c:pt>
                <c:pt idx="1170">
                  <c:v>3.5139550948236541E-8</c:v>
                </c:pt>
                <c:pt idx="1171">
                  <c:v>3.3190951836825919E-8</c:v>
                </c:pt>
                <c:pt idx="1172">
                  <c:v>3.1347273817948629E-8</c:v>
                </c:pt>
                <c:pt idx="1173">
                  <c:v>2.9603047252257389E-8</c:v>
                </c:pt>
                <c:pt idx="1174">
                  <c:v>2.7953077580180564E-8</c:v>
                </c:pt>
                <c:pt idx="1175">
                  <c:v>2.6392432035730299E-8</c:v>
                </c:pt>
                <c:pt idx="1176">
                  <c:v>2.4916426972974176E-8</c:v>
                </c:pt>
                <c:pt idx="1177">
                  <c:v>2.3520615778412809E-8</c:v>
                </c:pt>
                <c:pt idx="1178">
                  <c:v>2.2200777343599831E-8</c:v>
                </c:pt>
                <c:pt idx="1179">
                  <c:v>2.0952905073396694E-8</c:v>
                </c:pt>
                <c:pt idx="1180">
                  <c:v>1.9773196406263356E-8</c:v>
                </c:pt>
                <c:pt idx="1181">
                  <c:v>1.8658042823963807E-8</c:v>
                </c:pt>
                <c:pt idx="1182">
                  <c:v>1.7604020329002542E-8</c:v>
                </c:pt>
                <c:pt idx="1183">
                  <c:v>1.6607880369007856E-8</c:v>
                </c:pt>
                <c:pt idx="1184">
                  <c:v>1.5666541188147484E-8</c:v>
                </c:pt>
                <c:pt idx="1185">
                  <c:v>1.4777079586494175E-8</c:v>
                </c:pt>
                <c:pt idx="1186">
                  <c:v>1.3936723069060808E-8</c:v>
                </c:pt>
                <c:pt idx="1187">
                  <c:v>1.3142842366994842E-8</c:v>
                </c:pt>
                <c:pt idx="1188">
                  <c:v>1.2392944314162104E-8</c:v>
                </c:pt>
                <c:pt idx="1189">
                  <c:v>1.1684665063061159E-8</c:v>
                </c:pt>
                <c:pt idx="1190">
                  <c:v>1.101576362469303E-8</c:v>
                </c:pt>
                <c:pt idx="1191">
                  <c:v>1.0384115717666471E-8</c:v>
                </c:pt>
                <c:pt idx="1192">
                  <c:v>9.7877079124507384E-9</c:v>
                </c:pt>
                <c:pt idx="1193">
                  <c:v>9.2246320572917634E-9</c:v>
                </c:pt>
                <c:pt idx="1194">
                  <c:v>8.6930799728887595E-9</c:v>
                </c:pt>
                <c:pt idx="1195">
                  <c:v>8.1913384034872618E-9</c:v>
                </c:pt>
                <c:pt idx="1196">
                  <c:v>7.7177842125781769E-9</c:v>
                </c:pt>
                <c:pt idx="1197">
                  <c:v>7.2708798119073129E-9</c:v>
                </c:pt>
                <c:pt idx="1198">
                  <c:v>6.8491688129925952E-9</c:v>
                </c:pt>
                <c:pt idx="1199">
                  <c:v>6.4512718908182141E-9</c:v>
                </c:pt>
                <c:pt idx="1200">
                  <c:v>6.0758828498293717E-9</c:v>
                </c:pt>
              </c:numCache>
            </c:numRef>
          </c:yVal>
        </c:ser>
        <c:ser>
          <c:idx val="13"/>
          <c:order val="1"/>
          <c:spPr>
            <a:ln w="28575">
              <a:noFill/>
            </a:ln>
          </c:spPr>
          <c:marker>
            <c:symbol val="none"/>
          </c:marker>
          <c:errBars>
            <c:errDir val="y"/>
            <c:errBarType val="minus"/>
            <c:errValType val="cust"/>
            <c:noEndCap val="1"/>
            <c:minus>
              <c:numRef>
                <c:f>'Normal and t'!$BL$21:$BL$1221</c:f>
                <c:numCache>
                  <c:formatCode>General</c:formatCode>
                  <c:ptCount val="1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numCache>
              </c:numRef>
            </c:minus>
            <c:spPr>
              <a:ln w="25400">
                <a:solidFill>
                  <a:srgbClr val="FF8080"/>
                </a:solidFill>
                <a:prstDash val="solid"/>
              </a:ln>
            </c:spPr>
          </c:errBars>
          <c:xVal>
            <c:numRef>
              <c:f>'Normal and t'!$BA$21:$BA$1221</c:f>
              <c:numCache>
                <c:formatCode>General</c:formatCode>
                <c:ptCount val="1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pt idx="201">
                  <c:v>-3.9900000000000428</c:v>
                </c:pt>
                <c:pt idx="202">
                  <c:v>-3.9800000000000431</c:v>
                </c:pt>
                <c:pt idx="203">
                  <c:v>-3.9700000000000433</c:v>
                </c:pt>
                <c:pt idx="204">
                  <c:v>-3.9600000000000435</c:v>
                </c:pt>
                <c:pt idx="205">
                  <c:v>-3.9500000000000437</c:v>
                </c:pt>
                <c:pt idx="206">
                  <c:v>-3.9400000000000439</c:v>
                </c:pt>
                <c:pt idx="207">
                  <c:v>-3.9300000000000441</c:v>
                </c:pt>
                <c:pt idx="208">
                  <c:v>-3.9200000000000443</c:v>
                </c:pt>
                <c:pt idx="209">
                  <c:v>-3.9100000000000446</c:v>
                </c:pt>
                <c:pt idx="210">
                  <c:v>-3.9000000000000448</c:v>
                </c:pt>
                <c:pt idx="211">
                  <c:v>-3.890000000000045</c:v>
                </c:pt>
                <c:pt idx="212">
                  <c:v>-3.8800000000000452</c:v>
                </c:pt>
                <c:pt idx="213">
                  <c:v>-3.8700000000000454</c:v>
                </c:pt>
                <c:pt idx="214">
                  <c:v>-3.8600000000000456</c:v>
                </c:pt>
                <c:pt idx="215">
                  <c:v>-3.8500000000000458</c:v>
                </c:pt>
                <c:pt idx="216">
                  <c:v>-3.840000000000046</c:v>
                </c:pt>
                <c:pt idx="217">
                  <c:v>-3.8300000000000463</c:v>
                </c:pt>
                <c:pt idx="218">
                  <c:v>-3.8200000000000465</c:v>
                </c:pt>
                <c:pt idx="219">
                  <c:v>-3.8100000000000467</c:v>
                </c:pt>
                <c:pt idx="220">
                  <c:v>-3.8000000000000469</c:v>
                </c:pt>
                <c:pt idx="221">
                  <c:v>-3.7900000000000471</c:v>
                </c:pt>
                <c:pt idx="222">
                  <c:v>-3.7800000000000473</c:v>
                </c:pt>
                <c:pt idx="223">
                  <c:v>-3.7700000000000475</c:v>
                </c:pt>
                <c:pt idx="224">
                  <c:v>-3.7600000000000477</c:v>
                </c:pt>
                <c:pt idx="225">
                  <c:v>-3.750000000000048</c:v>
                </c:pt>
                <c:pt idx="226">
                  <c:v>-3.7400000000000482</c:v>
                </c:pt>
                <c:pt idx="227">
                  <c:v>-3.7300000000000484</c:v>
                </c:pt>
                <c:pt idx="228">
                  <c:v>-3.7200000000000486</c:v>
                </c:pt>
                <c:pt idx="229">
                  <c:v>-3.7100000000000488</c:v>
                </c:pt>
                <c:pt idx="230">
                  <c:v>-3.700000000000049</c:v>
                </c:pt>
                <c:pt idx="231">
                  <c:v>-3.6900000000000492</c:v>
                </c:pt>
                <c:pt idx="232">
                  <c:v>-3.6800000000000495</c:v>
                </c:pt>
                <c:pt idx="233">
                  <c:v>-3.6700000000000497</c:v>
                </c:pt>
                <c:pt idx="234">
                  <c:v>-3.6600000000000499</c:v>
                </c:pt>
                <c:pt idx="235">
                  <c:v>-3.6500000000000501</c:v>
                </c:pt>
                <c:pt idx="236">
                  <c:v>-3.6400000000000503</c:v>
                </c:pt>
                <c:pt idx="237">
                  <c:v>-3.6300000000000505</c:v>
                </c:pt>
                <c:pt idx="238">
                  <c:v>-3.6200000000000507</c:v>
                </c:pt>
                <c:pt idx="239">
                  <c:v>-3.6100000000000509</c:v>
                </c:pt>
                <c:pt idx="240">
                  <c:v>-3.6000000000000512</c:v>
                </c:pt>
                <c:pt idx="241">
                  <c:v>-3.5900000000000514</c:v>
                </c:pt>
                <c:pt idx="242">
                  <c:v>-3.5800000000000516</c:v>
                </c:pt>
                <c:pt idx="243">
                  <c:v>-3.5700000000000518</c:v>
                </c:pt>
                <c:pt idx="244">
                  <c:v>-3.560000000000052</c:v>
                </c:pt>
                <c:pt idx="245">
                  <c:v>-3.5500000000000522</c:v>
                </c:pt>
                <c:pt idx="246">
                  <c:v>-3.5400000000000524</c:v>
                </c:pt>
                <c:pt idx="247">
                  <c:v>-3.5300000000000527</c:v>
                </c:pt>
                <c:pt idx="248">
                  <c:v>-3.5200000000000529</c:v>
                </c:pt>
                <c:pt idx="249">
                  <c:v>-3.5100000000000531</c:v>
                </c:pt>
                <c:pt idx="250">
                  <c:v>-3.5000000000000533</c:v>
                </c:pt>
                <c:pt idx="251">
                  <c:v>-3.4900000000000535</c:v>
                </c:pt>
                <c:pt idx="252">
                  <c:v>-3.4800000000000537</c:v>
                </c:pt>
                <c:pt idx="253">
                  <c:v>-3.4700000000000539</c:v>
                </c:pt>
                <c:pt idx="254">
                  <c:v>-3.4600000000000541</c:v>
                </c:pt>
                <c:pt idx="255">
                  <c:v>-3.4500000000000544</c:v>
                </c:pt>
                <c:pt idx="256">
                  <c:v>-3.4400000000000546</c:v>
                </c:pt>
                <c:pt idx="257">
                  <c:v>-3.4300000000000548</c:v>
                </c:pt>
                <c:pt idx="258">
                  <c:v>-3.420000000000055</c:v>
                </c:pt>
                <c:pt idx="259">
                  <c:v>-3.4100000000000552</c:v>
                </c:pt>
                <c:pt idx="260">
                  <c:v>-3.4000000000000554</c:v>
                </c:pt>
                <c:pt idx="261">
                  <c:v>-3.3900000000000556</c:v>
                </c:pt>
                <c:pt idx="262">
                  <c:v>-3.3800000000000558</c:v>
                </c:pt>
                <c:pt idx="263">
                  <c:v>-3.3700000000000561</c:v>
                </c:pt>
                <c:pt idx="264">
                  <c:v>-3.3600000000000563</c:v>
                </c:pt>
                <c:pt idx="265">
                  <c:v>-3.3500000000000565</c:v>
                </c:pt>
                <c:pt idx="266">
                  <c:v>-3.3400000000000567</c:v>
                </c:pt>
                <c:pt idx="267">
                  <c:v>-3.3300000000000569</c:v>
                </c:pt>
                <c:pt idx="268">
                  <c:v>-3.3200000000000571</c:v>
                </c:pt>
                <c:pt idx="269">
                  <c:v>-3.3100000000000573</c:v>
                </c:pt>
                <c:pt idx="270">
                  <c:v>-3.3000000000000576</c:v>
                </c:pt>
                <c:pt idx="271">
                  <c:v>-3.2900000000000578</c:v>
                </c:pt>
                <c:pt idx="272">
                  <c:v>-3.280000000000058</c:v>
                </c:pt>
                <c:pt idx="273">
                  <c:v>-3.2700000000000582</c:v>
                </c:pt>
                <c:pt idx="274">
                  <c:v>-3.2600000000000584</c:v>
                </c:pt>
                <c:pt idx="275">
                  <c:v>-3.2500000000000586</c:v>
                </c:pt>
                <c:pt idx="276">
                  <c:v>-3.2400000000000588</c:v>
                </c:pt>
                <c:pt idx="277">
                  <c:v>-3.230000000000059</c:v>
                </c:pt>
                <c:pt idx="278">
                  <c:v>-3.2200000000000593</c:v>
                </c:pt>
                <c:pt idx="279">
                  <c:v>-3.2100000000000595</c:v>
                </c:pt>
                <c:pt idx="280">
                  <c:v>-3.2000000000000597</c:v>
                </c:pt>
                <c:pt idx="281">
                  <c:v>-3.1900000000000599</c:v>
                </c:pt>
                <c:pt idx="282">
                  <c:v>-3.1800000000000601</c:v>
                </c:pt>
                <c:pt idx="283">
                  <c:v>-3.1700000000000603</c:v>
                </c:pt>
                <c:pt idx="284">
                  <c:v>-3.1600000000000605</c:v>
                </c:pt>
                <c:pt idx="285">
                  <c:v>-3.1500000000000608</c:v>
                </c:pt>
                <c:pt idx="286">
                  <c:v>-3.140000000000061</c:v>
                </c:pt>
                <c:pt idx="287">
                  <c:v>-3.1300000000000612</c:v>
                </c:pt>
                <c:pt idx="288">
                  <c:v>-3.1200000000000614</c:v>
                </c:pt>
                <c:pt idx="289">
                  <c:v>-3.1100000000000616</c:v>
                </c:pt>
                <c:pt idx="290">
                  <c:v>-3.1000000000000618</c:v>
                </c:pt>
                <c:pt idx="291">
                  <c:v>-3.090000000000062</c:v>
                </c:pt>
                <c:pt idx="292">
                  <c:v>-3.0800000000000622</c:v>
                </c:pt>
                <c:pt idx="293">
                  <c:v>-3.0700000000000625</c:v>
                </c:pt>
                <c:pt idx="294">
                  <c:v>-3.0600000000000627</c:v>
                </c:pt>
                <c:pt idx="295">
                  <c:v>-3.0500000000000629</c:v>
                </c:pt>
                <c:pt idx="296">
                  <c:v>-3.0400000000000631</c:v>
                </c:pt>
                <c:pt idx="297">
                  <c:v>-3.0300000000000633</c:v>
                </c:pt>
                <c:pt idx="298">
                  <c:v>-3.0200000000000635</c:v>
                </c:pt>
                <c:pt idx="299">
                  <c:v>-3.0100000000000637</c:v>
                </c:pt>
                <c:pt idx="300">
                  <c:v>-3.0000000000000639</c:v>
                </c:pt>
                <c:pt idx="301">
                  <c:v>-2.9900000000000642</c:v>
                </c:pt>
                <c:pt idx="302">
                  <c:v>-2.9800000000000644</c:v>
                </c:pt>
                <c:pt idx="303">
                  <c:v>-2.9700000000000646</c:v>
                </c:pt>
                <c:pt idx="304">
                  <c:v>-2.9600000000000648</c:v>
                </c:pt>
                <c:pt idx="305">
                  <c:v>-2.950000000000065</c:v>
                </c:pt>
                <c:pt idx="306">
                  <c:v>-2.9400000000000652</c:v>
                </c:pt>
                <c:pt idx="307">
                  <c:v>-2.9300000000000654</c:v>
                </c:pt>
                <c:pt idx="308">
                  <c:v>-2.9200000000000657</c:v>
                </c:pt>
                <c:pt idx="309">
                  <c:v>-2.9100000000000659</c:v>
                </c:pt>
                <c:pt idx="310">
                  <c:v>-2.9000000000000661</c:v>
                </c:pt>
                <c:pt idx="311">
                  <c:v>-2.8900000000000663</c:v>
                </c:pt>
                <c:pt idx="312">
                  <c:v>-2.8800000000000665</c:v>
                </c:pt>
                <c:pt idx="313">
                  <c:v>-2.8700000000000667</c:v>
                </c:pt>
                <c:pt idx="314">
                  <c:v>-2.8600000000000669</c:v>
                </c:pt>
                <c:pt idx="315">
                  <c:v>-2.8500000000000671</c:v>
                </c:pt>
                <c:pt idx="316">
                  <c:v>-2.8400000000000674</c:v>
                </c:pt>
                <c:pt idx="317">
                  <c:v>-2.8300000000000676</c:v>
                </c:pt>
                <c:pt idx="318">
                  <c:v>-2.8200000000000678</c:v>
                </c:pt>
                <c:pt idx="319">
                  <c:v>-2.810000000000068</c:v>
                </c:pt>
                <c:pt idx="320">
                  <c:v>-2.8000000000000682</c:v>
                </c:pt>
                <c:pt idx="321">
                  <c:v>-2.7900000000000684</c:v>
                </c:pt>
                <c:pt idx="322">
                  <c:v>-2.7800000000000686</c:v>
                </c:pt>
                <c:pt idx="323">
                  <c:v>-2.7700000000000689</c:v>
                </c:pt>
                <c:pt idx="324">
                  <c:v>-2.7600000000000691</c:v>
                </c:pt>
                <c:pt idx="325">
                  <c:v>-2.7500000000000693</c:v>
                </c:pt>
                <c:pt idx="326">
                  <c:v>-2.7400000000000695</c:v>
                </c:pt>
                <c:pt idx="327">
                  <c:v>-2.7300000000000697</c:v>
                </c:pt>
                <c:pt idx="328">
                  <c:v>-2.7200000000000699</c:v>
                </c:pt>
                <c:pt idx="329">
                  <c:v>-2.7100000000000701</c:v>
                </c:pt>
                <c:pt idx="330">
                  <c:v>-2.7000000000000703</c:v>
                </c:pt>
                <c:pt idx="331">
                  <c:v>-2.6900000000000706</c:v>
                </c:pt>
                <c:pt idx="332">
                  <c:v>-2.6800000000000708</c:v>
                </c:pt>
                <c:pt idx="333">
                  <c:v>-2.670000000000071</c:v>
                </c:pt>
                <c:pt idx="334">
                  <c:v>-2.6600000000000712</c:v>
                </c:pt>
                <c:pt idx="335">
                  <c:v>-2.6500000000000714</c:v>
                </c:pt>
                <c:pt idx="336">
                  <c:v>-2.6400000000000716</c:v>
                </c:pt>
                <c:pt idx="337">
                  <c:v>-2.6300000000000718</c:v>
                </c:pt>
                <c:pt idx="338">
                  <c:v>-2.620000000000072</c:v>
                </c:pt>
                <c:pt idx="339">
                  <c:v>-2.6100000000000723</c:v>
                </c:pt>
                <c:pt idx="340">
                  <c:v>-2.6000000000000725</c:v>
                </c:pt>
                <c:pt idx="341">
                  <c:v>-2.5900000000000727</c:v>
                </c:pt>
                <c:pt idx="342">
                  <c:v>-2.5800000000000729</c:v>
                </c:pt>
                <c:pt idx="343">
                  <c:v>-2.5700000000000731</c:v>
                </c:pt>
                <c:pt idx="344">
                  <c:v>-2.5600000000000733</c:v>
                </c:pt>
                <c:pt idx="345">
                  <c:v>-2.5500000000000735</c:v>
                </c:pt>
                <c:pt idx="346">
                  <c:v>-2.5400000000000738</c:v>
                </c:pt>
                <c:pt idx="347">
                  <c:v>-2.530000000000074</c:v>
                </c:pt>
                <c:pt idx="348">
                  <c:v>-2.5200000000000742</c:v>
                </c:pt>
                <c:pt idx="349">
                  <c:v>-2.5100000000000744</c:v>
                </c:pt>
                <c:pt idx="350">
                  <c:v>-2.5000000000000746</c:v>
                </c:pt>
                <c:pt idx="351">
                  <c:v>-2.4900000000000748</c:v>
                </c:pt>
                <c:pt idx="352">
                  <c:v>-2.480000000000075</c:v>
                </c:pt>
                <c:pt idx="353">
                  <c:v>-2.4700000000000752</c:v>
                </c:pt>
                <c:pt idx="354">
                  <c:v>-2.4600000000000755</c:v>
                </c:pt>
                <c:pt idx="355">
                  <c:v>-2.4500000000000757</c:v>
                </c:pt>
                <c:pt idx="356">
                  <c:v>-2.4400000000000759</c:v>
                </c:pt>
                <c:pt idx="357">
                  <c:v>-2.4300000000000761</c:v>
                </c:pt>
                <c:pt idx="358">
                  <c:v>-2.4200000000000763</c:v>
                </c:pt>
                <c:pt idx="359">
                  <c:v>-2.4100000000000765</c:v>
                </c:pt>
                <c:pt idx="360">
                  <c:v>-2.4000000000000767</c:v>
                </c:pt>
                <c:pt idx="361">
                  <c:v>-2.390000000000077</c:v>
                </c:pt>
                <c:pt idx="362">
                  <c:v>-2.3800000000000772</c:v>
                </c:pt>
                <c:pt idx="363">
                  <c:v>-2.3700000000000774</c:v>
                </c:pt>
                <c:pt idx="364">
                  <c:v>-2.3600000000000776</c:v>
                </c:pt>
                <c:pt idx="365">
                  <c:v>-2.3500000000000778</c:v>
                </c:pt>
                <c:pt idx="366">
                  <c:v>-2.340000000000078</c:v>
                </c:pt>
                <c:pt idx="367">
                  <c:v>-2.3300000000000782</c:v>
                </c:pt>
                <c:pt idx="368">
                  <c:v>-2.3200000000000784</c:v>
                </c:pt>
                <c:pt idx="369">
                  <c:v>-2.3100000000000787</c:v>
                </c:pt>
                <c:pt idx="370">
                  <c:v>-2.3000000000000789</c:v>
                </c:pt>
                <c:pt idx="371">
                  <c:v>-2.2900000000000791</c:v>
                </c:pt>
                <c:pt idx="372">
                  <c:v>-2.2800000000000793</c:v>
                </c:pt>
                <c:pt idx="373">
                  <c:v>-2.2700000000000795</c:v>
                </c:pt>
                <c:pt idx="374">
                  <c:v>-2.2600000000000797</c:v>
                </c:pt>
                <c:pt idx="375">
                  <c:v>-2.2500000000000799</c:v>
                </c:pt>
                <c:pt idx="376">
                  <c:v>-2.2400000000000801</c:v>
                </c:pt>
                <c:pt idx="377">
                  <c:v>-2.2300000000000804</c:v>
                </c:pt>
                <c:pt idx="378">
                  <c:v>-2.2200000000000806</c:v>
                </c:pt>
                <c:pt idx="379">
                  <c:v>-2.2100000000000808</c:v>
                </c:pt>
                <c:pt idx="380">
                  <c:v>-2.200000000000081</c:v>
                </c:pt>
                <c:pt idx="381">
                  <c:v>-2.1900000000000812</c:v>
                </c:pt>
                <c:pt idx="382">
                  <c:v>-2.1800000000000814</c:v>
                </c:pt>
                <c:pt idx="383">
                  <c:v>-2.1700000000000816</c:v>
                </c:pt>
                <c:pt idx="384">
                  <c:v>-2.1600000000000819</c:v>
                </c:pt>
                <c:pt idx="385">
                  <c:v>-2.1500000000000821</c:v>
                </c:pt>
                <c:pt idx="386">
                  <c:v>-2.1400000000000823</c:v>
                </c:pt>
                <c:pt idx="387">
                  <c:v>-2.1300000000000825</c:v>
                </c:pt>
                <c:pt idx="388">
                  <c:v>-2.1200000000000827</c:v>
                </c:pt>
                <c:pt idx="389">
                  <c:v>-2.1100000000000829</c:v>
                </c:pt>
                <c:pt idx="390">
                  <c:v>-2.1000000000000831</c:v>
                </c:pt>
                <c:pt idx="391">
                  <c:v>-2.0900000000000833</c:v>
                </c:pt>
                <c:pt idx="392">
                  <c:v>-2.0800000000000836</c:v>
                </c:pt>
                <c:pt idx="393">
                  <c:v>-2.0700000000000838</c:v>
                </c:pt>
                <c:pt idx="394">
                  <c:v>-2.060000000000084</c:v>
                </c:pt>
                <c:pt idx="395">
                  <c:v>-2.0500000000000842</c:v>
                </c:pt>
                <c:pt idx="396">
                  <c:v>-2.0400000000000844</c:v>
                </c:pt>
                <c:pt idx="397">
                  <c:v>-2.0300000000000846</c:v>
                </c:pt>
                <c:pt idx="398">
                  <c:v>-2.0200000000000848</c:v>
                </c:pt>
                <c:pt idx="399">
                  <c:v>-2.0100000000000851</c:v>
                </c:pt>
                <c:pt idx="400">
                  <c:v>-2.0000000000000853</c:v>
                </c:pt>
                <c:pt idx="401">
                  <c:v>-1.9900000000000853</c:v>
                </c:pt>
                <c:pt idx="402">
                  <c:v>-1.9800000000000852</c:v>
                </c:pt>
                <c:pt idx="403">
                  <c:v>-1.9700000000000852</c:v>
                </c:pt>
                <c:pt idx="404">
                  <c:v>-1.9600000000000852</c:v>
                </c:pt>
                <c:pt idx="405">
                  <c:v>-1.9500000000000852</c:v>
                </c:pt>
                <c:pt idx="406">
                  <c:v>-1.9400000000000852</c:v>
                </c:pt>
                <c:pt idx="407">
                  <c:v>-1.9300000000000852</c:v>
                </c:pt>
                <c:pt idx="408">
                  <c:v>-1.9200000000000852</c:v>
                </c:pt>
                <c:pt idx="409">
                  <c:v>-1.9100000000000852</c:v>
                </c:pt>
                <c:pt idx="410">
                  <c:v>-1.9000000000000852</c:v>
                </c:pt>
                <c:pt idx="411">
                  <c:v>-1.8900000000000852</c:v>
                </c:pt>
                <c:pt idx="412">
                  <c:v>-1.8800000000000852</c:v>
                </c:pt>
                <c:pt idx="413">
                  <c:v>-1.8700000000000851</c:v>
                </c:pt>
                <c:pt idx="414">
                  <c:v>-1.8600000000000851</c:v>
                </c:pt>
                <c:pt idx="415">
                  <c:v>-1.8500000000000851</c:v>
                </c:pt>
                <c:pt idx="416">
                  <c:v>-1.8400000000000851</c:v>
                </c:pt>
                <c:pt idx="417">
                  <c:v>-1.8300000000000851</c:v>
                </c:pt>
                <c:pt idx="418">
                  <c:v>-1.8200000000000851</c:v>
                </c:pt>
                <c:pt idx="419">
                  <c:v>-1.8100000000000851</c:v>
                </c:pt>
                <c:pt idx="420">
                  <c:v>-1.8000000000000851</c:v>
                </c:pt>
                <c:pt idx="421">
                  <c:v>-1.7900000000000851</c:v>
                </c:pt>
                <c:pt idx="422">
                  <c:v>-1.7800000000000851</c:v>
                </c:pt>
                <c:pt idx="423">
                  <c:v>-1.7700000000000851</c:v>
                </c:pt>
                <c:pt idx="424">
                  <c:v>-1.7600000000000851</c:v>
                </c:pt>
                <c:pt idx="425">
                  <c:v>-1.750000000000085</c:v>
                </c:pt>
                <c:pt idx="426">
                  <c:v>-1.740000000000085</c:v>
                </c:pt>
                <c:pt idx="427">
                  <c:v>-1.730000000000085</c:v>
                </c:pt>
                <c:pt idx="428">
                  <c:v>-1.720000000000085</c:v>
                </c:pt>
                <c:pt idx="429">
                  <c:v>-1.710000000000085</c:v>
                </c:pt>
                <c:pt idx="430">
                  <c:v>-1.700000000000085</c:v>
                </c:pt>
                <c:pt idx="431">
                  <c:v>-1.690000000000085</c:v>
                </c:pt>
                <c:pt idx="432">
                  <c:v>-1.680000000000085</c:v>
                </c:pt>
                <c:pt idx="433">
                  <c:v>-1.670000000000085</c:v>
                </c:pt>
                <c:pt idx="434">
                  <c:v>-1.660000000000085</c:v>
                </c:pt>
                <c:pt idx="435">
                  <c:v>-1.650000000000085</c:v>
                </c:pt>
                <c:pt idx="436">
                  <c:v>-1.6400000000000849</c:v>
                </c:pt>
                <c:pt idx="437">
                  <c:v>-1.6300000000000849</c:v>
                </c:pt>
                <c:pt idx="438">
                  <c:v>-1.6200000000000849</c:v>
                </c:pt>
                <c:pt idx="439">
                  <c:v>-1.6100000000000849</c:v>
                </c:pt>
                <c:pt idx="440">
                  <c:v>-1.6000000000000849</c:v>
                </c:pt>
                <c:pt idx="441">
                  <c:v>-1.5900000000000849</c:v>
                </c:pt>
                <c:pt idx="442">
                  <c:v>-1.5800000000000849</c:v>
                </c:pt>
                <c:pt idx="443">
                  <c:v>-1.5700000000000849</c:v>
                </c:pt>
                <c:pt idx="444">
                  <c:v>-1.5600000000000849</c:v>
                </c:pt>
                <c:pt idx="445">
                  <c:v>-1.5500000000000849</c:v>
                </c:pt>
                <c:pt idx="446">
                  <c:v>-1.5400000000000849</c:v>
                </c:pt>
                <c:pt idx="447">
                  <c:v>-1.5300000000000848</c:v>
                </c:pt>
                <c:pt idx="448">
                  <c:v>-1.5200000000000848</c:v>
                </c:pt>
                <c:pt idx="449">
                  <c:v>-1.5100000000000848</c:v>
                </c:pt>
                <c:pt idx="450">
                  <c:v>-1.5000000000000848</c:v>
                </c:pt>
                <c:pt idx="451">
                  <c:v>-1.4900000000000848</c:v>
                </c:pt>
                <c:pt idx="452">
                  <c:v>-1.4800000000000848</c:v>
                </c:pt>
                <c:pt idx="453">
                  <c:v>-1.4700000000000848</c:v>
                </c:pt>
                <c:pt idx="454">
                  <c:v>-1.4600000000000848</c:v>
                </c:pt>
                <c:pt idx="455">
                  <c:v>-1.4500000000000848</c:v>
                </c:pt>
                <c:pt idx="456">
                  <c:v>-1.4400000000000848</c:v>
                </c:pt>
                <c:pt idx="457">
                  <c:v>-1.4300000000000848</c:v>
                </c:pt>
                <c:pt idx="458">
                  <c:v>-1.4200000000000847</c:v>
                </c:pt>
                <c:pt idx="459">
                  <c:v>-1.4100000000000847</c:v>
                </c:pt>
                <c:pt idx="460">
                  <c:v>-1.4000000000000847</c:v>
                </c:pt>
                <c:pt idx="461">
                  <c:v>-1.3900000000000847</c:v>
                </c:pt>
                <c:pt idx="462">
                  <c:v>-1.3800000000000847</c:v>
                </c:pt>
                <c:pt idx="463">
                  <c:v>-1.3700000000000847</c:v>
                </c:pt>
                <c:pt idx="464">
                  <c:v>-1.3600000000000847</c:v>
                </c:pt>
                <c:pt idx="465">
                  <c:v>-1.3500000000000847</c:v>
                </c:pt>
                <c:pt idx="466">
                  <c:v>-1.3400000000000847</c:v>
                </c:pt>
                <c:pt idx="467">
                  <c:v>-1.3300000000000847</c:v>
                </c:pt>
                <c:pt idx="468">
                  <c:v>-1.3200000000000847</c:v>
                </c:pt>
                <c:pt idx="469">
                  <c:v>-1.3100000000000847</c:v>
                </c:pt>
                <c:pt idx="470">
                  <c:v>-1.3000000000000846</c:v>
                </c:pt>
                <c:pt idx="471">
                  <c:v>-1.2900000000000846</c:v>
                </c:pt>
                <c:pt idx="472">
                  <c:v>-1.2800000000000846</c:v>
                </c:pt>
                <c:pt idx="473">
                  <c:v>-1.2700000000000846</c:v>
                </c:pt>
                <c:pt idx="474">
                  <c:v>-1.2600000000000846</c:v>
                </c:pt>
                <c:pt idx="475">
                  <c:v>-1.2500000000000846</c:v>
                </c:pt>
                <c:pt idx="476">
                  <c:v>-1.2400000000000846</c:v>
                </c:pt>
                <c:pt idx="477">
                  <c:v>-1.2300000000000846</c:v>
                </c:pt>
                <c:pt idx="478">
                  <c:v>-1.2200000000000846</c:v>
                </c:pt>
                <c:pt idx="479">
                  <c:v>-1.2100000000000846</c:v>
                </c:pt>
                <c:pt idx="480">
                  <c:v>-1.2000000000000846</c:v>
                </c:pt>
                <c:pt idx="481">
                  <c:v>-1.1900000000000845</c:v>
                </c:pt>
                <c:pt idx="482">
                  <c:v>-1.1800000000000845</c:v>
                </c:pt>
                <c:pt idx="483">
                  <c:v>-1.1700000000000845</c:v>
                </c:pt>
                <c:pt idx="484">
                  <c:v>-1.1600000000000845</c:v>
                </c:pt>
                <c:pt idx="485">
                  <c:v>-1.1500000000000845</c:v>
                </c:pt>
                <c:pt idx="486">
                  <c:v>-1.1400000000000845</c:v>
                </c:pt>
                <c:pt idx="487">
                  <c:v>-1.1300000000000845</c:v>
                </c:pt>
                <c:pt idx="488">
                  <c:v>-1.1200000000000845</c:v>
                </c:pt>
                <c:pt idx="489">
                  <c:v>-1.1100000000000845</c:v>
                </c:pt>
                <c:pt idx="490">
                  <c:v>-1.1000000000000845</c:v>
                </c:pt>
                <c:pt idx="491">
                  <c:v>-1.0900000000000845</c:v>
                </c:pt>
                <c:pt idx="492">
                  <c:v>-1.0800000000000844</c:v>
                </c:pt>
                <c:pt idx="493">
                  <c:v>-1.0700000000000844</c:v>
                </c:pt>
                <c:pt idx="494">
                  <c:v>-1.0600000000000844</c:v>
                </c:pt>
                <c:pt idx="495">
                  <c:v>-1.0500000000000844</c:v>
                </c:pt>
                <c:pt idx="496">
                  <c:v>-1.0400000000000844</c:v>
                </c:pt>
                <c:pt idx="497">
                  <c:v>-1.0300000000000844</c:v>
                </c:pt>
                <c:pt idx="498">
                  <c:v>-1.0200000000000844</c:v>
                </c:pt>
                <c:pt idx="499">
                  <c:v>-1.0100000000000844</c:v>
                </c:pt>
                <c:pt idx="500">
                  <c:v>-1.0000000000000844</c:v>
                </c:pt>
                <c:pt idx="501">
                  <c:v>-0.99000000000008437</c:v>
                </c:pt>
                <c:pt idx="502">
                  <c:v>-0.98000000000008436</c:v>
                </c:pt>
                <c:pt idx="503">
                  <c:v>-0.97000000000008435</c:v>
                </c:pt>
                <c:pt idx="504">
                  <c:v>-0.96000000000008434</c:v>
                </c:pt>
                <c:pt idx="505">
                  <c:v>-0.95000000000008433</c:v>
                </c:pt>
                <c:pt idx="506">
                  <c:v>-0.94000000000008432</c:v>
                </c:pt>
                <c:pt idx="507">
                  <c:v>-0.93000000000008431</c:v>
                </c:pt>
                <c:pt idx="508">
                  <c:v>-0.92000000000008431</c:v>
                </c:pt>
                <c:pt idx="509">
                  <c:v>-0.9100000000000843</c:v>
                </c:pt>
                <c:pt idx="510">
                  <c:v>-0.90000000000008429</c:v>
                </c:pt>
                <c:pt idx="511">
                  <c:v>-0.89000000000008428</c:v>
                </c:pt>
                <c:pt idx="512">
                  <c:v>-0.88000000000008427</c:v>
                </c:pt>
                <c:pt idx="513">
                  <c:v>-0.87000000000008426</c:v>
                </c:pt>
                <c:pt idx="514">
                  <c:v>-0.86000000000008425</c:v>
                </c:pt>
                <c:pt idx="515">
                  <c:v>-0.85000000000008424</c:v>
                </c:pt>
                <c:pt idx="516">
                  <c:v>-0.84000000000008423</c:v>
                </c:pt>
                <c:pt idx="517">
                  <c:v>-0.83000000000008423</c:v>
                </c:pt>
                <c:pt idx="518">
                  <c:v>-0.82000000000008422</c:v>
                </c:pt>
                <c:pt idx="519">
                  <c:v>-0.81000000000008421</c:v>
                </c:pt>
                <c:pt idx="520">
                  <c:v>-0.8000000000000842</c:v>
                </c:pt>
                <c:pt idx="521">
                  <c:v>-0.79000000000008419</c:v>
                </c:pt>
                <c:pt idx="522">
                  <c:v>-0.78000000000008418</c:v>
                </c:pt>
                <c:pt idx="523">
                  <c:v>-0.77000000000008417</c:v>
                </c:pt>
                <c:pt idx="524">
                  <c:v>-0.76000000000008416</c:v>
                </c:pt>
                <c:pt idx="525">
                  <c:v>-0.75000000000008415</c:v>
                </c:pt>
                <c:pt idx="526">
                  <c:v>-0.74000000000008415</c:v>
                </c:pt>
                <c:pt idx="527">
                  <c:v>-0.73000000000008414</c:v>
                </c:pt>
                <c:pt idx="528">
                  <c:v>-0.72000000000008413</c:v>
                </c:pt>
                <c:pt idx="529">
                  <c:v>-0.71000000000008412</c:v>
                </c:pt>
                <c:pt idx="530">
                  <c:v>-0.70000000000008411</c:v>
                </c:pt>
                <c:pt idx="531">
                  <c:v>-0.6900000000000841</c:v>
                </c:pt>
                <c:pt idx="532">
                  <c:v>-0.68000000000008409</c:v>
                </c:pt>
                <c:pt idx="533">
                  <c:v>-0.67000000000008408</c:v>
                </c:pt>
                <c:pt idx="534">
                  <c:v>-0.66000000000008407</c:v>
                </c:pt>
                <c:pt idx="535">
                  <c:v>-0.65000000000008407</c:v>
                </c:pt>
                <c:pt idx="536">
                  <c:v>-0.64000000000008406</c:v>
                </c:pt>
                <c:pt idx="537">
                  <c:v>-0.63000000000008405</c:v>
                </c:pt>
                <c:pt idx="538">
                  <c:v>-0.62000000000008404</c:v>
                </c:pt>
                <c:pt idx="539">
                  <c:v>-0.61000000000008403</c:v>
                </c:pt>
                <c:pt idx="540">
                  <c:v>-0.60000000000008402</c:v>
                </c:pt>
                <c:pt idx="541">
                  <c:v>-0.59000000000008401</c:v>
                </c:pt>
                <c:pt idx="542">
                  <c:v>-0.580000000000084</c:v>
                </c:pt>
                <c:pt idx="543">
                  <c:v>-0.570000000000084</c:v>
                </c:pt>
                <c:pt idx="544">
                  <c:v>-0.56000000000008399</c:v>
                </c:pt>
                <c:pt idx="545">
                  <c:v>-0.55000000000008398</c:v>
                </c:pt>
                <c:pt idx="546">
                  <c:v>-0.54000000000008397</c:v>
                </c:pt>
                <c:pt idx="547">
                  <c:v>-0.53000000000008396</c:v>
                </c:pt>
                <c:pt idx="548">
                  <c:v>-0.52000000000008395</c:v>
                </c:pt>
                <c:pt idx="549">
                  <c:v>-0.51000000000008394</c:v>
                </c:pt>
                <c:pt idx="550">
                  <c:v>-0.50000000000008393</c:v>
                </c:pt>
                <c:pt idx="551">
                  <c:v>-0.49000000000008392</c:v>
                </c:pt>
                <c:pt idx="552">
                  <c:v>-0.48000000000008392</c:v>
                </c:pt>
                <c:pt idx="553">
                  <c:v>-0.47000000000008391</c:v>
                </c:pt>
                <c:pt idx="554">
                  <c:v>-0.4600000000000839</c:v>
                </c:pt>
                <c:pt idx="555">
                  <c:v>-0.45000000000008389</c:v>
                </c:pt>
                <c:pt idx="556">
                  <c:v>-0.44000000000008388</c:v>
                </c:pt>
                <c:pt idx="557">
                  <c:v>-0.43000000000008387</c:v>
                </c:pt>
                <c:pt idx="558">
                  <c:v>-0.42000000000008386</c:v>
                </c:pt>
                <c:pt idx="559">
                  <c:v>-0.41000000000008385</c:v>
                </c:pt>
                <c:pt idx="560">
                  <c:v>-0.40000000000008384</c:v>
                </c:pt>
                <c:pt idx="561">
                  <c:v>-0.39000000000008384</c:v>
                </c:pt>
                <c:pt idx="562">
                  <c:v>-0.38000000000008383</c:v>
                </c:pt>
                <c:pt idx="563">
                  <c:v>-0.37000000000008382</c:v>
                </c:pt>
                <c:pt idx="564">
                  <c:v>-0.36000000000008381</c:v>
                </c:pt>
                <c:pt idx="565">
                  <c:v>-0.3500000000000838</c:v>
                </c:pt>
                <c:pt idx="566">
                  <c:v>-0.34000000000008379</c:v>
                </c:pt>
                <c:pt idx="567">
                  <c:v>-0.33000000000008378</c:v>
                </c:pt>
                <c:pt idx="568">
                  <c:v>-0.32000000000008377</c:v>
                </c:pt>
                <c:pt idx="569">
                  <c:v>-0.31000000000008376</c:v>
                </c:pt>
                <c:pt idx="570">
                  <c:v>-0.30000000000008376</c:v>
                </c:pt>
                <c:pt idx="571">
                  <c:v>-0.29000000000008375</c:v>
                </c:pt>
                <c:pt idx="572">
                  <c:v>-0.28000000000008374</c:v>
                </c:pt>
                <c:pt idx="573">
                  <c:v>-0.27000000000008373</c:v>
                </c:pt>
                <c:pt idx="574">
                  <c:v>-0.26000000000008372</c:v>
                </c:pt>
                <c:pt idx="575">
                  <c:v>-0.25000000000008371</c:v>
                </c:pt>
                <c:pt idx="576">
                  <c:v>-0.2400000000000837</c:v>
                </c:pt>
                <c:pt idx="577">
                  <c:v>-0.23000000000008369</c:v>
                </c:pt>
                <c:pt idx="578">
                  <c:v>-0.22000000000008368</c:v>
                </c:pt>
                <c:pt idx="579">
                  <c:v>-0.21000000000008368</c:v>
                </c:pt>
                <c:pt idx="580">
                  <c:v>-0.20000000000008367</c:v>
                </c:pt>
                <c:pt idx="581">
                  <c:v>-0.19000000000008366</c:v>
                </c:pt>
                <c:pt idx="582">
                  <c:v>-0.18000000000008365</c:v>
                </c:pt>
                <c:pt idx="583">
                  <c:v>-0.17000000000008364</c:v>
                </c:pt>
                <c:pt idx="584">
                  <c:v>-0.16000000000008363</c:v>
                </c:pt>
                <c:pt idx="585">
                  <c:v>-0.15000000000008362</c:v>
                </c:pt>
                <c:pt idx="586">
                  <c:v>-0.14000000000008361</c:v>
                </c:pt>
                <c:pt idx="587">
                  <c:v>-0.1300000000000836</c:v>
                </c:pt>
                <c:pt idx="588">
                  <c:v>-0.12000000000008361</c:v>
                </c:pt>
                <c:pt idx="589">
                  <c:v>-0.11000000000008361</c:v>
                </c:pt>
                <c:pt idx="590">
                  <c:v>-0.10000000000008362</c:v>
                </c:pt>
                <c:pt idx="591">
                  <c:v>-9.0000000000083624E-2</c:v>
                </c:pt>
                <c:pt idx="592">
                  <c:v>-8.0000000000083629E-2</c:v>
                </c:pt>
                <c:pt idx="593">
                  <c:v>-7.0000000000083634E-2</c:v>
                </c:pt>
                <c:pt idx="594">
                  <c:v>-6.0000000000083632E-2</c:v>
                </c:pt>
                <c:pt idx="595">
                  <c:v>-5.000000000008363E-2</c:v>
                </c:pt>
                <c:pt idx="596">
                  <c:v>-4.0000000000083628E-2</c:v>
                </c:pt>
                <c:pt idx="597">
                  <c:v>-3.0000000000083626E-2</c:v>
                </c:pt>
                <c:pt idx="598">
                  <c:v>-2.0000000000083624E-2</c:v>
                </c:pt>
                <c:pt idx="599">
                  <c:v>-1.0000000000083624E-2</c:v>
                </c:pt>
                <c:pt idx="600">
                  <c:v>-8.3624079882937963E-14</c:v>
                </c:pt>
                <c:pt idx="601">
                  <c:v>9.9999999999163761E-3</c:v>
                </c:pt>
                <c:pt idx="602">
                  <c:v>1.9999999999916376E-2</c:v>
                </c:pt>
                <c:pt idx="603">
                  <c:v>2.9999999999916378E-2</c:v>
                </c:pt>
                <c:pt idx="604">
                  <c:v>3.999999999991638E-2</c:v>
                </c:pt>
                <c:pt idx="605">
                  <c:v>4.9999999999916382E-2</c:v>
                </c:pt>
                <c:pt idx="606">
                  <c:v>5.9999999999916384E-2</c:v>
                </c:pt>
                <c:pt idx="607">
                  <c:v>6.9999999999916379E-2</c:v>
                </c:pt>
                <c:pt idx="608">
                  <c:v>7.9999999999916374E-2</c:v>
                </c:pt>
                <c:pt idx="609">
                  <c:v>8.9999999999916369E-2</c:v>
                </c:pt>
                <c:pt idx="610">
                  <c:v>9.9999999999916364E-2</c:v>
                </c:pt>
                <c:pt idx="611">
                  <c:v>0.10999999999991636</c:v>
                </c:pt>
                <c:pt idx="612">
                  <c:v>0.11999999999991635</c:v>
                </c:pt>
                <c:pt idx="613">
                  <c:v>0.12999999999991635</c:v>
                </c:pt>
                <c:pt idx="614">
                  <c:v>0.13999999999991636</c:v>
                </c:pt>
                <c:pt idx="615">
                  <c:v>0.14999999999991637</c:v>
                </c:pt>
                <c:pt idx="616">
                  <c:v>0.15999999999991638</c:v>
                </c:pt>
                <c:pt idx="617">
                  <c:v>0.16999999999991638</c:v>
                </c:pt>
                <c:pt idx="618">
                  <c:v>0.17999999999991639</c:v>
                </c:pt>
                <c:pt idx="619">
                  <c:v>0.1899999999999164</c:v>
                </c:pt>
                <c:pt idx="620">
                  <c:v>0.19999999999991641</c:v>
                </c:pt>
                <c:pt idx="621">
                  <c:v>0.20999999999991642</c:v>
                </c:pt>
                <c:pt idx="622">
                  <c:v>0.21999999999991643</c:v>
                </c:pt>
                <c:pt idx="623">
                  <c:v>0.22999999999991644</c:v>
                </c:pt>
                <c:pt idx="624">
                  <c:v>0.23999999999991645</c:v>
                </c:pt>
                <c:pt idx="625">
                  <c:v>0.24999999999991646</c:v>
                </c:pt>
                <c:pt idx="626">
                  <c:v>0.25999999999991646</c:v>
                </c:pt>
                <c:pt idx="627">
                  <c:v>0.26999999999991647</c:v>
                </c:pt>
                <c:pt idx="628">
                  <c:v>0.27999999999991648</c:v>
                </c:pt>
                <c:pt idx="629">
                  <c:v>0.28999999999991649</c:v>
                </c:pt>
                <c:pt idx="630">
                  <c:v>0.2999999999999165</c:v>
                </c:pt>
                <c:pt idx="631">
                  <c:v>0.30999999999991651</c:v>
                </c:pt>
                <c:pt idx="632">
                  <c:v>0.31999999999991652</c:v>
                </c:pt>
                <c:pt idx="633">
                  <c:v>0.32999999999991653</c:v>
                </c:pt>
                <c:pt idx="634">
                  <c:v>0.33999999999991654</c:v>
                </c:pt>
                <c:pt idx="635">
                  <c:v>0.34999999999991654</c:v>
                </c:pt>
                <c:pt idx="636">
                  <c:v>0.35999999999991655</c:v>
                </c:pt>
                <c:pt idx="637">
                  <c:v>0.36999999999991656</c:v>
                </c:pt>
                <c:pt idx="638">
                  <c:v>0.37999999999991657</c:v>
                </c:pt>
                <c:pt idx="639">
                  <c:v>0.38999999999991658</c:v>
                </c:pt>
                <c:pt idx="640">
                  <c:v>0.39999999999991659</c:v>
                </c:pt>
                <c:pt idx="641">
                  <c:v>0.4099999999999166</c:v>
                </c:pt>
                <c:pt idx="642">
                  <c:v>0.41999999999991661</c:v>
                </c:pt>
                <c:pt idx="643">
                  <c:v>0.42999999999991662</c:v>
                </c:pt>
                <c:pt idx="644">
                  <c:v>0.43999999999991662</c:v>
                </c:pt>
                <c:pt idx="645">
                  <c:v>0.44999999999991663</c:v>
                </c:pt>
                <c:pt idx="646">
                  <c:v>0.45999999999991664</c:v>
                </c:pt>
                <c:pt idx="647">
                  <c:v>0.46999999999991665</c:v>
                </c:pt>
                <c:pt idx="648">
                  <c:v>0.47999999999991666</c:v>
                </c:pt>
                <c:pt idx="649">
                  <c:v>0.48999999999991667</c:v>
                </c:pt>
                <c:pt idx="650">
                  <c:v>0.49999999999991668</c:v>
                </c:pt>
                <c:pt idx="651">
                  <c:v>0.50999999999991663</c:v>
                </c:pt>
                <c:pt idx="652">
                  <c:v>0.51999999999991664</c:v>
                </c:pt>
                <c:pt idx="653">
                  <c:v>0.52999999999991665</c:v>
                </c:pt>
                <c:pt idx="654">
                  <c:v>0.53999999999991666</c:v>
                </c:pt>
                <c:pt idx="655">
                  <c:v>0.54999999999991667</c:v>
                </c:pt>
                <c:pt idx="656">
                  <c:v>0.55999999999991668</c:v>
                </c:pt>
                <c:pt idx="657">
                  <c:v>0.56999999999991668</c:v>
                </c:pt>
                <c:pt idx="658">
                  <c:v>0.57999999999991669</c:v>
                </c:pt>
                <c:pt idx="659">
                  <c:v>0.5899999999999167</c:v>
                </c:pt>
                <c:pt idx="660">
                  <c:v>0.59999999999991671</c:v>
                </c:pt>
                <c:pt idx="661">
                  <c:v>0.60999999999991672</c:v>
                </c:pt>
                <c:pt idx="662">
                  <c:v>0.61999999999991673</c:v>
                </c:pt>
                <c:pt idx="663">
                  <c:v>0.62999999999991674</c:v>
                </c:pt>
                <c:pt idx="664">
                  <c:v>0.63999999999991675</c:v>
                </c:pt>
                <c:pt idx="665">
                  <c:v>0.64999999999991676</c:v>
                </c:pt>
                <c:pt idx="666">
                  <c:v>0.65999999999991676</c:v>
                </c:pt>
                <c:pt idx="667">
                  <c:v>0.66999999999991677</c:v>
                </c:pt>
                <c:pt idx="668">
                  <c:v>0.67999999999991678</c:v>
                </c:pt>
                <c:pt idx="669">
                  <c:v>0.68999999999991679</c:v>
                </c:pt>
                <c:pt idx="670">
                  <c:v>0.6999999999999168</c:v>
                </c:pt>
                <c:pt idx="671">
                  <c:v>0.70999999999991681</c:v>
                </c:pt>
                <c:pt idx="672">
                  <c:v>0.71999999999991682</c:v>
                </c:pt>
                <c:pt idx="673">
                  <c:v>0.72999999999991683</c:v>
                </c:pt>
                <c:pt idx="674">
                  <c:v>0.73999999999991684</c:v>
                </c:pt>
                <c:pt idx="675">
                  <c:v>0.74999999999991684</c:v>
                </c:pt>
                <c:pt idx="676">
                  <c:v>0.75999999999991685</c:v>
                </c:pt>
                <c:pt idx="677">
                  <c:v>0.76999999999991686</c:v>
                </c:pt>
                <c:pt idx="678">
                  <c:v>0.77999999999991687</c:v>
                </c:pt>
                <c:pt idx="679">
                  <c:v>0.78999999999991688</c:v>
                </c:pt>
                <c:pt idx="680">
                  <c:v>0.79999999999991689</c:v>
                </c:pt>
                <c:pt idx="681">
                  <c:v>0.8099999999999169</c:v>
                </c:pt>
                <c:pt idx="682">
                  <c:v>0.81999999999991691</c:v>
                </c:pt>
                <c:pt idx="683">
                  <c:v>0.82999999999991692</c:v>
                </c:pt>
                <c:pt idx="684">
                  <c:v>0.83999999999991692</c:v>
                </c:pt>
                <c:pt idx="685">
                  <c:v>0.84999999999991693</c:v>
                </c:pt>
                <c:pt idx="686">
                  <c:v>0.85999999999991694</c:v>
                </c:pt>
                <c:pt idx="687">
                  <c:v>0.86999999999991695</c:v>
                </c:pt>
                <c:pt idx="688">
                  <c:v>0.87999999999991696</c:v>
                </c:pt>
                <c:pt idx="689">
                  <c:v>0.88999999999991697</c:v>
                </c:pt>
                <c:pt idx="690">
                  <c:v>0.89999999999991698</c:v>
                </c:pt>
                <c:pt idx="691">
                  <c:v>0.90999999999991699</c:v>
                </c:pt>
                <c:pt idx="692">
                  <c:v>0.919999999999917</c:v>
                </c:pt>
                <c:pt idx="693">
                  <c:v>0.929999999999917</c:v>
                </c:pt>
                <c:pt idx="694">
                  <c:v>0.93999999999991701</c:v>
                </c:pt>
                <c:pt idx="695">
                  <c:v>0.94999999999991702</c:v>
                </c:pt>
                <c:pt idx="696">
                  <c:v>0.95999999999991703</c:v>
                </c:pt>
                <c:pt idx="697">
                  <c:v>0.96999999999991704</c:v>
                </c:pt>
                <c:pt idx="698">
                  <c:v>0.97999999999991705</c:v>
                </c:pt>
                <c:pt idx="699">
                  <c:v>0.98999999999991706</c:v>
                </c:pt>
                <c:pt idx="700">
                  <c:v>0.99999999999991707</c:v>
                </c:pt>
                <c:pt idx="701">
                  <c:v>1.009999999999917</c:v>
                </c:pt>
                <c:pt idx="702">
                  <c:v>1.019999999999917</c:v>
                </c:pt>
                <c:pt idx="703">
                  <c:v>1.029999999999917</c:v>
                </c:pt>
                <c:pt idx="704">
                  <c:v>1.039999999999917</c:v>
                </c:pt>
                <c:pt idx="705">
                  <c:v>1.049999999999917</c:v>
                </c:pt>
                <c:pt idx="706">
                  <c:v>1.059999999999917</c:v>
                </c:pt>
                <c:pt idx="707">
                  <c:v>1.069999999999917</c:v>
                </c:pt>
                <c:pt idx="708">
                  <c:v>1.079999999999917</c:v>
                </c:pt>
                <c:pt idx="709">
                  <c:v>1.089999999999917</c:v>
                </c:pt>
                <c:pt idx="710">
                  <c:v>1.099999999999917</c:v>
                </c:pt>
                <c:pt idx="711">
                  <c:v>1.1099999999999171</c:v>
                </c:pt>
                <c:pt idx="712">
                  <c:v>1.1199999999999171</c:v>
                </c:pt>
                <c:pt idx="713">
                  <c:v>1.1299999999999171</c:v>
                </c:pt>
                <c:pt idx="714">
                  <c:v>1.1399999999999171</c:v>
                </c:pt>
                <c:pt idx="715">
                  <c:v>1.1499999999999171</c:v>
                </c:pt>
                <c:pt idx="716">
                  <c:v>1.1599999999999171</c:v>
                </c:pt>
                <c:pt idx="717">
                  <c:v>1.1699999999999171</c:v>
                </c:pt>
                <c:pt idx="718">
                  <c:v>1.1799999999999171</c:v>
                </c:pt>
                <c:pt idx="719">
                  <c:v>1.1899999999999171</c:v>
                </c:pt>
                <c:pt idx="720">
                  <c:v>1.1999999999999171</c:v>
                </c:pt>
                <c:pt idx="721">
                  <c:v>1.2099999999999171</c:v>
                </c:pt>
                <c:pt idx="722">
                  <c:v>1.2199999999999172</c:v>
                </c:pt>
                <c:pt idx="723">
                  <c:v>1.2299999999999172</c:v>
                </c:pt>
                <c:pt idx="724">
                  <c:v>1.2399999999999172</c:v>
                </c:pt>
                <c:pt idx="725">
                  <c:v>1.2499999999999172</c:v>
                </c:pt>
                <c:pt idx="726">
                  <c:v>1.2599999999999172</c:v>
                </c:pt>
                <c:pt idx="727">
                  <c:v>1.2699999999999172</c:v>
                </c:pt>
                <c:pt idx="728">
                  <c:v>1.2799999999999172</c:v>
                </c:pt>
                <c:pt idx="729">
                  <c:v>1.2899999999999172</c:v>
                </c:pt>
                <c:pt idx="730">
                  <c:v>1.2999999999999172</c:v>
                </c:pt>
                <c:pt idx="731">
                  <c:v>1.3099999999999172</c:v>
                </c:pt>
                <c:pt idx="732">
                  <c:v>1.3199999999999172</c:v>
                </c:pt>
                <c:pt idx="733">
                  <c:v>1.3299999999999172</c:v>
                </c:pt>
                <c:pt idx="734">
                  <c:v>1.3399999999999173</c:v>
                </c:pt>
                <c:pt idx="735">
                  <c:v>1.3499999999999173</c:v>
                </c:pt>
                <c:pt idx="736">
                  <c:v>1.3599999999999173</c:v>
                </c:pt>
                <c:pt idx="737">
                  <c:v>1.3699999999999173</c:v>
                </c:pt>
                <c:pt idx="738">
                  <c:v>1.3799999999999173</c:v>
                </c:pt>
                <c:pt idx="739">
                  <c:v>1.3899999999999173</c:v>
                </c:pt>
                <c:pt idx="740">
                  <c:v>1.3999999999999173</c:v>
                </c:pt>
                <c:pt idx="741">
                  <c:v>1.4099999999999173</c:v>
                </c:pt>
                <c:pt idx="742">
                  <c:v>1.4199999999999173</c:v>
                </c:pt>
                <c:pt idx="743">
                  <c:v>1.4299999999999173</c:v>
                </c:pt>
                <c:pt idx="744">
                  <c:v>1.4399999999999173</c:v>
                </c:pt>
                <c:pt idx="745">
                  <c:v>1.4499999999999174</c:v>
                </c:pt>
                <c:pt idx="746">
                  <c:v>1.4599999999999174</c:v>
                </c:pt>
                <c:pt idx="747">
                  <c:v>1.4699999999999174</c:v>
                </c:pt>
                <c:pt idx="748">
                  <c:v>1.4799999999999174</c:v>
                </c:pt>
                <c:pt idx="749">
                  <c:v>1.4899999999999174</c:v>
                </c:pt>
                <c:pt idx="750">
                  <c:v>1.4999999999999174</c:v>
                </c:pt>
                <c:pt idx="751">
                  <c:v>1.5099999999999174</c:v>
                </c:pt>
                <c:pt idx="752">
                  <c:v>1.5199999999999174</c:v>
                </c:pt>
                <c:pt idx="753">
                  <c:v>1.5299999999999174</c:v>
                </c:pt>
                <c:pt idx="754">
                  <c:v>1.5399999999999174</c:v>
                </c:pt>
                <c:pt idx="755">
                  <c:v>1.5499999999999174</c:v>
                </c:pt>
                <c:pt idx="756">
                  <c:v>1.5599999999999175</c:v>
                </c:pt>
                <c:pt idx="757">
                  <c:v>1.5699999999999175</c:v>
                </c:pt>
                <c:pt idx="758">
                  <c:v>1.5799999999999175</c:v>
                </c:pt>
                <c:pt idx="759">
                  <c:v>1.5899999999999175</c:v>
                </c:pt>
                <c:pt idx="760">
                  <c:v>1.5999999999999175</c:v>
                </c:pt>
                <c:pt idx="761">
                  <c:v>1.6099999999999175</c:v>
                </c:pt>
                <c:pt idx="762">
                  <c:v>1.6199999999999175</c:v>
                </c:pt>
                <c:pt idx="763">
                  <c:v>1.6299999999999175</c:v>
                </c:pt>
                <c:pt idx="764">
                  <c:v>1.6399999999999175</c:v>
                </c:pt>
                <c:pt idx="765">
                  <c:v>1.6499999999999175</c:v>
                </c:pt>
                <c:pt idx="766">
                  <c:v>1.6599999999999175</c:v>
                </c:pt>
                <c:pt idx="767">
                  <c:v>1.6699999999999176</c:v>
                </c:pt>
                <c:pt idx="768">
                  <c:v>1.6799999999999176</c:v>
                </c:pt>
                <c:pt idx="769">
                  <c:v>1.6899999999999176</c:v>
                </c:pt>
                <c:pt idx="770">
                  <c:v>1.6999999999999176</c:v>
                </c:pt>
                <c:pt idx="771">
                  <c:v>1.7099999999999176</c:v>
                </c:pt>
                <c:pt idx="772">
                  <c:v>1.7199999999999176</c:v>
                </c:pt>
                <c:pt idx="773">
                  <c:v>1.7299999999999176</c:v>
                </c:pt>
                <c:pt idx="774">
                  <c:v>1.7399999999999176</c:v>
                </c:pt>
                <c:pt idx="775">
                  <c:v>1.7499999999999176</c:v>
                </c:pt>
                <c:pt idx="776">
                  <c:v>1.7599999999999176</c:v>
                </c:pt>
                <c:pt idx="777">
                  <c:v>1.7699999999999176</c:v>
                </c:pt>
                <c:pt idx="778">
                  <c:v>1.7799999999999176</c:v>
                </c:pt>
                <c:pt idx="779">
                  <c:v>1.7899999999999177</c:v>
                </c:pt>
                <c:pt idx="780">
                  <c:v>1.7999999999999177</c:v>
                </c:pt>
                <c:pt idx="781">
                  <c:v>1.8099999999999177</c:v>
                </c:pt>
                <c:pt idx="782">
                  <c:v>1.8199999999999177</c:v>
                </c:pt>
                <c:pt idx="783">
                  <c:v>1.8299999999999177</c:v>
                </c:pt>
                <c:pt idx="784">
                  <c:v>1.8399999999999177</c:v>
                </c:pt>
                <c:pt idx="785">
                  <c:v>1.8499999999999177</c:v>
                </c:pt>
                <c:pt idx="786">
                  <c:v>1.8599999999999177</c:v>
                </c:pt>
                <c:pt idx="787">
                  <c:v>1.8699999999999177</c:v>
                </c:pt>
                <c:pt idx="788">
                  <c:v>1.8799999999999177</c:v>
                </c:pt>
                <c:pt idx="789">
                  <c:v>1.8899999999999177</c:v>
                </c:pt>
                <c:pt idx="790">
                  <c:v>1.8999999999999178</c:v>
                </c:pt>
                <c:pt idx="791">
                  <c:v>1.9099999999999178</c:v>
                </c:pt>
                <c:pt idx="792">
                  <c:v>1.9199999999999178</c:v>
                </c:pt>
                <c:pt idx="793">
                  <c:v>1.9299999999999178</c:v>
                </c:pt>
                <c:pt idx="794">
                  <c:v>1.9399999999999178</c:v>
                </c:pt>
                <c:pt idx="795">
                  <c:v>1.9499999999999178</c:v>
                </c:pt>
                <c:pt idx="796">
                  <c:v>1.9599999999999178</c:v>
                </c:pt>
                <c:pt idx="797">
                  <c:v>1.9699999999999178</c:v>
                </c:pt>
                <c:pt idx="798">
                  <c:v>1.9799999999999178</c:v>
                </c:pt>
                <c:pt idx="799">
                  <c:v>1.9899999999999178</c:v>
                </c:pt>
                <c:pt idx="800">
                  <c:v>1.9999999999999178</c:v>
                </c:pt>
                <c:pt idx="801">
                  <c:v>2.0099999999999176</c:v>
                </c:pt>
                <c:pt idx="802">
                  <c:v>2.0199999999999174</c:v>
                </c:pt>
                <c:pt idx="803">
                  <c:v>2.0299999999999172</c:v>
                </c:pt>
                <c:pt idx="804">
                  <c:v>2.039999999999917</c:v>
                </c:pt>
                <c:pt idx="805">
                  <c:v>2.0499999999999168</c:v>
                </c:pt>
                <c:pt idx="806">
                  <c:v>2.0599999999999166</c:v>
                </c:pt>
                <c:pt idx="807">
                  <c:v>2.0699999999999164</c:v>
                </c:pt>
                <c:pt idx="808">
                  <c:v>2.0799999999999161</c:v>
                </c:pt>
                <c:pt idx="809">
                  <c:v>2.0899999999999159</c:v>
                </c:pt>
                <c:pt idx="810">
                  <c:v>2.0999999999999157</c:v>
                </c:pt>
                <c:pt idx="811">
                  <c:v>2.1099999999999155</c:v>
                </c:pt>
                <c:pt idx="812">
                  <c:v>2.1199999999999153</c:v>
                </c:pt>
                <c:pt idx="813">
                  <c:v>2.1299999999999151</c:v>
                </c:pt>
                <c:pt idx="814">
                  <c:v>2.1399999999999149</c:v>
                </c:pt>
                <c:pt idx="815">
                  <c:v>2.1499999999999146</c:v>
                </c:pt>
                <c:pt idx="816">
                  <c:v>2.1599999999999144</c:v>
                </c:pt>
                <c:pt idx="817">
                  <c:v>2.1699999999999142</c:v>
                </c:pt>
                <c:pt idx="818">
                  <c:v>2.179999999999914</c:v>
                </c:pt>
                <c:pt idx="819">
                  <c:v>2.1899999999999138</c:v>
                </c:pt>
                <c:pt idx="820">
                  <c:v>2.1999999999999136</c:v>
                </c:pt>
                <c:pt idx="821">
                  <c:v>2.2099999999999134</c:v>
                </c:pt>
                <c:pt idx="822">
                  <c:v>2.2199999999999132</c:v>
                </c:pt>
                <c:pt idx="823">
                  <c:v>2.2299999999999129</c:v>
                </c:pt>
                <c:pt idx="824">
                  <c:v>2.2399999999999127</c:v>
                </c:pt>
                <c:pt idx="825">
                  <c:v>2.2499999999999125</c:v>
                </c:pt>
                <c:pt idx="826">
                  <c:v>2.2599999999999123</c:v>
                </c:pt>
                <c:pt idx="827">
                  <c:v>2.2699999999999121</c:v>
                </c:pt>
                <c:pt idx="828">
                  <c:v>2.2799999999999119</c:v>
                </c:pt>
                <c:pt idx="829">
                  <c:v>2.2899999999999117</c:v>
                </c:pt>
                <c:pt idx="830">
                  <c:v>2.2999999999999114</c:v>
                </c:pt>
                <c:pt idx="831">
                  <c:v>2.3099999999999112</c:v>
                </c:pt>
                <c:pt idx="832">
                  <c:v>2.319999999999911</c:v>
                </c:pt>
                <c:pt idx="833">
                  <c:v>2.3299999999999108</c:v>
                </c:pt>
                <c:pt idx="834">
                  <c:v>2.3399999999999106</c:v>
                </c:pt>
                <c:pt idx="835">
                  <c:v>2.3499999999999104</c:v>
                </c:pt>
                <c:pt idx="836">
                  <c:v>2.3599999999999102</c:v>
                </c:pt>
                <c:pt idx="837">
                  <c:v>2.36999999999991</c:v>
                </c:pt>
                <c:pt idx="838">
                  <c:v>2.3799999999999097</c:v>
                </c:pt>
                <c:pt idx="839">
                  <c:v>2.3899999999999095</c:v>
                </c:pt>
                <c:pt idx="840">
                  <c:v>2.3999999999999093</c:v>
                </c:pt>
                <c:pt idx="841">
                  <c:v>2.4099999999999091</c:v>
                </c:pt>
                <c:pt idx="842">
                  <c:v>2.4199999999999089</c:v>
                </c:pt>
                <c:pt idx="843">
                  <c:v>2.4299999999999087</c:v>
                </c:pt>
                <c:pt idx="844">
                  <c:v>2.4399999999999085</c:v>
                </c:pt>
                <c:pt idx="845">
                  <c:v>2.4499999999999083</c:v>
                </c:pt>
                <c:pt idx="846">
                  <c:v>2.459999999999908</c:v>
                </c:pt>
                <c:pt idx="847">
                  <c:v>2.4699999999999078</c:v>
                </c:pt>
                <c:pt idx="848">
                  <c:v>2.4799999999999076</c:v>
                </c:pt>
                <c:pt idx="849">
                  <c:v>2.4899999999999074</c:v>
                </c:pt>
                <c:pt idx="850">
                  <c:v>2.4999999999999072</c:v>
                </c:pt>
                <c:pt idx="851">
                  <c:v>2.509999999999907</c:v>
                </c:pt>
                <c:pt idx="852">
                  <c:v>2.5199999999999068</c:v>
                </c:pt>
                <c:pt idx="853">
                  <c:v>2.5299999999999065</c:v>
                </c:pt>
                <c:pt idx="854">
                  <c:v>2.5399999999999063</c:v>
                </c:pt>
                <c:pt idx="855">
                  <c:v>2.5499999999999061</c:v>
                </c:pt>
                <c:pt idx="856">
                  <c:v>2.5599999999999059</c:v>
                </c:pt>
                <c:pt idx="857">
                  <c:v>2.5699999999999057</c:v>
                </c:pt>
                <c:pt idx="858">
                  <c:v>2.5799999999999055</c:v>
                </c:pt>
                <c:pt idx="859">
                  <c:v>2.5899999999999053</c:v>
                </c:pt>
                <c:pt idx="860">
                  <c:v>2.5999999999999051</c:v>
                </c:pt>
                <c:pt idx="861">
                  <c:v>2.6099999999999048</c:v>
                </c:pt>
                <c:pt idx="862">
                  <c:v>2.6199999999999046</c:v>
                </c:pt>
                <c:pt idx="863">
                  <c:v>2.6299999999999044</c:v>
                </c:pt>
                <c:pt idx="864">
                  <c:v>2.6399999999999042</c:v>
                </c:pt>
                <c:pt idx="865">
                  <c:v>2.649999999999904</c:v>
                </c:pt>
                <c:pt idx="866">
                  <c:v>2.6599999999999038</c:v>
                </c:pt>
                <c:pt idx="867">
                  <c:v>2.6699999999999036</c:v>
                </c:pt>
                <c:pt idx="868">
                  <c:v>2.6799999999999033</c:v>
                </c:pt>
                <c:pt idx="869">
                  <c:v>2.6899999999999031</c:v>
                </c:pt>
                <c:pt idx="870">
                  <c:v>2.6999999999999029</c:v>
                </c:pt>
                <c:pt idx="871">
                  <c:v>2.7099999999999027</c:v>
                </c:pt>
                <c:pt idx="872">
                  <c:v>2.7199999999999025</c:v>
                </c:pt>
                <c:pt idx="873">
                  <c:v>2.7299999999999023</c:v>
                </c:pt>
                <c:pt idx="874">
                  <c:v>2.7399999999999021</c:v>
                </c:pt>
                <c:pt idx="875">
                  <c:v>2.7499999999999019</c:v>
                </c:pt>
                <c:pt idx="876">
                  <c:v>2.7599999999999016</c:v>
                </c:pt>
                <c:pt idx="877">
                  <c:v>2.7699999999999014</c:v>
                </c:pt>
                <c:pt idx="878">
                  <c:v>2.7799999999999012</c:v>
                </c:pt>
                <c:pt idx="879">
                  <c:v>2.789999999999901</c:v>
                </c:pt>
                <c:pt idx="880">
                  <c:v>2.7999999999999008</c:v>
                </c:pt>
                <c:pt idx="881">
                  <c:v>2.8099999999999006</c:v>
                </c:pt>
                <c:pt idx="882">
                  <c:v>2.8199999999999004</c:v>
                </c:pt>
                <c:pt idx="883">
                  <c:v>2.8299999999999002</c:v>
                </c:pt>
                <c:pt idx="884">
                  <c:v>2.8399999999998999</c:v>
                </c:pt>
                <c:pt idx="885">
                  <c:v>2.8499999999998997</c:v>
                </c:pt>
                <c:pt idx="886">
                  <c:v>2.8599999999998995</c:v>
                </c:pt>
                <c:pt idx="887">
                  <c:v>2.8699999999998993</c:v>
                </c:pt>
                <c:pt idx="888">
                  <c:v>2.8799999999998991</c:v>
                </c:pt>
                <c:pt idx="889">
                  <c:v>2.8899999999998989</c:v>
                </c:pt>
                <c:pt idx="890">
                  <c:v>2.8999999999998987</c:v>
                </c:pt>
                <c:pt idx="891">
                  <c:v>2.9099999999998984</c:v>
                </c:pt>
                <c:pt idx="892">
                  <c:v>2.9199999999998982</c:v>
                </c:pt>
                <c:pt idx="893">
                  <c:v>2.929999999999898</c:v>
                </c:pt>
                <c:pt idx="894">
                  <c:v>2.9399999999998978</c:v>
                </c:pt>
                <c:pt idx="895">
                  <c:v>2.9499999999998976</c:v>
                </c:pt>
                <c:pt idx="896">
                  <c:v>2.9599999999998974</c:v>
                </c:pt>
                <c:pt idx="897">
                  <c:v>2.9699999999998972</c:v>
                </c:pt>
                <c:pt idx="898">
                  <c:v>2.979999999999897</c:v>
                </c:pt>
                <c:pt idx="899">
                  <c:v>2.9899999999998967</c:v>
                </c:pt>
                <c:pt idx="900">
                  <c:v>2.9999999999998965</c:v>
                </c:pt>
                <c:pt idx="901">
                  <c:v>3.0099999999998963</c:v>
                </c:pt>
                <c:pt idx="902">
                  <c:v>3.0199999999998961</c:v>
                </c:pt>
                <c:pt idx="903">
                  <c:v>3.0299999999998959</c:v>
                </c:pt>
                <c:pt idx="904">
                  <c:v>3.0399999999998957</c:v>
                </c:pt>
                <c:pt idx="905">
                  <c:v>3.0499999999998955</c:v>
                </c:pt>
                <c:pt idx="906">
                  <c:v>3.0599999999998952</c:v>
                </c:pt>
                <c:pt idx="907">
                  <c:v>3.069999999999895</c:v>
                </c:pt>
                <c:pt idx="908">
                  <c:v>3.0799999999998948</c:v>
                </c:pt>
                <c:pt idx="909">
                  <c:v>3.0899999999998946</c:v>
                </c:pt>
                <c:pt idx="910">
                  <c:v>3.0999999999998944</c:v>
                </c:pt>
                <c:pt idx="911">
                  <c:v>3.1099999999998942</c:v>
                </c:pt>
                <c:pt idx="912">
                  <c:v>3.119999999999894</c:v>
                </c:pt>
                <c:pt idx="913">
                  <c:v>3.1299999999998938</c:v>
                </c:pt>
                <c:pt idx="914">
                  <c:v>3.1399999999998935</c:v>
                </c:pt>
                <c:pt idx="915">
                  <c:v>3.1499999999998933</c:v>
                </c:pt>
                <c:pt idx="916">
                  <c:v>3.1599999999998931</c:v>
                </c:pt>
                <c:pt idx="917">
                  <c:v>3.1699999999998929</c:v>
                </c:pt>
                <c:pt idx="918">
                  <c:v>3.1799999999998927</c:v>
                </c:pt>
                <c:pt idx="919">
                  <c:v>3.1899999999998925</c:v>
                </c:pt>
                <c:pt idx="920">
                  <c:v>3.1999999999998923</c:v>
                </c:pt>
                <c:pt idx="921">
                  <c:v>3.2099999999998921</c:v>
                </c:pt>
                <c:pt idx="922">
                  <c:v>3.2199999999998918</c:v>
                </c:pt>
                <c:pt idx="923">
                  <c:v>3.2299999999998916</c:v>
                </c:pt>
                <c:pt idx="924">
                  <c:v>3.2399999999998914</c:v>
                </c:pt>
                <c:pt idx="925">
                  <c:v>3.2499999999998912</c:v>
                </c:pt>
                <c:pt idx="926">
                  <c:v>3.259999999999891</c:v>
                </c:pt>
                <c:pt idx="927">
                  <c:v>3.2699999999998908</c:v>
                </c:pt>
                <c:pt idx="928">
                  <c:v>3.2799999999998906</c:v>
                </c:pt>
                <c:pt idx="929">
                  <c:v>3.2899999999998903</c:v>
                </c:pt>
                <c:pt idx="930">
                  <c:v>3.2999999999998901</c:v>
                </c:pt>
                <c:pt idx="931">
                  <c:v>3.3099999999998899</c:v>
                </c:pt>
                <c:pt idx="932">
                  <c:v>3.3199999999998897</c:v>
                </c:pt>
                <c:pt idx="933">
                  <c:v>3.3299999999998895</c:v>
                </c:pt>
                <c:pt idx="934">
                  <c:v>3.3399999999998893</c:v>
                </c:pt>
                <c:pt idx="935">
                  <c:v>3.3499999999998891</c:v>
                </c:pt>
                <c:pt idx="936">
                  <c:v>3.3599999999998889</c:v>
                </c:pt>
                <c:pt idx="937">
                  <c:v>3.3699999999998886</c:v>
                </c:pt>
                <c:pt idx="938">
                  <c:v>3.3799999999998884</c:v>
                </c:pt>
                <c:pt idx="939">
                  <c:v>3.3899999999998882</c:v>
                </c:pt>
                <c:pt idx="940">
                  <c:v>3.399999999999888</c:v>
                </c:pt>
                <c:pt idx="941">
                  <c:v>3.4099999999998878</c:v>
                </c:pt>
                <c:pt idx="942">
                  <c:v>3.4199999999998876</c:v>
                </c:pt>
                <c:pt idx="943">
                  <c:v>3.4299999999998874</c:v>
                </c:pt>
                <c:pt idx="944">
                  <c:v>3.4399999999998871</c:v>
                </c:pt>
                <c:pt idx="945">
                  <c:v>3.4499999999998869</c:v>
                </c:pt>
                <c:pt idx="946">
                  <c:v>3.4599999999998867</c:v>
                </c:pt>
                <c:pt idx="947">
                  <c:v>3.4699999999998865</c:v>
                </c:pt>
                <c:pt idx="948">
                  <c:v>3.4799999999998863</c:v>
                </c:pt>
                <c:pt idx="949">
                  <c:v>3.4899999999998861</c:v>
                </c:pt>
                <c:pt idx="950">
                  <c:v>3.4999999999998859</c:v>
                </c:pt>
                <c:pt idx="951">
                  <c:v>3.5099999999998857</c:v>
                </c:pt>
                <c:pt idx="952">
                  <c:v>3.5199999999998854</c:v>
                </c:pt>
                <c:pt idx="953">
                  <c:v>3.5299999999998852</c:v>
                </c:pt>
                <c:pt idx="954">
                  <c:v>3.539999999999885</c:v>
                </c:pt>
                <c:pt idx="955">
                  <c:v>3.5499999999998848</c:v>
                </c:pt>
                <c:pt idx="956">
                  <c:v>3.5599999999998846</c:v>
                </c:pt>
                <c:pt idx="957">
                  <c:v>3.5699999999998844</c:v>
                </c:pt>
                <c:pt idx="958">
                  <c:v>3.5799999999998842</c:v>
                </c:pt>
                <c:pt idx="959">
                  <c:v>3.589999999999884</c:v>
                </c:pt>
                <c:pt idx="960">
                  <c:v>3.5999999999998837</c:v>
                </c:pt>
                <c:pt idx="961">
                  <c:v>3.6099999999998835</c:v>
                </c:pt>
                <c:pt idx="962">
                  <c:v>3.6199999999998833</c:v>
                </c:pt>
                <c:pt idx="963">
                  <c:v>3.6299999999998831</c:v>
                </c:pt>
                <c:pt idx="964">
                  <c:v>3.6399999999998829</c:v>
                </c:pt>
                <c:pt idx="965">
                  <c:v>3.6499999999998827</c:v>
                </c:pt>
                <c:pt idx="966">
                  <c:v>3.6599999999998825</c:v>
                </c:pt>
                <c:pt idx="967">
                  <c:v>3.6699999999998822</c:v>
                </c:pt>
                <c:pt idx="968">
                  <c:v>3.679999999999882</c:v>
                </c:pt>
                <c:pt idx="969">
                  <c:v>3.6899999999998818</c:v>
                </c:pt>
                <c:pt idx="970">
                  <c:v>3.6999999999998816</c:v>
                </c:pt>
                <c:pt idx="971">
                  <c:v>3.7099999999998814</c:v>
                </c:pt>
                <c:pt idx="972">
                  <c:v>3.7199999999998812</c:v>
                </c:pt>
                <c:pt idx="973">
                  <c:v>3.729999999999881</c:v>
                </c:pt>
                <c:pt idx="974">
                  <c:v>3.7399999999998808</c:v>
                </c:pt>
                <c:pt idx="975">
                  <c:v>3.7499999999998805</c:v>
                </c:pt>
                <c:pt idx="976">
                  <c:v>3.7599999999998803</c:v>
                </c:pt>
                <c:pt idx="977">
                  <c:v>3.7699999999998801</c:v>
                </c:pt>
                <c:pt idx="978">
                  <c:v>3.7799999999998799</c:v>
                </c:pt>
                <c:pt idx="979">
                  <c:v>3.7899999999998797</c:v>
                </c:pt>
                <c:pt idx="980">
                  <c:v>3.7999999999998795</c:v>
                </c:pt>
                <c:pt idx="981">
                  <c:v>3.8099999999998793</c:v>
                </c:pt>
                <c:pt idx="982">
                  <c:v>3.819999999999879</c:v>
                </c:pt>
                <c:pt idx="983">
                  <c:v>3.8299999999998788</c:v>
                </c:pt>
                <c:pt idx="984">
                  <c:v>3.8399999999998786</c:v>
                </c:pt>
                <c:pt idx="985">
                  <c:v>3.8499999999998784</c:v>
                </c:pt>
                <c:pt idx="986">
                  <c:v>3.8599999999998782</c:v>
                </c:pt>
                <c:pt idx="987">
                  <c:v>3.869999999999878</c:v>
                </c:pt>
                <c:pt idx="988">
                  <c:v>3.8799999999998778</c:v>
                </c:pt>
                <c:pt idx="989">
                  <c:v>3.8899999999998776</c:v>
                </c:pt>
                <c:pt idx="990">
                  <c:v>3.8999999999998773</c:v>
                </c:pt>
                <c:pt idx="991">
                  <c:v>3.9099999999998771</c:v>
                </c:pt>
                <c:pt idx="992">
                  <c:v>3.9199999999998769</c:v>
                </c:pt>
                <c:pt idx="993">
                  <c:v>3.9299999999998767</c:v>
                </c:pt>
                <c:pt idx="994">
                  <c:v>3.9399999999998765</c:v>
                </c:pt>
                <c:pt idx="995">
                  <c:v>3.9499999999998763</c:v>
                </c:pt>
                <c:pt idx="996">
                  <c:v>3.9599999999998761</c:v>
                </c:pt>
                <c:pt idx="997">
                  <c:v>3.9699999999998759</c:v>
                </c:pt>
                <c:pt idx="998">
                  <c:v>3.9799999999998756</c:v>
                </c:pt>
                <c:pt idx="999">
                  <c:v>3.9899999999998754</c:v>
                </c:pt>
                <c:pt idx="1000">
                  <c:v>3.9999999999998752</c:v>
                </c:pt>
                <c:pt idx="1001">
                  <c:v>4.0099999999998754</c:v>
                </c:pt>
                <c:pt idx="1002">
                  <c:v>4.0199999999998752</c:v>
                </c:pt>
                <c:pt idx="1003">
                  <c:v>4.029999999999875</c:v>
                </c:pt>
                <c:pt idx="1004">
                  <c:v>4.0399999999998748</c:v>
                </c:pt>
                <c:pt idx="1005">
                  <c:v>4.0499999999998746</c:v>
                </c:pt>
                <c:pt idx="1006">
                  <c:v>4.0599999999998744</c:v>
                </c:pt>
                <c:pt idx="1007">
                  <c:v>4.0699999999998742</c:v>
                </c:pt>
                <c:pt idx="1008">
                  <c:v>4.0799999999998739</c:v>
                </c:pt>
                <c:pt idx="1009">
                  <c:v>4.0899999999998737</c:v>
                </c:pt>
                <c:pt idx="1010">
                  <c:v>4.0999999999998735</c:v>
                </c:pt>
                <c:pt idx="1011">
                  <c:v>4.1099999999998733</c:v>
                </c:pt>
                <c:pt idx="1012">
                  <c:v>4.1199999999998731</c:v>
                </c:pt>
                <c:pt idx="1013">
                  <c:v>4.1299999999998729</c:v>
                </c:pt>
                <c:pt idx="1014">
                  <c:v>4.1399999999998727</c:v>
                </c:pt>
                <c:pt idx="1015">
                  <c:v>4.1499999999998725</c:v>
                </c:pt>
                <c:pt idx="1016">
                  <c:v>4.1599999999998722</c:v>
                </c:pt>
                <c:pt idx="1017">
                  <c:v>4.169999999999872</c:v>
                </c:pt>
                <c:pt idx="1018">
                  <c:v>4.1799999999998718</c:v>
                </c:pt>
                <c:pt idx="1019">
                  <c:v>4.1899999999998716</c:v>
                </c:pt>
                <c:pt idx="1020">
                  <c:v>4.1999999999998714</c:v>
                </c:pt>
                <c:pt idx="1021">
                  <c:v>4.2099999999998712</c:v>
                </c:pt>
                <c:pt idx="1022">
                  <c:v>4.219999999999871</c:v>
                </c:pt>
                <c:pt idx="1023">
                  <c:v>4.2299999999998708</c:v>
                </c:pt>
                <c:pt idx="1024">
                  <c:v>4.2399999999998705</c:v>
                </c:pt>
                <c:pt idx="1025">
                  <c:v>4.2499999999998703</c:v>
                </c:pt>
                <c:pt idx="1026">
                  <c:v>4.2599999999998701</c:v>
                </c:pt>
                <c:pt idx="1027">
                  <c:v>4.2699999999998699</c:v>
                </c:pt>
                <c:pt idx="1028">
                  <c:v>4.2799999999998697</c:v>
                </c:pt>
                <c:pt idx="1029">
                  <c:v>4.2899999999998695</c:v>
                </c:pt>
                <c:pt idx="1030">
                  <c:v>4.2999999999998693</c:v>
                </c:pt>
                <c:pt idx="1031">
                  <c:v>4.309999999999869</c:v>
                </c:pt>
                <c:pt idx="1032">
                  <c:v>4.3199999999998688</c:v>
                </c:pt>
                <c:pt idx="1033">
                  <c:v>4.3299999999998686</c:v>
                </c:pt>
                <c:pt idx="1034">
                  <c:v>4.3399999999998684</c:v>
                </c:pt>
                <c:pt idx="1035">
                  <c:v>4.3499999999998682</c:v>
                </c:pt>
                <c:pt idx="1036">
                  <c:v>4.359999999999868</c:v>
                </c:pt>
                <c:pt idx="1037">
                  <c:v>4.3699999999998678</c:v>
                </c:pt>
                <c:pt idx="1038">
                  <c:v>4.3799999999998676</c:v>
                </c:pt>
                <c:pt idx="1039">
                  <c:v>4.3899999999998673</c:v>
                </c:pt>
                <c:pt idx="1040">
                  <c:v>4.3999999999998671</c:v>
                </c:pt>
                <c:pt idx="1041">
                  <c:v>4.4099999999998669</c:v>
                </c:pt>
                <c:pt idx="1042">
                  <c:v>4.4199999999998667</c:v>
                </c:pt>
                <c:pt idx="1043">
                  <c:v>4.4299999999998665</c:v>
                </c:pt>
                <c:pt idx="1044">
                  <c:v>4.4399999999998663</c:v>
                </c:pt>
                <c:pt idx="1045">
                  <c:v>4.4499999999998661</c:v>
                </c:pt>
                <c:pt idx="1046">
                  <c:v>4.4599999999998658</c:v>
                </c:pt>
                <c:pt idx="1047">
                  <c:v>4.4699999999998656</c:v>
                </c:pt>
                <c:pt idx="1048">
                  <c:v>4.4799999999998654</c:v>
                </c:pt>
                <c:pt idx="1049">
                  <c:v>4.4899999999998652</c:v>
                </c:pt>
                <c:pt idx="1050">
                  <c:v>4.499999999999865</c:v>
                </c:pt>
                <c:pt idx="1051">
                  <c:v>4.5099999999998648</c:v>
                </c:pt>
                <c:pt idx="1052">
                  <c:v>4.5199999999998646</c:v>
                </c:pt>
                <c:pt idx="1053">
                  <c:v>4.5299999999998644</c:v>
                </c:pt>
                <c:pt idx="1054">
                  <c:v>4.5399999999998641</c:v>
                </c:pt>
                <c:pt idx="1055">
                  <c:v>4.5499999999998639</c:v>
                </c:pt>
                <c:pt idx="1056">
                  <c:v>4.5599999999998637</c:v>
                </c:pt>
                <c:pt idx="1057">
                  <c:v>4.5699999999998635</c:v>
                </c:pt>
                <c:pt idx="1058">
                  <c:v>4.5799999999998633</c:v>
                </c:pt>
                <c:pt idx="1059">
                  <c:v>4.5899999999998631</c:v>
                </c:pt>
                <c:pt idx="1060">
                  <c:v>4.5999999999998629</c:v>
                </c:pt>
                <c:pt idx="1061">
                  <c:v>4.6099999999998627</c:v>
                </c:pt>
                <c:pt idx="1062">
                  <c:v>4.6199999999998624</c:v>
                </c:pt>
                <c:pt idx="1063">
                  <c:v>4.6299999999998622</c:v>
                </c:pt>
                <c:pt idx="1064">
                  <c:v>4.639999999999862</c:v>
                </c:pt>
                <c:pt idx="1065">
                  <c:v>4.6499999999998618</c:v>
                </c:pt>
                <c:pt idx="1066">
                  <c:v>4.6599999999998616</c:v>
                </c:pt>
                <c:pt idx="1067">
                  <c:v>4.6699999999998614</c:v>
                </c:pt>
                <c:pt idx="1068">
                  <c:v>4.6799999999998612</c:v>
                </c:pt>
                <c:pt idx="1069">
                  <c:v>4.6899999999998609</c:v>
                </c:pt>
                <c:pt idx="1070">
                  <c:v>4.6999999999998607</c:v>
                </c:pt>
                <c:pt idx="1071">
                  <c:v>4.7099999999998605</c:v>
                </c:pt>
                <c:pt idx="1072">
                  <c:v>4.7199999999998603</c:v>
                </c:pt>
                <c:pt idx="1073">
                  <c:v>4.7299999999998601</c:v>
                </c:pt>
                <c:pt idx="1074">
                  <c:v>4.7399999999998599</c:v>
                </c:pt>
                <c:pt idx="1075">
                  <c:v>4.7499999999998597</c:v>
                </c:pt>
                <c:pt idx="1076">
                  <c:v>4.7599999999998595</c:v>
                </c:pt>
                <c:pt idx="1077">
                  <c:v>4.7699999999998592</c:v>
                </c:pt>
                <c:pt idx="1078">
                  <c:v>4.779999999999859</c:v>
                </c:pt>
                <c:pt idx="1079">
                  <c:v>4.7899999999998588</c:v>
                </c:pt>
                <c:pt idx="1080">
                  <c:v>4.7999999999998586</c:v>
                </c:pt>
                <c:pt idx="1081">
                  <c:v>4.8099999999998584</c:v>
                </c:pt>
                <c:pt idx="1082">
                  <c:v>4.8199999999998582</c:v>
                </c:pt>
                <c:pt idx="1083">
                  <c:v>4.829999999999858</c:v>
                </c:pt>
                <c:pt idx="1084">
                  <c:v>4.8399999999998577</c:v>
                </c:pt>
                <c:pt idx="1085">
                  <c:v>4.8499999999998575</c:v>
                </c:pt>
                <c:pt idx="1086">
                  <c:v>4.8599999999998573</c:v>
                </c:pt>
                <c:pt idx="1087">
                  <c:v>4.8699999999998571</c:v>
                </c:pt>
                <c:pt idx="1088">
                  <c:v>4.8799999999998569</c:v>
                </c:pt>
                <c:pt idx="1089">
                  <c:v>4.8899999999998567</c:v>
                </c:pt>
                <c:pt idx="1090">
                  <c:v>4.8999999999998565</c:v>
                </c:pt>
                <c:pt idx="1091">
                  <c:v>4.9099999999998563</c:v>
                </c:pt>
                <c:pt idx="1092">
                  <c:v>4.919999999999856</c:v>
                </c:pt>
                <c:pt idx="1093">
                  <c:v>4.9299999999998558</c:v>
                </c:pt>
                <c:pt idx="1094">
                  <c:v>4.9399999999998556</c:v>
                </c:pt>
                <c:pt idx="1095">
                  <c:v>4.9499999999998554</c:v>
                </c:pt>
                <c:pt idx="1096">
                  <c:v>4.9599999999998552</c:v>
                </c:pt>
                <c:pt idx="1097">
                  <c:v>4.969999999999855</c:v>
                </c:pt>
                <c:pt idx="1098">
                  <c:v>4.9799999999998548</c:v>
                </c:pt>
                <c:pt idx="1099">
                  <c:v>4.9899999999998546</c:v>
                </c:pt>
                <c:pt idx="1100">
                  <c:v>4.9999999999998543</c:v>
                </c:pt>
                <c:pt idx="1101">
                  <c:v>5.0099999999998541</c:v>
                </c:pt>
                <c:pt idx="1102">
                  <c:v>5.0199999999998539</c:v>
                </c:pt>
                <c:pt idx="1103">
                  <c:v>5.0299999999998537</c:v>
                </c:pt>
                <c:pt idx="1104">
                  <c:v>5.0399999999998535</c:v>
                </c:pt>
                <c:pt idx="1105">
                  <c:v>5.0499999999998533</c:v>
                </c:pt>
                <c:pt idx="1106">
                  <c:v>5.0599999999998531</c:v>
                </c:pt>
                <c:pt idx="1107">
                  <c:v>5.0699999999998528</c:v>
                </c:pt>
                <c:pt idx="1108">
                  <c:v>5.0799999999998526</c:v>
                </c:pt>
                <c:pt idx="1109">
                  <c:v>5.0899999999998524</c:v>
                </c:pt>
                <c:pt idx="1110">
                  <c:v>5.0999999999998522</c:v>
                </c:pt>
                <c:pt idx="1111">
                  <c:v>5.109999999999852</c:v>
                </c:pt>
                <c:pt idx="1112">
                  <c:v>5.1199999999998518</c:v>
                </c:pt>
                <c:pt idx="1113">
                  <c:v>5.1299999999998516</c:v>
                </c:pt>
                <c:pt idx="1114">
                  <c:v>5.1399999999998514</c:v>
                </c:pt>
                <c:pt idx="1115">
                  <c:v>5.1499999999998511</c:v>
                </c:pt>
                <c:pt idx="1116">
                  <c:v>5.1599999999998509</c:v>
                </c:pt>
                <c:pt idx="1117">
                  <c:v>5.1699999999998507</c:v>
                </c:pt>
                <c:pt idx="1118">
                  <c:v>5.1799999999998505</c:v>
                </c:pt>
                <c:pt idx="1119">
                  <c:v>5.1899999999998503</c:v>
                </c:pt>
                <c:pt idx="1120">
                  <c:v>5.1999999999998501</c:v>
                </c:pt>
                <c:pt idx="1121">
                  <c:v>5.2099999999998499</c:v>
                </c:pt>
                <c:pt idx="1122">
                  <c:v>5.2199999999998496</c:v>
                </c:pt>
                <c:pt idx="1123">
                  <c:v>5.2299999999998494</c:v>
                </c:pt>
                <c:pt idx="1124">
                  <c:v>5.2399999999998492</c:v>
                </c:pt>
                <c:pt idx="1125">
                  <c:v>5.249999999999849</c:v>
                </c:pt>
                <c:pt idx="1126">
                  <c:v>5.2599999999998488</c:v>
                </c:pt>
                <c:pt idx="1127">
                  <c:v>5.2699999999998486</c:v>
                </c:pt>
                <c:pt idx="1128">
                  <c:v>5.2799999999998484</c:v>
                </c:pt>
                <c:pt idx="1129">
                  <c:v>5.2899999999998482</c:v>
                </c:pt>
                <c:pt idx="1130">
                  <c:v>5.2999999999998479</c:v>
                </c:pt>
                <c:pt idx="1131">
                  <c:v>5.3099999999998477</c:v>
                </c:pt>
                <c:pt idx="1132">
                  <c:v>5.3199999999998475</c:v>
                </c:pt>
                <c:pt idx="1133">
                  <c:v>5.3299999999998473</c:v>
                </c:pt>
                <c:pt idx="1134">
                  <c:v>5.3399999999998471</c:v>
                </c:pt>
                <c:pt idx="1135">
                  <c:v>5.3499999999998469</c:v>
                </c:pt>
                <c:pt idx="1136">
                  <c:v>5.3599999999998467</c:v>
                </c:pt>
                <c:pt idx="1137">
                  <c:v>5.3699999999998465</c:v>
                </c:pt>
                <c:pt idx="1138">
                  <c:v>5.3799999999998462</c:v>
                </c:pt>
                <c:pt idx="1139">
                  <c:v>5.389999999999846</c:v>
                </c:pt>
                <c:pt idx="1140">
                  <c:v>5.3999999999998458</c:v>
                </c:pt>
                <c:pt idx="1141">
                  <c:v>5.4099999999998456</c:v>
                </c:pt>
                <c:pt idx="1142">
                  <c:v>5.4199999999998454</c:v>
                </c:pt>
                <c:pt idx="1143">
                  <c:v>5.4299999999998452</c:v>
                </c:pt>
                <c:pt idx="1144">
                  <c:v>5.439999999999845</c:v>
                </c:pt>
                <c:pt idx="1145">
                  <c:v>5.4499999999998447</c:v>
                </c:pt>
                <c:pt idx="1146">
                  <c:v>5.4599999999998445</c:v>
                </c:pt>
                <c:pt idx="1147">
                  <c:v>5.4699999999998443</c:v>
                </c:pt>
                <c:pt idx="1148">
                  <c:v>5.4799999999998441</c:v>
                </c:pt>
                <c:pt idx="1149">
                  <c:v>5.4899999999998439</c:v>
                </c:pt>
                <c:pt idx="1150">
                  <c:v>5.4999999999998437</c:v>
                </c:pt>
                <c:pt idx="1151">
                  <c:v>5.5099999999998435</c:v>
                </c:pt>
                <c:pt idx="1152">
                  <c:v>5.5199999999998433</c:v>
                </c:pt>
                <c:pt idx="1153">
                  <c:v>5.529999999999843</c:v>
                </c:pt>
                <c:pt idx="1154">
                  <c:v>5.5399999999998428</c:v>
                </c:pt>
                <c:pt idx="1155">
                  <c:v>5.5499999999998426</c:v>
                </c:pt>
                <c:pt idx="1156">
                  <c:v>5.5599999999998424</c:v>
                </c:pt>
                <c:pt idx="1157">
                  <c:v>5.5699999999998422</c:v>
                </c:pt>
                <c:pt idx="1158">
                  <c:v>5.579999999999842</c:v>
                </c:pt>
                <c:pt idx="1159">
                  <c:v>5.5899999999998418</c:v>
                </c:pt>
                <c:pt idx="1160">
                  <c:v>5.5999999999998415</c:v>
                </c:pt>
                <c:pt idx="1161">
                  <c:v>5.6099999999998413</c:v>
                </c:pt>
                <c:pt idx="1162">
                  <c:v>5.6199999999998411</c:v>
                </c:pt>
                <c:pt idx="1163">
                  <c:v>5.6299999999998409</c:v>
                </c:pt>
                <c:pt idx="1164">
                  <c:v>5.6399999999998407</c:v>
                </c:pt>
                <c:pt idx="1165">
                  <c:v>5.6499999999998405</c:v>
                </c:pt>
                <c:pt idx="1166">
                  <c:v>5.6599999999998403</c:v>
                </c:pt>
                <c:pt idx="1167">
                  <c:v>5.6699999999998401</c:v>
                </c:pt>
                <c:pt idx="1168">
                  <c:v>5.6799999999998398</c:v>
                </c:pt>
                <c:pt idx="1169">
                  <c:v>5.6899999999998396</c:v>
                </c:pt>
                <c:pt idx="1170">
                  <c:v>5.6999999999998394</c:v>
                </c:pt>
                <c:pt idx="1171">
                  <c:v>5.7099999999998392</c:v>
                </c:pt>
                <c:pt idx="1172">
                  <c:v>5.719999999999839</c:v>
                </c:pt>
                <c:pt idx="1173">
                  <c:v>5.7299999999998388</c:v>
                </c:pt>
                <c:pt idx="1174">
                  <c:v>5.7399999999998386</c:v>
                </c:pt>
                <c:pt idx="1175">
                  <c:v>5.7499999999998384</c:v>
                </c:pt>
                <c:pt idx="1176">
                  <c:v>5.7599999999998381</c:v>
                </c:pt>
                <c:pt idx="1177">
                  <c:v>5.7699999999998379</c:v>
                </c:pt>
                <c:pt idx="1178">
                  <c:v>5.7799999999998377</c:v>
                </c:pt>
                <c:pt idx="1179">
                  <c:v>5.7899999999998375</c:v>
                </c:pt>
                <c:pt idx="1180">
                  <c:v>5.7999999999998373</c:v>
                </c:pt>
                <c:pt idx="1181">
                  <c:v>5.8099999999998371</c:v>
                </c:pt>
                <c:pt idx="1182">
                  <c:v>5.8199999999998369</c:v>
                </c:pt>
                <c:pt idx="1183">
                  <c:v>5.8299999999998366</c:v>
                </c:pt>
                <c:pt idx="1184">
                  <c:v>5.8399999999998364</c:v>
                </c:pt>
                <c:pt idx="1185">
                  <c:v>5.8499999999998362</c:v>
                </c:pt>
                <c:pt idx="1186">
                  <c:v>5.859999999999836</c:v>
                </c:pt>
                <c:pt idx="1187">
                  <c:v>5.8699999999998358</c:v>
                </c:pt>
                <c:pt idx="1188">
                  <c:v>5.8799999999998356</c:v>
                </c:pt>
                <c:pt idx="1189">
                  <c:v>5.8899999999998354</c:v>
                </c:pt>
                <c:pt idx="1190">
                  <c:v>5.8999999999998352</c:v>
                </c:pt>
                <c:pt idx="1191">
                  <c:v>5.9099999999998349</c:v>
                </c:pt>
                <c:pt idx="1192">
                  <c:v>5.9199999999998347</c:v>
                </c:pt>
                <c:pt idx="1193">
                  <c:v>5.9299999999998345</c:v>
                </c:pt>
                <c:pt idx="1194">
                  <c:v>5.9399999999998343</c:v>
                </c:pt>
                <c:pt idx="1195">
                  <c:v>5.9499999999998341</c:v>
                </c:pt>
                <c:pt idx="1196">
                  <c:v>5.9599999999998339</c:v>
                </c:pt>
                <c:pt idx="1197">
                  <c:v>5.9699999999998337</c:v>
                </c:pt>
                <c:pt idx="1198">
                  <c:v>5.9799999999998334</c:v>
                </c:pt>
                <c:pt idx="1199">
                  <c:v>5.9899999999998332</c:v>
                </c:pt>
                <c:pt idx="1200">
                  <c:v>5.999999999999833</c:v>
                </c:pt>
              </c:numCache>
            </c:numRef>
          </c:xVal>
          <c:yVal>
            <c:numRef>
              <c:f>'Normal and t'!$BK$21:$BK$1221</c:f>
              <c:numCache>
                <c:formatCode>General</c:formatCode>
                <c:ptCount val="1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numCache>
            </c:numRef>
          </c:yVal>
        </c:ser>
        <c:ser>
          <c:idx val="5"/>
          <c:order val="2"/>
          <c:spPr>
            <a:ln w="28575">
              <a:noFill/>
            </a:ln>
          </c:spPr>
          <c:marker>
            <c:symbol val="circle"/>
            <c:size val="6"/>
            <c:spPr>
              <a:noFill/>
              <a:ln>
                <a:solidFill>
                  <a:srgbClr val="0000FF"/>
                </a:solidFill>
                <a:prstDash val="solid"/>
              </a:ln>
            </c:spPr>
          </c:marker>
          <c:xVal>
            <c:numRef>
              <c:f>'Normal and t'!$G$54:$G$453</c:f>
              <c:numCache>
                <c:formatCode>General</c:formatCode>
                <c:ptCount val="400"/>
              </c:numCache>
            </c:numRef>
          </c:xVal>
          <c:yVal>
            <c:numRef>
              <c:f>'Normal and t'!$J$54:$J$453</c:f>
              <c:numCache>
                <c:formatCode>General</c:formatCode>
                <c:ptCount val="400"/>
              </c:numCache>
            </c:numRef>
          </c:yVal>
        </c:ser>
        <c:ser>
          <c:idx val="7"/>
          <c:order val="3"/>
          <c:spPr>
            <a:ln w="28575">
              <a:noFill/>
            </a:ln>
          </c:spPr>
          <c:marker>
            <c:symbol val="circle"/>
            <c:size val="5"/>
            <c:spPr>
              <a:noFill/>
              <a:ln>
                <a:solidFill>
                  <a:srgbClr val="0000FF"/>
                </a:solidFill>
                <a:prstDash val="solid"/>
              </a:ln>
            </c:spPr>
          </c:marker>
          <c:xVal>
            <c:numRef>
              <c:f>'Normal and t'!$O$54:$O$453</c:f>
              <c:numCache>
                <c:formatCode>General</c:formatCode>
                <c:ptCount val="400"/>
              </c:numCache>
            </c:numRef>
          </c:xVal>
          <c:yVal>
            <c:numRef>
              <c:f>'Normal and t'!$P$54:$P$453</c:f>
              <c:numCache>
                <c:formatCode>General</c:formatCode>
                <c:ptCount val="400"/>
              </c:numCache>
            </c:numRef>
          </c:yVal>
        </c:ser>
        <c:ser>
          <c:idx val="6"/>
          <c:order val="4"/>
          <c:spPr>
            <a:ln w="28575">
              <a:noFill/>
            </a:ln>
          </c:spPr>
          <c:marker>
            <c:symbol val="circle"/>
            <c:size val="5"/>
            <c:spPr>
              <a:noFill/>
              <a:ln>
                <a:solidFill>
                  <a:srgbClr val="0000FF"/>
                </a:solidFill>
                <a:prstDash val="solid"/>
              </a:ln>
            </c:spPr>
          </c:marker>
          <c:xVal>
            <c:numRef>
              <c:f>'Normal and t'!$W$54:$W$453</c:f>
              <c:numCache>
                <c:formatCode>General</c:formatCode>
                <c:ptCount val="400"/>
              </c:numCache>
            </c:numRef>
          </c:xVal>
          <c:yVal>
            <c:numRef>
              <c:f>'Normal and t'!$X$54:$X$453</c:f>
              <c:numCache>
                <c:formatCode>General</c:formatCode>
                <c:ptCount val="400"/>
              </c:numCache>
            </c:numRef>
          </c:yVal>
        </c:ser>
        <c:ser>
          <c:idx val="8"/>
          <c:order val="5"/>
          <c:spPr>
            <a:ln w="28575">
              <a:noFill/>
            </a:ln>
          </c:spPr>
          <c:marker>
            <c:symbol val="circle"/>
            <c:size val="5"/>
            <c:spPr>
              <a:noFill/>
              <a:ln>
                <a:solidFill>
                  <a:srgbClr val="0000FF"/>
                </a:solidFill>
                <a:prstDash val="solid"/>
              </a:ln>
            </c:spPr>
          </c:marker>
          <c:xVal>
            <c:numRef>
              <c:f>'Normal and t'!$AX$54:$AX$453</c:f>
              <c:numCache>
                <c:formatCode>General</c:formatCode>
                <c:ptCount val="400"/>
              </c:numCache>
            </c:numRef>
          </c:xVal>
          <c:yVal>
            <c:numRef>
              <c:f>'Normal and t'!$AY$54:$AY$453</c:f>
              <c:numCache>
                <c:formatCode>General</c:formatCode>
                <c:ptCount val="400"/>
              </c:numCache>
            </c:numRef>
          </c:yVal>
        </c:ser>
        <c:ser>
          <c:idx val="2"/>
          <c:order val="6"/>
          <c:spPr>
            <a:ln w="28575">
              <a:noFill/>
            </a:ln>
          </c:spPr>
          <c:marker>
            <c:symbol val="none"/>
          </c:marker>
          <c:errBars>
            <c:errDir val="y"/>
            <c:errBarType val="plus"/>
            <c:errValType val="cust"/>
            <c:noEndCap val="1"/>
            <c:plus>
              <c:numRef>
                <c:f>'Normal and t'!$BA$19</c:f>
                <c:numCache>
                  <c:formatCode>General</c:formatCode>
                  <c:ptCount val="1"/>
                  <c:pt idx="0">
                    <c:v>0.41</c:v>
                  </c:pt>
                </c:numCache>
              </c:numRef>
            </c:plus>
            <c:spPr>
              <a:ln w="12700">
                <a:pattFill prst="pct50">
                  <a:fgClr>
                    <a:srgbClr val="000000"/>
                  </a:fgClr>
                  <a:bgClr>
                    <a:srgbClr val="FFFFFF"/>
                  </a:bgClr>
                </a:pattFill>
                <a:prstDash val="solid"/>
              </a:ln>
            </c:spPr>
          </c:errBars>
          <c:xVal>
            <c:numRef>
              <c:f>'Normal and t'!$BE$7:$BE$19</c:f>
              <c:numCache>
                <c:formatCode>General</c:formatCode>
                <c:ptCount val="13"/>
                <c:pt idx="0">
                  <c:v>-6</c:v>
                </c:pt>
                <c:pt idx="1">
                  <c:v>-5</c:v>
                </c:pt>
                <c:pt idx="2">
                  <c:v>-4</c:v>
                </c:pt>
                <c:pt idx="3">
                  <c:v>-3</c:v>
                </c:pt>
                <c:pt idx="4">
                  <c:v>-2</c:v>
                </c:pt>
                <c:pt idx="5">
                  <c:v>-1</c:v>
                </c:pt>
                <c:pt idx="6">
                  <c:v>0</c:v>
                </c:pt>
                <c:pt idx="7">
                  <c:v>1</c:v>
                </c:pt>
                <c:pt idx="8">
                  <c:v>2</c:v>
                </c:pt>
                <c:pt idx="9">
                  <c:v>3</c:v>
                </c:pt>
                <c:pt idx="10">
                  <c:v>4</c:v>
                </c:pt>
                <c:pt idx="11">
                  <c:v>5</c:v>
                </c:pt>
                <c:pt idx="12">
                  <c:v>6</c:v>
                </c:pt>
              </c:numCache>
            </c:numRef>
          </c:xVal>
          <c:yVal>
            <c:numRef>
              <c:f>'Normal and t'!$BF$7:$BF$19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er>
        <c:ser>
          <c:idx val="1"/>
          <c:order val="7"/>
          <c:tx>
            <c:v/>
          </c:tx>
          <c:spPr>
            <a:ln w="25400">
              <a:solidFill>
                <a:srgbClr val="0000FF"/>
              </a:solidFill>
              <a:prstDash val="solid"/>
            </a:ln>
          </c:spPr>
          <c:marker>
            <c:symbol val="none"/>
          </c:marker>
          <c:xVal>
            <c:numRef>
              <c:f>'Normal and t'!$BA$21:$BA$1221</c:f>
              <c:numCache>
                <c:formatCode>General</c:formatCode>
                <c:ptCount val="1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pt idx="201">
                  <c:v>-3.9900000000000428</c:v>
                </c:pt>
                <c:pt idx="202">
                  <c:v>-3.9800000000000431</c:v>
                </c:pt>
                <c:pt idx="203">
                  <c:v>-3.9700000000000433</c:v>
                </c:pt>
                <c:pt idx="204">
                  <c:v>-3.9600000000000435</c:v>
                </c:pt>
                <c:pt idx="205">
                  <c:v>-3.9500000000000437</c:v>
                </c:pt>
                <c:pt idx="206">
                  <c:v>-3.9400000000000439</c:v>
                </c:pt>
                <c:pt idx="207">
                  <c:v>-3.9300000000000441</c:v>
                </c:pt>
                <c:pt idx="208">
                  <c:v>-3.9200000000000443</c:v>
                </c:pt>
                <c:pt idx="209">
                  <c:v>-3.9100000000000446</c:v>
                </c:pt>
                <c:pt idx="210">
                  <c:v>-3.9000000000000448</c:v>
                </c:pt>
                <c:pt idx="211">
                  <c:v>-3.890000000000045</c:v>
                </c:pt>
                <c:pt idx="212">
                  <c:v>-3.8800000000000452</c:v>
                </c:pt>
                <c:pt idx="213">
                  <c:v>-3.8700000000000454</c:v>
                </c:pt>
                <c:pt idx="214">
                  <c:v>-3.8600000000000456</c:v>
                </c:pt>
                <c:pt idx="215">
                  <c:v>-3.8500000000000458</c:v>
                </c:pt>
                <c:pt idx="216">
                  <c:v>-3.840000000000046</c:v>
                </c:pt>
                <c:pt idx="217">
                  <c:v>-3.8300000000000463</c:v>
                </c:pt>
                <c:pt idx="218">
                  <c:v>-3.8200000000000465</c:v>
                </c:pt>
                <c:pt idx="219">
                  <c:v>-3.8100000000000467</c:v>
                </c:pt>
                <c:pt idx="220">
                  <c:v>-3.8000000000000469</c:v>
                </c:pt>
                <c:pt idx="221">
                  <c:v>-3.7900000000000471</c:v>
                </c:pt>
                <c:pt idx="222">
                  <c:v>-3.7800000000000473</c:v>
                </c:pt>
                <c:pt idx="223">
                  <c:v>-3.7700000000000475</c:v>
                </c:pt>
                <c:pt idx="224">
                  <c:v>-3.7600000000000477</c:v>
                </c:pt>
                <c:pt idx="225">
                  <c:v>-3.750000000000048</c:v>
                </c:pt>
                <c:pt idx="226">
                  <c:v>-3.7400000000000482</c:v>
                </c:pt>
                <c:pt idx="227">
                  <c:v>-3.7300000000000484</c:v>
                </c:pt>
                <c:pt idx="228">
                  <c:v>-3.7200000000000486</c:v>
                </c:pt>
                <c:pt idx="229">
                  <c:v>-3.7100000000000488</c:v>
                </c:pt>
                <c:pt idx="230">
                  <c:v>-3.700000000000049</c:v>
                </c:pt>
                <c:pt idx="231">
                  <c:v>-3.6900000000000492</c:v>
                </c:pt>
                <c:pt idx="232">
                  <c:v>-3.6800000000000495</c:v>
                </c:pt>
                <c:pt idx="233">
                  <c:v>-3.6700000000000497</c:v>
                </c:pt>
                <c:pt idx="234">
                  <c:v>-3.6600000000000499</c:v>
                </c:pt>
                <c:pt idx="235">
                  <c:v>-3.6500000000000501</c:v>
                </c:pt>
                <c:pt idx="236">
                  <c:v>-3.6400000000000503</c:v>
                </c:pt>
                <c:pt idx="237">
                  <c:v>-3.6300000000000505</c:v>
                </c:pt>
                <c:pt idx="238">
                  <c:v>-3.6200000000000507</c:v>
                </c:pt>
                <c:pt idx="239">
                  <c:v>-3.6100000000000509</c:v>
                </c:pt>
                <c:pt idx="240">
                  <c:v>-3.6000000000000512</c:v>
                </c:pt>
                <c:pt idx="241">
                  <c:v>-3.5900000000000514</c:v>
                </c:pt>
                <c:pt idx="242">
                  <c:v>-3.5800000000000516</c:v>
                </c:pt>
                <c:pt idx="243">
                  <c:v>-3.5700000000000518</c:v>
                </c:pt>
                <c:pt idx="244">
                  <c:v>-3.560000000000052</c:v>
                </c:pt>
                <c:pt idx="245">
                  <c:v>-3.5500000000000522</c:v>
                </c:pt>
                <c:pt idx="246">
                  <c:v>-3.5400000000000524</c:v>
                </c:pt>
                <c:pt idx="247">
                  <c:v>-3.5300000000000527</c:v>
                </c:pt>
                <c:pt idx="248">
                  <c:v>-3.5200000000000529</c:v>
                </c:pt>
                <c:pt idx="249">
                  <c:v>-3.5100000000000531</c:v>
                </c:pt>
                <c:pt idx="250">
                  <c:v>-3.5000000000000533</c:v>
                </c:pt>
                <c:pt idx="251">
                  <c:v>-3.4900000000000535</c:v>
                </c:pt>
                <c:pt idx="252">
                  <c:v>-3.4800000000000537</c:v>
                </c:pt>
                <c:pt idx="253">
                  <c:v>-3.4700000000000539</c:v>
                </c:pt>
                <c:pt idx="254">
                  <c:v>-3.4600000000000541</c:v>
                </c:pt>
                <c:pt idx="255">
                  <c:v>-3.4500000000000544</c:v>
                </c:pt>
                <c:pt idx="256">
                  <c:v>-3.4400000000000546</c:v>
                </c:pt>
                <c:pt idx="257">
                  <c:v>-3.4300000000000548</c:v>
                </c:pt>
                <c:pt idx="258">
                  <c:v>-3.420000000000055</c:v>
                </c:pt>
                <c:pt idx="259">
                  <c:v>-3.4100000000000552</c:v>
                </c:pt>
                <c:pt idx="260">
                  <c:v>-3.4000000000000554</c:v>
                </c:pt>
                <c:pt idx="261">
                  <c:v>-3.3900000000000556</c:v>
                </c:pt>
                <c:pt idx="262">
                  <c:v>-3.3800000000000558</c:v>
                </c:pt>
                <c:pt idx="263">
                  <c:v>-3.3700000000000561</c:v>
                </c:pt>
                <c:pt idx="264">
                  <c:v>-3.3600000000000563</c:v>
                </c:pt>
                <c:pt idx="265">
                  <c:v>-3.3500000000000565</c:v>
                </c:pt>
                <c:pt idx="266">
                  <c:v>-3.3400000000000567</c:v>
                </c:pt>
                <c:pt idx="267">
                  <c:v>-3.3300000000000569</c:v>
                </c:pt>
                <c:pt idx="268">
                  <c:v>-3.3200000000000571</c:v>
                </c:pt>
                <c:pt idx="269">
                  <c:v>-3.3100000000000573</c:v>
                </c:pt>
                <c:pt idx="270">
                  <c:v>-3.3000000000000576</c:v>
                </c:pt>
                <c:pt idx="271">
                  <c:v>-3.2900000000000578</c:v>
                </c:pt>
                <c:pt idx="272">
                  <c:v>-3.280000000000058</c:v>
                </c:pt>
                <c:pt idx="273">
                  <c:v>-3.2700000000000582</c:v>
                </c:pt>
                <c:pt idx="274">
                  <c:v>-3.2600000000000584</c:v>
                </c:pt>
                <c:pt idx="275">
                  <c:v>-3.2500000000000586</c:v>
                </c:pt>
                <c:pt idx="276">
                  <c:v>-3.2400000000000588</c:v>
                </c:pt>
                <c:pt idx="277">
                  <c:v>-3.230000000000059</c:v>
                </c:pt>
                <c:pt idx="278">
                  <c:v>-3.2200000000000593</c:v>
                </c:pt>
                <c:pt idx="279">
                  <c:v>-3.2100000000000595</c:v>
                </c:pt>
                <c:pt idx="280">
                  <c:v>-3.2000000000000597</c:v>
                </c:pt>
                <c:pt idx="281">
                  <c:v>-3.1900000000000599</c:v>
                </c:pt>
                <c:pt idx="282">
                  <c:v>-3.1800000000000601</c:v>
                </c:pt>
                <c:pt idx="283">
                  <c:v>-3.1700000000000603</c:v>
                </c:pt>
                <c:pt idx="284">
                  <c:v>-3.1600000000000605</c:v>
                </c:pt>
                <c:pt idx="285">
                  <c:v>-3.1500000000000608</c:v>
                </c:pt>
                <c:pt idx="286">
                  <c:v>-3.140000000000061</c:v>
                </c:pt>
                <c:pt idx="287">
                  <c:v>-3.1300000000000612</c:v>
                </c:pt>
                <c:pt idx="288">
                  <c:v>-3.1200000000000614</c:v>
                </c:pt>
                <c:pt idx="289">
                  <c:v>-3.1100000000000616</c:v>
                </c:pt>
                <c:pt idx="290">
                  <c:v>-3.1000000000000618</c:v>
                </c:pt>
                <c:pt idx="291">
                  <c:v>-3.090000000000062</c:v>
                </c:pt>
                <c:pt idx="292">
                  <c:v>-3.0800000000000622</c:v>
                </c:pt>
                <c:pt idx="293">
                  <c:v>-3.0700000000000625</c:v>
                </c:pt>
                <c:pt idx="294">
                  <c:v>-3.0600000000000627</c:v>
                </c:pt>
                <c:pt idx="295">
                  <c:v>-3.0500000000000629</c:v>
                </c:pt>
                <c:pt idx="296">
                  <c:v>-3.0400000000000631</c:v>
                </c:pt>
                <c:pt idx="297">
                  <c:v>-3.0300000000000633</c:v>
                </c:pt>
                <c:pt idx="298">
                  <c:v>-3.0200000000000635</c:v>
                </c:pt>
                <c:pt idx="299">
                  <c:v>-3.0100000000000637</c:v>
                </c:pt>
                <c:pt idx="300">
                  <c:v>-3.0000000000000639</c:v>
                </c:pt>
                <c:pt idx="301">
                  <c:v>-2.9900000000000642</c:v>
                </c:pt>
                <c:pt idx="302">
                  <c:v>-2.9800000000000644</c:v>
                </c:pt>
                <c:pt idx="303">
                  <c:v>-2.9700000000000646</c:v>
                </c:pt>
                <c:pt idx="304">
                  <c:v>-2.9600000000000648</c:v>
                </c:pt>
                <c:pt idx="305">
                  <c:v>-2.950000000000065</c:v>
                </c:pt>
                <c:pt idx="306">
                  <c:v>-2.9400000000000652</c:v>
                </c:pt>
                <c:pt idx="307">
                  <c:v>-2.9300000000000654</c:v>
                </c:pt>
                <c:pt idx="308">
                  <c:v>-2.9200000000000657</c:v>
                </c:pt>
                <c:pt idx="309">
                  <c:v>-2.9100000000000659</c:v>
                </c:pt>
                <c:pt idx="310">
                  <c:v>-2.9000000000000661</c:v>
                </c:pt>
                <c:pt idx="311">
                  <c:v>-2.8900000000000663</c:v>
                </c:pt>
                <c:pt idx="312">
                  <c:v>-2.8800000000000665</c:v>
                </c:pt>
                <c:pt idx="313">
                  <c:v>-2.8700000000000667</c:v>
                </c:pt>
                <c:pt idx="314">
                  <c:v>-2.8600000000000669</c:v>
                </c:pt>
                <c:pt idx="315">
                  <c:v>-2.8500000000000671</c:v>
                </c:pt>
                <c:pt idx="316">
                  <c:v>-2.8400000000000674</c:v>
                </c:pt>
                <c:pt idx="317">
                  <c:v>-2.8300000000000676</c:v>
                </c:pt>
                <c:pt idx="318">
                  <c:v>-2.8200000000000678</c:v>
                </c:pt>
                <c:pt idx="319">
                  <c:v>-2.810000000000068</c:v>
                </c:pt>
                <c:pt idx="320">
                  <c:v>-2.8000000000000682</c:v>
                </c:pt>
                <c:pt idx="321">
                  <c:v>-2.7900000000000684</c:v>
                </c:pt>
                <c:pt idx="322">
                  <c:v>-2.7800000000000686</c:v>
                </c:pt>
                <c:pt idx="323">
                  <c:v>-2.7700000000000689</c:v>
                </c:pt>
                <c:pt idx="324">
                  <c:v>-2.7600000000000691</c:v>
                </c:pt>
                <c:pt idx="325">
                  <c:v>-2.7500000000000693</c:v>
                </c:pt>
                <c:pt idx="326">
                  <c:v>-2.7400000000000695</c:v>
                </c:pt>
                <c:pt idx="327">
                  <c:v>-2.7300000000000697</c:v>
                </c:pt>
                <c:pt idx="328">
                  <c:v>-2.7200000000000699</c:v>
                </c:pt>
                <c:pt idx="329">
                  <c:v>-2.7100000000000701</c:v>
                </c:pt>
                <c:pt idx="330">
                  <c:v>-2.7000000000000703</c:v>
                </c:pt>
                <c:pt idx="331">
                  <c:v>-2.6900000000000706</c:v>
                </c:pt>
                <c:pt idx="332">
                  <c:v>-2.6800000000000708</c:v>
                </c:pt>
                <c:pt idx="333">
                  <c:v>-2.670000000000071</c:v>
                </c:pt>
                <c:pt idx="334">
                  <c:v>-2.6600000000000712</c:v>
                </c:pt>
                <c:pt idx="335">
                  <c:v>-2.6500000000000714</c:v>
                </c:pt>
                <c:pt idx="336">
                  <c:v>-2.6400000000000716</c:v>
                </c:pt>
                <c:pt idx="337">
                  <c:v>-2.6300000000000718</c:v>
                </c:pt>
                <c:pt idx="338">
                  <c:v>-2.620000000000072</c:v>
                </c:pt>
                <c:pt idx="339">
                  <c:v>-2.6100000000000723</c:v>
                </c:pt>
                <c:pt idx="340">
                  <c:v>-2.6000000000000725</c:v>
                </c:pt>
                <c:pt idx="341">
                  <c:v>-2.5900000000000727</c:v>
                </c:pt>
                <c:pt idx="342">
                  <c:v>-2.5800000000000729</c:v>
                </c:pt>
                <c:pt idx="343">
                  <c:v>-2.5700000000000731</c:v>
                </c:pt>
                <c:pt idx="344">
                  <c:v>-2.5600000000000733</c:v>
                </c:pt>
                <c:pt idx="345">
                  <c:v>-2.5500000000000735</c:v>
                </c:pt>
                <c:pt idx="346">
                  <c:v>-2.5400000000000738</c:v>
                </c:pt>
                <c:pt idx="347">
                  <c:v>-2.530000000000074</c:v>
                </c:pt>
                <c:pt idx="348">
                  <c:v>-2.5200000000000742</c:v>
                </c:pt>
                <c:pt idx="349">
                  <c:v>-2.5100000000000744</c:v>
                </c:pt>
                <c:pt idx="350">
                  <c:v>-2.5000000000000746</c:v>
                </c:pt>
                <c:pt idx="351">
                  <c:v>-2.4900000000000748</c:v>
                </c:pt>
                <c:pt idx="352">
                  <c:v>-2.480000000000075</c:v>
                </c:pt>
                <c:pt idx="353">
                  <c:v>-2.4700000000000752</c:v>
                </c:pt>
                <c:pt idx="354">
                  <c:v>-2.4600000000000755</c:v>
                </c:pt>
                <c:pt idx="355">
                  <c:v>-2.4500000000000757</c:v>
                </c:pt>
                <c:pt idx="356">
                  <c:v>-2.4400000000000759</c:v>
                </c:pt>
                <c:pt idx="357">
                  <c:v>-2.4300000000000761</c:v>
                </c:pt>
                <c:pt idx="358">
                  <c:v>-2.4200000000000763</c:v>
                </c:pt>
                <c:pt idx="359">
                  <c:v>-2.4100000000000765</c:v>
                </c:pt>
                <c:pt idx="360">
                  <c:v>-2.4000000000000767</c:v>
                </c:pt>
                <c:pt idx="361">
                  <c:v>-2.390000000000077</c:v>
                </c:pt>
                <c:pt idx="362">
                  <c:v>-2.3800000000000772</c:v>
                </c:pt>
                <c:pt idx="363">
                  <c:v>-2.3700000000000774</c:v>
                </c:pt>
                <c:pt idx="364">
                  <c:v>-2.3600000000000776</c:v>
                </c:pt>
                <c:pt idx="365">
                  <c:v>-2.3500000000000778</c:v>
                </c:pt>
                <c:pt idx="366">
                  <c:v>-2.340000000000078</c:v>
                </c:pt>
                <c:pt idx="367">
                  <c:v>-2.3300000000000782</c:v>
                </c:pt>
                <c:pt idx="368">
                  <c:v>-2.3200000000000784</c:v>
                </c:pt>
                <c:pt idx="369">
                  <c:v>-2.3100000000000787</c:v>
                </c:pt>
                <c:pt idx="370">
                  <c:v>-2.3000000000000789</c:v>
                </c:pt>
                <c:pt idx="371">
                  <c:v>-2.2900000000000791</c:v>
                </c:pt>
                <c:pt idx="372">
                  <c:v>-2.2800000000000793</c:v>
                </c:pt>
                <c:pt idx="373">
                  <c:v>-2.2700000000000795</c:v>
                </c:pt>
                <c:pt idx="374">
                  <c:v>-2.2600000000000797</c:v>
                </c:pt>
                <c:pt idx="375">
                  <c:v>-2.2500000000000799</c:v>
                </c:pt>
                <c:pt idx="376">
                  <c:v>-2.2400000000000801</c:v>
                </c:pt>
                <c:pt idx="377">
                  <c:v>-2.2300000000000804</c:v>
                </c:pt>
                <c:pt idx="378">
                  <c:v>-2.2200000000000806</c:v>
                </c:pt>
                <c:pt idx="379">
                  <c:v>-2.2100000000000808</c:v>
                </c:pt>
                <c:pt idx="380">
                  <c:v>-2.200000000000081</c:v>
                </c:pt>
                <c:pt idx="381">
                  <c:v>-2.1900000000000812</c:v>
                </c:pt>
                <c:pt idx="382">
                  <c:v>-2.1800000000000814</c:v>
                </c:pt>
                <c:pt idx="383">
                  <c:v>-2.1700000000000816</c:v>
                </c:pt>
                <c:pt idx="384">
                  <c:v>-2.1600000000000819</c:v>
                </c:pt>
                <c:pt idx="385">
                  <c:v>-2.1500000000000821</c:v>
                </c:pt>
                <c:pt idx="386">
                  <c:v>-2.1400000000000823</c:v>
                </c:pt>
                <c:pt idx="387">
                  <c:v>-2.1300000000000825</c:v>
                </c:pt>
                <c:pt idx="388">
                  <c:v>-2.1200000000000827</c:v>
                </c:pt>
                <c:pt idx="389">
                  <c:v>-2.1100000000000829</c:v>
                </c:pt>
                <c:pt idx="390">
                  <c:v>-2.1000000000000831</c:v>
                </c:pt>
                <c:pt idx="391">
                  <c:v>-2.0900000000000833</c:v>
                </c:pt>
                <c:pt idx="392">
                  <c:v>-2.0800000000000836</c:v>
                </c:pt>
                <c:pt idx="393">
                  <c:v>-2.0700000000000838</c:v>
                </c:pt>
                <c:pt idx="394">
                  <c:v>-2.060000000000084</c:v>
                </c:pt>
                <c:pt idx="395">
                  <c:v>-2.0500000000000842</c:v>
                </c:pt>
                <c:pt idx="396">
                  <c:v>-2.0400000000000844</c:v>
                </c:pt>
                <c:pt idx="397">
                  <c:v>-2.0300000000000846</c:v>
                </c:pt>
                <c:pt idx="398">
                  <c:v>-2.0200000000000848</c:v>
                </c:pt>
                <c:pt idx="399">
                  <c:v>-2.0100000000000851</c:v>
                </c:pt>
                <c:pt idx="400">
                  <c:v>-2.0000000000000853</c:v>
                </c:pt>
                <c:pt idx="401">
                  <c:v>-1.9900000000000853</c:v>
                </c:pt>
                <c:pt idx="402">
                  <c:v>-1.9800000000000852</c:v>
                </c:pt>
                <c:pt idx="403">
                  <c:v>-1.9700000000000852</c:v>
                </c:pt>
                <c:pt idx="404">
                  <c:v>-1.9600000000000852</c:v>
                </c:pt>
                <c:pt idx="405">
                  <c:v>-1.9500000000000852</c:v>
                </c:pt>
                <c:pt idx="406">
                  <c:v>-1.9400000000000852</c:v>
                </c:pt>
                <c:pt idx="407">
                  <c:v>-1.9300000000000852</c:v>
                </c:pt>
                <c:pt idx="408">
                  <c:v>-1.9200000000000852</c:v>
                </c:pt>
                <c:pt idx="409">
                  <c:v>-1.9100000000000852</c:v>
                </c:pt>
                <c:pt idx="410">
                  <c:v>-1.9000000000000852</c:v>
                </c:pt>
                <c:pt idx="411">
                  <c:v>-1.8900000000000852</c:v>
                </c:pt>
                <c:pt idx="412">
                  <c:v>-1.8800000000000852</c:v>
                </c:pt>
                <c:pt idx="413">
                  <c:v>-1.8700000000000851</c:v>
                </c:pt>
                <c:pt idx="414">
                  <c:v>-1.8600000000000851</c:v>
                </c:pt>
                <c:pt idx="415">
                  <c:v>-1.8500000000000851</c:v>
                </c:pt>
                <c:pt idx="416">
                  <c:v>-1.8400000000000851</c:v>
                </c:pt>
                <c:pt idx="417">
                  <c:v>-1.8300000000000851</c:v>
                </c:pt>
                <c:pt idx="418">
                  <c:v>-1.8200000000000851</c:v>
                </c:pt>
                <c:pt idx="419">
                  <c:v>-1.8100000000000851</c:v>
                </c:pt>
                <c:pt idx="420">
                  <c:v>-1.8000000000000851</c:v>
                </c:pt>
                <c:pt idx="421">
                  <c:v>-1.7900000000000851</c:v>
                </c:pt>
                <c:pt idx="422">
                  <c:v>-1.7800000000000851</c:v>
                </c:pt>
                <c:pt idx="423">
                  <c:v>-1.7700000000000851</c:v>
                </c:pt>
                <c:pt idx="424">
                  <c:v>-1.7600000000000851</c:v>
                </c:pt>
                <c:pt idx="425">
                  <c:v>-1.750000000000085</c:v>
                </c:pt>
                <c:pt idx="426">
                  <c:v>-1.740000000000085</c:v>
                </c:pt>
                <c:pt idx="427">
                  <c:v>-1.730000000000085</c:v>
                </c:pt>
                <c:pt idx="428">
                  <c:v>-1.720000000000085</c:v>
                </c:pt>
                <c:pt idx="429">
                  <c:v>-1.710000000000085</c:v>
                </c:pt>
                <c:pt idx="430">
                  <c:v>-1.700000000000085</c:v>
                </c:pt>
                <c:pt idx="431">
                  <c:v>-1.690000000000085</c:v>
                </c:pt>
                <c:pt idx="432">
                  <c:v>-1.680000000000085</c:v>
                </c:pt>
                <c:pt idx="433">
                  <c:v>-1.670000000000085</c:v>
                </c:pt>
                <c:pt idx="434">
                  <c:v>-1.660000000000085</c:v>
                </c:pt>
                <c:pt idx="435">
                  <c:v>-1.650000000000085</c:v>
                </c:pt>
                <c:pt idx="436">
                  <c:v>-1.6400000000000849</c:v>
                </c:pt>
                <c:pt idx="437">
                  <c:v>-1.6300000000000849</c:v>
                </c:pt>
                <c:pt idx="438">
                  <c:v>-1.6200000000000849</c:v>
                </c:pt>
                <c:pt idx="439">
                  <c:v>-1.6100000000000849</c:v>
                </c:pt>
                <c:pt idx="440">
                  <c:v>-1.6000000000000849</c:v>
                </c:pt>
                <c:pt idx="441">
                  <c:v>-1.5900000000000849</c:v>
                </c:pt>
                <c:pt idx="442">
                  <c:v>-1.5800000000000849</c:v>
                </c:pt>
                <c:pt idx="443">
                  <c:v>-1.5700000000000849</c:v>
                </c:pt>
                <c:pt idx="444">
                  <c:v>-1.5600000000000849</c:v>
                </c:pt>
                <c:pt idx="445">
                  <c:v>-1.5500000000000849</c:v>
                </c:pt>
                <c:pt idx="446">
                  <c:v>-1.5400000000000849</c:v>
                </c:pt>
                <c:pt idx="447">
                  <c:v>-1.5300000000000848</c:v>
                </c:pt>
                <c:pt idx="448">
                  <c:v>-1.5200000000000848</c:v>
                </c:pt>
                <c:pt idx="449">
                  <c:v>-1.5100000000000848</c:v>
                </c:pt>
                <c:pt idx="450">
                  <c:v>-1.5000000000000848</c:v>
                </c:pt>
                <c:pt idx="451">
                  <c:v>-1.4900000000000848</c:v>
                </c:pt>
                <c:pt idx="452">
                  <c:v>-1.4800000000000848</c:v>
                </c:pt>
                <c:pt idx="453">
                  <c:v>-1.4700000000000848</c:v>
                </c:pt>
                <c:pt idx="454">
                  <c:v>-1.4600000000000848</c:v>
                </c:pt>
                <c:pt idx="455">
                  <c:v>-1.4500000000000848</c:v>
                </c:pt>
                <c:pt idx="456">
                  <c:v>-1.4400000000000848</c:v>
                </c:pt>
                <c:pt idx="457">
                  <c:v>-1.4300000000000848</c:v>
                </c:pt>
                <c:pt idx="458">
                  <c:v>-1.4200000000000847</c:v>
                </c:pt>
                <c:pt idx="459">
                  <c:v>-1.4100000000000847</c:v>
                </c:pt>
                <c:pt idx="460">
                  <c:v>-1.4000000000000847</c:v>
                </c:pt>
                <c:pt idx="461">
                  <c:v>-1.3900000000000847</c:v>
                </c:pt>
                <c:pt idx="462">
                  <c:v>-1.3800000000000847</c:v>
                </c:pt>
                <c:pt idx="463">
                  <c:v>-1.3700000000000847</c:v>
                </c:pt>
                <c:pt idx="464">
                  <c:v>-1.3600000000000847</c:v>
                </c:pt>
                <c:pt idx="465">
                  <c:v>-1.3500000000000847</c:v>
                </c:pt>
                <c:pt idx="466">
                  <c:v>-1.3400000000000847</c:v>
                </c:pt>
                <c:pt idx="467">
                  <c:v>-1.3300000000000847</c:v>
                </c:pt>
                <c:pt idx="468">
                  <c:v>-1.3200000000000847</c:v>
                </c:pt>
                <c:pt idx="469">
                  <c:v>-1.3100000000000847</c:v>
                </c:pt>
                <c:pt idx="470">
                  <c:v>-1.3000000000000846</c:v>
                </c:pt>
                <c:pt idx="471">
                  <c:v>-1.2900000000000846</c:v>
                </c:pt>
                <c:pt idx="472">
                  <c:v>-1.2800000000000846</c:v>
                </c:pt>
                <c:pt idx="473">
                  <c:v>-1.2700000000000846</c:v>
                </c:pt>
                <c:pt idx="474">
                  <c:v>-1.2600000000000846</c:v>
                </c:pt>
                <c:pt idx="475">
                  <c:v>-1.2500000000000846</c:v>
                </c:pt>
                <c:pt idx="476">
                  <c:v>-1.2400000000000846</c:v>
                </c:pt>
                <c:pt idx="477">
                  <c:v>-1.2300000000000846</c:v>
                </c:pt>
                <c:pt idx="478">
                  <c:v>-1.2200000000000846</c:v>
                </c:pt>
                <c:pt idx="479">
                  <c:v>-1.2100000000000846</c:v>
                </c:pt>
                <c:pt idx="480">
                  <c:v>-1.2000000000000846</c:v>
                </c:pt>
                <c:pt idx="481">
                  <c:v>-1.1900000000000845</c:v>
                </c:pt>
                <c:pt idx="482">
                  <c:v>-1.1800000000000845</c:v>
                </c:pt>
                <c:pt idx="483">
                  <c:v>-1.1700000000000845</c:v>
                </c:pt>
                <c:pt idx="484">
                  <c:v>-1.1600000000000845</c:v>
                </c:pt>
                <c:pt idx="485">
                  <c:v>-1.1500000000000845</c:v>
                </c:pt>
                <c:pt idx="486">
                  <c:v>-1.1400000000000845</c:v>
                </c:pt>
                <c:pt idx="487">
                  <c:v>-1.1300000000000845</c:v>
                </c:pt>
                <c:pt idx="488">
                  <c:v>-1.1200000000000845</c:v>
                </c:pt>
                <c:pt idx="489">
                  <c:v>-1.1100000000000845</c:v>
                </c:pt>
                <c:pt idx="490">
                  <c:v>-1.1000000000000845</c:v>
                </c:pt>
                <c:pt idx="491">
                  <c:v>-1.0900000000000845</c:v>
                </c:pt>
                <c:pt idx="492">
                  <c:v>-1.0800000000000844</c:v>
                </c:pt>
                <c:pt idx="493">
                  <c:v>-1.0700000000000844</c:v>
                </c:pt>
                <c:pt idx="494">
                  <c:v>-1.0600000000000844</c:v>
                </c:pt>
                <c:pt idx="495">
                  <c:v>-1.0500000000000844</c:v>
                </c:pt>
                <c:pt idx="496">
                  <c:v>-1.0400000000000844</c:v>
                </c:pt>
                <c:pt idx="497">
                  <c:v>-1.0300000000000844</c:v>
                </c:pt>
                <c:pt idx="498">
                  <c:v>-1.0200000000000844</c:v>
                </c:pt>
                <c:pt idx="499">
                  <c:v>-1.0100000000000844</c:v>
                </c:pt>
                <c:pt idx="500">
                  <c:v>-1.0000000000000844</c:v>
                </c:pt>
                <c:pt idx="501">
                  <c:v>-0.99000000000008437</c:v>
                </c:pt>
                <c:pt idx="502">
                  <c:v>-0.98000000000008436</c:v>
                </c:pt>
                <c:pt idx="503">
                  <c:v>-0.97000000000008435</c:v>
                </c:pt>
                <c:pt idx="504">
                  <c:v>-0.96000000000008434</c:v>
                </c:pt>
                <c:pt idx="505">
                  <c:v>-0.95000000000008433</c:v>
                </c:pt>
                <c:pt idx="506">
                  <c:v>-0.94000000000008432</c:v>
                </c:pt>
                <c:pt idx="507">
                  <c:v>-0.93000000000008431</c:v>
                </c:pt>
                <c:pt idx="508">
                  <c:v>-0.92000000000008431</c:v>
                </c:pt>
                <c:pt idx="509">
                  <c:v>-0.9100000000000843</c:v>
                </c:pt>
                <c:pt idx="510">
                  <c:v>-0.90000000000008429</c:v>
                </c:pt>
                <c:pt idx="511">
                  <c:v>-0.89000000000008428</c:v>
                </c:pt>
                <c:pt idx="512">
                  <c:v>-0.88000000000008427</c:v>
                </c:pt>
                <c:pt idx="513">
                  <c:v>-0.87000000000008426</c:v>
                </c:pt>
                <c:pt idx="514">
                  <c:v>-0.86000000000008425</c:v>
                </c:pt>
                <c:pt idx="515">
                  <c:v>-0.85000000000008424</c:v>
                </c:pt>
                <c:pt idx="516">
                  <c:v>-0.84000000000008423</c:v>
                </c:pt>
                <c:pt idx="517">
                  <c:v>-0.83000000000008423</c:v>
                </c:pt>
                <c:pt idx="518">
                  <c:v>-0.82000000000008422</c:v>
                </c:pt>
                <c:pt idx="519">
                  <c:v>-0.81000000000008421</c:v>
                </c:pt>
                <c:pt idx="520">
                  <c:v>-0.8000000000000842</c:v>
                </c:pt>
                <c:pt idx="521">
                  <c:v>-0.79000000000008419</c:v>
                </c:pt>
                <c:pt idx="522">
                  <c:v>-0.78000000000008418</c:v>
                </c:pt>
                <c:pt idx="523">
                  <c:v>-0.77000000000008417</c:v>
                </c:pt>
                <c:pt idx="524">
                  <c:v>-0.76000000000008416</c:v>
                </c:pt>
                <c:pt idx="525">
                  <c:v>-0.75000000000008415</c:v>
                </c:pt>
                <c:pt idx="526">
                  <c:v>-0.74000000000008415</c:v>
                </c:pt>
                <c:pt idx="527">
                  <c:v>-0.73000000000008414</c:v>
                </c:pt>
                <c:pt idx="528">
                  <c:v>-0.72000000000008413</c:v>
                </c:pt>
                <c:pt idx="529">
                  <c:v>-0.71000000000008412</c:v>
                </c:pt>
                <c:pt idx="530">
                  <c:v>-0.70000000000008411</c:v>
                </c:pt>
                <c:pt idx="531">
                  <c:v>-0.6900000000000841</c:v>
                </c:pt>
                <c:pt idx="532">
                  <c:v>-0.68000000000008409</c:v>
                </c:pt>
                <c:pt idx="533">
                  <c:v>-0.67000000000008408</c:v>
                </c:pt>
                <c:pt idx="534">
                  <c:v>-0.66000000000008407</c:v>
                </c:pt>
                <c:pt idx="535">
                  <c:v>-0.65000000000008407</c:v>
                </c:pt>
                <c:pt idx="536">
                  <c:v>-0.64000000000008406</c:v>
                </c:pt>
                <c:pt idx="537">
                  <c:v>-0.63000000000008405</c:v>
                </c:pt>
                <c:pt idx="538">
                  <c:v>-0.62000000000008404</c:v>
                </c:pt>
                <c:pt idx="539">
                  <c:v>-0.61000000000008403</c:v>
                </c:pt>
                <c:pt idx="540">
                  <c:v>-0.60000000000008402</c:v>
                </c:pt>
                <c:pt idx="541">
                  <c:v>-0.59000000000008401</c:v>
                </c:pt>
                <c:pt idx="542">
                  <c:v>-0.580000000000084</c:v>
                </c:pt>
                <c:pt idx="543">
                  <c:v>-0.570000000000084</c:v>
                </c:pt>
                <c:pt idx="544">
                  <c:v>-0.56000000000008399</c:v>
                </c:pt>
                <c:pt idx="545">
                  <c:v>-0.55000000000008398</c:v>
                </c:pt>
                <c:pt idx="546">
                  <c:v>-0.54000000000008397</c:v>
                </c:pt>
                <c:pt idx="547">
                  <c:v>-0.53000000000008396</c:v>
                </c:pt>
                <c:pt idx="548">
                  <c:v>-0.52000000000008395</c:v>
                </c:pt>
                <c:pt idx="549">
                  <c:v>-0.51000000000008394</c:v>
                </c:pt>
                <c:pt idx="550">
                  <c:v>-0.50000000000008393</c:v>
                </c:pt>
                <c:pt idx="551">
                  <c:v>-0.49000000000008392</c:v>
                </c:pt>
                <c:pt idx="552">
                  <c:v>-0.48000000000008392</c:v>
                </c:pt>
                <c:pt idx="553">
                  <c:v>-0.47000000000008391</c:v>
                </c:pt>
                <c:pt idx="554">
                  <c:v>-0.4600000000000839</c:v>
                </c:pt>
                <c:pt idx="555">
                  <c:v>-0.45000000000008389</c:v>
                </c:pt>
                <c:pt idx="556">
                  <c:v>-0.44000000000008388</c:v>
                </c:pt>
                <c:pt idx="557">
                  <c:v>-0.43000000000008387</c:v>
                </c:pt>
                <c:pt idx="558">
                  <c:v>-0.42000000000008386</c:v>
                </c:pt>
                <c:pt idx="559">
                  <c:v>-0.41000000000008385</c:v>
                </c:pt>
                <c:pt idx="560">
                  <c:v>-0.40000000000008384</c:v>
                </c:pt>
                <c:pt idx="561">
                  <c:v>-0.39000000000008384</c:v>
                </c:pt>
                <c:pt idx="562">
                  <c:v>-0.38000000000008383</c:v>
                </c:pt>
                <c:pt idx="563">
                  <c:v>-0.37000000000008382</c:v>
                </c:pt>
                <c:pt idx="564">
                  <c:v>-0.36000000000008381</c:v>
                </c:pt>
                <c:pt idx="565">
                  <c:v>-0.3500000000000838</c:v>
                </c:pt>
                <c:pt idx="566">
                  <c:v>-0.34000000000008379</c:v>
                </c:pt>
                <c:pt idx="567">
                  <c:v>-0.33000000000008378</c:v>
                </c:pt>
                <c:pt idx="568">
                  <c:v>-0.32000000000008377</c:v>
                </c:pt>
                <c:pt idx="569">
                  <c:v>-0.31000000000008376</c:v>
                </c:pt>
                <c:pt idx="570">
                  <c:v>-0.30000000000008376</c:v>
                </c:pt>
                <c:pt idx="571">
                  <c:v>-0.29000000000008375</c:v>
                </c:pt>
                <c:pt idx="572">
                  <c:v>-0.28000000000008374</c:v>
                </c:pt>
                <c:pt idx="573">
                  <c:v>-0.27000000000008373</c:v>
                </c:pt>
                <c:pt idx="574">
                  <c:v>-0.26000000000008372</c:v>
                </c:pt>
                <c:pt idx="575">
                  <c:v>-0.25000000000008371</c:v>
                </c:pt>
                <c:pt idx="576">
                  <c:v>-0.2400000000000837</c:v>
                </c:pt>
                <c:pt idx="577">
                  <c:v>-0.23000000000008369</c:v>
                </c:pt>
                <c:pt idx="578">
                  <c:v>-0.22000000000008368</c:v>
                </c:pt>
                <c:pt idx="579">
                  <c:v>-0.21000000000008368</c:v>
                </c:pt>
                <c:pt idx="580">
                  <c:v>-0.20000000000008367</c:v>
                </c:pt>
                <c:pt idx="581">
                  <c:v>-0.19000000000008366</c:v>
                </c:pt>
                <c:pt idx="582">
                  <c:v>-0.18000000000008365</c:v>
                </c:pt>
                <c:pt idx="583">
                  <c:v>-0.17000000000008364</c:v>
                </c:pt>
                <c:pt idx="584">
                  <c:v>-0.16000000000008363</c:v>
                </c:pt>
                <c:pt idx="585">
                  <c:v>-0.15000000000008362</c:v>
                </c:pt>
                <c:pt idx="586">
                  <c:v>-0.14000000000008361</c:v>
                </c:pt>
                <c:pt idx="587">
                  <c:v>-0.1300000000000836</c:v>
                </c:pt>
                <c:pt idx="588">
                  <c:v>-0.12000000000008361</c:v>
                </c:pt>
                <c:pt idx="589">
                  <c:v>-0.11000000000008361</c:v>
                </c:pt>
                <c:pt idx="590">
                  <c:v>-0.10000000000008362</c:v>
                </c:pt>
                <c:pt idx="591">
                  <c:v>-9.0000000000083624E-2</c:v>
                </c:pt>
                <c:pt idx="592">
                  <c:v>-8.0000000000083629E-2</c:v>
                </c:pt>
                <c:pt idx="593">
                  <c:v>-7.0000000000083634E-2</c:v>
                </c:pt>
                <c:pt idx="594">
                  <c:v>-6.0000000000083632E-2</c:v>
                </c:pt>
                <c:pt idx="595">
                  <c:v>-5.000000000008363E-2</c:v>
                </c:pt>
                <c:pt idx="596">
                  <c:v>-4.0000000000083628E-2</c:v>
                </c:pt>
                <c:pt idx="597">
                  <c:v>-3.0000000000083626E-2</c:v>
                </c:pt>
                <c:pt idx="598">
                  <c:v>-2.0000000000083624E-2</c:v>
                </c:pt>
                <c:pt idx="599">
                  <c:v>-1.0000000000083624E-2</c:v>
                </c:pt>
                <c:pt idx="600">
                  <c:v>-8.3624079882937963E-14</c:v>
                </c:pt>
                <c:pt idx="601">
                  <c:v>9.9999999999163761E-3</c:v>
                </c:pt>
                <c:pt idx="602">
                  <c:v>1.9999999999916376E-2</c:v>
                </c:pt>
                <c:pt idx="603">
                  <c:v>2.9999999999916378E-2</c:v>
                </c:pt>
                <c:pt idx="604">
                  <c:v>3.999999999991638E-2</c:v>
                </c:pt>
                <c:pt idx="605">
                  <c:v>4.9999999999916382E-2</c:v>
                </c:pt>
                <c:pt idx="606">
                  <c:v>5.9999999999916384E-2</c:v>
                </c:pt>
                <c:pt idx="607">
                  <c:v>6.9999999999916379E-2</c:v>
                </c:pt>
                <c:pt idx="608">
                  <c:v>7.9999999999916374E-2</c:v>
                </c:pt>
                <c:pt idx="609">
                  <c:v>8.9999999999916369E-2</c:v>
                </c:pt>
                <c:pt idx="610">
                  <c:v>9.9999999999916364E-2</c:v>
                </c:pt>
                <c:pt idx="611">
                  <c:v>0.10999999999991636</c:v>
                </c:pt>
                <c:pt idx="612">
                  <c:v>0.11999999999991635</c:v>
                </c:pt>
                <c:pt idx="613">
                  <c:v>0.12999999999991635</c:v>
                </c:pt>
                <c:pt idx="614">
                  <c:v>0.13999999999991636</c:v>
                </c:pt>
                <c:pt idx="615">
                  <c:v>0.14999999999991637</c:v>
                </c:pt>
                <c:pt idx="616">
                  <c:v>0.15999999999991638</c:v>
                </c:pt>
                <c:pt idx="617">
                  <c:v>0.16999999999991638</c:v>
                </c:pt>
                <c:pt idx="618">
                  <c:v>0.17999999999991639</c:v>
                </c:pt>
                <c:pt idx="619">
                  <c:v>0.1899999999999164</c:v>
                </c:pt>
                <c:pt idx="620">
                  <c:v>0.19999999999991641</c:v>
                </c:pt>
                <c:pt idx="621">
                  <c:v>0.20999999999991642</c:v>
                </c:pt>
                <c:pt idx="622">
                  <c:v>0.21999999999991643</c:v>
                </c:pt>
                <c:pt idx="623">
                  <c:v>0.22999999999991644</c:v>
                </c:pt>
                <c:pt idx="624">
                  <c:v>0.23999999999991645</c:v>
                </c:pt>
                <c:pt idx="625">
                  <c:v>0.24999999999991646</c:v>
                </c:pt>
                <c:pt idx="626">
                  <c:v>0.25999999999991646</c:v>
                </c:pt>
                <c:pt idx="627">
                  <c:v>0.26999999999991647</c:v>
                </c:pt>
                <c:pt idx="628">
                  <c:v>0.27999999999991648</c:v>
                </c:pt>
                <c:pt idx="629">
                  <c:v>0.28999999999991649</c:v>
                </c:pt>
                <c:pt idx="630">
                  <c:v>0.2999999999999165</c:v>
                </c:pt>
                <c:pt idx="631">
                  <c:v>0.30999999999991651</c:v>
                </c:pt>
                <c:pt idx="632">
                  <c:v>0.31999999999991652</c:v>
                </c:pt>
                <c:pt idx="633">
                  <c:v>0.32999999999991653</c:v>
                </c:pt>
                <c:pt idx="634">
                  <c:v>0.33999999999991654</c:v>
                </c:pt>
                <c:pt idx="635">
                  <c:v>0.34999999999991654</c:v>
                </c:pt>
                <c:pt idx="636">
                  <c:v>0.35999999999991655</c:v>
                </c:pt>
                <c:pt idx="637">
                  <c:v>0.36999999999991656</c:v>
                </c:pt>
                <c:pt idx="638">
                  <c:v>0.37999999999991657</c:v>
                </c:pt>
                <c:pt idx="639">
                  <c:v>0.38999999999991658</c:v>
                </c:pt>
                <c:pt idx="640">
                  <c:v>0.39999999999991659</c:v>
                </c:pt>
                <c:pt idx="641">
                  <c:v>0.4099999999999166</c:v>
                </c:pt>
                <c:pt idx="642">
                  <c:v>0.41999999999991661</c:v>
                </c:pt>
                <c:pt idx="643">
                  <c:v>0.42999999999991662</c:v>
                </c:pt>
                <c:pt idx="644">
                  <c:v>0.43999999999991662</c:v>
                </c:pt>
                <c:pt idx="645">
                  <c:v>0.44999999999991663</c:v>
                </c:pt>
                <c:pt idx="646">
                  <c:v>0.45999999999991664</c:v>
                </c:pt>
                <c:pt idx="647">
                  <c:v>0.46999999999991665</c:v>
                </c:pt>
                <c:pt idx="648">
                  <c:v>0.47999999999991666</c:v>
                </c:pt>
                <c:pt idx="649">
                  <c:v>0.48999999999991667</c:v>
                </c:pt>
                <c:pt idx="650">
                  <c:v>0.49999999999991668</c:v>
                </c:pt>
                <c:pt idx="651">
                  <c:v>0.50999999999991663</c:v>
                </c:pt>
                <c:pt idx="652">
                  <c:v>0.51999999999991664</c:v>
                </c:pt>
                <c:pt idx="653">
                  <c:v>0.52999999999991665</c:v>
                </c:pt>
                <c:pt idx="654">
                  <c:v>0.53999999999991666</c:v>
                </c:pt>
                <c:pt idx="655">
                  <c:v>0.54999999999991667</c:v>
                </c:pt>
                <c:pt idx="656">
                  <c:v>0.55999999999991668</c:v>
                </c:pt>
                <c:pt idx="657">
                  <c:v>0.56999999999991668</c:v>
                </c:pt>
                <c:pt idx="658">
                  <c:v>0.57999999999991669</c:v>
                </c:pt>
                <c:pt idx="659">
                  <c:v>0.5899999999999167</c:v>
                </c:pt>
                <c:pt idx="660">
                  <c:v>0.59999999999991671</c:v>
                </c:pt>
                <c:pt idx="661">
                  <c:v>0.60999999999991672</c:v>
                </c:pt>
                <c:pt idx="662">
                  <c:v>0.61999999999991673</c:v>
                </c:pt>
                <c:pt idx="663">
                  <c:v>0.62999999999991674</c:v>
                </c:pt>
                <c:pt idx="664">
                  <c:v>0.63999999999991675</c:v>
                </c:pt>
                <c:pt idx="665">
                  <c:v>0.64999999999991676</c:v>
                </c:pt>
                <c:pt idx="666">
                  <c:v>0.65999999999991676</c:v>
                </c:pt>
                <c:pt idx="667">
                  <c:v>0.66999999999991677</c:v>
                </c:pt>
                <c:pt idx="668">
                  <c:v>0.67999999999991678</c:v>
                </c:pt>
                <c:pt idx="669">
                  <c:v>0.68999999999991679</c:v>
                </c:pt>
                <c:pt idx="670">
                  <c:v>0.6999999999999168</c:v>
                </c:pt>
                <c:pt idx="671">
                  <c:v>0.70999999999991681</c:v>
                </c:pt>
                <c:pt idx="672">
                  <c:v>0.71999999999991682</c:v>
                </c:pt>
                <c:pt idx="673">
                  <c:v>0.72999999999991683</c:v>
                </c:pt>
                <c:pt idx="674">
                  <c:v>0.73999999999991684</c:v>
                </c:pt>
                <c:pt idx="675">
                  <c:v>0.74999999999991684</c:v>
                </c:pt>
                <c:pt idx="676">
                  <c:v>0.75999999999991685</c:v>
                </c:pt>
                <c:pt idx="677">
                  <c:v>0.76999999999991686</c:v>
                </c:pt>
                <c:pt idx="678">
                  <c:v>0.77999999999991687</c:v>
                </c:pt>
                <c:pt idx="679">
                  <c:v>0.78999999999991688</c:v>
                </c:pt>
                <c:pt idx="680">
                  <c:v>0.79999999999991689</c:v>
                </c:pt>
                <c:pt idx="681">
                  <c:v>0.8099999999999169</c:v>
                </c:pt>
                <c:pt idx="682">
                  <c:v>0.81999999999991691</c:v>
                </c:pt>
                <c:pt idx="683">
                  <c:v>0.82999999999991692</c:v>
                </c:pt>
                <c:pt idx="684">
                  <c:v>0.83999999999991692</c:v>
                </c:pt>
                <c:pt idx="685">
                  <c:v>0.84999999999991693</c:v>
                </c:pt>
                <c:pt idx="686">
                  <c:v>0.85999999999991694</c:v>
                </c:pt>
                <c:pt idx="687">
                  <c:v>0.86999999999991695</c:v>
                </c:pt>
                <c:pt idx="688">
                  <c:v>0.87999999999991696</c:v>
                </c:pt>
                <c:pt idx="689">
                  <c:v>0.88999999999991697</c:v>
                </c:pt>
                <c:pt idx="690">
                  <c:v>0.89999999999991698</c:v>
                </c:pt>
                <c:pt idx="691">
                  <c:v>0.90999999999991699</c:v>
                </c:pt>
                <c:pt idx="692">
                  <c:v>0.919999999999917</c:v>
                </c:pt>
                <c:pt idx="693">
                  <c:v>0.929999999999917</c:v>
                </c:pt>
                <c:pt idx="694">
                  <c:v>0.93999999999991701</c:v>
                </c:pt>
                <c:pt idx="695">
                  <c:v>0.94999999999991702</c:v>
                </c:pt>
                <c:pt idx="696">
                  <c:v>0.95999999999991703</c:v>
                </c:pt>
                <c:pt idx="697">
                  <c:v>0.96999999999991704</c:v>
                </c:pt>
                <c:pt idx="698">
                  <c:v>0.97999999999991705</c:v>
                </c:pt>
                <c:pt idx="699">
                  <c:v>0.98999999999991706</c:v>
                </c:pt>
                <c:pt idx="700">
                  <c:v>0.99999999999991707</c:v>
                </c:pt>
                <c:pt idx="701">
                  <c:v>1.009999999999917</c:v>
                </c:pt>
                <c:pt idx="702">
                  <c:v>1.019999999999917</c:v>
                </c:pt>
                <c:pt idx="703">
                  <c:v>1.029999999999917</c:v>
                </c:pt>
                <c:pt idx="704">
                  <c:v>1.039999999999917</c:v>
                </c:pt>
                <c:pt idx="705">
                  <c:v>1.049999999999917</c:v>
                </c:pt>
                <c:pt idx="706">
                  <c:v>1.059999999999917</c:v>
                </c:pt>
                <c:pt idx="707">
                  <c:v>1.069999999999917</c:v>
                </c:pt>
                <c:pt idx="708">
                  <c:v>1.079999999999917</c:v>
                </c:pt>
                <c:pt idx="709">
                  <c:v>1.089999999999917</c:v>
                </c:pt>
                <c:pt idx="710">
                  <c:v>1.099999999999917</c:v>
                </c:pt>
                <c:pt idx="711">
                  <c:v>1.1099999999999171</c:v>
                </c:pt>
                <c:pt idx="712">
                  <c:v>1.1199999999999171</c:v>
                </c:pt>
                <c:pt idx="713">
                  <c:v>1.1299999999999171</c:v>
                </c:pt>
                <c:pt idx="714">
                  <c:v>1.1399999999999171</c:v>
                </c:pt>
                <c:pt idx="715">
                  <c:v>1.1499999999999171</c:v>
                </c:pt>
                <c:pt idx="716">
                  <c:v>1.1599999999999171</c:v>
                </c:pt>
                <c:pt idx="717">
                  <c:v>1.1699999999999171</c:v>
                </c:pt>
                <c:pt idx="718">
                  <c:v>1.1799999999999171</c:v>
                </c:pt>
                <c:pt idx="719">
                  <c:v>1.1899999999999171</c:v>
                </c:pt>
                <c:pt idx="720">
                  <c:v>1.1999999999999171</c:v>
                </c:pt>
                <c:pt idx="721">
                  <c:v>1.2099999999999171</c:v>
                </c:pt>
                <c:pt idx="722">
                  <c:v>1.2199999999999172</c:v>
                </c:pt>
                <c:pt idx="723">
                  <c:v>1.2299999999999172</c:v>
                </c:pt>
                <c:pt idx="724">
                  <c:v>1.2399999999999172</c:v>
                </c:pt>
                <c:pt idx="725">
                  <c:v>1.2499999999999172</c:v>
                </c:pt>
                <c:pt idx="726">
                  <c:v>1.2599999999999172</c:v>
                </c:pt>
                <c:pt idx="727">
                  <c:v>1.2699999999999172</c:v>
                </c:pt>
                <c:pt idx="728">
                  <c:v>1.2799999999999172</c:v>
                </c:pt>
                <c:pt idx="729">
                  <c:v>1.2899999999999172</c:v>
                </c:pt>
                <c:pt idx="730">
                  <c:v>1.2999999999999172</c:v>
                </c:pt>
                <c:pt idx="731">
                  <c:v>1.3099999999999172</c:v>
                </c:pt>
                <c:pt idx="732">
                  <c:v>1.3199999999999172</c:v>
                </c:pt>
                <c:pt idx="733">
                  <c:v>1.3299999999999172</c:v>
                </c:pt>
                <c:pt idx="734">
                  <c:v>1.3399999999999173</c:v>
                </c:pt>
                <c:pt idx="735">
                  <c:v>1.3499999999999173</c:v>
                </c:pt>
                <c:pt idx="736">
                  <c:v>1.3599999999999173</c:v>
                </c:pt>
                <c:pt idx="737">
                  <c:v>1.3699999999999173</c:v>
                </c:pt>
                <c:pt idx="738">
                  <c:v>1.3799999999999173</c:v>
                </c:pt>
                <c:pt idx="739">
                  <c:v>1.3899999999999173</c:v>
                </c:pt>
                <c:pt idx="740">
                  <c:v>1.3999999999999173</c:v>
                </c:pt>
                <c:pt idx="741">
                  <c:v>1.4099999999999173</c:v>
                </c:pt>
                <c:pt idx="742">
                  <c:v>1.4199999999999173</c:v>
                </c:pt>
                <c:pt idx="743">
                  <c:v>1.4299999999999173</c:v>
                </c:pt>
                <c:pt idx="744">
                  <c:v>1.4399999999999173</c:v>
                </c:pt>
                <c:pt idx="745">
                  <c:v>1.4499999999999174</c:v>
                </c:pt>
                <c:pt idx="746">
                  <c:v>1.4599999999999174</c:v>
                </c:pt>
                <c:pt idx="747">
                  <c:v>1.4699999999999174</c:v>
                </c:pt>
                <c:pt idx="748">
                  <c:v>1.4799999999999174</c:v>
                </c:pt>
                <c:pt idx="749">
                  <c:v>1.4899999999999174</c:v>
                </c:pt>
                <c:pt idx="750">
                  <c:v>1.4999999999999174</c:v>
                </c:pt>
                <c:pt idx="751">
                  <c:v>1.5099999999999174</c:v>
                </c:pt>
                <c:pt idx="752">
                  <c:v>1.5199999999999174</c:v>
                </c:pt>
                <c:pt idx="753">
                  <c:v>1.5299999999999174</c:v>
                </c:pt>
                <c:pt idx="754">
                  <c:v>1.5399999999999174</c:v>
                </c:pt>
                <c:pt idx="755">
                  <c:v>1.5499999999999174</c:v>
                </c:pt>
                <c:pt idx="756">
                  <c:v>1.5599999999999175</c:v>
                </c:pt>
                <c:pt idx="757">
                  <c:v>1.5699999999999175</c:v>
                </c:pt>
                <c:pt idx="758">
                  <c:v>1.5799999999999175</c:v>
                </c:pt>
                <c:pt idx="759">
                  <c:v>1.5899999999999175</c:v>
                </c:pt>
                <c:pt idx="760">
                  <c:v>1.5999999999999175</c:v>
                </c:pt>
                <c:pt idx="761">
                  <c:v>1.6099999999999175</c:v>
                </c:pt>
                <c:pt idx="762">
                  <c:v>1.6199999999999175</c:v>
                </c:pt>
                <c:pt idx="763">
                  <c:v>1.6299999999999175</c:v>
                </c:pt>
                <c:pt idx="764">
                  <c:v>1.6399999999999175</c:v>
                </c:pt>
                <c:pt idx="765">
                  <c:v>1.6499999999999175</c:v>
                </c:pt>
                <c:pt idx="766">
                  <c:v>1.6599999999999175</c:v>
                </c:pt>
                <c:pt idx="767">
                  <c:v>1.6699999999999176</c:v>
                </c:pt>
                <c:pt idx="768">
                  <c:v>1.6799999999999176</c:v>
                </c:pt>
                <c:pt idx="769">
                  <c:v>1.6899999999999176</c:v>
                </c:pt>
                <c:pt idx="770">
                  <c:v>1.6999999999999176</c:v>
                </c:pt>
                <c:pt idx="771">
                  <c:v>1.7099999999999176</c:v>
                </c:pt>
                <c:pt idx="772">
                  <c:v>1.7199999999999176</c:v>
                </c:pt>
                <c:pt idx="773">
                  <c:v>1.7299999999999176</c:v>
                </c:pt>
                <c:pt idx="774">
                  <c:v>1.7399999999999176</c:v>
                </c:pt>
                <c:pt idx="775">
                  <c:v>1.7499999999999176</c:v>
                </c:pt>
                <c:pt idx="776">
                  <c:v>1.7599999999999176</c:v>
                </c:pt>
                <c:pt idx="777">
                  <c:v>1.7699999999999176</c:v>
                </c:pt>
                <c:pt idx="778">
                  <c:v>1.7799999999999176</c:v>
                </c:pt>
                <c:pt idx="779">
                  <c:v>1.7899999999999177</c:v>
                </c:pt>
                <c:pt idx="780">
                  <c:v>1.7999999999999177</c:v>
                </c:pt>
                <c:pt idx="781">
                  <c:v>1.8099999999999177</c:v>
                </c:pt>
                <c:pt idx="782">
                  <c:v>1.8199999999999177</c:v>
                </c:pt>
                <c:pt idx="783">
                  <c:v>1.8299999999999177</c:v>
                </c:pt>
                <c:pt idx="784">
                  <c:v>1.8399999999999177</c:v>
                </c:pt>
                <c:pt idx="785">
                  <c:v>1.8499999999999177</c:v>
                </c:pt>
                <c:pt idx="786">
                  <c:v>1.8599999999999177</c:v>
                </c:pt>
                <c:pt idx="787">
                  <c:v>1.8699999999999177</c:v>
                </c:pt>
                <c:pt idx="788">
                  <c:v>1.8799999999999177</c:v>
                </c:pt>
                <c:pt idx="789">
                  <c:v>1.8899999999999177</c:v>
                </c:pt>
                <c:pt idx="790">
                  <c:v>1.8999999999999178</c:v>
                </c:pt>
                <c:pt idx="791">
                  <c:v>1.9099999999999178</c:v>
                </c:pt>
                <c:pt idx="792">
                  <c:v>1.9199999999999178</c:v>
                </c:pt>
                <c:pt idx="793">
                  <c:v>1.9299999999999178</c:v>
                </c:pt>
                <c:pt idx="794">
                  <c:v>1.9399999999999178</c:v>
                </c:pt>
                <c:pt idx="795">
                  <c:v>1.9499999999999178</c:v>
                </c:pt>
                <c:pt idx="796">
                  <c:v>1.9599999999999178</c:v>
                </c:pt>
                <c:pt idx="797">
                  <c:v>1.9699999999999178</c:v>
                </c:pt>
                <c:pt idx="798">
                  <c:v>1.9799999999999178</c:v>
                </c:pt>
                <c:pt idx="799">
                  <c:v>1.9899999999999178</c:v>
                </c:pt>
                <c:pt idx="800">
                  <c:v>1.9999999999999178</c:v>
                </c:pt>
                <c:pt idx="801">
                  <c:v>2.0099999999999176</c:v>
                </c:pt>
                <c:pt idx="802">
                  <c:v>2.0199999999999174</c:v>
                </c:pt>
                <c:pt idx="803">
                  <c:v>2.0299999999999172</c:v>
                </c:pt>
                <c:pt idx="804">
                  <c:v>2.039999999999917</c:v>
                </c:pt>
                <c:pt idx="805">
                  <c:v>2.0499999999999168</c:v>
                </c:pt>
                <c:pt idx="806">
                  <c:v>2.0599999999999166</c:v>
                </c:pt>
                <c:pt idx="807">
                  <c:v>2.0699999999999164</c:v>
                </c:pt>
                <c:pt idx="808">
                  <c:v>2.0799999999999161</c:v>
                </c:pt>
                <c:pt idx="809">
                  <c:v>2.0899999999999159</c:v>
                </c:pt>
                <c:pt idx="810">
                  <c:v>2.0999999999999157</c:v>
                </c:pt>
                <c:pt idx="811">
                  <c:v>2.1099999999999155</c:v>
                </c:pt>
                <c:pt idx="812">
                  <c:v>2.1199999999999153</c:v>
                </c:pt>
                <c:pt idx="813">
                  <c:v>2.1299999999999151</c:v>
                </c:pt>
                <c:pt idx="814">
                  <c:v>2.1399999999999149</c:v>
                </c:pt>
                <c:pt idx="815">
                  <c:v>2.1499999999999146</c:v>
                </c:pt>
                <c:pt idx="816">
                  <c:v>2.1599999999999144</c:v>
                </c:pt>
                <c:pt idx="817">
                  <c:v>2.1699999999999142</c:v>
                </c:pt>
                <c:pt idx="818">
                  <c:v>2.179999999999914</c:v>
                </c:pt>
                <c:pt idx="819">
                  <c:v>2.1899999999999138</c:v>
                </c:pt>
                <c:pt idx="820">
                  <c:v>2.1999999999999136</c:v>
                </c:pt>
                <c:pt idx="821">
                  <c:v>2.2099999999999134</c:v>
                </c:pt>
                <c:pt idx="822">
                  <c:v>2.2199999999999132</c:v>
                </c:pt>
                <c:pt idx="823">
                  <c:v>2.2299999999999129</c:v>
                </c:pt>
                <c:pt idx="824">
                  <c:v>2.2399999999999127</c:v>
                </c:pt>
                <c:pt idx="825">
                  <c:v>2.2499999999999125</c:v>
                </c:pt>
                <c:pt idx="826">
                  <c:v>2.2599999999999123</c:v>
                </c:pt>
                <c:pt idx="827">
                  <c:v>2.2699999999999121</c:v>
                </c:pt>
                <c:pt idx="828">
                  <c:v>2.2799999999999119</c:v>
                </c:pt>
                <c:pt idx="829">
                  <c:v>2.2899999999999117</c:v>
                </c:pt>
                <c:pt idx="830">
                  <c:v>2.2999999999999114</c:v>
                </c:pt>
                <c:pt idx="831">
                  <c:v>2.3099999999999112</c:v>
                </c:pt>
                <c:pt idx="832">
                  <c:v>2.319999999999911</c:v>
                </c:pt>
                <c:pt idx="833">
                  <c:v>2.3299999999999108</c:v>
                </c:pt>
                <c:pt idx="834">
                  <c:v>2.3399999999999106</c:v>
                </c:pt>
                <c:pt idx="835">
                  <c:v>2.3499999999999104</c:v>
                </c:pt>
                <c:pt idx="836">
                  <c:v>2.3599999999999102</c:v>
                </c:pt>
                <c:pt idx="837">
                  <c:v>2.36999999999991</c:v>
                </c:pt>
                <c:pt idx="838">
                  <c:v>2.3799999999999097</c:v>
                </c:pt>
                <c:pt idx="839">
                  <c:v>2.3899999999999095</c:v>
                </c:pt>
                <c:pt idx="840">
                  <c:v>2.3999999999999093</c:v>
                </c:pt>
                <c:pt idx="841">
                  <c:v>2.4099999999999091</c:v>
                </c:pt>
                <c:pt idx="842">
                  <c:v>2.4199999999999089</c:v>
                </c:pt>
                <c:pt idx="843">
                  <c:v>2.4299999999999087</c:v>
                </c:pt>
                <c:pt idx="844">
                  <c:v>2.4399999999999085</c:v>
                </c:pt>
                <c:pt idx="845">
                  <c:v>2.4499999999999083</c:v>
                </c:pt>
                <c:pt idx="846">
                  <c:v>2.459999999999908</c:v>
                </c:pt>
                <c:pt idx="847">
                  <c:v>2.4699999999999078</c:v>
                </c:pt>
                <c:pt idx="848">
                  <c:v>2.4799999999999076</c:v>
                </c:pt>
                <c:pt idx="849">
                  <c:v>2.4899999999999074</c:v>
                </c:pt>
                <c:pt idx="850">
                  <c:v>2.4999999999999072</c:v>
                </c:pt>
                <c:pt idx="851">
                  <c:v>2.509999999999907</c:v>
                </c:pt>
                <c:pt idx="852">
                  <c:v>2.5199999999999068</c:v>
                </c:pt>
                <c:pt idx="853">
                  <c:v>2.5299999999999065</c:v>
                </c:pt>
                <c:pt idx="854">
                  <c:v>2.5399999999999063</c:v>
                </c:pt>
                <c:pt idx="855">
                  <c:v>2.5499999999999061</c:v>
                </c:pt>
                <c:pt idx="856">
                  <c:v>2.5599999999999059</c:v>
                </c:pt>
                <c:pt idx="857">
                  <c:v>2.5699999999999057</c:v>
                </c:pt>
                <c:pt idx="858">
                  <c:v>2.5799999999999055</c:v>
                </c:pt>
                <c:pt idx="859">
                  <c:v>2.5899999999999053</c:v>
                </c:pt>
                <c:pt idx="860">
                  <c:v>2.5999999999999051</c:v>
                </c:pt>
                <c:pt idx="861">
                  <c:v>2.6099999999999048</c:v>
                </c:pt>
                <c:pt idx="862">
                  <c:v>2.6199999999999046</c:v>
                </c:pt>
                <c:pt idx="863">
                  <c:v>2.6299999999999044</c:v>
                </c:pt>
                <c:pt idx="864">
                  <c:v>2.6399999999999042</c:v>
                </c:pt>
                <c:pt idx="865">
                  <c:v>2.649999999999904</c:v>
                </c:pt>
                <c:pt idx="866">
                  <c:v>2.6599999999999038</c:v>
                </c:pt>
                <c:pt idx="867">
                  <c:v>2.6699999999999036</c:v>
                </c:pt>
                <c:pt idx="868">
                  <c:v>2.6799999999999033</c:v>
                </c:pt>
                <c:pt idx="869">
                  <c:v>2.6899999999999031</c:v>
                </c:pt>
                <c:pt idx="870">
                  <c:v>2.6999999999999029</c:v>
                </c:pt>
                <c:pt idx="871">
                  <c:v>2.7099999999999027</c:v>
                </c:pt>
                <c:pt idx="872">
                  <c:v>2.7199999999999025</c:v>
                </c:pt>
                <c:pt idx="873">
                  <c:v>2.7299999999999023</c:v>
                </c:pt>
                <c:pt idx="874">
                  <c:v>2.7399999999999021</c:v>
                </c:pt>
                <c:pt idx="875">
                  <c:v>2.7499999999999019</c:v>
                </c:pt>
                <c:pt idx="876">
                  <c:v>2.7599999999999016</c:v>
                </c:pt>
                <c:pt idx="877">
                  <c:v>2.7699999999999014</c:v>
                </c:pt>
                <c:pt idx="878">
                  <c:v>2.7799999999999012</c:v>
                </c:pt>
                <c:pt idx="879">
                  <c:v>2.789999999999901</c:v>
                </c:pt>
                <c:pt idx="880">
                  <c:v>2.7999999999999008</c:v>
                </c:pt>
                <c:pt idx="881">
                  <c:v>2.8099999999999006</c:v>
                </c:pt>
                <c:pt idx="882">
                  <c:v>2.8199999999999004</c:v>
                </c:pt>
                <c:pt idx="883">
                  <c:v>2.8299999999999002</c:v>
                </c:pt>
                <c:pt idx="884">
                  <c:v>2.8399999999998999</c:v>
                </c:pt>
                <c:pt idx="885">
                  <c:v>2.8499999999998997</c:v>
                </c:pt>
                <c:pt idx="886">
                  <c:v>2.8599999999998995</c:v>
                </c:pt>
                <c:pt idx="887">
                  <c:v>2.8699999999998993</c:v>
                </c:pt>
                <c:pt idx="888">
                  <c:v>2.8799999999998991</c:v>
                </c:pt>
                <c:pt idx="889">
                  <c:v>2.8899999999998989</c:v>
                </c:pt>
                <c:pt idx="890">
                  <c:v>2.8999999999998987</c:v>
                </c:pt>
                <c:pt idx="891">
                  <c:v>2.9099999999998984</c:v>
                </c:pt>
                <c:pt idx="892">
                  <c:v>2.9199999999998982</c:v>
                </c:pt>
                <c:pt idx="893">
                  <c:v>2.929999999999898</c:v>
                </c:pt>
                <c:pt idx="894">
                  <c:v>2.9399999999998978</c:v>
                </c:pt>
                <c:pt idx="895">
                  <c:v>2.9499999999998976</c:v>
                </c:pt>
                <c:pt idx="896">
                  <c:v>2.9599999999998974</c:v>
                </c:pt>
                <c:pt idx="897">
                  <c:v>2.9699999999998972</c:v>
                </c:pt>
                <c:pt idx="898">
                  <c:v>2.979999999999897</c:v>
                </c:pt>
                <c:pt idx="899">
                  <c:v>2.9899999999998967</c:v>
                </c:pt>
                <c:pt idx="900">
                  <c:v>2.9999999999998965</c:v>
                </c:pt>
                <c:pt idx="901">
                  <c:v>3.0099999999998963</c:v>
                </c:pt>
                <c:pt idx="902">
                  <c:v>3.0199999999998961</c:v>
                </c:pt>
                <c:pt idx="903">
                  <c:v>3.0299999999998959</c:v>
                </c:pt>
                <c:pt idx="904">
                  <c:v>3.0399999999998957</c:v>
                </c:pt>
                <c:pt idx="905">
                  <c:v>3.0499999999998955</c:v>
                </c:pt>
                <c:pt idx="906">
                  <c:v>3.0599999999998952</c:v>
                </c:pt>
                <c:pt idx="907">
                  <c:v>3.069999999999895</c:v>
                </c:pt>
                <c:pt idx="908">
                  <c:v>3.0799999999998948</c:v>
                </c:pt>
                <c:pt idx="909">
                  <c:v>3.0899999999998946</c:v>
                </c:pt>
                <c:pt idx="910">
                  <c:v>3.0999999999998944</c:v>
                </c:pt>
                <c:pt idx="911">
                  <c:v>3.1099999999998942</c:v>
                </c:pt>
                <c:pt idx="912">
                  <c:v>3.119999999999894</c:v>
                </c:pt>
                <c:pt idx="913">
                  <c:v>3.1299999999998938</c:v>
                </c:pt>
                <c:pt idx="914">
                  <c:v>3.1399999999998935</c:v>
                </c:pt>
                <c:pt idx="915">
                  <c:v>3.1499999999998933</c:v>
                </c:pt>
                <c:pt idx="916">
                  <c:v>3.1599999999998931</c:v>
                </c:pt>
                <c:pt idx="917">
                  <c:v>3.1699999999998929</c:v>
                </c:pt>
                <c:pt idx="918">
                  <c:v>3.1799999999998927</c:v>
                </c:pt>
                <c:pt idx="919">
                  <c:v>3.1899999999998925</c:v>
                </c:pt>
                <c:pt idx="920">
                  <c:v>3.1999999999998923</c:v>
                </c:pt>
                <c:pt idx="921">
                  <c:v>3.2099999999998921</c:v>
                </c:pt>
                <c:pt idx="922">
                  <c:v>3.2199999999998918</c:v>
                </c:pt>
                <c:pt idx="923">
                  <c:v>3.2299999999998916</c:v>
                </c:pt>
                <c:pt idx="924">
                  <c:v>3.2399999999998914</c:v>
                </c:pt>
                <c:pt idx="925">
                  <c:v>3.2499999999998912</c:v>
                </c:pt>
                <c:pt idx="926">
                  <c:v>3.259999999999891</c:v>
                </c:pt>
                <c:pt idx="927">
                  <c:v>3.2699999999998908</c:v>
                </c:pt>
                <c:pt idx="928">
                  <c:v>3.2799999999998906</c:v>
                </c:pt>
                <c:pt idx="929">
                  <c:v>3.2899999999998903</c:v>
                </c:pt>
                <c:pt idx="930">
                  <c:v>3.2999999999998901</c:v>
                </c:pt>
                <c:pt idx="931">
                  <c:v>3.3099999999998899</c:v>
                </c:pt>
                <c:pt idx="932">
                  <c:v>3.3199999999998897</c:v>
                </c:pt>
                <c:pt idx="933">
                  <c:v>3.3299999999998895</c:v>
                </c:pt>
                <c:pt idx="934">
                  <c:v>3.3399999999998893</c:v>
                </c:pt>
                <c:pt idx="935">
                  <c:v>3.3499999999998891</c:v>
                </c:pt>
                <c:pt idx="936">
                  <c:v>3.3599999999998889</c:v>
                </c:pt>
                <c:pt idx="937">
                  <c:v>3.3699999999998886</c:v>
                </c:pt>
                <c:pt idx="938">
                  <c:v>3.3799999999998884</c:v>
                </c:pt>
                <c:pt idx="939">
                  <c:v>3.3899999999998882</c:v>
                </c:pt>
                <c:pt idx="940">
                  <c:v>3.399999999999888</c:v>
                </c:pt>
                <c:pt idx="941">
                  <c:v>3.4099999999998878</c:v>
                </c:pt>
                <c:pt idx="942">
                  <c:v>3.4199999999998876</c:v>
                </c:pt>
                <c:pt idx="943">
                  <c:v>3.4299999999998874</c:v>
                </c:pt>
                <c:pt idx="944">
                  <c:v>3.4399999999998871</c:v>
                </c:pt>
                <c:pt idx="945">
                  <c:v>3.4499999999998869</c:v>
                </c:pt>
                <c:pt idx="946">
                  <c:v>3.4599999999998867</c:v>
                </c:pt>
                <c:pt idx="947">
                  <c:v>3.4699999999998865</c:v>
                </c:pt>
                <c:pt idx="948">
                  <c:v>3.4799999999998863</c:v>
                </c:pt>
                <c:pt idx="949">
                  <c:v>3.4899999999998861</c:v>
                </c:pt>
                <c:pt idx="950">
                  <c:v>3.4999999999998859</c:v>
                </c:pt>
                <c:pt idx="951">
                  <c:v>3.5099999999998857</c:v>
                </c:pt>
                <c:pt idx="952">
                  <c:v>3.5199999999998854</c:v>
                </c:pt>
                <c:pt idx="953">
                  <c:v>3.5299999999998852</c:v>
                </c:pt>
                <c:pt idx="954">
                  <c:v>3.539999999999885</c:v>
                </c:pt>
                <c:pt idx="955">
                  <c:v>3.5499999999998848</c:v>
                </c:pt>
                <c:pt idx="956">
                  <c:v>3.5599999999998846</c:v>
                </c:pt>
                <c:pt idx="957">
                  <c:v>3.5699999999998844</c:v>
                </c:pt>
                <c:pt idx="958">
                  <c:v>3.5799999999998842</c:v>
                </c:pt>
                <c:pt idx="959">
                  <c:v>3.589999999999884</c:v>
                </c:pt>
                <c:pt idx="960">
                  <c:v>3.5999999999998837</c:v>
                </c:pt>
                <c:pt idx="961">
                  <c:v>3.6099999999998835</c:v>
                </c:pt>
                <c:pt idx="962">
                  <c:v>3.6199999999998833</c:v>
                </c:pt>
                <c:pt idx="963">
                  <c:v>3.6299999999998831</c:v>
                </c:pt>
                <c:pt idx="964">
                  <c:v>3.6399999999998829</c:v>
                </c:pt>
                <c:pt idx="965">
                  <c:v>3.6499999999998827</c:v>
                </c:pt>
                <c:pt idx="966">
                  <c:v>3.6599999999998825</c:v>
                </c:pt>
                <c:pt idx="967">
                  <c:v>3.6699999999998822</c:v>
                </c:pt>
                <c:pt idx="968">
                  <c:v>3.679999999999882</c:v>
                </c:pt>
                <c:pt idx="969">
                  <c:v>3.6899999999998818</c:v>
                </c:pt>
                <c:pt idx="970">
                  <c:v>3.6999999999998816</c:v>
                </c:pt>
                <c:pt idx="971">
                  <c:v>3.7099999999998814</c:v>
                </c:pt>
                <c:pt idx="972">
                  <c:v>3.7199999999998812</c:v>
                </c:pt>
                <c:pt idx="973">
                  <c:v>3.729999999999881</c:v>
                </c:pt>
                <c:pt idx="974">
                  <c:v>3.7399999999998808</c:v>
                </c:pt>
                <c:pt idx="975">
                  <c:v>3.7499999999998805</c:v>
                </c:pt>
                <c:pt idx="976">
                  <c:v>3.7599999999998803</c:v>
                </c:pt>
                <c:pt idx="977">
                  <c:v>3.7699999999998801</c:v>
                </c:pt>
                <c:pt idx="978">
                  <c:v>3.7799999999998799</c:v>
                </c:pt>
                <c:pt idx="979">
                  <c:v>3.7899999999998797</c:v>
                </c:pt>
                <c:pt idx="980">
                  <c:v>3.7999999999998795</c:v>
                </c:pt>
                <c:pt idx="981">
                  <c:v>3.8099999999998793</c:v>
                </c:pt>
                <c:pt idx="982">
                  <c:v>3.819999999999879</c:v>
                </c:pt>
                <c:pt idx="983">
                  <c:v>3.8299999999998788</c:v>
                </c:pt>
                <c:pt idx="984">
                  <c:v>3.8399999999998786</c:v>
                </c:pt>
                <c:pt idx="985">
                  <c:v>3.8499999999998784</c:v>
                </c:pt>
                <c:pt idx="986">
                  <c:v>3.8599999999998782</c:v>
                </c:pt>
                <c:pt idx="987">
                  <c:v>3.869999999999878</c:v>
                </c:pt>
                <c:pt idx="988">
                  <c:v>3.8799999999998778</c:v>
                </c:pt>
                <c:pt idx="989">
                  <c:v>3.8899999999998776</c:v>
                </c:pt>
                <c:pt idx="990">
                  <c:v>3.8999999999998773</c:v>
                </c:pt>
                <c:pt idx="991">
                  <c:v>3.9099999999998771</c:v>
                </c:pt>
                <c:pt idx="992">
                  <c:v>3.9199999999998769</c:v>
                </c:pt>
                <c:pt idx="993">
                  <c:v>3.9299999999998767</c:v>
                </c:pt>
                <c:pt idx="994">
                  <c:v>3.9399999999998765</c:v>
                </c:pt>
                <c:pt idx="995">
                  <c:v>3.9499999999998763</c:v>
                </c:pt>
                <c:pt idx="996">
                  <c:v>3.9599999999998761</c:v>
                </c:pt>
                <c:pt idx="997">
                  <c:v>3.9699999999998759</c:v>
                </c:pt>
                <c:pt idx="998">
                  <c:v>3.9799999999998756</c:v>
                </c:pt>
                <c:pt idx="999">
                  <c:v>3.9899999999998754</c:v>
                </c:pt>
                <c:pt idx="1000">
                  <c:v>3.9999999999998752</c:v>
                </c:pt>
                <c:pt idx="1001">
                  <c:v>4.0099999999998754</c:v>
                </c:pt>
                <c:pt idx="1002">
                  <c:v>4.0199999999998752</c:v>
                </c:pt>
                <c:pt idx="1003">
                  <c:v>4.029999999999875</c:v>
                </c:pt>
                <c:pt idx="1004">
                  <c:v>4.0399999999998748</c:v>
                </c:pt>
                <c:pt idx="1005">
                  <c:v>4.0499999999998746</c:v>
                </c:pt>
                <c:pt idx="1006">
                  <c:v>4.0599999999998744</c:v>
                </c:pt>
                <c:pt idx="1007">
                  <c:v>4.0699999999998742</c:v>
                </c:pt>
                <c:pt idx="1008">
                  <c:v>4.0799999999998739</c:v>
                </c:pt>
                <c:pt idx="1009">
                  <c:v>4.0899999999998737</c:v>
                </c:pt>
                <c:pt idx="1010">
                  <c:v>4.0999999999998735</c:v>
                </c:pt>
                <c:pt idx="1011">
                  <c:v>4.1099999999998733</c:v>
                </c:pt>
                <c:pt idx="1012">
                  <c:v>4.1199999999998731</c:v>
                </c:pt>
                <c:pt idx="1013">
                  <c:v>4.1299999999998729</c:v>
                </c:pt>
                <c:pt idx="1014">
                  <c:v>4.1399999999998727</c:v>
                </c:pt>
                <c:pt idx="1015">
                  <c:v>4.1499999999998725</c:v>
                </c:pt>
                <c:pt idx="1016">
                  <c:v>4.1599999999998722</c:v>
                </c:pt>
                <c:pt idx="1017">
                  <c:v>4.169999999999872</c:v>
                </c:pt>
                <c:pt idx="1018">
                  <c:v>4.1799999999998718</c:v>
                </c:pt>
                <c:pt idx="1019">
                  <c:v>4.1899999999998716</c:v>
                </c:pt>
                <c:pt idx="1020">
                  <c:v>4.1999999999998714</c:v>
                </c:pt>
                <c:pt idx="1021">
                  <c:v>4.2099999999998712</c:v>
                </c:pt>
                <c:pt idx="1022">
                  <c:v>4.219999999999871</c:v>
                </c:pt>
                <c:pt idx="1023">
                  <c:v>4.2299999999998708</c:v>
                </c:pt>
                <c:pt idx="1024">
                  <c:v>4.2399999999998705</c:v>
                </c:pt>
                <c:pt idx="1025">
                  <c:v>4.2499999999998703</c:v>
                </c:pt>
                <c:pt idx="1026">
                  <c:v>4.2599999999998701</c:v>
                </c:pt>
                <c:pt idx="1027">
                  <c:v>4.2699999999998699</c:v>
                </c:pt>
                <c:pt idx="1028">
                  <c:v>4.2799999999998697</c:v>
                </c:pt>
                <c:pt idx="1029">
                  <c:v>4.2899999999998695</c:v>
                </c:pt>
                <c:pt idx="1030">
                  <c:v>4.2999999999998693</c:v>
                </c:pt>
                <c:pt idx="1031">
                  <c:v>4.309999999999869</c:v>
                </c:pt>
                <c:pt idx="1032">
                  <c:v>4.3199999999998688</c:v>
                </c:pt>
                <c:pt idx="1033">
                  <c:v>4.3299999999998686</c:v>
                </c:pt>
                <c:pt idx="1034">
                  <c:v>4.3399999999998684</c:v>
                </c:pt>
                <c:pt idx="1035">
                  <c:v>4.3499999999998682</c:v>
                </c:pt>
                <c:pt idx="1036">
                  <c:v>4.359999999999868</c:v>
                </c:pt>
                <c:pt idx="1037">
                  <c:v>4.3699999999998678</c:v>
                </c:pt>
                <c:pt idx="1038">
                  <c:v>4.3799999999998676</c:v>
                </c:pt>
                <c:pt idx="1039">
                  <c:v>4.3899999999998673</c:v>
                </c:pt>
                <c:pt idx="1040">
                  <c:v>4.3999999999998671</c:v>
                </c:pt>
                <c:pt idx="1041">
                  <c:v>4.4099999999998669</c:v>
                </c:pt>
                <c:pt idx="1042">
                  <c:v>4.4199999999998667</c:v>
                </c:pt>
                <c:pt idx="1043">
                  <c:v>4.4299999999998665</c:v>
                </c:pt>
                <c:pt idx="1044">
                  <c:v>4.4399999999998663</c:v>
                </c:pt>
                <c:pt idx="1045">
                  <c:v>4.4499999999998661</c:v>
                </c:pt>
                <c:pt idx="1046">
                  <c:v>4.4599999999998658</c:v>
                </c:pt>
                <c:pt idx="1047">
                  <c:v>4.4699999999998656</c:v>
                </c:pt>
                <c:pt idx="1048">
                  <c:v>4.4799999999998654</c:v>
                </c:pt>
                <c:pt idx="1049">
                  <c:v>4.4899999999998652</c:v>
                </c:pt>
                <c:pt idx="1050">
                  <c:v>4.499999999999865</c:v>
                </c:pt>
                <c:pt idx="1051">
                  <c:v>4.5099999999998648</c:v>
                </c:pt>
                <c:pt idx="1052">
                  <c:v>4.5199999999998646</c:v>
                </c:pt>
                <c:pt idx="1053">
                  <c:v>4.5299999999998644</c:v>
                </c:pt>
                <c:pt idx="1054">
                  <c:v>4.5399999999998641</c:v>
                </c:pt>
                <c:pt idx="1055">
                  <c:v>4.5499999999998639</c:v>
                </c:pt>
                <c:pt idx="1056">
                  <c:v>4.5599999999998637</c:v>
                </c:pt>
                <c:pt idx="1057">
                  <c:v>4.5699999999998635</c:v>
                </c:pt>
                <c:pt idx="1058">
                  <c:v>4.5799999999998633</c:v>
                </c:pt>
                <c:pt idx="1059">
                  <c:v>4.5899999999998631</c:v>
                </c:pt>
                <c:pt idx="1060">
                  <c:v>4.5999999999998629</c:v>
                </c:pt>
                <c:pt idx="1061">
                  <c:v>4.6099999999998627</c:v>
                </c:pt>
                <c:pt idx="1062">
                  <c:v>4.6199999999998624</c:v>
                </c:pt>
                <c:pt idx="1063">
                  <c:v>4.6299999999998622</c:v>
                </c:pt>
                <c:pt idx="1064">
                  <c:v>4.639999999999862</c:v>
                </c:pt>
                <c:pt idx="1065">
                  <c:v>4.6499999999998618</c:v>
                </c:pt>
                <c:pt idx="1066">
                  <c:v>4.6599999999998616</c:v>
                </c:pt>
                <c:pt idx="1067">
                  <c:v>4.6699999999998614</c:v>
                </c:pt>
                <c:pt idx="1068">
                  <c:v>4.6799999999998612</c:v>
                </c:pt>
                <c:pt idx="1069">
                  <c:v>4.6899999999998609</c:v>
                </c:pt>
                <c:pt idx="1070">
                  <c:v>4.6999999999998607</c:v>
                </c:pt>
                <c:pt idx="1071">
                  <c:v>4.7099999999998605</c:v>
                </c:pt>
                <c:pt idx="1072">
                  <c:v>4.7199999999998603</c:v>
                </c:pt>
                <c:pt idx="1073">
                  <c:v>4.7299999999998601</c:v>
                </c:pt>
                <c:pt idx="1074">
                  <c:v>4.7399999999998599</c:v>
                </c:pt>
                <c:pt idx="1075">
                  <c:v>4.7499999999998597</c:v>
                </c:pt>
                <c:pt idx="1076">
                  <c:v>4.7599999999998595</c:v>
                </c:pt>
                <c:pt idx="1077">
                  <c:v>4.7699999999998592</c:v>
                </c:pt>
                <c:pt idx="1078">
                  <c:v>4.779999999999859</c:v>
                </c:pt>
                <c:pt idx="1079">
                  <c:v>4.7899999999998588</c:v>
                </c:pt>
                <c:pt idx="1080">
                  <c:v>4.7999999999998586</c:v>
                </c:pt>
                <c:pt idx="1081">
                  <c:v>4.8099999999998584</c:v>
                </c:pt>
                <c:pt idx="1082">
                  <c:v>4.8199999999998582</c:v>
                </c:pt>
                <c:pt idx="1083">
                  <c:v>4.829999999999858</c:v>
                </c:pt>
                <c:pt idx="1084">
                  <c:v>4.8399999999998577</c:v>
                </c:pt>
                <c:pt idx="1085">
                  <c:v>4.8499999999998575</c:v>
                </c:pt>
                <c:pt idx="1086">
                  <c:v>4.8599999999998573</c:v>
                </c:pt>
                <c:pt idx="1087">
                  <c:v>4.8699999999998571</c:v>
                </c:pt>
                <c:pt idx="1088">
                  <c:v>4.8799999999998569</c:v>
                </c:pt>
                <c:pt idx="1089">
                  <c:v>4.8899999999998567</c:v>
                </c:pt>
                <c:pt idx="1090">
                  <c:v>4.8999999999998565</c:v>
                </c:pt>
                <c:pt idx="1091">
                  <c:v>4.9099999999998563</c:v>
                </c:pt>
                <c:pt idx="1092">
                  <c:v>4.919999999999856</c:v>
                </c:pt>
                <c:pt idx="1093">
                  <c:v>4.9299999999998558</c:v>
                </c:pt>
                <c:pt idx="1094">
                  <c:v>4.9399999999998556</c:v>
                </c:pt>
                <c:pt idx="1095">
                  <c:v>4.9499999999998554</c:v>
                </c:pt>
                <c:pt idx="1096">
                  <c:v>4.9599999999998552</c:v>
                </c:pt>
                <c:pt idx="1097">
                  <c:v>4.969999999999855</c:v>
                </c:pt>
                <c:pt idx="1098">
                  <c:v>4.9799999999998548</c:v>
                </c:pt>
                <c:pt idx="1099">
                  <c:v>4.9899999999998546</c:v>
                </c:pt>
                <c:pt idx="1100">
                  <c:v>4.9999999999998543</c:v>
                </c:pt>
                <c:pt idx="1101">
                  <c:v>5.0099999999998541</c:v>
                </c:pt>
                <c:pt idx="1102">
                  <c:v>5.0199999999998539</c:v>
                </c:pt>
                <c:pt idx="1103">
                  <c:v>5.0299999999998537</c:v>
                </c:pt>
                <c:pt idx="1104">
                  <c:v>5.0399999999998535</c:v>
                </c:pt>
                <c:pt idx="1105">
                  <c:v>5.0499999999998533</c:v>
                </c:pt>
                <c:pt idx="1106">
                  <c:v>5.0599999999998531</c:v>
                </c:pt>
                <c:pt idx="1107">
                  <c:v>5.0699999999998528</c:v>
                </c:pt>
                <c:pt idx="1108">
                  <c:v>5.0799999999998526</c:v>
                </c:pt>
                <c:pt idx="1109">
                  <c:v>5.0899999999998524</c:v>
                </c:pt>
                <c:pt idx="1110">
                  <c:v>5.0999999999998522</c:v>
                </c:pt>
                <c:pt idx="1111">
                  <c:v>5.109999999999852</c:v>
                </c:pt>
                <c:pt idx="1112">
                  <c:v>5.1199999999998518</c:v>
                </c:pt>
                <c:pt idx="1113">
                  <c:v>5.1299999999998516</c:v>
                </c:pt>
                <c:pt idx="1114">
                  <c:v>5.1399999999998514</c:v>
                </c:pt>
                <c:pt idx="1115">
                  <c:v>5.1499999999998511</c:v>
                </c:pt>
                <c:pt idx="1116">
                  <c:v>5.1599999999998509</c:v>
                </c:pt>
                <c:pt idx="1117">
                  <c:v>5.1699999999998507</c:v>
                </c:pt>
                <c:pt idx="1118">
                  <c:v>5.1799999999998505</c:v>
                </c:pt>
                <c:pt idx="1119">
                  <c:v>5.1899999999998503</c:v>
                </c:pt>
                <c:pt idx="1120">
                  <c:v>5.1999999999998501</c:v>
                </c:pt>
                <c:pt idx="1121">
                  <c:v>5.2099999999998499</c:v>
                </c:pt>
                <c:pt idx="1122">
                  <c:v>5.2199999999998496</c:v>
                </c:pt>
                <c:pt idx="1123">
                  <c:v>5.2299999999998494</c:v>
                </c:pt>
                <c:pt idx="1124">
                  <c:v>5.2399999999998492</c:v>
                </c:pt>
                <c:pt idx="1125">
                  <c:v>5.249999999999849</c:v>
                </c:pt>
                <c:pt idx="1126">
                  <c:v>5.2599999999998488</c:v>
                </c:pt>
                <c:pt idx="1127">
                  <c:v>5.2699999999998486</c:v>
                </c:pt>
                <c:pt idx="1128">
                  <c:v>5.2799999999998484</c:v>
                </c:pt>
                <c:pt idx="1129">
                  <c:v>5.2899999999998482</c:v>
                </c:pt>
                <c:pt idx="1130">
                  <c:v>5.2999999999998479</c:v>
                </c:pt>
                <c:pt idx="1131">
                  <c:v>5.3099999999998477</c:v>
                </c:pt>
                <c:pt idx="1132">
                  <c:v>5.3199999999998475</c:v>
                </c:pt>
                <c:pt idx="1133">
                  <c:v>5.3299999999998473</c:v>
                </c:pt>
                <c:pt idx="1134">
                  <c:v>5.3399999999998471</c:v>
                </c:pt>
                <c:pt idx="1135">
                  <c:v>5.3499999999998469</c:v>
                </c:pt>
                <c:pt idx="1136">
                  <c:v>5.3599999999998467</c:v>
                </c:pt>
                <c:pt idx="1137">
                  <c:v>5.3699999999998465</c:v>
                </c:pt>
                <c:pt idx="1138">
                  <c:v>5.3799999999998462</c:v>
                </c:pt>
                <c:pt idx="1139">
                  <c:v>5.389999999999846</c:v>
                </c:pt>
                <c:pt idx="1140">
                  <c:v>5.3999999999998458</c:v>
                </c:pt>
                <c:pt idx="1141">
                  <c:v>5.4099999999998456</c:v>
                </c:pt>
                <c:pt idx="1142">
                  <c:v>5.4199999999998454</c:v>
                </c:pt>
                <c:pt idx="1143">
                  <c:v>5.4299999999998452</c:v>
                </c:pt>
                <c:pt idx="1144">
                  <c:v>5.439999999999845</c:v>
                </c:pt>
                <c:pt idx="1145">
                  <c:v>5.4499999999998447</c:v>
                </c:pt>
                <c:pt idx="1146">
                  <c:v>5.4599999999998445</c:v>
                </c:pt>
                <c:pt idx="1147">
                  <c:v>5.4699999999998443</c:v>
                </c:pt>
                <c:pt idx="1148">
                  <c:v>5.4799999999998441</c:v>
                </c:pt>
                <c:pt idx="1149">
                  <c:v>5.4899999999998439</c:v>
                </c:pt>
                <c:pt idx="1150">
                  <c:v>5.4999999999998437</c:v>
                </c:pt>
                <c:pt idx="1151">
                  <c:v>5.5099999999998435</c:v>
                </c:pt>
                <c:pt idx="1152">
                  <c:v>5.5199999999998433</c:v>
                </c:pt>
                <c:pt idx="1153">
                  <c:v>5.529999999999843</c:v>
                </c:pt>
                <c:pt idx="1154">
                  <c:v>5.5399999999998428</c:v>
                </c:pt>
                <c:pt idx="1155">
                  <c:v>5.5499999999998426</c:v>
                </c:pt>
                <c:pt idx="1156">
                  <c:v>5.5599999999998424</c:v>
                </c:pt>
                <c:pt idx="1157">
                  <c:v>5.5699999999998422</c:v>
                </c:pt>
                <c:pt idx="1158">
                  <c:v>5.579999999999842</c:v>
                </c:pt>
                <c:pt idx="1159">
                  <c:v>5.5899999999998418</c:v>
                </c:pt>
                <c:pt idx="1160">
                  <c:v>5.5999999999998415</c:v>
                </c:pt>
                <c:pt idx="1161">
                  <c:v>5.6099999999998413</c:v>
                </c:pt>
                <c:pt idx="1162">
                  <c:v>5.6199999999998411</c:v>
                </c:pt>
                <c:pt idx="1163">
                  <c:v>5.6299999999998409</c:v>
                </c:pt>
                <c:pt idx="1164">
                  <c:v>5.6399999999998407</c:v>
                </c:pt>
                <c:pt idx="1165">
                  <c:v>5.6499999999998405</c:v>
                </c:pt>
                <c:pt idx="1166">
                  <c:v>5.6599999999998403</c:v>
                </c:pt>
                <c:pt idx="1167">
                  <c:v>5.6699999999998401</c:v>
                </c:pt>
                <c:pt idx="1168">
                  <c:v>5.6799999999998398</c:v>
                </c:pt>
                <c:pt idx="1169">
                  <c:v>5.6899999999998396</c:v>
                </c:pt>
                <c:pt idx="1170">
                  <c:v>5.6999999999998394</c:v>
                </c:pt>
                <c:pt idx="1171">
                  <c:v>5.7099999999998392</c:v>
                </c:pt>
                <c:pt idx="1172">
                  <c:v>5.719999999999839</c:v>
                </c:pt>
                <c:pt idx="1173">
                  <c:v>5.7299999999998388</c:v>
                </c:pt>
                <c:pt idx="1174">
                  <c:v>5.7399999999998386</c:v>
                </c:pt>
                <c:pt idx="1175">
                  <c:v>5.7499999999998384</c:v>
                </c:pt>
                <c:pt idx="1176">
                  <c:v>5.7599999999998381</c:v>
                </c:pt>
                <c:pt idx="1177">
                  <c:v>5.7699999999998379</c:v>
                </c:pt>
                <c:pt idx="1178">
                  <c:v>5.7799999999998377</c:v>
                </c:pt>
                <c:pt idx="1179">
                  <c:v>5.7899999999998375</c:v>
                </c:pt>
                <c:pt idx="1180">
                  <c:v>5.7999999999998373</c:v>
                </c:pt>
                <c:pt idx="1181">
                  <c:v>5.8099999999998371</c:v>
                </c:pt>
                <c:pt idx="1182">
                  <c:v>5.8199999999998369</c:v>
                </c:pt>
                <c:pt idx="1183">
                  <c:v>5.8299999999998366</c:v>
                </c:pt>
                <c:pt idx="1184">
                  <c:v>5.8399999999998364</c:v>
                </c:pt>
                <c:pt idx="1185">
                  <c:v>5.8499999999998362</c:v>
                </c:pt>
                <c:pt idx="1186">
                  <c:v>5.859999999999836</c:v>
                </c:pt>
                <c:pt idx="1187">
                  <c:v>5.8699999999998358</c:v>
                </c:pt>
                <c:pt idx="1188">
                  <c:v>5.8799999999998356</c:v>
                </c:pt>
                <c:pt idx="1189">
                  <c:v>5.8899999999998354</c:v>
                </c:pt>
                <c:pt idx="1190">
                  <c:v>5.8999999999998352</c:v>
                </c:pt>
                <c:pt idx="1191">
                  <c:v>5.9099999999998349</c:v>
                </c:pt>
                <c:pt idx="1192">
                  <c:v>5.9199999999998347</c:v>
                </c:pt>
                <c:pt idx="1193">
                  <c:v>5.9299999999998345</c:v>
                </c:pt>
                <c:pt idx="1194">
                  <c:v>5.9399999999998343</c:v>
                </c:pt>
                <c:pt idx="1195">
                  <c:v>5.9499999999998341</c:v>
                </c:pt>
                <c:pt idx="1196">
                  <c:v>5.9599999999998339</c:v>
                </c:pt>
                <c:pt idx="1197">
                  <c:v>5.9699999999998337</c:v>
                </c:pt>
                <c:pt idx="1198">
                  <c:v>5.9799999999998334</c:v>
                </c:pt>
                <c:pt idx="1199">
                  <c:v>5.9899999999998332</c:v>
                </c:pt>
                <c:pt idx="1200">
                  <c:v>5.999999999999833</c:v>
                </c:pt>
              </c:numCache>
            </c:numRef>
          </c:xVal>
          <c:yVal>
            <c:numRef>
              <c:f>'Normal and t'!$BB$21:$BB$1221</c:f>
              <c:numCache>
                <c:formatCode>General</c:formatCode>
                <c:ptCount val="1201"/>
                <c:pt idx="0">
                  <c:v>6.0758828498232853E-9</c:v>
                </c:pt>
                <c:pt idx="1">
                  <c:v>6.4512718908117505E-9</c:v>
                </c:pt>
                <c:pt idx="2">
                  <c:v>6.8491688129857578E-9</c:v>
                </c:pt>
                <c:pt idx="3">
                  <c:v>7.2708798119000543E-9</c:v>
                </c:pt>
                <c:pt idx="4">
                  <c:v>7.7177842125704726E-9</c:v>
                </c:pt>
                <c:pt idx="5">
                  <c:v>8.1913384034791439E-9</c:v>
                </c:pt>
                <c:pt idx="6">
                  <c:v>8.693079972880142E-9</c:v>
                </c:pt>
                <c:pt idx="7">
                  <c:v>9.2246320572826198E-9</c:v>
                </c:pt>
                <c:pt idx="8">
                  <c:v>9.7877079124410719E-9</c:v>
                </c:pt>
                <c:pt idx="9">
                  <c:v>1.0384115717656214E-8</c:v>
                </c:pt>
                <c:pt idx="10">
                  <c:v>1.1015763624682189E-8</c:v>
                </c:pt>
                <c:pt idx="11">
                  <c:v>1.1684665063049702E-8</c:v>
                </c:pt>
                <c:pt idx="12">
                  <c:v>1.2392944314149906E-8</c:v>
                </c:pt>
                <c:pt idx="13">
                  <c:v>1.3142842366981953E-8</c:v>
                </c:pt>
                <c:pt idx="14">
                  <c:v>1.3936723069047191E-8</c:v>
                </c:pt>
                <c:pt idx="15">
                  <c:v>1.4777079586479737E-8</c:v>
                </c:pt>
                <c:pt idx="16">
                  <c:v>1.5666541188132235E-8</c:v>
                </c:pt>
                <c:pt idx="17">
                  <c:v>1.6607880368991689E-8</c:v>
                </c:pt>
                <c:pt idx="18">
                  <c:v>1.7604020328985466E-8</c:v>
                </c:pt>
                <c:pt idx="19">
                  <c:v>1.8658042823945709E-8</c:v>
                </c:pt>
                <c:pt idx="20">
                  <c:v>1.9773196406244176E-8</c:v>
                </c:pt>
                <c:pt idx="21">
                  <c:v>2.0952905073376448E-8</c:v>
                </c:pt>
                <c:pt idx="22">
                  <c:v>2.2200777343578378E-8</c:v>
                </c:pt>
                <c:pt idx="23">
                  <c:v>2.3520615778390081E-8</c:v>
                </c:pt>
                <c:pt idx="24">
                  <c:v>2.4916426972950188E-8</c:v>
                </c:pt>
                <c:pt idx="25">
                  <c:v>2.6392432035704888E-8</c:v>
                </c:pt>
                <c:pt idx="26">
                  <c:v>2.7953077580153754E-8</c:v>
                </c:pt>
                <c:pt idx="27">
                  <c:v>2.9603047252229099E-8</c:v>
                </c:pt>
                <c:pt idx="28">
                  <c:v>3.1347273817918672E-8</c:v>
                </c:pt>
                <c:pt idx="29">
                  <c:v>3.3190951836794195E-8</c:v>
                </c:pt>
                <c:pt idx="30">
                  <c:v>3.513955094820309E-8</c:v>
                </c:pt>
                <c:pt idx="31">
                  <c:v>3.719882979801471E-8</c:v>
                </c:pt>
                <c:pt idx="32">
                  <c:v>3.9374850634996962E-8</c:v>
                </c:pt>
                <c:pt idx="33">
                  <c:v>4.1673994607121722E-8</c:v>
                </c:pt>
                <c:pt idx="34">
                  <c:v>4.4102977789371349E-8</c:v>
                </c:pt>
                <c:pt idx="35">
                  <c:v>4.6668867975940648E-8</c:v>
                </c:pt>
                <c:pt idx="36">
                  <c:v>4.9379102271102286E-8</c:v>
                </c:pt>
                <c:pt idx="37">
                  <c:v>5.2241505514422051E-8</c:v>
                </c:pt>
                <c:pt idx="38">
                  <c:v>5.5264309577494689E-8</c:v>
                </c:pt>
                <c:pt idx="39">
                  <c:v>5.8456173570897893E-8</c:v>
                </c:pt>
                <c:pt idx="40">
                  <c:v>6.1826205001655489E-8</c:v>
                </c:pt>
                <c:pt idx="41">
                  <c:v>6.5383981923148184E-8</c:v>
                </c:pt>
                <c:pt idx="42">
                  <c:v>6.9139576121120543E-8</c:v>
                </c:pt>
                <c:pt idx="43">
                  <c:v>7.3103577381205687E-8</c:v>
                </c:pt>
                <c:pt idx="44">
                  <c:v>7.7287118885224935E-8</c:v>
                </c:pt>
                <c:pt idx="45">
                  <c:v>8.1701903785427822E-8</c:v>
                </c:pt>
                <c:pt idx="46">
                  <c:v>8.6360233007805262E-8</c:v>
                </c:pt>
                <c:pt idx="47">
                  <c:v>9.1275034337659897E-8</c:v>
                </c:pt>
                <c:pt idx="48">
                  <c:v>9.6459892842728164E-8</c:v>
                </c:pt>
                <c:pt idx="49">
                  <c:v>1.0192908269134693E-7</c:v>
                </c:pt>
                <c:pt idx="50">
                  <c:v>1.0769760042542645E-7</c:v>
                </c:pt>
                <c:pt idx="51">
                  <c:v>1.1378119975033922E-7</c:v>
                </c:pt>
                <c:pt idx="52">
                  <c:v>1.2019642790627524E-7</c:v>
                </c:pt>
                <c:pt idx="53">
                  <c:v>1.2696066368812117E-7</c:v>
                </c:pt>
                <c:pt idx="54">
                  <c:v>1.3409215718353893E-7</c:v>
                </c:pt>
                <c:pt idx="55">
                  <c:v>1.4161007130160268E-7</c:v>
                </c:pt>
                <c:pt idx="56">
                  <c:v>1.4953452516714987E-7</c:v>
                </c:pt>
                <c:pt idx="57">
                  <c:v>1.5788663945887994E-7</c:v>
                </c:pt>
                <c:pt idx="58">
                  <c:v>1.66688583772217E-7</c:v>
                </c:pt>
                <c:pt idx="59">
                  <c:v>1.7596362609103401E-7</c:v>
                </c:pt>
                <c:pt idx="60">
                  <c:v>1.8573618445551639E-7</c:v>
                </c:pt>
                <c:pt idx="61">
                  <c:v>1.9603188091674326E-7</c:v>
                </c:pt>
                <c:pt idx="62">
                  <c:v>2.0687759787195041E-7</c:v>
                </c:pt>
                <c:pt idx="63">
                  <c:v>2.1830153687796297E-7</c:v>
                </c:pt>
                <c:pt idx="64">
                  <c:v>2.3033328004390427E-7</c:v>
                </c:pt>
                <c:pt idx="65">
                  <c:v>2.4300385410803492E-7</c:v>
                </c:pt>
                <c:pt idx="66">
                  <c:v>2.563457973074397E-7</c:v>
                </c:pt>
                <c:pt idx="67">
                  <c:v>2.7039322915327235E-7</c:v>
                </c:pt>
                <c:pt idx="68">
                  <c:v>2.8518192322837581E-7</c:v>
                </c:pt>
                <c:pt idx="69">
                  <c:v>3.0074938312835919E-7</c:v>
                </c:pt>
                <c:pt idx="70">
                  <c:v>3.1713492167157213E-7</c:v>
                </c:pt>
                <c:pt idx="71">
                  <c:v>3.3437974350795325E-7</c:v>
                </c:pt>
                <c:pt idx="72">
                  <c:v>3.525270312613756E-7</c:v>
                </c:pt>
                <c:pt idx="73">
                  <c:v>3.7162203534491956E-7</c:v>
                </c:pt>
                <c:pt idx="74">
                  <c:v>3.9171216759344815E-7</c:v>
                </c:pt>
                <c:pt idx="75">
                  <c:v>4.1284709886296532E-7</c:v>
                </c:pt>
                <c:pt idx="76">
                  <c:v>4.350788607514745E-7</c:v>
                </c:pt>
                <c:pt idx="77">
                  <c:v>4.5846195160149453E-7</c:v>
                </c:pt>
                <c:pt idx="78">
                  <c:v>4.830534469499253E-7</c:v>
                </c:pt>
                <c:pt idx="79">
                  <c:v>5.0891311459672057E-7</c:v>
                </c:pt>
                <c:pt idx="80">
                  <c:v>5.3610353446971465E-7</c:v>
                </c:pt>
                <c:pt idx="81">
                  <c:v>5.6469022346902573E-7</c:v>
                </c:pt>
                <c:pt idx="82">
                  <c:v>5.9474176548072136E-7</c:v>
                </c:pt>
                <c:pt idx="83">
                  <c:v>6.2632994675583231E-7</c:v>
                </c:pt>
                <c:pt idx="84">
                  <c:v>6.5952989685746175E-7</c:v>
                </c:pt>
                <c:pt idx="85">
                  <c:v>6.9442023538547093E-7</c:v>
                </c:pt>
                <c:pt idx="86">
                  <c:v>7.3108322469528001E-7</c:v>
                </c:pt>
                <c:pt idx="87">
                  <c:v>7.6960492883444052E-7</c:v>
                </c:pt>
                <c:pt idx="88">
                  <c:v>8.1007537892805665E-7</c:v>
                </c:pt>
                <c:pt idx="89">
                  <c:v>8.5258874525170403E-7</c:v>
                </c:pt>
                <c:pt idx="90">
                  <c:v>8.9724351623824438E-7</c:v>
                </c:pt>
                <c:pt idx="91">
                  <c:v>9.4414268467299333E-7</c:v>
                </c:pt>
                <c:pt idx="92">
                  <c:v>9.9339394133981313E-7</c:v>
                </c:pt>
                <c:pt idx="93">
                  <c:v>1.0451098763892137E-6</c:v>
                </c:pt>
                <c:pt idx="94">
                  <c:v>1.0994081887080917E-6</c:v>
                </c:pt>
                <c:pt idx="95">
                  <c:v>1.156411903579664E-6</c:v>
                </c:pt>
                <c:pt idx="96">
                  <c:v>1.2162495989311927E-6</c:v>
                </c:pt>
                <c:pt idx="97">
                  <c:v>1.2790556404764422E-6</c:v>
                </c:pt>
                <c:pt idx="98">
                  <c:v>1.344970426069301E-6</c:v>
                </c:pt>
                <c:pt idx="99">
                  <c:v>1.4141406395948527E-6</c:v>
                </c:pt>
                <c:pt idx="100">
                  <c:v>1.4867195147341391E-6</c:v>
                </c:pt>
                <c:pt idx="101">
                  <c:v>1.5628671089491233E-6</c:v>
                </c:pt>
                <c:pt idx="102">
                  <c:v>1.642750588044896E-6</c:v>
                </c:pt>
                <c:pt idx="103">
                  <c:v>1.726544521676883E-6</c:v>
                </c:pt>
                <c:pt idx="104">
                  <c:v>1.8144311901818304E-6</c:v>
                </c:pt>
                <c:pt idx="105">
                  <c:v>1.9066009031226007E-6</c:v>
                </c:pt>
                <c:pt idx="106">
                  <c:v>2.0032523299482683E-6</c:v>
                </c:pt>
                <c:pt idx="107">
                  <c:v>2.1045928431828902E-6</c:v>
                </c:pt>
                <c:pt idx="108">
                  <c:v>2.2108388745681696E-6</c:v>
                </c:pt>
                <c:pt idx="109">
                  <c:v>2.3222162845977327E-6</c:v>
                </c:pt>
                <c:pt idx="110">
                  <c:v>2.438960745893079E-6</c:v>
                </c:pt>
                <c:pt idx="111">
                  <c:v>2.5613181408842436E-6</c:v>
                </c:pt>
                <c:pt idx="112">
                  <c:v>2.6895449742712074E-6</c:v>
                </c:pt>
                <c:pt idx="113">
                  <c:v>2.8239088007554944E-6</c:v>
                </c:pt>
                <c:pt idx="114">
                  <c:v>2.9646886685449248E-6</c:v>
                </c:pt>
                <c:pt idx="115">
                  <c:v>3.1121755791485684E-6</c:v>
                </c:pt>
                <c:pt idx="116">
                  <c:v>3.26667296399288E-6</c:v>
                </c:pt>
                <c:pt idx="117">
                  <c:v>3.4284971784046243E-6</c:v>
                </c:pt>
                <c:pt idx="118">
                  <c:v>3.5979780135208121E-6</c:v>
                </c:pt>
                <c:pt idx="119">
                  <c:v>3.7754592267008785E-6</c:v>
                </c:pt>
                <c:pt idx="120">
                  <c:v>3.96129909103159E-6</c:v>
                </c:pt>
                <c:pt idx="121">
                  <c:v>4.1558709645306835E-6</c:v>
                </c:pt>
                <c:pt idx="122">
                  <c:v>4.3595638796710937E-6</c:v>
                </c:pt>
                <c:pt idx="123">
                  <c:v>4.5727831538635669E-6</c:v>
                </c:pt>
                <c:pt idx="124">
                  <c:v>4.7959510215519161E-6</c:v>
                </c:pt>
                <c:pt idx="125">
                  <c:v>5.0295072885918101E-6</c:v>
                </c:pt>
                <c:pt idx="126">
                  <c:v>5.2739100096006385E-6</c:v>
                </c:pt>
                <c:pt idx="127">
                  <c:v>5.5296361889833535E-6</c:v>
                </c:pt>
                <c:pt idx="128">
                  <c:v>5.797182506356534E-6</c:v>
                </c:pt>
                <c:pt idx="129">
                  <c:v>6.0770660671103265E-6</c:v>
                </c:pt>
                <c:pt idx="130">
                  <c:v>6.369825178866275E-6</c:v>
                </c:pt>
                <c:pt idx="131">
                  <c:v>6.6760201546065952E-6</c:v>
                </c:pt>
                <c:pt idx="132">
                  <c:v>6.9962341432694716E-6</c:v>
                </c:pt>
                <c:pt idx="133">
                  <c:v>7.3310739886229666E-6</c:v>
                </c:pt>
                <c:pt idx="134">
                  <c:v>7.6811711172494457E-6</c:v>
                </c:pt>
                <c:pt idx="135">
                  <c:v>8.0471824564912195E-6</c:v>
                </c:pt>
                <c:pt idx="136">
                  <c:v>8.4297913832276333E-6</c:v>
                </c:pt>
                <c:pt idx="137">
                  <c:v>8.8297087043728882E-6</c:v>
                </c:pt>
                <c:pt idx="138">
                  <c:v>9.2476736700043681E-6</c:v>
                </c:pt>
                <c:pt idx="139">
                  <c:v>9.6844550200501275E-6</c:v>
                </c:pt>
                <c:pt idx="140">
                  <c:v>1.0140852065485354E-5</c:v>
                </c:pt>
                <c:pt idx="141">
                  <c:v>1.0617695805006919E-5</c:v>
                </c:pt>
                <c:pt idx="142">
                  <c:v>1.1115850078176247E-5</c:v>
                </c:pt>
                <c:pt idx="143">
                  <c:v>1.1636212756041055E-5</c:v>
                </c:pt>
                <c:pt idx="144">
                  <c:v>1.2179716970266988E-5</c:v>
                </c:pt>
                <c:pt idx="145">
                  <c:v>1.274733238183165E-5</c:v>
                </c:pt>
                <c:pt idx="146">
                  <c:v>1.3340066490353941E-5</c:v>
                </c:pt>
                <c:pt idx="147">
                  <c:v>1.3958965985152786E-5</c:v>
                </c:pt>
                <c:pt idx="148">
                  <c:v>1.4605118139150813E-5</c:v>
                </c:pt>
                <c:pt idx="149">
                  <c:v>1.5279652246759421E-5</c:v>
                </c:pt>
                <c:pt idx="150">
                  <c:v>1.5983741106903174E-5</c:v>
                </c:pt>
                <c:pt idx="151">
                  <c:v>1.6718602552362692E-5</c:v>
                </c:pt>
                <c:pt idx="152">
                  <c:v>1.7485501026636618E-5</c:v>
                </c:pt>
                <c:pt idx="153">
                  <c:v>1.828574920954468E-5</c:v>
                </c:pt>
                <c:pt idx="154">
                  <c:v>1.9120709692814949E-5</c:v>
                </c:pt>
                <c:pt idx="155">
                  <c:v>1.9991796706919877E-5</c:v>
                </c:pt>
                <c:pt idx="156">
                  <c:v>2.0900477900447358E-5</c:v>
                </c:pt>
                <c:pt idx="157">
                  <c:v>2.1848276173313207E-5</c:v>
                </c:pt>
                <c:pt idx="158">
                  <c:v>2.2836771565143512E-5</c:v>
                </c:pt>
                <c:pt idx="159">
                  <c:v>2.3867603200176034E-5</c:v>
                </c:pt>
                <c:pt idx="160">
                  <c:v>2.4942471290049805E-5</c:v>
                </c:pt>
                <c:pt idx="161">
                  <c:v>2.6063139195874405E-5</c:v>
                </c:pt>
                <c:pt idx="162">
                  <c:v>2.7231435550988492E-5</c:v>
                </c:pt>
                <c:pt idx="163">
                  <c:v>2.8449256445840005E-5</c:v>
                </c:pt>
                <c:pt idx="164">
                  <c:v>2.9718567676437706E-5</c:v>
                </c:pt>
                <c:pt idx="165">
                  <c:v>3.1041407057845469E-5</c:v>
                </c:pt>
                <c:pt idx="166">
                  <c:v>3.2419886804208763E-5</c:v>
                </c:pt>
                <c:pt idx="167">
                  <c:v>3.385619597682265E-5</c:v>
                </c:pt>
                <c:pt idx="168">
                  <c:v>3.5352603001767628E-5</c:v>
                </c:pt>
                <c:pt idx="169">
                  <c:v>3.6911458258660422E-5</c:v>
                </c:pt>
                <c:pt idx="170">
                  <c:v>3.8535196742081105E-5</c:v>
                </c:pt>
                <c:pt idx="171">
                  <c:v>4.0226340797258676E-5</c:v>
                </c:pt>
                <c:pt idx="172">
                  <c:v>4.1987502931610749E-5</c:v>
                </c:pt>
                <c:pt idx="173">
                  <c:v>4.3821388703751186E-5</c:v>
                </c:pt>
                <c:pt idx="174">
                  <c:v>4.5730799691593995E-5</c:v>
                </c:pt>
                <c:pt idx="175">
                  <c:v>4.7718636541197396E-5</c:v>
                </c:pt>
                <c:pt idx="176">
                  <c:v>4.9787902098004209E-5</c:v>
                </c:pt>
                <c:pt idx="177">
                  <c:v>5.1941704622151557E-5</c:v>
                </c:pt>
                <c:pt idx="178">
                  <c:v>5.4183261089531471E-5</c:v>
                </c:pt>
                <c:pt idx="179">
                  <c:v>5.6515900580298361E-5</c:v>
                </c:pt>
                <c:pt idx="180">
                  <c:v>5.8943067756530321E-5</c:v>
                </c:pt>
                <c:pt idx="181">
                  <c:v>6.1468326430759378E-5</c:v>
                </c:pt>
                <c:pt idx="182">
                  <c:v>6.4095363227095606E-5</c:v>
                </c:pt>
                <c:pt idx="183">
                  <c:v>6.6827991336679686E-5</c:v>
                </c:pt>
                <c:pt idx="184">
                  <c:v>6.9670154369203051E-5</c:v>
                </c:pt>
                <c:pt idx="185">
                  <c:v>7.2625930302240587E-5</c:v>
                </c:pt>
                <c:pt idx="186">
                  <c:v>7.5699535530148704E-5</c:v>
                </c:pt>
                <c:pt idx="187">
                  <c:v>7.889532901428005E-5</c:v>
                </c:pt>
                <c:pt idx="188">
                  <c:v>8.221781653627241E-5</c:v>
                </c:pt>
                <c:pt idx="189">
                  <c:v>8.5671655056167851E-5</c:v>
                </c:pt>
                <c:pt idx="190">
                  <c:v>8.9261657177118006E-5</c:v>
                </c:pt>
                <c:pt idx="191">
                  <c:v>9.2992795718430362E-5</c:v>
                </c:pt>
                <c:pt idx="192">
                  <c:v>9.6870208398703079E-5</c:v>
                </c:pt>
                <c:pt idx="193">
                  <c:v>1.0089920263079756E-4</c:v>
                </c:pt>
                <c:pt idx="194">
                  <c:v>1.0508526043038254E-4</c:v>
                </c:pt>
                <c:pt idx="195">
                  <c:v>1.0943404343978207E-4</c:v>
                </c:pt>
                <c:pt idx="196">
                  <c:v>1.1395139806884536E-4</c:v>
                </c:pt>
                <c:pt idx="197">
                  <c:v>1.1864336075454596E-4</c:v>
                </c:pt>
                <c:pt idx="198">
                  <c:v>1.2351616334100237E-4</c:v>
                </c:pt>
                <c:pt idx="199">
                  <c:v>1.2857623858159912E-4</c:v>
                </c:pt>
                <c:pt idx="200">
                  <c:v>1.3383022576486252E-4</c:v>
                </c:pt>
                <c:pt idx="201">
                  <c:v>1.3928497646573614E-4</c:v>
                </c:pt>
                <c:pt idx="202">
                  <c:v>1.4494756042386617E-4</c:v>
                </c:pt>
                <c:pt idx="203">
                  <c:v>1.5082527155049191E-4</c:v>
                </c:pt>
                <c:pt idx="204">
                  <c:v>1.5692563406550521E-4</c:v>
                </c:pt>
                <c:pt idx="205">
                  <c:v>1.6325640876621385E-4</c:v>
                </c:pt>
                <c:pt idx="206">
                  <c:v>1.6982559942931415E-4</c:v>
                </c:pt>
                <c:pt idx="207">
                  <c:v>1.7664145934754029E-4</c:v>
                </c:pt>
                <c:pt idx="208">
                  <c:v>1.837124980024251E-4</c:v>
                </c:pt>
                <c:pt idx="209">
                  <c:v>1.9104748787456449E-4</c:v>
                </c:pt>
                <c:pt idx="210">
                  <c:v>1.9865547139273792E-4</c:v>
                </c:pt>
                <c:pt idx="211">
                  <c:v>2.0654576802318949E-4</c:v>
                </c:pt>
                <c:pt idx="212">
                  <c:v>2.1472798150032926E-4</c:v>
                </c:pt>
                <c:pt idx="213">
                  <c:v>2.2321200720006276E-4</c:v>
                </c:pt>
                <c:pt idx="214">
                  <c:v>2.3200803965690134E-4</c:v>
                </c:pt>
                <c:pt idx="215">
                  <c:v>2.4112658022595082E-4</c:v>
                </c:pt>
                <c:pt idx="216">
                  <c:v>2.5057844489081646E-4</c:v>
                </c:pt>
                <c:pt idx="217">
                  <c:v>2.6037477221839639E-4</c:v>
                </c:pt>
                <c:pt idx="218">
                  <c:v>2.7052703146147292E-4</c:v>
                </c:pt>
                <c:pt idx="219">
                  <c:v>2.8104703080993634E-4</c:v>
                </c:pt>
                <c:pt idx="220">
                  <c:v>2.9194692579140812E-4</c:v>
                </c:pt>
                <c:pt idx="221">
                  <c:v>3.0323922782195001E-4</c:v>
                </c:pt>
                <c:pt idx="222">
                  <c:v>3.1493681290746528E-4</c:v>
                </c:pt>
                <c:pt idx="223">
                  <c:v>3.2705293049631627E-4</c:v>
                </c:pt>
                <c:pt idx="224">
                  <c:v>3.3960121248359352E-4</c:v>
                </c:pt>
                <c:pt idx="225">
                  <c:v>3.5259568236738209E-4</c:v>
                </c:pt>
                <c:pt idx="226">
                  <c:v>3.6605076455726925E-4</c:v>
                </c:pt>
                <c:pt idx="227">
                  <c:v>3.7998129383525289E-4</c:v>
                </c:pt>
                <c:pt idx="228">
                  <c:v>3.9440252496908504E-4</c:v>
                </c:pt>
                <c:pt idx="229">
                  <c:v>4.0933014247800456E-4</c:v>
                </c:pt>
                <c:pt idx="230">
                  <c:v>4.247802705506744E-4</c:v>
                </c:pt>
                <c:pt idx="231">
                  <c:v>4.4076948311505218E-4</c:v>
                </c:pt>
                <c:pt idx="232">
                  <c:v>4.5731481405977348E-4</c:v>
                </c:pt>
                <c:pt idx="233">
                  <c:v>4.7443376760653423E-4</c:v>
                </c:pt>
                <c:pt idx="234">
                  <c:v>4.9214432883280346E-4</c:v>
                </c:pt>
                <c:pt idx="235">
                  <c:v>5.1046497434409214E-4</c:v>
                </c:pt>
                <c:pt idx="236">
                  <c:v>5.2941468309483772E-4</c:v>
                </c:pt>
                <c:pt idx="237">
                  <c:v>5.4901294735685766E-4</c:v>
                </c:pt>
                <c:pt idx="238">
                  <c:v>5.6927978383414788E-4</c:v>
                </c:pt>
                <c:pt idx="239">
                  <c:v>5.9023574492267697E-4</c:v>
                </c:pt>
                <c:pt idx="240">
                  <c:v>6.1190193011365936E-4</c:v>
                </c:pt>
                <c:pt idx="241">
                  <c:v>6.3429999753864029E-4</c:v>
                </c:pt>
                <c:pt idx="242">
                  <c:v>6.5745217565455491E-4</c:v>
                </c:pt>
                <c:pt idx="243">
                  <c:v>6.8138127506676559E-4</c:v>
                </c:pt>
                <c:pt idx="244">
                  <c:v>7.0611070048790566E-4</c:v>
                </c:pt>
                <c:pt idx="245">
                  <c:v>7.3166446283017494E-4</c:v>
                </c:pt>
                <c:pt idx="246">
                  <c:v>7.5806719142857012E-4</c:v>
                </c:pt>
                <c:pt idx="247">
                  <c:v>7.8534414639232328E-4</c:v>
                </c:pt>
                <c:pt idx="248">
                  <c:v>8.1352123108165662E-4</c:v>
                </c:pt>
                <c:pt idx="249">
                  <c:v>8.426250047067446E-4</c:v>
                </c:pt>
                <c:pt idx="250">
                  <c:v>8.726826950455972E-4</c:v>
                </c:pt>
                <c:pt idx="251">
                  <c:v>9.0372221127735578E-4</c:v>
                </c:pt>
                <c:pt idx="252">
                  <c:v>9.35772156927305E-4</c:v>
                </c:pt>
                <c:pt idx="253">
                  <c:v>9.6886184291966506E-4</c:v>
                </c:pt>
                <c:pt idx="254">
                  <c:v>1.0030213007340494E-3</c:v>
                </c:pt>
                <c:pt idx="255">
                  <c:v>1.0382812956612165E-3</c:v>
                </c:pt>
                <c:pt idx="256">
                  <c:v>1.0746733401535333E-3</c:v>
                </c:pt>
                <c:pt idx="257">
                  <c:v>1.1122297072653563E-3</c:v>
                </c:pt>
                <c:pt idx="258">
                  <c:v>1.1509834441782675E-3</c:v>
                </c:pt>
                <c:pt idx="259">
                  <c:v>1.1909683858058932E-3</c:v>
                </c:pt>
                <c:pt idx="260">
                  <c:v>1.2322191684727864E-3</c:v>
                </c:pt>
                <c:pt idx="261">
                  <c:v>1.2747712436615925E-3</c:v>
                </c:pt>
                <c:pt idx="262">
                  <c:v>1.3186608918224925E-3</c:v>
                </c:pt>
                <c:pt idx="263">
                  <c:v>1.3639252362386465E-3</c:v>
                </c:pt>
                <c:pt idx="264">
                  <c:v>1.4106022569411168E-3</c:v>
                </c:pt>
                <c:pt idx="265">
                  <c:v>1.4587308046664698E-3</c:v>
                </c:pt>
                <c:pt idx="266">
                  <c:v>1.5083506148500219E-3</c:v>
                </c:pt>
                <c:pt idx="267">
                  <c:v>1.5595023216473964E-3</c:v>
                </c:pt>
                <c:pt idx="268">
                  <c:v>1.612227471976818E-3</c:v>
                </c:pt>
                <c:pt idx="269">
                  <c:v>1.6665685395742642E-3</c:v>
                </c:pt>
                <c:pt idx="270">
                  <c:v>1.7225689390533523E-3</c:v>
                </c:pt>
                <c:pt idx="271">
                  <c:v>1.7802730399615401E-3</c:v>
                </c:pt>
                <c:pt idx="272">
                  <c:v>1.8397261808239293E-3</c:v>
                </c:pt>
                <c:pt idx="273">
                  <c:v>1.9009746831657188E-3</c:v>
                </c:pt>
                <c:pt idx="274">
                  <c:v>1.9640658655040006E-3</c:v>
                </c:pt>
                <c:pt idx="275">
                  <c:v>2.0290480572993821E-3</c:v>
                </c:pt>
                <c:pt idx="276">
                  <c:v>2.095970612857545E-3</c:v>
                </c:pt>
                <c:pt idx="277">
                  <c:v>2.1648839251706487E-3</c:v>
                </c:pt>
                <c:pt idx="278">
                  <c:v>2.2358394396881131E-3</c:v>
                </c:pt>
                <c:pt idx="279">
                  <c:v>2.3088896680060543E-3</c:v>
                </c:pt>
                <c:pt idx="280">
                  <c:v>2.3840882014643868E-3</c:v>
                </c:pt>
                <c:pt idx="281">
                  <c:v>2.4614897246402301E-3</c:v>
                </c:pt>
                <c:pt idx="282">
                  <c:v>2.5411500287260357E-3</c:v>
                </c:pt>
                <c:pt idx="283">
                  <c:v>2.6231260247805235E-3</c:v>
                </c:pt>
                <c:pt idx="284">
                  <c:v>2.7074757568401851E-3</c:v>
                </c:pt>
                <c:pt idx="285">
                  <c:v>2.7942584148789107E-3</c:v>
                </c:pt>
                <c:pt idx="286">
                  <c:v>2.883534347602888E-3</c:v>
                </c:pt>
                <c:pt idx="287">
                  <c:v>2.9753650750676823E-3</c:v>
                </c:pt>
                <c:pt idx="288">
                  <c:v>3.069813301104154E-3</c:v>
                </c:pt>
                <c:pt idx="289">
                  <c:v>3.1669429255394704E-3</c:v>
                </c:pt>
                <c:pt idx="290">
                  <c:v>3.2668190561992946E-3</c:v>
                </c:pt>
                <c:pt idx="291">
                  <c:v>3.3695080206768342E-3</c:v>
                </c:pt>
                <c:pt idx="292">
                  <c:v>3.4750773778542709E-3</c:v>
                </c:pt>
                <c:pt idx="293">
                  <c:v>3.5835959291616736E-3</c:v>
                </c:pt>
                <c:pt idx="294">
                  <c:v>3.6951337295583254E-3</c:v>
                </c:pt>
                <c:pt idx="295">
                  <c:v>3.8097620982210758E-3</c:v>
                </c:pt>
                <c:pt idx="296">
                  <c:v>3.9275536289240251E-3</c:v>
                </c:pt>
                <c:pt idx="297">
                  <c:v>4.0485822000936519E-3</c:v>
                </c:pt>
                <c:pt idx="298">
                  <c:v>4.1729229845231608E-3</c:v>
                </c:pt>
                <c:pt idx="299">
                  <c:v>4.3006524587296206E-3</c:v>
                </c:pt>
                <c:pt idx="300">
                  <c:v>4.4318484119371566E-3</c:v>
                </c:pt>
                <c:pt idx="301">
                  <c:v>4.5665899546692718E-3</c:v>
                </c:pt>
                <c:pt idx="302">
                  <c:v>4.7049575269330762E-3</c:v>
                </c:pt>
                <c:pt idx="303">
                  <c:v>4.8470329059780186E-3</c:v>
                </c:pt>
                <c:pt idx="304">
                  <c:v>4.992899213611417E-3</c:v>
                </c:pt>
                <c:pt idx="305">
                  <c:v>5.1426409230529513E-3</c:v>
                </c:pt>
                <c:pt idx="306">
                  <c:v>5.2963438653100027E-3</c:v>
                </c:pt>
                <c:pt idx="307">
                  <c:v>5.4540952350555037E-3</c:v>
                </c:pt>
                <c:pt idx="308">
                  <c:v>5.61598359598989E-3</c:v>
                </c:pt>
                <c:pt idx="309">
                  <c:v>5.782098885668367E-3</c:v>
                </c:pt>
                <c:pt idx="310">
                  <c:v>5.9525324197747115E-3</c:v>
                </c:pt>
                <c:pt idx="311">
                  <c:v>6.1273768958225111E-3</c:v>
                </c:pt>
                <c:pt idx="312">
                  <c:v>6.3067263962647167E-3</c:v>
                </c:pt>
                <c:pt idx="313">
                  <c:v>6.4906763909921231E-3</c:v>
                </c:pt>
                <c:pt idx="314">
                  <c:v>6.6793237392013391E-3</c:v>
                </c:pt>
                <c:pt idx="315">
                  <c:v>6.872766690612658E-3</c:v>
                </c:pt>
                <c:pt idx="316">
                  <c:v>7.0711048860180982E-3</c:v>
                </c:pt>
                <c:pt idx="317">
                  <c:v>7.2744393571398279E-3</c:v>
                </c:pt>
                <c:pt idx="318">
                  <c:v>7.4828725257791275E-3</c:v>
                </c:pt>
                <c:pt idx="319">
                  <c:v>7.6965082022358508E-3</c:v>
                </c:pt>
                <c:pt idx="320">
                  <c:v>7.9154515829784507E-3</c:v>
                </c:pt>
                <c:pt idx="321">
                  <c:v>8.1398092475444689E-3</c:v>
                </c:pt>
                <c:pt idx="322">
                  <c:v>8.3696891546514302E-3</c:v>
                </c:pt>
                <c:pt idx="323">
                  <c:v>8.6052006374980321E-3</c:v>
                </c:pt>
                <c:pt idx="324">
                  <c:v>8.8464543982355367E-3</c:v>
                </c:pt>
                <c:pt idx="325">
                  <c:v>9.0935625015893199E-3</c:v>
                </c:pt>
                <c:pt idx="326">
                  <c:v>9.3466383676105054E-3</c:v>
                </c:pt>
                <c:pt idx="327">
                  <c:v>9.6057967635377554E-3</c:v>
                </c:pt>
                <c:pt idx="328">
                  <c:v>9.8711537947492583E-3</c:v>
                </c:pt>
                <c:pt idx="329">
                  <c:v>1.0142826894785148E-2</c:v>
                </c:pt>
                <c:pt idx="330">
                  <c:v>1.0420934814420612E-2</c:v>
                </c:pt>
                <c:pt idx="331">
                  <c:v>1.0705597609770152E-2</c:v>
                </c:pt>
                <c:pt idx="332">
                  <c:v>1.099693662940349E-2</c:v>
                </c:pt>
                <c:pt idx="333">
                  <c:v>1.1295074500453993E-2</c:v>
                </c:pt>
                <c:pt idx="334">
                  <c:v>1.1600135113700366E-2</c:v>
                </c:pt>
                <c:pt idx="335">
                  <c:v>1.1912243607602924E-2</c:v>
                </c:pt>
                <c:pt idx="336">
                  <c:v>1.2231526351275661E-2</c:v>
                </c:pt>
                <c:pt idx="337">
                  <c:v>1.2558110926375834E-2</c:v>
                </c:pt>
                <c:pt idx="338">
                  <c:v>1.2892126107892874E-2</c:v>
                </c:pt>
                <c:pt idx="339">
                  <c:v>1.3233701843818868E-2</c:v>
                </c:pt>
                <c:pt idx="340">
                  <c:v>1.3582969233683054E-2</c:v>
                </c:pt>
                <c:pt idx="341">
                  <c:v>1.394006050593319E-2</c:v>
                </c:pt>
                <c:pt idx="342">
                  <c:v>1.4305108994147001E-2</c:v>
                </c:pt>
                <c:pt idx="343">
                  <c:v>1.4678249112057279E-2</c:v>
                </c:pt>
                <c:pt idx="344">
                  <c:v>1.5059616327374627E-2</c:v>
                </c:pt>
                <c:pt idx="345">
                  <c:v>1.544934713439227E-2</c:v>
                </c:pt>
                <c:pt idx="346">
                  <c:v>1.5847579025357845E-2</c:v>
                </c:pt>
                <c:pt idx="347">
                  <c:v>1.625445046059746E-2</c:v>
                </c:pt>
                <c:pt idx="348">
                  <c:v>1.6670100837377945E-2</c:v>
                </c:pt>
                <c:pt idx="349">
                  <c:v>1.7094670457493747E-2</c:v>
                </c:pt>
                <c:pt idx="350">
                  <c:v>1.7528300493565269E-2</c:v>
                </c:pt>
                <c:pt idx="351">
                  <c:v>1.7971132954036285E-2</c:v>
                </c:pt>
                <c:pt idx="352">
                  <c:v>1.8423310646858617E-2</c:v>
                </c:pt>
                <c:pt idx="353">
                  <c:v>1.8884977141852662E-2</c:v>
                </c:pt>
                <c:pt idx="354">
                  <c:v>1.9356276731733367E-2</c:v>
                </c:pt>
                <c:pt idx="355">
                  <c:v>1.9837354391791646E-2</c:v>
                </c:pt>
                <c:pt idx="356">
                  <c:v>2.032835573822207E-2</c:v>
                </c:pt>
                <c:pt idx="357">
                  <c:v>2.0829426985088335E-2</c:v>
                </c:pt>
                <c:pt idx="358">
                  <c:v>2.1340714899918838E-2</c:v>
                </c:pt>
                <c:pt idx="359">
                  <c:v>2.1862366757925352E-2</c:v>
                </c:pt>
                <c:pt idx="360">
                  <c:v>2.2394530294838771E-2</c:v>
                </c:pt>
                <c:pt idx="361">
                  <c:v>2.2937353658356474E-2</c:v>
                </c:pt>
                <c:pt idx="362">
                  <c:v>2.3490985358197044E-2</c:v>
                </c:pt>
                <c:pt idx="363">
                  <c:v>2.4055574214758554E-2</c:v>
                </c:pt>
                <c:pt idx="364">
                  <c:v>2.4631269306377986E-2</c:v>
                </c:pt>
                <c:pt idx="365">
                  <c:v>2.5218219915189771E-2</c:v>
                </c:pt>
                <c:pt idx="366">
                  <c:v>2.5816575471582965E-2</c:v>
                </c:pt>
                <c:pt idx="367">
                  <c:v>2.6426485497256909E-2</c:v>
                </c:pt>
                <c:pt idx="368">
                  <c:v>2.7048099546876859E-2</c:v>
                </c:pt>
                <c:pt idx="369">
                  <c:v>2.7681567148331542E-2</c:v>
                </c:pt>
                <c:pt idx="370">
                  <c:v>2.8327037741596041E-2</c:v>
                </c:pt>
                <c:pt idx="371">
                  <c:v>2.8984660616204173E-2</c:v>
                </c:pt>
                <c:pt idx="372">
                  <c:v>2.9654584847335904E-2</c:v>
                </c:pt>
                <c:pt idx="373">
                  <c:v>3.033695923052615E-2</c:v>
                </c:pt>
                <c:pt idx="374">
                  <c:v>3.103193221500266E-2</c:v>
                </c:pt>
                <c:pt idx="375">
                  <c:v>3.1739651835661707E-2</c:v>
                </c:pt>
                <c:pt idx="376">
                  <c:v>3.246026564369163E-2</c:v>
                </c:pt>
                <c:pt idx="377">
                  <c:v>3.3193920635855176E-2</c:v>
                </c:pt>
                <c:pt idx="378">
                  <c:v>3.3940763182443115E-2</c:v>
                </c:pt>
                <c:pt idx="379">
                  <c:v>3.4700938953912623E-2</c:v>
                </c:pt>
                <c:pt idx="380">
                  <c:v>3.5474592846225117E-2</c:v>
                </c:pt>
                <c:pt idx="381">
                  <c:v>3.6261868904899776E-2</c:v>
                </c:pt>
                <c:pt idx="382">
                  <c:v>3.7062910247799903E-2</c:v>
                </c:pt>
                <c:pt idx="383">
                  <c:v>3.7877858986670759E-2</c:v>
                </c:pt>
                <c:pt idx="384">
                  <c:v>3.8706856147448766E-2</c:v>
                </c:pt>
                <c:pt idx="385">
                  <c:v>3.9550041589363226E-2</c:v>
                </c:pt>
                <c:pt idx="386">
                  <c:v>4.0407553922853195E-2</c:v>
                </c:pt>
                <c:pt idx="387">
                  <c:v>4.1279530426323152E-2</c:v>
                </c:pt>
                <c:pt idx="388">
                  <c:v>4.2166106961762928E-2</c:v>
                </c:pt>
                <c:pt idx="389">
                  <c:v>4.3067417889258199E-2</c:v>
                </c:pt>
                <c:pt idx="390">
                  <c:v>4.3983595980419517E-2</c:v>
                </c:pt>
                <c:pt idx="391">
                  <c:v>4.4914772330759252E-2</c:v>
                </c:pt>
                <c:pt idx="392">
                  <c:v>4.5861076271046915E-2</c:v>
                </c:pt>
                <c:pt idx="393">
                  <c:v>4.682263527767503E-2</c:v>
                </c:pt>
                <c:pt idx="394">
                  <c:v>4.7799574882068749E-2</c:v>
                </c:pt>
                <c:pt idx="395">
                  <c:v>4.8792018579174326E-2</c:v>
                </c:pt>
                <c:pt idx="396">
                  <c:v>4.9800087735062185E-2</c:v>
                </c:pt>
                <c:pt idx="397">
                  <c:v>5.082390149368244E-2</c:v>
                </c:pt>
                <c:pt idx="398">
                  <c:v>5.186357668281167E-2</c:v>
                </c:pt>
                <c:pt idx="399">
                  <c:v>5.2919227719231236E-2</c:v>
                </c:pt>
                <c:pt idx="400">
                  <c:v>5.3990966513178841E-2</c:v>
                </c:pt>
                <c:pt idx="401">
                  <c:v>5.5078902372116413E-2</c:v>
                </c:pt>
                <c:pt idx="402">
                  <c:v>5.6183141903858549E-2</c:v>
                </c:pt>
                <c:pt idx="403">
                  <c:v>5.73037889191075E-2</c:v>
                </c:pt>
                <c:pt idx="404">
                  <c:v>5.8440944333441699E-2</c:v>
                </c:pt>
                <c:pt idx="405">
                  <c:v>5.9594706068806159E-2</c:v>
                </c:pt>
                <c:pt idx="406">
                  <c:v>6.0765168954554728E-2</c:v>
                </c:pt>
                <c:pt idx="407">
                  <c:v>6.1952424628094964E-2</c:v>
                </c:pt>
                <c:pt idx="408">
                  <c:v>6.3156561435188302E-2</c:v>
                </c:pt>
                <c:pt idx="409">
                  <c:v>6.4377664329958867E-2</c:v>
                </c:pt>
                <c:pt idx="410">
                  <c:v>6.5615814774665965E-2</c:v>
                </c:pt>
                <c:pt idx="411">
                  <c:v>6.6871090639296388E-2</c:v>
                </c:pt>
                <c:pt idx="412">
                  <c:v>6.8143566101033642E-2</c:v>
                </c:pt>
                <c:pt idx="413">
                  <c:v>6.9433311543663126E-2</c:v>
                </c:pt>
                <c:pt idx="414">
                  <c:v>7.0740393456972181E-2</c:v>
                </c:pt>
                <c:pt idx="415">
                  <c:v>7.2064874336206633E-2</c:v>
                </c:pt>
                <c:pt idx="416">
                  <c:v>7.3406812581645386E-2</c:v>
                </c:pt>
                <c:pt idx="417">
                  <c:v>7.4766262398355945E-2</c:v>
                </c:pt>
                <c:pt idx="418">
                  <c:v>7.6143273696195515E-2</c:v>
                </c:pt>
                <c:pt idx="419">
                  <c:v>7.7537891990122038E-2</c:v>
                </c:pt>
                <c:pt idx="420">
                  <c:v>7.8950158300882062E-2</c:v>
                </c:pt>
                <c:pt idx="421">
                  <c:v>8.0380109056141916E-2</c:v>
                </c:pt>
                <c:pt idx="422">
                  <c:v>8.1827775992130397E-2</c:v>
                </c:pt>
                <c:pt idx="423">
                  <c:v>8.3293186055861917E-2</c:v>
                </c:pt>
                <c:pt idx="424">
                  <c:v>8.4776361308009529E-2</c:v>
                </c:pt>
                <c:pt idx="425">
                  <c:v>8.6277318826498667E-2</c:v>
                </c:pt>
                <c:pt idx="426">
                  <c:v>8.7796070610892632E-2</c:v>
                </c:pt>
                <c:pt idx="427">
                  <c:v>8.9332623487641843E-2</c:v>
                </c:pt>
                <c:pt idx="428">
                  <c:v>9.0886979016269562E-2</c:v>
                </c:pt>
                <c:pt idx="429">
                  <c:v>9.2459133396567209E-2</c:v>
                </c:pt>
                <c:pt idx="430">
                  <c:v>9.4049077376873333E-2</c:v>
                </c:pt>
                <c:pt idx="431">
                  <c:v>9.5656796163510235E-2</c:v>
                </c:pt>
                <c:pt idx="432">
                  <c:v>9.7282269331453591E-2</c:v>
                </c:pt>
                <c:pt idx="433">
                  <c:v>9.8925470736309667E-2</c:v>
                </c:pt>
                <c:pt idx="434">
                  <c:v>0.10058636842767636</c:v>
                </c:pt>
                <c:pt idx="435">
                  <c:v>0.10226492456396366</c:v>
                </c:pt>
                <c:pt idx="436">
                  <c:v>0.10396109532874971</c:v>
                </c:pt>
                <c:pt idx="437">
                  <c:v>0.10567483084874897</c:v>
                </c:pt>
                <c:pt idx="438">
                  <c:v>0.10740607511346904</c:v>
                </c:pt>
                <c:pt idx="439">
                  <c:v>0.10915476589663244</c:v>
                </c:pt>
                <c:pt idx="440">
                  <c:v>0.11092083467944047</c:v>
                </c:pt>
                <c:pt idx="441">
                  <c:v>0.11270420657575535</c:v>
                </c:pt>
                <c:pt idx="442">
                  <c:v>0.11450480025927701</c:v>
                </c:pt>
                <c:pt idx="443">
                  <c:v>0.11632252789279157</c:v>
                </c:pt>
                <c:pt idx="444">
                  <c:v>0.11815729505956662</c:v>
                </c:pt>
                <c:pt idx="445">
                  <c:v>0.12000900069696979</c:v>
                </c:pt>
                <c:pt idx="446">
                  <c:v>0.12187753703238581</c:v>
                </c:pt>
                <c:pt idx="447">
                  <c:v>0.12376278952150704</c:v>
                </c:pt>
                <c:pt idx="448">
                  <c:v>0.12566463678907192</c:v>
                </c:pt>
                <c:pt idx="449">
                  <c:v>0.12758295057212551</c:v>
                </c:pt>
                <c:pt idx="450">
                  <c:v>0.12951759566587526</c:v>
                </c:pt>
                <c:pt idx="451">
                  <c:v>0.13146842987221441</c:v>
                </c:pt>
                <c:pt idx="452">
                  <c:v>0.13343530395098555</c:v>
                </c:pt>
                <c:pt idx="453">
                  <c:v>0.13541806157405439</c:v>
                </c:pt>
                <c:pt idx="454">
                  <c:v>0.13741653928226474</c:v>
                </c:pt>
                <c:pt idx="455">
                  <c:v>0.1394305664453431</c:v>
                </c:pt>
                <c:pt idx="456">
                  <c:v>0.14145996522482149</c:v>
                </c:pt>
                <c:pt idx="457">
                  <c:v>0.14350455054004502</c:v>
                </c:pt>
                <c:pt idx="458">
                  <c:v>0.14556413003733007</c:v>
                </c:pt>
                <c:pt idx="459">
                  <c:v>0.14763850406233806</c:v>
                </c:pt>
                <c:pt idx="460">
                  <c:v>0.14972746563572706</c:v>
                </c:pt>
                <c:pt idx="461">
                  <c:v>0.15183080043214375</c:v>
                </c:pt>
                <c:pt idx="462">
                  <c:v>0.15394828676261568</c:v>
                </c:pt>
                <c:pt idx="463">
                  <c:v>0.15607969556040271</c:v>
                </c:pt>
                <c:pt idx="464">
                  <c:v>0.1582247903703648</c:v>
                </c:pt>
                <c:pt idx="465">
                  <c:v>0.16038332734190122</c:v>
                </c:pt>
                <c:pt idx="466">
                  <c:v>0.16255505522551567</c:v>
                </c:pt>
                <c:pt idx="467">
                  <c:v>0.16473971537305823</c:v>
                </c:pt>
                <c:pt idx="468">
                  <c:v>0.16693704174169516</c:v>
                </c:pt>
                <c:pt idx="469">
                  <c:v>0.16914676090165365</c:v>
                </c:pt>
                <c:pt idx="470">
                  <c:v>0.17136859204778851</c:v>
                </c:pt>
                <c:pt idx="471">
                  <c:v>0.17360224701501403</c:v>
                </c:pt>
                <c:pt idx="472">
                  <c:v>0.1758474302976433</c:v>
                </c:pt>
                <c:pt idx="473">
                  <c:v>0.17810383907267441</c:v>
                </c:pt>
                <c:pt idx="474">
                  <c:v>0.18037116322706107</c:v>
                </c:pt>
                <c:pt idx="475">
                  <c:v>0.1826490853890026</c:v>
                </c:pt>
                <c:pt idx="476">
                  <c:v>0.18493728096328588</c:v>
                </c:pt>
                <c:pt idx="477">
                  <c:v>0.18723541817071004</c:v>
                </c:pt>
                <c:pt idx="478">
                  <c:v>0.18954315809162064</c:v>
                </c:pt>
                <c:pt idx="479">
                  <c:v>0.19186015471357973</c:v>
                </c:pt>
                <c:pt idx="480">
                  <c:v>0.19418605498319322</c:v>
                </c:pt>
                <c:pt idx="481">
                  <c:v>0.19652049886211673</c:v>
                </c:pt>
                <c:pt idx="482">
                  <c:v>0.19886311938725604</c:v>
                </c:pt>
                <c:pt idx="483">
                  <c:v>0.20121354273517744</c:v>
                </c:pt>
                <c:pt idx="484">
                  <c:v>0.20357138829073942</c:v>
                </c:pt>
                <c:pt idx="485">
                  <c:v>0.20593626871995474</c:v>
                </c:pt>
                <c:pt idx="486">
                  <c:v>0.20830779004708827</c:v>
                </c:pt>
                <c:pt idx="487">
                  <c:v>0.21068555173599515</c:v>
                </c:pt>
                <c:pt idx="488">
                  <c:v>0.21306914677569772</c:v>
                </c:pt>
                <c:pt idx="489">
                  <c:v>0.21545816177019947</c:v>
                </c:pt>
                <c:pt idx="490">
                  <c:v>0.21785217703253026</c:v>
                </c:pt>
                <c:pt idx="491">
                  <c:v>0.22025076668301299</c:v>
                </c:pt>
                <c:pt idx="492">
                  <c:v>0.22265349875174081</c:v>
                </c:pt>
                <c:pt idx="493">
                  <c:v>0.22505993528524931</c:v>
                </c:pt>
                <c:pt idx="494">
                  <c:v>0.22746963245736554</c:v>
                </c:pt>
                <c:pt idx="495">
                  <c:v>0.22988214068421264</c:v>
                </c:pt>
                <c:pt idx="496">
                  <c:v>0.23229700474334578</c:v>
                </c:pt>
                <c:pt idx="497">
                  <c:v>0.23471376389699139</c:v>
                </c:pt>
                <c:pt idx="498">
                  <c:v>0.23713195201935916</c:v>
                </c:pt>
                <c:pt idx="499">
                  <c:v>0.23955109772799291</c:v>
                </c:pt>
                <c:pt idx="500">
                  <c:v>0.24197072451912291</c:v>
                </c:pt>
                <c:pt idx="501">
                  <c:v>0.24439035090697914</c:v>
                </c:pt>
                <c:pt idx="502">
                  <c:v>0.24680949056702228</c:v>
                </c:pt>
                <c:pt idx="503">
                  <c:v>0.24922765248304549</c:v>
                </c:pt>
                <c:pt idx="504">
                  <c:v>0.25164434109809669</c:v>
                </c:pt>
                <c:pt idx="505">
                  <c:v>0.2540590564691686</c:v>
                </c:pt>
                <c:pt idx="506">
                  <c:v>0.25647129442559996</c:v>
                </c:pt>
                <c:pt idx="507">
                  <c:v>0.25888054673112848</c:v>
                </c:pt>
                <c:pt idx="508">
                  <c:v>0.26128630124953284</c:v>
                </c:pt>
                <c:pt idx="509">
                  <c:v>0.26368804211379793</c:v>
                </c:pt>
                <c:pt idx="510">
                  <c:v>0.26608524989873461</c:v>
                </c:pt>
                <c:pt idx="511">
                  <c:v>0.26847740179698221</c:v>
                </c:pt>
                <c:pt idx="512">
                  <c:v>0.27086397179831789</c:v>
                </c:pt>
                <c:pt idx="513">
                  <c:v>0.27324443087219619</c:v>
                </c:pt>
                <c:pt idx="514">
                  <c:v>0.27561824715343669</c:v>
                </c:pt>
                <c:pt idx="515">
                  <c:v>0.27798488613097649</c:v>
                </c:pt>
                <c:pt idx="516">
                  <c:v>0.28034381083960069</c:v>
                </c:pt>
                <c:pt idx="517">
                  <c:v>0.28269448205456044</c:v>
                </c:pt>
                <c:pt idx="518">
                  <c:v>0.28503635848898751</c:v>
                </c:pt>
                <c:pt idx="519">
                  <c:v>0.28736889699400869</c:v>
                </c:pt>
                <c:pt idx="520">
                  <c:v>0.28969155276146319</c:v>
                </c:pt>
                <c:pt idx="521">
                  <c:v>0.29200377952912199</c:v>
                </c:pt>
                <c:pt idx="522">
                  <c:v>0.29430502978830581</c:v>
                </c:pt>
                <c:pt idx="523">
                  <c:v>0.29659475499379645</c:v>
                </c:pt>
                <c:pt idx="524">
                  <c:v>0.2988724057759336</c:v>
                </c:pt>
                <c:pt idx="525">
                  <c:v>0.30113743215478539</c:v>
                </c:pt>
                <c:pt idx="526">
                  <c:v>0.30338928375628121</c:v>
                </c:pt>
                <c:pt idx="527">
                  <c:v>0.30562741003019106</c:v>
                </c:pt>
                <c:pt idx="528">
                  <c:v>0.30785126046983424</c:v>
                </c:pt>
                <c:pt idx="529">
                  <c:v>0.31006028483339759</c:v>
                </c:pt>
                <c:pt idx="530">
                  <c:v>0.31225393336674284</c:v>
                </c:pt>
                <c:pt idx="531">
                  <c:v>0.31443165702757903</c:v>
                </c:pt>
                <c:pt idx="532">
                  <c:v>0.31659290771087467</c:v>
                </c:pt>
                <c:pt idx="533">
                  <c:v>0.31873713847538354</c:v>
                </c:pt>
                <c:pt idx="534">
                  <c:v>0.32086380377115464</c:v>
                </c:pt>
                <c:pt idx="535">
                  <c:v>0.32297235966789661</c:v>
                </c:pt>
                <c:pt idx="536">
                  <c:v>0.32506226408406463</c:v>
                </c:pt>
                <c:pt idx="537">
                  <c:v>0.32713297701653715</c:v>
                </c:pt>
                <c:pt idx="538">
                  <c:v>0.32918396077074757</c:v>
                </c:pt>
                <c:pt idx="539">
                  <c:v>0.33121468019113592</c:v>
                </c:pt>
                <c:pt idx="540">
                  <c:v>0.3332246028917828</c:v>
                </c:pt>
                <c:pt idx="541">
                  <c:v>0.33521319948708944</c:v>
                </c:pt>
                <c:pt idx="542">
                  <c:v>0.3371799438223641</c:v>
                </c:pt>
                <c:pt idx="543">
                  <c:v>0.33912431320417591</c:v>
                </c:pt>
                <c:pt idx="544">
                  <c:v>0.34104578863033647</c:v>
                </c:pt>
                <c:pt idx="545">
                  <c:v>0.34294385501936803</c:v>
                </c:pt>
                <c:pt idx="546">
                  <c:v>0.34481800143931768</c:v>
                </c:pt>
                <c:pt idx="547">
                  <c:v>0.34666772133577617</c:v>
                </c:pt>
                <c:pt idx="548">
                  <c:v>0.34849251275895926</c:v>
                </c:pt>
                <c:pt idx="549">
                  <c:v>0.35029187858971078</c:v>
                </c:pt>
                <c:pt idx="550">
                  <c:v>0.3520653267642847</c:v>
                </c:pt>
                <c:pt idx="551">
                  <c:v>0.35381237049776509</c:v>
                </c:pt>
                <c:pt idx="552">
                  <c:v>0.35553252850598271</c:v>
                </c:pt>
                <c:pt idx="553">
                  <c:v>0.35722532522578671</c:v>
                </c:pt>
                <c:pt idx="554">
                  <c:v>0.35889029103353071</c:v>
                </c:pt>
                <c:pt idx="555">
                  <c:v>0.36052696246163429</c:v>
                </c:pt>
                <c:pt idx="556">
                  <c:v>0.36213488241307878</c:v>
                </c:pt>
                <c:pt idx="557">
                  <c:v>0.36371360037370026</c:v>
                </c:pt>
                <c:pt idx="558">
                  <c:v>0.36526267262214096</c:v>
                </c:pt>
                <c:pt idx="559">
                  <c:v>0.36678166243732346</c:v>
                </c:pt>
                <c:pt idx="560">
                  <c:v>0.3682701403033109</c:v>
                </c:pt>
                <c:pt idx="561">
                  <c:v>0.36972768411142021</c:v>
                </c:pt>
                <c:pt idx="562">
                  <c:v>0.37115387935945415</c:v>
                </c:pt>
                <c:pt idx="563">
                  <c:v>0.37254831934792182</c:v>
                </c:pt>
                <c:pt idx="564">
                  <c:v>0.37391060537311704</c:v>
                </c:pt>
                <c:pt idx="565">
                  <c:v>0.37524034691692681</c:v>
                </c:pt>
                <c:pt idx="566">
                  <c:v>0.37653716183324315</c:v>
                </c:pt>
                <c:pt idx="567">
                  <c:v>0.37780067653085408</c:v>
                </c:pt>
                <c:pt idx="568">
                  <c:v>0.3790305261526915</c:v>
                </c:pt>
                <c:pt idx="569">
                  <c:v>0.380226354751315</c:v>
                </c:pt>
                <c:pt idx="570">
                  <c:v>0.38138781546051448</c:v>
                </c:pt>
                <c:pt idx="571">
                  <c:v>0.38251457066291467</c:v>
                </c:pt>
                <c:pt idx="572">
                  <c:v>0.38360629215346953</c:v>
                </c:pt>
                <c:pt idx="573">
                  <c:v>0.38466266129873405</c:v>
                </c:pt>
                <c:pt idx="574">
                  <c:v>0.38568336919180762</c:v>
                </c:pt>
                <c:pt idx="575">
                  <c:v>0.38666811680284108</c:v>
                </c:pt>
                <c:pt idx="576">
                  <c:v>0.38761661512500634</c:v>
                </c:pt>
                <c:pt idx="577">
                  <c:v>0.3885285853158284</c:v>
                </c:pt>
                <c:pt idx="578">
                  <c:v>0.3894037588337832</c:v>
                </c:pt>
                <c:pt idx="579">
                  <c:v>0.3902418775700674</c:v>
                </c:pt>
                <c:pt idx="580">
                  <c:v>0.39104269397544933</c:v>
                </c:pt>
                <c:pt idx="581">
                  <c:v>0.3918059711821148</c:v>
                </c:pt>
                <c:pt idx="582">
                  <c:v>0.39253148312042296</c:v>
                </c:pt>
                <c:pt idx="583">
                  <c:v>0.39321901463049158</c:v>
                </c:pt>
                <c:pt idx="584">
                  <c:v>0.3938683615685355</c:v>
                </c:pt>
                <c:pt idx="585">
                  <c:v>0.3944793309078839</c:v>
                </c:pt>
                <c:pt idx="586">
                  <c:v>0.39505174083460659</c:v>
                </c:pt>
                <c:pt idx="587">
                  <c:v>0.39558542083768305</c:v>
                </c:pt>
                <c:pt idx="588">
                  <c:v>0.39608021179365205</c:v>
                </c:pt>
                <c:pt idx="589">
                  <c:v>0.39653596604568209</c:v>
                </c:pt>
                <c:pt idx="590">
                  <c:v>0.39695254747700842</c:v>
                </c:pt>
                <c:pt idx="591">
                  <c:v>0.39732983157868529</c:v>
                </c:pt>
                <c:pt idx="592">
                  <c:v>0.39766770551160618</c:v>
                </c:pt>
                <c:pt idx="593">
                  <c:v>0.39796606816274865</c:v>
                </c:pt>
                <c:pt idx="594">
                  <c:v>0.39822483019560484</c:v>
                </c:pt>
                <c:pt idx="595">
                  <c:v>0.39844391409476232</c:v>
                </c:pt>
                <c:pt idx="596">
                  <c:v>0.39862325420460365</c:v>
                </c:pt>
                <c:pt idx="597">
                  <c:v>0.39876279676209864</c:v>
                </c:pt>
                <c:pt idx="598">
                  <c:v>0.3988624999236654</c:v>
                </c:pt>
                <c:pt idx="599">
                  <c:v>0.39892233378608177</c:v>
                </c:pt>
                <c:pt idx="600">
                  <c:v>0.39894228040143265</c:v>
                </c:pt>
                <c:pt idx="601">
                  <c:v>0.39892233378608244</c:v>
                </c:pt>
                <c:pt idx="602">
                  <c:v>0.39886249992366674</c:v>
                </c:pt>
                <c:pt idx="603">
                  <c:v>0.39876279676210064</c:v>
                </c:pt>
                <c:pt idx="604">
                  <c:v>0.39862325420460631</c:v>
                </c:pt>
                <c:pt idx="605">
                  <c:v>0.39844391409476565</c:v>
                </c:pt>
                <c:pt idx="606">
                  <c:v>0.39822483019560889</c:v>
                </c:pt>
                <c:pt idx="607">
                  <c:v>0.39796606816275332</c:v>
                </c:pt>
                <c:pt idx="608">
                  <c:v>0.39766770551161151</c:v>
                </c:pt>
                <c:pt idx="609">
                  <c:v>0.39732983157869128</c:v>
                </c:pt>
                <c:pt idx="610">
                  <c:v>0.39695254747701508</c:v>
                </c:pt>
                <c:pt idx="611">
                  <c:v>0.39653596604568941</c:v>
                </c:pt>
                <c:pt idx="612">
                  <c:v>0.39608021179365999</c:v>
                </c:pt>
                <c:pt idx="613">
                  <c:v>0.39558542083769166</c:v>
                </c:pt>
                <c:pt idx="614">
                  <c:v>0.39505174083461586</c:v>
                </c:pt>
                <c:pt idx="615">
                  <c:v>0.39447933090789378</c:v>
                </c:pt>
                <c:pt idx="616">
                  <c:v>0.39386836156854604</c:v>
                </c:pt>
                <c:pt idx="617">
                  <c:v>0.39321901463050274</c:v>
                </c:pt>
                <c:pt idx="618">
                  <c:v>0.39253148312043479</c:v>
                </c:pt>
                <c:pt idx="619">
                  <c:v>0.39180597118212723</c:v>
                </c:pt>
                <c:pt idx="620">
                  <c:v>0.39104269397546237</c:v>
                </c:pt>
                <c:pt idx="621">
                  <c:v>0.39024187757008105</c:v>
                </c:pt>
                <c:pt idx="622">
                  <c:v>0.38940375883379758</c:v>
                </c:pt>
                <c:pt idx="623">
                  <c:v>0.38852858531584333</c:v>
                </c:pt>
                <c:pt idx="624">
                  <c:v>0.38761661512502188</c:v>
                </c:pt>
                <c:pt idx="625">
                  <c:v>0.38666811680285723</c:v>
                </c:pt>
                <c:pt idx="626">
                  <c:v>0.38568336919182444</c:v>
                </c:pt>
                <c:pt idx="627">
                  <c:v>0.38466266129875143</c:v>
                </c:pt>
                <c:pt idx="628">
                  <c:v>0.38360629215348746</c:v>
                </c:pt>
                <c:pt idx="629">
                  <c:v>0.38251457066293326</c:v>
                </c:pt>
                <c:pt idx="630">
                  <c:v>0.38138781546053357</c:v>
                </c:pt>
                <c:pt idx="631">
                  <c:v>0.38022635475133471</c:v>
                </c:pt>
                <c:pt idx="632">
                  <c:v>0.37903052615271177</c:v>
                </c:pt>
                <c:pt idx="633">
                  <c:v>0.37780067653087496</c:v>
                </c:pt>
                <c:pt idx="634">
                  <c:v>0.37653716183326458</c:v>
                </c:pt>
                <c:pt idx="635">
                  <c:v>0.3752403469169488</c:v>
                </c:pt>
                <c:pt idx="636">
                  <c:v>0.37391060537313958</c:v>
                </c:pt>
                <c:pt idx="637">
                  <c:v>0.37254831934794486</c:v>
                </c:pt>
                <c:pt idx="638">
                  <c:v>0.37115387935947775</c:v>
                </c:pt>
                <c:pt idx="639">
                  <c:v>0.3697276841114443</c:v>
                </c:pt>
                <c:pt idx="640">
                  <c:v>0.3682701403033356</c:v>
                </c:pt>
                <c:pt idx="641">
                  <c:v>0.36678166243734861</c:v>
                </c:pt>
                <c:pt idx="642">
                  <c:v>0.36526267262216666</c:v>
                </c:pt>
                <c:pt idx="643">
                  <c:v>0.36371360037372641</c:v>
                </c:pt>
                <c:pt idx="644">
                  <c:v>0.36213488241310549</c:v>
                </c:pt>
                <c:pt idx="645">
                  <c:v>0.36052696246166144</c:v>
                </c:pt>
                <c:pt idx="646">
                  <c:v>0.35889029103355835</c:v>
                </c:pt>
                <c:pt idx="647">
                  <c:v>0.35722532522581474</c:v>
                </c:pt>
                <c:pt idx="648">
                  <c:v>0.3555325285060113</c:v>
                </c:pt>
                <c:pt idx="649">
                  <c:v>0.35381237049779407</c:v>
                </c:pt>
                <c:pt idx="650">
                  <c:v>0.35206532676431412</c:v>
                </c:pt>
                <c:pt idx="651">
                  <c:v>0.35029187858974065</c:v>
                </c:pt>
                <c:pt idx="652">
                  <c:v>0.34849251275898957</c:v>
                </c:pt>
                <c:pt idx="653">
                  <c:v>0.34666772133580692</c:v>
                </c:pt>
                <c:pt idx="654">
                  <c:v>0.34481800143934888</c:v>
                </c:pt>
                <c:pt idx="655">
                  <c:v>0.34294385501939961</c:v>
                </c:pt>
                <c:pt idx="656">
                  <c:v>0.34104578863036844</c:v>
                </c:pt>
                <c:pt idx="657">
                  <c:v>0.33912431320420822</c:v>
                </c:pt>
                <c:pt idx="658">
                  <c:v>0.3371799438223968</c:v>
                </c:pt>
                <c:pt idx="659">
                  <c:v>0.33521319948712253</c:v>
                </c:pt>
                <c:pt idx="660">
                  <c:v>0.33322460289181627</c:v>
                </c:pt>
                <c:pt idx="661">
                  <c:v>0.33121468019116973</c:v>
                </c:pt>
                <c:pt idx="662">
                  <c:v>0.32918396077078177</c:v>
                </c:pt>
                <c:pt idx="663">
                  <c:v>0.32713297701657157</c:v>
                </c:pt>
                <c:pt idx="664">
                  <c:v>0.32506226408409944</c:v>
                </c:pt>
                <c:pt idx="665">
                  <c:v>0.32297235966793175</c:v>
                </c:pt>
                <c:pt idx="666">
                  <c:v>0.32086380377119011</c:v>
                </c:pt>
                <c:pt idx="667">
                  <c:v>0.31873713847541929</c:v>
                </c:pt>
                <c:pt idx="668">
                  <c:v>0.31659290771091064</c:v>
                </c:pt>
                <c:pt idx="669">
                  <c:v>0.31443165702761533</c:v>
                </c:pt>
                <c:pt idx="670">
                  <c:v>0.31225393336677942</c:v>
                </c:pt>
                <c:pt idx="671">
                  <c:v>0.3100602848334344</c:v>
                </c:pt>
                <c:pt idx="672">
                  <c:v>0.30785126046987132</c:v>
                </c:pt>
                <c:pt idx="673">
                  <c:v>0.30562741003022842</c:v>
                </c:pt>
                <c:pt idx="674">
                  <c:v>0.30338928375631874</c:v>
                </c:pt>
                <c:pt idx="675">
                  <c:v>0.30113743215482319</c:v>
                </c:pt>
                <c:pt idx="676">
                  <c:v>0.29887240577597163</c:v>
                </c:pt>
                <c:pt idx="677">
                  <c:v>0.2965947549938347</c:v>
                </c:pt>
                <c:pt idx="678">
                  <c:v>0.29430502978834416</c:v>
                </c:pt>
                <c:pt idx="679">
                  <c:v>0.29200377952916062</c:v>
                </c:pt>
                <c:pt idx="680">
                  <c:v>0.28969155276150199</c:v>
                </c:pt>
                <c:pt idx="681">
                  <c:v>0.28736889699404761</c:v>
                </c:pt>
                <c:pt idx="682">
                  <c:v>0.28503635848902659</c:v>
                </c:pt>
                <c:pt idx="683">
                  <c:v>0.28269448205459968</c:v>
                </c:pt>
                <c:pt idx="684">
                  <c:v>0.28034381083964011</c:v>
                </c:pt>
                <c:pt idx="685">
                  <c:v>0.27798488613101607</c:v>
                </c:pt>
                <c:pt idx="686">
                  <c:v>0.27561824715347633</c:v>
                </c:pt>
                <c:pt idx="687">
                  <c:v>0.27324443087223593</c:v>
                </c:pt>
                <c:pt idx="688">
                  <c:v>0.27086397179835775</c:v>
                </c:pt>
                <c:pt idx="689">
                  <c:v>0.26847740179702217</c:v>
                </c:pt>
                <c:pt idx="690">
                  <c:v>0.26608524989877469</c:v>
                </c:pt>
                <c:pt idx="691">
                  <c:v>0.26368804211383806</c:v>
                </c:pt>
                <c:pt idx="692">
                  <c:v>0.26128630124957303</c:v>
                </c:pt>
                <c:pt idx="693">
                  <c:v>0.25888054673116878</c:v>
                </c:pt>
                <c:pt idx="694">
                  <c:v>0.25647129442564032</c:v>
                </c:pt>
                <c:pt idx="695">
                  <c:v>0.25405905646920901</c:v>
                </c:pt>
                <c:pt idx="696">
                  <c:v>0.2516443410981371</c:v>
                </c:pt>
                <c:pt idx="697">
                  <c:v>0.24922765248308593</c:v>
                </c:pt>
                <c:pt idx="698">
                  <c:v>0.24680949056706275</c:v>
                </c:pt>
                <c:pt idx="699">
                  <c:v>0.2443903509070196</c:v>
                </c:pt>
                <c:pt idx="700">
                  <c:v>0.2419707245191634</c:v>
                </c:pt>
                <c:pt idx="701">
                  <c:v>0.23955109772803343</c:v>
                </c:pt>
                <c:pt idx="702">
                  <c:v>0.23713195201939963</c:v>
                </c:pt>
                <c:pt idx="703">
                  <c:v>0.23471376389703186</c:v>
                </c:pt>
                <c:pt idx="704">
                  <c:v>0.23229700474338622</c:v>
                </c:pt>
                <c:pt idx="705">
                  <c:v>0.22988214068425303</c:v>
                </c:pt>
                <c:pt idx="706">
                  <c:v>0.2274696324574059</c:v>
                </c:pt>
                <c:pt idx="707">
                  <c:v>0.22505993528528961</c:v>
                </c:pt>
                <c:pt idx="708">
                  <c:v>0.22265349875178109</c:v>
                </c:pt>
                <c:pt idx="709">
                  <c:v>0.22025076668305316</c:v>
                </c:pt>
                <c:pt idx="710">
                  <c:v>0.2178521770325704</c:v>
                </c:pt>
                <c:pt idx="711">
                  <c:v>0.21545816177023949</c:v>
                </c:pt>
                <c:pt idx="712">
                  <c:v>0.21306914677573766</c:v>
                </c:pt>
                <c:pt idx="713">
                  <c:v>0.21068555173603501</c:v>
                </c:pt>
                <c:pt idx="714">
                  <c:v>0.20830779004712804</c:v>
                </c:pt>
                <c:pt idx="715">
                  <c:v>0.20593626871999438</c:v>
                </c:pt>
                <c:pt idx="716">
                  <c:v>0.20357138829077898</c:v>
                </c:pt>
                <c:pt idx="717">
                  <c:v>0.20121354273521685</c:v>
                </c:pt>
                <c:pt idx="718">
                  <c:v>0.19886311938729531</c:v>
                </c:pt>
                <c:pt idx="719">
                  <c:v>0.19652049886215589</c:v>
                </c:pt>
                <c:pt idx="720">
                  <c:v>0.19418605498323221</c:v>
                </c:pt>
                <c:pt idx="721">
                  <c:v>0.19186015471361859</c:v>
                </c:pt>
                <c:pt idx="722">
                  <c:v>0.18954315809165936</c:v>
                </c:pt>
                <c:pt idx="723">
                  <c:v>0.18723541817074857</c:v>
                </c:pt>
                <c:pt idx="724">
                  <c:v>0.18493728096332426</c:v>
                </c:pt>
                <c:pt idx="725">
                  <c:v>0.18264908538904079</c:v>
                </c:pt>
                <c:pt idx="726">
                  <c:v>0.18037116322709912</c:v>
                </c:pt>
                <c:pt idx="727">
                  <c:v>0.17810383907271227</c:v>
                </c:pt>
                <c:pt idx="728">
                  <c:v>0.17584743029768099</c:v>
                </c:pt>
                <c:pt idx="729">
                  <c:v>0.1736022470150515</c:v>
                </c:pt>
                <c:pt idx="730">
                  <c:v>0.17136859204782579</c:v>
                </c:pt>
                <c:pt idx="731">
                  <c:v>0.16914676090169073</c:v>
                </c:pt>
                <c:pt idx="732">
                  <c:v>0.16693704174173205</c:v>
                </c:pt>
                <c:pt idx="733">
                  <c:v>0.16473971537309495</c:v>
                </c:pt>
                <c:pt idx="734">
                  <c:v>0.16255505522555216</c:v>
                </c:pt>
                <c:pt idx="735">
                  <c:v>0.1603833273419375</c:v>
                </c:pt>
                <c:pt idx="736">
                  <c:v>0.15822479037040083</c:v>
                </c:pt>
                <c:pt idx="737">
                  <c:v>0.15607969556043855</c:v>
                </c:pt>
                <c:pt idx="738">
                  <c:v>0.15394828676265124</c:v>
                </c:pt>
                <c:pt idx="739">
                  <c:v>0.15183080043217911</c:v>
                </c:pt>
                <c:pt idx="740">
                  <c:v>0.14972746563576217</c:v>
                </c:pt>
                <c:pt idx="741">
                  <c:v>0.14763850406237292</c:v>
                </c:pt>
                <c:pt idx="742">
                  <c:v>0.14556413003736468</c:v>
                </c:pt>
                <c:pt idx="743">
                  <c:v>0.14350455054007935</c:v>
                </c:pt>
                <c:pt idx="744">
                  <c:v>0.14145996522485563</c:v>
                </c:pt>
                <c:pt idx="745">
                  <c:v>0.13943056644537696</c:v>
                </c:pt>
                <c:pt idx="746">
                  <c:v>0.13741653928229833</c:v>
                </c:pt>
                <c:pt idx="747">
                  <c:v>0.13541806157408773</c:v>
                </c:pt>
                <c:pt idx="748">
                  <c:v>0.13343530395101857</c:v>
                </c:pt>
                <c:pt idx="749">
                  <c:v>0.13146842987224719</c:v>
                </c:pt>
                <c:pt idx="750">
                  <c:v>0.12951759566590776</c:v>
                </c:pt>
                <c:pt idx="751">
                  <c:v>0.12758295057215777</c:v>
                </c:pt>
                <c:pt idx="752">
                  <c:v>0.12566463678910389</c:v>
                </c:pt>
                <c:pt idx="753">
                  <c:v>0.12376278952153875</c:v>
                </c:pt>
                <c:pt idx="754">
                  <c:v>0.12187753703241724</c:v>
                </c:pt>
                <c:pt idx="755">
                  <c:v>0.12000900069700093</c:v>
                </c:pt>
                <c:pt idx="756">
                  <c:v>0.11815729505959748</c:v>
                </c:pt>
                <c:pt idx="757">
                  <c:v>0.11632252789282216</c:v>
                </c:pt>
                <c:pt idx="758">
                  <c:v>0.11450480025930729</c:v>
                </c:pt>
                <c:pt idx="759">
                  <c:v>0.11270420657578534</c:v>
                </c:pt>
                <c:pt idx="760">
                  <c:v>0.11092083467947021</c:v>
                </c:pt>
                <c:pt idx="761">
                  <c:v>0.10915476589666187</c:v>
                </c:pt>
                <c:pt idx="762">
                  <c:v>0.10740607511349817</c:v>
                </c:pt>
                <c:pt idx="763">
                  <c:v>0.10567483084877781</c:v>
                </c:pt>
                <c:pt idx="764">
                  <c:v>0.10396109532877824</c:v>
                </c:pt>
                <c:pt idx="765">
                  <c:v>0.1022649245639919</c:v>
                </c:pt>
                <c:pt idx="766">
                  <c:v>0.10058636842770431</c:v>
                </c:pt>
                <c:pt idx="767">
                  <c:v>9.8925470736337326E-2</c:v>
                </c:pt>
                <c:pt idx="768">
                  <c:v>9.7282269331480972E-2</c:v>
                </c:pt>
                <c:pt idx="769">
                  <c:v>9.5656796163537325E-2</c:v>
                </c:pt>
                <c:pt idx="770">
                  <c:v>9.4049077376900089E-2</c:v>
                </c:pt>
                <c:pt idx="771">
                  <c:v>9.2459133396593673E-2</c:v>
                </c:pt>
                <c:pt idx="772">
                  <c:v>9.0886979016295735E-2</c:v>
                </c:pt>
                <c:pt idx="773">
                  <c:v>8.9332623487667712E-2</c:v>
                </c:pt>
                <c:pt idx="774">
                  <c:v>8.7796070610918209E-2</c:v>
                </c:pt>
                <c:pt idx="775">
                  <c:v>8.6277318826523938E-2</c:v>
                </c:pt>
                <c:pt idx="776">
                  <c:v>8.4776361308034509E-2</c:v>
                </c:pt>
                <c:pt idx="777">
                  <c:v>8.3293186055886592E-2</c:v>
                </c:pt>
                <c:pt idx="778">
                  <c:v>8.1827775992154794E-2</c:v>
                </c:pt>
                <c:pt idx="779">
                  <c:v>8.0380109056166008E-2</c:v>
                </c:pt>
                <c:pt idx="780">
                  <c:v>7.8950158300905848E-2</c:v>
                </c:pt>
                <c:pt idx="781">
                  <c:v>7.7537891990145533E-2</c:v>
                </c:pt>
                <c:pt idx="782">
                  <c:v>7.6143273696218705E-2</c:v>
                </c:pt>
                <c:pt idx="783">
                  <c:v>7.4766262398378858E-2</c:v>
                </c:pt>
                <c:pt idx="784">
                  <c:v>7.3406812581667993E-2</c:v>
                </c:pt>
                <c:pt idx="785">
                  <c:v>7.2064874336228948E-2</c:v>
                </c:pt>
                <c:pt idx="786">
                  <c:v>7.0740393456994191E-2</c:v>
                </c:pt>
                <c:pt idx="787">
                  <c:v>6.9433311543684872E-2</c:v>
                </c:pt>
                <c:pt idx="788">
                  <c:v>6.8143566101055111E-2</c:v>
                </c:pt>
                <c:pt idx="789">
                  <c:v>6.6871090639317537E-2</c:v>
                </c:pt>
                <c:pt idx="790">
                  <c:v>6.5615814774686837E-2</c:v>
                </c:pt>
                <c:pt idx="791">
                  <c:v>6.4377664329979448E-2</c:v>
                </c:pt>
                <c:pt idx="792">
                  <c:v>6.3156561435208605E-2</c:v>
                </c:pt>
                <c:pt idx="793">
                  <c:v>6.1952424628114976E-2</c:v>
                </c:pt>
                <c:pt idx="794">
                  <c:v>6.0765168954574462E-2</c:v>
                </c:pt>
                <c:pt idx="795">
                  <c:v>5.9594706068825609E-2</c:v>
                </c:pt>
                <c:pt idx="796">
                  <c:v>5.8440944333460879E-2</c:v>
                </c:pt>
                <c:pt idx="797">
                  <c:v>5.7303788919126401E-2</c:v>
                </c:pt>
                <c:pt idx="798">
                  <c:v>5.6183141903877167E-2</c:v>
                </c:pt>
                <c:pt idx="799">
                  <c:v>5.5078902372134773E-2</c:v>
                </c:pt>
                <c:pt idx="800">
                  <c:v>5.3990966513196924E-2</c:v>
                </c:pt>
                <c:pt idx="801">
                  <c:v>5.2919227719249042E-2</c:v>
                </c:pt>
                <c:pt idx="802">
                  <c:v>5.1863576682829218E-2</c:v>
                </c:pt>
                <c:pt idx="803">
                  <c:v>5.0823901493699704E-2</c:v>
                </c:pt>
                <c:pt idx="804">
                  <c:v>4.9800087735079192E-2</c:v>
                </c:pt>
                <c:pt idx="805">
                  <c:v>4.8792018579191083E-2</c:v>
                </c:pt>
                <c:pt idx="806">
                  <c:v>4.7799574882085243E-2</c:v>
                </c:pt>
                <c:pt idx="807">
                  <c:v>4.6822635277691246E-2</c:v>
                </c:pt>
                <c:pt idx="808">
                  <c:v>4.5861076271062881E-2</c:v>
                </c:pt>
                <c:pt idx="809">
                  <c:v>4.4914772330774969E-2</c:v>
                </c:pt>
                <c:pt idx="810">
                  <c:v>4.3983595980434984E-2</c:v>
                </c:pt>
                <c:pt idx="811">
                  <c:v>4.3067417889273402E-2</c:v>
                </c:pt>
                <c:pt idx="812">
                  <c:v>4.2166106961777888E-2</c:v>
                </c:pt>
                <c:pt idx="813">
                  <c:v>4.127953042633787E-2</c:v>
                </c:pt>
                <c:pt idx="814">
                  <c:v>4.0407553922867663E-2</c:v>
                </c:pt>
                <c:pt idx="815">
                  <c:v>3.9550041589377471E-2</c:v>
                </c:pt>
                <c:pt idx="816">
                  <c:v>3.8706856147462769E-2</c:v>
                </c:pt>
                <c:pt idx="817">
                  <c:v>3.7877858986684526E-2</c:v>
                </c:pt>
                <c:pt idx="818">
                  <c:v>3.7062910247813427E-2</c:v>
                </c:pt>
                <c:pt idx="819">
                  <c:v>3.6261868904913064E-2</c:v>
                </c:pt>
                <c:pt idx="820">
                  <c:v>3.5474592846238176E-2</c:v>
                </c:pt>
                <c:pt idx="821">
                  <c:v>3.470093895392546E-2</c:v>
                </c:pt>
                <c:pt idx="822">
                  <c:v>3.3940763182455737E-2</c:v>
                </c:pt>
                <c:pt idx="823">
                  <c:v>3.3193920635867555E-2</c:v>
                </c:pt>
                <c:pt idx="824">
                  <c:v>3.2460265643703794E-2</c:v>
                </c:pt>
                <c:pt idx="825">
                  <c:v>3.1739651835673663E-2</c:v>
                </c:pt>
                <c:pt idx="826">
                  <c:v>3.10319322150144E-2</c:v>
                </c:pt>
                <c:pt idx="827">
                  <c:v>3.0336959230537683E-2</c:v>
                </c:pt>
                <c:pt idx="828">
                  <c:v>2.9654584847347225E-2</c:v>
                </c:pt>
                <c:pt idx="829">
                  <c:v>2.8984660616215279E-2</c:v>
                </c:pt>
                <c:pt idx="830">
                  <c:v>2.8327037741606942E-2</c:v>
                </c:pt>
                <c:pt idx="831">
                  <c:v>2.7681567148342249E-2</c:v>
                </c:pt>
                <c:pt idx="832">
                  <c:v>2.7048099546887354E-2</c:v>
                </c:pt>
                <c:pt idx="833">
                  <c:v>2.642648549726722E-2</c:v>
                </c:pt>
                <c:pt idx="834">
                  <c:v>2.5816575471593078E-2</c:v>
                </c:pt>
                <c:pt idx="835">
                  <c:v>2.5218219915199701E-2</c:v>
                </c:pt>
                <c:pt idx="836">
                  <c:v>2.4631269306387722E-2</c:v>
                </c:pt>
                <c:pt idx="837">
                  <c:v>2.4055574214768106E-2</c:v>
                </c:pt>
                <c:pt idx="838">
                  <c:v>2.3490985358206401E-2</c:v>
                </c:pt>
                <c:pt idx="839">
                  <c:v>2.2937353658365651E-2</c:v>
                </c:pt>
                <c:pt idx="840">
                  <c:v>2.239453029484777E-2</c:v>
                </c:pt>
                <c:pt idx="841">
                  <c:v>2.1862366757934178E-2</c:v>
                </c:pt>
                <c:pt idx="842">
                  <c:v>2.134071489992748E-2</c:v>
                </c:pt>
                <c:pt idx="843">
                  <c:v>2.0829426985096808E-2</c:v>
                </c:pt>
                <c:pt idx="844">
                  <c:v>2.0328355738230375E-2</c:v>
                </c:pt>
                <c:pt idx="845">
                  <c:v>1.9837354391799782E-2</c:v>
                </c:pt>
                <c:pt idx="846">
                  <c:v>1.9356276731741336E-2</c:v>
                </c:pt>
                <c:pt idx="847">
                  <c:v>1.8884977141860469E-2</c:v>
                </c:pt>
                <c:pt idx="848">
                  <c:v>1.8423310646866267E-2</c:v>
                </c:pt>
                <c:pt idx="849">
                  <c:v>1.7971132954043779E-2</c:v>
                </c:pt>
                <c:pt idx="850">
                  <c:v>1.75283004935726E-2</c:v>
                </c:pt>
                <c:pt idx="851">
                  <c:v>1.7094670457500929E-2</c:v>
                </c:pt>
                <c:pt idx="852">
                  <c:v>1.6670100837384981E-2</c:v>
                </c:pt>
                <c:pt idx="853">
                  <c:v>1.6254450460604336E-2</c:v>
                </c:pt>
                <c:pt idx="854">
                  <c:v>1.5847579025364586E-2</c:v>
                </c:pt>
                <c:pt idx="855">
                  <c:v>1.5449347134398869E-2</c:v>
                </c:pt>
                <c:pt idx="856">
                  <c:v>1.5059616327381078E-2</c:v>
                </c:pt>
                <c:pt idx="857">
                  <c:v>1.4678249112063594E-2</c:v>
                </c:pt>
                <c:pt idx="858">
                  <c:v>1.4305108994153182E-2</c:v>
                </c:pt>
                <c:pt idx="859">
                  <c:v>1.3940060505939234E-2</c:v>
                </c:pt>
                <c:pt idx="860">
                  <c:v>1.3582969233688973E-2</c:v>
                </c:pt>
                <c:pt idx="861">
                  <c:v>1.323370184382465E-2</c:v>
                </c:pt>
                <c:pt idx="862">
                  <c:v>1.2892126107898527E-2</c:v>
                </c:pt>
                <c:pt idx="863">
                  <c:v>1.255811092638136E-2</c:v>
                </c:pt>
                <c:pt idx="864">
                  <c:v>1.2231526351281066E-2</c:v>
                </c:pt>
                <c:pt idx="865">
                  <c:v>1.1912243607608208E-2</c:v>
                </c:pt>
                <c:pt idx="866">
                  <c:v>1.1600135113705532E-2</c:v>
                </c:pt>
                <c:pt idx="867">
                  <c:v>1.1295074500459043E-2</c:v>
                </c:pt>
                <c:pt idx="868">
                  <c:v>1.0996936629408427E-2</c:v>
                </c:pt>
                <c:pt idx="869">
                  <c:v>1.0705597609774973E-2</c:v>
                </c:pt>
                <c:pt idx="870">
                  <c:v>1.0420934814425324E-2</c:v>
                </c:pt>
                <c:pt idx="871">
                  <c:v>1.0142826894789752E-2</c:v>
                </c:pt>
                <c:pt idx="872">
                  <c:v>9.8711537947537547E-3</c:v>
                </c:pt>
                <c:pt idx="873">
                  <c:v>9.605796763542146E-3</c:v>
                </c:pt>
                <c:pt idx="874">
                  <c:v>9.3466383676147919E-3</c:v>
                </c:pt>
                <c:pt idx="875">
                  <c:v>9.0935625015935075E-3</c:v>
                </c:pt>
                <c:pt idx="876">
                  <c:v>8.8464543982396272E-3</c:v>
                </c:pt>
                <c:pt idx="877">
                  <c:v>8.605200637502022E-3</c:v>
                </c:pt>
                <c:pt idx="878">
                  <c:v>8.3696891546553263E-3</c:v>
                </c:pt>
                <c:pt idx="879">
                  <c:v>8.1398092475482679E-3</c:v>
                </c:pt>
                <c:pt idx="880">
                  <c:v>7.9154515829821595E-3</c:v>
                </c:pt>
                <c:pt idx="881">
                  <c:v>7.6965082022394738E-3</c:v>
                </c:pt>
                <c:pt idx="882">
                  <c:v>7.4828725257826629E-3</c:v>
                </c:pt>
                <c:pt idx="883">
                  <c:v>7.2744393571432713E-3</c:v>
                </c:pt>
                <c:pt idx="884">
                  <c:v>7.0711048860214575E-3</c:v>
                </c:pt>
                <c:pt idx="885">
                  <c:v>6.8727666906159349E-3</c:v>
                </c:pt>
                <c:pt idx="886">
                  <c:v>6.6793237392045362E-3</c:v>
                </c:pt>
                <c:pt idx="887">
                  <c:v>6.4906763909952422E-3</c:v>
                </c:pt>
                <c:pt idx="888">
                  <c:v>6.3067263962677585E-3</c:v>
                </c:pt>
                <c:pt idx="889">
                  <c:v>6.1273768958254766E-3</c:v>
                </c:pt>
                <c:pt idx="890">
                  <c:v>5.9525324197776033E-3</c:v>
                </c:pt>
                <c:pt idx="891">
                  <c:v>5.7820988856711868E-3</c:v>
                </c:pt>
                <c:pt idx="892">
                  <c:v>5.6159835959926335E-3</c:v>
                </c:pt>
                <c:pt idx="893">
                  <c:v>5.4540952350581777E-3</c:v>
                </c:pt>
                <c:pt idx="894">
                  <c:v>5.2963438653126091E-3</c:v>
                </c:pt>
                <c:pt idx="895">
                  <c:v>5.1426409230554918E-3</c:v>
                </c:pt>
                <c:pt idx="896">
                  <c:v>4.9928992136138916E-3</c:v>
                </c:pt>
                <c:pt idx="897">
                  <c:v>4.8470329059804289E-3</c:v>
                </c:pt>
                <c:pt idx="898">
                  <c:v>4.704957526935425E-3</c:v>
                </c:pt>
                <c:pt idx="899">
                  <c:v>4.5665899546715556E-3</c:v>
                </c:pt>
                <c:pt idx="900">
                  <c:v>4.4318484119393849E-3</c:v>
                </c:pt>
                <c:pt idx="901">
                  <c:v>4.3006524587317898E-3</c:v>
                </c:pt>
                <c:pt idx="902">
                  <c:v>4.1729229845252694E-3</c:v>
                </c:pt>
                <c:pt idx="903">
                  <c:v>4.0485822000957059E-3</c:v>
                </c:pt>
                <c:pt idx="904">
                  <c:v>3.9275536289260244E-3</c:v>
                </c:pt>
                <c:pt idx="905">
                  <c:v>3.8097620982230208E-3</c:v>
                </c:pt>
                <c:pt idx="906">
                  <c:v>3.6951337295602188E-3</c:v>
                </c:pt>
                <c:pt idx="907">
                  <c:v>3.5835959291635132E-3</c:v>
                </c:pt>
                <c:pt idx="908">
                  <c:v>3.4750773778560637E-3</c:v>
                </c:pt>
                <c:pt idx="909">
                  <c:v>3.3695080206785789E-3</c:v>
                </c:pt>
                <c:pt idx="910">
                  <c:v>3.2668190562009885E-3</c:v>
                </c:pt>
                <c:pt idx="911">
                  <c:v>3.166942925541121E-3</c:v>
                </c:pt>
                <c:pt idx="912">
                  <c:v>3.0698133011057569E-3</c:v>
                </c:pt>
                <c:pt idx="913">
                  <c:v>2.9753650750692414E-3</c:v>
                </c:pt>
                <c:pt idx="914">
                  <c:v>2.8835343476044041E-3</c:v>
                </c:pt>
                <c:pt idx="915">
                  <c:v>2.7942584148803848E-3</c:v>
                </c:pt>
                <c:pt idx="916">
                  <c:v>2.7074757568416158E-3</c:v>
                </c:pt>
                <c:pt idx="917">
                  <c:v>2.6231260247819139E-3</c:v>
                </c:pt>
                <c:pt idx="918">
                  <c:v>2.5411500287273901E-3</c:v>
                </c:pt>
                <c:pt idx="919">
                  <c:v>2.4614897246415441E-3</c:v>
                </c:pt>
                <c:pt idx="920">
                  <c:v>2.3840882014656635E-3</c:v>
                </c:pt>
                <c:pt idx="921">
                  <c:v>2.308889668007295E-3</c:v>
                </c:pt>
                <c:pt idx="922">
                  <c:v>2.2358394396893183E-3</c:v>
                </c:pt>
                <c:pt idx="923">
                  <c:v>2.1648839251718196E-3</c:v>
                </c:pt>
                <c:pt idx="924">
                  <c:v>2.0959706128586804E-3</c:v>
                </c:pt>
                <c:pt idx="925">
                  <c:v>2.029048057300485E-3</c:v>
                </c:pt>
                <c:pt idx="926">
                  <c:v>1.9640658655050735E-3</c:v>
                </c:pt>
                <c:pt idx="927">
                  <c:v>1.900974683166759E-3</c:v>
                </c:pt>
                <c:pt idx="928">
                  <c:v>1.8397261808249393E-3</c:v>
                </c:pt>
                <c:pt idx="929">
                  <c:v>1.7802730399625202E-3</c:v>
                </c:pt>
                <c:pt idx="930">
                  <c:v>1.7225689390543051E-3</c:v>
                </c:pt>
                <c:pt idx="931">
                  <c:v>1.6665685395751881E-3</c:v>
                </c:pt>
                <c:pt idx="932">
                  <c:v>1.6122274719777142E-3</c:v>
                </c:pt>
                <c:pt idx="933">
                  <c:v>1.5595023216482663E-3</c:v>
                </c:pt>
                <c:pt idx="934">
                  <c:v>1.5083506148508643E-3</c:v>
                </c:pt>
                <c:pt idx="935">
                  <c:v>1.4587308046672873E-3</c:v>
                </c:pt>
                <c:pt idx="936">
                  <c:v>1.4106022569419111E-3</c:v>
                </c:pt>
                <c:pt idx="937">
                  <c:v>1.3639252362394158E-3</c:v>
                </c:pt>
                <c:pt idx="938">
                  <c:v>1.3186608918232387E-3</c:v>
                </c:pt>
                <c:pt idx="939">
                  <c:v>1.2747712436623161E-3</c:v>
                </c:pt>
                <c:pt idx="940">
                  <c:v>1.2322191684734881E-3</c:v>
                </c:pt>
                <c:pt idx="941">
                  <c:v>1.1909683858065737E-3</c:v>
                </c:pt>
                <c:pt idx="942">
                  <c:v>1.150983444178926E-3</c:v>
                </c:pt>
                <c:pt idx="943">
                  <c:v>1.1122297072659944E-3</c:v>
                </c:pt>
                <c:pt idx="944">
                  <c:v>1.0746733401541518E-3</c:v>
                </c:pt>
                <c:pt idx="945">
                  <c:v>1.038281295661816E-3</c:v>
                </c:pt>
                <c:pt idx="946">
                  <c:v>1.0030213007346312E-3</c:v>
                </c:pt>
                <c:pt idx="947">
                  <c:v>9.6886184292022787E-4</c:v>
                </c:pt>
                <c:pt idx="948">
                  <c:v>9.3577215692785024E-4</c:v>
                </c:pt>
                <c:pt idx="949">
                  <c:v>9.03722211277884E-4</c:v>
                </c:pt>
                <c:pt idx="950">
                  <c:v>8.7268269504610883E-4</c:v>
                </c:pt>
                <c:pt idx="951">
                  <c:v>8.4262500470724019E-4</c:v>
                </c:pt>
                <c:pt idx="952">
                  <c:v>8.1352123108213638E-4</c:v>
                </c:pt>
                <c:pt idx="953">
                  <c:v>7.853441463927871E-4</c:v>
                </c:pt>
                <c:pt idx="954">
                  <c:v>7.5806719142901919E-4</c:v>
                </c:pt>
                <c:pt idx="955">
                  <c:v>7.316644628306097E-4</c:v>
                </c:pt>
                <c:pt idx="956">
                  <c:v>7.0611070048832655E-4</c:v>
                </c:pt>
                <c:pt idx="957">
                  <c:v>6.8138127506717282E-4</c:v>
                </c:pt>
                <c:pt idx="958">
                  <c:v>6.5745217565494902E-4</c:v>
                </c:pt>
                <c:pt idx="959">
                  <c:v>6.3429999753902172E-4</c:v>
                </c:pt>
                <c:pt idx="960">
                  <c:v>6.1190193011402842E-4</c:v>
                </c:pt>
                <c:pt idx="961">
                  <c:v>5.9023574492303346E-4</c:v>
                </c:pt>
                <c:pt idx="962">
                  <c:v>5.692797838344932E-4</c:v>
                </c:pt>
                <c:pt idx="963">
                  <c:v>5.490129473571917E-4</c:v>
                </c:pt>
                <c:pt idx="964">
                  <c:v>5.2941468309516038E-4</c:v>
                </c:pt>
                <c:pt idx="965">
                  <c:v>5.1046497434440407E-4</c:v>
                </c:pt>
                <c:pt idx="966">
                  <c:v>4.9214432883310508E-4</c:v>
                </c:pt>
                <c:pt idx="967">
                  <c:v>4.744337676068254E-4</c:v>
                </c:pt>
                <c:pt idx="968">
                  <c:v>4.5731481406005532E-4</c:v>
                </c:pt>
                <c:pt idx="969">
                  <c:v>4.4076948311532469E-4</c:v>
                </c:pt>
                <c:pt idx="970">
                  <c:v>4.247802705509377E-4</c:v>
                </c:pt>
                <c:pt idx="971">
                  <c:v>4.0933014247825875E-4</c:v>
                </c:pt>
                <c:pt idx="972">
                  <c:v>3.94402524969331E-4</c:v>
                </c:pt>
                <c:pt idx="973">
                  <c:v>3.7998129383549017E-4</c:v>
                </c:pt>
                <c:pt idx="974">
                  <c:v>3.6605076455749845E-4</c:v>
                </c:pt>
                <c:pt idx="975">
                  <c:v>3.5259568236760321E-4</c:v>
                </c:pt>
                <c:pt idx="976">
                  <c:v>3.3960121248380738E-4</c:v>
                </c:pt>
                <c:pt idx="977">
                  <c:v>3.2705293049652281E-4</c:v>
                </c:pt>
                <c:pt idx="978">
                  <c:v>3.1493681290766472E-4</c:v>
                </c:pt>
                <c:pt idx="979">
                  <c:v>3.0323922782214262E-4</c:v>
                </c:pt>
                <c:pt idx="980">
                  <c:v>2.9194692579159374E-4</c:v>
                </c:pt>
                <c:pt idx="981">
                  <c:v>2.8104703081011562E-4</c:v>
                </c:pt>
                <c:pt idx="982">
                  <c:v>2.705270314616459E-4</c:v>
                </c:pt>
                <c:pt idx="983">
                  <c:v>2.6037477221856341E-4</c:v>
                </c:pt>
                <c:pt idx="984">
                  <c:v>2.5057844489097757E-4</c:v>
                </c:pt>
                <c:pt idx="985">
                  <c:v>2.4112658022610627E-4</c:v>
                </c:pt>
                <c:pt idx="986">
                  <c:v>2.3200803965705134E-4</c:v>
                </c:pt>
                <c:pt idx="987">
                  <c:v>2.232120072002075E-4</c:v>
                </c:pt>
                <c:pt idx="988">
                  <c:v>2.1472798150046882E-4</c:v>
                </c:pt>
                <c:pt idx="989">
                  <c:v>2.0654576802332398E-4</c:v>
                </c:pt>
                <c:pt idx="990">
                  <c:v>1.9865547139286764E-4</c:v>
                </c:pt>
                <c:pt idx="991">
                  <c:v>1.9104748787468953E-4</c:v>
                </c:pt>
                <c:pt idx="992">
                  <c:v>1.8371249800254569E-4</c:v>
                </c:pt>
                <c:pt idx="993">
                  <c:v>1.7664145934765657E-4</c:v>
                </c:pt>
                <c:pt idx="994">
                  <c:v>1.6982559942942623E-4</c:v>
                </c:pt>
                <c:pt idx="995">
                  <c:v>1.6325640876632187E-4</c:v>
                </c:pt>
                <c:pt idx="996">
                  <c:v>1.5692563406560919E-4</c:v>
                </c:pt>
                <c:pt idx="997">
                  <c:v>1.5082527155059225E-4</c:v>
                </c:pt>
                <c:pt idx="998">
                  <c:v>1.4494756042396286E-4</c:v>
                </c:pt>
                <c:pt idx="999">
                  <c:v>1.3928497646582919E-4</c:v>
                </c:pt>
                <c:pt idx="1000">
                  <c:v>1.3383022576495215E-4</c:v>
                </c:pt>
                <c:pt idx="1001">
                  <c:v>1.2857623858168523E-4</c:v>
                </c:pt>
                <c:pt idx="1002">
                  <c:v>1.2351616334108531E-4</c:v>
                </c:pt>
                <c:pt idx="1003">
                  <c:v>1.1864336075462582E-4</c:v>
                </c:pt>
                <c:pt idx="1004">
                  <c:v>1.1395139806892229E-4</c:v>
                </c:pt>
                <c:pt idx="1005">
                  <c:v>1.0943404343985613E-4</c:v>
                </c:pt>
                <c:pt idx="1006">
                  <c:v>1.0508526043045386E-4</c:v>
                </c:pt>
                <c:pt idx="1007">
                  <c:v>1.008992026308662E-4</c:v>
                </c:pt>
                <c:pt idx="1008">
                  <c:v>9.6870208398768985E-5</c:v>
                </c:pt>
                <c:pt idx="1009">
                  <c:v>9.2992795718493788E-5</c:v>
                </c:pt>
                <c:pt idx="1010">
                  <c:v>8.926165717717921E-5</c:v>
                </c:pt>
                <c:pt idx="1011">
                  <c:v>8.5671655056226601E-5</c:v>
                </c:pt>
                <c:pt idx="1012">
                  <c:v>8.2217816536328924E-5</c:v>
                </c:pt>
                <c:pt idx="1013">
                  <c:v>7.8895329014334423E-5</c:v>
                </c:pt>
                <c:pt idx="1014">
                  <c:v>7.5699535530201003E-5</c:v>
                </c:pt>
                <c:pt idx="1015">
                  <c:v>7.2625930302290894E-5</c:v>
                </c:pt>
                <c:pt idx="1016">
                  <c:v>6.9670154369251447E-5</c:v>
                </c:pt>
                <c:pt idx="1017">
                  <c:v>6.6827991336726225E-5</c:v>
                </c:pt>
                <c:pt idx="1018">
                  <c:v>6.4095363227140357E-5</c:v>
                </c:pt>
                <c:pt idx="1019">
                  <c:v>6.1468326430802394E-5</c:v>
                </c:pt>
                <c:pt idx="1020">
                  <c:v>5.8943067756571676E-5</c:v>
                </c:pt>
                <c:pt idx="1021">
                  <c:v>5.6515900580338022E-5</c:v>
                </c:pt>
                <c:pt idx="1022">
                  <c:v>5.4183261089569587E-5</c:v>
                </c:pt>
                <c:pt idx="1023">
                  <c:v>5.1941704622188277E-5</c:v>
                </c:pt>
                <c:pt idx="1024">
                  <c:v>4.9787902098039493E-5</c:v>
                </c:pt>
                <c:pt idx="1025">
                  <c:v>4.7718636541231217E-5</c:v>
                </c:pt>
                <c:pt idx="1026">
                  <c:v>4.5730799691626576E-5</c:v>
                </c:pt>
                <c:pt idx="1027">
                  <c:v>4.3821388703782397E-5</c:v>
                </c:pt>
                <c:pt idx="1028">
                  <c:v>4.1987502931640733E-5</c:v>
                </c:pt>
                <c:pt idx="1029">
                  <c:v>4.0226340797287469E-5</c:v>
                </c:pt>
                <c:pt idx="1030">
                  <c:v>3.8535196742108759E-5</c:v>
                </c:pt>
                <c:pt idx="1031">
                  <c:v>3.6911458258686985E-5</c:v>
                </c:pt>
                <c:pt idx="1032">
                  <c:v>3.535260300179312E-5</c:v>
                </c:pt>
                <c:pt idx="1033">
                  <c:v>3.3856195976847125E-5</c:v>
                </c:pt>
                <c:pt idx="1034">
                  <c:v>3.2419886804232257E-5</c:v>
                </c:pt>
                <c:pt idx="1035">
                  <c:v>3.104140705786802E-5</c:v>
                </c:pt>
                <c:pt idx="1036">
                  <c:v>2.9718567676459353E-5</c:v>
                </c:pt>
                <c:pt idx="1037">
                  <c:v>2.8449256445860778E-5</c:v>
                </c:pt>
                <c:pt idx="1038">
                  <c:v>2.7231435551008424E-5</c:v>
                </c:pt>
                <c:pt idx="1039">
                  <c:v>2.606313919589348E-5</c:v>
                </c:pt>
                <c:pt idx="1040">
                  <c:v>2.4942471290068152E-5</c:v>
                </c:pt>
                <c:pt idx="1041">
                  <c:v>2.3867603200193587E-5</c:v>
                </c:pt>
                <c:pt idx="1042">
                  <c:v>2.2836771565160385E-5</c:v>
                </c:pt>
                <c:pt idx="1043">
                  <c:v>2.1848276173329351E-5</c:v>
                </c:pt>
                <c:pt idx="1044">
                  <c:v>2.0900477900462842E-5</c:v>
                </c:pt>
                <c:pt idx="1045">
                  <c:v>1.9991796706934721E-5</c:v>
                </c:pt>
                <c:pt idx="1046">
                  <c:v>1.9120709692829179E-5</c:v>
                </c:pt>
                <c:pt idx="1047">
                  <c:v>1.8285749209558354E-5</c:v>
                </c:pt>
                <c:pt idx="1048">
                  <c:v>1.7485501026649693E-5</c:v>
                </c:pt>
                <c:pt idx="1049">
                  <c:v>1.6718602552375225E-5</c:v>
                </c:pt>
                <c:pt idx="1050">
                  <c:v>1.5983741106915185E-5</c:v>
                </c:pt>
                <c:pt idx="1051">
                  <c:v>1.5279652246770927E-5</c:v>
                </c:pt>
                <c:pt idx="1052">
                  <c:v>1.4605118139161839E-5</c:v>
                </c:pt>
                <c:pt idx="1053">
                  <c:v>1.3958965985163351E-5</c:v>
                </c:pt>
                <c:pt idx="1054">
                  <c:v>1.3340066490364058E-5</c:v>
                </c:pt>
                <c:pt idx="1055">
                  <c:v>1.2747332381841341E-5</c:v>
                </c:pt>
                <c:pt idx="1056">
                  <c:v>1.2179716970276248E-5</c:v>
                </c:pt>
                <c:pt idx="1057">
                  <c:v>1.1636212756049942E-5</c:v>
                </c:pt>
                <c:pt idx="1058">
                  <c:v>1.1115850078184757E-5</c:v>
                </c:pt>
                <c:pt idx="1059">
                  <c:v>1.0617695805015047E-5</c:v>
                </c:pt>
                <c:pt idx="1060">
                  <c:v>1.0140852065493135E-5</c:v>
                </c:pt>
                <c:pt idx="1061">
                  <c:v>9.6844550200575763E-6</c:v>
                </c:pt>
                <c:pt idx="1062">
                  <c:v>9.2476736700114968E-6</c:v>
                </c:pt>
                <c:pt idx="1063">
                  <c:v>8.8297087043797102E-6</c:v>
                </c:pt>
                <c:pt idx="1064">
                  <c:v>8.4297913832341605E-6</c:v>
                </c:pt>
                <c:pt idx="1065">
                  <c:v>8.0471824564974672E-6</c:v>
                </c:pt>
                <c:pt idx="1066">
                  <c:v>7.6811711172554206E-6</c:v>
                </c:pt>
                <c:pt idx="1067">
                  <c:v>7.3310739886286849E-6</c:v>
                </c:pt>
                <c:pt idx="1068">
                  <c:v>6.99623414327494E-6</c:v>
                </c:pt>
                <c:pt idx="1069">
                  <c:v>6.6760201546118248E-6</c:v>
                </c:pt>
                <c:pt idx="1070">
                  <c:v>6.3698251788712641E-6</c:v>
                </c:pt>
                <c:pt idx="1071">
                  <c:v>6.0770660671151089E-6</c:v>
                </c:pt>
                <c:pt idx="1072">
                  <c:v>5.7971825063611071E-6</c:v>
                </c:pt>
                <c:pt idx="1073">
                  <c:v>5.5296361889877251E-6</c:v>
                </c:pt>
                <c:pt idx="1074">
                  <c:v>5.2739100096048067E-6</c:v>
                </c:pt>
                <c:pt idx="1075">
                  <c:v>5.0295072885957954E-6</c:v>
                </c:pt>
                <c:pt idx="1076">
                  <c:v>4.7959510215557243E-6</c:v>
                </c:pt>
                <c:pt idx="1077">
                  <c:v>4.5727831538672066E-6</c:v>
                </c:pt>
                <c:pt idx="1078">
                  <c:v>4.3595638796745784E-6</c:v>
                </c:pt>
                <c:pt idx="1079">
                  <c:v>4.1558709645340056E-6</c:v>
                </c:pt>
                <c:pt idx="1080">
                  <c:v>3.9612990910347629E-6</c:v>
                </c:pt>
                <c:pt idx="1081">
                  <c:v>3.7754592267039096E-6</c:v>
                </c:pt>
                <c:pt idx="1082">
                  <c:v>3.5979780135237076E-6</c:v>
                </c:pt>
                <c:pt idx="1083">
                  <c:v>3.4284971784073898E-6</c:v>
                </c:pt>
                <c:pt idx="1084">
                  <c:v>3.2666729639955198E-6</c:v>
                </c:pt>
                <c:pt idx="1085">
                  <c:v>3.1121755791510891E-6</c:v>
                </c:pt>
                <c:pt idx="1086">
                  <c:v>2.9646886685473312E-6</c:v>
                </c:pt>
                <c:pt idx="1087">
                  <c:v>2.8239088007577869E-6</c:v>
                </c:pt>
                <c:pt idx="1088">
                  <c:v>2.6895449742734008E-6</c:v>
                </c:pt>
                <c:pt idx="1089">
                  <c:v>2.561318140886332E-6</c:v>
                </c:pt>
                <c:pt idx="1090">
                  <c:v>2.4389607458950721E-6</c:v>
                </c:pt>
                <c:pt idx="1091">
                  <c:v>2.3222162845996347E-6</c:v>
                </c:pt>
                <c:pt idx="1092">
                  <c:v>2.210838874569984E-6</c:v>
                </c:pt>
                <c:pt idx="1093">
                  <c:v>2.1045928431846207E-6</c:v>
                </c:pt>
                <c:pt idx="1094">
                  <c:v>2.003252329949923E-6</c:v>
                </c:pt>
                <c:pt idx="1095">
                  <c:v>1.9066009031241753E-6</c:v>
                </c:pt>
                <c:pt idx="1096">
                  <c:v>1.8144311901833356E-6</c:v>
                </c:pt>
                <c:pt idx="1097">
                  <c:v>1.7265445216783154E-6</c:v>
                </c:pt>
                <c:pt idx="1098">
                  <c:v>1.6427505880462614E-6</c:v>
                </c:pt>
                <c:pt idx="1099">
                  <c:v>1.5628671089504256E-6</c:v>
                </c:pt>
                <c:pt idx="1100">
                  <c:v>1.4867195147353804E-6</c:v>
                </c:pt>
                <c:pt idx="1101">
                  <c:v>1.4141406395960358E-6</c:v>
                </c:pt>
                <c:pt idx="1102">
                  <c:v>1.3449704260704263E-6</c:v>
                </c:pt>
                <c:pt idx="1103">
                  <c:v>1.2790556404775167E-6</c:v>
                </c:pt>
                <c:pt idx="1104">
                  <c:v>1.2162495989322167E-6</c:v>
                </c:pt>
                <c:pt idx="1105">
                  <c:v>1.1564119035806376E-6</c:v>
                </c:pt>
                <c:pt idx="1106">
                  <c:v>1.0994081887090213E-6</c:v>
                </c:pt>
                <c:pt idx="1107">
                  <c:v>1.0451098763900991E-6</c:v>
                </c:pt>
                <c:pt idx="1108">
                  <c:v>9.9339394134065466E-7</c:v>
                </c:pt>
                <c:pt idx="1109">
                  <c:v>9.4414268467379505E-7</c:v>
                </c:pt>
                <c:pt idx="1110">
                  <c:v>8.9724351623900935E-7</c:v>
                </c:pt>
                <c:pt idx="1111">
                  <c:v>8.525887452524311E-7</c:v>
                </c:pt>
                <c:pt idx="1112">
                  <c:v>8.1007537892875027E-7</c:v>
                </c:pt>
                <c:pt idx="1113">
                  <c:v>7.6960492883509941E-7</c:v>
                </c:pt>
                <c:pt idx="1114">
                  <c:v>7.3108322469590734E-7</c:v>
                </c:pt>
                <c:pt idx="1115">
                  <c:v>6.9442023538606788E-7</c:v>
                </c:pt>
                <c:pt idx="1116">
                  <c:v>6.5952989685802989E-7</c:v>
                </c:pt>
                <c:pt idx="1117">
                  <c:v>6.2632994675637304E-7</c:v>
                </c:pt>
                <c:pt idx="1118">
                  <c:v>5.9474176548123583E-7</c:v>
                </c:pt>
                <c:pt idx="1119">
                  <c:v>5.6469022346951531E-7</c:v>
                </c:pt>
                <c:pt idx="1120">
                  <c:v>5.3610353447018042E-7</c:v>
                </c:pt>
                <c:pt idx="1121">
                  <c:v>5.0891311459716356E-7</c:v>
                </c:pt>
                <c:pt idx="1122">
                  <c:v>4.830534469503466E-7</c:v>
                </c:pt>
                <c:pt idx="1123">
                  <c:v>4.5846195160189523E-7</c:v>
                </c:pt>
                <c:pt idx="1124">
                  <c:v>4.350788607518555E-7</c:v>
                </c:pt>
                <c:pt idx="1125">
                  <c:v>4.128470988633269E-7</c:v>
                </c:pt>
                <c:pt idx="1126">
                  <c:v>3.9171216759379263E-7</c:v>
                </c:pt>
                <c:pt idx="1127">
                  <c:v>3.716220353452463E-7</c:v>
                </c:pt>
                <c:pt idx="1128">
                  <c:v>3.5252703126168619E-7</c:v>
                </c:pt>
                <c:pt idx="1129">
                  <c:v>3.3437974350824902E-7</c:v>
                </c:pt>
                <c:pt idx="1130">
                  <c:v>3.1713492167185329E-7</c:v>
                </c:pt>
                <c:pt idx="1131">
                  <c:v>3.0074938312862632E-7</c:v>
                </c:pt>
                <c:pt idx="1132">
                  <c:v>2.8518192322862913E-7</c:v>
                </c:pt>
                <c:pt idx="1133">
                  <c:v>2.7039322915351301E-7</c:v>
                </c:pt>
                <c:pt idx="1134">
                  <c:v>2.563457973076683E-7</c:v>
                </c:pt>
                <c:pt idx="1135">
                  <c:v>2.4300385410825208E-7</c:v>
                </c:pt>
                <c:pt idx="1136">
                  <c:v>2.3033328004411047E-7</c:v>
                </c:pt>
                <c:pt idx="1137">
                  <c:v>2.1830153687815879E-7</c:v>
                </c:pt>
                <c:pt idx="1138">
                  <c:v>2.0687759787213633E-7</c:v>
                </c:pt>
                <c:pt idx="1139">
                  <c:v>1.9603188091691979E-7</c:v>
                </c:pt>
                <c:pt idx="1140">
                  <c:v>1.85736184455684E-7</c:v>
                </c:pt>
                <c:pt idx="1141">
                  <c:v>1.759636260911928E-7</c:v>
                </c:pt>
                <c:pt idx="1142">
                  <c:v>1.6668858377236801E-7</c:v>
                </c:pt>
                <c:pt idx="1143">
                  <c:v>1.5788663945902299E-7</c:v>
                </c:pt>
                <c:pt idx="1144">
                  <c:v>1.4953452516728561E-7</c:v>
                </c:pt>
                <c:pt idx="1145">
                  <c:v>1.4161007130173148E-7</c:v>
                </c:pt>
                <c:pt idx="1146">
                  <c:v>1.3409215718366112E-7</c:v>
                </c:pt>
                <c:pt idx="1147">
                  <c:v>1.2696066368823708E-7</c:v>
                </c:pt>
                <c:pt idx="1148">
                  <c:v>1.2019642790638519E-7</c:v>
                </c:pt>
                <c:pt idx="1149">
                  <c:v>1.1378119975044371E-7</c:v>
                </c:pt>
                <c:pt idx="1150">
                  <c:v>1.0769760042552535E-7</c:v>
                </c:pt>
                <c:pt idx="1151">
                  <c:v>1.0192908269144073E-7</c:v>
                </c:pt>
                <c:pt idx="1152">
                  <c:v>9.6459892842817102E-8</c:v>
                </c:pt>
                <c:pt idx="1153">
                  <c:v>9.1275034337744203E-8</c:v>
                </c:pt>
                <c:pt idx="1154">
                  <c:v>8.6360233007885042E-8</c:v>
                </c:pt>
                <c:pt idx="1155">
                  <c:v>8.1701903785503446E-8</c:v>
                </c:pt>
                <c:pt idx="1156">
                  <c:v>7.7287118885296748E-8</c:v>
                </c:pt>
                <c:pt idx="1157">
                  <c:v>7.3103577381273741E-8</c:v>
                </c:pt>
                <c:pt idx="1158">
                  <c:v>6.913957612118501E-8</c:v>
                </c:pt>
                <c:pt idx="1159">
                  <c:v>6.5383981923209157E-8</c:v>
                </c:pt>
                <c:pt idx="1160">
                  <c:v>6.1826205001713246E-8</c:v>
                </c:pt>
                <c:pt idx="1161">
                  <c:v>5.8456173570952626E-8</c:v>
                </c:pt>
                <c:pt idx="1162">
                  <c:v>5.5264309577546524E-8</c:v>
                </c:pt>
                <c:pt idx="1163">
                  <c:v>5.2241505514471133E-8</c:v>
                </c:pt>
                <c:pt idx="1164">
                  <c:v>4.937910227114878E-8</c:v>
                </c:pt>
                <c:pt idx="1165">
                  <c:v>4.6668867975984667E-8</c:v>
                </c:pt>
                <c:pt idx="1166">
                  <c:v>4.4102977789413032E-8</c:v>
                </c:pt>
                <c:pt idx="1167">
                  <c:v>4.1673994607161255E-8</c:v>
                </c:pt>
                <c:pt idx="1168">
                  <c:v>3.9374850635034311E-8</c:v>
                </c:pt>
                <c:pt idx="1169">
                  <c:v>3.7198829798049994E-8</c:v>
                </c:pt>
                <c:pt idx="1170">
                  <c:v>3.5139550948236541E-8</c:v>
                </c:pt>
                <c:pt idx="1171">
                  <c:v>3.3190951836825919E-8</c:v>
                </c:pt>
                <c:pt idx="1172">
                  <c:v>3.1347273817948629E-8</c:v>
                </c:pt>
                <c:pt idx="1173">
                  <c:v>2.9603047252257389E-8</c:v>
                </c:pt>
                <c:pt idx="1174">
                  <c:v>2.7953077580180564E-8</c:v>
                </c:pt>
                <c:pt idx="1175">
                  <c:v>2.6392432035730299E-8</c:v>
                </c:pt>
                <c:pt idx="1176">
                  <c:v>2.4916426972974176E-8</c:v>
                </c:pt>
                <c:pt idx="1177">
                  <c:v>2.3520615778412809E-8</c:v>
                </c:pt>
                <c:pt idx="1178">
                  <c:v>2.2200777343599831E-8</c:v>
                </c:pt>
                <c:pt idx="1179">
                  <c:v>2.0952905073396694E-8</c:v>
                </c:pt>
                <c:pt idx="1180">
                  <c:v>1.9773196406263356E-8</c:v>
                </c:pt>
                <c:pt idx="1181">
                  <c:v>1.8658042823963807E-8</c:v>
                </c:pt>
                <c:pt idx="1182">
                  <c:v>1.7604020329002542E-8</c:v>
                </c:pt>
                <c:pt idx="1183">
                  <c:v>1.6607880369007856E-8</c:v>
                </c:pt>
                <c:pt idx="1184">
                  <c:v>1.5666541188147484E-8</c:v>
                </c:pt>
                <c:pt idx="1185">
                  <c:v>1.4777079586494175E-8</c:v>
                </c:pt>
                <c:pt idx="1186">
                  <c:v>1.3936723069060808E-8</c:v>
                </c:pt>
                <c:pt idx="1187">
                  <c:v>1.3142842366994842E-8</c:v>
                </c:pt>
                <c:pt idx="1188">
                  <c:v>1.2392944314162104E-8</c:v>
                </c:pt>
                <c:pt idx="1189">
                  <c:v>1.1684665063061159E-8</c:v>
                </c:pt>
                <c:pt idx="1190">
                  <c:v>1.101576362469303E-8</c:v>
                </c:pt>
                <c:pt idx="1191">
                  <c:v>1.0384115717666471E-8</c:v>
                </c:pt>
                <c:pt idx="1192">
                  <c:v>9.7877079124507384E-9</c:v>
                </c:pt>
                <c:pt idx="1193">
                  <c:v>9.2246320572917634E-9</c:v>
                </c:pt>
                <c:pt idx="1194">
                  <c:v>8.6930799728887595E-9</c:v>
                </c:pt>
                <c:pt idx="1195">
                  <c:v>8.1913384034872618E-9</c:v>
                </c:pt>
                <c:pt idx="1196">
                  <c:v>7.7177842125781769E-9</c:v>
                </c:pt>
                <c:pt idx="1197">
                  <c:v>7.2708798119073129E-9</c:v>
                </c:pt>
                <c:pt idx="1198">
                  <c:v>6.8491688129925952E-9</c:v>
                </c:pt>
                <c:pt idx="1199">
                  <c:v>6.4512718908182141E-9</c:v>
                </c:pt>
                <c:pt idx="1200">
                  <c:v>6.0758828498293717E-9</c:v>
                </c:pt>
              </c:numCache>
            </c:numRef>
          </c:yVal>
        </c:ser>
        <c:ser>
          <c:idx val="3"/>
          <c:order val="8"/>
          <c:spPr>
            <a:ln w="28575">
              <a:noFill/>
            </a:ln>
          </c:spPr>
          <c:marker>
            <c:symbol val="none"/>
          </c:marker>
          <c:dLbls>
            <c:dLbl>
              <c:idx val="0"/>
              <c:tx>
                <c:rich>
                  <a:bodyPr/>
                  <a:lstStyle/>
                  <a:p>
                    <a:pPr>
                      <a:defRPr sz="1750" b="1" i="0" u="none" strike="noStrike" baseline="0">
                        <a:solidFill>
                          <a:srgbClr val="0000FF"/>
                        </a:solidFill>
                        <a:latin typeface="Arial"/>
                        <a:ea typeface="Arial"/>
                        <a:cs typeface="Arial"/>
                      </a:defRPr>
                    </a:pPr>
                    <a:r>
                      <a:rPr lang="en-AU"/>
                      <a:t>Population</a:t>
                    </a:r>
                  </a:p>
                </c:rich>
              </c:tx>
              <c:spPr>
                <a:noFill/>
                <a:ln w="25400">
                  <a:noFill/>
                </a:ln>
              </c:spPr>
              <c:dLblPos val="ctr"/>
            </c:dLbl>
            <c:delete val="1"/>
          </c:dLbls>
          <c:xVal>
            <c:numRef>
              <c:f>'Normal and t'!$BB$11</c:f>
              <c:numCache>
                <c:formatCode>General</c:formatCode>
                <c:ptCount val="1"/>
              </c:numCache>
            </c:numRef>
          </c:xVal>
          <c:yVal>
            <c:numRef>
              <c:f>'Normal and t'!$BC$11</c:f>
              <c:numCache>
                <c:formatCode>General</c:formatCode>
                <c:ptCount val="1"/>
              </c:numCache>
            </c:numRef>
          </c:yVal>
        </c:ser>
        <c:ser>
          <c:idx val="4"/>
          <c:order val="9"/>
          <c:tx>
            <c:v/>
          </c:tx>
          <c:spPr>
            <a:ln w="25400">
              <a:solidFill>
                <a:srgbClr val="FF0000"/>
              </a:solidFill>
              <a:prstDash val="solid"/>
            </a:ln>
          </c:spPr>
          <c:marker>
            <c:symbol val="none"/>
          </c:marker>
          <c:xVal>
            <c:numRef>
              <c:f>'Normal and t'!$BA$21:$BA$1221</c:f>
              <c:numCache>
                <c:formatCode>General</c:formatCode>
                <c:ptCount val="1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pt idx="201">
                  <c:v>-3.9900000000000428</c:v>
                </c:pt>
                <c:pt idx="202">
                  <c:v>-3.9800000000000431</c:v>
                </c:pt>
                <c:pt idx="203">
                  <c:v>-3.9700000000000433</c:v>
                </c:pt>
                <c:pt idx="204">
                  <c:v>-3.9600000000000435</c:v>
                </c:pt>
                <c:pt idx="205">
                  <c:v>-3.9500000000000437</c:v>
                </c:pt>
                <c:pt idx="206">
                  <c:v>-3.9400000000000439</c:v>
                </c:pt>
                <c:pt idx="207">
                  <c:v>-3.9300000000000441</c:v>
                </c:pt>
                <c:pt idx="208">
                  <c:v>-3.9200000000000443</c:v>
                </c:pt>
                <c:pt idx="209">
                  <c:v>-3.9100000000000446</c:v>
                </c:pt>
                <c:pt idx="210">
                  <c:v>-3.9000000000000448</c:v>
                </c:pt>
                <c:pt idx="211">
                  <c:v>-3.890000000000045</c:v>
                </c:pt>
                <c:pt idx="212">
                  <c:v>-3.8800000000000452</c:v>
                </c:pt>
                <c:pt idx="213">
                  <c:v>-3.8700000000000454</c:v>
                </c:pt>
                <c:pt idx="214">
                  <c:v>-3.8600000000000456</c:v>
                </c:pt>
                <c:pt idx="215">
                  <c:v>-3.8500000000000458</c:v>
                </c:pt>
                <c:pt idx="216">
                  <c:v>-3.840000000000046</c:v>
                </c:pt>
                <c:pt idx="217">
                  <c:v>-3.8300000000000463</c:v>
                </c:pt>
                <c:pt idx="218">
                  <c:v>-3.8200000000000465</c:v>
                </c:pt>
                <c:pt idx="219">
                  <c:v>-3.8100000000000467</c:v>
                </c:pt>
                <c:pt idx="220">
                  <c:v>-3.8000000000000469</c:v>
                </c:pt>
                <c:pt idx="221">
                  <c:v>-3.7900000000000471</c:v>
                </c:pt>
                <c:pt idx="222">
                  <c:v>-3.7800000000000473</c:v>
                </c:pt>
                <c:pt idx="223">
                  <c:v>-3.7700000000000475</c:v>
                </c:pt>
                <c:pt idx="224">
                  <c:v>-3.7600000000000477</c:v>
                </c:pt>
                <c:pt idx="225">
                  <c:v>-3.750000000000048</c:v>
                </c:pt>
                <c:pt idx="226">
                  <c:v>-3.7400000000000482</c:v>
                </c:pt>
                <c:pt idx="227">
                  <c:v>-3.7300000000000484</c:v>
                </c:pt>
                <c:pt idx="228">
                  <c:v>-3.7200000000000486</c:v>
                </c:pt>
                <c:pt idx="229">
                  <c:v>-3.7100000000000488</c:v>
                </c:pt>
                <c:pt idx="230">
                  <c:v>-3.700000000000049</c:v>
                </c:pt>
                <c:pt idx="231">
                  <c:v>-3.6900000000000492</c:v>
                </c:pt>
                <c:pt idx="232">
                  <c:v>-3.6800000000000495</c:v>
                </c:pt>
                <c:pt idx="233">
                  <c:v>-3.6700000000000497</c:v>
                </c:pt>
                <c:pt idx="234">
                  <c:v>-3.6600000000000499</c:v>
                </c:pt>
                <c:pt idx="235">
                  <c:v>-3.6500000000000501</c:v>
                </c:pt>
                <c:pt idx="236">
                  <c:v>-3.6400000000000503</c:v>
                </c:pt>
                <c:pt idx="237">
                  <c:v>-3.6300000000000505</c:v>
                </c:pt>
                <c:pt idx="238">
                  <c:v>-3.6200000000000507</c:v>
                </c:pt>
                <c:pt idx="239">
                  <c:v>-3.6100000000000509</c:v>
                </c:pt>
                <c:pt idx="240">
                  <c:v>-3.6000000000000512</c:v>
                </c:pt>
                <c:pt idx="241">
                  <c:v>-3.5900000000000514</c:v>
                </c:pt>
                <c:pt idx="242">
                  <c:v>-3.5800000000000516</c:v>
                </c:pt>
                <c:pt idx="243">
                  <c:v>-3.5700000000000518</c:v>
                </c:pt>
                <c:pt idx="244">
                  <c:v>-3.560000000000052</c:v>
                </c:pt>
                <c:pt idx="245">
                  <c:v>-3.5500000000000522</c:v>
                </c:pt>
                <c:pt idx="246">
                  <c:v>-3.5400000000000524</c:v>
                </c:pt>
                <c:pt idx="247">
                  <c:v>-3.5300000000000527</c:v>
                </c:pt>
                <c:pt idx="248">
                  <c:v>-3.5200000000000529</c:v>
                </c:pt>
                <c:pt idx="249">
                  <c:v>-3.5100000000000531</c:v>
                </c:pt>
                <c:pt idx="250">
                  <c:v>-3.5000000000000533</c:v>
                </c:pt>
                <c:pt idx="251">
                  <c:v>-3.4900000000000535</c:v>
                </c:pt>
                <c:pt idx="252">
                  <c:v>-3.4800000000000537</c:v>
                </c:pt>
                <c:pt idx="253">
                  <c:v>-3.4700000000000539</c:v>
                </c:pt>
                <c:pt idx="254">
                  <c:v>-3.4600000000000541</c:v>
                </c:pt>
                <c:pt idx="255">
                  <c:v>-3.4500000000000544</c:v>
                </c:pt>
                <c:pt idx="256">
                  <c:v>-3.4400000000000546</c:v>
                </c:pt>
                <c:pt idx="257">
                  <c:v>-3.4300000000000548</c:v>
                </c:pt>
                <c:pt idx="258">
                  <c:v>-3.420000000000055</c:v>
                </c:pt>
                <c:pt idx="259">
                  <c:v>-3.4100000000000552</c:v>
                </c:pt>
                <c:pt idx="260">
                  <c:v>-3.4000000000000554</c:v>
                </c:pt>
                <c:pt idx="261">
                  <c:v>-3.3900000000000556</c:v>
                </c:pt>
                <c:pt idx="262">
                  <c:v>-3.3800000000000558</c:v>
                </c:pt>
                <c:pt idx="263">
                  <c:v>-3.3700000000000561</c:v>
                </c:pt>
                <c:pt idx="264">
                  <c:v>-3.3600000000000563</c:v>
                </c:pt>
                <c:pt idx="265">
                  <c:v>-3.3500000000000565</c:v>
                </c:pt>
                <c:pt idx="266">
                  <c:v>-3.3400000000000567</c:v>
                </c:pt>
                <c:pt idx="267">
                  <c:v>-3.3300000000000569</c:v>
                </c:pt>
                <c:pt idx="268">
                  <c:v>-3.3200000000000571</c:v>
                </c:pt>
                <c:pt idx="269">
                  <c:v>-3.3100000000000573</c:v>
                </c:pt>
                <c:pt idx="270">
                  <c:v>-3.3000000000000576</c:v>
                </c:pt>
                <c:pt idx="271">
                  <c:v>-3.2900000000000578</c:v>
                </c:pt>
                <c:pt idx="272">
                  <c:v>-3.280000000000058</c:v>
                </c:pt>
                <c:pt idx="273">
                  <c:v>-3.2700000000000582</c:v>
                </c:pt>
                <c:pt idx="274">
                  <c:v>-3.2600000000000584</c:v>
                </c:pt>
                <c:pt idx="275">
                  <c:v>-3.2500000000000586</c:v>
                </c:pt>
                <c:pt idx="276">
                  <c:v>-3.2400000000000588</c:v>
                </c:pt>
                <c:pt idx="277">
                  <c:v>-3.230000000000059</c:v>
                </c:pt>
                <c:pt idx="278">
                  <c:v>-3.2200000000000593</c:v>
                </c:pt>
                <c:pt idx="279">
                  <c:v>-3.2100000000000595</c:v>
                </c:pt>
                <c:pt idx="280">
                  <c:v>-3.2000000000000597</c:v>
                </c:pt>
                <c:pt idx="281">
                  <c:v>-3.1900000000000599</c:v>
                </c:pt>
                <c:pt idx="282">
                  <c:v>-3.1800000000000601</c:v>
                </c:pt>
                <c:pt idx="283">
                  <c:v>-3.1700000000000603</c:v>
                </c:pt>
                <c:pt idx="284">
                  <c:v>-3.1600000000000605</c:v>
                </c:pt>
                <c:pt idx="285">
                  <c:v>-3.1500000000000608</c:v>
                </c:pt>
                <c:pt idx="286">
                  <c:v>-3.140000000000061</c:v>
                </c:pt>
                <c:pt idx="287">
                  <c:v>-3.1300000000000612</c:v>
                </c:pt>
                <c:pt idx="288">
                  <c:v>-3.1200000000000614</c:v>
                </c:pt>
                <c:pt idx="289">
                  <c:v>-3.1100000000000616</c:v>
                </c:pt>
                <c:pt idx="290">
                  <c:v>-3.1000000000000618</c:v>
                </c:pt>
                <c:pt idx="291">
                  <c:v>-3.090000000000062</c:v>
                </c:pt>
                <c:pt idx="292">
                  <c:v>-3.0800000000000622</c:v>
                </c:pt>
                <c:pt idx="293">
                  <c:v>-3.0700000000000625</c:v>
                </c:pt>
                <c:pt idx="294">
                  <c:v>-3.0600000000000627</c:v>
                </c:pt>
                <c:pt idx="295">
                  <c:v>-3.0500000000000629</c:v>
                </c:pt>
                <c:pt idx="296">
                  <c:v>-3.0400000000000631</c:v>
                </c:pt>
                <c:pt idx="297">
                  <c:v>-3.0300000000000633</c:v>
                </c:pt>
                <c:pt idx="298">
                  <c:v>-3.0200000000000635</c:v>
                </c:pt>
                <c:pt idx="299">
                  <c:v>-3.0100000000000637</c:v>
                </c:pt>
                <c:pt idx="300">
                  <c:v>-3.0000000000000639</c:v>
                </c:pt>
                <c:pt idx="301">
                  <c:v>-2.9900000000000642</c:v>
                </c:pt>
                <c:pt idx="302">
                  <c:v>-2.9800000000000644</c:v>
                </c:pt>
                <c:pt idx="303">
                  <c:v>-2.9700000000000646</c:v>
                </c:pt>
                <c:pt idx="304">
                  <c:v>-2.9600000000000648</c:v>
                </c:pt>
                <c:pt idx="305">
                  <c:v>-2.950000000000065</c:v>
                </c:pt>
                <c:pt idx="306">
                  <c:v>-2.9400000000000652</c:v>
                </c:pt>
                <c:pt idx="307">
                  <c:v>-2.9300000000000654</c:v>
                </c:pt>
                <c:pt idx="308">
                  <c:v>-2.9200000000000657</c:v>
                </c:pt>
                <c:pt idx="309">
                  <c:v>-2.9100000000000659</c:v>
                </c:pt>
                <c:pt idx="310">
                  <c:v>-2.9000000000000661</c:v>
                </c:pt>
                <c:pt idx="311">
                  <c:v>-2.8900000000000663</c:v>
                </c:pt>
                <c:pt idx="312">
                  <c:v>-2.8800000000000665</c:v>
                </c:pt>
                <c:pt idx="313">
                  <c:v>-2.8700000000000667</c:v>
                </c:pt>
                <c:pt idx="314">
                  <c:v>-2.8600000000000669</c:v>
                </c:pt>
                <c:pt idx="315">
                  <c:v>-2.8500000000000671</c:v>
                </c:pt>
                <c:pt idx="316">
                  <c:v>-2.8400000000000674</c:v>
                </c:pt>
                <c:pt idx="317">
                  <c:v>-2.8300000000000676</c:v>
                </c:pt>
                <c:pt idx="318">
                  <c:v>-2.8200000000000678</c:v>
                </c:pt>
                <c:pt idx="319">
                  <c:v>-2.810000000000068</c:v>
                </c:pt>
                <c:pt idx="320">
                  <c:v>-2.8000000000000682</c:v>
                </c:pt>
                <c:pt idx="321">
                  <c:v>-2.7900000000000684</c:v>
                </c:pt>
                <c:pt idx="322">
                  <c:v>-2.7800000000000686</c:v>
                </c:pt>
                <c:pt idx="323">
                  <c:v>-2.7700000000000689</c:v>
                </c:pt>
                <c:pt idx="324">
                  <c:v>-2.7600000000000691</c:v>
                </c:pt>
                <c:pt idx="325">
                  <c:v>-2.7500000000000693</c:v>
                </c:pt>
                <c:pt idx="326">
                  <c:v>-2.7400000000000695</c:v>
                </c:pt>
                <c:pt idx="327">
                  <c:v>-2.7300000000000697</c:v>
                </c:pt>
                <c:pt idx="328">
                  <c:v>-2.7200000000000699</c:v>
                </c:pt>
                <c:pt idx="329">
                  <c:v>-2.7100000000000701</c:v>
                </c:pt>
                <c:pt idx="330">
                  <c:v>-2.7000000000000703</c:v>
                </c:pt>
                <c:pt idx="331">
                  <c:v>-2.6900000000000706</c:v>
                </c:pt>
                <c:pt idx="332">
                  <c:v>-2.6800000000000708</c:v>
                </c:pt>
                <c:pt idx="333">
                  <c:v>-2.670000000000071</c:v>
                </c:pt>
                <c:pt idx="334">
                  <c:v>-2.6600000000000712</c:v>
                </c:pt>
                <c:pt idx="335">
                  <c:v>-2.6500000000000714</c:v>
                </c:pt>
                <c:pt idx="336">
                  <c:v>-2.6400000000000716</c:v>
                </c:pt>
                <c:pt idx="337">
                  <c:v>-2.6300000000000718</c:v>
                </c:pt>
                <c:pt idx="338">
                  <c:v>-2.620000000000072</c:v>
                </c:pt>
                <c:pt idx="339">
                  <c:v>-2.6100000000000723</c:v>
                </c:pt>
                <c:pt idx="340">
                  <c:v>-2.6000000000000725</c:v>
                </c:pt>
                <c:pt idx="341">
                  <c:v>-2.5900000000000727</c:v>
                </c:pt>
                <c:pt idx="342">
                  <c:v>-2.5800000000000729</c:v>
                </c:pt>
                <c:pt idx="343">
                  <c:v>-2.5700000000000731</c:v>
                </c:pt>
                <c:pt idx="344">
                  <c:v>-2.5600000000000733</c:v>
                </c:pt>
                <c:pt idx="345">
                  <c:v>-2.5500000000000735</c:v>
                </c:pt>
                <c:pt idx="346">
                  <c:v>-2.5400000000000738</c:v>
                </c:pt>
                <c:pt idx="347">
                  <c:v>-2.530000000000074</c:v>
                </c:pt>
                <c:pt idx="348">
                  <c:v>-2.5200000000000742</c:v>
                </c:pt>
                <c:pt idx="349">
                  <c:v>-2.5100000000000744</c:v>
                </c:pt>
                <c:pt idx="350">
                  <c:v>-2.5000000000000746</c:v>
                </c:pt>
                <c:pt idx="351">
                  <c:v>-2.4900000000000748</c:v>
                </c:pt>
                <c:pt idx="352">
                  <c:v>-2.480000000000075</c:v>
                </c:pt>
                <c:pt idx="353">
                  <c:v>-2.4700000000000752</c:v>
                </c:pt>
                <c:pt idx="354">
                  <c:v>-2.4600000000000755</c:v>
                </c:pt>
                <c:pt idx="355">
                  <c:v>-2.4500000000000757</c:v>
                </c:pt>
                <c:pt idx="356">
                  <c:v>-2.4400000000000759</c:v>
                </c:pt>
                <c:pt idx="357">
                  <c:v>-2.4300000000000761</c:v>
                </c:pt>
                <c:pt idx="358">
                  <c:v>-2.4200000000000763</c:v>
                </c:pt>
                <c:pt idx="359">
                  <c:v>-2.4100000000000765</c:v>
                </c:pt>
                <c:pt idx="360">
                  <c:v>-2.4000000000000767</c:v>
                </c:pt>
                <c:pt idx="361">
                  <c:v>-2.390000000000077</c:v>
                </c:pt>
                <c:pt idx="362">
                  <c:v>-2.3800000000000772</c:v>
                </c:pt>
                <c:pt idx="363">
                  <c:v>-2.3700000000000774</c:v>
                </c:pt>
                <c:pt idx="364">
                  <c:v>-2.3600000000000776</c:v>
                </c:pt>
                <c:pt idx="365">
                  <c:v>-2.3500000000000778</c:v>
                </c:pt>
                <c:pt idx="366">
                  <c:v>-2.340000000000078</c:v>
                </c:pt>
                <c:pt idx="367">
                  <c:v>-2.3300000000000782</c:v>
                </c:pt>
                <c:pt idx="368">
                  <c:v>-2.3200000000000784</c:v>
                </c:pt>
                <c:pt idx="369">
                  <c:v>-2.3100000000000787</c:v>
                </c:pt>
                <c:pt idx="370">
                  <c:v>-2.3000000000000789</c:v>
                </c:pt>
                <c:pt idx="371">
                  <c:v>-2.2900000000000791</c:v>
                </c:pt>
                <c:pt idx="372">
                  <c:v>-2.2800000000000793</c:v>
                </c:pt>
                <c:pt idx="373">
                  <c:v>-2.2700000000000795</c:v>
                </c:pt>
                <c:pt idx="374">
                  <c:v>-2.2600000000000797</c:v>
                </c:pt>
                <c:pt idx="375">
                  <c:v>-2.2500000000000799</c:v>
                </c:pt>
                <c:pt idx="376">
                  <c:v>-2.2400000000000801</c:v>
                </c:pt>
                <c:pt idx="377">
                  <c:v>-2.2300000000000804</c:v>
                </c:pt>
                <c:pt idx="378">
                  <c:v>-2.2200000000000806</c:v>
                </c:pt>
                <c:pt idx="379">
                  <c:v>-2.2100000000000808</c:v>
                </c:pt>
                <c:pt idx="380">
                  <c:v>-2.200000000000081</c:v>
                </c:pt>
                <c:pt idx="381">
                  <c:v>-2.1900000000000812</c:v>
                </c:pt>
                <c:pt idx="382">
                  <c:v>-2.1800000000000814</c:v>
                </c:pt>
                <c:pt idx="383">
                  <c:v>-2.1700000000000816</c:v>
                </c:pt>
                <c:pt idx="384">
                  <c:v>-2.1600000000000819</c:v>
                </c:pt>
                <c:pt idx="385">
                  <c:v>-2.1500000000000821</c:v>
                </c:pt>
                <c:pt idx="386">
                  <c:v>-2.1400000000000823</c:v>
                </c:pt>
                <c:pt idx="387">
                  <c:v>-2.1300000000000825</c:v>
                </c:pt>
                <c:pt idx="388">
                  <c:v>-2.1200000000000827</c:v>
                </c:pt>
                <c:pt idx="389">
                  <c:v>-2.1100000000000829</c:v>
                </c:pt>
                <c:pt idx="390">
                  <c:v>-2.1000000000000831</c:v>
                </c:pt>
                <c:pt idx="391">
                  <c:v>-2.0900000000000833</c:v>
                </c:pt>
                <c:pt idx="392">
                  <c:v>-2.0800000000000836</c:v>
                </c:pt>
                <c:pt idx="393">
                  <c:v>-2.0700000000000838</c:v>
                </c:pt>
                <c:pt idx="394">
                  <c:v>-2.060000000000084</c:v>
                </c:pt>
                <c:pt idx="395">
                  <c:v>-2.0500000000000842</c:v>
                </c:pt>
                <c:pt idx="396">
                  <c:v>-2.0400000000000844</c:v>
                </c:pt>
                <c:pt idx="397">
                  <c:v>-2.0300000000000846</c:v>
                </c:pt>
                <c:pt idx="398">
                  <c:v>-2.0200000000000848</c:v>
                </c:pt>
                <c:pt idx="399">
                  <c:v>-2.0100000000000851</c:v>
                </c:pt>
                <c:pt idx="400">
                  <c:v>-2.0000000000000853</c:v>
                </c:pt>
                <c:pt idx="401">
                  <c:v>-1.9900000000000853</c:v>
                </c:pt>
                <c:pt idx="402">
                  <c:v>-1.9800000000000852</c:v>
                </c:pt>
                <c:pt idx="403">
                  <c:v>-1.9700000000000852</c:v>
                </c:pt>
                <c:pt idx="404">
                  <c:v>-1.9600000000000852</c:v>
                </c:pt>
                <c:pt idx="405">
                  <c:v>-1.9500000000000852</c:v>
                </c:pt>
                <c:pt idx="406">
                  <c:v>-1.9400000000000852</c:v>
                </c:pt>
                <c:pt idx="407">
                  <c:v>-1.9300000000000852</c:v>
                </c:pt>
                <c:pt idx="408">
                  <c:v>-1.9200000000000852</c:v>
                </c:pt>
                <c:pt idx="409">
                  <c:v>-1.9100000000000852</c:v>
                </c:pt>
                <c:pt idx="410">
                  <c:v>-1.9000000000000852</c:v>
                </c:pt>
                <c:pt idx="411">
                  <c:v>-1.8900000000000852</c:v>
                </c:pt>
                <c:pt idx="412">
                  <c:v>-1.8800000000000852</c:v>
                </c:pt>
                <c:pt idx="413">
                  <c:v>-1.8700000000000851</c:v>
                </c:pt>
                <c:pt idx="414">
                  <c:v>-1.8600000000000851</c:v>
                </c:pt>
                <c:pt idx="415">
                  <c:v>-1.8500000000000851</c:v>
                </c:pt>
                <c:pt idx="416">
                  <c:v>-1.8400000000000851</c:v>
                </c:pt>
                <c:pt idx="417">
                  <c:v>-1.8300000000000851</c:v>
                </c:pt>
                <c:pt idx="418">
                  <c:v>-1.8200000000000851</c:v>
                </c:pt>
                <c:pt idx="419">
                  <c:v>-1.8100000000000851</c:v>
                </c:pt>
                <c:pt idx="420">
                  <c:v>-1.8000000000000851</c:v>
                </c:pt>
                <c:pt idx="421">
                  <c:v>-1.7900000000000851</c:v>
                </c:pt>
                <c:pt idx="422">
                  <c:v>-1.7800000000000851</c:v>
                </c:pt>
                <c:pt idx="423">
                  <c:v>-1.7700000000000851</c:v>
                </c:pt>
                <c:pt idx="424">
                  <c:v>-1.7600000000000851</c:v>
                </c:pt>
                <c:pt idx="425">
                  <c:v>-1.750000000000085</c:v>
                </c:pt>
                <c:pt idx="426">
                  <c:v>-1.740000000000085</c:v>
                </c:pt>
                <c:pt idx="427">
                  <c:v>-1.730000000000085</c:v>
                </c:pt>
                <c:pt idx="428">
                  <c:v>-1.720000000000085</c:v>
                </c:pt>
                <c:pt idx="429">
                  <c:v>-1.710000000000085</c:v>
                </c:pt>
                <c:pt idx="430">
                  <c:v>-1.700000000000085</c:v>
                </c:pt>
                <c:pt idx="431">
                  <c:v>-1.690000000000085</c:v>
                </c:pt>
                <c:pt idx="432">
                  <c:v>-1.680000000000085</c:v>
                </c:pt>
                <c:pt idx="433">
                  <c:v>-1.670000000000085</c:v>
                </c:pt>
                <c:pt idx="434">
                  <c:v>-1.660000000000085</c:v>
                </c:pt>
                <c:pt idx="435">
                  <c:v>-1.650000000000085</c:v>
                </c:pt>
                <c:pt idx="436">
                  <c:v>-1.6400000000000849</c:v>
                </c:pt>
                <c:pt idx="437">
                  <c:v>-1.6300000000000849</c:v>
                </c:pt>
                <c:pt idx="438">
                  <c:v>-1.6200000000000849</c:v>
                </c:pt>
                <c:pt idx="439">
                  <c:v>-1.6100000000000849</c:v>
                </c:pt>
                <c:pt idx="440">
                  <c:v>-1.6000000000000849</c:v>
                </c:pt>
                <c:pt idx="441">
                  <c:v>-1.5900000000000849</c:v>
                </c:pt>
                <c:pt idx="442">
                  <c:v>-1.5800000000000849</c:v>
                </c:pt>
                <c:pt idx="443">
                  <c:v>-1.5700000000000849</c:v>
                </c:pt>
                <c:pt idx="444">
                  <c:v>-1.5600000000000849</c:v>
                </c:pt>
                <c:pt idx="445">
                  <c:v>-1.5500000000000849</c:v>
                </c:pt>
                <c:pt idx="446">
                  <c:v>-1.5400000000000849</c:v>
                </c:pt>
                <c:pt idx="447">
                  <c:v>-1.5300000000000848</c:v>
                </c:pt>
                <c:pt idx="448">
                  <c:v>-1.5200000000000848</c:v>
                </c:pt>
                <c:pt idx="449">
                  <c:v>-1.5100000000000848</c:v>
                </c:pt>
                <c:pt idx="450">
                  <c:v>-1.5000000000000848</c:v>
                </c:pt>
                <c:pt idx="451">
                  <c:v>-1.4900000000000848</c:v>
                </c:pt>
                <c:pt idx="452">
                  <c:v>-1.4800000000000848</c:v>
                </c:pt>
                <c:pt idx="453">
                  <c:v>-1.4700000000000848</c:v>
                </c:pt>
                <c:pt idx="454">
                  <c:v>-1.4600000000000848</c:v>
                </c:pt>
                <c:pt idx="455">
                  <c:v>-1.4500000000000848</c:v>
                </c:pt>
                <c:pt idx="456">
                  <c:v>-1.4400000000000848</c:v>
                </c:pt>
                <c:pt idx="457">
                  <c:v>-1.4300000000000848</c:v>
                </c:pt>
                <c:pt idx="458">
                  <c:v>-1.4200000000000847</c:v>
                </c:pt>
                <c:pt idx="459">
                  <c:v>-1.4100000000000847</c:v>
                </c:pt>
                <c:pt idx="460">
                  <c:v>-1.4000000000000847</c:v>
                </c:pt>
                <c:pt idx="461">
                  <c:v>-1.3900000000000847</c:v>
                </c:pt>
                <c:pt idx="462">
                  <c:v>-1.3800000000000847</c:v>
                </c:pt>
                <c:pt idx="463">
                  <c:v>-1.3700000000000847</c:v>
                </c:pt>
                <c:pt idx="464">
                  <c:v>-1.3600000000000847</c:v>
                </c:pt>
                <c:pt idx="465">
                  <c:v>-1.3500000000000847</c:v>
                </c:pt>
                <c:pt idx="466">
                  <c:v>-1.3400000000000847</c:v>
                </c:pt>
                <c:pt idx="467">
                  <c:v>-1.3300000000000847</c:v>
                </c:pt>
                <c:pt idx="468">
                  <c:v>-1.3200000000000847</c:v>
                </c:pt>
                <c:pt idx="469">
                  <c:v>-1.3100000000000847</c:v>
                </c:pt>
                <c:pt idx="470">
                  <c:v>-1.3000000000000846</c:v>
                </c:pt>
                <c:pt idx="471">
                  <c:v>-1.2900000000000846</c:v>
                </c:pt>
                <c:pt idx="472">
                  <c:v>-1.2800000000000846</c:v>
                </c:pt>
                <c:pt idx="473">
                  <c:v>-1.2700000000000846</c:v>
                </c:pt>
                <c:pt idx="474">
                  <c:v>-1.2600000000000846</c:v>
                </c:pt>
                <c:pt idx="475">
                  <c:v>-1.2500000000000846</c:v>
                </c:pt>
                <c:pt idx="476">
                  <c:v>-1.2400000000000846</c:v>
                </c:pt>
                <c:pt idx="477">
                  <c:v>-1.2300000000000846</c:v>
                </c:pt>
                <c:pt idx="478">
                  <c:v>-1.2200000000000846</c:v>
                </c:pt>
                <c:pt idx="479">
                  <c:v>-1.2100000000000846</c:v>
                </c:pt>
                <c:pt idx="480">
                  <c:v>-1.2000000000000846</c:v>
                </c:pt>
                <c:pt idx="481">
                  <c:v>-1.1900000000000845</c:v>
                </c:pt>
                <c:pt idx="482">
                  <c:v>-1.1800000000000845</c:v>
                </c:pt>
                <c:pt idx="483">
                  <c:v>-1.1700000000000845</c:v>
                </c:pt>
                <c:pt idx="484">
                  <c:v>-1.1600000000000845</c:v>
                </c:pt>
                <c:pt idx="485">
                  <c:v>-1.1500000000000845</c:v>
                </c:pt>
                <c:pt idx="486">
                  <c:v>-1.1400000000000845</c:v>
                </c:pt>
                <c:pt idx="487">
                  <c:v>-1.1300000000000845</c:v>
                </c:pt>
                <c:pt idx="488">
                  <c:v>-1.1200000000000845</c:v>
                </c:pt>
                <c:pt idx="489">
                  <c:v>-1.1100000000000845</c:v>
                </c:pt>
                <c:pt idx="490">
                  <c:v>-1.1000000000000845</c:v>
                </c:pt>
                <c:pt idx="491">
                  <c:v>-1.0900000000000845</c:v>
                </c:pt>
                <c:pt idx="492">
                  <c:v>-1.0800000000000844</c:v>
                </c:pt>
                <c:pt idx="493">
                  <c:v>-1.0700000000000844</c:v>
                </c:pt>
                <c:pt idx="494">
                  <c:v>-1.0600000000000844</c:v>
                </c:pt>
                <c:pt idx="495">
                  <c:v>-1.0500000000000844</c:v>
                </c:pt>
                <c:pt idx="496">
                  <c:v>-1.0400000000000844</c:v>
                </c:pt>
                <c:pt idx="497">
                  <c:v>-1.0300000000000844</c:v>
                </c:pt>
                <c:pt idx="498">
                  <c:v>-1.0200000000000844</c:v>
                </c:pt>
                <c:pt idx="499">
                  <c:v>-1.0100000000000844</c:v>
                </c:pt>
                <c:pt idx="500">
                  <c:v>-1.0000000000000844</c:v>
                </c:pt>
                <c:pt idx="501">
                  <c:v>-0.99000000000008437</c:v>
                </c:pt>
                <c:pt idx="502">
                  <c:v>-0.98000000000008436</c:v>
                </c:pt>
                <c:pt idx="503">
                  <c:v>-0.97000000000008435</c:v>
                </c:pt>
                <c:pt idx="504">
                  <c:v>-0.96000000000008434</c:v>
                </c:pt>
                <c:pt idx="505">
                  <c:v>-0.95000000000008433</c:v>
                </c:pt>
                <c:pt idx="506">
                  <c:v>-0.94000000000008432</c:v>
                </c:pt>
                <c:pt idx="507">
                  <c:v>-0.93000000000008431</c:v>
                </c:pt>
                <c:pt idx="508">
                  <c:v>-0.92000000000008431</c:v>
                </c:pt>
                <c:pt idx="509">
                  <c:v>-0.9100000000000843</c:v>
                </c:pt>
                <c:pt idx="510">
                  <c:v>-0.90000000000008429</c:v>
                </c:pt>
                <c:pt idx="511">
                  <c:v>-0.89000000000008428</c:v>
                </c:pt>
                <c:pt idx="512">
                  <c:v>-0.88000000000008427</c:v>
                </c:pt>
                <c:pt idx="513">
                  <c:v>-0.87000000000008426</c:v>
                </c:pt>
                <c:pt idx="514">
                  <c:v>-0.86000000000008425</c:v>
                </c:pt>
                <c:pt idx="515">
                  <c:v>-0.85000000000008424</c:v>
                </c:pt>
                <c:pt idx="516">
                  <c:v>-0.84000000000008423</c:v>
                </c:pt>
                <c:pt idx="517">
                  <c:v>-0.83000000000008423</c:v>
                </c:pt>
                <c:pt idx="518">
                  <c:v>-0.82000000000008422</c:v>
                </c:pt>
                <c:pt idx="519">
                  <c:v>-0.81000000000008421</c:v>
                </c:pt>
                <c:pt idx="520">
                  <c:v>-0.8000000000000842</c:v>
                </c:pt>
                <c:pt idx="521">
                  <c:v>-0.79000000000008419</c:v>
                </c:pt>
                <c:pt idx="522">
                  <c:v>-0.78000000000008418</c:v>
                </c:pt>
                <c:pt idx="523">
                  <c:v>-0.77000000000008417</c:v>
                </c:pt>
                <c:pt idx="524">
                  <c:v>-0.76000000000008416</c:v>
                </c:pt>
                <c:pt idx="525">
                  <c:v>-0.75000000000008415</c:v>
                </c:pt>
                <c:pt idx="526">
                  <c:v>-0.74000000000008415</c:v>
                </c:pt>
                <c:pt idx="527">
                  <c:v>-0.73000000000008414</c:v>
                </c:pt>
                <c:pt idx="528">
                  <c:v>-0.72000000000008413</c:v>
                </c:pt>
                <c:pt idx="529">
                  <c:v>-0.71000000000008412</c:v>
                </c:pt>
                <c:pt idx="530">
                  <c:v>-0.70000000000008411</c:v>
                </c:pt>
                <c:pt idx="531">
                  <c:v>-0.6900000000000841</c:v>
                </c:pt>
                <c:pt idx="532">
                  <c:v>-0.68000000000008409</c:v>
                </c:pt>
                <c:pt idx="533">
                  <c:v>-0.67000000000008408</c:v>
                </c:pt>
                <c:pt idx="534">
                  <c:v>-0.66000000000008407</c:v>
                </c:pt>
                <c:pt idx="535">
                  <c:v>-0.65000000000008407</c:v>
                </c:pt>
                <c:pt idx="536">
                  <c:v>-0.64000000000008406</c:v>
                </c:pt>
                <c:pt idx="537">
                  <c:v>-0.63000000000008405</c:v>
                </c:pt>
                <c:pt idx="538">
                  <c:v>-0.62000000000008404</c:v>
                </c:pt>
                <c:pt idx="539">
                  <c:v>-0.61000000000008403</c:v>
                </c:pt>
                <c:pt idx="540">
                  <c:v>-0.60000000000008402</c:v>
                </c:pt>
                <c:pt idx="541">
                  <c:v>-0.59000000000008401</c:v>
                </c:pt>
                <c:pt idx="542">
                  <c:v>-0.580000000000084</c:v>
                </c:pt>
                <c:pt idx="543">
                  <c:v>-0.570000000000084</c:v>
                </c:pt>
                <c:pt idx="544">
                  <c:v>-0.56000000000008399</c:v>
                </c:pt>
                <c:pt idx="545">
                  <c:v>-0.55000000000008398</c:v>
                </c:pt>
                <c:pt idx="546">
                  <c:v>-0.54000000000008397</c:v>
                </c:pt>
                <c:pt idx="547">
                  <c:v>-0.53000000000008396</c:v>
                </c:pt>
                <c:pt idx="548">
                  <c:v>-0.52000000000008395</c:v>
                </c:pt>
                <c:pt idx="549">
                  <c:v>-0.51000000000008394</c:v>
                </c:pt>
                <c:pt idx="550">
                  <c:v>-0.50000000000008393</c:v>
                </c:pt>
                <c:pt idx="551">
                  <c:v>-0.49000000000008392</c:v>
                </c:pt>
                <c:pt idx="552">
                  <c:v>-0.48000000000008392</c:v>
                </c:pt>
                <c:pt idx="553">
                  <c:v>-0.47000000000008391</c:v>
                </c:pt>
                <c:pt idx="554">
                  <c:v>-0.4600000000000839</c:v>
                </c:pt>
                <c:pt idx="555">
                  <c:v>-0.45000000000008389</c:v>
                </c:pt>
                <c:pt idx="556">
                  <c:v>-0.44000000000008388</c:v>
                </c:pt>
                <c:pt idx="557">
                  <c:v>-0.43000000000008387</c:v>
                </c:pt>
                <c:pt idx="558">
                  <c:v>-0.42000000000008386</c:v>
                </c:pt>
                <c:pt idx="559">
                  <c:v>-0.41000000000008385</c:v>
                </c:pt>
                <c:pt idx="560">
                  <c:v>-0.40000000000008384</c:v>
                </c:pt>
                <c:pt idx="561">
                  <c:v>-0.39000000000008384</c:v>
                </c:pt>
                <c:pt idx="562">
                  <c:v>-0.38000000000008383</c:v>
                </c:pt>
                <c:pt idx="563">
                  <c:v>-0.37000000000008382</c:v>
                </c:pt>
                <c:pt idx="564">
                  <c:v>-0.36000000000008381</c:v>
                </c:pt>
                <c:pt idx="565">
                  <c:v>-0.3500000000000838</c:v>
                </c:pt>
                <c:pt idx="566">
                  <c:v>-0.34000000000008379</c:v>
                </c:pt>
                <c:pt idx="567">
                  <c:v>-0.33000000000008378</c:v>
                </c:pt>
                <c:pt idx="568">
                  <c:v>-0.32000000000008377</c:v>
                </c:pt>
                <c:pt idx="569">
                  <c:v>-0.31000000000008376</c:v>
                </c:pt>
                <c:pt idx="570">
                  <c:v>-0.30000000000008376</c:v>
                </c:pt>
                <c:pt idx="571">
                  <c:v>-0.29000000000008375</c:v>
                </c:pt>
                <c:pt idx="572">
                  <c:v>-0.28000000000008374</c:v>
                </c:pt>
                <c:pt idx="573">
                  <c:v>-0.27000000000008373</c:v>
                </c:pt>
                <c:pt idx="574">
                  <c:v>-0.26000000000008372</c:v>
                </c:pt>
                <c:pt idx="575">
                  <c:v>-0.25000000000008371</c:v>
                </c:pt>
                <c:pt idx="576">
                  <c:v>-0.2400000000000837</c:v>
                </c:pt>
                <c:pt idx="577">
                  <c:v>-0.23000000000008369</c:v>
                </c:pt>
                <c:pt idx="578">
                  <c:v>-0.22000000000008368</c:v>
                </c:pt>
                <c:pt idx="579">
                  <c:v>-0.21000000000008368</c:v>
                </c:pt>
                <c:pt idx="580">
                  <c:v>-0.20000000000008367</c:v>
                </c:pt>
                <c:pt idx="581">
                  <c:v>-0.19000000000008366</c:v>
                </c:pt>
                <c:pt idx="582">
                  <c:v>-0.18000000000008365</c:v>
                </c:pt>
                <c:pt idx="583">
                  <c:v>-0.17000000000008364</c:v>
                </c:pt>
                <c:pt idx="584">
                  <c:v>-0.16000000000008363</c:v>
                </c:pt>
                <c:pt idx="585">
                  <c:v>-0.15000000000008362</c:v>
                </c:pt>
                <c:pt idx="586">
                  <c:v>-0.14000000000008361</c:v>
                </c:pt>
                <c:pt idx="587">
                  <c:v>-0.1300000000000836</c:v>
                </c:pt>
                <c:pt idx="588">
                  <c:v>-0.12000000000008361</c:v>
                </c:pt>
                <c:pt idx="589">
                  <c:v>-0.11000000000008361</c:v>
                </c:pt>
                <c:pt idx="590">
                  <c:v>-0.10000000000008362</c:v>
                </c:pt>
                <c:pt idx="591">
                  <c:v>-9.0000000000083624E-2</c:v>
                </c:pt>
                <c:pt idx="592">
                  <c:v>-8.0000000000083629E-2</c:v>
                </c:pt>
                <c:pt idx="593">
                  <c:v>-7.0000000000083634E-2</c:v>
                </c:pt>
                <c:pt idx="594">
                  <c:v>-6.0000000000083632E-2</c:v>
                </c:pt>
                <c:pt idx="595">
                  <c:v>-5.000000000008363E-2</c:v>
                </c:pt>
                <c:pt idx="596">
                  <c:v>-4.0000000000083628E-2</c:v>
                </c:pt>
                <c:pt idx="597">
                  <c:v>-3.0000000000083626E-2</c:v>
                </c:pt>
                <c:pt idx="598">
                  <c:v>-2.0000000000083624E-2</c:v>
                </c:pt>
                <c:pt idx="599">
                  <c:v>-1.0000000000083624E-2</c:v>
                </c:pt>
                <c:pt idx="600">
                  <c:v>-8.3624079882937963E-14</c:v>
                </c:pt>
                <c:pt idx="601">
                  <c:v>9.9999999999163761E-3</c:v>
                </c:pt>
                <c:pt idx="602">
                  <c:v>1.9999999999916376E-2</c:v>
                </c:pt>
                <c:pt idx="603">
                  <c:v>2.9999999999916378E-2</c:v>
                </c:pt>
                <c:pt idx="604">
                  <c:v>3.999999999991638E-2</c:v>
                </c:pt>
                <c:pt idx="605">
                  <c:v>4.9999999999916382E-2</c:v>
                </c:pt>
                <c:pt idx="606">
                  <c:v>5.9999999999916384E-2</c:v>
                </c:pt>
                <c:pt idx="607">
                  <c:v>6.9999999999916379E-2</c:v>
                </c:pt>
                <c:pt idx="608">
                  <c:v>7.9999999999916374E-2</c:v>
                </c:pt>
                <c:pt idx="609">
                  <c:v>8.9999999999916369E-2</c:v>
                </c:pt>
                <c:pt idx="610">
                  <c:v>9.9999999999916364E-2</c:v>
                </c:pt>
                <c:pt idx="611">
                  <c:v>0.10999999999991636</c:v>
                </c:pt>
                <c:pt idx="612">
                  <c:v>0.11999999999991635</c:v>
                </c:pt>
                <c:pt idx="613">
                  <c:v>0.12999999999991635</c:v>
                </c:pt>
                <c:pt idx="614">
                  <c:v>0.13999999999991636</c:v>
                </c:pt>
                <c:pt idx="615">
                  <c:v>0.14999999999991637</c:v>
                </c:pt>
                <c:pt idx="616">
                  <c:v>0.15999999999991638</c:v>
                </c:pt>
                <c:pt idx="617">
                  <c:v>0.16999999999991638</c:v>
                </c:pt>
                <c:pt idx="618">
                  <c:v>0.17999999999991639</c:v>
                </c:pt>
                <c:pt idx="619">
                  <c:v>0.1899999999999164</c:v>
                </c:pt>
                <c:pt idx="620">
                  <c:v>0.19999999999991641</c:v>
                </c:pt>
                <c:pt idx="621">
                  <c:v>0.20999999999991642</c:v>
                </c:pt>
                <c:pt idx="622">
                  <c:v>0.21999999999991643</c:v>
                </c:pt>
                <c:pt idx="623">
                  <c:v>0.22999999999991644</c:v>
                </c:pt>
                <c:pt idx="624">
                  <c:v>0.23999999999991645</c:v>
                </c:pt>
                <c:pt idx="625">
                  <c:v>0.24999999999991646</c:v>
                </c:pt>
                <c:pt idx="626">
                  <c:v>0.25999999999991646</c:v>
                </c:pt>
                <c:pt idx="627">
                  <c:v>0.26999999999991647</c:v>
                </c:pt>
                <c:pt idx="628">
                  <c:v>0.27999999999991648</c:v>
                </c:pt>
                <c:pt idx="629">
                  <c:v>0.28999999999991649</c:v>
                </c:pt>
                <c:pt idx="630">
                  <c:v>0.2999999999999165</c:v>
                </c:pt>
                <c:pt idx="631">
                  <c:v>0.30999999999991651</c:v>
                </c:pt>
                <c:pt idx="632">
                  <c:v>0.31999999999991652</c:v>
                </c:pt>
                <c:pt idx="633">
                  <c:v>0.32999999999991653</c:v>
                </c:pt>
                <c:pt idx="634">
                  <c:v>0.33999999999991654</c:v>
                </c:pt>
                <c:pt idx="635">
                  <c:v>0.34999999999991654</c:v>
                </c:pt>
                <c:pt idx="636">
                  <c:v>0.35999999999991655</c:v>
                </c:pt>
                <c:pt idx="637">
                  <c:v>0.36999999999991656</c:v>
                </c:pt>
                <c:pt idx="638">
                  <c:v>0.37999999999991657</c:v>
                </c:pt>
                <c:pt idx="639">
                  <c:v>0.38999999999991658</c:v>
                </c:pt>
                <c:pt idx="640">
                  <c:v>0.39999999999991659</c:v>
                </c:pt>
                <c:pt idx="641">
                  <c:v>0.4099999999999166</c:v>
                </c:pt>
                <c:pt idx="642">
                  <c:v>0.41999999999991661</c:v>
                </c:pt>
                <c:pt idx="643">
                  <c:v>0.42999999999991662</c:v>
                </c:pt>
                <c:pt idx="644">
                  <c:v>0.43999999999991662</c:v>
                </c:pt>
                <c:pt idx="645">
                  <c:v>0.44999999999991663</c:v>
                </c:pt>
                <c:pt idx="646">
                  <c:v>0.45999999999991664</c:v>
                </c:pt>
                <c:pt idx="647">
                  <c:v>0.46999999999991665</c:v>
                </c:pt>
                <c:pt idx="648">
                  <c:v>0.47999999999991666</c:v>
                </c:pt>
                <c:pt idx="649">
                  <c:v>0.48999999999991667</c:v>
                </c:pt>
                <c:pt idx="650">
                  <c:v>0.49999999999991668</c:v>
                </c:pt>
                <c:pt idx="651">
                  <c:v>0.50999999999991663</c:v>
                </c:pt>
                <c:pt idx="652">
                  <c:v>0.51999999999991664</c:v>
                </c:pt>
                <c:pt idx="653">
                  <c:v>0.52999999999991665</c:v>
                </c:pt>
                <c:pt idx="654">
                  <c:v>0.53999999999991666</c:v>
                </c:pt>
                <c:pt idx="655">
                  <c:v>0.54999999999991667</c:v>
                </c:pt>
                <c:pt idx="656">
                  <c:v>0.55999999999991668</c:v>
                </c:pt>
                <c:pt idx="657">
                  <c:v>0.56999999999991668</c:v>
                </c:pt>
                <c:pt idx="658">
                  <c:v>0.57999999999991669</c:v>
                </c:pt>
                <c:pt idx="659">
                  <c:v>0.5899999999999167</c:v>
                </c:pt>
                <c:pt idx="660">
                  <c:v>0.59999999999991671</c:v>
                </c:pt>
                <c:pt idx="661">
                  <c:v>0.60999999999991672</c:v>
                </c:pt>
                <c:pt idx="662">
                  <c:v>0.61999999999991673</c:v>
                </c:pt>
                <c:pt idx="663">
                  <c:v>0.62999999999991674</c:v>
                </c:pt>
                <c:pt idx="664">
                  <c:v>0.63999999999991675</c:v>
                </c:pt>
                <c:pt idx="665">
                  <c:v>0.64999999999991676</c:v>
                </c:pt>
                <c:pt idx="666">
                  <c:v>0.65999999999991676</c:v>
                </c:pt>
                <c:pt idx="667">
                  <c:v>0.66999999999991677</c:v>
                </c:pt>
                <c:pt idx="668">
                  <c:v>0.67999999999991678</c:v>
                </c:pt>
                <c:pt idx="669">
                  <c:v>0.68999999999991679</c:v>
                </c:pt>
                <c:pt idx="670">
                  <c:v>0.6999999999999168</c:v>
                </c:pt>
                <c:pt idx="671">
                  <c:v>0.70999999999991681</c:v>
                </c:pt>
                <c:pt idx="672">
                  <c:v>0.71999999999991682</c:v>
                </c:pt>
                <c:pt idx="673">
                  <c:v>0.72999999999991683</c:v>
                </c:pt>
                <c:pt idx="674">
                  <c:v>0.73999999999991684</c:v>
                </c:pt>
                <c:pt idx="675">
                  <c:v>0.74999999999991684</c:v>
                </c:pt>
                <c:pt idx="676">
                  <c:v>0.75999999999991685</c:v>
                </c:pt>
                <c:pt idx="677">
                  <c:v>0.76999999999991686</c:v>
                </c:pt>
                <c:pt idx="678">
                  <c:v>0.77999999999991687</c:v>
                </c:pt>
                <c:pt idx="679">
                  <c:v>0.78999999999991688</c:v>
                </c:pt>
                <c:pt idx="680">
                  <c:v>0.79999999999991689</c:v>
                </c:pt>
                <c:pt idx="681">
                  <c:v>0.8099999999999169</c:v>
                </c:pt>
                <c:pt idx="682">
                  <c:v>0.81999999999991691</c:v>
                </c:pt>
                <c:pt idx="683">
                  <c:v>0.82999999999991692</c:v>
                </c:pt>
                <c:pt idx="684">
                  <c:v>0.83999999999991692</c:v>
                </c:pt>
                <c:pt idx="685">
                  <c:v>0.84999999999991693</c:v>
                </c:pt>
                <c:pt idx="686">
                  <c:v>0.85999999999991694</c:v>
                </c:pt>
                <c:pt idx="687">
                  <c:v>0.86999999999991695</c:v>
                </c:pt>
                <c:pt idx="688">
                  <c:v>0.87999999999991696</c:v>
                </c:pt>
                <c:pt idx="689">
                  <c:v>0.88999999999991697</c:v>
                </c:pt>
                <c:pt idx="690">
                  <c:v>0.89999999999991698</c:v>
                </c:pt>
                <c:pt idx="691">
                  <c:v>0.90999999999991699</c:v>
                </c:pt>
                <c:pt idx="692">
                  <c:v>0.919999999999917</c:v>
                </c:pt>
                <c:pt idx="693">
                  <c:v>0.929999999999917</c:v>
                </c:pt>
                <c:pt idx="694">
                  <c:v>0.93999999999991701</c:v>
                </c:pt>
                <c:pt idx="695">
                  <c:v>0.94999999999991702</c:v>
                </c:pt>
                <c:pt idx="696">
                  <c:v>0.95999999999991703</c:v>
                </c:pt>
                <c:pt idx="697">
                  <c:v>0.96999999999991704</c:v>
                </c:pt>
                <c:pt idx="698">
                  <c:v>0.97999999999991705</c:v>
                </c:pt>
                <c:pt idx="699">
                  <c:v>0.98999999999991706</c:v>
                </c:pt>
                <c:pt idx="700">
                  <c:v>0.99999999999991707</c:v>
                </c:pt>
                <c:pt idx="701">
                  <c:v>1.009999999999917</c:v>
                </c:pt>
                <c:pt idx="702">
                  <c:v>1.019999999999917</c:v>
                </c:pt>
                <c:pt idx="703">
                  <c:v>1.029999999999917</c:v>
                </c:pt>
                <c:pt idx="704">
                  <c:v>1.039999999999917</c:v>
                </c:pt>
                <c:pt idx="705">
                  <c:v>1.049999999999917</c:v>
                </c:pt>
                <c:pt idx="706">
                  <c:v>1.059999999999917</c:v>
                </c:pt>
                <c:pt idx="707">
                  <c:v>1.069999999999917</c:v>
                </c:pt>
                <c:pt idx="708">
                  <c:v>1.079999999999917</c:v>
                </c:pt>
                <c:pt idx="709">
                  <c:v>1.089999999999917</c:v>
                </c:pt>
                <c:pt idx="710">
                  <c:v>1.099999999999917</c:v>
                </c:pt>
                <c:pt idx="711">
                  <c:v>1.1099999999999171</c:v>
                </c:pt>
                <c:pt idx="712">
                  <c:v>1.1199999999999171</c:v>
                </c:pt>
                <c:pt idx="713">
                  <c:v>1.1299999999999171</c:v>
                </c:pt>
                <c:pt idx="714">
                  <c:v>1.1399999999999171</c:v>
                </c:pt>
                <c:pt idx="715">
                  <c:v>1.1499999999999171</c:v>
                </c:pt>
                <c:pt idx="716">
                  <c:v>1.1599999999999171</c:v>
                </c:pt>
                <c:pt idx="717">
                  <c:v>1.1699999999999171</c:v>
                </c:pt>
                <c:pt idx="718">
                  <c:v>1.1799999999999171</c:v>
                </c:pt>
                <c:pt idx="719">
                  <c:v>1.1899999999999171</c:v>
                </c:pt>
                <c:pt idx="720">
                  <c:v>1.1999999999999171</c:v>
                </c:pt>
                <c:pt idx="721">
                  <c:v>1.2099999999999171</c:v>
                </c:pt>
                <c:pt idx="722">
                  <c:v>1.2199999999999172</c:v>
                </c:pt>
                <c:pt idx="723">
                  <c:v>1.2299999999999172</c:v>
                </c:pt>
                <c:pt idx="724">
                  <c:v>1.2399999999999172</c:v>
                </c:pt>
                <c:pt idx="725">
                  <c:v>1.2499999999999172</c:v>
                </c:pt>
                <c:pt idx="726">
                  <c:v>1.2599999999999172</c:v>
                </c:pt>
                <c:pt idx="727">
                  <c:v>1.2699999999999172</c:v>
                </c:pt>
                <c:pt idx="728">
                  <c:v>1.2799999999999172</c:v>
                </c:pt>
                <c:pt idx="729">
                  <c:v>1.2899999999999172</c:v>
                </c:pt>
                <c:pt idx="730">
                  <c:v>1.2999999999999172</c:v>
                </c:pt>
                <c:pt idx="731">
                  <c:v>1.3099999999999172</c:v>
                </c:pt>
                <c:pt idx="732">
                  <c:v>1.3199999999999172</c:v>
                </c:pt>
                <c:pt idx="733">
                  <c:v>1.3299999999999172</c:v>
                </c:pt>
                <c:pt idx="734">
                  <c:v>1.3399999999999173</c:v>
                </c:pt>
                <c:pt idx="735">
                  <c:v>1.3499999999999173</c:v>
                </c:pt>
                <c:pt idx="736">
                  <c:v>1.3599999999999173</c:v>
                </c:pt>
                <c:pt idx="737">
                  <c:v>1.3699999999999173</c:v>
                </c:pt>
                <c:pt idx="738">
                  <c:v>1.3799999999999173</c:v>
                </c:pt>
                <c:pt idx="739">
                  <c:v>1.3899999999999173</c:v>
                </c:pt>
                <c:pt idx="740">
                  <c:v>1.3999999999999173</c:v>
                </c:pt>
                <c:pt idx="741">
                  <c:v>1.4099999999999173</c:v>
                </c:pt>
                <c:pt idx="742">
                  <c:v>1.4199999999999173</c:v>
                </c:pt>
                <c:pt idx="743">
                  <c:v>1.4299999999999173</c:v>
                </c:pt>
                <c:pt idx="744">
                  <c:v>1.4399999999999173</c:v>
                </c:pt>
                <c:pt idx="745">
                  <c:v>1.4499999999999174</c:v>
                </c:pt>
                <c:pt idx="746">
                  <c:v>1.4599999999999174</c:v>
                </c:pt>
                <c:pt idx="747">
                  <c:v>1.4699999999999174</c:v>
                </c:pt>
                <c:pt idx="748">
                  <c:v>1.4799999999999174</c:v>
                </c:pt>
                <c:pt idx="749">
                  <c:v>1.4899999999999174</c:v>
                </c:pt>
                <c:pt idx="750">
                  <c:v>1.4999999999999174</c:v>
                </c:pt>
                <c:pt idx="751">
                  <c:v>1.5099999999999174</c:v>
                </c:pt>
                <c:pt idx="752">
                  <c:v>1.5199999999999174</c:v>
                </c:pt>
                <c:pt idx="753">
                  <c:v>1.5299999999999174</c:v>
                </c:pt>
                <c:pt idx="754">
                  <c:v>1.5399999999999174</c:v>
                </c:pt>
                <c:pt idx="755">
                  <c:v>1.5499999999999174</c:v>
                </c:pt>
                <c:pt idx="756">
                  <c:v>1.5599999999999175</c:v>
                </c:pt>
                <c:pt idx="757">
                  <c:v>1.5699999999999175</c:v>
                </c:pt>
                <c:pt idx="758">
                  <c:v>1.5799999999999175</c:v>
                </c:pt>
                <c:pt idx="759">
                  <c:v>1.5899999999999175</c:v>
                </c:pt>
                <c:pt idx="760">
                  <c:v>1.5999999999999175</c:v>
                </c:pt>
                <c:pt idx="761">
                  <c:v>1.6099999999999175</c:v>
                </c:pt>
                <c:pt idx="762">
                  <c:v>1.6199999999999175</c:v>
                </c:pt>
                <c:pt idx="763">
                  <c:v>1.6299999999999175</c:v>
                </c:pt>
                <c:pt idx="764">
                  <c:v>1.6399999999999175</c:v>
                </c:pt>
                <c:pt idx="765">
                  <c:v>1.6499999999999175</c:v>
                </c:pt>
                <c:pt idx="766">
                  <c:v>1.6599999999999175</c:v>
                </c:pt>
                <c:pt idx="767">
                  <c:v>1.6699999999999176</c:v>
                </c:pt>
                <c:pt idx="768">
                  <c:v>1.6799999999999176</c:v>
                </c:pt>
                <c:pt idx="769">
                  <c:v>1.6899999999999176</c:v>
                </c:pt>
                <c:pt idx="770">
                  <c:v>1.6999999999999176</c:v>
                </c:pt>
                <c:pt idx="771">
                  <c:v>1.7099999999999176</c:v>
                </c:pt>
                <c:pt idx="772">
                  <c:v>1.7199999999999176</c:v>
                </c:pt>
                <c:pt idx="773">
                  <c:v>1.7299999999999176</c:v>
                </c:pt>
                <c:pt idx="774">
                  <c:v>1.7399999999999176</c:v>
                </c:pt>
                <c:pt idx="775">
                  <c:v>1.7499999999999176</c:v>
                </c:pt>
                <c:pt idx="776">
                  <c:v>1.7599999999999176</c:v>
                </c:pt>
                <c:pt idx="777">
                  <c:v>1.7699999999999176</c:v>
                </c:pt>
                <c:pt idx="778">
                  <c:v>1.7799999999999176</c:v>
                </c:pt>
                <c:pt idx="779">
                  <c:v>1.7899999999999177</c:v>
                </c:pt>
                <c:pt idx="780">
                  <c:v>1.7999999999999177</c:v>
                </c:pt>
                <c:pt idx="781">
                  <c:v>1.8099999999999177</c:v>
                </c:pt>
                <c:pt idx="782">
                  <c:v>1.8199999999999177</c:v>
                </c:pt>
                <c:pt idx="783">
                  <c:v>1.8299999999999177</c:v>
                </c:pt>
                <c:pt idx="784">
                  <c:v>1.8399999999999177</c:v>
                </c:pt>
                <c:pt idx="785">
                  <c:v>1.8499999999999177</c:v>
                </c:pt>
                <c:pt idx="786">
                  <c:v>1.8599999999999177</c:v>
                </c:pt>
                <c:pt idx="787">
                  <c:v>1.8699999999999177</c:v>
                </c:pt>
                <c:pt idx="788">
                  <c:v>1.8799999999999177</c:v>
                </c:pt>
                <c:pt idx="789">
                  <c:v>1.8899999999999177</c:v>
                </c:pt>
                <c:pt idx="790">
                  <c:v>1.8999999999999178</c:v>
                </c:pt>
                <c:pt idx="791">
                  <c:v>1.9099999999999178</c:v>
                </c:pt>
                <c:pt idx="792">
                  <c:v>1.9199999999999178</c:v>
                </c:pt>
                <c:pt idx="793">
                  <c:v>1.9299999999999178</c:v>
                </c:pt>
                <c:pt idx="794">
                  <c:v>1.9399999999999178</c:v>
                </c:pt>
                <c:pt idx="795">
                  <c:v>1.9499999999999178</c:v>
                </c:pt>
                <c:pt idx="796">
                  <c:v>1.9599999999999178</c:v>
                </c:pt>
                <c:pt idx="797">
                  <c:v>1.9699999999999178</c:v>
                </c:pt>
                <c:pt idx="798">
                  <c:v>1.9799999999999178</c:v>
                </c:pt>
                <c:pt idx="799">
                  <c:v>1.9899999999999178</c:v>
                </c:pt>
                <c:pt idx="800">
                  <c:v>1.9999999999999178</c:v>
                </c:pt>
                <c:pt idx="801">
                  <c:v>2.0099999999999176</c:v>
                </c:pt>
                <c:pt idx="802">
                  <c:v>2.0199999999999174</c:v>
                </c:pt>
                <c:pt idx="803">
                  <c:v>2.0299999999999172</c:v>
                </c:pt>
                <c:pt idx="804">
                  <c:v>2.039999999999917</c:v>
                </c:pt>
                <c:pt idx="805">
                  <c:v>2.0499999999999168</c:v>
                </c:pt>
                <c:pt idx="806">
                  <c:v>2.0599999999999166</c:v>
                </c:pt>
                <c:pt idx="807">
                  <c:v>2.0699999999999164</c:v>
                </c:pt>
                <c:pt idx="808">
                  <c:v>2.0799999999999161</c:v>
                </c:pt>
                <c:pt idx="809">
                  <c:v>2.0899999999999159</c:v>
                </c:pt>
                <c:pt idx="810">
                  <c:v>2.0999999999999157</c:v>
                </c:pt>
                <c:pt idx="811">
                  <c:v>2.1099999999999155</c:v>
                </c:pt>
                <c:pt idx="812">
                  <c:v>2.1199999999999153</c:v>
                </c:pt>
                <c:pt idx="813">
                  <c:v>2.1299999999999151</c:v>
                </c:pt>
                <c:pt idx="814">
                  <c:v>2.1399999999999149</c:v>
                </c:pt>
                <c:pt idx="815">
                  <c:v>2.1499999999999146</c:v>
                </c:pt>
                <c:pt idx="816">
                  <c:v>2.1599999999999144</c:v>
                </c:pt>
                <c:pt idx="817">
                  <c:v>2.1699999999999142</c:v>
                </c:pt>
                <c:pt idx="818">
                  <c:v>2.179999999999914</c:v>
                </c:pt>
                <c:pt idx="819">
                  <c:v>2.1899999999999138</c:v>
                </c:pt>
                <c:pt idx="820">
                  <c:v>2.1999999999999136</c:v>
                </c:pt>
                <c:pt idx="821">
                  <c:v>2.2099999999999134</c:v>
                </c:pt>
                <c:pt idx="822">
                  <c:v>2.2199999999999132</c:v>
                </c:pt>
                <c:pt idx="823">
                  <c:v>2.2299999999999129</c:v>
                </c:pt>
                <c:pt idx="824">
                  <c:v>2.2399999999999127</c:v>
                </c:pt>
                <c:pt idx="825">
                  <c:v>2.2499999999999125</c:v>
                </c:pt>
                <c:pt idx="826">
                  <c:v>2.2599999999999123</c:v>
                </c:pt>
                <c:pt idx="827">
                  <c:v>2.2699999999999121</c:v>
                </c:pt>
                <c:pt idx="828">
                  <c:v>2.2799999999999119</c:v>
                </c:pt>
                <c:pt idx="829">
                  <c:v>2.2899999999999117</c:v>
                </c:pt>
                <c:pt idx="830">
                  <c:v>2.2999999999999114</c:v>
                </c:pt>
                <c:pt idx="831">
                  <c:v>2.3099999999999112</c:v>
                </c:pt>
                <c:pt idx="832">
                  <c:v>2.319999999999911</c:v>
                </c:pt>
                <c:pt idx="833">
                  <c:v>2.3299999999999108</c:v>
                </c:pt>
                <c:pt idx="834">
                  <c:v>2.3399999999999106</c:v>
                </c:pt>
                <c:pt idx="835">
                  <c:v>2.3499999999999104</c:v>
                </c:pt>
                <c:pt idx="836">
                  <c:v>2.3599999999999102</c:v>
                </c:pt>
                <c:pt idx="837">
                  <c:v>2.36999999999991</c:v>
                </c:pt>
                <c:pt idx="838">
                  <c:v>2.3799999999999097</c:v>
                </c:pt>
                <c:pt idx="839">
                  <c:v>2.3899999999999095</c:v>
                </c:pt>
                <c:pt idx="840">
                  <c:v>2.3999999999999093</c:v>
                </c:pt>
                <c:pt idx="841">
                  <c:v>2.4099999999999091</c:v>
                </c:pt>
                <c:pt idx="842">
                  <c:v>2.4199999999999089</c:v>
                </c:pt>
                <c:pt idx="843">
                  <c:v>2.4299999999999087</c:v>
                </c:pt>
                <c:pt idx="844">
                  <c:v>2.4399999999999085</c:v>
                </c:pt>
                <c:pt idx="845">
                  <c:v>2.4499999999999083</c:v>
                </c:pt>
                <c:pt idx="846">
                  <c:v>2.459999999999908</c:v>
                </c:pt>
                <c:pt idx="847">
                  <c:v>2.4699999999999078</c:v>
                </c:pt>
                <c:pt idx="848">
                  <c:v>2.4799999999999076</c:v>
                </c:pt>
                <c:pt idx="849">
                  <c:v>2.4899999999999074</c:v>
                </c:pt>
                <c:pt idx="850">
                  <c:v>2.4999999999999072</c:v>
                </c:pt>
                <c:pt idx="851">
                  <c:v>2.509999999999907</c:v>
                </c:pt>
                <c:pt idx="852">
                  <c:v>2.5199999999999068</c:v>
                </c:pt>
                <c:pt idx="853">
                  <c:v>2.5299999999999065</c:v>
                </c:pt>
                <c:pt idx="854">
                  <c:v>2.5399999999999063</c:v>
                </c:pt>
                <c:pt idx="855">
                  <c:v>2.5499999999999061</c:v>
                </c:pt>
                <c:pt idx="856">
                  <c:v>2.5599999999999059</c:v>
                </c:pt>
                <c:pt idx="857">
                  <c:v>2.5699999999999057</c:v>
                </c:pt>
                <c:pt idx="858">
                  <c:v>2.5799999999999055</c:v>
                </c:pt>
                <c:pt idx="859">
                  <c:v>2.5899999999999053</c:v>
                </c:pt>
                <c:pt idx="860">
                  <c:v>2.5999999999999051</c:v>
                </c:pt>
                <c:pt idx="861">
                  <c:v>2.6099999999999048</c:v>
                </c:pt>
                <c:pt idx="862">
                  <c:v>2.6199999999999046</c:v>
                </c:pt>
                <c:pt idx="863">
                  <c:v>2.6299999999999044</c:v>
                </c:pt>
                <c:pt idx="864">
                  <c:v>2.6399999999999042</c:v>
                </c:pt>
                <c:pt idx="865">
                  <c:v>2.649999999999904</c:v>
                </c:pt>
                <c:pt idx="866">
                  <c:v>2.6599999999999038</c:v>
                </c:pt>
                <c:pt idx="867">
                  <c:v>2.6699999999999036</c:v>
                </c:pt>
                <c:pt idx="868">
                  <c:v>2.6799999999999033</c:v>
                </c:pt>
                <c:pt idx="869">
                  <c:v>2.6899999999999031</c:v>
                </c:pt>
                <c:pt idx="870">
                  <c:v>2.6999999999999029</c:v>
                </c:pt>
                <c:pt idx="871">
                  <c:v>2.7099999999999027</c:v>
                </c:pt>
                <c:pt idx="872">
                  <c:v>2.7199999999999025</c:v>
                </c:pt>
                <c:pt idx="873">
                  <c:v>2.7299999999999023</c:v>
                </c:pt>
                <c:pt idx="874">
                  <c:v>2.7399999999999021</c:v>
                </c:pt>
                <c:pt idx="875">
                  <c:v>2.7499999999999019</c:v>
                </c:pt>
                <c:pt idx="876">
                  <c:v>2.7599999999999016</c:v>
                </c:pt>
                <c:pt idx="877">
                  <c:v>2.7699999999999014</c:v>
                </c:pt>
                <c:pt idx="878">
                  <c:v>2.7799999999999012</c:v>
                </c:pt>
                <c:pt idx="879">
                  <c:v>2.789999999999901</c:v>
                </c:pt>
                <c:pt idx="880">
                  <c:v>2.7999999999999008</c:v>
                </c:pt>
                <c:pt idx="881">
                  <c:v>2.8099999999999006</c:v>
                </c:pt>
                <c:pt idx="882">
                  <c:v>2.8199999999999004</c:v>
                </c:pt>
                <c:pt idx="883">
                  <c:v>2.8299999999999002</c:v>
                </c:pt>
                <c:pt idx="884">
                  <c:v>2.8399999999998999</c:v>
                </c:pt>
                <c:pt idx="885">
                  <c:v>2.8499999999998997</c:v>
                </c:pt>
                <c:pt idx="886">
                  <c:v>2.8599999999998995</c:v>
                </c:pt>
                <c:pt idx="887">
                  <c:v>2.8699999999998993</c:v>
                </c:pt>
                <c:pt idx="888">
                  <c:v>2.8799999999998991</c:v>
                </c:pt>
                <c:pt idx="889">
                  <c:v>2.8899999999998989</c:v>
                </c:pt>
                <c:pt idx="890">
                  <c:v>2.8999999999998987</c:v>
                </c:pt>
                <c:pt idx="891">
                  <c:v>2.9099999999998984</c:v>
                </c:pt>
                <c:pt idx="892">
                  <c:v>2.9199999999998982</c:v>
                </c:pt>
                <c:pt idx="893">
                  <c:v>2.929999999999898</c:v>
                </c:pt>
                <c:pt idx="894">
                  <c:v>2.9399999999998978</c:v>
                </c:pt>
                <c:pt idx="895">
                  <c:v>2.9499999999998976</c:v>
                </c:pt>
                <c:pt idx="896">
                  <c:v>2.9599999999998974</c:v>
                </c:pt>
                <c:pt idx="897">
                  <c:v>2.9699999999998972</c:v>
                </c:pt>
                <c:pt idx="898">
                  <c:v>2.979999999999897</c:v>
                </c:pt>
                <c:pt idx="899">
                  <c:v>2.9899999999998967</c:v>
                </c:pt>
                <c:pt idx="900">
                  <c:v>2.9999999999998965</c:v>
                </c:pt>
                <c:pt idx="901">
                  <c:v>3.0099999999998963</c:v>
                </c:pt>
                <c:pt idx="902">
                  <c:v>3.0199999999998961</c:v>
                </c:pt>
                <c:pt idx="903">
                  <c:v>3.0299999999998959</c:v>
                </c:pt>
                <c:pt idx="904">
                  <c:v>3.0399999999998957</c:v>
                </c:pt>
                <c:pt idx="905">
                  <c:v>3.0499999999998955</c:v>
                </c:pt>
                <c:pt idx="906">
                  <c:v>3.0599999999998952</c:v>
                </c:pt>
                <c:pt idx="907">
                  <c:v>3.069999999999895</c:v>
                </c:pt>
                <c:pt idx="908">
                  <c:v>3.0799999999998948</c:v>
                </c:pt>
                <c:pt idx="909">
                  <c:v>3.0899999999998946</c:v>
                </c:pt>
                <c:pt idx="910">
                  <c:v>3.0999999999998944</c:v>
                </c:pt>
                <c:pt idx="911">
                  <c:v>3.1099999999998942</c:v>
                </c:pt>
                <c:pt idx="912">
                  <c:v>3.119999999999894</c:v>
                </c:pt>
                <c:pt idx="913">
                  <c:v>3.1299999999998938</c:v>
                </c:pt>
                <c:pt idx="914">
                  <c:v>3.1399999999998935</c:v>
                </c:pt>
                <c:pt idx="915">
                  <c:v>3.1499999999998933</c:v>
                </c:pt>
                <c:pt idx="916">
                  <c:v>3.1599999999998931</c:v>
                </c:pt>
                <c:pt idx="917">
                  <c:v>3.1699999999998929</c:v>
                </c:pt>
                <c:pt idx="918">
                  <c:v>3.1799999999998927</c:v>
                </c:pt>
                <c:pt idx="919">
                  <c:v>3.1899999999998925</c:v>
                </c:pt>
                <c:pt idx="920">
                  <c:v>3.1999999999998923</c:v>
                </c:pt>
                <c:pt idx="921">
                  <c:v>3.2099999999998921</c:v>
                </c:pt>
                <c:pt idx="922">
                  <c:v>3.2199999999998918</c:v>
                </c:pt>
                <c:pt idx="923">
                  <c:v>3.2299999999998916</c:v>
                </c:pt>
                <c:pt idx="924">
                  <c:v>3.2399999999998914</c:v>
                </c:pt>
                <c:pt idx="925">
                  <c:v>3.2499999999998912</c:v>
                </c:pt>
                <c:pt idx="926">
                  <c:v>3.259999999999891</c:v>
                </c:pt>
                <c:pt idx="927">
                  <c:v>3.2699999999998908</c:v>
                </c:pt>
                <c:pt idx="928">
                  <c:v>3.2799999999998906</c:v>
                </c:pt>
                <c:pt idx="929">
                  <c:v>3.2899999999998903</c:v>
                </c:pt>
                <c:pt idx="930">
                  <c:v>3.2999999999998901</c:v>
                </c:pt>
                <c:pt idx="931">
                  <c:v>3.3099999999998899</c:v>
                </c:pt>
                <c:pt idx="932">
                  <c:v>3.3199999999998897</c:v>
                </c:pt>
                <c:pt idx="933">
                  <c:v>3.3299999999998895</c:v>
                </c:pt>
                <c:pt idx="934">
                  <c:v>3.3399999999998893</c:v>
                </c:pt>
                <c:pt idx="935">
                  <c:v>3.3499999999998891</c:v>
                </c:pt>
                <c:pt idx="936">
                  <c:v>3.3599999999998889</c:v>
                </c:pt>
                <c:pt idx="937">
                  <c:v>3.3699999999998886</c:v>
                </c:pt>
                <c:pt idx="938">
                  <c:v>3.3799999999998884</c:v>
                </c:pt>
                <c:pt idx="939">
                  <c:v>3.3899999999998882</c:v>
                </c:pt>
                <c:pt idx="940">
                  <c:v>3.399999999999888</c:v>
                </c:pt>
                <c:pt idx="941">
                  <c:v>3.4099999999998878</c:v>
                </c:pt>
                <c:pt idx="942">
                  <c:v>3.4199999999998876</c:v>
                </c:pt>
                <c:pt idx="943">
                  <c:v>3.4299999999998874</c:v>
                </c:pt>
                <c:pt idx="944">
                  <c:v>3.4399999999998871</c:v>
                </c:pt>
                <c:pt idx="945">
                  <c:v>3.4499999999998869</c:v>
                </c:pt>
                <c:pt idx="946">
                  <c:v>3.4599999999998867</c:v>
                </c:pt>
                <c:pt idx="947">
                  <c:v>3.4699999999998865</c:v>
                </c:pt>
                <c:pt idx="948">
                  <c:v>3.4799999999998863</c:v>
                </c:pt>
                <c:pt idx="949">
                  <c:v>3.4899999999998861</c:v>
                </c:pt>
                <c:pt idx="950">
                  <c:v>3.4999999999998859</c:v>
                </c:pt>
                <c:pt idx="951">
                  <c:v>3.5099999999998857</c:v>
                </c:pt>
                <c:pt idx="952">
                  <c:v>3.5199999999998854</c:v>
                </c:pt>
                <c:pt idx="953">
                  <c:v>3.5299999999998852</c:v>
                </c:pt>
                <c:pt idx="954">
                  <c:v>3.539999999999885</c:v>
                </c:pt>
                <c:pt idx="955">
                  <c:v>3.5499999999998848</c:v>
                </c:pt>
                <c:pt idx="956">
                  <c:v>3.5599999999998846</c:v>
                </c:pt>
                <c:pt idx="957">
                  <c:v>3.5699999999998844</c:v>
                </c:pt>
                <c:pt idx="958">
                  <c:v>3.5799999999998842</c:v>
                </c:pt>
                <c:pt idx="959">
                  <c:v>3.589999999999884</c:v>
                </c:pt>
                <c:pt idx="960">
                  <c:v>3.5999999999998837</c:v>
                </c:pt>
                <c:pt idx="961">
                  <c:v>3.6099999999998835</c:v>
                </c:pt>
                <c:pt idx="962">
                  <c:v>3.6199999999998833</c:v>
                </c:pt>
                <c:pt idx="963">
                  <c:v>3.6299999999998831</c:v>
                </c:pt>
                <c:pt idx="964">
                  <c:v>3.6399999999998829</c:v>
                </c:pt>
                <c:pt idx="965">
                  <c:v>3.6499999999998827</c:v>
                </c:pt>
                <c:pt idx="966">
                  <c:v>3.6599999999998825</c:v>
                </c:pt>
                <c:pt idx="967">
                  <c:v>3.6699999999998822</c:v>
                </c:pt>
                <c:pt idx="968">
                  <c:v>3.679999999999882</c:v>
                </c:pt>
                <c:pt idx="969">
                  <c:v>3.6899999999998818</c:v>
                </c:pt>
                <c:pt idx="970">
                  <c:v>3.6999999999998816</c:v>
                </c:pt>
                <c:pt idx="971">
                  <c:v>3.7099999999998814</c:v>
                </c:pt>
                <c:pt idx="972">
                  <c:v>3.7199999999998812</c:v>
                </c:pt>
                <c:pt idx="973">
                  <c:v>3.729999999999881</c:v>
                </c:pt>
                <c:pt idx="974">
                  <c:v>3.7399999999998808</c:v>
                </c:pt>
                <c:pt idx="975">
                  <c:v>3.7499999999998805</c:v>
                </c:pt>
                <c:pt idx="976">
                  <c:v>3.7599999999998803</c:v>
                </c:pt>
                <c:pt idx="977">
                  <c:v>3.7699999999998801</c:v>
                </c:pt>
                <c:pt idx="978">
                  <c:v>3.7799999999998799</c:v>
                </c:pt>
                <c:pt idx="979">
                  <c:v>3.7899999999998797</c:v>
                </c:pt>
                <c:pt idx="980">
                  <c:v>3.7999999999998795</c:v>
                </c:pt>
                <c:pt idx="981">
                  <c:v>3.8099999999998793</c:v>
                </c:pt>
                <c:pt idx="982">
                  <c:v>3.819999999999879</c:v>
                </c:pt>
                <c:pt idx="983">
                  <c:v>3.8299999999998788</c:v>
                </c:pt>
                <c:pt idx="984">
                  <c:v>3.8399999999998786</c:v>
                </c:pt>
                <c:pt idx="985">
                  <c:v>3.8499999999998784</c:v>
                </c:pt>
                <c:pt idx="986">
                  <c:v>3.8599999999998782</c:v>
                </c:pt>
                <c:pt idx="987">
                  <c:v>3.869999999999878</c:v>
                </c:pt>
                <c:pt idx="988">
                  <c:v>3.8799999999998778</c:v>
                </c:pt>
                <c:pt idx="989">
                  <c:v>3.8899999999998776</c:v>
                </c:pt>
                <c:pt idx="990">
                  <c:v>3.8999999999998773</c:v>
                </c:pt>
                <c:pt idx="991">
                  <c:v>3.9099999999998771</c:v>
                </c:pt>
                <c:pt idx="992">
                  <c:v>3.9199999999998769</c:v>
                </c:pt>
                <c:pt idx="993">
                  <c:v>3.9299999999998767</c:v>
                </c:pt>
                <c:pt idx="994">
                  <c:v>3.9399999999998765</c:v>
                </c:pt>
                <c:pt idx="995">
                  <c:v>3.9499999999998763</c:v>
                </c:pt>
                <c:pt idx="996">
                  <c:v>3.9599999999998761</c:v>
                </c:pt>
                <c:pt idx="997">
                  <c:v>3.9699999999998759</c:v>
                </c:pt>
                <c:pt idx="998">
                  <c:v>3.9799999999998756</c:v>
                </c:pt>
                <c:pt idx="999">
                  <c:v>3.9899999999998754</c:v>
                </c:pt>
                <c:pt idx="1000">
                  <c:v>3.9999999999998752</c:v>
                </c:pt>
                <c:pt idx="1001">
                  <c:v>4.0099999999998754</c:v>
                </c:pt>
                <c:pt idx="1002">
                  <c:v>4.0199999999998752</c:v>
                </c:pt>
                <c:pt idx="1003">
                  <c:v>4.029999999999875</c:v>
                </c:pt>
                <c:pt idx="1004">
                  <c:v>4.0399999999998748</c:v>
                </c:pt>
                <c:pt idx="1005">
                  <c:v>4.0499999999998746</c:v>
                </c:pt>
                <c:pt idx="1006">
                  <c:v>4.0599999999998744</c:v>
                </c:pt>
                <c:pt idx="1007">
                  <c:v>4.0699999999998742</c:v>
                </c:pt>
                <c:pt idx="1008">
                  <c:v>4.0799999999998739</c:v>
                </c:pt>
                <c:pt idx="1009">
                  <c:v>4.0899999999998737</c:v>
                </c:pt>
                <c:pt idx="1010">
                  <c:v>4.0999999999998735</c:v>
                </c:pt>
                <c:pt idx="1011">
                  <c:v>4.1099999999998733</c:v>
                </c:pt>
                <c:pt idx="1012">
                  <c:v>4.1199999999998731</c:v>
                </c:pt>
                <c:pt idx="1013">
                  <c:v>4.1299999999998729</c:v>
                </c:pt>
                <c:pt idx="1014">
                  <c:v>4.1399999999998727</c:v>
                </c:pt>
                <c:pt idx="1015">
                  <c:v>4.1499999999998725</c:v>
                </c:pt>
                <c:pt idx="1016">
                  <c:v>4.1599999999998722</c:v>
                </c:pt>
                <c:pt idx="1017">
                  <c:v>4.169999999999872</c:v>
                </c:pt>
                <c:pt idx="1018">
                  <c:v>4.1799999999998718</c:v>
                </c:pt>
                <c:pt idx="1019">
                  <c:v>4.1899999999998716</c:v>
                </c:pt>
                <c:pt idx="1020">
                  <c:v>4.1999999999998714</c:v>
                </c:pt>
                <c:pt idx="1021">
                  <c:v>4.2099999999998712</c:v>
                </c:pt>
                <c:pt idx="1022">
                  <c:v>4.219999999999871</c:v>
                </c:pt>
                <c:pt idx="1023">
                  <c:v>4.2299999999998708</c:v>
                </c:pt>
                <c:pt idx="1024">
                  <c:v>4.2399999999998705</c:v>
                </c:pt>
                <c:pt idx="1025">
                  <c:v>4.2499999999998703</c:v>
                </c:pt>
                <c:pt idx="1026">
                  <c:v>4.2599999999998701</c:v>
                </c:pt>
                <c:pt idx="1027">
                  <c:v>4.2699999999998699</c:v>
                </c:pt>
                <c:pt idx="1028">
                  <c:v>4.2799999999998697</c:v>
                </c:pt>
                <c:pt idx="1029">
                  <c:v>4.2899999999998695</c:v>
                </c:pt>
                <c:pt idx="1030">
                  <c:v>4.2999999999998693</c:v>
                </c:pt>
                <c:pt idx="1031">
                  <c:v>4.309999999999869</c:v>
                </c:pt>
                <c:pt idx="1032">
                  <c:v>4.3199999999998688</c:v>
                </c:pt>
                <c:pt idx="1033">
                  <c:v>4.3299999999998686</c:v>
                </c:pt>
                <c:pt idx="1034">
                  <c:v>4.3399999999998684</c:v>
                </c:pt>
                <c:pt idx="1035">
                  <c:v>4.3499999999998682</c:v>
                </c:pt>
                <c:pt idx="1036">
                  <c:v>4.359999999999868</c:v>
                </c:pt>
                <c:pt idx="1037">
                  <c:v>4.3699999999998678</c:v>
                </c:pt>
                <c:pt idx="1038">
                  <c:v>4.3799999999998676</c:v>
                </c:pt>
                <c:pt idx="1039">
                  <c:v>4.3899999999998673</c:v>
                </c:pt>
                <c:pt idx="1040">
                  <c:v>4.3999999999998671</c:v>
                </c:pt>
                <c:pt idx="1041">
                  <c:v>4.4099999999998669</c:v>
                </c:pt>
                <c:pt idx="1042">
                  <c:v>4.4199999999998667</c:v>
                </c:pt>
                <c:pt idx="1043">
                  <c:v>4.4299999999998665</c:v>
                </c:pt>
                <c:pt idx="1044">
                  <c:v>4.4399999999998663</c:v>
                </c:pt>
                <c:pt idx="1045">
                  <c:v>4.4499999999998661</c:v>
                </c:pt>
                <c:pt idx="1046">
                  <c:v>4.4599999999998658</c:v>
                </c:pt>
                <c:pt idx="1047">
                  <c:v>4.4699999999998656</c:v>
                </c:pt>
                <c:pt idx="1048">
                  <c:v>4.4799999999998654</c:v>
                </c:pt>
                <c:pt idx="1049">
                  <c:v>4.4899999999998652</c:v>
                </c:pt>
                <c:pt idx="1050">
                  <c:v>4.499999999999865</c:v>
                </c:pt>
                <c:pt idx="1051">
                  <c:v>4.5099999999998648</c:v>
                </c:pt>
                <c:pt idx="1052">
                  <c:v>4.5199999999998646</c:v>
                </c:pt>
                <c:pt idx="1053">
                  <c:v>4.5299999999998644</c:v>
                </c:pt>
                <c:pt idx="1054">
                  <c:v>4.5399999999998641</c:v>
                </c:pt>
                <c:pt idx="1055">
                  <c:v>4.5499999999998639</c:v>
                </c:pt>
                <c:pt idx="1056">
                  <c:v>4.5599999999998637</c:v>
                </c:pt>
                <c:pt idx="1057">
                  <c:v>4.5699999999998635</c:v>
                </c:pt>
                <c:pt idx="1058">
                  <c:v>4.5799999999998633</c:v>
                </c:pt>
                <c:pt idx="1059">
                  <c:v>4.5899999999998631</c:v>
                </c:pt>
                <c:pt idx="1060">
                  <c:v>4.5999999999998629</c:v>
                </c:pt>
                <c:pt idx="1061">
                  <c:v>4.6099999999998627</c:v>
                </c:pt>
                <c:pt idx="1062">
                  <c:v>4.6199999999998624</c:v>
                </c:pt>
                <c:pt idx="1063">
                  <c:v>4.6299999999998622</c:v>
                </c:pt>
                <c:pt idx="1064">
                  <c:v>4.639999999999862</c:v>
                </c:pt>
                <c:pt idx="1065">
                  <c:v>4.6499999999998618</c:v>
                </c:pt>
                <c:pt idx="1066">
                  <c:v>4.6599999999998616</c:v>
                </c:pt>
                <c:pt idx="1067">
                  <c:v>4.6699999999998614</c:v>
                </c:pt>
                <c:pt idx="1068">
                  <c:v>4.6799999999998612</c:v>
                </c:pt>
                <c:pt idx="1069">
                  <c:v>4.6899999999998609</c:v>
                </c:pt>
                <c:pt idx="1070">
                  <c:v>4.6999999999998607</c:v>
                </c:pt>
                <c:pt idx="1071">
                  <c:v>4.7099999999998605</c:v>
                </c:pt>
                <c:pt idx="1072">
                  <c:v>4.7199999999998603</c:v>
                </c:pt>
                <c:pt idx="1073">
                  <c:v>4.7299999999998601</c:v>
                </c:pt>
                <c:pt idx="1074">
                  <c:v>4.7399999999998599</c:v>
                </c:pt>
                <c:pt idx="1075">
                  <c:v>4.7499999999998597</c:v>
                </c:pt>
                <c:pt idx="1076">
                  <c:v>4.7599999999998595</c:v>
                </c:pt>
                <c:pt idx="1077">
                  <c:v>4.7699999999998592</c:v>
                </c:pt>
                <c:pt idx="1078">
                  <c:v>4.779999999999859</c:v>
                </c:pt>
                <c:pt idx="1079">
                  <c:v>4.7899999999998588</c:v>
                </c:pt>
                <c:pt idx="1080">
                  <c:v>4.7999999999998586</c:v>
                </c:pt>
                <c:pt idx="1081">
                  <c:v>4.8099999999998584</c:v>
                </c:pt>
                <c:pt idx="1082">
                  <c:v>4.8199999999998582</c:v>
                </c:pt>
                <c:pt idx="1083">
                  <c:v>4.829999999999858</c:v>
                </c:pt>
                <c:pt idx="1084">
                  <c:v>4.8399999999998577</c:v>
                </c:pt>
                <c:pt idx="1085">
                  <c:v>4.8499999999998575</c:v>
                </c:pt>
                <c:pt idx="1086">
                  <c:v>4.8599999999998573</c:v>
                </c:pt>
                <c:pt idx="1087">
                  <c:v>4.8699999999998571</c:v>
                </c:pt>
                <c:pt idx="1088">
                  <c:v>4.8799999999998569</c:v>
                </c:pt>
                <c:pt idx="1089">
                  <c:v>4.8899999999998567</c:v>
                </c:pt>
                <c:pt idx="1090">
                  <c:v>4.8999999999998565</c:v>
                </c:pt>
                <c:pt idx="1091">
                  <c:v>4.9099999999998563</c:v>
                </c:pt>
                <c:pt idx="1092">
                  <c:v>4.919999999999856</c:v>
                </c:pt>
                <c:pt idx="1093">
                  <c:v>4.9299999999998558</c:v>
                </c:pt>
                <c:pt idx="1094">
                  <c:v>4.9399999999998556</c:v>
                </c:pt>
                <c:pt idx="1095">
                  <c:v>4.9499999999998554</c:v>
                </c:pt>
                <c:pt idx="1096">
                  <c:v>4.9599999999998552</c:v>
                </c:pt>
                <c:pt idx="1097">
                  <c:v>4.969999999999855</c:v>
                </c:pt>
                <c:pt idx="1098">
                  <c:v>4.9799999999998548</c:v>
                </c:pt>
                <c:pt idx="1099">
                  <c:v>4.9899999999998546</c:v>
                </c:pt>
                <c:pt idx="1100">
                  <c:v>4.9999999999998543</c:v>
                </c:pt>
                <c:pt idx="1101">
                  <c:v>5.0099999999998541</c:v>
                </c:pt>
                <c:pt idx="1102">
                  <c:v>5.0199999999998539</c:v>
                </c:pt>
                <c:pt idx="1103">
                  <c:v>5.0299999999998537</c:v>
                </c:pt>
                <c:pt idx="1104">
                  <c:v>5.0399999999998535</c:v>
                </c:pt>
                <c:pt idx="1105">
                  <c:v>5.0499999999998533</c:v>
                </c:pt>
                <c:pt idx="1106">
                  <c:v>5.0599999999998531</c:v>
                </c:pt>
                <c:pt idx="1107">
                  <c:v>5.0699999999998528</c:v>
                </c:pt>
                <c:pt idx="1108">
                  <c:v>5.0799999999998526</c:v>
                </c:pt>
                <c:pt idx="1109">
                  <c:v>5.0899999999998524</c:v>
                </c:pt>
                <c:pt idx="1110">
                  <c:v>5.0999999999998522</c:v>
                </c:pt>
                <c:pt idx="1111">
                  <c:v>5.109999999999852</c:v>
                </c:pt>
                <c:pt idx="1112">
                  <c:v>5.1199999999998518</c:v>
                </c:pt>
                <c:pt idx="1113">
                  <c:v>5.1299999999998516</c:v>
                </c:pt>
                <c:pt idx="1114">
                  <c:v>5.1399999999998514</c:v>
                </c:pt>
                <c:pt idx="1115">
                  <c:v>5.1499999999998511</c:v>
                </c:pt>
                <c:pt idx="1116">
                  <c:v>5.1599999999998509</c:v>
                </c:pt>
                <c:pt idx="1117">
                  <c:v>5.1699999999998507</c:v>
                </c:pt>
                <c:pt idx="1118">
                  <c:v>5.1799999999998505</c:v>
                </c:pt>
                <c:pt idx="1119">
                  <c:v>5.1899999999998503</c:v>
                </c:pt>
                <c:pt idx="1120">
                  <c:v>5.1999999999998501</c:v>
                </c:pt>
                <c:pt idx="1121">
                  <c:v>5.2099999999998499</c:v>
                </c:pt>
                <c:pt idx="1122">
                  <c:v>5.2199999999998496</c:v>
                </c:pt>
                <c:pt idx="1123">
                  <c:v>5.2299999999998494</c:v>
                </c:pt>
                <c:pt idx="1124">
                  <c:v>5.2399999999998492</c:v>
                </c:pt>
                <c:pt idx="1125">
                  <c:v>5.249999999999849</c:v>
                </c:pt>
                <c:pt idx="1126">
                  <c:v>5.2599999999998488</c:v>
                </c:pt>
                <c:pt idx="1127">
                  <c:v>5.2699999999998486</c:v>
                </c:pt>
                <c:pt idx="1128">
                  <c:v>5.2799999999998484</c:v>
                </c:pt>
                <c:pt idx="1129">
                  <c:v>5.2899999999998482</c:v>
                </c:pt>
                <c:pt idx="1130">
                  <c:v>5.2999999999998479</c:v>
                </c:pt>
                <c:pt idx="1131">
                  <c:v>5.3099999999998477</c:v>
                </c:pt>
                <c:pt idx="1132">
                  <c:v>5.3199999999998475</c:v>
                </c:pt>
                <c:pt idx="1133">
                  <c:v>5.3299999999998473</c:v>
                </c:pt>
                <c:pt idx="1134">
                  <c:v>5.3399999999998471</c:v>
                </c:pt>
                <c:pt idx="1135">
                  <c:v>5.3499999999998469</c:v>
                </c:pt>
                <c:pt idx="1136">
                  <c:v>5.3599999999998467</c:v>
                </c:pt>
                <c:pt idx="1137">
                  <c:v>5.3699999999998465</c:v>
                </c:pt>
                <c:pt idx="1138">
                  <c:v>5.3799999999998462</c:v>
                </c:pt>
                <c:pt idx="1139">
                  <c:v>5.389999999999846</c:v>
                </c:pt>
                <c:pt idx="1140">
                  <c:v>5.3999999999998458</c:v>
                </c:pt>
                <c:pt idx="1141">
                  <c:v>5.4099999999998456</c:v>
                </c:pt>
                <c:pt idx="1142">
                  <c:v>5.4199999999998454</c:v>
                </c:pt>
                <c:pt idx="1143">
                  <c:v>5.4299999999998452</c:v>
                </c:pt>
                <c:pt idx="1144">
                  <c:v>5.439999999999845</c:v>
                </c:pt>
                <c:pt idx="1145">
                  <c:v>5.4499999999998447</c:v>
                </c:pt>
                <c:pt idx="1146">
                  <c:v>5.4599999999998445</c:v>
                </c:pt>
                <c:pt idx="1147">
                  <c:v>5.4699999999998443</c:v>
                </c:pt>
                <c:pt idx="1148">
                  <c:v>5.4799999999998441</c:v>
                </c:pt>
                <c:pt idx="1149">
                  <c:v>5.4899999999998439</c:v>
                </c:pt>
                <c:pt idx="1150">
                  <c:v>5.4999999999998437</c:v>
                </c:pt>
                <c:pt idx="1151">
                  <c:v>5.5099999999998435</c:v>
                </c:pt>
                <c:pt idx="1152">
                  <c:v>5.5199999999998433</c:v>
                </c:pt>
                <c:pt idx="1153">
                  <c:v>5.529999999999843</c:v>
                </c:pt>
                <c:pt idx="1154">
                  <c:v>5.5399999999998428</c:v>
                </c:pt>
                <c:pt idx="1155">
                  <c:v>5.5499999999998426</c:v>
                </c:pt>
                <c:pt idx="1156">
                  <c:v>5.5599999999998424</c:v>
                </c:pt>
                <c:pt idx="1157">
                  <c:v>5.5699999999998422</c:v>
                </c:pt>
                <c:pt idx="1158">
                  <c:v>5.579999999999842</c:v>
                </c:pt>
                <c:pt idx="1159">
                  <c:v>5.5899999999998418</c:v>
                </c:pt>
                <c:pt idx="1160">
                  <c:v>5.5999999999998415</c:v>
                </c:pt>
                <c:pt idx="1161">
                  <c:v>5.6099999999998413</c:v>
                </c:pt>
                <c:pt idx="1162">
                  <c:v>5.6199999999998411</c:v>
                </c:pt>
                <c:pt idx="1163">
                  <c:v>5.6299999999998409</c:v>
                </c:pt>
                <c:pt idx="1164">
                  <c:v>5.6399999999998407</c:v>
                </c:pt>
                <c:pt idx="1165">
                  <c:v>5.6499999999998405</c:v>
                </c:pt>
                <c:pt idx="1166">
                  <c:v>5.6599999999998403</c:v>
                </c:pt>
                <c:pt idx="1167">
                  <c:v>5.6699999999998401</c:v>
                </c:pt>
                <c:pt idx="1168">
                  <c:v>5.6799999999998398</c:v>
                </c:pt>
                <c:pt idx="1169">
                  <c:v>5.6899999999998396</c:v>
                </c:pt>
                <c:pt idx="1170">
                  <c:v>5.6999999999998394</c:v>
                </c:pt>
                <c:pt idx="1171">
                  <c:v>5.7099999999998392</c:v>
                </c:pt>
                <c:pt idx="1172">
                  <c:v>5.719999999999839</c:v>
                </c:pt>
                <c:pt idx="1173">
                  <c:v>5.7299999999998388</c:v>
                </c:pt>
                <c:pt idx="1174">
                  <c:v>5.7399999999998386</c:v>
                </c:pt>
                <c:pt idx="1175">
                  <c:v>5.7499999999998384</c:v>
                </c:pt>
                <c:pt idx="1176">
                  <c:v>5.7599999999998381</c:v>
                </c:pt>
                <c:pt idx="1177">
                  <c:v>5.7699999999998379</c:v>
                </c:pt>
                <c:pt idx="1178">
                  <c:v>5.7799999999998377</c:v>
                </c:pt>
                <c:pt idx="1179">
                  <c:v>5.7899999999998375</c:v>
                </c:pt>
                <c:pt idx="1180">
                  <c:v>5.7999999999998373</c:v>
                </c:pt>
                <c:pt idx="1181">
                  <c:v>5.8099999999998371</c:v>
                </c:pt>
                <c:pt idx="1182">
                  <c:v>5.8199999999998369</c:v>
                </c:pt>
                <c:pt idx="1183">
                  <c:v>5.8299999999998366</c:v>
                </c:pt>
                <c:pt idx="1184">
                  <c:v>5.8399999999998364</c:v>
                </c:pt>
                <c:pt idx="1185">
                  <c:v>5.8499999999998362</c:v>
                </c:pt>
                <c:pt idx="1186">
                  <c:v>5.859999999999836</c:v>
                </c:pt>
                <c:pt idx="1187">
                  <c:v>5.8699999999998358</c:v>
                </c:pt>
                <c:pt idx="1188">
                  <c:v>5.8799999999998356</c:v>
                </c:pt>
                <c:pt idx="1189">
                  <c:v>5.8899999999998354</c:v>
                </c:pt>
                <c:pt idx="1190">
                  <c:v>5.8999999999998352</c:v>
                </c:pt>
                <c:pt idx="1191">
                  <c:v>5.9099999999998349</c:v>
                </c:pt>
                <c:pt idx="1192">
                  <c:v>5.9199999999998347</c:v>
                </c:pt>
                <c:pt idx="1193">
                  <c:v>5.9299999999998345</c:v>
                </c:pt>
                <c:pt idx="1194">
                  <c:v>5.9399999999998343</c:v>
                </c:pt>
                <c:pt idx="1195">
                  <c:v>5.9499999999998341</c:v>
                </c:pt>
                <c:pt idx="1196">
                  <c:v>5.9599999999998339</c:v>
                </c:pt>
                <c:pt idx="1197">
                  <c:v>5.9699999999998337</c:v>
                </c:pt>
                <c:pt idx="1198">
                  <c:v>5.9799999999998334</c:v>
                </c:pt>
                <c:pt idx="1199">
                  <c:v>5.9899999999998332</c:v>
                </c:pt>
                <c:pt idx="1200">
                  <c:v>5.999999999999833</c:v>
                </c:pt>
              </c:numCache>
            </c:numRef>
          </c:xVal>
          <c:yVal>
            <c:numRef>
              <c:f>'Normal and t'!$BH$21:$BH$1221</c:f>
              <c:numCache>
                <c:formatCode>General</c:formatCode>
                <c:ptCount val="1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numCache>
            </c:numRef>
          </c:yVal>
        </c:ser>
        <c:ser>
          <c:idx val="9"/>
          <c:order val="10"/>
          <c:tx>
            <c:v/>
          </c:tx>
          <c:spPr>
            <a:ln w="25400">
              <a:solidFill>
                <a:srgbClr val="0000FF"/>
              </a:solidFill>
              <a:prstDash val="solid"/>
            </a:ln>
          </c:spPr>
          <c:marker>
            <c:symbol val="none"/>
          </c:marker>
          <c:xVal>
            <c:numRef>
              <c:f>'Normal and t'!$BA$21:$BA$1221</c:f>
              <c:numCache>
                <c:formatCode>General</c:formatCode>
                <c:ptCount val="1201"/>
                <c:pt idx="0">
                  <c:v>-6</c:v>
                </c:pt>
                <c:pt idx="1">
                  <c:v>-5.99</c:v>
                </c:pt>
                <c:pt idx="2">
                  <c:v>-5.98</c:v>
                </c:pt>
                <c:pt idx="3">
                  <c:v>-5.9700000000000006</c:v>
                </c:pt>
                <c:pt idx="4">
                  <c:v>-5.9600000000000009</c:v>
                </c:pt>
                <c:pt idx="5">
                  <c:v>-5.9500000000000011</c:v>
                </c:pt>
                <c:pt idx="6">
                  <c:v>-5.9400000000000013</c:v>
                </c:pt>
                <c:pt idx="7">
                  <c:v>-5.9300000000000015</c:v>
                </c:pt>
                <c:pt idx="8">
                  <c:v>-5.9200000000000017</c:v>
                </c:pt>
                <c:pt idx="9">
                  <c:v>-5.9100000000000019</c:v>
                </c:pt>
                <c:pt idx="10">
                  <c:v>-5.9000000000000021</c:v>
                </c:pt>
                <c:pt idx="11">
                  <c:v>-5.8900000000000023</c:v>
                </c:pt>
                <c:pt idx="12">
                  <c:v>-5.8800000000000026</c:v>
                </c:pt>
                <c:pt idx="13">
                  <c:v>-5.8700000000000028</c:v>
                </c:pt>
                <c:pt idx="14">
                  <c:v>-5.860000000000003</c:v>
                </c:pt>
                <c:pt idx="15">
                  <c:v>-5.8500000000000032</c:v>
                </c:pt>
                <c:pt idx="16">
                  <c:v>-5.8400000000000034</c:v>
                </c:pt>
                <c:pt idx="17">
                  <c:v>-5.8300000000000036</c:v>
                </c:pt>
                <c:pt idx="18">
                  <c:v>-5.8200000000000038</c:v>
                </c:pt>
                <c:pt idx="19">
                  <c:v>-5.8100000000000041</c:v>
                </c:pt>
                <c:pt idx="20">
                  <c:v>-5.8000000000000043</c:v>
                </c:pt>
                <c:pt idx="21">
                  <c:v>-5.7900000000000045</c:v>
                </c:pt>
                <c:pt idx="22">
                  <c:v>-5.7800000000000047</c:v>
                </c:pt>
                <c:pt idx="23">
                  <c:v>-5.7700000000000049</c:v>
                </c:pt>
                <c:pt idx="24">
                  <c:v>-5.7600000000000051</c:v>
                </c:pt>
                <c:pt idx="25">
                  <c:v>-5.7500000000000053</c:v>
                </c:pt>
                <c:pt idx="26">
                  <c:v>-5.7400000000000055</c:v>
                </c:pt>
                <c:pt idx="27">
                  <c:v>-5.7300000000000058</c:v>
                </c:pt>
                <c:pt idx="28">
                  <c:v>-5.720000000000006</c:v>
                </c:pt>
                <c:pt idx="29">
                  <c:v>-5.7100000000000062</c:v>
                </c:pt>
                <c:pt idx="30">
                  <c:v>-5.7000000000000064</c:v>
                </c:pt>
                <c:pt idx="31">
                  <c:v>-5.6900000000000066</c:v>
                </c:pt>
                <c:pt idx="32">
                  <c:v>-5.6800000000000068</c:v>
                </c:pt>
                <c:pt idx="33">
                  <c:v>-5.670000000000007</c:v>
                </c:pt>
                <c:pt idx="34">
                  <c:v>-5.6600000000000072</c:v>
                </c:pt>
                <c:pt idx="35">
                  <c:v>-5.6500000000000075</c:v>
                </c:pt>
                <c:pt idx="36">
                  <c:v>-5.6400000000000077</c:v>
                </c:pt>
                <c:pt idx="37">
                  <c:v>-5.6300000000000079</c:v>
                </c:pt>
                <c:pt idx="38">
                  <c:v>-5.6200000000000081</c:v>
                </c:pt>
                <c:pt idx="39">
                  <c:v>-5.6100000000000083</c:v>
                </c:pt>
                <c:pt idx="40">
                  <c:v>-5.6000000000000085</c:v>
                </c:pt>
                <c:pt idx="41">
                  <c:v>-5.5900000000000087</c:v>
                </c:pt>
                <c:pt idx="42">
                  <c:v>-5.580000000000009</c:v>
                </c:pt>
                <c:pt idx="43">
                  <c:v>-5.5700000000000092</c:v>
                </c:pt>
                <c:pt idx="44">
                  <c:v>-5.5600000000000094</c:v>
                </c:pt>
                <c:pt idx="45">
                  <c:v>-5.5500000000000096</c:v>
                </c:pt>
                <c:pt idx="46">
                  <c:v>-5.5400000000000098</c:v>
                </c:pt>
                <c:pt idx="47">
                  <c:v>-5.53000000000001</c:v>
                </c:pt>
                <c:pt idx="48">
                  <c:v>-5.5200000000000102</c:v>
                </c:pt>
                <c:pt idx="49">
                  <c:v>-5.5100000000000104</c:v>
                </c:pt>
                <c:pt idx="50">
                  <c:v>-5.5000000000000107</c:v>
                </c:pt>
                <c:pt idx="51">
                  <c:v>-5.4900000000000109</c:v>
                </c:pt>
                <c:pt idx="52">
                  <c:v>-5.4800000000000111</c:v>
                </c:pt>
                <c:pt idx="53">
                  <c:v>-5.4700000000000113</c:v>
                </c:pt>
                <c:pt idx="54">
                  <c:v>-5.4600000000000115</c:v>
                </c:pt>
                <c:pt idx="55">
                  <c:v>-5.4500000000000117</c:v>
                </c:pt>
                <c:pt idx="56">
                  <c:v>-5.4400000000000119</c:v>
                </c:pt>
                <c:pt idx="57">
                  <c:v>-5.4300000000000122</c:v>
                </c:pt>
                <c:pt idx="58">
                  <c:v>-5.4200000000000124</c:v>
                </c:pt>
                <c:pt idx="59">
                  <c:v>-5.4100000000000126</c:v>
                </c:pt>
                <c:pt idx="60">
                  <c:v>-5.4000000000000128</c:v>
                </c:pt>
                <c:pt idx="61">
                  <c:v>-5.390000000000013</c:v>
                </c:pt>
                <c:pt idx="62">
                  <c:v>-5.3800000000000132</c:v>
                </c:pt>
                <c:pt idx="63">
                  <c:v>-5.3700000000000134</c:v>
                </c:pt>
                <c:pt idx="64">
                  <c:v>-5.3600000000000136</c:v>
                </c:pt>
                <c:pt idx="65">
                  <c:v>-5.3500000000000139</c:v>
                </c:pt>
                <c:pt idx="66">
                  <c:v>-5.3400000000000141</c:v>
                </c:pt>
                <c:pt idx="67">
                  <c:v>-5.3300000000000143</c:v>
                </c:pt>
                <c:pt idx="68">
                  <c:v>-5.3200000000000145</c:v>
                </c:pt>
                <c:pt idx="69">
                  <c:v>-5.3100000000000147</c:v>
                </c:pt>
                <c:pt idx="70">
                  <c:v>-5.3000000000000149</c:v>
                </c:pt>
                <c:pt idx="71">
                  <c:v>-5.2900000000000151</c:v>
                </c:pt>
                <c:pt idx="72">
                  <c:v>-5.2800000000000153</c:v>
                </c:pt>
                <c:pt idx="73">
                  <c:v>-5.2700000000000156</c:v>
                </c:pt>
                <c:pt idx="74">
                  <c:v>-5.2600000000000158</c:v>
                </c:pt>
                <c:pt idx="75">
                  <c:v>-5.250000000000016</c:v>
                </c:pt>
                <c:pt idx="76">
                  <c:v>-5.2400000000000162</c:v>
                </c:pt>
                <c:pt idx="77">
                  <c:v>-5.2300000000000164</c:v>
                </c:pt>
                <c:pt idx="78">
                  <c:v>-5.2200000000000166</c:v>
                </c:pt>
                <c:pt idx="79">
                  <c:v>-5.2100000000000168</c:v>
                </c:pt>
                <c:pt idx="80">
                  <c:v>-5.2000000000000171</c:v>
                </c:pt>
                <c:pt idx="81">
                  <c:v>-5.1900000000000173</c:v>
                </c:pt>
                <c:pt idx="82">
                  <c:v>-5.1800000000000175</c:v>
                </c:pt>
                <c:pt idx="83">
                  <c:v>-5.1700000000000177</c:v>
                </c:pt>
                <c:pt idx="84">
                  <c:v>-5.1600000000000179</c:v>
                </c:pt>
                <c:pt idx="85">
                  <c:v>-5.1500000000000181</c:v>
                </c:pt>
                <c:pt idx="86">
                  <c:v>-5.1400000000000183</c:v>
                </c:pt>
                <c:pt idx="87">
                  <c:v>-5.1300000000000185</c:v>
                </c:pt>
                <c:pt idx="88">
                  <c:v>-5.1200000000000188</c:v>
                </c:pt>
                <c:pt idx="89">
                  <c:v>-5.110000000000019</c:v>
                </c:pt>
                <c:pt idx="90">
                  <c:v>-5.1000000000000192</c:v>
                </c:pt>
                <c:pt idx="91">
                  <c:v>-5.0900000000000194</c:v>
                </c:pt>
                <c:pt idx="92">
                  <c:v>-5.0800000000000196</c:v>
                </c:pt>
                <c:pt idx="93">
                  <c:v>-5.0700000000000198</c:v>
                </c:pt>
                <c:pt idx="94">
                  <c:v>-5.06000000000002</c:v>
                </c:pt>
                <c:pt idx="95">
                  <c:v>-5.0500000000000203</c:v>
                </c:pt>
                <c:pt idx="96">
                  <c:v>-5.0400000000000205</c:v>
                </c:pt>
                <c:pt idx="97">
                  <c:v>-5.0300000000000207</c:v>
                </c:pt>
                <c:pt idx="98">
                  <c:v>-5.0200000000000209</c:v>
                </c:pt>
                <c:pt idx="99">
                  <c:v>-5.0100000000000211</c:v>
                </c:pt>
                <c:pt idx="100">
                  <c:v>-5.0000000000000213</c:v>
                </c:pt>
                <c:pt idx="101">
                  <c:v>-4.9900000000000215</c:v>
                </c:pt>
                <c:pt idx="102">
                  <c:v>-4.9800000000000217</c:v>
                </c:pt>
                <c:pt idx="103">
                  <c:v>-4.970000000000022</c:v>
                </c:pt>
                <c:pt idx="104">
                  <c:v>-4.9600000000000222</c:v>
                </c:pt>
                <c:pt idx="105">
                  <c:v>-4.9500000000000224</c:v>
                </c:pt>
                <c:pt idx="106">
                  <c:v>-4.9400000000000226</c:v>
                </c:pt>
                <c:pt idx="107">
                  <c:v>-4.9300000000000228</c:v>
                </c:pt>
                <c:pt idx="108">
                  <c:v>-4.920000000000023</c:v>
                </c:pt>
                <c:pt idx="109">
                  <c:v>-4.9100000000000232</c:v>
                </c:pt>
                <c:pt idx="110">
                  <c:v>-4.9000000000000234</c:v>
                </c:pt>
                <c:pt idx="111">
                  <c:v>-4.8900000000000237</c:v>
                </c:pt>
                <c:pt idx="112">
                  <c:v>-4.8800000000000239</c:v>
                </c:pt>
                <c:pt idx="113">
                  <c:v>-4.8700000000000241</c:v>
                </c:pt>
                <c:pt idx="114">
                  <c:v>-4.8600000000000243</c:v>
                </c:pt>
                <c:pt idx="115">
                  <c:v>-4.8500000000000245</c:v>
                </c:pt>
                <c:pt idx="116">
                  <c:v>-4.8400000000000247</c:v>
                </c:pt>
                <c:pt idx="117">
                  <c:v>-4.8300000000000249</c:v>
                </c:pt>
                <c:pt idx="118">
                  <c:v>-4.8200000000000252</c:v>
                </c:pt>
                <c:pt idx="119">
                  <c:v>-4.8100000000000254</c:v>
                </c:pt>
                <c:pt idx="120">
                  <c:v>-4.8000000000000256</c:v>
                </c:pt>
                <c:pt idx="121">
                  <c:v>-4.7900000000000258</c:v>
                </c:pt>
                <c:pt idx="122">
                  <c:v>-4.780000000000026</c:v>
                </c:pt>
                <c:pt idx="123">
                  <c:v>-4.7700000000000262</c:v>
                </c:pt>
                <c:pt idx="124">
                  <c:v>-4.7600000000000264</c:v>
                </c:pt>
                <c:pt idx="125">
                  <c:v>-4.7500000000000266</c:v>
                </c:pt>
                <c:pt idx="126">
                  <c:v>-4.7400000000000269</c:v>
                </c:pt>
                <c:pt idx="127">
                  <c:v>-4.7300000000000271</c:v>
                </c:pt>
                <c:pt idx="128">
                  <c:v>-4.7200000000000273</c:v>
                </c:pt>
                <c:pt idx="129">
                  <c:v>-4.7100000000000275</c:v>
                </c:pt>
                <c:pt idx="130">
                  <c:v>-4.7000000000000277</c:v>
                </c:pt>
                <c:pt idx="131">
                  <c:v>-4.6900000000000279</c:v>
                </c:pt>
                <c:pt idx="132">
                  <c:v>-4.6800000000000281</c:v>
                </c:pt>
                <c:pt idx="133">
                  <c:v>-4.6700000000000284</c:v>
                </c:pt>
                <c:pt idx="134">
                  <c:v>-4.6600000000000286</c:v>
                </c:pt>
                <c:pt idx="135">
                  <c:v>-4.6500000000000288</c:v>
                </c:pt>
                <c:pt idx="136">
                  <c:v>-4.640000000000029</c:v>
                </c:pt>
                <c:pt idx="137">
                  <c:v>-4.6300000000000292</c:v>
                </c:pt>
                <c:pt idx="138">
                  <c:v>-4.6200000000000294</c:v>
                </c:pt>
                <c:pt idx="139">
                  <c:v>-4.6100000000000296</c:v>
                </c:pt>
                <c:pt idx="140">
                  <c:v>-4.6000000000000298</c:v>
                </c:pt>
                <c:pt idx="141">
                  <c:v>-4.5900000000000301</c:v>
                </c:pt>
                <c:pt idx="142">
                  <c:v>-4.5800000000000303</c:v>
                </c:pt>
                <c:pt idx="143">
                  <c:v>-4.5700000000000305</c:v>
                </c:pt>
                <c:pt idx="144">
                  <c:v>-4.5600000000000307</c:v>
                </c:pt>
                <c:pt idx="145">
                  <c:v>-4.5500000000000309</c:v>
                </c:pt>
                <c:pt idx="146">
                  <c:v>-4.5400000000000311</c:v>
                </c:pt>
                <c:pt idx="147">
                  <c:v>-4.5300000000000313</c:v>
                </c:pt>
                <c:pt idx="148">
                  <c:v>-4.5200000000000315</c:v>
                </c:pt>
                <c:pt idx="149">
                  <c:v>-4.5100000000000318</c:v>
                </c:pt>
                <c:pt idx="150">
                  <c:v>-4.500000000000032</c:v>
                </c:pt>
                <c:pt idx="151">
                  <c:v>-4.4900000000000322</c:v>
                </c:pt>
                <c:pt idx="152">
                  <c:v>-4.4800000000000324</c:v>
                </c:pt>
                <c:pt idx="153">
                  <c:v>-4.4700000000000326</c:v>
                </c:pt>
                <c:pt idx="154">
                  <c:v>-4.4600000000000328</c:v>
                </c:pt>
                <c:pt idx="155">
                  <c:v>-4.450000000000033</c:v>
                </c:pt>
                <c:pt idx="156">
                  <c:v>-4.4400000000000333</c:v>
                </c:pt>
                <c:pt idx="157">
                  <c:v>-4.4300000000000335</c:v>
                </c:pt>
                <c:pt idx="158">
                  <c:v>-4.4200000000000337</c:v>
                </c:pt>
                <c:pt idx="159">
                  <c:v>-4.4100000000000339</c:v>
                </c:pt>
                <c:pt idx="160">
                  <c:v>-4.4000000000000341</c:v>
                </c:pt>
                <c:pt idx="161">
                  <c:v>-4.3900000000000343</c:v>
                </c:pt>
                <c:pt idx="162">
                  <c:v>-4.3800000000000345</c:v>
                </c:pt>
                <c:pt idx="163">
                  <c:v>-4.3700000000000347</c:v>
                </c:pt>
                <c:pt idx="164">
                  <c:v>-4.360000000000035</c:v>
                </c:pt>
                <c:pt idx="165">
                  <c:v>-4.3500000000000352</c:v>
                </c:pt>
                <c:pt idx="166">
                  <c:v>-4.3400000000000354</c:v>
                </c:pt>
                <c:pt idx="167">
                  <c:v>-4.3300000000000356</c:v>
                </c:pt>
                <c:pt idx="168">
                  <c:v>-4.3200000000000358</c:v>
                </c:pt>
                <c:pt idx="169">
                  <c:v>-4.310000000000036</c:v>
                </c:pt>
                <c:pt idx="170">
                  <c:v>-4.3000000000000362</c:v>
                </c:pt>
                <c:pt idx="171">
                  <c:v>-4.2900000000000365</c:v>
                </c:pt>
                <c:pt idx="172">
                  <c:v>-4.2800000000000367</c:v>
                </c:pt>
                <c:pt idx="173">
                  <c:v>-4.2700000000000369</c:v>
                </c:pt>
                <c:pt idx="174">
                  <c:v>-4.2600000000000371</c:v>
                </c:pt>
                <c:pt idx="175">
                  <c:v>-4.2500000000000373</c:v>
                </c:pt>
                <c:pt idx="176">
                  <c:v>-4.2400000000000375</c:v>
                </c:pt>
                <c:pt idx="177">
                  <c:v>-4.2300000000000377</c:v>
                </c:pt>
                <c:pt idx="178">
                  <c:v>-4.2200000000000379</c:v>
                </c:pt>
                <c:pt idx="179">
                  <c:v>-4.2100000000000382</c:v>
                </c:pt>
                <c:pt idx="180">
                  <c:v>-4.2000000000000384</c:v>
                </c:pt>
                <c:pt idx="181">
                  <c:v>-4.1900000000000386</c:v>
                </c:pt>
                <c:pt idx="182">
                  <c:v>-4.1800000000000388</c:v>
                </c:pt>
                <c:pt idx="183">
                  <c:v>-4.170000000000039</c:v>
                </c:pt>
                <c:pt idx="184">
                  <c:v>-4.1600000000000392</c:v>
                </c:pt>
                <c:pt idx="185">
                  <c:v>-4.1500000000000394</c:v>
                </c:pt>
                <c:pt idx="186">
                  <c:v>-4.1400000000000396</c:v>
                </c:pt>
                <c:pt idx="187">
                  <c:v>-4.1300000000000399</c:v>
                </c:pt>
                <c:pt idx="188">
                  <c:v>-4.1200000000000401</c:v>
                </c:pt>
                <c:pt idx="189">
                  <c:v>-4.1100000000000403</c:v>
                </c:pt>
                <c:pt idx="190">
                  <c:v>-4.1000000000000405</c:v>
                </c:pt>
                <c:pt idx="191">
                  <c:v>-4.0900000000000407</c:v>
                </c:pt>
                <c:pt idx="192">
                  <c:v>-4.0800000000000409</c:v>
                </c:pt>
                <c:pt idx="193">
                  <c:v>-4.0700000000000411</c:v>
                </c:pt>
                <c:pt idx="194">
                  <c:v>-4.0600000000000414</c:v>
                </c:pt>
                <c:pt idx="195">
                  <c:v>-4.0500000000000416</c:v>
                </c:pt>
                <c:pt idx="196">
                  <c:v>-4.0400000000000418</c:v>
                </c:pt>
                <c:pt idx="197">
                  <c:v>-4.030000000000042</c:v>
                </c:pt>
                <c:pt idx="198">
                  <c:v>-4.0200000000000422</c:v>
                </c:pt>
                <c:pt idx="199">
                  <c:v>-4.0100000000000424</c:v>
                </c:pt>
                <c:pt idx="200">
                  <c:v>-4.0000000000000426</c:v>
                </c:pt>
                <c:pt idx="201">
                  <c:v>-3.9900000000000428</c:v>
                </c:pt>
                <c:pt idx="202">
                  <c:v>-3.9800000000000431</c:v>
                </c:pt>
                <c:pt idx="203">
                  <c:v>-3.9700000000000433</c:v>
                </c:pt>
                <c:pt idx="204">
                  <c:v>-3.9600000000000435</c:v>
                </c:pt>
                <c:pt idx="205">
                  <c:v>-3.9500000000000437</c:v>
                </c:pt>
                <c:pt idx="206">
                  <c:v>-3.9400000000000439</c:v>
                </c:pt>
                <c:pt idx="207">
                  <c:v>-3.9300000000000441</c:v>
                </c:pt>
                <c:pt idx="208">
                  <c:v>-3.9200000000000443</c:v>
                </c:pt>
                <c:pt idx="209">
                  <c:v>-3.9100000000000446</c:v>
                </c:pt>
                <c:pt idx="210">
                  <c:v>-3.9000000000000448</c:v>
                </c:pt>
                <c:pt idx="211">
                  <c:v>-3.890000000000045</c:v>
                </c:pt>
                <c:pt idx="212">
                  <c:v>-3.8800000000000452</c:v>
                </c:pt>
                <c:pt idx="213">
                  <c:v>-3.8700000000000454</c:v>
                </c:pt>
                <c:pt idx="214">
                  <c:v>-3.8600000000000456</c:v>
                </c:pt>
                <c:pt idx="215">
                  <c:v>-3.8500000000000458</c:v>
                </c:pt>
                <c:pt idx="216">
                  <c:v>-3.840000000000046</c:v>
                </c:pt>
                <c:pt idx="217">
                  <c:v>-3.8300000000000463</c:v>
                </c:pt>
                <c:pt idx="218">
                  <c:v>-3.8200000000000465</c:v>
                </c:pt>
                <c:pt idx="219">
                  <c:v>-3.8100000000000467</c:v>
                </c:pt>
                <c:pt idx="220">
                  <c:v>-3.8000000000000469</c:v>
                </c:pt>
                <c:pt idx="221">
                  <c:v>-3.7900000000000471</c:v>
                </c:pt>
                <c:pt idx="222">
                  <c:v>-3.7800000000000473</c:v>
                </c:pt>
                <c:pt idx="223">
                  <c:v>-3.7700000000000475</c:v>
                </c:pt>
                <c:pt idx="224">
                  <c:v>-3.7600000000000477</c:v>
                </c:pt>
                <c:pt idx="225">
                  <c:v>-3.750000000000048</c:v>
                </c:pt>
                <c:pt idx="226">
                  <c:v>-3.7400000000000482</c:v>
                </c:pt>
                <c:pt idx="227">
                  <c:v>-3.7300000000000484</c:v>
                </c:pt>
                <c:pt idx="228">
                  <c:v>-3.7200000000000486</c:v>
                </c:pt>
                <c:pt idx="229">
                  <c:v>-3.7100000000000488</c:v>
                </c:pt>
                <c:pt idx="230">
                  <c:v>-3.700000000000049</c:v>
                </c:pt>
                <c:pt idx="231">
                  <c:v>-3.6900000000000492</c:v>
                </c:pt>
                <c:pt idx="232">
                  <c:v>-3.6800000000000495</c:v>
                </c:pt>
                <c:pt idx="233">
                  <c:v>-3.6700000000000497</c:v>
                </c:pt>
                <c:pt idx="234">
                  <c:v>-3.6600000000000499</c:v>
                </c:pt>
                <c:pt idx="235">
                  <c:v>-3.6500000000000501</c:v>
                </c:pt>
                <c:pt idx="236">
                  <c:v>-3.6400000000000503</c:v>
                </c:pt>
                <c:pt idx="237">
                  <c:v>-3.6300000000000505</c:v>
                </c:pt>
                <c:pt idx="238">
                  <c:v>-3.6200000000000507</c:v>
                </c:pt>
                <c:pt idx="239">
                  <c:v>-3.6100000000000509</c:v>
                </c:pt>
                <c:pt idx="240">
                  <c:v>-3.6000000000000512</c:v>
                </c:pt>
                <c:pt idx="241">
                  <c:v>-3.5900000000000514</c:v>
                </c:pt>
                <c:pt idx="242">
                  <c:v>-3.5800000000000516</c:v>
                </c:pt>
                <c:pt idx="243">
                  <c:v>-3.5700000000000518</c:v>
                </c:pt>
                <c:pt idx="244">
                  <c:v>-3.560000000000052</c:v>
                </c:pt>
                <c:pt idx="245">
                  <c:v>-3.5500000000000522</c:v>
                </c:pt>
                <c:pt idx="246">
                  <c:v>-3.5400000000000524</c:v>
                </c:pt>
                <c:pt idx="247">
                  <c:v>-3.5300000000000527</c:v>
                </c:pt>
                <c:pt idx="248">
                  <c:v>-3.5200000000000529</c:v>
                </c:pt>
                <c:pt idx="249">
                  <c:v>-3.5100000000000531</c:v>
                </c:pt>
                <c:pt idx="250">
                  <c:v>-3.5000000000000533</c:v>
                </c:pt>
                <c:pt idx="251">
                  <c:v>-3.4900000000000535</c:v>
                </c:pt>
                <c:pt idx="252">
                  <c:v>-3.4800000000000537</c:v>
                </c:pt>
                <c:pt idx="253">
                  <c:v>-3.4700000000000539</c:v>
                </c:pt>
                <c:pt idx="254">
                  <c:v>-3.4600000000000541</c:v>
                </c:pt>
                <c:pt idx="255">
                  <c:v>-3.4500000000000544</c:v>
                </c:pt>
                <c:pt idx="256">
                  <c:v>-3.4400000000000546</c:v>
                </c:pt>
                <c:pt idx="257">
                  <c:v>-3.4300000000000548</c:v>
                </c:pt>
                <c:pt idx="258">
                  <c:v>-3.420000000000055</c:v>
                </c:pt>
                <c:pt idx="259">
                  <c:v>-3.4100000000000552</c:v>
                </c:pt>
                <c:pt idx="260">
                  <c:v>-3.4000000000000554</c:v>
                </c:pt>
                <c:pt idx="261">
                  <c:v>-3.3900000000000556</c:v>
                </c:pt>
                <c:pt idx="262">
                  <c:v>-3.3800000000000558</c:v>
                </c:pt>
                <c:pt idx="263">
                  <c:v>-3.3700000000000561</c:v>
                </c:pt>
                <c:pt idx="264">
                  <c:v>-3.3600000000000563</c:v>
                </c:pt>
                <c:pt idx="265">
                  <c:v>-3.3500000000000565</c:v>
                </c:pt>
                <c:pt idx="266">
                  <c:v>-3.3400000000000567</c:v>
                </c:pt>
                <c:pt idx="267">
                  <c:v>-3.3300000000000569</c:v>
                </c:pt>
                <c:pt idx="268">
                  <c:v>-3.3200000000000571</c:v>
                </c:pt>
                <c:pt idx="269">
                  <c:v>-3.3100000000000573</c:v>
                </c:pt>
                <c:pt idx="270">
                  <c:v>-3.3000000000000576</c:v>
                </c:pt>
                <c:pt idx="271">
                  <c:v>-3.2900000000000578</c:v>
                </c:pt>
                <c:pt idx="272">
                  <c:v>-3.280000000000058</c:v>
                </c:pt>
                <c:pt idx="273">
                  <c:v>-3.2700000000000582</c:v>
                </c:pt>
                <c:pt idx="274">
                  <c:v>-3.2600000000000584</c:v>
                </c:pt>
                <c:pt idx="275">
                  <c:v>-3.2500000000000586</c:v>
                </c:pt>
                <c:pt idx="276">
                  <c:v>-3.2400000000000588</c:v>
                </c:pt>
                <c:pt idx="277">
                  <c:v>-3.230000000000059</c:v>
                </c:pt>
                <c:pt idx="278">
                  <c:v>-3.2200000000000593</c:v>
                </c:pt>
                <c:pt idx="279">
                  <c:v>-3.2100000000000595</c:v>
                </c:pt>
                <c:pt idx="280">
                  <c:v>-3.2000000000000597</c:v>
                </c:pt>
                <c:pt idx="281">
                  <c:v>-3.1900000000000599</c:v>
                </c:pt>
                <c:pt idx="282">
                  <c:v>-3.1800000000000601</c:v>
                </c:pt>
                <c:pt idx="283">
                  <c:v>-3.1700000000000603</c:v>
                </c:pt>
                <c:pt idx="284">
                  <c:v>-3.1600000000000605</c:v>
                </c:pt>
                <c:pt idx="285">
                  <c:v>-3.1500000000000608</c:v>
                </c:pt>
                <c:pt idx="286">
                  <c:v>-3.140000000000061</c:v>
                </c:pt>
                <c:pt idx="287">
                  <c:v>-3.1300000000000612</c:v>
                </c:pt>
                <c:pt idx="288">
                  <c:v>-3.1200000000000614</c:v>
                </c:pt>
                <c:pt idx="289">
                  <c:v>-3.1100000000000616</c:v>
                </c:pt>
                <c:pt idx="290">
                  <c:v>-3.1000000000000618</c:v>
                </c:pt>
                <c:pt idx="291">
                  <c:v>-3.090000000000062</c:v>
                </c:pt>
                <c:pt idx="292">
                  <c:v>-3.0800000000000622</c:v>
                </c:pt>
                <c:pt idx="293">
                  <c:v>-3.0700000000000625</c:v>
                </c:pt>
                <c:pt idx="294">
                  <c:v>-3.0600000000000627</c:v>
                </c:pt>
                <c:pt idx="295">
                  <c:v>-3.0500000000000629</c:v>
                </c:pt>
                <c:pt idx="296">
                  <c:v>-3.0400000000000631</c:v>
                </c:pt>
                <c:pt idx="297">
                  <c:v>-3.0300000000000633</c:v>
                </c:pt>
                <c:pt idx="298">
                  <c:v>-3.0200000000000635</c:v>
                </c:pt>
                <c:pt idx="299">
                  <c:v>-3.0100000000000637</c:v>
                </c:pt>
                <c:pt idx="300">
                  <c:v>-3.0000000000000639</c:v>
                </c:pt>
                <c:pt idx="301">
                  <c:v>-2.9900000000000642</c:v>
                </c:pt>
                <c:pt idx="302">
                  <c:v>-2.9800000000000644</c:v>
                </c:pt>
                <c:pt idx="303">
                  <c:v>-2.9700000000000646</c:v>
                </c:pt>
                <c:pt idx="304">
                  <c:v>-2.9600000000000648</c:v>
                </c:pt>
                <c:pt idx="305">
                  <c:v>-2.950000000000065</c:v>
                </c:pt>
                <c:pt idx="306">
                  <c:v>-2.9400000000000652</c:v>
                </c:pt>
                <c:pt idx="307">
                  <c:v>-2.9300000000000654</c:v>
                </c:pt>
                <c:pt idx="308">
                  <c:v>-2.9200000000000657</c:v>
                </c:pt>
                <c:pt idx="309">
                  <c:v>-2.9100000000000659</c:v>
                </c:pt>
                <c:pt idx="310">
                  <c:v>-2.9000000000000661</c:v>
                </c:pt>
                <c:pt idx="311">
                  <c:v>-2.8900000000000663</c:v>
                </c:pt>
                <c:pt idx="312">
                  <c:v>-2.8800000000000665</c:v>
                </c:pt>
                <c:pt idx="313">
                  <c:v>-2.8700000000000667</c:v>
                </c:pt>
                <c:pt idx="314">
                  <c:v>-2.8600000000000669</c:v>
                </c:pt>
                <c:pt idx="315">
                  <c:v>-2.8500000000000671</c:v>
                </c:pt>
                <c:pt idx="316">
                  <c:v>-2.8400000000000674</c:v>
                </c:pt>
                <c:pt idx="317">
                  <c:v>-2.8300000000000676</c:v>
                </c:pt>
                <c:pt idx="318">
                  <c:v>-2.8200000000000678</c:v>
                </c:pt>
                <c:pt idx="319">
                  <c:v>-2.810000000000068</c:v>
                </c:pt>
                <c:pt idx="320">
                  <c:v>-2.8000000000000682</c:v>
                </c:pt>
                <c:pt idx="321">
                  <c:v>-2.7900000000000684</c:v>
                </c:pt>
                <c:pt idx="322">
                  <c:v>-2.7800000000000686</c:v>
                </c:pt>
                <c:pt idx="323">
                  <c:v>-2.7700000000000689</c:v>
                </c:pt>
                <c:pt idx="324">
                  <c:v>-2.7600000000000691</c:v>
                </c:pt>
                <c:pt idx="325">
                  <c:v>-2.7500000000000693</c:v>
                </c:pt>
                <c:pt idx="326">
                  <c:v>-2.7400000000000695</c:v>
                </c:pt>
                <c:pt idx="327">
                  <c:v>-2.7300000000000697</c:v>
                </c:pt>
                <c:pt idx="328">
                  <c:v>-2.7200000000000699</c:v>
                </c:pt>
                <c:pt idx="329">
                  <c:v>-2.7100000000000701</c:v>
                </c:pt>
                <c:pt idx="330">
                  <c:v>-2.7000000000000703</c:v>
                </c:pt>
                <c:pt idx="331">
                  <c:v>-2.6900000000000706</c:v>
                </c:pt>
                <c:pt idx="332">
                  <c:v>-2.6800000000000708</c:v>
                </c:pt>
                <c:pt idx="333">
                  <c:v>-2.670000000000071</c:v>
                </c:pt>
                <c:pt idx="334">
                  <c:v>-2.6600000000000712</c:v>
                </c:pt>
                <c:pt idx="335">
                  <c:v>-2.6500000000000714</c:v>
                </c:pt>
                <c:pt idx="336">
                  <c:v>-2.6400000000000716</c:v>
                </c:pt>
                <c:pt idx="337">
                  <c:v>-2.6300000000000718</c:v>
                </c:pt>
                <c:pt idx="338">
                  <c:v>-2.620000000000072</c:v>
                </c:pt>
                <c:pt idx="339">
                  <c:v>-2.6100000000000723</c:v>
                </c:pt>
                <c:pt idx="340">
                  <c:v>-2.6000000000000725</c:v>
                </c:pt>
                <c:pt idx="341">
                  <c:v>-2.5900000000000727</c:v>
                </c:pt>
                <c:pt idx="342">
                  <c:v>-2.5800000000000729</c:v>
                </c:pt>
                <c:pt idx="343">
                  <c:v>-2.5700000000000731</c:v>
                </c:pt>
                <c:pt idx="344">
                  <c:v>-2.5600000000000733</c:v>
                </c:pt>
                <c:pt idx="345">
                  <c:v>-2.5500000000000735</c:v>
                </c:pt>
                <c:pt idx="346">
                  <c:v>-2.5400000000000738</c:v>
                </c:pt>
                <c:pt idx="347">
                  <c:v>-2.530000000000074</c:v>
                </c:pt>
                <c:pt idx="348">
                  <c:v>-2.5200000000000742</c:v>
                </c:pt>
                <c:pt idx="349">
                  <c:v>-2.5100000000000744</c:v>
                </c:pt>
                <c:pt idx="350">
                  <c:v>-2.5000000000000746</c:v>
                </c:pt>
                <c:pt idx="351">
                  <c:v>-2.4900000000000748</c:v>
                </c:pt>
                <c:pt idx="352">
                  <c:v>-2.480000000000075</c:v>
                </c:pt>
                <c:pt idx="353">
                  <c:v>-2.4700000000000752</c:v>
                </c:pt>
                <c:pt idx="354">
                  <c:v>-2.4600000000000755</c:v>
                </c:pt>
                <c:pt idx="355">
                  <c:v>-2.4500000000000757</c:v>
                </c:pt>
                <c:pt idx="356">
                  <c:v>-2.4400000000000759</c:v>
                </c:pt>
                <c:pt idx="357">
                  <c:v>-2.4300000000000761</c:v>
                </c:pt>
                <c:pt idx="358">
                  <c:v>-2.4200000000000763</c:v>
                </c:pt>
                <c:pt idx="359">
                  <c:v>-2.4100000000000765</c:v>
                </c:pt>
                <c:pt idx="360">
                  <c:v>-2.4000000000000767</c:v>
                </c:pt>
                <c:pt idx="361">
                  <c:v>-2.390000000000077</c:v>
                </c:pt>
                <c:pt idx="362">
                  <c:v>-2.3800000000000772</c:v>
                </c:pt>
                <c:pt idx="363">
                  <c:v>-2.3700000000000774</c:v>
                </c:pt>
                <c:pt idx="364">
                  <c:v>-2.3600000000000776</c:v>
                </c:pt>
                <c:pt idx="365">
                  <c:v>-2.3500000000000778</c:v>
                </c:pt>
                <c:pt idx="366">
                  <c:v>-2.340000000000078</c:v>
                </c:pt>
                <c:pt idx="367">
                  <c:v>-2.3300000000000782</c:v>
                </c:pt>
                <c:pt idx="368">
                  <c:v>-2.3200000000000784</c:v>
                </c:pt>
                <c:pt idx="369">
                  <c:v>-2.3100000000000787</c:v>
                </c:pt>
                <c:pt idx="370">
                  <c:v>-2.3000000000000789</c:v>
                </c:pt>
                <c:pt idx="371">
                  <c:v>-2.2900000000000791</c:v>
                </c:pt>
                <c:pt idx="372">
                  <c:v>-2.2800000000000793</c:v>
                </c:pt>
                <c:pt idx="373">
                  <c:v>-2.2700000000000795</c:v>
                </c:pt>
                <c:pt idx="374">
                  <c:v>-2.2600000000000797</c:v>
                </c:pt>
                <c:pt idx="375">
                  <c:v>-2.2500000000000799</c:v>
                </c:pt>
                <c:pt idx="376">
                  <c:v>-2.2400000000000801</c:v>
                </c:pt>
                <c:pt idx="377">
                  <c:v>-2.2300000000000804</c:v>
                </c:pt>
                <c:pt idx="378">
                  <c:v>-2.2200000000000806</c:v>
                </c:pt>
                <c:pt idx="379">
                  <c:v>-2.2100000000000808</c:v>
                </c:pt>
                <c:pt idx="380">
                  <c:v>-2.200000000000081</c:v>
                </c:pt>
                <c:pt idx="381">
                  <c:v>-2.1900000000000812</c:v>
                </c:pt>
                <c:pt idx="382">
                  <c:v>-2.1800000000000814</c:v>
                </c:pt>
                <c:pt idx="383">
                  <c:v>-2.1700000000000816</c:v>
                </c:pt>
                <c:pt idx="384">
                  <c:v>-2.1600000000000819</c:v>
                </c:pt>
                <c:pt idx="385">
                  <c:v>-2.1500000000000821</c:v>
                </c:pt>
                <c:pt idx="386">
                  <c:v>-2.1400000000000823</c:v>
                </c:pt>
                <c:pt idx="387">
                  <c:v>-2.1300000000000825</c:v>
                </c:pt>
                <c:pt idx="388">
                  <c:v>-2.1200000000000827</c:v>
                </c:pt>
                <c:pt idx="389">
                  <c:v>-2.1100000000000829</c:v>
                </c:pt>
                <c:pt idx="390">
                  <c:v>-2.1000000000000831</c:v>
                </c:pt>
                <c:pt idx="391">
                  <c:v>-2.0900000000000833</c:v>
                </c:pt>
                <c:pt idx="392">
                  <c:v>-2.0800000000000836</c:v>
                </c:pt>
                <c:pt idx="393">
                  <c:v>-2.0700000000000838</c:v>
                </c:pt>
                <c:pt idx="394">
                  <c:v>-2.060000000000084</c:v>
                </c:pt>
                <c:pt idx="395">
                  <c:v>-2.0500000000000842</c:v>
                </c:pt>
                <c:pt idx="396">
                  <c:v>-2.0400000000000844</c:v>
                </c:pt>
                <c:pt idx="397">
                  <c:v>-2.0300000000000846</c:v>
                </c:pt>
                <c:pt idx="398">
                  <c:v>-2.0200000000000848</c:v>
                </c:pt>
                <c:pt idx="399">
                  <c:v>-2.0100000000000851</c:v>
                </c:pt>
                <c:pt idx="400">
                  <c:v>-2.0000000000000853</c:v>
                </c:pt>
                <c:pt idx="401">
                  <c:v>-1.9900000000000853</c:v>
                </c:pt>
                <c:pt idx="402">
                  <c:v>-1.9800000000000852</c:v>
                </c:pt>
                <c:pt idx="403">
                  <c:v>-1.9700000000000852</c:v>
                </c:pt>
                <c:pt idx="404">
                  <c:v>-1.9600000000000852</c:v>
                </c:pt>
                <c:pt idx="405">
                  <c:v>-1.9500000000000852</c:v>
                </c:pt>
                <c:pt idx="406">
                  <c:v>-1.9400000000000852</c:v>
                </c:pt>
                <c:pt idx="407">
                  <c:v>-1.9300000000000852</c:v>
                </c:pt>
                <c:pt idx="408">
                  <c:v>-1.9200000000000852</c:v>
                </c:pt>
                <c:pt idx="409">
                  <c:v>-1.9100000000000852</c:v>
                </c:pt>
                <c:pt idx="410">
                  <c:v>-1.9000000000000852</c:v>
                </c:pt>
                <c:pt idx="411">
                  <c:v>-1.8900000000000852</c:v>
                </c:pt>
                <c:pt idx="412">
                  <c:v>-1.8800000000000852</c:v>
                </c:pt>
                <c:pt idx="413">
                  <c:v>-1.8700000000000851</c:v>
                </c:pt>
                <c:pt idx="414">
                  <c:v>-1.8600000000000851</c:v>
                </c:pt>
                <c:pt idx="415">
                  <c:v>-1.8500000000000851</c:v>
                </c:pt>
                <c:pt idx="416">
                  <c:v>-1.8400000000000851</c:v>
                </c:pt>
                <c:pt idx="417">
                  <c:v>-1.8300000000000851</c:v>
                </c:pt>
                <c:pt idx="418">
                  <c:v>-1.8200000000000851</c:v>
                </c:pt>
                <c:pt idx="419">
                  <c:v>-1.8100000000000851</c:v>
                </c:pt>
                <c:pt idx="420">
                  <c:v>-1.8000000000000851</c:v>
                </c:pt>
                <c:pt idx="421">
                  <c:v>-1.7900000000000851</c:v>
                </c:pt>
                <c:pt idx="422">
                  <c:v>-1.7800000000000851</c:v>
                </c:pt>
                <c:pt idx="423">
                  <c:v>-1.7700000000000851</c:v>
                </c:pt>
                <c:pt idx="424">
                  <c:v>-1.7600000000000851</c:v>
                </c:pt>
                <c:pt idx="425">
                  <c:v>-1.750000000000085</c:v>
                </c:pt>
                <c:pt idx="426">
                  <c:v>-1.740000000000085</c:v>
                </c:pt>
                <c:pt idx="427">
                  <c:v>-1.730000000000085</c:v>
                </c:pt>
                <c:pt idx="428">
                  <c:v>-1.720000000000085</c:v>
                </c:pt>
                <c:pt idx="429">
                  <c:v>-1.710000000000085</c:v>
                </c:pt>
                <c:pt idx="430">
                  <c:v>-1.700000000000085</c:v>
                </c:pt>
                <c:pt idx="431">
                  <c:v>-1.690000000000085</c:v>
                </c:pt>
                <c:pt idx="432">
                  <c:v>-1.680000000000085</c:v>
                </c:pt>
                <c:pt idx="433">
                  <c:v>-1.670000000000085</c:v>
                </c:pt>
                <c:pt idx="434">
                  <c:v>-1.660000000000085</c:v>
                </c:pt>
                <c:pt idx="435">
                  <c:v>-1.650000000000085</c:v>
                </c:pt>
                <c:pt idx="436">
                  <c:v>-1.6400000000000849</c:v>
                </c:pt>
                <c:pt idx="437">
                  <c:v>-1.6300000000000849</c:v>
                </c:pt>
                <c:pt idx="438">
                  <c:v>-1.6200000000000849</c:v>
                </c:pt>
                <c:pt idx="439">
                  <c:v>-1.6100000000000849</c:v>
                </c:pt>
                <c:pt idx="440">
                  <c:v>-1.6000000000000849</c:v>
                </c:pt>
                <c:pt idx="441">
                  <c:v>-1.5900000000000849</c:v>
                </c:pt>
                <c:pt idx="442">
                  <c:v>-1.5800000000000849</c:v>
                </c:pt>
                <c:pt idx="443">
                  <c:v>-1.5700000000000849</c:v>
                </c:pt>
                <c:pt idx="444">
                  <c:v>-1.5600000000000849</c:v>
                </c:pt>
                <c:pt idx="445">
                  <c:v>-1.5500000000000849</c:v>
                </c:pt>
                <c:pt idx="446">
                  <c:v>-1.5400000000000849</c:v>
                </c:pt>
                <c:pt idx="447">
                  <c:v>-1.5300000000000848</c:v>
                </c:pt>
                <c:pt idx="448">
                  <c:v>-1.5200000000000848</c:v>
                </c:pt>
                <c:pt idx="449">
                  <c:v>-1.5100000000000848</c:v>
                </c:pt>
                <c:pt idx="450">
                  <c:v>-1.5000000000000848</c:v>
                </c:pt>
                <c:pt idx="451">
                  <c:v>-1.4900000000000848</c:v>
                </c:pt>
                <c:pt idx="452">
                  <c:v>-1.4800000000000848</c:v>
                </c:pt>
                <c:pt idx="453">
                  <c:v>-1.4700000000000848</c:v>
                </c:pt>
                <c:pt idx="454">
                  <c:v>-1.4600000000000848</c:v>
                </c:pt>
                <c:pt idx="455">
                  <c:v>-1.4500000000000848</c:v>
                </c:pt>
                <c:pt idx="456">
                  <c:v>-1.4400000000000848</c:v>
                </c:pt>
                <c:pt idx="457">
                  <c:v>-1.4300000000000848</c:v>
                </c:pt>
                <c:pt idx="458">
                  <c:v>-1.4200000000000847</c:v>
                </c:pt>
                <c:pt idx="459">
                  <c:v>-1.4100000000000847</c:v>
                </c:pt>
                <c:pt idx="460">
                  <c:v>-1.4000000000000847</c:v>
                </c:pt>
                <c:pt idx="461">
                  <c:v>-1.3900000000000847</c:v>
                </c:pt>
                <c:pt idx="462">
                  <c:v>-1.3800000000000847</c:v>
                </c:pt>
                <c:pt idx="463">
                  <c:v>-1.3700000000000847</c:v>
                </c:pt>
                <c:pt idx="464">
                  <c:v>-1.3600000000000847</c:v>
                </c:pt>
                <c:pt idx="465">
                  <c:v>-1.3500000000000847</c:v>
                </c:pt>
                <c:pt idx="466">
                  <c:v>-1.3400000000000847</c:v>
                </c:pt>
                <c:pt idx="467">
                  <c:v>-1.3300000000000847</c:v>
                </c:pt>
                <c:pt idx="468">
                  <c:v>-1.3200000000000847</c:v>
                </c:pt>
                <c:pt idx="469">
                  <c:v>-1.3100000000000847</c:v>
                </c:pt>
                <c:pt idx="470">
                  <c:v>-1.3000000000000846</c:v>
                </c:pt>
                <c:pt idx="471">
                  <c:v>-1.2900000000000846</c:v>
                </c:pt>
                <c:pt idx="472">
                  <c:v>-1.2800000000000846</c:v>
                </c:pt>
                <c:pt idx="473">
                  <c:v>-1.2700000000000846</c:v>
                </c:pt>
                <c:pt idx="474">
                  <c:v>-1.2600000000000846</c:v>
                </c:pt>
                <c:pt idx="475">
                  <c:v>-1.2500000000000846</c:v>
                </c:pt>
                <c:pt idx="476">
                  <c:v>-1.2400000000000846</c:v>
                </c:pt>
                <c:pt idx="477">
                  <c:v>-1.2300000000000846</c:v>
                </c:pt>
                <c:pt idx="478">
                  <c:v>-1.2200000000000846</c:v>
                </c:pt>
                <c:pt idx="479">
                  <c:v>-1.2100000000000846</c:v>
                </c:pt>
                <c:pt idx="480">
                  <c:v>-1.2000000000000846</c:v>
                </c:pt>
                <c:pt idx="481">
                  <c:v>-1.1900000000000845</c:v>
                </c:pt>
                <c:pt idx="482">
                  <c:v>-1.1800000000000845</c:v>
                </c:pt>
                <c:pt idx="483">
                  <c:v>-1.1700000000000845</c:v>
                </c:pt>
                <c:pt idx="484">
                  <c:v>-1.1600000000000845</c:v>
                </c:pt>
                <c:pt idx="485">
                  <c:v>-1.1500000000000845</c:v>
                </c:pt>
                <c:pt idx="486">
                  <c:v>-1.1400000000000845</c:v>
                </c:pt>
                <c:pt idx="487">
                  <c:v>-1.1300000000000845</c:v>
                </c:pt>
                <c:pt idx="488">
                  <c:v>-1.1200000000000845</c:v>
                </c:pt>
                <c:pt idx="489">
                  <c:v>-1.1100000000000845</c:v>
                </c:pt>
                <c:pt idx="490">
                  <c:v>-1.1000000000000845</c:v>
                </c:pt>
                <c:pt idx="491">
                  <c:v>-1.0900000000000845</c:v>
                </c:pt>
                <c:pt idx="492">
                  <c:v>-1.0800000000000844</c:v>
                </c:pt>
                <c:pt idx="493">
                  <c:v>-1.0700000000000844</c:v>
                </c:pt>
                <c:pt idx="494">
                  <c:v>-1.0600000000000844</c:v>
                </c:pt>
                <c:pt idx="495">
                  <c:v>-1.0500000000000844</c:v>
                </c:pt>
                <c:pt idx="496">
                  <c:v>-1.0400000000000844</c:v>
                </c:pt>
                <c:pt idx="497">
                  <c:v>-1.0300000000000844</c:v>
                </c:pt>
                <c:pt idx="498">
                  <c:v>-1.0200000000000844</c:v>
                </c:pt>
                <c:pt idx="499">
                  <c:v>-1.0100000000000844</c:v>
                </c:pt>
                <c:pt idx="500">
                  <c:v>-1.0000000000000844</c:v>
                </c:pt>
                <c:pt idx="501">
                  <c:v>-0.99000000000008437</c:v>
                </c:pt>
                <c:pt idx="502">
                  <c:v>-0.98000000000008436</c:v>
                </c:pt>
                <c:pt idx="503">
                  <c:v>-0.97000000000008435</c:v>
                </c:pt>
                <c:pt idx="504">
                  <c:v>-0.96000000000008434</c:v>
                </c:pt>
                <c:pt idx="505">
                  <c:v>-0.95000000000008433</c:v>
                </c:pt>
                <c:pt idx="506">
                  <c:v>-0.94000000000008432</c:v>
                </c:pt>
                <c:pt idx="507">
                  <c:v>-0.93000000000008431</c:v>
                </c:pt>
                <c:pt idx="508">
                  <c:v>-0.92000000000008431</c:v>
                </c:pt>
                <c:pt idx="509">
                  <c:v>-0.9100000000000843</c:v>
                </c:pt>
                <c:pt idx="510">
                  <c:v>-0.90000000000008429</c:v>
                </c:pt>
                <c:pt idx="511">
                  <c:v>-0.89000000000008428</c:v>
                </c:pt>
                <c:pt idx="512">
                  <c:v>-0.88000000000008427</c:v>
                </c:pt>
                <c:pt idx="513">
                  <c:v>-0.87000000000008426</c:v>
                </c:pt>
                <c:pt idx="514">
                  <c:v>-0.86000000000008425</c:v>
                </c:pt>
                <c:pt idx="515">
                  <c:v>-0.85000000000008424</c:v>
                </c:pt>
                <c:pt idx="516">
                  <c:v>-0.84000000000008423</c:v>
                </c:pt>
                <c:pt idx="517">
                  <c:v>-0.83000000000008423</c:v>
                </c:pt>
                <c:pt idx="518">
                  <c:v>-0.82000000000008422</c:v>
                </c:pt>
                <c:pt idx="519">
                  <c:v>-0.81000000000008421</c:v>
                </c:pt>
                <c:pt idx="520">
                  <c:v>-0.8000000000000842</c:v>
                </c:pt>
                <c:pt idx="521">
                  <c:v>-0.79000000000008419</c:v>
                </c:pt>
                <c:pt idx="522">
                  <c:v>-0.78000000000008418</c:v>
                </c:pt>
                <c:pt idx="523">
                  <c:v>-0.77000000000008417</c:v>
                </c:pt>
                <c:pt idx="524">
                  <c:v>-0.76000000000008416</c:v>
                </c:pt>
                <c:pt idx="525">
                  <c:v>-0.75000000000008415</c:v>
                </c:pt>
                <c:pt idx="526">
                  <c:v>-0.74000000000008415</c:v>
                </c:pt>
                <c:pt idx="527">
                  <c:v>-0.73000000000008414</c:v>
                </c:pt>
                <c:pt idx="528">
                  <c:v>-0.72000000000008413</c:v>
                </c:pt>
                <c:pt idx="529">
                  <c:v>-0.71000000000008412</c:v>
                </c:pt>
                <c:pt idx="530">
                  <c:v>-0.70000000000008411</c:v>
                </c:pt>
                <c:pt idx="531">
                  <c:v>-0.6900000000000841</c:v>
                </c:pt>
                <c:pt idx="532">
                  <c:v>-0.68000000000008409</c:v>
                </c:pt>
                <c:pt idx="533">
                  <c:v>-0.67000000000008408</c:v>
                </c:pt>
                <c:pt idx="534">
                  <c:v>-0.66000000000008407</c:v>
                </c:pt>
                <c:pt idx="535">
                  <c:v>-0.65000000000008407</c:v>
                </c:pt>
                <c:pt idx="536">
                  <c:v>-0.64000000000008406</c:v>
                </c:pt>
                <c:pt idx="537">
                  <c:v>-0.63000000000008405</c:v>
                </c:pt>
                <c:pt idx="538">
                  <c:v>-0.62000000000008404</c:v>
                </c:pt>
                <c:pt idx="539">
                  <c:v>-0.61000000000008403</c:v>
                </c:pt>
                <c:pt idx="540">
                  <c:v>-0.60000000000008402</c:v>
                </c:pt>
                <c:pt idx="541">
                  <c:v>-0.59000000000008401</c:v>
                </c:pt>
                <c:pt idx="542">
                  <c:v>-0.580000000000084</c:v>
                </c:pt>
                <c:pt idx="543">
                  <c:v>-0.570000000000084</c:v>
                </c:pt>
                <c:pt idx="544">
                  <c:v>-0.56000000000008399</c:v>
                </c:pt>
                <c:pt idx="545">
                  <c:v>-0.55000000000008398</c:v>
                </c:pt>
                <c:pt idx="546">
                  <c:v>-0.54000000000008397</c:v>
                </c:pt>
                <c:pt idx="547">
                  <c:v>-0.53000000000008396</c:v>
                </c:pt>
                <c:pt idx="548">
                  <c:v>-0.52000000000008395</c:v>
                </c:pt>
                <c:pt idx="549">
                  <c:v>-0.51000000000008394</c:v>
                </c:pt>
                <c:pt idx="550">
                  <c:v>-0.50000000000008393</c:v>
                </c:pt>
                <c:pt idx="551">
                  <c:v>-0.49000000000008392</c:v>
                </c:pt>
                <c:pt idx="552">
                  <c:v>-0.48000000000008392</c:v>
                </c:pt>
                <c:pt idx="553">
                  <c:v>-0.47000000000008391</c:v>
                </c:pt>
                <c:pt idx="554">
                  <c:v>-0.4600000000000839</c:v>
                </c:pt>
                <c:pt idx="555">
                  <c:v>-0.45000000000008389</c:v>
                </c:pt>
                <c:pt idx="556">
                  <c:v>-0.44000000000008388</c:v>
                </c:pt>
                <c:pt idx="557">
                  <c:v>-0.43000000000008387</c:v>
                </c:pt>
                <c:pt idx="558">
                  <c:v>-0.42000000000008386</c:v>
                </c:pt>
                <c:pt idx="559">
                  <c:v>-0.41000000000008385</c:v>
                </c:pt>
                <c:pt idx="560">
                  <c:v>-0.40000000000008384</c:v>
                </c:pt>
                <c:pt idx="561">
                  <c:v>-0.39000000000008384</c:v>
                </c:pt>
                <c:pt idx="562">
                  <c:v>-0.38000000000008383</c:v>
                </c:pt>
                <c:pt idx="563">
                  <c:v>-0.37000000000008382</c:v>
                </c:pt>
                <c:pt idx="564">
                  <c:v>-0.36000000000008381</c:v>
                </c:pt>
                <c:pt idx="565">
                  <c:v>-0.3500000000000838</c:v>
                </c:pt>
                <c:pt idx="566">
                  <c:v>-0.34000000000008379</c:v>
                </c:pt>
                <c:pt idx="567">
                  <c:v>-0.33000000000008378</c:v>
                </c:pt>
                <c:pt idx="568">
                  <c:v>-0.32000000000008377</c:v>
                </c:pt>
                <c:pt idx="569">
                  <c:v>-0.31000000000008376</c:v>
                </c:pt>
                <c:pt idx="570">
                  <c:v>-0.30000000000008376</c:v>
                </c:pt>
                <c:pt idx="571">
                  <c:v>-0.29000000000008375</c:v>
                </c:pt>
                <c:pt idx="572">
                  <c:v>-0.28000000000008374</c:v>
                </c:pt>
                <c:pt idx="573">
                  <c:v>-0.27000000000008373</c:v>
                </c:pt>
                <c:pt idx="574">
                  <c:v>-0.26000000000008372</c:v>
                </c:pt>
                <c:pt idx="575">
                  <c:v>-0.25000000000008371</c:v>
                </c:pt>
                <c:pt idx="576">
                  <c:v>-0.2400000000000837</c:v>
                </c:pt>
                <c:pt idx="577">
                  <c:v>-0.23000000000008369</c:v>
                </c:pt>
                <c:pt idx="578">
                  <c:v>-0.22000000000008368</c:v>
                </c:pt>
                <c:pt idx="579">
                  <c:v>-0.21000000000008368</c:v>
                </c:pt>
                <c:pt idx="580">
                  <c:v>-0.20000000000008367</c:v>
                </c:pt>
                <c:pt idx="581">
                  <c:v>-0.19000000000008366</c:v>
                </c:pt>
                <c:pt idx="582">
                  <c:v>-0.18000000000008365</c:v>
                </c:pt>
                <c:pt idx="583">
                  <c:v>-0.17000000000008364</c:v>
                </c:pt>
                <c:pt idx="584">
                  <c:v>-0.16000000000008363</c:v>
                </c:pt>
                <c:pt idx="585">
                  <c:v>-0.15000000000008362</c:v>
                </c:pt>
                <c:pt idx="586">
                  <c:v>-0.14000000000008361</c:v>
                </c:pt>
                <c:pt idx="587">
                  <c:v>-0.1300000000000836</c:v>
                </c:pt>
                <c:pt idx="588">
                  <c:v>-0.12000000000008361</c:v>
                </c:pt>
                <c:pt idx="589">
                  <c:v>-0.11000000000008361</c:v>
                </c:pt>
                <c:pt idx="590">
                  <c:v>-0.10000000000008362</c:v>
                </c:pt>
                <c:pt idx="591">
                  <c:v>-9.0000000000083624E-2</c:v>
                </c:pt>
                <c:pt idx="592">
                  <c:v>-8.0000000000083629E-2</c:v>
                </c:pt>
                <c:pt idx="593">
                  <c:v>-7.0000000000083634E-2</c:v>
                </c:pt>
                <c:pt idx="594">
                  <c:v>-6.0000000000083632E-2</c:v>
                </c:pt>
                <c:pt idx="595">
                  <c:v>-5.000000000008363E-2</c:v>
                </c:pt>
                <c:pt idx="596">
                  <c:v>-4.0000000000083628E-2</c:v>
                </c:pt>
                <c:pt idx="597">
                  <c:v>-3.0000000000083626E-2</c:v>
                </c:pt>
                <c:pt idx="598">
                  <c:v>-2.0000000000083624E-2</c:v>
                </c:pt>
                <c:pt idx="599">
                  <c:v>-1.0000000000083624E-2</c:v>
                </c:pt>
                <c:pt idx="600">
                  <c:v>-8.3624079882937963E-14</c:v>
                </c:pt>
                <c:pt idx="601">
                  <c:v>9.9999999999163761E-3</c:v>
                </c:pt>
                <c:pt idx="602">
                  <c:v>1.9999999999916376E-2</c:v>
                </c:pt>
                <c:pt idx="603">
                  <c:v>2.9999999999916378E-2</c:v>
                </c:pt>
                <c:pt idx="604">
                  <c:v>3.999999999991638E-2</c:v>
                </c:pt>
                <c:pt idx="605">
                  <c:v>4.9999999999916382E-2</c:v>
                </c:pt>
                <c:pt idx="606">
                  <c:v>5.9999999999916384E-2</c:v>
                </c:pt>
                <c:pt idx="607">
                  <c:v>6.9999999999916379E-2</c:v>
                </c:pt>
                <c:pt idx="608">
                  <c:v>7.9999999999916374E-2</c:v>
                </c:pt>
                <c:pt idx="609">
                  <c:v>8.9999999999916369E-2</c:v>
                </c:pt>
                <c:pt idx="610">
                  <c:v>9.9999999999916364E-2</c:v>
                </c:pt>
                <c:pt idx="611">
                  <c:v>0.10999999999991636</c:v>
                </c:pt>
                <c:pt idx="612">
                  <c:v>0.11999999999991635</c:v>
                </c:pt>
                <c:pt idx="613">
                  <c:v>0.12999999999991635</c:v>
                </c:pt>
                <c:pt idx="614">
                  <c:v>0.13999999999991636</c:v>
                </c:pt>
                <c:pt idx="615">
                  <c:v>0.14999999999991637</c:v>
                </c:pt>
                <c:pt idx="616">
                  <c:v>0.15999999999991638</c:v>
                </c:pt>
                <c:pt idx="617">
                  <c:v>0.16999999999991638</c:v>
                </c:pt>
                <c:pt idx="618">
                  <c:v>0.17999999999991639</c:v>
                </c:pt>
                <c:pt idx="619">
                  <c:v>0.1899999999999164</c:v>
                </c:pt>
                <c:pt idx="620">
                  <c:v>0.19999999999991641</c:v>
                </c:pt>
                <c:pt idx="621">
                  <c:v>0.20999999999991642</c:v>
                </c:pt>
                <c:pt idx="622">
                  <c:v>0.21999999999991643</c:v>
                </c:pt>
                <c:pt idx="623">
                  <c:v>0.22999999999991644</c:v>
                </c:pt>
                <c:pt idx="624">
                  <c:v>0.23999999999991645</c:v>
                </c:pt>
                <c:pt idx="625">
                  <c:v>0.24999999999991646</c:v>
                </c:pt>
                <c:pt idx="626">
                  <c:v>0.25999999999991646</c:v>
                </c:pt>
                <c:pt idx="627">
                  <c:v>0.26999999999991647</c:v>
                </c:pt>
                <c:pt idx="628">
                  <c:v>0.27999999999991648</c:v>
                </c:pt>
                <c:pt idx="629">
                  <c:v>0.28999999999991649</c:v>
                </c:pt>
                <c:pt idx="630">
                  <c:v>0.2999999999999165</c:v>
                </c:pt>
                <c:pt idx="631">
                  <c:v>0.30999999999991651</c:v>
                </c:pt>
                <c:pt idx="632">
                  <c:v>0.31999999999991652</c:v>
                </c:pt>
                <c:pt idx="633">
                  <c:v>0.32999999999991653</c:v>
                </c:pt>
                <c:pt idx="634">
                  <c:v>0.33999999999991654</c:v>
                </c:pt>
                <c:pt idx="635">
                  <c:v>0.34999999999991654</c:v>
                </c:pt>
                <c:pt idx="636">
                  <c:v>0.35999999999991655</c:v>
                </c:pt>
                <c:pt idx="637">
                  <c:v>0.36999999999991656</c:v>
                </c:pt>
                <c:pt idx="638">
                  <c:v>0.37999999999991657</c:v>
                </c:pt>
                <c:pt idx="639">
                  <c:v>0.38999999999991658</c:v>
                </c:pt>
                <c:pt idx="640">
                  <c:v>0.39999999999991659</c:v>
                </c:pt>
                <c:pt idx="641">
                  <c:v>0.4099999999999166</c:v>
                </c:pt>
                <c:pt idx="642">
                  <c:v>0.41999999999991661</c:v>
                </c:pt>
                <c:pt idx="643">
                  <c:v>0.42999999999991662</c:v>
                </c:pt>
                <c:pt idx="644">
                  <c:v>0.43999999999991662</c:v>
                </c:pt>
                <c:pt idx="645">
                  <c:v>0.44999999999991663</c:v>
                </c:pt>
                <c:pt idx="646">
                  <c:v>0.45999999999991664</c:v>
                </c:pt>
                <c:pt idx="647">
                  <c:v>0.46999999999991665</c:v>
                </c:pt>
                <c:pt idx="648">
                  <c:v>0.47999999999991666</c:v>
                </c:pt>
                <c:pt idx="649">
                  <c:v>0.48999999999991667</c:v>
                </c:pt>
                <c:pt idx="650">
                  <c:v>0.49999999999991668</c:v>
                </c:pt>
                <c:pt idx="651">
                  <c:v>0.50999999999991663</c:v>
                </c:pt>
                <c:pt idx="652">
                  <c:v>0.51999999999991664</c:v>
                </c:pt>
                <c:pt idx="653">
                  <c:v>0.52999999999991665</c:v>
                </c:pt>
                <c:pt idx="654">
                  <c:v>0.53999999999991666</c:v>
                </c:pt>
                <c:pt idx="655">
                  <c:v>0.54999999999991667</c:v>
                </c:pt>
                <c:pt idx="656">
                  <c:v>0.55999999999991668</c:v>
                </c:pt>
                <c:pt idx="657">
                  <c:v>0.56999999999991668</c:v>
                </c:pt>
                <c:pt idx="658">
                  <c:v>0.57999999999991669</c:v>
                </c:pt>
                <c:pt idx="659">
                  <c:v>0.5899999999999167</c:v>
                </c:pt>
                <c:pt idx="660">
                  <c:v>0.59999999999991671</c:v>
                </c:pt>
                <c:pt idx="661">
                  <c:v>0.60999999999991672</c:v>
                </c:pt>
                <c:pt idx="662">
                  <c:v>0.61999999999991673</c:v>
                </c:pt>
                <c:pt idx="663">
                  <c:v>0.62999999999991674</c:v>
                </c:pt>
                <c:pt idx="664">
                  <c:v>0.63999999999991675</c:v>
                </c:pt>
                <c:pt idx="665">
                  <c:v>0.64999999999991676</c:v>
                </c:pt>
                <c:pt idx="666">
                  <c:v>0.65999999999991676</c:v>
                </c:pt>
                <c:pt idx="667">
                  <c:v>0.66999999999991677</c:v>
                </c:pt>
                <c:pt idx="668">
                  <c:v>0.67999999999991678</c:v>
                </c:pt>
                <c:pt idx="669">
                  <c:v>0.68999999999991679</c:v>
                </c:pt>
                <c:pt idx="670">
                  <c:v>0.6999999999999168</c:v>
                </c:pt>
                <c:pt idx="671">
                  <c:v>0.70999999999991681</c:v>
                </c:pt>
                <c:pt idx="672">
                  <c:v>0.71999999999991682</c:v>
                </c:pt>
                <c:pt idx="673">
                  <c:v>0.72999999999991683</c:v>
                </c:pt>
                <c:pt idx="674">
                  <c:v>0.73999999999991684</c:v>
                </c:pt>
                <c:pt idx="675">
                  <c:v>0.74999999999991684</c:v>
                </c:pt>
                <c:pt idx="676">
                  <c:v>0.75999999999991685</c:v>
                </c:pt>
                <c:pt idx="677">
                  <c:v>0.76999999999991686</c:v>
                </c:pt>
                <c:pt idx="678">
                  <c:v>0.77999999999991687</c:v>
                </c:pt>
                <c:pt idx="679">
                  <c:v>0.78999999999991688</c:v>
                </c:pt>
                <c:pt idx="680">
                  <c:v>0.79999999999991689</c:v>
                </c:pt>
                <c:pt idx="681">
                  <c:v>0.8099999999999169</c:v>
                </c:pt>
                <c:pt idx="682">
                  <c:v>0.81999999999991691</c:v>
                </c:pt>
                <c:pt idx="683">
                  <c:v>0.82999999999991692</c:v>
                </c:pt>
                <c:pt idx="684">
                  <c:v>0.83999999999991692</c:v>
                </c:pt>
                <c:pt idx="685">
                  <c:v>0.84999999999991693</c:v>
                </c:pt>
                <c:pt idx="686">
                  <c:v>0.85999999999991694</c:v>
                </c:pt>
                <c:pt idx="687">
                  <c:v>0.86999999999991695</c:v>
                </c:pt>
                <c:pt idx="688">
                  <c:v>0.87999999999991696</c:v>
                </c:pt>
                <c:pt idx="689">
                  <c:v>0.88999999999991697</c:v>
                </c:pt>
                <c:pt idx="690">
                  <c:v>0.89999999999991698</c:v>
                </c:pt>
                <c:pt idx="691">
                  <c:v>0.90999999999991699</c:v>
                </c:pt>
                <c:pt idx="692">
                  <c:v>0.919999999999917</c:v>
                </c:pt>
                <c:pt idx="693">
                  <c:v>0.929999999999917</c:v>
                </c:pt>
                <c:pt idx="694">
                  <c:v>0.93999999999991701</c:v>
                </c:pt>
                <c:pt idx="695">
                  <c:v>0.94999999999991702</c:v>
                </c:pt>
                <c:pt idx="696">
                  <c:v>0.95999999999991703</c:v>
                </c:pt>
                <c:pt idx="697">
                  <c:v>0.96999999999991704</c:v>
                </c:pt>
                <c:pt idx="698">
                  <c:v>0.97999999999991705</c:v>
                </c:pt>
                <c:pt idx="699">
                  <c:v>0.98999999999991706</c:v>
                </c:pt>
                <c:pt idx="700">
                  <c:v>0.99999999999991707</c:v>
                </c:pt>
                <c:pt idx="701">
                  <c:v>1.009999999999917</c:v>
                </c:pt>
                <c:pt idx="702">
                  <c:v>1.019999999999917</c:v>
                </c:pt>
                <c:pt idx="703">
                  <c:v>1.029999999999917</c:v>
                </c:pt>
                <c:pt idx="704">
                  <c:v>1.039999999999917</c:v>
                </c:pt>
                <c:pt idx="705">
                  <c:v>1.049999999999917</c:v>
                </c:pt>
                <c:pt idx="706">
                  <c:v>1.059999999999917</c:v>
                </c:pt>
                <c:pt idx="707">
                  <c:v>1.069999999999917</c:v>
                </c:pt>
                <c:pt idx="708">
                  <c:v>1.079999999999917</c:v>
                </c:pt>
                <c:pt idx="709">
                  <c:v>1.089999999999917</c:v>
                </c:pt>
                <c:pt idx="710">
                  <c:v>1.099999999999917</c:v>
                </c:pt>
                <c:pt idx="711">
                  <c:v>1.1099999999999171</c:v>
                </c:pt>
                <c:pt idx="712">
                  <c:v>1.1199999999999171</c:v>
                </c:pt>
                <c:pt idx="713">
                  <c:v>1.1299999999999171</c:v>
                </c:pt>
                <c:pt idx="714">
                  <c:v>1.1399999999999171</c:v>
                </c:pt>
                <c:pt idx="715">
                  <c:v>1.1499999999999171</c:v>
                </c:pt>
                <c:pt idx="716">
                  <c:v>1.1599999999999171</c:v>
                </c:pt>
                <c:pt idx="717">
                  <c:v>1.1699999999999171</c:v>
                </c:pt>
                <c:pt idx="718">
                  <c:v>1.1799999999999171</c:v>
                </c:pt>
                <c:pt idx="719">
                  <c:v>1.1899999999999171</c:v>
                </c:pt>
                <c:pt idx="720">
                  <c:v>1.1999999999999171</c:v>
                </c:pt>
                <c:pt idx="721">
                  <c:v>1.2099999999999171</c:v>
                </c:pt>
                <c:pt idx="722">
                  <c:v>1.2199999999999172</c:v>
                </c:pt>
                <c:pt idx="723">
                  <c:v>1.2299999999999172</c:v>
                </c:pt>
                <c:pt idx="724">
                  <c:v>1.2399999999999172</c:v>
                </c:pt>
                <c:pt idx="725">
                  <c:v>1.2499999999999172</c:v>
                </c:pt>
                <c:pt idx="726">
                  <c:v>1.2599999999999172</c:v>
                </c:pt>
                <c:pt idx="727">
                  <c:v>1.2699999999999172</c:v>
                </c:pt>
                <c:pt idx="728">
                  <c:v>1.2799999999999172</c:v>
                </c:pt>
                <c:pt idx="729">
                  <c:v>1.2899999999999172</c:v>
                </c:pt>
                <c:pt idx="730">
                  <c:v>1.2999999999999172</c:v>
                </c:pt>
                <c:pt idx="731">
                  <c:v>1.3099999999999172</c:v>
                </c:pt>
                <c:pt idx="732">
                  <c:v>1.3199999999999172</c:v>
                </c:pt>
                <c:pt idx="733">
                  <c:v>1.3299999999999172</c:v>
                </c:pt>
                <c:pt idx="734">
                  <c:v>1.3399999999999173</c:v>
                </c:pt>
                <c:pt idx="735">
                  <c:v>1.3499999999999173</c:v>
                </c:pt>
                <c:pt idx="736">
                  <c:v>1.3599999999999173</c:v>
                </c:pt>
                <c:pt idx="737">
                  <c:v>1.3699999999999173</c:v>
                </c:pt>
                <c:pt idx="738">
                  <c:v>1.3799999999999173</c:v>
                </c:pt>
                <c:pt idx="739">
                  <c:v>1.3899999999999173</c:v>
                </c:pt>
                <c:pt idx="740">
                  <c:v>1.3999999999999173</c:v>
                </c:pt>
                <c:pt idx="741">
                  <c:v>1.4099999999999173</c:v>
                </c:pt>
                <c:pt idx="742">
                  <c:v>1.4199999999999173</c:v>
                </c:pt>
                <c:pt idx="743">
                  <c:v>1.4299999999999173</c:v>
                </c:pt>
                <c:pt idx="744">
                  <c:v>1.4399999999999173</c:v>
                </c:pt>
                <c:pt idx="745">
                  <c:v>1.4499999999999174</c:v>
                </c:pt>
                <c:pt idx="746">
                  <c:v>1.4599999999999174</c:v>
                </c:pt>
                <c:pt idx="747">
                  <c:v>1.4699999999999174</c:v>
                </c:pt>
                <c:pt idx="748">
                  <c:v>1.4799999999999174</c:v>
                </c:pt>
                <c:pt idx="749">
                  <c:v>1.4899999999999174</c:v>
                </c:pt>
                <c:pt idx="750">
                  <c:v>1.4999999999999174</c:v>
                </c:pt>
                <c:pt idx="751">
                  <c:v>1.5099999999999174</c:v>
                </c:pt>
                <c:pt idx="752">
                  <c:v>1.5199999999999174</c:v>
                </c:pt>
                <c:pt idx="753">
                  <c:v>1.5299999999999174</c:v>
                </c:pt>
                <c:pt idx="754">
                  <c:v>1.5399999999999174</c:v>
                </c:pt>
                <c:pt idx="755">
                  <c:v>1.5499999999999174</c:v>
                </c:pt>
                <c:pt idx="756">
                  <c:v>1.5599999999999175</c:v>
                </c:pt>
                <c:pt idx="757">
                  <c:v>1.5699999999999175</c:v>
                </c:pt>
                <c:pt idx="758">
                  <c:v>1.5799999999999175</c:v>
                </c:pt>
                <c:pt idx="759">
                  <c:v>1.5899999999999175</c:v>
                </c:pt>
                <c:pt idx="760">
                  <c:v>1.5999999999999175</c:v>
                </c:pt>
                <c:pt idx="761">
                  <c:v>1.6099999999999175</c:v>
                </c:pt>
                <c:pt idx="762">
                  <c:v>1.6199999999999175</c:v>
                </c:pt>
                <c:pt idx="763">
                  <c:v>1.6299999999999175</c:v>
                </c:pt>
                <c:pt idx="764">
                  <c:v>1.6399999999999175</c:v>
                </c:pt>
                <c:pt idx="765">
                  <c:v>1.6499999999999175</c:v>
                </c:pt>
                <c:pt idx="766">
                  <c:v>1.6599999999999175</c:v>
                </c:pt>
                <c:pt idx="767">
                  <c:v>1.6699999999999176</c:v>
                </c:pt>
                <c:pt idx="768">
                  <c:v>1.6799999999999176</c:v>
                </c:pt>
                <c:pt idx="769">
                  <c:v>1.6899999999999176</c:v>
                </c:pt>
                <c:pt idx="770">
                  <c:v>1.6999999999999176</c:v>
                </c:pt>
                <c:pt idx="771">
                  <c:v>1.7099999999999176</c:v>
                </c:pt>
                <c:pt idx="772">
                  <c:v>1.7199999999999176</c:v>
                </c:pt>
                <c:pt idx="773">
                  <c:v>1.7299999999999176</c:v>
                </c:pt>
                <c:pt idx="774">
                  <c:v>1.7399999999999176</c:v>
                </c:pt>
                <c:pt idx="775">
                  <c:v>1.7499999999999176</c:v>
                </c:pt>
                <c:pt idx="776">
                  <c:v>1.7599999999999176</c:v>
                </c:pt>
                <c:pt idx="777">
                  <c:v>1.7699999999999176</c:v>
                </c:pt>
                <c:pt idx="778">
                  <c:v>1.7799999999999176</c:v>
                </c:pt>
                <c:pt idx="779">
                  <c:v>1.7899999999999177</c:v>
                </c:pt>
                <c:pt idx="780">
                  <c:v>1.7999999999999177</c:v>
                </c:pt>
                <c:pt idx="781">
                  <c:v>1.8099999999999177</c:v>
                </c:pt>
                <c:pt idx="782">
                  <c:v>1.8199999999999177</c:v>
                </c:pt>
                <c:pt idx="783">
                  <c:v>1.8299999999999177</c:v>
                </c:pt>
                <c:pt idx="784">
                  <c:v>1.8399999999999177</c:v>
                </c:pt>
                <c:pt idx="785">
                  <c:v>1.8499999999999177</c:v>
                </c:pt>
                <c:pt idx="786">
                  <c:v>1.8599999999999177</c:v>
                </c:pt>
                <c:pt idx="787">
                  <c:v>1.8699999999999177</c:v>
                </c:pt>
                <c:pt idx="788">
                  <c:v>1.8799999999999177</c:v>
                </c:pt>
                <c:pt idx="789">
                  <c:v>1.8899999999999177</c:v>
                </c:pt>
                <c:pt idx="790">
                  <c:v>1.8999999999999178</c:v>
                </c:pt>
                <c:pt idx="791">
                  <c:v>1.9099999999999178</c:v>
                </c:pt>
                <c:pt idx="792">
                  <c:v>1.9199999999999178</c:v>
                </c:pt>
                <c:pt idx="793">
                  <c:v>1.9299999999999178</c:v>
                </c:pt>
                <c:pt idx="794">
                  <c:v>1.9399999999999178</c:v>
                </c:pt>
                <c:pt idx="795">
                  <c:v>1.9499999999999178</c:v>
                </c:pt>
                <c:pt idx="796">
                  <c:v>1.9599999999999178</c:v>
                </c:pt>
                <c:pt idx="797">
                  <c:v>1.9699999999999178</c:v>
                </c:pt>
                <c:pt idx="798">
                  <c:v>1.9799999999999178</c:v>
                </c:pt>
                <c:pt idx="799">
                  <c:v>1.9899999999999178</c:v>
                </c:pt>
                <c:pt idx="800">
                  <c:v>1.9999999999999178</c:v>
                </c:pt>
                <c:pt idx="801">
                  <c:v>2.0099999999999176</c:v>
                </c:pt>
                <c:pt idx="802">
                  <c:v>2.0199999999999174</c:v>
                </c:pt>
                <c:pt idx="803">
                  <c:v>2.0299999999999172</c:v>
                </c:pt>
                <c:pt idx="804">
                  <c:v>2.039999999999917</c:v>
                </c:pt>
                <c:pt idx="805">
                  <c:v>2.0499999999999168</c:v>
                </c:pt>
                <c:pt idx="806">
                  <c:v>2.0599999999999166</c:v>
                </c:pt>
                <c:pt idx="807">
                  <c:v>2.0699999999999164</c:v>
                </c:pt>
                <c:pt idx="808">
                  <c:v>2.0799999999999161</c:v>
                </c:pt>
                <c:pt idx="809">
                  <c:v>2.0899999999999159</c:v>
                </c:pt>
                <c:pt idx="810">
                  <c:v>2.0999999999999157</c:v>
                </c:pt>
                <c:pt idx="811">
                  <c:v>2.1099999999999155</c:v>
                </c:pt>
                <c:pt idx="812">
                  <c:v>2.1199999999999153</c:v>
                </c:pt>
                <c:pt idx="813">
                  <c:v>2.1299999999999151</c:v>
                </c:pt>
                <c:pt idx="814">
                  <c:v>2.1399999999999149</c:v>
                </c:pt>
                <c:pt idx="815">
                  <c:v>2.1499999999999146</c:v>
                </c:pt>
                <c:pt idx="816">
                  <c:v>2.1599999999999144</c:v>
                </c:pt>
                <c:pt idx="817">
                  <c:v>2.1699999999999142</c:v>
                </c:pt>
                <c:pt idx="818">
                  <c:v>2.179999999999914</c:v>
                </c:pt>
                <c:pt idx="819">
                  <c:v>2.1899999999999138</c:v>
                </c:pt>
                <c:pt idx="820">
                  <c:v>2.1999999999999136</c:v>
                </c:pt>
                <c:pt idx="821">
                  <c:v>2.2099999999999134</c:v>
                </c:pt>
                <c:pt idx="822">
                  <c:v>2.2199999999999132</c:v>
                </c:pt>
                <c:pt idx="823">
                  <c:v>2.2299999999999129</c:v>
                </c:pt>
                <c:pt idx="824">
                  <c:v>2.2399999999999127</c:v>
                </c:pt>
                <c:pt idx="825">
                  <c:v>2.2499999999999125</c:v>
                </c:pt>
                <c:pt idx="826">
                  <c:v>2.2599999999999123</c:v>
                </c:pt>
                <c:pt idx="827">
                  <c:v>2.2699999999999121</c:v>
                </c:pt>
                <c:pt idx="828">
                  <c:v>2.2799999999999119</c:v>
                </c:pt>
                <c:pt idx="829">
                  <c:v>2.2899999999999117</c:v>
                </c:pt>
                <c:pt idx="830">
                  <c:v>2.2999999999999114</c:v>
                </c:pt>
                <c:pt idx="831">
                  <c:v>2.3099999999999112</c:v>
                </c:pt>
                <c:pt idx="832">
                  <c:v>2.319999999999911</c:v>
                </c:pt>
                <c:pt idx="833">
                  <c:v>2.3299999999999108</c:v>
                </c:pt>
                <c:pt idx="834">
                  <c:v>2.3399999999999106</c:v>
                </c:pt>
                <c:pt idx="835">
                  <c:v>2.3499999999999104</c:v>
                </c:pt>
                <c:pt idx="836">
                  <c:v>2.3599999999999102</c:v>
                </c:pt>
                <c:pt idx="837">
                  <c:v>2.36999999999991</c:v>
                </c:pt>
                <c:pt idx="838">
                  <c:v>2.3799999999999097</c:v>
                </c:pt>
                <c:pt idx="839">
                  <c:v>2.3899999999999095</c:v>
                </c:pt>
                <c:pt idx="840">
                  <c:v>2.3999999999999093</c:v>
                </c:pt>
                <c:pt idx="841">
                  <c:v>2.4099999999999091</c:v>
                </c:pt>
                <c:pt idx="842">
                  <c:v>2.4199999999999089</c:v>
                </c:pt>
                <c:pt idx="843">
                  <c:v>2.4299999999999087</c:v>
                </c:pt>
                <c:pt idx="844">
                  <c:v>2.4399999999999085</c:v>
                </c:pt>
                <c:pt idx="845">
                  <c:v>2.4499999999999083</c:v>
                </c:pt>
                <c:pt idx="846">
                  <c:v>2.459999999999908</c:v>
                </c:pt>
                <c:pt idx="847">
                  <c:v>2.4699999999999078</c:v>
                </c:pt>
                <c:pt idx="848">
                  <c:v>2.4799999999999076</c:v>
                </c:pt>
                <c:pt idx="849">
                  <c:v>2.4899999999999074</c:v>
                </c:pt>
                <c:pt idx="850">
                  <c:v>2.4999999999999072</c:v>
                </c:pt>
                <c:pt idx="851">
                  <c:v>2.509999999999907</c:v>
                </c:pt>
                <c:pt idx="852">
                  <c:v>2.5199999999999068</c:v>
                </c:pt>
                <c:pt idx="853">
                  <c:v>2.5299999999999065</c:v>
                </c:pt>
                <c:pt idx="854">
                  <c:v>2.5399999999999063</c:v>
                </c:pt>
                <c:pt idx="855">
                  <c:v>2.5499999999999061</c:v>
                </c:pt>
                <c:pt idx="856">
                  <c:v>2.5599999999999059</c:v>
                </c:pt>
                <c:pt idx="857">
                  <c:v>2.5699999999999057</c:v>
                </c:pt>
                <c:pt idx="858">
                  <c:v>2.5799999999999055</c:v>
                </c:pt>
                <c:pt idx="859">
                  <c:v>2.5899999999999053</c:v>
                </c:pt>
                <c:pt idx="860">
                  <c:v>2.5999999999999051</c:v>
                </c:pt>
                <c:pt idx="861">
                  <c:v>2.6099999999999048</c:v>
                </c:pt>
                <c:pt idx="862">
                  <c:v>2.6199999999999046</c:v>
                </c:pt>
                <c:pt idx="863">
                  <c:v>2.6299999999999044</c:v>
                </c:pt>
                <c:pt idx="864">
                  <c:v>2.6399999999999042</c:v>
                </c:pt>
                <c:pt idx="865">
                  <c:v>2.649999999999904</c:v>
                </c:pt>
                <c:pt idx="866">
                  <c:v>2.6599999999999038</c:v>
                </c:pt>
                <c:pt idx="867">
                  <c:v>2.6699999999999036</c:v>
                </c:pt>
                <c:pt idx="868">
                  <c:v>2.6799999999999033</c:v>
                </c:pt>
                <c:pt idx="869">
                  <c:v>2.6899999999999031</c:v>
                </c:pt>
                <c:pt idx="870">
                  <c:v>2.6999999999999029</c:v>
                </c:pt>
                <c:pt idx="871">
                  <c:v>2.7099999999999027</c:v>
                </c:pt>
                <c:pt idx="872">
                  <c:v>2.7199999999999025</c:v>
                </c:pt>
                <c:pt idx="873">
                  <c:v>2.7299999999999023</c:v>
                </c:pt>
                <c:pt idx="874">
                  <c:v>2.7399999999999021</c:v>
                </c:pt>
                <c:pt idx="875">
                  <c:v>2.7499999999999019</c:v>
                </c:pt>
                <c:pt idx="876">
                  <c:v>2.7599999999999016</c:v>
                </c:pt>
                <c:pt idx="877">
                  <c:v>2.7699999999999014</c:v>
                </c:pt>
                <c:pt idx="878">
                  <c:v>2.7799999999999012</c:v>
                </c:pt>
                <c:pt idx="879">
                  <c:v>2.789999999999901</c:v>
                </c:pt>
                <c:pt idx="880">
                  <c:v>2.7999999999999008</c:v>
                </c:pt>
                <c:pt idx="881">
                  <c:v>2.8099999999999006</c:v>
                </c:pt>
                <c:pt idx="882">
                  <c:v>2.8199999999999004</c:v>
                </c:pt>
                <c:pt idx="883">
                  <c:v>2.8299999999999002</c:v>
                </c:pt>
                <c:pt idx="884">
                  <c:v>2.8399999999998999</c:v>
                </c:pt>
                <c:pt idx="885">
                  <c:v>2.8499999999998997</c:v>
                </c:pt>
                <c:pt idx="886">
                  <c:v>2.8599999999998995</c:v>
                </c:pt>
                <c:pt idx="887">
                  <c:v>2.8699999999998993</c:v>
                </c:pt>
                <c:pt idx="888">
                  <c:v>2.8799999999998991</c:v>
                </c:pt>
                <c:pt idx="889">
                  <c:v>2.8899999999998989</c:v>
                </c:pt>
                <c:pt idx="890">
                  <c:v>2.8999999999998987</c:v>
                </c:pt>
                <c:pt idx="891">
                  <c:v>2.9099999999998984</c:v>
                </c:pt>
                <c:pt idx="892">
                  <c:v>2.9199999999998982</c:v>
                </c:pt>
                <c:pt idx="893">
                  <c:v>2.929999999999898</c:v>
                </c:pt>
                <c:pt idx="894">
                  <c:v>2.9399999999998978</c:v>
                </c:pt>
                <c:pt idx="895">
                  <c:v>2.9499999999998976</c:v>
                </c:pt>
                <c:pt idx="896">
                  <c:v>2.9599999999998974</c:v>
                </c:pt>
                <c:pt idx="897">
                  <c:v>2.9699999999998972</c:v>
                </c:pt>
                <c:pt idx="898">
                  <c:v>2.979999999999897</c:v>
                </c:pt>
                <c:pt idx="899">
                  <c:v>2.9899999999998967</c:v>
                </c:pt>
                <c:pt idx="900">
                  <c:v>2.9999999999998965</c:v>
                </c:pt>
                <c:pt idx="901">
                  <c:v>3.0099999999998963</c:v>
                </c:pt>
                <c:pt idx="902">
                  <c:v>3.0199999999998961</c:v>
                </c:pt>
                <c:pt idx="903">
                  <c:v>3.0299999999998959</c:v>
                </c:pt>
                <c:pt idx="904">
                  <c:v>3.0399999999998957</c:v>
                </c:pt>
                <c:pt idx="905">
                  <c:v>3.0499999999998955</c:v>
                </c:pt>
                <c:pt idx="906">
                  <c:v>3.0599999999998952</c:v>
                </c:pt>
                <c:pt idx="907">
                  <c:v>3.069999999999895</c:v>
                </c:pt>
                <c:pt idx="908">
                  <c:v>3.0799999999998948</c:v>
                </c:pt>
                <c:pt idx="909">
                  <c:v>3.0899999999998946</c:v>
                </c:pt>
                <c:pt idx="910">
                  <c:v>3.0999999999998944</c:v>
                </c:pt>
                <c:pt idx="911">
                  <c:v>3.1099999999998942</c:v>
                </c:pt>
                <c:pt idx="912">
                  <c:v>3.119999999999894</c:v>
                </c:pt>
                <c:pt idx="913">
                  <c:v>3.1299999999998938</c:v>
                </c:pt>
                <c:pt idx="914">
                  <c:v>3.1399999999998935</c:v>
                </c:pt>
                <c:pt idx="915">
                  <c:v>3.1499999999998933</c:v>
                </c:pt>
                <c:pt idx="916">
                  <c:v>3.1599999999998931</c:v>
                </c:pt>
                <c:pt idx="917">
                  <c:v>3.1699999999998929</c:v>
                </c:pt>
                <c:pt idx="918">
                  <c:v>3.1799999999998927</c:v>
                </c:pt>
                <c:pt idx="919">
                  <c:v>3.1899999999998925</c:v>
                </c:pt>
                <c:pt idx="920">
                  <c:v>3.1999999999998923</c:v>
                </c:pt>
                <c:pt idx="921">
                  <c:v>3.2099999999998921</c:v>
                </c:pt>
                <c:pt idx="922">
                  <c:v>3.2199999999998918</c:v>
                </c:pt>
                <c:pt idx="923">
                  <c:v>3.2299999999998916</c:v>
                </c:pt>
                <c:pt idx="924">
                  <c:v>3.2399999999998914</c:v>
                </c:pt>
                <c:pt idx="925">
                  <c:v>3.2499999999998912</c:v>
                </c:pt>
                <c:pt idx="926">
                  <c:v>3.259999999999891</c:v>
                </c:pt>
                <c:pt idx="927">
                  <c:v>3.2699999999998908</c:v>
                </c:pt>
                <c:pt idx="928">
                  <c:v>3.2799999999998906</c:v>
                </c:pt>
                <c:pt idx="929">
                  <c:v>3.2899999999998903</c:v>
                </c:pt>
                <c:pt idx="930">
                  <c:v>3.2999999999998901</c:v>
                </c:pt>
                <c:pt idx="931">
                  <c:v>3.3099999999998899</c:v>
                </c:pt>
                <c:pt idx="932">
                  <c:v>3.3199999999998897</c:v>
                </c:pt>
                <c:pt idx="933">
                  <c:v>3.3299999999998895</c:v>
                </c:pt>
                <c:pt idx="934">
                  <c:v>3.3399999999998893</c:v>
                </c:pt>
                <c:pt idx="935">
                  <c:v>3.3499999999998891</c:v>
                </c:pt>
                <c:pt idx="936">
                  <c:v>3.3599999999998889</c:v>
                </c:pt>
                <c:pt idx="937">
                  <c:v>3.3699999999998886</c:v>
                </c:pt>
                <c:pt idx="938">
                  <c:v>3.3799999999998884</c:v>
                </c:pt>
                <c:pt idx="939">
                  <c:v>3.3899999999998882</c:v>
                </c:pt>
                <c:pt idx="940">
                  <c:v>3.399999999999888</c:v>
                </c:pt>
                <c:pt idx="941">
                  <c:v>3.4099999999998878</c:v>
                </c:pt>
                <c:pt idx="942">
                  <c:v>3.4199999999998876</c:v>
                </c:pt>
                <c:pt idx="943">
                  <c:v>3.4299999999998874</c:v>
                </c:pt>
                <c:pt idx="944">
                  <c:v>3.4399999999998871</c:v>
                </c:pt>
                <c:pt idx="945">
                  <c:v>3.4499999999998869</c:v>
                </c:pt>
                <c:pt idx="946">
                  <c:v>3.4599999999998867</c:v>
                </c:pt>
                <c:pt idx="947">
                  <c:v>3.4699999999998865</c:v>
                </c:pt>
                <c:pt idx="948">
                  <c:v>3.4799999999998863</c:v>
                </c:pt>
                <c:pt idx="949">
                  <c:v>3.4899999999998861</c:v>
                </c:pt>
                <c:pt idx="950">
                  <c:v>3.4999999999998859</c:v>
                </c:pt>
                <c:pt idx="951">
                  <c:v>3.5099999999998857</c:v>
                </c:pt>
                <c:pt idx="952">
                  <c:v>3.5199999999998854</c:v>
                </c:pt>
                <c:pt idx="953">
                  <c:v>3.5299999999998852</c:v>
                </c:pt>
                <c:pt idx="954">
                  <c:v>3.539999999999885</c:v>
                </c:pt>
                <c:pt idx="955">
                  <c:v>3.5499999999998848</c:v>
                </c:pt>
                <c:pt idx="956">
                  <c:v>3.5599999999998846</c:v>
                </c:pt>
                <c:pt idx="957">
                  <c:v>3.5699999999998844</c:v>
                </c:pt>
                <c:pt idx="958">
                  <c:v>3.5799999999998842</c:v>
                </c:pt>
                <c:pt idx="959">
                  <c:v>3.589999999999884</c:v>
                </c:pt>
                <c:pt idx="960">
                  <c:v>3.5999999999998837</c:v>
                </c:pt>
                <c:pt idx="961">
                  <c:v>3.6099999999998835</c:v>
                </c:pt>
                <c:pt idx="962">
                  <c:v>3.6199999999998833</c:v>
                </c:pt>
                <c:pt idx="963">
                  <c:v>3.6299999999998831</c:v>
                </c:pt>
                <c:pt idx="964">
                  <c:v>3.6399999999998829</c:v>
                </c:pt>
                <c:pt idx="965">
                  <c:v>3.6499999999998827</c:v>
                </c:pt>
                <c:pt idx="966">
                  <c:v>3.6599999999998825</c:v>
                </c:pt>
                <c:pt idx="967">
                  <c:v>3.6699999999998822</c:v>
                </c:pt>
                <c:pt idx="968">
                  <c:v>3.679999999999882</c:v>
                </c:pt>
                <c:pt idx="969">
                  <c:v>3.6899999999998818</c:v>
                </c:pt>
                <c:pt idx="970">
                  <c:v>3.6999999999998816</c:v>
                </c:pt>
                <c:pt idx="971">
                  <c:v>3.7099999999998814</c:v>
                </c:pt>
                <c:pt idx="972">
                  <c:v>3.7199999999998812</c:v>
                </c:pt>
                <c:pt idx="973">
                  <c:v>3.729999999999881</c:v>
                </c:pt>
                <c:pt idx="974">
                  <c:v>3.7399999999998808</c:v>
                </c:pt>
                <c:pt idx="975">
                  <c:v>3.7499999999998805</c:v>
                </c:pt>
                <c:pt idx="976">
                  <c:v>3.7599999999998803</c:v>
                </c:pt>
                <c:pt idx="977">
                  <c:v>3.7699999999998801</c:v>
                </c:pt>
                <c:pt idx="978">
                  <c:v>3.7799999999998799</c:v>
                </c:pt>
                <c:pt idx="979">
                  <c:v>3.7899999999998797</c:v>
                </c:pt>
                <c:pt idx="980">
                  <c:v>3.7999999999998795</c:v>
                </c:pt>
                <c:pt idx="981">
                  <c:v>3.8099999999998793</c:v>
                </c:pt>
                <c:pt idx="982">
                  <c:v>3.819999999999879</c:v>
                </c:pt>
                <c:pt idx="983">
                  <c:v>3.8299999999998788</c:v>
                </c:pt>
                <c:pt idx="984">
                  <c:v>3.8399999999998786</c:v>
                </c:pt>
                <c:pt idx="985">
                  <c:v>3.8499999999998784</c:v>
                </c:pt>
                <c:pt idx="986">
                  <c:v>3.8599999999998782</c:v>
                </c:pt>
                <c:pt idx="987">
                  <c:v>3.869999999999878</c:v>
                </c:pt>
                <c:pt idx="988">
                  <c:v>3.8799999999998778</c:v>
                </c:pt>
                <c:pt idx="989">
                  <c:v>3.8899999999998776</c:v>
                </c:pt>
                <c:pt idx="990">
                  <c:v>3.8999999999998773</c:v>
                </c:pt>
                <c:pt idx="991">
                  <c:v>3.9099999999998771</c:v>
                </c:pt>
                <c:pt idx="992">
                  <c:v>3.9199999999998769</c:v>
                </c:pt>
                <c:pt idx="993">
                  <c:v>3.9299999999998767</c:v>
                </c:pt>
                <c:pt idx="994">
                  <c:v>3.9399999999998765</c:v>
                </c:pt>
                <c:pt idx="995">
                  <c:v>3.9499999999998763</c:v>
                </c:pt>
                <c:pt idx="996">
                  <c:v>3.9599999999998761</c:v>
                </c:pt>
                <c:pt idx="997">
                  <c:v>3.9699999999998759</c:v>
                </c:pt>
                <c:pt idx="998">
                  <c:v>3.9799999999998756</c:v>
                </c:pt>
                <c:pt idx="999">
                  <c:v>3.9899999999998754</c:v>
                </c:pt>
                <c:pt idx="1000">
                  <c:v>3.9999999999998752</c:v>
                </c:pt>
                <c:pt idx="1001">
                  <c:v>4.0099999999998754</c:v>
                </c:pt>
                <c:pt idx="1002">
                  <c:v>4.0199999999998752</c:v>
                </c:pt>
                <c:pt idx="1003">
                  <c:v>4.029999999999875</c:v>
                </c:pt>
                <c:pt idx="1004">
                  <c:v>4.0399999999998748</c:v>
                </c:pt>
                <c:pt idx="1005">
                  <c:v>4.0499999999998746</c:v>
                </c:pt>
                <c:pt idx="1006">
                  <c:v>4.0599999999998744</c:v>
                </c:pt>
                <c:pt idx="1007">
                  <c:v>4.0699999999998742</c:v>
                </c:pt>
                <c:pt idx="1008">
                  <c:v>4.0799999999998739</c:v>
                </c:pt>
                <c:pt idx="1009">
                  <c:v>4.0899999999998737</c:v>
                </c:pt>
                <c:pt idx="1010">
                  <c:v>4.0999999999998735</c:v>
                </c:pt>
                <c:pt idx="1011">
                  <c:v>4.1099999999998733</c:v>
                </c:pt>
                <c:pt idx="1012">
                  <c:v>4.1199999999998731</c:v>
                </c:pt>
                <c:pt idx="1013">
                  <c:v>4.1299999999998729</c:v>
                </c:pt>
                <c:pt idx="1014">
                  <c:v>4.1399999999998727</c:v>
                </c:pt>
                <c:pt idx="1015">
                  <c:v>4.1499999999998725</c:v>
                </c:pt>
                <c:pt idx="1016">
                  <c:v>4.1599999999998722</c:v>
                </c:pt>
                <c:pt idx="1017">
                  <c:v>4.169999999999872</c:v>
                </c:pt>
                <c:pt idx="1018">
                  <c:v>4.1799999999998718</c:v>
                </c:pt>
                <c:pt idx="1019">
                  <c:v>4.1899999999998716</c:v>
                </c:pt>
                <c:pt idx="1020">
                  <c:v>4.1999999999998714</c:v>
                </c:pt>
                <c:pt idx="1021">
                  <c:v>4.2099999999998712</c:v>
                </c:pt>
                <c:pt idx="1022">
                  <c:v>4.219999999999871</c:v>
                </c:pt>
                <c:pt idx="1023">
                  <c:v>4.2299999999998708</c:v>
                </c:pt>
                <c:pt idx="1024">
                  <c:v>4.2399999999998705</c:v>
                </c:pt>
                <c:pt idx="1025">
                  <c:v>4.2499999999998703</c:v>
                </c:pt>
                <c:pt idx="1026">
                  <c:v>4.2599999999998701</c:v>
                </c:pt>
                <c:pt idx="1027">
                  <c:v>4.2699999999998699</c:v>
                </c:pt>
                <c:pt idx="1028">
                  <c:v>4.2799999999998697</c:v>
                </c:pt>
                <c:pt idx="1029">
                  <c:v>4.2899999999998695</c:v>
                </c:pt>
                <c:pt idx="1030">
                  <c:v>4.2999999999998693</c:v>
                </c:pt>
                <c:pt idx="1031">
                  <c:v>4.309999999999869</c:v>
                </c:pt>
                <c:pt idx="1032">
                  <c:v>4.3199999999998688</c:v>
                </c:pt>
                <c:pt idx="1033">
                  <c:v>4.3299999999998686</c:v>
                </c:pt>
                <c:pt idx="1034">
                  <c:v>4.3399999999998684</c:v>
                </c:pt>
                <c:pt idx="1035">
                  <c:v>4.3499999999998682</c:v>
                </c:pt>
                <c:pt idx="1036">
                  <c:v>4.359999999999868</c:v>
                </c:pt>
                <c:pt idx="1037">
                  <c:v>4.3699999999998678</c:v>
                </c:pt>
                <c:pt idx="1038">
                  <c:v>4.3799999999998676</c:v>
                </c:pt>
                <c:pt idx="1039">
                  <c:v>4.3899999999998673</c:v>
                </c:pt>
                <c:pt idx="1040">
                  <c:v>4.3999999999998671</c:v>
                </c:pt>
                <c:pt idx="1041">
                  <c:v>4.4099999999998669</c:v>
                </c:pt>
                <c:pt idx="1042">
                  <c:v>4.4199999999998667</c:v>
                </c:pt>
                <c:pt idx="1043">
                  <c:v>4.4299999999998665</c:v>
                </c:pt>
                <c:pt idx="1044">
                  <c:v>4.4399999999998663</c:v>
                </c:pt>
                <c:pt idx="1045">
                  <c:v>4.4499999999998661</c:v>
                </c:pt>
                <c:pt idx="1046">
                  <c:v>4.4599999999998658</c:v>
                </c:pt>
                <c:pt idx="1047">
                  <c:v>4.4699999999998656</c:v>
                </c:pt>
                <c:pt idx="1048">
                  <c:v>4.4799999999998654</c:v>
                </c:pt>
                <c:pt idx="1049">
                  <c:v>4.4899999999998652</c:v>
                </c:pt>
                <c:pt idx="1050">
                  <c:v>4.499999999999865</c:v>
                </c:pt>
                <c:pt idx="1051">
                  <c:v>4.5099999999998648</c:v>
                </c:pt>
                <c:pt idx="1052">
                  <c:v>4.5199999999998646</c:v>
                </c:pt>
                <c:pt idx="1053">
                  <c:v>4.5299999999998644</c:v>
                </c:pt>
                <c:pt idx="1054">
                  <c:v>4.5399999999998641</c:v>
                </c:pt>
                <c:pt idx="1055">
                  <c:v>4.5499999999998639</c:v>
                </c:pt>
                <c:pt idx="1056">
                  <c:v>4.5599999999998637</c:v>
                </c:pt>
                <c:pt idx="1057">
                  <c:v>4.5699999999998635</c:v>
                </c:pt>
                <c:pt idx="1058">
                  <c:v>4.5799999999998633</c:v>
                </c:pt>
                <c:pt idx="1059">
                  <c:v>4.5899999999998631</c:v>
                </c:pt>
                <c:pt idx="1060">
                  <c:v>4.5999999999998629</c:v>
                </c:pt>
                <c:pt idx="1061">
                  <c:v>4.6099999999998627</c:v>
                </c:pt>
                <c:pt idx="1062">
                  <c:v>4.6199999999998624</c:v>
                </c:pt>
                <c:pt idx="1063">
                  <c:v>4.6299999999998622</c:v>
                </c:pt>
                <c:pt idx="1064">
                  <c:v>4.639999999999862</c:v>
                </c:pt>
                <c:pt idx="1065">
                  <c:v>4.6499999999998618</c:v>
                </c:pt>
                <c:pt idx="1066">
                  <c:v>4.6599999999998616</c:v>
                </c:pt>
                <c:pt idx="1067">
                  <c:v>4.6699999999998614</c:v>
                </c:pt>
                <c:pt idx="1068">
                  <c:v>4.6799999999998612</c:v>
                </c:pt>
                <c:pt idx="1069">
                  <c:v>4.6899999999998609</c:v>
                </c:pt>
                <c:pt idx="1070">
                  <c:v>4.6999999999998607</c:v>
                </c:pt>
                <c:pt idx="1071">
                  <c:v>4.7099999999998605</c:v>
                </c:pt>
                <c:pt idx="1072">
                  <c:v>4.7199999999998603</c:v>
                </c:pt>
                <c:pt idx="1073">
                  <c:v>4.7299999999998601</c:v>
                </c:pt>
                <c:pt idx="1074">
                  <c:v>4.7399999999998599</c:v>
                </c:pt>
                <c:pt idx="1075">
                  <c:v>4.7499999999998597</c:v>
                </c:pt>
                <c:pt idx="1076">
                  <c:v>4.7599999999998595</c:v>
                </c:pt>
                <c:pt idx="1077">
                  <c:v>4.7699999999998592</c:v>
                </c:pt>
                <c:pt idx="1078">
                  <c:v>4.779999999999859</c:v>
                </c:pt>
                <c:pt idx="1079">
                  <c:v>4.7899999999998588</c:v>
                </c:pt>
                <c:pt idx="1080">
                  <c:v>4.7999999999998586</c:v>
                </c:pt>
                <c:pt idx="1081">
                  <c:v>4.8099999999998584</c:v>
                </c:pt>
                <c:pt idx="1082">
                  <c:v>4.8199999999998582</c:v>
                </c:pt>
                <c:pt idx="1083">
                  <c:v>4.829999999999858</c:v>
                </c:pt>
                <c:pt idx="1084">
                  <c:v>4.8399999999998577</c:v>
                </c:pt>
                <c:pt idx="1085">
                  <c:v>4.8499999999998575</c:v>
                </c:pt>
                <c:pt idx="1086">
                  <c:v>4.8599999999998573</c:v>
                </c:pt>
                <c:pt idx="1087">
                  <c:v>4.8699999999998571</c:v>
                </c:pt>
                <c:pt idx="1088">
                  <c:v>4.8799999999998569</c:v>
                </c:pt>
                <c:pt idx="1089">
                  <c:v>4.8899999999998567</c:v>
                </c:pt>
                <c:pt idx="1090">
                  <c:v>4.8999999999998565</c:v>
                </c:pt>
                <c:pt idx="1091">
                  <c:v>4.9099999999998563</c:v>
                </c:pt>
                <c:pt idx="1092">
                  <c:v>4.919999999999856</c:v>
                </c:pt>
                <c:pt idx="1093">
                  <c:v>4.9299999999998558</c:v>
                </c:pt>
                <c:pt idx="1094">
                  <c:v>4.9399999999998556</c:v>
                </c:pt>
                <c:pt idx="1095">
                  <c:v>4.9499999999998554</c:v>
                </c:pt>
                <c:pt idx="1096">
                  <c:v>4.9599999999998552</c:v>
                </c:pt>
                <c:pt idx="1097">
                  <c:v>4.969999999999855</c:v>
                </c:pt>
                <c:pt idx="1098">
                  <c:v>4.9799999999998548</c:v>
                </c:pt>
                <c:pt idx="1099">
                  <c:v>4.9899999999998546</c:v>
                </c:pt>
                <c:pt idx="1100">
                  <c:v>4.9999999999998543</c:v>
                </c:pt>
                <c:pt idx="1101">
                  <c:v>5.0099999999998541</c:v>
                </c:pt>
                <c:pt idx="1102">
                  <c:v>5.0199999999998539</c:v>
                </c:pt>
                <c:pt idx="1103">
                  <c:v>5.0299999999998537</c:v>
                </c:pt>
                <c:pt idx="1104">
                  <c:v>5.0399999999998535</c:v>
                </c:pt>
                <c:pt idx="1105">
                  <c:v>5.0499999999998533</c:v>
                </c:pt>
                <c:pt idx="1106">
                  <c:v>5.0599999999998531</c:v>
                </c:pt>
                <c:pt idx="1107">
                  <c:v>5.0699999999998528</c:v>
                </c:pt>
                <c:pt idx="1108">
                  <c:v>5.0799999999998526</c:v>
                </c:pt>
                <c:pt idx="1109">
                  <c:v>5.0899999999998524</c:v>
                </c:pt>
                <c:pt idx="1110">
                  <c:v>5.0999999999998522</c:v>
                </c:pt>
                <c:pt idx="1111">
                  <c:v>5.109999999999852</c:v>
                </c:pt>
                <c:pt idx="1112">
                  <c:v>5.1199999999998518</c:v>
                </c:pt>
                <c:pt idx="1113">
                  <c:v>5.1299999999998516</c:v>
                </c:pt>
                <c:pt idx="1114">
                  <c:v>5.1399999999998514</c:v>
                </c:pt>
                <c:pt idx="1115">
                  <c:v>5.1499999999998511</c:v>
                </c:pt>
                <c:pt idx="1116">
                  <c:v>5.1599999999998509</c:v>
                </c:pt>
                <c:pt idx="1117">
                  <c:v>5.1699999999998507</c:v>
                </c:pt>
                <c:pt idx="1118">
                  <c:v>5.1799999999998505</c:v>
                </c:pt>
                <c:pt idx="1119">
                  <c:v>5.1899999999998503</c:v>
                </c:pt>
                <c:pt idx="1120">
                  <c:v>5.1999999999998501</c:v>
                </c:pt>
                <c:pt idx="1121">
                  <c:v>5.2099999999998499</c:v>
                </c:pt>
                <c:pt idx="1122">
                  <c:v>5.2199999999998496</c:v>
                </c:pt>
                <c:pt idx="1123">
                  <c:v>5.2299999999998494</c:v>
                </c:pt>
                <c:pt idx="1124">
                  <c:v>5.2399999999998492</c:v>
                </c:pt>
                <c:pt idx="1125">
                  <c:v>5.249999999999849</c:v>
                </c:pt>
                <c:pt idx="1126">
                  <c:v>5.2599999999998488</c:v>
                </c:pt>
                <c:pt idx="1127">
                  <c:v>5.2699999999998486</c:v>
                </c:pt>
                <c:pt idx="1128">
                  <c:v>5.2799999999998484</c:v>
                </c:pt>
                <c:pt idx="1129">
                  <c:v>5.2899999999998482</c:v>
                </c:pt>
                <c:pt idx="1130">
                  <c:v>5.2999999999998479</c:v>
                </c:pt>
                <c:pt idx="1131">
                  <c:v>5.3099999999998477</c:v>
                </c:pt>
                <c:pt idx="1132">
                  <c:v>5.3199999999998475</c:v>
                </c:pt>
                <c:pt idx="1133">
                  <c:v>5.3299999999998473</c:v>
                </c:pt>
                <c:pt idx="1134">
                  <c:v>5.3399999999998471</c:v>
                </c:pt>
                <c:pt idx="1135">
                  <c:v>5.3499999999998469</c:v>
                </c:pt>
                <c:pt idx="1136">
                  <c:v>5.3599999999998467</c:v>
                </c:pt>
                <c:pt idx="1137">
                  <c:v>5.3699999999998465</c:v>
                </c:pt>
                <c:pt idx="1138">
                  <c:v>5.3799999999998462</c:v>
                </c:pt>
                <c:pt idx="1139">
                  <c:v>5.389999999999846</c:v>
                </c:pt>
                <c:pt idx="1140">
                  <c:v>5.3999999999998458</c:v>
                </c:pt>
                <c:pt idx="1141">
                  <c:v>5.4099999999998456</c:v>
                </c:pt>
                <c:pt idx="1142">
                  <c:v>5.4199999999998454</c:v>
                </c:pt>
                <c:pt idx="1143">
                  <c:v>5.4299999999998452</c:v>
                </c:pt>
                <c:pt idx="1144">
                  <c:v>5.439999999999845</c:v>
                </c:pt>
                <c:pt idx="1145">
                  <c:v>5.4499999999998447</c:v>
                </c:pt>
                <c:pt idx="1146">
                  <c:v>5.4599999999998445</c:v>
                </c:pt>
                <c:pt idx="1147">
                  <c:v>5.4699999999998443</c:v>
                </c:pt>
                <c:pt idx="1148">
                  <c:v>5.4799999999998441</c:v>
                </c:pt>
                <c:pt idx="1149">
                  <c:v>5.4899999999998439</c:v>
                </c:pt>
                <c:pt idx="1150">
                  <c:v>5.4999999999998437</c:v>
                </c:pt>
                <c:pt idx="1151">
                  <c:v>5.5099999999998435</c:v>
                </c:pt>
                <c:pt idx="1152">
                  <c:v>5.5199999999998433</c:v>
                </c:pt>
                <c:pt idx="1153">
                  <c:v>5.529999999999843</c:v>
                </c:pt>
                <c:pt idx="1154">
                  <c:v>5.5399999999998428</c:v>
                </c:pt>
                <c:pt idx="1155">
                  <c:v>5.5499999999998426</c:v>
                </c:pt>
                <c:pt idx="1156">
                  <c:v>5.5599999999998424</c:v>
                </c:pt>
                <c:pt idx="1157">
                  <c:v>5.5699999999998422</c:v>
                </c:pt>
                <c:pt idx="1158">
                  <c:v>5.579999999999842</c:v>
                </c:pt>
                <c:pt idx="1159">
                  <c:v>5.5899999999998418</c:v>
                </c:pt>
                <c:pt idx="1160">
                  <c:v>5.5999999999998415</c:v>
                </c:pt>
                <c:pt idx="1161">
                  <c:v>5.6099999999998413</c:v>
                </c:pt>
                <c:pt idx="1162">
                  <c:v>5.6199999999998411</c:v>
                </c:pt>
                <c:pt idx="1163">
                  <c:v>5.6299999999998409</c:v>
                </c:pt>
                <c:pt idx="1164">
                  <c:v>5.6399999999998407</c:v>
                </c:pt>
                <c:pt idx="1165">
                  <c:v>5.6499999999998405</c:v>
                </c:pt>
                <c:pt idx="1166">
                  <c:v>5.6599999999998403</c:v>
                </c:pt>
                <c:pt idx="1167">
                  <c:v>5.6699999999998401</c:v>
                </c:pt>
                <c:pt idx="1168">
                  <c:v>5.6799999999998398</c:v>
                </c:pt>
                <c:pt idx="1169">
                  <c:v>5.6899999999998396</c:v>
                </c:pt>
                <c:pt idx="1170">
                  <c:v>5.6999999999998394</c:v>
                </c:pt>
                <c:pt idx="1171">
                  <c:v>5.7099999999998392</c:v>
                </c:pt>
                <c:pt idx="1172">
                  <c:v>5.719999999999839</c:v>
                </c:pt>
                <c:pt idx="1173">
                  <c:v>5.7299999999998388</c:v>
                </c:pt>
                <c:pt idx="1174">
                  <c:v>5.7399999999998386</c:v>
                </c:pt>
                <c:pt idx="1175">
                  <c:v>5.7499999999998384</c:v>
                </c:pt>
                <c:pt idx="1176">
                  <c:v>5.7599999999998381</c:v>
                </c:pt>
                <c:pt idx="1177">
                  <c:v>5.7699999999998379</c:v>
                </c:pt>
                <c:pt idx="1178">
                  <c:v>5.7799999999998377</c:v>
                </c:pt>
                <c:pt idx="1179">
                  <c:v>5.7899999999998375</c:v>
                </c:pt>
                <c:pt idx="1180">
                  <c:v>5.7999999999998373</c:v>
                </c:pt>
                <c:pt idx="1181">
                  <c:v>5.8099999999998371</c:v>
                </c:pt>
                <c:pt idx="1182">
                  <c:v>5.8199999999998369</c:v>
                </c:pt>
                <c:pt idx="1183">
                  <c:v>5.8299999999998366</c:v>
                </c:pt>
                <c:pt idx="1184">
                  <c:v>5.8399999999998364</c:v>
                </c:pt>
                <c:pt idx="1185">
                  <c:v>5.8499999999998362</c:v>
                </c:pt>
                <c:pt idx="1186">
                  <c:v>5.859999999999836</c:v>
                </c:pt>
                <c:pt idx="1187">
                  <c:v>5.8699999999998358</c:v>
                </c:pt>
                <c:pt idx="1188">
                  <c:v>5.8799999999998356</c:v>
                </c:pt>
                <c:pt idx="1189">
                  <c:v>5.8899999999998354</c:v>
                </c:pt>
                <c:pt idx="1190">
                  <c:v>5.8999999999998352</c:v>
                </c:pt>
                <c:pt idx="1191">
                  <c:v>5.9099999999998349</c:v>
                </c:pt>
                <c:pt idx="1192">
                  <c:v>5.9199999999998347</c:v>
                </c:pt>
                <c:pt idx="1193">
                  <c:v>5.9299999999998345</c:v>
                </c:pt>
                <c:pt idx="1194">
                  <c:v>5.9399999999998343</c:v>
                </c:pt>
                <c:pt idx="1195">
                  <c:v>5.9499999999998341</c:v>
                </c:pt>
                <c:pt idx="1196">
                  <c:v>5.9599999999998339</c:v>
                </c:pt>
                <c:pt idx="1197">
                  <c:v>5.9699999999998337</c:v>
                </c:pt>
                <c:pt idx="1198">
                  <c:v>5.9799999999998334</c:v>
                </c:pt>
                <c:pt idx="1199">
                  <c:v>5.9899999999998332</c:v>
                </c:pt>
                <c:pt idx="1200">
                  <c:v>5.999999999999833</c:v>
                </c:pt>
              </c:numCache>
            </c:numRef>
          </c:xVal>
          <c:yVal>
            <c:numRef>
              <c:f>'Normal and t'!$BC$21:$BC$1221</c:f>
              <c:numCache>
                <c:formatCode>General</c:formatCode>
                <c:ptCount val="1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numCache>
            </c:numRef>
          </c:yVal>
        </c:ser>
        <c:ser>
          <c:idx val="10"/>
          <c:order val="11"/>
          <c:spPr>
            <a:ln w="28575">
              <a:noFill/>
            </a:ln>
          </c:spPr>
          <c:marker>
            <c:symbol val="none"/>
          </c:marker>
          <c:errBars>
            <c:errDir val="y"/>
            <c:errBarType val="both"/>
            <c:errValType val="cust"/>
            <c:noEndCap val="1"/>
            <c:plus>
              <c:numRef>
                <c:f>'Normal and t'!$BA$19</c:f>
                <c:numCache>
                  <c:formatCode>General</c:formatCode>
                  <c:ptCount val="1"/>
                  <c:pt idx="0">
                    <c:v>0.41</c:v>
                  </c:pt>
                </c:numCache>
              </c:numRef>
            </c:plus>
            <c:minus>
              <c:numLit>
                <c:formatCode>General</c:formatCode>
                <c:ptCount val="1"/>
                <c:pt idx="0">
                  <c:v>2.0000000000000011E-2</c:v>
                </c:pt>
              </c:numLit>
            </c:minus>
            <c:spPr>
              <a:ln w="12700">
                <a:solidFill>
                  <a:srgbClr val="000000"/>
                </a:solidFill>
                <a:prstDash val="solid"/>
              </a:ln>
            </c:spPr>
          </c:errBars>
          <c:xVal>
            <c:numRef>
              <c:f>'Normal and t'!$BC$13</c:f>
              <c:numCache>
                <c:formatCode>General</c:formatCode>
                <c:ptCount val="1"/>
                <c:pt idx="0">
                  <c:v>#N/A</c:v>
                </c:pt>
              </c:numCache>
            </c:numRef>
          </c:xVal>
          <c:yVal>
            <c:numRef>
              <c:f>'Normal and t'!$BD$13</c:f>
              <c:numCache>
                <c:formatCode>General</c:formatCode>
                <c:ptCount val="1"/>
                <c:pt idx="0">
                  <c:v>0</c:v>
                </c:pt>
              </c:numCache>
            </c:numRef>
          </c:yVal>
        </c:ser>
        <c:ser>
          <c:idx val="0"/>
          <c:order val="12"/>
          <c:spPr>
            <a:ln w="28575">
              <a:noFill/>
            </a:ln>
          </c:spPr>
          <c:marker>
            <c:symbol val="none"/>
          </c:marker>
          <c:errBars>
            <c:errDir val="y"/>
            <c:errBarType val="plus"/>
            <c:errValType val="cust"/>
            <c:noEndCap val="1"/>
            <c:plus>
              <c:numRef>
                <c:f>'Normal and t'!$BC$19</c:f>
                <c:numCache>
                  <c:formatCode>General</c:formatCode>
                  <c:ptCount val="1"/>
                  <c:pt idx="0">
                    <c:v>0.44</c:v>
                  </c:pt>
                </c:numCache>
              </c:numRef>
            </c:plus>
            <c:spPr>
              <a:ln w="12700">
                <a:solidFill>
                  <a:srgbClr val="000000"/>
                </a:solidFill>
                <a:prstDash val="solid"/>
              </a:ln>
            </c:spPr>
          </c:errBars>
          <c:xVal>
            <c:numRef>
              <c:f>'Normal and t'!$BC$16</c:f>
              <c:numCache>
                <c:formatCode>General</c:formatCode>
                <c:ptCount val="1"/>
                <c:pt idx="0">
                  <c:v>0</c:v>
                </c:pt>
              </c:numCache>
            </c:numRef>
          </c:xVal>
          <c:yVal>
            <c:numRef>
              <c:f>'Normal and t'!$BD$16</c:f>
              <c:numCache>
                <c:formatCode>General</c:formatCode>
                <c:ptCount val="1"/>
                <c:pt idx="0">
                  <c:v>0</c:v>
                </c:pt>
              </c:numCache>
            </c:numRef>
          </c:yVal>
        </c:ser>
        <c:ser>
          <c:idx val="12"/>
          <c:order val="13"/>
          <c:spPr>
            <a:ln w="28575">
              <a:noFill/>
            </a:ln>
          </c:spPr>
          <c:marker>
            <c:symbol val="none"/>
          </c:marker>
          <c:errBars>
            <c:errDir val="y"/>
            <c:errBarType val="plus"/>
            <c:errValType val="cust"/>
            <c:noEndCap val="1"/>
            <c:plus>
              <c:numRef>
                <c:f>'Normal and t'!$BA$19</c:f>
                <c:numCache>
                  <c:formatCode>General</c:formatCode>
                  <c:ptCount val="1"/>
                  <c:pt idx="0">
                    <c:v>0.41</c:v>
                  </c:pt>
                </c:numCache>
              </c:numRef>
            </c:plus>
            <c:spPr>
              <a:ln w="12700">
                <a:solidFill>
                  <a:srgbClr val="000000"/>
                </a:solidFill>
                <a:prstDash val="solid"/>
              </a:ln>
            </c:spPr>
          </c:errBars>
          <c:xVal>
            <c:numRef>
              <c:f>'Normal and t'!$BC$14:$BC$15</c:f>
              <c:numCache>
                <c:formatCode>General</c:formatCode>
                <c:ptCount val="2"/>
                <c:pt idx="0">
                  <c:v>1.96</c:v>
                </c:pt>
                <c:pt idx="1">
                  <c:v>-1.96</c:v>
                </c:pt>
              </c:numCache>
            </c:numRef>
          </c:xVal>
          <c:yVal>
            <c:numRef>
              <c:f>'Normal and t'!$BD$14:$BD$15</c:f>
              <c:numCache>
                <c:formatCode>General</c:formatCode>
                <c:ptCount val="2"/>
                <c:pt idx="0">
                  <c:v>0</c:v>
                </c:pt>
                <c:pt idx="1">
                  <c:v>0</c:v>
                </c:pt>
              </c:numCache>
            </c:numRef>
          </c:yVal>
        </c:ser>
        <c:ser>
          <c:idx val="14"/>
          <c:order val="14"/>
          <c:spPr>
            <a:ln w="28575">
              <a:noFill/>
            </a:ln>
          </c:spPr>
          <c:marker>
            <c:symbol val="none"/>
          </c:marker>
          <c:dLbls>
            <c:dLbl>
              <c:idx val="0"/>
              <c:layout/>
              <c:tx>
                <c:strRef>
                  <c:f>'Normal and t'!$BE$1</c:f>
                  <c:strCache>
                    <c:ptCount val="1"/>
                    <c:pt idx="0">
                      <c:v>.025</c:v>
                    </c:pt>
                  </c:strCache>
                </c:strRef>
              </c:tx>
              <c:dLblPos val="ctr"/>
            </c:dLbl>
            <c:dLbl>
              <c:idx val="1"/>
              <c:layout/>
              <c:tx>
                <c:strRef>
                  <c:f>'Normal and t'!$BE$2</c:f>
                  <c:strCache>
                    <c:ptCount val="1"/>
                    <c:pt idx="0">
                      <c:v>.975</c:v>
                    </c:pt>
                  </c:strCache>
                </c:strRef>
              </c:tx>
              <c:dLblPos val="ctr"/>
            </c:dLbl>
            <c:spPr>
              <a:solidFill>
                <a:srgbClr val="FFFFFF"/>
              </a:solid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'Normal and t'!$BF$3:$BF$4</c:f>
              <c:numCache>
                <c:formatCode>General</c:formatCode>
                <c:ptCount val="2"/>
                <c:pt idx="0">
                  <c:v>#N/A</c:v>
                </c:pt>
                <c:pt idx="1">
                  <c:v>#N/A</c:v>
                </c:pt>
              </c:numCache>
            </c:numRef>
          </c:xVal>
          <c:yVal>
            <c:numRef>
              <c:f>'Normal and t'!$BG$3:$BG$4</c:f>
              <c:numCache>
                <c:formatCode>General</c:formatCode>
                <c:ptCount val="2"/>
                <c:pt idx="0">
                  <c:v>0.02</c:v>
                </c:pt>
                <c:pt idx="1">
                  <c:v>0.02</c:v>
                </c:pt>
              </c:numCache>
            </c:numRef>
          </c:yVal>
        </c:ser>
        <c:ser>
          <c:idx val="15"/>
          <c:order val="15"/>
          <c:spPr>
            <a:ln w="28575">
              <a:noFill/>
            </a:ln>
          </c:spPr>
          <c:marker>
            <c:symbol val="none"/>
          </c:marker>
          <c:dLbls>
            <c:dLbl>
              <c:idx val="0"/>
              <c:layout/>
              <c:tx>
                <c:strRef>
                  <c:f>'Normal and t'!$BE$5</c:f>
                  <c:strCache>
                    <c:ptCount val="1"/>
                    <c:pt idx="0">
                      <c:v>.025</c:v>
                    </c:pt>
                  </c:strCache>
                </c:strRef>
              </c:tx>
              <c:dLblPos val="ctr"/>
            </c:dLbl>
            <c:dLbl>
              <c:idx val="1"/>
              <c:layout/>
              <c:tx>
                <c:strRef>
                  <c:f>'Normal and t'!$BE$4</c:f>
                  <c:strCache>
                    <c:ptCount val="1"/>
                    <c:pt idx="0">
                      <c:v>.95</c:v>
                    </c:pt>
                  </c:strCache>
                </c:strRef>
              </c:tx>
              <c:dLblPos val="ctr"/>
            </c:dLbl>
            <c:dLbl>
              <c:idx val="2"/>
              <c:layout/>
              <c:tx>
                <c:strRef>
                  <c:f>'Normal and t'!$BE$5</c:f>
                  <c:strCache>
                    <c:ptCount val="1"/>
                    <c:pt idx="0">
                      <c:v>.025</c:v>
                    </c:pt>
                  </c:strCache>
                </c:strRef>
              </c:tx>
              <c:dLblPos val="ctr"/>
            </c:dLbl>
            <c:dLbl>
              <c:idx val="3"/>
              <c:layout/>
              <c:tx>
                <c:strRef>
                  <c:f>'Normal and t'!$BE$3</c:f>
                  <c:strCache>
                    <c:ptCount val="1"/>
                    <c:pt idx="0">
                      <c:v>.05</c:v>
                    </c:pt>
                  </c:strCache>
                </c:strRef>
              </c:tx>
              <c:dLblPos val="ctr"/>
            </c:dLbl>
            <c:dLbl>
              <c:idx val="4"/>
              <c:layout/>
              <c:tx>
                <c:rich>
                  <a:bodyPr/>
                  <a:lstStyle/>
                  <a:p>
                    <a:r>
                      <a:rPr lang="en-AU"/>
                      <a:t>two tails</a:t>
                    </a:r>
                  </a:p>
                </c:rich>
              </c:tx>
              <c:dLblPos val="ctr"/>
            </c:dLbl>
            <c:spPr>
              <a:solidFill>
                <a:srgbClr val="FFFFFF"/>
              </a:solid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'Normal and t'!$AZ$6:$AZ$10</c:f>
              <c:numCache>
                <c:formatCode>General</c:formatCode>
                <c:ptCount val="5"/>
                <c:pt idx="0">
                  <c:v>-2.395</c:v>
                </c:pt>
                <c:pt idx="1">
                  <c:v>0</c:v>
                </c:pt>
                <c:pt idx="2">
                  <c:v>2.395</c:v>
                </c:pt>
                <c:pt idx="3">
                  <c:v>2.395</c:v>
                </c:pt>
                <c:pt idx="4">
                  <c:v>2.395</c:v>
                </c:pt>
              </c:numCache>
            </c:numRef>
          </c:xVal>
          <c:yVal>
            <c:numRef>
              <c:f>'Normal and t'!$BA$6:$BA$10</c:f>
              <c:numCache>
                <c:formatCode>General</c:formatCode>
                <c:ptCount val="5"/>
                <c:pt idx="0">
                  <c:v>0.02</c:v>
                </c:pt>
                <c:pt idx="1">
                  <c:v>0.05</c:v>
                </c:pt>
                <c:pt idx="2">
                  <c:v>0.02</c:v>
                </c:pt>
                <c:pt idx="3">
                  <c:v>0.1</c:v>
                </c:pt>
                <c:pt idx="4">
                  <c:v>0.13</c:v>
                </c:pt>
              </c:numCache>
            </c:numRef>
          </c:yVal>
        </c:ser>
        <c:ser>
          <c:idx val="16"/>
          <c:order val="16"/>
          <c:spPr>
            <a:ln w="28575">
              <a:noFill/>
            </a:ln>
          </c:spPr>
          <c:marker>
            <c:symbol val="none"/>
          </c:marker>
          <c:dLbls>
            <c:dLbl>
              <c:idx val="0"/>
              <c:layout/>
              <c:tx>
                <c:strRef>
                  <c:f>'Normal and t'!$BI$2</c:f>
                  <c:strCache>
                    <c:ptCount val="1"/>
                    <c:pt idx="0">
                      <c:v>#N/A</c:v>
                    </c:pt>
                  </c:strCache>
                </c:strRef>
              </c:tx>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ctr"/>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'Normal and t'!$BI$9</c:f>
              <c:numCache>
                <c:formatCode>General</c:formatCode>
                <c:ptCount val="1"/>
                <c:pt idx="0">
                  <c:v>#N/A</c:v>
                </c:pt>
              </c:numCache>
            </c:numRef>
          </c:xVal>
          <c:yVal>
            <c:numRef>
              <c:f>'Normal and t'!$BJ$9</c:f>
              <c:numCache>
                <c:formatCode>General</c:formatCode>
                <c:ptCount val="1"/>
                <c:pt idx="0">
                  <c:v>0.40799999999999997</c:v>
                </c:pt>
              </c:numCache>
            </c:numRef>
          </c:yVal>
        </c:ser>
        <c:ser>
          <c:idx val="17"/>
          <c:order val="17"/>
          <c:spPr>
            <a:ln w="28575">
              <a:noFill/>
            </a:ln>
          </c:spPr>
          <c:marker>
            <c:symbol val="none"/>
          </c:marker>
          <c:dLbls>
            <c:dLbl>
              <c:idx val="0"/>
              <c:layout/>
              <c:tx>
                <c:rich>
                  <a:bodyPr/>
                  <a:lstStyle/>
                  <a:p>
                    <a:r>
                      <a:rPr lang="en-AU"/>
                      <a:t>height</a:t>
                    </a:r>
                  </a:p>
                </c:rich>
              </c:tx>
              <c:dLblPos val="t"/>
            </c:dLbl>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t"/>
            <c:showCatName val="1"/>
          </c:dLbls>
          <c:xVal>
            <c:numRef>
              <c:f>'Normal and t'!$BI$9</c:f>
              <c:numCache>
                <c:formatCode>General</c:formatCode>
                <c:ptCount val="1"/>
                <c:pt idx="0">
                  <c:v>#N/A</c:v>
                </c:pt>
              </c:numCache>
            </c:numRef>
          </c:xVal>
          <c:yVal>
            <c:numRef>
              <c:f>'Normal and t'!$BJ$9</c:f>
              <c:numCache>
                <c:formatCode>General</c:formatCode>
                <c:ptCount val="1"/>
                <c:pt idx="0">
                  <c:v>0.40799999999999997</c:v>
                </c:pt>
              </c:numCache>
            </c:numRef>
          </c:yVal>
        </c:ser>
        <c:ser>
          <c:idx val="18"/>
          <c:order val="18"/>
          <c:spPr>
            <a:ln w="28575">
              <a:noFill/>
            </a:ln>
          </c:spPr>
          <c:marker>
            <c:symbol val="none"/>
          </c:marker>
          <c:dLbls>
            <c:dLbl>
              <c:idx val="0"/>
              <c:layout/>
              <c:tx>
                <c:strRef>
                  <c:f>'Normal and t'!$BJ$2</c:f>
                  <c:strCache>
                    <c:ptCount val="1"/>
                    <c:pt idx="0">
                      <c:v>0.0584</c:v>
                    </c:pt>
                  </c:strCache>
                </c:strRef>
              </c:tx>
              <c:dLblPos val="ctr"/>
            </c:dLbl>
            <c:dLbl>
              <c:idx val="1"/>
              <c:layout/>
              <c:tx>
                <c:strRef>
                  <c:f>'Normal and t'!$BJ$2</c:f>
                  <c:strCache>
                    <c:ptCount val="1"/>
                    <c:pt idx="0">
                      <c:v>0.0584</c:v>
                    </c:pt>
                  </c:strCache>
                </c:strRef>
              </c:tx>
              <c:dLblPos val="ctr"/>
            </c:dLbl>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ctr"/>
            <c:showCatName val="1"/>
          </c:dLbls>
          <c:xVal>
            <c:numRef>
              <c:f>'Normal and t'!$BI$10:$BI$11</c:f>
              <c:numCache>
                <c:formatCode>General</c:formatCode>
                <c:ptCount val="2"/>
                <c:pt idx="0">
                  <c:v>#N/A</c:v>
                </c:pt>
                <c:pt idx="1">
                  <c:v>#N/A</c:v>
                </c:pt>
              </c:numCache>
            </c:numRef>
          </c:xVal>
          <c:yVal>
            <c:numRef>
              <c:f>'Normal and t'!$BJ$10:$BJ$11</c:f>
              <c:numCache>
                <c:formatCode>General</c:formatCode>
                <c:ptCount val="2"/>
                <c:pt idx="0">
                  <c:v>0.40799999999999997</c:v>
                </c:pt>
                <c:pt idx="1">
                  <c:v>0.40799999999999997</c:v>
                </c:pt>
              </c:numCache>
            </c:numRef>
          </c:yVal>
        </c:ser>
        <c:ser>
          <c:idx val="19"/>
          <c:order val="19"/>
          <c:spPr>
            <a:ln w="28575">
              <a:noFill/>
            </a:ln>
          </c:spPr>
          <c:marker>
            <c:symbol val="none"/>
          </c:marker>
          <c:dLbls>
            <c:dLbl>
              <c:idx val="0"/>
              <c:layout/>
              <c:tx>
                <c:rich>
                  <a:bodyPr/>
                  <a:lstStyle/>
                  <a:p>
                    <a:r>
                      <a:rPr lang="en-AU"/>
                      <a:t>height</a:t>
                    </a:r>
                  </a:p>
                </c:rich>
              </c:tx>
              <c:dLblPos val="t"/>
            </c:dLbl>
            <c:dLbl>
              <c:idx val="1"/>
              <c:layout/>
              <c:tx>
                <c:rich>
                  <a:bodyPr/>
                  <a:lstStyle/>
                  <a:p>
                    <a:r>
                      <a:rPr lang="en-AU"/>
                      <a:t>height</a:t>
                    </a:r>
                  </a:p>
                </c:rich>
              </c:tx>
              <c:dLblPos val="t"/>
            </c:dLbl>
            <c:spPr>
              <a:noFill/>
              <a:ln w="25400">
                <a:noFill/>
              </a:ln>
            </c:spPr>
            <c:txPr>
              <a:bodyPr/>
              <a:lstStyle/>
              <a:p>
                <a:pPr>
                  <a:defRPr sz="1200" b="0" i="0" u="none" strike="noStrike" baseline="0">
                    <a:solidFill>
                      <a:srgbClr val="0000FF"/>
                    </a:solidFill>
                    <a:latin typeface="Arial"/>
                    <a:ea typeface="Arial"/>
                    <a:cs typeface="Arial"/>
                  </a:defRPr>
                </a:pPr>
                <a:endParaRPr lang="en-US"/>
              </a:p>
            </c:txPr>
            <c:dLblPos val="t"/>
            <c:showCatName val="1"/>
          </c:dLbls>
          <c:xVal>
            <c:numRef>
              <c:f>'Normal and t'!$BI$10:$BI$11</c:f>
              <c:numCache>
                <c:formatCode>General</c:formatCode>
                <c:ptCount val="2"/>
                <c:pt idx="0">
                  <c:v>#N/A</c:v>
                </c:pt>
                <c:pt idx="1">
                  <c:v>#N/A</c:v>
                </c:pt>
              </c:numCache>
            </c:numRef>
          </c:xVal>
          <c:yVal>
            <c:numRef>
              <c:f>'Normal and t'!$BJ$10:$BJ$11</c:f>
              <c:numCache>
                <c:formatCode>General</c:formatCode>
                <c:ptCount val="2"/>
                <c:pt idx="0">
                  <c:v>0.40799999999999997</c:v>
                </c:pt>
                <c:pt idx="1">
                  <c:v>0.40799999999999997</c:v>
                </c:pt>
              </c:numCache>
            </c:numRef>
          </c:yVal>
        </c:ser>
        <c:ser>
          <c:idx val="20"/>
          <c:order val="20"/>
          <c:spPr>
            <a:ln w="28575">
              <a:noFill/>
            </a:ln>
          </c:spPr>
          <c:marker>
            <c:symbol val="none"/>
          </c:marker>
          <c:dLbls>
            <c:dLbl>
              <c:idx val="0"/>
              <c:layout/>
              <c:tx>
                <c:strRef>
                  <c:f>'Normal and t'!$BM$5</c:f>
                  <c:strCache>
                    <c:ptCount val="1"/>
                    <c:pt idx="0">
                      <c:v>#N/A</c:v>
                    </c:pt>
                  </c:strCache>
                </c:strRef>
              </c:tx>
              <c:dLblPos val="ctr"/>
            </c:dLbl>
            <c:spPr>
              <a:noFill/>
              <a:ln w="25400">
                <a:noFill/>
              </a:ln>
            </c:spPr>
            <c:txPr>
              <a:bodyPr/>
              <a:lstStyle/>
              <a:p>
                <a:pPr>
                  <a:defRPr sz="1200" b="0" i="0" u="none" strike="noStrike" baseline="0">
                    <a:solidFill>
                      <a:srgbClr val="FF0000"/>
                    </a:solidFill>
                    <a:latin typeface="Arial"/>
                    <a:ea typeface="Arial"/>
                    <a:cs typeface="Arial"/>
                  </a:defRPr>
                </a:pPr>
                <a:endParaRPr lang="en-US"/>
              </a:p>
            </c:txPr>
            <c:dLblPos val="ctr"/>
            <c:showCatName val="1"/>
          </c:dLbls>
          <c:xVal>
            <c:numRef>
              <c:f>'Normal and t'!$BK$9</c:f>
              <c:numCache>
                <c:formatCode>General</c:formatCode>
                <c:ptCount val="1"/>
                <c:pt idx="0">
                  <c:v>#N/A</c:v>
                </c:pt>
              </c:numCache>
            </c:numRef>
          </c:xVal>
          <c:yVal>
            <c:numRef>
              <c:f>'Normal and t'!$BL$9</c:f>
              <c:numCache>
                <c:formatCode>General</c:formatCode>
                <c:ptCount val="1"/>
                <c:pt idx="0">
                  <c:v>0.40799999999999997</c:v>
                </c:pt>
              </c:numCache>
            </c:numRef>
          </c:yVal>
        </c:ser>
        <c:ser>
          <c:idx val="21"/>
          <c:order val="21"/>
          <c:spPr>
            <a:ln w="28575">
              <a:noFill/>
            </a:ln>
          </c:spPr>
          <c:marker>
            <c:symbol val="none"/>
          </c:marker>
          <c:dLbls>
            <c:dLbl>
              <c:idx val="0"/>
              <c:layout/>
              <c:tx>
                <c:rich>
                  <a:bodyPr/>
                  <a:lstStyle/>
                  <a:p>
                    <a:r>
                      <a:rPr lang="en-AU"/>
                      <a:t>height</a:t>
                    </a:r>
                  </a:p>
                </c:rich>
              </c:tx>
              <c:dLblPos val="t"/>
            </c:dLbl>
            <c:spPr>
              <a:noFill/>
              <a:ln w="25400">
                <a:noFill/>
              </a:ln>
            </c:spPr>
            <c:txPr>
              <a:bodyPr/>
              <a:lstStyle/>
              <a:p>
                <a:pPr>
                  <a:defRPr sz="1200" b="0" i="0" u="none" strike="noStrike" baseline="0">
                    <a:solidFill>
                      <a:srgbClr val="FF0000"/>
                    </a:solidFill>
                    <a:latin typeface="Arial"/>
                    <a:ea typeface="Arial"/>
                    <a:cs typeface="Arial"/>
                  </a:defRPr>
                </a:pPr>
                <a:endParaRPr lang="en-US"/>
              </a:p>
            </c:txPr>
            <c:dLblPos val="t"/>
            <c:showCatName val="1"/>
          </c:dLbls>
          <c:xVal>
            <c:numRef>
              <c:f>'Normal and t'!$BK$9</c:f>
              <c:numCache>
                <c:formatCode>General</c:formatCode>
                <c:ptCount val="1"/>
                <c:pt idx="0">
                  <c:v>#N/A</c:v>
                </c:pt>
              </c:numCache>
            </c:numRef>
          </c:xVal>
          <c:yVal>
            <c:numRef>
              <c:f>'Normal and t'!$BL$9</c:f>
              <c:numCache>
                <c:formatCode>General</c:formatCode>
                <c:ptCount val="1"/>
                <c:pt idx="0">
                  <c:v>0.40799999999999997</c:v>
                </c:pt>
              </c:numCache>
            </c:numRef>
          </c:yVal>
        </c:ser>
        <c:ser>
          <c:idx val="22"/>
          <c:order val="22"/>
          <c:spPr>
            <a:ln w="28575">
              <a:noFill/>
            </a:ln>
          </c:spPr>
          <c:marker>
            <c:symbol val="none"/>
          </c:marker>
          <c:dLbls>
            <c:dLbl>
              <c:idx val="0"/>
              <c:layout/>
              <c:tx>
                <c:strRef>
                  <c:f>'Normal and t'!$BM$6</c:f>
                  <c:strCache>
                    <c:ptCount val="1"/>
                    <c:pt idx="0">
                      <c:v>#N/A</c:v>
                    </c:pt>
                  </c:strCache>
                </c:strRef>
              </c:tx>
              <c:dLblPos val="ctr"/>
            </c:dLbl>
            <c:dLbl>
              <c:idx val="1"/>
              <c:layout/>
              <c:tx>
                <c:strRef>
                  <c:f>'Normal and t'!$BM$6</c:f>
                  <c:strCache>
                    <c:ptCount val="1"/>
                    <c:pt idx="0">
                      <c:v>#N/A</c:v>
                    </c:pt>
                  </c:strCache>
                </c:strRef>
              </c:tx>
              <c:dLblPos val="ctr"/>
            </c:dLbl>
            <c:spPr>
              <a:noFill/>
              <a:ln w="25400">
                <a:noFill/>
              </a:ln>
            </c:spPr>
            <c:txPr>
              <a:bodyPr/>
              <a:lstStyle/>
              <a:p>
                <a:pPr>
                  <a:defRPr sz="1200" b="0" i="0" u="none" strike="noStrike" baseline="0">
                    <a:solidFill>
                      <a:srgbClr val="FF0000"/>
                    </a:solidFill>
                    <a:latin typeface="Arial"/>
                    <a:ea typeface="Arial"/>
                    <a:cs typeface="Arial"/>
                  </a:defRPr>
                </a:pPr>
                <a:endParaRPr lang="en-US"/>
              </a:p>
            </c:txPr>
            <c:dLblPos val="ctr"/>
            <c:showCatName val="1"/>
          </c:dLbls>
          <c:xVal>
            <c:numRef>
              <c:f>'Normal and t'!$BK$10:$BK$11</c:f>
              <c:numCache>
                <c:formatCode>General</c:formatCode>
                <c:ptCount val="2"/>
                <c:pt idx="0">
                  <c:v>#N/A</c:v>
                </c:pt>
                <c:pt idx="1">
                  <c:v>#N/A</c:v>
                </c:pt>
              </c:numCache>
            </c:numRef>
          </c:xVal>
          <c:yVal>
            <c:numRef>
              <c:f>'Normal and t'!$BL$10:$BL$11</c:f>
              <c:numCache>
                <c:formatCode>General</c:formatCode>
                <c:ptCount val="2"/>
                <c:pt idx="0">
                  <c:v>0.40799999999999997</c:v>
                </c:pt>
                <c:pt idx="1">
                  <c:v>0.40799999999999997</c:v>
                </c:pt>
              </c:numCache>
            </c:numRef>
          </c:yVal>
        </c:ser>
        <c:ser>
          <c:idx val="23"/>
          <c:order val="23"/>
          <c:spPr>
            <a:ln w="28575">
              <a:noFill/>
            </a:ln>
          </c:spPr>
          <c:marker>
            <c:symbol val="none"/>
          </c:marker>
          <c:dLbls>
            <c:dLbl>
              <c:idx val="0"/>
              <c:layout/>
              <c:tx>
                <c:rich>
                  <a:bodyPr/>
                  <a:lstStyle/>
                  <a:p>
                    <a:r>
                      <a:rPr lang="en-AU"/>
                      <a:t>height</a:t>
                    </a:r>
                  </a:p>
                </c:rich>
              </c:tx>
              <c:dLblPos val="t"/>
            </c:dLbl>
            <c:dLbl>
              <c:idx val="1"/>
              <c:layout/>
              <c:tx>
                <c:rich>
                  <a:bodyPr/>
                  <a:lstStyle/>
                  <a:p>
                    <a:r>
                      <a:rPr lang="en-AU"/>
                      <a:t>height</a:t>
                    </a:r>
                  </a:p>
                </c:rich>
              </c:tx>
              <c:dLblPos val="t"/>
            </c:dLbl>
            <c:spPr>
              <a:noFill/>
              <a:ln w="25400">
                <a:noFill/>
              </a:ln>
            </c:spPr>
            <c:txPr>
              <a:bodyPr/>
              <a:lstStyle/>
              <a:p>
                <a:pPr>
                  <a:defRPr sz="1200" b="0" i="0" u="none" strike="noStrike" baseline="0">
                    <a:solidFill>
                      <a:srgbClr val="FF0000"/>
                    </a:solidFill>
                    <a:latin typeface="Arial"/>
                    <a:ea typeface="Arial"/>
                    <a:cs typeface="Arial"/>
                  </a:defRPr>
                </a:pPr>
                <a:endParaRPr lang="en-US"/>
              </a:p>
            </c:txPr>
            <c:dLblPos val="t"/>
            <c:showCatName val="1"/>
          </c:dLbls>
          <c:xVal>
            <c:numRef>
              <c:f>'Normal and t'!$BK$10:$BK$11</c:f>
              <c:numCache>
                <c:formatCode>General</c:formatCode>
                <c:ptCount val="2"/>
                <c:pt idx="0">
                  <c:v>#N/A</c:v>
                </c:pt>
                <c:pt idx="1">
                  <c:v>#N/A</c:v>
                </c:pt>
              </c:numCache>
            </c:numRef>
          </c:xVal>
          <c:yVal>
            <c:numRef>
              <c:f>'Normal and t'!$BL$10:$BL$11</c:f>
              <c:numCache>
                <c:formatCode>General</c:formatCode>
                <c:ptCount val="2"/>
                <c:pt idx="0">
                  <c:v>0.40799999999999997</c:v>
                </c:pt>
                <c:pt idx="1">
                  <c:v>0.40799999999999997</c:v>
                </c:pt>
              </c:numCache>
            </c:numRef>
          </c:yVal>
        </c:ser>
        <c:axId val="170993920"/>
        <c:axId val="171020288"/>
      </c:scatterChart>
      <c:valAx>
        <c:axId val="170993920"/>
        <c:scaling>
          <c:orientation val="minMax"/>
          <c:max val="5"/>
          <c:min val="-5"/>
        </c:scaling>
        <c:axPos val="b"/>
        <c:numFmt formatCode="0" sourceLinked="0"/>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1020288"/>
        <c:crosses val="autoZero"/>
        <c:crossBetween val="midCat"/>
        <c:majorUnit val="1"/>
        <c:minorUnit val="0.2"/>
      </c:valAx>
      <c:valAx>
        <c:axId val="171020288"/>
        <c:scaling>
          <c:orientation val="minMax"/>
          <c:max val="0.43000000000000022"/>
          <c:min val="0"/>
        </c:scaling>
        <c:axPos val="l"/>
        <c:numFmt formatCode="General" sourceLinked="1"/>
        <c:majorTickMark val="none"/>
        <c:tickLblPos val="none"/>
        <c:spPr>
          <a:ln w="9525">
            <a:noFill/>
          </a:ln>
        </c:spPr>
        <c:crossAx val="170993920"/>
        <c:crossesAt val="-6"/>
        <c:crossBetween val="midCat"/>
        <c:majorUnit val="0.1"/>
        <c:minorUnit val="2.0000000000000011E-2"/>
      </c:valAx>
      <c:spPr>
        <a:noFill/>
        <a:ln w="25400">
          <a:noFill/>
        </a:ln>
      </c:spPr>
    </c:plotArea>
    <c:plotVisOnly val="1"/>
    <c:dispBlanksAs val="gap"/>
  </c:chart>
  <c:spPr>
    <a:solidFill>
      <a:srgbClr val="FFFFFF"/>
    </a:solidFill>
    <a:ln w="3175">
      <a:solidFill>
        <a:srgbClr val="000000"/>
      </a:solidFill>
      <a:prstDash val="solid"/>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paperSize="9"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4.024770843994023E-2"/>
          <c:y val="2.7777853130026953E-2"/>
          <c:w val="0.93498522683553464"/>
          <c:h val="0.87778015890885164"/>
        </c:manualLayout>
      </c:layout>
      <c:scatterChart>
        <c:scatterStyle val="lineMarker"/>
        <c:ser>
          <c:idx val="35"/>
          <c:order val="0"/>
          <c:spPr>
            <a:ln w="28575">
              <a:noFill/>
            </a:ln>
          </c:spPr>
          <c:marker>
            <c:symbol val="none"/>
          </c:marker>
          <c:errBars>
            <c:errDir val="y"/>
            <c:errBarType val="minus"/>
            <c:errValType val="cust"/>
            <c:noEndCap val="1"/>
            <c:minus>
              <c:numRef>
                <c:f>CIjumping!$CB$45</c:f>
                <c:numCache>
                  <c:formatCode>General</c:formatCode>
                  <c:ptCount val="1"/>
                  <c:pt idx="0">
                    <c:v>1025.3</c:v>
                  </c:pt>
                </c:numCache>
              </c:numRef>
            </c:minus>
            <c:spPr>
              <a:ln w="12700">
                <a:pattFill prst="pct50">
                  <a:fgClr>
                    <a:srgbClr val="008000"/>
                  </a:fgClr>
                  <a:bgClr>
                    <a:srgbClr val="FFFFFF"/>
                  </a:bgClr>
                </a:pattFill>
                <a:prstDash val="solid"/>
              </a:ln>
            </c:spPr>
          </c:errBars>
          <c:xVal>
            <c:numRef>
              <c:f>CIjumping!$CC$59:$CC$69</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xVal>
          <c:yVal>
            <c:numRef>
              <c:f>CIjumping!$CD$59:$CD$69</c:f>
              <c:numCache>
                <c:formatCode>General</c:formatCode>
                <c:ptCount val="11"/>
                <c:pt idx="0">
                  <c:v>26</c:v>
                </c:pt>
                <c:pt idx="1">
                  <c:v>26</c:v>
                </c:pt>
                <c:pt idx="2">
                  <c:v>26</c:v>
                </c:pt>
                <c:pt idx="3">
                  <c:v>26</c:v>
                </c:pt>
                <c:pt idx="4">
                  <c:v>26</c:v>
                </c:pt>
                <c:pt idx="5">
                  <c:v>26</c:v>
                </c:pt>
                <c:pt idx="6">
                  <c:v>26</c:v>
                </c:pt>
                <c:pt idx="7">
                  <c:v>26</c:v>
                </c:pt>
                <c:pt idx="8">
                  <c:v>26</c:v>
                </c:pt>
                <c:pt idx="9">
                  <c:v>26</c:v>
                </c:pt>
                <c:pt idx="10">
                  <c:v>26</c:v>
                </c:pt>
              </c:numCache>
            </c:numRef>
          </c:yVal>
        </c:ser>
        <c:ser>
          <c:idx val="0"/>
          <c:order val="1"/>
          <c:spPr>
            <a:ln w="28575">
              <a:noFill/>
            </a:ln>
          </c:spPr>
          <c:marker>
            <c:symbol val="circle"/>
            <c:size val="6"/>
            <c:spPr>
              <a:solidFill>
                <a:srgbClr val="00FF00"/>
              </a:solidFill>
              <a:ln>
                <a:solidFill>
                  <a:srgbClr val="000000"/>
                </a:solidFill>
                <a:prstDash val="solid"/>
              </a:ln>
            </c:spPr>
          </c:marker>
          <c:errBars>
            <c:errDir val="x"/>
            <c:errBarType val="both"/>
            <c:errValType val="cust"/>
            <c:noEndCap val="1"/>
            <c:pl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plus>
            <c:min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minus>
            <c:spPr>
              <a:ln w="25400">
                <a:solidFill>
                  <a:srgbClr val="00FF00"/>
                </a:solidFill>
                <a:prstDash val="solid"/>
              </a:ln>
            </c:spPr>
          </c:errBars>
          <c:xVal>
            <c:numRef>
              <c:f>CIjumping!$CF$15:$CF$39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CIjumping!$CH$15:$CH$39</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yVal>
        </c:ser>
        <c:ser>
          <c:idx val="1"/>
          <c:order val="2"/>
          <c:spPr>
            <a:ln w="28575">
              <a:noFill/>
            </a:ln>
          </c:spPr>
          <c:marker>
            <c:symbol val="none"/>
          </c:marker>
          <c:dLbls>
            <c:dLbl>
              <c:idx val="0"/>
              <c:layout/>
              <c:tx>
                <c:rich>
                  <a:bodyPr/>
                  <a:lstStyle/>
                  <a:p>
                    <a:r>
                      <a:rPr lang="en-AU"/>
                      <a:t>m</a:t>
                    </a:r>
                  </a:p>
                </c:rich>
              </c:tx>
              <c:dLblPos val="b"/>
            </c:dLbl>
            <c:spPr>
              <a:noFill/>
              <a:ln w="25400">
                <a:noFill/>
              </a:ln>
            </c:spPr>
            <c:txPr>
              <a:bodyPr/>
              <a:lstStyle/>
              <a:p>
                <a:pPr>
                  <a:defRPr sz="1400" b="0" i="0" u="none" strike="noStrike" baseline="0">
                    <a:solidFill>
                      <a:srgbClr val="000000"/>
                    </a:solidFill>
                    <a:latin typeface="Symbol"/>
                    <a:ea typeface="Symbol"/>
                    <a:cs typeface="Symbol"/>
                  </a:defRPr>
                </a:pPr>
                <a:endParaRPr lang="en-US"/>
              </a:p>
            </c:txPr>
            <c:dLblPos val="b"/>
            <c:showVal val="1"/>
          </c:dLbls>
          <c:errBars>
            <c:errDir val="y"/>
            <c:errBarType val="both"/>
            <c:errValType val="cust"/>
            <c:noEndCap val="1"/>
            <c:plus>
              <c:numLit>
                <c:formatCode>General</c:formatCode>
                <c:ptCount val="1"/>
                <c:pt idx="0">
                  <c:v>3</c:v>
                </c:pt>
              </c:numLit>
            </c:plus>
            <c:minus>
              <c:numRef>
                <c:f>CIjumping!$CD$12</c:f>
                <c:numCache>
                  <c:formatCode>General</c:formatCode>
                  <c:ptCount val="1"/>
                  <c:pt idx="0">
                    <c:v>0</c:v>
                  </c:pt>
                </c:numCache>
              </c:numRef>
            </c:minus>
            <c:spPr>
              <a:ln w="12700">
                <a:solidFill>
                  <a:srgbClr val="000000"/>
                </a:solidFill>
                <a:prstDash val="solid"/>
              </a:ln>
            </c:spPr>
          </c:errBars>
          <c:xVal>
            <c:numRef>
              <c:f>CIjumping!$CA$8</c:f>
              <c:numCache>
                <c:formatCode>General</c:formatCode>
                <c:ptCount val="1"/>
                <c:pt idx="0">
                  <c:v>#N/A</c:v>
                </c:pt>
              </c:numCache>
            </c:numRef>
          </c:xVal>
          <c:yVal>
            <c:numRef>
              <c:f>CIjumping!$BZ$8</c:f>
              <c:numCache>
                <c:formatCode>General</c:formatCode>
                <c:ptCount val="1"/>
                <c:pt idx="0">
                  <c:v>24.5</c:v>
                </c:pt>
              </c:numCache>
            </c:numRef>
          </c:yVal>
        </c:ser>
        <c:ser>
          <c:idx val="32"/>
          <c:order val="3"/>
          <c:spPr>
            <a:ln w="28575">
              <a:noFill/>
            </a:ln>
          </c:spPr>
          <c:marker>
            <c:symbol val="circle"/>
            <c:size val="6"/>
            <c:spPr>
              <a:solidFill>
                <a:srgbClr val="00FF00"/>
              </a:solidFill>
              <a:ln>
                <a:solidFill>
                  <a:srgbClr val="000000"/>
                </a:solidFill>
                <a:prstDash val="solid"/>
              </a:ln>
            </c:spPr>
          </c:marker>
          <c:xVal>
            <c:numRef>
              <c:f>CIjumping!$CD$105:$CD$704</c:f>
              <c:numCache>
                <c:formatCode>General</c:formatCode>
                <c:ptCount val="6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numCache>
            </c:numRef>
          </c:xVal>
          <c:yVal>
            <c:numRef>
              <c:f>CIjumping!$CJ$105:$CJ$704</c:f>
              <c:numCache>
                <c:formatCode>General</c:formatCode>
                <c:ptCount val="6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numCache>
            </c:numRef>
          </c:yVal>
        </c:ser>
        <c:ser>
          <c:idx val="34"/>
          <c:order val="4"/>
          <c:spPr>
            <a:ln w="25400">
              <a:solidFill>
                <a:srgbClr val="008000"/>
              </a:solidFill>
              <a:prstDash val="solid"/>
            </a:ln>
          </c:spPr>
          <c:marker>
            <c:symbol val="none"/>
          </c:marker>
          <c:xVal>
            <c:numRef>
              <c:f>CIjumping!$BY$42:$BY$1042</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xVal>
          <c:yVal>
            <c:numRef>
              <c:f>CIjumping!$CA$42:$CA$1042</c:f>
              <c:numCache>
                <c:formatCode>General</c:formatCode>
                <c:ptCount val="1001"/>
                <c:pt idx="0">
                  <c:v>-999</c:v>
                </c:pt>
                <c:pt idx="1">
                  <c:v>-999</c:v>
                </c:pt>
                <c:pt idx="2">
                  <c:v>-999</c:v>
                </c:pt>
                <c:pt idx="3">
                  <c:v>-999</c:v>
                </c:pt>
                <c:pt idx="4">
                  <c:v>-999</c:v>
                </c:pt>
                <c:pt idx="5">
                  <c:v>-999</c:v>
                </c:pt>
                <c:pt idx="6">
                  <c:v>-999</c:v>
                </c:pt>
                <c:pt idx="7">
                  <c:v>-999</c:v>
                </c:pt>
                <c:pt idx="8">
                  <c:v>-999</c:v>
                </c:pt>
                <c:pt idx="9">
                  <c:v>-999</c:v>
                </c:pt>
                <c:pt idx="10">
                  <c:v>-999</c:v>
                </c:pt>
                <c:pt idx="11">
                  <c:v>-999</c:v>
                </c:pt>
                <c:pt idx="12">
                  <c:v>-999</c:v>
                </c:pt>
                <c:pt idx="13">
                  <c:v>-999</c:v>
                </c:pt>
                <c:pt idx="14">
                  <c:v>-999</c:v>
                </c:pt>
                <c:pt idx="15">
                  <c:v>-999</c:v>
                </c:pt>
                <c:pt idx="16">
                  <c:v>-999</c:v>
                </c:pt>
                <c:pt idx="17">
                  <c:v>-999</c:v>
                </c:pt>
                <c:pt idx="18">
                  <c:v>-999</c:v>
                </c:pt>
                <c:pt idx="19">
                  <c:v>-999</c:v>
                </c:pt>
                <c:pt idx="20">
                  <c:v>-999</c:v>
                </c:pt>
                <c:pt idx="21">
                  <c:v>-999</c:v>
                </c:pt>
                <c:pt idx="22">
                  <c:v>-999</c:v>
                </c:pt>
                <c:pt idx="23">
                  <c:v>-999</c:v>
                </c:pt>
                <c:pt idx="24">
                  <c:v>-999</c:v>
                </c:pt>
                <c:pt idx="25">
                  <c:v>-999</c:v>
                </c:pt>
                <c:pt idx="26">
                  <c:v>-999</c:v>
                </c:pt>
                <c:pt idx="27">
                  <c:v>-999</c:v>
                </c:pt>
                <c:pt idx="28">
                  <c:v>-999</c:v>
                </c:pt>
                <c:pt idx="29">
                  <c:v>-999</c:v>
                </c:pt>
                <c:pt idx="30">
                  <c:v>-999</c:v>
                </c:pt>
                <c:pt idx="31">
                  <c:v>-999</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pt idx="100">
                  <c:v>-999</c:v>
                </c:pt>
                <c:pt idx="101">
                  <c:v>-999</c:v>
                </c:pt>
                <c:pt idx="102">
                  <c:v>-999</c:v>
                </c:pt>
                <c:pt idx="103">
                  <c:v>-999</c:v>
                </c:pt>
                <c:pt idx="104">
                  <c:v>-999</c:v>
                </c:pt>
                <c:pt idx="105">
                  <c:v>-999</c:v>
                </c:pt>
                <c:pt idx="106">
                  <c:v>-999</c:v>
                </c:pt>
                <c:pt idx="107">
                  <c:v>-999</c:v>
                </c:pt>
                <c:pt idx="108">
                  <c:v>-999</c:v>
                </c:pt>
                <c:pt idx="109">
                  <c:v>-999</c:v>
                </c:pt>
                <c:pt idx="110">
                  <c:v>-999</c:v>
                </c:pt>
                <c:pt idx="111">
                  <c:v>-999</c:v>
                </c:pt>
                <c:pt idx="112">
                  <c:v>-999</c:v>
                </c:pt>
                <c:pt idx="113">
                  <c:v>-999</c:v>
                </c:pt>
                <c:pt idx="114">
                  <c:v>-999</c:v>
                </c:pt>
                <c:pt idx="115">
                  <c:v>-999</c:v>
                </c:pt>
                <c:pt idx="116">
                  <c:v>-999</c:v>
                </c:pt>
                <c:pt idx="117">
                  <c:v>-999</c:v>
                </c:pt>
                <c:pt idx="118">
                  <c:v>-999</c:v>
                </c:pt>
                <c:pt idx="119">
                  <c:v>-999</c:v>
                </c:pt>
                <c:pt idx="120">
                  <c:v>-999</c:v>
                </c:pt>
                <c:pt idx="121">
                  <c:v>-999</c:v>
                </c:pt>
                <c:pt idx="122">
                  <c:v>-999</c:v>
                </c:pt>
                <c:pt idx="123">
                  <c:v>-999</c:v>
                </c:pt>
                <c:pt idx="124">
                  <c:v>-999</c:v>
                </c:pt>
                <c:pt idx="125">
                  <c:v>-999</c:v>
                </c:pt>
                <c:pt idx="126">
                  <c:v>-999</c:v>
                </c:pt>
                <c:pt idx="127">
                  <c:v>-999</c:v>
                </c:pt>
                <c:pt idx="128">
                  <c:v>-999</c:v>
                </c:pt>
                <c:pt idx="129">
                  <c:v>-999</c:v>
                </c:pt>
                <c:pt idx="130">
                  <c:v>-999</c:v>
                </c:pt>
                <c:pt idx="131">
                  <c:v>-999</c:v>
                </c:pt>
                <c:pt idx="132">
                  <c:v>-999</c:v>
                </c:pt>
                <c:pt idx="133">
                  <c:v>-999</c:v>
                </c:pt>
                <c:pt idx="134">
                  <c:v>-999</c:v>
                </c:pt>
                <c:pt idx="135">
                  <c:v>-999</c:v>
                </c:pt>
                <c:pt idx="136">
                  <c:v>-999</c:v>
                </c:pt>
                <c:pt idx="137">
                  <c:v>-999</c:v>
                </c:pt>
                <c:pt idx="138">
                  <c:v>-999</c:v>
                </c:pt>
                <c:pt idx="139">
                  <c:v>-999</c:v>
                </c:pt>
                <c:pt idx="140">
                  <c:v>-999</c:v>
                </c:pt>
                <c:pt idx="141">
                  <c:v>-999</c:v>
                </c:pt>
                <c:pt idx="142">
                  <c:v>-999</c:v>
                </c:pt>
                <c:pt idx="143">
                  <c:v>-999</c:v>
                </c:pt>
                <c:pt idx="144">
                  <c:v>-999</c:v>
                </c:pt>
                <c:pt idx="145">
                  <c:v>-999</c:v>
                </c:pt>
                <c:pt idx="146">
                  <c:v>-999</c:v>
                </c:pt>
                <c:pt idx="147">
                  <c:v>-999</c:v>
                </c:pt>
                <c:pt idx="148">
                  <c:v>-999</c:v>
                </c:pt>
                <c:pt idx="149">
                  <c:v>-999</c:v>
                </c:pt>
                <c:pt idx="150">
                  <c:v>-999</c:v>
                </c:pt>
                <c:pt idx="151">
                  <c:v>-999</c:v>
                </c:pt>
                <c:pt idx="152">
                  <c:v>-999</c:v>
                </c:pt>
                <c:pt idx="153">
                  <c:v>-999</c:v>
                </c:pt>
                <c:pt idx="154">
                  <c:v>-999</c:v>
                </c:pt>
                <c:pt idx="155">
                  <c:v>-999</c:v>
                </c:pt>
                <c:pt idx="156">
                  <c:v>-999</c:v>
                </c:pt>
                <c:pt idx="157">
                  <c:v>-999</c:v>
                </c:pt>
                <c:pt idx="158">
                  <c:v>-999</c:v>
                </c:pt>
                <c:pt idx="159">
                  <c:v>-999</c:v>
                </c:pt>
                <c:pt idx="160">
                  <c:v>-999</c:v>
                </c:pt>
                <c:pt idx="161">
                  <c:v>-999</c:v>
                </c:pt>
                <c:pt idx="162">
                  <c:v>-999</c:v>
                </c:pt>
                <c:pt idx="163">
                  <c:v>-999</c:v>
                </c:pt>
                <c:pt idx="164">
                  <c:v>-999</c:v>
                </c:pt>
                <c:pt idx="165">
                  <c:v>-999</c:v>
                </c:pt>
                <c:pt idx="166">
                  <c:v>-999</c:v>
                </c:pt>
                <c:pt idx="167">
                  <c:v>-999</c:v>
                </c:pt>
                <c:pt idx="168">
                  <c:v>-999</c:v>
                </c:pt>
                <c:pt idx="169">
                  <c:v>-999</c:v>
                </c:pt>
                <c:pt idx="170">
                  <c:v>-999</c:v>
                </c:pt>
                <c:pt idx="171">
                  <c:v>-999</c:v>
                </c:pt>
                <c:pt idx="172">
                  <c:v>-999</c:v>
                </c:pt>
                <c:pt idx="173">
                  <c:v>-999</c:v>
                </c:pt>
                <c:pt idx="174">
                  <c:v>-999</c:v>
                </c:pt>
                <c:pt idx="175">
                  <c:v>-999</c:v>
                </c:pt>
                <c:pt idx="176">
                  <c:v>-999</c:v>
                </c:pt>
                <c:pt idx="177">
                  <c:v>-999</c:v>
                </c:pt>
                <c:pt idx="178">
                  <c:v>-999</c:v>
                </c:pt>
                <c:pt idx="179">
                  <c:v>-999</c:v>
                </c:pt>
                <c:pt idx="180">
                  <c:v>-999</c:v>
                </c:pt>
                <c:pt idx="181">
                  <c:v>-999</c:v>
                </c:pt>
                <c:pt idx="182">
                  <c:v>-999</c:v>
                </c:pt>
                <c:pt idx="183">
                  <c:v>-999</c:v>
                </c:pt>
                <c:pt idx="184">
                  <c:v>-999</c:v>
                </c:pt>
                <c:pt idx="185">
                  <c:v>-999</c:v>
                </c:pt>
                <c:pt idx="186">
                  <c:v>-999</c:v>
                </c:pt>
                <c:pt idx="187">
                  <c:v>-999</c:v>
                </c:pt>
                <c:pt idx="188">
                  <c:v>-999</c:v>
                </c:pt>
                <c:pt idx="189">
                  <c:v>-999</c:v>
                </c:pt>
                <c:pt idx="190">
                  <c:v>-999</c:v>
                </c:pt>
                <c:pt idx="191">
                  <c:v>-999</c:v>
                </c:pt>
                <c:pt idx="192">
                  <c:v>-999</c:v>
                </c:pt>
                <c:pt idx="193">
                  <c:v>-999</c:v>
                </c:pt>
                <c:pt idx="194">
                  <c:v>-999</c:v>
                </c:pt>
                <c:pt idx="195">
                  <c:v>-999</c:v>
                </c:pt>
                <c:pt idx="196">
                  <c:v>-999</c:v>
                </c:pt>
                <c:pt idx="197">
                  <c:v>-999</c:v>
                </c:pt>
                <c:pt idx="198">
                  <c:v>-999</c:v>
                </c:pt>
                <c:pt idx="199">
                  <c:v>-999</c:v>
                </c:pt>
                <c:pt idx="200">
                  <c:v>-999</c:v>
                </c:pt>
                <c:pt idx="201">
                  <c:v>-999</c:v>
                </c:pt>
                <c:pt idx="202">
                  <c:v>-999</c:v>
                </c:pt>
                <c:pt idx="203">
                  <c:v>-999</c:v>
                </c:pt>
                <c:pt idx="204">
                  <c:v>-999</c:v>
                </c:pt>
                <c:pt idx="205">
                  <c:v>-999</c:v>
                </c:pt>
                <c:pt idx="206">
                  <c:v>-999</c:v>
                </c:pt>
                <c:pt idx="207">
                  <c:v>-999</c:v>
                </c:pt>
                <c:pt idx="208">
                  <c:v>-999</c:v>
                </c:pt>
                <c:pt idx="209">
                  <c:v>-999</c:v>
                </c:pt>
                <c:pt idx="210">
                  <c:v>-999</c:v>
                </c:pt>
                <c:pt idx="211">
                  <c:v>-999</c:v>
                </c:pt>
                <c:pt idx="212">
                  <c:v>-999</c:v>
                </c:pt>
                <c:pt idx="213">
                  <c:v>-999</c:v>
                </c:pt>
                <c:pt idx="214">
                  <c:v>-999</c:v>
                </c:pt>
                <c:pt idx="215">
                  <c:v>-999</c:v>
                </c:pt>
                <c:pt idx="216">
                  <c:v>-999</c:v>
                </c:pt>
                <c:pt idx="217">
                  <c:v>-999</c:v>
                </c:pt>
                <c:pt idx="218">
                  <c:v>-999</c:v>
                </c:pt>
                <c:pt idx="219">
                  <c:v>-999</c:v>
                </c:pt>
                <c:pt idx="220">
                  <c:v>-999</c:v>
                </c:pt>
                <c:pt idx="221">
                  <c:v>-999</c:v>
                </c:pt>
                <c:pt idx="222">
                  <c:v>-999</c:v>
                </c:pt>
                <c:pt idx="223">
                  <c:v>-999</c:v>
                </c:pt>
                <c:pt idx="224">
                  <c:v>-999</c:v>
                </c:pt>
                <c:pt idx="225">
                  <c:v>-999</c:v>
                </c:pt>
                <c:pt idx="226">
                  <c:v>-999</c:v>
                </c:pt>
                <c:pt idx="227">
                  <c:v>-999</c:v>
                </c:pt>
                <c:pt idx="228">
                  <c:v>-999</c:v>
                </c:pt>
                <c:pt idx="229">
                  <c:v>-999</c:v>
                </c:pt>
                <c:pt idx="230">
                  <c:v>-999</c:v>
                </c:pt>
                <c:pt idx="231">
                  <c:v>-999</c:v>
                </c:pt>
                <c:pt idx="232">
                  <c:v>-999</c:v>
                </c:pt>
                <c:pt idx="233">
                  <c:v>-999</c:v>
                </c:pt>
                <c:pt idx="234">
                  <c:v>-999</c:v>
                </c:pt>
                <c:pt idx="235">
                  <c:v>-999</c:v>
                </c:pt>
                <c:pt idx="236">
                  <c:v>-999</c:v>
                </c:pt>
                <c:pt idx="237">
                  <c:v>-999</c:v>
                </c:pt>
                <c:pt idx="238">
                  <c:v>-999</c:v>
                </c:pt>
                <c:pt idx="239">
                  <c:v>-999</c:v>
                </c:pt>
                <c:pt idx="240">
                  <c:v>-999</c:v>
                </c:pt>
                <c:pt idx="241">
                  <c:v>-999</c:v>
                </c:pt>
                <c:pt idx="242">
                  <c:v>-999</c:v>
                </c:pt>
                <c:pt idx="243">
                  <c:v>-999</c:v>
                </c:pt>
                <c:pt idx="244">
                  <c:v>-999</c:v>
                </c:pt>
                <c:pt idx="245">
                  <c:v>-999</c:v>
                </c:pt>
                <c:pt idx="246">
                  <c:v>-999</c:v>
                </c:pt>
                <c:pt idx="247">
                  <c:v>-999</c:v>
                </c:pt>
                <c:pt idx="248">
                  <c:v>-999</c:v>
                </c:pt>
                <c:pt idx="249">
                  <c:v>-999</c:v>
                </c:pt>
                <c:pt idx="250">
                  <c:v>-999</c:v>
                </c:pt>
                <c:pt idx="251">
                  <c:v>-999</c:v>
                </c:pt>
                <c:pt idx="252">
                  <c:v>-999</c:v>
                </c:pt>
                <c:pt idx="253">
                  <c:v>-999</c:v>
                </c:pt>
                <c:pt idx="254">
                  <c:v>-999</c:v>
                </c:pt>
                <c:pt idx="255">
                  <c:v>-999</c:v>
                </c:pt>
                <c:pt idx="256">
                  <c:v>-999</c:v>
                </c:pt>
                <c:pt idx="257">
                  <c:v>-999</c:v>
                </c:pt>
                <c:pt idx="258">
                  <c:v>-999</c:v>
                </c:pt>
                <c:pt idx="259">
                  <c:v>-999</c:v>
                </c:pt>
                <c:pt idx="260">
                  <c:v>-999</c:v>
                </c:pt>
                <c:pt idx="261">
                  <c:v>-999</c:v>
                </c:pt>
                <c:pt idx="262">
                  <c:v>-999</c:v>
                </c:pt>
                <c:pt idx="263">
                  <c:v>-999</c:v>
                </c:pt>
                <c:pt idx="264">
                  <c:v>-999</c:v>
                </c:pt>
                <c:pt idx="265">
                  <c:v>-999</c:v>
                </c:pt>
                <c:pt idx="266">
                  <c:v>-999</c:v>
                </c:pt>
                <c:pt idx="267">
                  <c:v>-999</c:v>
                </c:pt>
                <c:pt idx="268">
                  <c:v>-999</c:v>
                </c:pt>
                <c:pt idx="269">
                  <c:v>-999</c:v>
                </c:pt>
                <c:pt idx="270">
                  <c:v>-999</c:v>
                </c:pt>
                <c:pt idx="271">
                  <c:v>-999</c:v>
                </c:pt>
                <c:pt idx="272">
                  <c:v>-999</c:v>
                </c:pt>
                <c:pt idx="273">
                  <c:v>-999</c:v>
                </c:pt>
                <c:pt idx="274">
                  <c:v>-999</c:v>
                </c:pt>
                <c:pt idx="275">
                  <c:v>-999</c:v>
                </c:pt>
                <c:pt idx="276">
                  <c:v>-999</c:v>
                </c:pt>
                <c:pt idx="277">
                  <c:v>-999</c:v>
                </c:pt>
                <c:pt idx="278">
                  <c:v>-999</c:v>
                </c:pt>
                <c:pt idx="279">
                  <c:v>-999</c:v>
                </c:pt>
                <c:pt idx="280">
                  <c:v>-999</c:v>
                </c:pt>
                <c:pt idx="281">
                  <c:v>-999</c:v>
                </c:pt>
                <c:pt idx="282">
                  <c:v>-999</c:v>
                </c:pt>
                <c:pt idx="283">
                  <c:v>-999</c:v>
                </c:pt>
                <c:pt idx="284">
                  <c:v>-999</c:v>
                </c:pt>
                <c:pt idx="285">
                  <c:v>-999</c:v>
                </c:pt>
                <c:pt idx="286">
                  <c:v>-999</c:v>
                </c:pt>
                <c:pt idx="287">
                  <c:v>-999</c:v>
                </c:pt>
                <c:pt idx="288">
                  <c:v>-999</c:v>
                </c:pt>
                <c:pt idx="289">
                  <c:v>-999</c:v>
                </c:pt>
                <c:pt idx="290">
                  <c:v>-999</c:v>
                </c:pt>
                <c:pt idx="291">
                  <c:v>-999</c:v>
                </c:pt>
                <c:pt idx="292">
                  <c:v>-999</c:v>
                </c:pt>
                <c:pt idx="293">
                  <c:v>-999</c:v>
                </c:pt>
                <c:pt idx="294">
                  <c:v>-999</c:v>
                </c:pt>
                <c:pt idx="295">
                  <c:v>-999</c:v>
                </c:pt>
                <c:pt idx="296">
                  <c:v>-999</c:v>
                </c:pt>
                <c:pt idx="297">
                  <c:v>-999</c:v>
                </c:pt>
                <c:pt idx="298">
                  <c:v>-999</c:v>
                </c:pt>
                <c:pt idx="299">
                  <c:v>-999</c:v>
                </c:pt>
                <c:pt idx="300">
                  <c:v>-999</c:v>
                </c:pt>
                <c:pt idx="301">
                  <c:v>-999</c:v>
                </c:pt>
                <c:pt idx="302">
                  <c:v>-999</c:v>
                </c:pt>
                <c:pt idx="303">
                  <c:v>-999</c:v>
                </c:pt>
                <c:pt idx="304">
                  <c:v>-999</c:v>
                </c:pt>
                <c:pt idx="305">
                  <c:v>-999</c:v>
                </c:pt>
                <c:pt idx="306">
                  <c:v>-999</c:v>
                </c:pt>
                <c:pt idx="307">
                  <c:v>-999</c:v>
                </c:pt>
                <c:pt idx="308">
                  <c:v>-999</c:v>
                </c:pt>
                <c:pt idx="309">
                  <c:v>-999</c:v>
                </c:pt>
                <c:pt idx="310">
                  <c:v>-999</c:v>
                </c:pt>
                <c:pt idx="311">
                  <c:v>-999</c:v>
                </c:pt>
                <c:pt idx="312">
                  <c:v>-999</c:v>
                </c:pt>
                <c:pt idx="313">
                  <c:v>-999</c:v>
                </c:pt>
                <c:pt idx="314">
                  <c:v>-999</c:v>
                </c:pt>
                <c:pt idx="315">
                  <c:v>-999</c:v>
                </c:pt>
                <c:pt idx="316">
                  <c:v>-999</c:v>
                </c:pt>
                <c:pt idx="317">
                  <c:v>-999</c:v>
                </c:pt>
                <c:pt idx="318">
                  <c:v>-999</c:v>
                </c:pt>
                <c:pt idx="319">
                  <c:v>-999</c:v>
                </c:pt>
                <c:pt idx="320">
                  <c:v>-999</c:v>
                </c:pt>
                <c:pt idx="321">
                  <c:v>-999</c:v>
                </c:pt>
                <c:pt idx="322">
                  <c:v>-999</c:v>
                </c:pt>
                <c:pt idx="323">
                  <c:v>-999</c:v>
                </c:pt>
                <c:pt idx="324">
                  <c:v>-999</c:v>
                </c:pt>
                <c:pt idx="325">
                  <c:v>-999</c:v>
                </c:pt>
                <c:pt idx="326">
                  <c:v>-999</c:v>
                </c:pt>
                <c:pt idx="327">
                  <c:v>-999</c:v>
                </c:pt>
                <c:pt idx="328">
                  <c:v>-999</c:v>
                </c:pt>
                <c:pt idx="329">
                  <c:v>-999</c:v>
                </c:pt>
                <c:pt idx="330">
                  <c:v>-999</c:v>
                </c:pt>
                <c:pt idx="331">
                  <c:v>-999</c:v>
                </c:pt>
                <c:pt idx="332">
                  <c:v>-999</c:v>
                </c:pt>
                <c:pt idx="333">
                  <c:v>-999</c:v>
                </c:pt>
                <c:pt idx="334">
                  <c:v>-999</c:v>
                </c:pt>
                <c:pt idx="335">
                  <c:v>-999</c:v>
                </c:pt>
                <c:pt idx="336">
                  <c:v>-999</c:v>
                </c:pt>
                <c:pt idx="337">
                  <c:v>-999</c:v>
                </c:pt>
                <c:pt idx="338">
                  <c:v>-999</c:v>
                </c:pt>
                <c:pt idx="339">
                  <c:v>-999</c:v>
                </c:pt>
                <c:pt idx="340">
                  <c:v>-999</c:v>
                </c:pt>
                <c:pt idx="341">
                  <c:v>-999</c:v>
                </c:pt>
                <c:pt idx="342">
                  <c:v>-999</c:v>
                </c:pt>
                <c:pt idx="343">
                  <c:v>-999</c:v>
                </c:pt>
                <c:pt idx="344">
                  <c:v>-999</c:v>
                </c:pt>
                <c:pt idx="345">
                  <c:v>-999</c:v>
                </c:pt>
                <c:pt idx="346">
                  <c:v>-999</c:v>
                </c:pt>
                <c:pt idx="347">
                  <c:v>-999</c:v>
                </c:pt>
                <c:pt idx="348">
                  <c:v>-999</c:v>
                </c:pt>
                <c:pt idx="349">
                  <c:v>-999</c:v>
                </c:pt>
                <c:pt idx="350">
                  <c:v>-999</c:v>
                </c:pt>
                <c:pt idx="351">
                  <c:v>-999</c:v>
                </c:pt>
                <c:pt idx="352">
                  <c:v>-999</c:v>
                </c:pt>
                <c:pt idx="353">
                  <c:v>-999</c:v>
                </c:pt>
                <c:pt idx="354">
                  <c:v>-999</c:v>
                </c:pt>
                <c:pt idx="355">
                  <c:v>-999</c:v>
                </c:pt>
                <c:pt idx="356">
                  <c:v>-999</c:v>
                </c:pt>
                <c:pt idx="357">
                  <c:v>-999</c:v>
                </c:pt>
                <c:pt idx="358">
                  <c:v>-999</c:v>
                </c:pt>
                <c:pt idx="359">
                  <c:v>-999</c:v>
                </c:pt>
                <c:pt idx="360">
                  <c:v>-999</c:v>
                </c:pt>
                <c:pt idx="361">
                  <c:v>-999</c:v>
                </c:pt>
                <c:pt idx="362">
                  <c:v>-999</c:v>
                </c:pt>
                <c:pt idx="363">
                  <c:v>-999</c:v>
                </c:pt>
                <c:pt idx="364">
                  <c:v>-999</c:v>
                </c:pt>
                <c:pt idx="365">
                  <c:v>-999</c:v>
                </c:pt>
                <c:pt idx="366">
                  <c:v>-999</c:v>
                </c:pt>
                <c:pt idx="367">
                  <c:v>-999</c:v>
                </c:pt>
                <c:pt idx="368">
                  <c:v>-999</c:v>
                </c:pt>
                <c:pt idx="369">
                  <c:v>-999</c:v>
                </c:pt>
                <c:pt idx="370">
                  <c:v>-999</c:v>
                </c:pt>
                <c:pt idx="371">
                  <c:v>-999</c:v>
                </c:pt>
                <c:pt idx="372">
                  <c:v>-999</c:v>
                </c:pt>
                <c:pt idx="373">
                  <c:v>-999</c:v>
                </c:pt>
                <c:pt idx="374">
                  <c:v>-999</c:v>
                </c:pt>
                <c:pt idx="375">
                  <c:v>-999</c:v>
                </c:pt>
                <c:pt idx="376">
                  <c:v>-999</c:v>
                </c:pt>
                <c:pt idx="377">
                  <c:v>-999</c:v>
                </c:pt>
                <c:pt idx="378">
                  <c:v>-999</c:v>
                </c:pt>
                <c:pt idx="379">
                  <c:v>-999</c:v>
                </c:pt>
                <c:pt idx="380">
                  <c:v>-999</c:v>
                </c:pt>
                <c:pt idx="381">
                  <c:v>-999</c:v>
                </c:pt>
                <c:pt idx="382">
                  <c:v>-999</c:v>
                </c:pt>
                <c:pt idx="383">
                  <c:v>-999</c:v>
                </c:pt>
                <c:pt idx="384">
                  <c:v>-999</c:v>
                </c:pt>
                <c:pt idx="385">
                  <c:v>-999</c:v>
                </c:pt>
                <c:pt idx="386">
                  <c:v>-999</c:v>
                </c:pt>
                <c:pt idx="387">
                  <c:v>-999</c:v>
                </c:pt>
                <c:pt idx="388">
                  <c:v>-999</c:v>
                </c:pt>
                <c:pt idx="389">
                  <c:v>-999</c:v>
                </c:pt>
                <c:pt idx="390">
                  <c:v>-999</c:v>
                </c:pt>
                <c:pt idx="391">
                  <c:v>-999</c:v>
                </c:pt>
                <c:pt idx="392">
                  <c:v>-999</c:v>
                </c:pt>
                <c:pt idx="393">
                  <c:v>-999</c:v>
                </c:pt>
                <c:pt idx="394">
                  <c:v>-999</c:v>
                </c:pt>
                <c:pt idx="395">
                  <c:v>-999</c:v>
                </c:pt>
                <c:pt idx="396">
                  <c:v>-999</c:v>
                </c:pt>
                <c:pt idx="397">
                  <c:v>-999</c:v>
                </c:pt>
                <c:pt idx="398">
                  <c:v>-999</c:v>
                </c:pt>
                <c:pt idx="399">
                  <c:v>-999</c:v>
                </c:pt>
                <c:pt idx="400">
                  <c:v>-999</c:v>
                </c:pt>
                <c:pt idx="401">
                  <c:v>-999</c:v>
                </c:pt>
                <c:pt idx="402">
                  <c:v>-999</c:v>
                </c:pt>
                <c:pt idx="403">
                  <c:v>-999</c:v>
                </c:pt>
                <c:pt idx="404">
                  <c:v>-999</c:v>
                </c:pt>
                <c:pt idx="405">
                  <c:v>-999</c:v>
                </c:pt>
                <c:pt idx="406">
                  <c:v>-999</c:v>
                </c:pt>
                <c:pt idx="407">
                  <c:v>-999</c:v>
                </c:pt>
                <c:pt idx="408">
                  <c:v>-999</c:v>
                </c:pt>
                <c:pt idx="409">
                  <c:v>-999</c:v>
                </c:pt>
                <c:pt idx="410">
                  <c:v>-999</c:v>
                </c:pt>
                <c:pt idx="411">
                  <c:v>-999</c:v>
                </c:pt>
                <c:pt idx="412">
                  <c:v>-999</c:v>
                </c:pt>
                <c:pt idx="413">
                  <c:v>-999</c:v>
                </c:pt>
                <c:pt idx="414">
                  <c:v>-999</c:v>
                </c:pt>
                <c:pt idx="415">
                  <c:v>-999</c:v>
                </c:pt>
                <c:pt idx="416">
                  <c:v>-999</c:v>
                </c:pt>
                <c:pt idx="417">
                  <c:v>-999</c:v>
                </c:pt>
                <c:pt idx="418">
                  <c:v>-999</c:v>
                </c:pt>
                <c:pt idx="419">
                  <c:v>-999</c:v>
                </c:pt>
                <c:pt idx="420">
                  <c:v>-999</c:v>
                </c:pt>
                <c:pt idx="421">
                  <c:v>-999</c:v>
                </c:pt>
                <c:pt idx="422">
                  <c:v>-999</c:v>
                </c:pt>
                <c:pt idx="423">
                  <c:v>-999</c:v>
                </c:pt>
                <c:pt idx="424">
                  <c:v>-999</c:v>
                </c:pt>
                <c:pt idx="425">
                  <c:v>-999</c:v>
                </c:pt>
                <c:pt idx="426">
                  <c:v>-999</c:v>
                </c:pt>
                <c:pt idx="427">
                  <c:v>-999</c:v>
                </c:pt>
                <c:pt idx="428">
                  <c:v>-999</c:v>
                </c:pt>
                <c:pt idx="429">
                  <c:v>-999</c:v>
                </c:pt>
                <c:pt idx="430">
                  <c:v>-999</c:v>
                </c:pt>
                <c:pt idx="431">
                  <c:v>-999</c:v>
                </c:pt>
                <c:pt idx="432">
                  <c:v>-999</c:v>
                </c:pt>
                <c:pt idx="433">
                  <c:v>-999</c:v>
                </c:pt>
                <c:pt idx="434">
                  <c:v>-999</c:v>
                </c:pt>
                <c:pt idx="435">
                  <c:v>-999</c:v>
                </c:pt>
                <c:pt idx="436">
                  <c:v>-999</c:v>
                </c:pt>
                <c:pt idx="437">
                  <c:v>-999</c:v>
                </c:pt>
                <c:pt idx="438">
                  <c:v>-999</c:v>
                </c:pt>
                <c:pt idx="439">
                  <c:v>-999</c:v>
                </c:pt>
                <c:pt idx="440">
                  <c:v>-999</c:v>
                </c:pt>
                <c:pt idx="441">
                  <c:v>-999</c:v>
                </c:pt>
                <c:pt idx="442">
                  <c:v>-999</c:v>
                </c:pt>
                <c:pt idx="443">
                  <c:v>-999</c:v>
                </c:pt>
                <c:pt idx="444">
                  <c:v>-999</c:v>
                </c:pt>
                <c:pt idx="445">
                  <c:v>-999</c:v>
                </c:pt>
                <c:pt idx="446">
                  <c:v>-999</c:v>
                </c:pt>
                <c:pt idx="447">
                  <c:v>-999</c:v>
                </c:pt>
                <c:pt idx="448">
                  <c:v>-999</c:v>
                </c:pt>
                <c:pt idx="449">
                  <c:v>-999</c:v>
                </c:pt>
                <c:pt idx="450">
                  <c:v>-999</c:v>
                </c:pt>
                <c:pt idx="451">
                  <c:v>-999</c:v>
                </c:pt>
                <c:pt idx="452">
                  <c:v>-999</c:v>
                </c:pt>
                <c:pt idx="453">
                  <c:v>-999</c:v>
                </c:pt>
                <c:pt idx="454">
                  <c:v>-999</c:v>
                </c:pt>
                <c:pt idx="455">
                  <c:v>-999</c:v>
                </c:pt>
                <c:pt idx="456">
                  <c:v>-999</c:v>
                </c:pt>
                <c:pt idx="457">
                  <c:v>-999</c:v>
                </c:pt>
                <c:pt idx="458">
                  <c:v>-999</c:v>
                </c:pt>
                <c:pt idx="459">
                  <c:v>-999</c:v>
                </c:pt>
                <c:pt idx="460">
                  <c:v>-999</c:v>
                </c:pt>
                <c:pt idx="461">
                  <c:v>-999</c:v>
                </c:pt>
                <c:pt idx="462">
                  <c:v>-999</c:v>
                </c:pt>
                <c:pt idx="463">
                  <c:v>-999</c:v>
                </c:pt>
                <c:pt idx="464">
                  <c:v>-999</c:v>
                </c:pt>
                <c:pt idx="465">
                  <c:v>-999</c:v>
                </c:pt>
                <c:pt idx="466">
                  <c:v>-999</c:v>
                </c:pt>
                <c:pt idx="467">
                  <c:v>-999</c:v>
                </c:pt>
                <c:pt idx="468">
                  <c:v>-999</c:v>
                </c:pt>
                <c:pt idx="469">
                  <c:v>-999</c:v>
                </c:pt>
                <c:pt idx="470">
                  <c:v>-999</c:v>
                </c:pt>
                <c:pt idx="471">
                  <c:v>-999</c:v>
                </c:pt>
                <c:pt idx="472">
                  <c:v>-999</c:v>
                </c:pt>
                <c:pt idx="473">
                  <c:v>-999</c:v>
                </c:pt>
                <c:pt idx="474">
                  <c:v>-999</c:v>
                </c:pt>
                <c:pt idx="475">
                  <c:v>-999</c:v>
                </c:pt>
                <c:pt idx="476">
                  <c:v>-999</c:v>
                </c:pt>
                <c:pt idx="477">
                  <c:v>-999</c:v>
                </c:pt>
                <c:pt idx="478">
                  <c:v>-999</c:v>
                </c:pt>
                <c:pt idx="479">
                  <c:v>-999</c:v>
                </c:pt>
                <c:pt idx="480">
                  <c:v>-999</c:v>
                </c:pt>
                <c:pt idx="481">
                  <c:v>-999</c:v>
                </c:pt>
                <c:pt idx="482">
                  <c:v>-999</c:v>
                </c:pt>
                <c:pt idx="483">
                  <c:v>-999</c:v>
                </c:pt>
                <c:pt idx="484">
                  <c:v>-999</c:v>
                </c:pt>
                <c:pt idx="485">
                  <c:v>-999</c:v>
                </c:pt>
                <c:pt idx="486">
                  <c:v>-999</c:v>
                </c:pt>
                <c:pt idx="487">
                  <c:v>-999</c:v>
                </c:pt>
                <c:pt idx="488">
                  <c:v>-999</c:v>
                </c:pt>
                <c:pt idx="489">
                  <c:v>-999</c:v>
                </c:pt>
                <c:pt idx="490">
                  <c:v>-999</c:v>
                </c:pt>
                <c:pt idx="491">
                  <c:v>-999</c:v>
                </c:pt>
                <c:pt idx="492">
                  <c:v>-999</c:v>
                </c:pt>
                <c:pt idx="493">
                  <c:v>-999</c:v>
                </c:pt>
                <c:pt idx="494">
                  <c:v>-999</c:v>
                </c:pt>
                <c:pt idx="495">
                  <c:v>-999</c:v>
                </c:pt>
                <c:pt idx="496">
                  <c:v>-999</c:v>
                </c:pt>
                <c:pt idx="497">
                  <c:v>-999</c:v>
                </c:pt>
                <c:pt idx="498">
                  <c:v>-999</c:v>
                </c:pt>
                <c:pt idx="499">
                  <c:v>-999</c:v>
                </c:pt>
                <c:pt idx="500">
                  <c:v>-999</c:v>
                </c:pt>
                <c:pt idx="501">
                  <c:v>-999</c:v>
                </c:pt>
                <c:pt idx="502">
                  <c:v>-999</c:v>
                </c:pt>
                <c:pt idx="503">
                  <c:v>-999</c:v>
                </c:pt>
                <c:pt idx="504">
                  <c:v>-999</c:v>
                </c:pt>
                <c:pt idx="505">
                  <c:v>-999</c:v>
                </c:pt>
                <c:pt idx="506">
                  <c:v>-999</c:v>
                </c:pt>
                <c:pt idx="507">
                  <c:v>-999</c:v>
                </c:pt>
                <c:pt idx="508">
                  <c:v>-999</c:v>
                </c:pt>
                <c:pt idx="509">
                  <c:v>-999</c:v>
                </c:pt>
                <c:pt idx="510">
                  <c:v>-999</c:v>
                </c:pt>
                <c:pt idx="511">
                  <c:v>-999</c:v>
                </c:pt>
                <c:pt idx="512">
                  <c:v>-999</c:v>
                </c:pt>
                <c:pt idx="513">
                  <c:v>-999</c:v>
                </c:pt>
                <c:pt idx="514">
                  <c:v>-999</c:v>
                </c:pt>
                <c:pt idx="515">
                  <c:v>-999</c:v>
                </c:pt>
                <c:pt idx="516">
                  <c:v>-999</c:v>
                </c:pt>
                <c:pt idx="517">
                  <c:v>-999</c:v>
                </c:pt>
                <c:pt idx="518">
                  <c:v>-999</c:v>
                </c:pt>
                <c:pt idx="519">
                  <c:v>-999</c:v>
                </c:pt>
                <c:pt idx="520">
                  <c:v>-999</c:v>
                </c:pt>
                <c:pt idx="521">
                  <c:v>-999</c:v>
                </c:pt>
                <c:pt idx="522">
                  <c:v>-999</c:v>
                </c:pt>
                <c:pt idx="523">
                  <c:v>-999</c:v>
                </c:pt>
                <c:pt idx="524">
                  <c:v>-999</c:v>
                </c:pt>
                <c:pt idx="525">
                  <c:v>-999</c:v>
                </c:pt>
                <c:pt idx="526">
                  <c:v>-999</c:v>
                </c:pt>
                <c:pt idx="527">
                  <c:v>-999</c:v>
                </c:pt>
                <c:pt idx="528">
                  <c:v>-999</c:v>
                </c:pt>
                <c:pt idx="529">
                  <c:v>-999</c:v>
                </c:pt>
                <c:pt idx="530">
                  <c:v>-999</c:v>
                </c:pt>
                <c:pt idx="531">
                  <c:v>-999</c:v>
                </c:pt>
                <c:pt idx="532">
                  <c:v>-999</c:v>
                </c:pt>
                <c:pt idx="533">
                  <c:v>-999</c:v>
                </c:pt>
                <c:pt idx="534">
                  <c:v>-999</c:v>
                </c:pt>
                <c:pt idx="535">
                  <c:v>-999</c:v>
                </c:pt>
                <c:pt idx="536">
                  <c:v>-999</c:v>
                </c:pt>
                <c:pt idx="537">
                  <c:v>-999</c:v>
                </c:pt>
                <c:pt idx="538">
                  <c:v>-999</c:v>
                </c:pt>
                <c:pt idx="539">
                  <c:v>-999</c:v>
                </c:pt>
                <c:pt idx="540">
                  <c:v>-999</c:v>
                </c:pt>
                <c:pt idx="541">
                  <c:v>-999</c:v>
                </c:pt>
                <c:pt idx="542">
                  <c:v>-999</c:v>
                </c:pt>
                <c:pt idx="543">
                  <c:v>-999</c:v>
                </c:pt>
                <c:pt idx="544">
                  <c:v>-999</c:v>
                </c:pt>
                <c:pt idx="545">
                  <c:v>-999</c:v>
                </c:pt>
                <c:pt idx="546">
                  <c:v>-999</c:v>
                </c:pt>
                <c:pt idx="547">
                  <c:v>-999</c:v>
                </c:pt>
                <c:pt idx="548">
                  <c:v>-999</c:v>
                </c:pt>
                <c:pt idx="549">
                  <c:v>-999</c:v>
                </c:pt>
                <c:pt idx="550">
                  <c:v>-999</c:v>
                </c:pt>
                <c:pt idx="551">
                  <c:v>-999</c:v>
                </c:pt>
                <c:pt idx="552">
                  <c:v>-999</c:v>
                </c:pt>
                <c:pt idx="553">
                  <c:v>-999</c:v>
                </c:pt>
                <c:pt idx="554">
                  <c:v>-999</c:v>
                </c:pt>
                <c:pt idx="555">
                  <c:v>-999</c:v>
                </c:pt>
                <c:pt idx="556">
                  <c:v>-999</c:v>
                </c:pt>
                <c:pt idx="557">
                  <c:v>-999</c:v>
                </c:pt>
                <c:pt idx="558">
                  <c:v>-999</c:v>
                </c:pt>
                <c:pt idx="559">
                  <c:v>-999</c:v>
                </c:pt>
                <c:pt idx="560">
                  <c:v>-999</c:v>
                </c:pt>
                <c:pt idx="561">
                  <c:v>-999</c:v>
                </c:pt>
                <c:pt idx="562">
                  <c:v>-999</c:v>
                </c:pt>
                <c:pt idx="563">
                  <c:v>-999</c:v>
                </c:pt>
                <c:pt idx="564">
                  <c:v>-999</c:v>
                </c:pt>
                <c:pt idx="565">
                  <c:v>-999</c:v>
                </c:pt>
                <c:pt idx="566">
                  <c:v>-999</c:v>
                </c:pt>
                <c:pt idx="567">
                  <c:v>-999</c:v>
                </c:pt>
                <c:pt idx="568">
                  <c:v>-999</c:v>
                </c:pt>
                <c:pt idx="569">
                  <c:v>-999</c:v>
                </c:pt>
                <c:pt idx="570">
                  <c:v>-999</c:v>
                </c:pt>
                <c:pt idx="571">
                  <c:v>-999</c:v>
                </c:pt>
                <c:pt idx="572">
                  <c:v>-999</c:v>
                </c:pt>
                <c:pt idx="573">
                  <c:v>-999</c:v>
                </c:pt>
                <c:pt idx="574">
                  <c:v>-999</c:v>
                </c:pt>
                <c:pt idx="575">
                  <c:v>-999</c:v>
                </c:pt>
                <c:pt idx="576">
                  <c:v>-999</c:v>
                </c:pt>
                <c:pt idx="577">
                  <c:v>-999</c:v>
                </c:pt>
                <c:pt idx="578">
                  <c:v>-999</c:v>
                </c:pt>
                <c:pt idx="579">
                  <c:v>-999</c:v>
                </c:pt>
                <c:pt idx="580">
                  <c:v>-999</c:v>
                </c:pt>
                <c:pt idx="581">
                  <c:v>-999</c:v>
                </c:pt>
                <c:pt idx="582">
                  <c:v>-999</c:v>
                </c:pt>
                <c:pt idx="583">
                  <c:v>-999</c:v>
                </c:pt>
                <c:pt idx="584">
                  <c:v>-999</c:v>
                </c:pt>
                <c:pt idx="585">
                  <c:v>-999</c:v>
                </c:pt>
                <c:pt idx="586">
                  <c:v>-999</c:v>
                </c:pt>
                <c:pt idx="587">
                  <c:v>-999</c:v>
                </c:pt>
                <c:pt idx="588">
                  <c:v>-999</c:v>
                </c:pt>
                <c:pt idx="589">
                  <c:v>-999</c:v>
                </c:pt>
                <c:pt idx="590">
                  <c:v>-999</c:v>
                </c:pt>
                <c:pt idx="591">
                  <c:v>-999</c:v>
                </c:pt>
                <c:pt idx="592">
                  <c:v>-999</c:v>
                </c:pt>
                <c:pt idx="593">
                  <c:v>-999</c:v>
                </c:pt>
                <c:pt idx="594">
                  <c:v>-999</c:v>
                </c:pt>
                <c:pt idx="595">
                  <c:v>-999</c:v>
                </c:pt>
                <c:pt idx="596">
                  <c:v>-999</c:v>
                </c:pt>
                <c:pt idx="597">
                  <c:v>-999</c:v>
                </c:pt>
                <c:pt idx="598">
                  <c:v>-999</c:v>
                </c:pt>
                <c:pt idx="599">
                  <c:v>-999</c:v>
                </c:pt>
                <c:pt idx="600">
                  <c:v>-999</c:v>
                </c:pt>
                <c:pt idx="601">
                  <c:v>-999</c:v>
                </c:pt>
                <c:pt idx="602">
                  <c:v>-999</c:v>
                </c:pt>
                <c:pt idx="603">
                  <c:v>-999</c:v>
                </c:pt>
                <c:pt idx="604">
                  <c:v>-999</c:v>
                </c:pt>
                <c:pt idx="605">
                  <c:v>-999</c:v>
                </c:pt>
                <c:pt idx="606">
                  <c:v>-999</c:v>
                </c:pt>
                <c:pt idx="607">
                  <c:v>-999</c:v>
                </c:pt>
                <c:pt idx="608">
                  <c:v>-999</c:v>
                </c:pt>
                <c:pt idx="609">
                  <c:v>-999</c:v>
                </c:pt>
                <c:pt idx="610">
                  <c:v>-999</c:v>
                </c:pt>
                <c:pt idx="611">
                  <c:v>-999</c:v>
                </c:pt>
                <c:pt idx="612">
                  <c:v>-999</c:v>
                </c:pt>
                <c:pt idx="613">
                  <c:v>-999</c:v>
                </c:pt>
                <c:pt idx="614">
                  <c:v>-999</c:v>
                </c:pt>
                <c:pt idx="615">
                  <c:v>-999</c:v>
                </c:pt>
                <c:pt idx="616">
                  <c:v>-999</c:v>
                </c:pt>
                <c:pt idx="617">
                  <c:v>-999</c:v>
                </c:pt>
                <c:pt idx="618">
                  <c:v>-999</c:v>
                </c:pt>
                <c:pt idx="619">
                  <c:v>-999</c:v>
                </c:pt>
                <c:pt idx="620">
                  <c:v>-999</c:v>
                </c:pt>
                <c:pt idx="621">
                  <c:v>-999</c:v>
                </c:pt>
                <c:pt idx="622">
                  <c:v>-999</c:v>
                </c:pt>
                <c:pt idx="623">
                  <c:v>-999</c:v>
                </c:pt>
                <c:pt idx="624">
                  <c:v>-999</c:v>
                </c:pt>
                <c:pt idx="625">
                  <c:v>-999</c:v>
                </c:pt>
                <c:pt idx="626">
                  <c:v>-999</c:v>
                </c:pt>
                <c:pt idx="627">
                  <c:v>-999</c:v>
                </c:pt>
                <c:pt idx="628">
                  <c:v>-999</c:v>
                </c:pt>
                <c:pt idx="629">
                  <c:v>-999</c:v>
                </c:pt>
                <c:pt idx="630">
                  <c:v>-999</c:v>
                </c:pt>
                <c:pt idx="631">
                  <c:v>-999</c:v>
                </c:pt>
                <c:pt idx="632">
                  <c:v>-999</c:v>
                </c:pt>
                <c:pt idx="633">
                  <c:v>-999</c:v>
                </c:pt>
                <c:pt idx="634">
                  <c:v>-999</c:v>
                </c:pt>
                <c:pt idx="635">
                  <c:v>-999</c:v>
                </c:pt>
                <c:pt idx="636">
                  <c:v>-999</c:v>
                </c:pt>
                <c:pt idx="637">
                  <c:v>-999</c:v>
                </c:pt>
                <c:pt idx="638">
                  <c:v>-999</c:v>
                </c:pt>
                <c:pt idx="639">
                  <c:v>-999</c:v>
                </c:pt>
                <c:pt idx="640">
                  <c:v>-999</c:v>
                </c:pt>
                <c:pt idx="641">
                  <c:v>-999</c:v>
                </c:pt>
                <c:pt idx="642">
                  <c:v>-999</c:v>
                </c:pt>
                <c:pt idx="643">
                  <c:v>-999</c:v>
                </c:pt>
                <c:pt idx="644">
                  <c:v>-999</c:v>
                </c:pt>
                <c:pt idx="645">
                  <c:v>-999</c:v>
                </c:pt>
                <c:pt idx="646">
                  <c:v>-999</c:v>
                </c:pt>
                <c:pt idx="647">
                  <c:v>-999</c:v>
                </c:pt>
                <c:pt idx="648">
                  <c:v>-999</c:v>
                </c:pt>
                <c:pt idx="649">
                  <c:v>-999</c:v>
                </c:pt>
                <c:pt idx="650">
                  <c:v>-999</c:v>
                </c:pt>
                <c:pt idx="651">
                  <c:v>-999</c:v>
                </c:pt>
                <c:pt idx="652">
                  <c:v>-999</c:v>
                </c:pt>
                <c:pt idx="653">
                  <c:v>-999</c:v>
                </c:pt>
                <c:pt idx="654">
                  <c:v>-999</c:v>
                </c:pt>
                <c:pt idx="655">
                  <c:v>-999</c:v>
                </c:pt>
                <c:pt idx="656">
                  <c:v>-999</c:v>
                </c:pt>
                <c:pt idx="657">
                  <c:v>-999</c:v>
                </c:pt>
                <c:pt idx="658">
                  <c:v>-999</c:v>
                </c:pt>
                <c:pt idx="659">
                  <c:v>-999</c:v>
                </c:pt>
                <c:pt idx="660">
                  <c:v>-999</c:v>
                </c:pt>
                <c:pt idx="661">
                  <c:v>-999</c:v>
                </c:pt>
                <c:pt idx="662">
                  <c:v>-999</c:v>
                </c:pt>
                <c:pt idx="663">
                  <c:v>-999</c:v>
                </c:pt>
                <c:pt idx="664">
                  <c:v>-999</c:v>
                </c:pt>
                <c:pt idx="665">
                  <c:v>-999</c:v>
                </c:pt>
                <c:pt idx="666">
                  <c:v>-999</c:v>
                </c:pt>
                <c:pt idx="667">
                  <c:v>-999</c:v>
                </c:pt>
                <c:pt idx="668">
                  <c:v>-999</c:v>
                </c:pt>
                <c:pt idx="669">
                  <c:v>-999</c:v>
                </c:pt>
                <c:pt idx="670">
                  <c:v>-999</c:v>
                </c:pt>
                <c:pt idx="671">
                  <c:v>-999</c:v>
                </c:pt>
                <c:pt idx="672">
                  <c:v>-999</c:v>
                </c:pt>
                <c:pt idx="673">
                  <c:v>-999</c:v>
                </c:pt>
                <c:pt idx="674">
                  <c:v>-999</c:v>
                </c:pt>
                <c:pt idx="675">
                  <c:v>-999</c:v>
                </c:pt>
                <c:pt idx="676">
                  <c:v>-999</c:v>
                </c:pt>
                <c:pt idx="677">
                  <c:v>-999</c:v>
                </c:pt>
                <c:pt idx="678">
                  <c:v>-999</c:v>
                </c:pt>
                <c:pt idx="679">
                  <c:v>-999</c:v>
                </c:pt>
                <c:pt idx="680">
                  <c:v>-999</c:v>
                </c:pt>
                <c:pt idx="681">
                  <c:v>-999</c:v>
                </c:pt>
                <c:pt idx="682">
                  <c:v>-999</c:v>
                </c:pt>
                <c:pt idx="683">
                  <c:v>-999</c:v>
                </c:pt>
                <c:pt idx="684">
                  <c:v>-999</c:v>
                </c:pt>
                <c:pt idx="685">
                  <c:v>-999</c:v>
                </c:pt>
                <c:pt idx="686">
                  <c:v>-999</c:v>
                </c:pt>
                <c:pt idx="687">
                  <c:v>-999</c:v>
                </c:pt>
                <c:pt idx="688">
                  <c:v>-999</c:v>
                </c:pt>
                <c:pt idx="689">
                  <c:v>-999</c:v>
                </c:pt>
                <c:pt idx="690">
                  <c:v>-999</c:v>
                </c:pt>
                <c:pt idx="691">
                  <c:v>-999</c:v>
                </c:pt>
                <c:pt idx="692">
                  <c:v>-999</c:v>
                </c:pt>
                <c:pt idx="693">
                  <c:v>-999</c:v>
                </c:pt>
                <c:pt idx="694">
                  <c:v>-999</c:v>
                </c:pt>
                <c:pt idx="695">
                  <c:v>-999</c:v>
                </c:pt>
                <c:pt idx="696">
                  <c:v>-999</c:v>
                </c:pt>
                <c:pt idx="697">
                  <c:v>-999</c:v>
                </c:pt>
                <c:pt idx="698">
                  <c:v>-999</c:v>
                </c:pt>
                <c:pt idx="699">
                  <c:v>-999</c:v>
                </c:pt>
                <c:pt idx="700">
                  <c:v>-999</c:v>
                </c:pt>
                <c:pt idx="701">
                  <c:v>-999</c:v>
                </c:pt>
                <c:pt idx="702">
                  <c:v>-999</c:v>
                </c:pt>
                <c:pt idx="703">
                  <c:v>-999</c:v>
                </c:pt>
                <c:pt idx="704">
                  <c:v>-999</c:v>
                </c:pt>
                <c:pt idx="705">
                  <c:v>-999</c:v>
                </c:pt>
                <c:pt idx="706">
                  <c:v>-999</c:v>
                </c:pt>
                <c:pt idx="707">
                  <c:v>-999</c:v>
                </c:pt>
                <c:pt idx="708">
                  <c:v>-999</c:v>
                </c:pt>
                <c:pt idx="709">
                  <c:v>-999</c:v>
                </c:pt>
                <c:pt idx="710">
                  <c:v>-999</c:v>
                </c:pt>
                <c:pt idx="711">
                  <c:v>-999</c:v>
                </c:pt>
                <c:pt idx="712">
                  <c:v>-999</c:v>
                </c:pt>
                <c:pt idx="713">
                  <c:v>-999</c:v>
                </c:pt>
                <c:pt idx="714">
                  <c:v>-999</c:v>
                </c:pt>
                <c:pt idx="715">
                  <c:v>-999</c:v>
                </c:pt>
                <c:pt idx="716">
                  <c:v>-999</c:v>
                </c:pt>
                <c:pt idx="717">
                  <c:v>-999</c:v>
                </c:pt>
                <c:pt idx="718">
                  <c:v>-999</c:v>
                </c:pt>
                <c:pt idx="719">
                  <c:v>-999</c:v>
                </c:pt>
                <c:pt idx="720">
                  <c:v>-999</c:v>
                </c:pt>
                <c:pt idx="721">
                  <c:v>-999</c:v>
                </c:pt>
                <c:pt idx="722">
                  <c:v>-999</c:v>
                </c:pt>
                <c:pt idx="723">
                  <c:v>-999</c:v>
                </c:pt>
                <c:pt idx="724">
                  <c:v>-999</c:v>
                </c:pt>
                <c:pt idx="725">
                  <c:v>-999</c:v>
                </c:pt>
                <c:pt idx="726">
                  <c:v>-999</c:v>
                </c:pt>
                <c:pt idx="727">
                  <c:v>-999</c:v>
                </c:pt>
                <c:pt idx="728">
                  <c:v>-999</c:v>
                </c:pt>
                <c:pt idx="729">
                  <c:v>-999</c:v>
                </c:pt>
                <c:pt idx="730">
                  <c:v>-999</c:v>
                </c:pt>
                <c:pt idx="731">
                  <c:v>-999</c:v>
                </c:pt>
                <c:pt idx="732">
                  <c:v>-999</c:v>
                </c:pt>
                <c:pt idx="733">
                  <c:v>-999</c:v>
                </c:pt>
                <c:pt idx="734">
                  <c:v>-999</c:v>
                </c:pt>
                <c:pt idx="735">
                  <c:v>-999</c:v>
                </c:pt>
                <c:pt idx="736">
                  <c:v>-999</c:v>
                </c:pt>
                <c:pt idx="737">
                  <c:v>-999</c:v>
                </c:pt>
                <c:pt idx="738">
                  <c:v>-999</c:v>
                </c:pt>
                <c:pt idx="739">
                  <c:v>-999</c:v>
                </c:pt>
                <c:pt idx="740">
                  <c:v>-999</c:v>
                </c:pt>
                <c:pt idx="741">
                  <c:v>-999</c:v>
                </c:pt>
                <c:pt idx="742">
                  <c:v>-999</c:v>
                </c:pt>
                <c:pt idx="743">
                  <c:v>-999</c:v>
                </c:pt>
                <c:pt idx="744">
                  <c:v>-999</c:v>
                </c:pt>
                <c:pt idx="745">
                  <c:v>-999</c:v>
                </c:pt>
                <c:pt idx="746">
                  <c:v>-999</c:v>
                </c:pt>
                <c:pt idx="747">
                  <c:v>-999</c:v>
                </c:pt>
                <c:pt idx="748">
                  <c:v>-999</c:v>
                </c:pt>
                <c:pt idx="749">
                  <c:v>-999</c:v>
                </c:pt>
                <c:pt idx="750">
                  <c:v>-999</c:v>
                </c:pt>
                <c:pt idx="751">
                  <c:v>-999</c:v>
                </c:pt>
                <c:pt idx="752">
                  <c:v>-999</c:v>
                </c:pt>
                <c:pt idx="753">
                  <c:v>-999</c:v>
                </c:pt>
                <c:pt idx="754">
                  <c:v>-999</c:v>
                </c:pt>
                <c:pt idx="755">
                  <c:v>-999</c:v>
                </c:pt>
                <c:pt idx="756">
                  <c:v>-999</c:v>
                </c:pt>
                <c:pt idx="757">
                  <c:v>-999</c:v>
                </c:pt>
                <c:pt idx="758">
                  <c:v>-999</c:v>
                </c:pt>
                <c:pt idx="759">
                  <c:v>-999</c:v>
                </c:pt>
                <c:pt idx="760">
                  <c:v>-999</c:v>
                </c:pt>
                <c:pt idx="761">
                  <c:v>-999</c:v>
                </c:pt>
                <c:pt idx="762">
                  <c:v>-999</c:v>
                </c:pt>
                <c:pt idx="763">
                  <c:v>-999</c:v>
                </c:pt>
                <c:pt idx="764">
                  <c:v>-999</c:v>
                </c:pt>
                <c:pt idx="765">
                  <c:v>-999</c:v>
                </c:pt>
                <c:pt idx="766">
                  <c:v>-999</c:v>
                </c:pt>
                <c:pt idx="767">
                  <c:v>-999</c:v>
                </c:pt>
                <c:pt idx="768">
                  <c:v>-999</c:v>
                </c:pt>
                <c:pt idx="769">
                  <c:v>-999</c:v>
                </c:pt>
                <c:pt idx="770">
                  <c:v>-999</c:v>
                </c:pt>
                <c:pt idx="771">
                  <c:v>-999</c:v>
                </c:pt>
                <c:pt idx="772">
                  <c:v>-999</c:v>
                </c:pt>
                <c:pt idx="773">
                  <c:v>-999</c:v>
                </c:pt>
                <c:pt idx="774">
                  <c:v>-999</c:v>
                </c:pt>
                <c:pt idx="775">
                  <c:v>-999</c:v>
                </c:pt>
                <c:pt idx="776">
                  <c:v>-999</c:v>
                </c:pt>
                <c:pt idx="777">
                  <c:v>-999</c:v>
                </c:pt>
                <c:pt idx="778">
                  <c:v>-999</c:v>
                </c:pt>
                <c:pt idx="779">
                  <c:v>-999</c:v>
                </c:pt>
                <c:pt idx="780">
                  <c:v>-999</c:v>
                </c:pt>
                <c:pt idx="781">
                  <c:v>-999</c:v>
                </c:pt>
                <c:pt idx="782">
                  <c:v>-999</c:v>
                </c:pt>
                <c:pt idx="783">
                  <c:v>-999</c:v>
                </c:pt>
                <c:pt idx="784">
                  <c:v>-999</c:v>
                </c:pt>
                <c:pt idx="785">
                  <c:v>-999</c:v>
                </c:pt>
                <c:pt idx="786">
                  <c:v>-999</c:v>
                </c:pt>
                <c:pt idx="787">
                  <c:v>-999</c:v>
                </c:pt>
                <c:pt idx="788">
                  <c:v>-999</c:v>
                </c:pt>
                <c:pt idx="789">
                  <c:v>-999</c:v>
                </c:pt>
                <c:pt idx="790">
                  <c:v>-999</c:v>
                </c:pt>
                <c:pt idx="791">
                  <c:v>-999</c:v>
                </c:pt>
                <c:pt idx="792">
                  <c:v>-999</c:v>
                </c:pt>
                <c:pt idx="793">
                  <c:v>-999</c:v>
                </c:pt>
                <c:pt idx="794">
                  <c:v>-999</c:v>
                </c:pt>
                <c:pt idx="795">
                  <c:v>-999</c:v>
                </c:pt>
                <c:pt idx="796">
                  <c:v>-999</c:v>
                </c:pt>
                <c:pt idx="797">
                  <c:v>-999</c:v>
                </c:pt>
                <c:pt idx="798">
                  <c:v>-999</c:v>
                </c:pt>
                <c:pt idx="799">
                  <c:v>-999</c:v>
                </c:pt>
                <c:pt idx="800">
                  <c:v>-999</c:v>
                </c:pt>
                <c:pt idx="801">
                  <c:v>-999</c:v>
                </c:pt>
                <c:pt idx="802">
                  <c:v>-999</c:v>
                </c:pt>
                <c:pt idx="803">
                  <c:v>-999</c:v>
                </c:pt>
                <c:pt idx="804">
                  <c:v>-999</c:v>
                </c:pt>
                <c:pt idx="805">
                  <c:v>-999</c:v>
                </c:pt>
                <c:pt idx="806">
                  <c:v>-999</c:v>
                </c:pt>
                <c:pt idx="807">
                  <c:v>-999</c:v>
                </c:pt>
                <c:pt idx="808">
                  <c:v>-999</c:v>
                </c:pt>
                <c:pt idx="809">
                  <c:v>-999</c:v>
                </c:pt>
                <c:pt idx="810">
                  <c:v>-999</c:v>
                </c:pt>
                <c:pt idx="811">
                  <c:v>-999</c:v>
                </c:pt>
                <c:pt idx="812">
                  <c:v>-999</c:v>
                </c:pt>
                <c:pt idx="813">
                  <c:v>-999</c:v>
                </c:pt>
                <c:pt idx="814">
                  <c:v>-999</c:v>
                </c:pt>
                <c:pt idx="815">
                  <c:v>-999</c:v>
                </c:pt>
                <c:pt idx="816">
                  <c:v>-999</c:v>
                </c:pt>
                <c:pt idx="817">
                  <c:v>-999</c:v>
                </c:pt>
                <c:pt idx="818">
                  <c:v>-999</c:v>
                </c:pt>
                <c:pt idx="819">
                  <c:v>-999</c:v>
                </c:pt>
                <c:pt idx="820">
                  <c:v>-999</c:v>
                </c:pt>
                <c:pt idx="821">
                  <c:v>-999</c:v>
                </c:pt>
                <c:pt idx="822">
                  <c:v>-999</c:v>
                </c:pt>
                <c:pt idx="823">
                  <c:v>-999</c:v>
                </c:pt>
                <c:pt idx="824">
                  <c:v>-999</c:v>
                </c:pt>
                <c:pt idx="825">
                  <c:v>-999</c:v>
                </c:pt>
                <c:pt idx="826">
                  <c:v>-999</c:v>
                </c:pt>
                <c:pt idx="827">
                  <c:v>-999</c:v>
                </c:pt>
                <c:pt idx="828">
                  <c:v>-999</c:v>
                </c:pt>
                <c:pt idx="829">
                  <c:v>-999</c:v>
                </c:pt>
                <c:pt idx="830">
                  <c:v>-999</c:v>
                </c:pt>
                <c:pt idx="831">
                  <c:v>-999</c:v>
                </c:pt>
                <c:pt idx="832">
                  <c:v>-999</c:v>
                </c:pt>
                <c:pt idx="833">
                  <c:v>-999</c:v>
                </c:pt>
                <c:pt idx="834">
                  <c:v>-999</c:v>
                </c:pt>
                <c:pt idx="835">
                  <c:v>-999</c:v>
                </c:pt>
                <c:pt idx="836">
                  <c:v>-999</c:v>
                </c:pt>
                <c:pt idx="837">
                  <c:v>-999</c:v>
                </c:pt>
                <c:pt idx="838">
                  <c:v>-999</c:v>
                </c:pt>
                <c:pt idx="839">
                  <c:v>-999</c:v>
                </c:pt>
                <c:pt idx="840">
                  <c:v>-999</c:v>
                </c:pt>
                <c:pt idx="841">
                  <c:v>-999</c:v>
                </c:pt>
                <c:pt idx="842">
                  <c:v>-999</c:v>
                </c:pt>
                <c:pt idx="843">
                  <c:v>-999</c:v>
                </c:pt>
                <c:pt idx="844">
                  <c:v>-999</c:v>
                </c:pt>
                <c:pt idx="845">
                  <c:v>-999</c:v>
                </c:pt>
                <c:pt idx="846">
                  <c:v>-999</c:v>
                </c:pt>
                <c:pt idx="847">
                  <c:v>-999</c:v>
                </c:pt>
                <c:pt idx="848">
                  <c:v>-999</c:v>
                </c:pt>
                <c:pt idx="849">
                  <c:v>-999</c:v>
                </c:pt>
                <c:pt idx="850">
                  <c:v>-999</c:v>
                </c:pt>
                <c:pt idx="851">
                  <c:v>-999</c:v>
                </c:pt>
                <c:pt idx="852">
                  <c:v>-999</c:v>
                </c:pt>
                <c:pt idx="853">
                  <c:v>-999</c:v>
                </c:pt>
                <c:pt idx="854">
                  <c:v>-999</c:v>
                </c:pt>
                <c:pt idx="855">
                  <c:v>-999</c:v>
                </c:pt>
                <c:pt idx="856">
                  <c:v>-999</c:v>
                </c:pt>
                <c:pt idx="857">
                  <c:v>-999</c:v>
                </c:pt>
                <c:pt idx="858">
                  <c:v>-999</c:v>
                </c:pt>
                <c:pt idx="859">
                  <c:v>-999</c:v>
                </c:pt>
                <c:pt idx="860">
                  <c:v>-999</c:v>
                </c:pt>
                <c:pt idx="861">
                  <c:v>-999</c:v>
                </c:pt>
                <c:pt idx="862">
                  <c:v>-999</c:v>
                </c:pt>
                <c:pt idx="863">
                  <c:v>-999</c:v>
                </c:pt>
                <c:pt idx="864">
                  <c:v>-999</c:v>
                </c:pt>
                <c:pt idx="865">
                  <c:v>-999</c:v>
                </c:pt>
                <c:pt idx="866">
                  <c:v>-999</c:v>
                </c:pt>
                <c:pt idx="867">
                  <c:v>-999</c:v>
                </c:pt>
                <c:pt idx="868">
                  <c:v>-999</c:v>
                </c:pt>
                <c:pt idx="869">
                  <c:v>-999</c:v>
                </c:pt>
                <c:pt idx="870">
                  <c:v>-999</c:v>
                </c:pt>
                <c:pt idx="871">
                  <c:v>-999</c:v>
                </c:pt>
                <c:pt idx="872">
                  <c:v>-999</c:v>
                </c:pt>
                <c:pt idx="873">
                  <c:v>-999</c:v>
                </c:pt>
                <c:pt idx="874">
                  <c:v>-999</c:v>
                </c:pt>
                <c:pt idx="875">
                  <c:v>-999</c:v>
                </c:pt>
                <c:pt idx="876">
                  <c:v>-999</c:v>
                </c:pt>
                <c:pt idx="877">
                  <c:v>-999</c:v>
                </c:pt>
                <c:pt idx="878">
                  <c:v>-999</c:v>
                </c:pt>
                <c:pt idx="879">
                  <c:v>-999</c:v>
                </c:pt>
                <c:pt idx="880">
                  <c:v>-999</c:v>
                </c:pt>
                <c:pt idx="881">
                  <c:v>-999</c:v>
                </c:pt>
                <c:pt idx="882">
                  <c:v>-999</c:v>
                </c:pt>
                <c:pt idx="883">
                  <c:v>-999</c:v>
                </c:pt>
                <c:pt idx="884">
                  <c:v>-999</c:v>
                </c:pt>
                <c:pt idx="885">
                  <c:v>-999</c:v>
                </c:pt>
                <c:pt idx="886">
                  <c:v>-999</c:v>
                </c:pt>
                <c:pt idx="887">
                  <c:v>-999</c:v>
                </c:pt>
                <c:pt idx="888">
                  <c:v>-999</c:v>
                </c:pt>
                <c:pt idx="889">
                  <c:v>-999</c:v>
                </c:pt>
                <c:pt idx="890">
                  <c:v>-999</c:v>
                </c:pt>
                <c:pt idx="891">
                  <c:v>-999</c:v>
                </c:pt>
                <c:pt idx="892">
                  <c:v>-999</c:v>
                </c:pt>
                <c:pt idx="893">
                  <c:v>-999</c:v>
                </c:pt>
                <c:pt idx="894">
                  <c:v>-999</c:v>
                </c:pt>
                <c:pt idx="895">
                  <c:v>-999</c:v>
                </c:pt>
                <c:pt idx="896">
                  <c:v>-999</c:v>
                </c:pt>
                <c:pt idx="897">
                  <c:v>-999</c:v>
                </c:pt>
                <c:pt idx="898">
                  <c:v>-999</c:v>
                </c:pt>
                <c:pt idx="899">
                  <c:v>-999</c:v>
                </c:pt>
                <c:pt idx="900">
                  <c:v>-999</c:v>
                </c:pt>
                <c:pt idx="901">
                  <c:v>-999</c:v>
                </c:pt>
                <c:pt idx="902">
                  <c:v>-999</c:v>
                </c:pt>
                <c:pt idx="903">
                  <c:v>-999</c:v>
                </c:pt>
                <c:pt idx="904">
                  <c:v>-999</c:v>
                </c:pt>
                <c:pt idx="905">
                  <c:v>-999</c:v>
                </c:pt>
                <c:pt idx="906">
                  <c:v>-999</c:v>
                </c:pt>
                <c:pt idx="907">
                  <c:v>-999</c:v>
                </c:pt>
                <c:pt idx="908">
                  <c:v>-999</c:v>
                </c:pt>
                <c:pt idx="909">
                  <c:v>-999</c:v>
                </c:pt>
                <c:pt idx="910">
                  <c:v>-999</c:v>
                </c:pt>
                <c:pt idx="911">
                  <c:v>-999</c:v>
                </c:pt>
                <c:pt idx="912">
                  <c:v>-999</c:v>
                </c:pt>
                <c:pt idx="913">
                  <c:v>-999</c:v>
                </c:pt>
                <c:pt idx="914">
                  <c:v>-999</c:v>
                </c:pt>
                <c:pt idx="915">
                  <c:v>-999</c:v>
                </c:pt>
                <c:pt idx="916">
                  <c:v>-999</c:v>
                </c:pt>
                <c:pt idx="917">
                  <c:v>-999</c:v>
                </c:pt>
                <c:pt idx="918">
                  <c:v>-999</c:v>
                </c:pt>
                <c:pt idx="919">
                  <c:v>-999</c:v>
                </c:pt>
                <c:pt idx="920">
                  <c:v>-999</c:v>
                </c:pt>
                <c:pt idx="921">
                  <c:v>-999</c:v>
                </c:pt>
                <c:pt idx="922">
                  <c:v>-999</c:v>
                </c:pt>
                <c:pt idx="923">
                  <c:v>-999</c:v>
                </c:pt>
                <c:pt idx="924">
                  <c:v>-999</c:v>
                </c:pt>
                <c:pt idx="925">
                  <c:v>-999</c:v>
                </c:pt>
                <c:pt idx="926">
                  <c:v>-999</c:v>
                </c:pt>
                <c:pt idx="927">
                  <c:v>-999</c:v>
                </c:pt>
                <c:pt idx="928">
                  <c:v>-999</c:v>
                </c:pt>
                <c:pt idx="929">
                  <c:v>-999</c:v>
                </c:pt>
                <c:pt idx="930">
                  <c:v>-999</c:v>
                </c:pt>
                <c:pt idx="931">
                  <c:v>-999</c:v>
                </c:pt>
                <c:pt idx="932">
                  <c:v>-999</c:v>
                </c:pt>
                <c:pt idx="933">
                  <c:v>-999</c:v>
                </c:pt>
                <c:pt idx="934">
                  <c:v>-999</c:v>
                </c:pt>
                <c:pt idx="935">
                  <c:v>-999</c:v>
                </c:pt>
                <c:pt idx="936">
                  <c:v>-999</c:v>
                </c:pt>
                <c:pt idx="937">
                  <c:v>-999</c:v>
                </c:pt>
                <c:pt idx="938">
                  <c:v>-999</c:v>
                </c:pt>
                <c:pt idx="939">
                  <c:v>-999</c:v>
                </c:pt>
                <c:pt idx="940">
                  <c:v>-999</c:v>
                </c:pt>
                <c:pt idx="941">
                  <c:v>-999</c:v>
                </c:pt>
                <c:pt idx="942">
                  <c:v>-999</c:v>
                </c:pt>
                <c:pt idx="943">
                  <c:v>-999</c:v>
                </c:pt>
                <c:pt idx="944">
                  <c:v>-999</c:v>
                </c:pt>
                <c:pt idx="945">
                  <c:v>-999</c:v>
                </c:pt>
                <c:pt idx="946">
                  <c:v>-999</c:v>
                </c:pt>
                <c:pt idx="947">
                  <c:v>-999</c:v>
                </c:pt>
                <c:pt idx="948">
                  <c:v>-999</c:v>
                </c:pt>
                <c:pt idx="949">
                  <c:v>-999</c:v>
                </c:pt>
                <c:pt idx="950">
                  <c:v>-999</c:v>
                </c:pt>
                <c:pt idx="951">
                  <c:v>-999</c:v>
                </c:pt>
                <c:pt idx="952">
                  <c:v>-999</c:v>
                </c:pt>
                <c:pt idx="953">
                  <c:v>-999</c:v>
                </c:pt>
                <c:pt idx="954">
                  <c:v>-999</c:v>
                </c:pt>
                <c:pt idx="955">
                  <c:v>-999</c:v>
                </c:pt>
                <c:pt idx="956">
                  <c:v>-999</c:v>
                </c:pt>
                <c:pt idx="957">
                  <c:v>-999</c:v>
                </c:pt>
                <c:pt idx="958">
                  <c:v>-999</c:v>
                </c:pt>
                <c:pt idx="959">
                  <c:v>-999</c:v>
                </c:pt>
                <c:pt idx="960">
                  <c:v>-999</c:v>
                </c:pt>
                <c:pt idx="961">
                  <c:v>-999</c:v>
                </c:pt>
                <c:pt idx="962">
                  <c:v>-999</c:v>
                </c:pt>
                <c:pt idx="963">
                  <c:v>-999</c:v>
                </c:pt>
                <c:pt idx="964">
                  <c:v>-999</c:v>
                </c:pt>
                <c:pt idx="965">
                  <c:v>-999</c:v>
                </c:pt>
                <c:pt idx="966">
                  <c:v>-999</c:v>
                </c:pt>
                <c:pt idx="967">
                  <c:v>-999</c:v>
                </c:pt>
                <c:pt idx="968">
                  <c:v>-999</c:v>
                </c:pt>
                <c:pt idx="969">
                  <c:v>-999</c:v>
                </c:pt>
                <c:pt idx="970">
                  <c:v>-999</c:v>
                </c:pt>
                <c:pt idx="971">
                  <c:v>-999</c:v>
                </c:pt>
                <c:pt idx="972">
                  <c:v>-999</c:v>
                </c:pt>
                <c:pt idx="973">
                  <c:v>-999</c:v>
                </c:pt>
                <c:pt idx="974">
                  <c:v>-999</c:v>
                </c:pt>
                <c:pt idx="975">
                  <c:v>-999</c:v>
                </c:pt>
                <c:pt idx="976">
                  <c:v>-999</c:v>
                </c:pt>
                <c:pt idx="977">
                  <c:v>-999</c:v>
                </c:pt>
                <c:pt idx="978">
                  <c:v>-999</c:v>
                </c:pt>
                <c:pt idx="979">
                  <c:v>-999</c:v>
                </c:pt>
                <c:pt idx="980">
                  <c:v>-999</c:v>
                </c:pt>
                <c:pt idx="981">
                  <c:v>-999</c:v>
                </c:pt>
                <c:pt idx="982">
                  <c:v>-999</c:v>
                </c:pt>
                <c:pt idx="983">
                  <c:v>-999</c:v>
                </c:pt>
                <c:pt idx="984">
                  <c:v>-999</c:v>
                </c:pt>
                <c:pt idx="985">
                  <c:v>-999</c:v>
                </c:pt>
                <c:pt idx="986">
                  <c:v>-999</c:v>
                </c:pt>
                <c:pt idx="987">
                  <c:v>-999</c:v>
                </c:pt>
                <c:pt idx="988">
                  <c:v>-999</c:v>
                </c:pt>
                <c:pt idx="989">
                  <c:v>-999</c:v>
                </c:pt>
                <c:pt idx="990">
                  <c:v>-999</c:v>
                </c:pt>
                <c:pt idx="991">
                  <c:v>-999</c:v>
                </c:pt>
                <c:pt idx="992">
                  <c:v>-999</c:v>
                </c:pt>
                <c:pt idx="993">
                  <c:v>-999</c:v>
                </c:pt>
                <c:pt idx="994">
                  <c:v>-999</c:v>
                </c:pt>
                <c:pt idx="995">
                  <c:v>-999</c:v>
                </c:pt>
                <c:pt idx="996">
                  <c:v>-999</c:v>
                </c:pt>
                <c:pt idx="997">
                  <c:v>-999</c:v>
                </c:pt>
                <c:pt idx="998">
                  <c:v>-999</c:v>
                </c:pt>
                <c:pt idx="999">
                  <c:v>-999</c:v>
                </c:pt>
                <c:pt idx="1000">
                  <c:v>-999</c:v>
                </c:pt>
              </c:numCache>
            </c:numRef>
          </c:yVal>
        </c:ser>
        <c:ser>
          <c:idx val="2"/>
          <c:order val="5"/>
          <c:spPr>
            <a:ln w="28575">
              <a:noFill/>
            </a:ln>
          </c:spPr>
          <c:marker>
            <c:symbol val="circle"/>
            <c:size val="6"/>
            <c:spPr>
              <a:noFill/>
              <a:ln>
                <a:solidFill>
                  <a:srgbClr val="0000FF"/>
                </a:solidFill>
                <a:prstDash val="solid"/>
              </a:ln>
            </c:spPr>
          </c:marker>
          <c:xVal>
            <c:numRef>
              <c:f>CIjumping!$CT$2:$CT$101</c:f>
              <c:numCache>
                <c:formatCode>General</c:formatCode>
                <c:ptCount val="100"/>
                <c:pt idx="0">
                  <c:v>-999</c:v>
                </c:pt>
                <c:pt idx="1">
                  <c:v>-999</c:v>
                </c:pt>
                <c:pt idx="2">
                  <c:v>-999</c:v>
                </c:pt>
                <c:pt idx="3">
                  <c:v>-999</c:v>
                </c:pt>
                <c:pt idx="4">
                  <c:v>-999</c:v>
                </c:pt>
                <c:pt idx="5">
                  <c:v>-999</c:v>
                </c:pt>
                <c:pt idx="6">
                  <c:v>-999</c:v>
                </c:pt>
                <c:pt idx="7">
                  <c:v>-999</c:v>
                </c:pt>
                <c:pt idx="8">
                  <c:v>-999</c:v>
                </c:pt>
                <c:pt idx="9">
                  <c:v>-999</c:v>
                </c:pt>
                <c:pt idx="10">
                  <c:v>-999</c:v>
                </c:pt>
                <c:pt idx="11">
                  <c:v>-999</c:v>
                </c:pt>
                <c:pt idx="12">
                  <c:v>-999</c:v>
                </c:pt>
                <c:pt idx="13">
                  <c:v>-999</c:v>
                </c:pt>
                <c:pt idx="14">
                  <c:v>-999</c:v>
                </c:pt>
                <c:pt idx="15">
                  <c:v>-999</c:v>
                </c:pt>
                <c:pt idx="16">
                  <c:v>-999</c:v>
                </c:pt>
                <c:pt idx="17">
                  <c:v>-999</c:v>
                </c:pt>
                <c:pt idx="18">
                  <c:v>-999</c:v>
                </c:pt>
                <c:pt idx="19">
                  <c:v>-999</c:v>
                </c:pt>
                <c:pt idx="20">
                  <c:v>-999</c:v>
                </c:pt>
                <c:pt idx="21">
                  <c:v>-999</c:v>
                </c:pt>
                <c:pt idx="22">
                  <c:v>-999</c:v>
                </c:pt>
                <c:pt idx="23">
                  <c:v>-999</c:v>
                </c:pt>
                <c:pt idx="24">
                  <c:v>-999</c:v>
                </c:pt>
                <c:pt idx="25">
                  <c:v>-999</c:v>
                </c:pt>
                <c:pt idx="26">
                  <c:v>-999</c:v>
                </c:pt>
                <c:pt idx="27">
                  <c:v>-999</c:v>
                </c:pt>
                <c:pt idx="28">
                  <c:v>-999</c:v>
                </c:pt>
                <c:pt idx="29">
                  <c:v>-999</c:v>
                </c:pt>
                <c:pt idx="30">
                  <c:v>-999</c:v>
                </c:pt>
                <c:pt idx="31">
                  <c:v>-999</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numCache>
            </c:numRef>
          </c:xVal>
          <c:yVal>
            <c:numRef>
              <c:f>CIjumping!$CU$2:$CU$101</c:f>
              <c:numCache>
                <c:formatCode>General</c:formatCode>
                <c:ptCount val="100"/>
                <c:pt idx="0">
                  <c:v>-999</c:v>
                </c:pt>
                <c:pt idx="1">
                  <c:v>-999</c:v>
                </c:pt>
                <c:pt idx="2">
                  <c:v>-999</c:v>
                </c:pt>
                <c:pt idx="3">
                  <c:v>-999</c:v>
                </c:pt>
                <c:pt idx="4">
                  <c:v>-999</c:v>
                </c:pt>
                <c:pt idx="5">
                  <c:v>-999</c:v>
                </c:pt>
                <c:pt idx="6">
                  <c:v>-999</c:v>
                </c:pt>
                <c:pt idx="7">
                  <c:v>-999</c:v>
                </c:pt>
                <c:pt idx="8">
                  <c:v>-999</c:v>
                </c:pt>
                <c:pt idx="9">
                  <c:v>-999</c:v>
                </c:pt>
                <c:pt idx="10">
                  <c:v>-999</c:v>
                </c:pt>
                <c:pt idx="11">
                  <c:v>-999</c:v>
                </c:pt>
                <c:pt idx="12">
                  <c:v>-999</c:v>
                </c:pt>
                <c:pt idx="13">
                  <c:v>-999</c:v>
                </c:pt>
                <c:pt idx="14">
                  <c:v>-999</c:v>
                </c:pt>
                <c:pt idx="15">
                  <c:v>-999</c:v>
                </c:pt>
                <c:pt idx="16">
                  <c:v>-999</c:v>
                </c:pt>
                <c:pt idx="17">
                  <c:v>-999</c:v>
                </c:pt>
                <c:pt idx="18">
                  <c:v>-999</c:v>
                </c:pt>
                <c:pt idx="19">
                  <c:v>-999</c:v>
                </c:pt>
                <c:pt idx="20">
                  <c:v>-999</c:v>
                </c:pt>
                <c:pt idx="21">
                  <c:v>-999</c:v>
                </c:pt>
                <c:pt idx="22">
                  <c:v>-999</c:v>
                </c:pt>
                <c:pt idx="23">
                  <c:v>-999</c:v>
                </c:pt>
                <c:pt idx="24">
                  <c:v>-999</c:v>
                </c:pt>
                <c:pt idx="25">
                  <c:v>-999</c:v>
                </c:pt>
                <c:pt idx="26">
                  <c:v>-999</c:v>
                </c:pt>
                <c:pt idx="27">
                  <c:v>-999</c:v>
                </c:pt>
                <c:pt idx="28">
                  <c:v>-999</c:v>
                </c:pt>
                <c:pt idx="29">
                  <c:v>-999</c:v>
                </c:pt>
                <c:pt idx="30">
                  <c:v>-999</c:v>
                </c:pt>
                <c:pt idx="31">
                  <c:v>-999</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numCache>
            </c:numRef>
          </c:yVal>
        </c:ser>
        <c:ser>
          <c:idx val="3"/>
          <c:order val="6"/>
          <c:spPr>
            <a:ln w="28575">
              <a:noFill/>
            </a:ln>
          </c:spPr>
          <c:marker>
            <c:symbol val="circle"/>
            <c:size val="6"/>
            <c:spPr>
              <a:solidFill>
                <a:srgbClr val="339966"/>
              </a:solidFill>
              <a:ln>
                <a:solidFill>
                  <a:srgbClr val="000000"/>
                </a:solidFill>
                <a:prstDash val="solid"/>
              </a:ln>
            </c:spPr>
          </c:marker>
          <c:errBars>
            <c:errDir val="x"/>
            <c:errBarType val="both"/>
            <c:errValType val="cust"/>
            <c:noEndCap val="1"/>
            <c:pl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plus>
            <c:min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minus>
            <c:spPr>
              <a:ln w="25400">
                <a:solidFill>
                  <a:srgbClr val="339966"/>
                </a:solidFill>
                <a:prstDash val="solid"/>
              </a:ln>
            </c:spPr>
          </c:errBars>
          <c:xVal>
            <c:numRef>
              <c:f>CIjumping!$CC$15:$CC$39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CIjumping!$CH$15:$CH$39</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yVal>
        </c:ser>
        <c:ser>
          <c:idx val="4"/>
          <c:order val="7"/>
          <c:spPr>
            <a:ln w="28575">
              <a:noFill/>
            </a:ln>
          </c:spPr>
          <c:marker>
            <c:symbol val="circle"/>
            <c:size val="6"/>
            <c:spPr>
              <a:solidFill>
                <a:srgbClr val="FF0000"/>
              </a:solidFill>
              <a:ln>
                <a:solidFill>
                  <a:srgbClr val="000000"/>
                </a:solidFill>
                <a:prstDash val="solid"/>
              </a:ln>
            </c:spPr>
          </c:marker>
          <c:errBars>
            <c:errDir val="x"/>
            <c:errBarType val="both"/>
            <c:errValType val="cust"/>
            <c:noEndCap val="1"/>
            <c:pl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plus>
            <c:min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minus>
            <c:spPr>
              <a:ln w="25400">
                <a:solidFill>
                  <a:srgbClr val="FF0000"/>
                </a:solidFill>
                <a:prstDash val="solid"/>
              </a:ln>
            </c:spPr>
          </c:errBars>
          <c:xVal>
            <c:numRef>
              <c:f>CIjumping!$CD$15:$CD$39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CIjumping!$CH$15:$CH$39</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yVal>
        </c:ser>
        <c:ser>
          <c:idx val="5"/>
          <c:order val="8"/>
          <c:spPr>
            <a:ln w="28575">
              <a:noFill/>
            </a:ln>
          </c:spPr>
          <c:marker>
            <c:symbol val="none"/>
          </c:marker>
          <c:errBars>
            <c:errDir val="x"/>
            <c:errBarType val="both"/>
            <c:errValType val="cust"/>
            <c:noEndCap val="1"/>
            <c:plus>
              <c:numRef>
                <c:f>CIjumping!$CB$11</c:f>
                <c:numCache>
                  <c:formatCode>General</c:formatCode>
                  <c:ptCount val="1"/>
                  <c:pt idx="0">
                    <c:v>8.7652254057658165</c:v>
                  </c:pt>
                </c:numCache>
              </c:numRef>
            </c:plus>
            <c:minus>
              <c:numRef>
                <c:f>CIjumping!$CB$11</c:f>
                <c:numCache>
                  <c:formatCode>General</c:formatCode>
                  <c:ptCount val="1"/>
                  <c:pt idx="0">
                    <c:v>8.7652254057658165</c:v>
                  </c:pt>
                </c:numCache>
              </c:numRef>
            </c:minus>
            <c:spPr>
              <a:ln w="38100">
                <a:solidFill>
                  <a:srgbClr val="008000"/>
                </a:solidFill>
                <a:prstDash val="solid"/>
              </a:ln>
            </c:spPr>
          </c:errBars>
          <c:xVal>
            <c:numRef>
              <c:f>CIjumping!$CC$11</c:f>
              <c:numCache>
                <c:formatCode>General</c:formatCode>
                <c:ptCount val="1"/>
                <c:pt idx="0">
                  <c:v>#N/A</c:v>
                </c:pt>
              </c:numCache>
            </c:numRef>
          </c:xVal>
          <c:yVal>
            <c:numRef>
              <c:f>CIjumping!$CD$11</c:f>
              <c:numCache>
                <c:formatCode>General</c:formatCode>
                <c:ptCount val="1"/>
                <c:pt idx="0">
                  <c:v>25.85</c:v>
                </c:pt>
              </c:numCache>
            </c:numRef>
          </c:yVal>
        </c:ser>
        <c:ser>
          <c:idx val="6"/>
          <c:order val="9"/>
          <c:spPr>
            <a:ln w="28575">
              <a:noFill/>
            </a:ln>
          </c:spPr>
          <c:marker>
            <c:symbol val="plus"/>
            <c:size val="12"/>
            <c:spPr>
              <a:noFill/>
              <a:ln>
                <a:solidFill>
                  <a:srgbClr val="000000"/>
                </a:solidFill>
                <a:prstDash val="solid"/>
              </a:ln>
            </c:spPr>
          </c:marker>
          <c:xVal>
            <c:numRef>
              <c:f>CIjumping!$BZ$10:$BZ$12</c:f>
              <c:numCache>
                <c:formatCode>General</c:formatCode>
                <c:ptCount val="3"/>
                <c:pt idx="0">
                  <c:v>#N/A</c:v>
                </c:pt>
                <c:pt idx="1">
                  <c:v>#N/A</c:v>
                </c:pt>
                <c:pt idx="2">
                  <c:v>#N/A</c:v>
                </c:pt>
              </c:numCache>
            </c:numRef>
          </c:xVal>
          <c:yVal>
            <c:numRef>
              <c:f>CIjumping!$CA$10:$CA$12</c:f>
              <c:numCache>
                <c:formatCode>General</c:formatCode>
                <c:ptCount val="3"/>
                <c:pt idx="0">
                  <c:v>26</c:v>
                </c:pt>
                <c:pt idx="1">
                  <c:v>26</c:v>
                </c:pt>
                <c:pt idx="2">
                  <c:v>26</c:v>
                </c:pt>
              </c:numCache>
            </c:numRef>
          </c:yVal>
        </c:ser>
        <c:ser>
          <c:idx val="7"/>
          <c:order val="10"/>
          <c:spPr>
            <a:ln w="28575">
              <a:noFill/>
            </a:ln>
          </c:spPr>
          <c:marker>
            <c:symbol val="plus"/>
            <c:size val="5"/>
            <c:spPr>
              <a:noFill/>
              <a:ln w="9525">
                <a:noFill/>
              </a:ln>
            </c:spPr>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CIjumping!$CC$9:$CC$10</c:f>
              <c:numCache>
                <c:formatCode>General</c:formatCode>
                <c:ptCount val="2"/>
                <c:pt idx="0">
                  <c:v>#N/A</c:v>
                </c:pt>
                <c:pt idx="1">
                  <c:v>#N/A</c:v>
                </c:pt>
              </c:numCache>
            </c:numRef>
          </c:xVal>
          <c:yVal>
            <c:numRef>
              <c:f>CIjumping!$CD$9:$CD$10</c:f>
              <c:numCache>
                <c:formatCode>General</c:formatCode>
                <c:ptCount val="2"/>
                <c:pt idx="0">
                  <c:v>26</c:v>
                </c:pt>
                <c:pt idx="1">
                  <c:v>26</c:v>
                </c:pt>
              </c:numCache>
            </c:numRef>
          </c:yVal>
        </c:ser>
        <c:ser>
          <c:idx val="8"/>
          <c:order val="11"/>
          <c:spPr>
            <a:ln w="38100">
              <a:solidFill>
                <a:srgbClr val="FF00FF"/>
              </a:solidFill>
              <a:prstDash val="solid"/>
            </a:ln>
          </c:spPr>
          <c:marker>
            <c:symbol val="none"/>
          </c:marker>
          <c:xVal>
            <c:numRef>
              <c:f>CIjumping!$DC$5:$DC$6</c:f>
              <c:numCache>
                <c:formatCode>General</c:formatCode>
                <c:ptCount val="2"/>
                <c:pt idx="0">
                  <c:v>#N/A</c:v>
                </c:pt>
                <c:pt idx="1">
                  <c:v>#N/A</c:v>
                </c:pt>
              </c:numCache>
            </c:numRef>
          </c:xVal>
          <c:yVal>
            <c:numRef>
              <c:f>CIjumping!$DD$5:$DD$6</c:f>
              <c:numCache>
                <c:formatCode>General</c:formatCode>
                <c:ptCount val="2"/>
                <c:pt idx="0">
                  <c:v>4</c:v>
                </c:pt>
                <c:pt idx="1">
                  <c:v>3</c:v>
                </c:pt>
              </c:numCache>
            </c:numRef>
          </c:yVal>
        </c:ser>
        <c:ser>
          <c:idx val="9"/>
          <c:order val="12"/>
          <c:spPr>
            <a:ln w="38100">
              <a:solidFill>
                <a:srgbClr val="FF00FF"/>
              </a:solidFill>
              <a:prstDash val="solid"/>
            </a:ln>
          </c:spPr>
          <c:marker>
            <c:symbol val="none"/>
          </c:marker>
          <c:xVal>
            <c:numRef>
              <c:f>CIjumping!$DC$19:$DC$20</c:f>
              <c:numCache>
                <c:formatCode>General</c:formatCode>
                <c:ptCount val="2"/>
                <c:pt idx="0">
                  <c:v>#N/A</c:v>
                </c:pt>
                <c:pt idx="1">
                  <c:v>#N/A</c:v>
                </c:pt>
              </c:numCache>
            </c:numRef>
          </c:xVal>
          <c:yVal>
            <c:numRef>
              <c:f>CIjumping!$DD$19:$DD$20</c:f>
              <c:numCache>
                <c:formatCode>General</c:formatCode>
                <c:ptCount val="2"/>
                <c:pt idx="0">
                  <c:v>11</c:v>
                </c:pt>
                <c:pt idx="1">
                  <c:v>10</c:v>
                </c:pt>
              </c:numCache>
            </c:numRef>
          </c:yVal>
        </c:ser>
        <c:ser>
          <c:idx val="10"/>
          <c:order val="13"/>
          <c:spPr>
            <a:ln w="38100">
              <a:solidFill>
                <a:srgbClr val="FF00FF"/>
              </a:solidFill>
              <a:prstDash val="solid"/>
            </a:ln>
          </c:spPr>
          <c:marker>
            <c:symbol val="none"/>
          </c:marker>
          <c:xVal>
            <c:numRef>
              <c:f>CIjumping!$DC$21:$DC$22</c:f>
              <c:numCache>
                <c:formatCode>General</c:formatCode>
                <c:ptCount val="2"/>
                <c:pt idx="0">
                  <c:v>#N/A</c:v>
                </c:pt>
                <c:pt idx="1">
                  <c:v>#N/A</c:v>
                </c:pt>
              </c:numCache>
            </c:numRef>
          </c:xVal>
          <c:yVal>
            <c:numRef>
              <c:f>CIjumping!$DD$21:$DD$22</c:f>
              <c:numCache>
                <c:formatCode>General</c:formatCode>
                <c:ptCount val="2"/>
                <c:pt idx="0">
                  <c:v>12</c:v>
                </c:pt>
                <c:pt idx="1">
                  <c:v>11</c:v>
                </c:pt>
              </c:numCache>
            </c:numRef>
          </c:yVal>
        </c:ser>
        <c:ser>
          <c:idx val="11"/>
          <c:order val="14"/>
          <c:spPr>
            <a:ln w="38100">
              <a:solidFill>
                <a:srgbClr val="FF00FF"/>
              </a:solidFill>
              <a:prstDash val="solid"/>
            </a:ln>
          </c:spPr>
          <c:marker>
            <c:symbol val="none"/>
          </c:marker>
          <c:xVal>
            <c:numRef>
              <c:f>CIjumping!$DC$23:$DC$24</c:f>
              <c:numCache>
                <c:formatCode>General</c:formatCode>
                <c:ptCount val="2"/>
                <c:pt idx="0">
                  <c:v>#N/A</c:v>
                </c:pt>
                <c:pt idx="1">
                  <c:v>#N/A</c:v>
                </c:pt>
              </c:numCache>
            </c:numRef>
          </c:xVal>
          <c:yVal>
            <c:numRef>
              <c:f>CIjumping!$DD$23:$DD$24</c:f>
              <c:numCache>
                <c:formatCode>General</c:formatCode>
                <c:ptCount val="2"/>
                <c:pt idx="0">
                  <c:v>13</c:v>
                </c:pt>
                <c:pt idx="1">
                  <c:v>12</c:v>
                </c:pt>
              </c:numCache>
            </c:numRef>
          </c:yVal>
        </c:ser>
        <c:ser>
          <c:idx val="12"/>
          <c:order val="15"/>
          <c:spPr>
            <a:ln w="38100">
              <a:solidFill>
                <a:srgbClr val="FF00FF"/>
              </a:solidFill>
              <a:prstDash val="solid"/>
            </a:ln>
          </c:spPr>
          <c:marker>
            <c:symbol val="none"/>
          </c:marker>
          <c:xVal>
            <c:numRef>
              <c:f>CIjumping!$DC$29:$DC$30</c:f>
              <c:numCache>
                <c:formatCode>General</c:formatCode>
                <c:ptCount val="2"/>
                <c:pt idx="0">
                  <c:v>#N/A</c:v>
                </c:pt>
                <c:pt idx="1">
                  <c:v>#N/A</c:v>
                </c:pt>
              </c:numCache>
            </c:numRef>
          </c:xVal>
          <c:yVal>
            <c:numRef>
              <c:f>CIjumping!$DD$29:$DD$30</c:f>
              <c:numCache>
                <c:formatCode>General</c:formatCode>
                <c:ptCount val="2"/>
                <c:pt idx="0">
                  <c:v>16</c:v>
                </c:pt>
                <c:pt idx="1">
                  <c:v>15</c:v>
                </c:pt>
              </c:numCache>
            </c:numRef>
          </c:yVal>
        </c:ser>
        <c:ser>
          <c:idx val="13"/>
          <c:order val="16"/>
          <c:spPr>
            <a:ln w="38100">
              <a:solidFill>
                <a:srgbClr val="FF00FF"/>
              </a:solidFill>
              <a:prstDash val="solid"/>
            </a:ln>
          </c:spPr>
          <c:marker>
            <c:symbol val="none"/>
          </c:marker>
          <c:xVal>
            <c:numRef>
              <c:f>CIjumping!$DC$31:$DC$32</c:f>
              <c:numCache>
                <c:formatCode>General</c:formatCode>
                <c:ptCount val="2"/>
                <c:pt idx="0">
                  <c:v>#N/A</c:v>
                </c:pt>
                <c:pt idx="1">
                  <c:v>#N/A</c:v>
                </c:pt>
              </c:numCache>
            </c:numRef>
          </c:xVal>
          <c:yVal>
            <c:numRef>
              <c:f>CIjumping!$DD$31:$DD$32</c:f>
              <c:numCache>
                <c:formatCode>General</c:formatCode>
                <c:ptCount val="2"/>
                <c:pt idx="0">
                  <c:v>17</c:v>
                </c:pt>
                <c:pt idx="1">
                  <c:v>16</c:v>
                </c:pt>
              </c:numCache>
            </c:numRef>
          </c:yVal>
        </c:ser>
        <c:ser>
          <c:idx val="14"/>
          <c:order val="17"/>
          <c:spPr>
            <a:ln w="38100">
              <a:solidFill>
                <a:srgbClr val="FF00FF"/>
              </a:solidFill>
              <a:prstDash val="solid"/>
            </a:ln>
          </c:spPr>
          <c:marker>
            <c:symbol val="none"/>
          </c:marker>
          <c:xVal>
            <c:numRef>
              <c:f>CIjumping!$DC$39:$DC$40</c:f>
              <c:numCache>
                <c:formatCode>General</c:formatCode>
                <c:ptCount val="2"/>
                <c:pt idx="0">
                  <c:v>#N/A</c:v>
                </c:pt>
                <c:pt idx="1">
                  <c:v>#N/A</c:v>
                </c:pt>
              </c:numCache>
            </c:numRef>
          </c:xVal>
          <c:yVal>
            <c:numRef>
              <c:f>CIjumping!$DD$39:$DD$40</c:f>
              <c:numCache>
                <c:formatCode>General</c:formatCode>
                <c:ptCount val="2"/>
                <c:pt idx="0">
                  <c:v>21</c:v>
                </c:pt>
                <c:pt idx="1">
                  <c:v>20</c:v>
                </c:pt>
              </c:numCache>
            </c:numRef>
          </c:yVal>
        </c:ser>
        <c:ser>
          <c:idx val="15"/>
          <c:order val="18"/>
          <c:spPr>
            <a:ln w="38100">
              <a:solidFill>
                <a:srgbClr val="FF00FF"/>
              </a:solidFill>
              <a:prstDash val="solid"/>
            </a:ln>
          </c:spPr>
          <c:marker>
            <c:symbol val="none"/>
          </c:marker>
          <c:xVal>
            <c:numRef>
              <c:f>CIjumping!$DC$41:$DC$42</c:f>
              <c:numCache>
                <c:formatCode>General</c:formatCode>
                <c:ptCount val="2"/>
                <c:pt idx="0">
                  <c:v>#N/A</c:v>
                </c:pt>
                <c:pt idx="1">
                  <c:v>#N/A</c:v>
                </c:pt>
              </c:numCache>
            </c:numRef>
          </c:xVal>
          <c:yVal>
            <c:numRef>
              <c:f>CIjumping!$DD$41:$DD$42</c:f>
              <c:numCache>
                <c:formatCode>General</c:formatCode>
                <c:ptCount val="2"/>
                <c:pt idx="0">
                  <c:v>22</c:v>
                </c:pt>
                <c:pt idx="1">
                  <c:v>21</c:v>
                </c:pt>
              </c:numCache>
            </c:numRef>
          </c:yVal>
        </c:ser>
        <c:ser>
          <c:idx val="16"/>
          <c:order val="19"/>
          <c:spPr>
            <a:ln w="38100">
              <a:solidFill>
                <a:srgbClr val="FF00FF"/>
              </a:solidFill>
              <a:prstDash val="solid"/>
            </a:ln>
          </c:spPr>
          <c:marker>
            <c:symbol val="none"/>
          </c:marker>
          <c:xVal>
            <c:numRef>
              <c:f>CIjumping!$DC$3:$DC$4</c:f>
              <c:numCache>
                <c:formatCode>General</c:formatCode>
                <c:ptCount val="2"/>
                <c:pt idx="0">
                  <c:v>#N/A</c:v>
                </c:pt>
                <c:pt idx="1">
                  <c:v>#N/A</c:v>
                </c:pt>
              </c:numCache>
            </c:numRef>
          </c:xVal>
          <c:yVal>
            <c:numRef>
              <c:f>CIjumping!$DD$3:$DD$4</c:f>
              <c:numCache>
                <c:formatCode>General</c:formatCode>
                <c:ptCount val="2"/>
                <c:pt idx="0">
                  <c:v>3</c:v>
                </c:pt>
                <c:pt idx="1">
                  <c:v>2</c:v>
                </c:pt>
              </c:numCache>
            </c:numRef>
          </c:yVal>
        </c:ser>
        <c:ser>
          <c:idx val="17"/>
          <c:order val="20"/>
          <c:spPr>
            <a:ln w="38100">
              <a:solidFill>
                <a:srgbClr val="FF00FF"/>
              </a:solidFill>
              <a:prstDash val="solid"/>
            </a:ln>
          </c:spPr>
          <c:marker>
            <c:symbol val="none"/>
          </c:marker>
          <c:xVal>
            <c:numRef>
              <c:f>CIjumping!$DC$11:$DC$12</c:f>
              <c:numCache>
                <c:formatCode>General</c:formatCode>
                <c:ptCount val="2"/>
                <c:pt idx="0">
                  <c:v>#N/A</c:v>
                </c:pt>
                <c:pt idx="1">
                  <c:v>#N/A</c:v>
                </c:pt>
              </c:numCache>
            </c:numRef>
          </c:xVal>
          <c:yVal>
            <c:numRef>
              <c:f>CIjumping!$DD$11:$DD$12</c:f>
              <c:numCache>
                <c:formatCode>General</c:formatCode>
                <c:ptCount val="2"/>
                <c:pt idx="0">
                  <c:v>7</c:v>
                </c:pt>
                <c:pt idx="1">
                  <c:v>6</c:v>
                </c:pt>
              </c:numCache>
            </c:numRef>
          </c:yVal>
        </c:ser>
        <c:ser>
          <c:idx val="18"/>
          <c:order val="21"/>
          <c:spPr>
            <a:ln w="38100">
              <a:solidFill>
                <a:srgbClr val="FF00FF"/>
              </a:solidFill>
              <a:prstDash val="solid"/>
            </a:ln>
          </c:spPr>
          <c:marker>
            <c:symbol val="none"/>
          </c:marker>
          <c:xVal>
            <c:numRef>
              <c:f>CIjumping!$DC$25:$DC$26</c:f>
              <c:numCache>
                <c:formatCode>General</c:formatCode>
                <c:ptCount val="2"/>
                <c:pt idx="0">
                  <c:v>#N/A</c:v>
                </c:pt>
                <c:pt idx="1">
                  <c:v>#N/A</c:v>
                </c:pt>
              </c:numCache>
            </c:numRef>
          </c:xVal>
          <c:yVal>
            <c:numRef>
              <c:f>CIjumping!$DD$25:$DD$26</c:f>
              <c:numCache>
                <c:formatCode>General</c:formatCode>
                <c:ptCount val="2"/>
                <c:pt idx="0">
                  <c:v>14</c:v>
                </c:pt>
                <c:pt idx="1">
                  <c:v>13</c:v>
                </c:pt>
              </c:numCache>
            </c:numRef>
          </c:yVal>
        </c:ser>
        <c:ser>
          <c:idx val="19"/>
          <c:order val="22"/>
          <c:spPr>
            <a:ln w="38100">
              <a:solidFill>
                <a:srgbClr val="FF00FF"/>
              </a:solidFill>
              <a:prstDash val="solid"/>
            </a:ln>
          </c:spPr>
          <c:marker>
            <c:symbol val="none"/>
          </c:marker>
          <c:xVal>
            <c:numRef>
              <c:f>CIjumping!$DC$27:$DC$28</c:f>
              <c:numCache>
                <c:formatCode>General</c:formatCode>
                <c:ptCount val="2"/>
                <c:pt idx="0">
                  <c:v>#N/A</c:v>
                </c:pt>
                <c:pt idx="1">
                  <c:v>#N/A</c:v>
                </c:pt>
              </c:numCache>
            </c:numRef>
          </c:xVal>
          <c:yVal>
            <c:numRef>
              <c:f>CIjumping!$DD$27:$DD$28</c:f>
              <c:numCache>
                <c:formatCode>General</c:formatCode>
                <c:ptCount val="2"/>
                <c:pt idx="0">
                  <c:v>15</c:v>
                </c:pt>
                <c:pt idx="1">
                  <c:v>14</c:v>
                </c:pt>
              </c:numCache>
            </c:numRef>
          </c:yVal>
        </c:ser>
        <c:ser>
          <c:idx val="20"/>
          <c:order val="23"/>
          <c:spPr>
            <a:ln w="38100">
              <a:solidFill>
                <a:srgbClr val="FF00FF"/>
              </a:solidFill>
              <a:prstDash val="solid"/>
            </a:ln>
          </c:spPr>
          <c:marker>
            <c:symbol val="none"/>
          </c:marker>
          <c:xVal>
            <c:numRef>
              <c:f>CIjumping!$DC$35:$DC$36</c:f>
              <c:numCache>
                <c:formatCode>General</c:formatCode>
                <c:ptCount val="2"/>
                <c:pt idx="0">
                  <c:v>#N/A</c:v>
                </c:pt>
                <c:pt idx="1">
                  <c:v>#N/A</c:v>
                </c:pt>
              </c:numCache>
            </c:numRef>
          </c:xVal>
          <c:yVal>
            <c:numRef>
              <c:f>CIjumping!$DD$35:$DD$36</c:f>
              <c:numCache>
                <c:formatCode>General</c:formatCode>
                <c:ptCount val="2"/>
                <c:pt idx="0">
                  <c:v>19</c:v>
                </c:pt>
                <c:pt idx="1">
                  <c:v>18</c:v>
                </c:pt>
              </c:numCache>
            </c:numRef>
          </c:yVal>
        </c:ser>
        <c:ser>
          <c:idx val="21"/>
          <c:order val="24"/>
          <c:spPr>
            <a:ln w="38100">
              <a:solidFill>
                <a:srgbClr val="FF00FF"/>
              </a:solidFill>
              <a:prstDash val="solid"/>
            </a:ln>
          </c:spPr>
          <c:marker>
            <c:symbol val="none"/>
          </c:marker>
          <c:xVal>
            <c:numRef>
              <c:f>CIjumping!$DC$37:$DC$38</c:f>
              <c:numCache>
                <c:formatCode>General</c:formatCode>
                <c:ptCount val="2"/>
                <c:pt idx="0">
                  <c:v>#N/A</c:v>
                </c:pt>
                <c:pt idx="1">
                  <c:v>#N/A</c:v>
                </c:pt>
              </c:numCache>
            </c:numRef>
          </c:xVal>
          <c:yVal>
            <c:numRef>
              <c:f>CIjumping!$DD$37:$DD$38</c:f>
              <c:numCache>
                <c:formatCode>General</c:formatCode>
                <c:ptCount val="2"/>
                <c:pt idx="0">
                  <c:v>20</c:v>
                </c:pt>
                <c:pt idx="1">
                  <c:v>19</c:v>
                </c:pt>
              </c:numCache>
            </c:numRef>
          </c:yVal>
        </c:ser>
        <c:ser>
          <c:idx val="22"/>
          <c:order val="25"/>
          <c:spPr>
            <a:ln w="38100">
              <a:solidFill>
                <a:srgbClr val="FF00FF"/>
              </a:solidFill>
              <a:prstDash val="solid"/>
            </a:ln>
          </c:spPr>
          <c:marker>
            <c:symbol val="none"/>
          </c:marker>
          <c:xVal>
            <c:numRef>
              <c:f>CIjumping!$DC$45:$DC$46</c:f>
              <c:numCache>
                <c:formatCode>General</c:formatCode>
                <c:ptCount val="2"/>
                <c:pt idx="0">
                  <c:v>#N/A</c:v>
                </c:pt>
                <c:pt idx="1">
                  <c:v>#N/A</c:v>
                </c:pt>
              </c:numCache>
            </c:numRef>
          </c:xVal>
          <c:yVal>
            <c:numRef>
              <c:f>CIjumping!$DD$45:$DD$46</c:f>
              <c:numCache>
                <c:formatCode>General</c:formatCode>
                <c:ptCount val="2"/>
                <c:pt idx="0">
                  <c:v>24</c:v>
                </c:pt>
                <c:pt idx="1">
                  <c:v>23</c:v>
                </c:pt>
              </c:numCache>
            </c:numRef>
          </c:yVal>
        </c:ser>
        <c:ser>
          <c:idx val="23"/>
          <c:order val="26"/>
          <c:spPr>
            <a:ln w="38100">
              <a:solidFill>
                <a:srgbClr val="FF00FF"/>
              </a:solidFill>
              <a:prstDash val="solid"/>
            </a:ln>
          </c:spPr>
          <c:marker>
            <c:symbol val="none"/>
          </c:marker>
          <c:xVal>
            <c:numRef>
              <c:f>CIjumping!$DC$47:$DC$48</c:f>
              <c:numCache>
                <c:formatCode>General</c:formatCode>
                <c:ptCount val="2"/>
                <c:pt idx="0">
                  <c:v>#N/A</c:v>
                </c:pt>
                <c:pt idx="1">
                  <c:v>#N/A</c:v>
                </c:pt>
              </c:numCache>
            </c:numRef>
          </c:xVal>
          <c:yVal>
            <c:numRef>
              <c:f>CIjumping!$DD$47:$DD$48</c:f>
              <c:numCache>
                <c:formatCode>General</c:formatCode>
                <c:ptCount val="2"/>
                <c:pt idx="0">
                  <c:v>25</c:v>
                </c:pt>
                <c:pt idx="1">
                  <c:v>24</c:v>
                </c:pt>
              </c:numCache>
            </c:numRef>
          </c:yVal>
        </c:ser>
        <c:ser>
          <c:idx val="24"/>
          <c:order val="27"/>
          <c:spPr>
            <a:ln w="38100">
              <a:solidFill>
                <a:srgbClr val="FF00FF"/>
              </a:solidFill>
              <a:prstDash val="solid"/>
            </a:ln>
          </c:spPr>
          <c:marker>
            <c:symbol val="none"/>
          </c:marker>
          <c:xVal>
            <c:numRef>
              <c:f>CIjumping!$DC$7:$DC$8</c:f>
              <c:numCache>
                <c:formatCode>General</c:formatCode>
                <c:ptCount val="2"/>
                <c:pt idx="0">
                  <c:v>#N/A</c:v>
                </c:pt>
                <c:pt idx="1">
                  <c:v>#N/A</c:v>
                </c:pt>
              </c:numCache>
            </c:numRef>
          </c:xVal>
          <c:yVal>
            <c:numRef>
              <c:f>CIjumping!$DD$7:$DD$8</c:f>
              <c:numCache>
                <c:formatCode>General</c:formatCode>
                <c:ptCount val="2"/>
                <c:pt idx="0">
                  <c:v>5</c:v>
                </c:pt>
                <c:pt idx="1">
                  <c:v>4</c:v>
                </c:pt>
              </c:numCache>
            </c:numRef>
          </c:yVal>
        </c:ser>
        <c:ser>
          <c:idx val="25"/>
          <c:order val="28"/>
          <c:spPr>
            <a:ln w="38100">
              <a:solidFill>
                <a:srgbClr val="FF00FF"/>
              </a:solidFill>
              <a:prstDash val="solid"/>
            </a:ln>
          </c:spPr>
          <c:marker>
            <c:symbol val="none"/>
          </c:marker>
          <c:xVal>
            <c:numRef>
              <c:f>CIjumping!$DC$9:$DC$10</c:f>
              <c:numCache>
                <c:formatCode>General</c:formatCode>
                <c:ptCount val="2"/>
                <c:pt idx="0">
                  <c:v>#N/A</c:v>
                </c:pt>
                <c:pt idx="1">
                  <c:v>#N/A</c:v>
                </c:pt>
              </c:numCache>
            </c:numRef>
          </c:xVal>
          <c:yVal>
            <c:numRef>
              <c:f>CIjumping!$DD$9:$DD$10</c:f>
              <c:numCache>
                <c:formatCode>General</c:formatCode>
                <c:ptCount val="2"/>
                <c:pt idx="0">
                  <c:v>6</c:v>
                </c:pt>
                <c:pt idx="1">
                  <c:v>5</c:v>
                </c:pt>
              </c:numCache>
            </c:numRef>
          </c:yVal>
        </c:ser>
        <c:ser>
          <c:idx val="26"/>
          <c:order val="29"/>
          <c:spPr>
            <a:ln w="38100">
              <a:solidFill>
                <a:srgbClr val="FF00FF"/>
              </a:solidFill>
              <a:prstDash val="solid"/>
            </a:ln>
          </c:spPr>
          <c:marker>
            <c:symbol val="none"/>
          </c:marker>
          <c:xVal>
            <c:numRef>
              <c:f>CIjumping!$DC$33:$DC$34</c:f>
              <c:numCache>
                <c:formatCode>General</c:formatCode>
                <c:ptCount val="2"/>
                <c:pt idx="0">
                  <c:v>#N/A</c:v>
                </c:pt>
                <c:pt idx="1">
                  <c:v>#N/A</c:v>
                </c:pt>
              </c:numCache>
            </c:numRef>
          </c:xVal>
          <c:yVal>
            <c:numRef>
              <c:f>CIjumping!$DD$33:$DD$34</c:f>
              <c:numCache>
                <c:formatCode>General</c:formatCode>
                <c:ptCount val="2"/>
                <c:pt idx="0">
                  <c:v>18</c:v>
                </c:pt>
                <c:pt idx="1">
                  <c:v>17</c:v>
                </c:pt>
              </c:numCache>
            </c:numRef>
          </c:yVal>
        </c:ser>
        <c:ser>
          <c:idx val="27"/>
          <c:order val="30"/>
          <c:spPr>
            <a:ln w="38100">
              <a:solidFill>
                <a:srgbClr val="FF00FF"/>
              </a:solidFill>
              <a:prstDash val="solid"/>
            </a:ln>
          </c:spPr>
          <c:marker>
            <c:symbol val="none"/>
          </c:marker>
          <c:xVal>
            <c:numRef>
              <c:f>CIjumping!$DC$13:$DC$14</c:f>
              <c:numCache>
                <c:formatCode>General</c:formatCode>
                <c:ptCount val="2"/>
                <c:pt idx="0">
                  <c:v>#N/A</c:v>
                </c:pt>
                <c:pt idx="1">
                  <c:v>#N/A</c:v>
                </c:pt>
              </c:numCache>
            </c:numRef>
          </c:xVal>
          <c:yVal>
            <c:numRef>
              <c:f>CIjumping!$DD$13:$DD$14</c:f>
              <c:numCache>
                <c:formatCode>General</c:formatCode>
                <c:ptCount val="2"/>
                <c:pt idx="0">
                  <c:v>8</c:v>
                </c:pt>
                <c:pt idx="1">
                  <c:v>7</c:v>
                </c:pt>
              </c:numCache>
            </c:numRef>
          </c:yVal>
        </c:ser>
        <c:ser>
          <c:idx val="28"/>
          <c:order val="31"/>
          <c:spPr>
            <a:ln w="38100">
              <a:solidFill>
                <a:srgbClr val="FF00FF"/>
              </a:solidFill>
              <a:prstDash val="solid"/>
            </a:ln>
          </c:spPr>
          <c:marker>
            <c:symbol val="none"/>
          </c:marker>
          <c:xVal>
            <c:numRef>
              <c:f>CIjumping!$DC$15:$DC$16</c:f>
              <c:numCache>
                <c:formatCode>General</c:formatCode>
                <c:ptCount val="2"/>
                <c:pt idx="0">
                  <c:v>#N/A</c:v>
                </c:pt>
                <c:pt idx="1">
                  <c:v>#N/A</c:v>
                </c:pt>
              </c:numCache>
            </c:numRef>
          </c:xVal>
          <c:yVal>
            <c:numRef>
              <c:f>CIjumping!$DD$15:$DD$16</c:f>
              <c:numCache>
                <c:formatCode>General</c:formatCode>
                <c:ptCount val="2"/>
                <c:pt idx="0">
                  <c:v>9</c:v>
                </c:pt>
                <c:pt idx="1">
                  <c:v>8</c:v>
                </c:pt>
              </c:numCache>
            </c:numRef>
          </c:yVal>
        </c:ser>
        <c:ser>
          <c:idx val="29"/>
          <c:order val="32"/>
          <c:spPr>
            <a:ln w="38100">
              <a:solidFill>
                <a:srgbClr val="FF00FF"/>
              </a:solidFill>
              <a:prstDash val="solid"/>
            </a:ln>
          </c:spPr>
          <c:marker>
            <c:symbol val="none"/>
          </c:marker>
          <c:xVal>
            <c:numRef>
              <c:f>CIjumping!$DC$17:$DC$18</c:f>
              <c:numCache>
                <c:formatCode>General</c:formatCode>
                <c:ptCount val="2"/>
                <c:pt idx="0">
                  <c:v>#N/A</c:v>
                </c:pt>
                <c:pt idx="1">
                  <c:v>#N/A</c:v>
                </c:pt>
              </c:numCache>
            </c:numRef>
          </c:xVal>
          <c:yVal>
            <c:numRef>
              <c:f>CIjumping!$DD$17:$DD$18</c:f>
              <c:numCache>
                <c:formatCode>General</c:formatCode>
                <c:ptCount val="2"/>
                <c:pt idx="0">
                  <c:v>10</c:v>
                </c:pt>
                <c:pt idx="1">
                  <c:v>9</c:v>
                </c:pt>
              </c:numCache>
            </c:numRef>
          </c:yVal>
        </c:ser>
        <c:ser>
          <c:idx val="30"/>
          <c:order val="33"/>
          <c:spPr>
            <a:ln w="38100">
              <a:solidFill>
                <a:srgbClr val="FF00FF"/>
              </a:solidFill>
              <a:prstDash val="solid"/>
            </a:ln>
          </c:spPr>
          <c:marker>
            <c:symbol val="none"/>
          </c:marker>
          <c:xVal>
            <c:numRef>
              <c:f>CIjumping!$DC$43:$DC$44</c:f>
              <c:numCache>
                <c:formatCode>General</c:formatCode>
                <c:ptCount val="2"/>
                <c:pt idx="0">
                  <c:v>#N/A</c:v>
                </c:pt>
                <c:pt idx="1">
                  <c:v>#N/A</c:v>
                </c:pt>
              </c:numCache>
            </c:numRef>
          </c:xVal>
          <c:yVal>
            <c:numRef>
              <c:f>CIjumping!$DD$43:$DD$44</c:f>
              <c:numCache>
                <c:formatCode>General</c:formatCode>
                <c:ptCount val="2"/>
                <c:pt idx="0">
                  <c:v>23</c:v>
                </c:pt>
                <c:pt idx="1">
                  <c:v>22</c:v>
                </c:pt>
              </c:numCache>
            </c:numRef>
          </c:yVal>
        </c:ser>
        <c:ser>
          <c:idx val="31"/>
          <c:order val="34"/>
          <c:spPr>
            <a:ln w="38100">
              <a:solidFill>
                <a:srgbClr val="FF00FF"/>
              </a:solidFill>
              <a:prstDash val="solid"/>
            </a:ln>
          </c:spPr>
          <c:marker>
            <c:symbol val="none"/>
          </c:marker>
          <c:xVal>
            <c:numRef>
              <c:f>CIjumping!$DC$1:$DC$2</c:f>
              <c:numCache>
                <c:formatCode>General</c:formatCode>
                <c:ptCount val="2"/>
                <c:pt idx="0">
                  <c:v>#N/A</c:v>
                </c:pt>
                <c:pt idx="1">
                  <c:v>#N/A</c:v>
                </c:pt>
              </c:numCache>
            </c:numRef>
          </c:xVal>
          <c:yVal>
            <c:numRef>
              <c:f>CIjumping!$DD$1:$DD$2</c:f>
              <c:numCache>
                <c:formatCode>General</c:formatCode>
                <c:ptCount val="2"/>
                <c:pt idx="0">
                  <c:v>2</c:v>
                </c:pt>
                <c:pt idx="1">
                  <c:v>1</c:v>
                </c:pt>
              </c:numCache>
            </c:numRef>
          </c:yVal>
        </c:ser>
        <c:axId val="220972160"/>
        <c:axId val="220973696"/>
      </c:scatterChart>
      <c:valAx>
        <c:axId val="220972160"/>
        <c:scaling>
          <c:orientation val="minMax"/>
          <c:max val="100"/>
          <c:min val="0"/>
        </c:scaling>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20973696"/>
        <c:crossesAt val="26"/>
        <c:crossBetween val="midCat"/>
        <c:majorUnit val="10"/>
        <c:minorUnit val="2"/>
      </c:valAx>
      <c:valAx>
        <c:axId val="220973696"/>
        <c:scaling>
          <c:orientation val="maxMin"/>
          <c:max val="26"/>
          <c:min val="0"/>
        </c:scaling>
        <c:axPos val="l"/>
        <c:numFmt formatCode="General" sourceLinked="1"/>
        <c:majorTickMark val="none"/>
        <c:tickLblPos val="none"/>
        <c:spPr>
          <a:ln w="9525">
            <a:noFill/>
          </a:ln>
        </c:spPr>
        <c:crossAx val="220972160"/>
        <c:crossesAt val="0"/>
        <c:crossBetween val="midCat"/>
        <c:majorUnit val="1"/>
        <c:minorUnit val="1"/>
      </c:valAx>
      <c:spPr>
        <a:no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4.1795697226091846E-2"/>
          <c:y val="0.18041237113402087"/>
          <c:w val="0.93343723804938294"/>
          <c:h val="0.79896907216494861"/>
        </c:manualLayout>
      </c:layout>
      <c:scatterChart>
        <c:scatterStyle val="lineMarker"/>
        <c:ser>
          <c:idx val="5"/>
          <c:order val="0"/>
          <c:spPr>
            <a:ln w="28575">
              <a:noFill/>
            </a:ln>
          </c:spPr>
          <c:marker>
            <c:symbol val="circle"/>
            <c:size val="5"/>
            <c:spPr>
              <a:noFill/>
              <a:ln>
                <a:solidFill>
                  <a:srgbClr val="0000FF"/>
                </a:solidFill>
                <a:prstDash val="solid"/>
              </a:ln>
            </c:spPr>
          </c:marker>
          <c:xVal>
            <c:numRef>
              <c:f>CIjumping!$AP$115:$AP$514</c:f>
              <c:numCache>
                <c:formatCode>General</c:formatCode>
                <c:ptCount val="4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numCache>
            </c:numRef>
          </c:xVal>
          <c:yVal>
            <c:numRef>
              <c:f>CIjumping!$AQ$115:$AQ$514</c:f>
              <c:numCache>
                <c:formatCode>General</c:formatCode>
                <c:ptCount val="400"/>
                <c:pt idx="0">
                  <c:v>2.3962775205158045E-3</c:v>
                </c:pt>
                <c:pt idx="1">
                  <c:v>2.3903783648830308E-3</c:v>
                </c:pt>
                <c:pt idx="2">
                  <c:v>4.6413473025118824E-3</c:v>
                </c:pt>
                <c:pt idx="3">
                  <c:v>1.6694100529229448E-3</c:v>
                </c:pt>
                <c:pt idx="4">
                  <c:v>1.0855598327353154E-2</c:v>
                </c:pt>
                <c:pt idx="5">
                  <c:v>1.6491497530615819E-2</c:v>
                </c:pt>
                <c:pt idx="6">
                  <c:v>1.2988674215721547E-4</c:v>
                </c:pt>
                <c:pt idx="7">
                  <c:v>1.429522869614188E-2</c:v>
                </c:pt>
                <c:pt idx="8">
                  <c:v>1.1198667696806898E-2</c:v>
                </c:pt>
                <c:pt idx="9">
                  <c:v>1.5399386016598486E-2</c:v>
                </c:pt>
                <c:pt idx="10">
                  <c:v>1.4767038589699843E-3</c:v>
                </c:pt>
                <c:pt idx="11">
                  <c:v>1.710292430965886E-2</c:v>
                </c:pt>
                <c:pt idx="12">
                  <c:v>8.0126814992270059E-3</c:v>
                </c:pt>
                <c:pt idx="13">
                  <c:v>8.1991896904168183E-3</c:v>
                </c:pt>
                <c:pt idx="14">
                  <c:v>2.7851657330730684E-3</c:v>
                </c:pt>
                <c:pt idx="15">
                  <c:v>7.3589752652991995E-3</c:v>
                </c:pt>
                <c:pt idx="16">
                  <c:v>1.0556839996752198E-2</c:v>
                </c:pt>
                <c:pt idx="17">
                  <c:v>8.1961702460048805E-3</c:v>
                </c:pt>
                <c:pt idx="18">
                  <c:v>1.8159743587250463E-2</c:v>
                </c:pt>
                <c:pt idx="19">
                  <c:v>2.2842569098044142E-3</c:v>
                </c:pt>
                <c:pt idx="20">
                  <c:v>1.123293249045225E-3</c:v>
                </c:pt>
                <c:pt idx="21">
                  <c:v>1.2919955379952746E-3</c:v>
                </c:pt>
                <c:pt idx="22">
                  <c:v>7.2408026092676226E-3</c:v>
                </c:pt>
                <c:pt idx="23">
                  <c:v>1.3106936702140439E-2</c:v>
                </c:pt>
                <c:pt idx="24">
                  <c:v>9.3582681580304606E-4</c:v>
                </c:pt>
                <c:pt idx="25">
                  <c:v>1.2400542662062542E-2</c:v>
                </c:pt>
                <c:pt idx="26">
                  <c:v>8.1555408354464683E-3</c:v>
                </c:pt>
                <c:pt idx="27">
                  <c:v>1.1813461984236549E-2</c:v>
                </c:pt>
                <c:pt idx="28">
                  <c:v>6.1507483217559059E-3</c:v>
                </c:pt>
                <c:pt idx="29">
                  <c:v>6.8313844110314452E-3</c:v>
                </c:pt>
                <c:pt idx="30">
                  <c:v>9.8807980599542999E-3</c:v>
                </c:pt>
                <c:pt idx="31">
                  <c:v>1.3806921493619924E-2</c:v>
                </c:pt>
                <c:pt idx="32">
                  <c:v>6.1020683846902653E-3</c:v>
                </c:pt>
                <c:pt idx="33">
                  <c:v>2.8560291070306495E-3</c:v>
                </c:pt>
                <c:pt idx="34">
                  <c:v>6.238664012142397E-3</c:v>
                </c:pt>
                <c:pt idx="35">
                  <c:v>6.3524215910221414E-3</c:v>
                </c:pt>
                <c:pt idx="36">
                  <c:v>1.7332282094305432E-2</c:v>
                </c:pt>
                <c:pt idx="37">
                  <c:v>4.2391917142523853E-3</c:v>
                </c:pt>
                <c:pt idx="38">
                  <c:v>3.5609152684031387E-3</c:v>
                </c:pt>
                <c:pt idx="39">
                  <c:v>3.9909872189015542E-4</c:v>
                </c:pt>
                <c:pt idx="40">
                  <c:v>1.3631445186481045E-2</c:v>
                </c:pt>
                <c:pt idx="41">
                  <c:v>1.0884555930992945E-2</c:v>
                </c:pt>
                <c:pt idx="42">
                  <c:v>1.1570253622192212E-2</c:v>
                </c:pt>
                <c:pt idx="43">
                  <c:v>#N/A</c:v>
                </c:pt>
                <c:pt idx="44">
                  <c:v>9.1888797047844414E-3</c:v>
                </c:pt>
                <c:pt idx="45">
                  <c:v>8.6146767043881519E-3</c:v>
                </c:pt>
                <c:pt idx="46">
                  <c:v>7.1296405391723114E-3</c:v>
                </c:pt>
                <c:pt idx="47">
                  <c:v>5.4142606178780677E-4</c:v>
                </c:pt>
                <c:pt idx="48">
                  <c:v>7.4642131250773451E-3</c:v>
                </c:pt>
                <c:pt idx="49">
                  <c:v>#N/A</c:v>
                </c:pt>
                <c:pt idx="50">
                  <c:v>1.5738550772026526E-2</c:v>
                </c:pt>
                <c:pt idx="51">
                  <c:v>6.5271843737514388E-3</c:v>
                </c:pt>
                <c:pt idx="52">
                  <c:v>9.70861399919183E-4</c:v>
                </c:pt>
                <c:pt idx="53">
                  <c:v>4.6670792706632715E-4</c:v>
                </c:pt>
                <c:pt idx="54">
                  <c:v>1.7826778855434737E-3</c:v>
                </c:pt>
                <c:pt idx="55">
                  <c:v>1.0561041595687645E-2</c:v>
                </c:pt>
                <c:pt idx="56">
                  <c:v>2.8803871549505679E-3</c:v>
                </c:pt>
                <c:pt idx="57">
                  <c:v>7.15640137547114E-3</c:v>
                </c:pt>
                <c:pt idx="58">
                  <c:v>4.8195423765643494E-4</c:v>
                </c:pt>
                <c:pt idx="59">
                  <c:v>1.0212497385364512E-2</c:v>
                </c:pt>
                <c:pt idx="60">
                  <c:v>#N/A</c:v>
                </c:pt>
                <c:pt idx="61">
                  <c:v>9.4495762297624585E-4</c:v>
                </c:pt>
                <c:pt idx="62">
                  <c:v>1.4532630773831838E-2</c:v>
                </c:pt>
                <c:pt idx="63">
                  <c:v>1.0316572953216753E-2</c:v>
                </c:pt>
                <c:pt idx="64">
                  <c:v>4.2311296756819116E-3</c:v>
                </c:pt>
                <c:pt idx="65">
                  <c:v>9.1509690276465466E-3</c:v>
                </c:pt>
                <c:pt idx="66">
                  <c:v>1.8877034062104948E-3</c:v>
                </c:pt>
                <c:pt idx="67">
                  <c:v>1.6109645244130014E-2</c:v>
                </c:pt>
                <c:pt idx="68">
                  <c:v>6.8377630190522808E-3</c:v>
                </c:pt>
                <c:pt idx="69">
                  <c:v>6.0647980982448443E-3</c:v>
                </c:pt>
                <c:pt idx="70">
                  <c:v>1.3304465451603473E-2</c:v>
                </c:pt>
                <c:pt idx="71">
                  <c:v>6.2325224805368316E-3</c:v>
                </c:pt>
                <c:pt idx="72">
                  <c:v>6.2145605579671144E-3</c:v>
                </c:pt>
                <c:pt idx="73">
                  <c:v>3.4484196678012961E-4</c:v>
                </c:pt>
                <c:pt idx="74">
                  <c:v>5.3926101909350837E-3</c:v>
                </c:pt>
                <c:pt idx="75">
                  <c:v>8.7876308109262388E-3</c:v>
                </c:pt>
                <c:pt idx="76">
                  <c:v>1.87513256954833E-3</c:v>
                </c:pt>
                <c:pt idx="77">
                  <c:v>1.7799075579853962E-3</c:v>
                </c:pt>
                <c:pt idx="78">
                  <c:v>7.6162366347292641E-3</c:v>
                </c:pt>
                <c:pt idx="79">
                  <c:v>7.276223611849284E-3</c:v>
                </c:pt>
                <c:pt idx="80">
                  <c:v>1.7173519681479631E-2</c:v>
                </c:pt>
                <c:pt idx="81">
                  <c:v>1.7521708373145161E-3</c:v>
                </c:pt>
                <c:pt idx="82">
                  <c:v>1.3748167730005193E-3</c:v>
                </c:pt>
                <c:pt idx="83">
                  <c:v>4.6637453424525175E-4</c:v>
                </c:pt>
                <c:pt idx="84">
                  <c:v>9.2623412014987798E-3</c:v>
                </c:pt>
                <c:pt idx="85">
                  <c:v>4.1017332418735236E-3</c:v>
                </c:pt>
                <c:pt idx="86">
                  <c:v>#N/A</c:v>
                </c:pt>
                <c:pt idx="87">
                  <c:v>1.013634475619981E-2</c:v>
                </c:pt>
                <c:pt idx="88">
                  <c:v>4.4251215236320906E-3</c:v>
                </c:pt>
                <c:pt idx="89">
                  <c:v>9.1571962387225082E-3</c:v>
                </c:pt>
                <c:pt idx="90">
                  <c:v>1.6079849910553548E-3</c:v>
                </c:pt>
                <c:pt idx="91">
                  <c:v>2.7336571143970309E-3</c:v>
                </c:pt>
                <c:pt idx="92">
                  <c:v>2.3126272203368762E-3</c:v>
                </c:pt>
                <c:pt idx="93">
                  <c:v>1.2264315179387167E-3</c:v>
                </c:pt>
                <c:pt idx="94">
                  <c:v>#N/A</c:v>
                </c:pt>
                <c:pt idx="95">
                  <c:v>6.5493376342968456E-3</c:v>
                </c:pt>
                <c:pt idx="96">
                  <c:v>3.7916316959759515E-3</c:v>
                </c:pt>
                <c:pt idx="97">
                  <c:v>4.2615181660537382E-3</c:v>
                </c:pt>
                <c:pt idx="98">
                  <c:v>#N/A</c:v>
                </c:pt>
                <c:pt idx="99">
                  <c:v>2.5239175680322546E-3</c:v>
                </c:pt>
                <c:pt idx="100">
                  <c:v>4.5898233393375258E-3</c:v>
                </c:pt>
                <c:pt idx="101">
                  <c:v>1.8785123208897255E-3</c:v>
                </c:pt>
                <c:pt idx="102">
                  <c:v>6.2390861831440204E-3</c:v>
                </c:pt>
                <c:pt idx="103">
                  <c:v>6.3489672323606243E-3</c:v>
                </c:pt>
                <c:pt idx="104">
                  <c:v>6.8192566260416986E-3</c:v>
                </c:pt>
                <c:pt idx="105">
                  <c:v>1.1338844827379278E-4</c:v>
                </c:pt>
                <c:pt idx="106">
                  <c:v>8.1908171397502227E-4</c:v>
                </c:pt>
                <c:pt idx="107">
                  <c:v>2.0975761179224542E-3</c:v>
                </c:pt>
                <c:pt idx="108">
                  <c:v>3.0970647487371288E-3</c:v>
                </c:pt>
                <c:pt idx="109">
                  <c:v>1.4718779250950217E-2</c:v>
                </c:pt>
                <c:pt idx="110">
                  <c:v>1.0335105624712602E-2</c:v>
                </c:pt>
                <c:pt idx="111">
                  <c:v>2.266865447678448E-3</c:v>
                </c:pt>
                <c:pt idx="112">
                  <c:v>3.4011658772409623E-4</c:v>
                </c:pt>
                <c:pt idx="113">
                  <c:v>8.9033912258107088E-3</c:v>
                </c:pt>
                <c:pt idx="114">
                  <c:v>8.3588346199415901E-3</c:v>
                </c:pt>
                <c:pt idx="115">
                  <c:v>6.6150855687420321E-4</c:v>
                </c:pt>
                <c:pt idx="116">
                  <c:v>7.6169918743809045E-3</c:v>
                </c:pt>
                <c:pt idx="117">
                  <c:v>3.8993305582183383E-4</c:v>
                </c:pt>
                <c:pt idx="118">
                  <c:v>8.2559636178673994E-3</c:v>
                </c:pt>
                <c:pt idx="119">
                  <c:v>1.7955499824730912E-3</c:v>
                </c:pt>
                <c:pt idx="120">
                  <c:v>2.91472449097923E-3</c:v>
                </c:pt>
                <c:pt idx="121">
                  <c:v>4.9978306218613766E-3</c:v>
                </c:pt>
                <c:pt idx="122">
                  <c:v>1.0020242851871459E-2</c:v>
                </c:pt>
                <c:pt idx="123">
                  <c:v>9.1751583242452844E-3</c:v>
                </c:pt>
                <c:pt idx="124">
                  <c:v>8.1728208200603798E-3</c:v>
                </c:pt>
                <c:pt idx="125">
                  <c:v>1.0044505287636851E-2</c:v>
                </c:pt>
                <c:pt idx="126">
                  <c:v>#N/A</c:v>
                </c:pt>
                <c:pt idx="127">
                  <c:v>1.6175196025733265E-3</c:v>
                </c:pt>
                <c:pt idx="128">
                  <c:v>#N/A</c:v>
                </c:pt>
                <c:pt idx="129">
                  <c:v>6.8055774220514261E-3</c:v>
                </c:pt>
                <c:pt idx="130">
                  <c:v>1.4916252235071599E-3</c:v>
                </c:pt>
                <c:pt idx="131">
                  <c:v>#N/A</c:v>
                </c:pt>
                <c:pt idx="132">
                  <c:v>3.105144549544068E-3</c:v>
                </c:pt>
                <c:pt idx="133">
                  <c:v>1.0921722905880261E-2</c:v>
                </c:pt>
                <c:pt idx="134">
                  <c:v>3.1396958767264795E-4</c:v>
                </c:pt>
                <c:pt idx="135">
                  <c:v>9.2595495996475301E-3</c:v>
                </c:pt>
                <c:pt idx="136">
                  <c:v>6.7714537979493986E-3</c:v>
                </c:pt>
                <c:pt idx="137">
                  <c:v>1.4192313353300215E-2</c:v>
                </c:pt>
                <c:pt idx="138">
                  <c:v>1.4925761236964106E-2</c:v>
                </c:pt>
                <c:pt idx="139">
                  <c:v>1.4177663351601949E-2</c:v>
                </c:pt>
                <c:pt idx="140">
                  <c:v>5.6935683853637587E-3</c:v>
                </c:pt>
                <c:pt idx="141">
                  <c:v>9.3330585833161107E-3</c:v>
                </c:pt>
                <c:pt idx="142">
                  <c:v>9.7648692522887045E-3</c:v>
                </c:pt>
                <c:pt idx="143">
                  <c:v>1.8735081861607956E-2</c:v>
                </c:pt>
                <c:pt idx="144">
                  <c:v>8.3648925790897975E-3</c:v>
                </c:pt>
                <c:pt idx="145">
                  <c:v>1.2279949228990924E-2</c:v>
                </c:pt>
                <c:pt idx="146">
                  <c:v>1.2446026676295744E-2</c:v>
                </c:pt>
                <c:pt idx="147">
                  <c:v>2.9639317394722056E-3</c:v>
                </c:pt>
                <c:pt idx="148">
                  <c:v>4.9133562398156099E-3</c:v>
                </c:pt>
                <c:pt idx="149">
                  <c:v>5.5507008386279028E-3</c:v>
                </c:pt>
                <c:pt idx="150">
                  <c:v>9.3259181486742195E-3</c:v>
                </c:pt>
                <c:pt idx="151">
                  <c:v>1.4980429759111631E-2</c:v>
                </c:pt>
                <c:pt idx="152">
                  <c:v>9.6426295570443913E-3</c:v>
                </c:pt>
                <c:pt idx="153">
                  <c:v>#N/A</c:v>
                </c:pt>
                <c:pt idx="154">
                  <c:v>1.3950439496696849E-2</c:v>
                </c:pt>
                <c:pt idx="155">
                  <c:v>1.4161662678219308E-3</c:v>
                </c:pt>
                <c:pt idx="156">
                  <c:v>9.3965576796278079E-4</c:v>
                </c:pt>
                <c:pt idx="157">
                  <c:v>1.387682291888657E-2</c:v>
                </c:pt>
                <c:pt idx="158">
                  <c:v>7.346423025819177E-3</c:v>
                </c:pt>
                <c:pt idx="159">
                  <c:v>1.3485674085393192E-2</c:v>
                </c:pt>
                <c:pt idx="160">
                  <c:v>4.2782333893581352E-4</c:v>
                </c:pt>
                <c:pt idx="161">
                  <c:v>3.2879618884042771E-3</c:v>
                </c:pt>
                <c:pt idx="162">
                  <c:v>7.5435913177583202E-4</c:v>
                </c:pt>
                <c:pt idx="163">
                  <c:v>9.1875858776699661E-3</c:v>
                </c:pt>
                <c:pt idx="164">
                  <c:v>9.4994670907567753E-4</c:v>
                </c:pt>
                <c:pt idx="165">
                  <c:v>1.1271964444005909E-2</c:v>
                </c:pt>
                <c:pt idx="166">
                  <c:v>7.2188495083167553E-3</c:v>
                </c:pt>
                <c:pt idx="167">
                  <c:v>8.9502072310922876E-3</c:v>
                </c:pt>
                <c:pt idx="168">
                  <c:v>2.6896391193358491E-3</c:v>
                </c:pt>
                <c:pt idx="169">
                  <c:v>4.0653342382719797E-3</c:v>
                </c:pt>
                <c:pt idx="170">
                  <c:v>9.0264099729510106E-3</c:v>
                </c:pt>
                <c:pt idx="171">
                  <c:v>7.4724269196915901E-3</c:v>
                </c:pt>
                <c:pt idx="172">
                  <c:v>2.7441146183275669E-3</c:v>
                </c:pt>
                <c:pt idx="173">
                  <c:v>8.4321510926241641E-3</c:v>
                </c:pt>
                <c:pt idx="174">
                  <c:v>1.4478148817281829E-2</c:v>
                </c:pt>
                <c:pt idx="175">
                  <c:v>4.4733037310454582E-3</c:v>
                </c:pt>
                <c:pt idx="176">
                  <c:v>1.4949955581871181E-2</c:v>
                </c:pt>
                <c:pt idx="177">
                  <c:v>3.1073388533184548E-3</c:v>
                </c:pt>
                <c:pt idx="178">
                  <c:v>1.0951158847987506E-3</c:v>
                </c:pt>
                <c:pt idx="179">
                  <c:v>5.6943488915720411E-3</c:v>
                </c:pt>
                <c:pt idx="180">
                  <c:v>1.5304282149502306E-4</c:v>
                </c:pt>
                <c:pt idx="181">
                  <c:v>4.898099348271903E-3</c:v>
                </c:pt>
                <c:pt idx="182">
                  <c:v>9.2220623213967196E-3</c:v>
                </c:pt>
                <c:pt idx="183">
                  <c:v>2.5627757390083794E-3</c:v>
                </c:pt>
                <c:pt idx="184">
                  <c:v>2.6079403585580487E-3</c:v>
                </c:pt>
                <c:pt idx="185">
                  <c:v>9.9909563686199562E-3</c:v>
                </c:pt>
                <c:pt idx="186">
                  <c:v>1.0314164777483655E-2</c:v>
                </c:pt>
                <c:pt idx="187">
                  <c:v>5.8399547741785907E-3</c:v>
                </c:pt>
                <c:pt idx="188">
                  <c:v>1.9076636887236759E-3</c:v>
                </c:pt>
                <c:pt idx="189">
                  <c:v>1.6016499118299343E-2</c:v>
                </c:pt>
                <c:pt idx="190">
                  <c:v>1.4856908971488934E-3</c:v>
                </c:pt>
                <c:pt idx="191">
                  <c:v>1.5337133459960666E-2</c:v>
                </c:pt>
                <c:pt idx="192">
                  <c:v>6.1820218777555837E-3</c:v>
                </c:pt>
                <c:pt idx="193">
                  <c:v>3.7097681222463454E-3</c:v>
                </c:pt>
                <c:pt idx="194">
                  <c:v>4.0048553564168178E-3</c:v>
                </c:pt>
                <c:pt idx="195">
                  <c:v>1.4326402355856345E-4</c:v>
                </c:pt>
                <c:pt idx="196">
                  <c:v>7.2190591501766931E-6</c:v>
                </c:pt>
                <c:pt idx="197">
                  <c:v>9.1509911787270651E-3</c:v>
                </c:pt>
                <c:pt idx="198">
                  <c:v>1.1627267351301641E-5</c:v>
                </c:pt>
                <c:pt idx="199">
                  <c:v>1.650013454533648E-2</c:v>
                </c:pt>
                <c:pt idx="200">
                  <c:v>4.0191775678802772E-3</c:v>
                </c:pt>
                <c:pt idx="201">
                  <c:v>6.9790667177453507E-4</c:v>
                </c:pt>
                <c:pt idx="202">
                  <c:v>8.1282958828559435E-3</c:v>
                </c:pt>
                <c:pt idx="203">
                  <c:v>#N/A</c:v>
                </c:pt>
                <c:pt idx="204">
                  <c:v>8.7220706539093452E-3</c:v>
                </c:pt>
                <c:pt idx="205">
                  <c:v>1.244025641981498E-2</c:v>
                </c:pt>
                <c:pt idx="206">
                  <c:v>1.2604282482967997E-2</c:v>
                </c:pt>
                <c:pt idx="207">
                  <c:v>#N/A</c:v>
                </c:pt>
                <c:pt idx="208">
                  <c:v>2.1574103189194319E-3</c:v>
                </c:pt>
                <c:pt idx="209">
                  <c:v>1.1658636497427438E-2</c:v>
                </c:pt>
                <c:pt idx="210">
                  <c:v>3.9703923966724125E-3</c:v>
                </c:pt>
                <c:pt idx="211">
                  <c:v>4.3111214464669244E-3</c:v>
                </c:pt>
                <c:pt idx="212">
                  <c:v>3.8693836503486185E-4</c:v>
                </c:pt>
                <c:pt idx="213">
                  <c:v>9.2875270080474207E-3</c:v>
                </c:pt>
                <c:pt idx="214">
                  <c:v>2.9135090735488024E-3</c:v>
                </c:pt>
                <c:pt idx="215">
                  <c:v>7.2652584919139103E-4</c:v>
                </c:pt>
                <c:pt idx="216">
                  <c:v>8.8498650673198636E-5</c:v>
                </c:pt>
                <c:pt idx="217">
                  <c:v>4.0522581797376375E-3</c:v>
                </c:pt>
                <c:pt idx="218">
                  <c:v>3.9517704063231013E-3</c:v>
                </c:pt>
                <c:pt idx="219">
                  <c:v>3.4632907940556202E-3</c:v>
                </c:pt>
                <c:pt idx="220">
                  <c:v>4.3514161970880328E-3</c:v>
                </c:pt>
                <c:pt idx="221">
                  <c:v>1.5391176732130333E-2</c:v>
                </c:pt>
                <c:pt idx="222">
                  <c:v>6.9901443787683338E-3</c:v>
                </c:pt>
                <c:pt idx="223">
                  <c:v>3.0084113659607981E-4</c:v>
                </c:pt>
                <c:pt idx="224">
                  <c:v>4.3964496170093023E-3</c:v>
                </c:pt>
                <c:pt idx="225">
                  <c:v>8.1667630419770699E-3</c:v>
                </c:pt>
                <c:pt idx="226">
                  <c:v>2.4589976550372079E-4</c:v>
                </c:pt>
                <c:pt idx="227">
                  <c:v>1.607197831970612E-2</c:v>
                </c:pt>
                <c:pt idx="228">
                  <c:v>1.2788982856838407E-2</c:v>
                </c:pt>
                <c:pt idx="229">
                  <c:v>1.0991975685521127E-2</c:v>
                </c:pt>
                <c:pt idx="230">
                  <c:v>#N/A</c:v>
                </c:pt>
                <c:pt idx="231">
                  <c:v>1.6365757303069893E-3</c:v>
                </c:pt>
                <c:pt idx="232">
                  <c:v>7.6108374828513991E-3</c:v>
                </c:pt>
                <c:pt idx="233">
                  <c:v>1.2313895147296607E-2</c:v>
                </c:pt>
                <c:pt idx="234">
                  <c:v>2.0884807335184779E-3</c:v>
                </c:pt>
                <c:pt idx="235">
                  <c:v>3.8915713687200478E-4</c:v>
                </c:pt>
                <c:pt idx="236">
                  <c:v>4.8859482931514868E-3</c:v>
                </c:pt>
                <c:pt idx="237">
                  <c:v>1.1173259207340027E-2</c:v>
                </c:pt>
                <c:pt idx="238">
                  <c:v>1.2314465337056485E-2</c:v>
                </c:pt>
                <c:pt idx="239">
                  <c:v>7.6785857099571329E-3</c:v>
                </c:pt>
                <c:pt idx="240">
                  <c:v>1.1255962265908519E-2</c:v>
                </c:pt>
                <c:pt idx="241">
                  <c:v>4.2750665050813545E-4</c:v>
                </c:pt>
                <c:pt idx="242">
                  <c:v>1.1023242557781003E-3</c:v>
                </c:pt>
                <c:pt idx="243">
                  <c:v>1.0513217908995048E-2</c:v>
                </c:pt>
                <c:pt idx="244">
                  <c:v>5.5548627619414568E-4</c:v>
                </c:pt>
                <c:pt idx="245">
                  <c:v>1.5280937583276007E-2</c:v>
                </c:pt>
                <c:pt idx="246">
                  <c:v>#N/A</c:v>
                </c:pt>
                <c:pt idx="247">
                  <c:v>5.8432955369161889E-4</c:v>
                </c:pt>
                <c:pt idx="248">
                  <c:v>8.501619643035991E-3</c:v>
                </c:pt>
                <c:pt idx="249">
                  <c:v>8.742397418851534E-3</c:v>
                </c:pt>
                <c:pt idx="250">
                  <c:v>1.2722450964541809E-2</c:v>
                </c:pt>
                <c:pt idx="251">
                  <c:v>4.2338494394026554E-4</c:v>
                </c:pt>
                <c:pt idx="252">
                  <c:v>5.4438146898762065E-3</c:v>
                </c:pt>
                <c:pt idx="253">
                  <c:v>1.8310300344458519E-2</c:v>
                </c:pt>
                <c:pt idx="254">
                  <c:v>3.0515788349472165E-3</c:v>
                </c:pt>
                <c:pt idx="255">
                  <c:v>#N/A</c:v>
                </c:pt>
                <c:pt idx="256">
                  <c:v>4.318333878251983E-3</c:v>
                </c:pt>
                <c:pt idx="257">
                  <c:v>3.1518121442983904E-3</c:v>
                </c:pt>
                <c:pt idx="258">
                  <c:v>1.6097778440127407E-2</c:v>
                </c:pt>
                <c:pt idx="259">
                  <c:v>1.3452862325056835E-2</c:v>
                </c:pt>
                <c:pt idx="260">
                  <c:v>4.4334877427432682E-4</c:v>
                </c:pt>
                <c:pt idx="261">
                  <c:v>#N/A</c:v>
                </c:pt>
                <c:pt idx="262">
                  <c:v>5.4977969528710521E-3</c:v>
                </c:pt>
                <c:pt idx="263">
                  <c:v>1.5758672861022288E-3</c:v>
                </c:pt>
                <c:pt idx="264">
                  <c:v>1.6458271803385723E-2</c:v>
                </c:pt>
                <c:pt idx="265">
                  <c:v>8.7322165955096233E-4</c:v>
                </c:pt>
                <c:pt idx="266">
                  <c:v>1.6715492315711351E-2</c:v>
                </c:pt>
                <c:pt idx="267">
                  <c:v>6.0644510021444159E-3</c:v>
                </c:pt>
                <c:pt idx="268">
                  <c:v>6.4903450073440479E-3</c:v>
                </c:pt>
                <c:pt idx="269">
                  <c:v>6.4877628618087227E-3</c:v>
                </c:pt>
                <c:pt idx="270">
                  <c:v>2.3055072183449251E-3</c:v>
                </c:pt>
                <c:pt idx="271">
                  <c:v>8.2769595516735718E-3</c:v>
                </c:pt>
                <c:pt idx="272">
                  <c:v>1.089793998823704E-2</c:v>
                </c:pt>
                <c:pt idx="273">
                  <c:v>3.1953605500138677E-3</c:v>
                </c:pt>
                <c:pt idx="274">
                  <c:v>6.0213723477284698E-4</c:v>
                </c:pt>
                <c:pt idx="275">
                  <c:v>1.4064632761589573E-2</c:v>
                </c:pt>
                <c:pt idx="276">
                  <c:v>1.6591845686123989E-3</c:v>
                </c:pt>
                <c:pt idx="277">
                  <c:v>3.4156680326116471E-3</c:v>
                </c:pt>
                <c:pt idx="278">
                  <c:v>4.108613746963476E-3</c:v>
                </c:pt>
                <c:pt idx="279">
                  <c:v>1.3927874018316246E-2</c:v>
                </c:pt>
                <c:pt idx="280">
                  <c:v>1.6132810496835885E-3</c:v>
                </c:pt>
                <c:pt idx="281">
                  <c:v>4.0216000164227636E-4</c:v>
                </c:pt>
                <c:pt idx="282">
                  <c:v>3.2683802423935111E-3</c:v>
                </c:pt>
                <c:pt idx="283">
                  <c:v>7.1892547646374505E-3</c:v>
                </c:pt>
                <c:pt idx="284">
                  <c:v>2.2282758665274028E-3</c:v>
                </c:pt>
                <c:pt idx="285">
                  <c:v>5.4608154124243446E-3</c:v>
                </c:pt>
                <c:pt idx="286">
                  <c:v>3.0408954934682151E-3</c:v>
                </c:pt>
                <c:pt idx="287">
                  <c:v>6.5387576238490419E-3</c:v>
                </c:pt>
                <c:pt idx="288">
                  <c:v>1.1348132969959793E-2</c:v>
                </c:pt>
                <c:pt idx="289">
                  <c:v>#N/A</c:v>
                </c:pt>
                <c:pt idx="290">
                  <c:v>8.0226616328769819E-4</c:v>
                </c:pt>
                <c:pt idx="291">
                  <c:v>9.2126665027422935E-3</c:v>
                </c:pt>
                <c:pt idx="292">
                  <c:v>7.3447526586654967E-3</c:v>
                </c:pt>
                <c:pt idx="293">
                  <c:v>3.1698668638490079E-3</c:v>
                </c:pt>
                <c:pt idx="294">
                  <c:v>#N/A</c:v>
                </c:pt>
                <c:pt idx="295">
                  <c:v>3.1396733800906151E-4</c:v>
                </c:pt>
                <c:pt idx="296">
                  <c:v>#N/A</c:v>
                </c:pt>
                <c:pt idx="297">
                  <c:v>1.8364341174616065E-3</c:v>
                </c:pt>
                <c:pt idx="298">
                  <c:v>2.8920698818382653E-3</c:v>
                </c:pt>
                <c:pt idx="299">
                  <c:v>7.2799546295564599E-4</c:v>
                </c:pt>
                <c:pt idx="300">
                  <c:v>2.2541176558265514E-3</c:v>
                </c:pt>
                <c:pt idx="301">
                  <c:v>1.5828369209870838E-2</c:v>
                </c:pt>
                <c:pt idx="302">
                  <c:v>9.875550143286024E-3</c:v>
                </c:pt>
                <c:pt idx="303">
                  <c:v>2.5962324610552924E-3</c:v>
                </c:pt>
                <c:pt idx="304">
                  <c:v>1.0465310833258289E-2</c:v>
                </c:pt>
                <c:pt idx="305">
                  <c:v>3.7488184326681529E-4</c:v>
                </c:pt>
                <c:pt idx="306">
                  <c:v>1.1994522809224783E-2</c:v>
                </c:pt>
                <c:pt idx="307">
                  <c:v>1.102197308906206E-3</c:v>
                </c:pt>
                <c:pt idx="308">
                  <c:v>1.5393052440741183E-3</c:v>
                </c:pt>
                <c:pt idx="309">
                  <c:v>1.0723276339217351E-3</c:v>
                </c:pt>
                <c:pt idx="310">
                  <c:v>3.487501330312595E-3</c:v>
                </c:pt>
                <c:pt idx="311">
                  <c:v>8.1455388046382203E-5</c:v>
                </c:pt>
                <c:pt idx="312">
                  <c:v>8.3378060870621597E-4</c:v>
                </c:pt>
                <c:pt idx="313">
                  <c:v>3.2875413328151484E-3</c:v>
                </c:pt>
                <c:pt idx="314">
                  <c:v>7.5775836874591501E-3</c:v>
                </c:pt>
                <c:pt idx="315">
                  <c:v>2.903438732707311E-4</c:v>
                </c:pt>
                <c:pt idx="316">
                  <c:v>2.983989425585319E-3</c:v>
                </c:pt>
                <c:pt idx="317">
                  <c:v>4.2309631847763937E-3</c:v>
                </c:pt>
                <c:pt idx="318">
                  <c:v>1.5071099865880688E-2</c:v>
                </c:pt>
                <c:pt idx="319">
                  <c:v>1.1012559401570785E-2</c:v>
                </c:pt>
                <c:pt idx="320">
                  <c:v>1.263423898701688E-2</c:v>
                </c:pt>
                <c:pt idx="321">
                  <c:v>7.6779836564192664E-3</c:v>
                </c:pt>
                <c:pt idx="322">
                  <c:v>1.9790348084999633E-3</c:v>
                </c:pt>
                <c:pt idx="323">
                  <c:v>9.7555289431389067E-3</c:v>
                </c:pt>
                <c:pt idx="324">
                  <c:v>1.1172957759148954E-3</c:v>
                </c:pt>
                <c:pt idx="325">
                  <c:v>1.9642327251062435E-3</c:v>
                </c:pt>
                <c:pt idx="326">
                  <c:v>1.5142987188769113E-2</c:v>
                </c:pt>
                <c:pt idx="327">
                  <c:v>2.0469280168046817E-3</c:v>
                </c:pt>
                <c:pt idx="328">
                  <c:v>5.0380188649851842E-3</c:v>
                </c:pt>
                <c:pt idx="329">
                  <c:v>1.2471191125692888E-2</c:v>
                </c:pt>
                <c:pt idx="330">
                  <c:v>#N/A</c:v>
                </c:pt>
                <c:pt idx="331">
                  <c:v>3.6491367916902419E-3</c:v>
                </c:pt>
                <c:pt idx="332">
                  <c:v>3.5760160125430044E-3</c:v>
                </c:pt>
                <c:pt idx="333">
                  <c:v>7.5018796895716285E-3</c:v>
                </c:pt>
                <c:pt idx="334">
                  <c:v>3.0504023691790834E-3</c:v>
                </c:pt>
                <c:pt idx="335">
                  <c:v>1.4289182822146737E-2</c:v>
                </c:pt>
                <c:pt idx="336">
                  <c:v>7.2190401761105848E-3</c:v>
                </c:pt>
                <c:pt idx="337">
                  <c:v>1.6980801996132784E-2</c:v>
                </c:pt>
                <c:pt idx="338">
                  <c:v>5.2660589897123343E-3</c:v>
                </c:pt>
                <c:pt idx="339">
                  <c:v>5.3852930176687401E-4</c:v>
                </c:pt>
                <c:pt idx="340">
                  <c:v>1.6174463457179752E-2</c:v>
                </c:pt>
                <c:pt idx="341">
                  <c:v>8.797632285378814E-3</c:v>
                </c:pt>
                <c:pt idx="342">
                  <c:v>4.9918736544093886E-3</c:v>
                </c:pt>
                <c:pt idx="343">
                  <c:v>4.3908729074631598E-3</c:v>
                </c:pt>
                <c:pt idx="344">
                  <c:v>6.7006801353852955E-3</c:v>
                </c:pt>
                <c:pt idx="345">
                  <c:v>2.4784185293198692E-3</c:v>
                </c:pt>
                <c:pt idx="346">
                  <c:v>1.3142732021381412E-3</c:v>
                </c:pt>
                <c:pt idx="347">
                  <c:v>1.1959681938023233E-3</c:v>
                </c:pt>
                <c:pt idx="348">
                  <c:v>2.6546225569526582E-3</c:v>
                </c:pt>
                <c:pt idx="349">
                  <c:v>2.6867662565170248E-3</c:v>
                </c:pt>
                <c:pt idx="350">
                  <c:v>7.4491501234934983E-3</c:v>
                </c:pt>
                <c:pt idx="351">
                  <c:v>2.0035767945828045E-3</c:v>
                </c:pt>
                <c:pt idx="352">
                  <c:v>1.5889149981700636E-2</c:v>
                </c:pt>
                <c:pt idx="353">
                  <c:v>1.9690941538175514E-3</c:v>
                </c:pt>
                <c:pt idx="354">
                  <c:v>6.0338059856783078E-3</c:v>
                </c:pt>
                <c:pt idx="355">
                  <c:v>2.7880463631912507E-3</c:v>
                </c:pt>
                <c:pt idx="356">
                  <c:v>4.1234744428694653E-3</c:v>
                </c:pt>
                <c:pt idx="357">
                  <c:v>6.1544536013060473E-3</c:v>
                </c:pt>
                <c:pt idx="358">
                  <c:v>1.4971579623645344E-2</c:v>
                </c:pt>
                <c:pt idx="359">
                  <c:v>1.031862351678306E-3</c:v>
                </c:pt>
                <c:pt idx="360">
                  <c:v>3.6703050919984011E-3</c:v>
                </c:pt>
                <c:pt idx="361">
                  <c:v>1.7631725882061021E-4</c:v>
                </c:pt>
                <c:pt idx="362">
                  <c:v>2.9830496478241097E-3</c:v>
                </c:pt>
                <c:pt idx="363">
                  <c:v>5.465195079575165E-3</c:v>
                </c:pt>
                <c:pt idx="364">
                  <c:v>7.1893431242092106E-3</c:v>
                </c:pt>
                <c:pt idx="365">
                  <c:v>1.6415813039174982E-3</c:v>
                </c:pt>
                <c:pt idx="366">
                  <c:v>8.3449790414096361E-4</c:v>
                </c:pt>
                <c:pt idx="367">
                  <c:v>1.0252323321330916E-2</c:v>
                </c:pt>
                <c:pt idx="368">
                  <c:v>1.8213469278147733E-3</c:v>
                </c:pt>
                <c:pt idx="369">
                  <c:v>4.9590731794942567E-3</c:v>
                </c:pt>
                <c:pt idx="370">
                  <c:v>5.9147013916955871E-3</c:v>
                </c:pt>
                <c:pt idx="371">
                  <c:v>7.1686699080613144E-3</c:v>
                </c:pt>
                <c:pt idx="372">
                  <c:v>6.8970504091421291E-3</c:v>
                </c:pt>
                <c:pt idx="373">
                  <c:v>6.5049364530428422E-3</c:v>
                </c:pt>
                <c:pt idx="374">
                  <c:v>1.4052738731825292E-2</c:v>
                </c:pt>
                <c:pt idx="375">
                  <c:v>4.4569875139256337E-3</c:v>
                </c:pt>
                <c:pt idx="376">
                  <c:v>1.8204961753790123E-2</c:v>
                </c:pt>
                <c:pt idx="377">
                  <c:v>7.7894920551254849E-5</c:v>
                </c:pt>
                <c:pt idx="378">
                  <c:v>3.236103986050007E-3</c:v>
                </c:pt>
                <c:pt idx="379">
                  <c:v>6.0839015343151911E-3</c:v>
                </c:pt>
                <c:pt idx="380">
                  <c:v>3.0937214962015462E-4</c:v>
                </c:pt>
                <c:pt idx="381">
                  <c:v>1.8551243532919003E-2</c:v>
                </c:pt>
                <c:pt idx="382">
                  <c:v>8.3183531279951736E-4</c:v>
                </c:pt>
                <c:pt idx="383">
                  <c:v>1.6604672496144491E-2</c:v>
                </c:pt>
                <c:pt idx="384">
                  <c:v>7.6080559638029279E-3</c:v>
                </c:pt>
                <c:pt idx="385">
                  <c:v>1.1760341278280481E-2</c:v>
                </c:pt>
                <c:pt idx="386">
                  <c:v>1.3479125578922499E-3</c:v>
                </c:pt>
                <c:pt idx="387">
                  <c:v>1.9418340307704764E-3</c:v>
                </c:pt>
                <c:pt idx="388">
                  <c:v>1.4372134027299288E-2</c:v>
                </c:pt>
                <c:pt idx="389">
                  <c:v>3.7604853575281573E-3</c:v>
                </c:pt>
                <c:pt idx="390">
                  <c:v>2.5972596933325452E-3</c:v>
                </c:pt>
                <c:pt idx="391">
                  <c:v>1.3528933437005365E-3</c:v>
                </c:pt>
                <c:pt idx="392">
                  <c:v>8.4092858296129207E-3</c:v>
                </c:pt>
                <c:pt idx="393">
                  <c:v>4.3123251919981783E-3</c:v>
                </c:pt>
                <c:pt idx="394">
                  <c:v>7.8573098755646935E-3</c:v>
                </c:pt>
                <c:pt idx="395">
                  <c:v>6.2317413438459281E-3</c:v>
                </c:pt>
                <c:pt idx="396">
                  <c:v>7.5746954787650547E-3</c:v>
                </c:pt>
                <c:pt idx="397">
                  <c:v>2.7152656014700683E-3</c:v>
                </c:pt>
                <c:pt idx="398">
                  <c:v>1.064430875660825E-3</c:v>
                </c:pt>
                <c:pt idx="399">
                  <c:v>5.0839647108014813E-4</c:v>
                </c:pt>
              </c:numCache>
            </c:numRef>
          </c:yVal>
        </c:ser>
        <c:ser>
          <c:idx val="7"/>
          <c:order val="1"/>
          <c:spPr>
            <a:ln w="28575">
              <a:noFill/>
            </a:ln>
          </c:spPr>
          <c:marker>
            <c:symbol val="circle"/>
            <c:size val="5"/>
            <c:spPr>
              <a:noFill/>
              <a:ln>
                <a:solidFill>
                  <a:srgbClr val="0000FF"/>
                </a:solidFill>
                <a:prstDash val="solid"/>
              </a:ln>
            </c:spPr>
          </c:marker>
          <c:xVal>
            <c:numRef>
              <c:f>CIjumping!$AU$115:$AU$514</c:f>
              <c:numCache>
                <c:formatCode>General</c:formatCode>
                <c:ptCount val="4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numCache>
            </c:numRef>
          </c:xVal>
          <c:yVal>
            <c:numRef>
              <c:f>CIjumping!$AV$115:$AV$514</c:f>
              <c:numCache>
                <c:formatCode>General</c:formatCode>
                <c:ptCount val="400"/>
                <c:pt idx="0">
                  <c:v>1.9866703434097055E-3</c:v>
                </c:pt>
                <c:pt idx="1">
                  <c:v>2.1498174342202665E-5</c:v>
                </c:pt>
                <c:pt idx="2">
                  <c:v>4.683206214681301E-3</c:v>
                </c:pt>
                <c:pt idx="3">
                  <c:v>1.152940726829318E-2</c:v>
                </c:pt>
                <c:pt idx="4">
                  <c:v>6.9631668620455433E-4</c:v>
                </c:pt>
                <c:pt idx="5">
                  <c:v>5.1743321001259945E-3</c:v>
                </c:pt>
                <c:pt idx="6">
                  <c:v>6.2931541995603852E-3</c:v>
                </c:pt>
                <c:pt idx="7">
                  <c:v>1.3304715760963955E-2</c:v>
                </c:pt>
                <c:pt idx="8">
                  <c:v>6.9368763408050502E-4</c:v>
                </c:pt>
                <c:pt idx="9">
                  <c:v>#N/A</c:v>
                </c:pt>
                <c:pt idx="10">
                  <c:v>8.9791780224401872E-5</c:v>
                </c:pt>
                <c:pt idx="11">
                  <c:v>1.0503136081398896E-2</c:v>
                </c:pt>
                <c:pt idx="12">
                  <c:v>1.1646806767588568E-2</c:v>
                </c:pt>
                <c:pt idx="13">
                  <c:v>1.5022364469259026E-3</c:v>
                </c:pt>
                <c:pt idx="14">
                  <c:v>4.6678668342853107E-3</c:v>
                </c:pt>
                <c:pt idx="15">
                  <c:v>9.107452035157055E-5</c:v>
                </c:pt>
                <c:pt idx="16">
                  <c:v>3.6446448826743891E-3</c:v>
                </c:pt>
                <c:pt idx="17">
                  <c:v>3.4654437364649926E-3</c:v>
                </c:pt>
                <c:pt idx="18">
                  <c:v>1.2890004654141942E-2</c:v>
                </c:pt>
                <c:pt idx="19">
                  <c:v>9.8614289204053233E-3</c:v>
                </c:pt>
                <c:pt idx="20">
                  <c:v>1.3206746178331116E-2</c:v>
                </c:pt>
                <c:pt idx="21">
                  <c:v>1.0924108412711971E-2</c:v>
                </c:pt>
                <c:pt idx="22">
                  <c:v>1.1621125431762016E-2</c:v>
                </c:pt>
                <c:pt idx="23">
                  <c:v>7.2346513546517688E-3</c:v>
                </c:pt>
                <c:pt idx="24">
                  <c:v>9.0716480722337796E-3</c:v>
                </c:pt>
                <c:pt idx="25">
                  <c:v>6.7004456145279328E-4</c:v>
                </c:pt>
                <c:pt idx="26">
                  <c:v>1.7782199650378781E-3</c:v>
                </c:pt>
                <c:pt idx="27">
                  <c:v>4.0611813806839555E-4</c:v>
                </c:pt>
                <c:pt idx="28">
                  <c:v>5.3795785485885404E-3</c:v>
                </c:pt>
                <c:pt idx="29">
                  <c:v>3.3249925699668204E-3</c:v>
                </c:pt>
                <c:pt idx="30">
                  <c:v>4.7013681193823157E-3</c:v>
                </c:pt>
                <c:pt idx="31">
                  <c:v>9.5296121535936847E-4</c:v>
                </c:pt>
                <c:pt idx="32">
                  <c:v>#N/A</c:v>
                </c:pt>
                <c:pt idx="33">
                  <c:v>8.1604122172755558E-3</c:v>
                </c:pt>
                <c:pt idx="34">
                  <c:v>3.5194236851913132E-3</c:v>
                </c:pt>
                <c:pt idx="35">
                  <c:v>2.2688384618361817E-3</c:v>
                </c:pt>
                <c:pt idx="36">
                  <c:v>1.3633626578017121E-2</c:v>
                </c:pt>
                <c:pt idx="37">
                  <c:v>7.841574804895694E-3</c:v>
                </c:pt>
                <c:pt idx="38">
                  <c:v>8.4301644318057686E-3</c:v>
                </c:pt>
                <c:pt idx="39">
                  <c:v>1.7759865275461756E-3</c:v>
                </c:pt>
                <c:pt idx="40">
                  <c:v>3.6711580208800419E-3</c:v>
                </c:pt>
                <c:pt idx="41">
                  <c:v>3.0747471097154044E-3</c:v>
                </c:pt>
                <c:pt idx="42">
                  <c:v>1.9383054221193579E-3</c:v>
                </c:pt>
                <c:pt idx="43">
                  <c:v>1.2618912179337942E-2</c:v>
                </c:pt>
                <c:pt idx="44">
                  <c:v>1.7560402688257596E-3</c:v>
                </c:pt>
                <c:pt idx="45">
                  <c:v>1.9838700127389596E-3</c:v>
                </c:pt>
                <c:pt idx="46">
                  <c:v>5.3956848084082834E-3</c:v>
                </c:pt>
                <c:pt idx="47">
                  <c:v>3.2761292451817217E-3</c:v>
                </c:pt>
                <c:pt idx="48">
                  <c:v>9.6733961266835776E-3</c:v>
                </c:pt>
                <c:pt idx="49">
                  <c:v>1.2722233962585074E-2</c:v>
                </c:pt>
                <c:pt idx="50">
                  <c:v>2.1514526800909305E-3</c:v>
                </c:pt>
                <c:pt idx="51">
                  <c:v>1.5121470674862598E-2</c:v>
                </c:pt>
                <c:pt idx="52">
                  <c:v>2.3670189396748612E-3</c:v>
                </c:pt>
                <c:pt idx="53">
                  <c:v>1.2490803803858462E-2</c:v>
                </c:pt>
                <c:pt idx="54">
                  <c:v>1.3955832737688597E-2</c:v>
                </c:pt>
                <c:pt idx="55">
                  <c:v>1.5999820463816242E-3</c:v>
                </c:pt>
                <c:pt idx="56">
                  <c:v>4.1383955392115673E-3</c:v>
                </c:pt>
                <c:pt idx="57">
                  <c:v>5.0932320779012259E-3</c:v>
                </c:pt>
                <c:pt idx="58">
                  <c:v>8.081649398907563E-3</c:v>
                </c:pt>
                <c:pt idx="59">
                  <c:v>3.1145811910224244E-3</c:v>
                </c:pt>
                <c:pt idx="60">
                  <c:v>8.964348348447778E-3</c:v>
                </c:pt>
                <c:pt idx="61">
                  <c:v>1.0315519745464426E-3</c:v>
                </c:pt>
                <c:pt idx="62">
                  <c:v>#N/A</c:v>
                </c:pt>
                <c:pt idx="63">
                  <c:v>1.3991920665568202E-3</c:v>
                </c:pt>
                <c:pt idx="64">
                  <c:v>1.4426932083475856E-2</c:v>
                </c:pt>
                <c:pt idx="65">
                  <c:v>2.1686025360186838E-4</c:v>
                </c:pt>
                <c:pt idx="66">
                  <c:v>1.0462035921068995E-2</c:v>
                </c:pt>
                <c:pt idx="67">
                  <c:v>1.0805114336155601E-3</c:v>
                </c:pt>
                <c:pt idx="68">
                  <c:v>6.159639347807078E-3</c:v>
                </c:pt>
                <c:pt idx="69">
                  <c:v>9.5097545320211117E-3</c:v>
                </c:pt>
                <c:pt idx="70">
                  <c:v>4.4175113828478149E-3</c:v>
                </c:pt>
                <c:pt idx="71">
                  <c:v>1.187952811732206E-2</c:v>
                </c:pt>
                <c:pt idx="72">
                  <c:v>1.0860269606898645E-2</c:v>
                </c:pt>
                <c:pt idx="73">
                  <c:v>#N/A</c:v>
                </c:pt>
                <c:pt idx="74">
                  <c:v>5.0869418558085388E-3</c:v>
                </c:pt>
                <c:pt idx="75">
                  <c:v>8.8671360596748652E-3</c:v>
                </c:pt>
                <c:pt idx="76">
                  <c:v>8.870765612113864E-3</c:v>
                </c:pt>
                <c:pt idx="77">
                  <c:v>1.1974125432750612E-2</c:v>
                </c:pt>
                <c:pt idx="78">
                  <c:v>#N/A</c:v>
                </c:pt>
                <c:pt idx="79">
                  <c:v>4.5433726733596654E-4</c:v>
                </c:pt>
                <c:pt idx="80">
                  <c:v>1.0450035303390866E-2</c:v>
                </c:pt>
                <c:pt idx="81">
                  <c:v>9.3268689704208273E-3</c:v>
                </c:pt>
                <c:pt idx="82">
                  <c:v>1.075411449999116E-2</c:v>
                </c:pt>
                <c:pt idx="83">
                  <c:v>#N/A</c:v>
                </c:pt>
                <c:pt idx="84">
                  <c:v>1.2261597196106883E-2</c:v>
                </c:pt>
                <c:pt idx="85">
                  <c:v>7.4860766945448335E-3</c:v>
                </c:pt>
                <c:pt idx="86">
                  <c:v>1.3832762654216504E-2</c:v>
                </c:pt>
                <c:pt idx="87">
                  <c:v>1.1286076471964831E-2</c:v>
                </c:pt>
                <c:pt idx="88">
                  <c:v>4.666855903454019E-4</c:v>
                </c:pt>
                <c:pt idx="89">
                  <c:v>1.1305764747922345E-3</c:v>
                </c:pt>
                <c:pt idx="90">
                  <c:v>5.8733907154478E-3</c:v>
                </c:pt>
                <c:pt idx="91">
                  <c:v>1.1108184186826001E-2</c:v>
                </c:pt>
                <c:pt idx="92">
                  <c:v>3.8842694997191108E-3</c:v>
                </c:pt>
                <c:pt idx="93">
                  <c:v>2.7943132108231993E-3</c:v>
                </c:pt>
                <c:pt idx="94">
                  <c:v>1.5527897901652798E-2</c:v>
                </c:pt>
                <c:pt idx="95">
                  <c:v>1.3320978702888115E-2</c:v>
                </c:pt>
                <c:pt idx="96">
                  <c:v>7.5147183320879566E-4</c:v>
                </c:pt>
                <c:pt idx="97">
                  <c:v>#N/A</c:v>
                </c:pt>
                <c:pt idx="98">
                  <c:v>1.2307348028288477E-2</c:v>
                </c:pt>
                <c:pt idx="99">
                  <c:v>1.0295205115895135E-2</c:v>
                </c:pt>
                <c:pt idx="100">
                  <c:v>1.4853535554045663E-2</c:v>
                </c:pt>
                <c:pt idx="101">
                  <c:v>8.6622924475072832E-3</c:v>
                </c:pt>
                <c:pt idx="102">
                  <c:v>5.9212922330824352E-3</c:v>
                </c:pt>
                <c:pt idx="103">
                  <c:v>8.7190225031177817E-3</c:v>
                </c:pt>
                <c:pt idx="104">
                  <c:v>1.1687072039041247E-2</c:v>
                </c:pt>
                <c:pt idx="105">
                  <c:v>1.8278366633328518E-3</c:v>
                </c:pt>
                <c:pt idx="106">
                  <c:v>1.5605633862734445E-2</c:v>
                </c:pt>
                <c:pt idx="107">
                  <c:v>1.821543971881796E-2</c:v>
                </c:pt>
                <c:pt idx="108">
                  <c:v>1.1083590314363763E-2</c:v>
                </c:pt>
                <c:pt idx="109">
                  <c:v>4.2162738213069959E-3</c:v>
                </c:pt>
                <c:pt idx="110">
                  <c:v>5.6211003783075983E-3</c:v>
                </c:pt>
                <c:pt idx="111">
                  <c:v>4.871142621219476E-4</c:v>
                </c:pt>
                <c:pt idx="112">
                  <c:v>1.1752311763049885E-3</c:v>
                </c:pt>
                <c:pt idx="113">
                  <c:v>1.1484207600820015E-2</c:v>
                </c:pt>
                <c:pt idx="114">
                  <c:v>1.3562009467300032E-2</c:v>
                </c:pt>
                <c:pt idx="115">
                  <c:v>7.2824433136993647E-3</c:v>
                </c:pt>
                <c:pt idx="116">
                  <c:v>4.9498846966013052E-3</c:v>
                </c:pt>
                <c:pt idx="117">
                  <c:v>4.1012012516472617E-3</c:v>
                </c:pt>
                <c:pt idx="118">
                  <c:v>1.6166185787843304E-3</c:v>
                </c:pt>
                <c:pt idx="119">
                  <c:v>1.1228950830055167E-2</c:v>
                </c:pt>
                <c:pt idx="120">
                  <c:v>1.8565692256124058E-2</c:v>
                </c:pt>
                <c:pt idx="121">
                  <c:v>3.0170444163886362E-3</c:v>
                </c:pt>
                <c:pt idx="122">
                  <c:v>6.6374859047411321E-3</c:v>
                </c:pt>
                <c:pt idx="123">
                  <c:v>9.6819840586105602E-3</c:v>
                </c:pt>
                <c:pt idx="124">
                  <c:v>2.802290588987095E-3</c:v>
                </c:pt>
                <c:pt idx="125">
                  <c:v>8.9083231447620575E-3</c:v>
                </c:pt>
                <c:pt idx="126">
                  <c:v>1.4825567885965518E-2</c:v>
                </c:pt>
                <c:pt idx="127">
                  <c:v>#N/A</c:v>
                </c:pt>
                <c:pt idx="128">
                  <c:v>3.1344045292514043E-3</c:v>
                </c:pt>
                <c:pt idx="129">
                  <c:v>#N/A</c:v>
                </c:pt>
                <c:pt idx="130">
                  <c:v>1.8994454963831863E-3</c:v>
                </c:pt>
                <c:pt idx="131">
                  <c:v>9.1731441444789005E-3</c:v>
                </c:pt>
                <c:pt idx="132">
                  <c:v>1.3131058884929448E-2</c:v>
                </c:pt>
                <c:pt idx="133">
                  <c:v>7.8530993310504844E-3</c:v>
                </c:pt>
                <c:pt idx="134">
                  <c:v>4.3880295863584964E-3</c:v>
                </c:pt>
                <c:pt idx="135">
                  <c:v>1.0883735787437808E-2</c:v>
                </c:pt>
                <c:pt idx="136">
                  <c:v>4.6916145296677818E-4</c:v>
                </c:pt>
                <c:pt idx="137">
                  <c:v>1.4194075511479425E-2</c:v>
                </c:pt>
                <c:pt idx="138">
                  <c:v>3.6615295038092973E-4</c:v>
                </c:pt>
                <c:pt idx="139">
                  <c:v>5.15765466065471E-3</c:v>
                </c:pt>
                <c:pt idx="140">
                  <c:v>6.0360341775179873E-4</c:v>
                </c:pt>
                <c:pt idx="141">
                  <c:v>8.4616885471193784E-4</c:v>
                </c:pt>
                <c:pt idx="142">
                  <c:v>1.0795938940569112E-2</c:v>
                </c:pt>
                <c:pt idx="143">
                  <c:v>4.6947834846984917E-4</c:v>
                </c:pt>
                <c:pt idx="144">
                  <c:v>1.5014089476123564E-2</c:v>
                </c:pt>
                <c:pt idx="145">
                  <c:v>1.3324425342379405E-2</c:v>
                </c:pt>
                <c:pt idx="146">
                  <c:v>5.1317728751375871E-3</c:v>
                </c:pt>
                <c:pt idx="147">
                  <c:v>3.4040421811224516E-3</c:v>
                </c:pt>
                <c:pt idx="148">
                  <c:v>2.0057656660208562E-3</c:v>
                </c:pt>
                <c:pt idx="149">
                  <c:v>1.1355437592485071E-2</c:v>
                </c:pt>
                <c:pt idx="150">
                  <c:v>1.5047468069004316E-2</c:v>
                </c:pt>
                <c:pt idx="151">
                  <c:v>5.7889435745745194E-3</c:v>
                </c:pt>
                <c:pt idx="152">
                  <c:v>8.0704443807236726E-3</c:v>
                </c:pt>
                <c:pt idx="153">
                  <c:v>#N/A</c:v>
                </c:pt>
                <c:pt idx="154">
                  <c:v>5.6749945003238675E-3</c:v>
                </c:pt>
                <c:pt idx="155">
                  <c:v>9.3970995787536048E-3</c:v>
                </c:pt>
                <c:pt idx="156">
                  <c:v>4.2337757399917611E-4</c:v>
                </c:pt>
                <c:pt idx="157">
                  <c:v>3.6270199504778505E-3</c:v>
                </c:pt>
                <c:pt idx="158">
                  <c:v>1.3101178483275442E-3</c:v>
                </c:pt>
                <c:pt idx="159">
                  <c:v>9.0393860284096565E-3</c:v>
                </c:pt>
                <c:pt idx="160">
                  <c:v>1.4627351313839977E-2</c:v>
                </c:pt>
                <c:pt idx="161">
                  <c:v>1.3480176223616509E-3</c:v>
                </c:pt>
                <c:pt idx="162">
                  <c:v>6.1208302534428412E-3</c:v>
                </c:pt>
                <c:pt idx="163">
                  <c:v>3.6823749062776315E-3</c:v>
                </c:pt>
                <c:pt idx="164">
                  <c:v>3.824175334480122E-3</c:v>
                </c:pt>
                <c:pt idx="165">
                  <c:v>1.0063356585792039E-2</c:v>
                </c:pt>
                <c:pt idx="166">
                  <c:v>9.6867598443604024E-3</c:v>
                </c:pt>
                <c:pt idx="167">
                  <c:v>1.0652606237728658E-3</c:v>
                </c:pt>
                <c:pt idx="168">
                  <c:v>9.1563272104871092E-3</c:v>
                </c:pt>
                <c:pt idx="169">
                  <c:v>1.0904402200115175E-3</c:v>
                </c:pt>
                <c:pt idx="170">
                  <c:v>3.2492242963162031E-3</c:v>
                </c:pt>
                <c:pt idx="171">
                  <c:v>1.5743276627599754E-2</c:v>
                </c:pt>
                <c:pt idx="172">
                  <c:v>#N/A</c:v>
                </c:pt>
                <c:pt idx="173">
                  <c:v>3.4713873541005803E-3</c:v>
                </c:pt>
                <c:pt idx="174">
                  <c:v>9.8945645501735766E-3</c:v>
                </c:pt>
                <c:pt idx="175">
                  <c:v>9.4379766459041763E-3</c:v>
                </c:pt>
                <c:pt idx="176">
                  <c:v>9.3996337277645701E-3</c:v>
                </c:pt>
                <c:pt idx="177">
                  <c:v>1.7417032907553998E-3</c:v>
                </c:pt>
                <c:pt idx="178">
                  <c:v>1.108386177541386E-2</c:v>
                </c:pt>
                <c:pt idx="179">
                  <c:v>1.0680117365277367E-2</c:v>
                </c:pt>
                <c:pt idx="180">
                  <c:v>5.0310042756715016E-3</c:v>
                </c:pt>
                <c:pt idx="181">
                  <c:v>1.4318287105214978E-3</c:v>
                </c:pt>
                <c:pt idx="182">
                  <c:v>3.3754658968044968E-3</c:v>
                </c:pt>
                <c:pt idx="183">
                  <c:v>4.3719019577393523E-3</c:v>
                </c:pt>
                <c:pt idx="184">
                  <c:v>4.0597635384194281E-3</c:v>
                </c:pt>
                <c:pt idx="185">
                  <c:v>3.2862012330241762E-3</c:v>
                </c:pt>
                <c:pt idx="186">
                  <c:v>7.8474937641028527E-3</c:v>
                </c:pt>
                <c:pt idx="187">
                  <c:v>4.0118346983155566E-4</c:v>
                </c:pt>
                <c:pt idx="188">
                  <c:v>8.8447949835492815E-3</c:v>
                </c:pt>
                <c:pt idx="189">
                  <c:v>1.1446622012736111E-2</c:v>
                </c:pt>
                <c:pt idx="190">
                  <c:v>9.7541597913984486E-3</c:v>
                </c:pt>
                <c:pt idx="191">
                  <c:v>1.7068182244882112E-2</c:v>
                </c:pt>
                <c:pt idx="192">
                  <c:v>2.5104343329989906E-4</c:v>
                </c:pt>
                <c:pt idx="193">
                  <c:v>1.5814790866101054E-2</c:v>
                </c:pt>
                <c:pt idx="194">
                  <c:v>1.1835393039346749E-3</c:v>
                </c:pt>
                <c:pt idx="195">
                  <c:v>8.4006952439620915E-3</c:v>
                </c:pt>
                <c:pt idx="196">
                  <c:v>2.9711793022590203E-3</c:v>
                </c:pt>
                <c:pt idx="197">
                  <c:v>4.7349994046696139E-3</c:v>
                </c:pt>
                <c:pt idx="198">
                  <c:v>1.0607282139380801E-2</c:v>
                </c:pt>
                <c:pt idx="199">
                  <c:v>6.4508378673170073E-3</c:v>
                </c:pt>
                <c:pt idx="200">
                  <c:v>1.2382768385935026E-2</c:v>
                </c:pt>
                <c:pt idx="201">
                  <c:v>1.0820958246687239E-2</c:v>
                </c:pt>
                <c:pt idx="202">
                  <c:v>1.4238046259014083E-3</c:v>
                </c:pt>
                <c:pt idx="203">
                  <c:v>4.4138325755477331E-3</c:v>
                </c:pt>
                <c:pt idx="204">
                  <c:v>5.1532534908530023E-3</c:v>
                </c:pt>
                <c:pt idx="205">
                  <c:v>#N/A</c:v>
                </c:pt>
                <c:pt idx="206">
                  <c:v>3.4991174224360466E-3</c:v>
                </c:pt>
                <c:pt idx="207">
                  <c:v>2.4165019526087906E-3</c:v>
                </c:pt>
                <c:pt idx="208">
                  <c:v>6.8863746689820189E-3</c:v>
                </c:pt>
                <c:pt idx="209">
                  <c:v>#N/A</c:v>
                </c:pt>
                <c:pt idx="210">
                  <c:v>1.1723503771511188E-2</c:v>
                </c:pt>
                <c:pt idx="211">
                  <c:v>1.853626932582552E-2</c:v>
                </c:pt>
                <c:pt idx="212">
                  <c:v>9.9409918498108308E-3</c:v>
                </c:pt>
                <c:pt idx="213">
                  <c:v>5.1819206863456717E-3</c:v>
                </c:pt>
                <c:pt idx="214">
                  <c:v>4.9222637164616735E-3</c:v>
                </c:pt>
                <c:pt idx="215">
                  <c:v>1.9908290365844294E-3</c:v>
                </c:pt>
                <c:pt idx="216">
                  <c:v>1.9019351867410869E-2</c:v>
                </c:pt>
                <c:pt idx="217">
                  <c:v>1.8829228739852301E-2</c:v>
                </c:pt>
                <c:pt idx="218">
                  <c:v>1.9146403975445264E-3</c:v>
                </c:pt>
                <c:pt idx="219">
                  <c:v>2.7700950011286664E-4</c:v>
                </c:pt>
                <c:pt idx="220">
                  <c:v>6.3561456443960718E-3</c:v>
                </c:pt>
                <c:pt idx="221">
                  <c:v>1.4967380258061049E-3</c:v>
                </c:pt>
                <c:pt idx="222">
                  <c:v>5.2723414929136707E-3</c:v>
                </c:pt>
                <c:pt idx="223">
                  <c:v>1.7355902815040396E-2</c:v>
                </c:pt>
                <c:pt idx="224">
                  <c:v>1.0605669121803355E-2</c:v>
                </c:pt>
                <c:pt idx="225">
                  <c:v>#N/A</c:v>
                </c:pt>
                <c:pt idx="226">
                  <c:v>4.6124369425511848E-3</c:v>
                </c:pt>
                <c:pt idx="227">
                  <c:v>#N/A</c:v>
                </c:pt>
                <c:pt idx="228">
                  <c:v>1.733532885331248E-2</c:v>
                </c:pt>
                <c:pt idx="229">
                  <c:v>5.9874878456895987E-3</c:v>
                </c:pt>
                <c:pt idx="230">
                  <c:v>9.8009041717912453E-3</c:v>
                </c:pt>
                <c:pt idx="231">
                  <c:v>7.2190568020666958E-3</c:v>
                </c:pt>
                <c:pt idx="232">
                  <c:v>1.3646846312456582E-2</c:v>
                </c:pt>
                <c:pt idx="233">
                  <c:v>1.2808710999901091E-3</c:v>
                </c:pt>
                <c:pt idx="234">
                  <c:v>7.2902208576065206E-3</c:v>
                </c:pt>
                <c:pt idx="235">
                  <c:v>4.9166952074704345E-3</c:v>
                </c:pt>
                <c:pt idx="236">
                  <c:v>8.5094073258704696E-3</c:v>
                </c:pt>
                <c:pt idx="237">
                  <c:v>2.1451056897177512E-3</c:v>
                </c:pt>
                <c:pt idx="238">
                  <c:v>3.2136123424905101E-5</c:v>
                </c:pt>
                <c:pt idx="239">
                  <c:v>5.4656296794182782E-3</c:v>
                </c:pt>
                <c:pt idx="240">
                  <c:v>1.496051745642071E-2</c:v>
                </c:pt>
                <c:pt idx="241">
                  <c:v>3.2796673606707872E-4</c:v>
                </c:pt>
                <c:pt idx="242">
                  <c:v>2.3585811122159715E-3</c:v>
                </c:pt>
                <c:pt idx="243">
                  <c:v>1.6346796574726912E-2</c:v>
                </c:pt>
                <c:pt idx="244">
                  <c:v>1.7994397016090118E-2</c:v>
                </c:pt>
                <c:pt idx="245">
                  <c:v>7.2830347762864733E-3</c:v>
                </c:pt>
                <c:pt idx="246">
                  <c:v>2.0756053471655245E-3</c:v>
                </c:pt>
                <c:pt idx="247">
                  <c:v>1.2998135289096933E-2</c:v>
                </c:pt>
                <c:pt idx="248">
                  <c:v>3.9649472348963471E-3</c:v>
                </c:pt>
                <c:pt idx="249">
                  <c:v>6.9793031795248994E-3</c:v>
                </c:pt>
                <c:pt idx="250">
                  <c:v>1.027873009838747E-2</c:v>
                </c:pt>
                <c:pt idx="251">
                  <c:v>#N/A</c:v>
                </c:pt>
                <c:pt idx="252">
                  <c:v>6.4331569494985716E-3</c:v>
                </c:pt>
                <c:pt idx="253">
                  <c:v>2.7481616700185283E-3</c:v>
                </c:pt>
                <c:pt idx="254">
                  <c:v>1.037454641423658E-3</c:v>
                </c:pt>
                <c:pt idx="255">
                  <c:v>5.0470052557183911E-3</c:v>
                </c:pt>
                <c:pt idx="256">
                  <c:v>6.4812105400306611E-4</c:v>
                </c:pt>
                <c:pt idx="257">
                  <c:v>1.5234458828056869E-3</c:v>
                </c:pt>
                <c:pt idx="258">
                  <c:v>6.6392630987288431E-3</c:v>
                </c:pt>
                <c:pt idx="259">
                  <c:v>6.7083419942432741E-3</c:v>
                </c:pt>
                <c:pt idx="260">
                  <c:v>1.4229963165105172E-3</c:v>
                </c:pt>
                <c:pt idx="261">
                  <c:v>4.7613274969741633E-3</c:v>
                </c:pt>
                <c:pt idx="262">
                  <c:v>2.8244306259463028E-3</c:v>
                </c:pt>
                <c:pt idx="263">
                  <c:v>1.8250894287021178E-2</c:v>
                </c:pt>
                <c:pt idx="264">
                  <c:v>8.8483498058573307E-3</c:v>
                </c:pt>
                <c:pt idx="265">
                  <c:v>1.7049695493977415E-3</c:v>
                </c:pt>
                <c:pt idx="266">
                  <c:v>#N/A</c:v>
                </c:pt>
                <c:pt idx="267">
                  <c:v>1.5786599714641063E-2</c:v>
                </c:pt>
                <c:pt idx="268">
                  <c:v>3.9910732393054222E-3</c:v>
                </c:pt>
                <c:pt idx="269">
                  <c:v>7.8830213837399971E-4</c:v>
                </c:pt>
                <c:pt idx="270">
                  <c:v>#N/A</c:v>
                </c:pt>
                <c:pt idx="271">
                  <c:v>1.2806805166440775E-2</c:v>
                </c:pt>
                <c:pt idx="272">
                  <c:v>1.1376548356890471E-2</c:v>
                </c:pt>
                <c:pt idx="273">
                  <c:v>8.8828155383907908E-3</c:v>
                </c:pt>
                <c:pt idx="274">
                  <c:v>9.5582635991263484E-3</c:v>
                </c:pt>
                <c:pt idx="275">
                  <c:v>1.5626801928965088E-2</c:v>
                </c:pt>
                <c:pt idx="276">
                  <c:v>7.1970770282200327E-3</c:v>
                </c:pt>
                <c:pt idx="277">
                  <c:v>7.4182121944202017E-3</c:v>
                </c:pt>
                <c:pt idx="278">
                  <c:v>1.0625560593695401E-2</c:v>
                </c:pt>
                <c:pt idx="279">
                  <c:v>1.1349268030902523E-2</c:v>
                </c:pt>
                <c:pt idx="280">
                  <c:v>2.7687776915974443E-3</c:v>
                </c:pt>
                <c:pt idx="281">
                  <c:v>1.2480069155353193E-3</c:v>
                </c:pt>
                <c:pt idx="282">
                  <c:v>3.2858775192804229E-3</c:v>
                </c:pt>
                <c:pt idx="283">
                  <c:v>8.4942201864864515E-3</c:v>
                </c:pt>
                <c:pt idx="284">
                  <c:v>1.7820902539011026E-2</c:v>
                </c:pt>
                <c:pt idx="285">
                  <c:v>1.026210988916933E-2</c:v>
                </c:pt>
                <c:pt idx="286">
                  <c:v>3.0779318668354497E-3</c:v>
                </c:pt>
                <c:pt idx="287">
                  <c:v>9.2996411608745819E-3</c:v>
                </c:pt>
                <c:pt idx="288">
                  <c:v>6.2872409343467015E-4</c:v>
                </c:pt>
                <c:pt idx="289">
                  <c:v>8.6037287180102118E-3</c:v>
                </c:pt>
                <c:pt idx="290">
                  <c:v>1.5243420354287135E-3</c:v>
                </c:pt>
                <c:pt idx="291">
                  <c:v>3.4008040393178167E-3</c:v>
                </c:pt>
                <c:pt idx="292">
                  <c:v>5.5375900156165577E-3</c:v>
                </c:pt>
                <c:pt idx="293">
                  <c:v>7.529635775858458E-3</c:v>
                </c:pt>
                <c:pt idx="294">
                  <c:v>3.0721416224903511E-4</c:v>
                </c:pt>
                <c:pt idx="295">
                  <c:v>7.869481846067122E-3</c:v>
                </c:pt>
                <c:pt idx="296">
                  <c:v>1.3858057707836977E-3</c:v>
                </c:pt>
                <c:pt idx="297">
                  <c:v>6.053817847292072E-3</c:v>
                </c:pt>
                <c:pt idx="298">
                  <c:v>5.951182842874621E-3</c:v>
                </c:pt>
                <c:pt idx="299">
                  <c:v>1.2358254483753944E-3</c:v>
                </c:pt>
                <c:pt idx="300">
                  <c:v>1.3160639671176616E-2</c:v>
                </c:pt>
                <c:pt idx="301">
                  <c:v>1.794923747696792E-2</c:v>
                </c:pt>
                <c:pt idx="302">
                  <c:v>4.9388813308945644E-3</c:v>
                </c:pt>
                <c:pt idx="303">
                  <c:v>1.4781917809301005E-2</c:v>
                </c:pt>
                <c:pt idx="304">
                  <c:v>1.0222756667439457E-2</c:v>
                </c:pt>
                <c:pt idx="305">
                  <c:v>8.6682260994967366E-3</c:v>
                </c:pt>
                <c:pt idx="306">
                  <c:v>3.6421193150599214E-3</c:v>
                </c:pt>
                <c:pt idx="307">
                  <c:v>1.3183881021407214E-2</c:v>
                </c:pt>
                <c:pt idx="308">
                  <c:v>1.4557724973578542E-2</c:v>
                </c:pt>
                <c:pt idx="309">
                  <c:v>4.7684140764001613E-4</c:v>
                </c:pt>
                <c:pt idx="310">
                  <c:v>1.2137239941598859E-2</c:v>
                </c:pt>
                <c:pt idx="311">
                  <c:v>9.9168277266347641E-4</c:v>
                </c:pt>
                <c:pt idx="312">
                  <c:v>1.1098217965717389E-2</c:v>
                </c:pt>
                <c:pt idx="313">
                  <c:v>1.1386045945044728E-4</c:v>
                </c:pt>
                <c:pt idx="314">
                  <c:v>1.8216549049873592E-3</c:v>
                </c:pt>
                <c:pt idx="315">
                  <c:v>1.1374950151652567E-3</c:v>
                </c:pt>
                <c:pt idx="316">
                  <c:v>4.0174205509598335E-4</c:v>
                </c:pt>
                <c:pt idx="317">
                  <c:v>7.5556094406704849E-3</c:v>
                </c:pt>
                <c:pt idx="318">
                  <c:v>1.755872768906918E-2</c:v>
                </c:pt>
                <c:pt idx="319">
                  <c:v>1.3923666655875997E-3</c:v>
                </c:pt>
                <c:pt idx="320">
                  <c:v>1.5017195174779532E-3</c:v>
                </c:pt>
                <c:pt idx="321">
                  <c:v>6.9775567631634918E-3</c:v>
                </c:pt>
                <c:pt idx="322">
                  <c:v>5.0042755127133846E-3</c:v>
                </c:pt>
                <c:pt idx="323">
                  <c:v>1.118232175162997E-3</c:v>
                </c:pt>
                <c:pt idx="324">
                  <c:v>5.2474820601966831E-3</c:v>
                </c:pt>
                <c:pt idx="325">
                  <c:v>1.8452202973220444E-3</c:v>
                </c:pt>
                <c:pt idx="326">
                  <c:v>5.0514841135827814E-3</c:v>
                </c:pt>
                <c:pt idx="327">
                  <c:v>1.0036188832596497E-2</c:v>
                </c:pt>
                <c:pt idx="328">
                  <c:v>#N/A</c:v>
                </c:pt>
                <c:pt idx="329">
                  <c:v>1.9210801168850523E-2</c:v>
                </c:pt>
                <c:pt idx="330">
                  <c:v>6.7869996397178422E-3</c:v>
                </c:pt>
                <c:pt idx="331">
                  <c:v>9.5994565032728237E-3</c:v>
                </c:pt>
                <c:pt idx="332">
                  <c:v>8.7149805865479322E-4</c:v>
                </c:pt>
                <c:pt idx="333">
                  <c:v>1.2428748220187764E-2</c:v>
                </c:pt>
                <c:pt idx="334">
                  <c:v>6.4154710385547304E-3</c:v>
                </c:pt>
                <c:pt idx="335">
                  <c:v>#N/A</c:v>
                </c:pt>
                <c:pt idx="336">
                  <c:v>6.3779214215212397E-3</c:v>
                </c:pt>
                <c:pt idx="337">
                  <c:v>8.8395993887937993E-3</c:v>
                </c:pt>
                <c:pt idx="338">
                  <c:v>7.2730595046616294E-3</c:v>
                </c:pt>
                <c:pt idx="339">
                  <c:v>6.5450401005880312E-3</c:v>
                </c:pt>
                <c:pt idx="340">
                  <c:v>#N/A</c:v>
                </c:pt>
                <c:pt idx="341">
                  <c:v>8.394986991080473E-3</c:v>
                </c:pt>
                <c:pt idx="342">
                  <c:v>1.4281090196223121E-2</c:v>
                </c:pt>
                <c:pt idx="343">
                  <c:v>2.930716636785818E-3</c:v>
                </c:pt>
                <c:pt idx="344">
                  <c:v>9.2571390830078915E-3</c:v>
                </c:pt>
                <c:pt idx="345">
                  <c:v>6.1641590521289043E-3</c:v>
                </c:pt>
                <c:pt idx="346">
                  <c:v>6.1238134904762918E-4</c:v>
                </c:pt>
                <c:pt idx="347">
                  <c:v>4.388303886214257E-3</c:v>
                </c:pt>
                <c:pt idx="348">
                  <c:v>8.5819799127220407E-4</c:v>
                </c:pt>
                <c:pt idx="349">
                  <c:v>1.3402241874636888E-2</c:v>
                </c:pt>
                <c:pt idx="350">
                  <c:v>7.4297416979362532E-3</c:v>
                </c:pt>
                <c:pt idx="351">
                  <c:v>1.3764706635507634E-2</c:v>
                </c:pt>
                <c:pt idx="352">
                  <c:v>2.0395168654101367E-3</c:v>
                </c:pt>
                <c:pt idx="353">
                  <c:v>7.6369473215488429E-3</c:v>
                </c:pt>
                <c:pt idx="354">
                  <c:v>6.7765804408014994E-4</c:v>
                </c:pt>
                <c:pt idx="355">
                  <c:v>5.9410559289494302E-3</c:v>
                </c:pt>
                <c:pt idx="356">
                  <c:v>1.1996294142406076E-2</c:v>
                </c:pt>
                <c:pt idx="357">
                  <c:v>5.0840490932560652E-4</c:v>
                </c:pt>
                <c:pt idx="358">
                  <c:v>6.7772671233402458E-4</c:v>
                </c:pt>
                <c:pt idx="359">
                  <c:v>#N/A</c:v>
                </c:pt>
                <c:pt idx="360">
                  <c:v>1.0723790912134219E-2</c:v>
                </c:pt>
                <c:pt idx="361">
                  <c:v>1.6840709245856109E-2</c:v>
                </c:pt>
                <c:pt idx="362">
                  <c:v>4.5009794818424943E-3</c:v>
                </c:pt>
                <c:pt idx="363">
                  <c:v>#N/A</c:v>
                </c:pt>
                <c:pt idx="364">
                  <c:v>1.1053253265913519E-2</c:v>
                </c:pt>
                <c:pt idx="365">
                  <c:v>2.3786271114934919E-3</c:v>
                </c:pt>
                <c:pt idx="366">
                  <c:v>1.3996352394548278E-2</c:v>
                </c:pt>
                <c:pt idx="367">
                  <c:v>9.5582838014506757E-3</c:v>
                </c:pt>
                <c:pt idx="368">
                  <c:v>1.6817242868111006E-3</c:v>
                </c:pt>
                <c:pt idx="369">
                  <c:v>1.1629882315888762E-2</c:v>
                </c:pt>
                <c:pt idx="370">
                  <c:v>4.4555857849255037E-3</c:v>
                </c:pt>
                <c:pt idx="371">
                  <c:v>1.5179924225112911E-3</c:v>
                </c:pt>
                <c:pt idx="372">
                  <c:v>8.3822841200599757E-4</c:v>
                </c:pt>
                <c:pt idx="373">
                  <c:v>9.7103314293091776E-3</c:v>
                </c:pt>
                <c:pt idx="374">
                  <c:v>1.1354012782041283E-2</c:v>
                </c:pt>
                <c:pt idx="375">
                  <c:v>2.1397238110518594E-3</c:v>
                </c:pt>
                <c:pt idx="376">
                  <c:v>9.6276030520277001E-3</c:v>
                </c:pt>
                <c:pt idx="377">
                  <c:v>1.0419757029472737E-2</c:v>
                </c:pt>
                <c:pt idx="378">
                  <c:v>3.1264086554052416E-3</c:v>
                </c:pt>
                <c:pt idx="379">
                  <c:v>6.9502962666520493E-3</c:v>
                </c:pt>
                <c:pt idx="380">
                  <c:v>4.1545926916585645E-4</c:v>
                </c:pt>
                <c:pt idx="381">
                  <c:v>#N/A</c:v>
                </c:pt>
                <c:pt idx="382">
                  <c:v>9.5623547963423917E-3</c:v>
                </c:pt>
                <c:pt idx="383">
                  <c:v>1.8784353472133797E-2</c:v>
                </c:pt>
                <c:pt idx="384">
                  <c:v>1.2241285937358317E-2</c:v>
                </c:pt>
                <c:pt idx="385">
                  <c:v>8.6939834724409481E-3</c:v>
                </c:pt>
                <c:pt idx="386">
                  <c:v>2.3213127459691001E-3</c:v>
                </c:pt>
                <c:pt idx="387">
                  <c:v>1.7441516957823759E-3</c:v>
                </c:pt>
                <c:pt idx="388">
                  <c:v>1.6120445831202052E-2</c:v>
                </c:pt>
                <c:pt idx="389">
                  <c:v>3.344187314944696E-3</c:v>
                </c:pt>
                <c:pt idx="390">
                  <c:v>2.250442432746037E-3</c:v>
                </c:pt>
                <c:pt idx="391">
                  <c:v>1.6059403583789843E-2</c:v>
                </c:pt>
                <c:pt idx="392">
                  <c:v>9.7624644053164924E-3</c:v>
                </c:pt>
                <c:pt idx="393">
                  <c:v>8.2481225451352357E-3</c:v>
                </c:pt>
                <c:pt idx="394">
                  <c:v>1.6997682875174183E-2</c:v>
                </c:pt>
                <c:pt idx="395">
                  <c:v>1.5083563328817799E-2</c:v>
                </c:pt>
                <c:pt idx="396">
                  <c:v>2.149336257773997E-3</c:v>
                </c:pt>
                <c:pt idx="397">
                  <c:v>4.0855681852780459E-3</c:v>
                </c:pt>
                <c:pt idx="398">
                  <c:v>6.4278549512352592E-3</c:v>
                </c:pt>
                <c:pt idx="399">
                  <c:v>2.5796369752173758E-3</c:v>
                </c:pt>
              </c:numCache>
            </c:numRef>
          </c:yVal>
        </c:ser>
        <c:ser>
          <c:idx val="6"/>
          <c:order val="2"/>
          <c:spPr>
            <a:ln w="28575">
              <a:noFill/>
            </a:ln>
          </c:spPr>
          <c:marker>
            <c:symbol val="circle"/>
            <c:size val="5"/>
            <c:spPr>
              <a:noFill/>
              <a:ln>
                <a:solidFill>
                  <a:srgbClr val="0000FF"/>
                </a:solidFill>
                <a:prstDash val="solid"/>
              </a:ln>
            </c:spPr>
          </c:marker>
          <c:xVal>
            <c:numRef>
              <c:f>CIjumping!$AZ$115:$AZ$514</c:f>
              <c:numCache>
                <c:formatCode>General</c:formatCode>
                <c:ptCount val="4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numCache>
            </c:numRef>
          </c:xVal>
          <c:yVal>
            <c:numRef>
              <c:f>CIjumping!$BA$115:$BA$514</c:f>
              <c:numCache>
                <c:formatCode>General</c:formatCode>
                <c:ptCount val="400"/>
                <c:pt idx="0">
                  <c:v>5.5432660175451075E-3</c:v>
                </c:pt>
                <c:pt idx="1">
                  <c:v>6.0288011623007027E-3</c:v>
                </c:pt>
                <c:pt idx="2">
                  <c:v>#N/A</c:v>
                </c:pt>
                <c:pt idx="3">
                  <c:v>1.1877645092815404E-2</c:v>
                </c:pt>
                <c:pt idx="4">
                  <c:v>9.5108350845727503E-3</c:v>
                </c:pt>
                <c:pt idx="5">
                  <c:v>1.0617904738437671E-2</c:v>
                </c:pt>
                <c:pt idx="6">
                  <c:v>3.389697035486995E-3</c:v>
                </c:pt>
                <c:pt idx="7">
                  <c:v>9.9630773955321963E-3</c:v>
                </c:pt>
                <c:pt idx="8">
                  <c:v>#N/A</c:v>
                </c:pt>
                <c:pt idx="9">
                  <c:v>8.0175508094172728E-3</c:v>
                </c:pt>
                <c:pt idx="10">
                  <c:v>4.2501241700990825E-3</c:v>
                </c:pt>
                <c:pt idx="11">
                  <c:v>5.9611685831715295E-3</c:v>
                </c:pt>
                <c:pt idx="12">
                  <c:v>1.341240802564268E-2</c:v>
                </c:pt>
                <c:pt idx="13">
                  <c:v>8.4891598361637871E-3</c:v>
                </c:pt>
                <c:pt idx="14">
                  <c:v>#N/A</c:v>
                </c:pt>
                <c:pt idx="15">
                  <c:v>7.6983185089009925E-3</c:v>
                </c:pt>
                <c:pt idx="16">
                  <c:v>#N/A</c:v>
                </c:pt>
                <c:pt idx="17">
                  <c:v>2.1529922456958897E-3</c:v>
                </c:pt>
                <c:pt idx="18">
                  <c:v>1.5237170476124324E-3</c:v>
                </c:pt>
                <c:pt idx="19">
                  <c:v>1.7219711684652635E-2</c:v>
                </c:pt>
                <c:pt idx="20">
                  <c:v>8.0810029307941608E-3</c:v>
                </c:pt>
                <c:pt idx="21">
                  <c:v>1.1347177578159636E-2</c:v>
                </c:pt>
                <c:pt idx="22">
                  <c:v>1.6306827203836236E-2</c:v>
                </c:pt>
                <c:pt idx="23">
                  <c:v>3.3744037906010306E-3</c:v>
                </c:pt>
                <c:pt idx="24">
                  <c:v>1.8810012015145446E-3</c:v>
                </c:pt>
                <c:pt idx="25">
                  <c:v>1.0244611599078473E-2</c:v>
                </c:pt>
                <c:pt idx="26">
                  <c:v>2.3279800904723613E-3</c:v>
                </c:pt>
                <c:pt idx="27">
                  <c:v>6.3144690410939716E-3</c:v>
                </c:pt>
                <c:pt idx="28">
                  <c:v>1.1179714498856085E-2</c:v>
                </c:pt>
                <c:pt idx="29">
                  <c:v>1.4845293902483348E-3</c:v>
                </c:pt>
                <c:pt idx="30">
                  <c:v>1.6626002934690683E-2</c:v>
                </c:pt>
                <c:pt idx="31">
                  <c:v>4.5135521318670864E-3</c:v>
                </c:pt>
                <c:pt idx="32">
                  <c:v>8.0615974830133101E-3</c:v>
                </c:pt>
                <c:pt idx="33">
                  <c:v>4.6692373976771175E-3</c:v>
                </c:pt>
                <c:pt idx="34">
                  <c:v>1.1948205795654953E-3</c:v>
                </c:pt>
                <c:pt idx="35">
                  <c:v>3.4045807858742953E-3</c:v>
                </c:pt>
                <c:pt idx="36">
                  <c:v>8.830850225599424E-3</c:v>
                </c:pt>
                <c:pt idx="37">
                  <c:v>6.4514515436522434E-3</c:v>
                </c:pt>
                <c:pt idx="38">
                  <c:v>#N/A</c:v>
                </c:pt>
                <c:pt idx="39">
                  <c:v>1.4275909654636014E-2</c:v>
                </c:pt>
                <c:pt idx="40">
                  <c:v>3.6513560199673137E-4</c:v>
                </c:pt>
                <c:pt idx="41">
                  <c:v>9.8021652488493403E-4</c:v>
                </c:pt>
                <c:pt idx="42">
                  <c:v>1.6738745525984765E-2</c:v>
                </c:pt>
                <c:pt idx="43">
                  <c:v>1.1510335718778436E-2</c:v>
                </c:pt>
                <c:pt idx="44">
                  <c:v>1.647960719621196E-2</c:v>
                </c:pt>
                <c:pt idx="45">
                  <c:v>6.1767546821750842E-3</c:v>
                </c:pt>
                <c:pt idx="46">
                  <c:v>2.55277596767354E-3</c:v>
                </c:pt>
                <c:pt idx="47">
                  <c:v>3.5977878198403868E-3</c:v>
                </c:pt>
                <c:pt idx="48">
                  <c:v>8.1662172553155065E-3</c:v>
                </c:pt>
                <c:pt idx="49">
                  <c:v>1.7516189717077695E-3</c:v>
                </c:pt>
                <c:pt idx="50">
                  <c:v>8.6683872125725564E-3</c:v>
                </c:pt>
                <c:pt idx="51">
                  <c:v>4.8072385129761813E-4</c:v>
                </c:pt>
                <c:pt idx="52">
                  <c:v>4.9085574720312839E-3</c:v>
                </c:pt>
                <c:pt idx="53">
                  <c:v>#N/A</c:v>
                </c:pt>
                <c:pt idx="54">
                  <c:v>1.6561676372660011E-2</c:v>
                </c:pt>
                <c:pt idx="55">
                  <c:v>1.1647338137805384E-2</c:v>
                </c:pt>
                <c:pt idx="56">
                  <c:v>#N/A</c:v>
                </c:pt>
                <c:pt idx="57">
                  <c:v>1.9020906553998018E-2</c:v>
                </c:pt>
                <c:pt idx="58">
                  <c:v>6.305730971242718E-3</c:v>
                </c:pt>
                <c:pt idx="59">
                  <c:v>8.6911192559483569E-3</c:v>
                </c:pt>
                <c:pt idx="60">
                  <c:v>1.6729549845999087E-2</c:v>
                </c:pt>
                <c:pt idx="61">
                  <c:v>4.8260309418949167E-4</c:v>
                </c:pt>
                <c:pt idx="62">
                  <c:v>3.1520587304630109E-3</c:v>
                </c:pt>
                <c:pt idx="63">
                  <c:v>8.6981873622264845E-3</c:v>
                </c:pt>
                <c:pt idx="64">
                  <c:v>7.8338382224166538E-3</c:v>
                </c:pt>
                <c:pt idx="65">
                  <c:v>4.7420115099602823E-3</c:v>
                </c:pt>
                <c:pt idx="66">
                  <c:v>1.7075442932157966E-3</c:v>
                </c:pt>
                <c:pt idx="67">
                  <c:v>6.5388828459514714E-3</c:v>
                </c:pt>
                <c:pt idx="68">
                  <c:v>1.3282608869600691E-2</c:v>
                </c:pt>
                <c:pt idx="69">
                  <c:v>1.276653931609846E-2</c:v>
                </c:pt>
                <c:pt idx="70">
                  <c:v>1.0397296278630409E-2</c:v>
                </c:pt>
                <c:pt idx="71">
                  <c:v>1.6391815249134122E-3</c:v>
                </c:pt>
                <c:pt idx="72">
                  <c:v>1.9859122202448335E-3</c:v>
                </c:pt>
                <c:pt idx="73">
                  <c:v>5.9765814982126516E-3</c:v>
                </c:pt>
                <c:pt idx="74">
                  <c:v>9.9243303332358368E-3</c:v>
                </c:pt>
                <c:pt idx="75">
                  <c:v>1.3848414198033851E-2</c:v>
                </c:pt>
                <c:pt idx="76">
                  <c:v>1.0113396107333293E-2</c:v>
                </c:pt>
                <c:pt idx="77">
                  <c:v>5.0957125706358603E-4</c:v>
                </c:pt>
                <c:pt idx="78">
                  <c:v>1.4729515693184326E-2</c:v>
                </c:pt>
                <c:pt idx="79">
                  <c:v>4.8463485950352237E-3</c:v>
                </c:pt>
                <c:pt idx="80">
                  <c:v>2.3778227000457487E-3</c:v>
                </c:pt>
                <c:pt idx="81">
                  <c:v>8.8398469505104032E-3</c:v>
                </c:pt>
                <c:pt idx="82">
                  <c:v>7.205010613018638E-3</c:v>
                </c:pt>
                <c:pt idx="83">
                  <c:v>1.0555308329072645E-2</c:v>
                </c:pt>
                <c:pt idx="84">
                  <c:v>2.5915344640238844E-3</c:v>
                </c:pt>
                <c:pt idx="85">
                  <c:v>1.3732788028615928E-2</c:v>
                </c:pt>
                <c:pt idx="86">
                  <c:v>9.2257045399480155E-4</c:v>
                </c:pt>
                <c:pt idx="87">
                  <c:v>3.2519158162026111E-5</c:v>
                </c:pt>
                <c:pt idx="88">
                  <c:v>1.1742654038346833E-2</c:v>
                </c:pt>
                <c:pt idx="89">
                  <c:v>7.5864876229207101E-3</c:v>
                </c:pt>
                <c:pt idx="90">
                  <c:v>#N/A</c:v>
                </c:pt>
                <c:pt idx="91">
                  <c:v>#N/A</c:v>
                </c:pt>
                <c:pt idx="92">
                  <c:v>1.2191756654853619E-2</c:v>
                </c:pt>
                <c:pt idx="93">
                  <c:v>1.6237745950935661E-2</c:v>
                </c:pt>
                <c:pt idx="94">
                  <c:v>5.3212424528365095E-4</c:v>
                </c:pt>
                <c:pt idx="95">
                  <c:v>1.4627001377947271E-2</c:v>
                </c:pt>
                <c:pt idx="96">
                  <c:v>8.8766468795518257E-3</c:v>
                </c:pt>
                <c:pt idx="97">
                  <c:v>1.2165543359817835E-3</c:v>
                </c:pt>
                <c:pt idx="98">
                  <c:v>1.3439627566782355E-2</c:v>
                </c:pt>
                <c:pt idx="99">
                  <c:v>2.9398086225303024E-3</c:v>
                </c:pt>
                <c:pt idx="100">
                  <c:v>6.2427733033860204E-3</c:v>
                </c:pt>
                <c:pt idx="101">
                  <c:v>9.7802370483908684E-3</c:v>
                </c:pt>
                <c:pt idx="102">
                  <c:v>#N/A</c:v>
                </c:pt>
                <c:pt idx="103">
                  <c:v>5.1895640570342773E-3</c:v>
                </c:pt>
                <c:pt idx="104">
                  <c:v>6.1465633928893337E-6</c:v>
                </c:pt>
                <c:pt idx="105">
                  <c:v>1.1013861620481728E-2</c:v>
                </c:pt>
                <c:pt idx="106">
                  <c:v>7.9161637516200686E-3</c:v>
                </c:pt>
                <c:pt idx="107">
                  <c:v>1.5987313785076063E-2</c:v>
                </c:pt>
                <c:pt idx="108">
                  <c:v>5.2599141732449155E-4</c:v>
                </c:pt>
                <c:pt idx="109">
                  <c:v>1.6718218075458677E-2</c:v>
                </c:pt>
                <c:pt idx="110">
                  <c:v>1.1524543654722957E-3</c:v>
                </c:pt>
                <c:pt idx="111">
                  <c:v>4.551675058720831E-3</c:v>
                </c:pt>
                <c:pt idx="112">
                  <c:v>6.6918526288812521E-4</c:v>
                </c:pt>
                <c:pt idx="113">
                  <c:v>2.9254581731986262E-3</c:v>
                </c:pt>
                <c:pt idx="114">
                  <c:v>6.2420622472445309E-3</c:v>
                </c:pt>
                <c:pt idx="115">
                  <c:v>6.1570932214354132E-3</c:v>
                </c:pt>
                <c:pt idx="116">
                  <c:v>9.2250697849066733E-3</c:v>
                </c:pt>
                <c:pt idx="117">
                  <c:v>2.2907338025455574E-3</c:v>
                </c:pt>
                <c:pt idx="118">
                  <c:v>4.3359296482899734E-3</c:v>
                </c:pt>
                <c:pt idx="119">
                  <c:v>6.380843228599521E-3</c:v>
                </c:pt>
                <c:pt idx="120">
                  <c:v>6.9480459767666698E-4</c:v>
                </c:pt>
                <c:pt idx="121">
                  <c:v>1.0269983197467417E-2</c:v>
                </c:pt>
                <c:pt idx="122">
                  <c:v>8.6920742855627151E-3</c:v>
                </c:pt>
                <c:pt idx="123">
                  <c:v>1.4528682173149442E-2</c:v>
                </c:pt>
                <c:pt idx="124">
                  <c:v>8.0151754780680637E-3</c:v>
                </c:pt>
                <c:pt idx="125">
                  <c:v>#N/A</c:v>
                </c:pt>
                <c:pt idx="126">
                  <c:v>1.7495598013450443E-3</c:v>
                </c:pt>
                <c:pt idx="127">
                  <c:v>5.6104791866701826E-3</c:v>
                </c:pt>
                <c:pt idx="128">
                  <c:v>1.1417018342004613E-3</c:v>
                </c:pt>
                <c:pt idx="129">
                  <c:v>7.3259169861276379E-3</c:v>
                </c:pt>
                <c:pt idx="130">
                  <c:v>9.2991565708214138E-3</c:v>
                </c:pt>
                <c:pt idx="131">
                  <c:v>1.4755744459426156E-3</c:v>
                </c:pt>
                <c:pt idx="132">
                  <c:v>9.5650808105440961E-4</c:v>
                </c:pt>
                <c:pt idx="133">
                  <c:v>1.9382322277965151E-2</c:v>
                </c:pt>
                <c:pt idx="134">
                  <c:v>4.2076892666371322E-3</c:v>
                </c:pt>
                <c:pt idx="135">
                  <c:v>#N/A</c:v>
                </c:pt>
                <c:pt idx="136">
                  <c:v>8.0408487019985892E-3</c:v>
                </c:pt>
                <c:pt idx="137">
                  <c:v>1.656444861180049E-4</c:v>
                </c:pt>
                <c:pt idx="138">
                  <c:v>6.304475558550386E-3</c:v>
                </c:pt>
                <c:pt idx="139">
                  <c:v>8.8441187217247943E-3</c:v>
                </c:pt>
                <c:pt idx="140">
                  <c:v>2.3325500289462461E-3</c:v>
                </c:pt>
                <c:pt idx="141">
                  <c:v>8.6433952226680696E-3</c:v>
                </c:pt>
                <c:pt idx="142">
                  <c:v>1.558518529259913E-2</c:v>
                </c:pt>
                <c:pt idx="143">
                  <c:v>1.6065241255611009E-2</c:v>
                </c:pt>
                <c:pt idx="144">
                  <c:v>7.4970649589848034E-3</c:v>
                </c:pt>
                <c:pt idx="145">
                  <c:v>#N/A</c:v>
                </c:pt>
                <c:pt idx="146">
                  <c:v>3.4338976089140498E-3</c:v>
                </c:pt>
                <c:pt idx="147">
                  <c:v>1.0300850151110217E-2</c:v>
                </c:pt>
                <c:pt idx="148">
                  <c:v>1.1316995737467121E-3</c:v>
                </c:pt>
                <c:pt idx="149">
                  <c:v>8.0123959547262272E-3</c:v>
                </c:pt>
                <c:pt idx="150">
                  <c:v>1.7865689855150808E-2</c:v>
                </c:pt>
                <c:pt idx="151">
                  <c:v>1.1126687765399802E-2</c:v>
                </c:pt>
                <c:pt idx="152">
                  <c:v>6.669449469896855E-3</c:v>
                </c:pt>
                <c:pt idx="153">
                  <c:v>1.5509765959525601E-2</c:v>
                </c:pt>
                <c:pt idx="154">
                  <c:v>3.6106138895194498E-3</c:v>
                </c:pt>
                <c:pt idx="155">
                  <c:v>#N/A</c:v>
                </c:pt>
                <c:pt idx="156">
                  <c:v>2.482879631641244E-3</c:v>
                </c:pt>
                <c:pt idx="157">
                  <c:v>1.5286099519225015E-2</c:v>
                </c:pt>
                <c:pt idx="158">
                  <c:v>3.7861169096641109E-3</c:v>
                </c:pt>
                <c:pt idx="159">
                  <c:v>1.7193657933789648E-3</c:v>
                </c:pt>
                <c:pt idx="160">
                  <c:v>1.5347515656593305E-2</c:v>
                </c:pt>
                <c:pt idx="161">
                  <c:v>4.5887853073496828E-3</c:v>
                </c:pt>
                <c:pt idx="162">
                  <c:v>#N/A</c:v>
                </c:pt>
                <c:pt idx="163">
                  <c:v>7.1097338916755659E-3</c:v>
                </c:pt>
                <c:pt idx="164">
                  <c:v>1.5370030970549155E-2</c:v>
                </c:pt>
                <c:pt idx="165">
                  <c:v>2.0848356872276027E-3</c:v>
                </c:pt>
                <c:pt idx="166">
                  <c:v>2.1901101532959726E-3</c:v>
                </c:pt>
                <c:pt idx="167">
                  <c:v>2.3333812882384425E-3</c:v>
                </c:pt>
                <c:pt idx="168">
                  <c:v>1.2323415075395E-2</c:v>
                </c:pt>
                <c:pt idx="169">
                  <c:v>7.6031594059536283E-3</c:v>
                </c:pt>
                <c:pt idx="170">
                  <c:v>8.746720891050901E-3</c:v>
                </c:pt>
                <c:pt idx="171">
                  <c:v>3.1892694032946583E-3</c:v>
                </c:pt>
                <c:pt idx="172">
                  <c:v>5.7253766227086448E-4</c:v>
                </c:pt>
                <c:pt idx="173">
                  <c:v>7.7601722060156248E-3</c:v>
                </c:pt>
                <c:pt idx="174">
                  <c:v>7.6347623790093844E-3</c:v>
                </c:pt>
                <c:pt idx="175">
                  <c:v>1.5520868031397438E-3</c:v>
                </c:pt>
                <c:pt idx="176">
                  <c:v>1.4363415527909276E-2</c:v>
                </c:pt>
                <c:pt idx="177">
                  <c:v>1.3626958422364121E-2</c:v>
                </c:pt>
                <c:pt idx="178">
                  <c:v>1.4207806844273856E-2</c:v>
                </c:pt>
                <c:pt idx="179">
                  <c:v>9.0959701627177855E-3</c:v>
                </c:pt>
                <c:pt idx="180">
                  <c:v>1.5776549576377554E-2</c:v>
                </c:pt>
                <c:pt idx="181">
                  <c:v>1.444152395533238E-2</c:v>
                </c:pt>
                <c:pt idx="182">
                  <c:v>4.9941171986495362E-3</c:v>
                </c:pt>
                <c:pt idx="183">
                  <c:v>#N/A</c:v>
                </c:pt>
                <c:pt idx="184">
                  <c:v>5.7672589373461503E-3</c:v>
                </c:pt>
                <c:pt idx="185">
                  <c:v>9.5782245841242938E-3</c:v>
                </c:pt>
                <c:pt idx="186">
                  <c:v>1.2338578485052071E-2</c:v>
                </c:pt>
                <c:pt idx="187">
                  <c:v>3.6698099371939652E-4</c:v>
                </c:pt>
                <c:pt idx="188">
                  <c:v>#N/A</c:v>
                </c:pt>
                <c:pt idx="189">
                  <c:v>9.576718309763357E-3</c:v>
                </c:pt>
                <c:pt idx="190">
                  <c:v>3.7969213179183405E-3</c:v>
                </c:pt>
                <c:pt idx="191">
                  <c:v>1.610205625992446E-2</c:v>
                </c:pt>
                <c:pt idx="192">
                  <c:v>8.2221249357173742E-3</c:v>
                </c:pt>
                <c:pt idx="193">
                  <c:v>1.2189655678510401E-2</c:v>
                </c:pt>
                <c:pt idx="194">
                  <c:v>3.461838448876237E-3</c:v>
                </c:pt>
                <c:pt idx="195">
                  <c:v>5.2127686232991358E-3</c:v>
                </c:pt>
                <c:pt idx="196">
                  <c:v>1.3327048607227852E-2</c:v>
                </c:pt>
                <c:pt idx="197">
                  <c:v>9.3029469928301353E-3</c:v>
                </c:pt>
                <c:pt idx="198">
                  <c:v>1.624090986863768E-2</c:v>
                </c:pt>
                <c:pt idx="199">
                  <c:v>6.6651843072949195E-4</c:v>
                </c:pt>
                <c:pt idx="200">
                  <c:v>1.5553538586695191E-2</c:v>
                </c:pt>
                <c:pt idx="201">
                  <c:v>3.4757821791430725E-3</c:v>
                </c:pt>
                <c:pt idx="202">
                  <c:v>1.6502892175966906E-2</c:v>
                </c:pt>
                <c:pt idx="203">
                  <c:v>4.0639328110976605E-3</c:v>
                </c:pt>
                <c:pt idx="204">
                  <c:v>3.8340635227984321E-3</c:v>
                </c:pt>
                <c:pt idx="205">
                  <c:v>2.1521208112880797E-3</c:v>
                </c:pt>
                <c:pt idx="206">
                  <c:v>6.8042844041105134E-4</c:v>
                </c:pt>
                <c:pt idx="207">
                  <c:v>1.8398864636232908E-2</c:v>
                </c:pt>
                <c:pt idx="208">
                  <c:v>5.8214748707114848E-3</c:v>
                </c:pt>
                <c:pt idx="209">
                  <c:v>#N/A</c:v>
                </c:pt>
                <c:pt idx="210">
                  <c:v>8.5370429546941754E-4</c:v>
                </c:pt>
                <c:pt idx="211">
                  <c:v>1.492643047856403E-4</c:v>
                </c:pt>
                <c:pt idx="212">
                  <c:v>3.1284721672845809E-3</c:v>
                </c:pt>
                <c:pt idx="213">
                  <c:v>1.1614894516663534E-2</c:v>
                </c:pt>
                <c:pt idx="214">
                  <c:v>2.5055282519254327E-3</c:v>
                </c:pt>
                <c:pt idx="215">
                  <c:v>1.0103837535787114E-2</c:v>
                </c:pt>
                <c:pt idx="216">
                  <c:v>5.6045374795415824E-3</c:v>
                </c:pt>
                <c:pt idx="217">
                  <c:v>1.9196012211782918E-3</c:v>
                </c:pt>
                <c:pt idx="218">
                  <c:v>8.5605994348134985E-4</c:v>
                </c:pt>
                <c:pt idx="219">
                  <c:v>4.3165248765931691E-3</c:v>
                </c:pt>
                <c:pt idx="220">
                  <c:v>1.8189104654175232E-2</c:v>
                </c:pt>
                <c:pt idx="221">
                  <c:v>5.7186625600252946E-3</c:v>
                </c:pt>
                <c:pt idx="222">
                  <c:v>1.8355282288717613E-3</c:v>
                </c:pt>
                <c:pt idx="223">
                  <c:v>1.1563434096184011E-2</c:v>
                </c:pt>
                <c:pt idx="224">
                  <c:v>5.5283467036236758E-3</c:v>
                </c:pt>
                <c:pt idx="225">
                  <c:v>3.200122280680685E-3</c:v>
                </c:pt>
                <c:pt idx="226">
                  <c:v>3.7101918754523845E-3</c:v>
                </c:pt>
                <c:pt idx="227">
                  <c:v>2.8229285348575161E-3</c:v>
                </c:pt>
                <c:pt idx="228">
                  <c:v>6.7686731921432573E-3</c:v>
                </c:pt>
                <c:pt idx="229">
                  <c:v>1.306963784106011E-3</c:v>
                </c:pt>
                <c:pt idx="230">
                  <c:v>1.3689508668068858E-2</c:v>
                </c:pt>
                <c:pt idx="231">
                  <c:v>5.0135201033575444E-3</c:v>
                </c:pt>
                <c:pt idx="232">
                  <c:v>3.0968321164458862E-3</c:v>
                </c:pt>
                <c:pt idx="233">
                  <c:v>1.0707604773787089E-2</c:v>
                </c:pt>
                <c:pt idx="234">
                  <c:v>7.1259605669409505E-3</c:v>
                </c:pt>
                <c:pt idx="235">
                  <c:v>1.5389732022171804E-2</c:v>
                </c:pt>
                <c:pt idx="236">
                  <c:v>8.8343587263728963E-3</c:v>
                </c:pt>
                <c:pt idx="237">
                  <c:v>5.5466099173592451E-3</c:v>
                </c:pt>
                <c:pt idx="238">
                  <c:v>1.1721023771234292E-2</c:v>
                </c:pt>
                <c:pt idx="239">
                  <c:v>5.9805166121113858E-3</c:v>
                </c:pt>
                <c:pt idx="240">
                  <c:v>2.933795595004755E-3</c:v>
                </c:pt>
                <c:pt idx="241">
                  <c:v>2.3931488413323708E-3</c:v>
                </c:pt>
                <c:pt idx="242">
                  <c:v>6.3118352882596948E-3</c:v>
                </c:pt>
                <c:pt idx="243">
                  <c:v>5.4589045777321274E-3</c:v>
                </c:pt>
                <c:pt idx="244">
                  <c:v>1.0517147414831247E-2</c:v>
                </c:pt>
                <c:pt idx="245">
                  <c:v>1.4721682309261823E-3</c:v>
                </c:pt>
                <c:pt idx="246">
                  <c:v>1.266623243989673E-2</c:v>
                </c:pt>
                <c:pt idx="247">
                  <c:v>3.5936686561010671E-3</c:v>
                </c:pt>
                <c:pt idx="248">
                  <c:v>2.1987714257765702E-3</c:v>
                </c:pt>
                <c:pt idx="249">
                  <c:v>2.5111374292830953E-3</c:v>
                </c:pt>
                <c:pt idx="250">
                  <c:v>1.5033464126196114E-2</c:v>
                </c:pt>
                <c:pt idx="251">
                  <c:v>6.7835738610618713E-3</c:v>
                </c:pt>
                <c:pt idx="252">
                  <c:v>8.1153635357705031E-4</c:v>
                </c:pt>
                <c:pt idx="253">
                  <c:v>1.5355556377165387E-2</c:v>
                </c:pt>
                <c:pt idx="254">
                  <c:v>1.6988808349267324E-3</c:v>
                </c:pt>
                <c:pt idx="255">
                  <c:v>#N/A</c:v>
                </c:pt>
                <c:pt idx="256">
                  <c:v>1.2835161188386218E-2</c:v>
                </c:pt>
                <c:pt idx="257">
                  <c:v>5.9488387893254216E-3</c:v>
                </c:pt>
                <c:pt idx="258">
                  <c:v>1.8400728977009433E-2</c:v>
                </c:pt>
                <c:pt idx="259">
                  <c:v>7.7061903230271683E-3</c:v>
                </c:pt>
                <c:pt idx="260">
                  <c:v>5.8885637325096721E-3</c:v>
                </c:pt>
                <c:pt idx="261">
                  <c:v>7.4513501942032644E-3</c:v>
                </c:pt>
                <c:pt idx="262">
                  <c:v>1.7671756203299287E-2</c:v>
                </c:pt>
                <c:pt idx="263">
                  <c:v>2.61704105827291E-3</c:v>
                </c:pt>
                <c:pt idx="264">
                  <c:v>4.4559875547551002E-3</c:v>
                </c:pt>
                <c:pt idx="265">
                  <c:v>1.2911192752878286E-2</c:v>
                </c:pt>
                <c:pt idx="266">
                  <c:v>1.1917255984194914E-5</c:v>
                </c:pt>
                <c:pt idx="267">
                  <c:v>9.3813514342008797E-3</c:v>
                </c:pt>
                <c:pt idx="268">
                  <c:v>1.1019161363979657E-3</c:v>
                </c:pt>
                <c:pt idx="269">
                  <c:v>8.1439948315197648E-4</c:v>
                </c:pt>
                <c:pt idx="270">
                  <c:v>7.6988609708396466E-3</c:v>
                </c:pt>
                <c:pt idx="271">
                  <c:v>7.7859475703923355E-3</c:v>
                </c:pt>
                <c:pt idx="272">
                  <c:v>5.7505838823075136E-3</c:v>
                </c:pt>
                <c:pt idx="273">
                  <c:v>1.6243984488722489E-2</c:v>
                </c:pt>
                <c:pt idx="274">
                  <c:v>2.7998883684630578E-3</c:v>
                </c:pt>
                <c:pt idx="275">
                  <c:v>7.9144163423377871E-3</c:v>
                </c:pt>
                <c:pt idx="276">
                  <c:v>1.177025191765004E-3</c:v>
                </c:pt>
                <c:pt idx="277">
                  <c:v>3.627618856146494E-3</c:v>
                </c:pt>
                <c:pt idx="278">
                  <c:v>8.1014966737263418E-3</c:v>
                </c:pt>
                <c:pt idx="279">
                  <c:v>4.9125428338703397E-3</c:v>
                </c:pt>
                <c:pt idx="280">
                  <c:v>3.2545541114727054E-3</c:v>
                </c:pt>
                <c:pt idx="281">
                  <c:v>#N/A</c:v>
                </c:pt>
                <c:pt idx="282">
                  <c:v>1.2730578084389795E-2</c:v>
                </c:pt>
                <c:pt idx="283">
                  <c:v>5.6839354819955782E-3</c:v>
                </c:pt>
                <c:pt idx="284">
                  <c:v>1.2984029843900744E-2</c:v>
                </c:pt>
                <c:pt idx="285">
                  <c:v>1.2315929467875056E-2</c:v>
                </c:pt>
                <c:pt idx="286">
                  <c:v>1.7722314730022611E-2</c:v>
                </c:pt>
                <c:pt idx="287">
                  <c:v>1.0045923101726742E-2</c:v>
                </c:pt>
                <c:pt idx="288">
                  <c:v>#N/A</c:v>
                </c:pt>
                <c:pt idx="289">
                  <c:v>2.9619916930444731E-3</c:v>
                </c:pt>
                <c:pt idx="290">
                  <c:v>1.268268744884107E-2</c:v>
                </c:pt>
                <c:pt idx="291">
                  <c:v>1.231275015513514E-2</c:v>
                </c:pt>
                <c:pt idx="292">
                  <c:v>2.6909105059012167E-3</c:v>
                </c:pt>
                <c:pt idx="293">
                  <c:v>9.562458215552663E-5</c:v>
                </c:pt>
                <c:pt idx="294">
                  <c:v>1.4690333561703556E-3</c:v>
                </c:pt>
                <c:pt idx="295">
                  <c:v>1.3046184570747098E-2</c:v>
                </c:pt>
                <c:pt idx="296">
                  <c:v>1.6736000340836898E-2</c:v>
                </c:pt>
                <c:pt idx="297">
                  <c:v>1.543984879989954E-2</c:v>
                </c:pt>
                <c:pt idx="298">
                  <c:v>7.1696188948020673E-4</c:v>
                </c:pt>
                <c:pt idx="299">
                  <c:v>1.8733663766969139E-2</c:v>
                </c:pt>
                <c:pt idx="300">
                  <c:v>2.0917821199586788E-3</c:v>
                </c:pt>
                <c:pt idx="301">
                  <c:v>1.5982208200385647E-2</c:v>
                </c:pt>
                <c:pt idx="302">
                  <c:v>5.4851935168177034E-3</c:v>
                </c:pt>
                <c:pt idx="303">
                  <c:v>9.8433627408844124E-3</c:v>
                </c:pt>
                <c:pt idx="304">
                  <c:v>6.3564807021104037E-4</c:v>
                </c:pt>
                <c:pt idx="305">
                  <c:v>5.470114181965015E-3</c:v>
                </c:pt>
                <c:pt idx="306">
                  <c:v>#N/A</c:v>
                </c:pt>
                <c:pt idx="307">
                  <c:v>3.456621687510793E-4</c:v>
                </c:pt>
                <c:pt idx="308">
                  <c:v>1.3434391661255587E-2</c:v>
                </c:pt>
                <c:pt idx="309">
                  <c:v>6.4709161766059349E-3</c:v>
                </c:pt>
                <c:pt idx="310">
                  <c:v>6.2939374785279103E-3</c:v>
                </c:pt>
                <c:pt idx="311">
                  <c:v>4.3102766392291228E-3</c:v>
                </c:pt>
                <c:pt idx="312">
                  <c:v>9.1925918727624491E-3</c:v>
                </c:pt>
                <c:pt idx="313">
                  <c:v>1.7297584602336151E-2</c:v>
                </c:pt>
                <c:pt idx="314">
                  <c:v>8.9887041969829874E-3</c:v>
                </c:pt>
                <c:pt idx="315">
                  <c:v>8.9138902045168323E-5</c:v>
                </c:pt>
                <c:pt idx="316">
                  <c:v>7.3097659016870672E-3</c:v>
                </c:pt>
                <c:pt idx="317">
                  <c:v>4.0924423935825797E-3</c:v>
                </c:pt>
                <c:pt idx="318">
                  <c:v>2.7046727097342943E-3</c:v>
                </c:pt>
                <c:pt idx="319">
                  <c:v>1.0232846427684229E-2</c:v>
                </c:pt>
                <c:pt idx="320">
                  <c:v>1.7996731242088129E-2</c:v>
                </c:pt>
                <c:pt idx="321">
                  <c:v>2.4136456733576152E-3</c:v>
                </c:pt>
                <c:pt idx="322">
                  <c:v>2.9546679643934525E-3</c:v>
                </c:pt>
                <c:pt idx="323">
                  <c:v>1.7254341925515563E-2</c:v>
                </c:pt>
                <c:pt idx="324">
                  <c:v>1.5446060686858384E-2</c:v>
                </c:pt>
                <c:pt idx="325">
                  <c:v>6.9311927605876849E-3</c:v>
                </c:pt>
                <c:pt idx="326">
                  <c:v>#N/A</c:v>
                </c:pt>
                <c:pt idx="327">
                  <c:v>1.1005282588557367E-3</c:v>
                </c:pt>
                <c:pt idx="328">
                  <c:v>7.3511920170028595E-3</c:v>
                </c:pt>
                <c:pt idx="329">
                  <c:v>5.8384525145489157E-3</c:v>
                </c:pt>
                <c:pt idx="330">
                  <c:v>3.3949836884902967E-3</c:v>
                </c:pt>
                <c:pt idx="331">
                  <c:v>3.151667243030014E-3</c:v>
                </c:pt>
                <c:pt idx="332">
                  <c:v>1.1769092557160283E-3</c:v>
                </c:pt>
                <c:pt idx="333">
                  <c:v>4.4012405360804158E-4</c:v>
                </c:pt>
                <c:pt idx="334">
                  <c:v>2.8383737487623567E-3</c:v>
                </c:pt>
                <c:pt idx="335">
                  <c:v>6.901177484690494E-4</c:v>
                </c:pt>
                <c:pt idx="336">
                  <c:v>1.5225073714289681E-3</c:v>
                </c:pt>
                <c:pt idx="337">
                  <c:v>#N/A</c:v>
                </c:pt>
                <c:pt idx="338">
                  <c:v>7.9609252341962568E-3</c:v>
                </c:pt>
                <c:pt idx="339">
                  <c:v>1.4256941638926546E-2</c:v>
                </c:pt>
                <c:pt idx="340">
                  <c:v>1.8336358252051277E-3</c:v>
                </c:pt>
                <c:pt idx="341">
                  <c:v>3.2790047110797778E-3</c:v>
                </c:pt>
                <c:pt idx="342">
                  <c:v>9.1133753375031643E-3</c:v>
                </c:pt>
                <c:pt idx="343">
                  <c:v>4.3711677260403212E-3</c:v>
                </c:pt>
                <c:pt idx="344">
                  <c:v>5.0199430119960134E-3</c:v>
                </c:pt>
                <c:pt idx="345">
                  <c:v>5.9087633545146373E-3</c:v>
                </c:pt>
                <c:pt idx="346">
                  <c:v>1.3904047802591336E-2</c:v>
                </c:pt>
                <c:pt idx="347">
                  <c:v>7.1535113050545125E-3</c:v>
                </c:pt>
                <c:pt idx="348">
                  <c:v>1.4349871271847319E-2</c:v>
                </c:pt>
                <c:pt idx="349">
                  <c:v>#N/A</c:v>
                </c:pt>
                <c:pt idx="350">
                  <c:v>8.9835991130336745E-3</c:v>
                </c:pt>
                <c:pt idx="351">
                  <c:v>1.7757689566873891E-3</c:v>
                </c:pt>
                <c:pt idx="352">
                  <c:v>2.6155090278110241E-3</c:v>
                </c:pt>
                <c:pt idx="353">
                  <c:v>9.6616625466710952E-3</c:v>
                </c:pt>
                <c:pt idx="354">
                  <c:v>1.5206217131672251E-3</c:v>
                </c:pt>
                <c:pt idx="355">
                  <c:v>7.0257451081612377E-3</c:v>
                </c:pt>
                <c:pt idx="356">
                  <c:v>4.4547413969834746E-3</c:v>
                </c:pt>
                <c:pt idx="357">
                  <c:v>1.6791616406613401E-2</c:v>
                </c:pt>
                <c:pt idx="358">
                  <c:v>2.0073882656799361E-3</c:v>
                </c:pt>
                <c:pt idx="359">
                  <c:v>9.2822193045791791E-3</c:v>
                </c:pt>
                <c:pt idx="360">
                  <c:v>1.7621067995008288E-2</c:v>
                </c:pt>
                <c:pt idx="361">
                  <c:v>7.726975111600024E-3</c:v>
                </c:pt>
                <c:pt idx="362">
                  <c:v>2.8112681347940787E-3</c:v>
                </c:pt>
                <c:pt idx="363">
                  <c:v>1.2676220271939057E-2</c:v>
                </c:pt>
                <c:pt idx="364">
                  <c:v>2.3079518384484464E-3</c:v>
                </c:pt>
                <c:pt idx="365">
                  <c:v>1.8406947084181513E-3</c:v>
                </c:pt>
                <c:pt idx="366">
                  <c:v>3.5656155176280166E-4</c:v>
                </c:pt>
                <c:pt idx="367">
                  <c:v>2.4043644962932435E-3</c:v>
                </c:pt>
                <c:pt idx="368">
                  <c:v>2.3621832547962738E-3</c:v>
                </c:pt>
                <c:pt idx="369">
                  <c:v>1.4475879934624839E-3</c:v>
                </c:pt>
                <c:pt idx="370">
                  <c:v>#N/A</c:v>
                </c:pt>
                <c:pt idx="371">
                  <c:v>#N/A</c:v>
                </c:pt>
                <c:pt idx="372">
                  <c:v>2.5712091096136347E-3</c:v>
                </c:pt>
                <c:pt idx="373">
                  <c:v>#N/A</c:v>
                </c:pt>
                <c:pt idx="374">
                  <c:v>1.2100998426584681E-2</c:v>
                </c:pt>
                <c:pt idx="375">
                  <c:v>9.6716651500157787E-3</c:v>
                </c:pt>
                <c:pt idx="376">
                  <c:v>2.1778486408955268E-3</c:v>
                </c:pt>
                <c:pt idx="377">
                  <c:v>1.3655717853070617E-2</c:v>
                </c:pt>
                <c:pt idx="378">
                  <c:v>1.4299551109212497E-3</c:v>
                </c:pt>
                <c:pt idx="379">
                  <c:v>4.7238758517249846E-3</c:v>
                </c:pt>
                <c:pt idx="380">
                  <c:v>1.7676012390752827E-2</c:v>
                </c:pt>
                <c:pt idx="381">
                  <c:v>8.0944919750693199E-4</c:v>
                </c:pt>
                <c:pt idx="382">
                  <c:v>1.0176753857969022E-2</c:v>
                </c:pt>
                <c:pt idx="383">
                  <c:v>3.3016428678169516E-3</c:v>
                </c:pt>
                <c:pt idx="384">
                  <c:v>1.6918695438333221E-2</c:v>
                </c:pt>
                <c:pt idx="385">
                  <c:v>2.2412038429157222E-3</c:v>
                </c:pt>
                <c:pt idx="386">
                  <c:v>1.3978363168581946E-3</c:v>
                </c:pt>
                <c:pt idx="387">
                  <c:v>1.1322292400036149E-2</c:v>
                </c:pt>
                <c:pt idx="388">
                  <c:v>8.775922753818239E-3</c:v>
                </c:pt>
                <c:pt idx="389">
                  <c:v>4.6092058125619152E-3</c:v>
                </c:pt>
                <c:pt idx="390">
                  <c:v>6.0812966494328243E-3</c:v>
                </c:pt>
                <c:pt idx="391">
                  <c:v>3.0979855632218569E-3</c:v>
                </c:pt>
                <c:pt idx="392">
                  <c:v>3.5683936087722709E-3</c:v>
                </c:pt>
                <c:pt idx="393">
                  <c:v>#N/A</c:v>
                </c:pt>
                <c:pt idx="394">
                  <c:v>1.4854706458724927E-2</c:v>
                </c:pt>
                <c:pt idx="395">
                  <c:v>7.4598628845295003E-3</c:v>
                </c:pt>
                <c:pt idx="396">
                  <c:v>8.1459044946856143E-3</c:v>
                </c:pt>
                <c:pt idx="397">
                  <c:v>4.3130460352742827E-3</c:v>
                </c:pt>
                <c:pt idx="398">
                  <c:v>3.9575683160074891E-3</c:v>
                </c:pt>
                <c:pt idx="399">
                  <c:v>1.2383329203948008E-2</c:v>
                </c:pt>
              </c:numCache>
            </c:numRef>
          </c:yVal>
        </c:ser>
        <c:ser>
          <c:idx val="8"/>
          <c:order val="3"/>
          <c:spPr>
            <a:ln w="28575">
              <a:noFill/>
            </a:ln>
          </c:spPr>
          <c:marker>
            <c:symbol val="circle"/>
            <c:size val="5"/>
            <c:spPr>
              <a:noFill/>
              <a:ln>
                <a:solidFill>
                  <a:srgbClr val="0000FF"/>
                </a:solidFill>
                <a:prstDash val="solid"/>
              </a:ln>
            </c:spPr>
          </c:marker>
          <c:xVal>
            <c:numRef>
              <c:f>CIjumping!$BE$115:$BE$514</c:f>
              <c:numCache>
                <c:formatCode>General</c:formatCode>
                <c:ptCount val="4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numCache>
            </c:numRef>
          </c:xVal>
          <c:yVal>
            <c:numRef>
              <c:f>CIjumping!$BF$115:$BF$514</c:f>
              <c:numCache>
                <c:formatCode>General</c:formatCode>
                <c:ptCount val="400"/>
                <c:pt idx="0">
                  <c:v>1.2034963102094719E-3</c:v>
                </c:pt>
                <c:pt idx="1">
                  <c:v>2.8622640348988154E-3</c:v>
                </c:pt>
                <c:pt idx="2">
                  <c:v>9.0440932290767363E-3</c:v>
                </c:pt>
                <c:pt idx="3">
                  <c:v>1.9076408237847384E-2</c:v>
                </c:pt>
                <c:pt idx="4">
                  <c:v>7.7601215809462156E-3</c:v>
                </c:pt>
                <c:pt idx="5">
                  <c:v>6.7372140636471969E-3</c:v>
                </c:pt>
                <c:pt idx="6">
                  <c:v>3.5023395550752086E-3</c:v>
                </c:pt>
                <c:pt idx="7">
                  <c:v>#N/A</c:v>
                </c:pt>
                <c:pt idx="8">
                  <c:v>1.0748596107802972E-2</c:v>
                </c:pt>
                <c:pt idx="9">
                  <c:v>1.747783738520952E-2</c:v>
                </c:pt>
                <c:pt idx="10">
                  <c:v>7.258936995300524E-3</c:v>
                </c:pt>
                <c:pt idx="11">
                  <c:v>4.7962887206050523E-3</c:v>
                </c:pt>
                <c:pt idx="12">
                  <c:v>4.9329073022212656E-3</c:v>
                </c:pt>
                <c:pt idx="13">
                  <c:v>1.8629926544589528E-2</c:v>
                </c:pt>
                <c:pt idx="14">
                  <c:v>8.519796630426419E-3</c:v>
                </c:pt>
                <c:pt idx="15">
                  <c:v>1.4481913520621708E-2</c:v>
                </c:pt>
                <c:pt idx="16">
                  <c:v>2.2893988005574365E-3</c:v>
                </c:pt>
                <c:pt idx="17">
                  <c:v>1.4201936879496963E-2</c:v>
                </c:pt>
                <c:pt idx="18">
                  <c:v>6.9321424974741145E-3</c:v>
                </c:pt>
                <c:pt idx="19">
                  <c:v>1.6783148234512907E-2</c:v>
                </c:pt>
                <c:pt idx="20">
                  <c:v>5.805811460218465E-3</c:v>
                </c:pt>
                <c:pt idx="21">
                  <c:v>1.4181480438160086E-2</c:v>
                </c:pt>
                <c:pt idx="22">
                  <c:v>7.1350889101869392E-3</c:v>
                </c:pt>
                <c:pt idx="23">
                  <c:v>2.3563384704540993E-4</c:v>
                </c:pt>
                <c:pt idx="24">
                  <c:v>9.7151829204210338E-3</c:v>
                </c:pt>
                <c:pt idx="25">
                  <c:v>1.2250599228972125E-2</c:v>
                </c:pt>
                <c:pt idx="26">
                  <c:v>7.068633535017388E-4</c:v>
                </c:pt>
                <c:pt idx="27">
                  <c:v>7.1143781673900907E-3</c:v>
                </c:pt>
                <c:pt idx="28">
                  <c:v>7.9124695896004796E-3</c:v>
                </c:pt>
                <c:pt idx="29">
                  <c:v>1.3028659434781821E-2</c:v>
                </c:pt>
                <c:pt idx="30">
                  <c:v>9.2834001729704182E-3</c:v>
                </c:pt>
                <c:pt idx="31">
                  <c:v>1.3547214025455168E-2</c:v>
                </c:pt>
                <c:pt idx="32">
                  <c:v>3.0512479175992557E-3</c:v>
                </c:pt>
                <c:pt idx="33">
                  <c:v>3.4452629903616951E-3</c:v>
                </c:pt>
                <c:pt idx="34">
                  <c:v>1.1833171143843567E-2</c:v>
                </c:pt>
                <c:pt idx="35">
                  <c:v>9.1339035398886395E-3</c:v>
                </c:pt>
                <c:pt idx="36">
                  <c:v>3.2821462430047293E-3</c:v>
                </c:pt>
                <c:pt idx="37">
                  <c:v>6.7046143104992559E-4</c:v>
                </c:pt>
                <c:pt idx="38">
                  <c:v>1.1329210203004907E-2</c:v>
                </c:pt>
                <c:pt idx="39">
                  <c:v>5.4203490265761628E-3</c:v>
                </c:pt>
                <c:pt idx="40">
                  <c:v>7.7403112208180159E-4</c:v>
                </c:pt>
                <c:pt idx="41">
                  <c:v>3.5508562818512969E-3</c:v>
                </c:pt>
                <c:pt idx="42">
                  <c:v>6.3863894905474717E-3</c:v>
                </c:pt>
                <c:pt idx="43">
                  <c:v>1.489326760289573E-2</c:v>
                </c:pt>
                <c:pt idx="44">
                  <c:v>5.1712897893129986E-3</c:v>
                </c:pt>
                <c:pt idx="45">
                  <c:v>3.6969138439103127E-3</c:v>
                </c:pt>
                <c:pt idx="46">
                  <c:v>1.5091492465720033E-3</c:v>
                </c:pt>
                <c:pt idx="47">
                  <c:v>8.3339356660900518E-3</c:v>
                </c:pt>
                <c:pt idx="48">
                  <c:v>6.2743439717788327E-3</c:v>
                </c:pt>
                <c:pt idx="49">
                  <c:v>1.1232764524957714E-2</c:v>
                </c:pt>
                <c:pt idx="50">
                  <c:v>4.491262605282178E-5</c:v>
                </c:pt>
                <c:pt idx="51">
                  <c:v>3.0778834981024217E-3</c:v>
                </c:pt>
                <c:pt idx="52">
                  <c:v>1.4253362265079936E-2</c:v>
                </c:pt>
                <c:pt idx="53">
                  <c:v>6.7116838395244174E-3</c:v>
                </c:pt>
                <c:pt idx="54">
                  <c:v>1.2138107997435451E-3</c:v>
                </c:pt>
                <c:pt idx="55">
                  <c:v>5.01596355159354E-3</c:v>
                </c:pt>
                <c:pt idx="56">
                  <c:v>4.1948372377576173E-3</c:v>
                </c:pt>
                <c:pt idx="57">
                  <c:v>7.8668645704078576E-3</c:v>
                </c:pt>
                <c:pt idx="58">
                  <c:v>1.1806607389495823E-2</c:v>
                </c:pt>
                <c:pt idx="59">
                  <c:v>4.9200845298488895E-3</c:v>
                </c:pt>
                <c:pt idx="60">
                  <c:v>1.2553368379231031E-2</c:v>
                </c:pt>
                <c:pt idx="61">
                  <c:v>1.6365286908206669E-2</c:v>
                </c:pt>
                <c:pt idx="62">
                  <c:v>7.2303550772436229E-3</c:v>
                </c:pt>
                <c:pt idx="63">
                  <c:v>1.6655967504983382E-2</c:v>
                </c:pt>
                <c:pt idx="64">
                  <c:v>2.4930698496498115E-3</c:v>
                </c:pt>
                <c:pt idx="65">
                  <c:v>3.312566204552214E-3</c:v>
                </c:pt>
                <c:pt idx="66">
                  <c:v>1.0255280547101817E-2</c:v>
                </c:pt>
                <c:pt idx="67">
                  <c:v>#N/A</c:v>
                </c:pt>
                <c:pt idx="68">
                  <c:v>1.0551124073071313E-2</c:v>
                </c:pt>
                <c:pt idx="69">
                  <c:v>4.7613147601030404E-3</c:v>
                </c:pt>
                <c:pt idx="70">
                  <c:v>5.287909411815909E-3</c:v>
                </c:pt>
                <c:pt idx="71">
                  <c:v>2.3259635027980102E-3</c:v>
                </c:pt>
                <c:pt idx="72">
                  <c:v>1.2488993372570738E-2</c:v>
                </c:pt>
                <c:pt idx="73">
                  <c:v>7.5344160214376212E-3</c:v>
                </c:pt>
                <c:pt idx="74">
                  <c:v>1.1581646249685502E-2</c:v>
                </c:pt>
                <c:pt idx="75">
                  <c:v>4.1326565353995095E-4</c:v>
                </c:pt>
                <c:pt idx="76">
                  <c:v>1.3540859796571004E-2</c:v>
                </c:pt>
                <c:pt idx="77">
                  <c:v>7.5249278192088325E-3</c:v>
                </c:pt>
                <c:pt idx="78">
                  <c:v>#N/A</c:v>
                </c:pt>
                <c:pt idx="79">
                  <c:v>6.6756940881691935E-3</c:v>
                </c:pt>
                <c:pt idx="80">
                  <c:v>3.7841158485130777E-3</c:v>
                </c:pt>
                <c:pt idx="81">
                  <c:v>1.1953629711674249E-2</c:v>
                </c:pt>
                <c:pt idx="82">
                  <c:v>1.0863730284781299E-2</c:v>
                </c:pt>
                <c:pt idx="83">
                  <c:v>6.3265902810132457E-3</c:v>
                </c:pt>
                <c:pt idx="84">
                  <c:v>6.4289542644333153E-3</c:v>
                </c:pt>
                <c:pt idx="85">
                  <c:v>9.7977421216408692E-3</c:v>
                </c:pt>
                <c:pt idx="86">
                  <c:v>5.5929505243445096E-5</c:v>
                </c:pt>
                <c:pt idx="87">
                  <c:v>5.5627729935457792E-3</c:v>
                </c:pt>
                <c:pt idx="88">
                  <c:v>3.3210611432218473E-3</c:v>
                </c:pt>
                <c:pt idx="89">
                  <c:v>1.1773782779486968E-3</c:v>
                </c:pt>
                <c:pt idx="90">
                  <c:v>3.1549644854631342E-3</c:v>
                </c:pt>
                <c:pt idx="91">
                  <c:v>2.7020440699419726E-4</c:v>
                </c:pt>
                <c:pt idx="92">
                  <c:v>8.9623942535650043E-3</c:v>
                </c:pt>
                <c:pt idx="93">
                  <c:v>1.0189800561991334E-2</c:v>
                </c:pt>
                <c:pt idx="94">
                  <c:v>3.4297437966497577E-3</c:v>
                </c:pt>
                <c:pt idx="95">
                  <c:v>6.2135591158811281E-3</c:v>
                </c:pt>
                <c:pt idx="96">
                  <c:v>3.0045876894212423E-3</c:v>
                </c:pt>
                <c:pt idx="97">
                  <c:v>1.3240664519618014E-2</c:v>
                </c:pt>
                <c:pt idx="98">
                  <c:v>2.3089771705241502E-3</c:v>
                </c:pt>
                <c:pt idx="99">
                  <c:v>5.5982260157922004E-3</c:v>
                </c:pt>
                <c:pt idx="100">
                  <c:v>1.9957057103253116E-3</c:v>
                </c:pt>
                <c:pt idx="101">
                  <c:v>9.2031353914663085E-3</c:v>
                </c:pt>
                <c:pt idx="102">
                  <c:v>1.4168464857193282E-2</c:v>
                </c:pt>
                <c:pt idx="103">
                  <c:v>1.7319460998654859E-2</c:v>
                </c:pt>
                <c:pt idx="104">
                  <c:v>7.7666070797362515E-3</c:v>
                </c:pt>
                <c:pt idx="105">
                  <c:v>6.1628961836088748E-3</c:v>
                </c:pt>
                <c:pt idx="106">
                  <c:v>9.7196716555187825E-3</c:v>
                </c:pt>
                <c:pt idx="107">
                  <c:v>1.4692109272932557E-2</c:v>
                </c:pt>
                <c:pt idx="108">
                  <c:v>7.4554149283500614E-3</c:v>
                </c:pt>
                <c:pt idx="109">
                  <c:v>3.4404970592878249E-3</c:v>
                </c:pt>
                <c:pt idx="110">
                  <c:v>1.8296001950649044E-3</c:v>
                </c:pt>
                <c:pt idx="111">
                  <c:v>6.4054242411545345E-3</c:v>
                </c:pt>
                <c:pt idx="112">
                  <c:v>1.3500415881450048E-2</c:v>
                </c:pt>
                <c:pt idx="113">
                  <c:v>4.138210773912067E-4</c:v>
                </c:pt>
                <c:pt idx="114">
                  <c:v>2.1776505497244397E-3</c:v>
                </c:pt>
                <c:pt idx="115">
                  <c:v>4.9779758914368878E-3</c:v>
                </c:pt>
                <c:pt idx="116">
                  <c:v>3.4158997262360513E-4</c:v>
                </c:pt>
                <c:pt idx="117">
                  <c:v>6.9273813401995897E-3</c:v>
                </c:pt>
                <c:pt idx="118">
                  <c:v>5.9799065634633186E-3</c:v>
                </c:pt>
                <c:pt idx="119">
                  <c:v>5.9568537547533161E-3</c:v>
                </c:pt>
                <c:pt idx="120">
                  <c:v>4.9431504263249774E-3</c:v>
                </c:pt>
                <c:pt idx="121">
                  <c:v>1.3714942933002499E-2</c:v>
                </c:pt>
                <c:pt idx="122">
                  <c:v>1.4161973105067715E-2</c:v>
                </c:pt>
                <c:pt idx="123">
                  <c:v>1.5266926408229416E-2</c:v>
                </c:pt>
                <c:pt idx="124">
                  <c:v>4.7555240423835052E-3</c:v>
                </c:pt>
                <c:pt idx="125">
                  <c:v>1.2558554515258644E-2</c:v>
                </c:pt>
                <c:pt idx="126">
                  <c:v>2.8911208441120216E-4</c:v>
                </c:pt>
                <c:pt idx="127">
                  <c:v>1.9369482454700989E-4</c:v>
                </c:pt>
                <c:pt idx="128">
                  <c:v>4.1018718375885098E-3</c:v>
                </c:pt>
                <c:pt idx="129">
                  <c:v>9.9310850664808374E-3</c:v>
                </c:pt>
                <c:pt idx="130">
                  <c:v>1.1198523727991145E-2</c:v>
                </c:pt>
                <c:pt idx="131">
                  <c:v>7.1549952840407492E-4</c:v>
                </c:pt>
                <c:pt idx="132">
                  <c:v>1.1630906628741708E-2</c:v>
                </c:pt>
                <c:pt idx="133">
                  <c:v>8.3013068733182194E-3</c:v>
                </c:pt>
                <c:pt idx="134">
                  <c:v>8.8945513866770763E-3</c:v>
                </c:pt>
                <c:pt idx="135">
                  <c:v>1.2044121809539331E-2</c:v>
                </c:pt>
                <c:pt idx="136">
                  <c:v>9.8153167900938802E-3</c:v>
                </c:pt>
                <c:pt idx="137">
                  <c:v>5.0871661093002864E-3</c:v>
                </c:pt>
                <c:pt idx="138">
                  <c:v>5.8317132614841422E-3</c:v>
                </c:pt>
                <c:pt idx="139">
                  <c:v>7.6154410153596377E-3</c:v>
                </c:pt>
                <c:pt idx="140">
                  <c:v>5.2084553416452935E-3</c:v>
                </c:pt>
                <c:pt idx="141">
                  <c:v>6.1417796459298886E-3</c:v>
                </c:pt>
                <c:pt idx="142">
                  <c:v>6.0047773955548868E-3</c:v>
                </c:pt>
                <c:pt idx="143">
                  <c:v>2.267605316753261E-3</c:v>
                </c:pt>
                <c:pt idx="144">
                  <c:v>5.1793903361143047E-3</c:v>
                </c:pt>
                <c:pt idx="145">
                  <c:v>7.0585313527719209E-3</c:v>
                </c:pt>
                <c:pt idx="146">
                  <c:v>1.8594708609379902E-2</c:v>
                </c:pt>
                <c:pt idx="147">
                  <c:v>1.1319781035787155E-2</c:v>
                </c:pt>
                <c:pt idx="148">
                  <c:v>3.6538095611954785E-4</c:v>
                </c:pt>
                <c:pt idx="149">
                  <c:v>8.5698702210331816E-3</c:v>
                </c:pt>
                <c:pt idx="150">
                  <c:v>1.7197611704204577E-4</c:v>
                </c:pt>
                <c:pt idx="151">
                  <c:v>6.8357748423758099E-3</c:v>
                </c:pt>
                <c:pt idx="152">
                  <c:v>6.1755819867802455E-3</c:v>
                </c:pt>
                <c:pt idx="153">
                  <c:v>1.3317700784613341E-2</c:v>
                </c:pt>
                <c:pt idx="154">
                  <c:v>#N/A</c:v>
                </c:pt>
                <c:pt idx="155">
                  <c:v>5.582682715458625E-5</c:v>
                </c:pt>
                <c:pt idx="156">
                  <c:v>6.9062277593760031E-4</c:v>
                </c:pt>
                <c:pt idx="157">
                  <c:v>1.8485040311397544E-2</c:v>
                </c:pt>
                <c:pt idx="158">
                  <c:v>1.6429514445783253E-2</c:v>
                </c:pt>
                <c:pt idx="159">
                  <c:v>9.7592040918947302E-3</c:v>
                </c:pt>
                <c:pt idx="160">
                  <c:v>4.3701117342926947E-3</c:v>
                </c:pt>
                <c:pt idx="161">
                  <c:v>1.1280571509096719E-3</c:v>
                </c:pt>
                <c:pt idx="162">
                  <c:v>#N/A</c:v>
                </c:pt>
                <c:pt idx="163">
                  <c:v>9.1581991910352645E-3</c:v>
                </c:pt>
                <c:pt idx="164">
                  <c:v>6.6162972868867072E-3</c:v>
                </c:pt>
                <c:pt idx="165">
                  <c:v>1.3538920503924025E-2</c:v>
                </c:pt>
                <c:pt idx="166">
                  <c:v>1.5769317604073855E-2</c:v>
                </c:pt>
                <c:pt idx="167">
                  <c:v>1.5250600582846947E-2</c:v>
                </c:pt>
                <c:pt idx="168">
                  <c:v>1.2500540278868827E-2</c:v>
                </c:pt>
                <c:pt idx="169">
                  <c:v>5.7783143899768968E-3</c:v>
                </c:pt>
                <c:pt idx="170">
                  <c:v>1.4424924290474189E-2</c:v>
                </c:pt>
                <c:pt idx="171">
                  <c:v>1.0447255728882027E-2</c:v>
                </c:pt>
                <c:pt idx="172">
                  <c:v>4.656645280043171E-3</c:v>
                </c:pt>
                <c:pt idx="173">
                  <c:v>1.5589225231540936E-2</c:v>
                </c:pt>
                <c:pt idx="174">
                  <c:v>1.4464342388913257E-3</c:v>
                </c:pt>
                <c:pt idx="175">
                  <c:v>9.6068873537148158E-3</c:v>
                </c:pt>
                <c:pt idx="176">
                  <c:v>1.6705967379962498E-2</c:v>
                </c:pt>
                <c:pt idx="177">
                  <c:v>7.0721695200410221E-3</c:v>
                </c:pt>
                <c:pt idx="178">
                  <c:v>8.3870379867169043E-3</c:v>
                </c:pt>
                <c:pt idx="179">
                  <c:v>4.6239808528383483E-3</c:v>
                </c:pt>
                <c:pt idx="180">
                  <c:v>9.4751782723706615E-3</c:v>
                </c:pt>
                <c:pt idx="181">
                  <c:v>1.3112918390170637E-2</c:v>
                </c:pt>
                <c:pt idx="182">
                  <c:v>3.178021016808506E-3</c:v>
                </c:pt>
                <c:pt idx="183">
                  <c:v>1.0836398470415066E-3</c:v>
                </c:pt>
                <c:pt idx="184">
                  <c:v>8.5157128808768575E-3</c:v>
                </c:pt>
                <c:pt idx="185">
                  <c:v>4.1469903878091014E-3</c:v>
                </c:pt>
                <c:pt idx="186">
                  <c:v>7.4913016696839868E-3</c:v>
                </c:pt>
                <c:pt idx="187">
                  <c:v>6.0049415389372277E-4</c:v>
                </c:pt>
                <c:pt idx="188">
                  <c:v>3.0749121760311289E-3</c:v>
                </c:pt>
                <c:pt idx="189">
                  <c:v>2.9440520856464981E-3</c:v>
                </c:pt>
                <c:pt idx="190">
                  <c:v>5.0627428309636653E-3</c:v>
                </c:pt>
                <c:pt idx="191">
                  <c:v>1.6818095006897307E-2</c:v>
                </c:pt>
                <c:pt idx="192">
                  <c:v>4.7045126379298245E-3</c:v>
                </c:pt>
                <c:pt idx="193">
                  <c:v>6.1499365085435987E-3</c:v>
                </c:pt>
                <c:pt idx="194">
                  <c:v>#N/A</c:v>
                </c:pt>
                <c:pt idx="195">
                  <c:v>1.0759812446864945E-2</c:v>
                </c:pt>
                <c:pt idx="196">
                  <c:v>4.2514297520927702E-3</c:v>
                </c:pt>
                <c:pt idx="197">
                  <c:v>1.7728423298912353E-2</c:v>
                </c:pt>
                <c:pt idx="198">
                  <c:v>1.6367266615872468E-3</c:v>
                </c:pt>
                <c:pt idx="199">
                  <c:v>1.4603278229996007E-2</c:v>
                </c:pt>
                <c:pt idx="200">
                  <c:v>6.3310146876431285E-3</c:v>
                </c:pt>
                <c:pt idx="201">
                  <c:v>6.2533092589250553E-3</c:v>
                </c:pt>
                <c:pt idx="202">
                  <c:v>1.2304962764308612E-2</c:v>
                </c:pt>
                <c:pt idx="203">
                  <c:v>1.4073817622842008E-2</c:v>
                </c:pt>
                <c:pt idx="204">
                  <c:v>1.6925947749776692E-3</c:v>
                </c:pt>
                <c:pt idx="205">
                  <c:v>1.5914136916868785E-4</c:v>
                </c:pt>
                <c:pt idx="206">
                  <c:v>8.6386011414657324E-3</c:v>
                </c:pt>
                <c:pt idx="207">
                  <c:v>3.8055761514633173E-3</c:v>
                </c:pt>
                <c:pt idx="208">
                  <c:v>1.1079804316754307E-2</c:v>
                </c:pt>
                <c:pt idx="209">
                  <c:v>2.0257646548100575E-3</c:v>
                </c:pt>
                <c:pt idx="210">
                  <c:v>7.480330655775776E-3</c:v>
                </c:pt>
                <c:pt idx="211">
                  <c:v>1.7858165816188765E-2</c:v>
                </c:pt>
                <c:pt idx="212">
                  <c:v>#N/A</c:v>
                </c:pt>
                <c:pt idx="213">
                  <c:v>#N/A</c:v>
                </c:pt>
                <c:pt idx="214">
                  <c:v>9.381931092276112E-5</c:v>
                </c:pt>
                <c:pt idx="215">
                  <c:v>6.0913849906180191E-3</c:v>
                </c:pt>
                <c:pt idx="216">
                  <c:v>1.3739668809680068E-2</c:v>
                </c:pt>
                <c:pt idx="217">
                  <c:v>#N/A</c:v>
                </c:pt>
                <c:pt idx="218">
                  <c:v>5.5100849337506004E-3</c:v>
                </c:pt>
                <c:pt idx="219">
                  <c:v>1.5658583652999478E-2</c:v>
                </c:pt>
                <c:pt idx="220">
                  <c:v>1.6749274757703891E-2</c:v>
                </c:pt>
                <c:pt idx="221">
                  <c:v>7.9752178791432735E-3</c:v>
                </c:pt>
                <c:pt idx="222">
                  <c:v>1.1726984047016082E-3</c:v>
                </c:pt>
                <c:pt idx="223">
                  <c:v>3.438416786022747E-3</c:v>
                </c:pt>
                <c:pt idx="224">
                  <c:v>1.1983999556305353E-2</c:v>
                </c:pt>
                <c:pt idx="225">
                  <c:v>3.9415565572002102E-3</c:v>
                </c:pt>
                <c:pt idx="226">
                  <c:v>8.9496254423411387E-3</c:v>
                </c:pt>
                <c:pt idx="227">
                  <c:v>4.5708519437947116E-3</c:v>
                </c:pt>
                <c:pt idx="228">
                  <c:v>#N/A</c:v>
                </c:pt>
                <c:pt idx="229">
                  <c:v>4.855180441147279E-3</c:v>
                </c:pt>
                <c:pt idx="230">
                  <c:v>7.7581801104161675E-3</c:v>
                </c:pt>
                <c:pt idx="231">
                  <c:v>1.1133544790044966E-2</c:v>
                </c:pt>
                <c:pt idx="232">
                  <c:v>3.6250261913920597E-3</c:v>
                </c:pt>
                <c:pt idx="233">
                  <c:v>1.3903990826124688E-3</c:v>
                </c:pt>
                <c:pt idx="234">
                  <c:v>1.3142474188919933E-2</c:v>
                </c:pt>
                <c:pt idx="235">
                  <c:v>5.5211620837528142E-3</c:v>
                </c:pt>
                <c:pt idx="236">
                  <c:v>5.6683545697439903E-3</c:v>
                </c:pt>
                <c:pt idx="237">
                  <c:v>3.8455118896914987E-3</c:v>
                </c:pt>
                <c:pt idx="238">
                  <c:v>7.5589600314877872E-3</c:v>
                </c:pt>
                <c:pt idx="239">
                  <c:v>1.9429943043771994E-3</c:v>
                </c:pt>
                <c:pt idx="240">
                  <c:v>6.5960797485834777E-3</c:v>
                </c:pt>
                <c:pt idx="241">
                  <c:v>9.2632769105414018E-3</c:v>
                </c:pt>
                <c:pt idx="242">
                  <c:v>2.1616593809750391E-3</c:v>
                </c:pt>
                <c:pt idx="243">
                  <c:v>3.3192770696872458E-3</c:v>
                </c:pt>
                <c:pt idx="244">
                  <c:v>1.1640456904638422E-2</c:v>
                </c:pt>
                <c:pt idx="245">
                  <c:v>4.1870485274076444E-4</c:v>
                </c:pt>
                <c:pt idx="246">
                  <c:v>2.6929553544531404E-3</c:v>
                </c:pt>
                <c:pt idx="247">
                  <c:v>8.6899800569473738E-3</c:v>
                </c:pt>
                <c:pt idx="248">
                  <c:v>7.7566526236516513E-3</c:v>
                </c:pt>
                <c:pt idx="249">
                  <c:v>3.804680478263333E-3</c:v>
                </c:pt>
                <c:pt idx="250">
                  <c:v>5.4070035602965375E-4</c:v>
                </c:pt>
                <c:pt idx="251">
                  <c:v>8.9908745343994251E-4</c:v>
                </c:pt>
                <c:pt idx="252">
                  <c:v>6.2400014665868761E-3</c:v>
                </c:pt>
                <c:pt idx="253">
                  <c:v>3.7107482121494905E-3</c:v>
                </c:pt>
                <c:pt idx="254">
                  <c:v>6.9679107472400154E-3</c:v>
                </c:pt>
                <c:pt idx="255">
                  <c:v>1.5656359459837212E-2</c:v>
                </c:pt>
                <c:pt idx="256">
                  <c:v>1.9718356254742431E-4</c:v>
                </c:pt>
                <c:pt idx="257">
                  <c:v>3.6858089650197152E-3</c:v>
                </c:pt>
                <c:pt idx="258">
                  <c:v>7.3888953578659855E-3</c:v>
                </c:pt>
                <c:pt idx="259">
                  <c:v>5.0831538775132261E-3</c:v>
                </c:pt>
                <c:pt idx="260">
                  <c:v>8.3880025798348089E-3</c:v>
                </c:pt>
                <c:pt idx="261">
                  <c:v>1.3885021160492392E-3</c:v>
                </c:pt>
                <c:pt idx="262">
                  <c:v>6.5670325517157438E-3</c:v>
                </c:pt>
                <c:pt idx="263">
                  <c:v>1.3303464605249725E-2</c:v>
                </c:pt>
                <c:pt idx="264">
                  <c:v>4.9046010348191074E-3</c:v>
                </c:pt>
                <c:pt idx="265">
                  <c:v>3.1180005007875617E-3</c:v>
                </c:pt>
                <c:pt idx="266">
                  <c:v>4.0030965306762402E-3</c:v>
                </c:pt>
                <c:pt idx="267">
                  <c:v>7.5526874351224257E-4</c:v>
                </c:pt>
                <c:pt idx="268">
                  <c:v>1.160616742660043E-4</c:v>
                </c:pt>
                <c:pt idx="269">
                  <c:v>1.272977110889867E-2</c:v>
                </c:pt>
                <c:pt idx="270">
                  <c:v>1.014430681988837E-2</c:v>
                </c:pt>
                <c:pt idx="271">
                  <c:v>#N/A</c:v>
                </c:pt>
                <c:pt idx="272">
                  <c:v>7.2990676628640477E-3</c:v>
                </c:pt>
                <c:pt idx="273">
                  <c:v>1.6098741865804174E-3</c:v>
                </c:pt>
                <c:pt idx="274">
                  <c:v>1.0641581444002504E-2</c:v>
                </c:pt>
                <c:pt idx="275">
                  <c:v>8.7516621948401079E-3</c:v>
                </c:pt>
                <c:pt idx="276">
                  <c:v>1.1080907152715238E-3</c:v>
                </c:pt>
                <c:pt idx="277">
                  <c:v>1.2676232559357231E-2</c:v>
                </c:pt>
                <c:pt idx="278">
                  <c:v>#N/A</c:v>
                </c:pt>
                <c:pt idx="279">
                  <c:v>2.9020367327129391E-3</c:v>
                </c:pt>
                <c:pt idx="280">
                  <c:v>2.8733752549984365E-3</c:v>
                </c:pt>
                <c:pt idx="281">
                  <c:v>3.4290113544851192E-3</c:v>
                </c:pt>
                <c:pt idx="282">
                  <c:v>1.8813864650618457E-3</c:v>
                </c:pt>
                <c:pt idx="283">
                  <c:v>5.9013227435732443E-3</c:v>
                </c:pt>
                <c:pt idx="284">
                  <c:v>1.0214950555812801E-3</c:v>
                </c:pt>
                <c:pt idx="285">
                  <c:v>6.9080494077009323E-3</c:v>
                </c:pt>
                <c:pt idx="286">
                  <c:v>1.5584044376317526E-2</c:v>
                </c:pt>
                <c:pt idx="287">
                  <c:v>1.3359127665003598E-3</c:v>
                </c:pt>
                <c:pt idx="288">
                  <c:v>8.7692157114155986E-3</c:v>
                </c:pt>
                <c:pt idx="289">
                  <c:v>#N/A</c:v>
                </c:pt>
                <c:pt idx="290">
                  <c:v>2.0591014437487442E-3</c:v>
                </c:pt>
                <c:pt idx="291">
                  <c:v>1.6101325333593462E-2</c:v>
                </c:pt>
                <c:pt idx="292">
                  <c:v>1.7374162222775383E-2</c:v>
                </c:pt>
                <c:pt idx="293">
                  <c:v>5.3173202309049197E-3</c:v>
                </c:pt>
                <c:pt idx="294">
                  <c:v>9.1850631937347386E-3</c:v>
                </c:pt>
                <c:pt idx="295">
                  <c:v>4.3090770416972851E-3</c:v>
                </c:pt>
                <c:pt idx="296">
                  <c:v>2.5873044717328727E-3</c:v>
                </c:pt>
                <c:pt idx="297">
                  <c:v>1.3068673298177096E-3</c:v>
                </c:pt>
                <c:pt idx="298">
                  <c:v>1.1331203936432924E-2</c:v>
                </c:pt>
                <c:pt idx="299">
                  <c:v>6.9018711405436309E-3</c:v>
                </c:pt>
                <c:pt idx="300">
                  <c:v>7.3750091591626133E-4</c:v>
                </c:pt>
                <c:pt idx="301">
                  <c:v>1.3930522709235392E-2</c:v>
                </c:pt>
                <c:pt idx="302">
                  <c:v>5.1580394571836595E-3</c:v>
                </c:pt>
                <c:pt idx="303">
                  <c:v>9.1999494325389636E-3</c:v>
                </c:pt>
                <c:pt idx="304">
                  <c:v>9.0862341734692896E-3</c:v>
                </c:pt>
                <c:pt idx="305">
                  <c:v>1.6785937369648223E-2</c:v>
                </c:pt>
                <c:pt idx="306">
                  <c:v>1.4344997901576211E-2</c:v>
                </c:pt>
                <c:pt idx="307">
                  <c:v>1.0456764569455487E-2</c:v>
                </c:pt>
                <c:pt idx="308">
                  <c:v>1.6828491854756892E-3</c:v>
                </c:pt>
                <c:pt idx="309">
                  <c:v>6.7243511204017952E-3</c:v>
                </c:pt>
                <c:pt idx="310">
                  <c:v>6.7938710718357803E-3</c:v>
                </c:pt>
                <c:pt idx="311">
                  <c:v>1.3610920350141295E-2</c:v>
                </c:pt>
                <c:pt idx="312">
                  <c:v>8.4787599411982797E-3</c:v>
                </c:pt>
                <c:pt idx="313">
                  <c:v>3.4050107756793853E-3</c:v>
                </c:pt>
                <c:pt idx="314">
                  <c:v>1.6807766166694729E-2</c:v>
                </c:pt>
                <c:pt idx="315">
                  <c:v>4.9365168918596115E-3</c:v>
                </c:pt>
                <c:pt idx="316">
                  <c:v>9.5341944189897005E-4</c:v>
                </c:pt>
                <c:pt idx="317">
                  <c:v>4.243635464328788E-3</c:v>
                </c:pt>
                <c:pt idx="318">
                  <c:v>#N/A</c:v>
                </c:pt>
                <c:pt idx="319">
                  <c:v>4.0019245639031139E-3</c:v>
                </c:pt>
                <c:pt idx="320">
                  <c:v>5.4464468993363404E-3</c:v>
                </c:pt>
                <c:pt idx="321">
                  <c:v>2.6967268347432275E-4</c:v>
                </c:pt>
                <c:pt idx="322">
                  <c:v>#N/A</c:v>
                </c:pt>
                <c:pt idx="323">
                  <c:v>1.008169538469735E-2</c:v>
                </c:pt>
                <c:pt idx="324">
                  <c:v>1.1832669743640788E-2</c:v>
                </c:pt>
                <c:pt idx="325">
                  <c:v>3.8596555572969465E-3</c:v>
                </c:pt>
                <c:pt idx="326">
                  <c:v>8.5039014299335223E-3</c:v>
                </c:pt>
                <c:pt idx="327">
                  <c:v>1.4431638812050071E-2</c:v>
                </c:pt>
                <c:pt idx="328">
                  <c:v>1.058795194178953E-2</c:v>
                </c:pt>
                <c:pt idx="329">
                  <c:v>#N/A</c:v>
                </c:pt>
                <c:pt idx="330">
                  <c:v>1.6335715865148962E-3</c:v>
                </c:pt>
                <c:pt idx="331">
                  <c:v>6.2333075456147214E-3</c:v>
                </c:pt>
                <c:pt idx="332">
                  <c:v>4.6277100186867468E-3</c:v>
                </c:pt>
                <c:pt idx="333">
                  <c:v>2.475818825628365E-3</c:v>
                </c:pt>
                <c:pt idx="334">
                  <c:v>1.4317007213324377E-3</c:v>
                </c:pt>
                <c:pt idx="335">
                  <c:v>5.1418052759437515E-3</c:v>
                </c:pt>
                <c:pt idx="336">
                  <c:v>#N/A</c:v>
                </c:pt>
                <c:pt idx="337">
                  <c:v>1.1017887765738544E-2</c:v>
                </c:pt>
                <c:pt idx="338">
                  <c:v>8.2163628314165429E-3</c:v>
                </c:pt>
                <c:pt idx="339">
                  <c:v>6.3993227628480337E-3</c:v>
                </c:pt>
                <c:pt idx="340">
                  <c:v>2.47044218175316E-3</c:v>
                </c:pt>
                <c:pt idx="341">
                  <c:v>1.3528732378122381E-2</c:v>
                </c:pt>
                <c:pt idx="342">
                  <c:v>2.7436556721878642E-3</c:v>
                </c:pt>
                <c:pt idx="343">
                  <c:v>1.0529583728735553E-2</c:v>
                </c:pt>
                <c:pt idx="344">
                  <c:v>7.5820216257592738E-3</c:v>
                </c:pt>
                <c:pt idx="345">
                  <c:v>1.3217616540510155E-4</c:v>
                </c:pt>
                <c:pt idx="346">
                  <c:v>#N/A</c:v>
                </c:pt>
                <c:pt idx="347">
                  <c:v>2.0759554473045731E-3</c:v>
                </c:pt>
                <c:pt idx="348">
                  <c:v>7.086009700804482E-3</c:v>
                </c:pt>
                <c:pt idx="349">
                  <c:v>4.7285673177624183E-3</c:v>
                </c:pt>
                <c:pt idx="350">
                  <c:v>7.694154047468562E-3</c:v>
                </c:pt>
                <c:pt idx="351">
                  <c:v>7.0739849277027533E-3</c:v>
                </c:pt>
                <c:pt idx="352">
                  <c:v>4.1663656087961706E-3</c:v>
                </c:pt>
                <c:pt idx="353">
                  <c:v>5.9939742546393036E-3</c:v>
                </c:pt>
                <c:pt idx="354">
                  <c:v>1.7037590683689291E-2</c:v>
                </c:pt>
                <c:pt idx="355">
                  <c:v>9.7631111064714719E-3</c:v>
                </c:pt>
                <c:pt idx="356">
                  <c:v>9.5150618990535382E-3</c:v>
                </c:pt>
                <c:pt idx="357">
                  <c:v>2.1253556255144729E-3</c:v>
                </c:pt>
                <c:pt idx="358">
                  <c:v>1.4981204419828019E-2</c:v>
                </c:pt>
                <c:pt idx="359">
                  <c:v>7.4597605926972118E-3</c:v>
                </c:pt>
                <c:pt idx="360">
                  <c:v>7.6654806585961721E-3</c:v>
                </c:pt>
                <c:pt idx="361">
                  <c:v>1.0448503565242084E-2</c:v>
                </c:pt>
                <c:pt idx="362">
                  <c:v>9.3396021974459439E-3</c:v>
                </c:pt>
                <c:pt idx="363">
                  <c:v>6.1228297342990927E-3</c:v>
                </c:pt>
                <c:pt idx="364">
                  <c:v>4.3631771883261413E-3</c:v>
                </c:pt>
                <c:pt idx="365">
                  <c:v>1.0477980844137142E-2</c:v>
                </c:pt>
                <c:pt idx="366">
                  <c:v>7.2235344263783078E-5</c:v>
                </c:pt>
                <c:pt idx="367">
                  <c:v>1.9051690062787358E-2</c:v>
                </c:pt>
                <c:pt idx="368">
                  <c:v>9.0978216089043391E-3</c:v>
                </c:pt>
                <c:pt idx="369">
                  <c:v>#N/A</c:v>
                </c:pt>
                <c:pt idx="370">
                  <c:v>1.3575479205217087E-3</c:v>
                </c:pt>
                <c:pt idx="371">
                  <c:v>1.1502890629406246E-3</c:v>
                </c:pt>
                <c:pt idx="372">
                  <c:v>6.7630002571435442E-3</c:v>
                </c:pt>
                <c:pt idx="373">
                  <c:v>1.6047376489758409E-3</c:v>
                </c:pt>
                <c:pt idx="374">
                  <c:v>2.3743201486384866E-3</c:v>
                </c:pt>
                <c:pt idx="375">
                  <c:v>1.7299816000312721E-2</c:v>
                </c:pt>
                <c:pt idx="376">
                  <c:v>#N/A</c:v>
                </c:pt>
                <c:pt idx="377">
                  <c:v>1.3534502954373117E-3</c:v>
                </c:pt>
                <c:pt idx="378">
                  <c:v>2.8003703545058422E-3</c:v>
                </c:pt>
                <c:pt idx="379">
                  <c:v>1.6294636030868694E-2</c:v>
                </c:pt>
                <c:pt idx="380">
                  <c:v>#N/A</c:v>
                </c:pt>
                <c:pt idx="381">
                  <c:v>9.2624412435985334E-3</c:v>
                </c:pt>
                <c:pt idx="382">
                  <c:v>8.8649365152124251E-3</c:v>
                </c:pt>
                <c:pt idx="383">
                  <c:v>2.7367915579681805E-3</c:v>
                </c:pt>
                <c:pt idx="384">
                  <c:v>7.2974217464524078E-3</c:v>
                </c:pt>
                <c:pt idx="385">
                  <c:v>2.2693916788240004E-3</c:v>
                </c:pt>
                <c:pt idx="386">
                  <c:v>1.6082372852088227E-2</c:v>
                </c:pt>
                <c:pt idx="387">
                  <c:v>3.4378466508954496E-3</c:v>
                </c:pt>
                <c:pt idx="388">
                  <c:v>1.9126987910710894E-2</c:v>
                </c:pt>
                <c:pt idx="389">
                  <c:v>1.164908154343546E-2</c:v>
                </c:pt>
                <c:pt idx="390">
                  <c:v>2.9252697603176212E-4</c:v>
                </c:pt>
                <c:pt idx="391">
                  <c:v>2.4232436182196975E-3</c:v>
                </c:pt>
                <c:pt idx="392">
                  <c:v>1.5735886125853468E-2</c:v>
                </c:pt>
                <c:pt idx="393">
                  <c:v>1.1418762117050552E-4</c:v>
                </c:pt>
                <c:pt idx="394">
                  <c:v>3.2858468059499182E-3</c:v>
                </c:pt>
                <c:pt idx="395">
                  <c:v>4.4849024924730491E-3</c:v>
                </c:pt>
                <c:pt idx="396">
                  <c:v>4.9383087959461343E-3</c:v>
                </c:pt>
                <c:pt idx="397">
                  <c:v>1.0278363229338291E-3</c:v>
                </c:pt>
                <c:pt idx="398">
                  <c:v>7.7619061163034884E-3</c:v>
                </c:pt>
                <c:pt idx="399">
                  <c:v>5.9406754319490957E-3</c:v>
                </c:pt>
              </c:numCache>
            </c:numRef>
          </c:yVal>
        </c:ser>
        <c:ser>
          <c:idx val="0"/>
          <c:order val="4"/>
          <c:spPr>
            <a:ln w="28575">
              <a:noFill/>
            </a:ln>
          </c:spPr>
          <c:marker>
            <c:symbol val="none"/>
          </c:marker>
          <c:errBars>
            <c:errDir val="y"/>
            <c:errBarType val="plus"/>
            <c:errValType val="cust"/>
            <c:noEndCap val="1"/>
            <c:plus>
              <c:numRef>
                <c:f>CIjumping!$BZ$3</c:f>
                <c:numCache>
                  <c:formatCode>General</c:formatCode>
                  <c:ptCount val="1"/>
                  <c:pt idx="0">
                    <c:v>1.9947114020071634E-2</c:v>
                  </c:pt>
                </c:numCache>
              </c:numRef>
            </c:plus>
            <c:spPr>
              <a:ln w="12700">
                <a:solidFill>
                  <a:srgbClr val="000000"/>
                </a:solidFill>
                <a:prstDash val="solid"/>
              </a:ln>
            </c:spPr>
          </c:errBars>
          <c:xVal>
            <c:numRef>
              <c:f>CIjumping!$BZ$9</c:f>
              <c:numCache>
                <c:formatCode>General</c:formatCode>
                <c:ptCount val="1"/>
                <c:pt idx="0">
                  <c:v>#N/A</c:v>
                </c:pt>
              </c:numCache>
            </c:numRef>
          </c:xVal>
          <c:yVal>
            <c:numRef>
              <c:f>CIjumping!$CA$9</c:f>
              <c:numCache>
                <c:formatCode>General</c:formatCode>
                <c:ptCount val="1"/>
                <c:pt idx="0">
                  <c:v>0</c:v>
                </c:pt>
              </c:numCache>
            </c:numRef>
          </c:yVal>
        </c:ser>
        <c:ser>
          <c:idx val="2"/>
          <c:order val="5"/>
          <c:spPr>
            <a:ln w="28575">
              <a:noFill/>
            </a:ln>
          </c:spPr>
          <c:marker>
            <c:symbol val="none"/>
          </c:marker>
          <c:errBars>
            <c:errDir val="y"/>
            <c:errBarType val="plus"/>
            <c:errValType val="cust"/>
            <c:noEndCap val="1"/>
            <c:plus>
              <c:numRef>
                <c:f>CIjumping!$BZ$3</c:f>
                <c:numCache>
                  <c:formatCode>General</c:formatCode>
                  <c:ptCount val="1"/>
                  <c:pt idx="0">
                    <c:v>1.9947114020071634E-2</c:v>
                  </c:pt>
                </c:numCache>
              </c:numRef>
            </c:plus>
            <c:spPr>
              <a:ln w="12700">
                <a:pattFill prst="pct50">
                  <a:fgClr>
                    <a:srgbClr val="0000FF"/>
                  </a:fgClr>
                  <a:bgClr>
                    <a:srgbClr val="FFFFFF"/>
                  </a:bgClr>
                </a:pattFill>
                <a:prstDash val="solid"/>
              </a:ln>
            </c:spPr>
          </c:errBars>
          <c:xVal>
            <c:numRef>
              <c:f>CIjumping!$CC$45:$CC$54</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CIjumping!$CD$45:$CD$54</c:f>
              <c:numCache>
                <c:formatCode>General</c:formatCode>
                <c:ptCount val="10"/>
                <c:pt idx="0">
                  <c:v>0</c:v>
                </c:pt>
                <c:pt idx="1">
                  <c:v>0</c:v>
                </c:pt>
                <c:pt idx="2">
                  <c:v>0</c:v>
                </c:pt>
                <c:pt idx="3">
                  <c:v>0</c:v>
                </c:pt>
                <c:pt idx="4">
                  <c:v>0</c:v>
                </c:pt>
                <c:pt idx="5">
                  <c:v>0</c:v>
                </c:pt>
                <c:pt idx="6">
                  <c:v>0</c:v>
                </c:pt>
                <c:pt idx="7">
                  <c:v>0</c:v>
                </c:pt>
                <c:pt idx="8">
                  <c:v>0</c:v>
                </c:pt>
                <c:pt idx="9">
                  <c:v>0</c:v>
                </c:pt>
              </c:numCache>
            </c:numRef>
          </c:yVal>
        </c:ser>
        <c:ser>
          <c:idx val="1"/>
          <c:order val="6"/>
          <c:tx>
            <c:strRef>
              <c:f>CIjumping!$BZ$41</c:f>
              <c:strCache>
                <c:ptCount val="1"/>
                <c:pt idx="0">
                  <c:v>Pop'n ordinate</c:v>
                </c:pt>
              </c:strCache>
            </c:strRef>
          </c:tx>
          <c:spPr>
            <a:ln w="25400">
              <a:solidFill>
                <a:srgbClr val="0000FF"/>
              </a:solidFill>
              <a:prstDash val="solid"/>
            </a:ln>
          </c:spPr>
          <c:marker>
            <c:symbol val="none"/>
          </c:marker>
          <c:xVal>
            <c:numRef>
              <c:f>CIjumping!$BY$42:$BY$1042</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xVal>
          <c:yVal>
            <c:numRef>
              <c:f>CIjumping!$BZ$42:$BZ$1042</c:f>
              <c:numCache>
                <c:formatCode>General</c:formatCode>
                <c:ptCount val="1001"/>
                <c:pt idx="0">
                  <c:v>8.7641502467842691E-4</c:v>
                </c:pt>
                <c:pt idx="1">
                  <c:v>8.8742787567805187E-4</c:v>
                </c:pt>
                <c:pt idx="2">
                  <c:v>8.9855664770198233E-4</c:v>
                </c:pt>
                <c:pt idx="3">
                  <c:v>9.0980223453496298E-4</c:v>
                </c:pt>
                <c:pt idx="4">
                  <c:v>9.2116553234310172E-4</c:v>
                </c:pt>
                <c:pt idx="5">
                  <c:v>9.3264743961349512E-4</c:v>
                </c:pt>
                <c:pt idx="6">
                  <c:v>9.442488570928088E-4</c:v>
                </c:pt>
                <c:pt idx="7">
                  <c:v>9.559706877248108E-4</c:v>
                </c:pt>
                <c:pt idx="8">
                  <c:v>9.6781383658684763E-4</c:v>
                </c:pt>
                <c:pt idx="9">
                  <c:v>9.7977921082526595E-4</c:v>
                </c:pt>
                <c:pt idx="10">
                  <c:v>9.9186771958976582E-4</c:v>
                </c:pt>
                <c:pt idx="11">
                  <c:v>1.004080273966699E-3</c:v>
                </c:pt>
                <c:pt idx="12">
                  <c:v>1.0164177869112923E-3</c:v>
                </c:pt>
                <c:pt idx="13">
                  <c:v>1.0288811731788037E-3</c:v>
                </c:pt>
                <c:pt idx="14">
                  <c:v>1.0414713492546092E-3</c:v>
                </c:pt>
                <c:pt idx="15">
                  <c:v>1.0541892332832053E-3</c:v>
                </c:pt>
                <c:pt idx="16">
                  <c:v>1.067035744996139E-3</c:v>
                </c:pt>
                <c:pt idx="17">
                  <c:v>1.0800118056388569E-3</c:v>
                </c:pt>
                <c:pt idx="18">
                  <c:v>1.0931183378964692E-3</c:v>
                </c:pt>
                <c:pt idx="19">
                  <c:v>1.1063562658184332E-3</c:v>
                </c:pt>
                <c:pt idx="20">
                  <c:v>1.1197265147421449E-3</c:v>
                </c:pt>
                <c:pt idx="21">
                  <c:v>1.1332300112154444E-3</c:v>
                </c:pt>
                <c:pt idx="22">
                  <c:v>1.146867682918035E-3</c:v>
                </c:pt>
                <c:pt idx="23">
                  <c:v>1.1606404585818057E-3</c:v>
                </c:pt>
                <c:pt idx="24">
                  <c:v>1.1745492679100676E-3</c:v>
                </c:pt>
                <c:pt idx="25">
                  <c:v>1.1885950414956901E-3</c:v>
                </c:pt>
                <c:pt idx="26">
                  <c:v>1.2027787107381489E-3</c:v>
                </c:pt>
                <c:pt idx="27">
                  <c:v>1.2171012077594782E-3</c:v>
                </c:pt>
                <c:pt idx="28">
                  <c:v>1.2315634653191252E-3</c:v>
                </c:pt>
                <c:pt idx="29">
                  <c:v>1.2461664167277154E-3</c:v>
                </c:pt>
                <c:pt idx="30">
                  <c:v>1.2609109957597195E-3</c:v>
                </c:pt>
                <c:pt idx="31">
                  <c:v>1.2757981365650174E-3</c:v>
                </c:pt>
                <c:pt idx="32">
                  <c:v>1.2908287735793843E-3</c:v>
                </c:pt>
                <c:pt idx="33">
                  <c:v>1.3060038414338699E-3</c:v>
                </c:pt>
                <c:pt idx="34">
                  <c:v>1.3213242748630863E-3</c:v>
                </c:pt>
                <c:pt idx="35">
                  <c:v>1.3367910086124115E-3</c:v>
                </c:pt>
                <c:pt idx="36">
                  <c:v>1.3524049773440884E-3</c:v>
                </c:pt>
                <c:pt idx="37">
                  <c:v>1.3681671155422481E-3</c:v>
                </c:pt>
                <c:pt idx="38">
                  <c:v>1.3840783574168289E-3</c:v>
                </c:pt>
                <c:pt idx="39">
                  <c:v>1.40013963680643E-3</c:v>
                </c:pt>
                <c:pt idx="40">
                  <c:v>1.4163518870800587E-3</c:v>
                </c:pt>
                <c:pt idx="41">
                  <c:v>1.4327160410378124E-3</c:v>
                </c:pt>
                <c:pt idx="42">
                  <c:v>1.449233030810471E-3</c:v>
                </c:pt>
                <c:pt idx="43">
                  <c:v>1.4659037877580124E-3</c:v>
                </c:pt>
                <c:pt idx="44">
                  <c:v>1.4827292423670632E-3</c:v>
                </c:pt>
                <c:pt idx="45">
                  <c:v>1.4997103241472644E-3</c:v>
                </c:pt>
                <c:pt idx="46">
                  <c:v>1.5168479615265816E-3</c:v>
                </c:pt>
                <c:pt idx="47">
                  <c:v>1.5341430817455415E-3</c:v>
                </c:pt>
                <c:pt idx="48">
                  <c:v>1.551596610750412E-3</c:v>
                </c:pt>
                <c:pt idx="49">
                  <c:v>1.5692094730853313E-3</c:v>
                </c:pt>
                <c:pt idx="50">
                  <c:v>1.5869825917833706E-3</c:v>
                </c:pt>
                <c:pt idx="51">
                  <c:v>1.60491688825656E-3</c:v>
                </c:pt>
                <c:pt idx="52">
                  <c:v>1.623013282184872E-3</c:v>
                </c:pt>
                <c:pt idx="53">
                  <c:v>1.6412726914041573E-3</c:v>
                </c:pt>
                <c:pt idx="54">
                  <c:v>1.659696031793056E-3</c:v>
                </c:pt>
                <c:pt idx="55">
                  <c:v>1.6782842171588776E-3</c:v>
                </c:pt>
                <c:pt idx="56">
                  <c:v>1.6970381591224582E-3</c:v>
                </c:pt>
                <c:pt idx="57">
                  <c:v>1.7159587670020095E-3</c:v>
                </c:pt>
                <c:pt idx="58">
                  <c:v>1.73504694769594E-3</c:v>
                </c:pt>
                <c:pt idx="59">
                  <c:v>1.7543036055646911E-3</c:v>
                </c:pt>
                <c:pt idx="60">
                  <c:v>1.7737296423115702E-3</c:v>
                </c:pt>
                <c:pt idx="61">
                  <c:v>1.7933259568625854E-3</c:v>
                </c:pt>
                <c:pt idx="62">
                  <c:v>1.81309344524531E-3</c:v>
                </c:pt>
                <c:pt idx="63">
                  <c:v>1.8330330004667629E-3</c:v>
                </c:pt>
                <c:pt idx="64">
                  <c:v>1.8531455123903225E-3</c:v>
                </c:pt>
                <c:pt idx="65">
                  <c:v>1.8734318676116872E-3</c:v>
                </c:pt>
                <c:pt idx="66">
                  <c:v>1.8938929493338731E-3</c:v>
                </c:pt>
                <c:pt idx="67">
                  <c:v>1.9145296372412694E-3</c:v>
                </c:pt>
                <c:pt idx="68">
                  <c:v>1.9353428073727783E-3</c:v>
                </c:pt>
                <c:pt idx="69">
                  <c:v>1.9563333319939972E-3</c:v>
                </c:pt>
                <c:pt idx="70">
                  <c:v>1.9775020794685094E-3</c:v>
                </c:pt>
                <c:pt idx="71">
                  <c:v>1.9988499141282549E-3</c:v>
                </c:pt>
                <c:pt idx="72">
                  <c:v>2.0203776961430124E-3</c:v>
                </c:pt>
                <c:pt idx="73">
                  <c:v>2.0420862813889874E-3</c:v>
                </c:pt>
                <c:pt idx="74">
                  <c:v>2.0639765213165181E-3</c:v>
                </c:pt>
                <c:pt idx="75">
                  <c:v>2.0860492628169275E-3</c:v>
                </c:pt>
                <c:pt idx="76">
                  <c:v>2.1083053480885133E-3</c:v>
                </c:pt>
                <c:pt idx="77">
                  <c:v>2.1307456145016864E-3</c:v>
                </c:pt>
                <c:pt idx="78">
                  <c:v>2.1533708944632838E-3</c:v>
                </c:pt>
                <c:pt idx="79">
                  <c:v>2.1761820152800598E-3</c:v>
                </c:pt>
                <c:pt idx="80">
                  <c:v>2.1991797990213568E-3</c:v>
                </c:pt>
                <c:pt idx="81">
                  <c:v>2.2223650623809932E-3</c:v>
                </c:pt>
                <c:pt idx="82">
                  <c:v>2.2457386165383518E-3</c:v>
                </c:pt>
                <c:pt idx="83">
                  <c:v>2.269301267018695E-3</c:v>
                </c:pt>
                <c:pt idx="84">
                  <c:v>2.293053813552741E-3</c:v>
                </c:pt>
                <c:pt idx="85">
                  <c:v>2.3169970499354584E-3</c:v>
                </c:pt>
                <c:pt idx="86">
                  <c:v>2.3411317638841549E-3</c:v>
                </c:pt>
                <c:pt idx="87">
                  <c:v>2.3654587368958334E-3</c:v>
                </c:pt>
                <c:pt idx="88">
                  <c:v>2.3899787441038472E-3</c:v>
                </c:pt>
                <c:pt idx="89">
                  <c:v>2.4146925541338616E-3</c:v>
                </c:pt>
                <c:pt idx="90">
                  <c:v>2.4396009289591337E-3</c:v>
                </c:pt>
                <c:pt idx="91">
                  <c:v>2.4647046237551355E-3</c:v>
                </c:pt>
                <c:pt idx="92">
                  <c:v>2.4900043867535338E-3</c:v>
                </c:pt>
                <c:pt idx="93">
                  <c:v>2.5155009590955221E-3</c:v>
                </c:pt>
                <c:pt idx="94">
                  <c:v>2.5411950746845545E-3</c:v>
                </c:pt>
                <c:pt idx="95">
                  <c:v>2.5670874600384691E-3</c:v>
                </c:pt>
                <c:pt idx="96">
                  <c:v>2.5931788341410221E-3</c:v>
                </c:pt>
                <c:pt idx="97">
                  <c:v>2.6194699082928785E-3</c:v>
                </c:pt>
                <c:pt idx="98">
                  <c:v>2.6459613859620094E-3</c:v>
                </c:pt>
                <c:pt idx="99">
                  <c:v>2.6726539626335949E-3</c:v>
                </c:pt>
                <c:pt idx="100">
                  <c:v>2.6995483256593965E-3</c:v>
                </c:pt>
                <c:pt idx="101">
                  <c:v>2.7266451541066135E-3</c:v>
                </c:pt>
                <c:pt idx="102">
                  <c:v>2.7539451186062826E-3</c:v>
                </c:pt>
                <c:pt idx="103">
                  <c:v>2.7814488812011998E-3</c:v>
                </c:pt>
                <c:pt idx="104">
                  <c:v>2.8091570951933949E-3</c:v>
                </c:pt>
                <c:pt idx="105">
                  <c:v>2.8370704049911952E-3</c:v>
                </c:pt>
                <c:pt idx="106">
                  <c:v>2.8651894459558514E-3</c:v>
                </c:pt>
                <c:pt idx="107">
                  <c:v>2.8935148442478021E-3</c:v>
                </c:pt>
                <c:pt idx="108">
                  <c:v>2.9220472166725654E-3</c:v>
                </c:pt>
                <c:pt idx="109">
                  <c:v>2.9507871705262557E-3</c:v>
                </c:pt>
                <c:pt idx="110">
                  <c:v>2.9797353034407975E-3</c:v>
                </c:pt>
                <c:pt idx="111">
                  <c:v>3.0088922032288135E-3</c:v>
                </c:pt>
                <c:pt idx="112">
                  <c:v>3.0382584477282315E-3</c:v>
                </c:pt>
                <c:pt idx="113">
                  <c:v>3.0678346046466172E-3</c:v>
                </c:pt>
                <c:pt idx="114">
                  <c:v>3.0976212314052505E-3</c:v>
                </c:pt>
                <c:pt idx="115">
                  <c:v>3.1276188749829897E-3</c:v>
                </c:pt>
                <c:pt idx="116">
                  <c:v>3.1578280717599245E-3</c:v>
                </c:pt>
                <c:pt idx="117">
                  <c:v>3.1882493473608243E-3</c:v>
                </c:pt>
                <c:pt idx="118">
                  <c:v>3.218883216498459E-3</c:v>
                </c:pt>
                <c:pt idx="119">
                  <c:v>3.2497301828167532E-3</c:v>
                </c:pt>
                <c:pt idx="120">
                  <c:v>3.2807907387338198E-3</c:v>
                </c:pt>
                <c:pt idx="121">
                  <c:v>3.3120653652849276E-3</c:v>
                </c:pt>
                <c:pt idx="122">
                  <c:v>3.3435545319653488E-3</c:v>
                </c:pt>
                <c:pt idx="123">
                  <c:v>3.3752586965731957E-3</c:v>
                </c:pt>
                <c:pt idx="124">
                  <c:v>3.407178305052219E-3</c:v>
                </c:pt>
                <c:pt idx="125">
                  <c:v>3.4393137913345854E-3</c:v>
                </c:pt>
                <c:pt idx="126">
                  <c:v>3.4716655771837011E-3</c:v>
                </c:pt>
                <c:pt idx="127">
                  <c:v>3.504234072037057E-3</c:v>
                </c:pt>
                <c:pt idx="128">
                  <c:v>3.5370196728491577E-3</c:v>
                </c:pt>
                <c:pt idx="129">
                  <c:v>3.5700227639345414E-3</c:v>
                </c:pt>
                <c:pt idx="130">
                  <c:v>3.6032437168108901E-3</c:v>
                </c:pt>
                <c:pt idx="131">
                  <c:v>3.6366828900423224E-3</c:v>
                </c:pt>
                <c:pt idx="132">
                  <c:v>3.6703406290828325E-3</c:v>
                </c:pt>
                <c:pt idx="133">
                  <c:v>3.704217266119904E-3</c:v>
                </c:pt>
                <c:pt idx="134">
                  <c:v>3.7383131199183696E-3</c:v>
                </c:pt>
                <c:pt idx="135">
                  <c:v>3.7726284956645E-3</c:v>
                </c:pt>
                <c:pt idx="136">
                  <c:v>3.8071636848103531E-3</c:v>
                </c:pt>
                <c:pt idx="137">
                  <c:v>3.8419189649184426E-3</c:v>
                </c:pt>
                <c:pt idx="138">
                  <c:v>3.876894599506687E-3</c:v>
                </c:pt>
                <c:pt idx="139">
                  <c:v>3.9120908378937431E-3</c:v>
                </c:pt>
                <c:pt idx="140">
                  <c:v>3.9475079150446948E-3</c:v>
                </c:pt>
                <c:pt idx="141">
                  <c:v>3.9831460514171361E-3</c:v>
                </c:pt>
                <c:pt idx="142">
                  <c:v>4.0190054528076967E-3</c:v>
                </c:pt>
                <c:pt idx="143">
                  <c:v>4.0550863101989996E-3</c:v>
                </c:pt>
                <c:pt idx="144">
                  <c:v>4.0913887996071267E-3</c:v>
                </c:pt>
                <c:pt idx="145">
                  <c:v>4.1279130819295668E-3</c:v>
                </c:pt>
                <c:pt idx="146">
                  <c:v>4.1646593027937105E-3</c:v>
                </c:pt>
                <c:pt idx="147">
                  <c:v>4.2016275924059007E-3</c:v>
                </c:pt>
                <c:pt idx="148">
                  <c:v>4.238818065401097E-3</c:v>
                </c:pt>
                <c:pt idx="149">
                  <c:v>4.2762308206931166E-3</c:v>
                </c:pt>
                <c:pt idx="150">
                  <c:v>4.3138659413255618E-3</c:v>
                </c:pt>
                <c:pt idx="151">
                  <c:v>4.3517234943234043E-3</c:v>
                </c:pt>
                <c:pt idx="152">
                  <c:v>4.389803530545266E-3</c:v>
                </c:pt>
                <c:pt idx="153">
                  <c:v>4.4281060845364562E-3</c:v>
                </c:pt>
                <c:pt idx="154">
                  <c:v>4.4666311743827352E-3</c:v>
                </c:pt>
                <c:pt idx="155">
                  <c:v>4.5053788015648882E-3</c:v>
                </c:pt>
                <c:pt idx="156">
                  <c:v>4.5443489508141255E-3</c:v>
                </c:pt>
                <c:pt idx="157">
                  <c:v>4.5835415899682999E-3</c:v>
                </c:pt>
                <c:pt idx="158">
                  <c:v>4.6229566698290179E-3</c:v>
                </c:pt>
                <c:pt idx="159">
                  <c:v>4.6625941240196625E-3</c:v>
                </c:pt>
                <c:pt idx="160">
                  <c:v>4.7024538688443295E-3</c:v>
                </c:pt>
                <c:pt idx="161">
                  <c:v>4.7425358031477514E-3</c:v>
                </c:pt>
                <c:pt idx="162">
                  <c:v>4.7828398081761836E-3</c:v>
                </c:pt>
                <c:pt idx="163">
                  <c:v>4.8233657474393383E-3</c:v>
                </c:pt>
                <c:pt idx="164">
                  <c:v>4.8641134665733596E-3</c:v>
                </c:pt>
                <c:pt idx="165">
                  <c:v>4.9050827932048758E-3</c:v>
                </c:pt>
                <c:pt idx="166">
                  <c:v>4.9462735368161707E-3</c:v>
                </c:pt>
                <c:pt idx="167">
                  <c:v>4.9876854886114902E-3</c:v>
                </c:pt>
                <c:pt idx="168">
                  <c:v>5.0293184213845146E-3</c:v>
                </c:pt>
                <c:pt idx="169">
                  <c:v>5.0711720893870408E-3</c:v>
                </c:pt>
                <c:pt idx="170">
                  <c:v>5.1132462281988878E-3</c:v>
                </c:pt>
                <c:pt idx="171">
                  <c:v>5.1555405545990586E-3</c:v>
                </c:pt>
                <c:pt idx="172">
                  <c:v>5.1980547664381982E-3</c:v>
                </c:pt>
                <c:pt idx="173">
                  <c:v>5.2407885425123698E-3</c:v>
                </c:pt>
                <c:pt idx="174">
                  <c:v>5.2837415424381706E-3</c:v>
                </c:pt>
                <c:pt idx="175">
                  <c:v>5.3269134065292425E-3</c:v>
                </c:pt>
                <c:pt idx="176">
                  <c:v>5.3703037556741828E-3</c:v>
                </c:pt>
                <c:pt idx="177">
                  <c:v>5.4139121912158824E-3</c:v>
                </c:pt>
                <c:pt idx="178">
                  <c:v>5.4577382948323618E-3</c:v>
                </c:pt>
                <c:pt idx="179">
                  <c:v>5.5017816284190762E-3</c:v>
                </c:pt>
                <c:pt idx="180">
                  <c:v>5.5460417339727704E-3</c:v>
                </c:pt>
                <c:pt idx="181">
                  <c:v>5.5905181334768798E-3</c:v>
                </c:pt>
                <c:pt idx="182">
                  <c:v>5.6352103287885232E-3</c:v>
                </c:pt>
                <c:pt idx="183">
                  <c:v>5.6801178015271105E-3</c:v>
                </c:pt>
                <c:pt idx="184">
                  <c:v>5.7252400129646141E-3</c:v>
                </c:pt>
                <c:pt idx="185">
                  <c:v>5.7705764039174953E-3</c:v>
                </c:pt>
                <c:pt idx="186">
                  <c:v>5.8161263946403504E-3</c:v>
                </c:pt>
                <c:pt idx="187">
                  <c:v>5.8618893847212968E-3</c:v>
                </c:pt>
                <c:pt idx="188">
                  <c:v>5.9078647529791127E-3</c:v>
                </c:pt>
                <c:pt idx="189">
                  <c:v>5.9540518573621857E-3</c:v>
                </c:pt>
                <c:pt idx="190">
                  <c:v>6.0004500348492789E-3</c:v>
                </c:pt>
                <c:pt idx="191">
                  <c:v>6.0470586013521583E-3</c:v>
                </c:pt>
                <c:pt idx="192">
                  <c:v>6.0938768516200894E-3</c:v>
                </c:pt>
                <c:pt idx="193">
                  <c:v>6.1409040591462643E-3</c:v>
                </c:pt>
                <c:pt idx="194">
                  <c:v>6.1881394760761581E-3</c:v>
                </c:pt>
                <c:pt idx="195">
                  <c:v>6.2355823331178622E-3</c:v>
                </c:pt>
                <c:pt idx="196">
                  <c:v>6.2832318394544099E-3</c:v>
                </c:pt>
                <c:pt idx="197">
                  <c:v>6.3310871826581395E-3</c:v>
                </c:pt>
                <c:pt idx="198">
                  <c:v>6.379147528607099E-3</c:v>
                </c:pt>
                <c:pt idx="199">
                  <c:v>6.4274120214035547E-3</c:v>
                </c:pt>
                <c:pt idx="200">
                  <c:v>6.4758797832945927E-3</c:v>
                </c:pt>
                <c:pt idx="201">
                  <c:v>6.5245499145948765E-3</c:v>
                </c:pt>
                <c:pt idx="202">
                  <c:v>6.5734214936115608E-3</c:v>
                </c:pt>
                <c:pt idx="203">
                  <c:v>6.6224935765714045E-3</c:v>
                </c:pt>
                <c:pt idx="204">
                  <c:v>6.6717651975501235E-3</c:v>
                </c:pt>
                <c:pt idx="205">
                  <c:v>6.7212353684039617E-3</c:v>
                </c:pt>
                <c:pt idx="206">
                  <c:v>6.770903078703574E-3</c:v>
                </c:pt>
                <c:pt idx="207">
                  <c:v>6.8207672956701855E-3</c:v>
                </c:pt>
                <c:pt idx="208">
                  <c:v>6.8708269641141002E-3</c:v>
                </c:pt>
                <c:pt idx="209">
                  <c:v>6.9210810063755684E-3</c:v>
                </c:pt>
                <c:pt idx="210">
                  <c:v>6.9715283222680259E-3</c:v>
                </c:pt>
                <c:pt idx="211">
                  <c:v>7.0221677890237501E-3</c:v>
                </c:pt>
                <c:pt idx="212">
                  <c:v>7.0729982612419539E-3</c:v>
                </c:pt>
                <c:pt idx="213">
                  <c:v>7.1240185708393387E-3</c:v>
                </c:pt>
                <c:pt idx="214">
                  <c:v>7.1752275270031357E-3</c:v>
                </c:pt>
                <c:pt idx="215">
                  <c:v>7.2266239161466617E-3</c:v>
                </c:pt>
                <c:pt idx="216">
                  <c:v>7.2782065018673981E-3</c:v>
                </c:pt>
                <c:pt idx="217">
                  <c:v>7.3299740249076579E-3</c:v>
                </c:pt>
                <c:pt idx="218">
                  <c:v>7.3819252031178048E-3</c:v>
                </c:pt>
                <c:pt idx="219">
                  <c:v>7.434058731422122E-3</c:v>
                </c:pt>
                <c:pt idx="220">
                  <c:v>7.4863732817872647E-3</c:v>
                </c:pt>
                <c:pt idx="221">
                  <c:v>7.5388675031934187E-3</c:v>
                </c:pt>
                <c:pt idx="222">
                  <c:v>7.5915400216081067E-3</c:v>
                </c:pt>
                <c:pt idx="223">
                  <c:v>7.6443894399627101E-3</c:v>
                </c:pt>
                <c:pt idx="224">
                  <c:v>7.6974143381317089E-3</c:v>
                </c:pt>
                <c:pt idx="225">
                  <c:v>7.7506132729146865E-3</c:v>
                </c:pt>
                <c:pt idx="226">
                  <c:v>7.8039847780210694E-3</c:v>
                </c:pt>
                <c:pt idx="227">
                  <c:v>7.8575273640576985E-3</c:v>
                </c:pt>
                <c:pt idx="228">
                  <c:v>7.9112395185191794E-3</c:v>
                </c:pt>
                <c:pt idx="229">
                  <c:v>7.9651197057810878E-3</c:v>
                </c:pt>
                <c:pt idx="230">
                  <c:v>8.019166367096011E-3</c:v>
                </c:pt>
                <c:pt idx="231">
                  <c:v>8.0733779205924682E-3</c:v>
                </c:pt>
                <c:pt idx="232">
                  <c:v>8.1277527612767381E-3</c:v>
                </c:pt>
                <c:pt idx="233">
                  <c:v>8.1822892610375775E-3</c:v>
                </c:pt>
                <c:pt idx="234">
                  <c:v>8.2369857686538737E-3</c:v>
                </c:pt>
                <c:pt idx="235">
                  <c:v>8.2918406098052705E-3</c:v>
                </c:pt>
                <c:pt idx="236">
                  <c:v>8.3468520870857259E-3</c:v>
                </c:pt>
                <c:pt idx="237">
                  <c:v>8.4020184800200886E-3</c:v>
                </c:pt>
                <c:pt idx="238">
                  <c:v>8.4573380450836573E-3</c:v>
                </c:pt>
                <c:pt idx="239">
                  <c:v>8.5128090157247649E-3</c:v>
                </c:pt>
                <c:pt idx="240">
                  <c:v>8.5684296023904056E-3</c:v>
                </c:pt>
                <c:pt idx="241">
                  <c:v>8.6241979925549116E-3</c:v>
                </c:pt>
                <c:pt idx="242">
                  <c:v>8.6801123507516901E-3</c:v>
                </c:pt>
                <c:pt idx="243">
                  <c:v>8.736170818608056E-3</c:v>
                </c:pt>
                <c:pt idx="244">
                  <c:v>8.7923715148831606E-3</c:v>
                </c:pt>
                <c:pt idx="245">
                  <c:v>8.8487125355090276E-3</c:v>
                </c:pt>
                <c:pt idx="246">
                  <c:v>8.9051919536347231E-3</c:v>
                </c:pt>
                <c:pt idx="247">
                  <c:v>8.9618078196736593E-3</c:v>
                </c:pt>
                <c:pt idx="248">
                  <c:v>9.0185581613540615E-3</c:v>
                </c:pt>
                <c:pt idx="249">
                  <c:v>9.07544098377259E-3</c:v>
                </c:pt>
                <c:pt idx="250">
                  <c:v>9.1324542694511436E-3</c:v>
                </c:pt>
                <c:pt idx="251">
                  <c:v>9.1895959783968618E-3</c:v>
                </c:pt>
                <c:pt idx="252">
                  <c:v>9.2468640481653125E-3</c:v>
                </c:pt>
                <c:pt idx="253">
                  <c:v>9.3042563939269105E-3</c:v>
                </c:pt>
                <c:pt idx="254">
                  <c:v>9.3617709085365274E-3</c:v>
                </c:pt>
                <c:pt idx="255">
                  <c:v>9.4194054626063704E-3</c:v>
                </c:pt>
                <c:pt idx="256">
                  <c:v>9.4771579045820637E-3</c:v>
                </c:pt>
                <c:pt idx="257">
                  <c:v>9.5350260608220213E-3</c:v>
                </c:pt>
                <c:pt idx="258">
                  <c:v>9.5930077356800227E-3</c:v>
                </c:pt>
                <c:pt idx="259">
                  <c:v>9.65110071159111E-3</c:v>
                </c:pt>
                <c:pt idx="260">
                  <c:v>9.7093027491607035E-3</c:v>
                </c:pt>
                <c:pt idx="261">
                  <c:v>9.7676115872570458E-3</c:v>
                </c:pt>
                <c:pt idx="262">
                  <c:v>9.8260249431068852E-3</c:v>
                </c:pt>
                <c:pt idx="263">
                  <c:v>9.8845405123944748E-3</c:v>
                </c:pt>
                <c:pt idx="264">
                  <c:v>9.9431559693638552E-3</c:v>
                </c:pt>
                <c:pt idx="265">
                  <c:v>1.0001868966924449E-2</c:v>
                </c:pt>
                <c:pt idx="266">
                  <c:v>1.006067713675993E-2</c:v>
                </c:pt>
                <c:pt idx="267">
                  <c:v>1.0119578089440433E-2</c:v>
                </c:pt>
                <c:pt idx="268">
                  <c:v>1.0178569414538034E-2</c:v>
                </c:pt>
                <c:pt idx="269">
                  <c:v>1.0237648680745583E-2</c:v>
                </c:pt>
                <c:pt idx="270">
                  <c:v>1.0296813435998803E-2</c:v>
                </c:pt>
                <c:pt idx="271">
                  <c:v>1.0356061207601736E-2</c:v>
                </c:pt>
                <c:pt idx="272">
                  <c:v>1.0415389502355484E-2</c:v>
                </c:pt>
                <c:pt idx="273">
                  <c:v>1.0474795806690277E-2</c:v>
                </c:pt>
                <c:pt idx="274">
                  <c:v>1.0534277586800837E-2</c:v>
                </c:pt>
                <c:pt idx="275">
                  <c:v>1.0593832288785044E-2</c:v>
                </c:pt>
                <c:pt idx="276">
                  <c:v>1.0653457338785966E-2</c:v>
                </c:pt>
                <c:pt idx="277">
                  <c:v>1.0713150143137113E-2</c:v>
                </c:pt>
                <c:pt idx="278">
                  <c:v>1.0772908088511057E-2</c:v>
                </c:pt>
                <c:pt idx="279">
                  <c:v>1.083272854207133E-2</c:v>
                </c:pt>
                <c:pt idx="280">
                  <c:v>1.0892608851627603E-2</c:v>
                </c:pt>
                <c:pt idx="281">
                  <c:v>1.0952546345794175E-2</c:v>
                </c:pt>
                <c:pt idx="282">
                  <c:v>1.101253833415174E-2</c:v>
                </c:pt>
                <c:pt idx="283">
                  <c:v>1.1072582107412436E-2</c:v>
                </c:pt>
                <c:pt idx="284">
                  <c:v>1.1132674937588138E-2</c:v>
                </c:pt>
                <c:pt idx="285">
                  <c:v>1.1192814078162056E-2</c:v>
                </c:pt>
                <c:pt idx="286">
                  <c:v>1.1252996764263563E-2</c:v>
                </c:pt>
                <c:pt idx="287">
                  <c:v>1.1313220212846278E-2</c:v>
                </c:pt>
                <c:pt idx="288">
                  <c:v>1.1373481622869377E-2</c:v>
                </c:pt>
                <c:pt idx="289">
                  <c:v>1.1433778175482143E-2</c:v>
                </c:pt>
                <c:pt idx="290">
                  <c:v>1.1494107034211734E-2</c:v>
                </c:pt>
                <c:pt idx="291">
                  <c:v>1.1554465345154152E-2</c:v>
                </c:pt>
                <c:pt idx="292">
                  <c:v>1.1614850237168397E-2</c:v>
                </c:pt>
                <c:pt idx="293">
                  <c:v>1.1675258822073828E-2</c:v>
                </c:pt>
                <c:pt idx="294">
                  <c:v>1.1735688194850678E-2</c:v>
                </c:pt>
                <c:pt idx="295">
                  <c:v>1.1796135433843717E-2</c:v>
                </c:pt>
                <c:pt idx="296">
                  <c:v>1.185659760096907E-2</c:v>
                </c:pt>
                <c:pt idx="297">
                  <c:v>1.1917071741924159E-2</c:v>
                </c:pt>
                <c:pt idx="298">
                  <c:v>1.197755488640076E-2</c:v>
                </c:pt>
                <c:pt idx="299">
                  <c:v>1.2038044048301133E-2</c:v>
                </c:pt>
                <c:pt idx="300">
                  <c:v>1.2098536225957262E-2</c:v>
                </c:pt>
                <c:pt idx="301">
                  <c:v>1.2159028402353134E-2</c:v>
                </c:pt>
                <c:pt idx="302">
                  <c:v>1.2219517545350072E-2</c:v>
                </c:pt>
                <c:pt idx="303">
                  <c:v>1.2280000607915087E-2</c:v>
                </c:pt>
                <c:pt idx="304">
                  <c:v>1.2340474528352232E-2</c:v>
                </c:pt>
                <c:pt idx="305">
                  <c:v>1.2400936230536952E-2</c:v>
                </c:pt>
                <c:pt idx="306">
                  <c:v>1.2461382624153396E-2</c:v>
                </c:pt>
                <c:pt idx="307">
                  <c:v>1.2521810604934652E-2</c:v>
                </c:pt>
                <c:pt idx="308">
                  <c:v>1.2582217054905954E-2</c:v>
                </c:pt>
                <c:pt idx="309">
                  <c:v>1.2642598842630727E-2</c:v>
                </c:pt>
                <c:pt idx="310">
                  <c:v>1.2702952823459551E-2</c:v>
                </c:pt>
                <c:pt idx="311">
                  <c:v>1.2763275839781971E-2</c:v>
                </c:pt>
                <c:pt idx="312">
                  <c:v>1.2823564721281122E-2</c:v>
                </c:pt>
                <c:pt idx="313">
                  <c:v>1.2883816285191172E-2</c:v>
                </c:pt>
                <c:pt idx="314">
                  <c:v>1.2944027336557548E-2</c:v>
                </c:pt>
                <c:pt idx="315">
                  <c:v>1.3004194668499889E-2</c:v>
                </c:pt>
                <c:pt idx="316">
                  <c:v>1.3064315062477763E-2</c:v>
                </c:pt>
                <c:pt idx="317">
                  <c:v>1.312438528855905E-2</c:v>
                </c:pt>
                <c:pt idx="318">
                  <c:v>1.3184402105691018E-2</c:v>
                </c:pt>
                <c:pt idx="319">
                  <c:v>1.3244362261974021E-2</c:v>
                </c:pt>
                <c:pt idx="320">
                  <c:v>1.330426249493785E-2</c:v>
                </c:pt>
                <c:pt idx="321">
                  <c:v>1.3364099531820616E-2</c:v>
                </c:pt>
                <c:pt idx="322">
                  <c:v>1.3423870089850232E-2</c:v>
                </c:pt>
                <c:pt idx="323">
                  <c:v>1.3483570876528378E-2</c:v>
                </c:pt>
                <c:pt idx="324">
                  <c:v>1.3543198589917014E-2</c:v>
                </c:pt>
                <c:pt idx="325">
                  <c:v>1.3602749918927287E-2</c:v>
                </c:pt>
                <c:pt idx="326">
                  <c:v>1.3662221543610924E-2</c:v>
                </c:pt>
                <c:pt idx="327">
                  <c:v>1.3721610135453977E-2</c:v>
                </c:pt>
                <c:pt idx="328">
                  <c:v>1.3780912357672948E-2</c:v>
                </c:pt>
                <c:pt idx="329">
                  <c:v>1.384012486551325E-2</c:v>
                </c:pt>
                <c:pt idx="330">
                  <c:v>1.3899244306549942E-2</c:v>
                </c:pt>
                <c:pt idx="331">
                  <c:v>1.3958267320990717E-2</c:v>
                </c:pt>
                <c:pt idx="332">
                  <c:v>1.4017190541981146E-2</c:v>
                </c:pt>
                <c:pt idx="333">
                  <c:v>1.4076010595912064E-2</c:v>
                </c:pt>
                <c:pt idx="334">
                  <c:v>1.4134724102729132E-2</c:v>
                </c:pt>
                <c:pt idx="335">
                  <c:v>1.4193327676244486E-2</c:v>
                </c:pt>
                <c:pt idx="336">
                  <c:v>1.425181792445048E-2</c:v>
                </c:pt>
                <c:pt idx="337">
                  <c:v>1.4310191449835467E-2</c:v>
                </c:pt>
                <c:pt idx="338">
                  <c:v>1.4368444849701538E-2</c:v>
                </c:pt>
                <c:pt idx="339">
                  <c:v>1.4426574716484248E-2</c:v>
                </c:pt>
                <c:pt idx="340">
                  <c:v>1.448457763807426E-2</c:v>
                </c:pt>
                <c:pt idx="341">
                  <c:v>1.4542450198140839E-2</c:v>
                </c:pt>
                <c:pt idx="342">
                  <c:v>1.4600188976457196E-2</c:v>
                </c:pt>
                <c:pt idx="343">
                  <c:v>1.4657790549227622E-2</c:v>
                </c:pt>
                <c:pt idx="344">
                  <c:v>1.4715251489416381E-2</c:v>
                </c:pt>
                <c:pt idx="345">
                  <c:v>1.477256836707827E-2</c:v>
                </c:pt>
                <c:pt idx="346">
                  <c:v>1.4829737749690913E-2</c:v>
                </c:pt>
                <c:pt idx="347">
                  <c:v>1.4886756202488596E-2</c:v>
                </c:pt>
                <c:pt idx="348">
                  <c:v>1.4943620288797765E-2</c:v>
                </c:pt>
                <c:pt idx="349">
                  <c:v>1.5000326570373965E-2</c:v>
                </c:pt>
                <c:pt idx="350">
                  <c:v>1.5056871607740349E-2</c:v>
                </c:pt>
                <c:pt idx="351">
                  <c:v>1.5113251960527575E-2</c:v>
                </c:pt>
                <c:pt idx="352">
                  <c:v>1.5169464187815132E-2</c:v>
                </c:pt>
                <c:pt idx="353">
                  <c:v>1.5225504848474E-2</c:v>
                </c:pt>
                <c:pt idx="354">
                  <c:v>1.5281370501510625E-2</c:v>
                </c:pt>
                <c:pt idx="355">
                  <c:v>1.5337057706412126E-2</c:v>
                </c:pt>
                <c:pt idx="356">
                  <c:v>1.5392563023492777E-2</c:v>
                </c:pt>
                <c:pt idx="357">
                  <c:v>1.5447883014241564E-2</c:v>
                </c:pt>
                <c:pt idx="358">
                  <c:v>1.5503014241670936E-2</c:v>
                </c:pt>
                <c:pt idx="359">
                  <c:v>1.5557953270666572E-2</c:v>
                </c:pt>
                <c:pt idx="360">
                  <c:v>1.5612696668338194E-2</c:v>
                </c:pt>
                <c:pt idx="361">
                  <c:v>1.5667241004371325E-2</c:v>
                </c:pt>
                <c:pt idx="362">
                  <c:v>1.5721582851379992E-2</c:v>
                </c:pt>
                <c:pt idx="363">
                  <c:v>1.5775718785260299E-2</c:v>
                </c:pt>
                <c:pt idx="364">
                  <c:v>1.582964538554477E-2</c:v>
                </c:pt>
                <c:pt idx="365">
                  <c:v>1.5883359235757545E-2</c:v>
                </c:pt>
                <c:pt idx="366">
                  <c:v>1.5936856923770209E-2</c:v>
                </c:pt>
                <c:pt idx="367">
                  <c:v>1.5990135042158363E-2</c:v>
                </c:pt>
                <c:pt idx="368">
                  <c:v>1.6043190188558758E-2</c:v>
                </c:pt>
                <c:pt idx="369">
                  <c:v>1.6096018966027012E-2</c:v>
                </c:pt>
                <c:pt idx="370">
                  <c:v>1.6148617983395848E-2</c:v>
                </c:pt>
                <c:pt idx="371">
                  <c:v>1.6200983855633785E-2</c:v>
                </c:pt>
                <c:pt idx="372">
                  <c:v>1.625311320420424E-2</c:v>
                </c:pt>
                <c:pt idx="373">
                  <c:v>1.6305002657424971E-2</c:v>
                </c:pt>
                <c:pt idx="374">
                  <c:v>1.6356648850827857E-2</c:v>
                </c:pt>
                <c:pt idx="375">
                  <c:v>1.6408048427518883E-2</c:v>
                </c:pt>
                <c:pt idx="376">
                  <c:v>1.6459198038538372E-2</c:v>
                </c:pt>
                <c:pt idx="377">
                  <c:v>1.6510094343221305E-2</c:v>
                </c:pt>
                <c:pt idx="378">
                  <c:v>1.6560734009557782E-2</c:v>
                </c:pt>
                <c:pt idx="379">
                  <c:v>1.6611113714553479E-2</c:v>
                </c:pt>
                <c:pt idx="380">
                  <c:v>1.6661230144590117E-2</c:v>
                </c:pt>
                <c:pt idx="381">
                  <c:v>1.6711079995785829E-2</c:v>
                </c:pt>
                <c:pt idx="382">
                  <c:v>1.6760659974355437E-2</c:v>
                </c:pt>
                <c:pt idx="383">
                  <c:v>1.6809966796970496E-2</c:v>
                </c:pt>
                <c:pt idx="384">
                  <c:v>1.6858997191119159E-2</c:v>
                </c:pt>
                <c:pt idx="385">
                  <c:v>1.6907747895465706E-2</c:v>
                </c:pt>
                <c:pt idx="386">
                  <c:v>1.6956215660209741E-2</c:v>
                </c:pt>
                <c:pt idx="387">
                  <c:v>1.700439724744502E-2</c:v>
                </c:pt>
                <c:pt idx="388">
                  <c:v>1.7052289431517761E-2</c:v>
                </c:pt>
                <c:pt idx="389">
                  <c:v>1.7099888999384492E-2</c:v>
                </c:pt>
                <c:pt idx="390">
                  <c:v>1.7147192750969327E-2</c:v>
                </c:pt>
                <c:pt idx="391">
                  <c:v>1.7194197499520589E-2</c:v>
                </c:pt>
                <c:pt idx="392">
                  <c:v>1.7240900071966801E-2</c:v>
                </c:pt>
                <c:pt idx="393">
                  <c:v>1.72872973092719E-2</c:v>
                </c:pt>
                <c:pt idx="394">
                  <c:v>1.7333386066789712E-2</c:v>
                </c:pt>
                <c:pt idx="395">
                  <c:v>1.7379163214617535E-2</c:v>
                </c:pt>
                <c:pt idx="396">
                  <c:v>1.7424625637948856E-2</c:v>
                </c:pt>
                <c:pt idx="397">
                  <c:v>1.7469770237425113E-2</c:v>
                </c:pt>
                <c:pt idx="398">
                  <c:v>1.7514593929486424E-2</c:v>
                </c:pt>
                <c:pt idx="399">
                  <c:v>1.7559093646721279E-2</c:v>
                </c:pt>
                <c:pt idx="400">
                  <c:v>1.7603266338215105E-2</c:v>
                </c:pt>
                <c:pt idx="401">
                  <c:v>1.7647108969897643E-2</c:v>
                </c:pt>
                <c:pt idx="402">
                  <c:v>1.7690618524889113E-2</c:v>
                </c:pt>
                <c:pt idx="403">
                  <c:v>1.7733792003845079E-2</c:v>
                </c:pt>
                <c:pt idx="404">
                  <c:v>1.7776626425299983E-2</c:v>
                </c:pt>
                <c:pt idx="405">
                  <c:v>1.7819118826009291E-2</c:v>
                </c:pt>
                <c:pt idx="406">
                  <c:v>1.7861266261290167E-2</c:v>
                </c:pt>
                <c:pt idx="407">
                  <c:v>1.790306580536067E-2</c:v>
                </c:pt>
                <c:pt idx="408">
                  <c:v>1.7944514551677358E-2</c:v>
                </c:pt>
                <c:pt idx="409">
                  <c:v>1.7985609613271322E-2</c:v>
                </c:pt>
                <c:pt idx="410">
                  <c:v>1.8026348123082521E-2</c:v>
                </c:pt>
                <c:pt idx="411">
                  <c:v>1.8066727234292399E-2</c:v>
                </c:pt>
                <c:pt idx="412">
                  <c:v>1.8106744120654734E-2</c:v>
                </c:pt>
                <c:pt idx="413">
                  <c:v>1.8146395976824659E-2</c:v>
                </c:pt>
                <c:pt idx="414">
                  <c:v>1.8185680018685795E-2</c:v>
                </c:pt>
                <c:pt idx="415">
                  <c:v>1.8224593483675444E-2</c:v>
                </c:pt>
                <c:pt idx="416">
                  <c:v>1.8263133631107813E-2</c:v>
                </c:pt>
                <c:pt idx="417">
                  <c:v>1.8301297742495174E-2</c:v>
                </c:pt>
                <c:pt idx="418">
                  <c:v>1.8339083121866925E-2</c:v>
                </c:pt>
                <c:pt idx="419">
                  <c:v>1.8376487096086542E-2</c:v>
                </c:pt>
                <c:pt idx="420">
                  <c:v>1.8413507015166284E-2</c:v>
                </c:pt>
                <c:pt idx="421">
                  <c:v>1.8450140252579687E-2</c:v>
                </c:pt>
                <c:pt idx="422">
                  <c:v>1.8486384205571731E-2</c:v>
                </c:pt>
                <c:pt idx="423">
                  <c:v>1.8522236295466666E-2</c:v>
                </c:pt>
                <c:pt idx="424">
                  <c:v>1.8557693967973413E-2</c:v>
                </c:pt>
                <c:pt idx="425">
                  <c:v>1.8592754693488561E-2</c:v>
                </c:pt>
                <c:pt idx="426">
                  <c:v>1.8627415967396782E-2</c:v>
                </c:pt>
                <c:pt idx="427">
                  <c:v>1.8661675310368775E-2</c:v>
                </c:pt>
                <c:pt idx="428">
                  <c:v>1.8695530268656529E-2</c:v>
                </c:pt>
                <c:pt idx="429">
                  <c:v>1.8728978414385995E-2</c:v>
                </c:pt>
                <c:pt idx="430">
                  <c:v>1.8762017345847003E-2</c:v>
                </c:pt>
                <c:pt idx="431">
                  <c:v>1.8794644687780478E-2</c:v>
                </c:pt>
                <c:pt idx="432">
                  <c:v>1.8826858091662804E-2</c:v>
                </c:pt>
                <c:pt idx="433">
                  <c:v>1.8858655235987398E-2</c:v>
                </c:pt>
                <c:pt idx="434">
                  <c:v>1.8890033826543338E-2</c:v>
                </c:pt>
                <c:pt idx="435">
                  <c:v>1.8920991596691077E-2</c:v>
                </c:pt>
                <c:pt idx="436">
                  <c:v>1.8951526307635188E-2</c:v>
                </c:pt>
                <c:pt idx="437">
                  <c:v>1.8981635748694024E-2</c:v>
                </c:pt>
                <c:pt idx="438">
                  <c:v>1.9011317737566348E-2</c:v>
                </c:pt>
                <c:pt idx="439">
                  <c:v>1.9040570120594819E-2</c:v>
                </c:pt>
                <c:pt idx="440">
                  <c:v>1.9069390773026301E-2</c:v>
                </c:pt>
                <c:pt idx="441">
                  <c:v>1.9097777599269009E-2</c:v>
                </c:pt>
                <c:pt idx="442">
                  <c:v>1.91257285331463E-2</c:v>
                </c:pt>
                <c:pt idx="443">
                  <c:v>1.9153241538147289E-2</c:v>
                </c:pt>
                <c:pt idx="444">
                  <c:v>1.9180314607674019E-2</c:v>
                </c:pt>
                <c:pt idx="445">
                  <c:v>1.9206945765285331E-2</c:v>
                </c:pt>
                <c:pt idx="446">
                  <c:v>1.9233133064937229E-2</c:v>
                </c:pt>
                <c:pt idx="447">
                  <c:v>1.9258874591219853E-2</c:v>
                </c:pt>
                <c:pt idx="448">
                  <c:v>1.9284168459590894E-2</c:v>
                </c:pt>
                <c:pt idx="449">
                  <c:v>1.9309012816605492E-2</c:v>
                </c:pt>
                <c:pt idx="450">
                  <c:v>1.9333405840142547E-2</c:v>
                </c:pt>
                <c:pt idx="451">
                  <c:v>1.9357345739627385E-2</c:v>
                </c:pt>
                <c:pt idx="452">
                  <c:v>1.9380830756250793E-2</c:v>
                </c:pt>
                <c:pt idx="453">
                  <c:v>1.9403859163184316E-2</c:v>
                </c:pt>
                <c:pt idx="454">
                  <c:v>1.9426429265791877E-2</c:v>
                </c:pt>
                <c:pt idx="455">
                  <c:v>1.944853940183755E-2</c:v>
                </c:pt>
                <c:pt idx="456">
                  <c:v>1.9470187941689601E-2</c:v>
                </c:pt>
                <c:pt idx="457">
                  <c:v>1.949137328852061E-2</c:v>
                </c:pt>
                <c:pt idx="458">
                  <c:v>1.9512093878503788E-2</c:v>
                </c:pt>
                <c:pt idx="459">
                  <c:v>1.9532348181005337E-2</c:v>
                </c:pt>
                <c:pt idx="460">
                  <c:v>1.9552134698772865E-2</c:v>
                </c:pt>
                <c:pt idx="461">
                  <c:v>1.9571451968119862E-2</c:v>
                </c:pt>
                <c:pt idx="462">
                  <c:v>1.9590298559106122E-2</c:v>
                </c:pt>
                <c:pt idx="463">
                  <c:v>1.9608673075714154E-2</c:v>
                </c:pt>
                <c:pt idx="464">
                  <c:v>1.9626574156021509E-2</c:v>
                </c:pt>
                <c:pt idx="465">
                  <c:v>1.9644000472369028E-2</c:v>
                </c:pt>
                <c:pt idx="466">
                  <c:v>1.9660950731524924E-2</c:v>
                </c:pt>
                <c:pt idx="467">
                  <c:v>1.9677423674844739E-2</c:v>
                </c:pt>
                <c:pt idx="468">
                  <c:v>1.9693418078427099E-2</c:v>
                </c:pt>
                <c:pt idx="469">
                  <c:v>1.9708932753265285E-2</c:v>
                </c:pt>
                <c:pt idx="470">
                  <c:v>1.9723966545394503E-2</c:v>
                </c:pt>
                <c:pt idx="471">
                  <c:v>1.973851833603496E-2</c:v>
                </c:pt>
                <c:pt idx="472">
                  <c:v>1.9752587041730614E-2</c:v>
                </c:pt>
                <c:pt idx="473">
                  <c:v>1.9766171614483616E-2</c:v>
                </c:pt>
                <c:pt idx="474">
                  <c:v>1.9779271041884421E-2</c:v>
                </c:pt>
                <c:pt idx="475">
                  <c:v>1.9791884347237526E-2</c:v>
                </c:pt>
                <c:pt idx="476">
                  <c:v>1.9804010589682848E-2</c:v>
                </c:pt>
                <c:pt idx="477">
                  <c:v>1.9815648864312706E-2</c:v>
                </c:pt>
                <c:pt idx="478">
                  <c:v>1.9826798302284333E-2</c:v>
                </c:pt>
                <c:pt idx="479">
                  <c:v>1.9837458070927988E-2</c:v>
                </c:pt>
                <c:pt idx="480">
                  <c:v>1.9847627373850627E-2</c:v>
                </c:pt>
                <c:pt idx="481">
                  <c:v>1.9857305451035021E-2</c:v>
                </c:pt>
                <c:pt idx="482">
                  <c:v>1.9866491578934452E-2</c:v>
                </c:pt>
                <c:pt idx="483">
                  <c:v>1.9875185070562861E-2</c:v>
                </c:pt>
                <c:pt idx="484">
                  <c:v>1.9883385275580475E-2</c:v>
                </c:pt>
                <c:pt idx="485">
                  <c:v>1.9891091580374887E-2</c:v>
                </c:pt>
                <c:pt idx="486">
                  <c:v>1.9898303408137578E-2</c:v>
                </c:pt>
                <c:pt idx="487">
                  <c:v>1.9905020218935889E-2</c:v>
                </c:pt>
                <c:pt idx="488">
                  <c:v>1.9911241509780367E-2</c:v>
                </c:pt>
                <c:pt idx="489">
                  <c:v>1.9916966814687572E-2</c:v>
                </c:pt>
                <c:pt idx="490">
                  <c:v>1.9922195704738219E-2</c:v>
                </c:pt>
                <c:pt idx="491">
                  <c:v>1.9926927788130752E-2</c:v>
                </c:pt>
                <c:pt idx="492">
                  <c:v>1.9931162710230266E-2</c:v>
                </c:pt>
                <c:pt idx="493">
                  <c:v>1.9934900153612798E-2</c:v>
                </c:pt>
                <c:pt idx="494">
                  <c:v>1.9938139838104996E-2</c:v>
                </c:pt>
                <c:pt idx="495">
                  <c:v>1.99408815208191E-2</c:v>
                </c:pt>
                <c:pt idx="496">
                  <c:v>1.9943124996183312E-2</c:v>
                </c:pt>
                <c:pt idx="497">
                  <c:v>1.994487009596748E-2</c:v>
                </c:pt>
                <c:pt idx="498">
                  <c:v>1.9946116689304107E-2</c:v>
                </c:pt>
                <c:pt idx="499">
                  <c:v>1.9946864682704745E-2</c:v>
                </c:pt>
                <c:pt idx="500">
                  <c:v>1.9947114020071634E-2</c:v>
                </c:pt>
                <c:pt idx="501">
                  <c:v>1.9946864682704742E-2</c:v>
                </c:pt>
                <c:pt idx="502">
                  <c:v>1.99461166893041E-2</c:v>
                </c:pt>
                <c:pt idx="503">
                  <c:v>1.9944870095967467E-2</c:v>
                </c:pt>
                <c:pt idx="504">
                  <c:v>1.9943124996183295E-2</c:v>
                </c:pt>
                <c:pt idx="505">
                  <c:v>1.9940881520819079E-2</c:v>
                </c:pt>
                <c:pt idx="506">
                  <c:v>1.9938139838104971E-2</c:v>
                </c:pt>
                <c:pt idx="507">
                  <c:v>1.993490015361277E-2</c:v>
                </c:pt>
                <c:pt idx="508">
                  <c:v>1.9931162710230231E-2</c:v>
                </c:pt>
                <c:pt idx="509">
                  <c:v>1.9926927788130714E-2</c:v>
                </c:pt>
                <c:pt idx="510">
                  <c:v>1.9922195704738174E-2</c:v>
                </c:pt>
                <c:pt idx="511">
                  <c:v>1.9916966814687527E-2</c:v>
                </c:pt>
                <c:pt idx="512">
                  <c:v>1.9911241509780315E-2</c:v>
                </c:pt>
                <c:pt idx="513">
                  <c:v>1.990502021893583E-2</c:v>
                </c:pt>
                <c:pt idx="514">
                  <c:v>1.9898303408137516E-2</c:v>
                </c:pt>
                <c:pt idx="515">
                  <c:v>1.9891091580374821E-2</c:v>
                </c:pt>
                <c:pt idx="516">
                  <c:v>1.9883385275580406E-2</c:v>
                </c:pt>
                <c:pt idx="517">
                  <c:v>1.9875185070562788E-2</c:v>
                </c:pt>
                <c:pt idx="518">
                  <c:v>1.9866491578934373E-2</c:v>
                </c:pt>
                <c:pt idx="519">
                  <c:v>1.9857305451034937E-2</c:v>
                </c:pt>
                <c:pt idx="520">
                  <c:v>1.984762737385054E-2</c:v>
                </c:pt>
                <c:pt idx="521">
                  <c:v>1.9837458070927901E-2</c:v>
                </c:pt>
                <c:pt idx="522">
                  <c:v>1.9826798302284235E-2</c:v>
                </c:pt>
                <c:pt idx="523">
                  <c:v>1.9815648864312606E-2</c:v>
                </c:pt>
                <c:pt idx="524">
                  <c:v>1.9804010589682744E-2</c:v>
                </c:pt>
                <c:pt idx="525">
                  <c:v>1.9791884347237415E-2</c:v>
                </c:pt>
                <c:pt idx="526">
                  <c:v>1.9779271041884306E-2</c:v>
                </c:pt>
                <c:pt idx="527">
                  <c:v>1.9766171614483498E-2</c:v>
                </c:pt>
                <c:pt idx="528">
                  <c:v>1.9752587041730493E-2</c:v>
                </c:pt>
                <c:pt idx="529">
                  <c:v>1.9738518336034832E-2</c:v>
                </c:pt>
                <c:pt idx="530">
                  <c:v>1.9723966545394371E-2</c:v>
                </c:pt>
                <c:pt idx="531">
                  <c:v>1.970893275326515E-2</c:v>
                </c:pt>
                <c:pt idx="532">
                  <c:v>1.9693418078426964E-2</c:v>
                </c:pt>
                <c:pt idx="533">
                  <c:v>1.9677423674844593E-2</c:v>
                </c:pt>
                <c:pt idx="534">
                  <c:v>1.9660950731524775E-2</c:v>
                </c:pt>
                <c:pt idx="535">
                  <c:v>1.9644000472368878E-2</c:v>
                </c:pt>
                <c:pt idx="536">
                  <c:v>1.9626574156021356E-2</c:v>
                </c:pt>
                <c:pt idx="537">
                  <c:v>1.9608673075713994E-2</c:v>
                </c:pt>
                <c:pt idx="538">
                  <c:v>1.9590298559105958E-2</c:v>
                </c:pt>
                <c:pt idx="539">
                  <c:v>1.9571451968119696E-2</c:v>
                </c:pt>
                <c:pt idx="540">
                  <c:v>1.9552134698772698E-2</c:v>
                </c:pt>
                <c:pt idx="541">
                  <c:v>1.953234818100516E-2</c:v>
                </c:pt>
                <c:pt idx="542">
                  <c:v>1.9512093878503611E-2</c:v>
                </c:pt>
                <c:pt idx="543">
                  <c:v>1.9491373288520426E-2</c:v>
                </c:pt>
                <c:pt idx="544">
                  <c:v>1.947018794168941E-2</c:v>
                </c:pt>
                <c:pt idx="545">
                  <c:v>1.9448539401837359E-2</c:v>
                </c:pt>
                <c:pt idx="546">
                  <c:v>1.9426429265791679E-2</c:v>
                </c:pt>
                <c:pt idx="547">
                  <c:v>1.9403859163184115E-2</c:v>
                </c:pt>
                <c:pt idx="548">
                  <c:v>1.9380830756250588E-2</c:v>
                </c:pt>
                <c:pt idx="549">
                  <c:v>1.9357345739627177E-2</c:v>
                </c:pt>
                <c:pt idx="550">
                  <c:v>1.9333405840142336E-2</c:v>
                </c:pt>
                <c:pt idx="551">
                  <c:v>1.9309012816605277E-2</c:v>
                </c:pt>
                <c:pt idx="552">
                  <c:v>1.9284168459590672E-2</c:v>
                </c:pt>
                <c:pt idx="553">
                  <c:v>1.9258874591219631E-2</c:v>
                </c:pt>
                <c:pt idx="554">
                  <c:v>1.9233133064937003E-2</c:v>
                </c:pt>
                <c:pt idx="555">
                  <c:v>1.9206945765285099E-2</c:v>
                </c:pt>
                <c:pt idx="556">
                  <c:v>1.9180314607673787E-2</c:v>
                </c:pt>
                <c:pt idx="557">
                  <c:v>1.9153241538147046E-2</c:v>
                </c:pt>
                <c:pt idx="558">
                  <c:v>1.9125728533146057E-2</c:v>
                </c:pt>
                <c:pt idx="559">
                  <c:v>1.9097777599268759E-2</c:v>
                </c:pt>
                <c:pt idx="560">
                  <c:v>1.9069390773026055E-2</c:v>
                </c:pt>
                <c:pt idx="561">
                  <c:v>1.9040570120594562E-2</c:v>
                </c:pt>
                <c:pt idx="562">
                  <c:v>1.9011317737566088E-2</c:v>
                </c:pt>
                <c:pt idx="563">
                  <c:v>1.898163574869376E-2</c:v>
                </c:pt>
                <c:pt idx="564">
                  <c:v>1.8951526307634921E-2</c:v>
                </c:pt>
                <c:pt idx="565">
                  <c:v>1.8920991596690809E-2</c:v>
                </c:pt>
                <c:pt idx="566">
                  <c:v>1.889003382654306E-2</c:v>
                </c:pt>
                <c:pt idx="567">
                  <c:v>1.8858655235987117E-2</c:v>
                </c:pt>
                <c:pt idx="568">
                  <c:v>1.882685809166252E-2</c:v>
                </c:pt>
                <c:pt idx="569">
                  <c:v>1.8794644687780193E-2</c:v>
                </c:pt>
                <c:pt idx="570">
                  <c:v>1.8762017345846715E-2</c:v>
                </c:pt>
                <c:pt idx="571">
                  <c:v>1.8728978414385703E-2</c:v>
                </c:pt>
                <c:pt idx="572">
                  <c:v>1.8695530268656235E-2</c:v>
                </c:pt>
                <c:pt idx="573">
                  <c:v>1.8661675310368477E-2</c:v>
                </c:pt>
                <c:pt idx="574">
                  <c:v>1.862741596739648E-2</c:v>
                </c:pt>
                <c:pt idx="575">
                  <c:v>1.8592754693488256E-2</c:v>
                </c:pt>
                <c:pt idx="576">
                  <c:v>1.8557693967973105E-2</c:v>
                </c:pt>
                <c:pt idx="577">
                  <c:v>1.852223629546635E-2</c:v>
                </c:pt>
                <c:pt idx="578">
                  <c:v>1.8486384205571416E-2</c:v>
                </c:pt>
                <c:pt idx="579">
                  <c:v>1.8450140252579367E-2</c:v>
                </c:pt>
                <c:pt idx="580">
                  <c:v>1.8413507015165961E-2</c:v>
                </c:pt>
                <c:pt idx="581">
                  <c:v>1.8376487096086212E-2</c:v>
                </c:pt>
                <c:pt idx="582">
                  <c:v>1.8339083121866592E-2</c:v>
                </c:pt>
                <c:pt idx="583">
                  <c:v>1.8301297742494838E-2</c:v>
                </c:pt>
                <c:pt idx="584">
                  <c:v>1.826313363110748E-2</c:v>
                </c:pt>
                <c:pt idx="585">
                  <c:v>1.8224593483675104E-2</c:v>
                </c:pt>
                <c:pt idx="586">
                  <c:v>1.8185680018685452E-2</c:v>
                </c:pt>
                <c:pt idx="587">
                  <c:v>1.8146395976824312E-2</c:v>
                </c:pt>
                <c:pt idx="588">
                  <c:v>1.8106744120654383E-2</c:v>
                </c:pt>
                <c:pt idx="589">
                  <c:v>1.8066727234292045E-2</c:v>
                </c:pt>
                <c:pt idx="590">
                  <c:v>1.8026348123082167E-2</c:v>
                </c:pt>
                <c:pt idx="591">
                  <c:v>1.7985609613270961E-2</c:v>
                </c:pt>
                <c:pt idx="592">
                  <c:v>1.7944514551676994E-2</c:v>
                </c:pt>
                <c:pt idx="593">
                  <c:v>1.7903065805360302E-2</c:v>
                </c:pt>
                <c:pt idx="594">
                  <c:v>1.7861266261289796E-2</c:v>
                </c:pt>
                <c:pt idx="595">
                  <c:v>1.7819118826008916E-2</c:v>
                </c:pt>
                <c:pt idx="596">
                  <c:v>1.7776626425299608E-2</c:v>
                </c:pt>
                <c:pt idx="597">
                  <c:v>1.7733792003844701E-2</c:v>
                </c:pt>
                <c:pt idx="598">
                  <c:v>1.7690618524888731E-2</c:v>
                </c:pt>
                <c:pt idx="599">
                  <c:v>1.7647108969897258E-2</c:v>
                </c:pt>
                <c:pt idx="600">
                  <c:v>1.7603266338214716E-2</c:v>
                </c:pt>
                <c:pt idx="601">
                  <c:v>1.7559093646720886E-2</c:v>
                </c:pt>
                <c:pt idx="602">
                  <c:v>1.7514593929486028E-2</c:v>
                </c:pt>
                <c:pt idx="603">
                  <c:v>1.7469770237424714E-2</c:v>
                </c:pt>
                <c:pt idx="604">
                  <c:v>1.7424625637948457E-2</c:v>
                </c:pt>
                <c:pt idx="605">
                  <c:v>1.7379163214617133E-2</c:v>
                </c:pt>
                <c:pt idx="606">
                  <c:v>1.7333386066789309E-2</c:v>
                </c:pt>
                <c:pt idx="607">
                  <c:v>1.7287297309271494E-2</c:v>
                </c:pt>
                <c:pt idx="608">
                  <c:v>1.7240900071966391E-2</c:v>
                </c:pt>
                <c:pt idx="609">
                  <c:v>1.7194197499520177E-2</c:v>
                </c:pt>
                <c:pt idx="610">
                  <c:v>1.7147192750968911E-2</c:v>
                </c:pt>
                <c:pt idx="611">
                  <c:v>1.7099888999384076E-2</c:v>
                </c:pt>
                <c:pt idx="612">
                  <c:v>1.7052289431517341E-2</c:v>
                </c:pt>
                <c:pt idx="613">
                  <c:v>1.7004397247444597E-2</c:v>
                </c:pt>
                <c:pt idx="614">
                  <c:v>1.6956215660209314E-2</c:v>
                </c:pt>
                <c:pt idx="615">
                  <c:v>1.6907747895465276E-2</c:v>
                </c:pt>
                <c:pt idx="616">
                  <c:v>1.6858997191118729E-2</c:v>
                </c:pt>
                <c:pt idx="617">
                  <c:v>1.6809966796970065E-2</c:v>
                </c:pt>
                <c:pt idx="618">
                  <c:v>1.6760659974355004E-2</c:v>
                </c:pt>
                <c:pt idx="619">
                  <c:v>1.6711079995785392E-2</c:v>
                </c:pt>
                <c:pt idx="620">
                  <c:v>1.6661230144589676E-2</c:v>
                </c:pt>
                <c:pt idx="621">
                  <c:v>1.6611113714553035E-2</c:v>
                </c:pt>
                <c:pt idx="622">
                  <c:v>1.6560734009557335E-2</c:v>
                </c:pt>
                <c:pt idx="623">
                  <c:v>1.6510094343220857E-2</c:v>
                </c:pt>
                <c:pt idx="624">
                  <c:v>1.6459198038537924E-2</c:v>
                </c:pt>
                <c:pt idx="625">
                  <c:v>1.6408048427518432E-2</c:v>
                </c:pt>
                <c:pt idx="626">
                  <c:v>1.6356648850827403E-2</c:v>
                </c:pt>
                <c:pt idx="627">
                  <c:v>1.6305002657424517E-2</c:v>
                </c:pt>
                <c:pt idx="628">
                  <c:v>1.6253113204203778E-2</c:v>
                </c:pt>
                <c:pt idx="629">
                  <c:v>1.6200983855633327E-2</c:v>
                </c:pt>
                <c:pt idx="630">
                  <c:v>1.6148617983395383E-2</c:v>
                </c:pt>
                <c:pt idx="631">
                  <c:v>1.6096018966026547E-2</c:v>
                </c:pt>
                <c:pt idx="632">
                  <c:v>1.6043190188558293E-2</c:v>
                </c:pt>
                <c:pt idx="633">
                  <c:v>1.5990135042157894E-2</c:v>
                </c:pt>
                <c:pt idx="634">
                  <c:v>1.5936856923769741E-2</c:v>
                </c:pt>
                <c:pt idx="635">
                  <c:v>1.588335923575707E-2</c:v>
                </c:pt>
                <c:pt idx="636">
                  <c:v>1.5829645385544298E-2</c:v>
                </c:pt>
                <c:pt idx="637">
                  <c:v>1.5775718785259824E-2</c:v>
                </c:pt>
                <c:pt idx="638">
                  <c:v>1.5721582851379517E-2</c:v>
                </c:pt>
                <c:pt idx="639">
                  <c:v>1.5667241004370846E-2</c:v>
                </c:pt>
                <c:pt idx="640">
                  <c:v>1.561269666833771E-2</c:v>
                </c:pt>
                <c:pt idx="641">
                  <c:v>1.5557953270666093E-2</c:v>
                </c:pt>
                <c:pt idx="642">
                  <c:v>1.550301424167046E-2</c:v>
                </c:pt>
                <c:pt idx="643">
                  <c:v>1.5447883014241088E-2</c:v>
                </c:pt>
                <c:pt idx="644">
                  <c:v>1.5392563023492303E-2</c:v>
                </c:pt>
                <c:pt idx="645">
                  <c:v>1.5337057706411658E-2</c:v>
                </c:pt>
                <c:pt idx="646">
                  <c:v>1.5281370501510154E-2</c:v>
                </c:pt>
                <c:pt idx="647">
                  <c:v>1.5225504848473535E-2</c:v>
                </c:pt>
                <c:pt idx="648">
                  <c:v>1.5169464187814671E-2</c:v>
                </c:pt>
                <c:pt idx="649">
                  <c:v>1.5113251960527116E-2</c:v>
                </c:pt>
                <c:pt idx="650">
                  <c:v>1.5056871607739889E-2</c:v>
                </c:pt>
                <c:pt idx="651">
                  <c:v>1.500032657037351E-2</c:v>
                </c:pt>
                <c:pt idx="652">
                  <c:v>1.4943620288797314E-2</c:v>
                </c:pt>
                <c:pt idx="653">
                  <c:v>1.488675620248815E-2</c:v>
                </c:pt>
                <c:pt idx="654">
                  <c:v>1.4829737749690467E-2</c:v>
                </c:pt>
                <c:pt idx="655">
                  <c:v>1.4772568367077828E-2</c:v>
                </c:pt>
                <c:pt idx="656">
                  <c:v>1.4715251489415942E-2</c:v>
                </c:pt>
                <c:pt idx="657">
                  <c:v>1.4657790549227188E-2</c:v>
                </c:pt>
                <c:pt idx="658">
                  <c:v>1.4600188976456761E-2</c:v>
                </c:pt>
                <c:pt idx="659">
                  <c:v>1.4542450198140407E-2</c:v>
                </c:pt>
                <c:pt idx="660">
                  <c:v>1.448457763807383E-2</c:v>
                </c:pt>
                <c:pt idx="661">
                  <c:v>1.4426574716483821E-2</c:v>
                </c:pt>
                <c:pt idx="662">
                  <c:v>1.4368444849701113E-2</c:v>
                </c:pt>
                <c:pt idx="663">
                  <c:v>1.4310191449835049E-2</c:v>
                </c:pt>
                <c:pt idx="664">
                  <c:v>1.4251817924450065E-2</c:v>
                </c:pt>
                <c:pt idx="665">
                  <c:v>1.419332767624407E-2</c:v>
                </c:pt>
                <c:pt idx="666">
                  <c:v>1.4134724102728723E-2</c:v>
                </c:pt>
                <c:pt idx="667">
                  <c:v>1.4076010595911658E-2</c:v>
                </c:pt>
                <c:pt idx="668">
                  <c:v>1.4017190541980742E-2</c:v>
                </c:pt>
                <c:pt idx="669">
                  <c:v>1.3958267320990318E-2</c:v>
                </c:pt>
                <c:pt idx="670">
                  <c:v>1.3899244306549544E-2</c:v>
                </c:pt>
                <c:pt idx="671">
                  <c:v>1.384012486551286E-2</c:v>
                </c:pt>
                <c:pt idx="672">
                  <c:v>1.3780912357672561E-2</c:v>
                </c:pt>
                <c:pt idx="673">
                  <c:v>1.3721610135453591E-2</c:v>
                </c:pt>
                <c:pt idx="674">
                  <c:v>1.3662221543610548E-2</c:v>
                </c:pt>
                <c:pt idx="675">
                  <c:v>1.3602749918926911E-2</c:v>
                </c:pt>
                <c:pt idx="676">
                  <c:v>1.3543198589916643E-2</c:v>
                </c:pt>
                <c:pt idx="677">
                  <c:v>1.3483570876528007E-2</c:v>
                </c:pt>
                <c:pt idx="678">
                  <c:v>1.3423870089849863E-2</c:v>
                </c:pt>
                <c:pt idx="679">
                  <c:v>1.3364099531820254E-2</c:v>
                </c:pt>
                <c:pt idx="680">
                  <c:v>1.3304262494937493E-2</c:v>
                </c:pt>
                <c:pt idx="681">
                  <c:v>1.3244362261973668E-2</c:v>
                </c:pt>
                <c:pt idx="682">
                  <c:v>1.3184402105690666E-2</c:v>
                </c:pt>
                <c:pt idx="683">
                  <c:v>1.3124385288558704E-2</c:v>
                </c:pt>
                <c:pt idx="684">
                  <c:v>1.3064315062477421E-2</c:v>
                </c:pt>
                <c:pt idx="685">
                  <c:v>1.3004194668499551E-2</c:v>
                </c:pt>
                <c:pt idx="686">
                  <c:v>1.2944027336557213E-2</c:v>
                </c:pt>
                <c:pt idx="687">
                  <c:v>1.2883816285190842E-2</c:v>
                </c:pt>
                <c:pt idx="688">
                  <c:v>1.2823564721280795E-2</c:v>
                </c:pt>
                <c:pt idx="689">
                  <c:v>1.2763275839781648E-2</c:v>
                </c:pt>
                <c:pt idx="690">
                  <c:v>1.2702952823459235E-2</c:v>
                </c:pt>
                <c:pt idx="691">
                  <c:v>1.2642598842630415E-2</c:v>
                </c:pt>
                <c:pt idx="692">
                  <c:v>1.2582217054905646E-2</c:v>
                </c:pt>
                <c:pt idx="693">
                  <c:v>1.252181060493435E-2</c:v>
                </c:pt>
                <c:pt idx="694">
                  <c:v>1.2461382624153094E-2</c:v>
                </c:pt>
                <c:pt idx="695">
                  <c:v>1.2400936230536657E-2</c:v>
                </c:pt>
                <c:pt idx="696">
                  <c:v>1.2340474528351941E-2</c:v>
                </c:pt>
                <c:pt idx="697">
                  <c:v>1.2280000607914801E-2</c:v>
                </c:pt>
                <c:pt idx="698">
                  <c:v>1.2219517545349791E-2</c:v>
                </c:pt>
                <c:pt idx="699">
                  <c:v>1.2159028402352855E-2</c:v>
                </c:pt>
                <c:pt idx="700">
                  <c:v>1.2098536225956988E-2</c:v>
                </c:pt>
                <c:pt idx="701">
                  <c:v>1.2038044048300861E-2</c:v>
                </c:pt>
                <c:pt idx="702">
                  <c:v>1.1977554886400494E-2</c:v>
                </c:pt>
                <c:pt idx="703">
                  <c:v>1.1917071741923897E-2</c:v>
                </c:pt>
                <c:pt idx="704">
                  <c:v>1.1856597600968813E-2</c:v>
                </c:pt>
                <c:pt idx="705">
                  <c:v>1.1796135433843462E-2</c:v>
                </c:pt>
                <c:pt idx="706">
                  <c:v>1.1735688194850429E-2</c:v>
                </c:pt>
                <c:pt idx="707">
                  <c:v>1.1675258822073584E-2</c:v>
                </c:pt>
                <c:pt idx="708">
                  <c:v>1.1614850237168154E-2</c:v>
                </c:pt>
                <c:pt idx="709">
                  <c:v>1.1554465345153916E-2</c:v>
                </c:pt>
                <c:pt idx="710">
                  <c:v>1.1494107034211505E-2</c:v>
                </c:pt>
                <c:pt idx="711">
                  <c:v>1.1433778175481918E-2</c:v>
                </c:pt>
                <c:pt idx="712">
                  <c:v>1.1373481622869155E-2</c:v>
                </c:pt>
                <c:pt idx="713">
                  <c:v>1.1313220212846061E-2</c:v>
                </c:pt>
                <c:pt idx="714">
                  <c:v>1.1252996764263352E-2</c:v>
                </c:pt>
                <c:pt idx="715">
                  <c:v>1.1192814078161847E-2</c:v>
                </c:pt>
                <c:pt idx="716">
                  <c:v>1.113267493758793E-2</c:v>
                </c:pt>
                <c:pt idx="717">
                  <c:v>1.1072582107412235E-2</c:v>
                </c:pt>
                <c:pt idx="718">
                  <c:v>1.1012538334151547E-2</c:v>
                </c:pt>
                <c:pt idx="719">
                  <c:v>1.0952546345793981E-2</c:v>
                </c:pt>
                <c:pt idx="720">
                  <c:v>1.0892608851627414E-2</c:v>
                </c:pt>
                <c:pt idx="721">
                  <c:v>1.0832728542071148E-2</c:v>
                </c:pt>
                <c:pt idx="722">
                  <c:v>1.077290808851088E-2</c:v>
                </c:pt>
                <c:pt idx="723">
                  <c:v>1.0713150143136939E-2</c:v>
                </c:pt>
                <c:pt idx="724">
                  <c:v>1.0653457338785796E-2</c:v>
                </c:pt>
                <c:pt idx="725">
                  <c:v>1.0593832288784881E-2</c:v>
                </c:pt>
                <c:pt idx="726">
                  <c:v>1.0534277586800674E-2</c:v>
                </c:pt>
                <c:pt idx="727">
                  <c:v>1.0474795806690123E-2</c:v>
                </c:pt>
                <c:pt idx="728">
                  <c:v>1.0415389502355333E-2</c:v>
                </c:pt>
                <c:pt idx="729">
                  <c:v>1.035606120760159E-2</c:v>
                </c:pt>
                <c:pt idx="730">
                  <c:v>1.0296813435998659E-2</c:v>
                </c:pt>
                <c:pt idx="731">
                  <c:v>1.0237648680745445E-2</c:v>
                </c:pt>
                <c:pt idx="732">
                  <c:v>1.0178569414537902E-2</c:v>
                </c:pt>
                <c:pt idx="733">
                  <c:v>1.0119578089440303E-2</c:v>
                </c:pt>
                <c:pt idx="734">
                  <c:v>1.0060677136759805E-2</c:v>
                </c:pt>
                <c:pt idx="735">
                  <c:v>1.0001868966924326E-2</c:v>
                </c:pt>
                <c:pt idx="736">
                  <c:v>9.943155969363739E-3</c:v>
                </c:pt>
                <c:pt idx="737">
                  <c:v>9.884540512394362E-3</c:v>
                </c:pt>
                <c:pt idx="738">
                  <c:v>9.8260249431067759E-3</c:v>
                </c:pt>
                <c:pt idx="739">
                  <c:v>9.7676115872569417E-3</c:v>
                </c:pt>
                <c:pt idx="740">
                  <c:v>9.7093027491606046E-3</c:v>
                </c:pt>
                <c:pt idx="741">
                  <c:v>9.6511007115910145E-3</c:v>
                </c:pt>
                <c:pt idx="742">
                  <c:v>9.5930077356799325E-3</c:v>
                </c:pt>
                <c:pt idx="743">
                  <c:v>9.5350260608219346E-3</c:v>
                </c:pt>
                <c:pt idx="744">
                  <c:v>9.4771579045819822E-3</c:v>
                </c:pt>
                <c:pt idx="745">
                  <c:v>9.4194054626062906E-3</c:v>
                </c:pt>
                <c:pt idx="746">
                  <c:v>9.3617709085364546E-3</c:v>
                </c:pt>
                <c:pt idx="747">
                  <c:v>9.3042563939268411E-3</c:v>
                </c:pt>
                <c:pt idx="748">
                  <c:v>9.24686404816525E-3</c:v>
                </c:pt>
                <c:pt idx="749">
                  <c:v>9.1895959783968011E-3</c:v>
                </c:pt>
                <c:pt idx="750">
                  <c:v>9.1324542694510881E-3</c:v>
                </c:pt>
                <c:pt idx="751">
                  <c:v>9.0754409837725362E-3</c:v>
                </c:pt>
                <c:pt idx="752">
                  <c:v>9.0185581613540112E-3</c:v>
                </c:pt>
                <c:pt idx="753">
                  <c:v>8.9618078196736159E-3</c:v>
                </c:pt>
                <c:pt idx="754">
                  <c:v>8.9051919536346814E-3</c:v>
                </c:pt>
                <c:pt idx="755">
                  <c:v>8.8487125355089895E-3</c:v>
                </c:pt>
                <c:pt idx="756">
                  <c:v>8.7923715148831277E-3</c:v>
                </c:pt>
                <c:pt idx="757">
                  <c:v>8.7361708186080283E-3</c:v>
                </c:pt>
                <c:pt idx="758">
                  <c:v>8.6801123507516675E-3</c:v>
                </c:pt>
                <c:pt idx="759">
                  <c:v>8.6241979925548908E-3</c:v>
                </c:pt>
                <c:pt idx="760">
                  <c:v>8.5684296023903917E-3</c:v>
                </c:pt>
                <c:pt idx="761">
                  <c:v>8.5128090157247545E-3</c:v>
                </c:pt>
                <c:pt idx="762">
                  <c:v>8.4573380450836486E-3</c:v>
                </c:pt>
                <c:pt idx="763">
                  <c:v>8.4020184800200834E-3</c:v>
                </c:pt>
                <c:pt idx="764">
                  <c:v>8.3468520870857259E-3</c:v>
                </c:pt>
                <c:pt idx="765">
                  <c:v>8.291840609805274E-3</c:v>
                </c:pt>
                <c:pt idx="766">
                  <c:v>8.2369857686538806E-3</c:v>
                </c:pt>
                <c:pt idx="767">
                  <c:v>8.182289261037588E-3</c:v>
                </c:pt>
                <c:pt idx="768">
                  <c:v>8.1277527612767537E-3</c:v>
                </c:pt>
                <c:pt idx="769">
                  <c:v>8.0733779205924873E-3</c:v>
                </c:pt>
                <c:pt idx="770">
                  <c:v>8.0191663670960336E-3</c:v>
                </c:pt>
                <c:pt idx="771">
                  <c:v>7.9651197057811155E-3</c:v>
                </c:pt>
                <c:pt idx="772">
                  <c:v>7.9112395185192107E-3</c:v>
                </c:pt>
                <c:pt idx="773">
                  <c:v>7.8575273640577332E-3</c:v>
                </c:pt>
                <c:pt idx="774">
                  <c:v>7.8039847780211075E-3</c:v>
                </c:pt>
                <c:pt idx="775">
                  <c:v>7.7506132729147272E-3</c:v>
                </c:pt>
                <c:pt idx="776">
                  <c:v>7.6974143381317557E-3</c:v>
                </c:pt>
                <c:pt idx="777">
                  <c:v>7.6443894399627578E-3</c:v>
                </c:pt>
                <c:pt idx="778">
                  <c:v>7.5915400216081579E-3</c:v>
                </c:pt>
                <c:pt idx="779">
                  <c:v>7.5388675031934759E-3</c:v>
                </c:pt>
                <c:pt idx="780">
                  <c:v>7.4863732817873237E-3</c:v>
                </c:pt>
                <c:pt idx="781">
                  <c:v>7.4340587314221844E-3</c:v>
                </c:pt>
                <c:pt idx="782">
                  <c:v>7.3819252031178716E-3</c:v>
                </c:pt>
                <c:pt idx="783">
                  <c:v>7.3299740249077256E-3</c:v>
                </c:pt>
                <c:pt idx="784">
                  <c:v>7.2782065018674709E-3</c:v>
                </c:pt>
                <c:pt idx="785">
                  <c:v>7.2266239161467398E-3</c:v>
                </c:pt>
                <c:pt idx="786">
                  <c:v>7.1752275270032173E-3</c:v>
                </c:pt>
                <c:pt idx="787">
                  <c:v>7.1240185708394219E-3</c:v>
                </c:pt>
                <c:pt idx="788">
                  <c:v>7.0729982612420424E-3</c:v>
                </c:pt>
                <c:pt idx="789">
                  <c:v>7.022167789023843E-3</c:v>
                </c:pt>
                <c:pt idx="790">
                  <c:v>6.9715283222681204E-3</c:v>
                </c:pt>
                <c:pt idx="791">
                  <c:v>6.9210810063756664E-3</c:v>
                </c:pt>
                <c:pt idx="792">
                  <c:v>6.8708269641141991E-3</c:v>
                </c:pt>
                <c:pt idx="793">
                  <c:v>6.8207672956702879E-3</c:v>
                </c:pt>
                <c:pt idx="794">
                  <c:v>6.7709030787036816E-3</c:v>
                </c:pt>
                <c:pt idx="795">
                  <c:v>6.7212353684040728E-3</c:v>
                </c:pt>
                <c:pt idx="796">
                  <c:v>6.6717651975502362E-3</c:v>
                </c:pt>
                <c:pt idx="797">
                  <c:v>6.6224935765715181E-3</c:v>
                </c:pt>
                <c:pt idx="798">
                  <c:v>6.5734214936116779E-3</c:v>
                </c:pt>
                <c:pt idx="799">
                  <c:v>6.5245499145949988E-3</c:v>
                </c:pt>
                <c:pt idx="800">
                  <c:v>6.4758797832947176E-3</c:v>
                </c:pt>
                <c:pt idx="801">
                  <c:v>6.4274120214036822E-3</c:v>
                </c:pt>
                <c:pt idx="802">
                  <c:v>6.3791475286072291E-3</c:v>
                </c:pt>
                <c:pt idx="803">
                  <c:v>6.3310871826582705E-3</c:v>
                </c:pt>
                <c:pt idx="804">
                  <c:v>6.283231839454546E-3</c:v>
                </c:pt>
                <c:pt idx="805">
                  <c:v>6.2355823331180001E-3</c:v>
                </c:pt>
                <c:pt idx="806">
                  <c:v>6.1881394760762995E-3</c:v>
                </c:pt>
                <c:pt idx="807">
                  <c:v>6.1409040591464074E-3</c:v>
                </c:pt>
                <c:pt idx="808">
                  <c:v>6.0938768516202351E-3</c:v>
                </c:pt>
                <c:pt idx="809">
                  <c:v>6.0470586013523075E-3</c:v>
                </c:pt>
                <c:pt idx="810">
                  <c:v>6.0004500348494324E-3</c:v>
                </c:pt>
                <c:pt idx="811">
                  <c:v>5.9540518573623392E-3</c:v>
                </c:pt>
                <c:pt idx="812">
                  <c:v>5.9078647529792689E-3</c:v>
                </c:pt>
                <c:pt idx="813">
                  <c:v>5.8618893847214573E-3</c:v>
                </c:pt>
                <c:pt idx="814">
                  <c:v>5.8161263946405134E-3</c:v>
                </c:pt>
                <c:pt idx="815">
                  <c:v>5.7705764039176601E-3</c:v>
                </c:pt>
                <c:pt idx="816">
                  <c:v>5.7252400129647815E-3</c:v>
                </c:pt>
                <c:pt idx="817">
                  <c:v>5.6801178015272787E-3</c:v>
                </c:pt>
                <c:pt idx="818">
                  <c:v>5.6352103287886949E-3</c:v>
                </c:pt>
                <c:pt idx="819">
                  <c:v>5.590518133477055E-3</c:v>
                </c:pt>
                <c:pt idx="820">
                  <c:v>5.5460417339729473E-3</c:v>
                </c:pt>
                <c:pt idx="821">
                  <c:v>5.501781628419254E-3</c:v>
                </c:pt>
                <c:pt idx="822">
                  <c:v>5.4577382948325414E-3</c:v>
                </c:pt>
                <c:pt idx="823">
                  <c:v>5.4139121912160654E-3</c:v>
                </c:pt>
                <c:pt idx="824">
                  <c:v>5.3703037556743676E-3</c:v>
                </c:pt>
                <c:pt idx="825">
                  <c:v>5.3269134065294307E-3</c:v>
                </c:pt>
                <c:pt idx="826">
                  <c:v>5.2837415424383596E-3</c:v>
                </c:pt>
                <c:pt idx="827">
                  <c:v>5.2407885425125615E-3</c:v>
                </c:pt>
                <c:pt idx="828">
                  <c:v>5.1980547664383916E-3</c:v>
                </c:pt>
                <c:pt idx="829">
                  <c:v>5.1555405545992538E-3</c:v>
                </c:pt>
                <c:pt idx="830">
                  <c:v>5.1132462281990865E-3</c:v>
                </c:pt>
                <c:pt idx="831">
                  <c:v>5.0711720893872395E-3</c:v>
                </c:pt>
                <c:pt idx="832">
                  <c:v>5.0293184213847167E-3</c:v>
                </c:pt>
                <c:pt idx="833">
                  <c:v>4.9876854886116932E-3</c:v>
                </c:pt>
                <c:pt idx="834">
                  <c:v>4.9462735368163762E-3</c:v>
                </c:pt>
                <c:pt idx="835">
                  <c:v>4.9050827932050822E-3</c:v>
                </c:pt>
                <c:pt idx="836">
                  <c:v>4.8641134665735677E-3</c:v>
                </c:pt>
                <c:pt idx="837">
                  <c:v>4.8233657474395491E-3</c:v>
                </c:pt>
                <c:pt idx="838">
                  <c:v>4.7828398081763953E-3</c:v>
                </c:pt>
                <c:pt idx="839">
                  <c:v>4.7425358031479648E-3</c:v>
                </c:pt>
                <c:pt idx="840">
                  <c:v>4.7024538688445455E-3</c:v>
                </c:pt>
                <c:pt idx="841">
                  <c:v>4.6625941240198776E-3</c:v>
                </c:pt>
                <c:pt idx="842">
                  <c:v>4.622956669829233E-3</c:v>
                </c:pt>
                <c:pt idx="843">
                  <c:v>4.5835415899685168E-3</c:v>
                </c:pt>
                <c:pt idx="844">
                  <c:v>4.5443489508143458E-3</c:v>
                </c:pt>
                <c:pt idx="845">
                  <c:v>4.5053788015651103E-3</c:v>
                </c:pt>
                <c:pt idx="846">
                  <c:v>4.4666311743829547E-3</c:v>
                </c:pt>
                <c:pt idx="847">
                  <c:v>4.4281060845366782E-3</c:v>
                </c:pt>
                <c:pt idx="848">
                  <c:v>4.3898035305454889E-3</c:v>
                </c:pt>
                <c:pt idx="849">
                  <c:v>4.3517234943236246E-3</c:v>
                </c:pt>
                <c:pt idx="850">
                  <c:v>4.3138659413257856E-3</c:v>
                </c:pt>
                <c:pt idx="851">
                  <c:v>4.2762308206933403E-3</c:v>
                </c:pt>
                <c:pt idx="852">
                  <c:v>4.2388180654013225E-3</c:v>
                </c:pt>
                <c:pt idx="853">
                  <c:v>4.2016275924061279E-3</c:v>
                </c:pt>
                <c:pt idx="854">
                  <c:v>4.1646593027939351E-3</c:v>
                </c:pt>
                <c:pt idx="855">
                  <c:v>4.1279130819297932E-3</c:v>
                </c:pt>
                <c:pt idx="856">
                  <c:v>4.0913887996073539E-3</c:v>
                </c:pt>
                <c:pt idx="857">
                  <c:v>4.0550863101992268E-3</c:v>
                </c:pt>
                <c:pt idx="858">
                  <c:v>4.0190054528079231E-3</c:v>
                </c:pt>
                <c:pt idx="859">
                  <c:v>3.9831460514173659E-3</c:v>
                </c:pt>
                <c:pt idx="860">
                  <c:v>3.9475079150449255E-3</c:v>
                </c:pt>
                <c:pt idx="861">
                  <c:v>3.9120908378939738E-3</c:v>
                </c:pt>
                <c:pt idx="862">
                  <c:v>3.8768945995069164E-3</c:v>
                </c:pt>
                <c:pt idx="863">
                  <c:v>3.8419189649186733E-3</c:v>
                </c:pt>
                <c:pt idx="864">
                  <c:v>3.8071636848105851E-3</c:v>
                </c:pt>
                <c:pt idx="865">
                  <c:v>3.7726284956647298E-3</c:v>
                </c:pt>
                <c:pt idx="866">
                  <c:v>3.7383131199186007E-3</c:v>
                </c:pt>
                <c:pt idx="867">
                  <c:v>3.7042172661201364E-3</c:v>
                </c:pt>
                <c:pt idx="868">
                  <c:v>3.6703406290830663E-3</c:v>
                </c:pt>
                <c:pt idx="869">
                  <c:v>3.6366828900425566E-3</c:v>
                </c:pt>
                <c:pt idx="870">
                  <c:v>3.6032437168111212E-3</c:v>
                </c:pt>
                <c:pt idx="871">
                  <c:v>3.5700227639347739E-3</c:v>
                </c:pt>
                <c:pt idx="872">
                  <c:v>3.5370196728493927E-3</c:v>
                </c:pt>
                <c:pt idx="873">
                  <c:v>3.5042340720372895E-3</c:v>
                </c:pt>
                <c:pt idx="874">
                  <c:v>3.4716655771839335E-3</c:v>
                </c:pt>
                <c:pt idx="875">
                  <c:v>3.4393137913348187E-3</c:v>
                </c:pt>
                <c:pt idx="876">
                  <c:v>3.4071783050524523E-3</c:v>
                </c:pt>
                <c:pt idx="877">
                  <c:v>3.3752586965734317E-3</c:v>
                </c:pt>
                <c:pt idx="878">
                  <c:v>3.3435545319655821E-3</c:v>
                </c:pt>
                <c:pt idx="879">
                  <c:v>3.3120653652851622E-3</c:v>
                </c:pt>
                <c:pt idx="880">
                  <c:v>3.2807907387340544E-3</c:v>
                </c:pt>
                <c:pt idx="881">
                  <c:v>3.2497301828169865E-3</c:v>
                </c:pt>
                <c:pt idx="882">
                  <c:v>3.2188832164986932E-3</c:v>
                </c:pt>
                <c:pt idx="883">
                  <c:v>3.1882493473610581E-3</c:v>
                </c:pt>
                <c:pt idx="884">
                  <c:v>3.1578280717601587E-3</c:v>
                </c:pt>
                <c:pt idx="885">
                  <c:v>3.1276188749832256E-3</c:v>
                </c:pt>
                <c:pt idx="886">
                  <c:v>3.0976212314054847E-3</c:v>
                </c:pt>
                <c:pt idx="887">
                  <c:v>3.0678346046468506E-3</c:v>
                </c:pt>
                <c:pt idx="888">
                  <c:v>3.0382584477284657E-3</c:v>
                </c:pt>
                <c:pt idx="889">
                  <c:v>3.0088922032290469E-3</c:v>
                </c:pt>
                <c:pt idx="890">
                  <c:v>2.9797353034410304E-3</c:v>
                </c:pt>
                <c:pt idx="891">
                  <c:v>2.9507871705264899E-3</c:v>
                </c:pt>
                <c:pt idx="892">
                  <c:v>2.9220472166727996E-3</c:v>
                </c:pt>
                <c:pt idx="893">
                  <c:v>2.8935148442480367E-3</c:v>
                </c:pt>
                <c:pt idx="894">
                  <c:v>2.8651894459560826E-3</c:v>
                </c:pt>
                <c:pt idx="895">
                  <c:v>2.8370704049914268E-3</c:v>
                </c:pt>
                <c:pt idx="896">
                  <c:v>2.8091570951936286E-3</c:v>
                </c:pt>
                <c:pt idx="897">
                  <c:v>2.7814488812014314E-3</c:v>
                </c:pt>
                <c:pt idx="898">
                  <c:v>2.7539451186065151E-3</c:v>
                </c:pt>
                <c:pt idx="899">
                  <c:v>2.7266451541068455E-3</c:v>
                </c:pt>
                <c:pt idx="900">
                  <c:v>2.699548325659629E-3</c:v>
                </c:pt>
                <c:pt idx="901">
                  <c:v>2.6726539626338278E-3</c:v>
                </c:pt>
                <c:pt idx="902">
                  <c:v>2.6459613859622397E-3</c:v>
                </c:pt>
                <c:pt idx="903">
                  <c:v>2.6194699082931088E-3</c:v>
                </c:pt>
                <c:pt idx="904">
                  <c:v>2.5931788341412533E-3</c:v>
                </c:pt>
                <c:pt idx="905">
                  <c:v>2.5670874600386981E-3</c:v>
                </c:pt>
                <c:pt idx="906">
                  <c:v>2.541195074684784E-3</c:v>
                </c:pt>
                <c:pt idx="907">
                  <c:v>2.5155009590957502E-3</c:v>
                </c:pt>
                <c:pt idx="908">
                  <c:v>2.4900043867537628E-3</c:v>
                </c:pt>
                <c:pt idx="909">
                  <c:v>2.4647046237553645E-3</c:v>
                </c:pt>
                <c:pt idx="910">
                  <c:v>2.4396009289593609E-3</c:v>
                </c:pt>
                <c:pt idx="911">
                  <c:v>2.4146925541340888E-3</c:v>
                </c:pt>
                <c:pt idx="912">
                  <c:v>2.389978744104074E-3</c:v>
                </c:pt>
                <c:pt idx="913">
                  <c:v>2.3654587368960593E-3</c:v>
                </c:pt>
                <c:pt idx="914">
                  <c:v>2.3411317638843796E-3</c:v>
                </c:pt>
                <c:pt idx="915">
                  <c:v>2.316997049935684E-3</c:v>
                </c:pt>
                <c:pt idx="916">
                  <c:v>2.2930538135529661E-3</c:v>
                </c:pt>
                <c:pt idx="917">
                  <c:v>2.26930126701892E-3</c:v>
                </c:pt>
                <c:pt idx="918">
                  <c:v>2.2457386165385751E-3</c:v>
                </c:pt>
                <c:pt idx="919">
                  <c:v>2.2223650623812165E-3</c:v>
                </c:pt>
                <c:pt idx="920">
                  <c:v>2.1991797990215793E-3</c:v>
                </c:pt>
                <c:pt idx="921">
                  <c:v>2.176182015280281E-3</c:v>
                </c:pt>
                <c:pt idx="922">
                  <c:v>2.1533708944635049E-3</c:v>
                </c:pt>
                <c:pt idx="923">
                  <c:v>2.1307456145019071E-3</c:v>
                </c:pt>
                <c:pt idx="924">
                  <c:v>2.108305348088734E-3</c:v>
                </c:pt>
                <c:pt idx="925">
                  <c:v>2.0860492628171478E-3</c:v>
                </c:pt>
                <c:pt idx="926">
                  <c:v>2.0639765213167371E-3</c:v>
                </c:pt>
                <c:pt idx="927">
                  <c:v>2.0420862813892052E-3</c:v>
                </c:pt>
                <c:pt idx="928">
                  <c:v>2.0203776961432306E-3</c:v>
                </c:pt>
                <c:pt idx="929">
                  <c:v>1.9988499141284713E-3</c:v>
                </c:pt>
                <c:pt idx="930">
                  <c:v>1.9775020794687253E-3</c:v>
                </c:pt>
                <c:pt idx="931">
                  <c:v>1.9563333319942127E-3</c:v>
                </c:pt>
                <c:pt idx="932">
                  <c:v>1.9353428073729943E-3</c:v>
                </c:pt>
                <c:pt idx="933">
                  <c:v>1.9145296372414847E-3</c:v>
                </c:pt>
                <c:pt idx="934">
                  <c:v>1.8938929493340856E-3</c:v>
                </c:pt>
                <c:pt idx="935">
                  <c:v>1.8734318676119003E-3</c:v>
                </c:pt>
                <c:pt idx="936">
                  <c:v>1.853145512390535E-3</c:v>
                </c:pt>
                <c:pt idx="937">
                  <c:v>1.833033000466973E-3</c:v>
                </c:pt>
                <c:pt idx="938">
                  <c:v>1.8130934452455201E-3</c:v>
                </c:pt>
                <c:pt idx="939">
                  <c:v>1.7933259568627957E-3</c:v>
                </c:pt>
                <c:pt idx="940">
                  <c:v>1.7737296423117799E-3</c:v>
                </c:pt>
                <c:pt idx="941">
                  <c:v>1.7543036055649001E-3</c:v>
                </c:pt>
                <c:pt idx="942">
                  <c:v>1.7350469476961471E-3</c:v>
                </c:pt>
                <c:pt idx="943">
                  <c:v>1.7159587670022161E-3</c:v>
                </c:pt>
                <c:pt idx="944">
                  <c:v>1.6970381591226644E-3</c:v>
                </c:pt>
                <c:pt idx="945">
                  <c:v>1.678284217159081E-3</c:v>
                </c:pt>
                <c:pt idx="946">
                  <c:v>1.659696031793259E-3</c:v>
                </c:pt>
                <c:pt idx="947">
                  <c:v>1.6412726914043607E-3</c:v>
                </c:pt>
                <c:pt idx="948">
                  <c:v>1.6230132821850748E-3</c:v>
                </c:pt>
                <c:pt idx="949">
                  <c:v>1.6049168882567618E-3</c:v>
                </c:pt>
                <c:pt idx="950">
                  <c:v>1.586982591783571E-3</c:v>
                </c:pt>
                <c:pt idx="951">
                  <c:v>1.5692094730855319E-3</c:v>
                </c:pt>
                <c:pt idx="952">
                  <c:v>1.5515966107506112E-3</c:v>
                </c:pt>
                <c:pt idx="953">
                  <c:v>1.5341430817457382E-3</c:v>
                </c:pt>
                <c:pt idx="954">
                  <c:v>1.5168479615267785E-3</c:v>
                </c:pt>
                <c:pt idx="955">
                  <c:v>1.4997103241474611E-3</c:v>
                </c:pt>
                <c:pt idx="956">
                  <c:v>1.4827292423672585E-3</c:v>
                </c:pt>
                <c:pt idx="957">
                  <c:v>1.4659037877582071E-3</c:v>
                </c:pt>
                <c:pt idx="958">
                  <c:v>1.4492330308106649E-3</c:v>
                </c:pt>
                <c:pt idx="959">
                  <c:v>1.432716041038006E-3</c:v>
                </c:pt>
                <c:pt idx="960">
                  <c:v>1.416351887080251E-3</c:v>
                </c:pt>
                <c:pt idx="961">
                  <c:v>1.4001396368066201E-3</c:v>
                </c:pt>
                <c:pt idx="962">
                  <c:v>1.3840783574170189E-3</c:v>
                </c:pt>
                <c:pt idx="963">
                  <c:v>1.3681671155424372E-3</c:v>
                </c:pt>
                <c:pt idx="964">
                  <c:v>1.3524049773442773E-3</c:v>
                </c:pt>
                <c:pt idx="965">
                  <c:v>1.3367910086125993E-3</c:v>
                </c:pt>
                <c:pt idx="966">
                  <c:v>1.321324274863273E-3</c:v>
                </c:pt>
                <c:pt idx="967">
                  <c:v>1.3060038414340551E-3</c:v>
                </c:pt>
                <c:pt idx="968">
                  <c:v>1.290828773579569E-3</c:v>
                </c:pt>
                <c:pt idx="969">
                  <c:v>1.2757981365652011E-3</c:v>
                </c:pt>
                <c:pt idx="970">
                  <c:v>1.260910995759903E-3</c:v>
                </c:pt>
                <c:pt idx="971">
                  <c:v>1.2461664167278987E-3</c:v>
                </c:pt>
                <c:pt idx="972">
                  <c:v>1.2315634653193056E-3</c:v>
                </c:pt>
                <c:pt idx="973">
                  <c:v>1.2171012077596582E-3</c:v>
                </c:pt>
                <c:pt idx="974">
                  <c:v>1.2027787107383278E-3</c:v>
                </c:pt>
                <c:pt idx="975">
                  <c:v>1.1885950414958683E-3</c:v>
                </c:pt>
                <c:pt idx="976">
                  <c:v>1.174549267910245E-3</c:v>
                </c:pt>
                <c:pt idx="977">
                  <c:v>1.160640458581983E-3</c:v>
                </c:pt>
                <c:pt idx="978">
                  <c:v>1.1468676829182107E-3</c:v>
                </c:pt>
                <c:pt idx="979">
                  <c:v>1.133230011215619E-3</c:v>
                </c:pt>
                <c:pt idx="980">
                  <c:v>1.1197265147423184E-3</c:v>
                </c:pt>
                <c:pt idx="981">
                  <c:v>1.106356265818606E-3</c:v>
                </c:pt>
                <c:pt idx="982">
                  <c:v>1.0931183378966409E-3</c:v>
                </c:pt>
                <c:pt idx="983">
                  <c:v>1.0800118056390271E-3</c:v>
                </c:pt>
                <c:pt idx="984">
                  <c:v>1.0670357449963086E-3</c:v>
                </c:pt>
                <c:pt idx="985">
                  <c:v>1.0541892332833743E-3</c:v>
                </c:pt>
                <c:pt idx="986">
                  <c:v>1.0414713492547776E-3</c:v>
                </c:pt>
                <c:pt idx="987">
                  <c:v>1.0288811731789711E-3</c:v>
                </c:pt>
                <c:pt idx="988">
                  <c:v>1.0164177869114574E-3</c:v>
                </c:pt>
                <c:pt idx="989">
                  <c:v>1.0040802739668636E-3</c:v>
                </c:pt>
                <c:pt idx="990">
                  <c:v>9.9186771958993019E-4</c:v>
                </c:pt>
                <c:pt idx="991">
                  <c:v>9.7977921082542923E-4</c:v>
                </c:pt>
                <c:pt idx="992">
                  <c:v>9.6781383658700961E-4</c:v>
                </c:pt>
                <c:pt idx="993">
                  <c:v>9.5597068772497115E-4</c:v>
                </c:pt>
                <c:pt idx="994">
                  <c:v>9.4424885709296915E-4</c:v>
                </c:pt>
                <c:pt idx="995">
                  <c:v>9.3264743961365417E-4</c:v>
                </c:pt>
                <c:pt idx="996">
                  <c:v>9.2116553234326056E-4</c:v>
                </c:pt>
                <c:pt idx="997">
                  <c:v>9.0980223453512019E-4</c:v>
                </c:pt>
                <c:pt idx="998">
                  <c:v>8.9855664770213835E-4</c:v>
                </c:pt>
                <c:pt idx="999">
                  <c:v>8.8742787567820669E-4</c:v>
                </c:pt>
                <c:pt idx="1000">
                  <c:v>8.7641502467858087E-4</c:v>
                </c:pt>
              </c:numCache>
            </c:numRef>
          </c:yVal>
        </c:ser>
        <c:ser>
          <c:idx val="3"/>
          <c:order val="7"/>
          <c:spPr>
            <a:ln w="28575">
              <a:noFill/>
            </a:ln>
          </c:spPr>
          <c:marker>
            <c:symbol val="none"/>
          </c:marker>
          <c:dLbls>
            <c:dLbl>
              <c:idx val="0"/>
              <c:layout/>
              <c:tx>
                <c:rich>
                  <a:bodyPr/>
                  <a:lstStyle/>
                  <a:p>
                    <a:pPr>
                      <a:defRPr sz="1000" b="1" i="0" u="none" strike="noStrike" baseline="0">
                        <a:solidFill>
                          <a:srgbClr val="0000FF"/>
                        </a:solidFill>
                        <a:latin typeface="Arial"/>
                        <a:ea typeface="Arial"/>
                        <a:cs typeface="Arial"/>
                      </a:defRPr>
                    </a:pPr>
                    <a:r>
                      <a:rPr lang="en-AU"/>
                      <a:t>Population</a:t>
                    </a:r>
                  </a:p>
                </c:rich>
              </c:tx>
              <c:spPr>
                <a:noFill/>
                <a:ln w="25400">
                  <a:noFill/>
                </a:ln>
              </c:spPr>
              <c:dLblPos val="ctr"/>
            </c:dLbl>
            <c:delete val="1"/>
          </c:dLbls>
          <c:xVal>
            <c:numRef>
              <c:f>CIjumping!$CC$42</c:f>
              <c:numCache>
                <c:formatCode>General</c:formatCode>
                <c:ptCount val="1"/>
                <c:pt idx="0">
                  <c:v>8</c:v>
                </c:pt>
              </c:numCache>
            </c:numRef>
          </c:xVal>
          <c:yVal>
            <c:numRef>
              <c:f>CIjumping!$CD$42</c:f>
              <c:numCache>
                <c:formatCode>General</c:formatCode>
                <c:ptCount val="1"/>
                <c:pt idx="0">
                  <c:v>1.9947114020071634E-2</c:v>
                </c:pt>
              </c:numCache>
            </c:numRef>
          </c:yVal>
        </c:ser>
        <c:axId val="221160960"/>
        <c:axId val="221162496"/>
      </c:scatterChart>
      <c:valAx>
        <c:axId val="221160960"/>
        <c:scaling>
          <c:orientation val="minMax"/>
          <c:max val="100"/>
          <c:min val="0"/>
        </c:scaling>
        <c:axPos val="t"/>
        <c:numFmt formatCode="0" sourceLinked="0"/>
        <c:minorTickMark val="out"/>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21162496"/>
        <c:crosses val="max"/>
        <c:crossBetween val="midCat"/>
        <c:majorUnit val="10"/>
        <c:minorUnit val="2"/>
      </c:valAx>
      <c:valAx>
        <c:axId val="221162496"/>
        <c:scaling>
          <c:orientation val="minMax"/>
          <c:min val="0"/>
        </c:scaling>
        <c:axPos val="l"/>
        <c:title>
          <c:tx>
            <c:rich>
              <a:bodyPr/>
              <a:lstStyle/>
              <a:p>
                <a:pPr>
                  <a:defRPr sz="900" b="0" i="0" u="none" strike="noStrike" baseline="0">
                    <a:solidFill>
                      <a:srgbClr val="000000"/>
                    </a:solidFill>
                    <a:latin typeface="Arial"/>
                    <a:ea typeface="Arial"/>
                    <a:cs typeface="Arial"/>
                  </a:defRPr>
                </a:pPr>
                <a:r>
                  <a:rPr lang="en-AU"/>
                  <a:t>Probability density</a:t>
                </a:r>
              </a:p>
            </c:rich>
          </c:tx>
          <c:layout>
            <c:manualLayout>
              <c:xMode val="edge"/>
              <c:yMode val="edge"/>
              <c:x val="7.739938080495363E-3"/>
              <c:y val="0.31443298969072198"/>
            </c:manualLayout>
          </c:layout>
          <c:spPr>
            <a:noFill/>
            <a:ln w="25400">
              <a:noFill/>
            </a:ln>
          </c:spPr>
        </c:title>
        <c:numFmt formatCode="General" sourceLinked="1"/>
        <c:tickLblPos val="none"/>
        <c:spPr>
          <a:ln w="3175">
            <a:solidFill>
              <a:srgbClr val="000000"/>
            </a:solidFill>
            <a:prstDash val="solid"/>
          </a:ln>
        </c:spPr>
        <c:crossAx val="221160960"/>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paperSize="9"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4439655172413793"/>
          <c:y val="5.8925526468335737E-2"/>
          <c:w val="0.84698275862068961"/>
          <c:h val="0.93414290489508711"/>
        </c:manualLayout>
      </c:layout>
      <c:scatterChart>
        <c:scatterStyle val="lineMarker"/>
        <c:ser>
          <c:idx val="16"/>
          <c:order val="0"/>
          <c:spPr>
            <a:ln w="28575">
              <a:noFill/>
            </a:ln>
          </c:spPr>
          <c:marker>
            <c:symbol val="none"/>
          </c:marker>
          <c:errBars>
            <c:errDir val="x"/>
            <c:errBarType val="plus"/>
            <c:errValType val="cust"/>
            <c:noEndCap val="1"/>
            <c:plus>
              <c:numRef>
                <c:f>'CI and p'!$AI$16:$AI$22</c:f>
                <c:numCache>
                  <c:formatCode>General</c:formatCode>
                  <c:ptCount val="7"/>
                  <c:pt idx="0">
                    <c:v>#N/A</c:v>
                  </c:pt>
                  <c:pt idx="1">
                    <c:v>#N/A</c:v>
                  </c:pt>
                  <c:pt idx="2">
                    <c:v>#N/A</c:v>
                  </c:pt>
                  <c:pt idx="3">
                    <c:v>#N/A</c:v>
                  </c:pt>
                  <c:pt idx="4">
                    <c:v>#N/A</c:v>
                  </c:pt>
                </c:numCache>
              </c:numRef>
            </c:plus>
            <c:spPr>
              <a:ln w="12700">
                <a:solidFill>
                  <a:srgbClr val="800000"/>
                </a:solidFill>
                <a:prstDash val="sysDash"/>
              </a:ln>
            </c:spPr>
          </c:errBars>
          <c:xVal>
            <c:numRef>
              <c:f>'CI and p'!$AD$16:$AD$18</c:f>
              <c:numCache>
                <c:formatCode>General</c:formatCode>
                <c:ptCount val="3"/>
                <c:pt idx="0">
                  <c:v>#N/A</c:v>
                </c:pt>
                <c:pt idx="1">
                  <c:v>#N/A</c:v>
                </c:pt>
                <c:pt idx="2">
                  <c:v>#N/A</c:v>
                </c:pt>
              </c:numCache>
            </c:numRef>
          </c:xVal>
          <c:yVal>
            <c:numRef>
              <c:f>'CI and p'!$AH$16:$AH$18</c:f>
              <c:numCache>
                <c:formatCode>General</c:formatCode>
                <c:ptCount val="3"/>
                <c:pt idx="0">
                  <c:v>4.4305267314916605</c:v>
                </c:pt>
                <c:pt idx="1">
                  <c:v>3.7158293035489098</c:v>
                </c:pt>
                <c:pt idx="2">
                  <c:v>2.4215515655446005</c:v>
                </c:pt>
              </c:numCache>
            </c:numRef>
          </c:yVal>
        </c:ser>
        <c:ser>
          <c:idx val="1"/>
          <c:order val="1"/>
          <c:spPr>
            <a:ln w="28575">
              <a:noFill/>
            </a:ln>
          </c:spPr>
          <c:marker>
            <c:symbol val="circle"/>
            <c:size val="11"/>
            <c:spPr>
              <a:solidFill>
                <a:srgbClr val="000000"/>
              </a:solidFill>
              <a:ln>
                <a:solidFill>
                  <a:srgbClr val="000000"/>
                </a:solidFill>
                <a:prstDash val="solid"/>
              </a:ln>
            </c:spPr>
          </c:marker>
          <c:dLbls>
            <c:dLbl>
              <c:idx val="0"/>
              <c:delete val="1"/>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CatName val="1"/>
          </c:dLbls>
          <c:errBars>
            <c:errDir val="y"/>
            <c:errBarType val="both"/>
            <c:errValType val="cust"/>
            <c:noEndCap val="1"/>
            <c:plus>
              <c:numRef>
                <c:f>'CI and p'!$AF$8</c:f>
                <c:numCache>
                  <c:formatCode>General</c:formatCode>
                  <c:ptCount val="1"/>
                  <c:pt idx="0">
                    <c:v>1.959963984540054</c:v>
                  </c:pt>
                </c:numCache>
              </c:numRef>
            </c:plus>
            <c:minus>
              <c:numRef>
                <c:f>'CI and p'!$AF$8</c:f>
                <c:numCache>
                  <c:formatCode>General</c:formatCode>
                  <c:ptCount val="1"/>
                  <c:pt idx="0">
                    <c:v>1.959963984540054</c:v>
                  </c:pt>
                </c:numCache>
              </c:numRef>
            </c:minus>
            <c:spPr>
              <a:ln w="38100">
                <a:solidFill>
                  <a:srgbClr val="000000"/>
                </a:solidFill>
                <a:prstDash val="solid"/>
              </a:ln>
            </c:spPr>
          </c:errBars>
          <c:xVal>
            <c:numRef>
              <c:f>'CI and p'!$AE$1</c:f>
              <c:numCache>
                <c:formatCode>General</c:formatCode>
                <c:ptCount val="1"/>
                <c:pt idx="0">
                  <c:v>1</c:v>
                </c:pt>
              </c:numCache>
            </c:numRef>
          </c:xVal>
          <c:yVal>
            <c:numRef>
              <c:f>'CI and p'!$AF$1</c:f>
              <c:numCache>
                <c:formatCode>General</c:formatCode>
                <c:ptCount val="1"/>
                <c:pt idx="0">
                  <c:v>1.1399999999999999</c:v>
                </c:pt>
              </c:numCache>
            </c:numRef>
          </c:yVal>
        </c:ser>
        <c:ser>
          <c:idx val="8"/>
          <c:order val="2"/>
          <c:spPr>
            <a:ln w="28575">
              <a:noFill/>
            </a:ln>
          </c:spPr>
          <c:marker>
            <c:symbol val="none"/>
          </c:marker>
          <c:dLbls>
            <c:dLbl>
              <c:idx val="0"/>
              <c:layout/>
              <c:tx>
                <c:strRef>
                  <c:f>'CI and p'!$AF$11</c:f>
                  <c:strCache>
                    <c:ptCount val="1"/>
                    <c:pt idx="0">
                      <c:v>.25</c:v>
                    </c:pt>
                  </c:strCache>
                </c:strRef>
              </c:tx>
              <c:dLblPos val="ctr"/>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Val val="1"/>
          </c:dLbls>
          <c:xVal>
            <c:numRef>
              <c:f>'CI and p'!$AE$10</c:f>
              <c:numCache>
                <c:formatCode>General</c:formatCode>
                <c:ptCount val="1"/>
                <c:pt idx="0">
                  <c:v>0.9</c:v>
                </c:pt>
              </c:numCache>
            </c:numRef>
          </c:xVal>
          <c:yVal>
            <c:numRef>
              <c:f>'CI and p'!$AF$10</c:f>
              <c:numCache>
                <c:formatCode>General</c:formatCode>
                <c:ptCount val="1"/>
                <c:pt idx="0">
                  <c:v>-0.56000000000000005</c:v>
                </c:pt>
              </c:numCache>
            </c:numRef>
          </c:yVal>
        </c:ser>
        <c:ser>
          <c:idx val="7"/>
          <c:order val="3"/>
          <c:spPr>
            <a:ln w="28575">
              <a:noFill/>
            </a:ln>
          </c:spPr>
          <c:marker>
            <c:symbol val="none"/>
          </c:marker>
          <c:dLbls>
            <c:dLbl>
              <c:idx val="0"/>
              <c:layout/>
              <c:tx>
                <c:rich>
                  <a:bodyPr/>
                  <a:lstStyle/>
                  <a:p>
                    <a:pPr>
                      <a:defRPr sz="1200" b="0" i="1" u="none" strike="noStrike" baseline="0">
                        <a:solidFill>
                          <a:srgbClr val="000000"/>
                        </a:solidFill>
                        <a:latin typeface="Arial"/>
                        <a:ea typeface="Arial"/>
                        <a:cs typeface="Arial"/>
                      </a:defRPr>
                    </a:pPr>
                    <a:r>
                      <a:rPr lang="en-AU" sz="1200" b="0" i="1" u="none" strike="noStrike" baseline="0">
                        <a:solidFill>
                          <a:srgbClr val="000000"/>
                        </a:solidFill>
                        <a:latin typeface="Arial"/>
                        <a:cs typeface="Arial"/>
                      </a:rPr>
                      <a:t>p</a:t>
                    </a:r>
                    <a:r>
                      <a:rPr lang="en-AU" sz="1200" b="0" i="0" u="none" strike="noStrike" baseline="0">
                        <a:solidFill>
                          <a:srgbClr val="000000"/>
                        </a:solidFill>
                        <a:latin typeface="Arial"/>
                        <a:cs typeface="Arial"/>
                      </a:rPr>
                      <a:t>=</a:t>
                    </a:r>
                  </a:p>
                </c:rich>
              </c:tx>
              <c:spPr>
                <a:noFill/>
                <a:ln w="25400">
                  <a:noFill/>
                </a:ln>
              </c:spPr>
              <c:dLblPos val="ctr"/>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'CI and p'!$AE$9</c:f>
              <c:numCache>
                <c:formatCode>General</c:formatCode>
                <c:ptCount val="1"/>
                <c:pt idx="0">
                  <c:v>0.9</c:v>
                </c:pt>
              </c:numCache>
            </c:numRef>
          </c:xVal>
          <c:yVal>
            <c:numRef>
              <c:f>'CI and p'!$AF$9</c:f>
              <c:numCache>
                <c:formatCode>General</c:formatCode>
                <c:ptCount val="1"/>
                <c:pt idx="0">
                  <c:v>-0.28000000000000003</c:v>
                </c:pt>
              </c:numCache>
            </c:numRef>
          </c:yVal>
        </c:ser>
        <c:ser>
          <c:idx val="15"/>
          <c:order val="4"/>
          <c:spPr>
            <a:ln w="28575">
              <a:noFill/>
            </a:ln>
          </c:spPr>
          <c:marker>
            <c:symbol val="circle"/>
            <c:size val="9"/>
            <c:spPr>
              <a:solidFill>
                <a:srgbClr val="800000"/>
              </a:solidFill>
              <a:ln>
                <a:solidFill>
                  <a:srgbClr val="800000"/>
                </a:solidFill>
                <a:prstDash val="solid"/>
              </a:ln>
            </c:spPr>
          </c:marker>
          <c:errBars>
            <c:errDir val="y"/>
            <c:errBarType val="both"/>
            <c:errValType val="cust"/>
            <c:noEndCap val="1"/>
            <c:plus>
              <c:numRef>
                <c:f>'CI and p'!$AG$16:$AG$22</c:f>
                <c:numCache>
                  <c:formatCode>General</c:formatCode>
                  <c:ptCount val="7"/>
                  <c:pt idx="0">
                    <c:v>3.2905267314916609</c:v>
                  </c:pt>
                  <c:pt idx="1">
                    <c:v>2.5758293035489102</c:v>
                  </c:pt>
                  <c:pt idx="2">
                    <c:v>1.2815515655446004</c:v>
                  </c:pt>
                  <c:pt idx="3">
                    <c:v>1.2815515655446004</c:v>
                  </c:pt>
                  <c:pt idx="4">
                    <c:v>0.67448975019608159</c:v>
                  </c:pt>
                  <c:pt idx="6">
                    <c:v>#N/A</c:v>
                  </c:pt>
                </c:numCache>
              </c:numRef>
            </c:plus>
            <c:minus>
              <c:numRef>
                <c:f>'CI and p'!$AG$16:$AG$22</c:f>
                <c:numCache>
                  <c:formatCode>General</c:formatCode>
                  <c:ptCount val="7"/>
                  <c:pt idx="0">
                    <c:v>3.2905267314916609</c:v>
                  </c:pt>
                  <c:pt idx="1">
                    <c:v>2.5758293035489102</c:v>
                  </c:pt>
                  <c:pt idx="2">
                    <c:v>1.2815515655446004</c:v>
                  </c:pt>
                  <c:pt idx="3">
                    <c:v>1.2815515655446004</c:v>
                  </c:pt>
                  <c:pt idx="4">
                    <c:v>0.67448975019608159</c:v>
                  </c:pt>
                  <c:pt idx="6">
                    <c:v>#N/A</c:v>
                  </c:pt>
                </c:numCache>
              </c:numRef>
            </c:minus>
            <c:spPr>
              <a:ln w="12700">
                <a:solidFill>
                  <a:srgbClr val="800000"/>
                </a:solidFill>
                <a:prstDash val="solid"/>
              </a:ln>
            </c:spPr>
          </c:errBars>
          <c:xVal>
            <c:numRef>
              <c:f>'CI and p'!$AE$16:$AE$18</c:f>
              <c:numCache>
                <c:formatCode>General</c:formatCode>
                <c:ptCount val="3"/>
                <c:pt idx="0">
                  <c:v>#N/A</c:v>
                </c:pt>
                <c:pt idx="1">
                  <c:v>#N/A</c:v>
                </c:pt>
                <c:pt idx="2">
                  <c:v>#N/A</c:v>
                </c:pt>
              </c:numCache>
            </c:numRef>
          </c:xVal>
          <c:yVal>
            <c:numRef>
              <c:f>'CI and p'!$AF$16:$AF$18</c:f>
              <c:numCache>
                <c:formatCode>General</c:formatCode>
                <c:ptCount val="3"/>
                <c:pt idx="0">
                  <c:v>#N/A</c:v>
                </c:pt>
                <c:pt idx="1">
                  <c:v>#N/A</c:v>
                </c:pt>
                <c:pt idx="2">
                  <c:v>#N/A</c:v>
                </c:pt>
              </c:numCache>
            </c:numRef>
          </c:yVal>
        </c:ser>
        <c:ser>
          <c:idx val="4"/>
          <c:order val="5"/>
          <c:spPr>
            <a:ln w="25400">
              <a:solidFill>
                <a:srgbClr val="0000FF"/>
              </a:solidFill>
              <a:prstDash val="solid"/>
            </a:ln>
          </c:spPr>
          <c:marker>
            <c:symbol val="none"/>
          </c:marker>
          <c:dLbls>
            <c:dLbl>
              <c:idx val="0"/>
              <c:layout/>
              <c:tx>
                <c:rich>
                  <a:bodyPr/>
                  <a:lstStyle/>
                  <a:p>
                    <a:pPr>
                      <a:defRPr sz="1800" b="0" i="0" u="none" strike="noStrike" baseline="0">
                        <a:solidFill>
                          <a:srgbClr val="0000FF"/>
                        </a:solidFill>
                        <a:latin typeface="Symbol"/>
                        <a:ea typeface="Symbol"/>
                        <a:cs typeface="Symbol"/>
                      </a:defRPr>
                    </a:pPr>
                    <a:r>
                      <a:rPr lang="en-AU" sz="1800" b="0" i="0" u="none" strike="noStrike" baseline="0">
                        <a:solidFill>
                          <a:srgbClr val="0000FF"/>
                        </a:solidFill>
                        <a:latin typeface="Symbol"/>
                      </a:rPr>
                      <a:t>m</a:t>
                    </a:r>
                    <a:r>
                      <a:rPr lang="en-AU" sz="1800" b="0" i="0" u="none" strike="noStrike" baseline="-25000">
                        <a:solidFill>
                          <a:srgbClr val="0000FF"/>
                        </a:solidFill>
                        <a:latin typeface="Arial"/>
                        <a:cs typeface="Arial"/>
                      </a:rPr>
                      <a:t>0</a:t>
                    </a:r>
                  </a:p>
                </c:rich>
              </c:tx>
              <c:spPr>
                <a:noFill/>
                <a:ln w="25400">
                  <a:noFill/>
                </a:ln>
              </c:spPr>
              <c:dLblPos val="l"/>
            </c:dLbl>
            <c:dLbl>
              <c:idx val="1"/>
              <c:delete val="1"/>
            </c:dLbl>
            <c:spPr>
              <a:noFill/>
              <a:ln w="25400">
                <a:noFill/>
              </a:ln>
            </c:spPr>
            <c:txPr>
              <a:bodyPr/>
              <a:lstStyle/>
              <a:p>
                <a:pPr>
                  <a:defRPr sz="1800" b="0" i="0" u="none" strike="noStrike" baseline="0">
                    <a:solidFill>
                      <a:srgbClr val="0000FF"/>
                    </a:solidFill>
                    <a:latin typeface="Arial"/>
                    <a:ea typeface="Arial"/>
                    <a:cs typeface="Arial"/>
                  </a:defRPr>
                </a:pPr>
                <a:endParaRPr lang="en-US"/>
              </a:p>
            </c:txPr>
            <c:dLblPos val="l"/>
            <c:showCatName val="1"/>
          </c:dLbls>
          <c:xVal>
            <c:numRef>
              <c:f>'CI and p'!$AE$5</c:f>
              <c:numCache>
                <c:formatCode>General</c:formatCode>
                <c:ptCount val="1"/>
                <c:pt idx="0">
                  <c:v>0</c:v>
                </c:pt>
              </c:numCache>
            </c:numRef>
          </c:xVal>
          <c:yVal>
            <c:numRef>
              <c:f>'CI and p'!$AF$5</c:f>
              <c:numCache>
                <c:formatCode>General</c:formatCode>
                <c:ptCount val="1"/>
                <c:pt idx="0">
                  <c:v>0.05</c:v>
                </c:pt>
              </c:numCache>
            </c:numRef>
          </c:yVal>
        </c:ser>
        <c:ser>
          <c:idx val="10"/>
          <c:order val="6"/>
          <c:spPr>
            <a:ln w="25400">
              <a:solidFill>
                <a:srgbClr val="0000FF"/>
              </a:solidFill>
              <a:prstDash val="solid"/>
            </a:ln>
          </c:spPr>
          <c:marker>
            <c:symbol val="none"/>
          </c:marker>
          <c:xVal>
            <c:numRef>
              <c:f>'CI and p'!$AG$10:$AG$11</c:f>
              <c:numCache>
                <c:formatCode>General</c:formatCode>
                <c:ptCount val="2"/>
                <c:pt idx="0">
                  <c:v>0.28000000000000003</c:v>
                </c:pt>
              </c:numCache>
            </c:numRef>
          </c:xVal>
          <c:yVal>
            <c:numRef>
              <c:f>'CI and p'!$AH$10:$AH$11</c:f>
              <c:numCache>
                <c:formatCode>General</c:formatCode>
                <c:ptCount val="2"/>
              </c:numCache>
            </c:numRef>
          </c:yVal>
        </c:ser>
        <c:ser>
          <c:idx val="20"/>
          <c:order val="7"/>
          <c:spPr>
            <a:ln w="28575">
              <a:noFill/>
            </a:ln>
          </c:spPr>
          <c:marker>
            <c:symbol val="none"/>
          </c:marker>
          <c:errBars>
            <c:errDir val="x"/>
            <c:errBarType val="both"/>
            <c:errValType val="cust"/>
            <c:noEndCap val="1"/>
            <c:plus>
              <c:numRef>
                <c:f>'CI and p'!$AJ$1</c:f>
                <c:numCache>
                  <c:formatCode>General</c:formatCode>
                  <c:ptCount val="1"/>
                  <c:pt idx="0">
                    <c:v>9</c:v>
                  </c:pt>
                </c:numCache>
              </c:numRef>
            </c:plus>
            <c:minus>
              <c:numRef>
                <c:f>'CI and p'!$AI$1</c:f>
                <c:numCache>
                  <c:formatCode>General</c:formatCode>
                  <c:ptCount val="1"/>
                  <c:pt idx="0">
                    <c:v>0.84</c:v>
                  </c:pt>
                </c:numCache>
              </c:numRef>
            </c:minus>
            <c:spPr>
              <a:ln w="12700">
                <a:solidFill>
                  <a:srgbClr val="000000"/>
                </a:solidFill>
                <a:prstDash val="solid"/>
              </a:ln>
            </c:spPr>
          </c:errBars>
          <c:xVal>
            <c:numRef>
              <c:f>'CI and p'!$AE$1</c:f>
              <c:numCache>
                <c:formatCode>General</c:formatCode>
                <c:ptCount val="1"/>
                <c:pt idx="0">
                  <c:v>1</c:v>
                </c:pt>
              </c:numCache>
            </c:numRef>
          </c:xVal>
          <c:yVal>
            <c:numRef>
              <c:f>'CI and p'!$AF$1</c:f>
              <c:numCache>
                <c:formatCode>General</c:formatCode>
                <c:ptCount val="1"/>
                <c:pt idx="0">
                  <c:v>1.1399999999999999</c:v>
                </c:pt>
              </c:numCache>
            </c:numRef>
          </c:yVal>
        </c:ser>
        <c:ser>
          <c:idx val="17"/>
          <c:order val="8"/>
          <c:spPr>
            <a:ln w="28575">
              <a:noFill/>
            </a:ln>
          </c:spPr>
          <c:marker>
            <c:symbol val="none"/>
          </c:marker>
          <c:dLbls>
            <c:dLbl>
              <c:idx val="0"/>
              <c:layout/>
              <c:tx>
                <c:rich>
                  <a:bodyPr/>
                  <a:lstStyle/>
                  <a:p>
                    <a:r>
                      <a:rPr lang="en-AU"/>
                      <a:t>99.9%</a:t>
                    </a:r>
                  </a:p>
                </c:rich>
              </c:tx>
              <c:dLblPos val="l"/>
            </c:dLbl>
            <c:dLbl>
              <c:idx val="1"/>
              <c:layout/>
              <c:tx>
                <c:rich>
                  <a:bodyPr/>
                  <a:lstStyle/>
                  <a:p>
                    <a:r>
                      <a:rPr lang="en-AU"/>
                      <a:t>99%</a:t>
                    </a:r>
                  </a:p>
                </c:rich>
              </c:tx>
              <c:dLblPos val="l"/>
            </c:dLbl>
            <c:dLbl>
              <c:idx val="2"/>
              <c:layout/>
              <c:tx>
                <c:rich>
                  <a:bodyPr/>
                  <a:lstStyle/>
                  <a:p>
                    <a:r>
                      <a:rPr lang="en-AU"/>
                      <a:t>80%</a:t>
                    </a:r>
                  </a:p>
                </c:rich>
              </c:tx>
              <c:dLblPos val="l"/>
            </c:dLbl>
            <c:dLbl>
              <c:idx val="3"/>
              <c:delete val="1"/>
            </c:dLbl>
            <c:dLbl>
              <c:idx val="4"/>
              <c:delete val="1"/>
            </c:dLbl>
            <c:spPr>
              <a:noFill/>
              <a:ln w="25400">
                <a:noFill/>
              </a:ln>
            </c:spPr>
            <c:txPr>
              <a:bodyPr/>
              <a:lstStyle/>
              <a:p>
                <a:pPr>
                  <a:defRPr sz="1100" b="0" i="0" u="none" strike="noStrike" baseline="0">
                    <a:solidFill>
                      <a:srgbClr val="800000"/>
                    </a:solidFill>
                    <a:latin typeface="Arial"/>
                    <a:ea typeface="Arial"/>
                    <a:cs typeface="Arial"/>
                  </a:defRPr>
                </a:pPr>
                <a:endParaRPr lang="en-US"/>
              </a:p>
            </c:txPr>
            <c:dLblPos val="l"/>
            <c:showCatName val="1"/>
          </c:dLbls>
          <c:xVal>
            <c:numRef>
              <c:f>'CI and p'!$AC$16:$AC$20</c:f>
              <c:numCache>
                <c:formatCode>General</c:formatCode>
                <c:ptCount val="5"/>
                <c:pt idx="0">
                  <c:v>#N/A</c:v>
                </c:pt>
                <c:pt idx="1">
                  <c:v>#N/A</c:v>
                </c:pt>
                <c:pt idx="2">
                  <c:v>#N/A</c:v>
                </c:pt>
                <c:pt idx="3">
                  <c:v>#N/A</c:v>
                </c:pt>
                <c:pt idx="4">
                  <c:v>#N/A</c:v>
                </c:pt>
              </c:numCache>
            </c:numRef>
          </c:xVal>
          <c:yVal>
            <c:numRef>
              <c:f>'CI and p'!$AH$16:$AH$20</c:f>
              <c:numCache>
                <c:formatCode>General</c:formatCode>
                <c:ptCount val="5"/>
                <c:pt idx="0">
                  <c:v>4.4305267314916605</c:v>
                </c:pt>
                <c:pt idx="1">
                  <c:v>3.7158293035489098</c:v>
                </c:pt>
                <c:pt idx="2">
                  <c:v>2.4215515655446005</c:v>
                </c:pt>
                <c:pt idx="3">
                  <c:v>2.4215515655446005</c:v>
                </c:pt>
                <c:pt idx="4">
                  <c:v>1.8144897501960815</c:v>
                </c:pt>
              </c:numCache>
            </c:numRef>
          </c:yVal>
        </c:ser>
        <c:ser>
          <c:idx val="19"/>
          <c:order val="9"/>
          <c:spPr>
            <a:ln w="28575">
              <a:noFill/>
            </a:ln>
          </c:spPr>
          <c:marker>
            <c:symbol val="none"/>
          </c:marker>
          <c:dLbls>
            <c:dLbl>
              <c:idx val="0"/>
              <c:layout/>
              <c:tx>
                <c:rich>
                  <a:bodyPr/>
                  <a:lstStyle/>
                  <a:p>
                    <a:pPr>
                      <a:defRPr sz="1400" b="0" i="1" u="none" strike="noStrike" baseline="0">
                        <a:solidFill>
                          <a:srgbClr val="000000"/>
                        </a:solidFill>
                        <a:latin typeface="Arial"/>
                        <a:ea typeface="Arial"/>
                        <a:cs typeface="Arial"/>
                      </a:defRPr>
                    </a:pPr>
                    <a:r>
                      <a:rPr lang="en-AU"/>
                      <a:t>M</a:t>
                    </a:r>
                  </a:p>
                </c:rich>
              </c:tx>
              <c:spPr>
                <a:noFill/>
                <a:ln w="25400">
                  <a:noFill/>
                </a:ln>
              </c:spPr>
              <c:dLblPos val="ctr"/>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ctr"/>
            <c:showCatName val="1"/>
          </c:dLbls>
          <c:xVal>
            <c:numRef>
              <c:f>'CI and p'!$AE$2</c:f>
              <c:numCache>
                <c:formatCode>General</c:formatCode>
                <c:ptCount val="1"/>
                <c:pt idx="0">
                  <c:v>0.1</c:v>
                </c:pt>
              </c:numCache>
            </c:numRef>
          </c:xVal>
          <c:yVal>
            <c:numRef>
              <c:f>'CI and p'!$AF$2</c:f>
              <c:numCache>
                <c:formatCode>General</c:formatCode>
                <c:ptCount val="1"/>
                <c:pt idx="0">
                  <c:v>1.1399999999999999</c:v>
                </c:pt>
              </c:numCache>
            </c:numRef>
          </c:yVal>
        </c:ser>
        <c:ser>
          <c:idx val="0"/>
          <c:order val="10"/>
          <c:spPr>
            <a:ln w="25400">
              <a:solidFill>
                <a:srgbClr val="0000FF"/>
              </a:solidFill>
              <a:prstDash val="solid"/>
            </a:ln>
          </c:spPr>
          <c:marker>
            <c:symbol val="none"/>
          </c:marker>
          <c:xVal>
            <c:numRef>
              <c:f>'CI and p'!$AE$3:$AE$4</c:f>
              <c:numCache>
                <c:formatCode>General</c:formatCode>
                <c:ptCount val="2"/>
                <c:pt idx="0">
                  <c:v>0</c:v>
                </c:pt>
                <c:pt idx="1">
                  <c:v>3</c:v>
                </c:pt>
              </c:numCache>
            </c:numRef>
          </c:xVal>
          <c:yVal>
            <c:numRef>
              <c:f>'CI and p'!$AF$3:$AF$4</c:f>
              <c:numCache>
                <c:formatCode>General</c:formatCode>
                <c:ptCount val="2"/>
                <c:pt idx="0">
                  <c:v>0</c:v>
                </c:pt>
                <c:pt idx="1">
                  <c:v>0</c:v>
                </c:pt>
              </c:numCache>
            </c:numRef>
          </c:yVal>
        </c:ser>
        <c:ser>
          <c:idx val="3"/>
          <c:order val="11"/>
          <c:spPr>
            <a:ln w="12700">
              <a:solidFill>
                <a:srgbClr val="00FFFF"/>
              </a:solidFill>
              <a:prstDash val="solid"/>
            </a:ln>
          </c:spPr>
          <c:marker>
            <c:symbol val="x"/>
            <c:size val="5"/>
            <c:spPr>
              <a:noFill/>
              <a:ln>
                <a:solidFill>
                  <a:srgbClr val="00FFFF"/>
                </a:solidFill>
                <a:prstDash val="solid"/>
              </a:ln>
            </c:spPr>
          </c:marker>
          <c:xVal>
            <c:numRef>
              <c:f>'CI and p'!$AD$16:$AD$20</c:f>
              <c:numCache>
                <c:formatCode>General</c:formatCode>
                <c:ptCount val="5"/>
                <c:pt idx="0">
                  <c:v>#N/A</c:v>
                </c:pt>
                <c:pt idx="1">
                  <c:v>#N/A</c:v>
                </c:pt>
                <c:pt idx="2">
                  <c:v>#N/A</c:v>
                </c:pt>
                <c:pt idx="3">
                  <c:v>#N/A</c:v>
                </c:pt>
                <c:pt idx="4">
                  <c:v>#N/A</c:v>
                </c:pt>
              </c:numCache>
            </c:numRef>
          </c:xVal>
          <c:yVal>
            <c:numRef>
              <c:f>'CI and p'!$AF$12</c:f>
              <c:numCache>
                <c:formatCode>General</c:formatCode>
                <c:ptCount val="1"/>
                <c:pt idx="0">
                  <c:v>-0.56000000000000005</c:v>
                </c:pt>
              </c:numCache>
            </c:numRef>
          </c:yVal>
        </c:ser>
        <c:ser>
          <c:idx val="2"/>
          <c:order val="12"/>
          <c:spPr>
            <a:ln w="12700">
              <a:solidFill>
                <a:srgbClr val="FFFF00"/>
              </a:solidFill>
              <a:prstDash val="solid"/>
            </a:ln>
          </c:spPr>
          <c:marker>
            <c:symbol val="none"/>
          </c:marker>
          <c:dLbls>
            <c:dLbl>
              <c:idx val="0"/>
              <c:layout/>
              <c:tx>
                <c:strRef>
                  <c:f>'CI and p'!$AF$13</c:f>
                  <c:strCache>
                    <c:ptCount val="1"/>
                    <c:pt idx="0">
                      <c:v>.254</c:v>
                    </c:pt>
                  </c:strCache>
                </c:strRef>
              </c:tx>
              <c:dLblPos val="ctr"/>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CatName val="1"/>
          </c:dLbls>
          <c:xVal>
            <c:numRef>
              <c:f>'CI and p'!$AE$12</c:f>
              <c:numCache>
                <c:formatCode>General</c:formatCode>
                <c:ptCount val="1"/>
                <c:pt idx="0">
                  <c:v>#N/A</c:v>
                </c:pt>
              </c:numCache>
            </c:numRef>
          </c:xVal>
          <c:yVal>
            <c:numRef>
              <c:f>'CI and p'!$AF$12</c:f>
              <c:numCache>
                <c:formatCode>General</c:formatCode>
                <c:ptCount val="1"/>
                <c:pt idx="0">
                  <c:v>-0.56000000000000005</c:v>
                </c:pt>
              </c:numCache>
            </c:numRef>
          </c:yVal>
        </c:ser>
        <c:ser>
          <c:idx val="5"/>
          <c:order val="13"/>
          <c:spPr>
            <a:ln w="28575">
              <a:noFill/>
            </a:ln>
          </c:spPr>
          <c:marker>
            <c:symbol val="none"/>
          </c:marker>
          <c:errBars>
            <c:errDir val="x"/>
            <c:errBarType val="both"/>
            <c:errValType val="cust"/>
            <c:noEndCap val="1"/>
            <c:plus>
              <c:numRef>
                <c:f>'CI and p'!$AF$24</c:f>
                <c:numCache>
                  <c:formatCode>General</c:formatCode>
                  <c:ptCount val="1"/>
                  <c:pt idx="0">
                    <c:v>0.06</c:v>
                  </c:pt>
                </c:numCache>
              </c:numRef>
            </c:plus>
            <c:minus>
              <c:numRef>
                <c:f>'CI and p'!$AF$24</c:f>
                <c:numCache>
                  <c:formatCode>General</c:formatCode>
                  <c:ptCount val="1"/>
                  <c:pt idx="0">
                    <c:v>0.06</c:v>
                  </c:pt>
                </c:numCache>
              </c:numRef>
            </c:minus>
            <c:spPr>
              <a:ln w="12700">
                <a:solidFill>
                  <a:srgbClr val="FF6600"/>
                </a:solidFill>
                <a:prstDash val="sysDash"/>
              </a:ln>
            </c:spPr>
          </c:errBars>
          <c:xVal>
            <c:numRef>
              <c:f>'CI and p'!$AD$24:$AD$29</c:f>
              <c:numCache>
                <c:formatCode>General</c:formatCode>
                <c:ptCount val="6"/>
                <c:pt idx="0">
                  <c:v>#N/A</c:v>
                </c:pt>
                <c:pt idx="1">
                  <c:v>#N/A</c:v>
                </c:pt>
                <c:pt idx="2">
                  <c:v>#N/A</c:v>
                </c:pt>
                <c:pt idx="3">
                  <c:v>#N/A</c:v>
                </c:pt>
                <c:pt idx="4">
                  <c:v>#N/A</c:v>
                </c:pt>
                <c:pt idx="5">
                  <c:v>#N/A</c:v>
                </c:pt>
              </c:numCache>
            </c:numRef>
          </c:xVal>
          <c:yVal>
            <c:numRef>
              <c:f>'CI and p'!$AE$24:$AE$29</c:f>
              <c:numCache>
                <c:formatCode>General</c:formatCode>
                <c:ptCount val="6"/>
                <c:pt idx="0">
                  <c:v>4.4305267314916605</c:v>
                </c:pt>
                <c:pt idx="1">
                  <c:v>3.7158293035489098</c:v>
                </c:pt>
                <c:pt idx="2">
                  <c:v>3.0999639845400537</c:v>
                </c:pt>
                <c:pt idx="3">
                  <c:v>#N/A</c:v>
                </c:pt>
                <c:pt idx="4">
                  <c:v>2.4215515655446005</c:v>
                </c:pt>
                <c:pt idx="5">
                  <c:v>#N/A</c:v>
                </c:pt>
              </c:numCache>
            </c:numRef>
          </c:yVal>
        </c:ser>
        <c:ser>
          <c:idx val="6"/>
          <c:order val="14"/>
          <c:spPr>
            <a:ln w="28575">
              <a:noFill/>
            </a:ln>
          </c:spPr>
          <c:marker>
            <c:symbol val="none"/>
          </c:marker>
          <c:dLbls>
            <c:dLbl>
              <c:idx val="0"/>
              <c:layout/>
              <c:tx>
                <c:rich>
                  <a:bodyPr/>
                  <a:lstStyle/>
                  <a:p>
                    <a:r>
                      <a:rPr lang="en-AU"/>
                      <a:t>.001</a:t>
                    </a:r>
                  </a:p>
                </c:rich>
              </c:tx>
            </c:dLbl>
            <c:dLbl>
              <c:idx val="1"/>
              <c:layout/>
              <c:tx>
                <c:rich>
                  <a:bodyPr/>
                  <a:lstStyle/>
                  <a:p>
                    <a:r>
                      <a:rPr lang="en-AU"/>
                      <a:t>.01</a:t>
                    </a:r>
                  </a:p>
                </c:rich>
              </c:tx>
            </c:dLbl>
            <c:dLbl>
              <c:idx val="2"/>
              <c:layout/>
              <c:tx>
                <c:rich>
                  <a:bodyPr/>
                  <a:lstStyle/>
                  <a:p>
                    <a:r>
                      <a:rPr lang="en-AU"/>
                      <a:t>.05</a:t>
                    </a:r>
                  </a:p>
                </c:rich>
              </c:tx>
            </c:dLbl>
            <c:dLbl>
              <c:idx val="3"/>
              <c:layout/>
              <c:tx>
                <c:rich>
                  <a:bodyPr/>
                  <a:lstStyle/>
                  <a:p>
                    <a:r>
                      <a:rPr lang="en-AU"/>
                      <a:t>.10</a:t>
                    </a:r>
                  </a:p>
                </c:rich>
              </c:tx>
            </c:dLbl>
            <c:dLbl>
              <c:idx val="4"/>
              <c:layout/>
              <c:tx>
                <c:rich>
                  <a:bodyPr/>
                  <a:lstStyle/>
                  <a:p>
                    <a:r>
                      <a:rPr lang="en-AU"/>
                      <a:t>.20</a:t>
                    </a:r>
                  </a:p>
                </c:rich>
              </c:tx>
            </c:dLbl>
            <c:dLbl>
              <c:idx val="5"/>
              <c:layout/>
              <c:tx>
                <c:rich>
                  <a:bodyPr/>
                  <a:lstStyle/>
                  <a:p>
                    <a:r>
                      <a:rPr lang="en-AU"/>
                      <a:t>.50</a:t>
                    </a:r>
                  </a:p>
                </c:rich>
              </c:tx>
            </c:dLbl>
            <c:spPr>
              <a:noFill/>
              <a:ln w="25400">
                <a:noFill/>
              </a:ln>
            </c:spPr>
            <c:txPr>
              <a:bodyPr/>
              <a:lstStyle/>
              <a:p>
                <a:pPr>
                  <a:defRPr sz="1100" b="0" i="0" u="none" strike="noStrike" baseline="0">
                    <a:solidFill>
                      <a:srgbClr val="FF6600"/>
                    </a:solidFill>
                    <a:latin typeface="Arial"/>
                    <a:ea typeface="Arial"/>
                    <a:cs typeface="Arial"/>
                  </a:defRPr>
                </a:pPr>
                <a:endParaRPr lang="en-US"/>
              </a:p>
            </c:txPr>
            <c:showCatName val="1"/>
          </c:dLbls>
          <c:xVal>
            <c:numRef>
              <c:f>'CI and p'!$AG$24:$AG$29</c:f>
              <c:numCache>
                <c:formatCode>General</c:formatCode>
                <c:ptCount val="6"/>
                <c:pt idx="0">
                  <c:v>#N/A</c:v>
                </c:pt>
                <c:pt idx="1">
                  <c:v>#N/A</c:v>
                </c:pt>
                <c:pt idx="2">
                  <c:v>#N/A</c:v>
                </c:pt>
                <c:pt idx="3">
                  <c:v>#N/A</c:v>
                </c:pt>
                <c:pt idx="4">
                  <c:v>#N/A</c:v>
                </c:pt>
                <c:pt idx="5">
                  <c:v>#N/A</c:v>
                </c:pt>
              </c:numCache>
            </c:numRef>
          </c:xVal>
          <c:yVal>
            <c:numRef>
              <c:f>'CI and p'!$AH$24:$AH$29</c:f>
              <c:numCache>
                <c:formatCode>General</c:formatCode>
                <c:ptCount val="6"/>
                <c:pt idx="0">
                  <c:v>4.4305267314916605</c:v>
                </c:pt>
                <c:pt idx="1">
                  <c:v>3.7158293035489098</c:v>
                </c:pt>
                <c:pt idx="2">
                  <c:v>3.0999639845400537</c:v>
                </c:pt>
                <c:pt idx="3">
                  <c:v>#N/A</c:v>
                </c:pt>
                <c:pt idx="4">
                  <c:v>2.4215515655446005</c:v>
                </c:pt>
                <c:pt idx="5">
                  <c:v>#N/A</c:v>
                </c:pt>
              </c:numCache>
            </c:numRef>
          </c:yVal>
        </c:ser>
        <c:ser>
          <c:idx val="9"/>
          <c:order val="15"/>
          <c:spPr>
            <a:ln w="28575">
              <a:noFill/>
            </a:ln>
          </c:spPr>
          <c:marker>
            <c:symbol val="circle"/>
            <c:size val="11"/>
            <c:spPr>
              <a:solidFill>
                <a:srgbClr val="FF0000"/>
              </a:solidFill>
              <a:ln>
                <a:solidFill>
                  <a:srgbClr val="FF0000"/>
                </a:solidFill>
                <a:prstDash val="solid"/>
              </a:ln>
            </c:spPr>
          </c:marker>
          <c:errBars>
            <c:errDir val="y"/>
            <c:errBarType val="both"/>
            <c:errValType val="cust"/>
            <c:noEndCap val="1"/>
            <c:plus>
              <c:numRef>
                <c:f>'CI and p'!$AF$31</c:f>
                <c:numCache>
                  <c:formatCode>General</c:formatCode>
                  <c:ptCount val="1"/>
                  <c:pt idx="0">
                    <c:v>#N/A</c:v>
                  </c:pt>
                </c:numCache>
              </c:numRef>
            </c:plus>
            <c:minus>
              <c:numRef>
                <c:f>'CI and p'!$AF$31</c:f>
                <c:numCache>
                  <c:formatCode>General</c:formatCode>
                  <c:ptCount val="1"/>
                  <c:pt idx="0">
                    <c:v>#N/A</c:v>
                  </c:pt>
                </c:numCache>
              </c:numRef>
            </c:minus>
            <c:spPr>
              <a:ln w="25400">
                <a:solidFill>
                  <a:srgbClr val="FF0000"/>
                </a:solidFill>
                <a:prstDash val="solid"/>
              </a:ln>
            </c:spPr>
          </c:errBars>
          <c:xVal>
            <c:numRef>
              <c:f>'CI and p'!$AD$31</c:f>
              <c:numCache>
                <c:formatCode>General</c:formatCode>
                <c:ptCount val="1"/>
                <c:pt idx="0">
                  <c:v>#N/A</c:v>
                </c:pt>
              </c:numCache>
            </c:numRef>
          </c:xVal>
          <c:yVal>
            <c:numRef>
              <c:f>'CI and p'!$AE$31</c:f>
              <c:numCache>
                <c:formatCode>General</c:formatCode>
                <c:ptCount val="1"/>
                <c:pt idx="0">
                  <c:v>1.1399999999999999</c:v>
                </c:pt>
              </c:numCache>
            </c:numRef>
          </c:yVal>
        </c:ser>
        <c:ser>
          <c:idx val="11"/>
          <c:order val="16"/>
          <c:spPr>
            <a:ln w="28575">
              <a:noFill/>
            </a:ln>
          </c:spPr>
          <c:marker>
            <c:symbol val="none"/>
          </c:marker>
          <c:dLbls>
            <c:dLbl>
              <c:idx val="0"/>
              <c:layout/>
              <c:tx>
                <c:strRef>
                  <c:f>'CI and p'!$AE$34</c:f>
                  <c:strCache>
                    <c:ptCount val="1"/>
                    <c:pt idx="0">
                      <c:v>95.0%</c:v>
                    </c:pt>
                  </c:strCache>
                </c:strRef>
              </c:tx>
              <c:dLblPos val="ctr"/>
            </c:dLbl>
            <c:spPr>
              <a:noFill/>
              <a:ln w="25400">
                <a:noFill/>
              </a:ln>
            </c:spPr>
            <c:txPr>
              <a:bodyPr/>
              <a:lstStyle/>
              <a:p>
                <a:pPr>
                  <a:defRPr sz="1100" b="0" i="0" u="none" strike="noStrike" baseline="0">
                    <a:solidFill>
                      <a:srgbClr val="FF0000"/>
                    </a:solidFill>
                    <a:latin typeface="Arial"/>
                    <a:ea typeface="Arial"/>
                    <a:cs typeface="Arial"/>
                  </a:defRPr>
                </a:pPr>
                <a:endParaRPr lang="en-US"/>
              </a:p>
            </c:txPr>
            <c:dLblPos val="ctr"/>
            <c:showCatName val="1"/>
          </c:dLbls>
          <c:xVal>
            <c:numRef>
              <c:f>'CI and p'!$AD$33</c:f>
              <c:numCache>
                <c:formatCode>General</c:formatCode>
                <c:ptCount val="1"/>
                <c:pt idx="0">
                  <c:v>#N/A</c:v>
                </c:pt>
              </c:numCache>
            </c:numRef>
          </c:xVal>
          <c:yVal>
            <c:numRef>
              <c:f>'CI and p'!$AE$33</c:f>
              <c:numCache>
                <c:formatCode>General</c:formatCode>
                <c:ptCount val="1"/>
                <c:pt idx="0">
                  <c:v>0.85999999999999988</c:v>
                </c:pt>
              </c:numCache>
            </c:numRef>
          </c:yVal>
        </c:ser>
        <c:ser>
          <c:idx val="12"/>
          <c:order val="17"/>
          <c:spPr>
            <a:ln w="28575">
              <a:noFill/>
            </a:ln>
          </c:spPr>
          <c:marker>
            <c:symbol val="none"/>
          </c:marker>
          <c:dLbls>
            <c:dLbl>
              <c:idx val="0"/>
              <c:layout/>
              <c:tx>
                <c:strRef>
                  <c:f>'CI and p'!$AE$36</c:f>
                  <c:strCache>
                    <c:ptCount val="1"/>
                    <c:pt idx="0">
                      <c:v>95%</c:v>
                    </c:pt>
                  </c:strCache>
                </c:strRef>
              </c:tx>
              <c:dLblPos val="ctr"/>
            </c:dLbl>
            <c:spPr>
              <a:noFill/>
              <a:ln w="25400">
                <a:noFill/>
              </a:ln>
            </c:spPr>
            <c:txPr>
              <a:bodyPr/>
              <a:lstStyle/>
              <a:p>
                <a:pPr algn="r">
                  <a:defRPr sz="1100" b="0" i="0" u="none" strike="noStrike" baseline="0">
                    <a:solidFill>
                      <a:srgbClr val="FF0000"/>
                    </a:solidFill>
                    <a:latin typeface="Arial"/>
                    <a:ea typeface="Arial"/>
                    <a:cs typeface="Arial"/>
                  </a:defRPr>
                </a:pPr>
                <a:endParaRPr lang="en-US"/>
              </a:p>
            </c:txPr>
            <c:dLblPos val="ctr"/>
            <c:showCatName val="1"/>
          </c:dLbls>
          <c:xVal>
            <c:numRef>
              <c:f>'CI and p'!$AD$35</c:f>
              <c:numCache>
                <c:formatCode>General</c:formatCode>
                <c:ptCount val="1"/>
                <c:pt idx="0">
                  <c:v>#N/A</c:v>
                </c:pt>
              </c:numCache>
            </c:numRef>
          </c:xVal>
          <c:yVal>
            <c:numRef>
              <c:f>'CI and p'!$AE$35</c:f>
              <c:numCache>
                <c:formatCode>General</c:formatCode>
                <c:ptCount val="1"/>
                <c:pt idx="0">
                  <c:v>0.85999999999999988</c:v>
                </c:pt>
              </c:numCache>
            </c:numRef>
          </c:yVal>
        </c:ser>
        <c:ser>
          <c:idx val="13"/>
          <c:order val="18"/>
          <c:spPr>
            <a:ln w="28575">
              <a:noFill/>
            </a:ln>
          </c:spPr>
          <c:marker>
            <c:symbol val="none"/>
          </c:marker>
          <c:dLbls>
            <c:dLbl>
              <c:idx val="0"/>
              <c:layout/>
              <c:tx>
                <c:rich>
                  <a:bodyPr/>
                  <a:lstStyle/>
                  <a:p>
                    <a:r>
                      <a:rPr lang="en-AU"/>
                      <a:t>95%</a:t>
                    </a:r>
                  </a:p>
                </c:rich>
              </c:tx>
              <c:dLblPos val="l"/>
            </c:dLbl>
            <c:spPr>
              <a:noFill/>
              <a:ln w="25400">
                <a:noFill/>
              </a:ln>
            </c:spPr>
            <c:txPr>
              <a:bodyPr/>
              <a:lstStyle/>
              <a:p>
                <a:pPr>
                  <a:defRPr sz="1100" b="0" i="0" u="none" strike="noStrike" baseline="0">
                    <a:solidFill>
                      <a:srgbClr val="000000"/>
                    </a:solidFill>
                    <a:latin typeface="Arial"/>
                    <a:ea typeface="Arial"/>
                    <a:cs typeface="Arial"/>
                  </a:defRPr>
                </a:pPr>
                <a:endParaRPr lang="en-US"/>
              </a:p>
            </c:txPr>
            <c:dLblPos val="l"/>
            <c:showCatName val="1"/>
          </c:dLbls>
          <c:xVal>
            <c:numRef>
              <c:f>'CI and p'!$AG$22</c:f>
              <c:numCache>
                <c:formatCode>General</c:formatCode>
                <c:ptCount val="1"/>
                <c:pt idx="0">
                  <c:v>#N/A</c:v>
                </c:pt>
              </c:numCache>
            </c:numRef>
          </c:xVal>
          <c:yVal>
            <c:numRef>
              <c:f>'CI and p'!$AH$22</c:f>
              <c:numCache>
                <c:formatCode>General</c:formatCode>
                <c:ptCount val="1"/>
                <c:pt idx="0">
                  <c:v>3.0999639845400537</c:v>
                </c:pt>
              </c:numCache>
            </c:numRef>
          </c:yVal>
        </c:ser>
        <c:axId val="221860992"/>
        <c:axId val="221862528"/>
      </c:scatterChart>
      <c:valAx>
        <c:axId val="221860992"/>
        <c:scaling>
          <c:orientation val="minMax"/>
          <c:max val="1.8"/>
          <c:min val="0"/>
        </c:scaling>
        <c:axPos val="b"/>
        <c:numFmt formatCode="General" sourceLinked="1"/>
        <c:majorTickMark val="none"/>
        <c:tickLblPos val="none"/>
        <c:spPr>
          <a:ln w="9525">
            <a:noFill/>
          </a:ln>
        </c:spPr>
        <c:crossAx val="221862528"/>
        <c:crosses val="autoZero"/>
        <c:crossBetween val="midCat"/>
      </c:valAx>
      <c:valAx>
        <c:axId val="221862528"/>
        <c:scaling>
          <c:orientation val="minMax"/>
          <c:max val="4"/>
          <c:min val="-4"/>
        </c:scaling>
        <c:axPos val="l"/>
        <c:title>
          <c:tx>
            <c:rich>
              <a:bodyPr/>
              <a:lstStyle/>
              <a:p>
                <a:pPr>
                  <a:defRPr sz="1400" b="0" i="0" u="none" strike="noStrike" baseline="0">
                    <a:solidFill>
                      <a:srgbClr val="000000"/>
                    </a:solidFill>
                    <a:latin typeface="Arial"/>
                    <a:ea typeface="Arial"/>
                    <a:cs typeface="Arial"/>
                  </a:defRPr>
                </a:pPr>
                <a:r>
                  <a:rPr lang="en-AU"/>
                  <a:t>Our measure</a:t>
                </a:r>
              </a:p>
            </c:rich>
          </c:tx>
          <c:layout>
            <c:manualLayout>
              <c:xMode val="edge"/>
              <c:yMode val="edge"/>
              <c:x val="1.2931034482758621E-2"/>
              <c:y val="0.41421178899800731"/>
            </c:manualLayout>
          </c:layout>
          <c:spPr>
            <a:noFill/>
            <a:ln w="25400">
              <a:noFill/>
            </a:ln>
          </c:spPr>
        </c:title>
        <c:numFmt formatCode="General" sourceLinked="1"/>
        <c:tickLblPos val="none"/>
        <c:spPr>
          <a:ln w="3175">
            <a:solidFill>
              <a:srgbClr val="000000"/>
            </a:solidFill>
            <a:prstDash val="solid"/>
          </a:ln>
        </c:spPr>
        <c:crossAx val="221860992"/>
        <c:crossesAt val="0"/>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paperSize="9" orientation="landscape" horizontalDpi="300" verticalDpi="300"/>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4663461538461528"/>
          <c:y val="3.2490974729241902E-2"/>
          <c:w val="0.84375000000000044"/>
          <c:h val="0.89530685920577613"/>
        </c:manualLayout>
      </c:layout>
      <c:lineChart>
        <c:grouping val="standard"/>
        <c:ser>
          <c:idx val="0"/>
          <c:order val="0"/>
          <c:spPr>
            <a:ln w="28575">
              <a:noFill/>
            </a:ln>
          </c:spPr>
          <c:marker>
            <c:symbol val="circle"/>
            <c:size val="7"/>
            <c:spPr>
              <a:solidFill>
                <a:srgbClr val="000000"/>
              </a:solidFill>
              <a:ln>
                <a:solidFill>
                  <a:srgbClr val="000000"/>
                </a:solidFill>
                <a:prstDash val="solid"/>
              </a:ln>
            </c:spPr>
          </c:marker>
          <c:cat>
            <c:strRef>
              <c:f>'Data two'!$X$82:$Z$82</c:f>
              <c:strCache>
                <c:ptCount val="3"/>
                <c:pt idx="0">
                  <c:v>      Pen      </c:v>
                </c:pt>
                <c:pt idx="1">
                  <c:v>Laptop</c:v>
                </c:pt>
                <c:pt idx="2">
                  <c:v>Difference</c:v>
                </c:pt>
              </c:strCache>
            </c:strRef>
          </c:cat>
          <c:val>
            <c:numRef>
              <c:f>'Data two'!$X$83:$Y$83</c:f>
              <c:numCache>
                <c:formatCode>General</c:formatCode>
                <c:ptCount val="2"/>
                <c:pt idx="0">
                  <c:v>8.8117647058823518</c:v>
                </c:pt>
                <c:pt idx="1">
                  <c:v>14.519354838709676</c:v>
                </c:pt>
              </c:numCache>
            </c:numRef>
          </c:val>
        </c:ser>
        <c:ser>
          <c:idx val="2"/>
          <c:order val="2"/>
          <c:spPr>
            <a:ln w="28575">
              <a:noFill/>
            </a:ln>
          </c:spPr>
          <c:marker>
            <c:symbol val="none"/>
          </c:marker>
          <c:errBars>
            <c:errDir val="y"/>
            <c:errBarType val="both"/>
            <c:errValType val="cust"/>
            <c:noEndCap val="1"/>
            <c:plus>
              <c:numRef>
                <c:f>'Data two'!$X$86:$Y$86</c:f>
                <c:numCache>
                  <c:formatCode>General</c:formatCode>
                  <c:ptCount val="2"/>
                  <c:pt idx="0">
                    <c:v>1.6571227125032257</c:v>
                  </c:pt>
                  <c:pt idx="1">
                    <c:v>2.6723707232205554</c:v>
                  </c:pt>
                </c:numCache>
              </c:numRef>
            </c:plus>
            <c:minus>
              <c:numRef>
                <c:f>'Data two'!$X$86:$Y$86</c:f>
                <c:numCache>
                  <c:formatCode>General</c:formatCode>
                  <c:ptCount val="2"/>
                  <c:pt idx="0">
                    <c:v>1.6571227125032257</c:v>
                  </c:pt>
                  <c:pt idx="1">
                    <c:v>2.6723707232205554</c:v>
                  </c:pt>
                </c:numCache>
              </c:numRef>
            </c:minus>
            <c:spPr>
              <a:ln w="25400">
                <a:solidFill>
                  <a:srgbClr val="000000"/>
                </a:solidFill>
                <a:prstDash val="solid"/>
              </a:ln>
            </c:spPr>
          </c:errBars>
          <c:cat>
            <c:strRef>
              <c:f>'Data two'!$X$82:$Z$82</c:f>
              <c:strCache>
                <c:ptCount val="3"/>
                <c:pt idx="0">
                  <c:v>      Pen      </c:v>
                </c:pt>
                <c:pt idx="1">
                  <c:v>Laptop</c:v>
                </c:pt>
                <c:pt idx="2">
                  <c:v>Difference</c:v>
                </c:pt>
              </c:strCache>
            </c:strRef>
          </c:cat>
          <c:val>
            <c:numRef>
              <c:f>'Data two'!$X$85:$Y$85</c:f>
              <c:numCache>
                <c:formatCode>General</c:formatCode>
                <c:ptCount val="2"/>
                <c:pt idx="0">
                  <c:v>8.8117647058823518</c:v>
                </c:pt>
                <c:pt idx="1">
                  <c:v>14.519354838709676</c:v>
                </c:pt>
              </c:numCache>
            </c:numRef>
          </c:val>
        </c:ser>
        <c:ser>
          <c:idx val="3"/>
          <c:order val="3"/>
          <c:spPr>
            <a:ln w="28575">
              <a:noFill/>
            </a:ln>
          </c:spPr>
          <c:marker>
            <c:symbol val="none"/>
          </c:marker>
          <c:cat>
            <c:strRef>
              <c:f>'Data two'!$X$82:$Z$82</c:f>
              <c:strCache>
                <c:ptCount val="3"/>
                <c:pt idx="0">
                  <c:v>      Pen      </c:v>
                </c:pt>
                <c:pt idx="1">
                  <c:v>Laptop</c:v>
                </c:pt>
                <c:pt idx="2">
                  <c:v>Difference</c:v>
                </c:pt>
              </c:strCache>
            </c:strRef>
          </c:cat>
          <c:val>
            <c:numRef>
              <c:f>'Data two'!$X$89:$Y$89</c:f>
              <c:numCache>
                <c:formatCode>0.00</c:formatCode>
                <c:ptCount val="2"/>
                <c:pt idx="0">
                  <c:v>34.700000000000003</c:v>
                </c:pt>
                <c:pt idx="1">
                  <c:v>34.700000000000003</c:v>
                </c:pt>
              </c:numCache>
            </c:numRef>
          </c:val>
        </c:ser>
        <c:ser>
          <c:idx val="4"/>
          <c:order val="4"/>
          <c:spPr>
            <a:ln w="12700">
              <a:solidFill>
                <a:srgbClr val="808080"/>
              </a:solidFill>
              <a:prstDash val="solid"/>
            </a:ln>
          </c:spPr>
          <c:marker>
            <c:symbol val="none"/>
          </c:marker>
          <c:cat>
            <c:strRef>
              <c:f>'Data two'!$X$82:$Z$82</c:f>
              <c:strCache>
                <c:ptCount val="3"/>
                <c:pt idx="0">
                  <c:v>      Pen      </c:v>
                </c:pt>
                <c:pt idx="1">
                  <c:v>Laptop</c:v>
                </c:pt>
                <c:pt idx="2">
                  <c:v>Difference</c:v>
                </c:pt>
              </c:strCache>
            </c:strRef>
          </c:cat>
          <c:val>
            <c:numRef>
              <c:f>'Data two'!$X$87:$Y$87</c:f>
              <c:numCache>
                <c:formatCode>General</c:formatCode>
                <c:ptCount val="2"/>
                <c:pt idx="0">
                  <c:v>#N/A</c:v>
                </c:pt>
                <c:pt idx="1">
                  <c:v>#N/A</c:v>
                </c:pt>
              </c:numCache>
            </c:numRef>
          </c:val>
        </c:ser>
        <c:ser>
          <c:idx val="5"/>
          <c:order val="7"/>
          <c:spPr>
            <a:ln w="12700">
              <a:solidFill>
                <a:srgbClr val="808080"/>
              </a:solidFill>
              <a:prstDash val="solid"/>
            </a:ln>
          </c:spPr>
          <c:marker>
            <c:symbol val="none"/>
          </c:marker>
          <c:cat>
            <c:strRef>
              <c:f>'Data two'!$X$82:$Z$82</c:f>
              <c:strCache>
                <c:ptCount val="3"/>
                <c:pt idx="0">
                  <c:v>      Pen      </c:v>
                </c:pt>
                <c:pt idx="1">
                  <c:v>Laptop</c:v>
                </c:pt>
                <c:pt idx="2">
                  <c:v>Difference</c:v>
                </c:pt>
              </c:strCache>
            </c:strRef>
          </c:cat>
          <c:val>
            <c:numRef>
              <c:f>'Data two'!$X$88:$Y$88</c:f>
              <c:numCache>
                <c:formatCode>General</c:formatCode>
                <c:ptCount val="2"/>
                <c:pt idx="0">
                  <c:v>#N/A</c:v>
                </c:pt>
                <c:pt idx="1">
                  <c:v>#N/A</c:v>
                </c:pt>
              </c:numCache>
            </c:numRef>
          </c:val>
        </c:ser>
        <c:marker val="1"/>
        <c:axId val="231912960"/>
        <c:axId val="231914496"/>
      </c:lineChart>
      <c:scatterChart>
        <c:scatterStyle val="lineMarker"/>
        <c:ser>
          <c:idx val="9"/>
          <c:order val="1"/>
          <c:spPr>
            <a:ln w="28575">
              <a:noFill/>
            </a:ln>
          </c:spPr>
          <c:marker>
            <c:symbol val="none"/>
          </c:marker>
          <c:xVal>
            <c:numRef>
              <c:f>'Data two'!$AC$78:$AC$80</c:f>
              <c:numCache>
                <c:formatCode>General</c:formatCode>
                <c:ptCount val="3"/>
                <c:pt idx="0">
                  <c:v>1</c:v>
                </c:pt>
                <c:pt idx="1">
                  <c:v>2</c:v>
                </c:pt>
                <c:pt idx="2">
                  <c:v>3</c:v>
                </c:pt>
              </c:numCache>
            </c:numRef>
          </c:xVal>
          <c:yVal>
            <c:numRef>
              <c:f>'Data two'!$AD$78:$AD$80</c:f>
              <c:numCache>
                <c:formatCode>General</c:formatCode>
                <c:ptCount val="3"/>
                <c:pt idx="0">
                  <c:v>1</c:v>
                </c:pt>
                <c:pt idx="1">
                  <c:v>1</c:v>
                </c:pt>
                <c:pt idx="2">
                  <c:v>1</c:v>
                </c:pt>
              </c:numCache>
            </c:numRef>
          </c:yVal>
        </c:ser>
        <c:ser>
          <c:idx val="1"/>
          <c:order val="5"/>
          <c:spPr>
            <a:ln w="28575">
              <a:noFill/>
            </a:ln>
          </c:spPr>
          <c:marker>
            <c:symbol val="circle"/>
            <c:size val="6"/>
            <c:spPr>
              <a:noFill/>
              <a:ln>
                <a:solidFill>
                  <a:srgbClr val="0000FF"/>
                </a:solidFill>
                <a:prstDash val="solid"/>
              </a:ln>
            </c:spPr>
          </c:marker>
          <c:xVal>
            <c:numRef>
              <c:f>'Data two'!$N$77:$N$176</c:f>
              <c:numCache>
                <c:formatCode>General</c:formatCode>
                <c:ptCount val="100"/>
                <c:pt idx="0">
                  <c:v>0.75</c:v>
                </c:pt>
                <c:pt idx="1">
                  <c:v>0.85</c:v>
                </c:pt>
                <c:pt idx="2">
                  <c:v>0.79999999999999993</c:v>
                </c:pt>
                <c:pt idx="3">
                  <c:v>0.85</c:v>
                </c:pt>
                <c:pt idx="4">
                  <c:v>0.79999999999999993</c:v>
                </c:pt>
                <c:pt idx="5">
                  <c:v>0.79999999999999993</c:v>
                </c:pt>
                <c:pt idx="6">
                  <c:v>0.85</c:v>
                </c:pt>
                <c:pt idx="7">
                  <c:v>0.79999999999999993</c:v>
                </c:pt>
                <c:pt idx="8">
                  <c:v>0.85</c:v>
                </c:pt>
                <c:pt idx="9">
                  <c:v>0.75</c:v>
                </c:pt>
                <c:pt idx="10">
                  <c:v>0.85</c:v>
                </c:pt>
                <c:pt idx="11">
                  <c:v>0.85</c:v>
                </c:pt>
                <c:pt idx="12">
                  <c:v>0.79999999999999993</c:v>
                </c:pt>
                <c:pt idx="13">
                  <c:v>0.75</c:v>
                </c:pt>
                <c:pt idx="14">
                  <c:v>0.79999999999999993</c:v>
                </c:pt>
                <c:pt idx="15">
                  <c:v>0.85</c:v>
                </c:pt>
                <c:pt idx="16">
                  <c:v>0.85</c:v>
                </c:pt>
                <c:pt idx="17">
                  <c:v>0.75</c:v>
                </c:pt>
                <c:pt idx="18">
                  <c:v>0.85</c:v>
                </c:pt>
                <c:pt idx="19">
                  <c:v>0.79999999999999993</c:v>
                </c:pt>
                <c:pt idx="20">
                  <c:v>0.85</c:v>
                </c:pt>
                <c:pt idx="21">
                  <c:v>0.85</c:v>
                </c:pt>
                <c:pt idx="22">
                  <c:v>0.79999999999999993</c:v>
                </c:pt>
                <c:pt idx="23">
                  <c:v>0.85</c:v>
                </c:pt>
                <c:pt idx="24">
                  <c:v>0.85</c:v>
                </c:pt>
                <c:pt idx="25">
                  <c:v>0.85</c:v>
                </c:pt>
                <c:pt idx="26">
                  <c:v>0.79999999999999993</c:v>
                </c:pt>
                <c:pt idx="27">
                  <c:v>0.85</c:v>
                </c:pt>
                <c:pt idx="28">
                  <c:v>0.85</c:v>
                </c:pt>
                <c:pt idx="29">
                  <c:v>0.85</c:v>
                </c:pt>
                <c:pt idx="30">
                  <c:v>0.85</c:v>
                </c:pt>
                <c:pt idx="31">
                  <c:v>0.85</c:v>
                </c:pt>
                <c:pt idx="32">
                  <c:v>0.85</c:v>
                </c:pt>
                <c:pt idx="33">
                  <c:v>0.85</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'Data two'!$O$77:$O$176</c:f>
              <c:numCache>
                <c:formatCode>General</c:formatCode>
                <c:ptCount val="100"/>
                <c:pt idx="0">
                  <c:v>12.266800000000002</c:v>
                </c:pt>
                <c:pt idx="1">
                  <c:v>6.6052000000000008</c:v>
                </c:pt>
                <c:pt idx="2">
                  <c:v>8.0206000000000017</c:v>
                </c:pt>
                <c:pt idx="3">
                  <c:v>7.5488000000000008</c:v>
                </c:pt>
                <c:pt idx="4">
                  <c:v>12.266800000000002</c:v>
                </c:pt>
                <c:pt idx="5">
                  <c:v>10.851400000000002</c:v>
                </c:pt>
                <c:pt idx="6">
                  <c:v>0.94360000000000011</c:v>
                </c:pt>
                <c:pt idx="7">
                  <c:v>2.8308000000000004</c:v>
                </c:pt>
                <c:pt idx="8">
                  <c:v>14.625800000000002</c:v>
                </c:pt>
                <c:pt idx="9">
                  <c:v>8.4924000000000017</c:v>
                </c:pt>
                <c:pt idx="10">
                  <c:v>17.928400000000003</c:v>
                </c:pt>
                <c:pt idx="11">
                  <c:v>20.287400000000002</c:v>
                </c:pt>
                <c:pt idx="12">
                  <c:v>1.8872000000000002</c:v>
                </c:pt>
                <c:pt idx="13">
                  <c:v>11.323200000000002</c:v>
                </c:pt>
                <c:pt idx="14">
                  <c:v>11.323200000000002</c:v>
                </c:pt>
                <c:pt idx="15">
                  <c:v>10.851400000000002</c:v>
                </c:pt>
                <c:pt idx="16">
                  <c:v>1.8872000000000002</c:v>
                </c:pt>
                <c:pt idx="17">
                  <c:v>5.1898000000000009</c:v>
                </c:pt>
                <c:pt idx="18">
                  <c:v>9.9078000000000017</c:v>
                </c:pt>
                <c:pt idx="19">
                  <c:v>5.1898000000000009</c:v>
                </c:pt>
                <c:pt idx="20">
                  <c:v>2.3590000000000004</c:v>
                </c:pt>
                <c:pt idx="21">
                  <c:v>7.0770000000000008</c:v>
                </c:pt>
                <c:pt idx="22">
                  <c:v>8.4924000000000017</c:v>
                </c:pt>
                <c:pt idx="23">
                  <c:v>8.0206000000000017</c:v>
                </c:pt>
                <c:pt idx="24">
                  <c:v>11.323200000000002</c:v>
                </c:pt>
                <c:pt idx="25">
                  <c:v>8.4924000000000017</c:v>
                </c:pt>
                <c:pt idx="26">
                  <c:v>8.9642000000000017</c:v>
                </c:pt>
                <c:pt idx="27">
                  <c:v>4.7180000000000009</c:v>
                </c:pt>
                <c:pt idx="28">
                  <c:v>8.9642000000000017</c:v>
                </c:pt>
                <c:pt idx="29">
                  <c:v>13.210400000000002</c:v>
                </c:pt>
                <c:pt idx="30">
                  <c:v>18.400200000000002</c:v>
                </c:pt>
                <c:pt idx="31">
                  <c:v>2.8308000000000004</c:v>
                </c:pt>
                <c:pt idx="32">
                  <c:v>5.1898000000000009</c:v>
                </c:pt>
                <c:pt idx="33">
                  <c:v>12.266800000000002</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er>
        <c:ser>
          <c:idx val="12"/>
          <c:order val="6"/>
          <c:spPr>
            <a:ln w="28575">
              <a:noFill/>
            </a:ln>
          </c:spPr>
          <c:marker>
            <c:symbol val="circle"/>
            <c:size val="6"/>
            <c:spPr>
              <a:noFill/>
              <a:ln>
                <a:solidFill>
                  <a:srgbClr val="0000FF"/>
                </a:solidFill>
                <a:prstDash val="solid"/>
              </a:ln>
            </c:spPr>
          </c:marker>
          <c:xVal>
            <c:numRef>
              <c:f>'Data two'!$P$77:$P$176</c:f>
              <c:numCache>
                <c:formatCode>General</c:formatCode>
                <c:ptCount val="100"/>
                <c:pt idx="0">
                  <c:v>2.15</c:v>
                </c:pt>
                <c:pt idx="1">
                  <c:v>2.1999999999999997</c:v>
                </c:pt>
                <c:pt idx="2">
                  <c:v>2.15</c:v>
                </c:pt>
                <c:pt idx="3">
                  <c:v>2.15</c:v>
                </c:pt>
                <c:pt idx="4">
                  <c:v>2.25</c:v>
                </c:pt>
                <c:pt idx="5">
                  <c:v>2.1999999999999997</c:v>
                </c:pt>
                <c:pt idx="6">
                  <c:v>2.15</c:v>
                </c:pt>
                <c:pt idx="7">
                  <c:v>2.25</c:v>
                </c:pt>
                <c:pt idx="8">
                  <c:v>2.15</c:v>
                </c:pt>
                <c:pt idx="9">
                  <c:v>2.25</c:v>
                </c:pt>
                <c:pt idx="10">
                  <c:v>2.1999999999999997</c:v>
                </c:pt>
                <c:pt idx="11">
                  <c:v>2.1999999999999997</c:v>
                </c:pt>
                <c:pt idx="12">
                  <c:v>2.15</c:v>
                </c:pt>
                <c:pt idx="13">
                  <c:v>2.15</c:v>
                </c:pt>
                <c:pt idx="14">
                  <c:v>2.1999999999999997</c:v>
                </c:pt>
                <c:pt idx="15">
                  <c:v>2.1999999999999997</c:v>
                </c:pt>
                <c:pt idx="16">
                  <c:v>2.15</c:v>
                </c:pt>
                <c:pt idx="17">
                  <c:v>2.15</c:v>
                </c:pt>
                <c:pt idx="18">
                  <c:v>2.1999999999999997</c:v>
                </c:pt>
                <c:pt idx="19">
                  <c:v>2.15</c:v>
                </c:pt>
                <c:pt idx="20">
                  <c:v>2.15</c:v>
                </c:pt>
                <c:pt idx="21">
                  <c:v>2.15</c:v>
                </c:pt>
                <c:pt idx="22">
                  <c:v>2.15</c:v>
                </c:pt>
                <c:pt idx="23">
                  <c:v>2.15</c:v>
                </c:pt>
                <c:pt idx="24">
                  <c:v>2.15</c:v>
                </c:pt>
                <c:pt idx="25">
                  <c:v>2.15</c:v>
                </c:pt>
                <c:pt idx="26">
                  <c:v>2.15</c:v>
                </c:pt>
                <c:pt idx="27">
                  <c:v>2.15</c:v>
                </c:pt>
                <c:pt idx="28">
                  <c:v>2.15</c:v>
                </c:pt>
                <c:pt idx="29">
                  <c:v>2.15</c:v>
                </c:pt>
                <c:pt idx="30">
                  <c:v>2.15</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'Data two'!$Q$77:$Q$176</c:f>
              <c:numCache>
                <c:formatCode>General</c:formatCode>
                <c:ptCount val="100"/>
                <c:pt idx="0">
                  <c:v>13.682200000000002</c:v>
                </c:pt>
                <c:pt idx="1">
                  <c:v>21.231000000000002</c:v>
                </c:pt>
                <c:pt idx="2">
                  <c:v>15.097600000000002</c:v>
                </c:pt>
                <c:pt idx="3">
                  <c:v>30.195200000000003</c:v>
                </c:pt>
                <c:pt idx="4">
                  <c:v>12.738600000000002</c:v>
                </c:pt>
                <c:pt idx="5">
                  <c:v>9.4360000000000017</c:v>
                </c:pt>
                <c:pt idx="6">
                  <c:v>9.4360000000000017</c:v>
                </c:pt>
                <c:pt idx="7">
                  <c:v>17.928400000000003</c:v>
                </c:pt>
                <c:pt idx="8">
                  <c:v>15.569400000000002</c:v>
                </c:pt>
                <c:pt idx="9">
                  <c:v>8.4924000000000017</c:v>
                </c:pt>
                <c:pt idx="10">
                  <c:v>12.738600000000002</c:v>
                </c:pt>
                <c:pt idx="11">
                  <c:v>10.379600000000002</c:v>
                </c:pt>
                <c:pt idx="12">
                  <c:v>5.1898000000000009</c:v>
                </c:pt>
                <c:pt idx="13">
                  <c:v>16.513000000000002</c:v>
                </c:pt>
                <c:pt idx="14">
                  <c:v>17.928400000000003</c:v>
                </c:pt>
                <c:pt idx="15">
                  <c:v>8.4924000000000017</c:v>
                </c:pt>
                <c:pt idx="16">
                  <c:v>26.420800000000003</c:v>
                </c:pt>
                <c:pt idx="17">
                  <c:v>17.928400000000003</c:v>
                </c:pt>
                <c:pt idx="18">
                  <c:v>18.872000000000003</c:v>
                </c:pt>
                <c:pt idx="19">
                  <c:v>16.984800000000003</c:v>
                </c:pt>
                <c:pt idx="20">
                  <c:v>18.872000000000003</c:v>
                </c:pt>
                <c:pt idx="21">
                  <c:v>8.4924000000000017</c:v>
                </c:pt>
                <c:pt idx="22">
                  <c:v>1.4154000000000002</c:v>
                </c:pt>
                <c:pt idx="23">
                  <c:v>11.323200000000002</c:v>
                </c:pt>
                <c:pt idx="24">
                  <c:v>21.231000000000002</c:v>
                </c:pt>
                <c:pt idx="25">
                  <c:v>10.379600000000002</c:v>
                </c:pt>
                <c:pt idx="26">
                  <c:v>8.9642000000000017</c:v>
                </c:pt>
                <c:pt idx="27">
                  <c:v>12.738600000000002</c:v>
                </c:pt>
                <c:pt idx="28">
                  <c:v>11.795000000000002</c:v>
                </c:pt>
                <c:pt idx="29">
                  <c:v>34.913200000000003</c:v>
                </c:pt>
                <c:pt idx="30">
                  <c:v>4.2462000000000009</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er>
        <c:ser>
          <c:idx val="8"/>
          <c:order val="8"/>
          <c:spPr>
            <a:ln w="28575">
              <a:noFill/>
            </a:ln>
          </c:spPr>
          <c:marker>
            <c:symbol val="none"/>
          </c:marker>
          <c:xVal>
            <c:strRef>
              <c:f>'Data two'!$X$82:$Y$82</c:f>
              <c:strCache>
                <c:ptCount val="2"/>
                <c:pt idx="0">
                  <c:v>      Pen      </c:v>
                </c:pt>
                <c:pt idx="1">
                  <c:v>Laptop</c:v>
                </c:pt>
              </c:strCache>
            </c:strRef>
          </c:xVal>
          <c:yVal>
            <c:numRef>
              <c:f>'Data two'!$X$90:$Y$90</c:f>
              <c:numCache>
                <c:formatCode>General</c:formatCode>
                <c:ptCount val="2"/>
                <c:pt idx="0">
                  <c:v>1</c:v>
                </c:pt>
                <c:pt idx="1">
                  <c:v>1</c:v>
                </c:pt>
              </c:numCache>
            </c:numRef>
          </c:yVal>
        </c:ser>
        <c:ser>
          <c:idx val="6"/>
          <c:order val="9"/>
          <c:spPr>
            <a:ln w="12700">
              <a:solidFill>
                <a:srgbClr val="000000"/>
              </a:solidFill>
              <a:prstDash val="solid"/>
            </a:ln>
          </c:spPr>
          <c:marker>
            <c:symbol val="dot"/>
            <c:size val="5"/>
            <c:spPr>
              <a:noFill/>
              <a:ln>
                <a:solidFill>
                  <a:srgbClr val="000000"/>
                </a:solidFill>
                <a:prstDash val="solid"/>
              </a:ln>
            </c:spPr>
          </c:marker>
          <c:dLbls>
            <c:dLbl>
              <c:idx val="0"/>
              <c:layout/>
              <c:tx>
                <c:strRef>
                  <c:f>'Data two'!$AD$88</c:f>
                  <c:strCache>
                    <c:ptCount val="1"/>
                    <c:pt idx="0">
                      <c:v>50</c:v>
                    </c:pt>
                  </c:strCache>
                </c:strRef>
              </c:tx>
            </c:dLbl>
            <c:dLbl>
              <c:idx val="1"/>
              <c:delete val="1"/>
            </c:dLbl>
            <c:dLbl>
              <c:idx val="2"/>
              <c:layout/>
              <c:tx>
                <c:strRef>
                  <c:f>'Data two'!$AD$90</c:f>
                  <c:strCache>
                    <c:ptCount val="1"/>
                    <c:pt idx="0">
                      <c:v>40</c:v>
                    </c:pt>
                  </c:strCache>
                </c:strRef>
              </c:tx>
            </c:dLbl>
            <c:dLbl>
              <c:idx val="3"/>
              <c:delete val="1"/>
            </c:dLbl>
            <c:dLbl>
              <c:idx val="4"/>
              <c:layout/>
              <c:tx>
                <c:strRef>
                  <c:f>'Data two'!$AD$92</c:f>
                  <c:strCache>
                    <c:ptCount val="1"/>
                    <c:pt idx="0">
                      <c:v>30</c:v>
                    </c:pt>
                  </c:strCache>
                </c:strRef>
              </c:tx>
            </c:dLbl>
            <c:dLbl>
              <c:idx val="5"/>
              <c:delete val="1"/>
            </c:dLbl>
            <c:dLbl>
              <c:idx val="6"/>
              <c:layout/>
              <c:tx>
                <c:strRef>
                  <c:f>'Data two'!$AD$94</c:f>
                  <c:strCache>
                    <c:ptCount val="1"/>
                    <c:pt idx="0">
                      <c:v>20</c:v>
                    </c:pt>
                  </c:strCache>
                </c:strRef>
              </c:tx>
            </c:dLbl>
            <c:dLbl>
              <c:idx val="7"/>
              <c:delete val="1"/>
            </c:dLbl>
            <c:dLbl>
              <c:idx val="8"/>
              <c:layout/>
              <c:tx>
                <c:strRef>
                  <c:f>'Data two'!$AD$96</c:f>
                  <c:strCache>
                    <c:ptCount val="1"/>
                    <c:pt idx="0">
                      <c:v>10</c:v>
                    </c:pt>
                  </c:strCache>
                </c:strRef>
              </c:tx>
            </c:dLbl>
            <c:dLbl>
              <c:idx val="9"/>
              <c:delete val="1"/>
            </c:dLbl>
            <c:dLbl>
              <c:idx val="10"/>
              <c:layout/>
              <c:tx>
                <c:strRef>
                  <c:f>'Data two'!$AD$98</c:f>
                  <c:strCache>
                    <c:ptCount val="1"/>
                    <c:pt idx="0">
                      <c:v>0</c:v>
                    </c:pt>
                  </c:strCache>
                </c:strRef>
              </c:tx>
            </c:dLbl>
            <c:dLbl>
              <c:idx val="11"/>
              <c:delete val="1"/>
            </c:dLbl>
            <c:dLbl>
              <c:idx val="12"/>
              <c:layout/>
              <c:tx>
                <c:strRef>
                  <c:f>'Data two'!$AD$100</c:f>
                  <c:strCache>
                    <c:ptCount val="1"/>
                    <c:pt idx="0">
                      <c:v>-10</c:v>
                    </c:pt>
                  </c:strCache>
                </c:strRef>
              </c:tx>
            </c:dLbl>
            <c:dLbl>
              <c:idx val="13"/>
              <c:delete val="1"/>
            </c:dLbl>
            <c:dLbl>
              <c:idx val="14"/>
              <c:layout/>
              <c:tx>
                <c:strRef>
                  <c:f>'Data two'!$AD$102</c:f>
                  <c:strCache>
                    <c:ptCount val="1"/>
                    <c:pt idx="0">
                      <c:v>-20</c:v>
                    </c:pt>
                  </c:strCache>
                </c:strRef>
              </c:tx>
            </c:dLbl>
            <c:dLbl>
              <c:idx val="15"/>
              <c:delete val="1"/>
            </c:dLbl>
            <c:dLbl>
              <c:idx val="16"/>
              <c:layout/>
              <c:tx>
                <c:strRef>
                  <c:f>'Data two'!$AD$104</c:f>
                  <c:strCache>
                    <c:ptCount val="1"/>
                    <c:pt idx="0">
                      <c:v>-30</c:v>
                    </c:pt>
                  </c:strCache>
                </c:strRef>
              </c:tx>
            </c:dLbl>
            <c:dLbl>
              <c:idx val="17"/>
              <c:delete val="1"/>
            </c:dLbl>
            <c:dLbl>
              <c:idx val="18"/>
              <c:layout/>
              <c:tx>
                <c:strRef>
                  <c:f>'Data two'!$AD$106</c:f>
                  <c:strCache>
                    <c:ptCount val="1"/>
                    <c:pt idx="0">
                      <c:v>-40</c:v>
                    </c:pt>
                  </c:strCache>
                </c:strRef>
              </c:tx>
            </c:dLbl>
            <c:dLbl>
              <c:idx val="19"/>
              <c:delete val="1"/>
            </c:dLbl>
            <c:dLbl>
              <c:idx val="20"/>
              <c:layout/>
              <c:tx>
                <c:strRef>
                  <c:f>'Data two'!$AD$108</c:f>
                  <c:strCache>
                    <c:ptCount val="1"/>
                    <c:pt idx="0">
                      <c:v>-50</c:v>
                    </c:pt>
                  </c:strCache>
                </c:strRef>
              </c:tx>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xVal>
            <c:numRef>
              <c:f>'Data two'!$AF$88:$AF$108</c:f>
              <c:numCache>
                <c:formatCode>General</c:formatCode>
                <c:ptCount val="21"/>
                <c:pt idx="0">
                  <c:v>3.1</c:v>
                </c:pt>
                <c:pt idx="1">
                  <c:v>3.1</c:v>
                </c:pt>
                <c:pt idx="2">
                  <c:v>3.1</c:v>
                </c:pt>
                <c:pt idx="3">
                  <c:v>3.1</c:v>
                </c:pt>
                <c:pt idx="4">
                  <c:v>3.1</c:v>
                </c:pt>
                <c:pt idx="5">
                  <c:v>3.1</c:v>
                </c:pt>
                <c:pt idx="6">
                  <c:v>3.1</c:v>
                </c:pt>
                <c:pt idx="7">
                  <c:v>3.1</c:v>
                </c:pt>
                <c:pt idx="8">
                  <c:v>3.1</c:v>
                </c:pt>
                <c:pt idx="9">
                  <c:v>3.1</c:v>
                </c:pt>
                <c:pt idx="10">
                  <c:v>3.1</c:v>
                </c:pt>
                <c:pt idx="11">
                  <c:v>3.1</c:v>
                </c:pt>
                <c:pt idx="12">
                  <c:v>3.1</c:v>
                </c:pt>
                <c:pt idx="13">
                  <c:v>3.1</c:v>
                </c:pt>
                <c:pt idx="14">
                  <c:v>3.1</c:v>
                </c:pt>
                <c:pt idx="15">
                  <c:v>3.1</c:v>
                </c:pt>
                <c:pt idx="16">
                  <c:v>3.1</c:v>
                </c:pt>
                <c:pt idx="17">
                  <c:v>3.1</c:v>
                </c:pt>
                <c:pt idx="18">
                  <c:v>3.1</c:v>
                </c:pt>
                <c:pt idx="19">
                  <c:v>3.1</c:v>
                </c:pt>
                <c:pt idx="20">
                  <c:v>3.1</c:v>
                </c:pt>
              </c:numCache>
            </c:numRef>
          </c:xVal>
          <c:yVal>
            <c:numRef>
              <c:f>'Data two'!$AG$88:$AG$108</c:f>
              <c:numCache>
                <c:formatCode>General</c:formatCode>
                <c:ptCount val="21"/>
                <c:pt idx="0">
                  <c:v>#N/A</c:v>
                </c:pt>
                <c:pt idx="1">
                  <c:v>#N/A</c:v>
                </c:pt>
                <c:pt idx="2">
                  <c:v>#N/A</c:v>
                </c:pt>
                <c:pt idx="3">
                  <c:v>#N/A</c:v>
                </c:pt>
                <c:pt idx="4">
                  <c:v>#N/A</c:v>
                </c:pt>
                <c:pt idx="5">
                  <c:v>33.811764705882354</c:v>
                </c:pt>
                <c:pt idx="6">
                  <c:v>28.811764705882354</c:v>
                </c:pt>
                <c:pt idx="7">
                  <c:v>23.811764705882354</c:v>
                </c:pt>
                <c:pt idx="8">
                  <c:v>18.811764705882354</c:v>
                </c:pt>
                <c:pt idx="9">
                  <c:v>13.811764705882352</c:v>
                </c:pt>
                <c:pt idx="10">
                  <c:v>8.8117647058823518</c:v>
                </c:pt>
                <c:pt idx="11">
                  <c:v>3.8117647058823518</c:v>
                </c:pt>
                <c:pt idx="12">
                  <c:v>#N/A</c:v>
                </c:pt>
                <c:pt idx="13">
                  <c:v>#N/A</c:v>
                </c:pt>
                <c:pt idx="14">
                  <c:v>#N/A</c:v>
                </c:pt>
                <c:pt idx="15">
                  <c:v>#N/A</c:v>
                </c:pt>
                <c:pt idx="16">
                  <c:v>#N/A</c:v>
                </c:pt>
                <c:pt idx="17">
                  <c:v>#N/A</c:v>
                </c:pt>
                <c:pt idx="18">
                  <c:v>#N/A</c:v>
                </c:pt>
                <c:pt idx="19">
                  <c:v>#N/A</c:v>
                </c:pt>
                <c:pt idx="20">
                  <c:v>#N/A</c:v>
                </c:pt>
              </c:numCache>
            </c:numRef>
          </c:yVal>
        </c:ser>
        <c:ser>
          <c:idx val="7"/>
          <c:order val="10"/>
          <c:spPr>
            <a:ln w="3175">
              <a:solidFill>
                <a:srgbClr val="000000"/>
              </a:solidFill>
              <a:prstDash val="sysDash"/>
            </a:ln>
          </c:spPr>
          <c:marker>
            <c:symbol val="none"/>
          </c:marker>
          <c:xVal>
            <c:numRef>
              <c:f>'Data two'!$AF$78:$AF$79</c:f>
              <c:numCache>
                <c:formatCode>General</c:formatCode>
                <c:ptCount val="2"/>
                <c:pt idx="0">
                  <c:v>1</c:v>
                </c:pt>
                <c:pt idx="1">
                  <c:v>3.1</c:v>
                </c:pt>
              </c:numCache>
            </c:numRef>
          </c:xVal>
          <c:yVal>
            <c:numRef>
              <c:f>'Data two'!$AG$78:$AG$79</c:f>
              <c:numCache>
                <c:formatCode>General</c:formatCode>
                <c:ptCount val="2"/>
                <c:pt idx="0">
                  <c:v>8.8117647058823518</c:v>
                </c:pt>
                <c:pt idx="1">
                  <c:v>8.8117647058823518</c:v>
                </c:pt>
              </c:numCache>
            </c:numRef>
          </c:yVal>
        </c:ser>
        <c:ser>
          <c:idx val="10"/>
          <c:order val="11"/>
          <c:spPr>
            <a:ln w="3175">
              <a:solidFill>
                <a:srgbClr val="000000"/>
              </a:solidFill>
              <a:prstDash val="sysDash"/>
            </a:ln>
          </c:spPr>
          <c:marker>
            <c:symbol val="none"/>
          </c:marker>
          <c:xVal>
            <c:numRef>
              <c:f>'Data two'!$AF$80:$AF$81</c:f>
              <c:numCache>
                <c:formatCode>General</c:formatCode>
                <c:ptCount val="2"/>
                <c:pt idx="0">
                  <c:v>2</c:v>
                </c:pt>
                <c:pt idx="1">
                  <c:v>3.1</c:v>
                </c:pt>
              </c:numCache>
            </c:numRef>
          </c:xVal>
          <c:yVal>
            <c:numRef>
              <c:f>'Data two'!$AG$80:$AG$81</c:f>
              <c:numCache>
                <c:formatCode>General</c:formatCode>
                <c:ptCount val="2"/>
                <c:pt idx="0">
                  <c:v>14.519354838709676</c:v>
                </c:pt>
                <c:pt idx="1">
                  <c:v>14.519354838709676</c:v>
                </c:pt>
              </c:numCache>
            </c:numRef>
          </c:yVal>
        </c:ser>
        <c:ser>
          <c:idx val="11"/>
          <c:order val="12"/>
          <c:spPr>
            <a:ln w="12700">
              <a:solidFill>
                <a:srgbClr val="FFFF99"/>
              </a:solidFill>
              <a:prstDash val="solid"/>
            </a:ln>
          </c:spPr>
          <c:marker>
            <c:symbol val="triangle"/>
            <c:size val="7"/>
            <c:spPr>
              <a:solidFill>
                <a:srgbClr val="000000"/>
              </a:solidFill>
              <a:ln>
                <a:solidFill>
                  <a:srgbClr val="000000"/>
                </a:solidFill>
                <a:prstDash val="solid"/>
              </a:ln>
            </c:spPr>
          </c:marker>
          <c:errBars>
            <c:errDir val="y"/>
            <c:errBarType val="both"/>
            <c:errValType val="cust"/>
            <c:noEndCap val="1"/>
            <c:plus>
              <c:numRef>
                <c:f>'Data two'!$AH$83</c:f>
                <c:numCache>
                  <c:formatCode>General</c:formatCode>
                  <c:ptCount val="1"/>
                  <c:pt idx="0">
                    <c:v>3.0223247787831315</c:v>
                  </c:pt>
                </c:numCache>
              </c:numRef>
            </c:plus>
            <c:minus>
              <c:numRef>
                <c:f>'Data two'!$AH$83</c:f>
                <c:numCache>
                  <c:formatCode>General</c:formatCode>
                  <c:ptCount val="1"/>
                  <c:pt idx="0">
                    <c:v>3.0223247787831315</c:v>
                  </c:pt>
                </c:numCache>
              </c:numRef>
            </c:minus>
            <c:spPr>
              <a:ln w="25400">
                <a:solidFill>
                  <a:srgbClr val="000000"/>
                </a:solidFill>
                <a:prstDash val="solid"/>
              </a:ln>
            </c:spPr>
          </c:errBars>
          <c:xVal>
            <c:numRef>
              <c:f>'Data two'!$AF$83</c:f>
              <c:numCache>
                <c:formatCode>General</c:formatCode>
                <c:ptCount val="1"/>
                <c:pt idx="0">
                  <c:v>2.7</c:v>
                </c:pt>
              </c:numCache>
            </c:numRef>
          </c:xVal>
          <c:yVal>
            <c:numRef>
              <c:f>'Data two'!$AG$83</c:f>
              <c:numCache>
                <c:formatCode>General</c:formatCode>
                <c:ptCount val="1"/>
                <c:pt idx="0">
                  <c:v>14.519354838709676</c:v>
                </c:pt>
              </c:numCache>
            </c:numRef>
          </c:yVal>
        </c:ser>
        <c:axId val="231912960"/>
        <c:axId val="231914496"/>
      </c:scatterChart>
      <c:catAx>
        <c:axId val="231912960"/>
        <c:scaling>
          <c:orientation val="minMax"/>
        </c:scaling>
        <c:axPos val="b"/>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1914496"/>
        <c:crossesAt val="0"/>
        <c:auto val="1"/>
        <c:lblAlgn val="ctr"/>
        <c:lblOffset val="100"/>
        <c:tickLblSkip val="1"/>
        <c:tickMarkSkip val="1"/>
      </c:catAx>
      <c:valAx>
        <c:axId val="231914496"/>
        <c:scaling>
          <c:orientation val="minMax"/>
        </c:scaling>
        <c:axPos val="l"/>
        <c:title>
          <c:tx>
            <c:strRef>
              <c:f>'Data two'!$X$93</c:f>
              <c:strCache>
                <c:ptCount val="1"/>
                <c:pt idx="0">
                  <c:v>Transcription %</c:v>
                </c:pt>
              </c:strCache>
            </c:strRef>
          </c:tx>
          <c:layout>
            <c:manualLayout>
              <c:xMode val="edge"/>
              <c:yMode val="edge"/>
              <c:x val="1.201923076923077E-2"/>
              <c:y val="0.3158844765342965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1912960"/>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8750054495833621"/>
          <c:y val="3.2490974729241902E-2"/>
          <c:w val="0.80059756498083157"/>
          <c:h val="0.89530685920577613"/>
        </c:manualLayout>
      </c:layout>
      <c:lineChart>
        <c:grouping val="standard"/>
        <c:ser>
          <c:idx val="0"/>
          <c:order val="0"/>
          <c:spPr>
            <a:ln w="28575">
              <a:noFill/>
            </a:ln>
          </c:spPr>
          <c:marker>
            <c:symbol val="circle"/>
            <c:size val="7"/>
            <c:spPr>
              <a:solidFill>
                <a:srgbClr val="000000"/>
              </a:solidFill>
              <a:ln>
                <a:solidFill>
                  <a:srgbClr val="000000"/>
                </a:solidFill>
                <a:prstDash val="solid"/>
              </a:ln>
            </c:spPr>
          </c:marker>
          <c:cat>
            <c:strRef>
              <c:f>'Data two'!$X$82:$Y$82</c:f>
              <c:strCache>
                <c:ptCount val="2"/>
                <c:pt idx="0">
                  <c:v>      Pen      </c:v>
                </c:pt>
                <c:pt idx="1">
                  <c:v>Laptop</c:v>
                </c:pt>
              </c:strCache>
            </c:strRef>
          </c:cat>
          <c:val>
            <c:numRef>
              <c:f>'Data two'!$X$83:$Y$83</c:f>
              <c:numCache>
                <c:formatCode>General</c:formatCode>
                <c:ptCount val="2"/>
                <c:pt idx="0">
                  <c:v>8.8117647058823518</c:v>
                </c:pt>
                <c:pt idx="1">
                  <c:v>14.519354838709676</c:v>
                </c:pt>
              </c:numCache>
            </c:numRef>
          </c:val>
        </c:ser>
        <c:ser>
          <c:idx val="2"/>
          <c:order val="1"/>
          <c:spPr>
            <a:ln w="28575">
              <a:noFill/>
            </a:ln>
          </c:spPr>
          <c:marker>
            <c:symbol val="none"/>
          </c:marker>
          <c:errBars>
            <c:errDir val="y"/>
            <c:errBarType val="both"/>
            <c:errValType val="cust"/>
            <c:noEndCap val="1"/>
            <c:plus>
              <c:numRef>
                <c:f>'Data two'!$X$86:$Y$86</c:f>
                <c:numCache>
                  <c:formatCode>General</c:formatCode>
                  <c:ptCount val="2"/>
                  <c:pt idx="0">
                    <c:v>1.6571227125032257</c:v>
                  </c:pt>
                  <c:pt idx="1">
                    <c:v>2.6723707232205554</c:v>
                  </c:pt>
                </c:numCache>
              </c:numRef>
            </c:plus>
            <c:minus>
              <c:numRef>
                <c:f>'Data two'!$X$86:$Y$86</c:f>
                <c:numCache>
                  <c:formatCode>General</c:formatCode>
                  <c:ptCount val="2"/>
                  <c:pt idx="0">
                    <c:v>1.6571227125032257</c:v>
                  </c:pt>
                  <c:pt idx="1">
                    <c:v>2.6723707232205554</c:v>
                  </c:pt>
                </c:numCache>
              </c:numRef>
            </c:minus>
            <c:spPr>
              <a:ln w="25400">
                <a:solidFill>
                  <a:srgbClr val="000000"/>
                </a:solidFill>
                <a:prstDash val="solid"/>
              </a:ln>
            </c:spPr>
          </c:errBars>
          <c:cat>
            <c:strRef>
              <c:f>'Data two'!$X$82:$Y$82</c:f>
              <c:strCache>
                <c:ptCount val="2"/>
                <c:pt idx="0">
                  <c:v>      Pen      </c:v>
                </c:pt>
                <c:pt idx="1">
                  <c:v>Laptop</c:v>
                </c:pt>
              </c:strCache>
            </c:strRef>
          </c:cat>
          <c:val>
            <c:numRef>
              <c:f>'Data two'!$X$85:$Y$85</c:f>
              <c:numCache>
                <c:formatCode>General</c:formatCode>
                <c:ptCount val="2"/>
                <c:pt idx="0">
                  <c:v>8.8117647058823518</c:v>
                </c:pt>
                <c:pt idx="1">
                  <c:v>14.519354838709676</c:v>
                </c:pt>
              </c:numCache>
            </c:numRef>
          </c:val>
        </c:ser>
        <c:ser>
          <c:idx val="3"/>
          <c:order val="2"/>
          <c:spPr>
            <a:ln w="28575">
              <a:noFill/>
            </a:ln>
          </c:spPr>
          <c:marker>
            <c:symbol val="none"/>
          </c:marker>
          <c:cat>
            <c:strRef>
              <c:f>'Data two'!$X$82:$Y$82</c:f>
              <c:strCache>
                <c:ptCount val="2"/>
                <c:pt idx="0">
                  <c:v>      Pen      </c:v>
                </c:pt>
                <c:pt idx="1">
                  <c:v>Laptop</c:v>
                </c:pt>
              </c:strCache>
            </c:strRef>
          </c:cat>
          <c:val>
            <c:numRef>
              <c:f>'Data two'!$X$89:$Y$89</c:f>
              <c:numCache>
                <c:formatCode>0.00</c:formatCode>
                <c:ptCount val="2"/>
                <c:pt idx="0">
                  <c:v>34.700000000000003</c:v>
                </c:pt>
                <c:pt idx="1">
                  <c:v>34.700000000000003</c:v>
                </c:pt>
              </c:numCache>
            </c:numRef>
          </c:val>
        </c:ser>
        <c:ser>
          <c:idx val="4"/>
          <c:order val="3"/>
          <c:spPr>
            <a:ln w="12700">
              <a:solidFill>
                <a:srgbClr val="808080"/>
              </a:solidFill>
              <a:prstDash val="solid"/>
            </a:ln>
          </c:spPr>
          <c:marker>
            <c:symbol val="none"/>
          </c:marker>
          <c:cat>
            <c:strRef>
              <c:f>'Data two'!$X$82:$Y$82</c:f>
              <c:strCache>
                <c:ptCount val="2"/>
                <c:pt idx="0">
                  <c:v>      Pen      </c:v>
                </c:pt>
                <c:pt idx="1">
                  <c:v>Laptop</c:v>
                </c:pt>
              </c:strCache>
            </c:strRef>
          </c:cat>
          <c:val>
            <c:numRef>
              <c:f>'Data two'!$X$87:$Y$87</c:f>
              <c:numCache>
                <c:formatCode>General</c:formatCode>
                <c:ptCount val="2"/>
                <c:pt idx="0">
                  <c:v>#N/A</c:v>
                </c:pt>
                <c:pt idx="1">
                  <c:v>#N/A</c:v>
                </c:pt>
              </c:numCache>
            </c:numRef>
          </c:val>
        </c:ser>
        <c:ser>
          <c:idx val="5"/>
          <c:order val="4"/>
          <c:spPr>
            <a:ln w="12700">
              <a:solidFill>
                <a:srgbClr val="808080"/>
              </a:solidFill>
              <a:prstDash val="solid"/>
            </a:ln>
          </c:spPr>
          <c:marker>
            <c:symbol val="none"/>
          </c:marker>
          <c:cat>
            <c:strRef>
              <c:f>'Data two'!$X$82:$Y$82</c:f>
              <c:strCache>
                <c:ptCount val="2"/>
                <c:pt idx="0">
                  <c:v>      Pen      </c:v>
                </c:pt>
                <c:pt idx="1">
                  <c:v>Laptop</c:v>
                </c:pt>
              </c:strCache>
            </c:strRef>
          </c:cat>
          <c:val>
            <c:numRef>
              <c:f>'Data two'!$X$88:$Y$88</c:f>
              <c:numCache>
                <c:formatCode>General</c:formatCode>
                <c:ptCount val="2"/>
                <c:pt idx="0">
                  <c:v>#N/A</c:v>
                </c:pt>
                <c:pt idx="1">
                  <c:v>#N/A</c:v>
                </c:pt>
              </c:numCache>
            </c:numRef>
          </c:val>
        </c:ser>
        <c:marker val="1"/>
        <c:axId val="238292992"/>
        <c:axId val="238294528"/>
      </c:lineChart>
      <c:scatterChart>
        <c:scatterStyle val="lineMarker"/>
        <c:ser>
          <c:idx val="6"/>
          <c:order val="5"/>
          <c:spPr>
            <a:ln w="28575">
              <a:noFill/>
            </a:ln>
          </c:spPr>
          <c:marker>
            <c:symbol val="circle"/>
            <c:size val="6"/>
            <c:spPr>
              <a:noFill/>
              <a:ln>
                <a:solidFill>
                  <a:srgbClr val="0000FF"/>
                </a:solidFill>
                <a:prstDash val="solid"/>
              </a:ln>
            </c:spPr>
          </c:marker>
          <c:xVal>
            <c:numRef>
              <c:f>'Data two'!$N$77:$N$176</c:f>
              <c:numCache>
                <c:formatCode>General</c:formatCode>
                <c:ptCount val="100"/>
                <c:pt idx="0">
                  <c:v>0.75</c:v>
                </c:pt>
                <c:pt idx="1">
                  <c:v>0.85</c:v>
                </c:pt>
                <c:pt idx="2">
                  <c:v>0.79999999999999993</c:v>
                </c:pt>
                <c:pt idx="3">
                  <c:v>0.85</c:v>
                </c:pt>
                <c:pt idx="4">
                  <c:v>0.79999999999999993</c:v>
                </c:pt>
                <c:pt idx="5">
                  <c:v>0.79999999999999993</c:v>
                </c:pt>
                <c:pt idx="6">
                  <c:v>0.85</c:v>
                </c:pt>
                <c:pt idx="7">
                  <c:v>0.79999999999999993</c:v>
                </c:pt>
                <c:pt idx="8">
                  <c:v>0.85</c:v>
                </c:pt>
                <c:pt idx="9">
                  <c:v>0.75</c:v>
                </c:pt>
                <c:pt idx="10">
                  <c:v>0.85</c:v>
                </c:pt>
                <c:pt idx="11">
                  <c:v>0.85</c:v>
                </c:pt>
                <c:pt idx="12">
                  <c:v>0.79999999999999993</c:v>
                </c:pt>
                <c:pt idx="13">
                  <c:v>0.75</c:v>
                </c:pt>
                <c:pt idx="14">
                  <c:v>0.79999999999999993</c:v>
                </c:pt>
                <c:pt idx="15">
                  <c:v>0.85</c:v>
                </c:pt>
                <c:pt idx="16">
                  <c:v>0.85</c:v>
                </c:pt>
                <c:pt idx="17">
                  <c:v>0.75</c:v>
                </c:pt>
                <c:pt idx="18">
                  <c:v>0.85</c:v>
                </c:pt>
                <c:pt idx="19">
                  <c:v>0.79999999999999993</c:v>
                </c:pt>
                <c:pt idx="20">
                  <c:v>0.85</c:v>
                </c:pt>
                <c:pt idx="21">
                  <c:v>0.85</c:v>
                </c:pt>
                <c:pt idx="22">
                  <c:v>0.79999999999999993</c:v>
                </c:pt>
                <c:pt idx="23">
                  <c:v>0.85</c:v>
                </c:pt>
                <c:pt idx="24">
                  <c:v>0.85</c:v>
                </c:pt>
                <c:pt idx="25">
                  <c:v>0.85</c:v>
                </c:pt>
                <c:pt idx="26">
                  <c:v>0.79999999999999993</c:v>
                </c:pt>
                <c:pt idx="27">
                  <c:v>0.85</c:v>
                </c:pt>
                <c:pt idx="28">
                  <c:v>0.85</c:v>
                </c:pt>
                <c:pt idx="29">
                  <c:v>0.85</c:v>
                </c:pt>
                <c:pt idx="30">
                  <c:v>0.85</c:v>
                </c:pt>
                <c:pt idx="31">
                  <c:v>0.85</c:v>
                </c:pt>
                <c:pt idx="32">
                  <c:v>0.85</c:v>
                </c:pt>
                <c:pt idx="33">
                  <c:v>0.85</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'Data two'!$O$77:$O$176</c:f>
              <c:numCache>
                <c:formatCode>General</c:formatCode>
                <c:ptCount val="100"/>
                <c:pt idx="0">
                  <c:v>12.266800000000002</c:v>
                </c:pt>
                <c:pt idx="1">
                  <c:v>6.6052000000000008</c:v>
                </c:pt>
                <c:pt idx="2">
                  <c:v>8.0206000000000017</c:v>
                </c:pt>
                <c:pt idx="3">
                  <c:v>7.5488000000000008</c:v>
                </c:pt>
                <c:pt idx="4">
                  <c:v>12.266800000000002</c:v>
                </c:pt>
                <c:pt idx="5">
                  <c:v>10.851400000000002</c:v>
                </c:pt>
                <c:pt idx="6">
                  <c:v>0.94360000000000011</c:v>
                </c:pt>
                <c:pt idx="7">
                  <c:v>2.8308000000000004</c:v>
                </c:pt>
                <c:pt idx="8">
                  <c:v>14.625800000000002</c:v>
                </c:pt>
                <c:pt idx="9">
                  <c:v>8.4924000000000017</c:v>
                </c:pt>
                <c:pt idx="10">
                  <c:v>17.928400000000003</c:v>
                </c:pt>
                <c:pt idx="11">
                  <c:v>20.287400000000002</c:v>
                </c:pt>
                <c:pt idx="12">
                  <c:v>1.8872000000000002</c:v>
                </c:pt>
                <c:pt idx="13">
                  <c:v>11.323200000000002</c:v>
                </c:pt>
                <c:pt idx="14">
                  <c:v>11.323200000000002</c:v>
                </c:pt>
                <c:pt idx="15">
                  <c:v>10.851400000000002</c:v>
                </c:pt>
                <c:pt idx="16">
                  <c:v>1.8872000000000002</c:v>
                </c:pt>
                <c:pt idx="17">
                  <c:v>5.1898000000000009</c:v>
                </c:pt>
                <c:pt idx="18">
                  <c:v>9.9078000000000017</c:v>
                </c:pt>
                <c:pt idx="19">
                  <c:v>5.1898000000000009</c:v>
                </c:pt>
                <c:pt idx="20">
                  <c:v>2.3590000000000004</c:v>
                </c:pt>
                <c:pt idx="21">
                  <c:v>7.0770000000000008</c:v>
                </c:pt>
                <c:pt idx="22">
                  <c:v>8.4924000000000017</c:v>
                </c:pt>
                <c:pt idx="23">
                  <c:v>8.0206000000000017</c:v>
                </c:pt>
                <c:pt idx="24">
                  <c:v>11.323200000000002</c:v>
                </c:pt>
                <c:pt idx="25">
                  <c:v>8.4924000000000017</c:v>
                </c:pt>
                <c:pt idx="26">
                  <c:v>8.9642000000000017</c:v>
                </c:pt>
                <c:pt idx="27">
                  <c:v>4.7180000000000009</c:v>
                </c:pt>
                <c:pt idx="28">
                  <c:v>8.9642000000000017</c:v>
                </c:pt>
                <c:pt idx="29">
                  <c:v>13.210400000000002</c:v>
                </c:pt>
                <c:pt idx="30">
                  <c:v>18.400200000000002</c:v>
                </c:pt>
                <c:pt idx="31">
                  <c:v>2.8308000000000004</c:v>
                </c:pt>
                <c:pt idx="32">
                  <c:v>5.1898000000000009</c:v>
                </c:pt>
                <c:pt idx="33">
                  <c:v>12.266800000000002</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er>
        <c:ser>
          <c:idx val="7"/>
          <c:order val="6"/>
          <c:spPr>
            <a:ln w="28575">
              <a:noFill/>
            </a:ln>
          </c:spPr>
          <c:marker>
            <c:symbol val="circle"/>
            <c:size val="6"/>
            <c:spPr>
              <a:noFill/>
              <a:ln>
                <a:solidFill>
                  <a:srgbClr val="0000FF"/>
                </a:solidFill>
                <a:prstDash val="solid"/>
              </a:ln>
            </c:spPr>
          </c:marker>
          <c:xVal>
            <c:numRef>
              <c:f>'Data two'!$P$77:$P$176</c:f>
              <c:numCache>
                <c:formatCode>General</c:formatCode>
                <c:ptCount val="100"/>
                <c:pt idx="0">
                  <c:v>2.15</c:v>
                </c:pt>
                <c:pt idx="1">
                  <c:v>2.1999999999999997</c:v>
                </c:pt>
                <c:pt idx="2">
                  <c:v>2.15</c:v>
                </c:pt>
                <c:pt idx="3">
                  <c:v>2.15</c:v>
                </c:pt>
                <c:pt idx="4">
                  <c:v>2.25</c:v>
                </c:pt>
                <c:pt idx="5">
                  <c:v>2.1999999999999997</c:v>
                </c:pt>
                <c:pt idx="6">
                  <c:v>2.15</c:v>
                </c:pt>
                <c:pt idx="7">
                  <c:v>2.25</c:v>
                </c:pt>
                <c:pt idx="8">
                  <c:v>2.15</c:v>
                </c:pt>
                <c:pt idx="9">
                  <c:v>2.25</c:v>
                </c:pt>
                <c:pt idx="10">
                  <c:v>2.1999999999999997</c:v>
                </c:pt>
                <c:pt idx="11">
                  <c:v>2.1999999999999997</c:v>
                </c:pt>
                <c:pt idx="12">
                  <c:v>2.15</c:v>
                </c:pt>
                <c:pt idx="13">
                  <c:v>2.15</c:v>
                </c:pt>
                <c:pt idx="14">
                  <c:v>2.1999999999999997</c:v>
                </c:pt>
                <c:pt idx="15">
                  <c:v>2.1999999999999997</c:v>
                </c:pt>
                <c:pt idx="16">
                  <c:v>2.15</c:v>
                </c:pt>
                <c:pt idx="17">
                  <c:v>2.15</c:v>
                </c:pt>
                <c:pt idx="18">
                  <c:v>2.1999999999999997</c:v>
                </c:pt>
                <c:pt idx="19">
                  <c:v>2.15</c:v>
                </c:pt>
                <c:pt idx="20">
                  <c:v>2.15</c:v>
                </c:pt>
                <c:pt idx="21">
                  <c:v>2.15</c:v>
                </c:pt>
                <c:pt idx="22">
                  <c:v>2.15</c:v>
                </c:pt>
                <c:pt idx="23">
                  <c:v>2.15</c:v>
                </c:pt>
                <c:pt idx="24">
                  <c:v>2.15</c:v>
                </c:pt>
                <c:pt idx="25">
                  <c:v>2.15</c:v>
                </c:pt>
                <c:pt idx="26">
                  <c:v>2.15</c:v>
                </c:pt>
                <c:pt idx="27">
                  <c:v>2.15</c:v>
                </c:pt>
                <c:pt idx="28">
                  <c:v>2.15</c:v>
                </c:pt>
                <c:pt idx="29">
                  <c:v>2.15</c:v>
                </c:pt>
                <c:pt idx="30">
                  <c:v>2.15</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'Data two'!$Q$77:$Q$176</c:f>
              <c:numCache>
                <c:formatCode>General</c:formatCode>
                <c:ptCount val="100"/>
                <c:pt idx="0">
                  <c:v>13.682200000000002</c:v>
                </c:pt>
                <c:pt idx="1">
                  <c:v>21.231000000000002</c:v>
                </c:pt>
                <c:pt idx="2">
                  <c:v>15.097600000000002</c:v>
                </c:pt>
                <c:pt idx="3">
                  <c:v>30.195200000000003</c:v>
                </c:pt>
                <c:pt idx="4">
                  <c:v>12.738600000000002</c:v>
                </c:pt>
                <c:pt idx="5">
                  <c:v>9.4360000000000017</c:v>
                </c:pt>
                <c:pt idx="6">
                  <c:v>9.4360000000000017</c:v>
                </c:pt>
                <c:pt idx="7">
                  <c:v>17.928400000000003</c:v>
                </c:pt>
                <c:pt idx="8">
                  <c:v>15.569400000000002</c:v>
                </c:pt>
                <c:pt idx="9">
                  <c:v>8.4924000000000017</c:v>
                </c:pt>
                <c:pt idx="10">
                  <c:v>12.738600000000002</c:v>
                </c:pt>
                <c:pt idx="11">
                  <c:v>10.379600000000002</c:v>
                </c:pt>
                <c:pt idx="12">
                  <c:v>5.1898000000000009</c:v>
                </c:pt>
                <c:pt idx="13">
                  <c:v>16.513000000000002</c:v>
                </c:pt>
                <c:pt idx="14">
                  <c:v>17.928400000000003</c:v>
                </c:pt>
                <c:pt idx="15">
                  <c:v>8.4924000000000017</c:v>
                </c:pt>
                <c:pt idx="16">
                  <c:v>26.420800000000003</c:v>
                </c:pt>
                <c:pt idx="17">
                  <c:v>17.928400000000003</c:v>
                </c:pt>
                <c:pt idx="18">
                  <c:v>18.872000000000003</c:v>
                </c:pt>
                <c:pt idx="19">
                  <c:v>16.984800000000003</c:v>
                </c:pt>
                <c:pt idx="20">
                  <c:v>18.872000000000003</c:v>
                </c:pt>
                <c:pt idx="21">
                  <c:v>8.4924000000000017</c:v>
                </c:pt>
                <c:pt idx="22">
                  <c:v>1.4154000000000002</c:v>
                </c:pt>
                <c:pt idx="23">
                  <c:v>11.323200000000002</c:v>
                </c:pt>
                <c:pt idx="24">
                  <c:v>21.231000000000002</c:v>
                </c:pt>
                <c:pt idx="25">
                  <c:v>10.379600000000002</c:v>
                </c:pt>
                <c:pt idx="26">
                  <c:v>8.9642000000000017</c:v>
                </c:pt>
                <c:pt idx="27">
                  <c:v>12.738600000000002</c:v>
                </c:pt>
                <c:pt idx="28">
                  <c:v>11.795000000000002</c:v>
                </c:pt>
                <c:pt idx="29">
                  <c:v>34.913200000000003</c:v>
                </c:pt>
                <c:pt idx="30">
                  <c:v>4.2462000000000009</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er>
        <c:ser>
          <c:idx val="8"/>
          <c:order val="7"/>
          <c:spPr>
            <a:ln w="28575">
              <a:noFill/>
            </a:ln>
          </c:spPr>
          <c:marker>
            <c:symbol val="none"/>
          </c:marker>
          <c:xVal>
            <c:strRef>
              <c:f>'Data two'!$X$82:$Y$82</c:f>
              <c:strCache>
                <c:ptCount val="2"/>
                <c:pt idx="0">
                  <c:v>      Pen      </c:v>
                </c:pt>
                <c:pt idx="1">
                  <c:v>Laptop</c:v>
                </c:pt>
              </c:strCache>
            </c:strRef>
          </c:xVal>
          <c:yVal>
            <c:numRef>
              <c:f>'Data two'!$X$90:$Y$90</c:f>
              <c:numCache>
                <c:formatCode>General</c:formatCode>
                <c:ptCount val="2"/>
                <c:pt idx="0">
                  <c:v>1</c:v>
                </c:pt>
                <c:pt idx="1">
                  <c:v>1</c:v>
                </c:pt>
              </c:numCache>
            </c:numRef>
          </c:yVal>
        </c:ser>
        <c:axId val="238292992"/>
        <c:axId val="238294528"/>
      </c:scatterChart>
      <c:catAx>
        <c:axId val="238292992"/>
        <c:scaling>
          <c:orientation val="minMax"/>
        </c:scaling>
        <c:axPos val="b"/>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8294528"/>
        <c:crossesAt val="0"/>
        <c:auto val="1"/>
        <c:lblAlgn val="ctr"/>
        <c:lblOffset val="100"/>
        <c:tickLblSkip val="1"/>
        <c:tickMarkSkip val="1"/>
      </c:catAx>
      <c:valAx>
        <c:axId val="238294528"/>
        <c:scaling>
          <c:orientation val="minMax"/>
        </c:scaling>
        <c:axPos val="l"/>
        <c:title>
          <c:tx>
            <c:strRef>
              <c:f>'Data two'!$X$93</c:f>
              <c:strCache>
                <c:ptCount val="1"/>
                <c:pt idx="0">
                  <c:v>Transcription %</c:v>
                </c:pt>
              </c:strCache>
            </c:strRef>
          </c:tx>
          <c:layout>
            <c:manualLayout>
              <c:xMode val="edge"/>
              <c:yMode val="edge"/>
              <c:x val="1.488095238095238E-2"/>
              <c:y val="0.3158844765342965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38292992"/>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4663461538461528"/>
          <c:y val="3.2490974729241902E-2"/>
          <c:w val="0.84375000000000044"/>
          <c:h val="0.89530685920577613"/>
        </c:manualLayout>
      </c:layout>
      <c:lineChart>
        <c:grouping val="standard"/>
        <c:ser>
          <c:idx val="0"/>
          <c:order val="0"/>
          <c:spPr>
            <a:ln w="28575">
              <a:noFill/>
            </a:ln>
          </c:spPr>
          <c:marker>
            <c:symbol val="circle"/>
            <c:size val="7"/>
            <c:spPr>
              <a:solidFill>
                <a:srgbClr val="000000"/>
              </a:solidFill>
              <a:ln>
                <a:solidFill>
                  <a:srgbClr val="000000"/>
                </a:solidFill>
                <a:prstDash val="solid"/>
              </a:ln>
            </c:spPr>
          </c:marker>
          <c:cat>
            <c:strRef>
              <c:f>'Summary two'!$S$82:$U$82</c:f>
              <c:strCache>
                <c:ptCount val="3"/>
                <c:pt idx="0">
                  <c:v>      Pen      </c:v>
                </c:pt>
                <c:pt idx="1">
                  <c:v>Laptop</c:v>
                </c:pt>
                <c:pt idx="2">
                  <c:v>Difference</c:v>
                </c:pt>
              </c:strCache>
            </c:strRef>
          </c:cat>
          <c:val>
            <c:numRef>
              <c:f>'Summary two'!$S$83:$T$83</c:f>
              <c:numCache>
                <c:formatCode>General</c:formatCode>
                <c:ptCount val="2"/>
                <c:pt idx="0">
                  <c:v>6.88</c:v>
                </c:pt>
                <c:pt idx="1">
                  <c:v>12.09</c:v>
                </c:pt>
              </c:numCache>
            </c:numRef>
          </c:val>
        </c:ser>
        <c:ser>
          <c:idx val="2"/>
          <c:order val="2"/>
          <c:spPr>
            <a:ln w="28575">
              <a:noFill/>
            </a:ln>
          </c:spPr>
          <c:marker>
            <c:symbol val="none"/>
          </c:marker>
          <c:errBars>
            <c:errDir val="y"/>
            <c:errBarType val="both"/>
            <c:errValType val="cust"/>
            <c:noEndCap val="1"/>
            <c:plus>
              <c:numRef>
                <c:f>'Summary two'!$S$86:$T$86</c:f>
                <c:numCache>
                  <c:formatCode>General</c:formatCode>
                  <c:ptCount val="2"/>
                  <c:pt idx="0">
                    <c:v>1.2253602476521235</c:v>
                  </c:pt>
                  <c:pt idx="1">
                    <c:v>1.0788265358043134</c:v>
                  </c:pt>
                </c:numCache>
              </c:numRef>
            </c:plus>
            <c:minus>
              <c:numRef>
                <c:f>'Summary two'!$S$86:$T$86</c:f>
                <c:numCache>
                  <c:formatCode>General</c:formatCode>
                  <c:ptCount val="2"/>
                  <c:pt idx="0">
                    <c:v>1.2253602476521235</c:v>
                  </c:pt>
                  <c:pt idx="1">
                    <c:v>1.0788265358043134</c:v>
                  </c:pt>
                </c:numCache>
              </c:numRef>
            </c:minus>
            <c:spPr>
              <a:ln w="25400">
                <a:solidFill>
                  <a:srgbClr val="000000"/>
                </a:solidFill>
                <a:prstDash val="solid"/>
              </a:ln>
            </c:spPr>
          </c:errBars>
          <c:cat>
            <c:strRef>
              <c:f>'Summary two'!$S$82:$U$82</c:f>
              <c:strCache>
                <c:ptCount val="3"/>
                <c:pt idx="0">
                  <c:v>      Pen      </c:v>
                </c:pt>
                <c:pt idx="1">
                  <c:v>Laptop</c:v>
                </c:pt>
                <c:pt idx="2">
                  <c:v>Difference</c:v>
                </c:pt>
              </c:strCache>
            </c:strRef>
          </c:cat>
          <c:val>
            <c:numRef>
              <c:f>'Summary two'!$S$85:$T$85</c:f>
              <c:numCache>
                <c:formatCode>General</c:formatCode>
                <c:ptCount val="2"/>
                <c:pt idx="0">
                  <c:v>6.88</c:v>
                </c:pt>
                <c:pt idx="1">
                  <c:v>12.09</c:v>
                </c:pt>
              </c:numCache>
            </c:numRef>
          </c:val>
        </c:ser>
        <c:ser>
          <c:idx val="3"/>
          <c:order val="3"/>
          <c:spPr>
            <a:ln w="28575">
              <a:noFill/>
            </a:ln>
          </c:spPr>
          <c:marker>
            <c:symbol val="none"/>
          </c:marker>
          <c:cat>
            <c:strRef>
              <c:f>'Summary two'!$S$82:$U$82</c:f>
              <c:strCache>
                <c:ptCount val="3"/>
                <c:pt idx="0">
                  <c:v>      Pen      </c:v>
                </c:pt>
                <c:pt idx="1">
                  <c:v>Laptop</c:v>
                </c:pt>
                <c:pt idx="2">
                  <c:v>Difference</c:v>
                </c:pt>
              </c:strCache>
            </c:strRef>
          </c:cat>
          <c:val>
            <c:numRef>
              <c:f>'Summary two'!$S$89:$T$89</c:f>
              <c:numCache>
                <c:formatCode>0.00</c:formatCode>
                <c:ptCount val="2"/>
                <c:pt idx="0">
                  <c:v>13.866920911592498</c:v>
                </c:pt>
                <c:pt idx="1">
                  <c:v>13.866920911592498</c:v>
                </c:pt>
              </c:numCache>
            </c:numRef>
          </c:val>
        </c:ser>
        <c:ser>
          <c:idx val="4"/>
          <c:order val="4"/>
          <c:spPr>
            <a:ln w="12700">
              <a:solidFill>
                <a:srgbClr val="808080"/>
              </a:solidFill>
              <a:prstDash val="solid"/>
            </a:ln>
          </c:spPr>
          <c:marker>
            <c:symbol val="none"/>
          </c:marker>
          <c:cat>
            <c:strRef>
              <c:f>'Summary two'!$S$82:$U$82</c:f>
              <c:strCache>
                <c:ptCount val="3"/>
                <c:pt idx="0">
                  <c:v>      Pen      </c:v>
                </c:pt>
                <c:pt idx="1">
                  <c:v>Laptop</c:v>
                </c:pt>
                <c:pt idx="2">
                  <c:v>Difference</c:v>
                </c:pt>
              </c:strCache>
            </c:strRef>
          </c:cat>
          <c:val>
            <c:numRef>
              <c:f>'Summary two'!$S$87:$T$87</c:f>
              <c:numCache>
                <c:formatCode>General</c:formatCode>
                <c:ptCount val="2"/>
                <c:pt idx="0">
                  <c:v>#N/A</c:v>
                </c:pt>
                <c:pt idx="1">
                  <c:v>#N/A</c:v>
                </c:pt>
              </c:numCache>
            </c:numRef>
          </c:val>
        </c:ser>
        <c:ser>
          <c:idx val="5"/>
          <c:order val="5"/>
          <c:spPr>
            <a:ln w="12700">
              <a:solidFill>
                <a:srgbClr val="808080"/>
              </a:solidFill>
              <a:prstDash val="solid"/>
            </a:ln>
          </c:spPr>
          <c:marker>
            <c:symbol val="none"/>
          </c:marker>
          <c:cat>
            <c:strRef>
              <c:f>'Summary two'!$S$82:$U$82</c:f>
              <c:strCache>
                <c:ptCount val="3"/>
                <c:pt idx="0">
                  <c:v>      Pen      </c:v>
                </c:pt>
                <c:pt idx="1">
                  <c:v>Laptop</c:v>
                </c:pt>
                <c:pt idx="2">
                  <c:v>Difference</c:v>
                </c:pt>
              </c:strCache>
            </c:strRef>
          </c:cat>
          <c:val>
            <c:numRef>
              <c:f>'Summary two'!$S$88:$T$88</c:f>
              <c:numCache>
                <c:formatCode>General</c:formatCode>
                <c:ptCount val="2"/>
                <c:pt idx="0">
                  <c:v>#N/A</c:v>
                </c:pt>
                <c:pt idx="1">
                  <c:v>#N/A</c:v>
                </c:pt>
              </c:numCache>
            </c:numRef>
          </c:val>
        </c:ser>
        <c:marker val="1"/>
        <c:axId val="251494784"/>
        <c:axId val="251496320"/>
      </c:lineChart>
      <c:scatterChart>
        <c:scatterStyle val="lineMarker"/>
        <c:ser>
          <c:idx val="9"/>
          <c:order val="1"/>
          <c:spPr>
            <a:ln w="28575">
              <a:noFill/>
            </a:ln>
          </c:spPr>
          <c:marker>
            <c:symbol val="none"/>
          </c:marker>
          <c:xVal>
            <c:numRef>
              <c:f>'Summary two'!$X$78:$X$80</c:f>
              <c:numCache>
                <c:formatCode>General</c:formatCode>
                <c:ptCount val="3"/>
                <c:pt idx="0">
                  <c:v>1</c:v>
                </c:pt>
                <c:pt idx="1">
                  <c:v>2</c:v>
                </c:pt>
                <c:pt idx="2">
                  <c:v>3</c:v>
                </c:pt>
              </c:numCache>
            </c:numRef>
          </c:xVal>
          <c:yVal>
            <c:numRef>
              <c:f>'Summary two'!$Y$78:$Y$80</c:f>
              <c:numCache>
                <c:formatCode>General</c:formatCode>
                <c:ptCount val="3"/>
                <c:pt idx="0">
                  <c:v>5.654639752347876</c:v>
                </c:pt>
                <c:pt idx="1">
                  <c:v>5.654639752347876</c:v>
                </c:pt>
                <c:pt idx="2">
                  <c:v>5.654639752347876</c:v>
                </c:pt>
              </c:numCache>
            </c:numRef>
          </c:yVal>
        </c:ser>
        <c:ser>
          <c:idx val="8"/>
          <c:order val="6"/>
          <c:spPr>
            <a:ln w="28575">
              <a:noFill/>
            </a:ln>
          </c:spPr>
          <c:marker>
            <c:symbol val="none"/>
          </c:marker>
          <c:xVal>
            <c:strRef>
              <c:f>'Summary two'!$S$82:$T$82</c:f>
              <c:strCache>
                <c:ptCount val="2"/>
                <c:pt idx="0">
                  <c:v>      Pen      </c:v>
                </c:pt>
                <c:pt idx="1">
                  <c:v>Laptop</c:v>
                </c:pt>
              </c:strCache>
            </c:strRef>
          </c:xVal>
          <c:yVal>
            <c:numRef>
              <c:f>'Summary two'!$S$90:$T$90</c:f>
              <c:numCache>
                <c:formatCode>General</c:formatCode>
                <c:ptCount val="2"/>
                <c:pt idx="0">
                  <c:v>5.654639752347876</c:v>
                </c:pt>
                <c:pt idx="1">
                  <c:v>5.654639752347876</c:v>
                </c:pt>
              </c:numCache>
            </c:numRef>
          </c:yVal>
        </c:ser>
        <c:ser>
          <c:idx val="6"/>
          <c:order val="7"/>
          <c:spPr>
            <a:ln w="12700">
              <a:solidFill>
                <a:srgbClr val="000000"/>
              </a:solidFill>
              <a:prstDash val="solid"/>
            </a:ln>
          </c:spPr>
          <c:marker>
            <c:symbol val="dot"/>
            <c:size val="5"/>
            <c:spPr>
              <a:noFill/>
              <a:ln>
                <a:solidFill>
                  <a:srgbClr val="000000"/>
                </a:solidFill>
                <a:prstDash val="solid"/>
              </a:ln>
            </c:spPr>
          </c:marker>
          <c:dLbls>
            <c:dLbl>
              <c:idx val="0"/>
              <c:layout/>
              <c:tx>
                <c:strRef>
                  <c:f>'Summary two'!$Y$88</c:f>
                  <c:strCache>
                    <c:ptCount val="1"/>
                    <c:pt idx="0">
                      <c:v>10</c:v>
                    </c:pt>
                  </c:strCache>
                </c:strRef>
              </c:tx>
            </c:dLbl>
            <c:dLbl>
              <c:idx val="1"/>
              <c:delete val="1"/>
            </c:dLbl>
            <c:dLbl>
              <c:idx val="2"/>
              <c:layout/>
              <c:tx>
                <c:strRef>
                  <c:f>'Summary two'!$Y$90</c:f>
                  <c:strCache>
                    <c:ptCount val="1"/>
                    <c:pt idx="0">
                      <c:v>8</c:v>
                    </c:pt>
                  </c:strCache>
                </c:strRef>
              </c:tx>
            </c:dLbl>
            <c:dLbl>
              <c:idx val="3"/>
              <c:delete val="1"/>
            </c:dLbl>
            <c:dLbl>
              <c:idx val="4"/>
              <c:layout/>
              <c:tx>
                <c:strRef>
                  <c:f>'Summary two'!$Y$92</c:f>
                  <c:strCache>
                    <c:ptCount val="1"/>
                    <c:pt idx="0">
                      <c:v>6</c:v>
                    </c:pt>
                  </c:strCache>
                </c:strRef>
              </c:tx>
            </c:dLbl>
            <c:dLbl>
              <c:idx val="5"/>
              <c:delete val="1"/>
            </c:dLbl>
            <c:dLbl>
              <c:idx val="6"/>
              <c:layout/>
              <c:tx>
                <c:strRef>
                  <c:f>'Summary two'!$Y$94</c:f>
                  <c:strCache>
                    <c:ptCount val="1"/>
                    <c:pt idx="0">
                      <c:v>4</c:v>
                    </c:pt>
                  </c:strCache>
                </c:strRef>
              </c:tx>
            </c:dLbl>
            <c:dLbl>
              <c:idx val="7"/>
              <c:delete val="1"/>
            </c:dLbl>
            <c:dLbl>
              <c:idx val="8"/>
              <c:layout/>
              <c:tx>
                <c:strRef>
                  <c:f>'Summary two'!$Y$96</c:f>
                  <c:strCache>
                    <c:ptCount val="1"/>
                    <c:pt idx="0">
                      <c:v>2</c:v>
                    </c:pt>
                  </c:strCache>
                </c:strRef>
              </c:tx>
            </c:dLbl>
            <c:dLbl>
              <c:idx val="9"/>
              <c:delete val="1"/>
            </c:dLbl>
            <c:dLbl>
              <c:idx val="10"/>
              <c:layout/>
              <c:tx>
                <c:strRef>
                  <c:f>'Summary two'!$Y$98</c:f>
                  <c:strCache>
                    <c:ptCount val="1"/>
                    <c:pt idx="0">
                      <c:v>0</c:v>
                    </c:pt>
                  </c:strCache>
                </c:strRef>
              </c:tx>
            </c:dLbl>
            <c:dLbl>
              <c:idx val="11"/>
              <c:delete val="1"/>
            </c:dLbl>
            <c:dLbl>
              <c:idx val="12"/>
              <c:layout/>
              <c:tx>
                <c:strRef>
                  <c:f>'Summary two'!$Y$100</c:f>
                  <c:strCache>
                    <c:ptCount val="1"/>
                    <c:pt idx="0">
                      <c:v>-2</c:v>
                    </c:pt>
                  </c:strCache>
                </c:strRef>
              </c:tx>
            </c:dLbl>
            <c:dLbl>
              <c:idx val="13"/>
              <c:delete val="1"/>
            </c:dLbl>
            <c:dLbl>
              <c:idx val="14"/>
              <c:layout/>
              <c:tx>
                <c:strRef>
                  <c:f>'Summary two'!$Y$102</c:f>
                  <c:strCache>
                    <c:ptCount val="1"/>
                    <c:pt idx="0">
                      <c:v>-4</c:v>
                    </c:pt>
                  </c:strCache>
                </c:strRef>
              </c:tx>
            </c:dLbl>
            <c:dLbl>
              <c:idx val="15"/>
              <c:delete val="1"/>
            </c:dLbl>
            <c:dLbl>
              <c:idx val="16"/>
              <c:layout/>
              <c:tx>
                <c:strRef>
                  <c:f>'Summary two'!$Y$104</c:f>
                  <c:strCache>
                    <c:ptCount val="1"/>
                    <c:pt idx="0">
                      <c:v>-6</c:v>
                    </c:pt>
                  </c:strCache>
                </c:strRef>
              </c:tx>
            </c:dLbl>
            <c:dLbl>
              <c:idx val="17"/>
              <c:delete val="1"/>
            </c:dLbl>
            <c:dLbl>
              <c:idx val="18"/>
              <c:layout/>
              <c:tx>
                <c:strRef>
                  <c:f>'Summary two'!$Y$106</c:f>
                  <c:strCache>
                    <c:ptCount val="1"/>
                    <c:pt idx="0">
                      <c:v>-8</c:v>
                    </c:pt>
                  </c:strCache>
                </c:strRef>
              </c:tx>
            </c:dLbl>
            <c:dLbl>
              <c:idx val="19"/>
              <c:delete val="1"/>
            </c:dLbl>
            <c:dLbl>
              <c:idx val="20"/>
              <c:layout/>
              <c:tx>
                <c:strRef>
                  <c:f>'Summary two'!$Y$108</c:f>
                  <c:strCache>
                    <c:ptCount val="1"/>
                    <c:pt idx="0">
                      <c:v>-10</c:v>
                    </c:pt>
                  </c:strCache>
                </c:strRef>
              </c:tx>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xVal>
            <c:numRef>
              <c:f>'Summary two'!$AA$88:$AA$108</c:f>
              <c:numCache>
                <c:formatCode>General</c:formatCode>
                <c:ptCount val="21"/>
                <c:pt idx="0">
                  <c:v>3.1</c:v>
                </c:pt>
                <c:pt idx="1">
                  <c:v>3.1</c:v>
                </c:pt>
                <c:pt idx="2">
                  <c:v>3.1</c:v>
                </c:pt>
                <c:pt idx="3">
                  <c:v>3.1</c:v>
                </c:pt>
                <c:pt idx="4">
                  <c:v>3.1</c:v>
                </c:pt>
                <c:pt idx="5">
                  <c:v>3.1</c:v>
                </c:pt>
                <c:pt idx="6">
                  <c:v>3.1</c:v>
                </c:pt>
                <c:pt idx="7">
                  <c:v>3.1</c:v>
                </c:pt>
                <c:pt idx="8">
                  <c:v>3.1</c:v>
                </c:pt>
                <c:pt idx="9">
                  <c:v>3.1</c:v>
                </c:pt>
                <c:pt idx="10">
                  <c:v>3.1</c:v>
                </c:pt>
                <c:pt idx="11">
                  <c:v>3.1</c:v>
                </c:pt>
                <c:pt idx="12">
                  <c:v>3.1</c:v>
                </c:pt>
                <c:pt idx="13">
                  <c:v>3.1</c:v>
                </c:pt>
                <c:pt idx="14">
                  <c:v>3.1</c:v>
                </c:pt>
                <c:pt idx="15">
                  <c:v>3.1</c:v>
                </c:pt>
                <c:pt idx="16">
                  <c:v>3.1</c:v>
                </c:pt>
                <c:pt idx="17">
                  <c:v>3.1</c:v>
                </c:pt>
                <c:pt idx="18">
                  <c:v>3.1</c:v>
                </c:pt>
                <c:pt idx="19">
                  <c:v>3.1</c:v>
                </c:pt>
                <c:pt idx="20">
                  <c:v>3.1</c:v>
                </c:pt>
              </c:numCache>
            </c:numRef>
          </c:xVal>
          <c:yVal>
            <c:numRef>
              <c:f>'Summary two'!$AB$88:$AB$108</c:f>
              <c:numCache>
                <c:formatCode>General</c:formatCode>
                <c:ptCount val="21"/>
                <c:pt idx="0">
                  <c:v>#N/A</c:v>
                </c:pt>
                <c:pt idx="1">
                  <c:v>#N/A</c:v>
                </c:pt>
                <c:pt idx="2">
                  <c:v>#N/A</c:v>
                </c:pt>
                <c:pt idx="3">
                  <c:v>#N/A</c:v>
                </c:pt>
                <c:pt idx="4">
                  <c:v>12.879999999999999</c:v>
                </c:pt>
                <c:pt idx="5">
                  <c:v>11.879999999999999</c:v>
                </c:pt>
                <c:pt idx="6">
                  <c:v>10.879999999999999</c:v>
                </c:pt>
                <c:pt idx="7">
                  <c:v>9.879999999999999</c:v>
                </c:pt>
                <c:pt idx="8">
                  <c:v>8.879999999999999</c:v>
                </c:pt>
                <c:pt idx="9">
                  <c:v>7.88</c:v>
                </c:pt>
                <c:pt idx="10">
                  <c:v>6.88</c:v>
                </c:pt>
                <c:pt idx="11">
                  <c:v>5.88</c:v>
                </c:pt>
                <c:pt idx="12">
                  <c:v>#N/A</c:v>
                </c:pt>
                <c:pt idx="13">
                  <c:v>#N/A</c:v>
                </c:pt>
                <c:pt idx="14">
                  <c:v>#N/A</c:v>
                </c:pt>
                <c:pt idx="15">
                  <c:v>#N/A</c:v>
                </c:pt>
                <c:pt idx="16">
                  <c:v>#N/A</c:v>
                </c:pt>
                <c:pt idx="17">
                  <c:v>#N/A</c:v>
                </c:pt>
                <c:pt idx="18">
                  <c:v>#N/A</c:v>
                </c:pt>
                <c:pt idx="19">
                  <c:v>#N/A</c:v>
                </c:pt>
                <c:pt idx="20">
                  <c:v>#N/A</c:v>
                </c:pt>
              </c:numCache>
            </c:numRef>
          </c:yVal>
        </c:ser>
        <c:ser>
          <c:idx val="7"/>
          <c:order val="8"/>
          <c:spPr>
            <a:ln w="3175">
              <a:solidFill>
                <a:srgbClr val="000000"/>
              </a:solidFill>
              <a:prstDash val="sysDash"/>
            </a:ln>
          </c:spPr>
          <c:marker>
            <c:symbol val="none"/>
          </c:marker>
          <c:xVal>
            <c:numRef>
              <c:f>'Summary two'!$AA$78:$AA$79</c:f>
              <c:numCache>
                <c:formatCode>General</c:formatCode>
                <c:ptCount val="2"/>
                <c:pt idx="0">
                  <c:v>1</c:v>
                </c:pt>
                <c:pt idx="1">
                  <c:v>3.1</c:v>
                </c:pt>
              </c:numCache>
            </c:numRef>
          </c:xVal>
          <c:yVal>
            <c:numRef>
              <c:f>'Summary two'!$AB$78:$AB$79</c:f>
              <c:numCache>
                <c:formatCode>General</c:formatCode>
                <c:ptCount val="2"/>
                <c:pt idx="0">
                  <c:v>6.88</c:v>
                </c:pt>
                <c:pt idx="1">
                  <c:v>6.88</c:v>
                </c:pt>
              </c:numCache>
            </c:numRef>
          </c:yVal>
        </c:ser>
        <c:ser>
          <c:idx val="10"/>
          <c:order val="9"/>
          <c:spPr>
            <a:ln w="3175">
              <a:solidFill>
                <a:srgbClr val="000000"/>
              </a:solidFill>
              <a:prstDash val="sysDash"/>
            </a:ln>
          </c:spPr>
          <c:marker>
            <c:symbol val="none"/>
          </c:marker>
          <c:xVal>
            <c:numRef>
              <c:f>'Summary two'!$AA$80:$AA$81</c:f>
              <c:numCache>
                <c:formatCode>General</c:formatCode>
                <c:ptCount val="2"/>
                <c:pt idx="0">
                  <c:v>2</c:v>
                </c:pt>
                <c:pt idx="1">
                  <c:v>3.1</c:v>
                </c:pt>
              </c:numCache>
            </c:numRef>
          </c:xVal>
          <c:yVal>
            <c:numRef>
              <c:f>'Summary two'!$AB$80:$AB$81</c:f>
              <c:numCache>
                <c:formatCode>General</c:formatCode>
                <c:ptCount val="2"/>
                <c:pt idx="0">
                  <c:v>12.09</c:v>
                </c:pt>
                <c:pt idx="1">
                  <c:v>12.09</c:v>
                </c:pt>
              </c:numCache>
            </c:numRef>
          </c:yVal>
        </c:ser>
        <c:ser>
          <c:idx val="11"/>
          <c:order val="10"/>
          <c:spPr>
            <a:ln w="12700">
              <a:solidFill>
                <a:srgbClr val="FFFF99"/>
              </a:solidFill>
              <a:prstDash val="solid"/>
            </a:ln>
          </c:spPr>
          <c:marker>
            <c:symbol val="triangle"/>
            <c:size val="7"/>
            <c:spPr>
              <a:solidFill>
                <a:srgbClr val="000000"/>
              </a:solidFill>
              <a:ln>
                <a:solidFill>
                  <a:srgbClr val="000000"/>
                </a:solidFill>
                <a:prstDash val="solid"/>
              </a:ln>
            </c:spPr>
          </c:marker>
          <c:errBars>
            <c:errDir val="y"/>
            <c:errBarType val="both"/>
            <c:errValType val="cust"/>
            <c:noEndCap val="1"/>
            <c:plus>
              <c:numRef>
                <c:f>'Summary two'!$AC$83</c:f>
                <c:numCache>
                  <c:formatCode>General</c:formatCode>
                  <c:ptCount val="1"/>
                  <c:pt idx="0">
                    <c:v>1.776920911592498</c:v>
                  </c:pt>
                </c:numCache>
              </c:numRef>
            </c:plus>
            <c:minus>
              <c:numRef>
                <c:f>'Summary two'!$AC$83</c:f>
                <c:numCache>
                  <c:formatCode>General</c:formatCode>
                  <c:ptCount val="1"/>
                  <c:pt idx="0">
                    <c:v>1.776920911592498</c:v>
                  </c:pt>
                </c:numCache>
              </c:numRef>
            </c:minus>
            <c:spPr>
              <a:ln w="25400">
                <a:solidFill>
                  <a:srgbClr val="000000"/>
                </a:solidFill>
                <a:prstDash val="solid"/>
              </a:ln>
            </c:spPr>
          </c:errBars>
          <c:xVal>
            <c:numRef>
              <c:f>'Summary two'!$AA$83</c:f>
              <c:numCache>
                <c:formatCode>General</c:formatCode>
                <c:ptCount val="1"/>
                <c:pt idx="0">
                  <c:v>2.7</c:v>
                </c:pt>
              </c:numCache>
            </c:numRef>
          </c:xVal>
          <c:yVal>
            <c:numRef>
              <c:f>'Summary two'!$AB$83</c:f>
              <c:numCache>
                <c:formatCode>General</c:formatCode>
                <c:ptCount val="1"/>
                <c:pt idx="0">
                  <c:v>12.09</c:v>
                </c:pt>
              </c:numCache>
            </c:numRef>
          </c:yVal>
        </c:ser>
        <c:axId val="251494784"/>
        <c:axId val="251496320"/>
      </c:scatterChart>
      <c:catAx>
        <c:axId val="251494784"/>
        <c:scaling>
          <c:orientation val="minMax"/>
        </c:scaling>
        <c:axPos val="b"/>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1496320"/>
        <c:crossesAt val="0"/>
        <c:auto val="1"/>
        <c:lblAlgn val="ctr"/>
        <c:lblOffset val="100"/>
        <c:tickLblSkip val="1"/>
        <c:tickMarkSkip val="1"/>
      </c:catAx>
      <c:valAx>
        <c:axId val="251496320"/>
        <c:scaling>
          <c:orientation val="minMax"/>
        </c:scaling>
        <c:axPos val="l"/>
        <c:title>
          <c:tx>
            <c:strRef>
              <c:f>'Summary two'!$S$93</c:f>
              <c:strCache>
                <c:ptCount val="1"/>
                <c:pt idx="0">
                  <c:v>Transcription %</c:v>
                </c:pt>
              </c:strCache>
            </c:strRef>
          </c:tx>
          <c:layout>
            <c:manualLayout>
              <c:xMode val="edge"/>
              <c:yMode val="edge"/>
              <c:x val="1.201923076923077E-2"/>
              <c:y val="0.3158844765342965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1494784"/>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8750054495833621"/>
          <c:y val="3.2490974729241902E-2"/>
          <c:w val="0.80059756498083157"/>
          <c:h val="0.89530685920577613"/>
        </c:manualLayout>
      </c:layout>
      <c:lineChart>
        <c:grouping val="standard"/>
        <c:ser>
          <c:idx val="0"/>
          <c:order val="0"/>
          <c:spPr>
            <a:ln w="28575">
              <a:noFill/>
            </a:ln>
          </c:spPr>
          <c:marker>
            <c:symbol val="circle"/>
            <c:size val="7"/>
            <c:spPr>
              <a:solidFill>
                <a:srgbClr val="000000"/>
              </a:solidFill>
              <a:ln>
                <a:solidFill>
                  <a:srgbClr val="000000"/>
                </a:solidFill>
                <a:prstDash val="solid"/>
              </a:ln>
            </c:spPr>
          </c:marker>
          <c:cat>
            <c:strRef>
              <c:f>'Summary two'!$S$82:$T$82</c:f>
              <c:strCache>
                <c:ptCount val="2"/>
                <c:pt idx="0">
                  <c:v>      Pen      </c:v>
                </c:pt>
                <c:pt idx="1">
                  <c:v>Laptop</c:v>
                </c:pt>
              </c:strCache>
            </c:strRef>
          </c:cat>
          <c:val>
            <c:numRef>
              <c:f>'Summary two'!$S$83:$T$83</c:f>
              <c:numCache>
                <c:formatCode>General</c:formatCode>
                <c:ptCount val="2"/>
                <c:pt idx="0">
                  <c:v>6.88</c:v>
                </c:pt>
                <c:pt idx="1">
                  <c:v>12.09</c:v>
                </c:pt>
              </c:numCache>
            </c:numRef>
          </c:val>
        </c:ser>
        <c:ser>
          <c:idx val="2"/>
          <c:order val="1"/>
          <c:spPr>
            <a:ln w="28575">
              <a:noFill/>
            </a:ln>
          </c:spPr>
          <c:marker>
            <c:symbol val="none"/>
          </c:marker>
          <c:errBars>
            <c:errDir val="y"/>
            <c:errBarType val="both"/>
            <c:errValType val="cust"/>
            <c:noEndCap val="1"/>
            <c:plus>
              <c:numRef>
                <c:f>'Summary two'!$S$86:$T$86</c:f>
                <c:numCache>
                  <c:formatCode>General</c:formatCode>
                  <c:ptCount val="2"/>
                  <c:pt idx="0">
                    <c:v>1.2253602476521235</c:v>
                  </c:pt>
                  <c:pt idx="1">
                    <c:v>1.0788265358043134</c:v>
                  </c:pt>
                </c:numCache>
              </c:numRef>
            </c:plus>
            <c:minus>
              <c:numRef>
                <c:f>'Summary two'!$S$86:$T$86</c:f>
                <c:numCache>
                  <c:formatCode>General</c:formatCode>
                  <c:ptCount val="2"/>
                  <c:pt idx="0">
                    <c:v>1.2253602476521235</c:v>
                  </c:pt>
                  <c:pt idx="1">
                    <c:v>1.0788265358043134</c:v>
                  </c:pt>
                </c:numCache>
              </c:numRef>
            </c:minus>
            <c:spPr>
              <a:ln w="25400">
                <a:solidFill>
                  <a:srgbClr val="000000"/>
                </a:solidFill>
                <a:prstDash val="solid"/>
              </a:ln>
            </c:spPr>
          </c:errBars>
          <c:cat>
            <c:strRef>
              <c:f>'Summary two'!$S$82:$T$82</c:f>
              <c:strCache>
                <c:ptCount val="2"/>
                <c:pt idx="0">
                  <c:v>      Pen      </c:v>
                </c:pt>
                <c:pt idx="1">
                  <c:v>Laptop</c:v>
                </c:pt>
              </c:strCache>
            </c:strRef>
          </c:cat>
          <c:val>
            <c:numRef>
              <c:f>'Summary two'!$S$85:$T$85</c:f>
              <c:numCache>
                <c:formatCode>General</c:formatCode>
                <c:ptCount val="2"/>
                <c:pt idx="0">
                  <c:v>6.88</c:v>
                </c:pt>
                <c:pt idx="1">
                  <c:v>12.09</c:v>
                </c:pt>
              </c:numCache>
            </c:numRef>
          </c:val>
        </c:ser>
        <c:ser>
          <c:idx val="3"/>
          <c:order val="2"/>
          <c:spPr>
            <a:ln w="28575">
              <a:noFill/>
            </a:ln>
          </c:spPr>
          <c:marker>
            <c:symbol val="none"/>
          </c:marker>
          <c:cat>
            <c:strRef>
              <c:f>'Summary two'!$S$82:$T$82</c:f>
              <c:strCache>
                <c:ptCount val="2"/>
                <c:pt idx="0">
                  <c:v>      Pen      </c:v>
                </c:pt>
                <c:pt idx="1">
                  <c:v>Laptop</c:v>
                </c:pt>
              </c:strCache>
            </c:strRef>
          </c:cat>
          <c:val>
            <c:numRef>
              <c:f>'Summary two'!$S$89:$T$89</c:f>
              <c:numCache>
                <c:formatCode>0.00</c:formatCode>
                <c:ptCount val="2"/>
                <c:pt idx="0">
                  <c:v>13.866920911592498</c:v>
                </c:pt>
                <c:pt idx="1">
                  <c:v>13.866920911592498</c:v>
                </c:pt>
              </c:numCache>
            </c:numRef>
          </c:val>
        </c:ser>
        <c:ser>
          <c:idx val="4"/>
          <c:order val="3"/>
          <c:spPr>
            <a:ln w="12700">
              <a:solidFill>
                <a:srgbClr val="808080"/>
              </a:solidFill>
              <a:prstDash val="solid"/>
            </a:ln>
          </c:spPr>
          <c:marker>
            <c:symbol val="none"/>
          </c:marker>
          <c:cat>
            <c:strRef>
              <c:f>'Summary two'!$S$82:$T$82</c:f>
              <c:strCache>
                <c:ptCount val="2"/>
                <c:pt idx="0">
                  <c:v>      Pen      </c:v>
                </c:pt>
                <c:pt idx="1">
                  <c:v>Laptop</c:v>
                </c:pt>
              </c:strCache>
            </c:strRef>
          </c:cat>
          <c:val>
            <c:numRef>
              <c:f>'Summary two'!$S$87:$T$87</c:f>
              <c:numCache>
                <c:formatCode>General</c:formatCode>
                <c:ptCount val="2"/>
                <c:pt idx="0">
                  <c:v>#N/A</c:v>
                </c:pt>
                <c:pt idx="1">
                  <c:v>#N/A</c:v>
                </c:pt>
              </c:numCache>
            </c:numRef>
          </c:val>
        </c:ser>
        <c:ser>
          <c:idx val="5"/>
          <c:order val="4"/>
          <c:spPr>
            <a:ln w="12700">
              <a:solidFill>
                <a:srgbClr val="808080"/>
              </a:solidFill>
              <a:prstDash val="solid"/>
            </a:ln>
          </c:spPr>
          <c:marker>
            <c:symbol val="none"/>
          </c:marker>
          <c:cat>
            <c:strRef>
              <c:f>'Summary two'!$S$82:$T$82</c:f>
              <c:strCache>
                <c:ptCount val="2"/>
                <c:pt idx="0">
                  <c:v>      Pen      </c:v>
                </c:pt>
                <c:pt idx="1">
                  <c:v>Laptop</c:v>
                </c:pt>
              </c:strCache>
            </c:strRef>
          </c:cat>
          <c:val>
            <c:numRef>
              <c:f>'Summary two'!$S$88:$T$88</c:f>
              <c:numCache>
                <c:formatCode>General</c:formatCode>
                <c:ptCount val="2"/>
                <c:pt idx="0">
                  <c:v>#N/A</c:v>
                </c:pt>
                <c:pt idx="1">
                  <c:v>#N/A</c:v>
                </c:pt>
              </c:numCache>
            </c:numRef>
          </c:val>
        </c:ser>
        <c:marker val="1"/>
        <c:axId val="87454848"/>
        <c:axId val="87456384"/>
      </c:lineChart>
      <c:scatterChart>
        <c:scatterStyle val="lineMarker"/>
        <c:ser>
          <c:idx val="8"/>
          <c:order val="5"/>
          <c:spPr>
            <a:ln w="28575">
              <a:noFill/>
            </a:ln>
          </c:spPr>
          <c:marker>
            <c:symbol val="none"/>
          </c:marker>
          <c:xVal>
            <c:strRef>
              <c:f>'Summary two'!$S$82:$T$82</c:f>
              <c:strCache>
                <c:ptCount val="2"/>
                <c:pt idx="0">
                  <c:v>      Pen      </c:v>
                </c:pt>
                <c:pt idx="1">
                  <c:v>Laptop</c:v>
                </c:pt>
              </c:strCache>
            </c:strRef>
          </c:xVal>
          <c:yVal>
            <c:numRef>
              <c:f>'Summary two'!$S$90:$T$90</c:f>
              <c:numCache>
                <c:formatCode>General</c:formatCode>
                <c:ptCount val="2"/>
                <c:pt idx="0">
                  <c:v>5.654639752347876</c:v>
                </c:pt>
                <c:pt idx="1">
                  <c:v>5.654639752347876</c:v>
                </c:pt>
              </c:numCache>
            </c:numRef>
          </c:yVal>
        </c:ser>
        <c:axId val="87454848"/>
        <c:axId val="87456384"/>
      </c:scatterChart>
      <c:catAx>
        <c:axId val="87454848"/>
        <c:scaling>
          <c:orientation val="minMax"/>
        </c:scaling>
        <c:axPos val="b"/>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7456384"/>
        <c:crossesAt val="0"/>
        <c:auto val="1"/>
        <c:lblAlgn val="ctr"/>
        <c:lblOffset val="100"/>
        <c:tickLblSkip val="1"/>
        <c:tickMarkSkip val="1"/>
      </c:catAx>
      <c:valAx>
        <c:axId val="87456384"/>
        <c:scaling>
          <c:orientation val="minMax"/>
        </c:scaling>
        <c:axPos val="l"/>
        <c:title>
          <c:tx>
            <c:strRef>
              <c:f>'Summary two'!$S$93</c:f>
              <c:strCache>
                <c:ptCount val="1"/>
                <c:pt idx="0">
                  <c:v>Transcription %</c:v>
                </c:pt>
              </c:strCache>
            </c:strRef>
          </c:tx>
          <c:layout>
            <c:manualLayout>
              <c:xMode val="edge"/>
              <c:yMode val="edge"/>
              <c:x val="1.488095238095238E-2"/>
              <c:y val="0.3158844765342965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7454848"/>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5.6882884584404979E-3"/>
          <c:y val="1.0101030028862912E-2"/>
          <c:w val="0.98976219176864577"/>
          <c:h val="0.93131496866115959"/>
        </c:manualLayout>
      </c:layout>
      <c:scatterChart>
        <c:scatterStyle val="lineMarker"/>
        <c:ser>
          <c:idx val="2"/>
          <c:order val="0"/>
          <c:spPr>
            <a:ln w="28575">
              <a:noFill/>
            </a:ln>
          </c:spPr>
          <c:marker>
            <c:symbol val="none"/>
          </c:marker>
          <c:errBars>
            <c:errDir val="y"/>
            <c:errBarType val="minus"/>
            <c:errValType val="cust"/>
            <c:noEndCap val="1"/>
            <c:minus>
              <c:numRef>
                <c:f>'d picture'!$AM$10:$AM$310</c:f>
                <c:numCache>
                  <c:formatCode>General</c:formatCode>
                  <c:ptCount val="301"/>
                </c:numCache>
              </c:numRef>
            </c:minus>
            <c:spPr>
              <a:ln w="38100">
                <a:solidFill>
                  <a:srgbClr val="C0C0C0"/>
                </a:solidFill>
                <a:prstDash val="solid"/>
              </a:ln>
            </c:spPr>
          </c:errBars>
          <c:xVal>
            <c:numRef>
              <c:f>'d picture'!$AJ$10:$AJ$310</c:f>
              <c:numCache>
                <c:formatCode>General</c:formatCode>
                <c:ptCount val="301"/>
                <c:pt idx="0">
                  <c:v>-4</c:v>
                </c:pt>
                <c:pt idx="1">
                  <c:v>-3.992</c:v>
                </c:pt>
                <c:pt idx="2">
                  <c:v>-3.984</c:v>
                </c:pt>
                <c:pt idx="3">
                  <c:v>-3.976</c:v>
                </c:pt>
                <c:pt idx="4">
                  <c:v>-3.968</c:v>
                </c:pt>
                <c:pt idx="5">
                  <c:v>-3.96</c:v>
                </c:pt>
                <c:pt idx="6">
                  <c:v>-3.952</c:v>
                </c:pt>
                <c:pt idx="7">
                  <c:v>-3.944</c:v>
                </c:pt>
                <c:pt idx="8">
                  <c:v>-3.9359999999999999</c:v>
                </c:pt>
                <c:pt idx="9">
                  <c:v>-3.9279999999999999</c:v>
                </c:pt>
                <c:pt idx="10">
                  <c:v>-3.92</c:v>
                </c:pt>
                <c:pt idx="11">
                  <c:v>-3.9119999999999999</c:v>
                </c:pt>
                <c:pt idx="12">
                  <c:v>-3.9039999999999999</c:v>
                </c:pt>
                <c:pt idx="13">
                  <c:v>-3.8959999999999999</c:v>
                </c:pt>
                <c:pt idx="14">
                  <c:v>-3.8879999999999999</c:v>
                </c:pt>
                <c:pt idx="15">
                  <c:v>-3.88</c:v>
                </c:pt>
                <c:pt idx="16">
                  <c:v>-3.8719999999999999</c:v>
                </c:pt>
                <c:pt idx="17">
                  <c:v>-3.8639999999999999</c:v>
                </c:pt>
                <c:pt idx="18">
                  <c:v>-3.8559999999999999</c:v>
                </c:pt>
                <c:pt idx="19">
                  <c:v>-3.8479999999999999</c:v>
                </c:pt>
                <c:pt idx="20">
                  <c:v>-3.84</c:v>
                </c:pt>
                <c:pt idx="21">
                  <c:v>-3.8319999999999999</c:v>
                </c:pt>
                <c:pt idx="22">
                  <c:v>-3.8239999999999998</c:v>
                </c:pt>
                <c:pt idx="23">
                  <c:v>-3.8159999999999998</c:v>
                </c:pt>
                <c:pt idx="24">
                  <c:v>-3.8079999999999998</c:v>
                </c:pt>
                <c:pt idx="25">
                  <c:v>-3.8</c:v>
                </c:pt>
                <c:pt idx="26">
                  <c:v>-3.7919999999999998</c:v>
                </c:pt>
                <c:pt idx="27">
                  <c:v>-3.7839999999999998</c:v>
                </c:pt>
                <c:pt idx="28">
                  <c:v>-3.7759999999999998</c:v>
                </c:pt>
                <c:pt idx="29">
                  <c:v>-3.7679999999999998</c:v>
                </c:pt>
                <c:pt idx="30">
                  <c:v>-3.76</c:v>
                </c:pt>
                <c:pt idx="31">
                  <c:v>-3.7519999999999998</c:v>
                </c:pt>
                <c:pt idx="32">
                  <c:v>-3.7439999999999998</c:v>
                </c:pt>
                <c:pt idx="33">
                  <c:v>-3.7359999999999998</c:v>
                </c:pt>
                <c:pt idx="34">
                  <c:v>-3.7279999999999998</c:v>
                </c:pt>
                <c:pt idx="35">
                  <c:v>-3.7199999999999998</c:v>
                </c:pt>
                <c:pt idx="36">
                  <c:v>-3.7119999999999997</c:v>
                </c:pt>
                <c:pt idx="37">
                  <c:v>-3.7039999999999997</c:v>
                </c:pt>
                <c:pt idx="38">
                  <c:v>-3.6959999999999997</c:v>
                </c:pt>
                <c:pt idx="39">
                  <c:v>-3.6879999999999997</c:v>
                </c:pt>
                <c:pt idx="40">
                  <c:v>-3.6799999999999997</c:v>
                </c:pt>
                <c:pt idx="41">
                  <c:v>-3.6719999999999997</c:v>
                </c:pt>
                <c:pt idx="42">
                  <c:v>-3.6639999999999997</c:v>
                </c:pt>
                <c:pt idx="43">
                  <c:v>-3.6559999999999997</c:v>
                </c:pt>
                <c:pt idx="44">
                  <c:v>-3.6479999999999997</c:v>
                </c:pt>
                <c:pt idx="45">
                  <c:v>-3.6399999999999997</c:v>
                </c:pt>
                <c:pt idx="46">
                  <c:v>-3.6319999999999997</c:v>
                </c:pt>
                <c:pt idx="47">
                  <c:v>-3.6239999999999997</c:v>
                </c:pt>
                <c:pt idx="48">
                  <c:v>-3.6159999999999997</c:v>
                </c:pt>
                <c:pt idx="49">
                  <c:v>-3.6079999999999997</c:v>
                </c:pt>
                <c:pt idx="50">
                  <c:v>-3.5999999999999996</c:v>
                </c:pt>
                <c:pt idx="51">
                  <c:v>-3.5919999999999996</c:v>
                </c:pt>
                <c:pt idx="52">
                  <c:v>-3.5839999999999996</c:v>
                </c:pt>
                <c:pt idx="53">
                  <c:v>-3.5759999999999996</c:v>
                </c:pt>
                <c:pt idx="54">
                  <c:v>-3.5679999999999996</c:v>
                </c:pt>
                <c:pt idx="55">
                  <c:v>-3.5599999999999996</c:v>
                </c:pt>
                <c:pt idx="56">
                  <c:v>-3.5519999999999996</c:v>
                </c:pt>
                <c:pt idx="57">
                  <c:v>-3.5439999999999996</c:v>
                </c:pt>
                <c:pt idx="58">
                  <c:v>-3.5359999999999996</c:v>
                </c:pt>
                <c:pt idx="59">
                  <c:v>-3.5279999999999996</c:v>
                </c:pt>
                <c:pt idx="60">
                  <c:v>-3.5199999999999996</c:v>
                </c:pt>
                <c:pt idx="61">
                  <c:v>-3.5119999999999996</c:v>
                </c:pt>
                <c:pt idx="62">
                  <c:v>-3.5039999999999996</c:v>
                </c:pt>
                <c:pt idx="63">
                  <c:v>-3.4959999999999996</c:v>
                </c:pt>
                <c:pt idx="64">
                  <c:v>-3.4879999999999995</c:v>
                </c:pt>
                <c:pt idx="65">
                  <c:v>-3.4799999999999995</c:v>
                </c:pt>
                <c:pt idx="66">
                  <c:v>-3.4719999999999995</c:v>
                </c:pt>
                <c:pt idx="67">
                  <c:v>-3.4639999999999995</c:v>
                </c:pt>
                <c:pt idx="68">
                  <c:v>-3.4559999999999995</c:v>
                </c:pt>
                <c:pt idx="69">
                  <c:v>-3.4479999999999995</c:v>
                </c:pt>
                <c:pt idx="70">
                  <c:v>-3.4399999999999995</c:v>
                </c:pt>
                <c:pt idx="71">
                  <c:v>-3.4319999999999995</c:v>
                </c:pt>
                <c:pt idx="72">
                  <c:v>-3.4239999999999995</c:v>
                </c:pt>
                <c:pt idx="73">
                  <c:v>-3.4159999999999995</c:v>
                </c:pt>
                <c:pt idx="74">
                  <c:v>-3.4079999999999995</c:v>
                </c:pt>
                <c:pt idx="75">
                  <c:v>-3.3999999999999995</c:v>
                </c:pt>
                <c:pt idx="76">
                  <c:v>-3.3919999999999995</c:v>
                </c:pt>
                <c:pt idx="77">
                  <c:v>-3.3839999999999995</c:v>
                </c:pt>
                <c:pt idx="78">
                  <c:v>-3.3759999999999994</c:v>
                </c:pt>
                <c:pt idx="79">
                  <c:v>-3.3679999999999994</c:v>
                </c:pt>
                <c:pt idx="80">
                  <c:v>-3.3599999999999994</c:v>
                </c:pt>
                <c:pt idx="81">
                  <c:v>-3.3519999999999994</c:v>
                </c:pt>
                <c:pt idx="82">
                  <c:v>-3.3439999999999994</c:v>
                </c:pt>
                <c:pt idx="83">
                  <c:v>-3.3359999999999994</c:v>
                </c:pt>
                <c:pt idx="84">
                  <c:v>-3.3279999999999994</c:v>
                </c:pt>
                <c:pt idx="85">
                  <c:v>-3.3199999999999994</c:v>
                </c:pt>
                <c:pt idx="86">
                  <c:v>-3.3119999999999994</c:v>
                </c:pt>
                <c:pt idx="87">
                  <c:v>-3.3039999999999994</c:v>
                </c:pt>
                <c:pt idx="88">
                  <c:v>-3.2959999999999994</c:v>
                </c:pt>
                <c:pt idx="89">
                  <c:v>-3.2879999999999994</c:v>
                </c:pt>
                <c:pt idx="90">
                  <c:v>-3.2799999999999994</c:v>
                </c:pt>
                <c:pt idx="91">
                  <c:v>-3.2719999999999994</c:v>
                </c:pt>
                <c:pt idx="92">
                  <c:v>-3.2639999999999993</c:v>
                </c:pt>
                <c:pt idx="93">
                  <c:v>-3.2559999999999993</c:v>
                </c:pt>
                <c:pt idx="94">
                  <c:v>-3.2479999999999993</c:v>
                </c:pt>
                <c:pt idx="95">
                  <c:v>-3.2399999999999993</c:v>
                </c:pt>
                <c:pt idx="96">
                  <c:v>-3.2319999999999993</c:v>
                </c:pt>
                <c:pt idx="97">
                  <c:v>-3.2239999999999993</c:v>
                </c:pt>
                <c:pt idx="98">
                  <c:v>-3.2159999999999993</c:v>
                </c:pt>
                <c:pt idx="99">
                  <c:v>-3.2079999999999993</c:v>
                </c:pt>
                <c:pt idx="100">
                  <c:v>-3.1999999999999993</c:v>
                </c:pt>
                <c:pt idx="101">
                  <c:v>-3.1919999999999993</c:v>
                </c:pt>
                <c:pt idx="102">
                  <c:v>-3.1839999999999993</c:v>
                </c:pt>
                <c:pt idx="103">
                  <c:v>-3.1759999999999993</c:v>
                </c:pt>
                <c:pt idx="104">
                  <c:v>-3.1679999999999993</c:v>
                </c:pt>
                <c:pt idx="105">
                  <c:v>-3.1599999999999993</c:v>
                </c:pt>
                <c:pt idx="106">
                  <c:v>-3.1519999999999992</c:v>
                </c:pt>
                <c:pt idx="107">
                  <c:v>-3.1439999999999992</c:v>
                </c:pt>
                <c:pt idx="108">
                  <c:v>-3.1359999999999992</c:v>
                </c:pt>
                <c:pt idx="109">
                  <c:v>-3.1279999999999992</c:v>
                </c:pt>
                <c:pt idx="110">
                  <c:v>-3.1199999999999992</c:v>
                </c:pt>
                <c:pt idx="111">
                  <c:v>-3.1119999999999992</c:v>
                </c:pt>
                <c:pt idx="112">
                  <c:v>-3.1039999999999992</c:v>
                </c:pt>
                <c:pt idx="113">
                  <c:v>-3.0959999999999992</c:v>
                </c:pt>
                <c:pt idx="114">
                  <c:v>-3.0879999999999992</c:v>
                </c:pt>
                <c:pt idx="115">
                  <c:v>-3.0799999999999992</c:v>
                </c:pt>
                <c:pt idx="116">
                  <c:v>-3.0719999999999992</c:v>
                </c:pt>
                <c:pt idx="117">
                  <c:v>-3.0639999999999992</c:v>
                </c:pt>
                <c:pt idx="118">
                  <c:v>-3.0559999999999992</c:v>
                </c:pt>
                <c:pt idx="119">
                  <c:v>-3.0479999999999992</c:v>
                </c:pt>
                <c:pt idx="120">
                  <c:v>-3.0399999999999991</c:v>
                </c:pt>
                <c:pt idx="121">
                  <c:v>-3.0319999999999991</c:v>
                </c:pt>
                <c:pt idx="122">
                  <c:v>-3.0239999999999991</c:v>
                </c:pt>
                <c:pt idx="123">
                  <c:v>-3.0159999999999991</c:v>
                </c:pt>
                <c:pt idx="124">
                  <c:v>-3.0079999999999991</c:v>
                </c:pt>
                <c:pt idx="125">
                  <c:v>-2.9999999999999991</c:v>
                </c:pt>
                <c:pt idx="126">
                  <c:v>-2.9919999999999991</c:v>
                </c:pt>
                <c:pt idx="127">
                  <c:v>-2.9839999999999991</c:v>
                </c:pt>
                <c:pt idx="128">
                  <c:v>-2.9759999999999991</c:v>
                </c:pt>
                <c:pt idx="129">
                  <c:v>-2.9679999999999991</c:v>
                </c:pt>
                <c:pt idx="130">
                  <c:v>-2.9599999999999991</c:v>
                </c:pt>
                <c:pt idx="131">
                  <c:v>-2.9519999999999991</c:v>
                </c:pt>
                <c:pt idx="132">
                  <c:v>-2.9439999999999991</c:v>
                </c:pt>
                <c:pt idx="133">
                  <c:v>-2.9359999999999991</c:v>
                </c:pt>
                <c:pt idx="134">
                  <c:v>-2.927999999999999</c:v>
                </c:pt>
                <c:pt idx="135">
                  <c:v>-2.919999999999999</c:v>
                </c:pt>
                <c:pt idx="136">
                  <c:v>-2.911999999999999</c:v>
                </c:pt>
                <c:pt idx="137">
                  <c:v>-2.903999999999999</c:v>
                </c:pt>
                <c:pt idx="138">
                  <c:v>-2.895999999999999</c:v>
                </c:pt>
                <c:pt idx="139">
                  <c:v>-2.887999999999999</c:v>
                </c:pt>
                <c:pt idx="140">
                  <c:v>-2.879999999999999</c:v>
                </c:pt>
                <c:pt idx="141">
                  <c:v>-2.871999999999999</c:v>
                </c:pt>
                <c:pt idx="142">
                  <c:v>-2.863999999999999</c:v>
                </c:pt>
                <c:pt idx="143">
                  <c:v>-2.855999999999999</c:v>
                </c:pt>
                <c:pt idx="144">
                  <c:v>-2.847999999999999</c:v>
                </c:pt>
                <c:pt idx="145">
                  <c:v>-2.839999999999999</c:v>
                </c:pt>
                <c:pt idx="146">
                  <c:v>-2.831999999999999</c:v>
                </c:pt>
                <c:pt idx="147">
                  <c:v>-2.823999999999999</c:v>
                </c:pt>
                <c:pt idx="148">
                  <c:v>-2.8159999999999989</c:v>
                </c:pt>
                <c:pt idx="149">
                  <c:v>-2.8079999999999989</c:v>
                </c:pt>
                <c:pt idx="150">
                  <c:v>-2.7999999999999989</c:v>
                </c:pt>
                <c:pt idx="151">
                  <c:v>-2.7919999999999989</c:v>
                </c:pt>
                <c:pt idx="152">
                  <c:v>-2.7839999999999989</c:v>
                </c:pt>
                <c:pt idx="153">
                  <c:v>-2.7759999999999989</c:v>
                </c:pt>
                <c:pt idx="154">
                  <c:v>-2.7679999999999989</c:v>
                </c:pt>
                <c:pt idx="155">
                  <c:v>-2.7599999999999989</c:v>
                </c:pt>
                <c:pt idx="156">
                  <c:v>-2.7519999999999989</c:v>
                </c:pt>
                <c:pt idx="157">
                  <c:v>-2.7439999999999989</c:v>
                </c:pt>
                <c:pt idx="158">
                  <c:v>-2.7359999999999989</c:v>
                </c:pt>
                <c:pt idx="159">
                  <c:v>-2.7279999999999989</c:v>
                </c:pt>
                <c:pt idx="160">
                  <c:v>-2.7199999999999989</c:v>
                </c:pt>
                <c:pt idx="161">
                  <c:v>-2.7119999999999989</c:v>
                </c:pt>
                <c:pt idx="162">
                  <c:v>-2.7039999999999988</c:v>
                </c:pt>
                <c:pt idx="163">
                  <c:v>-2.6959999999999988</c:v>
                </c:pt>
                <c:pt idx="164">
                  <c:v>-2.6879999999999988</c:v>
                </c:pt>
                <c:pt idx="165">
                  <c:v>-2.6799999999999988</c:v>
                </c:pt>
                <c:pt idx="166">
                  <c:v>-2.6719999999999988</c:v>
                </c:pt>
                <c:pt idx="167">
                  <c:v>-2.6639999999999988</c:v>
                </c:pt>
                <c:pt idx="168">
                  <c:v>-2.6559999999999988</c:v>
                </c:pt>
                <c:pt idx="169">
                  <c:v>-2.6479999999999988</c:v>
                </c:pt>
                <c:pt idx="170">
                  <c:v>-2.6399999999999988</c:v>
                </c:pt>
                <c:pt idx="171">
                  <c:v>-2.6319999999999988</c:v>
                </c:pt>
                <c:pt idx="172">
                  <c:v>-2.6239999999999988</c:v>
                </c:pt>
                <c:pt idx="173">
                  <c:v>-2.6159999999999988</c:v>
                </c:pt>
                <c:pt idx="174">
                  <c:v>-2.6079999999999988</c:v>
                </c:pt>
                <c:pt idx="175">
                  <c:v>-2.5999999999999988</c:v>
                </c:pt>
                <c:pt idx="176">
                  <c:v>-2.5919999999999987</c:v>
                </c:pt>
                <c:pt idx="177">
                  <c:v>-2.5839999999999987</c:v>
                </c:pt>
                <c:pt idx="178">
                  <c:v>-2.5759999999999987</c:v>
                </c:pt>
                <c:pt idx="179">
                  <c:v>-2.5679999999999987</c:v>
                </c:pt>
                <c:pt idx="180">
                  <c:v>-2.5599999999999987</c:v>
                </c:pt>
                <c:pt idx="181">
                  <c:v>-2.5519999999999987</c:v>
                </c:pt>
                <c:pt idx="182">
                  <c:v>-2.5439999999999987</c:v>
                </c:pt>
                <c:pt idx="183">
                  <c:v>-2.5359999999999987</c:v>
                </c:pt>
                <c:pt idx="184">
                  <c:v>-2.5279999999999987</c:v>
                </c:pt>
                <c:pt idx="185">
                  <c:v>-2.5199999999999987</c:v>
                </c:pt>
                <c:pt idx="186">
                  <c:v>-2.5119999999999987</c:v>
                </c:pt>
                <c:pt idx="187">
                  <c:v>-2.5039999999999987</c:v>
                </c:pt>
                <c:pt idx="188">
                  <c:v>-2.4959999999999987</c:v>
                </c:pt>
                <c:pt idx="189">
                  <c:v>-2.4879999999999987</c:v>
                </c:pt>
                <c:pt idx="190">
                  <c:v>-2.4799999999999986</c:v>
                </c:pt>
                <c:pt idx="191">
                  <c:v>-2.4719999999999986</c:v>
                </c:pt>
                <c:pt idx="192">
                  <c:v>-2.4639999999999986</c:v>
                </c:pt>
                <c:pt idx="193">
                  <c:v>-2.4559999999999986</c:v>
                </c:pt>
                <c:pt idx="194">
                  <c:v>-2.4479999999999986</c:v>
                </c:pt>
                <c:pt idx="195">
                  <c:v>-2.4399999999999986</c:v>
                </c:pt>
                <c:pt idx="196">
                  <c:v>-2.4319999999999986</c:v>
                </c:pt>
                <c:pt idx="197">
                  <c:v>-2.4239999999999986</c:v>
                </c:pt>
                <c:pt idx="198">
                  <c:v>-2.4159999999999986</c:v>
                </c:pt>
                <c:pt idx="199">
                  <c:v>-2.4079999999999986</c:v>
                </c:pt>
                <c:pt idx="200">
                  <c:v>-2.3999999999999986</c:v>
                </c:pt>
                <c:pt idx="201">
                  <c:v>-2.3919999999999986</c:v>
                </c:pt>
                <c:pt idx="202">
                  <c:v>-2.3839999999999986</c:v>
                </c:pt>
                <c:pt idx="203">
                  <c:v>-2.3759999999999986</c:v>
                </c:pt>
                <c:pt idx="204">
                  <c:v>-2.3679999999999986</c:v>
                </c:pt>
                <c:pt idx="205">
                  <c:v>-2.3599999999999985</c:v>
                </c:pt>
                <c:pt idx="206">
                  <c:v>-2.3519999999999985</c:v>
                </c:pt>
                <c:pt idx="207">
                  <c:v>-2.3439999999999985</c:v>
                </c:pt>
                <c:pt idx="208">
                  <c:v>-2.3359999999999985</c:v>
                </c:pt>
                <c:pt idx="209">
                  <c:v>-2.3279999999999985</c:v>
                </c:pt>
                <c:pt idx="210">
                  <c:v>-2.3199999999999985</c:v>
                </c:pt>
                <c:pt idx="211">
                  <c:v>-2.3119999999999985</c:v>
                </c:pt>
                <c:pt idx="212">
                  <c:v>-2.3039999999999985</c:v>
                </c:pt>
                <c:pt idx="213">
                  <c:v>-2.2959999999999985</c:v>
                </c:pt>
                <c:pt idx="214">
                  <c:v>-2.2879999999999985</c:v>
                </c:pt>
                <c:pt idx="215">
                  <c:v>-2.2799999999999985</c:v>
                </c:pt>
                <c:pt idx="216">
                  <c:v>-2.2719999999999985</c:v>
                </c:pt>
                <c:pt idx="217">
                  <c:v>-2.2639999999999985</c:v>
                </c:pt>
                <c:pt idx="218">
                  <c:v>-2.2559999999999985</c:v>
                </c:pt>
                <c:pt idx="219">
                  <c:v>-2.2479999999999984</c:v>
                </c:pt>
                <c:pt idx="220">
                  <c:v>-2.2399999999999984</c:v>
                </c:pt>
                <c:pt idx="221">
                  <c:v>-2.2319999999999984</c:v>
                </c:pt>
                <c:pt idx="222">
                  <c:v>-2.2239999999999984</c:v>
                </c:pt>
                <c:pt idx="223">
                  <c:v>-2.2159999999999984</c:v>
                </c:pt>
                <c:pt idx="224">
                  <c:v>-2.2079999999999984</c:v>
                </c:pt>
                <c:pt idx="225">
                  <c:v>-2.1999999999999984</c:v>
                </c:pt>
                <c:pt idx="226">
                  <c:v>-2.1919999999999984</c:v>
                </c:pt>
                <c:pt idx="227">
                  <c:v>-2.1839999999999984</c:v>
                </c:pt>
                <c:pt idx="228">
                  <c:v>-2.1759999999999984</c:v>
                </c:pt>
                <c:pt idx="229">
                  <c:v>-2.1679999999999984</c:v>
                </c:pt>
                <c:pt idx="230">
                  <c:v>-2.1599999999999984</c:v>
                </c:pt>
                <c:pt idx="231">
                  <c:v>-2.1519999999999984</c:v>
                </c:pt>
                <c:pt idx="232">
                  <c:v>-2.1439999999999984</c:v>
                </c:pt>
                <c:pt idx="233">
                  <c:v>-2.1359999999999983</c:v>
                </c:pt>
                <c:pt idx="234">
                  <c:v>-2.1279999999999983</c:v>
                </c:pt>
                <c:pt idx="235">
                  <c:v>-2.1199999999999983</c:v>
                </c:pt>
                <c:pt idx="236">
                  <c:v>-2.1119999999999983</c:v>
                </c:pt>
                <c:pt idx="237">
                  <c:v>-2.1039999999999983</c:v>
                </c:pt>
                <c:pt idx="238">
                  <c:v>-2.0959999999999983</c:v>
                </c:pt>
                <c:pt idx="239">
                  <c:v>-2.0879999999999983</c:v>
                </c:pt>
                <c:pt idx="240">
                  <c:v>-2.0799999999999983</c:v>
                </c:pt>
                <c:pt idx="241">
                  <c:v>-2.0719999999999983</c:v>
                </c:pt>
                <c:pt idx="242">
                  <c:v>-2.0639999999999983</c:v>
                </c:pt>
                <c:pt idx="243">
                  <c:v>-2.0559999999999983</c:v>
                </c:pt>
                <c:pt idx="244">
                  <c:v>-2.0479999999999983</c:v>
                </c:pt>
                <c:pt idx="245">
                  <c:v>-2.0399999999999983</c:v>
                </c:pt>
                <c:pt idx="246">
                  <c:v>-2.0319999999999983</c:v>
                </c:pt>
                <c:pt idx="247">
                  <c:v>-2.0239999999999982</c:v>
                </c:pt>
                <c:pt idx="248">
                  <c:v>-2.0159999999999982</c:v>
                </c:pt>
                <c:pt idx="249">
                  <c:v>-2.0079999999999982</c:v>
                </c:pt>
                <c:pt idx="250">
                  <c:v>-1.9999999999999982</c:v>
                </c:pt>
                <c:pt idx="251">
                  <c:v>-1.9919999999999982</c:v>
                </c:pt>
                <c:pt idx="252">
                  <c:v>-1.9839999999999982</c:v>
                </c:pt>
                <c:pt idx="253">
                  <c:v>-1.9759999999999982</c:v>
                </c:pt>
                <c:pt idx="254">
                  <c:v>-1.9679999999999982</c:v>
                </c:pt>
                <c:pt idx="255">
                  <c:v>-1.9599999999999982</c:v>
                </c:pt>
                <c:pt idx="256">
                  <c:v>-1.9519999999999982</c:v>
                </c:pt>
                <c:pt idx="257">
                  <c:v>-1.9439999999999982</c:v>
                </c:pt>
                <c:pt idx="258">
                  <c:v>-1.9359999999999982</c:v>
                </c:pt>
                <c:pt idx="259">
                  <c:v>-1.9279999999999982</c:v>
                </c:pt>
                <c:pt idx="260">
                  <c:v>-1.9199999999999982</c:v>
                </c:pt>
                <c:pt idx="261">
                  <c:v>-1.9119999999999981</c:v>
                </c:pt>
                <c:pt idx="262">
                  <c:v>-1.9039999999999981</c:v>
                </c:pt>
                <c:pt idx="263">
                  <c:v>-1.8959999999999981</c:v>
                </c:pt>
                <c:pt idx="264">
                  <c:v>-1.8879999999999981</c:v>
                </c:pt>
                <c:pt idx="265">
                  <c:v>-1.8799999999999981</c:v>
                </c:pt>
                <c:pt idx="266">
                  <c:v>-1.8719999999999981</c:v>
                </c:pt>
                <c:pt idx="267">
                  <c:v>-1.8639999999999981</c:v>
                </c:pt>
                <c:pt idx="268">
                  <c:v>-1.8559999999999981</c:v>
                </c:pt>
                <c:pt idx="269">
                  <c:v>-1.8479999999999981</c:v>
                </c:pt>
                <c:pt idx="270">
                  <c:v>-1.8399999999999981</c:v>
                </c:pt>
                <c:pt idx="271">
                  <c:v>-1.8319999999999981</c:v>
                </c:pt>
                <c:pt idx="272">
                  <c:v>-1.8239999999999981</c:v>
                </c:pt>
                <c:pt idx="273">
                  <c:v>-1.8159999999999981</c:v>
                </c:pt>
                <c:pt idx="274">
                  <c:v>-1.8079999999999981</c:v>
                </c:pt>
                <c:pt idx="275">
                  <c:v>-1.799999999999998</c:v>
                </c:pt>
                <c:pt idx="276">
                  <c:v>-1.791999999999998</c:v>
                </c:pt>
                <c:pt idx="277">
                  <c:v>-1.783999999999998</c:v>
                </c:pt>
                <c:pt idx="278">
                  <c:v>-1.775999999999998</c:v>
                </c:pt>
                <c:pt idx="279">
                  <c:v>-1.767999999999998</c:v>
                </c:pt>
                <c:pt idx="280">
                  <c:v>-1.759999999999998</c:v>
                </c:pt>
                <c:pt idx="281">
                  <c:v>-1.751999999999998</c:v>
                </c:pt>
                <c:pt idx="282">
                  <c:v>-1.743999999999998</c:v>
                </c:pt>
                <c:pt idx="283">
                  <c:v>-1.735999999999998</c:v>
                </c:pt>
                <c:pt idx="284">
                  <c:v>-1.727999999999998</c:v>
                </c:pt>
                <c:pt idx="285">
                  <c:v>-1.719999999999998</c:v>
                </c:pt>
                <c:pt idx="286">
                  <c:v>-1.711999999999998</c:v>
                </c:pt>
                <c:pt idx="287">
                  <c:v>-1.703999999999998</c:v>
                </c:pt>
                <c:pt idx="288">
                  <c:v>-1.695999999999998</c:v>
                </c:pt>
                <c:pt idx="289">
                  <c:v>-1.6879999999999979</c:v>
                </c:pt>
                <c:pt idx="290">
                  <c:v>-1.6799999999999979</c:v>
                </c:pt>
                <c:pt idx="291">
                  <c:v>-1.6719999999999979</c:v>
                </c:pt>
                <c:pt idx="292">
                  <c:v>-1.6639999999999979</c:v>
                </c:pt>
                <c:pt idx="293">
                  <c:v>-1.6559999999999979</c:v>
                </c:pt>
                <c:pt idx="294">
                  <c:v>-1.6479999999999979</c:v>
                </c:pt>
                <c:pt idx="295">
                  <c:v>-1.6399999999999979</c:v>
                </c:pt>
                <c:pt idx="296">
                  <c:v>-1.6319999999999979</c:v>
                </c:pt>
                <c:pt idx="297">
                  <c:v>-1.6239999999999979</c:v>
                </c:pt>
                <c:pt idx="298">
                  <c:v>-1.6159999999999979</c:v>
                </c:pt>
                <c:pt idx="299">
                  <c:v>-1.6079999999999979</c:v>
                </c:pt>
                <c:pt idx="300">
                  <c:v>-1.5999999999999979</c:v>
                </c:pt>
              </c:numCache>
            </c:numRef>
          </c:xVal>
          <c:yVal>
            <c:numRef>
              <c:f>'d picture'!$AM$10:$AM$310</c:f>
              <c:numCache>
                <c:formatCode>General</c:formatCode>
                <c:ptCount val="301"/>
              </c:numCache>
            </c:numRef>
          </c:yVal>
        </c:ser>
        <c:ser>
          <c:idx val="6"/>
          <c:order val="1"/>
          <c:spPr>
            <a:ln w="28575">
              <a:noFill/>
            </a:ln>
          </c:spPr>
          <c:marker>
            <c:symbol val="none"/>
          </c:marker>
          <c:errBars>
            <c:errDir val="y"/>
            <c:errBarType val="minus"/>
            <c:errValType val="cust"/>
            <c:noEndCap val="1"/>
            <c:minus>
              <c:numRef>
                <c:f>'d picture'!$AN$10:$AN$1010</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minus>
            <c:spPr>
              <a:ln w="38100">
                <a:solidFill>
                  <a:srgbClr val="99CCFF"/>
                </a:solidFill>
                <a:prstDash val="solid"/>
              </a:ln>
            </c:spPr>
          </c:errBars>
          <c:xVal>
            <c:numRef>
              <c:f>'d picture'!$AJ$10:$AJ$1010</c:f>
              <c:numCache>
                <c:formatCode>General</c:formatCode>
                <c:ptCount val="1001"/>
                <c:pt idx="0">
                  <c:v>-4</c:v>
                </c:pt>
                <c:pt idx="1">
                  <c:v>-3.992</c:v>
                </c:pt>
                <c:pt idx="2">
                  <c:v>-3.984</c:v>
                </c:pt>
                <c:pt idx="3">
                  <c:v>-3.976</c:v>
                </c:pt>
                <c:pt idx="4">
                  <c:v>-3.968</c:v>
                </c:pt>
                <c:pt idx="5">
                  <c:v>-3.96</c:v>
                </c:pt>
                <c:pt idx="6">
                  <c:v>-3.952</c:v>
                </c:pt>
                <c:pt idx="7">
                  <c:v>-3.944</c:v>
                </c:pt>
                <c:pt idx="8">
                  <c:v>-3.9359999999999999</c:v>
                </c:pt>
                <c:pt idx="9">
                  <c:v>-3.9279999999999999</c:v>
                </c:pt>
                <c:pt idx="10">
                  <c:v>-3.92</c:v>
                </c:pt>
                <c:pt idx="11">
                  <c:v>-3.9119999999999999</c:v>
                </c:pt>
                <c:pt idx="12">
                  <c:v>-3.9039999999999999</c:v>
                </c:pt>
                <c:pt idx="13">
                  <c:v>-3.8959999999999999</c:v>
                </c:pt>
                <c:pt idx="14">
                  <c:v>-3.8879999999999999</c:v>
                </c:pt>
                <c:pt idx="15">
                  <c:v>-3.88</c:v>
                </c:pt>
                <c:pt idx="16">
                  <c:v>-3.8719999999999999</c:v>
                </c:pt>
                <c:pt idx="17">
                  <c:v>-3.8639999999999999</c:v>
                </c:pt>
                <c:pt idx="18">
                  <c:v>-3.8559999999999999</c:v>
                </c:pt>
                <c:pt idx="19">
                  <c:v>-3.8479999999999999</c:v>
                </c:pt>
                <c:pt idx="20">
                  <c:v>-3.84</c:v>
                </c:pt>
                <c:pt idx="21">
                  <c:v>-3.8319999999999999</c:v>
                </c:pt>
                <c:pt idx="22">
                  <c:v>-3.8239999999999998</c:v>
                </c:pt>
                <c:pt idx="23">
                  <c:v>-3.8159999999999998</c:v>
                </c:pt>
                <c:pt idx="24">
                  <c:v>-3.8079999999999998</c:v>
                </c:pt>
                <c:pt idx="25">
                  <c:v>-3.8</c:v>
                </c:pt>
                <c:pt idx="26">
                  <c:v>-3.7919999999999998</c:v>
                </c:pt>
                <c:pt idx="27">
                  <c:v>-3.7839999999999998</c:v>
                </c:pt>
                <c:pt idx="28">
                  <c:v>-3.7759999999999998</c:v>
                </c:pt>
                <c:pt idx="29">
                  <c:v>-3.7679999999999998</c:v>
                </c:pt>
                <c:pt idx="30">
                  <c:v>-3.76</c:v>
                </c:pt>
                <c:pt idx="31">
                  <c:v>-3.7519999999999998</c:v>
                </c:pt>
                <c:pt idx="32">
                  <c:v>-3.7439999999999998</c:v>
                </c:pt>
                <c:pt idx="33">
                  <c:v>-3.7359999999999998</c:v>
                </c:pt>
                <c:pt idx="34">
                  <c:v>-3.7279999999999998</c:v>
                </c:pt>
                <c:pt idx="35">
                  <c:v>-3.7199999999999998</c:v>
                </c:pt>
                <c:pt idx="36">
                  <c:v>-3.7119999999999997</c:v>
                </c:pt>
                <c:pt idx="37">
                  <c:v>-3.7039999999999997</c:v>
                </c:pt>
                <c:pt idx="38">
                  <c:v>-3.6959999999999997</c:v>
                </c:pt>
                <c:pt idx="39">
                  <c:v>-3.6879999999999997</c:v>
                </c:pt>
                <c:pt idx="40">
                  <c:v>-3.6799999999999997</c:v>
                </c:pt>
                <c:pt idx="41">
                  <c:v>-3.6719999999999997</c:v>
                </c:pt>
                <c:pt idx="42">
                  <c:v>-3.6639999999999997</c:v>
                </c:pt>
                <c:pt idx="43">
                  <c:v>-3.6559999999999997</c:v>
                </c:pt>
                <c:pt idx="44">
                  <c:v>-3.6479999999999997</c:v>
                </c:pt>
                <c:pt idx="45">
                  <c:v>-3.6399999999999997</c:v>
                </c:pt>
                <c:pt idx="46">
                  <c:v>-3.6319999999999997</c:v>
                </c:pt>
                <c:pt idx="47">
                  <c:v>-3.6239999999999997</c:v>
                </c:pt>
                <c:pt idx="48">
                  <c:v>-3.6159999999999997</c:v>
                </c:pt>
                <c:pt idx="49">
                  <c:v>-3.6079999999999997</c:v>
                </c:pt>
                <c:pt idx="50">
                  <c:v>-3.5999999999999996</c:v>
                </c:pt>
                <c:pt idx="51">
                  <c:v>-3.5919999999999996</c:v>
                </c:pt>
                <c:pt idx="52">
                  <c:v>-3.5839999999999996</c:v>
                </c:pt>
                <c:pt idx="53">
                  <c:v>-3.5759999999999996</c:v>
                </c:pt>
                <c:pt idx="54">
                  <c:v>-3.5679999999999996</c:v>
                </c:pt>
                <c:pt idx="55">
                  <c:v>-3.5599999999999996</c:v>
                </c:pt>
                <c:pt idx="56">
                  <c:v>-3.5519999999999996</c:v>
                </c:pt>
                <c:pt idx="57">
                  <c:v>-3.5439999999999996</c:v>
                </c:pt>
                <c:pt idx="58">
                  <c:v>-3.5359999999999996</c:v>
                </c:pt>
                <c:pt idx="59">
                  <c:v>-3.5279999999999996</c:v>
                </c:pt>
                <c:pt idx="60">
                  <c:v>-3.5199999999999996</c:v>
                </c:pt>
                <c:pt idx="61">
                  <c:v>-3.5119999999999996</c:v>
                </c:pt>
                <c:pt idx="62">
                  <c:v>-3.5039999999999996</c:v>
                </c:pt>
                <c:pt idx="63">
                  <c:v>-3.4959999999999996</c:v>
                </c:pt>
                <c:pt idx="64">
                  <c:v>-3.4879999999999995</c:v>
                </c:pt>
                <c:pt idx="65">
                  <c:v>-3.4799999999999995</c:v>
                </c:pt>
                <c:pt idx="66">
                  <c:v>-3.4719999999999995</c:v>
                </c:pt>
                <c:pt idx="67">
                  <c:v>-3.4639999999999995</c:v>
                </c:pt>
                <c:pt idx="68">
                  <c:v>-3.4559999999999995</c:v>
                </c:pt>
                <c:pt idx="69">
                  <c:v>-3.4479999999999995</c:v>
                </c:pt>
                <c:pt idx="70">
                  <c:v>-3.4399999999999995</c:v>
                </c:pt>
                <c:pt idx="71">
                  <c:v>-3.4319999999999995</c:v>
                </c:pt>
                <c:pt idx="72">
                  <c:v>-3.4239999999999995</c:v>
                </c:pt>
                <c:pt idx="73">
                  <c:v>-3.4159999999999995</c:v>
                </c:pt>
                <c:pt idx="74">
                  <c:v>-3.4079999999999995</c:v>
                </c:pt>
                <c:pt idx="75">
                  <c:v>-3.3999999999999995</c:v>
                </c:pt>
                <c:pt idx="76">
                  <c:v>-3.3919999999999995</c:v>
                </c:pt>
                <c:pt idx="77">
                  <c:v>-3.3839999999999995</c:v>
                </c:pt>
                <c:pt idx="78">
                  <c:v>-3.3759999999999994</c:v>
                </c:pt>
                <c:pt idx="79">
                  <c:v>-3.3679999999999994</c:v>
                </c:pt>
                <c:pt idx="80">
                  <c:v>-3.3599999999999994</c:v>
                </c:pt>
                <c:pt idx="81">
                  <c:v>-3.3519999999999994</c:v>
                </c:pt>
                <c:pt idx="82">
                  <c:v>-3.3439999999999994</c:v>
                </c:pt>
                <c:pt idx="83">
                  <c:v>-3.3359999999999994</c:v>
                </c:pt>
                <c:pt idx="84">
                  <c:v>-3.3279999999999994</c:v>
                </c:pt>
                <c:pt idx="85">
                  <c:v>-3.3199999999999994</c:v>
                </c:pt>
                <c:pt idx="86">
                  <c:v>-3.3119999999999994</c:v>
                </c:pt>
                <c:pt idx="87">
                  <c:v>-3.3039999999999994</c:v>
                </c:pt>
                <c:pt idx="88">
                  <c:v>-3.2959999999999994</c:v>
                </c:pt>
                <c:pt idx="89">
                  <c:v>-3.2879999999999994</c:v>
                </c:pt>
                <c:pt idx="90">
                  <c:v>-3.2799999999999994</c:v>
                </c:pt>
                <c:pt idx="91">
                  <c:v>-3.2719999999999994</c:v>
                </c:pt>
                <c:pt idx="92">
                  <c:v>-3.2639999999999993</c:v>
                </c:pt>
                <c:pt idx="93">
                  <c:v>-3.2559999999999993</c:v>
                </c:pt>
                <c:pt idx="94">
                  <c:v>-3.2479999999999993</c:v>
                </c:pt>
                <c:pt idx="95">
                  <c:v>-3.2399999999999993</c:v>
                </c:pt>
                <c:pt idx="96">
                  <c:v>-3.2319999999999993</c:v>
                </c:pt>
                <c:pt idx="97">
                  <c:v>-3.2239999999999993</c:v>
                </c:pt>
                <c:pt idx="98">
                  <c:v>-3.2159999999999993</c:v>
                </c:pt>
                <c:pt idx="99">
                  <c:v>-3.2079999999999993</c:v>
                </c:pt>
                <c:pt idx="100">
                  <c:v>-3.1999999999999993</c:v>
                </c:pt>
                <c:pt idx="101">
                  <c:v>-3.1919999999999993</c:v>
                </c:pt>
                <c:pt idx="102">
                  <c:v>-3.1839999999999993</c:v>
                </c:pt>
                <c:pt idx="103">
                  <c:v>-3.1759999999999993</c:v>
                </c:pt>
                <c:pt idx="104">
                  <c:v>-3.1679999999999993</c:v>
                </c:pt>
                <c:pt idx="105">
                  <c:v>-3.1599999999999993</c:v>
                </c:pt>
                <c:pt idx="106">
                  <c:v>-3.1519999999999992</c:v>
                </c:pt>
                <c:pt idx="107">
                  <c:v>-3.1439999999999992</c:v>
                </c:pt>
                <c:pt idx="108">
                  <c:v>-3.1359999999999992</c:v>
                </c:pt>
                <c:pt idx="109">
                  <c:v>-3.1279999999999992</c:v>
                </c:pt>
                <c:pt idx="110">
                  <c:v>-3.1199999999999992</c:v>
                </c:pt>
                <c:pt idx="111">
                  <c:v>-3.1119999999999992</c:v>
                </c:pt>
                <c:pt idx="112">
                  <c:v>-3.1039999999999992</c:v>
                </c:pt>
                <c:pt idx="113">
                  <c:v>-3.0959999999999992</c:v>
                </c:pt>
                <c:pt idx="114">
                  <c:v>-3.0879999999999992</c:v>
                </c:pt>
                <c:pt idx="115">
                  <c:v>-3.0799999999999992</c:v>
                </c:pt>
                <c:pt idx="116">
                  <c:v>-3.0719999999999992</c:v>
                </c:pt>
                <c:pt idx="117">
                  <c:v>-3.0639999999999992</c:v>
                </c:pt>
                <c:pt idx="118">
                  <c:v>-3.0559999999999992</c:v>
                </c:pt>
                <c:pt idx="119">
                  <c:v>-3.0479999999999992</c:v>
                </c:pt>
                <c:pt idx="120">
                  <c:v>-3.0399999999999991</c:v>
                </c:pt>
                <c:pt idx="121">
                  <c:v>-3.0319999999999991</c:v>
                </c:pt>
                <c:pt idx="122">
                  <c:v>-3.0239999999999991</c:v>
                </c:pt>
                <c:pt idx="123">
                  <c:v>-3.0159999999999991</c:v>
                </c:pt>
                <c:pt idx="124">
                  <c:v>-3.0079999999999991</c:v>
                </c:pt>
                <c:pt idx="125">
                  <c:v>-2.9999999999999991</c:v>
                </c:pt>
                <c:pt idx="126">
                  <c:v>-2.9919999999999991</c:v>
                </c:pt>
                <c:pt idx="127">
                  <c:v>-2.9839999999999991</c:v>
                </c:pt>
                <c:pt idx="128">
                  <c:v>-2.9759999999999991</c:v>
                </c:pt>
                <c:pt idx="129">
                  <c:v>-2.9679999999999991</c:v>
                </c:pt>
                <c:pt idx="130">
                  <c:v>-2.9599999999999991</c:v>
                </c:pt>
                <c:pt idx="131">
                  <c:v>-2.9519999999999991</c:v>
                </c:pt>
                <c:pt idx="132">
                  <c:v>-2.9439999999999991</c:v>
                </c:pt>
                <c:pt idx="133">
                  <c:v>-2.9359999999999991</c:v>
                </c:pt>
                <c:pt idx="134">
                  <c:v>-2.927999999999999</c:v>
                </c:pt>
                <c:pt idx="135">
                  <c:v>-2.919999999999999</c:v>
                </c:pt>
                <c:pt idx="136">
                  <c:v>-2.911999999999999</c:v>
                </c:pt>
                <c:pt idx="137">
                  <c:v>-2.903999999999999</c:v>
                </c:pt>
                <c:pt idx="138">
                  <c:v>-2.895999999999999</c:v>
                </c:pt>
                <c:pt idx="139">
                  <c:v>-2.887999999999999</c:v>
                </c:pt>
                <c:pt idx="140">
                  <c:v>-2.879999999999999</c:v>
                </c:pt>
                <c:pt idx="141">
                  <c:v>-2.871999999999999</c:v>
                </c:pt>
                <c:pt idx="142">
                  <c:v>-2.863999999999999</c:v>
                </c:pt>
                <c:pt idx="143">
                  <c:v>-2.855999999999999</c:v>
                </c:pt>
                <c:pt idx="144">
                  <c:v>-2.847999999999999</c:v>
                </c:pt>
                <c:pt idx="145">
                  <c:v>-2.839999999999999</c:v>
                </c:pt>
                <c:pt idx="146">
                  <c:v>-2.831999999999999</c:v>
                </c:pt>
                <c:pt idx="147">
                  <c:v>-2.823999999999999</c:v>
                </c:pt>
                <c:pt idx="148">
                  <c:v>-2.8159999999999989</c:v>
                </c:pt>
                <c:pt idx="149">
                  <c:v>-2.8079999999999989</c:v>
                </c:pt>
                <c:pt idx="150">
                  <c:v>-2.7999999999999989</c:v>
                </c:pt>
                <c:pt idx="151">
                  <c:v>-2.7919999999999989</c:v>
                </c:pt>
                <c:pt idx="152">
                  <c:v>-2.7839999999999989</c:v>
                </c:pt>
                <c:pt idx="153">
                  <c:v>-2.7759999999999989</c:v>
                </c:pt>
                <c:pt idx="154">
                  <c:v>-2.7679999999999989</c:v>
                </c:pt>
                <c:pt idx="155">
                  <c:v>-2.7599999999999989</c:v>
                </c:pt>
                <c:pt idx="156">
                  <c:v>-2.7519999999999989</c:v>
                </c:pt>
                <c:pt idx="157">
                  <c:v>-2.7439999999999989</c:v>
                </c:pt>
                <c:pt idx="158">
                  <c:v>-2.7359999999999989</c:v>
                </c:pt>
                <c:pt idx="159">
                  <c:v>-2.7279999999999989</c:v>
                </c:pt>
                <c:pt idx="160">
                  <c:v>-2.7199999999999989</c:v>
                </c:pt>
                <c:pt idx="161">
                  <c:v>-2.7119999999999989</c:v>
                </c:pt>
                <c:pt idx="162">
                  <c:v>-2.7039999999999988</c:v>
                </c:pt>
                <c:pt idx="163">
                  <c:v>-2.6959999999999988</c:v>
                </c:pt>
                <c:pt idx="164">
                  <c:v>-2.6879999999999988</c:v>
                </c:pt>
                <c:pt idx="165">
                  <c:v>-2.6799999999999988</c:v>
                </c:pt>
                <c:pt idx="166">
                  <c:v>-2.6719999999999988</c:v>
                </c:pt>
                <c:pt idx="167">
                  <c:v>-2.6639999999999988</c:v>
                </c:pt>
                <c:pt idx="168">
                  <c:v>-2.6559999999999988</c:v>
                </c:pt>
                <c:pt idx="169">
                  <c:v>-2.6479999999999988</c:v>
                </c:pt>
                <c:pt idx="170">
                  <c:v>-2.6399999999999988</c:v>
                </c:pt>
                <c:pt idx="171">
                  <c:v>-2.6319999999999988</c:v>
                </c:pt>
                <c:pt idx="172">
                  <c:v>-2.6239999999999988</c:v>
                </c:pt>
                <c:pt idx="173">
                  <c:v>-2.6159999999999988</c:v>
                </c:pt>
                <c:pt idx="174">
                  <c:v>-2.6079999999999988</c:v>
                </c:pt>
                <c:pt idx="175">
                  <c:v>-2.5999999999999988</c:v>
                </c:pt>
                <c:pt idx="176">
                  <c:v>-2.5919999999999987</c:v>
                </c:pt>
                <c:pt idx="177">
                  <c:v>-2.5839999999999987</c:v>
                </c:pt>
                <c:pt idx="178">
                  <c:v>-2.5759999999999987</c:v>
                </c:pt>
                <c:pt idx="179">
                  <c:v>-2.5679999999999987</c:v>
                </c:pt>
                <c:pt idx="180">
                  <c:v>-2.5599999999999987</c:v>
                </c:pt>
                <c:pt idx="181">
                  <c:v>-2.5519999999999987</c:v>
                </c:pt>
                <c:pt idx="182">
                  <c:v>-2.5439999999999987</c:v>
                </c:pt>
                <c:pt idx="183">
                  <c:v>-2.5359999999999987</c:v>
                </c:pt>
                <c:pt idx="184">
                  <c:v>-2.5279999999999987</c:v>
                </c:pt>
                <c:pt idx="185">
                  <c:v>-2.5199999999999987</c:v>
                </c:pt>
                <c:pt idx="186">
                  <c:v>-2.5119999999999987</c:v>
                </c:pt>
                <c:pt idx="187">
                  <c:v>-2.5039999999999987</c:v>
                </c:pt>
                <c:pt idx="188">
                  <c:v>-2.4959999999999987</c:v>
                </c:pt>
                <c:pt idx="189">
                  <c:v>-2.4879999999999987</c:v>
                </c:pt>
                <c:pt idx="190">
                  <c:v>-2.4799999999999986</c:v>
                </c:pt>
                <c:pt idx="191">
                  <c:v>-2.4719999999999986</c:v>
                </c:pt>
                <c:pt idx="192">
                  <c:v>-2.4639999999999986</c:v>
                </c:pt>
                <c:pt idx="193">
                  <c:v>-2.4559999999999986</c:v>
                </c:pt>
                <c:pt idx="194">
                  <c:v>-2.4479999999999986</c:v>
                </c:pt>
                <c:pt idx="195">
                  <c:v>-2.4399999999999986</c:v>
                </c:pt>
                <c:pt idx="196">
                  <c:v>-2.4319999999999986</c:v>
                </c:pt>
                <c:pt idx="197">
                  <c:v>-2.4239999999999986</c:v>
                </c:pt>
                <c:pt idx="198">
                  <c:v>-2.4159999999999986</c:v>
                </c:pt>
                <c:pt idx="199">
                  <c:v>-2.4079999999999986</c:v>
                </c:pt>
                <c:pt idx="200">
                  <c:v>-2.3999999999999986</c:v>
                </c:pt>
                <c:pt idx="201">
                  <c:v>-2.3919999999999986</c:v>
                </c:pt>
                <c:pt idx="202">
                  <c:v>-2.3839999999999986</c:v>
                </c:pt>
                <c:pt idx="203">
                  <c:v>-2.3759999999999986</c:v>
                </c:pt>
                <c:pt idx="204">
                  <c:v>-2.3679999999999986</c:v>
                </c:pt>
                <c:pt idx="205">
                  <c:v>-2.3599999999999985</c:v>
                </c:pt>
                <c:pt idx="206">
                  <c:v>-2.3519999999999985</c:v>
                </c:pt>
                <c:pt idx="207">
                  <c:v>-2.3439999999999985</c:v>
                </c:pt>
                <c:pt idx="208">
                  <c:v>-2.3359999999999985</c:v>
                </c:pt>
                <c:pt idx="209">
                  <c:v>-2.3279999999999985</c:v>
                </c:pt>
                <c:pt idx="210">
                  <c:v>-2.3199999999999985</c:v>
                </c:pt>
                <c:pt idx="211">
                  <c:v>-2.3119999999999985</c:v>
                </c:pt>
                <c:pt idx="212">
                  <c:v>-2.3039999999999985</c:v>
                </c:pt>
                <c:pt idx="213">
                  <c:v>-2.2959999999999985</c:v>
                </c:pt>
                <c:pt idx="214">
                  <c:v>-2.2879999999999985</c:v>
                </c:pt>
                <c:pt idx="215">
                  <c:v>-2.2799999999999985</c:v>
                </c:pt>
                <c:pt idx="216">
                  <c:v>-2.2719999999999985</c:v>
                </c:pt>
                <c:pt idx="217">
                  <c:v>-2.2639999999999985</c:v>
                </c:pt>
                <c:pt idx="218">
                  <c:v>-2.2559999999999985</c:v>
                </c:pt>
                <c:pt idx="219">
                  <c:v>-2.2479999999999984</c:v>
                </c:pt>
                <c:pt idx="220">
                  <c:v>-2.2399999999999984</c:v>
                </c:pt>
                <c:pt idx="221">
                  <c:v>-2.2319999999999984</c:v>
                </c:pt>
                <c:pt idx="222">
                  <c:v>-2.2239999999999984</c:v>
                </c:pt>
                <c:pt idx="223">
                  <c:v>-2.2159999999999984</c:v>
                </c:pt>
                <c:pt idx="224">
                  <c:v>-2.2079999999999984</c:v>
                </c:pt>
                <c:pt idx="225">
                  <c:v>-2.1999999999999984</c:v>
                </c:pt>
                <c:pt idx="226">
                  <c:v>-2.1919999999999984</c:v>
                </c:pt>
                <c:pt idx="227">
                  <c:v>-2.1839999999999984</c:v>
                </c:pt>
                <c:pt idx="228">
                  <c:v>-2.1759999999999984</c:v>
                </c:pt>
                <c:pt idx="229">
                  <c:v>-2.1679999999999984</c:v>
                </c:pt>
                <c:pt idx="230">
                  <c:v>-2.1599999999999984</c:v>
                </c:pt>
                <c:pt idx="231">
                  <c:v>-2.1519999999999984</c:v>
                </c:pt>
                <c:pt idx="232">
                  <c:v>-2.1439999999999984</c:v>
                </c:pt>
                <c:pt idx="233">
                  <c:v>-2.1359999999999983</c:v>
                </c:pt>
                <c:pt idx="234">
                  <c:v>-2.1279999999999983</c:v>
                </c:pt>
                <c:pt idx="235">
                  <c:v>-2.1199999999999983</c:v>
                </c:pt>
                <c:pt idx="236">
                  <c:v>-2.1119999999999983</c:v>
                </c:pt>
                <c:pt idx="237">
                  <c:v>-2.1039999999999983</c:v>
                </c:pt>
                <c:pt idx="238">
                  <c:v>-2.0959999999999983</c:v>
                </c:pt>
                <c:pt idx="239">
                  <c:v>-2.0879999999999983</c:v>
                </c:pt>
                <c:pt idx="240">
                  <c:v>-2.0799999999999983</c:v>
                </c:pt>
                <c:pt idx="241">
                  <c:v>-2.0719999999999983</c:v>
                </c:pt>
                <c:pt idx="242">
                  <c:v>-2.0639999999999983</c:v>
                </c:pt>
                <c:pt idx="243">
                  <c:v>-2.0559999999999983</c:v>
                </c:pt>
                <c:pt idx="244">
                  <c:v>-2.0479999999999983</c:v>
                </c:pt>
                <c:pt idx="245">
                  <c:v>-2.0399999999999983</c:v>
                </c:pt>
                <c:pt idx="246">
                  <c:v>-2.0319999999999983</c:v>
                </c:pt>
                <c:pt idx="247">
                  <c:v>-2.0239999999999982</c:v>
                </c:pt>
                <c:pt idx="248">
                  <c:v>-2.0159999999999982</c:v>
                </c:pt>
                <c:pt idx="249">
                  <c:v>-2.0079999999999982</c:v>
                </c:pt>
                <c:pt idx="250">
                  <c:v>-1.9999999999999982</c:v>
                </c:pt>
                <c:pt idx="251">
                  <c:v>-1.9919999999999982</c:v>
                </c:pt>
                <c:pt idx="252">
                  <c:v>-1.9839999999999982</c:v>
                </c:pt>
                <c:pt idx="253">
                  <c:v>-1.9759999999999982</c:v>
                </c:pt>
                <c:pt idx="254">
                  <c:v>-1.9679999999999982</c:v>
                </c:pt>
                <c:pt idx="255">
                  <c:v>-1.9599999999999982</c:v>
                </c:pt>
                <c:pt idx="256">
                  <c:v>-1.9519999999999982</c:v>
                </c:pt>
                <c:pt idx="257">
                  <c:v>-1.9439999999999982</c:v>
                </c:pt>
                <c:pt idx="258">
                  <c:v>-1.9359999999999982</c:v>
                </c:pt>
                <c:pt idx="259">
                  <c:v>-1.9279999999999982</c:v>
                </c:pt>
                <c:pt idx="260">
                  <c:v>-1.9199999999999982</c:v>
                </c:pt>
                <c:pt idx="261">
                  <c:v>-1.9119999999999981</c:v>
                </c:pt>
                <c:pt idx="262">
                  <c:v>-1.9039999999999981</c:v>
                </c:pt>
                <c:pt idx="263">
                  <c:v>-1.8959999999999981</c:v>
                </c:pt>
                <c:pt idx="264">
                  <c:v>-1.8879999999999981</c:v>
                </c:pt>
                <c:pt idx="265">
                  <c:v>-1.8799999999999981</c:v>
                </c:pt>
                <c:pt idx="266">
                  <c:v>-1.8719999999999981</c:v>
                </c:pt>
                <c:pt idx="267">
                  <c:v>-1.8639999999999981</c:v>
                </c:pt>
                <c:pt idx="268">
                  <c:v>-1.8559999999999981</c:v>
                </c:pt>
                <c:pt idx="269">
                  <c:v>-1.8479999999999981</c:v>
                </c:pt>
                <c:pt idx="270">
                  <c:v>-1.8399999999999981</c:v>
                </c:pt>
                <c:pt idx="271">
                  <c:v>-1.8319999999999981</c:v>
                </c:pt>
                <c:pt idx="272">
                  <c:v>-1.8239999999999981</c:v>
                </c:pt>
                <c:pt idx="273">
                  <c:v>-1.8159999999999981</c:v>
                </c:pt>
                <c:pt idx="274">
                  <c:v>-1.8079999999999981</c:v>
                </c:pt>
                <c:pt idx="275">
                  <c:v>-1.799999999999998</c:v>
                </c:pt>
                <c:pt idx="276">
                  <c:v>-1.791999999999998</c:v>
                </c:pt>
                <c:pt idx="277">
                  <c:v>-1.783999999999998</c:v>
                </c:pt>
                <c:pt idx="278">
                  <c:v>-1.775999999999998</c:v>
                </c:pt>
                <c:pt idx="279">
                  <c:v>-1.767999999999998</c:v>
                </c:pt>
                <c:pt idx="280">
                  <c:v>-1.759999999999998</c:v>
                </c:pt>
                <c:pt idx="281">
                  <c:v>-1.751999999999998</c:v>
                </c:pt>
                <c:pt idx="282">
                  <c:v>-1.743999999999998</c:v>
                </c:pt>
                <c:pt idx="283">
                  <c:v>-1.735999999999998</c:v>
                </c:pt>
                <c:pt idx="284">
                  <c:v>-1.727999999999998</c:v>
                </c:pt>
                <c:pt idx="285">
                  <c:v>-1.719999999999998</c:v>
                </c:pt>
                <c:pt idx="286">
                  <c:v>-1.711999999999998</c:v>
                </c:pt>
                <c:pt idx="287">
                  <c:v>-1.703999999999998</c:v>
                </c:pt>
                <c:pt idx="288">
                  <c:v>-1.695999999999998</c:v>
                </c:pt>
                <c:pt idx="289">
                  <c:v>-1.6879999999999979</c:v>
                </c:pt>
                <c:pt idx="290">
                  <c:v>-1.6799999999999979</c:v>
                </c:pt>
                <c:pt idx="291">
                  <c:v>-1.6719999999999979</c:v>
                </c:pt>
                <c:pt idx="292">
                  <c:v>-1.6639999999999979</c:v>
                </c:pt>
                <c:pt idx="293">
                  <c:v>-1.6559999999999979</c:v>
                </c:pt>
                <c:pt idx="294">
                  <c:v>-1.6479999999999979</c:v>
                </c:pt>
                <c:pt idx="295">
                  <c:v>-1.6399999999999979</c:v>
                </c:pt>
                <c:pt idx="296">
                  <c:v>-1.6319999999999979</c:v>
                </c:pt>
                <c:pt idx="297">
                  <c:v>-1.6239999999999979</c:v>
                </c:pt>
                <c:pt idx="298">
                  <c:v>-1.6159999999999979</c:v>
                </c:pt>
                <c:pt idx="299">
                  <c:v>-1.6079999999999979</c:v>
                </c:pt>
                <c:pt idx="300">
                  <c:v>-1.5999999999999979</c:v>
                </c:pt>
                <c:pt idx="301">
                  <c:v>-1.5919999999999979</c:v>
                </c:pt>
                <c:pt idx="302">
                  <c:v>-1.5839999999999979</c:v>
                </c:pt>
                <c:pt idx="303">
                  <c:v>-1.5759999999999978</c:v>
                </c:pt>
                <c:pt idx="304">
                  <c:v>-1.5679999999999978</c:v>
                </c:pt>
                <c:pt idx="305">
                  <c:v>-1.5599999999999978</c:v>
                </c:pt>
                <c:pt idx="306">
                  <c:v>-1.5519999999999978</c:v>
                </c:pt>
                <c:pt idx="307">
                  <c:v>-1.5439999999999978</c:v>
                </c:pt>
                <c:pt idx="308">
                  <c:v>-1.5359999999999978</c:v>
                </c:pt>
                <c:pt idx="309">
                  <c:v>-1.5279999999999978</c:v>
                </c:pt>
                <c:pt idx="310">
                  <c:v>-1.5199999999999978</c:v>
                </c:pt>
                <c:pt idx="311">
                  <c:v>-1.5119999999999978</c:v>
                </c:pt>
                <c:pt idx="312">
                  <c:v>-1.5039999999999978</c:v>
                </c:pt>
                <c:pt idx="313">
                  <c:v>-1.4959999999999978</c:v>
                </c:pt>
                <c:pt idx="314">
                  <c:v>-1.4879999999999978</c:v>
                </c:pt>
                <c:pt idx="315">
                  <c:v>-1.4799999999999978</c:v>
                </c:pt>
                <c:pt idx="316">
                  <c:v>-1.4719999999999978</c:v>
                </c:pt>
                <c:pt idx="317">
                  <c:v>-1.4639999999999977</c:v>
                </c:pt>
                <c:pt idx="318">
                  <c:v>-1.4559999999999977</c:v>
                </c:pt>
                <c:pt idx="319">
                  <c:v>-1.4479999999999977</c:v>
                </c:pt>
                <c:pt idx="320">
                  <c:v>-1.4399999999999977</c:v>
                </c:pt>
                <c:pt idx="321">
                  <c:v>-1.4319999999999977</c:v>
                </c:pt>
                <c:pt idx="322">
                  <c:v>-1.4239999999999977</c:v>
                </c:pt>
                <c:pt idx="323">
                  <c:v>-1.4159999999999977</c:v>
                </c:pt>
                <c:pt idx="324">
                  <c:v>-1.4079999999999977</c:v>
                </c:pt>
                <c:pt idx="325">
                  <c:v>-1.3999999999999977</c:v>
                </c:pt>
                <c:pt idx="326">
                  <c:v>-1.3919999999999977</c:v>
                </c:pt>
                <c:pt idx="327">
                  <c:v>-1.3839999999999977</c:v>
                </c:pt>
                <c:pt idx="328">
                  <c:v>-1.3759999999999977</c:v>
                </c:pt>
                <c:pt idx="329">
                  <c:v>-1.3679999999999977</c:v>
                </c:pt>
                <c:pt idx="330">
                  <c:v>-1.3599999999999977</c:v>
                </c:pt>
                <c:pt idx="331">
                  <c:v>-1.3519999999999976</c:v>
                </c:pt>
                <c:pt idx="332">
                  <c:v>-1.3439999999999976</c:v>
                </c:pt>
                <c:pt idx="333">
                  <c:v>-1.3359999999999976</c:v>
                </c:pt>
                <c:pt idx="334">
                  <c:v>-1.3279999999999976</c:v>
                </c:pt>
                <c:pt idx="335">
                  <c:v>-1.3199999999999976</c:v>
                </c:pt>
                <c:pt idx="336">
                  <c:v>-1.3119999999999976</c:v>
                </c:pt>
                <c:pt idx="337">
                  <c:v>-1.3039999999999976</c:v>
                </c:pt>
                <c:pt idx="338">
                  <c:v>-1.2959999999999976</c:v>
                </c:pt>
                <c:pt idx="339">
                  <c:v>-1.2879999999999976</c:v>
                </c:pt>
                <c:pt idx="340">
                  <c:v>-1.2799999999999976</c:v>
                </c:pt>
                <c:pt idx="341">
                  <c:v>-1.2719999999999976</c:v>
                </c:pt>
                <c:pt idx="342">
                  <c:v>-1.2639999999999976</c:v>
                </c:pt>
                <c:pt idx="343">
                  <c:v>-1.2559999999999976</c:v>
                </c:pt>
                <c:pt idx="344">
                  <c:v>-1.2479999999999976</c:v>
                </c:pt>
                <c:pt idx="345">
                  <c:v>-1.2399999999999975</c:v>
                </c:pt>
                <c:pt idx="346">
                  <c:v>-1.2319999999999975</c:v>
                </c:pt>
                <c:pt idx="347">
                  <c:v>-1.2239999999999975</c:v>
                </c:pt>
                <c:pt idx="348">
                  <c:v>-1.2159999999999975</c:v>
                </c:pt>
                <c:pt idx="349">
                  <c:v>-1.2079999999999975</c:v>
                </c:pt>
                <c:pt idx="350">
                  <c:v>-1.1999999999999975</c:v>
                </c:pt>
                <c:pt idx="351">
                  <c:v>-1.1919999999999975</c:v>
                </c:pt>
                <c:pt idx="352">
                  <c:v>-1.1839999999999975</c:v>
                </c:pt>
                <c:pt idx="353">
                  <c:v>-1.1759999999999975</c:v>
                </c:pt>
                <c:pt idx="354">
                  <c:v>-1.1679999999999975</c:v>
                </c:pt>
                <c:pt idx="355">
                  <c:v>-1.1599999999999975</c:v>
                </c:pt>
                <c:pt idx="356">
                  <c:v>-1.1519999999999975</c:v>
                </c:pt>
                <c:pt idx="357">
                  <c:v>-1.1439999999999975</c:v>
                </c:pt>
                <c:pt idx="358">
                  <c:v>-1.1359999999999975</c:v>
                </c:pt>
                <c:pt idx="359">
                  <c:v>-1.1279999999999974</c:v>
                </c:pt>
                <c:pt idx="360">
                  <c:v>-1.1199999999999974</c:v>
                </c:pt>
                <c:pt idx="361">
                  <c:v>-1.1119999999999974</c:v>
                </c:pt>
                <c:pt idx="362">
                  <c:v>-1.1039999999999974</c:v>
                </c:pt>
                <c:pt idx="363">
                  <c:v>-1.0959999999999974</c:v>
                </c:pt>
                <c:pt idx="364">
                  <c:v>-1.0879999999999974</c:v>
                </c:pt>
                <c:pt idx="365">
                  <c:v>-1.0799999999999974</c:v>
                </c:pt>
                <c:pt idx="366">
                  <c:v>-1.0719999999999974</c:v>
                </c:pt>
                <c:pt idx="367">
                  <c:v>-1.0639999999999974</c:v>
                </c:pt>
                <c:pt idx="368">
                  <c:v>-1.0559999999999974</c:v>
                </c:pt>
                <c:pt idx="369">
                  <c:v>-1.0479999999999974</c:v>
                </c:pt>
                <c:pt idx="370">
                  <c:v>-1.0399999999999974</c:v>
                </c:pt>
                <c:pt idx="371">
                  <c:v>-1.0319999999999974</c:v>
                </c:pt>
                <c:pt idx="372">
                  <c:v>-1.0239999999999974</c:v>
                </c:pt>
                <c:pt idx="373">
                  <c:v>-1.0159999999999973</c:v>
                </c:pt>
                <c:pt idx="374">
                  <c:v>-1.0079999999999973</c:v>
                </c:pt>
                <c:pt idx="375">
                  <c:v>-0.99999999999999734</c:v>
                </c:pt>
                <c:pt idx="376">
                  <c:v>-0.99199999999999733</c:v>
                </c:pt>
                <c:pt idx="377">
                  <c:v>-0.98399999999999732</c:v>
                </c:pt>
                <c:pt idx="378">
                  <c:v>-0.97599999999999731</c:v>
                </c:pt>
                <c:pt idx="379">
                  <c:v>-0.96799999999999731</c:v>
                </c:pt>
                <c:pt idx="380">
                  <c:v>-0.9599999999999973</c:v>
                </c:pt>
                <c:pt idx="381">
                  <c:v>-0.95199999999999729</c:v>
                </c:pt>
                <c:pt idx="382">
                  <c:v>-0.94399999999999729</c:v>
                </c:pt>
                <c:pt idx="383">
                  <c:v>-0.93599999999999728</c:v>
                </c:pt>
                <c:pt idx="384">
                  <c:v>-0.92799999999999727</c:v>
                </c:pt>
                <c:pt idx="385">
                  <c:v>-0.91999999999999726</c:v>
                </c:pt>
                <c:pt idx="386">
                  <c:v>-0.91199999999999726</c:v>
                </c:pt>
                <c:pt idx="387">
                  <c:v>-0.90399999999999725</c:v>
                </c:pt>
                <c:pt idx="388">
                  <c:v>-0.89599999999999724</c:v>
                </c:pt>
                <c:pt idx="389">
                  <c:v>-0.88799999999999724</c:v>
                </c:pt>
                <c:pt idx="390">
                  <c:v>-0.87999999999999723</c:v>
                </c:pt>
                <c:pt idx="391">
                  <c:v>-0.87199999999999722</c:v>
                </c:pt>
                <c:pt idx="392">
                  <c:v>-0.86399999999999721</c:v>
                </c:pt>
                <c:pt idx="393">
                  <c:v>-0.85599999999999721</c:v>
                </c:pt>
                <c:pt idx="394">
                  <c:v>-0.8479999999999972</c:v>
                </c:pt>
                <c:pt idx="395">
                  <c:v>-0.83999999999999719</c:v>
                </c:pt>
                <c:pt idx="396">
                  <c:v>-0.83199999999999719</c:v>
                </c:pt>
                <c:pt idx="397">
                  <c:v>-0.82399999999999718</c:v>
                </c:pt>
                <c:pt idx="398">
                  <c:v>-0.81599999999999717</c:v>
                </c:pt>
                <c:pt idx="399">
                  <c:v>-0.80799999999999716</c:v>
                </c:pt>
                <c:pt idx="400">
                  <c:v>-0.79999999999999716</c:v>
                </c:pt>
                <c:pt idx="401">
                  <c:v>-0.79199999999999715</c:v>
                </c:pt>
                <c:pt idx="402">
                  <c:v>-0.78399999999999714</c:v>
                </c:pt>
                <c:pt idx="403">
                  <c:v>-0.77599999999999714</c:v>
                </c:pt>
                <c:pt idx="404">
                  <c:v>-0.76799999999999713</c:v>
                </c:pt>
                <c:pt idx="405">
                  <c:v>-0.75999999999999712</c:v>
                </c:pt>
                <c:pt idx="406">
                  <c:v>-0.75199999999999712</c:v>
                </c:pt>
                <c:pt idx="407">
                  <c:v>-0.74399999999999711</c:v>
                </c:pt>
                <c:pt idx="408">
                  <c:v>-0.7359999999999971</c:v>
                </c:pt>
                <c:pt idx="409">
                  <c:v>-0.72799999999999709</c:v>
                </c:pt>
                <c:pt idx="410">
                  <c:v>-0.71999999999999709</c:v>
                </c:pt>
                <c:pt idx="411">
                  <c:v>-0.71199999999999708</c:v>
                </c:pt>
                <c:pt idx="412">
                  <c:v>-0.70399999999999707</c:v>
                </c:pt>
                <c:pt idx="413">
                  <c:v>-0.69599999999999707</c:v>
                </c:pt>
                <c:pt idx="414">
                  <c:v>-0.68799999999999706</c:v>
                </c:pt>
                <c:pt idx="415">
                  <c:v>-0.67999999999999705</c:v>
                </c:pt>
                <c:pt idx="416">
                  <c:v>-0.67199999999999704</c:v>
                </c:pt>
                <c:pt idx="417">
                  <c:v>-0.66399999999999704</c:v>
                </c:pt>
                <c:pt idx="418">
                  <c:v>-0.65599999999999703</c:v>
                </c:pt>
                <c:pt idx="419">
                  <c:v>-0.64799999999999702</c:v>
                </c:pt>
                <c:pt idx="420">
                  <c:v>-0.63999999999999702</c:v>
                </c:pt>
                <c:pt idx="421">
                  <c:v>-0.63199999999999701</c:v>
                </c:pt>
                <c:pt idx="422">
                  <c:v>-0.623999999999997</c:v>
                </c:pt>
                <c:pt idx="423">
                  <c:v>-0.61599999999999699</c:v>
                </c:pt>
                <c:pt idx="424">
                  <c:v>-0.60799999999999699</c:v>
                </c:pt>
                <c:pt idx="425">
                  <c:v>-0.59999999999999698</c:v>
                </c:pt>
                <c:pt idx="426">
                  <c:v>-0.59199999999999697</c:v>
                </c:pt>
                <c:pt idx="427">
                  <c:v>-0.58399999999999697</c:v>
                </c:pt>
                <c:pt idx="428">
                  <c:v>-0.57599999999999696</c:v>
                </c:pt>
                <c:pt idx="429">
                  <c:v>-0.56799999999999695</c:v>
                </c:pt>
                <c:pt idx="430">
                  <c:v>-0.55999999999999694</c:v>
                </c:pt>
                <c:pt idx="431">
                  <c:v>-0.55199999999999694</c:v>
                </c:pt>
                <c:pt idx="432">
                  <c:v>-0.54399999999999693</c:v>
                </c:pt>
                <c:pt idx="433">
                  <c:v>-0.53599999999999692</c:v>
                </c:pt>
                <c:pt idx="434">
                  <c:v>-0.52799999999999692</c:v>
                </c:pt>
                <c:pt idx="435">
                  <c:v>-0.51999999999999691</c:v>
                </c:pt>
                <c:pt idx="436">
                  <c:v>-0.5119999999999969</c:v>
                </c:pt>
                <c:pt idx="437">
                  <c:v>-0.50399999999999689</c:v>
                </c:pt>
                <c:pt idx="438">
                  <c:v>-0.49599999999999689</c:v>
                </c:pt>
                <c:pt idx="439">
                  <c:v>-0.48799999999999688</c:v>
                </c:pt>
                <c:pt idx="440">
                  <c:v>-0.47999999999999687</c:v>
                </c:pt>
                <c:pt idx="441">
                  <c:v>-0.47199999999999687</c:v>
                </c:pt>
                <c:pt idx="442">
                  <c:v>-0.46399999999999686</c:v>
                </c:pt>
                <c:pt idx="443">
                  <c:v>-0.45599999999999685</c:v>
                </c:pt>
                <c:pt idx="444">
                  <c:v>-0.44799999999999685</c:v>
                </c:pt>
                <c:pt idx="445">
                  <c:v>-0.43999999999999684</c:v>
                </c:pt>
                <c:pt idx="446">
                  <c:v>-0.43199999999999683</c:v>
                </c:pt>
                <c:pt idx="447">
                  <c:v>-0.42399999999999682</c:v>
                </c:pt>
                <c:pt idx="448">
                  <c:v>-0.41599999999999682</c:v>
                </c:pt>
                <c:pt idx="449">
                  <c:v>-0.40799999999999681</c:v>
                </c:pt>
                <c:pt idx="450">
                  <c:v>-0.3999999999999968</c:v>
                </c:pt>
                <c:pt idx="451">
                  <c:v>-0.3919999999999968</c:v>
                </c:pt>
                <c:pt idx="452">
                  <c:v>-0.38399999999999679</c:v>
                </c:pt>
                <c:pt idx="453">
                  <c:v>-0.37599999999999678</c:v>
                </c:pt>
                <c:pt idx="454">
                  <c:v>-0.36799999999999677</c:v>
                </c:pt>
                <c:pt idx="455">
                  <c:v>-0.35999999999999677</c:v>
                </c:pt>
                <c:pt idx="456">
                  <c:v>-0.35199999999999676</c:v>
                </c:pt>
                <c:pt idx="457">
                  <c:v>-0.34399999999999675</c:v>
                </c:pt>
                <c:pt idx="458">
                  <c:v>-0.33599999999999675</c:v>
                </c:pt>
                <c:pt idx="459">
                  <c:v>-0.32799999999999674</c:v>
                </c:pt>
                <c:pt idx="460">
                  <c:v>-0.31999999999999673</c:v>
                </c:pt>
                <c:pt idx="461">
                  <c:v>-0.31199999999999672</c:v>
                </c:pt>
                <c:pt idx="462">
                  <c:v>-0.30399999999999672</c:v>
                </c:pt>
                <c:pt idx="463">
                  <c:v>-0.29599999999999671</c:v>
                </c:pt>
                <c:pt idx="464">
                  <c:v>-0.2879999999999967</c:v>
                </c:pt>
                <c:pt idx="465">
                  <c:v>-0.2799999999999967</c:v>
                </c:pt>
                <c:pt idx="466">
                  <c:v>-0.27199999999999669</c:v>
                </c:pt>
                <c:pt idx="467">
                  <c:v>-0.26399999999999668</c:v>
                </c:pt>
                <c:pt idx="468">
                  <c:v>-0.25599999999999667</c:v>
                </c:pt>
                <c:pt idx="469">
                  <c:v>-0.24799999999999667</c:v>
                </c:pt>
                <c:pt idx="470">
                  <c:v>-0.23999999999999666</c:v>
                </c:pt>
                <c:pt idx="471">
                  <c:v>-0.23199999999999665</c:v>
                </c:pt>
                <c:pt idx="472">
                  <c:v>-0.22399999999999665</c:v>
                </c:pt>
                <c:pt idx="473">
                  <c:v>-0.21599999999999664</c:v>
                </c:pt>
                <c:pt idx="474">
                  <c:v>-0.20799999999999663</c:v>
                </c:pt>
                <c:pt idx="475">
                  <c:v>-0.19999999999999662</c:v>
                </c:pt>
                <c:pt idx="476">
                  <c:v>-0.19199999999999662</c:v>
                </c:pt>
                <c:pt idx="477">
                  <c:v>-0.18399999999999661</c:v>
                </c:pt>
                <c:pt idx="478">
                  <c:v>-0.1759999999999966</c:v>
                </c:pt>
                <c:pt idx="479">
                  <c:v>-0.1679999999999966</c:v>
                </c:pt>
                <c:pt idx="480">
                  <c:v>-0.15999999999999659</c:v>
                </c:pt>
                <c:pt idx="481">
                  <c:v>-0.15199999999999658</c:v>
                </c:pt>
                <c:pt idx="482">
                  <c:v>-0.14399999999999658</c:v>
                </c:pt>
                <c:pt idx="483">
                  <c:v>-0.13599999999999657</c:v>
                </c:pt>
                <c:pt idx="484">
                  <c:v>-0.12799999999999656</c:v>
                </c:pt>
                <c:pt idx="485">
                  <c:v>-0.11999999999999655</c:v>
                </c:pt>
                <c:pt idx="486">
                  <c:v>-0.11199999999999655</c:v>
                </c:pt>
                <c:pt idx="487">
                  <c:v>-0.10399999999999654</c:v>
                </c:pt>
                <c:pt idx="488">
                  <c:v>-9.5999999999996533E-2</c:v>
                </c:pt>
                <c:pt idx="489">
                  <c:v>-8.7999999999996525E-2</c:v>
                </c:pt>
                <c:pt idx="490">
                  <c:v>-7.9999999999996518E-2</c:v>
                </c:pt>
                <c:pt idx="491">
                  <c:v>-7.1999999999996511E-2</c:v>
                </c:pt>
                <c:pt idx="492">
                  <c:v>-6.3999999999996504E-2</c:v>
                </c:pt>
                <c:pt idx="493">
                  <c:v>-5.5999999999996504E-2</c:v>
                </c:pt>
                <c:pt idx="494">
                  <c:v>-4.7999999999996504E-2</c:v>
                </c:pt>
                <c:pt idx="495">
                  <c:v>-3.9999999999996504E-2</c:v>
                </c:pt>
                <c:pt idx="496">
                  <c:v>-3.1999999999996503E-2</c:v>
                </c:pt>
                <c:pt idx="497">
                  <c:v>-2.3999999999996503E-2</c:v>
                </c:pt>
                <c:pt idx="498">
                  <c:v>-1.5999999999996503E-2</c:v>
                </c:pt>
                <c:pt idx="499">
                  <c:v>-7.999999999996503E-3</c:v>
                </c:pt>
                <c:pt idx="500">
                  <c:v>3.4972025275692431E-15</c:v>
                </c:pt>
                <c:pt idx="501">
                  <c:v>8.0000000000034974E-3</c:v>
                </c:pt>
                <c:pt idx="502">
                  <c:v>1.6000000000003498E-2</c:v>
                </c:pt>
                <c:pt idx="503">
                  <c:v>2.4000000000003498E-2</c:v>
                </c:pt>
                <c:pt idx="504">
                  <c:v>3.2000000000003498E-2</c:v>
                </c:pt>
                <c:pt idx="505">
                  <c:v>4.0000000000003498E-2</c:v>
                </c:pt>
                <c:pt idx="506">
                  <c:v>4.8000000000003498E-2</c:v>
                </c:pt>
                <c:pt idx="507">
                  <c:v>5.6000000000003498E-2</c:v>
                </c:pt>
                <c:pt idx="508">
                  <c:v>6.4000000000003499E-2</c:v>
                </c:pt>
                <c:pt idx="509">
                  <c:v>7.2000000000003506E-2</c:v>
                </c:pt>
                <c:pt idx="510">
                  <c:v>8.0000000000003513E-2</c:v>
                </c:pt>
                <c:pt idx="511">
                  <c:v>8.800000000000352E-2</c:v>
                </c:pt>
                <c:pt idx="512">
                  <c:v>9.6000000000003527E-2</c:v>
                </c:pt>
                <c:pt idx="513">
                  <c:v>0.10400000000000353</c:v>
                </c:pt>
                <c:pt idx="514">
                  <c:v>0.11200000000000354</c:v>
                </c:pt>
                <c:pt idx="515">
                  <c:v>0.12000000000000355</c:v>
                </c:pt>
                <c:pt idx="516">
                  <c:v>0.12800000000000356</c:v>
                </c:pt>
                <c:pt idx="517">
                  <c:v>0.13600000000000356</c:v>
                </c:pt>
                <c:pt idx="518">
                  <c:v>0.14400000000000357</c:v>
                </c:pt>
                <c:pt idx="519">
                  <c:v>0.15200000000000358</c:v>
                </c:pt>
                <c:pt idx="520">
                  <c:v>0.16000000000000358</c:v>
                </c:pt>
                <c:pt idx="521">
                  <c:v>0.16800000000000359</c:v>
                </c:pt>
                <c:pt idx="522">
                  <c:v>0.1760000000000036</c:v>
                </c:pt>
                <c:pt idx="523">
                  <c:v>0.18400000000000361</c:v>
                </c:pt>
                <c:pt idx="524">
                  <c:v>0.19200000000000361</c:v>
                </c:pt>
                <c:pt idx="525">
                  <c:v>0.20000000000000362</c:v>
                </c:pt>
                <c:pt idx="526">
                  <c:v>0.20800000000000363</c:v>
                </c:pt>
                <c:pt idx="527">
                  <c:v>0.21600000000000363</c:v>
                </c:pt>
                <c:pt idx="528">
                  <c:v>0.22400000000000364</c:v>
                </c:pt>
                <c:pt idx="529">
                  <c:v>0.23200000000000365</c:v>
                </c:pt>
                <c:pt idx="530">
                  <c:v>0.24000000000000365</c:v>
                </c:pt>
                <c:pt idx="531">
                  <c:v>0.24800000000000366</c:v>
                </c:pt>
                <c:pt idx="532">
                  <c:v>0.25600000000000367</c:v>
                </c:pt>
                <c:pt idx="533">
                  <c:v>0.26400000000000368</c:v>
                </c:pt>
                <c:pt idx="534">
                  <c:v>0.27200000000000368</c:v>
                </c:pt>
                <c:pt idx="535">
                  <c:v>0.28000000000000369</c:v>
                </c:pt>
                <c:pt idx="536">
                  <c:v>0.2880000000000037</c:v>
                </c:pt>
                <c:pt idx="537">
                  <c:v>0.2960000000000037</c:v>
                </c:pt>
                <c:pt idx="538">
                  <c:v>0.30400000000000371</c:v>
                </c:pt>
                <c:pt idx="539">
                  <c:v>0.31200000000000372</c:v>
                </c:pt>
                <c:pt idx="540">
                  <c:v>0.32000000000000373</c:v>
                </c:pt>
                <c:pt idx="541">
                  <c:v>0.32800000000000373</c:v>
                </c:pt>
                <c:pt idx="542">
                  <c:v>0.33600000000000374</c:v>
                </c:pt>
                <c:pt idx="543">
                  <c:v>0.34400000000000375</c:v>
                </c:pt>
                <c:pt idx="544">
                  <c:v>0.35200000000000375</c:v>
                </c:pt>
                <c:pt idx="545">
                  <c:v>0.36000000000000376</c:v>
                </c:pt>
                <c:pt idx="546">
                  <c:v>0.36800000000000377</c:v>
                </c:pt>
                <c:pt idx="547">
                  <c:v>0.37600000000000378</c:v>
                </c:pt>
                <c:pt idx="548">
                  <c:v>0.38400000000000378</c:v>
                </c:pt>
                <c:pt idx="549">
                  <c:v>0.39200000000000379</c:v>
                </c:pt>
                <c:pt idx="550">
                  <c:v>0.4000000000000038</c:v>
                </c:pt>
                <c:pt idx="551">
                  <c:v>0.4080000000000038</c:v>
                </c:pt>
                <c:pt idx="552">
                  <c:v>0.41600000000000381</c:v>
                </c:pt>
                <c:pt idx="553">
                  <c:v>0.42400000000000382</c:v>
                </c:pt>
                <c:pt idx="554">
                  <c:v>0.43200000000000383</c:v>
                </c:pt>
                <c:pt idx="555">
                  <c:v>0.44000000000000383</c:v>
                </c:pt>
                <c:pt idx="556">
                  <c:v>0.44800000000000384</c:v>
                </c:pt>
                <c:pt idx="557">
                  <c:v>0.45600000000000385</c:v>
                </c:pt>
                <c:pt idx="558">
                  <c:v>0.46400000000000385</c:v>
                </c:pt>
                <c:pt idx="559">
                  <c:v>0.47200000000000386</c:v>
                </c:pt>
                <c:pt idx="560">
                  <c:v>0.48000000000000387</c:v>
                </c:pt>
                <c:pt idx="561">
                  <c:v>0.48800000000000388</c:v>
                </c:pt>
                <c:pt idx="562">
                  <c:v>0.49600000000000388</c:v>
                </c:pt>
                <c:pt idx="563">
                  <c:v>0.50400000000000389</c:v>
                </c:pt>
                <c:pt idx="564">
                  <c:v>0.5120000000000039</c:v>
                </c:pt>
                <c:pt idx="565">
                  <c:v>0.5200000000000039</c:v>
                </c:pt>
                <c:pt idx="566">
                  <c:v>0.52800000000000391</c:v>
                </c:pt>
                <c:pt idx="567">
                  <c:v>0.53600000000000392</c:v>
                </c:pt>
                <c:pt idx="568">
                  <c:v>0.54400000000000392</c:v>
                </c:pt>
                <c:pt idx="569">
                  <c:v>0.55200000000000393</c:v>
                </c:pt>
                <c:pt idx="570">
                  <c:v>0.56000000000000394</c:v>
                </c:pt>
                <c:pt idx="571">
                  <c:v>0.56800000000000395</c:v>
                </c:pt>
                <c:pt idx="572">
                  <c:v>0.57600000000000395</c:v>
                </c:pt>
                <c:pt idx="573">
                  <c:v>0.58400000000000396</c:v>
                </c:pt>
                <c:pt idx="574">
                  <c:v>0.59200000000000397</c:v>
                </c:pt>
                <c:pt idx="575">
                  <c:v>0.60000000000000397</c:v>
                </c:pt>
                <c:pt idx="576">
                  <c:v>0.60800000000000398</c:v>
                </c:pt>
                <c:pt idx="577">
                  <c:v>0.61600000000000399</c:v>
                </c:pt>
                <c:pt idx="578">
                  <c:v>0.624000000000004</c:v>
                </c:pt>
                <c:pt idx="579">
                  <c:v>0.632000000000004</c:v>
                </c:pt>
                <c:pt idx="580">
                  <c:v>0.64000000000000401</c:v>
                </c:pt>
                <c:pt idx="581">
                  <c:v>0.64800000000000402</c:v>
                </c:pt>
                <c:pt idx="582">
                  <c:v>0.65600000000000402</c:v>
                </c:pt>
                <c:pt idx="583">
                  <c:v>0.66400000000000403</c:v>
                </c:pt>
                <c:pt idx="584">
                  <c:v>0.67200000000000404</c:v>
                </c:pt>
                <c:pt idx="585">
                  <c:v>0.68000000000000405</c:v>
                </c:pt>
                <c:pt idx="586">
                  <c:v>0.68800000000000405</c:v>
                </c:pt>
                <c:pt idx="587">
                  <c:v>0.69600000000000406</c:v>
                </c:pt>
                <c:pt idx="588">
                  <c:v>0.70400000000000407</c:v>
                </c:pt>
                <c:pt idx="589">
                  <c:v>0.71200000000000407</c:v>
                </c:pt>
                <c:pt idx="590">
                  <c:v>0.72000000000000408</c:v>
                </c:pt>
                <c:pt idx="591">
                  <c:v>0.72800000000000409</c:v>
                </c:pt>
                <c:pt idx="592">
                  <c:v>0.7360000000000041</c:v>
                </c:pt>
                <c:pt idx="593">
                  <c:v>0.7440000000000041</c:v>
                </c:pt>
                <c:pt idx="594">
                  <c:v>0.75200000000000411</c:v>
                </c:pt>
                <c:pt idx="595">
                  <c:v>0.76000000000000412</c:v>
                </c:pt>
                <c:pt idx="596">
                  <c:v>0.76800000000000412</c:v>
                </c:pt>
                <c:pt idx="597">
                  <c:v>0.77600000000000413</c:v>
                </c:pt>
                <c:pt idx="598">
                  <c:v>0.78400000000000414</c:v>
                </c:pt>
                <c:pt idx="599">
                  <c:v>0.79200000000000415</c:v>
                </c:pt>
                <c:pt idx="600">
                  <c:v>0.80000000000000415</c:v>
                </c:pt>
                <c:pt idx="601">
                  <c:v>0.80800000000000416</c:v>
                </c:pt>
                <c:pt idx="602">
                  <c:v>0.81600000000000417</c:v>
                </c:pt>
                <c:pt idx="603">
                  <c:v>0.82400000000000417</c:v>
                </c:pt>
                <c:pt idx="604">
                  <c:v>0.83200000000000418</c:v>
                </c:pt>
                <c:pt idx="605">
                  <c:v>0.84000000000000419</c:v>
                </c:pt>
                <c:pt idx="606">
                  <c:v>0.84800000000000419</c:v>
                </c:pt>
                <c:pt idx="607">
                  <c:v>0.8560000000000042</c:v>
                </c:pt>
                <c:pt idx="608">
                  <c:v>0.86400000000000421</c:v>
                </c:pt>
                <c:pt idx="609">
                  <c:v>0.87200000000000422</c:v>
                </c:pt>
                <c:pt idx="610">
                  <c:v>0.88000000000000422</c:v>
                </c:pt>
                <c:pt idx="611">
                  <c:v>0.88800000000000423</c:v>
                </c:pt>
                <c:pt idx="612">
                  <c:v>0.89600000000000424</c:v>
                </c:pt>
                <c:pt idx="613">
                  <c:v>0.90400000000000424</c:v>
                </c:pt>
                <c:pt idx="614">
                  <c:v>0.91200000000000425</c:v>
                </c:pt>
                <c:pt idx="615">
                  <c:v>0.92000000000000426</c:v>
                </c:pt>
                <c:pt idx="616">
                  <c:v>0.92800000000000427</c:v>
                </c:pt>
                <c:pt idx="617">
                  <c:v>0.93600000000000427</c:v>
                </c:pt>
                <c:pt idx="618">
                  <c:v>0.94400000000000428</c:v>
                </c:pt>
                <c:pt idx="619">
                  <c:v>0.95200000000000429</c:v>
                </c:pt>
                <c:pt idx="620">
                  <c:v>0.96000000000000429</c:v>
                </c:pt>
                <c:pt idx="621">
                  <c:v>0.9680000000000043</c:v>
                </c:pt>
                <c:pt idx="622">
                  <c:v>0.97600000000000431</c:v>
                </c:pt>
                <c:pt idx="623">
                  <c:v>0.98400000000000432</c:v>
                </c:pt>
                <c:pt idx="624">
                  <c:v>0.99200000000000432</c:v>
                </c:pt>
                <c:pt idx="625">
                  <c:v>1.0000000000000042</c:v>
                </c:pt>
                <c:pt idx="626">
                  <c:v>1.0080000000000042</c:v>
                </c:pt>
                <c:pt idx="627">
                  <c:v>1.0160000000000042</c:v>
                </c:pt>
                <c:pt idx="628">
                  <c:v>1.0240000000000042</c:v>
                </c:pt>
                <c:pt idx="629">
                  <c:v>1.0320000000000042</c:v>
                </c:pt>
                <c:pt idx="630">
                  <c:v>1.0400000000000043</c:v>
                </c:pt>
                <c:pt idx="631">
                  <c:v>1.0480000000000043</c:v>
                </c:pt>
                <c:pt idx="632">
                  <c:v>1.0560000000000043</c:v>
                </c:pt>
                <c:pt idx="633">
                  <c:v>1.0640000000000043</c:v>
                </c:pt>
                <c:pt idx="634">
                  <c:v>1.0720000000000043</c:v>
                </c:pt>
                <c:pt idx="635">
                  <c:v>1.0800000000000043</c:v>
                </c:pt>
                <c:pt idx="636">
                  <c:v>1.0880000000000043</c:v>
                </c:pt>
                <c:pt idx="637">
                  <c:v>1.0960000000000043</c:v>
                </c:pt>
                <c:pt idx="638">
                  <c:v>1.1040000000000043</c:v>
                </c:pt>
                <c:pt idx="639">
                  <c:v>1.1120000000000043</c:v>
                </c:pt>
                <c:pt idx="640">
                  <c:v>1.1200000000000043</c:v>
                </c:pt>
                <c:pt idx="641">
                  <c:v>1.1280000000000043</c:v>
                </c:pt>
                <c:pt idx="642">
                  <c:v>1.1360000000000043</c:v>
                </c:pt>
                <c:pt idx="643">
                  <c:v>1.1440000000000043</c:v>
                </c:pt>
                <c:pt idx="644">
                  <c:v>1.1520000000000044</c:v>
                </c:pt>
                <c:pt idx="645">
                  <c:v>1.1600000000000044</c:v>
                </c:pt>
                <c:pt idx="646">
                  <c:v>1.1680000000000044</c:v>
                </c:pt>
                <c:pt idx="647">
                  <c:v>1.1760000000000044</c:v>
                </c:pt>
                <c:pt idx="648">
                  <c:v>1.1840000000000044</c:v>
                </c:pt>
                <c:pt idx="649">
                  <c:v>1.1920000000000044</c:v>
                </c:pt>
                <c:pt idx="650">
                  <c:v>1.2000000000000044</c:v>
                </c:pt>
                <c:pt idx="651">
                  <c:v>1.2080000000000044</c:v>
                </c:pt>
                <c:pt idx="652">
                  <c:v>1.2160000000000044</c:v>
                </c:pt>
                <c:pt idx="653">
                  <c:v>1.2240000000000044</c:v>
                </c:pt>
                <c:pt idx="654">
                  <c:v>1.2320000000000044</c:v>
                </c:pt>
                <c:pt idx="655">
                  <c:v>1.2400000000000044</c:v>
                </c:pt>
                <c:pt idx="656">
                  <c:v>1.2480000000000044</c:v>
                </c:pt>
                <c:pt idx="657">
                  <c:v>1.2560000000000044</c:v>
                </c:pt>
                <c:pt idx="658">
                  <c:v>1.2640000000000045</c:v>
                </c:pt>
                <c:pt idx="659">
                  <c:v>1.2720000000000045</c:v>
                </c:pt>
                <c:pt idx="660">
                  <c:v>1.2800000000000045</c:v>
                </c:pt>
                <c:pt idx="661">
                  <c:v>1.2880000000000045</c:v>
                </c:pt>
                <c:pt idx="662">
                  <c:v>1.2960000000000045</c:v>
                </c:pt>
                <c:pt idx="663">
                  <c:v>1.3040000000000045</c:v>
                </c:pt>
                <c:pt idx="664">
                  <c:v>1.3120000000000045</c:v>
                </c:pt>
                <c:pt idx="665">
                  <c:v>1.3200000000000045</c:v>
                </c:pt>
                <c:pt idx="666">
                  <c:v>1.3280000000000045</c:v>
                </c:pt>
                <c:pt idx="667">
                  <c:v>1.3360000000000045</c:v>
                </c:pt>
                <c:pt idx="668">
                  <c:v>1.3440000000000045</c:v>
                </c:pt>
                <c:pt idx="669">
                  <c:v>1.3520000000000045</c:v>
                </c:pt>
                <c:pt idx="670">
                  <c:v>1.3600000000000045</c:v>
                </c:pt>
                <c:pt idx="671">
                  <c:v>1.3680000000000045</c:v>
                </c:pt>
                <c:pt idx="672">
                  <c:v>1.3760000000000046</c:v>
                </c:pt>
                <c:pt idx="673">
                  <c:v>1.3840000000000046</c:v>
                </c:pt>
                <c:pt idx="674">
                  <c:v>1.3920000000000046</c:v>
                </c:pt>
                <c:pt idx="675">
                  <c:v>1.4000000000000046</c:v>
                </c:pt>
                <c:pt idx="676">
                  <c:v>1.4080000000000046</c:v>
                </c:pt>
                <c:pt idx="677">
                  <c:v>1.4160000000000046</c:v>
                </c:pt>
                <c:pt idx="678">
                  <c:v>1.4240000000000046</c:v>
                </c:pt>
                <c:pt idx="679">
                  <c:v>1.4320000000000046</c:v>
                </c:pt>
                <c:pt idx="680">
                  <c:v>1.4400000000000046</c:v>
                </c:pt>
                <c:pt idx="681">
                  <c:v>1.4480000000000046</c:v>
                </c:pt>
                <c:pt idx="682">
                  <c:v>1.4560000000000046</c:v>
                </c:pt>
                <c:pt idx="683">
                  <c:v>1.4640000000000046</c:v>
                </c:pt>
                <c:pt idx="684">
                  <c:v>1.4720000000000046</c:v>
                </c:pt>
                <c:pt idx="685">
                  <c:v>1.4800000000000046</c:v>
                </c:pt>
                <c:pt idx="686">
                  <c:v>1.4880000000000047</c:v>
                </c:pt>
                <c:pt idx="687">
                  <c:v>1.4960000000000047</c:v>
                </c:pt>
                <c:pt idx="688">
                  <c:v>1.5040000000000047</c:v>
                </c:pt>
                <c:pt idx="689">
                  <c:v>1.5120000000000047</c:v>
                </c:pt>
                <c:pt idx="690">
                  <c:v>1.5200000000000047</c:v>
                </c:pt>
                <c:pt idx="691">
                  <c:v>1.5280000000000047</c:v>
                </c:pt>
                <c:pt idx="692">
                  <c:v>1.5360000000000047</c:v>
                </c:pt>
                <c:pt idx="693">
                  <c:v>1.5440000000000047</c:v>
                </c:pt>
                <c:pt idx="694">
                  <c:v>1.5520000000000047</c:v>
                </c:pt>
                <c:pt idx="695">
                  <c:v>1.5600000000000047</c:v>
                </c:pt>
                <c:pt idx="696">
                  <c:v>1.5680000000000047</c:v>
                </c:pt>
                <c:pt idx="697">
                  <c:v>1.5760000000000047</c:v>
                </c:pt>
                <c:pt idx="698">
                  <c:v>1.5840000000000047</c:v>
                </c:pt>
                <c:pt idx="699">
                  <c:v>1.5920000000000047</c:v>
                </c:pt>
                <c:pt idx="700">
                  <c:v>1.6000000000000048</c:v>
                </c:pt>
                <c:pt idx="701">
                  <c:v>1.6080000000000048</c:v>
                </c:pt>
                <c:pt idx="702">
                  <c:v>1.6160000000000048</c:v>
                </c:pt>
                <c:pt idx="703">
                  <c:v>1.6240000000000048</c:v>
                </c:pt>
                <c:pt idx="704">
                  <c:v>1.6320000000000048</c:v>
                </c:pt>
                <c:pt idx="705">
                  <c:v>1.6400000000000048</c:v>
                </c:pt>
                <c:pt idx="706">
                  <c:v>1.6480000000000048</c:v>
                </c:pt>
                <c:pt idx="707">
                  <c:v>1.6560000000000048</c:v>
                </c:pt>
                <c:pt idx="708">
                  <c:v>1.6640000000000048</c:v>
                </c:pt>
                <c:pt idx="709">
                  <c:v>1.6720000000000048</c:v>
                </c:pt>
                <c:pt idx="710">
                  <c:v>1.6800000000000048</c:v>
                </c:pt>
                <c:pt idx="711">
                  <c:v>1.6880000000000048</c:v>
                </c:pt>
                <c:pt idx="712">
                  <c:v>1.6960000000000048</c:v>
                </c:pt>
                <c:pt idx="713">
                  <c:v>1.7040000000000048</c:v>
                </c:pt>
                <c:pt idx="714">
                  <c:v>1.7120000000000049</c:v>
                </c:pt>
                <c:pt idx="715">
                  <c:v>1.7200000000000049</c:v>
                </c:pt>
                <c:pt idx="716">
                  <c:v>1.7280000000000049</c:v>
                </c:pt>
                <c:pt idx="717">
                  <c:v>1.7360000000000049</c:v>
                </c:pt>
                <c:pt idx="718">
                  <c:v>1.7440000000000049</c:v>
                </c:pt>
                <c:pt idx="719">
                  <c:v>1.7520000000000049</c:v>
                </c:pt>
                <c:pt idx="720">
                  <c:v>1.7600000000000049</c:v>
                </c:pt>
                <c:pt idx="721">
                  <c:v>1.7680000000000049</c:v>
                </c:pt>
                <c:pt idx="722">
                  <c:v>1.7760000000000049</c:v>
                </c:pt>
                <c:pt idx="723">
                  <c:v>1.7840000000000049</c:v>
                </c:pt>
                <c:pt idx="724">
                  <c:v>1.7920000000000049</c:v>
                </c:pt>
                <c:pt idx="725">
                  <c:v>1.8000000000000049</c:v>
                </c:pt>
                <c:pt idx="726">
                  <c:v>1.8080000000000049</c:v>
                </c:pt>
                <c:pt idx="727">
                  <c:v>1.8160000000000049</c:v>
                </c:pt>
                <c:pt idx="728">
                  <c:v>1.824000000000005</c:v>
                </c:pt>
                <c:pt idx="729">
                  <c:v>1.832000000000005</c:v>
                </c:pt>
                <c:pt idx="730">
                  <c:v>1.840000000000005</c:v>
                </c:pt>
                <c:pt idx="731">
                  <c:v>1.848000000000005</c:v>
                </c:pt>
                <c:pt idx="732">
                  <c:v>1.856000000000005</c:v>
                </c:pt>
                <c:pt idx="733">
                  <c:v>1.864000000000005</c:v>
                </c:pt>
                <c:pt idx="734">
                  <c:v>1.872000000000005</c:v>
                </c:pt>
                <c:pt idx="735">
                  <c:v>1.880000000000005</c:v>
                </c:pt>
                <c:pt idx="736">
                  <c:v>1.888000000000005</c:v>
                </c:pt>
                <c:pt idx="737">
                  <c:v>1.896000000000005</c:v>
                </c:pt>
                <c:pt idx="738">
                  <c:v>1.904000000000005</c:v>
                </c:pt>
                <c:pt idx="739">
                  <c:v>1.912000000000005</c:v>
                </c:pt>
                <c:pt idx="740">
                  <c:v>1.920000000000005</c:v>
                </c:pt>
                <c:pt idx="741">
                  <c:v>1.928000000000005</c:v>
                </c:pt>
                <c:pt idx="742">
                  <c:v>1.9360000000000051</c:v>
                </c:pt>
                <c:pt idx="743">
                  <c:v>1.9440000000000051</c:v>
                </c:pt>
                <c:pt idx="744">
                  <c:v>1.9520000000000051</c:v>
                </c:pt>
                <c:pt idx="745">
                  <c:v>1.9600000000000051</c:v>
                </c:pt>
                <c:pt idx="746">
                  <c:v>1.9680000000000051</c:v>
                </c:pt>
                <c:pt idx="747">
                  <c:v>1.9760000000000051</c:v>
                </c:pt>
                <c:pt idx="748">
                  <c:v>1.9840000000000051</c:v>
                </c:pt>
                <c:pt idx="749">
                  <c:v>1.9920000000000051</c:v>
                </c:pt>
                <c:pt idx="750">
                  <c:v>2.0000000000000049</c:v>
                </c:pt>
                <c:pt idx="751">
                  <c:v>2.0080000000000049</c:v>
                </c:pt>
                <c:pt idx="752">
                  <c:v>2.0160000000000049</c:v>
                </c:pt>
                <c:pt idx="753">
                  <c:v>2.0240000000000049</c:v>
                </c:pt>
                <c:pt idx="754">
                  <c:v>2.0320000000000049</c:v>
                </c:pt>
                <c:pt idx="755">
                  <c:v>2.0400000000000049</c:v>
                </c:pt>
                <c:pt idx="756">
                  <c:v>2.0480000000000049</c:v>
                </c:pt>
                <c:pt idx="757">
                  <c:v>2.0560000000000049</c:v>
                </c:pt>
                <c:pt idx="758">
                  <c:v>2.0640000000000049</c:v>
                </c:pt>
                <c:pt idx="759">
                  <c:v>2.0720000000000049</c:v>
                </c:pt>
                <c:pt idx="760">
                  <c:v>2.080000000000005</c:v>
                </c:pt>
                <c:pt idx="761">
                  <c:v>2.088000000000005</c:v>
                </c:pt>
                <c:pt idx="762">
                  <c:v>2.096000000000005</c:v>
                </c:pt>
                <c:pt idx="763">
                  <c:v>2.104000000000005</c:v>
                </c:pt>
                <c:pt idx="764">
                  <c:v>2.112000000000005</c:v>
                </c:pt>
                <c:pt idx="765">
                  <c:v>2.120000000000005</c:v>
                </c:pt>
                <c:pt idx="766">
                  <c:v>2.128000000000005</c:v>
                </c:pt>
                <c:pt idx="767">
                  <c:v>2.136000000000005</c:v>
                </c:pt>
                <c:pt idx="768">
                  <c:v>2.144000000000005</c:v>
                </c:pt>
                <c:pt idx="769">
                  <c:v>2.152000000000005</c:v>
                </c:pt>
                <c:pt idx="770">
                  <c:v>2.160000000000005</c:v>
                </c:pt>
                <c:pt idx="771">
                  <c:v>2.168000000000005</c:v>
                </c:pt>
                <c:pt idx="772">
                  <c:v>2.176000000000005</c:v>
                </c:pt>
                <c:pt idx="773">
                  <c:v>2.184000000000005</c:v>
                </c:pt>
                <c:pt idx="774">
                  <c:v>2.1920000000000051</c:v>
                </c:pt>
                <c:pt idx="775">
                  <c:v>2.2000000000000051</c:v>
                </c:pt>
                <c:pt idx="776">
                  <c:v>2.2080000000000051</c:v>
                </c:pt>
                <c:pt idx="777">
                  <c:v>2.2160000000000051</c:v>
                </c:pt>
                <c:pt idx="778">
                  <c:v>2.2240000000000051</c:v>
                </c:pt>
                <c:pt idx="779">
                  <c:v>2.2320000000000051</c:v>
                </c:pt>
                <c:pt idx="780">
                  <c:v>2.2400000000000051</c:v>
                </c:pt>
                <c:pt idx="781">
                  <c:v>2.2480000000000051</c:v>
                </c:pt>
                <c:pt idx="782">
                  <c:v>2.2560000000000051</c:v>
                </c:pt>
                <c:pt idx="783">
                  <c:v>2.2640000000000051</c:v>
                </c:pt>
                <c:pt idx="784">
                  <c:v>2.2720000000000051</c:v>
                </c:pt>
                <c:pt idx="785">
                  <c:v>2.2800000000000051</c:v>
                </c:pt>
                <c:pt idx="786">
                  <c:v>2.2880000000000051</c:v>
                </c:pt>
                <c:pt idx="787">
                  <c:v>2.2960000000000051</c:v>
                </c:pt>
                <c:pt idx="788">
                  <c:v>2.3040000000000052</c:v>
                </c:pt>
                <c:pt idx="789">
                  <c:v>2.3120000000000052</c:v>
                </c:pt>
                <c:pt idx="790">
                  <c:v>2.3200000000000052</c:v>
                </c:pt>
                <c:pt idx="791">
                  <c:v>2.3280000000000052</c:v>
                </c:pt>
                <c:pt idx="792">
                  <c:v>2.3360000000000052</c:v>
                </c:pt>
                <c:pt idx="793">
                  <c:v>2.3440000000000052</c:v>
                </c:pt>
                <c:pt idx="794">
                  <c:v>2.3520000000000052</c:v>
                </c:pt>
                <c:pt idx="795">
                  <c:v>2.3600000000000052</c:v>
                </c:pt>
                <c:pt idx="796">
                  <c:v>2.3680000000000052</c:v>
                </c:pt>
                <c:pt idx="797">
                  <c:v>2.3760000000000052</c:v>
                </c:pt>
                <c:pt idx="798">
                  <c:v>2.3840000000000052</c:v>
                </c:pt>
                <c:pt idx="799">
                  <c:v>2.3920000000000052</c:v>
                </c:pt>
                <c:pt idx="800">
                  <c:v>2.4000000000000052</c:v>
                </c:pt>
                <c:pt idx="801">
                  <c:v>2.4080000000000052</c:v>
                </c:pt>
                <c:pt idx="802">
                  <c:v>2.4160000000000053</c:v>
                </c:pt>
                <c:pt idx="803">
                  <c:v>2.4240000000000053</c:v>
                </c:pt>
                <c:pt idx="804">
                  <c:v>2.4320000000000053</c:v>
                </c:pt>
                <c:pt idx="805">
                  <c:v>2.4400000000000053</c:v>
                </c:pt>
                <c:pt idx="806">
                  <c:v>2.4480000000000053</c:v>
                </c:pt>
                <c:pt idx="807">
                  <c:v>2.4560000000000053</c:v>
                </c:pt>
                <c:pt idx="808">
                  <c:v>2.4640000000000053</c:v>
                </c:pt>
                <c:pt idx="809">
                  <c:v>2.4720000000000053</c:v>
                </c:pt>
                <c:pt idx="810">
                  <c:v>2.4800000000000053</c:v>
                </c:pt>
                <c:pt idx="811">
                  <c:v>2.4880000000000053</c:v>
                </c:pt>
                <c:pt idx="812">
                  <c:v>2.4960000000000053</c:v>
                </c:pt>
                <c:pt idx="813">
                  <c:v>2.5040000000000053</c:v>
                </c:pt>
                <c:pt idx="814">
                  <c:v>2.5120000000000053</c:v>
                </c:pt>
                <c:pt idx="815">
                  <c:v>2.5200000000000053</c:v>
                </c:pt>
                <c:pt idx="816">
                  <c:v>2.5280000000000054</c:v>
                </c:pt>
                <c:pt idx="817">
                  <c:v>2.5360000000000054</c:v>
                </c:pt>
                <c:pt idx="818">
                  <c:v>2.5440000000000054</c:v>
                </c:pt>
                <c:pt idx="819">
                  <c:v>2.5520000000000054</c:v>
                </c:pt>
                <c:pt idx="820">
                  <c:v>2.5600000000000054</c:v>
                </c:pt>
                <c:pt idx="821">
                  <c:v>2.5680000000000054</c:v>
                </c:pt>
                <c:pt idx="822">
                  <c:v>2.5760000000000054</c:v>
                </c:pt>
                <c:pt idx="823">
                  <c:v>2.5840000000000054</c:v>
                </c:pt>
                <c:pt idx="824">
                  <c:v>2.5920000000000054</c:v>
                </c:pt>
                <c:pt idx="825">
                  <c:v>2.6000000000000054</c:v>
                </c:pt>
                <c:pt idx="826">
                  <c:v>2.6080000000000054</c:v>
                </c:pt>
                <c:pt idx="827">
                  <c:v>2.6160000000000054</c:v>
                </c:pt>
                <c:pt idx="828">
                  <c:v>2.6240000000000054</c:v>
                </c:pt>
                <c:pt idx="829">
                  <c:v>2.6320000000000054</c:v>
                </c:pt>
                <c:pt idx="830">
                  <c:v>2.6400000000000055</c:v>
                </c:pt>
                <c:pt idx="831">
                  <c:v>2.6480000000000055</c:v>
                </c:pt>
                <c:pt idx="832">
                  <c:v>2.6560000000000055</c:v>
                </c:pt>
                <c:pt idx="833">
                  <c:v>2.6640000000000055</c:v>
                </c:pt>
                <c:pt idx="834">
                  <c:v>2.6720000000000055</c:v>
                </c:pt>
                <c:pt idx="835">
                  <c:v>2.6800000000000055</c:v>
                </c:pt>
                <c:pt idx="836">
                  <c:v>2.6880000000000055</c:v>
                </c:pt>
                <c:pt idx="837">
                  <c:v>2.6960000000000055</c:v>
                </c:pt>
                <c:pt idx="838">
                  <c:v>2.7040000000000055</c:v>
                </c:pt>
                <c:pt idx="839">
                  <c:v>2.7120000000000055</c:v>
                </c:pt>
                <c:pt idx="840">
                  <c:v>2.7200000000000055</c:v>
                </c:pt>
                <c:pt idx="841">
                  <c:v>2.7280000000000055</c:v>
                </c:pt>
                <c:pt idx="842">
                  <c:v>2.7360000000000055</c:v>
                </c:pt>
                <c:pt idx="843">
                  <c:v>2.7440000000000055</c:v>
                </c:pt>
                <c:pt idx="844">
                  <c:v>2.7520000000000056</c:v>
                </c:pt>
                <c:pt idx="845">
                  <c:v>2.7600000000000056</c:v>
                </c:pt>
                <c:pt idx="846">
                  <c:v>2.7680000000000056</c:v>
                </c:pt>
                <c:pt idx="847">
                  <c:v>2.7760000000000056</c:v>
                </c:pt>
                <c:pt idx="848">
                  <c:v>2.7840000000000056</c:v>
                </c:pt>
                <c:pt idx="849">
                  <c:v>2.7920000000000056</c:v>
                </c:pt>
                <c:pt idx="850">
                  <c:v>2.8000000000000056</c:v>
                </c:pt>
                <c:pt idx="851">
                  <c:v>2.8080000000000056</c:v>
                </c:pt>
                <c:pt idx="852">
                  <c:v>2.8160000000000056</c:v>
                </c:pt>
                <c:pt idx="853">
                  <c:v>2.8240000000000056</c:v>
                </c:pt>
                <c:pt idx="854">
                  <c:v>2.8320000000000056</c:v>
                </c:pt>
                <c:pt idx="855">
                  <c:v>2.8400000000000056</c:v>
                </c:pt>
                <c:pt idx="856">
                  <c:v>2.8480000000000056</c:v>
                </c:pt>
                <c:pt idx="857">
                  <c:v>2.8560000000000056</c:v>
                </c:pt>
                <c:pt idx="858">
                  <c:v>2.8640000000000057</c:v>
                </c:pt>
                <c:pt idx="859">
                  <c:v>2.8720000000000057</c:v>
                </c:pt>
                <c:pt idx="860">
                  <c:v>2.8800000000000057</c:v>
                </c:pt>
                <c:pt idx="861">
                  <c:v>2.8880000000000057</c:v>
                </c:pt>
                <c:pt idx="862">
                  <c:v>2.8960000000000057</c:v>
                </c:pt>
                <c:pt idx="863">
                  <c:v>2.9040000000000057</c:v>
                </c:pt>
                <c:pt idx="864">
                  <c:v>2.9120000000000057</c:v>
                </c:pt>
                <c:pt idx="865">
                  <c:v>2.9200000000000057</c:v>
                </c:pt>
                <c:pt idx="866">
                  <c:v>2.9280000000000057</c:v>
                </c:pt>
                <c:pt idx="867">
                  <c:v>2.9360000000000057</c:v>
                </c:pt>
                <c:pt idx="868">
                  <c:v>2.9440000000000057</c:v>
                </c:pt>
                <c:pt idx="869">
                  <c:v>2.9520000000000057</c:v>
                </c:pt>
                <c:pt idx="870">
                  <c:v>2.9600000000000057</c:v>
                </c:pt>
                <c:pt idx="871">
                  <c:v>2.9680000000000057</c:v>
                </c:pt>
                <c:pt idx="872">
                  <c:v>2.9760000000000058</c:v>
                </c:pt>
                <c:pt idx="873">
                  <c:v>2.9840000000000058</c:v>
                </c:pt>
                <c:pt idx="874">
                  <c:v>2.9920000000000058</c:v>
                </c:pt>
                <c:pt idx="875">
                  <c:v>3.0000000000000058</c:v>
                </c:pt>
                <c:pt idx="876">
                  <c:v>3.0080000000000058</c:v>
                </c:pt>
                <c:pt idx="877">
                  <c:v>3.0160000000000058</c:v>
                </c:pt>
                <c:pt idx="878">
                  <c:v>3.0240000000000058</c:v>
                </c:pt>
                <c:pt idx="879">
                  <c:v>3.0320000000000058</c:v>
                </c:pt>
                <c:pt idx="880">
                  <c:v>3.0400000000000058</c:v>
                </c:pt>
                <c:pt idx="881">
                  <c:v>3.0480000000000058</c:v>
                </c:pt>
                <c:pt idx="882">
                  <c:v>3.0560000000000058</c:v>
                </c:pt>
                <c:pt idx="883">
                  <c:v>3.0640000000000058</c:v>
                </c:pt>
                <c:pt idx="884">
                  <c:v>3.0720000000000058</c:v>
                </c:pt>
                <c:pt idx="885">
                  <c:v>3.0800000000000058</c:v>
                </c:pt>
                <c:pt idx="886">
                  <c:v>3.0880000000000059</c:v>
                </c:pt>
                <c:pt idx="887">
                  <c:v>3.0960000000000059</c:v>
                </c:pt>
                <c:pt idx="888">
                  <c:v>3.1040000000000059</c:v>
                </c:pt>
                <c:pt idx="889">
                  <c:v>3.1120000000000059</c:v>
                </c:pt>
                <c:pt idx="890">
                  <c:v>3.1200000000000059</c:v>
                </c:pt>
                <c:pt idx="891">
                  <c:v>3.1280000000000059</c:v>
                </c:pt>
                <c:pt idx="892">
                  <c:v>3.1360000000000059</c:v>
                </c:pt>
                <c:pt idx="893">
                  <c:v>3.1440000000000059</c:v>
                </c:pt>
                <c:pt idx="894">
                  <c:v>3.1520000000000059</c:v>
                </c:pt>
                <c:pt idx="895">
                  <c:v>3.1600000000000059</c:v>
                </c:pt>
                <c:pt idx="896">
                  <c:v>3.1680000000000059</c:v>
                </c:pt>
                <c:pt idx="897">
                  <c:v>3.1760000000000059</c:v>
                </c:pt>
                <c:pt idx="898">
                  <c:v>3.1840000000000059</c:v>
                </c:pt>
                <c:pt idx="899">
                  <c:v>3.1920000000000059</c:v>
                </c:pt>
                <c:pt idx="900">
                  <c:v>3.200000000000006</c:v>
                </c:pt>
                <c:pt idx="901">
                  <c:v>3.208000000000006</c:v>
                </c:pt>
                <c:pt idx="902">
                  <c:v>3.216000000000006</c:v>
                </c:pt>
                <c:pt idx="903">
                  <c:v>3.224000000000006</c:v>
                </c:pt>
                <c:pt idx="904">
                  <c:v>3.232000000000006</c:v>
                </c:pt>
                <c:pt idx="905">
                  <c:v>3.240000000000006</c:v>
                </c:pt>
                <c:pt idx="906">
                  <c:v>3.248000000000006</c:v>
                </c:pt>
                <c:pt idx="907">
                  <c:v>3.256000000000006</c:v>
                </c:pt>
                <c:pt idx="908">
                  <c:v>3.264000000000006</c:v>
                </c:pt>
                <c:pt idx="909">
                  <c:v>3.272000000000006</c:v>
                </c:pt>
                <c:pt idx="910">
                  <c:v>3.280000000000006</c:v>
                </c:pt>
                <c:pt idx="911">
                  <c:v>3.288000000000006</c:v>
                </c:pt>
                <c:pt idx="912">
                  <c:v>3.296000000000006</c:v>
                </c:pt>
                <c:pt idx="913">
                  <c:v>3.304000000000006</c:v>
                </c:pt>
                <c:pt idx="914">
                  <c:v>3.3120000000000061</c:v>
                </c:pt>
                <c:pt idx="915">
                  <c:v>3.3200000000000061</c:v>
                </c:pt>
                <c:pt idx="916">
                  <c:v>3.3280000000000061</c:v>
                </c:pt>
                <c:pt idx="917">
                  <c:v>3.3360000000000061</c:v>
                </c:pt>
                <c:pt idx="918">
                  <c:v>3.3440000000000061</c:v>
                </c:pt>
                <c:pt idx="919">
                  <c:v>3.3520000000000061</c:v>
                </c:pt>
                <c:pt idx="920">
                  <c:v>3.3600000000000061</c:v>
                </c:pt>
                <c:pt idx="921">
                  <c:v>3.3680000000000061</c:v>
                </c:pt>
                <c:pt idx="922">
                  <c:v>3.3760000000000061</c:v>
                </c:pt>
                <c:pt idx="923">
                  <c:v>3.3840000000000061</c:v>
                </c:pt>
                <c:pt idx="924">
                  <c:v>3.3920000000000061</c:v>
                </c:pt>
                <c:pt idx="925">
                  <c:v>3.4000000000000061</c:v>
                </c:pt>
                <c:pt idx="926">
                  <c:v>3.4080000000000061</c:v>
                </c:pt>
                <c:pt idx="927">
                  <c:v>3.4160000000000061</c:v>
                </c:pt>
                <c:pt idx="928">
                  <c:v>3.4240000000000061</c:v>
                </c:pt>
                <c:pt idx="929">
                  <c:v>3.4320000000000062</c:v>
                </c:pt>
                <c:pt idx="930">
                  <c:v>3.4400000000000062</c:v>
                </c:pt>
                <c:pt idx="931">
                  <c:v>3.4480000000000062</c:v>
                </c:pt>
                <c:pt idx="932">
                  <c:v>3.4560000000000062</c:v>
                </c:pt>
                <c:pt idx="933">
                  <c:v>3.4640000000000062</c:v>
                </c:pt>
                <c:pt idx="934">
                  <c:v>3.4720000000000062</c:v>
                </c:pt>
                <c:pt idx="935">
                  <c:v>3.4800000000000062</c:v>
                </c:pt>
                <c:pt idx="936">
                  <c:v>3.4880000000000062</c:v>
                </c:pt>
                <c:pt idx="937">
                  <c:v>3.4960000000000062</c:v>
                </c:pt>
                <c:pt idx="938">
                  <c:v>3.5040000000000062</c:v>
                </c:pt>
                <c:pt idx="939">
                  <c:v>3.5120000000000062</c:v>
                </c:pt>
                <c:pt idx="940">
                  <c:v>3.5200000000000062</c:v>
                </c:pt>
                <c:pt idx="941">
                  <c:v>3.5280000000000062</c:v>
                </c:pt>
                <c:pt idx="942">
                  <c:v>3.5360000000000062</c:v>
                </c:pt>
                <c:pt idx="943">
                  <c:v>3.5440000000000063</c:v>
                </c:pt>
                <c:pt idx="944">
                  <c:v>3.5520000000000063</c:v>
                </c:pt>
                <c:pt idx="945">
                  <c:v>3.5600000000000063</c:v>
                </c:pt>
                <c:pt idx="946">
                  <c:v>3.5680000000000063</c:v>
                </c:pt>
                <c:pt idx="947">
                  <c:v>3.5760000000000063</c:v>
                </c:pt>
                <c:pt idx="948">
                  <c:v>3.5840000000000063</c:v>
                </c:pt>
                <c:pt idx="949">
                  <c:v>3.5920000000000063</c:v>
                </c:pt>
                <c:pt idx="950">
                  <c:v>3.6000000000000063</c:v>
                </c:pt>
                <c:pt idx="951">
                  <c:v>3.6080000000000063</c:v>
                </c:pt>
                <c:pt idx="952">
                  <c:v>3.6160000000000063</c:v>
                </c:pt>
                <c:pt idx="953">
                  <c:v>3.6240000000000063</c:v>
                </c:pt>
                <c:pt idx="954">
                  <c:v>3.6320000000000063</c:v>
                </c:pt>
                <c:pt idx="955">
                  <c:v>3.6400000000000063</c:v>
                </c:pt>
                <c:pt idx="956">
                  <c:v>3.6480000000000063</c:v>
                </c:pt>
                <c:pt idx="957">
                  <c:v>3.6560000000000064</c:v>
                </c:pt>
                <c:pt idx="958">
                  <c:v>3.6640000000000064</c:v>
                </c:pt>
                <c:pt idx="959">
                  <c:v>3.6720000000000064</c:v>
                </c:pt>
                <c:pt idx="960">
                  <c:v>3.6800000000000064</c:v>
                </c:pt>
                <c:pt idx="961">
                  <c:v>3.6880000000000064</c:v>
                </c:pt>
                <c:pt idx="962">
                  <c:v>3.6960000000000064</c:v>
                </c:pt>
                <c:pt idx="963">
                  <c:v>3.7040000000000064</c:v>
                </c:pt>
                <c:pt idx="964">
                  <c:v>3.7120000000000064</c:v>
                </c:pt>
                <c:pt idx="965">
                  <c:v>3.7200000000000064</c:v>
                </c:pt>
                <c:pt idx="966">
                  <c:v>3.7280000000000064</c:v>
                </c:pt>
                <c:pt idx="967">
                  <c:v>3.7360000000000064</c:v>
                </c:pt>
                <c:pt idx="968">
                  <c:v>3.7440000000000064</c:v>
                </c:pt>
                <c:pt idx="969">
                  <c:v>3.7520000000000064</c:v>
                </c:pt>
                <c:pt idx="970">
                  <c:v>3.7600000000000064</c:v>
                </c:pt>
                <c:pt idx="971">
                  <c:v>3.7680000000000065</c:v>
                </c:pt>
                <c:pt idx="972">
                  <c:v>3.7760000000000065</c:v>
                </c:pt>
                <c:pt idx="973">
                  <c:v>3.7840000000000065</c:v>
                </c:pt>
                <c:pt idx="974">
                  <c:v>3.7920000000000065</c:v>
                </c:pt>
                <c:pt idx="975">
                  <c:v>3.8000000000000065</c:v>
                </c:pt>
                <c:pt idx="976">
                  <c:v>3.8080000000000065</c:v>
                </c:pt>
                <c:pt idx="977">
                  <c:v>3.8160000000000065</c:v>
                </c:pt>
                <c:pt idx="978">
                  <c:v>3.8240000000000065</c:v>
                </c:pt>
                <c:pt idx="979">
                  <c:v>3.8320000000000065</c:v>
                </c:pt>
                <c:pt idx="980">
                  <c:v>3.8400000000000065</c:v>
                </c:pt>
                <c:pt idx="981">
                  <c:v>3.8480000000000065</c:v>
                </c:pt>
                <c:pt idx="982">
                  <c:v>3.8560000000000065</c:v>
                </c:pt>
                <c:pt idx="983">
                  <c:v>3.8640000000000065</c:v>
                </c:pt>
                <c:pt idx="984">
                  <c:v>3.8720000000000065</c:v>
                </c:pt>
                <c:pt idx="985">
                  <c:v>3.8800000000000066</c:v>
                </c:pt>
                <c:pt idx="986">
                  <c:v>3.8880000000000066</c:v>
                </c:pt>
                <c:pt idx="987">
                  <c:v>3.8960000000000066</c:v>
                </c:pt>
                <c:pt idx="988">
                  <c:v>3.9040000000000066</c:v>
                </c:pt>
                <c:pt idx="989">
                  <c:v>3.9120000000000066</c:v>
                </c:pt>
                <c:pt idx="990">
                  <c:v>3.9200000000000066</c:v>
                </c:pt>
                <c:pt idx="991">
                  <c:v>3.9280000000000066</c:v>
                </c:pt>
                <c:pt idx="992">
                  <c:v>3.9360000000000066</c:v>
                </c:pt>
                <c:pt idx="993">
                  <c:v>3.9440000000000066</c:v>
                </c:pt>
                <c:pt idx="994">
                  <c:v>3.9520000000000066</c:v>
                </c:pt>
                <c:pt idx="995">
                  <c:v>3.9600000000000066</c:v>
                </c:pt>
                <c:pt idx="996">
                  <c:v>3.9680000000000066</c:v>
                </c:pt>
                <c:pt idx="997">
                  <c:v>3.9760000000000066</c:v>
                </c:pt>
                <c:pt idx="998">
                  <c:v>3.9840000000000066</c:v>
                </c:pt>
                <c:pt idx="999">
                  <c:v>3.9920000000000067</c:v>
                </c:pt>
                <c:pt idx="1000">
                  <c:v>4.0000000000000062</c:v>
                </c:pt>
              </c:numCache>
            </c:numRef>
          </c:xVal>
          <c:yVal>
            <c:numRef>
              <c:f>'d picture'!$AK$10:$AK$1010</c:f>
              <c:numCache>
                <c:formatCode>General</c:formatCode>
                <c:ptCount val="1001"/>
                <c:pt idx="0">
                  <c:v>3.5259568236744535E-4</c:v>
                </c:pt>
                <c:pt idx="1">
                  <c:v>3.6332219305176768E-4</c:v>
                </c:pt>
                <c:pt idx="2">
                  <c:v>3.7435106168914189E-4</c:v>
                </c:pt>
                <c:pt idx="3">
                  <c:v>3.8569003346543881E-4</c:v>
                </c:pt>
                <c:pt idx="4">
                  <c:v>3.9734702798149059E-4</c:v>
                </c:pt>
                <c:pt idx="5">
                  <c:v>4.0933014247807877E-4</c:v>
                </c:pt>
                <c:pt idx="6">
                  <c:v>4.21647655100799E-4</c:v>
                </c:pt>
                <c:pt idx="7">
                  <c:v>4.3430802820473716E-4</c:v>
                </c:pt>
                <c:pt idx="8">
                  <c:v>4.4731991169886793E-4</c:v>
                </c:pt>
                <c:pt idx="9">
                  <c:v>4.6069214643006931E-4</c:v>
                </c:pt>
                <c:pt idx="10">
                  <c:v>4.7443376760662054E-4</c:v>
                </c:pt>
                <c:pt idx="11">
                  <c:v>4.8855400826103962E-4</c:v>
                </c:pt>
                <c:pt idx="12">
                  <c:v>5.0306230275207415E-4</c:v>
                </c:pt>
                <c:pt idx="13">
                  <c:v>5.1796829030566552E-4</c:v>
                </c:pt>
                <c:pt idx="14">
                  <c:v>5.3328181859464891E-4</c:v>
                </c:pt>
                <c:pt idx="15">
                  <c:v>5.4901294735695859E-4</c:v>
                </c:pt>
                <c:pt idx="16">
                  <c:v>5.6517195205206452E-4</c:v>
                </c:pt>
                <c:pt idx="17">
                  <c:v>5.8176932755534016E-4</c:v>
                </c:pt>
                <c:pt idx="18">
                  <c:v>5.9881579189005271E-4</c:v>
                </c:pt>
                <c:pt idx="19">
                  <c:v>6.1632228999661872E-4</c:v>
                </c:pt>
                <c:pt idx="20">
                  <c:v>6.342999975387575E-4</c:v>
                </c:pt>
                <c:pt idx="21">
                  <c:v>6.5276032474613651E-4</c:v>
                </c:pt>
                <c:pt idx="22">
                  <c:v>6.7171492029307993E-4</c:v>
                </c:pt>
                <c:pt idx="23">
                  <c:v>6.9117567521288553E-4</c:v>
                </c:pt>
                <c:pt idx="24">
                  <c:v>7.1115472684725315E-4</c:v>
                </c:pt>
                <c:pt idx="25">
                  <c:v>7.3166446283031079E-4</c:v>
                </c:pt>
                <c:pt idx="26">
                  <c:v>7.5271752510669377E-4</c:v>
                </c:pt>
                <c:pt idx="27">
                  <c:v>7.7432681398308199E-4</c:v>
                </c:pt>
                <c:pt idx="28">
                  <c:v>7.9650549221260106E-4</c:v>
                </c:pt>
                <c:pt idx="29">
                  <c:v>8.1926698911142311E-4</c:v>
                </c:pt>
                <c:pt idx="30">
                  <c:v>8.4262500470690257E-4</c:v>
                </c:pt>
                <c:pt idx="31">
                  <c:v>8.6659351391652991E-4</c:v>
                </c:pt>
                <c:pt idx="32">
                  <c:v>8.9118677075695292E-4</c:v>
                </c:pt>
                <c:pt idx="33">
                  <c:v>9.164193125822895E-4</c:v>
                </c:pt>
                <c:pt idx="34">
                  <c:v>9.4230596435091157E-4</c:v>
                </c:pt>
                <c:pt idx="35">
                  <c:v>9.6886184291984656E-4</c:v>
                </c:pt>
                <c:pt idx="36">
                  <c:v>9.9610236136590835E-4</c:v>
                </c:pt>
                <c:pt idx="37">
                  <c:v>1.0240432333326237E-3</c:v>
                </c:pt>
                <c:pt idx="38">
                  <c:v>1.0527004774020033E-3</c:v>
                </c:pt>
                <c:pt idx="39">
                  <c:v>1.0820904214901351E-3</c:v>
                </c:pt>
                <c:pt idx="40">
                  <c:v>1.1122297072655668E-3</c:v>
                </c:pt>
                <c:pt idx="41">
                  <c:v>1.1431352945893978E-3</c:v>
                </c:pt>
                <c:pt idx="42">
                  <c:v>1.1748244659759558E-3</c:v>
                </c:pt>
                <c:pt idx="43">
                  <c:v>1.2073148310728836E-3</c:v>
                </c:pt>
                <c:pt idx="44">
                  <c:v>1.2406243311594517E-3</c:v>
                </c:pt>
                <c:pt idx="45">
                  <c:v>1.2747712436618349E-3</c:v>
                </c:pt>
                <c:pt idx="46">
                  <c:v>1.3097741866840713E-3</c:v>
                </c:pt>
                <c:pt idx="47">
                  <c:v>1.3456521235533712E-3</c:v>
                </c:pt>
                <c:pt idx="48">
                  <c:v>1.3824243673784011E-3</c:v>
                </c:pt>
                <c:pt idx="49">
                  <c:v>1.4201105856191257E-3</c:v>
                </c:pt>
                <c:pt idx="50">
                  <c:v>1.458730804666747E-3</c:v>
                </c:pt>
                <c:pt idx="51">
                  <c:v>1.4983054144322315E-3</c:v>
                </c:pt>
                <c:pt idx="52">
                  <c:v>1.5388551729418702E-3</c:v>
                </c:pt>
                <c:pt idx="53">
                  <c:v>1.5804012109382928E-3</c:v>
                </c:pt>
                <c:pt idx="54">
                  <c:v>1.6229650364852593E-3</c:v>
                </c:pt>
                <c:pt idx="55">
                  <c:v>1.6665685395745825E-3</c:v>
                </c:pt>
                <c:pt idx="56">
                  <c:v>1.7112339967334008E-3</c:v>
                </c:pt>
                <c:pt idx="57">
                  <c:v>1.7569840756300574E-3</c:v>
                </c:pt>
                <c:pt idx="58">
                  <c:v>1.8038418396767307E-3</c:v>
                </c:pt>
                <c:pt idx="59">
                  <c:v>1.8518307526269545E-3</c:v>
                </c:pt>
                <c:pt idx="60">
                  <c:v>1.9009746831660818E-3</c:v>
                </c:pt>
                <c:pt idx="61">
                  <c:v>1.9512979094927438E-3</c:v>
                </c:pt>
                <c:pt idx="62">
                  <c:v>2.0028251238892575E-3</c:v>
                </c:pt>
                <c:pt idx="63">
                  <c:v>2.0555814372789395E-3</c:v>
                </c:pt>
                <c:pt idx="64">
                  <c:v>2.1095923837681691E-3</c:v>
                </c:pt>
                <c:pt idx="65">
                  <c:v>2.1648839251710659E-3</c:v>
                </c:pt>
                <c:pt idx="66">
                  <c:v>2.2214824555145353E-3</c:v>
                </c:pt>
                <c:pt idx="67">
                  <c:v>2.2794148055214482E-3</c:v>
                </c:pt>
                <c:pt idx="68">
                  <c:v>2.3387082470695902E-3</c:v>
                </c:pt>
                <c:pt idx="69">
                  <c:v>2.3993904976240695E-3</c:v>
                </c:pt>
                <c:pt idx="70">
                  <c:v>2.4614897246407045E-3</c:v>
                </c:pt>
                <c:pt idx="71">
                  <c:v>2.5250345499379851E-3</c:v>
                </c:pt>
                <c:pt idx="72">
                  <c:v>2.590054054035043E-3</c:v>
                </c:pt>
                <c:pt idx="73">
                  <c:v>2.6565777804531043E-3</c:v>
                </c:pt>
                <c:pt idx="74">
                  <c:v>2.7246357399777613E-3</c:v>
                </c:pt>
                <c:pt idx="75">
                  <c:v>2.794258414879452E-3</c:v>
                </c:pt>
                <c:pt idx="76">
                  <c:v>2.8654767630893795E-3</c:v>
                </c:pt>
                <c:pt idx="77">
                  <c:v>2.9383222223281634E-3</c:v>
                </c:pt>
                <c:pt idx="78">
                  <c:v>3.0128267141843455E-3</c:v>
                </c:pt>
                <c:pt idx="79">
                  <c:v>3.0890226481399418E-3</c:v>
                </c:pt>
                <c:pt idx="80">
                  <c:v>3.1669429255400837E-3</c:v>
                </c:pt>
                <c:pt idx="81">
                  <c:v>3.2466209435038414E-3</c:v>
                </c:pt>
                <c:pt idx="82">
                  <c:v>3.3280905987731514E-3</c:v>
                </c:pt>
                <c:pt idx="83">
                  <c:v>3.4113862914968694E-3</c:v>
                </c:pt>
                <c:pt idx="84">
                  <c:v>3.4965429289467637E-3</c:v>
                </c:pt>
                <c:pt idx="85">
                  <c:v>3.583595929162367E-3</c:v>
                </c:pt>
                <c:pt idx="86">
                  <c:v>3.6725812245214512E-3</c:v>
                </c:pt>
                <c:pt idx="87">
                  <c:v>3.7635352652328805E-3</c:v>
                </c:pt>
                <c:pt idx="88">
                  <c:v>3.8564950227485844E-3</c:v>
                </c:pt>
                <c:pt idx="89">
                  <c:v>3.9514979930912464E-3</c:v>
                </c:pt>
                <c:pt idx="90">
                  <c:v>4.048582200094436E-3</c:v>
                </c:pt>
                <c:pt idx="91">
                  <c:v>4.1477861985516496E-3</c:v>
                </c:pt>
                <c:pt idx="92">
                  <c:v>4.249149077270864E-3</c:v>
                </c:pt>
                <c:pt idx="93">
                  <c:v>4.3527104620310775E-3</c:v>
                </c:pt>
                <c:pt idx="94">
                  <c:v>4.4585105184372538E-3</c:v>
                </c:pt>
                <c:pt idx="95">
                  <c:v>4.5665899546701565E-3</c:v>
                </c:pt>
                <c:pt idx="96">
                  <c:v>4.6769900241273319E-3</c:v>
                </c:pt>
                <c:pt idx="97">
                  <c:v>4.7897525279516932E-3</c:v>
                </c:pt>
                <c:pt idx="98">
                  <c:v>4.9049198174438702E-3</c:v>
                </c:pt>
                <c:pt idx="99">
                  <c:v>5.0225347963546926E-3</c:v>
                </c:pt>
                <c:pt idx="100">
                  <c:v>5.1426409230539514E-3</c:v>
                </c:pt>
                <c:pt idx="101">
                  <c:v>5.26528221257165E-3</c:v>
                </c:pt>
                <c:pt idx="102">
                  <c:v>5.3905032385078867E-3</c:v>
                </c:pt>
                <c:pt idx="103">
                  <c:v>5.5183491348074895E-3</c:v>
                </c:pt>
                <c:pt idx="104">
                  <c:v>5.6488655973954919E-3</c:v>
                </c:pt>
                <c:pt idx="105">
                  <c:v>5.7820988856694868E-3</c:v>
                </c:pt>
                <c:pt idx="106">
                  <c:v>5.9180958238449159E-3</c:v>
                </c:pt>
                <c:pt idx="107">
                  <c:v>6.0569038021492409E-3</c:v>
                </c:pt>
                <c:pt idx="108">
                  <c:v>6.1985707778610599E-3</c:v>
                </c:pt>
                <c:pt idx="109">
                  <c:v>6.3431452761899881E-3</c:v>
                </c:pt>
                <c:pt idx="110">
                  <c:v>6.4906763909933799E-3</c:v>
                </c:pt>
                <c:pt idx="111">
                  <c:v>6.6412137853256326E-3</c:v>
                </c:pt>
                <c:pt idx="112">
                  <c:v>6.7948076918161208E-3</c:v>
                </c:pt>
                <c:pt idx="113">
                  <c:v>6.9515089128714775E-3</c:v>
                </c:pt>
                <c:pt idx="114">
                  <c:v>7.1113688206981829E-3</c:v>
                </c:pt>
                <c:pt idx="115">
                  <c:v>7.2744393571412365E-3</c:v>
                </c:pt>
                <c:pt idx="116">
                  <c:v>7.4407730333347476E-3</c:v>
                </c:pt>
                <c:pt idx="117">
                  <c:v>7.6104229291602691E-3</c:v>
                </c:pt>
                <c:pt idx="118">
                  <c:v>7.7834426925086466E-3</c:v>
                </c:pt>
                <c:pt idx="119">
                  <c:v>7.9598865383411991E-3</c:v>
                </c:pt>
                <c:pt idx="120">
                  <c:v>8.1398092475460423E-3</c:v>
                </c:pt>
                <c:pt idx="121">
                  <c:v>8.3232661655852653E-3</c:v>
                </c:pt>
                <c:pt idx="122">
                  <c:v>8.5103132009288485E-3</c:v>
                </c:pt>
                <c:pt idx="123">
                  <c:v>8.7010068232710094E-3</c:v>
                </c:pt>
                <c:pt idx="124">
                  <c:v>8.8954040615248572E-3</c:v>
                </c:pt>
                <c:pt idx="125">
                  <c:v>9.0935625015910772E-3</c:v>
                </c:pt>
                <c:pt idx="126">
                  <c:v>9.2955402838964737E-3</c:v>
                </c:pt>
                <c:pt idx="127">
                  <c:v>9.5013961006982436E-3</c:v>
                </c:pt>
                <c:pt idx="128">
                  <c:v>9.7111891931496823E-3</c:v>
                </c:pt>
                <c:pt idx="129">
                  <c:v>9.924979348123298E-3</c:v>
                </c:pt>
                <c:pt idx="130">
                  <c:v>1.0142826894787103E-2</c:v>
                </c:pt>
                <c:pt idx="131">
                  <c:v>1.0364792700929997E-2</c:v>
                </c:pt>
                <c:pt idx="132">
                  <c:v>1.0590938169032149E-2</c:v>
                </c:pt>
                <c:pt idx="133">
                  <c:v>1.0821325232076294E-2</c:v>
                </c:pt>
                <c:pt idx="134">
                  <c:v>1.1056016349095889E-2</c:v>
                </c:pt>
                <c:pt idx="135">
                  <c:v>1.1295074500456165E-2</c:v>
                </c:pt>
                <c:pt idx="136">
                  <c:v>1.1538563182864022E-2</c:v>
                </c:pt>
                <c:pt idx="137">
                  <c:v>1.1786546404102906E-2</c:v>
                </c:pt>
                <c:pt idx="138">
                  <c:v>1.203908867748868E-2</c:v>
                </c:pt>
                <c:pt idx="139">
                  <c:v>1.2296255016042699E-2</c:v>
                </c:pt>
                <c:pt idx="140">
                  <c:v>1.2558110926378237E-2</c:v>
                </c:pt>
                <c:pt idx="141">
                  <c:v>1.2824722402296479E-2</c:v>
                </c:pt>
                <c:pt idx="142">
                  <c:v>1.3096155918088418E-2</c:v>
                </c:pt>
                <c:pt idx="143">
                  <c:v>1.3372478421538938E-2</c:v>
                </c:pt>
                <c:pt idx="144">
                  <c:v>1.365375732662949E-2</c:v>
                </c:pt>
                <c:pt idx="145">
                  <c:v>1.3940060505935853E-2</c:v>
                </c:pt>
                <c:pt idx="146">
                  <c:v>1.4231456282717405E-2</c:v>
                </c:pt>
                <c:pt idx="147">
                  <c:v>1.4528013422694597E-2</c:v>
                </c:pt>
                <c:pt idx="148">
                  <c:v>1.4829801125511192E-2</c:v>
                </c:pt>
                <c:pt idx="149">
                  <c:v>1.5136889015878048E-2</c:v>
                </c:pt>
                <c:pt idx="150">
                  <c:v>1.5449347134395212E-2</c:v>
                </c:pt>
                <c:pt idx="151">
                  <c:v>1.5767245928049234E-2</c:v>
                </c:pt>
                <c:pt idx="152">
                  <c:v>1.6090656240382605E-2</c:v>
                </c:pt>
                <c:pt idx="153">
                  <c:v>1.6419649301332457E-2</c:v>
                </c:pt>
                <c:pt idx="154">
                  <c:v>1.6754296716735586E-2</c:v>
                </c:pt>
                <c:pt idx="155">
                  <c:v>1.7094670457496988E-2</c:v>
                </c:pt>
                <c:pt idx="156">
                  <c:v>1.744084284841942E-2</c:v>
                </c:pt>
                <c:pt idx="157">
                  <c:v>1.7792886556691142E-2</c:v>
                </c:pt>
                <c:pt idx="158">
                  <c:v>1.8150874580029602E-2</c:v>
                </c:pt>
                <c:pt idx="159">
                  <c:v>1.8514880234478517E-2</c:v>
                </c:pt>
                <c:pt idx="160">
                  <c:v>1.8884977141856225E-2</c:v>
                </c:pt>
                <c:pt idx="161">
                  <c:v>1.9261239216853021E-2</c:v>
                </c:pt>
                <c:pt idx="162">
                  <c:v>1.9643740653775613E-2</c:v>
                </c:pt>
                <c:pt idx="163">
                  <c:v>2.0032555912936591E-2</c:v>
                </c:pt>
                <c:pt idx="164">
                  <c:v>2.0427759706687289E-2</c:v>
                </c:pt>
                <c:pt idx="165">
                  <c:v>2.0829426985092249E-2</c:v>
                </c:pt>
                <c:pt idx="166">
                  <c:v>2.123763292124382E-2</c:v>
                </c:pt>
                <c:pt idx="167">
                  <c:v>2.1652452896215476E-2</c:v>
                </c:pt>
                <c:pt idx="168">
                  <c:v>2.2073962483652506E-2</c:v>
                </c:pt>
                <c:pt idx="169">
                  <c:v>2.2502237433999119E-2</c:v>
                </c:pt>
                <c:pt idx="170">
                  <c:v>2.2937353658360762E-2</c:v>
                </c:pt>
                <c:pt idx="171">
                  <c:v>2.3379387212000981E-2</c:v>
                </c:pt>
                <c:pt idx="172">
                  <c:v>2.3828414277472038E-2</c:v>
                </c:pt>
                <c:pt idx="173">
                  <c:v>2.4284511147378764E-2</c:v>
                </c:pt>
                <c:pt idx="174">
                  <c:v>2.4747754206775319E-2</c:v>
                </c:pt>
                <c:pt idx="175">
                  <c:v>2.5218219915194469E-2</c:v>
                </c:pt>
                <c:pt idx="176">
                  <c:v>2.5695984788309527E-2</c:v>
                </c:pt>
                <c:pt idx="177">
                  <c:v>2.6181125379228981E-2</c:v>
                </c:pt>
                <c:pt idx="178">
                  <c:v>2.6673718259423884E-2</c:v>
                </c:pt>
                <c:pt idx="179">
                  <c:v>2.7173839999288799E-2</c:v>
                </c:pt>
                <c:pt idx="180">
                  <c:v>2.7681567148336653E-2</c:v>
                </c:pt>
                <c:pt idx="181">
                  <c:v>2.8196976215028265E-2</c:v>
                </c:pt>
                <c:pt idx="182">
                  <c:v>2.8720143646237817E-2</c:v>
                </c:pt>
                <c:pt idx="183">
                  <c:v>2.9251145806355031E-2</c:v>
                </c:pt>
                <c:pt idx="184">
                  <c:v>2.9790058956025642E-2</c:v>
                </c:pt>
                <c:pt idx="185">
                  <c:v>3.0336959230531726E-2</c:v>
                </c:pt>
                <c:pt idx="186">
                  <c:v>3.0891922617813254E-2</c:v>
                </c:pt>
                <c:pt idx="187">
                  <c:v>3.1455024936133329E-2</c:v>
                </c:pt>
                <c:pt idx="188">
                  <c:v>3.2026341811388699E-2</c:v>
                </c:pt>
                <c:pt idx="189">
                  <c:v>3.2605948654068136E-2</c:v>
                </c:pt>
                <c:pt idx="190">
                  <c:v>3.319392063586122E-2</c:v>
                </c:pt>
                <c:pt idx="191">
                  <c:v>3.3790332665919923E-2</c:v>
                </c:pt>
                <c:pt idx="192">
                  <c:v>3.4395259366776371E-2</c:v>
                </c:pt>
                <c:pt idx="193">
                  <c:v>3.5008775049919491E-2</c:v>
                </c:pt>
                <c:pt idx="194">
                  <c:v>3.5630953691034174E-2</c:v>
                </c:pt>
                <c:pt idx="195">
                  <c:v>3.6261868904906326E-2</c:v>
                </c:pt>
                <c:pt idx="196">
                  <c:v>3.6901593919997595E-2</c:v>
                </c:pt>
                <c:pt idx="197">
                  <c:v>3.7550201552693917E-2</c:v>
                </c:pt>
                <c:pt idx="198">
                  <c:v>3.8207764181231813E-2</c:v>
                </c:pt>
                <c:pt idx="199">
                  <c:v>3.8874353719307066E-2</c:v>
                </c:pt>
                <c:pt idx="200">
                  <c:v>3.9550041589370324E-2</c:v>
                </c:pt>
                <c:pt idx="201">
                  <c:v>4.0234898695614536E-2</c:v>
                </c:pt>
                <c:pt idx="202">
                  <c:v>4.0928995396659167E-2</c:v>
                </c:pt>
                <c:pt idx="203">
                  <c:v>4.1632401477936828E-2</c:v>
                </c:pt>
                <c:pt idx="204">
                  <c:v>4.2345186123787404E-2</c:v>
                </c:pt>
                <c:pt idx="205">
                  <c:v>4.3067417889265866E-2</c:v>
                </c:pt>
                <c:pt idx="206">
                  <c:v>4.3799164671669485E-2</c:v>
                </c:pt>
                <c:pt idx="207">
                  <c:v>4.454049368179084E-2</c:v>
                </c:pt>
                <c:pt idx="208">
                  <c:v>4.529147141490291E-2</c:v>
                </c:pt>
                <c:pt idx="209">
                  <c:v>4.6052163621483178E-2</c:v>
                </c:pt>
                <c:pt idx="210">
                  <c:v>4.682263527768328E-2</c:v>
                </c:pt>
                <c:pt idx="211">
                  <c:v>4.7602950555551894E-2</c:v>
                </c:pt>
                <c:pt idx="212">
                  <c:v>4.8393172793017608E-2</c:v>
                </c:pt>
                <c:pt idx="213">
                  <c:v>4.9193364463639949E-2</c:v>
                </c:pt>
                <c:pt idx="214">
                  <c:v>5.0003587146136078E-2</c:v>
                </c:pt>
                <c:pt idx="215">
                  <c:v>5.0823901493691329E-2</c:v>
                </c:pt>
                <c:pt idx="216">
                  <c:v>5.1654367203061852E-2</c:v>
                </c:pt>
                <c:pt idx="217">
                  <c:v>5.2495042983478089E-2</c:v>
                </c:pt>
                <c:pt idx="218">
                  <c:v>5.3345986525357457E-2</c:v>
                </c:pt>
                <c:pt idx="219">
                  <c:v>5.4207254468835731E-2</c:v>
                </c:pt>
                <c:pt idx="220">
                  <c:v>5.5078902372125933E-2</c:v>
                </c:pt>
                <c:pt idx="221">
                  <c:v>5.5960984679714436E-2</c:v>
                </c:pt>
                <c:pt idx="222">
                  <c:v>5.6853554690403825E-2</c:v>
                </c:pt>
                <c:pt idx="223">
                  <c:v>5.7756664525212477E-2</c:v>
                </c:pt>
                <c:pt idx="224">
                  <c:v>5.8670365095141092E-2</c:v>
                </c:pt>
                <c:pt idx="225">
                  <c:v>5.9594706068816256E-2</c:v>
                </c:pt>
                <c:pt idx="226">
                  <c:v>6.0529735840021845E-2</c:v>
                </c:pt>
                <c:pt idx="227">
                  <c:v>6.147550149512912E-2</c:v>
                </c:pt>
                <c:pt idx="228">
                  <c:v>6.2432048780436074E-2</c:v>
                </c:pt>
                <c:pt idx="229">
                  <c:v>6.3399422069427919E-2</c:v>
                </c:pt>
                <c:pt idx="230">
                  <c:v>6.4377664329969539E-2</c:v>
                </c:pt>
                <c:pt idx="231">
                  <c:v>6.5366817091441917E-2</c:v>
                </c:pt>
                <c:pt idx="232">
                  <c:v>6.6366920411834229E-2</c:v>
                </c:pt>
                <c:pt idx="233">
                  <c:v>6.7378012844803645E-2</c:v>
                </c:pt>
                <c:pt idx="234">
                  <c:v>6.8400131406715275E-2</c:v>
                </c:pt>
                <c:pt idx="235">
                  <c:v>6.9433311543674395E-2</c:v>
                </c:pt>
                <c:pt idx="236">
                  <c:v>7.0477587098563915E-2</c:v>
                </c:pt>
                <c:pt idx="237">
                  <c:v>7.1532990278099562E-2</c:v>
                </c:pt>
                <c:pt idx="238">
                  <c:v>7.2599551619916255E-2</c:v>
                </c:pt>
                <c:pt idx="239">
                  <c:v>7.367729995969842E-2</c:v>
                </c:pt>
                <c:pt idx="240">
                  <c:v>7.4766262398367839E-2</c:v>
                </c:pt>
                <c:pt idx="241">
                  <c:v>7.5866464269342682E-2</c:v>
                </c:pt>
                <c:pt idx="242">
                  <c:v>7.6977929105881152E-2</c:v>
                </c:pt>
                <c:pt idx="243">
                  <c:v>7.8100678608523863E-2</c:v>
                </c:pt>
                <c:pt idx="244">
                  <c:v>7.9234732612649073E-2</c:v>
                </c:pt>
                <c:pt idx="245">
                  <c:v>8.0380109056154406E-2</c:v>
                </c:pt>
                <c:pt idx="246">
                  <c:v>8.1536823947280387E-2</c:v>
                </c:pt>
                <c:pt idx="247">
                  <c:v>8.2704891332589292E-2</c:v>
                </c:pt>
                <c:pt idx="248">
                  <c:v>8.3884323265114635E-2</c:v>
                </c:pt>
                <c:pt idx="249">
                  <c:v>8.5075129772695587E-2</c:v>
                </c:pt>
                <c:pt idx="250">
                  <c:v>8.6277318826511781E-2</c:v>
                </c:pt>
                <c:pt idx="251">
                  <c:v>8.7490896309832838E-2</c:v>
                </c:pt>
                <c:pt idx="252">
                  <c:v>8.8715865986998349E-2</c:v>
                </c:pt>
                <c:pt idx="253">
                  <c:v>8.9952229472643266E-2</c:v>
                </c:pt>
                <c:pt idx="254">
                  <c:v>9.1199986201184011E-2</c:v>
                </c:pt>
                <c:pt idx="255">
                  <c:v>9.2459133396580934E-2</c:v>
                </c:pt>
                <c:pt idx="256">
                  <c:v>9.3729666042392648E-2</c:v>
                </c:pt>
                <c:pt idx="257">
                  <c:v>9.5011576852137597E-2</c:v>
                </c:pt>
                <c:pt idx="258">
                  <c:v>9.6304856239978934E-2</c:v>
                </c:pt>
                <c:pt idx="259">
                  <c:v>9.7609492291748243E-2</c:v>
                </c:pt>
                <c:pt idx="260">
                  <c:v>9.8925470736324017E-2</c:v>
                </c:pt>
                <c:pt idx="261">
                  <c:v>0.10025277491738069</c:v>
                </c:pt>
                <c:pt idx="262">
                  <c:v>0.10159138576552441</c:v>
                </c:pt>
                <c:pt idx="263">
                  <c:v>0.10294128177083128</c:v>
                </c:pt>
                <c:pt idx="264">
                  <c:v>0.1043024389558041</c:v>
                </c:pt>
                <c:pt idx="265">
                  <c:v>0.10567483084876392</c:v>
                </c:pt>
                <c:pt idx="266">
                  <c:v>0.10705842845769208</c:v>
                </c:pt>
                <c:pt idx="267">
                  <c:v>0.1084532002445391</c:v>
                </c:pt>
                <c:pt idx="268">
                  <c:v>0.10985911210001648</c:v>
                </c:pt>
                <c:pt idx="269">
                  <c:v>0.1112761273188871</c:v>
                </c:pt>
                <c:pt idx="270">
                  <c:v>0.11270420657577089</c:v>
                </c:pt>
                <c:pt idx="271">
                  <c:v>0.11414330790148119</c:v>
                </c:pt>
                <c:pt idx="272">
                  <c:v>0.1155933866599083</c:v>
                </c:pt>
                <c:pt idx="273">
                  <c:v>0.11705439552546561</c:v>
                </c:pt>
                <c:pt idx="274">
                  <c:v>0.11852628446111485</c:v>
                </c:pt>
                <c:pt idx="275">
                  <c:v>0.12000900069698595</c:v>
                </c:pt>
                <c:pt idx="276">
                  <c:v>0.12150248870960702</c:v>
                </c:pt>
                <c:pt idx="277">
                  <c:v>0.12300669020176086</c:v>
                </c:pt>
                <c:pt idx="278">
                  <c:v>0.12452154408298298</c:v>
                </c:pt>
                <c:pt idx="279">
                  <c:v>0.12604698645071691</c:v>
                </c:pt>
                <c:pt idx="280">
                  <c:v>0.12758295057214225</c:v>
                </c:pt>
                <c:pt idx="281">
                  <c:v>0.1291293668666906</c:v>
                </c:pt>
                <c:pt idx="282">
                  <c:v>0.13068616288926488</c:v>
                </c:pt>
                <c:pt idx="283">
                  <c:v>0.13225326331417653</c:v>
                </c:pt>
                <c:pt idx="284">
                  <c:v>0.13383058991981608</c:v>
                </c:pt>
                <c:pt idx="285">
                  <c:v>0.13541806157407166</c:v>
                </c:pt>
                <c:pt idx="286">
                  <c:v>0.13701559422050974</c:v>
                </c:pt>
                <c:pt idx="287">
                  <c:v>0.13862310086533303</c:v>
                </c:pt>
                <c:pt idx="288">
                  <c:v>0.1402404915651293</c:v>
                </c:pt>
                <c:pt idx="289">
                  <c:v>0.14186767341542592</c:v>
                </c:pt>
                <c:pt idx="290">
                  <c:v>0.14350455054006281</c:v>
                </c:pt>
                <c:pt idx="291">
                  <c:v>0.14515102408139871</c:v>
                </c:pt>
                <c:pt idx="292">
                  <c:v>0.14680699219136353</c:v>
                </c:pt>
                <c:pt idx="293">
                  <c:v>0.14847235002336992</c:v>
                </c:pt>
                <c:pt idx="294">
                  <c:v>0.15014698972509749</c:v>
                </c:pt>
                <c:pt idx="295">
                  <c:v>0.1518308004321621</c:v>
                </c:pt>
                <c:pt idx="296">
                  <c:v>0.15352366826268274</c:v>
                </c:pt>
                <c:pt idx="297">
                  <c:v>0.1552254763127584</c:v>
                </c:pt>
                <c:pt idx="298">
                  <c:v>0.15693610465286656</c:v>
                </c:pt>
                <c:pt idx="299">
                  <c:v>0.15865543032519525</c:v>
                </c:pt>
                <c:pt idx="300">
                  <c:v>0.16038332734192004</c:v>
                </c:pt>
                <c:pt idx="301">
                  <c:v>0.16211966668443695</c:v>
                </c:pt>
                <c:pt idx="302">
                  <c:v>0.16386431630356177</c:v>
                </c:pt>
                <c:pt idx="303">
                  <c:v>0.16561714112070705</c:v>
                </c:pt>
                <c:pt idx="304">
                  <c:v>0.16737800303004585</c:v>
                </c:pt>
                <c:pt idx="305">
                  <c:v>0.16914676090167285</c:v>
                </c:pt>
                <c:pt idx="306">
                  <c:v>0.17092327058577203</c:v>
                </c:pt>
                <c:pt idx="307">
                  <c:v>0.17270738491779958</c:v>
                </c:pt>
                <c:pt idx="308">
                  <c:v>0.1744989537246916</c:v>
                </c:pt>
                <c:pt idx="309">
                  <c:v>0.1762978238321041</c:v>
                </c:pt>
                <c:pt idx="310">
                  <c:v>0.17810383907269406</c:v>
                </c:pt>
                <c:pt idx="311">
                  <c:v>0.17991684029544835</c:v>
                </c:pt>
                <c:pt idx="312">
                  <c:v>0.1817366653760685</c:v>
                </c:pt>
                <c:pt idx="313">
                  <c:v>0.18356314922841754</c:v>
                </c:pt>
                <c:pt idx="314">
                  <c:v>0.18539612381703555</c:v>
                </c:pt>
                <c:pt idx="315">
                  <c:v>0.18723541817073</c:v>
                </c:pt>
                <c:pt idx="316">
                  <c:v>0.18908085839724623</c:v>
                </c:pt>
                <c:pt idx="317">
                  <c:v>0.19093226769902305</c:v>
                </c:pt>
                <c:pt idx="318">
                  <c:v>0.19278946639003888</c:v>
                </c:pt>
                <c:pt idx="319">
                  <c:v>0.19465227191375162</c:v>
                </c:pt>
                <c:pt idx="320">
                  <c:v>0.19652049886213704</c:v>
                </c:pt>
                <c:pt idx="321">
                  <c:v>0.19839395899582812</c:v>
                </c:pt>
                <c:pt idx="322">
                  <c:v>0.20027246126535919</c:v>
                </c:pt>
                <c:pt idx="323">
                  <c:v>0.20215581183351619</c:v>
                </c:pt>
                <c:pt idx="324">
                  <c:v>0.20404381409879591</c:v>
                </c:pt>
                <c:pt idx="325">
                  <c:v>0.20593626871997528</c:v>
                </c:pt>
                <c:pt idx="326">
                  <c:v>0.20783297364179132</c:v>
                </c:pt>
                <c:pt idx="327">
                  <c:v>0.20973372412173297</c:v>
                </c:pt>
                <c:pt idx="328">
                  <c:v>0.21163831275794423</c:v>
                </c:pt>
                <c:pt idx="329">
                  <c:v>0.21354652951823799</c:v>
                </c:pt>
                <c:pt idx="330">
                  <c:v>0.21545816177022023</c:v>
                </c:pt>
                <c:pt idx="331">
                  <c:v>0.21737299431252205</c:v>
                </c:pt>
                <c:pt idx="332">
                  <c:v>0.21929080940713841</c:v>
                </c:pt>
                <c:pt idx="333">
                  <c:v>0.22121138681287031</c:v>
                </c:pt>
                <c:pt idx="334">
                  <c:v>0.22313450381986788</c:v>
                </c:pt>
                <c:pt idx="335">
                  <c:v>0.22505993528527021</c:v>
                </c:pt>
                <c:pt idx="336">
                  <c:v>0.22698745366993825</c:v>
                </c:pt>
                <c:pt idx="337">
                  <c:v>0.228916829076276</c:v>
                </c:pt>
                <c:pt idx="338">
                  <c:v>0.23084782928713446</c:v>
                </c:pt>
                <c:pt idx="339">
                  <c:v>0.23278021980579305</c:v>
                </c:pt>
                <c:pt idx="340">
                  <c:v>0.23471376389701232</c:v>
                </c:pt>
                <c:pt idx="341">
                  <c:v>0.23664822262915042</c:v>
                </c:pt>
                <c:pt idx="342">
                  <c:v>0.2385833549173367</c:v>
                </c:pt>
                <c:pt idx="343">
                  <c:v>0.24051891756769458</c:v>
                </c:pt>
                <c:pt idx="344">
                  <c:v>0.24245466532260468</c:v>
                </c:pt>
                <c:pt idx="345">
                  <c:v>0.24439035090700012</c:v>
                </c:pt>
                <c:pt idx="346">
                  <c:v>0.24632572507568345</c:v>
                </c:pt>
                <c:pt idx="347">
                  <c:v>0.24826053666165626</c:v>
                </c:pt>
                <c:pt idx="348">
                  <c:v>0.25019453262545033</c:v>
                </c:pt>
                <c:pt idx="349">
                  <c:v>0.2521274581054494</c:v>
                </c:pt>
                <c:pt idx="350">
                  <c:v>0.25405905646918958</c:v>
                </c:pt>
                <c:pt idx="351">
                  <c:v>0.25598906936562704</c:v>
                </c:pt>
                <c:pt idx="352">
                  <c:v>0.25791723677835965</c:v>
                </c:pt>
                <c:pt idx="353">
                  <c:v>0.25984329707978915</c:v>
                </c:pt>
                <c:pt idx="354">
                  <c:v>0.26176698708621143</c:v>
                </c:pt>
                <c:pt idx="355">
                  <c:v>0.26368804211381874</c:v>
                </c:pt>
                <c:pt idx="356">
                  <c:v>0.26560619603560071</c:v>
                </c:pt>
                <c:pt idx="357">
                  <c:v>0.26752118133912817</c:v>
                </c:pt>
                <c:pt idx="358">
                  <c:v>0.269432729185204</c:v>
                </c:pt>
                <c:pt idx="359">
                  <c:v>0.27134056946736484</c:v>
                </c:pt>
                <c:pt idx="360">
                  <c:v>0.27324443087221684</c:v>
                </c:pt>
                <c:pt idx="361">
                  <c:v>0.27514404094058798</c:v>
                </c:pt>
                <c:pt idx="362">
                  <c:v>0.27703912612947967</c:v>
                </c:pt>
                <c:pt idx="363">
                  <c:v>0.27892941187479869</c:v>
                </c:pt>
                <c:pt idx="364">
                  <c:v>0.28081462265485158</c:v>
                </c:pt>
                <c:pt idx="365">
                  <c:v>0.28269448205458081</c:v>
                </c:pt>
                <c:pt idx="366">
                  <c:v>0.28456871283052521</c:v>
                </c:pt>
                <c:pt idx="367">
                  <c:v>0.28643703697648237</c:v>
                </c:pt>
                <c:pt idx="368">
                  <c:v>0.2882991757898537</c:v>
                </c:pt>
                <c:pt idx="369">
                  <c:v>0.29015484993865093</c:v>
                </c:pt>
                <c:pt idx="370">
                  <c:v>0.29200377952914203</c:v>
                </c:pt>
                <c:pt idx="371">
                  <c:v>0.29384568417411533</c:v>
                </c:pt>
                <c:pt idx="372">
                  <c:v>0.29568028306173927</c:v>
                </c:pt>
                <c:pt idx="373">
                  <c:v>0.29750729502499462</c:v>
                </c:pt>
                <c:pt idx="374">
                  <c:v>0.29932643861165698</c:v>
                </c:pt>
                <c:pt idx="375">
                  <c:v>0.30113743215480498</c:v>
                </c:pt>
                <c:pt idx="376">
                  <c:v>0.30293999384383113</c:v>
                </c:pt>
                <c:pt idx="377">
                  <c:v>0.30473384179593066</c:v>
                </c:pt>
                <c:pt idx="378">
                  <c:v>0.30651869412804322</c:v>
                </c:pt>
                <c:pt idx="379">
                  <c:v>0.30829426902922397</c:v>
                </c:pt>
                <c:pt idx="380">
                  <c:v>0.31006028483341669</c:v>
                </c:pt>
                <c:pt idx="381">
                  <c:v>0.31181646009260505</c:v>
                </c:pt>
                <c:pt idx="382">
                  <c:v>0.31356251365031484</c:v>
                </c:pt>
                <c:pt idx="383">
                  <c:v>0.31529816471544136</c:v>
                </c:pt>
                <c:pt idx="384">
                  <c:v>0.31702313293637568</c:v>
                </c:pt>
                <c:pt idx="385">
                  <c:v>0.31873713847540208</c:v>
                </c:pt>
                <c:pt idx="386">
                  <c:v>0.32043990208334039</c:v>
                </c:pt>
                <c:pt idx="387">
                  <c:v>0.32213114517440528</c:v>
                </c:pt>
                <c:pt idx="388">
                  <c:v>0.32381058990125489</c:v>
                </c:pt>
                <c:pt idx="389">
                  <c:v>0.32547795923020145</c:v>
                </c:pt>
                <c:pt idx="390">
                  <c:v>0.32713297701655503</c:v>
                </c:pt>
                <c:pt idx="391">
                  <c:v>0.32877536808007229</c:v>
                </c:pt>
                <c:pt idx="392">
                  <c:v>0.33040485828048272</c:v>
                </c:pt>
                <c:pt idx="393">
                  <c:v>0.33202117459306185</c:v>
                </c:pt>
                <c:pt idx="394">
                  <c:v>0.33362404518422428</c:v>
                </c:pt>
                <c:pt idx="395">
                  <c:v>0.33521319948710665</c:v>
                </c:pt>
                <c:pt idx="396">
                  <c:v>0.33678836827711145</c:v>
                </c:pt>
                <c:pt idx="397">
                  <c:v>0.33834928374738305</c:v>
                </c:pt>
                <c:pt idx="398">
                  <c:v>0.33989567958418526</c:v>
                </c:pt>
                <c:pt idx="399">
                  <c:v>0.34142729104215258</c:v>
                </c:pt>
                <c:pt idx="400">
                  <c:v>0.3429438550193844</c:v>
                </c:pt>
                <c:pt idx="401">
                  <c:v>0.34444511013235302</c:v>
                </c:pt>
                <c:pt idx="402">
                  <c:v>0.34593079679059541</c:v>
                </c:pt>
                <c:pt idx="403">
                  <c:v>0.34740065727115998</c:v>
                </c:pt>
                <c:pt idx="404">
                  <c:v>0.34885443579277736</c:v>
                </c:pt>
                <c:pt idx="405">
                  <c:v>0.35029187858972632</c:v>
                </c:pt>
                <c:pt idx="406">
                  <c:v>0.35171273398536473</c:v>
                </c:pt>
                <c:pt idx="407">
                  <c:v>0.35311675246529656</c:v>
                </c:pt>
                <c:pt idx="408">
                  <c:v>0.35450368675014371</c:v>
                </c:pt>
                <c:pt idx="409">
                  <c:v>0.35587329186789496</c:v>
                </c:pt>
                <c:pt idx="410">
                  <c:v>0.35722532522580125</c:v>
                </c:pt>
                <c:pt idx="411">
                  <c:v>0.35855954668178835</c:v>
                </c:pt>
                <c:pt idx="412">
                  <c:v>0.35987571861535711</c:v>
                </c:pt>
                <c:pt idx="413">
                  <c:v>0.36117360599794296</c:v>
                </c:pt>
                <c:pt idx="414">
                  <c:v>0.36245297646270463</c:v>
                </c:pt>
                <c:pt idx="415">
                  <c:v>0.36371360037371381</c:v>
                </c:pt>
                <c:pt idx="416">
                  <c:v>0.36495525089451636</c:v>
                </c:pt>
                <c:pt idx="417">
                  <c:v>0.36617770405603706</c:v>
                </c:pt>
                <c:pt idx="418">
                  <c:v>0.3673807388237994</c:v>
                </c:pt>
                <c:pt idx="419">
                  <c:v>0.36856413716443182</c:v>
                </c:pt>
                <c:pt idx="420">
                  <c:v>0.3697276841114327</c:v>
                </c:pt>
                <c:pt idx="421">
                  <c:v>0.37087116783016671</c:v>
                </c:pt>
                <c:pt idx="422">
                  <c:v>0.371994379682064</c:v>
                </c:pt>
                <c:pt idx="423">
                  <c:v>0.37309711428799647</c:v>
                </c:pt>
                <c:pt idx="424">
                  <c:v>0.37417916959080322</c:v>
                </c:pt>
                <c:pt idx="425">
                  <c:v>0.37524034691693825</c:v>
                </c:pt>
                <c:pt idx="426">
                  <c:v>0.37628045103721564</c:v>
                </c:pt>
                <c:pt idx="427">
                  <c:v>0.37729929022662434</c:v>
                </c:pt>
                <c:pt idx="428">
                  <c:v>0.37829667632318831</c:v>
                </c:pt>
                <c:pt idx="429">
                  <c:v>0.37927242478584611</c:v>
                </c:pt>
                <c:pt idx="430">
                  <c:v>0.38022635475132521</c:v>
                </c:pt>
                <c:pt idx="431">
                  <c:v>0.38115828908998645</c:v>
                </c:pt>
                <c:pt idx="432">
                  <c:v>0.38206805446061454</c:v>
                </c:pt>
                <c:pt idx="433">
                  <c:v>0.38295548136413077</c:v>
                </c:pt>
                <c:pt idx="434">
                  <c:v>0.38382040419620483</c:v>
                </c:pt>
                <c:pt idx="435">
                  <c:v>0.38466266129874305</c:v>
                </c:pt>
                <c:pt idx="436">
                  <c:v>0.38548209501022995</c:v>
                </c:pt>
                <c:pt idx="437">
                  <c:v>0.38627855171490177</c:v>
                </c:pt>
                <c:pt idx="438">
                  <c:v>0.3870518818907307</c:v>
                </c:pt>
                <c:pt idx="439">
                  <c:v>0.38780194015619796</c:v>
                </c:pt>
                <c:pt idx="440">
                  <c:v>0.38852858531583612</c:v>
                </c:pt>
                <c:pt idx="441">
                  <c:v>0.38923168040452044</c:v>
                </c:pt>
                <c:pt idx="442">
                  <c:v>0.38991109273048946</c:v>
                </c:pt>
                <c:pt idx="443">
                  <c:v>0.39056669391707599</c:v>
                </c:pt>
                <c:pt idx="444">
                  <c:v>0.39119835994313107</c:v>
                </c:pt>
                <c:pt idx="445">
                  <c:v>0.39180597118212129</c:v>
                </c:pt>
                <c:pt idx="446">
                  <c:v>0.39238941243988412</c:v>
                </c:pt>
                <c:pt idx="447">
                  <c:v>0.39294857299102326</c:v>
                </c:pt>
                <c:pt idx="448">
                  <c:v>0.39348334661392814</c:v>
                </c:pt>
                <c:pt idx="449">
                  <c:v>0.39399363162440298</c:v>
                </c:pt>
                <c:pt idx="450">
                  <c:v>0.39447933090788906</c:v>
                </c:pt>
                <c:pt idx="451">
                  <c:v>0.39494035195026683</c:v>
                </c:pt>
                <c:pt idx="452">
                  <c:v>0.39537660686722459</c:v>
                </c:pt>
                <c:pt idx="453">
                  <c:v>0.39578801243217893</c:v>
                </c:pt>
                <c:pt idx="454">
                  <c:v>0.39617449010273681</c:v>
                </c:pt>
                <c:pt idx="455">
                  <c:v>0.39653596604568592</c:v>
                </c:pt>
                <c:pt idx="456">
                  <c:v>0.39687237116050211</c:v>
                </c:pt>
                <c:pt idx="457">
                  <c:v>0.39718364110136506</c:v>
                </c:pt>
                <c:pt idx="458">
                  <c:v>0.39746971629767031</c:v>
                </c:pt>
                <c:pt idx="459">
                  <c:v>0.39773054197302948</c:v>
                </c:pt>
                <c:pt idx="460">
                  <c:v>0.39796606816275104</c:v>
                </c:pt>
                <c:pt idx="461">
                  <c:v>0.39817624972979176</c:v>
                </c:pt>
                <c:pt idx="462">
                  <c:v>0.39836104637917352</c:v>
                </c:pt>
                <c:pt idx="463">
                  <c:v>0.39852042267085847</c:v>
                </c:pt>
                <c:pt idx="464">
                  <c:v>0.39865434803107641</c:v>
                </c:pt>
                <c:pt idx="465">
                  <c:v>0.39876279676209969</c:v>
                </c:pt>
                <c:pt idx="466">
                  <c:v>0.39884574805046108</c:v>
                </c:pt>
                <c:pt idx="467">
                  <c:v>0.39890318597361157</c:v>
                </c:pt>
                <c:pt idx="468">
                  <c:v>0.39893509950501366</c:v>
                </c:pt>
                <c:pt idx="469">
                  <c:v>0.39894148251766975</c:v>
                </c:pt>
                <c:pt idx="470">
                  <c:v>0.39892233378608211</c:v>
                </c:pt>
                <c:pt idx="471">
                  <c:v>0.39887765698664551</c:v>
                </c:pt>
                <c:pt idx="472">
                  <c:v>0.39880746069647055</c:v>
                </c:pt>
                <c:pt idx="473">
                  <c:v>0.39871175839063949</c:v>
                </c:pt>
                <c:pt idx="474">
                  <c:v>0.39859056843789487</c:v>
                </c:pt>
                <c:pt idx="475">
                  <c:v>0.39844391409476393</c:v>
                </c:pt>
                <c:pt idx="476">
                  <c:v>0.39827182349812018</c:v>
                </c:pt>
                <c:pt idx="477">
                  <c:v>0.39807432965618678</c:v>
                </c:pt>
                <c:pt idx="478">
                  <c:v>0.39785147043798447</c:v>
                </c:pt>
                <c:pt idx="479">
                  <c:v>0.39760328856122967</c:v>
                </c:pt>
                <c:pt idx="480">
                  <c:v>0.39732983157868818</c:v>
                </c:pt>
                <c:pt idx="481">
                  <c:v>0.39703115186298943</c:v>
                </c:pt>
                <c:pt idx="482">
                  <c:v>0.39670730658991016</c:v>
                </c:pt>
                <c:pt idx="483">
                  <c:v>0.39635835772013256</c:v>
                </c:pt>
                <c:pt idx="484">
                  <c:v>0.39598437197948705</c:v>
                </c:pt>
                <c:pt idx="485">
                  <c:v>0.39558542083768716</c:v>
                </c:pt>
                <c:pt idx="486">
                  <c:v>0.3951615804855671</c:v>
                </c:pt>
                <c:pt idx="487">
                  <c:v>0.39471293181083106</c:v>
                </c:pt>
                <c:pt idx="488">
                  <c:v>0.39423956037232566</c:v>
                </c:pt>
                <c:pt idx="489">
                  <c:v>0.39374155637284763</c:v>
                </c:pt>
                <c:pt idx="490">
                  <c:v>0.39321901463049691</c:v>
                </c:pt>
                <c:pt idx="491">
                  <c:v>0.39267203454859023</c:v>
                </c:pt>
                <c:pt idx="492">
                  <c:v>0.39210072008414676</c:v>
                </c:pt>
                <c:pt idx="493">
                  <c:v>0.39150517971496079</c:v>
                </c:pt>
                <c:pt idx="494">
                  <c:v>0.39088552640527563</c:v>
                </c:pt>
                <c:pt idx="495">
                  <c:v>0.39024187757007395</c:v>
                </c:pt>
                <c:pt idx="496">
                  <c:v>0.3895743550380007</c:v>
                </c:pt>
                <c:pt idx="497">
                  <c:v>0.38888308501293439</c:v>
                </c:pt>
                <c:pt idx="498">
                  <c:v>0.38816819803422442</c:v>
                </c:pt>
                <c:pt idx="499">
                  <c:v>0.3874298289356114</c:v>
                </c:pt>
                <c:pt idx="500">
                  <c:v>0.38666811680284885</c:v>
                </c:pt>
                <c:pt idx="501">
                  <c:v>0.38588320493004485</c:v>
                </c:pt>
                <c:pt idx="502">
                  <c:v>0.38507524077474298</c:v>
                </c:pt>
                <c:pt idx="503">
                  <c:v>0.38424437591176175</c:v>
                </c:pt>
                <c:pt idx="504">
                  <c:v>0.38339076598581373</c:v>
                </c:pt>
                <c:pt idx="505">
                  <c:v>0.3825145706629236</c:v>
                </c:pt>
                <c:pt idx="506">
                  <c:v>0.38161595358066841</c:v>
                </c:pt>
                <c:pt idx="507">
                  <c:v>0.38069508229725924</c:v>
                </c:pt>
                <c:pt idx="508">
                  <c:v>0.37975212823948901</c:v>
                </c:pt>
                <c:pt idx="509">
                  <c:v>0.37878726664956691</c:v>
                </c:pt>
                <c:pt idx="510">
                  <c:v>0.37780067653086408</c:v>
                </c:pt>
                <c:pt idx="511">
                  <c:v>0.37679254059259298</c:v>
                </c:pt>
                <c:pt idx="512">
                  <c:v>0.37576304519344511</c:v>
                </c:pt>
                <c:pt idx="513">
                  <c:v>0.37471238028421067</c:v>
                </c:pt>
                <c:pt idx="514">
                  <c:v>0.37364073934940611</c:v>
                </c:pt>
                <c:pt idx="515">
                  <c:v>0.37254831934793287</c:v>
                </c:pt>
                <c:pt idx="516">
                  <c:v>0.37143532065279461</c:v>
                </c:pt>
                <c:pt idx="517">
                  <c:v>0.37030194698989732</c:v>
                </c:pt>
                <c:pt idx="518">
                  <c:v>0.36914840537595939</c:v>
                </c:pt>
                <c:pt idx="519">
                  <c:v>0.36797490605555749</c:v>
                </c:pt>
                <c:pt idx="520">
                  <c:v>0.36678166243733556</c:v>
                </c:pt>
                <c:pt idx="521">
                  <c:v>0.36556889102940332</c:v>
                </c:pt>
                <c:pt idx="522">
                  <c:v>0.36433681137395246</c:v>
                </c:pt>
                <c:pt idx="523">
                  <c:v>0.36308564598111737</c:v>
                </c:pt>
                <c:pt idx="524">
                  <c:v>0.36181562026210862</c:v>
                </c:pt>
                <c:pt idx="525">
                  <c:v>0.36052696246164734</c:v>
                </c:pt>
                <c:pt idx="526">
                  <c:v>0.35921990358972838</c:v>
                </c:pt>
                <c:pt idx="527">
                  <c:v>0.3578946773527415</c:v>
                </c:pt>
                <c:pt idx="528">
                  <c:v>0.35655152008397839</c:v>
                </c:pt>
                <c:pt idx="529">
                  <c:v>0.35519067067355525</c:v>
                </c:pt>
                <c:pt idx="530">
                  <c:v>0.35381237049777897</c:v>
                </c:pt>
                <c:pt idx="531">
                  <c:v>0.35241686334798716</c:v>
                </c:pt>
                <c:pt idx="532">
                  <c:v>0.35100439535889039</c:v>
                </c:pt>
                <c:pt idx="533">
                  <c:v>0.34957521493644639</c:v>
                </c:pt>
                <c:pt idx="534">
                  <c:v>0.34812957268529632</c:v>
                </c:pt>
                <c:pt idx="535">
                  <c:v>0.34666772133579093</c:v>
                </c:pt>
                <c:pt idx="536">
                  <c:v>0.34518991567063861</c:v>
                </c:pt>
                <c:pt idx="537">
                  <c:v>0.34369641245120297</c:v>
                </c:pt>
                <c:pt idx="538">
                  <c:v>0.3421874703434804</c:v>
                </c:pt>
                <c:pt idx="539">
                  <c:v>0.34066334984378832</c:v>
                </c:pt>
                <c:pt idx="540">
                  <c:v>0.3391243132041914</c:v>
                </c:pt>
                <c:pt idx="541">
                  <c:v>0.33757062435769869</c:v>
                </c:pt>
                <c:pt idx="542">
                  <c:v>0.33600254884325814</c:v>
                </c:pt>
                <c:pt idx="543">
                  <c:v>0.33442035373058071</c:v>
                </c:pt>
                <c:pt idx="544">
                  <c:v>0.33282430754482217</c:v>
                </c:pt>
                <c:pt idx="545">
                  <c:v>0.33121468019115219</c:v>
                </c:pt>
                <c:pt idx="546">
                  <c:v>0.32959174287924126</c:v>
                </c:pt>
                <c:pt idx="547">
                  <c:v>0.32795576804769361</c:v>
                </c:pt>
                <c:pt idx="548">
                  <c:v>0.32630702928845517</c:v>
                </c:pt>
                <c:pt idx="549">
                  <c:v>0.32464580127122744</c:v>
                </c:pt>
                <c:pt idx="550">
                  <c:v>0.32297235966791343</c:v>
                </c:pt>
                <c:pt idx="551">
                  <c:v>0.32128698107712739</c:v>
                </c:pt>
                <c:pt idx="552">
                  <c:v>0.31958994294879439</c:v>
                </c:pt>
                <c:pt idx="553">
                  <c:v>0.31788152350886978</c:v>
                </c:pt>
                <c:pt idx="554">
                  <c:v>0.31616200168420638</c:v>
                </c:pt>
                <c:pt idx="555">
                  <c:v>0.31443165702759646</c:v>
                </c:pt>
                <c:pt idx="556">
                  <c:v>0.31269076964301801</c:v>
                </c:pt>
                <c:pt idx="557">
                  <c:v>0.31093962011111131</c:v>
                </c:pt>
                <c:pt idx="558">
                  <c:v>0.30917848941491344</c:v>
                </c:pt>
                <c:pt idx="559">
                  <c:v>0.3074076588658784</c:v>
                </c:pt>
                <c:pt idx="560">
                  <c:v>0.30562741003020899</c:v>
                </c:pt>
                <c:pt idx="561">
                  <c:v>0.30383802465552662</c:v>
                </c:pt>
                <c:pt idx="562">
                  <c:v>0.30203978459790592</c:v>
                </c:pt>
                <c:pt idx="563">
                  <c:v>0.30023297174929958</c:v>
                </c:pt>
                <c:pt idx="564">
                  <c:v>0.29841786796537884</c:v>
                </c:pt>
                <c:pt idx="565">
                  <c:v>0.29659475499381482</c:v>
                </c:pt>
                <c:pt idx="566">
                  <c:v>0.29476391440302596</c:v>
                </c:pt>
                <c:pt idx="567">
                  <c:v>0.29292562751141527</c:v>
                </c:pt>
                <c:pt idx="568">
                  <c:v>0.2910801753171221</c:v>
                </c:pt>
                <c:pt idx="569">
                  <c:v>0.28922783842831196</c:v>
                </c:pt>
                <c:pt idx="570">
                  <c:v>0.28736889699402735</c:v>
                </c:pt>
                <c:pt idx="571">
                  <c:v>0.28550363063562334</c:v>
                </c:pt>
                <c:pt idx="572">
                  <c:v>0.2836323183788097</c:v>
                </c:pt>
                <c:pt idx="573">
                  <c:v>0.28175523858632179</c:v>
                </c:pt>
                <c:pt idx="574">
                  <c:v>0.27987266889124252</c:v>
                </c:pt>
                <c:pt idx="575">
                  <c:v>0.27798488613099548</c:v>
                </c:pt>
                <c:pt idx="576">
                  <c:v>0.27609216628203148</c:v>
                </c:pt>
                <c:pt idx="577">
                  <c:v>0.27419478439522754</c:v>
                </c:pt>
                <c:pt idx="578">
                  <c:v>0.2722930145320191</c:v>
                </c:pt>
                <c:pt idx="579">
                  <c:v>0.27038712970128459</c:v>
                </c:pt>
                <c:pt idx="580">
                  <c:v>0.26847740179700136</c:v>
                </c:pt>
                <c:pt idx="581">
                  <c:v>0.26656410153669152</c:v>
                </c:pt>
                <c:pt idx="582">
                  <c:v>0.26464749840067547</c:v>
                </c:pt>
                <c:pt idx="583">
                  <c:v>0.26272786057215136</c:v>
                </c:pt>
                <c:pt idx="584">
                  <c:v>0.26080545487811641</c:v>
                </c:pt>
                <c:pt idx="585">
                  <c:v>0.25888054673114785</c:v>
                </c:pt>
                <c:pt idx="586">
                  <c:v>0.25695340007205841</c:v>
                </c:pt>
                <c:pt idx="587">
                  <c:v>0.25502427731344302</c:v>
                </c:pt>
                <c:pt idx="588">
                  <c:v>0.25309343928413031</c:v>
                </c:pt>
                <c:pt idx="589">
                  <c:v>0.25116114517455523</c:v>
                </c:pt>
                <c:pt idx="590">
                  <c:v>0.24922765248306489</c:v>
                </c:pt>
                <c:pt idx="591">
                  <c:v>0.24729321696317272</c:v>
                </c:pt>
                <c:pt idx="592">
                  <c:v>0.24535809257177266</c:v>
                </c:pt>
                <c:pt idx="593">
                  <c:v>0.24342253141832654</c:v>
                </c:pt>
                <c:pt idx="594">
                  <c:v>0.24148678371503624</c:v>
                </c:pt>
                <c:pt idx="595">
                  <c:v>0.23955109772801231</c:v>
                </c:pt>
                <c:pt idx="596">
                  <c:v>0.23761571972944875</c:v>
                </c:pt>
                <c:pt idx="597">
                  <c:v>0.23568089395081618</c:v>
                </c:pt>
                <c:pt idx="598">
                  <c:v>0.23374686253708127</c:v>
                </c:pt>
                <c:pt idx="599">
                  <c:v>0.2318138655019627</c:v>
                </c:pt>
                <c:pt idx="600">
                  <c:v>0.22988214068423196</c:v>
                </c:pt>
                <c:pt idx="601">
                  <c:v>0.22795192370506739</c:v>
                </c:pt>
                <c:pt idx="602">
                  <c:v>0.22602344792646845</c:v>
                </c:pt>
                <c:pt idx="603">
                  <c:v>0.22409694441073816</c:v>
                </c:pt>
                <c:pt idx="604">
                  <c:v>0.22217264188103952</c:v>
                </c:pt>
                <c:pt idx="605">
                  <c:v>0.2202507666830322</c:v>
                </c:pt>
                <c:pt idx="606">
                  <c:v>0.21833154274759511</c:v>
                </c:pt>
                <c:pt idx="607">
                  <c:v>0.21641519155463904</c:v>
                </c:pt>
                <c:pt idx="608">
                  <c:v>0.21450193209801527</c:v>
                </c:pt>
                <c:pt idx="609">
                  <c:v>0.21259198085152209</c:v>
                </c:pt>
                <c:pt idx="610">
                  <c:v>0.21068555173601425</c:v>
                </c:pt>
                <c:pt idx="611">
                  <c:v>0.20878285608761707</c:v>
                </c:pt>
                <c:pt idx="612">
                  <c:v>0.20688410262704823</c:v>
                </c:pt>
                <c:pt idx="613">
                  <c:v>0.20498949743004874</c:v>
                </c:pt>
                <c:pt idx="614">
                  <c:v>0.20309924389892392</c:v>
                </c:pt>
                <c:pt idx="615">
                  <c:v>0.20121354273519632</c:v>
                </c:pt>
                <c:pt idx="616">
                  <c:v>0.19933259191336963</c:v>
                </c:pt>
                <c:pt idx="617">
                  <c:v>0.19745658665580423</c:v>
                </c:pt>
                <c:pt idx="618">
                  <c:v>0.19558571940870306</c:v>
                </c:pt>
                <c:pt idx="619">
                  <c:v>0.19372017981920711</c:v>
                </c:pt>
                <c:pt idx="620">
                  <c:v>0.19186015471359832</c:v>
                </c:pt>
                <c:pt idx="621">
                  <c:v>0.19000582807660846</c:v>
                </c:pt>
                <c:pt idx="622">
                  <c:v>0.18815738103183041</c:v>
                </c:pt>
                <c:pt idx="623">
                  <c:v>0.18631499182322955</c:v>
                </c:pt>
                <c:pt idx="624">
                  <c:v>0.18447883579775134</c:v>
                </c:pt>
                <c:pt idx="625">
                  <c:v>0.18264908538902092</c:v>
                </c:pt>
                <c:pt idx="626">
                  <c:v>0.18082591010213062</c:v>
                </c:pt>
                <c:pt idx="627">
                  <c:v>0.17900947649951043</c:v>
                </c:pt>
                <c:pt idx="628">
                  <c:v>0.17719994818787552</c:v>
                </c:pt>
                <c:pt idx="629">
                  <c:v>0.17539748580624606</c:v>
                </c:pt>
                <c:pt idx="630">
                  <c:v>0.17360224701503202</c:v>
                </c:pt>
                <c:pt idx="631">
                  <c:v>0.17181438648617742</c:v>
                </c:pt>
                <c:pt idx="632">
                  <c:v>0.17003405589435602</c:v>
                </c:pt>
                <c:pt idx="633">
                  <c:v>0.16826140390921199</c:v>
                </c:pt>
                <c:pt idx="634">
                  <c:v>0.16649657618863697</c:v>
                </c:pt>
                <c:pt idx="635">
                  <c:v>0.16473971537307586</c:v>
                </c:pt>
                <c:pt idx="636">
                  <c:v>0.16299096108085256</c:v>
                </c:pt>
                <c:pt idx="637">
                  <c:v>0.16125044990450685</c:v>
                </c:pt>
                <c:pt idx="638">
                  <c:v>0.15951831540813316</c:v>
                </c:pt>
                <c:pt idx="639">
                  <c:v>0.15779468812571137</c:v>
                </c:pt>
                <c:pt idx="640">
                  <c:v>0.15607969556041992</c:v>
                </c:pt>
                <c:pt idx="641">
                  <c:v>0.15437346218492112</c:v>
                </c:pt>
                <c:pt idx="642">
                  <c:v>0.15267610944260754</c:v>
                </c:pt>
                <c:pt idx="643">
                  <c:v>0.15098775574979878</c:v>
                </c:pt>
                <c:pt idx="644">
                  <c:v>0.14930851649887789</c:v>
                </c:pt>
                <c:pt idx="645">
                  <c:v>0.14763850406235482</c:v>
                </c:pt>
                <c:pt idx="646">
                  <c:v>0.14597782779784629</c:v>
                </c:pt>
                <c:pt idx="647">
                  <c:v>0.14432659405395926</c:v>
                </c:pt>
                <c:pt idx="648">
                  <c:v>0.14268490617706561</c:v>
                </c:pt>
                <c:pt idx="649">
                  <c:v>0.14105286451895596</c:v>
                </c:pt>
                <c:pt idx="650">
                  <c:v>0.13943056644535934</c:v>
                </c:pt>
                <c:pt idx="651">
                  <c:v>0.13781810634531552</c:v>
                </c:pt>
                <c:pt idx="652">
                  <c:v>0.13621557564138703</c:v>
                </c:pt>
                <c:pt idx="653">
                  <c:v>0.13462306280069725</c:v>
                </c:pt>
                <c:pt idx="654">
                  <c:v>0.13304065334678045</c:v>
                </c:pt>
                <c:pt idx="655">
                  <c:v>0.13146842987223015</c:v>
                </c:pt>
                <c:pt idx="656">
                  <c:v>0.12990647205213168</c:v>
                </c:pt>
                <c:pt idx="657">
                  <c:v>0.12835485665826421</c:v>
                </c:pt>
                <c:pt idx="658">
                  <c:v>0.12681365757405821</c:v>
                </c:pt>
                <c:pt idx="659">
                  <c:v>0.12528294581029339</c:v>
                </c:pt>
                <c:pt idx="660">
                  <c:v>0.12376278952152225</c:v>
                </c:pt>
                <c:pt idx="661">
                  <c:v>0.12225325402320435</c:v>
                </c:pt>
                <c:pt idx="662">
                  <c:v>0.12075440180953625</c:v>
                </c:pt>
                <c:pt idx="663">
                  <c:v>0.11926629257196178</c:v>
                </c:pt>
                <c:pt idx="664">
                  <c:v>0.11778898321834726</c:v>
                </c:pt>
                <c:pt idx="665">
                  <c:v>0.11632252789280623</c:v>
                </c:pt>
                <c:pt idx="666">
                  <c:v>0.11486697799615816</c:v>
                </c:pt>
                <c:pt idx="667">
                  <c:v>0.11342238220700535</c:v>
                </c:pt>
                <c:pt idx="668">
                  <c:v>0.11198878650341254</c:v>
                </c:pt>
                <c:pt idx="669">
                  <c:v>0.1105662341851732</c:v>
                </c:pt>
                <c:pt idx="670">
                  <c:v>0.10915476589664656</c:v>
                </c:pt>
                <c:pt idx="671">
                  <c:v>0.10775441965014969</c:v>
                </c:pt>
                <c:pt idx="672">
                  <c:v>0.10636523084988853</c:v>
                </c:pt>
                <c:pt idx="673">
                  <c:v>0.10498723231641187</c:v>
                </c:pt>
                <c:pt idx="674">
                  <c:v>0.10362045431157213</c:v>
                </c:pt>
                <c:pt idx="675">
                  <c:v>0.10226492456397722</c:v>
                </c:pt>
                <c:pt idx="676">
                  <c:v>0.10092066829491693</c:v>
                </c:pt>
                <c:pt idx="677">
                  <c:v>9.9587708244748163E-2</c:v>
                </c:pt>
                <c:pt idx="678">
                  <c:v>9.8266064699722919E-2</c:v>
                </c:pt>
                <c:pt idx="679">
                  <c:v>9.695575551924264E-2</c:v>
                </c:pt>
                <c:pt idx="680">
                  <c:v>9.5656796163523239E-2</c:v>
                </c:pt>
                <c:pt idx="681">
                  <c:v>9.4369199721654834E-2</c:v>
                </c:pt>
                <c:pt idx="682">
                  <c:v>9.3092976940039804E-2</c:v>
                </c:pt>
                <c:pt idx="683">
                  <c:v>9.1828136251193737E-2</c:v>
                </c:pt>
                <c:pt idx="684">
                  <c:v>9.0574683802893186E-2</c:v>
                </c:pt>
                <c:pt idx="685">
                  <c:v>8.9332623487654264E-2</c:v>
                </c:pt>
                <c:pt idx="686">
                  <c:v>8.8101956972526763E-2</c:v>
                </c:pt>
                <c:pt idx="687">
                  <c:v>8.6882683729187699E-2</c:v>
                </c:pt>
                <c:pt idx="688">
                  <c:v>8.5674801064318892E-2</c:v>
                </c:pt>
                <c:pt idx="689">
                  <c:v>8.4478304150253217E-2</c:v>
                </c:pt>
                <c:pt idx="690">
                  <c:v>8.3293186055873769E-2</c:v>
                </c:pt>
                <c:pt idx="691">
                  <c:v>8.2119437777751103E-2</c:v>
                </c:pt>
                <c:pt idx="692">
                  <c:v>8.0957048271502796E-2</c:v>
                </c:pt>
                <c:pt idx="693">
                  <c:v>7.9806004483360865E-2</c:v>
                </c:pt>
                <c:pt idx="694">
                  <c:v>7.8666291381931652E-2</c:v>
                </c:pt>
                <c:pt idx="695">
                  <c:v>7.753789199013332E-2</c:v>
                </c:pt>
                <c:pt idx="696">
                  <c:v>7.6420787417296673E-2</c:v>
                </c:pt>
                <c:pt idx="697">
                  <c:v>7.5314956891414264E-2</c:v>
                </c:pt>
                <c:pt idx="698">
                  <c:v>7.4220377791523712E-2</c:v>
                </c:pt>
                <c:pt idx="699">
                  <c:v>7.3137025680210618E-2</c:v>
                </c:pt>
                <c:pt idx="700">
                  <c:v>7.2064874336217347E-2</c:v>
                </c:pt>
                <c:pt idx="701">
                  <c:v>7.1003895787143417E-2</c:v>
                </c:pt>
                <c:pt idx="702">
                  <c:v>6.9954060342223734E-2</c:v>
                </c:pt>
                <c:pt idx="703">
                  <c:v>6.8915336625171172E-2</c:v>
                </c:pt>
                <c:pt idx="704">
                  <c:v>6.7887691607069964E-2</c:v>
                </c:pt>
                <c:pt idx="705">
                  <c:v>6.6871090639306532E-2</c:v>
                </c:pt>
                <c:pt idx="706">
                  <c:v>6.5865497486524732E-2</c:v>
                </c:pt>
                <c:pt idx="707">
                  <c:v>6.4870874359592628E-2</c:v>
                </c:pt>
                <c:pt idx="708">
                  <c:v>6.3887181948567989E-2</c:v>
                </c:pt>
                <c:pt idx="709">
                  <c:v>6.2914379455649955E-2</c:v>
                </c:pt>
                <c:pt idx="710">
                  <c:v>6.1952424628104574E-2</c:v>
                </c:pt>
                <c:pt idx="711">
                  <c:v>6.1001273791152111E-2</c:v>
                </c:pt>
                <c:pt idx="712">
                  <c:v>6.0060881880803989E-2</c:v>
                </c:pt>
                <c:pt idx="713">
                  <c:v>5.9131202476637779E-2</c:v>
                </c:pt>
                <c:pt idx="714">
                  <c:v>5.8212187834498781E-2</c:v>
                </c:pt>
                <c:pt idx="715">
                  <c:v>5.7303788919116583E-2</c:v>
                </c:pt>
                <c:pt idx="716">
                  <c:v>5.6405955436625722E-2</c:v>
                </c:pt>
                <c:pt idx="717">
                  <c:v>5.5518635866979561E-2</c:v>
                </c:pt>
                <c:pt idx="718">
                  <c:v>5.4641777496246491E-2</c:v>
                </c:pt>
                <c:pt idx="719">
                  <c:v>5.3775326448778214E-2</c:v>
                </c:pt>
                <c:pt idx="720">
                  <c:v>5.2919227719239743E-2</c:v>
                </c:pt>
                <c:pt idx="721">
                  <c:v>5.2073425204491139E-2</c:v>
                </c:pt>
                <c:pt idx="722">
                  <c:v>5.1237861735311217E-2</c:v>
                </c:pt>
                <c:pt idx="723">
                  <c:v>5.0412479107953607E-2</c:v>
                </c:pt>
                <c:pt idx="724">
                  <c:v>4.9597218115525803E-2</c:v>
                </c:pt>
                <c:pt idx="725">
                  <c:v>4.8792018579182236E-2</c:v>
                </c:pt>
                <c:pt idx="726">
                  <c:v>4.7996819379122306E-2</c:v>
                </c:pt>
                <c:pt idx="727">
                  <c:v>4.7211558485384796E-2</c:v>
                </c:pt>
                <c:pt idx="728">
                  <c:v>4.6436172988430294E-2</c:v>
                </c:pt>
                <c:pt idx="729">
                  <c:v>4.5670599129503379E-2</c:v>
                </c:pt>
                <c:pt idx="730">
                  <c:v>4.4914772330766593E-2</c:v>
                </c:pt>
                <c:pt idx="731">
                  <c:v>4.4168627225198445E-2</c:v>
                </c:pt>
                <c:pt idx="732">
                  <c:v>4.34320976862482E-2</c:v>
                </c:pt>
                <c:pt idx="733">
                  <c:v>4.2705116857239711E-2</c:v>
                </c:pt>
                <c:pt idx="734">
                  <c:v>4.1987617180517793E-2</c:v>
                </c:pt>
                <c:pt idx="735">
                  <c:v>4.1279530426329931E-2</c:v>
                </c:pt>
                <c:pt idx="736">
                  <c:v>4.0580787721436994E-2</c:v>
                </c:pt>
                <c:pt idx="737">
                  <c:v>3.9891319577446495E-2</c:v>
                </c:pt>
                <c:pt idx="738">
                  <c:v>3.921105591886228E-2</c:v>
                </c:pt>
                <c:pt idx="739">
                  <c:v>3.8539926110844933E-2</c:v>
                </c:pt>
                <c:pt idx="740">
                  <c:v>3.7877858986677039E-2</c:v>
                </c:pt>
                <c:pt idx="741">
                  <c:v>3.7224782874927941E-2</c:v>
                </c:pt>
                <c:pt idx="742">
                  <c:v>3.6580625626312903E-2</c:v>
                </c:pt>
                <c:pt idx="743">
                  <c:v>3.5945314640241532E-2</c:v>
                </c:pt>
                <c:pt idx="744">
                  <c:v>3.5318776891050833E-2</c:v>
                </c:pt>
                <c:pt idx="745">
                  <c:v>3.4700938953918417E-2</c:v>
                </c:pt>
                <c:pt idx="746">
                  <c:v>3.4091727030451269E-2</c:v>
                </c:pt>
                <c:pt idx="747">
                  <c:v>3.3491066973946403E-2</c:v>
                </c:pt>
                <c:pt idx="748">
                  <c:v>3.2898884314319213E-2</c:v>
                </c:pt>
                <c:pt idx="749">
                  <c:v>3.2315104282695975E-2</c:v>
                </c:pt>
                <c:pt idx="750">
                  <c:v>3.1739651835667064E-2</c:v>
                </c:pt>
                <c:pt idx="751">
                  <c:v>3.1172451679197601E-2</c:v>
                </c:pt>
                <c:pt idx="752">
                  <c:v>3.0613428292192709E-2</c:v>
                </c:pt>
                <c:pt idx="753">
                  <c:v>3.0062505949714251E-2</c:v>
                </c:pt>
                <c:pt idx="754">
                  <c:v>2.9519608745846592E-2</c:v>
                </c:pt>
                <c:pt idx="755">
                  <c:v>2.898466061620909E-2</c:v>
                </c:pt>
                <c:pt idx="756">
                  <c:v>2.8457585360112926E-2</c:v>
                </c:pt>
                <c:pt idx="757">
                  <c:v>2.7938306662360392E-2</c:v>
                </c:pt>
                <c:pt idx="758">
                  <c:v>2.7426748114684641E-2</c:v>
                </c:pt>
                <c:pt idx="759">
                  <c:v>2.6922833236828647E-2</c:v>
                </c:pt>
                <c:pt idx="760">
                  <c:v>2.6426485497261426E-2</c:v>
                </c:pt>
                <c:pt idx="761">
                  <c:v>2.5937628333530745E-2</c:v>
                </c:pt>
                <c:pt idx="762">
                  <c:v>2.5456185172251032E-2</c:v>
                </c:pt>
                <c:pt idx="763">
                  <c:v>2.4982079448725505E-2</c:v>
                </c:pt>
                <c:pt idx="764">
                  <c:v>2.4515234626202143E-2</c:v>
                </c:pt>
                <c:pt idx="765">
                  <c:v>2.405557421476269E-2</c:v>
                </c:pt>
                <c:pt idx="766">
                  <c:v>2.3603021789844362E-2</c:v>
                </c:pt>
                <c:pt idx="767">
                  <c:v>2.3157501010394325E-2</c:v>
                </c:pt>
                <c:pt idx="768">
                  <c:v>2.2718935636656556E-2</c:v>
                </c:pt>
                <c:pt idx="769">
                  <c:v>2.2287249547591578E-2</c:v>
                </c:pt>
                <c:pt idx="770">
                  <c:v>2.186236675792912E-2</c:v>
                </c:pt>
                <c:pt idx="771">
                  <c:v>2.1444211434854331E-2</c:v>
                </c:pt>
                <c:pt idx="772">
                  <c:v>2.1032707914328052E-2</c:v>
                </c:pt>
                <c:pt idx="773">
                  <c:v>2.0627780717042056E-2</c:v>
                </c:pt>
                <c:pt idx="774">
                  <c:v>2.0229354564009955E-2</c:v>
                </c:pt>
                <c:pt idx="775">
                  <c:v>1.9837354391795081E-2</c:v>
                </c:pt>
                <c:pt idx="776">
                  <c:v>1.9451705367376344E-2</c:v>
                </c:pt>
                <c:pt idx="777">
                  <c:v>1.9072332902653526E-2</c:v>
                </c:pt>
                <c:pt idx="778">
                  <c:v>1.8699162668593415E-2</c:v>
                </c:pt>
                <c:pt idx="779">
                  <c:v>1.8332120609018437E-2</c:v>
                </c:pt>
                <c:pt idx="780">
                  <c:v>1.7971132954039404E-2</c:v>
                </c:pt>
                <c:pt idx="781">
                  <c:v>1.7616126233134473E-2</c:v>
                </c:pt>
                <c:pt idx="782">
                  <c:v>1.7267027287875943E-2</c:v>
                </c:pt>
                <c:pt idx="783">
                  <c:v>1.6923763284307308E-2</c:v>
                </c:pt>
                <c:pt idx="784">
                  <c:v>1.6586261724972583E-2</c:v>
                </c:pt>
                <c:pt idx="785">
                  <c:v>1.6254450460600287E-2</c:v>
                </c:pt>
                <c:pt idx="786">
                  <c:v>1.5928257701444445E-2</c:v>
                </c:pt>
                <c:pt idx="787">
                  <c:v>1.5607612028285285E-2</c:v>
                </c:pt>
                <c:pt idx="788">
                  <c:v>1.5292442403092027E-2</c:v>
                </c:pt>
                <c:pt idx="789">
                  <c:v>1.4982678179350731E-2</c:v>
                </c:pt>
                <c:pt idx="790">
                  <c:v>1.467824911205984E-2</c:v>
                </c:pt>
                <c:pt idx="791">
                  <c:v>1.4379085367396436E-2</c:v>
                </c:pt>
                <c:pt idx="792">
                  <c:v>1.408511753205615E-2</c:v>
                </c:pt>
                <c:pt idx="793">
                  <c:v>1.3796276622269831E-2</c:v>
                </c:pt>
                <c:pt idx="794">
                  <c:v>1.3512494092500119E-2</c:v>
                </c:pt>
                <c:pt idx="795">
                  <c:v>1.3233701843821184E-2</c:v>
                </c:pt>
                <c:pt idx="796">
                  <c:v>1.2959832231984944E-2</c:v>
                </c:pt>
                <c:pt idx="797">
                  <c:v>1.2690818075177086E-2</c:v>
                </c:pt>
                <c:pt idx="798">
                  <c:v>1.2426592661466422E-2</c:v>
                </c:pt>
                <c:pt idx="799">
                  <c:v>1.216708975595107E-2</c:v>
                </c:pt>
                <c:pt idx="800">
                  <c:v>1.1912243607605014E-2</c:v>
                </c:pt>
                <c:pt idx="801">
                  <c:v>1.166198895582867E-2</c:v>
                </c:pt>
                <c:pt idx="802">
                  <c:v>1.1416261036707245E-2</c:v>
                </c:pt>
                <c:pt idx="803">
                  <c:v>1.1174995588980481E-2</c:v>
                </c:pt>
                <c:pt idx="804">
                  <c:v>1.0938128859727718E-2</c:v>
                </c:pt>
                <c:pt idx="805">
                  <c:v>1.0705597609772034E-2</c:v>
                </c:pt>
                <c:pt idx="806">
                  <c:v>1.047733911880735E-2</c:v>
                </c:pt>
                <c:pt idx="807">
                  <c:v>1.0253291190252492E-2</c:v>
                </c:pt>
                <c:pt idx="808">
                  <c:v>1.0033392155836082E-2</c:v>
                </c:pt>
                <c:pt idx="809">
                  <c:v>9.8175808799162746E-3</c:v>
                </c:pt>
                <c:pt idx="810">
                  <c:v>9.605796763539445E-3</c:v>
                </c:pt>
                <c:pt idx="811">
                  <c:v>9.3979797482417887E-3</c:v>
                </c:pt>
                <c:pt idx="812">
                  <c:v>9.1940703195979578E-3</c:v>
                </c:pt>
                <c:pt idx="813">
                  <c:v>8.9940095105208607E-3</c:v>
                </c:pt>
                <c:pt idx="814">
                  <c:v>8.7977389043167129E-3</c:v>
                </c:pt>
                <c:pt idx="815">
                  <c:v>8.6052006374995448E-3</c:v>
                </c:pt>
                <c:pt idx="816">
                  <c:v>8.4163374023692641E-3</c:v>
                </c:pt>
                <c:pt idx="817">
                  <c:v>8.2310924493575084E-3</c:v>
                </c:pt>
                <c:pt idx="818">
                  <c:v>8.0494095891454672E-3</c:v>
                </c:pt>
                <c:pt idx="819">
                  <c:v>7.8712331945578438E-3</c:v>
                </c:pt>
                <c:pt idx="820">
                  <c:v>7.6965082022372082E-3</c:v>
                </c:pt>
                <c:pt idx="821">
                  <c:v>7.5251801141029044E-3</c:v>
                </c:pt>
                <c:pt idx="822">
                  <c:v>7.3571949985987966E-3</c:v>
                </c:pt>
                <c:pt idx="823">
                  <c:v>7.1924994917339719E-3</c:v>
                </c:pt>
                <c:pt idx="824">
                  <c:v>7.0310407979207127E-3</c:v>
                </c:pt>
                <c:pt idx="825">
                  <c:v>6.8727666906138662E-3</c:v>
                </c:pt>
                <c:pt idx="826">
                  <c:v>6.7176255127558721E-3</c:v>
                </c:pt>
                <c:pt idx="827">
                  <c:v>6.5655661770315961E-3</c:v>
                </c:pt>
                <c:pt idx="828">
                  <c:v>6.4165381659371957E-3</c:v>
                </c:pt>
                <c:pt idx="829">
                  <c:v>6.2704915316671335E-3</c:v>
                </c:pt>
                <c:pt idx="830">
                  <c:v>6.1273768958235893E-3</c:v>
                </c:pt>
                <c:pt idx="831">
                  <c:v>5.987145448952306E-3</c:v>
                </c:pt>
                <c:pt idx="832">
                  <c:v>5.84974894990905E-3</c:v>
                </c:pt>
                <c:pt idx="833">
                  <c:v>5.7151397250608336E-3</c:v>
                </c:pt>
                <c:pt idx="834">
                  <c:v>5.5832706673258721E-3</c:v>
                </c:pt>
                <c:pt idx="835">
                  <c:v>5.4540952350564621E-3</c:v>
                </c:pt>
                <c:pt idx="836">
                  <c:v>5.3275674507687332E-3</c:v>
                </c:pt>
                <c:pt idx="837">
                  <c:v>5.2036418997233446E-3</c:v>
                </c:pt>
                <c:pt idx="838">
                  <c:v>5.0822737283610529E-3</c:v>
                </c:pt>
                <c:pt idx="839">
                  <c:v>4.9634186425971802E-3</c:v>
                </c:pt>
                <c:pt idx="840">
                  <c:v>4.8470329059788703E-3</c:v>
                </c:pt>
                <c:pt idx="841">
                  <c:v>4.7330733377090213E-3</c:v>
                </c:pt>
                <c:pt idx="842">
                  <c:v>4.6214973105408209E-3</c:v>
                </c:pt>
                <c:pt idx="843">
                  <c:v>4.5122627485466409E-3</c:v>
                </c:pt>
                <c:pt idx="844">
                  <c:v>4.4053281247651505E-3</c:v>
                </c:pt>
                <c:pt idx="845">
                  <c:v>4.3006524587303726E-3</c:v>
                </c:pt>
                <c:pt idx="846">
                  <c:v>4.198195313886462E-3</c:v>
                </c:pt>
                <c:pt idx="847">
                  <c:v>4.0979167948918148E-3</c:v>
                </c:pt>
                <c:pt idx="848">
                  <c:v>3.9997775448162437E-3</c:v>
                </c:pt>
                <c:pt idx="849">
                  <c:v>3.9037387422347957E-3</c:v>
                </c:pt>
                <c:pt idx="850">
                  <c:v>3.8097620982217419E-3</c:v>
                </c:pt>
                <c:pt idx="851">
                  <c:v>3.7178098532483573E-3</c:v>
                </c:pt>
                <c:pt idx="852">
                  <c:v>3.6278447739879031E-3</c:v>
                </c:pt>
                <c:pt idx="853">
                  <c:v>3.5398301500312941E-3</c:v>
                </c:pt>
                <c:pt idx="854">
                  <c:v>3.4537297905168386E-3</c:v>
                </c:pt>
                <c:pt idx="855">
                  <c:v>3.3695080206774205E-3</c:v>
                </c:pt>
                <c:pt idx="856">
                  <c:v>3.2871296783084231E-3</c:v>
                </c:pt>
                <c:pt idx="857">
                  <c:v>3.2065601101596568E-3</c:v>
                </c:pt>
                <c:pt idx="858">
                  <c:v>3.1277651682545559E-3</c:v>
                </c:pt>
                <c:pt idx="859">
                  <c:v>3.0507112061397535E-3</c:v>
                </c:pt>
                <c:pt idx="860">
                  <c:v>2.9753650750681975E-3</c:v>
                </c:pt>
                <c:pt idx="861">
                  <c:v>2.9016941201189177E-3</c:v>
                </c:pt>
                <c:pt idx="862">
                  <c:v>2.829666176256402E-3</c:v>
                </c:pt>
                <c:pt idx="863">
                  <c:v>2.7592495643326436E-3</c:v>
                </c:pt>
                <c:pt idx="864">
                  <c:v>2.6904130870347423E-3</c:v>
                </c:pt>
                <c:pt idx="865">
                  <c:v>2.6231260247809754E-3</c:v>
                </c:pt>
                <c:pt idx="866">
                  <c:v>2.5573581315681735E-3</c:v>
                </c:pt>
                <c:pt idx="867">
                  <c:v>2.4930796307731577E-3</c:v>
                </c:pt>
                <c:pt idx="868">
                  <c:v>2.4302612109110468E-3</c:v>
                </c:pt>
                <c:pt idx="869">
                  <c:v>2.3688740213530534E-3</c:v>
                </c:pt>
                <c:pt idx="870">
                  <c:v>2.3088896680064524E-3</c:v>
                </c:pt>
                <c:pt idx="871">
                  <c:v>2.2502802089593012E-3</c:v>
                </c:pt>
                <c:pt idx="872">
                  <c:v>2.1930181500924443E-3</c:v>
                </c:pt>
                <c:pt idx="873">
                  <c:v>2.137076440661322E-3</c:v>
                </c:pt>
                <c:pt idx="874">
                  <c:v>2.0824284688499817E-3</c:v>
                </c:pt>
                <c:pt idx="875">
                  <c:v>2.0290480572997295E-3</c:v>
                </c:pt>
                <c:pt idx="876">
                  <c:v>1.9769094586147271E-3</c:v>
                </c:pt>
                <c:pt idx="877">
                  <c:v>1.9259873508468475E-3</c:v>
                </c:pt>
                <c:pt idx="878">
                  <c:v>1.8762568329620389E-3</c:v>
                </c:pt>
                <c:pt idx="879">
                  <c:v>1.8276934202903551E-3</c:v>
                </c:pt>
                <c:pt idx="880">
                  <c:v>1.7802730399618435E-3</c:v>
                </c:pt>
                <c:pt idx="881">
                  <c:v>1.7339720263303544E-3</c:v>
                </c:pt>
                <c:pt idx="882">
                  <c:v>1.6887671163873285E-3</c:v>
                </c:pt>
                <c:pt idx="883">
                  <c:v>1.6446354451675554E-3</c:v>
                </c:pt>
                <c:pt idx="884">
                  <c:v>1.6015545411488695E-3</c:v>
                </c:pt>
                <c:pt idx="885">
                  <c:v>1.5595023216476607E-3</c:v>
                </c:pt>
                <c:pt idx="886">
                  <c:v>1.518457088212073E-3</c:v>
                </c:pt>
                <c:pt idx="887">
                  <c:v>1.4783975220146804E-3</c:v>
                </c:pt>
                <c:pt idx="888">
                  <c:v>1.4393026792464275E-3</c:v>
                </c:pt>
                <c:pt idx="889">
                  <c:v>1.401151986513507E-3</c:v>
                </c:pt>
                <c:pt idx="890">
                  <c:v>1.3639252362388768E-3</c:v>
                </c:pt>
                <c:pt idx="891">
                  <c:v>1.3276025820700209E-3</c:v>
                </c:pt>
                <c:pt idx="892">
                  <c:v>1.2921645342945185E-3</c:v>
                </c:pt>
                <c:pt idx="893">
                  <c:v>1.2575919552649728E-3</c:v>
                </c:pt>
                <c:pt idx="894">
                  <c:v>1.2238660548347673E-3</c:v>
                </c:pt>
                <c:pt idx="895">
                  <c:v>1.1909683858060934E-3</c:v>
                </c:pt>
                <c:pt idx="896">
                  <c:v>1.1588808393916492E-3</c:v>
                </c:pt>
                <c:pt idx="897">
                  <c:v>1.1275856406913571E-3</c:v>
                </c:pt>
                <c:pt idx="898">
                  <c:v>1.0970653441854097E-3</c:v>
                </c:pt>
                <c:pt idx="899">
                  <c:v>1.0673028292449204E-3</c:v>
                </c:pt>
                <c:pt idx="900">
                  <c:v>1.03828129566139E-3</c:v>
                </c:pt>
                <c:pt idx="901">
                  <c:v>1.0099842591961793E-3</c:v>
                </c:pt>
                <c:pt idx="902">
                  <c:v>9.8239554715114021E-4</c:v>
                </c:pt>
                <c:pt idx="903">
                  <c:v>9.5549929396148727E-4</c:v>
                </c:pt>
                <c:pt idx="904">
                  <c:v>9.2927993681199005E-4</c:v>
                </c:pt>
                <c:pt idx="905">
                  <c:v>9.0372221127750594E-4</c:v>
                </c:pt>
                <c:pt idx="906">
                  <c:v>8.7881114698882667E-4</c:v>
                </c:pt>
                <c:pt idx="907">
                  <c:v>8.5453206332480164E-4</c:v>
                </c:pt>
                <c:pt idx="908">
                  <c:v>8.308705651316363E-4</c:v>
                </c:pt>
                <c:pt idx="909">
                  <c:v>8.0781253847023865E-4</c:v>
                </c:pt>
                <c:pt idx="910">
                  <c:v>7.853441463924523E-4</c:v>
                </c:pt>
                <c:pt idx="911">
                  <c:v>7.6345182474697477E-4</c:v>
                </c:pt>
                <c:pt idx="912">
                  <c:v>7.4212227801571842E-4</c:v>
                </c:pt>
                <c:pt idx="913">
                  <c:v>7.2134247518135935E-4</c:v>
                </c:pt>
                <c:pt idx="914">
                  <c:v>7.0109964562675145E-4</c:v>
                </c:pt>
                <c:pt idx="915">
                  <c:v>6.8138127506687683E-4</c:v>
                </c:pt>
                <c:pt idx="916">
                  <c:v>6.6217510151396735E-4</c:v>
                </c:pt>
                <c:pt idx="917">
                  <c:v>6.4346911127637736E-4</c:v>
                </c:pt>
                <c:pt idx="918">
                  <c:v>6.2525153499179138E-4</c:v>
                </c:pt>
                <c:pt idx="919">
                  <c:v>6.0751084369528921E-4</c:v>
                </c:pt>
                <c:pt idx="920">
                  <c:v>5.9023574492277249E-4</c:v>
                </c:pt>
                <c:pt idx="921">
                  <c:v>5.7341517885023277E-4</c:v>
                </c:pt>
                <c:pt idx="922">
                  <c:v>5.5703831446930036E-4</c:v>
                </c:pt>
                <c:pt idx="923">
                  <c:v>5.410945457994911E-4</c:v>
                </c:pt>
                <c:pt idx="924">
                  <c:v>5.2557348813753863E-4</c:v>
                </c:pt>
                <c:pt idx="925">
                  <c:v>5.1046497434417421E-4</c:v>
                </c:pt>
                <c:pt idx="926">
                  <c:v>4.9575905116868314E-4</c:v>
                </c:pt>
                <c:pt idx="927">
                  <c:v>4.8144597561155307E-4</c:v>
                </c:pt>
                <c:pt idx="928">
                  <c:v>4.6751621132548691E-4</c:v>
                </c:pt>
                <c:pt idx="929">
                  <c:v>4.5396042505504053E-4</c:v>
                </c:pt>
                <c:pt idx="930">
                  <c:v>4.4076948311512232E-4</c:v>
                </c:pt>
                <c:pt idx="931">
                  <c:v>4.2793444790855268E-4</c:v>
                </c:pt>
                <c:pt idx="932">
                  <c:v>4.154465744828784E-4</c:v>
                </c:pt>
                <c:pt idx="933">
                  <c:v>4.0329730712659743E-4</c:v>
                </c:pt>
                <c:pt idx="934">
                  <c:v>3.9147827600493902E-4</c:v>
                </c:pt>
                <c:pt idx="935">
                  <c:v>3.7998129383531263E-4</c:v>
                </c:pt>
                <c:pt idx="936">
                  <c:v>3.6879835260252827E-4</c:v>
                </c:pt>
                <c:pt idx="937">
                  <c:v>3.5792162031386362E-4</c:v>
                </c:pt>
                <c:pt idx="938">
                  <c:v>3.4734343779403416E-4</c:v>
                </c:pt>
                <c:pt idx="939">
                  <c:v>3.3705631552010507E-4</c:v>
                </c:pt>
                <c:pt idx="940">
                  <c:v>3.2705293049636712E-4</c:v>
                </c:pt>
                <c:pt idx="941">
                  <c:v>3.1732612316917233E-4</c:v>
                </c:pt>
                <c:pt idx="942">
                  <c:v>3.0786889438171635E-4</c:v>
                </c:pt>
                <c:pt idx="943">
                  <c:v>2.9867440236873546E-4</c:v>
                </c:pt>
                <c:pt idx="944">
                  <c:v>2.897359597910619E-4</c:v>
                </c:pt>
                <c:pt idx="945">
                  <c:v>2.8104703080997955E-4</c:v>
                </c:pt>
                <c:pt idx="946">
                  <c:v>2.7260122820128862E-4</c:v>
                </c:pt>
                <c:pt idx="947">
                  <c:v>2.643923105089912E-4</c:v>
                </c:pt>
                <c:pt idx="948">
                  <c:v>2.5641417923847953E-4</c:v>
                </c:pt>
                <c:pt idx="949">
                  <c:v>2.4866087608910501E-4</c:v>
                </c:pt>
                <c:pt idx="950">
                  <c:v>2.4112658022598763E-4</c:v>
                </c:pt>
                <c:pt idx="951">
                  <c:v>2.3380560559091101E-4</c:v>
                </c:pt>
                <c:pt idx="952">
                  <c:v>2.2669239825214393E-4</c:v>
                </c:pt>
                <c:pt idx="953">
                  <c:v>2.197815337930047E-4</c:v>
                </c:pt>
                <c:pt idx="954">
                  <c:v>2.1306771473898336E-4</c:v>
                </c:pt>
                <c:pt idx="955">
                  <c:v>2.0654576802322052E-4</c:v>
                </c:pt>
                <c:pt idx="956">
                  <c:v>2.002106424901305E-4</c:v>
                </c:pt>
                <c:pt idx="957">
                  <c:v>1.9405740643695113E-4</c:v>
                </c:pt>
                <c:pt idx="958">
                  <c:v>1.880812451929835E-4</c:v>
                </c:pt>
                <c:pt idx="959">
                  <c:v>1.8227745873628537E-4</c:v>
                </c:pt>
                <c:pt idx="960">
                  <c:v>1.7664145934756647E-4</c:v>
                </c:pt>
                <c:pt idx="961">
                  <c:v>1.7116876930102574E-4</c:v>
                </c:pt>
                <c:pt idx="962">
                  <c:v>1.658550185918658E-4</c:v>
                </c:pt>
                <c:pt idx="963">
                  <c:v>1.6069594270020829E-4</c:v>
                </c:pt>
                <c:pt idx="964">
                  <c:v>1.5568738039112767E-4</c:v>
                </c:pt>
                <c:pt idx="965">
                  <c:v>1.5082527155051403E-4</c:v>
                </c:pt>
                <c:pt idx="966">
                  <c:v>1.4610565505646848E-4</c:v>
                </c:pt>
                <c:pt idx="967">
                  <c:v>1.4152466668592806E-4</c:v>
                </c:pt>
                <c:pt idx="968">
                  <c:v>1.3707853705621068E-4</c:v>
                </c:pt>
                <c:pt idx="969">
                  <c:v>1.3276358960116738E-4</c:v>
                </c:pt>
                <c:pt idx="970">
                  <c:v>1.2857623858161739E-4</c:v>
                </c:pt>
                <c:pt idx="971">
                  <c:v>1.2451298712974905E-4</c:v>
                </c:pt>
                <c:pt idx="972">
                  <c:v>1.2057042532714188E-4</c:v>
                </c:pt>
                <c:pt idx="973">
                  <c:v>1.1674522831609831E-4</c:v>
                </c:pt>
                <c:pt idx="974">
                  <c:v>1.1303415444391705E-4</c:v>
                </c:pt>
                <c:pt idx="975">
                  <c:v>1.094340434397978E-4</c:v>
                </c:pt>
                <c:pt idx="976">
                  <c:v>1.0594181462400078E-4</c:v>
                </c:pt>
                <c:pt idx="977">
                  <c:v>1.0255446514893984E-4</c:v>
                </c:pt>
                <c:pt idx="978">
                  <c:v>9.9269068271831467E-5</c:v>
                </c:pt>
                <c:pt idx="979">
                  <c:v>9.608277165856923E-5</c:v>
                </c:pt>
                <c:pt idx="980">
                  <c:v>9.2992795718443075E-5</c:v>
                </c:pt>
                <c:pt idx="981">
                  <c:v>8.9996431969366862E-5</c:v>
                </c:pt>
                <c:pt idx="982">
                  <c:v>8.7091041433230175E-5</c:v>
                </c:pt>
                <c:pt idx="983">
                  <c:v>8.4274053061034895E-5</c:v>
                </c:pt>
                <c:pt idx="984">
                  <c:v>8.1542962187428541E-5</c:v>
                </c:pt>
                <c:pt idx="985">
                  <c:v>7.8895329014290973E-5</c:v>
                </c:pt>
                <c:pt idx="986">
                  <c:v>7.6328777122987873E-5</c:v>
                </c:pt>
                <c:pt idx="987">
                  <c:v>7.3840992014941666E-5</c:v>
                </c:pt>
                <c:pt idx="988">
                  <c:v>7.1429719680135903E-5</c:v>
                </c:pt>
                <c:pt idx="989">
                  <c:v>6.9092765193199746E-5</c:v>
                </c:pt>
                <c:pt idx="990">
                  <c:v>6.682799133668859E-5</c:v>
                </c:pt>
                <c:pt idx="991">
                  <c:v>6.4633317251209816E-5</c:v>
                </c:pt>
                <c:pt idx="992">
                  <c:v>6.2506717112006848E-5</c:v>
                </c:pt>
                <c:pt idx="993">
                  <c:v>6.0446218831652489E-5</c:v>
                </c:pt>
                <c:pt idx="994">
                  <c:v>5.8449902788466219E-5</c:v>
                </c:pt>
                <c:pt idx="995">
                  <c:v>5.6515900580305896E-5</c:v>
                </c:pt>
                <c:pt idx="996">
                  <c:v>5.4642393803353374E-5</c:v>
                </c:pt>
                <c:pt idx="997">
                  <c:v>5.2827612855542093E-5</c:v>
                </c:pt>
                <c:pt idx="998">
                  <c:v>5.1069835764252003E-5</c:v>
                </c:pt>
                <c:pt idx="999">
                  <c:v>4.9367387037921599E-5</c:v>
                </c:pt>
                <c:pt idx="1000">
                  <c:v>4.7718636541203671E-5</c:v>
                </c:pt>
              </c:numCache>
            </c:numRef>
          </c:yVal>
        </c:ser>
        <c:ser>
          <c:idx val="7"/>
          <c:order val="2"/>
          <c:spPr>
            <a:ln w="28575">
              <a:noFill/>
            </a:ln>
          </c:spPr>
          <c:marker>
            <c:symbol val="none"/>
          </c:marker>
          <c:errBars>
            <c:errDir val="y"/>
            <c:errBarType val="minus"/>
            <c:errValType val="cust"/>
            <c:noEndCap val="1"/>
            <c:minus>
              <c:numRef>
                <c:f>'d picture'!$AO$10:$AO$1010</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0.35241686334798844</c:v>
                  </c:pt>
                  <c:pt idx="470">
                    <c:v>0.35381237049778025</c:v>
                  </c:pt>
                  <c:pt idx="471">
                    <c:v>0.35519067067355647</c:v>
                  </c:pt>
                  <c:pt idx="472">
                    <c:v>0.35655152008397956</c:v>
                  </c:pt>
                  <c:pt idx="473">
                    <c:v>0.35789467735274261</c:v>
                  </c:pt>
                  <c:pt idx="474">
                    <c:v>0.35921990358972949</c:v>
                  </c:pt>
                  <c:pt idx="475">
                    <c:v>0.3605269624616485</c:v>
                  </c:pt>
                  <c:pt idx="476">
                    <c:v>0.36181562026210978</c:v>
                  </c:pt>
                  <c:pt idx="477">
                    <c:v>0.36308564598111848</c:v>
                  </c:pt>
                  <c:pt idx="478">
                    <c:v>0.36433681137395357</c:v>
                  </c:pt>
                  <c:pt idx="479">
                    <c:v>0.36556889102940437</c:v>
                  </c:pt>
                  <c:pt idx="480">
                    <c:v>0.36678166243733662</c:v>
                  </c:pt>
                  <c:pt idx="481">
                    <c:v>0.36797490605555855</c:v>
                  </c:pt>
                  <c:pt idx="482">
                    <c:v>0.36914840537596044</c:v>
                  </c:pt>
                  <c:pt idx="483">
                    <c:v>0.37030194698989832</c:v>
                  </c:pt>
                  <c:pt idx="484">
                    <c:v>0.37143532065279555</c:v>
                  </c:pt>
                  <c:pt idx="485">
                    <c:v>0.37254831934793387</c:v>
                  </c:pt>
                  <c:pt idx="486">
                    <c:v>0.373640739349407</c:v>
                  </c:pt>
                  <c:pt idx="487">
                    <c:v>0.37471238028421161</c:v>
                  </c:pt>
                  <c:pt idx="488">
                    <c:v>0.375763045193446</c:v>
                  </c:pt>
                  <c:pt idx="489">
                    <c:v>0.37679254059259387</c:v>
                  </c:pt>
                  <c:pt idx="490">
                    <c:v>0.37780067653086497</c:v>
                  </c:pt>
                  <c:pt idx="491">
                    <c:v>0.3787872666495678</c:v>
                  </c:pt>
                  <c:pt idx="492">
                    <c:v>0.37975212823948984</c:v>
                  </c:pt>
                  <c:pt idx="493">
                    <c:v>0.38069508229726007</c:v>
                  </c:pt>
                  <c:pt idx="494">
                    <c:v>0.38161595358066919</c:v>
                  </c:pt>
                  <c:pt idx="495">
                    <c:v>0.38251457066292438</c:v>
                  </c:pt>
                  <c:pt idx="496">
                    <c:v>0.38339076598581445</c:v>
                  </c:pt>
                  <c:pt idx="497">
                    <c:v>0.38424437591176253</c:v>
                  </c:pt>
                  <c:pt idx="498">
                    <c:v>0.38507524077474364</c:v>
                  </c:pt>
                  <c:pt idx="499">
                    <c:v>0.38588320493004552</c:v>
                  </c:pt>
                  <c:pt idx="500">
                    <c:v>0.38666811680284952</c:v>
                  </c:pt>
                  <c:pt idx="501">
                    <c:v>0.38742982893561206</c:v>
                  </c:pt>
                  <c:pt idx="502">
                    <c:v>0.38816819803422509</c:v>
                  </c:pt>
                  <c:pt idx="503">
                    <c:v>0.388883085012935</c:v>
                  </c:pt>
                  <c:pt idx="504">
                    <c:v>0.38957435503800125</c:v>
                  </c:pt>
                  <c:pt idx="505">
                    <c:v>0.3902418775700745</c:v>
                  </c:pt>
                  <c:pt idx="506">
                    <c:v>0.39088552640527613</c:v>
                  </c:pt>
                  <c:pt idx="507">
                    <c:v>0.39150517971496129</c:v>
                  </c:pt>
                  <c:pt idx="508">
                    <c:v>0.39210072008414726</c:v>
                  </c:pt>
                  <c:pt idx="509">
                    <c:v>0.39267203454859068</c:v>
                  </c:pt>
                  <c:pt idx="510">
                    <c:v>0.39321901463049741</c:v>
                  </c:pt>
                  <c:pt idx="511">
                    <c:v>0.39374155637284808</c:v>
                  </c:pt>
                  <c:pt idx="512">
                    <c:v>0.3942395603723261</c:v>
                  </c:pt>
                  <c:pt idx="513">
                    <c:v>0.39471293181083145</c:v>
                  </c:pt>
                  <c:pt idx="514">
                    <c:v>0.39516158048556749</c:v>
                  </c:pt>
                  <c:pt idx="515">
                    <c:v>0.3955854208376875</c:v>
                  </c:pt>
                  <c:pt idx="516">
                    <c:v>0.39598437197948738</c:v>
                  </c:pt>
                  <c:pt idx="517">
                    <c:v>0.39635835772013289</c:v>
                  </c:pt>
                  <c:pt idx="518">
                    <c:v>0.39670730658991049</c:v>
                  </c:pt>
                  <c:pt idx="519">
                    <c:v>0.39703115186298971</c:v>
                  </c:pt>
                  <c:pt idx="520">
                    <c:v>0.3973298315786884</c:v>
                  </c:pt>
                  <c:pt idx="521">
                    <c:v>0.3976032885612299</c:v>
                  </c:pt>
                  <c:pt idx="522">
                    <c:v>0.39785147043798463</c:v>
                  </c:pt>
                  <c:pt idx="523">
                    <c:v>0.39807432965618694</c:v>
                  </c:pt>
                  <c:pt idx="524">
                    <c:v>0.39827182349812035</c:v>
                  </c:pt>
                  <c:pt idx="525">
                    <c:v>0.39844391409476404</c:v>
                  </c:pt>
                  <c:pt idx="526">
                    <c:v>0.39859056843789503</c:v>
                  </c:pt>
                  <c:pt idx="527">
                    <c:v>0.3987117583906396</c:v>
                  </c:pt>
                  <c:pt idx="528">
                    <c:v>0.39880746069647066</c:v>
                  </c:pt>
                  <c:pt idx="529">
                    <c:v>0.39887765698664557</c:v>
                  </c:pt>
                  <c:pt idx="530">
                    <c:v>0.39892233378608216</c:v>
                  </c:pt>
                  <c:pt idx="531">
                    <c:v>0.39894148251766975</c:v>
                  </c:pt>
                  <c:pt idx="532">
                    <c:v>0.39893509950501366</c:v>
                  </c:pt>
                  <c:pt idx="533">
                    <c:v>0.39890318597361152</c:v>
                  </c:pt>
                  <c:pt idx="534">
                    <c:v>0.39884574805046102</c:v>
                  </c:pt>
                  <c:pt idx="535">
                    <c:v>0.39876279676209964</c:v>
                  </c:pt>
                  <c:pt idx="536">
                    <c:v>0.39865434803107636</c:v>
                  </c:pt>
                  <c:pt idx="537">
                    <c:v>0.39852042267085835</c:v>
                  </c:pt>
                  <c:pt idx="538">
                    <c:v>0.39836104637917336</c:v>
                  </c:pt>
                  <c:pt idx="539">
                    <c:v>0.3981762497297916</c:v>
                  </c:pt>
                  <c:pt idx="540">
                    <c:v>0.39796606816275087</c:v>
                  </c:pt>
                  <c:pt idx="541">
                    <c:v>0.39773054197302926</c:v>
                  </c:pt>
                  <c:pt idx="542">
                    <c:v>0.39746971629767008</c:v>
                  </c:pt>
                  <c:pt idx="543">
                    <c:v>0.39718364110136484</c:v>
                  </c:pt>
                  <c:pt idx="544">
                    <c:v>0.39687237116050184</c:v>
                  </c:pt>
                  <c:pt idx="545">
                    <c:v>0.39653596604568558</c:v>
                  </c:pt>
                  <c:pt idx="546">
                    <c:v>0.39617449010273653</c:v>
                  </c:pt>
                  <c:pt idx="547">
                    <c:v>0.39578801243217854</c:v>
                  </c:pt>
                  <c:pt idx="548">
                    <c:v>0.3953766068672242</c:v>
                  </c:pt>
                  <c:pt idx="549">
                    <c:v>0.3949403519502665</c:v>
                  </c:pt>
                  <c:pt idx="550">
                    <c:v>0.39447933090788867</c:v>
                  </c:pt>
                  <c:pt idx="551">
                    <c:v>0.39399363162440254</c:v>
                  </c:pt>
                  <c:pt idx="552">
                    <c:v>0.3934833466139277</c:v>
                  </c:pt>
                  <c:pt idx="553">
                    <c:v>0.39294857299102276</c:v>
                  </c:pt>
                  <c:pt idx="554">
                    <c:v>0.39238941243988362</c:v>
                  </c:pt>
                  <c:pt idx="555">
                    <c:v>0.39180597118212074</c:v>
                  </c:pt>
                  <c:pt idx="556">
                    <c:v>0.39119835994313051</c:v>
                  </c:pt>
                  <c:pt idx="557">
                    <c:v>0.39056669391707544</c:v>
                  </c:pt>
                  <c:pt idx="558">
                    <c:v>0.38991109273048891</c:v>
                  </c:pt>
                  <c:pt idx="559">
                    <c:v>0.38923168040451989</c:v>
                  </c:pt>
                  <c:pt idx="560">
                    <c:v>0.38852858531583551</c:v>
                  </c:pt>
                  <c:pt idx="561">
                    <c:v>0.38780194015619729</c:v>
                  </c:pt>
                  <c:pt idx="562">
                    <c:v>0.38705188189073003</c:v>
                  </c:pt>
                  <c:pt idx="563">
                    <c:v>0.38627855171490111</c:v>
                  </c:pt>
                  <c:pt idx="564">
                    <c:v>0.38548209501022923</c:v>
                  </c:pt>
                  <c:pt idx="565">
                    <c:v>0.38466266129874238</c:v>
                  </c:pt>
                  <c:pt idx="566">
                    <c:v>0.38382040419620406</c:v>
                  </c:pt>
                  <c:pt idx="567">
                    <c:v>0.38295548136412993</c:v>
                  </c:pt>
                  <c:pt idx="568">
                    <c:v>0.38206805446061376</c:v>
                  </c:pt>
                  <c:pt idx="569">
                    <c:v>0.38115828908998567</c:v>
                  </c:pt>
                  <c:pt idx="570">
                    <c:v>0.38022635475132444</c:v>
                  </c:pt>
                  <c:pt idx="571">
                    <c:v>0.37927242478584527</c:v>
                  </c:pt>
                  <c:pt idx="572">
                    <c:v>0.37829667632318748</c:v>
                  </c:pt>
                  <c:pt idx="573">
                    <c:v>0.37729929022662345</c:v>
                  </c:pt>
                  <c:pt idx="574">
                    <c:v>0.37628045103721475</c:v>
                  </c:pt>
                  <c:pt idx="575">
                    <c:v>0.37524034691693731</c:v>
                  </c:pt>
                  <c:pt idx="576">
                    <c:v>0.37417916959080227</c:v>
                  </c:pt>
                  <c:pt idx="577">
                    <c:v>0.37309711428799552</c:v>
                  </c:pt>
                  <c:pt idx="578">
                    <c:v>0.371994379682063</c:v>
                  </c:pt>
                  <c:pt idx="579">
                    <c:v>0.37087116783016572</c:v>
                  </c:pt>
                  <c:pt idx="580">
                    <c:v>0.36972768411143175</c:v>
                  </c:pt>
                  <c:pt idx="581">
                    <c:v>0.36856413716443082</c:v>
                  </c:pt>
                  <c:pt idx="582">
                    <c:v>0.36738073882379835</c:v>
                  </c:pt>
                  <c:pt idx="583">
                    <c:v>0.366177704056036</c:v>
                  </c:pt>
                  <c:pt idx="584">
                    <c:v>0.3649552508945153</c:v>
                  </c:pt>
                  <c:pt idx="585">
                    <c:v>0.36371360037371275</c:v>
                  </c:pt>
                  <c:pt idx="586">
                    <c:v>0.36245297646270352</c:v>
                  </c:pt>
                  <c:pt idx="587">
                    <c:v>0.36117360599794179</c:v>
                  </c:pt>
                  <c:pt idx="588">
                    <c:v>0.35987571861535594</c:v>
                  </c:pt>
                  <c:pt idx="589">
                    <c:v>0.35855954668178713</c:v>
                  </c:pt>
                  <c:pt idx="590">
                    <c:v>0.35722532522580008</c:v>
                  </c:pt>
                  <c:pt idx="591">
                    <c:v>0.35587329186789374</c:v>
                  </c:pt>
                  <c:pt idx="592">
                    <c:v>0.35450368675014249</c:v>
                  </c:pt>
                  <c:pt idx="593">
                    <c:v>0.35311675246529534</c:v>
                  </c:pt>
                  <c:pt idx="594">
                    <c:v>0.35171273398536351</c:v>
                  </c:pt>
                  <c:pt idx="595">
                    <c:v>0.35029187858972499</c:v>
                  </c:pt>
                  <c:pt idx="596">
                    <c:v>0.34885443579277614</c:v>
                  </c:pt>
                  <c:pt idx="597">
                    <c:v>0.34740065727115871</c:v>
                  </c:pt>
                  <c:pt idx="598">
                    <c:v>0.34593079679059413</c:v>
                  </c:pt>
                  <c:pt idx="599">
                    <c:v>0.34444511013235168</c:v>
                  </c:pt>
                  <c:pt idx="600">
                    <c:v>0.34294385501938307</c:v>
                  </c:pt>
                  <c:pt idx="601">
                    <c:v>0.34142729104215125</c:v>
                  </c:pt>
                  <c:pt idx="602">
                    <c:v>0.33989567958418393</c:v>
                  </c:pt>
                  <c:pt idx="603">
                    <c:v>0.33834928374738171</c:v>
                  </c:pt>
                  <c:pt idx="604">
                    <c:v>0.33678836827711012</c:v>
                  </c:pt>
                  <c:pt idx="605">
                    <c:v>0.33521319948710521</c:v>
                  </c:pt>
                  <c:pt idx="606">
                    <c:v>0.33362404518422289</c:v>
                  </c:pt>
                  <c:pt idx="607">
                    <c:v>0.33202117459306041</c:v>
                  </c:pt>
                  <c:pt idx="608">
                    <c:v>0.33040485828048133</c:v>
                  </c:pt>
                  <c:pt idx="609">
                    <c:v>0.32877536808007091</c:v>
                  </c:pt>
                  <c:pt idx="610">
                    <c:v>0.32713297701655358</c:v>
                  </c:pt>
                  <c:pt idx="611">
                    <c:v>0.32547795923020001</c:v>
                  </c:pt>
                  <c:pt idx="612">
                    <c:v>0.32381058990125344</c:v>
                  </c:pt>
                  <c:pt idx="613">
                    <c:v>0.32213114517440383</c:v>
                  </c:pt>
                  <c:pt idx="614">
                    <c:v>0.32043990208333895</c:v>
                  </c:pt>
                  <c:pt idx="615">
                    <c:v>0.31873713847540058</c:v>
                  </c:pt>
                  <c:pt idx="616">
                    <c:v>0.31702313293637419</c:v>
                  </c:pt>
                  <c:pt idx="617">
                    <c:v>0.31529816471543987</c:v>
                  </c:pt>
                  <c:pt idx="618">
                    <c:v>0.31356251365031329</c:v>
                  </c:pt>
                  <c:pt idx="619">
                    <c:v>0.31181646009260355</c:v>
                  </c:pt>
                  <c:pt idx="620">
                    <c:v>0.31006028483341519</c:v>
                  </c:pt>
                  <c:pt idx="621">
                    <c:v>0.30829426902922241</c:v>
                  </c:pt>
                  <c:pt idx="622">
                    <c:v>0.30651869412804167</c:v>
                  </c:pt>
                  <c:pt idx="623">
                    <c:v>0.30473384179592911</c:v>
                  </c:pt>
                  <c:pt idx="624">
                    <c:v>0.30293999384382958</c:v>
                  </c:pt>
                  <c:pt idx="625">
                    <c:v>0.30113743215480343</c:v>
                  </c:pt>
                  <c:pt idx="626">
                    <c:v>0.29932643861165542</c:v>
                  </c:pt>
                  <c:pt idx="627">
                    <c:v>0.29750729502499307</c:v>
                  </c:pt>
                  <c:pt idx="628">
                    <c:v>0.29568028306173771</c:v>
                  </c:pt>
                  <c:pt idx="629">
                    <c:v>0.29384568417411377</c:v>
                  </c:pt>
                  <c:pt idx="630">
                    <c:v>0.29200377952914042</c:v>
                  </c:pt>
                  <c:pt idx="631">
                    <c:v>0.29015484993864932</c:v>
                  </c:pt>
                  <c:pt idx="632">
                    <c:v>0.28829917578985209</c:v>
                  </c:pt>
                  <c:pt idx="633">
                    <c:v>0.28643703697648076</c:v>
                  </c:pt>
                  <c:pt idx="634">
                    <c:v>0.2845687128305236</c:v>
                  </c:pt>
                  <c:pt idx="635">
                    <c:v>0.2826944820545792</c:v>
                  </c:pt>
                  <c:pt idx="636">
                    <c:v>0.28081462265484997</c:v>
                  </c:pt>
                  <c:pt idx="637">
                    <c:v>0.27892941187479714</c:v>
                  </c:pt>
                  <c:pt idx="638">
                    <c:v>0.27703912612947801</c:v>
                  </c:pt>
                  <c:pt idx="639">
                    <c:v>0.27514404094058631</c:v>
                  </c:pt>
                  <c:pt idx="640">
                    <c:v>0.27324443087221517</c:v>
                  </c:pt>
                  <c:pt idx="641">
                    <c:v>0.27134056946736318</c:v>
                  </c:pt>
                  <c:pt idx="642">
                    <c:v>0.26943272918520239</c:v>
                  </c:pt>
                  <c:pt idx="643">
                    <c:v>0.2675211813391265</c:v>
                  </c:pt>
                  <c:pt idx="644">
                    <c:v>0.26560619603559904</c:v>
                  </c:pt>
                  <c:pt idx="645">
                    <c:v>0.26368804211381708</c:v>
                  </c:pt>
                  <c:pt idx="646">
                    <c:v>0.26176698708620982</c:v>
                  </c:pt>
                  <c:pt idx="647">
                    <c:v>0.25984329707978754</c:v>
                  </c:pt>
                  <c:pt idx="648">
                    <c:v>0.25791723677835798</c:v>
                  </c:pt>
                  <c:pt idx="649">
                    <c:v>0.25598906936562543</c:v>
                  </c:pt>
                  <c:pt idx="650">
                    <c:v>0.25405905646918786</c:v>
                  </c:pt>
                  <c:pt idx="651">
                    <c:v>0.25212745810544773</c:v>
                  </c:pt>
                  <c:pt idx="652">
                    <c:v>0.25019453262544872</c:v>
                  </c:pt>
                  <c:pt idx="653">
                    <c:v>0.24826053666165457</c:v>
                  </c:pt>
                  <c:pt idx="654">
                    <c:v>0.24632572507568176</c:v>
                  </c:pt>
                  <c:pt idx="655">
                    <c:v>0.24439035090699848</c:v>
                  </c:pt>
                  <c:pt idx="656">
                    <c:v>0.24245466532260304</c:v>
                  </c:pt>
                  <c:pt idx="657">
                    <c:v>0.24051891756769289</c:v>
                  </c:pt>
                  <c:pt idx="658">
                    <c:v>0.23858335491733501</c:v>
                  </c:pt>
                  <c:pt idx="659">
                    <c:v>0.23664822262914878</c:v>
                  </c:pt>
                  <c:pt idx="660">
                    <c:v>0.23471376389701068</c:v>
                  </c:pt>
                  <c:pt idx="661">
                    <c:v>0.23278021980579139</c:v>
                  </c:pt>
                  <c:pt idx="662">
                    <c:v>0.23084782928713277</c:v>
                  </c:pt>
                  <c:pt idx="663">
                    <c:v>0.22891682907627434</c:v>
                  </c:pt>
                  <c:pt idx="664">
                    <c:v>0.22698745366993661</c:v>
                  </c:pt>
                  <c:pt idx="665">
                    <c:v>0.22505993528526852</c:v>
                  </c:pt>
                  <c:pt idx="666">
                    <c:v>0.22313450381986624</c:v>
                  </c:pt>
                  <c:pt idx="667">
                    <c:v>0.22121138681286864</c:v>
                  </c:pt>
                  <c:pt idx="668">
                    <c:v>0.21929080940713677</c:v>
                  </c:pt>
                  <c:pt idx="669">
                    <c:v>0.21737299431252041</c:v>
                  </c:pt>
                  <c:pt idx="670">
                    <c:v>0.21545816177021859</c:v>
                  </c:pt>
                  <c:pt idx="671">
                    <c:v>0.21354652951823636</c:v>
                  </c:pt>
                  <c:pt idx="672">
                    <c:v>0.21163831275794259</c:v>
                  </c:pt>
                  <c:pt idx="673">
                    <c:v>0.20973372412173136</c:v>
                  </c:pt>
                  <c:pt idx="674">
                    <c:v>0.20783297364178968</c:v>
                  </c:pt>
                  <c:pt idx="675">
                    <c:v>0.20593626871997364</c:v>
                  </c:pt>
                  <c:pt idx="676">
                    <c:v>0.20404381409879427</c:v>
                  </c:pt>
                  <c:pt idx="677">
                    <c:v>0.20215581183351461</c:v>
                  </c:pt>
                  <c:pt idx="678">
                    <c:v>0.20027246126535761</c:v>
                  </c:pt>
                  <c:pt idx="679">
                    <c:v>0.19839395899582654</c:v>
                  </c:pt>
                  <c:pt idx="680">
                    <c:v>0.19652049886213543</c:v>
                  </c:pt>
                  <c:pt idx="681">
                    <c:v>0.19465227191375004</c:v>
                  </c:pt>
                  <c:pt idx="682">
                    <c:v>0.19278946639003727</c:v>
                  </c:pt>
                  <c:pt idx="683">
                    <c:v>0.19093226769902147</c:v>
                  </c:pt>
                  <c:pt idx="684">
                    <c:v>0.18908085839724462</c:v>
                  </c:pt>
                  <c:pt idx="685">
                    <c:v>0.18723541817072845</c:v>
                  </c:pt>
                  <c:pt idx="686">
                    <c:v>0.18539612381703399</c:v>
                  </c:pt>
                  <c:pt idx="687">
                    <c:v>0.18356314922841596</c:v>
                  </c:pt>
                  <c:pt idx="688">
                    <c:v>0.18173666537606692</c:v>
                  </c:pt>
                  <c:pt idx="689">
                    <c:v>0.1799168402954468</c:v>
                  </c:pt>
                  <c:pt idx="690">
                    <c:v>0.17810383907269248</c:v>
                  </c:pt>
                  <c:pt idx="691">
                    <c:v>0.17629782383210255</c:v>
                  </c:pt>
                  <c:pt idx="692">
                    <c:v>0.17449895372469004</c:v>
                  </c:pt>
                  <c:pt idx="693">
                    <c:v>0.17270738491779805</c:v>
                  </c:pt>
                  <c:pt idx="694">
                    <c:v>0.17092327058577048</c:v>
                  </c:pt>
                  <c:pt idx="695">
                    <c:v>0.16914676090167133</c:v>
                  </c:pt>
                  <c:pt idx="696">
                    <c:v>0.16737800303004433</c:v>
                  </c:pt>
                  <c:pt idx="697">
                    <c:v>0.16561714112070555</c:v>
                  </c:pt>
                  <c:pt idx="698">
                    <c:v>0.1638643163035603</c:v>
                  </c:pt>
                  <c:pt idx="699">
                    <c:v>0.16211966668443545</c:v>
                  </c:pt>
                  <c:pt idx="700">
                    <c:v>0.16038332734191854</c:v>
                  </c:pt>
                  <c:pt idx="701">
                    <c:v>0.15865543032519372</c:v>
                  </c:pt>
                  <c:pt idx="702">
                    <c:v>0.15693610465286506</c:v>
                  </c:pt>
                  <c:pt idx="703">
                    <c:v>0.15522547631275693</c:v>
                  </c:pt>
                  <c:pt idx="704">
                    <c:v>0.15352366826268127</c:v>
                  </c:pt>
                  <c:pt idx="705">
                    <c:v>0.15183080043216063</c:v>
                  </c:pt>
                  <c:pt idx="706">
                    <c:v>0.15014698972509605</c:v>
                  </c:pt>
                  <c:pt idx="707">
                    <c:v>0.14847235002336845</c:v>
                  </c:pt>
                  <c:pt idx="708">
                    <c:v>0.14680699219136212</c:v>
                  </c:pt>
                  <c:pt idx="709">
                    <c:v>0.1451510240813973</c:v>
                  </c:pt>
                  <c:pt idx="710">
                    <c:v>0.14350455054006139</c:v>
                  </c:pt>
                  <c:pt idx="711">
                    <c:v>0.14186767341542453</c:v>
                  </c:pt>
                  <c:pt idx="712">
                    <c:v>0.14024049156512791</c:v>
                  </c:pt>
                  <c:pt idx="713">
                    <c:v>0.13862310086533164</c:v>
                  </c:pt>
                  <c:pt idx="714">
                    <c:v>0.13701559422050838</c:v>
                  </c:pt>
                  <c:pt idx="715">
                    <c:v>0.1354180615740703</c:v>
                  </c:pt>
                  <c:pt idx="716">
                    <c:v>0.13383058991981472</c:v>
                  </c:pt>
                  <c:pt idx="717">
                    <c:v>0.13225326331417514</c:v>
                  </c:pt>
                  <c:pt idx="718">
                    <c:v>0.13068616288926355</c:v>
                  </c:pt>
                  <c:pt idx="719">
                    <c:v>0.12912936686668927</c:v>
                  </c:pt>
                  <c:pt idx="720">
                    <c:v>0.12758295057214092</c:v>
                  </c:pt>
                  <c:pt idx="721">
                    <c:v>0.1260469864507156</c:v>
                  </c:pt>
                  <c:pt idx="722">
                    <c:v>0.12452154408298167</c:v>
                  </c:pt>
                  <c:pt idx="723">
                    <c:v>0.12300669020175958</c:v>
                  </c:pt>
                  <c:pt idx="724">
                    <c:v>0.12150248870960574</c:v>
                  </c:pt>
                  <c:pt idx="725">
                    <c:v>0.12000900069698466</c:v>
                  </c:pt>
                  <c:pt idx="726">
                    <c:v>0.11852628446111359</c:v>
                  </c:pt>
                  <c:pt idx="727">
                    <c:v>0.11705439552546434</c:v>
                  </c:pt>
                  <c:pt idx="728">
                    <c:v>0.11559338665990704</c:v>
                  </c:pt>
                  <c:pt idx="729">
                    <c:v>0.11414330790147996</c:v>
                  </c:pt>
                  <c:pt idx="730">
                    <c:v>0.11270420657576966</c:v>
                  </c:pt>
                  <c:pt idx="731">
                    <c:v>0.11127612731888586</c:v>
                  </c:pt>
                  <c:pt idx="732">
                    <c:v>0.10985911210001527</c:v>
                  </c:pt>
                  <c:pt idx="733">
                    <c:v>0.10845320024453789</c:v>
                  </c:pt>
                  <c:pt idx="734">
                    <c:v>0.1070584284576909</c:v>
                  </c:pt>
                  <c:pt idx="735">
                    <c:v>0.10567483084876275</c:v>
                  </c:pt>
                  <c:pt idx="736">
                    <c:v>0.10430243895580295</c:v>
                  </c:pt>
                  <c:pt idx="737">
                    <c:v>0.1029412817708301</c:v>
                  </c:pt>
                  <c:pt idx="738">
                    <c:v>0.10159138576552329</c:v>
                  </c:pt>
                  <c:pt idx="739">
                    <c:v>0.10025277491737954</c:v>
                  </c:pt>
                  <c:pt idx="740">
                    <c:v>9.8925470736322879E-2</c:v>
                  </c:pt>
                  <c:pt idx="741">
                    <c:v>9.7609492291747119E-2</c:v>
                  </c:pt>
                  <c:pt idx="742">
                    <c:v>9.6304856239977796E-2</c:v>
                  </c:pt>
                  <c:pt idx="743">
                    <c:v>9.5011576852136487E-2</c:v>
                  </c:pt>
                  <c:pt idx="744">
                    <c:v>9.3729666042391552E-2</c:v>
                  </c:pt>
                  <c:pt idx="745">
                    <c:v>9.2459133396579851E-2</c:v>
                  </c:pt>
                  <c:pt idx="746">
                    <c:v>9.1199986201182928E-2</c:v>
                  </c:pt>
                  <c:pt idx="747">
                    <c:v>8.9952229472642212E-2</c:v>
                  </c:pt>
                  <c:pt idx="748">
                    <c:v>8.8715865986997308E-2</c:v>
                  </c:pt>
                  <c:pt idx="749">
                    <c:v>8.7490896309831784E-2</c:v>
                  </c:pt>
                  <c:pt idx="750">
                    <c:v>8.6277318826510782E-2</c:v>
                  </c:pt>
                  <c:pt idx="751">
                    <c:v>8.5075129772694588E-2</c:v>
                  </c:pt>
                  <c:pt idx="752">
                    <c:v>8.388432326511365E-2</c:v>
                  </c:pt>
                  <c:pt idx="753">
                    <c:v>8.2704891332588321E-2</c:v>
                  </c:pt>
                  <c:pt idx="754">
                    <c:v>8.1536823947279416E-2</c:v>
                  </c:pt>
                  <c:pt idx="755">
                    <c:v>8.0380109056153434E-2</c:v>
                  </c:pt>
                  <c:pt idx="756">
                    <c:v>7.9234732612648115E-2</c:v>
                  </c:pt>
                  <c:pt idx="757">
                    <c:v>7.8100678608522933E-2</c:v>
                  </c:pt>
                  <c:pt idx="758">
                    <c:v>7.6977929105880208E-2</c:v>
                  </c:pt>
                  <c:pt idx="759">
                    <c:v>7.5866464269341766E-2</c:v>
                  </c:pt>
                  <c:pt idx="760">
                    <c:v>7.4766262398366923E-2</c:v>
                  </c:pt>
                  <c:pt idx="761">
                    <c:v>7.3677299959697518E-2</c:v>
                  </c:pt>
                  <c:pt idx="762">
                    <c:v>7.2599551619915367E-2</c:v>
                  </c:pt>
                  <c:pt idx="763">
                    <c:v>7.1532990278098688E-2</c:v>
                  </c:pt>
                  <c:pt idx="764">
                    <c:v>7.0477587098563041E-2</c:v>
                  </c:pt>
                  <c:pt idx="765">
                    <c:v>6.9433311543673534E-2</c:v>
                  </c:pt>
                  <c:pt idx="766">
                    <c:v>6.8400131406714415E-2</c:v>
                  </c:pt>
                  <c:pt idx="767">
                    <c:v>6.7378012844802784E-2</c:v>
                  </c:pt>
                  <c:pt idx="768">
                    <c:v>6.6366920411833383E-2</c:v>
                  </c:pt>
                  <c:pt idx="769">
                    <c:v>6.5366817091441085E-2</c:v>
                  </c:pt>
                  <c:pt idx="770">
                    <c:v>6.4377664329968734E-2</c:v>
                  </c:pt>
                  <c:pt idx="771">
                    <c:v>6.3399422069427114E-2</c:v>
                  </c:pt>
                  <c:pt idx="772">
                    <c:v>6.2432048780435262E-2</c:v>
                  </c:pt>
                  <c:pt idx="773">
                    <c:v>6.1475501495128329E-2</c:v>
                  </c:pt>
                  <c:pt idx="774">
                    <c:v>6.0529735840021068E-2</c:v>
                  </c:pt>
                  <c:pt idx="775">
                    <c:v>5.9594706068815478E-2</c:v>
                  </c:pt>
                  <c:pt idx="776">
                    <c:v>5.8670365095140328E-2</c:v>
                  </c:pt>
                  <c:pt idx="777">
                    <c:v>5.7756664525211728E-2</c:v>
                  </c:pt>
                  <c:pt idx="778">
                    <c:v>5.6853554690403062E-2</c:v>
                  </c:pt>
                  <c:pt idx="779">
                    <c:v>5.5960984679713693E-2</c:v>
                  </c:pt>
                  <c:pt idx="780">
                    <c:v>5.5078902372125212E-2</c:v>
                  </c:pt>
                  <c:pt idx="781">
                    <c:v>5.4207254468835009E-2</c:v>
                  </c:pt>
                  <c:pt idx="782">
                    <c:v>5.3345986525356749E-2</c:v>
                  </c:pt>
                  <c:pt idx="783">
                    <c:v>5.2495042983477389E-2</c:v>
                  </c:pt>
                  <c:pt idx="784">
                    <c:v>5.1654367203061165E-2</c:v>
                  </c:pt>
                  <c:pt idx="785">
                    <c:v>5.0823901493690635E-2</c:v>
                  </c:pt>
                  <c:pt idx="786">
                    <c:v>5.0003587146135411E-2</c:v>
                  </c:pt>
                  <c:pt idx="787">
                    <c:v>4.9193364463639269E-2</c:v>
                  </c:pt>
                  <c:pt idx="788">
                    <c:v>4.8393172793016942E-2</c:v>
                  </c:pt>
                  <c:pt idx="789">
                    <c:v>4.7602950555551242E-2</c:v>
                  </c:pt>
                  <c:pt idx="790">
                    <c:v>4.6822635277682635E-2</c:v>
                  </c:pt>
                  <c:pt idx="791">
                    <c:v>4.6052163621482546E-2</c:v>
                  </c:pt>
                  <c:pt idx="792">
                    <c:v>4.5291471414902286E-2</c:v>
                  </c:pt>
                  <c:pt idx="793">
                    <c:v>4.4540493681790201E-2</c:v>
                  </c:pt>
                  <c:pt idx="794">
                    <c:v>4.3799164671668861E-2</c:v>
                  </c:pt>
                  <c:pt idx="795">
                    <c:v>4.3067417889265255E-2</c:v>
                  </c:pt>
                  <c:pt idx="796">
                    <c:v>4.23451861237868E-2</c:v>
                  </c:pt>
                  <c:pt idx="797">
                    <c:v>4.1632401477936239E-2</c:v>
                  </c:pt>
                  <c:pt idx="798">
                    <c:v>4.0928995396658577E-2</c:v>
                  </c:pt>
                  <c:pt idx="799">
                    <c:v>4.023489869561396E-2</c:v>
                  </c:pt>
                  <c:pt idx="800">
                    <c:v>3.9550041589369762E-2</c:v>
                  </c:pt>
                  <c:pt idx="801">
                    <c:v>3.8874353719306518E-2</c:v>
                  </c:pt>
                  <c:pt idx="802">
                    <c:v>3.8207764181231271E-2</c:v>
                  </c:pt>
                  <c:pt idx="803">
                    <c:v>3.7550201552693382E-2</c:v>
                  </c:pt>
                  <c:pt idx="804">
                    <c:v>3.6901593919997068E-2</c:v>
                  </c:pt>
                  <c:pt idx="805">
                    <c:v>3.6261868904905799E-2</c:v>
                  </c:pt>
                  <c:pt idx="806">
                    <c:v>3.5630953691033654E-2</c:v>
                  </c:pt>
                  <c:pt idx="807">
                    <c:v>3.5008775049918978E-2</c:v>
                  </c:pt>
                  <c:pt idx="808">
                    <c:v>3.4395259366775864E-2</c:v>
                  </c:pt>
                  <c:pt idx="809">
                    <c:v>3.3790332665919416E-2</c:v>
                  </c:pt>
                  <c:pt idx="810">
                    <c:v>3.319392063586072E-2</c:v>
                  </c:pt>
                  <c:pt idx="811">
                    <c:v>3.2605948654067664E-2</c:v>
                  </c:pt>
                  <c:pt idx="812">
                    <c:v>3.2026341811388213E-2</c:v>
                  </c:pt>
                  <c:pt idx="813">
                    <c:v>3.145502493613285E-2</c:v>
                  </c:pt>
                  <c:pt idx="814">
                    <c:v>3.0891922617812789E-2</c:v>
                  </c:pt>
                  <c:pt idx="815">
                    <c:v>3.0336959230531257E-2</c:v>
                  </c:pt>
                  <c:pt idx="816">
                    <c:v>2.9790058956025194E-2</c:v>
                  </c:pt>
                  <c:pt idx="817">
                    <c:v>2.9251145806354576E-2</c:v>
                  </c:pt>
                  <c:pt idx="818">
                    <c:v>2.8720143646237369E-2</c:v>
                  </c:pt>
                  <c:pt idx="819">
                    <c:v>2.8196976215027838E-2</c:v>
                  </c:pt>
                  <c:pt idx="820">
                    <c:v>2.7681567148336226E-2</c:v>
                  </c:pt>
                  <c:pt idx="821">
                    <c:v>2.717383999928839E-2</c:v>
                  </c:pt>
                  <c:pt idx="822">
                    <c:v>2.6673718259423468E-2</c:v>
                  </c:pt>
                  <c:pt idx="823">
                    <c:v>2.6181125379228572E-2</c:v>
                  </c:pt>
                  <c:pt idx="824">
                    <c:v>2.5695984788309128E-2</c:v>
                  </c:pt>
                  <c:pt idx="825">
                    <c:v>2.5218219915194063E-2</c:v>
                  </c:pt>
                  <c:pt idx="826">
                    <c:v>2.4747754206774934E-2</c:v>
                  </c:pt>
                  <c:pt idx="827">
                    <c:v>2.4284511147378389E-2</c:v>
                  </c:pt>
                  <c:pt idx="828">
                    <c:v>2.3828414277471666E-2</c:v>
                  </c:pt>
                  <c:pt idx="829">
                    <c:v>2.3379387212000606E-2</c:v>
                  </c:pt>
                  <c:pt idx="830">
                    <c:v>2.2937353658360398E-2</c:v>
                  </c:pt>
                  <c:pt idx="831">
                    <c:v>2.2502237433998758E-2</c:v>
                  </c:pt>
                  <c:pt idx="832">
                    <c:v>2.2073962483652152E-2</c:v>
                  </c:pt>
                  <c:pt idx="833">
                    <c:v>2.1652452896215129E-2</c:v>
                  </c:pt>
                  <c:pt idx="834">
                    <c:v>2.1237632921243484E-2</c:v>
                  </c:pt>
                  <c:pt idx="835">
                    <c:v>2.0829426985091912E-2</c:v>
                  </c:pt>
                  <c:pt idx="836">
                    <c:v>2.0427759706686952E-2</c:v>
                  </c:pt>
                  <c:pt idx="837">
                    <c:v>2.0032555912936262E-2</c:v>
                  </c:pt>
                  <c:pt idx="838">
                    <c:v>1.9643740653775287E-2</c:v>
                  </c:pt>
                  <c:pt idx="839">
                    <c:v>1.9261239216852705E-2</c:v>
                  </c:pt>
                  <c:pt idx="840">
                    <c:v>1.8884977141855917E-2</c:v>
                  </c:pt>
                  <c:pt idx="841">
                    <c:v>1.8514880234478212E-2</c:v>
                  </c:pt>
                  <c:pt idx="842">
                    <c:v>1.8150874580029307E-2</c:v>
                  </c:pt>
                  <c:pt idx="843">
                    <c:v>1.7792886556690844E-2</c:v>
                  </c:pt>
                  <c:pt idx="844">
                    <c:v>1.7440842848419125E-2</c:v>
                  </c:pt>
                  <c:pt idx="845">
                    <c:v>1.70946704574967E-2</c:v>
                  </c:pt>
                  <c:pt idx="846">
                    <c:v>1.6754296716735301E-2</c:v>
                  </c:pt>
                  <c:pt idx="847">
                    <c:v>1.641964930133219E-2</c:v>
                  </c:pt>
                  <c:pt idx="848">
                    <c:v>1.6090656240382334E-2</c:v>
                  </c:pt>
                  <c:pt idx="849">
                    <c:v>1.5767245928048967E-2</c:v>
                  </c:pt>
                  <c:pt idx="850">
                    <c:v>1.5449347134394947E-2</c:v>
                  </c:pt>
                  <c:pt idx="851">
                    <c:v>1.5136889015877786E-2</c:v>
                  </c:pt>
                  <c:pt idx="852">
                    <c:v>1.4829801125510937E-2</c:v>
                  </c:pt>
                  <c:pt idx="853">
                    <c:v>1.4528013422694346E-2</c:v>
                  </c:pt>
                  <c:pt idx="854">
                    <c:v>1.4231456282717164E-2</c:v>
                  </c:pt>
                  <c:pt idx="855">
                    <c:v>1.3940060505935613E-2</c:v>
                  </c:pt>
                  <c:pt idx="856">
                    <c:v>1.3653757326629256E-2</c:v>
                  </c:pt>
                  <c:pt idx="857">
                    <c:v>1.3372478421538698E-2</c:v>
                  </c:pt>
                  <c:pt idx="858">
                    <c:v>1.3096155918088185E-2</c:v>
                  </c:pt>
                  <c:pt idx="859">
                    <c:v>1.2824722402296252E-2</c:v>
                  </c:pt>
                  <c:pt idx="860">
                    <c:v>1.2558110926378013E-2</c:v>
                  </c:pt>
                  <c:pt idx="861">
                    <c:v>1.2296255016042486E-2</c:v>
                  </c:pt>
                  <c:pt idx="862">
                    <c:v>1.2039088677488465E-2</c:v>
                  </c:pt>
                  <c:pt idx="863">
                    <c:v>1.1786546404102698E-2</c:v>
                  </c:pt>
                  <c:pt idx="864">
                    <c:v>1.1538563182863818E-2</c:v>
                  </c:pt>
                  <c:pt idx="865">
                    <c:v>1.1295074500455958E-2</c:v>
                  </c:pt>
                  <c:pt idx="866">
                    <c:v>1.1056016349095693E-2</c:v>
                  </c:pt>
                  <c:pt idx="867">
                    <c:v>1.0821325232076101E-2</c:v>
                  </c:pt>
                  <c:pt idx="868">
                    <c:v>1.0590938169031961E-2</c:v>
                  </c:pt>
                  <c:pt idx="869">
                    <c:v>1.0364792700929808E-2</c:v>
                  </c:pt>
                  <c:pt idx="870">
                    <c:v>1.0142826894786919E-2</c:v>
                  </c:pt>
                  <c:pt idx="871">
                    <c:v>9.9249793481231176E-3</c:v>
                  </c:pt>
                  <c:pt idx="872">
                    <c:v>9.7111891931495053E-3</c:v>
                  </c:pt>
                  <c:pt idx="873">
                    <c:v>9.5013961006980702E-3</c:v>
                  </c:pt>
                  <c:pt idx="874">
                    <c:v>9.2955402838963037E-3</c:v>
                  </c:pt>
                  <c:pt idx="875">
                    <c:v>9.0935625015909054E-3</c:v>
                  </c:pt>
                  <c:pt idx="876">
                    <c:v>8.8954040615246959E-3</c:v>
                  </c:pt>
                  <c:pt idx="877">
                    <c:v>8.7010068232708463E-3</c:v>
                  </c:pt>
                  <c:pt idx="878">
                    <c:v>8.5103132009286889E-3</c:v>
                  </c:pt>
                  <c:pt idx="879">
                    <c:v>8.3232661655851109E-3</c:v>
                  </c:pt>
                  <c:pt idx="880">
                    <c:v>8.1398092475458914E-3</c:v>
                  </c:pt>
                  <c:pt idx="881">
                    <c:v>7.9598865383410516E-3</c:v>
                  </c:pt>
                  <c:pt idx="882">
                    <c:v>7.7834426925085026E-3</c:v>
                  </c:pt>
                  <c:pt idx="883">
                    <c:v>7.6104229291601277E-3</c:v>
                  </c:pt>
                  <c:pt idx="884">
                    <c:v>7.4407730333346089E-3</c:v>
                  </c:pt>
                  <c:pt idx="885">
                    <c:v>7.2744393571410994E-3</c:v>
                  </c:pt>
                  <c:pt idx="886">
                    <c:v>7.1113688206980502E-3</c:v>
                  </c:pt>
                  <c:pt idx="887">
                    <c:v>6.9515089128713474E-3</c:v>
                  </c:pt>
                  <c:pt idx="888">
                    <c:v>6.7948076918159933E-3</c:v>
                  </c:pt>
                  <c:pt idx="889">
                    <c:v>6.6412137853255077E-3</c:v>
                  </c:pt>
                  <c:pt idx="890">
                    <c:v>6.4906763909932533E-3</c:v>
                  </c:pt>
                  <c:pt idx="891">
                    <c:v>6.3431452761898693E-3</c:v>
                  </c:pt>
                  <c:pt idx="892">
                    <c:v>6.1985707778609393E-3</c:v>
                  </c:pt>
                  <c:pt idx="893">
                    <c:v>6.0569038021491221E-3</c:v>
                  </c:pt>
                  <c:pt idx="894">
                    <c:v>5.9180958238448005E-3</c:v>
                  </c:pt>
                  <c:pt idx="895">
                    <c:v>5.782098885669374E-3</c:v>
                  </c:pt>
                  <c:pt idx="896">
                    <c:v>5.6488655973953817E-3</c:v>
                  </c:pt>
                  <c:pt idx="897">
                    <c:v>5.5183491348073819E-3</c:v>
                  </c:pt>
                  <c:pt idx="898">
                    <c:v>5.3905032385077808E-3</c:v>
                  </c:pt>
                  <c:pt idx="899">
                    <c:v>5.2652822125715476E-3</c:v>
                  </c:pt>
                  <c:pt idx="900">
                    <c:v>5.1426409230538516E-3</c:v>
                  </c:pt>
                  <c:pt idx="901">
                    <c:v>5.0225347963545946E-3</c:v>
                  </c:pt>
                  <c:pt idx="902">
                    <c:v>4.9049198174437739E-3</c:v>
                  </c:pt>
                  <c:pt idx="903">
                    <c:v>4.7897525279515995E-3</c:v>
                  </c:pt>
                  <c:pt idx="904">
                    <c:v>4.6769900241272408E-3</c:v>
                  </c:pt>
                  <c:pt idx="905">
                    <c:v>4.5665899546700629E-3</c:v>
                  </c:pt>
                  <c:pt idx="906">
                    <c:v>4.4585105184371662E-3</c:v>
                  </c:pt>
                  <c:pt idx="907">
                    <c:v>4.3527104620309891E-3</c:v>
                  </c:pt>
                  <c:pt idx="908">
                    <c:v>4.2491490772707816E-3</c:v>
                  </c:pt>
                  <c:pt idx="909">
                    <c:v>4.1477861985515646E-3</c:v>
                  </c:pt>
                  <c:pt idx="910">
                    <c:v>4.0485822000943536E-3</c:v>
                  </c:pt>
                  <c:pt idx="911">
                    <c:v>3.9514979930911666E-3</c:v>
                  </c:pt>
                  <c:pt idx="912">
                    <c:v>3.8564950227485055E-3</c:v>
                  </c:pt>
                  <c:pt idx="913">
                    <c:v>3.7635352652328072E-3</c:v>
                  </c:pt>
                  <c:pt idx="914">
                    <c:v>3.6725812245213766E-3</c:v>
                  </c:pt>
                  <c:pt idx="915">
                    <c:v>3.5835959291622946E-3</c:v>
                  </c:pt>
                  <c:pt idx="916">
                    <c:v>3.4965429289466918E-3</c:v>
                  </c:pt>
                  <c:pt idx="917">
                    <c:v>3.4113862914967995E-3</c:v>
                  </c:pt>
                  <c:pt idx="918">
                    <c:v>3.3280905987730838E-3</c:v>
                  </c:pt>
                  <c:pt idx="919">
                    <c:v>3.246620943503772E-3</c:v>
                  </c:pt>
                  <c:pt idx="920">
                    <c:v>3.1669429255400186E-3</c:v>
                  </c:pt>
                  <c:pt idx="921">
                    <c:v>3.0890226481398758E-3</c:v>
                  </c:pt>
                  <c:pt idx="922">
                    <c:v>3.0128267141842839E-3</c:v>
                  </c:pt>
                  <c:pt idx="923">
                    <c:v>2.9383222223281005E-3</c:v>
                  </c:pt>
                  <c:pt idx="924">
                    <c:v>2.8654767630893183E-3</c:v>
                  </c:pt>
                  <c:pt idx="925">
                    <c:v>2.7942584148793921E-3</c:v>
                  </c:pt>
                  <c:pt idx="926">
                    <c:v>2.7246357399777054E-3</c:v>
                  </c:pt>
                  <c:pt idx="927">
                    <c:v>2.6565777804530501E-3</c:v>
                  </c:pt>
                  <c:pt idx="928">
                    <c:v>2.5900540540349905E-3</c:v>
                  </c:pt>
                  <c:pt idx="929">
                    <c:v>2.5250345499379314E-3</c:v>
                  </c:pt>
                  <c:pt idx="930">
                    <c:v>2.461489724640652E-3</c:v>
                  </c:pt>
                  <c:pt idx="931">
                    <c:v>2.3993904976240183E-3</c:v>
                  </c:pt>
                  <c:pt idx="932">
                    <c:v>2.3387082470695403E-3</c:v>
                  </c:pt>
                  <c:pt idx="933">
                    <c:v>2.2794148055213996E-3</c:v>
                  </c:pt>
                  <c:pt idx="934">
                    <c:v>2.2214824555144876E-3</c:v>
                  </c:pt>
                  <c:pt idx="935">
                    <c:v>2.1648839251710177E-3</c:v>
                  </c:pt>
                  <c:pt idx="936">
                    <c:v>2.109592383768124E-3</c:v>
                  </c:pt>
                  <c:pt idx="937">
                    <c:v>2.0555814372788957E-3</c:v>
                  </c:pt>
                  <c:pt idx="938">
                    <c:v>2.0028251238892129E-3</c:v>
                  </c:pt>
                  <c:pt idx="939">
                    <c:v>1.9512979094927002E-3</c:v>
                  </c:pt>
                  <c:pt idx="940">
                    <c:v>1.9009746831660413E-3</c:v>
                  </c:pt>
                  <c:pt idx="941">
                    <c:v>1.8518307526269151E-3</c:v>
                  </c:pt>
                  <c:pt idx="942">
                    <c:v>1.8038418396766921E-3</c:v>
                  </c:pt>
                  <c:pt idx="943">
                    <c:v>1.7569840756300184E-3</c:v>
                  </c:pt>
                  <c:pt idx="944">
                    <c:v>1.7112339967333627E-3</c:v>
                  </c:pt>
                  <c:pt idx="945">
                    <c:v>1.6665685395745456E-3</c:v>
                  </c:pt>
                  <c:pt idx="946">
                    <c:v>1.6229650364852233E-3</c:v>
                  </c:pt>
                  <c:pt idx="947">
                    <c:v>1.5804012109382577E-3</c:v>
                  </c:pt>
                  <c:pt idx="948">
                    <c:v>1.5388551729418362E-3</c:v>
                  </c:pt>
                  <c:pt idx="949">
                    <c:v>1.4983054144321983E-3</c:v>
                  </c:pt>
                  <c:pt idx="950">
                    <c:v>1.4587308046667146E-3</c:v>
                  </c:pt>
                  <c:pt idx="951">
                    <c:v>1.4201105856190941E-3</c:v>
                  </c:pt>
                  <c:pt idx="952">
                    <c:v>1.3824243673783703E-3</c:v>
                  </c:pt>
                  <c:pt idx="953">
                    <c:v>1.3456521235533402E-3</c:v>
                  </c:pt>
                  <c:pt idx="954">
                    <c:v>1.3097741866840412E-3</c:v>
                  </c:pt>
                  <c:pt idx="955">
                    <c:v>1.2747712436618054E-3</c:v>
                  </c:pt>
                  <c:pt idx="956">
                    <c:v>1.2406243311594229E-3</c:v>
                  </c:pt>
                  <c:pt idx="957">
                    <c:v>1.2073148310728558E-3</c:v>
                  </c:pt>
                  <c:pt idx="958">
                    <c:v>1.1748244659759287E-3</c:v>
                  </c:pt>
                  <c:pt idx="959">
                    <c:v>1.1431352945893722E-3</c:v>
                  </c:pt>
                  <c:pt idx="960">
                    <c:v>1.112229707265541E-3</c:v>
                  </c:pt>
                  <c:pt idx="961">
                    <c:v>1.0820904214901101E-3</c:v>
                  </c:pt>
                  <c:pt idx="962">
                    <c:v>1.0527004774019799E-3</c:v>
                  </c:pt>
                  <c:pt idx="963">
                    <c:v>1.0240432333326001E-3</c:v>
                  </c:pt>
                  <c:pt idx="964">
                    <c:v>9.9610236136588536E-4</c:v>
                  </c:pt>
                  <c:pt idx="965">
                    <c:v>9.6886184291982433E-4</c:v>
                  </c:pt>
                  <c:pt idx="966">
                    <c:v>9.4230596435088999E-4</c:v>
                  </c:pt>
                  <c:pt idx="967">
                    <c:v>9.1641931258226836E-4</c:v>
                  </c:pt>
                  <c:pt idx="968">
                    <c:v>8.9118677075693243E-4</c:v>
                  </c:pt>
                  <c:pt idx="969">
                    <c:v>8.6659351391650985E-4</c:v>
                  </c:pt>
                  <c:pt idx="970">
                    <c:v>8.4262500470688327E-4</c:v>
                  </c:pt>
                  <c:pt idx="971">
                    <c:v>8.1926698911140403E-4</c:v>
                  </c:pt>
                  <c:pt idx="972">
                    <c:v>7.9650549221258274E-4</c:v>
                  </c:pt>
                  <c:pt idx="973">
                    <c:v>7.7432681398306399E-4</c:v>
                  </c:pt>
                  <c:pt idx="974">
                    <c:v>7.5271752510667567E-4</c:v>
                  </c:pt>
                  <c:pt idx="975">
                    <c:v>7.3166446283029387E-4</c:v>
                  </c:pt>
                  <c:pt idx="976">
                    <c:v>7.1115472684723613E-4</c:v>
                  </c:pt>
                  <c:pt idx="977">
                    <c:v>6.9117567521286959E-4</c:v>
                  </c:pt>
                  <c:pt idx="978">
                    <c:v>6.7171492029306388E-4</c:v>
                  </c:pt>
                  <c:pt idx="979">
                    <c:v>6.527603247461209E-4</c:v>
                  </c:pt>
                  <c:pt idx="980">
                    <c:v>6.3429999753874221E-4</c:v>
                  </c:pt>
                  <c:pt idx="981">
                    <c:v>6.1632228999660397E-4</c:v>
                  </c:pt>
                  <c:pt idx="982">
                    <c:v>5.9881579189003829E-4</c:v>
                  </c:pt>
                  <c:pt idx="983">
                    <c:v>5.8176932755532628E-4</c:v>
                  </c:pt>
                  <c:pt idx="984">
                    <c:v>5.6517195205205097E-4</c:v>
                  </c:pt>
                  <c:pt idx="985">
                    <c:v>5.4901294735694548E-4</c:v>
                  </c:pt>
                  <c:pt idx="986">
                    <c:v>5.3328181859463569E-4</c:v>
                  </c:pt>
                  <c:pt idx="987">
                    <c:v>5.1796829030565262E-4</c:v>
                  </c:pt>
                  <c:pt idx="988">
                    <c:v>5.0306230275206211E-4</c:v>
                  </c:pt>
                  <c:pt idx="989">
                    <c:v>4.8855400826102737E-4</c:v>
                  </c:pt>
                  <c:pt idx="990">
                    <c:v>4.7443376760660921E-4</c:v>
                  </c:pt>
                  <c:pt idx="991">
                    <c:v>4.6069214643005782E-4</c:v>
                  </c:pt>
                  <c:pt idx="992">
                    <c:v>4.473199116988572E-4</c:v>
                  </c:pt>
                  <c:pt idx="993">
                    <c:v>4.3430802820472637E-4</c:v>
                  </c:pt>
                  <c:pt idx="994">
                    <c:v>4.2164765510078854E-4</c:v>
                  </c:pt>
                  <c:pt idx="995">
                    <c:v>4.0933014247806858E-4</c:v>
                  </c:pt>
                  <c:pt idx="996">
                    <c:v>3.9734702798148078E-4</c:v>
                  </c:pt>
                  <c:pt idx="997">
                    <c:v>3.8569003346542921E-4</c:v>
                  </c:pt>
                  <c:pt idx="998">
                    <c:v>3.7435106168913262E-4</c:v>
                  </c:pt>
                  <c:pt idx="999">
                    <c:v>3.6332219305175862E-4</c:v>
                  </c:pt>
                  <c:pt idx="1000">
                    <c:v>3.5259568236743722E-4</c:v>
                  </c:pt>
                </c:numCache>
              </c:numRef>
            </c:minus>
            <c:spPr>
              <a:ln w="38100">
                <a:solidFill>
                  <a:srgbClr val="FF8080"/>
                </a:solidFill>
                <a:prstDash val="solid"/>
              </a:ln>
            </c:spPr>
          </c:errBars>
          <c:xVal>
            <c:numRef>
              <c:f>'d picture'!$AJ$10:$AJ$1010</c:f>
              <c:numCache>
                <c:formatCode>General</c:formatCode>
                <c:ptCount val="1001"/>
                <c:pt idx="0">
                  <c:v>-4</c:v>
                </c:pt>
                <c:pt idx="1">
                  <c:v>-3.992</c:v>
                </c:pt>
                <c:pt idx="2">
                  <c:v>-3.984</c:v>
                </c:pt>
                <c:pt idx="3">
                  <c:v>-3.976</c:v>
                </c:pt>
                <c:pt idx="4">
                  <c:v>-3.968</c:v>
                </c:pt>
                <c:pt idx="5">
                  <c:v>-3.96</c:v>
                </c:pt>
                <c:pt idx="6">
                  <c:v>-3.952</c:v>
                </c:pt>
                <c:pt idx="7">
                  <c:v>-3.944</c:v>
                </c:pt>
                <c:pt idx="8">
                  <c:v>-3.9359999999999999</c:v>
                </c:pt>
                <c:pt idx="9">
                  <c:v>-3.9279999999999999</c:v>
                </c:pt>
                <c:pt idx="10">
                  <c:v>-3.92</c:v>
                </c:pt>
                <c:pt idx="11">
                  <c:v>-3.9119999999999999</c:v>
                </c:pt>
                <c:pt idx="12">
                  <c:v>-3.9039999999999999</c:v>
                </c:pt>
                <c:pt idx="13">
                  <c:v>-3.8959999999999999</c:v>
                </c:pt>
                <c:pt idx="14">
                  <c:v>-3.8879999999999999</c:v>
                </c:pt>
                <c:pt idx="15">
                  <c:v>-3.88</c:v>
                </c:pt>
                <c:pt idx="16">
                  <c:v>-3.8719999999999999</c:v>
                </c:pt>
                <c:pt idx="17">
                  <c:v>-3.8639999999999999</c:v>
                </c:pt>
                <c:pt idx="18">
                  <c:v>-3.8559999999999999</c:v>
                </c:pt>
                <c:pt idx="19">
                  <c:v>-3.8479999999999999</c:v>
                </c:pt>
                <c:pt idx="20">
                  <c:v>-3.84</c:v>
                </c:pt>
                <c:pt idx="21">
                  <c:v>-3.8319999999999999</c:v>
                </c:pt>
                <c:pt idx="22">
                  <c:v>-3.8239999999999998</c:v>
                </c:pt>
                <c:pt idx="23">
                  <c:v>-3.8159999999999998</c:v>
                </c:pt>
                <c:pt idx="24">
                  <c:v>-3.8079999999999998</c:v>
                </c:pt>
                <c:pt idx="25">
                  <c:v>-3.8</c:v>
                </c:pt>
                <c:pt idx="26">
                  <c:v>-3.7919999999999998</c:v>
                </c:pt>
                <c:pt idx="27">
                  <c:v>-3.7839999999999998</c:v>
                </c:pt>
                <c:pt idx="28">
                  <c:v>-3.7759999999999998</c:v>
                </c:pt>
                <c:pt idx="29">
                  <c:v>-3.7679999999999998</c:v>
                </c:pt>
                <c:pt idx="30">
                  <c:v>-3.76</c:v>
                </c:pt>
                <c:pt idx="31">
                  <c:v>-3.7519999999999998</c:v>
                </c:pt>
                <c:pt idx="32">
                  <c:v>-3.7439999999999998</c:v>
                </c:pt>
                <c:pt idx="33">
                  <c:v>-3.7359999999999998</c:v>
                </c:pt>
                <c:pt idx="34">
                  <c:v>-3.7279999999999998</c:v>
                </c:pt>
                <c:pt idx="35">
                  <c:v>-3.7199999999999998</c:v>
                </c:pt>
                <c:pt idx="36">
                  <c:v>-3.7119999999999997</c:v>
                </c:pt>
                <c:pt idx="37">
                  <c:v>-3.7039999999999997</c:v>
                </c:pt>
                <c:pt idx="38">
                  <c:v>-3.6959999999999997</c:v>
                </c:pt>
                <c:pt idx="39">
                  <c:v>-3.6879999999999997</c:v>
                </c:pt>
                <c:pt idx="40">
                  <c:v>-3.6799999999999997</c:v>
                </c:pt>
                <c:pt idx="41">
                  <c:v>-3.6719999999999997</c:v>
                </c:pt>
                <c:pt idx="42">
                  <c:v>-3.6639999999999997</c:v>
                </c:pt>
                <c:pt idx="43">
                  <c:v>-3.6559999999999997</c:v>
                </c:pt>
                <c:pt idx="44">
                  <c:v>-3.6479999999999997</c:v>
                </c:pt>
                <c:pt idx="45">
                  <c:v>-3.6399999999999997</c:v>
                </c:pt>
                <c:pt idx="46">
                  <c:v>-3.6319999999999997</c:v>
                </c:pt>
                <c:pt idx="47">
                  <c:v>-3.6239999999999997</c:v>
                </c:pt>
                <c:pt idx="48">
                  <c:v>-3.6159999999999997</c:v>
                </c:pt>
                <c:pt idx="49">
                  <c:v>-3.6079999999999997</c:v>
                </c:pt>
                <c:pt idx="50">
                  <c:v>-3.5999999999999996</c:v>
                </c:pt>
                <c:pt idx="51">
                  <c:v>-3.5919999999999996</c:v>
                </c:pt>
                <c:pt idx="52">
                  <c:v>-3.5839999999999996</c:v>
                </c:pt>
                <c:pt idx="53">
                  <c:v>-3.5759999999999996</c:v>
                </c:pt>
                <c:pt idx="54">
                  <c:v>-3.5679999999999996</c:v>
                </c:pt>
                <c:pt idx="55">
                  <c:v>-3.5599999999999996</c:v>
                </c:pt>
                <c:pt idx="56">
                  <c:v>-3.5519999999999996</c:v>
                </c:pt>
                <c:pt idx="57">
                  <c:v>-3.5439999999999996</c:v>
                </c:pt>
                <c:pt idx="58">
                  <c:v>-3.5359999999999996</c:v>
                </c:pt>
                <c:pt idx="59">
                  <c:v>-3.5279999999999996</c:v>
                </c:pt>
                <c:pt idx="60">
                  <c:v>-3.5199999999999996</c:v>
                </c:pt>
                <c:pt idx="61">
                  <c:v>-3.5119999999999996</c:v>
                </c:pt>
                <c:pt idx="62">
                  <c:v>-3.5039999999999996</c:v>
                </c:pt>
                <c:pt idx="63">
                  <c:v>-3.4959999999999996</c:v>
                </c:pt>
                <c:pt idx="64">
                  <c:v>-3.4879999999999995</c:v>
                </c:pt>
                <c:pt idx="65">
                  <c:v>-3.4799999999999995</c:v>
                </c:pt>
                <c:pt idx="66">
                  <c:v>-3.4719999999999995</c:v>
                </c:pt>
                <c:pt idx="67">
                  <c:v>-3.4639999999999995</c:v>
                </c:pt>
                <c:pt idx="68">
                  <c:v>-3.4559999999999995</c:v>
                </c:pt>
                <c:pt idx="69">
                  <c:v>-3.4479999999999995</c:v>
                </c:pt>
                <c:pt idx="70">
                  <c:v>-3.4399999999999995</c:v>
                </c:pt>
                <c:pt idx="71">
                  <c:v>-3.4319999999999995</c:v>
                </c:pt>
                <c:pt idx="72">
                  <c:v>-3.4239999999999995</c:v>
                </c:pt>
                <c:pt idx="73">
                  <c:v>-3.4159999999999995</c:v>
                </c:pt>
                <c:pt idx="74">
                  <c:v>-3.4079999999999995</c:v>
                </c:pt>
                <c:pt idx="75">
                  <c:v>-3.3999999999999995</c:v>
                </c:pt>
                <c:pt idx="76">
                  <c:v>-3.3919999999999995</c:v>
                </c:pt>
                <c:pt idx="77">
                  <c:v>-3.3839999999999995</c:v>
                </c:pt>
                <c:pt idx="78">
                  <c:v>-3.3759999999999994</c:v>
                </c:pt>
                <c:pt idx="79">
                  <c:v>-3.3679999999999994</c:v>
                </c:pt>
                <c:pt idx="80">
                  <c:v>-3.3599999999999994</c:v>
                </c:pt>
                <c:pt idx="81">
                  <c:v>-3.3519999999999994</c:v>
                </c:pt>
                <c:pt idx="82">
                  <c:v>-3.3439999999999994</c:v>
                </c:pt>
                <c:pt idx="83">
                  <c:v>-3.3359999999999994</c:v>
                </c:pt>
                <c:pt idx="84">
                  <c:v>-3.3279999999999994</c:v>
                </c:pt>
                <c:pt idx="85">
                  <c:v>-3.3199999999999994</c:v>
                </c:pt>
                <c:pt idx="86">
                  <c:v>-3.3119999999999994</c:v>
                </c:pt>
                <c:pt idx="87">
                  <c:v>-3.3039999999999994</c:v>
                </c:pt>
                <c:pt idx="88">
                  <c:v>-3.2959999999999994</c:v>
                </c:pt>
                <c:pt idx="89">
                  <c:v>-3.2879999999999994</c:v>
                </c:pt>
                <c:pt idx="90">
                  <c:v>-3.2799999999999994</c:v>
                </c:pt>
                <c:pt idx="91">
                  <c:v>-3.2719999999999994</c:v>
                </c:pt>
                <c:pt idx="92">
                  <c:v>-3.2639999999999993</c:v>
                </c:pt>
                <c:pt idx="93">
                  <c:v>-3.2559999999999993</c:v>
                </c:pt>
                <c:pt idx="94">
                  <c:v>-3.2479999999999993</c:v>
                </c:pt>
                <c:pt idx="95">
                  <c:v>-3.2399999999999993</c:v>
                </c:pt>
                <c:pt idx="96">
                  <c:v>-3.2319999999999993</c:v>
                </c:pt>
                <c:pt idx="97">
                  <c:v>-3.2239999999999993</c:v>
                </c:pt>
                <c:pt idx="98">
                  <c:v>-3.2159999999999993</c:v>
                </c:pt>
                <c:pt idx="99">
                  <c:v>-3.2079999999999993</c:v>
                </c:pt>
                <c:pt idx="100">
                  <c:v>-3.1999999999999993</c:v>
                </c:pt>
                <c:pt idx="101">
                  <c:v>-3.1919999999999993</c:v>
                </c:pt>
                <c:pt idx="102">
                  <c:v>-3.1839999999999993</c:v>
                </c:pt>
                <c:pt idx="103">
                  <c:v>-3.1759999999999993</c:v>
                </c:pt>
                <c:pt idx="104">
                  <c:v>-3.1679999999999993</c:v>
                </c:pt>
                <c:pt idx="105">
                  <c:v>-3.1599999999999993</c:v>
                </c:pt>
                <c:pt idx="106">
                  <c:v>-3.1519999999999992</c:v>
                </c:pt>
                <c:pt idx="107">
                  <c:v>-3.1439999999999992</c:v>
                </c:pt>
                <c:pt idx="108">
                  <c:v>-3.1359999999999992</c:v>
                </c:pt>
                <c:pt idx="109">
                  <c:v>-3.1279999999999992</c:v>
                </c:pt>
                <c:pt idx="110">
                  <c:v>-3.1199999999999992</c:v>
                </c:pt>
                <c:pt idx="111">
                  <c:v>-3.1119999999999992</c:v>
                </c:pt>
                <c:pt idx="112">
                  <c:v>-3.1039999999999992</c:v>
                </c:pt>
                <c:pt idx="113">
                  <c:v>-3.0959999999999992</c:v>
                </c:pt>
                <c:pt idx="114">
                  <c:v>-3.0879999999999992</c:v>
                </c:pt>
                <c:pt idx="115">
                  <c:v>-3.0799999999999992</c:v>
                </c:pt>
                <c:pt idx="116">
                  <c:v>-3.0719999999999992</c:v>
                </c:pt>
                <c:pt idx="117">
                  <c:v>-3.0639999999999992</c:v>
                </c:pt>
                <c:pt idx="118">
                  <c:v>-3.0559999999999992</c:v>
                </c:pt>
                <c:pt idx="119">
                  <c:v>-3.0479999999999992</c:v>
                </c:pt>
                <c:pt idx="120">
                  <c:v>-3.0399999999999991</c:v>
                </c:pt>
                <c:pt idx="121">
                  <c:v>-3.0319999999999991</c:v>
                </c:pt>
                <c:pt idx="122">
                  <c:v>-3.0239999999999991</c:v>
                </c:pt>
                <c:pt idx="123">
                  <c:v>-3.0159999999999991</c:v>
                </c:pt>
                <c:pt idx="124">
                  <c:v>-3.0079999999999991</c:v>
                </c:pt>
                <c:pt idx="125">
                  <c:v>-2.9999999999999991</c:v>
                </c:pt>
                <c:pt idx="126">
                  <c:v>-2.9919999999999991</c:v>
                </c:pt>
                <c:pt idx="127">
                  <c:v>-2.9839999999999991</c:v>
                </c:pt>
                <c:pt idx="128">
                  <c:v>-2.9759999999999991</c:v>
                </c:pt>
                <c:pt idx="129">
                  <c:v>-2.9679999999999991</c:v>
                </c:pt>
                <c:pt idx="130">
                  <c:v>-2.9599999999999991</c:v>
                </c:pt>
                <c:pt idx="131">
                  <c:v>-2.9519999999999991</c:v>
                </c:pt>
                <c:pt idx="132">
                  <c:v>-2.9439999999999991</c:v>
                </c:pt>
                <c:pt idx="133">
                  <c:v>-2.9359999999999991</c:v>
                </c:pt>
                <c:pt idx="134">
                  <c:v>-2.927999999999999</c:v>
                </c:pt>
                <c:pt idx="135">
                  <c:v>-2.919999999999999</c:v>
                </c:pt>
                <c:pt idx="136">
                  <c:v>-2.911999999999999</c:v>
                </c:pt>
                <c:pt idx="137">
                  <c:v>-2.903999999999999</c:v>
                </c:pt>
                <c:pt idx="138">
                  <c:v>-2.895999999999999</c:v>
                </c:pt>
                <c:pt idx="139">
                  <c:v>-2.887999999999999</c:v>
                </c:pt>
                <c:pt idx="140">
                  <c:v>-2.879999999999999</c:v>
                </c:pt>
                <c:pt idx="141">
                  <c:v>-2.871999999999999</c:v>
                </c:pt>
                <c:pt idx="142">
                  <c:v>-2.863999999999999</c:v>
                </c:pt>
                <c:pt idx="143">
                  <c:v>-2.855999999999999</c:v>
                </c:pt>
                <c:pt idx="144">
                  <c:v>-2.847999999999999</c:v>
                </c:pt>
                <c:pt idx="145">
                  <c:v>-2.839999999999999</c:v>
                </c:pt>
                <c:pt idx="146">
                  <c:v>-2.831999999999999</c:v>
                </c:pt>
                <c:pt idx="147">
                  <c:v>-2.823999999999999</c:v>
                </c:pt>
                <c:pt idx="148">
                  <c:v>-2.8159999999999989</c:v>
                </c:pt>
                <c:pt idx="149">
                  <c:v>-2.8079999999999989</c:v>
                </c:pt>
                <c:pt idx="150">
                  <c:v>-2.7999999999999989</c:v>
                </c:pt>
                <c:pt idx="151">
                  <c:v>-2.7919999999999989</c:v>
                </c:pt>
                <c:pt idx="152">
                  <c:v>-2.7839999999999989</c:v>
                </c:pt>
                <c:pt idx="153">
                  <c:v>-2.7759999999999989</c:v>
                </c:pt>
                <c:pt idx="154">
                  <c:v>-2.7679999999999989</c:v>
                </c:pt>
                <c:pt idx="155">
                  <c:v>-2.7599999999999989</c:v>
                </c:pt>
                <c:pt idx="156">
                  <c:v>-2.7519999999999989</c:v>
                </c:pt>
                <c:pt idx="157">
                  <c:v>-2.7439999999999989</c:v>
                </c:pt>
                <c:pt idx="158">
                  <c:v>-2.7359999999999989</c:v>
                </c:pt>
                <c:pt idx="159">
                  <c:v>-2.7279999999999989</c:v>
                </c:pt>
                <c:pt idx="160">
                  <c:v>-2.7199999999999989</c:v>
                </c:pt>
                <c:pt idx="161">
                  <c:v>-2.7119999999999989</c:v>
                </c:pt>
                <c:pt idx="162">
                  <c:v>-2.7039999999999988</c:v>
                </c:pt>
                <c:pt idx="163">
                  <c:v>-2.6959999999999988</c:v>
                </c:pt>
                <c:pt idx="164">
                  <c:v>-2.6879999999999988</c:v>
                </c:pt>
                <c:pt idx="165">
                  <c:v>-2.6799999999999988</c:v>
                </c:pt>
                <c:pt idx="166">
                  <c:v>-2.6719999999999988</c:v>
                </c:pt>
                <c:pt idx="167">
                  <c:v>-2.6639999999999988</c:v>
                </c:pt>
                <c:pt idx="168">
                  <c:v>-2.6559999999999988</c:v>
                </c:pt>
                <c:pt idx="169">
                  <c:v>-2.6479999999999988</c:v>
                </c:pt>
                <c:pt idx="170">
                  <c:v>-2.6399999999999988</c:v>
                </c:pt>
                <c:pt idx="171">
                  <c:v>-2.6319999999999988</c:v>
                </c:pt>
                <c:pt idx="172">
                  <c:v>-2.6239999999999988</c:v>
                </c:pt>
                <c:pt idx="173">
                  <c:v>-2.6159999999999988</c:v>
                </c:pt>
                <c:pt idx="174">
                  <c:v>-2.6079999999999988</c:v>
                </c:pt>
                <c:pt idx="175">
                  <c:v>-2.5999999999999988</c:v>
                </c:pt>
                <c:pt idx="176">
                  <c:v>-2.5919999999999987</c:v>
                </c:pt>
                <c:pt idx="177">
                  <c:v>-2.5839999999999987</c:v>
                </c:pt>
                <c:pt idx="178">
                  <c:v>-2.5759999999999987</c:v>
                </c:pt>
                <c:pt idx="179">
                  <c:v>-2.5679999999999987</c:v>
                </c:pt>
                <c:pt idx="180">
                  <c:v>-2.5599999999999987</c:v>
                </c:pt>
                <c:pt idx="181">
                  <c:v>-2.5519999999999987</c:v>
                </c:pt>
                <c:pt idx="182">
                  <c:v>-2.5439999999999987</c:v>
                </c:pt>
                <c:pt idx="183">
                  <c:v>-2.5359999999999987</c:v>
                </c:pt>
                <c:pt idx="184">
                  <c:v>-2.5279999999999987</c:v>
                </c:pt>
                <c:pt idx="185">
                  <c:v>-2.5199999999999987</c:v>
                </c:pt>
                <c:pt idx="186">
                  <c:v>-2.5119999999999987</c:v>
                </c:pt>
                <c:pt idx="187">
                  <c:v>-2.5039999999999987</c:v>
                </c:pt>
                <c:pt idx="188">
                  <c:v>-2.4959999999999987</c:v>
                </c:pt>
                <c:pt idx="189">
                  <c:v>-2.4879999999999987</c:v>
                </c:pt>
                <c:pt idx="190">
                  <c:v>-2.4799999999999986</c:v>
                </c:pt>
                <c:pt idx="191">
                  <c:v>-2.4719999999999986</c:v>
                </c:pt>
                <c:pt idx="192">
                  <c:v>-2.4639999999999986</c:v>
                </c:pt>
                <c:pt idx="193">
                  <c:v>-2.4559999999999986</c:v>
                </c:pt>
                <c:pt idx="194">
                  <c:v>-2.4479999999999986</c:v>
                </c:pt>
                <c:pt idx="195">
                  <c:v>-2.4399999999999986</c:v>
                </c:pt>
                <c:pt idx="196">
                  <c:v>-2.4319999999999986</c:v>
                </c:pt>
                <c:pt idx="197">
                  <c:v>-2.4239999999999986</c:v>
                </c:pt>
                <c:pt idx="198">
                  <c:v>-2.4159999999999986</c:v>
                </c:pt>
                <c:pt idx="199">
                  <c:v>-2.4079999999999986</c:v>
                </c:pt>
                <c:pt idx="200">
                  <c:v>-2.3999999999999986</c:v>
                </c:pt>
                <c:pt idx="201">
                  <c:v>-2.3919999999999986</c:v>
                </c:pt>
                <c:pt idx="202">
                  <c:v>-2.3839999999999986</c:v>
                </c:pt>
                <c:pt idx="203">
                  <c:v>-2.3759999999999986</c:v>
                </c:pt>
                <c:pt idx="204">
                  <c:v>-2.3679999999999986</c:v>
                </c:pt>
                <c:pt idx="205">
                  <c:v>-2.3599999999999985</c:v>
                </c:pt>
                <c:pt idx="206">
                  <c:v>-2.3519999999999985</c:v>
                </c:pt>
                <c:pt idx="207">
                  <c:v>-2.3439999999999985</c:v>
                </c:pt>
                <c:pt idx="208">
                  <c:v>-2.3359999999999985</c:v>
                </c:pt>
                <c:pt idx="209">
                  <c:v>-2.3279999999999985</c:v>
                </c:pt>
                <c:pt idx="210">
                  <c:v>-2.3199999999999985</c:v>
                </c:pt>
                <c:pt idx="211">
                  <c:v>-2.3119999999999985</c:v>
                </c:pt>
                <c:pt idx="212">
                  <c:v>-2.3039999999999985</c:v>
                </c:pt>
                <c:pt idx="213">
                  <c:v>-2.2959999999999985</c:v>
                </c:pt>
                <c:pt idx="214">
                  <c:v>-2.2879999999999985</c:v>
                </c:pt>
                <c:pt idx="215">
                  <c:v>-2.2799999999999985</c:v>
                </c:pt>
                <c:pt idx="216">
                  <c:v>-2.2719999999999985</c:v>
                </c:pt>
                <c:pt idx="217">
                  <c:v>-2.2639999999999985</c:v>
                </c:pt>
                <c:pt idx="218">
                  <c:v>-2.2559999999999985</c:v>
                </c:pt>
                <c:pt idx="219">
                  <c:v>-2.2479999999999984</c:v>
                </c:pt>
                <c:pt idx="220">
                  <c:v>-2.2399999999999984</c:v>
                </c:pt>
                <c:pt idx="221">
                  <c:v>-2.2319999999999984</c:v>
                </c:pt>
                <c:pt idx="222">
                  <c:v>-2.2239999999999984</c:v>
                </c:pt>
                <c:pt idx="223">
                  <c:v>-2.2159999999999984</c:v>
                </c:pt>
                <c:pt idx="224">
                  <c:v>-2.2079999999999984</c:v>
                </c:pt>
                <c:pt idx="225">
                  <c:v>-2.1999999999999984</c:v>
                </c:pt>
                <c:pt idx="226">
                  <c:v>-2.1919999999999984</c:v>
                </c:pt>
                <c:pt idx="227">
                  <c:v>-2.1839999999999984</c:v>
                </c:pt>
                <c:pt idx="228">
                  <c:v>-2.1759999999999984</c:v>
                </c:pt>
                <c:pt idx="229">
                  <c:v>-2.1679999999999984</c:v>
                </c:pt>
                <c:pt idx="230">
                  <c:v>-2.1599999999999984</c:v>
                </c:pt>
                <c:pt idx="231">
                  <c:v>-2.1519999999999984</c:v>
                </c:pt>
                <c:pt idx="232">
                  <c:v>-2.1439999999999984</c:v>
                </c:pt>
                <c:pt idx="233">
                  <c:v>-2.1359999999999983</c:v>
                </c:pt>
                <c:pt idx="234">
                  <c:v>-2.1279999999999983</c:v>
                </c:pt>
                <c:pt idx="235">
                  <c:v>-2.1199999999999983</c:v>
                </c:pt>
                <c:pt idx="236">
                  <c:v>-2.1119999999999983</c:v>
                </c:pt>
                <c:pt idx="237">
                  <c:v>-2.1039999999999983</c:v>
                </c:pt>
                <c:pt idx="238">
                  <c:v>-2.0959999999999983</c:v>
                </c:pt>
                <c:pt idx="239">
                  <c:v>-2.0879999999999983</c:v>
                </c:pt>
                <c:pt idx="240">
                  <c:v>-2.0799999999999983</c:v>
                </c:pt>
                <c:pt idx="241">
                  <c:v>-2.0719999999999983</c:v>
                </c:pt>
                <c:pt idx="242">
                  <c:v>-2.0639999999999983</c:v>
                </c:pt>
                <c:pt idx="243">
                  <c:v>-2.0559999999999983</c:v>
                </c:pt>
                <c:pt idx="244">
                  <c:v>-2.0479999999999983</c:v>
                </c:pt>
                <c:pt idx="245">
                  <c:v>-2.0399999999999983</c:v>
                </c:pt>
                <c:pt idx="246">
                  <c:v>-2.0319999999999983</c:v>
                </c:pt>
                <c:pt idx="247">
                  <c:v>-2.0239999999999982</c:v>
                </c:pt>
                <c:pt idx="248">
                  <c:v>-2.0159999999999982</c:v>
                </c:pt>
                <c:pt idx="249">
                  <c:v>-2.0079999999999982</c:v>
                </c:pt>
                <c:pt idx="250">
                  <c:v>-1.9999999999999982</c:v>
                </c:pt>
                <c:pt idx="251">
                  <c:v>-1.9919999999999982</c:v>
                </c:pt>
                <c:pt idx="252">
                  <c:v>-1.9839999999999982</c:v>
                </c:pt>
                <c:pt idx="253">
                  <c:v>-1.9759999999999982</c:v>
                </c:pt>
                <c:pt idx="254">
                  <c:v>-1.9679999999999982</c:v>
                </c:pt>
                <c:pt idx="255">
                  <c:v>-1.9599999999999982</c:v>
                </c:pt>
                <c:pt idx="256">
                  <c:v>-1.9519999999999982</c:v>
                </c:pt>
                <c:pt idx="257">
                  <c:v>-1.9439999999999982</c:v>
                </c:pt>
                <c:pt idx="258">
                  <c:v>-1.9359999999999982</c:v>
                </c:pt>
                <c:pt idx="259">
                  <c:v>-1.9279999999999982</c:v>
                </c:pt>
                <c:pt idx="260">
                  <c:v>-1.9199999999999982</c:v>
                </c:pt>
                <c:pt idx="261">
                  <c:v>-1.9119999999999981</c:v>
                </c:pt>
                <c:pt idx="262">
                  <c:v>-1.9039999999999981</c:v>
                </c:pt>
                <c:pt idx="263">
                  <c:v>-1.8959999999999981</c:v>
                </c:pt>
                <c:pt idx="264">
                  <c:v>-1.8879999999999981</c:v>
                </c:pt>
                <c:pt idx="265">
                  <c:v>-1.8799999999999981</c:v>
                </c:pt>
                <c:pt idx="266">
                  <c:v>-1.8719999999999981</c:v>
                </c:pt>
                <c:pt idx="267">
                  <c:v>-1.8639999999999981</c:v>
                </c:pt>
                <c:pt idx="268">
                  <c:v>-1.8559999999999981</c:v>
                </c:pt>
                <c:pt idx="269">
                  <c:v>-1.8479999999999981</c:v>
                </c:pt>
                <c:pt idx="270">
                  <c:v>-1.8399999999999981</c:v>
                </c:pt>
                <c:pt idx="271">
                  <c:v>-1.8319999999999981</c:v>
                </c:pt>
                <c:pt idx="272">
                  <c:v>-1.8239999999999981</c:v>
                </c:pt>
                <c:pt idx="273">
                  <c:v>-1.8159999999999981</c:v>
                </c:pt>
                <c:pt idx="274">
                  <c:v>-1.8079999999999981</c:v>
                </c:pt>
                <c:pt idx="275">
                  <c:v>-1.799999999999998</c:v>
                </c:pt>
                <c:pt idx="276">
                  <c:v>-1.791999999999998</c:v>
                </c:pt>
                <c:pt idx="277">
                  <c:v>-1.783999999999998</c:v>
                </c:pt>
                <c:pt idx="278">
                  <c:v>-1.775999999999998</c:v>
                </c:pt>
                <c:pt idx="279">
                  <c:v>-1.767999999999998</c:v>
                </c:pt>
                <c:pt idx="280">
                  <c:v>-1.759999999999998</c:v>
                </c:pt>
                <c:pt idx="281">
                  <c:v>-1.751999999999998</c:v>
                </c:pt>
                <c:pt idx="282">
                  <c:v>-1.743999999999998</c:v>
                </c:pt>
                <c:pt idx="283">
                  <c:v>-1.735999999999998</c:v>
                </c:pt>
                <c:pt idx="284">
                  <c:v>-1.727999999999998</c:v>
                </c:pt>
                <c:pt idx="285">
                  <c:v>-1.719999999999998</c:v>
                </c:pt>
                <c:pt idx="286">
                  <c:v>-1.711999999999998</c:v>
                </c:pt>
                <c:pt idx="287">
                  <c:v>-1.703999999999998</c:v>
                </c:pt>
                <c:pt idx="288">
                  <c:v>-1.695999999999998</c:v>
                </c:pt>
                <c:pt idx="289">
                  <c:v>-1.6879999999999979</c:v>
                </c:pt>
                <c:pt idx="290">
                  <c:v>-1.6799999999999979</c:v>
                </c:pt>
                <c:pt idx="291">
                  <c:v>-1.6719999999999979</c:v>
                </c:pt>
                <c:pt idx="292">
                  <c:v>-1.6639999999999979</c:v>
                </c:pt>
                <c:pt idx="293">
                  <c:v>-1.6559999999999979</c:v>
                </c:pt>
                <c:pt idx="294">
                  <c:v>-1.6479999999999979</c:v>
                </c:pt>
                <c:pt idx="295">
                  <c:v>-1.6399999999999979</c:v>
                </c:pt>
                <c:pt idx="296">
                  <c:v>-1.6319999999999979</c:v>
                </c:pt>
                <c:pt idx="297">
                  <c:v>-1.6239999999999979</c:v>
                </c:pt>
                <c:pt idx="298">
                  <c:v>-1.6159999999999979</c:v>
                </c:pt>
                <c:pt idx="299">
                  <c:v>-1.6079999999999979</c:v>
                </c:pt>
                <c:pt idx="300">
                  <c:v>-1.5999999999999979</c:v>
                </c:pt>
                <c:pt idx="301">
                  <c:v>-1.5919999999999979</c:v>
                </c:pt>
                <c:pt idx="302">
                  <c:v>-1.5839999999999979</c:v>
                </c:pt>
                <c:pt idx="303">
                  <c:v>-1.5759999999999978</c:v>
                </c:pt>
                <c:pt idx="304">
                  <c:v>-1.5679999999999978</c:v>
                </c:pt>
                <c:pt idx="305">
                  <c:v>-1.5599999999999978</c:v>
                </c:pt>
                <c:pt idx="306">
                  <c:v>-1.5519999999999978</c:v>
                </c:pt>
                <c:pt idx="307">
                  <c:v>-1.5439999999999978</c:v>
                </c:pt>
                <c:pt idx="308">
                  <c:v>-1.5359999999999978</c:v>
                </c:pt>
                <c:pt idx="309">
                  <c:v>-1.5279999999999978</c:v>
                </c:pt>
                <c:pt idx="310">
                  <c:v>-1.5199999999999978</c:v>
                </c:pt>
                <c:pt idx="311">
                  <c:v>-1.5119999999999978</c:v>
                </c:pt>
                <c:pt idx="312">
                  <c:v>-1.5039999999999978</c:v>
                </c:pt>
                <c:pt idx="313">
                  <c:v>-1.4959999999999978</c:v>
                </c:pt>
                <c:pt idx="314">
                  <c:v>-1.4879999999999978</c:v>
                </c:pt>
                <c:pt idx="315">
                  <c:v>-1.4799999999999978</c:v>
                </c:pt>
                <c:pt idx="316">
                  <c:v>-1.4719999999999978</c:v>
                </c:pt>
                <c:pt idx="317">
                  <c:v>-1.4639999999999977</c:v>
                </c:pt>
                <c:pt idx="318">
                  <c:v>-1.4559999999999977</c:v>
                </c:pt>
                <c:pt idx="319">
                  <c:v>-1.4479999999999977</c:v>
                </c:pt>
                <c:pt idx="320">
                  <c:v>-1.4399999999999977</c:v>
                </c:pt>
                <c:pt idx="321">
                  <c:v>-1.4319999999999977</c:v>
                </c:pt>
                <c:pt idx="322">
                  <c:v>-1.4239999999999977</c:v>
                </c:pt>
                <c:pt idx="323">
                  <c:v>-1.4159999999999977</c:v>
                </c:pt>
                <c:pt idx="324">
                  <c:v>-1.4079999999999977</c:v>
                </c:pt>
                <c:pt idx="325">
                  <c:v>-1.3999999999999977</c:v>
                </c:pt>
                <c:pt idx="326">
                  <c:v>-1.3919999999999977</c:v>
                </c:pt>
                <c:pt idx="327">
                  <c:v>-1.3839999999999977</c:v>
                </c:pt>
                <c:pt idx="328">
                  <c:v>-1.3759999999999977</c:v>
                </c:pt>
                <c:pt idx="329">
                  <c:v>-1.3679999999999977</c:v>
                </c:pt>
                <c:pt idx="330">
                  <c:v>-1.3599999999999977</c:v>
                </c:pt>
                <c:pt idx="331">
                  <c:v>-1.3519999999999976</c:v>
                </c:pt>
                <c:pt idx="332">
                  <c:v>-1.3439999999999976</c:v>
                </c:pt>
                <c:pt idx="333">
                  <c:v>-1.3359999999999976</c:v>
                </c:pt>
                <c:pt idx="334">
                  <c:v>-1.3279999999999976</c:v>
                </c:pt>
                <c:pt idx="335">
                  <c:v>-1.3199999999999976</c:v>
                </c:pt>
                <c:pt idx="336">
                  <c:v>-1.3119999999999976</c:v>
                </c:pt>
                <c:pt idx="337">
                  <c:v>-1.3039999999999976</c:v>
                </c:pt>
                <c:pt idx="338">
                  <c:v>-1.2959999999999976</c:v>
                </c:pt>
                <c:pt idx="339">
                  <c:v>-1.2879999999999976</c:v>
                </c:pt>
                <c:pt idx="340">
                  <c:v>-1.2799999999999976</c:v>
                </c:pt>
                <c:pt idx="341">
                  <c:v>-1.2719999999999976</c:v>
                </c:pt>
                <c:pt idx="342">
                  <c:v>-1.2639999999999976</c:v>
                </c:pt>
                <c:pt idx="343">
                  <c:v>-1.2559999999999976</c:v>
                </c:pt>
                <c:pt idx="344">
                  <c:v>-1.2479999999999976</c:v>
                </c:pt>
                <c:pt idx="345">
                  <c:v>-1.2399999999999975</c:v>
                </c:pt>
                <c:pt idx="346">
                  <c:v>-1.2319999999999975</c:v>
                </c:pt>
                <c:pt idx="347">
                  <c:v>-1.2239999999999975</c:v>
                </c:pt>
                <c:pt idx="348">
                  <c:v>-1.2159999999999975</c:v>
                </c:pt>
                <c:pt idx="349">
                  <c:v>-1.2079999999999975</c:v>
                </c:pt>
                <c:pt idx="350">
                  <c:v>-1.1999999999999975</c:v>
                </c:pt>
                <c:pt idx="351">
                  <c:v>-1.1919999999999975</c:v>
                </c:pt>
                <c:pt idx="352">
                  <c:v>-1.1839999999999975</c:v>
                </c:pt>
                <c:pt idx="353">
                  <c:v>-1.1759999999999975</c:v>
                </c:pt>
                <c:pt idx="354">
                  <c:v>-1.1679999999999975</c:v>
                </c:pt>
                <c:pt idx="355">
                  <c:v>-1.1599999999999975</c:v>
                </c:pt>
                <c:pt idx="356">
                  <c:v>-1.1519999999999975</c:v>
                </c:pt>
                <c:pt idx="357">
                  <c:v>-1.1439999999999975</c:v>
                </c:pt>
                <c:pt idx="358">
                  <c:v>-1.1359999999999975</c:v>
                </c:pt>
                <c:pt idx="359">
                  <c:v>-1.1279999999999974</c:v>
                </c:pt>
                <c:pt idx="360">
                  <c:v>-1.1199999999999974</c:v>
                </c:pt>
                <c:pt idx="361">
                  <c:v>-1.1119999999999974</c:v>
                </c:pt>
                <c:pt idx="362">
                  <c:v>-1.1039999999999974</c:v>
                </c:pt>
                <c:pt idx="363">
                  <c:v>-1.0959999999999974</c:v>
                </c:pt>
                <c:pt idx="364">
                  <c:v>-1.0879999999999974</c:v>
                </c:pt>
                <c:pt idx="365">
                  <c:v>-1.0799999999999974</c:v>
                </c:pt>
                <c:pt idx="366">
                  <c:v>-1.0719999999999974</c:v>
                </c:pt>
                <c:pt idx="367">
                  <c:v>-1.0639999999999974</c:v>
                </c:pt>
                <c:pt idx="368">
                  <c:v>-1.0559999999999974</c:v>
                </c:pt>
                <c:pt idx="369">
                  <c:v>-1.0479999999999974</c:v>
                </c:pt>
                <c:pt idx="370">
                  <c:v>-1.0399999999999974</c:v>
                </c:pt>
                <c:pt idx="371">
                  <c:v>-1.0319999999999974</c:v>
                </c:pt>
                <c:pt idx="372">
                  <c:v>-1.0239999999999974</c:v>
                </c:pt>
                <c:pt idx="373">
                  <c:v>-1.0159999999999973</c:v>
                </c:pt>
                <c:pt idx="374">
                  <c:v>-1.0079999999999973</c:v>
                </c:pt>
                <c:pt idx="375">
                  <c:v>-0.99999999999999734</c:v>
                </c:pt>
                <c:pt idx="376">
                  <c:v>-0.99199999999999733</c:v>
                </c:pt>
                <c:pt idx="377">
                  <c:v>-0.98399999999999732</c:v>
                </c:pt>
                <c:pt idx="378">
                  <c:v>-0.97599999999999731</c:v>
                </c:pt>
                <c:pt idx="379">
                  <c:v>-0.96799999999999731</c:v>
                </c:pt>
                <c:pt idx="380">
                  <c:v>-0.9599999999999973</c:v>
                </c:pt>
                <c:pt idx="381">
                  <c:v>-0.95199999999999729</c:v>
                </c:pt>
                <c:pt idx="382">
                  <c:v>-0.94399999999999729</c:v>
                </c:pt>
                <c:pt idx="383">
                  <c:v>-0.93599999999999728</c:v>
                </c:pt>
                <c:pt idx="384">
                  <c:v>-0.92799999999999727</c:v>
                </c:pt>
                <c:pt idx="385">
                  <c:v>-0.91999999999999726</c:v>
                </c:pt>
                <c:pt idx="386">
                  <c:v>-0.91199999999999726</c:v>
                </c:pt>
                <c:pt idx="387">
                  <c:v>-0.90399999999999725</c:v>
                </c:pt>
                <c:pt idx="388">
                  <c:v>-0.89599999999999724</c:v>
                </c:pt>
                <c:pt idx="389">
                  <c:v>-0.88799999999999724</c:v>
                </c:pt>
                <c:pt idx="390">
                  <c:v>-0.87999999999999723</c:v>
                </c:pt>
                <c:pt idx="391">
                  <c:v>-0.87199999999999722</c:v>
                </c:pt>
                <c:pt idx="392">
                  <c:v>-0.86399999999999721</c:v>
                </c:pt>
                <c:pt idx="393">
                  <c:v>-0.85599999999999721</c:v>
                </c:pt>
                <c:pt idx="394">
                  <c:v>-0.8479999999999972</c:v>
                </c:pt>
                <c:pt idx="395">
                  <c:v>-0.83999999999999719</c:v>
                </c:pt>
                <c:pt idx="396">
                  <c:v>-0.83199999999999719</c:v>
                </c:pt>
                <c:pt idx="397">
                  <c:v>-0.82399999999999718</c:v>
                </c:pt>
                <c:pt idx="398">
                  <c:v>-0.81599999999999717</c:v>
                </c:pt>
                <c:pt idx="399">
                  <c:v>-0.80799999999999716</c:v>
                </c:pt>
                <c:pt idx="400">
                  <c:v>-0.79999999999999716</c:v>
                </c:pt>
                <c:pt idx="401">
                  <c:v>-0.79199999999999715</c:v>
                </c:pt>
                <c:pt idx="402">
                  <c:v>-0.78399999999999714</c:v>
                </c:pt>
                <c:pt idx="403">
                  <c:v>-0.77599999999999714</c:v>
                </c:pt>
                <c:pt idx="404">
                  <c:v>-0.76799999999999713</c:v>
                </c:pt>
                <c:pt idx="405">
                  <c:v>-0.75999999999999712</c:v>
                </c:pt>
                <c:pt idx="406">
                  <c:v>-0.75199999999999712</c:v>
                </c:pt>
                <c:pt idx="407">
                  <c:v>-0.74399999999999711</c:v>
                </c:pt>
                <c:pt idx="408">
                  <c:v>-0.7359999999999971</c:v>
                </c:pt>
                <c:pt idx="409">
                  <c:v>-0.72799999999999709</c:v>
                </c:pt>
                <c:pt idx="410">
                  <c:v>-0.71999999999999709</c:v>
                </c:pt>
                <c:pt idx="411">
                  <c:v>-0.71199999999999708</c:v>
                </c:pt>
                <c:pt idx="412">
                  <c:v>-0.70399999999999707</c:v>
                </c:pt>
                <c:pt idx="413">
                  <c:v>-0.69599999999999707</c:v>
                </c:pt>
                <c:pt idx="414">
                  <c:v>-0.68799999999999706</c:v>
                </c:pt>
                <c:pt idx="415">
                  <c:v>-0.67999999999999705</c:v>
                </c:pt>
                <c:pt idx="416">
                  <c:v>-0.67199999999999704</c:v>
                </c:pt>
                <c:pt idx="417">
                  <c:v>-0.66399999999999704</c:v>
                </c:pt>
                <c:pt idx="418">
                  <c:v>-0.65599999999999703</c:v>
                </c:pt>
                <c:pt idx="419">
                  <c:v>-0.64799999999999702</c:v>
                </c:pt>
                <c:pt idx="420">
                  <c:v>-0.63999999999999702</c:v>
                </c:pt>
                <c:pt idx="421">
                  <c:v>-0.63199999999999701</c:v>
                </c:pt>
                <c:pt idx="422">
                  <c:v>-0.623999999999997</c:v>
                </c:pt>
                <c:pt idx="423">
                  <c:v>-0.61599999999999699</c:v>
                </c:pt>
                <c:pt idx="424">
                  <c:v>-0.60799999999999699</c:v>
                </c:pt>
                <c:pt idx="425">
                  <c:v>-0.59999999999999698</c:v>
                </c:pt>
                <c:pt idx="426">
                  <c:v>-0.59199999999999697</c:v>
                </c:pt>
                <c:pt idx="427">
                  <c:v>-0.58399999999999697</c:v>
                </c:pt>
                <c:pt idx="428">
                  <c:v>-0.57599999999999696</c:v>
                </c:pt>
                <c:pt idx="429">
                  <c:v>-0.56799999999999695</c:v>
                </c:pt>
                <c:pt idx="430">
                  <c:v>-0.55999999999999694</c:v>
                </c:pt>
                <c:pt idx="431">
                  <c:v>-0.55199999999999694</c:v>
                </c:pt>
                <c:pt idx="432">
                  <c:v>-0.54399999999999693</c:v>
                </c:pt>
                <c:pt idx="433">
                  <c:v>-0.53599999999999692</c:v>
                </c:pt>
                <c:pt idx="434">
                  <c:v>-0.52799999999999692</c:v>
                </c:pt>
                <c:pt idx="435">
                  <c:v>-0.51999999999999691</c:v>
                </c:pt>
                <c:pt idx="436">
                  <c:v>-0.5119999999999969</c:v>
                </c:pt>
                <c:pt idx="437">
                  <c:v>-0.50399999999999689</c:v>
                </c:pt>
                <c:pt idx="438">
                  <c:v>-0.49599999999999689</c:v>
                </c:pt>
                <c:pt idx="439">
                  <c:v>-0.48799999999999688</c:v>
                </c:pt>
                <c:pt idx="440">
                  <c:v>-0.47999999999999687</c:v>
                </c:pt>
                <c:pt idx="441">
                  <c:v>-0.47199999999999687</c:v>
                </c:pt>
                <c:pt idx="442">
                  <c:v>-0.46399999999999686</c:v>
                </c:pt>
                <c:pt idx="443">
                  <c:v>-0.45599999999999685</c:v>
                </c:pt>
                <c:pt idx="444">
                  <c:v>-0.44799999999999685</c:v>
                </c:pt>
                <c:pt idx="445">
                  <c:v>-0.43999999999999684</c:v>
                </c:pt>
                <c:pt idx="446">
                  <c:v>-0.43199999999999683</c:v>
                </c:pt>
                <c:pt idx="447">
                  <c:v>-0.42399999999999682</c:v>
                </c:pt>
                <c:pt idx="448">
                  <c:v>-0.41599999999999682</c:v>
                </c:pt>
                <c:pt idx="449">
                  <c:v>-0.40799999999999681</c:v>
                </c:pt>
                <c:pt idx="450">
                  <c:v>-0.3999999999999968</c:v>
                </c:pt>
                <c:pt idx="451">
                  <c:v>-0.3919999999999968</c:v>
                </c:pt>
                <c:pt idx="452">
                  <c:v>-0.38399999999999679</c:v>
                </c:pt>
                <c:pt idx="453">
                  <c:v>-0.37599999999999678</c:v>
                </c:pt>
                <c:pt idx="454">
                  <c:v>-0.36799999999999677</c:v>
                </c:pt>
                <c:pt idx="455">
                  <c:v>-0.35999999999999677</c:v>
                </c:pt>
                <c:pt idx="456">
                  <c:v>-0.35199999999999676</c:v>
                </c:pt>
                <c:pt idx="457">
                  <c:v>-0.34399999999999675</c:v>
                </c:pt>
                <c:pt idx="458">
                  <c:v>-0.33599999999999675</c:v>
                </c:pt>
                <c:pt idx="459">
                  <c:v>-0.32799999999999674</c:v>
                </c:pt>
                <c:pt idx="460">
                  <c:v>-0.31999999999999673</c:v>
                </c:pt>
                <c:pt idx="461">
                  <c:v>-0.31199999999999672</c:v>
                </c:pt>
                <c:pt idx="462">
                  <c:v>-0.30399999999999672</c:v>
                </c:pt>
                <c:pt idx="463">
                  <c:v>-0.29599999999999671</c:v>
                </c:pt>
                <c:pt idx="464">
                  <c:v>-0.2879999999999967</c:v>
                </c:pt>
                <c:pt idx="465">
                  <c:v>-0.2799999999999967</c:v>
                </c:pt>
                <c:pt idx="466">
                  <c:v>-0.27199999999999669</c:v>
                </c:pt>
                <c:pt idx="467">
                  <c:v>-0.26399999999999668</c:v>
                </c:pt>
                <c:pt idx="468">
                  <c:v>-0.25599999999999667</c:v>
                </c:pt>
                <c:pt idx="469">
                  <c:v>-0.24799999999999667</c:v>
                </c:pt>
                <c:pt idx="470">
                  <c:v>-0.23999999999999666</c:v>
                </c:pt>
                <c:pt idx="471">
                  <c:v>-0.23199999999999665</c:v>
                </c:pt>
                <c:pt idx="472">
                  <c:v>-0.22399999999999665</c:v>
                </c:pt>
                <c:pt idx="473">
                  <c:v>-0.21599999999999664</c:v>
                </c:pt>
                <c:pt idx="474">
                  <c:v>-0.20799999999999663</c:v>
                </c:pt>
                <c:pt idx="475">
                  <c:v>-0.19999999999999662</c:v>
                </c:pt>
                <c:pt idx="476">
                  <c:v>-0.19199999999999662</c:v>
                </c:pt>
                <c:pt idx="477">
                  <c:v>-0.18399999999999661</c:v>
                </c:pt>
                <c:pt idx="478">
                  <c:v>-0.1759999999999966</c:v>
                </c:pt>
                <c:pt idx="479">
                  <c:v>-0.1679999999999966</c:v>
                </c:pt>
                <c:pt idx="480">
                  <c:v>-0.15999999999999659</c:v>
                </c:pt>
                <c:pt idx="481">
                  <c:v>-0.15199999999999658</c:v>
                </c:pt>
                <c:pt idx="482">
                  <c:v>-0.14399999999999658</c:v>
                </c:pt>
                <c:pt idx="483">
                  <c:v>-0.13599999999999657</c:v>
                </c:pt>
                <c:pt idx="484">
                  <c:v>-0.12799999999999656</c:v>
                </c:pt>
                <c:pt idx="485">
                  <c:v>-0.11999999999999655</c:v>
                </c:pt>
                <c:pt idx="486">
                  <c:v>-0.11199999999999655</c:v>
                </c:pt>
                <c:pt idx="487">
                  <c:v>-0.10399999999999654</c:v>
                </c:pt>
                <c:pt idx="488">
                  <c:v>-9.5999999999996533E-2</c:v>
                </c:pt>
                <c:pt idx="489">
                  <c:v>-8.7999999999996525E-2</c:v>
                </c:pt>
                <c:pt idx="490">
                  <c:v>-7.9999999999996518E-2</c:v>
                </c:pt>
                <c:pt idx="491">
                  <c:v>-7.1999999999996511E-2</c:v>
                </c:pt>
                <c:pt idx="492">
                  <c:v>-6.3999999999996504E-2</c:v>
                </c:pt>
                <c:pt idx="493">
                  <c:v>-5.5999999999996504E-2</c:v>
                </c:pt>
                <c:pt idx="494">
                  <c:v>-4.7999999999996504E-2</c:v>
                </c:pt>
                <c:pt idx="495">
                  <c:v>-3.9999999999996504E-2</c:v>
                </c:pt>
                <c:pt idx="496">
                  <c:v>-3.1999999999996503E-2</c:v>
                </c:pt>
                <c:pt idx="497">
                  <c:v>-2.3999999999996503E-2</c:v>
                </c:pt>
                <c:pt idx="498">
                  <c:v>-1.5999999999996503E-2</c:v>
                </c:pt>
                <c:pt idx="499">
                  <c:v>-7.999999999996503E-3</c:v>
                </c:pt>
                <c:pt idx="500">
                  <c:v>3.4972025275692431E-15</c:v>
                </c:pt>
                <c:pt idx="501">
                  <c:v>8.0000000000034974E-3</c:v>
                </c:pt>
                <c:pt idx="502">
                  <c:v>1.6000000000003498E-2</c:v>
                </c:pt>
                <c:pt idx="503">
                  <c:v>2.4000000000003498E-2</c:v>
                </c:pt>
                <c:pt idx="504">
                  <c:v>3.2000000000003498E-2</c:v>
                </c:pt>
                <c:pt idx="505">
                  <c:v>4.0000000000003498E-2</c:v>
                </c:pt>
                <c:pt idx="506">
                  <c:v>4.8000000000003498E-2</c:v>
                </c:pt>
                <c:pt idx="507">
                  <c:v>5.6000000000003498E-2</c:v>
                </c:pt>
                <c:pt idx="508">
                  <c:v>6.4000000000003499E-2</c:v>
                </c:pt>
                <c:pt idx="509">
                  <c:v>7.2000000000003506E-2</c:v>
                </c:pt>
                <c:pt idx="510">
                  <c:v>8.0000000000003513E-2</c:v>
                </c:pt>
                <c:pt idx="511">
                  <c:v>8.800000000000352E-2</c:v>
                </c:pt>
                <c:pt idx="512">
                  <c:v>9.6000000000003527E-2</c:v>
                </c:pt>
                <c:pt idx="513">
                  <c:v>0.10400000000000353</c:v>
                </c:pt>
                <c:pt idx="514">
                  <c:v>0.11200000000000354</c:v>
                </c:pt>
                <c:pt idx="515">
                  <c:v>0.12000000000000355</c:v>
                </c:pt>
                <c:pt idx="516">
                  <c:v>0.12800000000000356</c:v>
                </c:pt>
                <c:pt idx="517">
                  <c:v>0.13600000000000356</c:v>
                </c:pt>
                <c:pt idx="518">
                  <c:v>0.14400000000000357</c:v>
                </c:pt>
                <c:pt idx="519">
                  <c:v>0.15200000000000358</c:v>
                </c:pt>
                <c:pt idx="520">
                  <c:v>0.16000000000000358</c:v>
                </c:pt>
                <c:pt idx="521">
                  <c:v>0.16800000000000359</c:v>
                </c:pt>
                <c:pt idx="522">
                  <c:v>0.1760000000000036</c:v>
                </c:pt>
                <c:pt idx="523">
                  <c:v>0.18400000000000361</c:v>
                </c:pt>
                <c:pt idx="524">
                  <c:v>0.19200000000000361</c:v>
                </c:pt>
                <c:pt idx="525">
                  <c:v>0.20000000000000362</c:v>
                </c:pt>
                <c:pt idx="526">
                  <c:v>0.20800000000000363</c:v>
                </c:pt>
                <c:pt idx="527">
                  <c:v>0.21600000000000363</c:v>
                </c:pt>
                <c:pt idx="528">
                  <c:v>0.22400000000000364</c:v>
                </c:pt>
                <c:pt idx="529">
                  <c:v>0.23200000000000365</c:v>
                </c:pt>
                <c:pt idx="530">
                  <c:v>0.24000000000000365</c:v>
                </c:pt>
                <c:pt idx="531">
                  <c:v>0.24800000000000366</c:v>
                </c:pt>
                <c:pt idx="532">
                  <c:v>0.25600000000000367</c:v>
                </c:pt>
                <c:pt idx="533">
                  <c:v>0.26400000000000368</c:v>
                </c:pt>
                <c:pt idx="534">
                  <c:v>0.27200000000000368</c:v>
                </c:pt>
                <c:pt idx="535">
                  <c:v>0.28000000000000369</c:v>
                </c:pt>
                <c:pt idx="536">
                  <c:v>0.2880000000000037</c:v>
                </c:pt>
                <c:pt idx="537">
                  <c:v>0.2960000000000037</c:v>
                </c:pt>
                <c:pt idx="538">
                  <c:v>0.30400000000000371</c:v>
                </c:pt>
                <c:pt idx="539">
                  <c:v>0.31200000000000372</c:v>
                </c:pt>
                <c:pt idx="540">
                  <c:v>0.32000000000000373</c:v>
                </c:pt>
                <c:pt idx="541">
                  <c:v>0.32800000000000373</c:v>
                </c:pt>
                <c:pt idx="542">
                  <c:v>0.33600000000000374</c:v>
                </c:pt>
                <c:pt idx="543">
                  <c:v>0.34400000000000375</c:v>
                </c:pt>
                <c:pt idx="544">
                  <c:v>0.35200000000000375</c:v>
                </c:pt>
                <c:pt idx="545">
                  <c:v>0.36000000000000376</c:v>
                </c:pt>
                <c:pt idx="546">
                  <c:v>0.36800000000000377</c:v>
                </c:pt>
                <c:pt idx="547">
                  <c:v>0.37600000000000378</c:v>
                </c:pt>
                <c:pt idx="548">
                  <c:v>0.38400000000000378</c:v>
                </c:pt>
                <c:pt idx="549">
                  <c:v>0.39200000000000379</c:v>
                </c:pt>
                <c:pt idx="550">
                  <c:v>0.4000000000000038</c:v>
                </c:pt>
                <c:pt idx="551">
                  <c:v>0.4080000000000038</c:v>
                </c:pt>
                <c:pt idx="552">
                  <c:v>0.41600000000000381</c:v>
                </c:pt>
                <c:pt idx="553">
                  <c:v>0.42400000000000382</c:v>
                </c:pt>
                <c:pt idx="554">
                  <c:v>0.43200000000000383</c:v>
                </c:pt>
                <c:pt idx="555">
                  <c:v>0.44000000000000383</c:v>
                </c:pt>
                <c:pt idx="556">
                  <c:v>0.44800000000000384</c:v>
                </c:pt>
                <c:pt idx="557">
                  <c:v>0.45600000000000385</c:v>
                </c:pt>
                <c:pt idx="558">
                  <c:v>0.46400000000000385</c:v>
                </c:pt>
                <c:pt idx="559">
                  <c:v>0.47200000000000386</c:v>
                </c:pt>
                <c:pt idx="560">
                  <c:v>0.48000000000000387</c:v>
                </c:pt>
                <c:pt idx="561">
                  <c:v>0.48800000000000388</c:v>
                </c:pt>
                <c:pt idx="562">
                  <c:v>0.49600000000000388</c:v>
                </c:pt>
                <c:pt idx="563">
                  <c:v>0.50400000000000389</c:v>
                </c:pt>
                <c:pt idx="564">
                  <c:v>0.5120000000000039</c:v>
                </c:pt>
                <c:pt idx="565">
                  <c:v>0.5200000000000039</c:v>
                </c:pt>
                <c:pt idx="566">
                  <c:v>0.52800000000000391</c:v>
                </c:pt>
                <c:pt idx="567">
                  <c:v>0.53600000000000392</c:v>
                </c:pt>
                <c:pt idx="568">
                  <c:v>0.54400000000000392</c:v>
                </c:pt>
                <c:pt idx="569">
                  <c:v>0.55200000000000393</c:v>
                </c:pt>
                <c:pt idx="570">
                  <c:v>0.56000000000000394</c:v>
                </c:pt>
                <c:pt idx="571">
                  <c:v>0.56800000000000395</c:v>
                </c:pt>
                <c:pt idx="572">
                  <c:v>0.57600000000000395</c:v>
                </c:pt>
                <c:pt idx="573">
                  <c:v>0.58400000000000396</c:v>
                </c:pt>
                <c:pt idx="574">
                  <c:v>0.59200000000000397</c:v>
                </c:pt>
                <c:pt idx="575">
                  <c:v>0.60000000000000397</c:v>
                </c:pt>
                <c:pt idx="576">
                  <c:v>0.60800000000000398</c:v>
                </c:pt>
                <c:pt idx="577">
                  <c:v>0.61600000000000399</c:v>
                </c:pt>
                <c:pt idx="578">
                  <c:v>0.624000000000004</c:v>
                </c:pt>
                <c:pt idx="579">
                  <c:v>0.632000000000004</c:v>
                </c:pt>
                <c:pt idx="580">
                  <c:v>0.64000000000000401</c:v>
                </c:pt>
                <c:pt idx="581">
                  <c:v>0.64800000000000402</c:v>
                </c:pt>
                <c:pt idx="582">
                  <c:v>0.65600000000000402</c:v>
                </c:pt>
                <c:pt idx="583">
                  <c:v>0.66400000000000403</c:v>
                </c:pt>
                <c:pt idx="584">
                  <c:v>0.67200000000000404</c:v>
                </c:pt>
                <c:pt idx="585">
                  <c:v>0.68000000000000405</c:v>
                </c:pt>
                <c:pt idx="586">
                  <c:v>0.68800000000000405</c:v>
                </c:pt>
                <c:pt idx="587">
                  <c:v>0.69600000000000406</c:v>
                </c:pt>
                <c:pt idx="588">
                  <c:v>0.70400000000000407</c:v>
                </c:pt>
                <c:pt idx="589">
                  <c:v>0.71200000000000407</c:v>
                </c:pt>
                <c:pt idx="590">
                  <c:v>0.72000000000000408</c:v>
                </c:pt>
                <c:pt idx="591">
                  <c:v>0.72800000000000409</c:v>
                </c:pt>
                <c:pt idx="592">
                  <c:v>0.7360000000000041</c:v>
                </c:pt>
                <c:pt idx="593">
                  <c:v>0.7440000000000041</c:v>
                </c:pt>
                <c:pt idx="594">
                  <c:v>0.75200000000000411</c:v>
                </c:pt>
                <c:pt idx="595">
                  <c:v>0.76000000000000412</c:v>
                </c:pt>
                <c:pt idx="596">
                  <c:v>0.76800000000000412</c:v>
                </c:pt>
                <c:pt idx="597">
                  <c:v>0.77600000000000413</c:v>
                </c:pt>
                <c:pt idx="598">
                  <c:v>0.78400000000000414</c:v>
                </c:pt>
                <c:pt idx="599">
                  <c:v>0.79200000000000415</c:v>
                </c:pt>
                <c:pt idx="600">
                  <c:v>0.80000000000000415</c:v>
                </c:pt>
                <c:pt idx="601">
                  <c:v>0.80800000000000416</c:v>
                </c:pt>
                <c:pt idx="602">
                  <c:v>0.81600000000000417</c:v>
                </c:pt>
                <c:pt idx="603">
                  <c:v>0.82400000000000417</c:v>
                </c:pt>
                <c:pt idx="604">
                  <c:v>0.83200000000000418</c:v>
                </c:pt>
                <c:pt idx="605">
                  <c:v>0.84000000000000419</c:v>
                </c:pt>
                <c:pt idx="606">
                  <c:v>0.84800000000000419</c:v>
                </c:pt>
                <c:pt idx="607">
                  <c:v>0.8560000000000042</c:v>
                </c:pt>
                <c:pt idx="608">
                  <c:v>0.86400000000000421</c:v>
                </c:pt>
                <c:pt idx="609">
                  <c:v>0.87200000000000422</c:v>
                </c:pt>
                <c:pt idx="610">
                  <c:v>0.88000000000000422</c:v>
                </c:pt>
                <c:pt idx="611">
                  <c:v>0.88800000000000423</c:v>
                </c:pt>
                <c:pt idx="612">
                  <c:v>0.89600000000000424</c:v>
                </c:pt>
                <c:pt idx="613">
                  <c:v>0.90400000000000424</c:v>
                </c:pt>
                <c:pt idx="614">
                  <c:v>0.91200000000000425</c:v>
                </c:pt>
                <c:pt idx="615">
                  <c:v>0.92000000000000426</c:v>
                </c:pt>
                <c:pt idx="616">
                  <c:v>0.92800000000000427</c:v>
                </c:pt>
                <c:pt idx="617">
                  <c:v>0.93600000000000427</c:v>
                </c:pt>
                <c:pt idx="618">
                  <c:v>0.94400000000000428</c:v>
                </c:pt>
                <c:pt idx="619">
                  <c:v>0.95200000000000429</c:v>
                </c:pt>
                <c:pt idx="620">
                  <c:v>0.96000000000000429</c:v>
                </c:pt>
                <c:pt idx="621">
                  <c:v>0.9680000000000043</c:v>
                </c:pt>
                <c:pt idx="622">
                  <c:v>0.97600000000000431</c:v>
                </c:pt>
                <c:pt idx="623">
                  <c:v>0.98400000000000432</c:v>
                </c:pt>
                <c:pt idx="624">
                  <c:v>0.99200000000000432</c:v>
                </c:pt>
                <c:pt idx="625">
                  <c:v>1.0000000000000042</c:v>
                </c:pt>
                <c:pt idx="626">
                  <c:v>1.0080000000000042</c:v>
                </c:pt>
                <c:pt idx="627">
                  <c:v>1.0160000000000042</c:v>
                </c:pt>
                <c:pt idx="628">
                  <c:v>1.0240000000000042</c:v>
                </c:pt>
                <c:pt idx="629">
                  <c:v>1.0320000000000042</c:v>
                </c:pt>
                <c:pt idx="630">
                  <c:v>1.0400000000000043</c:v>
                </c:pt>
                <c:pt idx="631">
                  <c:v>1.0480000000000043</c:v>
                </c:pt>
                <c:pt idx="632">
                  <c:v>1.0560000000000043</c:v>
                </c:pt>
                <c:pt idx="633">
                  <c:v>1.0640000000000043</c:v>
                </c:pt>
                <c:pt idx="634">
                  <c:v>1.0720000000000043</c:v>
                </c:pt>
                <c:pt idx="635">
                  <c:v>1.0800000000000043</c:v>
                </c:pt>
                <c:pt idx="636">
                  <c:v>1.0880000000000043</c:v>
                </c:pt>
                <c:pt idx="637">
                  <c:v>1.0960000000000043</c:v>
                </c:pt>
                <c:pt idx="638">
                  <c:v>1.1040000000000043</c:v>
                </c:pt>
                <c:pt idx="639">
                  <c:v>1.1120000000000043</c:v>
                </c:pt>
                <c:pt idx="640">
                  <c:v>1.1200000000000043</c:v>
                </c:pt>
                <c:pt idx="641">
                  <c:v>1.1280000000000043</c:v>
                </c:pt>
                <c:pt idx="642">
                  <c:v>1.1360000000000043</c:v>
                </c:pt>
                <c:pt idx="643">
                  <c:v>1.1440000000000043</c:v>
                </c:pt>
                <c:pt idx="644">
                  <c:v>1.1520000000000044</c:v>
                </c:pt>
                <c:pt idx="645">
                  <c:v>1.1600000000000044</c:v>
                </c:pt>
                <c:pt idx="646">
                  <c:v>1.1680000000000044</c:v>
                </c:pt>
                <c:pt idx="647">
                  <c:v>1.1760000000000044</c:v>
                </c:pt>
                <c:pt idx="648">
                  <c:v>1.1840000000000044</c:v>
                </c:pt>
                <c:pt idx="649">
                  <c:v>1.1920000000000044</c:v>
                </c:pt>
                <c:pt idx="650">
                  <c:v>1.2000000000000044</c:v>
                </c:pt>
                <c:pt idx="651">
                  <c:v>1.2080000000000044</c:v>
                </c:pt>
                <c:pt idx="652">
                  <c:v>1.2160000000000044</c:v>
                </c:pt>
                <c:pt idx="653">
                  <c:v>1.2240000000000044</c:v>
                </c:pt>
                <c:pt idx="654">
                  <c:v>1.2320000000000044</c:v>
                </c:pt>
                <c:pt idx="655">
                  <c:v>1.2400000000000044</c:v>
                </c:pt>
                <c:pt idx="656">
                  <c:v>1.2480000000000044</c:v>
                </c:pt>
                <c:pt idx="657">
                  <c:v>1.2560000000000044</c:v>
                </c:pt>
                <c:pt idx="658">
                  <c:v>1.2640000000000045</c:v>
                </c:pt>
                <c:pt idx="659">
                  <c:v>1.2720000000000045</c:v>
                </c:pt>
                <c:pt idx="660">
                  <c:v>1.2800000000000045</c:v>
                </c:pt>
                <c:pt idx="661">
                  <c:v>1.2880000000000045</c:v>
                </c:pt>
                <c:pt idx="662">
                  <c:v>1.2960000000000045</c:v>
                </c:pt>
                <c:pt idx="663">
                  <c:v>1.3040000000000045</c:v>
                </c:pt>
                <c:pt idx="664">
                  <c:v>1.3120000000000045</c:v>
                </c:pt>
                <c:pt idx="665">
                  <c:v>1.3200000000000045</c:v>
                </c:pt>
                <c:pt idx="666">
                  <c:v>1.3280000000000045</c:v>
                </c:pt>
                <c:pt idx="667">
                  <c:v>1.3360000000000045</c:v>
                </c:pt>
                <c:pt idx="668">
                  <c:v>1.3440000000000045</c:v>
                </c:pt>
                <c:pt idx="669">
                  <c:v>1.3520000000000045</c:v>
                </c:pt>
                <c:pt idx="670">
                  <c:v>1.3600000000000045</c:v>
                </c:pt>
                <c:pt idx="671">
                  <c:v>1.3680000000000045</c:v>
                </c:pt>
                <c:pt idx="672">
                  <c:v>1.3760000000000046</c:v>
                </c:pt>
                <c:pt idx="673">
                  <c:v>1.3840000000000046</c:v>
                </c:pt>
                <c:pt idx="674">
                  <c:v>1.3920000000000046</c:v>
                </c:pt>
                <c:pt idx="675">
                  <c:v>1.4000000000000046</c:v>
                </c:pt>
                <c:pt idx="676">
                  <c:v>1.4080000000000046</c:v>
                </c:pt>
                <c:pt idx="677">
                  <c:v>1.4160000000000046</c:v>
                </c:pt>
                <c:pt idx="678">
                  <c:v>1.4240000000000046</c:v>
                </c:pt>
                <c:pt idx="679">
                  <c:v>1.4320000000000046</c:v>
                </c:pt>
                <c:pt idx="680">
                  <c:v>1.4400000000000046</c:v>
                </c:pt>
                <c:pt idx="681">
                  <c:v>1.4480000000000046</c:v>
                </c:pt>
                <c:pt idx="682">
                  <c:v>1.4560000000000046</c:v>
                </c:pt>
                <c:pt idx="683">
                  <c:v>1.4640000000000046</c:v>
                </c:pt>
                <c:pt idx="684">
                  <c:v>1.4720000000000046</c:v>
                </c:pt>
                <c:pt idx="685">
                  <c:v>1.4800000000000046</c:v>
                </c:pt>
                <c:pt idx="686">
                  <c:v>1.4880000000000047</c:v>
                </c:pt>
                <c:pt idx="687">
                  <c:v>1.4960000000000047</c:v>
                </c:pt>
                <c:pt idx="688">
                  <c:v>1.5040000000000047</c:v>
                </c:pt>
                <c:pt idx="689">
                  <c:v>1.5120000000000047</c:v>
                </c:pt>
                <c:pt idx="690">
                  <c:v>1.5200000000000047</c:v>
                </c:pt>
                <c:pt idx="691">
                  <c:v>1.5280000000000047</c:v>
                </c:pt>
                <c:pt idx="692">
                  <c:v>1.5360000000000047</c:v>
                </c:pt>
                <c:pt idx="693">
                  <c:v>1.5440000000000047</c:v>
                </c:pt>
                <c:pt idx="694">
                  <c:v>1.5520000000000047</c:v>
                </c:pt>
                <c:pt idx="695">
                  <c:v>1.5600000000000047</c:v>
                </c:pt>
                <c:pt idx="696">
                  <c:v>1.5680000000000047</c:v>
                </c:pt>
                <c:pt idx="697">
                  <c:v>1.5760000000000047</c:v>
                </c:pt>
                <c:pt idx="698">
                  <c:v>1.5840000000000047</c:v>
                </c:pt>
                <c:pt idx="699">
                  <c:v>1.5920000000000047</c:v>
                </c:pt>
                <c:pt idx="700">
                  <c:v>1.6000000000000048</c:v>
                </c:pt>
                <c:pt idx="701">
                  <c:v>1.6080000000000048</c:v>
                </c:pt>
                <c:pt idx="702">
                  <c:v>1.6160000000000048</c:v>
                </c:pt>
                <c:pt idx="703">
                  <c:v>1.6240000000000048</c:v>
                </c:pt>
                <c:pt idx="704">
                  <c:v>1.6320000000000048</c:v>
                </c:pt>
                <c:pt idx="705">
                  <c:v>1.6400000000000048</c:v>
                </c:pt>
                <c:pt idx="706">
                  <c:v>1.6480000000000048</c:v>
                </c:pt>
                <c:pt idx="707">
                  <c:v>1.6560000000000048</c:v>
                </c:pt>
                <c:pt idx="708">
                  <c:v>1.6640000000000048</c:v>
                </c:pt>
                <c:pt idx="709">
                  <c:v>1.6720000000000048</c:v>
                </c:pt>
                <c:pt idx="710">
                  <c:v>1.6800000000000048</c:v>
                </c:pt>
                <c:pt idx="711">
                  <c:v>1.6880000000000048</c:v>
                </c:pt>
                <c:pt idx="712">
                  <c:v>1.6960000000000048</c:v>
                </c:pt>
                <c:pt idx="713">
                  <c:v>1.7040000000000048</c:v>
                </c:pt>
                <c:pt idx="714">
                  <c:v>1.7120000000000049</c:v>
                </c:pt>
                <c:pt idx="715">
                  <c:v>1.7200000000000049</c:v>
                </c:pt>
                <c:pt idx="716">
                  <c:v>1.7280000000000049</c:v>
                </c:pt>
                <c:pt idx="717">
                  <c:v>1.7360000000000049</c:v>
                </c:pt>
                <c:pt idx="718">
                  <c:v>1.7440000000000049</c:v>
                </c:pt>
                <c:pt idx="719">
                  <c:v>1.7520000000000049</c:v>
                </c:pt>
                <c:pt idx="720">
                  <c:v>1.7600000000000049</c:v>
                </c:pt>
                <c:pt idx="721">
                  <c:v>1.7680000000000049</c:v>
                </c:pt>
                <c:pt idx="722">
                  <c:v>1.7760000000000049</c:v>
                </c:pt>
                <c:pt idx="723">
                  <c:v>1.7840000000000049</c:v>
                </c:pt>
                <c:pt idx="724">
                  <c:v>1.7920000000000049</c:v>
                </c:pt>
                <c:pt idx="725">
                  <c:v>1.8000000000000049</c:v>
                </c:pt>
                <c:pt idx="726">
                  <c:v>1.8080000000000049</c:v>
                </c:pt>
                <c:pt idx="727">
                  <c:v>1.8160000000000049</c:v>
                </c:pt>
                <c:pt idx="728">
                  <c:v>1.824000000000005</c:v>
                </c:pt>
                <c:pt idx="729">
                  <c:v>1.832000000000005</c:v>
                </c:pt>
                <c:pt idx="730">
                  <c:v>1.840000000000005</c:v>
                </c:pt>
                <c:pt idx="731">
                  <c:v>1.848000000000005</c:v>
                </c:pt>
                <c:pt idx="732">
                  <c:v>1.856000000000005</c:v>
                </c:pt>
                <c:pt idx="733">
                  <c:v>1.864000000000005</c:v>
                </c:pt>
                <c:pt idx="734">
                  <c:v>1.872000000000005</c:v>
                </c:pt>
                <c:pt idx="735">
                  <c:v>1.880000000000005</c:v>
                </c:pt>
                <c:pt idx="736">
                  <c:v>1.888000000000005</c:v>
                </c:pt>
                <c:pt idx="737">
                  <c:v>1.896000000000005</c:v>
                </c:pt>
                <c:pt idx="738">
                  <c:v>1.904000000000005</c:v>
                </c:pt>
                <c:pt idx="739">
                  <c:v>1.912000000000005</c:v>
                </c:pt>
                <c:pt idx="740">
                  <c:v>1.920000000000005</c:v>
                </c:pt>
                <c:pt idx="741">
                  <c:v>1.928000000000005</c:v>
                </c:pt>
                <c:pt idx="742">
                  <c:v>1.9360000000000051</c:v>
                </c:pt>
                <c:pt idx="743">
                  <c:v>1.9440000000000051</c:v>
                </c:pt>
                <c:pt idx="744">
                  <c:v>1.9520000000000051</c:v>
                </c:pt>
                <c:pt idx="745">
                  <c:v>1.9600000000000051</c:v>
                </c:pt>
                <c:pt idx="746">
                  <c:v>1.9680000000000051</c:v>
                </c:pt>
                <c:pt idx="747">
                  <c:v>1.9760000000000051</c:v>
                </c:pt>
                <c:pt idx="748">
                  <c:v>1.9840000000000051</c:v>
                </c:pt>
                <c:pt idx="749">
                  <c:v>1.9920000000000051</c:v>
                </c:pt>
                <c:pt idx="750">
                  <c:v>2.0000000000000049</c:v>
                </c:pt>
                <c:pt idx="751">
                  <c:v>2.0080000000000049</c:v>
                </c:pt>
                <c:pt idx="752">
                  <c:v>2.0160000000000049</c:v>
                </c:pt>
                <c:pt idx="753">
                  <c:v>2.0240000000000049</c:v>
                </c:pt>
                <c:pt idx="754">
                  <c:v>2.0320000000000049</c:v>
                </c:pt>
                <c:pt idx="755">
                  <c:v>2.0400000000000049</c:v>
                </c:pt>
                <c:pt idx="756">
                  <c:v>2.0480000000000049</c:v>
                </c:pt>
                <c:pt idx="757">
                  <c:v>2.0560000000000049</c:v>
                </c:pt>
                <c:pt idx="758">
                  <c:v>2.0640000000000049</c:v>
                </c:pt>
                <c:pt idx="759">
                  <c:v>2.0720000000000049</c:v>
                </c:pt>
                <c:pt idx="760">
                  <c:v>2.080000000000005</c:v>
                </c:pt>
                <c:pt idx="761">
                  <c:v>2.088000000000005</c:v>
                </c:pt>
                <c:pt idx="762">
                  <c:v>2.096000000000005</c:v>
                </c:pt>
                <c:pt idx="763">
                  <c:v>2.104000000000005</c:v>
                </c:pt>
                <c:pt idx="764">
                  <c:v>2.112000000000005</c:v>
                </c:pt>
                <c:pt idx="765">
                  <c:v>2.120000000000005</c:v>
                </c:pt>
                <c:pt idx="766">
                  <c:v>2.128000000000005</c:v>
                </c:pt>
                <c:pt idx="767">
                  <c:v>2.136000000000005</c:v>
                </c:pt>
                <c:pt idx="768">
                  <c:v>2.144000000000005</c:v>
                </c:pt>
                <c:pt idx="769">
                  <c:v>2.152000000000005</c:v>
                </c:pt>
                <c:pt idx="770">
                  <c:v>2.160000000000005</c:v>
                </c:pt>
                <c:pt idx="771">
                  <c:v>2.168000000000005</c:v>
                </c:pt>
                <c:pt idx="772">
                  <c:v>2.176000000000005</c:v>
                </c:pt>
                <c:pt idx="773">
                  <c:v>2.184000000000005</c:v>
                </c:pt>
                <c:pt idx="774">
                  <c:v>2.1920000000000051</c:v>
                </c:pt>
                <c:pt idx="775">
                  <c:v>2.2000000000000051</c:v>
                </c:pt>
                <c:pt idx="776">
                  <c:v>2.2080000000000051</c:v>
                </c:pt>
                <c:pt idx="777">
                  <c:v>2.2160000000000051</c:v>
                </c:pt>
                <c:pt idx="778">
                  <c:v>2.2240000000000051</c:v>
                </c:pt>
                <c:pt idx="779">
                  <c:v>2.2320000000000051</c:v>
                </c:pt>
                <c:pt idx="780">
                  <c:v>2.2400000000000051</c:v>
                </c:pt>
                <c:pt idx="781">
                  <c:v>2.2480000000000051</c:v>
                </c:pt>
                <c:pt idx="782">
                  <c:v>2.2560000000000051</c:v>
                </c:pt>
                <c:pt idx="783">
                  <c:v>2.2640000000000051</c:v>
                </c:pt>
                <c:pt idx="784">
                  <c:v>2.2720000000000051</c:v>
                </c:pt>
                <c:pt idx="785">
                  <c:v>2.2800000000000051</c:v>
                </c:pt>
                <c:pt idx="786">
                  <c:v>2.2880000000000051</c:v>
                </c:pt>
                <c:pt idx="787">
                  <c:v>2.2960000000000051</c:v>
                </c:pt>
                <c:pt idx="788">
                  <c:v>2.3040000000000052</c:v>
                </c:pt>
                <c:pt idx="789">
                  <c:v>2.3120000000000052</c:v>
                </c:pt>
                <c:pt idx="790">
                  <c:v>2.3200000000000052</c:v>
                </c:pt>
                <c:pt idx="791">
                  <c:v>2.3280000000000052</c:v>
                </c:pt>
                <c:pt idx="792">
                  <c:v>2.3360000000000052</c:v>
                </c:pt>
                <c:pt idx="793">
                  <c:v>2.3440000000000052</c:v>
                </c:pt>
                <c:pt idx="794">
                  <c:v>2.3520000000000052</c:v>
                </c:pt>
                <c:pt idx="795">
                  <c:v>2.3600000000000052</c:v>
                </c:pt>
                <c:pt idx="796">
                  <c:v>2.3680000000000052</c:v>
                </c:pt>
                <c:pt idx="797">
                  <c:v>2.3760000000000052</c:v>
                </c:pt>
                <c:pt idx="798">
                  <c:v>2.3840000000000052</c:v>
                </c:pt>
                <c:pt idx="799">
                  <c:v>2.3920000000000052</c:v>
                </c:pt>
                <c:pt idx="800">
                  <c:v>2.4000000000000052</c:v>
                </c:pt>
                <c:pt idx="801">
                  <c:v>2.4080000000000052</c:v>
                </c:pt>
                <c:pt idx="802">
                  <c:v>2.4160000000000053</c:v>
                </c:pt>
                <c:pt idx="803">
                  <c:v>2.4240000000000053</c:v>
                </c:pt>
                <c:pt idx="804">
                  <c:v>2.4320000000000053</c:v>
                </c:pt>
                <c:pt idx="805">
                  <c:v>2.4400000000000053</c:v>
                </c:pt>
                <c:pt idx="806">
                  <c:v>2.4480000000000053</c:v>
                </c:pt>
                <c:pt idx="807">
                  <c:v>2.4560000000000053</c:v>
                </c:pt>
                <c:pt idx="808">
                  <c:v>2.4640000000000053</c:v>
                </c:pt>
                <c:pt idx="809">
                  <c:v>2.4720000000000053</c:v>
                </c:pt>
                <c:pt idx="810">
                  <c:v>2.4800000000000053</c:v>
                </c:pt>
                <c:pt idx="811">
                  <c:v>2.4880000000000053</c:v>
                </c:pt>
                <c:pt idx="812">
                  <c:v>2.4960000000000053</c:v>
                </c:pt>
                <c:pt idx="813">
                  <c:v>2.5040000000000053</c:v>
                </c:pt>
                <c:pt idx="814">
                  <c:v>2.5120000000000053</c:v>
                </c:pt>
                <c:pt idx="815">
                  <c:v>2.5200000000000053</c:v>
                </c:pt>
                <c:pt idx="816">
                  <c:v>2.5280000000000054</c:v>
                </c:pt>
                <c:pt idx="817">
                  <c:v>2.5360000000000054</c:v>
                </c:pt>
                <c:pt idx="818">
                  <c:v>2.5440000000000054</c:v>
                </c:pt>
                <c:pt idx="819">
                  <c:v>2.5520000000000054</c:v>
                </c:pt>
                <c:pt idx="820">
                  <c:v>2.5600000000000054</c:v>
                </c:pt>
                <c:pt idx="821">
                  <c:v>2.5680000000000054</c:v>
                </c:pt>
                <c:pt idx="822">
                  <c:v>2.5760000000000054</c:v>
                </c:pt>
                <c:pt idx="823">
                  <c:v>2.5840000000000054</c:v>
                </c:pt>
                <c:pt idx="824">
                  <c:v>2.5920000000000054</c:v>
                </c:pt>
                <c:pt idx="825">
                  <c:v>2.6000000000000054</c:v>
                </c:pt>
                <c:pt idx="826">
                  <c:v>2.6080000000000054</c:v>
                </c:pt>
                <c:pt idx="827">
                  <c:v>2.6160000000000054</c:v>
                </c:pt>
                <c:pt idx="828">
                  <c:v>2.6240000000000054</c:v>
                </c:pt>
                <c:pt idx="829">
                  <c:v>2.6320000000000054</c:v>
                </c:pt>
                <c:pt idx="830">
                  <c:v>2.6400000000000055</c:v>
                </c:pt>
                <c:pt idx="831">
                  <c:v>2.6480000000000055</c:v>
                </c:pt>
                <c:pt idx="832">
                  <c:v>2.6560000000000055</c:v>
                </c:pt>
                <c:pt idx="833">
                  <c:v>2.6640000000000055</c:v>
                </c:pt>
                <c:pt idx="834">
                  <c:v>2.6720000000000055</c:v>
                </c:pt>
                <c:pt idx="835">
                  <c:v>2.6800000000000055</c:v>
                </c:pt>
                <c:pt idx="836">
                  <c:v>2.6880000000000055</c:v>
                </c:pt>
                <c:pt idx="837">
                  <c:v>2.6960000000000055</c:v>
                </c:pt>
                <c:pt idx="838">
                  <c:v>2.7040000000000055</c:v>
                </c:pt>
                <c:pt idx="839">
                  <c:v>2.7120000000000055</c:v>
                </c:pt>
                <c:pt idx="840">
                  <c:v>2.7200000000000055</c:v>
                </c:pt>
                <c:pt idx="841">
                  <c:v>2.7280000000000055</c:v>
                </c:pt>
                <c:pt idx="842">
                  <c:v>2.7360000000000055</c:v>
                </c:pt>
                <c:pt idx="843">
                  <c:v>2.7440000000000055</c:v>
                </c:pt>
                <c:pt idx="844">
                  <c:v>2.7520000000000056</c:v>
                </c:pt>
                <c:pt idx="845">
                  <c:v>2.7600000000000056</c:v>
                </c:pt>
                <c:pt idx="846">
                  <c:v>2.7680000000000056</c:v>
                </c:pt>
                <c:pt idx="847">
                  <c:v>2.7760000000000056</c:v>
                </c:pt>
                <c:pt idx="848">
                  <c:v>2.7840000000000056</c:v>
                </c:pt>
                <c:pt idx="849">
                  <c:v>2.7920000000000056</c:v>
                </c:pt>
                <c:pt idx="850">
                  <c:v>2.8000000000000056</c:v>
                </c:pt>
                <c:pt idx="851">
                  <c:v>2.8080000000000056</c:v>
                </c:pt>
                <c:pt idx="852">
                  <c:v>2.8160000000000056</c:v>
                </c:pt>
                <c:pt idx="853">
                  <c:v>2.8240000000000056</c:v>
                </c:pt>
                <c:pt idx="854">
                  <c:v>2.8320000000000056</c:v>
                </c:pt>
                <c:pt idx="855">
                  <c:v>2.8400000000000056</c:v>
                </c:pt>
                <c:pt idx="856">
                  <c:v>2.8480000000000056</c:v>
                </c:pt>
                <c:pt idx="857">
                  <c:v>2.8560000000000056</c:v>
                </c:pt>
                <c:pt idx="858">
                  <c:v>2.8640000000000057</c:v>
                </c:pt>
                <c:pt idx="859">
                  <c:v>2.8720000000000057</c:v>
                </c:pt>
                <c:pt idx="860">
                  <c:v>2.8800000000000057</c:v>
                </c:pt>
                <c:pt idx="861">
                  <c:v>2.8880000000000057</c:v>
                </c:pt>
                <c:pt idx="862">
                  <c:v>2.8960000000000057</c:v>
                </c:pt>
                <c:pt idx="863">
                  <c:v>2.9040000000000057</c:v>
                </c:pt>
                <c:pt idx="864">
                  <c:v>2.9120000000000057</c:v>
                </c:pt>
                <c:pt idx="865">
                  <c:v>2.9200000000000057</c:v>
                </c:pt>
                <c:pt idx="866">
                  <c:v>2.9280000000000057</c:v>
                </c:pt>
                <c:pt idx="867">
                  <c:v>2.9360000000000057</c:v>
                </c:pt>
                <c:pt idx="868">
                  <c:v>2.9440000000000057</c:v>
                </c:pt>
                <c:pt idx="869">
                  <c:v>2.9520000000000057</c:v>
                </c:pt>
                <c:pt idx="870">
                  <c:v>2.9600000000000057</c:v>
                </c:pt>
                <c:pt idx="871">
                  <c:v>2.9680000000000057</c:v>
                </c:pt>
                <c:pt idx="872">
                  <c:v>2.9760000000000058</c:v>
                </c:pt>
                <c:pt idx="873">
                  <c:v>2.9840000000000058</c:v>
                </c:pt>
                <c:pt idx="874">
                  <c:v>2.9920000000000058</c:v>
                </c:pt>
                <c:pt idx="875">
                  <c:v>3.0000000000000058</c:v>
                </c:pt>
                <c:pt idx="876">
                  <c:v>3.0080000000000058</c:v>
                </c:pt>
                <c:pt idx="877">
                  <c:v>3.0160000000000058</c:v>
                </c:pt>
                <c:pt idx="878">
                  <c:v>3.0240000000000058</c:v>
                </c:pt>
                <c:pt idx="879">
                  <c:v>3.0320000000000058</c:v>
                </c:pt>
                <c:pt idx="880">
                  <c:v>3.0400000000000058</c:v>
                </c:pt>
                <c:pt idx="881">
                  <c:v>3.0480000000000058</c:v>
                </c:pt>
                <c:pt idx="882">
                  <c:v>3.0560000000000058</c:v>
                </c:pt>
                <c:pt idx="883">
                  <c:v>3.0640000000000058</c:v>
                </c:pt>
                <c:pt idx="884">
                  <c:v>3.0720000000000058</c:v>
                </c:pt>
                <c:pt idx="885">
                  <c:v>3.0800000000000058</c:v>
                </c:pt>
                <c:pt idx="886">
                  <c:v>3.0880000000000059</c:v>
                </c:pt>
                <c:pt idx="887">
                  <c:v>3.0960000000000059</c:v>
                </c:pt>
                <c:pt idx="888">
                  <c:v>3.1040000000000059</c:v>
                </c:pt>
                <c:pt idx="889">
                  <c:v>3.1120000000000059</c:v>
                </c:pt>
                <c:pt idx="890">
                  <c:v>3.1200000000000059</c:v>
                </c:pt>
                <c:pt idx="891">
                  <c:v>3.1280000000000059</c:v>
                </c:pt>
                <c:pt idx="892">
                  <c:v>3.1360000000000059</c:v>
                </c:pt>
                <c:pt idx="893">
                  <c:v>3.1440000000000059</c:v>
                </c:pt>
                <c:pt idx="894">
                  <c:v>3.1520000000000059</c:v>
                </c:pt>
                <c:pt idx="895">
                  <c:v>3.1600000000000059</c:v>
                </c:pt>
                <c:pt idx="896">
                  <c:v>3.1680000000000059</c:v>
                </c:pt>
                <c:pt idx="897">
                  <c:v>3.1760000000000059</c:v>
                </c:pt>
                <c:pt idx="898">
                  <c:v>3.1840000000000059</c:v>
                </c:pt>
                <c:pt idx="899">
                  <c:v>3.1920000000000059</c:v>
                </c:pt>
                <c:pt idx="900">
                  <c:v>3.200000000000006</c:v>
                </c:pt>
                <c:pt idx="901">
                  <c:v>3.208000000000006</c:v>
                </c:pt>
                <c:pt idx="902">
                  <c:v>3.216000000000006</c:v>
                </c:pt>
                <c:pt idx="903">
                  <c:v>3.224000000000006</c:v>
                </c:pt>
                <c:pt idx="904">
                  <c:v>3.232000000000006</c:v>
                </c:pt>
                <c:pt idx="905">
                  <c:v>3.240000000000006</c:v>
                </c:pt>
                <c:pt idx="906">
                  <c:v>3.248000000000006</c:v>
                </c:pt>
                <c:pt idx="907">
                  <c:v>3.256000000000006</c:v>
                </c:pt>
                <c:pt idx="908">
                  <c:v>3.264000000000006</c:v>
                </c:pt>
                <c:pt idx="909">
                  <c:v>3.272000000000006</c:v>
                </c:pt>
                <c:pt idx="910">
                  <c:v>3.280000000000006</c:v>
                </c:pt>
                <c:pt idx="911">
                  <c:v>3.288000000000006</c:v>
                </c:pt>
                <c:pt idx="912">
                  <c:v>3.296000000000006</c:v>
                </c:pt>
                <c:pt idx="913">
                  <c:v>3.304000000000006</c:v>
                </c:pt>
                <c:pt idx="914">
                  <c:v>3.3120000000000061</c:v>
                </c:pt>
                <c:pt idx="915">
                  <c:v>3.3200000000000061</c:v>
                </c:pt>
                <c:pt idx="916">
                  <c:v>3.3280000000000061</c:v>
                </c:pt>
                <c:pt idx="917">
                  <c:v>3.3360000000000061</c:v>
                </c:pt>
                <c:pt idx="918">
                  <c:v>3.3440000000000061</c:v>
                </c:pt>
                <c:pt idx="919">
                  <c:v>3.3520000000000061</c:v>
                </c:pt>
                <c:pt idx="920">
                  <c:v>3.3600000000000061</c:v>
                </c:pt>
                <c:pt idx="921">
                  <c:v>3.3680000000000061</c:v>
                </c:pt>
                <c:pt idx="922">
                  <c:v>3.3760000000000061</c:v>
                </c:pt>
                <c:pt idx="923">
                  <c:v>3.3840000000000061</c:v>
                </c:pt>
                <c:pt idx="924">
                  <c:v>3.3920000000000061</c:v>
                </c:pt>
                <c:pt idx="925">
                  <c:v>3.4000000000000061</c:v>
                </c:pt>
                <c:pt idx="926">
                  <c:v>3.4080000000000061</c:v>
                </c:pt>
                <c:pt idx="927">
                  <c:v>3.4160000000000061</c:v>
                </c:pt>
                <c:pt idx="928">
                  <c:v>3.4240000000000061</c:v>
                </c:pt>
                <c:pt idx="929">
                  <c:v>3.4320000000000062</c:v>
                </c:pt>
                <c:pt idx="930">
                  <c:v>3.4400000000000062</c:v>
                </c:pt>
                <c:pt idx="931">
                  <c:v>3.4480000000000062</c:v>
                </c:pt>
                <c:pt idx="932">
                  <c:v>3.4560000000000062</c:v>
                </c:pt>
                <c:pt idx="933">
                  <c:v>3.4640000000000062</c:v>
                </c:pt>
                <c:pt idx="934">
                  <c:v>3.4720000000000062</c:v>
                </c:pt>
                <c:pt idx="935">
                  <c:v>3.4800000000000062</c:v>
                </c:pt>
                <c:pt idx="936">
                  <c:v>3.4880000000000062</c:v>
                </c:pt>
                <c:pt idx="937">
                  <c:v>3.4960000000000062</c:v>
                </c:pt>
                <c:pt idx="938">
                  <c:v>3.5040000000000062</c:v>
                </c:pt>
                <c:pt idx="939">
                  <c:v>3.5120000000000062</c:v>
                </c:pt>
                <c:pt idx="940">
                  <c:v>3.5200000000000062</c:v>
                </c:pt>
                <c:pt idx="941">
                  <c:v>3.5280000000000062</c:v>
                </c:pt>
                <c:pt idx="942">
                  <c:v>3.5360000000000062</c:v>
                </c:pt>
                <c:pt idx="943">
                  <c:v>3.5440000000000063</c:v>
                </c:pt>
                <c:pt idx="944">
                  <c:v>3.5520000000000063</c:v>
                </c:pt>
                <c:pt idx="945">
                  <c:v>3.5600000000000063</c:v>
                </c:pt>
                <c:pt idx="946">
                  <c:v>3.5680000000000063</c:v>
                </c:pt>
                <c:pt idx="947">
                  <c:v>3.5760000000000063</c:v>
                </c:pt>
                <c:pt idx="948">
                  <c:v>3.5840000000000063</c:v>
                </c:pt>
                <c:pt idx="949">
                  <c:v>3.5920000000000063</c:v>
                </c:pt>
                <c:pt idx="950">
                  <c:v>3.6000000000000063</c:v>
                </c:pt>
                <c:pt idx="951">
                  <c:v>3.6080000000000063</c:v>
                </c:pt>
                <c:pt idx="952">
                  <c:v>3.6160000000000063</c:v>
                </c:pt>
                <c:pt idx="953">
                  <c:v>3.6240000000000063</c:v>
                </c:pt>
                <c:pt idx="954">
                  <c:v>3.6320000000000063</c:v>
                </c:pt>
                <c:pt idx="955">
                  <c:v>3.6400000000000063</c:v>
                </c:pt>
                <c:pt idx="956">
                  <c:v>3.6480000000000063</c:v>
                </c:pt>
                <c:pt idx="957">
                  <c:v>3.6560000000000064</c:v>
                </c:pt>
                <c:pt idx="958">
                  <c:v>3.6640000000000064</c:v>
                </c:pt>
                <c:pt idx="959">
                  <c:v>3.6720000000000064</c:v>
                </c:pt>
                <c:pt idx="960">
                  <c:v>3.6800000000000064</c:v>
                </c:pt>
                <c:pt idx="961">
                  <c:v>3.6880000000000064</c:v>
                </c:pt>
                <c:pt idx="962">
                  <c:v>3.6960000000000064</c:v>
                </c:pt>
                <c:pt idx="963">
                  <c:v>3.7040000000000064</c:v>
                </c:pt>
                <c:pt idx="964">
                  <c:v>3.7120000000000064</c:v>
                </c:pt>
                <c:pt idx="965">
                  <c:v>3.7200000000000064</c:v>
                </c:pt>
                <c:pt idx="966">
                  <c:v>3.7280000000000064</c:v>
                </c:pt>
                <c:pt idx="967">
                  <c:v>3.7360000000000064</c:v>
                </c:pt>
                <c:pt idx="968">
                  <c:v>3.7440000000000064</c:v>
                </c:pt>
                <c:pt idx="969">
                  <c:v>3.7520000000000064</c:v>
                </c:pt>
                <c:pt idx="970">
                  <c:v>3.7600000000000064</c:v>
                </c:pt>
                <c:pt idx="971">
                  <c:v>3.7680000000000065</c:v>
                </c:pt>
                <c:pt idx="972">
                  <c:v>3.7760000000000065</c:v>
                </c:pt>
                <c:pt idx="973">
                  <c:v>3.7840000000000065</c:v>
                </c:pt>
                <c:pt idx="974">
                  <c:v>3.7920000000000065</c:v>
                </c:pt>
                <c:pt idx="975">
                  <c:v>3.8000000000000065</c:v>
                </c:pt>
                <c:pt idx="976">
                  <c:v>3.8080000000000065</c:v>
                </c:pt>
                <c:pt idx="977">
                  <c:v>3.8160000000000065</c:v>
                </c:pt>
                <c:pt idx="978">
                  <c:v>3.8240000000000065</c:v>
                </c:pt>
                <c:pt idx="979">
                  <c:v>3.8320000000000065</c:v>
                </c:pt>
                <c:pt idx="980">
                  <c:v>3.8400000000000065</c:v>
                </c:pt>
                <c:pt idx="981">
                  <c:v>3.8480000000000065</c:v>
                </c:pt>
                <c:pt idx="982">
                  <c:v>3.8560000000000065</c:v>
                </c:pt>
                <c:pt idx="983">
                  <c:v>3.8640000000000065</c:v>
                </c:pt>
                <c:pt idx="984">
                  <c:v>3.8720000000000065</c:v>
                </c:pt>
                <c:pt idx="985">
                  <c:v>3.8800000000000066</c:v>
                </c:pt>
                <c:pt idx="986">
                  <c:v>3.8880000000000066</c:v>
                </c:pt>
                <c:pt idx="987">
                  <c:v>3.8960000000000066</c:v>
                </c:pt>
                <c:pt idx="988">
                  <c:v>3.9040000000000066</c:v>
                </c:pt>
                <c:pt idx="989">
                  <c:v>3.9120000000000066</c:v>
                </c:pt>
                <c:pt idx="990">
                  <c:v>3.9200000000000066</c:v>
                </c:pt>
                <c:pt idx="991">
                  <c:v>3.9280000000000066</c:v>
                </c:pt>
                <c:pt idx="992">
                  <c:v>3.9360000000000066</c:v>
                </c:pt>
                <c:pt idx="993">
                  <c:v>3.9440000000000066</c:v>
                </c:pt>
                <c:pt idx="994">
                  <c:v>3.9520000000000066</c:v>
                </c:pt>
                <c:pt idx="995">
                  <c:v>3.9600000000000066</c:v>
                </c:pt>
                <c:pt idx="996">
                  <c:v>3.9680000000000066</c:v>
                </c:pt>
                <c:pt idx="997">
                  <c:v>3.9760000000000066</c:v>
                </c:pt>
                <c:pt idx="998">
                  <c:v>3.9840000000000066</c:v>
                </c:pt>
                <c:pt idx="999">
                  <c:v>3.9920000000000067</c:v>
                </c:pt>
                <c:pt idx="1000">
                  <c:v>4.0000000000000062</c:v>
                </c:pt>
              </c:numCache>
            </c:numRef>
          </c:xVal>
          <c:yVal>
            <c:numRef>
              <c:f>'d picture'!$AL$10:$AL$1010</c:f>
              <c:numCache>
                <c:formatCode>General</c:formatCode>
                <c:ptCount val="1001"/>
                <c:pt idx="0">
                  <c:v>4.7718636541204945E-5</c:v>
                </c:pt>
                <c:pt idx="1">
                  <c:v>4.9367387037922914E-5</c:v>
                </c:pt>
                <c:pt idx="2">
                  <c:v>5.1069835764253548E-5</c:v>
                </c:pt>
                <c:pt idx="3">
                  <c:v>5.2827612855543502E-5</c:v>
                </c:pt>
                <c:pt idx="4">
                  <c:v>5.4642393803355034E-5</c:v>
                </c:pt>
                <c:pt idx="5">
                  <c:v>5.6515900580307401E-5</c:v>
                </c:pt>
                <c:pt idx="6">
                  <c:v>5.8449902788467873E-5</c:v>
                </c:pt>
                <c:pt idx="7">
                  <c:v>6.0446218831654095E-5</c:v>
                </c:pt>
                <c:pt idx="8">
                  <c:v>6.2506717112008732E-5</c:v>
                </c:pt>
                <c:pt idx="9">
                  <c:v>6.4633317251211537E-5</c:v>
                </c:pt>
                <c:pt idx="10">
                  <c:v>6.6827991336690596E-5</c:v>
                </c:pt>
                <c:pt idx="11">
                  <c:v>6.9092765193201589E-5</c:v>
                </c:pt>
                <c:pt idx="12">
                  <c:v>7.1429719680138058E-5</c:v>
                </c:pt>
                <c:pt idx="13">
                  <c:v>7.3840992014943631E-5</c:v>
                </c:pt>
                <c:pt idx="14">
                  <c:v>7.6328777122990042E-5</c:v>
                </c:pt>
                <c:pt idx="15">
                  <c:v>7.8895329014293074E-5</c:v>
                </c:pt>
                <c:pt idx="16">
                  <c:v>8.1542962187431008E-5</c:v>
                </c:pt>
                <c:pt idx="17">
                  <c:v>8.4274053061036996E-5</c:v>
                </c:pt>
                <c:pt idx="18">
                  <c:v>8.7091041433232642E-5</c:v>
                </c:pt>
                <c:pt idx="19">
                  <c:v>8.9996431969369112E-5</c:v>
                </c:pt>
                <c:pt idx="20">
                  <c:v>9.2992795718445893E-5</c:v>
                </c:pt>
                <c:pt idx="21">
                  <c:v>9.6082771658571804E-5</c:v>
                </c:pt>
                <c:pt idx="22">
                  <c:v>9.9269068271834273E-5</c:v>
                </c:pt>
                <c:pt idx="23">
                  <c:v>1.0255446514894239E-4</c:v>
                </c:pt>
                <c:pt idx="24">
                  <c:v>1.0594181462400379E-4</c:v>
                </c:pt>
                <c:pt idx="25">
                  <c:v>1.0943404343980053E-4</c:v>
                </c:pt>
                <c:pt idx="26">
                  <c:v>1.1303415444392027E-4</c:v>
                </c:pt>
                <c:pt idx="27">
                  <c:v>1.1674522831610119E-4</c:v>
                </c:pt>
                <c:pt idx="28">
                  <c:v>1.2057042532714551E-4</c:v>
                </c:pt>
                <c:pt idx="29">
                  <c:v>1.2451298712975214E-4</c:v>
                </c:pt>
                <c:pt idx="30">
                  <c:v>1.2857623858162105E-4</c:v>
                </c:pt>
                <c:pt idx="31">
                  <c:v>1.3276358960117069E-4</c:v>
                </c:pt>
                <c:pt idx="32">
                  <c:v>1.3707853705621434E-4</c:v>
                </c:pt>
                <c:pt idx="33">
                  <c:v>1.4152466668593172E-4</c:v>
                </c:pt>
                <c:pt idx="34">
                  <c:v>1.4610565505647236E-4</c:v>
                </c:pt>
                <c:pt idx="35">
                  <c:v>1.5082527155051804E-4</c:v>
                </c:pt>
                <c:pt idx="36">
                  <c:v>1.5568738039113182E-4</c:v>
                </c:pt>
                <c:pt idx="37">
                  <c:v>1.6069594270021244E-4</c:v>
                </c:pt>
                <c:pt idx="38">
                  <c:v>1.6585501859187006E-4</c:v>
                </c:pt>
                <c:pt idx="39">
                  <c:v>1.7116876930103016E-4</c:v>
                </c:pt>
                <c:pt idx="40">
                  <c:v>1.7664145934757119E-4</c:v>
                </c:pt>
                <c:pt idx="41">
                  <c:v>1.8227745873629022E-4</c:v>
                </c:pt>
                <c:pt idx="42">
                  <c:v>1.8808124519298835E-4</c:v>
                </c:pt>
                <c:pt idx="43">
                  <c:v>1.9405740643695614E-4</c:v>
                </c:pt>
                <c:pt idx="44">
                  <c:v>2.0021064249013581E-4</c:v>
                </c:pt>
                <c:pt idx="45">
                  <c:v>2.0654576802322584E-4</c:v>
                </c:pt>
                <c:pt idx="46">
                  <c:v>2.1306771473898907E-4</c:v>
                </c:pt>
                <c:pt idx="47">
                  <c:v>2.1978153379301036E-4</c:v>
                </c:pt>
                <c:pt idx="48">
                  <c:v>2.2669239825214975E-4</c:v>
                </c:pt>
                <c:pt idx="49">
                  <c:v>2.3380560559091703E-4</c:v>
                </c:pt>
                <c:pt idx="50">
                  <c:v>2.4112658022599364E-4</c:v>
                </c:pt>
                <c:pt idx="51">
                  <c:v>2.4866087608911141E-4</c:v>
                </c:pt>
                <c:pt idx="52">
                  <c:v>2.5641417923848593E-4</c:v>
                </c:pt>
                <c:pt idx="53">
                  <c:v>2.6439231050899776E-4</c:v>
                </c:pt>
                <c:pt idx="54">
                  <c:v>2.7260122820129545E-4</c:v>
                </c:pt>
                <c:pt idx="55">
                  <c:v>2.8104703080998681E-4</c:v>
                </c:pt>
                <c:pt idx="56">
                  <c:v>2.8973595979106938E-4</c:v>
                </c:pt>
                <c:pt idx="57">
                  <c:v>2.9867440236874289E-4</c:v>
                </c:pt>
                <c:pt idx="58">
                  <c:v>3.07868894381724E-4</c:v>
                </c:pt>
                <c:pt idx="59">
                  <c:v>3.1732612316918025E-4</c:v>
                </c:pt>
                <c:pt idx="60">
                  <c:v>3.2705293049637525E-4</c:v>
                </c:pt>
                <c:pt idx="61">
                  <c:v>3.3705631552011347E-4</c:v>
                </c:pt>
                <c:pt idx="62">
                  <c:v>3.4734343779404278E-4</c:v>
                </c:pt>
                <c:pt idx="63">
                  <c:v>3.5792162031387284E-4</c:v>
                </c:pt>
                <c:pt idx="64">
                  <c:v>3.6879835260253743E-4</c:v>
                </c:pt>
                <c:pt idx="65">
                  <c:v>3.7998129383532206E-4</c:v>
                </c:pt>
                <c:pt idx="66">
                  <c:v>3.9147827600494883E-4</c:v>
                </c:pt>
                <c:pt idx="67">
                  <c:v>4.0329730712660746E-4</c:v>
                </c:pt>
                <c:pt idx="68">
                  <c:v>4.1544657448288832E-4</c:v>
                </c:pt>
                <c:pt idx="69">
                  <c:v>4.2793444790856298E-4</c:v>
                </c:pt>
                <c:pt idx="70">
                  <c:v>4.4076948311513322E-4</c:v>
                </c:pt>
                <c:pt idx="71">
                  <c:v>4.5396042505505175E-4</c:v>
                </c:pt>
                <c:pt idx="72">
                  <c:v>4.6751621132549813E-4</c:v>
                </c:pt>
                <c:pt idx="73">
                  <c:v>4.81445975611565E-4</c:v>
                </c:pt>
                <c:pt idx="74">
                  <c:v>4.9575905116869495E-4</c:v>
                </c:pt>
                <c:pt idx="75">
                  <c:v>5.1046497434418647E-4</c:v>
                </c:pt>
                <c:pt idx="76">
                  <c:v>5.2557348813755164E-4</c:v>
                </c:pt>
                <c:pt idx="77">
                  <c:v>5.4109454579950454E-4</c:v>
                </c:pt>
                <c:pt idx="78">
                  <c:v>5.570383144693137E-4</c:v>
                </c:pt>
                <c:pt idx="79">
                  <c:v>5.7341517885024643E-4</c:v>
                </c:pt>
                <c:pt idx="80">
                  <c:v>5.9023574492278658E-4</c:v>
                </c:pt>
                <c:pt idx="81">
                  <c:v>6.0751084369530374E-4</c:v>
                </c:pt>
                <c:pt idx="82">
                  <c:v>6.2525153499180634E-4</c:v>
                </c:pt>
                <c:pt idx="83">
                  <c:v>6.4346911127639286E-4</c:v>
                </c:pt>
                <c:pt idx="84">
                  <c:v>6.6217510151398318E-4</c:v>
                </c:pt>
                <c:pt idx="85">
                  <c:v>6.813812750668932E-4</c:v>
                </c:pt>
                <c:pt idx="86">
                  <c:v>7.0109964562676825E-4</c:v>
                </c:pt>
                <c:pt idx="87">
                  <c:v>7.2134247518137659E-4</c:v>
                </c:pt>
                <c:pt idx="88">
                  <c:v>7.421222780157362E-4</c:v>
                </c:pt>
                <c:pt idx="89">
                  <c:v>7.6345182474699233E-4</c:v>
                </c:pt>
                <c:pt idx="90">
                  <c:v>7.8534414639247116E-4</c:v>
                </c:pt>
                <c:pt idx="91">
                  <c:v>8.0781253847025795E-4</c:v>
                </c:pt>
                <c:pt idx="92">
                  <c:v>8.3087056513165549E-4</c:v>
                </c:pt>
                <c:pt idx="93">
                  <c:v>8.5453206332482138E-4</c:v>
                </c:pt>
                <c:pt idx="94">
                  <c:v>8.7881114698884683E-4</c:v>
                </c:pt>
                <c:pt idx="95">
                  <c:v>9.0372221127752676E-4</c:v>
                </c:pt>
                <c:pt idx="96">
                  <c:v>9.2927993681201151E-4</c:v>
                </c:pt>
                <c:pt idx="97">
                  <c:v>9.5549929396150928E-4</c:v>
                </c:pt>
                <c:pt idx="98">
                  <c:v>9.8239554715116298E-4</c:v>
                </c:pt>
                <c:pt idx="99">
                  <c:v>1.0099842591962025E-3</c:v>
                </c:pt>
                <c:pt idx="100">
                  <c:v>1.0382812956614138E-3</c:v>
                </c:pt>
                <c:pt idx="101">
                  <c:v>1.0673028292449451E-3</c:v>
                </c:pt>
                <c:pt idx="102">
                  <c:v>1.0970653441854351E-3</c:v>
                </c:pt>
                <c:pt idx="103">
                  <c:v>1.1275856406913823E-3</c:v>
                </c:pt>
                <c:pt idx="104">
                  <c:v>1.1588808393916757E-3</c:v>
                </c:pt>
                <c:pt idx="105">
                  <c:v>1.1909683858061209E-3</c:v>
                </c:pt>
                <c:pt idx="106">
                  <c:v>1.2238660548347954E-3</c:v>
                </c:pt>
                <c:pt idx="107">
                  <c:v>1.2575919552650018E-3</c:v>
                </c:pt>
                <c:pt idx="108">
                  <c:v>1.2921645342945484E-3</c:v>
                </c:pt>
                <c:pt idx="109">
                  <c:v>1.3276025820700517E-3</c:v>
                </c:pt>
                <c:pt idx="110">
                  <c:v>1.3639252362389082E-3</c:v>
                </c:pt>
                <c:pt idx="111">
                  <c:v>1.401151986513538E-3</c:v>
                </c:pt>
                <c:pt idx="112">
                  <c:v>1.4393026792464594E-3</c:v>
                </c:pt>
                <c:pt idx="113">
                  <c:v>1.4783975220147147E-3</c:v>
                </c:pt>
                <c:pt idx="114">
                  <c:v>1.5184570882121066E-3</c:v>
                </c:pt>
                <c:pt idx="115">
                  <c:v>1.5595023216476954E-3</c:v>
                </c:pt>
                <c:pt idx="116">
                  <c:v>1.6015545411489052E-3</c:v>
                </c:pt>
                <c:pt idx="117">
                  <c:v>1.6446354451675918E-3</c:v>
                </c:pt>
                <c:pt idx="118">
                  <c:v>1.6887671163873649E-3</c:v>
                </c:pt>
                <c:pt idx="119">
                  <c:v>1.7339720263303928E-3</c:v>
                </c:pt>
                <c:pt idx="120">
                  <c:v>1.7802730399618829E-3</c:v>
                </c:pt>
                <c:pt idx="121">
                  <c:v>1.8276934202903956E-3</c:v>
                </c:pt>
                <c:pt idx="122">
                  <c:v>1.8762568329620808E-3</c:v>
                </c:pt>
                <c:pt idx="123">
                  <c:v>1.9259873508468905E-3</c:v>
                </c:pt>
                <c:pt idx="124">
                  <c:v>1.9769094586147696E-3</c:v>
                </c:pt>
                <c:pt idx="125">
                  <c:v>2.0290480572997729E-3</c:v>
                </c:pt>
                <c:pt idx="126">
                  <c:v>2.0824284688500277E-3</c:v>
                </c:pt>
                <c:pt idx="127">
                  <c:v>2.1370764406613675E-3</c:v>
                </c:pt>
                <c:pt idx="128">
                  <c:v>2.1930181500924907E-3</c:v>
                </c:pt>
                <c:pt idx="129">
                  <c:v>2.2502802089593493E-3</c:v>
                </c:pt>
                <c:pt idx="130">
                  <c:v>2.3088896680065014E-3</c:v>
                </c:pt>
                <c:pt idx="131">
                  <c:v>2.3688740213531042E-3</c:v>
                </c:pt>
                <c:pt idx="132">
                  <c:v>2.4302612109110984E-3</c:v>
                </c:pt>
                <c:pt idx="133">
                  <c:v>2.4930796307732084E-3</c:v>
                </c:pt>
                <c:pt idx="134">
                  <c:v>2.557358131568226E-3</c:v>
                </c:pt>
                <c:pt idx="135">
                  <c:v>2.6231260247810313E-3</c:v>
                </c:pt>
                <c:pt idx="136">
                  <c:v>2.6904130870347973E-3</c:v>
                </c:pt>
                <c:pt idx="137">
                  <c:v>2.7592495643326996E-3</c:v>
                </c:pt>
                <c:pt idx="138">
                  <c:v>2.8296661762564597E-3</c:v>
                </c:pt>
                <c:pt idx="139">
                  <c:v>2.9016941201189797E-3</c:v>
                </c:pt>
                <c:pt idx="140">
                  <c:v>2.9753650750682608E-3</c:v>
                </c:pt>
                <c:pt idx="141">
                  <c:v>3.0507112061398159E-3</c:v>
                </c:pt>
                <c:pt idx="142">
                  <c:v>3.1277651682546231E-3</c:v>
                </c:pt>
                <c:pt idx="143">
                  <c:v>3.2065601101597227E-3</c:v>
                </c:pt>
                <c:pt idx="144">
                  <c:v>3.2871296783084903E-3</c:v>
                </c:pt>
                <c:pt idx="145">
                  <c:v>3.3695080206774899E-3</c:v>
                </c:pt>
                <c:pt idx="146">
                  <c:v>3.4537297905169093E-3</c:v>
                </c:pt>
                <c:pt idx="147">
                  <c:v>3.5398301500313661E-3</c:v>
                </c:pt>
                <c:pt idx="148">
                  <c:v>3.6278447739879773E-3</c:v>
                </c:pt>
                <c:pt idx="149">
                  <c:v>3.7178098532484336E-3</c:v>
                </c:pt>
                <c:pt idx="150">
                  <c:v>3.8097620982218195E-3</c:v>
                </c:pt>
                <c:pt idx="151">
                  <c:v>3.903738742234875E-3</c:v>
                </c:pt>
                <c:pt idx="152">
                  <c:v>3.9997775448163261E-3</c:v>
                </c:pt>
                <c:pt idx="153">
                  <c:v>4.0979167948918946E-3</c:v>
                </c:pt>
                <c:pt idx="154">
                  <c:v>4.1981953138865479E-3</c:v>
                </c:pt>
                <c:pt idx="155">
                  <c:v>4.300652458730461E-3</c:v>
                </c:pt>
                <c:pt idx="156">
                  <c:v>4.4053281247652364E-3</c:v>
                </c:pt>
                <c:pt idx="157">
                  <c:v>4.5122627485467328E-3</c:v>
                </c:pt>
                <c:pt idx="158">
                  <c:v>4.6214973105409111E-3</c:v>
                </c:pt>
                <c:pt idx="159">
                  <c:v>4.7330733377091141E-3</c:v>
                </c:pt>
                <c:pt idx="160">
                  <c:v>4.8470329059789648E-3</c:v>
                </c:pt>
                <c:pt idx="161">
                  <c:v>4.9634186425972816E-3</c:v>
                </c:pt>
                <c:pt idx="162">
                  <c:v>5.0822737283611518E-3</c:v>
                </c:pt>
                <c:pt idx="163">
                  <c:v>5.2036418997234461E-3</c:v>
                </c:pt>
                <c:pt idx="164">
                  <c:v>5.3275674507688373E-3</c:v>
                </c:pt>
                <c:pt idx="165">
                  <c:v>5.4540952350565644E-3</c:v>
                </c:pt>
                <c:pt idx="166">
                  <c:v>5.5832706673259814E-3</c:v>
                </c:pt>
                <c:pt idx="167">
                  <c:v>5.7151397250609446E-3</c:v>
                </c:pt>
                <c:pt idx="168">
                  <c:v>5.8497489499091636E-3</c:v>
                </c:pt>
                <c:pt idx="169">
                  <c:v>5.9871454489524231E-3</c:v>
                </c:pt>
                <c:pt idx="170">
                  <c:v>6.127376895823709E-3</c:v>
                </c:pt>
                <c:pt idx="171">
                  <c:v>6.2704915316672506E-3</c:v>
                </c:pt>
                <c:pt idx="172">
                  <c:v>6.4165381659373162E-3</c:v>
                </c:pt>
                <c:pt idx="173">
                  <c:v>6.5655661770317236E-3</c:v>
                </c:pt>
                <c:pt idx="174">
                  <c:v>6.717625512755997E-3</c:v>
                </c:pt>
                <c:pt idx="175">
                  <c:v>6.8727666906139946E-3</c:v>
                </c:pt>
                <c:pt idx="176">
                  <c:v>7.0310407979208428E-3</c:v>
                </c:pt>
                <c:pt idx="177">
                  <c:v>7.1924994917341063E-3</c:v>
                </c:pt>
                <c:pt idx="178">
                  <c:v>7.3571949985989336E-3</c:v>
                </c:pt>
                <c:pt idx="179">
                  <c:v>7.5251801141030441E-3</c:v>
                </c:pt>
                <c:pt idx="180">
                  <c:v>7.6965082022373513E-3</c:v>
                </c:pt>
                <c:pt idx="181">
                  <c:v>7.8712331945579913E-3</c:v>
                </c:pt>
                <c:pt idx="182">
                  <c:v>8.0494095891456164E-3</c:v>
                </c:pt>
                <c:pt idx="183">
                  <c:v>8.2310924493576611E-3</c:v>
                </c:pt>
                <c:pt idx="184">
                  <c:v>8.4163374023694167E-3</c:v>
                </c:pt>
                <c:pt idx="185">
                  <c:v>8.6052006374997062E-3</c:v>
                </c:pt>
                <c:pt idx="186">
                  <c:v>8.7977389043168777E-3</c:v>
                </c:pt>
                <c:pt idx="187">
                  <c:v>8.9940095105210238E-3</c:v>
                </c:pt>
                <c:pt idx="188">
                  <c:v>9.1940703195981296E-3</c:v>
                </c:pt>
                <c:pt idx="189">
                  <c:v>9.3979797482419587E-3</c:v>
                </c:pt>
                <c:pt idx="190">
                  <c:v>9.6057967635396202E-3</c:v>
                </c:pt>
                <c:pt idx="191">
                  <c:v>9.8175808799164533E-3</c:v>
                </c:pt>
                <c:pt idx="192">
                  <c:v>1.0033392155836264E-2</c:v>
                </c:pt>
                <c:pt idx="193">
                  <c:v>1.0253291190252679E-2</c:v>
                </c:pt>
                <c:pt idx="194">
                  <c:v>1.0477339118807534E-2</c:v>
                </c:pt>
                <c:pt idx="195">
                  <c:v>1.0705597609772223E-2</c:v>
                </c:pt>
                <c:pt idx="196">
                  <c:v>1.0938128859727912E-2</c:v>
                </c:pt>
                <c:pt idx="197">
                  <c:v>1.117499558898068E-2</c:v>
                </c:pt>
                <c:pt idx="198">
                  <c:v>1.1416261036707448E-2</c:v>
                </c:pt>
                <c:pt idx="199">
                  <c:v>1.1661988955828878E-2</c:v>
                </c:pt>
                <c:pt idx="200">
                  <c:v>1.1912243607605221E-2</c:v>
                </c:pt>
                <c:pt idx="201">
                  <c:v>1.2167089755951287E-2</c:v>
                </c:pt>
                <c:pt idx="202">
                  <c:v>1.2426592661466637E-2</c:v>
                </c:pt>
                <c:pt idx="203">
                  <c:v>1.2690818075177307E-2</c:v>
                </c:pt>
                <c:pt idx="204">
                  <c:v>1.2959832231985173E-2</c:v>
                </c:pt>
                <c:pt idx="205">
                  <c:v>1.3233701843821419E-2</c:v>
                </c:pt>
                <c:pt idx="206">
                  <c:v>1.3512494092500354E-2</c:v>
                </c:pt>
                <c:pt idx="207">
                  <c:v>1.3796276622270072E-2</c:v>
                </c:pt>
                <c:pt idx="208">
                  <c:v>1.4085117532056393E-2</c:v>
                </c:pt>
                <c:pt idx="209">
                  <c:v>1.4379085367396686E-2</c:v>
                </c:pt>
                <c:pt idx="210">
                  <c:v>1.4678249112060089E-2</c:v>
                </c:pt>
                <c:pt idx="211">
                  <c:v>1.4982678179350983E-2</c:v>
                </c:pt>
                <c:pt idx="212">
                  <c:v>1.5292442403092287E-2</c:v>
                </c:pt>
                <c:pt idx="213">
                  <c:v>1.5607612028285547E-2</c:v>
                </c:pt>
                <c:pt idx="214">
                  <c:v>1.5928257701444716E-2</c:v>
                </c:pt>
                <c:pt idx="215">
                  <c:v>1.6254450460600561E-2</c:v>
                </c:pt>
                <c:pt idx="216">
                  <c:v>1.6586261724972861E-2</c:v>
                </c:pt>
                <c:pt idx="217">
                  <c:v>1.6923763284307593E-2</c:v>
                </c:pt>
                <c:pt idx="218">
                  <c:v>1.7267027287876234E-2</c:v>
                </c:pt>
                <c:pt idx="219">
                  <c:v>1.7616126233134771E-2</c:v>
                </c:pt>
                <c:pt idx="220">
                  <c:v>1.7971132954039709E-2</c:v>
                </c:pt>
                <c:pt idx="221">
                  <c:v>1.8332120609018735E-2</c:v>
                </c:pt>
                <c:pt idx="222">
                  <c:v>1.8699162668593724E-2</c:v>
                </c:pt>
                <c:pt idx="223">
                  <c:v>1.9072332902653838E-2</c:v>
                </c:pt>
                <c:pt idx="224">
                  <c:v>1.9451705367376653E-2</c:v>
                </c:pt>
                <c:pt idx="225">
                  <c:v>1.98373543917954E-2</c:v>
                </c:pt>
                <c:pt idx="226">
                  <c:v>2.0229354564010281E-2</c:v>
                </c:pt>
                <c:pt idx="227">
                  <c:v>2.0627780717042386E-2</c:v>
                </c:pt>
                <c:pt idx="228">
                  <c:v>2.1032707914328399E-2</c:v>
                </c:pt>
                <c:pt idx="229">
                  <c:v>2.1444211434854674E-2</c:v>
                </c:pt>
                <c:pt idx="230">
                  <c:v>2.186236675792947E-2</c:v>
                </c:pt>
                <c:pt idx="231">
                  <c:v>2.2287249547591936E-2</c:v>
                </c:pt>
                <c:pt idx="232">
                  <c:v>2.2718935636656924E-2</c:v>
                </c:pt>
                <c:pt idx="233">
                  <c:v>2.3157501010394696E-2</c:v>
                </c:pt>
                <c:pt idx="234">
                  <c:v>2.360302178984474E-2</c:v>
                </c:pt>
                <c:pt idx="235">
                  <c:v>2.4055574214763065E-2</c:v>
                </c:pt>
                <c:pt idx="236">
                  <c:v>2.4515234626202538E-2</c:v>
                </c:pt>
                <c:pt idx="237">
                  <c:v>2.4982079448725894E-2</c:v>
                </c:pt>
                <c:pt idx="238">
                  <c:v>2.5456185172251431E-2</c:v>
                </c:pt>
                <c:pt idx="239">
                  <c:v>2.5937628333531158E-2</c:v>
                </c:pt>
                <c:pt idx="240">
                  <c:v>2.6426485497261835E-2</c:v>
                </c:pt>
                <c:pt idx="241">
                  <c:v>2.6922833236829063E-2</c:v>
                </c:pt>
                <c:pt idx="242">
                  <c:v>2.7426748114685068E-2</c:v>
                </c:pt>
                <c:pt idx="243">
                  <c:v>2.7938306662360812E-2</c:v>
                </c:pt>
                <c:pt idx="244">
                  <c:v>2.845758536011337E-2</c:v>
                </c:pt>
                <c:pt idx="245">
                  <c:v>2.8984660616209527E-2</c:v>
                </c:pt>
                <c:pt idx="246">
                  <c:v>2.9519608745847033E-2</c:v>
                </c:pt>
                <c:pt idx="247">
                  <c:v>3.0062505949714702E-2</c:v>
                </c:pt>
                <c:pt idx="248">
                  <c:v>3.0613428292193167E-2</c:v>
                </c:pt>
                <c:pt idx="249">
                  <c:v>3.117245167919807E-2</c:v>
                </c:pt>
                <c:pt idx="250">
                  <c:v>3.1739651835667543E-2</c:v>
                </c:pt>
                <c:pt idx="251">
                  <c:v>3.2315104282696495E-2</c:v>
                </c:pt>
                <c:pt idx="252">
                  <c:v>3.289888431431974E-2</c:v>
                </c:pt>
                <c:pt idx="253">
                  <c:v>3.3491066973946937E-2</c:v>
                </c:pt>
                <c:pt idx="254">
                  <c:v>3.4091727030451803E-2</c:v>
                </c:pt>
                <c:pt idx="255">
                  <c:v>3.4700938953918951E-2</c:v>
                </c:pt>
                <c:pt idx="256">
                  <c:v>3.5318776891051382E-2</c:v>
                </c:pt>
                <c:pt idx="257">
                  <c:v>3.5945314640242094E-2</c:v>
                </c:pt>
                <c:pt idx="258">
                  <c:v>3.6580625626313465E-2</c:v>
                </c:pt>
                <c:pt idx="259">
                  <c:v>3.7224782874928523E-2</c:v>
                </c:pt>
                <c:pt idx="260">
                  <c:v>3.7877858986677629E-2</c:v>
                </c:pt>
                <c:pt idx="261">
                  <c:v>3.8539926110845529E-2</c:v>
                </c:pt>
                <c:pt idx="262">
                  <c:v>3.9211055918862876E-2</c:v>
                </c:pt>
                <c:pt idx="263">
                  <c:v>3.9891319577447099E-2</c:v>
                </c:pt>
                <c:pt idx="264">
                  <c:v>4.0580787721437625E-2</c:v>
                </c:pt>
                <c:pt idx="265">
                  <c:v>4.1279530426330556E-2</c:v>
                </c:pt>
                <c:pt idx="266">
                  <c:v>4.1987617180518425E-2</c:v>
                </c:pt>
                <c:pt idx="267">
                  <c:v>4.2705116857240356E-2</c:v>
                </c:pt>
                <c:pt idx="268">
                  <c:v>4.3432097686248852E-2</c:v>
                </c:pt>
                <c:pt idx="269">
                  <c:v>4.4168627225199111E-2</c:v>
                </c:pt>
                <c:pt idx="270">
                  <c:v>4.4914772330767253E-2</c:v>
                </c:pt>
                <c:pt idx="271">
                  <c:v>4.5670599129504073E-2</c:v>
                </c:pt>
                <c:pt idx="272">
                  <c:v>4.6436172988430974E-2</c:v>
                </c:pt>
                <c:pt idx="273">
                  <c:v>4.7211558485385482E-2</c:v>
                </c:pt>
                <c:pt idx="274">
                  <c:v>4.7996819379123007E-2</c:v>
                </c:pt>
                <c:pt idx="275">
                  <c:v>4.8792018579182951E-2</c:v>
                </c:pt>
                <c:pt idx="276">
                  <c:v>4.9597218115526524E-2</c:v>
                </c:pt>
                <c:pt idx="277">
                  <c:v>5.0412479107954329E-2</c:v>
                </c:pt>
                <c:pt idx="278">
                  <c:v>5.1237861735311967E-2</c:v>
                </c:pt>
                <c:pt idx="279">
                  <c:v>5.2073425204491881E-2</c:v>
                </c:pt>
                <c:pt idx="280">
                  <c:v>5.2919227719240493E-2</c:v>
                </c:pt>
                <c:pt idx="281">
                  <c:v>5.3775326448778978E-2</c:v>
                </c:pt>
                <c:pt idx="282">
                  <c:v>5.4641777496247247E-2</c:v>
                </c:pt>
                <c:pt idx="283">
                  <c:v>5.5518635866980331E-2</c:v>
                </c:pt>
                <c:pt idx="284">
                  <c:v>5.6405955436626486E-2</c:v>
                </c:pt>
                <c:pt idx="285">
                  <c:v>5.7303788919117353E-2</c:v>
                </c:pt>
                <c:pt idx="286">
                  <c:v>5.8212187834499572E-2</c:v>
                </c:pt>
                <c:pt idx="287">
                  <c:v>5.9131202476638577E-2</c:v>
                </c:pt>
                <c:pt idx="288">
                  <c:v>6.0060881880804787E-2</c:v>
                </c:pt>
                <c:pt idx="289">
                  <c:v>6.1001273791152923E-2</c:v>
                </c:pt>
                <c:pt idx="290">
                  <c:v>6.1952424628105407E-2</c:v>
                </c:pt>
                <c:pt idx="291">
                  <c:v>6.2914379455650773E-2</c:v>
                </c:pt>
                <c:pt idx="292">
                  <c:v>6.3887181948568836E-2</c:v>
                </c:pt>
                <c:pt idx="293">
                  <c:v>6.4870874359593489E-2</c:v>
                </c:pt>
                <c:pt idx="294">
                  <c:v>6.5865497486525593E-2</c:v>
                </c:pt>
                <c:pt idx="295">
                  <c:v>6.6871090639307407E-2</c:v>
                </c:pt>
                <c:pt idx="296">
                  <c:v>6.7887691607070838E-2</c:v>
                </c:pt>
                <c:pt idx="297">
                  <c:v>6.8915336625172061E-2</c:v>
                </c:pt>
                <c:pt idx="298">
                  <c:v>6.9954060342224608E-2</c:v>
                </c:pt>
                <c:pt idx="299">
                  <c:v>7.1003895787144319E-2</c:v>
                </c:pt>
                <c:pt idx="300">
                  <c:v>7.2064874336218263E-2</c:v>
                </c:pt>
                <c:pt idx="301">
                  <c:v>7.3137025680211548E-2</c:v>
                </c:pt>
                <c:pt idx="302">
                  <c:v>7.4220377791524642E-2</c:v>
                </c:pt>
                <c:pt idx="303">
                  <c:v>7.5314956891415208E-2</c:v>
                </c:pt>
                <c:pt idx="304">
                  <c:v>7.6420787417297617E-2</c:v>
                </c:pt>
                <c:pt idx="305">
                  <c:v>7.7537891990134292E-2</c:v>
                </c:pt>
                <c:pt idx="306">
                  <c:v>7.8666291381932638E-2</c:v>
                </c:pt>
                <c:pt idx="307">
                  <c:v>7.9806004483361864E-2</c:v>
                </c:pt>
                <c:pt idx="308">
                  <c:v>8.0957048271503781E-2</c:v>
                </c:pt>
                <c:pt idx="309">
                  <c:v>8.2119437777752088E-2</c:v>
                </c:pt>
                <c:pt idx="310">
                  <c:v>8.3293186055874782E-2</c:v>
                </c:pt>
                <c:pt idx="311">
                  <c:v>8.447830415025423E-2</c:v>
                </c:pt>
                <c:pt idx="312">
                  <c:v>8.5674801064319919E-2</c:v>
                </c:pt>
                <c:pt idx="313">
                  <c:v>8.6882683729188739E-2</c:v>
                </c:pt>
                <c:pt idx="314">
                  <c:v>8.8101956972527817E-2</c:v>
                </c:pt>
                <c:pt idx="315">
                  <c:v>8.9332623487655333E-2</c:v>
                </c:pt>
                <c:pt idx="316">
                  <c:v>9.057468380289424E-2</c:v>
                </c:pt>
                <c:pt idx="317">
                  <c:v>9.1828136251194833E-2</c:v>
                </c:pt>
                <c:pt idx="318">
                  <c:v>9.30929769400409E-2</c:v>
                </c:pt>
                <c:pt idx="319">
                  <c:v>9.4369199721655944E-2</c:v>
                </c:pt>
                <c:pt idx="320">
                  <c:v>9.5656796163524349E-2</c:v>
                </c:pt>
                <c:pt idx="321">
                  <c:v>9.6955755519243764E-2</c:v>
                </c:pt>
                <c:pt idx="322">
                  <c:v>9.8266064699724043E-2</c:v>
                </c:pt>
                <c:pt idx="323">
                  <c:v>9.9587708244749315E-2</c:v>
                </c:pt>
                <c:pt idx="324">
                  <c:v>0.10092066829491807</c:v>
                </c:pt>
                <c:pt idx="325">
                  <c:v>0.10226492456397837</c:v>
                </c:pt>
                <c:pt idx="326">
                  <c:v>0.10362045431157331</c:v>
                </c:pt>
                <c:pt idx="327">
                  <c:v>0.10498723231641303</c:v>
                </c:pt>
                <c:pt idx="328">
                  <c:v>0.10636523084988972</c:v>
                </c:pt>
                <c:pt idx="329">
                  <c:v>0.10775441965015088</c:v>
                </c:pt>
                <c:pt idx="330">
                  <c:v>0.10915476589664778</c:v>
                </c:pt>
                <c:pt idx="331">
                  <c:v>0.11056623418517444</c:v>
                </c:pt>
                <c:pt idx="332">
                  <c:v>0.11198878650341376</c:v>
                </c:pt>
                <c:pt idx="333">
                  <c:v>0.11342238220700659</c:v>
                </c:pt>
                <c:pt idx="334">
                  <c:v>0.1148669779961594</c:v>
                </c:pt>
                <c:pt idx="335">
                  <c:v>0.11632252789280752</c:v>
                </c:pt>
                <c:pt idx="336">
                  <c:v>0.11778898321834855</c:v>
                </c:pt>
                <c:pt idx="337">
                  <c:v>0.11926629257196304</c:v>
                </c:pt>
                <c:pt idx="338">
                  <c:v>0.12075440180953755</c:v>
                </c:pt>
                <c:pt idx="339">
                  <c:v>0.12225325402320565</c:v>
                </c:pt>
                <c:pt idx="340">
                  <c:v>0.12376278952152359</c:v>
                </c:pt>
                <c:pt idx="341">
                  <c:v>0.12528294581029475</c:v>
                </c:pt>
                <c:pt idx="342">
                  <c:v>0.12681365757405955</c:v>
                </c:pt>
                <c:pt idx="343">
                  <c:v>0.12835485665826554</c:v>
                </c:pt>
                <c:pt idx="344">
                  <c:v>0.12990647205213299</c:v>
                </c:pt>
                <c:pt idx="345">
                  <c:v>0.13146842987223148</c:v>
                </c:pt>
                <c:pt idx="346">
                  <c:v>0.13304065334678181</c:v>
                </c:pt>
                <c:pt idx="347">
                  <c:v>0.13462306280069861</c:v>
                </c:pt>
                <c:pt idx="348">
                  <c:v>0.13621557564138836</c:v>
                </c:pt>
                <c:pt idx="349">
                  <c:v>0.13781810634531691</c:v>
                </c:pt>
                <c:pt idx="350">
                  <c:v>0.13943056644536075</c:v>
                </c:pt>
                <c:pt idx="351">
                  <c:v>0.14105286451895738</c:v>
                </c:pt>
                <c:pt idx="352">
                  <c:v>0.142684906177067</c:v>
                </c:pt>
                <c:pt idx="353">
                  <c:v>0.14432659405396067</c:v>
                </c:pt>
                <c:pt idx="354">
                  <c:v>0.14597782779784771</c:v>
                </c:pt>
                <c:pt idx="355">
                  <c:v>0.14763850406235624</c:v>
                </c:pt>
                <c:pt idx="356">
                  <c:v>0.14930851649887933</c:v>
                </c:pt>
                <c:pt idx="357">
                  <c:v>0.15098775574980025</c:v>
                </c:pt>
                <c:pt idx="358">
                  <c:v>0.15267610944260898</c:v>
                </c:pt>
                <c:pt idx="359">
                  <c:v>0.15437346218492259</c:v>
                </c:pt>
                <c:pt idx="360">
                  <c:v>0.15607969556042139</c:v>
                </c:pt>
                <c:pt idx="361">
                  <c:v>0.15779468812571285</c:v>
                </c:pt>
                <c:pt idx="362">
                  <c:v>0.15951831540813466</c:v>
                </c:pt>
                <c:pt idx="363">
                  <c:v>0.16125044990450835</c:v>
                </c:pt>
                <c:pt idx="364">
                  <c:v>0.16299096108085404</c:v>
                </c:pt>
                <c:pt idx="365">
                  <c:v>0.16473971537307738</c:v>
                </c:pt>
                <c:pt idx="366">
                  <c:v>0.1664965761886385</c:v>
                </c:pt>
                <c:pt idx="367">
                  <c:v>0.16826140390921351</c:v>
                </c:pt>
                <c:pt idx="368">
                  <c:v>0.17003405589435755</c:v>
                </c:pt>
                <c:pt idx="369">
                  <c:v>0.17181438648617897</c:v>
                </c:pt>
                <c:pt idx="370">
                  <c:v>0.17360224701503355</c:v>
                </c:pt>
                <c:pt idx="371">
                  <c:v>0.17539748580624759</c:v>
                </c:pt>
                <c:pt idx="372">
                  <c:v>0.17719994818787707</c:v>
                </c:pt>
                <c:pt idx="373">
                  <c:v>0.17900947649951199</c:v>
                </c:pt>
                <c:pt idx="374">
                  <c:v>0.1808259101021322</c:v>
                </c:pt>
                <c:pt idx="375">
                  <c:v>0.1826490853890225</c:v>
                </c:pt>
                <c:pt idx="376">
                  <c:v>0.18447883579775295</c:v>
                </c:pt>
                <c:pt idx="377">
                  <c:v>0.18631499182323119</c:v>
                </c:pt>
                <c:pt idx="378">
                  <c:v>0.18815738103183205</c:v>
                </c:pt>
                <c:pt idx="379">
                  <c:v>0.19000582807661012</c:v>
                </c:pt>
                <c:pt idx="380">
                  <c:v>0.19186015471359996</c:v>
                </c:pt>
                <c:pt idx="381">
                  <c:v>0.19372017981920878</c:v>
                </c:pt>
                <c:pt idx="382">
                  <c:v>0.19558571940870476</c:v>
                </c:pt>
                <c:pt idx="383">
                  <c:v>0.1974565866558059</c:v>
                </c:pt>
                <c:pt idx="384">
                  <c:v>0.19933259191337133</c:v>
                </c:pt>
                <c:pt idx="385">
                  <c:v>0.20121354273519801</c:v>
                </c:pt>
                <c:pt idx="386">
                  <c:v>0.20309924389892561</c:v>
                </c:pt>
                <c:pt idx="387">
                  <c:v>0.2049894974300504</c:v>
                </c:pt>
                <c:pt idx="388">
                  <c:v>0.20688410262704993</c:v>
                </c:pt>
                <c:pt idx="389">
                  <c:v>0.20878285608761873</c:v>
                </c:pt>
                <c:pt idx="390">
                  <c:v>0.21068555173601591</c:v>
                </c:pt>
                <c:pt idx="391">
                  <c:v>0.21259198085152381</c:v>
                </c:pt>
                <c:pt idx="392">
                  <c:v>0.21450193209801693</c:v>
                </c:pt>
                <c:pt idx="393">
                  <c:v>0.21641519155464073</c:v>
                </c:pt>
                <c:pt idx="394">
                  <c:v>0.21833154274759678</c:v>
                </c:pt>
                <c:pt idx="395">
                  <c:v>0.22025076668303395</c:v>
                </c:pt>
                <c:pt idx="396">
                  <c:v>0.22217264188104127</c:v>
                </c:pt>
                <c:pt idx="397">
                  <c:v>0.22409694441073988</c:v>
                </c:pt>
                <c:pt idx="398">
                  <c:v>0.22602344792647017</c:v>
                </c:pt>
                <c:pt idx="399">
                  <c:v>0.22795192370506911</c:v>
                </c:pt>
                <c:pt idx="400">
                  <c:v>0.22988214068423368</c:v>
                </c:pt>
                <c:pt idx="401">
                  <c:v>0.23181386550196442</c:v>
                </c:pt>
                <c:pt idx="402">
                  <c:v>0.23374686253708299</c:v>
                </c:pt>
                <c:pt idx="403">
                  <c:v>0.2356808939508179</c:v>
                </c:pt>
                <c:pt idx="404">
                  <c:v>0.23761571972945048</c:v>
                </c:pt>
                <c:pt idx="405">
                  <c:v>0.23955109772801403</c:v>
                </c:pt>
                <c:pt idx="406">
                  <c:v>0.24148678371503801</c:v>
                </c:pt>
                <c:pt idx="407">
                  <c:v>0.24342253141832823</c:v>
                </c:pt>
                <c:pt idx="408">
                  <c:v>0.24535809257177435</c:v>
                </c:pt>
                <c:pt idx="409">
                  <c:v>0.24729321696317441</c:v>
                </c:pt>
                <c:pt idx="410">
                  <c:v>0.24922765248306661</c:v>
                </c:pt>
                <c:pt idx="411">
                  <c:v>0.25116114517455695</c:v>
                </c:pt>
                <c:pt idx="412">
                  <c:v>0.25309343928413208</c:v>
                </c:pt>
                <c:pt idx="413">
                  <c:v>0.25502427731344474</c:v>
                </c:pt>
                <c:pt idx="414">
                  <c:v>0.25695340007206013</c:v>
                </c:pt>
                <c:pt idx="415">
                  <c:v>0.25888054673114952</c:v>
                </c:pt>
                <c:pt idx="416">
                  <c:v>0.26080545487811813</c:v>
                </c:pt>
                <c:pt idx="417">
                  <c:v>0.26272786057215303</c:v>
                </c:pt>
                <c:pt idx="418">
                  <c:v>0.26464749840067719</c:v>
                </c:pt>
                <c:pt idx="419">
                  <c:v>0.26656410153669319</c:v>
                </c:pt>
                <c:pt idx="420">
                  <c:v>0.26847740179700308</c:v>
                </c:pt>
                <c:pt idx="421">
                  <c:v>0.27038712970128626</c:v>
                </c:pt>
                <c:pt idx="422">
                  <c:v>0.27229301453202076</c:v>
                </c:pt>
                <c:pt idx="423">
                  <c:v>0.27419478439522921</c:v>
                </c:pt>
                <c:pt idx="424">
                  <c:v>0.27609216628203315</c:v>
                </c:pt>
                <c:pt idx="425">
                  <c:v>0.27798488613099714</c:v>
                </c:pt>
                <c:pt idx="426">
                  <c:v>0.27987266889124418</c:v>
                </c:pt>
                <c:pt idx="427">
                  <c:v>0.28175523858632345</c:v>
                </c:pt>
                <c:pt idx="428">
                  <c:v>0.28363231837881131</c:v>
                </c:pt>
                <c:pt idx="429">
                  <c:v>0.28550363063562495</c:v>
                </c:pt>
                <c:pt idx="430">
                  <c:v>0.28736889699402901</c:v>
                </c:pt>
                <c:pt idx="431">
                  <c:v>0.28922783842831357</c:v>
                </c:pt>
                <c:pt idx="432">
                  <c:v>0.29108017531712377</c:v>
                </c:pt>
                <c:pt idx="433">
                  <c:v>0.29292562751141688</c:v>
                </c:pt>
                <c:pt idx="434">
                  <c:v>0.29476391440302752</c:v>
                </c:pt>
                <c:pt idx="435">
                  <c:v>0.29659475499381638</c:v>
                </c:pt>
                <c:pt idx="436">
                  <c:v>0.29841786796538039</c:v>
                </c:pt>
                <c:pt idx="437">
                  <c:v>0.30023297174930119</c:v>
                </c:pt>
                <c:pt idx="438">
                  <c:v>0.30203978459790748</c:v>
                </c:pt>
                <c:pt idx="439">
                  <c:v>0.30383802465552817</c:v>
                </c:pt>
                <c:pt idx="440">
                  <c:v>0.30562741003021054</c:v>
                </c:pt>
                <c:pt idx="441">
                  <c:v>0.30740765886587995</c:v>
                </c:pt>
                <c:pt idx="442">
                  <c:v>0.30917848941491499</c:v>
                </c:pt>
                <c:pt idx="443">
                  <c:v>0.31093962011111287</c:v>
                </c:pt>
                <c:pt idx="444">
                  <c:v>0.31269076964301956</c:v>
                </c:pt>
                <c:pt idx="445">
                  <c:v>0.31443165702759795</c:v>
                </c:pt>
                <c:pt idx="446">
                  <c:v>0.31616200168420788</c:v>
                </c:pt>
                <c:pt idx="447">
                  <c:v>0.31788152350887128</c:v>
                </c:pt>
                <c:pt idx="448">
                  <c:v>0.31958994294879589</c:v>
                </c:pt>
                <c:pt idx="449">
                  <c:v>0.32128698107712889</c:v>
                </c:pt>
                <c:pt idx="450">
                  <c:v>0.32297235966791493</c:v>
                </c:pt>
                <c:pt idx="451">
                  <c:v>0.32464580127122888</c:v>
                </c:pt>
                <c:pt idx="452">
                  <c:v>0.32630702928845667</c:v>
                </c:pt>
                <c:pt idx="453">
                  <c:v>0.327955768047695</c:v>
                </c:pt>
                <c:pt idx="454">
                  <c:v>0.3295917428792427</c:v>
                </c:pt>
                <c:pt idx="455">
                  <c:v>0.33121468019115352</c:v>
                </c:pt>
                <c:pt idx="456">
                  <c:v>0.33282430754482351</c:v>
                </c:pt>
                <c:pt idx="457">
                  <c:v>0.33442035373058215</c:v>
                </c:pt>
                <c:pt idx="458">
                  <c:v>0.33600254884325947</c:v>
                </c:pt>
                <c:pt idx="459">
                  <c:v>0.33757062435770002</c:v>
                </c:pt>
                <c:pt idx="460">
                  <c:v>0.33912431320419278</c:v>
                </c:pt>
                <c:pt idx="461">
                  <c:v>0.34066334984378965</c:v>
                </c:pt>
                <c:pt idx="462">
                  <c:v>0.34218747034348174</c:v>
                </c:pt>
                <c:pt idx="463">
                  <c:v>0.3436964124512043</c:v>
                </c:pt>
                <c:pt idx="464">
                  <c:v>0.34518991567063995</c:v>
                </c:pt>
                <c:pt idx="465">
                  <c:v>0.34666772133579221</c:v>
                </c:pt>
                <c:pt idx="466">
                  <c:v>0.34812957268529754</c:v>
                </c:pt>
                <c:pt idx="467">
                  <c:v>0.34957521493644761</c:v>
                </c:pt>
                <c:pt idx="468">
                  <c:v>0.35100439535889161</c:v>
                </c:pt>
                <c:pt idx="469">
                  <c:v>0.35241686334798844</c:v>
                </c:pt>
                <c:pt idx="470">
                  <c:v>0.35381237049778025</c:v>
                </c:pt>
                <c:pt idx="471">
                  <c:v>0.35519067067355647</c:v>
                </c:pt>
                <c:pt idx="472">
                  <c:v>0.35655152008397956</c:v>
                </c:pt>
                <c:pt idx="473">
                  <c:v>0.35789467735274261</c:v>
                </c:pt>
                <c:pt idx="474">
                  <c:v>0.35921990358972949</c:v>
                </c:pt>
                <c:pt idx="475">
                  <c:v>0.3605269624616485</c:v>
                </c:pt>
                <c:pt idx="476">
                  <c:v>0.36181562026210978</c:v>
                </c:pt>
                <c:pt idx="477">
                  <c:v>0.36308564598111848</c:v>
                </c:pt>
                <c:pt idx="478">
                  <c:v>0.36433681137395357</c:v>
                </c:pt>
                <c:pt idx="479">
                  <c:v>0.36556889102940437</c:v>
                </c:pt>
                <c:pt idx="480">
                  <c:v>0.36678166243733662</c:v>
                </c:pt>
                <c:pt idx="481">
                  <c:v>0.36797490605555855</c:v>
                </c:pt>
                <c:pt idx="482">
                  <c:v>0.36914840537596044</c:v>
                </c:pt>
                <c:pt idx="483">
                  <c:v>0.37030194698989832</c:v>
                </c:pt>
                <c:pt idx="484">
                  <c:v>0.37143532065279555</c:v>
                </c:pt>
                <c:pt idx="485">
                  <c:v>0.37254831934793387</c:v>
                </c:pt>
                <c:pt idx="486">
                  <c:v>0.373640739349407</c:v>
                </c:pt>
                <c:pt idx="487">
                  <c:v>0.37471238028421161</c:v>
                </c:pt>
                <c:pt idx="488">
                  <c:v>0.375763045193446</c:v>
                </c:pt>
                <c:pt idx="489">
                  <c:v>0.37679254059259387</c:v>
                </c:pt>
                <c:pt idx="490">
                  <c:v>0.37780067653086497</c:v>
                </c:pt>
                <c:pt idx="491">
                  <c:v>0.3787872666495678</c:v>
                </c:pt>
                <c:pt idx="492">
                  <c:v>0.37975212823948984</c:v>
                </c:pt>
                <c:pt idx="493">
                  <c:v>0.38069508229726007</c:v>
                </c:pt>
                <c:pt idx="494">
                  <c:v>0.38161595358066919</c:v>
                </c:pt>
                <c:pt idx="495">
                  <c:v>0.38251457066292438</c:v>
                </c:pt>
                <c:pt idx="496">
                  <c:v>0.38339076598581445</c:v>
                </c:pt>
                <c:pt idx="497">
                  <c:v>0.38424437591176253</c:v>
                </c:pt>
                <c:pt idx="498">
                  <c:v>0.38507524077474364</c:v>
                </c:pt>
                <c:pt idx="499">
                  <c:v>0.38588320493004552</c:v>
                </c:pt>
                <c:pt idx="500">
                  <c:v>0.38666811680284952</c:v>
                </c:pt>
                <c:pt idx="501">
                  <c:v>0.38742982893561206</c:v>
                </c:pt>
                <c:pt idx="502">
                  <c:v>0.38816819803422509</c:v>
                </c:pt>
                <c:pt idx="503">
                  <c:v>0.388883085012935</c:v>
                </c:pt>
                <c:pt idx="504">
                  <c:v>0.38957435503800125</c:v>
                </c:pt>
                <c:pt idx="505">
                  <c:v>0.3902418775700745</c:v>
                </c:pt>
                <c:pt idx="506">
                  <c:v>0.39088552640527613</c:v>
                </c:pt>
                <c:pt idx="507">
                  <c:v>0.39150517971496129</c:v>
                </c:pt>
                <c:pt idx="508">
                  <c:v>0.39210072008414726</c:v>
                </c:pt>
                <c:pt idx="509">
                  <c:v>0.39267203454859068</c:v>
                </c:pt>
                <c:pt idx="510">
                  <c:v>0.39321901463049741</c:v>
                </c:pt>
                <c:pt idx="511">
                  <c:v>0.39374155637284808</c:v>
                </c:pt>
                <c:pt idx="512">
                  <c:v>0.3942395603723261</c:v>
                </c:pt>
                <c:pt idx="513">
                  <c:v>0.39471293181083145</c:v>
                </c:pt>
                <c:pt idx="514">
                  <c:v>0.39516158048556749</c:v>
                </c:pt>
                <c:pt idx="515">
                  <c:v>0.3955854208376875</c:v>
                </c:pt>
                <c:pt idx="516">
                  <c:v>0.39598437197948738</c:v>
                </c:pt>
                <c:pt idx="517">
                  <c:v>0.39635835772013289</c:v>
                </c:pt>
                <c:pt idx="518">
                  <c:v>0.39670730658991049</c:v>
                </c:pt>
                <c:pt idx="519">
                  <c:v>0.39703115186298971</c:v>
                </c:pt>
                <c:pt idx="520">
                  <c:v>0.3973298315786884</c:v>
                </c:pt>
                <c:pt idx="521">
                  <c:v>0.3976032885612299</c:v>
                </c:pt>
                <c:pt idx="522">
                  <c:v>0.39785147043798463</c:v>
                </c:pt>
                <c:pt idx="523">
                  <c:v>0.39807432965618694</c:v>
                </c:pt>
                <c:pt idx="524">
                  <c:v>0.39827182349812035</c:v>
                </c:pt>
                <c:pt idx="525">
                  <c:v>0.39844391409476404</c:v>
                </c:pt>
                <c:pt idx="526">
                  <c:v>0.39859056843789503</c:v>
                </c:pt>
                <c:pt idx="527">
                  <c:v>0.3987117583906396</c:v>
                </c:pt>
                <c:pt idx="528">
                  <c:v>0.39880746069647066</c:v>
                </c:pt>
                <c:pt idx="529">
                  <c:v>0.39887765698664557</c:v>
                </c:pt>
                <c:pt idx="530">
                  <c:v>0.39892233378608216</c:v>
                </c:pt>
                <c:pt idx="531">
                  <c:v>0.39894148251766975</c:v>
                </c:pt>
                <c:pt idx="532">
                  <c:v>0.39893509950501366</c:v>
                </c:pt>
                <c:pt idx="533">
                  <c:v>0.39890318597361152</c:v>
                </c:pt>
                <c:pt idx="534">
                  <c:v>0.39884574805046102</c:v>
                </c:pt>
                <c:pt idx="535">
                  <c:v>0.39876279676209964</c:v>
                </c:pt>
                <c:pt idx="536">
                  <c:v>0.39865434803107636</c:v>
                </c:pt>
                <c:pt idx="537">
                  <c:v>0.39852042267085835</c:v>
                </c:pt>
                <c:pt idx="538">
                  <c:v>0.39836104637917336</c:v>
                </c:pt>
                <c:pt idx="539">
                  <c:v>0.3981762497297916</c:v>
                </c:pt>
                <c:pt idx="540">
                  <c:v>0.39796606816275087</c:v>
                </c:pt>
                <c:pt idx="541">
                  <c:v>0.39773054197302926</c:v>
                </c:pt>
                <c:pt idx="542">
                  <c:v>0.39746971629767008</c:v>
                </c:pt>
                <c:pt idx="543">
                  <c:v>0.39718364110136484</c:v>
                </c:pt>
                <c:pt idx="544">
                  <c:v>0.39687237116050184</c:v>
                </c:pt>
                <c:pt idx="545">
                  <c:v>0.39653596604568558</c:v>
                </c:pt>
                <c:pt idx="546">
                  <c:v>0.39617449010273653</c:v>
                </c:pt>
                <c:pt idx="547">
                  <c:v>0.39578801243217854</c:v>
                </c:pt>
                <c:pt idx="548">
                  <c:v>0.3953766068672242</c:v>
                </c:pt>
                <c:pt idx="549">
                  <c:v>0.3949403519502665</c:v>
                </c:pt>
                <c:pt idx="550">
                  <c:v>0.39447933090788867</c:v>
                </c:pt>
                <c:pt idx="551">
                  <c:v>0.39399363162440254</c:v>
                </c:pt>
                <c:pt idx="552">
                  <c:v>0.3934833466139277</c:v>
                </c:pt>
                <c:pt idx="553">
                  <c:v>0.39294857299102276</c:v>
                </c:pt>
                <c:pt idx="554">
                  <c:v>0.39238941243988362</c:v>
                </c:pt>
                <c:pt idx="555">
                  <c:v>0.39180597118212074</c:v>
                </c:pt>
                <c:pt idx="556">
                  <c:v>0.39119835994313051</c:v>
                </c:pt>
                <c:pt idx="557">
                  <c:v>0.39056669391707544</c:v>
                </c:pt>
                <c:pt idx="558">
                  <c:v>0.38991109273048891</c:v>
                </c:pt>
                <c:pt idx="559">
                  <c:v>0.38923168040451989</c:v>
                </c:pt>
                <c:pt idx="560">
                  <c:v>0.38852858531583551</c:v>
                </c:pt>
                <c:pt idx="561">
                  <c:v>0.38780194015619729</c:v>
                </c:pt>
                <c:pt idx="562">
                  <c:v>0.38705188189073003</c:v>
                </c:pt>
                <c:pt idx="563">
                  <c:v>0.38627855171490111</c:v>
                </c:pt>
                <c:pt idx="564">
                  <c:v>0.38548209501022923</c:v>
                </c:pt>
                <c:pt idx="565">
                  <c:v>0.38466266129874238</c:v>
                </c:pt>
                <c:pt idx="566">
                  <c:v>0.38382040419620406</c:v>
                </c:pt>
                <c:pt idx="567">
                  <c:v>0.38295548136412993</c:v>
                </c:pt>
                <c:pt idx="568">
                  <c:v>0.38206805446061376</c:v>
                </c:pt>
                <c:pt idx="569">
                  <c:v>0.38115828908998567</c:v>
                </c:pt>
                <c:pt idx="570">
                  <c:v>0.38022635475132444</c:v>
                </c:pt>
                <c:pt idx="571">
                  <c:v>0.37927242478584527</c:v>
                </c:pt>
                <c:pt idx="572">
                  <c:v>0.37829667632318748</c:v>
                </c:pt>
                <c:pt idx="573">
                  <c:v>0.37729929022662345</c:v>
                </c:pt>
                <c:pt idx="574">
                  <c:v>0.37628045103721475</c:v>
                </c:pt>
                <c:pt idx="575">
                  <c:v>0.37524034691693731</c:v>
                </c:pt>
                <c:pt idx="576">
                  <c:v>0.37417916959080227</c:v>
                </c:pt>
                <c:pt idx="577">
                  <c:v>0.37309711428799552</c:v>
                </c:pt>
                <c:pt idx="578">
                  <c:v>0.371994379682063</c:v>
                </c:pt>
                <c:pt idx="579">
                  <c:v>0.37087116783016572</c:v>
                </c:pt>
                <c:pt idx="580">
                  <c:v>0.36972768411143175</c:v>
                </c:pt>
                <c:pt idx="581">
                  <c:v>0.36856413716443082</c:v>
                </c:pt>
                <c:pt idx="582">
                  <c:v>0.36738073882379835</c:v>
                </c:pt>
                <c:pt idx="583">
                  <c:v>0.366177704056036</c:v>
                </c:pt>
                <c:pt idx="584">
                  <c:v>0.3649552508945153</c:v>
                </c:pt>
                <c:pt idx="585">
                  <c:v>0.36371360037371275</c:v>
                </c:pt>
                <c:pt idx="586">
                  <c:v>0.36245297646270352</c:v>
                </c:pt>
                <c:pt idx="587">
                  <c:v>0.36117360599794179</c:v>
                </c:pt>
                <c:pt idx="588">
                  <c:v>0.35987571861535594</c:v>
                </c:pt>
                <c:pt idx="589">
                  <c:v>0.35855954668178713</c:v>
                </c:pt>
                <c:pt idx="590">
                  <c:v>0.35722532522580008</c:v>
                </c:pt>
                <c:pt idx="591">
                  <c:v>0.35587329186789374</c:v>
                </c:pt>
                <c:pt idx="592">
                  <c:v>0.35450368675014249</c:v>
                </c:pt>
                <c:pt idx="593">
                  <c:v>0.35311675246529534</c:v>
                </c:pt>
                <c:pt idx="594">
                  <c:v>0.35171273398536351</c:v>
                </c:pt>
                <c:pt idx="595">
                  <c:v>0.35029187858972499</c:v>
                </c:pt>
                <c:pt idx="596">
                  <c:v>0.34885443579277614</c:v>
                </c:pt>
                <c:pt idx="597">
                  <c:v>0.34740065727115871</c:v>
                </c:pt>
                <c:pt idx="598">
                  <c:v>0.34593079679059413</c:v>
                </c:pt>
                <c:pt idx="599">
                  <c:v>0.34444511013235168</c:v>
                </c:pt>
                <c:pt idx="600">
                  <c:v>0.34294385501938307</c:v>
                </c:pt>
                <c:pt idx="601">
                  <c:v>0.34142729104215125</c:v>
                </c:pt>
                <c:pt idx="602">
                  <c:v>0.33989567958418393</c:v>
                </c:pt>
                <c:pt idx="603">
                  <c:v>0.33834928374738171</c:v>
                </c:pt>
                <c:pt idx="604">
                  <c:v>0.33678836827711012</c:v>
                </c:pt>
                <c:pt idx="605">
                  <c:v>0.33521319948710521</c:v>
                </c:pt>
                <c:pt idx="606">
                  <c:v>0.33362404518422289</c:v>
                </c:pt>
                <c:pt idx="607">
                  <c:v>0.33202117459306041</c:v>
                </c:pt>
                <c:pt idx="608">
                  <c:v>0.33040485828048133</c:v>
                </c:pt>
                <c:pt idx="609">
                  <c:v>0.32877536808007091</c:v>
                </c:pt>
                <c:pt idx="610">
                  <c:v>0.32713297701655358</c:v>
                </c:pt>
                <c:pt idx="611">
                  <c:v>0.32547795923020001</c:v>
                </c:pt>
                <c:pt idx="612">
                  <c:v>0.32381058990125344</c:v>
                </c:pt>
                <c:pt idx="613">
                  <c:v>0.32213114517440383</c:v>
                </c:pt>
                <c:pt idx="614">
                  <c:v>0.32043990208333895</c:v>
                </c:pt>
                <c:pt idx="615">
                  <c:v>0.31873713847540058</c:v>
                </c:pt>
                <c:pt idx="616">
                  <c:v>0.31702313293637419</c:v>
                </c:pt>
                <c:pt idx="617">
                  <c:v>0.31529816471543987</c:v>
                </c:pt>
                <c:pt idx="618">
                  <c:v>0.31356251365031329</c:v>
                </c:pt>
                <c:pt idx="619">
                  <c:v>0.31181646009260355</c:v>
                </c:pt>
                <c:pt idx="620">
                  <c:v>0.31006028483341519</c:v>
                </c:pt>
                <c:pt idx="621">
                  <c:v>0.30829426902922241</c:v>
                </c:pt>
                <c:pt idx="622">
                  <c:v>0.30651869412804167</c:v>
                </c:pt>
                <c:pt idx="623">
                  <c:v>0.30473384179592911</c:v>
                </c:pt>
                <c:pt idx="624">
                  <c:v>0.30293999384382958</c:v>
                </c:pt>
                <c:pt idx="625">
                  <c:v>0.30113743215480343</c:v>
                </c:pt>
                <c:pt idx="626">
                  <c:v>0.29932643861165542</c:v>
                </c:pt>
                <c:pt idx="627">
                  <c:v>0.29750729502499307</c:v>
                </c:pt>
                <c:pt idx="628">
                  <c:v>0.29568028306173771</c:v>
                </c:pt>
                <c:pt idx="629">
                  <c:v>0.29384568417411377</c:v>
                </c:pt>
                <c:pt idx="630">
                  <c:v>0.29200377952914042</c:v>
                </c:pt>
                <c:pt idx="631">
                  <c:v>0.29015484993864932</c:v>
                </c:pt>
                <c:pt idx="632">
                  <c:v>0.28829917578985209</c:v>
                </c:pt>
                <c:pt idx="633">
                  <c:v>0.28643703697648076</c:v>
                </c:pt>
                <c:pt idx="634">
                  <c:v>0.2845687128305236</c:v>
                </c:pt>
                <c:pt idx="635">
                  <c:v>0.2826944820545792</c:v>
                </c:pt>
                <c:pt idx="636">
                  <c:v>0.28081462265484997</c:v>
                </c:pt>
                <c:pt idx="637">
                  <c:v>0.27892941187479714</c:v>
                </c:pt>
                <c:pt idx="638">
                  <c:v>0.27703912612947801</c:v>
                </c:pt>
                <c:pt idx="639">
                  <c:v>0.27514404094058631</c:v>
                </c:pt>
                <c:pt idx="640">
                  <c:v>0.27324443087221517</c:v>
                </c:pt>
                <c:pt idx="641">
                  <c:v>0.27134056946736318</c:v>
                </c:pt>
                <c:pt idx="642">
                  <c:v>0.26943272918520239</c:v>
                </c:pt>
                <c:pt idx="643">
                  <c:v>0.2675211813391265</c:v>
                </c:pt>
                <c:pt idx="644">
                  <c:v>0.26560619603559904</c:v>
                </c:pt>
                <c:pt idx="645">
                  <c:v>0.26368804211381708</c:v>
                </c:pt>
                <c:pt idx="646">
                  <c:v>0.26176698708620982</c:v>
                </c:pt>
                <c:pt idx="647">
                  <c:v>0.25984329707978754</c:v>
                </c:pt>
                <c:pt idx="648">
                  <c:v>0.25791723677835798</c:v>
                </c:pt>
                <c:pt idx="649">
                  <c:v>0.25598906936562543</c:v>
                </c:pt>
                <c:pt idx="650">
                  <c:v>0.25405905646918786</c:v>
                </c:pt>
                <c:pt idx="651">
                  <c:v>0.25212745810544773</c:v>
                </c:pt>
                <c:pt idx="652">
                  <c:v>0.25019453262544872</c:v>
                </c:pt>
                <c:pt idx="653">
                  <c:v>0.24826053666165457</c:v>
                </c:pt>
                <c:pt idx="654">
                  <c:v>0.24632572507568176</c:v>
                </c:pt>
                <c:pt idx="655">
                  <c:v>0.24439035090699848</c:v>
                </c:pt>
                <c:pt idx="656">
                  <c:v>0.24245466532260304</c:v>
                </c:pt>
                <c:pt idx="657">
                  <c:v>0.24051891756769289</c:v>
                </c:pt>
                <c:pt idx="658">
                  <c:v>0.23858335491733501</c:v>
                </c:pt>
                <c:pt idx="659">
                  <c:v>0.23664822262914878</c:v>
                </c:pt>
                <c:pt idx="660">
                  <c:v>0.23471376389701068</c:v>
                </c:pt>
                <c:pt idx="661">
                  <c:v>0.23278021980579139</c:v>
                </c:pt>
                <c:pt idx="662">
                  <c:v>0.23084782928713277</c:v>
                </c:pt>
                <c:pt idx="663">
                  <c:v>0.22891682907627434</c:v>
                </c:pt>
                <c:pt idx="664">
                  <c:v>0.22698745366993661</c:v>
                </c:pt>
                <c:pt idx="665">
                  <c:v>0.22505993528526852</c:v>
                </c:pt>
                <c:pt idx="666">
                  <c:v>0.22313450381986624</c:v>
                </c:pt>
                <c:pt idx="667">
                  <c:v>0.22121138681286864</c:v>
                </c:pt>
                <c:pt idx="668">
                  <c:v>0.21929080940713677</c:v>
                </c:pt>
                <c:pt idx="669">
                  <c:v>0.21737299431252041</c:v>
                </c:pt>
                <c:pt idx="670">
                  <c:v>0.21545816177021859</c:v>
                </c:pt>
                <c:pt idx="671">
                  <c:v>0.21354652951823636</c:v>
                </c:pt>
                <c:pt idx="672">
                  <c:v>0.21163831275794259</c:v>
                </c:pt>
                <c:pt idx="673">
                  <c:v>0.20973372412173136</c:v>
                </c:pt>
                <c:pt idx="674">
                  <c:v>0.20783297364178968</c:v>
                </c:pt>
                <c:pt idx="675">
                  <c:v>0.20593626871997364</c:v>
                </c:pt>
                <c:pt idx="676">
                  <c:v>0.20404381409879427</c:v>
                </c:pt>
                <c:pt idx="677">
                  <c:v>0.20215581183351461</c:v>
                </c:pt>
                <c:pt idx="678">
                  <c:v>0.20027246126535761</c:v>
                </c:pt>
                <c:pt idx="679">
                  <c:v>0.19839395899582654</c:v>
                </c:pt>
                <c:pt idx="680">
                  <c:v>0.19652049886213543</c:v>
                </c:pt>
                <c:pt idx="681">
                  <c:v>0.19465227191375004</c:v>
                </c:pt>
                <c:pt idx="682">
                  <c:v>0.19278946639003727</c:v>
                </c:pt>
                <c:pt idx="683">
                  <c:v>0.19093226769902147</c:v>
                </c:pt>
                <c:pt idx="684">
                  <c:v>0.18908085839724462</c:v>
                </c:pt>
                <c:pt idx="685">
                  <c:v>0.18723541817072845</c:v>
                </c:pt>
                <c:pt idx="686">
                  <c:v>0.18539612381703399</c:v>
                </c:pt>
                <c:pt idx="687">
                  <c:v>0.18356314922841596</c:v>
                </c:pt>
                <c:pt idx="688">
                  <c:v>0.18173666537606692</c:v>
                </c:pt>
                <c:pt idx="689">
                  <c:v>0.1799168402954468</c:v>
                </c:pt>
                <c:pt idx="690">
                  <c:v>0.17810383907269248</c:v>
                </c:pt>
                <c:pt idx="691">
                  <c:v>0.17629782383210255</c:v>
                </c:pt>
                <c:pt idx="692">
                  <c:v>0.17449895372469004</c:v>
                </c:pt>
                <c:pt idx="693">
                  <c:v>0.17270738491779805</c:v>
                </c:pt>
                <c:pt idx="694">
                  <c:v>0.17092327058577048</c:v>
                </c:pt>
                <c:pt idx="695">
                  <c:v>0.16914676090167133</c:v>
                </c:pt>
                <c:pt idx="696">
                  <c:v>0.16737800303004433</c:v>
                </c:pt>
                <c:pt idx="697">
                  <c:v>0.16561714112070555</c:v>
                </c:pt>
                <c:pt idx="698">
                  <c:v>0.1638643163035603</c:v>
                </c:pt>
                <c:pt idx="699">
                  <c:v>0.16211966668443545</c:v>
                </c:pt>
                <c:pt idx="700">
                  <c:v>0.16038332734191854</c:v>
                </c:pt>
                <c:pt idx="701">
                  <c:v>0.15865543032519372</c:v>
                </c:pt>
                <c:pt idx="702">
                  <c:v>0.15693610465286506</c:v>
                </c:pt>
                <c:pt idx="703">
                  <c:v>0.15522547631275693</c:v>
                </c:pt>
                <c:pt idx="704">
                  <c:v>0.15352366826268127</c:v>
                </c:pt>
                <c:pt idx="705">
                  <c:v>0.15183080043216063</c:v>
                </c:pt>
                <c:pt idx="706">
                  <c:v>0.15014698972509605</c:v>
                </c:pt>
                <c:pt idx="707">
                  <c:v>0.14847235002336845</c:v>
                </c:pt>
                <c:pt idx="708">
                  <c:v>0.14680699219136212</c:v>
                </c:pt>
                <c:pt idx="709">
                  <c:v>0.1451510240813973</c:v>
                </c:pt>
                <c:pt idx="710">
                  <c:v>0.14350455054006139</c:v>
                </c:pt>
                <c:pt idx="711">
                  <c:v>0.14186767341542453</c:v>
                </c:pt>
                <c:pt idx="712">
                  <c:v>0.14024049156512791</c:v>
                </c:pt>
                <c:pt idx="713">
                  <c:v>0.13862310086533164</c:v>
                </c:pt>
                <c:pt idx="714">
                  <c:v>0.13701559422050838</c:v>
                </c:pt>
                <c:pt idx="715">
                  <c:v>0.1354180615740703</c:v>
                </c:pt>
                <c:pt idx="716">
                  <c:v>0.13383058991981472</c:v>
                </c:pt>
                <c:pt idx="717">
                  <c:v>0.13225326331417514</c:v>
                </c:pt>
                <c:pt idx="718">
                  <c:v>0.13068616288926355</c:v>
                </c:pt>
                <c:pt idx="719">
                  <c:v>0.12912936686668927</c:v>
                </c:pt>
                <c:pt idx="720">
                  <c:v>0.12758295057214092</c:v>
                </c:pt>
                <c:pt idx="721">
                  <c:v>0.1260469864507156</c:v>
                </c:pt>
                <c:pt idx="722">
                  <c:v>0.12452154408298167</c:v>
                </c:pt>
                <c:pt idx="723">
                  <c:v>0.12300669020175958</c:v>
                </c:pt>
                <c:pt idx="724">
                  <c:v>0.12150248870960574</c:v>
                </c:pt>
                <c:pt idx="725">
                  <c:v>0.12000900069698466</c:v>
                </c:pt>
                <c:pt idx="726">
                  <c:v>0.11852628446111359</c:v>
                </c:pt>
                <c:pt idx="727">
                  <c:v>0.11705439552546434</c:v>
                </c:pt>
                <c:pt idx="728">
                  <c:v>0.11559338665990704</c:v>
                </c:pt>
                <c:pt idx="729">
                  <c:v>0.11414330790147996</c:v>
                </c:pt>
                <c:pt idx="730">
                  <c:v>0.11270420657576966</c:v>
                </c:pt>
                <c:pt idx="731">
                  <c:v>0.11127612731888586</c:v>
                </c:pt>
                <c:pt idx="732">
                  <c:v>0.10985911210001527</c:v>
                </c:pt>
                <c:pt idx="733">
                  <c:v>0.10845320024453789</c:v>
                </c:pt>
                <c:pt idx="734">
                  <c:v>0.1070584284576909</c:v>
                </c:pt>
                <c:pt idx="735">
                  <c:v>0.10567483084876275</c:v>
                </c:pt>
                <c:pt idx="736">
                  <c:v>0.10430243895580295</c:v>
                </c:pt>
                <c:pt idx="737">
                  <c:v>0.1029412817708301</c:v>
                </c:pt>
                <c:pt idx="738">
                  <c:v>0.10159138576552329</c:v>
                </c:pt>
                <c:pt idx="739">
                  <c:v>0.10025277491737954</c:v>
                </c:pt>
                <c:pt idx="740">
                  <c:v>9.8925470736322879E-2</c:v>
                </c:pt>
                <c:pt idx="741">
                  <c:v>9.7609492291747119E-2</c:v>
                </c:pt>
                <c:pt idx="742">
                  <c:v>9.6304856239977796E-2</c:v>
                </c:pt>
                <c:pt idx="743">
                  <c:v>9.5011576852136487E-2</c:v>
                </c:pt>
                <c:pt idx="744">
                  <c:v>9.3729666042391552E-2</c:v>
                </c:pt>
                <c:pt idx="745">
                  <c:v>9.2459133396579851E-2</c:v>
                </c:pt>
                <c:pt idx="746">
                  <c:v>9.1199986201182928E-2</c:v>
                </c:pt>
                <c:pt idx="747">
                  <c:v>8.9952229472642212E-2</c:v>
                </c:pt>
                <c:pt idx="748">
                  <c:v>8.8715865986997308E-2</c:v>
                </c:pt>
                <c:pt idx="749">
                  <c:v>8.7490896309831784E-2</c:v>
                </c:pt>
                <c:pt idx="750">
                  <c:v>8.6277318826510782E-2</c:v>
                </c:pt>
                <c:pt idx="751">
                  <c:v>8.5075129772694588E-2</c:v>
                </c:pt>
                <c:pt idx="752">
                  <c:v>8.388432326511365E-2</c:v>
                </c:pt>
                <c:pt idx="753">
                  <c:v>8.2704891332588321E-2</c:v>
                </c:pt>
                <c:pt idx="754">
                  <c:v>8.1536823947279416E-2</c:v>
                </c:pt>
                <c:pt idx="755">
                  <c:v>8.0380109056153434E-2</c:v>
                </c:pt>
                <c:pt idx="756">
                  <c:v>7.9234732612648115E-2</c:v>
                </c:pt>
                <c:pt idx="757">
                  <c:v>7.8100678608522933E-2</c:v>
                </c:pt>
                <c:pt idx="758">
                  <c:v>7.6977929105880208E-2</c:v>
                </c:pt>
                <c:pt idx="759">
                  <c:v>7.5866464269341766E-2</c:v>
                </c:pt>
                <c:pt idx="760">
                  <c:v>7.4766262398366923E-2</c:v>
                </c:pt>
                <c:pt idx="761">
                  <c:v>7.3677299959697518E-2</c:v>
                </c:pt>
                <c:pt idx="762">
                  <c:v>7.2599551619915367E-2</c:v>
                </c:pt>
                <c:pt idx="763">
                  <c:v>7.1532990278098688E-2</c:v>
                </c:pt>
                <c:pt idx="764">
                  <c:v>7.0477587098563041E-2</c:v>
                </c:pt>
                <c:pt idx="765">
                  <c:v>6.9433311543673534E-2</c:v>
                </c:pt>
                <c:pt idx="766">
                  <c:v>6.8400131406714415E-2</c:v>
                </c:pt>
                <c:pt idx="767">
                  <c:v>6.7378012844802784E-2</c:v>
                </c:pt>
                <c:pt idx="768">
                  <c:v>6.6366920411833383E-2</c:v>
                </c:pt>
                <c:pt idx="769">
                  <c:v>6.5366817091441085E-2</c:v>
                </c:pt>
                <c:pt idx="770">
                  <c:v>6.4377664329968734E-2</c:v>
                </c:pt>
                <c:pt idx="771">
                  <c:v>6.3399422069427114E-2</c:v>
                </c:pt>
                <c:pt idx="772">
                  <c:v>6.2432048780435262E-2</c:v>
                </c:pt>
                <c:pt idx="773">
                  <c:v>6.1475501495128329E-2</c:v>
                </c:pt>
                <c:pt idx="774">
                  <c:v>6.0529735840021068E-2</c:v>
                </c:pt>
                <c:pt idx="775">
                  <c:v>5.9594706068815478E-2</c:v>
                </c:pt>
                <c:pt idx="776">
                  <c:v>5.8670365095140328E-2</c:v>
                </c:pt>
                <c:pt idx="777">
                  <c:v>5.7756664525211728E-2</c:v>
                </c:pt>
                <c:pt idx="778">
                  <c:v>5.6853554690403062E-2</c:v>
                </c:pt>
                <c:pt idx="779">
                  <c:v>5.5960984679713693E-2</c:v>
                </c:pt>
                <c:pt idx="780">
                  <c:v>5.5078902372125212E-2</c:v>
                </c:pt>
                <c:pt idx="781">
                  <c:v>5.4207254468835009E-2</c:v>
                </c:pt>
                <c:pt idx="782">
                  <c:v>5.3345986525356749E-2</c:v>
                </c:pt>
                <c:pt idx="783">
                  <c:v>5.2495042983477389E-2</c:v>
                </c:pt>
                <c:pt idx="784">
                  <c:v>5.1654367203061165E-2</c:v>
                </c:pt>
                <c:pt idx="785">
                  <c:v>5.0823901493690635E-2</c:v>
                </c:pt>
                <c:pt idx="786">
                  <c:v>5.0003587146135411E-2</c:v>
                </c:pt>
                <c:pt idx="787">
                  <c:v>4.9193364463639269E-2</c:v>
                </c:pt>
                <c:pt idx="788">
                  <c:v>4.8393172793016942E-2</c:v>
                </c:pt>
                <c:pt idx="789">
                  <c:v>4.7602950555551242E-2</c:v>
                </c:pt>
                <c:pt idx="790">
                  <c:v>4.6822635277682635E-2</c:v>
                </c:pt>
                <c:pt idx="791">
                  <c:v>4.6052163621482546E-2</c:v>
                </c:pt>
                <c:pt idx="792">
                  <c:v>4.5291471414902286E-2</c:v>
                </c:pt>
                <c:pt idx="793">
                  <c:v>4.4540493681790201E-2</c:v>
                </c:pt>
                <c:pt idx="794">
                  <c:v>4.3799164671668861E-2</c:v>
                </c:pt>
                <c:pt idx="795">
                  <c:v>4.3067417889265255E-2</c:v>
                </c:pt>
                <c:pt idx="796">
                  <c:v>4.23451861237868E-2</c:v>
                </c:pt>
                <c:pt idx="797">
                  <c:v>4.1632401477936239E-2</c:v>
                </c:pt>
                <c:pt idx="798">
                  <c:v>4.0928995396658577E-2</c:v>
                </c:pt>
                <c:pt idx="799">
                  <c:v>4.023489869561396E-2</c:v>
                </c:pt>
                <c:pt idx="800">
                  <c:v>3.9550041589369762E-2</c:v>
                </c:pt>
                <c:pt idx="801">
                  <c:v>3.8874353719306518E-2</c:v>
                </c:pt>
                <c:pt idx="802">
                  <c:v>3.8207764181231271E-2</c:v>
                </c:pt>
                <c:pt idx="803">
                  <c:v>3.7550201552693382E-2</c:v>
                </c:pt>
                <c:pt idx="804">
                  <c:v>3.6901593919997068E-2</c:v>
                </c:pt>
                <c:pt idx="805">
                  <c:v>3.6261868904905799E-2</c:v>
                </c:pt>
                <c:pt idx="806">
                  <c:v>3.5630953691033654E-2</c:v>
                </c:pt>
                <c:pt idx="807">
                  <c:v>3.5008775049918978E-2</c:v>
                </c:pt>
                <c:pt idx="808">
                  <c:v>3.4395259366775864E-2</c:v>
                </c:pt>
                <c:pt idx="809">
                  <c:v>3.3790332665919416E-2</c:v>
                </c:pt>
                <c:pt idx="810">
                  <c:v>3.319392063586072E-2</c:v>
                </c:pt>
                <c:pt idx="811">
                  <c:v>3.2605948654067664E-2</c:v>
                </c:pt>
                <c:pt idx="812">
                  <c:v>3.2026341811388213E-2</c:v>
                </c:pt>
                <c:pt idx="813">
                  <c:v>3.145502493613285E-2</c:v>
                </c:pt>
                <c:pt idx="814">
                  <c:v>3.0891922617812789E-2</c:v>
                </c:pt>
                <c:pt idx="815">
                  <c:v>3.0336959230531257E-2</c:v>
                </c:pt>
                <c:pt idx="816">
                  <c:v>2.9790058956025194E-2</c:v>
                </c:pt>
                <c:pt idx="817">
                  <c:v>2.9251145806354576E-2</c:v>
                </c:pt>
                <c:pt idx="818">
                  <c:v>2.8720143646237369E-2</c:v>
                </c:pt>
                <c:pt idx="819">
                  <c:v>2.8196976215027838E-2</c:v>
                </c:pt>
                <c:pt idx="820">
                  <c:v>2.7681567148336226E-2</c:v>
                </c:pt>
                <c:pt idx="821">
                  <c:v>2.717383999928839E-2</c:v>
                </c:pt>
                <c:pt idx="822">
                  <c:v>2.6673718259423468E-2</c:v>
                </c:pt>
                <c:pt idx="823">
                  <c:v>2.6181125379228572E-2</c:v>
                </c:pt>
                <c:pt idx="824">
                  <c:v>2.5695984788309128E-2</c:v>
                </c:pt>
                <c:pt idx="825">
                  <c:v>2.5218219915194063E-2</c:v>
                </c:pt>
                <c:pt idx="826">
                  <c:v>2.4747754206774934E-2</c:v>
                </c:pt>
                <c:pt idx="827">
                  <c:v>2.4284511147378389E-2</c:v>
                </c:pt>
                <c:pt idx="828">
                  <c:v>2.3828414277471666E-2</c:v>
                </c:pt>
                <c:pt idx="829">
                  <c:v>2.3379387212000606E-2</c:v>
                </c:pt>
                <c:pt idx="830">
                  <c:v>2.2937353658360398E-2</c:v>
                </c:pt>
                <c:pt idx="831">
                  <c:v>2.2502237433998758E-2</c:v>
                </c:pt>
                <c:pt idx="832">
                  <c:v>2.2073962483652152E-2</c:v>
                </c:pt>
                <c:pt idx="833">
                  <c:v>2.1652452896215129E-2</c:v>
                </c:pt>
                <c:pt idx="834">
                  <c:v>2.1237632921243484E-2</c:v>
                </c:pt>
                <c:pt idx="835">
                  <c:v>2.0829426985091912E-2</c:v>
                </c:pt>
                <c:pt idx="836">
                  <c:v>2.0427759706686952E-2</c:v>
                </c:pt>
                <c:pt idx="837">
                  <c:v>2.0032555912936262E-2</c:v>
                </c:pt>
                <c:pt idx="838">
                  <c:v>1.9643740653775287E-2</c:v>
                </c:pt>
                <c:pt idx="839">
                  <c:v>1.9261239216852705E-2</c:v>
                </c:pt>
                <c:pt idx="840">
                  <c:v>1.8884977141855917E-2</c:v>
                </c:pt>
                <c:pt idx="841">
                  <c:v>1.8514880234478212E-2</c:v>
                </c:pt>
                <c:pt idx="842">
                  <c:v>1.8150874580029307E-2</c:v>
                </c:pt>
                <c:pt idx="843">
                  <c:v>1.7792886556690844E-2</c:v>
                </c:pt>
                <c:pt idx="844">
                  <c:v>1.7440842848419125E-2</c:v>
                </c:pt>
                <c:pt idx="845">
                  <c:v>1.70946704574967E-2</c:v>
                </c:pt>
                <c:pt idx="846">
                  <c:v>1.6754296716735301E-2</c:v>
                </c:pt>
                <c:pt idx="847">
                  <c:v>1.641964930133219E-2</c:v>
                </c:pt>
                <c:pt idx="848">
                  <c:v>1.6090656240382334E-2</c:v>
                </c:pt>
                <c:pt idx="849">
                  <c:v>1.5767245928048967E-2</c:v>
                </c:pt>
                <c:pt idx="850">
                  <c:v>1.5449347134394947E-2</c:v>
                </c:pt>
                <c:pt idx="851">
                  <c:v>1.5136889015877786E-2</c:v>
                </c:pt>
                <c:pt idx="852">
                  <c:v>1.4829801125510937E-2</c:v>
                </c:pt>
                <c:pt idx="853">
                  <c:v>1.4528013422694346E-2</c:v>
                </c:pt>
                <c:pt idx="854">
                  <c:v>1.4231456282717164E-2</c:v>
                </c:pt>
                <c:pt idx="855">
                  <c:v>1.3940060505935613E-2</c:v>
                </c:pt>
                <c:pt idx="856">
                  <c:v>1.3653757326629256E-2</c:v>
                </c:pt>
                <c:pt idx="857">
                  <c:v>1.3372478421538698E-2</c:v>
                </c:pt>
                <c:pt idx="858">
                  <c:v>1.3096155918088185E-2</c:v>
                </c:pt>
                <c:pt idx="859">
                  <c:v>1.2824722402296252E-2</c:v>
                </c:pt>
                <c:pt idx="860">
                  <c:v>1.2558110926378013E-2</c:v>
                </c:pt>
                <c:pt idx="861">
                  <c:v>1.2296255016042486E-2</c:v>
                </c:pt>
                <c:pt idx="862">
                  <c:v>1.2039088677488465E-2</c:v>
                </c:pt>
                <c:pt idx="863">
                  <c:v>1.1786546404102698E-2</c:v>
                </c:pt>
                <c:pt idx="864">
                  <c:v>1.1538563182863818E-2</c:v>
                </c:pt>
                <c:pt idx="865">
                  <c:v>1.1295074500455958E-2</c:v>
                </c:pt>
                <c:pt idx="866">
                  <c:v>1.1056016349095693E-2</c:v>
                </c:pt>
                <c:pt idx="867">
                  <c:v>1.0821325232076101E-2</c:v>
                </c:pt>
                <c:pt idx="868">
                  <c:v>1.0590938169031961E-2</c:v>
                </c:pt>
                <c:pt idx="869">
                  <c:v>1.0364792700929808E-2</c:v>
                </c:pt>
                <c:pt idx="870">
                  <c:v>1.0142826894786919E-2</c:v>
                </c:pt>
                <c:pt idx="871">
                  <c:v>9.9249793481231176E-3</c:v>
                </c:pt>
                <c:pt idx="872">
                  <c:v>9.7111891931495053E-3</c:v>
                </c:pt>
                <c:pt idx="873">
                  <c:v>9.5013961006980702E-3</c:v>
                </c:pt>
                <c:pt idx="874">
                  <c:v>9.2955402838963037E-3</c:v>
                </c:pt>
                <c:pt idx="875">
                  <c:v>9.0935625015909054E-3</c:v>
                </c:pt>
                <c:pt idx="876">
                  <c:v>8.8954040615246959E-3</c:v>
                </c:pt>
                <c:pt idx="877">
                  <c:v>8.7010068232708463E-3</c:v>
                </c:pt>
                <c:pt idx="878">
                  <c:v>8.5103132009286889E-3</c:v>
                </c:pt>
                <c:pt idx="879">
                  <c:v>8.3232661655851109E-3</c:v>
                </c:pt>
                <c:pt idx="880">
                  <c:v>8.1398092475458914E-3</c:v>
                </c:pt>
                <c:pt idx="881">
                  <c:v>7.9598865383410516E-3</c:v>
                </c:pt>
                <c:pt idx="882">
                  <c:v>7.7834426925085026E-3</c:v>
                </c:pt>
                <c:pt idx="883">
                  <c:v>7.6104229291601277E-3</c:v>
                </c:pt>
                <c:pt idx="884">
                  <c:v>7.4407730333346089E-3</c:v>
                </c:pt>
                <c:pt idx="885">
                  <c:v>7.2744393571410994E-3</c:v>
                </c:pt>
                <c:pt idx="886">
                  <c:v>7.1113688206980502E-3</c:v>
                </c:pt>
                <c:pt idx="887">
                  <c:v>6.9515089128713474E-3</c:v>
                </c:pt>
                <c:pt idx="888">
                  <c:v>6.7948076918159933E-3</c:v>
                </c:pt>
                <c:pt idx="889">
                  <c:v>6.6412137853255077E-3</c:v>
                </c:pt>
                <c:pt idx="890">
                  <c:v>6.4906763909932533E-3</c:v>
                </c:pt>
                <c:pt idx="891">
                  <c:v>6.3431452761898693E-3</c:v>
                </c:pt>
                <c:pt idx="892">
                  <c:v>6.1985707778609393E-3</c:v>
                </c:pt>
                <c:pt idx="893">
                  <c:v>6.0569038021491221E-3</c:v>
                </c:pt>
                <c:pt idx="894">
                  <c:v>5.9180958238448005E-3</c:v>
                </c:pt>
                <c:pt idx="895">
                  <c:v>5.782098885669374E-3</c:v>
                </c:pt>
                <c:pt idx="896">
                  <c:v>5.6488655973953817E-3</c:v>
                </c:pt>
                <c:pt idx="897">
                  <c:v>5.5183491348073819E-3</c:v>
                </c:pt>
                <c:pt idx="898">
                  <c:v>5.3905032385077808E-3</c:v>
                </c:pt>
                <c:pt idx="899">
                  <c:v>5.2652822125715476E-3</c:v>
                </c:pt>
                <c:pt idx="900">
                  <c:v>5.1426409230538516E-3</c:v>
                </c:pt>
                <c:pt idx="901">
                  <c:v>5.0225347963545946E-3</c:v>
                </c:pt>
                <c:pt idx="902">
                  <c:v>4.9049198174437739E-3</c:v>
                </c:pt>
                <c:pt idx="903">
                  <c:v>4.7897525279515995E-3</c:v>
                </c:pt>
                <c:pt idx="904">
                  <c:v>4.6769900241272408E-3</c:v>
                </c:pt>
                <c:pt idx="905">
                  <c:v>4.5665899546700629E-3</c:v>
                </c:pt>
                <c:pt idx="906">
                  <c:v>4.4585105184371662E-3</c:v>
                </c:pt>
                <c:pt idx="907">
                  <c:v>4.3527104620309891E-3</c:v>
                </c:pt>
                <c:pt idx="908">
                  <c:v>4.2491490772707816E-3</c:v>
                </c:pt>
                <c:pt idx="909">
                  <c:v>4.1477861985515646E-3</c:v>
                </c:pt>
                <c:pt idx="910">
                  <c:v>4.0485822000943536E-3</c:v>
                </c:pt>
                <c:pt idx="911">
                  <c:v>3.9514979930911666E-3</c:v>
                </c:pt>
                <c:pt idx="912">
                  <c:v>3.8564950227485055E-3</c:v>
                </c:pt>
                <c:pt idx="913">
                  <c:v>3.7635352652328072E-3</c:v>
                </c:pt>
                <c:pt idx="914">
                  <c:v>3.6725812245213766E-3</c:v>
                </c:pt>
                <c:pt idx="915">
                  <c:v>3.5835959291622946E-3</c:v>
                </c:pt>
                <c:pt idx="916">
                  <c:v>3.4965429289466918E-3</c:v>
                </c:pt>
                <c:pt idx="917">
                  <c:v>3.4113862914967995E-3</c:v>
                </c:pt>
                <c:pt idx="918">
                  <c:v>3.3280905987730838E-3</c:v>
                </c:pt>
                <c:pt idx="919">
                  <c:v>3.246620943503772E-3</c:v>
                </c:pt>
                <c:pt idx="920">
                  <c:v>3.1669429255400186E-3</c:v>
                </c:pt>
                <c:pt idx="921">
                  <c:v>3.0890226481398758E-3</c:v>
                </c:pt>
                <c:pt idx="922">
                  <c:v>3.0128267141842839E-3</c:v>
                </c:pt>
                <c:pt idx="923">
                  <c:v>2.9383222223281005E-3</c:v>
                </c:pt>
                <c:pt idx="924">
                  <c:v>2.8654767630893183E-3</c:v>
                </c:pt>
                <c:pt idx="925">
                  <c:v>2.7942584148793921E-3</c:v>
                </c:pt>
                <c:pt idx="926">
                  <c:v>2.7246357399777054E-3</c:v>
                </c:pt>
                <c:pt idx="927">
                  <c:v>2.6565777804530501E-3</c:v>
                </c:pt>
                <c:pt idx="928">
                  <c:v>2.5900540540349905E-3</c:v>
                </c:pt>
                <c:pt idx="929">
                  <c:v>2.5250345499379314E-3</c:v>
                </c:pt>
                <c:pt idx="930">
                  <c:v>2.461489724640652E-3</c:v>
                </c:pt>
                <c:pt idx="931">
                  <c:v>2.3993904976240183E-3</c:v>
                </c:pt>
                <c:pt idx="932">
                  <c:v>2.3387082470695403E-3</c:v>
                </c:pt>
                <c:pt idx="933">
                  <c:v>2.2794148055213996E-3</c:v>
                </c:pt>
                <c:pt idx="934">
                  <c:v>2.2214824555144876E-3</c:v>
                </c:pt>
                <c:pt idx="935">
                  <c:v>2.1648839251710177E-3</c:v>
                </c:pt>
                <c:pt idx="936">
                  <c:v>2.109592383768124E-3</c:v>
                </c:pt>
                <c:pt idx="937">
                  <c:v>2.0555814372788957E-3</c:v>
                </c:pt>
                <c:pt idx="938">
                  <c:v>2.0028251238892129E-3</c:v>
                </c:pt>
                <c:pt idx="939">
                  <c:v>1.9512979094927002E-3</c:v>
                </c:pt>
                <c:pt idx="940">
                  <c:v>1.9009746831660413E-3</c:v>
                </c:pt>
                <c:pt idx="941">
                  <c:v>1.8518307526269151E-3</c:v>
                </c:pt>
                <c:pt idx="942">
                  <c:v>1.8038418396766921E-3</c:v>
                </c:pt>
                <c:pt idx="943">
                  <c:v>1.7569840756300184E-3</c:v>
                </c:pt>
                <c:pt idx="944">
                  <c:v>1.7112339967333627E-3</c:v>
                </c:pt>
                <c:pt idx="945">
                  <c:v>1.6665685395745456E-3</c:v>
                </c:pt>
                <c:pt idx="946">
                  <c:v>1.6229650364852233E-3</c:v>
                </c:pt>
                <c:pt idx="947">
                  <c:v>1.5804012109382577E-3</c:v>
                </c:pt>
                <c:pt idx="948">
                  <c:v>1.5388551729418362E-3</c:v>
                </c:pt>
                <c:pt idx="949">
                  <c:v>1.4983054144321983E-3</c:v>
                </c:pt>
                <c:pt idx="950">
                  <c:v>1.4587308046667146E-3</c:v>
                </c:pt>
                <c:pt idx="951">
                  <c:v>1.4201105856190941E-3</c:v>
                </c:pt>
                <c:pt idx="952">
                  <c:v>1.3824243673783703E-3</c:v>
                </c:pt>
                <c:pt idx="953">
                  <c:v>1.3456521235533402E-3</c:v>
                </c:pt>
                <c:pt idx="954">
                  <c:v>1.3097741866840412E-3</c:v>
                </c:pt>
                <c:pt idx="955">
                  <c:v>1.2747712436618054E-3</c:v>
                </c:pt>
                <c:pt idx="956">
                  <c:v>1.2406243311594229E-3</c:v>
                </c:pt>
                <c:pt idx="957">
                  <c:v>1.2073148310728558E-3</c:v>
                </c:pt>
                <c:pt idx="958">
                  <c:v>1.1748244659759287E-3</c:v>
                </c:pt>
                <c:pt idx="959">
                  <c:v>1.1431352945893722E-3</c:v>
                </c:pt>
                <c:pt idx="960">
                  <c:v>1.112229707265541E-3</c:v>
                </c:pt>
                <c:pt idx="961">
                  <c:v>1.0820904214901101E-3</c:v>
                </c:pt>
                <c:pt idx="962">
                  <c:v>1.0527004774019799E-3</c:v>
                </c:pt>
                <c:pt idx="963">
                  <c:v>1.0240432333326001E-3</c:v>
                </c:pt>
                <c:pt idx="964">
                  <c:v>9.9610236136588536E-4</c:v>
                </c:pt>
                <c:pt idx="965">
                  <c:v>9.6886184291982433E-4</c:v>
                </c:pt>
                <c:pt idx="966">
                  <c:v>9.4230596435088999E-4</c:v>
                </c:pt>
                <c:pt idx="967">
                  <c:v>9.1641931258226836E-4</c:v>
                </c:pt>
                <c:pt idx="968">
                  <c:v>8.9118677075693243E-4</c:v>
                </c:pt>
                <c:pt idx="969">
                  <c:v>8.6659351391650985E-4</c:v>
                </c:pt>
                <c:pt idx="970">
                  <c:v>8.4262500470688327E-4</c:v>
                </c:pt>
                <c:pt idx="971">
                  <c:v>8.1926698911140403E-4</c:v>
                </c:pt>
                <c:pt idx="972">
                  <c:v>7.9650549221258274E-4</c:v>
                </c:pt>
                <c:pt idx="973">
                  <c:v>7.7432681398306399E-4</c:v>
                </c:pt>
                <c:pt idx="974">
                  <c:v>7.5271752510667567E-4</c:v>
                </c:pt>
                <c:pt idx="975">
                  <c:v>7.3166446283029387E-4</c:v>
                </c:pt>
                <c:pt idx="976">
                  <c:v>7.1115472684723613E-4</c:v>
                </c:pt>
                <c:pt idx="977">
                  <c:v>6.9117567521286959E-4</c:v>
                </c:pt>
                <c:pt idx="978">
                  <c:v>6.7171492029306388E-4</c:v>
                </c:pt>
                <c:pt idx="979">
                  <c:v>6.527603247461209E-4</c:v>
                </c:pt>
                <c:pt idx="980">
                  <c:v>6.3429999753874221E-4</c:v>
                </c:pt>
                <c:pt idx="981">
                  <c:v>6.1632228999660397E-4</c:v>
                </c:pt>
                <c:pt idx="982">
                  <c:v>5.9881579189003829E-4</c:v>
                </c:pt>
                <c:pt idx="983">
                  <c:v>5.8176932755532628E-4</c:v>
                </c:pt>
                <c:pt idx="984">
                  <c:v>5.6517195205205097E-4</c:v>
                </c:pt>
                <c:pt idx="985">
                  <c:v>5.4901294735694548E-4</c:v>
                </c:pt>
                <c:pt idx="986">
                  <c:v>5.3328181859463569E-4</c:v>
                </c:pt>
                <c:pt idx="987">
                  <c:v>5.1796829030565262E-4</c:v>
                </c:pt>
                <c:pt idx="988">
                  <c:v>5.0306230275206211E-4</c:v>
                </c:pt>
                <c:pt idx="989">
                  <c:v>4.8855400826102737E-4</c:v>
                </c:pt>
                <c:pt idx="990">
                  <c:v>4.7443376760660921E-4</c:v>
                </c:pt>
                <c:pt idx="991">
                  <c:v>4.6069214643005782E-4</c:v>
                </c:pt>
                <c:pt idx="992">
                  <c:v>4.473199116988572E-4</c:v>
                </c:pt>
                <c:pt idx="993">
                  <c:v>4.3430802820472637E-4</c:v>
                </c:pt>
                <c:pt idx="994">
                  <c:v>4.2164765510078854E-4</c:v>
                </c:pt>
                <c:pt idx="995">
                  <c:v>4.0933014247806858E-4</c:v>
                </c:pt>
                <c:pt idx="996">
                  <c:v>3.9734702798148078E-4</c:v>
                </c:pt>
                <c:pt idx="997">
                  <c:v>3.8569003346542921E-4</c:v>
                </c:pt>
                <c:pt idx="998">
                  <c:v>3.7435106168913262E-4</c:v>
                </c:pt>
                <c:pt idx="999">
                  <c:v>3.6332219305175862E-4</c:v>
                </c:pt>
                <c:pt idx="1000">
                  <c:v>3.5259568236743722E-4</c:v>
                </c:pt>
              </c:numCache>
            </c:numRef>
          </c:yVal>
        </c:ser>
        <c:ser>
          <c:idx val="0"/>
          <c:order val="3"/>
          <c:tx>
            <c:v>Control</c:v>
          </c:tx>
          <c:spPr>
            <a:ln w="25400">
              <a:solidFill>
                <a:srgbClr val="0000FF"/>
              </a:solidFill>
              <a:prstDash val="solid"/>
            </a:ln>
          </c:spPr>
          <c:marker>
            <c:symbol val="none"/>
          </c:marker>
          <c:xVal>
            <c:numRef>
              <c:f>'d picture'!$AJ$10:$AJ$1010</c:f>
              <c:numCache>
                <c:formatCode>General</c:formatCode>
                <c:ptCount val="1001"/>
                <c:pt idx="0">
                  <c:v>-4</c:v>
                </c:pt>
                <c:pt idx="1">
                  <c:v>-3.992</c:v>
                </c:pt>
                <c:pt idx="2">
                  <c:v>-3.984</c:v>
                </c:pt>
                <c:pt idx="3">
                  <c:v>-3.976</c:v>
                </c:pt>
                <c:pt idx="4">
                  <c:v>-3.968</c:v>
                </c:pt>
                <c:pt idx="5">
                  <c:v>-3.96</c:v>
                </c:pt>
                <c:pt idx="6">
                  <c:v>-3.952</c:v>
                </c:pt>
                <c:pt idx="7">
                  <c:v>-3.944</c:v>
                </c:pt>
                <c:pt idx="8">
                  <c:v>-3.9359999999999999</c:v>
                </c:pt>
                <c:pt idx="9">
                  <c:v>-3.9279999999999999</c:v>
                </c:pt>
                <c:pt idx="10">
                  <c:v>-3.92</c:v>
                </c:pt>
                <c:pt idx="11">
                  <c:v>-3.9119999999999999</c:v>
                </c:pt>
                <c:pt idx="12">
                  <c:v>-3.9039999999999999</c:v>
                </c:pt>
                <c:pt idx="13">
                  <c:v>-3.8959999999999999</c:v>
                </c:pt>
                <c:pt idx="14">
                  <c:v>-3.8879999999999999</c:v>
                </c:pt>
                <c:pt idx="15">
                  <c:v>-3.88</c:v>
                </c:pt>
                <c:pt idx="16">
                  <c:v>-3.8719999999999999</c:v>
                </c:pt>
                <c:pt idx="17">
                  <c:v>-3.8639999999999999</c:v>
                </c:pt>
                <c:pt idx="18">
                  <c:v>-3.8559999999999999</c:v>
                </c:pt>
                <c:pt idx="19">
                  <c:v>-3.8479999999999999</c:v>
                </c:pt>
                <c:pt idx="20">
                  <c:v>-3.84</c:v>
                </c:pt>
                <c:pt idx="21">
                  <c:v>-3.8319999999999999</c:v>
                </c:pt>
                <c:pt idx="22">
                  <c:v>-3.8239999999999998</c:v>
                </c:pt>
                <c:pt idx="23">
                  <c:v>-3.8159999999999998</c:v>
                </c:pt>
                <c:pt idx="24">
                  <c:v>-3.8079999999999998</c:v>
                </c:pt>
                <c:pt idx="25">
                  <c:v>-3.8</c:v>
                </c:pt>
                <c:pt idx="26">
                  <c:v>-3.7919999999999998</c:v>
                </c:pt>
                <c:pt idx="27">
                  <c:v>-3.7839999999999998</c:v>
                </c:pt>
                <c:pt idx="28">
                  <c:v>-3.7759999999999998</c:v>
                </c:pt>
                <c:pt idx="29">
                  <c:v>-3.7679999999999998</c:v>
                </c:pt>
                <c:pt idx="30">
                  <c:v>-3.76</c:v>
                </c:pt>
                <c:pt idx="31">
                  <c:v>-3.7519999999999998</c:v>
                </c:pt>
                <c:pt idx="32">
                  <c:v>-3.7439999999999998</c:v>
                </c:pt>
                <c:pt idx="33">
                  <c:v>-3.7359999999999998</c:v>
                </c:pt>
                <c:pt idx="34">
                  <c:v>-3.7279999999999998</c:v>
                </c:pt>
                <c:pt idx="35">
                  <c:v>-3.7199999999999998</c:v>
                </c:pt>
                <c:pt idx="36">
                  <c:v>-3.7119999999999997</c:v>
                </c:pt>
                <c:pt idx="37">
                  <c:v>-3.7039999999999997</c:v>
                </c:pt>
                <c:pt idx="38">
                  <c:v>-3.6959999999999997</c:v>
                </c:pt>
                <c:pt idx="39">
                  <c:v>-3.6879999999999997</c:v>
                </c:pt>
                <c:pt idx="40">
                  <c:v>-3.6799999999999997</c:v>
                </c:pt>
                <c:pt idx="41">
                  <c:v>-3.6719999999999997</c:v>
                </c:pt>
                <c:pt idx="42">
                  <c:v>-3.6639999999999997</c:v>
                </c:pt>
                <c:pt idx="43">
                  <c:v>-3.6559999999999997</c:v>
                </c:pt>
                <c:pt idx="44">
                  <c:v>-3.6479999999999997</c:v>
                </c:pt>
                <c:pt idx="45">
                  <c:v>-3.6399999999999997</c:v>
                </c:pt>
                <c:pt idx="46">
                  <c:v>-3.6319999999999997</c:v>
                </c:pt>
                <c:pt idx="47">
                  <c:v>-3.6239999999999997</c:v>
                </c:pt>
                <c:pt idx="48">
                  <c:v>-3.6159999999999997</c:v>
                </c:pt>
                <c:pt idx="49">
                  <c:v>-3.6079999999999997</c:v>
                </c:pt>
                <c:pt idx="50">
                  <c:v>-3.5999999999999996</c:v>
                </c:pt>
                <c:pt idx="51">
                  <c:v>-3.5919999999999996</c:v>
                </c:pt>
                <c:pt idx="52">
                  <c:v>-3.5839999999999996</c:v>
                </c:pt>
                <c:pt idx="53">
                  <c:v>-3.5759999999999996</c:v>
                </c:pt>
                <c:pt idx="54">
                  <c:v>-3.5679999999999996</c:v>
                </c:pt>
                <c:pt idx="55">
                  <c:v>-3.5599999999999996</c:v>
                </c:pt>
                <c:pt idx="56">
                  <c:v>-3.5519999999999996</c:v>
                </c:pt>
                <c:pt idx="57">
                  <c:v>-3.5439999999999996</c:v>
                </c:pt>
                <c:pt idx="58">
                  <c:v>-3.5359999999999996</c:v>
                </c:pt>
                <c:pt idx="59">
                  <c:v>-3.5279999999999996</c:v>
                </c:pt>
                <c:pt idx="60">
                  <c:v>-3.5199999999999996</c:v>
                </c:pt>
                <c:pt idx="61">
                  <c:v>-3.5119999999999996</c:v>
                </c:pt>
                <c:pt idx="62">
                  <c:v>-3.5039999999999996</c:v>
                </c:pt>
                <c:pt idx="63">
                  <c:v>-3.4959999999999996</c:v>
                </c:pt>
                <c:pt idx="64">
                  <c:v>-3.4879999999999995</c:v>
                </c:pt>
                <c:pt idx="65">
                  <c:v>-3.4799999999999995</c:v>
                </c:pt>
                <c:pt idx="66">
                  <c:v>-3.4719999999999995</c:v>
                </c:pt>
                <c:pt idx="67">
                  <c:v>-3.4639999999999995</c:v>
                </c:pt>
                <c:pt idx="68">
                  <c:v>-3.4559999999999995</c:v>
                </c:pt>
                <c:pt idx="69">
                  <c:v>-3.4479999999999995</c:v>
                </c:pt>
                <c:pt idx="70">
                  <c:v>-3.4399999999999995</c:v>
                </c:pt>
                <c:pt idx="71">
                  <c:v>-3.4319999999999995</c:v>
                </c:pt>
                <c:pt idx="72">
                  <c:v>-3.4239999999999995</c:v>
                </c:pt>
                <c:pt idx="73">
                  <c:v>-3.4159999999999995</c:v>
                </c:pt>
                <c:pt idx="74">
                  <c:v>-3.4079999999999995</c:v>
                </c:pt>
                <c:pt idx="75">
                  <c:v>-3.3999999999999995</c:v>
                </c:pt>
                <c:pt idx="76">
                  <c:v>-3.3919999999999995</c:v>
                </c:pt>
                <c:pt idx="77">
                  <c:v>-3.3839999999999995</c:v>
                </c:pt>
                <c:pt idx="78">
                  <c:v>-3.3759999999999994</c:v>
                </c:pt>
                <c:pt idx="79">
                  <c:v>-3.3679999999999994</c:v>
                </c:pt>
                <c:pt idx="80">
                  <c:v>-3.3599999999999994</c:v>
                </c:pt>
                <c:pt idx="81">
                  <c:v>-3.3519999999999994</c:v>
                </c:pt>
                <c:pt idx="82">
                  <c:v>-3.3439999999999994</c:v>
                </c:pt>
                <c:pt idx="83">
                  <c:v>-3.3359999999999994</c:v>
                </c:pt>
                <c:pt idx="84">
                  <c:v>-3.3279999999999994</c:v>
                </c:pt>
                <c:pt idx="85">
                  <c:v>-3.3199999999999994</c:v>
                </c:pt>
                <c:pt idx="86">
                  <c:v>-3.3119999999999994</c:v>
                </c:pt>
                <c:pt idx="87">
                  <c:v>-3.3039999999999994</c:v>
                </c:pt>
                <c:pt idx="88">
                  <c:v>-3.2959999999999994</c:v>
                </c:pt>
                <c:pt idx="89">
                  <c:v>-3.2879999999999994</c:v>
                </c:pt>
                <c:pt idx="90">
                  <c:v>-3.2799999999999994</c:v>
                </c:pt>
                <c:pt idx="91">
                  <c:v>-3.2719999999999994</c:v>
                </c:pt>
                <c:pt idx="92">
                  <c:v>-3.2639999999999993</c:v>
                </c:pt>
                <c:pt idx="93">
                  <c:v>-3.2559999999999993</c:v>
                </c:pt>
                <c:pt idx="94">
                  <c:v>-3.2479999999999993</c:v>
                </c:pt>
                <c:pt idx="95">
                  <c:v>-3.2399999999999993</c:v>
                </c:pt>
                <c:pt idx="96">
                  <c:v>-3.2319999999999993</c:v>
                </c:pt>
                <c:pt idx="97">
                  <c:v>-3.2239999999999993</c:v>
                </c:pt>
                <c:pt idx="98">
                  <c:v>-3.2159999999999993</c:v>
                </c:pt>
                <c:pt idx="99">
                  <c:v>-3.2079999999999993</c:v>
                </c:pt>
                <c:pt idx="100">
                  <c:v>-3.1999999999999993</c:v>
                </c:pt>
                <c:pt idx="101">
                  <c:v>-3.1919999999999993</c:v>
                </c:pt>
                <c:pt idx="102">
                  <c:v>-3.1839999999999993</c:v>
                </c:pt>
                <c:pt idx="103">
                  <c:v>-3.1759999999999993</c:v>
                </c:pt>
                <c:pt idx="104">
                  <c:v>-3.1679999999999993</c:v>
                </c:pt>
                <c:pt idx="105">
                  <c:v>-3.1599999999999993</c:v>
                </c:pt>
                <c:pt idx="106">
                  <c:v>-3.1519999999999992</c:v>
                </c:pt>
                <c:pt idx="107">
                  <c:v>-3.1439999999999992</c:v>
                </c:pt>
                <c:pt idx="108">
                  <c:v>-3.1359999999999992</c:v>
                </c:pt>
                <c:pt idx="109">
                  <c:v>-3.1279999999999992</c:v>
                </c:pt>
                <c:pt idx="110">
                  <c:v>-3.1199999999999992</c:v>
                </c:pt>
                <c:pt idx="111">
                  <c:v>-3.1119999999999992</c:v>
                </c:pt>
                <c:pt idx="112">
                  <c:v>-3.1039999999999992</c:v>
                </c:pt>
                <c:pt idx="113">
                  <c:v>-3.0959999999999992</c:v>
                </c:pt>
                <c:pt idx="114">
                  <c:v>-3.0879999999999992</c:v>
                </c:pt>
                <c:pt idx="115">
                  <c:v>-3.0799999999999992</c:v>
                </c:pt>
                <c:pt idx="116">
                  <c:v>-3.0719999999999992</c:v>
                </c:pt>
                <c:pt idx="117">
                  <c:v>-3.0639999999999992</c:v>
                </c:pt>
                <c:pt idx="118">
                  <c:v>-3.0559999999999992</c:v>
                </c:pt>
                <c:pt idx="119">
                  <c:v>-3.0479999999999992</c:v>
                </c:pt>
                <c:pt idx="120">
                  <c:v>-3.0399999999999991</c:v>
                </c:pt>
                <c:pt idx="121">
                  <c:v>-3.0319999999999991</c:v>
                </c:pt>
                <c:pt idx="122">
                  <c:v>-3.0239999999999991</c:v>
                </c:pt>
                <c:pt idx="123">
                  <c:v>-3.0159999999999991</c:v>
                </c:pt>
                <c:pt idx="124">
                  <c:v>-3.0079999999999991</c:v>
                </c:pt>
                <c:pt idx="125">
                  <c:v>-2.9999999999999991</c:v>
                </c:pt>
                <c:pt idx="126">
                  <c:v>-2.9919999999999991</c:v>
                </c:pt>
                <c:pt idx="127">
                  <c:v>-2.9839999999999991</c:v>
                </c:pt>
                <c:pt idx="128">
                  <c:v>-2.9759999999999991</c:v>
                </c:pt>
                <c:pt idx="129">
                  <c:v>-2.9679999999999991</c:v>
                </c:pt>
                <c:pt idx="130">
                  <c:v>-2.9599999999999991</c:v>
                </c:pt>
                <c:pt idx="131">
                  <c:v>-2.9519999999999991</c:v>
                </c:pt>
                <c:pt idx="132">
                  <c:v>-2.9439999999999991</c:v>
                </c:pt>
                <c:pt idx="133">
                  <c:v>-2.9359999999999991</c:v>
                </c:pt>
                <c:pt idx="134">
                  <c:v>-2.927999999999999</c:v>
                </c:pt>
                <c:pt idx="135">
                  <c:v>-2.919999999999999</c:v>
                </c:pt>
                <c:pt idx="136">
                  <c:v>-2.911999999999999</c:v>
                </c:pt>
                <c:pt idx="137">
                  <c:v>-2.903999999999999</c:v>
                </c:pt>
                <c:pt idx="138">
                  <c:v>-2.895999999999999</c:v>
                </c:pt>
                <c:pt idx="139">
                  <c:v>-2.887999999999999</c:v>
                </c:pt>
                <c:pt idx="140">
                  <c:v>-2.879999999999999</c:v>
                </c:pt>
                <c:pt idx="141">
                  <c:v>-2.871999999999999</c:v>
                </c:pt>
                <c:pt idx="142">
                  <c:v>-2.863999999999999</c:v>
                </c:pt>
                <c:pt idx="143">
                  <c:v>-2.855999999999999</c:v>
                </c:pt>
                <c:pt idx="144">
                  <c:v>-2.847999999999999</c:v>
                </c:pt>
                <c:pt idx="145">
                  <c:v>-2.839999999999999</c:v>
                </c:pt>
                <c:pt idx="146">
                  <c:v>-2.831999999999999</c:v>
                </c:pt>
                <c:pt idx="147">
                  <c:v>-2.823999999999999</c:v>
                </c:pt>
                <c:pt idx="148">
                  <c:v>-2.8159999999999989</c:v>
                </c:pt>
                <c:pt idx="149">
                  <c:v>-2.8079999999999989</c:v>
                </c:pt>
                <c:pt idx="150">
                  <c:v>-2.7999999999999989</c:v>
                </c:pt>
                <c:pt idx="151">
                  <c:v>-2.7919999999999989</c:v>
                </c:pt>
                <c:pt idx="152">
                  <c:v>-2.7839999999999989</c:v>
                </c:pt>
                <c:pt idx="153">
                  <c:v>-2.7759999999999989</c:v>
                </c:pt>
                <c:pt idx="154">
                  <c:v>-2.7679999999999989</c:v>
                </c:pt>
                <c:pt idx="155">
                  <c:v>-2.7599999999999989</c:v>
                </c:pt>
                <c:pt idx="156">
                  <c:v>-2.7519999999999989</c:v>
                </c:pt>
                <c:pt idx="157">
                  <c:v>-2.7439999999999989</c:v>
                </c:pt>
                <c:pt idx="158">
                  <c:v>-2.7359999999999989</c:v>
                </c:pt>
                <c:pt idx="159">
                  <c:v>-2.7279999999999989</c:v>
                </c:pt>
                <c:pt idx="160">
                  <c:v>-2.7199999999999989</c:v>
                </c:pt>
                <c:pt idx="161">
                  <c:v>-2.7119999999999989</c:v>
                </c:pt>
                <c:pt idx="162">
                  <c:v>-2.7039999999999988</c:v>
                </c:pt>
                <c:pt idx="163">
                  <c:v>-2.6959999999999988</c:v>
                </c:pt>
                <c:pt idx="164">
                  <c:v>-2.6879999999999988</c:v>
                </c:pt>
                <c:pt idx="165">
                  <c:v>-2.6799999999999988</c:v>
                </c:pt>
                <c:pt idx="166">
                  <c:v>-2.6719999999999988</c:v>
                </c:pt>
                <c:pt idx="167">
                  <c:v>-2.6639999999999988</c:v>
                </c:pt>
                <c:pt idx="168">
                  <c:v>-2.6559999999999988</c:v>
                </c:pt>
                <c:pt idx="169">
                  <c:v>-2.6479999999999988</c:v>
                </c:pt>
                <c:pt idx="170">
                  <c:v>-2.6399999999999988</c:v>
                </c:pt>
                <c:pt idx="171">
                  <c:v>-2.6319999999999988</c:v>
                </c:pt>
                <c:pt idx="172">
                  <c:v>-2.6239999999999988</c:v>
                </c:pt>
                <c:pt idx="173">
                  <c:v>-2.6159999999999988</c:v>
                </c:pt>
                <c:pt idx="174">
                  <c:v>-2.6079999999999988</c:v>
                </c:pt>
                <c:pt idx="175">
                  <c:v>-2.5999999999999988</c:v>
                </c:pt>
                <c:pt idx="176">
                  <c:v>-2.5919999999999987</c:v>
                </c:pt>
                <c:pt idx="177">
                  <c:v>-2.5839999999999987</c:v>
                </c:pt>
                <c:pt idx="178">
                  <c:v>-2.5759999999999987</c:v>
                </c:pt>
                <c:pt idx="179">
                  <c:v>-2.5679999999999987</c:v>
                </c:pt>
                <c:pt idx="180">
                  <c:v>-2.5599999999999987</c:v>
                </c:pt>
                <c:pt idx="181">
                  <c:v>-2.5519999999999987</c:v>
                </c:pt>
                <c:pt idx="182">
                  <c:v>-2.5439999999999987</c:v>
                </c:pt>
                <c:pt idx="183">
                  <c:v>-2.5359999999999987</c:v>
                </c:pt>
                <c:pt idx="184">
                  <c:v>-2.5279999999999987</c:v>
                </c:pt>
                <c:pt idx="185">
                  <c:v>-2.5199999999999987</c:v>
                </c:pt>
                <c:pt idx="186">
                  <c:v>-2.5119999999999987</c:v>
                </c:pt>
                <c:pt idx="187">
                  <c:v>-2.5039999999999987</c:v>
                </c:pt>
                <c:pt idx="188">
                  <c:v>-2.4959999999999987</c:v>
                </c:pt>
                <c:pt idx="189">
                  <c:v>-2.4879999999999987</c:v>
                </c:pt>
                <c:pt idx="190">
                  <c:v>-2.4799999999999986</c:v>
                </c:pt>
                <c:pt idx="191">
                  <c:v>-2.4719999999999986</c:v>
                </c:pt>
                <c:pt idx="192">
                  <c:v>-2.4639999999999986</c:v>
                </c:pt>
                <c:pt idx="193">
                  <c:v>-2.4559999999999986</c:v>
                </c:pt>
                <c:pt idx="194">
                  <c:v>-2.4479999999999986</c:v>
                </c:pt>
                <c:pt idx="195">
                  <c:v>-2.4399999999999986</c:v>
                </c:pt>
                <c:pt idx="196">
                  <c:v>-2.4319999999999986</c:v>
                </c:pt>
                <c:pt idx="197">
                  <c:v>-2.4239999999999986</c:v>
                </c:pt>
                <c:pt idx="198">
                  <c:v>-2.4159999999999986</c:v>
                </c:pt>
                <c:pt idx="199">
                  <c:v>-2.4079999999999986</c:v>
                </c:pt>
                <c:pt idx="200">
                  <c:v>-2.3999999999999986</c:v>
                </c:pt>
                <c:pt idx="201">
                  <c:v>-2.3919999999999986</c:v>
                </c:pt>
                <c:pt idx="202">
                  <c:v>-2.3839999999999986</c:v>
                </c:pt>
                <c:pt idx="203">
                  <c:v>-2.3759999999999986</c:v>
                </c:pt>
                <c:pt idx="204">
                  <c:v>-2.3679999999999986</c:v>
                </c:pt>
                <c:pt idx="205">
                  <c:v>-2.3599999999999985</c:v>
                </c:pt>
                <c:pt idx="206">
                  <c:v>-2.3519999999999985</c:v>
                </c:pt>
                <c:pt idx="207">
                  <c:v>-2.3439999999999985</c:v>
                </c:pt>
                <c:pt idx="208">
                  <c:v>-2.3359999999999985</c:v>
                </c:pt>
                <c:pt idx="209">
                  <c:v>-2.3279999999999985</c:v>
                </c:pt>
                <c:pt idx="210">
                  <c:v>-2.3199999999999985</c:v>
                </c:pt>
                <c:pt idx="211">
                  <c:v>-2.3119999999999985</c:v>
                </c:pt>
                <c:pt idx="212">
                  <c:v>-2.3039999999999985</c:v>
                </c:pt>
                <c:pt idx="213">
                  <c:v>-2.2959999999999985</c:v>
                </c:pt>
                <c:pt idx="214">
                  <c:v>-2.2879999999999985</c:v>
                </c:pt>
                <c:pt idx="215">
                  <c:v>-2.2799999999999985</c:v>
                </c:pt>
                <c:pt idx="216">
                  <c:v>-2.2719999999999985</c:v>
                </c:pt>
                <c:pt idx="217">
                  <c:v>-2.2639999999999985</c:v>
                </c:pt>
                <c:pt idx="218">
                  <c:v>-2.2559999999999985</c:v>
                </c:pt>
                <c:pt idx="219">
                  <c:v>-2.2479999999999984</c:v>
                </c:pt>
                <c:pt idx="220">
                  <c:v>-2.2399999999999984</c:v>
                </c:pt>
                <c:pt idx="221">
                  <c:v>-2.2319999999999984</c:v>
                </c:pt>
                <c:pt idx="222">
                  <c:v>-2.2239999999999984</c:v>
                </c:pt>
                <c:pt idx="223">
                  <c:v>-2.2159999999999984</c:v>
                </c:pt>
                <c:pt idx="224">
                  <c:v>-2.2079999999999984</c:v>
                </c:pt>
                <c:pt idx="225">
                  <c:v>-2.1999999999999984</c:v>
                </c:pt>
                <c:pt idx="226">
                  <c:v>-2.1919999999999984</c:v>
                </c:pt>
                <c:pt idx="227">
                  <c:v>-2.1839999999999984</c:v>
                </c:pt>
                <c:pt idx="228">
                  <c:v>-2.1759999999999984</c:v>
                </c:pt>
                <c:pt idx="229">
                  <c:v>-2.1679999999999984</c:v>
                </c:pt>
                <c:pt idx="230">
                  <c:v>-2.1599999999999984</c:v>
                </c:pt>
                <c:pt idx="231">
                  <c:v>-2.1519999999999984</c:v>
                </c:pt>
                <c:pt idx="232">
                  <c:v>-2.1439999999999984</c:v>
                </c:pt>
                <c:pt idx="233">
                  <c:v>-2.1359999999999983</c:v>
                </c:pt>
                <c:pt idx="234">
                  <c:v>-2.1279999999999983</c:v>
                </c:pt>
                <c:pt idx="235">
                  <c:v>-2.1199999999999983</c:v>
                </c:pt>
                <c:pt idx="236">
                  <c:v>-2.1119999999999983</c:v>
                </c:pt>
                <c:pt idx="237">
                  <c:v>-2.1039999999999983</c:v>
                </c:pt>
                <c:pt idx="238">
                  <c:v>-2.0959999999999983</c:v>
                </c:pt>
                <c:pt idx="239">
                  <c:v>-2.0879999999999983</c:v>
                </c:pt>
                <c:pt idx="240">
                  <c:v>-2.0799999999999983</c:v>
                </c:pt>
                <c:pt idx="241">
                  <c:v>-2.0719999999999983</c:v>
                </c:pt>
                <c:pt idx="242">
                  <c:v>-2.0639999999999983</c:v>
                </c:pt>
                <c:pt idx="243">
                  <c:v>-2.0559999999999983</c:v>
                </c:pt>
                <c:pt idx="244">
                  <c:v>-2.0479999999999983</c:v>
                </c:pt>
                <c:pt idx="245">
                  <c:v>-2.0399999999999983</c:v>
                </c:pt>
                <c:pt idx="246">
                  <c:v>-2.0319999999999983</c:v>
                </c:pt>
                <c:pt idx="247">
                  <c:v>-2.0239999999999982</c:v>
                </c:pt>
                <c:pt idx="248">
                  <c:v>-2.0159999999999982</c:v>
                </c:pt>
                <c:pt idx="249">
                  <c:v>-2.0079999999999982</c:v>
                </c:pt>
                <c:pt idx="250">
                  <c:v>-1.9999999999999982</c:v>
                </c:pt>
                <c:pt idx="251">
                  <c:v>-1.9919999999999982</c:v>
                </c:pt>
                <c:pt idx="252">
                  <c:v>-1.9839999999999982</c:v>
                </c:pt>
                <c:pt idx="253">
                  <c:v>-1.9759999999999982</c:v>
                </c:pt>
                <c:pt idx="254">
                  <c:v>-1.9679999999999982</c:v>
                </c:pt>
                <c:pt idx="255">
                  <c:v>-1.9599999999999982</c:v>
                </c:pt>
                <c:pt idx="256">
                  <c:v>-1.9519999999999982</c:v>
                </c:pt>
                <c:pt idx="257">
                  <c:v>-1.9439999999999982</c:v>
                </c:pt>
                <c:pt idx="258">
                  <c:v>-1.9359999999999982</c:v>
                </c:pt>
                <c:pt idx="259">
                  <c:v>-1.9279999999999982</c:v>
                </c:pt>
                <c:pt idx="260">
                  <c:v>-1.9199999999999982</c:v>
                </c:pt>
                <c:pt idx="261">
                  <c:v>-1.9119999999999981</c:v>
                </c:pt>
                <c:pt idx="262">
                  <c:v>-1.9039999999999981</c:v>
                </c:pt>
                <c:pt idx="263">
                  <c:v>-1.8959999999999981</c:v>
                </c:pt>
                <c:pt idx="264">
                  <c:v>-1.8879999999999981</c:v>
                </c:pt>
                <c:pt idx="265">
                  <c:v>-1.8799999999999981</c:v>
                </c:pt>
                <c:pt idx="266">
                  <c:v>-1.8719999999999981</c:v>
                </c:pt>
                <c:pt idx="267">
                  <c:v>-1.8639999999999981</c:v>
                </c:pt>
                <c:pt idx="268">
                  <c:v>-1.8559999999999981</c:v>
                </c:pt>
                <c:pt idx="269">
                  <c:v>-1.8479999999999981</c:v>
                </c:pt>
                <c:pt idx="270">
                  <c:v>-1.8399999999999981</c:v>
                </c:pt>
                <c:pt idx="271">
                  <c:v>-1.8319999999999981</c:v>
                </c:pt>
                <c:pt idx="272">
                  <c:v>-1.8239999999999981</c:v>
                </c:pt>
                <c:pt idx="273">
                  <c:v>-1.8159999999999981</c:v>
                </c:pt>
                <c:pt idx="274">
                  <c:v>-1.8079999999999981</c:v>
                </c:pt>
                <c:pt idx="275">
                  <c:v>-1.799999999999998</c:v>
                </c:pt>
                <c:pt idx="276">
                  <c:v>-1.791999999999998</c:v>
                </c:pt>
                <c:pt idx="277">
                  <c:v>-1.783999999999998</c:v>
                </c:pt>
                <c:pt idx="278">
                  <c:v>-1.775999999999998</c:v>
                </c:pt>
                <c:pt idx="279">
                  <c:v>-1.767999999999998</c:v>
                </c:pt>
                <c:pt idx="280">
                  <c:v>-1.759999999999998</c:v>
                </c:pt>
                <c:pt idx="281">
                  <c:v>-1.751999999999998</c:v>
                </c:pt>
                <c:pt idx="282">
                  <c:v>-1.743999999999998</c:v>
                </c:pt>
                <c:pt idx="283">
                  <c:v>-1.735999999999998</c:v>
                </c:pt>
                <c:pt idx="284">
                  <c:v>-1.727999999999998</c:v>
                </c:pt>
                <c:pt idx="285">
                  <c:v>-1.719999999999998</c:v>
                </c:pt>
                <c:pt idx="286">
                  <c:v>-1.711999999999998</c:v>
                </c:pt>
                <c:pt idx="287">
                  <c:v>-1.703999999999998</c:v>
                </c:pt>
                <c:pt idx="288">
                  <c:v>-1.695999999999998</c:v>
                </c:pt>
                <c:pt idx="289">
                  <c:v>-1.6879999999999979</c:v>
                </c:pt>
                <c:pt idx="290">
                  <c:v>-1.6799999999999979</c:v>
                </c:pt>
                <c:pt idx="291">
                  <c:v>-1.6719999999999979</c:v>
                </c:pt>
                <c:pt idx="292">
                  <c:v>-1.6639999999999979</c:v>
                </c:pt>
                <c:pt idx="293">
                  <c:v>-1.6559999999999979</c:v>
                </c:pt>
                <c:pt idx="294">
                  <c:v>-1.6479999999999979</c:v>
                </c:pt>
                <c:pt idx="295">
                  <c:v>-1.6399999999999979</c:v>
                </c:pt>
                <c:pt idx="296">
                  <c:v>-1.6319999999999979</c:v>
                </c:pt>
                <c:pt idx="297">
                  <c:v>-1.6239999999999979</c:v>
                </c:pt>
                <c:pt idx="298">
                  <c:v>-1.6159999999999979</c:v>
                </c:pt>
                <c:pt idx="299">
                  <c:v>-1.6079999999999979</c:v>
                </c:pt>
                <c:pt idx="300">
                  <c:v>-1.5999999999999979</c:v>
                </c:pt>
                <c:pt idx="301">
                  <c:v>-1.5919999999999979</c:v>
                </c:pt>
                <c:pt idx="302">
                  <c:v>-1.5839999999999979</c:v>
                </c:pt>
                <c:pt idx="303">
                  <c:v>-1.5759999999999978</c:v>
                </c:pt>
                <c:pt idx="304">
                  <c:v>-1.5679999999999978</c:v>
                </c:pt>
                <c:pt idx="305">
                  <c:v>-1.5599999999999978</c:v>
                </c:pt>
                <c:pt idx="306">
                  <c:v>-1.5519999999999978</c:v>
                </c:pt>
                <c:pt idx="307">
                  <c:v>-1.5439999999999978</c:v>
                </c:pt>
                <c:pt idx="308">
                  <c:v>-1.5359999999999978</c:v>
                </c:pt>
                <c:pt idx="309">
                  <c:v>-1.5279999999999978</c:v>
                </c:pt>
                <c:pt idx="310">
                  <c:v>-1.5199999999999978</c:v>
                </c:pt>
                <c:pt idx="311">
                  <c:v>-1.5119999999999978</c:v>
                </c:pt>
                <c:pt idx="312">
                  <c:v>-1.5039999999999978</c:v>
                </c:pt>
                <c:pt idx="313">
                  <c:v>-1.4959999999999978</c:v>
                </c:pt>
                <c:pt idx="314">
                  <c:v>-1.4879999999999978</c:v>
                </c:pt>
                <c:pt idx="315">
                  <c:v>-1.4799999999999978</c:v>
                </c:pt>
                <c:pt idx="316">
                  <c:v>-1.4719999999999978</c:v>
                </c:pt>
                <c:pt idx="317">
                  <c:v>-1.4639999999999977</c:v>
                </c:pt>
                <c:pt idx="318">
                  <c:v>-1.4559999999999977</c:v>
                </c:pt>
                <c:pt idx="319">
                  <c:v>-1.4479999999999977</c:v>
                </c:pt>
                <c:pt idx="320">
                  <c:v>-1.4399999999999977</c:v>
                </c:pt>
                <c:pt idx="321">
                  <c:v>-1.4319999999999977</c:v>
                </c:pt>
                <c:pt idx="322">
                  <c:v>-1.4239999999999977</c:v>
                </c:pt>
                <c:pt idx="323">
                  <c:v>-1.4159999999999977</c:v>
                </c:pt>
                <c:pt idx="324">
                  <c:v>-1.4079999999999977</c:v>
                </c:pt>
                <c:pt idx="325">
                  <c:v>-1.3999999999999977</c:v>
                </c:pt>
                <c:pt idx="326">
                  <c:v>-1.3919999999999977</c:v>
                </c:pt>
                <c:pt idx="327">
                  <c:v>-1.3839999999999977</c:v>
                </c:pt>
                <c:pt idx="328">
                  <c:v>-1.3759999999999977</c:v>
                </c:pt>
                <c:pt idx="329">
                  <c:v>-1.3679999999999977</c:v>
                </c:pt>
                <c:pt idx="330">
                  <c:v>-1.3599999999999977</c:v>
                </c:pt>
                <c:pt idx="331">
                  <c:v>-1.3519999999999976</c:v>
                </c:pt>
                <c:pt idx="332">
                  <c:v>-1.3439999999999976</c:v>
                </c:pt>
                <c:pt idx="333">
                  <c:v>-1.3359999999999976</c:v>
                </c:pt>
                <c:pt idx="334">
                  <c:v>-1.3279999999999976</c:v>
                </c:pt>
                <c:pt idx="335">
                  <c:v>-1.3199999999999976</c:v>
                </c:pt>
                <c:pt idx="336">
                  <c:v>-1.3119999999999976</c:v>
                </c:pt>
                <c:pt idx="337">
                  <c:v>-1.3039999999999976</c:v>
                </c:pt>
                <c:pt idx="338">
                  <c:v>-1.2959999999999976</c:v>
                </c:pt>
                <c:pt idx="339">
                  <c:v>-1.2879999999999976</c:v>
                </c:pt>
                <c:pt idx="340">
                  <c:v>-1.2799999999999976</c:v>
                </c:pt>
                <c:pt idx="341">
                  <c:v>-1.2719999999999976</c:v>
                </c:pt>
                <c:pt idx="342">
                  <c:v>-1.2639999999999976</c:v>
                </c:pt>
                <c:pt idx="343">
                  <c:v>-1.2559999999999976</c:v>
                </c:pt>
                <c:pt idx="344">
                  <c:v>-1.2479999999999976</c:v>
                </c:pt>
                <c:pt idx="345">
                  <c:v>-1.2399999999999975</c:v>
                </c:pt>
                <c:pt idx="346">
                  <c:v>-1.2319999999999975</c:v>
                </c:pt>
                <c:pt idx="347">
                  <c:v>-1.2239999999999975</c:v>
                </c:pt>
                <c:pt idx="348">
                  <c:v>-1.2159999999999975</c:v>
                </c:pt>
                <c:pt idx="349">
                  <c:v>-1.2079999999999975</c:v>
                </c:pt>
                <c:pt idx="350">
                  <c:v>-1.1999999999999975</c:v>
                </c:pt>
                <c:pt idx="351">
                  <c:v>-1.1919999999999975</c:v>
                </c:pt>
                <c:pt idx="352">
                  <c:v>-1.1839999999999975</c:v>
                </c:pt>
                <c:pt idx="353">
                  <c:v>-1.1759999999999975</c:v>
                </c:pt>
                <c:pt idx="354">
                  <c:v>-1.1679999999999975</c:v>
                </c:pt>
                <c:pt idx="355">
                  <c:v>-1.1599999999999975</c:v>
                </c:pt>
                <c:pt idx="356">
                  <c:v>-1.1519999999999975</c:v>
                </c:pt>
                <c:pt idx="357">
                  <c:v>-1.1439999999999975</c:v>
                </c:pt>
                <c:pt idx="358">
                  <c:v>-1.1359999999999975</c:v>
                </c:pt>
                <c:pt idx="359">
                  <c:v>-1.1279999999999974</c:v>
                </c:pt>
                <c:pt idx="360">
                  <c:v>-1.1199999999999974</c:v>
                </c:pt>
                <c:pt idx="361">
                  <c:v>-1.1119999999999974</c:v>
                </c:pt>
                <c:pt idx="362">
                  <c:v>-1.1039999999999974</c:v>
                </c:pt>
                <c:pt idx="363">
                  <c:v>-1.0959999999999974</c:v>
                </c:pt>
                <c:pt idx="364">
                  <c:v>-1.0879999999999974</c:v>
                </c:pt>
                <c:pt idx="365">
                  <c:v>-1.0799999999999974</c:v>
                </c:pt>
                <c:pt idx="366">
                  <c:v>-1.0719999999999974</c:v>
                </c:pt>
                <c:pt idx="367">
                  <c:v>-1.0639999999999974</c:v>
                </c:pt>
                <c:pt idx="368">
                  <c:v>-1.0559999999999974</c:v>
                </c:pt>
                <c:pt idx="369">
                  <c:v>-1.0479999999999974</c:v>
                </c:pt>
                <c:pt idx="370">
                  <c:v>-1.0399999999999974</c:v>
                </c:pt>
                <c:pt idx="371">
                  <c:v>-1.0319999999999974</c:v>
                </c:pt>
                <c:pt idx="372">
                  <c:v>-1.0239999999999974</c:v>
                </c:pt>
                <c:pt idx="373">
                  <c:v>-1.0159999999999973</c:v>
                </c:pt>
                <c:pt idx="374">
                  <c:v>-1.0079999999999973</c:v>
                </c:pt>
                <c:pt idx="375">
                  <c:v>-0.99999999999999734</c:v>
                </c:pt>
                <c:pt idx="376">
                  <c:v>-0.99199999999999733</c:v>
                </c:pt>
                <c:pt idx="377">
                  <c:v>-0.98399999999999732</c:v>
                </c:pt>
                <c:pt idx="378">
                  <c:v>-0.97599999999999731</c:v>
                </c:pt>
                <c:pt idx="379">
                  <c:v>-0.96799999999999731</c:v>
                </c:pt>
                <c:pt idx="380">
                  <c:v>-0.9599999999999973</c:v>
                </c:pt>
                <c:pt idx="381">
                  <c:v>-0.95199999999999729</c:v>
                </c:pt>
                <c:pt idx="382">
                  <c:v>-0.94399999999999729</c:v>
                </c:pt>
                <c:pt idx="383">
                  <c:v>-0.93599999999999728</c:v>
                </c:pt>
                <c:pt idx="384">
                  <c:v>-0.92799999999999727</c:v>
                </c:pt>
                <c:pt idx="385">
                  <c:v>-0.91999999999999726</c:v>
                </c:pt>
                <c:pt idx="386">
                  <c:v>-0.91199999999999726</c:v>
                </c:pt>
                <c:pt idx="387">
                  <c:v>-0.90399999999999725</c:v>
                </c:pt>
                <c:pt idx="388">
                  <c:v>-0.89599999999999724</c:v>
                </c:pt>
                <c:pt idx="389">
                  <c:v>-0.88799999999999724</c:v>
                </c:pt>
                <c:pt idx="390">
                  <c:v>-0.87999999999999723</c:v>
                </c:pt>
                <c:pt idx="391">
                  <c:v>-0.87199999999999722</c:v>
                </c:pt>
                <c:pt idx="392">
                  <c:v>-0.86399999999999721</c:v>
                </c:pt>
                <c:pt idx="393">
                  <c:v>-0.85599999999999721</c:v>
                </c:pt>
                <c:pt idx="394">
                  <c:v>-0.8479999999999972</c:v>
                </c:pt>
                <c:pt idx="395">
                  <c:v>-0.83999999999999719</c:v>
                </c:pt>
                <c:pt idx="396">
                  <c:v>-0.83199999999999719</c:v>
                </c:pt>
                <c:pt idx="397">
                  <c:v>-0.82399999999999718</c:v>
                </c:pt>
                <c:pt idx="398">
                  <c:v>-0.81599999999999717</c:v>
                </c:pt>
                <c:pt idx="399">
                  <c:v>-0.80799999999999716</c:v>
                </c:pt>
                <c:pt idx="400">
                  <c:v>-0.79999999999999716</c:v>
                </c:pt>
                <c:pt idx="401">
                  <c:v>-0.79199999999999715</c:v>
                </c:pt>
                <c:pt idx="402">
                  <c:v>-0.78399999999999714</c:v>
                </c:pt>
                <c:pt idx="403">
                  <c:v>-0.77599999999999714</c:v>
                </c:pt>
                <c:pt idx="404">
                  <c:v>-0.76799999999999713</c:v>
                </c:pt>
                <c:pt idx="405">
                  <c:v>-0.75999999999999712</c:v>
                </c:pt>
                <c:pt idx="406">
                  <c:v>-0.75199999999999712</c:v>
                </c:pt>
                <c:pt idx="407">
                  <c:v>-0.74399999999999711</c:v>
                </c:pt>
                <c:pt idx="408">
                  <c:v>-0.7359999999999971</c:v>
                </c:pt>
                <c:pt idx="409">
                  <c:v>-0.72799999999999709</c:v>
                </c:pt>
                <c:pt idx="410">
                  <c:v>-0.71999999999999709</c:v>
                </c:pt>
                <c:pt idx="411">
                  <c:v>-0.71199999999999708</c:v>
                </c:pt>
                <c:pt idx="412">
                  <c:v>-0.70399999999999707</c:v>
                </c:pt>
                <c:pt idx="413">
                  <c:v>-0.69599999999999707</c:v>
                </c:pt>
                <c:pt idx="414">
                  <c:v>-0.68799999999999706</c:v>
                </c:pt>
                <c:pt idx="415">
                  <c:v>-0.67999999999999705</c:v>
                </c:pt>
                <c:pt idx="416">
                  <c:v>-0.67199999999999704</c:v>
                </c:pt>
                <c:pt idx="417">
                  <c:v>-0.66399999999999704</c:v>
                </c:pt>
                <c:pt idx="418">
                  <c:v>-0.65599999999999703</c:v>
                </c:pt>
                <c:pt idx="419">
                  <c:v>-0.64799999999999702</c:v>
                </c:pt>
                <c:pt idx="420">
                  <c:v>-0.63999999999999702</c:v>
                </c:pt>
                <c:pt idx="421">
                  <c:v>-0.63199999999999701</c:v>
                </c:pt>
                <c:pt idx="422">
                  <c:v>-0.623999999999997</c:v>
                </c:pt>
                <c:pt idx="423">
                  <c:v>-0.61599999999999699</c:v>
                </c:pt>
                <c:pt idx="424">
                  <c:v>-0.60799999999999699</c:v>
                </c:pt>
                <c:pt idx="425">
                  <c:v>-0.59999999999999698</c:v>
                </c:pt>
                <c:pt idx="426">
                  <c:v>-0.59199999999999697</c:v>
                </c:pt>
                <c:pt idx="427">
                  <c:v>-0.58399999999999697</c:v>
                </c:pt>
                <c:pt idx="428">
                  <c:v>-0.57599999999999696</c:v>
                </c:pt>
                <c:pt idx="429">
                  <c:v>-0.56799999999999695</c:v>
                </c:pt>
                <c:pt idx="430">
                  <c:v>-0.55999999999999694</c:v>
                </c:pt>
                <c:pt idx="431">
                  <c:v>-0.55199999999999694</c:v>
                </c:pt>
                <c:pt idx="432">
                  <c:v>-0.54399999999999693</c:v>
                </c:pt>
                <c:pt idx="433">
                  <c:v>-0.53599999999999692</c:v>
                </c:pt>
                <c:pt idx="434">
                  <c:v>-0.52799999999999692</c:v>
                </c:pt>
                <c:pt idx="435">
                  <c:v>-0.51999999999999691</c:v>
                </c:pt>
                <c:pt idx="436">
                  <c:v>-0.5119999999999969</c:v>
                </c:pt>
                <c:pt idx="437">
                  <c:v>-0.50399999999999689</c:v>
                </c:pt>
                <c:pt idx="438">
                  <c:v>-0.49599999999999689</c:v>
                </c:pt>
                <c:pt idx="439">
                  <c:v>-0.48799999999999688</c:v>
                </c:pt>
                <c:pt idx="440">
                  <c:v>-0.47999999999999687</c:v>
                </c:pt>
                <c:pt idx="441">
                  <c:v>-0.47199999999999687</c:v>
                </c:pt>
                <c:pt idx="442">
                  <c:v>-0.46399999999999686</c:v>
                </c:pt>
                <c:pt idx="443">
                  <c:v>-0.45599999999999685</c:v>
                </c:pt>
                <c:pt idx="444">
                  <c:v>-0.44799999999999685</c:v>
                </c:pt>
                <c:pt idx="445">
                  <c:v>-0.43999999999999684</c:v>
                </c:pt>
                <c:pt idx="446">
                  <c:v>-0.43199999999999683</c:v>
                </c:pt>
                <c:pt idx="447">
                  <c:v>-0.42399999999999682</c:v>
                </c:pt>
                <c:pt idx="448">
                  <c:v>-0.41599999999999682</c:v>
                </c:pt>
                <c:pt idx="449">
                  <c:v>-0.40799999999999681</c:v>
                </c:pt>
                <c:pt idx="450">
                  <c:v>-0.3999999999999968</c:v>
                </c:pt>
                <c:pt idx="451">
                  <c:v>-0.3919999999999968</c:v>
                </c:pt>
                <c:pt idx="452">
                  <c:v>-0.38399999999999679</c:v>
                </c:pt>
                <c:pt idx="453">
                  <c:v>-0.37599999999999678</c:v>
                </c:pt>
                <c:pt idx="454">
                  <c:v>-0.36799999999999677</c:v>
                </c:pt>
                <c:pt idx="455">
                  <c:v>-0.35999999999999677</c:v>
                </c:pt>
                <c:pt idx="456">
                  <c:v>-0.35199999999999676</c:v>
                </c:pt>
                <c:pt idx="457">
                  <c:v>-0.34399999999999675</c:v>
                </c:pt>
                <c:pt idx="458">
                  <c:v>-0.33599999999999675</c:v>
                </c:pt>
                <c:pt idx="459">
                  <c:v>-0.32799999999999674</c:v>
                </c:pt>
                <c:pt idx="460">
                  <c:v>-0.31999999999999673</c:v>
                </c:pt>
                <c:pt idx="461">
                  <c:v>-0.31199999999999672</c:v>
                </c:pt>
                <c:pt idx="462">
                  <c:v>-0.30399999999999672</c:v>
                </c:pt>
                <c:pt idx="463">
                  <c:v>-0.29599999999999671</c:v>
                </c:pt>
                <c:pt idx="464">
                  <c:v>-0.2879999999999967</c:v>
                </c:pt>
                <c:pt idx="465">
                  <c:v>-0.2799999999999967</c:v>
                </c:pt>
                <c:pt idx="466">
                  <c:v>-0.27199999999999669</c:v>
                </c:pt>
                <c:pt idx="467">
                  <c:v>-0.26399999999999668</c:v>
                </c:pt>
                <c:pt idx="468">
                  <c:v>-0.25599999999999667</c:v>
                </c:pt>
                <c:pt idx="469">
                  <c:v>-0.24799999999999667</c:v>
                </c:pt>
                <c:pt idx="470">
                  <c:v>-0.23999999999999666</c:v>
                </c:pt>
                <c:pt idx="471">
                  <c:v>-0.23199999999999665</c:v>
                </c:pt>
                <c:pt idx="472">
                  <c:v>-0.22399999999999665</c:v>
                </c:pt>
                <c:pt idx="473">
                  <c:v>-0.21599999999999664</c:v>
                </c:pt>
                <c:pt idx="474">
                  <c:v>-0.20799999999999663</c:v>
                </c:pt>
                <c:pt idx="475">
                  <c:v>-0.19999999999999662</c:v>
                </c:pt>
                <c:pt idx="476">
                  <c:v>-0.19199999999999662</c:v>
                </c:pt>
                <c:pt idx="477">
                  <c:v>-0.18399999999999661</c:v>
                </c:pt>
                <c:pt idx="478">
                  <c:v>-0.1759999999999966</c:v>
                </c:pt>
                <c:pt idx="479">
                  <c:v>-0.1679999999999966</c:v>
                </c:pt>
                <c:pt idx="480">
                  <c:v>-0.15999999999999659</c:v>
                </c:pt>
                <c:pt idx="481">
                  <c:v>-0.15199999999999658</c:v>
                </c:pt>
                <c:pt idx="482">
                  <c:v>-0.14399999999999658</c:v>
                </c:pt>
                <c:pt idx="483">
                  <c:v>-0.13599999999999657</c:v>
                </c:pt>
                <c:pt idx="484">
                  <c:v>-0.12799999999999656</c:v>
                </c:pt>
                <c:pt idx="485">
                  <c:v>-0.11999999999999655</c:v>
                </c:pt>
                <c:pt idx="486">
                  <c:v>-0.11199999999999655</c:v>
                </c:pt>
                <c:pt idx="487">
                  <c:v>-0.10399999999999654</c:v>
                </c:pt>
                <c:pt idx="488">
                  <c:v>-9.5999999999996533E-2</c:v>
                </c:pt>
                <c:pt idx="489">
                  <c:v>-8.7999999999996525E-2</c:v>
                </c:pt>
                <c:pt idx="490">
                  <c:v>-7.9999999999996518E-2</c:v>
                </c:pt>
                <c:pt idx="491">
                  <c:v>-7.1999999999996511E-2</c:v>
                </c:pt>
                <c:pt idx="492">
                  <c:v>-6.3999999999996504E-2</c:v>
                </c:pt>
                <c:pt idx="493">
                  <c:v>-5.5999999999996504E-2</c:v>
                </c:pt>
                <c:pt idx="494">
                  <c:v>-4.7999999999996504E-2</c:v>
                </c:pt>
                <c:pt idx="495">
                  <c:v>-3.9999999999996504E-2</c:v>
                </c:pt>
                <c:pt idx="496">
                  <c:v>-3.1999999999996503E-2</c:v>
                </c:pt>
                <c:pt idx="497">
                  <c:v>-2.3999999999996503E-2</c:v>
                </c:pt>
                <c:pt idx="498">
                  <c:v>-1.5999999999996503E-2</c:v>
                </c:pt>
                <c:pt idx="499">
                  <c:v>-7.999999999996503E-3</c:v>
                </c:pt>
                <c:pt idx="500">
                  <c:v>3.4972025275692431E-15</c:v>
                </c:pt>
                <c:pt idx="501">
                  <c:v>8.0000000000034974E-3</c:v>
                </c:pt>
                <c:pt idx="502">
                  <c:v>1.6000000000003498E-2</c:v>
                </c:pt>
                <c:pt idx="503">
                  <c:v>2.4000000000003498E-2</c:v>
                </c:pt>
                <c:pt idx="504">
                  <c:v>3.2000000000003498E-2</c:v>
                </c:pt>
                <c:pt idx="505">
                  <c:v>4.0000000000003498E-2</c:v>
                </c:pt>
                <c:pt idx="506">
                  <c:v>4.8000000000003498E-2</c:v>
                </c:pt>
                <c:pt idx="507">
                  <c:v>5.6000000000003498E-2</c:v>
                </c:pt>
                <c:pt idx="508">
                  <c:v>6.4000000000003499E-2</c:v>
                </c:pt>
                <c:pt idx="509">
                  <c:v>7.2000000000003506E-2</c:v>
                </c:pt>
                <c:pt idx="510">
                  <c:v>8.0000000000003513E-2</c:v>
                </c:pt>
                <c:pt idx="511">
                  <c:v>8.800000000000352E-2</c:v>
                </c:pt>
                <c:pt idx="512">
                  <c:v>9.6000000000003527E-2</c:v>
                </c:pt>
                <c:pt idx="513">
                  <c:v>0.10400000000000353</c:v>
                </c:pt>
                <c:pt idx="514">
                  <c:v>0.11200000000000354</c:v>
                </c:pt>
                <c:pt idx="515">
                  <c:v>0.12000000000000355</c:v>
                </c:pt>
                <c:pt idx="516">
                  <c:v>0.12800000000000356</c:v>
                </c:pt>
                <c:pt idx="517">
                  <c:v>0.13600000000000356</c:v>
                </c:pt>
                <c:pt idx="518">
                  <c:v>0.14400000000000357</c:v>
                </c:pt>
                <c:pt idx="519">
                  <c:v>0.15200000000000358</c:v>
                </c:pt>
                <c:pt idx="520">
                  <c:v>0.16000000000000358</c:v>
                </c:pt>
                <c:pt idx="521">
                  <c:v>0.16800000000000359</c:v>
                </c:pt>
                <c:pt idx="522">
                  <c:v>0.1760000000000036</c:v>
                </c:pt>
                <c:pt idx="523">
                  <c:v>0.18400000000000361</c:v>
                </c:pt>
                <c:pt idx="524">
                  <c:v>0.19200000000000361</c:v>
                </c:pt>
                <c:pt idx="525">
                  <c:v>0.20000000000000362</c:v>
                </c:pt>
                <c:pt idx="526">
                  <c:v>0.20800000000000363</c:v>
                </c:pt>
                <c:pt idx="527">
                  <c:v>0.21600000000000363</c:v>
                </c:pt>
                <c:pt idx="528">
                  <c:v>0.22400000000000364</c:v>
                </c:pt>
                <c:pt idx="529">
                  <c:v>0.23200000000000365</c:v>
                </c:pt>
                <c:pt idx="530">
                  <c:v>0.24000000000000365</c:v>
                </c:pt>
                <c:pt idx="531">
                  <c:v>0.24800000000000366</c:v>
                </c:pt>
                <c:pt idx="532">
                  <c:v>0.25600000000000367</c:v>
                </c:pt>
                <c:pt idx="533">
                  <c:v>0.26400000000000368</c:v>
                </c:pt>
                <c:pt idx="534">
                  <c:v>0.27200000000000368</c:v>
                </c:pt>
                <c:pt idx="535">
                  <c:v>0.28000000000000369</c:v>
                </c:pt>
                <c:pt idx="536">
                  <c:v>0.2880000000000037</c:v>
                </c:pt>
                <c:pt idx="537">
                  <c:v>0.2960000000000037</c:v>
                </c:pt>
                <c:pt idx="538">
                  <c:v>0.30400000000000371</c:v>
                </c:pt>
                <c:pt idx="539">
                  <c:v>0.31200000000000372</c:v>
                </c:pt>
                <c:pt idx="540">
                  <c:v>0.32000000000000373</c:v>
                </c:pt>
                <c:pt idx="541">
                  <c:v>0.32800000000000373</c:v>
                </c:pt>
                <c:pt idx="542">
                  <c:v>0.33600000000000374</c:v>
                </c:pt>
                <c:pt idx="543">
                  <c:v>0.34400000000000375</c:v>
                </c:pt>
                <c:pt idx="544">
                  <c:v>0.35200000000000375</c:v>
                </c:pt>
                <c:pt idx="545">
                  <c:v>0.36000000000000376</c:v>
                </c:pt>
                <c:pt idx="546">
                  <c:v>0.36800000000000377</c:v>
                </c:pt>
                <c:pt idx="547">
                  <c:v>0.37600000000000378</c:v>
                </c:pt>
                <c:pt idx="548">
                  <c:v>0.38400000000000378</c:v>
                </c:pt>
                <c:pt idx="549">
                  <c:v>0.39200000000000379</c:v>
                </c:pt>
                <c:pt idx="550">
                  <c:v>0.4000000000000038</c:v>
                </c:pt>
                <c:pt idx="551">
                  <c:v>0.4080000000000038</c:v>
                </c:pt>
                <c:pt idx="552">
                  <c:v>0.41600000000000381</c:v>
                </c:pt>
                <c:pt idx="553">
                  <c:v>0.42400000000000382</c:v>
                </c:pt>
                <c:pt idx="554">
                  <c:v>0.43200000000000383</c:v>
                </c:pt>
                <c:pt idx="555">
                  <c:v>0.44000000000000383</c:v>
                </c:pt>
                <c:pt idx="556">
                  <c:v>0.44800000000000384</c:v>
                </c:pt>
                <c:pt idx="557">
                  <c:v>0.45600000000000385</c:v>
                </c:pt>
                <c:pt idx="558">
                  <c:v>0.46400000000000385</c:v>
                </c:pt>
                <c:pt idx="559">
                  <c:v>0.47200000000000386</c:v>
                </c:pt>
                <c:pt idx="560">
                  <c:v>0.48000000000000387</c:v>
                </c:pt>
                <c:pt idx="561">
                  <c:v>0.48800000000000388</c:v>
                </c:pt>
                <c:pt idx="562">
                  <c:v>0.49600000000000388</c:v>
                </c:pt>
                <c:pt idx="563">
                  <c:v>0.50400000000000389</c:v>
                </c:pt>
                <c:pt idx="564">
                  <c:v>0.5120000000000039</c:v>
                </c:pt>
                <c:pt idx="565">
                  <c:v>0.5200000000000039</c:v>
                </c:pt>
                <c:pt idx="566">
                  <c:v>0.52800000000000391</c:v>
                </c:pt>
                <c:pt idx="567">
                  <c:v>0.53600000000000392</c:v>
                </c:pt>
                <c:pt idx="568">
                  <c:v>0.54400000000000392</c:v>
                </c:pt>
                <c:pt idx="569">
                  <c:v>0.55200000000000393</c:v>
                </c:pt>
                <c:pt idx="570">
                  <c:v>0.56000000000000394</c:v>
                </c:pt>
                <c:pt idx="571">
                  <c:v>0.56800000000000395</c:v>
                </c:pt>
                <c:pt idx="572">
                  <c:v>0.57600000000000395</c:v>
                </c:pt>
                <c:pt idx="573">
                  <c:v>0.58400000000000396</c:v>
                </c:pt>
                <c:pt idx="574">
                  <c:v>0.59200000000000397</c:v>
                </c:pt>
                <c:pt idx="575">
                  <c:v>0.60000000000000397</c:v>
                </c:pt>
                <c:pt idx="576">
                  <c:v>0.60800000000000398</c:v>
                </c:pt>
                <c:pt idx="577">
                  <c:v>0.61600000000000399</c:v>
                </c:pt>
                <c:pt idx="578">
                  <c:v>0.624000000000004</c:v>
                </c:pt>
                <c:pt idx="579">
                  <c:v>0.632000000000004</c:v>
                </c:pt>
                <c:pt idx="580">
                  <c:v>0.64000000000000401</c:v>
                </c:pt>
                <c:pt idx="581">
                  <c:v>0.64800000000000402</c:v>
                </c:pt>
                <c:pt idx="582">
                  <c:v>0.65600000000000402</c:v>
                </c:pt>
                <c:pt idx="583">
                  <c:v>0.66400000000000403</c:v>
                </c:pt>
                <c:pt idx="584">
                  <c:v>0.67200000000000404</c:v>
                </c:pt>
                <c:pt idx="585">
                  <c:v>0.68000000000000405</c:v>
                </c:pt>
                <c:pt idx="586">
                  <c:v>0.68800000000000405</c:v>
                </c:pt>
                <c:pt idx="587">
                  <c:v>0.69600000000000406</c:v>
                </c:pt>
                <c:pt idx="588">
                  <c:v>0.70400000000000407</c:v>
                </c:pt>
                <c:pt idx="589">
                  <c:v>0.71200000000000407</c:v>
                </c:pt>
                <c:pt idx="590">
                  <c:v>0.72000000000000408</c:v>
                </c:pt>
                <c:pt idx="591">
                  <c:v>0.72800000000000409</c:v>
                </c:pt>
                <c:pt idx="592">
                  <c:v>0.7360000000000041</c:v>
                </c:pt>
                <c:pt idx="593">
                  <c:v>0.7440000000000041</c:v>
                </c:pt>
                <c:pt idx="594">
                  <c:v>0.75200000000000411</c:v>
                </c:pt>
                <c:pt idx="595">
                  <c:v>0.76000000000000412</c:v>
                </c:pt>
                <c:pt idx="596">
                  <c:v>0.76800000000000412</c:v>
                </c:pt>
                <c:pt idx="597">
                  <c:v>0.77600000000000413</c:v>
                </c:pt>
                <c:pt idx="598">
                  <c:v>0.78400000000000414</c:v>
                </c:pt>
                <c:pt idx="599">
                  <c:v>0.79200000000000415</c:v>
                </c:pt>
                <c:pt idx="600">
                  <c:v>0.80000000000000415</c:v>
                </c:pt>
                <c:pt idx="601">
                  <c:v>0.80800000000000416</c:v>
                </c:pt>
                <c:pt idx="602">
                  <c:v>0.81600000000000417</c:v>
                </c:pt>
                <c:pt idx="603">
                  <c:v>0.82400000000000417</c:v>
                </c:pt>
                <c:pt idx="604">
                  <c:v>0.83200000000000418</c:v>
                </c:pt>
                <c:pt idx="605">
                  <c:v>0.84000000000000419</c:v>
                </c:pt>
                <c:pt idx="606">
                  <c:v>0.84800000000000419</c:v>
                </c:pt>
                <c:pt idx="607">
                  <c:v>0.8560000000000042</c:v>
                </c:pt>
                <c:pt idx="608">
                  <c:v>0.86400000000000421</c:v>
                </c:pt>
                <c:pt idx="609">
                  <c:v>0.87200000000000422</c:v>
                </c:pt>
                <c:pt idx="610">
                  <c:v>0.88000000000000422</c:v>
                </c:pt>
                <c:pt idx="611">
                  <c:v>0.88800000000000423</c:v>
                </c:pt>
                <c:pt idx="612">
                  <c:v>0.89600000000000424</c:v>
                </c:pt>
                <c:pt idx="613">
                  <c:v>0.90400000000000424</c:v>
                </c:pt>
                <c:pt idx="614">
                  <c:v>0.91200000000000425</c:v>
                </c:pt>
                <c:pt idx="615">
                  <c:v>0.92000000000000426</c:v>
                </c:pt>
                <c:pt idx="616">
                  <c:v>0.92800000000000427</c:v>
                </c:pt>
                <c:pt idx="617">
                  <c:v>0.93600000000000427</c:v>
                </c:pt>
                <c:pt idx="618">
                  <c:v>0.94400000000000428</c:v>
                </c:pt>
                <c:pt idx="619">
                  <c:v>0.95200000000000429</c:v>
                </c:pt>
                <c:pt idx="620">
                  <c:v>0.96000000000000429</c:v>
                </c:pt>
                <c:pt idx="621">
                  <c:v>0.9680000000000043</c:v>
                </c:pt>
                <c:pt idx="622">
                  <c:v>0.97600000000000431</c:v>
                </c:pt>
                <c:pt idx="623">
                  <c:v>0.98400000000000432</c:v>
                </c:pt>
                <c:pt idx="624">
                  <c:v>0.99200000000000432</c:v>
                </c:pt>
                <c:pt idx="625">
                  <c:v>1.0000000000000042</c:v>
                </c:pt>
                <c:pt idx="626">
                  <c:v>1.0080000000000042</c:v>
                </c:pt>
                <c:pt idx="627">
                  <c:v>1.0160000000000042</c:v>
                </c:pt>
                <c:pt idx="628">
                  <c:v>1.0240000000000042</c:v>
                </c:pt>
                <c:pt idx="629">
                  <c:v>1.0320000000000042</c:v>
                </c:pt>
                <c:pt idx="630">
                  <c:v>1.0400000000000043</c:v>
                </c:pt>
                <c:pt idx="631">
                  <c:v>1.0480000000000043</c:v>
                </c:pt>
                <c:pt idx="632">
                  <c:v>1.0560000000000043</c:v>
                </c:pt>
                <c:pt idx="633">
                  <c:v>1.0640000000000043</c:v>
                </c:pt>
                <c:pt idx="634">
                  <c:v>1.0720000000000043</c:v>
                </c:pt>
                <c:pt idx="635">
                  <c:v>1.0800000000000043</c:v>
                </c:pt>
                <c:pt idx="636">
                  <c:v>1.0880000000000043</c:v>
                </c:pt>
                <c:pt idx="637">
                  <c:v>1.0960000000000043</c:v>
                </c:pt>
                <c:pt idx="638">
                  <c:v>1.1040000000000043</c:v>
                </c:pt>
                <c:pt idx="639">
                  <c:v>1.1120000000000043</c:v>
                </c:pt>
                <c:pt idx="640">
                  <c:v>1.1200000000000043</c:v>
                </c:pt>
                <c:pt idx="641">
                  <c:v>1.1280000000000043</c:v>
                </c:pt>
                <c:pt idx="642">
                  <c:v>1.1360000000000043</c:v>
                </c:pt>
                <c:pt idx="643">
                  <c:v>1.1440000000000043</c:v>
                </c:pt>
                <c:pt idx="644">
                  <c:v>1.1520000000000044</c:v>
                </c:pt>
                <c:pt idx="645">
                  <c:v>1.1600000000000044</c:v>
                </c:pt>
                <c:pt idx="646">
                  <c:v>1.1680000000000044</c:v>
                </c:pt>
                <c:pt idx="647">
                  <c:v>1.1760000000000044</c:v>
                </c:pt>
                <c:pt idx="648">
                  <c:v>1.1840000000000044</c:v>
                </c:pt>
                <c:pt idx="649">
                  <c:v>1.1920000000000044</c:v>
                </c:pt>
                <c:pt idx="650">
                  <c:v>1.2000000000000044</c:v>
                </c:pt>
                <c:pt idx="651">
                  <c:v>1.2080000000000044</c:v>
                </c:pt>
                <c:pt idx="652">
                  <c:v>1.2160000000000044</c:v>
                </c:pt>
                <c:pt idx="653">
                  <c:v>1.2240000000000044</c:v>
                </c:pt>
                <c:pt idx="654">
                  <c:v>1.2320000000000044</c:v>
                </c:pt>
                <c:pt idx="655">
                  <c:v>1.2400000000000044</c:v>
                </c:pt>
                <c:pt idx="656">
                  <c:v>1.2480000000000044</c:v>
                </c:pt>
                <c:pt idx="657">
                  <c:v>1.2560000000000044</c:v>
                </c:pt>
                <c:pt idx="658">
                  <c:v>1.2640000000000045</c:v>
                </c:pt>
                <c:pt idx="659">
                  <c:v>1.2720000000000045</c:v>
                </c:pt>
                <c:pt idx="660">
                  <c:v>1.2800000000000045</c:v>
                </c:pt>
                <c:pt idx="661">
                  <c:v>1.2880000000000045</c:v>
                </c:pt>
                <c:pt idx="662">
                  <c:v>1.2960000000000045</c:v>
                </c:pt>
                <c:pt idx="663">
                  <c:v>1.3040000000000045</c:v>
                </c:pt>
                <c:pt idx="664">
                  <c:v>1.3120000000000045</c:v>
                </c:pt>
                <c:pt idx="665">
                  <c:v>1.3200000000000045</c:v>
                </c:pt>
                <c:pt idx="666">
                  <c:v>1.3280000000000045</c:v>
                </c:pt>
                <c:pt idx="667">
                  <c:v>1.3360000000000045</c:v>
                </c:pt>
                <c:pt idx="668">
                  <c:v>1.3440000000000045</c:v>
                </c:pt>
                <c:pt idx="669">
                  <c:v>1.3520000000000045</c:v>
                </c:pt>
                <c:pt idx="670">
                  <c:v>1.3600000000000045</c:v>
                </c:pt>
                <c:pt idx="671">
                  <c:v>1.3680000000000045</c:v>
                </c:pt>
                <c:pt idx="672">
                  <c:v>1.3760000000000046</c:v>
                </c:pt>
                <c:pt idx="673">
                  <c:v>1.3840000000000046</c:v>
                </c:pt>
                <c:pt idx="674">
                  <c:v>1.3920000000000046</c:v>
                </c:pt>
                <c:pt idx="675">
                  <c:v>1.4000000000000046</c:v>
                </c:pt>
                <c:pt idx="676">
                  <c:v>1.4080000000000046</c:v>
                </c:pt>
                <c:pt idx="677">
                  <c:v>1.4160000000000046</c:v>
                </c:pt>
                <c:pt idx="678">
                  <c:v>1.4240000000000046</c:v>
                </c:pt>
                <c:pt idx="679">
                  <c:v>1.4320000000000046</c:v>
                </c:pt>
                <c:pt idx="680">
                  <c:v>1.4400000000000046</c:v>
                </c:pt>
                <c:pt idx="681">
                  <c:v>1.4480000000000046</c:v>
                </c:pt>
                <c:pt idx="682">
                  <c:v>1.4560000000000046</c:v>
                </c:pt>
                <c:pt idx="683">
                  <c:v>1.4640000000000046</c:v>
                </c:pt>
                <c:pt idx="684">
                  <c:v>1.4720000000000046</c:v>
                </c:pt>
                <c:pt idx="685">
                  <c:v>1.4800000000000046</c:v>
                </c:pt>
                <c:pt idx="686">
                  <c:v>1.4880000000000047</c:v>
                </c:pt>
                <c:pt idx="687">
                  <c:v>1.4960000000000047</c:v>
                </c:pt>
                <c:pt idx="688">
                  <c:v>1.5040000000000047</c:v>
                </c:pt>
                <c:pt idx="689">
                  <c:v>1.5120000000000047</c:v>
                </c:pt>
                <c:pt idx="690">
                  <c:v>1.5200000000000047</c:v>
                </c:pt>
                <c:pt idx="691">
                  <c:v>1.5280000000000047</c:v>
                </c:pt>
                <c:pt idx="692">
                  <c:v>1.5360000000000047</c:v>
                </c:pt>
                <c:pt idx="693">
                  <c:v>1.5440000000000047</c:v>
                </c:pt>
                <c:pt idx="694">
                  <c:v>1.5520000000000047</c:v>
                </c:pt>
                <c:pt idx="695">
                  <c:v>1.5600000000000047</c:v>
                </c:pt>
                <c:pt idx="696">
                  <c:v>1.5680000000000047</c:v>
                </c:pt>
                <c:pt idx="697">
                  <c:v>1.5760000000000047</c:v>
                </c:pt>
                <c:pt idx="698">
                  <c:v>1.5840000000000047</c:v>
                </c:pt>
                <c:pt idx="699">
                  <c:v>1.5920000000000047</c:v>
                </c:pt>
                <c:pt idx="700">
                  <c:v>1.6000000000000048</c:v>
                </c:pt>
                <c:pt idx="701">
                  <c:v>1.6080000000000048</c:v>
                </c:pt>
                <c:pt idx="702">
                  <c:v>1.6160000000000048</c:v>
                </c:pt>
                <c:pt idx="703">
                  <c:v>1.6240000000000048</c:v>
                </c:pt>
                <c:pt idx="704">
                  <c:v>1.6320000000000048</c:v>
                </c:pt>
                <c:pt idx="705">
                  <c:v>1.6400000000000048</c:v>
                </c:pt>
                <c:pt idx="706">
                  <c:v>1.6480000000000048</c:v>
                </c:pt>
                <c:pt idx="707">
                  <c:v>1.6560000000000048</c:v>
                </c:pt>
                <c:pt idx="708">
                  <c:v>1.6640000000000048</c:v>
                </c:pt>
                <c:pt idx="709">
                  <c:v>1.6720000000000048</c:v>
                </c:pt>
                <c:pt idx="710">
                  <c:v>1.6800000000000048</c:v>
                </c:pt>
                <c:pt idx="711">
                  <c:v>1.6880000000000048</c:v>
                </c:pt>
                <c:pt idx="712">
                  <c:v>1.6960000000000048</c:v>
                </c:pt>
                <c:pt idx="713">
                  <c:v>1.7040000000000048</c:v>
                </c:pt>
                <c:pt idx="714">
                  <c:v>1.7120000000000049</c:v>
                </c:pt>
                <c:pt idx="715">
                  <c:v>1.7200000000000049</c:v>
                </c:pt>
                <c:pt idx="716">
                  <c:v>1.7280000000000049</c:v>
                </c:pt>
                <c:pt idx="717">
                  <c:v>1.7360000000000049</c:v>
                </c:pt>
                <c:pt idx="718">
                  <c:v>1.7440000000000049</c:v>
                </c:pt>
                <c:pt idx="719">
                  <c:v>1.7520000000000049</c:v>
                </c:pt>
                <c:pt idx="720">
                  <c:v>1.7600000000000049</c:v>
                </c:pt>
                <c:pt idx="721">
                  <c:v>1.7680000000000049</c:v>
                </c:pt>
                <c:pt idx="722">
                  <c:v>1.7760000000000049</c:v>
                </c:pt>
                <c:pt idx="723">
                  <c:v>1.7840000000000049</c:v>
                </c:pt>
                <c:pt idx="724">
                  <c:v>1.7920000000000049</c:v>
                </c:pt>
                <c:pt idx="725">
                  <c:v>1.8000000000000049</c:v>
                </c:pt>
                <c:pt idx="726">
                  <c:v>1.8080000000000049</c:v>
                </c:pt>
                <c:pt idx="727">
                  <c:v>1.8160000000000049</c:v>
                </c:pt>
                <c:pt idx="728">
                  <c:v>1.824000000000005</c:v>
                </c:pt>
                <c:pt idx="729">
                  <c:v>1.832000000000005</c:v>
                </c:pt>
                <c:pt idx="730">
                  <c:v>1.840000000000005</c:v>
                </c:pt>
                <c:pt idx="731">
                  <c:v>1.848000000000005</c:v>
                </c:pt>
                <c:pt idx="732">
                  <c:v>1.856000000000005</c:v>
                </c:pt>
                <c:pt idx="733">
                  <c:v>1.864000000000005</c:v>
                </c:pt>
                <c:pt idx="734">
                  <c:v>1.872000000000005</c:v>
                </c:pt>
                <c:pt idx="735">
                  <c:v>1.880000000000005</c:v>
                </c:pt>
                <c:pt idx="736">
                  <c:v>1.888000000000005</c:v>
                </c:pt>
                <c:pt idx="737">
                  <c:v>1.896000000000005</c:v>
                </c:pt>
                <c:pt idx="738">
                  <c:v>1.904000000000005</c:v>
                </c:pt>
                <c:pt idx="739">
                  <c:v>1.912000000000005</c:v>
                </c:pt>
                <c:pt idx="740">
                  <c:v>1.920000000000005</c:v>
                </c:pt>
                <c:pt idx="741">
                  <c:v>1.928000000000005</c:v>
                </c:pt>
                <c:pt idx="742">
                  <c:v>1.9360000000000051</c:v>
                </c:pt>
                <c:pt idx="743">
                  <c:v>1.9440000000000051</c:v>
                </c:pt>
                <c:pt idx="744">
                  <c:v>1.9520000000000051</c:v>
                </c:pt>
                <c:pt idx="745">
                  <c:v>1.9600000000000051</c:v>
                </c:pt>
                <c:pt idx="746">
                  <c:v>1.9680000000000051</c:v>
                </c:pt>
                <c:pt idx="747">
                  <c:v>1.9760000000000051</c:v>
                </c:pt>
                <c:pt idx="748">
                  <c:v>1.9840000000000051</c:v>
                </c:pt>
                <c:pt idx="749">
                  <c:v>1.9920000000000051</c:v>
                </c:pt>
                <c:pt idx="750">
                  <c:v>2.0000000000000049</c:v>
                </c:pt>
                <c:pt idx="751">
                  <c:v>2.0080000000000049</c:v>
                </c:pt>
                <c:pt idx="752">
                  <c:v>2.0160000000000049</c:v>
                </c:pt>
                <c:pt idx="753">
                  <c:v>2.0240000000000049</c:v>
                </c:pt>
                <c:pt idx="754">
                  <c:v>2.0320000000000049</c:v>
                </c:pt>
                <c:pt idx="755">
                  <c:v>2.0400000000000049</c:v>
                </c:pt>
                <c:pt idx="756">
                  <c:v>2.0480000000000049</c:v>
                </c:pt>
                <c:pt idx="757">
                  <c:v>2.0560000000000049</c:v>
                </c:pt>
                <c:pt idx="758">
                  <c:v>2.0640000000000049</c:v>
                </c:pt>
                <c:pt idx="759">
                  <c:v>2.0720000000000049</c:v>
                </c:pt>
                <c:pt idx="760">
                  <c:v>2.080000000000005</c:v>
                </c:pt>
                <c:pt idx="761">
                  <c:v>2.088000000000005</c:v>
                </c:pt>
                <c:pt idx="762">
                  <c:v>2.096000000000005</c:v>
                </c:pt>
                <c:pt idx="763">
                  <c:v>2.104000000000005</c:v>
                </c:pt>
                <c:pt idx="764">
                  <c:v>2.112000000000005</c:v>
                </c:pt>
                <c:pt idx="765">
                  <c:v>2.120000000000005</c:v>
                </c:pt>
                <c:pt idx="766">
                  <c:v>2.128000000000005</c:v>
                </c:pt>
                <c:pt idx="767">
                  <c:v>2.136000000000005</c:v>
                </c:pt>
                <c:pt idx="768">
                  <c:v>2.144000000000005</c:v>
                </c:pt>
                <c:pt idx="769">
                  <c:v>2.152000000000005</c:v>
                </c:pt>
                <c:pt idx="770">
                  <c:v>2.160000000000005</c:v>
                </c:pt>
                <c:pt idx="771">
                  <c:v>2.168000000000005</c:v>
                </c:pt>
                <c:pt idx="772">
                  <c:v>2.176000000000005</c:v>
                </c:pt>
                <c:pt idx="773">
                  <c:v>2.184000000000005</c:v>
                </c:pt>
                <c:pt idx="774">
                  <c:v>2.1920000000000051</c:v>
                </c:pt>
                <c:pt idx="775">
                  <c:v>2.2000000000000051</c:v>
                </c:pt>
                <c:pt idx="776">
                  <c:v>2.2080000000000051</c:v>
                </c:pt>
                <c:pt idx="777">
                  <c:v>2.2160000000000051</c:v>
                </c:pt>
                <c:pt idx="778">
                  <c:v>2.2240000000000051</c:v>
                </c:pt>
                <c:pt idx="779">
                  <c:v>2.2320000000000051</c:v>
                </c:pt>
                <c:pt idx="780">
                  <c:v>2.2400000000000051</c:v>
                </c:pt>
                <c:pt idx="781">
                  <c:v>2.2480000000000051</c:v>
                </c:pt>
                <c:pt idx="782">
                  <c:v>2.2560000000000051</c:v>
                </c:pt>
                <c:pt idx="783">
                  <c:v>2.2640000000000051</c:v>
                </c:pt>
                <c:pt idx="784">
                  <c:v>2.2720000000000051</c:v>
                </c:pt>
                <c:pt idx="785">
                  <c:v>2.2800000000000051</c:v>
                </c:pt>
                <c:pt idx="786">
                  <c:v>2.2880000000000051</c:v>
                </c:pt>
                <c:pt idx="787">
                  <c:v>2.2960000000000051</c:v>
                </c:pt>
                <c:pt idx="788">
                  <c:v>2.3040000000000052</c:v>
                </c:pt>
                <c:pt idx="789">
                  <c:v>2.3120000000000052</c:v>
                </c:pt>
                <c:pt idx="790">
                  <c:v>2.3200000000000052</c:v>
                </c:pt>
                <c:pt idx="791">
                  <c:v>2.3280000000000052</c:v>
                </c:pt>
                <c:pt idx="792">
                  <c:v>2.3360000000000052</c:v>
                </c:pt>
                <c:pt idx="793">
                  <c:v>2.3440000000000052</c:v>
                </c:pt>
                <c:pt idx="794">
                  <c:v>2.3520000000000052</c:v>
                </c:pt>
                <c:pt idx="795">
                  <c:v>2.3600000000000052</c:v>
                </c:pt>
                <c:pt idx="796">
                  <c:v>2.3680000000000052</c:v>
                </c:pt>
                <c:pt idx="797">
                  <c:v>2.3760000000000052</c:v>
                </c:pt>
                <c:pt idx="798">
                  <c:v>2.3840000000000052</c:v>
                </c:pt>
                <c:pt idx="799">
                  <c:v>2.3920000000000052</c:v>
                </c:pt>
                <c:pt idx="800">
                  <c:v>2.4000000000000052</c:v>
                </c:pt>
                <c:pt idx="801">
                  <c:v>2.4080000000000052</c:v>
                </c:pt>
                <c:pt idx="802">
                  <c:v>2.4160000000000053</c:v>
                </c:pt>
                <c:pt idx="803">
                  <c:v>2.4240000000000053</c:v>
                </c:pt>
                <c:pt idx="804">
                  <c:v>2.4320000000000053</c:v>
                </c:pt>
                <c:pt idx="805">
                  <c:v>2.4400000000000053</c:v>
                </c:pt>
                <c:pt idx="806">
                  <c:v>2.4480000000000053</c:v>
                </c:pt>
                <c:pt idx="807">
                  <c:v>2.4560000000000053</c:v>
                </c:pt>
                <c:pt idx="808">
                  <c:v>2.4640000000000053</c:v>
                </c:pt>
                <c:pt idx="809">
                  <c:v>2.4720000000000053</c:v>
                </c:pt>
                <c:pt idx="810">
                  <c:v>2.4800000000000053</c:v>
                </c:pt>
                <c:pt idx="811">
                  <c:v>2.4880000000000053</c:v>
                </c:pt>
                <c:pt idx="812">
                  <c:v>2.4960000000000053</c:v>
                </c:pt>
                <c:pt idx="813">
                  <c:v>2.5040000000000053</c:v>
                </c:pt>
                <c:pt idx="814">
                  <c:v>2.5120000000000053</c:v>
                </c:pt>
                <c:pt idx="815">
                  <c:v>2.5200000000000053</c:v>
                </c:pt>
                <c:pt idx="816">
                  <c:v>2.5280000000000054</c:v>
                </c:pt>
                <c:pt idx="817">
                  <c:v>2.5360000000000054</c:v>
                </c:pt>
                <c:pt idx="818">
                  <c:v>2.5440000000000054</c:v>
                </c:pt>
                <c:pt idx="819">
                  <c:v>2.5520000000000054</c:v>
                </c:pt>
                <c:pt idx="820">
                  <c:v>2.5600000000000054</c:v>
                </c:pt>
                <c:pt idx="821">
                  <c:v>2.5680000000000054</c:v>
                </c:pt>
                <c:pt idx="822">
                  <c:v>2.5760000000000054</c:v>
                </c:pt>
                <c:pt idx="823">
                  <c:v>2.5840000000000054</c:v>
                </c:pt>
                <c:pt idx="824">
                  <c:v>2.5920000000000054</c:v>
                </c:pt>
                <c:pt idx="825">
                  <c:v>2.6000000000000054</c:v>
                </c:pt>
                <c:pt idx="826">
                  <c:v>2.6080000000000054</c:v>
                </c:pt>
                <c:pt idx="827">
                  <c:v>2.6160000000000054</c:v>
                </c:pt>
                <c:pt idx="828">
                  <c:v>2.6240000000000054</c:v>
                </c:pt>
                <c:pt idx="829">
                  <c:v>2.6320000000000054</c:v>
                </c:pt>
                <c:pt idx="830">
                  <c:v>2.6400000000000055</c:v>
                </c:pt>
                <c:pt idx="831">
                  <c:v>2.6480000000000055</c:v>
                </c:pt>
                <c:pt idx="832">
                  <c:v>2.6560000000000055</c:v>
                </c:pt>
                <c:pt idx="833">
                  <c:v>2.6640000000000055</c:v>
                </c:pt>
                <c:pt idx="834">
                  <c:v>2.6720000000000055</c:v>
                </c:pt>
                <c:pt idx="835">
                  <c:v>2.6800000000000055</c:v>
                </c:pt>
                <c:pt idx="836">
                  <c:v>2.6880000000000055</c:v>
                </c:pt>
                <c:pt idx="837">
                  <c:v>2.6960000000000055</c:v>
                </c:pt>
                <c:pt idx="838">
                  <c:v>2.7040000000000055</c:v>
                </c:pt>
                <c:pt idx="839">
                  <c:v>2.7120000000000055</c:v>
                </c:pt>
                <c:pt idx="840">
                  <c:v>2.7200000000000055</c:v>
                </c:pt>
                <c:pt idx="841">
                  <c:v>2.7280000000000055</c:v>
                </c:pt>
                <c:pt idx="842">
                  <c:v>2.7360000000000055</c:v>
                </c:pt>
                <c:pt idx="843">
                  <c:v>2.7440000000000055</c:v>
                </c:pt>
                <c:pt idx="844">
                  <c:v>2.7520000000000056</c:v>
                </c:pt>
                <c:pt idx="845">
                  <c:v>2.7600000000000056</c:v>
                </c:pt>
                <c:pt idx="846">
                  <c:v>2.7680000000000056</c:v>
                </c:pt>
                <c:pt idx="847">
                  <c:v>2.7760000000000056</c:v>
                </c:pt>
                <c:pt idx="848">
                  <c:v>2.7840000000000056</c:v>
                </c:pt>
                <c:pt idx="849">
                  <c:v>2.7920000000000056</c:v>
                </c:pt>
                <c:pt idx="850">
                  <c:v>2.8000000000000056</c:v>
                </c:pt>
                <c:pt idx="851">
                  <c:v>2.8080000000000056</c:v>
                </c:pt>
                <c:pt idx="852">
                  <c:v>2.8160000000000056</c:v>
                </c:pt>
                <c:pt idx="853">
                  <c:v>2.8240000000000056</c:v>
                </c:pt>
                <c:pt idx="854">
                  <c:v>2.8320000000000056</c:v>
                </c:pt>
                <c:pt idx="855">
                  <c:v>2.8400000000000056</c:v>
                </c:pt>
                <c:pt idx="856">
                  <c:v>2.8480000000000056</c:v>
                </c:pt>
                <c:pt idx="857">
                  <c:v>2.8560000000000056</c:v>
                </c:pt>
                <c:pt idx="858">
                  <c:v>2.8640000000000057</c:v>
                </c:pt>
                <c:pt idx="859">
                  <c:v>2.8720000000000057</c:v>
                </c:pt>
                <c:pt idx="860">
                  <c:v>2.8800000000000057</c:v>
                </c:pt>
                <c:pt idx="861">
                  <c:v>2.8880000000000057</c:v>
                </c:pt>
                <c:pt idx="862">
                  <c:v>2.8960000000000057</c:v>
                </c:pt>
                <c:pt idx="863">
                  <c:v>2.9040000000000057</c:v>
                </c:pt>
                <c:pt idx="864">
                  <c:v>2.9120000000000057</c:v>
                </c:pt>
                <c:pt idx="865">
                  <c:v>2.9200000000000057</c:v>
                </c:pt>
                <c:pt idx="866">
                  <c:v>2.9280000000000057</c:v>
                </c:pt>
                <c:pt idx="867">
                  <c:v>2.9360000000000057</c:v>
                </c:pt>
                <c:pt idx="868">
                  <c:v>2.9440000000000057</c:v>
                </c:pt>
                <c:pt idx="869">
                  <c:v>2.9520000000000057</c:v>
                </c:pt>
                <c:pt idx="870">
                  <c:v>2.9600000000000057</c:v>
                </c:pt>
                <c:pt idx="871">
                  <c:v>2.9680000000000057</c:v>
                </c:pt>
                <c:pt idx="872">
                  <c:v>2.9760000000000058</c:v>
                </c:pt>
                <c:pt idx="873">
                  <c:v>2.9840000000000058</c:v>
                </c:pt>
                <c:pt idx="874">
                  <c:v>2.9920000000000058</c:v>
                </c:pt>
                <c:pt idx="875">
                  <c:v>3.0000000000000058</c:v>
                </c:pt>
                <c:pt idx="876">
                  <c:v>3.0080000000000058</c:v>
                </c:pt>
                <c:pt idx="877">
                  <c:v>3.0160000000000058</c:v>
                </c:pt>
                <c:pt idx="878">
                  <c:v>3.0240000000000058</c:v>
                </c:pt>
                <c:pt idx="879">
                  <c:v>3.0320000000000058</c:v>
                </c:pt>
                <c:pt idx="880">
                  <c:v>3.0400000000000058</c:v>
                </c:pt>
                <c:pt idx="881">
                  <c:v>3.0480000000000058</c:v>
                </c:pt>
                <c:pt idx="882">
                  <c:v>3.0560000000000058</c:v>
                </c:pt>
                <c:pt idx="883">
                  <c:v>3.0640000000000058</c:v>
                </c:pt>
                <c:pt idx="884">
                  <c:v>3.0720000000000058</c:v>
                </c:pt>
                <c:pt idx="885">
                  <c:v>3.0800000000000058</c:v>
                </c:pt>
                <c:pt idx="886">
                  <c:v>3.0880000000000059</c:v>
                </c:pt>
                <c:pt idx="887">
                  <c:v>3.0960000000000059</c:v>
                </c:pt>
                <c:pt idx="888">
                  <c:v>3.1040000000000059</c:v>
                </c:pt>
                <c:pt idx="889">
                  <c:v>3.1120000000000059</c:v>
                </c:pt>
                <c:pt idx="890">
                  <c:v>3.1200000000000059</c:v>
                </c:pt>
                <c:pt idx="891">
                  <c:v>3.1280000000000059</c:v>
                </c:pt>
                <c:pt idx="892">
                  <c:v>3.1360000000000059</c:v>
                </c:pt>
                <c:pt idx="893">
                  <c:v>3.1440000000000059</c:v>
                </c:pt>
                <c:pt idx="894">
                  <c:v>3.1520000000000059</c:v>
                </c:pt>
                <c:pt idx="895">
                  <c:v>3.1600000000000059</c:v>
                </c:pt>
                <c:pt idx="896">
                  <c:v>3.1680000000000059</c:v>
                </c:pt>
                <c:pt idx="897">
                  <c:v>3.1760000000000059</c:v>
                </c:pt>
                <c:pt idx="898">
                  <c:v>3.1840000000000059</c:v>
                </c:pt>
                <c:pt idx="899">
                  <c:v>3.1920000000000059</c:v>
                </c:pt>
                <c:pt idx="900">
                  <c:v>3.200000000000006</c:v>
                </c:pt>
                <c:pt idx="901">
                  <c:v>3.208000000000006</c:v>
                </c:pt>
                <c:pt idx="902">
                  <c:v>3.216000000000006</c:v>
                </c:pt>
                <c:pt idx="903">
                  <c:v>3.224000000000006</c:v>
                </c:pt>
                <c:pt idx="904">
                  <c:v>3.232000000000006</c:v>
                </c:pt>
                <c:pt idx="905">
                  <c:v>3.240000000000006</c:v>
                </c:pt>
                <c:pt idx="906">
                  <c:v>3.248000000000006</c:v>
                </c:pt>
                <c:pt idx="907">
                  <c:v>3.256000000000006</c:v>
                </c:pt>
                <c:pt idx="908">
                  <c:v>3.264000000000006</c:v>
                </c:pt>
                <c:pt idx="909">
                  <c:v>3.272000000000006</c:v>
                </c:pt>
                <c:pt idx="910">
                  <c:v>3.280000000000006</c:v>
                </c:pt>
                <c:pt idx="911">
                  <c:v>3.288000000000006</c:v>
                </c:pt>
                <c:pt idx="912">
                  <c:v>3.296000000000006</c:v>
                </c:pt>
                <c:pt idx="913">
                  <c:v>3.304000000000006</c:v>
                </c:pt>
                <c:pt idx="914">
                  <c:v>3.3120000000000061</c:v>
                </c:pt>
                <c:pt idx="915">
                  <c:v>3.3200000000000061</c:v>
                </c:pt>
                <c:pt idx="916">
                  <c:v>3.3280000000000061</c:v>
                </c:pt>
                <c:pt idx="917">
                  <c:v>3.3360000000000061</c:v>
                </c:pt>
                <c:pt idx="918">
                  <c:v>3.3440000000000061</c:v>
                </c:pt>
                <c:pt idx="919">
                  <c:v>3.3520000000000061</c:v>
                </c:pt>
                <c:pt idx="920">
                  <c:v>3.3600000000000061</c:v>
                </c:pt>
                <c:pt idx="921">
                  <c:v>3.3680000000000061</c:v>
                </c:pt>
                <c:pt idx="922">
                  <c:v>3.3760000000000061</c:v>
                </c:pt>
                <c:pt idx="923">
                  <c:v>3.3840000000000061</c:v>
                </c:pt>
                <c:pt idx="924">
                  <c:v>3.3920000000000061</c:v>
                </c:pt>
                <c:pt idx="925">
                  <c:v>3.4000000000000061</c:v>
                </c:pt>
                <c:pt idx="926">
                  <c:v>3.4080000000000061</c:v>
                </c:pt>
                <c:pt idx="927">
                  <c:v>3.4160000000000061</c:v>
                </c:pt>
                <c:pt idx="928">
                  <c:v>3.4240000000000061</c:v>
                </c:pt>
                <c:pt idx="929">
                  <c:v>3.4320000000000062</c:v>
                </c:pt>
                <c:pt idx="930">
                  <c:v>3.4400000000000062</c:v>
                </c:pt>
                <c:pt idx="931">
                  <c:v>3.4480000000000062</c:v>
                </c:pt>
                <c:pt idx="932">
                  <c:v>3.4560000000000062</c:v>
                </c:pt>
                <c:pt idx="933">
                  <c:v>3.4640000000000062</c:v>
                </c:pt>
                <c:pt idx="934">
                  <c:v>3.4720000000000062</c:v>
                </c:pt>
                <c:pt idx="935">
                  <c:v>3.4800000000000062</c:v>
                </c:pt>
                <c:pt idx="936">
                  <c:v>3.4880000000000062</c:v>
                </c:pt>
                <c:pt idx="937">
                  <c:v>3.4960000000000062</c:v>
                </c:pt>
                <c:pt idx="938">
                  <c:v>3.5040000000000062</c:v>
                </c:pt>
                <c:pt idx="939">
                  <c:v>3.5120000000000062</c:v>
                </c:pt>
                <c:pt idx="940">
                  <c:v>3.5200000000000062</c:v>
                </c:pt>
                <c:pt idx="941">
                  <c:v>3.5280000000000062</c:v>
                </c:pt>
                <c:pt idx="942">
                  <c:v>3.5360000000000062</c:v>
                </c:pt>
                <c:pt idx="943">
                  <c:v>3.5440000000000063</c:v>
                </c:pt>
                <c:pt idx="944">
                  <c:v>3.5520000000000063</c:v>
                </c:pt>
                <c:pt idx="945">
                  <c:v>3.5600000000000063</c:v>
                </c:pt>
                <c:pt idx="946">
                  <c:v>3.5680000000000063</c:v>
                </c:pt>
                <c:pt idx="947">
                  <c:v>3.5760000000000063</c:v>
                </c:pt>
                <c:pt idx="948">
                  <c:v>3.5840000000000063</c:v>
                </c:pt>
                <c:pt idx="949">
                  <c:v>3.5920000000000063</c:v>
                </c:pt>
                <c:pt idx="950">
                  <c:v>3.6000000000000063</c:v>
                </c:pt>
                <c:pt idx="951">
                  <c:v>3.6080000000000063</c:v>
                </c:pt>
                <c:pt idx="952">
                  <c:v>3.6160000000000063</c:v>
                </c:pt>
                <c:pt idx="953">
                  <c:v>3.6240000000000063</c:v>
                </c:pt>
                <c:pt idx="954">
                  <c:v>3.6320000000000063</c:v>
                </c:pt>
                <c:pt idx="955">
                  <c:v>3.6400000000000063</c:v>
                </c:pt>
                <c:pt idx="956">
                  <c:v>3.6480000000000063</c:v>
                </c:pt>
                <c:pt idx="957">
                  <c:v>3.6560000000000064</c:v>
                </c:pt>
                <c:pt idx="958">
                  <c:v>3.6640000000000064</c:v>
                </c:pt>
                <c:pt idx="959">
                  <c:v>3.6720000000000064</c:v>
                </c:pt>
                <c:pt idx="960">
                  <c:v>3.6800000000000064</c:v>
                </c:pt>
                <c:pt idx="961">
                  <c:v>3.6880000000000064</c:v>
                </c:pt>
                <c:pt idx="962">
                  <c:v>3.6960000000000064</c:v>
                </c:pt>
                <c:pt idx="963">
                  <c:v>3.7040000000000064</c:v>
                </c:pt>
                <c:pt idx="964">
                  <c:v>3.7120000000000064</c:v>
                </c:pt>
                <c:pt idx="965">
                  <c:v>3.7200000000000064</c:v>
                </c:pt>
                <c:pt idx="966">
                  <c:v>3.7280000000000064</c:v>
                </c:pt>
                <c:pt idx="967">
                  <c:v>3.7360000000000064</c:v>
                </c:pt>
                <c:pt idx="968">
                  <c:v>3.7440000000000064</c:v>
                </c:pt>
                <c:pt idx="969">
                  <c:v>3.7520000000000064</c:v>
                </c:pt>
                <c:pt idx="970">
                  <c:v>3.7600000000000064</c:v>
                </c:pt>
                <c:pt idx="971">
                  <c:v>3.7680000000000065</c:v>
                </c:pt>
                <c:pt idx="972">
                  <c:v>3.7760000000000065</c:v>
                </c:pt>
                <c:pt idx="973">
                  <c:v>3.7840000000000065</c:v>
                </c:pt>
                <c:pt idx="974">
                  <c:v>3.7920000000000065</c:v>
                </c:pt>
                <c:pt idx="975">
                  <c:v>3.8000000000000065</c:v>
                </c:pt>
                <c:pt idx="976">
                  <c:v>3.8080000000000065</c:v>
                </c:pt>
                <c:pt idx="977">
                  <c:v>3.8160000000000065</c:v>
                </c:pt>
                <c:pt idx="978">
                  <c:v>3.8240000000000065</c:v>
                </c:pt>
                <c:pt idx="979">
                  <c:v>3.8320000000000065</c:v>
                </c:pt>
                <c:pt idx="980">
                  <c:v>3.8400000000000065</c:v>
                </c:pt>
                <c:pt idx="981">
                  <c:v>3.8480000000000065</c:v>
                </c:pt>
                <c:pt idx="982">
                  <c:v>3.8560000000000065</c:v>
                </c:pt>
                <c:pt idx="983">
                  <c:v>3.8640000000000065</c:v>
                </c:pt>
                <c:pt idx="984">
                  <c:v>3.8720000000000065</c:v>
                </c:pt>
                <c:pt idx="985">
                  <c:v>3.8800000000000066</c:v>
                </c:pt>
                <c:pt idx="986">
                  <c:v>3.8880000000000066</c:v>
                </c:pt>
                <c:pt idx="987">
                  <c:v>3.8960000000000066</c:v>
                </c:pt>
                <c:pt idx="988">
                  <c:v>3.9040000000000066</c:v>
                </c:pt>
                <c:pt idx="989">
                  <c:v>3.9120000000000066</c:v>
                </c:pt>
                <c:pt idx="990">
                  <c:v>3.9200000000000066</c:v>
                </c:pt>
                <c:pt idx="991">
                  <c:v>3.9280000000000066</c:v>
                </c:pt>
                <c:pt idx="992">
                  <c:v>3.9360000000000066</c:v>
                </c:pt>
                <c:pt idx="993">
                  <c:v>3.9440000000000066</c:v>
                </c:pt>
                <c:pt idx="994">
                  <c:v>3.9520000000000066</c:v>
                </c:pt>
                <c:pt idx="995">
                  <c:v>3.9600000000000066</c:v>
                </c:pt>
                <c:pt idx="996">
                  <c:v>3.9680000000000066</c:v>
                </c:pt>
                <c:pt idx="997">
                  <c:v>3.9760000000000066</c:v>
                </c:pt>
                <c:pt idx="998">
                  <c:v>3.9840000000000066</c:v>
                </c:pt>
                <c:pt idx="999">
                  <c:v>3.9920000000000067</c:v>
                </c:pt>
                <c:pt idx="1000">
                  <c:v>4.0000000000000062</c:v>
                </c:pt>
              </c:numCache>
            </c:numRef>
          </c:xVal>
          <c:yVal>
            <c:numRef>
              <c:f>'d picture'!$AK$10:$AK$1010</c:f>
              <c:numCache>
                <c:formatCode>General</c:formatCode>
                <c:ptCount val="1001"/>
                <c:pt idx="0">
                  <c:v>3.5259568236744535E-4</c:v>
                </c:pt>
                <c:pt idx="1">
                  <c:v>3.6332219305176768E-4</c:v>
                </c:pt>
                <c:pt idx="2">
                  <c:v>3.7435106168914189E-4</c:v>
                </c:pt>
                <c:pt idx="3">
                  <c:v>3.8569003346543881E-4</c:v>
                </c:pt>
                <c:pt idx="4">
                  <c:v>3.9734702798149059E-4</c:v>
                </c:pt>
                <c:pt idx="5">
                  <c:v>4.0933014247807877E-4</c:v>
                </c:pt>
                <c:pt idx="6">
                  <c:v>4.21647655100799E-4</c:v>
                </c:pt>
                <c:pt idx="7">
                  <c:v>4.3430802820473716E-4</c:v>
                </c:pt>
                <c:pt idx="8">
                  <c:v>4.4731991169886793E-4</c:v>
                </c:pt>
                <c:pt idx="9">
                  <c:v>4.6069214643006931E-4</c:v>
                </c:pt>
                <c:pt idx="10">
                  <c:v>4.7443376760662054E-4</c:v>
                </c:pt>
                <c:pt idx="11">
                  <c:v>4.8855400826103962E-4</c:v>
                </c:pt>
                <c:pt idx="12">
                  <c:v>5.0306230275207415E-4</c:v>
                </c:pt>
                <c:pt idx="13">
                  <c:v>5.1796829030566552E-4</c:v>
                </c:pt>
                <c:pt idx="14">
                  <c:v>5.3328181859464891E-4</c:v>
                </c:pt>
                <c:pt idx="15">
                  <c:v>5.4901294735695859E-4</c:v>
                </c:pt>
                <c:pt idx="16">
                  <c:v>5.6517195205206452E-4</c:v>
                </c:pt>
                <c:pt idx="17">
                  <c:v>5.8176932755534016E-4</c:v>
                </c:pt>
                <c:pt idx="18">
                  <c:v>5.9881579189005271E-4</c:v>
                </c:pt>
                <c:pt idx="19">
                  <c:v>6.1632228999661872E-4</c:v>
                </c:pt>
                <c:pt idx="20">
                  <c:v>6.342999975387575E-4</c:v>
                </c:pt>
                <c:pt idx="21">
                  <c:v>6.5276032474613651E-4</c:v>
                </c:pt>
                <c:pt idx="22">
                  <c:v>6.7171492029307993E-4</c:v>
                </c:pt>
                <c:pt idx="23">
                  <c:v>6.9117567521288553E-4</c:v>
                </c:pt>
                <c:pt idx="24">
                  <c:v>7.1115472684725315E-4</c:v>
                </c:pt>
                <c:pt idx="25">
                  <c:v>7.3166446283031079E-4</c:v>
                </c:pt>
                <c:pt idx="26">
                  <c:v>7.5271752510669377E-4</c:v>
                </c:pt>
                <c:pt idx="27">
                  <c:v>7.7432681398308199E-4</c:v>
                </c:pt>
                <c:pt idx="28">
                  <c:v>7.9650549221260106E-4</c:v>
                </c:pt>
                <c:pt idx="29">
                  <c:v>8.1926698911142311E-4</c:v>
                </c:pt>
                <c:pt idx="30">
                  <c:v>8.4262500470690257E-4</c:v>
                </c:pt>
                <c:pt idx="31">
                  <c:v>8.6659351391652991E-4</c:v>
                </c:pt>
                <c:pt idx="32">
                  <c:v>8.9118677075695292E-4</c:v>
                </c:pt>
                <c:pt idx="33">
                  <c:v>9.164193125822895E-4</c:v>
                </c:pt>
                <c:pt idx="34">
                  <c:v>9.4230596435091157E-4</c:v>
                </c:pt>
                <c:pt idx="35">
                  <c:v>9.6886184291984656E-4</c:v>
                </c:pt>
                <c:pt idx="36">
                  <c:v>9.9610236136590835E-4</c:v>
                </c:pt>
                <c:pt idx="37">
                  <c:v>1.0240432333326237E-3</c:v>
                </c:pt>
                <c:pt idx="38">
                  <c:v>1.0527004774020033E-3</c:v>
                </c:pt>
                <c:pt idx="39">
                  <c:v>1.0820904214901351E-3</c:v>
                </c:pt>
                <c:pt idx="40">
                  <c:v>1.1122297072655668E-3</c:v>
                </c:pt>
                <c:pt idx="41">
                  <c:v>1.1431352945893978E-3</c:v>
                </c:pt>
                <c:pt idx="42">
                  <c:v>1.1748244659759558E-3</c:v>
                </c:pt>
                <c:pt idx="43">
                  <c:v>1.2073148310728836E-3</c:v>
                </c:pt>
                <c:pt idx="44">
                  <c:v>1.2406243311594517E-3</c:v>
                </c:pt>
                <c:pt idx="45">
                  <c:v>1.2747712436618349E-3</c:v>
                </c:pt>
                <c:pt idx="46">
                  <c:v>1.3097741866840713E-3</c:v>
                </c:pt>
                <c:pt idx="47">
                  <c:v>1.3456521235533712E-3</c:v>
                </c:pt>
                <c:pt idx="48">
                  <c:v>1.3824243673784011E-3</c:v>
                </c:pt>
                <c:pt idx="49">
                  <c:v>1.4201105856191257E-3</c:v>
                </c:pt>
                <c:pt idx="50">
                  <c:v>1.458730804666747E-3</c:v>
                </c:pt>
                <c:pt idx="51">
                  <c:v>1.4983054144322315E-3</c:v>
                </c:pt>
                <c:pt idx="52">
                  <c:v>1.5388551729418702E-3</c:v>
                </c:pt>
                <c:pt idx="53">
                  <c:v>1.5804012109382928E-3</c:v>
                </c:pt>
                <c:pt idx="54">
                  <c:v>1.6229650364852593E-3</c:v>
                </c:pt>
                <c:pt idx="55">
                  <c:v>1.6665685395745825E-3</c:v>
                </c:pt>
                <c:pt idx="56">
                  <c:v>1.7112339967334008E-3</c:v>
                </c:pt>
                <c:pt idx="57">
                  <c:v>1.7569840756300574E-3</c:v>
                </c:pt>
                <c:pt idx="58">
                  <c:v>1.8038418396767307E-3</c:v>
                </c:pt>
                <c:pt idx="59">
                  <c:v>1.8518307526269545E-3</c:v>
                </c:pt>
                <c:pt idx="60">
                  <c:v>1.9009746831660818E-3</c:v>
                </c:pt>
                <c:pt idx="61">
                  <c:v>1.9512979094927438E-3</c:v>
                </c:pt>
                <c:pt idx="62">
                  <c:v>2.0028251238892575E-3</c:v>
                </c:pt>
                <c:pt idx="63">
                  <c:v>2.0555814372789395E-3</c:v>
                </c:pt>
                <c:pt idx="64">
                  <c:v>2.1095923837681691E-3</c:v>
                </c:pt>
                <c:pt idx="65">
                  <c:v>2.1648839251710659E-3</c:v>
                </c:pt>
                <c:pt idx="66">
                  <c:v>2.2214824555145353E-3</c:v>
                </c:pt>
                <c:pt idx="67">
                  <c:v>2.2794148055214482E-3</c:v>
                </c:pt>
                <c:pt idx="68">
                  <c:v>2.3387082470695902E-3</c:v>
                </c:pt>
                <c:pt idx="69">
                  <c:v>2.3993904976240695E-3</c:v>
                </c:pt>
                <c:pt idx="70">
                  <c:v>2.4614897246407045E-3</c:v>
                </c:pt>
                <c:pt idx="71">
                  <c:v>2.5250345499379851E-3</c:v>
                </c:pt>
                <c:pt idx="72">
                  <c:v>2.590054054035043E-3</c:v>
                </c:pt>
                <c:pt idx="73">
                  <c:v>2.6565777804531043E-3</c:v>
                </c:pt>
                <c:pt idx="74">
                  <c:v>2.7246357399777613E-3</c:v>
                </c:pt>
                <c:pt idx="75">
                  <c:v>2.794258414879452E-3</c:v>
                </c:pt>
                <c:pt idx="76">
                  <c:v>2.8654767630893795E-3</c:v>
                </c:pt>
                <c:pt idx="77">
                  <c:v>2.9383222223281634E-3</c:v>
                </c:pt>
                <c:pt idx="78">
                  <c:v>3.0128267141843455E-3</c:v>
                </c:pt>
                <c:pt idx="79">
                  <c:v>3.0890226481399418E-3</c:v>
                </c:pt>
                <c:pt idx="80">
                  <c:v>3.1669429255400837E-3</c:v>
                </c:pt>
                <c:pt idx="81">
                  <c:v>3.2466209435038414E-3</c:v>
                </c:pt>
                <c:pt idx="82">
                  <c:v>3.3280905987731514E-3</c:v>
                </c:pt>
                <c:pt idx="83">
                  <c:v>3.4113862914968694E-3</c:v>
                </c:pt>
                <c:pt idx="84">
                  <c:v>3.4965429289467637E-3</c:v>
                </c:pt>
                <c:pt idx="85">
                  <c:v>3.583595929162367E-3</c:v>
                </c:pt>
                <c:pt idx="86">
                  <c:v>3.6725812245214512E-3</c:v>
                </c:pt>
                <c:pt idx="87">
                  <c:v>3.7635352652328805E-3</c:v>
                </c:pt>
                <c:pt idx="88">
                  <c:v>3.8564950227485844E-3</c:v>
                </c:pt>
                <c:pt idx="89">
                  <c:v>3.9514979930912464E-3</c:v>
                </c:pt>
                <c:pt idx="90">
                  <c:v>4.048582200094436E-3</c:v>
                </c:pt>
                <c:pt idx="91">
                  <c:v>4.1477861985516496E-3</c:v>
                </c:pt>
                <c:pt idx="92">
                  <c:v>4.249149077270864E-3</c:v>
                </c:pt>
                <c:pt idx="93">
                  <c:v>4.3527104620310775E-3</c:v>
                </c:pt>
                <c:pt idx="94">
                  <c:v>4.4585105184372538E-3</c:v>
                </c:pt>
                <c:pt idx="95">
                  <c:v>4.5665899546701565E-3</c:v>
                </c:pt>
                <c:pt idx="96">
                  <c:v>4.6769900241273319E-3</c:v>
                </c:pt>
                <c:pt idx="97">
                  <c:v>4.7897525279516932E-3</c:v>
                </c:pt>
                <c:pt idx="98">
                  <c:v>4.9049198174438702E-3</c:v>
                </c:pt>
                <c:pt idx="99">
                  <c:v>5.0225347963546926E-3</c:v>
                </c:pt>
                <c:pt idx="100">
                  <c:v>5.1426409230539514E-3</c:v>
                </c:pt>
                <c:pt idx="101">
                  <c:v>5.26528221257165E-3</c:v>
                </c:pt>
                <c:pt idx="102">
                  <c:v>5.3905032385078867E-3</c:v>
                </c:pt>
                <c:pt idx="103">
                  <c:v>5.5183491348074895E-3</c:v>
                </c:pt>
                <c:pt idx="104">
                  <c:v>5.6488655973954919E-3</c:v>
                </c:pt>
                <c:pt idx="105">
                  <c:v>5.7820988856694868E-3</c:v>
                </c:pt>
                <c:pt idx="106">
                  <c:v>5.9180958238449159E-3</c:v>
                </c:pt>
                <c:pt idx="107">
                  <c:v>6.0569038021492409E-3</c:v>
                </c:pt>
                <c:pt idx="108">
                  <c:v>6.1985707778610599E-3</c:v>
                </c:pt>
                <c:pt idx="109">
                  <c:v>6.3431452761899881E-3</c:v>
                </c:pt>
                <c:pt idx="110">
                  <c:v>6.4906763909933799E-3</c:v>
                </c:pt>
                <c:pt idx="111">
                  <c:v>6.6412137853256326E-3</c:v>
                </c:pt>
                <c:pt idx="112">
                  <c:v>6.7948076918161208E-3</c:v>
                </c:pt>
                <c:pt idx="113">
                  <c:v>6.9515089128714775E-3</c:v>
                </c:pt>
                <c:pt idx="114">
                  <c:v>7.1113688206981829E-3</c:v>
                </c:pt>
                <c:pt idx="115">
                  <c:v>7.2744393571412365E-3</c:v>
                </c:pt>
                <c:pt idx="116">
                  <c:v>7.4407730333347476E-3</c:v>
                </c:pt>
                <c:pt idx="117">
                  <c:v>7.6104229291602691E-3</c:v>
                </c:pt>
                <c:pt idx="118">
                  <c:v>7.7834426925086466E-3</c:v>
                </c:pt>
                <c:pt idx="119">
                  <c:v>7.9598865383411991E-3</c:v>
                </c:pt>
                <c:pt idx="120">
                  <c:v>8.1398092475460423E-3</c:v>
                </c:pt>
                <c:pt idx="121">
                  <c:v>8.3232661655852653E-3</c:v>
                </c:pt>
                <c:pt idx="122">
                  <c:v>8.5103132009288485E-3</c:v>
                </c:pt>
                <c:pt idx="123">
                  <c:v>8.7010068232710094E-3</c:v>
                </c:pt>
                <c:pt idx="124">
                  <c:v>8.8954040615248572E-3</c:v>
                </c:pt>
                <c:pt idx="125">
                  <c:v>9.0935625015910772E-3</c:v>
                </c:pt>
                <c:pt idx="126">
                  <c:v>9.2955402838964737E-3</c:v>
                </c:pt>
                <c:pt idx="127">
                  <c:v>9.5013961006982436E-3</c:v>
                </c:pt>
                <c:pt idx="128">
                  <c:v>9.7111891931496823E-3</c:v>
                </c:pt>
                <c:pt idx="129">
                  <c:v>9.924979348123298E-3</c:v>
                </c:pt>
                <c:pt idx="130">
                  <c:v>1.0142826894787103E-2</c:v>
                </c:pt>
                <c:pt idx="131">
                  <c:v>1.0364792700929997E-2</c:v>
                </c:pt>
                <c:pt idx="132">
                  <c:v>1.0590938169032149E-2</c:v>
                </c:pt>
                <c:pt idx="133">
                  <c:v>1.0821325232076294E-2</c:v>
                </c:pt>
                <c:pt idx="134">
                  <c:v>1.1056016349095889E-2</c:v>
                </c:pt>
                <c:pt idx="135">
                  <c:v>1.1295074500456165E-2</c:v>
                </c:pt>
                <c:pt idx="136">
                  <c:v>1.1538563182864022E-2</c:v>
                </c:pt>
                <c:pt idx="137">
                  <c:v>1.1786546404102906E-2</c:v>
                </c:pt>
                <c:pt idx="138">
                  <c:v>1.203908867748868E-2</c:v>
                </c:pt>
                <c:pt idx="139">
                  <c:v>1.2296255016042699E-2</c:v>
                </c:pt>
                <c:pt idx="140">
                  <c:v>1.2558110926378237E-2</c:v>
                </c:pt>
                <c:pt idx="141">
                  <c:v>1.2824722402296479E-2</c:v>
                </c:pt>
                <c:pt idx="142">
                  <c:v>1.3096155918088418E-2</c:v>
                </c:pt>
                <c:pt idx="143">
                  <c:v>1.3372478421538938E-2</c:v>
                </c:pt>
                <c:pt idx="144">
                  <c:v>1.365375732662949E-2</c:v>
                </c:pt>
                <c:pt idx="145">
                  <c:v>1.3940060505935853E-2</c:v>
                </c:pt>
                <c:pt idx="146">
                  <c:v>1.4231456282717405E-2</c:v>
                </c:pt>
                <c:pt idx="147">
                  <c:v>1.4528013422694597E-2</c:v>
                </c:pt>
                <c:pt idx="148">
                  <c:v>1.4829801125511192E-2</c:v>
                </c:pt>
                <c:pt idx="149">
                  <c:v>1.5136889015878048E-2</c:v>
                </c:pt>
                <c:pt idx="150">
                  <c:v>1.5449347134395212E-2</c:v>
                </c:pt>
                <c:pt idx="151">
                  <c:v>1.5767245928049234E-2</c:v>
                </c:pt>
                <c:pt idx="152">
                  <c:v>1.6090656240382605E-2</c:v>
                </c:pt>
                <c:pt idx="153">
                  <c:v>1.6419649301332457E-2</c:v>
                </c:pt>
                <c:pt idx="154">
                  <c:v>1.6754296716735586E-2</c:v>
                </c:pt>
                <c:pt idx="155">
                  <c:v>1.7094670457496988E-2</c:v>
                </c:pt>
                <c:pt idx="156">
                  <c:v>1.744084284841942E-2</c:v>
                </c:pt>
                <c:pt idx="157">
                  <c:v>1.7792886556691142E-2</c:v>
                </c:pt>
                <c:pt idx="158">
                  <c:v>1.8150874580029602E-2</c:v>
                </c:pt>
                <c:pt idx="159">
                  <c:v>1.8514880234478517E-2</c:v>
                </c:pt>
                <c:pt idx="160">
                  <c:v>1.8884977141856225E-2</c:v>
                </c:pt>
                <c:pt idx="161">
                  <c:v>1.9261239216853021E-2</c:v>
                </c:pt>
                <c:pt idx="162">
                  <c:v>1.9643740653775613E-2</c:v>
                </c:pt>
                <c:pt idx="163">
                  <c:v>2.0032555912936591E-2</c:v>
                </c:pt>
                <c:pt idx="164">
                  <c:v>2.0427759706687289E-2</c:v>
                </c:pt>
                <c:pt idx="165">
                  <c:v>2.0829426985092249E-2</c:v>
                </c:pt>
                <c:pt idx="166">
                  <c:v>2.123763292124382E-2</c:v>
                </c:pt>
                <c:pt idx="167">
                  <c:v>2.1652452896215476E-2</c:v>
                </c:pt>
                <c:pt idx="168">
                  <c:v>2.2073962483652506E-2</c:v>
                </c:pt>
                <c:pt idx="169">
                  <c:v>2.2502237433999119E-2</c:v>
                </c:pt>
                <c:pt idx="170">
                  <c:v>2.2937353658360762E-2</c:v>
                </c:pt>
                <c:pt idx="171">
                  <c:v>2.3379387212000981E-2</c:v>
                </c:pt>
                <c:pt idx="172">
                  <c:v>2.3828414277472038E-2</c:v>
                </c:pt>
                <c:pt idx="173">
                  <c:v>2.4284511147378764E-2</c:v>
                </c:pt>
                <c:pt idx="174">
                  <c:v>2.4747754206775319E-2</c:v>
                </c:pt>
                <c:pt idx="175">
                  <c:v>2.5218219915194469E-2</c:v>
                </c:pt>
                <c:pt idx="176">
                  <c:v>2.5695984788309527E-2</c:v>
                </c:pt>
                <c:pt idx="177">
                  <c:v>2.6181125379228981E-2</c:v>
                </c:pt>
                <c:pt idx="178">
                  <c:v>2.6673718259423884E-2</c:v>
                </c:pt>
                <c:pt idx="179">
                  <c:v>2.7173839999288799E-2</c:v>
                </c:pt>
                <c:pt idx="180">
                  <c:v>2.7681567148336653E-2</c:v>
                </c:pt>
                <c:pt idx="181">
                  <c:v>2.8196976215028265E-2</c:v>
                </c:pt>
                <c:pt idx="182">
                  <c:v>2.8720143646237817E-2</c:v>
                </c:pt>
                <c:pt idx="183">
                  <c:v>2.9251145806355031E-2</c:v>
                </c:pt>
                <c:pt idx="184">
                  <c:v>2.9790058956025642E-2</c:v>
                </c:pt>
                <c:pt idx="185">
                  <c:v>3.0336959230531726E-2</c:v>
                </c:pt>
                <c:pt idx="186">
                  <c:v>3.0891922617813254E-2</c:v>
                </c:pt>
                <c:pt idx="187">
                  <c:v>3.1455024936133329E-2</c:v>
                </c:pt>
                <c:pt idx="188">
                  <c:v>3.2026341811388699E-2</c:v>
                </c:pt>
                <c:pt idx="189">
                  <c:v>3.2605948654068136E-2</c:v>
                </c:pt>
                <c:pt idx="190">
                  <c:v>3.319392063586122E-2</c:v>
                </c:pt>
                <c:pt idx="191">
                  <c:v>3.3790332665919923E-2</c:v>
                </c:pt>
                <c:pt idx="192">
                  <c:v>3.4395259366776371E-2</c:v>
                </c:pt>
                <c:pt idx="193">
                  <c:v>3.5008775049919491E-2</c:v>
                </c:pt>
                <c:pt idx="194">
                  <c:v>3.5630953691034174E-2</c:v>
                </c:pt>
                <c:pt idx="195">
                  <c:v>3.6261868904906326E-2</c:v>
                </c:pt>
                <c:pt idx="196">
                  <c:v>3.6901593919997595E-2</c:v>
                </c:pt>
                <c:pt idx="197">
                  <c:v>3.7550201552693917E-2</c:v>
                </c:pt>
                <c:pt idx="198">
                  <c:v>3.8207764181231813E-2</c:v>
                </c:pt>
                <c:pt idx="199">
                  <c:v>3.8874353719307066E-2</c:v>
                </c:pt>
                <c:pt idx="200">
                  <c:v>3.9550041589370324E-2</c:v>
                </c:pt>
                <c:pt idx="201">
                  <c:v>4.0234898695614536E-2</c:v>
                </c:pt>
                <c:pt idx="202">
                  <c:v>4.0928995396659167E-2</c:v>
                </c:pt>
                <c:pt idx="203">
                  <c:v>4.1632401477936828E-2</c:v>
                </c:pt>
                <c:pt idx="204">
                  <c:v>4.2345186123787404E-2</c:v>
                </c:pt>
                <c:pt idx="205">
                  <c:v>4.3067417889265866E-2</c:v>
                </c:pt>
                <c:pt idx="206">
                  <c:v>4.3799164671669485E-2</c:v>
                </c:pt>
                <c:pt idx="207">
                  <c:v>4.454049368179084E-2</c:v>
                </c:pt>
                <c:pt idx="208">
                  <c:v>4.529147141490291E-2</c:v>
                </c:pt>
                <c:pt idx="209">
                  <c:v>4.6052163621483178E-2</c:v>
                </c:pt>
                <c:pt idx="210">
                  <c:v>4.682263527768328E-2</c:v>
                </c:pt>
                <c:pt idx="211">
                  <c:v>4.7602950555551894E-2</c:v>
                </c:pt>
                <c:pt idx="212">
                  <c:v>4.8393172793017608E-2</c:v>
                </c:pt>
                <c:pt idx="213">
                  <c:v>4.9193364463639949E-2</c:v>
                </c:pt>
                <c:pt idx="214">
                  <c:v>5.0003587146136078E-2</c:v>
                </c:pt>
                <c:pt idx="215">
                  <c:v>5.0823901493691329E-2</c:v>
                </c:pt>
                <c:pt idx="216">
                  <c:v>5.1654367203061852E-2</c:v>
                </c:pt>
                <c:pt idx="217">
                  <c:v>5.2495042983478089E-2</c:v>
                </c:pt>
                <c:pt idx="218">
                  <c:v>5.3345986525357457E-2</c:v>
                </c:pt>
                <c:pt idx="219">
                  <c:v>5.4207254468835731E-2</c:v>
                </c:pt>
                <c:pt idx="220">
                  <c:v>5.5078902372125933E-2</c:v>
                </c:pt>
                <c:pt idx="221">
                  <c:v>5.5960984679714436E-2</c:v>
                </c:pt>
                <c:pt idx="222">
                  <c:v>5.6853554690403825E-2</c:v>
                </c:pt>
                <c:pt idx="223">
                  <c:v>5.7756664525212477E-2</c:v>
                </c:pt>
                <c:pt idx="224">
                  <c:v>5.8670365095141092E-2</c:v>
                </c:pt>
                <c:pt idx="225">
                  <c:v>5.9594706068816256E-2</c:v>
                </c:pt>
                <c:pt idx="226">
                  <c:v>6.0529735840021845E-2</c:v>
                </c:pt>
                <c:pt idx="227">
                  <c:v>6.147550149512912E-2</c:v>
                </c:pt>
                <c:pt idx="228">
                  <c:v>6.2432048780436074E-2</c:v>
                </c:pt>
                <c:pt idx="229">
                  <c:v>6.3399422069427919E-2</c:v>
                </c:pt>
                <c:pt idx="230">
                  <c:v>6.4377664329969539E-2</c:v>
                </c:pt>
                <c:pt idx="231">
                  <c:v>6.5366817091441917E-2</c:v>
                </c:pt>
                <c:pt idx="232">
                  <c:v>6.6366920411834229E-2</c:v>
                </c:pt>
                <c:pt idx="233">
                  <c:v>6.7378012844803645E-2</c:v>
                </c:pt>
                <c:pt idx="234">
                  <c:v>6.8400131406715275E-2</c:v>
                </c:pt>
                <c:pt idx="235">
                  <c:v>6.9433311543674395E-2</c:v>
                </c:pt>
                <c:pt idx="236">
                  <c:v>7.0477587098563915E-2</c:v>
                </c:pt>
                <c:pt idx="237">
                  <c:v>7.1532990278099562E-2</c:v>
                </c:pt>
                <c:pt idx="238">
                  <c:v>7.2599551619916255E-2</c:v>
                </c:pt>
                <c:pt idx="239">
                  <c:v>7.367729995969842E-2</c:v>
                </c:pt>
                <c:pt idx="240">
                  <c:v>7.4766262398367839E-2</c:v>
                </c:pt>
                <c:pt idx="241">
                  <c:v>7.5866464269342682E-2</c:v>
                </c:pt>
                <c:pt idx="242">
                  <c:v>7.6977929105881152E-2</c:v>
                </c:pt>
                <c:pt idx="243">
                  <c:v>7.8100678608523863E-2</c:v>
                </c:pt>
                <c:pt idx="244">
                  <c:v>7.9234732612649073E-2</c:v>
                </c:pt>
                <c:pt idx="245">
                  <c:v>8.0380109056154406E-2</c:v>
                </c:pt>
                <c:pt idx="246">
                  <c:v>8.1536823947280387E-2</c:v>
                </c:pt>
                <c:pt idx="247">
                  <c:v>8.2704891332589292E-2</c:v>
                </c:pt>
                <c:pt idx="248">
                  <c:v>8.3884323265114635E-2</c:v>
                </c:pt>
                <c:pt idx="249">
                  <c:v>8.5075129772695587E-2</c:v>
                </c:pt>
                <c:pt idx="250">
                  <c:v>8.6277318826511781E-2</c:v>
                </c:pt>
                <c:pt idx="251">
                  <c:v>8.7490896309832838E-2</c:v>
                </c:pt>
                <c:pt idx="252">
                  <c:v>8.8715865986998349E-2</c:v>
                </c:pt>
                <c:pt idx="253">
                  <c:v>8.9952229472643266E-2</c:v>
                </c:pt>
                <c:pt idx="254">
                  <c:v>9.1199986201184011E-2</c:v>
                </c:pt>
                <c:pt idx="255">
                  <c:v>9.2459133396580934E-2</c:v>
                </c:pt>
                <c:pt idx="256">
                  <c:v>9.3729666042392648E-2</c:v>
                </c:pt>
                <c:pt idx="257">
                  <c:v>9.5011576852137597E-2</c:v>
                </c:pt>
                <c:pt idx="258">
                  <c:v>9.6304856239978934E-2</c:v>
                </c:pt>
                <c:pt idx="259">
                  <c:v>9.7609492291748243E-2</c:v>
                </c:pt>
                <c:pt idx="260">
                  <c:v>9.8925470736324017E-2</c:v>
                </c:pt>
                <c:pt idx="261">
                  <c:v>0.10025277491738069</c:v>
                </c:pt>
                <c:pt idx="262">
                  <c:v>0.10159138576552441</c:v>
                </c:pt>
                <c:pt idx="263">
                  <c:v>0.10294128177083128</c:v>
                </c:pt>
                <c:pt idx="264">
                  <c:v>0.1043024389558041</c:v>
                </c:pt>
                <c:pt idx="265">
                  <c:v>0.10567483084876392</c:v>
                </c:pt>
                <c:pt idx="266">
                  <c:v>0.10705842845769208</c:v>
                </c:pt>
                <c:pt idx="267">
                  <c:v>0.1084532002445391</c:v>
                </c:pt>
                <c:pt idx="268">
                  <c:v>0.10985911210001648</c:v>
                </c:pt>
                <c:pt idx="269">
                  <c:v>0.1112761273188871</c:v>
                </c:pt>
                <c:pt idx="270">
                  <c:v>0.11270420657577089</c:v>
                </c:pt>
                <c:pt idx="271">
                  <c:v>0.11414330790148119</c:v>
                </c:pt>
                <c:pt idx="272">
                  <c:v>0.1155933866599083</c:v>
                </c:pt>
                <c:pt idx="273">
                  <c:v>0.11705439552546561</c:v>
                </c:pt>
                <c:pt idx="274">
                  <c:v>0.11852628446111485</c:v>
                </c:pt>
                <c:pt idx="275">
                  <c:v>0.12000900069698595</c:v>
                </c:pt>
                <c:pt idx="276">
                  <c:v>0.12150248870960702</c:v>
                </c:pt>
                <c:pt idx="277">
                  <c:v>0.12300669020176086</c:v>
                </c:pt>
                <c:pt idx="278">
                  <c:v>0.12452154408298298</c:v>
                </c:pt>
                <c:pt idx="279">
                  <c:v>0.12604698645071691</c:v>
                </c:pt>
                <c:pt idx="280">
                  <c:v>0.12758295057214225</c:v>
                </c:pt>
                <c:pt idx="281">
                  <c:v>0.1291293668666906</c:v>
                </c:pt>
                <c:pt idx="282">
                  <c:v>0.13068616288926488</c:v>
                </c:pt>
                <c:pt idx="283">
                  <c:v>0.13225326331417653</c:v>
                </c:pt>
                <c:pt idx="284">
                  <c:v>0.13383058991981608</c:v>
                </c:pt>
                <c:pt idx="285">
                  <c:v>0.13541806157407166</c:v>
                </c:pt>
                <c:pt idx="286">
                  <c:v>0.13701559422050974</c:v>
                </c:pt>
                <c:pt idx="287">
                  <c:v>0.13862310086533303</c:v>
                </c:pt>
                <c:pt idx="288">
                  <c:v>0.1402404915651293</c:v>
                </c:pt>
                <c:pt idx="289">
                  <c:v>0.14186767341542592</c:v>
                </c:pt>
                <c:pt idx="290">
                  <c:v>0.14350455054006281</c:v>
                </c:pt>
                <c:pt idx="291">
                  <c:v>0.14515102408139871</c:v>
                </c:pt>
                <c:pt idx="292">
                  <c:v>0.14680699219136353</c:v>
                </c:pt>
                <c:pt idx="293">
                  <c:v>0.14847235002336992</c:v>
                </c:pt>
                <c:pt idx="294">
                  <c:v>0.15014698972509749</c:v>
                </c:pt>
                <c:pt idx="295">
                  <c:v>0.1518308004321621</c:v>
                </c:pt>
                <c:pt idx="296">
                  <c:v>0.15352366826268274</c:v>
                </c:pt>
                <c:pt idx="297">
                  <c:v>0.1552254763127584</c:v>
                </c:pt>
                <c:pt idx="298">
                  <c:v>0.15693610465286656</c:v>
                </c:pt>
                <c:pt idx="299">
                  <c:v>0.15865543032519525</c:v>
                </c:pt>
                <c:pt idx="300">
                  <c:v>0.16038332734192004</c:v>
                </c:pt>
                <c:pt idx="301">
                  <c:v>0.16211966668443695</c:v>
                </c:pt>
                <c:pt idx="302">
                  <c:v>0.16386431630356177</c:v>
                </c:pt>
                <c:pt idx="303">
                  <c:v>0.16561714112070705</c:v>
                </c:pt>
                <c:pt idx="304">
                  <c:v>0.16737800303004585</c:v>
                </c:pt>
                <c:pt idx="305">
                  <c:v>0.16914676090167285</c:v>
                </c:pt>
                <c:pt idx="306">
                  <c:v>0.17092327058577203</c:v>
                </c:pt>
                <c:pt idx="307">
                  <c:v>0.17270738491779958</c:v>
                </c:pt>
                <c:pt idx="308">
                  <c:v>0.1744989537246916</c:v>
                </c:pt>
                <c:pt idx="309">
                  <c:v>0.1762978238321041</c:v>
                </c:pt>
                <c:pt idx="310">
                  <c:v>0.17810383907269406</c:v>
                </c:pt>
                <c:pt idx="311">
                  <c:v>0.17991684029544835</c:v>
                </c:pt>
                <c:pt idx="312">
                  <c:v>0.1817366653760685</c:v>
                </c:pt>
                <c:pt idx="313">
                  <c:v>0.18356314922841754</c:v>
                </c:pt>
                <c:pt idx="314">
                  <c:v>0.18539612381703555</c:v>
                </c:pt>
                <c:pt idx="315">
                  <c:v>0.18723541817073</c:v>
                </c:pt>
                <c:pt idx="316">
                  <c:v>0.18908085839724623</c:v>
                </c:pt>
                <c:pt idx="317">
                  <c:v>0.19093226769902305</c:v>
                </c:pt>
                <c:pt idx="318">
                  <c:v>0.19278946639003888</c:v>
                </c:pt>
                <c:pt idx="319">
                  <c:v>0.19465227191375162</c:v>
                </c:pt>
                <c:pt idx="320">
                  <c:v>0.19652049886213704</c:v>
                </c:pt>
                <c:pt idx="321">
                  <c:v>0.19839395899582812</c:v>
                </c:pt>
                <c:pt idx="322">
                  <c:v>0.20027246126535919</c:v>
                </c:pt>
                <c:pt idx="323">
                  <c:v>0.20215581183351619</c:v>
                </c:pt>
                <c:pt idx="324">
                  <c:v>0.20404381409879591</c:v>
                </c:pt>
                <c:pt idx="325">
                  <c:v>0.20593626871997528</c:v>
                </c:pt>
                <c:pt idx="326">
                  <c:v>0.20783297364179132</c:v>
                </c:pt>
                <c:pt idx="327">
                  <c:v>0.20973372412173297</c:v>
                </c:pt>
                <c:pt idx="328">
                  <c:v>0.21163831275794423</c:v>
                </c:pt>
                <c:pt idx="329">
                  <c:v>0.21354652951823799</c:v>
                </c:pt>
                <c:pt idx="330">
                  <c:v>0.21545816177022023</c:v>
                </c:pt>
                <c:pt idx="331">
                  <c:v>0.21737299431252205</c:v>
                </c:pt>
                <c:pt idx="332">
                  <c:v>0.21929080940713841</c:v>
                </c:pt>
                <c:pt idx="333">
                  <c:v>0.22121138681287031</c:v>
                </c:pt>
                <c:pt idx="334">
                  <c:v>0.22313450381986788</c:v>
                </c:pt>
                <c:pt idx="335">
                  <c:v>0.22505993528527021</c:v>
                </c:pt>
                <c:pt idx="336">
                  <c:v>0.22698745366993825</c:v>
                </c:pt>
                <c:pt idx="337">
                  <c:v>0.228916829076276</c:v>
                </c:pt>
                <c:pt idx="338">
                  <c:v>0.23084782928713446</c:v>
                </c:pt>
                <c:pt idx="339">
                  <c:v>0.23278021980579305</c:v>
                </c:pt>
                <c:pt idx="340">
                  <c:v>0.23471376389701232</c:v>
                </c:pt>
                <c:pt idx="341">
                  <c:v>0.23664822262915042</c:v>
                </c:pt>
                <c:pt idx="342">
                  <c:v>0.2385833549173367</c:v>
                </c:pt>
                <c:pt idx="343">
                  <c:v>0.24051891756769458</c:v>
                </c:pt>
                <c:pt idx="344">
                  <c:v>0.24245466532260468</c:v>
                </c:pt>
                <c:pt idx="345">
                  <c:v>0.24439035090700012</c:v>
                </c:pt>
                <c:pt idx="346">
                  <c:v>0.24632572507568345</c:v>
                </c:pt>
                <c:pt idx="347">
                  <c:v>0.24826053666165626</c:v>
                </c:pt>
                <c:pt idx="348">
                  <c:v>0.25019453262545033</c:v>
                </c:pt>
                <c:pt idx="349">
                  <c:v>0.2521274581054494</c:v>
                </c:pt>
                <c:pt idx="350">
                  <c:v>0.25405905646918958</c:v>
                </c:pt>
                <c:pt idx="351">
                  <c:v>0.25598906936562704</c:v>
                </c:pt>
                <c:pt idx="352">
                  <c:v>0.25791723677835965</c:v>
                </c:pt>
                <c:pt idx="353">
                  <c:v>0.25984329707978915</c:v>
                </c:pt>
                <c:pt idx="354">
                  <c:v>0.26176698708621143</c:v>
                </c:pt>
                <c:pt idx="355">
                  <c:v>0.26368804211381874</c:v>
                </c:pt>
                <c:pt idx="356">
                  <c:v>0.26560619603560071</c:v>
                </c:pt>
                <c:pt idx="357">
                  <c:v>0.26752118133912817</c:v>
                </c:pt>
                <c:pt idx="358">
                  <c:v>0.269432729185204</c:v>
                </c:pt>
                <c:pt idx="359">
                  <c:v>0.27134056946736484</c:v>
                </c:pt>
                <c:pt idx="360">
                  <c:v>0.27324443087221684</c:v>
                </c:pt>
                <c:pt idx="361">
                  <c:v>0.27514404094058798</c:v>
                </c:pt>
                <c:pt idx="362">
                  <c:v>0.27703912612947967</c:v>
                </c:pt>
                <c:pt idx="363">
                  <c:v>0.27892941187479869</c:v>
                </c:pt>
                <c:pt idx="364">
                  <c:v>0.28081462265485158</c:v>
                </c:pt>
                <c:pt idx="365">
                  <c:v>0.28269448205458081</c:v>
                </c:pt>
                <c:pt idx="366">
                  <c:v>0.28456871283052521</c:v>
                </c:pt>
                <c:pt idx="367">
                  <c:v>0.28643703697648237</c:v>
                </c:pt>
                <c:pt idx="368">
                  <c:v>0.2882991757898537</c:v>
                </c:pt>
                <c:pt idx="369">
                  <c:v>0.29015484993865093</c:v>
                </c:pt>
                <c:pt idx="370">
                  <c:v>0.29200377952914203</c:v>
                </c:pt>
                <c:pt idx="371">
                  <c:v>0.29384568417411533</c:v>
                </c:pt>
                <c:pt idx="372">
                  <c:v>0.29568028306173927</c:v>
                </c:pt>
                <c:pt idx="373">
                  <c:v>0.29750729502499462</c:v>
                </c:pt>
                <c:pt idx="374">
                  <c:v>0.29932643861165698</c:v>
                </c:pt>
                <c:pt idx="375">
                  <c:v>0.30113743215480498</c:v>
                </c:pt>
                <c:pt idx="376">
                  <c:v>0.30293999384383113</c:v>
                </c:pt>
                <c:pt idx="377">
                  <c:v>0.30473384179593066</c:v>
                </c:pt>
                <c:pt idx="378">
                  <c:v>0.30651869412804322</c:v>
                </c:pt>
                <c:pt idx="379">
                  <c:v>0.30829426902922397</c:v>
                </c:pt>
                <c:pt idx="380">
                  <c:v>0.31006028483341669</c:v>
                </c:pt>
                <c:pt idx="381">
                  <c:v>0.31181646009260505</c:v>
                </c:pt>
                <c:pt idx="382">
                  <c:v>0.31356251365031484</c:v>
                </c:pt>
                <c:pt idx="383">
                  <c:v>0.31529816471544136</c:v>
                </c:pt>
                <c:pt idx="384">
                  <c:v>0.31702313293637568</c:v>
                </c:pt>
                <c:pt idx="385">
                  <c:v>0.31873713847540208</c:v>
                </c:pt>
                <c:pt idx="386">
                  <c:v>0.32043990208334039</c:v>
                </c:pt>
                <c:pt idx="387">
                  <c:v>0.32213114517440528</c:v>
                </c:pt>
                <c:pt idx="388">
                  <c:v>0.32381058990125489</c:v>
                </c:pt>
                <c:pt idx="389">
                  <c:v>0.32547795923020145</c:v>
                </c:pt>
                <c:pt idx="390">
                  <c:v>0.32713297701655503</c:v>
                </c:pt>
                <c:pt idx="391">
                  <c:v>0.32877536808007229</c:v>
                </c:pt>
                <c:pt idx="392">
                  <c:v>0.33040485828048272</c:v>
                </c:pt>
                <c:pt idx="393">
                  <c:v>0.33202117459306185</c:v>
                </c:pt>
                <c:pt idx="394">
                  <c:v>0.33362404518422428</c:v>
                </c:pt>
                <c:pt idx="395">
                  <c:v>0.33521319948710665</c:v>
                </c:pt>
                <c:pt idx="396">
                  <c:v>0.33678836827711145</c:v>
                </c:pt>
                <c:pt idx="397">
                  <c:v>0.33834928374738305</c:v>
                </c:pt>
                <c:pt idx="398">
                  <c:v>0.33989567958418526</c:v>
                </c:pt>
                <c:pt idx="399">
                  <c:v>0.34142729104215258</c:v>
                </c:pt>
                <c:pt idx="400">
                  <c:v>0.3429438550193844</c:v>
                </c:pt>
                <c:pt idx="401">
                  <c:v>0.34444511013235302</c:v>
                </c:pt>
                <c:pt idx="402">
                  <c:v>0.34593079679059541</c:v>
                </c:pt>
                <c:pt idx="403">
                  <c:v>0.34740065727115998</c:v>
                </c:pt>
                <c:pt idx="404">
                  <c:v>0.34885443579277736</c:v>
                </c:pt>
                <c:pt idx="405">
                  <c:v>0.35029187858972632</c:v>
                </c:pt>
                <c:pt idx="406">
                  <c:v>0.35171273398536473</c:v>
                </c:pt>
                <c:pt idx="407">
                  <c:v>0.35311675246529656</c:v>
                </c:pt>
                <c:pt idx="408">
                  <c:v>0.35450368675014371</c:v>
                </c:pt>
                <c:pt idx="409">
                  <c:v>0.35587329186789496</c:v>
                </c:pt>
                <c:pt idx="410">
                  <c:v>0.35722532522580125</c:v>
                </c:pt>
                <c:pt idx="411">
                  <c:v>0.35855954668178835</c:v>
                </c:pt>
                <c:pt idx="412">
                  <c:v>0.35987571861535711</c:v>
                </c:pt>
                <c:pt idx="413">
                  <c:v>0.36117360599794296</c:v>
                </c:pt>
                <c:pt idx="414">
                  <c:v>0.36245297646270463</c:v>
                </c:pt>
                <c:pt idx="415">
                  <c:v>0.36371360037371381</c:v>
                </c:pt>
                <c:pt idx="416">
                  <c:v>0.36495525089451636</c:v>
                </c:pt>
                <c:pt idx="417">
                  <c:v>0.36617770405603706</c:v>
                </c:pt>
                <c:pt idx="418">
                  <c:v>0.3673807388237994</c:v>
                </c:pt>
                <c:pt idx="419">
                  <c:v>0.36856413716443182</c:v>
                </c:pt>
                <c:pt idx="420">
                  <c:v>0.3697276841114327</c:v>
                </c:pt>
                <c:pt idx="421">
                  <c:v>0.37087116783016671</c:v>
                </c:pt>
                <c:pt idx="422">
                  <c:v>0.371994379682064</c:v>
                </c:pt>
                <c:pt idx="423">
                  <c:v>0.37309711428799647</c:v>
                </c:pt>
                <c:pt idx="424">
                  <c:v>0.37417916959080322</c:v>
                </c:pt>
                <c:pt idx="425">
                  <c:v>0.37524034691693825</c:v>
                </c:pt>
                <c:pt idx="426">
                  <c:v>0.37628045103721564</c:v>
                </c:pt>
                <c:pt idx="427">
                  <c:v>0.37729929022662434</c:v>
                </c:pt>
                <c:pt idx="428">
                  <c:v>0.37829667632318831</c:v>
                </c:pt>
                <c:pt idx="429">
                  <c:v>0.37927242478584611</c:v>
                </c:pt>
                <c:pt idx="430">
                  <c:v>0.38022635475132521</c:v>
                </c:pt>
                <c:pt idx="431">
                  <c:v>0.38115828908998645</c:v>
                </c:pt>
                <c:pt idx="432">
                  <c:v>0.38206805446061454</c:v>
                </c:pt>
                <c:pt idx="433">
                  <c:v>0.38295548136413077</c:v>
                </c:pt>
                <c:pt idx="434">
                  <c:v>0.38382040419620483</c:v>
                </c:pt>
                <c:pt idx="435">
                  <c:v>0.38466266129874305</c:v>
                </c:pt>
                <c:pt idx="436">
                  <c:v>0.38548209501022995</c:v>
                </c:pt>
                <c:pt idx="437">
                  <c:v>0.38627855171490177</c:v>
                </c:pt>
                <c:pt idx="438">
                  <c:v>0.3870518818907307</c:v>
                </c:pt>
                <c:pt idx="439">
                  <c:v>0.38780194015619796</c:v>
                </c:pt>
                <c:pt idx="440">
                  <c:v>0.38852858531583612</c:v>
                </c:pt>
                <c:pt idx="441">
                  <c:v>0.38923168040452044</c:v>
                </c:pt>
                <c:pt idx="442">
                  <c:v>0.38991109273048946</c:v>
                </c:pt>
                <c:pt idx="443">
                  <c:v>0.39056669391707599</c:v>
                </c:pt>
                <c:pt idx="444">
                  <c:v>0.39119835994313107</c:v>
                </c:pt>
                <c:pt idx="445">
                  <c:v>0.39180597118212129</c:v>
                </c:pt>
                <c:pt idx="446">
                  <c:v>0.39238941243988412</c:v>
                </c:pt>
                <c:pt idx="447">
                  <c:v>0.39294857299102326</c:v>
                </c:pt>
                <c:pt idx="448">
                  <c:v>0.39348334661392814</c:v>
                </c:pt>
                <c:pt idx="449">
                  <c:v>0.39399363162440298</c:v>
                </c:pt>
                <c:pt idx="450">
                  <c:v>0.39447933090788906</c:v>
                </c:pt>
                <c:pt idx="451">
                  <c:v>0.39494035195026683</c:v>
                </c:pt>
                <c:pt idx="452">
                  <c:v>0.39537660686722459</c:v>
                </c:pt>
                <c:pt idx="453">
                  <c:v>0.39578801243217893</c:v>
                </c:pt>
                <c:pt idx="454">
                  <c:v>0.39617449010273681</c:v>
                </c:pt>
                <c:pt idx="455">
                  <c:v>0.39653596604568592</c:v>
                </c:pt>
                <c:pt idx="456">
                  <c:v>0.39687237116050211</c:v>
                </c:pt>
                <c:pt idx="457">
                  <c:v>0.39718364110136506</c:v>
                </c:pt>
                <c:pt idx="458">
                  <c:v>0.39746971629767031</c:v>
                </c:pt>
                <c:pt idx="459">
                  <c:v>0.39773054197302948</c:v>
                </c:pt>
                <c:pt idx="460">
                  <c:v>0.39796606816275104</c:v>
                </c:pt>
                <c:pt idx="461">
                  <c:v>0.39817624972979176</c:v>
                </c:pt>
                <c:pt idx="462">
                  <c:v>0.39836104637917352</c:v>
                </c:pt>
                <c:pt idx="463">
                  <c:v>0.39852042267085847</c:v>
                </c:pt>
                <c:pt idx="464">
                  <c:v>0.39865434803107641</c:v>
                </c:pt>
                <c:pt idx="465">
                  <c:v>0.39876279676209969</c:v>
                </c:pt>
                <c:pt idx="466">
                  <c:v>0.39884574805046108</c:v>
                </c:pt>
                <c:pt idx="467">
                  <c:v>0.39890318597361157</c:v>
                </c:pt>
                <c:pt idx="468">
                  <c:v>0.39893509950501366</c:v>
                </c:pt>
                <c:pt idx="469">
                  <c:v>0.39894148251766975</c:v>
                </c:pt>
                <c:pt idx="470">
                  <c:v>0.39892233378608211</c:v>
                </c:pt>
                <c:pt idx="471">
                  <c:v>0.39887765698664551</c:v>
                </c:pt>
                <c:pt idx="472">
                  <c:v>0.39880746069647055</c:v>
                </c:pt>
                <c:pt idx="473">
                  <c:v>0.39871175839063949</c:v>
                </c:pt>
                <c:pt idx="474">
                  <c:v>0.39859056843789487</c:v>
                </c:pt>
                <c:pt idx="475">
                  <c:v>0.39844391409476393</c:v>
                </c:pt>
                <c:pt idx="476">
                  <c:v>0.39827182349812018</c:v>
                </c:pt>
                <c:pt idx="477">
                  <c:v>0.39807432965618678</c:v>
                </c:pt>
                <c:pt idx="478">
                  <c:v>0.39785147043798447</c:v>
                </c:pt>
                <c:pt idx="479">
                  <c:v>0.39760328856122967</c:v>
                </c:pt>
                <c:pt idx="480">
                  <c:v>0.39732983157868818</c:v>
                </c:pt>
                <c:pt idx="481">
                  <c:v>0.39703115186298943</c:v>
                </c:pt>
                <c:pt idx="482">
                  <c:v>0.39670730658991016</c:v>
                </c:pt>
                <c:pt idx="483">
                  <c:v>0.39635835772013256</c:v>
                </c:pt>
                <c:pt idx="484">
                  <c:v>0.39598437197948705</c:v>
                </c:pt>
                <c:pt idx="485">
                  <c:v>0.39558542083768716</c:v>
                </c:pt>
                <c:pt idx="486">
                  <c:v>0.3951615804855671</c:v>
                </c:pt>
                <c:pt idx="487">
                  <c:v>0.39471293181083106</c:v>
                </c:pt>
                <c:pt idx="488">
                  <c:v>0.39423956037232566</c:v>
                </c:pt>
                <c:pt idx="489">
                  <c:v>0.39374155637284763</c:v>
                </c:pt>
                <c:pt idx="490">
                  <c:v>0.39321901463049691</c:v>
                </c:pt>
                <c:pt idx="491">
                  <c:v>0.39267203454859023</c:v>
                </c:pt>
                <c:pt idx="492">
                  <c:v>0.39210072008414676</c:v>
                </c:pt>
                <c:pt idx="493">
                  <c:v>0.39150517971496079</c:v>
                </c:pt>
                <c:pt idx="494">
                  <c:v>0.39088552640527563</c:v>
                </c:pt>
                <c:pt idx="495">
                  <c:v>0.39024187757007395</c:v>
                </c:pt>
                <c:pt idx="496">
                  <c:v>0.3895743550380007</c:v>
                </c:pt>
                <c:pt idx="497">
                  <c:v>0.38888308501293439</c:v>
                </c:pt>
                <c:pt idx="498">
                  <c:v>0.38816819803422442</c:v>
                </c:pt>
                <c:pt idx="499">
                  <c:v>0.3874298289356114</c:v>
                </c:pt>
                <c:pt idx="500">
                  <c:v>0.38666811680284885</c:v>
                </c:pt>
                <c:pt idx="501">
                  <c:v>0.38588320493004485</c:v>
                </c:pt>
                <c:pt idx="502">
                  <c:v>0.38507524077474298</c:v>
                </c:pt>
                <c:pt idx="503">
                  <c:v>0.38424437591176175</c:v>
                </c:pt>
                <c:pt idx="504">
                  <c:v>0.38339076598581373</c:v>
                </c:pt>
                <c:pt idx="505">
                  <c:v>0.3825145706629236</c:v>
                </c:pt>
                <c:pt idx="506">
                  <c:v>0.38161595358066841</c:v>
                </c:pt>
                <c:pt idx="507">
                  <c:v>0.38069508229725924</c:v>
                </c:pt>
                <c:pt idx="508">
                  <c:v>0.37975212823948901</c:v>
                </c:pt>
                <c:pt idx="509">
                  <c:v>0.37878726664956691</c:v>
                </c:pt>
                <c:pt idx="510">
                  <c:v>0.37780067653086408</c:v>
                </c:pt>
                <c:pt idx="511">
                  <c:v>0.37679254059259298</c:v>
                </c:pt>
                <c:pt idx="512">
                  <c:v>0.37576304519344511</c:v>
                </c:pt>
                <c:pt idx="513">
                  <c:v>0.37471238028421067</c:v>
                </c:pt>
                <c:pt idx="514">
                  <c:v>0.37364073934940611</c:v>
                </c:pt>
                <c:pt idx="515">
                  <c:v>0.37254831934793287</c:v>
                </c:pt>
                <c:pt idx="516">
                  <c:v>0.37143532065279461</c:v>
                </c:pt>
                <c:pt idx="517">
                  <c:v>0.37030194698989732</c:v>
                </c:pt>
                <c:pt idx="518">
                  <c:v>0.36914840537595939</c:v>
                </c:pt>
                <c:pt idx="519">
                  <c:v>0.36797490605555749</c:v>
                </c:pt>
                <c:pt idx="520">
                  <c:v>0.36678166243733556</c:v>
                </c:pt>
                <c:pt idx="521">
                  <c:v>0.36556889102940332</c:v>
                </c:pt>
                <c:pt idx="522">
                  <c:v>0.36433681137395246</c:v>
                </c:pt>
                <c:pt idx="523">
                  <c:v>0.36308564598111737</c:v>
                </c:pt>
                <c:pt idx="524">
                  <c:v>0.36181562026210862</c:v>
                </c:pt>
                <c:pt idx="525">
                  <c:v>0.36052696246164734</c:v>
                </c:pt>
                <c:pt idx="526">
                  <c:v>0.35921990358972838</c:v>
                </c:pt>
                <c:pt idx="527">
                  <c:v>0.3578946773527415</c:v>
                </c:pt>
                <c:pt idx="528">
                  <c:v>0.35655152008397839</c:v>
                </c:pt>
                <c:pt idx="529">
                  <c:v>0.35519067067355525</c:v>
                </c:pt>
                <c:pt idx="530">
                  <c:v>0.35381237049777897</c:v>
                </c:pt>
                <c:pt idx="531">
                  <c:v>0.35241686334798716</c:v>
                </c:pt>
                <c:pt idx="532">
                  <c:v>0.35100439535889039</c:v>
                </c:pt>
                <c:pt idx="533">
                  <c:v>0.34957521493644639</c:v>
                </c:pt>
                <c:pt idx="534">
                  <c:v>0.34812957268529632</c:v>
                </c:pt>
                <c:pt idx="535">
                  <c:v>0.34666772133579093</c:v>
                </c:pt>
                <c:pt idx="536">
                  <c:v>0.34518991567063861</c:v>
                </c:pt>
                <c:pt idx="537">
                  <c:v>0.34369641245120297</c:v>
                </c:pt>
                <c:pt idx="538">
                  <c:v>0.3421874703434804</c:v>
                </c:pt>
                <c:pt idx="539">
                  <c:v>0.34066334984378832</c:v>
                </c:pt>
                <c:pt idx="540">
                  <c:v>0.3391243132041914</c:v>
                </c:pt>
                <c:pt idx="541">
                  <c:v>0.33757062435769869</c:v>
                </c:pt>
                <c:pt idx="542">
                  <c:v>0.33600254884325814</c:v>
                </c:pt>
                <c:pt idx="543">
                  <c:v>0.33442035373058071</c:v>
                </c:pt>
                <c:pt idx="544">
                  <c:v>0.33282430754482217</c:v>
                </c:pt>
                <c:pt idx="545">
                  <c:v>0.33121468019115219</c:v>
                </c:pt>
                <c:pt idx="546">
                  <c:v>0.32959174287924126</c:v>
                </c:pt>
                <c:pt idx="547">
                  <c:v>0.32795576804769361</c:v>
                </c:pt>
                <c:pt idx="548">
                  <c:v>0.32630702928845517</c:v>
                </c:pt>
                <c:pt idx="549">
                  <c:v>0.32464580127122744</c:v>
                </c:pt>
                <c:pt idx="550">
                  <c:v>0.32297235966791343</c:v>
                </c:pt>
                <c:pt idx="551">
                  <c:v>0.32128698107712739</c:v>
                </c:pt>
                <c:pt idx="552">
                  <c:v>0.31958994294879439</c:v>
                </c:pt>
                <c:pt idx="553">
                  <c:v>0.31788152350886978</c:v>
                </c:pt>
                <c:pt idx="554">
                  <c:v>0.31616200168420638</c:v>
                </c:pt>
                <c:pt idx="555">
                  <c:v>0.31443165702759646</c:v>
                </c:pt>
                <c:pt idx="556">
                  <c:v>0.31269076964301801</c:v>
                </c:pt>
                <c:pt idx="557">
                  <c:v>0.31093962011111131</c:v>
                </c:pt>
                <c:pt idx="558">
                  <c:v>0.30917848941491344</c:v>
                </c:pt>
                <c:pt idx="559">
                  <c:v>0.3074076588658784</c:v>
                </c:pt>
                <c:pt idx="560">
                  <c:v>0.30562741003020899</c:v>
                </c:pt>
                <c:pt idx="561">
                  <c:v>0.30383802465552662</c:v>
                </c:pt>
                <c:pt idx="562">
                  <c:v>0.30203978459790592</c:v>
                </c:pt>
                <c:pt idx="563">
                  <c:v>0.30023297174929958</c:v>
                </c:pt>
                <c:pt idx="564">
                  <c:v>0.29841786796537884</c:v>
                </c:pt>
                <c:pt idx="565">
                  <c:v>0.29659475499381482</c:v>
                </c:pt>
                <c:pt idx="566">
                  <c:v>0.29476391440302596</c:v>
                </c:pt>
                <c:pt idx="567">
                  <c:v>0.29292562751141527</c:v>
                </c:pt>
                <c:pt idx="568">
                  <c:v>0.2910801753171221</c:v>
                </c:pt>
                <c:pt idx="569">
                  <c:v>0.28922783842831196</c:v>
                </c:pt>
                <c:pt idx="570">
                  <c:v>0.28736889699402735</c:v>
                </c:pt>
                <c:pt idx="571">
                  <c:v>0.28550363063562334</c:v>
                </c:pt>
                <c:pt idx="572">
                  <c:v>0.2836323183788097</c:v>
                </c:pt>
                <c:pt idx="573">
                  <c:v>0.28175523858632179</c:v>
                </c:pt>
                <c:pt idx="574">
                  <c:v>0.27987266889124252</c:v>
                </c:pt>
                <c:pt idx="575">
                  <c:v>0.27798488613099548</c:v>
                </c:pt>
                <c:pt idx="576">
                  <c:v>0.27609216628203148</c:v>
                </c:pt>
                <c:pt idx="577">
                  <c:v>0.27419478439522754</c:v>
                </c:pt>
                <c:pt idx="578">
                  <c:v>0.2722930145320191</c:v>
                </c:pt>
                <c:pt idx="579">
                  <c:v>0.27038712970128459</c:v>
                </c:pt>
                <c:pt idx="580">
                  <c:v>0.26847740179700136</c:v>
                </c:pt>
                <c:pt idx="581">
                  <c:v>0.26656410153669152</c:v>
                </c:pt>
                <c:pt idx="582">
                  <c:v>0.26464749840067547</c:v>
                </c:pt>
                <c:pt idx="583">
                  <c:v>0.26272786057215136</c:v>
                </c:pt>
                <c:pt idx="584">
                  <c:v>0.26080545487811641</c:v>
                </c:pt>
                <c:pt idx="585">
                  <c:v>0.25888054673114785</c:v>
                </c:pt>
                <c:pt idx="586">
                  <c:v>0.25695340007205841</c:v>
                </c:pt>
                <c:pt idx="587">
                  <c:v>0.25502427731344302</c:v>
                </c:pt>
                <c:pt idx="588">
                  <c:v>0.25309343928413031</c:v>
                </c:pt>
                <c:pt idx="589">
                  <c:v>0.25116114517455523</c:v>
                </c:pt>
                <c:pt idx="590">
                  <c:v>0.24922765248306489</c:v>
                </c:pt>
                <c:pt idx="591">
                  <c:v>0.24729321696317272</c:v>
                </c:pt>
                <c:pt idx="592">
                  <c:v>0.24535809257177266</c:v>
                </c:pt>
                <c:pt idx="593">
                  <c:v>0.24342253141832654</c:v>
                </c:pt>
                <c:pt idx="594">
                  <c:v>0.24148678371503624</c:v>
                </c:pt>
                <c:pt idx="595">
                  <c:v>0.23955109772801231</c:v>
                </c:pt>
                <c:pt idx="596">
                  <c:v>0.23761571972944875</c:v>
                </c:pt>
                <c:pt idx="597">
                  <c:v>0.23568089395081618</c:v>
                </c:pt>
                <c:pt idx="598">
                  <c:v>0.23374686253708127</c:v>
                </c:pt>
                <c:pt idx="599">
                  <c:v>0.2318138655019627</c:v>
                </c:pt>
                <c:pt idx="600">
                  <c:v>0.22988214068423196</c:v>
                </c:pt>
                <c:pt idx="601">
                  <c:v>0.22795192370506739</c:v>
                </c:pt>
                <c:pt idx="602">
                  <c:v>0.22602344792646845</c:v>
                </c:pt>
                <c:pt idx="603">
                  <c:v>0.22409694441073816</c:v>
                </c:pt>
                <c:pt idx="604">
                  <c:v>0.22217264188103952</c:v>
                </c:pt>
                <c:pt idx="605">
                  <c:v>0.2202507666830322</c:v>
                </c:pt>
                <c:pt idx="606">
                  <c:v>0.21833154274759511</c:v>
                </c:pt>
                <c:pt idx="607">
                  <c:v>0.21641519155463904</c:v>
                </c:pt>
                <c:pt idx="608">
                  <c:v>0.21450193209801527</c:v>
                </c:pt>
                <c:pt idx="609">
                  <c:v>0.21259198085152209</c:v>
                </c:pt>
                <c:pt idx="610">
                  <c:v>0.21068555173601425</c:v>
                </c:pt>
                <c:pt idx="611">
                  <c:v>0.20878285608761707</c:v>
                </c:pt>
                <c:pt idx="612">
                  <c:v>0.20688410262704823</c:v>
                </c:pt>
                <c:pt idx="613">
                  <c:v>0.20498949743004874</c:v>
                </c:pt>
                <c:pt idx="614">
                  <c:v>0.20309924389892392</c:v>
                </c:pt>
                <c:pt idx="615">
                  <c:v>0.20121354273519632</c:v>
                </c:pt>
                <c:pt idx="616">
                  <c:v>0.19933259191336963</c:v>
                </c:pt>
                <c:pt idx="617">
                  <c:v>0.19745658665580423</c:v>
                </c:pt>
                <c:pt idx="618">
                  <c:v>0.19558571940870306</c:v>
                </c:pt>
                <c:pt idx="619">
                  <c:v>0.19372017981920711</c:v>
                </c:pt>
                <c:pt idx="620">
                  <c:v>0.19186015471359832</c:v>
                </c:pt>
                <c:pt idx="621">
                  <c:v>0.19000582807660846</c:v>
                </c:pt>
                <c:pt idx="622">
                  <c:v>0.18815738103183041</c:v>
                </c:pt>
                <c:pt idx="623">
                  <c:v>0.18631499182322955</c:v>
                </c:pt>
                <c:pt idx="624">
                  <c:v>0.18447883579775134</c:v>
                </c:pt>
                <c:pt idx="625">
                  <c:v>0.18264908538902092</c:v>
                </c:pt>
                <c:pt idx="626">
                  <c:v>0.18082591010213062</c:v>
                </c:pt>
                <c:pt idx="627">
                  <c:v>0.17900947649951043</c:v>
                </c:pt>
                <c:pt idx="628">
                  <c:v>0.17719994818787552</c:v>
                </c:pt>
                <c:pt idx="629">
                  <c:v>0.17539748580624606</c:v>
                </c:pt>
                <c:pt idx="630">
                  <c:v>0.17360224701503202</c:v>
                </c:pt>
                <c:pt idx="631">
                  <c:v>0.17181438648617742</c:v>
                </c:pt>
                <c:pt idx="632">
                  <c:v>0.17003405589435602</c:v>
                </c:pt>
                <c:pt idx="633">
                  <c:v>0.16826140390921199</c:v>
                </c:pt>
                <c:pt idx="634">
                  <c:v>0.16649657618863697</c:v>
                </c:pt>
                <c:pt idx="635">
                  <c:v>0.16473971537307586</c:v>
                </c:pt>
                <c:pt idx="636">
                  <c:v>0.16299096108085256</c:v>
                </c:pt>
                <c:pt idx="637">
                  <c:v>0.16125044990450685</c:v>
                </c:pt>
                <c:pt idx="638">
                  <c:v>0.15951831540813316</c:v>
                </c:pt>
                <c:pt idx="639">
                  <c:v>0.15779468812571137</c:v>
                </c:pt>
                <c:pt idx="640">
                  <c:v>0.15607969556041992</c:v>
                </c:pt>
                <c:pt idx="641">
                  <c:v>0.15437346218492112</c:v>
                </c:pt>
                <c:pt idx="642">
                  <c:v>0.15267610944260754</c:v>
                </c:pt>
                <c:pt idx="643">
                  <c:v>0.15098775574979878</c:v>
                </c:pt>
                <c:pt idx="644">
                  <c:v>0.14930851649887789</c:v>
                </c:pt>
                <c:pt idx="645">
                  <c:v>0.14763850406235482</c:v>
                </c:pt>
                <c:pt idx="646">
                  <c:v>0.14597782779784629</c:v>
                </c:pt>
                <c:pt idx="647">
                  <c:v>0.14432659405395926</c:v>
                </c:pt>
                <c:pt idx="648">
                  <c:v>0.14268490617706561</c:v>
                </c:pt>
                <c:pt idx="649">
                  <c:v>0.14105286451895596</c:v>
                </c:pt>
                <c:pt idx="650">
                  <c:v>0.13943056644535934</c:v>
                </c:pt>
                <c:pt idx="651">
                  <c:v>0.13781810634531552</c:v>
                </c:pt>
                <c:pt idx="652">
                  <c:v>0.13621557564138703</c:v>
                </c:pt>
                <c:pt idx="653">
                  <c:v>0.13462306280069725</c:v>
                </c:pt>
                <c:pt idx="654">
                  <c:v>0.13304065334678045</c:v>
                </c:pt>
                <c:pt idx="655">
                  <c:v>0.13146842987223015</c:v>
                </c:pt>
                <c:pt idx="656">
                  <c:v>0.12990647205213168</c:v>
                </c:pt>
                <c:pt idx="657">
                  <c:v>0.12835485665826421</c:v>
                </c:pt>
                <c:pt idx="658">
                  <c:v>0.12681365757405821</c:v>
                </c:pt>
                <c:pt idx="659">
                  <c:v>0.12528294581029339</c:v>
                </c:pt>
                <c:pt idx="660">
                  <c:v>0.12376278952152225</c:v>
                </c:pt>
                <c:pt idx="661">
                  <c:v>0.12225325402320435</c:v>
                </c:pt>
                <c:pt idx="662">
                  <c:v>0.12075440180953625</c:v>
                </c:pt>
                <c:pt idx="663">
                  <c:v>0.11926629257196178</c:v>
                </c:pt>
                <c:pt idx="664">
                  <c:v>0.11778898321834726</c:v>
                </c:pt>
                <c:pt idx="665">
                  <c:v>0.11632252789280623</c:v>
                </c:pt>
                <c:pt idx="666">
                  <c:v>0.11486697799615816</c:v>
                </c:pt>
                <c:pt idx="667">
                  <c:v>0.11342238220700535</c:v>
                </c:pt>
                <c:pt idx="668">
                  <c:v>0.11198878650341254</c:v>
                </c:pt>
                <c:pt idx="669">
                  <c:v>0.1105662341851732</c:v>
                </c:pt>
                <c:pt idx="670">
                  <c:v>0.10915476589664656</c:v>
                </c:pt>
                <c:pt idx="671">
                  <c:v>0.10775441965014969</c:v>
                </c:pt>
                <c:pt idx="672">
                  <c:v>0.10636523084988853</c:v>
                </c:pt>
                <c:pt idx="673">
                  <c:v>0.10498723231641187</c:v>
                </c:pt>
                <c:pt idx="674">
                  <c:v>0.10362045431157213</c:v>
                </c:pt>
                <c:pt idx="675">
                  <c:v>0.10226492456397722</c:v>
                </c:pt>
                <c:pt idx="676">
                  <c:v>0.10092066829491693</c:v>
                </c:pt>
                <c:pt idx="677">
                  <c:v>9.9587708244748163E-2</c:v>
                </c:pt>
                <c:pt idx="678">
                  <c:v>9.8266064699722919E-2</c:v>
                </c:pt>
                <c:pt idx="679">
                  <c:v>9.695575551924264E-2</c:v>
                </c:pt>
                <c:pt idx="680">
                  <c:v>9.5656796163523239E-2</c:v>
                </c:pt>
                <c:pt idx="681">
                  <c:v>9.4369199721654834E-2</c:v>
                </c:pt>
                <c:pt idx="682">
                  <c:v>9.3092976940039804E-2</c:v>
                </c:pt>
                <c:pt idx="683">
                  <c:v>9.1828136251193737E-2</c:v>
                </c:pt>
                <c:pt idx="684">
                  <c:v>9.0574683802893186E-2</c:v>
                </c:pt>
                <c:pt idx="685">
                  <c:v>8.9332623487654264E-2</c:v>
                </c:pt>
                <c:pt idx="686">
                  <c:v>8.8101956972526763E-2</c:v>
                </c:pt>
                <c:pt idx="687">
                  <c:v>8.6882683729187699E-2</c:v>
                </c:pt>
                <c:pt idx="688">
                  <c:v>8.5674801064318892E-2</c:v>
                </c:pt>
                <c:pt idx="689">
                  <c:v>8.4478304150253217E-2</c:v>
                </c:pt>
                <c:pt idx="690">
                  <c:v>8.3293186055873769E-2</c:v>
                </c:pt>
                <c:pt idx="691">
                  <c:v>8.2119437777751103E-2</c:v>
                </c:pt>
                <c:pt idx="692">
                  <c:v>8.0957048271502796E-2</c:v>
                </c:pt>
                <c:pt idx="693">
                  <c:v>7.9806004483360865E-2</c:v>
                </c:pt>
                <c:pt idx="694">
                  <c:v>7.8666291381931652E-2</c:v>
                </c:pt>
                <c:pt idx="695">
                  <c:v>7.753789199013332E-2</c:v>
                </c:pt>
                <c:pt idx="696">
                  <c:v>7.6420787417296673E-2</c:v>
                </c:pt>
                <c:pt idx="697">
                  <c:v>7.5314956891414264E-2</c:v>
                </c:pt>
                <c:pt idx="698">
                  <c:v>7.4220377791523712E-2</c:v>
                </c:pt>
                <c:pt idx="699">
                  <c:v>7.3137025680210618E-2</c:v>
                </c:pt>
                <c:pt idx="700">
                  <c:v>7.2064874336217347E-2</c:v>
                </c:pt>
                <c:pt idx="701">
                  <c:v>7.1003895787143417E-2</c:v>
                </c:pt>
                <c:pt idx="702">
                  <c:v>6.9954060342223734E-2</c:v>
                </c:pt>
                <c:pt idx="703">
                  <c:v>6.8915336625171172E-2</c:v>
                </c:pt>
                <c:pt idx="704">
                  <c:v>6.7887691607069964E-2</c:v>
                </c:pt>
                <c:pt idx="705">
                  <c:v>6.6871090639306532E-2</c:v>
                </c:pt>
                <c:pt idx="706">
                  <c:v>6.5865497486524732E-2</c:v>
                </c:pt>
                <c:pt idx="707">
                  <c:v>6.4870874359592628E-2</c:v>
                </c:pt>
                <c:pt idx="708">
                  <c:v>6.3887181948567989E-2</c:v>
                </c:pt>
                <c:pt idx="709">
                  <c:v>6.2914379455649955E-2</c:v>
                </c:pt>
                <c:pt idx="710">
                  <c:v>6.1952424628104574E-2</c:v>
                </c:pt>
                <c:pt idx="711">
                  <c:v>6.1001273791152111E-2</c:v>
                </c:pt>
                <c:pt idx="712">
                  <c:v>6.0060881880803989E-2</c:v>
                </c:pt>
                <c:pt idx="713">
                  <c:v>5.9131202476637779E-2</c:v>
                </c:pt>
                <c:pt idx="714">
                  <c:v>5.8212187834498781E-2</c:v>
                </c:pt>
                <c:pt idx="715">
                  <c:v>5.7303788919116583E-2</c:v>
                </c:pt>
                <c:pt idx="716">
                  <c:v>5.6405955436625722E-2</c:v>
                </c:pt>
                <c:pt idx="717">
                  <c:v>5.5518635866979561E-2</c:v>
                </c:pt>
                <c:pt idx="718">
                  <c:v>5.4641777496246491E-2</c:v>
                </c:pt>
                <c:pt idx="719">
                  <c:v>5.3775326448778214E-2</c:v>
                </c:pt>
                <c:pt idx="720">
                  <c:v>5.2919227719239743E-2</c:v>
                </c:pt>
                <c:pt idx="721">
                  <c:v>5.2073425204491139E-2</c:v>
                </c:pt>
                <c:pt idx="722">
                  <c:v>5.1237861735311217E-2</c:v>
                </c:pt>
                <c:pt idx="723">
                  <c:v>5.0412479107953607E-2</c:v>
                </c:pt>
                <c:pt idx="724">
                  <c:v>4.9597218115525803E-2</c:v>
                </c:pt>
                <c:pt idx="725">
                  <c:v>4.8792018579182236E-2</c:v>
                </c:pt>
                <c:pt idx="726">
                  <c:v>4.7996819379122306E-2</c:v>
                </c:pt>
                <c:pt idx="727">
                  <c:v>4.7211558485384796E-2</c:v>
                </c:pt>
                <c:pt idx="728">
                  <c:v>4.6436172988430294E-2</c:v>
                </c:pt>
                <c:pt idx="729">
                  <c:v>4.5670599129503379E-2</c:v>
                </c:pt>
                <c:pt idx="730">
                  <c:v>4.4914772330766593E-2</c:v>
                </c:pt>
                <c:pt idx="731">
                  <c:v>4.4168627225198445E-2</c:v>
                </c:pt>
                <c:pt idx="732">
                  <c:v>4.34320976862482E-2</c:v>
                </c:pt>
                <c:pt idx="733">
                  <c:v>4.2705116857239711E-2</c:v>
                </c:pt>
                <c:pt idx="734">
                  <c:v>4.1987617180517793E-2</c:v>
                </c:pt>
                <c:pt idx="735">
                  <c:v>4.1279530426329931E-2</c:v>
                </c:pt>
                <c:pt idx="736">
                  <c:v>4.0580787721436994E-2</c:v>
                </c:pt>
                <c:pt idx="737">
                  <c:v>3.9891319577446495E-2</c:v>
                </c:pt>
                <c:pt idx="738">
                  <c:v>3.921105591886228E-2</c:v>
                </c:pt>
                <c:pt idx="739">
                  <c:v>3.8539926110844933E-2</c:v>
                </c:pt>
                <c:pt idx="740">
                  <c:v>3.7877858986677039E-2</c:v>
                </c:pt>
                <c:pt idx="741">
                  <c:v>3.7224782874927941E-2</c:v>
                </c:pt>
                <c:pt idx="742">
                  <c:v>3.6580625626312903E-2</c:v>
                </c:pt>
                <c:pt idx="743">
                  <c:v>3.5945314640241532E-2</c:v>
                </c:pt>
                <c:pt idx="744">
                  <c:v>3.5318776891050833E-2</c:v>
                </c:pt>
                <c:pt idx="745">
                  <c:v>3.4700938953918417E-2</c:v>
                </c:pt>
                <c:pt idx="746">
                  <c:v>3.4091727030451269E-2</c:v>
                </c:pt>
                <c:pt idx="747">
                  <c:v>3.3491066973946403E-2</c:v>
                </c:pt>
                <c:pt idx="748">
                  <c:v>3.2898884314319213E-2</c:v>
                </c:pt>
                <c:pt idx="749">
                  <c:v>3.2315104282695975E-2</c:v>
                </c:pt>
                <c:pt idx="750">
                  <c:v>3.1739651835667064E-2</c:v>
                </c:pt>
                <c:pt idx="751">
                  <c:v>3.1172451679197601E-2</c:v>
                </c:pt>
                <c:pt idx="752">
                  <c:v>3.0613428292192709E-2</c:v>
                </c:pt>
                <c:pt idx="753">
                  <c:v>3.0062505949714251E-2</c:v>
                </c:pt>
                <c:pt idx="754">
                  <c:v>2.9519608745846592E-2</c:v>
                </c:pt>
                <c:pt idx="755">
                  <c:v>2.898466061620909E-2</c:v>
                </c:pt>
                <c:pt idx="756">
                  <c:v>2.8457585360112926E-2</c:v>
                </c:pt>
                <c:pt idx="757">
                  <c:v>2.7938306662360392E-2</c:v>
                </c:pt>
                <c:pt idx="758">
                  <c:v>2.7426748114684641E-2</c:v>
                </c:pt>
                <c:pt idx="759">
                  <c:v>2.6922833236828647E-2</c:v>
                </c:pt>
                <c:pt idx="760">
                  <c:v>2.6426485497261426E-2</c:v>
                </c:pt>
                <c:pt idx="761">
                  <c:v>2.5937628333530745E-2</c:v>
                </c:pt>
                <c:pt idx="762">
                  <c:v>2.5456185172251032E-2</c:v>
                </c:pt>
                <c:pt idx="763">
                  <c:v>2.4982079448725505E-2</c:v>
                </c:pt>
                <c:pt idx="764">
                  <c:v>2.4515234626202143E-2</c:v>
                </c:pt>
                <c:pt idx="765">
                  <c:v>2.405557421476269E-2</c:v>
                </c:pt>
                <c:pt idx="766">
                  <c:v>2.3603021789844362E-2</c:v>
                </c:pt>
                <c:pt idx="767">
                  <c:v>2.3157501010394325E-2</c:v>
                </c:pt>
                <c:pt idx="768">
                  <c:v>2.2718935636656556E-2</c:v>
                </c:pt>
                <c:pt idx="769">
                  <c:v>2.2287249547591578E-2</c:v>
                </c:pt>
                <c:pt idx="770">
                  <c:v>2.186236675792912E-2</c:v>
                </c:pt>
                <c:pt idx="771">
                  <c:v>2.1444211434854331E-2</c:v>
                </c:pt>
                <c:pt idx="772">
                  <c:v>2.1032707914328052E-2</c:v>
                </c:pt>
                <c:pt idx="773">
                  <c:v>2.0627780717042056E-2</c:v>
                </c:pt>
                <c:pt idx="774">
                  <c:v>2.0229354564009955E-2</c:v>
                </c:pt>
                <c:pt idx="775">
                  <c:v>1.9837354391795081E-2</c:v>
                </c:pt>
                <c:pt idx="776">
                  <c:v>1.9451705367376344E-2</c:v>
                </c:pt>
                <c:pt idx="777">
                  <c:v>1.9072332902653526E-2</c:v>
                </c:pt>
                <c:pt idx="778">
                  <c:v>1.8699162668593415E-2</c:v>
                </c:pt>
                <c:pt idx="779">
                  <c:v>1.8332120609018437E-2</c:v>
                </c:pt>
                <c:pt idx="780">
                  <c:v>1.7971132954039404E-2</c:v>
                </c:pt>
                <c:pt idx="781">
                  <c:v>1.7616126233134473E-2</c:v>
                </c:pt>
                <c:pt idx="782">
                  <c:v>1.7267027287875943E-2</c:v>
                </c:pt>
                <c:pt idx="783">
                  <c:v>1.6923763284307308E-2</c:v>
                </c:pt>
                <c:pt idx="784">
                  <c:v>1.6586261724972583E-2</c:v>
                </c:pt>
                <c:pt idx="785">
                  <c:v>1.6254450460600287E-2</c:v>
                </c:pt>
                <c:pt idx="786">
                  <c:v>1.5928257701444445E-2</c:v>
                </c:pt>
                <c:pt idx="787">
                  <c:v>1.5607612028285285E-2</c:v>
                </c:pt>
                <c:pt idx="788">
                  <c:v>1.5292442403092027E-2</c:v>
                </c:pt>
                <c:pt idx="789">
                  <c:v>1.4982678179350731E-2</c:v>
                </c:pt>
                <c:pt idx="790">
                  <c:v>1.467824911205984E-2</c:v>
                </c:pt>
                <c:pt idx="791">
                  <c:v>1.4379085367396436E-2</c:v>
                </c:pt>
                <c:pt idx="792">
                  <c:v>1.408511753205615E-2</c:v>
                </c:pt>
                <c:pt idx="793">
                  <c:v>1.3796276622269831E-2</c:v>
                </c:pt>
                <c:pt idx="794">
                  <c:v>1.3512494092500119E-2</c:v>
                </c:pt>
                <c:pt idx="795">
                  <c:v>1.3233701843821184E-2</c:v>
                </c:pt>
                <c:pt idx="796">
                  <c:v>1.2959832231984944E-2</c:v>
                </c:pt>
                <c:pt idx="797">
                  <c:v>1.2690818075177086E-2</c:v>
                </c:pt>
                <c:pt idx="798">
                  <c:v>1.2426592661466422E-2</c:v>
                </c:pt>
                <c:pt idx="799">
                  <c:v>1.216708975595107E-2</c:v>
                </c:pt>
                <c:pt idx="800">
                  <c:v>1.1912243607605014E-2</c:v>
                </c:pt>
                <c:pt idx="801">
                  <c:v>1.166198895582867E-2</c:v>
                </c:pt>
                <c:pt idx="802">
                  <c:v>1.1416261036707245E-2</c:v>
                </c:pt>
                <c:pt idx="803">
                  <c:v>1.1174995588980481E-2</c:v>
                </c:pt>
                <c:pt idx="804">
                  <c:v>1.0938128859727718E-2</c:v>
                </c:pt>
                <c:pt idx="805">
                  <c:v>1.0705597609772034E-2</c:v>
                </c:pt>
                <c:pt idx="806">
                  <c:v>1.047733911880735E-2</c:v>
                </c:pt>
                <c:pt idx="807">
                  <c:v>1.0253291190252492E-2</c:v>
                </c:pt>
                <c:pt idx="808">
                  <c:v>1.0033392155836082E-2</c:v>
                </c:pt>
                <c:pt idx="809">
                  <c:v>9.8175808799162746E-3</c:v>
                </c:pt>
                <c:pt idx="810">
                  <c:v>9.605796763539445E-3</c:v>
                </c:pt>
                <c:pt idx="811">
                  <c:v>9.3979797482417887E-3</c:v>
                </c:pt>
                <c:pt idx="812">
                  <c:v>9.1940703195979578E-3</c:v>
                </c:pt>
                <c:pt idx="813">
                  <c:v>8.9940095105208607E-3</c:v>
                </c:pt>
                <c:pt idx="814">
                  <c:v>8.7977389043167129E-3</c:v>
                </c:pt>
                <c:pt idx="815">
                  <c:v>8.6052006374995448E-3</c:v>
                </c:pt>
                <c:pt idx="816">
                  <c:v>8.4163374023692641E-3</c:v>
                </c:pt>
                <c:pt idx="817">
                  <c:v>8.2310924493575084E-3</c:v>
                </c:pt>
                <c:pt idx="818">
                  <c:v>8.0494095891454672E-3</c:v>
                </c:pt>
                <c:pt idx="819">
                  <c:v>7.8712331945578438E-3</c:v>
                </c:pt>
                <c:pt idx="820">
                  <c:v>7.6965082022372082E-3</c:v>
                </c:pt>
                <c:pt idx="821">
                  <c:v>7.5251801141029044E-3</c:v>
                </c:pt>
                <c:pt idx="822">
                  <c:v>7.3571949985987966E-3</c:v>
                </c:pt>
                <c:pt idx="823">
                  <c:v>7.1924994917339719E-3</c:v>
                </c:pt>
                <c:pt idx="824">
                  <c:v>7.0310407979207127E-3</c:v>
                </c:pt>
                <c:pt idx="825">
                  <c:v>6.8727666906138662E-3</c:v>
                </c:pt>
                <c:pt idx="826">
                  <c:v>6.7176255127558721E-3</c:v>
                </c:pt>
                <c:pt idx="827">
                  <c:v>6.5655661770315961E-3</c:v>
                </c:pt>
                <c:pt idx="828">
                  <c:v>6.4165381659371957E-3</c:v>
                </c:pt>
                <c:pt idx="829">
                  <c:v>6.2704915316671335E-3</c:v>
                </c:pt>
                <c:pt idx="830">
                  <c:v>6.1273768958235893E-3</c:v>
                </c:pt>
                <c:pt idx="831">
                  <c:v>5.987145448952306E-3</c:v>
                </c:pt>
                <c:pt idx="832">
                  <c:v>5.84974894990905E-3</c:v>
                </c:pt>
                <c:pt idx="833">
                  <c:v>5.7151397250608336E-3</c:v>
                </c:pt>
                <c:pt idx="834">
                  <c:v>5.5832706673258721E-3</c:v>
                </c:pt>
                <c:pt idx="835">
                  <c:v>5.4540952350564621E-3</c:v>
                </c:pt>
                <c:pt idx="836">
                  <c:v>5.3275674507687332E-3</c:v>
                </c:pt>
                <c:pt idx="837">
                  <c:v>5.2036418997233446E-3</c:v>
                </c:pt>
                <c:pt idx="838">
                  <c:v>5.0822737283610529E-3</c:v>
                </c:pt>
                <c:pt idx="839">
                  <c:v>4.9634186425971802E-3</c:v>
                </c:pt>
                <c:pt idx="840">
                  <c:v>4.8470329059788703E-3</c:v>
                </c:pt>
                <c:pt idx="841">
                  <c:v>4.7330733377090213E-3</c:v>
                </c:pt>
                <c:pt idx="842">
                  <c:v>4.6214973105408209E-3</c:v>
                </c:pt>
                <c:pt idx="843">
                  <c:v>4.5122627485466409E-3</c:v>
                </c:pt>
                <c:pt idx="844">
                  <c:v>4.4053281247651505E-3</c:v>
                </c:pt>
                <c:pt idx="845">
                  <c:v>4.3006524587303726E-3</c:v>
                </c:pt>
                <c:pt idx="846">
                  <c:v>4.198195313886462E-3</c:v>
                </c:pt>
                <c:pt idx="847">
                  <c:v>4.0979167948918148E-3</c:v>
                </c:pt>
                <c:pt idx="848">
                  <c:v>3.9997775448162437E-3</c:v>
                </c:pt>
                <c:pt idx="849">
                  <c:v>3.9037387422347957E-3</c:v>
                </c:pt>
                <c:pt idx="850">
                  <c:v>3.8097620982217419E-3</c:v>
                </c:pt>
                <c:pt idx="851">
                  <c:v>3.7178098532483573E-3</c:v>
                </c:pt>
                <c:pt idx="852">
                  <c:v>3.6278447739879031E-3</c:v>
                </c:pt>
                <c:pt idx="853">
                  <c:v>3.5398301500312941E-3</c:v>
                </c:pt>
                <c:pt idx="854">
                  <c:v>3.4537297905168386E-3</c:v>
                </c:pt>
                <c:pt idx="855">
                  <c:v>3.3695080206774205E-3</c:v>
                </c:pt>
                <c:pt idx="856">
                  <c:v>3.2871296783084231E-3</c:v>
                </c:pt>
                <c:pt idx="857">
                  <c:v>3.2065601101596568E-3</c:v>
                </c:pt>
                <c:pt idx="858">
                  <c:v>3.1277651682545559E-3</c:v>
                </c:pt>
                <c:pt idx="859">
                  <c:v>3.0507112061397535E-3</c:v>
                </c:pt>
                <c:pt idx="860">
                  <c:v>2.9753650750681975E-3</c:v>
                </c:pt>
                <c:pt idx="861">
                  <c:v>2.9016941201189177E-3</c:v>
                </c:pt>
                <c:pt idx="862">
                  <c:v>2.829666176256402E-3</c:v>
                </c:pt>
                <c:pt idx="863">
                  <c:v>2.7592495643326436E-3</c:v>
                </c:pt>
                <c:pt idx="864">
                  <c:v>2.6904130870347423E-3</c:v>
                </c:pt>
                <c:pt idx="865">
                  <c:v>2.6231260247809754E-3</c:v>
                </c:pt>
                <c:pt idx="866">
                  <c:v>2.5573581315681735E-3</c:v>
                </c:pt>
                <c:pt idx="867">
                  <c:v>2.4930796307731577E-3</c:v>
                </c:pt>
                <c:pt idx="868">
                  <c:v>2.4302612109110468E-3</c:v>
                </c:pt>
                <c:pt idx="869">
                  <c:v>2.3688740213530534E-3</c:v>
                </c:pt>
                <c:pt idx="870">
                  <c:v>2.3088896680064524E-3</c:v>
                </c:pt>
                <c:pt idx="871">
                  <c:v>2.2502802089593012E-3</c:v>
                </c:pt>
                <c:pt idx="872">
                  <c:v>2.1930181500924443E-3</c:v>
                </c:pt>
                <c:pt idx="873">
                  <c:v>2.137076440661322E-3</c:v>
                </c:pt>
                <c:pt idx="874">
                  <c:v>2.0824284688499817E-3</c:v>
                </c:pt>
                <c:pt idx="875">
                  <c:v>2.0290480572997295E-3</c:v>
                </c:pt>
                <c:pt idx="876">
                  <c:v>1.9769094586147271E-3</c:v>
                </c:pt>
                <c:pt idx="877">
                  <c:v>1.9259873508468475E-3</c:v>
                </c:pt>
                <c:pt idx="878">
                  <c:v>1.8762568329620389E-3</c:v>
                </c:pt>
                <c:pt idx="879">
                  <c:v>1.8276934202903551E-3</c:v>
                </c:pt>
                <c:pt idx="880">
                  <c:v>1.7802730399618435E-3</c:v>
                </c:pt>
                <c:pt idx="881">
                  <c:v>1.7339720263303544E-3</c:v>
                </c:pt>
                <c:pt idx="882">
                  <c:v>1.6887671163873285E-3</c:v>
                </c:pt>
                <c:pt idx="883">
                  <c:v>1.6446354451675554E-3</c:v>
                </c:pt>
                <c:pt idx="884">
                  <c:v>1.6015545411488695E-3</c:v>
                </c:pt>
                <c:pt idx="885">
                  <c:v>1.5595023216476607E-3</c:v>
                </c:pt>
                <c:pt idx="886">
                  <c:v>1.518457088212073E-3</c:v>
                </c:pt>
                <c:pt idx="887">
                  <c:v>1.4783975220146804E-3</c:v>
                </c:pt>
                <c:pt idx="888">
                  <c:v>1.4393026792464275E-3</c:v>
                </c:pt>
                <c:pt idx="889">
                  <c:v>1.401151986513507E-3</c:v>
                </c:pt>
                <c:pt idx="890">
                  <c:v>1.3639252362388768E-3</c:v>
                </c:pt>
                <c:pt idx="891">
                  <c:v>1.3276025820700209E-3</c:v>
                </c:pt>
                <c:pt idx="892">
                  <c:v>1.2921645342945185E-3</c:v>
                </c:pt>
                <c:pt idx="893">
                  <c:v>1.2575919552649728E-3</c:v>
                </c:pt>
                <c:pt idx="894">
                  <c:v>1.2238660548347673E-3</c:v>
                </c:pt>
                <c:pt idx="895">
                  <c:v>1.1909683858060934E-3</c:v>
                </c:pt>
                <c:pt idx="896">
                  <c:v>1.1588808393916492E-3</c:v>
                </c:pt>
                <c:pt idx="897">
                  <c:v>1.1275856406913571E-3</c:v>
                </c:pt>
                <c:pt idx="898">
                  <c:v>1.0970653441854097E-3</c:v>
                </c:pt>
                <c:pt idx="899">
                  <c:v>1.0673028292449204E-3</c:v>
                </c:pt>
                <c:pt idx="900">
                  <c:v>1.03828129566139E-3</c:v>
                </c:pt>
                <c:pt idx="901">
                  <c:v>1.0099842591961793E-3</c:v>
                </c:pt>
                <c:pt idx="902">
                  <c:v>9.8239554715114021E-4</c:v>
                </c:pt>
                <c:pt idx="903">
                  <c:v>9.5549929396148727E-4</c:v>
                </c:pt>
                <c:pt idx="904">
                  <c:v>9.2927993681199005E-4</c:v>
                </c:pt>
                <c:pt idx="905">
                  <c:v>9.0372221127750594E-4</c:v>
                </c:pt>
                <c:pt idx="906">
                  <c:v>8.7881114698882667E-4</c:v>
                </c:pt>
                <c:pt idx="907">
                  <c:v>8.5453206332480164E-4</c:v>
                </c:pt>
                <c:pt idx="908">
                  <c:v>8.308705651316363E-4</c:v>
                </c:pt>
                <c:pt idx="909">
                  <c:v>8.0781253847023865E-4</c:v>
                </c:pt>
                <c:pt idx="910">
                  <c:v>7.853441463924523E-4</c:v>
                </c:pt>
                <c:pt idx="911">
                  <c:v>7.6345182474697477E-4</c:v>
                </c:pt>
                <c:pt idx="912">
                  <c:v>7.4212227801571842E-4</c:v>
                </c:pt>
                <c:pt idx="913">
                  <c:v>7.2134247518135935E-4</c:v>
                </c:pt>
                <c:pt idx="914">
                  <c:v>7.0109964562675145E-4</c:v>
                </c:pt>
                <c:pt idx="915">
                  <c:v>6.8138127506687683E-4</c:v>
                </c:pt>
                <c:pt idx="916">
                  <c:v>6.6217510151396735E-4</c:v>
                </c:pt>
                <c:pt idx="917">
                  <c:v>6.4346911127637736E-4</c:v>
                </c:pt>
                <c:pt idx="918">
                  <c:v>6.2525153499179138E-4</c:v>
                </c:pt>
                <c:pt idx="919">
                  <c:v>6.0751084369528921E-4</c:v>
                </c:pt>
                <c:pt idx="920">
                  <c:v>5.9023574492277249E-4</c:v>
                </c:pt>
                <c:pt idx="921">
                  <c:v>5.7341517885023277E-4</c:v>
                </c:pt>
                <c:pt idx="922">
                  <c:v>5.5703831446930036E-4</c:v>
                </c:pt>
                <c:pt idx="923">
                  <c:v>5.410945457994911E-4</c:v>
                </c:pt>
                <c:pt idx="924">
                  <c:v>5.2557348813753863E-4</c:v>
                </c:pt>
                <c:pt idx="925">
                  <c:v>5.1046497434417421E-4</c:v>
                </c:pt>
                <c:pt idx="926">
                  <c:v>4.9575905116868314E-4</c:v>
                </c:pt>
                <c:pt idx="927">
                  <c:v>4.8144597561155307E-4</c:v>
                </c:pt>
                <c:pt idx="928">
                  <c:v>4.6751621132548691E-4</c:v>
                </c:pt>
                <c:pt idx="929">
                  <c:v>4.5396042505504053E-4</c:v>
                </c:pt>
                <c:pt idx="930">
                  <c:v>4.4076948311512232E-4</c:v>
                </c:pt>
                <c:pt idx="931">
                  <c:v>4.2793444790855268E-4</c:v>
                </c:pt>
                <c:pt idx="932">
                  <c:v>4.154465744828784E-4</c:v>
                </c:pt>
                <c:pt idx="933">
                  <c:v>4.0329730712659743E-4</c:v>
                </c:pt>
                <c:pt idx="934">
                  <c:v>3.9147827600493902E-4</c:v>
                </c:pt>
                <c:pt idx="935">
                  <c:v>3.7998129383531263E-4</c:v>
                </c:pt>
                <c:pt idx="936">
                  <c:v>3.6879835260252827E-4</c:v>
                </c:pt>
                <c:pt idx="937">
                  <c:v>3.5792162031386362E-4</c:v>
                </c:pt>
                <c:pt idx="938">
                  <c:v>3.4734343779403416E-4</c:v>
                </c:pt>
                <c:pt idx="939">
                  <c:v>3.3705631552010507E-4</c:v>
                </c:pt>
                <c:pt idx="940">
                  <c:v>3.2705293049636712E-4</c:v>
                </c:pt>
                <c:pt idx="941">
                  <c:v>3.1732612316917233E-4</c:v>
                </c:pt>
                <c:pt idx="942">
                  <c:v>3.0786889438171635E-4</c:v>
                </c:pt>
                <c:pt idx="943">
                  <c:v>2.9867440236873546E-4</c:v>
                </c:pt>
                <c:pt idx="944">
                  <c:v>2.897359597910619E-4</c:v>
                </c:pt>
                <c:pt idx="945">
                  <c:v>2.8104703080997955E-4</c:v>
                </c:pt>
                <c:pt idx="946">
                  <c:v>2.7260122820128862E-4</c:v>
                </c:pt>
                <c:pt idx="947">
                  <c:v>2.643923105089912E-4</c:v>
                </c:pt>
                <c:pt idx="948">
                  <c:v>2.5641417923847953E-4</c:v>
                </c:pt>
                <c:pt idx="949">
                  <c:v>2.4866087608910501E-4</c:v>
                </c:pt>
                <c:pt idx="950">
                  <c:v>2.4112658022598763E-4</c:v>
                </c:pt>
                <c:pt idx="951">
                  <c:v>2.3380560559091101E-4</c:v>
                </c:pt>
                <c:pt idx="952">
                  <c:v>2.2669239825214393E-4</c:v>
                </c:pt>
                <c:pt idx="953">
                  <c:v>2.197815337930047E-4</c:v>
                </c:pt>
                <c:pt idx="954">
                  <c:v>2.1306771473898336E-4</c:v>
                </c:pt>
                <c:pt idx="955">
                  <c:v>2.0654576802322052E-4</c:v>
                </c:pt>
                <c:pt idx="956">
                  <c:v>2.002106424901305E-4</c:v>
                </c:pt>
                <c:pt idx="957">
                  <c:v>1.9405740643695113E-4</c:v>
                </c:pt>
                <c:pt idx="958">
                  <c:v>1.880812451929835E-4</c:v>
                </c:pt>
                <c:pt idx="959">
                  <c:v>1.8227745873628537E-4</c:v>
                </c:pt>
                <c:pt idx="960">
                  <c:v>1.7664145934756647E-4</c:v>
                </c:pt>
                <c:pt idx="961">
                  <c:v>1.7116876930102574E-4</c:v>
                </c:pt>
                <c:pt idx="962">
                  <c:v>1.658550185918658E-4</c:v>
                </c:pt>
                <c:pt idx="963">
                  <c:v>1.6069594270020829E-4</c:v>
                </c:pt>
                <c:pt idx="964">
                  <c:v>1.5568738039112767E-4</c:v>
                </c:pt>
                <c:pt idx="965">
                  <c:v>1.5082527155051403E-4</c:v>
                </c:pt>
                <c:pt idx="966">
                  <c:v>1.4610565505646848E-4</c:v>
                </c:pt>
                <c:pt idx="967">
                  <c:v>1.4152466668592806E-4</c:v>
                </c:pt>
                <c:pt idx="968">
                  <c:v>1.3707853705621068E-4</c:v>
                </c:pt>
                <c:pt idx="969">
                  <c:v>1.3276358960116738E-4</c:v>
                </c:pt>
                <c:pt idx="970">
                  <c:v>1.2857623858161739E-4</c:v>
                </c:pt>
                <c:pt idx="971">
                  <c:v>1.2451298712974905E-4</c:v>
                </c:pt>
                <c:pt idx="972">
                  <c:v>1.2057042532714188E-4</c:v>
                </c:pt>
                <c:pt idx="973">
                  <c:v>1.1674522831609831E-4</c:v>
                </c:pt>
                <c:pt idx="974">
                  <c:v>1.1303415444391705E-4</c:v>
                </c:pt>
                <c:pt idx="975">
                  <c:v>1.094340434397978E-4</c:v>
                </c:pt>
                <c:pt idx="976">
                  <c:v>1.0594181462400078E-4</c:v>
                </c:pt>
                <c:pt idx="977">
                  <c:v>1.0255446514893984E-4</c:v>
                </c:pt>
                <c:pt idx="978">
                  <c:v>9.9269068271831467E-5</c:v>
                </c:pt>
                <c:pt idx="979">
                  <c:v>9.608277165856923E-5</c:v>
                </c:pt>
                <c:pt idx="980">
                  <c:v>9.2992795718443075E-5</c:v>
                </c:pt>
                <c:pt idx="981">
                  <c:v>8.9996431969366862E-5</c:v>
                </c:pt>
                <c:pt idx="982">
                  <c:v>8.7091041433230175E-5</c:v>
                </c:pt>
                <c:pt idx="983">
                  <c:v>8.4274053061034895E-5</c:v>
                </c:pt>
                <c:pt idx="984">
                  <c:v>8.1542962187428541E-5</c:v>
                </c:pt>
                <c:pt idx="985">
                  <c:v>7.8895329014290973E-5</c:v>
                </c:pt>
                <c:pt idx="986">
                  <c:v>7.6328777122987873E-5</c:v>
                </c:pt>
                <c:pt idx="987">
                  <c:v>7.3840992014941666E-5</c:v>
                </c:pt>
                <c:pt idx="988">
                  <c:v>7.1429719680135903E-5</c:v>
                </c:pt>
                <c:pt idx="989">
                  <c:v>6.9092765193199746E-5</c:v>
                </c:pt>
                <c:pt idx="990">
                  <c:v>6.682799133668859E-5</c:v>
                </c:pt>
                <c:pt idx="991">
                  <c:v>6.4633317251209816E-5</c:v>
                </c:pt>
                <c:pt idx="992">
                  <c:v>6.2506717112006848E-5</c:v>
                </c:pt>
                <c:pt idx="993">
                  <c:v>6.0446218831652489E-5</c:v>
                </c:pt>
                <c:pt idx="994">
                  <c:v>5.8449902788466219E-5</c:v>
                </c:pt>
                <c:pt idx="995">
                  <c:v>5.6515900580305896E-5</c:v>
                </c:pt>
                <c:pt idx="996">
                  <c:v>5.4642393803353374E-5</c:v>
                </c:pt>
                <c:pt idx="997">
                  <c:v>5.2827612855542093E-5</c:v>
                </c:pt>
                <c:pt idx="998">
                  <c:v>5.1069835764252003E-5</c:v>
                </c:pt>
                <c:pt idx="999">
                  <c:v>4.9367387037921599E-5</c:v>
                </c:pt>
                <c:pt idx="1000">
                  <c:v>4.7718636541203671E-5</c:v>
                </c:pt>
              </c:numCache>
            </c:numRef>
          </c:yVal>
        </c:ser>
        <c:ser>
          <c:idx val="1"/>
          <c:order val="4"/>
          <c:tx>
            <c:v>Experimental</c:v>
          </c:tx>
          <c:spPr>
            <a:ln w="25400">
              <a:solidFill>
                <a:srgbClr val="FF0000"/>
              </a:solidFill>
              <a:prstDash val="solid"/>
            </a:ln>
          </c:spPr>
          <c:marker>
            <c:symbol val="none"/>
          </c:marker>
          <c:xVal>
            <c:numRef>
              <c:f>'d picture'!$AJ$10:$AJ$1010</c:f>
              <c:numCache>
                <c:formatCode>General</c:formatCode>
                <c:ptCount val="1001"/>
                <c:pt idx="0">
                  <c:v>-4</c:v>
                </c:pt>
                <c:pt idx="1">
                  <c:v>-3.992</c:v>
                </c:pt>
                <c:pt idx="2">
                  <c:v>-3.984</c:v>
                </c:pt>
                <c:pt idx="3">
                  <c:v>-3.976</c:v>
                </c:pt>
                <c:pt idx="4">
                  <c:v>-3.968</c:v>
                </c:pt>
                <c:pt idx="5">
                  <c:v>-3.96</c:v>
                </c:pt>
                <c:pt idx="6">
                  <c:v>-3.952</c:v>
                </c:pt>
                <c:pt idx="7">
                  <c:v>-3.944</c:v>
                </c:pt>
                <c:pt idx="8">
                  <c:v>-3.9359999999999999</c:v>
                </c:pt>
                <c:pt idx="9">
                  <c:v>-3.9279999999999999</c:v>
                </c:pt>
                <c:pt idx="10">
                  <c:v>-3.92</c:v>
                </c:pt>
                <c:pt idx="11">
                  <c:v>-3.9119999999999999</c:v>
                </c:pt>
                <c:pt idx="12">
                  <c:v>-3.9039999999999999</c:v>
                </c:pt>
                <c:pt idx="13">
                  <c:v>-3.8959999999999999</c:v>
                </c:pt>
                <c:pt idx="14">
                  <c:v>-3.8879999999999999</c:v>
                </c:pt>
                <c:pt idx="15">
                  <c:v>-3.88</c:v>
                </c:pt>
                <c:pt idx="16">
                  <c:v>-3.8719999999999999</c:v>
                </c:pt>
                <c:pt idx="17">
                  <c:v>-3.8639999999999999</c:v>
                </c:pt>
                <c:pt idx="18">
                  <c:v>-3.8559999999999999</c:v>
                </c:pt>
                <c:pt idx="19">
                  <c:v>-3.8479999999999999</c:v>
                </c:pt>
                <c:pt idx="20">
                  <c:v>-3.84</c:v>
                </c:pt>
                <c:pt idx="21">
                  <c:v>-3.8319999999999999</c:v>
                </c:pt>
                <c:pt idx="22">
                  <c:v>-3.8239999999999998</c:v>
                </c:pt>
                <c:pt idx="23">
                  <c:v>-3.8159999999999998</c:v>
                </c:pt>
                <c:pt idx="24">
                  <c:v>-3.8079999999999998</c:v>
                </c:pt>
                <c:pt idx="25">
                  <c:v>-3.8</c:v>
                </c:pt>
                <c:pt idx="26">
                  <c:v>-3.7919999999999998</c:v>
                </c:pt>
                <c:pt idx="27">
                  <c:v>-3.7839999999999998</c:v>
                </c:pt>
                <c:pt idx="28">
                  <c:v>-3.7759999999999998</c:v>
                </c:pt>
                <c:pt idx="29">
                  <c:v>-3.7679999999999998</c:v>
                </c:pt>
                <c:pt idx="30">
                  <c:v>-3.76</c:v>
                </c:pt>
                <c:pt idx="31">
                  <c:v>-3.7519999999999998</c:v>
                </c:pt>
                <c:pt idx="32">
                  <c:v>-3.7439999999999998</c:v>
                </c:pt>
                <c:pt idx="33">
                  <c:v>-3.7359999999999998</c:v>
                </c:pt>
                <c:pt idx="34">
                  <c:v>-3.7279999999999998</c:v>
                </c:pt>
                <c:pt idx="35">
                  <c:v>-3.7199999999999998</c:v>
                </c:pt>
                <c:pt idx="36">
                  <c:v>-3.7119999999999997</c:v>
                </c:pt>
                <c:pt idx="37">
                  <c:v>-3.7039999999999997</c:v>
                </c:pt>
                <c:pt idx="38">
                  <c:v>-3.6959999999999997</c:v>
                </c:pt>
                <c:pt idx="39">
                  <c:v>-3.6879999999999997</c:v>
                </c:pt>
                <c:pt idx="40">
                  <c:v>-3.6799999999999997</c:v>
                </c:pt>
                <c:pt idx="41">
                  <c:v>-3.6719999999999997</c:v>
                </c:pt>
                <c:pt idx="42">
                  <c:v>-3.6639999999999997</c:v>
                </c:pt>
                <c:pt idx="43">
                  <c:v>-3.6559999999999997</c:v>
                </c:pt>
                <c:pt idx="44">
                  <c:v>-3.6479999999999997</c:v>
                </c:pt>
                <c:pt idx="45">
                  <c:v>-3.6399999999999997</c:v>
                </c:pt>
                <c:pt idx="46">
                  <c:v>-3.6319999999999997</c:v>
                </c:pt>
                <c:pt idx="47">
                  <c:v>-3.6239999999999997</c:v>
                </c:pt>
                <c:pt idx="48">
                  <c:v>-3.6159999999999997</c:v>
                </c:pt>
                <c:pt idx="49">
                  <c:v>-3.6079999999999997</c:v>
                </c:pt>
                <c:pt idx="50">
                  <c:v>-3.5999999999999996</c:v>
                </c:pt>
                <c:pt idx="51">
                  <c:v>-3.5919999999999996</c:v>
                </c:pt>
                <c:pt idx="52">
                  <c:v>-3.5839999999999996</c:v>
                </c:pt>
                <c:pt idx="53">
                  <c:v>-3.5759999999999996</c:v>
                </c:pt>
                <c:pt idx="54">
                  <c:v>-3.5679999999999996</c:v>
                </c:pt>
                <c:pt idx="55">
                  <c:v>-3.5599999999999996</c:v>
                </c:pt>
                <c:pt idx="56">
                  <c:v>-3.5519999999999996</c:v>
                </c:pt>
                <c:pt idx="57">
                  <c:v>-3.5439999999999996</c:v>
                </c:pt>
                <c:pt idx="58">
                  <c:v>-3.5359999999999996</c:v>
                </c:pt>
                <c:pt idx="59">
                  <c:v>-3.5279999999999996</c:v>
                </c:pt>
                <c:pt idx="60">
                  <c:v>-3.5199999999999996</c:v>
                </c:pt>
                <c:pt idx="61">
                  <c:v>-3.5119999999999996</c:v>
                </c:pt>
                <c:pt idx="62">
                  <c:v>-3.5039999999999996</c:v>
                </c:pt>
                <c:pt idx="63">
                  <c:v>-3.4959999999999996</c:v>
                </c:pt>
                <c:pt idx="64">
                  <c:v>-3.4879999999999995</c:v>
                </c:pt>
                <c:pt idx="65">
                  <c:v>-3.4799999999999995</c:v>
                </c:pt>
                <c:pt idx="66">
                  <c:v>-3.4719999999999995</c:v>
                </c:pt>
                <c:pt idx="67">
                  <c:v>-3.4639999999999995</c:v>
                </c:pt>
                <c:pt idx="68">
                  <c:v>-3.4559999999999995</c:v>
                </c:pt>
                <c:pt idx="69">
                  <c:v>-3.4479999999999995</c:v>
                </c:pt>
                <c:pt idx="70">
                  <c:v>-3.4399999999999995</c:v>
                </c:pt>
                <c:pt idx="71">
                  <c:v>-3.4319999999999995</c:v>
                </c:pt>
                <c:pt idx="72">
                  <c:v>-3.4239999999999995</c:v>
                </c:pt>
                <c:pt idx="73">
                  <c:v>-3.4159999999999995</c:v>
                </c:pt>
                <c:pt idx="74">
                  <c:v>-3.4079999999999995</c:v>
                </c:pt>
                <c:pt idx="75">
                  <c:v>-3.3999999999999995</c:v>
                </c:pt>
                <c:pt idx="76">
                  <c:v>-3.3919999999999995</c:v>
                </c:pt>
                <c:pt idx="77">
                  <c:v>-3.3839999999999995</c:v>
                </c:pt>
                <c:pt idx="78">
                  <c:v>-3.3759999999999994</c:v>
                </c:pt>
                <c:pt idx="79">
                  <c:v>-3.3679999999999994</c:v>
                </c:pt>
                <c:pt idx="80">
                  <c:v>-3.3599999999999994</c:v>
                </c:pt>
                <c:pt idx="81">
                  <c:v>-3.3519999999999994</c:v>
                </c:pt>
                <c:pt idx="82">
                  <c:v>-3.3439999999999994</c:v>
                </c:pt>
                <c:pt idx="83">
                  <c:v>-3.3359999999999994</c:v>
                </c:pt>
                <c:pt idx="84">
                  <c:v>-3.3279999999999994</c:v>
                </c:pt>
                <c:pt idx="85">
                  <c:v>-3.3199999999999994</c:v>
                </c:pt>
                <c:pt idx="86">
                  <c:v>-3.3119999999999994</c:v>
                </c:pt>
                <c:pt idx="87">
                  <c:v>-3.3039999999999994</c:v>
                </c:pt>
                <c:pt idx="88">
                  <c:v>-3.2959999999999994</c:v>
                </c:pt>
                <c:pt idx="89">
                  <c:v>-3.2879999999999994</c:v>
                </c:pt>
                <c:pt idx="90">
                  <c:v>-3.2799999999999994</c:v>
                </c:pt>
                <c:pt idx="91">
                  <c:v>-3.2719999999999994</c:v>
                </c:pt>
                <c:pt idx="92">
                  <c:v>-3.2639999999999993</c:v>
                </c:pt>
                <c:pt idx="93">
                  <c:v>-3.2559999999999993</c:v>
                </c:pt>
                <c:pt idx="94">
                  <c:v>-3.2479999999999993</c:v>
                </c:pt>
                <c:pt idx="95">
                  <c:v>-3.2399999999999993</c:v>
                </c:pt>
                <c:pt idx="96">
                  <c:v>-3.2319999999999993</c:v>
                </c:pt>
                <c:pt idx="97">
                  <c:v>-3.2239999999999993</c:v>
                </c:pt>
                <c:pt idx="98">
                  <c:v>-3.2159999999999993</c:v>
                </c:pt>
                <c:pt idx="99">
                  <c:v>-3.2079999999999993</c:v>
                </c:pt>
                <c:pt idx="100">
                  <c:v>-3.1999999999999993</c:v>
                </c:pt>
                <c:pt idx="101">
                  <c:v>-3.1919999999999993</c:v>
                </c:pt>
                <c:pt idx="102">
                  <c:v>-3.1839999999999993</c:v>
                </c:pt>
                <c:pt idx="103">
                  <c:v>-3.1759999999999993</c:v>
                </c:pt>
                <c:pt idx="104">
                  <c:v>-3.1679999999999993</c:v>
                </c:pt>
                <c:pt idx="105">
                  <c:v>-3.1599999999999993</c:v>
                </c:pt>
                <c:pt idx="106">
                  <c:v>-3.1519999999999992</c:v>
                </c:pt>
                <c:pt idx="107">
                  <c:v>-3.1439999999999992</c:v>
                </c:pt>
                <c:pt idx="108">
                  <c:v>-3.1359999999999992</c:v>
                </c:pt>
                <c:pt idx="109">
                  <c:v>-3.1279999999999992</c:v>
                </c:pt>
                <c:pt idx="110">
                  <c:v>-3.1199999999999992</c:v>
                </c:pt>
                <c:pt idx="111">
                  <c:v>-3.1119999999999992</c:v>
                </c:pt>
                <c:pt idx="112">
                  <c:v>-3.1039999999999992</c:v>
                </c:pt>
                <c:pt idx="113">
                  <c:v>-3.0959999999999992</c:v>
                </c:pt>
                <c:pt idx="114">
                  <c:v>-3.0879999999999992</c:v>
                </c:pt>
                <c:pt idx="115">
                  <c:v>-3.0799999999999992</c:v>
                </c:pt>
                <c:pt idx="116">
                  <c:v>-3.0719999999999992</c:v>
                </c:pt>
                <c:pt idx="117">
                  <c:v>-3.0639999999999992</c:v>
                </c:pt>
                <c:pt idx="118">
                  <c:v>-3.0559999999999992</c:v>
                </c:pt>
                <c:pt idx="119">
                  <c:v>-3.0479999999999992</c:v>
                </c:pt>
                <c:pt idx="120">
                  <c:v>-3.0399999999999991</c:v>
                </c:pt>
                <c:pt idx="121">
                  <c:v>-3.0319999999999991</c:v>
                </c:pt>
                <c:pt idx="122">
                  <c:v>-3.0239999999999991</c:v>
                </c:pt>
                <c:pt idx="123">
                  <c:v>-3.0159999999999991</c:v>
                </c:pt>
                <c:pt idx="124">
                  <c:v>-3.0079999999999991</c:v>
                </c:pt>
                <c:pt idx="125">
                  <c:v>-2.9999999999999991</c:v>
                </c:pt>
                <c:pt idx="126">
                  <c:v>-2.9919999999999991</c:v>
                </c:pt>
                <c:pt idx="127">
                  <c:v>-2.9839999999999991</c:v>
                </c:pt>
                <c:pt idx="128">
                  <c:v>-2.9759999999999991</c:v>
                </c:pt>
                <c:pt idx="129">
                  <c:v>-2.9679999999999991</c:v>
                </c:pt>
                <c:pt idx="130">
                  <c:v>-2.9599999999999991</c:v>
                </c:pt>
                <c:pt idx="131">
                  <c:v>-2.9519999999999991</c:v>
                </c:pt>
                <c:pt idx="132">
                  <c:v>-2.9439999999999991</c:v>
                </c:pt>
                <c:pt idx="133">
                  <c:v>-2.9359999999999991</c:v>
                </c:pt>
                <c:pt idx="134">
                  <c:v>-2.927999999999999</c:v>
                </c:pt>
                <c:pt idx="135">
                  <c:v>-2.919999999999999</c:v>
                </c:pt>
                <c:pt idx="136">
                  <c:v>-2.911999999999999</c:v>
                </c:pt>
                <c:pt idx="137">
                  <c:v>-2.903999999999999</c:v>
                </c:pt>
                <c:pt idx="138">
                  <c:v>-2.895999999999999</c:v>
                </c:pt>
                <c:pt idx="139">
                  <c:v>-2.887999999999999</c:v>
                </c:pt>
                <c:pt idx="140">
                  <c:v>-2.879999999999999</c:v>
                </c:pt>
                <c:pt idx="141">
                  <c:v>-2.871999999999999</c:v>
                </c:pt>
                <c:pt idx="142">
                  <c:v>-2.863999999999999</c:v>
                </c:pt>
                <c:pt idx="143">
                  <c:v>-2.855999999999999</c:v>
                </c:pt>
                <c:pt idx="144">
                  <c:v>-2.847999999999999</c:v>
                </c:pt>
                <c:pt idx="145">
                  <c:v>-2.839999999999999</c:v>
                </c:pt>
                <c:pt idx="146">
                  <c:v>-2.831999999999999</c:v>
                </c:pt>
                <c:pt idx="147">
                  <c:v>-2.823999999999999</c:v>
                </c:pt>
                <c:pt idx="148">
                  <c:v>-2.8159999999999989</c:v>
                </c:pt>
                <c:pt idx="149">
                  <c:v>-2.8079999999999989</c:v>
                </c:pt>
                <c:pt idx="150">
                  <c:v>-2.7999999999999989</c:v>
                </c:pt>
                <c:pt idx="151">
                  <c:v>-2.7919999999999989</c:v>
                </c:pt>
                <c:pt idx="152">
                  <c:v>-2.7839999999999989</c:v>
                </c:pt>
                <c:pt idx="153">
                  <c:v>-2.7759999999999989</c:v>
                </c:pt>
                <c:pt idx="154">
                  <c:v>-2.7679999999999989</c:v>
                </c:pt>
                <c:pt idx="155">
                  <c:v>-2.7599999999999989</c:v>
                </c:pt>
                <c:pt idx="156">
                  <c:v>-2.7519999999999989</c:v>
                </c:pt>
                <c:pt idx="157">
                  <c:v>-2.7439999999999989</c:v>
                </c:pt>
                <c:pt idx="158">
                  <c:v>-2.7359999999999989</c:v>
                </c:pt>
                <c:pt idx="159">
                  <c:v>-2.7279999999999989</c:v>
                </c:pt>
                <c:pt idx="160">
                  <c:v>-2.7199999999999989</c:v>
                </c:pt>
                <c:pt idx="161">
                  <c:v>-2.7119999999999989</c:v>
                </c:pt>
                <c:pt idx="162">
                  <c:v>-2.7039999999999988</c:v>
                </c:pt>
                <c:pt idx="163">
                  <c:v>-2.6959999999999988</c:v>
                </c:pt>
                <c:pt idx="164">
                  <c:v>-2.6879999999999988</c:v>
                </c:pt>
                <c:pt idx="165">
                  <c:v>-2.6799999999999988</c:v>
                </c:pt>
                <c:pt idx="166">
                  <c:v>-2.6719999999999988</c:v>
                </c:pt>
                <c:pt idx="167">
                  <c:v>-2.6639999999999988</c:v>
                </c:pt>
                <c:pt idx="168">
                  <c:v>-2.6559999999999988</c:v>
                </c:pt>
                <c:pt idx="169">
                  <c:v>-2.6479999999999988</c:v>
                </c:pt>
                <c:pt idx="170">
                  <c:v>-2.6399999999999988</c:v>
                </c:pt>
                <c:pt idx="171">
                  <c:v>-2.6319999999999988</c:v>
                </c:pt>
                <c:pt idx="172">
                  <c:v>-2.6239999999999988</c:v>
                </c:pt>
                <c:pt idx="173">
                  <c:v>-2.6159999999999988</c:v>
                </c:pt>
                <c:pt idx="174">
                  <c:v>-2.6079999999999988</c:v>
                </c:pt>
                <c:pt idx="175">
                  <c:v>-2.5999999999999988</c:v>
                </c:pt>
                <c:pt idx="176">
                  <c:v>-2.5919999999999987</c:v>
                </c:pt>
                <c:pt idx="177">
                  <c:v>-2.5839999999999987</c:v>
                </c:pt>
                <c:pt idx="178">
                  <c:v>-2.5759999999999987</c:v>
                </c:pt>
                <c:pt idx="179">
                  <c:v>-2.5679999999999987</c:v>
                </c:pt>
                <c:pt idx="180">
                  <c:v>-2.5599999999999987</c:v>
                </c:pt>
                <c:pt idx="181">
                  <c:v>-2.5519999999999987</c:v>
                </c:pt>
                <c:pt idx="182">
                  <c:v>-2.5439999999999987</c:v>
                </c:pt>
                <c:pt idx="183">
                  <c:v>-2.5359999999999987</c:v>
                </c:pt>
                <c:pt idx="184">
                  <c:v>-2.5279999999999987</c:v>
                </c:pt>
                <c:pt idx="185">
                  <c:v>-2.5199999999999987</c:v>
                </c:pt>
                <c:pt idx="186">
                  <c:v>-2.5119999999999987</c:v>
                </c:pt>
                <c:pt idx="187">
                  <c:v>-2.5039999999999987</c:v>
                </c:pt>
                <c:pt idx="188">
                  <c:v>-2.4959999999999987</c:v>
                </c:pt>
                <c:pt idx="189">
                  <c:v>-2.4879999999999987</c:v>
                </c:pt>
                <c:pt idx="190">
                  <c:v>-2.4799999999999986</c:v>
                </c:pt>
                <c:pt idx="191">
                  <c:v>-2.4719999999999986</c:v>
                </c:pt>
                <c:pt idx="192">
                  <c:v>-2.4639999999999986</c:v>
                </c:pt>
                <c:pt idx="193">
                  <c:v>-2.4559999999999986</c:v>
                </c:pt>
                <c:pt idx="194">
                  <c:v>-2.4479999999999986</c:v>
                </c:pt>
                <c:pt idx="195">
                  <c:v>-2.4399999999999986</c:v>
                </c:pt>
                <c:pt idx="196">
                  <c:v>-2.4319999999999986</c:v>
                </c:pt>
                <c:pt idx="197">
                  <c:v>-2.4239999999999986</c:v>
                </c:pt>
                <c:pt idx="198">
                  <c:v>-2.4159999999999986</c:v>
                </c:pt>
                <c:pt idx="199">
                  <c:v>-2.4079999999999986</c:v>
                </c:pt>
                <c:pt idx="200">
                  <c:v>-2.3999999999999986</c:v>
                </c:pt>
                <c:pt idx="201">
                  <c:v>-2.3919999999999986</c:v>
                </c:pt>
                <c:pt idx="202">
                  <c:v>-2.3839999999999986</c:v>
                </c:pt>
                <c:pt idx="203">
                  <c:v>-2.3759999999999986</c:v>
                </c:pt>
                <c:pt idx="204">
                  <c:v>-2.3679999999999986</c:v>
                </c:pt>
                <c:pt idx="205">
                  <c:v>-2.3599999999999985</c:v>
                </c:pt>
                <c:pt idx="206">
                  <c:v>-2.3519999999999985</c:v>
                </c:pt>
                <c:pt idx="207">
                  <c:v>-2.3439999999999985</c:v>
                </c:pt>
                <c:pt idx="208">
                  <c:v>-2.3359999999999985</c:v>
                </c:pt>
                <c:pt idx="209">
                  <c:v>-2.3279999999999985</c:v>
                </c:pt>
                <c:pt idx="210">
                  <c:v>-2.3199999999999985</c:v>
                </c:pt>
                <c:pt idx="211">
                  <c:v>-2.3119999999999985</c:v>
                </c:pt>
                <c:pt idx="212">
                  <c:v>-2.3039999999999985</c:v>
                </c:pt>
                <c:pt idx="213">
                  <c:v>-2.2959999999999985</c:v>
                </c:pt>
                <c:pt idx="214">
                  <c:v>-2.2879999999999985</c:v>
                </c:pt>
                <c:pt idx="215">
                  <c:v>-2.2799999999999985</c:v>
                </c:pt>
                <c:pt idx="216">
                  <c:v>-2.2719999999999985</c:v>
                </c:pt>
                <c:pt idx="217">
                  <c:v>-2.2639999999999985</c:v>
                </c:pt>
                <c:pt idx="218">
                  <c:v>-2.2559999999999985</c:v>
                </c:pt>
                <c:pt idx="219">
                  <c:v>-2.2479999999999984</c:v>
                </c:pt>
                <c:pt idx="220">
                  <c:v>-2.2399999999999984</c:v>
                </c:pt>
                <c:pt idx="221">
                  <c:v>-2.2319999999999984</c:v>
                </c:pt>
                <c:pt idx="222">
                  <c:v>-2.2239999999999984</c:v>
                </c:pt>
                <c:pt idx="223">
                  <c:v>-2.2159999999999984</c:v>
                </c:pt>
                <c:pt idx="224">
                  <c:v>-2.2079999999999984</c:v>
                </c:pt>
                <c:pt idx="225">
                  <c:v>-2.1999999999999984</c:v>
                </c:pt>
                <c:pt idx="226">
                  <c:v>-2.1919999999999984</c:v>
                </c:pt>
                <c:pt idx="227">
                  <c:v>-2.1839999999999984</c:v>
                </c:pt>
                <c:pt idx="228">
                  <c:v>-2.1759999999999984</c:v>
                </c:pt>
                <c:pt idx="229">
                  <c:v>-2.1679999999999984</c:v>
                </c:pt>
                <c:pt idx="230">
                  <c:v>-2.1599999999999984</c:v>
                </c:pt>
                <c:pt idx="231">
                  <c:v>-2.1519999999999984</c:v>
                </c:pt>
                <c:pt idx="232">
                  <c:v>-2.1439999999999984</c:v>
                </c:pt>
                <c:pt idx="233">
                  <c:v>-2.1359999999999983</c:v>
                </c:pt>
                <c:pt idx="234">
                  <c:v>-2.1279999999999983</c:v>
                </c:pt>
                <c:pt idx="235">
                  <c:v>-2.1199999999999983</c:v>
                </c:pt>
                <c:pt idx="236">
                  <c:v>-2.1119999999999983</c:v>
                </c:pt>
                <c:pt idx="237">
                  <c:v>-2.1039999999999983</c:v>
                </c:pt>
                <c:pt idx="238">
                  <c:v>-2.0959999999999983</c:v>
                </c:pt>
                <c:pt idx="239">
                  <c:v>-2.0879999999999983</c:v>
                </c:pt>
                <c:pt idx="240">
                  <c:v>-2.0799999999999983</c:v>
                </c:pt>
                <c:pt idx="241">
                  <c:v>-2.0719999999999983</c:v>
                </c:pt>
                <c:pt idx="242">
                  <c:v>-2.0639999999999983</c:v>
                </c:pt>
                <c:pt idx="243">
                  <c:v>-2.0559999999999983</c:v>
                </c:pt>
                <c:pt idx="244">
                  <c:v>-2.0479999999999983</c:v>
                </c:pt>
                <c:pt idx="245">
                  <c:v>-2.0399999999999983</c:v>
                </c:pt>
                <c:pt idx="246">
                  <c:v>-2.0319999999999983</c:v>
                </c:pt>
                <c:pt idx="247">
                  <c:v>-2.0239999999999982</c:v>
                </c:pt>
                <c:pt idx="248">
                  <c:v>-2.0159999999999982</c:v>
                </c:pt>
                <c:pt idx="249">
                  <c:v>-2.0079999999999982</c:v>
                </c:pt>
                <c:pt idx="250">
                  <c:v>-1.9999999999999982</c:v>
                </c:pt>
                <c:pt idx="251">
                  <c:v>-1.9919999999999982</c:v>
                </c:pt>
                <c:pt idx="252">
                  <c:v>-1.9839999999999982</c:v>
                </c:pt>
                <c:pt idx="253">
                  <c:v>-1.9759999999999982</c:v>
                </c:pt>
                <c:pt idx="254">
                  <c:v>-1.9679999999999982</c:v>
                </c:pt>
                <c:pt idx="255">
                  <c:v>-1.9599999999999982</c:v>
                </c:pt>
                <c:pt idx="256">
                  <c:v>-1.9519999999999982</c:v>
                </c:pt>
                <c:pt idx="257">
                  <c:v>-1.9439999999999982</c:v>
                </c:pt>
                <c:pt idx="258">
                  <c:v>-1.9359999999999982</c:v>
                </c:pt>
                <c:pt idx="259">
                  <c:v>-1.9279999999999982</c:v>
                </c:pt>
                <c:pt idx="260">
                  <c:v>-1.9199999999999982</c:v>
                </c:pt>
                <c:pt idx="261">
                  <c:v>-1.9119999999999981</c:v>
                </c:pt>
                <c:pt idx="262">
                  <c:v>-1.9039999999999981</c:v>
                </c:pt>
                <c:pt idx="263">
                  <c:v>-1.8959999999999981</c:v>
                </c:pt>
                <c:pt idx="264">
                  <c:v>-1.8879999999999981</c:v>
                </c:pt>
                <c:pt idx="265">
                  <c:v>-1.8799999999999981</c:v>
                </c:pt>
                <c:pt idx="266">
                  <c:v>-1.8719999999999981</c:v>
                </c:pt>
                <c:pt idx="267">
                  <c:v>-1.8639999999999981</c:v>
                </c:pt>
                <c:pt idx="268">
                  <c:v>-1.8559999999999981</c:v>
                </c:pt>
                <c:pt idx="269">
                  <c:v>-1.8479999999999981</c:v>
                </c:pt>
                <c:pt idx="270">
                  <c:v>-1.8399999999999981</c:v>
                </c:pt>
                <c:pt idx="271">
                  <c:v>-1.8319999999999981</c:v>
                </c:pt>
                <c:pt idx="272">
                  <c:v>-1.8239999999999981</c:v>
                </c:pt>
                <c:pt idx="273">
                  <c:v>-1.8159999999999981</c:v>
                </c:pt>
                <c:pt idx="274">
                  <c:v>-1.8079999999999981</c:v>
                </c:pt>
                <c:pt idx="275">
                  <c:v>-1.799999999999998</c:v>
                </c:pt>
                <c:pt idx="276">
                  <c:v>-1.791999999999998</c:v>
                </c:pt>
                <c:pt idx="277">
                  <c:v>-1.783999999999998</c:v>
                </c:pt>
                <c:pt idx="278">
                  <c:v>-1.775999999999998</c:v>
                </c:pt>
                <c:pt idx="279">
                  <c:v>-1.767999999999998</c:v>
                </c:pt>
                <c:pt idx="280">
                  <c:v>-1.759999999999998</c:v>
                </c:pt>
                <c:pt idx="281">
                  <c:v>-1.751999999999998</c:v>
                </c:pt>
                <c:pt idx="282">
                  <c:v>-1.743999999999998</c:v>
                </c:pt>
                <c:pt idx="283">
                  <c:v>-1.735999999999998</c:v>
                </c:pt>
                <c:pt idx="284">
                  <c:v>-1.727999999999998</c:v>
                </c:pt>
                <c:pt idx="285">
                  <c:v>-1.719999999999998</c:v>
                </c:pt>
                <c:pt idx="286">
                  <c:v>-1.711999999999998</c:v>
                </c:pt>
                <c:pt idx="287">
                  <c:v>-1.703999999999998</c:v>
                </c:pt>
                <c:pt idx="288">
                  <c:v>-1.695999999999998</c:v>
                </c:pt>
                <c:pt idx="289">
                  <c:v>-1.6879999999999979</c:v>
                </c:pt>
                <c:pt idx="290">
                  <c:v>-1.6799999999999979</c:v>
                </c:pt>
                <c:pt idx="291">
                  <c:v>-1.6719999999999979</c:v>
                </c:pt>
                <c:pt idx="292">
                  <c:v>-1.6639999999999979</c:v>
                </c:pt>
                <c:pt idx="293">
                  <c:v>-1.6559999999999979</c:v>
                </c:pt>
                <c:pt idx="294">
                  <c:v>-1.6479999999999979</c:v>
                </c:pt>
                <c:pt idx="295">
                  <c:v>-1.6399999999999979</c:v>
                </c:pt>
                <c:pt idx="296">
                  <c:v>-1.6319999999999979</c:v>
                </c:pt>
                <c:pt idx="297">
                  <c:v>-1.6239999999999979</c:v>
                </c:pt>
                <c:pt idx="298">
                  <c:v>-1.6159999999999979</c:v>
                </c:pt>
                <c:pt idx="299">
                  <c:v>-1.6079999999999979</c:v>
                </c:pt>
                <c:pt idx="300">
                  <c:v>-1.5999999999999979</c:v>
                </c:pt>
                <c:pt idx="301">
                  <c:v>-1.5919999999999979</c:v>
                </c:pt>
                <c:pt idx="302">
                  <c:v>-1.5839999999999979</c:v>
                </c:pt>
                <c:pt idx="303">
                  <c:v>-1.5759999999999978</c:v>
                </c:pt>
                <c:pt idx="304">
                  <c:v>-1.5679999999999978</c:v>
                </c:pt>
                <c:pt idx="305">
                  <c:v>-1.5599999999999978</c:v>
                </c:pt>
                <c:pt idx="306">
                  <c:v>-1.5519999999999978</c:v>
                </c:pt>
                <c:pt idx="307">
                  <c:v>-1.5439999999999978</c:v>
                </c:pt>
                <c:pt idx="308">
                  <c:v>-1.5359999999999978</c:v>
                </c:pt>
                <c:pt idx="309">
                  <c:v>-1.5279999999999978</c:v>
                </c:pt>
                <c:pt idx="310">
                  <c:v>-1.5199999999999978</c:v>
                </c:pt>
                <c:pt idx="311">
                  <c:v>-1.5119999999999978</c:v>
                </c:pt>
                <c:pt idx="312">
                  <c:v>-1.5039999999999978</c:v>
                </c:pt>
                <c:pt idx="313">
                  <c:v>-1.4959999999999978</c:v>
                </c:pt>
                <c:pt idx="314">
                  <c:v>-1.4879999999999978</c:v>
                </c:pt>
                <c:pt idx="315">
                  <c:v>-1.4799999999999978</c:v>
                </c:pt>
                <c:pt idx="316">
                  <c:v>-1.4719999999999978</c:v>
                </c:pt>
                <c:pt idx="317">
                  <c:v>-1.4639999999999977</c:v>
                </c:pt>
                <c:pt idx="318">
                  <c:v>-1.4559999999999977</c:v>
                </c:pt>
                <c:pt idx="319">
                  <c:v>-1.4479999999999977</c:v>
                </c:pt>
                <c:pt idx="320">
                  <c:v>-1.4399999999999977</c:v>
                </c:pt>
                <c:pt idx="321">
                  <c:v>-1.4319999999999977</c:v>
                </c:pt>
                <c:pt idx="322">
                  <c:v>-1.4239999999999977</c:v>
                </c:pt>
                <c:pt idx="323">
                  <c:v>-1.4159999999999977</c:v>
                </c:pt>
                <c:pt idx="324">
                  <c:v>-1.4079999999999977</c:v>
                </c:pt>
                <c:pt idx="325">
                  <c:v>-1.3999999999999977</c:v>
                </c:pt>
                <c:pt idx="326">
                  <c:v>-1.3919999999999977</c:v>
                </c:pt>
                <c:pt idx="327">
                  <c:v>-1.3839999999999977</c:v>
                </c:pt>
                <c:pt idx="328">
                  <c:v>-1.3759999999999977</c:v>
                </c:pt>
                <c:pt idx="329">
                  <c:v>-1.3679999999999977</c:v>
                </c:pt>
                <c:pt idx="330">
                  <c:v>-1.3599999999999977</c:v>
                </c:pt>
                <c:pt idx="331">
                  <c:v>-1.3519999999999976</c:v>
                </c:pt>
                <c:pt idx="332">
                  <c:v>-1.3439999999999976</c:v>
                </c:pt>
                <c:pt idx="333">
                  <c:v>-1.3359999999999976</c:v>
                </c:pt>
                <c:pt idx="334">
                  <c:v>-1.3279999999999976</c:v>
                </c:pt>
                <c:pt idx="335">
                  <c:v>-1.3199999999999976</c:v>
                </c:pt>
                <c:pt idx="336">
                  <c:v>-1.3119999999999976</c:v>
                </c:pt>
                <c:pt idx="337">
                  <c:v>-1.3039999999999976</c:v>
                </c:pt>
                <c:pt idx="338">
                  <c:v>-1.2959999999999976</c:v>
                </c:pt>
                <c:pt idx="339">
                  <c:v>-1.2879999999999976</c:v>
                </c:pt>
                <c:pt idx="340">
                  <c:v>-1.2799999999999976</c:v>
                </c:pt>
                <c:pt idx="341">
                  <c:v>-1.2719999999999976</c:v>
                </c:pt>
                <c:pt idx="342">
                  <c:v>-1.2639999999999976</c:v>
                </c:pt>
                <c:pt idx="343">
                  <c:v>-1.2559999999999976</c:v>
                </c:pt>
                <c:pt idx="344">
                  <c:v>-1.2479999999999976</c:v>
                </c:pt>
                <c:pt idx="345">
                  <c:v>-1.2399999999999975</c:v>
                </c:pt>
                <c:pt idx="346">
                  <c:v>-1.2319999999999975</c:v>
                </c:pt>
                <c:pt idx="347">
                  <c:v>-1.2239999999999975</c:v>
                </c:pt>
                <c:pt idx="348">
                  <c:v>-1.2159999999999975</c:v>
                </c:pt>
                <c:pt idx="349">
                  <c:v>-1.2079999999999975</c:v>
                </c:pt>
                <c:pt idx="350">
                  <c:v>-1.1999999999999975</c:v>
                </c:pt>
                <c:pt idx="351">
                  <c:v>-1.1919999999999975</c:v>
                </c:pt>
                <c:pt idx="352">
                  <c:v>-1.1839999999999975</c:v>
                </c:pt>
                <c:pt idx="353">
                  <c:v>-1.1759999999999975</c:v>
                </c:pt>
                <c:pt idx="354">
                  <c:v>-1.1679999999999975</c:v>
                </c:pt>
                <c:pt idx="355">
                  <c:v>-1.1599999999999975</c:v>
                </c:pt>
                <c:pt idx="356">
                  <c:v>-1.1519999999999975</c:v>
                </c:pt>
                <c:pt idx="357">
                  <c:v>-1.1439999999999975</c:v>
                </c:pt>
                <c:pt idx="358">
                  <c:v>-1.1359999999999975</c:v>
                </c:pt>
                <c:pt idx="359">
                  <c:v>-1.1279999999999974</c:v>
                </c:pt>
                <c:pt idx="360">
                  <c:v>-1.1199999999999974</c:v>
                </c:pt>
                <c:pt idx="361">
                  <c:v>-1.1119999999999974</c:v>
                </c:pt>
                <c:pt idx="362">
                  <c:v>-1.1039999999999974</c:v>
                </c:pt>
                <c:pt idx="363">
                  <c:v>-1.0959999999999974</c:v>
                </c:pt>
                <c:pt idx="364">
                  <c:v>-1.0879999999999974</c:v>
                </c:pt>
                <c:pt idx="365">
                  <c:v>-1.0799999999999974</c:v>
                </c:pt>
                <c:pt idx="366">
                  <c:v>-1.0719999999999974</c:v>
                </c:pt>
                <c:pt idx="367">
                  <c:v>-1.0639999999999974</c:v>
                </c:pt>
                <c:pt idx="368">
                  <c:v>-1.0559999999999974</c:v>
                </c:pt>
                <c:pt idx="369">
                  <c:v>-1.0479999999999974</c:v>
                </c:pt>
                <c:pt idx="370">
                  <c:v>-1.0399999999999974</c:v>
                </c:pt>
                <c:pt idx="371">
                  <c:v>-1.0319999999999974</c:v>
                </c:pt>
                <c:pt idx="372">
                  <c:v>-1.0239999999999974</c:v>
                </c:pt>
                <c:pt idx="373">
                  <c:v>-1.0159999999999973</c:v>
                </c:pt>
                <c:pt idx="374">
                  <c:v>-1.0079999999999973</c:v>
                </c:pt>
                <c:pt idx="375">
                  <c:v>-0.99999999999999734</c:v>
                </c:pt>
                <c:pt idx="376">
                  <c:v>-0.99199999999999733</c:v>
                </c:pt>
                <c:pt idx="377">
                  <c:v>-0.98399999999999732</c:v>
                </c:pt>
                <c:pt idx="378">
                  <c:v>-0.97599999999999731</c:v>
                </c:pt>
                <c:pt idx="379">
                  <c:v>-0.96799999999999731</c:v>
                </c:pt>
                <c:pt idx="380">
                  <c:v>-0.9599999999999973</c:v>
                </c:pt>
                <c:pt idx="381">
                  <c:v>-0.95199999999999729</c:v>
                </c:pt>
                <c:pt idx="382">
                  <c:v>-0.94399999999999729</c:v>
                </c:pt>
                <c:pt idx="383">
                  <c:v>-0.93599999999999728</c:v>
                </c:pt>
                <c:pt idx="384">
                  <c:v>-0.92799999999999727</c:v>
                </c:pt>
                <c:pt idx="385">
                  <c:v>-0.91999999999999726</c:v>
                </c:pt>
                <c:pt idx="386">
                  <c:v>-0.91199999999999726</c:v>
                </c:pt>
                <c:pt idx="387">
                  <c:v>-0.90399999999999725</c:v>
                </c:pt>
                <c:pt idx="388">
                  <c:v>-0.89599999999999724</c:v>
                </c:pt>
                <c:pt idx="389">
                  <c:v>-0.88799999999999724</c:v>
                </c:pt>
                <c:pt idx="390">
                  <c:v>-0.87999999999999723</c:v>
                </c:pt>
                <c:pt idx="391">
                  <c:v>-0.87199999999999722</c:v>
                </c:pt>
                <c:pt idx="392">
                  <c:v>-0.86399999999999721</c:v>
                </c:pt>
                <c:pt idx="393">
                  <c:v>-0.85599999999999721</c:v>
                </c:pt>
                <c:pt idx="394">
                  <c:v>-0.8479999999999972</c:v>
                </c:pt>
                <c:pt idx="395">
                  <c:v>-0.83999999999999719</c:v>
                </c:pt>
                <c:pt idx="396">
                  <c:v>-0.83199999999999719</c:v>
                </c:pt>
                <c:pt idx="397">
                  <c:v>-0.82399999999999718</c:v>
                </c:pt>
                <c:pt idx="398">
                  <c:v>-0.81599999999999717</c:v>
                </c:pt>
                <c:pt idx="399">
                  <c:v>-0.80799999999999716</c:v>
                </c:pt>
                <c:pt idx="400">
                  <c:v>-0.79999999999999716</c:v>
                </c:pt>
                <c:pt idx="401">
                  <c:v>-0.79199999999999715</c:v>
                </c:pt>
                <c:pt idx="402">
                  <c:v>-0.78399999999999714</c:v>
                </c:pt>
                <c:pt idx="403">
                  <c:v>-0.77599999999999714</c:v>
                </c:pt>
                <c:pt idx="404">
                  <c:v>-0.76799999999999713</c:v>
                </c:pt>
                <c:pt idx="405">
                  <c:v>-0.75999999999999712</c:v>
                </c:pt>
                <c:pt idx="406">
                  <c:v>-0.75199999999999712</c:v>
                </c:pt>
                <c:pt idx="407">
                  <c:v>-0.74399999999999711</c:v>
                </c:pt>
                <c:pt idx="408">
                  <c:v>-0.7359999999999971</c:v>
                </c:pt>
                <c:pt idx="409">
                  <c:v>-0.72799999999999709</c:v>
                </c:pt>
                <c:pt idx="410">
                  <c:v>-0.71999999999999709</c:v>
                </c:pt>
                <c:pt idx="411">
                  <c:v>-0.71199999999999708</c:v>
                </c:pt>
                <c:pt idx="412">
                  <c:v>-0.70399999999999707</c:v>
                </c:pt>
                <c:pt idx="413">
                  <c:v>-0.69599999999999707</c:v>
                </c:pt>
                <c:pt idx="414">
                  <c:v>-0.68799999999999706</c:v>
                </c:pt>
                <c:pt idx="415">
                  <c:v>-0.67999999999999705</c:v>
                </c:pt>
                <c:pt idx="416">
                  <c:v>-0.67199999999999704</c:v>
                </c:pt>
                <c:pt idx="417">
                  <c:v>-0.66399999999999704</c:v>
                </c:pt>
                <c:pt idx="418">
                  <c:v>-0.65599999999999703</c:v>
                </c:pt>
                <c:pt idx="419">
                  <c:v>-0.64799999999999702</c:v>
                </c:pt>
                <c:pt idx="420">
                  <c:v>-0.63999999999999702</c:v>
                </c:pt>
                <c:pt idx="421">
                  <c:v>-0.63199999999999701</c:v>
                </c:pt>
                <c:pt idx="422">
                  <c:v>-0.623999999999997</c:v>
                </c:pt>
                <c:pt idx="423">
                  <c:v>-0.61599999999999699</c:v>
                </c:pt>
                <c:pt idx="424">
                  <c:v>-0.60799999999999699</c:v>
                </c:pt>
                <c:pt idx="425">
                  <c:v>-0.59999999999999698</c:v>
                </c:pt>
                <c:pt idx="426">
                  <c:v>-0.59199999999999697</c:v>
                </c:pt>
                <c:pt idx="427">
                  <c:v>-0.58399999999999697</c:v>
                </c:pt>
                <c:pt idx="428">
                  <c:v>-0.57599999999999696</c:v>
                </c:pt>
                <c:pt idx="429">
                  <c:v>-0.56799999999999695</c:v>
                </c:pt>
                <c:pt idx="430">
                  <c:v>-0.55999999999999694</c:v>
                </c:pt>
                <c:pt idx="431">
                  <c:v>-0.55199999999999694</c:v>
                </c:pt>
                <c:pt idx="432">
                  <c:v>-0.54399999999999693</c:v>
                </c:pt>
                <c:pt idx="433">
                  <c:v>-0.53599999999999692</c:v>
                </c:pt>
                <c:pt idx="434">
                  <c:v>-0.52799999999999692</c:v>
                </c:pt>
                <c:pt idx="435">
                  <c:v>-0.51999999999999691</c:v>
                </c:pt>
                <c:pt idx="436">
                  <c:v>-0.5119999999999969</c:v>
                </c:pt>
                <c:pt idx="437">
                  <c:v>-0.50399999999999689</c:v>
                </c:pt>
                <c:pt idx="438">
                  <c:v>-0.49599999999999689</c:v>
                </c:pt>
                <c:pt idx="439">
                  <c:v>-0.48799999999999688</c:v>
                </c:pt>
                <c:pt idx="440">
                  <c:v>-0.47999999999999687</c:v>
                </c:pt>
                <c:pt idx="441">
                  <c:v>-0.47199999999999687</c:v>
                </c:pt>
                <c:pt idx="442">
                  <c:v>-0.46399999999999686</c:v>
                </c:pt>
                <c:pt idx="443">
                  <c:v>-0.45599999999999685</c:v>
                </c:pt>
                <c:pt idx="444">
                  <c:v>-0.44799999999999685</c:v>
                </c:pt>
                <c:pt idx="445">
                  <c:v>-0.43999999999999684</c:v>
                </c:pt>
                <c:pt idx="446">
                  <c:v>-0.43199999999999683</c:v>
                </c:pt>
                <c:pt idx="447">
                  <c:v>-0.42399999999999682</c:v>
                </c:pt>
                <c:pt idx="448">
                  <c:v>-0.41599999999999682</c:v>
                </c:pt>
                <c:pt idx="449">
                  <c:v>-0.40799999999999681</c:v>
                </c:pt>
                <c:pt idx="450">
                  <c:v>-0.3999999999999968</c:v>
                </c:pt>
                <c:pt idx="451">
                  <c:v>-0.3919999999999968</c:v>
                </c:pt>
                <c:pt idx="452">
                  <c:v>-0.38399999999999679</c:v>
                </c:pt>
                <c:pt idx="453">
                  <c:v>-0.37599999999999678</c:v>
                </c:pt>
                <c:pt idx="454">
                  <c:v>-0.36799999999999677</c:v>
                </c:pt>
                <c:pt idx="455">
                  <c:v>-0.35999999999999677</c:v>
                </c:pt>
                <c:pt idx="456">
                  <c:v>-0.35199999999999676</c:v>
                </c:pt>
                <c:pt idx="457">
                  <c:v>-0.34399999999999675</c:v>
                </c:pt>
                <c:pt idx="458">
                  <c:v>-0.33599999999999675</c:v>
                </c:pt>
                <c:pt idx="459">
                  <c:v>-0.32799999999999674</c:v>
                </c:pt>
                <c:pt idx="460">
                  <c:v>-0.31999999999999673</c:v>
                </c:pt>
                <c:pt idx="461">
                  <c:v>-0.31199999999999672</c:v>
                </c:pt>
                <c:pt idx="462">
                  <c:v>-0.30399999999999672</c:v>
                </c:pt>
                <c:pt idx="463">
                  <c:v>-0.29599999999999671</c:v>
                </c:pt>
                <c:pt idx="464">
                  <c:v>-0.2879999999999967</c:v>
                </c:pt>
                <c:pt idx="465">
                  <c:v>-0.2799999999999967</c:v>
                </c:pt>
                <c:pt idx="466">
                  <c:v>-0.27199999999999669</c:v>
                </c:pt>
                <c:pt idx="467">
                  <c:v>-0.26399999999999668</c:v>
                </c:pt>
                <c:pt idx="468">
                  <c:v>-0.25599999999999667</c:v>
                </c:pt>
                <c:pt idx="469">
                  <c:v>-0.24799999999999667</c:v>
                </c:pt>
                <c:pt idx="470">
                  <c:v>-0.23999999999999666</c:v>
                </c:pt>
                <c:pt idx="471">
                  <c:v>-0.23199999999999665</c:v>
                </c:pt>
                <c:pt idx="472">
                  <c:v>-0.22399999999999665</c:v>
                </c:pt>
                <c:pt idx="473">
                  <c:v>-0.21599999999999664</c:v>
                </c:pt>
                <c:pt idx="474">
                  <c:v>-0.20799999999999663</c:v>
                </c:pt>
                <c:pt idx="475">
                  <c:v>-0.19999999999999662</c:v>
                </c:pt>
                <c:pt idx="476">
                  <c:v>-0.19199999999999662</c:v>
                </c:pt>
                <c:pt idx="477">
                  <c:v>-0.18399999999999661</c:v>
                </c:pt>
                <c:pt idx="478">
                  <c:v>-0.1759999999999966</c:v>
                </c:pt>
                <c:pt idx="479">
                  <c:v>-0.1679999999999966</c:v>
                </c:pt>
                <c:pt idx="480">
                  <c:v>-0.15999999999999659</c:v>
                </c:pt>
                <c:pt idx="481">
                  <c:v>-0.15199999999999658</c:v>
                </c:pt>
                <c:pt idx="482">
                  <c:v>-0.14399999999999658</c:v>
                </c:pt>
                <c:pt idx="483">
                  <c:v>-0.13599999999999657</c:v>
                </c:pt>
                <c:pt idx="484">
                  <c:v>-0.12799999999999656</c:v>
                </c:pt>
                <c:pt idx="485">
                  <c:v>-0.11999999999999655</c:v>
                </c:pt>
                <c:pt idx="486">
                  <c:v>-0.11199999999999655</c:v>
                </c:pt>
                <c:pt idx="487">
                  <c:v>-0.10399999999999654</c:v>
                </c:pt>
                <c:pt idx="488">
                  <c:v>-9.5999999999996533E-2</c:v>
                </c:pt>
                <c:pt idx="489">
                  <c:v>-8.7999999999996525E-2</c:v>
                </c:pt>
                <c:pt idx="490">
                  <c:v>-7.9999999999996518E-2</c:v>
                </c:pt>
                <c:pt idx="491">
                  <c:v>-7.1999999999996511E-2</c:v>
                </c:pt>
                <c:pt idx="492">
                  <c:v>-6.3999999999996504E-2</c:v>
                </c:pt>
                <c:pt idx="493">
                  <c:v>-5.5999999999996504E-2</c:v>
                </c:pt>
                <c:pt idx="494">
                  <c:v>-4.7999999999996504E-2</c:v>
                </c:pt>
                <c:pt idx="495">
                  <c:v>-3.9999999999996504E-2</c:v>
                </c:pt>
                <c:pt idx="496">
                  <c:v>-3.1999999999996503E-2</c:v>
                </c:pt>
                <c:pt idx="497">
                  <c:v>-2.3999999999996503E-2</c:v>
                </c:pt>
                <c:pt idx="498">
                  <c:v>-1.5999999999996503E-2</c:v>
                </c:pt>
                <c:pt idx="499">
                  <c:v>-7.999999999996503E-3</c:v>
                </c:pt>
                <c:pt idx="500">
                  <c:v>3.4972025275692431E-15</c:v>
                </c:pt>
                <c:pt idx="501">
                  <c:v>8.0000000000034974E-3</c:v>
                </c:pt>
                <c:pt idx="502">
                  <c:v>1.6000000000003498E-2</c:v>
                </c:pt>
                <c:pt idx="503">
                  <c:v>2.4000000000003498E-2</c:v>
                </c:pt>
                <c:pt idx="504">
                  <c:v>3.2000000000003498E-2</c:v>
                </c:pt>
                <c:pt idx="505">
                  <c:v>4.0000000000003498E-2</c:v>
                </c:pt>
                <c:pt idx="506">
                  <c:v>4.8000000000003498E-2</c:v>
                </c:pt>
                <c:pt idx="507">
                  <c:v>5.6000000000003498E-2</c:v>
                </c:pt>
                <c:pt idx="508">
                  <c:v>6.4000000000003499E-2</c:v>
                </c:pt>
                <c:pt idx="509">
                  <c:v>7.2000000000003506E-2</c:v>
                </c:pt>
                <c:pt idx="510">
                  <c:v>8.0000000000003513E-2</c:v>
                </c:pt>
                <c:pt idx="511">
                  <c:v>8.800000000000352E-2</c:v>
                </c:pt>
                <c:pt idx="512">
                  <c:v>9.6000000000003527E-2</c:v>
                </c:pt>
                <c:pt idx="513">
                  <c:v>0.10400000000000353</c:v>
                </c:pt>
                <c:pt idx="514">
                  <c:v>0.11200000000000354</c:v>
                </c:pt>
                <c:pt idx="515">
                  <c:v>0.12000000000000355</c:v>
                </c:pt>
                <c:pt idx="516">
                  <c:v>0.12800000000000356</c:v>
                </c:pt>
                <c:pt idx="517">
                  <c:v>0.13600000000000356</c:v>
                </c:pt>
                <c:pt idx="518">
                  <c:v>0.14400000000000357</c:v>
                </c:pt>
                <c:pt idx="519">
                  <c:v>0.15200000000000358</c:v>
                </c:pt>
                <c:pt idx="520">
                  <c:v>0.16000000000000358</c:v>
                </c:pt>
                <c:pt idx="521">
                  <c:v>0.16800000000000359</c:v>
                </c:pt>
                <c:pt idx="522">
                  <c:v>0.1760000000000036</c:v>
                </c:pt>
                <c:pt idx="523">
                  <c:v>0.18400000000000361</c:v>
                </c:pt>
                <c:pt idx="524">
                  <c:v>0.19200000000000361</c:v>
                </c:pt>
                <c:pt idx="525">
                  <c:v>0.20000000000000362</c:v>
                </c:pt>
                <c:pt idx="526">
                  <c:v>0.20800000000000363</c:v>
                </c:pt>
                <c:pt idx="527">
                  <c:v>0.21600000000000363</c:v>
                </c:pt>
                <c:pt idx="528">
                  <c:v>0.22400000000000364</c:v>
                </c:pt>
                <c:pt idx="529">
                  <c:v>0.23200000000000365</c:v>
                </c:pt>
                <c:pt idx="530">
                  <c:v>0.24000000000000365</c:v>
                </c:pt>
                <c:pt idx="531">
                  <c:v>0.24800000000000366</c:v>
                </c:pt>
                <c:pt idx="532">
                  <c:v>0.25600000000000367</c:v>
                </c:pt>
                <c:pt idx="533">
                  <c:v>0.26400000000000368</c:v>
                </c:pt>
                <c:pt idx="534">
                  <c:v>0.27200000000000368</c:v>
                </c:pt>
                <c:pt idx="535">
                  <c:v>0.28000000000000369</c:v>
                </c:pt>
                <c:pt idx="536">
                  <c:v>0.2880000000000037</c:v>
                </c:pt>
                <c:pt idx="537">
                  <c:v>0.2960000000000037</c:v>
                </c:pt>
                <c:pt idx="538">
                  <c:v>0.30400000000000371</c:v>
                </c:pt>
                <c:pt idx="539">
                  <c:v>0.31200000000000372</c:v>
                </c:pt>
                <c:pt idx="540">
                  <c:v>0.32000000000000373</c:v>
                </c:pt>
                <c:pt idx="541">
                  <c:v>0.32800000000000373</c:v>
                </c:pt>
                <c:pt idx="542">
                  <c:v>0.33600000000000374</c:v>
                </c:pt>
                <c:pt idx="543">
                  <c:v>0.34400000000000375</c:v>
                </c:pt>
                <c:pt idx="544">
                  <c:v>0.35200000000000375</c:v>
                </c:pt>
                <c:pt idx="545">
                  <c:v>0.36000000000000376</c:v>
                </c:pt>
                <c:pt idx="546">
                  <c:v>0.36800000000000377</c:v>
                </c:pt>
                <c:pt idx="547">
                  <c:v>0.37600000000000378</c:v>
                </c:pt>
                <c:pt idx="548">
                  <c:v>0.38400000000000378</c:v>
                </c:pt>
                <c:pt idx="549">
                  <c:v>0.39200000000000379</c:v>
                </c:pt>
                <c:pt idx="550">
                  <c:v>0.4000000000000038</c:v>
                </c:pt>
                <c:pt idx="551">
                  <c:v>0.4080000000000038</c:v>
                </c:pt>
                <c:pt idx="552">
                  <c:v>0.41600000000000381</c:v>
                </c:pt>
                <c:pt idx="553">
                  <c:v>0.42400000000000382</c:v>
                </c:pt>
                <c:pt idx="554">
                  <c:v>0.43200000000000383</c:v>
                </c:pt>
                <c:pt idx="555">
                  <c:v>0.44000000000000383</c:v>
                </c:pt>
                <c:pt idx="556">
                  <c:v>0.44800000000000384</c:v>
                </c:pt>
                <c:pt idx="557">
                  <c:v>0.45600000000000385</c:v>
                </c:pt>
                <c:pt idx="558">
                  <c:v>0.46400000000000385</c:v>
                </c:pt>
                <c:pt idx="559">
                  <c:v>0.47200000000000386</c:v>
                </c:pt>
                <c:pt idx="560">
                  <c:v>0.48000000000000387</c:v>
                </c:pt>
                <c:pt idx="561">
                  <c:v>0.48800000000000388</c:v>
                </c:pt>
                <c:pt idx="562">
                  <c:v>0.49600000000000388</c:v>
                </c:pt>
                <c:pt idx="563">
                  <c:v>0.50400000000000389</c:v>
                </c:pt>
                <c:pt idx="564">
                  <c:v>0.5120000000000039</c:v>
                </c:pt>
                <c:pt idx="565">
                  <c:v>0.5200000000000039</c:v>
                </c:pt>
                <c:pt idx="566">
                  <c:v>0.52800000000000391</c:v>
                </c:pt>
                <c:pt idx="567">
                  <c:v>0.53600000000000392</c:v>
                </c:pt>
                <c:pt idx="568">
                  <c:v>0.54400000000000392</c:v>
                </c:pt>
                <c:pt idx="569">
                  <c:v>0.55200000000000393</c:v>
                </c:pt>
                <c:pt idx="570">
                  <c:v>0.56000000000000394</c:v>
                </c:pt>
                <c:pt idx="571">
                  <c:v>0.56800000000000395</c:v>
                </c:pt>
                <c:pt idx="572">
                  <c:v>0.57600000000000395</c:v>
                </c:pt>
                <c:pt idx="573">
                  <c:v>0.58400000000000396</c:v>
                </c:pt>
                <c:pt idx="574">
                  <c:v>0.59200000000000397</c:v>
                </c:pt>
                <c:pt idx="575">
                  <c:v>0.60000000000000397</c:v>
                </c:pt>
                <c:pt idx="576">
                  <c:v>0.60800000000000398</c:v>
                </c:pt>
                <c:pt idx="577">
                  <c:v>0.61600000000000399</c:v>
                </c:pt>
                <c:pt idx="578">
                  <c:v>0.624000000000004</c:v>
                </c:pt>
                <c:pt idx="579">
                  <c:v>0.632000000000004</c:v>
                </c:pt>
                <c:pt idx="580">
                  <c:v>0.64000000000000401</c:v>
                </c:pt>
                <c:pt idx="581">
                  <c:v>0.64800000000000402</c:v>
                </c:pt>
                <c:pt idx="582">
                  <c:v>0.65600000000000402</c:v>
                </c:pt>
                <c:pt idx="583">
                  <c:v>0.66400000000000403</c:v>
                </c:pt>
                <c:pt idx="584">
                  <c:v>0.67200000000000404</c:v>
                </c:pt>
                <c:pt idx="585">
                  <c:v>0.68000000000000405</c:v>
                </c:pt>
                <c:pt idx="586">
                  <c:v>0.68800000000000405</c:v>
                </c:pt>
                <c:pt idx="587">
                  <c:v>0.69600000000000406</c:v>
                </c:pt>
                <c:pt idx="588">
                  <c:v>0.70400000000000407</c:v>
                </c:pt>
                <c:pt idx="589">
                  <c:v>0.71200000000000407</c:v>
                </c:pt>
                <c:pt idx="590">
                  <c:v>0.72000000000000408</c:v>
                </c:pt>
                <c:pt idx="591">
                  <c:v>0.72800000000000409</c:v>
                </c:pt>
                <c:pt idx="592">
                  <c:v>0.7360000000000041</c:v>
                </c:pt>
                <c:pt idx="593">
                  <c:v>0.7440000000000041</c:v>
                </c:pt>
                <c:pt idx="594">
                  <c:v>0.75200000000000411</c:v>
                </c:pt>
                <c:pt idx="595">
                  <c:v>0.76000000000000412</c:v>
                </c:pt>
                <c:pt idx="596">
                  <c:v>0.76800000000000412</c:v>
                </c:pt>
                <c:pt idx="597">
                  <c:v>0.77600000000000413</c:v>
                </c:pt>
                <c:pt idx="598">
                  <c:v>0.78400000000000414</c:v>
                </c:pt>
                <c:pt idx="599">
                  <c:v>0.79200000000000415</c:v>
                </c:pt>
                <c:pt idx="600">
                  <c:v>0.80000000000000415</c:v>
                </c:pt>
                <c:pt idx="601">
                  <c:v>0.80800000000000416</c:v>
                </c:pt>
                <c:pt idx="602">
                  <c:v>0.81600000000000417</c:v>
                </c:pt>
                <c:pt idx="603">
                  <c:v>0.82400000000000417</c:v>
                </c:pt>
                <c:pt idx="604">
                  <c:v>0.83200000000000418</c:v>
                </c:pt>
                <c:pt idx="605">
                  <c:v>0.84000000000000419</c:v>
                </c:pt>
                <c:pt idx="606">
                  <c:v>0.84800000000000419</c:v>
                </c:pt>
                <c:pt idx="607">
                  <c:v>0.8560000000000042</c:v>
                </c:pt>
                <c:pt idx="608">
                  <c:v>0.86400000000000421</c:v>
                </c:pt>
                <c:pt idx="609">
                  <c:v>0.87200000000000422</c:v>
                </c:pt>
                <c:pt idx="610">
                  <c:v>0.88000000000000422</c:v>
                </c:pt>
                <c:pt idx="611">
                  <c:v>0.88800000000000423</c:v>
                </c:pt>
                <c:pt idx="612">
                  <c:v>0.89600000000000424</c:v>
                </c:pt>
                <c:pt idx="613">
                  <c:v>0.90400000000000424</c:v>
                </c:pt>
                <c:pt idx="614">
                  <c:v>0.91200000000000425</c:v>
                </c:pt>
                <c:pt idx="615">
                  <c:v>0.92000000000000426</c:v>
                </c:pt>
                <c:pt idx="616">
                  <c:v>0.92800000000000427</c:v>
                </c:pt>
                <c:pt idx="617">
                  <c:v>0.93600000000000427</c:v>
                </c:pt>
                <c:pt idx="618">
                  <c:v>0.94400000000000428</c:v>
                </c:pt>
                <c:pt idx="619">
                  <c:v>0.95200000000000429</c:v>
                </c:pt>
                <c:pt idx="620">
                  <c:v>0.96000000000000429</c:v>
                </c:pt>
                <c:pt idx="621">
                  <c:v>0.9680000000000043</c:v>
                </c:pt>
                <c:pt idx="622">
                  <c:v>0.97600000000000431</c:v>
                </c:pt>
                <c:pt idx="623">
                  <c:v>0.98400000000000432</c:v>
                </c:pt>
                <c:pt idx="624">
                  <c:v>0.99200000000000432</c:v>
                </c:pt>
                <c:pt idx="625">
                  <c:v>1.0000000000000042</c:v>
                </c:pt>
                <c:pt idx="626">
                  <c:v>1.0080000000000042</c:v>
                </c:pt>
                <c:pt idx="627">
                  <c:v>1.0160000000000042</c:v>
                </c:pt>
                <c:pt idx="628">
                  <c:v>1.0240000000000042</c:v>
                </c:pt>
                <c:pt idx="629">
                  <c:v>1.0320000000000042</c:v>
                </c:pt>
                <c:pt idx="630">
                  <c:v>1.0400000000000043</c:v>
                </c:pt>
                <c:pt idx="631">
                  <c:v>1.0480000000000043</c:v>
                </c:pt>
                <c:pt idx="632">
                  <c:v>1.0560000000000043</c:v>
                </c:pt>
                <c:pt idx="633">
                  <c:v>1.0640000000000043</c:v>
                </c:pt>
                <c:pt idx="634">
                  <c:v>1.0720000000000043</c:v>
                </c:pt>
                <c:pt idx="635">
                  <c:v>1.0800000000000043</c:v>
                </c:pt>
                <c:pt idx="636">
                  <c:v>1.0880000000000043</c:v>
                </c:pt>
                <c:pt idx="637">
                  <c:v>1.0960000000000043</c:v>
                </c:pt>
                <c:pt idx="638">
                  <c:v>1.1040000000000043</c:v>
                </c:pt>
                <c:pt idx="639">
                  <c:v>1.1120000000000043</c:v>
                </c:pt>
                <c:pt idx="640">
                  <c:v>1.1200000000000043</c:v>
                </c:pt>
                <c:pt idx="641">
                  <c:v>1.1280000000000043</c:v>
                </c:pt>
                <c:pt idx="642">
                  <c:v>1.1360000000000043</c:v>
                </c:pt>
                <c:pt idx="643">
                  <c:v>1.1440000000000043</c:v>
                </c:pt>
                <c:pt idx="644">
                  <c:v>1.1520000000000044</c:v>
                </c:pt>
                <c:pt idx="645">
                  <c:v>1.1600000000000044</c:v>
                </c:pt>
                <c:pt idx="646">
                  <c:v>1.1680000000000044</c:v>
                </c:pt>
                <c:pt idx="647">
                  <c:v>1.1760000000000044</c:v>
                </c:pt>
                <c:pt idx="648">
                  <c:v>1.1840000000000044</c:v>
                </c:pt>
                <c:pt idx="649">
                  <c:v>1.1920000000000044</c:v>
                </c:pt>
                <c:pt idx="650">
                  <c:v>1.2000000000000044</c:v>
                </c:pt>
                <c:pt idx="651">
                  <c:v>1.2080000000000044</c:v>
                </c:pt>
                <c:pt idx="652">
                  <c:v>1.2160000000000044</c:v>
                </c:pt>
                <c:pt idx="653">
                  <c:v>1.2240000000000044</c:v>
                </c:pt>
                <c:pt idx="654">
                  <c:v>1.2320000000000044</c:v>
                </c:pt>
                <c:pt idx="655">
                  <c:v>1.2400000000000044</c:v>
                </c:pt>
                <c:pt idx="656">
                  <c:v>1.2480000000000044</c:v>
                </c:pt>
                <c:pt idx="657">
                  <c:v>1.2560000000000044</c:v>
                </c:pt>
                <c:pt idx="658">
                  <c:v>1.2640000000000045</c:v>
                </c:pt>
                <c:pt idx="659">
                  <c:v>1.2720000000000045</c:v>
                </c:pt>
                <c:pt idx="660">
                  <c:v>1.2800000000000045</c:v>
                </c:pt>
                <c:pt idx="661">
                  <c:v>1.2880000000000045</c:v>
                </c:pt>
                <c:pt idx="662">
                  <c:v>1.2960000000000045</c:v>
                </c:pt>
                <c:pt idx="663">
                  <c:v>1.3040000000000045</c:v>
                </c:pt>
                <c:pt idx="664">
                  <c:v>1.3120000000000045</c:v>
                </c:pt>
                <c:pt idx="665">
                  <c:v>1.3200000000000045</c:v>
                </c:pt>
                <c:pt idx="666">
                  <c:v>1.3280000000000045</c:v>
                </c:pt>
                <c:pt idx="667">
                  <c:v>1.3360000000000045</c:v>
                </c:pt>
                <c:pt idx="668">
                  <c:v>1.3440000000000045</c:v>
                </c:pt>
                <c:pt idx="669">
                  <c:v>1.3520000000000045</c:v>
                </c:pt>
                <c:pt idx="670">
                  <c:v>1.3600000000000045</c:v>
                </c:pt>
                <c:pt idx="671">
                  <c:v>1.3680000000000045</c:v>
                </c:pt>
                <c:pt idx="672">
                  <c:v>1.3760000000000046</c:v>
                </c:pt>
                <c:pt idx="673">
                  <c:v>1.3840000000000046</c:v>
                </c:pt>
                <c:pt idx="674">
                  <c:v>1.3920000000000046</c:v>
                </c:pt>
                <c:pt idx="675">
                  <c:v>1.4000000000000046</c:v>
                </c:pt>
                <c:pt idx="676">
                  <c:v>1.4080000000000046</c:v>
                </c:pt>
                <c:pt idx="677">
                  <c:v>1.4160000000000046</c:v>
                </c:pt>
                <c:pt idx="678">
                  <c:v>1.4240000000000046</c:v>
                </c:pt>
                <c:pt idx="679">
                  <c:v>1.4320000000000046</c:v>
                </c:pt>
                <c:pt idx="680">
                  <c:v>1.4400000000000046</c:v>
                </c:pt>
                <c:pt idx="681">
                  <c:v>1.4480000000000046</c:v>
                </c:pt>
                <c:pt idx="682">
                  <c:v>1.4560000000000046</c:v>
                </c:pt>
                <c:pt idx="683">
                  <c:v>1.4640000000000046</c:v>
                </c:pt>
                <c:pt idx="684">
                  <c:v>1.4720000000000046</c:v>
                </c:pt>
                <c:pt idx="685">
                  <c:v>1.4800000000000046</c:v>
                </c:pt>
                <c:pt idx="686">
                  <c:v>1.4880000000000047</c:v>
                </c:pt>
                <c:pt idx="687">
                  <c:v>1.4960000000000047</c:v>
                </c:pt>
                <c:pt idx="688">
                  <c:v>1.5040000000000047</c:v>
                </c:pt>
                <c:pt idx="689">
                  <c:v>1.5120000000000047</c:v>
                </c:pt>
                <c:pt idx="690">
                  <c:v>1.5200000000000047</c:v>
                </c:pt>
                <c:pt idx="691">
                  <c:v>1.5280000000000047</c:v>
                </c:pt>
                <c:pt idx="692">
                  <c:v>1.5360000000000047</c:v>
                </c:pt>
                <c:pt idx="693">
                  <c:v>1.5440000000000047</c:v>
                </c:pt>
                <c:pt idx="694">
                  <c:v>1.5520000000000047</c:v>
                </c:pt>
                <c:pt idx="695">
                  <c:v>1.5600000000000047</c:v>
                </c:pt>
                <c:pt idx="696">
                  <c:v>1.5680000000000047</c:v>
                </c:pt>
                <c:pt idx="697">
                  <c:v>1.5760000000000047</c:v>
                </c:pt>
                <c:pt idx="698">
                  <c:v>1.5840000000000047</c:v>
                </c:pt>
                <c:pt idx="699">
                  <c:v>1.5920000000000047</c:v>
                </c:pt>
                <c:pt idx="700">
                  <c:v>1.6000000000000048</c:v>
                </c:pt>
                <c:pt idx="701">
                  <c:v>1.6080000000000048</c:v>
                </c:pt>
                <c:pt idx="702">
                  <c:v>1.6160000000000048</c:v>
                </c:pt>
                <c:pt idx="703">
                  <c:v>1.6240000000000048</c:v>
                </c:pt>
                <c:pt idx="704">
                  <c:v>1.6320000000000048</c:v>
                </c:pt>
                <c:pt idx="705">
                  <c:v>1.6400000000000048</c:v>
                </c:pt>
                <c:pt idx="706">
                  <c:v>1.6480000000000048</c:v>
                </c:pt>
                <c:pt idx="707">
                  <c:v>1.6560000000000048</c:v>
                </c:pt>
                <c:pt idx="708">
                  <c:v>1.6640000000000048</c:v>
                </c:pt>
                <c:pt idx="709">
                  <c:v>1.6720000000000048</c:v>
                </c:pt>
                <c:pt idx="710">
                  <c:v>1.6800000000000048</c:v>
                </c:pt>
                <c:pt idx="711">
                  <c:v>1.6880000000000048</c:v>
                </c:pt>
                <c:pt idx="712">
                  <c:v>1.6960000000000048</c:v>
                </c:pt>
                <c:pt idx="713">
                  <c:v>1.7040000000000048</c:v>
                </c:pt>
                <c:pt idx="714">
                  <c:v>1.7120000000000049</c:v>
                </c:pt>
                <c:pt idx="715">
                  <c:v>1.7200000000000049</c:v>
                </c:pt>
                <c:pt idx="716">
                  <c:v>1.7280000000000049</c:v>
                </c:pt>
                <c:pt idx="717">
                  <c:v>1.7360000000000049</c:v>
                </c:pt>
                <c:pt idx="718">
                  <c:v>1.7440000000000049</c:v>
                </c:pt>
                <c:pt idx="719">
                  <c:v>1.7520000000000049</c:v>
                </c:pt>
                <c:pt idx="720">
                  <c:v>1.7600000000000049</c:v>
                </c:pt>
                <c:pt idx="721">
                  <c:v>1.7680000000000049</c:v>
                </c:pt>
                <c:pt idx="722">
                  <c:v>1.7760000000000049</c:v>
                </c:pt>
                <c:pt idx="723">
                  <c:v>1.7840000000000049</c:v>
                </c:pt>
                <c:pt idx="724">
                  <c:v>1.7920000000000049</c:v>
                </c:pt>
                <c:pt idx="725">
                  <c:v>1.8000000000000049</c:v>
                </c:pt>
                <c:pt idx="726">
                  <c:v>1.8080000000000049</c:v>
                </c:pt>
                <c:pt idx="727">
                  <c:v>1.8160000000000049</c:v>
                </c:pt>
                <c:pt idx="728">
                  <c:v>1.824000000000005</c:v>
                </c:pt>
                <c:pt idx="729">
                  <c:v>1.832000000000005</c:v>
                </c:pt>
                <c:pt idx="730">
                  <c:v>1.840000000000005</c:v>
                </c:pt>
                <c:pt idx="731">
                  <c:v>1.848000000000005</c:v>
                </c:pt>
                <c:pt idx="732">
                  <c:v>1.856000000000005</c:v>
                </c:pt>
                <c:pt idx="733">
                  <c:v>1.864000000000005</c:v>
                </c:pt>
                <c:pt idx="734">
                  <c:v>1.872000000000005</c:v>
                </c:pt>
                <c:pt idx="735">
                  <c:v>1.880000000000005</c:v>
                </c:pt>
                <c:pt idx="736">
                  <c:v>1.888000000000005</c:v>
                </c:pt>
                <c:pt idx="737">
                  <c:v>1.896000000000005</c:v>
                </c:pt>
                <c:pt idx="738">
                  <c:v>1.904000000000005</c:v>
                </c:pt>
                <c:pt idx="739">
                  <c:v>1.912000000000005</c:v>
                </c:pt>
                <c:pt idx="740">
                  <c:v>1.920000000000005</c:v>
                </c:pt>
                <c:pt idx="741">
                  <c:v>1.928000000000005</c:v>
                </c:pt>
                <c:pt idx="742">
                  <c:v>1.9360000000000051</c:v>
                </c:pt>
                <c:pt idx="743">
                  <c:v>1.9440000000000051</c:v>
                </c:pt>
                <c:pt idx="744">
                  <c:v>1.9520000000000051</c:v>
                </c:pt>
                <c:pt idx="745">
                  <c:v>1.9600000000000051</c:v>
                </c:pt>
                <c:pt idx="746">
                  <c:v>1.9680000000000051</c:v>
                </c:pt>
                <c:pt idx="747">
                  <c:v>1.9760000000000051</c:v>
                </c:pt>
                <c:pt idx="748">
                  <c:v>1.9840000000000051</c:v>
                </c:pt>
                <c:pt idx="749">
                  <c:v>1.9920000000000051</c:v>
                </c:pt>
                <c:pt idx="750">
                  <c:v>2.0000000000000049</c:v>
                </c:pt>
                <c:pt idx="751">
                  <c:v>2.0080000000000049</c:v>
                </c:pt>
                <c:pt idx="752">
                  <c:v>2.0160000000000049</c:v>
                </c:pt>
                <c:pt idx="753">
                  <c:v>2.0240000000000049</c:v>
                </c:pt>
                <c:pt idx="754">
                  <c:v>2.0320000000000049</c:v>
                </c:pt>
                <c:pt idx="755">
                  <c:v>2.0400000000000049</c:v>
                </c:pt>
                <c:pt idx="756">
                  <c:v>2.0480000000000049</c:v>
                </c:pt>
                <c:pt idx="757">
                  <c:v>2.0560000000000049</c:v>
                </c:pt>
                <c:pt idx="758">
                  <c:v>2.0640000000000049</c:v>
                </c:pt>
                <c:pt idx="759">
                  <c:v>2.0720000000000049</c:v>
                </c:pt>
                <c:pt idx="760">
                  <c:v>2.080000000000005</c:v>
                </c:pt>
                <c:pt idx="761">
                  <c:v>2.088000000000005</c:v>
                </c:pt>
                <c:pt idx="762">
                  <c:v>2.096000000000005</c:v>
                </c:pt>
                <c:pt idx="763">
                  <c:v>2.104000000000005</c:v>
                </c:pt>
                <c:pt idx="764">
                  <c:v>2.112000000000005</c:v>
                </c:pt>
                <c:pt idx="765">
                  <c:v>2.120000000000005</c:v>
                </c:pt>
                <c:pt idx="766">
                  <c:v>2.128000000000005</c:v>
                </c:pt>
                <c:pt idx="767">
                  <c:v>2.136000000000005</c:v>
                </c:pt>
                <c:pt idx="768">
                  <c:v>2.144000000000005</c:v>
                </c:pt>
                <c:pt idx="769">
                  <c:v>2.152000000000005</c:v>
                </c:pt>
                <c:pt idx="770">
                  <c:v>2.160000000000005</c:v>
                </c:pt>
                <c:pt idx="771">
                  <c:v>2.168000000000005</c:v>
                </c:pt>
                <c:pt idx="772">
                  <c:v>2.176000000000005</c:v>
                </c:pt>
                <c:pt idx="773">
                  <c:v>2.184000000000005</c:v>
                </c:pt>
                <c:pt idx="774">
                  <c:v>2.1920000000000051</c:v>
                </c:pt>
                <c:pt idx="775">
                  <c:v>2.2000000000000051</c:v>
                </c:pt>
                <c:pt idx="776">
                  <c:v>2.2080000000000051</c:v>
                </c:pt>
                <c:pt idx="777">
                  <c:v>2.2160000000000051</c:v>
                </c:pt>
                <c:pt idx="778">
                  <c:v>2.2240000000000051</c:v>
                </c:pt>
                <c:pt idx="779">
                  <c:v>2.2320000000000051</c:v>
                </c:pt>
                <c:pt idx="780">
                  <c:v>2.2400000000000051</c:v>
                </c:pt>
                <c:pt idx="781">
                  <c:v>2.2480000000000051</c:v>
                </c:pt>
                <c:pt idx="782">
                  <c:v>2.2560000000000051</c:v>
                </c:pt>
                <c:pt idx="783">
                  <c:v>2.2640000000000051</c:v>
                </c:pt>
                <c:pt idx="784">
                  <c:v>2.2720000000000051</c:v>
                </c:pt>
                <c:pt idx="785">
                  <c:v>2.2800000000000051</c:v>
                </c:pt>
                <c:pt idx="786">
                  <c:v>2.2880000000000051</c:v>
                </c:pt>
                <c:pt idx="787">
                  <c:v>2.2960000000000051</c:v>
                </c:pt>
                <c:pt idx="788">
                  <c:v>2.3040000000000052</c:v>
                </c:pt>
                <c:pt idx="789">
                  <c:v>2.3120000000000052</c:v>
                </c:pt>
                <c:pt idx="790">
                  <c:v>2.3200000000000052</c:v>
                </c:pt>
                <c:pt idx="791">
                  <c:v>2.3280000000000052</c:v>
                </c:pt>
                <c:pt idx="792">
                  <c:v>2.3360000000000052</c:v>
                </c:pt>
                <c:pt idx="793">
                  <c:v>2.3440000000000052</c:v>
                </c:pt>
                <c:pt idx="794">
                  <c:v>2.3520000000000052</c:v>
                </c:pt>
                <c:pt idx="795">
                  <c:v>2.3600000000000052</c:v>
                </c:pt>
                <c:pt idx="796">
                  <c:v>2.3680000000000052</c:v>
                </c:pt>
                <c:pt idx="797">
                  <c:v>2.3760000000000052</c:v>
                </c:pt>
                <c:pt idx="798">
                  <c:v>2.3840000000000052</c:v>
                </c:pt>
                <c:pt idx="799">
                  <c:v>2.3920000000000052</c:v>
                </c:pt>
                <c:pt idx="800">
                  <c:v>2.4000000000000052</c:v>
                </c:pt>
                <c:pt idx="801">
                  <c:v>2.4080000000000052</c:v>
                </c:pt>
                <c:pt idx="802">
                  <c:v>2.4160000000000053</c:v>
                </c:pt>
                <c:pt idx="803">
                  <c:v>2.4240000000000053</c:v>
                </c:pt>
                <c:pt idx="804">
                  <c:v>2.4320000000000053</c:v>
                </c:pt>
                <c:pt idx="805">
                  <c:v>2.4400000000000053</c:v>
                </c:pt>
                <c:pt idx="806">
                  <c:v>2.4480000000000053</c:v>
                </c:pt>
                <c:pt idx="807">
                  <c:v>2.4560000000000053</c:v>
                </c:pt>
                <c:pt idx="808">
                  <c:v>2.4640000000000053</c:v>
                </c:pt>
                <c:pt idx="809">
                  <c:v>2.4720000000000053</c:v>
                </c:pt>
                <c:pt idx="810">
                  <c:v>2.4800000000000053</c:v>
                </c:pt>
                <c:pt idx="811">
                  <c:v>2.4880000000000053</c:v>
                </c:pt>
                <c:pt idx="812">
                  <c:v>2.4960000000000053</c:v>
                </c:pt>
                <c:pt idx="813">
                  <c:v>2.5040000000000053</c:v>
                </c:pt>
                <c:pt idx="814">
                  <c:v>2.5120000000000053</c:v>
                </c:pt>
                <c:pt idx="815">
                  <c:v>2.5200000000000053</c:v>
                </c:pt>
                <c:pt idx="816">
                  <c:v>2.5280000000000054</c:v>
                </c:pt>
                <c:pt idx="817">
                  <c:v>2.5360000000000054</c:v>
                </c:pt>
                <c:pt idx="818">
                  <c:v>2.5440000000000054</c:v>
                </c:pt>
                <c:pt idx="819">
                  <c:v>2.5520000000000054</c:v>
                </c:pt>
                <c:pt idx="820">
                  <c:v>2.5600000000000054</c:v>
                </c:pt>
                <c:pt idx="821">
                  <c:v>2.5680000000000054</c:v>
                </c:pt>
                <c:pt idx="822">
                  <c:v>2.5760000000000054</c:v>
                </c:pt>
                <c:pt idx="823">
                  <c:v>2.5840000000000054</c:v>
                </c:pt>
                <c:pt idx="824">
                  <c:v>2.5920000000000054</c:v>
                </c:pt>
                <c:pt idx="825">
                  <c:v>2.6000000000000054</c:v>
                </c:pt>
                <c:pt idx="826">
                  <c:v>2.6080000000000054</c:v>
                </c:pt>
                <c:pt idx="827">
                  <c:v>2.6160000000000054</c:v>
                </c:pt>
                <c:pt idx="828">
                  <c:v>2.6240000000000054</c:v>
                </c:pt>
                <c:pt idx="829">
                  <c:v>2.6320000000000054</c:v>
                </c:pt>
                <c:pt idx="830">
                  <c:v>2.6400000000000055</c:v>
                </c:pt>
                <c:pt idx="831">
                  <c:v>2.6480000000000055</c:v>
                </c:pt>
                <c:pt idx="832">
                  <c:v>2.6560000000000055</c:v>
                </c:pt>
                <c:pt idx="833">
                  <c:v>2.6640000000000055</c:v>
                </c:pt>
                <c:pt idx="834">
                  <c:v>2.6720000000000055</c:v>
                </c:pt>
                <c:pt idx="835">
                  <c:v>2.6800000000000055</c:v>
                </c:pt>
                <c:pt idx="836">
                  <c:v>2.6880000000000055</c:v>
                </c:pt>
                <c:pt idx="837">
                  <c:v>2.6960000000000055</c:v>
                </c:pt>
                <c:pt idx="838">
                  <c:v>2.7040000000000055</c:v>
                </c:pt>
                <c:pt idx="839">
                  <c:v>2.7120000000000055</c:v>
                </c:pt>
                <c:pt idx="840">
                  <c:v>2.7200000000000055</c:v>
                </c:pt>
                <c:pt idx="841">
                  <c:v>2.7280000000000055</c:v>
                </c:pt>
                <c:pt idx="842">
                  <c:v>2.7360000000000055</c:v>
                </c:pt>
                <c:pt idx="843">
                  <c:v>2.7440000000000055</c:v>
                </c:pt>
                <c:pt idx="844">
                  <c:v>2.7520000000000056</c:v>
                </c:pt>
                <c:pt idx="845">
                  <c:v>2.7600000000000056</c:v>
                </c:pt>
                <c:pt idx="846">
                  <c:v>2.7680000000000056</c:v>
                </c:pt>
                <c:pt idx="847">
                  <c:v>2.7760000000000056</c:v>
                </c:pt>
                <c:pt idx="848">
                  <c:v>2.7840000000000056</c:v>
                </c:pt>
                <c:pt idx="849">
                  <c:v>2.7920000000000056</c:v>
                </c:pt>
                <c:pt idx="850">
                  <c:v>2.8000000000000056</c:v>
                </c:pt>
                <c:pt idx="851">
                  <c:v>2.8080000000000056</c:v>
                </c:pt>
                <c:pt idx="852">
                  <c:v>2.8160000000000056</c:v>
                </c:pt>
                <c:pt idx="853">
                  <c:v>2.8240000000000056</c:v>
                </c:pt>
                <c:pt idx="854">
                  <c:v>2.8320000000000056</c:v>
                </c:pt>
                <c:pt idx="855">
                  <c:v>2.8400000000000056</c:v>
                </c:pt>
                <c:pt idx="856">
                  <c:v>2.8480000000000056</c:v>
                </c:pt>
                <c:pt idx="857">
                  <c:v>2.8560000000000056</c:v>
                </c:pt>
                <c:pt idx="858">
                  <c:v>2.8640000000000057</c:v>
                </c:pt>
                <c:pt idx="859">
                  <c:v>2.8720000000000057</c:v>
                </c:pt>
                <c:pt idx="860">
                  <c:v>2.8800000000000057</c:v>
                </c:pt>
                <c:pt idx="861">
                  <c:v>2.8880000000000057</c:v>
                </c:pt>
                <c:pt idx="862">
                  <c:v>2.8960000000000057</c:v>
                </c:pt>
                <c:pt idx="863">
                  <c:v>2.9040000000000057</c:v>
                </c:pt>
                <c:pt idx="864">
                  <c:v>2.9120000000000057</c:v>
                </c:pt>
                <c:pt idx="865">
                  <c:v>2.9200000000000057</c:v>
                </c:pt>
                <c:pt idx="866">
                  <c:v>2.9280000000000057</c:v>
                </c:pt>
                <c:pt idx="867">
                  <c:v>2.9360000000000057</c:v>
                </c:pt>
                <c:pt idx="868">
                  <c:v>2.9440000000000057</c:v>
                </c:pt>
                <c:pt idx="869">
                  <c:v>2.9520000000000057</c:v>
                </c:pt>
                <c:pt idx="870">
                  <c:v>2.9600000000000057</c:v>
                </c:pt>
                <c:pt idx="871">
                  <c:v>2.9680000000000057</c:v>
                </c:pt>
                <c:pt idx="872">
                  <c:v>2.9760000000000058</c:v>
                </c:pt>
                <c:pt idx="873">
                  <c:v>2.9840000000000058</c:v>
                </c:pt>
                <c:pt idx="874">
                  <c:v>2.9920000000000058</c:v>
                </c:pt>
                <c:pt idx="875">
                  <c:v>3.0000000000000058</c:v>
                </c:pt>
                <c:pt idx="876">
                  <c:v>3.0080000000000058</c:v>
                </c:pt>
                <c:pt idx="877">
                  <c:v>3.0160000000000058</c:v>
                </c:pt>
                <c:pt idx="878">
                  <c:v>3.0240000000000058</c:v>
                </c:pt>
                <c:pt idx="879">
                  <c:v>3.0320000000000058</c:v>
                </c:pt>
                <c:pt idx="880">
                  <c:v>3.0400000000000058</c:v>
                </c:pt>
                <c:pt idx="881">
                  <c:v>3.0480000000000058</c:v>
                </c:pt>
                <c:pt idx="882">
                  <c:v>3.0560000000000058</c:v>
                </c:pt>
                <c:pt idx="883">
                  <c:v>3.0640000000000058</c:v>
                </c:pt>
                <c:pt idx="884">
                  <c:v>3.0720000000000058</c:v>
                </c:pt>
                <c:pt idx="885">
                  <c:v>3.0800000000000058</c:v>
                </c:pt>
                <c:pt idx="886">
                  <c:v>3.0880000000000059</c:v>
                </c:pt>
                <c:pt idx="887">
                  <c:v>3.0960000000000059</c:v>
                </c:pt>
                <c:pt idx="888">
                  <c:v>3.1040000000000059</c:v>
                </c:pt>
                <c:pt idx="889">
                  <c:v>3.1120000000000059</c:v>
                </c:pt>
                <c:pt idx="890">
                  <c:v>3.1200000000000059</c:v>
                </c:pt>
                <c:pt idx="891">
                  <c:v>3.1280000000000059</c:v>
                </c:pt>
                <c:pt idx="892">
                  <c:v>3.1360000000000059</c:v>
                </c:pt>
                <c:pt idx="893">
                  <c:v>3.1440000000000059</c:v>
                </c:pt>
                <c:pt idx="894">
                  <c:v>3.1520000000000059</c:v>
                </c:pt>
                <c:pt idx="895">
                  <c:v>3.1600000000000059</c:v>
                </c:pt>
                <c:pt idx="896">
                  <c:v>3.1680000000000059</c:v>
                </c:pt>
                <c:pt idx="897">
                  <c:v>3.1760000000000059</c:v>
                </c:pt>
                <c:pt idx="898">
                  <c:v>3.1840000000000059</c:v>
                </c:pt>
                <c:pt idx="899">
                  <c:v>3.1920000000000059</c:v>
                </c:pt>
                <c:pt idx="900">
                  <c:v>3.200000000000006</c:v>
                </c:pt>
                <c:pt idx="901">
                  <c:v>3.208000000000006</c:v>
                </c:pt>
                <c:pt idx="902">
                  <c:v>3.216000000000006</c:v>
                </c:pt>
                <c:pt idx="903">
                  <c:v>3.224000000000006</c:v>
                </c:pt>
                <c:pt idx="904">
                  <c:v>3.232000000000006</c:v>
                </c:pt>
                <c:pt idx="905">
                  <c:v>3.240000000000006</c:v>
                </c:pt>
                <c:pt idx="906">
                  <c:v>3.248000000000006</c:v>
                </c:pt>
                <c:pt idx="907">
                  <c:v>3.256000000000006</c:v>
                </c:pt>
                <c:pt idx="908">
                  <c:v>3.264000000000006</c:v>
                </c:pt>
                <c:pt idx="909">
                  <c:v>3.272000000000006</c:v>
                </c:pt>
                <c:pt idx="910">
                  <c:v>3.280000000000006</c:v>
                </c:pt>
                <c:pt idx="911">
                  <c:v>3.288000000000006</c:v>
                </c:pt>
                <c:pt idx="912">
                  <c:v>3.296000000000006</c:v>
                </c:pt>
                <c:pt idx="913">
                  <c:v>3.304000000000006</c:v>
                </c:pt>
                <c:pt idx="914">
                  <c:v>3.3120000000000061</c:v>
                </c:pt>
                <c:pt idx="915">
                  <c:v>3.3200000000000061</c:v>
                </c:pt>
                <c:pt idx="916">
                  <c:v>3.3280000000000061</c:v>
                </c:pt>
                <c:pt idx="917">
                  <c:v>3.3360000000000061</c:v>
                </c:pt>
                <c:pt idx="918">
                  <c:v>3.3440000000000061</c:v>
                </c:pt>
                <c:pt idx="919">
                  <c:v>3.3520000000000061</c:v>
                </c:pt>
                <c:pt idx="920">
                  <c:v>3.3600000000000061</c:v>
                </c:pt>
                <c:pt idx="921">
                  <c:v>3.3680000000000061</c:v>
                </c:pt>
                <c:pt idx="922">
                  <c:v>3.3760000000000061</c:v>
                </c:pt>
                <c:pt idx="923">
                  <c:v>3.3840000000000061</c:v>
                </c:pt>
                <c:pt idx="924">
                  <c:v>3.3920000000000061</c:v>
                </c:pt>
                <c:pt idx="925">
                  <c:v>3.4000000000000061</c:v>
                </c:pt>
                <c:pt idx="926">
                  <c:v>3.4080000000000061</c:v>
                </c:pt>
                <c:pt idx="927">
                  <c:v>3.4160000000000061</c:v>
                </c:pt>
                <c:pt idx="928">
                  <c:v>3.4240000000000061</c:v>
                </c:pt>
                <c:pt idx="929">
                  <c:v>3.4320000000000062</c:v>
                </c:pt>
                <c:pt idx="930">
                  <c:v>3.4400000000000062</c:v>
                </c:pt>
                <c:pt idx="931">
                  <c:v>3.4480000000000062</c:v>
                </c:pt>
                <c:pt idx="932">
                  <c:v>3.4560000000000062</c:v>
                </c:pt>
                <c:pt idx="933">
                  <c:v>3.4640000000000062</c:v>
                </c:pt>
                <c:pt idx="934">
                  <c:v>3.4720000000000062</c:v>
                </c:pt>
                <c:pt idx="935">
                  <c:v>3.4800000000000062</c:v>
                </c:pt>
                <c:pt idx="936">
                  <c:v>3.4880000000000062</c:v>
                </c:pt>
                <c:pt idx="937">
                  <c:v>3.4960000000000062</c:v>
                </c:pt>
                <c:pt idx="938">
                  <c:v>3.5040000000000062</c:v>
                </c:pt>
                <c:pt idx="939">
                  <c:v>3.5120000000000062</c:v>
                </c:pt>
                <c:pt idx="940">
                  <c:v>3.5200000000000062</c:v>
                </c:pt>
                <c:pt idx="941">
                  <c:v>3.5280000000000062</c:v>
                </c:pt>
                <c:pt idx="942">
                  <c:v>3.5360000000000062</c:v>
                </c:pt>
                <c:pt idx="943">
                  <c:v>3.5440000000000063</c:v>
                </c:pt>
                <c:pt idx="944">
                  <c:v>3.5520000000000063</c:v>
                </c:pt>
                <c:pt idx="945">
                  <c:v>3.5600000000000063</c:v>
                </c:pt>
                <c:pt idx="946">
                  <c:v>3.5680000000000063</c:v>
                </c:pt>
                <c:pt idx="947">
                  <c:v>3.5760000000000063</c:v>
                </c:pt>
                <c:pt idx="948">
                  <c:v>3.5840000000000063</c:v>
                </c:pt>
                <c:pt idx="949">
                  <c:v>3.5920000000000063</c:v>
                </c:pt>
                <c:pt idx="950">
                  <c:v>3.6000000000000063</c:v>
                </c:pt>
                <c:pt idx="951">
                  <c:v>3.6080000000000063</c:v>
                </c:pt>
                <c:pt idx="952">
                  <c:v>3.6160000000000063</c:v>
                </c:pt>
                <c:pt idx="953">
                  <c:v>3.6240000000000063</c:v>
                </c:pt>
                <c:pt idx="954">
                  <c:v>3.6320000000000063</c:v>
                </c:pt>
                <c:pt idx="955">
                  <c:v>3.6400000000000063</c:v>
                </c:pt>
                <c:pt idx="956">
                  <c:v>3.6480000000000063</c:v>
                </c:pt>
                <c:pt idx="957">
                  <c:v>3.6560000000000064</c:v>
                </c:pt>
                <c:pt idx="958">
                  <c:v>3.6640000000000064</c:v>
                </c:pt>
                <c:pt idx="959">
                  <c:v>3.6720000000000064</c:v>
                </c:pt>
                <c:pt idx="960">
                  <c:v>3.6800000000000064</c:v>
                </c:pt>
                <c:pt idx="961">
                  <c:v>3.6880000000000064</c:v>
                </c:pt>
                <c:pt idx="962">
                  <c:v>3.6960000000000064</c:v>
                </c:pt>
                <c:pt idx="963">
                  <c:v>3.7040000000000064</c:v>
                </c:pt>
                <c:pt idx="964">
                  <c:v>3.7120000000000064</c:v>
                </c:pt>
                <c:pt idx="965">
                  <c:v>3.7200000000000064</c:v>
                </c:pt>
                <c:pt idx="966">
                  <c:v>3.7280000000000064</c:v>
                </c:pt>
                <c:pt idx="967">
                  <c:v>3.7360000000000064</c:v>
                </c:pt>
                <c:pt idx="968">
                  <c:v>3.7440000000000064</c:v>
                </c:pt>
                <c:pt idx="969">
                  <c:v>3.7520000000000064</c:v>
                </c:pt>
                <c:pt idx="970">
                  <c:v>3.7600000000000064</c:v>
                </c:pt>
                <c:pt idx="971">
                  <c:v>3.7680000000000065</c:v>
                </c:pt>
                <c:pt idx="972">
                  <c:v>3.7760000000000065</c:v>
                </c:pt>
                <c:pt idx="973">
                  <c:v>3.7840000000000065</c:v>
                </c:pt>
                <c:pt idx="974">
                  <c:v>3.7920000000000065</c:v>
                </c:pt>
                <c:pt idx="975">
                  <c:v>3.8000000000000065</c:v>
                </c:pt>
                <c:pt idx="976">
                  <c:v>3.8080000000000065</c:v>
                </c:pt>
                <c:pt idx="977">
                  <c:v>3.8160000000000065</c:v>
                </c:pt>
                <c:pt idx="978">
                  <c:v>3.8240000000000065</c:v>
                </c:pt>
                <c:pt idx="979">
                  <c:v>3.8320000000000065</c:v>
                </c:pt>
                <c:pt idx="980">
                  <c:v>3.8400000000000065</c:v>
                </c:pt>
                <c:pt idx="981">
                  <c:v>3.8480000000000065</c:v>
                </c:pt>
                <c:pt idx="982">
                  <c:v>3.8560000000000065</c:v>
                </c:pt>
                <c:pt idx="983">
                  <c:v>3.8640000000000065</c:v>
                </c:pt>
                <c:pt idx="984">
                  <c:v>3.8720000000000065</c:v>
                </c:pt>
                <c:pt idx="985">
                  <c:v>3.8800000000000066</c:v>
                </c:pt>
                <c:pt idx="986">
                  <c:v>3.8880000000000066</c:v>
                </c:pt>
                <c:pt idx="987">
                  <c:v>3.8960000000000066</c:v>
                </c:pt>
                <c:pt idx="988">
                  <c:v>3.9040000000000066</c:v>
                </c:pt>
                <c:pt idx="989">
                  <c:v>3.9120000000000066</c:v>
                </c:pt>
                <c:pt idx="990">
                  <c:v>3.9200000000000066</c:v>
                </c:pt>
                <c:pt idx="991">
                  <c:v>3.9280000000000066</c:v>
                </c:pt>
                <c:pt idx="992">
                  <c:v>3.9360000000000066</c:v>
                </c:pt>
                <c:pt idx="993">
                  <c:v>3.9440000000000066</c:v>
                </c:pt>
                <c:pt idx="994">
                  <c:v>3.9520000000000066</c:v>
                </c:pt>
                <c:pt idx="995">
                  <c:v>3.9600000000000066</c:v>
                </c:pt>
                <c:pt idx="996">
                  <c:v>3.9680000000000066</c:v>
                </c:pt>
                <c:pt idx="997">
                  <c:v>3.9760000000000066</c:v>
                </c:pt>
                <c:pt idx="998">
                  <c:v>3.9840000000000066</c:v>
                </c:pt>
                <c:pt idx="999">
                  <c:v>3.9920000000000067</c:v>
                </c:pt>
                <c:pt idx="1000">
                  <c:v>4.0000000000000062</c:v>
                </c:pt>
              </c:numCache>
            </c:numRef>
          </c:xVal>
          <c:yVal>
            <c:numRef>
              <c:f>'d picture'!$AL$10:$AL$1010</c:f>
              <c:numCache>
                <c:formatCode>General</c:formatCode>
                <c:ptCount val="1001"/>
                <c:pt idx="0">
                  <c:v>4.7718636541204945E-5</c:v>
                </c:pt>
                <c:pt idx="1">
                  <c:v>4.9367387037922914E-5</c:v>
                </c:pt>
                <c:pt idx="2">
                  <c:v>5.1069835764253548E-5</c:v>
                </c:pt>
                <c:pt idx="3">
                  <c:v>5.2827612855543502E-5</c:v>
                </c:pt>
                <c:pt idx="4">
                  <c:v>5.4642393803355034E-5</c:v>
                </c:pt>
                <c:pt idx="5">
                  <c:v>5.6515900580307401E-5</c:v>
                </c:pt>
                <c:pt idx="6">
                  <c:v>5.8449902788467873E-5</c:v>
                </c:pt>
                <c:pt idx="7">
                  <c:v>6.0446218831654095E-5</c:v>
                </c:pt>
                <c:pt idx="8">
                  <c:v>6.2506717112008732E-5</c:v>
                </c:pt>
                <c:pt idx="9">
                  <c:v>6.4633317251211537E-5</c:v>
                </c:pt>
                <c:pt idx="10">
                  <c:v>6.6827991336690596E-5</c:v>
                </c:pt>
                <c:pt idx="11">
                  <c:v>6.9092765193201589E-5</c:v>
                </c:pt>
                <c:pt idx="12">
                  <c:v>7.1429719680138058E-5</c:v>
                </c:pt>
                <c:pt idx="13">
                  <c:v>7.3840992014943631E-5</c:v>
                </c:pt>
                <c:pt idx="14">
                  <c:v>7.6328777122990042E-5</c:v>
                </c:pt>
                <c:pt idx="15">
                  <c:v>7.8895329014293074E-5</c:v>
                </c:pt>
                <c:pt idx="16">
                  <c:v>8.1542962187431008E-5</c:v>
                </c:pt>
                <c:pt idx="17">
                  <c:v>8.4274053061036996E-5</c:v>
                </c:pt>
                <c:pt idx="18">
                  <c:v>8.7091041433232642E-5</c:v>
                </c:pt>
                <c:pt idx="19">
                  <c:v>8.9996431969369112E-5</c:v>
                </c:pt>
                <c:pt idx="20">
                  <c:v>9.2992795718445893E-5</c:v>
                </c:pt>
                <c:pt idx="21">
                  <c:v>9.6082771658571804E-5</c:v>
                </c:pt>
                <c:pt idx="22">
                  <c:v>9.9269068271834273E-5</c:v>
                </c:pt>
                <c:pt idx="23">
                  <c:v>1.0255446514894239E-4</c:v>
                </c:pt>
                <c:pt idx="24">
                  <c:v>1.0594181462400379E-4</c:v>
                </c:pt>
                <c:pt idx="25">
                  <c:v>1.0943404343980053E-4</c:v>
                </c:pt>
                <c:pt idx="26">
                  <c:v>1.1303415444392027E-4</c:v>
                </c:pt>
                <c:pt idx="27">
                  <c:v>1.1674522831610119E-4</c:v>
                </c:pt>
                <c:pt idx="28">
                  <c:v>1.2057042532714551E-4</c:v>
                </c:pt>
                <c:pt idx="29">
                  <c:v>1.2451298712975214E-4</c:v>
                </c:pt>
                <c:pt idx="30">
                  <c:v>1.2857623858162105E-4</c:v>
                </c:pt>
                <c:pt idx="31">
                  <c:v>1.3276358960117069E-4</c:v>
                </c:pt>
                <c:pt idx="32">
                  <c:v>1.3707853705621434E-4</c:v>
                </c:pt>
                <c:pt idx="33">
                  <c:v>1.4152466668593172E-4</c:v>
                </c:pt>
                <c:pt idx="34">
                  <c:v>1.4610565505647236E-4</c:v>
                </c:pt>
                <c:pt idx="35">
                  <c:v>1.5082527155051804E-4</c:v>
                </c:pt>
                <c:pt idx="36">
                  <c:v>1.5568738039113182E-4</c:v>
                </c:pt>
                <c:pt idx="37">
                  <c:v>1.6069594270021244E-4</c:v>
                </c:pt>
                <c:pt idx="38">
                  <c:v>1.6585501859187006E-4</c:v>
                </c:pt>
                <c:pt idx="39">
                  <c:v>1.7116876930103016E-4</c:v>
                </c:pt>
                <c:pt idx="40">
                  <c:v>1.7664145934757119E-4</c:v>
                </c:pt>
                <c:pt idx="41">
                  <c:v>1.8227745873629022E-4</c:v>
                </c:pt>
                <c:pt idx="42">
                  <c:v>1.8808124519298835E-4</c:v>
                </c:pt>
                <c:pt idx="43">
                  <c:v>1.9405740643695614E-4</c:v>
                </c:pt>
                <c:pt idx="44">
                  <c:v>2.0021064249013581E-4</c:v>
                </c:pt>
                <c:pt idx="45">
                  <c:v>2.0654576802322584E-4</c:v>
                </c:pt>
                <c:pt idx="46">
                  <c:v>2.1306771473898907E-4</c:v>
                </c:pt>
                <c:pt idx="47">
                  <c:v>2.1978153379301036E-4</c:v>
                </c:pt>
                <c:pt idx="48">
                  <c:v>2.2669239825214975E-4</c:v>
                </c:pt>
                <c:pt idx="49">
                  <c:v>2.3380560559091703E-4</c:v>
                </c:pt>
                <c:pt idx="50">
                  <c:v>2.4112658022599364E-4</c:v>
                </c:pt>
                <c:pt idx="51">
                  <c:v>2.4866087608911141E-4</c:v>
                </c:pt>
                <c:pt idx="52">
                  <c:v>2.5641417923848593E-4</c:v>
                </c:pt>
                <c:pt idx="53">
                  <c:v>2.6439231050899776E-4</c:v>
                </c:pt>
                <c:pt idx="54">
                  <c:v>2.7260122820129545E-4</c:v>
                </c:pt>
                <c:pt idx="55">
                  <c:v>2.8104703080998681E-4</c:v>
                </c:pt>
                <c:pt idx="56">
                  <c:v>2.8973595979106938E-4</c:v>
                </c:pt>
                <c:pt idx="57">
                  <c:v>2.9867440236874289E-4</c:v>
                </c:pt>
                <c:pt idx="58">
                  <c:v>3.07868894381724E-4</c:v>
                </c:pt>
                <c:pt idx="59">
                  <c:v>3.1732612316918025E-4</c:v>
                </c:pt>
                <c:pt idx="60">
                  <c:v>3.2705293049637525E-4</c:v>
                </c:pt>
                <c:pt idx="61">
                  <c:v>3.3705631552011347E-4</c:v>
                </c:pt>
                <c:pt idx="62">
                  <c:v>3.4734343779404278E-4</c:v>
                </c:pt>
                <c:pt idx="63">
                  <c:v>3.5792162031387284E-4</c:v>
                </c:pt>
                <c:pt idx="64">
                  <c:v>3.6879835260253743E-4</c:v>
                </c:pt>
                <c:pt idx="65">
                  <c:v>3.7998129383532206E-4</c:v>
                </c:pt>
                <c:pt idx="66">
                  <c:v>3.9147827600494883E-4</c:v>
                </c:pt>
                <c:pt idx="67">
                  <c:v>4.0329730712660746E-4</c:v>
                </c:pt>
                <c:pt idx="68">
                  <c:v>4.1544657448288832E-4</c:v>
                </c:pt>
                <c:pt idx="69">
                  <c:v>4.2793444790856298E-4</c:v>
                </c:pt>
                <c:pt idx="70">
                  <c:v>4.4076948311513322E-4</c:v>
                </c:pt>
                <c:pt idx="71">
                  <c:v>4.5396042505505175E-4</c:v>
                </c:pt>
                <c:pt idx="72">
                  <c:v>4.6751621132549813E-4</c:v>
                </c:pt>
                <c:pt idx="73">
                  <c:v>4.81445975611565E-4</c:v>
                </c:pt>
                <c:pt idx="74">
                  <c:v>4.9575905116869495E-4</c:v>
                </c:pt>
                <c:pt idx="75">
                  <c:v>5.1046497434418647E-4</c:v>
                </c:pt>
                <c:pt idx="76">
                  <c:v>5.2557348813755164E-4</c:v>
                </c:pt>
                <c:pt idx="77">
                  <c:v>5.4109454579950454E-4</c:v>
                </c:pt>
                <c:pt idx="78">
                  <c:v>5.570383144693137E-4</c:v>
                </c:pt>
                <c:pt idx="79">
                  <c:v>5.7341517885024643E-4</c:v>
                </c:pt>
                <c:pt idx="80">
                  <c:v>5.9023574492278658E-4</c:v>
                </c:pt>
                <c:pt idx="81">
                  <c:v>6.0751084369530374E-4</c:v>
                </c:pt>
                <c:pt idx="82">
                  <c:v>6.2525153499180634E-4</c:v>
                </c:pt>
                <c:pt idx="83">
                  <c:v>6.4346911127639286E-4</c:v>
                </c:pt>
                <c:pt idx="84">
                  <c:v>6.6217510151398318E-4</c:v>
                </c:pt>
                <c:pt idx="85">
                  <c:v>6.813812750668932E-4</c:v>
                </c:pt>
                <c:pt idx="86">
                  <c:v>7.0109964562676825E-4</c:v>
                </c:pt>
                <c:pt idx="87">
                  <c:v>7.2134247518137659E-4</c:v>
                </c:pt>
                <c:pt idx="88">
                  <c:v>7.421222780157362E-4</c:v>
                </c:pt>
                <c:pt idx="89">
                  <c:v>7.6345182474699233E-4</c:v>
                </c:pt>
                <c:pt idx="90">
                  <c:v>7.8534414639247116E-4</c:v>
                </c:pt>
                <c:pt idx="91">
                  <c:v>8.0781253847025795E-4</c:v>
                </c:pt>
                <c:pt idx="92">
                  <c:v>8.3087056513165549E-4</c:v>
                </c:pt>
                <c:pt idx="93">
                  <c:v>8.5453206332482138E-4</c:v>
                </c:pt>
                <c:pt idx="94">
                  <c:v>8.7881114698884683E-4</c:v>
                </c:pt>
                <c:pt idx="95">
                  <c:v>9.0372221127752676E-4</c:v>
                </c:pt>
                <c:pt idx="96">
                  <c:v>9.2927993681201151E-4</c:v>
                </c:pt>
                <c:pt idx="97">
                  <c:v>9.5549929396150928E-4</c:v>
                </c:pt>
                <c:pt idx="98">
                  <c:v>9.8239554715116298E-4</c:v>
                </c:pt>
                <c:pt idx="99">
                  <c:v>1.0099842591962025E-3</c:v>
                </c:pt>
                <c:pt idx="100">
                  <c:v>1.0382812956614138E-3</c:v>
                </c:pt>
                <c:pt idx="101">
                  <c:v>1.0673028292449451E-3</c:v>
                </c:pt>
                <c:pt idx="102">
                  <c:v>1.0970653441854351E-3</c:v>
                </c:pt>
                <c:pt idx="103">
                  <c:v>1.1275856406913823E-3</c:v>
                </c:pt>
                <c:pt idx="104">
                  <c:v>1.1588808393916757E-3</c:v>
                </c:pt>
                <c:pt idx="105">
                  <c:v>1.1909683858061209E-3</c:v>
                </c:pt>
                <c:pt idx="106">
                  <c:v>1.2238660548347954E-3</c:v>
                </c:pt>
                <c:pt idx="107">
                  <c:v>1.2575919552650018E-3</c:v>
                </c:pt>
                <c:pt idx="108">
                  <c:v>1.2921645342945484E-3</c:v>
                </c:pt>
                <c:pt idx="109">
                  <c:v>1.3276025820700517E-3</c:v>
                </c:pt>
                <c:pt idx="110">
                  <c:v>1.3639252362389082E-3</c:v>
                </c:pt>
                <c:pt idx="111">
                  <c:v>1.401151986513538E-3</c:v>
                </c:pt>
                <c:pt idx="112">
                  <c:v>1.4393026792464594E-3</c:v>
                </c:pt>
                <c:pt idx="113">
                  <c:v>1.4783975220147147E-3</c:v>
                </c:pt>
                <c:pt idx="114">
                  <c:v>1.5184570882121066E-3</c:v>
                </c:pt>
                <c:pt idx="115">
                  <c:v>1.5595023216476954E-3</c:v>
                </c:pt>
                <c:pt idx="116">
                  <c:v>1.6015545411489052E-3</c:v>
                </c:pt>
                <c:pt idx="117">
                  <c:v>1.6446354451675918E-3</c:v>
                </c:pt>
                <c:pt idx="118">
                  <c:v>1.6887671163873649E-3</c:v>
                </c:pt>
                <c:pt idx="119">
                  <c:v>1.7339720263303928E-3</c:v>
                </c:pt>
                <c:pt idx="120">
                  <c:v>1.7802730399618829E-3</c:v>
                </c:pt>
                <c:pt idx="121">
                  <c:v>1.8276934202903956E-3</c:v>
                </c:pt>
                <c:pt idx="122">
                  <c:v>1.8762568329620808E-3</c:v>
                </c:pt>
                <c:pt idx="123">
                  <c:v>1.9259873508468905E-3</c:v>
                </c:pt>
                <c:pt idx="124">
                  <c:v>1.9769094586147696E-3</c:v>
                </c:pt>
                <c:pt idx="125">
                  <c:v>2.0290480572997729E-3</c:v>
                </c:pt>
                <c:pt idx="126">
                  <c:v>2.0824284688500277E-3</c:v>
                </c:pt>
                <c:pt idx="127">
                  <c:v>2.1370764406613675E-3</c:v>
                </c:pt>
                <c:pt idx="128">
                  <c:v>2.1930181500924907E-3</c:v>
                </c:pt>
                <c:pt idx="129">
                  <c:v>2.2502802089593493E-3</c:v>
                </c:pt>
                <c:pt idx="130">
                  <c:v>2.3088896680065014E-3</c:v>
                </c:pt>
                <c:pt idx="131">
                  <c:v>2.3688740213531042E-3</c:v>
                </c:pt>
                <c:pt idx="132">
                  <c:v>2.4302612109110984E-3</c:v>
                </c:pt>
                <c:pt idx="133">
                  <c:v>2.4930796307732084E-3</c:v>
                </c:pt>
                <c:pt idx="134">
                  <c:v>2.557358131568226E-3</c:v>
                </c:pt>
                <c:pt idx="135">
                  <c:v>2.6231260247810313E-3</c:v>
                </c:pt>
                <c:pt idx="136">
                  <c:v>2.6904130870347973E-3</c:v>
                </c:pt>
                <c:pt idx="137">
                  <c:v>2.7592495643326996E-3</c:v>
                </c:pt>
                <c:pt idx="138">
                  <c:v>2.8296661762564597E-3</c:v>
                </c:pt>
                <c:pt idx="139">
                  <c:v>2.9016941201189797E-3</c:v>
                </c:pt>
                <c:pt idx="140">
                  <c:v>2.9753650750682608E-3</c:v>
                </c:pt>
                <c:pt idx="141">
                  <c:v>3.0507112061398159E-3</c:v>
                </c:pt>
                <c:pt idx="142">
                  <c:v>3.1277651682546231E-3</c:v>
                </c:pt>
                <c:pt idx="143">
                  <c:v>3.2065601101597227E-3</c:v>
                </c:pt>
                <c:pt idx="144">
                  <c:v>3.2871296783084903E-3</c:v>
                </c:pt>
                <c:pt idx="145">
                  <c:v>3.3695080206774899E-3</c:v>
                </c:pt>
                <c:pt idx="146">
                  <c:v>3.4537297905169093E-3</c:v>
                </c:pt>
                <c:pt idx="147">
                  <c:v>3.5398301500313661E-3</c:v>
                </c:pt>
                <c:pt idx="148">
                  <c:v>3.6278447739879773E-3</c:v>
                </c:pt>
                <c:pt idx="149">
                  <c:v>3.7178098532484336E-3</c:v>
                </c:pt>
                <c:pt idx="150">
                  <c:v>3.8097620982218195E-3</c:v>
                </c:pt>
                <c:pt idx="151">
                  <c:v>3.903738742234875E-3</c:v>
                </c:pt>
                <c:pt idx="152">
                  <c:v>3.9997775448163261E-3</c:v>
                </c:pt>
                <c:pt idx="153">
                  <c:v>4.0979167948918946E-3</c:v>
                </c:pt>
                <c:pt idx="154">
                  <c:v>4.1981953138865479E-3</c:v>
                </c:pt>
                <c:pt idx="155">
                  <c:v>4.300652458730461E-3</c:v>
                </c:pt>
                <c:pt idx="156">
                  <c:v>4.4053281247652364E-3</c:v>
                </c:pt>
                <c:pt idx="157">
                  <c:v>4.5122627485467328E-3</c:v>
                </c:pt>
                <c:pt idx="158">
                  <c:v>4.6214973105409111E-3</c:v>
                </c:pt>
                <c:pt idx="159">
                  <c:v>4.7330733377091141E-3</c:v>
                </c:pt>
                <c:pt idx="160">
                  <c:v>4.8470329059789648E-3</c:v>
                </c:pt>
                <c:pt idx="161">
                  <c:v>4.9634186425972816E-3</c:v>
                </c:pt>
                <c:pt idx="162">
                  <c:v>5.0822737283611518E-3</c:v>
                </c:pt>
                <c:pt idx="163">
                  <c:v>5.2036418997234461E-3</c:v>
                </c:pt>
                <c:pt idx="164">
                  <c:v>5.3275674507688373E-3</c:v>
                </c:pt>
                <c:pt idx="165">
                  <c:v>5.4540952350565644E-3</c:v>
                </c:pt>
                <c:pt idx="166">
                  <c:v>5.5832706673259814E-3</c:v>
                </c:pt>
                <c:pt idx="167">
                  <c:v>5.7151397250609446E-3</c:v>
                </c:pt>
                <c:pt idx="168">
                  <c:v>5.8497489499091636E-3</c:v>
                </c:pt>
                <c:pt idx="169">
                  <c:v>5.9871454489524231E-3</c:v>
                </c:pt>
                <c:pt idx="170">
                  <c:v>6.127376895823709E-3</c:v>
                </c:pt>
                <c:pt idx="171">
                  <c:v>6.2704915316672506E-3</c:v>
                </c:pt>
                <c:pt idx="172">
                  <c:v>6.4165381659373162E-3</c:v>
                </c:pt>
                <c:pt idx="173">
                  <c:v>6.5655661770317236E-3</c:v>
                </c:pt>
                <c:pt idx="174">
                  <c:v>6.717625512755997E-3</c:v>
                </c:pt>
                <c:pt idx="175">
                  <c:v>6.8727666906139946E-3</c:v>
                </c:pt>
                <c:pt idx="176">
                  <c:v>7.0310407979208428E-3</c:v>
                </c:pt>
                <c:pt idx="177">
                  <c:v>7.1924994917341063E-3</c:v>
                </c:pt>
                <c:pt idx="178">
                  <c:v>7.3571949985989336E-3</c:v>
                </c:pt>
                <c:pt idx="179">
                  <c:v>7.5251801141030441E-3</c:v>
                </c:pt>
                <c:pt idx="180">
                  <c:v>7.6965082022373513E-3</c:v>
                </c:pt>
                <c:pt idx="181">
                  <c:v>7.8712331945579913E-3</c:v>
                </c:pt>
                <c:pt idx="182">
                  <c:v>8.0494095891456164E-3</c:v>
                </c:pt>
                <c:pt idx="183">
                  <c:v>8.2310924493576611E-3</c:v>
                </c:pt>
                <c:pt idx="184">
                  <c:v>8.4163374023694167E-3</c:v>
                </c:pt>
                <c:pt idx="185">
                  <c:v>8.6052006374997062E-3</c:v>
                </c:pt>
                <c:pt idx="186">
                  <c:v>8.7977389043168777E-3</c:v>
                </c:pt>
                <c:pt idx="187">
                  <c:v>8.9940095105210238E-3</c:v>
                </c:pt>
                <c:pt idx="188">
                  <c:v>9.1940703195981296E-3</c:v>
                </c:pt>
                <c:pt idx="189">
                  <c:v>9.3979797482419587E-3</c:v>
                </c:pt>
                <c:pt idx="190">
                  <c:v>9.6057967635396202E-3</c:v>
                </c:pt>
                <c:pt idx="191">
                  <c:v>9.8175808799164533E-3</c:v>
                </c:pt>
                <c:pt idx="192">
                  <c:v>1.0033392155836264E-2</c:v>
                </c:pt>
                <c:pt idx="193">
                  <c:v>1.0253291190252679E-2</c:v>
                </c:pt>
                <c:pt idx="194">
                  <c:v>1.0477339118807534E-2</c:v>
                </c:pt>
                <c:pt idx="195">
                  <c:v>1.0705597609772223E-2</c:v>
                </c:pt>
                <c:pt idx="196">
                  <c:v>1.0938128859727912E-2</c:v>
                </c:pt>
                <c:pt idx="197">
                  <c:v>1.117499558898068E-2</c:v>
                </c:pt>
                <c:pt idx="198">
                  <c:v>1.1416261036707448E-2</c:v>
                </c:pt>
                <c:pt idx="199">
                  <c:v>1.1661988955828878E-2</c:v>
                </c:pt>
                <c:pt idx="200">
                  <c:v>1.1912243607605221E-2</c:v>
                </c:pt>
                <c:pt idx="201">
                  <c:v>1.2167089755951287E-2</c:v>
                </c:pt>
                <c:pt idx="202">
                  <c:v>1.2426592661466637E-2</c:v>
                </c:pt>
                <c:pt idx="203">
                  <c:v>1.2690818075177307E-2</c:v>
                </c:pt>
                <c:pt idx="204">
                  <c:v>1.2959832231985173E-2</c:v>
                </c:pt>
                <c:pt idx="205">
                  <c:v>1.3233701843821419E-2</c:v>
                </c:pt>
                <c:pt idx="206">
                  <c:v>1.3512494092500354E-2</c:v>
                </c:pt>
                <c:pt idx="207">
                  <c:v>1.3796276622270072E-2</c:v>
                </c:pt>
                <c:pt idx="208">
                  <c:v>1.4085117532056393E-2</c:v>
                </c:pt>
                <c:pt idx="209">
                  <c:v>1.4379085367396686E-2</c:v>
                </c:pt>
                <c:pt idx="210">
                  <c:v>1.4678249112060089E-2</c:v>
                </c:pt>
                <c:pt idx="211">
                  <c:v>1.4982678179350983E-2</c:v>
                </c:pt>
                <c:pt idx="212">
                  <c:v>1.5292442403092287E-2</c:v>
                </c:pt>
                <c:pt idx="213">
                  <c:v>1.5607612028285547E-2</c:v>
                </c:pt>
                <c:pt idx="214">
                  <c:v>1.5928257701444716E-2</c:v>
                </c:pt>
                <c:pt idx="215">
                  <c:v>1.6254450460600561E-2</c:v>
                </c:pt>
                <c:pt idx="216">
                  <c:v>1.6586261724972861E-2</c:v>
                </c:pt>
                <c:pt idx="217">
                  <c:v>1.6923763284307593E-2</c:v>
                </c:pt>
                <c:pt idx="218">
                  <c:v>1.7267027287876234E-2</c:v>
                </c:pt>
                <c:pt idx="219">
                  <c:v>1.7616126233134771E-2</c:v>
                </c:pt>
                <c:pt idx="220">
                  <c:v>1.7971132954039709E-2</c:v>
                </c:pt>
                <c:pt idx="221">
                  <c:v>1.8332120609018735E-2</c:v>
                </c:pt>
                <c:pt idx="222">
                  <c:v>1.8699162668593724E-2</c:v>
                </c:pt>
                <c:pt idx="223">
                  <c:v>1.9072332902653838E-2</c:v>
                </c:pt>
                <c:pt idx="224">
                  <c:v>1.9451705367376653E-2</c:v>
                </c:pt>
                <c:pt idx="225">
                  <c:v>1.98373543917954E-2</c:v>
                </c:pt>
                <c:pt idx="226">
                  <c:v>2.0229354564010281E-2</c:v>
                </c:pt>
                <c:pt idx="227">
                  <c:v>2.0627780717042386E-2</c:v>
                </c:pt>
                <c:pt idx="228">
                  <c:v>2.1032707914328399E-2</c:v>
                </c:pt>
                <c:pt idx="229">
                  <c:v>2.1444211434854674E-2</c:v>
                </c:pt>
                <c:pt idx="230">
                  <c:v>2.186236675792947E-2</c:v>
                </c:pt>
                <c:pt idx="231">
                  <c:v>2.2287249547591936E-2</c:v>
                </c:pt>
                <c:pt idx="232">
                  <c:v>2.2718935636656924E-2</c:v>
                </c:pt>
                <c:pt idx="233">
                  <c:v>2.3157501010394696E-2</c:v>
                </c:pt>
                <c:pt idx="234">
                  <c:v>2.360302178984474E-2</c:v>
                </c:pt>
                <c:pt idx="235">
                  <c:v>2.4055574214763065E-2</c:v>
                </c:pt>
                <c:pt idx="236">
                  <c:v>2.4515234626202538E-2</c:v>
                </c:pt>
                <c:pt idx="237">
                  <c:v>2.4982079448725894E-2</c:v>
                </c:pt>
                <c:pt idx="238">
                  <c:v>2.5456185172251431E-2</c:v>
                </c:pt>
                <c:pt idx="239">
                  <c:v>2.5937628333531158E-2</c:v>
                </c:pt>
                <c:pt idx="240">
                  <c:v>2.6426485497261835E-2</c:v>
                </c:pt>
                <c:pt idx="241">
                  <c:v>2.6922833236829063E-2</c:v>
                </c:pt>
                <c:pt idx="242">
                  <c:v>2.7426748114685068E-2</c:v>
                </c:pt>
                <c:pt idx="243">
                  <c:v>2.7938306662360812E-2</c:v>
                </c:pt>
                <c:pt idx="244">
                  <c:v>2.845758536011337E-2</c:v>
                </c:pt>
                <c:pt idx="245">
                  <c:v>2.8984660616209527E-2</c:v>
                </c:pt>
                <c:pt idx="246">
                  <c:v>2.9519608745847033E-2</c:v>
                </c:pt>
                <c:pt idx="247">
                  <c:v>3.0062505949714702E-2</c:v>
                </c:pt>
                <c:pt idx="248">
                  <c:v>3.0613428292193167E-2</c:v>
                </c:pt>
                <c:pt idx="249">
                  <c:v>3.117245167919807E-2</c:v>
                </c:pt>
                <c:pt idx="250">
                  <c:v>3.1739651835667543E-2</c:v>
                </c:pt>
                <c:pt idx="251">
                  <c:v>3.2315104282696495E-2</c:v>
                </c:pt>
                <c:pt idx="252">
                  <c:v>3.289888431431974E-2</c:v>
                </c:pt>
                <c:pt idx="253">
                  <c:v>3.3491066973946937E-2</c:v>
                </c:pt>
                <c:pt idx="254">
                  <c:v>3.4091727030451803E-2</c:v>
                </c:pt>
                <c:pt idx="255">
                  <c:v>3.4700938953918951E-2</c:v>
                </c:pt>
                <c:pt idx="256">
                  <c:v>3.5318776891051382E-2</c:v>
                </c:pt>
                <c:pt idx="257">
                  <c:v>3.5945314640242094E-2</c:v>
                </c:pt>
                <c:pt idx="258">
                  <c:v>3.6580625626313465E-2</c:v>
                </c:pt>
                <c:pt idx="259">
                  <c:v>3.7224782874928523E-2</c:v>
                </c:pt>
                <c:pt idx="260">
                  <c:v>3.7877858986677629E-2</c:v>
                </c:pt>
                <c:pt idx="261">
                  <c:v>3.8539926110845529E-2</c:v>
                </c:pt>
                <c:pt idx="262">
                  <c:v>3.9211055918862876E-2</c:v>
                </c:pt>
                <c:pt idx="263">
                  <c:v>3.9891319577447099E-2</c:v>
                </c:pt>
                <c:pt idx="264">
                  <c:v>4.0580787721437625E-2</c:v>
                </c:pt>
                <c:pt idx="265">
                  <c:v>4.1279530426330556E-2</c:v>
                </c:pt>
                <c:pt idx="266">
                  <c:v>4.1987617180518425E-2</c:v>
                </c:pt>
                <c:pt idx="267">
                  <c:v>4.2705116857240356E-2</c:v>
                </c:pt>
                <c:pt idx="268">
                  <c:v>4.3432097686248852E-2</c:v>
                </c:pt>
                <c:pt idx="269">
                  <c:v>4.4168627225199111E-2</c:v>
                </c:pt>
                <c:pt idx="270">
                  <c:v>4.4914772330767253E-2</c:v>
                </c:pt>
                <c:pt idx="271">
                  <c:v>4.5670599129504073E-2</c:v>
                </c:pt>
                <c:pt idx="272">
                  <c:v>4.6436172988430974E-2</c:v>
                </c:pt>
                <c:pt idx="273">
                  <c:v>4.7211558485385482E-2</c:v>
                </c:pt>
                <c:pt idx="274">
                  <c:v>4.7996819379123007E-2</c:v>
                </c:pt>
                <c:pt idx="275">
                  <c:v>4.8792018579182951E-2</c:v>
                </c:pt>
                <c:pt idx="276">
                  <c:v>4.9597218115526524E-2</c:v>
                </c:pt>
                <c:pt idx="277">
                  <c:v>5.0412479107954329E-2</c:v>
                </c:pt>
                <c:pt idx="278">
                  <c:v>5.1237861735311967E-2</c:v>
                </c:pt>
                <c:pt idx="279">
                  <c:v>5.2073425204491881E-2</c:v>
                </c:pt>
                <c:pt idx="280">
                  <c:v>5.2919227719240493E-2</c:v>
                </c:pt>
                <c:pt idx="281">
                  <c:v>5.3775326448778978E-2</c:v>
                </c:pt>
                <c:pt idx="282">
                  <c:v>5.4641777496247247E-2</c:v>
                </c:pt>
                <c:pt idx="283">
                  <c:v>5.5518635866980331E-2</c:v>
                </c:pt>
                <c:pt idx="284">
                  <c:v>5.6405955436626486E-2</c:v>
                </c:pt>
                <c:pt idx="285">
                  <c:v>5.7303788919117353E-2</c:v>
                </c:pt>
                <c:pt idx="286">
                  <c:v>5.8212187834499572E-2</c:v>
                </c:pt>
                <c:pt idx="287">
                  <c:v>5.9131202476638577E-2</c:v>
                </c:pt>
                <c:pt idx="288">
                  <c:v>6.0060881880804787E-2</c:v>
                </c:pt>
                <c:pt idx="289">
                  <c:v>6.1001273791152923E-2</c:v>
                </c:pt>
                <c:pt idx="290">
                  <c:v>6.1952424628105407E-2</c:v>
                </c:pt>
                <c:pt idx="291">
                  <c:v>6.2914379455650773E-2</c:v>
                </c:pt>
                <c:pt idx="292">
                  <c:v>6.3887181948568836E-2</c:v>
                </c:pt>
                <c:pt idx="293">
                  <c:v>6.4870874359593489E-2</c:v>
                </c:pt>
                <c:pt idx="294">
                  <c:v>6.5865497486525593E-2</c:v>
                </c:pt>
                <c:pt idx="295">
                  <c:v>6.6871090639307407E-2</c:v>
                </c:pt>
                <c:pt idx="296">
                  <c:v>6.7887691607070838E-2</c:v>
                </c:pt>
                <c:pt idx="297">
                  <c:v>6.8915336625172061E-2</c:v>
                </c:pt>
                <c:pt idx="298">
                  <c:v>6.9954060342224608E-2</c:v>
                </c:pt>
                <c:pt idx="299">
                  <c:v>7.1003895787144319E-2</c:v>
                </c:pt>
                <c:pt idx="300">
                  <c:v>7.2064874336218263E-2</c:v>
                </c:pt>
                <c:pt idx="301">
                  <c:v>7.3137025680211548E-2</c:v>
                </c:pt>
                <c:pt idx="302">
                  <c:v>7.4220377791524642E-2</c:v>
                </c:pt>
                <c:pt idx="303">
                  <c:v>7.5314956891415208E-2</c:v>
                </c:pt>
                <c:pt idx="304">
                  <c:v>7.6420787417297617E-2</c:v>
                </c:pt>
                <c:pt idx="305">
                  <c:v>7.7537891990134292E-2</c:v>
                </c:pt>
                <c:pt idx="306">
                  <c:v>7.8666291381932638E-2</c:v>
                </c:pt>
                <c:pt idx="307">
                  <c:v>7.9806004483361864E-2</c:v>
                </c:pt>
                <c:pt idx="308">
                  <c:v>8.0957048271503781E-2</c:v>
                </c:pt>
                <c:pt idx="309">
                  <c:v>8.2119437777752088E-2</c:v>
                </c:pt>
                <c:pt idx="310">
                  <c:v>8.3293186055874782E-2</c:v>
                </c:pt>
                <c:pt idx="311">
                  <c:v>8.447830415025423E-2</c:v>
                </c:pt>
                <c:pt idx="312">
                  <c:v>8.5674801064319919E-2</c:v>
                </c:pt>
                <c:pt idx="313">
                  <c:v>8.6882683729188739E-2</c:v>
                </c:pt>
                <c:pt idx="314">
                  <c:v>8.8101956972527817E-2</c:v>
                </c:pt>
                <c:pt idx="315">
                  <c:v>8.9332623487655333E-2</c:v>
                </c:pt>
                <c:pt idx="316">
                  <c:v>9.057468380289424E-2</c:v>
                </c:pt>
                <c:pt idx="317">
                  <c:v>9.1828136251194833E-2</c:v>
                </c:pt>
                <c:pt idx="318">
                  <c:v>9.30929769400409E-2</c:v>
                </c:pt>
                <c:pt idx="319">
                  <c:v>9.4369199721655944E-2</c:v>
                </c:pt>
                <c:pt idx="320">
                  <c:v>9.5656796163524349E-2</c:v>
                </c:pt>
                <c:pt idx="321">
                  <c:v>9.6955755519243764E-2</c:v>
                </c:pt>
                <c:pt idx="322">
                  <c:v>9.8266064699724043E-2</c:v>
                </c:pt>
                <c:pt idx="323">
                  <c:v>9.9587708244749315E-2</c:v>
                </c:pt>
                <c:pt idx="324">
                  <c:v>0.10092066829491807</c:v>
                </c:pt>
                <c:pt idx="325">
                  <c:v>0.10226492456397837</c:v>
                </c:pt>
                <c:pt idx="326">
                  <c:v>0.10362045431157331</c:v>
                </c:pt>
                <c:pt idx="327">
                  <c:v>0.10498723231641303</c:v>
                </c:pt>
                <c:pt idx="328">
                  <c:v>0.10636523084988972</c:v>
                </c:pt>
                <c:pt idx="329">
                  <c:v>0.10775441965015088</c:v>
                </c:pt>
                <c:pt idx="330">
                  <c:v>0.10915476589664778</c:v>
                </c:pt>
                <c:pt idx="331">
                  <c:v>0.11056623418517444</c:v>
                </c:pt>
                <c:pt idx="332">
                  <c:v>0.11198878650341376</c:v>
                </c:pt>
                <c:pt idx="333">
                  <c:v>0.11342238220700659</c:v>
                </c:pt>
                <c:pt idx="334">
                  <c:v>0.1148669779961594</c:v>
                </c:pt>
                <c:pt idx="335">
                  <c:v>0.11632252789280752</c:v>
                </c:pt>
                <c:pt idx="336">
                  <c:v>0.11778898321834855</c:v>
                </c:pt>
                <c:pt idx="337">
                  <c:v>0.11926629257196304</c:v>
                </c:pt>
                <c:pt idx="338">
                  <c:v>0.12075440180953755</c:v>
                </c:pt>
                <c:pt idx="339">
                  <c:v>0.12225325402320565</c:v>
                </c:pt>
                <c:pt idx="340">
                  <c:v>0.12376278952152359</c:v>
                </c:pt>
                <c:pt idx="341">
                  <c:v>0.12528294581029475</c:v>
                </c:pt>
                <c:pt idx="342">
                  <c:v>0.12681365757405955</c:v>
                </c:pt>
                <c:pt idx="343">
                  <c:v>0.12835485665826554</c:v>
                </c:pt>
                <c:pt idx="344">
                  <c:v>0.12990647205213299</c:v>
                </c:pt>
                <c:pt idx="345">
                  <c:v>0.13146842987223148</c:v>
                </c:pt>
                <c:pt idx="346">
                  <c:v>0.13304065334678181</c:v>
                </c:pt>
                <c:pt idx="347">
                  <c:v>0.13462306280069861</c:v>
                </c:pt>
                <c:pt idx="348">
                  <c:v>0.13621557564138836</c:v>
                </c:pt>
                <c:pt idx="349">
                  <c:v>0.13781810634531691</c:v>
                </c:pt>
                <c:pt idx="350">
                  <c:v>0.13943056644536075</c:v>
                </c:pt>
                <c:pt idx="351">
                  <c:v>0.14105286451895738</c:v>
                </c:pt>
                <c:pt idx="352">
                  <c:v>0.142684906177067</c:v>
                </c:pt>
                <c:pt idx="353">
                  <c:v>0.14432659405396067</c:v>
                </c:pt>
                <c:pt idx="354">
                  <c:v>0.14597782779784771</c:v>
                </c:pt>
                <c:pt idx="355">
                  <c:v>0.14763850406235624</c:v>
                </c:pt>
                <c:pt idx="356">
                  <c:v>0.14930851649887933</c:v>
                </c:pt>
                <c:pt idx="357">
                  <c:v>0.15098775574980025</c:v>
                </c:pt>
                <c:pt idx="358">
                  <c:v>0.15267610944260898</c:v>
                </c:pt>
                <c:pt idx="359">
                  <c:v>0.15437346218492259</c:v>
                </c:pt>
                <c:pt idx="360">
                  <c:v>0.15607969556042139</c:v>
                </c:pt>
                <c:pt idx="361">
                  <c:v>0.15779468812571285</c:v>
                </c:pt>
                <c:pt idx="362">
                  <c:v>0.15951831540813466</c:v>
                </c:pt>
                <c:pt idx="363">
                  <c:v>0.16125044990450835</c:v>
                </c:pt>
                <c:pt idx="364">
                  <c:v>0.16299096108085404</c:v>
                </c:pt>
                <c:pt idx="365">
                  <c:v>0.16473971537307738</c:v>
                </c:pt>
                <c:pt idx="366">
                  <c:v>0.1664965761886385</c:v>
                </c:pt>
                <c:pt idx="367">
                  <c:v>0.16826140390921351</c:v>
                </c:pt>
                <c:pt idx="368">
                  <c:v>0.17003405589435755</c:v>
                </c:pt>
                <c:pt idx="369">
                  <c:v>0.17181438648617897</c:v>
                </c:pt>
                <c:pt idx="370">
                  <c:v>0.17360224701503355</c:v>
                </c:pt>
                <c:pt idx="371">
                  <c:v>0.17539748580624759</c:v>
                </c:pt>
                <c:pt idx="372">
                  <c:v>0.17719994818787707</c:v>
                </c:pt>
                <c:pt idx="373">
                  <c:v>0.17900947649951199</c:v>
                </c:pt>
                <c:pt idx="374">
                  <c:v>0.1808259101021322</c:v>
                </c:pt>
                <c:pt idx="375">
                  <c:v>0.1826490853890225</c:v>
                </c:pt>
                <c:pt idx="376">
                  <c:v>0.18447883579775295</c:v>
                </c:pt>
                <c:pt idx="377">
                  <c:v>0.18631499182323119</c:v>
                </c:pt>
                <c:pt idx="378">
                  <c:v>0.18815738103183205</c:v>
                </c:pt>
                <c:pt idx="379">
                  <c:v>0.19000582807661012</c:v>
                </c:pt>
                <c:pt idx="380">
                  <c:v>0.19186015471359996</c:v>
                </c:pt>
                <c:pt idx="381">
                  <c:v>0.19372017981920878</c:v>
                </c:pt>
                <c:pt idx="382">
                  <c:v>0.19558571940870476</c:v>
                </c:pt>
                <c:pt idx="383">
                  <c:v>0.1974565866558059</c:v>
                </c:pt>
                <c:pt idx="384">
                  <c:v>0.19933259191337133</c:v>
                </c:pt>
                <c:pt idx="385">
                  <c:v>0.20121354273519801</c:v>
                </c:pt>
                <c:pt idx="386">
                  <c:v>0.20309924389892561</c:v>
                </c:pt>
                <c:pt idx="387">
                  <c:v>0.2049894974300504</c:v>
                </c:pt>
                <c:pt idx="388">
                  <c:v>0.20688410262704993</c:v>
                </c:pt>
                <c:pt idx="389">
                  <c:v>0.20878285608761873</c:v>
                </c:pt>
                <c:pt idx="390">
                  <c:v>0.21068555173601591</c:v>
                </c:pt>
                <c:pt idx="391">
                  <c:v>0.21259198085152381</c:v>
                </c:pt>
                <c:pt idx="392">
                  <c:v>0.21450193209801693</c:v>
                </c:pt>
                <c:pt idx="393">
                  <c:v>0.21641519155464073</c:v>
                </c:pt>
                <c:pt idx="394">
                  <c:v>0.21833154274759678</c:v>
                </c:pt>
                <c:pt idx="395">
                  <c:v>0.22025076668303395</c:v>
                </c:pt>
                <c:pt idx="396">
                  <c:v>0.22217264188104127</c:v>
                </c:pt>
                <c:pt idx="397">
                  <c:v>0.22409694441073988</c:v>
                </c:pt>
                <c:pt idx="398">
                  <c:v>0.22602344792647017</c:v>
                </c:pt>
                <c:pt idx="399">
                  <c:v>0.22795192370506911</c:v>
                </c:pt>
                <c:pt idx="400">
                  <c:v>0.22988214068423368</c:v>
                </c:pt>
                <c:pt idx="401">
                  <c:v>0.23181386550196442</c:v>
                </c:pt>
                <c:pt idx="402">
                  <c:v>0.23374686253708299</c:v>
                </c:pt>
                <c:pt idx="403">
                  <c:v>0.2356808939508179</c:v>
                </c:pt>
                <c:pt idx="404">
                  <c:v>0.23761571972945048</c:v>
                </c:pt>
                <c:pt idx="405">
                  <c:v>0.23955109772801403</c:v>
                </c:pt>
                <c:pt idx="406">
                  <c:v>0.24148678371503801</c:v>
                </c:pt>
                <c:pt idx="407">
                  <c:v>0.24342253141832823</c:v>
                </c:pt>
                <c:pt idx="408">
                  <c:v>0.24535809257177435</c:v>
                </c:pt>
                <c:pt idx="409">
                  <c:v>0.24729321696317441</c:v>
                </c:pt>
                <c:pt idx="410">
                  <c:v>0.24922765248306661</c:v>
                </c:pt>
                <c:pt idx="411">
                  <c:v>0.25116114517455695</c:v>
                </c:pt>
                <c:pt idx="412">
                  <c:v>0.25309343928413208</c:v>
                </c:pt>
                <c:pt idx="413">
                  <c:v>0.25502427731344474</c:v>
                </c:pt>
                <c:pt idx="414">
                  <c:v>0.25695340007206013</c:v>
                </c:pt>
                <c:pt idx="415">
                  <c:v>0.25888054673114952</c:v>
                </c:pt>
                <c:pt idx="416">
                  <c:v>0.26080545487811813</c:v>
                </c:pt>
                <c:pt idx="417">
                  <c:v>0.26272786057215303</c:v>
                </c:pt>
                <c:pt idx="418">
                  <c:v>0.26464749840067719</c:v>
                </c:pt>
                <c:pt idx="419">
                  <c:v>0.26656410153669319</c:v>
                </c:pt>
                <c:pt idx="420">
                  <c:v>0.26847740179700308</c:v>
                </c:pt>
                <c:pt idx="421">
                  <c:v>0.27038712970128626</c:v>
                </c:pt>
                <c:pt idx="422">
                  <c:v>0.27229301453202076</c:v>
                </c:pt>
                <c:pt idx="423">
                  <c:v>0.27419478439522921</c:v>
                </c:pt>
                <c:pt idx="424">
                  <c:v>0.27609216628203315</c:v>
                </c:pt>
                <c:pt idx="425">
                  <c:v>0.27798488613099714</c:v>
                </c:pt>
                <c:pt idx="426">
                  <c:v>0.27987266889124418</c:v>
                </c:pt>
                <c:pt idx="427">
                  <c:v>0.28175523858632345</c:v>
                </c:pt>
                <c:pt idx="428">
                  <c:v>0.28363231837881131</c:v>
                </c:pt>
                <c:pt idx="429">
                  <c:v>0.28550363063562495</c:v>
                </c:pt>
                <c:pt idx="430">
                  <c:v>0.28736889699402901</c:v>
                </c:pt>
                <c:pt idx="431">
                  <c:v>0.28922783842831357</c:v>
                </c:pt>
                <c:pt idx="432">
                  <c:v>0.29108017531712377</c:v>
                </c:pt>
                <c:pt idx="433">
                  <c:v>0.29292562751141688</c:v>
                </c:pt>
                <c:pt idx="434">
                  <c:v>0.29476391440302752</c:v>
                </c:pt>
                <c:pt idx="435">
                  <c:v>0.29659475499381638</c:v>
                </c:pt>
                <c:pt idx="436">
                  <c:v>0.29841786796538039</c:v>
                </c:pt>
                <c:pt idx="437">
                  <c:v>0.30023297174930119</c:v>
                </c:pt>
                <c:pt idx="438">
                  <c:v>0.30203978459790748</c:v>
                </c:pt>
                <c:pt idx="439">
                  <c:v>0.30383802465552817</c:v>
                </c:pt>
                <c:pt idx="440">
                  <c:v>0.30562741003021054</c:v>
                </c:pt>
                <c:pt idx="441">
                  <c:v>0.30740765886587995</c:v>
                </c:pt>
                <c:pt idx="442">
                  <c:v>0.30917848941491499</c:v>
                </c:pt>
                <c:pt idx="443">
                  <c:v>0.31093962011111287</c:v>
                </c:pt>
                <c:pt idx="444">
                  <c:v>0.31269076964301956</c:v>
                </c:pt>
                <c:pt idx="445">
                  <c:v>0.31443165702759795</c:v>
                </c:pt>
                <c:pt idx="446">
                  <c:v>0.31616200168420788</c:v>
                </c:pt>
                <c:pt idx="447">
                  <c:v>0.31788152350887128</c:v>
                </c:pt>
                <c:pt idx="448">
                  <c:v>0.31958994294879589</c:v>
                </c:pt>
                <c:pt idx="449">
                  <c:v>0.32128698107712889</c:v>
                </c:pt>
                <c:pt idx="450">
                  <c:v>0.32297235966791493</c:v>
                </c:pt>
                <c:pt idx="451">
                  <c:v>0.32464580127122888</c:v>
                </c:pt>
                <c:pt idx="452">
                  <c:v>0.32630702928845667</c:v>
                </c:pt>
                <c:pt idx="453">
                  <c:v>0.327955768047695</c:v>
                </c:pt>
                <c:pt idx="454">
                  <c:v>0.3295917428792427</c:v>
                </c:pt>
                <c:pt idx="455">
                  <c:v>0.33121468019115352</c:v>
                </c:pt>
                <c:pt idx="456">
                  <c:v>0.33282430754482351</c:v>
                </c:pt>
                <c:pt idx="457">
                  <c:v>0.33442035373058215</c:v>
                </c:pt>
                <c:pt idx="458">
                  <c:v>0.33600254884325947</c:v>
                </c:pt>
                <c:pt idx="459">
                  <c:v>0.33757062435770002</c:v>
                </c:pt>
                <c:pt idx="460">
                  <c:v>0.33912431320419278</c:v>
                </c:pt>
                <c:pt idx="461">
                  <c:v>0.34066334984378965</c:v>
                </c:pt>
                <c:pt idx="462">
                  <c:v>0.34218747034348174</c:v>
                </c:pt>
                <c:pt idx="463">
                  <c:v>0.3436964124512043</c:v>
                </c:pt>
                <c:pt idx="464">
                  <c:v>0.34518991567063995</c:v>
                </c:pt>
                <c:pt idx="465">
                  <c:v>0.34666772133579221</c:v>
                </c:pt>
                <c:pt idx="466">
                  <c:v>0.34812957268529754</c:v>
                </c:pt>
                <c:pt idx="467">
                  <c:v>0.34957521493644761</c:v>
                </c:pt>
                <c:pt idx="468">
                  <c:v>0.35100439535889161</c:v>
                </c:pt>
                <c:pt idx="469">
                  <c:v>0.35241686334798844</c:v>
                </c:pt>
                <c:pt idx="470">
                  <c:v>0.35381237049778025</c:v>
                </c:pt>
                <c:pt idx="471">
                  <c:v>0.35519067067355647</c:v>
                </c:pt>
                <c:pt idx="472">
                  <c:v>0.35655152008397956</c:v>
                </c:pt>
                <c:pt idx="473">
                  <c:v>0.35789467735274261</c:v>
                </c:pt>
                <c:pt idx="474">
                  <c:v>0.35921990358972949</c:v>
                </c:pt>
                <c:pt idx="475">
                  <c:v>0.3605269624616485</c:v>
                </c:pt>
                <c:pt idx="476">
                  <c:v>0.36181562026210978</c:v>
                </c:pt>
                <c:pt idx="477">
                  <c:v>0.36308564598111848</c:v>
                </c:pt>
                <c:pt idx="478">
                  <c:v>0.36433681137395357</c:v>
                </c:pt>
                <c:pt idx="479">
                  <c:v>0.36556889102940437</c:v>
                </c:pt>
                <c:pt idx="480">
                  <c:v>0.36678166243733662</c:v>
                </c:pt>
                <c:pt idx="481">
                  <c:v>0.36797490605555855</c:v>
                </c:pt>
                <c:pt idx="482">
                  <c:v>0.36914840537596044</c:v>
                </c:pt>
                <c:pt idx="483">
                  <c:v>0.37030194698989832</c:v>
                </c:pt>
                <c:pt idx="484">
                  <c:v>0.37143532065279555</c:v>
                </c:pt>
                <c:pt idx="485">
                  <c:v>0.37254831934793387</c:v>
                </c:pt>
                <c:pt idx="486">
                  <c:v>0.373640739349407</c:v>
                </c:pt>
                <c:pt idx="487">
                  <c:v>0.37471238028421161</c:v>
                </c:pt>
                <c:pt idx="488">
                  <c:v>0.375763045193446</c:v>
                </c:pt>
                <c:pt idx="489">
                  <c:v>0.37679254059259387</c:v>
                </c:pt>
                <c:pt idx="490">
                  <c:v>0.37780067653086497</c:v>
                </c:pt>
                <c:pt idx="491">
                  <c:v>0.3787872666495678</c:v>
                </c:pt>
                <c:pt idx="492">
                  <c:v>0.37975212823948984</c:v>
                </c:pt>
                <c:pt idx="493">
                  <c:v>0.38069508229726007</c:v>
                </c:pt>
                <c:pt idx="494">
                  <c:v>0.38161595358066919</c:v>
                </c:pt>
                <c:pt idx="495">
                  <c:v>0.38251457066292438</c:v>
                </c:pt>
                <c:pt idx="496">
                  <c:v>0.38339076598581445</c:v>
                </c:pt>
                <c:pt idx="497">
                  <c:v>0.38424437591176253</c:v>
                </c:pt>
                <c:pt idx="498">
                  <c:v>0.38507524077474364</c:v>
                </c:pt>
                <c:pt idx="499">
                  <c:v>0.38588320493004552</c:v>
                </c:pt>
                <c:pt idx="500">
                  <c:v>0.38666811680284952</c:v>
                </c:pt>
                <c:pt idx="501">
                  <c:v>0.38742982893561206</c:v>
                </c:pt>
                <c:pt idx="502">
                  <c:v>0.38816819803422509</c:v>
                </c:pt>
                <c:pt idx="503">
                  <c:v>0.388883085012935</c:v>
                </c:pt>
                <c:pt idx="504">
                  <c:v>0.38957435503800125</c:v>
                </c:pt>
                <c:pt idx="505">
                  <c:v>0.3902418775700745</c:v>
                </c:pt>
                <c:pt idx="506">
                  <c:v>0.39088552640527613</c:v>
                </c:pt>
                <c:pt idx="507">
                  <c:v>0.39150517971496129</c:v>
                </c:pt>
                <c:pt idx="508">
                  <c:v>0.39210072008414726</c:v>
                </c:pt>
                <c:pt idx="509">
                  <c:v>0.39267203454859068</c:v>
                </c:pt>
                <c:pt idx="510">
                  <c:v>0.39321901463049741</c:v>
                </c:pt>
                <c:pt idx="511">
                  <c:v>0.39374155637284808</c:v>
                </c:pt>
                <c:pt idx="512">
                  <c:v>0.3942395603723261</c:v>
                </c:pt>
                <c:pt idx="513">
                  <c:v>0.39471293181083145</c:v>
                </c:pt>
                <c:pt idx="514">
                  <c:v>0.39516158048556749</c:v>
                </c:pt>
                <c:pt idx="515">
                  <c:v>0.3955854208376875</c:v>
                </c:pt>
                <c:pt idx="516">
                  <c:v>0.39598437197948738</c:v>
                </c:pt>
                <c:pt idx="517">
                  <c:v>0.39635835772013289</c:v>
                </c:pt>
                <c:pt idx="518">
                  <c:v>0.39670730658991049</c:v>
                </c:pt>
                <c:pt idx="519">
                  <c:v>0.39703115186298971</c:v>
                </c:pt>
                <c:pt idx="520">
                  <c:v>0.3973298315786884</c:v>
                </c:pt>
                <c:pt idx="521">
                  <c:v>0.3976032885612299</c:v>
                </c:pt>
                <c:pt idx="522">
                  <c:v>0.39785147043798463</c:v>
                </c:pt>
                <c:pt idx="523">
                  <c:v>0.39807432965618694</c:v>
                </c:pt>
                <c:pt idx="524">
                  <c:v>0.39827182349812035</c:v>
                </c:pt>
                <c:pt idx="525">
                  <c:v>0.39844391409476404</c:v>
                </c:pt>
                <c:pt idx="526">
                  <c:v>0.39859056843789503</c:v>
                </c:pt>
                <c:pt idx="527">
                  <c:v>0.3987117583906396</c:v>
                </c:pt>
                <c:pt idx="528">
                  <c:v>0.39880746069647066</c:v>
                </c:pt>
                <c:pt idx="529">
                  <c:v>0.39887765698664557</c:v>
                </c:pt>
                <c:pt idx="530">
                  <c:v>0.39892233378608216</c:v>
                </c:pt>
                <c:pt idx="531">
                  <c:v>0.39894148251766975</c:v>
                </c:pt>
                <c:pt idx="532">
                  <c:v>0.39893509950501366</c:v>
                </c:pt>
                <c:pt idx="533">
                  <c:v>0.39890318597361152</c:v>
                </c:pt>
                <c:pt idx="534">
                  <c:v>0.39884574805046102</c:v>
                </c:pt>
                <c:pt idx="535">
                  <c:v>0.39876279676209964</c:v>
                </c:pt>
                <c:pt idx="536">
                  <c:v>0.39865434803107636</c:v>
                </c:pt>
                <c:pt idx="537">
                  <c:v>0.39852042267085835</c:v>
                </c:pt>
                <c:pt idx="538">
                  <c:v>0.39836104637917336</c:v>
                </c:pt>
                <c:pt idx="539">
                  <c:v>0.3981762497297916</c:v>
                </c:pt>
                <c:pt idx="540">
                  <c:v>0.39796606816275087</c:v>
                </c:pt>
                <c:pt idx="541">
                  <c:v>0.39773054197302926</c:v>
                </c:pt>
                <c:pt idx="542">
                  <c:v>0.39746971629767008</c:v>
                </c:pt>
                <c:pt idx="543">
                  <c:v>0.39718364110136484</c:v>
                </c:pt>
                <c:pt idx="544">
                  <c:v>0.39687237116050184</c:v>
                </c:pt>
                <c:pt idx="545">
                  <c:v>0.39653596604568558</c:v>
                </c:pt>
                <c:pt idx="546">
                  <c:v>0.39617449010273653</c:v>
                </c:pt>
                <c:pt idx="547">
                  <c:v>0.39578801243217854</c:v>
                </c:pt>
                <c:pt idx="548">
                  <c:v>0.3953766068672242</c:v>
                </c:pt>
                <c:pt idx="549">
                  <c:v>0.3949403519502665</c:v>
                </c:pt>
                <c:pt idx="550">
                  <c:v>0.39447933090788867</c:v>
                </c:pt>
                <c:pt idx="551">
                  <c:v>0.39399363162440254</c:v>
                </c:pt>
                <c:pt idx="552">
                  <c:v>0.3934833466139277</c:v>
                </c:pt>
                <c:pt idx="553">
                  <c:v>0.39294857299102276</c:v>
                </c:pt>
                <c:pt idx="554">
                  <c:v>0.39238941243988362</c:v>
                </c:pt>
                <c:pt idx="555">
                  <c:v>0.39180597118212074</c:v>
                </c:pt>
                <c:pt idx="556">
                  <c:v>0.39119835994313051</c:v>
                </c:pt>
                <c:pt idx="557">
                  <c:v>0.39056669391707544</c:v>
                </c:pt>
                <c:pt idx="558">
                  <c:v>0.38991109273048891</c:v>
                </c:pt>
                <c:pt idx="559">
                  <c:v>0.38923168040451989</c:v>
                </c:pt>
                <c:pt idx="560">
                  <c:v>0.38852858531583551</c:v>
                </c:pt>
                <c:pt idx="561">
                  <c:v>0.38780194015619729</c:v>
                </c:pt>
                <c:pt idx="562">
                  <c:v>0.38705188189073003</c:v>
                </c:pt>
                <c:pt idx="563">
                  <c:v>0.38627855171490111</c:v>
                </c:pt>
                <c:pt idx="564">
                  <c:v>0.38548209501022923</c:v>
                </c:pt>
                <c:pt idx="565">
                  <c:v>0.38466266129874238</c:v>
                </c:pt>
                <c:pt idx="566">
                  <c:v>0.38382040419620406</c:v>
                </c:pt>
                <c:pt idx="567">
                  <c:v>0.38295548136412993</c:v>
                </c:pt>
                <c:pt idx="568">
                  <c:v>0.38206805446061376</c:v>
                </c:pt>
                <c:pt idx="569">
                  <c:v>0.38115828908998567</c:v>
                </c:pt>
                <c:pt idx="570">
                  <c:v>0.38022635475132444</c:v>
                </c:pt>
                <c:pt idx="571">
                  <c:v>0.37927242478584527</c:v>
                </c:pt>
                <c:pt idx="572">
                  <c:v>0.37829667632318748</c:v>
                </c:pt>
                <c:pt idx="573">
                  <c:v>0.37729929022662345</c:v>
                </c:pt>
                <c:pt idx="574">
                  <c:v>0.37628045103721475</c:v>
                </c:pt>
                <c:pt idx="575">
                  <c:v>0.37524034691693731</c:v>
                </c:pt>
                <c:pt idx="576">
                  <c:v>0.37417916959080227</c:v>
                </c:pt>
                <c:pt idx="577">
                  <c:v>0.37309711428799552</c:v>
                </c:pt>
                <c:pt idx="578">
                  <c:v>0.371994379682063</c:v>
                </c:pt>
                <c:pt idx="579">
                  <c:v>0.37087116783016572</c:v>
                </c:pt>
                <c:pt idx="580">
                  <c:v>0.36972768411143175</c:v>
                </c:pt>
                <c:pt idx="581">
                  <c:v>0.36856413716443082</c:v>
                </c:pt>
                <c:pt idx="582">
                  <c:v>0.36738073882379835</c:v>
                </c:pt>
                <c:pt idx="583">
                  <c:v>0.366177704056036</c:v>
                </c:pt>
                <c:pt idx="584">
                  <c:v>0.3649552508945153</c:v>
                </c:pt>
                <c:pt idx="585">
                  <c:v>0.36371360037371275</c:v>
                </c:pt>
                <c:pt idx="586">
                  <c:v>0.36245297646270352</c:v>
                </c:pt>
                <c:pt idx="587">
                  <c:v>0.36117360599794179</c:v>
                </c:pt>
                <c:pt idx="588">
                  <c:v>0.35987571861535594</c:v>
                </c:pt>
                <c:pt idx="589">
                  <c:v>0.35855954668178713</c:v>
                </c:pt>
                <c:pt idx="590">
                  <c:v>0.35722532522580008</c:v>
                </c:pt>
                <c:pt idx="591">
                  <c:v>0.35587329186789374</c:v>
                </c:pt>
                <c:pt idx="592">
                  <c:v>0.35450368675014249</c:v>
                </c:pt>
                <c:pt idx="593">
                  <c:v>0.35311675246529534</c:v>
                </c:pt>
                <c:pt idx="594">
                  <c:v>0.35171273398536351</c:v>
                </c:pt>
                <c:pt idx="595">
                  <c:v>0.35029187858972499</c:v>
                </c:pt>
                <c:pt idx="596">
                  <c:v>0.34885443579277614</c:v>
                </c:pt>
                <c:pt idx="597">
                  <c:v>0.34740065727115871</c:v>
                </c:pt>
                <c:pt idx="598">
                  <c:v>0.34593079679059413</c:v>
                </c:pt>
                <c:pt idx="599">
                  <c:v>0.34444511013235168</c:v>
                </c:pt>
                <c:pt idx="600">
                  <c:v>0.34294385501938307</c:v>
                </c:pt>
                <c:pt idx="601">
                  <c:v>0.34142729104215125</c:v>
                </c:pt>
                <c:pt idx="602">
                  <c:v>0.33989567958418393</c:v>
                </c:pt>
                <c:pt idx="603">
                  <c:v>0.33834928374738171</c:v>
                </c:pt>
                <c:pt idx="604">
                  <c:v>0.33678836827711012</c:v>
                </c:pt>
                <c:pt idx="605">
                  <c:v>0.33521319948710521</c:v>
                </c:pt>
                <c:pt idx="606">
                  <c:v>0.33362404518422289</c:v>
                </c:pt>
                <c:pt idx="607">
                  <c:v>0.33202117459306041</c:v>
                </c:pt>
                <c:pt idx="608">
                  <c:v>0.33040485828048133</c:v>
                </c:pt>
                <c:pt idx="609">
                  <c:v>0.32877536808007091</c:v>
                </c:pt>
                <c:pt idx="610">
                  <c:v>0.32713297701655358</c:v>
                </c:pt>
                <c:pt idx="611">
                  <c:v>0.32547795923020001</c:v>
                </c:pt>
                <c:pt idx="612">
                  <c:v>0.32381058990125344</c:v>
                </c:pt>
                <c:pt idx="613">
                  <c:v>0.32213114517440383</c:v>
                </c:pt>
                <c:pt idx="614">
                  <c:v>0.32043990208333895</c:v>
                </c:pt>
                <c:pt idx="615">
                  <c:v>0.31873713847540058</c:v>
                </c:pt>
                <c:pt idx="616">
                  <c:v>0.31702313293637419</c:v>
                </c:pt>
                <c:pt idx="617">
                  <c:v>0.31529816471543987</c:v>
                </c:pt>
                <c:pt idx="618">
                  <c:v>0.31356251365031329</c:v>
                </c:pt>
                <c:pt idx="619">
                  <c:v>0.31181646009260355</c:v>
                </c:pt>
                <c:pt idx="620">
                  <c:v>0.31006028483341519</c:v>
                </c:pt>
                <c:pt idx="621">
                  <c:v>0.30829426902922241</c:v>
                </c:pt>
                <c:pt idx="622">
                  <c:v>0.30651869412804167</c:v>
                </c:pt>
                <c:pt idx="623">
                  <c:v>0.30473384179592911</c:v>
                </c:pt>
                <c:pt idx="624">
                  <c:v>0.30293999384382958</c:v>
                </c:pt>
                <c:pt idx="625">
                  <c:v>0.30113743215480343</c:v>
                </c:pt>
                <c:pt idx="626">
                  <c:v>0.29932643861165542</c:v>
                </c:pt>
                <c:pt idx="627">
                  <c:v>0.29750729502499307</c:v>
                </c:pt>
                <c:pt idx="628">
                  <c:v>0.29568028306173771</c:v>
                </c:pt>
                <c:pt idx="629">
                  <c:v>0.29384568417411377</c:v>
                </c:pt>
                <c:pt idx="630">
                  <c:v>0.29200377952914042</c:v>
                </c:pt>
                <c:pt idx="631">
                  <c:v>0.29015484993864932</c:v>
                </c:pt>
                <c:pt idx="632">
                  <c:v>0.28829917578985209</c:v>
                </c:pt>
                <c:pt idx="633">
                  <c:v>0.28643703697648076</c:v>
                </c:pt>
                <c:pt idx="634">
                  <c:v>0.2845687128305236</c:v>
                </c:pt>
                <c:pt idx="635">
                  <c:v>0.2826944820545792</c:v>
                </c:pt>
                <c:pt idx="636">
                  <c:v>0.28081462265484997</c:v>
                </c:pt>
                <c:pt idx="637">
                  <c:v>0.27892941187479714</c:v>
                </c:pt>
                <c:pt idx="638">
                  <c:v>0.27703912612947801</c:v>
                </c:pt>
                <c:pt idx="639">
                  <c:v>0.27514404094058631</c:v>
                </c:pt>
                <c:pt idx="640">
                  <c:v>0.27324443087221517</c:v>
                </c:pt>
                <c:pt idx="641">
                  <c:v>0.27134056946736318</c:v>
                </c:pt>
                <c:pt idx="642">
                  <c:v>0.26943272918520239</c:v>
                </c:pt>
                <c:pt idx="643">
                  <c:v>0.2675211813391265</c:v>
                </c:pt>
                <c:pt idx="644">
                  <c:v>0.26560619603559904</c:v>
                </c:pt>
                <c:pt idx="645">
                  <c:v>0.26368804211381708</c:v>
                </c:pt>
                <c:pt idx="646">
                  <c:v>0.26176698708620982</c:v>
                </c:pt>
                <c:pt idx="647">
                  <c:v>0.25984329707978754</c:v>
                </c:pt>
                <c:pt idx="648">
                  <c:v>0.25791723677835798</c:v>
                </c:pt>
                <c:pt idx="649">
                  <c:v>0.25598906936562543</c:v>
                </c:pt>
                <c:pt idx="650">
                  <c:v>0.25405905646918786</c:v>
                </c:pt>
                <c:pt idx="651">
                  <c:v>0.25212745810544773</c:v>
                </c:pt>
                <c:pt idx="652">
                  <c:v>0.25019453262544872</c:v>
                </c:pt>
                <c:pt idx="653">
                  <c:v>0.24826053666165457</c:v>
                </c:pt>
                <c:pt idx="654">
                  <c:v>0.24632572507568176</c:v>
                </c:pt>
                <c:pt idx="655">
                  <c:v>0.24439035090699848</c:v>
                </c:pt>
                <c:pt idx="656">
                  <c:v>0.24245466532260304</c:v>
                </c:pt>
                <c:pt idx="657">
                  <c:v>0.24051891756769289</c:v>
                </c:pt>
                <c:pt idx="658">
                  <c:v>0.23858335491733501</c:v>
                </c:pt>
                <c:pt idx="659">
                  <c:v>0.23664822262914878</c:v>
                </c:pt>
                <c:pt idx="660">
                  <c:v>0.23471376389701068</c:v>
                </c:pt>
                <c:pt idx="661">
                  <c:v>0.23278021980579139</c:v>
                </c:pt>
                <c:pt idx="662">
                  <c:v>0.23084782928713277</c:v>
                </c:pt>
                <c:pt idx="663">
                  <c:v>0.22891682907627434</c:v>
                </c:pt>
                <c:pt idx="664">
                  <c:v>0.22698745366993661</c:v>
                </c:pt>
                <c:pt idx="665">
                  <c:v>0.22505993528526852</c:v>
                </c:pt>
                <c:pt idx="666">
                  <c:v>0.22313450381986624</c:v>
                </c:pt>
                <c:pt idx="667">
                  <c:v>0.22121138681286864</c:v>
                </c:pt>
                <c:pt idx="668">
                  <c:v>0.21929080940713677</c:v>
                </c:pt>
                <c:pt idx="669">
                  <c:v>0.21737299431252041</c:v>
                </c:pt>
                <c:pt idx="670">
                  <c:v>0.21545816177021859</c:v>
                </c:pt>
                <c:pt idx="671">
                  <c:v>0.21354652951823636</c:v>
                </c:pt>
                <c:pt idx="672">
                  <c:v>0.21163831275794259</c:v>
                </c:pt>
                <c:pt idx="673">
                  <c:v>0.20973372412173136</c:v>
                </c:pt>
                <c:pt idx="674">
                  <c:v>0.20783297364178968</c:v>
                </c:pt>
                <c:pt idx="675">
                  <c:v>0.20593626871997364</c:v>
                </c:pt>
                <c:pt idx="676">
                  <c:v>0.20404381409879427</c:v>
                </c:pt>
                <c:pt idx="677">
                  <c:v>0.20215581183351461</c:v>
                </c:pt>
                <c:pt idx="678">
                  <c:v>0.20027246126535761</c:v>
                </c:pt>
                <c:pt idx="679">
                  <c:v>0.19839395899582654</c:v>
                </c:pt>
                <c:pt idx="680">
                  <c:v>0.19652049886213543</c:v>
                </c:pt>
                <c:pt idx="681">
                  <c:v>0.19465227191375004</c:v>
                </c:pt>
                <c:pt idx="682">
                  <c:v>0.19278946639003727</c:v>
                </c:pt>
                <c:pt idx="683">
                  <c:v>0.19093226769902147</c:v>
                </c:pt>
                <c:pt idx="684">
                  <c:v>0.18908085839724462</c:v>
                </c:pt>
                <c:pt idx="685">
                  <c:v>0.18723541817072845</c:v>
                </c:pt>
                <c:pt idx="686">
                  <c:v>0.18539612381703399</c:v>
                </c:pt>
                <c:pt idx="687">
                  <c:v>0.18356314922841596</c:v>
                </c:pt>
                <c:pt idx="688">
                  <c:v>0.18173666537606692</c:v>
                </c:pt>
                <c:pt idx="689">
                  <c:v>0.1799168402954468</c:v>
                </c:pt>
                <c:pt idx="690">
                  <c:v>0.17810383907269248</c:v>
                </c:pt>
                <c:pt idx="691">
                  <c:v>0.17629782383210255</c:v>
                </c:pt>
                <c:pt idx="692">
                  <c:v>0.17449895372469004</c:v>
                </c:pt>
                <c:pt idx="693">
                  <c:v>0.17270738491779805</c:v>
                </c:pt>
                <c:pt idx="694">
                  <c:v>0.17092327058577048</c:v>
                </c:pt>
                <c:pt idx="695">
                  <c:v>0.16914676090167133</c:v>
                </c:pt>
                <c:pt idx="696">
                  <c:v>0.16737800303004433</c:v>
                </c:pt>
                <c:pt idx="697">
                  <c:v>0.16561714112070555</c:v>
                </c:pt>
                <c:pt idx="698">
                  <c:v>0.1638643163035603</c:v>
                </c:pt>
                <c:pt idx="699">
                  <c:v>0.16211966668443545</c:v>
                </c:pt>
                <c:pt idx="700">
                  <c:v>0.16038332734191854</c:v>
                </c:pt>
                <c:pt idx="701">
                  <c:v>0.15865543032519372</c:v>
                </c:pt>
                <c:pt idx="702">
                  <c:v>0.15693610465286506</c:v>
                </c:pt>
                <c:pt idx="703">
                  <c:v>0.15522547631275693</c:v>
                </c:pt>
                <c:pt idx="704">
                  <c:v>0.15352366826268127</c:v>
                </c:pt>
                <c:pt idx="705">
                  <c:v>0.15183080043216063</c:v>
                </c:pt>
                <c:pt idx="706">
                  <c:v>0.15014698972509605</c:v>
                </c:pt>
                <c:pt idx="707">
                  <c:v>0.14847235002336845</c:v>
                </c:pt>
                <c:pt idx="708">
                  <c:v>0.14680699219136212</c:v>
                </c:pt>
                <c:pt idx="709">
                  <c:v>0.1451510240813973</c:v>
                </c:pt>
                <c:pt idx="710">
                  <c:v>0.14350455054006139</c:v>
                </c:pt>
                <c:pt idx="711">
                  <c:v>0.14186767341542453</c:v>
                </c:pt>
                <c:pt idx="712">
                  <c:v>0.14024049156512791</c:v>
                </c:pt>
                <c:pt idx="713">
                  <c:v>0.13862310086533164</c:v>
                </c:pt>
                <c:pt idx="714">
                  <c:v>0.13701559422050838</c:v>
                </c:pt>
                <c:pt idx="715">
                  <c:v>0.1354180615740703</c:v>
                </c:pt>
                <c:pt idx="716">
                  <c:v>0.13383058991981472</c:v>
                </c:pt>
                <c:pt idx="717">
                  <c:v>0.13225326331417514</c:v>
                </c:pt>
                <c:pt idx="718">
                  <c:v>0.13068616288926355</c:v>
                </c:pt>
                <c:pt idx="719">
                  <c:v>0.12912936686668927</c:v>
                </c:pt>
                <c:pt idx="720">
                  <c:v>0.12758295057214092</c:v>
                </c:pt>
                <c:pt idx="721">
                  <c:v>0.1260469864507156</c:v>
                </c:pt>
                <c:pt idx="722">
                  <c:v>0.12452154408298167</c:v>
                </c:pt>
                <c:pt idx="723">
                  <c:v>0.12300669020175958</c:v>
                </c:pt>
                <c:pt idx="724">
                  <c:v>0.12150248870960574</c:v>
                </c:pt>
                <c:pt idx="725">
                  <c:v>0.12000900069698466</c:v>
                </c:pt>
                <c:pt idx="726">
                  <c:v>0.11852628446111359</c:v>
                </c:pt>
                <c:pt idx="727">
                  <c:v>0.11705439552546434</c:v>
                </c:pt>
                <c:pt idx="728">
                  <c:v>0.11559338665990704</c:v>
                </c:pt>
                <c:pt idx="729">
                  <c:v>0.11414330790147996</c:v>
                </c:pt>
                <c:pt idx="730">
                  <c:v>0.11270420657576966</c:v>
                </c:pt>
                <c:pt idx="731">
                  <c:v>0.11127612731888586</c:v>
                </c:pt>
                <c:pt idx="732">
                  <c:v>0.10985911210001527</c:v>
                </c:pt>
                <c:pt idx="733">
                  <c:v>0.10845320024453789</c:v>
                </c:pt>
                <c:pt idx="734">
                  <c:v>0.1070584284576909</c:v>
                </c:pt>
                <c:pt idx="735">
                  <c:v>0.10567483084876275</c:v>
                </c:pt>
                <c:pt idx="736">
                  <c:v>0.10430243895580295</c:v>
                </c:pt>
                <c:pt idx="737">
                  <c:v>0.1029412817708301</c:v>
                </c:pt>
                <c:pt idx="738">
                  <c:v>0.10159138576552329</c:v>
                </c:pt>
                <c:pt idx="739">
                  <c:v>0.10025277491737954</c:v>
                </c:pt>
                <c:pt idx="740">
                  <c:v>9.8925470736322879E-2</c:v>
                </c:pt>
                <c:pt idx="741">
                  <c:v>9.7609492291747119E-2</c:v>
                </c:pt>
                <c:pt idx="742">
                  <c:v>9.6304856239977796E-2</c:v>
                </c:pt>
                <c:pt idx="743">
                  <c:v>9.5011576852136487E-2</c:v>
                </c:pt>
                <c:pt idx="744">
                  <c:v>9.3729666042391552E-2</c:v>
                </c:pt>
                <c:pt idx="745">
                  <c:v>9.2459133396579851E-2</c:v>
                </c:pt>
                <c:pt idx="746">
                  <c:v>9.1199986201182928E-2</c:v>
                </c:pt>
                <c:pt idx="747">
                  <c:v>8.9952229472642212E-2</c:v>
                </c:pt>
                <c:pt idx="748">
                  <c:v>8.8715865986997308E-2</c:v>
                </c:pt>
                <c:pt idx="749">
                  <c:v>8.7490896309831784E-2</c:v>
                </c:pt>
                <c:pt idx="750">
                  <c:v>8.6277318826510782E-2</c:v>
                </c:pt>
                <c:pt idx="751">
                  <c:v>8.5075129772694588E-2</c:v>
                </c:pt>
                <c:pt idx="752">
                  <c:v>8.388432326511365E-2</c:v>
                </c:pt>
                <c:pt idx="753">
                  <c:v>8.2704891332588321E-2</c:v>
                </c:pt>
                <c:pt idx="754">
                  <c:v>8.1536823947279416E-2</c:v>
                </c:pt>
                <c:pt idx="755">
                  <c:v>8.0380109056153434E-2</c:v>
                </c:pt>
                <c:pt idx="756">
                  <c:v>7.9234732612648115E-2</c:v>
                </c:pt>
                <c:pt idx="757">
                  <c:v>7.8100678608522933E-2</c:v>
                </c:pt>
                <c:pt idx="758">
                  <c:v>7.6977929105880208E-2</c:v>
                </c:pt>
                <c:pt idx="759">
                  <c:v>7.5866464269341766E-2</c:v>
                </c:pt>
                <c:pt idx="760">
                  <c:v>7.4766262398366923E-2</c:v>
                </c:pt>
                <c:pt idx="761">
                  <c:v>7.3677299959697518E-2</c:v>
                </c:pt>
                <c:pt idx="762">
                  <c:v>7.2599551619915367E-2</c:v>
                </c:pt>
                <c:pt idx="763">
                  <c:v>7.1532990278098688E-2</c:v>
                </c:pt>
                <c:pt idx="764">
                  <c:v>7.0477587098563041E-2</c:v>
                </c:pt>
                <c:pt idx="765">
                  <c:v>6.9433311543673534E-2</c:v>
                </c:pt>
                <c:pt idx="766">
                  <c:v>6.8400131406714415E-2</c:v>
                </c:pt>
                <c:pt idx="767">
                  <c:v>6.7378012844802784E-2</c:v>
                </c:pt>
                <c:pt idx="768">
                  <c:v>6.6366920411833383E-2</c:v>
                </c:pt>
                <c:pt idx="769">
                  <c:v>6.5366817091441085E-2</c:v>
                </c:pt>
                <c:pt idx="770">
                  <c:v>6.4377664329968734E-2</c:v>
                </c:pt>
                <c:pt idx="771">
                  <c:v>6.3399422069427114E-2</c:v>
                </c:pt>
                <c:pt idx="772">
                  <c:v>6.2432048780435262E-2</c:v>
                </c:pt>
                <c:pt idx="773">
                  <c:v>6.1475501495128329E-2</c:v>
                </c:pt>
                <c:pt idx="774">
                  <c:v>6.0529735840021068E-2</c:v>
                </c:pt>
                <c:pt idx="775">
                  <c:v>5.9594706068815478E-2</c:v>
                </c:pt>
                <c:pt idx="776">
                  <c:v>5.8670365095140328E-2</c:v>
                </c:pt>
                <c:pt idx="777">
                  <c:v>5.7756664525211728E-2</c:v>
                </c:pt>
                <c:pt idx="778">
                  <c:v>5.6853554690403062E-2</c:v>
                </c:pt>
                <c:pt idx="779">
                  <c:v>5.5960984679713693E-2</c:v>
                </c:pt>
                <c:pt idx="780">
                  <c:v>5.5078902372125212E-2</c:v>
                </c:pt>
                <c:pt idx="781">
                  <c:v>5.4207254468835009E-2</c:v>
                </c:pt>
                <c:pt idx="782">
                  <c:v>5.3345986525356749E-2</c:v>
                </c:pt>
                <c:pt idx="783">
                  <c:v>5.2495042983477389E-2</c:v>
                </c:pt>
                <c:pt idx="784">
                  <c:v>5.1654367203061165E-2</c:v>
                </c:pt>
                <c:pt idx="785">
                  <c:v>5.0823901493690635E-2</c:v>
                </c:pt>
                <c:pt idx="786">
                  <c:v>5.0003587146135411E-2</c:v>
                </c:pt>
                <c:pt idx="787">
                  <c:v>4.9193364463639269E-2</c:v>
                </c:pt>
                <c:pt idx="788">
                  <c:v>4.8393172793016942E-2</c:v>
                </c:pt>
                <c:pt idx="789">
                  <c:v>4.7602950555551242E-2</c:v>
                </c:pt>
                <c:pt idx="790">
                  <c:v>4.6822635277682635E-2</c:v>
                </c:pt>
                <c:pt idx="791">
                  <c:v>4.6052163621482546E-2</c:v>
                </c:pt>
                <c:pt idx="792">
                  <c:v>4.5291471414902286E-2</c:v>
                </c:pt>
                <c:pt idx="793">
                  <c:v>4.4540493681790201E-2</c:v>
                </c:pt>
                <c:pt idx="794">
                  <c:v>4.3799164671668861E-2</c:v>
                </c:pt>
                <c:pt idx="795">
                  <c:v>4.3067417889265255E-2</c:v>
                </c:pt>
                <c:pt idx="796">
                  <c:v>4.23451861237868E-2</c:v>
                </c:pt>
                <c:pt idx="797">
                  <c:v>4.1632401477936239E-2</c:v>
                </c:pt>
                <c:pt idx="798">
                  <c:v>4.0928995396658577E-2</c:v>
                </c:pt>
                <c:pt idx="799">
                  <c:v>4.023489869561396E-2</c:v>
                </c:pt>
                <c:pt idx="800">
                  <c:v>3.9550041589369762E-2</c:v>
                </c:pt>
                <c:pt idx="801">
                  <c:v>3.8874353719306518E-2</c:v>
                </c:pt>
                <c:pt idx="802">
                  <c:v>3.8207764181231271E-2</c:v>
                </c:pt>
                <c:pt idx="803">
                  <c:v>3.7550201552693382E-2</c:v>
                </c:pt>
                <c:pt idx="804">
                  <c:v>3.6901593919997068E-2</c:v>
                </c:pt>
                <c:pt idx="805">
                  <c:v>3.6261868904905799E-2</c:v>
                </c:pt>
                <c:pt idx="806">
                  <c:v>3.5630953691033654E-2</c:v>
                </c:pt>
                <c:pt idx="807">
                  <c:v>3.5008775049918978E-2</c:v>
                </c:pt>
                <c:pt idx="808">
                  <c:v>3.4395259366775864E-2</c:v>
                </c:pt>
                <c:pt idx="809">
                  <c:v>3.3790332665919416E-2</c:v>
                </c:pt>
                <c:pt idx="810">
                  <c:v>3.319392063586072E-2</c:v>
                </c:pt>
                <c:pt idx="811">
                  <c:v>3.2605948654067664E-2</c:v>
                </c:pt>
                <c:pt idx="812">
                  <c:v>3.2026341811388213E-2</c:v>
                </c:pt>
                <c:pt idx="813">
                  <c:v>3.145502493613285E-2</c:v>
                </c:pt>
                <c:pt idx="814">
                  <c:v>3.0891922617812789E-2</c:v>
                </c:pt>
                <c:pt idx="815">
                  <c:v>3.0336959230531257E-2</c:v>
                </c:pt>
                <c:pt idx="816">
                  <c:v>2.9790058956025194E-2</c:v>
                </c:pt>
                <c:pt idx="817">
                  <c:v>2.9251145806354576E-2</c:v>
                </c:pt>
                <c:pt idx="818">
                  <c:v>2.8720143646237369E-2</c:v>
                </c:pt>
                <c:pt idx="819">
                  <c:v>2.8196976215027838E-2</c:v>
                </c:pt>
                <c:pt idx="820">
                  <c:v>2.7681567148336226E-2</c:v>
                </c:pt>
                <c:pt idx="821">
                  <c:v>2.717383999928839E-2</c:v>
                </c:pt>
                <c:pt idx="822">
                  <c:v>2.6673718259423468E-2</c:v>
                </c:pt>
                <c:pt idx="823">
                  <c:v>2.6181125379228572E-2</c:v>
                </c:pt>
                <c:pt idx="824">
                  <c:v>2.5695984788309128E-2</c:v>
                </c:pt>
                <c:pt idx="825">
                  <c:v>2.5218219915194063E-2</c:v>
                </c:pt>
                <c:pt idx="826">
                  <c:v>2.4747754206774934E-2</c:v>
                </c:pt>
                <c:pt idx="827">
                  <c:v>2.4284511147378389E-2</c:v>
                </c:pt>
                <c:pt idx="828">
                  <c:v>2.3828414277471666E-2</c:v>
                </c:pt>
                <c:pt idx="829">
                  <c:v>2.3379387212000606E-2</c:v>
                </c:pt>
                <c:pt idx="830">
                  <c:v>2.2937353658360398E-2</c:v>
                </c:pt>
                <c:pt idx="831">
                  <c:v>2.2502237433998758E-2</c:v>
                </c:pt>
                <c:pt idx="832">
                  <c:v>2.2073962483652152E-2</c:v>
                </c:pt>
                <c:pt idx="833">
                  <c:v>2.1652452896215129E-2</c:v>
                </c:pt>
                <c:pt idx="834">
                  <c:v>2.1237632921243484E-2</c:v>
                </c:pt>
                <c:pt idx="835">
                  <c:v>2.0829426985091912E-2</c:v>
                </c:pt>
                <c:pt idx="836">
                  <c:v>2.0427759706686952E-2</c:v>
                </c:pt>
                <c:pt idx="837">
                  <c:v>2.0032555912936262E-2</c:v>
                </c:pt>
                <c:pt idx="838">
                  <c:v>1.9643740653775287E-2</c:v>
                </c:pt>
                <c:pt idx="839">
                  <c:v>1.9261239216852705E-2</c:v>
                </c:pt>
                <c:pt idx="840">
                  <c:v>1.8884977141855917E-2</c:v>
                </c:pt>
                <c:pt idx="841">
                  <c:v>1.8514880234478212E-2</c:v>
                </c:pt>
                <c:pt idx="842">
                  <c:v>1.8150874580029307E-2</c:v>
                </c:pt>
                <c:pt idx="843">
                  <c:v>1.7792886556690844E-2</c:v>
                </c:pt>
                <c:pt idx="844">
                  <c:v>1.7440842848419125E-2</c:v>
                </c:pt>
                <c:pt idx="845">
                  <c:v>1.70946704574967E-2</c:v>
                </c:pt>
                <c:pt idx="846">
                  <c:v>1.6754296716735301E-2</c:v>
                </c:pt>
                <c:pt idx="847">
                  <c:v>1.641964930133219E-2</c:v>
                </c:pt>
                <c:pt idx="848">
                  <c:v>1.6090656240382334E-2</c:v>
                </c:pt>
                <c:pt idx="849">
                  <c:v>1.5767245928048967E-2</c:v>
                </c:pt>
                <c:pt idx="850">
                  <c:v>1.5449347134394947E-2</c:v>
                </c:pt>
                <c:pt idx="851">
                  <c:v>1.5136889015877786E-2</c:v>
                </c:pt>
                <c:pt idx="852">
                  <c:v>1.4829801125510937E-2</c:v>
                </c:pt>
                <c:pt idx="853">
                  <c:v>1.4528013422694346E-2</c:v>
                </c:pt>
                <c:pt idx="854">
                  <c:v>1.4231456282717164E-2</c:v>
                </c:pt>
                <c:pt idx="855">
                  <c:v>1.3940060505935613E-2</c:v>
                </c:pt>
                <c:pt idx="856">
                  <c:v>1.3653757326629256E-2</c:v>
                </c:pt>
                <c:pt idx="857">
                  <c:v>1.3372478421538698E-2</c:v>
                </c:pt>
                <c:pt idx="858">
                  <c:v>1.3096155918088185E-2</c:v>
                </c:pt>
                <c:pt idx="859">
                  <c:v>1.2824722402296252E-2</c:v>
                </c:pt>
                <c:pt idx="860">
                  <c:v>1.2558110926378013E-2</c:v>
                </c:pt>
                <c:pt idx="861">
                  <c:v>1.2296255016042486E-2</c:v>
                </c:pt>
                <c:pt idx="862">
                  <c:v>1.2039088677488465E-2</c:v>
                </c:pt>
                <c:pt idx="863">
                  <c:v>1.1786546404102698E-2</c:v>
                </c:pt>
                <c:pt idx="864">
                  <c:v>1.1538563182863818E-2</c:v>
                </c:pt>
                <c:pt idx="865">
                  <c:v>1.1295074500455958E-2</c:v>
                </c:pt>
                <c:pt idx="866">
                  <c:v>1.1056016349095693E-2</c:v>
                </c:pt>
                <c:pt idx="867">
                  <c:v>1.0821325232076101E-2</c:v>
                </c:pt>
                <c:pt idx="868">
                  <c:v>1.0590938169031961E-2</c:v>
                </c:pt>
                <c:pt idx="869">
                  <c:v>1.0364792700929808E-2</c:v>
                </c:pt>
                <c:pt idx="870">
                  <c:v>1.0142826894786919E-2</c:v>
                </c:pt>
                <c:pt idx="871">
                  <c:v>9.9249793481231176E-3</c:v>
                </c:pt>
                <c:pt idx="872">
                  <c:v>9.7111891931495053E-3</c:v>
                </c:pt>
                <c:pt idx="873">
                  <c:v>9.5013961006980702E-3</c:v>
                </c:pt>
                <c:pt idx="874">
                  <c:v>9.2955402838963037E-3</c:v>
                </c:pt>
                <c:pt idx="875">
                  <c:v>9.0935625015909054E-3</c:v>
                </c:pt>
                <c:pt idx="876">
                  <c:v>8.8954040615246959E-3</c:v>
                </c:pt>
                <c:pt idx="877">
                  <c:v>8.7010068232708463E-3</c:v>
                </c:pt>
                <c:pt idx="878">
                  <c:v>8.5103132009286889E-3</c:v>
                </c:pt>
                <c:pt idx="879">
                  <c:v>8.3232661655851109E-3</c:v>
                </c:pt>
                <c:pt idx="880">
                  <c:v>8.1398092475458914E-3</c:v>
                </c:pt>
                <c:pt idx="881">
                  <c:v>7.9598865383410516E-3</c:v>
                </c:pt>
                <c:pt idx="882">
                  <c:v>7.7834426925085026E-3</c:v>
                </c:pt>
                <c:pt idx="883">
                  <c:v>7.6104229291601277E-3</c:v>
                </c:pt>
                <c:pt idx="884">
                  <c:v>7.4407730333346089E-3</c:v>
                </c:pt>
                <c:pt idx="885">
                  <c:v>7.2744393571410994E-3</c:v>
                </c:pt>
                <c:pt idx="886">
                  <c:v>7.1113688206980502E-3</c:v>
                </c:pt>
                <c:pt idx="887">
                  <c:v>6.9515089128713474E-3</c:v>
                </c:pt>
                <c:pt idx="888">
                  <c:v>6.7948076918159933E-3</c:v>
                </c:pt>
                <c:pt idx="889">
                  <c:v>6.6412137853255077E-3</c:v>
                </c:pt>
                <c:pt idx="890">
                  <c:v>6.4906763909932533E-3</c:v>
                </c:pt>
                <c:pt idx="891">
                  <c:v>6.3431452761898693E-3</c:v>
                </c:pt>
                <c:pt idx="892">
                  <c:v>6.1985707778609393E-3</c:v>
                </c:pt>
                <c:pt idx="893">
                  <c:v>6.0569038021491221E-3</c:v>
                </c:pt>
                <c:pt idx="894">
                  <c:v>5.9180958238448005E-3</c:v>
                </c:pt>
                <c:pt idx="895">
                  <c:v>5.782098885669374E-3</c:v>
                </c:pt>
                <c:pt idx="896">
                  <c:v>5.6488655973953817E-3</c:v>
                </c:pt>
                <c:pt idx="897">
                  <c:v>5.5183491348073819E-3</c:v>
                </c:pt>
                <c:pt idx="898">
                  <c:v>5.3905032385077808E-3</c:v>
                </c:pt>
                <c:pt idx="899">
                  <c:v>5.2652822125715476E-3</c:v>
                </c:pt>
                <c:pt idx="900">
                  <c:v>5.1426409230538516E-3</c:v>
                </c:pt>
                <c:pt idx="901">
                  <c:v>5.0225347963545946E-3</c:v>
                </c:pt>
                <c:pt idx="902">
                  <c:v>4.9049198174437739E-3</c:v>
                </c:pt>
                <c:pt idx="903">
                  <c:v>4.7897525279515995E-3</c:v>
                </c:pt>
                <c:pt idx="904">
                  <c:v>4.6769900241272408E-3</c:v>
                </c:pt>
                <c:pt idx="905">
                  <c:v>4.5665899546700629E-3</c:v>
                </c:pt>
                <c:pt idx="906">
                  <c:v>4.4585105184371662E-3</c:v>
                </c:pt>
                <c:pt idx="907">
                  <c:v>4.3527104620309891E-3</c:v>
                </c:pt>
                <c:pt idx="908">
                  <c:v>4.2491490772707816E-3</c:v>
                </c:pt>
                <c:pt idx="909">
                  <c:v>4.1477861985515646E-3</c:v>
                </c:pt>
                <c:pt idx="910">
                  <c:v>4.0485822000943536E-3</c:v>
                </c:pt>
                <c:pt idx="911">
                  <c:v>3.9514979930911666E-3</c:v>
                </c:pt>
                <c:pt idx="912">
                  <c:v>3.8564950227485055E-3</c:v>
                </c:pt>
                <c:pt idx="913">
                  <c:v>3.7635352652328072E-3</c:v>
                </c:pt>
                <c:pt idx="914">
                  <c:v>3.6725812245213766E-3</c:v>
                </c:pt>
                <c:pt idx="915">
                  <c:v>3.5835959291622946E-3</c:v>
                </c:pt>
                <c:pt idx="916">
                  <c:v>3.4965429289466918E-3</c:v>
                </c:pt>
                <c:pt idx="917">
                  <c:v>3.4113862914967995E-3</c:v>
                </c:pt>
                <c:pt idx="918">
                  <c:v>3.3280905987730838E-3</c:v>
                </c:pt>
                <c:pt idx="919">
                  <c:v>3.246620943503772E-3</c:v>
                </c:pt>
                <c:pt idx="920">
                  <c:v>3.1669429255400186E-3</c:v>
                </c:pt>
                <c:pt idx="921">
                  <c:v>3.0890226481398758E-3</c:v>
                </c:pt>
                <c:pt idx="922">
                  <c:v>3.0128267141842839E-3</c:v>
                </c:pt>
                <c:pt idx="923">
                  <c:v>2.9383222223281005E-3</c:v>
                </c:pt>
                <c:pt idx="924">
                  <c:v>2.8654767630893183E-3</c:v>
                </c:pt>
                <c:pt idx="925">
                  <c:v>2.7942584148793921E-3</c:v>
                </c:pt>
                <c:pt idx="926">
                  <c:v>2.7246357399777054E-3</c:v>
                </c:pt>
                <c:pt idx="927">
                  <c:v>2.6565777804530501E-3</c:v>
                </c:pt>
                <c:pt idx="928">
                  <c:v>2.5900540540349905E-3</c:v>
                </c:pt>
                <c:pt idx="929">
                  <c:v>2.5250345499379314E-3</c:v>
                </c:pt>
                <c:pt idx="930">
                  <c:v>2.461489724640652E-3</c:v>
                </c:pt>
                <c:pt idx="931">
                  <c:v>2.3993904976240183E-3</c:v>
                </c:pt>
                <c:pt idx="932">
                  <c:v>2.3387082470695403E-3</c:v>
                </c:pt>
                <c:pt idx="933">
                  <c:v>2.2794148055213996E-3</c:v>
                </c:pt>
                <c:pt idx="934">
                  <c:v>2.2214824555144876E-3</c:v>
                </c:pt>
                <c:pt idx="935">
                  <c:v>2.1648839251710177E-3</c:v>
                </c:pt>
                <c:pt idx="936">
                  <c:v>2.109592383768124E-3</c:v>
                </c:pt>
                <c:pt idx="937">
                  <c:v>2.0555814372788957E-3</c:v>
                </c:pt>
                <c:pt idx="938">
                  <c:v>2.0028251238892129E-3</c:v>
                </c:pt>
                <c:pt idx="939">
                  <c:v>1.9512979094927002E-3</c:v>
                </c:pt>
                <c:pt idx="940">
                  <c:v>1.9009746831660413E-3</c:v>
                </c:pt>
                <c:pt idx="941">
                  <c:v>1.8518307526269151E-3</c:v>
                </c:pt>
                <c:pt idx="942">
                  <c:v>1.8038418396766921E-3</c:v>
                </c:pt>
                <c:pt idx="943">
                  <c:v>1.7569840756300184E-3</c:v>
                </c:pt>
                <c:pt idx="944">
                  <c:v>1.7112339967333627E-3</c:v>
                </c:pt>
                <c:pt idx="945">
                  <c:v>1.6665685395745456E-3</c:v>
                </c:pt>
                <c:pt idx="946">
                  <c:v>1.6229650364852233E-3</c:v>
                </c:pt>
                <c:pt idx="947">
                  <c:v>1.5804012109382577E-3</c:v>
                </c:pt>
                <c:pt idx="948">
                  <c:v>1.5388551729418362E-3</c:v>
                </c:pt>
                <c:pt idx="949">
                  <c:v>1.4983054144321983E-3</c:v>
                </c:pt>
                <c:pt idx="950">
                  <c:v>1.4587308046667146E-3</c:v>
                </c:pt>
                <c:pt idx="951">
                  <c:v>1.4201105856190941E-3</c:v>
                </c:pt>
                <c:pt idx="952">
                  <c:v>1.3824243673783703E-3</c:v>
                </c:pt>
                <c:pt idx="953">
                  <c:v>1.3456521235533402E-3</c:v>
                </c:pt>
                <c:pt idx="954">
                  <c:v>1.3097741866840412E-3</c:v>
                </c:pt>
                <c:pt idx="955">
                  <c:v>1.2747712436618054E-3</c:v>
                </c:pt>
                <c:pt idx="956">
                  <c:v>1.2406243311594229E-3</c:v>
                </c:pt>
                <c:pt idx="957">
                  <c:v>1.2073148310728558E-3</c:v>
                </c:pt>
                <c:pt idx="958">
                  <c:v>1.1748244659759287E-3</c:v>
                </c:pt>
                <c:pt idx="959">
                  <c:v>1.1431352945893722E-3</c:v>
                </c:pt>
                <c:pt idx="960">
                  <c:v>1.112229707265541E-3</c:v>
                </c:pt>
                <c:pt idx="961">
                  <c:v>1.0820904214901101E-3</c:v>
                </c:pt>
                <c:pt idx="962">
                  <c:v>1.0527004774019799E-3</c:v>
                </c:pt>
                <c:pt idx="963">
                  <c:v>1.0240432333326001E-3</c:v>
                </c:pt>
                <c:pt idx="964">
                  <c:v>9.9610236136588536E-4</c:v>
                </c:pt>
                <c:pt idx="965">
                  <c:v>9.6886184291982433E-4</c:v>
                </c:pt>
                <c:pt idx="966">
                  <c:v>9.4230596435088999E-4</c:v>
                </c:pt>
                <c:pt idx="967">
                  <c:v>9.1641931258226836E-4</c:v>
                </c:pt>
                <c:pt idx="968">
                  <c:v>8.9118677075693243E-4</c:v>
                </c:pt>
                <c:pt idx="969">
                  <c:v>8.6659351391650985E-4</c:v>
                </c:pt>
                <c:pt idx="970">
                  <c:v>8.4262500470688327E-4</c:v>
                </c:pt>
                <c:pt idx="971">
                  <c:v>8.1926698911140403E-4</c:v>
                </c:pt>
                <c:pt idx="972">
                  <c:v>7.9650549221258274E-4</c:v>
                </c:pt>
                <c:pt idx="973">
                  <c:v>7.7432681398306399E-4</c:v>
                </c:pt>
                <c:pt idx="974">
                  <c:v>7.5271752510667567E-4</c:v>
                </c:pt>
                <c:pt idx="975">
                  <c:v>7.3166446283029387E-4</c:v>
                </c:pt>
                <c:pt idx="976">
                  <c:v>7.1115472684723613E-4</c:v>
                </c:pt>
                <c:pt idx="977">
                  <c:v>6.9117567521286959E-4</c:v>
                </c:pt>
                <c:pt idx="978">
                  <c:v>6.7171492029306388E-4</c:v>
                </c:pt>
                <c:pt idx="979">
                  <c:v>6.527603247461209E-4</c:v>
                </c:pt>
                <c:pt idx="980">
                  <c:v>6.3429999753874221E-4</c:v>
                </c:pt>
                <c:pt idx="981">
                  <c:v>6.1632228999660397E-4</c:v>
                </c:pt>
                <c:pt idx="982">
                  <c:v>5.9881579189003829E-4</c:v>
                </c:pt>
                <c:pt idx="983">
                  <c:v>5.8176932755532628E-4</c:v>
                </c:pt>
                <c:pt idx="984">
                  <c:v>5.6517195205205097E-4</c:v>
                </c:pt>
                <c:pt idx="985">
                  <c:v>5.4901294735694548E-4</c:v>
                </c:pt>
                <c:pt idx="986">
                  <c:v>5.3328181859463569E-4</c:v>
                </c:pt>
                <c:pt idx="987">
                  <c:v>5.1796829030565262E-4</c:v>
                </c:pt>
                <c:pt idx="988">
                  <c:v>5.0306230275206211E-4</c:v>
                </c:pt>
                <c:pt idx="989">
                  <c:v>4.8855400826102737E-4</c:v>
                </c:pt>
                <c:pt idx="990">
                  <c:v>4.7443376760660921E-4</c:v>
                </c:pt>
                <c:pt idx="991">
                  <c:v>4.6069214643005782E-4</c:v>
                </c:pt>
                <c:pt idx="992">
                  <c:v>4.473199116988572E-4</c:v>
                </c:pt>
                <c:pt idx="993">
                  <c:v>4.3430802820472637E-4</c:v>
                </c:pt>
                <c:pt idx="994">
                  <c:v>4.2164765510078854E-4</c:v>
                </c:pt>
                <c:pt idx="995">
                  <c:v>4.0933014247806858E-4</c:v>
                </c:pt>
                <c:pt idx="996">
                  <c:v>3.9734702798148078E-4</c:v>
                </c:pt>
                <c:pt idx="997">
                  <c:v>3.8569003346542921E-4</c:v>
                </c:pt>
                <c:pt idx="998">
                  <c:v>3.7435106168913262E-4</c:v>
                </c:pt>
                <c:pt idx="999">
                  <c:v>3.6332219305175862E-4</c:v>
                </c:pt>
                <c:pt idx="1000">
                  <c:v>3.5259568236743722E-4</c:v>
                </c:pt>
              </c:numCache>
            </c:numRef>
          </c:yVal>
        </c:ser>
        <c:ser>
          <c:idx val="3"/>
          <c:order val="5"/>
          <c:spPr>
            <a:ln w="28575">
              <a:noFill/>
            </a:ln>
          </c:spPr>
          <c:marker>
            <c:symbol val="none"/>
          </c:marker>
          <c:errBars>
            <c:errDir val="y"/>
            <c:errBarType val="plus"/>
            <c:errValType val="cust"/>
            <c:noEndCap val="1"/>
            <c:plus>
              <c:numRef>
                <c:f>'d picture'!$AL$8</c:f>
                <c:numCache>
                  <c:formatCode>General</c:formatCode>
                  <c:ptCount val="1"/>
                  <c:pt idx="0">
                    <c:v>0.41888855664355323</c:v>
                  </c:pt>
                </c:numCache>
              </c:numRef>
            </c:plus>
            <c:spPr>
              <a:ln w="25400">
                <a:solidFill>
                  <a:srgbClr val="000000"/>
                </a:solidFill>
                <a:prstDash val="solid"/>
              </a:ln>
            </c:spPr>
          </c:errBars>
          <c:xVal>
            <c:numRef>
              <c:f>'d picture'!$AM$5:$AM$6</c:f>
              <c:numCache>
                <c:formatCode>General</c:formatCode>
                <c:ptCount val="2"/>
                <c:pt idx="0">
                  <c:v>-0.25</c:v>
                </c:pt>
                <c:pt idx="1">
                  <c:v>0.25</c:v>
                </c:pt>
              </c:numCache>
            </c:numRef>
          </c:xVal>
          <c:yVal>
            <c:numRef>
              <c:f>'d picture'!$AN$5:$AN$6</c:f>
              <c:numCache>
                <c:formatCode>General</c:formatCode>
                <c:ptCount val="2"/>
                <c:pt idx="0">
                  <c:v>0</c:v>
                </c:pt>
                <c:pt idx="1">
                  <c:v>0</c:v>
                </c:pt>
              </c:numCache>
            </c:numRef>
          </c:yVal>
        </c:ser>
        <c:ser>
          <c:idx val="4"/>
          <c:order val="6"/>
          <c:spPr>
            <a:ln w="28575">
              <a:noFill/>
            </a:ln>
          </c:spPr>
          <c:marker>
            <c:symbol val="none"/>
          </c:marker>
          <c:dLbls>
            <c:dLbl>
              <c:idx val="0"/>
              <c:layout/>
              <c:tx>
                <c:rich>
                  <a:bodyPr/>
                  <a:lstStyle/>
                  <a:p>
                    <a:pPr>
                      <a:defRPr sz="1800" b="0" i="1" u="none" strike="noStrike" baseline="0">
                        <a:solidFill>
                          <a:srgbClr val="000000"/>
                        </a:solidFill>
                        <a:latin typeface="Arial"/>
                        <a:ea typeface="Arial"/>
                        <a:cs typeface="Arial"/>
                      </a:defRPr>
                    </a:pPr>
                    <a:r>
                      <a:rPr lang="en-AU"/>
                      <a:t>d</a:t>
                    </a:r>
                  </a:p>
                </c:rich>
              </c:tx>
              <c:spPr>
                <a:noFill/>
                <a:ln w="25400">
                  <a:noFill/>
                </a:ln>
              </c:spPr>
              <c:dLblPos val="t"/>
            </c:dLbl>
            <c:spPr>
              <a:noFill/>
              <a:ln w="25400">
                <a:noFill/>
              </a:ln>
            </c:spPr>
            <c:txPr>
              <a:bodyPr/>
              <a:lstStyle/>
              <a:p>
                <a:pPr>
                  <a:defRPr sz="1800" b="0" i="0" u="none" strike="noStrike" baseline="0">
                    <a:solidFill>
                      <a:srgbClr val="000000"/>
                    </a:solidFill>
                    <a:latin typeface="Arial"/>
                    <a:ea typeface="Arial"/>
                    <a:cs typeface="Arial"/>
                  </a:defRPr>
                </a:pPr>
                <a:endParaRPr lang="en-US"/>
              </a:p>
            </c:txPr>
            <c:dLblPos val="t"/>
            <c:showCatName val="1"/>
          </c:dLbls>
          <c:xVal>
            <c:numRef>
              <c:f>'d picture'!$AO$8</c:f>
              <c:numCache>
                <c:formatCode>General</c:formatCode>
                <c:ptCount val="1"/>
                <c:pt idx="0">
                  <c:v>0</c:v>
                </c:pt>
              </c:numCache>
            </c:numRef>
          </c:xVal>
          <c:yVal>
            <c:numRef>
              <c:f>'d picture'!$AP$8</c:f>
              <c:numCache>
                <c:formatCode>General</c:formatCode>
                <c:ptCount val="1"/>
                <c:pt idx="0">
                  <c:v>0.43883563076943677</c:v>
                </c:pt>
              </c:numCache>
            </c:numRef>
          </c:yVal>
        </c:ser>
        <c:ser>
          <c:idx val="5"/>
          <c:order val="7"/>
          <c:spPr>
            <a:ln w="28575">
              <a:noFill/>
            </a:ln>
          </c:spPr>
          <c:marker>
            <c:symbol val="none"/>
          </c:marker>
          <c:dLbls>
            <c:dLbl>
              <c:idx val="0"/>
              <c:layout/>
              <c:tx>
                <c:strRef>
                  <c:f>'d picture'!$F$8</c:f>
                  <c:strCache>
                    <c:ptCount val="1"/>
                    <c:pt idx="0">
                      <c:v>0.50</c:v>
                    </c:pt>
                  </c:strCache>
                </c:strRef>
              </c:tx>
              <c:dLblPos val="ctr"/>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ctr"/>
            <c:showCatName val="1"/>
          </c:dLbls>
          <c:xVal>
            <c:numRef>
              <c:f>'d picture'!$AM$7</c:f>
              <c:numCache>
                <c:formatCode>General</c:formatCode>
                <c:ptCount val="1"/>
                <c:pt idx="0">
                  <c:v>0</c:v>
                </c:pt>
              </c:numCache>
            </c:numRef>
          </c:xVal>
          <c:yVal>
            <c:numRef>
              <c:f>'d picture'!$AN$7</c:f>
              <c:numCache>
                <c:formatCode>General</c:formatCode>
                <c:ptCount val="1"/>
                <c:pt idx="0">
                  <c:v>0.43883563076943677</c:v>
                </c:pt>
              </c:numCache>
            </c:numRef>
          </c:yVal>
        </c:ser>
        <c:ser>
          <c:idx val="9"/>
          <c:order val="8"/>
          <c:spPr>
            <a:ln w="28575">
              <a:noFill/>
            </a:ln>
          </c:spPr>
          <c:marker>
            <c:symbol val="none"/>
          </c:marker>
          <c:errBars>
            <c:errDir val="y"/>
            <c:errBarType val="plus"/>
            <c:errValType val="cust"/>
            <c:noEndCap val="1"/>
            <c:plus>
              <c:numRef>
                <c:f>'d picture'!$AL$8</c:f>
                <c:numCache>
                  <c:formatCode>General</c:formatCode>
                  <c:ptCount val="1"/>
                  <c:pt idx="0">
                    <c:v>0.41888855664355323</c:v>
                  </c:pt>
                </c:numCache>
              </c:numRef>
            </c:plus>
            <c:spPr>
              <a:ln w="12700">
                <a:solidFill>
                  <a:srgbClr val="339966"/>
                </a:solidFill>
                <a:prstDash val="solid"/>
              </a:ln>
            </c:spPr>
          </c:errBars>
          <c:xVal>
            <c:numRef>
              <c:f>'d picture'!$AJ$1</c:f>
              <c:numCache>
                <c:formatCode>General</c:formatCode>
                <c:ptCount val="1"/>
              </c:numCache>
            </c:numRef>
          </c:xVal>
          <c:yVal>
            <c:numRef>
              <c:f>'d picture'!$AK$1</c:f>
              <c:numCache>
                <c:formatCode>General</c:formatCode>
                <c:ptCount val="1"/>
              </c:numCache>
            </c:numRef>
          </c:yVal>
        </c:ser>
        <c:ser>
          <c:idx val="8"/>
          <c:order val="9"/>
          <c:spPr>
            <a:ln w="28575">
              <a:noFill/>
            </a:ln>
          </c:spPr>
          <c:marker>
            <c:symbol val="none"/>
          </c:marker>
          <c:dLbls>
            <c:dLbl>
              <c:idx val="0"/>
              <c:layout/>
              <c:tx>
                <c:rich>
                  <a:bodyPr/>
                  <a:lstStyle/>
                  <a:p>
                    <a:r>
                      <a:rPr lang="en-AU"/>
                      <a:t>d</a:t>
                    </a:r>
                  </a:p>
                </c:rich>
              </c:tx>
              <c:dLblPos val="t"/>
            </c:dLbl>
            <c:spPr>
              <a:noFill/>
              <a:ln w="25400">
                <a:noFill/>
              </a:ln>
            </c:spPr>
            <c:txPr>
              <a:bodyPr/>
              <a:lstStyle/>
              <a:p>
                <a:pPr>
                  <a:defRPr sz="1175" b="0" i="0" u="none" strike="noStrike" baseline="0">
                    <a:solidFill>
                      <a:srgbClr val="000000"/>
                    </a:solidFill>
                    <a:latin typeface="Arial"/>
                    <a:ea typeface="Arial"/>
                    <a:cs typeface="Arial"/>
                  </a:defRPr>
                </a:pPr>
                <a:endParaRPr lang="en-US"/>
              </a:p>
            </c:txPr>
            <c:dLblPos val="t"/>
            <c:showCatName val="1"/>
          </c:dLbls>
          <c:xVal>
            <c:numRef>
              <c:f>'d picture'!$AO$7</c:f>
              <c:numCache>
                <c:formatCode>General</c:formatCode>
                <c:ptCount val="1"/>
                <c:pt idx="0">
                  <c:v>#N/A</c:v>
                </c:pt>
              </c:numCache>
            </c:numRef>
          </c:xVal>
          <c:yVal>
            <c:numRef>
              <c:f>'d picture'!$AP$7</c:f>
              <c:numCache>
                <c:formatCode>General</c:formatCode>
                <c:ptCount val="1"/>
                <c:pt idx="0">
                  <c:v>0.43883563076943677</c:v>
                </c:pt>
              </c:numCache>
            </c:numRef>
          </c:yVal>
        </c:ser>
        <c:ser>
          <c:idx val="10"/>
          <c:order val="10"/>
          <c:spPr>
            <a:ln w="28575">
              <a:noFill/>
            </a:ln>
          </c:spPr>
          <c:marker>
            <c:symbol val="none"/>
          </c:marker>
          <c:dLbls>
            <c:dLbl>
              <c:idx val="0"/>
              <c:layout/>
              <c:tx>
                <c:strRef>
                  <c:f>'d picture'!$AH$20</c:f>
                  <c:strCache>
                    <c:ptCount val="1"/>
                    <c:pt idx="0">
                      <c:v>69%</c:v>
                    </c:pt>
                  </c:strCache>
                </c:strRef>
              </c:tx>
              <c:dLblPos val="ctr"/>
            </c:dLbl>
            <c:spPr>
              <a:solidFill>
                <a:srgbClr val="FFFFFF"/>
              </a:solidFill>
              <a:ln w="25400">
                <a:noFill/>
              </a:ln>
            </c:spPr>
            <c:txPr>
              <a:bodyPr/>
              <a:lstStyle/>
              <a:p>
                <a:pPr>
                  <a:defRPr sz="1400" b="0" i="0" u="none" strike="noStrike" baseline="0">
                    <a:solidFill>
                      <a:srgbClr val="FF0000"/>
                    </a:solidFill>
                    <a:latin typeface="Arial"/>
                    <a:ea typeface="Arial"/>
                    <a:cs typeface="Arial"/>
                  </a:defRPr>
                </a:pPr>
                <a:endParaRPr lang="en-US"/>
              </a:p>
            </c:txPr>
            <c:dLblPos val="ctr"/>
            <c:showCatName val="1"/>
          </c:dLbls>
          <c:xVal>
            <c:numRef>
              <c:f>'d picture'!$AG$19</c:f>
              <c:numCache>
                <c:formatCode>General</c:formatCode>
                <c:ptCount val="1"/>
                <c:pt idx="0">
                  <c:v>0.25</c:v>
                </c:pt>
              </c:numCache>
            </c:numRef>
          </c:xVal>
          <c:yVal>
            <c:numRef>
              <c:f>'d picture'!$AH$19</c:f>
              <c:numCache>
                <c:formatCode>General</c:formatCode>
                <c:ptCount val="1"/>
                <c:pt idx="0">
                  <c:v>4.1888855664355323E-2</c:v>
                </c:pt>
              </c:numCache>
            </c:numRef>
          </c:yVal>
        </c:ser>
        <c:ser>
          <c:idx val="11"/>
          <c:order val="11"/>
          <c:spPr>
            <a:ln w="28575">
              <a:noFill/>
            </a:ln>
          </c:spPr>
          <c:marker>
            <c:symbol val="none"/>
          </c:marker>
          <c:dLbls>
            <c:dLbl>
              <c:idx val="0"/>
              <c:layout/>
              <c:tx>
                <c:strRef>
                  <c:f>'d picture'!$AH$23</c:f>
                  <c:strCache>
                    <c:ptCount val="1"/>
                    <c:pt idx="0">
                      <c:v>69%</c:v>
                    </c:pt>
                  </c:strCache>
                </c:strRef>
              </c:tx>
              <c:dLblPos val="ctr"/>
            </c:dLbl>
            <c:spPr>
              <a:solidFill>
                <a:srgbClr val="FFFFFF"/>
              </a:solidFill>
              <a:ln w="25400">
                <a:noFill/>
              </a:ln>
            </c:spPr>
            <c:txPr>
              <a:bodyPr/>
              <a:lstStyle/>
              <a:p>
                <a:pPr>
                  <a:defRPr sz="1400" b="0" i="0" u="none" strike="noStrike" baseline="0">
                    <a:solidFill>
                      <a:srgbClr val="0000FF"/>
                    </a:solidFill>
                    <a:latin typeface="Arial"/>
                    <a:ea typeface="Arial"/>
                    <a:cs typeface="Arial"/>
                  </a:defRPr>
                </a:pPr>
                <a:endParaRPr lang="en-US"/>
              </a:p>
            </c:txPr>
            <c:showCatName val="1"/>
          </c:dLbls>
          <c:xVal>
            <c:numRef>
              <c:f>'d picture'!$AG$22</c:f>
              <c:numCache>
                <c:formatCode>General</c:formatCode>
                <c:ptCount val="1"/>
                <c:pt idx="0">
                  <c:v>#N/A</c:v>
                </c:pt>
              </c:numCache>
            </c:numRef>
          </c:xVal>
          <c:yVal>
            <c:numRef>
              <c:f>'d picture'!$AH$22</c:f>
              <c:numCache>
                <c:formatCode>General</c:formatCode>
                <c:ptCount val="1"/>
                <c:pt idx="0">
                  <c:v>#N/A</c:v>
                </c:pt>
              </c:numCache>
            </c:numRef>
          </c:yVal>
        </c:ser>
        <c:axId val="134001792"/>
        <c:axId val="134003328"/>
      </c:scatterChart>
      <c:valAx>
        <c:axId val="134001792"/>
        <c:scaling>
          <c:orientation val="minMax"/>
          <c:max val="4"/>
          <c:min val="-4"/>
        </c:scaling>
        <c:axPos val="b"/>
        <c:numFmt formatCode="General" sourceLinked="1"/>
        <c:majorTickMark val="none"/>
        <c:tickLblPos val="none"/>
        <c:spPr>
          <a:ln w="3175">
            <a:solidFill>
              <a:srgbClr val="000000"/>
            </a:solidFill>
            <a:prstDash val="solid"/>
          </a:ln>
        </c:spPr>
        <c:crossAx val="134003328"/>
        <c:crosses val="autoZero"/>
        <c:crossBetween val="midCat"/>
      </c:valAx>
      <c:valAx>
        <c:axId val="134003328"/>
        <c:scaling>
          <c:orientation val="minMax"/>
        </c:scaling>
        <c:axPos val="l"/>
        <c:numFmt formatCode="General" sourceLinked="1"/>
        <c:majorTickMark val="none"/>
        <c:tickLblPos val="none"/>
        <c:spPr>
          <a:ln w="9525">
            <a:noFill/>
          </a:ln>
        </c:spPr>
        <c:crossAx val="134001792"/>
        <c:crosses val="autoZero"/>
        <c:crossBetween val="midCat"/>
      </c:valAx>
      <c:spPr>
        <a:noFill/>
        <a:ln w="25400">
          <a:noFill/>
        </a:ln>
      </c:spPr>
    </c:plotArea>
    <c:legend>
      <c:legendPos val="r"/>
      <c:legendEntry>
        <c:idx val="0"/>
        <c:delete val="1"/>
      </c:legendEntry>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ayout>
        <c:manualLayout>
          <c:xMode val="edge"/>
          <c:yMode val="edge"/>
          <c:x val="3.0716757675578691E-2"/>
          <c:y val="3.0303090086588734E-2"/>
          <c:w val="0.33219604597292535"/>
          <c:h val="5.6565768161632266E-2"/>
        </c:manualLayout>
      </c:layout>
      <c:spPr>
        <a:solidFill>
          <a:srgbClr val="FFFFFF"/>
        </a:solidFill>
        <a:ln w="25400">
          <a:noFill/>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7441880271030488"/>
          <c:y val="2.5684931506849348E-2"/>
          <c:w val="0.79069857228671514"/>
          <c:h val="0.90924657534246556"/>
        </c:manualLayout>
      </c:layout>
      <c:scatterChart>
        <c:scatterStyle val="lineMarker"/>
        <c:ser>
          <c:idx val="11"/>
          <c:order val="0"/>
          <c:spPr>
            <a:ln w="28575">
              <a:noFill/>
            </a:ln>
          </c:spPr>
          <c:marker>
            <c:symbol val="triangle"/>
            <c:size val="9"/>
            <c:spPr>
              <a:solidFill>
                <a:srgbClr val="FF00FF"/>
              </a:solidFill>
              <a:ln>
                <a:solidFill>
                  <a:srgbClr val="000000"/>
                </a:solidFill>
                <a:prstDash val="solid"/>
              </a:ln>
            </c:spPr>
          </c:marker>
          <c:dLbls>
            <c:dLbl>
              <c:idx val="0"/>
              <c:delete val="1"/>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errBars>
            <c:errDir val="y"/>
            <c:errBarType val="both"/>
            <c:errValType val="cust"/>
            <c:noEndCap val="1"/>
            <c:plus>
              <c:numRef>
                <c:f>'Data paired'!$Y$16</c:f>
                <c:numCache>
                  <c:formatCode>General</c:formatCode>
                  <c:ptCount val="1"/>
                  <c:pt idx="0">
                    <c:v>0.95144870865489395</c:v>
                  </c:pt>
                </c:numCache>
              </c:numRef>
            </c:plus>
            <c:minus>
              <c:numRef>
                <c:f>'Data paired'!$Y$16</c:f>
                <c:numCache>
                  <c:formatCode>General</c:formatCode>
                  <c:ptCount val="1"/>
                  <c:pt idx="0">
                    <c:v>0.95144870865489395</c:v>
                  </c:pt>
                </c:numCache>
              </c:numRef>
            </c:minus>
            <c:spPr>
              <a:ln w="25400">
                <a:solidFill>
                  <a:srgbClr val="000000"/>
                </a:solidFill>
                <a:prstDash val="solid"/>
              </a:ln>
            </c:spPr>
          </c:errBars>
          <c:xVal>
            <c:numRef>
              <c:f>'Data paired'!$V$16</c:f>
              <c:numCache>
                <c:formatCode>General</c:formatCode>
                <c:ptCount val="1"/>
                <c:pt idx="0">
                  <c:v>4.0999999999999996</c:v>
                </c:pt>
              </c:numCache>
            </c:numRef>
          </c:xVal>
          <c:yVal>
            <c:numRef>
              <c:f>'Data paired'!$W$16</c:f>
              <c:numCache>
                <c:formatCode>General</c:formatCode>
                <c:ptCount val="1"/>
                <c:pt idx="0">
                  <c:v>13.25</c:v>
                </c:pt>
              </c:numCache>
            </c:numRef>
          </c:yVal>
        </c:ser>
        <c:ser>
          <c:idx val="8"/>
          <c:order val="1"/>
          <c:spPr>
            <a:ln w="12700">
              <a:solidFill>
                <a:srgbClr val="000000"/>
              </a:solidFill>
              <a:prstDash val="solid"/>
            </a:ln>
          </c:spPr>
          <c:marker>
            <c:symbol val="dot"/>
            <c:size val="8"/>
            <c:spPr>
              <a:noFill/>
              <a:ln>
                <a:solidFill>
                  <a:srgbClr val="000000"/>
                </a:solidFill>
                <a:prstDash val="solid"/>
              </a:ln>
            </c:spPr>
          </c:marker>
          <c:dLbls>
            <c:dLbl>
              <c:idx val="0"/>
              <c:layout/>
              <c:tx>
                <c:strRef>
                  <c:f>'Data paired'!$AI$87</c:f>
                  <c:strCache>
                    <c:ptCount val="1"/>
                    <c:pt idx="0">
                      <c:v>20</c:v>
                    </c:pt>
                  </c:strCache>
                </c:strRef>
              </c:tx>
              <c:dLblPos val="r"/>
            </c:dLbl>
            <c:dLbl>
              <c:idx val="1"/>
              <c:delete val="1"/>
            </c:dLbl>
            <c:dLbl>
              <c:idx val="2"/>
              <c:layout/>
              <c:tx>
                <c:strRef>
                  <c:f>'Data paired'!$AI$89</c:f>
                  <c:strCache>
                    <c:ptCount val="1"/>
                    <c:pt idx="0">
                      <c:v>16</c:v>
                    </c:pt>
                  </c:strCache>
                </c:strRef>
              </c:tx>
              <c:dLblPos val="r"/>
            </c:dLbl>
            <c:dLbl>
              <c:idx val="3"/>
              <c:delete val="1"/>
            </c:dLbl>
            <c:dLbl>
              <c:idx val="4"/>
              <c:layout/>
              <c:tx>
                <c:strRef>
                  <c:f>'Data paired'!$AI$91</c:f>
                  <c:strCache>
                    <c:ptCount val="1"/>
                    <c:pt idx="0">
                      <c:v>12</c:v>
                    </c:pt>
                  </c:strCache>
                </c:strRef>
              </c:tx>
              <c:dLblPos val="r"/>
            </c:dLbl>
            <c:dLbl>
              <c:idx val="5"/>
              <c:delete val="1"/>
            </c:dLbl>
            <c:dLbl>
              <c:idx val="6"/>
              <c:layout/>
              <c:tx>
                <c:strRef>
                  <c:f>'Data paired'!$AI$93</c:f>
                  <c:strCache>
                    <c:ptCount val="1"/>
                    <c:pt idx="0">
                      <c:v>8</c:v>
                    </c:pt>
                  </c:strCache>
                </c:strRef>
              </c:tx>
              <c:dLblPos val="r"/>
            </c:dLbl>
            <c:dLbl>
              <c:idx val="7"/>
              <c:delete val="1"/>
            </c:dLbl>
            <c:dLbl>
              <c:idx val="8"/>
              <c:layout/>
              <c:tx>
                <c:strRef>
                  <c:f>'Data paired'!$AI$95</c:f>
                  <c:strCache>
                    <c:ptCount val="1"/>
                    <c:pt idx="0">
                      <c:v>4</c:v>
                    </c:pt>
                  </c:strCache>
                </c:strRef>
              </c:tx>
              <c:dLblPos val="r"/>
            </c:dLbl>
            <c:dLbl>
              <c:idx val="9"/>
              <c:delete val="1"/>
            </c:dLbl>
            <c:dLbl>
              <c:idx val="10"/>
              <c:layout/>
              <c:tx>
                <c:strRef>
                  <c:f>'Data paired'!$AI$97</c:f>
                  <c:strCache>
                    <c:ptCount val="1"/>
                    <c:pt idx="0">
                      <c:v>0</c:v>
                    </c:pt>
                  </c:strCache>
                </c:strRef>
              </c:tx>
              <c:dLblPos val="r"/>
            </c:dLbl>
            <c:dLbl>
              <c:idx val="11"/>
              <c:delete val="1"/>
            </c:dLbl>
            <c:dLbl>
              <c:idx val="12"/>
              <c:layout/>
              <c:tx>
                <c:strRef>
                  <c:f>'Data paired'!$AI$99</c:f>
                  <c:strCache>
                    <c:ptCount val="1"/>
                    <c:pt idx="0">
                      <c:v>-4</c:v>
                    </c:pt>
                  </c:strCache>
                </c:strRef>
              </c:tx>
              <c:dLblPos val="r"/>
            </c:dLbl>
            <c:dLbl>
              <c:idx val="13"/>
              <c:delete val="1"/>
            </c:dLbl>
            <c:dLbl>
              <c:idx val="14"/>
              <c:layout/>
              <c:tx>
                <c:strRef>
                  <c:f>'Data paired'!$AI$101</c:f>
                  <c:strCache>
                    <c:ptCount val="1"/>
                    <c:pt idx="0">
                      <c:v>-8</c:v>
                    </c:pt>
                  </c:strCache>
                </c:strRef>
              </c:tx>
              <c:dLblPos val="r"/>
            </c:dLbl>
            <c:dLbl>
              <c:idx val="15"/>
              <c:delete val="1"/>
            </c:dLbl>
            <c:dLbl>
              <c:idx val="16"/>
              <c:layout/>
              <c:tx>
                <c:strRef>
                  <c:f>'Data paired'!$AI$103</c:f>
                  <c:strCache>
                    <c:ptCount val="1"/>
                    <c:pt idx="0">
                      <c:v>-12</c:v>
                    </c:pt>
                  </c:strCache>
                </c:strRef>
              </c:tx>
              <c:dLblPos val="r"/>
            </c:dLbl>
            <c:dLbl>
              <c:idx val="17"/>
              <c:delete val="1"/>
            </c:dLbl>
            <c:dLbl>
              <c:idx val="18"/>
              <c:layout/>
              <c:tx>
                <c:strRef>
                  <c:f>'Data paired'!$AI$105</c:f>
                  <c:strCache>
                    <c:ptCount val="1"/>
                    <c:pt idx="0">
                      <c:v>-16</c:v>
                    </c:pt>
                  </c:strCache>
                </c:strRef>
              </c:tx>
              <c:dLblPos val="r"/>
            </c:dLbl>
            <c:dLbl>
              <c:idx val="19"/>
              <c:delete val="1"/>
            </c:dLbl>
            <c:dLbl>
              <c:idx val="20"/>
              <c:layout/>
              <c:tx>
                <c:strRef>
                  <c:f>'Data paired'!$AI$107</c:f>
                  <c:strCache>
                    <c:ptCount val="1"/>
                    <c:pt idx="0">
                      <c:v>-20</c:v>
                    </c:pt>
                  </c:strCache>
                </c:strRef>
              </c:tx>
              <c:dLblPos val="r"/>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Val val="1"/>
          </c:dLbls>
          <c:xVal>
            <c:numRef>
              <c:f>'Data paired'!$AK$87:$AK$107</c:f>
              <c:numCache>
                <c:formatCode>General</c:formatCode>
                <c:ptCount val="21"/>
                <c:pt idx="0">
                  <c:v>4.5999999999999996</c:v>
                </c:pt>
                <c:pt idx="1">
                  <c:v>4.5999999999999996</c:v>
                </c:pt>
                <c:pt idx="2">
                  <c:v>4.5999999999999996</c:v>
                </c:pt>
                <c:pt idx="3">
                  <c:v>4.5999999999999996</c:v>
                </c:pt>
                <c:pt idx="4">
                  <c:v>4.5999999999999996</c:v>
                </c:pt>
                <c:pt idx="5">
                  <c:v>4.5999999999999996</c:v>
                </c:pt>
                <c:pt idx="6">
                  <c:v>4.5999999999999996</c:v>
                </c:pt>
                <c:pt idx="7">
                  <c:v>4.5999999999999996</c:v>
                </c:pt>
                <c:pt idx="8">
                  <c:v>4.5999999999999996</c:v>
                </c:pt>
                <c:pt idx="9">
                  <c:v>4.5999999999999996</c:v>
                </c:pt>
                <c:pt idx="10">
                  <c:v>4.5999999999999996</c:v>
                </c:pt>
                <c:pt idx="11">
                  <c:v>4.5999999999999996</c:v>
                </c:pt>
                <c:pt idx="12">
                  <c:v>4.5999999999999996</c:v>
                </c:pt>
                <c:pt idx="13">
                  <c:v>4.5999999999999996</c:v>
                </c:pt>
                <c:pt idx="14">
                  <c:v>4.5999999999999996</c:v>
                </c:pt>
                <c:pt idx="15">
                  <c:v>4.5999999999999996</c:v>
                </c:pt>
                <c:pt idx="16">
                  <c:v>4.5999999999999996</c:v>
                </c:pt>
                <c:pt idx="17">
                  <c:v>4.5999999999999996</c:v>
                </c:pt>
                <c:pt idx="18">
                  <c:v>4.5999999999999996</c:v>
                </c:pt>
                <c:pt idx="19">
                  <c:v>4.5999999999999996</c:v>
                </c:pt>
                <c:pt idx="20">
                  <c:v>4.5999999999999996</c:v>
                </c:pt>
              </c:numCache>
            </c:numRef>
          </c:xVal>
          <c:yVal>
            <c:numRef>
              <c:f>'Data paired'!$AL$87:$AL$107</c:f>
              <c:numCache>
                <c:formatCode>General</c:formatCode>
                <c:ptCount val="21"/>
                <c:pt idx="0">
                  <c:v>#N/A</c:v>
                </c:pt>
                <c:pt idx="1">
                  <c:v>#N/A</c:v>
                </c:pt>
                <c:pt idx="2">
                  <c:v>#N/A</c:v>
                </c:pt>
                <c:pt idx="3">
                  <c:v>#N/A</c:v>
                </c:pt>
                <c:pt idx="4">
                  <c:v>#N/A</c:v>
                </c:pt>
                <c:pt idx="5">
                  <c:v>#N/A</c:v>
                </c:pt>
                <c:pt idx="6">
                  <c:v>19.583333333333336</c:v>
                </c:pt>
                <c:pt idx="7">
                  <c:v>17.583333333333336</c:v>
                </c:pt>
                <c:pt idx="8">
                  <c:v>15.583333333333334</c:v>
                </c:pt>
                <c:pt idx="9">
                  <c:v>13.583333333333334</c:v>
                </c:pt>
                <c:pt idx="10">
                  <c:v>11.583333333333334</c:v>
                </c:pt>
                <c:pt idx="11">
                  <c:v>9.5833333333333339</c:v>
                </c:pt>
                <c:pt idx="12">
                  <c:v>7.5833333333333339</c:v>
                </c:pt>
                <c:pt idx="13">
                  <c:v>5.5833333333333339</c:v>
                </c:pt>
                <c:pt idx="14">
                  <c:v>#N/A</c:v>
                </c:pt>
                <c:pt idx="15">
                  <c:v>#N/A</c:v>
                </c:pt>
                <c:pt idx="16">
                  <c:v>#N/A</c:v>
                </c:pt>
                <c:pt idx="17">
                  <c:v>#N/A</c:v>
                </c:pt>
                <c:pt idx="18">
                  <c:v>#N/A</c:v>
                </c:pt>
                <c:pt idx="19">
                  <c:v>#N/A</c:v>
                </c:pt>
                <c:pt idx="20">
                  <c:v>#N/A</c:v>
                </c:pt>
              </c:numCache>
            </c:numRef>
          </c:yVal>
        </c:ser>
        <c:ser>
          <c:idx val="9"/>
          <c:order val="2"/>
          <c:spPr>
            <a:ln w="12700">
              <a:solidFill>
                <a:srgbClr val="000000"/>
              </a:solidFill>
              <a:prstDash val="solid"/>
            </a:ln>
          </c:spPr>
          <c:marker>
            <c:symbol val="none"/>
          </c:marker>
          <c:xVal>
            <c:numRef>
              <c:f>'Data paired'!$Y$3:$Y$4</c:f>
              <c:numCache>
                <c:formatCode>General</c:formatCode>
                <c:ptCount val="2"/>
                <c:pt idx="0">
                  <c:v>4.0999999999999996</c:v>
                </c:pt>
                <c:pt idx="1">
                  <c:v>4.5999999999999996</c:v>
                </c:pt>
              </c:numCache>
            </c:numRef>
          </c:xVal>
          <c:yVal>
            <c:numRef>
              <c:f>'Data paired'!$Z$3:$Z$4</c:f>
              <c:numCache>
                <c:formatCode>General</c:formatCode>
                <c:ptCount val="2"/>
                <c:pt idx="0">
                  <c:v>13.25</c:v>
                </c:pt>
                <c:pt idx="1">
                  <c:v>13.25</c:v>
                </c:pt>
              </c:numCache>
            </c:numRef>
          </c:yVal>
        </c:ser>
        <c:ser>
          <c:idx val="12"/>
          <c:order val="3"/>
          <c:spPr>
            <a:ln w="12700">
              <a:solidFill>
                <a:srgbClr val="000000"/>
              </a:solidFill>
              <a:prstDash val="sysDash"/>
            </a:ln>
          </c:spPr>
          <c:marker>
            <c:symbol val="none"/>
          </c:marker>
          <c:xVal>
            <c:numRef>
              <c:f>'Data paired'!$Y$5:$Y$6</c:f>
              <c:numCache>
                <c:formatCode>General</c:formatCode>
                <c:ptCount val="2"/>
                <c:pt idx="0">
                  <c:v>3</c:v>
                </c:pt>
                <c:pt idx="1">
                  <c:v>4.0999999999999996</c:v>
                </c:pt>
              </c:numCache>
            </c:numRef>
          </c:xVal>
          <c:yVal>
            <c:numRef>
              <c:f>'Data paired'!$Z$5:$Z$6</c:f>
              <c:numCache>
                <c:formatCode>General</c:formatCode>
                <c:ptCount val="2"/>
                <c:pt idx="0">
                  <c:v>13.25</c:v>
                </c:pt>
                <c:pt idx="1">
                  <c:v>13.25</c:v>
                </c:pt>
              </c:numCache>
            </c:numRef>
          </c:yVal>
        </c:ser>
        <c:ser>
          <c:idx val="13"/>
          <c:order val="4"/>
          <c:spPr>
            <a:ln w="12700">
              <a:solidFill>
                <a:srgbClr val="000000"/>
              </a:solidFill>
              <a:prstDash val="sysDash"/>
            </a:ln>
          </c:spPr>
          <c:marker>
            <c:symbol val="none"/>
          </c:marker>
          <c:xVal>
            <c:numRef>
              <c:f>'Data paired'!$Y$7:$Y$8</c:f>
              <c:numCache>
                <c:formatCode>General</c:formatCode>
                <c:ptCount val="2"/>
                <c:pt idx="0">
                  <c:v>1</c:v>
                </c:pt>
                <c:pt idx="1">
                  <c:v>4.5999999999999996</c:v>
                </c:pt>
              </c:numCache>
            </c:numRef>
          </c:xVal>
          <c:yVal>
            <c:numRef>
              <c:f>'Data paired'!$Z$7:$Z$8</c:f>
              <c:numCache>
                <c:formatCode>General</c:formatCode>
                <c:ptCount val="2"/>
                <c:pt idx="0">
                  <c:v>11.583333333333334</c:v>
                </c:pt>
                <c:pt idx="1">
                  <c:v>11.583333333333334</c:v>
                </c:pt>
              </c:numCache>
            </c:numRef>
          </c:yVal>
        </c:ser>
        <c:ser>
          <c:idx val="0"/>
          <c:order val="5"/>
          <c:spPr>
            <a:ln w="28575">
              <a:noFill/>
            </a:ln>
          </c:spPr>
          <c:marker>
            <c:symbol val="circle"/>
            <c:size val="7"/>
            <c:spPr>
              <a:solidFill>
                <a:srgbClr val="000000"/>
              </a:solidFill>
              <a:ln>
                <a:solidFill>
                  <a:srgbClr val="000000"/>
                </a:solidFill>
                <a:prstDash val="solid"/>
              </a:ln>
            </c:spPr>
          </c:marker>
          <c:xVal>
            <c:numRef>
              <c:f>'Data paired'!$W$10:$W$11</c:f>
              <c:numCache>
                <c:formatCode>General</c:formatCode>
                <c:ptCount val="2"/>
                <c:pt idx="0">
                  <c:v>1</c:v>
                </c:pt>
                <c:pt idx="1">
                  <c:v>3</c:v>
                </c:pt>
              </c:numCache>
            </c:numRef>
          </c:xVal>
          <c:yVal>
            <c:numRef>
              <c:f>'Data paired'!$X$10:$X$11</c:f>
              <c:numCache>
                <c:formatCode>General</c:formatCode>
                <c:ptCount val="2"/>
                <c:pt idx="0">
                  <c:v>11.583333333333334</c:v>
                </c:pt>
                <c:pt idx="1">
                  <c:v>13.25</c:v>
                </c:pt>
              </c:numCache>
            </c:numRef>
          </c:yVal>
        </c:ser>
        <c:ser>
          <c:idx val="3"/>
          <c:order val="6"/>
          <c:spPr>
            <a:ln w="28575">
              <a:noFill/>
            </a:ln>
          </c:spPr>
          <c:marker>
            <c:symbol val="none"/>
          </c:marker>
          <c:errBars>
            <c:errDir val="y"/>
            <c:errBarType val="both"/>
            <c:errValType val="cust"/>
            <c:noEndCap val="1"/>
            <c:plus>
              <c:numRef>
                <c:f>'Data paired'!$W$14:$X$14</c:f>
                <c:numCache>
                  <c:formatCode>General</c:formatCode>
                  <c:ptCount val="2"/>
                  <c:pt idx="0">
                    <c:v>2.1065570813812258</c:v>
                  </c:pt>
                  <c:pt idx="1">
                    <c:v>1.8399809893972203</c:v>
                  </c:pt>
                </c:numCache>
              </c:numRef>
            </c:plus>
            <c:minus>
              <c:numRef>
                <c:f>'Data paired'!$W$14:$X$14</c:f>
                <c:numCache>
                  <c:formatCode>General</c:formatCode>
                  <c:ptCount val="2"/>
                  <c:pt idx="0">
                    <c:v>2.1065570813812258</c:v>
                  </c:pt>
                  <c:pt idx="1">
                    <c:v>1.8399809893972203</c:v>
                  </c:pt>
                </c:numCache>
              </c:numRef>
            </c:minus>
            <c:spPr>
              <a:ln w="25400">
                <a:solidFill>
                  <a:srgbClr val="000000"/>
                </a:solidFill>
                <a:prstDash val="solid"/>
              </a:ln>
            </c:spPr>
          </c:errBars>
          <c:xVal>
            <c:numRef>
              <c:f>'Data paired'!$W$12:$W$13</c:f>
              <c:numCache>
                <c:formatCode>General</c:formatCode>
                <c:ptCount val="2"/>
                <c:pt idx="0">
                  <c:v>1</c:v>
                </c:pt>
                <c:pt idx="1">
                  <c:v>3</c:v>
                </c:pt>
              </c:numCache>
            </c:numRef>
          </c:xVal>
          <c:yVal>
            <c:numRef>
              <c:f>'Data paired'!$X$12:$X$13</c:f>
              <c:numCache>
                <c:formatCode>General</c:formatCode>
                <c:ptCount val="2"/>
                <c:pt idx="0">
                  <c:v>11.583333333333334</c:v>
                </c:pt>
                <c:pt idx="1">
                  <c:v>13.25</c:v>
                </c:pt>
              </c:numCache>
            </c:numRef>
          </c:yVal>
        </c:ser>
        <c:ser>
          <c:idx val="4"/>
          <c:order val="7"/>
          <c:spPr>
            <a:ln w="28575">
              <a:noFill/>
            </a:ln>
          </c:spPr>
          <c:marker>
            <c:symbol val="triangle"/>
            <c:size val="6"/>
            <c:spPr>
              <a:noFill/>
              <a:ln>
                <a:solidFill>
                  <a:srgbClr val="FF00FF"/>
                </a:solidFill>
                <a:prstDash val="solid"/>
              </a:ln>
            </c:spPr>
          </c:marker>
          <c:xVal>
            <c:numRef>
              <c:f>'Data paired'!$AA$89:$AA$188</c:f>
              <c:numCache>
                <c:formatCode>General</c:formatCode>
                <c:ptCount val="100"/>
                <c:pt idx="0">
                  <c:v>3.3959999999999999</c:v>
                </c:pt>
                <c:pt idx="1">
                  <c:v>3.48</c:v>
                </c:pt>
                <c:pt idx="2">
                  <c:v>3.8159999999999998</c:v>
                </c:pt>
                <c:pt idx="3">
                  <c:v>3.8159999999999998</c:v>
                </c:pt>
                <c:pt idx="4">
                  <c:v>3.5640000000000001</c:v>
                </c:pt>
                <c:pt idx="5">
                  <c:v>3.6479999999999997</c:v>
                </c:pt>
                <c:pt idx="6">
                  <c:v>3.9</c:v>
                </c:pt>
                <c:pt idx="7">
                  <c:v>3.7319999999999998</c:v>
                </c:pt>
                <c:pt idx="8">
                  <c:v>3.9</c:v>
                </c:pt>
                <c:pt idx="9">
                  <c:v>3.8159999999999998</c:v>
                </c:pt>
                <c:pt idx="10">
                  <c:v>3.9</c:v>
                </c:pt>
                <c:pt idx="11">
                  <c:v>3.9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'Data paired'!$AB$89:$AB$188</c:f>
              <c:numCache>
                <c:formatCode>General</c:formatCode>
                <c:ptCount val="100"/>
                <c:pt idx="0">
                  <c:v>12.48</c:v>
                </c:pt>
                <c:pt idx="1">
                  <c:v>12.48</c:v>
                </c:pt>
                <c:pt idx="2">
                  <c:v>15.36</c:v>
                </c:pt>
                <c:pt idx="3">
                  <c:v>14.399999999999999</c:v>
                </c:pt>
                <c:pt idx="4">
                  <c:v>12.48</c:v>
                </c:pt>
                <c:pt idx="5">
                  <c:v>12.48</c:v>
                </c:pt>
                <c:pt idx="6">
                  <c:v>10.559999999999999</c:v>
                </c:pt>
                <c:pt idx="7">
                  <c:v>12.48</c:v>
                </c:pt>
                <c:pt idx="8">
                  <c:v>15.36</c:v>
                </c:pt>
                <c:pt idx="9">
                  <c:v>12.48</c:v>
                </c:pt>
                <c:pt idx="10">
                  <c:v>14.399999999999999</c:v>
                </c:pt>
                <c:pt idx="11">
                  <c:v>12.48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er>
        <c:ser>
          <c:idx val="5"/>
          <c:order val="8"/>
          <c:spPr>
            <a:ln w="28575">
              <a:noFill/>
            </a:ln>
          </c:spPr>
          <c:marker>
            <c:symbol val="none"/>
          </c:marker>
          <c:xVal>
            <c:numRef>
              <c:f>'Data paired'!$W$17:$W$18</c:f>
              <c:numCache>
                <c:formatCode>General</c:formatCode>
                <c:ptCount val="2"/>
                <c:pt idx="0">
                  <c:v>0.8</c:v>
                </c:pt>
                <c:pt idx="1">
                  <c:v>0.8</c:v>
                </c:pt>
              </c:numCache>
            </c:numRef>
          </c:xVal>
          <c:yVal>
            <c:numRef>
              <c:f>'Data paired'!$X$17:$X$18</c:f>
              <c:numCache>
                <c:formatCode>0.00</c:formatCode>
                <c:ptCount val="2"/>
                <c:pt idx="0">
                  <c:v>18</c:v>
                </c:pt>
                <c:pt idx="1">
                  <c:v>6</c:v>
                </c:pt>
              </c:numCache>
            </c:numRef>
          </c:yVal>
        </c:ser>
        <c:ser>
          <c:idx val="1"/>
          <c:order val="9"/>
          <c:spPr>
            <a:ln w="28575">
              <a:noFill/>
            </a:ln>
          </c:spPr>
          <c:marker>
            <c:symbol val="triangle"/>
            <c:size val="10"/>
            <c:spPr>
              <a:solidFill>
                <a:srgbClr val="808000"/>
              </a:solidFill>
              <a:ln>
                <a:solidFill>
                  <a:srgbClr val="0000FF"/>
                </a:solidFill>
                <a:prstDash val="solid"/>
              </a:ln>
            </c:spPr>
          </c:marker>
          <c:dPt>
            <c:idx val="0"/>
            <c:marker>
              <c:spPr>
                <a:solidFill>
                  <a:srgbClr val="800080"/>
                </a:solidFill>
                <a:ln>
                  <a:solidFill>
                    <a:srgbClr val="0000FF"/>
                  </a:solidFill>
                  <a:prstDash val="solid"/>
                </a:ln>
              </c:spPr>
            </c:marker>
          </c:dPt>
          <c:dPt>
            <c:idx val="2"/>
            <c:marker>
              <c:spPr>
                <a:solidFill>
                  <a:srgbClr val="00FF00"/>
                </a:solidFill>
                <a:ln>
                  <a:solidFill>
                    <a:srgbClr val="0000FF"/>
                  </a:solidFill>
                  <a:prstDash val="solid"/>
                </a:ln>
              </c:spPr>
            </c:marker>
          </c:dPt>
          <c:dPt>
            <c:idx val="4"/>
            <c:marker>
              <c:spPr>
                <a:solidFill>
                  <a:srgbClr val="FFCC00"/>
                </a:solidFill>
                <a:ln>
                  <a:solidFill>
                    <a:srgbClr val="0000FF"/>
                  </a:solidFill>
                  <a:prstDash val="solid"/>
                </a:ln>
              </c:spPr>
            </c:marker>
          </c:dPt>
          <c:dPt>
            <c:idx val="6"/>
            <c:marker>
              <c:spPr>
                <a:solidFill>
                  <a:srgbClr val="FF0000"/>
                </a:solidFill>
                <a:ln>
                  <a:solidFill>
                    <a:srgbClr val="0000FF"/>
                  </a:solidFill>
                  <a:prstDash val="solid"/>
                </a:ln>
              </c:spPr>
            </c:marker>
          </c:dPt>
          <c:xVal>
            <c:numRef>
              <c:f>'Data paired'!$AA$89:$AA$98</c:f>
              <c:numCache>
                <c:formatCode>General</c:formatCode>
                <c:ptCount val="10"/>
                <c:pt idx="0">
                  <c:v>3.3959999999999999</c:v>
                </c:pt>
                <c:pt idx="1">
                  <c:v>3.48</c:v>
                </c:pt>
                <c:pt idx="2">
                  <c:v>3.8159999999999998</c:v>
                </c:pt>
                <c:pt idx="3">
                  <c:v>3.8159999999999998</c:v>
                </c:pt>
                <c:pt idx="4">
                  <c:v>3.5640000000000001</c:v>
                </c:pt>
                <c:pt idx="5">
                  <c:v>3.6479999999999997</c:v>
                </c:pt>
                <c:pt idx="6">
                  <c:v>3.9</c:v>
                </c:pt>
                <c:pt idx="7">
                  <c:v>3.7319999999999998</c:v>
                </c:pt>
                <c:pt idx="8">
                  <c:v>3.9</c:v>
                </c:pt>
                <c:pt idx="9">
                  <c:v>3.8159999999999998</c:v>
                </c:pt>
              </c:numCache>
            </c:numRef>
          </c:xVal>
          <c:yVal>
            <c:numRef>
              <c:f>'Data paired'!$AE$89:$AE$98</c:f>
              <c:numCache>
                <c:formatCode>General</c:formatCode>
                <c:ptCount val="10"/>
                <c:pt idx="0">
                  <c:v>#N/A</c:v>
                </c:pt>
                <c:pt idx="2">
                  <c:v>#N/A</c:v>
                </c:pt>
                <c:pt idx="4">
                  <c:v>#N/A</c:v>
                </c:pt>
                <c:pt idx="6">
                  <c:v>#N/A</c:v>
                </c:pt>
              </c:numCache>
            </c:numRef>
          </c:yVal>
        </c:ser>
        <c:ser>
          <c:idx val="2"/>
          <c:order val="10"/>
          <c:spPr>
            <a:ln w="12700">
              <a:solidFill>
                <a:srgbClr val="0000FF"/>
              </a:solidFill>
              <a:prstDash val="solid"/>
            </a:ln>
          </c:spPr>
          <c:marker>
            <c:symbol val="circle"/>
            <c:size val="6"/>
            <c:spPr>
              <a:noFill/>
              <a:ln>
                <a:solidFill>
                  <a:srgbClr val="0000FF"/>
                </a:solidFill>
                <a:prstDash val="solid"/>
              </a:ln>
            </c:spPr>
          </c:marker>
          <c:xVal>
            <c:numRef>
              <c:f>'Data paired'!$O$89:$O$90</c:f>
              <c:numCache>
                <c:formatCode>General</c:formatCode>
                <c:ptCount val="2"/>
                <c:pt idx="0">
                  <c:v>1.4</c:v>
                </c:pt>
                <c:pt idx="1">
                  <c:v>2.54</c:v>
                </c:pt>
              </c:numCache>
            </c:numRef>
          </c:xVal>
          <c:yVal>
            <c:numRef>
              <c:f>'Data paired'!$P$89:$P$90</c:f>
              <c:numCache>
                <c:formatCode>General</c:formatCode>
                <c:ptCount val="2"/>
                <c:pt idx="0">
                  <c:v>12.959999999999999</c:v>
                </c:pt>
                <c:pt idx="1">
                  <c:v>13.92</c:v>
                </c:pt>
              </c:numCache>
            </c:numRef>
          </c:yVal>
        </c:ser>
        <c:ser>
          <c:idx val="114"/>
          <c:order val="11"/>
          <c:spPr>
            <a:ln w="12700">
              <a:solidFill>
                <a:srgbClr val="0000FF"/>
              </a:solidFill>
              <a:prstDash val="solid"/>
            </a:ln>
          </c:spPr>
          <c:marker>
            <c:symbol val="circle"/>
            <c:size val="6"/>
            <c:spPr>
              <a:noFill/>
              <a:ln>
                <a:solidFill>
                  <a:srgbClr val="0000FF"/>
                </a:solidFill>
                <a:prstDash val="solid"/>
              </a:ln>
            </c:spPr>
          </c:marker>
          <c:xVal>
            <c:numRef>
              <c:f>'Data paired'!$O$91:$O$92</c:f>
              <c:numCache>
                <c:formatCode>General</c:formatCode>
                <c:ptCount val="2"/>
                <c:pt idx="0">
                  <c:v>1.46</c:v>
                </c:pt>
                <c:pt idx="1">
                  <c:v>2.54</c:v>
                </c:pt>
              </c:numCache>
            </c:numRef>
          </c:xVal>
          <c:yVal>
            <c:numRef>
              <c:f>'Data paired'!$P$91:$P$92</c:f>
              <c:numCache>
                <c:formatCode>General</c:formatCode>
                <c:ptCount val="2"/>
                <c:pt idx="0">
                  <c:v>12</c:v>
                </c:pt>
                <c:pt idx="1">
                  <c:v>12.959999999999999</c:v>
                </c:pt>
              </c:numCache>
            </c:numRef>
          </c:yVal>
        </c:ser>
        <c:ser>
          <c:idx val="115"/>
          <c:order val="12"/>
          <c:spPr>
            <a:ln w="12700">
              <a:solidFill>
                <a:srgbClr val="0000FF"/>
              </a:solidFill>
              <a:prstDash val="solid"/>
            </a:ln>
          </c:spPr>
          <c:marker>
            <c:symbol val="circle"/>
            <c:size val="6"/>
            <c:spPr>
              <a:noFill/>
              <a:ln>
                <a:solidFill>
                  <a:srgbClr val="0000FF"/>
                </a:solidFill>
                <a:prstDash val="solid"/>
              </a:ln>
            </c:spPr>
          </c:marker>
          <c:xVal>
            <c:numRef>
              <c:f>'Data paired'!$O$93:$O$94</c:f>
              <c:numCache>
                <c:formatCode>General</c:formatCode>
                <c:ptCount val="2"/>
                <c:pt idx="0">
                  <c:v>1.4</c:v>
                </c:pt>
                <c:pt idx="1">
                  <c:v>2.54</c:v>
                </c:pt>
              </c:numCache>
            </c:numRef>
          </c:xVal>
          <c:yVal>
            <c:numRef>
              <c:f>'Data paired'!$P$93:$P$94</c:f>
              <c:numCache>
                <c:formatCode>General</c:formatCode>
                <c:ptCount val="2"/>
                <c:pt idx="0">
                  <c:v>12</c:v>
                </c:pt>
                <c:pt idx="1">
                  <c:v>15.84</c:v>
                </c:pt>
              </c:numCache>
            </c:numRef>
          </c:yVal>
        </c:ser>
        <c:ser>
          <c:idx val="116"/>
          <c:order val="13"/>
          <c:spPr>
            <a:ln w="12700">
              <a:solidFill>
                <a:srgbClr val="0000FF"/>
              </a:solidFill>
              <a:prstDash val="solid"/>
            </a:ln>
          </c:spPr>
          <c:marker>
            <c:symbol val="circle"/>
            <c:size val="6"/>
            <c:spPr>
              <a:noFill/>
              <a:ln>
                <a:solidFill>
                  <a:srgbClr val="0000FF"/>
                </a:solidFill>
                <a:prstDash val="solid"/>
              </a:ln>
            </c:spPr>
          </c:marker>
          <c:xVal>
            <c:numRef>
              <c:f>'Data paired'!$O$95:$O$96</c:f>
              <c:numCache>
                <c:formatCode>General</c:formatCode>
                <c:ptCount val="2"/>
                <c:pt idx="0">
                  <c:v>1.46</c:v>
                </c:pt>
                <c:pt idx="1">
                  <c:v>2.6</c:v>
                </c:pt>
              </c:numCache>
            </c:numRef>
          </c:xVal>
          <c:yVal>
            <c:numRef>
              <c:f>'Data paired'!$P$95:$P$96</c:f>
              <c:numCache>
                <c:formatCode>General</c:formatCode>
                <c:ptCount val="2"/>
                <c:pt idx="0">
                  <c:v>9.1199999999999992</c:v>
                </c:pt>
                <c:pt idx="1">
                  <c:v>12</c:v>
                </c:pt>
              </c:numCache>
            </c:numRef>
          </c:yVal>
        </c:ser>
        <c:ser>
          <c:idx val="117"/>
          <c:order val="14"/>
          <c:spPr>
            <a:ln w="12700">
              <a:solidFill>
                <a:srgbClr val="0000FF"/>
              </a:solidFill>
              <a:prstDash val="solid"/>
            </a:ln>
          </c:spPr>
          <c:marker>
            <c:symbol val="circle"/>
            <c:size val="6"/>
            <c:spPr>
              <a:noFill/>
              <a:ln>
                <a:solidFill>
                  <a:srgbClr val="0000FF"/>
                </a:solidFill>
                <a:prstDash val="solid"/>
              </a:ln>
            </c:spPr>
          </c:marker>
          <c:xVal>
            <c:numRef>
              <c:f>'Data paired'!$O$97:$O$98</c:f>
              <c:numCache>
                <c:formatCode>General</c:formatCode>
                <c:ptCount val="2"/>
                <c:pt idx="0">
                  <c:v>1.46</c:v>
                </c:pt>
                <c:pt idx="1">
                  <c:v>2.6</c:v>
                </c:pt>
              </c:numCache>
            </c:numRef>
          </c:xVal>
          <c:yVal>
            <c:numRef>
              <c:f>'Data paired'!$P$97:$P$98</c:f>
              <c:numCache>
                <c:formatCode>General</c:formatCode>
                <c:ptCount val="2"/>
                <c:pt idx="0">
                  <c:v>13.92</c:v>
                </c:pt>
                <c:pt idx="1">
                  <c:v>14.879999999999999</c:v>
                </c:pt>
              </c:numCache>
            </c:numRef>
          </c:yVal>
        </c:ser>
        <c:ser>
          <c:idx val="118"/>
          <c:order val="15"/>
          <c:spPr>
            <a:ln w="12700">
              <a:solidFill>
                <a:srgbClr val="0000FF"/>
              </a:solidFill>
              <a:prstDash val="solid"/>
            </a:ln>
          </c:spPr>
          <c:marker>
            <c:symbol val="circle"/>
            <c:size val="6"/>
            <c:spPr>
              <a:noFill/>
              <a:ln>
                <a:solidFill>
                  <a:srgbClr val="0000FF"/>
                </a:solidFill>
                <a:prstDash val="solid"/>
              </a:ln>
            </c:spPr>
          </c:marker>
          <c:xVal>
            <c:numRef>
              <c:f>'Data paired'!$O$99:$O$100</c:f>
              <c:numCache>
                <c:formatCode>General</c:formatCode>
                <c:ptCount val="2"/>
                <c:pt idx="0">
                  <c:v>1.4</c:v>
                </c:pt>
                <c:pt idx="1">
                  <c:v>2.6</c:v>
                </c:pt>
              </c:numCache>
            </c:numRef>
          </c:xVal>
          <c:yVal>
            <c:numRef>
              <c:f>'Data paired'!$P$99:$P$100</c:f>
              <c:numCache>
                <c:formatCode>General</c:formatCode>
                <c:ptCount val="2"/>
                <c:pt idx="0">
                  <c:v>16.8</c:v>
                </c:pt>
                <c:pt idx="1">
                  <c:v>18.239999999999998</c:v>
                </c:pt>
              </c:numCache>
            </c:numRef>
          </c:yVal>
        </c:ser>
        <c:ser>
          <c:idx val="119"/>
          <c:order val="16"/>
          <c:spPr>
            <a:ln w="12700">
              <a:solidFill>
                <a:srgbClr val="0000FF"/>
              </a:solidFill>
              <a:prstDash val="solid"/>
            </a:ln>
          </c:spPr>
          <c:marker>
            <c:symbol val="circle"/>
            <c:size val="6"/>
            <c:spPr>
              <a:noFill/>
              <a:ln>
                <a:solidFill>
                  <a:srgbClr val="0000FF"/>
                </a:solidFill>
                <a:prstDash val="solid"/>
              </a:ln>
            </c:spPr>
          </c:marker>
          <c:xVal>
            <c:numRef>
              <c:f>'Data paired'!$O$101:$O$102</c:f>
              <c:numCache>
                <c:formatCode>General</c:formatCode>
                <c:ptCount val="2"/>
                <c:pt idx="0">
                  <c:v>1.4</c:v>
                </c:pt>
                <c:pt idx="1">
                  <c:v>2.6</c:v>
                </c:pt>
              </c:numCache>
            </c:numRef>
          </c:xVal>
          <c:yVal>
            <c:numRef>
              <c:f>'Data paired'!$P$101:$P$102</c:f>
              <c:numCache>
                <c:formatCode>General</c:formatCode>
                <c:ptCount val="2"/>
                <c:pt idx="0">
                  <c:v>13.92</c:v>
                </c:pt>
                <c:pt idx="1">
                  <c:v>12.959999999999999</c:v>
                </c:pt>
              </c:numCache>
            </c:numRef>
          </c:yVal>
        </c:ser>
        <c:ser>
          <c:idx val="120"/>
          <c:order val="17"/>
          <c:spPr>
            <a:ln w="12700">
              <a:solidFill>
                <a:srgbClr val="0000FF"/>
              </a:solidFill>
              <a:prstDash val="solid"/>
            </a:ln>
          </c:spPr>
          <c:marker>
            <c:symbol val="circle"/>
            <c:size val="6"/>
            <c:spPr>
              <a:noFill/>
              <a:ln>
                <a:solidFill>
                  <a:srgbClr val="0000FF"/>
                </a:solidFill>
                <a:prstDash val="solid"/>
              </a:ln>
            </c:spPr>
          </c:marker>
          <c:xVal>
            <c:numRef>
              <c:f>'Data paired'!$O$103:$O$104</c:f>
              <c:numCache>
                <c:formatCode>General</c:formatCode>
                <c:ptCount val="2"/>
                <c:pt idx="0">
                  <c:v>1.4</c:v>
                </c:pt>
                <c:pt idx="1">
                  <c:v>2.54</c:v>
                </c:pt>
              </c:numCache>
            </c:numRef>
          </c:xVal>
          <c:yVal>
            <c:numRef>
              <c:f>'Data paired'!$P$103:$P$104</c:f>
              <c:numCache>
                <c:formatCode>General</c:formatCode>
                <c:ptCount val="2"/>
                <c:pt idx="0">
                  <c:v>9.1199999999999992</c:v>
                </c:pt>
                <c:pt idx="1">
                  <c:v>10.08</c:v>
                </c:pt>
              </c:numCache>
            </c:numRef>
          </c:yVal>
        </c:ser>
        <c:ser>
          <c:idx val="121"/>
          <c:order val="18"/>
          <c:spPr>
            <a:ln w="12700">
              <a:solidFill>
                <a:srgbClr val="0000FF"/>
              </a:solidFill>
              <a:prstDash val="solid"/>
            </a:ln>
          </c:spPr>
          <c:marker>
            <c:symbol val="circle"/>
            <c:size val="6"/>
            <c:spPr>
              <a:noFill/>
              <a:ln>
                <a:solidFill>
                  <a:srgbClr val="0000FF"/>
                </a:solidFill>
                <a:prstDash val="solid"/>
              </a:ln>
            </c:spPr>
          </c:marker>
          <c:xVal>
            <c:numRef>
              <c:f>'Data paired'!$O$105:$O$106</c:f>
              <c:numCache>
                <c:formatCode>General</c:formatCode>
                <c:ptCount val="2"/>
                <c:pt idx="0">
                  <c:v>1.4</c:v>
                </c:pt>
                <c:pt idx="1">
                  <c:v>2.6</c:v>
                </c:pt>
              </c:numCache>
            </c:numRef>
          </c:xVal>
          <c:yVal>
            <c:numRef>
              <c:f>'Data paired'!$P$105:$P$106</c:f>
              <c:numCache>
                <c:formatCode>General</c:formatCode>
                <c:ptCount val="2"/>
                <c:pt idx="0">
                  <c:v>6.24</c:v>
                </c:pt>
                <c:pt idx="1">
                  <c:v>10.08</c:v>
                </c:pt>
              </c:numCache>
            </c:numRef>
          </c:yVal>
        </c:ser>
        <c:ser>
          <c:idx val="122"/>
          <c:order val="19"/>
          <c:spPr>
            <a:ln w="12700">
              <a:solidFill>
                <a:srgbClr val="0000FF"/>
              </a:solidFill>
              <a:prstDash val="solid"/>
            </a:ln>
          </c:spPr>
          <c:marker>
            <c:symbol val="circle"/>
            <c:size val="6"/>
            <c:spPr>
              <a:noFill/>
              <a:ln>
                <a:solidFill>
                  <a:srgbClr val="0000FF"/>
                </a:solidFill>
                <a:prstDash val="solid"/>
              </a:ln>
            </c:spPr>
          </c:marker>
          <c:xVal>
            <c:numRef>
              <c:f>'Data paired'!$O$107:$O$108</c:f>
              <c:numCache>
                <c:formatCode>General</c:formatCode>
                <c:ptCount val="2"/>
                <c:pt idx="0">
                  <c:v>1.4</c:v>
                </c:pt>
                <c:pt idx="1">
                  <c:v>2.6</c:v>
                </c:pt>
              </c:numCache>
            </c:numRef>
          </c:xVal>
          <c:yVal>
            <c:numRef>
              <c:f>'Data paired'!$P$107:$P$108</c:f>
              <c:numCache>
                <c:formatCode>General</c:formatCode>
                <c:ptCount val="2"/>
                <c:pt idx="0">
                  <c:v>7.1999999999999993</c:v>
                </c:pt>
                <c:pt idx="1">
                  <c:v>8.16</c:v>
                </c:pt>
              </c:numCache>
            </c:numRef>
          </c:yVal>
        </c:ser>
        <c:ser>
          <c:idx val="123"/>
          <c:order val="20"/>
          <c:spPr>
            <a:ln w="12700">
              <a:solidFill>
                <a:srgbClr val="0000FF"/>
              </a:solidFill>
              <a:prstDash val="solid"/>
            </a:ln>
          </c:spPr>
          <c:marker>
            <c:symbol val="circle"/>
            <c:size val="6"/>
            <c:spPr>
              <a:noFill/>
              <a:ln>
                <a:solidFill>
                  <a:srgbClr val="0000FF"/>
                </a:solidFill>
                <a:prstDash val="solid"/>
              </a:ln>
            </c:spPr>
          </c:marker>
          <c:xVal>
            <c:numRef>
              <c:f>'Data paired'!$O$109:$O$110</c:f>
              <c:numCache>
                <c:formatCode>General</c:formatCode>
                <c:ptCount val="2"/>
                <c:pt idx="0">
                  <c:v>1.4</c:v>
                </c:pt>
                <c:pt idx="1">
                  <c:v>2.6</c:v>
                </c:pt>
              </c:numCache>
            </c:numRef>
          </c:xVal>
          <c:yVal>
            <c:numRef>
              <c:f>'Data paired'!$P$109:$P$110</c:f>
              <c:numCache>
                <c:formatCode>General</c:formatCode>
                <c:ptCount val="2"/>
                <c:pt idx="0">
                  <c:v>11.04</c:v>
                </c:pt>
                <c:pt idx="1">
                  <c:v>13.92</c:v>
                </c:pt>
              </c:numCache>
            </c:numRef>
          </c:yVal>
        </c:ser>
        <c:ser>
          <c:idx val="124"/>
          <c:order val="21"/>
          <c:spPr>
            <a:ln w="12700">
              <a:solidFill>
                <a:srgbClr val="0000FF"/>
              </a:solidFill>
              <a:prstDash val="solid"/>
            </a:ln>
          </c:spPr>
          <c:marker>
            <c:symbol val="circle"/>
            <c:size val="6"/>
            <c:spPr>
              <a:noFill/>
              <a:ln>
                <a:solidFill>
                  <a:srgbClr val="0000FF"/>
                </a:solidFill>
                <a:prstDash val="solid"/>
              </a:ln>
            </c:spPr>
          </c:marker>
          <c:xVal>
            <c:numRef>
              <c:f>'Data paired'!$O$111:$O$112</c:f>
              <c:numCache>
                <c:formatCode>General</c:formatCode>
                <c:ptCount val="2"/>
                <c:pt idx="0">
                  <c:v>1.4</c:v>
                </c:pt>
                <c:pt idx="1">
                  <c:v>2.6</c:v>
                </c:pt>
              </c:numCache>
            </c:numRef>
          </c:xVal>
          <c:yVal>
            <c:numRef>
              <c:f>'Data paired'!$P$111:$P$112</c:f>
              <c:numCache>
                <c:formatCode>General</c:formatCode>
                <c:ptCount val="2"/>
                <c:pt idx="0">
                  <c:v>14.879999999999999</c:v>
                </c:pt>
                <c:pt idx="1">
                  <c:v>15.84</c:v>
                </c:pt>
              </c:numCache>
            </c:numRef>
          </c:yVal>
        </c:ser>
        <c:ser>
          <c:idx val="125"/>
          <c:order val="22"/>
          <c:spPr>
            <a:ln w="12700">
              <a:solidFill>
                <a:srgbClr val="0000FF"/>
              </a:solidFill>
              <a:prstDash val="solid"/>
            </a:ln>
          </c:spPr>
          <c:marker>
            <c:symbol val="circle"/>
            <c:size val="6"/>
            <c:spPr>
              <a:noFill/>
              <a:ln>
                <a:solidFill>
                  <a:srgbClr val="0000FF"/>
                </a:solidFill>
                <a:prstDash val="solid"/>
              </a:ln>
            </c:spPr>
          </c:marker>
          <c:xVal>
            <c:numRef>
              <c:f>'Data paired'!$O$113:$O$114</c:f>
              <c:numCache>
                <c:formatCode>General</c:formatCode>
                <c:ptCount val="2"/>
                <c:pt idx="0">
                  <c:v>#N/A</c:v>
                </c:pt>
                <c:pt idx="1">
                  <c:v>#N/A</c:v>
                </c:pt>
              </c:numCache>
            </c:numRef>
          </c:xVal>
          <c:yVal>
            <c:numRef>
              <c:f>'Data paired'!$P$113:$P$114</c:f>
              <c:numCache>
                <c:formatCode>General</c:formatCode>
                <c:ptCount val="2"/>
                <c:pt idx="0">
                  <c:v>#N/A</c:v>
                </c:pt>
                <c:pt idx="1">
                  <c:v>#N/A</c:v>
                </c:pt>
              </c:numCache>
            </c:numRef>
          </c:yVal>
        </c:ser>
        <c:ser>
          <c:idx val="126"/>
          <c:order val="23"/>
          <c:spPr>
            <a:ln w="12700">
              <a:solidFill>
                <a:srgbClr val="0000FF"/>
              </a:solidFill>
              <a:prstDash val="solid"/>
            </a:ln>
          </c:spPr>
          <c:marker>
            <c:symbol val="circle"/>
            <c:size val="6"/>
            <c:spPr>
              <a:noFill/>
              <a:ln>
                <a:solidFill>
                  <a:srgbClr val="0000FF"/>
                </a:solidFill>
                <a:prstDash val="solid"/>
              </a:ln>
            </c:spPr>
          </c:marker>
          <c:xVal>
            <c:numRef>
              <c:f>'Data paired'!$O$115:$O$116</c:f>
              <c:numCache>
                <c:formatCode>General</c:formatCode>
                <c:ptCount val="2"/>
                <c:pt idx="0">
                  <c:v>#N/A</c:v>
                </c:pt>
                <c:pt idx="1">
                  <c:v>#N/A</c:v>
                </c:pt>
              </c:numCache>
            </c:numRef>
          </c:xVal>
          <c:yVal>
            <c:numRef>
              <c:f>'Data paired'!$P$115:$P$116</c:f>
              <c:numCache>
                <c:formatCode>General</c:formatCode>
                <c:ptCount val="2"/>
                <c:pt idx="0">
                  <c:v>#N/A</c:v>
                </c:pt>
                <c:pt idx="1">
                  <c:v>#N/A</c:v>
                </c:pt>
              </c:numCache>
            </c:numRef>
          </c:yVal>
        </c:ser>
        <c:ser>
          <c:idx val="127"/>
          <c:order val="24"/>
          <c:spPr>
            <a:ln w="12700">
              <a:solidFill>
                <a:srgbClr val="0000FF"/>
              </a:solidFill>
              <a:prstDash val="solid"/>
            </a:ln>
          </c:spPr>
          <c:marker>
            <c:symbol val="circle"/>
            <c:size val="6"/>
            <c:spPr>
              <a:noFill/>
              <a:ln>
                <a:solidFill>
                  <a:srgbClr val="0000FF"/>
                </a:solidFill>
                <a:prstDash val="solid"/>
              </a:ln>
            </c:spPr>
          </c:marker>
          <c:xVal>
            <c:numRef>
              <c:f>'Data paired'!$O$117:$O$118</c:f>
              <c:numCache>
                <c:formatCode>General</c:formatCode>
                <c:ptCount val="2"/>
                <c:pt idx="0">
                  <c:v>#N/A</c:v>
                </c:pt>
                <c:pt idx="1">
                  <c:v>#N/A</c:v>
                </c:pt>
              </c:numCache>
            </c:numRef>
          </c:xVal>
          <c:yVal>
            <c:numRef>
              <c:f>'Data paired'!$P$117:$P$118</c:f>
              <c:numCache>
                <c:formatCode>General</c:formatCode>
                <c:ptCount val="2"/>
                <c:pt idx="0">
                  <c:v>#N/A</c:v>
                </c:pt>
                <c:pt idx="1">
                  <c:v>#N/A</c:v>
                </c:pt>
              </c:numCache>
            </c:numRef>
          </c:yVal>
        </c:ser>
        <c:ser>
          <c:idx val="128"/>
          <c:order val="25"/>
          <c:spPr>
            <a:ln w="12700">
              <a:solidFill>
                <a:srgbClr val="0000FF"/>
              </a:solidFill>
              <a:prstDash val="solid"/>
            </a:ln>
          </c:spPr>
          <c:marker>
            <c:symbol val="circle"/>
            <c:size val="6"/>
            <c:spPr>
              <a:noFill/>
              <a:ln>
                <a:solidFill>
                  <a:srgbClr val="0000FF"/>
                </a:solidFill>
                <a:prstDash val="solid"/>
              </a:ln>
            </c:spPr>
          </c:marker>
          <c:xVal>
            <c:numRef>
              <c:f>'Data paired'!$O$119:$O$120</c:f>
              <c:numCache>
                <c:formatCode>General</c:formatCode>
                <c:ptCount val="2"/>
                <c:pt idx="0">
                  <c:v>#N/A</c:v>
                </c:pt>
                <c:pt idx="1">
                  <c:v>#N/A</c:v>
                </c:pt>
              </c:numCache>
            </c:numRef>
          </c:xVal>
          <c:yVal>
            <c:numRef>
              <c:f>'Data paired'!$P$119:$P$120</c:f>
              <c:numCache>
                <c:formatCode>General</c:formatCode>
                <c:ptCount val="2"/>
                <c:pt idx="0">
                  <c:v>#N/A</c:v>
                </c:pt>
                <c:pt idx="1">
                  <c:v>#N/A</c:v>
                </c:pt>
              </c:numCache>
            </c:numRef>
          </c:yVal>
        </c:ser>
        <c:ser>
          <c:idx val="129"/>
          <c:order val="26"/>
          <c:spPr>
            <a:ln w="12700">
              <a:solidFill>
                <a:srgbClr val="0000FF"/>
              </a:solidFill>
              <a:prstDash val="solid"/>
            </a:ln>
          </c:spPr>
          <c:marker>
            <c:symbol val="circle"/>
            <c:size val="6"/>
            <c:spPr>
              <a:noFill/>
              <a:ln>
                <a:solidFill>
                  <a:srgbClr val="0000FF"/>
                </a:solidFill>
                <a:prstDash val="solid"/>
              </a:ln>
            </c:spPr>
          </c:marker>
          <c:xVal>
            <c:numRef>
              <c:f>'Data paired'!$O$121:$O$122</c:f>
              <c:numCache>
                <c:formatCode>General</c:formatCode>
                <c:ptCount val="2"/>
                <c:pt idx="0">
                  <c:v>#N/A</c:v>
                </c:pt>
                <c:pt idx="1">
                  <c:v>#N/A</c:v>
                </c:pt>
              </c:numCache>
            </c:numRef>
          </c:xVal>
          <c:yVal>
            <c:numRef>
              <c:f>'Data paired'!$P$121:$P$122</c:f>
              <c:numCache>
                <c:formatCode>General</c:formatCode>
                <c:ptCount val="2"/>
                <c:pt idx="0">
                  <c:v>#N/A</c:v>
                </c:pt>
                <c:pt idx="1">
                  <c:v>#N/A</c:v>
                </c:pt>
              </c:numCache>
            </c:numRef>
          </c:yVal>
        </c:ser>
        <c:ser>
          <c:idx val="130"/>
          <c:order val="27"/>
          <c:spPr>
            <a:ln w="12700">
              <a:solidFill>
                <a:srgbClr val="0000FF"/>
              </a:solidFill>
              <a:prstDash val="solid"/>
            </a:ln>
          </c:spPr>
          <c:marker>
            <c:symbol val="circle"/>
            <c:size val="6"/>
            <c:spPr>
              <a:noFill/>
              <a:ln>
                <a:solidFill>
                  <a:srgbClr val="0000FF"/>
                </a:solidFill>
                <a:prstDash val="solid"/>
              </a:ln>
            </c:spPr>
          </c:marker>
          <c:xVal>
            <c:numRef>
              <c:f>'Data paired'!$O$123:$O$124</c:f>
              <c:numCache>
                <c:formatCode>General</c:formatCode>
                <c:ptCount val="2"/>
                <c:pt idx="0">
                  <c:v>#N/A</c:v>
                </c:pt>
                <c:pt idx="1">
                  <c:v>#N/A</c:v>
                </c:pt>
              </c:numCache>
            </c:numRef>
          </c:xVal>
          <c:yVal>
            <c:numRef>
              <c:f>'Data paired'!$P$123:$P$124</c:f>
              <c:numCache>
                <c:formatCode>General</c:formatCode>
                <c:ptCount val="2"/>
                <c:pt idx="0">
                  <c:v>#N/A</c:v>
                </c:pt>
                <c:pt idx="1">
                  <c:v>#N/A</c:v>
                </c:pt>
              </c:numCache>
            </c:numRef>
          </c:yVal>
        </c:ser>
        <c:ser>
          <c:idx val="131"/>
          <c:order val="28"/>
          <c:spPr>
            <a:ln w="12700">
              <a:solidFill>
                <a:srgbClr val="0000FF"/>
              </a:solidFill>
              <a:prstDash val="solid"/>
            </a:ln>
          </c:spPr>
          <c:marker>
            <c:symbol val="circle"/>
            <c:size val="6"/>
            <c:spPr>
              <a:noFill/>
              <a:ln>
                <a:solidFill>
                  <a:srgbClr val="0000FF"/>
                </a:solidFill>
                <a:prstDash val="solid"/>
              </a:ln>
            </c:spPr>
          </c:marker>
          <c:xVal>
            <c:numRef>
              <c:f>'Data paired'!$O$125:$O$126</c:f>
              <c:numCache>
                <c:formatCode>General</c:formatCode>
                <c:ptCount val="2"/>
                <c:pt idx="0">
                  <c:v>#N/A</c:v>
                </c:pt>
                <c:pt idx="1">
                  <c:v>#N/A</c:v>
                </c:pt>
              </c:numCache>
            </c:numRef>
          </c:xVal>
          <c:yVal>
            <c:numRef>
              <c:f>'Data paired'!$P$125:$P$126</c:f>
              <c:numCache>
                <c:formatCode>General</c:formatCode>
                <c:ptCount val="2"/>
                <c:pt idx="0">
                  <c:v>#N/A</c:v>
                </c:pt>
                <c:pt idx="1">
                  <c:v>#N/A</c:v>
                </c:pt>
              </c:numCache>
            </c:numRef>
          </c:yVal>
        </c:ser>
        <c:ser>
          <c:idx val="132"/>
          <c:order val="29"/>
          <c:spPr>
            <a:ln w="12700">
              <a:solidFill>
                <a:srgbClr val="0000FF"/>
              </a:solidFill>
              <a:prstDash val="solid"/>
            </a:ln>
          </c:spPr>
          <c:marker>
            <c:symbol val="circle"/>
            <c:size val="6"/>
            <c:spPr>
              <a:noFill/>
              <a:ln>
                <a:solidFill>
                  <a:srgbClr val="0000FF"/>
                </a:solidFill>
                <a:prstDash val="solid"/>
              </a:ln>
            </c:spPr>
          </c:marker>
          <c:xVal>
            <c:numRef>
              <c:f>'Data paired'!$O$127:$O$128</c:f>
              <c:numCache>
                <c:formatCode>General</c:formatCode>
                <c:ptCount val="2"/>
                <c:pt idx="0">
                  <c:v>#N/A</c:v>
                </c:pt>
                <c:pt idx="1">
                  <c:v>#N/A</c:v>
                </c:pt>
              </c:numCache>
            </c:numRef>
          </c:xVal>
          <c:yVal>
            <c:numRef>
              <c:f>'Data paired'!$P$127:$P$128</c:f>
              <c:numCache>
                <c:formatCode>General</c:formatCode>
                <c:ptCount val="2"/>
                <c:pt idx="0">
                  <c:v>#N/A</c:v>
                </c:pt>
                <c:pt idx="1">
                  <c:v>#N/A</c:v>
                </c:pt>
              </c:numCache>
            </c:numRef>
          </c:yVal>
        </c:ser>
        <c:ser>
          <c:idx val="133"/>
          <c:order val="30"/>
          <c:spPr>
            <a:ln w="12700">
              <a:solidFill>
                <a:srgbClr val="0000FF"/>
              </a:solidFill>
              <a:prstDash val="solid"/>
            </a:ln>
          </c:spPr>
          <c:marker>
            <c:symbol val="circle"/>
            <c:size val="6"/>
            <c:spPr>
              <a:noFill/>
              <a:ln>
                <a:solidFill>
                  <a:srgbClr val="0000FF"/>
                </a:solidFill>
                <a:prstDash val="solid"/>
              </a:ln>
            </c:spPr>
          </c:marker>
          <c:xVal>
            <c:numRef>
              <c:f>'Data paired'!$O$129:$O$130</c:f>
              <c:numCache>
                <c:formatCode>General</c:formatCode>
                <c:ptCount val="2"/>
                <c:pt idx="0">
                  <c:v>#N/A</c:v>
                </c:pt>
                <c:pt idx="1">
                  <c:v>#N/A</c:v>
                </c:pt>
              </c:numCache>
            </c:numRef>
          </c:xVal>
          <c:yVal>
            <c:numRef>
              <c:f>'Data paired'!$P$129:$P$130</c:f>
              <c:numCache>
                <c:formatCode>General</c:formatCode>
                <c:ptCount val="2"/>
                <c:pt idx="0">
                  <c:v>#N/A</c:v>
                </c:pt>
                <c:pt idx="1">
                  <c:v>#N/A</c:v>
                </c:pt>
              </c:numCache>
            </c:numRef>
          </c:yVal>
        </c:ser>
        <c:ser>
          <c:idx val="134"/>
          <c:order val="31"/>
          <c:spPr>
            <a:ln w="12700">
              <a:solidFill>
                <a:srgbClr val="0000FF"/>
              </a:solidFill>
              <a:prstDash val="solid"/>
            </a:ln>
          </c:spPr>
          <c:marker>
            <c:symbol val="circle"/>
            <c:size val="6"/>
            <c:spPr>
              <a:noFill/>
              <a:ln>
                <a:solidFill>
                  <a:srgbClr val="0000FF"/>
                </a:solidFill>
                <a:prstDash val="solid"/>
              </a:ln>
            </c:spPr>
          </c:marker>
          <c:xVal>
            <c:numRef>
              <c:f>'Data paired'!$O$131:$O$132</c:f>
              <c:numCache>
                <c:formatCode>General</c:formatCode>
                <c:ptCount val="2"/>
                <c:pt idx="0">
                  <c:v>#N/A</c:v>
                </c:pt>
                <c:pt idx="1">
                  <c:v>#N/A</c:v>
                </c:pt>
              </c:numCache>
            </c:numRef>
          </c:xVal>
          <c:yVal>
            <c:numRef>
              <c:f>'Data paired'!$P$131:$P$132</c:f>
              <c:numCache>
                <c:formatCode>General</c:formatCode>
                <c:ptCount val="2"/>
                <c:pt idx="0">
                  <c:v>#N/A</c:v>
                </c:pt>
                <c:pt idx="1">
                  <c:v>#N/A</c:v>
                </c:pt>
              </c:numCache>
            </c:numRef>
          </c:yVal>
        </c:ser>
        <c:ser>
          <c:idx val="135"/>
          <c:order val="32"/>
          <c:spPr>
            <a:ln w="12700">
              <a:solidFill>
                <a:srgbClr val="0000FF"/>
              </a:solidFill>
              <a:prstDash val="solid"/>
            </a:ln>
          </c:spPr>
          <c:marker>
            <c:symbol val="circle"/>
            <c:size val="6"/>
            <c:spPr>
              <a:noFill/>
              <a:ln>
                <a:solidFill>
                  <a:srgbClr val="0000FF"/>
                </a:solidFill>
                <a:prstDash val="solid"/>
              </a:ln>
            </c:spPr>
          </c:marker>
          <c:xVal>
            <c:numRef>
              <c:f>'Data paired'!$O$133:$O$134</c:f>
              <c:numCache>
                <c:formatCode>General</c:formatCode>
                <c:ptCount val="2"/>
                <c:pt idx="0">
                  <c:v>#N/A</c:v>
                </c:pt>
                <c:pt idx="1">
                  <c:v>#N/A</c:v>
                </c:pt>
              </c:numCache>
            </c:numRef>
          </c:xVal>
          <c:yVal>
            <c:numRef>
              <c:f>'Data paired'!$P$133:$P$134</c:f>
              <c:numCache>
                <c:formatCode>General</c:formatCode>
                <c:ptCount val="2"/>
                <c:pt idx="0">
                  <c:v>#N/A</c:v>
                </c:pt>
                <c:pt idx="1">
                  <c:v>#N/A</c:v>
                </c:pt>
              </c:numCache>
            </c:numRef>
          </c:yVal>
        </c:ser>
        <c:ser>
          <c:idx val="136"/>
          <c:order val="33"/>
          <c:spPr>
            <a:ln w="12700">
              <a:solidFill>
                <a:srgbClr val="0000FF"/>
              </a:solidFill>
              <a:prstDash val="solid"/>
            </a:ln>
          </c:spPr>
          <c:marker>
            <c:symbol val="circle"/>
            <c:size val="6"/>
            <c:spPr>
              <a:noFill/>
              <a:ln>
                <a:solidFill>
                  <a:srgbClr val="0000FF"/>
                </a:solidFill>
                <a:prstDash val="solid"/>
              </a:ln>
            </c:spPr>
          </c:marker>
          <c:xVal>
            <c:numRef>
              <c:f>'Data paired'!$O$135:$O$136</c:f>
              <c:numCache>
                <c:formatCode>General</c:formatCode>
                <c:ptCount val="2"/>
                <c:pt idx="0">
                  <c:v>#N/A</c:v>
                </c:pt>
                <c:pt idx="1">
                  <c:v>#N/A</c:v>
                </c:pt>
              </c:numCache>
            </c:numRef>
          </c:xVal>
          <c:yVal>
            <c:numRef>
              <c:f>'Data paired'!$P$135:$P$136</c:f>
              <c:numCache>
                <c:formatCode>General</c:formatCode>
                <c:ptCount val="2"/>
                <c:pt idx="0">
                  <c:v>#N/A</c:v>
                </c:pt>
                <c:pt idx="1">
                  <c:v>#N/A</c:v>
                </c:pt>
              </c:numCache>
            </c:numRef>
          </c:yVal>
        </c:ser>
        <c:ser>
          <c:idx val="137"/>
          <c:order val="34"/>
          <c:spPr>
            <a:ln w="12700">
              <a:solidFill>
                <a:srgbClr val="0000FF"/>
              </a:solidFill>
              <a:prstDash val="solid"/>
            </a:ln>
          </c:spPr>
          <c:marker>
            <c:symbol val="circle"/>
            <c:size val="6"/>
            <c:spPr>
              <a:noFill/>
              <a:ln>
                <a:solidFill>
                  <a:srgbClr val="0000FF"/>
                </a:solidFill>
                <a:prstDash val="solid"/>
              </a:ln>
            </c:spPr>
          </c:marker>
          <c:xVal>
            <c:numRef>
              <c:f>'Data paired'!$O$137:$O$138</c:f>
              <c:numCache>
                <c:formatCode>General</c:formatCode>
                <c:ptCount val="2"/>
                <c:pt idx="0">
                  <c:v>#N/A</c:v>
                </c:pt>
                <c:pt idx="1">
                  <c:v>#N/A</c:v>
                </c:pt>
              </c:numCache>
            </c:numRef>
          </c:xVal>
          <c:yVal>
            <c:numRef>
              <c:f>'Data paired'!$P$137:$P$138</c:f>
              <c:numCache>
                <c:formatCode>General</c:formatCode>
                <c:ptCount val="2"/>
                <c:pt idx="0">
                  <c:v>#N/A</c:v>
                </c:pt>
                <c:pt idx="1">
                  <c:v>#N/A</c:v>
                </c:pt>
              </c:numCache>
            </c:numRef>
          </c:yVal>
        </c:ser>
        <c:ser>
          <c:idx val="138"/>
          <c:order val="35"/>
          <c:spPr>
            <a:ln w="12700">
              <a:solidFill>
                <a:srgbClr val="0000FF"/>
              </a:solidFill>
              <a:prstDash val="solid"/>
            </a:ln>
          </c:spPr>
          <c:marker>
            <c:symbol val="circle"/>
            <c:size val="6"/>
            <c:spPr>
              <a:noFill/>
              <a:ln>
                <a:solidFill>
                  <a:srgbClr val="0000FF"/>
                </a:solidFill>
                <a:prstDash val="solid"/>
              </a:ln>
            </c:spPr>
          </c:marker>
          <c:xVal>
            <c:numRef>
              <c:f>'Data paired'!$O$139:$O$140</c:f>
              <c:numCache>
                <c:formatCode>General</c:formatCode>
                <c:ptCount val="2"/>
                <c:pt idx="0">
                  <c:v>#N/A</c:v>
                </c:pt>
                <c:pt idx="1">
                  <c:v>#N/A</c:v>
                </c:pt>
              </c:numCache>
            </c:numRef>
          </c:xVal>
          <c:yVal>
            <c:numRef>
              <c:f>'Data paired'!$P$139:$P$140</c:f>
              <c:numCache>
                <c:formatCode>General</c:formatCode>
                <c:ptCount val="2"/>
                <c:pt idx="0">
                  <c:v>#N/A</c:v>
                </c:pt>
                <c:pt idx="1">
                  <c:v>#N/A</c:v>
                </c:pt>
              </c:numCache>
            </c:numRef>
          </c:yVal>
        </c:ser>
        <c:ser>
          <c:idx val="139"/>
          <c:order val="36"/>
          <c:spPr>
            <a:ln w="12700">
              <a:solidFill>
                <a:srgbClr val="0000FF"/>
              </a:solidFill>
              <a:prstDash val="solid"/>
            </a:ln>
          </c:spPr>
          <c:marker>
            <c:symbol val="circle"/>
            <c:size val="6"/>
            <c:spPr>
              <a:noFill/>
              <a:ln>
                <a:solidFill>
                  <a:srgbClr val="0000FF"/>
                </a:solidFill>
                <a:prstDash val="solid"/>
              </a:ln>
            </c:spPr>
          </c:marker>
          <c:xVal>
            <c:numRef>
              <c:f>'Data paired'!$O$141:$O$142</c:f>
              <c:numCache>
                <c:formatCode>General</c:formatCode>
                <c:ptCount val="2"/>
                <c:pt idx="0">
                  <c:v>#N/A</c:v>
                </c:pt>
                <c:pt idx="1">
                  <c:v>#N/A</c:v>
                </c:pt>
              </c:numCache>
            </c:numRef>
          </c:xVal>
          <c:yVal>
            <c:numRef>
              <c:f>'Data paired'!$P$141:$P$142</c:f>
              <c:numCache>
                <c:formatCode>General</c:formatCode>
                <c:ptCount val="2"/>
                <c:pt idx="0">
                  <c:v>#N/A</c:v>
                </c:pt>
                <c:pt idx="1">
                  <c:v>#N/A</c:v>
                </c:pt>
              </c:numCache>
            </c:numRef>
          </c:yVal>
        </c:ser>
        <c:ser>
          <c:idx val="140"/>
          <c:order val="37"/>
          <c:spPr>
            <a:ln w="12700">
              <a:solidFill>
                <a:srgbClr val="0000FF"/>
              </a:solidFill>
              <a:prstDash val="solid"/>
            </a:ln>
          </c:spPr>
          <c:marker>
            <c:symbol val="circle"/>
            <c:size val="6"/>
            <c:spPr>
              <a:noFill/>
              <a:ln>
                <a:solidFill>
                  <a:srgbClr val="0000FF"/>
                </a:solidFill>
                <a:prstDash val="solid"/>
              </a:ln>
            </c:spPr>
          </c:marker>
          <c:xVal>
            <c:numRef>
              <c:f>'Data paired'!$O$143:$O$144</c:f>
              <c:numCache>
                <c:formatCode>General</c:formatCode>
                <c:ptCount val="2"/>
                <c:pt idx="0">
                  <c:v>#N/A</c:v>
                </c:pt>
                <c:pt idx="1">
                  <c:v>#N/A</c:v>
                </c:pt>
              </c:numCache>
            </c:numRef>
          </c:xVal>
          <c:yVal>
            <c:numRef>
              <c:f>'Data paired'!$P$143:$P$144</c:f>
              <c:numCache>
                <c:formatCode>General</c:formatCode>
                <c:ptCount val="2"/>
                <c:pt idx="0">
                  <c:v>#N/A</c:v>
                </c:pt>
                <c:pt idx="1">
                  <c:v>#N/A</c:v>
                </c:pt>
              </c:numCache>
            </c:numRef>
          </c:yVal>
        </c:ser>
        <c:ser>
          <c:idx val="141"/>
          <c:order val="38"/>
          <c:spPr>
            <a:ln w="12700">
              <a:solidFill>
                <a:srgbClr val="0000FF"/>
              </a:solidFill>
              <a:prstDash val="solid"/>
            </a:ln>
          </c:spPr>
          <c:marker>
            <c:symbol val="circle"/>
            <c:size val="6"/>
            <c:spPr>
              <a:noFill/>
              <a:ln>
                <a:solidFill>
                  <a:srgbClr val="0000FF"/>
                </a:solidFill>
                <a:prstDash val="solid"/>
              </a:ln>
            </c:spPr>
          </c:marker>
          <c:xVal>
            <c:numRef>
              <c:f>'Data paired'!$O$145:$O$146</c:f>
              <c:numCache>
                <c:formatCode>General</c:formatCode>
                <c:ptCount val="2"/>
                <c:pt idx="0">
                  <c:v>#N/A</c:v>
                </c:pt>
                <c:pt idx="1">
                  <c:v>#N/A</c:v>
                </c:pt>
              </c:numCache>
            </c:numRef>
          </c:xVal>
          <c:yVal>
            <c:numRef>
              <c:f>'Data paired'!$P$145:$P$146</c:f>
              <c:numCache>
                <c:formatCode>General</c:formatCode>
                <c:ptCount val="2"/>
                <c:pt idx="0">
                  <c:v>#N/A</c:v>
                </c:pt>
                <c:pt idx="1">
                  <c:v>#N/A</c:v>
                </c:pt>
              </c:numCache>
            </c:numRef>
          </c:yVal>
        </c:ser>
        <c:ser>
          <c:idx val="142"/>
          <c:order val="39"/>
          <c:spPr>
            <a:ln w="12700">
              <a:solidFill>
                <a:srgbClr val="0000FF"/>
              </a:solidFill>
              <a:prstDash val="solid"/>
            </a:ln>
          </c:spPr>
          <c:marker>
            <c:symbol val="circle"/>
            <c:size val="6"/>
            <c:spPr>
              <a:noFill/>
              <a:ln>
                <a:solidFill>
                  <a:srgbClr val="0000FF"/>
                </a:solidFill>
                <a:prstDash val="solid"/>
              </a:ln>
            </c:spPr>
          </c:marker>
          <c:xVal>
            <c:numRef>
              <c:f>'Data paired'!$O$147:$O$148</c:f>
              <c:numCache>
                <c:formatCode>General</c:formatCode>
                <c:ptCount val="2"/>
                <c:pt idx="0">
                  <c:v>#N/A</c:v>
                </c:pt>
                <c:pt idx="1">
                  <c:v>#N/A</c:v>
                </c:pt>
              </c:numCache>
            </c:numRef>
          </c:xVal>
          <c:yVal>
            <c:numRef>
              <c:f>'Data paired'!$P$147:$P$148</c:f>
              <c:numCache>
                <c:formatCode>General</c:formatCode>
                <c:ptCount val="2"/>
                <c:pt idx="0">
                  <c:v>#N/A</c:v>
                </c:pt>
                <c:pt idx="1">
                  <c:v>#N/A</c:v>
                </c:pt>
              </c:numCache>
            </c:numRef>
          </c:yVal>
        </c:ser>
        <c:ser>
          <c:idx val="143"/>
          <c:order val="40"/>
          <c:spPr>
            <a:ln w="12700">
              <a:solidFill>
                <a:srgbClr val="0000FF"/>
              </a:solidFill>
              <a:prstDash val="solid"/>
            </a:ln>
          </c:spPr>
          <c:marker>
            <c:symbol val="circle"/>
            <c:size val="6"/>
            <c:spPr>
              <a:noFill/>
              <a:ln>
                <a:solidFill>
                  <a:srgbClr val="0000FF"/>
                </a:solidFill>
                <a:prstDash val="solid"/>
              </a:ln>
            </c:spPr>
          </c:marker>
          <c:xVal>
            <c:numRef>
              <c:f>'Data paired'!$O$149:$O$150</c:f>
              <c:numCache>
                <c:formatCode>General</c:formatCode>
                <c:ptCount val="2"/>
                <c:pt idx="0">
                  <c:v>#N/A</c:v>
                </c:pt>
                <c:pt idx="1">
                  <c:v>#N/A</c:v>
                </c:pt>
              </c:numCache>
            </c:numRef>
          </c:xVal>
          <c:yVal>
            <c:numRef>
              <c:f>'Data paired'!$P$149:$P$150</c:f>
              <c:numCache>
                <c:formatCode>General</c:formatCode>
                <c:ptCount val="2"/>
                <c:pt idx="0">
                  <c:v>#N/A</c:v>
                </c:pt>
                <c:pt idx="1">
                  <c:v>#N/A</c:v>
                </c:pt>
              </c:numCache>
            </c:numRef>
          </c:yVal>
        </c:ser>
        <c:ser>
          <c:idx val="144"/>
          <c:order val="41"/>
          <c:spPr>
            <a:ln w="12700">
              <a:solidFill>
                <a:srgbClr val="0000FF"/>
              </a:solidFill>
              <a:prstDash val="solid"/>
            </a:ln>
          </c:spPr>
          <c:marker>
            <c:symbol val="circle"/>
            <c:size val="6"/>
            <c:spPr>
              <a:noFill/>
              <a:ln>
                <a:solidFill>
                  <a:srgbClr val="0000FF"/>
                </a:solidFill>
                <a:prstDash val="solid"/>
              </a:ln>
            </c:spPr>
          </c:marker>
          <c:xVal>
            <c:numRef>
              <c:f>'Data paired'!$O$151:$O$152</c:f>
              <c:numCache>
                <c:formatCode>General</c:formatCode>
                <c:ptCount val="2"/>
                <c:pt idx="0">
                  <c:v>#N/A</c:v>
                </c:pt>
                <c:pt idx="1">
                  <c:v>#N/A</c:v>
                </c:pt>
              </c:numCache>
            </c:numRef>
          </c:xVal>
          <c:yVal>
            <c:numRef>
              <c:f>'Data paired'!$P$151:$P$152</c:f>
              <c:numCache>
                <c:formatCode>General</c:formatCode>
                <c:ptCount val="2"/>
                <c:pt idx="0">
                  <c:v>#N/A</c:v>
                </c:pt>
                <c:pt idx="1">
                  <c:v>#N/A</c:v>
                </c:pt>
              </c:numCache>
            </c:numRef>
          </c:yVal>
        </c:ser>
        <c:ser>
          <c:idx val="145"/>
          <c:order val="42"/>
          <c:spPr>
            <a:ln w="12700">
              <a:solidFill>
                <a:srgbClr val="0000FF"/>
              </a:solidFill>
              <a:prstDash val="solid"/>
            </a:ln>
          </c:spPr>
          <c:marker>
            <c:symbol val="circle"/>
            <c:size val="6"/>
            <c:spPr>
              <a:noFill/>
              <a:ln>
                <a:solidFill>
                  <a:srgbClr val="0000FF"/>
                </a:solidFill>
                <a:prstDash val="solid"/>
              </a:ln>
            </c:spPr>
          </c:marker>
          <c:xVal>
            <c:numRef>
              <c:f>'Data paired'!$O$153:$O$154</c:f>
              <c:numCache>
                <c:formatCode>General</c:formatCode>
                <c:ptCount val="2"/>
                <c:pt idx="0">
                  <c:v>#N/A</c:v>
                </c:pt>
                <c:pt idx="1">
                  <c:v>#N/A</c:v>
                </c:pt>
              </c:numCache>
            </c:numRef>
          </c:xVal>
          <c:yVal>
            <c:numRef>
              <c:f>'Data paired'!$P$153:$P$154</c:f>
              <c:numCache>
                <c:formatCode>General</c:formatCode>
                <c:ptCount val="2"/>
                <c:pt idx="0">
                  <c:v>#N/A</c:v>
                </c:pt>
                <c:pt idx="1">
                  <c:v>#N/A</c:v>
                </c:pt>
              </c:numCache>
            </c:numRef>
          </c:yVal>
        </c:ser>
        <c:ser>
          <c:idx val="146"/>
          <c:order val="43"/>
          <c:spPr>
            <a:ln w="12700">
              <a:solidFill>
                <a:srgbClr val="0000FF"/>
              </a:solidFill>
              <a:prstDash val="solid"/>
            </a:ln>
          </c:spPr>
          <c:marker>
            <c:symbol val="circle"/>
            <c:size val="6"/>
            <c:spPr>
              <a:noFill/>
              <a:ln>
                <a:solidFill>
                  <a:srgbClr val="0000FF"/>
                </a:solidFill>
                <a:prstDash val="solid"/>
              </a:ln>
            </c:spPr>
          </c:marker>
          <c:xVal>
            <c:numRef>
              <c:f>'Data paired'!$O$155:$O$156</c:f>
              <c:numCache>
                <c:formatCode>General</c:formatCode>
                <c:ptCount val="2"/>
                <c:pt idx="0">
                  <c:v>#N/A</c:v>
                </c:pt>
                <c:pt idx="1">
                  <c:v>#N/A</c:v>
                </c:pt>
              </c:numCache>
            </c:numRef>
          </c:xVal>
          <c:yVal>
            <c:numRef>
              <c:f>'Data paired'!$P$155:$P$156</c:f>
              <c:numCache>
                <c:formatCode>General</c:formatCode>
                <c:ptCount val="2"/>
                <c:pt idx="0">
                  <c:v>#N/A</c:v>
                </c:pt>
                <c:pt idx="1">
                  <c:v>#N/A</c:v>
                </c:pt>
              </c:numCache>
            </c:numRef>
          </c:yVal>
        </c:ser>
        <c:ser>
          <c:idx val="147"/>
          <c:order val="44"/>
          <c:spPr>
            <a:ln w="12700">
              <a:solidFill>
                <a:srgbClr val="0000FF"/>
              </a:solidFill>
              <a:prstDash val="solid"/>
            </a:ln>
          </c:spPr>
          <c:marker>
            <c:symbol val="circle"/>
            <c:size val="6"/>
            <c:spPr>
              <a:noFill/>
              <a:ln>
                <a:solidFill>
                  <a:srgbClr val="0000FF"/>
                </a:solidFill>
                <a:prstDash val="solid"/>
              </a:ln>
            </c:spPr>
          </c:marker>
          <c:xVal>
            <c:numRef>
              <c:f>'Data paired'!$O$157:$O$158</c:f>
              <c:numCache>
                <c:formatCode>General</c:formatCode>
                <c:ptCount val="2"/>
                <c:pt idx="0">
                  <c:v>#N/A</c:v>
                </c:pt>
                <c:pt idx="1">
                  <c:v>#N/A</c:v>
                </c:pt>
              </c:numCache>
            </c:numRef>
          </c:xVal>
          <c:yVal>
            <c:numRef>
              <c:f>'Data paired'!$P$157:$P$158</c:f>
              <c:numCache>
                <c:formatCode>General</c:formatCode>
                <c:ptCount val="2"/>
                <c:pt idx="0">
                  <c:v>#N/A</c:v>
                </c:pt>
                <c:pt idx="1">
                  <c:v>#N/A</c:v>
                </c:pt>
              </c:numCache>
            </c:numRef>
          </c:yVal>
        </c:ser>
        <c:ser>
          <c:idx val="148"/>
          <c:order val="45"/>
          <c:spPr>
            <a:ln w="12700">
              <a:solidFill>
                <a:srgbClr val="0000FF"/>
              </a:solidFill>
              <a:prstDash val="solid"/>
            </a:ln>
          </c:spPr>
          <c:marker>
            <c:symbol val="circle"/>
            <c:size val="6"/>
            <c:spPr>
              <a:noFill/>
              <a:ln>
                <a:solidFill>
                  <a:srgbClr val="0000FF"/>
                </a:solidFill>
                <a:prstDash val="solid"/>
              </a:ln>
            </c:spPr>
          </c:marker>
          <c:xVal>
            <c:numRef>
              <c:f>'Data paired'!$O$159:$O$160</c:f>
              <c:numCache>
                <c:formatCode>General</c:formatCode>
                <c:ptCount val="2"/>
                <c:pt idx="0">
                  <c:v>#N/A</c:v>
                </c:pt>
                <c:pt idx="1">
                  <c:v>#N/A</c:v>
                </c:pt>
              </c:numCache>
            </c:numRef>
          </c:xVal>
          <c:yVal>
            <c:numRef>
              <c:f>'Data paired'!$P$159:$P$160</c:f>
              <c:numCache>
                <c:formatCode>General</c:formatCode>
                <c:ptCount val="2"/>
                <c:pt idx="0">
                  <c:v>#N/A</c:v>
                </c:pt>
                <c:pt idx="1">
                  <c:v>#N/A</c:v>
                </c:pt>
              </c:numCache>
            </c:numRef>
          </c:yVal>
        </c:ser>
        <c:ser>
          <c:idx val="149"/>
          <c:order val="46"/>
          <c:spPr>
            <a:ln w="12700">
              <a:solidFill>
                <a:srgbClr val="0000FF"/>
              </a:solidFill>
              <a:prstDash val="solid"/>
            </a:ln>
          </c:spPr>
          <c:marker>
            <c:symbol val="circle"/>
            <c:size val="6"/>
            <c:spPr>
              <a:noFill/>
              <a:ln>
                <a:solidFill>
                  <a:srgbClr val="0000FF"/>
                </a:solidFill>
                <a:prstDash val="solid"/>
              </a:ln>
            </c:spPr>
          </c:marker>
          <c:xVal>
            <c:numRef>
              <c:f>'Data paired'!$O$161:$O$162</c:f>
              <c:numCache>
                <c:formatCode>General</c:formatCode>
                <c:ptCount val="2"/>
                <c:pt idx="0">
                  <c:v>#N/A</c:v>
                </c:pt>
                <c:pt idx="1">
                  <c:v>#N/A</c:v>
                </c:pt>
              </c:numCache>
            </c:numRef>
          </c:xVal>
          <c:yVal>
            <c:numRef>
              <c:f>'Data paired'!$P$161:$P$162</c:f>
              <c:numCache>
                <c:formatCode>General</c:formatCode>
                <c:ptCount val="2"/>
                <c:pt idx="0">
                  <c:v>#N/A</c:v>
                </c:pt>
                <c:pt idx="1">
                  <c:v>#N/A</c:v>
                </c:pt>
              </c:numCache>
            </c:numRef>
          </c:yVal>
        </c:ser>
        <c:ser>
          <c:idx val="150"/>
          <c:order val="47"/>
          <c:spPr>
            <a:ln w="12700">
              <a:solidFill>
                <a:srgbClr val="0000FF"/>
              </a:solidFill>
              <a:prstDash val="solid"/>
            </a:ln>
          </c:spPr>
          <c:marker>
            <c:symbol val="circle"/>
            <c:size val="6"/>
            <c:spPr>
              <a:noFill/>
              <a:ln>
                <a:solidFill>
                  <a:srgbClr val="0000FF"/>
                </a:solidFill>
                <a:prstDash val="solid"/>
              </a:ln>
            </c:spPr>
          </c:marker>
          <c:xVal>
            <c:numRef>
              <c:f>'Data paired'!$O$163:$O$164</c:f>
              <c:numCache>
                <c:formatCode>General</c:formatCode>
                <c:ptCount val="2"/>
                <c:pt idx="0">
                  <c:v>#N/A</c:v>
                </c:pt>
                <c:pt idx="1">
                  <c:v>#N/A</c:v>
                </c:pt>
              </c:numCache>
            </c:numRef>
          </c:xVal>
          <c:yVal>
            <c:numRef>
              <c:f>'Data paired'!$P$163:$P$164</c:f>
              <c:numCache>
                <c:formatCode>General</c:formatCode>
                <c:ptCount val="2"/>
                <c:pt idx="0">
                  <c:v>#N/A</c:v>
                </c:pt>
                <c:pt idx="1">
                  <c:v>#N/A</c:v>
                </c:pt>
              </c:numCache>
            </c:numRef>
          </c:yVal>
        </c:ser>
        <c:ser>
          <c:idx val="151"/>
          <c:order val="48"/>
          <c:spPr>
            <a:ln w="12700">
              <a:solidFill>
                <a:srgbClr val="0000FF"/>
              </a:solidFill>
              <a:prstDash val="solid"/>
            </a:ln>
          </c:spPr>
          <c:marker>
            <c:symbol val="circle"/>
            <c:size val="6"/>
            <c:spPr>
              <a:noFill/>
              <a:ln>
                <a:solidFill>
                  <a:srgbClr val="0000FF"/>
                </a:solidFill>
                <a:prstDash val="solid"/>
              </a:ln>
            </c:spPr>
          </c:marker>
          <c:xVal>
            <c:numRef>
              <c:f>'Data paired'!$O$165:$O$166</c:f>
              <c:numCache>
                <c:formatCode>General</c:formatCode>
                <c:ptCount val="2"/>
                <c:pt idx="0">
                  <c:v>#N/A</c:v>
                </c:pt>
                <c:pt idx="1">
                  <c:v>#N/A</c:v>
                </c:pt>
              </c:numCache>
            </c:numRef>
          </c:xVal>
          <c:yVal>
            <c:numRef>
              <c:f>'Data paired'!$P$165:$P$166</c:f>
              <c:numCache>
                <c:formatCode>General</c:formatCode>
                <c:ptCount val="2"/>
                <c:pt idx="0">
                  <c:v>#N/A</c:v>
                </c:pt>
                <c:pt idx="1">
                  <c:v>#N/A</c:v>
                </c:pt>
              </c:numCache>
            </c:numRef>
          </c:yVal>
        </c:ser>
        <c:ser>
          <c:idx val="152"/>
          <c:order val="49"/>
          <c:spPr>
            <a:ln w="12700">
              <a:solidFill>
                <a:srgbClr val="0000FF"/>
              </a:solidFill>
              <a:prstDash val="solid"/>
            </a:ln>
          </c:spPr>
          <c:marker>
            <c:symbol val="circle"/>
            <c:size val="6"/>
            <c:spPr>
              <a:noFill/>
              <a:ln>
                <a:solidFill>
                  <a:srgbClr val="0000FF"/>
                </a:solidFill>
                <a:prstDash val="solid"/>
              </a:ln>
            </c:spPr>
          </c:marker>
          <c:xVal>
            <c:numRef>
              <c:f>'Data paired'!$O$167:$O$168</c:f>
              <c:numCache>
                <c:formatCode>General</c:formatCode>
                <c:ptCount val="2"/>
                <c:pt idx="0">
                  <c:v>#N/A</c:v>
                </c:pt>
                <c:pt idx="1">
                  <c:v>#N/A</c:v>
                </c:pt>
              </c:numCache>
            </c:numRef>
          </c:xVal>
          <c:yVal>
            <c:numRef>
              <c:f>'Data paired'!$P$167:$P$168</c:f>
              <c:numCache>
                <c:formatCode>General</c:formatCode>
                <c:ptCount val="2"/>
                <c:pt idx="0">
                  <c:v>#N/A</c:v>
                </c:pt>
                <c:pt idx="1">
                  <c:v>#N/A</c:v>
                </c:pt>
              </c:numCache>
            </c:numRef>
          </c:yVal>
        </c:ser>
        <c:ser>
          <c:idx val="153"/>
          <c:order val="50"/>
          <c:spPr>
            <a:ln w="12700">
              <a:solidFill>
                <a:srgbClr val="0000FF"/>
              </a:solidFill>
              <a:prstDash val="solid"/>
            </a:ln>
          </c:spPr>
          <c:marker>
            <c:symbol val="circle"/>
            <c:size val="6"/>
            <c:spPr>
              <a:noFill/>
              <a:ln>
                <a:solidFill>
                  <a:srgbClr val="0000FF"/>
                </a:solidFill>
                <a:prstDash val="solid"/>
              </a:ln>
            </c:spPr>
          </c:marker>
          <c:xVal>
            <c:numRef>
              <c:f>'Data paired'!$O$169:$O$170</c:f>
              <c:numCache>
                <c:formatCode>General</c:formatCode>
                <c:ptCount val="2"/>
                <c:pt idx="0">
                  <c:v>#N/A</c:v>
                </c:pt>
                <c:pt idx="1">
                  <c:v>#N/A</c:v>
                </c:pt>
              </c:numCache>
            </c:numRef>
          </c:xVal>
          <c:yVal>
            <c:numRef>
              <c:f>'Data paired'!$P$169:$P$170</c:f>
              <c:numCache>
                <c:formatCode>General</c:formatCode>
                <c:ptCount val="2"/>
                <c:pt idx="0">
                  <c:v>#N/A</c:v>
                </c:pt>
                <c:pt idx="1">
                  <c:v>#N/A</c:v>
                </c:pt>
              </c:numCache>
            </c:numRef>
          </c:yVal>
        </c:ser>
        <c:ser>
          <c:idx val="154"/>
          <c:order val="51"/>
          <c:spPr>
            <a:ln w="12700">
              <a:solidFill>
                <a:srgbClr val="0000FF"/>
              </a:solidFill>
              <a:prstDash val="solid"/>
            </a:ln>
          </c:spPr>
          <c:marker>
            <c:symbol val="circle"/>
            <c:size val="6"/>
            <c:spPr>
              <a:noFill/>
              <a:ln>
                <a:solidFill>
                  <a:srgbClr val="0000FF"/>
                </a:solidFill>
                <a:prstDash val="solid"/>
              </a:ln>
            </c:spPr>
          </c:marker>
          <c:xVal>
            <c:numRef>
              <c:f>'Data paired'!$O$171:$O$172</c:f>
              <c:numCache>
                <c:formatCode>General</c:formatCode>
                <c:ptCount val="2"/>
                <c:pt idx="0">
                  <c:v>#N/A</c:v>
                </c:pt>
                <c:pt idx="1">
                  <c:v>#N/A</c:v>
                </c:pt>
              </c:numCache>
            </c:numRef>
          </c:xVal>
          <c:yVal>
            <c:numRef>
              <c:f>'Data paired'!$P$171:$P$172</c:f>
              <c:numCache>
                <c:formatCode>General</c:formatCode>
                <c:ptCount val="2"/>
                <c:pt idx="0">
                  <c:v>#N/A</c:v>
                </c:pt>
                <c:pt idx="1">
                  <c:v>#N/A</c:v>
                </c:pt>
              </c:numCache>
            </c:numRef>
          </c:yVal>
        </c:ser>
        <c:ser>
          <c:idx val="155"/>
          <c:order val="52"/>
          <c:spPr>
            <a:ln w="12700">
              <a:solidFill>
                <a:srgbClr val="0000FF"/>
              </a:solidFill>
              <a:prstDash val="solid"/>
            </a:ln>
          </c:spPr>
          <c:marker>
            <c:symbol val="circle"/>
            <c:size val="6"/>
            <c:spPr>
              <a:noFill/>
              <a:ln>
                <a:solidFill>
                  <a:srgbClr val="0000FF"/>
                </a:solidFill>
                <a:prstDash val="solid"/>
              </a:ln>
            </c:spPr>
          </c:marker>
          <c:xVal>
            <c:numRef>
              <c:f>'Data paired'!$O$173:$O$174</c:f>
              <c:numCache>
                <c:formatCode>General</c:formatCode>
                <c:ptCount val="2"/>
                <c:pt idx="0">
                  <c:v>#N/A</c:v>
                </c:pt>
                <c:pt idx="1">
                  <c:v>#N/A</c:v>
                </c:pt>
              </c:numCache>
            </c:numRef>
          </c:xVal>
          <c:yVal>
            <c:numRef>
              <c:f>'Data paired'!$P$173:$P$174</c:f>
              <c:numCache>
                <c:formatCode>General</c:formatCode>
                <c:ptCount val="2"/>
                <c:pt idx="0">
                  <c:v>#N/A</c:v>
                </c:pt>
                <c:pt idx="1">
                  <c:v>#N/A</c:v>
                </c:pt>
              </c:numCache>
            </c:numRef>
          </c:yVal>
        </c:ser>
        <c:ser>
          <c:idx val="156"/>
          <c:order val="53"/>
          <c:spPr>
            <a:ln w="12700">
              <a:solidFill>
                <a:srgbClr val="0000FF"/>
              </a:solidFill>
              <a:prstDash val="solid"/>
            </a:ln>
          </c:spPr>
          <c:marker>
            <c:symbol val="circle"/>
            <c:size val="6"/>
            <c:spPr>
              <a:noFill/>
              <a:ln>
                <a:solidFill>
                  <a:srgbClr val="0000FF"/>
                </a:solidFill>
                <a:prstDash val="solid"/>
              </a:ln>
            </c:spPr>
          </c:marker>
          <c:xVal>
            <c:numRef>
              <c:f>'Data paired'!$O$175:$O$176</c:f>
              <c:numCache>
                <c:formatCode>General</c:formatCode>
                <c:ptCount val="2"/>
                <c:pt idx="0">
                  <c:v>#N/A</c:v>
                </c:pt>
                <c:pt idx="1">
                  <c:v>#N/A</c:v>
                </c:pt>
              </c:numCache>
            </c:numRef>
          </c:xVal>
          <c:yVal>
            <c:numRef>
              <c:f>'Data paired'!$P$175:$P$176</c:f>
              <c:numCache>
                <c:formatCode>General</c:formatCode>
                <c:ptCount val="2"/>
                <c:pt idx="0">
                  <c:v>#N/A</c:v>
                </c:pt>
                <c:pt idx="1">
                  <c:v>#N/A</c:v>
                </c:pt>
              </c:numCache>
            </c:numRef>
          </c:yVal>
        </c:ser>
        <c:ser>
          <c:idx val="157"/>
          <c:order val="54"/>
          <c:spPr>
            <a:ln w="12700">
              <a:solidFill>
                <a:srgbClr val="0000FF"/>
              </a:solidFill>
              <a:prstDash val="solid"/>
            </a:ln>
          </c:spPr>
          <c:marker>
            <c:symbol val="circle"/>
            <c:size val="6"/>
            <c:spPr>
              <a:noFill/>
              <a:ln>
                <a:solidFill>
                  <a:srgbClr val="0000FF"/>
                </a:solidFill>
                <a:prstDash val="solid"/>
              </a:ln>
            </c:spPr>
          </c:marker>
          <c:xVal>
            <c:numRef>
              <c:f>'Data paired'!$O$177:$O$178</c:f>
              <c:numCache>
                <c:formatCode>General</c:formatCode>
                <c:ptCount val="2"/>
                <c:pt idx="0">
                  <c:v>#N/A</c:v>
                </c:pt>
                <c:pt idx="1">
                  <c:v>#N/A</c:v>
                </c:pt>
              </c:numCache>
            </c:numRef>
          </c:xVal>
          <c:yVal>
            <c:numRef>
              <c:f>'Data paired'!$P$177:$P$178</c:f>
              <c:numCache>
                <c:formatCode>General</c:formatCode>
                <c:ptCount val="2"/>
                <c:pt idx="0">
                  <c:v>#N/A</c:v>
                </c:pt>
                <c:pt idx="1">
                  <c:v>#N/A</c:v>
                </c:pt>
              </c:numCache>
            </c:numRef>
          </c:yVal>
        </c:ser>
        <c:ser>
          <c:idx val="158"/>
          <c:order val="55"/>
          <c:spPr>
            <a:ln w="12700">
              <a:solidFill>
                <a:srgbClr val="0000FF"/>
              </a:solidFill>
              <a:prstDash val="solid"/>
            </a:ln>
          </c:spPr>
          <c:marker>
            <c:symbol val="circle"/>
            <c:size val="6"/>
            <c:spPr>
              <a:noFill/>
              <a:ln>
                <a:solidFill>
                  <a:srgbClr val="0000FF"/>
                </a:solidFill>
                <a:prstDash val="solid"/>
              </a:ln>
            </c:spPr>
          </c:marker>
          <c:xVal>
            <c:numRef>
              <c:f>'Data paired'!$O$179:$O$180</c:f>
              <c:numCache>
                <c:formatCode>General</c:formatCode>
                <c:ptCount val="2"/>
                <c:pt idx="0">
                  <c:v>#N/A</c:v>
                </c:pt>
                <c:pt idx="1">
                  <c:v>#N/A</c:v>
                </c:pt>
              </c:numCache>
            </c:numRef>
          </c:xVal>
          <c:yVal>
            <c:numRef>
              <c:f>'Data paired'!$P$179:$P$180</c:f>
              <c:numCache>
                <c:formatCode>General</c:formatCode>
                <c:ptCount val="2"/>
                <c:pt idx="0">
                  <c:v>#N/A</c:v>
                </c:pt>
                <c:pt idx="1">
                  <c:v>#N/A</c:v>
                </c:pt>
              </c:numCache>
            </c:numRef>
          </c:yVal>
        </c:ser>
        <c:ser>
          <c:idx val="159"/>
          <c:order val="56"/>
          <c:spPr>
            <a:ln w="12700">
              <a:solidFill>
                <a:srgbClr val="0000FF"/>
              </a:solidFill>
              <a:prstDash val="solid"/>
            </a:ln>
          </c:spPr>
          <c:marker>
            <c:symbol val="circle"/>
            <c:size val="6"/>
            <c:spPr>
              <a:noFill/>
              <a:ln>
                <a:solidFill>
                  <a:srgbClr val="0000FF"/>
                </a:solidFill>
                <a:prstDash val="solid"/>
              </a:ln>
            </c:spPr>
          </c:marker>
          <c:xVal>
            <c:numRef>
              <c:f>'Data paired'!$O$181:$O$182</c:f>
              <c:numCache>
                <c:formatCode>General</c:formatCode>
                <c:ptCount val="2"/>
                <c:pt idx="0">
                  <c:v>#N/A</c:v>
                </c:pt>
                <c:pt idx="1">
                  <c:v>#N/A</c:v>
                </c:pt>
              </c:numCache>
            </c:numRef>
          </c:xVal>
          <c:yVal>
            <c:numRef>
              <c:f>'Data paired'!$P$181:$P$182</c:f>
              <c:numCache>
                <c:formatCode>General</c:formatCode>
                <c:ptCount val="2"/>
                <c:pt idx="0">
                  <c:v>#N/A</c:v>
                </c:pt>
                <c:pt idx="1">
                  <c:v>#N/A</c:v>
                </c:pt>
              </c:numCache>
            </c:numRef>
          </c:yVal>
        </c:ser>
        <c:ser>
          <c:idx val="160"/>
          <c:order val="57"/>
          <c:spPr>
            <a:ln w="12700">
              <a:solidFill>
                <a:srgbClr val="0000FF"/>
              </a:solidFill>
              <a:prstDash val="solid"/>
            </a:ln>
          </c:spPr>
          <c:marker>
            <c:symbol val="circle"/>
            <c:size val="6"/>
            <c:spPr>
              <a:noFill/>
              <a:ln>
                <a:solidFill>
                  <a:srgbClr val="0000FF"/>
                </a:solidFill>
                <a:prstDash val="solid"/>
              </a:ln>
            </c:spPr>
          </c:marker>
          <c:xVal>
            <c:numRef>
              <c:f>'Data paired'!$O$183:$O$184</c:f>
              <c:numCache>
                <c:formatCode>General</c:formatCode>
                <c:ptCount val="2"/>
                <c:pt idx="0">
                  <c:v>#N/A</c:v>
                </c:pt>
                <c:pt idx="1">
                  <c:v>#N/A</c:v>
                </c:pt>
              </c:numCache>
            </c:numRef>
          </c:xVal>
          <c:yVal>
            <c:numRef>
              <c:f>'Data paired'!$P$183:$P$184</c:f>
              <c:numCache>
                <c:formatCode>General</c:formatCode>
                <c:ptCount val="2"/>
                <c:pt idx="0">
                  <c:v>#N/A</c:v>
                </c:pt>
                <c:pt idx="1">
                  <c:v>#N/A</c:v>
                </c:pt>
              </c:numCache>
            </c:numRef>
          </c:yVal>
        </c:ser>
        <c:ser>
          <c:idx val="161"/>
          <c:order val="58"/>
          <c:spPr>
            <a:ln w="12700">
              <a:solidFill>
                <a:srgbClr val="0000FF"/>
              </a:solidFill>
              <a:prstDash val="solid"/>
            </a:ln>
          </c:spPr>
          <c:marker>
            <c:symbol val="circle"/>
            <c:size val="6"/>
            <c:spPr>
              <a:noFill/>
              <a:ln>
                <a:solidFill>
                  <a:srgbClr val="0000FF"/>
                </a:solidFill>
                <a:prstDash val="solid"/>
              </a:ln>
            </c:spPr>
          </c:marker>
          <c:xVal>
            <c:numRef>
              <c:f>'Data paired'!$O$185:$O$186</c:f>
              <c:numCache>
                <c:formatCode>General</c:formatCode>
                <c:ptCount val="2"/>
                <c:pt idx="0">
                  <c:v>#N/A</c:v>
                </c:pt>
                <c:pt idx="1">
                  <c:v>#N/A</c:v>
                </c:pt>
              </c:numCache>
            </c:numRef>
          </c:xVal>
          <c:yVal>
            <c:numRef>
              <c:f>'Data paired'!$P$185:$P$186</c:f>
              <c:numCache>
                <c:formatCode>General</c:formatCode>
                <c:ptCount val="2"/>
                <c:pt idx="0">
                  <c:v>#N/A</c:v>
                </c:pt>
                <c:pt idx="1">
                  <c:v>#N/A</c:v>
                </c:pt>
              </c:numCache>
            </c:numRef>
          </c:yVal>
        </c:ser>
        <c:ser>
          <c:idx val="162"/>
          <c:order val="59"/>
          <c:spPr>
            <a:ln w="12700">
              <a:solidFill>
                <a:srgbClr val="0000FF"/>
              </a:solidFill>
              <a:prstDash val="solid"/>
            </a:ln>
          </c:spPr>
          <c:marker>
            <c:symbol val="circle"/>
            <c:size val="6"/>
            <c:spPr>
              <a:noFill/>
              <a:ln>
                <a:solidFill>
                  <a:srgbClr val="0000FF"/>
                </a:solidFill>
                <a:prstDash val="solid"/>
              </a:ln>
            </c:spPr>
          </c:marker>
          <c:xVal>
            <c:numRef>
              <c:f>'Data paired'!$O$187:$O$188</c:f>
              <c:numCache>
                <c:formatCode>General</c:formatCode>
                <c:ptCount val="2"/>
                <c:pt idx="0">
                  <c:v>#N/A</c:v>
                </c:pt>
                <c:pt idx="1">
                  <c:v>#N/A</c:v>
                </c:pt>
              </c:numCache>
            </c:numRef>
          </c:xVal>
          <c:yVal>
            <c:numRef>
              <c:f>'Data paired'!$P$187:$P$188</c:f>
              <c:numCache>
                <c:formatCode>General</c:formatCode>
                <c:ptCount val="2"/>
                <c:pt idx="0">
                  <c:v>#N/A</c:v>
                </c:pt>
                <c:pt idx="1">
                  <c:v>#N/A</c:v>
                </c:pt>
              </c:numCache>
            </c:numRef>
          </c:yVal>
        </c:ser>
        <c:ser>
          <c:idx val="163"/>
          <c:order val="60"/>
          <c:spPr>
            <a:ln w="12700">
              <a:solidFill>
                <a:srgbClr val="0000FF"/>
              </a:solidFill>
              <a:prstDash val="solid"/>
            </a:ln>
          </c:spPr>
          <c:marker>
            <c:symbol val="circle"/>
            <c:size val="6"/>
            <c:spPr>
              <a:noFill/>
              <a:ln>
                <a:solidFill>
                  <a:srgbClr val="0000FF"/>
                </a:solidFill>
                <a:prstDash val="solid"/>
              </a:ln>
            </c:spPr>
          </c:marker>
          <c:xVal>
            <c:numRef>
              <c:f>'Data paired'!$O$189:$O$190</c:f>
              <c:numCache>
                <c:formatCode>General</c:formatCode>
                <c:ptCount val="2"/>
                <c:pt idx="0">
                  <c:v>#N/A</c:v>
                </c:pt>
                <c:pt idx="1">
                  <c:v>#N/A</c:v>
                </c:pt>
              </c:numCache>
            </c:numRef>
          </c:xVal>
          <c:yVal>
            <c:numRef>
              <c:f>'Data paired'!$P$189:$P$190</c:f>
              <c:numCache>
                <c:formatCode>General</c:formatCode>
                <c:ptCount val="2"/>
                <c:pt idx="0">
                  <c:v>#N/A</c:v>
                </c:pt>
                <c:pt idx="1">
                  <c:v>#N/A</c:v>
                </c:pt>
              </c:numCache>
            </c:numRef>
          </c:yVal>
        </c:ser>
        <c:ser>
          <c:idx val="164"/>
          <c:order val="61"/>
          <c:spPr>
            <a:ln w="12700">
              <a:solidFill>
                <a:srgbClr val="0000FF"/>
              </a:solidFill>
              <a:prstDash val="solid"/>
            </a:ln>
          </c:spPr>
          <c:marker>
            <c:symbol val="circle"/>
            <c:size val="6"/>
            <c:spPr>
              <a:noFill/>
              <a:ln>
                <a:solidFill>
                  <a:srgbClr val="0000FF"/>
                </a:solidFill>
                <a:prstDash val="solid"/>
              </a:ln>
            </c:spPr>
          </c:marker>
          <c:xVal>
            <c:numRef>
              <c:f>'Data paired'!$O$191:$O$192</c:f>
              <c:numCache>
                <c:formatCode>General</c:formatCode>
                <c:ptCount val="2"/>
                <c:pt idx="0">
                  <c:v>#N/A</c:v>
                </c:pt>
                <c:pt idx="1">
                  <c:v>#N/A</c:v>
                </c:pt>
              </c:numCache>
            </c:numRef>
          </c:xVal>
          <c:yVal>
            <c:numRef>
              <c:f>'Data paired'!$P$191:$P$192</c:f>
              <c:numCache>
                <c:formatCode>General</c:formatCode>
                <c:ptCount val="2"/>
                <c:pt idx="0">
                  <c:v>#N/A</c:v>
                </c:pt>
                <c:pt idx="1">
                  <c:v>#N/A</c:v>
                </c:pt>
              </c:numCache>
            </c:numRef>
          </c:yVal>
        </c:ser>
        <c:ser>
          <c:idx val="165"/>
          <c:order val="62"/>
          <c:spPr>
            <a:ln w="12700">
              <a:solidFill>
                <a:srgbClr val="0000FF"/>
              </a:solidFill>
              <a:prstDash val="solid"/>
            </a:ln>
          </c:spPr>
          <c:marker>
            <c:symbol val="circle"/>
            <c:size val="6"/>
            <c:spPr>
              <a:noFill/>
              <a:ln>
                <a:solidFill>
                  <a:srgbClr val="0000FF"/>
                </a:solidFill>
                <a:prstDash val="solid"/>
              </a:ln>
            </c:spPr>
          </c:marker>
          <c:xVal>
            <c:numRef>
              <c:f>'Data paired'!$O$193:$O$194</c:f>
              <c:numCache>
                <c:formatCode>General</c:formatCode>
                <c:ptCount val="2"/>
                <c:pt idx="0">
                  <c:v>#N/A</c:v>
                </c:pt>
                <c:pt idx="1">
                  <c:v>#N/A</c:v>
                </c:pt>
              </c:numCache>
            </c:numRef>
          </c:xVal>
          <c:yVal>
            <c:numRef>
              <c:f>'Data paired'!$P$193:$P$194</c:f>
              <c:numCache>
                <c:formatCode>General</c:formatCode>
                <c:ptCount val="2"/>
                <c:pt idx="0">
                  <c:v>#N/A</c:v>
                </c:pt>
                <c:pt idx="1">
                  <c:v>#N/A</c:v>
                </c:pt>
              </c:numCache>
            </c:numRef>
          </c:yVal>
        </c:ser>
        <c:ser>
          <c:idx val="166"/>
          <c:order val="63"/>
          <c:spPr>
            <a:ln w="12700">
              <a:solidFill>
                <a:srgbClr val="0000FF"/>
              </a:solidFill>
              <a:prstDash val="solid"/>
            </a:ln>
          </c:spPr>
          <c:marker>
            <c:symbol val="circle"/>
            <c:size val="6"/>
            <c:spPr>
              <a:noFill/>
              <a:ln>
                <a:solidFill>
                  <a:srgbClr val="0000FF"/>
                </a:solidFill>
                <a:prstDash val="solid"/>
              </a:ln>
            </c:spPr>
          </c:marker>
          <c:xVal>
            <c:numRef>
              <c:f>'Data paired'!$O$195:$O$196</c:f>
              <c:numCache>
                <c:formatCode>General</c:formatCode>
                <c:ptCount val="2"/>
                <c:pt idx="0">
                  <c:v>#N/A</c:v>
                </c:pt>
                <c:pt idx="1">
                  <c:v>#N/A</c:v>
                </c:pt>
              </c:numCache>
            </c:numRef>
          </c:xVal>
          <c:yVal>
            <c:numRef>
              <c:f>'Data paired'!$P$195:$P$196</c:f>
              <c:numCache>
                <c:formatCode>General</c:formatCode>
                <c:ptCount val="2"/>
                <c:pt idx="0">
                  <c:v>#N/A</c:v>
                </c:pt>
                <c:pt idx="1">
                  <c:v>#N/A</c:v>
                </c:pt>
              </c:numCache>
            </c:numRef>
          </c:yVal>
        </c:ser>
        <c:ser>
          <c:idx val="167"/>
          <c:order val="64"/>
          <c:spPr>
            <a:ln w="12700">
              <a:solidFill>
                <a:srgbClr val="0000FF"/>
              </a:solidFill>
              <a:prstDash val="solid"/>
            </a:ln>
          </c:spPr>
          <c:marker>
            <c:symbol val="circle"/>
            <c:size val="6"/>
            <c:spPr>
              <a:noFill/>
              <a:ln>
                <a:solidFill>
                  <a:srgbClr val="0000FF"/>
                </a:solidFill>
                <a:prstDash val="solid"/>
              </a:ln>
            </c:spPr>
          </c:marker>
          <c:xVal>
            <c:numRef>
              <c:f>'Data paired'!$O$197:$O$198</c:f>
              <c:numCache>
                <c:formatCode>General</c:formatCode>
                <c:ptCount val="2"/>
                <c:pt idx="0">
                  <c:v>#N/A</c:v>
                </c:pt>
                <c:pt idx="1">
                  <c:v>#N/A</c:v>
                </c:pt>
              </c:numCache>
            </c:numRef>
          </c:xVal>
          <c:yVal>
            <c:numRef>
              <c:f>'Data paired'!$P$197:$P$198</c:f>
              <c:numCache>
                <c:formatCode>General</c:formatCode>
                <c:ptCount val="2"/>
                <c:pt idx="0">
                  <c:v>#N/A</c:v>
                </c:pt>
                <c:pt idx="1">
                  <c:v>#N/A</c:v>
                </c:pt>
              </c:numCache>
            </c:numRef>
          </c:yVal>
        </c:ser>
        <c:ser>
          <c:idx val="168"/>
          <c:order val="65"/>
          <c:spPr>
            <a:ln w="12700">
              <a:solidFill>
                <a:srgbClr val="0000FF"/>
              </a:solidFill>
              <a:prstDash val="solid"/>
            </a:ln>
          </c:spPr>
          <c:marker>
            <c:symbol val="circle"/>
            <c:size val="6"/>
            <c:spPr>
              <a:noFill/>
              <a:ln>
                <a:solidFill>
                  <a:srgbClr val="0000FF"/>
                </a:solidFill>
                <a:prstDash val="solid"/>
              </a:ln>
            </c:spPr>
          </c:marker>
          <c:xVal>
            <c:numRef>
              <c:f>'Data paired'!$O$199:$O$200</c:f>
              <c:numCache>
                <c:formatCode>General</c:formatCode>
                <c:ptCount val="2"/>
                <c:pt idx="0">
                  <c:v>#N/A</c:v>
                </c:pt>
                <c:pt idx="1">
                  <c:v>#N/A</c:v>
                </c:pt>
              </c:numCache>
            </c:numRef>
          </c:xVal>
          <c:yVal>
            <c:numRef>
              <c:f>'Data paired'!$P$199:$P$200</c:f>
              <c:numCache>
                <c:formatCode>General</c:formatCode>
                <c:ptCount val="2"/>
                <c:pt idx="0">
                  <c:v>#N/A</c:v>
                </c:pt>
                <c:pt idx="1">
                  <c:v>#N/A</c:v>
                </c:pt>
              </c:numCache>
            </c:numRef>
          </c:yVal>
        </c:ser>
        <c:ser>
          <c:idx val="169"/>
          <c:order val="66"/>
          <c:spPr>
            <a:ln w="12700">
              <a:solidFill>
                <a:srgbClr val="0000FF"/>
              </a:solidFill>
              <a:prstDash val="solid"/>
            </a:ln>
          </c:spPr>
          <c:marker>
            <c:symbol val="circle"/>
            <c:size val="6"/>
            <c:spPr>
              <a:noFill/>
              <a:ln>
                <a:solidFill>
                  <a:srgbClr val="0000FF"/>
                </a:solidFill>
                <a:prstDash val="solid"/>
              </a:ln>
            </c:spPr>
          </c:marker>
          <c:xVal>
            <c:numRef>
              <c:f>'Data paired'!$O$201:$O$202</c:f>
              <c:numCache>
                <c:formatCode>General</c:formatCode>
                <c:ptCount val="2"/>
                <c:pt idx="0">
                  <c:v>#N/A</c:v>
                </c:pt>
                <c:pt idx="1">
                  <c:v>#N/A</c:v>
                </c:pt>
              </c:numCache>
            </c:numRef>
          </c:xVal>
          <c:yVal>
            <c:numRef>
              <c:f>'Data paired'!$P$201:$P$202</c:f>
              <c:numCache>
                <c:formatCode>General</c:formatCode>
                <c:ptCount val="2"/>
                <c:pt idx="0">
                  <c:v>#N/A</c:v>
                </c:pt>
                <c:pt idx="1">
                  <c:v>#N/A</c:v>
                </c:pt>
              </c:numCache>
            </c:numRef>
          </c:yVal>
        </c:ser>
        <c:ser>
          <c:idx val="170"/>
          <c:order val="67"/>
          <c:spPr>
            <a:ln w="12700">
              <a:solidFill>
                <a:srgbClr val="0000FF"/>
              </a:solidFill>
              <a:prstDash val="solid"/>
            </a:ln>
          </c:spPr>
          <c:marker>
            <c:symbol val="circle"/>
            <c:size val="6"/>
            <c:spPr>
              <a:noFill/>
              <a:ln>
                <a:solidFill>
                  <a:srgbClr val="0000FF"/>
                </a:solidFill>
                <a:prstDash val="solid"/>
              </a:ln>
            </c:spPr>
          </c:marker>
          <c:xVal>
            <c:numRef>
              <c:f>'Data paired'!$O$203:$O$204</c:f>
              <c:numCache>
                <c:formatCode>General</c:formatCode>
                <c:ptCount val="2"/>
                <c:pt idx="0">
                  <c:v>#N/A</c:v>
                </c:pt>
                <c:pt idx="1">
                  <c:v>#N/A</c:v>
                </c:pt>
              </c:numCache>
            </c:numRef>
          </c:xVal>
          <c:yVal>
            <c:numRef>
              <c:f>'Data paired'!$P$203:$P$204</c:f>
              <c:numCache>
                <c:formatCode>General</c:formatCode>
                <c:ptCount val="2"/>
                <c:pt idx="0">
                  <c:v>#N/A</c:v>
                </c:pt>
                <c:pt idx="1">
                  <c:v>#N/A</c:v>
                </c:pt>
              </c:numCache>
            </c:numRef>
          </c:yVal>
        </c:ser>
        <c:ser>
          <c:idx val="171"/>
          <c:order val="68"/>
          <c:spPr>
            <a:ln w="12700">
              <a:solidFill>
                <a:srgbClr val="0000FF"/>
              </a:solidFill>
              <a:prstDash val="solid"/>
            </a:ln>
          </c:spPr>
          <c:marker>
            <c:symbol val="circle"/>
            <c:size val="6"/>
            <c:spPr>
              <a:noFill/>
              <a:ln>
                <a:solidFill>
                  <a:srgbClr val="0000FF"/>
                </a:solidFill>
                <a:prstDash val="solid"/>
              </a:ln>
            </c:spPr>
          </c:marker>
          <c:xVal>
            <c:numRef>
              <c:f>'Data paired'!$O$205:$O$206</c:f>
              <c:numCache>
                <c:formatCode>General</c:formatCode>
                <c:ptCount val="2"/>
                <c:pt idx="0">
                  <c:v>#N/A</c:v>
                </c:pt>
                <c:pt idx="1">
                  <c:v>#N/A</c:v>
                </c:pt>
              </c:numCache>
            </c:numRef>
          </c:xVal>
          <c:yVal>
            <c:numRef>
              <c:f>'Data paired'!$P$205:$P$206</c:f>
              <c:numCache>
                <c:formatCode>General</c:formatCode>
                <c:ptCount val="2"/>
                <c:pt idx="0">
                  <c:v>#N/A</c:v>
                </c:pt>
                <c:pt idx="1">
                  <c:v>#N/A</c:v>
                </c:pt>
              </c:numCache>
            </c:numRef>
          </c:yVal>
        </c:ser>
        <c:ser>
          <c:idx val="172"/>
          <c:order val="69"/>
          <c:spPr>
            <a:ln w="12700">
              <a:solidFill>
                <a:srgbClr val="0000FF"/>
              </a:solidFill>
              <a:prstDash val="solid"/>
            </a:ln>
          </c:spPr>
          <c:marker>
            <c:symbol val="circle"/>
            <c:size val="6"/>
            <c:spPr>
              <a:noFill/>
              <a:ln>
                <a:solidFill>
                  <a:srgbClr val="0000FF"/>
                </a:solidFill>
                <a:prstDash val="solid"/>
              </a:ln>
            </c:spPr>
          </c:marker>
          <c:xVal>
            <c:numRef>
              <c:f>'Data paired'!$O$207:$O$208</c:f>
              <c:numCache>
                <c:formatCode>General</c:formatCode>
                <c:ptCount val="2"/>
                <c:pt idx="0">
                  <c:v>#N/A</c:v>
                </c:pt>
                <c:pt idx="1">
                  <c:v>#N/A</c:v>
                </c:pt>
              </c:numCache>
            </c:numRef>
          </c:xVal>
          <c:yVal>
            <c:numRef>
              <c:f>'Data paired'!$P$207:$P$208</c:f>
              <c:numCache>
                <c:formatCode>General</c:formatCode>
                <c:ptCount val="2"/>
                <c:pt idx="0">
                  <c:v>#N/A</c:v>
                </c:pt>
                <c:pt idx="1">
                  <c:v>#N/A</c:v>
                </c:pt>
              </c:numCache>
            </c:numRef>
          </c:yVal>
        </c:ser>
        <c:ser>
          <c:idx val="173"/>
          <c:order val="70"/>
          <c:spPr>
            <a:ln w="12700">
              <a:solidFill>
                <a:srgbClr val="0000FF"/>
              </a:solidFill>
              <a:prstDash val="solid"/>
            </a:ln>
          </c:spPr>
          <c:marker>
            <c:symbol val="circle"/>
            <c:size val="5"/>
            <c:spPr>
              <a:noFill/>
              <a:ln>
                <a:solidFill>
                  <a:srgbClr val="0000FF"/>
                </a:solidFill>
                <a:prstDash val="solid"/>
              </a:ln>
            </c:spPr>
          </c:marker>
          <c:xVal>
            <c:numRef>
              <c:f>'Data paired'!$O$209:$O$210</c:f>
              <c:numCache>
                <c:formatCode>General</c:formatCode>
                <c:ptCount val="2"/>
                <c:pt idx="0">
                  <c:v>#N/A</c:v>
                </c:pt>
                <c:pt idx="1">
                  <c:v>#N/A</c:v>
                </c:pt>
              </c:numCache>
            </c:numRef>
          </c:xVal>
          <c:yVal>
            <c:numRef>
              <c:f>'Data paired'!$P$209:$P$210</c:f>
              <c:numCache>
                <c:formatCode>General</c:formatCode>
                <c:ptCount val="2"/>
                <c:pt idx="0">
                  <c:v>#N/A</c:v>
                </c:pt>
                <c:pt idx="1">
                  <c:v>#N/A</c:v>
                </c:pt>
              </c:numCache>
            </c:numRef>
          </c:yVal>
        </c:ser>
        <c:ser>
          <c:idx val="174"/>
          <c:order val="71"/>
          <c:spPr>
            <a:ln w="12700">
              <a:solidFill>
                <a:srgbClr val="0000FF"/>
              </a:solidFill>
              <a:prstDash val="solid"/>
            </a:ln>
          </c:spPr>
          <c:marker>
            <c:symbol val="circle"/>
            <c:size val="6"/>
            <c:spPr>
              <a:noFill/>
              <a:ln>
                <a:solidFill>
                  <a:srgbClr val="0000FF"/>
                </a:solidFill>
                <a:prstDash val="solid"/>
              </a:ln>
            </c:spPr>
          </c:marker>
          <c:xVal>
            <c:numRef>
              <c:f>'Data paired'!$O$211:$O$212</c:f>
              <c:numCache>
                <c:formatCode>General</c:formatCode>
                <c:ptCount val="2"/>
                <c:pt idx="0">
                  <c:v>#N/A</c:v>
                </c:pt>
                <c:pt idx="1">
                  <c:v>#N/A</c:v>
                </c:pt>
              </c:numCache>
            </c:numRef>
          </c:xVal>
          <c:yVal>
            <c:numRef>
              <c:f>'Data paired'!$P$211:$P$212</c:f>
              <c:numCache>
                <c:formatCode>General</c:formatCode>
                <c:ptCount val="2"/>
                <c:pt idx="0">
                  <c:v>#N/A</c:v>
                </c:pt>
                <c:pt idx="1">
                  <c:v>#N/A</c:v>
                </c:pt>
              </c:numCache>
            </c:numRef>
          </c:yVal>
        </c:ser>
        <c:ser>
          <c:idx val="175"/>
          <c:order val="72"/>
          <c:spPr>
            <a:ln w="12700">
              <a:solidFill>
                <a:srgbClr val="0000FF"/>
              </a:solidFill>
              <a:prstDash val="solid"/>
            </a:ln>
          </c:spPr>
          <c:marker>
            <c:symbol val="circle"/>
            <c:size val="6"/>
            <c:spPr>
              <a:noFill/>
              <a:ln>
                <a:solidFill>
                  <a:srgbClr val="0000FF"/>
                </a:solidFill>
                <a:prstDash val="solid"/>
              </a:ln>
            </c:spPr>
          </c:marker>
          <c:xVal>
            <c:numRef>
              <c:f>'Data paired'!$O$213:$O$214</c:f>
              <c:numCache>
                <c:formatCode>General</c:formatCode>
                <c:ptCount val="2"/>
                <c:pt idx="0">
                  <c:v>#N/A</c:v>
                </c:pt>
                <c:pt idx="1">
                  <c:v>#N/A</c:v>
                </c:pt>
              </c:numCache>
            </c:numRef>
          </c:xVal>
          <c:yVal>
            <c:numRef>
              <c:f>'Data paired'!$P$213:$P$214</c:f>
              <c:numCache>
                <c:formatCode>General</c:formatCode>
                <c:ptCount val="2"/>
                <c:pt idx="0">
                  <c:v>#N/A</c:v>
                </c:pt>
                <c:pt idx="1">
                  <c:v>#N/A</c:v>
                </c:pt>
              </c:numCache>
            </c:numRef>
          </c:yVal>
        </c:ser>
        <c:ser>
          <c:idx val="176"/>
          <c:order val="73"/>
          <c:spPr>
            <a:ln w="12700">
              <a:solidFill>
                <a:srgbClr val="0000FF"/>
              </a:solidFill>
              <a:prstDash val="solid"/>
            </a:ln>
          </c:spPr>
          <c:marker>
            <c:symbol val="circle"/>
            <c:size val="6"/>
            <c:spPr>
              <a:noFill/>
              <a:ln>
                <a:solidFill>
                  <a:srgbClr val="0000FF"/>
                </a:solidFill>
                <a:prstDash val="solid"/>
              </a:ln>
            </c:spPr>
          </c:marker>
          <c:xVal>
            <c:numRef>
              <c:f>'Data paired'!$O$215:$O$216</c:f>
              <c:numCache>
                <c:formatCode>General</c:formatCode>
                <c:ptCount val="2"/>
                <c:pt idx="0">
                  <c:v>#N/A</c:v>
                </c:pt>
                <c:pt idx="1">
                  <c:v>#N/A</c:v>
                </c:pt>
              </c:numCache>
            </c:numRef>
          </c:xVal>
          <c:yVal>
            <c:numRef>
              <c:f>'Data paired'!$P$215:$P$216</c:f>
              <c:numCache>
                <c:formatCode>General</c:formatCode>
                <c:ptCount val="2"/>
                <c:pt idx="0">
                  <c:v>#N/A</c:v>
                </c:pt>
                <c:pt idx="1">
                  <c:v>#N/A</c:v>
                </c:pt>
              </c:numCache>
            </c:numRef>
          </c:yVal>
        </c:ser>
        <c:ser>
          <c:idx val="177"/>
          <c:order val="74"/>
          <c:spPr>
            <a:ln w="12700">
              <a:solidFill>
                <a:srgbClr val="0000FF"/>
              </a:solidFill>
              <a:prstDash val="solid"/>
            </a:ln>
          </c:spPr>
          <c:marker>
            <c:symbol val="circle"/>
            <c:size val="6"/>
            <c:spPr>
              <a:noFill/>
              <a:ln>
                <a:solidFill>
                  <a:srgbClr val="0000FF"/>
                </a:solidFill>
                <a:prstDash val="solid"/>
              </a:ln>
            </c:spPr>
          </c:marker>
          <c:xVal>
            <c:numRef>
              <c:f>'Data paired'!$O$217:$O$218</c:f>
              <c:numCache>
                <c:formatCode>General</c:formatCode>
                <c:ptCount val="2"/>
                <c:pt idx="0">
                  <c:v>#N/A</c:v>
                </c:pt>
                <c:pt idx="1">
                  <c:v>#N/A</c:v>
                </c:pt>
              </c:numCache>
            </c:numRef>
          </c:xVal>
          <c:yVal>
            <c:numRef>
              <c:f>'Data paired'!$P$217:$P$218</c:f>
              <c:numCache>
                <c:formatCode>General</c:formatCode>
                <c:ptCount val="2"/>
                <c:pt idx="0">
                  <c:v>#N/A</c:v>
                </c:pt>
                <c:pt idx="1">
                  <c:v>#N/A</c:v>
                </c:pt>
              </c:numCache>
            </c:numRef>
          </c:yVal>
        </c:ser>
        <c:ser>
          <c:idx val="178"/>
          <c:order val="75"/>
          <c:spPr>
            <a:ln w="12700">
              <a:solidFill>
                <a:srgbClr val="0000FF"/>
              </a:solidFill>
              <a:prstDash val="solid"/>
            </a:ln>
          </c:spPr>
          <c:marker>
            <c:symbol val="circle"/>
            <c:size val="6"/>
            <c:spPr>
              <a:noFill/>
              <a:ln>
                <a:solidFill>
                  <a:srgbClr val="0000FF"/>
                </a:solidFill>
                <a:prstDash val="solid"/>
              </a:ln>
            </c:spPr>
          </c:marker>
          <c:xVal>
            <c:numRef>
              <c:f>'Data paired'!$O$219:$O$220</c:f>
              <c:numCache>
                <c:formatCode>General</c:formatCode>
                <c:ptCount val="2"/>
                <c:pt idx="0">
                  <c:v>#N/A</c:v>
                </c:pt>
                <c:pt idx="1">
                  <c:v>#N/A</c:v>
                </c:pt>
              </c:numCache>
            </c:numRef>
          </c:xVal>
          <c:yVal>
            <c:numRef>
              <c:f>'Data paired'!$P$219:$P$220</c:f>
              <c:numCache>
                <c:formatCode>General</c:formatCode>
                <c:ptCount val="2"/>
                <c:pt idx="0">
                  <c:v>#N/A</c:v>
                </c:pt>
                <c:pt idx="1">
                  <c:v>#N/A</c:v>
                </c:pt>
              </c:numCache>
            </c:numRef>
          </c:yVal>
        </c:ser>
        <c:ser>
          <c:idx val="179"/>
          <c:order val="76"/>
          <c:spPr>
            <a:ln w="12700">
              <a:solidFill>
                <a:srgbClr val="0000FF"/>
              </a:solidFill>
              <a:prstDash val="solid"/>
            </a:ln>
          </c:spPr>
          <c:marker>
            <c:symbol val="circle"/>
            <c:size val="6"/>
            <c:spPr>
              <a:noFill/>
              <a:ln>
                <a:solidFill>
                  <a:srgbClr val="0000FF"/>
                </a:solidFill>
                <a:prstDash val="solid"/>
              </a:ln>
            </c:spPr>
          </c:marker>
          <c:xVal>
            <c:numRef>
              <c:f>'Data paired'!$O$221:$O$222</c:f>
              <c:numCache>
                <c:formatCode>General</c:formatCode>
                <c:ptCount val="2"/>
                <c:pt idx="0">
                  <c:v>#N/A</c:v>
                </c:pt>
                <c:pt idx="1">
                  <c:v>#N/A</c:v>
                </c:pt>
              </c:numCache>
            </c:numRef>
          </c:xVal>
          <c:yVal>
            <c:numRef>
              <c:f>'Data paired'!$P$221:$P$222</c:f>
              <c:numCache>
                <c:formatCode>General</c:formatCode>
                <c:ptCount val="2"/>
                <c:pt idx="0">
                  <c:v>#N/A</c:v>
                </c:pt>
                <c:pt idx="1">
                  <c:v>#N/A</c:v>
                </c:pt>
              </c:numCache>
            </c:numRef>
          </c:yVal>
        </c:ser>
        <c:ser>
          <c:idx val="180"/>
          <c:order val="77"/>
          <c:spPr>
            <a:ln w="12700">
              <a:solidFill>
                <a:srgbClr val="0000FF"/>
              </a:solidFill>
              <a:prstDash val="solid"/>
            </a:ln>
          </c:spPr>
          <c:marker>
            <c:symbol val="circle"/>
            <c:size val="6"/>
            <c:spPr>
              <a:noFill/>
              <a:ln>
                <a:solidFill>
                  <a:srgbClr val="0000FF"/>
                </a:solidFill>
                <a:prstDash val="solid"/>
              </a:ln>
            </c:spPr>
          </c:marker>
          <c:xVal>
            <c:numRef>
              <c:f>'Data paired'!$O$223:$O$224</c:f>
              <c:numCache>
                <c:formatCode>General</c:formatCode>
                <c:ptCount val="2"/>
                <c:pt idx="0">
                  <c:v>#N/A</c:v>
                </c:pt>
                <c:pt idx="1">
                  <c:v>#N/A</c:v>
                </c:pt>
              </c:numCache>
            </c:numRef>
          </c:xVal>
          <c:yVal>
            <c:numRef>
              <c:f>'Data paired'!$P$223:$P$224</c:f>
              <c:numCache>
                <c:formatCode>General</c:formatCode>
                <c:ptCount val="2"/>
                <c:pt idx="0">
                  <c:v>#N/A</c:v>
                </c:pt>
                <c:pt idx="1">
                  <c:v>#N/A</c:v>
                </c:pt>
              </c:numCache>
            </c:numRef>
          </c:yVal>
        </c:ser>
        <c:ser>
          <c:idx val="181"/>
          <c:order val="78"/>
          <c:spPr>
            <a:ln w="12700">
              <a:solidFill>
                <a:srgbClr val="0000FF"/>
              </a:solidFill>
              <a:prstDash val="solid"/>
            </a:ln>
          </c:spPr>
          <c:marker>
            <c:symbol val="circle"/>
            <c:size val="6"/>
            <c:spPr>
              <a:noFill/>
              <a:ln>
                <a:solidFill>
                  <a:srgbClr val="0000FF"/>
                </a:solidFill>
                <a:prstDash val="solid"/>
              </a:ln>
            </c:spPr>
          </c:marker>
          <c:xVal>
            <c:numRef>
              <c:f>'Data paired'!$O$225:$O$226</c:f>
              <c:numCache>
                <c:formatCode>General</c:formatCode>
                <c:ptCount val="2"/>
                <c:pt idx="0">
                  <c:v>#N/A</c:v>
                </c:pt>
                <c:pt idx="1">
                  <c:v>#N/A</c:v>
                </c:pt>
              </c:numCache>
            </c:numRef>
          </c:xVal>
          <c:yVal>
            <c:numRef>
              <c:f>'Data paired'!$P$225:$P$226</c:f>
              <c:numCache>
                <c:formatCode>General</c:formatCode>
                <c:ptCount val="2"/>
                <c:pt idx="0">
                  <c:v>#N/A</c:v>
                </c:pt>
                <c:pt idx="1">
                  <c:v>#N/A</c:v>
                </c:pt>
              </c:numCache>
            </c:numRef>
          </c:yVal>
        </c:ser>
        <c:ser>
          <c:idx val="182"/>
          <c:order val="79"/>
          <c:spPr>
            <a:ln w="12700">
              <a:solidFill>
                <a:srgbClr val="0000FF"/>
              </a:solidFill>
              <a:prstDash val="solid"/>
            </a:ln>
          </c:spPr>
          <c:marker>
            <c:symbol val="circle"/>
            <c:size val="6"/>
            <c:spPr>
              <a:noFill/>
              <a:ln>
                <a:solidFill>
                  <a:srgbClr val="0000FF"/>
                </a:solidFill>
                <a:prstDash val="solid"/>
              </a:ln>
            </c:spPr>
          </c:marker>
          <c:xVal>
            <c:numRef>
              <c:f>'Data paired'!$O$227:$O$228</c:f>
              <c:numCache>
                <c:formatCode>General</c:formatCode>
                <c:ptCount val="2"/>
                <c:pt idx="0">
                  <c:v>#N/A</c:v>
                </c:pt>
                <c:pt idx="1">
                  <c:v>#N/A</c:v>
                </c:pt>
              </c:numCache>
            </c:numRef>
          </c:xVal>
          <c:yVal>
            <c:numRef>
              <c:f>'Data paired'!$P$227:$P$228</c:f>
              <c:numCache>
                <c:formatCode>General</c:formatCode>
                <c:ptCount val="2"/>
                <c:pt idx="0">
                  <c:v>#N/A</c:v>
                </c:pt>
                <c:pt idx="1">
                  <c:v>#N/A</c:v>
                </c:pt>
              </c:numCache>
            </c:numRef>
          </c:yVal>
        </c:ser>
        <c:ser>
          <c:idx val="183"/>
          <c:order val="80"/>
          <c:spPr>
            <a:ln w="12700">
              <a:solidFill>
                <a:srgbClr val="0000FF"/>
              </a:solidFill>
              <a:prstDash val="solid"/>
            </a:ln>
          </c:spPr>
          <c:marker>
            <c:symbol val="circle"/>
            <c:size val="6"/>
            <c:spPr>
              <a:noFill/>
              <a:ln>
                <a:solidFill>
                  <a:srgbClr val="0000FF"/>
                </a:solidFill>
                <a:prstDash val="solid"/>
              </a:ln>
            </c:spPr>
          </c:marker>
          <c:xVal>
            <c:numRef>
              <c:f>'Data paired'!$O$229:$O$230</c:f>
              <c:numCache>
                <c:formatCode>General</c:formatCode>
                <c:ptCount val="2"/>
                <c:pt idx="0">
                  <c:v>#N/A</c:v>
                </c:pt>
                <c:pt idx="1">
                  <c:v>#N/A</c:v>
                </c:pt>
              </c:numCache>
            </c:numRef>
          </c:xVal>
          <c:yVal>
            <c:numRef>
              <c:f>'Data paired'!$P$229:$P$230</c:f>
              <c:numCache>
                <c:formatCode>General</c:formatCode>
                <c:ptCount val="2"/>
                <c:pt idx="0">
                  <c:v>#N/A</c:v>
                </c:pt>
                <c:pt idx="1">
                  <c:v>#N/A</c:v>
                </c:pt>
              </c:numCache>
            </c:numRef>
          </c:yVal>
        </c:ser>
        <c:ser>
          <c:idx val="184"/>
          <c:order val="81"/>
          <c:spPr>
            <a:ln w="12700">
              <a:solidFill>
                <a:srgbClr val="0000FF"/>
              </a:solidFill>
              <a:prstDash val="solid"/>
            </a:ln>
          </c:spPr>
          <c:marker>
            <c:symbol val="circle"/>
            <c:size val="6"/>
            <c:spPr>
              <a:noFill/>
              <a:ln>
                <a:solidFill>
                  <a:srgbClr val="0000FF"/>
                </a:solidFill>
                <a:prstDash val="solid"/>
              </a:ln>
            </c:spPr>
          </c:marker>
          <c:xVal>
            <c:numRef>
              <c:f>'Data paired'!$O$231:$O$232</c:f>
              <c:numCache>
                <c:formatCode>General</c:formatCode>
                <c:ptCount val="2"/>
                <c:pt idx="0">
                  <c:v>#N/A</c:v>
                </c:pt>
                <c:pt idx="1">
                  <c:v>#N/A</c:v>
                </c:pt>
              </c:numCache>
            </c:numRef>
          </c:xVal>
          <c:yVal>
            <c:numRef>
              <c:f>'Data paired'!$P$231:$P$232</c:f>
              <c:numCache>
                <c:formatCode>General</c:formatCode>
                <c:ptCount val="2"/>
                <c:pt idx="0">
                  <c:v>#N/A</c:v>
                </c:pt>
                <c:pt idx="1">
                  <c:v>#N/A</c:v>
                </c:pt>
              </c:numCache>
            </c:numRef>
          </c:yVal>
        </c:ser>
        <c:ser>
          <c:idx val="185"/>
          <c:order val="82"/>
          <c:spPr>
            <a:ln w="12700">
              <a:solidFill>
                <a:srgbClr val="0000FF"/>
              </a:solidFill>
              <a:prstDash val="solid"/>
            </a:ln>
          </c:spPr>
          <c:marker>
            <c:symbol val="circle"/>
            <c:size val="6"/>
            <c:spPr>
              <a:noFill/>
              <a:ln>
                <a:solidFill>
                  <a:srgbClr val="0000FF"/>
                </a:solidFill>
                <a:prstDash val="solid"/>
              </a:ln>
            </c:spPr>
          </c:marker>
          <c:xVal>
            <c:numRef>
              <c:f>'Data paired'!$O$233:$O$234</c:f>
              <c:numCache>
                <c:formatCode>General</c:formatCode>
                <c:ptCount val="2"/>
                <c:pt idx="0">
                  <c:v>#N/A</c:v>
                </c:pt>
                <c:pt idx="1">
                  <c:v>#N/A</c:v>
                </c:pt>
              </c:numCache>
            </c:numRef>
          </c:xVal>
          <c:yVal>
            <c:numRef>
              <c:f>'Data paired'!$P$233:$P$234</c:f>
              <c:numCache>
                <c:formatCode>General</c:formatCode>
                <c:ptCount val="2"/>
                <c:pt idx="0">
                  <c:v>#N/A</c:v>
                </c:pt>
                <c:pt idx="1">
                  <c:v>#N/A</c:v>
                </c:pt>
              </c:numCache>
            </c:numRef>
          </c:yVal>
        </c:ser>
        <c:ser>
          <c:idx val="186"/>
          <c:order val="83"/>
          <c:spPr>
            <a:ln w="12700">
              <a:solidFill>
                <a:srgbClr val="0000FF"/>
              </a:solidFill>
              <a:prstDash val="solid"/>
            </a:ln>
          </c:spPr>
          <c:marker>
            <c:symbol val="circle"/>
            <c:size val="6"/>
            <c:spPr>
              <a:noFill/>
              <a:ln>
                <a:solidFill>
                  <a:srgbClr val="0000FF"/>
                </a:solidFill>
                <a:prstDash val="solid"/>
              </a:ln>
            </c:spPr>
          </c:marker>
          <c:xVal>
            <c:numRef>
              <c:f>'Data paired'!$O$235:$O$236</c:f>
              <c:numCache>
                <c:formatCode>General</c:formatCode>
                <c:ptCount val="2"/>
                <c:pt idx="0">
                  <c:v>#N/A</c:v>
                </c:pt>
                <c:pt idx="1">
                  <c:v>#N/A</c:v>
                </c:pt>
              </c:numCache>
            </c:numRef>
          </c:xVal>
          <c:yVal>
            <c:numRef>
              <c:f>'Data paired'!$P$235:$P$236</c:f>
              <c:numCache>
                <c:formatCode>General</c:formatCode>
                <c:ptCount val="2"/>
                <c:pt idx="0">
                  <c:v>#N/A</c:v>
                </c:pt>
                <c:pt idx="1">
                  <c:v>#N/A</c:v>
                </c:pt>
              </c:numCache>
            </c:numRef>
          </c:yVal>
        </c:ser>
        <c:ser>
          <c:idx val="187"/>
          <c:order val="84"/>
          <c:spPr>
            <a:ln w="12700">
              <a:solidFill>
                <a:srgbClr val="0000FF"/>
              </a:solidFill>
              <a:prstDash val="solid"/>
            </a:ln>
          </c:spPr>
          <c:marker>
            <c:symbol val="circle"/>
            <c:size val="6"/>
            <c:spPr>
              <a:noFill/>
              <a:ln>
                <a:solidFill>
                  <a:srgbClr val="0000FF"/>
                </a:solidFill>
                <a:prstDash val="solid"/>
              </a:ln>
            </c:spPr>
          </c:marker>
          <c:xVal>
            <c:numRef>
              <c:f>'Data paired'!$O$237:$O$238</c:f>
              <c:numCache>
                <c:formatCode>General</c:formatCode>
                <c:ptCount val="2"/>
                <c:pt idx="0">
                  <c:v>#N/A</c:v>
                </c:pt>
                <c:pt idx="1">
                  <c:v>#N/A</c:v>
                </c:pt>
              </c:numCache>
            </c:numRef>
          </c:xVal>
          <c:yVal>
            <c:numRef>
              <c:f>'Data paired'!$P$237:$P$238</c:f>
              <c:numCache>
                <c:formatCode>General</c:formatCode>
                <c:ptCount val="2"/>
                <c:pt idx="0">
                  <c:v>#N/A</c:v>
                </c:pt>
                <c:pt idx="1">
                  <c:v>#N/A</c:v>
                </c:pt>
              </c:numCache>
            </c:numRef>
          </c:yVal>
        </c:ser>
        <c:ser>
          <c:idx val="188"/>
          <c:order val="85"/>
          <c:spPr>
            <a:ln w="12700">
              <a:solidFill>
                <a:srgbClr val="0000FF"/>
              </a:solidFill>
              <a:prstDash val="solid"/>
            </a:ln>
          </c:spPr>
          <c:marker>
            <c:symbol val="circle"/>
            <c:size val="6"/>
            <c:spPr>
              <a:noFill/>
              <a:ln>
                <a:solidFill>
                  <a:srgbClr val="0000FF"/>
                </a:solidFill>
                <a:prstDash val="solid"/>
              </a:ln>
            </c:spPr>
          </c:marker>
          <c:xVal>
            <c:numRef>
              <c:f>'Data paired'!$O$239:$O$240</c:f>
              <c:numCache>
                <c:formatCode>General</c:formatCode>
                <c:ptCount val="2"/>
                <c:pt idx="0">
                  <c:v>#N/A</c:v>
                </c:pt>
                <c:pt idx="1">
                  <c:v>#N/A</c:v>
                </c:pt>
              </c:numCache>
            </c:numRef>
          </c:xVal>
          <c:yVal>
            <c:numRef>
              <c:f>'Data paired'!$P$239:$P$240</c:f>
              <c:numCache>
                <c:formatCode>General</c:formatCode>
                <c:ptCount val="2"/>
                <c:pt idx="0">
                  <c:v>#N/A</c:v>
                </c:pt>
                <c:pt idx="1">
                  <c:v>#N/A</c:v>
                </c:pt>
              </c:numCache>
            </c:numRef>
          </c:yVal>
        </c:ser>
        <c:ser>
          <c:idx val="189"/>
          <c:order val="86"/>
          <c:spPr>
            <a:ln w="12700">
              <a:solidFill>
                <a:srgbClr val="0000FF"/>
              </a:solidFill>
              <a:prstDash val="solid"/>
            </a:ln>
          </c:spPr>
          <c:marker>
            <c:symbol val="circle"/>
            <c:size val="6"/>
            <c:spPr>
              <a:noFill/>
              <a:ln>
                <a:solidFill>
                  <a:srgbClr val="0000FF"/>
                </a:solidFill>
                <a:prstDash val="solid"/>
              </a:ln>
            </c:spPr>
          </c:marker>
          <c:xVal>
            <c:numRef>
              <c:f>'Data paired'!$O$241:$O$242</c:f>
              <c:numCache>
                <c:formatCode>General</c:formatCode>
                <c:ptCount val="2"/>
                <c:pt idx="0">
                  <c:v>#N/A</c:v>
                </c:pt>
                <c:pt idx="1">
                  <c:v>#N/A</c:v>
                </c:pt>
              </c:numCache>
            </c:numRef>
          </c:xVal>
          <c:yVal>
            <c:numRef>
              <c:f>'Data paired'!$P$241:$P$242</c:f>
              <c:numCache>
                <c:formatCode>General</c:formatCode>
                <c:ptCount val="2"/>
                <c:pt idx="0">
                  <c:v>#N/A</c:v>
                </c:pt>
                <c:pt idx="1">
                  <c:v>#N/A</c:v>
                </c:pt>
              </c:numCache>
            </c:numRef>
          </c:yVal>
        </c:ser>
        <c:ser>
          <c:idx val="190"/>
          <c:order val="87"/>
          <c:spPr>
            <a:ln w="12700">
              <a:solidFill>
                <a:srgbClr val="0000FF"/>
              </a:solidFill>
              <a:prstDash val="solid"/>
            </a:ln>
          </c:spPr>
          <c:marker>
            <c:symbol val="circle"/>
            <c:size val="6"/>
            <c:spPr>
              <a:noFill/>
              <a:ln>
                <a:solidFill>
                  <a:srgbClr val="0000FF"/>
                </a:solidFill>
                <a:prstDash val="solid"/>
              </a:ln>
            </c:spPr>
          </c:marker>
          <c:xVal>
            <c:numRef>
              <c:f>'Data paired'!$O$243:$O$244</c:f>
              <c:numCache>
                <c:formatCode>General</c:formatCode>
                <c:ptCount val="2"/>
                <c:pt idx="0">
                  <c:v>#N/A</c:v>
                </c:pt>
                <c:pt idx="1">
                  <c:v>#N/A</c:v>
                </c:pt>
              </c:numCache>
            </c:numRef>
          </c:xVal>
          <c:yVal>
            <c:numRef>
              <c:f>'Data paired'!$P$243:$P$244</c:f>
              <c:numCache>
                <c:formatCode>General</c:formatCode>
                <c:ptCount val="2"/>
                <c:pt idx="0">
                  <c:v>#N/A</c:v>
                </c:pt>
                <c:pt idx="1">
                  <c:v>#N/A</c:v>
                </c:pt>
              </c:numCache>
            </c:numRef>
          </c:yVal>
        </c:ser>
        <c:ser>
          <c:idx val="191"/>
          <c:order val="88"/>
          <c:spPr>
            <a:ln w="12700">
              <a:solidFill>
                <a:srgbClr val="0000FF"/>
              </a:solidFill>
              <a:prstDash val="solid"/>
            </a:ln>
          </c:spPr>
          <c:marker>
            <c:symbol val="circle"/>
            <c:size val="6"/>
            <c:spPr>
              <a:noFill/>
              <a:ln>
                <a:solidFill>
                  <a:srgbClr val="0000FF"/>
                </a:solidFill>
                <a:prstDash val="solid"/>
              </a:ln>
            </c:spPr>
          </c:marker>
          <c:xVal>
            <c:numRef>
              <c:f>'Data paired'!$O$245:$O$246</c:f>
              <c:numCache>
                <c:formatCode>General</c:formatCode>
                <c:ptCount val="2"/>
                <c:pt idx="0">
                  <c:v>#N/A</c:v>
                </c:pt>
                <c:pt idx="1">
                  <c:v>#N/A</c:v>
                </c:pt>
              </c:numCache>
            </c:numRef>
          </c:xVal>
          <c:yVal>
            <c:numRef>
              <c:f>'Data paired'!$P$245:$P$246</c:f>
              <c:numCache>
                <c:formatCode>General</c:formatCode>
                <c:ptCount val="2"/>
                <c:pt idx="0">
                  <c:v>#N/A</c:v>
                </c:pt>
                <c:pt idx="1">
                  <c:v>#N/A</c:v>
                </c:pt>
              </c:numCache>
            </c:numRef>
          </c:yVal>
        </c:ser>
        <c:ser>
          <c:idx val="192"/>
          <c:order val="89"/>
          <c:spPr>
            <a:ln w="12700">
              <a:solidFill>
                <a:srgbClr val="0000FF"/>
              </a:solidFill>
              <a:prstDash val="solid"/>
            </a:ln>
          </c:spPr>
          <c:marker>
            <c:symbol val="circle"/>
            <c:size val="6"/>
            <c:spPr>
              <a:noFill/>
              <a:ln>
                <a:solidFill>
                  <a:srgbClr val="0000FF"/>
                </a:solidFill>
                <a:prstDash val="solid"/>
              </a:ln>
            </c:spPr>
          </c:marker>
          <c:xVal>
            <c:numRef>
              <c:f>'Data paired'!$O$247:$O$248</c:f>
              <c:numCache>
                <c:formatCode>General</c:formatCode>
                <c:ptCount val="2"/>
                <c:pt idx="0">
                  <c:v>#N/A</c:v>
                </c:pt>
                <c:pt idx="1">
                  <c:v>#N/A</c:v>
                </c:pt>
              </c:numCache>
            </c:numRef>
          </c:xVal>
          <c:yVal>
            <c:numRef>
              <c:f>'Data paired'!$P$247:$P$248</c:f>
              <c:numCache>
                <c:formatCode>General</c:formatCode>
                <c:ptCount val="2"/>
                <c:pt idx="0">
                  <c:v>#N/A</c:v>
                </c:pt>
                <c:pt idx="1">
                  <c:v>#N/A</c:v>
                </c:pt>
              </c:numCache>
            </c:numRef>
          </c:yVal>
        </c:ser>
        <c:ser>
          <c:idx val="193"/>
          <c:order val="90"/>
          <c:spPr>
            <a:ln w="12700">
              <a:solidFill>
                <a:srgbClr val="0000FF"/>
              </a:solidFill>
              <a:prstDash val="solid"/>
            </a:ln>
          </c:spPr>
          <c:marker>
            <c:symbol val="circle"/>
            <c:size val="6"/>
            <c:spPr>
              <a:noFill/>
              <a:ln>
                <a:solidFill>
                  <a:srgbClr val="0000FF"/>
                </a:solidFill>
                <a:prstDash val="solid"/>
              </a:ln>
            </c:spPr>
          </c:marker>
          <c:xVal>
            <c:numRef>
              <c:f>'Data paired'!$O$249:$O$250</c:f>
              <c:numCache>
                <c:formatCode>General</c:formatCode>
                <c:ptCount val="2"/>
                <c:pt idx="0">
                  <c:v>#N/A</c:v>
                </c:pt>
                <c:pt idx="1">
                  <c:v>#N/A</c:v>
                </c:pt>
              </c:numCache>
            </c:numRef>
          </c:xVal>
          <c:yVal>
            <c:numRef>
              <c:f>'Data paired'!$P$249:$P$250</c:f>
              <c:numCache>
                <c:formatCode>General</c:formatCode>
                <c:ptCount val="2"/>
                <c:pt idx="0">
                  <c:v>#N/A</c:v>
                </c:pt>
                <c:pt idx="1">
                  <c:v>#N/A</c:v>
                </c:pt>
              </c:numCache>
            </c:numRef>
          </c:yVal>
        </c:ser>
        <c:ser>
          <c:idx val="194"/>
          <c:order val="91"/>
          <c:spPr>
            <a:ln w="12700">
              <a:solidFill>
                <a:srgbClr val="0000FF"/>
              </a:solidFill>
              <a:prstDash val="solid"/>
            </a:ln>
          </c:spPr>
          <c:marker>
            <c:symbol val="circle"/>
            <c:size val="6"/>
            <c:spPr>
              <a:noFill/>
              <a:ln>
                <a:solidFill>
                  <a:srgbClr val="0000FF"/>
                </a:solidFill>
                <a:prstDash val="solid"/>
              </a:ln>
            </c:spPr>
          </c:marker>
          <c:xVal>
            <c:numRef>
              <c:f>'Data paired'!$O$251:$O$252</c:f>
              <c:numCache>
                <c:formatCode>General</c:formatCode>
                <c:ptCount val="2"/>
                <c:pt idx="0">
                  <c:v>#N/A</c:v>
                </c:pt>
                <c:pt idx="1">
                  <c:v>#N/A</c:v>
                </c:pt>
              </c:numCache>
            </c:numRef>
          </c:xVal>
          <c:yVal>
            <c:numRef>
              <c:f>'Data paired'!$P$251:$P$252</c:f>
              <c:numCache>
                <c:formatCode>General</c:formatCode>
                <c:ptCount val="2"/>
                <c:pt idx="0">
                  <c:v>#N/A</c:v>
                </c:pt>
                <c:pt idx="1">
                  <c:v>#N/A</c:v>
                </c:pt>
              </c:numCache>
            </c:numRef>
          </c:yVal>
        </c:ser>
        <c:ser>
          <c:idx val="195"/>
          <c:order val="92"/>
          <c:spPr>
            <a:ln w="12700">
              <a:solidFill>
                <a:srgbClr val="0000FF"/>
              </a:solidFill>
              <a:prstDash val="solid"/>
            </a:ln>
          </c:spPr>
          <c:marker>
            <c:symbol val="circle"/>
            <c:size val="6"/>
            <c:spPr>
              <a:noFill/>
              <a:ln>
                <a:solidFill>
                  <a:srgbClr val="0000FF"/>
                </a:solidFill>
                <a:prstDash val="solid"/>
              </a:ln>
            </c:spPr>
          </c:marker>
          <c:xVal>
            <c:numRef>
              <c:f>'Data paired'!$O$253:$O$254</c:f>
              <c:numCache>
                <c:formatCode>General</c:formatCode>
                <c:ptCount val="2"/>
                <c:pt idx="0">
                  <c:v>#N/A</c:v>
                </c:pt>
                <c:pt idx="1">
                  <c:v>#N/A</c:v>
                </c:pt>
              </c:numCache>
            </c:numRef>
          </c:xVal>
          <c:yVal>
            <c:numRef>
              <c:f>'Data paired'!$P$253:$P$254</c:f>
              <c:numCache>
                <c:formatCode>General</c:formatCode>
                <c:ptCount val="2"/>
                <c:pt idx="0">
                  <c:v>#N/A</c:v>
                </c:pt>
                <c:pt idx="1">
                  <c:v>#N/A</c:v>
                </c:pt>
              </c:numCache>
            </c:numRef>
          </c:yVal>
        </c:ser>
        <c:ser>
          <c:idx val="196"/>
          <c:order val="93"/>
          <c:spPr>
            <a:ln w="12700">
              <a:solidFill>
                <a:srgbClr val="0000FF"/>
              </a:solidFill>
              <a:prstDash val="solid"/>
            </a:ln>
          </c:spPr>
          <c:marker>
            <c:symbol val="circle"/>
            <c:size val="6"/>
            <c:spPr>
              <a:noFill/>
              <a:ln>
                <a:solidFill>
                  <a:srgbClr val="0000FF"/>
                </a:solidFill>
                <a:prstDash val="solid"/>
              </a:ln>
            </c:spPr>
          </c:marker>
          <c:xVal>
            <c:numRef>
              <c:f>'Data paired'!$O$255:$O$256</c:f>
              <c:numCache>
                <c:formatCode>General</c:formatCode>
                <c:ptCount val="2"/>
                <c:pt idx="0">
                  <c:v>#N/A</c:v>
                </c:pt>
                <c:pt idx="1">
                  <c:v>#N/A</c:v>
                </c:pt>
              </c:numCache>
            </c:numRef>
          </c:xVal>
          <c:yVal>
            <c:numRef>
              <c:f>'Data paired'!$P$255:$P$256</c:f>
              <c:numCache>
                <c:formatCode>General</c:formatCode>
                <c:ptCount val="2"/>
                <c:pt idx="0">
                  <c:v>#N/A</c:v>
                </c:pt>
                <c:pt idx="1">
                  <c:v>#N/A</c:v>
                </c:pt>
              </c:numCache>
            </c:numRef>
          </c:yVal>
        </c:ser>
        <c:ser>
          <c:idx val="197"/>
          <c:order val="94"/>
          <c:spPr>
            <a:ln w="12700">
              <a:solidFill>
                <a:srgbClr val="0000FF"/>
              </a:solidFill>
              <a:prstDash val="solid"/>
            </a:ln>
          </c:spPr>
          <c:marker>
            <c:symbol val="circle"/>
            <c:size val="6"/>
            <c:spPr>
              <a:noFill/>
              <a:ln>
                <a:solidFill>
                  <a:srgbClr val="0000FF"/>
                </a:solidFill>
                <a:prstDash val="solid"/>
              </a:ln>
            </c:spPr>
          </c:marker>
          <c:xVal>
            <c:numRef>
              <c:f>'Data paired'!$O$257:$O$258</c:f>
              <c:numCache>
                <c:formatCode>General</c:formatCode>
                <c:ptCount val="2"/>
                <c:pt idx="0">
                  <c:v>#N/A</c:v>
                </c:pt>
                <c:pt idx="1">
                  <c:v>#N/A</c:v>
                </c:pt>
              </c:numCache>
            </c:numRef>
          </c:xVal>
          <c:yVal>
            <c:numRef>
              <c:f>'Data paired'!$P$257:$P$258</c:f>
              <c:numCache>
                <c:formatCode>General</c:formatCode>
                <c:ptCount val="2"/>
                <c:pt idx="0">
                  <c:v>#N/A</c:v>
                </c:pt>
                <c:pt idx="1">
                  <c:v>#N/A</c:v>
                </c:pt>
              </c:numCache>
            </c:numRef>
          </c:yVal>
        </c:ser>
        <c:ser>
          <c:idx val="198"/>
          <c:order val="95"/>
          <c:spPr>
            <a:ln w="12700">
              <a:solidFill>
                <a:srgbClr val="0000FF"/>
              </a:solidFill>
              <a:prstDash val="solid"/>
            </a:ln>
          </c:spPr>
          <c:marker>
            <c:symbol val="circle"/>
            <c:size val="6"/>
            <c:spPr>
              <a:noFill/>
              <a:ln>
                <a:solidFill>
                  <a:srgbClr val="0000FF"/>
                </a:solidFill>
                <a:prstDash val="solid"/>
              </a:ln>
            </c:spPr>
          </c:marker>
          <c:xVal>
            <c:numRef>
              <c:f>'Data paired'!$O$259:$O$260</c:f>
              <c:numCache>
                <c:formatCode>General</c:formatCode>
                <c:ptCount val="2"/>
                <c:pt idx="0">
                  <c:v>#N/A</c:v>
                </c:pt>
                <c:pt idx="1">
                  <c:v>#N/A</c:v>
                </c:pt>
              </c:numCache>
            </c:numRef>
          </c:xVal>
          <c:yVal>
            <c:numRef>
              <c:f>'Data paired'!$P$259:$P$260</c:f>
              <c:numCache>
                <c:formatCode>General</c:formatCode>
                <c:ptCount val="2"/>
                <c:pt idx="0">
                  <c:v>#N/A</c:v>
                </c:pt>
                <c:pt idx="1">
                  <c:v>#N/A</c:v>
                </c:pt>
              </c:numCache>
            </c:numRef>
          </c:yVal>
        </c:ser>
        <c:ser>
          <c:idx val="199"/>
          <c:order val="96"/>
          <c:spPr>
            <a:ln w="12700">
              <a:solidFill>
                <a:srgbClr val="0000FF"/>
              </a:solidFill>
              <a:prstDash val="solid"/>
            </a:ln>
          </c:spPr>
          <c:marker>
            <c:symbol val="circle"/>
            <c:size val="6"/>
            <c:spPr>
              <a:noFill/>
              <a:ln>
                <a:solidFill>
                  <a:srgbClr val="0000FF"/>
                </a:solidFill>
                <a:prstDash val="solid"/>
              </a:ln>
            </c:spPr>
          </c:marker>
          <c:xVal>
            <c:numRef>
              <c:f>'Data paired'!$O$261:$O$262</c:f>
              <c:numCache>
                <c:formatCode>General</c:formatCode>
                <c:ptCount val="2"/>
                <c:pt idx="0">
                  <c:v>#N/A</c:v>
                </c:pt>
                <c:pt idx="1">
                  <c:v>#N/A</c:v>
                </c:pt>
              </c:numCache>
            </c:numRef>
          </c:xVal>
          <c:yVal>
            <c:numRef>
              <c:f>'Data paired'!$P$261:$P$262</c:f>
              <c:numCache>
                <c:formatCode>General</c:formatCode>
                <c:ptCount val="2"/>
                <c:pt idx="0">
                  <c:v>#N/A</c:v>
                </c:pt>
                <c:pt idx="1">
                  <c:v>#N/A</c:v>
                </c:pt>
              </c:numCache>
            </c:numRef>
          </c:yVal>
        </c:ser>
        <c:ser>
          <c:idx val="200"/>
          <c:order val="97"/>
          <c:spPr>
            <a:ln w="12700">
              <a:solidFill>
                <a:srgbClr val="0000FF"/>
              </a:solidFill>
              <a:prstDash val="solid"/>
            </a:ln>
          </c:spPr>
          <c:marker>
            <c:symbol val="circle"/>
            <c:size val="6"/>
            <c:spPr>
              <a:noFill/>
              <a:ln>
                <a:solidFill>
                  <a:srgbClr val="0000FF"/>
                </a:solidFill>
                <a:prstDash val="solid"/>
              </a:ln>
            </c:spPr>
          </c:marker>
          <c:xVal>
            <c:numRef>
              <c:f>'Data paired'!$O$263:$O$264</c:f>
              <c:numCache>
                <c:formatCode>General</c:formatCode>
                <c:ptCount val="2"/>
                <c:pt idx="0">
                  <c:v>#N/A</c:v>
                </c:pt>
                <c:pt idx="1">
                  <c:v>#N/A</c:v>
                </c:pt>
              </c:numCache>
            </c:numRef>
          </c:xVal>
          <c:yVal>
            <c:numRef>
              <c:f>'Data paired'!$P$263:$P$264</c:f>
              <c:numCache>
                <c:formatCode>General</c:formatCode>
                <c:ptCount val="2"/>
                <c:pt idx="0">
                  <c:v>#N/A</c:v>
                </c:pt>
                <c:pt idx="1">
                  <c:v>#N/A</c:v>
                </c:pt>
              </c:numCache>
            </c:numRef>
          </c:yVal>
        </c:ser>
        <c:ser>
          <c:idx val="201"/>
          <c:order val="98"/>
          <c:spPr>
            <a:ln w="12700">
              <a:solidFill>
                <a:srgbClr val="0000FF"/>
              </a:solidFill>
              <a:prstDash val="solid"/>
            </a:ln>
          </c:spPr>
          <c:marker>
            <c:symbol val="circle"/>
            <c:size val="6"/>
            <c:spPr>
              <a:noFill/>
              <a:ln>
                <a:solidFill>
                  <a:srgbClr val="0000FF"/>
                </a:solidFill>
                <a:prstDash val="solid"/>
              </a:ln>
            </c:spPr>
          </c:marker>
          <c:xVal>
            <c:numRef>
              <c:f>'Data paired'!$O$265:$O$266</c:f>
              <c:numCache>
                <c:formatCode>General</c:formatCode>
                <c:ptCount val="2"/>
                <c:pt idx="0">
                  <c:v>#N/A</c:v>
                </c:pt>
                <c:pt idx="1">
                  <c:v>#N/A</c:v>
                </c:pt>
              </c:numCache>
            </c:numRef>
          </c:xVal>
          <c:yVal>
            <c:numRef>
              <c:f>'Data paired'!$P$265:$P$266</c:f>
              <c:numCache>
                <c:formatCode>General</c:formatCode>
                <c:ptCount val="2"/>
                <c:pt idx="0">
                  <c:v>#N/A</c:v>
                </c:pt>
                <c:pt idx="1">
                  <c:v>#N/A</c:v>
                </c:pt>
              </c:numCache>
            </c:numRef>
          </c:yVal>
        </c:ser>
        <c:ser>
          <c:idx val="202"/>
          <c:order val="99"/>
          <c:spPr>
            <a:ln w="12700">
              <a:solidFill>
                <a:srgbClr val="0000FF"/>
              </a:solidFill>
              <a:prstDash val="solid"/>
            </a:ln>
          </c:spPr>
          <c:marker>
            <c:symbol val="circle"/>
            <c:size val="6"/>
            <c:spPr>
              <a:noFill/>
              <a:ln>
                <a:solidFill>
                  <a:srgbClr val="0000FF"/>
                </a:solidFill>
                <a:prstDash val="solid"/>
              </a:ln>
            </c:spPr>
          </c:marker>
          <c:xVal>
            <c:numRef>
              <c:f>'Data paired'!$O$267:$O$268</c:f>
              <c:numCache>
                <c:formatCode>General</c:formatCode>
                <c:ptCount val="2"/>
                <c:pt idx="0">
                  <c:v>#N/A</c:v>
                </c:pt>
                <c:pt idx="1">
                  <c:v>#N/A</c:v>
                </c:pt>
              </c:numCache>
            </c:numRef>
          </c:xVal>
          <c:yVal>
            <c:numRef>
              <c:f>'Data paired'!$P$267:$P$268</c:f>
              <c:numCache>
                <c:formatCode>General</c:formatCode>
                <c:ptCount val="2"/>
                <c:pt idx="0">
                  <c:v>#N/A</c:v>
                </c:pt>
                <c:pt idx="1">
                  <c:v>#N/A</c:v>
                </c:pt>
              </c:numCache>
            </c:numRef>
          </c:yVal>
        </c:ser>
        <c:ser>
          <c:idx val="203"/>
          <c:order val="100"/>
          <c:spPr>
            <a:ln w="12700">
              <a:solidFill>
                <a:srgbClr val="0000FF"/>
              </a:solidFill>
              <a:prstDash val="solid"/>
            </a:ln>
          </c:spPr>
          <c:marker>
            <c:symbol val="circle"/>
            <c:size val="6"/>
            <c:spPr>
              <a:noFill/>
              <a:ln>
                <a:solidFill>
                  <a:srgbClr val="0000FF"/>
                </a:solidFill>
                <a:prstDash val="solid"/>
              </a:ln>
            </c:spPr>
          </c:marker>
          <c:xVal>
            <c:numRef>
              <c:f>'Data paired'!$O$269:$O$270</c:f>
              <c:numCache>
                <c:formatCode>General</c:formatCode>
                <c:ptCount val="2"/>
                <c:pt idx="0">
                  <c:v>#N/A</c:v>
                </c:pt>
                <c:pt idx="1">
                  <c:v>#N/A</c:v>
                </c:pt>
              </c:numCache>
            </c:numRef>
          </c:xVal>
          <c:yVal>
            <c:numRef>
              <c:f>'Data paired'!$P$269:$P$270</c:f>
              <c:numCache>
                <c:formatCode>General</c:formatCode>
                <c:ptCount val="2"/>
                <c:pt idx="0">
                  <c:v>#N/A</c:v>
                </c:pt>
                <c:pt idx="1">
                  <c:v>#N/A</c:v>
                </c:pt>
              </c:numCache>
            </c:numRef>
          </c:yVal>
        </c:ser>
        <c:ser>
          <c:idx val="204"/>
          <c:order val="101"/>
          <c:spPr>
            <a:ln w="12700">
              <a:solidFill>
                <a:srgbClr val="0000FF"/>
              </a:solidFill>
              <a:prstDash val="solid"/>
            </a:ln>
          </c:spPr>
          <c:marker>
            <c:symbol val="circle"/>
            <c:size val="6"/>
            <c:spPr>
              <a:noFill/>
              <a:ln>
                <a:solidFill>
                  <a:srgbClr val="0000FF"/>
                </a:solidFill>
                <a:prstDash val="solid"/>
              </a:ln>
            </c:spPr>
          </c:marker>
          <c:xVal>
            <c:numRef>
              <c:f>'Data paired'!$O$271:$O$272</c:f>
              <c:numCache>
                <c:formatCode>General</c:formatCode>
                <c:ptCount val="2"/>
                <c:pt idx="0">
                  <c:v>#N/A</c:v>
                </c:pt>
                <c:pt idx="1">
                  <c:v>#N/A</c:v>
                </c:pt>
              </c:numCache>
            </c:numRef>
          </c:xVal>
          <c:yVal>
            <c:numRef>
              <c:f>'Data paired'!$P$271:$P$272</c:f>
              <c:numCache>
                <c:formatCode>General</c:formatCode>
                <c:ptCount val="2"/>
                <c:pt idx="0">
                  <c:v>#N/A</c:v>
                </c:pt>
                <c:pt idx="1">
                  <c:v>#N/A</c:v>
                </c:pt>
              </c:numCache>
            </c:numRef>
          </c:yVal>
        </c:ser>
        <c:ser>
          <c:idx val="205"/>
          <c:order val="102"/>
          <c:spPr>
            <a:ln w="12700">
              <a:solidFill>
                <a:srgbClr val="0000FF"/>
              </a:solidFill>
              <a:prstDash val="solid"/>
            </a:ln>
          </c:spPr>
          <c:marker>
            <c:symbol val="circle"/>
            <c:size val="6"/>
            <c:spPr>
              <a:noFill/>
              <a:ln>
                <a:solidFill>
                  <a:srgbClr val="0000FF"/>
                </a:solidFill>
                <a:prstDash val="solid"/>
              </a:ln>
            </c:spPr>
          </c:marker>
          <c:xVal>
            <c:numRef>
              <c:f>'Data paired'!$O$273:$O$274</c:f>
              <c:numCache>
                <c:formatCode>General</c:formatCode>
                <c:ptCount val="2"/>
                <c:pt idx="0">
                  <c:v>#N/A</c:v>
                </c:pt>
                <c:pt idx="1">
                  <c:v>#N/A</c:v>
                </c:pt>
              </c:numCache>
            </c:numRef>
          </c:xVal>
          <c:yVal>
            <c:numRef>
              <c:f>'Data paired'!$P$273:$P$274</c:f>
              <c:numCache>
                <c:formatCode>General</c:formatCode>
                <c:ptCount val="2"/>
                <c:pt idx="0">
                  <c:v>#N/A</c:v>
                </c:pt>
                <c:pt idx="1">
                  <c:v>#N/A</c:v>
                </c:pt>
              </c:numCache>
            </c:numRef>
          </c:yVal>
        </c:ser>
        <c:ser>
          <c:idx val="206"/>
          <c:order val="103"/>
          <c:spPr>
            <a:ln w="12700">
              <a:solidFill>
                <a:srgbClr val="0000FF"/>
              </a:solidFill>
              <a:prstDash val="solid"/>
            </a:ln>
          </c:spPr>
          <c:marker>
            <c:symbol val="circle"/>
            <c:size val="6"/>
            <c:spPr>
              <a:noFill/>
              <a:ln>
                <a:solidFill>
                  <a:srgbClr val="0000FF"/>
                </a:solidFill>
                <a:prstDash val="solid"/>
              </a:ln>
            </c:spPr>
          </c:marker>
          <c:xVal>
            <c:numRef>
              <c:f>'Data paired'!$O$275:$O$276</c:f>
              <c:numCache>
                <c:formatCode>General</c:formatCode>
                <c:ptCount val="2"/>
                <c:pt idx="0">
                  <c:v>#N/A</c:v>
                </c:pt>
                <c:pt idx="1">
                  <c:v>#N/A</c:v>
                </c:pt>
              </c:numCache>
            </c:numRef>
          </c:xVal>
          <c:yVal>
            <c:numRef>
              <c:f>'Data paired'!$P$275:$P$276</c:f>
              <c:numCache>
                <c:formatCode>General</c:formatCode>
                <c:ptCount val="2"/>
                <c:pt idx="0">
                  <c:v>#N/A</c:v>
                </c:pt>
                <c:pt idx="1">
                  <c:v>#N/A</c:v>
                </c:pt>
              </c:numCache>
            </c:numRef>
          </c:yVal>
        </c:ser>
        <c:ser>
          <c:idx val="207"/>
          <c:order val="104"/>
          <c:spPr>
            <a:ln w="12700">
              <a:solidFill>
                <a:srgbClr val="0000FF"/>
              </a:solidFill>
              <a:prstDash val="solid"/>
            </a:ln>
          </c:spPr>
          <c:marker>
            <c:symbol val="circle"/>
            <c:size val="6"/>
            <c:spPr>
              <a:noFill/>
              <a:ln>
                <a:solidFill>
                  <a:srgbClr val="0000FF"/>
                </a:solidFill>
                <a:prstDash val="solid"/>
              </a:ln>
            </c:spPr>
          </c:marker>
          <c:xVal>
            <c:numRef>
              <c:f>'Data paired'!$O$277:$O$278</c:f>
              <c:numCache>
                <c:formatCode>General</c:formatCode>
                <c:ptCount val="2"/>
                <c:pt idx="0">
                  <c:v>#N/A</c:v>
                </c:pt>
                <c:pt idx="1">
                  <c:v>#N/A</c:v>
                </c:pt>
              </c:numCache>
            </c:numRef>
          </c:xVal>
          <c:yVal>
            <c:numRef>
              <c:f>'Data paired'!$P$277:$P$278</c:f>
              <c:numCache>
                <c:formatCode>General</c:formatCode>
                <c:ptCount val="2"/>
                <c:pt idx="0">
                  <c:v>#N/A</c:v>
                </c:pt>
                <c:pt idx="1">
                  <c:v>#N/A</c:v>
                </c:pt>
              </c:numCache>
            </c:numRef>
          </c:yVal>
        </c:ser>
        <c:ser>
          <c:idx val="208"/>
          <c:order val="105"/>
          <c:spPr>
            <a:ln w="12700">
              <a:solidFill>
                <a:srgbClr val="0000FF"/>
              </a:solidFill>
              <a:prstDash val="solid"/>
            </a:ln>
          </c:spPr>
          <c:marker>
            <c:symbol val="circle"/>
            <c:size val="6"/>
            <c:spPr>
              <a:noFill/>
              <a:ln>
                <a:solidFill>
                  <a:srgbClr val="0000FF"/>
                </a:solidFill>
                <a:prstDash val="solid"/>
              </a:ln>
            </c:spPr>
          </c:marker>
          <c:xVal>
            <c:numRef>
              <c:f>'Data paired'!$O$279:$O$280</c:f>
              <c:numCache>
                <c:formatCode>General</c:formatCode>
                <c:ptCount val="2"/>
                <c:pt idx="0">
                  <c:v>#N/A</c:v>
                </c:pt>
                <c:pt idx="1">
                  <c:v>#N/A</c:v>
                </c:pt>
              </c:numCache>
            </c:numRef>
          </c:xVal>
          <c:yVal>
            <c:numRef>
              <c:f>'Data paired'!$P$279:$P$280</c:f>
              <c:numCache>
                <c:formatCode>General</c:formatCode>
                <c:ptCount val="2"/>
                <c:pt idx="0">
                  <c:v>#N/A</c:v>
                </c:pt>
                <c:pt idx="1">
                  <c:v>#N/A</c:v>
                </c:pt>
              </c:numCache>
            </c:numRef>
          </c:yVal>
        </c:ser>
        <c:ser>
          <c:idx val="209"/>
          <c:order val="106"/>
          <c:spPr>
            <a:ln w="12700">
              <a:solidFill>
                <a:srgbClr val="0000FF"/>
              </a:solidFill>
              <a:prstDash val="solid"/>
            </a:ln>
          </c:spPr>
          <c:marker>
            <c:symbol val="circle"/>
            <c:size val="6"/>
            <c:spPr>
              <a:noFill/>
              <a:ln>
                <a:solidFill>
                  <a:srgbClr val="0000FF"/>
                </a:solidFill>
                <a:prstDash val="solid"/>
              </a:ln>
            </c:spPr>
          </c:marker>
          <c:xVal>
            <c:numRef>
              <c:f>'Data paired'!$O$281:$O$282</c:f>
              <c:numCache>
                <c:formatCode>General</c:formatCode>
                <c:ptCount val="2"/>
                <c:pt idx="0">
                  <c:v>#N/A</c:v>
                </c:pt>
                <c:pt idx="1">
                  <c:v>#N/A</c:v>
                </c:pt>
              </c:numCache>
            </c:numRef>
          </c:xVal>
          <c:yVal>
            <c:numRef>
              <c:f>'Data paired'!$P$281:$P$282</c:f>
              <c:numCache>
                <c:formatCode>General</c:formatCode>
                <c:ptCount val="2"/>
                <c:pt idx="0">
                  <c:v>#N/A</c:v>
                </c:pt>
                <c:pt idx="1">
                  <c:v>#N/A</c:v>
                </c:pt>
              </c:numCache>
            </c:numRef>
          </c:yVal>
        </c:ser>
        <c:ser>
          <c:idx val="210"/>
          <c:order val="107"/>
          <c:spPr>
            <a:ln w="12700">
              <a:solidFill>
                <a:srgbClr val="0000FF"/>
              </a:solidFill>
              <a:prstDash val="solid"/>
            </a:ln>
          </c:spPr>
          <c:marker>
            <c:symbol val="circle"/>
            <c:size val="6"/>
            <c:spPr>
              <a:noFill/>
              <a:ln>
                <a:solidFill>
                  <a:srgbClr val="0000FF"/>
                </a:solidFill>
                <a:prstDash val="solid"/>
              </a:ln>
            </c:spPr>
          </c:marker>
          <c:xVal>
            <c:numRef>
              <c:f>'Data paired'!$O$283:$O$284</c:f>
              <c:numCache>
                <c:formatCode>General</c:formatCode>
                <c:ptCount val="2"/>
                <c:pt idx="0">
                  <c:v>#N/A</c:v>
                </c:pt>
                <c:pt idx="1">
                  <c:v>#N/A</c:v>
                </c:pt>
              </c:numCache>
            </c:numRef>
          </c:xVal>
          <c:yVal>
            <c:numRef>
              <c:f>'Data paired'!$P$283:$P$284</c:f>
              <c:numCache>
                <c:formatCode>General</c:formatCode>
                <c:ptCount val="2"/>
                <c:pt idx="0">
                  <c:v>#N/A</c:v>
                </c:pt>
                <c:pt idx="1">
                  <c:v>#N/A</c:v>
                </c:pt>
              </c:numCache>
            </c:numRef>
          </c:yVal>
        </c:ser>
        <c:ser>
          <c:idx val="211"/>
          <c:order val="108"/>
          <c:spPr>
            <a:ln w="12700">
              <a:solidFill>
                <a:srgbClr val="0000FF"/>
              </a:solidFill>
              <a:prstDash val="solid"/>
            </a:ln>
          </c:spPr>
          <c:marker>
            <c:symbol val="circle"/>
            <c:size val="6"/>
            <c:spPr>
              <a:noFill/>
              <a:ln>
                <a:solidFill>
                  <a:srgbClr val="0000FF"/>
                </a:solidFill>
                <a:prstDash val="solid"/>
              </a:ln>
            </c:spPr>
          </c:marker>
          <c:xVal>
            <c:numRef>
              <c:f>'Data paired'!$O$285:$O$286</c:f>
              <c:numCache>
                <c:formatCode>General</c:formatCode>
                <c:ptCount val="2"/>
                <c:pt idx="0">
                  <c:v>#N/A</c:v>
                </c:pt>
                <c:pt idx="1">
                  <c:v>#N/A</c:v>
                </c:pt>
              </c:numCache>
            </c:numRef>
          </c:xVal>
          <c:yVal>
            <c:numRef>
              <c:f>'Data paired'!$P$285:$P$286</c:f>
              <c:numCache>
                <c:formatCode>General</c:formatCode>
                <c:ptCount val="2"/>
                <c:pt idx="0">
                  <c:v>#N/A</c:v>
                </c:pt>
                <c:pt idx="1">
                  <c:v>#N/A</c:v>
                </c:pt>
              </c:numCache>
            </c:numRef>
          </c:yVal>
        </c:ser>
        <c:ser>
          <c:idx val="212"/>
          <c:order val="109"/>
          <c:spPr>
            <a:ln w="12700">
              <a:solidFill>
                <a:srgbClr val="0000FF"/>
              </a:solidFill>
              <a:prstDash val="solid"/>
            </a:ln>
          </c:spPr>
          <c:marker>
            <c:symbol val="circle"/>
            <c:size val="6"/>
            <c:spPr>
              <a:noFill/>
              <a:ln>
                <a:solidFill>
                  <a:srgbClr val="0000FF"/>
                </a:solidFill>
                <a:prstDash val="solid"/>
              </a:ln>
            </c:spPr>
          </c:marker>
          <c:xVal>
            <c:numRef>
              <c:f>'Data paired'!$O$287:$O$288</c:f>
              <c:numCache>
                <c:formatCode>General</c:formatCode>
                <c:ptCount val="2"/>
                <c:pt idx="0">
                  <c:v>#N/A</c:v>
                </c:pt>
                <c:pt idx="1">
                  <c:v>#N/A</c:v>
                </c:pt>
              </c:numCache>
            </c:numRef>
          </c:xVal>
          <c:yVal>
            <c:numRef>
              <c:f>'Data paired'!$P$287:$P$288</c:f>
              <c:numCache>
                <c:formatCode>General</c:formatCode>
                <c:ptCount val="2"/>
                <c:pt idx="0">
                  <c:v>#N/A</c:v>
                </c:pt>
                <c:pt idx="1">
                  <c:v>#N/A</c:v>
                </c:pt>
              </c:numCache>
            </c:numRef>
          </c:yVal>
        </c:ser>
        <c:ser>
          <c:idx val="10"/>
          <c:order val="110"/>
          <c:spPr>
            <a:ln w="38100">
              <a:solidFill>
                <a:srgbClr val="00FF00"/>
              </a:solidFill>
              <a:prstDash val="solid"/>
            </a:ln>
          </c:spPr>
          <c:marker>
            <c:symbol val="circle"/>
            <c:size val="7"/>
            <c:spPr>
              <a:solidFill>
                <a:srgbClr val="0000FF"/>
              </a:solidFill>
              <a:ln>
                <a:solidFill>
                  <a:srgbClr val="0000FF"/>
                </a:solidFill>
                <a:prstDash val="solid"/>
              </a:ln>
            </c:spPr>
          </c:marker>
          <c:xVal>
            <c:numRef>
              <c:f>'Data paired'!$AF$91:$AF$92</c:f>
              <c:numCache>
                <c:formatCode>General</c:formatCode>
                <c:ptCount val="2"/>
                <c:pt idx="0">
                  <c:v>1.4</c:v>
                </c:pt>
                <c:pt idx="1">
                  <c:v>2.6</c:v>
                </c:pt>
              </c:numCache>
            </c:numRef>
          </c:xVal>
          <c:yVal>
            <c:numRef>
              <c:f>'Data paired'!$AG$91:$AG$92</c:f>
              <c:numCache>
                <c:formatCode>General</c:formatCode>
                <c:ptCount val="2"/>
                <c:pt idx="0">
                  <c:v>#N/A</c:v>
                </c:pt>
                <c:pt idx="1">
                  <c:v>#N/A</c:v>
                </c:pt>
              </c:numCache>
            </c:numRef>
          </c:yVal>
        </c:ser>
        <c:ser>
          <c:idx val="14"/>
          <c:order val="111"/>
          <c:spPr>
            <a:ln w="38100">
              <a:solidFill>
                <a:srgbClr val="800080"/>
              </a:solidFill>
              <a:prstDash val="solid"/>
            </a:ln>
          </c:spPr>
          <c:marker>
            <c:symbol val="circle"/>
            <c:size val="7"/>
            <c:spPr>
              <a:solidFill>
                <a:srgbClr val="0000FF"/>
              </a:solidFill>
              <a:ln>
                <a:solidFill>
                  <a:srgbClr val="0000FF"/>
                </a:solidFill>
                <a:prstDash val="solid"/>
              </a:ln>
            </c:spPr>
          </c:marker>
          <c:xVal>
            <c:numRef>
              <c:f>'Data paired'!$AF$89:$AF$90</c:f>
              <c:numCache>
                <c:formatCode>General</c:formatCode>
                <c:ptCount val="2"/>
                <c:pt idx="0">
                  <c:v>1.4</c:v>
                </c:pt>
                <c:pt idx="1">
                  <c:v>2.6</c:v>
                </c:pt>
              </c:numCache>
            </c:numRef>
          </c:xVal>
          <c:yVal>
            <c:numRef>
              <c:f>'Data paired'!$AG$89:$AG$90</c:f>
              <c:numCache>
                <c:formatCode>General</c:formatCode>
                <c:ptCount val="2"/>
                <c:pt idx="0">
                  <c:v>#N/A</c:v>
                </c:pt>
                <c:pt idx="1">
                  <c:v>#N/A</c:v>
                </c:pt>
              </c:numCache>
            </c:numRef>
          </c:yVal>
        </c:ser>
        <c:ser>
          <c:idx val="15"/>
          <c:order val="112"/>
          <c:spPr>
            <a:ln w="38100">
              <a:solidFill>
                <a:srgbClr val="FF0000"/>
              </a:solidFill>
              <a:prstDash val="solid"/>
            </a:ln>
          </c:spPr>
          <c:marker>
            <c:symbol val="circle"/>
            <c:size val="7"/>
            <c:spPr>
              <a:solidFill>
                <a:srgbClr val="0000FF"/>
              </a:solidFill>
              <a:ln>
                <a:solidFill>
                  <a:srgbClr val="0000FF"/>
                </a:solidFill>
                <a:prstDash val="solid"/>
              </a:ln>
            </c:spPr>
          </c:marker>
          <c:xVal>
            <c:numRef>
              <c:f>'Data paired'!$AF$95:$AF$96</c:f>
              <c:numCache>
                <c:formatCode>General</c:formatCode>
                <c:ptCount val="2"/>
                <c:pt idx="0">
                  <c:v>1.4</c:v>
                </c:pt>
                <c:pt idx="1">
                  <c:v>2.6</c:v>
                </c:pt>
              </c:numCache>
            </c:numRef>
          </c:xVal>
          <c:yVal>
            <c:numRef>
              <c:f>'Data paired'!$AG$95:$AG$96</c:f>
              <c:numCache>
                <c:formatCode>General</c:formatCode>
                <c:ptCount val="2"/>
                <c:pt idx="0">
                  <c:v>#N/A</c:v>
                </c:pt>
                <c:pt idx="1">
                  <c:v>#N/A</c:v>
                </c:pt>
              </c:numCache>
            </c:numRef>
          </c:yVal>
        </c:ser>
        <c:ser>
          <c:idx val="16"/>
          <c:order val="113"/>
          <c:spPr>
            <a:ln w="38100">
              <a:solidFill>
                <a:srgbClr val="FFCC00"/>
              </a:solidFill>
              <a:prstDash val="solid"/>
            </a:ln>
          </c:spPr>
          <c:marker>
            <c:symbol val="circle"/>
            <c:size val="7"/>
            <c:spPr>
              <a:solidFill>
                <a:srgbClr val="0000FF"/>
              </a:solidFill>
              <a:ln>
                <a:solidFill>
                  <a:srgbClr val="0000FF"/>
                </a:solidFill>
                <a:prstDash val="solid"/>
              </a:ln>
            </c:spPr>
          </c:marker>
          <c:xVal>
            <c:numRef>
              <c:f>'Data paired'!$AF$93:$AF$94</c:f>
              <c:numCache>
                <c:formatCode>General</c:formatCode>
                <c:ptCount val="2"/>
                <c:pt idx="0">
                  <c:v>1.4</c:v>
                </c:pt>
                <c:pt idx="1">
                  <c:v>2.6</c:v>
                </c:pt>
              </c:numCache>
            </c:numRef>
          </c:xVal>
          <c:yVal>
            <c:numRef>
              <c:f>'Data paired'!$AG$93:$AG$94</c:f>
              <c:numCache>
                <c:formatCode>General</c:formatCode>
                <c:ptCount val="2"/>
                <c:pt idx="0">
                  <c:v>#N/A</c:v>
                </c:pt>
                <c:pt idx="1">
                  <c:v>#N/A</c:v>
                </c:pt>
              </c:numCache>
            </c:numRef>
          </c:yVal>
        </c:ser>
        <c:axId val="170793600"/>
        <c:axId val="170804352"/>
      </c:scatterChart>
      <c:valAx>
        <c:axId val="170793600"/>
        <c:scaling>
          <c:orientation val="minMax"/>
          <c:max val="5"/>
          <c:min val="0.5"/>
        </c:scaling>
        <c:axPos val="b"/>
        <c:title>
          <c:tx>
            <c:rich>
              <a:bodyPr/>
              <a:lstStyle/>
              <a:p>
                <a:pPr>
                  <a:defRPr sz="1200" b="0" i="0" u="none" strike="noStrike" baseline="0">
                    <a:solidFill>
                      <a:srgbClr val="000000"/>
                    </a:solidFill>
                    <a:latin typeface="Arial"/>
                    <a:ea typeface="Arial"/>
                    <a:cs typeface="Arial"/>
                  </a:defRPr>
                </a:pPr>
                <a:r>
                  <a:rPr lang="en-AU"/>
                  <a:t>Difference</a:t>
                </a:r>
              </a:p>
            </c:rich>
          </c:tx>
          <c:layout>
            <c:manualLayout>
              <c:xMode val="edge"/>
              <c:yMode val="edge"/>
              <c:x val="0.74418677897820906"/>
              <c:y val="0.94163658243080661"/>
            </c:manualLayout>
          </c:layout>
          <c:spPr>
            <a:noFill/>
            <a:ln w="25400">
              <a:noFill/>
            </a:ln>
          </c:spPr>
        </c:title>
        <c:numFmt formatCode="General" sourceLinked="1"/>
        <c:majorTickMark val="none"/>
        <c:tickLblPos val="none"/>
        <c:spPr>
          <a:ln w="3175">
            <a:solidFill>
              <a:srgbClr val="000000"/>
            </a:solidFill>
            <a:prstDash val="solid"/>
          </a:ln>
        </c:spPr>
        <c:crossAx val="170804352"/>
        <c:crosses val="autoZero"/>
        <c:crossBetween val="midCat"/>
      </c:valAx>
      <c:valAx>
        <c:axId val="170804352"/>
        <c:scaling>
          <c:orientation val="minMax"/>
        </c:scaling>
        <c:axPos val="l"/>
        <c:title>
          <c:tx>
            <c:strRef>
              <c:f>'Data paired'!$U$15</c:f>
              <c:strCache>
                <c:ptCount val="1"/>
                <c:pt idx="0">
                  <c:v>LSAT score</c:v>
                </c:pt>
              </c:strCache>
            </c:strRef>
          </c:tx>
          <c:layout>
            <c:manualLayout>
              <c:xMode val="edge"/>
              <c:yMode val="edge"/>
              <c:x val="1.1627906976744175E-2"/>
              <c:y val="0.31407942238267195"/>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0793600"/>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paperSize="9" orientation="landscape" horizontalDpi="300" verticalDpi="300"/>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7441880271030488"/>
          <c:y val="2.5684931506849348E-2"/>
          <c:w val="0.79069857228671514"/>
          <c:h val="0.90924657534246556"/>
        </c:manualLayout>
      </c:layout>
      <c:scatterChart>
        <c:scatterStyle val="lineMarker"/>
        <c:ser>
          <c:idx val="11"/>
          <c:order val="0"/>
          <c:spPr>
            <a:ln w="28575">
              <a:noFill/>
            </a:ln>
          </c:spPr>
          <c:marker>
            <c:symbol val="triangle"/>
            <c:size val="9"/>
            <c:spPr>
              <a:solidFill>
                <a:srgbClr val="FF00FF"/>
              </a:solidFill>
              <a:ln>
                <a:solidFill>
                  <a:srgbClr val="000000"/>
                </a:solidFill>
                <a:prstDash val="solid"/>
              </a:ln>
            </c:spPr>
          </c:marker>
          <c:dLbls>
            <c:dLbl>
              <c:idx val="0"/>
              <c:delete val="1"/>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errBars>
            <c:errDir val="y"/>
            <c:errBarType val="both"/>
            <c:errValType val="cust"/>
            <c:noEndCap val="1"/>
            <c:plus>
              <c:numRef>
                <c:f>'Summary paired'!$AA$113</c:f>
                <c:numCache>
                  <c:formatCode>General</c:formatCode>
                  <c:ptCount val="1"/>
                  <c:pt idx="0">
                    <c:v>1.1349968777474446</c:v>
                  </c:pt>
                </c:numCache>
              </c:numRef>
            </c:plus>
            <c:minus>
              <c:numRef>
                <c:f>'Summary paired'!$AA$113</c:f>
                <c:numCache>
                  <c:formatCode>General</c:formatCode>
                  <c:ptCount val="1"/>
                  <c:pt idx="0">
                    <c:v>1.1349968777474446</c:v>
                  </c:pt>
                </c:numCache>
              </c:numRef>
            </c:minus>
            <c:spPr>
              <a:ln w="25400">
                <a:solidFill>
                  <a:srgbClr val="000000"/>
                </a:solidFill>
                <a:prstDash val="solid"/>
              </a:ln>
            </c:spPr>
          </c:errBars>
          <c:xVal>
            <c:numRef>
              <c:f>'Summary paired'!$X$113</c:f>
              <c:numCache>
                <c:formatCode>General</c:formatCode>
                <c:ptCount val="1"/>
                <c:pt idx="0">
                  <c:v>4.0999999999999996</c:v>
                </c:pt>
              </c:numCache>
            </c:numRef>
          </c:xVal>
          <c:yVal>
            <c:numRef>
              <c:f>'Summary paired'!$Y$113</c:f>
              <c:numCache>
                <c:formatCode>General</c:formatCode>
                <c:ptCount val="1"/>
                <c:pt idx="0">
                  <c:v>14.25</c:v>
                </c:pt>
              </c:numCache>
            </c:numRef>
          </c:yVal>
        </c:ser>
        <c:ser>
          <c:idx val="8"/>
          <c:order val="1"/>
          <c:spPr>
            <a:ln w="12700">
              <a:solidFill>
                <a:srgbClr val="000000"/>
              </a:solidFill>
              <a:prstDash val="solid"/>
            </a:ln>
          </c:spPr>
          <c:marker>
            <c:symbol val="dot"/>
            <c:size val="8"/>
            <c:spPr>
              <a:noFill/>
              <a:ln>
                <a:solidFill>
                  <a:srgbClr val="000000"/>
                </a:solidFill>
                <a:prstDash val="solid"/>
              </a:ln>
            </c:spPr>
          </c:marker>
          <c:dLbls>
            <c:dLbl>
              <c:idx val="0"/>
              <c:layout/>
              <c:tx>
                <c:strRef>
                  <c:f>'Summary paired'!$S$103</c:f>
                  <c:strCache>
                    <c:ptCount val="1"/>
                    <c:pt idx="0">
                      <c:v>5</c:v>
                    </c:pt>
                  </c:strCache>
                </c:strRef>
              </c:tx>
              <c:dLblPos val="r"/>
            </c:dLbl>
            <c:dLbl>
              <c:idx val="1"/>
              <c:delete val="1"/>
            </c:dLbl>
            <c:dLbl>
              <c:idx val="2"/>
              <c:layout/>
              <c:tx>
                <c:strRef>
                  <c:f>'Summary paired'!$S$105</c:f>
                  <c:strCache>
                    <c:ptCount val="1"/>
                    <c:pt idx="0">
                      <c:v>4</c:v>
                    </c:pt>
                  </c:strCache>
                </c:strRef>
              </c:tx>
              <c:dLblPos val="r"/>
            </c:dLbl>
            <c:dLbl>
              <c:idx val="3"/>
              <c:delete val="1"/>
            </c:dLbl>
            <c:dLbl>
              <c:idx val="4"/>
              <c:layout/>
              <c:tx>
                <c:strRef>
                  <c:f>'Summary paired'!$S$107</c:f>
                  <c:strCache>
                    <c:ptCount val="1"/>
                    <c:pt idx="0">
                      <c:v>3</c:v>
                    </c:pt>
                  </c:strCache>
                </c:strRef>
              </c:tx>
              <c:dLblPos val="r"/>
            </c:dLbl>
            <c:dLbl>
              <c:idx val="5"/>
              <c:delete val="1"/>
            </c:dLbl>
            <c:dLbl>
              <c:idx val="6"/>
              <c:layout/>
              <c:tx>
                <c:strRef>
                  <c:f>'Summary paired'!$S$109</c:f>
                  <c:strCache>
                    <c:ptCount val="1"/>
                    <c:pt idx="0">
                      <c:v>2</c:v>
                    </c:pt>
                  </c:strCache>
                </c:strRef>
              </c:tx>
              <c:dLblPos val="r"/>
            </c:dLbl>
            <c:dLbl>
              <c:idx val="7"/>
              <c:delete val="1"/>
            </c:dLbl>
            <c:dLbl>
              <c:idx val="8"/>
              <c:layout/>
              <c:tx>
                <c:strRef>
                  <c:f>'Summary paired'!$S$111</c:f>
                  <c:strCache>
                    <c:ptCount val="1"/>
                    <c:pt idx="0">
                      <c:v>1</c:v>
                    </c:pt>
                  </c:strCache>
                </c:strRef>
              </c:tx>
              <c:dLblPos val="r"/>
            </c:dLbl>
            <c:dLbl>
              <c:idx val="9"/>
              <c:delete val="1"/>
            </c:dLbl>
            <c:dLbl>
              <c:idx val="10"/>
              <c:layout/>
              <c:tx>
                <c:strRef>
                  <c:f>'Summary paired'!$S$113</c:f>
                  <c:strCache>
                    <c:ptCount val="1"/>
                    <c:pt idx="0">
                      <c:v>0</c:v>
                    </c:pt>
                  </c:strCache>
                </c:strRef>
              </c:tx>
              <c:dLblPos val="r"/>
            </c:dLbl>
            <c:dLbl>
              <c:idx val="11"/>
              <c:delete val="1"/>
            </c:dLbl>
            <c:dLbl>
              <c:idx val="12"/>
              <c:layout/>
              <c:tx>
                <c:strRef>
                  <c:f>'Summary paired'!$S$115</c:f>
                  <c:strCache>
                    <c:ptCount val="1"/>
                    <c:pt idx="0">
                      <c:v>-1</c:v>
                    </c:pt>
                  </c:strCache>
                </c:strRef>
              </c:tx>
              <c:dLblPos val="r"/>
            </c:dLbl>
            <c:dLbl>
              <c:idx val="13"/>
              <c:delete val="1"/>
            </c:dLbl>
            <c:dLbl>
              <c:idx val="14"/>
              <c:layout/>
              <c:tx>
                <c:strRef>
                  <c:f>'Summary paired'!$S$117</c:f>
                  <c:strCache>
                    <c:ptCount val="1"/>
                    <c:pt idx="0">
                      <c:v>-2</c:v>
                    </c:pt>
                  </c:strCache>
                </c:strRef>
              </c:tx>
              <c:dLblPos val="r"/>
            </c:dLbl>
            <c:dLbl>
              <c:idx val="15"/>
              <c:delete val="1"/>
            </c:dLbl>
            <c:dLbl>
              <c:idx val="16"/>
              <c:layout/>
              <c:tx>
                <c:strRef>
                  <c:f>'Summary paired'!$S$119</c:f>
                  <c:strCache>
                    <c:ptCount val="1"/>
                    <c:pt idx="0">
                      <c:v>-3</c:v>
                    </c:pt>
                  </c:strCache>
                </c:strRef>
              </c:tx>
              <c:dLblPos val="r"/>
            </c:dLbl>
            <c:dLbl>
              <c:idx val="17"/>
              <c:delete val="1"/>
            </c:dLbl>
            <c:dLbl>
              <c:idx val="18"/>
              <c:layout/>
              <c:tx>
                <c:strRef>
                  <c:f>'Summary paired'!$S$121</c:f>
                  <c:strCache>
                    <c:ptCount val="1"/>
                    <c:pt idx="0">
                      <c:v>-4</c:v>
                    </c:pt>
                  </c:strCache>
                </c:strRef>
              </c:tx>
              <c:dLblPos val="r"/>
            </c:dLbl>
            <c:dLbl>
              <c:idx val="19"/>
              <c:delete val="1"/>
            </c:dLbl>
            <c:dLbl>
              <c:idx val="20"/>
              <c:layout/>
              <c:tx>
                <c:strRef>
                  <c:f>'Summary paired'!$S$123</c:f>
                  <c:strCache>
                    <c:ptCount val="1"/>
                    <c:pt idx="0">
                      <c:v>-5</c:v>
                    </c:pt>
                  </c:strCache>
                </c:strRef>
              </c:tx>
              <c:dLblPos val="r"/>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Val val="1"/>
          </c:dLbls>
          <c:xVal>
            <c:numRef>
              <c:f>'Summary paired'!$U$103:$U$123</c:f>
              <c:numCache>
                <c:formatCode>General</c:formatCode>
                <c:ptCount val="21"/>
                <c:pt idx="0">
                  <c:v>4.5999999999999996</c:v>
                </c:pt>
                <c:pt idx="1">
                  <c:v>4.5999999999999996</c:v>
                </c:pt>
                <c:pt idx="2">
                  <c:v>4.5999999999999996</c:v>
                </c:pt>
                <c:pt idx="3">
                  <c:v>4.5999999999999996</c:v>
                </c:pt>
                <c:pt idx="4">
                  <c:v>4.5999999999999996</c:v>
                </c:pt>
                <c:pt idx="5">
                  <c:v>4.5999999999999996</c:v>
                </c:pt>
                <c:pt idx="6">
                  <c:v>4.5999999999999996</c:v>
                </c:pt>
                <c:pt idx="7">
                  <c:v>4.5999999999999996</c:v>
                </c:pt>
                <c:pt idx="8">
                  <c:v>4.5999999999999996</c:v>
                </c:pt>
                <c:pt idx="9">
                  <c:v>4.5999999999999996</c:v>
                </c:pt>
                <c:pt idx="10">
                  <c:v>4.5999999999999996</c:v>
                </c:pt>
                <c:pt idx="11">
                  <c:v>4.5999999999999996</c:v>
                </c:pt>
                <c:pt idx="12">
                  <c:v>4.5999999999999996</c:v>
                </c:pt>
                <c:pt idx="13">
                  <c:v>4.5999999999999996</c:v>
                </c:pt>
                <c:pt idx="14">
                  <c:v>4.5999999999999996</c:v>
                </c:pt>
                <c:pt idx="15">
                  <c:v>4.5999999999999996</c:v>
                </c:pt>
                <c:pt idx="16">
                  <c:v>4.5999999999999996</c:v>
                </c:pt>
                <c:pt idx="17">
                  <c:v>4.5999999999999996</c:v>
                </c:pt>
                <c:pt idx="18">
                  <c:v>4.5999999999999996</c:v>
                </c:pt>
                <c:pt idx="19">
                  <c:v>4.5999999999999996</c:v>
                </c:pt>
                <c:pt idx="20">
                  <c:v>4.5999999999999996</c:v>
                </c:pt>
              </c:numCache>
            </c:numRef>
          </c:xVal>
          <c:yVal>
            <c:numRef>
              <c:f>'Summary paired'!$V$103:$V$123</c:f>
              <c:numCache>
                <c:formatCode>General</c:formatCode>
                <c:ptCount val="21"/>
                <c:pt idx="0">
                  <c:v>#N/A</c:v>
                </c:pt>
                <c:pt idx="1">
                  <c:v>#N/A</c:v>
                </c:pt>
                <c:pt idx="2">
                  <c:v>16.880000000000003</c:v>
                </c:pt>
                <c:pt idx="3">
                  <c:v>16.380000000000003</c:v>
                </c:pt>
                <c:pt idx="4">
                  <c:v>15.88</c:v>
                </c:pt>
                <c:pt idx="5">
                  <c:v>15.38</c:v>
                </c:pt>
                <c:pt idx="6">
                  <c:v>14.88</c:v>
                </c:pt>
                <c:pt idx="7">
                  <c:v>14.38</c:v>
                </c:pt>
                <c:pt idx="8">
                  <c:v>13.88</c:v>
                </c:pt>
                <c:pt idx="9">
                  <c:v>13.38</c:v>
                </c:pt>
                <c:pt idx="10">
                  <c:v>12.88</c:v>
                </c:pt>
                <c:pt idx="11">
                  <c:v>12.38</c:v>
                </c:pt>
                <c:pt idx="12">
                  <c:v>11.88</c:v>
                </c:pt>
                <c:pt idx="13">
                  <c:v>11.38</c:v>
                </c:pt>
                <c:pt idx="14">
                  <c:v>10.88</c:v>
                </c:pt>
                <c:pt idx="15">
                  <c:v>#N/A</c:v>
                </c:pt>
                <c:pt idx="16">
                  <c:v>#N/A</c:v>
                </c:pt>
                <c:pt idx="17">
                  <c:v>#N/A</c:v>
                </c:pt>
                <c:pt idx="18">
                  <c:v>#N/A</c:v>
                </c:pt>
                <c:pt idx="19">
                  <c:v>#N/A</c:v>
                </c:pt>
                <c:pt idx="20">
                  <c:v>#N/A</c:v>
                </c:pt>
              </c:numCache>
            </c:numRef>
          </c:yVal>
        </c:ser>
        <c:ser>
          <c:idx val="9"/>
          <c:order val="2"/>
          <c:spPr>
            <a:ln w="12700">
              <a:solidFill>
                <a:srgbClr val="000000"/>
              </a:solidFill>
              <a:prstDash val="solid"/>
            </a:ln>
          </c:spPr>
          <c:marker>
            <c:symbol val="none"/>
          </c:marker>
          <c:xVal>
            <c:numRef>
              <c:f>'Summary paired'!$AA$100:$AA$101</c:f>
              <c:numCache>
                <c:formatCode>General</c:formatCode>
                <c:ptCount val="2"/>
                <c:pt idx="0">
                  <c:v>4.0999999999999996</c:v>
                </c:pt>
                <c:pt idx="1">
                  <c:v>4.5999999999999996</c:v>
                </c:pt>
              </c:numCache>
            </c:numRef>
          </c:xVal>
          <c:yVal>
            <c:numRef>
              <c:f>'Summary paired'!$AB$100:$AB$101</c:f>
              <c:numCache>
                <c:formatCode>General</c:formatCode>
                <c:ptCount val="2"/>
                <c:pt idx="0">
                  <c:v>14.25</c:v>
                </c:pt>
                <c:pt idx="1">
                  <c:v>14.25</c:v>
                </c:pt>
              </c:numCache>
            </c:numRef>
          </c:yVal>
        </c:ser>
        <c:ser>
          <c:idx val="12"/>
          <c:order val="3"/>
          <c:spPr>
            <a:ln w="12700">
              <a:solidFill>
                <a:srgbClr val="000000"/>
              </a:solidFill>
              <a:prstDash val="sysDash"/>
            </a:ln>
          </c:spPr>
          <c:marker>
            <c:symbol val="none"/>
          </c:marker>
          <c:xVal>
            <c:numRef>
              <c:f>'Summary paired'!$AA$102:$AA$103</c:f>
              <c:numCache>
                <c:formatCode>General</c:formatCode>
                <c:ptCount val="2"/>
                <c:pt idx="0">
                  <c:v>3</c:v>
                </c:pt>
                <c:pt idx="1">
                  <c:v>4.0999999999999996</c:v>
                </c:pt>
              </c:numCache>
            </c:numRef>
          </c:xVal>
          <c:yVal>
            <c:numRef>
              <c:f>'Summary paired'!$AB$102:$AB$103</c:f>
              <c:numCache>
                <c:formatCode>General</c:formatCode>
                <c:ptCount val="2"/>
                <c:pt idx="0">
                  <c:v>14.25</c:v>
                </c:pt>
                <c:pt idx="1">
                  <c:v>14.25</c:v>
                </c:pt>
              </c:numCache>
            </c:numRef>
          </c:yVal>
        </c:ser>
        <c:ser>
          <c:idx val="13"/>
          <c:order val="4"/>
          <c:spPr>
            <a:ln w="12700">
              <a:solidFill>
                <a:srgbClr val="000000"/>
              </a:solidFill>
              <a:prstDash val="sysDash"/>
            </a:ln>
          </c:spPr>
          <c:marker>
            <c:symbol val="none"/>
          </c:marker>
          <c:xVal>
            <c:numRef>
              <c:f>'Summary paired'!$AA$104:$AA$105</c:f>
              <c:numCache>
                <c:formatCode>General</c:formatCode>
                <c:ptCount val="2"/>
                <c:pt idx="0">
                  <c:v>1</c:v>
                </c:pt>
                <c:pt idx="1">
                  <c:v>4.5999999999999996</c:v>
                </c:pt>
              </c:numCache>
            </c:numRef>
          </c:xVal>
          <c:yVal>
            <c:numRef>
              <c:f>'Summary paired'!$AB$104:$AB$105</c:f>
              <c:numCache>
                <c:formatCode>General</c:formatCode>
                <c:ptCount val="2"/>
                <c:pt idx="0">
                  <c:v>12.88</c:v>
                </c:pt>
                <c:pt idx="1">
                  <c:v>12.88</c:v>
                </c:pt>
              </c:numCache>
            </c:numRef>
          </c:yVal>
        </c:ser>
        <c:ser>
          <c:idx val="0"/>
          <c:order val="5"/>
          <c:spPr>
            <a:ln w="28575">
              <a:noFill/>
            </a:ln>
          </c:spPr>
          <c:marker>
            <c:symbol val="circle"/>
            <c:size val="7"/>
            <c:spPr>
              <a:solidFill>
                <a:srgbClr val="000000"/>
              </a:solidFill>
              <a:ln>
                <a:solidFill>
                  <a:srgbClr val="000000"/>
                </a:solidFill>
                <a:prstDash val="solid"/>
              </a:ln>
            </c:spPr>
          </c:marker>
          <c:xVal>
            <c:numRef>
              <c:f>'Summary paired'!$Y$107:$Y$108</c:f>
              <c:numCache>
                <c:formatCode>General</c:formatCode>
                <c:ptCount val="2"/>
                <c:pt idx="0">
                  <c:v>1</c:v>
                </c:pt>
                <c:pt idx="1">
                  <c:v>3</c:v>
                </c:pt>
              </c:numCache>
            </c:numRef>
          </c:xVal>
          <c:yVal>
            <c:numRef>
              <c:f>'Summary paired'!$Z$107:$Z$108</c:f>
              <c:numCache>
                <c:formatCode>General</c:formatCode>
                <c:ptCount val="2"/>
                <c:pt idx="0">
                  <c:v>12.88</c:v>
                </c:pt>
                <c:pt idx="1">
                  <c:v>14.25</c:v>
                </c:pt>
              </c:numCache>
            </c:numRef>
          </c:yVal>
        </c:ser>
        <c:ser>
          <c:idx val="3"/>
          <c:order val="6"/>
          <c:spPr>
            <a:ln w="28575">
              <a:noFill/>
            </a:ln>
          </c:spPr>
          <c:marker>
            <c:symbol val="none"/>
          </c:marker>
          <c:errBars>
            <c:errDir val="y"/>
            <c:errBarType val="both"/>
            <c:errValType val="cust"/>
            <c:noEndCap val="1"/>
            <c:plus>
              <c:numRef>
                <c:f>'Summary paired'!$Y$111:$Z$111</c:f>
                <c:numCache>
                  <c:formatCode>General</c:formatCode>
                  <c:ptCount val="2"/>
                  <c:pt idx="0">
                    <c:v>1.8117321053245594</c:v>
                  </c:pt>
                  <c:pt idx="1">
                    <c:v>2.2806510031732694</c:v>
                  </c:pt>
                </c:numCache>
              </c:numRef>
            </c:plus>
            <c:minus>
              <c:numRef>
                <c:f>'Summary paired'!$Y$111:$Z$111</c:f>
                <c:numCache>
                  <c:formatCode>General</c:formatCode>
                  <c:ptCount val="2"/>
                  <c:pt idx="0">
                    <c:v>1.8117321053245594</c:v>
                  </c:pt>
                  <c:pt idx="1">
                    <c:v>2.2806510031732694</c:v>
                  </c:pt>
                </c:numCache>
              </c:numRef>
            </c:minus>
            <c:spPr>
              <a:ln w="25400">
                <a:solidFill>
                  <a:srgbClr val="000000"/>
                </a:solidFill>
                <a:prstDash val="solid"/>
              </a:ln>
            </c:spPr>
          </c:errBars>
          <c:xVal>
            <c:numRef>
              <c:f>'Summary paired'!$Y$109:$Y$110</c:f>
              <c:numCache>
                <c:formatCode>General</c:formatCode>
                <c:ptCount val="2"/>
                <c:pt idx="0">
                  <c:v>1</c:v>
                </c:pt>
                <c:pt idx="1">
                  <c:v>3</c:v>
                </c:pt>
              </c:numCache>
            </c:numRef>
          </c:xVal>
          <c:yVal>
            <c:numRef>
              <c:f>'Summary paired'!$Z$109:$Z$110</c:f>
              <c:numCache>
                <c:formatCode>General</c:formatCode>
                <c:ptCount val="2"/>
                <c:pt idx="0">
                  <c:v>12.88</c:v>
                </c:pt>
                <c:pt idx="1">
                  <c:v>14.25</c:v>
                </c:pt>
              </c:numCache>
            </c:numRef>
          </c:yVal>
        </c:ser>
        <c:ser>
          <c:idx val="5"/>
          <c:order val="7"/>
          <c:spPr>
            <a:ln w="28575">
              <a:noFill/>
            </a:ln>
          </c:spPr>
          <c:marker>
            <c:symbol val="none"/>
          </c:marker>
          <c:xVal>
            <c:numRef>
              <c:f>'Summary paired'!$Y$114:$Y$115</c:f>
              <c:numCache>
                <c:formatCode>General</c:formatCode>
                <c:ptCount val="2"/>
                <c:pt idx="0">
                  <c:v>0.8</c:v>
                </c:pt>
                <c:pt idx="1">
                  <c:v>0.8</c:v>
                </c:pt>
              </c:numCache>
            </c:numRef>
          </c:xVal>
          <c:yVal>
            <c:numRef>
              <c:f>'Summary paired'!$Z$114:$Z$115</c:f>
              <c:numCache>
                <c:formatCode>0.00</c:formatCode>
                <c:ptCount val="2"/>
                <c:pt idx="0">
                  <c:v>16.530651003173269</c:v>
                </c:pt>
                <c:pt idx="1">
                  <c:v>11.068267894675442</c:v>
                </c:pt>
              </c:numCache>
            </c:numRef>
          </c:yVal>
        </c:ser>
        <c:axId val="170857600"/>
        <c:axId val="170859520"/>
      </c:scatterChart>
      <c:valAx>
        <c:axId val="170857600"/>
        <c:scaling>
          <c:orientation val="minMax"/>
          <c:max val="5"/>
          <c:min val="0.5"/>
        </c:scaling>
        <c:axPos val="b"/>
        <c:title>
          <c:tx>
            <c:rich>
              <a:bodyPr/>
              <a:lstStyle/>
              <a:p>
                <a:pPr>
                  <a:defRPr sz="1200" b="0" i="0" u="none" strike="noStrike" baseline="0">
                    <a:solidFill>
                      <a:srgbClr val="000000"/>
                    </a:solidFill>
                    <a:latin typeface="Arial"/>
                    <a:ea typeface="Arial"/>
                    <a:cs typeface="Arial"/>
                  </a:defRPr>
                </a:pPr>
                <a:r>
                  <a:rPr lang="en-AU"/>
                  <a:t>Difference</a:t>
                </a:r>
              </a:p>
            </c:rich>
          </c:tx>
          <c:layout>
            <c:manualLayout>
              <c:xMode val="edge"/>
              <c:yMode val="edge"/>
              <c:x val="0.74418677897820906"/>
              <c:y val="0.94163658243080661"/>
            </c:manualLayout>
          </c:layout>
          <c:spPr>
            <a:noFill/>
            <a:ln w="25400">
              <a:noFill/>
            </a:ln>
          </c:spPr>
        </c:title>
        <c:numFmt formatCode="General" sourceLinked="1"/>
        <c:majorTickMark val="none"/>
        <c:tickLblPos val="none"/>
        <c:spPr>
          <a:ln w="3175">
            <a:solidFill>
              <a:srgbClr val="000000"/>
            </a:solidFill>
            <a:prstDash val="solid"/>
          </a:ln>
        </c:spPr>
        <c:crossAx val="170859520"/>
        <c:crosses val="autoZero"/>
        <c:crossBetween val="midCat"/>
      </c:valAx>
      <c:valAx>
        <c:axId val="170859520"/>
        <c:scaling>
          <c:orientation val="minMax"/>
        </c:scaling>
        <c:axPos val="l"/>
        <c:title>
          <c:tx>
            <c:strRef>
              <c:f>'Summary paired'!$W$112</c:f>
              <c:strCache>
                <c:ptCount val="1"/>
                <c:pt idx="0">
                  <c:v>LSAT score</c:v>
                </c:pt>
              </c:strCache>
            </c:strRef>
          </c:tx>
          <c:layout>
            <c:manualLayout>
              <c:xMode val="edge"/>
              <c:yMode val="edge"/>
              <c:x val="1.1627906976744175E-2"/>
              <c:y val="0.31407942238267195"/>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0857600"/>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paperSize="9" orientation="landscape" horizontalDpi="300" verticalDpi="300"/>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17.xml"/><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20.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0</xdr:row>
      <xdr:rowOff>114300</xdr:rowOff>
    </xdr:from>
    <xdr:to>
      <xdr:col>4</xdr:col>
      <xdr:colOff>104775</xdr:colOff>
      <xdr:row>7</xdr:row>
      <xdr:rowOff>114300</xdr:rowOff>
    </xdr:to>
    <xdr:pic>
      <xdr:nvPicPr>
        <xdr:cNvPr id="16385"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66700" y="114300"/>
          <a:ext cx="1152525" cy="12096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9525</xdr:colOff>
      <xdr:row>23</xdr:row>
      <xdr:rowOff>133350</xdr:rowOff>
    </xdr:from>
    <xdr:to>
      <xdr:col>35</xdr:col>
      <xdr:colOff>161925</xdr:colOff>
      <xdr:row>38</xdr:row>
      <xdr:rowOff>0</xdr:rowOff>
    </xdr:to>
    <xdr:graphicFrame macro="">
      <xdr:nvGraphicFramePr>
        <xdr:cNvPr id="2070"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18</xdr:col>
      <xdr:colOff>9525</xdr:colOff>
      <xdr:row>0</xdr:row>
      <xdr:rowOff>9525</xdr:rowOff>
    </xdr:from>
    <xdr:to>
      <xdr:col>35</xdr:col>
      <xdr:colOff>161925</xdr:colOff>
      <xdr:row>24</xdr:row>
      <xdr:rowOff>47625</xdr:rowOff>
    </xdr:to>
    <xdr:graphicFrame macro="">
      <xdr:nvGraphicFramePr>
        <xdr:cNvPr id="206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0</xdr:col>
      <xdr:colOff>47625</xdr:colOff>
      <xdr:row>0</xdr:row>
      <xdr:rowOff>38100</xdr:rowOff>
    </xdr:from>
    <xdr:to>
      <xdr:col>1</xdr:col>
      <xdr:colOff>295275</xdr:colOff>
      <xdr:row>3</xdr:row>
      <xdr:rowOff>66675</xdr:rowOff>
    </xdr:to>
    <xdr:pic>
      <xdr:nvPicPr>
        <xdr:cNvPr id="5671" name="Picture 2599"/>
        <xdr:cNvPicPr>
          <a:picLocks noChangeAspect="1" noChangeArrowheads="1"/>
        </xdr:cNvPicPr>
      </xdr:nvPicPr>
      <xdr:blipFill>
        <a:blip xmlns:r="http://schemas.openxmlformats.org/officeDocument/2006/relationships" r:embed="rId3" cstate="print"/>
        <a:srcRect/>
        <a:stretch>
          <a:fillRect/>
        </a:stretch>
      </xdr:blipFill>
      <xdr:spPr bwMode="auto">
        <a:xfrm>
          <a:off x="47625" y="38100"/>
          <a:ext cx="428625" cy="457200"/>
        </a:xfrm>
        <a:prstGeom prst="rect">
          <a:avLst/>
        </a:prstGeom>
        <a:noFill/>
      </xdr:spPr>
    </xdr:pic>
    <xdr:clientData/>
  </xdr:twoCellAnchor>
  <xdr:twoCellAnchor>
    <xdr:from>
      <xdr:col>19</xdr:col>
      <xdr:colOff>9525</xdr:colOff>
      <xdr:row>27</xdr:row>
      <xdr:rowOff>95250</xdr:rowOff>
    </xdr:from>
    <xdr:to>
      <xdr:col>20</xdr:col>
      <xdr:colOff>457200</xdr:colOff>
      <xdr:row>32</xdr:row>
      <xdr:rowOff>9525</xdr:rowOff>
    </xdr:to>
    <xdr:sp macro="" textlink="">
      <xdr:nvSpPr>
        <xdr:cNvPr id="9297" name="AutoShape 3153" hidden="1"/>
        <xdr:cNvSpPr>
          <a:spLocks/>
        </xdr:cNvSpPr>
      </xdr:nvSpPr>
      <xdr:spPr bwMode="auto">
        <a:xfrm>
          <a:off x="4143375" y="3952875"/>
          <a:ext cx="800100" cy="628650"/>
        </a:xfrm>
        <a:prstGeom prst="borderCallout3">
          <a:avLst>
            <a:gd name="adj1" fmla="val 18181"/>
            <a:gd name="adj2" fmla="val 108889"/>
            <a:gd name="adj3" fmla="val 18181"/>
            <a:gd name="adj4" fmla="val 133333"/>
            <a:gd name="adj5" fmla="val 89394"/>
            <a:gd name="adj6" fmla="val 133333"/>
            <a:gd name="adj7" fmla="val 163634"/>
            <a:gd name="adj8" fmla="val 41111"/>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AU" sz="900" b="0" i="0" u="none" strike="noStrike" baseline="0">
              <a:solidFill>
                <a:srgbClr val="000000"/>
              </a:solidFill>
              <a:latin typeface="Arial"/>
              <a:cs typeface="Arial"/>
            </a:rPr>
            <a:t>Click with tip of mouse arrow exactly on red cross</a:t>
          </a:r>
        </a:p>
      </xdr:txBody>
    </xdr:sp>
    <xdr:clientData/>
  </xdr:twoCellAnchor>
  <xdr:twoCellAnchor>
    <xdr:from>
      <xdr:col>31</xdr:col>
      <xdr:colOff>9525</xdr:colOff>
      <xdr:row>26</xdr:row>
      <xdr:rowOff>57150</xdr:rowOff>
    </xdr:from>
    <xdr:to>
      <xdr:col>32</xdr:col>
      <xdr:colOff>190500</xdr:colOff>
      <xdr:row>28</xdr:row>
      <xdr:rowOff>104775</xdr:rowOff>
    </xdr:to>
    <xdr:sp macro="" textlink="">
      <xdr:nvSpPr>
        <xdr:cNvPr id="9298" name="AutoShape 3154" hidden="1"/>
        <xdr:cNvSpPr>
          <a:spLocks/>
        </xdr:cNvSpPr>
      </xdr:nvSpPr>
      <xdr:spPr bwMode="auto">
        <a:xfrm>
          <a:off x="8534400" y="3771900"/>
          <a:ext cx="495300" cy="333375"/>
        </a:xfrm>
        <a:prstGeom prst="borderCallout2">
          <a:avLst>
            <a:gd name="adj1" fmla="val 34287"/>
            <a:gd name="adj2" fmla="val 115384"/>
            <a:gd name="adj3" fmla="val 34287"/>
            <a:gd name="adj4" fmla="val 184616"/>
            <a:gd name="adj5" fmla="val -42856"/>
            <a:gd name="adj6" fmla="val 240384"/>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AU" sz="900" b="0" i="0" u="none" strike="noStrike" baseline="0">
              <a:solidFill>
                <a:srgbClr val="000000"/>
              </a:solidFill>
              <a:latin typeface="Arial"/>
              <a:cs typeface="Arial"/>
            </a:rPr>
            <a:t>Then this one</a:t>
          </a:r>
        </a:p>
      </xdr:txBody>
    </xdr:sp>
    <xdr:clientData/>
  </xdr:twoCellAnchor>
  <xdr:twoCellAnchor editAs="absolute">
    <xdr:from>
      <xdr:col>17</xdr:col>
      <xdr:colOff>9525</xdr:colOff>
      <xdr:row>38</xdr:row>
      <xdr:rowOff>9525</xdr:rowOff>
    </xdr:from>
    <xdr:to>
      <xdr:col>37</xdr:col>
      <xdr:colOff>104775</xdr:colOff>
      <xdr:row>44</xdr:row>
      <xdr:rowOff>9525</xdr:rowOff>
    </xdr:to>
    <xdr:sp macro="" textlink="">
      <xdr:nvSpPr>
        <xdr:cNvPr id="19884" name="Rectangle 12716"/>
        <xdr:cNvSpPr>
          <a:spLocks noChangeArrowheads="1"/>
        </xdr:cNvSpPr>
      </xdr:nvSpPr>
      <xdr:spPr bwMode="auto">
        <a:xfrm>
          <a:off x="3676650" y="5438775"/>
          <a:ext cx="6838950" cy="857250"/>
        </a:xfrm>
        <a:prstGeom prst="rect">
          <a:avLst/>
        </a:prstGeom>
        <a:solidFill>
          <a:srgbClr val="FF99CC"/>
        </a:solidFill>
        <a:ln w="9525">
          <a:solidFill>
            <a:srgbClr val="000000"/>
          </a:solidFill>
          <a:miter lim="800000"/>
          <a:headEnd/>
          <a:tailEnd/>
        </a:ln>
      </xdr:spPr>
    </xdr:sp>
    <xdr:clientData/>
  </xdr:twoCellAnchor>
  <xdr:twoCellAnchor>
    <xdr:from>
      <xdr:col>1</xdr:col>
      <xdr:colOff>28575</xdr:colOff>
      <xdr:row>16</xdr:row>
      <xdr:rowOff>66675</xdr:rowOff>
    </xdr:from>
    <xdr:to>
      <xdr:col>1</xdr:col>
      <xdr:colOff>323850</xdr:colOff>
      <xdr:row>18</xdr:row>
      <xdr:rowOff>76200</xdr:rowOff>
    </xdr:to>
    <xdr:graphicFrame macro="">
      <xdr:nvGraphicFramePr>
        <xdr:cNvPr id="19909" name="Chart 127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28575</xdr:colOff>
      <xdr:row>25</xdr:row>
      <xdr:rowOff>123825</xdr:rowOff>
    </xdr:from>
    <xdr:to>
      <xdr:col>1</xdr:col>
      <xdr:colOff>323850</xdr:colOff>
      <xdr:row>27</xdr:row>
      <xdr:rowOff>133350</xdr:rowOff>
    </xdr:to>
    <xdr:graphicFrame macro="">
      <xdr:nvGraphicFramePr>
        <xdr:cNvPr id="19910" name="Chart 127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22</xdr:row>
      <xdr:rowOff>76200</xdr:rowOff>
    </xdr:from>
    <xdr:to>
      <xdr:col>1</xdr:col>
      <xdr:colOff>333375</xdr:colOff>
      <xdr:row>24</xdr:row>
      <xdr:rowOff>95250</xdr:rowOff>
    </xdr:to>
    <xdr:graphicFrame macro="">
      <xdr:nvGraphicFramePr>
        <xdr:cNvPr id="19911" name="Chart 127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19050</xdr:colOff>
      <xdr:row>19</xdr:row>
      <xdr:rowOff>66675</xdr:rowOff>
    </xdr:from>
    <xdr:to>
      <xdr:col>1</xdr:col>
      <xdr:colOff>304800</xdr:colOff>
      <xdr:row>21</xdr:row>
      <xdr:rowOff>66675</xdr:rowOff>
    </xdr:to>
    <xdr:graphicFrame macro="">
      <xdr:nvGraphicFramePr>
        <xdr:cNvPr id="19912" name="Chart 127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9525</xdr:colOff>
      <xdr:row>13</xdr:row>
      <xdr:rowOff>0</xdr:rowOff>
    </xdr:from>
    <xdr:to>
      <xdr:col>26</xdr:col>
      <xdr:colOff>228600</xdr:colOff>
      <xdr:row>36</xdr:row>
      <xdr:rowOff>114300</xdr:rowOff>
    </xdr:to>
    <xdr:graphicFrame macro="">
      <xdr:nvGraphicFramePr>
        <xdr:cNvPr id="20481"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9</xdr:col>
      <xdr:colOff>0</xdr:colOff>
      <xdr:row>0</xdr:row>
      <xdr:rowOff>9525</xdr:rowOff>
    </xdr:from>
    <xdr:to>
      <xdr:col>28</xdr:col>
      <xdr:colOff>0</xdr:colOff>
      <xdr:row>27</xdr:row>
      <xdr:rowOff>133350</xdr:rowOff>
    </xdr:to>
    <xdr:graphicFrame macro="">
      <xdr:nvGraphicFramePr>
        <xdr:cNvPr id="20482"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1</xdr:col>
      <xdr:colOff>47625</xdr:colOff>
      <xdr:row>0</xdr:row>
      <xdr:rowOff>47625</xdr:rowOff>
    </xdr:from>
    <xdr:to>
      <xdr:col>2</xdr:col>
      <xdr:colOff>323850</xdr:colOff>
      <xdr:row>3</xdr:row>
      <xdr:rowOff>76200</xdr:rowOff>
    </xdr:to>
    <xdr:pic>
      <xdr:nvPicPr>
        <xdr:cNvPr id="20483" name="Picture 57"/>
        <xdr:cNvPicPr>
          <a:picLocks noChangeAspect="1" noChangeArrowheads="1"/>
        </xdr:cNvPicPr>
      </xdr:nvPicPr>
      <xdr:blipFill>
        <a:blip xmlns:r="http://schemas.openxmlformats.org/officeDocument/2006/relationships" r:embed="rId3" cstate="print"/>
        <a:srcRect/>
        <a:stretch>
          <a:fillRect/>
        </a:stretch>
      </xdr:blipFill>
      <xdr:spPr bwMode="auto">
        <a:xfrm>
          <a:off x="95250" y="47625"/>
          <a:ext cx="428625" cy="457200"/>
        </a:xfrm>
        <a:prstGeom prst="rect">
          <a:avLst/>
        </a:prstGeom>
        <a:noFill/>
        <a:ln w="9525">
          <a:noFill/>
          <a:miter lim="800000"/>
          <a:headEnd/>
          <a:tailEnd/>
        </a:ln>
      </xdr:spPr>
    </xdr:pic>
    <xdr:clientData/>
  </xdr:twoCellAnchor>
</xdr:wsDr>
</file>

<file path=xl/drawings/drawing4.xml><?xml version="1.0" encoding="utf-8"?>
<c:userShapes xmlns:c="http://schemas.openxmlformats.org/drawingml/2006/chart">
  <cdr:relSizeAnchor xmlns:cdr="http://schemas.openxmlformats.org/drawingml/2006/chartDrawing">
    <cdr:from>
      <cdr:x>0.52796</cdr:x>
      <cdr:y>0.9334</cdr:y>
    </cdr:from>
    <cdr:to>
      <cdr:x>0.56111</cdr:x>
      <cdr:y>0.98416</cdr:y>
    </cdr:to>
    <cdr:sp macro="" textlink="">
      <cdr:nvSpPr>
        <cdr:cNvPr id="22529" name="Text Box 1"/>
        <cdr:cNvSpPr txBox="1">
          <a:spLocks xmlns:a="http://schemas.openxmlformats.org/drawingml/2006/main" noChangeArrowheads="1"/>
        </cdr:cNvSpPr>
      </cdr:nvSpPr>
      <cdr:spPr bwMode="auto">
        <a:xfrm xmlns:a="http://schemas.openxmlformats.org/drawingml/2006/main">
          <a:off x="4835834" y="3728364"/>
          <a:ext cx="303452" cy="2025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400" b="1" i="1" u="none" strike="noStrike" baseline="0">
              <a:solidFill>
                <a:srgbClr val="000000"/>
              </a:solidFill>
              <a:latin typeface="Arial"/>
              <a:cs typeface="Arial"/>
            </a:rPr>
            <a:t>z</a:t>
          </a:r>
          <a:r>
            <a:rPr lang="en-AU" sz="1400" b="1" i="0" u="none" strike="noStrike" baseline="0">
              <a:solidFill>
                <a:srgbClr val="000000"/>
              </a:solidFill>
              <a:latin typeface="Arial"/>
              <a:cs typeface="Arial"/>
            </a:rPr>
            <a:t> </a:t>
          </a:r>
        </a:p>
      </cdr:txBody>
    </cdr:sp>
  </cdr:relSizeAnchor>
  <cdr:relSizeAnchor xmlns:cdr="http://schemas.openxmlformats.org/drawingml/2006/chartDrawing">
    <cdr:from>
      <cdr:x>0.44062</cdr:x>
      <cdr:y>0.00193</cdr:y>
    </cdr:from>
    <cdr:to>
      <cdr:x>0.48046</cdr:x>
      <cdr:y>0.06464</cdr:y>
    </cdr:to>
    <cdr:sp macro="" textlink="Normal!$AR$18">
      <cdr:nvSpPr>
        <cdr:cNvPr id="22532" name="Text Box 4"/>
        <cdr:cNvSpPr txBox="1">
          <a:spLocks xmlns:a="http://schemas.openxmlformats.org/drawingml/2006/main" noChangeArrowheads="1" noTextEdit="1"/>
        </cdr:cNvSpPr>
      </cdr:nvSpPr>
      <cdr:spPr bwMode="auto">
        <a:xfrm xmlns:a="http://schemas.openxmlformats.org/drawingml/2006/main">
          <a:off x="4036441" y="10869"/>
          <a:ext cx="364596" cy="25030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fld id="{9F75C202-15DF-413A-B92F-E0165AA07AAF}" type="TxLink">
            <a:rPr lang="en-AU" sz="1200" b="1" i="1" u="none" strike="noStrike" baseline="0">
              <a:solidFill>
                <a:srgbClr val="800000"/>
              </a:solidFill>
              <a:latin typeface="Arial"/>
              <a:cs typeface="Arial"/>
            </a:rPr>
            <a:pPr algn="ctr" rtl="0">
              <a:defRPr sz="1000"/>
            </a:pPr>
            <a:t>X</a:t>
          </a:fld>
          <a:endParaRPr lang="en-AU" sz="1200" b="1" i="1" u="none" strike="noStrike" baseline="0">
            <a:solidFill>
              <a:srgbClr val="800000"/>
            </a:solidFill>
            <a:latin typeface="Arial"/>
            <a:cs typeface="Arial"/>
          </a:endParaRPr>
        </a:p>
      </cdr:txBody>
    </cdr:sp>
  </cdr:relSizeAnchor>
  <cdr:relSizeAnchor xmlns:cdr="http://schemas.openxmlformats.org/drawingml/2006/chartDrawing">
    <cdr:from>
      <cdr:x>0.29812</cdr:x>
      <cdr:y>0.11199</cdr:y>
    </cdr:from>
    <cdr:to>
      <cdr:x>0.61999</cdr:x>
      <cdr:y>0.17885</cdr:y>
    </cdr:to>
    <cdr:sp macro="" textlink="Normal!$AR$19">
      <cdr:nvSpPr>
        <cdr:cNvPr id="22533" name="Text Box 5"/>
        <cdr:cNvSpPr txBox="1">
          <a:spLocks xmlns:a="http://schemas.openxmlformats.org/drawingml/2006/main" noChangeArrowheads="1" noTextEdit="1"/>
        </cdr:cNvSpPr>
      </cdr:nvSpPr>
      <cdr:spPr bwMode="auto">
        <a:xfrm xmlns:a="http://schemas.openxmlformats.org/drawingml/2006/main">
          <a:off x="2732049" y="450112"/>
          <a:ext cx="2946204" cy="26685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3755E274-C86D-4321-B3A7-A92C63E122C4}" type="TxLink">
            <a:rPr lang="en-AU" sz="1200" b="0" i="0" u="none" strike="noStrike" baseline="0">
              <a:solidFill>
                <a:srgbClr val="800000"/>
              </a:solidFill>
              <a:latin typeface="Arial"/>
              <a:cs typeface="Arial"/>
            </a:rPr>
            <a:pPr algn="ctr" rtl="0">
              <a:defRPr sz="1000"/>
            </a:pPr>
            <a:t>IQ points</a:t>
          </a:fld>
          <a:endParaRPr lang="en-AU" sz="1200" b="0" i="0" u="none" strike="noStrike" baseline="0">
            <a:solidFill>
              <a:srgbClr val="800000"/>
            </a:solidFill>
            <a:latin typeface="Arial"/>
            <a:cs typeface="Arial"/>
          </a:endParaRP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13</xdr:col>
      <xdr:colOff>9525</xdr:colOff>
      <xdr:row>13</xdr:row>
      <xdr:rowOff>0</xdr:rowOff>
    </xdr:from>
    <xdr:to>
      <xdr:col>25</xdr:col>
      <xdr:colOff>114300</xdr:colOff>
      <xdr:row>37</xdr:row>
      <xdr:rowOff>0</xdr:rowOff>
    </xdr:to>
    <xdr:graphicFrame macro="">
      <xdr:nvGraphicFramePr>
        <xdr:cNvPr id="23553"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9</xdr:col>
      <xdr:colOff>0</xdr:colOff>
      <xdr:row>0</xdr:row>
      <xdr:rowOff>9525</xdr:rowOff>
    </xdr:from>
    <xdr:to>
      <xdr:col>28</xdr:col>
      <xdr:colOff>0</xdr:colOff>
      <xdr:row>27</xdr:row>
      <xdr:rowOff>133350</xdr:rowOff>
    </xdr:to>
    <xdr:graphicFrame macro="">
      <xdr:nvGraphicFramePr>
        <xdr:cNvPr id="2355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1</xdr:col>
      <xdr:colOff>47625</xdr:colOff>
      <xdr:row>0</xdr:row>
      <xdr:rowOff>47625</xdr:rowOff>
    </xdr:from>
    <xdr:to>
      <xdr:col>2</xdr:col>
      <xdr:colOff>323850</xdr:colOff>
      <xdr:row>3</xdr:row>
      <xdr:rowOff>76200</xdr:rowOff>
    </xdr:to>
    <xdr:pic>
      <xdr:nvPicPr>
        <xdr:cNvPr id="23555" name="Picture 57"/>
        <xdr:cNvPicPr>
          <a:picLocks noChangeAspect="1" noChangeArrowheads="1"/>
        </xdr:cNvPicPr>
      </xdr:nvPicPr>
      <xdr:blipFill>
        <a:blip xmlns:r="http://schemas.openxmlformats.org/officeDocument/2006/relationships" r:embed="rId3" cstate="print"/>
        <a:srcRect/>
        <a:stretch>
          <a:fillRect/>
        </a:stretch>
      </xdr:blipFill>
      <xdr:spPr bwMode="auto">
        <a:xfrm>
          <a:off x="95250" y="47625"/>
          <a:ext cx="428625" cy="457200"/>
        </a:xfrm>
        <a:prstGeom prst="rect">
          <a:avLst/>
        </a:prstGeom>
        <a:noFill/>
        <a:ln w="9525">
          <a:noFill/>
          <a:miter lim="800000"/>
          <a:headEnd/>
          <a:tailEnd/>
        </a:ln>
      </xdr:spPr>
    </xdr:pic>
    <xdr:clientData/>
  </xdr:twoCellAnchor>
  <xdr:twoCellAnchor>
    <xdr:from>
      <xdr:col>10</xdr:col>
      <xdr:colOff>38100</xdr:colOff>
      <xdr:row>6</xdr:row>
      <xdr:rowOff>9525</xdr:rowOff>
    </xdr:from>
    <xdr:to>
      <xdr:col>13</xdr:col>
      <xdr:colOff>47625</xdr:colOff>
      <xdr:row>10</xdr:row>
      <xdr:rowOff>66675</xdr:rowOff>
    </xdr:to>
    <xdr:sp macro="" textlink="$AY$2">
      <xdr:nvSpPr>
        <xdr:cNvPr id="23609" name="Text Box 57"/>
        <xdr:cNvSpPr txBox="1">
          <a:spLocks noChangeArrowheads="1" noTextEdit="1"/>
        </xdr:cNvSpPr>
      </xdr:nvSpPr>
      <xdr:spPr bwMode="auto">
        <a:xfrm>
          <a:off x="2638425" y="866775"/>
          <a:ext cx="866775" cy="6286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fld id="{9B15800C-0065-4048-847E-DD6B23172175}" type="TxLink">
            <a:rPr lang="en-AU" sz="1000" b="0" i="0" u="none" strike="noStrike" baseline="0">
              <a:solidFill>
                <a:srgbClr val="000000"/>
              </a:solidFill>
              <a:latin typeface="Arial"/>
              <a:cs typeface="Arial"/>
            </a:rPr>
            <a:pPr algn="l" rtl="0">
              <a:defRPr sz="1000"/>
            </a:pPr>
            <a:t>Probabilities are areas under the blue curve (Normal)</a:t>
          </a:fld>
          <a:endParaRPr lang="en-AU" sz="1000" b="0" i="0" u="none" strike="noStrike" baseline="0">
            <a:solidFill>
              <a:srgbClr val="000000"/>
            </a:solidFill>
            <a:latin typeface="Arial"/>
            <a:cs typeface="Arial"/>
          </a:endParaRPr>
        </a:p>
      </xdr:txBody>
    </xdr:sp>
    <xdr:clientData/>
  </xdr:twoCellAnchor>
</xdr:wsDr>
</file>

<file path=xl/drawings/drawing6.xml><?xml version="1.0" encoding="utf-8"?>
<c:userShapes xmlns:c="http://schemas.openxmlformats.org/drawingml/2006/chart">
  <cdr:relSizeAnchor xmlns:cdr="http://schemas.openxmlformats.org/drawingml/2006/chartDrawing">
    <cdr:from>
      <cdr:x>0.52796</cdr:x>
      <cdr:y>0.94292</cdr:y>
    </cdr:from>
    <cdr:to>
      <cdr:x>0.58487</cdr:x>
      <cdr:y>0.99295</cdr:y>
    </cdr:to>
    <cdr:sp macro="" textlink="">
      <cdr:nvSpPr>
        <cdr:cNvPr id="16385" name="Text Box 1"/>
        <cdr:cNvSpPr txBox="1">
          <a:spLocks xmlns:a="http://schemas.openxmlformats.org/drawingml/2006/main" noChangeArrowheads="1"/>
        </cdr:cNvSpPr>
      </cdr:nvSpPr>
      <cdr:spPr bwMode="auto">
        <a:xfrm xmlns:a="http://schemas.openxmlformats.org/drawingml/2006/main">
          <a:off x="4926417" y="3766348"/>
          <a:ext cx="509527" cy="19965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z</a:t>
          </a:r>
          <a:r>
            <a:rPr lang="en-AU" sz="1200" b="0" i="0" u="none" strike="noStrike" baseline="0">
              <a:solidFill>
                <a:srgbClr val="000000"/>
              </a:solidFill>
              <a:latin typeface="Arial"/>
              <a:cs typeface="Arial"/>
            </a:rPr>
            <a:t> or</a:t>
          </a:r>
          <a:r>
            <a:rPr lang="en-AU" sz="1200" b="0" i="1" u="none" strike="noStrike" baseline="0">
              <a:solidFill>
                <a:srgbClr val="000000"/>
              </a:solidFill>
              <a:latin typeface="Arial"/>
              <a:cs typeface="Arial"/>
            </a:rPr>
            <a:t> t</a:t>
          </a:r>
        </a:p>
      </cdr:txBody>
    </cdr:sp>
  </cdr:relSizeAnchor>
  <cdr:relSizeAnchor xmlns:cdr="http://schemas.openxmlformats.org/drawingml/2006/chartDrawing">
    <cdr:from>
      <cdr:x>0.07894</cdr:x>
      <cdr:y>0.10813</cdr:y>
    </cdr:from>
    <cdr:to>
      <cdr:x>0.14746</cdr:x>
      <cdr:y>0.26674</cdr:y>
    </cdr:to>
    <cdr:sp macro="" textlink="">
      <cdr:nvSpPr>
        <cdr:cNvPr id="16386" name="Text Box 2"/>
        <cdr:cNvSpPr txBox="1">
          <a:spLocks xmlns:a="http://schemas.openxmlformats.org/drawingml/2006/main" noChangeArrowheads="1"/>
        </cdr:cNvSpPr>
      </cdr:nvSpPr>
      <cdr:spPr bwMode="auto">
        <a:xfrm xmlns:a="http://schemas.openxmlformats.org/drawingml/2006/main">
          <a:off x="900013" y="544583"/>
          <a:ext cx="611434" cy="6106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Normal</a:t>
          </a:r>
        </a:p>
        <a:p xmlns:a="http://schemas.openxmlformats.org/drawingml/2006/main">
          <a:pPr algn="l" rtl="0">
            <a:defRPr sz="1000"/>
          </a:pPr>
          <a:r>
            <a:rPr lang="en-AU" sz="1200" b="0" i="1" u="none" strike="noStrike" baseline="0">
              <a:solidFill>
                <a:srgbClr val="000000"/>
              </a:solidFill>
              <a:latin typeface="Arial"/>
              <a:cs typeface="Arial"/>
            </a:rPr>
            <a:t>t</a:t>
          </a:r>
          <a:endParaRPr lang="en-AU" sz="1200" b="0" i="0" u="none" strike="noStrike" baseline="0">
            <a:solidFill>
              <a:srgbClr val="000000"/>
            </a:solidFill>
            <a:latin typeface="Arial"/>
            <a:cs typeface="Arial"/>
          </a:endParaRPr>
        </a:p>
        <a:p xmlns:a="http://schemas.openxmlformats.org/drawingml/2006/main">
          <a:pPr algn="l" rtl="0">
            <a:defRPr sz="1000"/>
          </a:pPr>
          <a:endParaRPr lang="en-AU" sz="1200" b="0" i="0" u="none" strike="noStrike" baseline="0">
            <a:solidFill>
              <a:srgbClr val="000000"/>
            </a:solidFill>
            <a:latin typeface="Arial"/>
            <a:cs typeface="Arial"/>
          </a:endParaRPr>
        </a:p>
        <a:p xmlns:a="http://schemas.openxmlformats.org/drawingml/2006/main">
          <a:pPr algn="l" rtl="0">
            <a:defRPr sz="1000"/>
          </a:pPr>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0.04207</cdr:x>
      <cdr:y>0.13956</cdr:y>
    </cdr:from>
    <cdr:to>
      <cdr:x>0.0772</cdr:x>
      <cdr:y>0.13956</cdr:y>
    </cdr:to>
    <cdr:sp macro="" textlink="">
      <cdr:nvSpPr>
        <cdr:cNvPr id="25604" name="Line 4"/>
        <cdr:cNvSpPr>
          <a:spLocks xmlns:a="http://schemas.openxmlformats.org/drawingml/2006/main" noChangeShapeType="1"/>
        </cdr:cNvSpPr>
      </cdr:nvSpPr>
      <cdr:spPr bwMode="auto">
        <a:xfrm xmlns:a="http://schemas.openxmlformats.org/drawingml/2006/main">
          <a:off x="388221" y="560166"/>
          <a:ext cx="321569" cy="0"/>
        </a:xfrm>
        <a:prstGeom xmlns:a="http://schemas.openxmlformats.org/drawingml/2006/main" prst="line">
          <a:avLst/>
        </a:prstGeom>
        <a:noFill xmlns:a="http://schemas.openxmlformats.org/drawingml/2006/main"/>
        <a:ln xmlns:a="http://schemas.openxmlformats.org/drawingml/2006/main" w="12700">
          <a:solidFill>
            <a:srgbClr val="0000FF"/>
          </a:solidFill>
          <a:round/>
          <a:headEnd/>
          <a:tailEnd/>
        </a:ln>
      </cdr:spPr>
    </cdr:sp>
  </cdr:relSizeAnchor>
  <cdr:relSizeAnchor xmlns:cdr="http://schemas.openxmlformats.org/drawingml/2006/chartDrawing">
    <cdr:from>
      <cdr:x>0.04207</cdr:x>
      <cdr:y>0.18666</cdr:y>
    </cdr:from>
    <cdr:to>
      <cdr:x>0.0772</cdr:x>
      <cdr:y>0.18666</cdr:y>
    </cdr:to>
    <cdr:sp macro="" textlink="">
      <cdr:nvSpPr>
        <cdr:cNvPr id="25605" name="Line 5"/>
        <cdr:cNvSpPr>
          <a:spLocks xmlns:a="http://schemas.openxmlformats.org/drawingml/2006/main" noChangeShapeType="1"/>
        </cdr:cNvSpPr>
      </cdr:nvSpPr>
      <cdr:spPr bwMode="auto">
        <a:xfrm xmlns:a="http://schemas.openxmlformats.org/drawingml/2006/main">
          <a:off x="388221" y="748135"/>
          <a:ext cx="321569" cy="0"/>
        </a:xfrm>
        <a:prstGeom xmlns:a="http://schemas.openxmlformats.org/drawingml/2006/main" prst="line">
          <a:avLst/>
        </a:prstGeom>
        <a:noFill xmlns:a="http://schemas.openxmlformats.org/drawingml/2006/main"/>
        <a:ln xmlns:a="http://schemas.openxmlformats.org/drawingml/2006/main" w="12700">
          <a:solidFill>
            <a:srgbClr val="FF0000"/>
          </a:solidFill>
          <a:round/>
          <a:headEnd/>
          <a:tailEnd/>
        </a:ln>
      </cdr:spPr>
    </cdr:sp>
  </cdr:relSizeAnchor>
  <cdr:relSizeAnchor xmlns:cdr="http://schemas.openxmlformats.org/drawingml/2006/chartDrawing">
    <cdr:from>
      <cdr:x>0.50049</cdr:x>
      <cdr:y>0.5</cdr:y>
    </cdr:from>
    <cdr:to>
      <cdr:x>0.50891</cdr:x>
      <cdr:y>0.5471</cdr:y>
    </cdr:to>
    <cdr:sp macro="" textlink="'Normal and t'!$AY$2">
      <cdr:nvSpPr>
        <cdr:cNvPr id="25607" name="Text Box 7"/>
        <cdr:cNvSpPr txBox="1">
          <a:spLocks xmlns:a="http://schemas.openxmlformats.org/drawingml/2006/main" noChangeArrowheads="1" noTextEdit="1"/>
        </cdr:cNvSpPr>
      </cdr:nvSpPr>
      <cdr:spPr bwMode="auto">
        <a:xfrm xmlns:a="http://schemas.openxmlformats.org/drawingml/2006/main">
          <a:off x="4584467" y="1998663"/>
          <a:ext cx="76995" cy="18796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03E8B76D-EAB2-4D3E-A5DA-9E5BB550E3EC}" type="TxLink">
            <a:rPr lang="en-AU" sz="1000" b="0" i="0" u="none" strike="noStrike" baseline="0">
              <a:solidFill>
                <a:srgbClr val="000000"/>
              </a:solidFill>
              <a:latin typeface="Arial"/>
              <a:cs typeface="Arial"/>
            </a:rPr>
            <a:pPr algn="ctr" rtl="0">
              <a:defRPr sz="1000"/>
            </a:pPr>
            <a:t>Probabilities are areas under the blue curve (Normal)</a:t>
          </a:fld>
          <a:endParaRPr lang="en-AU" sz="1000" b="0" i="0" u="none" strike="noStrike" baseline="0">
            <a:solidFill>
              <a:srgbClr val="000000"/>
            </a:solidFill>
            <a:latin typeface="Arial"/>
            <a:cs typeface="Arial"/>
          </a:endParaRPr>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35</xdr:col>
      <xdr:colOff>0</xdr:colOff>
      <xdr:row>12</xdr:row>
      <xdr:rowOff>0</xdr:rowOff>
    </xdr:from>
    <xdr:to>
      <xdr:col>47</xdr:col>
      <xdr:colOff>361950</xdr:colOff>
      <xdr:row>37</xdr:row>
      <xdr:rowOff>0</xdr:rowOff>
    </xdr:to>
    <xdr:graphicFrame macro="">
      <xdr:nvGraphicFramePr>
        <xdr:cNvPr id="2662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35</xdr:col>
      <xdr:colOff>0</xdr:colOff>
      <xdr:row>0</xdr:row>
      <xdr:rowOff>9525</xdr:rowOff>
    </xdr:from>
    <xdr:to>
      <xdr:col>47</xdr:col>
      <xdr:colOff>361950</xdr:colOff>
      <xdr:row>12</xdr:row>
      <xdr:rowOff>0</xdr:rowOff>
    </xdr:to>
    <xdr:graphicFrame macro="">
      <xdr:nvGraphicFramePr>
        <xdr:cNvPr id="2662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18</xdr:col>
      <xdr:colOff>47625</xdr:colOff>
      <xdr:row>0</xdr:row>
      <xdr:rowOff>47625</xdr:rowOff>
    </xdr:from>
    <xdr:to>
      <xdr:col>20</xdr:col>
      <xdr:colOff>0</xdr:colOff>
      <xdr:row>3</xdr:row>
      <xdr:rowOff>47625</xdr:rowOff>
    </xdr:to>
    <xdr:pic>
      <xdr:nvPicPr>
        <xdr:cNvPr id="26629" name="Picture 57"/>
        <xdr:cNvPicPr>
          <a:picLocks noChangeAspect="1" noChangeArrowheads="1"/>
        </xdr:cNvPicPr>
      </xdr:nvPicPr>
      <xdr:blipFill>
        <a:blip xmlns:r="http://schemas.openxmlformats.org/officeDocument/2006/relationships" r:embed="rId3" cstate="print"/>
        <a:srcRect/>
        <a:stretch>
          <a:fillRect/>
        </a:stretch>
      </xdr:blipFill>
      <xdr:spPr bwMode="auto">
        <a:xfrm>
          <a:off x="95250" y="47625"/>
          <a:ext cx="457200" cy="4572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0</xdr:row>
      <xdr:rowOff>9525</xdr:rowOff>
    </xdr:from>
    <xdr:to>
      <xdr:col>18</xdr:col>
      <xdr:colOff>504825</xdr:colOff>
      <xdr:row>36</xdr:row>
      <xdr:rowOff>19050</xdr:rowOff>
    </xdr:to>
    <xdr:graphicFrame macro="">
      <xdr:nvGraphicFramePr>
        <xdr:cNvPr id="10752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57150</xdr:colOff>
      <xdr:row>0</xdr:row>
      <xdr:rowOff>38100</xdr:rowOff>
    </xdr:from>
    <xdr:to>
      <xdr:col>1</xdr:col>
      <xdr:colOff>285750</xdr:colOff>
      <xdr:row>3</xdr:row>
      <xdr:rowOff>28575</xdr:rowOff>
    </xdr:to>
    <xdr:pic>
      <xdr:nvPicPr>
        <xdr:cNvPr id="107522"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57150" y="38100"/>
          <a:ext cx="428625" cy="447675"/>
        </a:xfrm>
        <a:prstGeom prst="rect">
          <a:avLst/>
        </a:prstGeom>
        <a:noFill/>
        <a:ln w="9525">
          <a:noFill/>
          <a:miter lim="800000"/>
          <a:headEnd/>
          <a:tailEnd/>
        </a:ln>
      </xdr:spPr>
    </xdr:pic>
    <xdr:clientData/>
  </xdr:twoCellAnchor>
  <xdr:twoCellAnchor editAs="oneCell">
    <xdr:from>
      <xdr:col>0</xdr:col>
      <xdr:colOff>57150</xdr:colOff>
      <xdr:row>0</xdr:row>
      <xdr:rowOff>28575</xdr:rowOff>
    </xdr:from>
    <xdr:to>
      <xdr:col>1</xdr:col>
      <xdr:colOff>285750</xdr:colOff>
      <xdr:row>3</xdr:row>
      <xdr:rowOff>28575</xdr:rowOff>
    </xdr:to>
    <xdr:pic>
      <xdr:nvPicPr>
        <xdr:cNvPr id="107523" name="Picture 22"/>
        <xdr:cNvPicPr>
          <a:picLocks noChangeAspect="1" noChangeArrowheads="1"/>
        </xdr:cNvPicPr>
      </xdr:nvPicPr>
      <xdr:blipFill>
        <a:blip xmlns:r="http://schemas.openxmlformats.org/officeDocument/2006/relationships" r:embed="rId3" cstate="print"/>
        <a:srcRect/>
        <a:stretch>
          <a:fillRect/>
        </a:stretch>
      </xdr:blipFill>
      <xdr:spPr bwMode="auto">
        <a:xfrm>
          <a:off x="57150" y="28575"/>
          <a:ext cx="428625" cy="45720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9525</xdr:colOff>
      <xdr:row>36</xdr:row>
      <xdr:rowOff>9525</xdr:rowOff>
    </xdr:from>
    <xdr:to>
      <xdr:col>20</xdr:col>
      <xdr:colOff>76200</xdr:colOff>
      <xdr:row>44</xdr:row>
      <xdr:rowOff>38100</xdr:rowOff>
    </xdr:to>
    <xdr:sp macro="" textlink="">
      <xdr:nvSpPr>
        <xdr:cNvPr id="139265" name="Rectangle 77"/>
        <xdr:cNvSpPr>
          <a:spLocks noChangeArrowheads="1"/>
        </xdr:cNvSpPr>
      </xdr:nvSpPr>
      <xdr:spPr bwMode="auto">
        <a:xfrm>
          <a:off x="2143125" y="5495925"/>
          <a:ext cx="3171825" cy="1247775"/>
        </a:xfrm>
        <a:prstGeom prst="rect">
          <a:avLst/>
        </a:prstGeom>
        <a:solidFill>
          <a:srgbClr val="FFFFFF"/>
        </a:solidFill>
        <a:ln w="9525">
          <a:noFill/>
          <a:miter lim="800000"/>
          <a:headEnd/>
          <a:tailEnd/>
        </a:ln>
      </xdr:spPr>
    </xdr:sp>
    <xdr:clientData/>
  </xdr:twoCellAnchor>
  <xdr:twoCellAnchor editAs="oneCell">
    <xdr:from>
      <xdr:col>27</xdr:col>
      <xdr:colOff>9525</xdr:colOff>
      <xdr:row>0</xdr:row>
      <xdr:rowOff>9525</xdr:rowOff>
    </xdr:from>
    <xdr:to>
      <xdr:col>35</xdr:col>
      <xdr:colOff>409575</xdr:colOff>
      <xdr:row>36</xdr:row>
      <xdr:rowOff>85725</xdr:rowOff>
    </xdr:to>
    <xdr:graphicFrame macro="">
      <xdr:nvGraphicFramePr>
        <xdr:cNvPr id="139266"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20</xdr:col>
      <xdr:colOff>0</xdr:colOff>
      <xdr:row>0</xdr:row>
      <xdr:rowOff>9525</xdr:rowOff>
    </xdr:from>
    <xdr:to>
      <xdr:col>27</xdr:col>
      <xdr:colOff>9525</xdr:colOff>
      <xdr:row>36</xdr:row>
      <xdr:rowOff>85725</xdr:rowOff>
    </xdr:to>
    <xdr:graphicFrame macro="">
      <xdr:nvGraphicFramePr>
        <xdr:cNvPr id="139267"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4</xdr:col>
      <xdr:colOff>47625</xdr:colOff>
      <xdr:row>0</xdr:row>
      <xdr:rowOff>47625</xdr:rowOff>
    </xdr:from>
    <xdr:to>
      <xdr:col>5</xdr:col>
      <xdr:colOff>219075</xdr:colOff>
      <xdr:row>3</xdr:row>
      <xdr:rowOff>47625</xdr:rowOff>
    </xdr:to>
    <xdr:pic>
      <xdr:nvPicPr>
        <xdr:cNvPr id="139268" name="Picture 14"/>
        <xdr:cNvPicPr>
          <a:picLocks noChangeAspect="1" noChangeArrowheads="1"/>
        </xdr:cNvPicPr>
      </xdr:nvPicPr>
      <xdr:blipFill>
        <a:blip xmlns:r="http://schemas.openxmlformats.org/officeDocument/2006/relationships" r:embed="rId3" cstate="print"/>
        <a:srcRect/>
        <a:stretch>
          <a:fillRect/>
        </a:stretch>
      </xdr:blipFill>
      <xdr:spPr bwMode="auto">
        <a:xfrm>
          <a:off x="66675" y="47625"/>
          <a:ext cx="428625" cy="457200"/>
        </a:xfrm>
        <a:prstGeom prst="rect">
          <a:avLst/>
        </a:prstGeom>
        <a:noFill/>
        <a:ln w="9525">
          <a:noFill/>
          <a:miter lim="800000"/>
          <a:headEnd/>
          <a:tailEnd/>
        </a:ln>
      </xdr:spPr>
    </xdr:pic>
    <xdr:clientData/>
  </xdr:twoCellAnchor>
  <xdr:twoCellAnchor>
    <xdr:from>
      <xdr:col>27</xdr:col>
      <xdr:colOff>19050</xdr:colOff>
      <xdr:row>0</xdr:row>
      <xdr:rowOff>0</xdr:rowOff>
    </xdr:from>
    <xdr:to>
      <xdr:col>36</xdr:col>
      <xdr:colOff>266700</xdr:colOff>
      <xdr:row>42</xdr:row>
      <xdr:rowOff>133350</xdr:rowOff>
    </xdr:to>
    <xdr:sp macro="" textlink="">
      <xdr:nvSpPr>
        <xdr:cNvPr id="139269" name="Rectangle 54"/>
        <xdr:cNvSpPr>
          <a:spLocks noChangeArrowheads="1"/>
        </xdr:cNvSpPr>
      </xdr:nvSpPr>
      <xdr:spPr bwMode="auto">
        <a:xfrm>
          <a:off x="8448675" y="0"/>
          <a:ext cx="4419600" cy="6534150"/>
        </a:xfrm>
        <a:prstGeom prst="rect">
          <a:avLst/>
        </a:prstGeom>
        <a:solidFill>
          <a:srgbClr val="FFFFFF"/>
        </a:solidFill>
        <a:ln w="9525">
          <a:no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9525</xdr:colOff>
      <xdr:row>35</xdr:row>
      <xdr:rowOff>9525</xdr:rowOff>
    </xdr:from>
    <xdr:to>
      <xdr:col>15</xdr:col>
      <xdr:colOff>76200</xdr:colOff>
      <xdr:row>43</xdr:row>
      <xdr:rowOff>38100</xdr:rowOff>
    </xdr:to>
    <xdr:sp macro="" textlink="">
      <xdr:nvSpPr>
        <xdr:cNvPr id="144385" name="Rectangle 77"/>
        <xdr:cNvSpPr>
          <a:spLocks noChangeArrowheads="1"/>
        </xdr:cNvSpPr>
      </xdr:nvSpPr>
      <xdr:spPr bwMode="auto">
        <a:xfrm>
          <a:off x="47625" y="5343525"/>
          <a:ext cx="3838575" cy="1247775"/>
        </a:xfrm>
        <a:prstGeom prst="rect">
          <a:avLst/>
        </a:prstGeom>
        <a:solidFill>
          <a:srgbClr val="FFFFFF"/>
        </a:solidFill>
        <a:ln w="9525">
          <a:noFill/>
          <a:miter lim="800000"/>
          <a:headEnd/>
          <a:tailEnd/>
        </a:ln>
      </xdr:spPr>
    </xdr:sp>
    <xdr:clientData/>
  </xdr:twoCellAnchor>
  <xdr:twoCellAnchor editAs="oneCell">
    <xdr:from>
      <xdr:col>22</xdr:col>
      <xdr:colOff>9525</xdr:colOff>
      <xdr:row>0</xdr:row>
      <xdr:rowOff>9525</xdr:rowOff>
    </xdr:from>
    <xdr:to>
      <xdr:col>30</xdr:col>
      <xdr:colOff>409575</xdr:colOff>
      <xdr:row>36</xdr:row>
      <xdr:rowOff>85725</xdr:rowOff>
    </xdr:to>
    <xdr:graphicFrame macro="">
      <xdr:nvGraphicFramePr>
        <xdr:cNvPr id="144386"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15</xdr:col>
      <xdr:colOff>0</xdr:colOff>
      <xdr:row>0</xdr:row>
      <xdr:rowOff>9525</xdr:rowOff>
    </xdr:from>
    <xdr:to>
      <xdr:col>22</xdr:col>
      <xdr:colOff>9525</xdr:colOff>
      <xdr:row>36</xdr:row>
      <xdr:rowOff>85725</xdr:rowOff>
    </xdr:to>
    <xdr:graphicFrame macro="">
      <xdr:nvGraphicFramePr>
        <xdr:cNvPr id="144387"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4</xdr:col>
      <xdr:colOff>76200</xdr:colOff>
      <xdr:row>0</xdr:row>
      <xdr:rowOff>47625</xdr:rowOff>
    </xdr:from>
    <xdr:to>
      <xdr:col>5</xdr:col>
      <xdr:colOff>276225</xdr:colOff>
      <xdr:row>3</xdr:row>
      <xdr:rowOff>47625</xdr:rowOff>
    </xdr:to>
    <xdr:pic>
      <xdr:nvPicPr>
        <xdr:cNvPr id="144388" name="Picture 14"/>
        <xdr:cNvPicPr>
          <a:picLocks noChangeAspect="1" noChangeArrowheads="1"/>
        </xdr:cNvPicPr>
      </xdr:nvPicPr>
      <xdr:blipFill>
        <a:blip xmlns:r="http://schemas.openxmlformats.org/officeDocument/2006/relationships" r:embed="rId3" cstate="print"/>
        <a:srcRect/>
        <a:stretch>
          <a:fillRect/>
        </a:stretch>
      </xdr:blipFill>
      <xdr:spPr bwMode="auto">
        <a:xfrm>
          <a:off x="114300" y="47625"/>
          <a:ext cx="428625" cy="457200"/>
        </a:xfrm>
        <a:prstGeom prst="rect">
          <a:avLst/>
        </a:prstGeom>
        <a:noFill/>
        <a:ln w="9525">
          <a:noFill/>
          <a:miter lim="800000"/>
          <a:headEnd/>
          <a:tailEnd/>
        </a:ln>
      </xdr:spPr>
    </xdr:pic>
    <xdr:clientData/>
  </xdr:twoCellAnchor>
  <xdr:twoCellAnchor>
    <xdr:from>
      <xdr:col>22</xdr:col>
      <xdr:colOff>19050</xdr:colOff>
      <xdr:row>0</xdr:row>
      <xdr:rowOff>0</xdr:rowOff>
    </xdr:from>
    <xdr:to>
      <xdr:col>31</xdr:col>
      <xdr:colOff>266700</xdr:colOff>
      <xdr:row>42</xdr:row>
      <xdr:rowOff>133350</xdr:rowOff>
    </xdr:to>
    <xdr:sp macro="" textlink="">
      <xdr:nvSpPr>
        <xdr:cNvPr id="144389" name="Rectangle 54"/>
        <xdr:cNvSpPr>
          <a:spLocks noChangeArrowheads="1"/>
        </xdr:cNvSpPr>
      </xdr:nvSpPr>
      <xdr:spPr bwMode="auto">
        <a:xfrm>
          <a:off x="7019925" y="0"/>
          <a:ext cx="4419600" cy="6534150"/>
        </a:xfrm>
        <a:prstGeom prst="rect">
          <a:avLst/>
        </a:prstGeom>
        <a:solidFill>
          <a:srgbClr val="FFFFFF"/>
        </a:solidFill>
        <a:ln w="9525">
          <a:no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xdr:colOff>
      <xdr:row>0</xdr:row>
      <xdr:rowOff>28575</xdr:rowOff>
    </xdr:from>
    <xdr:to>
      <xdr:col>1</xdr:col>
      <xdr:colOff>342900</xdr:colOff>
      <xdr:row>3</xdr:row>
      <xdr:rowOff>28575</xdr:rowOff>
    </xdr:to>
    <xdr:pic>
      <xdr:nvPicPr>
        <xdr:cNvPr id="14950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7150" y="28575"/>
          <a:ext cx="428625" cy="457200"/>
        </a:xfrm>
        <a:prstGeom prst="rect">
          <a:avLst/>
        </a:prstGeom>
        <a:noFill/>
      </xdr:spPr>
    </xdr:pic>
    <xdr:clientData/>
  </xdr:twoCellAnchor>
  <xdr:twoCellAnchor editAs="oneCell">
    <xdr:from>
      <xdr:col>7</xdr:col>
      <xdr:colOff>0</xdr:colOff>
      <xdr:row>0</xdr:row>
      <xdr:rowOff>9525</xdr:rowOff>
    </xdr:from>
    <xdr:to>
      <xdr:col>21</xdr:col>
      <xdr:colOff>9525</xdr:colOff>
      <xdr:row>31</xdr:row>
      <xdr:rowOff>0</xdr:rowOff>
    </xdr:to>
    <xdr:graphicFrame macro="">
      <xdr:nvGraphicFramePr>
        <xdr:cNvPr id="14951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12.xml><?xml version="1.0" encoding="utf-8"?>
<xdr:wsDr xmlns:xdr="http://schemas.openxmlformats.org/drawingml/2006/spreadsheetDrawing" xmlns:a="http://schemas.openxmlformats.org/drawingml/2006/main">
  <xdr:twoCellAnchor>
    <xdr:from>
      <xdr:col>10</xdr:col>
      <xdr:colOff>9525</xdr:colOff>
      <xdr:row>33</xdr:row>
      <xdr:rowOff>9525</xdr:rowOff>
    </xdr:from>
    <xdr:to>
      <xdr:col>19</xdr:col>
      <xdr:colOff>76200</xdr:colOff>
      <xdr:row>41</xdr:row>
      <xdr:rowOff>123825</xdr:rowOff>
    </xdr:to>
    <xdr:sp macro="" textlink="">
      <xdr:nvSpPr>
        <xdr:cNvPr id="142337" name="Rectangle 78"/>
        <xdr:cNvSpPr>
          <a:spLocks noChangeArrowheads="1"/>
        </xdr:cNvSpPr>
      </xdr:nvSpPr>
      <xdr:spPr bwMode="auto">
        <a:xfrm>
          <a:off x="2524125" y="5038725"/>
          <a:ext cx="3619500" cy="1333500"/>
        </a:xfrm>
        <a:prstGeom prst="rect">
          <a:avLst/>
        </a:prstGeom>
        <a:solidFill>
          <a:srgbClr val="FFFFFF"/>
        </a:solidFill>
        <a:ln w="9525">
          <a:noFill/>
          <a:miter lim="800000"/>
          <a:headEnd/>
          <a:tailEnd/>
        </a:ln>
      </xdr:spPr>
    </xdr:sp>
    <xdr:clientData/>
  </xdr:twoCellAnchor>
  <xdr:twoCellAnchor editAs="oneCell">
    <xdr:from>
      <xdr:col>19</xdr:col>
      <xdr:colOff>0</xdr:colOff>
      <xdr:row>0</xdr:row>
      <xdr:rowOff>9525</xdr:rowOff>
    </xdr:from>
    <xdr:to>
      <xdr:col>26</xdr:col>
      <xdr:colOff>428625</xdr:colOff>
      <xdr:row>36</xdr:row>
      <xdr:rowOff>85725</xdr:rowOff>
    </xdr:to>
    <xdr:graphicFrame macro="">
      <xdr:nvGraphicFramePr>
        <xdr:cNvPr id="14233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4</xdr:col>
      <xdr:colOff>47625</xdr:colOff>
      <xdr:row>0</xdr:row>
      <xdr:rowOff>47625</xdr:rowOff>
    </xdr:from>
    <xdr:to>
      <xdr:col>4</xdr:col>
      <xdr:colOff>476250</xdr:colOff>
      <xdr:row>3</xdr:row>
      <xdr:rowOff>47625</xdr:rowOff>
    </xdr:to>
    <xdr:pic>
      <xdr:nvPicPr>
        <xdr:cNvPr id="142339" name="Picture 15"/>
        <xdr:cNvPicPr>
          <a:picLocks noChangeAspect="1" noChangeArrowheads="1"/>
        </xdr:cNvPicPr>
      </xdr:nvPicPr>
      <xdr:blipFill>
        <a:blip xmlns:r="http://schemas.openxmlformats.org/officeDocument/2006/relationships" r:embed="rId2" cstate="print"/>
        <a:srcRect/>
        <a:stretch>
          <a:fillRect/>
        </a:stretch>
      </xdr:blipFill>
      <xdr:spPr bwMode="auto">
        <a:xfrm>
          <a:off x="85725" y="47625"/>
          <a:ext cx="428625" cy="457200"/>
        </a:xfrm>
        <a:prstGeom prst="rect">
          <a:avLst/>
        </a:prstGeom>
        <a:noFill/>
        <a:ln w="9525">
          <a:noFill/>
          <a:miter lim="800000"/>
          <a:headEnd/>
          <a:tailEnd/>
        </a:ln>
      </xdr:spPr>
    </xdr:pic>
    <xdr:clientData/>
  </xdr:twoCellAnchor>
</xdr:wsDr>
</file>

<file path=xl/drawings/drawing13.xml><?xml version="1.0" encoding="utf-8"?>
<c:userShapes xmlns:c="http://schemas.openxmlformats.org/drawingml/2006/chart">
  <cdr:relSizeAnchor xmlns:cdr="http://schemas.openxmlformats.org/drawingml/2006/chartDrawing">
    <cdr:from>
      <cdr:x>0.18572</cdr:x>
      <cdr:y>0.85606</cdr:y>
    </cdr:from>
    <cdr:to>
      <cdr:x>0.40916</cdr:x>
      <cdr:y>0.98138</cdr:y>
    </cdr:to>
    <cdr:sp macro="" textlink="'Data paired'!$F$8">
      <cdr:nvSpPr>
        <cdr:cNvPr id="143361" name="Text Box 4"/>
        <cdr:cNvSpPr txBox="1">
          <a:spLocks xmlns:a="http://schemas.openxmlformats.org/drawingml/2006/main" noChangeArrowheads="1"/>
        </cdr:cNvSpPr>
      </cdr:nvSpPr>
      <cdr:spPr bwMode="auto">
        <a:xfrm xmlns:a="http://schemas.openxmlformats.org/drawingml/2006/main">
          <a:off x="765587" y="4773235"/>
          <a:ext cx="917293" cy="6983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0" tIns="0" rIns="0" bIns="0" anchor="b" upright="1"/>
        <a:lstStyle xmlns:a="http://schemas.openxmlformats.org/drawingml/2006/main"/>
        <a:p xmlns:a="http://schemas.openxmlformats.org/drawingml/2006/main">
          <a:pPr algn="ctr" rtl="0">
            <a:defRPr sz="1000"/>
          </a:pPr>
          <a:fld id="{955B44DB-FF38-435B-9F60-68722ED90349}" type="TxLink">
            <a:rPr lang="en-AU" sz="1200" b="0" i="0" u="none" strike="noStrike" baseline="0">
              <a:solidFill>
                <a:srgbClr val="000000"/>
              </a:solidFill>
              <a:latin typeface="Arial"/>
              <a:cs typeface="Arial"/>
            </a:rPr>
            <a:pPr algn="ctr" rtl="0">
              <a:defRPr sz="1000"/>
            </a:pPr>
            <a:t>Pretest</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0.43748</cdr:x>
      <cdr:y>0.85237</cdr:y>
    </cdr:from>
    <cdr:to>
      <cdr:x>0.65897</cdr:x>
      <cdr:y>0.98138</cdr:y>
    </cdr:to>
    <cdr:sp macro="" textlink="'Data paired'!$G$8">
      <cdr:nvSpPr>
        <cdr:cNvPr id="143362" name="Text Box 5"/>
        <cdr:cNvSpPr txBox="1">
          <a:spLocks xmlns:a="http://schemas.openxmlformats.org/drawingml/2006/main" noChangeArrowheads="1"/>
        </cdr:cNvSpPr>
      </cdr:nvSpPr>
      <cdr:spPr bwMode="auto">
        <a:xfrm xmlns:a="http://schemas.openxmlformats.org/drawingml/2006/main">
          <a:off x="1799171" y="4752697"/>
          <a:ext cx="909273" cy="71884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0" tIns="0" rIns="0" bIns="0" anchor="b" upright="1"/>
        <a:lstStyle xmlns:a="http://schemas.openxmlformats.org/drawingml/2006/main"/>
        <a:p xmlns:a="http://schemas.openxmlformats.org/drawingml/2006/main">
          <a:pPr algn="ctr" rtl="0">
            <a:defRPr sz="1000"/>
          </a:pPr>
          <a:fld id="{B7BB0830-E212-4F11-9159-629626D7607E}" type="TxLink">
            <a:rPr lang="en-AU" sz="1200" b="0" i="0" u="none" strike="noStrike" baseline="0">
              <a:solidFill>
                <a:srgbClr val="000000"/>
              </a:solidFill>
              <a:latin typeface="Arial"/>
              <a:cs typeface="Arial"/>
            </a:rPr>
            <a:pPr algn="ctr" rtl="0">
              <a:defRPr sz="1000"/>
            </a:pPr>
            <a:t>Posttest</a:t>
          </a:fld>
          <a:endParaRPr lang="en-AU" sz="1200" b="0" i="0" u="none" strike="noStrike" baseline="0">
            <a:solidFill>
              <a:srgbClr val="000000"/>
            </a:solidFill>
            <a:latin typeface="Arial"/>
            <a:cs typeface="Arial"/>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0</xdr:col>
      <xdr:colOff>0</xdr:colOff>
      <xdr:row>35</xdr:row>
      <xdr:rowOff>9525</xdr:rowOff>
    </xdr:from>
    <xdr:to>
      <xdr:col>15</xdr:col>
      <xdr:colOff>152400</xdr:colOff>
      <xdr:row>42</xdr:row>
      <xdr:rowOff>104775</xdr:rowOff>
    </xdr:to>
    <xdr:sp macro="" textlink="">
      <xdr:nvSpPr>
        <xdr:cNvPr id="147457" name="Rectangle 78"/>
        <xdr:cNvSpPr>
          <a:spLocks noChangeArrowheads="1"/>
        </xdr:cNvSpPr>
      </xdr:nvSpPr>
      <xdr:spPr bwMode="auto">
        <a:xfrm>
          <a:off x="0" y="5343525"/>
          <a:ext cx="4181475" cy="1162050"/>
        </a:xfrm>
        <a:prstGeom prst="rect">
          <a:avLst/>
        </a:prstGeom>
        <a:solidFill>
          <a:srgbClr val="FFFFFF"/>
        </a:solidFill>
        <a:ln w="9525">
          <a:noFill/>
          <a:miter lim="800000"/>
          <a:headEnd/>
          <a:tailEnd/>
        </a:ln>
      </xdr:spPr>
    </xdr:sp>
    <xdr:clientData/>
  </xdr:twoCellAnchor>
  <xdr:twoCellAnchor editAs="oneCell">
    <xdr:from>
      <xdr:col>15</xdr:col>
      <xdr:colOff>0</xdr:colOff>
      <xdr:row>0</xdr:row>
      <xdr:rowOff>9525</xdr:rowOff>
    </xdr:from>
    <xdr:to>
      <xdr:col>22</xdr:col>
      <xdr:colOff>428625</xdr:colOff>
      <xdr:row>36</xdr:row>
      <xdr:rowOff>85725</xdr:rowOff>
    </xdr:to>
    <xdr:graphicFrame macro="">
      <xdr:nvGraphicFramePr>
        <xdr:cNvPr id="14745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4</xdr:col>
      <xdr:colOff>57150</xdr:colOff>
      <xdr:row>0</xdr:row>
      <xdr:rowOff>47625</xdr:rowOff>
    </xdr:from>
    <xdr:to>
      <xdr:col>5</xdr:col>
      <xdr:colOff>266700</xdr:colOff>
      <xdr:row>3</xdr:row>
      <xdr:rowOff>47625</xdr:rowOff>
    </xdr:to>
    <xdr:pic>
      <xdr:nvPicPr>
        <xdr:cNvPr id="147459" name="Picture 15"/>
        <xdr:cNvPicPr>
          <a:picLocks noChangeAspect="1" noChangeArrowheads="1"/>
        </xdr:cNvPicPr>
      </xdr:nvPicPr>
      <xdr:blipFill>
        <a:blip xmlns:r="http://schemas.openxmlformats.org/officeDocument/2006/relationships" r:embed="rId2" cstate="print"/>
        <a:srcRect/>
        <a:stretch>
          <a:fillRect/>
        </a:stretch>
      </xdr:blipFill>
      <xdr:spPr bwMode="auto">
        <a:xfrm>
          <a:off x="95250" y="47625"/>
          <a:ext cx="428625" cy="457200"/>
        </a:xfrm>
        <a:prstGeom prst="rect">
          <a:avLst/>
        </a:prstGeom>
        <a:noFill/>
        <a:ln w="9525">
          <a:noFill/>
          <a:miter lim="800000"/>
          <a:headEnd/>
          <a:tailEnd/>
        </a:ln>
      </xdr:spPr>
    </xdr:pic>
    <xdr:clientData/>
  </xdr:twoCellAnchor>
</xdr:wsDr>
</file>

<file path=xl/drawings/drawing15.xml><?xml version="1.0" encoding="utf-8"?>
<c:userShapes xmlns:c="http://schemas.openxmlformats.org/drawingml/2006/chart">
  <cdr:relSizeAnchor xmlns:cdr="http://schemas.openxmlformats.org/drawingml/2006/chartDrawing">
    <cdr:from>
      <cdr:x>0.16496</cdr:x>
      <cdr:y>0.85606</cdr:y>
    </cdr:from>
    <cdr:to>
      <cdr:x>0.39328</cdr:x>
      <cdr:y>0.98138</cdr:y>
    </cdr:to>
    <cdr:sp macro="" textlink="'Summary paired'!$G$8">
      <cdr:nvSpPr>
        <cdr:cNvPr id="148481" name="Text Box 4"/>
        <cdr:cNvSpPr txBox="1">
          <a:spLocks xmlns:a="http://schemas.openxmlformats.org/drawingml/2006/main" noChangeArrowheads="1"/>
        </cdr:cNvSpPr>
      </cdr:nvSpPr>
      <cdr:spPr bwMode="auto">
        <a:xfrm xmlns:a="http://schemas.openxmlformats.org/drawingml/2006/main">
          <a:off x="680374" y="4773235"/>
          <a:ext cx="937343" cy="6983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0" tIns="0" rIns="0" bIns="0" anchor="b" upright="1"/>
        <a:lstStyle xmlns:a="http://schemas.openxmlformats.org/drawingml/2006/main"/>
        <a:p xmlns:a="http://schemas.openxmlformats.org/drawingml/2006/main">
          <a:pPr algn="ctr" rtl="0">
            <a:defRPr sz="1000"/>
          </a:pPr>
          <a:fld id="{4018F5C3-E43B-4B8D-BB2A-10E1B3DA1978}" type="TxLink">
            <a:rPr lang="en-AU" sz="1200" b="0" i="0" u="none" strike="noStrike" baseline="0">
              <a:solidFill>
                <a:srgbClr val="000000"/>
              </a:solidFill>
              <a:latin typeface="Arial"/>
              <a:cs typeface="Arial"/>
            </a:rPr>
            <a:pPr algn="ctr" rtl="0">
              <a:defRPr sz="1000"/>
            </a:pPr>
            <a:t>Pretest</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0.42234</cdr:x>
      <cdr:y>0.85237</cdr:y>
    </cdr:from>
    <cdr:to>
      <cdr:x>0.65043</cdr:x>
      <cdr:y>0.98138</cdr:y>
    </cdr:to>
    <cdr:sp macro="" textlink="'Summary paired'!$K$8">
      <cdr:nvSpPr>
        <cdr:cNvPr id="148482" name="Text Box 5"/>
        <cdr:cNvSpPr txBox="1">
          <a:spLocks xmlns:a="http://schemas.openxmlformats.org/drawingml/2006/main" noChangeArrowheads="1"/>
        </cdr:cNvSpPr>
      </cdr:nvSpPr>
      <cdr:spPr bwMode="auto">
        <a:xfrm xmlns:a="http://schemas.openxmlformats.org/drawingml/2006/main">
          <a:off x="1737016" y="4752697"/>
          <a:ext cx="936340" cy="71884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0" tIns="0" rIns="0" bIns="0" anchor="b" upright="1"/>
        <a:lstStyle xmlns:a="http://schemas.openxmlformats.org/drawingml/2006/main"/>
        <a:p xmlns:a="http://schemas.openxmlformats.org/drawingml/2006/main">
          <a:pPr algn="ctr" rtl="0">
            <a:defRPr sz="1000"/>
          </a:pPr>
          <a:fld id="{B4B683BC-887C-4542-805F-85D8D9566ECE}" type="TxLink">
            <a:rPr lang="en-AU" sz="1200" b="0" i="0" u="none" strike="noStrike" baseline="0">
              <a:solidFill>
                <a:srgbClr val="000000"/>
              </a:solidFill>
              <a:latin typeface="Arial"/>
              <a:cs typeface="Arial"/>
            </a:rPr>
            <a:pPr algn="ctr" rtl="0">
              <a:defRPr sz="1000"/>
            </a:pPr>
            <a:t>Posttest</a:t>
          </a:fld>
          <a:endParaRPr lang="en-AU" sz="1200" b="0" i="0" u="none" strike="noStrike" baseline="0">
            <a:solidFill>
              <a:srgbClr val="000000"/>
            </a:solidFill>
            <a:latin typeface="Arial"/>
            <a:cs typeface="Aria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Excel%20Simulations/ITRIP/ESCI-ITRIP%20extra-11.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Excel%20Simulations\ITRIP\ESCI-ITRIP%20extra-11.5.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eoff's%20documents/ITNS%20book/ESCI%20for%20Excel%202003/Excel%20Simulations/ITRIP/ESCI-ITRIP%20extra-11.5.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ESCI%20development/Overlap/Overlap%205-8-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Overlap/Overlap%205-8-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ESCI%20intro%20chapters%202-4%20Jan%2029%202014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chapters%2010-13%20Jul%204%20201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ESCI%20intro%20chapters%206,%208-11%20Apr%2024%202015a.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ESCI%20intro%20chapters%2010-13%20Oct%2023%202014b.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ESCI%20development/Sampling/CIjumping%20onepage%2013-4-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Geoff's%20documents/Unistuff/Papers/Old%20papers/Teaching%20Statistics/IBI%20levels%20of%20confidence%20Figs%2017%20Nov%2005a.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Unistuff/Papers/Old%20papers/Teaching%20Statistics/IBI%20levels%20of%20confidence%20Figs%2017%20Nov%2005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E:\ESCI%20development\CInext\CInext%2016-12-3.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CInext/CInext%2016-12-3.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Geoff's%20Documents/Travel%2006/ESCI/Correlation%201024x768%2023%20Apr%2006c.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Travel%2006/ESCI/Correlation%201024x768%2023%20Apr%2006c.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ESCI%20chapters%2014-15%20Jul%204%20201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ESCI%20development/IBI/ESCI%20Inference%20by%20eye.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IBI/ESCI%20Inference%20by%20eye.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chapters%201-4%20Jul%204%20201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Geoff's%20documents/TNS%20book/TNS%20figures%202%20Dec%2009h.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TNS%20book/TNS%20figures%202%20Dec%2009h.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ESCI%20development\Describe\Describe%2013-4-4e.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ESCI%20development/Describe/Describe%2013-4-4e.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Describe/Describe%2013-4-4e.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ESCI%20development/Describe/Describe%2014-4-4.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ESCI%20development/ESCI%20live-23.7.1/Individual/CIdeltaIND.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ESCI%20development/ESs/ESCI-ESs%2028-8-2.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ESCI%20development/Sampling/ESCI%20CIjumping.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Sampling/ESCI%20CIjumping%209%20Jul%2009.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Geoff's%20documents/Unistuff/Papers/Old%20papers/Killeen/APR%20Simulations%2015%20Apr%2006.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Unistuff/Papers/Old%20papers/Killeen/APR%20Simulations%2015%20Apr%2006.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E:\ESCI%20development\ESs\ESCI-ESs%2028-8-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ESs/ESCI-ESs%2028-8-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Excel%20Simulations/ITRIP/ESCI-ITRIP.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E:\Excel%20Simulations\ITRIP\ESCI-ITRIP.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Geoff's%20documents/ITNS%20book/ESCI%20for%20Excel%202003/Excel%20Simulations/ITRIP/ESCI-ITRIP.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E:\Excel%20Simulations\IBITwo-18.4.1b.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Intro"/>
      <sheetName val="Describe"/>
      <sheetName val="Normal"/>
      <sheetName val="Normal and t"/>
      <sheetName val="CIjumping"/>
    </sheetNames>
    <sheetDataSet>
      <sheetData sheetId="0" refreshError="1"/>
      <sheetData sheetId="1">
        <row r="2">
          <cell r="F2">
            <v>46</v>
          </cell>
          <cell r="I2">
            <v>11.2</v>
          </cell>
          <cell r="AC2">
            <v>1</v>
          </cell>
          <cell r="AD2">
            <v>0</v>
          </cell>
        </row>
        <row r="3">
          <cell r="F3">
            <v>39.700000000000003</v>
          </cell>
          <cell r="I3">
            <v>21.2</v>
          </cell>
          <cell r="AC3" t="str">
            <v>X</v>
          </cell>
          <cell r="CG3">
            <v>52</v>
          </cell>
          <cell r="CI3">
            <v>51.3</v>
          </cell>
          <cell r="CJ3">
            <v>48.7</v>
          </cell>
          <cell r="CK3">
            <v>52.7</v>
          </cell>
        </row>
        <row r="4">
          <cell r="F4">
            <v>22.9</v>
          </cell>
          <cell r="I4">
            <v>22.9</v>
          </cell>
          <cell r="AC4">
            <v>46</v>
          </cell>
          <cell r="AD4">
            <v>46</v>
          </cell>
          <cell r="BH4">
            <v>4.4771999999999999E-2</v>
          </cell>
          <cell r="BM4">
            <v>11.2</v>
          </cell>
          <cell r="CG4">
            <v>57.7</v>
          </cell>
          <cell r="CI4">
            <v>45.7</v>
          </cell>
          <cell r="CJ4">
            <v>54.3</v>
          </cell>
          <cell r="CK4">
            <v>59.7</v>
          </cell>
        </row>
        <row r="5">
          <cell r="F5">
            <v>29.7</v>
          </cell>
          <cell r="I5">
            <v>29.7</v>
          </cell>
          <cell r="V5">
            <v>0.99399999999999999</v>
          </cell>
          <cell r="AC5">
            <v>39.700000000000003</v>
          </cell>
          <cell r="AD5">
            <v>39.700000000000003</v>
          </cell>
          <cell r="BM5">
            <v>21.2</v>
          </cell>
          <cell r="CG5">
            <v>58.4</v>
          </cell>
          <cell r="CI5">
            <v>44.8</v>
          </cell>
          <cell r="CJ5">
            <v>55.2</v>
          </cell>
          <cell r="CK5">
            <v>60.4</v>
          </cell>
        </row>
        <row r="6">
          <cell r="F6">
            <v>38.200000000000003</v>
          </cell>
          <cell r="I6">
            <v>30.2</v>
          </cell>
          <cell r="R6">
            <v>5</v>
          </cell>
          <cell r="S6">
            <v>75</v>
          </cell>
          <cell r="V6">
            <v>1.1180000000000001</v>
          </cell>
          <cell r="AC6">
            <v>22.9</v>
          </cell>
          <cell r="AD6">
            <v>22.9</v>
          </cell>
          <cell r="BM6">
            <v>22.9</v>
          </cell>
          <cell r="CG6">
            <v>58.4</v>
          </cell>
          <cell r="CI6">
            <v>44.9</v>
          </cell>
          <cell r="CJ6">
            <v>55.1</v>
          </cell>
          <cell r="CK6">
            <v>60.4</v>
          </cell>
        </row>
        <row r="7">
          <cell r="F7">
            <v>51.3</v>
          </cell>
          <cell r="I7">
            <v>31.5</v>
          </cell>
          <cell r="AC7">
            <v>29.7</v>
          </cell>
          <cell r="AD7">
            <v>29.7</v>
          </cell>
          <cell r="BM7">
            <v>29.7</v>
          </cell>
          <cell r="CG7">
            <v>52.4</v>
          </cell>
          <cell r="CI7">
            <v>50.9</v>
          </cell>
          <cell r="CJ7">
            <v>49.1</v>
          </cell>
          <cell r="CK7">
            <v>53.3</v>
          </cell>
        </row>
        <row r="8">
          <cell r="F8">
            <v>30.2</v>
          </cell>
          <cell r="I8">
            <v>34.9</v>
          </cell>
          <cell r="V8" t="b">
            <v>0</v>
          </cell>
          <cell r="AC8">
            <v>38.200000000000003</v>
          </cell>
          <cell r="AD8">
            <v>38.200000000000003</v>
          </cell>
          <cell r="BM8">
            <v>30.2</v>
          </cell>
          <cell r="CG8">
            <v>57.5</v>
          </cell>
          <cell r="CI8">
            <v>46</v>
          </cell>
          <cell r="CJ8">
            <v>54</v>
          </cell>
          <cell r="CK8">
            <v>59.5</v>
          </cell>
        </row>
        <row r="9">
          <cell r="F9">
            <v>42</v>
          </cell>
          <cell r="I9">
            <v>34.9</v>
          </cell>
          <cell r="V9" t="b">
            <v>0</v>
          </cell>
          <cell r="AC9">
            <v>51.3</v>
          </cell>
          <cell r="AD9">
            <v>51.3</v>
          </cell>
          <cell r="BH9">
            <v>3.4076000000000002E-2</v>
          </cell>
          <cell r="BM9">
            <v>31.5</v>
          </cell>
          <cell r="CG9">
            <v>26.5</v>
          </cell>
          <cell r="CI9">
            <v>60.7</v>
          </cell>
          <cell r="CJ9">
            <v>39.299999999999997</v>
          </cell>
          <cell r="CK9">
            <v>33</v>
          </cell>
        </row>
        <row r="10">
          <cell r="F10">
            <v>34.9</v>
          </cell>
          <cell r="I10">
            <v>36.700000000000003</v>
          </cell>
          <cell r="V10" t="b">
            <v>0</v>
          </cell>
          <cell r="AC10">
            <v>30.2</v>
          </cell>
          <cell r="AD10">
            <v>30.2</v>
          </cell>
          <cell r="BM10">
            <v>34.9</v>
          </cell>
          <cell r="CG10">
            <v>52</v>
          </cell>
          <cell r="CI10">
            <v>51.3</v>
          </cell>
          <cell r="CJ10">
            <v>48.7</v>
          </cell>
          <cell r="CK10">
            <v>52.7</v>
          </cell>
        </row>
        <row r="11">
          <cell r="F11">
            <v>51.3</v>
          </cell>
          <cell r="I11">
            <v>37.299999999999997</v>
          </cell>
          <cell r="T11" t="str">
            <v>10</v>
          </cell>
          <cell r="V11" t="b">
            <v>0</v>
          </cell>
          <cell r="AC11">
            <v>42</v>
          </cell>
          <cell r="AD11">
            <v>42</v>
          </cell>
          <cell r="BM11">
            <v>34.9</v>
          </cell>
          <cell r="CG11">
            <v>57.6</v>
          </cell>
          <cell r="CI11">
            <v>45.8</v>
          </cell>
          <cell r="CJ11">
            <v>54.2</v>
          </cell>
          <cell r="CK11">
            <v>59.6</v>
          </cell>
        </row>
        <row r="12">
          <cell r="F12">
            <v>34.9</v>
          </cell>
          <cell r="I12">
            <v>37.9</v>
          </cell>
          <cell r="V12" t="b">
            <v>1</v>
          </cell>
          <cell r="AC12">
            <v>34.9</v>
          </cell>
          <cell r="AD12">
            <v>34.9</v>
          </cell>
          <cell r="BM12">
            <v>36.700000000000003</v>
          </cell>
          <cell r="CG12">
            <v>52.1</v>
          </cell>
          <cell r="CI12">
            <v>51.2</v>
          </cell>
          <cell r="CJ12">
            <v>48.8</v>
          </cell>
          <cell r="CK12">
            <v>52.9</v>
          </cell>
        </row>
        <row r="13">
          <cell r="F13">
            <v>38.799999999999997</v>
          </cell>
          <cell r="I13">
            <v>38.200000000000003</v>
          </cell>
          <cell r="R13">
            <v>5</v>
          </cell>
          <cell r="AC13">
            <v>51.3</v>
          </cell>
          <cell r="AD13">
            <v>51.3</v>
          </cell>
          <cell r="BH13">
            <v>0.24878</v>
          </cell>
          <cell r="BM13">
            <v>37.299999999999997</v>
          </cell>
          <cell r="CG13">
            <v>41.4</v>
          </cell>
          <cell r="CI13">
            <v>57.2</v>
          </cell>
          <cell r="CJ13">
            <v>42.8</v>
          </cell>
          <cell r="CK13">
            <v>39.5</v>
          </cell>
        </row>
        <row r="14">
          <cell r="F14">
            <v>36.700000000000003</v>
          </cell>
          <cell r="I14">
            <v>38.6</v>
          </cell>
          <cell r="U14" t="b">
            <v>1</v>
          </cell>
          <cell r="V14" t="b">
            <v>0</v>
          </cell>
          <cell r="AC14">
            <v>34.9</v>
          </cell>
          <cell r="AD14">
            <v>34.9</v>
          </cell>
          <cell r="BM14">
            <v>37.9</v>
          </cell>
          <cell r="CG14">
            <v>59.7</v>
          </cell>
          <cell r="CI14">
            <v>43.2</v>
          </cell>
          <cell r="CJ14">
            <v>56.8</v>
          </cell>
          <cell r="CK14">
            <v>61.6</v>
          </cell>
        </row>
        <row r="15">
          <cell r="F15">
            <v>48.2</v>
          </cell>
          <cell r="I15">
            <v>38.700000000000003</v>
          </cell>
          <cell r="AC15">
            <v>38.799999999999997</v>
          </cell>
          <cell r="AD15">
            <v>38.799999999999997</v>
          </cell>
          <cell r="BM15">
            <v>38.200000000000003</v>
          </cell>
          <cell r="CG15">
            <v>42.1</v>
          </cell>
          <cell r="CI15">
            <v>56.9</v>
          </cell>
          <cell r="CJ15">
            <v>43.1</v>
          </cell>
          <cell r="CK15">
            <v>40.1</v>
          </cell>
        </row>
        <row r="16">
          <cell r="F16">
            <v>38.6</v>
          </cell>
          <cell r="I16">
            <v>38.799999999999997</v>
          </cell>
          <cell r="AC16">
            <v>36.700000000000003</v>
          </cell>
          <cell r="AD16">
            <v>36.700000000000003</v>
          </cell>
          <cell r="BM16">
            <v>38.6</v>
          </cell>
          <cell r="CG16">
            <v>45</v>
          </cell>
          <cell r="CI16">
            <v>55.6</v>
          </cell>
          <cell r="CJ16">
            <v>44.4</v>
          </cell>
          <cell r="CK16">
            <v>43.4</v>
          </cell>
        </row>
        <row r="17">
          <cell r="F17">
            <v>37.299999999999997</v>
          </cell>
          <cell r="I17">
            <v>39.6</v>
          </cell>
          <cell r="U17">
            <v>1</v>
          </cell>
          <cell r="AC17">
            <v>48.2</v>
          </cell>
          <cell r="AD17">
            <v>48.2</v>
          </cell>
          <cell r="BH17">
            <v>0.37296000000000001</v>
          </cell>
          <cell r="BM17">
            <v>38.700000000000003</v>
          </cell>
          <cell r="CG17">
            <v>55.9</v>
          </cell>
          <cell r="CI17">
            <v>47.7</v>
          </cell>
          <cell r="CJ17">
            <v>52.3</v>
          </cell>
          <cell r="CK17">
            <v>57.7</v>
          </cell>
        </row>
        <row r="18">
          <cell r="F18">
            <v>47.8</v>
          </cell>
          <cell r="I18">
            <v>39.700000000000003</v>
          </cell>
          <cell r="U18">
            <v>1</v>
          </cell>
          <cell r="AC18">
            <v>38.6</v>
          </cell>
          <cell r="AD18">
            <v>38.6</v>
          </cell>
          <cell r="BM18">
            <v>38.799999999999997</v>
          </cell>
          <cell r="CG18">
            <v>45.4</v>
          </cell>
          <cell r="CI18">
            <v>55.4</v>
          </cell>
          <cell r="CJ18">
            <v>44.6</v>
          </cell>
          <cell r="CK18">
            <v>43.9</v>
          </cell>
        </row>
        <row r="19">
          <cell r="F19">
            <v>41.6</v>
          </cell>
          <cell r="I19">
            <v>41.5</v>
          </cell>
          <cell r="U19">
            <v>7</v>
          </cell>
          <cell r="AC19">
            <v>37.299999999999997</v>
          </cell>
          <cell r="AD19">
            <v>37.299999999999997</v>
          </cell>
          <cell r="BM19">
            <v>39.6</v>
          </cell>
          <cell r="CG19">
            <v>37.5</v>
          </cell>
          <cell r="CI19">
            <v>58.5</v>
          </cell>
          <cell r="CJ19">
            <v>41.5</v>
          </cell>
          <cell r="CK19">
            <v>36.4</v>
          </cell>
        </row>
        <row r="20">
          <cell r="F20">
            <v>47.9</v>
          </cell>
          <cell r="I20">
            <v>41.6</v>
          </cell>
          <cell r="U20" t="b">
            <v>0</v>
          </cell>
          <cell r="AC20">
            <v>47.8</v>
          </cell>
          <cell r="AD20">
            <v>47.8</v>
          </cell>
          <cell r="BH20">
            <v>37.15</v>
          </cell>
          <cell r="BM20">
            <v>39.700000000000003</v>
          </cell>
          <cell r="CG20">
            <v>52.4</v>
          </cell>
          <cell r="CI20">
            <v>50.9</v>
          </cell>
          <cell r="CJ20">
            <v>49.1</v>
          </cell>
          <cell r="CK20">
            <v>53.3</v>
          </cell>
        </row>
        <row r="21">
          <cell r="F21">
            <v>42.4</v>
          </cell>
          <cell r="I21">
            <v>41.8</v>
          </cell>
          <cell r="U21" t="b">
            <v>0</v>
          </cell>
          <cell r="AC21">
            <v>41.6</v>
          </cell>
          <cell r="AD21">
            <v>41.6</v>
          </cell>
          <cell r="BH21">
            <v>47.65</v>
          </cell>
          <cell r="BM21">
            <v>41.5</v>
          </cell>
          <cell r="CG21">
            <v>64.5</v>
          </cell>
          <cell r="CI21">
            <v>35.4</v>
          </cell>
          <cell r="CJ21">
            <v>64.599999999999994</v>
          </cell>
          <cell r="CK21">
            <v>64.8</v>
          </cell>
        </row>
        <row r="22">
          <cell r="F22">
            <v>57.4</v>
          </cell>
          <cell r="I22">
            <v>42</v>
          </cell>
          <cell r="U22" t="b">
            <v>0</v>
          </cell>
          <cell r="AC22">
            <v>47.9</v>
          </cell>
          <cell r="AD22">
            <v>47.9</v>
          </cell>
          <cell r="BH22">
            <v>10.5</v>
          </cell>
          <cell r="BM22">
            <v>41.6</v>
          </cell>
          <cell r="CG22">
            <v>48.8</v>
          </cell>
          <cell r="CI22">
            <v>53.5</v>
          </cell>
          <cell r="CJ22">
            <v>46.5</v>
          </cell>
          <cell r="CK22">
            <v>48.4</v>
          </cell>
        </row>
        <row r="23">
          <cell r="F23">
            <v>41.8</v>
          </cell>
          <cell r="I23">
            <v>42.4</v>
          </cell>
          <cell r="U23" t="b">
            <v>1</v>
          </cell>
          <cell r="AC23">
            <v>42.4</v>
          </cell>
          <cell r="AD23">
            <v>42.4</v>
          </cell>
          <cell r="BH23" t="str">
            <v>Display quartiles</v>
          </cell>
          <cell r="BM23">
            <v>41.8</v>
          </cell>
          <cell r="CG23">
            <v>54.3</v>
          </cell>
          <cell r="CI23">
            <v>49.3</v>
          </cell>
          <cell r="CJ23">
            <v>50.7</v>
          </cell>
          <cell r="CK23">
            <v>55.8</v>
          </cell>
        </row>
        <row r="24">
          <cell r="F24">
            <v>42.4</v>
          </cell>
          <cell r="I24">
            <v>42.4</v>
          </cell>
          <cell r="U24" t="b">
            <v>1</v>
          </cell>
          <cell r="AC24">
            <v>57.4</v>
          </cell>
          <cell r="AD24">
            <v>57.4</v>
          </cell>
          <cell r="BH24" t="b">
            <v>0</v>
          </cell>
          <cell r="BM24">
            <v>42</v>
          </cell>
          <cell r="CG24">
            <v>35.299999999999997</v>
          </cell>
          <cell r="CI24">
            <v>59.1</v>
          </cell>
          <cell r="CJ24">
            <v>40.9</v>
          </cell>
          <cell r="CK24">
            <v>35.1</v>
          </cell>
        </row>
        <row r="25">
          <cell r="F25">
            <v>11.2</v>
          </cell>
          <cell r="I25">
            <v>44.9</v>
          </cell>
          <cell r="U25" t="b">
            <v>1</v>
          </cell>
          <cell r="AC25">
            <v>41.8</v>
          </cell>
          <cell r="AD25">
            <v>41.8</v>
          </cell>
          <cell r="BM25">
            <v>42.4</v>
          </cell>
          <cell r="CG25">
            <v>43.5</v>
          </cell>
          <cell r="CI25">
            <v>56.3</v>
          </cell>
          <cell r="CJ25">
            <v>43.7</v>
          </cell>
          <cell r="CK25">
            <v>41.7</v>
          </cell>
        </row>
        <row r="26">
          <cell r="F26">
            <v>50.6</v>
          </cell>
          <cell r="I26">
            <v>45.9</v>
          </cell>
          <cell r="U26" t="b">
            <v>1</v>
          </cell>
          <cell r="AC26">
            <v>42.4</v>
          </cell>
          <cell r="AD26">
            <v>42.4</v>
          </cell>
          <cell r="BM26">
            <v>42.4</v>
          </cell>
          <cell r="CG26">
            <v>51.5</v>
          </cell>
          <cell r="CI26">
            <v>51.7</v>
          </cell>
          <cell r="CJ26">
            <v>48.3</v>
          </cell>
          <cell r="CK26">
            <v>52</v>
          </cell>
        </row>
        <row r="27">
          <cell r="F27">
            <v>67</v>
          </cell>
          <cell r="I27">
            <v>46</v>
          </cell>
          <cell r="AC27">
            <v>11.2</v>
          </cell>
          <cell r="AD27">
            <v>11.2</v>
          </cell>
          <cell r="BH27">
            <v>20</v>
          </cell>
          <cell r="BM27">
            <v>44.9</v>
          </cell>
          <cell r="CG27">
            <v>42.9</v>
          </cell>
          <cell r="CI27">
            <v>56.6</v>
          </cell>
          <cell r="CJ27">
            <v>43.4</v>
          </cell>
          <cell r="CK27">
            <v>41</v>
          </cell>
        </row>
        <row r="28">
          <cell r="F28">
            <v>45.9</v>
          </cell>
          <cell r="I28">
            <v>47.6</v>
          </cell>
          <cell r="AC28">
            <v>50.6</v>
          </cell>
          <cell r="AD28">
            <v>50.6</v>
          </cell>
          <cell r="BH28">
            <v>20</v>
          </cell>
          <cell r="BM28">
            <v>45.9</v>
          </cell>
          <cell r="CG28">
            <v>42.1</v>
          </cell>
          <cell r="CI28">
            <v>56.9</v>
          </cell>
          <cell r="CJ28">
            <v>43.1</v>
          </cell>
          <cell r="CK28">
            <v>40.1</v>
          </cell>
        </row>
        <row r="29">
          <cell r="F29">
            <v>39.6</v>
          </cell>
          <cell r="I29">
            <v>47.8</v>
          </cell>
          <cell r="AC29">
            <v>67</v>
          </cell>
          <cell r="AD29">
            <v>67</v>
          </cell>
          <cell r="BH29">
            <v>7</v>
          </cell>
          <cell r="BM29">
            <v>46</v>
          </cell>
          <cell r="CG29">
            <v>37.5</v>
          </cell>
          <cell r="CI29">
            <v>58.5</v>
          </cell>
          <cell r="CJ29">
            <v>41.5</v>
          </cell>
          <cell r="CK29">
            <v>36.299999999999997</v>
          </cell>
        </row>
        <row r="30">
          <cell r="F30">
            <v>38.700000000000003</v>
          </cell>
          <cell r="I30">
            <v>47.9</v>
          </cell>
          <cell r="W30" t="b">
            <v>0</v>
          </cell>
          <cell r="AC30">
            <v>45.9</v>
          </cell>
          <cell r="AD30">
            <v>45.9</v>
          </cell>
          <cell r="BH30">
            <v>7</v>
          </cell>
          <cell r="BM30">
            <v>47.6</v>
          </cell>
          <cell r="CG30">
            <v>37.6</v>
          </cell>
          <cell r="CI30">
            <v>58.4</v>
          </cell>
          <cell r="CJ30">
            <v>41.6</v>
          </cell>
          <cell r="CK30">
            <v>36.4</v>
          </cell>
        </row>
        <row r="31">
          <cell r="F31">
            <v>41.5</v>
          </cell>
          <cell r="I31">
            <v>48.2</v>
          </cell>
          <cell r="AC31">
            <v>39.6</v>
          </cell>
          <cell r="AD31">
            <v>39.6</v>
          </cell>
          <cell r="BM31">
            <v>47.8</v>
          </cell>
          <cell r="CG31">
            <v>52.2</v>
          </cell>
          <cell r="CI31">
            <v>51.1</v>
          </cell>
          <cell r="CJ31">
            <v>48.9</v>
          </cell>
          <cell r="CK31">
            <v>53</v>
          </cell>
        </row>
        <row r="32">
          <cell r="F32">
            <v>47.6</v>
          </cell>
          <cell r="I32">
            <v>50.6</v>
          </cell>
          <cell r="AC32">
            <v>38.700000000000003</v>
          </cell>
          <cell r="AD32">
            <v>38.700000000000003</v>
          </cell>
          <cell r="BM32">
            <v>47.9</v>
          </cell>
          <cell r="CG32">
            <v>54.4</v>
          </cell>
          <cell r="CI32">
            <v>49.2</v>
          </cell>
          <cell r="CJ32">
            <v>50.8</v>
          </cell>
          <cell r="CK32">
            <v>55.9</v>
          </cell>
        </row>
        <row r="33">
          <cell r="F33">
            <v>53.5</v>
          </cell>
          <cell r="I33">
            <v>51.3</v>
          </cell>
          <cell r="T33">
            <v>572</v>
          </cell>
          <cell r="AC33">
            <v>41.5</v>
          </cell>
          <cell r="AD33">
            <v>41.5</v>
          </cell>
          <cell r="BH33" t="str">
            <v>Jiggle</v>
          </cell>
          <cell r="BM33">
            <v>48.2</v>
          </cell>
          <cell r="CG33">
            <v>44.7</v>
          </cell>
          <cell r="CI33">
            <v>55.8</v>
          </cell>
          <cell r="CJ33">
            <v>44.2</v>
          </cell>
          <cell r="CK33">
            <v>43.1</v>
          </cell>
        </row>
        <row r="34">
          <cell r="F34">
            <v>37.9</v>
          </cell>
          <cell r="I34">
            <v>51.3</v>
          </cell>
          <cell r="T34" t="b">
            <v>0</v>
          </cell>
          <cell r="AC34">
            <v>47.6</v>
          </cell>
          <cell r="AD34">
            <v>47.6</v>
          </cell>
          <cell r="BH34" t="b">
            <v>1</v>
          </cell>
          <cell r="BM34">
            <v>50.6</v>
          </cell>
          <cell r="CG34">
            <v>61.3</v>
          </cell>
          <cell r="CI34">
            <v>40.9</v>
          </cell>
          <cell r="CJ34">
            <v>59.1</v>
          </cell>
          <cell r="CK34">
            <v>62.8</v>
          </cell>
        </row>
        <row r="35">
          <cell r="F35">
            <v>44.9</v>
          </cell>
          <cell r="I35">
            <v>53.5</v>
          </cell>
          <cell r="R35" t="b">
            <v>0</v>
          </cell>
          <cell r="T35" t="b">
            <v>0</v>
          </cell>
          <cell r="AC35">
            <v>53.5</v>
          </cell>
          <cell r="AD35">
            <v>53.5</v>
          </cell>
          <cell r="BM35">
            <v>51.3</v>
          </cell>
          <cell r="CG35">
            <v>46.6</v>
          </cell>
          <cell r="CI35">
            <v>54.8</v>
          </cell>
          <cell r="CJ35">
            <v>45.2</v>
          </cell>
          <cell r="CK35">
            <v>45.4</v>
          </cell>
        </row>
        <row r="36">
          <cell r="F36">
            <v>21.2</v>
          </cell>
          <cell r="I36">
            <v>57.4</v>
          </cell>
          <cell r="T36" t="b">
            <v>0</v>
          </cell>
          <cell r="AC36">
            <v>37.9</v>
          </cell>
          <cell r="AD36">
            <v>37.9</v>
          </cell>
          <cell r="BH36" t="str">
            <v>upper</v>
          </cell>
          <cell r="BM36">
            <v>51.3</v>
          </cell>
          <cell r="CG36">
            <v>73.7</v>
          </cell>
          <cell r="CI36">
            <v>10.7</v>
          </cell>
          <cell r="CJ36">
            <v>89.3</v>
          </cell>
          <cell r="CK36">
            <v>67</v>
          </cell>
        </row>
        <row r="37">
          <cell r="F37">
            <v>31.5</v>
          </cell>
          <cell r="I37">
            <v>67</v>
          </cell>
          <cell r="R37">
            <v>0.23051694728781502</v>
          </cell>
          <cell r="T37">
            <v>30</v>
          </cell>
          <cell r="AC37">
            <v>44.9</v>
          </cell>
          <cell r="AD37">
            <v>44.9</v>
          </cell>
          <cell r="BG37">
            <v>5</v>
          </cell>
          <cell r="BH37">
            <v>75</v>
          </cell>
          <cell r="BM37">
            <v>53.5</v>
          </cell>
          <cell r="CG37">
            <v>45.4</v>
          </cell>
          <cell r="CI37">
            <v>55.4</v>
          </cell>
          <cell r="CJ37">
            <v>44.6</v>
          </cell>
          <cell r="CK37">
            <v>43.9</v>
          </cell>
        </row>
        <row r="38">
          <cell r="AC38">
            <v>21.2</v>
          </cell>
          <cell r="AD38">
            <v>21.2</v>
          </cell>
          <cell r="BG38">
            <v>0</v>
          </cell>
          <cell r="BH38">
            <v>20</v>
          </cell>
          <cell r="BM38">
            <v>57.4</v>
          </cell>
          <cell r="CG38">
            <v>73.8</v>
          </cell>
          <cell r="CI38">
            <v>10.3</v>
          </cell>
          <cell r="CJ38">
            <v>89.7</v>
          </cell>
          <cell r="CK38">
            <v>67</v>
          </cell>
        </row>
        <row r="39">
          <cell r="AC39">
            <v>31.5</v>
          </cell>
          <cell r="AD39">
            <v>31.5</v>
          </cell>
          <cell r="BM39">
            <v>67</v>
          </cell>
          <cell r="CG39">
            <v>58.7</v>
          </cell>
          <cell r="CI39">
            <v>44.5</v>
          </cell>
          <cell r="CJ39">
            <v>55.5</v>
          </cell>
          <cell r="CK39">
            <v>60.7</v>
          </cell>
        </row>
        <row r="40">
          <cell r="BM40" t="str">
            <v/>
          </cell>
          <cell r="CG40">
            <v>59.1</v>
          </cell>
          <cell r="CI40">
            <v>44</v>
          </cell>
          <cell r="CJ40">
            <v>56</v>
          </cell>
          <cell r="CK40">
            <v>61</v>
          </cell>
        </row>
        <row r="41">
          <cell r="BM41" t="str">
            <v/>
          </cell>
          <cell r="CG41">
            <v>41.3</v>
          </cell>
          <cell r="CI41">
            <v>57.2</v>
          </cell>
          <cell r="CJ41">
            <v>42.8</v>
          </cell>
          <cell r="CK41">
            <v>39.4</v>
          </cell>
        </row>
        <row r="42">
          <cell r="BM42" t="str">
            <v/>
          </cell>
          <cell r="CG42">
            <v>31.3</v>
          </cell>
          <cell r="CI42">
            <v>59.9</v>
          </cell>
          <cell r="CJ42">
            <v>40.1</v>
          </cell>
          <cell r="CK42">
            <v>33.700000000000003</v>
          </cell>
        </row>
        <row r="43">
          <cell r="BM43" t="str">
            <v/>
          </cell>
          <cell r="CG43">
            <v>51.5</v>
          </cell>
          <cell r="CI43">
            <v>51.6</v>
          </cell>
          <cell r="CJ43">
            <v>48.4</v>
          </cell>
          <cell r="CK43">
            <v>52.1</v>
          </cell>
        </row>
        <row r="44">
          <cell r="BM44" t="str">
            <v/>
          </cell>
          <cell r="CG44">
            <v>50.1</v>
          </cell>
          <cell r="CI44">
            <v>52.6</v>
          </cell>
          <cell r="CJ44">
            <v>47.4</v>
          </cell>
          <cell r="CK44">
            <v>50.2</v>
          </cell>
        </row>
        <row r="45">
          <cell r="BM45" t="str">
            <v/>
          </cell>
          <cell r="CG45">
            <v>31.4</v>
          </cell>
          <cell r="CI45">
            <v>59.9</v>
          </cell>
          <cell r="CJ45">
            <v>40.1</v>
          </cell>
          <cell r="CK45">
            <v>33.799999999999997</v>
          </cell>
        </row>
        <row r="46">
          <cell r="BM46" t="str">
            <v/>
          </cell>
          <cell r="CG46">
            <v>64.099999999999994</v>
          </cell>
          <cell r="CI46">
            <v>36.200000000000003</v>
          </cell>
          <cell r="CJ46">
            <v>63.8</v>
          </cell>
          <cell r="CK46">
            <v>64.599999999999994</v>
          </cell>
        </row>
        <row r="47">
          <cell r="BM47" t="str">
            <v/>
          </cell>
          <cell r="CG47">
            <v>56.4</v>
          </cell>
          <cell r="CI47">
            <v>47.2</v>
          </cell>
          <cell r="CJ47">
            <v>52.8</v>
          </cell>
          <cell r="CK47">
            <v>58.3</v>
          </cell>
        </row>
        <row r="48">
          <cell r="BM48" t="str">
            <v/>
          </cell>
          <cell r="CG48">
            <v>40.9</v>
          </cell>
          <cell r="CI48">
            <v>57.4</v>
          </cell>
          <cell r="CJ48">
            <v>42.6</v>
          </cell>
          <cell r="CK48">
            <v>39</v>
          </cell>
        </row>
        <row r="49">
          <cell r="BM49" t="str">
            <v/>
          </cell>
          <cell r="CG49">
            <v>45.7</v>
          </cell>
          <cell r="CI49">
            <v>55.3</v>
          </cell>
          <cell r="CJ49">
            <v>44.7</v>
          </cell>
          <cell r="CK49">
            <v>44.2</v>
          </cell>
        </row>
        <row r="50">
          <cell r="BM50" t="str">
            <v/>
          </cell>
          <cell r="CG50">
            <v>61.3</v>
          </cell>
          <cell r="CI50">
            <v>40.9</v>
          </cell>
          <cell r="CJ50">
            <v>59.1</v>
          </cell>
          <cell r="CK50">
            <v>62.8</v>
          </cell>
        </row>
        <row r="51">
          <cell r="BM51" t="str">
            <v/>
          </cell>
          <cell r="CG51">
            <v>39.9</v>
          </cell>
          <cell r="CI51">
            <v>57.7</v>
          </cell>
          <cell r="CJ51">
            <v>42.3</v>
          </cell>
          <cell r="CK51">
            <v>38.1</v>
          </cell>
        </row>
        <row r="52">
          <cell r="BM52" t="str">
            <v/>
          </cell>
          <cell r="CG52">
            <v>42.9</v>
          </cell>
          <cell r="CI52">
            <v>56.6</v>
          </cell>
          <cell r="CJ52">
            <v>43.4</v>
          </cell>
          <cell r="CK52">
            <v>40.9</v>
          </cell>
        </row>
        <row r="53">
          <cell r="BM53" t="str">
            <v/>
          </cell>
          <cell r="CG53">
            <v>63.3</v>
          </cell>
          <cell r="CI53">
            <v>37.700000000000003</v>
          </cell>
          <cell r="CJ53">
            <v>62.3</v>
          </cell>
          <cell r="CK53">
            <v>64.099999999999994</v>
          </cell>
        </row>
        <row r="54">
          <cell r="BM54" t="str">
            <v/>
          </cell>
          <cell r="CG54">
            <v>41.8</v>
          </cell>
          <cell r="CI54">
            <v>57</v>
          </cell>
          <cell r="CJ54">
            <v>43</v>
          </cell>
          <cell r="CK54">
            <v>39.799999999999997</v>
          </cell>
        </row>
        <row r="55">
          <cell r="BM55" t="str">
            <v/>
          </cell>
          <cell r="CG55">
            <v>56.4</v>
          </cell>
          <cell r="CI55">
            <v>47.2</v>
          </cell>
          <cell r="CJ55">
            <v>52.8</v>
          </cell>
          <cell r="CK55">
            <v>58.3</v>
          </cell>
        </row>
        <row r="56">
          <cell r="BM56" t="str">
            <v/>
          </cell>
          <cell r="CG56">
            <v>43.9</v>
          </cell>
          <cell r="CI56">
            <v>56.1</v>
          </cell>
          <cell r="CJ56">
            <v>43.9</v>
          </cell>
          <cell r="CK56">
            <v>42.1</v>
          </cell>
        </row>
        <row r="57">
          <cell r="BM57" t="str">
            <v/>
          </cell>
          <cell r="CG57">
            <v>50.7</v>
          </cell>
          <cell r="CI57">
            <v>52.3</v>
          </cell>
          <cell r="CJ57">
            <v>47.7</v>
          </cell>
          <cell r="CK57">
            <v>50.9</v>
          </cell>
        </row>
        <row r="58">
          <cell r="BM58" t="str">
            <v/>
          </cell>
          <cell r="CG58">
            <v>39.700000000000003</v>
          </cell>
          <cell r="CI58">
            <v>57.8</v>
          </cell>
          <cell r="CJ58">
            <v>42.2</v>
          </cell>
          <cell r="CK58">
            <v>37.9</v>
          </cell>
        </row>
        <row r="59">
          <cell r="BM59" t="str">
            <v/>
          </cell>
          <cell r="CG59">
            <v>38.799999999999997</v>
          </cell>
          <cell r="CI59">
            <v>58.1</v>
          </cell>
          <cell r="CJ59">
            <v>41.9</v>
          </cell>
          <cell r="CK59">
            <v>37.200000000000003</v>
          </cell>
        </row>
        <row r="60">
          <cell r="BM60" t="str">
            <v/>
          </cell>
          <cell r="CG60">
            <v>48.7</v>
          </cell>
          <cell r="CI60">
            <v>53.6</v>
          </cell>
          <cell r="CJ60">
            <v>46.4</v>
          </cell>
          <cell r="CK60">
            <v>48.2</v>
          </cell>
        </row>
        <row r="61">
          <cell r="BM61" t="str">
            <v/>
          </cell>
          <cell r="CG61">
            <v>42.8</v>
          </cell>
          <cell r="CI61">
            <v>56.6</v>
          </cell>
          <cell r="CJ61">
            <v>43.4</v>
          </cell>
          <cell r="CK61">
            <v>40.9</v>
          </cell>
        </row>
        <row r="62">
          <cell r="BM62" t="str">
            <v/>
          </cell>
          <cell r="CG62">
            <v>50.9</v>
          </cell>
          <cell r="CI62">
            <v>52.1</v>
          </cell>
          <cell r="CJ62">
            <v>47.9</v>
          </cell>
          <cell r="CK62">
            <v>51.2</v>
          </cell>
        </row>
        <row r="63">
          <cell r="BM63" t="str">
            <v/>
          </cell>
          <cell r="CG63">
            <v>49.7</v>
          </cell>
          <cell r="CI63">
            <v>52.9</v>
          </cell>
          <cell r="CJ63">
            <v>47.1</v>
          </cell>
          <cell r="CK63">
            <v>49.6</v>
          </cell>
        </row>
        <row r="64">
          <cell r="BM64" t="str">
            <v/>
          </cell>
          <cell r="CG64">
            <v>45.2</v>
          </cell>
          <cell r="CI64">
            <v>55.5</v>
          </cell>
          <cell r="CJ64">
            <v>44.5</v>
          </cell>
          <cell r="CK64">
            <v>43.6</v>
          </cell>
        </row>
        <row r="65">
          <cell r="BM65" t="str">
            <v/>
          </cell>
          <cell r="CG65">
            <v>46.9</v>
          </cell>
          <cell r="CI65">
            <v>54.6</v>
          </cell>
          <cell r="CJ65">
            <v>45.4</v>
          </cell>
          <cell r="CK65">
            <v>45.8</v>
          </cell>
        </row>
        <row r="66">
          <cell r="BM66" t="str">
            <v/>
          </cell>
          <cell r="CG66">
            <v>48.7</v>
          </cell>
          <cell r="CI66">
            <v>53.6</v>
          </cell>
          <cell r="CJ66">
            <v>46.4</v>
          </cell>
          <cell r="CK66">
            <v>48.2</v>
          </cell>
        </row>
        <row r="67">
          <cell r="BM67" t="str">
            <v/>
          </cell>
          <cell r="CG67">
            <v>49.1</v>
          </cell>
          <cell r="CI67">
            <v>53.3</v>
          </cell>
          <cell r="CJ67">
            <v>46.7</v>
          </cell>
          <cell r="CK67">
            <v>48.8</v>
          </cell>
        </row>
        <row r="68">
          <cell r="BM68" t="str">
            <v/>
          </cell>
          <cell r="CG68">
            <v>33.299999999999997</v>
          </cell>
          <cell r="CI68">
            <v>59.5</v>
          </cell>
          <cell r="CJ68">
            <v>40.5</v>
          </cell>
          <cell r="CK68">
            <v>34.299999999999997</v>
          </cell>
        </row>
        <row r="69">
          <cell r="BM69" t="str">
            <v/>
          </cell>
          <cell r="CG69">
            <v>44.3</v>
          </cell>
          <cell r="CI69">
            <v>56</v>
          </cell>
          <cell r="CJ69">
            <v>44</v>
          </cell>
          <cell r="CK69">
            <v>42.5</v>
          </cell>
        </row>
        <row r="70">
          <cell r="BM70" t="str">
            <v/>
          </cell>
          <cell r="CG70">
            <v>59.7</v>
          </cell>
          <cell r="CI70">
            <v>43.2</v>
          </cell>
          <cell r="CJ70">
            <v>56.8</v>
          </cell>
          <cell r="CK70">
            <v>61.6</v>
          </cell>
        </row>
        <row r="71">
          <cell r="BM71" t="str">
            <v/>
          </cell>
          <cell r="CG71">
            <v>46.7</v>
          </cell>
          <cell r="CI71">
            <v>54.8</v>
          </cell>
          <cell r="CJ71">
            <v>45.2</v>
          </cell>
          <cell r="CK71">
            <v>45.6</v>
          </cell>
        </row>
        <row r="72">
          <cell r="BM72" t="str">
            <v/>
          </cell>
          <cell r="CG72">
            <v>38.6</v>
          </cell>
          <cell r="CI72">
            <v>58.1</v>
          </cell>
          <cell r="CJ72">
            <v>41.9</v>
          </cell>
          <cell r="CK72">
            <v>37.1</v>
          </cell>
        </row>
        <row r="73">
          <cell r="BM73" t="str">
            <v/>
          </cell>
          <cell r="CG73">
            <v>54.1</v>
          </cell>
          <cell r="CI73">
            <v>49.5</v>
          </cell>
          <cell r="CJ73">
            <v>50.5</v>
          </cell>
          <cell r="CK73">
            <v>55.5</v>
          </cell>
        </row>
        <row r="74">
          <cell r="BM74" t="str">
            <v/>
          </cell>
          <cell r="CG74">
            <v>28.2</v>
          </cell>
          <cell r="CI74">
            <v>60.4</v>
          </cell>
          <cell r="CJ74">
            <v>39.6</v>
          </cell>
          <cell r="CK74">
            <v>33.200000000000003</v>
          </cell>
        </row>
        <row r="75">
          <cell r="BM75" t="str">
            <v/>
          </cell>
          <cell r="CG75">
            <v>50.9</v>
          </cell>
          <cell r="CI75">
            <v>52.1</v>
          </cell>
          <cell r="CJ75">
            <v>47.9</v>
          </cell>
          <cell r="CK75">
            <v>51.2</v>
          </cell>
        </row>
        <row r="76">
          <cell r="BM76" t="str">
            <v/>
          </cell>
          <cell r="CG76">
            <v>49.3</v>
          </cell>
          <cell r="CI76">
            <v>53.2</v>
          </cell>
          <cell r="CJ76">
            <v>46.8</v>
          </cell>
          <cell r="CK76">
            <v>49</v>
          </cell>
        </row>
        <row r="77">
          <cell r="BM77" t="str">
            <v/>
          </cell>
          <cell r="CG77">
            <v>54.3</v>
          </cell>
          <cell r="CI77">
            <v>49.2</v>
          </cell>
          <cell r="CJ77">
            <v>50.8</v>
          </cell>
          <cell r="CK77">
            <v>55.8</v>
          </cell>
        </row>
        <row r="78">
          <cell r="BM78" t="str">
            <v/>
          </cell>
          <cell r="CG78">
            <v>39.799999999999997</v>
          </cell>
          <cell r="CI78">
            <v>57.7</v>
          </cell>
          <cell r="CJ78">
            <v>42.3</v>
          </cell>
          <cell r="CK78">
            <v>38</v>
          </cell>
        </row>
        <row r="79">
          <cell r="BM79" t="str">
            <v/>
          </cell>
          <cell r="CG79">
            <v>60</v>
          </cell>
          <cell r="CI79">
            <v>42.8</v>
          </cell>
          <cell r="CJ79">
            <v>57.2</v>
          </cell>
          <cell r="CK79">
            <v>61.8</v>
          </cell>
        </row>
        <row r="80">
          <cell r="BM80" t="str">
            <v/>
          </cell>
          <cell r="CG80">
            <v>72.5</v>
          </cell>
          <cell r="CI80">
            <v>15.1</v>
          </cell>
          <cell r="CJ80">
            <v>84.9</v>
          </cell>
          <cell r="CK80">
            <v>66.900000000000006</v>
          </cell>
        </row>
        <row r="81">
          <cell r="BM81" t="str">
            <v/>
          </cell>
          <cell r="CG81">
            <v>54.8</v>
          </cell>
          <cell r="CI81">
            <v>48.8</v>
          </cell>
          <cell r="CJ81">
            <v>51.2</v>
          </cell>
          <cell r="CK81">
            <v>56.3</v>
          </cell>
        </row>
        <row r="82">
          <cell r="BM82" t="str">
            <v/>
          </cell>
          <cell r="CG82">
            <v>54.3</v>
          </cell>
          <cell r="CI82">
            <v>49.3</v>
          </cell>
          <cell r="CJ82">
            <v>50.7</v>
          </cell>
          <cell r="CK82">
            <v>55.7</v>
          </cell>
        </row>
        <row r="83">
          <cell r="BM83" t="str">
            <v/>
          </cell>
          <cell r="CG83">
            <v>49.2</v>
          </cell>
          <cell r="CI83">
            <v>53.3</v>
          </cell>
          <cell r="CJ83">
            <v>46.7</v>
          </cell>
          <cell r="CK83">
            <v>48.9</v>
          </cell>
        </row>
        <row r="84">
          <cell r="BM84" t="str">
            <v/>
          </cell>
          <cell r="CG84">
            <v>51.6</v>
          </cell>
          <cell r="CI84">
            <v>51.5</v>
          </cell>
          <cell r="CJ84">
            <v>48.5</v>
          </cell>
          <cell r="CK84">
            <v>52.3</v>
          </cell>
        </row>
        <row r="85">
          <cell r="BM85" t="str">
            <v/>
          </cell>
          <cell r="CG85">
            <v>56.5</v>
          </cell>
          <cell r="CI85">
            <v>47.1</v>
          </cell>
          <cell r="CJ85">
            <v>52.9</v>
          </cell>
          <cell r="CK85">
            <v>58.4</v>
          </cell>
        </row>
        <row r="86">
          <cell r="BM86" t="str">
            <v/>
          </cell>
          <cell r="CG86">
            <v>51.1</v>
          </cell>
          <cell r="CI86">
            <v>51.9</v>
          </cell>
          <cell r="CJ86">
            <v>48.1</v>
          </cell>
          <cell r="CK86">
            <v>51.5</v>
          </cell>
        </row>
        <row r="87">
          <cell r="BM87" t="str">
            <v/>
          </cell>
          <cell r="CG87">
            <v>58.5</v>
          </cell>
          <cell r="CI87">
            <v>44.8</v>
          </cell>
          <cell r="CJ87">
            <v>55.2</v>
          </cell>
          <cell r="CK87">
            <v>60.4</v>
          </cell>
        </row>
        <row r="88">
          <cell r="BM88" t="str">
            <v/>
          </cell>
          <cell r="CG88">
            <v>50.4</v>
          </cell>
          <cell r="CI88">
            <v>52.4</v>
          </cell>
          <cell r="CJ88">
            <v>47.6</v>
          </cell>
          <cell r="CK88">
            <v>50.6</v>
          </cell>
        </row>
        <row r="89">
          <cell r="BM89" t="str">
            <v/>
          </cell>
          <cell r="CG89">
            <v>54.7</v>
          </cell>
          <cell r="CI89">
            <v>48.9</v>
          </cell>
          <cell r="CJ89">
            <v>51.1</v>
          </cell>
          <cell r="CK89">
            <v>56.3</v>
          </cell>
        </row>
        <row r="90">
          <cell r="BM90" t="str">
            <v/>
          </cell>
          <cell r="CG90">
            <v>53.8</v>
          </cell>
          <cell r="CI90">
            <v>49.7</v>
          </cell>
          <cell r="CJ90">
            <v>50.3</v>
          </cell>
          <cell r="CK90">
            <v>55.2</v>
          </cell>
        </row>
        <row r="91">
          <cell r="BM91" t="str">
            <v/>
          </cell>
          <cell r="CG91">
            <v>50.9</v>
          </cell>
          <cell r="CI91">
            <v>52.1</v>
          </cell>
          <cell r="CJ91">
            <v>47.9</v>
          </cell>
          <cell r="CK91">
            <v>51.3</v>
          </cell>
        </row>
        <row r="92">
          <cell r="BM92" t="str">
            <v/>
          </cell>
          <cell r="CG92">
            <v>48.6</v>
          </cell>
          <cell r="CI92">
            <v>53.7</v>
          </cell>
          <cell r="CJ92">
            <v>46.3</v>
          </cell>
          <cell r="CK92">
            <v>48</v>
          </cell>
        </row>
        <row r="93">
          <cell r="BM93" t="str">
            <v/>
          </cell>
          <cell r="CG93">
            <v>67.7</v>
          </cell>
          <cell r="CI93">
            <v>28.6</v>
          </cell>
          <cell r="CJ93">
            <v>71.400000000000006</v>
          </cell>
          <cell r="CK93">
            <v>66</v>
          </cell>
        </row>
        <row r="94">
          <cell r="BM94" t="str">
            <v/>
          </cell>
          <cell r="CG94">
            <v>64</v>
          </cell>
          <cell r="CI94">
            <v>36.4</v>
          </cell>
          <cell r="CJ94">
            <v>63.6</v>
          </cell>
          <cell r="CK94">
            <v>64.5</v>
          </cell>
        </row>
        <row r="95">
          <cell r="BM95" t="str">
            <v/>
          </cell>
          <cell r="CG95">
            <v>71</v>
          </cell>
          <cell r="CI95">
            <v>19.899999999999999</v>
          </cell>
          <cell r="CJ95">
            <v>80.099999999999994</v>
          </cell>
          <cell r="CK95">
            <v>66.7</v>
          </cell>
        </row>
        <row r="96">
          <cell r="BM96" t="str">
            <v/>
          </cell>
          <cell r="CG96">
            <v>51.2</v>
          </cell>
          <cell r="CI96">
            <v>51.9</v>
          </cell>
          <cell r="CJ96">
            <v>48.1</v>
          </cell>
          <cell r="CK96">
            <v>51.7</v>
          </cell>
        </row>
        <row r="97">
          <cell r="BM97" t="str">
            <v/>
          </cell>
          <cell r="CG97">
            <v>40.799999999999997</v>
          </cell>
          <cell r="CI97">
            <v>57.4</v>
          </cell>
          <cell r="CJ97">
            <v>42.6</v>
          </cell>
          <cell r="CK97">
            <v>38.9</v>
          </cell>
        </row>
        <row r="98">
          <cell r="BM98" t="str">
            <v/>
          </cell>
          <cell r="CG98">
            <v>50.5</v>
          </cell>
          <cell r="CI98">
            <v>52.4</v>
          </cell>
          <cell r="CJ98">
            <v>47.6</v>
          </cell>
          <cell r="CK98">
            <v>50.7</v>
          </cell>
        </row>
        <row r="99">
          <cell r="BM99" t="str">
            <v/>
          </cell>
          <cell r="CG99">
            <v>50.6</v>
          </cell>
          <cell r="CI99">
            <v>52.3</v>
          </cell>
          <cell r="CJ99">
            <v>47.7</v>
          </cell>
          <cell r="CK99">
            <v>50.9</v>
          </cell>
        </row>
        <row r="100">
          <cell r="BM100" t="str">
            <v/>
          </cell>
          <cell r="CG100">
            <v>46.9</v>
          </cell>
          <cell r="CI100">
            <v>54.7</v>
          </cell>
          <cell r="CJ100">
            <v>45.3</v>
          </cell>
          <cell r="CK100">
            <v>45.7</v>
          </cell>
        </row>
        <row r="101">
          <cell r="BM101" t="str">
            <v/>
          </cell>
          <cell r="CG101">
            <v>43.7</v>
          </cell>
          <cell r="CI101">
            <v>56.3</v>
          </cell>
          <cell r="CJ101">
            <v>43.7</v>
          </cell>
          <cell r="CK101">
            <v>41.8</v>
          </cell>
        </row>
        <row r="102">
          <cell r="BM102" t="str">
            <v/>
          </cell>
          <cell r="CG102">
            <v>65.900000000000006</v>
          </cell>
          <cell r="CI102">
            <v>32.6</v>
          </cell>
          <cell r="CJ102">
            <v>67.400000000000006</v>
          </cell>
          <cell r="CK102">
            <v>65.400000000000006</v>
          </cell>
        </row>
        <row r="103">
          <cell r="BM103" t="str">
            <v/>
          </cell>
          <cell r="CG103" t="str">
            <v/>
          </cell>
          <cell r="CI103" t="str">
            <v/>
          </cell>
          <cell r="CJ103" t="str">
            <v/>
          </cell>
          <cell r="CK103" t="str">
            <v/>
          </cell>
        </row>
        <row r="104">
          <cell r="BM104" t="str">
            <v/>
          </cell>
          <cell r="CG104" t="str">
            <v/>
          </cell>
          <cell r="CI104" t="str">
            <v/>
          </cell>
          <cell r="CJ104" t="str">
            <v/>
          </cell>
          <cell r="CK104" t="str">
            <v/>
          </cell>
        </row>
        <row r="105">
          <cell r="BM105" t="str">
            <v/>
          </cell>
          <cell r="CG105" t="str">
            <v/>
          </cell>
          <cell r="CI105" t="str">
            <v/>
          </cell>
          <cell r="CJ105" t="str">
            <v/>
          </cell>
          <cell r="CK105" t="str">
            <v/>
          </cell>
        </row>
        <row r="106">
          <cell r="BM106" t="str">
            <v/>
          </cell>
          <cell r="CG106" t="str">
            <v/>
          </cell>
          <cell r="CI106" t="str">
            <v/>
          </cell>
          <cell r="CJ106" t="str">
            <v/>
          </cell>
          <cell r="CK106" t="str">
            <v/>
          </cell>
        </row>
        <row r="107">
          <cell r="BM107" t="str">
            <v/>
          </cell>
          <cell r="CG107" t="str">
            <v/>
          </cell>
          <cell r="CI107" t="str">
            <v/>
          </cell>
          <cell r="CJ107" t="str">
            <v/>
          </cell>
          <cell r="CK107" t="str">
            <v/>
          </cell>
        </row>
        <row r="108">
          <cell r="BM108" t="str">
            <v/>
          </cell>
          <cell r="CG108" t="str">
            <v/>
          </cell>
          <cell r="CI108" t="str">
            <v/>
          </cell>
          <cell r="CJ108" t="str">
            <v/>
          </cell>
          <cell r="CK108" t="str">
            <v/>
          </cell>
        </row>
        <row r="109">
          <cell r="BM109" t="str">
            <v/>
          </cell>
          <cell r="CG109" t="str">
            <v/>
          </cell>
          <cell r="CI109" t="str">
            <v/>
          </cell>
          <cell r="CJ109" t="str">
            <v/>
          </cell>
          <cell r="CK109" t="str">
            <v/>
          </cell>
        </row>
        <row r="110">
          <cell r="BM110" t="str">
            <v/>
          </cell>
          <cell r="CG110" t="str">
            <v/>
          </cell>
          <cell r="CI110" t="str">
            <v/>
          </cell>
          <cell r="CJ110" t="str">
            <v/>
          </cell>
          <cell r="CK110" t="str">
            <v/>
          </cell>
        </row>
        <row r="111">
          <cell r="BM111" t="str">
            <v/>
          </cell>
          <cell r="CG111" t="str">
            <v/>
          </cell>
          <cell r="CI111" t="str">
            <v/>
          </cell>
          <cell r="CJ111" t="str">
            <v/>
          </cell>
          <cell r="CK111" t="str">
            <v/>
          </cell>
        </row>
        <row r="112">
          <cell r="BM112" t="str">
            <v/>
          </cell>
          <cell r="CG112" t="str">
            <v/>
          </cell>
          <cell r="CI112" t="str">
            <v/>
          </cell>
          <cell r="CJ112" t="str">
            <v/>
          </cell>
          <cell r="CK112" t="str">
            <v/>
          </cell>
        </row>
        <row r="113">
          <cell r="BM113" t="str">
            <v/>
          </cell>
          <cell r="CG113" t="str">
            <v/>
          </cell>
          <cell r="CI113" t="str">
            <v/>
          </cell>
          <cell r="CJ113" t="str">
            <v/>
          </cell>
          <cell r="CK113" t="str">
            <v/>
          </cell>
        </row>
        <row r="114">
          <cell r="BM114" t="str">
            <v/>
          </cell>
          <cell r="CG114" t="str">
            <v/>
          </cell>
          <cell r="CI114" t="str">
            <v/>
          </cell>
          <cell r="CJ114" t="str">
            <v/>
          </cell>
          <cell r="CK114" t="str">
            <v/>
          </cell>
        </row>
        <row r="115">
          <cell r="BM115" t="str">
            <v/>
          </cell>
          <cell r="CG115" t="str">
            <v/>
          </cell>
          <cell r="CI115" t="str">
            <v/>
          </cell>
          <cell r="CJ115" t="str">
            <v/>
          </cell>
          <cell r="CK115" t="str">
            <v/>
          </cell>
        </row>
        <row r="116">
          <cell r="BM116" t="str">
            <v/>
          </cell>
          <cell r="CG116" t="str">
            <v/>
          </cell>
          <cell r="CI116" t="str">
            <v/>
          </cell>
          <cell r="CJ116" t="str">
            <v/>
          </cell>
          <cell r="CK116" t="str">
            <v/>
          </cell>
        </row>
        <row r="117">
          <cell r="BM117" t="str">
            <v/>
          </cell>
          <cell r="CG117" t="str">
            <v/>
          </cell>
          <cell r="CI117" t="str">
            <v/>
          </cell>
          <cell r="CJ117" t="str">
            <v/>
          </cell>
          <cell r="CK117" t="str">
            <v/>
          </cell>
        </row>
        <row r="118">
          <cell r="BM118" t="str">
            <v/>
          </cell>
          <cell r="CG118" t="str">
            <v/>
          </cell>
          <cell r="CI118" t="str">
            <v/>
          </cell>
          <cell r="CJ118" t="str">
            <v/>
          </cell>
          <cell r="CK118" t="str">
            <v/>
          </cell>
        </row>
        <row r="119">
          <cell r="BM119" t="str">
            <v/>
          </cell>
          <cell r="CG119" t="str">
            <v/>
          </cell>
          <cell r="CI119" t="str">
            <v/>
          </cell>
          <cell r="CJ119" t="str">
            <v/>
          </cell>
          <cell r="CK119" t="str">
            <v/>
          </cell>
        </row>
        <row r="120">
          <cell r="BM120" t="str">
            <v/>
          </cell>
          <cell r="CG120" t="str">
            <v/>
          </cell>
          <cell r="CI120" t="str">
            <v/>
          </cell>
          <cell r="CJ120" t="str">
            <v/>
          </cell>
          <cell r="CK120" t="str">
            <v/>
          </cell>
        </row>
        <row r="121">
          <cell r="BM121" t="str">
            <v/>
          </cell>
          <cell r="CG121" t="str">
            <v/>
          </cell>
          <cell r="CI121" t="str">
            <v/>
          </cell>
          <cell r="CJ121" t="str">
            <v/>
          </cell>
          <cell r="CK121" t="str">
            <v/>
          </cell>
        </row>
        <row r="122">
          <cell r="BM122" t="str">
            <v/>
          </cell>
          <cell r="CG122" t="str">
            <v/>
          </cell>
          <cell r="CI122" t="str">
            <v/>
          </cell>
          <cell r="CJ122" t="str">
            <v/>
          </cell>
          <cell r="CK122" t="str">
            <v/>
          </cell>
        </row>
        <row r="123">
          <cell r="BM123" t="str">
            <v/>
          </cell>
          <cell r="CG123" t="str">
            <v/>
          </cell>
          <cell r="CI123" t="str">
            <v/>
          </cell>
          <cell r="CJ123" t="str">
            <v/>
          </cell>
          <cell r="CK123" t="str">
            <v/>
          </cell>
        </row>
        <row r="124">
          <cell r="BM124" t="str">
            <v/>
          </cell>
          <cell r="CG124" t="str">
            <v/>
          </cell>
          <cell r="CI124" t="str">
            <v/>
          </cell>
          <cell r="CJ124" t="str">
            <v/>
          </cell>
          <cell r="CK124" t="str">
            <v/>
          </cell>
        </row>
        <row r="125">
          <cell r="BM125" t="str">
            <v/>
          </cell>
          <cell r="CG125" t="str">
            <v/>
          </cell>
          <cell r="CI125" t="str">
            <v/>
          </cell>
          <cell r="CJ125" t="str">
            <v/>
          </cell>
          <cell r="CK125" t="str">
            <v/>
          </cell>
        </row>
        <row r="126">
          <cell r="BM126" t="str">
            <v/>
          </cell>
          <cell r="CG126" t="str">
            <v/>
          </cell>
          <cell r="CI126" t="str">
            <v/>
          </cell>
          <cell r="CJ126" t="str">
            <v/>
          </cell>
          <cell r="CK126" t="str">
            <v/>
          </cell>
        </row>
        <row r="127">
          <cell r="BM127" t="str">
            <v/>
          </cell>
          <cell r="CG127" t="str">
            <v/>
          </cell>
          <cell r="CI127" t="str">
            <v/>
          </cell>
          <cell r="CJ127" t="str">
            <v/>
          </cell>
          <cell r="CK127" t="str">
            <v/>
          </cell>
        </row>
        <row r="128">
          <cell r="BM128" t="str">
            <v/>
          </cell>
          <cell r="CG128" t="str">
            <v/>
          </cell>
          <cell r="CI128" t="str">
            <v/>
          </cell>
          <cell r="CJ128" t="str">
            <v/>
          </cell>
          <cell r="CK128" t="str">
            <v/>
          </cell>
        </row>
        <row r="129">
          <cell r="BM129" t="str">
            <v/>
          </cell>
          <cell r="CG129" t="str">
            <v/>
          </cell>
          <cell r="CI129" t="str">
            <v/>
          </cell>
          <cell r="CJ129" t="str">
            <v/>
          </cell>
          <cell r="CK129" t="str">
            <v/>
          </cell>
        </row>
        <row r="130">
          <cell r="BM130" t="str">
            <v/>
          </cell>
          <cell r="CG130" t="str">
            <v/>
          </cell>
          <cell r="CI130" t="str">
            <v/>
          </cell>
          <cell r="CJ130" t="str">
            <v/>
          </cell>
          <cell r="CK130" t="str">
            <v/>
          </cell>
        </row>
        <row r="131">
          <cell r="BM131" t="str">
            <v/>
          </cell>
          <cell r="CG131" t="str">
            <v/>
          </cell>
          <cell r="CI131" t="str">
            <v/>
          </cell>
          <cell r="CJ131" t="str">
            <v/>
          </cell>
          <cell r="CK131" t="str">
            <v/>
          </cell>
        </row>
        <row r="132">
          <cell r="BM132" t="str">
            <v/>
          </cell>
          <cell r="CG132" t="str">
            <v/>
          </cell>
          <cell r="CI132" t="str">
            <v/>
          </cell>
          <cell r="CJ132" t="str">
            <v/>
          </cell>
          <cell r="CK132" t="str">
            <v/>
          </cell>
        </row>
        <row r="133">
          <cell r="BM133" t="str">
            <v/>
          </cell>
          <cell r="CG133" t="str">
            <v/>
          </cell>
          <cell r="CI133" t="str">
            <v/>
          </cell>
          <cell r="CJ133" t="str">
            <v/>
          </cell>
          <cell r="CK133" t="str">
            <v/>
          </cell>
        </row>
        <row r="134">
          <cell r="BM134" t="str">
            <v/>
          </cell>
          <cell r="CG134" t="str">
            <v/>
          </cell>
          <cell r="CI134" t="str">
            <v/>
          </cell>
          <cell r="CJ134" t="str">
            <v/>
          </cell>
          <cell r="CK134" t="str">
            <v/>
          </cell>
        </row>
        <row r="135">
          <cell r="BM135" t="str">
            <v/>
          </cell>
          <cell r="CG135" t="str">
            <v/>
          </cell>
          <cell r="CI135" t="str">
            <v/>
          </cell>
          <cell r="CJ135" t="str">
            <v/>
          </cell>
          <cell r="CK135" t="str">
            <v/>
          </cell>
        </row>
        <row r="136">
          <cell r="BM136" t="str">
            <v/>
          </cell>
          <cell r="CG136" t="str">
            <v/>
          </cell>
          <cell r="CI136" t="str">
            <v/>
          </cell>
          <cell r="CJ136" t="str">
            <v/>
          </cell>
          <cell r="CK136" t="str">
            <v/>
          </cell>
        </row>
        <row r="137">
          <cell r="BM137" t="str">
            <v/>
          </cell>
          <cell r="CG137" t="str">
            <v/>
          </cell>
          <cell r="CI137" t="str">
            <v/>
          </cell>
          <cell r="CJ137" t="str">
            <v/>
          </cell>
          <cell r="CK137" t="str">
            <v/>
          </cell>
        </row>
        <row r="138">
          <cell r="BM138" t="str">
            <v/>
          </cell>
          <cell r="CG138" t="str">
            <v/>
          </cell>
          <cell r="CI138" t="str">
            <v/>
          </cell>
          <cell r="CJ138" t="str">
            <v/>
          </cell>
          <cell r="CK138" t="str">
            <v/>
          </cell>
        </row>
        <row r="139">
          <cell r="BM139" t="str">
            <v/>
          </cell>
          <cell r="CG139" t="str">
            <v/>
          </cell>
          <cell r="CI139" t="str">
            <v/>
          </cell>
          <cell r="CJ139" t="str">
            <v/>
          </cell>
          <cell r="CK139" t="str">
            <v/>
          </cell>
        </row>
        <row r="140">
          <cell r="BM140" t="str">
            <v/>
          </cell>
          <cell r="CG140" t="str">
            <v/>
          </cell>
          <cell r="CI140" t="str">
            <v/>
          </cell>
          <cell r="CJ140" t="str">
            <v/>
          </cell>
          <cell r="CK140" t="str">
            <v/>
          </cell>
        </row>
        <row r="141">
          <cell r="BM141" t="str">
            <v/>
          </cell>
          <cell r="CG141" t="str">
            <v/>
          </cell>
          <cell r="CI141" t="str">
            <v/>
          </cell>
          <cell r="CJ141" t="str">
            <v/>
          </cell>
          <cell r="CK141" t="str">
            <v/>
          </cell>
        </row>
        <row r="142">
          <cell r="BM142" t="str">
            <v/>
          </cell>
          <cell r="CG142" t="str">
            <v/>
          </cell>
          <cell r="CI142" t="str">
            <v/>
          </cell>
          <cell r="CJ142" t="str">
            <v/>
          </cell>
          <cell r="CK142" t="str">
            <v/>
          </cell>
        </row>
        <row r="143">
          <cell r="BM143" t="str">
            <v/>
          </cell>
          <cell r="CG143" t="str">
            <v/>
          </cell>
          <cell r="CI143" t="str">
            <v/>
          </cell>
          <cell r="CJ143" t="str">
            <v/>
          </cell>
          <cell r="CK143" t="str">
            <v/>
          </cell>
        </row>
        <row r="144">
          <cell r="BM144" t="str">
            <v/>
          </cell>
          <cell r="CG144" t="str">
            <v/>
          </cell>
          <cell r="CI144" t="str">
            <v/>
          </cell>
          <cell r="CJ144" t="str">
            <v/>
          </cell>
          <cell r="CK144" t="str">
            <v/>
          </cell>
        </row>
        <row r="145">
          <cell r="BM145" t="str">
            <v/>
          </cell>
          <cell r="CG145" t="str">
            <v/>
          </cell>
          <cell r="CI145" t="str">
            <v/>
          </cell>
          <cell r="CJ145" t="str">
            <v/>
          </cell>
          <cell r="CK145" t="str">
            <v/>
          </cell>
        </row>
        <row r="146">
          <cell r="BM146" t="str">
            <v/>
          </cell>
          <cell r="CG146" t="str">
            <v/>
          </cell>
          <cell r="CI146" t="str">
            <v/>
          </cell>
          <cell r="CJ146" t="str">
            <v/>
          </cell>
          <cell r="CK146" t="str">
            <v/>
          </cell>
        </row>
        <row r="147">
          <cell r="BM147" t="str">
            <v/>
          </cell>
          <cell r="CG147" t="str">
            <v/>
          </cell>
          <cell r="CI147" t="str">
            <v/>
          </cell>
          <cell r="CJ147" t="str">
            <v/>
          </cell>
          <cell r="CK147" t="str">
            <v/>
          </cell>
        </row>
        <row r="148">
          <cell r="BM148" t="str">
            <v/>
          </cell>
          <cell r="CG148" t="str">
            <v/>
          </cell>
          <cell r="CI148" t="str">
            <v/>
          </cell>
          <cell r="CJ148" t="str">
            <v/>
          </cell>
          <cell r="CK148" t="str">
            <v/>
          </cell>
        </row>
        <row r="149">
          <cell r="BM149" t="str">
            <v/>
          </cell>
          <cell r="CG149" t="str">
            <v/>
          </cell>
          <cell r="CI149" t="str">
            <v/>
          </cell>
          <cell r="CJ149" t="str">
            <v/>
          </cell>
          <cell r="CK149" t="str">
            <v/>
          </cell>
        </row>
        <row r="150">
          <cell r="BM150" t="str">
            <v/>
          </cell>
          <cell r="CG150" t="str">
            <v/>
          </cell>
          <cell r="CI150" t="str">
            <v/>
          </cell>
          <cell r="CJ150" t="str">
            <v/>
          </cell>
          <cell r="CK150" t="str">
            <v/>
          </cell>
        </row>
        <row r="151">
          <cell r="BM151" t="str">
            <v/>
          </cell>
          <cell r="CG151" t="str">
            <v/>
          </cell>
          <cell r="CI151" t="str">
            <v/>
          </cell>
          <cell r="CJ151" t="str">
            <v/>
          </cell>
          <cell r="CK151" t="str">
            <v/>
          </cell>
        </row>
        <row r="152">
          <cell r="BM152" t="str">
            <v/>
          </cell>
          <cell r="CG152" t="str">
            <v/>
          </cell>
          <cell r="CI152" t="str">
            <v/>
          </cell>
          <cell r="CJ152" t="str">
            <v/>
          </cell>
          <cell r="CK152" t="str">
            <v/>
          </cell>
        </row>
        <row r="153">
          <cell r="BM153" t="str">
            <v/>
          </cell>
          <cell r="CG153" t="str">
            <v/>
          </cell>
          <cell r="CI153" t="str">
            <v/>
          </cell>
          <cell r="CJ153" t="str">
            <v/>
          </cell>
          <cell r="CK153" t="str">
            <v/>
          </cell>
        </row>
        <row r="154">
          <cell r="BM154" t="str">
            <v/>
          </cell>
          <cell r="CG154" t="str">
            <v/>
          </cell>
          <cell r="CI154" t="str">
            <v/>
          </cell>
          <cell r="CJ154" t="str">
            <v/>
          </cell>
          <cell r="CK154" t="str">
            <v/>
          </cell>
        </row>
        <row r="155">
          <cell r="BM155" t="str">
            <v/>
          </cell>
          <cell r="CG155" t="str">
            <v/>
          </cell>
          <cell r="CI155" t="str">
            <v/>
          </cell>
          <cell r="CJ155" t="str">
            <v/>
          </cell>
          <cell r="CK155" t="str">
            <v/>
          </cell>
        </row>
        <row r="156">
          <cell r="BM156" t="str">
            <v/>
          </cell>
          <cell r="CG156" t="str">
            <v/>
          </cell>
          <cell r="CI156" t="str">
            <v/>
          </cell>
          <cell r="CJ156" t="str">
            <v/>
          </cell>
          <cell r="CK156" t="str">
            <v/>
          </cell>
        </row>
        <row r="157">
          <cell r="BM157" t="str">
            <v/>
          </cell>
          <cell r="CG157" t="str">
            <v/>
          </cell>
          <cell r="CI157" t="str">
            <v/>
          </cell>
          <cell r="CJ157" t="str">
            <v/>
          </cell>
          <cell r="CK157" t="str">
            <v/>
          </cell>
        </row>
        <row r="158">
          <cell r="BM158" t="str">
            <v/>
          </cell>
          <cell r="CG158" t="str">
            <v/>
          </cell>
          <cell r="CI158" t="str">
            <v/>
          </cell>
          <cell r="CJ158" t="str">
            <v/>
          </cell>
          <cell r="CK158" t="str">
            <v/>
          </cell>
        </row>
        <row r="159">
          <cell r="BM159" t="str">
            <v/>
          </cell>
          <cell r="CG159" t="str">
            <v/>
          </cell>
          <cell r="CI159" t="str">
            <v/>
          </cell>
          <cell r="CJ159" t="str">
            <v/>
          </cell>
          <cell r="CK159" t="str">
            <v/>
          </cell>
        </row>
        <row r="160">
          <cell r="BM160" t="str">
            <v/>
          </cell>
          <cell r="CG160" t="str">
            <v/>
          </cell>
          <cell r="CI160" t="str">
            <v/>
          </cell>
          <cell r="CJ160" t="str">
            <v/>
          </cell>
          <cell r="CK160" t="str">
            <v/>
          </cell>
        </row>
        <row r="161">
          <cell r="BM161" t="str">
            <v/>
          </cell>
          <cell r="CG161" t="str">
            <v/>
          </cell>
          <cell r="CI161" t="str">
            <v/>
          </cell>
          <cell r="CJ161" t="str">
            <v/>
          </cell>
          <cell r="CK161" t="str">
            <v/>
          </cell>
        </row>
        <row r="162">
          <cell r="BM162" t="str">
            <v/>
          </cell>
          <cell r="CG162" t="str">
            <v/>
          </cell>
          <cell r="CI162" t="str">
            <v/>
          </cell>
          <cell r="CJ162" t="str">
            <v/>
          </cell>
          <cell r="CK162" t="str">
            <v/>
          </cell>
        </row>
        <row r="163">
          <cell r="BM163" t="str">
            <v/>
          </cell>
          <cell r="CG163" t="str">
            <v/>
          </cell>
          <cell r="CI163" t="str">
            <v/>
          </cell>
          <cell r="CJ163" t="str">
            <v/>
          </cell>
          <cell r="CK163" t="str">
            <v/>
          </cell>
        </row>
        <row r="164">
          <cell r="BM164" t="str">
            <v/>
          </cell>
          <cell r="CG164" t="str">
            <v/>
          </cell>
          <cell r="CI164" t="str">
            <v/>
          </cell>
          <cell r="CJ164" t="str">
            <v/>
          </cell>
          <cell r="CK164" t="str">
            <v/>
          </cell>
        </row>
        <row r="165">
          <cell r="BM165" t="str">
            <v/>
          </cell>
          <cell r="CG165" t="str">
            <v/>
          </cell>
          <cell r="CI165" t="str">
            <v/>
          </cell>
          <cell r="CJ165" t="str">
            <v/>
          </cell>
          <cell r="CK165" t="str">
            <v/>
          </cell>
        </row>
        <row r="166">
          <cell r="BM166" t="str">
            <v/>
          </cell>
          <cell r="CG166" t="str">
            <v/>
          </cell>
          <cell r="CI166" t="str">
            <v/>
          </cell>
          <cell r="CJ166" t="str">
            <v/>
          </cell>
          <cell r="CK166" t="str">
            <v/>
          </cell>
        </row>
        <row r="167">
          <cell r="BM167" t="str">
            <v/>
          </cell>
          <cell r="CG167" t="str">
            <v/>
          </cell>
          <cell r="CI167" t="str">
            <v/>
          </cell>
          <cell r="CJ167" t="str">
            <v/>
          </cell>
          <cell r="CK167" t="str">
            <v/>
          </cell>
        </row>
        <row r="168">
          <cell r="BM168" t="str">
            <v/>
          </cell>
          <cell r="CG168" t="str">
            <v/>
          </cell>
          <cell r="CI168" t="str">
            <v/>
          </cell>
          <cell r="CJ168" t="str">
            <v/>
          </cell>
          <cell r="CK168" t="str">
            <v/>
          </cell>
        </row>
        <row r="169">
          <cell r="BM169" t="str">
            <v/>
          </cell>
          <cell r="CG169" t="str">
            <v/>
          </cell>
          <cell r="CI169" t="str">
            <v/>
          </cell>
          <cell r="CJ169" t="str">
            <v/>
          </cell>
          <cell r="CK169" t="str">
            <v/>
          </cell>
        </row>
        <row r="170">
          <cell r="BM170" t="str">
            <v/>
          </cell>
          <cell r="CG170" t="str">
            <v/>
          </cell>
          <cell r="CI170" t="str">
            <v/>
          </cell>
          <cell r="CJ170" t="str">
            <v/>
          </cell>
          <cell r="CK170" t="str">
            <v/>
          </cell>
        </row>
        <row r="171">
          <cell r="BM171" t="str">
            <v/>
          </cell>
          <cell r="CG171" t="str">
            <v/>
          </cell>
          <cell r="CI171" t="str">
            <v/>
          </cell>
          <cell r="CJ171" t="str">
            <v/>
          </cell>
          <cell r="CK171" t="str">
            <v/>
          </cell>
        </row>
        <row r="172">
          <cell r="BM172" t="str">
            <v/>
          </cell>
          <cell r="CG172" t="str">
            <v/>
          </cell>
          <cell r="CI172" t="str">
            <v/>
          </cell>
          <cell r="CJ172" t="str">
            <v/>
          </cell>
          <cell r="CK172" t="str">
            <v/>
          </cell>
        </row>
        <row r="173">
          <cell r="BM173" t="str">
            <v/>
          </cell>
          <cell r="CG173" t="str">
            <v/>
          </cell>
          <cell r="CI173" t="str">
            <v/>
          </cell>
          <cell r="CJ173" t="str">
            <v/>
          </cell>
          <cell r="CK173" t="str">
            <v/>
          </cell>
        </row>
        <row r="174">
          <cell r="BM174" t="str">
            <v/>
          </cell>
          <cell r="CG174" t="str">
            <v/>
          </cell>
          <cell r="CI174" t="str">
            <v/>
          </cell>
          <cell r="CJ174" t="str">
            <v/>
          </cell>
          <cell r="CK174" t="str">
            <v/>
          </cell>
        </row>
        <row r="175">
          <cell r="BM175" t="str">
            <v/>
          </cell>
          <cell r="CG175" t="str">
            <v/>
          </cell>
          <cell r="CI175" t="str">
            <v/>
          </cell>
          <cell r="CJ175" t="str">
            <v/>
          </cell>
          <cell r="CK175" t="str">
            <v/>
          </cell>
        </row>
        <row r="176">
          <cell r="BM176" t="str">
            <v/>
          </cell>
          <cell r="CG176" t="str">
            <v/>
          </cell>
          <cell r="CI176" t="str">
            <v/>
          </cell>
          <cell r="CJ176" t="str">
            <v/>
          </cell>
          <cell r="CK176" t="str">
            <v/>
          </cell>
        </row>
        <row r="177">
          <cell r="BM177" t="str">
            <v/>
          </cell>
          <cell r="CG177" t="str">
            <v/>
          </cell>
          <cell r="CI177" t="str">
            <v/>
          </cell>
          <cell r="CJ177" t="str">
            <v/>
          </cell>
          <cell r="CK177" t="str">
            <v/>
          </cell>
        </row>
        <row r="178">
          <cell r="BM178" t="str">
            <v/>
          </cell>
          <cell r="CG178" t="str">
            <v/>
          </cell>
          <cell r="CI178" t="str">
            <v/>
          </cell>
          <cell r="CJ178" t="str">
            <v/>
          </cell>
          <cell r="CK178" t="str">
            <v/>
          </cell>
        </row>
        <row r="179">
          <cell r="BM179" t="str">
            <v/>
          </cell>
          <cell r="CG179" t="str">
            <v/>
          </cell>
          <cell r="CI179" t="str">
            <v/>
          </cell>
          <cell r="CJ179" t="str">
            <v/>
          </cell>
          <cell r="CK179" t="str">
            <v/>
          </cell>
        </row>
        <row r="180">
          <cell r="BM180" t="str">
            <v/>
          </cell>
          <cell r="CG180" t="str">
            <v/>
          </cell>
          <cell r="CI180" t="str">
            <v/>
          </cell>
          <cell r="CJ180" t="str">
            <v/>
          </cell>
          <cell r="CK180" t="str">
            <v/>
          </cell>
        </row>
        <row r="181">
          <cell r="BM181" t="str">
            <v/>
          </cell>
          <cell r="CG181" t="str">
            <v/>
          </cell>
          <cell r="CI181" t="str">
            <v/>
          </cell>
          <cell r="CJ181" t="str">
            <v/>
          </cell>
          <cell r="CK181" t="str">
            <v/>
          </cell>
        </row>
        <row r="182">
          <cell r="BM182" t="str">
            <v/>
          </cell>
          <cell r="CG182" t="str">
            <v/>
          </cell>
          <cell r="CI182" t="str">
            <v/>
          </cell>
          <cell r="CJ182" t="str">
            <v/>
          </cell>
          <cell r="CK182" t="str">
            <v/>
          </cell>
        </row>
        <row r="183">
          <cell r="BM183" t="str">
            <v/>
          </cell>
          <cell r="CG183" t="str">
            <v/>
          </cell>
          <cell r="CI183" t="str">
            <v/>
          </cell>
          <cell r="CJ183" t="str">
            <v/>
          </cell>
          <cell r="CK183" t="str">
            <v/>
          </cell>
        </row>
        <row r="184">
          <cell r="BM184" t="str">
            <v/>
          </cell>
          <cell r="CG184" t="str">
            <v/>
          </cell>
          <cell r="CI184" t="str">
            <v/>
          </cell>
          <cell r="CJ184" t="str">
            <v/>
          </cell>
          <cell r="CK184" t="str">
            <v/>
          </cell>
        </row>
        <row r="185">
          <cell r="BM185" t="str">
            <v/>
          </cell>
          <cell r="CG185" t="str">
            <v/>
          </cell>
          <cell r="CI185" t="str">
            <v/>
          </cell>
          <cell r="CJ185" t="str">
            <v/>
          </cell>
          <cell r="CK185" t="str">
            <v/>
          </cell>
        </row>
        <row r="186">
          <cell r="BM186" t="str">
            <v/>
          </cell>
          <cell r="CG186" t="str">
            <v/>
          </cell>
          <cell r="CI186" t="str">
            <v/>
          </cell>
          <cell r="CJ186" t="str">
            <v/>
          </cell>
          <cell r="CK186" t="str">
            <v/>
          </cell>
        </row>
        <row r="187">
          <cell r="BM187" t="str">
            <v/>
          </cell>
          <cell r="CG187" t="str">
            <v/>
          </cell>
          <cell r="CI187" t="str">
            <v/>
          </cell>
          <cell r="CJ187" t="str">
            <v/>
          </cell>
          <cell r="CK187" t="str">
            <v/>
          </cell>
        </row>
        <row r="188">
          <cell r="BM188" t="str">
            <v/>
          </cell>
          <cell r="CG188" t="str">
            <v/>
          </cell>
          <cell r="CI188" t="str">
            <v/>
          </cell>
          <cell r="CJ188" t="str">
            <v/>
          </cell>
          <cell r="CK188" t="str">
            <v/>
          </cell>
        </row>
        <row r="189">
          <cell r="BM189" t="str">
            <v/>
          </cell>
          <cell r="CG189" t="str">
            <v/>
          </cell>
          <cell r="CI189" t="str">
            <v/>
          </cell>
          <cell r="CJ189" t="str">
            <v/>
          </cell>
          <cell r="CK189" t="str">
            <v/>
          </cell>
        </row>
        <row r="190">
          <cell r="BM190" t="str">
            <v/>
          </cell>
          <cell r="CG190" t="str">
            <v/>
          </cell>
          <cell r="CI190" t="str">
            <v/>
          </cell>
          <cell r="CJ190" t="str">
            <v/>
          </cell>
          <cell r="CK190" t="str">
            <v/>
          </cell>
        </row>
        <row r="191">
          <cell r="BM191" t="str">
            <v/>
          </cell>
          <cell r="CG191" t="str">
            <v/>
          </cell>
          <cell r="CI191" t="str">
            <v/>
          </cell>
          <cell r="CJ191" t="str">
            <v/>
          </cell>
          <cell r="CK191" t="str">
            <v/>
          </cell>
        </row>
        <row r="192">
          <cell r="BM192" t="str">
            <v/>
          </cell>
          <cell r="CG192" t="str">
            <v/>
          </cell>
          <cell r="CI192" t="str">
            <v/>
          </cell>
          <cell r="CJ192" t="str">
            <v/>
          </cell>
          <cell r="CK192" t="str">
            <v/>
          </cell>
        </row>
        <row r="193">
          <cell r="BM193" t="str">
            <v/>
          </cell>
          <cell r="CG193" t="str">
            <v/>
          </cell>
          <cell r="CI193" t="str">
            <v/>
          </cell>
          <cell r="CJ193" t="str">
            <v/>
          </cell>
          <cell r="CK193" t="str">
            <v/>
          </cell>
        </row>
        <row r="194">
          <cell r="BM194" t="str">
            <v/>
          </cell>
          <cell r="CG194" t="str">
            <v/>
          </cell>
          <cell r="CI194" t="str">
            <v/>
          </cell>
          <cell r="CJ194" t="str">
            <v/>
          </cell>
          <cell r="CK194" t="str">
            <v/>
          </cell>
        </row>
        <row r="195">
          <cell r="BM195" t="str">
            <v/>
          </cell>
          <cell r="CG195" t="str">
            <v/>
          </cell>
          <cell r="CI195" t="str">
            <v/>
          </cell>
          <cell r="CJ195" t="str">
            <v/>
          </cell>
          <cell r="CK195" t="str">
            <v/>
          </cell>
        </row>
        <row r="196">
          <cell r="BM196" t="str">
            <v/>
          </cell>
          <cell r="CG196" t="str">
            <v/>
          </cell>
          <cell r="CI196" t="str">
            <v/>
          </cell>
          <cell r="CJ196" t="str">
            <v/>
          </cell>
          <cell r="CK196" t="str">
            <v/>
          </cell>
        </row>
        <row r="197">
          <cell r="BM197" t="str">
            <v/>
          </cell>
          <cell r="CG197" t="str">
            <v/>
          </cell>
          <cell r="CI197" t="str">
            <v/>
          </cell>
          <cell r="CJ197" t="str">
            <v/>
          </cell>
          <cell r="CK197" t="str">
            <v/>
          </cell>
        </row>
        <row r="198">
          <cell r="BM198" t="str">
            <v/>
          </cell>
          <cell r="CG198" t="str">
            <v/>
          </cell>
          <cell r="CI198" t="str">
            <v/>
          </cell>
          <cell r="CJ198" t="str">
            <v/>
          </cell>
          <cell r="CK198" t="str">
            <v/>
          </cell>
        </row>
        <row r="199">
          <cell r="BM199" t="str">
            <v/>
          </cell>
          <cell r="CG199" t="str">
            <v/>
          </cell>
          <cell r="CI199" t="str">
            <v/>
          </cell>
          <cell r="CJ199" t="str">
            <v/>
          </cell>
          <cell r="CK199" t="str">
            <v/>
          </cell>
        </row>
        <row r="200">
          <cell r="BM200" t="str">
            <v/>
          </cell>
          <cell r="CG200" t="str">
            <v/>
          </cell>
          <cell r="CI200" t="str">
            <v/>
          </cell>
          <cell r="CJ200" t="str">
            <v/>
          </cell>
          <cell r="CK200" t="str">
            <v/>
          </cell>
        </row>
        <row r="201">
          <cell r="BM201" t="str">
            <v/>
          </cell>
          <cell r="CG201" t="str">
            <v/>
          </cell>
          <cell r="CI201" t="str">
            <v/>
          </cell>
          <cell r="CJ201" t="str">
            <v/>
          </cell>
          <cell r="CK201" t="str">
            <v/>
          </cell>
        </row>
        <row r="202">
          <cell r="BM202" t="str">
            <v/>
          </cell>
          <cell r="CG202" t="str">
            <v/>
          </cell>
          <cell r="CI202" t="str">
            <v/>
          </cell>
          <cell r="CJ202" t="str">
            <v/>
          </cell>
          <cell r="CK202" t="str">
            <v/>
          </cell>
        </row>
        <row r="203">
          <cell r="BM203" t="str">
            <v/>
          </cell>
          <cell r="CG203" t="str">
            <v/>
          </cell>
          <cell r="CI203" t="str">
            <v/>
          </cell>
          <cell r="CJ203" t="str">
            <v/>
          </cell>
          <cell r="CK203" t="str">
            <v/>
          </cell>
        </row>
        <row r="204">
          <cell r="BM204" t="str">
            <v/>
          </cell>
          <cell r="CG204" t="str">
            <v/>
          </cell>
          <cell r="CI204" t="str">
            <v/>
          </cell>
          <cell r="CJ204" t="str">
            <v/>
          </cell>
          <cell r="CK204" t="str">
            <v/>
          </cell>
        </row>
        <row r="205">
          <cell r="BM205" t="str">
            <v/>
          </cell>
          <cell r="CG205" t="str">
            <v/>
          </cell>
          <cell r="CI205" t="str">
            <v/>
          </cell>
          <cell r="CJ205" t="str">
            <v/>
          </cell>
          <cell r="CK205" t="str">
            <v/>
          </cell>
        </row>
        <row r="206">
          <cell r="BM206" t="str">
            <v/>
          </cell>
          <cell r="CG206" t="str">
            <v/>
          </cell>
          <cell r="CI206" t="str">
            <v/>
          </cell>
          <cell r="CJ206" t="str">
            <v/>
          </cell>
          <cell r="CK206" t="str">
            <v/>
          </cell>
        </row>
        <row r="207">
          <cell r="BM207" t="str">
            <v/>
          </cell>
          <cell r="CG207" t="str">
            <v/>
          </cell>
          <cell r="CI207" t="str">
            <v/>
          </cell>
          <cell r="CJ207" t="str">
            <v/>
          </cell>
          <cell r="CK207" t="str">
            <v/>
          </cell>
        </row>
        <row r="208">
          <cell r="BM208" t="str">
            <v/>
          </cell>
          <cell r="CG208" t="str">
            <v/>
          </cell>
          <cell r="CI208" t="str">
            <v/>
          </cell>
          <cell r="CJ208" t="str">
            <v/>
          </cell>
          <cell r="CK208" t="str">
            <v/>
          </cell>
        </row>
        <row r="209">
          <cell r="BM209" t="str">
            <v/>
          </cell>
          <cell r="CG209" t="str">
            <v/>
          </cell>
          <cell r="CI209" t="str">
            <v/>
          </cell>
          <cell r="CJ209" t="str">
            <v/>
          </cell>
          <cell r="CK209" t="str">
            <v/>
          </cell>
        </row>
        <row r="210">
          <cell r="BM210" t="str">
            <v/>
          </cell>
          <cell r="CG210" t="str">
            <v/>
          </cell>
          <cell r="CI210" t="str">
            <v/>
          </cell>
          <cell r="CJ210" t="str">
            <v/>
          </cell>
          <cell r="CK210" t="str">
            <v/>
          </cell>
        </row>
        <row r="211">
          <cell r="BM211" t="str">
            <v/>
          </cell>
          <cell r="CG211" t="str">
            <v/>
          </cell>
          <cell r="CI211" t="str">
            <v/>
          </cell>
          <cell r="CJ211" t="str">
            <v/>
          </cell>
          <cell r="CK211" t="str">
            <v/>
          </cell>
        </row>
        <row r="212">
          <cell r="BM212" t="str">
            <v/>
          </cell>
          <cell r="CG212" t="str">
            <v/>
          </cell>
          <cell r="CI212" t="str">
            <v/>
          </cell>
          <cell r="CJ212" t="str">
            <v/>
          </cell>
          <cell r="CK212" t="str">
            <v/>
          </cell>
        </row>
        <row r="213">
          <cell r="BM213" t="str">
            <v/>
          </cell>
          <cell r="CG213" t="str">
            <v/>
          </cell>
          <cell r="CI213" t="str">
            <v/>
          </cell>
          <cell r="CJ213" t="str">
            <v/>
          </cell>
          <cell r="CK213" t="str">
            <v/>
          </cell>
        </row>
        <row r="214">
          <cell r="BM214" t="str">
            <v/>
          </cell>
          <cell r="CG214" t="str">
            <v/>
          </cell>
          <cell r="CI214" t="str">
            <v/>
          </cell>
          <cell r="CJ214" t="str">
            <v/>
          </cell>
          <cell r="CK214" t="str">
            <v/>
          </cell>
        </row>
        <row r="215">
          <cell r="BM215" t="str">
            <v/>
          </cell>
          <cell r="CG215" t="str">
            <v/>
          </cell>
          <cell r="CI215" t="str">
            <v/>
          </cell>
          <cell r="CJ215" t="str">
            <v/>
          </cell>
          <cell r="CK215" t="str">
            <v/>
          </cell>
        </row>
        <row r="216">
          <cell r="BM216" t="str">
            <v/>
          </cell>
          <cell r="CG216" t="str">
            <v/>
          </cell>
          <cell r="CI216" t="str">
            <v/>
          </cell>
          <cell r="CJ216" t="str">
            <v/>
          </cell>
          <cell r="CK216" t="str">
            <v/>
          </cell>
        </row>
        <row r="217">
          <cell r="BM217" t="str">
            <v/>
          </cell>
          <cell r="CG217" t="str">
            <v/>
          </cell>
          <cell r="CI217" t="str">
            <v/>
          </cell>
          <cell r="CJ217" t="str">
            <v/>
          </cell>
          <cell r="CK217" t="str">
            <v/>
          </cell>
        </row>
        <row r="218">
          <cell r="BM218" t="str">
            <v/>
          </cell>
          <cell r="CG218" t="str">
            <v/>
          </cell>
          <cell r="CI218" t="str">
            <v/>
          </cell>
          <cell r="CJ218" t="str">
            <v/>
          </cell>
          <cell r="CK218" t="str">
            <v/>
          </cell>
        </row>
        <row r="219">
          <cell r="BM219" t="str">
            <v/>
          </cell>
          <cell r="CG219" t="str">
            <v/>
          </cell>
          <cell r="CI219" t="str">
            <v/>
          </cell>
          <cell r="CJ219" t="str">
            <v/>
          </cell>
          <cell r="CK219" t="str">
            <v/>
          </cell>
        </row>
        <row r="220">
          <cell r="BM220" t="str">
            <v/>
          </cell>
          <cell r="CG220" t="str">
            <v/>
          </cell>
          <cell r="CI220" t="str">
            <v/>
          </cell>
          <cell r="CJ220" t="str">
            <v/>
          </cell>
          <cell r="CK220" t="str">
            <v/>
          </cell>
        </row>
        <row r="221">
          <cell r="BM221" t="str">
            <v/>
          </cell>
          <cell r="CG221" t="str">
            <v/>
          </cell>
          <cell r="CI221" t="str">
            <v/>
          </cell>
          <cell r="CJ221" t="str">
            <v/>
          </cell>
          <cell r="CK221" t="str">
            <v/>
          </cell>
        </row>
        <row r="222">
          <cell r="BM222" t="str">
            <v/>
          </cell>
          <cell r="CG222" t="str">
            <v/>
          </cell>
          <cell r="CI222" t="str">
            <v/>
          </cell>
          <cell r="CJ222" t="str">
            <v/>
          </cell>
          <cell r="CK222" t="str">
            <v/>
          </cell>
        </row>
        <row r="223">
          <cell r="BM223" t="str">
            <v/>
          </cell>
          <cell r="CG223" t="str">
            <v/>
          </cell>
          <cell r="CI223" t="str">
            <v/>
          </cell>
          <cell r="CJ223" t="str">
            <v/>
          </cell>
          <cell r="CK223" t="str">
            <v/>
          </cell>
        </row>
        <row r="224">
          <cell r="BM224" t="str">
            <v/>
          </cell>
          <cell r="CG224" t="str">
            <v/>
          </cell>
          <cell r="CI224" t="str">
            <v/>
          </cell>
          <cell r="CJ224" t="str">
            <v/>
          </cell>
          <cell r="CK224" t="str">
            <v/>
          </cell>
        </row>
        <row r="225">
          <cell r="BM225" t="str">
            <v/>
          </cell>
          <cell r="CG225" t="str">
            <v/>
          </cell>
          <cell r="CI225" t="str">
            <v/>
          </cell>
          <cell r="CJ225" t="str">
            <v/>
          </cell>
          <cell r="CK225" t="str">
            <v/>
          </cell>
        </row>
        <row r="226">
          <cell r="BM226" t="str">
            <v/>
          </cell>
          <cell r="CG226" t="str">
            <v/>
          </cell>
          <cell r="CI226" t="str">
            <v/>
          </cell>
          <cell r="CJ226" t="str">
            <v/>
          </cell>
          <cell r="CK226" t="str">
            <v/>
          </cell>
        </row>
        <row r="227">
          <cell r="BM227" t="str">
            <v/>
          </cell>
          <cell r="CG227" t="str">
            <v/>
          </cell>
          <cell r="CI227" t="str">
            <v/>
          </cell>
          <cell r="CJ227" t="str">
            <v/>
          </cell>
          <cell r="CK227" t="str">
            <v/>
          </cell>
        </row>
        <row r="228">
          <cell r="BM228" t="str">
            <v/>
          </cell>
          <cell r="CG228" t="str">
            <v/>
          </cell>
          <cell r="CI228" t="str">
            <v/>
          </cell>
          <cell r="CJ228" t="str">
            <v/>
          </cell>
          <cell r="CK228" t="str">
            <v/>
          </cell>
        </row>
        <row r="229">
          <cell r="BM229" t="str">
            <v/>
          </cell>
          <cell r="CG229" t="str">
            <v/>
          </cell>
          <cell r="CI229" t="str">
            <v/>
          </cell>
          <cell r="CJ229" t="str">
            <v/>
          </cell>
          <cell r="CK229" t="str">
            <v/>
          </cell>
        </row>
        <row r="230">
          <cell r="BM230" t="str">
            <v/>
          </cell>
          <cell r="CG230" t="str">
            <v/>
          </cell>
          <cell r="CI230" t="str">
            <v/>
          </cell>
          <cell r="CJ230" t="str">
            <v/>
          </cell>
          <cell r="CK230" t="str">
            <v/>
          </cell>
        </row>
        <row r="231">
          <cell r="BM231" t="str">
            <v/>
          </cell>
          <cell r="CG231" t="str">
            <v/>
          </cell>
          <cell r="CI231" t="str">
            <v/>
          </cell>
          <cell r="CJ231" t="str">
            <v/>
          </cell>
          <cell r="CK231" t="str">
            <v/>
          </cell>
        </row>
        <row r="232">
          <cell r="BM232" t="str">
            <v/>
          </cell>
          <cell r="CG232" t="str">
            <v/>
          </cell>
          <cell r="CI232" t="str">
            <v/>
          </cell>
          <cell r="CJ232" t="str">
            <v/>
          </cell>
          <cell r="CK232" t="str">
            <v/>
          </cell>
        </row>
        <row r="233">
          <cell r="BM233" t="str">
            <v/>
          </cell>
          <cell r="CG233" t="str">
            <v/>
          </cell>
          <cell r="CI233" t="str">
            <v/>
          </cell>
          <cell r="CJ233" t="str">
            <v/>
          </cell>
          <cell r="CK233" t="str">
            <v/>
          </cell>
        </row>
        <row r="234">
          <cell r="BM234" t="str">
            <v/>
          </cell>
          <cell r="CG234" t="str">
            <v/>
          </cell>
          <cell r="CI234" t="str">
            <v/>
          </cell>
          <cell r="CJ234" t="str">
            <v/>
          </cell>
          <cell r="CK234" t="str">
            <v/>
          </cell>
        </row>
        <row r="235">
          <cell r="BM235" t="str">
            <v/>
          </cell>
          <cell r="CG235" t="str">
            <v/>
          </cell>
          <cell r="CI235" t="str">
            <v/>
          </cell>
          <cell r="CJ235" t="str">
            <v/>
          </cell>
          <cell r="CK235" t="str">
            <v/>
          </cell>
        </row>
        <row r="236">
          <cell r="BM236" t="str">
            <v/>
          </cell>
          <cell r="CG236" t="str">
            <v/>
          </cell>
          <cell r="CI236" t="str">
            <v/>
          </cell>
          <cell r="CJ236" t="str">
            <v/>
          </cell>
          <cell r="CK236" t="str">
            <v/>
          </cell>
        </row>
        <row r="237">
          <cell r="BM237" t="str">
            <v/>
          </cell>
          <cell r="CG237" t="str">
            <v/>
          </cell>
          <cell r="CI237" t="str">
            <v/>
          </cell>
          <cell r="CJ237" t="str">
            <v/>
          </cell>
          <cell r="CK237" t="str">
            <v/>
          </cell>
        </row>
        <row r="238">
          <cell r="BM238" t="str">
            <v/>
          </cell>
          <cell r="CG238" t="str">
            <v/>
          </cell>
          <cell r="CI238" t="str">
            <v/>
          </cell>
          <cell r="CJ238" t="str">
            <v/>
          </cell>
          <cell r="CK238" t="str">
            <v/>
          </cell>
        </row>
        <row r="239">
          <cell r="BM239" t="str">
            <v/>
          </cell>
          <cell r="CG239" t="str">
            <v/>
          </cell>
          <cell r="CI239" t="str">
            <v/>
          </cell>
          <cell r="CJ239" t="str">
            <v/>
          </cell>
          <cell r="CK239" t="str">
            <v/>
          </cell>
        </row>
        <row r="240">
          <cell r="BM240" t="str">
            <v/>
          </cell>
          <cell r="CG240" t="str">
            <v/>
          </cell>
          <cell r="CI240" t="str">
            <v/>
          </cell>
          <cell r="CJ240" t="str">
            <v/>
          </cell>
          <cell r="CK240" t="str">
            <v/>
          </cell>
        </row>
        <row r="241">
          <cell r="BM241" t="str">
            <v/>
          </cell>
          <cell r="CG241" t="str">
            <v/>
          </cell>
          <cell r="CI241" t="str">
            <v/>
          </cell>
          <cell r="CJ241" t="str">
            <v/>
          </cell>
          <cell r="CK241" t="str">
            <v/>
          </cell>
        </row>
        <row r="242">
          <cell r="BM242" t="str">
            <v/>
          </cell>
          <cell r="CG242" t="str">
            <v/>
          </cell>
          <cell r="CI242" t="str">
            <v/>
          </cell>
          <cell r="CJ242" t="str">
            <v/>
          </cell>
          <cell r="CK242" t="str">
            <v/>
          </cell>
        </row>
        <row r="243">
          <cell r="BM243" t="str">
            <v/>
          </cell>
          <cell r="CG243" t="str">
            <v/>
          </cell>
          <cell r="CI243" t="str">
            <v/>
          </cell>
          <cell r="CJ243" t="str">
            <v/>
          </cell>
          <cell r="CK243" t="str">
            <v/>
          </cell>
        </row>
        <row r="244">
          <cell r="BM244" t="str">
            <v/>
          </cell>
          <cell r="CG244" t="str">
            <v/>
          </cell>
          <cell r="CI244" t="str">
            <v/>
          </cell>
          <cell r="CJ244" t="str">
            <v/>
          </cell>
          <cell r="CK244" t="str">
            <v/>
          </cell>
        </row>
        <row r="245">
          <cell r="BM245" t="str">
            <v/>
          </cell>
          <cell r="CG245" t="str">
            <v/>
          </cell>
          <cell r="CI245" t="str">
            <v/>
          </cell>
          <cell r="CJ245" t="str">
            <v/>
          </cell>
          <cell r="CK245" t="str">
            <v/>
          </cell>
        </row>
        <row r="246">
          <cell r="BM246" t="str">
            <v/>
          </cell>
          <cell r="CG246" t="str">
            <v/>
          </cell>
          <cell r="CI246" t="str">
            <v/>
          </cell>
          <cell r="CJ246" t="str">
            <v/>
          </cell>
          <cell r="CK246" t="str">
            <v/>
          </cell>
        </row>
        <row r="247">
          <cell r="BM247" t="str">
            <v/>
          </cell>
          <cell r="CG247" t="str">
            <v/>
          </cell>
          <cell r="CI247" t="str">
            <v/>
          </cell>
          <cell r="CJ247" t="str">
            <v/>
          </cell>
          <cell r="CK247" t="str">
            <v/>
          </cell>
        </row>
        <row r="248">
          <cell r="BM248" t="str">
            <v/>
          </cell>
          <cell r="CG248" t="str">
            <v/>
          </cell>
          <cell r="CI248" t="str">
            <v/>
          </cell>
          <cell r="CJ248" t="str">
            <v/>
          </cell>
          <cell r="CK248" t="str">
            <v/>
          </cell>
        </row>
        <row r="249">
          <cell r="BM249" t="str">
            <v/>
          </cell>
          <cell r="CG249" t="str">
            <v/>
          </cell>
          <cell r="CI249" t="str">
            <v/>
          </cell>
          <cell r="CJ249" t="str">
            <v/>
          </cell>
          <cell r="CK249" t="str">
            <v/>
          </cell>
        </row>
        <row r="250">
          <cell r="BM250" t="str">
            <v/>
          </cell>
          <cell r="CG250" t="str">
            <v/>
          </cell>
          <cell r="CI250" t="str">
            <v/>
          </cell>
          <cell r="CJ250" t="str">
            <v/>
          </cell>
          <cell r="CK250" t="str">
            <v/>
          </cell>
        </row>
        <row r="251">
          <cell r="BM251" t="str">
            <v/>
          </cell>
          <cell r="CG251" t="str">
            <v/>
          </cell>
          <cell r="CI251" t="str">
            <v/>
          </cell>
          <cell r="CJ251" t="str">
            <v/>
          </cell>
          <cell r="CK251" t="str">
            <v/>
          </cell>
        </row>
        <row r="252">
          <cell r="BM252" t="str">
            <v/>
          </cell>
          <cell r="CG252" t="str">
            <v/>
          </cell>
          <cell r="CI252" t="str">
            <v/>
          </cell>
          <cell r="CJ252" t="str">
            <v/>
          </cell>
          <cell r="CK252" t="str">
            <v/>
          </cell>
        </row>
        <row r="253">
          <cell r="BM253" t="str">
            <v/>
          </cell>
          <cell r="CG253" t="str">
            <v/>
          </cell>
          <cell r="CI253" t="str">
            <v/>
          </cell>
          <cell r="CJ253" t="str">
            <v/>
          </cell>
          <cell r="CK253" t="str">
            <v/>
          </cell>
        </row>
        <row r="254">
          <cell r="BM254" t="str">
            <v/>
          </cell>
          <cell r="CG254" t="str">
            <v/>
          </cell>
          <cell r="CI254" t="str">
            <v/>
          </cell>
          <cell r="CJ254" t="str">
            <v/>
          </cell>
          <cell r="CK254" t="str">
            <v/>
          </cell>
        </row>
        <row r="255">
          <cell r="BM255" t="str">
            <v/>
          </cell>
          <cell r="CG255" t="str">
            <v/>
          </cell>
          <cell r="CI255" t="str">
            <v/>
          </cell>
          <cell r="CJ255" t="str">
            <v/>
          </cell>
          <cell r="CK255" t="str">
            <v/>
          </cell>
        </row>
        <row r="256">
          <cell r="BM256" t="str">
            <v/>
          </cell>
          <cell r="CG256" t="str">
            <v/>
          </cell>
          <cell r="CI256" t="str">
            <v/>
          </cell>
          <cell r="CJ256" t="str">
            <v/>
          </cell>
          <cell r="CK256" t="str">
            <v/>
          </cell>
        </row>
        <row r="257">
          <cell r="BM257" t="str">
            <v/>
          </cell>
          <cell r="CG257" t="str">
            <v/>
          </cell>
          <cell r="CI257" t="str">
            <v/>
          </cell>
          <cell r="CJ257" t="str">
            <v/>
          </cell>
          <cell r="CK257" t="str">
            <v/>
          </cell>
        </row>
        <row r="258">
          <cell r="BM258" t="str">
            <v/>
          </cell>
          <cell r="CG258" t="str">
            <v/>
          </cell>
          <cell r="CI258" t="str">
            <v/>
          </cell>
          <cell r="CJ258" t="str">
            <v/>
          </cell>
          <cell r="CK258" t="str">
            <v/>
          </cell>
        </row>
        <row r="259">
          <cell r="BM259" t="str">
            <v/>
          </cell>
          <cell r="CG259" t="str">
            <v/>
          </cell>
          <cell r="CI259" t="str">
            <v/>
          </cell>
          <cell r="CJ259" t="str">
            <v/>
          </cell>
          <cell r="CK259" t="str">
            <v/>
          </cell>
        </row>
        <row r="260">
          <cell r="BM260" t="str">
            <v/>
          </cell>
          <cell r="CG260" t="str">
            <v/>
          </cell>
          <cell r="CI260" t="str">
            <v/>
          </cell>
          <cell r="CJ260" t="str">
            <v/>
          </cell>
          <cell r="CK260" t="str">
            <v/>
          </cell>
        </row>
        <row r="261">
          <cell r="BM261" t="str">
            <v/>
          </cell>
          <cell r="CG261" t="str">
            <v/>
          </cell>
          <cell r="CI261" t="str">
            <v/>
          </cell>
          <cell r="CJ261" t="str">
            <v/>
          </cell>
          <cell r="CK261" t="str">
            <v/>
          </cell>
        </row>
        <row r="262">
          <cell r="BM262" t="str">
            <v/>
          </cell>
          <cell r="CG262" t="str">
            <v/>
          </cell>
          <cell r="CI262" t="str">
            <v/>
          </cell>
          <cell r="CJ262" t="str">
            <v/>
          </cell>
          <cell r="CK262" t="str">
            <v/>
          </cell>
        </row>
        <row r="263">
          <cell r="BM263" t="str">
            <v/>
          </cell>
          <cell r="CG263" t="str">
            <v/>
          </cell>
          <cell r="CI263" t="str">
            <v/>
          </cell>
          <cell r="CJ263" t="str">
            <v/>
          </cell>
          <cell r="CK263" t="str">
            <v/>
          </cell>
        </row>
        <row r="264">
          <cell r="BM264" t="str">
            <v/>
          </cell>
          <cell r="CG264" t="str">
            <v/>
          </cell>
          <cell r="CI264" t="str">
            <v/>
          </cell>
          <cell r="CJ264" t="str">
            <v/>
          </cell>
          <cell r="CK264" t="str">
            <v/>
          </cell>
        </row>
        <row r="265">
          <cell r="BM265" t="str">
            <v/>
          </cell>
          <cell r="CG265" t="str">
            <v/>
          </cell>
          <cell r="CI265" t="str">
            <v/>
          </cell>
          <cell r="CJ265" t="str">
            <v/>
          </cell>
          <cell r="CK265" t="str">
            <v/>
          </cell>
        </row>
        <row r="266">
          <cell r="BM266" t="str">
            <v/>
          </cell>
          <cell r="CG266" t="str">
            <v/>
          </cell>
          <cell r="CI266" t="str">
            <v/>
          </cell>
          <cell r="CJ266" t="str">
            <v/>
          </cell>
          <cell r="CK266" t="str">
            <v/>
          </cell>
        </row>
        <row r="267">
          <cell r="BM267" t="str">
            <v/>
          </cell>
          <cell r="CG267" t="str">
            <v/>
          </cell>
          <cell r="CI267" t="str">
            <v/>
          </cell>
          <cell r="CJ267" t="str">
            <v/>
          </cell>
          <cell r="CK267" t="str">
            <v/>
          </cell>
        </row>
        <row r="268">
          <cell r="BM268" t="str">
            <v/>
          </cell>
          <cell r="CG268" t="str">
            <v/>
          </cell>
          <cell r="CI268" t="str">
            <v/>
          </cell>
          <cell r="CJ268" t="str">
            <v/>
          </cell>
          <cell r="CK268" t="str">
            <v/>
          </cell>
        </row>
        <row r="269">
          <cell r="BM269" t="str">
            <v/>
          </cell>
          <cell r="CG269" t="str">
            <v/>
          </cell>
          <cell r="CI269" t="str">
            <v/>
          </cell>
          <cell r="CJ269" t="str">
            <v/>
          </cell>
          <cell r="CK269" t="str">
            <v/>
          </cell>
        </row>
        <row r="270">
          <cell r="BM270" t="str">
            <v/>
          </cell>
          <cell r="CG270" t="str">
            <v/>
          </cell>
          <cell r="CI270" t="str">
            <v/>
          </cell>
          <cell r="CJ270" t="str">
            <v/>
          </cell>
          <cell r="CK270" t="str">
            <v/>
          </cell>
        </row>
        <row r="271">
          <cell r="BM271" t="str">
            <v/>
          </cell>
          <cell r="CG271" t="str">
            <v/>
          </cell>
          <cell r="CI271" t="str">
            <v/>
          </cell>
          <cell r="CJ271" t="str">
            <v/>
          </cell>
          <cell r="CK271" t="str">
            <v/>
          </cell>
        </row>
        <row r="272">
          <cell r="BM272" t="str">
            <v/>
          </cell>
          <cell r="CG272" t="str">
            <v/>
          </cell>
          <cell r="CI272" t="str">
            <v/>
          </cell>
          <cell r="CJ272" t="str">
            <v/>
          </cell>
          <cell r="CK272" t="str">
            <v/>
          </cell>
        </row>
        <row r="273">
          <cell r="BM273" t="str">
            <v/>
          </cell>
          <cell r="CG273" t="str">
            <v/>
          </cell>
          <cell r="CI273" t="str">
            <v/>
          </cell>
          <cell r="CJ273" t="str">
            <v/>
          </cell>
          <cell r="CK273" t="str">
            <v/>
          </cell>
        </row>
        <row r="274">
          <cell r="BM274" t="str">
            <v/>
          </cell>
          <cell r="CG274" t="str">
            <v/>
          </cell>
          <cell r="CI274" t="str">
            <v/>
          </cell>
          <cell r="CJ274" t="str">
            <v/>
          </cell>
          <cell r="CK274" t="str">
            <v/>
          </cell>
        </row>
        <row r="275">
          <cell r="BM275" t="str">
            <v/>
          </cell>
          <cell r="CG275" t="str">
            <v/>
          </cell>
          <cell r="CI275" t="str">
            <v/>
          </cell>
          <cell r="CJ275" t="str">
            <v/>
          </cell>
          <cell r="CK275" t="str">
            <v/>
          </cell>
        </row>
        <row r="276">
          <cell r="BM276" t="str">
            <v/>
          </cell>
          <cell r="CG276" t="str">
            <v/>
          </cell>
          <cell r="CI276" t="str">
            <v/>
          </cell>
          <cell r="CJ276" t="str">
            <v/>
          </cell>
          <cell r="CK276" t="str">
            <v/>
          </cell>
        </row>
        <row r="277">
          <cell r="BM277" t="str">
            <v/>
          </cell>
          <cell r="CG277" t="str">
            <v/>
          </cell>
          <cell r="CI277" t="str">
            <v/>
          </cell>
          <cell r="CJ277" t="str">
            <v/>
          </cell>
          <cell r="CK277" t="str">
            <v/>
          </cell>
        </row>
        <row r="278">
          <cell r="BM278" t="str">
            <v/>
          </cell>
          <cell r="CG278" t="str">
            <v/>
          </cell>
          <cell r="CI278" t="str">
            <v/>
          </cell>
          <cell r="CJ278" t="str">
            <v/>
          </cell>
          <cell r="CK278" t="str">
            <v/>
          </cell>
        </row>
        <row r="279">
          <cell r="BM279" t="str">
            <v/>
          </cell>
          <cell r="CG279" t="str">
            <v/>
          </cell>
          <cell r="CI279" t="str">
            <v/>
          </cell>
          <cell r="CJ279" t="str">
            <v/>
          </cell>
          <cell r="CK279" t="str">
            <v/>
          </cell>
        </row>
        <row r="280">
          <cell r="BM280" t="str">
            <v/>
          </cell>
          <cell r="CG280" t="str">
            <v/>
          </cell>
          <cell r="CI280" t="str">
            <v/>
          </cell>
          <cell r="CJ280" t="str">
            <v/>
          </cell>
          <cell r="CK280" t="str">
            <v/>
          </cell>
        </row>
        <row r="281">
          <cell r="BM281" t="str">
            <v/>
          </cell>
          <cell r="CG281" t="str">
            <v/>
          </cell>
          <cell r="CI281" t="str">
            <v/>
          </cell>
          <cell r="CJ281" t="str">
            <v/>
          </cell>
          <cell r="CK281" t="str">
            <v/>
          </cell>
        </row>
        <row r="282">
          <cell r="BM282" t="str">
            <v/>
          </cell>
          <cell r="CG282" t="str">
            <v/>
          </cell>
          <cell r="CI282" t="str">
            <v/>
          </cell>
          <cell r="CJ282" t="str">
            <v/>
          </cell>
          <cell r="CK282" t="str">
            <v/>
          </cell>
        </row>
        <row r="283">
          <cell r="BM283" t="str">
            <v/>
          </cell>
          <cell r="CG283" t="str">
            <v/>
          </cell>
          <cell r="CI283" t="str">
            <v/>
          </cell>
          <cell r="CJ283" t="str">
            <v/>
          </cell>
          <cell r="CK283" t="str">
            <v/>
          </cell>
        </row>
        <row r="284">
          <cell r="BM284" t="str">
            <v/>
          </cell>
          <cell r="CG284" t="str">
            <v/>
          </cell>
          <cell r="CI284" t="str">
            <v/>
          </cell>
          <cell r="CJ284" t="str">
            <v/>
          </cell>
          <cell r="CK284" t="str">
            <v/>
          </cell>
        </row>
        <row r="285">
          <cell r="BM285" t="str">
            <v/>
          </cell>
          <cell r="CG285" t="str">
            <v/>
          </cell>
          <cell r="CI285" t="str">
            <v/>
          </cell>
          <cell r="CJ285" t="str">
            <v/>
          </cell>
          <cell r="CK285" t="str">
            <v/>
          </cell>
        </row>
        <row r="286">
          <cell r="BM286" t="str">
            <v/>
          </cell>
          <cell r="CG286" t="str">
            <v/>
          </cell>
          <cell r="CI286" t="str">
            <v/>
          </cell>
          <cell r="CJ286" t="str">
            <v/>
          </cell>
          <cell r="CK286" t="str">
            <v/>
          </cell>
        </row>
        <row r="287">
          <cell r="BM287" t="str">
            <v/>
          </cell>
          <cell r="CG287" t="str">
            <v/>
          </cell>
          <cell r="CI287" t="str">
            <v/>
          </cell>
          <cell r="CJ287" t="str">
            <v/>
          </cell>
          <cell r="CK287" t="str">
            <v/>
          </cell>
        </row>
        <row r="288">
          <cell r="BM288" t="str">
            <v/>
          </cell>
          <cell r="CG288" t="str">
            <v/>
          </cell>
          <cell r="CI288" t="str">
            <v/>
          </cell>
          <cell r="CJ288" t="str">
            <v/>
          </cell>
          <cell r="CK288" t="str">
            <v/>
          </cell>
        </row>
        <row r="289">
          <cell r="BM289" t="str">
            <v/>
          </cell>
          <cell r="CG289" t="str">
            <v/>
          </cell>
          <cell r="CI289" t="str">
            <v/>
          </cell>
          <cell r="CJ289" t="str">
            <v/>
          </cell>
          <cell r="CK289" t="str">
            <v/>
          </cell>
        </row>
        <row r="290">
          <cell r="BM290" t="str">
            <v/>
          </cell>
          <cell r="CG290" t="str">
            <v/>
          </cell>
          <cell r="CI290" t="str">
            <v/>
          </cell>
          <cell r="CJ290" t="str">
            <v/>
          </cell>
          <cell r="CK290" t="str">
            <v/>
          </cell>
        </row>
        <row r="291">
          <cell r="BM291" t="str">
            <v/>
          </cell>
          <cell r="CG291" t="str">
            <v/>
          </cell>
          <cell r="CI291" t="str">
            <v/>
          </cell>
          <cell r="CJ291" t="str">
            <v/>
          </cell>
          <cell r="CK291" t="str">
            <v/>
          </cell>
        </row>
        <row r="292">
          <cell r="BM292" t="str">
            <v/>
          </cell>
          <cell r="CG292" t="str">
            <v/>
          </cell>
          <cell r="CI292" t="str">
            <v/>
          </cell>
          <cell r="CJ292" t="str">
            <v/>
          </cell>
          <cell r="CK292" t="str">
            <v/>
          </cell>
        </row>
        <row r="293">
          <cell r="BM293" t="str">
            <v/>
          </cell>
          <cell r="CG293" t="str">
            <v/>
          </cell>
          <cell r="CI293" t="str">
            <v/>
          </cell>
          <cell r="CJ293" t="str">
            <v/>
          </cell>
          <cell r="CK293" t="str">
            <v/>
          </cell>
        </row>
        <row r="294">
          <cell r="BM294" t="str">
            <v/>
          </cell>
          <cell r="CG294" t="str">
            <v/>
          </cell>
          <cell r="CI294" t="str">
            <v/>
          </cell>
          <cell r="CJ294" t="str">
            <v/>
          </cell>
          <cell r="CK294" t="str">
            <v/>
          </cell>
        </row>
        <row r="295">
          <cell r="BM295" t="str">
            <v/>
          </cell>
          <cell r="CG295" t="str">
            <v/>
          </cell>
          <cell r="CI295" t="str">
            <v/>
          </cell>
          <cell r="CJ295" t="str">
            <v/>
          </cell>
          <cell r="CK295" t="str">
            <v/>
          </cell>
        </row>
        <row r="296">
          <cell r="BM296" t="str">
            <v/>
          </cell>
          <cell r="CG296" t="str">
            <v/>
          </cell>
          <cell r="CI296" t="str">
            <v/>
          </cell>
          <cell r="CJ296" t="str">
            <v/>
          </cell>
          <cell r="CK296" t="str">
            <v/>
          </cell>
        </row>
        <row r="297">
          <cell r="BM297" t="str">
            <v/>
          </cell>
          <cell r="CG297" t="str">
            <v/>
          </cell>
          <cell r="CI297" t="str">
            <v/>
          </cell>
          <cell r="CJ297" t="str">
            <v/>
          </cell>
          <cell r="CK297" t="str">
            <v/>
          </cell>
        </row>
        <row r="298">
          <cell r="BM298" t="str">
            <v/>
          </cell>
          <cell r="CG298" t="str">
            <v/>
          </cell>
          <cell r="CI298" t="str">
            <v/>
          </cell>
          <cell r="CJ298" t="str">
            <v/>
          </cell>
          <cell r="CK298" t="str">
            <v/>
          </cell>
        </row>
        <row r="299">
          <cell r="BM299" t="str">
            <v/>
          </cell>
          <cell r="CG299" t="str">
            <v/>
          </cell>
          <cell r="CI299" t="str">
            <v/>
          </cell>
          <cell r="CJ299" t="str">
            <v/>
          </cell>
          <cell r="CK299" t="str">
            <v/>
          </cell>
        </row>
        <row r="300">
          <cell r="BM300" t="str">
            <v/>
          </cell>
          <cell r="CG300" t="str">
            <v/>
          </cell>
          <cell r="CI300" t="str">
            <v/>
          </cell>
          <cell r="CJ300" t="str">
            <v/>
          </cell>
          <cell r="CK300" t="str">
            <v/>
          </cell>
        </row>
        <row r="301">
          <cell r="BM301" t="str">
            <v/>
          </cell>
          <cell r="CG301" t="str">
            <v/>
          </cell>
          <cell r="CI301" t="str">
            <v/>
          </cell>
          <cell r="CJ301" t="str">
            <v/>
          </cell>
          <cell r="CK301" t="str">
            <v/>
          </cell>
        </row>
        <row r="302">
          <cell r="BM302" t="str">
            <v/>
          </cell>
          <cell r="CG302" t="str">
            <v/>
          </cell>
          <cell r="CI302" t="str">
            <v/>
          </cell>
          <cell r="CJ302" t="str">
            <v/>
          </cell>
          <cell r="CK302" t="str">
            <v/>
          </cell>
        </row>
        <row r="303">
          <cell r="BM303" t="str">
            <v/>
          </cell>
        </row>
      </sheetData>
      <sheetData sheetId="2" refreshError="1"/>
      <sheetData sheetId="3" refreshError="1"/>
      <sheetData sheetId="4">
        <row r="11">
          <cell r="BM11">
            <v>-999</v>
          </cell>
        </row>
        <row r="26">
          <cell r="D26">
            <v>0</v>
          </cell>
        </row>
        <row r="27">
          <cell r="D27">
            <v>1</v>
          </cell>
        </row>
      </sheetData>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Intro"/>
      <sheetName val="Sampling"/>
      <sheetName val="Noncentral t"/>
      <sheetName val="d picture"/>
      <sheetName val="d heap"/>
      <sheetName val="CI for d"/>
      <sheetName val="Power picture"/>
      <sheetName val="Power two"/>
      <sheetName val="Power paired"/>
      <sheetName val="Precision one"/>
      <sheetName val="Precision two"/>
      <sheetName val="Precision paired"/>
    </sheetNames>
    <sheetDataSet>
      <sheetData sheetId="0"/>
      <sheetData sheetId="1">
        <row r="3">
          <cell r="D3">
            <v>0.18207042371964122</v>
          </cell>
          <cell r="E3">
            <v>1.1842495882606923</v>
          </cell>
        </row>
        <row r="4">
          <cell r="D4">
            <v>0.18207042371964122</v>
          </cell>
          <cell r="E4">
            <v>1.1842495882606923</v>
          </cell>
          <cell r="BD4" t="b">
            <v>1</v>
          </cell>
        </row>
        <row r="5">
          <cell r="D5">
            <v>0.36691075258405342</v>
          </cell>
          <cell r="E5">
            <v>0.86569399800064639</v>
          </cell>
        </row>
        <row r="6">
          <cell r="D6">
            <v>0.27740365683729951</v>
          </cell>
          <cell r="E6">
            <v>1.2759383866208682</v>
          </cell>
        </row>
        <row r="7">
          <cell r="D7">
            <v>0.2156857726390311</v>
          </cell>
          <cell r="E7">
            <v>0.87129598883557291</v>
          </cell>
        </row>
        <row r="8">
          <cell r="D8">
            <v>-0.11286583847542975</v>
          </cell>
          <cell r="E8">
            <v>0.41781020657489654</v>
          </cell>
        </row>
        <row r="9">
          <cell r="D9">
            <v>-0.73806511970298283</v>
          </cell>
          <cell r="E9">
            <v>0.8659356140527088</v>
          </cell>
        </row>
        <row r="10">
          <cell r="D10">
            <v>-0.42808079872658594</v>
          </cell>
          <cell r="E10">
            <v>0.34956043454023877</v>
          </cell>
          <cell r="G10">
            <v>15</v>
          </cell>
          <cell r="H10">
            <v>15</v>
          </cell>
        </row>
        <row r="11">
          <cell r="D11">
            <v>-1.217840733648686E-2</v>
          </cell>
          <cell r="E11">
            <v>0.44339872344834647</v>
          </cell>
          <cell r="H11">
            <v>6</v>
          </cell>
        </row>
        <row r="12">
          <cell r="D12">
            <v>0.92605715266764432</v>
          </cell>
          <cell r="E12">
            <v>0.93207847199046512</v>
          </cell>
          <cell r="H12">
            <v>0.13460200879076822</v>
          </cell>
        </row>
        <row r="13">
          <cell r="D13">
            <v>-6.9923141592838897E-2</v>
          </cell>
          <cell r="E13">
            <v>1.4572980639191329</v>
          </cell>
          <cell r="H13">
            <v>65</v>
          </cell>
        </row>
        <row r="14">
          <cell r="D14">
            <v>-0.86506421767719377</v>
          </cell>
          <cell r="E14">
            <v>0.77067032962606397</v>
          </cell>
        </row>
        <row r="15">
          <cell r="D15">
            <v>0.32076939844516095</v>
          </cell>
          <cell r="E15">
            <v>0.83328333326873816</v>
          </cell>
        </row>
        <row r="16">
          <cell r="D16">
            <v>-0.38217223829402225</v>
          </cell>
          <cell r="E16">
            <v>0.86129789846414773</v>
          </cell>
        </row>
        <row r="17">
          <cell r="D17">
            <v>0.22031388668462012</v>
          </cell>
          <cell r="E17">
            <v>0.9854893167286114</v>
          </cell>
          <cell r="T17">
            <v>22</v>
          </cell>
        </row>
        <row r="18">
          <cell r="D18">
            <v>0.34813578880811097</v>
          </cell>
          <cell r="E18">
            <v>0.4392255384130927</v>
          </cell>
        </row>
        <row r="19">
          <cell r="D19">
            <v>-0.74210831929784205</v>
          </cell>
          <cell r="E19">
            <v>1.160173911399913</v>
          </cell>
        </row>
        <row r="20">
          <cell r="D20">
            <v>0.14649406031913559</v>
          </cell>
          <cell r="E20">
            <v>1.0484320705255816</v>
          </cell>
        </row>
        <row r="21">
          <cell r="D21">
            <v>0.62819252743450138</v>
          </cell>
          <cell r="E21">
            <v>1.2577999122789945</v>
          </cell>
        </row>
        <row r="22">
          <cell r="D22">
            <v>-0.21177999055068142</v>
          </cell>
          <cell r="E22">
            <v>0.77693460798460878</v>
          </cell>
        </row>
        <row r="23">
          <cell r="D23">
            <v>0.12228503167440256</v>
          </cell>
          <cell r="E23">
            <v>0.69141044643098226</v>
          </cell>
        </row>
        <row r="24">
          <cell r="D24">
            <v>-0.23343048977745981</v>
          </cell>
          <cell r="E24">
            <v>1.1303356988228144</v>
          </cell>
        </row>
        <row r="25">
          <cell r="D25">
            <v>0.25928298108114251</v>
          </cell>
          <cell r="E25">
            <v>1.5791898303178715</v>
          </cell>
        </row>
      </sheetData>
      <sheetData sheetId="2"/>
      <sheetData sheetId="3"/>
      <sheetData sheetId="4">
        <row r="3">
          <cell r="A3">
            <v>-0.3169006291995648</v>
          </cell>
          <cell r="B3">
            <v>0.94732396651817885</v>
          </cell>
        </row>
        <row r="4">
          <cell r="A4">
            <v>-0.3169006291995648</v>
          </cell>
          <cell r="B4">
            <v>0.94732396651817885</v>
          </cell>
          <cell r="BD4" t="b">
            <v>1</v>
          </cell>
        </row>
        <row r="5">
          <cell r="A5">
            <v>-8.7956469973054785E-2</v>
          </cell>
          <cell r="B5">
            <v>1.1362676683487154</v>
          </cell>
        </row>
        <row r="6">
          <cell r="A6">
            <v>0.1563010368887191</v>
          </cell>
          <cell r="B6">
            <v>1.1966053438191797</v>
          </cell>
        </row>
        <row r="7">
          <cell r="A7">
            <v>1.5892994826436468E-2</v>
          </cell>
          <cell r="B7">
            <v>1.0129372152547882</v>
          </cell>
        </row>
        <row r="8">
          <cell r="A8">
            <v>-0.16552481284308329</v>
          </cell>
          <cell r="B8">
            <v>0.81566336747215429</v>
          </cell>
        </row>
        <row r="9">
          <cell r="A9">
            <v>-0.26629267476213209</v>
          </cell>
          <cell r="B9">
            <v>0.97098989093420418</v>
          </cell>
        </row>
        <row r="10">
          <cell r="A10">
            <v>7.619177521996863E-2</v>
          </cell>
          <cell r="B10">
            <v>0.84054120496348217</v>
          </cell>
          <cell r="D10">
            <v>15</v>
          </cell>
          <cell r="E10">
            <v>15</v>
          </cell>
        </row>
        <row r="11">
          <cell r="A11">
            <v>-0.72079796405842866</v>
          </cell>
          <cell r="B11">
            <v>1.5179460320147899</v>
          </cell>
          <cell r="E11">
            <v>6</v>
          </cell>
        </row>
        <row r="12">
          <cell r="A12">
            <v>0.213917678645831</v>
          </cell>
          <cell r="B12">
            <v>0.90345680487931801</v>
          </cell>
          <cell r="E12">
            <v>1.1080015429488999E-2</v>
          </cell>
        </row>
        <row r="13">
          <cell r="A13">
            <v>-0.80170134537631432</v>
          </cell>
          <cell r="B13">
            <v>0.79644513962423757</v>
          </cell>
          <cell r="E13">
            <v>130</v>
          </cell>
        </row>
        <row r="14">
          <cell r="A14">
            <v>0.37817997018059307</v>
          </cell>
          <cell r="B14">
            <v>0.36148100556345403</v>
          </cell>
        </row>
        <row r="15">
          <cell r="A15">
            <v>-0.16107922762829463</v>
          </cell>
          <cell r="B15">
            <v>1.5911262238682802</v>
          </cell>
        </row>
        <row r="16">
          <cell r="A16">
            <v>0.44422870541852416</v>
          </cell>
          <cell r="B16">
            <v>1.0925954643949072</v>
          </cell>
        </row>
        <row r="17">
          <cell r="A17">
            <v>9.4017598078569353E-2</v>
          </cell>
          <cell r="B17">
            <v>1.1076932892482383</v>
          </cell>
        </row>
        <row r="18">
          <cell r="A18">
            <v>-0.18334818258322572</v>
          </cell>
          <cell r="B18">
            <v>0.75459014833700788</v>
          </cell>
          <cell r="N18">
            <v>137</v>
          </cell>
        </row>
        <row r="19">
          <cell r="A19">
            <v>-4.7110100729597724E-2</v>
          </cell>
          <cell r="B19">
            <v>0.7888494633977593</v>
          </cell>
        </row>
        <row r="20">
          <cell r="A20">
            <v>-0.31260424136696718</v>
          </cell>
          <cell r="B20">
            <v>0.2642112171134362</v>
          </cell>
        </row>
        <row r="21">
          <cell r="A21">
            <v>0.27728842829624706</v>
          </cell>
          <cell r="B21">
            <v>1.168918216952185</v>
          </cell>
        </row>
        <row r="22">
          <cell r="A22">
            <v>-0.20281097678782048</v>
          </cell>
          <cell r="B22">
            <v>0.42044998004928946</v>
          </cell>
        </row>
        <row r="23">
          <cell r="A23">
            <v>-0.24960976257929768</v>
          </cell>
          <cell r="B23">
            <v>1.2285237128948256</v>
          </cell>
        </row>
        <row r="24">
          <cell r="A24">
            <v>-0.17779053504443154</v>
          </cell>
          <cell r="B24">
            <v>0.80420753040075477</v>
          </cell>
        </row>
        <row r="25">
          <cell r="A25">
            <v>0.44157684422546195</v>
          </cell>
          <cell r="B25">
            <v>1.6691119350576493</v>
          </cell>
        </row>
        <row r="26">
          <cell r="A26">
            <v>-0.2050707497683896</v>
          </cell>
          <cell r="B26">
            <v>0.13458877071237646</v>
          </cell>
        </row>
        <row r="27">
          <cell r="A27">
            <v>-0.66837767777151968</v>
          </cell>
          <cell r="B27">
            <v>0.7997726371171513</v>
          </cell>
        </row>
        <row r="28">
          <cell r="A28">
            <v>-0.61172452619449524</v>
          </cell>
          <cell r="B28">
            <v>0.66199551802011025</v>
          </cell>
        </row>
        <row r="29">
          <cell r="A29">
            <v>0.18478756338599656</v>
          </cell>
          <cell r="B29">
            <v>1.0408971080775686</v>
          </cell>
        </row>
        <row r="30">
          <cell r="A30">
            <v>0.46440572269108787</v>
          </cell>
          <cell r="B30">
            <v>0.83613138766717543</v>
          </cell>
        </row>
        <row r="31">
          <cell r="A31">
            <v>0.21929014518009296</v>
          </cell>
          <cell r="B31">
            <v>0.797312576243566</v>
          </cell>
        </row>
        <row r="32">
          <cell r="A32">
            <v>0.29491099762554912</v>
          </cell>
          <cell r="B32">
            <v>0.66599754613261486</v>
          </cell>
        </row>
        <row r="33">
          <cell r="A33">
            <v>-0.19179599513681755</v>
          </cell>
          <cell r="B33">
            <v>0.96851195211078123</v>
          </cell>
        </row>
        <row r="34">
          <cell r="A34">
            <v>0.36078517950272948</v>
          </cell>
          <cell r="B34">
            <v>0.60475617567857931</v>
          </cell>
        </row>
        <row r="35">
          <cell r="A35">
            <v>0.14002666514737103</v>
          </cell>
          <cell r="B35">
            <v>1.1059129109165884</v>
          </cell>
        </row>
        <row r="36">
          <cell r="A36">
            <v>1.273864773482189E-2</v>
          </cell>
          <cell r="B36">
            <v>0.4307273348261606</v>
          </cell>
        </row>
        <row r="37">
          <cell r="A37">
            <v>0.20439523092252454</v>
          </cell>
          <cell r="B37">
            <v>1.2512471051427285</v>
          </cell>
        </row>
        <row r="38">
          <cell r="A38">
            <v>2.4441910755492197E-2</v>
          </cell>
          <cell r="B38">
            <v>1.2919218490128055</v>
          </cell>
        </row>
        <row r="39">
          <cell r="A39">
            <v>-0.49795082599836987</v>
          </cell>
          <cell r="B39">
            <v>0.67419282458118901</v>
          </cell>
        </row>
        <row r="40">
          <cell r="A40">
            <v>0.67988802012665817</v>
          </cell>
          <cell r="B40">
            <v>0.4884308081687681</v>
          </cell>
        </row>
        <row r="41">
          <cell r="A41">
            <v>-0.84657323490621794</v>
          </cell>
          <cell r="B41">
            <v>1.3054493438294792</v>
          </cell>
        </row>
        <row r="42">
          <cell r="A42">
            <v>0.49353944788582554</v>
          </cell>
          <cell r="B42">
            <v>1.6282022193636116</v>
          </cell>
        </row>
        <row r="43">
          <cell r="A43">
            <v>0.15857844676026395</v>
          </cell>
          <cell r="B43">
            <v>0.88697288324896983</v>
          </cell>
        </row>
        <row r="44">
          <cell r="A44">
            <v>-0.28236799902795434</v>
          </cell>
          <cell r="B44">
            <v>0.86451693432613941</v>
          </cell>
        </row>
        <row r="45">
          <cell r="A45">
            <v>-0.44659087736918396</v>
          </cell>
          <cell r="B45">
            <v>0.90577058759824813</v>
          </cell>
        </row>
        <row r="46">
          <cell r="A46">
            <v>9.8670741730626996E-2</v>
          </cell>
          <cell r="B46">
            <v>1.1408241279475466</v>
          </cell>
        </row>
        <row r="47">
          <cell r="A47">
            <v>-0.49946738312472744</v>
          </cell>
          <cell r="B47">
            <v>1.4164261547183412</v>
          </cell>
        </row>
        <row r="48">
          <cell r="A48">
            <v>9.700898818629422E-2</v>
          </cell>
          <cell r="B48">
            <v>0.61615441959859929</v>
          </cell>
        </row>
        <row r="49">
          <cell r="A49">
            <v>9.6151700925271991E-2</v>
          </cell>
          <cell r="B49">
            <v>1.0187627517312328</v>
          </cell>
        </row>
        <row r="50">
          <cell r="A50">
            <v>-0.47788336944764914</v>
          </cell>
          <cell r="B50">
            <v>1.3324787793993116</v>
          </cell>
        </row>
        <row r="51">
          <cell r="A51">
            <v>0.27916756667360493</v>
          </cell>
          <cell r="B51">
            <v>0.96132507882867668</v>
          </cell>
        </row>
        <row r="52">
          <cell r="A52">
            <v>-0.3954381950570276</v>
          </cell>
          <cell r="B52">
            <v>0.73609051432772854</v>
          </cell>
        </row>
        <row r="53">
          <cell r="A53">
            <v>-0.35491763120425962</v>
          </cell>
          <cell r="B53">
            <v>0.75365938048234804</v>
          </cell>
        </row>
        <row r="54">
          <cell r="A54">
            <v>-0.21115562567084281</v>
          </cell>
          <cell r="B54">
            <v>0.53873282095058239</v>
          </cell>
        </row>
        <row r="55">
          <cell r="A55">
            <v>-0.25307760955634373</v>
          </cell>
          <cell r="B55">
            <v>0.98401910667305903</v>
          </cell>
        </row>
        <row r="56">
          <cell r="A56">
            <v>0.25815583097323191</v>
          </cell>
          <cell r="B56">
            <v>0.90979293785908322</v>
          </cell>
        </row>
        <row r="57">
          <cell r="A57">
            <v>-6.4416622820249361E-2</v>
          </cell>
          <cell r="B57">
            <v>0.81923316884387543</v>
          </cell>
        </row>
        <row r="58">
          <cell r="A58">
            <v>7.0603243745282263E-2</v>
          </cell>
          <cell r="B58">
            <v>1.2898287879043699</v>
          </cell>
        </row>
        <row r="59">
          <cell r="A59">
            <v>-0.23112843146955364</v>
          </cell>
          <cell r="B59">
            <v>1.2300051822322018</v>
          </cell>
        </row>
        <row r="60">
          <cell r="A60">
            <v>0.50056421801451145</v>
          </cell>
          <cell r="B60">
            <v>0.72489347115703906</v>
          </cell>
        </row>
        <row r="61">
          <cell r="A61">
            <v>-0.46245152594315925</v>
          </cell>
          <cell r="B61">
            <v>1.0279008830162024</v>
          </cell>
        </row>
        <row r="62">
          <cell r="A62">
            <v>0.50412423929820405</v>
          </cell>
          <cell r="B62">
            <v>0.99710029024462343</v>
          </cell>
        </row>
        <row r="63">
          <cell r="A63">
            <v>-0.16198216355744904</v>
          </cell>
          <cell r="B63">
            <v>0.84280653045720211</v>
          </cell>
        </row>
        <row r="64">
          <cell r="A64">
            <v>0.47611885302000934</v>
          </cell>
          <cell r="B64">
            <v>1.1305753873246671</v>
          </cell>
        </row>
        <row r="65">
          <cell r="A65">
            <v>4.0591789352682449E-2</v>
          </cell>
          <cell r="B65">
            <v>0.52908877538574328</v>
          </cell>
        </row>
        <row r="66">
          <cell r="A66">
            <v>0.35599508058903545</v>
          </cell>
          <cell r="B66">
            <v>1.2284864059966629</v>
          </cell>
        </row>
        <row r="67">
          <cell r="A67">
            <v>-0.62622693162597587</v>
          </cell>
          <cell r="B67">
            <v>0.8691192581479672</v>
          </cell>
        </row>
        <row r="68">
          <cell r="A68">
            <v>6.8908085029389984E-2</v>
          </cell>
          <cell r="B68">
            <v>1.2821251184003304</v>
          </cell>
        </row>
        <row r="69">
          <cell r="A69">
            <v>-0.38517761107472875</v>
          </cell>
          <cell r="B69">
            <v>0.75868940935735552</v>
          </cell>
        </row>
        <row r="70">
          <cell r="A70">
            <v>-0.84950406315782867</v>
          </cell>
          <cell r="B70">
            <v>0.68447555740508859</v>
          </cell>
        </row>
        <row r="71">
          <cell r="A71">
            <v>0.60010219883849902</v>
          </cell>
          <cell r="B71">
            <v>1.3746725792322299</v>
          </cell>
        </row>
        <row r="72">
          <cell r="A72">
            <v>-0.26486287168897721</v>
          </cell>
          <cell r="B72">
            <v>1.039938262021447</v>
          </cell>
        </row>
        <row r="73">
          <cell r="A73">
            <v>0.73040006463101859</v>
          </cell>
          <cell r="B73">
            <v>1.5612448946740207</v>
          </cell>
        </row>
        <row r="74">
          <cell r="A74">
            <v>2.4990341317216835E-2</v>
          </cell>
          <cell r="B74">
            <v>0.51486828070051849</v>
          </cell>
        </row>
        <row r="75">
          <cell r="A75">
            <v>-0.83820083007318313</v>
          </cell>
          <cell r="B75">
            <v>1.006575357745954</v>
          </cell>
        </row>
        <row r="76">
          <cell r="A76">
            <v>-0.20967487948619581</v>
          </cell>
          <cell r="B76">
            <v>1.0948637547049824</v>
          </cell>
        </row>
        <row r="77">
          <cell r="A77">
            <v>4.0405480254379622E-2</v>
          </cell>
          <cell r="B77">
            <v>0.91904059692043083</v>
          </cell>
        </row>
        <row r="78">
          <cell r="A78">
            <v>0.50604546807954864</v>
          </cell>
          <cell r="B78">
            <v>1.2538871545952626</v>
          </cell>
        </row>
        <row r="79">
          <cell r="A79">
            <v>-0.17803492856737901</v>
          </cell>
          <cell r="B79">
            <v>1.0188524238326908</v>
          </cell>
        </row>
        <row r="80">
          <cell r="A80">
            <v>0.55951343115065111</v>
          </cell>
          <cell r="B80">
            <v>1.0203161722890903</v>
          </cell>
        </row>
        <row r="81">
          <cell r="A81">
            <v>-0.29518493629192544</v>
          </cell>
          <cell r="B81">
            <v>1.380205136014093</v>
          </cell>
        </row>
        <row r="82">
          <cell r="A82">
            <v>-0.19865378590798377</v>
          </cell>
          <cell r="B82">
            <v>0.91767317250130009</v>
          </cell>
        </row>
        <row r="83">
          <cell r="A83">
            <v>-0.1521751600886814</v>
          </cell>
          <cell r="B83">
            <v>0.83950026916635223</v>
          </cell>
        </row>
        <row r="84">
          <cell r="A84">
            <v>3.2040959407536297E-2</v>
          </cell>
          <cell r="B84">
            <v>0.94086629208965755</v>
          </cell>
        </row>
        <row r="85">
          <cell r="A85">
            <v>0.56971732619777471</v>
          </cell>
          <cell r="B85">
            <v>0.7382156822370225</v>
          </cell>
        </row>
        <row r="86">
          <cell r="A86">
            <v>0.27188369071406987</v>
          </cell>
          <cell r="B86">
            <v>0.89599240353547682</v>
          </cell>
        </row>
        <row r="87">
          <cell r="A87">
            <v>-7.932414199312908E-2</v>
          </cell>
          <cell r="B87">
            <v>0.46834852016353645</v>
          </cell>
        </row>
        <row r="88">
          <cell r="A88">
            <v>-0.4402936769759655</v>
          </cell>
          <cell r="B88">
            <v>1.1725732590728295</v>
          </cell>
        </row>
        <row r="89">
          <cell r="A89">
            <v>-0.26991975985582289</v>
          </cell>
          <cell r="B89">
            <v>1.0323067955433471</v>
          </cell>
        </row>
        <row r="90">
          <cell r="A90">
            <v>-0.28771871097891105</v>
          </cell>
          <cell r="B90">
            <v>0.7572316388360959</v>
          </cell>
        </row>
        <row r="91">
          <cell r="A91">
            <v>-2.7078160558331333E-2</v>
          </cell>
          <cell r="B91">
            <v>1.0241270500146005</v>
          </cell>
        </row>
        <row r="92">
          <cell r="A92">
            <v>0.3956284157207392</v>
          </cell>
          <cell r="B92">
            <v>1.4176955425376712</v>
          </cell>
        </row>
        <row r="93">
          <cell r="A93">
            <v>3.6764884797701458E-2</v>
          </cell>
          <cell r="B93">
            <v>1.0230255146226765</v>
          </cell>
        </row>
        <row r="94">
          <cell r="A94">
            <v>0.68782881781038363</v>
          </cell>
          <cell r="B94">
            <v>0.9725013019620663</v>
          </cell>
        </row>
        <row r="95">
          <cell r="A95">
            <v>5.7587345273257817E-2</v>
          </cell>
          <cell r="B95">
            <v>1.0875562543727499</v>
          </cell>
        </row>
        <row r="96">
          <cell r="A96">
            <v>-0.17636929723357286</v>
          </cell>
          <cell r="B96">
            <v>1.1114333454816894</v>
          </cell>
        </row>
        <row r="97">
          <cell r="A97">
            <v>-0.22714874768406432</v>
          </cell>
          <cell r="B97">
            <v>1.0624707751723965</v>
          </cell>
        </row>
        <row r="98">
          <cell r="A98">
            <v>0.1523916963004758</v>
          </cell>
          <cell r="B98">
            <v>1.2891885109698051</v>
          </cell>
        </row>
        <row r="99">
          <cell r="A99">
            <v>8.1827199622509436E-2</v>
          </cell>
          <cell r="B99">
            <v>0.82297481913824777</v>
          </cell>
        </row>
        <row r="100">
          <cell r="A100">
            <v>0.54193240168064172</v>
          </cell>
          <cell r="B100">
            <v>1.3977987653848039</v>
          </cell>
        </row>
        <row r="101">
          <cell r="A101">
            <v>-0.26901716243792712</v>
          </cell>
          <cell r="B101">
            <v>1.0125792425547699</v>
          </cell>
        </row>
        <row r="102">
          <cell r="A102">
            <v>0.33227313708113249</v>
          </cell>
          <cell r="B102">
            <v>1.0907250014071901</v>
          </cell>
        </row>
        <row r="103">
          <cell r="A103">
            <v>-0.20719938544712557</v>
          </cell>
          <cell r="B103">
            <v>0.87270305335157594</v>
          </cell>
        </row>
        <row r="104">
          <cell r="A104">
            <v>-0.49387865531028985</v>
          </cell>
          <cell r="B104">
            <v>1.8678180980780201</v>
          </cell>
        </row>
        <row r="105">
          <cell r="A105">
            <v>-0.15742310991421657</v>
          </cell>
          <cell r="B105">
            <v>1.1348082717053753</v>
          </cell>
        </row>
        <row r="106">
          <cell r="A106">
            <v>0.32422526777427729</v>
          </cell>
          <cell r="B106">
            <v>0.76708854082970568</v>
          </cell>
        </row>
        <row r="107">
          <cell r="A107">
            <v>0.17722493661197536</v>
          </cell>
          <cell r="B107">
            <v>1.0759768073137019</v>
          </cell>
        </row>
        <row r="108">
          <cell r="A108">
            <v>-0.59838091188320763</v>
          </cell>
          <cell r="B108">
            <v>0.90153785569996381</v>
          </cell>
        </row>
        <row r="109">
          <cell r="A109">
            <v>0.51858939305723883</v>
          </cell>
          <cell r="B109">
            <v>0.51027538702928432</v>
          </cell>
        </row>
        <row r="110">
          <cell r="A110">
            <v>1.0423982767205517</v>
          </cell>
          <cell r="B110">
            <v>1.2771790212156098</v>
          </cell>
        </row>
        <row r="111">
          <cell r="A111">
            <v>-1.8771922137430213E-2</v>
          </cell>
          <cell r="B111">
            <v>1.310483721902951</v>
          </cell>
        </row>
        <row r="112">
          <cell r="A112">
            <v>4.3574629263574881E-2</v>
          </cell>
          <cell r="B112">
            <v>0.64885995821375453</v>
          </cell>
        </row>
        <row r="113">
          <cell r="A113">
            <v>-0.10565845606025374</v>
          </cell>
          <cell r="B113">
            <v>0.95624180932862224</v>
          </cell>
        </row>
        <row r="114">
          <cell r="A114">
            <v>-3.169035489883467E-2</v>
          </cell>
          <cell r="B114">
            <v>0.55037063899246375</v>
          </cell>
        </row>
        <row r="115">
          <cell r="A115">
            <v>-1.1845950580656301</v>
          </cell>
          <cell r="B115">
            <v>0.71856903046134257</v>
          </cell>
        </row>
        <row r="116">
          <cell r="A116">
            <v>0.28006427151053509</v>
          </cell>
          <cell r="B116">
            <v>1.3511037438748903</v>
          </cell>
        </row>
        <row r="117">
          <cell r="A117">
            <v>-0.70645104429418792</v>
          </cell>
          <cell r="B117">
            <v>0.75315239619274732</v>
          </cell>
        </row>
        <row r="118">
          <cell r="A118">
            <v>0.28656568729027304</v>
          </cell>
          <cell r="B118">
            <v>1.0561573401533255</v>
          </cell>
        </row>
        <row r="119">
          <cell r="A119">
            <v>0.17469301302143311</v>
          </cell>
          <cell r="B119">
            <v>1.0845352971477571</v>
          </cell>
        </row>
        <row r="120">
          <cell r="A120">
            <v>0.14798701197995529</v>
          </cell>
          <cell r="B120">
            <v>1.1403571460613167</v>
          </cell>
        </row>
        <row r="121">
          <cell r="A121">
            <v>0.31020495801478926</v>
          </cell>
          <cell r="B121">
            <v>1.2325867979737701</v>
          </cell>
        </row>
        <row r="122">
          <cell r="A122">
            <v>0.1570607239267601</v>
          </cell>
          <cell r="B122">
            <v>1.0103075722486541</v>
          </cell>
        </row>
        <row r="123">
          <cell r="A123">
            <v>0.27224288435576982</v>
          </cell>
          <cell r="B123">
            <v>1.2688957325490451</v>
          </cell>
        </row>
        <row r="124">
          <cell r="A124">
            <v>-4.8039187361667159E-2</v>
          </cell>
          <cell r="B124">
            <v>1.198868670409118</v>
          </cell>
        </row>
        <row r="125">
          <cell r="A125">
            <v>0.27427819390728447</v>
          </cell>
          <cell r="B125">
            <v>1.1043877348953099</v>
          </cell>
        </row>
        <row r="126">
          <cell r="A126">
            <v>-0.59688420452381097</v>
          </cell>
          <cell r="B126">
            <v>1.6484686575029761</v>
          </cell>
        </row>
        <row r="127">
          <cell r="A127">
            <v>-0.27661681039936309</v>
          </cell>
          <cell r="B127">
            <v>1.1929561015176708</v>
          </cell>
        </row>
        <row r="128">
          <cell r="A128">
            <v>-0.47129061211108092</v>
          </cell>
          <cell r="B128">
            <v>0.92198146517717083</v>
          </cell>
        </row>
        <row r="129">
          <cell r="A129">
            <v>-6.4777681911414087E-2</v>
          </cell>
          <cell r="B129">
            <v>1.134598946593333</v>
          </cell>
        </row>
        <row r="130">
          <cell r="A130">
            <v>0.44981473576359465</v>
          </cell>
          <cell r="B130">
            <v>0.64757136949647653</v>
          </cell>
        </row>
        <row r="131">
          <cell r="A131">
            <v>-1.3614895047964426E-2</v>
          </cell>
          <cell r="B131">
            <v>1.3372018675141353</v>
          </cell>
        </row>
        <row r="132">
          <cell r="A132">
            <v>-0.81203448736100958</v>
          </cell>
          <cell r="B132">
            <v>1.3535785234061621</v>
          </cell>
        </row>
        <row r="133">
          <cell r="A133">
            <v>-0.25011208056829548</v>
          </cell>
          <cell r="B133">
            <v>0.75491620329569908</v>
          </cell>
        </row>
        <row r="134">
          <cell r="A134">
            <v>-2.975018293251926E-2</v>
          </cell>
          <cell r="B134">
            <v>0.7365189575343174</v>
          </cell>
        </row>
        <row r="135">
          <cell r="A135">
            <v>-7.3012893263014647E-2</v>
          </cell>
          <cell r="B135">
            <v>0.53162515023608725</v>
          </cell>
        </row>
        <row r="136">
          <cell r="A136">
            <v>6.7262537456437718E-2</v>
          </cell>
          <cell r="B136">
            <v>0.57821441984028676</v>
          </cell>
        </row>
        <row r="137">
          <cell r="A137">
            <v>-0.70480674645720143</v>
          </cell>
          <cell r="B137">
            <v>0.98918914610394926</v>
          </cell>
        </row>
        <row r="138">
          <cell r="A138">
            <v>0.36002701199169646</v>
          </cell>
          <cell r="B138">
            <v>1.057659479661228</v>
          </cell>
        </row>
        <row r="139">
          <cell r="A139">
            <v>-0.58129519896127213</v>
          </cell>
          <cell r="B139">
            <v>1.1126814965488945</v>
          </cell>
        </row>
        <row r="140">
          <cell r="A140">
            <v>0.3233666039396958</v>
          </cell>
          <cell r="B140">
            <v>0.73590579987230087</v>
          </cell>
        </row>
      </sheetData>
      <sheetData sheetId="5">
        <row r="5">
          <cell r="AS5">
            <v>-2.805108159642522E-4</v>
          </cell>
        </row>
        <row r="6">
          <cell r="AS6">
            <v>-1.6331539245961757E-4</v>
          </cell>
        </row>
        <row r="8">
          <cell r="AS8">
            <v>10137.606659358957</v>
          </cell>
        </row>
        <row r="9">
          <cell r="AS9">
            <v>12282.393340641043</v>
          </cell>
        </row>
        <row r="32">
          <cell r="Q32">
            <v>10116.344021470748</v>
          </cell>
          <cell r="U32">
            <v>12268.087385820705</v>
          </cell>
        </row>
      </sheetData>
      <sheetData sheetId="6"/>
      <sheetData sheetId="7"/>
      <sheetData sheetId="8"/>
      <sheetData sheetId="9">
        <row r="1">
          <cell r="Z1">
            <v>95</v>
          </cell>
          <cell r="AA1">
            <v>95</v>
          </cell>
          <cell r="AD1">
            <v>95</v>
          </cell>
          <cell r="AE1">
            <v>95</v>
          </cell>
          <cell r="AH1">
            <v>99</v>
          </cell>
          <cell r="AI1">
            <v>99</v>
          </cell>
        </row>
        <row r="2">
          <cell r="Z2">
            <v>0.5</v>
          </cell>
          <cell r="AA2">
            <v>0.5</v>
          </cell>
          <cell r="AD2">
            <v>0.5</v>
          </cell>
          <cell r="AE2">
            <v>0.5</v>
          </cell>
        </row>
        <row r="3">
          <cell r="Z3">
            <v>0.3</v>
          </cell>
          <cell r="AA3">
            <v>0.3</v>
          </cell>
          <cell r="AD3">
            <v>0.3</v>
          </cell>
          <cell r="AE3">
            <v>0.3</v>
          </cell>
        </row>
        <row r="4">
          <cell r="Z4">
            <v>1</v>
          </cell>
          <cell r="AA4">
            <v>1</v>
          </cell>
          <cell r="AD4">
            <v>1</v>
          </cell>
          <cell r="AE4">
            <v>1</v>
          </cell>
        </row>
        <row r="7">
          <cell r="U7" t="str">
            <v>topleftg</v>
          </cell>
        </row>
        <row r="135">
          <cell r="AP135">
            <v>1.0000000000000009E-2</v>
          </cell>
        </row>
        <row r="140">
          <cell r="AP140">
            <v>5.0000000000000044E-2</v>
          </cell>
        </row>
      </sheetData>
      <sheetData sheetId="10"/>
      <sheetData sheetId="11">
        <row r="140">
          <cell r="V140">
            <v>95</v>
          </cell>
        </row>
      </sheetData>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 val="One proportion"/>
      <sheetName val="Two proportions"/>
      <sheetName val="ESCI intro chapters 6, 8-11 Apr"/>
    </sheetNames>
    <definedNames>
      <definedName name="ShiftDataPaired"/>
      <definedName name="ShiftDataTwo"/>
    </definedNames>
    <sheetDataSet>
      <sheetData sheetId="0" refreshError="1"/>
      <sheetData sheetId="1">
        <row r="5">
          <cell r="H5" t="str">
            <v>PenLaptop 1</v>
          </cell>
          <cell r="BL5" t="str">
            <v>PenLaptop 1</v>
          </cell>
        </row>
        <row r="6">
          <cell r="G6" t="str">
            <v>Transcription %</v>
          </cell>
          <cell r="BK6" t="str">
            <v>Transcription %</v>
          </cell>
        </row>
        <row r="8">
          <cell r="F8" t="str">
            <v>Pen</v>
          </cell>
          <cell r="I8" t="str">
            <v>Laptop</v>
          </cell>
          <cell r="BJ8" t="str">
            <v>Pen</v>
          </cell>
          <cell r="BM8" t="str">
            <v>Laptop</v>
          </cell>
        </row>
        <row r="9">
          <cell r="BJ9">
            <v>12.1</v>
          </cell>
          <cell r="BM9">
            <v>13.7</v>
          </cell>
        </row>
        <row r="10">
          <cell r="BJ10">
            <v>6.5</v>
          </cell>
          <cell r="BM10">
            <v>21.1</v>
          </cell>
        </row>
        <row r="11">
          <cell r="BJ11">
            <v>8.1</v>
          </cell>
          <cell r="BM11">
            <v>15.2</v>
          </cell>
        </row>
        <row r="12">
          <cell r="BJ12">
            <v>7.6</v>
          </cell>
          <cell r="BM12">
            <v>30.4</v>
          </cell>
        </row>
        <row r="13">
          <cell r="BJ13">
            <v>12.2</v>
          </cell>
          <cell r="BM13">
            <v>12.8</v>
          </cell>
        </row>
        <row r="14">
          <cell r="BJ14">
            <v>10.8</v>
          </cell>
          <cell r="BM14">
            <v>9.6</v>
          </cell>
        </row>
        <row r="15">
          <cell r="BJ15">
            <v>1</v>
          </cell>
          <cell r="BM15">
            <v>9.3000000000000007</v>
          </cell>
        </row>
        <row r="16">
          <cell r="BJ16">
            <v>2.9</v>
          </cell>
          <cell r="BM16">
            <v>17.7</v>
          </cell>
        </row>
        <row r="17">
          <cell r="BJ17">
            <v>14.4</v>
          </cell>
          <cell r="BM17">
            <v>15.4</v>
          </cell>
        </row>
        <row r="18">
          <cell r="BJ18">
            <v>8.4</v>
          </cell>
          <cell r="BM18">
            <v>8.6999999999999993</v>
          </cell>
        </row>
        <row r="19">
          <cell r="BJ19">
            <v>17.7</v>
          </cell>
          <cell r="BM19">
            <v>12.8</v>
          </cell>
        </row>
        <row r="20">
          <cell r="BJ20">
            <v>20.100000000000001</v>
          </cell>
          <cell r="BM20">
            <v>10.6</v>
          </cell>
        </row>
        <row r="21">
          <cell r="BJ21">
            <v>2.1</v>
          </cell>
          <cell r="BM21">
            <v>5.0999999999999996</v>
          </cell>
        </row>
        <row r="22">
          <cell r="BJ22">
            <v>11.1</v>
          </cell>
          <cell r="BM22">
            <v>16.7</v>
          </cell>
        </row>
        <row r="23">
          <cell r="BJ23">
            <v>11.2</v>
          </cell>
          <cell r="BM23">
            <v>17.7</v>
          </cell>
        </row>
        <row r="24">
          <cell r="BJ24">
            <v>10.7</v>
          </cell>
          <cell r="BM24">
            <v>8.6999999999999993</v>
          </cell>
        </row>
        <row r="25">
          <cell r="BJ25">
            <v>1.9</v>
          </cell>
          <cell r="BM25">
            <v>26.4</v>
          </cell>
        </row>
        <row r="26">
          <cell r="BJ26">
            <v>5.2</v>
          </cell>
          <cell r="BM26">
            <v>18</v>
          </cell>
        </row>
        <row r="27">
          <cell r="BJ27">
            <v>9.6999999999999993</v>
          </cell>
          <cell r="BM27">
            <v>19</v>
          </cell>
        </row>
        <row r="28">
          <cell r="BJ28">
            <v>5.2</v>
          </cell>
          <cell r="BM28">
            <v>16.899999999999999</v>
          </cell>
        </row>
        <row r="29">
          <cell r="BJ29">
            <v>2.4</v>
          </cell>
          <cell r="BM29">
            <v>18.8</v>
          </cell>
        </row>
        <row r="30">
          <cell r="BJ30">
            <v>7.1</v>
          </cell>
          <cell r="BM30">
            <v>8.5</v>
          </cell>
        </row>
        <row r="31">
          <cell r="BJ31">
            <v>8.6999999999999993</v>
          </cell>
          <cell r="BM31">
            <v>1.2</v>
          </cell>
        </row>
        <row r="32">
          <cell r="BJ32">
            <v>8</v>
          </cell>
          <cell r="BM32">
            <v>11.5</v>
          </cell>
        </row>
        <row r="33">
          <cell r="BJ33">
            <v>11.3</v>
          </cell>
          <cell r="BM33">
            <v>21.4</v>
          </cell>
        </row>
        <row r="34">
          <cell r="BJ34">
            <v>8.5</v>
          </cell>
          <cell r="BM34">
            <v>10.3</v>
          </cell>
        </row>
        <row r="35">
          <cell r="BJ35">
            <v>9.1</v>
          </cell>
          <cell r="BM35">
            <v>9</v>
          </cell>
        </row>
        <row r="36">
          <cell r="BJ36">
            <v>4.5</v>
          </cell>
          <cell r="BM36">
            <v>12.8</v>
          </cell>
        </row>
        <row r="37">
          <cell r="BJ37">
            <v>9.1999999999999993</v>
          </cell>
          <cell r="BM37">
            <v>12</v>
          </cell>
        </row>
        <row r="38">
          <cell r="BJ38">
            <v>13.3</v>
          </cell>
          <cell r="BM38">
            <v>34.700000000000003</v>
          </cell>
        </row>
        <row r="39">
          <cell r="BJ39">
            <v>18.3</v>
          </cell>
          <cell r="BM39">
            <v>4.0999999999999996</v>
          </cell>
        </row>
        <row r="40">
          <cell r="BJ40">
            <v>2.8</v>
          </cell>
        </row>
        <row r="41">
          <cell r="BJ41">
            <v>5.0999999999999996</v>
          </cell>
        </row>
        <row r="42">
          <cell r="BJ42">
            <v>12.4</v>
          </cell>
        </row>
      </sheetData>
      <sheetData sheetId="2">
        <row r="3">
          <cell r="C3" t="b">
            <v>0</v>
          </cell>
        </row>
        <row r="4">
          <cell r="BI4" t="str">
            <v>Thomason 1</v>
          </cell>
          <cell r="BN4" t="str">
            <v>Thomason 2</v>
          </cell>
          <cell r="BS4" t="str">
            <v>Thomason 3</v>
          </cell>
        </row>
        <row r="5">
          <cell r="B5">
            <v>124</v>
          </cell>
          <cell r="C5">
            <v>139</v>
          </cell>
          <cell r="G5" t="str">
            <v>Thomason 1</v>
          </cell>
          <cell r="BI5" t="str">
            <v>LSAT score</v>
          </cell>
          <cell r="BN5" t="str">
            <v>LSAT score</v>
          </cell>
          <cell r="BS5" t="str">
            <v>HCTA score</v>
          </cell>
        </row>
        <row r="6">
          <cell r="B6">
            <v>143</v>
          </cell>
          <cell r="C6">
            <v>159</v>
          </cell>
          <cell r="G6" t="str">
            <v>LSAT score</v>
          </cell>
        </row>
        <row r="7">
          <cell r="B7">
            <v>1506</v>
          </cell>
          <cell r="C7">
            <v>1731</v>
          </cell>
          <cell r="BH7" t="str">
            <v>Pretest</v>
          </cell>
          <cell r="BI7" t="str">
            <v>Posttest</v>
          </cell>
          <cell r="BM7" t="str">
            <v>Pretest</v>
          </cell>
          <cell r="BN7" t="str">
            <v>Posttest</v>
          </cell>
          <cell r="BR7" t="str">
            <v>Pretest</v>
          </cell>
          <cell r="BS7" t="str">
            <v>Posttest</v>
          </cell>
        </row>
        <row r="8">
          <cell r="B8">
            <v>1943</v>
          </cell>
          <cell r="C8">
            <v>2199</v>
          </cell>
          <cell r="F8" t="str">
            <v>Pretest</v>
          </cell>
          <cell r="G8" t="str">
            <v>Posttest</v>
          </cell>
          <cell r="BH8">
            <v>13</v>
          </cell>
          <cell r="BI8">
            <v>14</v>
          </cell>
          <cell r="BM8">
            <v>10</v>
          </cell>
          <cell r="BN8">
            <v>12</v>
          </cell>
          <cell r="BR8">
            <v>41</v>
          </cell>
          <cell r="BS8">
            <v>52</v>
          </cell>
        </row>
        <row r="9">
          <cell r="B9">
            <v>95</v>
          </cell>
          <cell r="C9">
            <v>95</v>
          </cell>
          <cell r="F9">
            <v>13</v>
          </cell>
          <cell r="BH9">
            <v>12</v>
          </cell>
          <cell r="BI9">
            <v>13</v>
          </cell>
          <cell r="BM9">
            <v>14</v>
          </cell>
          <cell r="BN9">
            <v>19</v>
          </cell>
          <cell r="BR9">
            <v>50</v>
          </cell>
          <cell r="BS9">
            <v>63</v>
          </cell>
        </row>
        <row r="10">
          <cell r="B10">
            <v>11</v>
          </cell>
          <cell r="C10">
            <v>12</v>
          </cell>
          <cell r="BH10">
            <v>12</v>
          </cell>
          <cell r="BI10">
            <v>16</v>
          </cell>
          <cell r="BM10">
            <v>7</v>
          </cell>
          <cell r="BN10">
            <v>6</v>
          </cell>
          <cell r="BR10">
            <v>71</v>
          </cell>
          <cell r="BS10">
            <v>69</v>
          </cell>
        </row>
        <row r="11">
          <cell r="C11" t="b">
            <v>0</v>
          </cell>
          <cell r="BH11">
            <v>9</v>
          </cell>
          <cell r="BI11">
            <v>12</v>
          </cell>
          <cell r="BM11">
            <v>12</v>
          </cell>
          <cell r="BN11">
            <v>9</v>
          </cell>
          <cell r="BR11">
            <v>70</v>
          </cell>
          <cell r="BS11">
            <v>71</v>
          </cell>
        </row>
        <row r="12">
          <cell r="BH12">
            <v>14</v>
          </cell>
          <cell r="BI12">
            <v>15</v>
          </cell>
          <cell r="BM12">
            <v>11</v>
          </cell>
          <cell r="BN12">
            <v>15</v>
          </cell>
          <cell r="BR12">
            <v>74</v>
          </cell>
          <cell r="BS12">
            <v>80</v>
          </cell>
        </row>
        <row r="13">
          <cell r="BH13">
            <v>17</v>
          </cell>
          <cell r="BI13">
            <v>18</v>
          </cell>
          <cell r="BM13">
            <v>11</v>
          </cell>
          <cell r="BN13">
            <v>13</v>
          </cell>
          <cell r="BR13">
            <v>75</v>
          </cell>
          <cell r="BS13">
            <v>80</v>
          </cell>
        </row>
        <row r="14">
          <cell r="BH14">
            <v>14</v>
          </cell>
          <cell r="BI14">
            <v>13</v>
          </cell>
          <cell r="BM14">
            <v>15</v>
          </cell>
          <cell r="BN14">
            <v>17</v>
          </cell>
          <cell r="BR14">
            <v>64</v>
          </cell>
          <cell r="BS14">
            <v>69</v>
          </cell>
        </row>
        <row r="15">
          <cell r="B15">
            <v>-718.49574406883664</v>
          </cell>
          <cell r="C15">
            <v>-861.66694783176774</v>
          </cell>
          <cell r="BH15">
            <v>9</v>
          </cell>
          <cell r="BI15">
            <v>10</v>
          </cell>
          <cell r="BM15">
            <v>14</v>
          </cell>
          <cell r="BN15">
            <v>14</v>
          </cell>
          <cell r="BR15">
            <v>72</v>
          </cell>
          <cell r="BS15">
            <v>76</v>
          </cell>
        </row>
        <row r="16">
          <cell r="BH16">
            <v>6</v>
          </cell>
          <cell r="BI16">
            <v>10</v>
          </cell>
          <cell r="BM16">
            <v>9</v>
          </cell>
          <cell r="BN16">
            <v>10</v>
          </cell>
          <cell r="BR16">
            <v>77</v>
          </cell>
          <cell r="BS16">
            <v>78</v>
          </cell>
        </row>
        <row r="17">
          <cell r="B17">
            <v>1.1044290997998583</v>
          </cell>
          <cell r="C17">
            <v>6.1550013881132868</v>
          </cell>
          <cell r="BH17">
            <v>7</v>
          </cell>
          <cell r="BI17">
            <v>8</v>
          </cell>
          <cell r="BM17">
            <v>16</v>
          </cell>
          <cell r="BN17">
            <v>17</v>
          </cell>
          <cell r="BR17">
            <v>53</v>
          </cell>
          <cell r="BS17">
            <v>77</v>
          </cell>
        </row>
        <row r="18">
          <cell r="BH18">
            <v>11</v>
          </cell>
          <cell r="BI18">
            <v>14</v>
          </cell>
          <cell r="BM18">
            <v>10</v>
          </cell>
          <cell r="BN18">
            <v>9</v>
          </cell>
          <cell r="BR18">
            <v>60</v>
          </cell>
          <cell r="BS18">
            <v>67</v>
          </cell>
        </row>
        <row r="19">
          <cell r="BH19">
            <v>15</v>
          </cell>
          <cell r="BI19">
            <v>16</v>
          </cell>
          <cell r="BM19">
            <v>11</v>
          </cell>
          <cell r="BN19">
            <v>14</v>
          </cell>
          <cell r="BR19">
            <v>73</v>
          </cell>
          <cell r="BS19">
            <v>76</v>
          </cell>
        </row>
        <row r="20">
          <cell r="BM20">
            <v>13</v>
          </cell>
          <cell r="BN20">
            <v>15</v>
          </cell>
          <cell r="BR20">
            <v>72</v>
          </cell>
          <cell r="BS20">
            <v>69</v>
          </cell>
        </row>
        <row r="21">
          <cell r="B21">
            <v>1.6545128460584575</v>
          </cell>
          <cell r="C21">
            <v>6.0564831635021399</v>
          </cell>
          <cell r="BM21">
            <v>19</v>
          </cell>
          <cell r="BN21">
            <v>22</v>
          </cell>
          <cell r="BR21">
            <v>62</v>
          </cell>
          <cell r="BS21">
            <v>73</v>
          </cell>
        </row>
        <row r="22">
          <cell r="BM22">
            <v>19</v>
          </cell>
          <cell r="BN22">
            <v>18</v>
          </cell>
          <cell r="BR22">
            <v>68</v>
          </cell>
          <cell r="BS22">
            <v>73</v>
          </cell>
        </row>
        <row r="23">
          <cell r="BM23">
            <v>15</v>
          </cell>
          <cell r="BN23">
            <v>18</v>
          </cell>
          <cell r="BR23">
            <v>63</v>
          </cell>
          <cell r="BS23">
            <v>68</v>
          </cell>
        </row>
        <row r="24">
          <cell r="BR24">
            <v>69</v>
          </cell>
          <cell r="BS24">
            <v>70</v>
          </cell>
        </row>
        <row r="25">
          <cell r="BR25">
            <v>71</v>
          </cell>
          <cell r="BS25">
            <v>81</v>
          </cell>
        </row>
        <row r="26">
          <cell r="BR26">
            <v>70</v>
          </cell>
          <cell r="BS26">
            <v>70</v>
          </cell>
        </row>
        <row r="27">
          <cell r="BR27">
            <v>70</v>
          </cell>
          <cell r="BS27">
            <v>76</v>
          </cell>
        </row>
        <row r="28">
          <cell r="BR28">
            <v>75</v>
          </cell>
          <cell r="BS28">
            <v>77</v>
          </cell>
        </row>
        <row r="29">
          <cell r="BR29">
            <v>71</v>
          </cell>
          <cell r="BS29">
            <v>75</v>
          </cell>
        </row>
        <row r="30">
          <cell r="BR30">
            <v>76</v>
          </cell>
          <cell r="BS30">
            <v>69</v>
          </cell>
        </row>
        <row r="31">
          <cell r="BR31">
            <v>64</v>
          </cell>
          <cell r="BS31">
            <v>77</v>
          </cell>
        </row>
        <row r="32">
          <cell r="BR32">
            <v>70</v>
          </cell>
          <cell r="BS32">
            <v>70</v>
          </cell>
        </row>
        <row r="33">
          <cell r="BR33">
            <v>65</v>
          </cell>
          <cell r="BS33">
            <v>76</v>
          </cell>
        </row>
        <row r="34">
          <cell r="BR34">
            <v>75</v>
          </cell>
          <cell r="BS34">
            <v>65</v>
          </cell>
        </row>
        <row r="35">
          <cell r="BR35">
            <v>66</v>
          </cell>
          <cell r="BS35">
            <v>64</v>
          </cell>
        </row>
        <row r="36">
          <cell r="BR36">
            <v>70</v>
          </cell>
          <cell r="BS36">
            <v>72</v>
          </cell>
        </row>
        <row r="37">
          <cell r="BR37">
            <v>70</v>
          </cell>
          <cell r="BS37">
            <v>71</v>
          </cell>
        </row>
        <row r="38">
          <cell r="BR38">
            <v>64</v>
          </cell>
          <cell r="BS38">
            <v>63</v>
          </cell>
        </row>
        <row r="39">
          <cell r="BR39">
            <v>72</v>
          </cell>
          <cell r="BS39">
            <v>78</v>
          </cell>
        </row>
        <row r="40">
          <cell r="BR40">
            <v>63</v>
          </cell>
          <cell r="BS40">
            <v>71</v>
          </cell>
        </row>
        <row r="41">
          <cell r="BR41">
            <v>68</v>
          </cell>
          <cell r="BS41">
            <v>77</v>
          </cell>
        </row>
        <row r="42">
          <cell r="BR42">
            <v>64</v>
          </cell>
          <cell r="BS42">
            <v>67</v>
          </cell>
        </row>
        <row r="43">
          <cell r="BR43">
            <v>61</v>
          </cell>
          <cell r="BS43">
            <v>66</v>
          </cell>
        </row>
        <row r="44">
          <cell r="BR44">
            <v>63</v>
          </cell>
          <cell r="BS44">
            <v>73</v>
          </cell>
        </row>
        <row r="45">
          <cell r="BR45">
            <v>76</v>
          </cell>
          <cell r="BS45">
            <v>75</v>
          </cell>
        </row>
        <row r="46">
          <cell r="BR46">
            <v>71</v>
          </cell>
          <cell r="BS46">
            <v>75</v>
          </cell>
        </row>
      </sheetData>
      <sheetData sheetId="3" refreshError="1"/>
      <sheetData sheetId="4" refreshError="1"/>
      <sheetData sheetId="5" refreshError="1"/>
      <sheetData sheetId="6">
        <row r="7">
          <cell r="A7">
            <v>25</v>
          </cell>
          <cell r="B7">
            <v>25</v>
          </cell>
        </row>
        <row r="8">
          <cell r="A8">
            <v>0.3</v>
          </cell>
          <cell r="B8">
            <v>0.3</v>
          </cell>
        </row>
        <row r="9">
          <cell r="AY9">
            <v>2</v>
          </cell>
        </row>
      </sheetData>
      <sheetData sheetId="7">
        <row r="1">
          <cell r="DH1" t="b">
            <v>1</v>
          </cell>
          <cell r="DK1" t="b">
            <v>0</v>
          </cell>
          <cell r="DM1" t="b">
            <v>0</v>
          </cell>
          <cell r="DO1" t="b">
            <v>0</v>
          </cell>
          <cell r="DS1" t="b">
            <v>0</v>
          </cell>
          <cell r="DU1" t="b">
            <v>0</v>
          </cell>
          <cell r="DW1" t="b">
            <v>0</v>
          </cell>
        </row>
        <row r="2">
          <cell r="DS2" t="b">
            <v>0</v>
          </cell>
          <cell r="DW2" t="b">
            <v>0</v>
          </cell>
        </row>
        <row r="3">
          <cell r="DS3" t="b">
            <v>0</v>
          </cell>
        </row>
        <row r="4">
          <cell r="BC4" t="str">
            <v>Thomason 1</v>
          </cell>
          <cell r="BH4" t="str">
            <v>Sevincer</v>
          </cell>
          <cell r="BM4" t="str">
            <v>Thomason 2</v>
          </cell>
          <cell r="BR4" t="str">
            <v>MDheights20</v>
          </cell>
          <cell r="BW4" t="str">
            <v>MDheights200</v>
          </cell>
          <cell r="CB4" t="str">
            <v>MGheights200</v>
          </cell>
        </row>
        <row r="6">
          <cell r="C6" t="str">
            <v>Thomason 2</v>
          </cell>
          <cell r="BB6" t="str">
            <v>HCTA pretest</v>
          </cell>
          <cell r="BC6" t="str">
            <v>HCTA posttest</v>
          </cell>
          <cell r="BG6" t="str">
            <v>Positivity</v>
          </cell>
          <cell r="BH6" t="str">
            <v>GDP change</v>
          </cell>
          <cell r="BL6" t="str">
            <v>LSAT Pretest</v>
          </cell>
          <cell r="BM6" t="str">
            <v>LSAT Posttest</v>
          </cell>
          <cell r="BQ6" t="str">
            <v>Mother</v>
          </cell>
          <cell r="BR6" t="str">
            <v>Daughter</v>
          </cell>
          <cell r="BV6" t="str">
            <v>Mother</v>
          </cell>
          <cell r="BW6" t="str">
            <v>Daughter</v>
          </cell>
          <cell r="CA6" t="str">
            <v>Mother</v>
          </cell>
          <cell r="CB6" t="str">
            <v>Granddaughter</v>
          </cell>
        </row>
        <row r="7">
          <cell r="BB7">
            <v>41</v>
          </cell>
          <cell r="BC7">
            <v>52</v>
          </cell>
          <cell r="BG7">
            <v>2.7</v>
          </cell>
          <cell r="BH7">
            <v>43.6</v>
          </cell>
          <cell r="BL7">
            <v>13</v>
          </cell>
          <cell r="BM7">
            <v>14</v>
          </cell>
          <cell r="BQ7">
            <v>148.62518497603989</v>
          </cell>
          <cell r="BR7">
            <v>152.5351506567354</v>
          </cell>
          <cell r="BV7">
            <v>161.41875075517024</v>
          </cell>
          <cell r="BW7">
            <v>162.67338595803906</v>
          </cell>
          <cell r="CA7">
            <v>156.59760952983902</v>
          </cell>
          <cell r="CB7">
            <v>166.27087196456179</v>
          </cell>
        </row>
        <row r="8">
          <cell r="BB8">
            <v>50</v>
          </cell>
          <cell r="BC8">
            <v>63</v>
          </cell>
          <cell r="BG8">
            <v>1.1399999999999999</v>
          </cell>
          <cell r="BH8">
            <v>32.9</v>
          </cell>
          <cell r="BL8">
            <v>12</v>
          </cell>
          <cell r="BM8">
            <v>13</v>
          </cell>
          <cell r="BQ8">
            <v>156.86060234102371</v>
          </cell>
          <cell r="BR8">
            <v>157.49473339918995</v>
          </cell>
          <cell r="BV8">
            <v>154.77357400621315</v>
          </cell>
          <cell r="BW8">
            <v>162.12701972049362</v>
          </cell>
          <cell r="CA8">
            <v>160.80973119513763</v>
          </cell>
          <cell r="CB8">
            <v>171.57646415694887</v>
          </cell>
        </row>
        <row r="9">
          <cell r="BB9">
            <v>71</v>
          </cell>
          <cell r="BC9">
            <v>69</v>
          </cell>
          <cell r="BG9">
            <v>4.9999999999999656E-2</v>
          </cell>
          <cell r="BH9">
            <v>47.3</v>
          </cell>
          <cell r="BL9">
            <v>12</v>
          </cell>
          <cell r="BM9">
            <v>16</v>
          </cell>
          <cell r="BQ9">
            <v>148.88901648748012</v>
          </cell>
          <cell r="BR9">
            <v>157.32094992326202</v>
          </cell>
          <cell r="BV9">
            <v>149.61500721881458</v>
          </cell>
          <cell r="BW9">
            <v>150.96399925458883</v>
          </cell>
          <cell r="CA9">
            <v>149.33171677718892</v>
          </cell>
          <cell r="CB9">
            <v>166.7043847622071</v>
          </cell>
        </row>
        <row r="10">
          <cell r="BB10">
            <v>70</v>
          </cell>
          <cell r="BC10">
            <v>71</v>
          </cell>
          <cell r="BG10">
            <v>6.47</v>
          </cell>
          <cell r="BH10">
            <v>-8.3000000000000007</v>
          </cell>
          <cell r="BL10">
            <v>9</v>
          </cell>
          <cell r="BM10">
            <v>12</v>
          </cell>
          <cell r="BQ10">
            <v>159.76273079979759</v>
          </cell>
          <cell r="BR10">
            <v>171.36118894931829</v>
          </cell>
          <cell r="BV10">
            <v>157.26387916437395</v>
          </cell>
          <cell r="BW10">
            <v>160.84536785169897</v>
          </cell>
          <cell r="CA10">
            <v>165.6468504808291</v>
          </cell>
          <cell r="CB10">
            <v>161.84638015722629</v>
          </cell>
        </row>
        <row r="11">
          <cell r="BB11">
            <v>74</v>
          </cell>
          <cell r="BC11">
            <v>80</v>
          </cell>
          <cell r="BG11">
            <v>6.04</v>
          </cell>
          <cell r="BH11">
            <v>27.2</v>
          </cell>
          <cell r="BL11">
            <v>14</v>
          </cell>
          <cell r="BM11">
            <v>15</v>
          </cell>
          <cell r="BQ11">
            <v>163.25194939817925</v>
          </cell>
          <cell r="BR11">
            <v>166.10365720169108</v>
          </cell>
          <cell r="BV11">
            <v>159.79857410658843</v>
          </cell>
          <cell r="BW11">
            <v>163.74145524454536</v>
          </cell>
          <cell r="CA11">
            <v>157.79851426533949</v>
          </cell>
          <cell r="CB11">
            <v>168.6132997808476</v>
          </cell>
        </row>
        <row r="12">
          <cell r="B12" t="str">
            <v>LSAT Pretest</v>
          </cell>
          <cell r="C12" t="str">
            <v>LSAT Posttest</v>
          </cell>
          <cell r="BB12">
            <v>75</v>
          </cell>
          <cell r="BC12">
            <v>80</v>
          </cell>
          <cell r="BG12">
            <v>5.72</v>
          </cell>
          <cell r="BH12">
            <v>10.8</v>
          </cell>
          <cell r="BL12">
            <v>17</v>
          </cell>
          <cell r="BM12">
            <v>18</v>
          </cell>
          <cell r="BQ12">
            <v>155.79214196235108</v>
          </cell>
          <cell r="BR12">
            <v>160.64739314222453</v>
          </cell>
          <cell r="BV12">
            <v>158.49011389702039</v>
          </cell>
          <cell r="BW12">
            <v>162.12709241369856</v>
          </cell>
          <cell r="CA12">
            <v>161.04613253506699</v>
          </cell>
          <cell r="CB12">
            <v>171.33727879909347</v>
          </cell>
        </row>
        <row r="13">
          <cell r="B13">
            <v>13</v>
          </cell>
          <cell r="BB13">
            <v>64</v>
          </cell>
          <cell r="BC13">
            <v>69</v>
          </cell>
          <cell r="BG13">
            <v>6.21</v>
          </cell>
          <cell r="BH13">
            <v>11.4</v>
          </cell>
          <cell r="BL13">
            <v>14</v>
          </cell>
          <cell r="BM13">
            <v>13</v>
          </cell>
          <cell r="BQ13">
            <v>149.37834702587941</v>
          </cell>
          <cell r="BR13">
            <v>159.52677929941731</v>
          </cell>
          <cell r="BV13">
            <v>157.22340302687209</v>
          </cell>
          <cell r="BW13">
            <v>159.06378556034247</v>
          </cell>
          <cell r="CA13">
            <v>155.11448070411683</v>
          </cell>
          <cell r="CB13">
            <v>165.82308085087595</v>
          </cell>
        </row>
        <row r="14">
          <cell r="BB14">
            <v>72</v>
          </cell>
          <cell r="BC14">
            <v>76</v>
          </cell>
          <cell r="BG14">
            <v>3.15</v>
          </cell>
          <cell r="BH14">
            <v>24.6</v>
          </cell>
          <cell r="BL14">
            <v>9</v>
          </cell>
          <cell r="BM14">
            <v>10</v>
          </cell>
          <cell r="BQ14">
            <v>159.17163802319391</v>
          </cell>
          <cell r="BR14">
            <v>159.51665508883141</v>
          </cell>
          <cell r="BV14">
            <v>163.22289031215985</v>
          </cell>
          <cell r="BW14">
            <v>157.95990320125622</v>
          </cell>
          <cell r="CA14">
            <v>159.88413385260611</v>
          </cell>
          <cell r="CB14">
            <v>161.79905369435446</v>
          </cell>
        </row>
        <row r="15">
          <cell r="BB15">
            <v>77</v>
          </cell>
          <cell r="BC15">
            <v>78</v>
          </cell>
          <cell r="BG15">
            <v>0.67</v>
          </cell>
          <cell r="BH15">
            <v>18</v>
          </cell>
          <cell r="BL15">
            <v>6</v>
          </cell>
          <cell r="BM15">
            <v>10</v>
          </cell>
          <cell r="BQ15">
            <v>158.26200549536756</v>
          </cell>
          <cell r="BR15">
            <v>148.38322416607224</v>
          </cell>
          <cell r="BV15">
            <v>153.55602913248188</v>
          </cell>
          <cell r="BW15">
            <v>154.42650158593571</v>
          </cell>
          <cell r="CA15">
            <v>155.91669533896442</v>
          </cell>
          <cell r="CB15">
            <v>159.36912416378917</v>
          </cell>
        </row>
        <row r="16">
          <cell r="BB16">
            <v>53</v>
          </cell>
          <cell r="BC16">
            <v>77</v>
          </cell>
          <cell r="BG16">
            <v>2.3199999999999998</v>
          </cell>
          <cell r="BH16">
            <v>15.4</v>
          </cell>
          <cell r="BL16">
            <v>7</v>
          </cell>
          <cell r="BM16">
            <v>8</v>
          </cell>
          <cell r="BQ16">
            <v>161.65311764830727</v>
          </cell>
          <cell r="BR16">
            <v>161.37809097060514</v>
          </cell>
          <cell r="BV16">
            <v>152.14352443741254</v>
          </cell>
          <cell r="BW16">
            <v>154.44951568674387</v>
          </cell>
          <cell r="CA16">
            <v>156.11066575864447</v>
          </cell>
          <cell r="CB16">
            <v>160.2156450554474</v>
          </cell>
        </row>
        <row r="17">
          <cell r="BB17">
            <v>60</v>
          </cell>
          <cell r="BC17">
            <v>67</v>
          </cell>
          <cell r="BG17">
            <v>4.3099999999999996</v>
          </cell>
          <cell r="BH17">
            <v>-0.5</v>
          </cell>
          <cell r="BL17">
            <v>11</v>
          </cell>
          <cell r="BM17">
            <v>14</v>
          </cell>
          <cell r="BQ17">
            <v>157.42623717848647</v>
          </cell>
          <cell r="BR17">
            <v>166.05868801531699</v>
          </cell>
          <cell r="BV17">
            <v>152.32344733564915</v>
          </cell>
          <cell r="BW17">
            <v>159.7777281714562</v>
          </cell>
          <cell r="CA17">
            <v>149.80509198286683</v>
          </cell>
          <cell r="CB17">
            <v>160.23468738311138</v>
          </cell>
        </row>
        <row r="18">
          <cell r="BB18">
            <v>73</v>
          </cell>
          <cell r="BC18">
            <v>76</v>
          </cell>
          <cell r="BG18">
            <v>3.75</v>
          </cell>
          <cell r="BH18">
            <v>10</v>
          </cell>
          <cell r="BL18">
            <v>15</v>
          </cell>
          <cell r="BM18">
            <v>16</v>
          </cell>
          <cell r="BQ18">
            <v>155.80427769125021</v>
          </cell>
          <cell r="BR18">
            <v>165.33200517310877</v>
          </cell>
          <cell r="BV18">
            <v>156.78457075486631</v>
          </cell>
          <cell r="BW18">
            <v>166.70122194348403</v>
          </cell>
          <cell r="CA18">
            <v>147.52319043538651</v>
          </cell>
          <cell r="CB18">
            <v>168.87951833235402</v>
          </cell>
        </row>
        <row r="19">
          <cell r="BB19">
            <v>72</v>
          </cell>
          <cell r="BC19">
            <v>69</v>
          </cell>
          <cell r="BG19">
            <v>3.24</v>
          </cell>
          <cell r="BH19">
            <v>11.3</v>
          </cell>
          <cell r="BQ19">
            <v>154.8215851255118</v>
          </cell>
          <cell r="BR19">
            <v>156.84575159532289</v>
          </cell>
          <cell r="BV19">
            <v>161.69226194643079</v>
          </cell>
          <cell r="BW19">
            <v>168.05958977238703</v>
          </cell>
          <cell r="CA19">
            <v>167.11550721023852</v>
          </cell>
          <cell r="CB19">
            <v>162.96783132331444</v>
          </cell>
        </row>
        <row r="20">
          <cell r="BB20">
            <v>62</v>
          </cell>
          <cell r="BC20">
            <v>73</v>
          </cell>
          <cell r="BG20">
            <v>6.04</v>
          </cell>
          <cell r="BH20">
            <v>14.4</v>
          </cell>
          <cell r="BQ20">
            <v>162.68715013878884</v>
          </cell>
          <cell r="BR20">
            <v>162.92235203955858</v>
          </cell>
          <cell r="BV20">
            <v>162.97114078482187</v>
          </cell>
          <cell r="BW20">
            <v>155.92049592786191</v>
          </cell>
          <cell r="CA20">
            <v>154.31049365770497</v>
          </cell>
          <cell r="CB20">
            <v>163.90934613894598</v>
          </cell>
        </row>
        <row r="21">
          <cell r="BB21">
            <v>68</v>
          </cell>
          <cell r="BC21">
            <v>73</v>
          </cell>
          <cell r="BG21">
            <v>1.41</v>
          </cell>
          <cell r="BH21">
            <v>15.1</v>
          </cell>
          <cell r="BQ21">
            <v>153.91530117638575</v>
          </cell>
          <cell r="BR21">
            <v>160.29540315970348</v>
          </cell>
          <cell r="BV21">
            <v>150.27616641113724</v>
          </cell>
          <cell r="BW21">
            <v>161.87528319986666</v>
          </cell>
          <cell r="CA21">
            <v>165.70458534918822</v>
          </cell>
          <cell r="CB21">
            <v>169.75323099786996</v>
          </cell>
        </row>
        <row r="22">
          <cell r="BB22">
            <v>63</v>
          </cell>
          <cell r="BC22">
            <v>68</v>
          </cell>
          <cell r="BG22">
            <v>3.96</v>
          </cell>
          <cell r="BH22">
            <v>-15.4</v>
          </cell>
          <cell r="BQ22">
            <v>151.40767970109425</v>
          </cell>
          <cell r="BR22">
            <v>157.35187800500381</v>
          </cell>
          <cell r="BV22">
            <v>157.78638781551916</v>
          </cell>
          <cell r="BW22">
            <v>153.28598292164716</v>
          </cell>
          <cell r="CA22">
            <v>156.72301466387032</v>
          </cell>
          <cell r="CB22">
            <v>175.24620992942877</v>
          </cell>
        </row>
        <row r="23">
          <cell r="BB23">
            <v>69</v>
          </cell>
          <cell r="BC23">
            <v>70</v>
          </cell>
          <cell r="BG23">
            <v>1.66</v>
          </cell>
          <cell r="BH23">
            <v>47.7</v>
          </cell>
          <cell r="BQ23">
            <v>151.51831926355445</v>
          </cell>
          <cell r="BR23">
            <v>154.05425649854214</v>
          </cell>
          <cell r="BV23">
            <v>162.60065028882892</v>
          </cell>
          <cell r="BW23">
            <v>167.25691405818429</v>
          </cell>
          <cell r="CA23">
            <v>161.94684359188102</v>
          </cell>
          <cell r="CB23">
            <v>167.29239306006869</v>
          </cell>
        </row>
        <row r="24">
          <cell r="BB24">
            <v>71</v>
          </cell>
          <cell r="BC24">
            <v>81</v>
          </cell>
          <cell r="BG24">
            <v>2.66</v>
          </cell>
          <cell r="BH24">
            <v>15.2</v>
          </cell>
          <cell r="BQ24">
            <v>155.95711041668849</v>
          </cell>
          <cell r="BR24">
            <v>156.58880163001987</v>
          </cell>
          <cell r="BV24">
            <v>154.31558697632411</v>
          </cell>
          <cell r="BW24">
            <v>160.76735288767244</v>
          </cell>
          <cell r="CA24">
            <v>160.10521367356517</v>
          </cell>
          <cell r="CB24">
            <v>170.50962147502403</v>
          </cell>
        </row>
        <row r="25">
          <cell r="BB25">
            <v>70</v>
          </cell>
          <cell r="BC25">
            <v>70</v>
          </cell>
          <cell r="BG25">
            <v>4.21</v>
          </cell>
          <cell r="BH25">
            <v>11.3</v>
          </cell>
          <cell r="BQ25">
            <v>155.26873262251564</v>
          </cell>
          <cell r="BR25">
            <v>156.76091299572209</v>
          </cell>
          <cell r="BV25">
            <v>153.5236044233873</v>
          </cell>
          <cell r="BW25">
            <v>158.45114310585924</v>
          </cell>
          <cell r="CA25">
            <v>157.27270026382811</v>
          </cell>
          <cell r="CB25">
            <v>166.93373561899438</v>
          </cell>
        </row>
        <row r="26">
          <cell r="BB26">
            <v>70</v>
          </cell>
          <cell r="BC26">
            <v>76</v>
          </cell>
          <cell r="BG26">
            <v>4.54</v>
          </cell>
          <cell r="BH26">
            <v>1.1000000000000001</v>
          </cell>
          <cell r="BQ26">
            <v>151.85060404739568</v>
          </cell>
          <cell r="BR26">
            <v>152.57096367623771</v>
          </cell>
          <cell r="BV26">
            <v>155.28933297557299</v>
          </cell>
          <cell r="BW26">
            <v>157.51543791953856</v>
          </cell>
          <cell r="CA26">
            <v>155.30796496291106</v>
          </cell>
          <cell r="CB26">
            <v>163.1045232171343</v>
          </cell>
        </row>
        <row r="27">
          <cell r="BB27">
            <v>75</v>
          </cell>
          <cell r="BC27">
            <v>77</v>
          </cell>
          <cell r="BG27">
            <v>1.24</v>
          </cell>
          <cell r="BH27">
            <v>6.6</v>
          </cell>
          <cell r="BV27">
            <v>152.95329275088571</v>
          </cell>
          <cell r="BW27">
            <v>156.48495090007398</v>
          </cell>
          <cell r="CA27">
            <v>159.54377135721171</v>
          </cell>
          <cell r="CB27">
            <v>162.9509845019777</v>
          </cell>
        </row>
        <row r="28">
          <cell r="BB28">
            <v>71</v>
          </cell>
          <cell r="BC28">
            <v>75</v>
          </cell>
          <cell r="BV28">
            <v>160.36567043883062</v>
          </cell>
          <cell r="BW28">
            <v>164.06661116455996</v>
          </cell>
          <cell r="CA28">
            <v>159.38780197708985</v>
          </cell>
          <cell r="CB28">
            <v>157.36950118198479</v>
          </cell>
        </row>
        <row r="29">
          <cell r="BB29">
            <v>76</v>
          </cell>
          <cell r="BC29">
            <v>69</v>
          </cell>
          <cell r="BV29">
            <v>158.88146566083344</v>
          </cell>
          <cell r="BW29">
            <v>155.62816655911877</v>
          </cell>
          <cell r="CA29">
            <v>167.08921406268092</v>
          </cell>
          <cell r="CB29">
            <v>168.11944130648874</v>
          </cell>
        </row>
        <row r="30">
          <cell r="BB30">
            <v>64</v>
          </cell>
          <cell r="BC30">
            <v>77</v>
          </cell>
          <cell r="BV30">
            <v>154.94590871295784</v>
          </cell>
          <cell r="BW30">
            <v>167.52571783494687</v>
          </cell>
          <cell r="CA30">
            <v>156.30124080416019</v>
          </cell>
          <cell r="CB30">
            <v>168.71163484327661</v>
          </cell>
        </row>
        <row r="31">
          <cell r="BB31">
            <v>70</v>
          </cell>
          <cell r="BC31">
            <v>70</v>
          </cell>
          <cell r="BV31">
            <v>152.28703565469414</v>
          </cell>
          <cell r="BW31">
            <v>154.94326798606735</v>
          </cell>
          <cell r="CA31">
            <v>160.70699081656591</v>
          </cell>
          <cell r="CB31">
            <v>167.01277305279092</v>
          </cell>
        </row>
        <row r="32">
          <cell r="BB32">
            <v>65</v>
          </cell>
          <cell r="BC32">
            <v>76</v>
          </cell>
          <cell r="BV32">
            <v>150.50055769064764</v>
          </cell>
          <cell r="BW32">
            <v>161.11219987870561</v>
          </cell>
          <cell r="CA32">
            <v>160.38201139894173</v>
          </cell>
          <cell r="CB32">
            <v>164.55772610089593</v>
          </cell>
        </row>
        <row r="33">
          <cell r="BB33">
            <v>75</v>
          </cell>
          <cell r="BC33">
            <v>65</v>
          </cell>
          <cell r="BV33">
            <v>151.60578036527619</v>
          </cell>
          <cell r="BW33">
            <v>159.0327116027201</v>
          </cell>
          <cell r="CA33">
            <v>162.53408064375247</v>
          </cell>
          <cell r="CB33">
            <v>169.1301056929467</v>
          </cell>
        </row>
        <row r="34">
          <cell r="BB34">
            <v>66</v>
          </cell>
          <cell r="BC34">
            <v>64</v>
          </cell>
          <cell r="BV34">
            <v>150.97134488578573</v>
          </cell>
          <cell r="BW34">
            <v>160.24596547208969</v>
          </cell>
          <cell r="CA34">
            <v>157.14627355266882</v>
          </cell>
          <cell r="CB34">
            <v>159.90222763734084</v>
          </cell>
        </row>
        <row r="35">
          <cell r="BB35">
            <v>70</v>
          </cell>
          <cell r="BC35">
            <v>72</v>
          </cell>
          <cell r="BV35">
            <v>155.35519957833671</v>
          </cell>
          <cell r="BW35">
            <v>158.5013975383732</v>
          </cell>
          <cell r="CA35">
            <v>160.29189582950693</v>
          </cell>
          <cell r="CB35">
            <v>174.23032813324068</v>
          </cell>
        </row>
        <row r="36">
          <cell r="BB36">
            <v>70</v>
          </cell>
          <cell r="BC36">
            <v>71</v>
          </cell>
          <cell r="BV36">
            <v>162.43109243604661</v>
          </cell>
          <cell r="BW36">
            <v>164.64866472156083</v>
          </cell>
          <cell r="CA36">
            <v>152.92365722575636</v>
          </cell>
          <cell r="CB36">
            <v>164.67577212055011</v>
          </cell>
        </row>
        <row r="37">
          <cell r="BB37">
            <v>64</v>
          </cell>
          <cell r="BC37">
            <v>63</v>
          </cell>
          <cell r="BV37">
            <v>155.66293326544397</v>
          </cell>
          <cell r="BW37">
            <v>157.17898495925263</v>
          </cell>
          <cell r="CA37">
            <v>154.05182298973625</v>
          </cell>
          <cell r="CB37">
            <v>159.87165000484524</v>
          </cell>
        </row>
        <row r="38">
          <cell r="BB38">
            <v>72</v>
          </cell>
          <cell r="BC38">
            <v>78</v>
          </cell>
          <cell r="BV38">
            <v>154.99876819759632</v>
          </cell>
          <cell r="BW38">
            <v>149.05266142401052</v>
          </cell>
          <cell r="CA38">
            <v>157.5526198731321</v>
          </cell>
          <cell r="CB38">
            <v>163.93933066411506</v>
          </cell>
        </row>
        <row r="39">
          <cell r="BB39">
            <v>63</v>
          </cell>
          <cell r="BC39">
            <v>71</v>
          </cell>
          <cell r="BV39">
            <v>143.39043258800581</v>
          </cell>
          <cell r="BW39">
            <v>146.84501372987538</v>
          </cell>
          <cell r="CA39">
            <v>158.97777500477397</v>
          </cell>
          <cell r="CB39">
            <v>163.67536413307258</v>
          </cell>
        </row>
        <row r="40">
          <cell r="BB40">
            <v>68</v>
          </cell>
          <cell r="BC40">
            <v>77</v>
          </cell>
          <cell r="BV40">
            <v>153.55034693151464</v>
          </cell>
          <cell r="BW40">
            <v>148.0463891574488</v>
          </cell>
          <cell r="CA40">
            <v>166.30938866952863</v>
          </cell>
          <cell r="CB40">
            <v>171.53681271556286</v>
          </cell>
        </row>
        <row r="41">
          <cell r="BB41">
            <v>64</v>
          </cell>
          <cell r="BC41">
            <v>67</v>
          </cell>
          <cell r="BV41">
            <v>152.16030795799344</v>
          </cell>
          <cell r="BW41">
            <v>159.69427902673328</v>
          </cell>
          <cell r="CA41">
            <v>155.0693396213575</v>
          </cell>
          <cell r="CB41">
            <v>168.76204655151992</v>
          </cell>
        </row>
        <row r="42">
          <cell r="BB42">
            <v>61</v>
          </cell>
          <cell r="BC42">
            <v>66</v>
          </cell>
          <cell r="BV42">
            <v>150.06874918987893</v>
          </cell>
          <cell r="BW42">
            <v>156.93740492141993</v>
          </cell>
          <cell r="CA42">
            <v>159.18051795929935</v>
          </cell>
          <cell r="CB42">
            <v>164.69767862382727</v>
          </cell>
        </row>
        <row r="43">
          <cell r="BB43">
            <v>63</v>
          </cell>
          <cell r="BC43">
            <v>73</v>
          </cell>
          <cell r="BV43">
            <v>154.49534201947844</v>
          </cell>
          <cell r="BW43">
            <v>161.36540161420299</v>
          </cell>
          <cell r="CA43">
            <v>163.37161623614762</v>
          </cell>
          <cell r="CB43">
            <v>169.77213053658468</v>
          </cell>
        </row>
        <row r="44">
          <cell r="BB44">
            <v>76</v>
          </cell>
          <cell r="BC44">
            <v>75</v>
          </cell>
          <cell r="BV44">
            <v>152.36761014547272</v>
          </cell>
          <cell r="BW44">
            <v>155.86815924628232</v>
          </cell>
          <cell r="CA44">
            <v>160.01249006649118</v>
          </cell>
          <cell r="CB44">
            <v>156.83367022942809</v>
          </cell>
        </row>
        <row r="45">
          <cell r="BB45">
            <v>71</v>
          </cell>
          <cell r="BC45">
            <v>75</v>
          </cell>
          <cell r="BV45">
            <v>168.48002691348671</v>
          </cell>
          <cell r="BW45">
            <v>165.61467859298267</v>
          </cell>
          <cell r="CA45">
            <v>149.13638726280243</v>
          </cell>
          <cell r="CB45">
            <v>158.8560404399723</v>
          </cell>
        </row>
        <row r="46">
          <cell r="BV46">
            <v>153.60555385313427</v>
          </cell>
          <cell r="BW46">
            <v>161.10224148733187</v>
          </cell>
          <cell r="CA46">
            <v>151.73934311463694</v>
          </cell>
          <cell r="CB46">
            <v>159.92161652101845</v>
          </cell>
        </row>
        <row r="47">
          <cell r="BV47">
            <v>155.54922663507045</v>
          </cell>
          <cell r="BW47">
            <v>155.06544498858972</v>
          </cell>
          <cell r="CA47">
            <v>156.42691541227524</v>
          </cell>
          <cell r="CB47">
            <v>165.98197790539894</v>
          </cell>
        </row>
        <row r="48">
          <cell r="BV48">
            <v>151.54321080848769</v>
          </cell>
          <cell r="BW48">
            <v>161.20821534004563</v>
          </cell>
          <cell r="CA48">
            <v>158.10122882553657</v>
          </cell>
          <cell r="CB48">
            <v>167.26249776516559</v>
          </cell>
        </row>
        <row r="49">
          <cell r="BV49">
            <v>152.72635094331145</v>
          </cell>
          <cell r="BW49">
            <v>159.72679676677575</v>
          </cell>
          <cell r="CA49">
            <v>157.08211394874897</v>
          </cell>
          <cell r="CB49">
            <v>168.2612852570297</v>
          </cell>
        </row>
        <row r="50">
          <cell r="BV50">
            <v>152.45266941836866</v>
          </cell>
          <cell r="BW50">
            <v>158.78760357891596</v>
          </cell>
          <cell r="CA50">
            <v>157.27741402694335</v>
          </cell>
          <cell r="CB50">
            <v>168.87416164822579</v>
          </cell>
        </row>
        <row r="51">
          <cell r="BV51">
            <v>156.58825248097779</v>
          </cell>
          <cell r="BW51">
            <v>159.12741137623308</v>
          </cell>
          <cell r="CA51">
            <v>156.65300871064778</v>
          </cell>
          <cell r="CB51">
            <v>165.10052708103322</v>
          </cell>
        </row>
        <row r="52">
          <cell r="BV52">
            <v>154.02791292662309</v>
          </cell>
          <cell r="BW52">
            <v>164.55885780705995</v>
          </cell>
          <cell r="CA52">
            <v>156.76487594969083</v>
          </cell>
          <cell r="CB52">
            <v>164.44978812481446</v>
          </cell>
        </row>
        <row r="53">
          <cell r="BV53">
            <v>154.48749253141744</v>
          </cell>
          <cell r="BW53">
            <v>160.41270598248653</v>
          </cell>
          <cell r="CA53">
            <v>155.18649671792693</v>
          </cell>
          <cell r="CB53">
            <v>166.43485445790984</v>
          </cell>
        </row>
        <row r="54">
          <cell r="BV54">
            <v>152.88544234025653</v>
          </cell>
          <cell r="BW54">
            <v>156.53757824803088</v>
          </cell>
          <cell r="CA54">
            <v>153.85958581833626</v>
          </cell>
          <cell r="CB54">
            <v>158.87871049116936</v>
          </cell>
        </row>
        <row r="55">
          <cell r="BV55">
            <v>153.802716109936</v>
          </cell>
          <cell r="BW55">
            <v>165.95897282089675</v>
          </cell>
          <cell r="CA55">
            <v>159.00259229881775</v>
          </cell>
          <cell r="CB55">
            <v>165.19493989294466</v>
          </cell>
        </row>
        <row r="56">
          <cell r="BV56">
            <v>156.59780075402205</v>
          </cell>
          <cell r="BW56">
            <v>161.68349400396974</v>
          </cell>
          <cell r="CA56">
            <v>164.16477042565413</v>
          </cell>
          <cell r="CB56">
            <v>172.12479221983858</v>
          </cell>
        </row>
        <row r="57">
          <cell r="BV57">
            <v>157.87920406900807</v>
          </cell>
          <cell r="BW57">
            <v>156.87622880225993</v>
          </cell>
          <cell r="CA57">
            <v>156.2630350640089</v>
          </cell>
          <cell r="CB57">
            <v>169.47850575063435</v>
          </cell>
        </row>
        <row r="58">
          <cell r="BV58">
            <v>163.57455831388677</v>
          </cell>
          <cell r="BW58">
            <v>161.55638179065943</v>
          </cell>
          <cell r="CA58">
            <v>152.68610460535393</v>
          </cell>
          <cell r="CB58">
            <v>162.67020543865777</v>
          </cell>
        </row>
        <row r="59">
          <cell r="BV59">
            <v>163.04357406149583</v>
          </cell>
          <cell r="BW59">
            <v>160.90080288395222</v>
          </cell>
          <cell r="CA59">
            <v>146.10377174416448</v>
          </cell>
          <cell r="CB59">
            <v>165.06780767941729</v>
          </cell>
        </row>
        <row r="60">
          <cell r="BV60">
            <v>153.06303223790394</v>
          </cell>
          <cell r="BW60">
            <v>160.55152484925509</v>
          </cell>
          <cell r="CA60">
            <v>153.46798466373957</v>
          </cell>
          <cell r="CB60">
            <v>170.32425039350116</v>
          </cell>
        </row>
        <row r="61">
          <cell r="BV61">
            <v>152.41899493414078</v>
          </cell>
          <cell r="BW61">
            <v>164.42339841621089</v>
          </cell>
          <cell r="CA61">
            <v>155.55582035823841</v>
          </cell>
          <cell r="CB61">
            <v>156.84620455185762</v>
          </cell>
        </row>
        <row r="62">
          <cell r="BV62">
            <v>163.63800946338213</v>
          </cell>
          <cell r="BW62">
            <v>164.52598418705321</v>
          </cell>
          <cell r="CA62">
            <v>153.30891968566033</v>
          </cell>
          <cell r="CB62">
            <v>165.18089886860608</v>
          </cell>
        </row>
        <row r="63">
          <cell r="BV63">
            <v>160.78364270958389</v>
          </cell>
          <cell r="BW63">
            <v>160.66671288847138</v>
          </cell>
          <cell r="CA63">
            <v>153.08678883270568</v>
          </cell>
          <cell r="CB63">
            <v>166.78827633899664</v>
          </cell>
        </row>
        <row r="64">
          <cell r="BV64">
            <v>158.40583049991361</v>
          </cell>
          <cell r="BW64">
            <v>157.9829036565321</v>
          </cell>
          <cell r="CA64">
            <v>152.60234388997011</v>
          </cell>
          <cell r="CB64">
            <v>174.63681573000639</v>
          </cell>
        </row>
        <row r="65">
          <cell r="BV65">
            <v>152.52150908098434</v>
          </cell>
          <cell r="BW65">
            <v>154.97319583165236</v>
          </cell>
          <cell r="CA65">
            <v>160.49886188765242</v>
          </cell>
          <cell r="CB65">
            <v>171.84064132325744</v>
          </cell>
        </row>
        <row r="66">
          <cell r="BV66">
            <v>150.12704491734854</v>
          </cell>
          <cell r="BW66">
            <v>155.74321067322862</v>
          </cell>
          <cell r="CA66">
            <v>156.22869252796372</v>
          </cell>
          <cell r="CB66">
            <v>169.60712650038346</v>
          </cell>
        </row>
        <row r="67">
          <cell r="BV67">
            <v>166.21092893671829</v>
          </cell>
          <cell r="BW67">
            <v>164.34403258063872</v>
          </cell>
          <cell r="CA67">
            <v>165.37192098005701</v>
          </cell>
          <cell r="CB67">
            <v>164.11676215721778</v>
          </cell>
        </row>
        <row r="68">
          <cell r="BV68">
            <v>156.86068649928151</v>
          </cell>
          <cell r="BW68">
            <v>165.5855201393297</v>
          </cell>
          <cell r="CA68">
            <v>155.16201047224874</v>
          </cell>
          <cell r="CB68">
            <v>161.08580390641748</v>
          </cell>
        </row>
        <row r="69">
          <cell r="BV69">
            <v>158.09892350844098</v>
          </cell>
          <cell r="BW69">
            <v>160.55664543550529</v>
          </cell>
          <cell r="CA69">
            <v>167.17037236610722</v>
          </cell>
          <cell r="CB69">
            <v>168.90931472910557</v>
          </cell>
        </row>
        <row r="70">
          <cell r="BV70">
            <v>155.87641202450504</v>
          </cell>
          <cell r="BW70">
            <v>157.80018280731409</v>
          </cell>
          <cell r="CA70">
            <v>165.38224092229694</v>
          </cell>
          <cell r="CB70">
            <v>165.35687192853587</v>
          </cell>
        </row>
        <row r="71">
          <cell r="BV71">
            <v>158.50894933646148</v>
          </cell>
          <cell r="BW71">
            <v>166.65042974150816</v>
          </cell>
          <cell r="CA71">
            <v>159.31048637216693</v>
          </cell>
          <cell r="CB71">
            <v>165.59563857610945</v>
          </cell>
        </row>
        <row r="72">
          <cell r="BV72">
            <v>154.5653220365887</v>
          </cell>
          <cell r="BW72">
            <v>163.11497427450786</v>
          </cell>
          <cell r="CA72">
            <v>162.10285487981173</v>
          </cell>
          <cell r="CB72">
            <v>158.73103292804166</v>
          </cell>
        </row>
        <row r="73">
          <cell r="BV73">
            <v>154.71206748926923</v>
          </cell>
          <cell r="BW73">
            <v>159.10626124156585</v>
          </cell>
          <cell r="CA73">
            <v>158.13083430431109</v>
          </cell>
          <cell r="CB73">
            <v>162.52158643427384</v>
          </cell>
        </row>
        <row r="74">
          <cell r="BV74">
            <v>151.93327023896703</v>
          </cell>
          <cell r="BW74">
            <v>157.61963472827961</v>
          </cell>
          <cell r="CA74">
            <v>154.77555713784858</v>
          </cell>
          <cell r="CB74">
            <v>162.15764817119532</v>
          </cell>
        </row>
        <row r="75">
          <cell r="BV75">
            <v>158.62300659114894</v>
          </cell>
          <cell r="BW75">
            <v>161.54511898471094</v>
          </cell>
          <cell r="CA75">
            <v>163.97060503637587</v>
          </cell>
          <cell r="CB75">
            <v>169.18257164237752</v>
          </cell>
        </row>
        <row r="76">
          <cell r="BV76">
            <v>152.71041021526321</v>
          </cell>
          <cell r="BW76">
            <v>162.26463022789525</v>
          </cell>
          <cell r="CA76">
            <v>157.99856158709247</v>
          </cell>
          <cell r="CB76">
            <v>167.53150816240705</v>
          </cell>
        </row>
        <row r="77">
          <cell r="BV77">
            <v>152.78223130877586</v>
          </cell>
          <cell r="BW77">
            <v>154.05398448348123</v>
          </cell>
          <cell r="CA77">
            <v>159.27943131913861</v>
          </cell>
          <cell r="CB77">
            <v>169.39201234200496</v>
          </cell>
        </row>
        <row r="78">
          <cell r="BV78">
            <v>157.15150782702068</v>
          </cell>
          <cell r="BW78">
            <v>159.34014630431662</v>
          </cell>
          <cell r="CA78">
            <v>164.02604779436862</v>
          </cell>
          <cell r="CB78">
            <v>172.60887229552964</v>
          </cell>
        </row>
        <row r="79">
          <cell r="BV79">
            <v>150.62218154427708</v>
          </cell>
          <cell r="BW79">
            <v>155.79423892362271</v>
          </cell>
          <cell r="CA79">
            <v>163.81240523849655</v>
          </cell>
          <cell r="CB79">
            <v>167.01123209761514</v>
          </cell>
        </row>
        <row r="80">
          <cell r="BV80">
            <v>163.92368017440899</v>
          </cell>
          <cell r="BW80">
            <v>160.2486137629042</v>
          </cell>
          <cell r="CA80">
            <v>164.1835750914143</v>
          </cell>
          <cell r="CB80">
            <v>167.89290563614452</v>
          </cell>
        </row>
        <row r="81">
          <cell r="BV81">
            <v>164.94590442514257</v>
          </cell>
          <cell r="BW81">
            <v>157.76200489858695</v>
          </cell>
          <cell r="CA81">
            <v>157.02730872444263</v>
          </cell>
          <cell r="CB81">
            <v>168.70315984679371</v>
          </cell>
        </row>
        <row r="82">
          <cell r="BV82">
            <v>149.94524649607143</v>
          </cell>
          <cell r="BW82">
            <v>154.85286150983683</v>
          </cell>
          <cell r="CA82">
            <v>158.02241294582686</v>
          </cell>
          <cell r="CB82">
            <v>164.25342684842437</v>
          </cell>
        </row>
        <row r="83">
          <cell r="BV83">
            <v>156.74232182771087</v>
          </cell>
          <cell r="BW83">
            <v>166.36154143873478</v>
          </cell>
          <cell r="CA83">
            <v>151.51041316434802</v>
          </cell>
          <cell r="CB83">
            <v>169.29933864782984</v>
          </cell>
        </row>
        <row r="84">
          <cell r="BV84">
            <v>161.8354471635904</v>
          </cell>
          <cell r="BW84">
            <v>164.35768151653446</v>
          </cell>
          <cell r="CA84">
            <v>152.01408004772048</v>
          </cell>
          <cell r="CB84">
            <v>171.68793389516867</v>
          </cell>
        </row>
        <row r="85">
          <cell r="BV85">
            <v>150.37412676377215</v>
          </cell>
          <cell r="BW85">
            <v>154.66477266466637</v>
          </cell>
          <cell r="CA85">
            <v>150.50542520645527</v>
          </cell>
          <cell r="CB85">
            <v>165.88264653901393</v>
          </cell>
        </row>
        <row r="86">
          <cell r="BV86">
            <v>154.77915925515211</v>
          </cell>
          <cell r="BW86">
            <v>165.34296425592436</v>
          </cell>
          <cell r="CA86">
            <v>166.51313196479006</v>
          </cell>
          <cell r="CB86">
            <v>159.59428913827028</v>
          </cell>
        </row>
        <row r="87">
          <cell r="BV87">
            <v>162.52686358315725</v>
          </cell>
          <cell r="BW87">
            <v>163.36506522448423</v>
          </cell>
          <cell r="CA87">
            <v>157.52004385586895</v>
          </cell>
          <cell r="CB87">
            <v>173.48786132863003</v>
          </cell>
        </row>
        <row r="88">
          <cell r="BV88">
            <v>150.66711260237125</v>
          </cell>
          <cell r="BW88">
            <v>156.78540431612876</v>
          </cell>
          <cell r="CA88">
            <v>167.61696696005731</v>
          </cell>
          <cell r="CB88">
            <v>167.82333110692795</v>
          </cell>
        </row>
        <row r="89">
          <cell r="BV89">
            <v>153.22436394674892</v>
          </cell>
          <cell r="BW89">
            <v>155.85610150119211</v>
          </cell>
          <cell r="CA89">
            <v>158.37965317092775</v>
          </cell>
          <cell r="CB89">
            <v>168.09753062361807</v>
          </cell>
        </row>
        <row r="90">
          <cell r="BV90">
            <v>152.61154050873753</v>
          </cell>
          <cell r="BW90">
            <v>156.54694132625414</v>
          </cell>
          <cell r="CA90">
            <v>154.66677923262256</v>
          </cell>
          <cell r="CB90">
            <v>161.52278424722201</v>
          </cell>
        </row>
        <row r="91">
          <cell r="BV91">
            <v>156.4118284760174</v>
          </cell>
          <cell r="BW91">
            <v>155.54957010769851</v>
          </cell>
          <cell r="CA91">
            <v>155.3274297255457</v>
          </cell>
          <cell r="CB91">
            <v>162.227205548537</v>
          </cell>
        </row>
        <row r="92">
          <cell r="BV92">
            <v>155.70843989244881</v>
          </cell>
          <cell r="BW92">
            <v>162.46269248465728</v>
          </cell>
          <cell r="CA92">
            <v>165.07320446835891</v>
          </cell>
          <cell r="CB92">
            <v>165.88705319927163</v>
          </cell>
        </row>
        <row r="93">
          <cell r="BV93">
            <v>161.75700611813886</v>
          </cell>
          <cell r="BW93">
            <v>166.7310222101554</v>
          </cell>
          <cell r="CA93">
            <v>160.85710077510271</v>
          </cell>
          <cell r="CB93">
            <v>170.92998173397328</v>
          </cell>
        </row>
        <row r="94">
          <cell r="BV94">
            <v>157.15882421701178</v>
          </cell>
          <cell r="BW94">
            <v>159.30789245028882</v>
          </cell>
          <cell r="CA94">
            <v>158.67099384693188</v>
          </cell>
          <cell r="CB94">
            <v>162.79777457470087</v>
          </cell>
        </row>
        <row r="95">
          <cell r="BV95">
            <v>151.92999577491796</v>
          </cell>
          <cell r="BW95">
            <v>149.313910538241</v>
          </cell>
          <cell r="CA95">
            <v>155.83889999793806</v>
          </cell>
          <cell r="CB95">
            <v>166.04578722774326</v>
          </cell>
        </row>
        <row r="96">
          <cell r="BV96">
            <v>153.01010258364335</v>
          </cell>
          <cell r="BW96">
            <v>159.77962370947114</v>
          </cell>
          <cell r="CA96">
            <v>150.82910217624834</v>
          </cell>
          <cell r="CB96">
            <v>162.33459049413619</v>
          </cell>
        </row>
        <row r="97">
          <cell r="BV97">
            <v>152.28127757369856</v>
          </cell>
          <cell r="BW97">
            <v>157.16120504339247</v>
          </cell>
          <cell r="CA97">
            <v>157.1710013856891</v>
          </cell>
          <cell r="CB97">
            <v>170.94030508753488</v>
          </cell>
        </row>
        <row r="98">
          <cell r="BV98">
            <v>156.37825369878124</v>
          </cell>
          <cell r="BW98">
            <v>159.34916747832591</v>
          </cell>
          <cell r="CA98">
            <v>153.34054678706059</v>
          </cell>
          <cell r="CB98">
            <v>164.72521309305</v>
          </cell>
        </row>
        <row r="99">
          <cell r="BV99">
            <v>149.53665848986338</v>
          </cell>
          <cell r="BW99">
            <v>155.71293970467138</v>
          </cell>
          <cell r="CA99">
            <v>160.7428902898462</v>
          </cell>
          <cell r="CB99">
            <v>171.53789816829985</v>
          </cell>
        </row>
        <row r="100">
          <cell r="BV100">
            <v>157.12961629164141</v>
          </cell>
          <cell r="BW100">
            <v>156.94778636046001</v>
          </cell>
          <cell r="CA100">
            <v>153.90397515039069</v>
          </cell>
          <cell r="CB100">
            <v>167.24495120164838</v>
          </cell>
        </row>
        <row r="101">
          <cell r="BV101">
            <v>157.21983177557456</v>
          </cell>
          <cell r="BW101">
            <v>164.83522550545516</v>
          </cell>
          <cell r="CA101">
            <v>156.73491219533003</v>
          </cell>
          <cell r="CB101">
            <v>163.83956983356393</v>
          </cell>
        </row>
        <row r="102">
          <cell r="BV102">
            <v>153.65314014911129</v>
          </cell>
          <cell r="BW102">
            <v>153.258971622704</v>
          </cell>
          <cell r="CA102">
            <v>159.17750703307379</v>
          </cell>
          <cell r="CB102">
            <v>164.38922958458815</v>
          </cell>
        </row>
        <row r="103">
          <cell r="BV103">
            <v>159.83971310975636</v>
          </cell>
          <cell r="BW103">
            <v>160.35124932067305</v>
          </cell>
          <cell r="CA103">
            <v>167.20051346853822</v>
          </cell>
          <cell r="CB103">
            <v>167.85260101719135</v>
          </cell>
        </row>
        <row r="104">
          <cell r="BV104">
            <v>150.32256737341464</v>
          </cell>
          <cell r="BW104">
            <v>161.03722919733409</v>
          </cell>
          <cell r="CA104">
            <v>161.21508684909216</v>
          </cell>
          <cell r="CB104">
            <v>161.98820213336421</v>
          </cell>
        </row>
        <row r="105">
          <cell r="BV105">
            <v>150.41751634263852</v>
          </cell>
          <cell r="BW105">
            <v>151.11854219822328</v>
          </cell>
          <cell r="CA105">
            <v>154.40585259955867</v>
          </cell>
          <cell r="CB105">
            <v>166.78903921862766</v>
          </cell>
        </row>
        <row r="106">
          <cell r="BV106">
            <v>154.34766552980867</v>
          </cell>
          <cell r="BW106">
            <v>168.8774801195627</v>
          </cell>
          <cell r="CA106">
            <v>157.18731079937223</v>
          </cell>
          <cell r="CB106">
            <v>162.94679791878062</v>
          </cell>
        </row>
        <row r="107">
          <cell r="BV107">
            <v>152.32708794658396</v>
          </cell>
          <cell r="BW107">
            <v>158.89366251576362</v>
          </cell>
          <cell r="CA107">
            <v>150.19656892813441</v>
          </cell>
          <cell r="CB107">
            <v>156.03153040773111</v>
          </cell>
        </row>
        <row r="108">
          <cell r="BV108">
            <v>152.71100381889696</v>
          </cell>
          <cell r="BW108">
            <v>157.98118892067356</v>
          </cell>
          <cell r="CA108">
            <v>161.5225897563881</v>
          </cell>
          <cell r="CB108">
            <v>161.43452651305728</v>
          </cell>
        </row>
        <row r="109">
          <cell r="BV109">
            <v>162.27568589238624</v>
          </cell>
          <cell r="BW109">
            <v>160.8251239909597</v>
          </cell>
          <cell r="CA109">
            <v>157.62949006383835</v>
          </cell>
          <cell r="CB109">
            <v>170.29861264500536</v>
          </cell>
        </row>
        <row r="110">
          <cell r="BV110">
            <v>152.64169023309461</v>
          </cell>
          <cell r="BW110">
            <v>158.72393840872365</v>
          </cell>
          <cell r="CA110">
            <v>157.86064117314626</v>
          </cell>
          <cell r="CB110">
            <v>169.06092786331817</v>
          </cell>
        </row>
        <row r="111">
          <cell r="BV111">
            <v>161.0432951484805</v>
          </cell>
          <cell r="BW111">
            <v>163.23613916769995</v>
          </cell>
          <cell r="CA111">
            <v>155.95574138752912</v>
          </cell>
          <cell r="CB111">
            <v>164.72410129446425</v>
          </cell>
        </row>
        <row r="112">
          <cell r="BV112">
            <v>167.9598052518254</v>
          </cell>
          <cell r="BW112">
            <v>170.52727513696158</v>
          </cell>
          <cell r="CA112">
            <v>144.84087664919537</v>
          </cell>
          <cell r="CB112">
            <v>162.29468589604289</v>
          </cell>
        </row>
        <row r="113">
          <cell r="BV113">
            <v>161.21949786203183</v>
          </cell>
          <cell r="BW113">
            <v>159.37886189323112</v>
          </cell>
          <cell r="CA113">
            <v>158.47348813024988</v>
          </cell>
          <cell r="CB113">
            <v>170.32835881804914</v>
          </cell>
        </row>
        <row r="114">
          <cell r="BV114">
            <v>158.39685006704212</v>
          </cell>
          <cell r="BW114">
            <v>163.80559948737826</v>
          </cell>
          <cell r="CA114">
            <v>160.56173857762212</v>
          </cell>
          <cell r="CB114">
            <v>163.08487046052957</v>
          </cell>
        </row>
        <row r="115">
          <cell r="BV115">
            <v>154.85052415060031</v>
          </cell>
          <cell r="BW115">
            <v>162.01936490600383</v>
          </cell>
          <cell r="CA115">
            <v>158.95701089141932</v>
          </cell>
          <cell r="CB115">
            <v>170.41904035723644</v>
          </cell>
        </row>
        <row r="116">
          <cell r="BV116">
            <v>144.97184534599381</v>
          </cell>
          <cell r="BW116">
            <v>155.57918607550255</v>
          </cell>
          <cell r="CA116">
            <v>163.62737179988511</v>
          </cell>
          <cell r="CB116">
            <v>167.20754500592699</v>
          </cell>
        </row>
        <row r="117">
          <cell r="BV117">
            <v>161.71596489675957</v>
          </cell>
          <cell r="BW117">
            <v>162.63811084417122</v>
          </cell>
          <cell r="CA117">
            <v>161.83933590702847</v>
          </cell>
          <cell r="CB117">
            <v>164.12669653904914</v>
          </cell>
        </row>
        <row r="118">
          <cell r="BV118">
            <v>156.63076874718925</v>
          </cell>
          <cell r="BW118">
            <v>153.37589246115854</v>
          </cell>
          <cell r="CA118">
            <v>152.92002372038249</v>
          </cell>
          <cell r="CB118">
            <v>162.23805784298247</v>
          </cell>
        </row>
        <row r="119">
          <cell r="BV119">
            <v>150.33147996592484</v>
          </cell>
          <cell r="BW119">
            <v>149.82858085288694</v>
          </cell>
          <cell r="CA119">
            <v>165.45258119078355</v>
          </cell>
          <cell r="CB119">
            <v>169.08785691205182</v>
          </cell>
        </row>
        <row r="120">
          <cell r="BV120">
            <v>157.98876806905037</v>
          </cell>
          <cell r="BW120">
            <v>164.95092049812615</v>
          </cell>
          <cell r="CA120">
            <v>156.83500909245922</v>
          </cell>
          <cell r="CB120">
            <v>161.57656487522289</v>
          </cell>
        </row>
        <row r="121">
          <cell r="BV121">
            <v>159.20080294044396</v>
          </cell>
          <cell r="BW121">
            <v>160.66543217705822</v>
          </cell>
          <cell r="CA121">
            <v>157.25172352074301</v>
          </cell>
          <cell r="CB121">
            <v>168.46617769875076</v>
          </cell>
        </row>
        <row r="122">
          <cell r="BV122">
            <v>162.00514638500644</v>
          </cell>
          <cell r="BW122">
            <v>159.79938086061563</v>
          </cell>
          <cell r="CA122">
            <v>152.14561247546834</v>
          </cell>
          <cell r="CB122">
            <v>164.50844862224164</v>
          </cell>
        </row>
        <row r="123">
          <cell r="BV123">
            <v>157.37047857995441</v>
          </cell>
          <cell r="BW123">
            <v>160.96143499463381</v>
          </cell>
          <cell r="CA123">
            <v>168.81150358146547</v>
          </cell>
          <cell r="CB123">
            <v>169.39504602080962</v>
          </cell>
        </row>
        <row r="124">
          <cell r="BV124">
            <v>162.5101228140721</v>
          </cell>
          <cell r="BW124">
            <v>160.45453006910068</v>
          </cell>
          <cell r="CA124">
            <v>155.75173783906214</v>
          </cell>
          <cell r="CB124">
            <v>154.13285324037099</v>
          </cell>
        </row>
        <row r="125">
          <cell r="BV125">
            <v>150.43000471360406</v>
          </cell>
          <cell r="BW125">
            <v>153.2143586287664</v>
          </cell>
          <cell r="CA125">
            <v>160.2889289245239</v>
          </cell>
          <cell r="CB125">
            <v>164.27076956590389</v>
          </cell>
        </row>
        <row r="126">
          <cell r="BV126">
            <v>161.90882867271634</v>
          </cell>
          <cell r="BW126">
            <v>156.52600284701199</v>
          </cell>
          <cell r="CA126">
            <v>145.10471901476748</v>
          </cell>
          <cell r="CB126">
            <v>161.85845204334314</v>
          </cell>
        </row>
        <row r="127">
          <cell r="BV127">
            <v>161.41030382446547</v>
          </cell>
          <cell r="BW127">
            <v>165.39208284948711</v>
          </cell>
          <cell r="CA127">
            <v>160.84880911710255</v>
          </cell>
          <cell r="CB127">
            <v>169.23686145305481</v>
          </cell>
        </row>
        <row r="128">
          <cell r="BV128">
            <v>154.81164932044763</v>
          </cell>
          <cell r="BW128">
            <v>160.38592530947389</v>
          </cell>
          <cell r="CA128">
            <v>169.60584922662636</v>
          </cell>
          <cell r="CB128">
            <v>175.48346665869778</v>
          </cell>
        </row>
        <row r="129">
          <cell r="BV129">
            <v>157.86415337560788</v>
          </cell>
          <cell r="BW129">
            <v>164.56212224019973</v>
          </cell>
          <cell r="CA129">
            <v>158.57872741019523</v>
          </cell>
          <cell r="CB129">
            <v>161.07962853095938</v>
          </cell>
        </row>
        <row r="130">
          <cell r="BV130">
            <v>162.06642253432616</v>
          </cell>
          <cell r="BW130">
            <v>160.54600255681055</v>
          </cell>
          <cell r="CA130">
            <v>156.40135923452408</v>
          </cell>
          <cell r="CB130">
            <v>167.79857632278706</v>
          </cell>
        </row>
        <row r="131">
          <cell r="BV131">
            <v>153.44367826449695</v>
          </cell>
          <cell r="BW131">
            <v>155.05365056601514</v>
          </cell>
          <cell r="CA131">
            <v>158.15398979958326</v>
          </cell>
          <cell r="CB131">
            <v>163.35207981655412</v>
          </cell>
        </row>
        <row r="132">
          <cell r="BV132">
            <v>155.54717739086021</v>
          </cell>
          <cell r="BW132">
            <v>155.20129722579847</v>
          </cell>
          <cell r="CA132">
            <v>156.9717363170239</v>
          </cell>
          <cell r="CB132">
            <v>165.06821195168479</v>
          </cell>
        </row>
        <row r="133">
          <cell r="BV133">
            <v>159.76383647384935</v>
          </cell>
          <cell r="BW133">
            <v>166.90312972060516</v>
          </cell>
          <cell r="CA133">
            <v>147.1779877500839</v>
          </cell>
          <cell r="CB133">
            <v>176.49692655968391</v>
          </cell>
        </row>
        <row r="134">
          <cell r="BV134">
            <v>154.84206361033711</v>
          </cell>
          <cell r="BW134">
            <v>161.84858814353007</v>
          </cell>
          <cell r="CA134">
            <v>166.39160863082907</v>
          </cell>
          <cell r="CB134">
            <v>175.81849296927851</v>
          </cell>
        </row>
        <row r="135">
          <cell r="BV135">
            <v>159.62504950216254</v>
          </cell>
          <cell r="BW135">
            <v>156.01701968821402</v>
          </cell>
          <cell r="CA135">
            <v>153.20462907520667</v>
          </cell>
          <cell r="CB135">
            <v>171.24008682775215</v>
          </cell>
        </row>
        <row r="136">
          <cell r="BV136">
            <v>146.94731855933983</v>
          </cell>
          <cell r="BW136">
            <v>154.46504401251258</v>
          </cell>
          <cell r="CA136">
            <v>155.22208735289237</v>
          </cell>
          <cell r="CB136">
            <v>166.92335360748166</v>
          </cell>
        </row>
        <row r="137">
          <cell r="BV137">
            <v>163.11001016099578</v>
          </cell>
          <cell r="BW137">
            <v>169.97311930065442</v>
          </cell>
          <cell r="CA137">
            <v>166.52746492460017</v>
          </cell>
          <cell r="CB137">
            <v>167.38589082337978</v>
          </cell>
        </row>
        <row r="138">
          <cell r="BV138">
            <v>149.74049471206951</v>
          </cell>
          <cell r="BW138">
            <v>153.53455378064652</v>
          </cell>
          <cell r="CA138">
            <v>159.54248959745431</v>
          </cell>
          <cell r="CB138">
            <v>173.14917440341264</v>
          </cell>
        </row>
        <row r="139">
          <cell r="BV139">
            <v>155.69167320592373</v>
          </cell>
          <cell r="BW139">
            <v>159.20867790817488</v>
          </cell>
          <cell r="CA139">
            <v>164.00704609049259</v>
          </cell>
          <cell r="CB139">
            <v>166.1858769608599</v>
          </cell>
        </row>
        <row r="140">
          <cell r="BV140">
            <v>159.1230632832584</v>
          </cell>
          <cell r="BW140">
            <v>146.33690618307958</v>
          </cell>
          <cell r="CA140">
            <v>165.57130290441762</v>
          </cell>
          <cell r="CB140">
            <v>159.80943932557605</v>
          </cell>
        </row>
        <row r="141">
          <cell r="BV141">
            <v>154.73040710235077</v>
          </cell>
          <cell r="BW141">
            <v>155.10074016133728</v>
          </cell>
          <cell r="CA141">
            <v>152.7441267049019</v>
          </cell>
          <cell r="CB141">
            <v>170.53179179416483</v>
          </cell>
        </row>
        <row r="142">
          <cell r="BV142">
            <v>160.12815494899093</v>
          </cell>
          <cell r="BW142">
            <v>165.60594882932591</v>
          </cell>
          <cell r="CA142">
            <v>156.91483430035262</v>
          </cell>
          <cell r="CB142">
            <v>163.31121415495008</v>
          </cell>
        </row>
        <row r="143">
          <cell r="BV143">
            <v>148.6651174033841</v>
          </cell>
          <cell r="BW143">
            <v>148.43641422495298</v>
          </cell>
          <cell r="CA143">
            <v>154.90653277104124</v>
          </cell>
          <cell r="CB143">
            <v>171.87593955161284</v>
          </cell>
        </row>
        <row r="144">
          <cell r="BV144">
            <v>160.78606585440235</v>
          </cell>
          <cell r="BW144">
            <v>159.16950182371471</v>
          </cell>
          <cell r="CA144">
            <v>156.00714739773801</v>
          </cell>
          <cell r="CB144">
            <v>170.04786729001481</v>
          </cell>
        </row>
        <row r="145">
          <cell r="BV145">
            <v>155.01484466890395</v>
          </cell>
          <cell r="BW145">
            <v>162.59442168725607</v>
          </cell>
          <cell r="CA145">
            <v>154.96172864473337</v>
          </cell>
          <cell r="CB145">
            <v>164.54090656174577</v>
          </cell>
        </row>
        <row r="146">
          <cell r="BV146">
            <v>155.40494162448604</v>
          </cell>
          <cell r="BW146">
            <v>154.86278525221118</v>
          </cell>
          <cell r="CA146">
            <v>158.30812995061558</v>
          </cell>
          <cell r="CB146">
            <v>171.34342135476487</v>
          </cell>
        </row>
        <row r="147">
          <cell r="BV147">
            <v>157.22861940721373</v>
          </cell>
          <cell r="BW147">
            <v>160.29256584140973</v>
          </cell>
          <cell r="CA147">
            <v>155.80074130160426</v>
          </cell>
          <cell r="CB147">
            <v>170.61036120480836</v>
          </cell>
        </row>
        <row r="148">
          <cell r="BV148">
            <v>152.66698074017432</v>
          </cell>
          <cell r="BW148">
            <v>159.11505018575298</v>
          </cell>
          <cell r="CA148">
            <v>153.1296345409306</v>
          </cell>
          <cell r="CB148">
            <v>165.97001697220301</v>
          </cell>
        </row>
        <row r="149">
          <cell r="BV149">
            <v>149.89187225890996</v>
          </cell>
          <cell r="BW149">
            <v>156.2934734710328</v>
          </cell>
          <cell r="CA149">
            <v>165.09761427047439</v>
          </cell>
          <cell r="CB149">
            <v>159.62725311913306</v>
          </cell>
        </row>
        <row r="150">
          <cell r="BV150">
            <v>151.90871289231231</v>
          </cell>
          <cell r="BW150">
            <v>154.89223543971497</v>
          </cell>
          <cell r="CA150">
            <v>155.39547210668567</v>
          </cell>
          <cell r="CB150">
            <v>163.73682253282641</v>
          </cell>
        </row>
        <row r="151">
          <cell r="BV151">
            <v>156.04001041746369</v>
          </cell>
          <cell r="BW151">
            <v>152.8868842723839</v>
          </cell>
          <cell r="CA151">
            <v>157.87513569751877</v>
          </cell>
          <cell r="CB151">
            <v>172.85908111948368</v>
          </cell>
        </row>
        <row r="152">
          <cell r="BV152">
            <v>157.03663140863682</v>
          </cell>
          <cell r="BW152">
            <v>152.81509439333894</v>
          </cell>
          <cell r="CA152">
            <v>160.5717132298052</v>
          </cell>
          <cell r="CB152">
            <v>166.83382540840051</v>
          </cell>
        </row>
        <row r="153">
          <cell r="BV153">
            <v>155.93944585674507</v>
          </cell>
          <cell r="BW153">
            <v>153.10000475241131</v>
          </cell>
          <cell r="CA153">
            <v>159.20102520362286</v>
          </cell>
          <cell r="CB153">
            <v>165.38978610213064</v>
          </cell>
        </row>
        <row r="154">
          <cell r="BV154">
            <v>153.98592615896217</v>
          </cell>
          <cell r="BW154">
            <v>155.13607574677062</v>
          </cell>
          <cell r="CA154">
            <v>154.61044265720611</v>
          </cell>
          <cell r="CB154">
            <v>166.85312380838639</v>
          </cell>
        </row>
        <row r="155">
          <cell r="BV155">
            <v>157.87349075638647</v>
          </cell>
          <cell r="BW155">
            <v>152.09396072721395</v>
          </cell>
          <cell r="CA155">
            <v>158.92394403635157</v>
          </cell>
          <cell r="CB155">
            <v>159.84446195611227</v>
          </cell>
        </row>
        <row r="156">
          <cell r="BV156">
            <v>148.17781931848384</v>
          </cell>
          <cell r="BW156">
            <v>157.52101117377546</v>
          </cell>
          <cell r="CA156">
            <v>164.33895234115022</v>
          </cell>
          <cell r="CB156">
            <v>165.18069583204189</v>
          </cell>
        </row>
        <row r="157">
          <cell r="BV157">
            <v>156.11536302971271</v>
          </cell>
          <cell r="BW157">
            <v>162.14949382476058</v>
          </cell>
          <cell r="CA157">
            <v>160.527436765505</v>
          </cell>
          <cell r="CB157">
            <v>159.29535025298458</v>
          </cell>
        </row>
        <row r="158">
          <cell r="BV158">
            <v>153.4614346394838</v>
          </cell>
          <cell r="BW158">
            <v>164.99122513929041</v>
          </cell>
          <cell r="CA158">
            <v>148.50600020646735</v>
          </cell>
          <cell r="CB158">
            <v>163.88157596027929</v>
          </cell>
        </row>
        <row r="159">
          <cell r="BV159">
            <v>153.2088382020205</v>
          </cell>
          <cell r="BW159">
            <v>151.30811150536826</v>
          </cell>
          <cell r="CA159">
            <v>162.41275624601448</v>
          </cell>
          <cell r="CB159">
            <v>168.60552682588775</v>
          </cell>
        </row>
        <row r="160">
          <cell r="BV160">
            <v>156.98678308380329</v>
          </cell>
          <cell r="BW160">
            <v>161.62550929580652</v>
          </cell>
          <cell r="CA160">
            <v>156.50509711207184</v>
          </cell>
          <cell r="CB160">
            <v>161.93444450392593</v>
          </cell>
        </row>
        <row r="161">
          <cell r="BV161">
            <v>168.5172705578731</v>
          </cell>
          <cell r="BW161">
            <v>169.63245965739355</v>
          </cell>
          <cell r="CA161">
            <v>158.34027512438144</v>
          </cell>
          <cell r="CB161">
            <v>162.65721731557966</v>
          </cell>
        </row>
        <row r="162">
          <cell r="BV162">
            <v>158.50895950357517</v>
          </cell>
          <cell r="BW162">
            <v>159.90713298945769</v>
          </cell>
          <cell r="CA162">
            <v>157.47570087480682</v>
          </cell>
          <cell r="CB162">
            <v>171.19533806283005</v>
          </cell>
        </row>
        <row r="163">
          <cell r="BV163">
            <v>149.56346604723512</v>
          </cell>
          <cell r="BW163">
            <v>151.10596893378408</v>
          </cell>
          <cell r="CA163">
            <v>163.00543202011357</v>
          </cell>
          <cell r="CB163">
            <v>159.82884278342217</v>
          </cell>
        </row>
        <row r="164">
          <cell r="BV164">
            <v>158.50742099833778</v>
          </cell>
          <cell r="BW164">
            <v>157.46023163732255</v>
          </cell>
          <cell r="CA164">
            <v>157.01281853122049</v>
          </cell>
          <cell r="CB164">
            <v>178.09334184435164</v>
          </cell>
        </row>
        <row r="165">
          <cell r="BV165">
            <v>158.56721553106962</v>
          </cell>
          <cell r="BW165">
            <v>155.06624905652296</v>
          </cell>
          <cell r="CA165">
            <v>155.54830164317357</v>
          </cell>
          <cell r="CB165">
            <v>152.69664999871176</v>
          </cell>
        </row>
        <row r="166">
          <cell r="BV166">
            <v>152.74033696775936</v>
          </cell>
          <cell r="BW166">
            <v>160.82259834574302</v>
          </cell>
          <cell r="CA166">
            <v>158.13651677734671</v>
          </cell>
          <cell r="CB166">
            <v>167.4101207834365</v>
          </cell>
        </row>
        <row r="167">
          <cell r="BV167">
            <v>150.88608661874062</v>
          </cell>
          <cell r="BW167">
            <v>156.29956363357181</v>
          </cell>
          <cell r="CA167">
            <v>160.74195948103483</v>
          </cell>
          <cell r="CB167">
            <v>162.98817428376805</v>
          </cell>
        </row>
        <row r="168">
          <cell r="BV168">
            <v>157.37240534393376</v>
          </cell>
          <cell r="BW168">
            <v>158.72002397336979</v>
          </cell>
          <cell r="CA168">
            <v>165.86403819670923</v>
          </cell>
          <cell r="CB168">
            <v>175.20440739599562</v>
          </cell>
        </row>
        <row r="169">
          <cell r="BV169">
            <v>152.92852464825421</v>
          </cell>
          <cell r="BW169">
            <v>156.98873920876457</v>
          </cell>
          <cell r="CA169">
            <v>153.22749615018284</v>
          </cell>
          <cell r="CB169">
            <v>160.75474484407687</v>
          </cell>
        </row>
        <row r="170">
          <cell r="BV170">
            <v>162.77678072633373</v>
          </cell>
          <cell r="BW170">
            <v>157.84833996697219</v>
          </cell>
          <cell r="CA170">
            <v>155.61415617691006</v>
          </cell>
          <cell r="CB170">
            <v>167.83959470757603</v>
          </cell>
        </row>
        <row r="171">
          <cell r="BV171">
            <v>163.47041456872054</v>
          </cell>
          <cell r="BW171">
            <v>165.11663129987795</v>
          </cell>
          <cell r="CA171">
            <v>163.43539882451418</v>
          </cell>
          <cell r="CB171">
            <v>163.4000133896985</v>
          </cell>
        </row>
        <row r="172">
          <cell r="BV172">
            <v>151.62811963368219</v>
          </cell>
          <cell r="BW172">
            <v>158.0023121373269</v>
          </cell>
          <cell r="CA172">
            <v>158.33376714209385</v>
          </cell>
          <cell r="CB172">
            <v>171.66727960103526</v>
          </cell>
        </row>
        <row r="173">
          <cell r="BV173">
            <v>152.98739311107678</v>
          </cell>
          <cell r="BW173">
            <v>156.45926153353028</v>
          </cell>
          <cell r="CA173">
            <v>152.35275859082441</v>
          </cell>
          <cell r="CB173">
            <v>163.88599546026342</v>
          </cell>
        </row>
        <row r="174">
          <cell r="BV174">
            <v>158.98659382742471</v>
          </cell>
          <cell r="BW174">
            <v>160.94831118240771</v>
          </cell>
          <cell r="CA174">
            <v>153.05978775501819</v>
          </cell>
          <cell r="CB174">
            <v>157.54517217640935</v>
          </cell>
        </row>
        <row r="175">
          <cell r="BV175">
            <v>153.72204643641825</v>
          </cell>
          <cell r="BW175">
            <v>156.10031779663407</v>
          </cell>
          <cell r="CA175">
            <v>152.97990470577506</v>
          </cell>
          <cell r="CB175">
            <v>163.73815492777067</v>
          </cell>
        </row>
        <row r="176">
          <cell r="BV176">
            <v>164.80821983889857</v>
          </cell>
          <cell r="BW176">
            <v>172.59528222133116</v>
          </cell>
          <cell r="CA176">
            <v>156.91980825857402</v>
          </cell>
          <cell r="CB176">
            <v>161.19343849451622</v>
          </cell>
        </row>
        <row r="177">
          <cell r="BV177">
            <v>151.30196865993855</v>
          </cell>
          <cell r="BW177">
            <v>153.42584891451659</v>
          </cell>
          <cell r="CA177">
            <v>152.24424172006252</v>
          </cell>
          <cell r="CB177">
            <v>158.89380480240209</v>
          </cell>
        </row>
        <row r="178">
          <cell r="BV178">
            <v>162.97093544772213</v>
          </cell>
          <cell r="BW178">
            <v>158.77410460591523</v>
          </cell>
          <cell r="CA178">
            <v>157.85094363318828</v>
          </cell>
          <cell r="CB178">
            <v>169.1017420421399</v>
          </cell>
        </row>
        <row r="179">
          <cell r="BV179">
            <v>157.56563650545974</v>
          </cell>
          <cell r="BW179">
            <v>162.13003066595346</v>
          </cell>
          <cell r="CA179">
            <v>163.39128306184202</v>
          </cell>
          <cell r="CB179">
            <v>167.03769147765135</v>
          </cell>
        </row>
        <row r="180">
          <cell r="BV180">
            <v>149.44224706180538</v>
          </cell>
          <cell r="BW180">
            <v>162.52157747829654</v>
          </cell>
          <cell r="CA180">
            <v>158.01541468592478</v>
          </cell>
          <cell r="CB180">
            <v>168.82884146050614</v>
          </cell>
        </row>
        <row r="181">
          <cell r="BV181">
            <v>153.97133132310225</v>
          </cell>
          <cell r="BW181">
            <v>150.72620806146773</v>
          </cell>
          <cell r="CA181">
            <v>171.8383293271099</v>
          </cell>
          <cell r="CB181">
            <v>168.28582490573132</v>
          </cell>
        </row>
        <row r="182">
          <cell r="BV182">
            <v>161.69817854142298</v>
          </cell>
          <cell r="BW182">
            <v>159.17293428317311</v>
          </cell>
          <cell r="CA182">
            <v>164.2645934721165</v>
          </cell>
          <cell r="CB182">
            <v>170.70692684817689</v>
          </cell>
        </row>
        <row r="183">
          <cell r="BV183">
            <v>156.35518607576856</v>
          </cell>
          <cell r="BW183">
            <v>150.64205403172681</v>
          </cell>
          <cell r="CA183">
            <v>159.73908928669826</v>
          </cell>
          <cell r="CB183">
            <v>164.88392737043128</v>
          </cell>
        </row>
        <row r="184">
          <cell r="BV184">
            <v>155.06291033050846</v>
          </cell>
          <cell r="BW184">
            <v>160.2323911503116</v>
          </cell>
          <cell r="CA184">
            <v>155.91886244725563</v>
          </cell>
          <cell r="CB184">
            <v>173.02911639849788</v>
          </cell>
        </row>
        <row r="185">
          <cell r="BV185">
            <v>148.14157965276374</v>
          </cell>
          <cell r="BW185">
            <v>156.45247917388093</v>
          </cell>
          <cell r="CA185">
            <v>157.91791713459614</v>
          </cell>
          <cell r="CB185">
            <v>163.73152213855494</v>
          </cell>
        </row>
        <row r="186">
          <cell r="BV186">
            <v>150.22926719213652</v>
          </cell>
          <cell r="BW186">
            <v>163.07216283339002</v>
          </cell>
          <cell r="CA186">
            <v>152.52525394095079</v>
          </cell>
          <cell r="CB186">
            <v>159.77831578607294</v>
          </cell>
        </row>
        <row r="187">
          <cell r="BV187">
            <v>150.753307813612</v>
          </cell>
          <cell r="BW187">
            <v>164.54123505976361</v>
          </cell>
          <cell r="CA187">
            <v>158.78393245500371</v>
          </cell>
          <cell r="CB187">
            <v>163.9194272029483</v>
          </cell>
        </row>
        <row r="188">
          <cell r="BV188">
            <v>155.27917133202897</v>
          </cell>
          <cell r="BW188">
            <v>160.82844287765124</v>
          </cell>
          <cell r="CA188">
            <v>152.47690368546313</v>
          </cell>
          <cell r="CB188">
            <v>168.54994091006731</v>
          </cell>
        </row>
        <row r="189">
          <cell r="BV189">
            <v>156.06152012946725</v>
          </cell>
          <cell r="BW189">
            <v>162.58463003219427</v>
          </cell>
          <cell r="CA189">
            <v>154.89009560830175</v>
          </cell>
          <cell r="CB189">
            <v>165.86520414397941</v>
          </cell>
        </row>
        <row r="190">
          <cell r="BV190">
            <v>154.27529732884238</v>
          </cell>
          <cell r="BW190">
            <v>158.88564154135582</v>
          </cell>
          <cell r="CA190">
            <v>152.24589335865852</v>
          </cell>
          <cell r="CB190">
            <v>156.55477187862587</v>
          </cell>
        </row>
        <row r="191">
          <cell r="BV191">
            <v>167.97484522677615</v>
          </cell>
          <cell r="BW191">
            <v>165.62571519019201</v>
          </cell>
          <cell r="CA191">
            <v>152.12085162146536</v>
          </cell>
          <cell r="CB191">
            <v>169.09583403147559</v>
          </cell>
        </row>
        <row r="192">
          <cell r="BV192">
            <v>153.25348368529458</v>
          </cell>
          <cell r="BW192">
            <v>153.95635040445376</v>
          </cell>
          <cell r="CA192">
            <v>161.42945900304045</v>
          </cell>
          <cell r="CB192">
            <v>169.95492772884273</v>
          </cell>
        </row>
        <row r="193">
          <cell r="BV193">
            <v>159.76007694129069</v>
          </cell>
          <cell r="BW193">
            <v>165.18900280743813</v>
          </cell>
          <cell r="CA193">
            <v>163.80861308682157</v>
          </cell>
          <cell r="CB193">
            <v>168.95462093520402</v>
          </cell>
        </row>
        <row r="194">
          <cell r="BV194">
            <v>155.29534525487384</v>
          </cell>
          <cell r="BW194">
            <v>157.37429893013095</v>
          </cell>
          <cell r="CA194">
            <v>165.25698957871498</v>
          </cell>
          <cell r="CB194">
            <v>168.37255761575241</v>
          </cell>
        </row>
        <row r="195">
          <cell r="BV195">
            <v>166.40630836642401</v>
          </cell>
          <cell r="BW195">
            <v>167.27461046157268</v>
          </cell>
          <cell r="CA195">
            <v>153.72581907015129</v>
          </cell>
          <cell r="CB195">
            <v>167.14654474214746</v>
          </cell>
        </row>
        <row r="196">
          <cell r="BV196">
            <v>159.75320978243062</v>
          </cell>
          <cell r="BW196">
            <v>166.20989292280842</v>
          </cell>
          <cell r="CA196">
            <v>160.85456462175054</v>
          </cell>
          <cell r="CB196">
            <v>171.26576980875672</v>
          </cell>
        </row>
        <row r="197">
          <cell r="BV197">
            <v>161.4534219160837</v>
          </cell>
          <cell r="BW197">
            <v>170.84520696975346</v>
          </cell>
          <cell r="CA197">
            <v>162.03761604970663</v>
          </cell>
          <cell r="CB197">
            <v>172.46751233886451</v>
          </cell>
        </row>
        <row r="198">
          <cell r="BV198">
            <v>154.2847574005437</v>
          </cell>
          <cell r="BW198">
            <v>160.20578890996464</v>
          </cell>
          <cell r="CA198">
            <v>161.62363113267705</v>
          </cell>
          <cell r="CB198">
            <v>171.66247895577385</v>
          </cell>
        </row>
        <row r="199">
          <cell r="BV199">
            <v>155.25813513289214</v>
          </cell>
          <cell r="BW199">
            <v>153.81650864844909</v>
          </cell>
          <cell r="CA199">
            <v>151.16163087265323</v>
          </cell>
          <cell r="CB199">
            <v>171.89447918869649</v>
          </cell>
        </row>
        <row r="200">
          <cell r="BV200">
            <v>154.03546849534314</v>
          </cell>
          <cell r="BW200">
            <v>163.26211973017129</v>
          </cell>
          <cell r="CA200">
            <v>153.76511767989138</v>
          </cell>
          <cell r="CB200">
            <v>166.14287807321458</v>
          </cell>
        </row>
        <row r="201">
          <cell r="BV201">
            <v>158.24347030167024</v>
          </cell>
          <cell r="BW201">
            <v>157.41876399465889</v>
          </cell>
          <cell r="CA201">
            <v>156.44660201206014</v>
          </cell>
          <cell r="CB201">
            <v>163.96277050479412</v>
          </cell>
        </row>
        <row r="202">
          <cell r="BV202">
            <v>153.25727035092316</v>
          </cell>
          <cell r="BW202">
            <v>161.7389341995422</v>
          </cell>
          <cell r="CA202">
            <v>147.91610761699283</v>
          </cell>
          <cell r="CB202">
            <v>157.05351291922202</v>
          </cell>
        </row>
        <row r="203">
          <cell r="BV203">
            <v>149.6578442632017</v>
          </cell>
          <cell r="BW203">
            <v>155.83894824182903</v>
          </cell>
          <cell r="CA203">
            <v>157.85190324770221</v>
          </cell>
          <cell r="CB203">
            <v>175.79445472111206</v>
          </cell>
        </row>
        <row r="204">
          <cell r="BV204">
            <v>150.28554111499963</v>
          </cell>
          <cell r="BW204">
            <v>169.80797297821763</v>
          </cell>
          <cell r="CA204">
            <v>148.8893417792722</v>
          </cell>
          <cell r="CB204">
            <v>157.94209920612752</v>
          </cell>
        </row>
        <row r="205">
          <cell r="BV205">
            <v>145.30137912975121</v>
          </cell>
          <cell r="BW205">
            <v>151.91831256826376</v>
          </cell>
          <cell r="CA205">
            <v>164.98390264128759</v>
          </cell>
          <cell r="CB205">
            <v>176.82647947653271</v>
          </cell>
        </row>
        <row r="206">
          <cell r="BV206">
            <v>156.48929374647381</v>
          </cell>
          <cell r="BW206">
            <v>155.73941487741502</v>
          </cell>
          <cell r="CA206">
            <v>154.32724057481849</v>
          </cell>
          <cell r="CB206">
            <v>165.3094400361999</v>
          </cell>
        </row>
      </sheetData>
      <sheetData sheetId="8" refreshError="1"/>
      <sheetData sheetId="9" refreshError="1"/>
      <sheetData sheetId="10">
        <row r="4">
          <cell r="B4" t="b">
            <v>1</v>
          </cell>
        </row>
        <row r="7">
          <cell r="B7" t="b">
            <v>0</v>
          </cell>
        </row>
        <row r="8">
          <cell r="F8">
            <v>8</v>
          </cell>
        </row>
        <row r="11">
          <cell r="B11" t="e">
            <v>#VALUE!</v>
          </cell>
        </row>
        <row r="13">
          <cell r="B13">
            <v>1.2792043052104252</v>
          </cell>
        </row>
        <row r="14">
          <cell r="B14" t="e">
            <v>#VALUE!</v>
          </cell>
        </row>
        <row r="20">
          <cell r="A20">
            <v>8</v>
          </cell>
          <cell r="B20">
            <v>8</v>
          </cell>
        </row>
        <row r="21">
          <cell r="B21">
            <v>22</v>
          </cell>
        </row>
      </sheetData>
      <sheetData sheetId="11">
        <row r="3">
          <cell r="BM3" t="b">
            <v>0</v>
          </cell>
        </row>
        <row r="9">
          <cell r="O9">
            <v>78</v>
          </cell>
          <cell r="V9">
            <v>10</v>
          </cell>
        </row>
        <row r="11">
          <cell r="O11">
            <v>252</v>
          </cell>
          <cell r="V11">
            <v>20</v>
          </cell>
        </row>
        <row r="18">
          <cell r="B18">
            <v>78</v>
          </cell>
          <cell r="C18">
            <v>78</v>
          </cell>
        </row>
        <row r="19">
          <cell r="C19">
            <v>252</v>
          </cell>
        </row>
        <row r="20">
          <cell r="C20">
            <v>10</v>
          </cell>
        </row>
        <row r="21">
          <cell r="C21">
            <v>20</v>
          </cell>
        </row>
      </sheetData>
      <sheetData sheetId="12" refreshError="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Intro"/>
      <sheetName val="Binomial"/>
      <sheetName val="One proportion"/>
      <sheetName val="Two proportions"/>
      <sheetName val="Power picture"/>
      <sheetName val="Power two"/>
      <sheetName val="Power paired"/>
      <sheetName val="Precision one"/>
      <sheetName val="Precision two"/>
      <sheetName val="Precision paired"/>
      <sheetName val="ESCI intro chapters 10-13 Oct 2"/>
    </sheetNames>
    <sheetDataSet>
      <sheetData sheetId="0" refreshError="1"/>
      <sheetData sheetId="1" refreshError="1"/>
      <sheetData sheetId="2"/>
      <sheetData sheetId="3">
        <row r="3">
          <cell r="B3">
            <v>50</v>
          </cell>
          <cell r="C3">
            <v>20</v>
          </cell>
        </row>
        <row r="4">
          <cell r="B4">
            <v>50</v>
          </cell>
          <cell r="C4">
            <v>20</v>
          </cell>
        </row>
        <row r="7">
          <cell r="C7" t="b">
            <v>1</v>
          </cell>
        </row>
        <row r="9">
          <cell r="C9" t="b">
            <v>1</v>
          </cell>
        </row>
        <row r="12">
          <cell r="C12">
            <v>1.8035389042604244</v>
          </cell>
        </row>
        <row r="14">
          <cell r="C14">
            <v>1.7917491094601725</v>
          </cell>
        </row>
        <row r="15">
          <cell r="C15">
            <v>7.3164529990066285E-7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CIjumping"/>
    </sheetNames>
    <sheetDataSet>
      <sheetData sheetId="0">
        <row r="1">
          <cell r="AK1" t="b">
            <v>0</v>
          </cell>
          <cell r="AM1" t="b">
            <v>1</v>
          </cell>
        </row>
        <row r="2">
          <cell r="U2" t="b">
            <v>0</v>
          </cell>
          <cell r="W2" t="b">
            <v>0</v>
          </cell>
          <cell r="X2" t="b">
            <v>0</v>
          </cell>
          <cell r="AI2">
            <v>1</v>
          </cell>
        </row>
        <row r="3">
          <cell r="T3">
            <v>58.963464886056464</v>
          </cell>
          <cell r="U3">
            <v>21.327009581830577</v>
          </cell>
          <cell r="V3">
            <v>76</v>
          </cell>
          <cell r="X3">
            <v>1</v>
          </cell>
        </row>
        <row r="4">
          <cell r="T4">
            <v>58.963464886056464</v>
          </cell>
          <cell r="U4">
            <v>21.327009581830577</v>
          </cell>
          <cell r="V4">
            <v>75</v>
          </cell>
          <cell r="X4">
            <v>50</v>
          </cell>
        </row>
        <row r="5">
          <cell r="T5">
            <v>45.459274271423858</v>
          </cell>
          <cell r="U5">
            <v>20.363500022627999</v>
          </cell>
          <cell r="V5">
            <v>74</v>
          </cell>
          <cell r="X5">
            <v>20</v>
          </cell>
          <cell r="AK5" t="b">
            <v>0</v>
          </cell>
        </row>
        <row r="6">
          <cell r="T6">
            <v>58.423727267789211</v>
          </cell>
          <cell r="U6">
            <v>12.116905307027933</v>
          </cell>
          <cell r="V6">
            <v>73</v>
          </cell>
          <cell r="X6">
            <v>95</v>
          </cell>
          <cell r="AK6" t="b">
            <v>1</v>
          </cell>
        </row>
        <row r="7">
          <cell r="T7">
            <v>50.10158016304527</v>
          </cell>
          <cell r="U7">
            <v>24.1056400069413</v>
          </cell>
          <cell r="V7">
            <v>72</v>
          </cell>
          <cell r="X7">
            <v>15</v>
          </cell>
        </row>
        <row r="8">
          <cell r="T8">
            <v>50.997270451614142</v>
          </cell>
          <cell r="U8">
            <v>21.635877245712582</v>
          </cell>
          <cell r="V8">
            <v>71</v>
          </cell>
          <cell r="X8">
            <v>3.3242204503337369E-2</v>
          </cell>
          <cell r="AM8">
            <v>58.963464886056464</v>
          </cell>
        </row>
        <row r="9">
          <cell r="T9">
            <v>48.885029986785661</v>
          </cell>
          <cell r="U9">
            <v>16.441808151723414</v>
          </cell>
          <cell r="V9">
            <v>70</v>
          </cell>
          <cell r="X9">
            <v>50</v>
          </cell>
        </row>
        <row r="10">
          <cell r="T10">
            <v>52.618314877170782</v>
          </cell>
          <cell r="U10">
            <v>30.001906733594232</v>
          </cell>
          <cell r="V10">
            <v>69</v>
          </cell>
          <cell r="X10" t="b">
            <v>1</v>
          </cell>
        </row>
        <row r="11">
          <cell r="T11">
            <v>47.556704566049135</v>
          </cell>
          <cell r="U11">
            <v>19.243391627038598</v>
          </cell>
          <cell r="V11">
            <v>68</v>
          </cell>
        </row>
        <row r="12">
          <cell r="T12">
            <v>44.655036859958841</v>
          </cell>
          <cell r="U12">
            <v>19.732153619884134</v>
          </cell>
          <cell r="V12">
            <v>67</v>
          </cell>
        </row>
        <row r="13">
          <cell r="T13">
            <v>47.734619022578542</v>
          </cell>
          <cell r="U13">
            <v>21.030952892047203</v>
          </cell>
          <cell r="V13">
            <v>66</v>
          </cell>
        </row>
        <row r="14">
          <cell r="T14">
            <v>57.675609759077389</v>
          </cell>
          <cell r="U14">
            <v>19.065028831755313</v>
          </cell>
          <cell r="V14">
            <v>65</v>
          </cell>
          <cell r="W14">
            <v>0.68301742727630299</v>
          </cell>
        </row>
        <row r="15">
          <cell r="T15">
            <v>54.765429313654955</v>
          </cell>
          <cell r="U15">
            <v>13.069366367666666</v>
          </cell>
          <cell r="V15">
            <v>64</v>
          </cell>
          <cell r="W15">
            <v>0.91852774865164766</v>
          </cell>
          <cell r="AL15" t="e">
            <v>#N/A</v>
          </cell>
        </row>
        <row r="16">
          <cell r="T16">
            <v>52.612058495400824</v>
          </cell>
          <cell r="U16">
            <v>16.72823073460086</v>
          </cell>
          <cell r="V16">
            <v>63</v>
          </cell>
        </row>
        <row r="17">
          <cell r="T17">
            <v>49.634025128151364</v>
          </cell>
          <cell r="U17">
            <v>18.99480070544227</v>
          </cell>
          <cell r="V17">
            <v>62</v>
          </cell>
          <cell r="W17">
            <v>20</v>
          </cell>
        </row>
        <row r="18">
          <cell r="T18">
            <v>43.197188993383833</v>
          </cell>
          <cell r="U18">
            <v>18.650853517296909</v>
          </cell>
          <cell r="V18">
            <v>61</v>
          </cell>
          <cell r="W18">
            <v>21</v>
          </cell>
        </row>
        <row r="19">
          <cell r="T19">
            <v>43.95705229836917</v>
          </cell>
          <cell r="U19">
            <v>13.42410954302462</v>
          </cell>
          <cell r="V19">
            <v>60</v>
          </cell>
        </row>
        <row r="20">
          <cell r="T20">
            <v>49.95353347231751</v>
          </cell>
          <cell r="U20">
            <v>17.370981367067014</v>
          </cell>
          <cell r="V20">
            <v>59</v>
          </cell>
        </row>
        <row r="21">
          <cell r="T21">
            <v>42.477961644926502</v>
          </cell>
          <cell r="U21">
            <v>19.024674304692169</v>
          </cell>
          <cell r="V21">
            <v>58</v>
          </cell>
        </row>
        <row r="22">
          <cell r="T22">
            <v>46.725529086059574</v>
          </cell>
          <cell r="U22">
            <v>22.174388356563981</v>
          </cell>
          <cell r="V22">
            <v>57</v>
          </cell>
        </row>
        <row r="23">
          <cell r="T23">
            <v>45.464137453825785</v>
          </cell>
          <cell r="U23">
            <v>20.292728025962731</v>
          </cell>
          <cell r="V23">
            <v>56</v>
          </cell>
        </row>
        <row r="24">
          <cell r="T24">
            <v>51.10296730032826</v>
          </cell>
          <cell r="U24">
            <v>20.864083668489659</v>
          </cell>
          <cell r="V24">
            <v>55</v>
          </cell>
        </row>
        <row r="25">
          <cell r="T25">
            <v>48.525439662703135</v>
          </cell>
          <cell r="U25">
            <v>20.176016286887826</v>
          </cell>
          <cell r="V25">
            <v>54</v>
          </cell>
        </row>
        <row r="26">
          <cell r="T26">
            <v>41.480520086747916</v>
          </cell>
          <cell r="U26">
            <v>18.182049824221991</v>
          </cell>
          <cell r="V26">
            <v>53</v>
          </cell>
        </row>
        <row r="27">
          <cell r="T27">
            <v>42.785055502873611</v>
          </cell>
          <cell r="U27">
            <v>26.968435960153617</v>
          </cell>
          <cell r="V27">
            <v>52</v>
          </cell>
        </row>
        <row r="28">
          <cell r="T28">
            <v>54.1269925317456</v>
          </cell>
          <cell r="U28">
            <v>31.357519050866806</v>
          </cell>
          <cell r="V28">
            <v>51</v>
          </cell>
        </row>
        <row r="29">
          <cell r="T29">
            <v>56.084589417438785</v>
          </cell>
          <cell r="U29">
            <v>15.577221636974492</v>
          </cell>
          <cell r="V29">
            <v>50</v>
          </cell>
        </row>
        <row r="30">
          <cell r="T30">
            <v>53.697136005122609</v>
          </cell>
          <cell r="U30">
            <v>19.123544795988629</v>
          </cell>
          <cell r="V30">
            <v>49</v>
          </cell>
        </row>
        <row r="31">
          <cell r="T31">
            <v>50.506623071742432</v>
          </cell>
          <cell r="U31">
            <v>20.169497191518339</v>
          </cell>
          <cell r="V31">
            <v>48</v>
          </cell>
        </row>
        <row r="32">
          <cell r="T32">
            <v>55.617642371675302</v>
          </cell>
          <cell r="U32">
            <v>23.078294720848408</v>
          </cell>
          <cell r="V32">
            <v>47</v>
          </cell>
        </row>
        <row r="33">
          <cell r="T33">
            <v>42.028703655270263</v>
          </cell>
          <cell r="U33">
            <v>24.895603926077605</v>
          </cell>
          <cell r="V33">
            <v>46</v>
          </cell>
        </row>
        <row r="34">
          <cell r="T34">
            <v>48.321555998036871</v>
          </cell>
          <cell r="U34">
            <v>19.37244281643304</v>
          </cell>
          <cell r="V34">
            <v>45</v>
          </cell>
        </row>
        <row r="35">
          <cell r="T35">
            <v>55.249912871800923</v>
          </cell>
          <cell r="U35">
            <v>19.777271429063219</v>
          </cell>
          <cell r="V35">
            <v>44</v>
          </cell>
        </row>
        <row r="36">
          <cell r="T36">
            <v>45.374374119950986</v>
          </cell>
          <cell r="U36">
            <v>15.161636988907327</v>
          </cell>
          <cell r="V36">
            <v>43</v>
          </cell>
        </row>
        <row r="37">
          <cell r="T37">
            <v>62.089675398398221</v>
          </cell>
          <cell r="U37">
            <v>19.179067938718013</v>
          </cell>
          <cell r="V37">
            <v>42</v>
          </cell>
        </row>
        <row r="38">
          <cell r="T38">
            <v>51.991241550096781</v>
          </cell>
          <cell r="U38">
            <v>21.615320249744588</v>
          </cell>
          <cell r="V38">
            <v>41</v>
          </cell>
        </row>
        <row r="39">
          <cell r="T39">
            <v>49.251619078273961</v>
          </cell>
          <cell r="U39">
            <v>20.33734208080962</v>
          </cell>
          <cell r="V39">
            <v>40</v>
          </cell>
        </row>
        <row r="40">
          <cell r="T40">
            <v>51.503018987814691</v>
          </cell>
          <cell r="U40">
            <v>23.618590583956191</v>
          </cell>
          <cell r="V40">
            <v>39</v>
          </cell>
        </row>
        <row r="41">
          <cell r="T41">
            <v>43.814662454949691</v>
          </cell>
          <cell r="U41">
            <v>20.661054842694774</v>
          </cell>
          <cell r="V41">
            <v>38</v>
          </cell>
        </row>
        <row r="42">
          <cell r="T42">
            <v>53.259337446599865</v>
          </cell>
          <cell r="U42">
            <v>19.733043307552453</v>
          </cell>
          <cell r="V42">
            <v>37</v>
          </cell>
        </row>
        <row r="43">
          <cell r="T43">
            <v>52.14192700000185</v>
          </cell>
          <cell r="U43">
            <v>16.111455373359515</v>
          </cell>
          <cell r="V43">
            <v>36</v>
          </cell>
        </row>
        <row r="44">
          <cell r="T44">
            <v>59.538796251919607</v>
          </cell>
          <cell r="U44">
            <v>17.466732385948383</v>
          </cell>
          <cell r="V44">
            <v>35</v>
          </cell>
        </row>
        <row r="45">
          <cell r="T45">
            <v>44.069057967401498</v>
          </cell>
          <cell r="U45">
            <v>21.520412850251361</v>
          </cell>
          <cell r="V45">
            <v>34</v>
          </cell>
        </row>
        <row r="46">
          <cell r="T46">
            <v>49.981034727715127</v>
          </cell>
          <cell r="U46">
            <v>17.922962823953217</v>
          </cell>
          <cell r="V46">
            <v>33</v>
          </cell>
        </row>
        <row r="47">
          <cell r="T47">
            <v>50.208656945545421</v>
          </cell>
          <cell r="U47">
            <v>18.437341199451829</v>
          </cell>
          <cell r="V47">
            <v>32</v>
          </cell>
        </row>
        <row r="48">
          <cell r="T48">
            <v>52.43572693654437</v>
          </cell>
          <cell r="U48">
            <v>22.661119263916408</v>
          </cell>
          <cell r="V48">
            <v>31</v>
          </cell>
        </row>
        <row r="49">
          <cell r="T49">
            <v>45.388240017862209</v>
          </cell>
          <cell r="U49">
            <v>19.44613714904466</v>
          </cell>
          <cell r="V49">
            <v>30</v>
          </cell>
        </row>
        <row r="50">
          <cell r="T50">
            <v>46.048394909457542</v>
          </cell>
          <cell r="U50">
            <v>16.508543367043615</v>
          </cell>
          <cell r="V50">
            <v>29</v>
          </cell>
        </row>
        <row r="51">
          <cell r="T51">
            <v>56.724571116711708</v>
          </cell>
          <cell r="U51">
            <v>19.410134504839519</v>
          </cell>
          <cell r="V51">
            <v>28</v>
          </cell>
        </row>
        <row r="52">
          <cell r="T52">
            <v>47.034346827226038</v>
          </cell>
          <cell r="U52">
            <v>15.188516929710611</v>
          </cell>
          <cell r="V52">
            <v>27</v>
          </cell>
        </row>
        <row r="53">
          <cell r="T53">
            <v>41.538654089387855</v>
          </cell>
          <cell r="U53">
            <v>16.096040723542057</v>
          </cell>
          <cell r="V53">
            <v>26</v>
          </cell>
        </row>
        <row r="54">
          <cell r="T54">
            <v>47.56369920808941</v>
          </cell>
          <cell r="U54">
            <v>16.981243002008043</v>
          </cell>
          <cell r="V54">
            <v>25</v>
          </cell>
        </row>
        <row r="55">
          <cell r="T55">
            <v>47.271976674916722</v>
          </cell>
          <cell r="U55">
            <v>17.486254350743739</v>
          </cell>
          <cell r="V55">
            <v>24</v>
          </cell>
        </row>
        <row r="56">
          <cell r="T56">
            <v>55.659230372873381</v>
          </cell>
          <cell r="U56">
            <v>22.91231533566625</v>
          </cell>
          <cell r="V56">
            <v>23</v>
          </cell>
        </row>
        <row r="57">
          <cell r="T57">
            <v>47.225993831540698</v>
          </cell>
          <cell r="U57">
            <v>18.307301228405763</v>
          </cell>
          <cell r="V57">
            <v>22</v>
          </cell>
        </row>
        <row r="58">
          <cell r="T58">
            <v>50.312399748333469</v>
          </cell>
          <cell r="U58">
            <v>20.901686967734278</v>
          </cell>
          <cell r="V58">
            <v>21</v>
          </cell>
        </row>
        <row r="59">
          <cell r="T59">
            <v>46.051789691831111</v>
          </cell>
          <cell r="U59">
            <v>20.60441598558597</v>
          </cell>
          <cell r="V59">
            <v>20</v>
          </cell>
        </row>
        <row r="60">
          <cell r="T60">
            <v>49.331621030445291</v>
          </cell>
          <cell r="U60">
            <v>14.524416599325789</v>
          </cell>
          <cell r="V60">
            <v>19</v>
          </cell>
        </row>
        <row r="61">
          <cell r="T61">
            <v>52.195046422787435</v>
          </cell>
          <cell r="U61">
            <v>18.289639725064859</v>
          </cell>
          <cell r="V61">
            <v>18</v>
          </cell>
        </row>
        <row r="62">
          <cell r="T62">
            <v>43.691293247015615</v>
          </cell>
          <cell r="U62">
            <v>18.523212269216621</v>
          </cell>
          <cell r="V62">
            <v>17</v>
          </cell>
        </row>
        <row r="63">
          <cell r="T63">
            <v>49.374897814859494</v>
          </cell>
          <cell r="U63">
            <v>19.713382639282724</v>
          </cell>
          <cell r="V63">
            <v>16</v>
          </cell>
        </row>
        <row r="64">
          <cell r="T64">
            <v>59.479584619669808</v>
          </cell>
          <cell r="U64">
            <v>20.791608868876711</v>
          </cell>
          <cell r="V64">
            <v>15</v>
          </cell>
        </row>
        <row r="65">
          <cell r="T65">
            <v>51.266421859604698</v>
          </cell>
          <cell r="U65">
            <v>20.80044456100476</v>
          </cell>
          <cell r="V65">
            <v>14</v>
          </cell>
        </row>
        <row r="66">
          <cell r="T66">
            <v>54.898516808387406</v>
          </cell>
          <cell r="U66">
            <v>12.482477744325767</v>
          </cell>
          <cell r="V66">
            <v>13</v>
          </cell>
        </row>
        <row r="67">
          <cell r="T67">
            <v>51.442659804089743</v>
          </cell>
          <cell r="U67">
            <v>22.535054573480238</v>
          </cell>
          <cell r="V67">
            <v>12</v>
          </cell>
        </row>
        <row r="68">
          <cell r="T68">
            <v>56.821834493803536</v>
          </cell>
          <cell r="U68">
            <v>21.484673108836773</v>
          </cell>
          <cell r="V68">
            <v>11</v>
          </cell>
        </row>
        <row r="69">
          <cell r="T69">
            <v>51.880322035124557</v>
          </cell>
          <cell r="U69">
            <v>20.93871830677892</v>
          </cell>
          <cell r="V69">
            <v>10</v>
          </cell>
        </row>
        <row r="70">
          <cell r="T70">
            <v>48.893877798181876</v>
          </cell>
          <cell r="U70">
            <v>14.239083180952543</v>
          </cell>
          <cell r="V70">
            <v>9</v>
          </cell>
        </row>
        <row r="71">
          <cell r="T71">
            <v>50.453908279902649</v>
          </cell>
          <cell r="U71">
            <v>14.465044863893462</v>
          </cell>
          <cell r="V71">
            <v>8</v>
          </cell>
        </row>
        <row r="72">
          <cell r="T72">
            <v>41.89170772848756</v>
          </cell>
          <cell r="U72">
            <v>15.246188958879957</v>
          </cell>
          <cell r="V72">
            <v>7</v>
          </cell>
        </row>
        <row r="73">
          <cell r="T73">
            <v>39.716895267923505</v>
          </cell>
          <cell r="U73">
            <v>17.408672955421753</v>
          </cell>
          <cell r="V73">
            <v>6</v>
          </cell>
        </row>
        <row r="74">
          <cell r="T74">
            <v>48.501036563452161</v>
          </cell>
          <cell r="U74">
            <v>19.979199831572476</v>
          </cell>
          <cell r="V74">
            <v>5</v>
          </cell>
        </row>
        <row r="75">
          <cell r="T75">
            <v>49.832494202744329</v>
          </cell>
          <cell r="U75">
            <v>23.489835078507006</v>
          </cell>
          <cell r="V75">
            <v>4</v>
          </cell>
        </row>
        <row r="76">
          <cell r="T76">
            <v>48.06923131913846</v>
          </cell>
          <cell r="U76">
            <v>21.79075052869079</v>
          </cell>
          <cell r="V76">
            <v>3</v>
          </cell>
        </row>
        <row r="77">
          <cell r="T77">
            <v>47.5200021472738</v>
          </cell>
          <cell r="U77">
            <v>15.303390026240081</v>
          </cell>
          <cell r="V77">
            <v>2</v>
          </cell>
        </row>
        <row r="78">
          <cell r="T78">
            <v>54.665079240099729</v>
          </cell>
          <cell r="U78">
            <v>21.474682503121791</v>
          </cell>
          <cell r="V78">
            <v>1</v>
          </cell>
        </row>
        <row r="79">
          <cell r="V79">
            <v>0</v>
          </cell>
        </row>
      </sheetData>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Intro"/>
      <sheetName val="Fig 1"/>
      <sheetName val="p value function"/>
      <sheetName val="Fig 5"/>
      <sheetName val="Fig 10"/>
    </sheetNames>
    <sheetDataSet>
      <sheetData sheetId="0"/>
      <sheetData sheetId="1">
        <row r="8">
          <cell r="M8">
            <v>0.4401272387403472</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refreshError="1"/>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t="str">
            <v/>
          </cell>
          <cell r="C48" t="str">
            <v/>
          </cell>
          <cell r="AH48" t="str">
            <v/>
          </cell>
          <cell r="AI48" t="str">
            <v/>
          </cell>
        </row>
        <row r="49">
          <cell r="B49" t="str">
            <v/>
          </cell>
          <cell r="C49" t="str">
            <v/>
          </cell>
          <cell r="AH49" t="str">
            <v/>
          </cell>
          <cell r="AI49" t="str">
            <v/>
          </cell>
        </row>
        <row r="50">
          <cell r="B50" t="str">
            <v/>
          </cell>
          <cell r="C50" t="str">
            <v/>
          </cell>
          <cell r="AH50" t="str">
            <v/>
          </cell>
          <cell r="AI50" t="str">
            <v/>
          </cell>
        </row>
        <row r="51">
          <cell r="B51" t="str">
            <v/>
          </cell>
          <cell r="C51" t="str">
            <v/>
          </cell>
          <cell r="AH51" t="str">
            <v/>
          </cell>
          <cell r="AI51" t="str">
            <v/>
          </cell>
        </row>
        <row r="52">
          <cell r="B52" t="str">
            <v/>
          </cell>
          <cell r="C52" t="str">
            <v/>
          </cell>
          <cell r="AH52" t="str">
            <v/>
          </cell>
          <cell r="AI52" t="str">
            <v/>
          </cell>
        </row>
        <row r="53">
          <cell r="B53" t="str">
            <v/>
          </cell>
          <cell r="C53" t="str">
            <v/>
          </cell>
          <cell r="AH53" t="str">
            <v/>
          </cell>
          <cell r="AI53" t="str">
            <v/>
          </cell>
        </row>
        <row r="54">
          <cell r="B54" t="str">
            <v/>
          </cell>
          <cell r="C54" t="str">
            <v/>
          </cell>
          <cell r="AH54" t="str">
            <v/>
          </cell>
          <cell r="AI54" t="str">
            <v/>
          </cell>
        </row>
        <row r="55">
          <cell r="B55" t="str">
            <v/>
          </cell>
          <cell r="C55" t="str">
            <v/>
          </cell>
          <cell r="AH55" t="str">
            <v/>
          </cell>
          <cell r="AI55" t="str">
            <v/>
          </cell>
        </row>
        <row r="56">
          <cell r="B56" t="str">
            <v/>
          </cell>
          <cell r="C56" t="str">
            <v/>
          </cell>
          <cell r="AH56" t="str">
            <v/>
          </cell>
          <cell r="AI56" t="str">
            <v/>
          </cell>
        </row>
        <row r="57">
          <cell r="B57" t="str">
            <v/>
          </cell>
          <cell r="C57" t="str">
            <v/>
          </cell>
          <cell r="AH57" t="str">
            <v/>
          </cell>
          <cell r="AI57" t="str">
            <v/>
          </cell>
        </row>
        <row r="58">
          <cell r="B58" t="str">
            <v/>
          </cell>
          <cell r="C58" t="str">
            <v/>
          </cell>
          <cell r="AH58" t="str">
            <v/>
          </cell>
          <cell r="AI58" t="str">
            <v/>
          </cell>
        </row>
        <row r="59">
          <cell r="B59" t="str">
            <v/>
          </cell>
          <cell r="C59" t="str">
            <v/>
          </cell>
          <cell r="AH59" t="str">
            <v/>
          </cell>
          <cell r="AI59" t="str">
            <v/>
          </cell>
        </row>
        <row r="60">
          <cell r="B60" t="str">
            <v/>
          </cell>
          <cell r="C60" t="str">
            <v/>
          </cell>
          <cell r="AH60" t="str">
            <v/>
          </cell>
          <cell r="AI60" t="str">
            <v/>
          </cell>
        </row>
        <row r="61">
          <cell r="B61" t="str">
            <v/>
          </cell>
          <cell r="C61" t="str">
            <v/>
          </cell>
          <cell r="AH61" t="str">
            <v/>
          </cell>
          <cell r="AI61" t="str">
            <v/>
          </cell>
        </row>
        <row r="62">
          <cell r="B62" t="str">
            <v/>
          </cell>
          <cell r="C62" t="str">
            <v/>
          </cell>
          <cell r="AH62" t="str">
            <v/>
          </cell>
          <cell r="AI62" t="str">
            <v/>
          </cell>
        </row>
        <row r="63">
          <cell r="B63" t="str">
            <v/>
          </cell>
          <cell r="C63" t="str">
            <v/>
          </cell>
          <cell r="AH63" t="str">
            <v/>
          </cell>
          <cell r="AI63" t="str">
            <v/>
          </cell>
        </row>
        <row r="64">
          <cell r="B64" t="str">
            <v/>
          </cell>
          <cell r="C64" t="str">
            <v/>
          </cell>
          <cell r="AH64" t="str">
            <v/>
          </cell>
          <cell r="AI64" t="str">
            <v/>
          </cell>
        </row>
        <row r="65">
          <cell r="B65" t="str">
            <v/>
          </cell>
          <cell r="C65" t="str">
            <v/>
          </cell>
          <cell r="AH65" t="str">
            <v/>
          </cell>
          <cell r="AI65" t="str">
            <v/>
          </cell>
        </row>
        <row r="66">
          <cell r="B66" t="str">
            <v/>
          </cell>
          <cell r="C66" t="str">
            <v/>
          </cell>
          <cell r="AH66" t="str">
            <v/>
          </cell>
          <cell r="AI66" t="str">
            <v/>
          </cell>
        </row>
        <row r="67">
          <cell r="B67" t="str">
            <v/>
          </cell>
          <cell r="C67" t="str">
            <v/>
          </cell>
          <cell r="AH67" t="str">
            <v/>
          </cell>
          <cell r="AI67" t="str">
            <v/>
          </cell>
        </row>
        <row r="68">
          <cell r="B68" t="str">
            <v/>
          </cell>
          <cell r="C68" t="str">
            <v/>
          </cell>
          <cell r="AH68" t="str">
            <v/>
          </cell>
          <cell r="AI68" t="str">
            <v/>
          </cell>
        </row>
        <row r="69">
          <cell r="B69" t="str">
            <v/>
          </cell>
          <cell r="C69" t="str">
            <v/>
          </cell>
          <cell r="AH69" t="str">
            <v/>
          </cell>
          <cell r="AI69" t="str">
            <v/>
          </cell>
        </row>
        <row r="70">
          <cell r="B70" t="str">
            <v/>
          </cell>
          <cell r="C70" t="str">
            <v/>
          </cell>
          <cell r="AH70" t="str">
            <v/>
          </cell>
          <cell r="AI70" t="str">
            <v/>
          </cell>
        </row>
        <row r="71">
          <cell r="B71" t="str">
            <v/>
          </cell>
          <cell r="C71" t="str">
            <v/>
          </cell>
          <cell r="AH71" t="str">
            <v/>
          </cell>
          <cell r="AI71" t="str">
            <v/>
          </cell>
        </row>
        <row r="72">
          <cell r="B72" t="str">
            <v/>
          </cell>
          <cell r="C72" t="str">
            <v/>
          </cell>
          <cell r="AH72" t="str">
            <v/>
          </cell>
          <cell r="AI72" t="str">
            <v/>
          </cell>
        </row>
        <row r="73">
          <cell r="B73" t="str">
            <v/>
          </cell>
          <cell r="C73" t="str">
            <v/>
          </cell>
          <cell r="AH73" t="str">
            <v/>
          </cell>
          <cell r="AI73" t="str">
            <v/>
          </cell>
        </row>
        <row r="74">
          <cell r="B74" t="str">
            <v/>
          </cell>
          <cell r="C74" t="str">
            <v/>
          </cell>
          <cell r="AH74" t="str">
            <v/>
          </cell>
          <cell r="AI74" t="str">
            <v/>
          </cell>
        </row>
        <row r="75">
          <cell r="B75" t="str">
            <v/>
          </cell>
          <cell r="C75" t="str">
            <v/>
          </cell>
          <cell r="AH75" t="str">
            <v/>
          </cell>
          <cell r="AI75" t="str">
            <v/>
          </cell>
        </row>
        <row r="76">
          <cell r="B76" t="str">
            <v/>
          </cell>
          <cell r="C76" t="str">
            <v/>
          </cell>
          <cell r="AH76" t="str">
            <v/>
          </cell>
          <cell r="AI76" t="str">
            <v/>
          </cell>
        </row>
        <row r="77">
          <cell r="B77" t="str">
            <v/>
          </cell>
          <cell r="C77" t="str">
            <v/>
          </cell>
          <cell r="AH77" t="str">
            <v/>
          </cell>
          <cell r="AI77" t="str">
            <v/>
          </cell>
        </row>
        <row r="78">
          <cell r="B78" t="str">
            <v/>
          </cell>
          <cell r="C78" t="str">
            <v/>
          </cell>
          <cell r="AH78" t="str">
            <v/>
          </cell>
          <cell r="AI78" t="str">
            <v/>
          </cell>
        </row>
        <row r="79">
          <cell r="B79" t="str">
            <v/>
          </cell>
          <cell r="C79" t="str">
            <v/>
          </cell>
          <cell r="AH79" t="str">
            <v/>
          </cell>
          <cell r="AI79" t="str">
            <v/>
          </cell>
        </row>
        <row r="80">
          <cell r="B80" t="str">
            <v/>
          </cell>
          <cell r="C80" t="str">
            <v/>
          </cell>
          <cell r="AH80" t="str">
            <v/>
          </cell>
          <cell r="AI80" t="str">
            <v/>
          </cell>
        </row>
        <row r="81">
          <cell r="B81" t="str">
            <v/>
          </cell>
          <cell r="C81" t="str">
            <v/>
          </cell>
          <cell r="AH81" t="str">
            <v/>
          </cell>
          <cell r="AI81" t="str">
            <v/>
          </cell>
        </row>
        <row r="82">
          <cell r="B82" t="str">
            <v/>
          </cell>
          <cell r="C82" t="str">
            <v/>
          </cell>
          <cell r="AH82" t="str">
            <v/>
          </cell>
          <cell r="AI82" t="str">
            <v/>
          </cell>
        </row>
        <row r="83">
          <cell r="B83" t="str">
            <v/>
          </cell>
          <cell r="C83" t="str">
            <v/>
          </cell>
          <cell r="AH83" t="str">
            <v/>
          </cell>
          <cell r="AI83" t="str">
            <v/>
          </cell>
        </row>
        <row r="84">
          <cell r="B84" t="str">
            <v/>
          </cell>
          <cell r="C84" t="str">
            <v/>
          </cell>
          <cell r="AH84" t="str">
            <v/>
          </cell>
          <cell r="AI84" t="str">
            <v/>
          </cell>
        </row>
        <row r="85">
          <cell r="B85" t="str">
            <v/>
          </cell>
          <cell r="C85" t="str">
            <v/>
          </cell>
          <cell r="AH85" t="str">
            <v/>
          </cell>
          <cell r="AI85" t="str">
            <v/>
          </cell>
        </row>
        <row r="86">
          <cell r="B86" t="str">
            <v/>
          </cell>
          <cell r="C86" t="str">
            <v/>
          </cell>
          <cell r="AH86" t="str">
            <v/>
          </cell>
          <cell r="AI86" t="str">
            <v/>
          </cell>
        </row>
        <row r="87">
          <cell r="B87" t="str">
            <v/>
          </cell>
          <cell r="C87" t="str">
            <v/>
          </cell>
          <cell r="AH87" t="str">
            <v/>
          </cell>
          <cell r="AI87" t="str">
            <v/>
          </cell>
        </row>
        <row r="88">
          <cell r="B88" t="str">
            <v/>
          </cell>
          <cell r="C88" t="str">
            <v/>
          </cell>
          <cell r="AH88" t="str">
            <v/>
          </cell>
          <cell r="AI88" t="str">
            <v/>
          </cell>
        </row>
        <row r="89">
          <cell r="B89" t="str">
            <v/>
          </cell>
          <cell r="C89" t="str">
            <v/>
          </cell>
          <cell r="AH89" t="str">
            <v/>
          </cell>
          <cell r="AI89" t="str">
            <v/>
          </cell>
        </row>
        <row r="90">
          <cell r="B90" t="str">
            <v/>
          </cell>
          <cell r="C90" t="str">
            <v/>
          </cell>
          <cell r="AH90" t="str">
            <v/>
          </cell>
          <cell r="AI90" t="str">
            <v/>
          </cell>
        </row>
        <row r="91">
          <cell r="B91" t="str">
            <v/>
          </cell>
          <cell r="C91" t="str">
            <v/>
          </cell>
          <cell r="AH91" t="str">
            <v/>
          </cell>
          <cell r="AI91" t="str">
            <v/>
          </cell>
        </row>
        <row r="92">
          <cell r="B92" t="str">
            <v/>
          </cell>
          <cell r="C92" t="str">
            <v/>
          </cell>
          <cell r="AH92" t="str">
            <v/>
          </cell>
          <cell r="AI92" t="str">
            <v/>
          </cell>
        </row>
        <row r="93">
          <cell r="B93" t="str">
            <v/>
          </cell>
          <cell r="C93" t="str">
            <v/>
          </cell>
          <cell r="AH93" t="str">
            <v/>
          </cell>
          <cell r="AI93" t="str">
            <v/>
          </cell>
        </row>
        <row r="94">
          <cell r="B94" t="str">
            <v/>
          </cell>
          <cell r="C94" t="str">
            <v/>
          </cell>
          <cell r="AH94" t="str">
            <v/>
          </cell>
          <cell r="AI94" t="str">
            <v/>
          </cell>
        </row>
        <row r="95">
          <cell r="B95" t="str">
            <v/>
          </cell>
          <cell r="C95" t="str">
            <v/>
          </cell>
          <cell r="AH95" t="str">
            <v/>
          </cell>
          <cell r="AI95" t="str">
            <v/>
          </cell>
        </row>
        <row r="96">
          <cell r="B96" t="str">
            <v/>
          </cell>
          <cell r="C96" t="str">
            <v/>
          </cell>
          <cell r="AH96" t="str">
            <v/>
          </cell>
          <cell r="AI96" t="str">
            <v/>
          </cell>
        </row>
        <row r="97">
          <cell r="B97" t="str">
            <v/>
          </cell>
          <cell r="C97" t="str">
            <v/>
          </cell>
          <cell r="AH97" t="str">
            <v/>
          </cell>
          <cell r="AI97" t="str">
            <v/>
          </cell>
        </row>
        <row r="98">
          <cell r="B98" t="str">
            <v/>
          </cell>
          <cell r="C98" t="str">
            <v/>
          </cell>
          <cell r="AH98" t="str">
            <v/>
          </cell>
          <cell r="AI98" t="str">
            <v/>
          </cell>
        </row>
        <row r="99">
          <cell r="B99" t="str">
            <v/>
          </cell>
          <cell r="C99" t="str">
            <v/>
          </cell>
          <cell r="AH99" t="str">
            <v/>
          </cell>
          <cell r="AI99" t="str">
            <v/>
          </cell>
        </row>
        <row r="100">
          <cell r="B100" t="str">
            <v/>
          </cell>
          <cell r="C100" t="str">
            <v/>
          </cell>
          <cell r="AH100" t="str">
            <v/>
          </cell>
          <cell r="AI100" t="str">
            <v/>
          </cell>
        </row>
        <row r="101">
          <cell r="B101" t="str">
            <v/>
          </cell>
          <cell r="C101" t="str">
            <v/>
          </cell>
          <cell r="AH101" t="str">
            <v/>
          </cell>
          <cell r="AI101" t="str">
            <v/>
          </cell>
        </row>
        <row r="102">
          <cell r="B102" t="str">
            <v/>
          </cell>
          <cell r="C102" t="str">
            <v/>
          </cell>
          <cell r="AH102" t="str">
            <v/>
          </cell>
          <cell r="AI102" t="str">
            <v/>
          </cell>
        </row>
        <row r="103">
          <cell r="B103" t="str">
            <v/>
          </cell>
          <cell r="C103" t="str">
            <v/>
          </cell>
          <cell r="AH103" t="str">
            <v/>
          </cell>
          <cell r="AI103" t="str">
            <v/>
          </cell>
        </row>
        <row r="104">
          <cell r="B104" t="str">
            <v/>
          </cell>
          <cell r="C104" t="str">
            <v/>
          </cell>
          <cell r="AH104" t="str">
            <v/>
          </cell>
          <cell r="AI104" t="str">
            <v/>
          </cell>
        </row>
        <row r="105">
          <cell r="B105" t="str">
            <v/>
          </cell>
          <cell r="C105" t="str">
            <v/>
          </cell>
          <cell r="AH105" t="str">
            <v/>
          </cell>
          <cell r="AI105" t="str">
            <v/>
          </cell>
        </row>
        <row r="106">
          <cell r="B106" t="str">
            <v/>
          </cell>
          <cell r="C106" t="str">
            <v/>
          </cell>
          <cell r="AH106" t="str">
            <v/>
          </cell>
          <cell r="AI106" t="str">
            <v/>
          </cell>
        </row>
        <row r="107">
          <cell r="B107" t="str">
            <v/>
          </cell>
          <cell r="C107" t="str">
            <v/>
          </cell>
          <cell r="AH107" t="str">
            <v/>
          </cell>
          <cell r="AI107" t="str">
            <v/>
          </cell>
        </row>
        <row r="108">
          <cell r="B108" t="str">
            <v/>
          </cell>
          <cell r="C108" t="str">
            <v/>
          </cell>
          <cell r="AH108" t="str">
            <v/>
          </cell>
          <cell r="AI108" t="str">
            <v/>
          </cell>
        </row>
        <row r="109">
          <cell r="B109" t="str">
            <v/>
          </cell>
          <cell r="C109" t="str">
            <v/>
          </cell>
          <cell r="AH109" t="str">
            <v/>
          </cell>
          <cell r="AI109" t="str">
            <v/>
          </cell>
        </row>
        <row r="110">
          <cell r="B110" t="str">
            <v/>
          </cell>
          <cell r="C110" t="str">
            <v/>
          </cell>
          <cell r="AH110" t="str">
            <v/>
          </cell>
          <cell r="AI110" t="str">
            <v/>
          </cell>
        </row>
        <row r="111">
          <cell r="B111" t="str">
            <v/>
          </cell>
          <cell r="C111" t="str">
            <v/>
          </cell>
          <cell r="AH111" t="str">
            <v/>
          </cell>
          <cell r="AI111" t="str">
            <v/>
          </cell>
        </row>
        <row r="112">
          <cell r="B112" t="str">
            <v/>
          </cell>
          <cell r="C112" t="str">
            <v/>
          </cell>
          <cell r="AH112" t="str">
            <v/>
          </cell>
          <cell r="AI112" t="str">
            <v/>
          </cell>
        </row>
        <row r="113">
          <cell r="B113" t="str">
            <v/>
          </cell>
          <cell r="C113" t="str">
            <v/>
          </cell>
          <cell r="AH113" t="str">
            <v/>
          </cell>
          <cell r="AI113" t="str">
            <v/>
          </cell>
        </row>
        <row r="114">
          <cell r="B114" t="str">
            <v/>
          </cell>
          <cell r="C114" t="str">
            <v/>
          </cell>
          <cell r="AH114" t="str">
            <v/>
          </cell>
          <cell r="AI114" t="str">
            <v/>
          </cell>
        </row>
        <row r="115">
          <cell r="B115" t="str">
            <v/>
          </cell>
          <cell r="C115" t="str">
            <v/>
          </cell>
          <cell r="AH115" t="str">
            <v/>
          </cell>
          <cell r="AI115" t="str">
            <v/>
          </cell>
        </row>
        <row r="116">
          <cell r="B116" t="str">
            <v/>
          </cell>
          <cell r="C116" t="str">
            <v/>
          </cell>
          <cell r="AH116" t="str">
            <v/>
          </cell>
          <cell r="AI116" t="str">
            <v/>
          </cell>
        </row>
        <row r="117">
          <cell r="B117" t="str">
            <v/>
          </cell>
          <cell r="C117" t="str">
            <v/>
          </cell>
          <cell r="AH117" t="str">
            <v/>
          </cell>
          <cell r="AI117" t="str">
            <v/>
          </cell>
        </row>
        <row r="118">
          <cell r="B118" t="str">
            <v/>
          </cell>
          <cell r="C118" t="str">
            <v/>
          </cell>
          <cell r="AH118" t="str">
            <v/>
          </cell>
          <cell r="AI118" t="str">
            <v/>
          </cell>
        </row>
        <row r="119">
          <cell r="B119" t="str">
            <v/>
          </cell>
          <cell r="C119" t="str">
            <v/>
          </cell>
          <cell r="AH119" t="str">
            <v/>
          </cell>
          <cell r="AI119" t="str">
            <v/>
          </cell>
        </row>
        <row r="120">
          <cell r="B120" t="str">
            <v/>
          </cell>
          <cell r="C120" t="str">
            <v/>
          </cell>
          <cell r="AH120" t="str">
            <v/>
          </cell>
          <cell r="AI120" t="str">
            <v/>
          </cell>
        </row>
        <row r="121">
          <cell r="B121" t="str">
            <v/>
          </cell>
          <cell r="C121" t="str">
            <v/>
          </cell>
          <cell r="AH121" t="str">
            <v/>
          </cell>
          <cell r="AI121" t="str">
            <v/>
          </cell>
        </row>
        <row r="122">
          <cell r="B122" t="str">
            <v/>
          </cell>
          <cell r="C122" t="str">
            <v/>
          </cell>
          <cell r="AH122" t="str">
            <v/>
          </cell>
          <cell r="AI122" t="str">
            <v/>
          </cell>
        </row>
        <row r="123">
          <cell r="B123" t="str">
            <v/>
          </cell>
          <cell r="C123" t="str">
            <v/>
          </cell>
          <cell r="AH123" t="str">
            <v/>
          </cell>
          <cell r="AI123" t="str">
            <v/>
          </cell>
        </row>
        <row r="124">
          <cell r="B124" t="str">
            <v/>
          </cell>
          <cell r="C124" t="str">
            <v/>
          </cell>
          <cell r="AH124" t="str">
            <v/>
          </cell>
          <cell r="AI124" t="str">
            <v/>
          </cell>
        </row>
        <row r="125">
          <cell r="B125" t="str">
            <v/>
          </cell>
          <cell r="C125" t="str">
            <v/>
          </cell>
          <cell r="AH125" t="str">
            <v/>
          </cell>
          <cell r="AI125" t="str">
            <v/>
          </cell>
        </row>
        <row r="126">
          <cell r="B126" t="str">
            <v/>
          </cell>
          <cell r="C126" t="str">
            <v/>
          </cell>
          <cell r="AH126" t="str">
            <v/>
          </cell>
          <cell r="AI126" t="str">
            <v/>
          </cell>
        </row>
        <row r="127">
          <cell r="B127" t="str">
            <v/>
          </cell>
          <cell r="C127" t="str">
            <v/>
          </cell>
          <cell r="AH127" t="str">
            <v/>
          </cell>
          <cell r="AI127" t="str">
            <v/>
          </cell>
        </row>
        <row r="128">
          <cell r="B128" t="str">
            <v/>
          </cell>
          <cell r="C128" t="str">
            <v/>
          </cell>
          <cell r="AH128" t="str">
            <v/>
          </cell>
          <cell r="AI128" t="str">
            <v/>
          </cell>
        </row>
        <row r="129">
          <cell r="B129" t="str">
            <v/>
          </cell>
          <cell r="C129" t="str">
            <v/>
          </cell>
          <cell r="AH129" t="str">
            <v/>
          </cell>
          <cell r="AI129" t="str">
            <v/>
          </cell>
        </row>
        <row r="130">
          <cell r="B130" t="str">
            <v/>
          </cell>
          <cell r="C130" t="str">
            <v/>
          </cell>
          <cell r="AH130" t="str">
            <v/>
          </cell>
          <cell r="AI130" t="str">
            <v/>
          </cell>
        </row>
        <row r="131">
          <cell r="B131" t="str">
            <v/>
          </cell>
          <cell r="C131" t="str">
            <v/>
          </cell>
          <cell r="AH131" t="str">
            <v/>
          </cell>
          <cell r="AI131" t="str">
            <v/>
          </cell>
        </row>
        <row r="132">
          <cell r="B132" t="str">
            <v/>
          </cell>
          <cell r="C132" t="str">
            <v/>
          </cell>
          <cell r="AH132" t="str">
            <v/>
          </cell>
          <cell r="AI132" t="str">
            <v/>
          </cell>
        </row>
        <row r="133">
          <cell r="B133" t="str">
            <v/>
          </cell>
          <cell r="C133" t="str">
            <v/>
          </cell>
          <cell r="AH133" t="str">
            <v/>
          </cell>
          <cell r="AI133" t="str">
            <v/>
          </cell>
        </row>
        <row r="134">
          <cell r="B134" t="str">
            <v/>
          </cell>
          <cell r="C134" t="str">
            <v/>
          </cell>
          <cell r="AH134" t="str">
            <v/>
          </cell>
          <cell r="AI134" t="str">
            <v/>
          </cell>
        </row>
        <row r="135">
          <cell r="B135" t="str">
            <v/>
          </cell>
          <cell r="C135" t="str">
            <v/>
          </cell>
          <cell r="AH135" t="str">
            <v/>
          </cell>
          <cell r="AI135" t="str">
            <v/>
          </cell>
        </row>
        <row r="136">
          <cell r="B136" t="str">
            <v/>
          </cell>
          <cell r="C136" t="str">
            <v/>
          </cell>
          <cell r="AH136" t="str">
            <v/>
          </cell>
          <cell r="AI136" t="str">
            <v/>
          </cell>
        </row>
        <row r="137">
          <cell r="B137" t="str">
            <v/>
          </cell>
          <cell r="C137" t="str">
            <v/>
          </cell>
          <cell r="AH137" t="str">
            <v/>
          </cell>
          <cell r="AI137" t="str">
            <v/>
          </cell>
        </row>
        <row r="138">
          <cell r="B138" t="str">
            <v/>
          </cell>
          <cell r="C138" t="str">
            <v/>
          </cell>
          <cell r="AH138" t="str">
            <v/>
          </cell>
          <cell r="AI138" t="str">
            <v/>
          </cell>
        </row>
        <row r="139">
          <cell r="B139" t="str">
            <v/>
          </cell>
          <cell r="C139" t="str">
            <v/>
          </cell>
          <cell r="AH139" t="str">
            <v/>
          </cell>
          <cell r="AI139" t="str">
            <v/>
          </cell>
        </row>
        <row r="140">
          <cell r="B140" t="str">
            <v/>
          </cell>
          <cell r="C140" t="str">
            <v/>
          </cell>
          <cell r="AH140" t="str">
            <v/>
          </cell>
          <cell r="AI140" t="str">
            <v/>
          </cell>
        </row>
        <row r="141">
          <cell r="B141" t="str">
            <v/>
          </cell>
          <cell r="C141" t="str">
            <v/>
          </cell>
          <cell r="AH141" t="str">
            <v/>
          </cell>
          <cell r="AI141" t="str">
            <v/>
          </cell>
        </row>
        <row r="142">
          <cell r="B142" t="str">
            <v/>
          </cell>
          <cell r="C142" t="str">
            <v/>
          </cell>
          <cell r="AH142" t="str">
            <v/>
          </cell>
          <cell r="AI142" t="str">
            <v/>
          </cell>
        </row>
        <row r="143">
          <cell r="B143" t="str">
            <v/>
          </cell>
          <cell r="C143" t="str">
            <v/>
          </cell>
          <cell r="AH143" t="str">
            <v/>
          </cell>
          <cell r="AI143" t="str">
            <v/>
          </cell>
        </row>
        <row r="144">
          <cell r="B144" t="str">
            <v/>
          </cell>
          <cell r="C144" t="str">
            <v/>
          </cell>
          <cell r="AH144" t="str">
            <v/>
          </cell>
          <cell r="AI144" t="str">
            <v/>
          </cell>
        </row>
        <row r="145">
          <cell r="B145" t="str">
            <v/>
          </cell>
          <cell r="C145" t="str">
            <v/>
          </cell>
          <cell r="AH145" t="str">
            <v/>
          </cell>
          <cell r="AI145" t="str">
            <v/>
          </cell>
        </row>
        <row r="146">
          <cell r="B146" t="str">
            <v/>
          </cell>
          <cell r="C146" t="str">
            <v/>
          </cell>
          <cell r="AH146" t="str">
            <v/>
          </cell>
          <cell r="AI146" t="str">
            <v/>
          </cell>
        </row>
        <row r="147">
          <cell r="B147" t="str">
            <v/>
          </cell>
          <cell r="C147" t="str">
            <v/>
          </cell>
          <cell r="AH147" t="str">
            <v/>
          </cell>
          <cell r="AI147" t="str">
            <v/>
          </cell>
        </row>
        <row r="148">
          <cell r="B148" t="str">
            <v/>
          </cell>
          <cell r="C148" t="str">
            <v/>
          </cell>
          <cell r="AH148" t="str">
            <v/>
          </cell>
          <cell r="AI148" t="str">
            <v/>
          </cell>
        </row>
        <row r="149">
          <cell r="B149" t="str">
            <v/>
          </cell>
          <cell r="C149" t="str">
            <v/>
          </cell>
          <cell r="AH149" t="str">
            <v/>
          </cell>
          <cell r="AI149" t="str">
            <v/>
          </cell>
        </row>
        <row r="150">
          <cell r="B150" t="str">
            <v/>
          </cell>
          <cell r="C150" t="str">
            <v/>
          </cell>
          <cell r="AH150" t="str">
            <v/>
          </cell>
          <cell r="AI150" t="str">
            <v/>
          </cell>
        </row>
        <row r="151">
          <cell r="B151" t="str">
            <v/>
          </cell>
          <cell r="C151" t="str">
            <v/>
          </cell>
          <cell r="AH151" t="str">
            <v/>
          </cell>
          <cell r="AI151" t="str">
            <v/>
          </cell>
        </row>
        <row r="152">
          <cell r="B152" t="str">
            <v/>
          </cell>
          <cell r="C152" t="str">
            <v/>
          </cell>
          <cell r="AH152" t="str">
            <v/>
          </cell>
          <cell r="AI152" t="str">
            <v/>
          </cell>
        </row>
        <row r="153">
          <cell r="B153" t="str">
            <v/>
          </cell>
          <cell r="C153" t="str">
            <v/>
          </cell>
          <cell r="AH153" t="str">
            <v/>
          </cell>
          <cell r="AI153" t="str">
            <v/>
          </cell>
        </row>
        <row r="154">
          <cell r="B154" t="str">
            <v/>
          </cell>
          <cell r="C154" t="str">
            <v/>
          </cell>
          <cell r="AH154" t="str">
            <v/>
          </cell>
          <cell r="AI154" t="str">
            <v/>
          </cell>
        </row>
        <row r="155">
          <cell r="B155" t="str">
            <v/>
          </cell>
          <cell r="C155" t="str">
            <v/>
          </cell>
          <cell r="AH155" t="str">
            <v/>
          </cell>
          <cell r="AI155" t="str">
            <v/>
          </cell>
        </row>
        <row r="156">
          <cell r="B156" t="str">
            <v/>
          </cell>
          <cell r="C156" t="str">
            <v/>
          </cell>
          <cell r="AH156" t="str">
            <v/>
          </cell>
          <cell r="AI156" t="str">
            <v/>
          </cell>
        </row>
        <row r="157">
          <cell r="B157" t="str">
            <v/>
          </cell>
          <cell r="C157" t="str">
            <v/>
          </cell>
          <cell r="AH157" t="str">
            <v/>
          </cell>
          <cell r="AI157" t="str">
            <v/>
          </cell>
        </row>
        <row r="158">
          <cell r="B158" t="str">
            <v/>
          </cell>
          <cell r="C158" t="str">
            <v/>
          </cell>
          <cell r="AH158" t="str">
            <v/>
          </cell>
          <cell r="AI158" t="str">
            <v/>
          </cell>
        </row>
        <row r="159">
          <cell r="B159" t="str">
            <v/>
          </cell>
          <cell r="C159" t="str">
            <v/>
          </cell>
          <cell r="AH159" t="str">
            <v/>
          </cell>
          <cell r="AI159" t="str">
            <v/>
          </cell>
        </row>
        <row r="160">
          <cell r="B160" t="str">
            <v/>
          </cell>
          <cell r="C160" t="str">
            <v/>
          </cell>
          <cell r="AH160" t="str">
            <v/>
          </cell>
          <cell r="AI160" t="str">
            <v/>
          </cell>
        </row>
        <row r="161">
          <cell r="B161" t="str">
            <v/>
          </cell>
          <cell r="C161" t="str">
            <v/>
          </cell>
          <cell r="AH161" t="str">
            <v/>
          </cell>
          <cell r="AI161" t="str">
            <v/>
          </cell>
        </row>
        <row r="162">
          <cell r="B162" t="str">
            <v/>
          </cell>
          <cell r="C162" t="str">
            <v/>
          </cell>
          <cell r="AH162" t="str">
            <v/>
          </cell>
          <cell r="AI162" t="str">
            <v/>
          </cell>
        </row>
        <row r="163">
          <cell r="B163" t="str">
            <v/>
          </cell>
          <cell r="C163" t="str">
            <v/>
          </cell>
          <cell r="AH163" t="str">
            <v/>
          </cell>
          <cell r="AI163" t="str">
            <v/>
          </cell>
        </row>
        <row r="164">
          <cell r="B164" t="str">
            <v/>
          </cell>
          <cell r="C164" t="str">
            <v/>
          </cell>
          <cell r="AH164" t="str">
            <v/>
          </cell>
          <cell r="AI164" t="str">
            <v/>
          </cell>
        </row>
        <row r="165">
          <cell r="B165" t="str">
            <v/>
          </cell>
          <cell r="C165" t="str">
            <v/>
          </cell>
          <cell r="AH165" t="str">
            <v/>
          </cell>
          <cell r="AI165" t="str">
            <v/>
          </cell>
        </row>
        <row r="166">
          <cell r="B166" t="str">
            <v/>
          </cell>
          <cell r="C166" t="str">
            <v/>
          </cell>
          <cell r="AH166" t="str">
            <v/>
          </cell>
          <cell r="AI166" t="str">
            <v/>
          </cell>
        </row>
        <row r="167">
          <cell r="B167" t="str">
            <v/>
          </cell>
          <cell r="C167" t="str">
            <v/>
          </cell>
          <cell r="AH167" t="str">
            <v/>
          </cell>
          <cell r="AI167" t="str">
            <v/>
          </cell>
        </row>
        <row r="168">
          <cell r="B168" t="str">
            <v/>
          </cell>
          <cell r="C168" t="str">
            <v/>
          </cell>
          <cell r="AH168" t="str">
            <v/>
          </cell>
          <cell r="AI168" t="str">
            <v/>
          </cell>
        </row>
        <row r="169">
          <cell r="B169" t="str">
            <v/>
          </cell>
          <cell r="C169" t="str">
            <v/>
          </cell>
          <cell r="AH169" t="str">
            <v/>
          </cell>
          <cell r="AI169" t="str">
            <v/>
          </cell>
        </row>
        <row r="170">
          <cell r="B170" t="str">
            <v/>
          </cell>
          <cell r="C170" t="str">
            <v/>
          </cell>
          <cell r="AH170" t="str">
            <v/>
          </cell>
          <cell r="AI170" t="str">
            <v/>
          </cell>
        </row>
        <row r="171">
          <cell r="B171" t="str">
            <v/>
          </cell>
          <cell r="C171" t="str">
            <v/>
          </cell>
          <cell r="AH171" t="str">
            <v/>
          </cell>
          <cell r="AI171" t="str">
            <v/>
          </cell>
        </row>
        <row r="172">
          <cell r="B172" t="str">
            <v/>
          </cell>
          <cell r="C172" t="str">
            <v/>
          </cell>
          <cell r="AH172" t="str">
            <v/>
          </cell>
          <cell r="AI172" t="str">
            <v/>
          </cell>
        </row>
        <row r="173">
          <cell r="B173" t="str">
            <v/>
          </cell>
          <cell r="C173" t="str">
            <v/>
          </cell>
          <cell r="AH173" t="str">
            <v/>
          </cell>
          <cell r="AI173" t="str">
            <v/>
          </cell>
        </row>
        <row r="174">
          <cell r="B174" t="str">
            <v/>
          </cell>
          <cell r="C174" t="str">
            <v/>
          </cell>
          <cell r="AH174" t="str">
            <v/>
          </cell>
          <cell r="AI174" t="str">
            <v/>
          </cell>
        </row>
        <row r="175">
          <cell r="B175" t="str">
            <v/>
          </cell>
          <cell r="C175" t="str">
            <v/>
          </cell>
          <cell r="AH175" t="str">
            <v/>
          </cell>
          <cell r="AI175" t="str">
            <v/>
          </cell>
        </row>
        <row r="176">
          <cell r="B176" t="str">
            <v/>
          </cell>
          <cell r="C176" t="str">
            <v/>
          </cell>
          <cell r="AH176" t="str">
            <v/>
          </cell>
          <cell r="AI176" t="str">
            <v/>
          </cell>
        </row>
        <row r="177">
          <cell r="B177" t="str">
            <v/>
          </cell>
          <cell r="C177" t="str">
            <v/>
          </cell>
          <cell r="AH177" t="str">
            <v/>
          </cell>
          <cell r="AI177" t="str">
            <v/>
          </cell>
        </row>
        <row r="178">
          <cell r="B178" t="str">
            <v/>
          </cell>
          <cell r="C178" t="str">
            <v/>
          </cell>
          <cell r="AH178" t="str">
            <v/>
          </cell>
          <cell r="AI178" t="str">
            <v/>
          </cell>
        </row>
        <row r="179">
          <cell r="B179" t="str">
            <v/>
          </cell>
          <cell r="C179" t="str">
            <v/>
          </cell>
          <cell r="AH179" t="str">
            <v/>
          </cell>
          <cell r="AI179" t="str">
            <v/>
          </cell>
        </row>
        <row r="180">
          <cell r="B180" t="str">
            <v/>
          </cell>
          <cell r="C180" t="str">
            <v/>
          </cell>
          <cell r="AH180" t="str">
            <v/>
          </cell>
          <cell r="AI180" t="str">
            <v/>
          </cell>
        </row>
        <row r="181">
          <cell r="B181" t="str">
            <v/>
          </cell>
          <cell r="C181" t="str">
            <v/>
          </cell>
          <cell r="AH181" t="str">
            <v/>
          </cell>
          <cell r="AI181" t="str">
            <v/>
          </cell>
        </row>
        <row r="182">
          <cell r="B182" t="str">
            <v/>
          </cell>
          <cell r="C182" t="str">
            <v/>
          </cell>
          <cell r="AH182" t="str">
            <v/>
          </cell>
          <cell r="AI182" t="str">
            <v/>
          </cell>
        </row>
        <row r="183">
          <cell r="B183" t="str">
            <v/>
          </cell>
          <cell r="C183" t="str">
            <v/>
          </cell>
          <cell r="AH183" t="str">
            <v/>
          </cell>
          <cell r="AI183" t="str">
            <v/>
          </cell>
        </row>
        <row r="184">
          <cell r="B184" t="str">
            <v/>
          </cell>
          <cell r="C184" t="str">
            <v/>
          </cell>
          <cell r="AH184" t="str">
            <v/>
          </cell>
          <cell r="AI184" t="str">
            <v/>
          </cell>
        </row>
        <row r="185">
          <cell r="B185" t="str">
            <v/>
          </cell>
          <cell r="C185" t="str">
            <v/>
          </cell>
          <cell r="AH185" t="str">
            <v/>
          </cell>
          <cell r="AI185" t="str">
            <v/>
          </cell>
        </row>
        <row r="186">
          <cell r="B186" t="str">
            <v/>
          </cell>
          <cell r="C186" t="str">
            <v/>
          </cell>
          <cell r="AH186" t="str">
            <v/>
          </cell>
          <cell r="AI186" t="str">
            <v/>
          </cell>
        </row>
        <row r="187">
          <cell r="B187" t="str">
            <v/>
          </cell>
          <cell r="C187" t="str">
            <v/>
          </cell>
          <cell r="AH187" t="str">
            <v/>
          </cell>
          <cell r="AI187" t="str">
            <v/>
          </cell>
        </row>
        <row r="188">
          <cell r="B188" t="str">
            <v/>
          </cell>
          <cell r="C188" t="str">
            <v/>
          </cell>
          <cell r="AH188" t="str">
            <v/>
          </cell>
          <cell r="AI188" t="str">
            <v/>
          </cell>
        </row>
        <row r="189">
          <cell r="B189" t="str">
            <v/>
          </cell>
          <cell r="C189" t="str">
            <v/>
          </cell>
          <cell r="AH189" t="str">
            <v/>
          </cell>
          <cell r="AI189" t="str">
            <v/>
          </cell>
        </row>
        <row r="190">
          <cell r="B190" t="str">
            <v/>
          </cell>
          <cell r="C190" t="str">
            <v/>
          </cell>
          <cell r="AH190" t="str">
            <v/>
          </cell>
          <cell r="AI190" t="str">
            <v/>
          </cell>
        </row>
        <row r="191">
          <cell r="B191" t="str">
            <v/>
          </cell>
          <cell r="C191" t="str">
            <v/>
          </cell>
          <cell r="AH191" t="str">
            <v/>
          </cell>
          <cell r="AI191" t="str">
            <v/>
          </cell>
        </row>
        <row r="192">
          <cell r="B192" t="str">
            <v/>
          </cell>
          <cell r="C192" t="str">
            <v/>
          </cell>
          <cell r="AH192" t="str">
            <v/>
          </cell>
          <cell r="AI192" t="str">
            <v/>
          </cell>
        </row>
        <row r="193">
          <cell r="B193" t="str">
            <v/>
          </cell>
          <cell r="C193" t="str">
            <v/>
          </cell>
          <cell r="AH193" t="str">
            <v/>
          </cell>
          <cell r="AI193" t="str">
            <v/>
          </cell>
        </row>
        <row r="194">
          <cell r="B194" t="str">
            <v/>
          </cell>
          <cell r="C194" t="str">
            <v/>
          </cell>
          <cell r="AH194" t="str">
            <v/>
          </cell>
          <cell r="AI194" t="str">
            <v/>
          </cell>
        </row>
        <row r="195">
          <cell r="B195" t="str">
            <v/>
          </cell>
          <cell r="C195" t="str">
            <v/>
          </cell>
          <cell r="AH195" t="str">
            <v/>
          </cell>
          <cell r="AI195" t="str">
            <v/>
          </cell>
        </row>
        <row r="196">
          <cell r="B196" t="str">
            <v/>
          </cell>
          <cell r="C196" t="str">
            <v/>
          </cell>
          <cell r="AH196" t="str">
            <v/>
          </cell>
          <cell r="AI196" t="str">
            <v/>
          </cell>
        </row>
        <row r="197">
          <cell r="B197" t="str">
            <v/>
          </cell>
          <cell r="C197" t="str">
            <v/>
          </cell>
          <cell r="AH197" t="str">
            <v/>
          </cell>
          <cell r="AI197" t="str">
            <v/>
          </cell>
        </row>
        <row r="198">
          <cell r="B198" t="str">
            <v/>
          </cell>
          <cell r="C198" t="str">
            <v/>
          </cell>
          <cell r="AH198" t="str">
            <v/>
          </cell>
          <cell r="AI198" t="str">
            <v/>
          </cell>
        </row>
        <row r="199">
          <cell r="B199" t="str">
            <v/>
          </cell>
          <cell r="C199" t="str">
            <v/>
          </cell>
          <cell r="AH199" t="str">
            <v/>
          </cell>
          <cell r="AI199" t="str">
            <v/>
          </cell>
        </row>
        <row r="200">
          <cell r="B200" t="str">
            <v/>
          </cell>
          <cell r="C200" t="str">
            <v/>
          </cell>
          <cell r="AH200" t="str">
            <v/>
          </cell>
          <cell r="AI200" t="str">
            <v/>
          </cell>
        </row>
        <row r="201">
          <cell r="B201" t="str">
            <v/>
          </cell>
          <cell r="C201" t="str">
            <v/>
          </cell>
          <cell r="AH201" t="str">
            <v/>
          </cell>
          <cell r="AI201" t="str">
            <v/>
          </cell>
        </row>
        <row r="202">
          <cell r="B202" t="str">
            <v/>
          </cell>
          <cell r="C202" t="str">
            <v/>
          </cell>
          <cell r="AH202" t="str">
            <v/>
          </cell>
          <cell r="AI202" t="str">
            <v/>
          </cell>
        </row>
        <row r="203">
          <cell r="B203" t="str">
            <v/>
          </cell>
          <cell r="C203" t="str">
            <v/>
          </cell>
          <cell r="AH203" t="str">
            <v/>
          </cell>
          <cell r="AI203" t="str">
            <v/>
          </cell>
        </row>
        <row r="204">
          <cell r="B204" t="str">
            <v/>
          </cell>
          <cell r="C204" t="str">
            <v/>
          </cell>
          <cell r="AH204" t="str">
            <v/>
          </cell>
          <cell r="AI204" t="str">
            <v/>
          </cell>
        </row>
        <row r="205">
          <cell r="B205" t="str">
            <v/>
          </cell>
          <cell r="C205" t="str">
            <v/>
          </cell>
          <cell r="AH205" t="str">
            <v/>
          </cell>
          <cell r="AI205" t="str">
            <v/>
          </cell>
        </row>
        <row r="206">
          <cell r="B206" t="str">
            <v/>
          </cell>
          <cell r="C206" t="str">
            <v/>
          </cell>
          <cell r="AH206" t="str">
            <v/>
          </cell>
          <cell r="AI206" t="str">
            <v/>
          </cell>
        </row>
        <row r="207">
          <cell r="B207" t="str">
            <v/>
          </cell>
          <cell r="C207" t="str">
            <v/>
          </cell>
          <cell r="AH207" t="str">
            <v/>
          </cell>
          <cell r="AI207" t="str">
            <v/>
          </cell>
        </row>
        <row r="208">
          <cell r="B208" t="str">
            <v/>
          </cell>
          <cell r="C208" t="str">
            <v/>
          </cell>
          <cell r="AH208" t="str">
            <v/>
          </cell>
          <cell r="AI208" t="str">
            <v/>
          </cell>
        </row>
        <row r="209">
          <cell r="B209" t="str">
            <v/>
          </cell>
          <cell r="C209" t="str">
            <v/>
          </cell>
          <cell r="AH209" t="str">
            <v/>
          </cell>
          <cell r="AI209" t="str">
            <v/>
          </cell>
        </row>
        <row r="210">
          <cell r="B210" t="str">
            <v/>
          </cell>
          <cell r="C210" t="str">
            <v/>
          </cell>
          <cell r="AH210" t="str">
            <v/>
          </cell>
          <cell r="AI210" t="str">
            <v/>
          </cell>
        </row>
        <row r="211">
          <cell r="B211" t="str">
            <v/>
          </cell>
          <cell r="C211" t="str">
            <v/>
          </cell>
          <cell r="AH211" t="str">
            <v/>
          </cell>
          <cell r="AI211" t="str">
            <v/>
          </cell>
        </row>
        <row r="212">
          <cell r="B212" t="str">
            <v/>
          </cell>
          <cell r="C212" t="str">
            <v/>
          </cell>
          <cell r="AH212" t="str">
            <v/>
          </cell>
          <cell r="AI212" t="str">
            <v/>
          </cell>
        </row>
        <row r="213">
          <cell r="B213" t="str">
            <v/>
          </cell>
          <cell r="C213" t="str">
            <v/>
          </cell>
          <cell r="AH213" t="str">
            <v/>
          </cell>
          <cell r="AI213" t="str">
            <v/>
          </cell>
        </row>
        <row r="214">
          <cell r="B214" t="str">
            <v/>
          </cell>
          <cell r="C214" t="str">
            <v/>
          </cell>
          <cell r="AH214" t="str">
            <v/>
          </cell>
          <cell r="AI214" t="str">
            <v/>
          </cell>
        </row>
        <row r="215">
          <cell r="B215" t="str">
            <v/>
          </cell>
          <cell r="C215" t="str">
            <v/>
          </cell>
          <cell r="AH215" t="str">
            <v/>
          </cell>
          <cell r="AI215" t="str">
            <v/>
          </cell>
        </row>
        <row r="216">
          <cell r="B216" t="str">
            <v/>
          </cell>
          <cell r="C216" t="str">
            <v/>
          </cell>
          <cell r="AH216" t="str">
            <v/>
          </cell>
          <cell r="AI216" t="str">
            <v/>
          </cell>
        </row>
        <row r="217">
          <cell r="B217" t="str">
            <v/>
          </cell>
          <cell r="C217" t="str">
            <v/>
          </cell>
          <cell r="AH217" t="str">
            <v/>
          </cell>
          <cell r="AI217" t="str">
            <v/>
          </cell>
        </row>
        <row r="218">
          <cell r="B218" t="str">
            <v/>
          </cell>
          <cell r="C218" t="str">
            <v/>
          </cell>
          <cell r="AH218" t="str">
            <v/>
          </cell>
          <cell r="AI218" t="str">
            <v/>
          </cell>
        </row>
        <row r="219">
          <cell r="B219" t="str">
            <v/>
          </cell>
          <cell r="C219" t="str">
            <v/>
          </cell>
          <cell r="AH219" t="str">
            <v/>
          </cell>
          <cell r="AI219" t="str">
            <v/>
          </cell>
        </row>
        <row r="220">
          <cell r="B220" t="str">
            <v/>
          </cell>
          <cell r="C220" t="str">
            <v/>
          </cell>
          <cell r="AH220" t="str">
            <v/>
          </cell>
          <cell r="AI220" t="str">
            <v/>
          </cell>
        </row>
        <row r="221">
          <cell r="B221" t="str">
            <v/>
          </cell>
          <cell r="C221" t="str">
            <v/>
          </cell>
          <cell r="AH221" t="str">
            <v/>
          </cell>
          <cell r="AI221" t="str">
            <v/>
          </cell>
        </row>
        <row r="222">
          <cell r="B222" t="str">
            <v/>
          </cell>
          <cell r="C222" t="str">
            <v/>
          </cell>
          <cell r="AH222" t="str">
            <v/>
          </cell>
          <cell r="AI222" t="str">
            <v/>
          </cell>
        </row>
        <row r="223">
          <cell r="B223" t="str">
            <v/>
          </cell>
          <cell r="C223" t="str">
            <v/>
          </cell>
          <cell r="AH223" t="str">
            <v/>
          </cell>
          <cell r="AI223" t="str">
            <v/>
          </cell>
        </row>
        <row r="224">
          <cell r="B224" t="str">
            <v/>
          </cell>
          <cell r="C224" t="str">
            <v/>
          </cell>
          <cell r="AH224" t="str">
            <v/>
          </cell>
          <cell r="AI224" t="str">
            <v/>
          </cell>
        </row>
        <row r="225">
          <cell r="B225" t="str">
            <v/>
          </cell>
          <cell r="C225" t="str">
            <v/>
          </cell>
          <cell r="AH225" t="str">
            <v/>
          </cell>
          <cell r="AI225" t="str">
            <v/>
          </cell>
        </row>
        <row r="226">
          <cell r="B226" t="str">
            <v/>
          </cell>
          <cell r="C226" t="str">
            <v/>
          </cell>
          <cell r="AH226" t="str">
            <v/>
          </cell>
          <cell r="AI226" t="str">
            <v/>
          </cell>
        </row>
        <row r="227">
          <cell r="B227" t="str">
            <v/>
          </cell>
          <cell r="C227" t="str">
            <v/>
          </cell>
          <cell r="AH227" t="str">
            <v/>
          </cell>
          <cell r="AI227" t="str">
            <v/>
          </cell>
        </row>
        <row r="228">
          <cell r="B228" t="str">
            <v/>
          </cell>
          <cell r="C228" t="str">
            <v/>
          </cell>
          <cell r="AH228" t="str">
            <v/>
          </cell>
          <cell r="AI228" t="str">
            <v/>
          </cell>
        </row>
        <row r="229">
          <cell r="B229" t="str">
            <v/>
          </cell>
          <cell r="C229" t="str">
            <v/>
          </cell>
          <cell r="AH229" t="str">
            <v/>
          </cell>
          <cell r="AI229" t="str">
            <v/>
          </cell>
        </row>
        <row r="230">
          <cell r="B230" t="str">
            <v/>
          </cell>
          <cell r="C230" t="str">
            <v/>
          </cell>
          <cell r="AH230" t="str">
            <v/>
          </cell>
          <cell r="AI230" t="str">
            <v/>
          </cell>
        </row>
        <row r="231">
          <cell r="B231" t="str">
            <v/>
          </cell>
          <cell r="C231" t="str">
            <v/>
          </cell>
          <cell r="AH231" t="str">
            <v/>
          </cell>
          <cell r="AI231" t="str">
            <v/>
          </cell>
        </row>
        <row r="232">
          <cell r="B232" t="str">
            <v/>
          </cell>
          <cell r="C232" t="str">
            <v/>
          </cell>
          <cell r="AH232" t="str">
            <v/>
          </cell>
          <cell r="AI232" t="str">
            <v/>
          </cell>
        </row>
        <row r="233">
          <cell r="B233" t="str">
            <v/>
          </cell>
          <cell r="C233" t="str">
            <v/>
          </cell>
          <cell r="AH233" t="str">
            <v/>
          </cell>
          <cell r="AI233" t="str">
            <v/>
          </cell>
        </row>
        <row r="234">
          <cell r="B234" t="str">
            <v/>
          </cell>
          <cell r="C234" t="str">
            <v/>
          </cell>
          <cell r="AH234" t="str">
            <v/>
          </cell>
          <cell r="AI234" t="str">
            <v/>
          </cell>
        </row>
        <row r="235">
          <cell r="B235" t="str">
            <v/>
          </cell>
          <cell r="C235" t="str">
            <v/>
          </cell>
          <cell r="AH235" t="str">
            <v/>
          </cell>
          <cell r="AI235" t="str">
            <v/>
          </cell>
        </row>
        <row r="236">
          <cell r="B236" t="str">
            <v/>
          </cell>
          <cell r="C236" t="str">
            <v/>
          </cell>
          <cell r="AH236" t="str">
            <v/>
          </cell>
          <cell r="AI236" t="str">
            <v/>
          </cell>
        </row>
        <row r="237">
          <cell r="B237" t="str">
            <v/>
          </cell>
          <cell r="C237" t="str">
            <v/>
          </cell>
          <cell r="AH237" t="str">
            <v/>
          </cell>
          <cell r="AI237" t="str">
            <v/>
          </cell>
        </row>
        <row r="238">
          <cell r="B238" t="str">
            <v/>
          </cell>
          <cell r="C238" t="str">
            <v/>
          </cell>
          <cell r="AH238" t="str">
            <v/>
          </cell>
          <cell r="AI238" t="str">
            <v/>
          </cell>
        </row>
        <row r="239">
          <cell r="B239" t="str">
            <v/>
          </cell>
          <cell r="C239" t="str">
            <v/>
          </cell>
          <cell r="AH239" t="str">
            <v/>
          </cell>
          <cell r="AI239" t="str">
            <v/>
          </cell>
        </row>
        <row r="240">
          <cell r="B240" t="str">
            <v/>
          </cell>
          <cell r="C240" t="str">
            <v/>
          </cell>
          <cell r="AH240" t="str">
            <v/>
          </cell>
          <cell r="AI240" t="str">
            <v/>
          </cell>
        </row>
        <row r="241">
          <cell r="B241" t="str">
            <v/>
          </cell>
          <cell r="C241" t="str">
            <v/>
          </cell>
          <cell r="AH241" t="str">
            <v/>
          </cell>
          <cell r="AI241" t="str">
            <v/>
          </cell>
        </row>
        <row r="242">
          <cell r="B242" t="str">
            <v/>
          </cell>
          <cell r="C242" t="str">
            <v/>
          </cell>
          <cell r="AH242" t="str">
            <v/>
          </cell>
          <cell r="AI242" t="str">
            <v/>
          </cell>
        </row>
        <row r="243">
          <cell r="B243" t="str">
            <v/>
          </cell>
          <cell r="C243" t="str">
            <v/>
          </cell>
          <cell r="AH243" t="str">
            <v/>
          </cell>
          <cell r="AI243" t="str">
            <v/>
          </cell>
        </row>
        <row r="244">
          <cell r="B244" t="str">
            <v/>
          </cell>
          <cell r="C244" t="str">
            <v/>
          </cell>
          <cell r="AH244" t="str">
            <v/>
          </cell>
          <cell r="AI244" t="str">
            <v/>
          </cell>
        </row>
        <row r="245">
          <cell r="B245" t="str">
            <v/>
          </cell>
          <cell r="C245" t="str">
            <v/>
          </cell>
          <cell r="AH245" t="str">
            <v/>
          </cell>
          <cell r="AI245" t="str">
            <v/>
          </cell>
        </row>
        <row r="246">
          <cell r="B246" t="str">
            <v/>
          </cell>
          <cell r="C246" t="str">
            <v/>
          </cell>
          <cell r="AH246" t="str">
            <v/>
          </cell>
          <cell r="AI246" t="str">
            <v/>
          </cell>
        </row>
        <row r="247">
          <cell r="B247" t="str">
            <v/>
          </cell>
          <cell r="C247" t="str">
            <v/>
          </cell>
          <cell r="AH247" t="str">
            <v/>
          </cell>
          <cell r="AI247" t="str">
            <v/>
          </cell>
        </row>
        <row r="248">
          <cell r="B248" t="str">
            <v/>
          </cell>
          <cell r="C248" t="str">
            <v/>
          </cell>
          <cell r="AH248" t="str">
            <v/>
          </cell>
          <cell r="AI248" t="str">
            <v/>
          </cell>
        </row>
        <row r="249">
          <cell r="B249" t="str">
            <v/>
          </cell>
          <cell r="C249" t="str">
            <v/>
          </cell>
          <cell r="AH249" t="str">
            <v/>
          </cell>
          <cell r="AI249" t="str">
            <v/>
          </cell>
        </row>
        <row r="250">
          <cell r="B250" t="str">
            <v/>
          </cell>
          <cell r="C250" t="str">
            <v/>
          </cell>
          <cell r="AH250" t="str">
            <v/>
          </cell>
          <cell r="AI250" t="str">
            <v/>
          </cell>
        </row>
        <row r="251">
          <cell r="B251" t="str">
            <v/>
          </cell>
          <cell r="C251" t="str">
            <v/>
          </cell>
          <cell r="AH251" t="str">
            <v/>
          </cell>
          <cell r="AI251" t="str">
            <v/>
          </cell>
        </row>
        <row r="252">
          <cell r="B252" t="str">
            <v/>
          </cell>
          <cell r="C252" t="str">
            <v/>
          </cell>
          <cell r="AH252" t="str">
            <v/>
          </cell>
          <cell r="AI252" t="str">
            <v/>
          </cell>
        </row>
        <row r="253">
          <cell r="B253" t="str">
            <v/>
          </cell>
          <cell r="C253" t="str">
            <v/>
          </cell>
          <cell r="AH253" t="str">
            <v/>
          </cell>
          <cell r="AI253" t="str">
            <v/>
          </cell>
        </row>
        <row r="254">
          <cell r="B254" t="str">
            <v/>
          </cell>
          <cell r="C254" t="str">
            <v/>
          </cell>
          <cell r="AH254" t="str">
            <v/>
          </cell>
          <cell r="AI254" t="str">
            <v/>
          </cell>
        </row>
        <row r="255">
          <cell r="B255" t="str">
            <v/>
          </cell>
          <cell r="C255" t="str">
            <v/>
          </cell>
          <cell r="AH255" t="str">
            <v/>
          </cell>
          <cell r="AI255" t="str">
            <v/>
          </cell>
        </row>
        <row r="256">
          <cell r="B256" t="str">
            <v/>
          </cell>
          <cell r="C256" t="str">
            <v/>
          </cell>
          <cell r="AH256" t="str">
            <v/>
          </cell>
          <cell r="AI256" t="str">
            <v/>
          </cell>
        </row>
        <row r="257">
          <cell r="B257" t="str">
            <v/>
          </cell>
          <cell r="C257" t="str">
            <v/>
          </cell>
          <cell r="AH257" t="str">
            <v/>
          </cell>
          <cell r="AI257" t="str">
            <v/>
          </cell>
        </row>
        <row r="258">
          <cell r="B258" t="str">
            <v/>
          </cell>
          <cell r="C258" t="str">
            <v/>
          </cell>
          <cell r="AH258" t="str">
            <v/>
          </cell>
          <cell r="AI258" t="str">
            <v/>
          </cell>
        </row>
        <row r="259">
          <cell r="B259" t="str">
            <v/>
          </cell>
          <cell r="C259" t="str">
            <v/>
          </cell>
          <cell r="AH259" t="str">
            <v/>
          </cell>
          <cell r="AI259" t="str">
            <v/>
          </cell>
        </row>
        <row r="260">
          <cell r="B260" t="str">
            <v/>
          </cell>
          <cell r="C260" t="str">
            <v/>
          </cell>
          <cell r="AH260" t="str">
            <v/>
          </cell>
          <cell r="AI260" t="str">
            <v/>
          </cell>
        </row>
        <row r="261">
          <cell r="B261" t="str">
            <v/>
          </cell>
          <cell r="C261" t="str">
            <v/>
          </cell>
          <cell r="AH261" t="str">
            <v/>
          </cell>
          <cell r="AI261" t="str">
            <v/>
          </cell>
        </row>
        <row r="262">
          <cell r="B262" t="str">
            <v/>
          </cell>
          <cell r="C262" t="str">
            <v/>
          </cell>
          <cell r="AH262" t="str">
            <v/>
          </cell>
          <cell r="AI262" t="str">
            <v/>
          </cell>
        </row>
        <row r="263">
          <cell r="B263" t="str">
            <v/>
          </cell>
          <cell r="C263" t="str">
            <v/>
          </cell>
          <cell r="AH263" t="str">
            <v/>
          </cell>
          <cell r="AI263" t="str">
            <v/>
          </cell>
        </row>
        <row r="264">
          <cell r="B264" t="str">
            <v/>
          </cell>
          <cell r="C264" t="str">
            <v/>
          </cell>
          <cell r="AH264" t="str">
            <v/>
          </cell>
          <cell r="AI264" t="str">
            <v/>
          </cell>
        </row>
        <row r="265">
          <cell r="B265" t="str">
            <v/>
          </cell>
          <cell r="C265" t="str">
            <v/>
          </cell>
          <cell r="AH265" t="str">
            <v/>
          </cell>
          <cell r="AI265" t="str">
            <v/>
          </cell>
        </row>
        <row r="266">
          <cell r="B266" t="str">
            <v/>
          </cell>
          <cell r="C266" t="str">
            <v/>
          </cell>
          <cell r="AH266" t="str">
            <v/>
          </cell>
          <cell r="AI266" t="str">
            <v/>
          </cell>
        </row>
        <row r="267">
          <cell r="B267" t="str">
            <v/>
          </cell>
          <cell r="C267" t="str">
            <v/>
          </cell>
          <cell r="AH267" t="str">
            <v/>
          </cell>
          <cell r="AI267" t="str">
            <v/>
          </cell>
        </row>
        <row r="268">
          <cell r="B268" t="str">
            <v/>
          </cell>
          <cell r="C268" t="str">
            <v/>
          </cell>
          <cell r="AH268" t="str">
            <v/>
          </cell>
          <cell r="AI268" t="str">
            <v/>
          </cell>
        </row>
        <row r="269">
          <cell r="B269" t="str">
            <v/>
          </cell>
          <cell r="C269" t="str">
            <v/>
          </cell>
          <cell r="AH269" t="str">
            <v/>
          </cell>
          <cell r="AI269" t="str">
            <v/>
          </cell>
        </row>
        <row r="270">
          <cell r="B270" t="str">
            <v/>
          </cell>
          <cell r="C270" t="str">
            <v/>
          </cell>
          <cell r="AH270" t="str">
            <v/>
          </cell>
          <cell r="AI270" t="str">
            <v/>
          </cell>
        </row>
        <row r="271">
          <cell r="B271" t="str">
            <v/>
          </cell>
          <cell r="C271" t="str">
            <v/>
          </cell>
          <cell r="AH271" t="str">
            <v/>
          </cell>
          <cell r="AI271" t="str">
            <v/>
          </cell>
        </row>
        <row r="272">
          <cell r="B272" t="str">
            <v/>
          </cell>
          <cell r="C272" t="str">
            <v/>
          </cell>
          <cell r="AH272" t="str">
            <v/>
          </cell>
          <cell r="AI272" t="str">
            <v/>
          </cell>
        </row>
        <row r="273">
          <cell r="B273" t="str">
            <v/>
          </cell>
          <cell r="C273" t="str">
            <v/>
          </cell>
          <cell r="AH273" t="str">
            <v/>
          </cell>
          <cell r="AI273" t="str">
            <v/>
          </cell>
        </row>
        <row r="274">
          <cell r="B274" t="str">
            <v/>
          </cell>
          <cell r="C274" t="str">
            <v/>
          </cell>
          <cell r="AH274" t="str">
            <v/>
          </cell>
          <cell r="AI274" t="str">
            <v/>
          </cell>
        </row>
        <row r="275">
          <cell r="B275" t="str">
            <v/>
          </cell>
          <cell r="C275" t="str">
            <v/>
          </cell>
          <cell r="AH275" t="str">
            <v/>
          </cell>
          <cell r="AI275" t="str">
            <v/>
          </cell>
        </row>
        <row r="276">
          <cell r="B276" t="str">
            <v/>
          </cell>
          <cell r="C276" t="str">
            <v/>
          </cell>
          <cell r="AH276" t="str">
            <v/>
          </cell>
          <cell r="AI276" t="str">
            <v/>
          </cell>
        </row>
        <row r="277">
          <cell r="B277" t="str">
            <v/>
          </cell>
          <cell r="C277" t="str">
            <v/>
          </cell>
          <cell r="AH277" t="str">
            <v/>
          </cell>
          <cell r="AI277" t="str">
            <v/>
          </cell>
        </row>
        <row r="278">
          <cell r="B278" t="str">
            <v/>
          </cell>
          <cell r="C278" t="str">
            <v/>
          </cell>
          <cell r="AH278" t="str">
            <v/>
          </cell>
          <cell r="AI278" t="str">
            <v/>
          </cell>
        </row>
        <row r="279">
          <cell r="B279" t="str">
            <v/>
          </cell>
          <cell r="C279" t="str">
            <v/>
          </cell>
          <cell r="AH279" t="str">
            <v/>
          </cell>
          <cell r="AI279" t="str">
            <v/>
          </cell>
        </row>
        <row r="280">
          <cell r="B280" t="str">
            <v/>
          </cell>
          <cell r="C280" t="str">
            <v/>
          </cell>
          <cell r="AH280" t="str">
            <v/>
          </cell>
          <cell r="AI280" t="str">
            <v/>
          </cell>
        </row>
        <row r="281">
          <cell r="B281" t="str">
            <v/>
          </cell>
          <cell r="C281" t="str">
            <v/>
          </cell>
          <cell r="AH281" t="str">
            <v/>
          </cell>
          <cell r="AI281" t="str">
            <v/>
          </cell>
        </row>
        <row r="282">
          <cell r="B282" t="str">
            <v/>
          </cell>
          <cell r="C282" t="str">
            <v/>
          </cell>
          <cell r="AH282" t="str">
            <v/>
          </cell>
          <cell r="AI282" t="str">
            <v/>
          </cell>
        </row>
        <row r="283">
          <cell r="B283" t="str">
            <v/>
          </cell>
          <cell r="C283" t="str">
            <v/>
          </cell>
          <cell r="AH283" t="str">
            <v/>
          </cell>
          <cell r="AI283" t="str">
            <v/>
          </cell>
        </row>
        <row r="284">
          <cell r="B284" t="str">
            <v/>
          </cell>
          <cell r="C284" t="str">
            <v/>
          </cell>
          <cell r="AH284" t="str">
            <v/>
          </cell>
          <cell r="AI284" t="str">
            <v/>
          </cell>
        </row>
        <row r="285">
          <cell r="B285" t="str">
            <v/>
          </cell>
          <cell r="C285" t="str">
            <v/>
          </cell>
          <cell r="AH285" t="str">
            <v/>
          </cell>
          <cell r="AI285" t="str">
            <v/>
          </cell>
        </row>
        <row r="286">
          <cell r="B286" t="str">
            <v/>
          </cell>
          <cell r="C286" t="str">
            <v/>
          </cell>
          <cell r="AH286" t="str">
            <v/>
          </cell>
          <cell r="AI286" t="str">
            <v/>
          </cell>
        </row>
        <row r="287">
          <cell r="B287" t="str">
            <v/>
          </cell>
          <cell r="C287" t="str">
            <v/>
          </cell>
          <cell r="AH287" t="str">
            <v/>
          </cell>
          <cell r="AI287" t="str">
            <v/>
          </cell>
        </row>
        <row r="288">
          <cell r="B288" t="str">
            <v/>
          </cell>
          <cell r="C288" t="str">
            <v/>
          </cell>
          <cell r="AH288" t="str">
            <v/>
          </cell>
          <cell r="AI288" t="str">
            <v/>
          </cell>
        </row>
        <row r="289">
          <cell r="B289" t="str">
            <v/>
          </cell>
          <cell r="C289" t="str">
            <v/>
          </cell>
          <cell r="AH289" t="str">
            <v/>
          </cell>
          <cell r="AI289" t="str">
            <v/>
          </cell>
        </row>
        <row r="290">
          <cell r="B290" t="str">
            <v/>
          </cell>
          <cell r="C290" t="str">
            <v/>
          </cell>
          <cell r="AH290" t="str">
            <v/>
          </cell>
          <cell r="AI290" t="str">
            <v/>
          </cell>
        </row>
        <row r="291">
          <cell r="B291" t="str">
            <v/>
          </cell>
          <cell r="C291" t="str">
            <v/>
          </cell>
          <cell r="AH291" t="str">
            <v/>
          </cell>
          <cell r="AI291" t="str">
            <v/>
          </cell>
        </row>
        <row r="292">
          <cell r="B292" t="str">
            <v/>
          </cell>
          <cell r="C292" t="str">
            <v/>
          </cell>
          <cell r="AH292" t="str">
            <v/>
          </cell>
          <cell r="AI292" t="str">
            <v/>
          </cell>
        </row>
        <row r="293">
          <cell r="B293" t="str">
            <v/>
          </cell>
          <cell r="C293" t="str">
            <v/>
          </cell>
          <cell r="AH293" t="str">
            <v/>
          </cell>
          <cell r="AI293" t="str">
            <v/>
          </cell>
        </row>
        <row r="294">
          <cell r="B294" t="str">
            <v/>
          </cell>
          <cell r="C294" t="str">
            <v/>
          </cell>
          <cell r="AH294" t="str">
            <v/>
          </cell>
          <cell r="AI294" t="str">
            <v/>
          </cell>
        </row>
        <row r="295">
          <cell r="B295" t="str">
            <v/>
          </cell>
          <cell r="C295" t="str">
            <v/>
          </cell>
          <cell r="AH295" t="str">
            <v/>
          </cell>
          <cell r="AI295" t="str">
            <v/>
          </cell>
        </row>
        <row r="296">
          <cell r="B296" t="str">
            <v/>
          </cell>
          <cell r="C296" t="str">
            <v/>
          </cell>
          <cell r="AH296" t="str">
            <v/>
          </cell>
          <cell r="AI296" t="str">
            <v/>
          </cell>
        </row>
        <row r="297">
          <cell r="B297" t="str">
            <v/>
          </cell>
          <cell r="C297" t="str">
            <v/>
          </cell>
          <cell r="AH297" t="str">
            <v/>
          </cell>
          <cell r="AI297" t="str">
            <v/>
          </cell>
        </row>
        <row r="298">
          <cell r="B298" t="str">
            <v/>
          </cell>
          <cell r="C298" t="str">
            <v/>
          </cell>
          <cell r="AH298" t="str">
            <v/>
          </cell>
          <cell r="AI298" t="str">
            <v/>
          </cell>
        </row>
        <row r="299">
          <cell r="B299" t="str">
            <v/>
          </cell>
          <cell r="C299" t="str">
            <v/>
          </cell>
          <cell r="AH299" t="str">
            <v/>
          </cell>
          <cell r="AI299" t="str">
            <v/>
          </cell>
        </row>
        <row r="300">
          <cell r="B300" t="str">
            <v/>
          </cell>
          <cell r="C300" t="str">
            <v/>
          </cell>
          <cell r="AH300" t="str">
            <v/>
          </cell>
          <cell r="AI300" t="str">
            <v/>
          </cell>
        </row>
        <row r="301">
          <cell r="B301" t="str">
            <v/>
          </cell>
          <cell r="C301" t="str">
            <v/>
          </cell>
          <cell r="AH301" t="str">
            <v/>
          </cell>
          <cell r="AI301" t="str">
            <v/>
          </cell>
        </row>
        <row r="302">
          <cell r="B302" t="str">
            <v/>
          </cell>
          <cell r="C302" t="str">
            <v/>
          </cell>
          <cell r="AH302" t="str">
            <v/>
          </cell>
          <cell r="AI302" t="str">
            <v/>
          </cell>
        </row>
        <row r="303">
          <cell r="B303" t="str">
            <v/>
          </cell>
          <cell r="C303" t="str">
            <v/>
          </cell>
          <cell r="AH303" t="str">
            <v/>
          </cell>
          <cell r="AI303" t="str">
            <v/>
          </cell>
        </row>
        <row r="304">
          <cell r="B304" t="str">
            <v/>
          </cell>
          <cell r="C304" t="str">
            <v/>
          </cell>
          <cell r="AH304" t="str">
            <v/>
          </cell>
          <cell r="AI304" t="str">
            <v/>
          </cell>
        </row>
        <row r="305">
          <cell r="B305" t="str">
            <v/>
          </cell>
          <cell r="C305" t="str">
            <v/>
          </cell>
          <cell r="AH305" t="str">
            <v/>
          </cell>
          <cell r="AI305" t="str">
            <v/>
          </cell>
        </row>
        <row r="306">
          <cell r="B306" t="str">
            <v/>
          </cell>
          <cell r="C306" t="str">
            <v/>
          </cell>
          <cell r="AH306" t="str">
            <v/>
          </cell>
          <cell r="AI306" t="str">
            <v/>
          </cell>
        </row>
        <row r="307">
          <cell r="B307" t="str">
            <v/>
          </cell>
          <cell r="C307" t="str">
            <v/>
          </cell>
          <cell r="AH307" t="str">
            <v/>
          </cell>
          <cell r="AI307" t="str">
            <v/>
          </cell>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t="str">
            <v/>
          </cell>
          <cell r="C48" t="str">
            <v/>
          </cell>
          <cell r="AH48" t="str">
            <v/>
          </cell>
          <cell r="AI48" t="str">
            <v/>
          </cell>
        </row>
        <row r="49">
          <cell r="B49" t="str">
            <v/>
          </cell>
          <cell r="C49" t="str">
            <v/>
          </cell>
          <cell r="AH49" t="str">
            <v/>
          </cell>
          <cell r="AI49" t="str">
            <v/>
          </cell>
        </row>
        <row r="50">
          <cell r="B50" t="str">
            <v/>
          </cell>
          <cell r="C50" t="str">
            <v/>
          </cell>
          <cell r="AH50" t="str">
            <v/>
          </cell>
          <cell r="AI50" t="str">
            <v/>
          </cell>
        </row>
        <row r="51">
          <cell r="B51" t="str">
            <v/>
          </cell>
          <cell r="C51" t="str">
            <v/>
          </cell>
          <cell r="AH51" t="str">
            <v/>
          </cell>
          <cell r="AI51" t="str">
            <v/>
          </cell>
        </row>
        <row r="52">
          <cell r="B52" t="str">
            <v/>
          </cell>
          <cell r="C52" t="str">
            <v/>
          </cell>
          <cell r="AH52" t="str">
            <v/>
          </cell>
          <cell r="AI52" t="str">
            <v/>
          </cell>
        </row>
        <row r="53">
          <cell r="B53" t="str">
            <v/>
          </cell>
          <cell r="C53" t="str">
            <v/>
          </cell>
          <cell r="AH53" t="str">
            <v/>
          </cell>
          <cell r="AI53" t="str">
            <v/>
          </cell>
        </row>
        <row r="54">
          <cell r="B54" t="str">
            <v/>
          </cell>
          <cell r="C54" t="str">
            <v/>
          </cell>
          <cell r="AH54" t="str">
            <v/>
          </cell>
          <cell r="AI54" t="str">
            <v/>
          </cell>
        </row>
        <row r="55">
          <cell r="B55" t="str">
            <v/>
          </cell>
          <cell r="C55" t="str">
            <v/>
          </cell>
          <cell r="AH55" t="str">
            <v/>
          </cell>
          <cell r="AI55" t="str">
            <v/>
          </cell>
        </row>
        <row r="56">
          <cell r="B56" t="str">
            <v/>
          </cell>
          <cell r="C56" t="str">
            <v/>
          </cell>
          <cell r="AH56" t="str">
            <v/>
          </cell>
          <cell r="AI56" t="str">
            <v/>
          </cell>
        </row>
        <row r="57">
          <cell r="B57" t="str">
            <v/>
          </cell>
          <cell r="C57" t="str">
            <v/>
          </cell>
          <cell r="AH57" t="str">
            <v/>
          </cell>
          <cell r="AI57" t="str">
            <v/>
          </cell>
        </row>
        <row r="58">
          <cell r="B58" t="str">
            <v/>
          </cell>
          <cell r="C58" t="str">
            <v/>
          </cell>
          <cell r="AH58" t="str">
            <v/>
          </cell>
          <cell r="AI58" t="str">
            <v/>
          </cell>
        </row>
        <row r="59">
          <cell r="B59" t="str">
            <v/>
          </cell>
          <cell r="C59" t="str">
            <v/>
          </cell>
          <cell r="AH59" t="str">
            <v/>
          </cell>
          <cell r="AI59" t="str">
            <v/>
          </cell>
        </row>
        <row r="60">
          <cell r="B60" t="str">
            <v/>
          </cell>
          <cell r="C60" t="str">
            <v/>
          </cell>
          <cell r="AH60" t="str">
            <v/>
          </cell>
          <cell r="AI60" t="str">
            <v/>
          </cell>
        </row>
        <row r="61">
          <cell r="B61" t="str">
            <v/>
          </cell>
          <cell r="C61" t="str">
            <v/>
          </cell>
          <cell r="AH61" t="str">
            <v/>
          </cell>
          <cell r="AI61" t="str">
            <v/>
          </cell>
        </row>
        <row r="62">
          <cell r="B62" t="str">
            <v/>
          </cell>
          <cell r="C62" t="str">
            <v/>
          </cell>
          <cell r="AH62" t="str">
            <v/>
          </cell>
          <cell r="AI62" t="str">
            <v/>
          </cell>
        </row>
        <row r="63">
          <cell r="B63" t="str">
            <v/>
          </cell>
          <cell r="C63" t="str">
            <v/>
          </cell>
          <cell r="AH63" t="str">
            <v/>
          </cell>
          <cell r="AI63" t="str">
            <v/>
          </cell>
        </row>
        <row r="64">
          <cell r="B64" t="str">
            <v/>
          </cell>
          <cell r="C64" t="str">
            <v/>
          </cell>
          <cell r="AH64" t="str">
            <v/>
          </cell>
          <cell r="AI64" t="str">
            <v/>
          </cell>
        </row>
        <row r="65">
          <cell r="B65" t="str">
            <v/>
          </cell>
          <cell r="C65" t="str">
            <v/>
          </cell>
          <cell r="AH65" t="str">
            <v/>
          </cell>
          <cell r="AI65" t="str">
            <v/>
          </cell>
        </row>
        <row r="66">
          <cell r="B66" t="str">
            <v/>
          </cell>
          <cell r="C66" t="str">
            <v/>
          </cell>
          <cell r="AH66" t="str">
            <v/>
          </cell>
          <cell r="AI66" t="str">
            <v/>
          </cell>
        </row>
        <row r="67">
          <cell r="B67" t="str">
            <v/>
          </cell>
          <cell r="C67" t="str">
            <v/>
          </cell>
          <cell r="AH67" t="str">
            <v/>
          </cell>
          <cell r="AI67" t="str">
            <v/>
          </cell>
        </row>
        <row r="68">
          <cell r="B68" t="str">
            <v/>
          </cell>
          <cell r="C68" t="str">
            <v/>
          </cell>
          <cell r="AH68" t="str">
            <v/>
          </cell>
          <cell r="AI68" t="str">
            <v/>
          </cell>
        </row>
        <row r="69">
          <cell r="B69" t="str">
            <v/>
          </cell>
          <cell r="C69" t="str">
            <v/>
          </cell>
          <cell r="AH69" t="str">
            <v/>
          </cell>
          <cell r="AI69" t="str">
            <v/>
          </cell>
        </row>
        <row r="70">
          <cell r="B70" t="str">
            <v/>
          </cell>
          <cell r="C70" t="str">
            <v/>
          </cell>
          <cell r="AH70" t="str">
            <v/>
          </cell>
          <cell r="AI70" t="str">
            <v/>
          </cell>
        </row>
        <row r="71">
          <cell r="B71" t="str">
            <v/>
          </cell>
          <cell r="C71" t="str">
            <v/>
          </cell>
          <cell r="AH71" t="str">
            <v/>
          </cell>
          <cell r="AI71" t="str">
            <v/>
          </cell>
        </row>
        <row r="72">
          <cell r="B72" t="str">
            <v/>
          </cell>
          <cell r="C72" t="str">
            <v/>
          </cell>
          <cell r="AH72" t="str">
            <v/>
          </cell>
          <cell r="AI72" t="str">
            <v/>
          </cell>
        </row>
        <row r="73">
          <cell r="B73" t="str">
            <v/>
          </cell>
          <cell r="C73" t="str">
            <v/>
          </cell>
          <cell r="AH73" t="str">
            <v/>
          </cell>
          <cell r="AI73" t="str">
            <v/>
          </cell>
        </row>
        <row r="74">
          <cell r="B74" t="str">
            <v/>
          </cell>
          <cell r="C74" t="str">
            <v/>
          </cell>
          <cell r="AH74" t="str">
            <v/>
          </cell>
          <cell r="AI74" t="str">
            <v/>
          </cell>
        </row>
        <row r="75">
          <cell r="B75" t="str">
            <v/>
          </cell>
          <cell r="C75" t="str">
            <v/>
          </cell>
          <cell r="AH75" t="str">
            <v/>
          </cell>
          <cell r="AI75" t="str">
            <v/>
          </cell>
        </row>
        <row r="76">
          <cell r="B76" t="str">
            <v/>
          </cell>
          <cell r="C76" t="str">
            <v/>
          </cell>
          <cell r="AH76" t="str">
            <v/>
          </cell>
          <cell r="AI76" t="str">
            <v/>
          </cell>
        </row>
        <row r="77">
          <cell r="B77" t="str">
            <v/>
          </cell>
          <cell r="C77" t="str">
            <v/>
          </cell>
          <cell r="AH77" t="str">
            <v/>
          </cell>
          <cell r="AI77" t="str">
            <v/>
          </cell>
        </row>
        <row r="78">
          <cell r="B78" t="str">
            <v/>
          </cell>
          <cell r="C78" t="str">
            <v/>
          </cell>
          <cell r="AH78" t="str">
            <v/>
          </cell>
          <cell r="AI78" t="str">
            <v/>
          </cell>
        </row>
        <row r="79">
          <cell r="B79" t="str">
            <v/>
          </cell>
          <cell r="C79" t="str">
            <v/>
          </cell>
          <cell r="AH79" t="str">
            <v/>
          </cell>
          <cell r="AI79" t="str">
            <v/>
          </cell>
        </row>
        <row r="80">
          <cell r="B80" t="str">
            <v/>
          </cell>
          <cell r="C80" t="str">
            <v/>
          </cell>
          <cell r="AH80" t="str">
            <v/>
          </cell>
          <cell r="AI80" t="str">
            <v/>
          </cell>
        </row>
        <row r="81">
          <cell r="B81" t="str">
            <v/>
          </cell>
          <cell r="C81" t="str">
            <v/>
          </cell>
          <cell r="AH81" t="str">
            <v/>
          </cell>
          <cell r="AI81" t="str">
            <v/>
          </cell>
        </row>
        <row r="82">
          <cell r="B82" t="str">
            <v/>
          </cell>
          <cell r="C82" t="str">
            <v/>
          </cell>
          <cell r="AH82" t="str">
            <v/>
          </cell>
          <cell r="AI82" t="str">
            <v/>
          </cell>
        </row>
        <row r="83">
          <cell r="B83" t="str">
            <v/>
          </cell>
          <cell r="C83" t="str">
            <v/>
          </cell>
          <cell r="AH83" t="str">
            <v/>
          </cell>
          <cell r="AI83" t="str">
            <v/>
          </cell>
        </row>
        <row r="84">
          <cell r="B84" t="str">
            <v/>
          </cell>
          <cell r="C84" t="str">
            <v/>
          </cell>
          <cell r="AH84" t="str">
            <v/>
          </cell>
          <cell r="AI84" t="str">
            <v/>
          </cell>
        </row>
        <row r="85">
          <cell r="B85" t="str">
            <v/>
          </cell>
          <cell r="C85" t="str">
            <v/>
          </cell>
          <cell r="AH85" t="str">
            <v/>
          </cell>
          <cell r="AI85" t="str">
            <v/>
          </cell>
        </row>
        <row r="86">
          <cell r="B86" t="str">
            <v/>
          </cell>
          <cell r="C86" t="str">
            <v/>
          </cell>
          <cell r="AH86" t="str">
            <v/>
          </cell>
          <cell r="AI86" t="str">
            <v/>
          </cell>
        </row>
        <row r="87">
          <cell r="B87" t="str">
            <v/>
          </cell>
          <cell r="C87" t="str">
            <v/>
          </cell>
          <cell r="AH87" t="str">
            <v/>
          </cell>
          <cell r="AI87" t="str">
            <v/>
          </cell>
        </row>
        <row r="88">
          <cell r="B88" t="str">
            <v/>
          </cell>
          <cell r="C88" t="str">
            <v/>
          </cell>
          <cell r="AH88" t="str">
            <v/>
          </cell>
          <cell r="AI88" t="str">
            <v/>
          </cell>
        </row>
        <row r="89">
          <cell r="B89" t="str">
            <v/>
          </cell>
          <cell r="C89" t="str">
            <v/>
          </cell>
          <cell r="AH89" t="str">
            <v/>
          </cell>
          <cell r="AI89" t="str">
            <v/>
          </cell>
        </row>
        <row r="90">
          <cell r="B90" t="str">
            <v/>
          </cell>
          <cell r="C90" t="str">
            <v/>
          </cell>
          <cell r="AH90" t="str">
            <v/>
          </cell>
          <cell r="AI90" t="str">
            <v/>
          </cell>
        </row>
        <row r="91">
          <cell r="B91" t="str">
            <v/>
          </cell>
          <cell r="C91" t="str">
            <v/>
          </cell>
          <cell r="AH91" t="str">
            <v/>
          </cell>
          <cell r="AI91" t="str">
            <v/>
          </cell>
        </row>
        <row r="92">
          <cell r="B92" t="str">
            <v/>
          </cell>
          <cell r="C92" t="str">
            <v/>
          </cell>
          <cell r="AH92" t="str">
            <v/>
          </cell>
          <cell r="AI92" t="str">
            <v/>
          </cell>
        </row>
        <row r="93">
          <cell r="B93" t="str">
            <v/>
          </cell>
          <cell r="C93" t="str">
            <v/>
          </cell>
          <cell r="AH93" t="str">
            <v/>
          </cell>
          <cell r="AI93" t="str">
            <v/>
          </cell>
        </row>
        <row r="94">
          <cell r="B94" t="str">
            <v/>
          </cell>
          <cell r="C94" t="str">
            <v/>
          </cell>
          <cell r="AH94" t="str">
            <v/>
          </cell>
          <cell r="AI94" t="str">
            <v/>
          </cell>
        </row>
        <row r="95">
          <cell r="B95" t="str">
            <v/>
          </cell>
          <cell r="C95" t="str">
            <v/>
          </cell>
          <cell r="AH95" t="str">
            <v/>
          </cell>
          <cell r="AI95" t="str">
            <v/>
          </cell>
        </row>
        <row r="96">
          <cell r="B96" t="str">
            <v/>
          </cell>
          <cell r="C96" t="str">
            <v/>
          </cell>
          <cell r="AH96" t="str">
            <v/>
          </cell>
          <cell r="AI96" t="str">
            <v/>
          </cell>
        </row>
        <row r="97">
          <cell r="B97" t="str">
            <v/>
          </cell>
          <cell r="C97" t="str">
            <v/>
          </cell>
          <cell r="AH97" t="str">
            <v/>
          </cell>
          <cell r="AI97" t="str">
            <v/>
          </cell>
        </row>
        <row r="98">
          <cell r="B98" t="str">
            <v/>
          </cell>
          <cell r="C98" t="str">
            <v/>
          </cell>
          <cell r="AH98" t="str">
            <v/>
          </cell>
          <cell r="AI98" t="str">
            <v/>
          </cell>
        </row>
        <row r="99">
          <cell r="B99" t="str">
            <v/>
          </cell>
          <cell r="C99" t="str">
            <v/>
          </cell>
          <cell r="AH99" t="str">
            <v/>
          </cell>
          <cell r="AI99" t="str">
            <v/>
          </cell>
        </row>
        <row r="100">
          <cell r="B100" t="str">
            <v/>
          </cell>
          <cell r="C100" t="str">
            <v/>
          </cell>
          <cell r="AH100" t="str">
            <v/>
          </cell>
          <cell r="AI100" t="str">
            <v/>
          </cell>
        </row>
        <row r="101">
          <cell r="B101" t="str">
            <v/>
          </cell>
          <cell r="C101" t="str">
            <v/>
          </cell>
          <cell r="AH101" t="str">
            <v/>
          </cell>
          <cell r="AI101" t="str">
            <v/>
          </cell>
        </row>
        <row r="102">
          <cell r="B102" t="str">
            <v/>
          </cell>
          <cell r="C102" t="str">
            <v/>
          </cell>
          <cell r="AH102" t="str">
            <v/>
          </cell>
          <cell r="AI102" t="str">
            <v/>
          </cell>
        </row>
        <row r="103">
          <cell r="B103" t="str">
            <v/>
          </cell>
          <cell r="C103" t="str">
            <v/>
          </cell>
          <cell r="AH103" t="str">
            <v/>
          </cell>
          <cell r="AI103" t="str">
            <v/>
          </cell>
        </row>
        <row r="104">
          <cell r="B104" t="str">
            <v/>
          </cell>
          <cell r="C104" t="str">
            <v/>
          </cell>
          <cell r="AH104" t="str">
            <v/>
          </cell>
          <cell r="AI104" t="str">
            <v/>
          </cell>
        </row>
        <row r="105">
          <cell r="B105" t="str">
            <v/>
          </cell>
          <cell r="C105" t="str">
            <v/>
          </cell>
          <cell r="AH105" t="str">
            <v/>
          </cell>
          <cell r="AI105" t="str">
            <v/>
          </cell>
        </row>
        <row r="106">
          <cell r="B106" t="str">
            <v/>
          </cell>
          <cell r="C106" t="str">
            <v/>
          </cell>
          <cell r="AH106" t="str">
            <v/>
          </cell>
          <cell r="AI106" t="str">
            <v/>
          </cell>
        </row>
        <row r="107">
          <cell r="B107" t="str">
            <v/>
          </cell>
          <cell r="C107" t="str">
            <v/>
          </cell>
          <cell r="AH107" t="str">
            <v/>
          </cell>
          <cell r="AI107" t="str">
            <v/>
          </cell>
        </row>
        <row r="108">
          <cell r="B108" t="str">
            <v/>
          </cell>
          <cell r="C108" t="str">
            <v/>
          </cell>
          <cell r="AH108" t="str">
            <v/>
          </cell>
          <cell r="AI108" t="str">
            <v/>
          </cell>
        </row>
        <row r="109">
          <cell r="B109" t="str">
            <v/>
          </cell>
          <cell r="C109" t="str">
            <v/>
          </cell>
          <cell r="AH109" t="str">
            <v/>
          </cell>
          <cell r="AI109" t="str">
            <v/>
          </cell>
        </row>
        <row r="110">
          <cell r="B110" t="str">
            <v/>
          </cell>
          <cell r="C110" t="str">
            <v/>
          </cell>
          <cell r="AH110" t="str">
            <v/>
          </cell>
          <cell r="AI110" t="str">
            <v/>
          </cell>
        </row>
        <row r="111">
          <cell r="B111" t="str">
            <v/>
          </cell>
          <cell r="C111" t="str">
            <v/>
          </cell>
          <cell r="AH111" t="str">
            <v/>
          </cell>
          <cell r="AI111" t="str">
            <v/>
          </cell>
        </row>
        <row r="112">
          <cell r="B112" t="str">
            <v/>
          </cell>
          <cell r="C112" t="str">
            <v/>
          </cell>
          <cell r="AH112" t="str">
            <v/>
          </cell>
          <cell r="AI112" t="str">
            <v/>
          </cell>
        </row>
        <row r="113">
          <cell r="B113" t="str">
            <v/>
          </cell>
          <cell r="C113" t="str">
            <v/>
          </cell>
          <cell r="AH113" t="str">
            <v/>
          </cell>
          <cell r="AI113" t="str">
            <v/>
          </cell>
        </row>
        <row r="114">
          <cell r="B114" t="str">
            <v/>
          </cell>
          <cell r="C114" t="str">
            <v/>
          </cell>
          <cell r="AH114" t="str">
            <v/>
          </cell>
          <cell r="AI114" t="str">
            <v/>
          </cell>
        </row>
        <row r="115">
          <cell r="B115" t="str">
            <v/>
          </cell>
          <cell r="C115" t="str">
            <v/>
          </cell>
          <cell r="AH115" t="str">
            <v/>
          </cell>
          <cell r="AI115" t="str">
            <v/>
          </cell>
        </row>
        <row r="116">
          <cell r="B116" t="str">
            <v/>
          </cell>
          <cell r="C116" t="str">
            <v/>
          </cell>
          <cell r="AH116" t="str">
            <v/>
          </cell>
          <cell r="AI116" t="str">
            <v/>
          </cell>
        </row>
        <row r="117">
          <cell r="B117" t="str">
            <v/>
          </cell>
          <cell r="C117" t="str">
            <v/>
          </cell>
          <cell r="AH117" t="str">
            <v/>
          </cell>
          <cell r="AI117" t="str">
            <v/>
          </cell>
        </row>
        <row r="118">
          <cell r="B118" t="str">
            <v/>
          </cell>
          <cell r="C118" t="str">
            <v/>
          </cell>
          <cell r="AH118" t="str">
            <v/>
          </cell>
          <cell r="AI118" t="str">
            <v/>
          </cell>
        </row>
        <row r="119">
          <cell r="B119" t="str">
            <v/>
          </cell>
          <cell r="C119" t="str">
            <v/>
          </cell>
          <cell r="AH119" t="str">
            <v/>
          </cell>
          <cell r="AI119" t="str">
            <v/>
          </cell>
        </row>
        <row r="120">
          <cell r="B120" t="str">
            <v/>
          </cell>
          <cell r="C120" t="str">
            <v/>
          </cell>
          <cell r="AH120" t="str">
            <v/>
          </cell>
          <cell r="AI120" t="str">
            <v/>
          </cell>
        </row>
        <row r="121">
          <cell r="B121" t="str">
            <v/>
          </cell>
          <cell r="C121" t="str">
            <v/>
          </cell>
          <cell r="AH121" t="str">
            <v/>
          </cell>
          <cell r="AI121" t="str">
            <v/>
          </cell>
        </row>
        <row r="122">
          <cell r="B122" t="str">
            <v/>
          </cell>
          <cell r="C122" t="str">
            <v/>
          </cell>
          <cell r="AH122" t="str">
            <v/>
          </cell>
          <cell r="AI122" t="str">
            <v/>
          </cell>
        </row>
        <row r="123">
          <cell r="B123" t="str">
            <v/>
          </cell>
          <cell r="C123" t="str">
            <v/>
          </cell>
          <cell r="AH123" t="str">
            <v/>
          </cell>
          <cell r="AI123" t="str">
            <v/>
          </cell>
        </row>
        <row r="124">
          <cell r="B124" t="str">
            <v/>
          </cell>
          <cell r="C124" t="str">
            <v/>
          </cell>
          <cell r="AH124" t="str">
            <v/>
          </cell>
          <cell r="AI124" t="str">
            <v/>
          </cell>
        </row>
        <row r="125">
          <cell r="B125" t="str">
            <v/>
          </cell>
          <cell r="C125" t="str">
            <v/>
          </cell>
          <cell r="AH125" t="str">
            <v/>
          </cell>
          <cell r="AI125" t="str">
            <v/>
          </cell>
        </row>
        <row r="126">
          <cell r="B126" t="str">
            <v/>
          </cell>
          <cell r="C126" t="str">
            <v/>
          </cell>
          <cell r="AH126" t="str">
            <v/>
          </cell>
          <cell r="AI126" t="str">
            <v/>
          </cell>
        </row>
        <row r="127">
          <cell r="B127" t="str">
            <v/>
          </cell>
          <cell r="C127" t="str">
            <v/>
          </cell>
          <cell r="AH127" t="str">
            <v/>
          </cell>
          <cell r="AI127" t="str">
            <v/>
          </cell>
        </row>
        <row r="128">
          <cell r="B128" t="str">
            <v/>
          </cell>
          <cell r="C128" t="str">
            <v/>
          </cell>
          <cell r="AH128" t="str">
            <v/>
          </cell>
          <cell r="AI128" t="str">
            <v/>
          </cell>
        </row>
        <row r="129">
          <cell r="B129" t="str">
            <v/>
          </cell>
          <cell r="C129" t="str">
            <v/>
          </cell>
          <cell r="AH129" t="str">
            <v/>
          </cell>
          <cell r="AI129" t="str">
            <v/>
          </cell>
        </row>
        <row r="130">
          <cell r="B130" t="str">
            <v/>
          </cell>
          <cell r="C130" t="str">
            <v/>
          </cell>
          <cell r="AH130" t="str">
            <v/>
          </cell>
          <cell r="AI130" t="str">
            <v/>
          </cell>
        </row>
        <row r="131">
          <cell r="B131" t="str">
            <v/>
          </cell>
          <cell r="C131" t="str">
            <v/>
          </cell>
          <cell r="AH131" t="str">
            <v/>
          </cell>
          <cell r="AI131" t="str">
            <v/>
          </cell>
        </row>
        <row r="132">
          <cell r="B132" t="str">
            <v/>
          </cell>
          <cell r="C132" t="str">
            <v/>
          </cell>
          <cell r="AH132" t="str">
            <v/>
          </cell>
          <cell r="AI132" t="str">
            <v/>
          </cell>
        </row>
        <row r="133">
          <cell r="B133" t="str">
            <v/>
          </cell>
          <cell r="C133" t="str">
            <v/>
          </cell>
          <cell r="AH133" t="str">
            <v/>
          </cell>
          <cell r="AI133" t="str">
            <v/>
          </cell>
        </row>
        <row r="134">
          <cell r="B134" t="str">
            <v/>
          </cell>
          <cell r="C134" t="str">
            <v/>
          </cell>
          <cell r="AH134" t="str">
            <v/>
          </cell>
          <cell r="AI134" t="str">
            <v/>
          </cell>
        </row>
        <row r="135">
          <cell r="B135" t="str">
            <v/>
          </cell>
          <cell r="C135" t="str">
            <v/>
          </cell>
          <cell r="AH135" t="str">
            <v/>
          </cell>
          <cell r="AI135" t="str">
            <v/>
          </cell>
        </row>
        <row r="136">
          <cell r="B136" t="str">
            <v/>
          </cell>
          <cell r="C136" t="str">
            <v/>
          </cell>
          <cell r="AH136" t="str">
            <v/>
          </cell>
          <cell r="AI136" t="str">
            <v/>
          </cell>
        </row>
        <row r="137">
          <cell r="B137" t="str">
            <v/>
          </cell>
          <cell r="C137" t="str">
            <v/>
          </cell>
          <cell r="AH137" t="str">
            <v/>
          </cell>
          <cell r="AI137" t="str">
            <v/>
          </cell>
        </row>
        <row r="138">
          <cell r="B138" t="str">
            <v/>
          </cell>
          <cell r="C138" t="str">
            <v/>
          </cell>
          <cell r="AH138" t="str">
            <v/>
          </cell>
          <cell r="AI138" t="str">
            <v/>
          </cell>
        </row>
        <row r="139">
          <cell r="B139" t="str">
            <v/>
          </cell>
          <cell r="C139" t="str">
            <v/>
          </cell>
          <cell r="AH139" t="str">
            <v/>
          </cell>
          <cell r="AI139" t="str">
            <v/>
          </cell>
        </row>
        <row r="140">
          <cell r="B140" t="str">
            <v/>
          </cell>
          <cell r="C140" t="str">
            <v/>
          </cell>
          <cell r="AH140" t="str">
            <v/>
          </cell>
          <cell r="AI140" t="str">
            <v/>
          </cell>
        </row>
        <row r="141">
          <cell r="B141" t="str">
            <v/>
          </cell>
          <cell r="C141" t="str">
            <v/>
          </cell>
          <cell r="AH141" t="str">
            <v/>
          </cell>
          <cell r="AI141" t="str">
            <v/>
          </cell>
        </row>
        <row r="142">
          <cell r="B142" t="str">
            <v/>
          </cell>
          <cell r="C142" t="str">
            <v/>
          </cell>
          <cell r="AH142" t="str">
            <v/>
          </cell>
          <cell r="AI142" t="str">
            <v/>
          </cell>
        </row>
        <row r="143">
          <cell r="B143" t="str">
            <v/>
          </cell>
          <cell r="C143" t="str">
            <v/>
          </cell>
          <cell r="AH143" t="str">
            <v/>
          </cell>
          <cell r="AI143" t="str">
            <v/>
          </cell>
        </row>
        <row r="144">
          <cell r="B144" t="str">
            <v/>
          </cell>
          <cell r="C144" t="str">
            <v/>
          </cell>
          <cell r="AH144" t="str">
            <v/>
          </cell>
          <cell r="AI144" t="str">
            <v/>
          </cell>
        </row>
        <row r="145">
          <cell r="B145" t="str">
            <v/>
          </cell>
          <cell r="C145" t="str">
            <v/>
          </cell>
          <cell r="AH145" t="str">
            <v/>
          </cell>
          <cell r="AI145" t="str">
            <v/>
          </cell>
        </row>
        <row r="146">
          <cell r="B146" t="str">
            <v/>
          </cell>
          <cell r="C146" t="str">
            <v/>
          </cell>
          <cell r="AH146" t="str">
            <v/>
          </cell>
          <cell r="AI146" t="str">
            <v/>
          </cell>
        </row>
        <row r="147">
          <cell r="B147" t="str">
            <v/>
          </cell>
          <cell r="C147" t="str">
            <v/>
          </cell>
          <cell r="AH147" t="str">
            <v/>
          </cell>
          <cell r="AI147" t="str">
            <v/>
          </cell>
        </row>
        <row r="148">
          <cell r="B148" t="str">
            <v/>
          </cell>
          <cell r="C148" t="str">
            <v/>
          </cell>
          <cell r="AH148" t="str">
            <v/>
          </cell>
          <cell r="AI148" t="str">
            <v/>
          </cell>
        </row>
        <row r="149">
          <cell r="B149" t="str">
            <v/>
          </cell>
          <cell r="C149" t="str">
            <v/>
          </cell>
          <cell r="AH149" t="str">
            <v/>
          </cell>
          <cell r="AI149" t="str">
            <v/>
          </cell>
        </row>
        <row r="150">
          <cell r="B150" t="str">
            <v/>
          </cell>
          <cell r="C150" t="str">
            <v/>
          </cell>
          <cell r="AH150" t="str">
            <v/>
          </cell>
          <cell r="AI150" t="str">
            <v/>
          </cell>
        </row>
        <row r="151">
          <cell r="B151" t="str">
            <v/>
          </cell>
          <cell r="C151" t="str">
            <v/>
          </cell>
          <cell r="AH151" t="str">
            <v/>
          </cell>
          <cell r="AI151" t="str">
            <v/>
          </cell>
        </row>
        <row r="152">
          <cell r="B152" t="str">
            <v/>
          </cell>
          <cell r="C152" t="str">
            <v/>
          </cell>
          <cell r="AH152" t="str">
            <v/>
          </cell>
          <cell r="AI152" t="str">
            <v/>
          </cell>
        </row>
        <row r="153">
          <cell r="B153" t="str">
            <v/>
          </cell>
          <cell r="C153" t="str">
            <v/>
          </cell>
          <cell r="AH153" t="str">
            <v/>
          </cell>
          <cell r="AI153" t="str">
            <v/>
          </cell>
        </row>
        <row r="154">
          <cell r="B154" t="str">
            <v/>
          </cell>
          <cell r="C154" t="str">
            <v/>
          </cell>
          <cell r="AH154" t="str">
            <v/>
          </cell>
          <cell r="AI154" t="str">
            <v/>
          </cell>
        </row>
        <row r="155">
          <cell r="B155" t="str">
            <v/>
          </cell>
          <cell r="C155" t="str">
            <v/>
          </cell>
          <cell r="AH155" t="str">
            <v/>
          </cell>
          <cell r="AI155" t="str">
            <v/>
          </cell>
        </row>
        <row r="156">
          <cell r="B156" t="str">
            <v/>
          </cell>
          <cell r="C156" t="str">
            <v/>
          </cell>
          <cell r="AH156" t="str">
            <v/>
          </cell>
          <cell r="AI156" t="str">
            <v/>
          </cell>
        </row>
        <row r="157">
          <cell r="B157" t="str">
            <v/>
          </cell>
          <cell r="C157" t="str">
            <v/>
          </cell>
          <cell r="AH157" t="str">
            <v/>
          </cell>
          <cell r="AI157" t="str">
            <v/>
          </cell>
        </row>
        <row r="158">
          <cell r="B158" t="str">
            <v/>
          </cell>
          <cell r="C158" t="str">
            <v/>
          </cell>
          <cell r="AH158" t="str">
            <v/>
          </cell>
          <cell r="AI158" t="str">
            <v/>
          </cell>
        </row>
        <row r="159">
          <cell r="B159" t="str">
            <v/>
          </cell>
          <cell r="C159" t="str">
            <v/>
          </cell>
          <cell r="AH159" t="str">
            <v/>
          </cell>
          <cell r="AI159" t="str">
            <v/>
          </cell>
        </row>
        <row r="160">
          <cell r="B160" t="str">
            <v/>
          </cell>
          <cell r="C160" t="str">
            <v/>
          </cell>
          <cell r="AH160" t="str">
            <v/>
          </cell>
          <cell r="AI160" t="str">
            <v/>
          </cell>
        </row>
        <row r="161">
          <cell r="B161" t="str">
            <v/>
          </cell>
          <cell r="C161" t="str">
            <v/>
          </cell>
          <cell r="AH161" t="str">
            <v/>
          </cell>
          <cell r="AI161" t="str">
            <v/>
          </cell>
        </row>
        <row r="162">
          <cell r="B162" t="str">
            <v/>
          </cell>
          <cell r="C162" t="str">
            <v/>
          </cell>
          <cell r="AH162" t="str">
            <v/>
          </cell>
          <cell r="AI162" t="str">
            <v/>
          </cell>
        </row>
        <row r="163">
          <cell r="B163" t="str">
            <v/>
          </cell>
          <cell r="C163" t="str">
            <v/>
          </cell>
          <cell r="AH163" t="str">
            <v/>
          </cell>
          <cell r="AI163" t="str">
            <v/>
          </cell>
        </row>
        <row r="164">
          <cell r="B164" t="str">
            <v/>
          </cell>
          <cell r="C164" t="str">
            <v/>
          </cell>
          <cell r="AH164" t="str">
            <v/>
          </cell>
          <cell r="AI164" t="str">
            <v/>
          </cell>
        </row>
        <row r="165">
          <cell r="B165" t="str">
            <v/>
          </cell>
          <cell r="C165" t="str">
            <v/>
          </cell>
          <cell r="AH165" t="str">
            <v/>
          </cell>
          <cell r="AI165" t="str">
            <v/>
          </cell>
        </row>
        <row r="166">
          <cell r="B166" t="str">
            <v/>
          </cell>
          <cell r="C166" t="str">
            <v/>
          </cell>
          <cell r="AH166" t="str">
            <v/>
          </cell>
          <cell r="AI166" t="str">
            <v/>
          </cell>
        </row>
        <row r="167">
          <cell r="B167" t="str">
            <v/>
          </cell>
          <cell r="C167" t="str">
            <v/>
          </cell>
          <cell r="AH167" t="str">
            <v/>
          </cell>
          <cell r="AI167" t="str">
            <v/>
          </cell>
        </row>
        <row r="168">
          <cell r="B168" t="str">
            <v/>
          </cell>
          <cell r="C168" t="str">
            <v/>
          </cell>
          <cell r="AH168" t="str">
            <v/>
          </cell>
          <cell r="AI168" t="str">
            <v/>
          </cell>
        </row>
        <row r="169">
          <cell r="B169" t="str">
            <v/>
          </cell>
          <cell r="C169" t="str">
            <v/>
          </cell>
          <cell r="AH169" t="str">
            <v/>
          </cell>
          <cell r="AI169" t="str">
            <v/>
          </cell>
        </row>
        <row r="170">
          <cell r="B170" t="str">
            <v/>
          </cell>
          <cell r="C170" t="str">
            <v/>
          </cell>
          <cell r="AH170" t="str">
            <v/>
          </cell>
          <cell r="AI170" t="str">
            <v/>
          </cell>
        </row>
        <row r="171">
          <cell r="B171" t="str">
            <v/>
          </cell>
          <cell r="C171" t="str">
            <v/>
          </cell>
          <cell r="AH171" t="str">
            <v/>
          </cell>
          <cell r="AI171" t="str">
            <v/>
          </cell>
        </row>
        <row r="172">
          <cell r="B172" t="str">
            <v/>
          </cell>
          <cell r="C172" t="str">
            <v/>
          </cell>
          <cell r="AH172" t="str">
            <v/>
          </cell>
          <cell r="AI172" t="str">
            <v/>
          </cell>
        </row>
        <row r="173">
          <cell r="B173" t="str">
            <v/>
          </cell>
          <cell r="C173" t="str">
            <v/>
          </cell>
          <cell r="AH173" t="str">
            <v/>
          </cell>
          <cell r="AI173" t="str">
            <v/>
          </cell>
        </row>
        <row r="174">
          <cell r="B174" t="str">
            <v/>
          </cell>
          <cell r="C174" t="str">
            <v/>
          </cell>
          <cell r="AH174" t="str">
            <v/>
          </cell>
          <cell r="AI174" t="str">
            <v/>
          </cell>
        </row>
        <row r="175">
          <cell r="B175" t="str">
            <v/>
          </cell>
          <cell r="C175" t="str">
            <v/>
          </cell>
          <cell r="AH175" t="str">
            <v/>
          </cell>
          <cell r="AI175" t="str">
            <v/>
          </cell>
        </row>
        <row r="176">
          <cell r="B176" t="str">
            <v/>
          </cell>
          <cell r="C176" t="str">
            <v/>
          </cell>
          <cell r="AH176" t="str">
            <v/>
          </cell>
          <cell r="AI176" t="str">
            <v/>
          </cell>
        </row>
        <row r="177">
          <cell r="B177" t="str">
            <v/>
          </cell>
          <cell r="C177" t="str">
            <v/>
          </cell>
          <cell r="AH177" t="str">
            <v/>
          </cell>
          <cell r="AI177" t="str">
            <v/>
          </cell>
        </row>
        <row r="178">
          <cell r="B178" t="str">
            <v/>
          </cell>
          <cell r="C178" t="str">
            <v/>
          </cell>
          <cell r="AH178" t="str">
            <v/>
          </cell>
          <cell r="AI178" t="str">
            <v/>
          </cell>
        </row>
        <row r="179">
          <cell r="B179" t="str">
            <v/>
          </cell>
          <cell r="C179" t="str">
            <v/>
          </cell>
          <cell r="AH179" t="str">
            <v/>
          </cell>
          <cell r="AI179" t="str">
            <v/>
          </cell>
        </row>
        <row r="180">
          <cell r="B180" t="str">
            <v/>
          </cell>
          <cell r="C180" t="str">
            <v/>
          </cell>
          <cell r="AH180" t="str">
            <v/>
          </cell>
          <cell r="AI180" t="str">
            <v/>
          </cell>
        </row>
        <row r="181">
          <cell r="B181" t="str">
            <v/>
          </cell>
          <cell r="C181" t="str">
            <v/>
          </cell>
          <cell r="AH181" t="str">
            <v/>
          </cell>
          <cell r="AI181" t="str">
            <v/>
          </cell>
        </row>
        <row r="182">
          <cell r="B182" t="str">
            <v/>
          </cell>
          <cell r="C182" t="str">
            <v/>
          </cell>
          <cell r="AH182" t="str">
            <v/>
          </cell>
          <cell r="AI182" t="str">
            <v/>
          </cell>
        </row>
        <row r="183">
          <cell r="B183" t="str">
            <v/>
          </cell>
          <cell r="C183" t="str">
            <v/>
          </cell>
          <cell r="AH183" t="str">
            <v/>
          </cell>
          <cell r="AI183" t="str">
            <v/>
          </cell>
        </row>
        <row r="184">
          <cell r="B184" t="str">
            <v/>
          </cell>
          <cell r="C184" t="str">
            <v/>
          </cell>
          <cell r="AH184" t="str">
            <v/>
          </cell>
          <cell r="AI184" t="str">
            <v/>
          </cell>
        </row>
        <row r="185">
          <cell r="B185" t="str">
            <v/>
          </cell>
          <cell r="C185" t="str">
            <v/>
          </cell>
          <cell r="AH185" t="str">
            <v/>
          </cell>
          <cell r="AI185" t="str">
            <v/>
          </cell>
        </row>
        <row r="186">
          <cell r="B186" t="str">
            <v/>
          </cell>
          <cell r="C186" t="str">
            <v/>
          </cell>
          <cell r="AH186" t="str">
            <v/>
          </cell>
          <cell r="AI186" t="str">
            <v/>
          </cell>
        </row>
        <row r="187">
          <cell r="B187" t="str">
            <v/>
          </cell>
          <cell r="C187" t="str">
            <v/>
          </cell>
          <cell r="AH187" t="str">
            <v/>
          </cell>
          <cell r="AI187" t="str">
            <v/>
          </cell>
        </row>
        <row r="188">
          <cell r="B188" t="str">
            <v/>
          </cell>
          <cell r="C188" t="str">
            <v/>
          </cell>
          <cell r="AH188" t="str">
            <v/>
          </cell>
          <cell r="AI188" t="str">
            <v/>
          </cell>
        </row>
        <row r="189">
          <cell r="B189" t="str">
            <v/>
          </cell>
          <cell r="C189" t="str">
            <v/>
          </cell>
          <cell r="AH189" t="str">
            <v/>
          </cell>
          <cell r="AI189" t="str">
            <v/>
          </cell>
        </row>
        <row r="190">
          <cell r="B190" t="str">
            <v/>
          </cell>
          <cell r="C190" t="str">
            <v/>
          </cell>
          <cell r="AH190" t="str">
            <v/>
          </cell>
          <cell r="AI190" t="str">
            <v/>
          </cell>
        </row>
        <row r="191">
          <cell r="B191" t="str">
            <v/>
          </cell>
          <cell r="C191" t="str">
            <v/>
          </cell>
          <cell r="AH191" t="str">
            <v/>
          </cell>
          <cell r="AI191" t="str">
            <v/>
          </cell>
        </row>
        <row r="192">
          <cell r="B192" t="str">
            <v/>
          </cell>
          <cell r="C192" t="str">
            <v/>
          </cell>
          <cell r="AH192" t="str">
            <v/>
          </cell>
          <cell r="AI192" t="str">
            <v/>
          </cell>
        </row>
        <row r="193">
          <cell r="B193" t="str">
            <v/>
          </cell>
          <cell r="C193" t="str">
            <v/>
          </cell>
          <cell r="AH193" t="str">
            <v/>
          </cell>
          <cell r="AI193" t="str">
            <v/>
          </cell>
        </row>
        <row r="194">
          <cell r="B194" t="str">
            <v/>
          </cell>
          <cell r="C194" t="str">
            <v/>
          </cell>
          <cell r="AH194" t="str">
            <v/>
          </cell>
          <cell r="AI194" t="str">
            <v/>
          </cell>
        </row>
        <row r="195">
          <cell r="B195" t="str">
            <v/>
          </cell>
          <cell r="C195" t="str">
            <v/>
          </cell>
          <cell r="AH195" t="str">
            <v/>
          </cell>
          <cell r="AI195" t="str">
            <v/>
          </cell>
        </row>
        <row r="196">
          <cell r="B196" t="str">
            <v/>
          </cell>
          <cell r="C196" t="str">
            <v/>
          </cell>
          <cell r="AH196" t="str">
            <v/>
          </cell>
          <cell r="AI196" t="str">
            <v/>
          </cell>
        </row>
        <row r="197">
          <cell r="B197" t="str">
            <v/>
          </cell>
          <cell r="C197" t="str">
            <v/>
          </cell>
          <cell r="AH197" t="str">
            <v/>
          </cell>
          <cell r="AI197" t="str">
            <v/>
          </cell>
        </row>
        <row r="198">
          <cell r="B198" t="str">
            <v/>
          </cell>
          <cell r="C198" t="str">
            <v/>
          </cell>
          <cell r="AH198" t="str">
            <v/>
          </cell>
          <cell r="AI198" t="str">
            <v/>
          </cell>
        </row>
        <row r="199">
          <cell r="B199" t="str">
            <v/>
          </cell>
          <cell r="C199" t="str">
            <v/>
          </cell>
          <cell r="AH199" t="str">
            <v/>
          </cell>
          <cell r="AI199" t="str">
            <v/>
          </cell>
        </row>
        <row r="200">
          <cell r="B200" t="str">
            <v/>
          </cell>
          <cell r="C200" t="str">
            <v/>
          </cell>
          <cell r="AH200" t="str">
            <v/>
          </cell>
          <cell r="AI200" t="str">
            <v/>
          </cell>
        </row>
        <row r="201">
          <cell r="B201" t="str">
            <v/>
          </cell>
          <cell r="C201" t="str">
            <v/>
          </cell>
          <cell r="AH201" t="str">
            <v/>
          </cell>
          <cell r="AI201" t="str">
            <v/>
          </cell>
        </row>
        <row r="202">
          <cell r="B202" t="str">
            <v/>
          </cell>
          <cell r="C202" t="str">
            <v/>
          </cell>
          <cell r="AH202" t="str">
            <v/>
          </cell>
          <cell r="AI202" t="str">
            <v/>
          </cell>
        </row>
        <row r="203">
          <cell r="B203" t="str">
            <v/>
          </cell>
          <cell r="C203" t="str">
            <v/>
          </cell>
          <cell r="AH203" t="str">
            <v/>
          </cell>
          <cell r="AI203" t="str">
            <v/>
          </cell>
        </row>
        <row r="204">
          <cell r="B204" t="str">
            <v/>
          </cell>
          <cell r="C204" t="str">
            <v/>
          </cell>
          <cell r="AH204" t="str">
            <v/>
          </cell>
          <cell r="AI204" t="str">
            <v/>
          </cell>
        </row>
        <row r="205">
          <cell r="B205" t="str">
            <v/>
          </cell>
          <cell r="C205" t="str">
            <v/>
          </cell>
          <cell r="AH205" t="str">
            <v/>
          </cell>
          <cell r="AI205" t="str">
            <v/>
          </cell>
        </row>
        <row r="206">
          <cell r="B206" t="str">
            <v/>
          </cell>
          <cell r="C206" t="str">
            <v/>
          </cell>
          <cell r="AH206" t="str">
            <v/>
          </cell>
          <cell r="AI206" t="str">
            <v/>
          </cell>
        </row>
        <row r="207">
          <cell r="B207" t="str">
            <v/>
          </cell>
          <cell r="C207" t="str">
            <v/>
          </cell>
          <cell r="AH207" t="str">
            <v/>
          </cell>
          <cell r="AI207" t="str">
            <v/>
          </cell>
        </row>
        <row r="208">
          <cell r="B208" t="str">
            <v/>
          </cell>
          <cell r="C208" t="str">
            <v/>
          </cell>
          <cell r="AH208" t="str">
            <v/>
          </cell>
          <cell r="AI208" t="str">
            <v/>
          </cell>
        </row>
        <row r="209">
          <cell r="B209" t="str">
            <v/>
          </cell>
          <cell r="C209" t="str">
            <v/>
          </cell>
          <cell r="AH209" t="str">
            <v/>
          </cell>
          <cell r="AI209" t="str">
            <v/>
          </cell>
        </row>
        <row r="210">
          <cell r="B210" t="str">
            <v/>
          </cell>
          <cell r="C210" t="str">
            <v/>
          </cell>
          <cell r="AH210" t="str">
            <v/>
          </cell>
          <cell r="AI210" t="str">
            <v/>
          </cell>
        </row>
        <row r="211">
          <cell r="B211" t="str">
            <v/>
          </cell>
          <cell r="C211" t="str">
            <v/>
          </cell>
          <cell r="AH211" t="str">
            <v/>
          </cell>
          <cell r="AI211" t="str">
            <v/>
          </cell>
        </row>
        <row r="212">
          <cell r="B212" t="str">
            <v/>
          </cell>
          <cell r="C212" t="str">
            <v/>
          </cell>
          <cell r="AH212" t="str">
            <v/>
          </cell>
          <cell r="AI212" t="str">
            <v/>
          </cell>
        </row>
        <row r="213">
          <cell r="B213" t="str">
            <v/>
          </cell>
          <cell r="C213" t="str">
            <v/>
          </cell>
          <cell r="AH213" t="str">
            <v/>
          </cell>
          <cell r="AI213" t="str">
            <v/>
          </cell>
        </row>
        <row r="214">
          <cell r="B214" t="str">
            <v/>
          </cell>
          <cell r="C214" t="str">
            <v/>
          </cell>
          <cell r="AH214" t="str">
            <v/>
          </cell>
          <cell r="AI214" t="str">
            <v/>
          </cell>
        </row>
        <row r="215">
          <cell r="B215" t="str">
            <v/>
          </cell>
          <cell r="C215" t="str">
            <v/>
          </cell>
          <cell r="AH215" t="str">
            <v/>
          </cell>
          <cell r="AI215" t="str">
            <v/>
          </cell>
        </row>
        <row r="216">
          <cell r="B216" t="str">
            <v/>
          </cell>
          <cell r="C216" t="str">
            <v/>
          </cell>
          <cell r="AH216" t="str">
            <v/>
          </cell>
          <cell r="AI216" t="str">
            <v/>
          </cell>
        </row>
        <row r="217">
          <cell r="B217" t="str">
            <v/>
          </cell>
          <cell r="C217" t="str">
            <v/>
          </cell>
          <cell r="AH217" t="str">
            <v/>
          </cell>
          <cell r="AI217" t="str">
            <v/>
          </cell>
        </row>
        <row r="218">
          <cell r="B218" t="str">
            <v/>
          </cell>
          <cell r="C218" t="str">
            <v/>
          </cell>
          <cell r="AH218" t="str">
            <v/>
          </cell>
          <cell r="AI218" t="str">
            <v/>
          </cell>
        </row>
        <row r="219">
          <cell r="B219" t="str">
            <v/>
          </cell>
          <cell r="C219" t="str">
            <v/>
          </cell>
          <cell r="AH219" t="str">
            <v/>
          </cell>
          <cell r="AI219" t="str">
            <v/>
          </cell>
        </row>
        <row r="220">
          <cell r="B220" t="str">
            <v/>
          </cell>
          <cell r="C220" t="str">
            <v/>
          </cell>
          <cell r="AH220" t="str">
            <v/>
          </cell>
          <cell r="AI220" t="str">
            <v/>
          </cell>
        </row>
        <row r="221">
          <cell r="B221" t="str">
            <v/>
          </cell>
          <cell r="C221" t="str">
            <v/>
          </cell>
          <cell r="AH221" t="str">
            <v/>
          </cell>
          <cell r="AI221" t="str">
            <v/>
          </cell>
        </row>
        <row r="222">
          <cell r="B222" t="str">
            <v/>
          </cell>
          <cell r="C222" t="str">
            <v/>
          </cell>
          <cell r="AH222" t="str">
            <v/>
          </cell>
          <cell r="AI222" t="str">
            <v/>
          </cell>
        </row>
        <row r="223">
          <cell r="B223" t="str">
            <v/>
          </cell>
          <cell r="C223" t="str">
            <v/>
          </cell>
          <cell r="AH223" t="str">
            <v/>
          </cell>
          <cell r="AI223" t="str">
            <v/>
          </cell>
        </row>
        <row r="224">
          <cell r="B224" t="str">
            <v/>
          </cell>
          <cell r="C224" t="str">
            <v/>
          </cell>
          <cell r="AH224" t="str">
            <v/>
          </cell>
          <cell r="AI224" t="str">
            <v/>
          </cell>
        </row>
        <row r="225">
          <cell r="B225" t="str">
            <v/>
          </cell>
          <cell r="C225" t="str">
            <v/>
          </cell>
          <cell r="AH225" t="str">
            <v/>
          </cell>
          <cell r="AI225" t="str">
            <v/>
          </cell>
        </row>
        <row r="226">
          <cell r="B226" t="str">
            <v/>
          </cell>
          <cell r="C226" t="str">
            <v/>
          </cell>
          <cell r="AH226" t="str">
            <v/>
          </cell>
          <cell r="AI226" t="str">
            <v/>
          </cell>
        </row>
        <row r="227">
          <cell r="B227" t="str">
            <v/>
          </cell>
          <cell r="C227" t="str">
            <v/>
          </cell>
          <cell r="AH227" t="str">
            <v/>
          </cell>
          <cell r="AI227" t="str">
            <v/>
          </cell>
        </row>
        <row r="228">
          <cell r="B228" t="str">
            <v/>
          </cell>
          <cell r="C228" t="str">
            <v/>
          </cell>
          <cell r="AH228" t="str">
            <v/>
          </cell>
          <cell r="AI228" t="str">
            <v/>
          </cell>
        </row>
        <row r="229">
          <cell r="B229" t="str">
            <v/>
          </cell>
          <cell r="C229" t="str">
            <v/>
          </cell>
          <cell r="AH229" t="str">
            <v/>
          </cell>
          <cell r="AI229" t="str">
            <v/>
          </cell>
        </row>
        <row r="230">
          <cell r="B230" t="str">
            <v/>
          </cell>
          <cell r="C230" t="str">
            <v/>
          </cell>
          <cell r="AH230" t="str">
            <v/>
          </cell>
          <cell r="AI230" t="str">
            <v/>
          </cell>
        </row>
        <row r="231">
          <cell r="B231" t="str">
            <v/>
          </cell>
          <cell r="C231" t="str">
            <v/>
          </cell>
          <cell r="AH231" t="str">
            <v/>
          </cell>
          <cell r="AI231" t="str">
            <v/>
          </cell>
        </row>
        <row r="232">
          <cell r="B232" t="str">
            <v/>
          </cell>
          <cell r="C232" t="str">
            <v/>
          </cell>
          <cell r="AH232" t="str">
            <v/>
          </cell>
          <cell r="AI232" t="str">
            <v/>
          </cell>
        </row>
        <row r="233">
          <cell r="B233" t="str">
            <v/>
          </cell>
          <cell r="C233" t="str">
            <v/>
          </cell>
          <cell r="AH233" t="str">
            <v/>
          </cell>
          <cell r="AI233" t="str">
            <v/>
          </cell>
        </row>
        <row r="234">
          <cell r="B234" t="str">
            <v/>
          </cell>
          <cell r="C234" t="str">
            <v/>
          </cell>
          <cell r="AH234" t="str">
            <v/>
          </cell>
          <cell r="AI234" t="str">
            <v/>
          </cell>
        </row>
        <row r="235">
          <cell r="B235" t="str">
            <v/>
          </cell>
          <cell r="C235" t="str">
            <v/>
          </cell>
          <cell r="AH235" t="str">
            <v/>
          </cell>
          <cell r="AI235" t="str">
            <v/>
          </cell>
        </row>
        <row r="236">
          <cell r="B236" t="str">
            <v/>
          </cell>
          <cell r="C236" t="str">
            <v/>
          </cell>
          <cell r="AH236" t="str">
            <v/>
          </cell>
          <cell r="AI236" t="str">
            <v/>
          </cell>
        </row>
        <row r="237">
          <cell r="B237" t="str">
            <v/>
          </cell>
          <cell r="C237" t="str">
            <v/>
          </cell>
          <cell r="AH237" t="str">
            <v/>
          </cell>
          <cell r="AI237" t="str">
            <v/>
          </cell>
        </row>
        <row r="238">
          <cell r="B238" t="str">
            <v/>
          </cell>
          <cell r="C238" t="str">
            <v/>
          </cell>
          <cell r="AH238" t="str">
            <v/>
          </cell>
          <cell r="AI238" t="str">
            <v/>
          </cell>
        </row>
        <row r="239">
          <cell r="B239" t="str">
            <v/>
          </cell>
          <cell r="C239" t="str">
            <v/>
          </cell>
          <cell r="AH239" t="str">
            <v/>
          </cell>
          <cell r="AI239" t="str">
            <v/>
          </cell>
        </row>
        <row r="240">
          <cell r="B240" t="str">
            <v/>
          </cell>
          <cell r="C240" t="str">
            <v/>
          </cell>
          <cell r="AH240" t="str">
            <v/>
          </cell>
          <cell r="AI240" t="str">
            <v/>
          </cell>
        </row>
        <row r="241">
          <cell r="B241" t="str">
            <v/>
          </cell>
          <cell r="C241" t="str">
            <v/>
          </cell>
          <cell r="AH241" t="str">
            <v/>
          </cell>
          <cell r="AI241" t="str">
            <v/>
          </cell>
        </row>
        <row r="242">
          <cell r="B242" t="str">
            <v/>
          </cell>
          <cell r="C242" t="str">
            <v/>
          </cell>
          <cell r="AH242" t="str">
            <v/>
          </cell>
          <cell r="AI242" t="str">
            <v/>
          </cell>
        </row>
        <row r="243">
          <cell r="B243" t="str">
            <v/>
          </cell>
          <cell r="C243" t="str">
            <v/>
          </cell>
          <cell r="AH243" t="str">
            <v/>
          </cell>
          <cell r="AI243" t="str">
            <v/>
          </cell>
        </row>
        <row r="244">
          <cell r="B244" t="str">
            <v/>
          </cell>
          <cell r="C244" t="str">
            <v/>
          </cell>
          <cell r="AH244" t="str">
            <v/>
          </cell>
          <cell r="AI244" t="str">
            <v/>
          </cell>
        </row>
        <row r="245">
          <cell r="B245" t="str">
            <v/>
          </cell>
          <cell r="C245" t="str">
            <v/>
          </cell>
          <cell r="AH245" t="str">
            <v/>
          </cell>
          <cell r="AI245" t="str">
            <v/>
          </cell>
        </row>
        <row r="246">
          <cell r="B246" t="str">
            <v/>
          </cell>
          <cell r="C246" t="str">
            <v/>
          </cell>
          <cell r="AH246" t="str">
            <v/>
          </cell>
          <cell r="AI246" t="str">
            <v/>
          </cell>
        </row>
        <row r="247">
          <cell r="B247" t="str">
            <v/>
          </cell>
          <cell r="C247" t="str">
            <v/>
          </cell>
          <cell r="AH247" t="str">
            <v/>
          </cell>
          <cell r="AI247" t="str">
            <v/>
          </cell>
        </row>
        <row r="248">
          <cell r="B248" t="str">
            <v/>
          </cell>
          <cell r="C248" t="str">
            <v/>
          </cell>
          <cell r="AH248" t="str">
            <v/>
          </cell>
          <cell r="AI248" t="str">
            <v/>
          </cell>
        </row>
        <row r="249">
          <cell r="B249" t="str">
            <v/>
          </cell>
          <cell r="C249" t="str">
            <v/>
          </cell>
          <cell r="AH249" t="str">
            <v/>
          </cell>
          <cell r="AI249" t="str">
            <v/>
          </cell>
        </row>
        <row r="250">
          <cell r="B250" t="str">
            <v/>
          </cell>
          <cell r="C250" t="str">
            <v/>
          </cell>
          <cell r="AH250" t="str">
            <v/>
          </cell>
          <cell r="AI250" t="str">
            <v/>
          </cell>
        </row>
        <row r="251">
          <cell r="B251" t="str">
            <v/>
          </cell>
          <cell r="C251" t="str">
            <v/>
          </cell>
          <cell r="AH251" t="str">
            <v/>
          </cell>
          <cell r="AI251" t="str">
            <v/>
          </cell>
        </row>
        <row r="252">
          <cell r="B252" t="str">
            <v/>
          </cell>
          <cell r="C252" t="str">
            <v/>
          </cell>
          <cell r="AH252" t="str">
            <v/>
          </cell>
          <cell r="AI252" t="str">
            <v/>
          </cell>
        </row>
        <row r="253">
          <cell r="B253" t="str">
            <v/>
          </cell>
          <cell r="C253" t="str">
            <v/>
          </cell>
          <cell r="AH253" t="str">
            <v/>
          </cell>
          <cell r="AI253" t="str">
            <v/>
          </cell>
        </row>
        <row r="254">
          <cell r="B254" t="str">
            <v/>
          </cell>
          <cell r="C254" t="str">
            <v/>
          </cell>
          <cell r="AH254" t="str">
            <v/>
          </cell>
          <cell r="AI254" t="str">
            <v/>
          </cell>
        </row>
        <row r="255">
          <cell r="B255" t="str">
            <v/>
          </cell>
          <cell r="C255" t="str">
            <v/>
          </cell>
          <cell r="AH255" t="str">
            <v/>
          </cell>
          <cell r="AI255" t="str">
            <v/>
          </cell>
        </row>
        <row r="256">
          <cell r="B256" t="str">
            <v/>
          </cell>
          <cell r="C256" t="str">
            <v/>
          </cell>
          <cell r="AH256" t="str">
            <v/>
          </cell>
          <cell r="AI256" t="str">
            <v/>
          </cell>
        </row>
        <row r="257">
          <cell r="B257" t="str">
            <v/>
          </cell>
          <cell r="C257" t="str">
            <v/>
          </cell>
          <cell r="AH257" t="str">
            <v/>
          </cell>
          <cell r="AI257" t="str">
            <v/>
          </cell>
        </row>
        <row r="258">
          <cell r="B258" t="str">
            <v/>
          </cell>
          <cell r="C258" t="str">
            <v/>
          </cell>
          <cell r="AH258" t="str">
            <v/>
          </cell>
          <cell r="AI258" t="str">
            <v/>
          </cell>
        </row>
        <row r="259">
          <cell r="B259" t="str">
            <v/>
          </cell>
          <cell r="C259" t="str">
            <v/>
          </cell>
          <cell r="AH259" t="str">
            <v/>
          </cell>
          <cell r="AI259" t="str">
            <v/>
          </cell>
        </row>
        <row r="260">
          <cell r="B260" t="str">
            <v/>
          </cell>
          <cell r="C260" t="str">
            <v/>
          </cell>
          <cell r="AH260" t="str">
            <v/>
          </cell>
          <cell r="AI260" t="str">
            <v/>
          </cell>
        </row>
        <row r="261">
          <cell r="B261" t="str">
            <v/>
          </cell>
          <cell r="C261" t="str">
            <v/>
          </cell>
          <cell r="AH261" t="str">
            <v/>
          </cell>
          <cell r="AI261" t="str">
            <v/>
          </cell>
        </row>
        <row r="262">
          <cell r="B262" t="str">
            <v/>
          </cell>
          <cell r="C262" t="str">
            <v/>
          </cell>
          <cell r="AH262" t="str">
            <v/>
          </cell>
          <cell r="AI262" t="str">
            <v/>
          </cell>
        </row>
        <row r="263">
          <cell r="B263" t="str">
            <v/>
          </cell>
          <cell r="C263" t="str">
            <v/>
          </cell>
          <cell r="AH263" t="str">
            <v/>
          </cell>
          <cell r="AI263" t="str">
            <v/>
          </cell>
        </row>
        <row r="264">
          <cell r="B264" t="str">
            <v/>
          </cell>
          <cell r="C264" t="str">
            <v/>
          </cell>
          <cell r="AH264" t="str">
            <v/>
          </cell>
          <cell r="AI264" t="str">
            <v/>
          </cell>
        </row>
        <row r="265">
          <cell r="B265" t="str">
            <v/>
          </cell>
          <cell r="C265" t="str">
            <v/>
          </cell>
          <cell r="AH265" t="str">
            <v/>
          </cell>
          <cell r="AI265" t="str">
            <v/>
          </cell>
        </row>
        <row r="266">
          <cell r="B266" t="str">
            <v/>
          </cell>
          <cell r="C266" t="str">
            <v/>
          </cell>
          <cell r="AH266" t="str">
            <v/>
          </cell>
          <cell r="AI266" t="str">
            <v/>
          </cell>
        </row>
        <row r="267">
          <cell r="B267" t="str">
            <v/>
          </cell>
          <cell r="C267" t="str">
            <v/>
          </cell>
          <cell r="AH267" t="str">
            <v/>
          </cell>
          <cell r="AI267" t="str">
            <v/>
          </cell>
        </row>
        <row r="268">
          <cell r="B268" t="str">
            <v/>
          </cell>
          <cell r="C268" t="str">
            <v/>
          </cell>
          <cell r="AH268" t="str">
            <v/>
          </cell>
          <cell r="AI268" t="str">
            <v/>
          </cell>
        </row>
        <row r="269">
          <cell r="B269" t="str">
            <v/>
          </cell>
          <cell r="C269" t="str">
            <v/>
          </cell>
          <cell r="AH269" t="str">
            <v/>
          </cell>
          <cell r="AI269" t="str">
            <v/>
          </cell>
        </row>
        <row r="270">
          <cell r="B270" t="str">
            <v/>
          </cell>
          <cell r="C270" t="str">
            <v/>
          </cell>
          <cell r="AH270" t="str">
            <v/>
          </cell>
          <cell r="AI270" t="str">
            <v/>
          </cell>
        </row>
        <row r="271">
          <cell r="B271" t="str">
            <v/>
          </cell>
          <cell r="C271" t="str">
            <v/>
          </cell>
          <cell r="AH271" t="str">
            <v/>
          </cell>
          <cell r="AI271" t="str">
            <v/>
          </cell>
        </row>
        <row r="272">
          <cell r="B272" t="str">
            <v/>
          </cell>
          <cell r="C272" t="str">
            <v/>
          </cell>
          <cell r="AH272" t="str">
            <v/>
          </cell>
          <cell r="AI272" t="str">
            <v/>
          </cell>
        </row>
        <row r="273">
          <cell r="B273" t="str">
            <v/>
          </cell>
          <cell r="C273" t="str">
            <v/>
          </cell>
          <cell r="AH273" t="str">
            <v/>
          </cell>
          <cell r="AI273" t="str">
            <v/>
          </cell>
        </row>
        <row r="274">
          <cell r="B274" t="str">
            <v/>
          </cell>
          <cell r="C274" t="str">
            <v/>
          </cell>
          <cell r="AH274" t="str">
            <v/>
          </cell>
          <cell r="AI274" t="str">
            <v/>
          </cell>
        </row>
        <row r="275">
          <cell r="B275" t="str">
            <v/>
          </cell>
          <cell r="C275" t="str">
            <v/>
          </cell>
          <cell r="AH275" t="str">
            <v/>
          </cell>
          <cell r="AI275" t="str">
            <v/>
          </cell>
        </row>
        <row r="276">
          <cell r="B276" t="str">
            <v/>
          </cell>
          <cell r="C276" t="str">
            <v/>
          </cell>
          <cell r="AH276" t="str">
            <v/>
          </cell>
          <cell r="AI276" t="str">
            <v/>
          </cell>
        </row>
        <row r="277">
          <cell r="B277" t="str">
            <v/>
          </cell>
          <cell r="C277" t="str">
            <v/>
          </cell>
          <cell r="AH277" t="str">
            <v/>
          </cell>
          <cell r="AI277" t="str">
            <v/>
          </cell>
        </row>
        <row r="278">
          <cell r="B278" t="str">
            <v/>
          </cell>
          <cell r="C278" t="str">
            <v/>
          </cell>
          <cell r="AH278" t="str">
            <v/>
          </cell>
          <cell r="AI278" t="str">
            <v/>
          </cell>
        </row>
        <row r="279">
          <cell r="B279" t="str">
            <v/>
          </cell>
          <cell r="C279" t="str">
            <v/>
          </cell>
          <cell r="AH279" t="str">
            <v/>
          </cell>
          <cell r="AI279" t="str">
            <v/>
          </cell>
        </row>
        <row r="280">
          <cell r="B280" t="str">
            <v/>
          </cell>
          <cell r="C280" t="str">
            <v/>
          </cell>
          <cell r="AH280" t="str">
            <v/>
          </cell>
          <cell r="AI280" t="str">
            <v/>
          </cell>
        </row>
        <row r="281">
          <cell r="B281" t="str">
            <v/>
          </cell>
          <cell r="C281" t="str">
            <v/>
          </cell>
          <cell r="AH281" t="str">
            <v/>
          </cell>
          <cell r="AI281" t="str">
            <v/>
          </cell>
        </row>
        <row r="282">
          <cell r="B282" t="str">
            <v/>
          </cell>
          <cell r="C282" t="str">
            <v/>
          </cell>
          <cell r="AH282" t="str">
            <v/>
          </cell>
          <cell r="AI282" t="str">
            <v/>
          </cell>
        </row>
        <row r="283">
          <cell r="B283" t="str">
            <v/>
          </cell>
          <cell r="C283" t="str">
            <v/>
          </cell>
          <cell r="AH283" t="str">
            <v/>
          </cell>
          <cell r="AI283" t="str">
            <v/>
          </cell>
        </row>
        <row r="284">
          <cell r="B284" t="str">
            <v/>
          </cell>
          <cell r="C284" t="str">
            <v/>
          </cell>
          <cell r="AH284" t="str">
            <v/>
          </cell>
          <cell r="AI284" t="str">
            <v/>
          </cell>
        </row>
        <row r="285">
          <cell r="B285" t="str">
            <v/>
          </cell>
          <cell r="C285" t="str">
            <v/>
          </cell>
          <cell r="AH285" t="str">
            <v/>
          </cell>
          <cell r="AI285" t="str">
            <v/>
          </cell>
        </row>
        <row r="286">
          <cell r="B286" t="str">
            <v/>
          </cell>
          <cell r="C286" t="str">
            <v/>
          </cell>
          <cell r="AH286" t="str">
            <v/>
          </cell>
          <cell r="AI286" t="str">
            <v/>
          </cell>
        </row>
        <row r="287">
          <cell r="B287" t="str">
            <v/>
          </cell>
          <cell r="C287" t="str">
            <v/>
          </cell>
          <cell r="AH287" t="str">
            <v/>
          </cell>
          <cell r="AI287" t="str">
            <v/>
          </cell>
        </row>
        <row r="288">
          <cell r="B288" t="str">
            <v/>
          </cell>
          <cell r="C288" t="str">
            <v/>
          </cell>
          <cell r="AH288" t="str">
            <v/>
          </cell>
          <cell r="AI288" t="str">
            <v/>
          </cell>
        </row>
        <row r="289">
          <cell r="B289" t="str">
            <v/>
          </cell>
          <cell r="C289" t="str">
            <v/>
          </cell>
          <cell r="AH289" t="str">
            <v/>
          </cell>
          <cell r="AI289" t="str">
            <v/>
          </cell>
        </row>
        <row r="290">
          <cell r="B290" t="str">
            <v/>
          </cell>
          <cell r="C290" t="str">
            <v/>
          </cell>
          <cell r="AH290" t="str">
            <v/>
          </cell>
          <cell r="AI290" t="str">
            <v/>
          </cell>
        </row>
        <row r="291">
          <cell r="B291" t="str">
            <v/>
          </cell>
          <cell r="C291" t="str">
            <v/>
          </cell>
          <cell r="AH291" t="str">
            <v/>
          </cell>
          <cell r="AI291" t="str">
            <v/>
          </cell>
        </row>
        <row r="292">
          <cell r="B292" t="str">
            <v/>
          </cell>
          <cell r="C292" t="str">
            <v/>
          </cell>
          <cell r="AH292" t="str">
            <v/>
          </cell>
          <cell r="AI292" t="str">
            <v/>
          </cell>
        </row>
        <row r="293">
          <cell r="B293" t="str">
            <v/>
          </cell>
          <cell r="C293" t="str">
            <v/>
          </cell>
          <cell r="AH293" t="str">
            <v/>
          </cell>
          <cell r="AI293" t="str">
            <v/>
          </cell>
        </row>
        <row r="294">
          <cell r="B294" t="str">
            <v/>
          </cell>
          <cell r="C294" t="str">
            <v/>
          </cell>
          <cell r="AH294" t="str">
            <v/>
          </cell>
          <cell r="AI294" t="str">
            <v/>
          </cell>
        </row>
        <row r="295">
          <cell r="B295" t="str">
            <v/>
          </cell>
          <cell r="C295" t="str">
            <v/>
          </cell>
          <cell r="AH295" t="str">
            <v/>
          </cell>
          <cell r="AI295" t="str">
            <v/>
          </cell>
        </row>
        <row r="296">
          <cell r="B296" t="str">
            <v/>
          </cell>
          <cell r="C296" t="str">
            <v/>
          </cell>
          <cell r="AH296" t="str">
            <v/>
          </cell>
          <cell r="AI296" t="str">
            <v/>
          </cell>
        </row>
        <row r="297">
          <cell r="B297" t="str">
            <v/>
          </cell>
          <cell r="C297" t="str">
            <v/>
          </cell>
          <cell r="AH297" t="str">
            <v/>
          </cell>
          <cell r="AI297" t="str">
            <v/>
          </cell>
        </row>
        <row r="298">
          <cell r="B298" t="str">
            <v/>
          </cell>
          <cell r="C298" t="str">
            <v/>
          </cell>
          <cell r="AH298" t="str">
            <v/>
          </cell>
          <cell r="AI298" t="str">
            <v/>
          </cell>
        </row>
        <row r="299">
          <cell r="B299" t="str">
            <v/>
          </cell>
          <cell r="C299" t="str">
            <v/>
          </cell>
          <cell r="AH299" t="str">
            <v/>
          </cell>
          <cell r="AI299" t="str">
            <v/>
          </cell>
        </row>
        <row r="300">
          <cell r="B300" t="str">
            <v/>
          </cell>
          <cell r="C300" t="str">
            <v/>
          </cell>
          <cell r="AH300" t="str">
            <v/>
          </cell>
          <cell r="AI300" t="str">
            <v/>
          </cell>
        </row>
        <row r="301">
          <cell r="B301" t="str">
            <v/>
          </cell>
          <cell r="C301" t="str">
            <v/>
          </cell>
          <cell r="AH301" t="str">
            <v/>
          </cell>
          <cell r="AI301" t="str">
            <v/>
          </cell>
        </row>
        <row r="302">
          <cell r="B302" t="str">
            <v/>
          </cell>
          <cell r="C302" t="str">
            <v/>
          </cell>
          <cell r="AH302" t="str">
            <v/>
          </cell>
          <cell r="AI302" t="str">
            <v/>
          </cell>
        </row>
        <row r="303">
          <cell r="B303" t="str">
            <v/>
          </cell>
          <cell r="C303" t="str">
            <v/>
          </cell>
          <cell r="AH303" t="str">
            <v/>
          </cell>
          <cell r="AI303" t="str">
            <v/>
          </cell>
        </row>
        <row r="304">
          <cell r="B304" t="str">
            <v/>
          </cell>
          <cell r="C304" t="str">
            <v/>
          </cell>
          <cell r="AH304" t="str">
            <v/>
          </cell>
          <cell r="AI304" t="str">
            <v/>
          </cell>
        </row>
        <row r="305">
          <cell r="B305" t="str">
            <v/>
          </cell>
          <cell r="C305" t="str">
            <v/>
          </cell>
          <cell r="AH305" t="str">
            <v/>
          </cell>
          <cell r="AI305" t="str">
            <v/>
          </cell>
        </row>
        <row r="306">
          <cell r="B306" t="str">
            <v/>
          </cell>
          <cell r="C306" t="str">
            <v/>
          </cell>
          <cell r="AH306" t="str">
            <v/>
          </cell>
          <cell r="AI306" t="str">
            <v/>
          </cell>
        </row>
        <row r="307">
          <cell r="B307" t="str">
            <v/>
          </cell>
          <cell r="C307" t="str">
            <v/>
          </cell>
          <cell r="AH307" t="str">
            <v/>
          </cell>
          <cell r="AI307" t="str">
            <v/>
          </cell>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Intro"/>
      <sheetName val="See r"/>
      <sheetName val="r to z"/>
      <sheetName val="Sample r"/>
      <sheetName val="Two correlations"/>
      <sheetName val="Figure"/>
    </sheetNames>
    <sheetDataSet>
      <sheetData sheetId="0" refreshError="1"/>
      <sheetData sheetId="1"/>
      <sheetData sheetId="2"/>
      <sheetData sheetId="3">
        <row r="11">
          <cell r="A11">
            <v>247</v>
          </cell>
          <cell r="B11">
            <v>0.48034368101558861</v>
          </cell>
          <cell r="C11" t="b">
            <v>1</v>
          </cell>
        </row>
        <row r="12">
          <cell r="A12">
            <v>246</v>
          </cell>
          <cell r="B12">
            <v>0.48034368101558861</v>
          </cell>
          <cell r="C12" t="b">
            <v>1</v>
          </cell>
        </row>
        <row r="13">
          <cell r="A13">
            <v>245</v>
          </cell>
          <cell r="B13">
            <v>0.66525546637863442</v>
          </cell>
          <cell r="C13" t="b">
            <v>1</v>
          </cell>
        </row>
        <row r="14">
          <cell r="A14">
            <v>244</v>
          </cell>
          <cell r="B14">
            <v>0.68632008767421371</v>
          </cell>
          <cell r="C14" t="b">
            <v>1</v>
          </cell>
        </row>
        <row r="15">
          <cell r="A15">
            <v>243</v>
          </cell>
          <cell r="B15">
            <v>0.73945655182070869</v>
          </cell>
          <cell r="C15" t="b">
            <v>1</v>
          </cell>
        </row>
        <row r="16">
          <cell r="A16">
            <v>242</v>
          </cell>
          <cell r="B16">
            <v>0.40810399897342597</v>
          </cell>
          <cell r="C16" t="b">
            <v>1</v>
          </cell>
        </row>
        <row r="17">
          <cell r="A17">
            <v>241</v>
          </cell>
          <cell r="B17">
            <v>0.58110850839468642</v>
          </cell>
          <cell r="C17" t="b">
            <v>1</v>
          </cell>
        </row>
        <row r="18">
          <cell r="A18">
            <v>240</v>
          </cell>
          <cell r="B18">
            <v>0.76828472928062652</v>
          </cell>
          <cell r="C18" t="b">
            <v>1</v>
          </cell>
        </row>
        <row r="19">
          <cell r="A19">
            <v>239</v>
          </cell>
          <cell r="B19">
            <v>0.52593755997893288</v>
          </cell>
          <cell r="C19" t="b">
            <v>1</v>
          </cell>
        </row>
        <row r="20">
          <cell r="A20">
            <v>238</v>
          </cell>
          <cell r="B20">
            <v>0.61084286059547233</v>
          </cell>
          <cell r="C20" t="b">
            <v>1</v>
          </cell>
        </row>
        <row r="21">
          <cell r="A21">
            <v>237</v>
          </cell>
          <cell r="B21">
            <v>0.70363124630685825</v>
          </cell>
          <cell r="C21" t="b">
            <v>1</v>
          </cell>
        </row>
        <row r="22">
          <cell r="A22">
            <v>236</v>
          </cell>
          <cell r="B22">
            <v>0.51279254930630935</v>
          </cell>
          <cell r="C22" t="b">
            <v>1</v>
          </cell>
        </row>
        <row r="23">
          <cell r="A23">
            <v>235</v>
          </cell>
          <cell r="B23">
            <v>0.58308147613260075</v>
          </cell>
          <cell r="C23" t="b">
            <v>1</v>
          </cell>
        </row>
        <row r="24">
          <cell r="A24">
            <v>234</v>
          </cell>
          <cell r="B24">
            <v>0.55429000840752241</v>
          </cell>
          <cell r="C24" t="b">
            <v>1</v>
          </cell>
        </row>
        <row r="25">
          <cell r="A25">
            <v>233</v>
          </cell>
          <cell r="B25">
            <v>0.74949877025800871</v>
          </cell>
          <cell r="C25" t="b">
            <v>1</v>
          </cell>
        </row>
        <row r="26">
          <cell r="A26">
            <v>232</v>
          </cell>
          <cell r="B26">
            <v>0.65634958784416242</v>
          </cell>
          <cell r="C26" t="b">
            <v>1</v>
          </cell>
        </row>
        <row r="27">
          <cell r="A27">
            <v>231</v>
          </cell>
          <cell r="B27">
            <v>0.56590409853280565</v>
          </cell>
          <cell r="C27" t="b">
            <v>1</v>
          </cell>
        </row>
        <row r="28">
          <cell r="A28">
            <v>230</v>
          </cell>
          <cell r="B28">
            <v>0.56814921861700429</v>
          </cell>
          <cell r="C28" t="b">
            <v>1</v>
          </cell>
        </row>
        <row r="29">
          <cell r="A29">
            <v>229</v>
          </cell>
          <cell r="B29">
            <v>0.3289546597100394</v>
          </cell>
          <cell r="C29" t="b">
            <v>1</v>
          </cell>
        </row>
        <row r="30">
          <cell r="A30">
            <v>228</v>
          </cell>
          <cell r="B30">
            <v>0.57219893670997124</v>
          </cell>
          <cell r="C30" t="b">
            <v>1</v>
          </cell>
        </row>
        <row r="31">
          <cell r="A31">
            <v>227</v>
          </cell>
          <cell r="B31">
            <v>0.68650765946648096</v>
          </cell>
          <cell r="C31" t="b">
            <v>1</v>
          </cell>
        </row>
        <row r="32">
          <cell r="A32">
            <v>226</v>
          </cell>
          <cell r="B32">
            <v>0.66103169119607075</v>
          </cell>
          <cell r="C32" t="b">
            <v>1</v>
          </cell>
        </row>
        <row r="33">
          <cell r="A33">
            <v>225</v>
          </cell>
          <cell r="B33">
            <v>0.58809279158396688</v>
          </cell>
          <cell r="C33" t="b">
            <v>1</v>
          </cell>
        </row>
        <row r="34">
          <cell r="A34">
            <v>224</v>
          </cell>
          <cell r="B34">
            <v>0.56080171063788464</v>
          </cell>
          <cell r="C34" t="b">
            <v>1</v>
          </cell>
        </row>
        <row r="35">
          <cell r="A35">
            <v>223</v>
          </cell>
          <cell r="B35">
            <v>0.41583161536371471</v>
          </cell>
          <cell r="C35" t="b">
            <v>1</v>
          </cell>
        </row>
        <row r="36">
          <cell r="A36">
            <v>222</v>
          </cell>
          <cell r="B36">
            <v>0.39387285758815815</v>
          </cell>
          <cell r="C36" t="b">
            <v>1</v>
          </cell>
        </row>
        <row r="37">
          <cell r="A37">
            <v>221</v>
          </cell>
          <cell r="B37">
            <v>0.65953464152163743</v>
          </cell>
          <cell r="C37" t="b">
            <v>1</v>
          </cell>
        </row>
        <row r="38">
          <cell r="A38">
            <v>220</v>
          </cell>
          <cell r="B38">
            <v>0.57503539275577065</v>
          </cell>
          <cell r="C38" t="b">
            <v>1</v>
          </cell>
        </row>
        <row r="39">
          <cell r="A39">
            <v>219</v>
          </cell>
          <cell r="B39">
            <v>0.5361230417872701</v>
          </cell>
          <cell r="C39" t="b">
            <v>1</v>
          </cell>
        </row>
        <row r="40">
          <cell r="A40">
            <v>218</v>
          </cell>
          <cell r="B40">
            <v>0.5781428780046407</v>
          </cell>
          <cell r="C40" t="b">
            <v>1</v>
          </cell>
        </row>
        <row r="41">
          <cell r="A41">
            <v>217</v>
          </cell>
          <cell r="B41">
            <v>0.68778048224312993</v>
          </cell>
          <cell r="C41" t="b">
            <v>1</v>
          </cell>
        </row>
        <row r="42">
          <cell r="A42">
            <v>216</v>
          </cell>
          <cell r="B42">
            <v>0.40264898021679951</v>
          </cell>
          <cell r="C42" t="b">
            <v>1</v>
          </cell>
        </row>
        <row r="43">
          <cell r="A43">
            <v>215</v>
          </cell>
          <cell r="B43">
            <v>0.57857438948426965</v>
          </cell>
          <cell r="C43" t="b">
            <v>1</v>
          </cell>
        </row>
        <row r="44">
          <cell r="A44">
            <v>214</v>
          </cell>
          <cell r="B44">
            <v>0.60557845774537655</v>
          </cell>
          <cell r="C44" t="b">
            <v>1</v>
          </cell>
        </row>
        <row r="45">
          <cell r="A45">
            <v>213</v>
          </cell>
          <cell r="B45">
            <v>0.52385118204763537</v>
          </cell>
          <cell r="C45" t="b">
            <v>1</v>
          </cell>
        </row>
        <row r="46">
          <cell r="A46">
            <v>212</v>
          </cell>
          <cell r="B46">
            <v>0.75535507593574591</v>
          </cell>
          <cell r="C46" t="b">
            <v>1</v>
          </cell>
        </row>
        <row r="47">
          <cell r="A47">
            <v>211</v>
          </cell>
          <cell r="B47">
            <v>0.34891322222909421</v>
          </cell>
          <cell r="C47" t="b">
            <v>1</v>
          </cell>
        </row>
        <row r="48">
          <cell r="A48">
            <v>210</v>
          </cell>
          <cell r="B48">
            <v>0.76110756603676666</v>
          </cell>
          <cell r="C48" t="b">
            <v>1</v>
          </cell>
        </row>
        <row r="49">
          <cell r="A49">
            <v>209</v>
          </cell>
          <cell r="B49">
            <v>0.63963889964092102</v>
          </cell>
          <cell r="C49" t="b">
            <v>1</v>
          </cell>
        </row>
        <row r="50">
          <cell r="A50">
            <v>208</v>
          </cell>
          <cell r="B50">
            <v>0.66518573318655938</v>
          </cell>
          <cell r="C50" t="b">
            <v>1</v>
          </cell>
        </row>
        <row r="51">
          <cell r="A51">
            <v>207</v>
          </cell>
          <cell r="B51">
            <v>0.12236420146493696</v>
          </cell>
          <cell r="C51" t="b">
            <v>0</v>
          </cell>
        </row>
        <row r="52">
          <cell r="A52">
            <v>206</v>
          </cell>
          <cell r="B52">
            <v>0.53468099814979708</v>
          </cell>
          <cell r="C52" t="b">
            <v>1</v>
          </cell>
        </row>
        <row r="53">
          <cell r="A53">
            <v>205</v>
          </cell>
          <cell r="B53">
            <v>0.7370843651821517</v>
          </cell>
          <cell r="C53" t="b">
            <v>1</v>
          </cell>
        </row>
        <row r="54">
          <cell r="A54">
            <v>204</v>
          </cell>
          <cell r="B54">
            <v>0.70916266643906711</v>
          </cell>
          <cell r="C54" t="b">
            <v>1</v>
          </cell>
        </row>
        <row r="55">
          <cell r="A55">
            <v>203</v>
          </cell>
          <cell r="B55">
            <v>0.80449000096386469</v>
          </cell>
          <cell r="C55" t="b">
            <v>0</v>
          </cell>
        </row>
        <row r="56">
          <cell r="A56">
            <v>202</v>
          </cell>
          <cell r="B56">
            <v>0.75431702049828098</v>
          </cell>
          <cell r="C56" t="b">
            <v>1</v>
          </cell>
        </row>
        <row r="57">
          <cell r="A57">
            <v>201</v>
          </cell>
          <cell r="B57">
            <v>0.73499456848004319</v>
          </cell>
          <cell r="C57" t="b">
            <v>1</v>
          </cell>
        </row>
        <row r="58">
          <cell r="A58">
            <v>200</v>
          </cell>
          <cell r="B58">
            <v>0.58156295785677325</v>
          </cell>
          <cell r="C58" t="b">
            <v>1</v>
          </cell>
        </row>
        <row r="59">
          <cell r="A59">
            <v>199</v>
          </cell>
          <cell r="B59">
            <v>0.44099877990381842</v>
          </cell>
          <cell r="C59" t="b">
            <v>1</v>
          </cell>
        </row>
        <row r="60">
          <cell r="A60">
            <v>198</v>
          </cell>
          <cell r="B60">
            <v>0.45441511226893844</v>
          </cell>
          <cell r="C60" t="b">
            <v>1</v>
          </cell>
        </row>
        <row r="61">
          <cell r="A61">
            <v>197</v>
          </cell>
          <cell r="B61">
            <v>0.89120429574343685</v>
          </cell>
          <cell r="C61" t="b">
            <v>0</v>
          </cell>
        </row>
        <row r="62">
          <cell r="A62">
            <v>196</v>
          </cell>
          <cell r="B62">
            <v>0.33862227047068277</v>
          </cell>
          <cell r="C62" t="b">
            <v>1</v>
          </cell>
        </row>
        <row r="63">
          <cell r="A63">
            <v>195</v>
          </cell>
          <cell r="B63">
            <v>0.44171273739788913</v>
          </cell>
          <cell r="C63" t="b">
            <v>1</v>
          </cell>
        </row>
        <row r="64">
          <cell r="A64">
            <v>194</v>
          </cell>
          <cell r="B64">
            <v>0.45507431964568801</v>
          </cell>
          <cell r="C64" t="b">
            <v>1</v>
          </cell>
        </row>
        <row r="65">
          <cell r="A65">
            <v>193</v>
          </cell>
          <cell r="B65">
            <v>0.56957224534039008</v>
          </cell>
          <cell r="C65" t="b">
            <v>1</v>
          </cell>
        </row>
        <row r="66">
          <cell r="A66">
            <v>192</v>
          </cell>
          <cell r="B66">
            <v>0.80932397556420654</v>
          </cell>
          <cell r="C66" t="b">
            <v>0</v>
          </cell>
        </row>
        <row r="67">
          <cell r="A67">
            <v>191</v>
          </cell>
          <cell r="B67">
            <v>0.49321786608621232</v>
          </cell>
          <cell r="C67" t="b">
            <v>1</v>
          </cell>
        </row>
        <row r="68">
          <cell r="A68">
            <v>190</v>
          </cell>
          <cell r="B68">
            <v>0.62843607321077888</v>
          </cell>
          <cell r="C68" t="b">
            <v>1</v>
          </cell>
        </row>
        <row r="69">
          <cell r="A69">
            <v>189</v>
          </cell>
          <cell r="B69">
            <v>0.54015256048540961</v>
          </cell>
          <cell r="C69" t="b">
            <v>1</v>
          </cell>
        </row>
        <row r="70">
          <cell r="A70">
            <v>188</v>
          </cell>
          <cell r="B70">
            <v>0.70937483173656002</v>
          </cell>
          <cell r="C70" t="b">
            <v>1</v>
          </cell>
        </row>
        <row r="71">
          <cell r="A71">
            <v>187</v>
          </cell>
          <cell r="B71">
            <v>0.6958003482430779</v>
          </cell>
          <cell r="C71" t="b">
            <v>1</v>
          </cell>
        </row>
        <row r="72">
          <cell r="A72">
            <v>186</v>
          </cell>
          <cell r="B72">
            <v>0.69639549990418825</v>
          </cell>
          <cell r="C72" t="b">
            <v>1</v>
          </cell>
        </row>
        <row r="73">
          <cell r="A73">
            <v>185</v>
          </cell>
          <cell r="B73">
            <v>0.53487712204029547</v>
          </cell>
          <cell r="C73" t="b">
            <v>1</v>
          </cell>
        </row>
        <row r="74">
          <cell r="A74">
            <v>184</v>
          </cell>
          <cell r="B74">
            <v>0.49681913369948971</v>
          </cell>
          <cell r="C74" t="b">
            <v>1</v>
          </cell>
        </row>
        <row r="75">
          <cell r="A75">
            <v>183</v>
          </cell>
          <cell r="B75">
            <v>0.36585848468772331</v>
          </cell>
          <cell r="C75" t="b">
            <v>1</v>
          </cell>
        </row>
        <row r="76">
          <cell r="A76">
            <v>182</v>
          </cell>
          <cell r="B76">
            <v>0.52200988598039455</v>
          </cell>
          <cell r="C76" t="b">
            <v>1</v>
          </cell>
        </row>
        <row r="77">
          <cell r="A77">
            <v>181</v>
          </cell>
          <cell r="B77">
            <v>0.5578757244904472</v>
          </cell>
          <cell r="C77" t="b">
            <v>1</v>
          </cell>
        </row>
        <row r="78">
          <cell r="A78">
            <v>180</v>
          </cell>
          <cell r="B78">
            <v>0.35401918295077434</v>
          </cell>
          <cell r="C78" t="b">
            <v>1</v>
          </cell>
        </row>
        <row r="79">
          <cell r="A79">
            <v>179</v>
          </cell>
          <cell r="B79">
            <v>0.4417236505674218</v>
          </cell>
          <cell r="C79" t="b">
            <v>1</v>
          </cell>
        </row>
        <row r="80">
          <cell r="A80">
            <v>178</v>
          </cell>
          <cell r="B80">
            <v>0.47739612264694936</v>
          </cell>
          <cell r="C80" t="b">
            <v>1</v>
          </cell>
        </row>
        <row r="81">
          <cell r="A81">
            <v>177</v>
          </cell>
          <cell r="B81">
            <v>0.73794118444650025</v>
          </cell>
          <cell r="C81" t="b">
            <v>1</v>
          </cell>
        </row>
        <row r="82">
          <cell r="A82">
            <v>176</v>
          </cell>
          <cell r="B82">
            <v>0.59919033520393017</v>
          </cell>
          <cell r="C82" t="b">
            <v>1</v>
          </cell>
        </row>
        <row r="83">
          <cell r="A83">
            <v>175</v>
          </cell>
          <cell r="B83">
            <v>0.49830929161942511</v>
          </cell>
          <cell r="C83" t="b">
            <v>1</v>
          </cell>
        </row>
        <row r="84">
          <cell r="A84">
            <v>174</v>
          </cell>
          <cell r="B84">
            <v>0.56018183739923588</v>
          </cell>
          <cell r="C84" t="b">
            <v>1</v>
          </cell>
        </row>
        <row r="85">
          <cell r="A85">
            <v>173</v>
          </cell>
          <cell r="B85">
            <v>0.56847975124002881</v>
          </cell>
          <cell r="C85" t="b">
            <v>1</v>
          </cell>
        </row>
        <row r="86">
          <cell r="A86">
            <v>172</v>
          </cell>
          <cell r="B86">
            <v>0.53782244124037182</v>
          </cell>
          <cell r="C86" t="b">
            <v>1</v>
          </cell>
        </row>
        <row r="87">
          <cell r="A87">
            <v>171</v>
          </cell>
          <cell r="B87">
            <v>0.63008814915745359</v>
          </cell>
          <cell r="C87" t="b">
            <v>1</v>
          </cell>
        </row>
        <row r="88">
          <cell r="A88">
            <v>170</v>
          </cell>
          <cell r="B88">
            <v>0.75136632846245799</v>
          </cell>
          <cell r="C88" t="b">
            <v>1</v>
          </cell>
        </row>
        <row r="89">
          <cell r="A89">
            <v>169</v>
          </cell>
          <cell r="B89">
            <v>0.78031130603700194</v>
          </cell>
          <cell r="C89" t="b">
            <v>1</v>
          </cell>
        </row>
        <row r="90">
          <cell r="A90">
            <v>168</v>
          </cell>
          <cell r="B90">
            <v>0.52421027442048407</v>
          </cell>
          <cell r="C90" t="b">
            <v>1</v>
          </cell>
        </row>
        <row r="91">
          <cell r="A91">
            <v>167</v>
          </cell>
          <cell r="B91">
            <v>0.56360011763542928</v>
          </cell>
          <cell r="C91" t="b">
            <v>1</v>
          </cell>
        </row>
        <row r="92">
          <cell r="A92">
            <v>166</v>
          </cell>
          <cell r="B92">
            <v>0.57816665988156046</v>
          </cell>
          <cell r="C92" t="b">
            <v>1</v>
          </cell>
        </row>
        <row r="93">
          <cell r="A93">
            <v>165</v>
          </cell>
          <cell r="B93">
            <v>0.45412323207519689</v>
          </cell>
          <cell r="C93" t="b">
            <v>1</v>
          </cell>
        </row>
        <row r="94">
          <cell r="A94">
            <v>164</v>
          </cell>
          <cell r="B94">
            <v>0.44437746513459242</v>
          </cell>
          <cell r="C94" t="b">
            <v>1</v>
          </cell>
        </row>
        <row r="95">
          <cell r="A95">
            <v>163</v>
          </cell>
          <cell r="B95">
            <v>0.65706091782640919</v>
          </cell>
          <cell r="C95" t="b">
            <v>1</v>
          </cell>
        </row>
        <row r="96">
          <cell r="A96">
            <v>162</v>
          </cell>
          <cell r="B96">
            <v>0.44755271668401525</v>
          </cell>
          <cell r="C96" t="b">
            <v>1</v>
          </cell>
        </row>
        <row r="97">
          <cell r="A97">
            <v>161</v>
          </cell>
          <cell r="B97">
            <v>0.25360185153917847</v>
          </cell>
          <cell r="C97" t="b">
            <v>0</v>
          </cell>
        </row>
        <row r="98">
          <cell r="A98">
            <v>160</v>
          </cell>
          <cell r="B98">
            <v>0.56344712319193779</v>
          </cell>
          <cell r="C98" t="b">
            <v>1</v>
          </cell>
        </row>
        <row r="99">
          <cell r="A99">
            <v>159</v>
          </cell>
          <cell r="B99">
            <v>0.69115056018988352</v>
          </cell>
          <cell r="C99" t="b">
            <v>1</v>
          </cell>
        </row>
        <row r="100">
          <cell r="A100">
            <v>158</v>
          </cell>
          <cell r="B100">
            <v>0.45513173590907624</v>
          </cell>
          <cell r="C100" t="b">
            <v>1</v>
          </cell>
        </row>
        <row r="101">
          <cell r="A101">
            <v>157</v>
          </cell>
          <cell r="B101">
            <v>0.56084537841560667</v>
          </cell>
          <cell r="C101" t="b">
            <v>1</v>
          </cell>
        </row>
        <row r="102">
          <cell r="A102">
            <v>156</v>
          </cell>
          <cell r="B102">
            <v>0.50643025456981872</v>
          </cell>
          <cell r="C102" t="b">
            <v>1</v>
          </cell>
        </row>
        <row r="103">
          <cell r="A103">
            <v>155</v>
          </cell>
          <cell r="B103">
            <v>0.45385378642366286</v>
          </cell>
          <cell r="C103" t="b">
            <v>1</v>
          </cell>
        </row>
        <row r="104">
          <cell r="A104">
            <v>154</v>
          </cell>
          <cell r="B104">
            <v>0.52267618797131499</v>
          </cell>
          <cell r="C104" t="b">
            <v>1</v>
          </cell>
        </row>
        <row r="105">
          <cell r="A105">
            <v>153</v>
          </cell>
          <cell r="B105">
            <v>0.80069000866192874</v>
          </cell>
          <cell r="C105" t="b">
            <v>0</v>
          </cell>
        </row>
        <row r="106">
          <cell r="A106">
            <v>152</v>
          </cell>
          <cell r="B106">
            <v>0.43008292561406802</v>
          </cell>
          <cell r="C106" t="b">
            <v>1</v>
          </cell>
        </row>
        <row r="107">
          <cell r="A107">
            <v>151</v>
          </cell>
          <cell r="B107">
            <v>0.64029687571314553</v>
          </cell>
          <cell r="C107" t="b">
            <v>1</v>
          </cell>
        </row>
        <row r="108">
          <cell r="A108">
            <v>150</v>
          </cell>
          <cell r="B108">
            <v>0.45580345370019903</v>
          </cell>
          <cell r="C108" t="b">
            <v>1</v>
          </cell>
        </row>
        <row r="109">
          <cell r="A109">
            <v>149</v>
          </cell>
          <cell r="B109">
            <v>0.60951621864261041</v>
          </cell>
          <cell r="C109" t="b">
            <v>1</v>
          </cell>
        </row>
        <row r="110">
          <cell r="A110">
            <v>148</v>
          </cell>
          <cell r="B110">
            <v>0.69731028941699325</v>
          </cell>
          <cell r="C110" t="b">
            <v>1</v>
          </cell>
        </row>
        <row r="111">
          <cell r="A111">
            <v>147</v>
          </cell>
          <cell r="B111">
            <v>0.5348922151444937</v>
          </cell>
          <cell r="C111" t="b">
            <v>1</v>
          </cell>
        </row>
        <row r="112">
          <cell r="A112">
            <v>146</v>
          </cell>
          <cell r="B112">
            <v>0.42878926819367974</v>
          </cell>
          <cell r="C112" t="b">
            <v>1</v>
          </cell>
        </row>
        <row r="113">
          <cell r="A113">
            <v>145</v>
          </cell>
          <cell r="B113">
            <v>0.68371452423399282</v>
          </cell>
          <cell r="C113" t="b">
            <v>1</v>
          </cell>
        </row>
        <row r="114">
          <cell r="A114">
            <v>144</v>
          </cell>
          <cell r="B114">
            <v>0.7595684111065234</v>
          </cell>
          <cell r="C114" t="b">
            <v>1</v>
          </cell>
        </row>
        <row r="115">
          <cell r="A115">
            <v>143</v>
          </cell>
          <cell r="B115">
            <v>0.61721667672012193</v>
          </cell>
          <cell r="C115" t="b">
            <v>1</v>
          </cell>
        </row>
        <row r="116">
          <cell r="A116">
            <v>142</v>
          </cell>
          <cell r="B116">
            <v>0.5151684704596764</v>
          </cell>
          <cell r="C116" t="b">
            <v>1</v>
          </cell>
        </row>
        <row r="117">
          <cell r="A117">
            <v>141</v>
          </cell>
          <cell r="B117">
            <v>0.33272106985394356</v>
          </cell>
          <cell r="C117" t="b">
            <v>1</v>
          </cell>
        </row>
        <row r="118">
          <cell r="A118">
            <v>140</v>
          </cell>
          <cell r="B118">
            <v>0.36811945057472334</v>
          </cell>
          <cell r="C118" t="b">
            <v>1</v>
          </cell>
        </row>
        <row r="119">
          <cell r="A119">
            <v>139</v>
          </cell>
          <cell r="B119">
            <v>0.72627217498010066</v>
          </cell>
          <cell r="C119" t="b">
            <v>1</v>
          </cell>
        </row>
        <row r="120">
          <cell r="A120">
            <v>138</v>
          </cell>
          <cell r="B120">
            <v>0.57921237372233347</v>
          </cell>
          <cell r="C120" t="b">
            <v>1</v>
          </cell>
        </row>
        <row r="121">
          <cell r="A121">
            <v>137</v>
          </cell>
          <cell r="B121">
            <v>0.48901983238161206</v>
          </cell>
          <cell r="C121" t="b">
            <v>1</v>
          </cell>
        </row>
        <row r="122">
          <cell r="A122">
            <v>136</v>
          </cell>
          <cell r="B122">
            <v>0.67362433639269859</v>
          </cell>
          <cell r="C122" t="b">
            <v>1</v>
          </cell>
        </row>
        <row r="123">
          <cell r="A123">
            <v>135</v>
          </cell>
          <cell r="B123">
            <v>0.67797413815963459</v>
          </cell>
          <cell r="C123" t="b">
            <v>1</v>
          </cell>
        </row>
        <row r="124">
          <cell r="A124">
            <v>134</v>
          </cell>
          <cell r="B124">
            <v>0.50898075697786138</v>
          </cell>
          <cell r="C124" t="b">
            <v>1</v>
          </cell>
        </row>
        <row r="125">
          <cell r="A125">
            <v>133</v>
          </cell>
          <cell r="B125">
            <v>0.70262370331262547</v>
          </cell>
          <cell r="C125" t="b">
            <v>1</v>
          </cell>
        </row>
        <row r="126">
          <cell r="A126">
            <v>132</v>
          </cell>
          <cell r="B126">
            <v>0.67046647988516483</v>
          </cell>
          <cell r="C126" t="b">
            <v>1</v>
          </cell>
        </row>
        <row r="127">
          <cell r="A127">
            <v>131</v>
          </cell>
          <cell r="B127">
            <v>0.66889939704432066</v>
          </cell>
          <cell r="C127" t="b">
            <v>1</v>
          </cell>
        </row>
        <row r="128">
          <cell r="A128">
            <v>130</v>
          </cell>
          <cell r="B128">
            <v>0.74967372070638238</v>
          </cell>
          <cell r="C128" t="b">
            <v>1</v>
          </cell>
        </row>
        <row r="129">
          <cell r="A129">
            <v>129</v>
          </cell>
          <cell r="B129">
            <v>0.48734969576061604</v>
          </cell>
          <cell r="C129" t="b">
            <v>1</v>
          </cell>
        </row>
        <row r="130">
          <cell r="A130">
            <v>128</v>
          </cell>
          <cell r="B130">
            <v>0.15239822619827478</v>
          </cell>
          <cell r="C130" t="b">
            <v>0</v>
          </cell>
        </row>
        <row r="131">
          <cell r="A131">
            <v>127</v>
          </cell>
          <cell r="B131">
            <v>0.51010548516700471</v>
          </cell>
          <cell r="C131" t="b">
            <v>1</v>
          </cell>
        </row>
        <row r="132">
          <cell r="A132">
            <v>126</v>
          </cell>
          <cell r="B132">
            <v>0.53521227124998894</v>
          </cell>
          <cell r="C132" t="b">
            <v>1</v>
          </cell>
        </row>
        <row r="133">
          <cell r="A133">
            <v>125</v>
          </cell>
          <cell r="B133">
            <v>0.70168714666703713</v>
          </cell>
          <cell r="C133" t="b">
            <v>1</v>
          </cell>
        </row>
        <row r="134">
          <cell r="A134">
            <v>124</v>
          </cell>
          <cell r="B134">
            <v>0.63100824101722619</v>
          </cell>
          <cell r="C134" t="b">
            <v>1</v>
          </cell>
        </row>
        <row r="135">
          <cell r="A135">
            <v>123</v>
          </cell>
          <cell r="B135">
            <v>0.5812584299921727</v>
          </cell>
          <cell r="C135" t="b">
            <v>1</v>
          </cell>
        </row>
        <row r="136">
          <cell r="A136">
            <v>122</v>
          </cell>
          <cell r="B136">
            <v>0.46389543259454524</v>
          </cell>
          <cell r="C136" t="b">
            <v>1</v>
          </cell>
        </row>
        <row r="137">
          <cell r="A137">
            <v>121</v>
          </cell>
          <cell r="B137">
            <v>0.57307361656531919</v>
          </cell>
          <cell r="C137" t="b">
            <v>1</v>
          </cell>
        </row>
        <row r="138">
          <cell r="A138">
            <v>120</v>
          </cell>
          <cell r="B138">
            <v>0.70769651461825078</v>
          </cell>
          <cell r="C138" t="b">
            <v>1</v>
          </cell>
        </row>
        <row r="139">
          <cell r="A139">
            <v>119</v>
          </cell>
          <cell r="B139">
            <v>0.40911340169619181</v>
          </cell>
          <cell r="C139" t="b">
            <v>1</v>
          </cell>
        </row>
        <row r="140">
          <cell r="A140">
            <v>118</v>
          </cell>
          <cell r="B140">
            <v>0.40204179554211383</v>
          </cell>
          <cell r="C140" t="b">
            <v>1</v>
          </cell>
        </row>
        <row r="141">
          <cell r="A141">
            <v>117</v>
          </cell>
          <cell r="B141">
            <v>0.45526100589692237</v>
          </cell>
          <cell r="C141" t="b">
            <v>1</v>
          </cell>
        </row>
        <row r="142">
          <cell r="A142">
            <v>116</v>
          </cell>
          <cell r="B142">
            <v>0.61162121945565273</v>
          </cell>
          <cell r="C142" t="b">
            <v>1</v>
          </cell>
        </row>
        <row r="143">
          <cell r="A143">
            <v>115</v>
          </cell>
          <cell r="B143">
            <v>0.6976163204615945</v>
          </cell>
          <cell r="C143" t="b">
            <v>1</v>
          </cell>
        </row>
        <row r="144">
          <cell r="A144">
            <v>114</v>
          </cell>
          <cell r="B144">
            <v>0.70502391871574477</v>
          </cell>
          <cell r="C144" t="b">
            <v>1</v>
          </cell>
        </row>
        <row r="145">
          <cell r="A145">
            <v>113</v>
          </cell>
          <cell r="B145">
            <v>0.58614446395849573</v>
          </cell>
          <cell r="C145" t="b">
            <v>1</v>
          </cell>
        </row>
        <row r="146">
          <cell r="A146">
            <v>112</v>
          </cell>
          <cell r="B146">
            <v>0.65280754206506819</v>
          </cell>
          <cell r="C146" t="b">
            <v>1</v>
          </cell>
        </row>
        <row r="147">
          <cell r="A147">
            <v>111</v>
          </cell>
          <cell r="B147">
            <v>0.35925842155354104</v>
          </cell>
          <cell r="C147" t="b">
            <v>1</v>
          </cell>
        </row>
        <row r="148">
          <cell r="A148">
            <v>110</v>
          </cell>
          <cell r="B148">
            <v>0.70928436926835892</v>
          </cell>
          <cell r="C148" t="b">
            <v>1</v>
          </cell>
        </row>
        <row r="149">
          <cell r="A149">
            <v>109</v>
          </cell>
          <cell r="B149">
            <v>0.5188357719400889</v>
          </cell>
          <cell r="C149" t="b">
            <v>1</v>
          </cell>
        </row>
        <row r="150">
          <cell r="A150">
            <v>108</v>
          </cell>
          <cell r="B150">
            <v>0.78510730766109038</v>
          </cell>
          <cell r="C150" t="b">
            <v>0</v>
          </cell>
        </row>
        <row r="151">
          <cell r="A151">
            <v>107</v>
          </cell>
          <cell r="B151">
            <v>0.55829916977737903</v>
          </cell>
          <cell r="C151" t="b">
            <v>1</v>
          </cell>
        </row>
        <row r="152">
          <cell r="A152">
            <v>106</v>
          </cell>
          <cell r="B152">
            <v>0.6242817060096435</v>
          </cell>
          <cell r="C152" t="b">
            <v>1</v>
          </cell>
        </row>
        <row r="153">
          <cell r="A153">
            <v>105</v>
          </cell>
          <cell r="B153">
            <v>0.60494347746396404</v>
          </cell>
          <cell r="C153" t="b">
            <v>1</v>
          </cell>
        </row>
        <row r="154">
          <cell r="A154">
            <v>104</v>
          </cell>
          <cell r="B154">
            <v>0.80678413376164526</v>
          </cell>
          <cell r="C154" t="b">
            <v>0</v>
          </cell>
        </row>
        <row r="155">
          <cell r="A155">
            <v>103</v>
          </cell>
          <cell r="B155">
            <v>0.46024637564040999</v>
          </cell>
          <cell r="C155" t="b">
            <v>1</v>
          </cell>
        </row>
        <row r="156">
          <cell r="A156">
            <v>102</v>
          </cell>
          <cell r="B156">
            <v>0.4820325407597183</v>
          </cell>
          <cell r="C156" t="b">
            <v>1</v>
          </cell>
        </row>
        <row r="157">
          <cell r="A157">
            <v>101</v>
          </cell>
          <cell r="B157">
            <v>0.60867892998122752</v>
          </cell>
          <cell r="C157" t="b">
            <v>1</v>
          </cell>
        </row>
        <row r="158">
          <cell r="A158">
            <v>100</v>
          </cell>
          <cell r="B158">
            <v>0.34570274499621617</v>
          </cell>
          <cell r="C158" t="b">
            <v>1</v>
          </cell>
        </row>
        <row r="159">
          <cell r="A159">
            <v>99</v>
          </cell>
          <cell r="B159">
            <v>0.56227020622769763</v>
          </cell>
          <cell r="C159" t="b">
            <v>1</v>
          </cell>
        </row>
        <row r="160">
          <cell r="A160">
            <v>98</v>
          </cell>
          <cell r="B160">
            <v>0.67683915158880692</v>
          </cell>
          <cell r="C160" t="b">
            <v>1</v>
          </cell>
        </row>
        <row r="161">
          <cell r="A161">
            <v>97</v>
          </cell>
          <cell r="B161">
            <v>0.45077948417659053</v>
          </cell>
          <cell r="C161" t="b">
            <v>1</v>
          </cell>
        </row>
        <row r="162">
          <cell r="A162">
            <v>96</v>
          </cell>
          <cell r="B162">
            <v>0.69167276582748138</v>
          </cell>
          <cell r="C162" t="b">
            <v>1</v>
          </cell>
        </row>
        <row r="163">
          <cell r="A163">
            <v>95</v>
          </cell>
          <cell r="B163">
            <v>0.55098319833281617</v>
          </cell>
          <cell r="C163" t="b">
            <v>1</v>
          </cell>
        </row>
        <row r="164">
          <cell r="A164">
            <v>94</v>
          </cell>
          <cell r="B164">
            <v>0.73681807450100445</v>
          </cell>
          <cell r="C164" t="b">
            <v>1</v>
          </cell>
        </row>
        <row r="165">
          <cell r="A165">
            <v>93</v>
          </cell>
          <cell r="B165">
            <v>0.56259862091113177</v>
          </cell>
          <cell r="C165" t="b">
            <v>1</v>
          </cell>
        </row>
        <row r="166">
          <cell r="A166">
            <v>92</v>
          </cell>
          <cell r="B166">
            <v>0.47866726374827312</v>
          </cell>
          <cell r="C166" t="b">
            <v>1</v>
          </cell>
        </row>
        <row r="167">
          <cell r="A167">
            <v>91</v>
          </cell>
          <cell r="B167">
            <v>0.46876709351148227</v>
          </cell>
          <cell r="C167" t="b">
            <v>1</v>
          </cell>
        </row>
        <row r="168">
          <cell r="A168">
            <v>90</v>
          </cell>
          <cell r="B168">
            <v>0.69812633415854208</v>
          </cell>
          <cell r="C168" t="b">
            <v>1</v>
          </cell>
        </row>
        <row r="169">
          <cell r="A169">
            <v>89</v>
          </cell>
          <cell r="B169">
            <v>0.35794939455699576</v>
          </cell>
          <cell r="C169" t="b">
            <v>1</v>
          </cell>
        </row>
        <row r="170">
          <cell r="A170">
            <v>88</v>
          </cell>
          <cell r="B170">
            <v>0.52593843358986592</v>
          </cell>
          <cell r="C170" t="b">
            <v>1</v>
          </cell>
        </row>
        <row r="171">
          <cell r="A171">
            <v>87</v>
          </cell>
          <cell r="B171">
            <v>0.46901513103942044</v>
          </cell>
          <cell r="C171" t="b">
            <v>1</v>
          </cell>
        </row>
        <row r="172">
          <cell r="A172">
            <v>86</v>
          </cell>
          <cell r="B172">
            <v>0.65266382948032398</v>
          </cell>
          <cell r="C172" t="b">
            <v>1</v>
          </cell>
        </row>
        <row r="173">
          <cell r="A173">
            <v>85</v>
          </cell>
          <cell r="B173">
            <v>0.70752273095437324</v>
          </cell>
          <cell r="C173" t="b">
            <v>1</v>
          </cell>
        </row>
        <row r="174">
          <cell r="A174">
            <v>84</v>
          </cell>
          <cell r="B174">
            <v>0.7337469673207504</v>
          </cell>
          <cell r="C174" t="b">
            <v>1</v>
          </cell>
        </row>
        <row r="175">
          <cell r="A175">
            <v>83</v>
          </cell>
          <cell r="B175">
            <v>0.74209775507376186</v>
          </cell>
          <cell r="C175" t="b">
            <v>1</v>
          </cell>
        </row>
        <row r="176">
          <cell r="A176">
            <v>82</v>
          </cell>
          <cell r="B176">
            <v>0.72410403723494621</v>
          </cell>
          <cell r="C176" t="b">
            <v>1</v>
          </cell>
        </row>
        <row r="177">
          <cell r="A177">
            <v>81</v>
          </cell>
          <cell r="B177">
            <v>0.48954179141965648</v>
          </cell>
          <cell r="C177" t="b">
            <v>1</v>
          </cell>
        </row>
        <row r="178">
          <cell r="A178">
            <v>80</v>
          </cell>
          <cell r="B178">
            <v>0.62994479096423017</v>
          </cell>
          <cell r="C178" t="b">
            <v>1</v>
          </cell>
        </row>
        <row r="179">
          <cell r="A179">
            <v>79</v>
          </cell>
          <cell r="B179">
            <v>0.57033568133154933</v>
          </cell>
          <cell r="C179" t="b">
            <v>1</v>
          </cell>
        </row>
        <row r="180">
          <cell r="A180">
            <v>78</v>
          </cell>
          <cell r="B180">
            <v>0.39413766505729309</v>
          </cell>
          <cell r="C180" t="b">
            <v>1</v>
          </cell>
        </row>
        <row r="181">
          <cell r="A181">
            <v>77</v>
          </cell>
          <cell r="B181">
            <v>0.58755591532443152</v>
          </cell>
          <cell r="C181" t="b">
            <v>1</v>
          </cell>
        </row>
        <row r="182">
          <cell r="A182">
            <v>76</v>
          </cell>
          <cell r="B182">
            <v>0.42520887730550749</v>
          </cell>
          <cell r="C182" t="b">
            <v>1</v>
          </cell>
        </row>
        <row r="183">
          <cell r="A183">
            <v>75</v>
          </cell>
          <cell r="B183">
            <v>0.59107307041939594</v>
          </cell>
          <cell r="C183" t="b">
            <v>1</v>
          </cell>
        </row>
        <row r="184">
          <cell r="A184">
            <v>74</v>
          </cell>
          <cell r="B184">
            <v>0.58084025148299312</v>
          </cell>
          <cell r="C184" t="b">
            <v>1</v>
          </cell>
        </row>
        <row r="185">
          <cell r="A185">
            <v>73</v>
          </cell>
          <cell r="B185">
            <v>0.22069851731177009</v>
          </cell>
          <cell r="C185" t="b">
            <v>0</v>
          </cell>
        </row>
        <row r="186">
          <cell r="A186">
            <v>72</v>
          </cell>
          <cell r="B186">
            <v>0.41477480910496473</v>
          </cell>
          <cell r="C186" t="b">
            <v>1</v>
          </cell>
        </row>
        <row r="187">
          <cell r="A187">
            <v>71</v>
          </cell>
          <cell r="B187">
            <v>0.37769150163322551</v>
          </cell>
          <cell r="C187" t="b">
            <v>1</v>
          </cell>
        </row>
        <row r="188">
          <cell r="A188">
            <v>70</v>
          </cell>
          <cell r="B188">
            <v>0.54745796252026002</v>
          </cell>
          <cell r="C188" t="b">
            <v>1</v>
          </cell>
        </row>
        <row r="189">
          <cell r="A189">
            <v>69</v>
          </cell>
          <cell r="B189">
            <v>0.71544956879625554</v>
          </cell>
          <cell r="C189" t="b">
            <v>1</v>
          </cell>
        </row>
        <row r="190">
          <cell r="A190">
            <v>68</v>
          </cell>
          <cell r="B190">
            <v>0.55395893033703969</v>
          </cell>
          <cell r="C190" t="b">
            <v>1</v>
          </cell>
        </row>
        <row r="191">
          <cell r="A191">
            <v>67</v>
          </cell>
          <cell r="B191">
            <v>0.46617921955147429</v>
          </cell>
          <cell r="C191" t="b">
            <v>1</v>
          </cell>
        </row>
        <row r="192">
          <cell r="A192">
            <v>66</v>
          </cell>
          <cell r="B192">
            <v>0.56551111416763056</v>
          </cell>
          <cell r="C192" t="b">
            <v>1</v>
          </cell>
        </row>
        <row r="193">
          <cell r="A193">
            <v>65</v>
          </cell>
          <cell r="B193">
            <v>0.58420526791534866</v>
          </cell>
          <cell r="C193" t="b">
            <v>1</v>
          </cell>
        </row>
        <row r="194">
          <cell r="A194">
            <v>64</v>
          </cell>
          <cell r="B194">
            <v>0.58495317120871404</v>
          </cell>
          <cell r="C194" t="b">
            <v>1</v>
          </cell>
        </row>
        <row r="195">
          <cell r="A195">
            <v>63</v>
          </cell>
          <cell r="B195">
            <v>0.48459445719290001</v>
          </cell>
          <cell r="C195" t="b">
            <v>1</v>
          </cell>
        </row>
        <row r="196">
          <cell r="A196">
            <v>62</v>
          </cell>
          <cell r="B196">
            <v>0.71530792222432649</v>
          </cell>
          <cell r="C196" t="b">
            <v>1</v>
          </cell>
        </row>
        <row r="197">
          <cell r="A197">
            <v>61</v>
          </cell>
          <cell r="B197">
            <v>0.50608924335498962</v>
          </cell>
          <cell r="C197" t="b">
            <v>1</v>
          </cell>
        </row>
        <row r="198">
          <cell r="A198">
            <v>60</v>
          </cell>
          <cell r="B198">
            <v>0.45189085507659915</v>
          </cell>
          <cell r="C198" t="b">
            <v>1</v>
          </cell>
        </row>
        <row r="199">
          <cell r="A199">
            <v>59</v>
          </cell>
          <cell r="B199">
            <v>0.63615153875137842</v>
          </cell>
          <cell r="C199" t="b">
            <v>1</v>
          </cell>
        </row>
        <row r="200">
          <cell r="A200">
            <v>58</v>
          </cell>
          <cell r="B200">
            <v>0.54082866727269607</v>
          </cell>
          <cell r="C200" t="b">
            <v>1</v>
          </cell>
        </row>
        <row r="201">
          <cell r="A201">
            <v>57</v>
          </cell>
          <cell r="B201">
            <v>0.70031532831223631</v>
          </cell>
          <cell r="C201" t="b">
            <v>1</v>
          </cell>
        </row>
        <row r="202">
          <cell r="A202">
            <v>56</v>
          </cell>
          <cell r="B202">
            <v>0.46798327035829018</v>
          </cell>
          <cell r="C202" t="b">
            <v>1</v>
          </cell>
        </row>
        <row r="203">
          <cell r="A203">
            <v>55</v>
          </cell>
          <cell r="B203">
            <v>0.66393764616127959</v>
          </cell>
          <cell r="C203" t="b">
            <v>1</v>
          </cell>
        </row>
        <row r="204">
          <cell r="A204">
            <v>54</v>
          </cell>
          <cell r="B204">
            <v>0.58593431767867932</v>
          </cell>
          <cell r="C204" t="b">
            <v>1</v>
          </cell>
        </row>
        <row r="205">
          <cell r="A205">
            <v>53</v>
          </cell>
          <cell r="B205">
            <v>0.56584519769630681</v>
          </cell>
          <cell r="C205" t="b">
            <v>1</v>
          </cell>
        </row>
        <row r="206">
          <cell r="A206">
            <v>52</v>
          </cell>
          <cell r="B206">
            <v>0.53738880982902171</v>
          </cell>
          <cell r="C206" t="b">
            <v>1</v>
          </cell>
        </row>
        <row r="207">
          <cell r="A207">
            <v>51</v>
          </cell>
          <cell r="B207">
            <v>0.37583735487150044</v>
          </cell>
          <cell r="C207" t="b">
            <v>1</v>
          </cell>
        </row>
        <row r="208">
          <cell r="A208">
            <v>50</v>
          </cell>
          <cell r="B208">
            <v>0.6456946960286114</v>
          </cell>
          <cell r="C208" t="b">
            <v>1</v>
          </cell>
        </row>
        <row r="209">
          <cell r="A209">
            <v>49</v>
          </cell>
          <cell r="B209">
            <v>0.75398638762223802</v>
          </cell>
          <cell r="C209" t="b">
            <v>1</v>
          </cell>
        </row>
        <row r="210">
          <cell r="A210">
            <v>48</v>
          </cell>
          <cell r="B210">
            <v>0.33379458088559188</v>
          </cell>
          <cell r="C210" t="b">
            <v>1</v>
          </cell>
        </row>
        <row r="211">
          <cell r="A211">
            <v>47</v>
          </cell>
          <cell r="B211">
            <v>0.77003176006434648</v>
          </cell>
          <cell r="C211" t="b">
            <v>1</v>
          </cell>
        </row>
        <row r="212">
          <cell r="A212">
            <v>46</v>
          </cell>
          <cell r="B212">
            <v>0.64511380427865161</v>
          </cell>
          <cell r="C212" t="b">
            <v>1</v>
          </cell>
        </row>
        <row r="213">
          <cell r="A213">
            <v>45</v>
          </cell>
          <cell r="B213">
            <v>0.70586346431631797</v>
          </cell>
          <cell r="C213" t="b">
            <v>1</v>
          </cell>
        </row>
        <row r="214">
          <cell r="A214">
            <v>44</v>
          </cell>
          <cell r="B214">
            <v>0.48454307975730354</v>
          </cell>
          <cell r="C214" t="b">
            <v>1</v>
          </cell>
        </row>
        <row r="215">
          <cell r="A215">
            <v>43</v>
          </cell>
          <cell r="B215">
            <v>0.49460278163803906</v>
          </cell>
          <cell r="C215" t="b">
            <v>1</v>
          </cell>
        </row>
        <row r="216">
          <cell r="A216">
            <v>42</v>
          </cell>
          <cell r="B216">
            <v>0.63626172825498784</v>
          </cell>
          <cell r="C216" t="b">
            <v>1</v>
          </cell>
        </row>
        <row r="217">
          <cell r="A217">
            <v>41</v>
          </cell>
          <cell r="B217">
            <v>0.50568507768120796</v>
          </cell>
          <cell r="C217" t="b">
            <v>1</v>
          </cell>
        </row>
        <row r="218">
          <cell r="A218">
            <v>40</v>
          </cell>
          <cell r="B218">
            <v>0.51552876018651739</v>
          </cell>
          <cell r="C218" t="b">
            <v>1</v>
          </cell>
        </row>
        <row r="219">
          <cell r="A219">
            <v>39</v>
          </cell>
          <cell r="B219">
            <v>0.62263489635929536</v>
          </cell>
          <cell r="C219" t="b">
            <v>1</v>
          </cell>
        </row>
        <row r="220">
          <cell r="A220">
            <v>38</v>
          </cell>
          <cell r="B220">
            <v>0.82174667914504529</v>
          </cell>
          <cell r="C220" t="b">
            <v>0</v>
          </cell>
        </row>
        <row r="221">
          <cell r="A221">
            <v>37</v>
          </cell>
          <cell r="B221">
            <v>0.78483841875474136</v>
          </cell>
          <cell r="C221" t="b">
            <v>0</v>
          </cell>
        </row>
        <row r="222">
          <cell r="A222">
            <v>36</v>
          </cell>
          <cell r="B222">
            <v>0.66292929383725763</v>
          </cell>
          <cell r="C222" t="b">
            <v>1</v>
          </cell>
        </row>
        <row r="223">
          <cell r="A223">
            <v>35</v>
          </cell>
          <cell r="B223">
            <v>0.53405507293989207</v>
          </cell>
          <cell r="C223" t="b">
            <v>1</v>
          </cell>
        </row>
        <row r="224">
          <cell r="A224">
            <v>34</v>
          </cell>
          <cell r="B224">
            <v>0.66470183723737652</v>
          </cell>
          <cell r="C224" t="b">
            <v>1</v>
          </cell>
        </row>
        <row r="225">
          <cell r="A225">
            <v>33</v>
          </cell>
          <cell r="B225">
            <v>0.66886705907934207</v>
          </cell>
          <cell r="C225" t="b">
            <v>1</v>
          </cell>
        </row>
        <row r="226">
          <cell r="A226">
            <v>32</v>
          </cell>
          <cell r="B226">
            <v>0.72607022331994753</v>
          </cell>
          <cell r="C226" t="b">
            <v>1</v>
          </cell>
        </row>
        <row r="227">
          <cell r="A227">
            <v>31</v>
          </cell>
          <cell r="B227">
            <v>0.57408788278304268</v>
          </cell>
          <cell r="C227" t="b">
            <v>1</v>
          </cell>
        </row>
        <row r="228">
          <cell r="A228">
            <v>30</v>
          </cell>
          <cell r="B228">
            <v>0.41645020113090531</v>
          </cell>
          <cell r="C228" t="b">
            <v>1</v>
          </cell>
        </row>
        <row r="229">
          <cell r="A229">
            <v>29</v>
          </cell>
          <cell r="B229">
            <v>0.48599237069645035</v>
          </cell>
          <cell r="C229" t="b">
            <v>1</v>
          </cell>
        </row>
        <row r="230">
          <cell r="A230">
            <v>28</v>
          </cell>
          <cell r="B230">
            <v>0.30994469730514485</v>
          </cell>
          <cell r="C230" t="b">
            <v>0</v>
          </cell>
        </row>
        <row r="231">
          <cell r="A231">
            <v>27</v>
          </cell>
          <cell r="B231">
            <v>0.69520668812722719</v>
          </cell>
          <cell r="C231" t="b">
            <v>1</v>
          </cell>
        </row>
        <row r="232">
          <cell r="A232">
            <v>26</v>
          </cell>
          <cell r="B232">
            <v>0.51799322766969025</v>
          </cell>
          <cell r="C232" t="b">
            <v>1</v>
          </cell>
        </row>
        <row r="233">
          <cell r="A233">
            <v>25</v>
          </cell>
          <cell r="B233">
            <v>0.71104464261958589</v>
          </cell>
          <cell r="C233" t="b">
            <v>1</v>
          </cell>
        </row>
        <row r="234">
          <cell r="A234">
            <v>24</v>
          </cell>
          <cell r="B234">
            <v>0.73274112883749853</v>
          </cell>
          <cell r="C234" t="b">
            <v>1</v>
          </cell>
        </row>
        <row r="235">
          <cell r="A235">
            <v>23</v>
          </cell>
          <cell r="B235">
            <v>0.70084798316702568</v>
          </cell>
          <cell r="C235" t="b">
            <v>1</v>
          </cell>
        </row>
        <row r="236">
          <cell r="A236">
            <v>22</v>
          </cell>
          <cell r="B236">
            <v>0.6683457500972706</v>
          </cell>
          <cell r="C236" t="b">
            <v>1</v>
          </cell>
        </row>
        <row r="237">
          <cell r="A237">
            <v>21</v>
          </cell>
          <cell r="B237">
            <v>0.48941322533194614</v>
          </cell>
          <cell r="C237" t="b">
            <v>1</v>
          </cell>
        </row>
        <row r="238">
          <cell r="A238">
            <v>20</v>
          </cell>
          <cell r="B238">
            <v>0.73597307926340771</v>
          </cell>
          <cell r="C238" t="b">
            <v>1</v>
          </cell>
        </row>
        <row r="239">
          <cell r="A239">
            <v>19</v>
          </cell>
          <cell r="B239">
            <v>0.51631796881471903</v>
          </cell>
          <cell r="C239" t="b">
            <v>1</v>
          </cell>
        </row>
        <row r="240">
          <cell r="A240">
            <v>18</v>
          </cell>
          <cell r="B240">
            <v>0.57805638473246157</v>
          </cell>
          <cell r="C240" t="b">
            <v>1</v>
          </cell>
        </row>
        <row r="241">
          <cell r="A241">
            <v>17</v>
          </cell>
          <cell r="B241">
            <v>0.58129357541293081</v>
          </cell>
          <cell r="C241" t="b">
            <v>1</v>
          </cell>
        </row>
        <row r="242">
          <cell r="A242">
            <v>16</v>
          </cell>
          <cell r="B242">
            <v>0.21383978435728423</v>
          </cell>
          <cell r="C242" t="b">
            <v>0</v>
          </cell>
        </row>
        <row r="243">
          <cell r="A243">
            <v>15</v>
          </cell>
          <cell r="B243">
            <v>0.54303504615412257</v>
          </cell>
          <cell r="C243" t="b">
            <v>1</v>
          </cell>
        </row>
        <row r="244">
          <cell r="A244">
            <v>14</v>
          </cell>
          <cell r="B244">
            <v>0.71511316679574488</v>
          </cell>
          <cell r="C244" t="b">
            <v>1</v>
          </cell>
        </row>
        <row r="245">
          <cell r="A245">
            <v>13</v>
          </cell>
          <cell r="B245">
            <v>0.38467926877786079</v>
          </cell>
          <cell r="C245" t="b">
            <v>1</v>
          </cell>
        </row>
        <row r="246">
          <cell r="A246">
            <v>12</v>
          </cell>
          <cell r="B246">
            <v>0.57133219571459015</v>
          </cell>
          <cell r="C246" t="b">
            <v>1</v>
          </cell>
        </row>
        <row r="247">
          <cell r="A247">
            <v>11</v>
          </cell>
          <cell r="B247">
            <v>0.48270490130793176</v>
          </cell>
          <cell r="C247" t="b">
            <v>1</v>
          </cell>
        </row>
        <row r="248">
          <cell r="A248">
            <v>10</v>
          </cell>
          <cell r="B248">
            <v>0.77104367912318061</v>
          </cell>
          <cell r="C248" t="b">
            <v>1</v>
          </cell>
        </row>
        <row r="249">
          <cell r="A249">
            <v>9</v>
          </cell>
          <cell r="B249">
            <v>0.6081083218806963</v>
          </cell>
          <cell r="C249" t="b">
            <v>1</v>
          </cell>
        </row>
        <row r="250">
          <cell r="A250">
            <v>8</v>
          </cell>
          <cell r="B250">
            <v>0.71221485530558515</v>
          </cell>
          <cell r="C250" t="b">
            <v>1</v>
          </cell>
        </row>
        <row r="251">
          <cell r="A251">
            <v>7</v>
          </cell>
          <cell r="B251">
            <v>0.69436133773446174</v>
          </cell>
          <cell r="C251" t="b">
            <v>1</v>
          </cell>
        </row>
        <row r="252">
          <cell r="A252">
            <v>6</v>
          </cell>
          <cell r="B252">
            <v>0.59075129921534353</v>
          </cell>
          <cell r="C252" t="b">
            <v>1</v>
          </cell>
        </row>
        <row r="253">
          <cell r="A253">
            <v>5</v>
          </cell>
          <cell r="B253">
            <v>0.78432958488295956</v>
          </cell>
          <cell r="C253" t="b">
            <v>0</v>
          </cell>
        </row>
        <row r="254">
          <cell r="A254">
            <v>4</v>
          </cell>
          <cell r="B254">
            <v>0.51423256017394192</v>
          </cell>
          <cell r="C254" t="b">
            <v>1</v>
          </cell>
        </row>
        <row r="255">
          <cell r="A255">
            <v>3</v>
          </cell>
          <cell r="B255">
            <v>0.71837369087098046</v>
          </cell>
          <cell r="C255" t="b">
            <v>1</v>
          </cell>
        </row>
        <row r="256">
          <cell r="A256">
            <v>2</v>
          </cell>
          <cell r="B256">
            <v>0.60296637127639641</v>
          </cell>
          <cell r="C256" t="b">
            <v>1</v>
          </cell>
        </row>
        <row r="257">
          <cell r="A257">
            <v>1</v>
          </cell>
          <cell r="B257">
            <v>0.32274682788616027</v>
          </cell>
          <cell r="C257" t="b">
            <v>0</v>
          </cell>
        </row>
      </sheetData>
      <sheetData sheetId="4">
        <row r="19">
          <cell r="AT19">
            <v>1600</v>
          </cell>
        </row>
      </sheetData>
      <sheetData sheetId="5">
        <row r="12">
          <cell r="B12" t="str">
            <v>Treatment</v>
          </cell>
        </row>
        <row r="84">
          <cell r="AC84" t="b">
            <v>1</v>
          </cell>
        </row>
        <row r="88">
          <cell r="AC88" t="b">
            <v>1</v>
          </cell>
        </row>
        <row r="89">
          <cell r="R89" t="b">
            <v>1</v>
          </cell>
        </row>
        <row r="92">
          <cell r="AC92" t="b">
            <v>0</v>
          </cell>
        </row>
        <row r="96">
          <cell r="AC96" t="b">
            <v>0</v>
          </cell>
        </row>
      </sheetData>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sheetData sheetId="1"/>
      <sheetData sheetId="2">
        <row r="13">
          <cell r="J13">
            <v>0.24414826487042007</v>
          </cell>
          <cell r="K13">
            <v>36</v>
          </cell>
          <cell r="L13">
            <v>60</v>
          </cell>
        </row>
        <row r="14">
          <cell r="J14">
            <v>9.5074492710232938E-2</v>
          </cell>
          <cell r="K14">
            <v>36</v>
          </cell>
          <cell r="L14">
            <v>60</v>
          </cell>
        </row>
      </sheetData>
      <sheetData sheetId="3"/>
      <sheetData sheetId="4"/>
      <sheetData sheetId="5"/>
      <sheetData sheetId="6"/>
      <sheetData sheetId="7">
        <row r="8">
          <cell r="N8">
            <v>130728.28452184275</v>
          </cell>
        </row>
        <row r="14">
          <cell r="N14" t="b">
            <v>0</v>
          </cell>
        </row>
        <row r="20">
          <cell r="C20">
            <v>900</v>
          </cell>
        </row>
      </sheetData>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Intro"/>
      <sheetName val="Two studies"/>
      <sheetName val="CIjumping"/>
      <sheetName val="Normal z t"/>
      <sheetName val="CI function"/>
      <sheetName val="CI and p"/>
    </sheetNames>
    <sheetDataSet>
      <sheetData sheetId="0"/>
      <sheetData sheetId="1">
        <row r="12">
          <cell r="AK12" t="str">
            <v>M(diff)</v>
          </cell>
        </row>
        <row r="17">
          <cell r="AN17" t="b">
            <v>1</v>
          </cell>
        </row>
        <row r="18">
          <cell r="AN18" t="b">
            <v>0</v>
          </cell>
        </row>
        <row r="19">
          <cell r="AN19" t="b">
            <v>0</v>
          </cell>
        </row>
        <row r="23">
          <cell r="AN23">
            <v>400</v>
          </cell>
        </row>
      </sheetData>
      <sheetData sheetId="2"/>
      <sheetData sheetId="3"/>
      <sheetData sheetId="4">
        <row r="3">
          <cell r="AK3" t="b">
            <v>1</v>
          </cell>
        </row>
      </sheetData>
      <sheetData sheetId="5">
        <row r="3">
          <cell r="O3">
            <v>-2.33</v>
          </cell>
        </row>
        <row r="5">
          <cell r="O5">
            <v>1.959963984540054</v>
          </cell>
        </row>
      </sheetData>
    </sheetDataSet>
  </externalBook>
</externalLink>
</file>

<file path=xl/externalLinks/externalLink21.xml><?xml version="1.0" encoding="utf-8"?>
<externalLink xmlns="http://schemas.openxmlformats.org/spreadsheetml/2006/main">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22.xml><?xml version="1.0" encoding="utf-8"?>
<externalLink xmlns="http://schemas.openxmlformats.org/spreadsheetml/2006/main">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23.xml><?xml version="1.0" encoding="utf-8"?>
<externalLink xmlns="http://schemas.openxmlformats.org/spreadsheetml/2006/main">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4.xml><?xml version="1.0" encoding="utf-8"?>
<externalLink xmlns="http://schemas.openxmlformats.org/spreadsheetml/2006/main">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5.xml><?xml version="1.0" encoding="utf-8"?>
<externalLink xmlns="http://schemas.openxmlformats.org/spreadsheetml/2006/main">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6.xml><?xml version="1.0" encoding="utf-8"?>
<externalLink xmlns="http://schemas.openxmlformats.org/spreadsheetml/2006/main">
  <externalBook xmlns:r="http://schemas.openxmlformats.org/officeDocument/2006/relationships" r:id="rId1">
    <sheetNames>
      <sheetName val="Intro"/>
      <sheetName val="Data"/>
    </sheetNames>
    <sheetDataSet>
      <sheetData sheetId="0"/>
      <sheetData sheetId="1">
        <row r="2">
          <cell r="F2">
            <v>42.1</v>
          </cell>
        </row>
        <row r="3">
          <cell r="F3">
            <v>45</v>
          </cell>
        </row>
        <row r="4">
          <cell r="F4">
            <v>54.6</v>
          </cell>
        </row>
        <row r="5">
          <cell r="F5">
            <v>59.3</v>
          </cell>
        </row>
        <row r="6">
          <cell r="F6">
            <v>40.299999999999997</v>
          </cell>
        </row>
        <row r="7">
          <cell r="F7">
            <v>40</v>
          </cell>
        </row>
        <row r="8">
          <cell r="F8">
            <v>53.1</v>
          </cell>
        </row>
        <row r="9">
          <cell r="F9">
            <v>61.7</v>
          </cell>
        </row>
        <row r="10">
          <cell r="F10">
            <v>48.7</v>
          </cell>
        </row>
        <row r="11">
          <cell r="F11">
            <v>59.5</v>
          </cell>
        </row>
        <row r="12">
          <cell r="F12">
            <v>48.6</v>
          </cell>
        </row>
        <row r="13">
          <cell r="F13">
            <v>46.4</v>
          </cell>
        </row>
        <row r="14">
          <cell r="F14">
            <v>40.200000000000003</v>
          </cell>
        </row>
        <row r="15">
          <cell r="F15">
            <v>49.1</v>
          </cell>
        </row>
        <row r="16">
          <cell r="F16">
            <v>46.2</v>
          </cell>
        </row>
        <row r="17">
          <cell r="F17">
            <v>81.599999999999994</v>
          </cell>
        </row>
        <row r="18">
          <cell r="F18">
            <v>41.7</v>
          </cell>
        </row>
        <row r="19">
          <cell r="F19">
            <v>59.7</v>
          </cell>
        </row>
        <row r="20">
          <cell r="F20">
            <v>49.4</v>
          </cell>
        </row>
        <row r="21">
          <cell r="F21">
            <v>43.5</v>
          </cell>
        </row>
        <row r="22">
          <cell r="F22">
            <v>53.7</v>
          </cell>
        </row>
        <row r="23">
          <cell r="F23">
            <v>59.6</v>
          </cell>
        </row>
        <row r="24">
          <cell r="F24">
            <v>43.7</v>
          </cell>
        </row>
        <row r="25">
          <cell r="F25">
            <v>55.9</v>
          </cell>
        </row>
        <row r="26">
          <cell r="F26">
            <v>41.3</v>
          </cell>
        </row>
        <row r="27">
          <cell r="F27">
            <v>51.5</v>
          </cell>
        </row>
        <row r="28">
          <cell r="F28">
            <v>39.299999999999997</v>
          </cell>
        </row>
        <row r="29">
          <cell r="F29">
            <v>46.3</v>
          </cell>
        </row>
        <row r="30">
          <cell r="F30">
            <v>47.3</v>
          </cell>
        </row>
        <row r="31">
          <cell r="F31">
            <v>41.4</v>
          </cell>
        </row>
        <row r="32">
          <cell r="F32" t="str">
            <v/>
          </cell>
        </row>
        <row r="33">
          <cell r="F33" t="str">
            <v/>
          </cell>
        </row>
        <row r="34">
          <cell r="F34" t="str">
            <v/>
          </cell>
        </row>
        <row r="35">
          <cell r="F35" t="str">
            <v/>
          </cell>
        </row>
        <row r="36">
          <cell r="F36" t="str">
            <v/>
          </cell>
        </row>
        <row r="37">
          <cell r="F37" t="str">
            <v/>
          </cell>
          <cell r="T37">
            <v>9</v>
          </cell>
        </row>
      </sheetData>
    </sheetDataSet>
  </externalBook>
</externalLink>
</file>

<file path=xl/externalLinks/externalLink27.xml><?xml version="1.0" encoding="utf-8"?>
<externalLink xmlns="http://schemas.openxmlformats.org/spreadsheetml/2006/main">
  <externalBook xmlns:r="http://schemas.openxmlformats.org/officeDocument/2006/relationships" r:id="rId1">
    <sheetNames>
      <sheetName val="Intro"/>
      <sheetName val="Case 1 Single Group"/>
      <sheetName val="Case 2 Two Independent Groups"/>
    </sheetNames>
    <sheetDataSet>
      <sheetData sheetId="0"/>
      <sheetData sheetId="1">
        <row r="2">
          <cell r="K2">
            <v>1000</v>
          </cell>
        </row>
        <row r="14">
          <cell r="K14" t="str">
            <v/>
          </cell>
        </row>
        <row r="16">
          <cell r="I16" t="str">
            <v/>
          </cell>
        </row>
      </sheetData>
      <sheetData sheetId="2"/>
    </sheetDataSet>
  </externalBook>
</externalLink>
</file>

<file path=xl/externalLinks/externalLink28.xml><?xml version="1.0" encoding="utf-8"?>
<externalLink xmlns="http://schemas.openxmlformats.org/spreadsheetml/2006/main">
  <externalBook xmlns:r="http://schemas.openxmlformats.org/officeDocument/2006/relationships" r:id="rId1">
    <sheetNames>
      <sheetName val="Intro"/>
      <sheetName val="Two proportions"/>
    </sheetNames>
    <sheetDataSet>
      <sheetData sheetId="0"/>
      <sheetData sheetId="1">
        <row r="4">
          <cell r="G4" t="str">
            <v>Probe duration</v>
          </cell>
        </row>
        <row r="6">
          <cell r="G6" t="str">
            <v>20 ms</v>
          </cell>
          <cell r="I6" t="str">
            <v>10 ms</v>
          </cell>
        </row>
        <row r="8">
          <cell r="E8" t="str">
            <v>Error</v>
          </cell>
          <cell r="G8">
            <v>10</v>
          </cell>
          <cell r="I8">
            <v>17</v>
          </cell>
        </row>
        <row r="9">
          <cell r="B9" t="str">
            <v>Accuracy</v>
          </cell>
        </row>
        <row r="11">
          <cell r="E11" t="str">
            <v>Correct</v>
          </cell>
          <cell r="G11">
            <v>28</v>
          </cell>
          <cell r="I11">
            <v>21</v>
          </cell>
        </row>
      </sheetData>
    </sheetDataSet>
  </externalBook>
</externalLink>
</file>

<file path=xl/externalLinks/externalLink29.xml><?xml version="1.0" encoding="utf-8"?>
<externalLink xmlns="http://schemas.openxmlformats.org/spreadsheetml/2006/main">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sheetDataSet>
  </externalBook>
</externalLink>
</file>

<file path=xl/externalLinks/externalLink30.xml><?xml version="1.0" encoding="utf-8"?>
<externalLink xmlns="http://schemas.openxmlformats.org/spreadsheetml/2006/main">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refreshError="1"/>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refreshError="1"/>
    </sheetDataSet>
  </externalBook>
</externalLink>
</file>

<file path=xl/externalLinks/externalLink31.xml><?xml version="1.0" encoding="utf-8"?>
<externalLink xmlns="http://schemas.openxmlformats.org/spreadsheetml/2006/main">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t="str">
            <v/>
          </cell>
          <cell r="AC87" t="e">
            <v>#N/A</v>
          </cell>
          <cell r="AD87">
            <v>0</v>
          </cell>
          <cell r="AE87" t="e">
            <v>#N/A</v>
          </cell>
          <cell r="AF87" t="str">
            <v/>
          </cell>
        </row>
        <row r="88">
          <cell r="Y88">
            <v>72</v>
          </cell>
          <cell r="Z88">
            <v>0.8441519346088171</v>
          </cell>
          <cell r="AA88">
            <v>0.17100334674149906</v>
          </cell>
          <cell r="AB88" t="str">
            <v/>
          </cell>
          <cell r="AC88" t="e">
            <v>#N/A</v>
          </cell>
          <cell r="AD88">
            <v>1</v>
          </cell>
          <cell r="AE88" t="e">
            <v>#N/A</v>
          </cell>
          <cell r="AF88" t="str">
            <v/>
          </cell>
        </row>
        <row r="89">
          <cell r="Y89">
            <v>73</v>
          </cell>
          <cell r="Z89">
            <v>0.32006332091987133</v>
          </cell>
          <cell r="AA89">
            <v>-7.9025597538194686E-2</v>
          </cell>
          <cell r="AB89" t="str">
            <v/>
          </cell>
          <cell r="AC89" t="e">
            <v>#N/A</v>
          </cell>
          <cell r="AD89">
            <v>2</v>
          </cell>
          <cell r="AE89" t="e">
            <v>#N/A</v>
          </cell>
          <cell r="AF89" t="str">
            <v/>
          </cell>
        </row>
        <row r="90">
          <cell r="Y90">
            <v>74</v>
          </cell>
          <cell r="Z90">
            <v>0.3700218852609396</v>
          </cell>
          <cell r="AA90">
            <v>-5.6083655994776591E-2</v>
          </cell>
          <cell r="AB90" t="str">
            <v/>
          </cell>
          <cell r="AC90" t="e">
            <v>#N/A</v>
          </cell>
          <cell r="AD90">
            <v>3</v>
          </cell>
          <cell r="AE90" t="e">
            <v>#N/A</v>
          </cell>
          <cell r="AF90" t="str">
            <v/>
          </cell>
        </row>
        <row r="91">
          <cell r="Y91">
            <v>75</v>
          </cell>
          <cell r="Z91">
            <v>0.66289390437304974</v>
          </cell>
          <cell r="AA91">
            <v>7.1056190539369041E-2</v>
          </cell>
          <cell r="AB91" t="str">
            <v/>
          </cell>
          <cell r="AC91" t="e">
            <v>#N/A</v>
          </cell>
          <cell r="AD91">
            <v>4</v>
          </cell>
          <cell r="AE91" t="e">
            <v>#N/A</v>
          </cell>
          <cell r="AF91" t="str">
            <v/>
          </cell>
        </row>
        <row r="92">
          <cell r="Y92">
            <v>76</v>
          </cell>
          <cell r="Z92">
            <v>0.66135125420987606</v>
          </cell>
          <cell r="AA92">
            <v>7.0342824567851389E-2</v>
          </cell>
          <cell r="AB92" t="str">
            <v/>
          </cell>
          <cell r="AC92" t="e">
            <v>#N/A</v>
          </cell>
          <cell r="AD92">
            <v>5</v>
          </cell>
          <cell r="AE92" t="e">
            <v>#N/A</v>
          </cell>
          <cell r="AF92" t="str">
            <v/>
          </cell>
        </row>
        <row r="93">
          <cell r="Y93">
            <v>77</v>
          </cell>
          <cell r="Z93">
            <v>0.13966506533324718</v>
          </cell>
          <cell r="AA93">
            <v>-0.18286186310444938</v>
          </cell>
          <cell r="AB93" t="str">
            <v/>
          </cell>
          <cell r="AC93" t="e">
            <v>#N/A</v>
          </cell>
          <cell r="AD93">
            <v>6</v>
          </cell>
          <cell r="AE93" t="e">
            <v>#N/A</v>
          </cell>
          <cell r="AF93" t="str">
            <v/>
          </cell>
        </row>
        <row r="94">
          <cell r="Y94">
            <v>78</v>
          </cell>
          <cell r="Z94">
            <v>0.46897832117974758</v>
          </cell>
          <cell r="AA94">
            <v>-1.3157082054092812E-2</v>
          </cell>
          <cell r="AB94" t="str">
            <v/>
          </cell>
          <cell r="AC94" t="e">
            <v>#N/A</v>
          </cell>
          <cell r="AD94">
            <v>7</v>
          </cell>
          <cell r="AE94" t="e">
            <v>#N/A</v>
          </cell>
          <cell r="AF94" t="str">
            <v/>
          </cell>
        </row>
        <row r="95">
          <cell r="Y95">
            <v>79</v>
          </cell>
          <cell r="Z95">
            <v>0.3085156511515379</v>
          </cell>
          <cell r="AA95">
            <v>-8.4525934127234609E-2</v>
          </cell>
          <cell r="AB95" t="str">
            <v/>
          </cell>
          <cell r="AC95" t="e">
            <v>#N/A</v>
          </cell>
          <cell r="AD95">
            <v>8</v>
          </cell>
          <cell r="AE95" t="e">
            <v>#N/A</v>
          </cell>
          <cell r="AF95" t="str">
            <v/>
          </cell>
        </row>
        <row r="96">
          <cell r="Y96">
            <v>80</v>
          </cell>
          <cell r="Z96">
            <v>0.522218843922019</v>
          </cell>
          <cell r="AA96">
            <v>9.4189410021186977E-3</v>
          </cell>
          <cell r="AB96" t="str">
            <v/>
          </cell>
          <cell r="AC96" t="e">
            <v>#N/A</v>
          </cell>
          <cell r="AD96">
            <v>9</v>
          </cell>
          <cell r="AE96" t="e">
            <v>#N/A</v>
          </cell>
          <cell r="AF96" t="str">
            <v/>
          </cell>
        </row>
        <row r="97">
          <cell r="Y97">
            <v>81</v>
          </cell>
          <cell r="Z97">
            <v>0.22806516103446484</v>
          </cell>
          <cell r="AA97">
            <v>-0.12596752322098367</v>
          </cell>
          <cell r="AB97" t="str">
            <v/>
          </cell>
          <cell r="AC97" t="e">
            <v>#N/A</v>
          </cell>
          <cell r="AD97">
            <v>10</v>
          </cell>
          <cell r="AE97" t="e">
            <v>#N/A</v>
          </cell>
          <cell r="AF97" t="str">
            <v/>
          </cell>
        </row>
        <row r="98">
          <cell r="Y98">
            <v>82</v>
          </cell>
          <cell r="Z98">
            <v>0.57519174180924892</v>
          </cell>
          <cell r="AA98">
            <v>3.2049558763186908E-2</v>
          </cell>
          <cell r="AB98" t="str">
            <v/>
          </cell>
          <cell r="AC98" t="e">
            <v>#N/A</v>
          </cell>
          <cell r="AD98">
            <v>11</v>
          </cell>
          <cell r="AE98" t="e">
            <v>#N/A</v>
          </cell>
          <cell r="AF98" t="str">
            <v/>
          </cell>
        </row>
        <row r="99">
          <cell r="Y99">
            <v>83</v>
          </cell>
          <cell r="Z99">
            <v>0.89558513276278973</v>
          </cell>
          <cell r="AA99">
            <v>0.21243626150191841</v>
          </cell>
          <cell r="AB99" t="str">
            <v/>
          </cell>
          <cell r="AC99" t="e">
            <v>#N/A</v>
          </cell>
          <cell r="AD99">
            <v>12</v>
          </cell>
          <cell r="AE99" t="e">
            <v>#N/A</v>
          </cell>
          <cell r="AF99" t="str">
            <v/>
          </cell>
        </row>
        <row r="100">
          <cell r="Y100">
            <v>84</v>
          </cell>
          <cell r="Z100">
            <v>0.97023462317883968</v>
          </cell>
          <cell r="AA100">
            <v>0.31849689790528485</v>
          </cell>
          <cell r="AB100" t="str">
            <v/>
          </cell>
          <cell r="AC100" t="e">
            <v>#N/A</v>
          </cell>
          <cell r="AD100">
            <v>13</v>
          </cell>
          <cell r="AE100" t="e">
            <v>#N/A</v>
          </cell>
          <cell r="AF100" t="str">
            <v/>
          </cell>
        </row>
        <row r="101">
          <cell r="Y101">
            <v>85</v>
          </cell>
          <cell r="Z101">
            <v>0.84483849816024303</v>
          </cell>
          <cell r="AA101">
            <v>0.1714893212438566</v>
          </cell>
          <cell r="AB101" t="str">
            <v/>
          </cell>
          <cell r="AC101" t="e">
            <v>#N/A</v>
          </cell>
          <cell r="AD101">
            <v>14</v>
          </cell>
          <cell r="AE101" t="e">
            <v>#N/A</v>
          </cell>
          <cell r="AF101" t="str">
            <v/>
          </cell>
        </row>
        <row r="102">
          <cell r="Y102">
            <v>86</v>
          </cell>
          <cell r="Z102">
            <v>0.96450290642678738</v>
          </cell>
          <cell r="AA102">
            <v>0.30518767550318576</v>
          </cell>
          <cell r="AB102" t="str">
            <v/>
          </cell>
          <cell r="AC102" t="e">
            <v>#N/A</v>
          </cell>
          <cell r="AD102">
            <v>15</v>
          </cell>
          <cell r="AE102" t="e">
            <v>#N/A</v>
          </cell>
          <cell r="AF102" t="str">
            <v/>
          </cell>
        </row>
        <row r="103">
          <cell r="Y103">
            <v>87</v>
          </cell>
          <cell r="Z103">
            <v>0.60280565731227398</v>
          </cell>
          <cell r="AA103">
            <v>4.4052136445353503E-2</v>
          </cell>
          <cell r="AB103" t="str">
            <v/>
          </cell>
          <cell r="AC103" t="e">
            <v>#N/A</v>
          </cell>
          <cell r="AD103">
            <v>16</v>
          </cell>
          <cell r="AE103" t="e">
            <v>#N/A</v>
          </cell>
          <cell r="AF103" t="str">
            <v/>
          </cell>
        </row>
        <row r="104">
          <cell r="Y104">
            <v>88</v>
          </cell>
          <cell r="Z104">
            <v>0.40959628485143185</v>
          </cell>
          <cell r="AA104">
            <v>-3.8637681011100454E-2</v>
          </cell>
          <cell r="AB104" t="str">
            <v/>
          </cell>
          <cell r="AC104" t="e">
            <v>#N/A</v>
          </cell>
          <cell r="AD104">
            <v>17</v>
          </cell>
          <cell r="AE104" t="e">
            <v>#N/A</v>
          </cell>
          <cell r="AF104" t="str">
            <v/>
          </cell>
        </row>
        <row r="105">
          <cell r="Y105">
            <v>89</v>
          </cell>
          <cell r="Z105">
            <v>0.17326602153480053</v>
          </cell>
          <cell r="AA105">
            <v>-0.15911504176198221</v>
          </cell>
          <cell r="AB105" t="str">
            <v/>
          </cell>
          <cell r="AC105" t="e">
            <v>#N/A</v>
          </cell>
          <cell r="AD105">
            <v>18</v>
          </cell>
          <cell r="AE105" t="e">
            <v>#N/A</v>
          </cell>
          <cell r="AF105" t="str">
            <v/>
          </cell>
        </row>
        <row r="106">
          <cell r="Y106">
            <v>90</v>
          </cell>
          <cell r="Z106">
            <v>0.46780628524720669</v>
          </cell>
          <cell r="AA106">
            <v>-1.3655235263929717E-2</v>
          </cell>
          <cell r="AB106" t="str">
            <v/>
          </cell>
          <cell r="AC106" t="e">
            <v>#N/A</v>
          </cell>
          <cell r="AD106">
            <v>19</v>
          </cell>
          <cell r="AE106" t="e">
            <v>#N/A</v>
          </cell>
          <cell r="AF106" t="str">
            <v/>
          </cell>
        </row>
        <row r="107">
          <cell r="Y107">
            <v>91</v>
          </cell>
          <cell r="Z107">
            <v>0.9339537750929594</v>
          </cell>
          <cell r="AA107">
            <v>0.25454381964592437</v>
          </cell>
          <cell r="AB107" t="str">
            <v/>
          </cell>
          <cell r="AC107" t="e">
            <v>#N/A</v>
          </cell>
          <cell r="AD107">
            <v>20</v>
          </cell>
          <cell r="AE107" t="e">
            <v>#N/A</v>
          </cell>
          <cell r="AF107" t="str">
            <v/>
          </cell>
        </row>
        <row r="108">
          <cell r="Y108">
            <v>92</v>
          </cell>
          <cell r="Z108">
            <v>0.89232867024838924</v>
          </cell>
          <cell r="AA108">
            <v>0.20943051993037803</v>
          </cell>
          <cell r="AB108" t="str">
            <v/>
          </cell>
          <cell r="AC108" t="e">
            <v>#N/A</v>
          </cell>
          <cell r="AD108">
            <v>21</v>
          </cell>
          <cell r="AE108" t="e">
            <v>#N/A</v>
          </cell>
          <cell r="AF108" t="str">
            <v/>
          </cell>
        </row>
        <row r="109">
          <cell r="Y109">
            <v>93</v>
          </cell>
          <cell r="Z109">
            <v>0.30275660566985607</v>
          </cell>
          <cell r="AA109">
            <v>-8.7302504579142973E-2</v>
          </cell>
          <cell r="AB109" t="str">
            <v/>
          </cell>
          <cell r="AC109" t="e">
            <v>#N/A</v>
          </cell>
          <cell r="AD109">
            <v>22</v>
          </cell>
          <cell r="AE109" t="e">
            <v>#N/A</v>
          </cell>
          <cell r="AF109" t="str">
            <v/>
          </cell>
        </row>
        <row r="110">
          <cell r="Y110">
            <v>94</v>
          </cell>
          <cell r="Z110">
            <v>0.99253443442285061</v>
          </cell>
          <cell r="AA110">
            <v>0.41142872846792794</v>
          </cell>
          <cell r="AB110" t="str">
            <v/>
          </cell>
          <cell r="AC110" t="e">
            <v>#N/A</v>
          </cell>
          <cell r="AD110">
            <v>23</v>
          </cell>
          <cell r="AE110" t="e">
            <v>#N/A</v>
          </cell>
          <cell r="AF110" t="str">
            <v/>
          </cell>
        </row>
        <row r="111">
          <cell r="Y111">
            <v>95</v>
          </cell>
          <cell r="Z111">
            <v>0.24717615358531475</v>
          </cell>
          <cell r="AA111">
            <v>-0.11551616860853341</v>
          </cell>
          <cell r="AB111" t="str">
            <v/>
          </cell>
          <cell r="AC111" t="e">
            <v>#N/A</v>
          </cell>
          <cell r="AD111">
            <v>24</v>
          </cell>
          <cell r="AE111" t="e">
            <v>#N/A</v>
          </cell>
          <cell r="AF111" t="str">
            <v/>
          </cell>
        </row>
        <row r="112">
          <cell r="Y112">
            <v>96</v>
          </cell>
          <cell r="Z112">
            <v>0.74914314411580563</v>
          </cell>
          <cell r="AA112">
            <v>0.11355421338461123</v>
          </cell>
          <cell r="AB112" t="str">
            <v/>
          </cell>
          <cell r="AC112" t="e">
            <v>#N/A</v>
          </cell>
          <cell r="AD112">
            <v>25</v>
          </cell>
          <cell r="AE112" t="e">
            <v>#N/A</v>
          </cell>
          <cell r="AF112" t="str">
            <v/>
          </cell>
        </row>
        <row r="113">
          <cell r="Y113">
            <v>97</v>
          </cell>
          <cell r="Z113">
            <v>0.18001892976462841</v>
          </cell>
          <cell r="AA113">
            <v>-0.1547127460945987</v>
          </cell>
          <cell r="AB113" t="str">
            <v/>
          </cell>
          <cell r="AC113" t="e">
            <v>#N/A</v>
          </cell>
          <cell r="AD113">
            <v>26</v>
          </cell>
          <cell r="AE113" t="e">
            <v>#N/A</v>
          </cell>
          <cell r="AF113" t="str">
            <v/>
          </cell>
        </row>
        <row r="114">
          <cell r="Y114">
            <v>98</v>
          </cell>
          <cell r="Z114">
            <v>0.63789237104356289</v>
          </cell>
          <cell r="AA114">
            <v>5.9639298009494711E-2</v>
          </cell>
          <cell r="AB114" t="str">
            <v/>
          </cell>
          <cell r="AC114" t="e">
            <v>#N/A</v>
          </cell>
          <cell r="AD114">
            <v>27</v>
          </cell>
          <cell r="AE114" t="e">
            <v>#N/A</v>
          </cell>
          <cell r="AF114" t="str">
            <v/>
          </cell>
        </row>
        <row r="115">
          <cell r="Y115">
            <v>99</v>
          </cell>
          <cell r="Z115">
            <v>3.0364524573087692E-3</v>
          </cell>
          <cell r="AA115">
            <v>-0.46379002645821155</v>
          </cell>
          <cell r="AB115" t="str">
            <v/>
          </cell>
          <cell r="AC115" t="e">
            <v>#N/A</v>
          </cell>
          <cell r="AD115">
            <v>28</v>
          </cell>
          <cell r="AE115" t="e">
            <v>#N/A</v>
          </cell>
          <cell r="AF115" t="str">
            <v/>
          </cell>
        </row>
        <row r="116">
          <cell r="Y116">
            <v>100</v>
          </cell>
          <cell r="Z116">
            <v>0.56404696963727474</v>
          </cell>
          <cell r="AA116">
            <v>2.7254173220867605E-2</v>
          </cell>
          <cell r="AB116" t="str">
            <v/>
          </cell>
          <cell r="AC116" t="e">
            <v>#N/A</v>
          </cell>
          <cell r="AD116">
            <v>29</v>
          </cell>
          <cell r="AE116" t="e">
            <v>#N/A</v>
          </cell>
          <cell r="AF116" t="str">
            <v/>
          </cell>
        </row>
        <row r="117">
          <cell r="Y117">
            <v>101</v>
          </cell>
          <cell r="Z117">
            <v>2.8983352705836296E-2</v>
          </cell>
          <cell r="AA117">
            <v>-0.32047397923850851</v>
          </cell>
          <cell r="AB117" t="str">
            <v/>
          </cell>
          <cell r="AC117" t="e">
            <v>#N/A</v>
          </cell>
          <cell r="AD117">
            <v>30</v>
          </cell>
          <cell r="AE117" t="e">
            <v>#N/A</v>
          </cell>
          <cell r="AF117" t="str">
            <v/>
          </cell>
        </row>
        <row r="118">
          <cell r="Y118">
            <v>102</v>
          </cell>
          <cell r="Z118">
            <v>0.90384194813668728</v>
          </cell>
          <cell r="AA118">
            <v>0.22037532576465949</v>
          </cell>
          <cell r="AB118" t="str">
            <v/>
          </cell>
          <cell r="AC118" t="e">
            <v>#N/A</v>
          </cell>
          <cell r="AD118">
            <v>31</v>
          </cell>
          <cell r="AE118" t="e">
            <v>#N/A</v>
          </cell>
          <cell r="AF118" t="str">
            <v/>
          </cell>
        </row>
        <row r="119">
          <cell r="Y119">
            <v>103</v>
          </cell>
          <cell r="Z119">
            <v>0.23131219856441021</v>
          </cell>
          <cell r="AA119">
            <v>-0.1241586154684671</v>
          </cell>
          <cell r="AB119" t="str">
            <v/>
          </cell>
          <cell r="AC119" t="e">
            <v>#N/A</v>
          </cell>
          <cell r="AD119">
            <v>32</v>
          </cell>
          <cell r="AE119" t="e">
            <v>#N/A</v>
          </cell>
          <cell r="AF119" t="str">
            <v/>
          </cell>
        </row>
        <row r="120">
          <cell r="Y120">
            <v>104</v>
          </cell>
          <cell r="Z120">
            <v>0.99270268343389034</v>
          </cell>
          <cell r="AA120">
            <v>0.41282145649700597</v>
          </cell>
          <cell r="AB120" t="str">
            <v/>
          </cell>
          <cell r="AC120" t="e">
            <v>#N/A</v>
          </cell>
          <cell r="AD120">
            <v>33</v>
          </cell>
          <cell r="AE120" t="e">
            <v>#N/A</v>
          </cell>
          <cell r="AF120" t="str">
            <v/>
          </cell>
        </row>
        <row r="121">
          <cell r="Y121">
            <v>105</v>
          </cell>
          <cell r="Z121">
            <v>0.73947378806769848</v>
          </cell>
          <cell r="AA121">
            <v>0.10847114845461558</v>
          </cell>
          <cell r="AB121" t="str">
            <v/>
          </cell>
          <cell r="AC121" t="e">
            <v>#N/A</v>
          </cell>
          <cell r="AD121">
            <v>34</v>
          </cell>
          <cell r="AE121" t="e">
            <v>#N/A</v>
          </cell>
          <cell r="AF121" t="str">
            <v/>
          </cell>
        </row>
        <row r="122">
          <cell r="Y122">
            <v>106</v>
          </cell>
          <cell r="Z122">
            <v>0.49383622966706753</v>
          </cell>
          <cell r="AA122">
            <v>-2.6116780545854296E-3</v>
          </cell>
          <cell r="AB122" t="str">
            <v/>
          </cell>
          <cell r="AC122" t="e">
            <v>#N/A</v>
          </cell>
          <cell r="AD122">
            <v>35</v>
          </cell>
          <cell r="AE122" t="e">
            <v>#N/A</v>
          </cell>
          <cell r="AF122" t="str">
            <v/>
          </cell>
        </row>
        <row r="123">
          <cell r="Y123">
            <v>107</v>
          </cell>
          <cell r="Z123">
            <v>0.71654166094958782</v>
          </cell>
          <cell r="AA123">
            <v>9.6786786117488241E-2</v>
          </cell>
          <cell r="AB123" t="str">
            <v/>
          </cell>
          <cell r="AC123" t="e">
            <v>#N/A</v>
          </cell>
          <cell r="AD123">
            <v>36</v>
          </cell>
          <cell r="AE123" t="e">
            <v>#N/A</v>
          </cell>
          <cell r="AF123" t="str">
            <v/>
          </cell>
        </row>
        <row r="124">
          <cell r="Y124">
            <v>108</v>
          </cell>
          <cell r="Z124">
            <v>0.92453747056424618</v>
          </cell>
          <cell r="AA124">
            <v>0.2427742185492939</v>
          </cell>
          <cell r="AB124" t="str">
            <v/>
          </cell>
          <cell r="AC124" t="e">
            <v>#N/A</v>
          </cell>
          <cell r="AD124">
            <v>37</v>
          </cell>
          <cell r="AE124" t="e">
            <v>#N/A</v>
          </cell>
          <cell r="AF124" t="str">
            <v/>
          </cell>
        </row>
        <row r="125">
          <cell r="Y125">
            <v>109</v>
          </cell>
          <cell r="Z125">
            <v>0.72462957911193371</v>
          </cell>
          <cell r="AA125">
            <v>0.10085231787803753</v>
          </cell>
          <cell r="AB125" t="str">
            <v/>
          </cell>
          <cell r="AC125" t="e">
            <v>#N/A</v>
          </cell>
          <cell r="AD125">
            <v>38</v>
          </cell>
          <cell r="AE125" t="e">
            <v>#N/A</v>
          </cell>
          <cell r="AF125" t="str">
            <v/>
          </cell>
        </row>
        <row r="126">
          <cell r="Y126">
            <v>110</v>
          </cell>
          <cell r="Z126">
            <v>0.21130386553704739</v>
          </cell>
          <cell r="AA126">
            <v>-0.13554673786797022</v>
          </cell>
          <cell r="AB126" t="str">
            <v/>
          </cell>
          <cell r="AC126" t="e">
            <v>#N/A</v>
          </cell>
          <cell r="AD126">
            <v>39</v>
          </cell>
          <cell r="AE126" t="e">
            <v>#N/A</v>
          </cell>
          <cell r="AF126" t="str">
            <v/>
          </cell>
        </row>
        <row r="127">
          <cell r="Y127">
            <v>111</v>
          </cell>
          <cell r="Z127">
            <v>0.40232072584331036</v>
          </cell>
          <cell r="AA127">
            <v>-4.1808888601324944E-2</v>
          </cell>
          <cell r="AB127" t="str">
            <v/>
          </cell>
          <cell r="AC127" t="e">
            <v>#N/A</v>
          </cell>
          <cell r="AD127">
            <v>40</v>
          </cell>
          <cell r="AE127" t="e">
            <v>#N/A</v>
          </cell>
          <cell r="AF127" t="str">
            <v/>
          </cell>
        </row>
        <row r="128">
          <cell r="Y128">
            <v>112</v>
          </cell>
          <cell r="Z128">
            <v>0.488602539524436</v>
          </cell>
          <cell r="AA128">
            <v>-4.8297327290210013E-3</v>
          </cell>
          <cell r="AB128" t="str">
            <v/>
          </cell>
          <cell r="AC128" t="e">
            <v>#N/A</v>
          </cell>
          <cell r="AD128">
            <v>41</v>
          </cell>
          <cell r="AE128" t="e">
            <v>#N/A</v>
          </cell>
          <cell r="AF128" t="str">
            <v/>
          </cell>
        </row>
        <row r="129">
          <cell r="Y129">
            <v>113</v>
          </cell>
          <cell r="Z129">
            <v>0.74707737378776073</v>
          </cell>
          <cell r="AA129">
            <v>0.1124597613625974</v>
          </cell>
          <cell r="AB129" t="str">
            <v/>
          </cell>
          <cell r="AC129" t="e">
            <v>#N/A</v>
          </cell>
          <cell r="AD129">
            <v>42</v>
          </cell>
          <cell r="AE129" t="e">
            <v>#N/A</v>
          </cell>
          <cell r="AF129" t="str">
            <v/>
          </cell>
        </row>
        <row r="130">
          <cell r="Y130">
            <v>114</v>
          </cell>
          <cell r="Z130">
            <v>0.4498834665864706</v>
          </cell>
          <cell r="AA130">
            <v>-2.1290411605509818E-2</v>
          </cell>
          <cell r="AB130" t="str">
            <v/>
          </cell>
          <cell r="AC130" t="e">
            <v>#N/A</v>
          </cell>
          <cell r="AD130">
            <v>43</v>
          </cell>
          <cell r="AE130" t="e">
            <v>#N/A</v>
          </cell>
          <cell r="AF130" t="str">
            <v/>
          </cell>
        </row>
        <row r="131">
          <cell r="Y131">
            <v>115</v>
          </cell>
          <cell r="Z131">
            <v>0.51434977166354656</v>
          </cell>
          <cell r="AA131">
            <v>6.0812741714859056E-3</v>
          </cell>
          <cell r="AB131" t="str">
            <v/>
          </cell>
          <cell r="AC131" t="e">
            <v>#N/A</v>
          </cell>
          <cell r="AD131">
            <v>44</v>
          </cell>
          <cell r="AE131" t="e">
            <v>#N/A</v>
          </cell>
          <cell r="AF131" t="str">
            <v/>
          </cell>
        </row>
        <row r="132">
          <cell r="Y132">
            <v>116</v>
          </cell>
          <cell r="Z132">
            <v>0.40318249724805355</v>
          </cell>
          <cell r="AA132">
            <v>-4.1432519733830692E-2</v>
          </cell>
          <cell r="AB132" t="str">
            <v/>
          </cell>
          <cell r="AC132" t="e">
            <v>#N/A</v>
          </cell>
          <cell r="AD132">
            <v>45</v>
          </cell>
          <cell r="AE132" t="e">
            <v>#N/A</v>
          </cell>
          <cell r="AF132" t="str">
            <v/>
          </cell>
        </row>
        <row r="133">
          <cell r="Y133">
            <v>117</v>
          </cell>
          <cell r="Z133">
            <v>0.21385299973189831</v>
          </cell>
          <cell r="AA133">
            <v>-0.13406230325087992</v>
          </cell>
          <cell r="AB133" t="str">
            <v/>
          </cell>
          <cell r="AC133" t="e">
            <v>#N/A</v>
          </cell>
          <cell r="AD133">
            <v>46</v>
          </cell>
          <cell r="AE133" t="e">
            <v>#N/A</v>
          </cell>
          <cell r="AF133" t="str">
            <v/>
          </cell>
        </row>
        <row r="134">
          <cell r="Y134">
            <v>118</v>
          </cell>
          <cell r="Z134">
            <v>0.77740797959268093</v>
          </cell>
          <cell r="AA134">
            <v>0.12904973038783099</v>
          </cell>
          <cell r="AB134" t="str">
            <v/>
          </cell>
          <cell r="AC134" t="e">
            <v>#N/A</v>
          </cell>
          <cell r="AD134">
            <v>47</v>
          </cell>
          <cell r="AE134" t="e">
            <v>#N/A</v>
          </cell>
          <cell r="AF134" t="str">
            <v/>
          </cell>
        </row>
        <row r="135">
          <cell r="Y135">
            <v>119</v>
          </cell>
          <cell r="Z135">
            <v>0.90223054401576519</v>
          </cell>
          <cell r="AA135">
            <v>0.21878784368166504</v>
          </cell>
          <cell r="AB135" t="str">
            <v/>
          </cell>
          <cell r="AC135" t="e">
            <v>#N/A</v>
          </cell>
          <cell r="AD135">
            <v>48</v>
          </cell>
          <cell r="AE135" t="e">
            <v>#N/A</v>
          </cell>
          <cell r="AF135" t="str">
            <v/>
          </cell>
        </row>
        <row r="136">
          <cell r="Y136">
            <v>120</v>
          </cell>
          <cell r="Z136">
            <v>0.16915472410619259</v>
          </cell>
          <cell r="AA136">
            <v>-0.16184888195070077</v>
          </cell>
          <cell r="AB136" t="str">
            <v/>
          </cell>
          <cell r="AC136" t="e">
            <v>#N/A</v>
          </cell>
          <cell r="AD136">
            <v>49</v>
          </cell>
          <cell r="AE136" t="e">
            <v>#N/A</v>
          </cell>
          <cell r="AF136" t="str">
            <v/>
          </cell>
        </row>
        <row r="137">
          <cell r="Y137">
            <v>121</v>
          </cell>
          <cell r="Z137">
            <v>0.44007333926856518</v>
          </cell>
          <cell r="AA137">
            <v>-2.5487025601202157E-2</v>
          </cell>
          <cell r="AB137" t="str">
            <v/>
          </cell>
          <cell r="AC137" t="e">
            <v>#N/A</v>
          </cell>
          <cell r="AD137">
            <v>50</v>
          </cell>
          <cell r="AE137" t="e">
            <v>#N/A</v>
          </cell>
          <cell r="AF137" t="str">
            <v/>
          </cell>
        </row>
        <row r="138">
          <cell r="Y138">
            <v>122</v>
          </cell>
          <cell r="Z138">
            <v>0.11363906227052212</v>
          </cell>
          <cell r="AA138">
            <v>-0.20408785426705081</v>
          </cell>
          <cell r="AB138" t="str">
            <v/>
          </cell>
          <cell r="AC138" t="e">
            <v>#N/A</v>
          </cell>
          <cell r="AD138">
            <v>51</v>
          </cell>
          <cell r="AE138" t="e">
            <v>#N/A</v>
          </cell>
          <cell r="AF138" t="str">
            <v/>
          </cell>
        </row>
        <row r="139">
          <cell r="Y139">
            <v>123</v>
          </cell>
          <cell r="Z139">
            <v>0.10001303069293499</v>
          </cell>
          <cell r="AA139">
            <v>-0.21660920176725504</v>
          </cell>
          <cell r="AB139" t="str">
            <v/>
          </cell>
          <cell r="AC139" t="e">
            <v>#N/A</v>
          </cell>
          <cell r="AD139">
            <v>52</v>
          </cell>
          <cell r="AE139" t="e">
            <v>#N/A</v>
          </cell>
          <cell r="AF139" t="str">
            <v/>
          </cell>
        </row>
        <row r="140">
          <cell r="Y140">
            <v>124</v>
          </cell>
          <cell r="Z140">
            <v>0.60709874890744686</v>
          </cell>
          <cell r="AA140">
            <v>4.5936716780681931E-2</v>
          </cell>
          <cell r="AB140" t="str">
            <v/>
          </cell>
          <cell r="AC140" t="e">
            <v>#N/A</v>
          </cell>
          <cell r="AD140">
            <v>53</v>
          </cell>
          <cell r="AE140" t="e">
            <v>#N/A</v>
          </cell>
          <cell r="AF140" t="str">
            <v/>
          </cell>
        </row>
        <row r="141">
          <cell r="Y141">
            <v>125</v>
          </cell>
          <cell r="Z141">
            <v>0.38135820440948009</v>
          </cell>
          <cell r="AA141">
            <v>-5.1033049555812546E-2</v>
          </cell>
          <cell r="AB141" t="str">
            <v/>
          </cell>
          <cell r="AC141" t="e">
            <v>#N/A</v>
          </cell>
          <cell r="AD141">
            <v>54</v>
          </cell>
          <cell r="AE141" t="e">
            <v>#N/A</v>
          </cell>
          <cell r="AF141" t="str">
            <v/>
          </cell>
        </row>
        <row r="142">
          <cell r="Y142">
            <v>126</v>
          </cell>
          <cell r="Z142">
            <v>1.7514582723379135E-3</v>
          </cell>
          <cell r="AA142">
            <v>-0.49353092993835729</v>
          </cell>
          <cell r="AB142" t="str">
            <v/>
          </cell>
          <cell r="AC142" t="e">
            <v>#N/A</v>
          </cell>
          <cell r="AD142">
            <v>55</v>
          </cell>
          <cell r="AE142" t="e">
            <v>#N/A</v>
          </cell>
          <cell r="AF142" t="str">
            <v/>
          </cell>
        </row>
        <row r="143">
          <cell r="Y143">
            <v>127</v>
          </cell>
          <cell r="Z143">
            <v>0.60549233667552471</v>
          </cell>
          <cell r="AA143">
            <v>4.5230878134087736E-2</v>
          </cell>
          <cell r="AB143" t="str">
            <v/>
          </cell>
          <cell r="AC143" t="e">
            <v>#N/A</v>
          </cell>
          <cell r="AD143">
            <v>56</v>
          </cell>
          <cell r="AE143" t="e">
            <v>#N/A</v>
          </cell>
          <cell r="AF143" t="str">
            <v/>
          </cell>
        </row>
        <row r="144">
          <cell r="Y144">
            <v>128</v>
          </cell>
          <cell r="Z144">
            <v>0.23815562389791012</v>
          </cell>
          <cell r="AA144">
            <v>-0.12039187744785904</v>
          </cell>
          <cell r="AB144" t="str">
            <v/>
          </cell>
          <cell r="AC144" t="e">
            <v>#N/A</v>
          </cell>
          <cell r="AD144">
            <v>57</v>
          </cell>
          <cell r="AE144" t="e">
            <v>#N/A</v>
          </cell>
          <cell r="AF144" t="str">
            <v/>
          </cell>
        </row>
        <row r="145">
          <cell r="Y145">
            <v>129</v>
          </cell>
          <cell r="Z145">
            <v>0.33500221185386181</v>
          </cell>
          <cell r="AA145">
            <v>-7.2031134160745164E-2</v>
          </cell>
          <cell r="AB145" t="str">
            <v/>
          </cell>
          <cell r="AC145" t="e">
            <v>#N/A</v>
          </cell>
          <cell r="AD145">
            <v>58</v>
          </cell>
          <cell r="AE145" t="e">
            <v>#N/A</v>
          </cell>
          <cell r="AF145" t="str">
            <v/>
          </cell>
        </row>
        <row r="146">
          <cell r="Y146">
            <v>130</v>
          </cell>
          <cell r="Z146">
            <v>0.47356737218797207</v>
          </cell>
          <cell r="AA146">
            <v>-1.1207645388894912E-2</v>
          </cell>
          <cell r="AB146" t="str">
            <v/>
          </cell>
          <cell r="AC146" t="e">
            <v>#N/A</v>
          </cell>
          <cell r="AD146">
            <v>59</v>
          </cell>
          <cell r="AE146" t="e">
            <v>#N/A</v>
          </cell>
          <cell r="AF146" t="str">
            <v/>
          </cell>
        </row>
        <row r="147">
          <cell r="Y147">
            <v>131</v>
          </cell>
          <cell r="Z147">
            <v>0.87825555913150311</v>
          </cell>
          <cell r="AA147">
            <v>0.19714247623324041</v>
          </cell>
          <cell r="AB147" t="str">
            <v/>
          </cell>
          <cell r="AC147" t="e">
            <v>#N/A</v>
          </cell>
          <cell r="AD147">
            <v>60</v>
          </cell>
          <cell r="AE147" t="e">
            <v>#N/A</v>
          </cell>
          <cell r="AF147" t="str">
            <v/>
          </cell>
        </row>
        <row r="148">
          <cell r="Y148">
            <v>132</v>
          </cell>
          <cell r="Z148">
            <v>8.6372997611761093E-3</v>
          </cell>
          <cell r="AA148">
            <v>-0.4024304115941349</v>
          </cell>
          <cell r="AB148" t="str">
            <v/>
          </cell>
          <cell r="AC148" t="e">
            <v>#N/A</v>
          </cell>
          <cell r="AD148">
            <v>61</v>
          </cell>
          <cell r="AE148" t="e">
            <v>#N/A</v>
          </cell>
          <cell r="AF148" t="str">
            <v/>
          </cell>
        </row>
        <row r="149">
          <cell r="Y149">
            <v>133</v>
          </cell>
          <cell r="Z149">
            <v>0.10989665798842907</v>
          </cell>
          <cell r="AA149">
            <v>-0.20741402042341434</v>
          </cell>
          <cell r="AB149" t="str">
            <v/>
          </cell>
          <cell r="AC149" t="e">
            <v>#N/A</v>
          </cell>
          <cell r="AD149">
            <v>62</v>
          </cell>
          <cell r="AE149" t="e">
            <v>#N/A</v>
          </cell>
          <cell r="AF149" t="str">
            <v/>
          </cell>
        </row>
        <row r="150">
          <cell r="Y150">
            <v>134</v>
          </cell>
          <cell r="Z150">
            <v>8.5408445447683334E-3</v>
          </cell>
          <cell r="AA150">
            <v>-0.40312923126153605</v>
          </cell>
          <cell r="AB150" t="str">
            <v/>
          </cell>
          <cell r="AC150" t="e">
            <v>#N/A</v>
          </cell>
          <cell r="AD150">
            <v>63</v>
          </cell>
          <cell r="AE150" t="e">
            <v>#N/A</v>
          </cell>
          <cell r="AF150" t="str">
            <v/>
          </cell>
        </row>
        <row r="151">
          <cell r="Y151">
            <v>135</v>
          </cell>
          <cell r="Z151">
            <v>0.55647866241633892</v>
          </cell>
          <cell r="AA151">
            <v>2.4010369421117124E-2</v>
          </cell>
          <cell r="AB151" t="str">
            <v/>
          </cell>
          <cell r="AC151" t="e">
            <v>#N/A</v>
          </cell>
          <cell r="AD151">
            <v>64</v>
          </cell>
          <cell r="AE151" t="e">
            <v>#N/A</v>
          </cell>
          <cell r="AF151" t="str">
            <v/>
          </cell>
        </row>
        <row r="152">
          <cell r="Y152">
            <v>136</v>
          </cell>
          <cell r="Z152">
            <v>0.85838600061833858</v>
          </cell>
          <cell r="AA152">
            <v>0.18138634764380679</v>
          </cell>
          <cell r="AB152" t="str">
            <v/>
          </cell>
          <cell r="AC152" t="e">
            <v>#N/A</v>
          </cell>
          <cell r="AD152">
            <v>65</v>
          </cell>
          <cell r="AE152" t="e">
            <v>#N/A</v>
          </cell>
          <cell r="AF152" t="str">
            <v/>
          </cell>
        </row>
        <row r="153">
          <cell r="Y153">
            <v>137</v>
          </cell>
          <cell r="Z153">
            <v>0.16520139388740063</v>
          </cell>
          <cell r="AA153">
            <v>-0.1645182153033255</v>
          </cell>
          <cell r="AB153" t="str">
            <v/>
          </cell>
          <cell r="AC153" t="e">
            <v>#N/A</v>
          </cell>
          <cell r="AD153">
            <v>66</v>
          </cell>
          <cell r="AE153" t="e">
            <v>#N/A</v>
          </cell>
          <cell r="AF153" t="str">
            <v/>
          </cell>
        </row>
        <row r="154">
          <cell r="Y154">
            <v>138</v>
          </cell>
          <cell r="Z154">
            <v>8.6492126807570457E-2</v>
          </cell>
          <cell r="AA154">
            <v>-0.2303344936081142</v>
          </cell>
          <cell r="AB154" t="str">
            <v/>
          </cell>
          <cell r="AC154" t="e">
            <v>#N/A</v>
          </cell>
          <cell r="AD154">
            <v>67</v>
          </cell>
          <cell r="AE154" t="e">
            <v>#N/A</v>
          </cell>
          <cell r="AF154" t="str">
            <v/>
          </cell>
        </row>
        <row r="155">
          <cell r="Y155">
            <v>139</v>
          </cell>
          <cell r="Z155">
            <v>0.39247335307300091</v>
          </cell>
          <cell r="AA155">
            <v>-4.6124864808523493E-2</v>
          </cell>
          <cell r="AB155" t="str">
            <v/>
          </cell>
          <cell r="AC155" t="e">
            <v>#N/A</v>
          </cell>
          <cell r="AD155">
            <v>68</v>
          </cell>
          <cell r="AE155" t="e">
            <v>#N/A</v>
          </cell>
          <cell r="AF155" t="str">
            <v/>
          </cell>
        </row>
        <row r="156">
          <cell r="Y156">
            <v>140</v>
          </cell>
          <cell r="Z156">
            <v>0.63288359902799129</v>
          </cell>
          <cell r="AA156">
            <v>5.7386040129740107E-2</v>
          </cell>
          <cell r="AB156" t="str">
            <v/>
          </cell>
          <cell r="AC156" t="e">
            <v>#N/A</v>
          </cell>
          <cell r="AD156">
            <v>69</v>
          </cell>
          <cell r="AE156" t="e">
            <v>#N/A</v>
          </cell>
          <cell r="AF156" t="str">
            <v/>
          </cell>
        </row>
        <row r="157">
          <cell r="Y157">
            <v>141</v>
          </cell>
          <cell r="Z157">
            <v>0.21776670031249523</v>
          </cell>
          <cell r="AA157">
            <v>-0.13180313863997639</v>
          </cell>
          <cell r="AB157" t="str">
            <v/>
          </cell>
          <cell r="AC157" t="e">
            <v>#N/A</v>
          </cell>
          <cell r="AD157">
            <v>70</v>
          </cell>
          <cell r="AE157" t="e">
            <v>#N/A</v>
          </cell>
          <cell r="AF157" t="str">
            <v/>
          </cell>
        </row>
        <row r="158">
          <cell r="Y158">
            <v>142</v>
          </cell>
          <cell r="Z158">
            <v>0.83409205637872219</v>
          </cell>
          <cell r="AA158">
            <v>0.16403814324280669</v>
          </cell>
          <cell r="AB158" t="str">
            <v/>
          </cell>
          <cell r="AC158" t="e">
            <v>#N/A</v>
          </cell>
          <cell r="AD158">
            <v>71</v>
          </cell>
          <cell r="AE158" t="e">
            <v>#N/A</v>
          </cell>
          <cell r="AF158" t="str">
            <v/>
          </cell>
        </row>
        <row r="159">
          <cell r="Y159">
            <v>143</v>
          </cell>
          <cell r="Z159">
            <v>0.40698395483195782</v>
          </cell>
          <cell r="AA159">
            <v>-3.9774698424874605E-2</v>
          </cell>
          <cell r="AB159" t="str">
            <v/>
          </cell>
          <cell r="AC159" t="e">
            <v>#N/A</v>
          </cell>
          <cell r="AD159">
            <v>72</v>
          </cell>
          <cell r="AE159" t="e">
            <v>#N/A</v>
          </cell>
          <cell r="AF159" t="str">
            <v/>
          </cell>
        </row>
        <row r="160">
          <cell r="Y160">
            <v>144</v>
          </cell>
          <cell r="Z160">
            <v>0.83911099098622799</v>
          </cell>
          <cell r="AA160">
            <v>0.16747757764911464</v>
          </cell>
          <cell r="AB160" t="str">
            <v/>
          </cell>
          <cell r="AC160" t="e">
            <v>#N/A</v>
          </cell>
          <cell r="AD160">
            <v>73</v>
          </cell>
          <cell r="AE160" t="e">
            <v>#N/A</v>
          </cell>
          <cell r="AF160" t="str">
            <v/>
          </cell>
        </row>
        <row r="161">
          <cell r="Y161">
            <v>145</v>
          </cell>
          <cell r="Z161">
            <v>0.81830516271293163</v>
          </cell>
          <cell r="AA161">
            <v>0.15363637957391657</v>
          </cell>
          <cell r="AB161" t="str">
            <v/>
          </cell>
          <cell r="AC161" t="e">
            <v>#N/A</v>
          </cell>
          <cell r="AD161">
            <v>74</v>
          </cell>
          <cell r="AE161" t="e">
            <v>#N/A</v>
          </cell>
          <cell r="AF161" t="str">
            <v/>
          </cell>
        </row>
        <row r="162">
          <cell r="Y162">
            <v>146</v>
          </cell>
          <cell r="Z162">
            <v>0.26509643159806728</v>
          </cell>
          <cell r="AA162">
            <v>-0.10610263150026972</v>
          </cell>
          <cell r="AB162" t="str">
            <v/>
          </cell>
          <cell r="AC162" t="e">
            <v>#N/A</v>
          </cell>
          <cell r="AD162">
            <v>75</v>
          </cell>
          <cell r="AE162" t="e">
            <v>#N/A</v>
          </cell>
          <cell r="AF162" t="str">
            <v/>
          </cell>
        </row>
        <row r="163">
          <cell r="Y163">
            <v>147</v>
          </cell>
          <cell r="Z163">
            <v>0.7622342836111784</v>
          </cell>
          <cell r="AA163">
            <v>0.12060487307007314</v>
          </cell>
          <cell r="AB163" t="str">
            <v/>
          </cell>
          <cell r="AC163" t="e">
            <v>#N/A</v>
          </cell>
          <cell r="AD163">
            <v>76</v>
          </cell>
          <cell r="AE163" t="e">
            <v>#N/A</v>
          </cell>
          <cell r="AF163" t="str">
            <v/>
          </cell>
        </row>
        <row r="164">
          <cell r="Y164">
            <v>148</v>
          </cell>
          <cell r="Z164">
            <v>0.74515747092664242</v>
          </cell>
          <cell r="AA164">
            <v>0.11144680126419877</v>
          </cell>
          <cell r="AB164" t="str">
            <v/>
          </cell>
          <cell r="AC164" t="e">
            <v>#N/A</v>
          </cell>
          <cell r="AD164">
            <v>77</v>
          </cell>
          <cell r="AE164" t="e">
            <v>#N/A</v>
          </cell>
          <cell r="AF164" t="str">
            <v/>
          </cell>
        </row>
        <row r="165">
          <cell r="Y165">
            <v>149</v>
          </cell>
          <cell r="Z165">
            <v>0.39631354622542858</v>
          </cell>
          <cell r="AA165">
            <v>-4.4438334367212728E-2</v>
          </cell>
          <cell r="AB165" t="str">
            <v/>
          </cell>
          <cell r="AC165" t="e">
            <v>#N/A</v>
          </cell>
          <cell r="AD165">
            <v>78</v>
          </cell>
          <cell r="AE165" t="e">
            <v>#N/A</v>
          </cell>
          <cell r="AF165" t="str">
            <v/>
          </cell>
        </row>
        <row r="166">
          <cell r="Y166">
            <v>150</v>
          </cell>
          <cell r="Z166">
            <v>0.61433038674294949</v>
          </cell>
          <cell r="AA166">
            <v>4.9124350453204187E-2</v>
          </cell>
          <cell r="AB166" t="str">
            <v/>
          </cell>
          <cell r="AC166" t="e">
            <v>#N/A</v>
          </cell>
          <cell r="AD166">
            <v>79</v>
          </cell>
          <cell r="AE166" t="e">
            <v>#N/A</v>
          </cell>
          <cell r="AF166" t="str">
            <v/>
          </cell>
        </row>
        <row r="167">
          <cell r="Y167">
            <v>151</v>
          </cell>
          <cell r="Z167">
            <v>0.8537245225161314</v>
          </cell>
          <cell r="AA167">
            <v>0.17791206865042078</v>
          </cell>
          <cell r="AB167" t="str">
            <v/>
          </cell>
          <cell r="AC167" t="e">
            <v>#N/A</v>
          </cell>
          <cell r="AD167">
            <v>80</v>
          </cell>
          <cell r="AE167" t="e">
            <v>#N/A</v>
          </cell>
          <cell r="AF167" t="str">
            <v/>
          </cell>
        </row>
        <row r="168">
          <cell r="Y168">
            <v>152</v>
          </cell>
          <cell r="Z168">
            <v>0.32358010672032833</v>
          </cell>
          <cell r="AA168">
            <v>-7.7367249393194087E-2</v>
          </cell>
          <cell r="AB168" t="str">
            <v/>
          </cell>
          <cell r="AC168" t="e">
            <v>#N/A</v>
          </cell>
          <cell r="AD168">
            <v>81</v>
          </cell>
          <cell r="AE168" t="e">
            <v>#N/A</v>
          </cell>
          <cell r="AF168" t="str">
            <v/>
          </cell>
        </row>
        <row r="169">
          <cell r="Y169">
            <v>153</v>
          </cell>
          <cell r="Z169">
            <v>0.27374467067420483</v>
          </cell>
          <cell r="AA169">
            <v>-0.10167654265521515</v>
          </cell>
          <cell r="AB169" t="str">
            <v/>
          </cell>
          <cell r="AC169" t="e">
            <v>#N/A</v>
          </cell>
          <cell r="AD169">
            <v>82</v>
          </cell>
          <cell r="AE169" t="e">
            <v>#N/A</v>
          </cell>
          <cell r="AF169" t="str">
            <v/>
          </cell>
        </row>
        <row r="170">
          <cell r="Y170">
            <v>154</v>
          </cell>
          <cell r="Z170">
            <v>0.26542276702821255</v>
          </cell>
          <cell r="AA170">
            <v>-0.10593430781308198</v>
          </cell>
          <cell r="AB170" t="str">
            <v/>
          </cell>
          <cell r="AC170" t="e">
            <v>#N/A</v>
          </cell>
          <cell r="AD170">
            <v>83</v>
          </cell>
          <cell r="AE170" t="e">
            <v>#N/A</v>
          </cell>
          <cell r="AF170" t="str">
            <v/>
          </cell>
        </row>
        <row r="171">
          <cell r="Y171">
            <v>155</v>
          </cell>
          <cell r="Z171">
            <v>0.12077809683978558</v>
          </cell>
          <cell r="AA171">
            <v>-0.19795303478895418</v>
          </cell>
          <cell r="AB171" t="str">
            <v/>
          </cell>
          <cell r="AC171" t="e">
            <v>#N/A</v>
          </cell>
          <cell r="AD171">
            <v>84</v>
          </cell>
          <cell r="AE171" t="e">
            <v>#N/A</v>
          </cell>
          <cell r="AF171" t="str">
            <v/>
          </cell>
        </row>
        <row r="172">
          <cell r="Y172">
            <v>156</v>
          </cell>
          <cell r="Z172">
            <v>0.53851311467587948</v>
          </cell>
          <cell r="AA172">
            <v>1.6343339870323787E-2</v>
          </cell>
          <cell r="AB172" t="str">
            <v/>
          </cell>
          <cell r="AC172" t="e">
            <v>#N/A</v>
          </cell>
          <cell r="AD172">
            <v>85</v>
          </cell>
          <cell r="AE172" t="e">
            <v>#N/A</v>
          </cell>
          <cell r="AF172" t="str">
            <v/>
          </cell>
        </row>
        <row r="173">
          <cell r="Y173">
            <v>157</v>
          </cell>
          <cell r="Z173">
            <v>0.14742928557097912</v>
          </cell>
          <cell r="AA173">
            <v>-0.17706365230684498</v>
          </cell>
          <cell r="AB173" t="str">
            <v/>
          </cell>
          <cell r="AC173" t="e">
            <v>#N/A</v>
          </cell>
          <cell r="AD173">
            <v>86</v>
          </cell>
          <cell r="AE173" t="e">
            <v>#N/A</v>
          </cell>
          <cell r="AF173" t="str">
            <v/>
          </cell>
        </row>
        <row r="174">
          <cell r="Y174">
            <v>158</v>
          </cell>
          <cell r="Z174">
            <v>0.77229050360620022</v>
          </cell>
          <cell r="AA174">
            <v>0.12616653787846793</v>
          </cell>
          <cell r="AB174" t="str">
            <v/>
          </cell>
          <cell r="AC174" t="e">
            <v>#N/A</v>
          </cell>
          <cell r="AD174">
            <v>87</v>
          </cell>
          <cell r="AE174" t="e">
            <v>#N/A</v>
          </cell>
          <cell r="AF174" t="str">
            <v/>
          </cell>
        </row>
        <row r="175">
          <cell r="Y175">
            <v>159</v>
          </cell>
          <cell r="Z175">
            <v>7.5838549062609673E-2</v>
          </cell>
          <cell r="AA175">
            <v>-0.24232816035339338</v>
          </cell>
          <cell r="AB175" t="str">
            <v/>
          </cell>
          <cell r="AC175" t="e">
            <v>#N/A</v>
          </cell>
          <cell r="AD175">
            <v>88</v>
          </cell>
          <cell r="AE175" t="e">
            <v>#N/A</v>
          </cell>
          <cell r="AF175" t="str">
            <v/>
          </cell>
        </row>
        <row r="176">
          <cell r="Y176">
            <v>160</v>
          </cell>
          <cell r="Z176">
            <v>0.47652723453938961</v>
          </cell>
          <cell r="AA176">
            <v>-9.9510974693184893E-3</v>
          </cell>
          <cell r="AB176" t="str">
            <v/>
          </cell>
          <cell r="AC176" t="e">
            <v>#N/A</v>
          </cell>
          <cell r="AD176">
            <v>89</v>
          </cell>
          <cell r="AE176" t="e">
            <v>#N/A</v>
          </cell>
          <cell r="AF176" t="str">
            <v/>
          </cell>
        </row>
        <row r="177">
          <cell r="Y177">
            <v>161</v>
          </cell>
          <cell r="Z177">
            <v>0.54024794511497021</v>
          </cell>
          <cell r="AA177">
            <v>1.7081985461841226E-2</v>
          </cell>
          <cell r="AB177" t="str">
            <v/>
          </cell>
          <cell r="AC177" t="e">
            <v>#N/A</v>
          </cell>
          <cell r="AD177">
            <v>90</v>
          </cell>
          <cell r="AE177" t="e">
            <v>#N/A</v>
          </cell>
          <cell r="AF177" t="str">
            <v/>
          </cell>
        </row>
        <row r="178">
          <cell r="Y178">
            <v>162</v>
          </cell>
          <cell r="Z178">
            <v>0.47437298856675625</v>
          </cell>
          <cell r="AA178">
            <v>-1.0865579298917462E-2</v>
          </cell>
          <cell r="AB178" t="str">
            <v/>
          </cell>
          <cell r="AC178" t="e">
            <v>#N/A</v>
          </cell>
          <cell r="AD178">
            <v>91</v>
          </cell>
          <cell r="AE178" t="e">
            <v>#N/A</v>
          </cell>
          <cell r="AF178" t="str">
            <v/>
          </cell>
        </row>
        <row r="179">
          <cell r="Y179">
            <v>163</v>
          </cell>
          <cell r="Z179">
            <v>5.2516413852572441E-2</v>
          </cell>
          <cell r="AA179">
            <v>-0.27398703879813124</v>
          </cell>
          <cell r="AB179" t="str">
            <v/>
          </cell>
          <cell r="AC179" t="e">
            <v>#N/A</v>
          </cell>
          <cell r="AD179">
            <v>92</v>
          </cell>
          <cell r="AE179" t="e">
            <v>#N/A</v>
          </cell>
          <cell r="AF179" t="str">
            <v/>
          </cell>
        </row>
        <row r="180">
          <cell r="Y180">
            <v>164</v>
          </cell>
          <cell r="Z180">
            <v>0.82123910449445248</v>
          </cell>
          <cell r="AA180">
            <v>0.15552486974233903</v>
          </cell>
          <cell r="AB180" t="str">
            <v/>
          </cell>
          <cell r="AC180" t="e">
            <v>#N/A</v>
          </cell>
          <cell r="AD180">
            <v>93</v>
          </cell>
          <cell r="AE180" t="e">
            <v>#N/A</v>
          </cell>
          <cell r="AF180" t="str">
            <v/>
          </cell>
        </row>
        <row r="181">
          <cell r="Y181">
            <v>165</v>
          </cell>
          <cell r="Z181">
            <v>0.72105288319289684</v>
          </cell>
          <cell r="AA181">
            <v>9.9047370320688444E-2</v>
          </cell>
          <cell r="AB181" t="str">
            <v/>
          </cell>
          <cell r="AC181" t="e">
            <v>#N/A</v>
          </cell>
          <cell r="AD181">
            <v>94</v>
          </cell>
          <cell r="AE181" t="e">
            <v>#N/A</v>
          </cell>
          <cell r="AF181" t="str">
            <v/>
          </cell>
        </row>
        <row r="182">
          <cell r="Y182">
            <v>166</v>
          </cell>
          <cell r="Z182">
            <v>0.20561644993722439</v>
          </cell>
          <cell r="AA182">
            <v>-0.1388970326263394</v>
          </cell>
          <cell r="AB182" t="str">
            <v/>
          </cell>
          <cell r="AC182" t="e">
            <v>#N/A</v>
          </cell>
          <cell r="AD182">
            <v>95</v>
          </cell>
          <cell r="AE182" t="e">
            <v>#N/A</v>
          </cell>
          <cell r="AF182" t="str">
            <v/>
          </cell>
        </row>
        <row r="183">
          <cell r="Y183">
            <v>167</v>
          </cell>
          <cell r="Z183">
            <v>0.17238609306514263</v>
          </cell>
          <cell r="AA183">
            <v>-0.1596966424274216</v>
          </cell>
          <cell r="AB183" t="str">
            <v/>
          </cell>
          <cell r="AC183" t="e">
            <v>#N/A</v>
          </cell>
          <cell r="AD183">
            <v>96</v>
          </cell>
          <cell r="AE183" t="e">
            <v>#N/A</v>
          </cell>
          <cell r="AF183" t="str">
            <v/>
          </cell>
        </row>
        <row r="184">
          <cell r="Y184">
            <v>168</v>
          </cell>
          <cell r="Z184">
            <v>0.17167063616216183</v>
          </cell>
          <cell r="AA184">
            <v>-0.16017093064074078</v>
          </cell>
          <cell r="AB184" t="str">
            <v/>
          </cell>
          <cell r="AC184" t="e">
            <v>#N/A</v>
          </cell>
          <cell r="AD184">
            <v>97</v>
          </cell>
          <cell r="AE184" t="e">
            <v>#N/A</v>
          </cell>
          <cell r="AF184" t="str">
            <v/>
          </cell>
        </row>
        <row r="185">
          <cell r="Y185">
            <v>169</v>
          </cell>
          <cell r="Z185">
            <v>0.59333988837897778</v>
          </cell>
          <cell r="AA185">
            <v>3.9915775696038824E-2</v>
          </cell>
          <cell r="AB185" t="str">
            <v/>
          </cell>
          <cell r="AC185" t="e">
            <v>#N/A</v>
          </cell>
          <cell r="AD185">
            <v>98</v>
          </cell>
          <cell r="AE185" t="e">
            <v>#N/A</v>
          </cell>
          <cell r="AF185" t="str">
            <v/>
          </cell>
        </row>
        <row r="186">
          <cell r="Y186">
            <v>170</v>
          </cell>
          <cell r="Z186">
            <v>0.59720832668244839</v>
          </cell>
          <cell r="AA186">
            <v>4.1603182077217811E-2</v>
          </cell>
          <cell r="AB186" t="str">
            <v/>
          </cell>
          <cell r="AC186" t="e">
            <v>#N/A</v>
          </cell>
          <cell r="AD186">
            <v>99</v>
          </cell>
          <cell r="AE186" t="e">
            <v>#N/A</v>
          </cell>
          <cell r="AF186" t="str">
            <v/>
          </cell>
        </row>
        <row r="187">
          <cell r="Y187">
            <v>171</v>
          </cell>
          <cell r="Z187">
            <v>3.0532730743288994E-2</v>
          </cell>
          <cell r="AA187">
            <v>-0.31659836246967205</v>
          </cell>
          <cell r="AB187" t="str">
            <v/>
          </cell>
          <cell r="AC187" t="e">
            <v>#N/A</v>
          </cell>
          <cell r="AD187">
            <v>100</v>
          </cell>
          <cell r="AE187" t="e">
            <v>#N/A</v>
          </cell>
          <cell r="AF187" t="str">
            <v/>
          </cell>
        </row>
        <row r="188">
          <cell r="Y188">
            <v>172</v>
          </cell>
          <cell r="Z188">
            <v>0.70435838960111141</v>
          </cell>
          <cell r="AA188">
            <v>9.0765747918578929E-2</v>
          </cell>
          <cell r="AB188" t="str">
            <v/>
          </cell>
          <cell r="AC188" t="e">
            <v>#N/A</v>
          </cell>
          <cell r="AD188">
            <v>101</v>
          </cell>
          <cell r="AE188" t="e">
            <v>#N/A</v>
          </cell>
          <cell r="AF188" t="str">
            <v/>
          </cell>
        </row>
        <row r="189">
          <cell r="Y189">
            <v>173</v>
          </cell>
          <cell r="Z189">
            <v>5.2670178934931755E-2</v>
          </cell>
          <cell r="AA189">
            <v>-0.27374496669160053</v>
          </cell>
          <cell r="AB189" t="str">
            <v/>
          </cell>
          <cell r="AC189" t="e">
            <v>#N/A</v>
          </cell>
          <cell r="AD189">
            <v>102</v>
          </cell>
          <cell r="AE189" t="e">
            <v>#N/A</v>
          </cell>
          <cell r="AF189" t="str">
            <v/>
          </cell>
        </row>
        <row r="190">
          <cell r="Y190">
            <v>174</v>
          </cell>
          <cell r="Z190">
            <v>0.474061643704772</v>
          </cell>
          <cell r="AA190">
            <v>-1.0997771506743371E-2</v>
          </cell>
          <cell r="AB190" t="str">
            <v/>
          </cell>
          <cell r="AC190" t="e">
            <v>#N/A</v>
          </cell>
          <cell r="AD190">
            <v>103</v>
          </cell>
          <cell r="AE190" t="e">
            <v>#N/A</v>
          </cell>
          <cell r="AF190" t="str">
            <v/>
          </cell>
        </row>
        <row r="191">
          <cell r="Y191">
            <v>175</v>
          </cell>
          <cell r="Z191">
            <v>0.59984908811748028</v>
          </cell>
          <cell r="AA191">
            <v>4.2757453403424031E-2</v>
          </cell>
          <cell r="AB191" t="str">
            <v/>
          </cell>
          <cell r="AC191" t="e">
            <v>#N/A</v>
          </cell>
          <cell r="AD191">
            <v>104</v>
          </cell>
          <cell r="AE191" t="e">
            <v>#N/A</v>
          </cell>
          <cell r="AF191" t="str">
            <v/>
          </cell>
        </row>
        <row r="192">
          <cell r="Y192">
            <v>176</v>
          </cell>
          <cell r="Z192">
            <v>0.67921294830739498</v>
          </cell>
          <cell r="AA192">
            <v>7.868370376744882E-2</v>
          </cell>
          <cell r="AB192" t="str">
            <v/>
          </cell>
          <cell r="AC192" t="e">
            <v>#N/A</v>
          </cell>
          <cell r="AD192">
            <v>105</v>
          </cell>
          <cell r="AE192" t="e">
            <v>#N/A</v>
          </cell>
          <cell r="AF192" t="str">
            <v/>
          </cell>
        </row>
        <row r="193">
          <cell r="Y193">
            <v>177</v>
          </cell>
          <cell r="Z193">
            <v>0.31284227780997753</v>
          </cell>
          <cell r="AA193">
            <v>-8.2454908844185187E-2</v>
          </cell>
          <cell r="AB193" t="str">
            <v/>
          </cell>
          <cell r="AC193" t="e">
            <v>#N/A</v>
          </cell>
          <cell r="AD193">
            <v>106</v>
          </cell>
          <cell r="AE193" t="e">
            <v>#N/A</v>
          </cell>
          <cell r="AF193" t="str">
            <v/>
          </cell>
        </row>
        <row r="194">
          <cell r="Y194">
            <v>178</v>
          </cell>
          <cell r="Z194">
            <v>0.84504938684403896</v>
          </cell>
          <cell r="AA194">
            <v>0.17163888071945985</v>
          </cell>
          <cell r="AB194" t="str">
            <v/>
          </cell>
          <cell r="AC194" t="e">
            <v>#N/A</v>
          </cell>
          <cell r="AD194">
            <v>107</v>
          </cell>
          <cell r="AE194" t="e">
            <v>#N/A</v>
          </cell>
          <cell r="AF194" t="str">
            <v/>
          </cell>
        </row>
        <row r="195">
          <cell r="Y195">
            <v>179</v>
          </cell>
          <cell r="Z195">
            <v>0.85408241860568523</v>
          </cell>
          <cell r="AA195">
            <v>0.17817614863095418</v>
          </cell>
          <cell r="AB195" t="str">
            <v/>
          </cell>
          <cell r="AC195" t="e">
            <v>#N/A</v>
          </cell>
          <cell r="AD195">
            <v>108</v>
          </cell>
          <cell r="AE195" t="e">
            <v>#N/A</v>
          </cell>
          <cell r="AF195" t="str">
            <v/>
          </cell>
        </row>
        <row r="196">
          <cell r="Y196">
            <v>180</v>
          </cell>
          <cell r="Z196">
            <v>0.28912829421460629</v>
          </cell>
          <cell r="AA196">
            <v>-9.3969845230022234E-2</v>
          </cell>
          <cell r="AB196" t="str">
            <v/>
          </cell>
          <cell r="AC196" t="e">
            <v>#N/A</v>
          </cell>
          <cell r="AD196">
            <v>109</v>
          </cell>
          <cell r="AE196" t="e">
            <v>#N/A</v>
          </cell>
          <cell r="AF196" t="str">
            <v/>
          </cell>
        </row>
        <row r="197">
          <cell r="Y197">
            <v>181</v>
          </cell>
          <cell r="Z197">
            <v>0.70081388764083385</v>
          </cell>
          <cell r="AA197">
            <v>8.9035779989058747E-2</v>
          </cell>
          <cell r="AB197" t="str">
            <v/>
          </cell>
          <cell r="AC197" t="e">
            <v>#N/A</v>
          </cell>
          <cell r="AD197">
            <v>110</v>
          </cell>
          <cell r="AE197" t="e">
            <v>#N/A</v>
          </cell>
          <cell r="AF197" t="str">
            <v/>
          </cell>
        </row>
        <row r="198">
          <cell r="Y198">
            <v>182</v>
          </cell>
          <cell r="Z198">
            <v>0.98698887787759304</v>
          </cell>
          <cell r="AA198">
            <v>0.37624233021386155</v>
          </cell>
          <cell r="AB198" t="str">
            <v/>
          </cell>
          <cell r="AC198" t="e">
            <v>#N/A</v>
          </cell>
          <cell r="AD198">
            <v>111</v>
          </cell>
          <cell r="AE198" t="e">
            <v>#N/A</v>
          </cell>
          <cell r="AF198" t="str">
            <v/>
          </cell>
        </row>
        <row r="199">
          <cell r="Y199">
            <v>183</v>
          </cell>
          <cell r="Z199">
            <v>0.60963134281337261</v>
          </cell>
          <cell r="AA199">
            <v>4.7051143043466803E-2</v>
          </cell>
          <cell r="AB199" t="str">
            <v/>
          </cell>
          <cell r="AC199" t="e">
            <v>#N/A</v>
          </cell>
          <cell r="AD199">
            <v>112</v>
          </cell>
          <cell r="AE199" t="e">
            <v>#N/A</v>
          </cell>
          <cell r="AF199" t="str">
            <v/>
          </cell>
        </row>
        <row r="200">
          <cell r="Y200">
            <v>184</v>
          </cell>
          <cell r="Z200">
            <v>0.35334118269383907</v>
          </cell>
          <cell r="AA200">
            <v>-6.3608927386657452E-2</v>
          </cell>
          <cell r="AB200" t="str">
            <v/>
          </cell>
          <cell r="AC200" t="e">
            <v>#N/A</v>
          </cell>
          <cell r="AD200">
            <v>113</v>
          </cell>
          <cell r="AE200" t="e">
            <v>#N/A</v>
          </cell>
          <cell r="AF200" t="str">
            <v/>
          </cell>
        </row>
        <row r="201">
          <cell r="Y201">
            <v>185</v>
          </cell>
          <cell r="Z201">
            <v>0.42037376575171947</v>
          </cell>
          <cell r="AA201">
            <v>-3.3964617893442683E-2</v>
          </cell>
          <cell r="AB201" t="str">
            <v/>
          </cell>
          <cell r="AC201" t="e">
            <v>#N/A</v>
          </cell>
          <cell r="AD201">
            <v>114</v>
          </cell>
          <cell r="AE201" t="e">
            <v>#N/A</v>
          </cell>
          <cell r="AF201" t="str">
            <v/>
          </cell>
        </row>
        <row r="202">
          <cell r="Y202">
            <v>186</v>
          </cell>
          <cell r="Z202">
            <v>0.12237614952027798</v>
          </cell>
          <cell r="AA202">
            <v>-0.19661504712170264</v>
          </cell>
          <cell r="AB202" t="str">
            <v/>
          </cell>
          <cell r="AC202" t="e">
            <v>#N/A</v>
          </cell>
          <cell r="AD202">
            <v>115</v>
          </cell>
          <cell r="AE202" t="e">
            <v>#N/A</v>
          </cell>
          <cell r="AF202" t="str">
            <v/>
          </cell>
        </row>
        <row r="203">
          <cell r="Y203">
            <v>187</v>
          </cell>
          <cell r="Z203">
            <v>8.6092723533511162E-2</v>
          </cell>
          <cell r="AA203">
            <v>-0.2307634736873618</v>
          </cell>
          <cell r="AB203" t="str">
            <v/>
          </cell>
          <cell r="AC203" t="e">
            <v>#N/A</v>
          </cell>
          <cell r="AD203">
            <v>116</v>
          </cell>
          <cell r="AE203" t="e">
            <v>#N/A</v>
          </cell>
          <cell r="AF203" t="str">
            <v/>
          </cell>
        </row>
        <row r="204">
          <cell r="Y204">
            <v>188</v>
          </cell>
          <cell r="Z204">
            <v>0.3545405175536871</v>
          </cell>
          <cell r="AA204">
            <v>-6.3063816925982827E-2</v>
          </cell>
          <cell r="AB204" t="str">
            <v/>
          </cell>
          <cell r="AC204" t="e">
            <v>#N/A</v>
          </cell>
          <cell r="AD204">
            <v>117</v>
          </cell>
          <cell r="AE204" t="e">
            <v>#N/A</v>
          </cell>
          <cell r="AF204" t="str">
            <v/>
          </cell>
        </row>
        <row r="205">
          <cell r="Y205">
            <v>189</v>
          </cell>
          <cell r="Z205">
            <v>0.78456359915435314</v>
          </cell>
          <cell r="AA205">
            <v>0.13314542906858823</v>
          </cell>
          <cell r="AB205" t="str">
            <v/>
          </cell>
          <cell r="AC205" t="e">
            <v>#N/A</v>
          </cell>
          <cell r="AD205">
            <v>118</v>
          </cell>
          <cell r="AE205" t="e">
            <v>#N/A</v>
          </cell>
          <cell r="AF205" t="str">
            <v/>
          </cell>
        </row>
        <row r="206">
          <cell r="Y206">
            <v>190</v>
          </cell>
          <cell r="Z206">
            <v>0.19087032042443752</v>
          </cell>
          <cell r="AA206">
            <v>-0.14785020430328097</v>
          </cell>
          <cell r="AB206" t="str">
            <v/>
          </cell>
          <cell r="AC206" t="e">
            <v>#N/A</v>
          </cell>
          <cell r="AD206">
            <v>119</v>
          </cell>
          <cell r="AE206" t="e">
            <v>#N/A</v>
          </cell>
          <cell r="AF206" t="str">
            <v/>
          </cell>
        </row>
        <row r="207">
          <cell r="Y207">
            <v>191</v>
          </cell>
          <cell r="Z207">
            <v>0.68555854074656963</v>
          </cell>
          <cell r="AA207">
            <v>8.1692567774352617E-2</v>
          </cell>
          <cell r="AB207" t="str">
            <v/>
          </cell>
          <cell r="AC207" t="e">
            <v>#N/A</v>
          </cell>
          <cell r="AD207">
            <v>120</v>
          </cell>
          <cell r="AE207" t="e">
            <v>#N/A</v>
          </cell>
          <cell r="AF207" t="str">
            <v/>
          </cell>
        </row>
        <row r="208">
          <cell r="Y208">
            <v>192</v>
          </cell>
          <cell r="Z208">
            <v>0.3197267260402441</v>
          </cell>
          <cell r="AA208">
            <v>-7.9184716650185422E-2</v>
          </cell>
          <cell r="AB208" t="str">
            <v/>
          </cell>
          <cell r="AC208" t="e">
            <v>#N/A</v>
          </cell>
          <cell r="AD208">
            <v>121</v>
          </cell>
          <cell r="AE208" t="e">
            <v>#N/A</v>
          </cell>
          <cell r="AF208" t="str">
            <v/>
          </cell>
        </row>
        <row r="209">
          <cell r="Y209">
            <v>193</v>
          </cell>
          <cell r="Z209">
            <v>0.41684987954795361</v>
          </cell>
          <cell r="AA209">
            <v>-3.5489529789393841E-2</v>
          </cell>
          <cell r="AB209" t="str">
            <v/>
          </cell>
          <cell r="AC209" t="e">
            <v>#N/A</v>
          </cell>
          <cell r="AD209">
            <v>122</v>
          </cell>
          <cell r="AE209" t="e">
            <v>#N/A</v>
          </cell>
          <cell r="AF209" t="str">
            <v/>
          </cell>
        </row>
        <row r="210">
          <cell r="Y210">
            <v>194</v>
          </cell>
          <cell r="Z210">
            <v>0.21452797017991543</v>
          </cell>
          <cell r="AA210">
            <v>-0.13367097827649205</v>
          </cell>
          <cell r="AB210" t="str">
            <v/>
          </cell>
          <cell r="AC210" t="e">
            <v>#N/A</v>
          </cell>
          <cell r="AD210">
            <v>123</v>
          </cell>
          <cell r="AE210" t="e">
            <v>#N/A</v>
          </cell>
          <cell r="AF210" t="str">
            <v/>
          </cell>
        </row>
        <row r="211">
          <cell r="Y211">
            <v>195</v>
          </cell>
          <cell r="Z211">
            <v>0.49066276662051678</v>
          </cell>
          <cell r="AA211">
            <v>-3.9565237977939212E-3</v>
          </cell>
          <cell r="AB211" t="str">
            <v/>
          </cell>
          <cell r="AC211" t="e">
            <v>#N/A</v>
          </cell>
          <cell r="AD211">
            <v>124</v>
          </cell>
          <cell r="AE211" t="e">
            <v>#N/A</v>
          </cell>
          <cell r="AF211" t="str">
            <v/>
          </cell>
        </row>
        <row r="212">
          <cell r="Y212">
            <v>196</v>
          </cell>
          <cell r="Z212">
            <v>4.4821133837103844E-2</v>
          </cell>
          <cell r="AA212">
            <v>-0.28689399661418136</v>
          </cell>
          <cell r="AB212" t="str">
            <v/>
          </cell>
          <cell r="AC212" t="e">
            <v>#N/A</v>
          </cell>
          <cell r="AD212">
            <v>125</v>
          </cell>
          <cell r="AE212" t="e">
            <v>#N/A</v>
          </cell>
          <cell r="AF212" t="str">
            <v/>
          </cell>
        </row>
        <row r="213">
          <cell r="Y213">
            <v>197</v>
          </cell>
          <cell r="Z213">
            <v>0.92104577831923962</v>
          </cell>
          <cell r="AA213">
            <v>0.23869539788317534</v>
          </cell>
          <cell r="AB213" t="str">
            <v/>
          </cell>
          <cell r="AC213" t="e">
            <v>#N/A</v>
          </cell>
          <cell r="AD213">
            <v>126</v>
          </cell>
          <cell r="AE213" t="e">
            <v>#N/A</v>
          </cell>
          <cell r="AF213" t="str">
            <v/>
          </cell>
        </row>
        <row r="214">
          <cell r="Y214">
            <v>198</v>
          </cell>
          <cell r="Z214">
            <v>0.75678751431405544</v>
          </cell>
          <cell r="AA214">
            <v>0.11764651366646847</v>
          </cell>
          <cell r="AB214" t="str">
            <v/>
          </cell>
          <cell r="AC214" t="e">
            <v>#N/A</v>
          </cell>
          <cell r="AD214">
            <v>127</v>
          </cell>
          <cell r="AE214" t="e">
            <v>#N/A</v>
          </cell>
          <cell r="AF214" t="str">
            <v/>
          </cell>
        </row>
        <row r="215">
          <cell r="Y215">
            <v>199</v>
          </cell>
          <cell r="Z215">
            <v>0.98137824051082134</v>
          </cell>
          <cell r="AA215">
            <v>0.35210555116204029</v>
          </cell>
          <cell r="AB215" t="str">
            <v/>
          </cell>
          <cell r="AC215" t="e">
            <v>#N/A</v>
          </cell>
          <cell r="AD215">
            <v>128</v>
          </cell>
          <cell r="AE215" t="e">
            <v>#N/A</v>
          </cell>
          <cell r="AF215" t="str">
            <v/>
          </cell>
        </row>
        <row r="216">
          <cell r="Y216">
            <v>200</v>
          </cell>
          <cell r="Z216">
            <v>0.16302534006536007</v>
          </cell>
          <cell r="AA216">
            <v>-0.16600516623744849</v>
          </cell>
          <cell r="AB216" t="str">
            <v/>
          </cell>
          <cell r="AC216" t="e">
            <v>#N/A</v>
          </cell>
          <cell r="AD216">
            <v>129</v>
          </cell>
          <cell r="AE216" t="e">
            <v>#N/A</v>
          </cell>
          <cell r="AF216" t="str">
            <v/>
          </cell>
        </row>
        <row r="217">
          <cell r="Y217">
            <v>201</v>
          </cell>
          <cell r="Z217">
            <v>0.51998302154242992</v>
          </cell>
          <cell r="AA217">
            <v>8.4703001153328614E-3</v>
          </cell>
          <cell r="AB217" t="str">
            <v/>
          </cell>
          <cell r="AC217" t="e">
            <v>#N/A</v>
          </cell>
          <cell r="AD217">
            <v>130</v>
          </cell>
          <cell r="AE217" t="e">
            <v>#N/A</v>
          </cell>
          <cell r="AF217" t="str">
            <v/>
          </cell>
        </row>
        <row r="218">
          <cell r="Y218">
            <v>202</v>
          </cell>
          <cell r="Z218">
            <v>0.97520357929170132</v>
          </cell>
          <cell r="AA218">
            <v>0.33188517850583454</v>
          </cell>
          <cell r="AB218" t="str">
            <v/>
          </cell>
          <cell r="AC218" t="e">
            <v>#N/A</v>
          </cell>
          <cell r="AD218">
            <v>131</v>
          </cell>
          <cell r="AE218" t="e">
            <v>#N/A</v>
          </cell>
          <cell r="AF218" t="str">
            <v/>
          </cell>
        </row>
        <row r="219">
          <cell r="Y219">
            <v>203</v>
          </cell>
          <cell r="Z219">
            <v>0.47056354396045208</v>
          </cell>
          <cell r="AA219">
            <v>-1.2483492006269841E-2</v>
          </cell>
          <cell r="AB219" t="str">
            <v/>
          </cell>
          <cell r="AC219" t="e">
            <v>#N/A</v>
          </cell>
          <cell r="AD219">
            <v>132</v>
          </cell>
          <cell r="AE219" t="e">
            <v>#N/A</v>
          </cell>
          <cell r="AF219" t="str">
            <v/>
          </cell>
        </row>
        <row r="220">
          <cell r="Y220">
            <v>204</v>
          </cell>
          <cell r="Z220">
            <v>0.55693059228360653</v>
          </cell>
          <cell r="AA220">
            <v>2.4203808324562478E-2</v>
          </cell>
          <cell r="AB220" t="str">
            <v/>
          </cell>
          <cell r="AC220" t="e">
            <v>#N/A</v>
          </cell>
          <cell r="AD220">
            <v>133</v>
          </cell>
          <cell r="AE220" t="e">
            <v>#N/A</v>
          </cell>
          <cell r="AF220" t="str">
            <v/>
          </cell>
        </row>
        <row r="221">
          <cell r="Y221">
            <v>205</v>
          </cell>
          <cell r="Z221">
            <v>0.16293376497924328</v>
          </cell>
          <cell r="AA221">
            <v>-0.16606802349429536</v>
          </cell>
          <cell r="AB221" t="str">
            <v/>
          </cell>
          <cell r="AC221" t="e">
            <v>#N/A</v>
          </cell>
          <cell r="AD221">
            <v>134</v>
          </cell>
          <cell r="AE221" t="e">
            <v>#N/A</v>
          </cell>
          <cell r="AF221" t="str">
            <v/>
          </cell>
        </row>
        <row r="222">
          <cell r="Y222">
            <v>206</v>
          </cell>
          <cell r="Z222">
            <v>0.7679313775151968</v>
          </cell>
          <cell r="AA222">
            <v>0.12373925745136645</v>
          </cell>
          <cell r="AB222" t="str">
            <v/>
          </cell>
          <cell r="AC222" t="e">
            <v>#N/A</v>
          </cell>
          <cell r="AD222">
            <v>135</v>
          </cell>
          <cell r="AE222" t="e">
            <v>#N/A</v>
          </cell>
          <cell r="AF222" t="str">
            <v/>
          </cell>
        </row>
        <row r="223">
          <cell r="Y223">
            <v>207</v>
          </cell>
          <cell r="Z223">
            <v>0.75825987569987774</v>
          </cell>
          <cell r="AA223">
            <v>0.11844262724522145</v>
          </cell>
          <cell r="AB223" t="str">
            <v/>
          </cell>
          <cell r="AC223" t="e">
            <v>#N/A</v>
          </cell>
          <cell r="AD223">
            <v>136</v>
          </cell>
          <cell r="AE223" t="e">
            <v>#N/A</v>
          </cell>
          <cell r="AF223" t="str">
            <v/>
          </cell>
        </row>
        <row r="224">
          <cell r="Y224">
            <v>208</v>
          </cell>
          <cell r="Z224">
            <v>0.61437716148793697</v>
          </cell>
          <cell r="AA224">
            <v>4.9145024036776515E-2</v>
          </cell>
          <cell r="AB224" t="str">
            <v/>
          </cell>
          <cell r="AC224" t="e">
            <v>#N/A</v>
          </cell>
          <cell r="AD224">
            <v>137</v>
          </cell>
          <cell r="AE224" t="e">
            <v>#N/A</v>
          </cell>
          <cell r="AF224" t="str">
            <v/>
          </cell>
        </row>
        <row r="225">
          <cell r="Y225">
            <v>209</v>
          </cell>
          <cell r="Z225">
            <v>0.60178246907889843</v>
          </cell>
          <cell r="AA225">
            <v>4.3603793200760195E-2</v>
          </cell>
          <cell r="AB225" t="str">
            <v/>
          </cell>
          <cell r="AC225" t="e">
            <v>#N/A</v>
          </cell>
          <cell r="AD225">
            <v>138</v>
          </cell>
          <cell r="AE225" t="e">
            <v>#N/A</v>
          </cell>
          <cell r="AF225" t="str">
            <v/>
          </cell>
        </row>
        <row r="226">
          <cell r="Y226">
            <v>210</v>
          </cell>
          <cell r="Z226">
            <v>0.51396108232438564</v>
          </cell>
          <cell r="AA226">
            <v>5.9164837131772743E-3</v>
          </cell>
          <cell r="AB226" t="str">
            <v/>
          </cell>
          <cell r="AC226" t="e">
            <v>#N/A</v>
          </cell>
          <cell r="AD226">
            <v>139</v>
          </cell>
          <cell r="AE226" t="e">
            <v>#N/A</v>
          </cell>
          <cell r="AF226" t="str">
            <v/>
          </cell>
        </row>
        <row r="227">
          <cell r="Y227">
            <v>211</v>
          </cell>
          <cell r="Z227">
            <v>0.50473792664706707</v>
          </cell>
          <cell r="AA227">
            <v>2.0074949164634423E-3</v>
          </cell>
          <cell r="AB227" t="str">
            <v/>
          </cell>
          <cell r="AC227" t="e">
            <v>#N/A</v>
          </cell>
          <cell r="AD227">
            <v>140</v>
          </cell>
          <cell r="AE227" t="e">
            <v>#N/A</v>
          </cell>
          <cell r="AF227" t="str">
            <v/>
          </cell>
        </row>
        <row r="228">
          <cell r="Y228">
            <v>212</v>
          </cell>
          <cell r="Z228">
            <v>0.82806371711194515</v>
          </cell>
          <cell r="AA228">
            <v>0.15999468201041162</v>
          </cell>
          <cell r="AB228" t="str">
            <v/>
          </cell>
          <cell r="AC228" t="e">
            <v>#N/A</v>
          </cell>
          <cell r="AD228">
            <v>141</v>
          </cell>
          <cell r="AE228" t="e">
            <v>#N/A</v>
          </cell>
          <cell r="AF228" t="str">
            <v/>
          </cell>
        </row>
        <row r="229">
          <cell r="Y229">
            <v>213</v>
          </cell>
          <cell r="Z229">
            <v>0.93594777397811413</v>
          </cell>
          <cell r="AA229">
            <v>0.25720063659493886</v>
          </cell>
          <cell r="AB229" t="str">
            <v/>
          </cell>
          <cell r="AC229" t="e">
            <v>#N/A</v>
          </cell>
          <cell r="AD229">
            <v>142</v>
          </cell>
          <cell r="AE229" t="e">
            <v>#N/A</v>
          </cell>
          <cell r="AF229" t="str">
            <v/>
          </cell>
        </row>
        <row r="230">
          <cell r="Y230">
            <v>214</v>
          </cell>
          <cell r="Z230">
            <v>0.9071022029966116</v>
          </cell>
          <cell r="AA230">
            <v>0.22364803881744991</v>
          </cell>
          <cell r="AB230" t="str">
            <v/>
          </cell>
          <cell r="AC230" t="e">
            <v>#N/A</v>
          </cell>
          <cell r="AD230">
            <v>143</v>
          </cell>
          <cell r="AE230" t="e">
            <v>#N/A</v>
          </cell>
          <cell r="AF230" t="str">
            <v/>
          </cell>
        </row>
        <row r="231">
          <cell r="Y231">
            <v>215</v>
          </cell>
          <cell r="Z231">
            <v>0.82229475490748882</v>
          </cell>
          <cell r="AA231">
            <v>0.15620912503383866</v>
          </cell>
          <cell r="AB231" t="str">
            <v/>
          </cell>
          <cell r="AC231" t="e">
            <v>#N/A</v>
          </cell>
          <cell r="AD231">
            <v>144</v>
          </cell>
          <cell r="AE231" t="e">
            <v>#N/A</v>
          </cell>
          <cell r="AF231" t="str">
            <v/>
          </cell>
        </row>
        <row r="232">
          <cell r="Y232">
            <v>216</v>
          </cell>
          <cell r="Z232">
            <v>0.23890670202672482</v>
          </cell>
          <cell r="AA232">
            <v>-0.11998212208163064</v>
          </cell>
          <cell r="AB232" t="str">
            <v/>
          </cell>
          <cell r="AC232" t="e">
            <v>#N/A</v>
          </cell>
          <cell r="AD232">
            <v>145</v>
          </cell>
          <cell r="AE232" t="e">
            <v>#N/A</v>
          </cell>
          <cell r="AF232" t="str">
            <v/>
          </cell>
        </row>
        <row r="233">
          <cell r="Y233">
            <v>217</v>
          </cell>
          <cell r="Z233">
            <v>0.12605437450110912</v>
          </cell>
          <cell r="AA233">
            <v>-0.19358130146757169</v>
          </cell>
          <cell r="AB233" t="str">
            <v/>
          </cell>
          <cell r="AC233" t="e">
            <v>#N/A</v>
          </cell>
          <cell r="AD233">
            <v>146</v>
          </cell>
          <cell r="AE233" t="e">
            <v>#N/A</v>
          </cell>
          <cell r="AF233" t="str">
            <v/>
          </cell>
        </row>
        <row r="234">
          <cell r="Y234">
            <v>218</v>
          </cell>
          <cell r="Z234">
            <v>0.38371795974671841</v>
          </cell>
          <cell r="AA234">
            <v>-4.9987574375181962E-2</v>
          </cell>
          <cell r="AB234" t="str">
            <v/>
          </cell>
          <cell r="AC234" t="e">
            <v>#N/A</v>
          </cell>
          <cell r="AD234">
            <v>147</v>
          </cell>
          <cell r="AE234" t="e">
            <v>#N/A</v>
          </cell>
          <cell r="AF234" t="str">
            <v/>
          </cell>
        </row>
        <row r="235">
          <cell r="Y235">
            <v>219</v>
          </cell>
          <cell r="Z235">
            <v>0.58580066077411175</v>
          </cell>
          <cell r="AA235">
            <v>3.6638413207321613E-2</v>
          </cell>
          <cell r="AB235" t="str">
            <v/>
          </cell>
          <cell r="AC235" t="e">
            <v>#N/A</v>
          </cell>
          <cell r="AD235">
            <v>148</v>
          </cell>
          <cell r="AE235" t="e">
            <v>#N/A</v>
          </cell>
          <cell r="AF235" t="str">
            <v/>
          </cell>
        </row>
        <row r="236">
          <cell r="Y236">
            <v>220</v>
          </cell>
          <cell r="Z236">
            <v>0.22314970754086971</v>
          </cell>
          <cell r="AA236">
            <v>-0.12873371481019355</v>
          </cell>
          <cell r="AB236" t="str">
            <v/>
          </cell>
          <cell r="AC236" t="e">
            <v>#N/A</v>
          </cell>
          <cell r="AD236">
            <v>149</v>
          </cell>
          <cell r="AE236" t="e">
            <v>#N/A</v>
          </cell>
          <cell r="AF236" t="str">
            <v/>
          </cell>
        </row>
        <row r="237">
          <cell r="Y237">
            <v>221</v>
          </cell>
          <cell r="Z237">
            <v>0.97635489515960217</v>
          </cell>
          <cell r="AA237">
            <v>0.33530511080722808</v>
          </cell>
          <cell r="AB237" t="str">
            <v/>
          </cell>
          <cell r="AC237" t="e">
            <v>#N/A</v>
          </cell>
          <cell r="AD237">
            <v>150</v>
          </cell>
          <cell r="AE237" t="e">
            <v>#N/A</v>
          </cell>
          <cell r="AF237" t="str">
            <v/>
          </cell>
        </row>
        <row r="238">
          <cell r="Y238">
            <v>222</v>
          </cell>
          <cell r="Z238">
            <v>0.64420965872704983</v>
          </cell>
          <cell r="AA238">
            <v>6.2496455662757529E-2</v>
          </cell>
          <cell r="AB238" t="str">
            <v/>
          </cell>
          <cell r="AC238" t="e">
            <v>#N/A</v>
          </cell>
          <cell r="AD238">
            <v>151</v>
          </cell>
          <cell r="AE238" t="e">
            <v>#N/A</v>
          </cell>
          <cell r="AF238" t="str">
            <v/>
          </cell>
        </row>
        <row r="239">
          <cell r="Y239">
            <v>223</v>
          </cell>
          <cell r="Z239">
            <v>0.96199606172740459</v>
          </cell>
          <cell r="AA239">
            <v>0.29991723011848281</v>
          </cell>
          <cell r="AB239" t="str">
            <v/>
          </cell>
          <cell r="AC239" t="e">
            <v>#N/A</v>
          </cell>
          <cell r="AD239">
            <v>152</v>
          </cell>
          <cell r="AE239" t="e">
            <v>#N/A</v>
          </cell>
          <cell r="AF239" t="str">
            <v/>
          </cell>
        </row>
        <row r="240">
          <cell r="Y240">
            <v>224</v>
          </cell>
          <cell r="Z240">
            <v>0.12322284840047359</v>
          </cell>
          <cell r="AA240">
            <v>-0.19591110560210656</v>
          </cell>
          <cell r="AB240" t="str">
            <v/>
          </cell>
          <cell r="AC240" t="e">
            <v>#N/A</v>
          </cell>
          <cell r="AD240">
            <v>153</v>
          </cell>
          <cell r="AE240" t="e">
            <v>#N/A</v>
          </cell>
          <cell r="AF240" t="str">
            <v/>
          </cell>
        </row>
        <row r="241">
          <cell r="Y241">
            <v>225</v>
          </cell>
          <cell r="Z241">
            <v>8.5901765152812004E-2</v>
          </cell>
          <cell r="AA241">
            <v>-0.23096909921553629</v>
          </cell>
          <cell r="AB241" t="str">
            <v/>
          </cell>
          <cell r="AC241" t="e">
            <v>#N/A</v>
          </cell>
          <cell r="AD241">
            <v>154</v>
          </cell>
          <cell r="AE241" t="e">
            <v>#N/A</v>
          </cell>
          <cell r="AF241" t="str">
            <v/>
          </cell>
        </row>
        <row r="242">
          <cell r="Y242">
            <v>226</v>
          </cell>
          <cell r="Z242">
            <v>0.76825106702744961</v>
          </cell>
          <cell r="AA242">
            <v>0.12391639881299249</v>
          </cell>
          <cell r="AB242" t="str">
            <v/>
          </cell>
          <cell r="AC242" t="e">
            <v>#N/A</v>
          </cell>
          <cell r="AD242">
            <v>155</v>
          </cell>
          <cell r="AE242" t="e">
            <v>#N/A</v>
          </cell>
          <cell r="AF242" t="str">
            <v/>
          </cell>
        </row>
        <row r="243">
          <cell r="Y243">
            <v>227</v>
          </cell>
          <cell r="Z243">
            <v>0.65753836743533611</v>
          </cell>
          <cell r="AA243">
            <v>6.8584965892536112E-2</v>
          </cell>
          <cell r="AB243" t="str">
            <v/>
          </cell>
          <cell r="AC243" t="e">
            <v>#N/A</v>
          </cell>
          <cell r="AD243">
            <v>156</v>
          </cell>
          <cell r="AE243" t="e">
            <v>#N/A</v>
          </cell>
          <cell r="AF243" t="str">
            <v/>
          </cell>
        </row>
        <row r="244">
          <cell r="Y244">
            <v>228</v>
          </cell>
          <cell r="Z244">
            <v>0.22235213778913021</v>
          </cell>
          <cell r="AA244">
            <v>-0.12918579960120885</v>
          </cell>
          <cell r="AB244" t="str">
            <v/>
          </cell>
          <cell r="AC244" t="e">
            <v>#N/A</v>
          </cell>
          <cell r="AD244">
            <v>157</v>
          </cell>
          <cell r="AE244" t="e">
            <v>#N/A</v>
          </cell>
          <cell r="AF244" t="str">
            <v/>
          </cell>
        </row>
        <row r="245">
          <cell r="Y245">
            <v>229</v>
          </cell>
          <cell r="Z245">
            <v>0.26846909336745739</v>
          </cell>
          <cell r="AA245">
            <v>-0.10436803852400081</v>
          </cell>
          <cell r="AB245" t="str">
            <v/>
          </cell>
          <cell r="AC245" t="e">
            <v>#N/A</v>
          </cell>
          <cell r="AD245">
            <v>158</v>
          </cell>
          <cell r="AE245" t="e">
            <v>#N/A</v>
          </cell>
          <cell r="AF245" t="str">
            <v/>
          </cell>
        </row>
        <row r="246">
          <cell r="Y246">
            <v>230</v>
          </cell>
          <cell r="Z246">
            <v>0.4237727876752615</v>
          </cell>
          <cell r="AA246">
            <v>-3.2496355161169103E-2</v>
          </cell>
          <cell r="AB246" t="str">
            <v/>
          </cell>
          <cell r="AC246" t="e">
            <v>#N/A</v>
          </cell>
          <cell r="AD246">
            <v>159</v>
          </cell>
          <cell r="AE246" t="e">
            <v>#N/A</v>
          </cell>
          <cell r="AF246" t="str">
            <v/>
          </cell>
        </row>
        <row r="247">
          <cell r="Y247">
            <v>231</v>
          </cell>
          <cell r="Z247">
            <v>0.38579885475337505</v>
          </cell>
          <cell r="AA247">
            <v>-4.9067231889754891E-2</v>
          </cell>
          <cell r="AB247" t="str">
            <v/>
          </cell>
          <cell r="AC247" t="e">
            <v>#N/A</v>
          </cell>
          <cell r="AD247">
            <v>160</v>
          </cell>
          <cell r="AE247" t="e">
            <v>#N/A</v>
          </cell>
          <cell r="AF247" t="str">
            <v/>
          </cell>
        </row>
        <row r="248">
          <cell r="Y248">
            <v>232</v>
          </cell>
          <cell r="Z248">
            <v>0.56291886232793331</v>
          </cell>
          <cell r="AA248">
            <v>2.67700544138804E-2</v>
          </cell>
          <cell r="AB248" t="str">
            <v/>
          </cell>
          <cell r="AC248" t="e">
            <v>#N/A</v>
          </cell>
          <cell r="AD248">
            <v>161</v>
          </cell>
          <cell r="AE248" t="e">
            <v>#N/A</v>
          </cell>
          <cell r="AF248" t="str">
            <v/>
          </cell>
        </row>
        <row r="249">
          <cell r="Y249">
            <v>233</v>
          </cell>
          <cell r="Z249">
            <v>0.94122454337775707</v>
          </cell>
          <cell r="AA249">
            <v>0.26455634980349424</v>
          </cell>
          <cell r="AB249" t="str">
            <v/>
          </cell>
          <cell r="AC249" t="e">
            <v>#N/A</v>
          </cell>
          <cell r="AD249">
            <v>162</v>
          </cell>
          <cell r="AE249" t="e">
            <v>#N/A</v>
          </cell>
          <cell r="AF249" t="str">
            <v/>
          </cell>
        </row>
        <row r="250">
          <cell r="Y250">
            <v>234</v>
          </cell>
          <cell r="Z250">
            <v>0.66969663463532925</v>
          </cell>
          <cell r="AA250">
            <v>7.421732874633305E-2</v>
          </cell>
          <cell r="AB250" t="str">
            <v/>
          </cell>
          <cell r="AC250" t="e">
            <v>#N/A</v>
          </cell>
          <cell r="AD250">
            <v>163</v>
          </cell>
          <cell r="AE250" t="e">
            <v>#N/A</v>
          </cell>
          <cell r="AF250" t="str">
            <v/>
          </cell>
        </row>
        <row r="251">
          <cell r="Y251">
            <v>235</v>
          </cell>
          <cell r="Z251">
            <v>5.2409542724490166E-2</v>
          </cell>
          <cell r="AA251">
            <v>-0.27415561742321953</v>
          </cell>
          <cell r="AB251" t="str">
            <v/>
          </cell>
          <cell r="AC251" t="e">
            <v>#N/A</v>
          </cell>
          <cell r="AD251">
            <v>164</v>
          </cell>
          <cell r="AE251" t="e">
            <v>#N/A</v>
          </cell>
          <cell r="AF251" t="str">
            <v/>
          </cell>
        </row>
        <row r="252">
          <cell r="Y252">
            <v>236</v>
          </cell>
          <cell r="Z252">
            <v>0.10856895707547665</v>
          </cell>
          <cell r="AA252">
            <v>-0.20861355377312454</v>
          </cell>
          <cell r="AB252" t="str">
            <v/>
          </cell>
          <cell r="AC252" t="e">
            <v>#N/A</v>
          </cell>
          <cell r="AD252">
            <v>165</v>
          </cell>
          <cell r="AE252" t="e">
            <v>#N/A</v>
          </cell>
          <cell r="AF252" t="str">
            <v/>
          </cell>
        </row>
        <row r="253">
          <cell r="Y253">
            <v>237</v>
          </cell>
          <cell r="Z253">
            <v>0.9821512084454298</v>
          </cell>
          <cell r="AA253">
            <v>0.3550248723589719</v>
          </cell>
          <cell r="AB253" t="str">
            <v/>
          </cell>
          <cell r="AC253" t="e">
            <v>#N/A</v>
          </cell>
          <cell r="AD253">
            <v>166</v>
          </cell>
          <cell r="AE253" t="e">
            <v>#N/A</v>
          </cell>
          <cell r="AF253" t="str">
            <v/>
          </cell>
        </row>
        <row r="254">
          <cell r="Y254">
            <v>238</v>
          </cell>
          <cell r="Z254">
            <v>0.8524200078099966</v>
          </cell>
          <cell r="AA254">
            <v>0.17695316406383327</v>
          </cell>
          <cell r="AB254" t="str">
            <v/>
          </cell>
          <cell r="AC254" t="e">
            <v>#N/A</v>
          </cell>
          <cell r="AD254">
            <v>167</v>
          </cell>
          <cell r="AE254" t="e">
            <v>#N/A</v>
          </cell>
          <cell r="AF254" t="str">
            <v/>
          </cell>
        </row>
        <row r="255">
          <cell r="Y255">
            <v>239</v>
          </cell>
          <cell r="Z255">
            <v>0.1595600675791502</v>
          </cell>
          <cell r="AA255">
            <v>-0.16839996249754377</v>
          </cell>
          <cell r="AB255" t="str">
            <v/>
          </cell>
          <cell r="AC255" t="e">
            <v>#N/A</v>
          </cell>
          <cell r="AD255">
            <v>168</v>
          </cell>
          <cell r="AE255" t="e">
            <v>#N/A</v>
          </cell>
          <cell r="AF255" t="str">
            <v/>
          </cell>
        </row>
        <row r="256">
          <cell r="Y256">
            <v>240</v>
          </cell>
          <cell r="Z256">
            <v>0.75007238052785397</v>
          </cell>
          <cell r="AA256">
            <v>0.11404807984151451</v>
          </cell>
          <cell r="AB256" t="str">
            <v/>
          </cell>
          <cell r="AC256" t="e">
            <v>#N/A</v>
          </cell>
          <cell r="AD256">
            <v>169</v>
          </cell>
          <cell r="AE256" t="e">
            <v>#N/A</v>
          </cell>
          <cell r="AF256" t="str">
            <v/>
          </cell>
        </row>
        <row r="257">
          <cell r="Y257">
            <v>241</v>
          </cell>
          <cell r="Z257">
            <v>0.55621948651969433</v>
          </cell>
          <cell r="AA257">
            <v>2.3899448930029217E-2</v>
          </cell>
          <cell r="AB257" t="str">
            <v/>
          </cell>
          <cell r="AC257" t="e">
            <v>#N/A</v>
          </cell>
          <cell r="AD257">
            <v>170</v>
          </cell>
          <cell r="AE257" t="e">
            <v>#N/A</v>
          </cell>
          <cell r="AF257" t="str">
            <v/>
          </cell>
        </row>
        <row r="258">
          <cell r="Y258">
            <v>242</v>
          </cell>
          <cell r="Z258">
            <v>9.6050268039107323E-2</v>
          </cell>
          <cell r="AA258">
            <v>-0.22048220470483898</v>
          </cell>
          <cell r="AB258" t="str">
            <v/>
          </cell>
          <cell r="AC258" t="e">
            <v>#N/A</v>
          </cell>
          <cell r="AD258">
            <v>171</v>
          </cell>
          <cell r="AE258" t="e">
            <v>#N/A</v>
          </cell>
          <cell r="AF258" t="str">
            <v/>
          </cell>
        </row>
        <row r="259">
          <cell r="Y259">
            <v>243</v>
          </cell>
          <cell r="Z259">
            <v>0.92904455773532391</v>
          </cell>
          <cell r="AA259">
            <v>0.24825766203398572</v>
          </cell>
          <cell r="AB259" t="str">
            <v/>
          </cell>
          <cell r="AC259" t="e">
            <v>#N/A</v>
          </cell>
          <cell r="AD259">
            <v>172</v>
          </cell>
          <cell r="AE259" t="e">
            <v>#N/A</v>
          </cell>
          <cell r="AF259" t="str">
            <v/>
          </cell>
        </row>
        <row r="260">
          <cell r="Y260">
            <v>244</v>
          </cell>
          <cell r="Z260">
            <v>0.65493248961865902</v>
          </cell>
          <cell r="AA260">
            <v>6.7387840126302376E-2</v>
          </cell>
          <cell r="AB260" t="str">
            <v/>
          </cell>
          <cell r="AC260" t="e">
            <v>#N/A</v>
          </cell>
          <cell r="AD260">
            <v>173</v>
          </cell>
          <cell r="AE260" t="e">
            <v>#N/A</v>
          </cell>
          <cell r="AF260" t="str">
            <v/>
          </cell>
        </row>
        <row r="261">
          <cell r="Y261">
            <v>245</v>
          </cell>
          <cell r="Z261">
            <v>0.4103089552372694</v>
          </cell>
          <cell r="AA261">
            <v>-3.8327796470792791E-2</v>
          </cell>
          <cell r="AB261" t="str">
            <v/>
          </cell>
          <cell r="AC261" t="e">
            <v>#N/A</v>
          </cell>
          <cell r="AD261">
            <v>174</v>
          </cell>
          <cell r="AE261" t="e">
            <v>#N/A</v>
          </cell>
          <cell r="AF261" t="str">
            <v/>
          </cell>
        </row>
        <row r="262">
          <cell r="Y262">
            <v>246</v>
          </cell>
          <cell r="Z262">
            <v>0.88638911210000515</v>
          </cell>
          <cell r="AA262">
            <v>0.20411260049371757</v>
          </cell>
          <cell r="AB262" t="str">
            <v/>
          </cell>
          <cell r="AC262" t="e">
            <v>#N/A</v>
          </cell>
          <cell r="AD262">
            <v>175</v>
          </cell>
          <cell r="AE262" t="e">
            <v>#N/A</v>
          </cell>
          <cell r="AF262" t="str">
            <v/>
          </cell>
        </row>
        <row r="263">
          <cell r="Y263">
            <v>247</v>
          </cell>
          <cell r="Z263">
            <v>0.64405850879848003</v>
          </cell>
          <cell r="AA263">
            <v>6.2427888522942801E-2</v>
          </cell>
          <cell r="AB263" t="str">
            <v/>
          </cell>
          <cell r="AC263" t="e">
            <v>#N/A</v>
          </cell>
          <cell r="AD263">
            <v>176</v>
          </cell>
          <cell r="AE263" t="e">
            <v>#N/A</v>
          </cell>
          <cell r="AF263" t="str">
            <v/>
          </cell>
        </row>
        <row r="264">
          <cell r="Y264">
            <v>248</v>
          </cell>
          <cell r="Z264">
            <v>0.46074541471898556</v>
          </cell>
          <cell r="AA264">
            <v>-1.6658999722075261E-2</v>
          </cell>
          <cell r="AB264" t="str">
            <v/>
          </cell>
          <cell r="AC264" t="e">
            <v>#N/A</v>
          </cell>
          <cell r="AD264">
            <v>177</v>
          </cell>
          <cell r="AE264" t="e">
            <v>#N/A</v>
          </cell>
          <cell r="AF264" t="str">
            <v/>
          </cell>
        </row>
        <row r="265">
          <cell r="Y265">
            <v>249</v>
          </cell>
          <cell r="Z265">
            <v>0.13688024692237377</v>
          </cell>
          <cell r="AA265">
            <v>-0.1849947240617868</v>
          </cell>
          <cell r="AB265" t="str">
            <v/>
          </cell>
          <cell r="AC265" t="e">
            <v>#N/A</v>
          </cell>
          <cell r="AD265">
            <v>178</v>
          </cell>
          <cell r="AE265" t="e">
            <v>#N/A</v>
          </cell>
          <cell r="AF265" t="str">
            <v/>
          </cell>
        </row>
        <row r="266">
          <cell r="Y266">
            <v>250</v>
          </cell>
          <cell r="Z266">
            <v>0.24866694770753384</v>
          </cell>
          <cell r="AA266">
            <v>-0.11471965710966009</v>
          </cell>
          <cell r="AB266" t="str">
            <v/>
          </cell>
          <cell r="AC266" t="e">
            <v>#N/A</v>
          </cell>
          <cell r="AD266">
            <v>179</v>
          </cell>
          <cell r="AE266" t="e">
            <v>#N/A</v>
          </cell>
          <cell r="AF266" t="str">
            <v/>
          </cell>
        </row>
        <row r="267">
          <cell r="Y267">
            <v>251</v>
          </cell>
          <cell r="Z267">
            <v>0.70974565856158733</v>
          </cell>
          <cell r="AA267">
            <v>9.341352122700991E-2</v>
          </cell>
          <cell r="AB267" t="str">
            <v/>
          </cell>
          <cell r="AC267" t="e">
            <v>#N/A</v>
          </cell>
          <cell r="AD267">
            <v>180</v>
          </cell>
          <cell r="AE267" t="e">
            <v>#N/A</v>
          </cell>
          <cell r="AF267" t="str">
            <v/>
          </cell>
        </row>
        <row r="268">
          <cell r="Y268">
            <v>252</v>
          </cell>
          <cell r="Z268">
            <v>0.81230943463742733</v>
          </cell>
          <cell r="AA268">
            <v>0.14983550099823223</v>
          </cell>
          <cell r="AB268" t="str">
            <v/>
          </cell>
          <cell r="AC268" t="e">
            <v>#N/A</v>
          </cell>
          <cell r="AD268">
            <v>181</v>
          </cell>
          <cell r="AE268" t="e">
            <v>#N/A</v>
          </cell>
          <cell r="AF268" t="str">
            <v/>
          </cell>
        </row>
        <row r="269">
          <cell r="Y269">
            <v>253</v>
          </cell>
          <cell r="Z269">
            <v>0.90639692358672619</v>
          </cell>
          <cell r="AA269">
            <v>0.22293296602473231</v>
          </cell>
          <cell r="AB269" t="str">
            <v/>
          </cell>
          <cell r="AC269" t="e">
            <v>#N/A</v>
          </cell>
          <cell r="AD269">
            <v>182</v>
          </cell>
          <cell r="AE269" t="e">
            <v>#N/A</v>
          </cell>
          <cell r="AF269" t="str">
            <v/>
          </cell>
        </row>
        <row r="270">
          <cell r="Y270">
            <v>254</v>
          </cell>
          <cell r="Z270">
            <v>1.9027268514037132E-2</v>
          </cell>
          <cell r="AA270">
            <v>-0.35061508656173618</v>
          </cell>
          <cell r="AB270" t="str">
            <v/>
          </cell>
          <cell r="AC270" t="e">
            <v>#N/A</v>
          </cell>
          <cell r="AD270">
            <v>183</v>
          </cell>
          <cell r="AE270" t="e">
            <v>#N/A</v>
          </cell>
          <cell r="AF270" t="str">
            <v/>
          </cell>
        </row>
        <row r="271">
          <cell r="Y271">
            <v>255</v>
          </cell>
          <cell r="Z271">
            <v>0.93249486200511456</v>
          </cell>
          <cell r="AA271">
            <v>0.25263907024977833</v>
          </cell>
          <cell r="AB271" t="str">
            <v/>
          </cell>
          <cell r="AC271" t="e">
            <v>#N/A</v>
          </cell>
          <cell r="AD271">
            <v>184</v>
          </cell>
          <cell r="AE271" t="e">
            <v>#N/A</v>
          </cell>
          <cell r="AF271" t="str">
            <v/>
          </cell>
        </row>
        <row r="272">
          <cell r="Y272">
            <v>256</v>
          </cell>
          <cell r="Z272">
            <v>0.74248435162007809</v>
          </cell>
          <cell r="AA272">
            <v>0.11004306153589045</v>
          </cell>
          <cell r="AB272" t="str">
            <v/>
          </cell>
          <cell r="AC272" t="e">
            <v>#N/A</v>
          </cell>
          <cell r="AD272">
            <v>185</v>
          </cell>
          <cell r="AE272" t="e">
            <v>#N/A</v>
          </cell>
          <cell r="AF272" t="str">
            <v/>
          </cell>
        </row>
        <row r="273">
          <cell r="Y273">
            <v>257</v>
          </cell>
          <cell r="Z273">
            <v>0.1684973519295454</v>
          </cell>
          <cell r="AA273">
            <v>-0.16228994088721946</v>
          </cell>
          <cell r="AB273" t="str">
            <v/>
          </cell>
          <cell r="AC273" t="e">
            <v>#N/A</v>
          </cell>
          <cell r="AD273">
            <v>186</v>
          </cell>
          <cell r="AE273" t="e">
            <v>#N/A</v>
          </cell>
          <cell r="AF273" t="str">
            <v/>
          </cell>
        </row>
        <row r="274">
          <cell r="Y274">
            <v>258</v>
          </cell>
          <cell r="Z274">
            <v>0.70976102910935879</v>
          </cell>
          <cell r="AA274">
            <v>9.3421108229659128E-2</v>
          </cell>
          <cell r="AB274" t="str">
            <v/>
          </cell>
          <cell r="AC274" t="e">
            <v>#N/A</v>
          </cell>
          <cell r="AD274">
            <v>187</v>
          </cell>
          <cell r="AE274" t="e">
            <v>#N/A</v>
          </cell>
          <cell r="AF274" t="str">
            <v/>
          </cell>
        </row>
        <row r="275">
          <cell r="Y275">
            <v>259</v>
          </cell>
          <cell r="Z275">
            <v>0.51798696629703045</v>
          </cell>
          <cell r="AA275">
            <v>7.6236166881654714E-3</v>
          </cell>
          <cell r="AB275" t="str">
            <v/>
          </cell>
          <cell r="AC275" t="e">
            <v>#N/A</v>
          </cell>
          <cell r="AD275">
            <v>188</v>
          </cell>
          <cell r="AE275" t="e">
            <v>#N/A</v>
          </cell>
          <cell r="AF275" t="str">
            <v/>
          </cell>
        </row>
        <row r="276">
          <cell r="Y276">
            <v>260</v>
          </cell>
          <cell r="Z276">
            <v>0.39680086635053158</v>
          </cell>
          <cell r="AA276">
            <v>-4.4224633286235111E-2</v>
          </cell>
          <cell r="AB276" t="str">
            <v/>
          </cell>
          <cell r="AC276" t="e">
            <v>#N/A</v>
          </cell>
          <cell r="AD276">
            <v>189</v>
          </cell>
          <cell r="AE276" t="e">
            <v>#N/A</v>
          </cell>
          <cell r="AF276" t="str">
            <v/>
          </cell>
        </row>
        <row r="277">
          <cell r="Y277">
            <v>261</v>
          </cell>
          <cell r="Z277">
            <v>0.82191657833755016</v>
          </cell>
          <cell r="AA277">
            <v>0.1559637034037637</v>
          </cell>
          <cell r="AB277" t="str">
            <v/>
          </cell>
          <cell r="AC277" t="e">
            <v>#N/A</v>
          </cell>
          <cell r="AD277">
            <v>190</v>
          </cell>
          <cell r="AE277" t="e">
            <v>#N/A</v>
          </cell>
          <cell r="AF277" t="str">
            <v/>
          </cell>
        </row>
        <row r="278">
          <cell r="Y278">
            <v>262</v>
          </cell>
          <cell r="Z278">
            <v>0.46829102002084255</v>
          </cell>
          <cell r="AA278">
            <v>-1.3449193158999E-2</v>
          </cell>
          <cell r="AB278" t="str">
            <v/>
          </cell>
          <cell r="AC278" t="e">
            <v>#N/A</v>
          </cell>
          <cell r="AD278">
            <v>191</v>
          </cell>
          <cell r="AE278" t="e">
            <v>#N/A</v>
          </cell>
          <cell r="AF278" t="str">
            <v/>
          </cell>
        </row>
        <row r="279">
          <cell r="Y279">
            <v>263</v>
          </cell>
          <cell r="Z279">
            <v>0.28799168579280376</v>
          </cell>
          <cell r="AA279">
            <v>-9.4532421204649109E-2</v>
          </cell>
          <cell r="AB279" t="str">
            <v/>
          </cell>
          <cell r="AC279" t="e">
            <v>#N/A</v>
          </cell>
          <cell r="AD279">
            <v>192</v>
          </cell>
          <cell r="AE279" t="e">
            <v>#N/A</v>
          </cell>
          <cell r="AF279" t="str">
            <v/>
          </cell>
        </row>
        <row r="280">
          <cell r="Y280">
            <v>264</v>
          </cell>
          <cell r="Z280">
            <v>0.60181995294988155</v>
          </cell>
          <cell r="AA280">
            <v>4.362021254809538E-2</v>
          </cell>
          <cell r="AB280" t="str">
            <v/>
          </cell>
          <cell r="AC280" t="e">
            <v>#N/A</v>
          </cell>
          <cell r="AD280">
            <v>193</v>
          </cell>
          <cell r="AE280" t="e">
            <v>#N/A</v>
          </cell>
          <cell r="AF280" t="str">
            <v/>
          </cell>
        </row>
        <row r="281">
          <cell r="Y281">
            <v>265</v>
          </cell>
          <cell r="Z281">
            <v>0.35315820388495922</v>
          </cell>
          <cell r="AA281">
            <v>-6.3692151256516366E-2</v>
          </cell>
          <cell r="AB281" t="str">
            <v/>
          </cell>
          <cell r="AC281" t="e">
            <v>#N/A</v>
          </cell>
          <cell r="AD281">
            <v>194</v>
          </cell>
          <cell r="AE281" t="e">
            <v>#N/A</v>
          </cell>
          <cell r="AF281" t="str">
            <v/>
          </cell>
        </row>
        <row r="282">
          <cell r="Y282">
            <v>266</v>
          </cell>
          <cell r="Z282">
            <v>0.62990624271333218</v>
          </cell>
          <cell r="AA282">
            <v>5.6051481819013378E-2</v>
          </cell>
          <cell r="AB282" t="str">
            <v/>
          </cell>
          <cell r="AC282" t="e">
            <v>#N/A</v>
          </cell>
          <cell r="AD282">
            <v>195</v>
          </cell>
          <cell r="AE282" t="e">
            <v>#N/A</v>
          </cell>
          <cell r="AF282" t="str">
            <v/>
          </cell>
        </row>
        <row r="283">
          <cell r="Y283">
            <v>267</v>
          </cell>
          <cell r="Z283">
            <v>0.61591447703540325</v>
          </cell>
          <cell r="AA283">
            <v>4.9824900743731415E-2</v>
          </cell>
          <cell r="AB283" t="str">
            <v/>
          </cell>
          <cell r="AC283" t="e">
            <v>#N/A</v>
          </cell>
          <cell r="AD283">
            <v>196</v>
          </cell>
          <cell r="AE283" t="e">
            <v>#N/A</v>
          </cell>
          <cell r="AF283" t="str">
            <v/>
          </cell>
        </row>
        <row r="284">
          <cell r="Y284">
            <v>268</v>
          </cell>
          <cell r="Z284">
            <v>0.77724223397672176</v>
          </cell>
          <cell r="AA284">
            <v>0.12895576292444885</v>
          </cell>
          <cell r="AB284" t="str">
            <v/>
          </cell>
          <cell r="AC284" t="e">
            <v>#N/A</v>
          </cell>
          <cell r="AD284">
            <v>197</v>
          </cell>
          <cell r="AE284" t="e">
            <v>#N/A</v>
          </cell>
          <cell r="AF284" t="str">
            <v/>
          </cell>
        </row>
        <row r="285">
          <cell r="Y285">
            <v>269</v>
          </cell>
          <cell r="Z285">
            <v>0.44391625933349133</v>
          </cell>
          <cell r="AA285">
            <v>-2.3841357372106825E-2</v>
          </cell>
          <cell r="AB285" t="str">
            <v/>
          </cell>
          <cell r="AC285" t="e">
            <v>#N/A</v>
          </cell>
          <cell r="AD285">
            <v>198</v>
          </cell>
          <cell r="AE285" t="e">
            <v>#N/A</v>
          </cell>
          <cell r="AF285" t="str">
            <v/>
          </cell>
        </row>
        <row r="286">
          <cell r="Y286">
            <v>270</v>
          </cell>
          <cell r="Z286">
            <v>0.36424628458917141</v>
          </cell>
          <cell r="AA286">
            <v>-5.8675923925644274E-2</v>
          </cell>
          <cell r="AB286" t="str">
            <v/>
          </cell>
          <cell r="AC286" t="e">
            <v>#N/A</v>
          </cell>
          <cell r="AD286">
            <v>199</v>
          </cell>
          <cell r="AE286" t="e">
            <v>#N/A</v>
          </cell>
          <cell r="AF286" t="str">
            <v/>
          </cell>
        </row>
        <row r="287">
          <cell r="Y287">
            <v>271</v>
          </cell>
          <cell r="Z287">
            <v>0.58109341375529766</v>
          </cell>
          <cell r="AA287">
            <v>3.4599176118122896E-2</v>
          </cell>
          <cell r="AB287" t="str">
            <v/>
          </cell>
          <cell r="AC287" t="e">
            <v>#N/A</v>
          </cell>
          <cell r="AD287">
            <v>200</v>
          </cell>
          <cell r="AE287" t="e">
            <v>#N/A</v>
          </cell>
          <cell r="AF287" t="str">
            <v/>
          </cell>
        </row>
        <row r="288">
          <cell r="Y288">
            <v>272</v>
          </cell>
          <cell r="Z288">
            <v>0.69176735542714596</v>
          </cell>
          <cell r="AA288">
            <v>8.4661840588919374E-2</v>
          </cell>
          <cell r="AB288" t="str">
            <v/>
          </cell>
          <cell r="AC288" t="e">
            <v>#N/A</v>
          </cell>
          <cell r="AD288">
            <v>201</v>
          </cell>
          <cell r="AE288" t="e">
            <v>#N/A</v>
          </cell>
          <cell r="AF288" t="str">
            <v/>
          </cell>
        </row>
        <row r="289">
          <cell r="Y289">
            <v>273</v>
          </cell>
          <cell r="Z289">
            <v>0.54724708013236523</v>
          </cell>
          <cell r="AA289">
            <v>2.0065497422783581E-2</v>
          </cell>
          <cell r="AB289" t="str">
            <v/>
          </cell>
          <cell r="AC289" t="e">
            <v>#N/A</v>
          </cell>
          <cell r="AD289">
            <v>202</v>
          </cell>
          <cell r="AE289" t="e">
            <v>#N/A</v>
          </cell>
          <cell r="AF289" t="str">
            <v/>
          </cell>
        </row>
        <row r="290">
          <cell r="Y290">
            <v>274</v>
          </cell>
          <cell r="Z290">
            <v>0.915535693988204</v>
          </cell>
          <cell r="AA290">
            <v>0.23252805778974373</v>
          </cell>
          <cell r="AB290" t="str">
            <v/>
          </cell>
          <cell r="AC290" t="e">
            <v>#N/A</v>
          </cell>
          <cell r="AD290">
            <v>203</v>
          </cell>
          <cell r="AE290" t="e">
            <v>#N/A</v>
          </cell>
          <cell r="AF290" t="str">
            <v/>
          </cell>
        </row>
        <row r="291">
          <cell r="Y291">
            <v>275</v>
          </cell>
          <cell r="Z291">
            <v>0.84184606187045574</v>
          </cell>
          <cell r="AA291">
            <v>0.16938141318460759</v>
          </cell>
          <cell r="AB291" t="str">
            <v/>
          </cell>
          <cell r="AC291" t="e">
            <v>#N/A</v>
          </cell>
          <cell r="AD291">
            <v>204</v>
          </cell>
          <cell r="AE291" t="e">
            <v>#N/A</v>
          </cell>
          <cell r="AF291" t="str">
            <v/>
          </cell>
        </row>
        <row r="292">
          <cell r="Y292">
            <v>276</v>
          </cell>
          <cell r="Z292">
            <v>0.56270336173474789</v>
          </cell>
          <cell r="AA292">
            <v>2.6677599045158984E-2</v>
          </cell>
          <cell r="AB292" t="str">
            <v/>
          </cell>
          <cell r="AC292" t="e">
            <v>#N/A</v>
          </cell>
          <cell r="AD292">
            <v>205</v>
          </cell>
          <cell r="AE292" t="e">
            <v>#N/A</v>
          </cell>
          <cell r="AF292" t="str">
            <v/>
          </cell>
        </row>
        <row r="293">
          <cell r="Y293">
            <v>277</v>
          </cell>
          <cell r="Z293">
            <v>0.93249118141829967</v>
          </cell>
          <cell r="AA293">
            <v>0.25263430533628317</v>
          </cell>
          <cell r="AB293" t="str">
            <v/>
          </cell>
          <cell r="AC293" t="e">
            <v>#N/A</v>
          </cell>
          <cell r="AD293">
            <v>206</v>
          </cell>
          <cell r="AE293" t="e">
            <v>#N/A</v>
          </cell>
          <cell r="AF293" t="str">
            <v/>
          </cell>
        </row>
        <row r="294">
          <cell r="Y294">
            <v>278</v>
          </cell>
          <cell r="Z294">
            <v>0.9365683551877737</v>
          </cell>
          <cell r="AA294">
            <v>0.25804060673826501</v>
          </cell>
          <cell r="AB294" t="str">
            <v/>
          </cell>
          <cell r="AC294" t="e">
            <v>#N/A</v>
          </cell>
          <cell r="AD294">
            <v>207</v>
          </cell>
          <cell r="AE294" t="e">
            <v>#N/A</v>
          </cell>
          <cell r="AF294" t="str">
            <v/>
          </cell>
        </row>
        <row r="295">
          <cell r="Y295">
            <v>279</v>
          </cell>
          <cell r="Z295">
            <v>0.72726635448634624</v>
          </cell>
          <cell r="AA295">
            <v>0.10219033403407612</v>
          </cell>
          <cell r="AB295" t="str">
            <v/>
          </cell>
          <cell r="AC295" t="e">
            <v>#N/A</v>
          </cell>
          <cell r="AD295">
            <v>208</v>
          </cell>
          <cell r="AE295" t="e">
            <v>#N/A</v>
          </cell>
          <cell r="AF295" t="str">
            <v/>
          </cell>
        </row>
        <row r="296">
          <cell r="Y296">
            <v>280</v>
          </cell>
          <cell r="Z296">
            <v>0.9993260707706213</v>
          </cell>
          <cell r="AA296">
            <v>0.54184362089858418</v>
          </cell>
          <cell r="AB296" t="str">
            <v/>
          </cell>
          <cell r="AC296" t="e">
            <v>#N/A</v>
          </cell>
          <cell r="AD296">
            <v>209</v>
          </cell>
          <cell r="AE296" t="e">
            <v>#N/A</v>
          </cell>
          <cell r="AF296" t="str">
            <v/>
          </cell>
        </row>
        <row r="297">
          <cell r="Y297">
            <v>281</v>
          </cell>
          <cell r="Z297">
            <v>0.69894513301551342</v>
          </cell>
          <cell r="AA297">
            <v>8.8127447782415561E-2</v>
          </cell>
          <cell r="AB297" t="str">
            <v/>
          </cell>
          <cell r="AC297" t="e">
            <v>#N/A</v>
          </cell>
          <cell r="AD297">
            <v>210</v>
          </cell>
          <cell r="AE297" t="e">
            <v>#N/A</v>
          </cell>
          <cell r="AF297" t="str">
            <v/>
          </cell>
        </row>
        <row r="298">
          <cell r="Y298">
            <v>282</v>
          </cell>
          <cell r="Z298">
            <v>0.41644186340272427</v>
          </cell>
          <cell r="AA298">
            <v>-3.5666277361375252E-2</v>
          </cell>
          <cell r="AB298" t="str">
            <v/>
          </cell>
          <cell r="AC298" t="e">
            <v>#N/A</v>
          </cell>
          <cell r="AD298">
            <v>211</v>
          </cell>
          <cell r="AE298" t="e">
            <v>#N/A</v>
          </cell>
          <cell r="AF298" t="str">
            <v/>
          </cell>
        </row>
        <row r="299">
          <cell r="Y299">
            <v>283</v>
          </cell>
          <cell r="Z299">
            <v>4.777146689593792E-2</v>
          </cell>
          <cell r="AA299">
            <v>-0.28175017988643469</v>
          </cell>
          <cell r="AB299" t="str">
            <v/>
          </cell>
          <cell r="AC299" t="e">
            <v>#N/A</v>
          </cell>
          <cell r="AD299">
            <v>212</v>
          </cell>
          <cell r="AE299" t="e">
            <v>#N/A</v>
          </cell>
          <cell r="AF299" t="str">
            <v/>
          </cell>
        </row>
        <row r="300">
          <cell r="Y300">
            <v>284</v>
          </cell>
          <cell r="Z300">
            <v>0.28998844884335995</v>
          </cell>
          <cell r="AA300">
            <v>-9.3544794098492159E-2</v>
          </cell>
          <cell r="AB300" t="str">
            <v/>
          </cell>
          <cell r="AC300" t="e">
            <v>#N/A</v>
          </cell>
          <cell r="AD300">
            <v>213</v>
          </cell>
          <cell r="AE300" t="e">
            <v>#N/A</v>
          </cell>
          <cell r="AF300" t="str">
            <v/>
          </cell>
        </row>
        <row r="301">
          <cell r="Y301">
            <v>285</v>
          </cell>
          <cell r="Z301">
            <v>0.25828343443572521</v>
          </cell>
          <cell r="AA301">
            <v>-0.10964127596311456</v>
          </cell>
          <cell r="AB301" t="str">
            <v/>
          </cell>
          <cell r="AC301" t="e">
            <v>#N/A</v>
          </cell>
          <cell r="AD301">
            <v>214</v>
          </cell>
          <cell r="AE301" t="e">
            <v>#N/A</v>
          </cell>
          <cell r="AF301" t="str">
            <v/>
          </cell>
        </row>
        <row r="302">
          <cell r="Y302">
            <v>286</v>
          </cell>
          <cell r="Z302">
            <v>0.70204189978539944</v>
          </cell>
          <cell r="AA302">
            <v>8.963407241153154E-2</v>
          </cell>
          <cell r="AB302" t="str">
            <v/>
          </cell>
          <cell r="AC302" t="e">
            <v>#N/A</v>
          </cell>
          <cell r="AD302">
            <v>215</v>
          </cell>
          <cell r="AE302" t="e">
            <v>#N/A</v>
          </cell>
          <cell r="AF302" t="str">
            <v/>
          </cell>
        </row>
        <row r="303">
          <cell r="Y303">
            <v>287</v>
          </cell>
          <cell r="Z303">
            <v>0.12439869157969952</v>
          </cell>
          <cell r="AA303">
            <v>-0.19493911431049118</v>
          </cell>
          <cell r="AB303" t="str">
            <v/>
          </cell>
          <cell r="AC303" t="e">
            <v>#N/A</v>
          </cell>
          <cell r="AD303">
            <v>216</v>
          </cell>
          <cell r="AE303" t="e">
            <v>#N/A</v>
          </cell>
          <cell r="AF303" t="str">
            <v/>
          </cell>
        </row>
        <row r="304">
          <cell r="Y304">
            <v>288</v>
          </cell>
          <cell r="Z304">
            <v>0.53297998569905758</v>
          </cell>
          <cell r="AA304">
            <v>1.3989492085075474E-2</v>
          </cell>
          <cell r="AB304" t="str">
            <v/>
          </cell>
          <cell r="AC304" t="e">
            <v>#N/A</v>
          </cell>
          <cell r="AD304">
            <v>217</v>
          </cell>
          <cell r="AE304" t="e">
            <v>#N/A</v>
          </cell>
          <cell r="AF304" t="str">
            <v/>
          </cell>
        </row>
        <row r="305">
          <cell r="Y305">
            <v>289</v>
          </cell>
          <cell r="Z305">
            <v>0.7857303898781538</v>
          </cell>
          <cell r="AA305">
            <v>0.1338206819416318</v>
          </cell>
          <cell r="AB305" t="str">
            <v/>
          </cell>
          <cell r="AC305" t="e">
            <v>#N/A</v>
          </cell>
          <cell r="AD305">
            <v>218</v>
          </cell>
          <cell r="AE305" t="e">
            <v>#N/A</v>
          </cell>
          <cell r="AF305" t="str">
            <v/>
          </cell>
        </row>
        <row r="306">
          <cell r="Y306">
            <v>290</v>
          </cell>
          <cell r="Z306">
            <v>0.11327660642564297</v>
          </cell>
          <cell r="AA306">
            <v>-0.20440654245567738</v>
          </cell>
          <cell r="AB306" t="str">
            <v/>
          </cell>
          <cell r="AC306" t="e">
            <v>#N/A</v>
          </cell>
          <cell r="AD306">
            <v>219</v>
          </cell>
          <cell r="AE306" t="e">
            <v>#N/A</v>
          </cell>
          <cell r="AF306" t="str">
            <v/>
          </cell>
        </row>
        <row r="307">
          <cell r="Y307">
            <v>291</v>
          </cell>
          <cell r="Z307">
            <v>0.53685231320559978</v>
          </cell>
          <cell r="AA307">
            <v>1.5636506352315446E-2</v>
          </cell>
          <cell r="AB307" t="str">
            <v/>
          </cell>
          <cell r="AC307" t="e">
            <v>#N/A</v>
          </cell>
          <cell r="AD307">
            <v>220</v>
          </cell>
          <cell r="AE307" t="e">
            <v>#N/A</v>
          </cell>
          <cell r="AF307" t="str">
            <v/>
          </cell>
        </row>
        <row r="308">
          <cell r="Y308">
            <v>292</v>
          </cell>
          <cell r="Z308">
            <v>0.11113606952130795</v>
          </cell>
          <cell r="AA308">
            <v>-0.2063036038380795</v>
          </cell>
          <cell r="AB308" t="str">
            <v/>
          </cell>
          <cell r="AC308" t="e">
            <v>#N/A</v>
          </cell>
          <cell r="AD308">
            <v>221</v>
          </cell>
          <cell r="AE308" t="e">
            <v>#N/A</v>
          </cell>
          <cell r="AF308" t="str">
            <v/>
          </cell>
        </row>
        <row r="309">
          <cell r="Y309">
            <v>293</v>
          </cell>
          <cell r="Z309">
            <v>0.13998198322951794</v>
          </cell>
          <cell r="AA309">
            <v>-0.18262098049841044</v>
          </cell>
          <cell r="AB309" t="str">
            <v/>
          </cell>
          <cell r="AC309" t="e">
            <v>#N/A</v>
          </cell>
          <cell r="AD309">
            <v>222</v>
          </cell>
          <cell r="AE309" t="e">
            <v>#N/A</v>
          </cell>
          <cell r="AF309" t="str">
            <v/>
          </cell>
        </row>
        <row r="310">
          <cell r="Y310">
            <v>294</v>
          </cell>
          <cell r="Z310">
            <v>0.65206096135079861</v>
          </cell>
          <cell r="AA310">
            <v>6.6072576489371079E-2</v>
          </cell>
          <cell r="AB310" t="str">
            <v/>
          </cell>
          <cell r="AC310" t="e">
            <v>#N/A</v>
          </cell>
          <cell r="AD310">
            <v>223</v>
          </cell>
          <cell r="AE310" t="e">
            <v>#N/A</v>
          </cell>
          <cell r="AF310" t="str">
            <v/>
          </cell>
        </row>
        <row r="311">
          <cell r="Y311">
            <v>295</v>
          </cell>
          <cell r="Z311">
            <v>9.0300483629107475E-2</v>
          </cell>
          <cell r="AA311">
            <v>-0.22631658087754286</v>
          </cell>
          <cell r="AB311" t="str">
            <v/>
          </cell>
          <cell r="AC311" t="e">
            <v>#N/A</v>
          </cell>
          <cell r="AD311">
            <v>224</v>
          </cell>
          <cell r="AE311" t="e">
            <v>#N/A</v>
          </cell>
          <cell r="AF311" t="str">
            <v/>
          </cell>
        </row>
        <row r="312">
          <cell r="Y312">
            <v>296</v>
          </cell>
          <cell r="Z312">
            <v>1.0197361931204796E-2</v>
          </cell>
          <cell r="AA312">
            <v>-0.39198351742727067</v>
          </cell>
          <cell r="AB312" t="str">
            <v/>
          </cell>
          <cell r="AC312" t="e">
            <v>#N/A</v>
          </cell>
          <cell r="AD312">
            <v>225</v>
          </cell>
          <cell r="AE312" t="e">
            <v>#N/A</v>
          </cell>
          <cell r="AF312" t="str">
            <v/>
          </cell>
        </row>
        <row r="313">
          <cell r="Y313">
            <v>297</v>
          </cell>
          <cell r="Z313">
            <v>0.75187775306403637</v>
          </cell>
          <cell r="AA313">
            <v>0.11501038731361166</v>
          </cell>
          <cell r="AB313" t="str">
            <v/>
          </cell>
          <cell r="AC313" t="e">
            <v>#N/A</v>
          </cell>
          <cell r="AD313">
            <v>226</v>
          </cell>
          <cell r="AE313" t="e">
            <v>#N/A</v>
          </cell>
          <cell r="AF313" t="str">
            <v/>
          </cell>
        </row>
        <row r="314">
          <cell r="Y314">
            <v>298</v>
          </cell>
          <cell r="Z314">
            <v>0.30505115352571011</v>
          </cell>
          <cell r="AA314">
            <v>-8.6193466701171784E-2</v>
          </cell>
          <cell r="AB314" t="str">
            <v/>
          </cell>
          <cell r="AC314" t="e">
            <v>#N/A</v>
          </cell>
          <cell r="AD314">
            <v>227</v>
          </cell>
          <cell r="AE314" t="e">
            <v>#N/A</v>
          </cell>
          <cell r="AF314" t="str">
            <v/>
          </cell>
        </row>
        <row r="315">
          <cell r="Y315">
            <v>299</v>
          </cell>
          <cell r="Z315">
            <v>0.50092209689319134</v>
          </cell>
          <cell r="AA315">
            <v>3.9069050573707279E-4</v>
          </cell>
          <cell r="AB315" t="str">
            <v/>
          </cell>
          <cell r="AC315" t="e">
            <v>#N/A</v>
          </cell>
          <cell r="AD315">
            <v>228</v>
          </cell>
          <cell r="AE315" t="e">
            <v>#N/A</v>
          </cell>
          <cell r="AF315" t="str">
            <v/>
          </cell>
        </row>
        <row r="316">
          <cell r="Y316">
            <v>300</v>
          </cell>
          <cell r="Z316">
            <v>0.48091917298734188</v>
          </cell>
          <cell r="AA316">
            <v>-8.0875836779201286E-3</v>
          </cell>
          <cell r="AB316" t="str">
            <v/>
          </cell>
          <cell r="AC316" t="e">
            <v>#N/A</v>
          </cell>
          <cell r="AD316">
            <v>229</v>
          </cell>
          <cell r="AE316" t="e">
            <v>#N/A</v>
          </cell>
          <cell r="AF316" t="str">
            <v/>
          </cell>
        </row>
        <row r="317">
          <cell r="Y317">
            <v>301</v>
          </cell>
          <cell r="Z317">
            <v>0.98182266764342785</v>
          </cell>
          <cell r="AA317">
            <v>0.35377113806492971</v>
          </cell>
          <cell r="AB317" t="str">
            <v/>
          </cell>
          <cell r="AC317" t="e">
            <v>#N/A</v>
          </cell>
          <cell r="AD317">
            <v>230</v>
          </cell>
          <cell r="AE317" t="e">
            <v>#N/A</v>
          </cell>
          <cell r="AF317" t="str">
            <v/>
          </cell>
        </row>
        <row r="318">
          <cell r="Y318">
            <v>302</v>
          </cell>
          <cell r="Z318">
            <v>0.44012895785272121</v>
          </cell>
          <cell r="AA318">
            <v>-2.5463190983097159E-2</v>
          </cell>
          <cell r="AB318" t="str">
            <v/>
          </cell>
          <cell r="AC318" t="e">
            <v>#N/A</v>
          </cell>
          <cell r="AD318">
            <v>231</v>
          </cell>
          <cell r="AE318" t="e">
            <v>#N/A</v>
          </cell>
          <cell r="AF318" t="str">
            <v/>
          </cell>
        </row>
        <row r="319">
          <cell r="Y319">
            <v>303</v>
          </cell>
          <cell r="Z319">
            <v>0.30020366422832012</v>
          </cell>
          <cell r="AA319">
            <v>-8.8540868682128543E-2</v>
          </cell>
          <cell r="AB319" t="str">
            <v/>
          </cell>
          <cell r="AC319" t="e">
            <v>#N/A</v>
          </cell>
          <cell r="AD319">
            <v>232</v>
          </cell>
          <cell r="AE319" t="e">
            <v>#N/A</v>
          </cell>
          <cell r="AF319" t="str">
            <v/>
          </cell>
        </row>
        <row r="320">
          <cell r="Y320">
            <v>304</v>
          </cell>
          <cell r="Z320">
            <v>0.54493083618581295</v>
          </cell>
          <cell r="AA320">
            <v>1.9077508647823913E-2</v>
          </cell>
          <cell r="AB320" t="str">
            <v/>
          </cell>
          <cell r="AC320" t="e">
            <v>#N/A</v>
          </cell>
          <cell r="AD320">
            <v>233</v>
          </cell>
          <cell r="AE320" t="e">
            <v>#N/A</v>
          </cell>
          <cell r="AF320" t="str">
            <v/>
          </cell>
        </row>
        <row r="321">
          <cell r="Y321">
            <v>305</v>
          </cell>
          <cell r="Z321">
            <v>0.44595899991691113</v>
          </cell>
          <cell r="AA321">
            <v>-2.2967515760266687E-2</v>
          </cell>
          <cell r="AB321" t="str">
            <v/>
          </cell>
          <cell r="AC321" t="e">
            <v>#N/A</v>
          </cell>
          <cell r="AD321">
            <v>234</v>
          </cell>
          <cell r="AE321" t="e">
            <v>#N/A</v>
          </cell>
          <cell r="AF321" t="str">
            <v/>
          </cell>
        </row>
        <row r="322">
          <cell r="Y322">
            <v>306</v>
          </cell>
          <cell r="Z322">
            <v>0.79663611017167568</v>
          </cell>
          <cell r="AA322">
            <v>0.14023911115234855</v>
          </cell>
          <cell r="AB322" t="str">
            <v/>
          </cell>
          <cell r="AC322" t="e">
            <v>#N/A</v>
          </cell>
          <cell r="AD322">
            <v>235</v>
          </cell>
          <cell r="AE322" t="e">
            <v>#N/A</v>
          </cell>
          <cell r="AF322" t="str">
            <v/>
          </cell>
        </row>
        <row r="323">
          <cell r="Y323">
            <v>307</v>
          </cell>
          <cell r="Z323">
            <v>0.45798618905246258</v>
          </cell>
          <cell r="AA323">
            <v>-1.783418035445895E-2</v>
          </cell>
          <cell r="AB323" t="str">
            <v/>
          </cell>
          <cell r="AC323" t="e">
            <v>#N/A</v>
          </cell>
          <cell r="AD323">
            <v>236</v>
          </cell>
          <cell r="AE323" t="e">
            <v>#N/A</v>
          </cell>
          <cell r="AF323" t="str">
            <v/>
          </cell>
        </row>
        <row r="324">
          <cell r="Y324">
            <v>308</v>
          </cell>
          <cell r="Z324">
            <v>0.84434508346021175</v>
          </cell>
          <cell r="AA324">
            <v>0.17113992147515752</v>
          </cell>
          <cell r="AB324" t="str">
            <v/>
          </cell>
          <cell r="AC324" t="e">
            <v>#N/A</v>
          </cell>
          <cell r="AD324">
            <v>237</v>
          </cell>
          <cell r="AE324" t="e">
            <v>#N/A</v>
          </cell>
          <cell r="AF324" t="str">
            <v/>
          </cell>
        </row>
        <row r="325">
          <cell r="Y325">
            <v>309</v>
          </cell>
          <cell r="Z325">
            <v>0.81108820252120495</v>
          </cell>
          <cell r="AA325">
            <v>0.14907058657440828</v>
          </cell>
          <cell r="AB325" t="str">
            <v/>
          </cell>
          <cell r="AC325" t="e">
            <v>#N/A</v>
          </cell>
          <cell r="AD325">
            <v>238</v>
          </cell>
          <cell r="AE325" t="e">
            <v>#N/A</v>
          </cell>
          <cell r="AF325" t="str">
            <v/>
          </cell>
        </row>
        <row r="326">
          <cell r="Y326">
            <v>310</v>
          </cell>
          <cell r="Z326">
            <v>0.56935868225991726</v>
          </cell>
          <cell r="AA326">
            <v>2.9536730610876971E-2</v>
          </cell>
          <cell r="AB326" t="str">
            <v/>
          </cell>
          <cell r="AC326" t="e">
            <v>#N/A</v>
          </cell>
          <cell r="AD326">
            <v>239</v>
          </cell>
          <cell r="AE326" t="e">
            <v>#N/A</v>
          </cell>
          <cell r="AF326" t="str">
            <v/>
          </cell>
        </row>
        <row r="327">
          <cell r="Y327">
            <v>311</v>
          </cell>
          <cell r="Z327">
            <v>0.22426204197108746</v>
          </cell>
          <cell r="AA327">
            <v>-0.12810474569767119</v>
          </cell>
          <cell r="AB327" t="str">
            <v/>
          </cell>
          <cell r="AC327" t="e">
            <v>#N/A</v>
          </cell>
          <cell r="AD327">
            <v>240</v>
          </cell>
          <cell r="AE327" t="e">
            <v>#N/A</v>
          </cell>
          <cell r="AF327" t="str">
            <v/>
          </cell>
        </row>
        <row r="328">
          <cell r="Y328">
            <v>312</v>
          </cell>
          <cell r="Z328">
            <v>0.33511742018163204</v>
          </cell>
          <cell r="AA328">
            <v>-7.1977684640951139E-2</v>
          </cell>
          <cell r="AB328" t="str">
            <v/>
          </cell>
          <cell r="AC328" t="e">
            <v>#N/A</v>
          </cell>
          <cell r="AD328">
            <v>241</v>
          </cell>
          <cell r="AE328" t="e">
            <v>#N/A</v>
          </cell>
          <cell r="AF328" t="str">
            <v/>
          </cell>
        </row>
        <row r="329">
          <cell r="Y329">
            <v>313</v>
          </cell>
          <cell r="Z329">
            <v>0.55834278278052807</v>
          </cell>
          <cell r="AA329">
            <v>2.4808471753228836E-2</v>
          </cell>
          <cell r="AB329" t="str">
            <v/>
          </cell>
          <cell r="AC329" t="e">
            <v>#N/A</v>
          </cell>
          <cell r="AD329">
            <v>242</v>
          </cell>
          <cell r="AE329" t="e">
            <v>#N/A</v>
          </cell>
          <cell r="AF329" t="str">
            <v/>
          </cell>
        </row>
        <row r="330">
          <cell r="Y330">
            <v>314</v>
          </cell>
          <cell r="Z330">
            <v>8.6261456832289696E-2</v>
          </cell>
          <cell r="AA330">
            <v>-0.23058206407501994</v>
          </cell>
          <cell r="AB330" t="str">
            <v/>
          </cell>
          <cell r="AC330" t="e">
            <v>#N/A</v>
          </cell>
          <cell r="AD330">
            <v>243</v>
          </cell>
          <cell r="AE330" t="e">
            <v>#N/A</v>
          </cell>
          <cell r="AF330" t="str">
            <v/>
          </cell>
        </row>
        <row r="331">
          <cell r="Y331">
            <v>315</v>
          </cell>
          <cell r="Z331">
            <v>0.68972183577716351</v>
          </cell>
          <cell r="AA331">
            <v>8.3680757813125714E-2</v>
          </cell>
          <cell r="AB331" t="str">
            <v/>
          </cell>
          <cell r="AC331" t="e">
            <v>#N/A</v>
          </cell>
          <cell r="AD331">
            <v>244</v>
          </cell>
          <cell r="AE331" t="e">
            <v>#N/A</v>
          </cell>
          <cell r="AF331" t="str">
            <v/>
          </cell>
        </row>
        <row r="332">
          <cell r="Y332">
            <v>316</v>
          </cell>
          <cell r="Z332">
            <v>0.32415550015866756</v>
          </cell>
          <cell r="AA332">
            <v>-7.7096633037190679E-2</v>
          </cell>
          <cell r="AB332" t="str">
            <v/>
          </cell>
          <cell r="AC332" t="e">
            <v>#N/A</v>
          </cell>
          <cell r="AD332">
            <v>245</v>
          </cell>
          <cell r="AE332" t="e">
            <v>#N/A</v>
          </cell>
          <cell r="AF332" t="str">
            <v/>
          </cell>
        </row>
        <row r="333">
          <cell r="Y333">
            <v>317</v>
          </cell>
          <cell r="Z333">
            <v>0.21560817770659924</v>
          </cell>
          <cell r="AA333">
            <v>-0.13304619667671103</v>
          </cell>
          <cell r="AB333" t="str">
            <v/>
          </cell>
          <cell r="AC333" t="e">
            <v>#N/A</v>
          </cell>
          <cell r="AD333">
            <v>246</v>
          </cell>
          <cell r="AE333" t="e">
            <v>#N/A</v>
          </cell>
          <cell r="AF333" t="str">
            <v/>
          </cell>
        </row>
        <row r="334">
          <cell r="Y334">
            <v>318</v>
          </cell>
          <cell r="Z334">
            <v>0.57997230254113674</v>
          </cell>
          <cell r="AA334">
            <v>3.4114249695118164E-2</v>
          </cell>
          <cell r="AB334" t="str">
            <v/>
          </cell>
          <cell r="AC334" t="e">
            <v>#N/A</v>
          </cell>
          <cell r="AD334">
            <v>247</v>
          </cell>
          <cell r="AE334" t="e">
            <v>#N/A</v>
          </cell>
          <cell r="AF334" t="str">
            <v/>
          </cell>
        </row>
        <row r="335">
          <cell r="Y335">
            <v>319</v>
          </cell>
          <cell r="Z335">
            <v>0.56505130045115948</v>
          </cell>
          <cell r="AA335">
            <v>2.7685362346662943E-2</v>
          </cell>
          <cell r="AB335" t="str">
            <v/>
          </cell>
          <cell r="AC335" t="e">
            <v>#N/A</v>
          </cell>
          <cell r="AD335">
            <v>248</v>
          </cell>
          <cell r="AE335" t="e">
            <v>#N/A</v>
          </cell>
          <cell r="AF335" t="str">
            <v/>
          </cell>
        </row>
        <row r="336">
          <cell r="Y336">
            <v>320</v>
          </cell>
          <cell r="Z336">
            <v>0.35017850063741207</v>
          </cell>
          <cell r="AA336">
            <v>-6.5049595470831223E-2</v>
          </cell>
          <cell r="AB336" t="str">
            <v/>
          </cell>
          <cell r="AC336" t="e">
            <v>#N/A</v>
          </cell>
          <cell r="AD336">
            <v>249</v>
          </cell>
          <cell r="AE336" t="e">
            <v>#N/A</v>
          </cell>
          <cell r="AF336" t="str">
            <v/>
          </cell>
        </row>
        <row r="337">
          <cell r="Y337">
            <v>321</v>
          </cell>
          <cell r="Z337">
            <v>0.5586946289986372</v>
          </cell>
          <cell r="AA337">
            <v>2.4959172312248121E-2</v>
          </cell>
          <cell r="AB337" t="str">
            <v/>
          </cell>
          <cell r="AC337" t="e">
            <v>#N/A</v>
          </cell>
          <cell r="AD337">
            <v>250</v>
          </cell>
          <cell r="AE337" t="e">
            <v>#N/A</v>
          </cell>
          <cell r="AF337" t="str">
            <v/>
          </cell>
        </row>
        <row r="338">
          <cell r="Y338">
            <v>322</v>
          </cell>
          <cell r="Z338">
            <v>0.55301654897630215</v>
          </cell>
          <cell r="AA338">
            <v>2.2529509510472147E-2</v>
          </cell>
          <cell r="AB338" t="str">
            <v/>
          </cell>
          <cell r="AC338" t="e">
            <v>#N/A</v>
          </cell>
          <cell r="AD338">
            <v>251</v>
          </cell>
          <cell r="AE338" t="e">
            <v>#N/A</v>
          </cell>
          <cell r="AF338" t="str">
            <v/>
          </cell>
        </row>
        <row r="339">
          <cell r="Y339">
            <v>323</v>
          </cell>
          <cell r="Z339">
            <v>0.67897815816104412</v>
          </cell>
          <cell r="AA339">
            <v>7.8572857002591034E-2</v>
          </cell>
          <cell r="AB339" t="str">
            <v/>
          </cell>
          <cell r="AC339" t="e">
            <v>#N/A</v>
          </cell>
          <cell r="AD339">
            <v>252</v>
          </cell>
          <cell r="AE339" t="e">
            <v>#N/A</v>
          </cell>
          <cell r="AF339" t="str">
            <v/>
          </cell>
        </row>
        <row r="340">
          <cell r="Y340">
            <v>324</v>
          </cell>
          <cell r="Z340">
            <v>0.40832649730145931</v>
          </cell>
          <cell r="AA340">
            <v>-3.9190134871867774E-2</v>
          </cell>
          <cell r="AB340" t="str">
            <v/>
          </cell>
          <cell r="AC340" t="e">
            <v>#N/A</v>
          </cell>
          <cell r="AD340">
            <v>253</v>
          </cell>
          <cell r="AE340" t="e">
            <v>#N/A</v>
          </cell>
          <cell r="AF340" t="str">
            <v/>
          </cell>
        </row>
        <row r="341">
          <cell r="Y341">
            <v>325</v>
          </cell>
          <cell r="Z341">
            <v>0.28125905804336071</v>
          </cell>
          <cell r="AA341">
            <v>-9.7886663649201455E-2</v>
          </cell>
          <cell r="AB341" t="str">
            <v/>
          </cell>
          <cell r="AC341" t="e">
            <v>#N/A</v>
          </cell>
          <cell r="AD341">
            <v>254</v>
          </cell>
          <cell r="AE341" t="e">
            <v>#N/A</v>
          </cell>
          <cell r="AF341" t="str">
            <v/>
          </cell>
        </row>
        <row r="342">
          <cell r="Y342">
            <v>326</v>
          </cell>
          <cell r="Z342">
            <v>0.23680136166512966</v>
          </cell>
          <cell r="AA342">
            <v>-0.12113249795358201</v>
          </cell>
          <cell r="AB342" t="str">
            <v/>
          </cell>
          <cell r="AC342" t="e">
            <v>#N/A</v>
          </cell>
          <cell r="AD342">
            <v>255</v>
          </cell>
          <cell r="AE342" t="e">
            <v>#N/A</v>
          </cell>
          <cell r="AF342" t="str">
            <v/>
          </cell>
        </row>
        <row r="343">
          <cell r="Y343">
            <v>327</v>
          </cell>
          <cell r="Z343">
            <v>0.69506899826228619</v>
          </cell>
          <cell r="AA343">
            <v>8.6251448016678056E-2</v>
          </cell>
          <cell r="AB343" t="str">
            <v/>
          </cell>
          <cell r="AC343" t="e">
            <v>#N/A</v>
          </cell>
          <cell r="AD343">
            <v>256</v>
          </cell>
          <cell r="AE343" t="e">
            <v>#N/A</v>
          </cell>
          <cell r="AF343" t="str">
            <v/>
          </cell>
        </row>
        <row r="344">
          <cell r="Y344">
            <v>328</v>
          </cell>
          <cell r="Z344">
            <v>1.8519839271903038E-2</v>
          </cell>
          <cell r="AA344">
            <v>-0.35248450347946569</v>
          </cell>
          <cell r="AB344" t="str">
            <v/>
          </cell>
          <cell r="AC344" t="e">
            <v>#N/A</v>
          </cell>
          <cell r="AD344">
            <v>257</v>
          </cell>
          <cell r="AE344" t="e">
            <v>#N/A</v>
          </cell>
          <cell r="AF344" t="str">
            <v/>
          </cell>
        </row>
        <row r="345">
          <cell r="Y345">
            <v>329</v>
          </cell>
          <cell r="Z345">
            <v>0.63347694091498852</v>
          </cell>
          <cell r="AA345">
            <v>5.7652422683981526E-2</v>
          </cell>
          <cell r="AB345" t="str">
            <v/>
          </cell>
          <cell r="AC345" t="e">
            <v>#N/A</v>
          </cell>
          <cell r="AD345">
            <v>258</v>
          </cell>
          <cell r="AE345" t="e">
            <v>#N/A</v>
          </cell>
          <cell r="AF345" t="str">
            <v/>
          </cell>
        </row>
        <row r="346">
          <cell r="Y346">
            <v>330</v>
          </cell>
          <cell r="Z346">
            <v>0.64435011707246304</v>
          </cell>
          <cell r="AA346">
            <v>6.2560181928641628E-2</v>
          </cell>
          <cell r="AB346" t="str">
            <v/>
          </cell>
          <cell r="AC346" t="e">
            <v>#N/A</v>
          </cell>
          <cell r="AD346">
            <v>259</v>
          </cell>
          <cell r="AE346" t="e">
            <v>#N/A</v>
          </cell>
          <cell r="AF346" t="str">
            <v/>
          </cell>
        </row>
        <row r="347">
          <cell r="Y347">
            <v>331</v>
          </cell>
          <cell r="Z347">
            <v>0.54727615229785442</v>
          </cell>
          <cell r="AA347">
            <v>2.0077902377746832E-2</v>
          </cell>
          <cell r="AB347" t="str">
            <v/>
          </cell>
          <cell r="AC347" t="e">
            <v>#N/A</v>
          </cell>
          <cell r="AD347">
            <v>260</v>
          </cell>
          <cell r="AE347" t="e">
            <v>#N/A</v>
          </cell>
          <cell r="AF347" t="str">
            <v/>
          </cell>
        </row>
        <row r="348">
          <cell r="Y348">
            <v>332</v>
          </cell>
          <cell r="Z348">
            <v>0.637568524107337</v>
          </cell>
          <cell r="AA348">
            <v>5.9493294883987219E-2</v>
          </cell>
          <cell r="AB348" t="str">
            <v/>
          </cell>
          <cell r="AC348" t="e">
            <v>#N/A</v>
          </cell>
          <cell r="AD348">
            <v>261</v>
          </cell>
          <cell r="AE348" t="e">
            <v>#N/A</v>
          </cell>
          <cell r="AF348" t="str">
            <v/>
          </cell>
        </row>
        <row r="349">
          <cell r="Y349">
            <v>333</v>
          </cell>
          <cell r="Z349">
            <v>0.52946418337523937</v>
          </cell>
          <cell r="AA349">
            <v>1.249527212207612E-2</v>
          </cell>
          <cell r="AB349" t="str">
            <v/>
          </cell>
          <cell r="AC349" t="e">
            <v>#N/A</v>
          </cell>
          <cell r="AD349">
            <v>262</v>
          </cell>
          <cell r="AE349" t="e">
            <v>#N/A</v>
          </cell>
          <cell r="AF349" t="str">
            <v/>
          </cell>
        </row>
        <row r="350">
          <cell r="Y350">
            <v>334</v>
          </cell>
          <cell r="Z350">
            <v>0.71678677760064602</v>
          </cell>
          <cell r="AA350">
            <v>9.6909167288480549E-2</v>
          </cell>
          <cell r="AB350" t="str">
            <v/>
          </cell>
          <cell r="AC350" t="e">
            <v>#N/A</v>
          </cell>
          <cell r="AD350">
            <v>263</v>
          </cell>
          <cell r="AE350" t="e">
            <v>#N/A</v>
          </cell>
          <cell r="AF350" t="str">
            <v/>
          </cell>
        </row>
        <row r="351">
          <cell r="Y351">
            <v>335</v>
          </cell>
          <cell r="Z351">
            <v>9.4234568998217583E-2</v>
          </cell>
          <cell r="AA351">
            <v>-0.22229607300793386</v>
          </cell>
          <cell r="AB351" t="str">
            <v/>
          </cell>
          <cell r="AC351" t="e">
            <v>#N/A</v>
          </cell>
          <cell r="AD351">
            <v>264</v>
          </cell>
          <cell r="AE351" t="e">
            <v>#N/A</v>
          </cell>
          <cell r="AF351" t="str">
            <v/>
          </cell>
        </row>
        <row r="352">
          <cell r="Y352">
            <v>336</v>
          </cell>
          <cell r="Z352">
            <v>0.91503157280385494</v>
          </cell>
          <cell r="AA352">
            <v>0.23197907840259196</v>
          </cell>
          <cell r="AB352" t="str">
            <v/>
          </cell>
          <cell r="AC352" t="e">
            <v>#N/A</v>
          </cell>
          <cell r="AD352">
            <v>265</v>
          </cell>
          <cell r="AE352" t="e">
            <v>#N/A</v>
          </cell>
          <cell r="AF352" t="str">
            <v/>
          </cell>
        </row>
        <row r="353">
          <cell r="Y353">
            <v>337</v>
          </cell>
          <cell r="Z353">
            <v>0.62344899587333202</v>
          </cell>
          <cell r="AA353">
            <v>5.3168952274645263E-2</v>
          </cell>
          <cell r="AB353" t="str">
            <v/>
          </cell>
          <cell r="AC353" t="e">
            <v>#N/A</v>
          </cell>
          <cell r="AD353">
            <v>266</v>
          </cell>
          <cell r="AE353" t="e">
            <v>#N/A</v>
          </cell>
          <cell r="AF353" t="str">
            <v/>
          </cell>
        </row>
        <row r="354">
          <cell r="Y354">
            <v>338</v>
          </cell>
          <cell r="Z354">
            <v>6.3570266589522362E-2</v>
          </cell>
          <cell r="AA354">
            <v>-0.2578524264042984</v>
          </cell>
          <cell r="AB354" t="str">
            <v/>
          </cell>
          <cell r="AC354" t="e">
            <v>#N/A</v>
          </cell>
          <cell r="AD354">
            <v>267</v>
          </cell>
          <cell r="AE354" t="e">
            <v>#N/A</v>
          </cell>
          <cell r="AF354" t="str">
            <v/>
          </cell>
        </row>
        <row r="355">
          <cell r="Y355">
            <v>339</v>
          </cell>
          <cell r="Z355">
            <v>0.49230868928134441</v>
          </cell>
          <cell r="AA355">
            <v>-3.2589911048613602E-3</v>
          </cell>
          <cell r="AB355" t="str">
            <v/>
          </cell>
          <cell r="AC355" t="e">
            <v>#N/A</v>
          </cell>
          <cell r="AD355">
            <v>268</v>
          </cell>
          <cell r="AE355" t="e">
            <v>#N/A</v>
          </cell>
          <cell r="AF355" t="str">
            <v/>
          </cell>
        </row>
        <row r="356">
          <cell r="Y356">
            <v>340</v>
          </cell>
          <cell r="Z356">
            <v>0.29282640479505062</v>
          </cell>
          <cell r="AA356">
            <v>-9.2146565490377016E-2</v>
          </cell>
          <cell r="AB356" t="str">
            <v/>
          </cell>
          <cell r="AC356" t="e">
            <v>#N/A</v>
          </cell>
          <cell r="AD356">
            <v>269</v>
          </cell>
          <cell r="AE356" t="e">
            <v>#N/A</v>
          </cell>
          <cell r="AF356" t="str">
            <v/>
          </cell>
        </row>
        <row r="357">
          <cell r="Y357">
            <v>341</v>
          </cell>
          <cell r="Z357">
            <v>0.85469376854598522</v>
          </cell>
          <cell r="AA357">
            <v>0.17862825276514357</v>
          </cell>
          <cell r="AB357" t="str">
            <v/>
          </cell>
          <cell r="AC357" t="e">
            <v>#N/A</v>
          </cell>
          <cell r="AD357">
            <v>270</v>
          </cell>
          <cell r="AE357" t="e">
            <v>#N/A</v>
          </cell>
          <cell r="AF357" t="str">
            <v/>
          </cell>
        </row>
        <row r="358">
          <cell r="Y358">
            <v>342</v>
          </cell>
          <cell r="Z358">
            <v>0.79647884331643581</v>
          </cell>
          <cell r="AA358">
            <v>0.14014512470378954</v>
          </cell>
          <cell r="AB358" t="str">
            <v/>
          </cell>
          <cell r="AC358" t="e">
            <v>#N/A</v>
          </cell>
          <cell r="AD358">
            <v>271</v>
          </cell>
          <cell r="AE358" t="e">
            <v>#N/A</v>
          </cell>
          <cell r="AF358" t="str">
            <v/>
          </cell>
        </row>
        <row r="359">
          <cell r="Y359">
            <v>343</v>
          </cell>
          <cell r="Z359">
            <v>0.78738932125270367</v>
          </cell>
          <cell r="AA359">
            <v>0.13478444410751089</v>
          </cell>
          <cell r="AB359" t="str">
            <v/>
          </cell>
          <cell r="AC359" t="e">
            <v>#N/A</v>
          </cell>
          <cell r="AD359">
            <v>272</v>
          </cell>
          <cell r="AE359" t="e">
            <v>#N/A</v>
          </cell>
          <cell r="AF359" t="str">
            <v/>
          </cell>
        </row>
        <row r="360">
          <cell r="Y360">
            <v>344</v>
          </cell>
          <cell r="Z360">
            <v>0.44858821295201778</v>
          </cell>
          <cell r="AA360">
            <v>-2.18436929673133E-2</v>
          </cell>
          <cell r="AB360" t="str">
            <v/>
          </cell>
          <cell r="AC360" t="e">
            <v>#N/A</v>
          </cell>
          <cell r="AD360">
            <v>273</v>
          </cell>
          <cell r="AE360" t="e">
            <v>#N/A</v>
          </cell>
          <cell r="AF360" t="str">
            <v/>
          </cell>
        </row>
        <row r="361">
          <cell r="Y361">
            <v>345</v>
          </cell>
          <cell r="Z361">
            <v>0.96116694621741772</v>
          </cell>
          <cell r="AA361">
            <v>0.29823657725100799</v>
          </cell>
          <cell r="AB361" t="str">
            <v/>
          </cell>
          <cell r="AC361" t="e">
            <v>#N/A</v>
          </cell>
          <cell r="AD361">
            <v>274</v>
          </cell>
          <cell r="AE361" t="e">
            <v>#N/A</v>
          </cell>
          <cell r="AF361" t="str">
            <v/>
          </cell>
        </row>
        <row r="362">
          <cell r="Y362">
            <v>346</v>
          </cell>
          <cell r="Z362">
            <v>0.95734447799623013</v>
          </cell>
          <cell r="AA362">
            <v>0.290846015623906</v>
          </cell>
          <cell r="AB362" t="str">
            <v/>
          </cell>
          <cell r="AC362" t="e">
            <v>#N/A</v>
          </cell>
          <cell r="AD362">
            <v>275</v>
          </cell>
          <cell r="AE362" t="e">
            <v>#N/A</v>
          </cell>
          <cell r="AF362" t="str">
            <v/>
          </cell>
        </row>
        <row r="363">
          <cell r="Y363">
            <v>347</v>
          </cell>
          <cell r="Z363">
            <v>0.22544051520526409</v>
          </cell>
          <cell r="AA363">
            <v>-0.12744030766893799</v>
          </cell>
          <cell r="AB363" t="str">
            <v/>
          </cell>
          <cell r="AC363" t="e">
            <v>#N/A</v>
          </cell>
          <cell r="AD363">
            <v>276</v>
          </cell>
          <cell r="AE363" t="e">
            <v>#N/A</v>
          </cell>
          <cell r="AF363" t="str">
            <v/>
          </cell>
        </row>
        <row r="364">
          <cell r="Y364">
            <v>348</v>
          </cell>
          <cell r="Z364">
            <v>8.2779338583350182E-2</v>
          </cell>
          <cell r="AA364">
            <v>-0.23438099856357617</v>
          </cell>
          <cell r="AB364" t="str">
            <v/>
          </cell>
          <cell r="AC364" t="e">
            <v>#N/A</v>
          </cell>
          <cell r="AD364">
            <v>277</v>
          </cell>
          <cell r="AE364" t="e">
            <v>#N/A</v>
          </cell>
          <cell r="AF364" t="str">
            <v/>
          </cell>
        </row>
        <row r="365">
          <cell r="Y365">
            <v>349</v>
          </cell>
          <cell r="Z365">
            <v>0.46196490339934826</v>
          </cell>
          <cell r="AA365">
            <v>-1.6139867661828688E-2</v>
          </cell>
          <cell r="AB365" t="str">
            <v/>
          </cell>
          <cell r="AC365" t="e">
            <v>#N/A</v>
          </cell>
          <cell r="AD365">
            <v>278</v>
          </cell>
          <cell r="AE365" t="e">
            <v>#N/A</v>
          </cell>
          <cell r="AF365" t="str">
            <v/>
          </cell>
        </row>
        <row r="366">
          <cell r="Y366">
            <v>350</v>
          </cell>
          <cell r="Z366">
            <v>3.9537226781249046E-2</v>
          </cell>
          <cell r="AA366">
            <v>-0.29683198981238795</v>
          </cell>
          <cell r="AB366" t="str">
            <v/>
          </cell>
          <cell r="AC366" t="e">
            <v>#N/A</v>
          </cell>
          <cell r="AD366">
            <v>279</v>
          </cell>
          <cell r="AE366" t="e">
            <v>#N/A</v>
          </cell>
          <cell r="AF366" t="str">
            <v/>
          </cell>
        </row>
        <row r="367">
          <cell r="Y367">
            <v>351</v>
          </cell>
          <cell r="Z367">
            <v>0.78179643861949444</v>
          </cell>
          <cell r="AA367">
            <v>0.13155242461949546</v>
          </cell>
          <cell r="AB367" t="str">
            <v/>
          </cell>
          <cell r="AC367" t="e">
            <v>#N/A</v>
          </cell>
          <cell r="AD367">
            <v>280</v>
          </cell>
          <cell r="AE367" t="e">
            <v>#N/A</v>
          </cell>
          <cell r="AF367" t="str">
            <v/>
          </cell>
        </row>
        <row r="368">
          <cell r="Y368">
            <v>352</v>
          </cell>
          <cell r="Z368">
            <v>0.54954864643514156</v>
          </cell>
          <cell r="AA368">
            <v>2.1047904906164785E-2</v>
          </cell>
          <cell r="AB368" t="str">
            <v/>
          </cell>
          <cell r="AC368" t="e">
            <v>#N/A</v>
          </cell>
          <cell r="AD368">
            <v>281</v>
          </cell>
          <cell r="AE368" t="e">
            <v>#N/A</v>
          </cell>
          <cell r="AF368" t="str">
            <v/>
          </cell>
        </row>
        <row r="369">
          <cell r="Y369">
            <v>353</v>
          </cell>
          <cell r="Z369">
            <v>0.6084838192909956</v>
          </cell>
          <cell r="AA369">
            <v>4.6545943695042072E-2</v>
          </cell>
          <cell r="AB369" t="str">
            <v/>
          </cell>
          <cell r="AC369" t="e">
            <v>#N/A</v>
          </cell>
          <cell r="AD369">
            <v>282</v>
          </cell>
          <cell r="AE369" t="e">
            <v>#N/A</v>
          </cell>
          <cell r="AF369" t="str">
            <v/>
          </cell>
        </row>
        <row r="370">
          <cell r="Y370">
            <v>354</v>
          </cell>
          <cell r="Z370">
            <v>0.10319960676133633</v>
          </cell>
          <cell r="AA370">
            <v>-0.21357534339952616</v>
          </cell>
          <cell r="AB370" t="str">
            <v/>
          </cell>
          <cell r="AC370" t="e">
            <v>#N/A</v>
          </cell>
          <cell r="AD370">
            <v>283</v>
          </cell>
          <cell r="AE370" t="e">
            <v>#N/A</v>
          </cell>
          <cell r="AF370" t="str">
            <v/>
          </cell>
        </row>
        <row r="371">
          <cell r="Y371">
            <v>355</v>
          </cell>
          <cell r="Z371">
            <v>0.40920825116336346</v>
          </cell>
          <cell r="AA371">
            <v>-3.8806461026220686E-2</v>
          </cell>
          <cell r="AB371" t="str">
            <v/>
          </cell>
          <cell r="AC371" t="e">
            <v>#N/A</v>
          </cell>
          <cell r="AD371">
            <v>284</v>
          </cell>
          <cell r="AE371" t="e">
            <v>#N/A</v>
          </cell>
          <cell r="AF371" t="str">
            <v/>
          </cell>
        </row>
        <row r="372">
          <cell r="Y372">
            <v>356</v>
          </cell>
          <cell r="Z372">
            <v>0.83134089969098568</v>
          </cell>
          <cell r="AA372">
            <v>0.16218131460372634</v>
          </cell>
          <cell r="AB372" t="str">
            <v/>
          </cell>
          <cell r="AC372" t="e">
            <v>#N/A</v>
          </cell>
          <cell r="AD372">
            <v>285</v>
          </cell>
          <cell r="AE372" t="e">
            <v>#N/A</v>
          </cell>
          <cell r="AF372" t="str">
            <v/>
          </cell>
        </row>
        <row r="373">
          <cell r="Y373">
            <v>357</v>
          </cell>
          <cell r="Z373">
            <v>0.80434155277907848</v>
          </cell>
          <cell r="AA373">
            <v>0.14489858903332528</v>
          </cell>
          <cell r="AB373" t="str">
            <v/>
          </cell>
          <cell r="AC373" t="e">
            <v>#N/A</v>
          </cell>
          <cell r="AD373">
            <v>286</v>
          </cell>
          <cell r="AE373" t="e">
            <v>#N/A</v>
          </cell>
          <cell r="AF373" t="str">
            <v/>
          </cell>
        </row>
        <row r="374">
          <cell r="Y374">
            <v>358</v>
          </cell>
          <cell r="Z374">
            <v>0.98423097096383572</v>
          </cell>
          <cell r="AA374">
            <v>0.36345300066642933</v>
          </cell>
          <cell r="AB374" t="str">
            <v/>
          </cell>
          <cell r="AC374" t="e">
            <v>#N/A</v>
          </cell>
          <cell r="AD374">
            <v>287</v>
          </cell>
          <cell r="AE374" t="e">
            <v>#N/A</v>
          </cell>
          <cell r="AF374" t="str">
            <v/>
          </cell>
        </row>
        <row r="375">
          <cell r="Y375">
            <v>359</v>
          </cell>
          <cell r="Z375">
            <v>0.5046409796923399</v>
          </cell>
          <cell r="AA375">
            <v>1.9664158949710044E-3</v>
          </cell>
          <cell r="AB375" t="str">
            <v/>
          </cell>
          <cell r="AC375" t="e">
            <v>#N/A</v>
          </cell>
          <cell r="AD375">
            <v>288</v>
          </cell>
          <cell r="AE375" t="e">
            <v>#N/A</v>
          </cell>
          <cell r="AF375" t="str">
            <v/>
          </cell>
        </row>
        <row r="376">
          <cell r="Y376">
            <v>360</v>
          </cell>
          <cell r="Z376">
            <v>0.35725613497197628</v>
          </cell>
          <cell r="AA376">
            <v>-6.1831949601464861E-2</v>
          </cell>
          <cell r="AB376" t="str">
            <v/>
          </cell>
          <cell r="AC376" t="e">
            <v>#N/A</v>
          </cell>
          <cell r="AD376">
            <v>289</v>
          </cell>
          <cell r="AE376" t="e">
            <v>#N/A</v>
          </cell>
          <cell r="AF376" t="str">
            <v/>
          </cell>
        </row>
        <row r="377">
          <cell r="Y377">
            <v>361</v>
          </cell>
          <cell r="Z377">
            <v>0.99404951743781567</v>
          </cell>
          <cell r="AA377">
            <v>0.42512397205924968</v>
          </cell>
          <cell r="AB377" t="str">
            <v/>
          </cell>
          <cell r="AC377" t="e">
            <v>#N/A</v>
          </cell>
          <cell r="AD377">
            <v>290</v>
          </cell>
          <cell r="AE377" t="e">
            <v>#N/A</v>
          </cell>
          <cell r="AF377" t="str">
            <v/>
          </cell>
        </row>
        <row r="378">
          <cell r="Y378">
            <v>362</v>
          </cell>
          <cell r="Z378">
            <v>9.7021883353590965E-2</v>
          </cell>
          <cell r="AA378">
            <v>-0.21952191081479974</v>
          </cell>
          <cell r="AB378" t="str">
            <v/>
          </cell>
          <cell r="AC378" t="e">
            <v>#N/A</v>
          </cell>
          <cell r="AD378">
            <v>291</v>
          </cell>
          <cell r="AE378" t="e">
            <v>#N/A</v>
          </cell>
          <cell r="AF378" t="str">
            <v/>
          </cell>
        </row>
        <row r="379">
          <cell r="Y379">
            <v>363</v>
          </cell>
          <cell r="Z379">
            <v>9.4820393249392509E-2</v>
          </cell>
          <cell r="AA379">
            <v>-0.22170804770577135</v>
          </cell>
          <cell r="AB379" t="str">
            <v/>
          </cell>
          <cell r="AC379" t="e">
            <v>#N/A</v>
          </cell>
          <cell r="AD379">
            <v>292</v>
          </cell>
          <cell r="AE379" t="e">
            <v>#N/A</v>
          </cell>
          <cell r="AF379" t="str">
            <v/>
          </cell>
        </row>
        <row r="380">
          <cell r="Y380">
            <v>364</v>
          </cell>
          <cell r="Z380">
            <v>0.16515903733670712</v>
          </cell>
          <cell r="AA380">
            <v>-0.16454703703948859</v>
          </cell>
          <cell r="AB380" t="str">
            <v/>
          </cell>
          <cell r="AC380" t="e">
            <v>#N/A</v>
          </cell>
          <cell r="AD380">
            <v>293</v>
          </cell>
          <cell r="AE380" t="e">
            <v>#N/A</v>
          </cell>
          <cell r="AF380" t="str">
            <v/>
          </cell>
        </row>
        <row r="381">
          <cell r="Y381">
            <v>365</v>
          </cell>
          <cell r="Z381">
            <v>0.5204345565289259</v>
          </cell>
          <cell r="AA381">
            <v>8.6618602015252916E-3</v>
          </cell>
          <cell r="AB381" t="str">
            <v/>
          </cell>
          <cell r="AC381" t="e">
            <v>#N/A</v>
          </cell>
          <cell r="AD381">
            <v>294</v>
          </cell>
          <cell r="AE381" t="e">
            <v>#N/A</v>
          </cell>
          <cell r="AF381" t="str">
            <v/>
          </cell>
        </row>
        <row r="382">
          <cell r="Y382">
            <v>366</v>
          </cell>
          <cell r="Z382">
            <v>0.33093849383294582</v>
          </cell>
          <cell r="AA382">
            <v>-7.3921109091170306E-2</v>
          </cell>
          <cell r="AB382" t="str">
            <v/>
          </cell>
          <cell r="AC382" t="e">
            <v>#N/A</v>
          </cell>
          <cell r="AD382">
            <v>295</v>
          </cell>
          <cell r="AE382" t="e">
            <v>#N/A</v>
          </cell>
          <cell r="AF382" t="str">
            <v/>
          </cell>
        </row>
        <row r="383">
          <cell r="Y383">
            <v>367</v>
          </cell>
          <cell r="Z383">
            <v>0.24052987806499004</v>
          </cell>
          <cell r="AA383">
            <v>-0.11909898616144568</v>
          </cell>
          <cell r="AB383" t="str">
            <v/>
          </cell>
          <cell r="AC383" t="e">
            <v>#N/A</v>
          </cell>
          <cell r="AD383">
            <v>296</v>
          </cell>
          <cell r="AE383" t="e">
            <v>#N/A</v>
          </cell>
          <cell r="AF383" t="str">
            <v/>
          </cell>
        </row>
        <row r="384">
          <cell r="Y384">
            <v>368</v>
          </cell>
          <cell r="Z384">
            <v>0.90753831528127193</v>
          </cell>
          <cell r="AA384">
            <v>0.22409221714830055</v>
          </cell>
          <cell r="AB384" t="str">
            <v/>
          </cell>
          <cell r="AC384" t="e">
            <v>#N/A</v>
          </cell>
          <cell r="AD384">
            <v>297</v>
          </cell>
          <cell r="AE384" t="e">
            <v>#N/A</v>
          </cell>
          <cell r="AF384" t="str">
            <v/>
          </cell>
        </row>
        <row r="385">
          <cell r="Y385">
            <v>369</v>
          </cell>
          <cell r="Z385">
            <v>0.95081081800162792</v>
          </cell>
          <cell r="AA385">
            <v>0.27936855317549497</v>
          </cell>
          <cell r="AB385" t="str">
            <v/>
          </cell>
          <cell r="AC385" t="e">
            <v>#N/A</v>
          </cell>
          <cell r="AD385">
            <v>298</v>
          </cell>
          <cell r="AE385" t="e">
            <v>#N/A</v>
          </cell>
          <cell r="AF385" t="str">
            <v/>
          </cell>
        </row>
        <row r="386">
          <cell r="Y386">
            <v>370</v>
          </cell>
          <cell r="Z386">
            <v>0.54055691324174404</v>
          </cell>
          <cell r="AA386">
            <v>1.7213569860324688E-2</v>
          </cell>
          <cell r="AB386" t="str">
            <v/>
          </cell>
          <cell r="AC386" t="e">
            <v>#N/A</v>
          </cell>
          <cell r="AD386">
            <v>299</v>
          </cell>
          <cell r="AE386" t="e">
            <v>#N/A</v>
          </cell>
          <cell r="AF386" t="str">
            <v/>
          </cell>
        </row>
        <row r="387">
          <cell r="Y387">
            <v>371</v>
          </cell>
          <cell r="Z387">
            <v>0.15965731255710125</v>
          </cell>
          <cell r="AA387">
            <v>-0.16833229722870807</v>
          </cell>
          <cell r="AB387" t="str">
            <v/>
          </cell>
          <cell r="AC387" t="e">
            <v>#N/A</v>
          </cell>
          <cell r="AD387">
            <v>300</v>
          </cell>
          <cell r="AE387" t="e">
            <v>#N/A</v>
          </cell>
          <cell r="AF387" t="str">
            <v/>
          </cell>
        </row>
        <row r="388">
          <cell r="Y388">
            <v>372</v>
          </cell>
          <cell r="Z388">
            <v>0.20111607573926449</v>
          </cell>
          <cell r="AA388">
            <v>-0.14158723337224907</v>
          </cell>
          <cell r="AB388" t="str">
            <v/>
          </cell>
          <cell r="AC388" t="e">
            <v>#N/A</v>
          </cell>
          <cell r="AD388">
            <v>301</v>
          </cell>
          <cell r="AE388" t="e">
            <v>#N/A</v>
          </cell>
          <cell r="AF388" t="str">
            <v/>
          </cell>
        </row>
        <row r="389">
          <cell r="Y389">
            <v>373</v>
          </cell>
          <cell r="Z389">
            <v>0.3719016294926405</v>
          </cell>
          <cell r="AA389">
            <v>-5.5242835354744772E-2</v>
          </cell>
          <cell r="AB389" t="str">
            <v/>
          </cell>
          <cell r="AC389" t="e">
            <v>#N/A</v>
          </cell>
          <cell r="AD389">
            <v>302</v>
          </cell>
          <cell r="AE389" t="e">
            <v>#N/A</v>
          </cell>
          <cell r="AF389" t="str">
            <v/>
          </cell>
        </row>
        <row r="390">
          <cell r="Y390">
            <v>374</v>
          </cell>
          <cell r="Z390">
            <v>0.12964758835732937</v>
          </cell>
          <cell r="AA390">
            <v>-0.19067670310490439</v>
          </cell>
          <cell r="AB390" t="str">
            <v/>
          </cell>
          <cell r="AC390" t="e">
            <v>#N/A</v>
          </cell>
          <cell r="AD390">
            <v>303</v>
          </cell>
          <cell r="AE390" t="e">
            <v>#N/A</v>
          </cell>
          <cell r="AF390" t="str">
            <v/>
          </cell>
        </row>
        <row r="391">
          <cell r="Y391">
            <v>375</v>
          </cell>
          <cell r="Z391">
            <v>0.56899194233119488</v>
          </cell>
          <cell r="AA391">
            <v>2.9378966116688717E-2</v>
          </cell>
          <cell r="AB391" t="str">
            <v/>
          </cell>
          <cell r="AC391" t="e">
            <v>#N/A</v>
          </cell>
          <cell r="AD391">
            <v>304</v>
          </cell>
          <cell r="AE391" t="e">
            <v>#N/A</v>
          </cell>
          <cell r="AF391" t="str">
            <v/>
          </cell>
        </row>
        <row r="392">
          <cell r="Y392">
            <v>376</v>
          </cell>
          <cell r="Z392">
            <v>0.82020719908177853</v>
          </cell>
          <cell r="AA392">
            <v>0.15485845992927608</v>
          </cell>
          <cell r="AB392" t="str">
            <v/>
          </cell>
          <cell r="AC392" t="e">
            <v>#N/A</v>
          </cell>
          <cell r="AD392">
            <v>305</v>
          </cell>
          <cell r="AE392" t="e">
            <v>#N/A</v>
          </cell>
          <cell r="AF392" t="str">
            <v/>
          </cell>
        </row>
        <row r="393">
          <cell r="Y393">
            <v>377</v>
          </cell>
          <cell r="Z393">
            <v>0.65351137332618237</v>
          </cell>
          <cell r="AA393">
            <v>6.6736412540176926E-2</v>
          </cell>
          <cell r="AB393" t="str">
            <v/>
          </cell>
          <cell r="AC393" t="e">
            <v>#N/A</v>
          </cell>
          <cell r="AD393">
            <v>306</v>
          </cell>
          <cell r="AE393" t="e">
            <v>#N/A</v>
          </cell>
          <cell r="AF393" t="str">
            <v/>
          </cell>
        </row>
        <row r="394">
          <cell r="Y394">
            <v>378</v>
          </cell>
          <cell r="Z394">
            <v>0.22890967689454556</v>
          </cell>
          <cell r="AA394">
            <v>-0.1254956663228568</v>
          </cell>
          <cell r="AB394" t="str">
            <v/>
          </cell>
          <cell r="AC394" t="e">
            <v>#N/A</v>
          </cell>
          <cell r="AD394">
            <v>307</v>
          </cell>
          <cell r="AE394" t="e">
            <v>#N/A</v>
          </cell>
          <cell r="AF394" t="str">
            <v/>
          </cell>
        </row>
        <row r="395">
          <cell r="Y395">
            <v>379</v>
          </cell>
          <cell r="Z395">
            <v>0.74477125518023968</v>
          </cell>
          <cell r="AA395">
            <v>0.11124351377091866</v>
          </cell>
          <cell r="AB395" t="str">
            <v/>
          </cell>
          <cell r="AC395" t="e">
            <v>#N/A</v>
          </cell>
          <cell r="AD395">
            <v>308</v>
          </cell>
          <cell r="AE395" t="e">
            <v>#N/A</v>
          </cell>
          <cell r="AF395" t="str">
            <v/>
          </cell>
        </row>
        <row r="396">
          <cell r="Y396">
            <v>380</v>
          </cell>
          <cell r="Z396">
            <v>0.2338287141174078</v>
          </cell>
          <cell r="AA396">
            <v>-0.12276640409822454</v>
          </cell>
          <cell r="AB396" t="str">
            <v/>
          </cell>
          <cell r="AC396" t="e">
            <v>#N/A</v>
          </cell>
          <cell r="AD396">
            <v>309</v>
          </cell>
          <cell r="AE396" t="e">
            <v>#N/A</v>
          </cell>
          <cell r="AF396" t="str">
            <v/>
          </cell>
        </row>
        <row r="397">
          <cell r="Y397">
            <v>381</v>
          </cell>
          <cell r="Z397">
            <v>0.18094736151397228</v>
          </cell>
          <cell r="AA397">
            <v>-0.15411568044554544</v>
          </cell>
          <cell r="AB397" t="str">
            <v/>
          </cell>
          <cell r="AC397" t="e">
            <v>#N/A</v>
          </cell>
          <cell r="AD397">
            <v>310</v>
          </cell>
          <cell r="AE397" t="e">
            <v>#N/A</v>
          </cell>
          <cell r="AF397" t="str">
            <v/>
          </cell>
        </row>
        <row r="398">
          <cell r="Y398">
            <v>382</v>
          </cell>
          <cell r="Z398">
            <v>0.96745542250573635</v>
          </cell>
          <cell r="AA398">
            <v>0.31180196215791128</v>
          </cell>
          <cell r="AB398" t="str">
            <v/>
          </cell>
          <cell r="AC398" t="e">
            <v>#N/A</v>
          </cell>
          <cell r="AD398">
            <v>311</v>
          </cell>
          <cell r="AE398" t="e">
            <v>#N/A</v>
          </cell>
          <cell r="AF398" t="str">
            <v/>
          </cell>
        </row>
        <row r="399">
          <cell r="Y399">
            <v>383</v>
          </cell>
          <cell r="Z399">
            <v>0.8019778560847044</v>
          </cell>
          <cell r="AA399">
            <v>0.14345768533714193</v>
          </cell>
          <cell r="AB399" t="str">
            <v/>
          </cell>
          <cell r="AC399" t="e">
            <v>#N/A</v>
          </cell>
          <cell r="AD399">
            <v>312</v>
          </cell>
          <cell r="AE399" t="e">
            <v>#N/A</v>
          </cell>
          <cell r="AF399" t="str">
            <v/>
          </cell>
        </row>
        <row r="400">
          <cell r="Y400">
            <v>384</v>
          </cell>
          <cell r="Z400">
            <v>0.98655917309224606</v>
          </cell>
          <cell r="AA400">
            <v>0.3741044911777453</v>
          </cell>
          <cell r="AB400" t="str">
            <v/>
          </cell>
          <cell r="AC400" t="e">
            <v>#N/A</v>
          </cell>
          <cell r="AD400">
            <v>313</v>
          </cell>
          <cell r="AE400" t="e">
            <v>#N/A</v>
          </cell>
          <cell r="AF400" t="str">
            <v/>
          </cell>
        </row>
        <row r="401">
          <cell r="Y401">
            <v>385</v>
          </cell>
          <cell r="Z401">
            <v>0.556191710755229</v>
          </cell>
          <cell r="AA401">
            <v>2.3887562242195865E-2</v>
          </cell>
          <cell r="AB401" t="str">
            <v/>
          </cell>
          <cell r="AC401" t="e">
            <v>#N/A</v>
          </cell>
          <cell r="AD401">
            <v>314</v>
          </cell>
          <cell r="AE401" t="e">
            <v>#N/A</v>
          </cell>
          <cell r="AF401" t="str">
            <v/>
          </cell>
        </row>
        <row r="402">
          <cell r="Y402">
            <v>386</v>
          </cell>
          <cell r="Z402">
            <v>0.33804452978074551</v>
          </cell>
          <cell r="AA402">
            <v>-7.0622081551198729E-2</v>
          </cell>
          <cell r="AB402" t="str">
            <v/>
          </cell>
          <cell r="AC402" t="e">
            <v>#N/A</v>
          </cell>
          <cell r="AD402">
            <v>315</v>
          </cell>
          <cell r="AE402" t="e">
            <v>#N/A</v>
          </cell>
          <cell r="AF402" t="str">
            <v/>
          </cell>
        </row>
        <row r="403">
          <cell r="Y403">
            <v>387</v>
          </cell>
          <cell r="Z403">
            <v>0.69238634221255779</v>
          </cell>
          <cell r="AA403">
            <v>8.4959283726819906E-2</v>
          </cell>
          <cell r="AB403" t="str">
            <v/>
          </cell>
          <cell r="AC403" t="e">
            <v>#N/A</v>
          </cell>
          <cell r="AD403">
            <v>316</v>
          </cell>
          <cell r="AE403" t="e">
            <v>#N/A</v>
          </cell>
          <cell r="AF403" t="str">
            <v/>
          </cell>
        </row>
        <row r="404">
          <cell r="Y404">
            <v>388</v>
          </cell>
          <cell r="Z404">
            <v>0.42314802668988705</v>
          </cell>
          <cell r="AA404">
            <v>-3.2766043683843678E-2</v>
          </cell>
          <cell r="AB404" t="str">
            <v/>
          </cell>
          <cell r="AC404" t="e">
            <v>#N/A</v>
          </cell>
          <cell r="AD404">
            <v>317</v>
          </cell>
          <cell r="AE404" t="e">
            <v>#N/A</v>
          </cell>
          <cell r="AF404" t="str">
            <v/>
          </cell>
        </row>
        <row r="405">
          <cell r="Y405">
            <v>389</v>
          </cell>
          <cell r="Z405">
            <v>0.76782321743667126</v>
          </cell>
          <cell r="AA405">
            <v>0.12367935624086018</v>
          </cell>
          <cell r="AB405" t="str">
            <v/>
          </cell>
          <cell r="AC405" t="e">
            <v>#N/A</v>
          </cell>
          <cell r="AD405">
            <v>318</v>
          </cell>
          <cell r="AE405" t="e">
            <v>#N/A</v>
          </cell>
          <cell r="AF405" t="str">
            <v/>
          </cell>
        </row>
        <row r="406">
          <cell r="Y406">
            <v>390</v>
          </cell>
          <cell r="Z406">
            <v>0.15606853924691677</v>
          </cell>
          <cell r="AA406">
            <v>-0.17084758693205768</v>
          </cell>
          <cell r="AB406" t="str">
            <v/>
          </cell>
          <cell r="AC406" t="e">
            <v>#N/A</v>
          </cell>
          <cell r="AD406">
            <v>319</v>
          </cell>
          <cell r="AE406" t="e">
            <v>#N/A</v>
          </cell>
          <cell r="AF406" t="str">
            <v/>
          </cell>
        </row>
        <row r="407">
          <cell r="Y407">
            <v>391</v>
          </cell>
          <cell r="Z407">
            <v>0.42136017791926861</v>
          </cell>
          <cell r="AA407">
            <v>-3.3538262038070837E-2</v>
          </cell>
          <cell r="AB407" t="str">
            <v/>
          </cell>
          <cell r="AC407" t="e">
            <v>#N/A</v>
          </cell>
          <cell r="AD407">
            <v>320</v>
          </cell>
          <cell r="AE407" t="e">
            <v>#N/A</v>
          </cell>
          <cell r="AF407" t="str">
            <v/>
          </cell>
        </row>
        <row r="408">
          <cell r="Y408">
            <v>392</v>
          </cell>
          <cell r="Z408">
            <v>0.25687499903142452</v>
          </cell>
          <cell r="AA408">
            <v>-0.11037879235769008</v>
          </cell>
          <cell r="AB408" t="str">
            <v/>
          </cell>
          <cell r="AC408" t="e">
            <v>#N/A</v>
          </cell>
          <cell r="AD408">
            <v>321</v>
          </cell>
          <cell r="AE408" t="e">
            <v>#N/A</v>
          </cell>
          <cell r="AF408" t="str">
            <v/>
          </cell>
        </row>
        <row r="409">
          <cell r="Y409">
            <v>393</v>
          </cell>
          <cell r="Z409">
            <v>0.32968923263251781</v>
          </cell>
          <cell r="AA409">
            <v>-7.4503973037092247E-2</v>
          </cell>
          <cell r="AB409" t="str">
            <v/>
          </cell>
          <cell r="AC409" t="e">
            <v>#N/A</v>
          </cell>
          <cell r="AD409">
            <v>322</v>
          </cell>
          <cell r="AE409" t="e">
            <v>#N/A</v>
          </cell>
          <cell r="AF409" t="str">
            <v/>
          </cell>
        </row>
        <row r="410">
          <cell r="Y410">
            <v>394</v>
          </cell>
          <cell r="Z410">
            <v>0.61228520236909389</v>
          </cell>
          <cell r="AA410">
            <v>4.8221129745320793E-2</v>
          </cell>
          <cell r="AB410" t="str">
            <v/>
          </cell>
          <cell r="AC410" t="e">
            <v>#N/A</v>
          </cell>
          <cell r="AD410">
            <v>323</v>
          </cell>
          <cell r="AE410" t="e">
            <v>#N/A</v>
          </cell>
          <cell r="AF410" t="str">
            <v/>
          </cell>
        </row>
        <row r="411">
          <cell r="Y411">
            <v>395</v>
          </cell>
          <cell r="Z411">
            <v>0.9833985697478056</v>
          </cell>
          <cell r="AA411">
            <v>0.35997176311348095</v>
          </cell>
          <cell r="AB411" t="str">
            <v/>
          </cell>
          <cell r="AC411" t="e">
            <v>#N/A</v>
          </cell>
          <cell r="AD411">
            <v>324</v>
          </cell>
          <cell r="AE411" t="e">
            <v>#N/A</v>
          </cell>
          <cell r="AF411" t="str">
            <v/>
          </cell>
        </row>
        <row r="412">
          <cell r="Y412">
            <v>396</v>
          </cell>
          <cell r="Z412">
            <v>0.48165946267545223</v>
          </cell>
          <cell r="AA412">
            <v>-7.7735793173126146E-3</v>
          </cell>
          <cell r="AB412" t="str">
            <v/>
          </cell>
          <cell r="AC412" t="e">
            <v>#N/A</v>
          </cell>
          <cell r="AD412">
            <v>325</v>
          </cell>
          <cell r="AE412" t="e">
            <v>#N/A</v>
          </cell>
          <cell r="AF412" t="str">
            <v/>
          </cell>
        </row>
        <row r="413">
          <cell r="Y413">
            <v>397</v>
          </cell>
          <cell r="Z413">
            <v>0.88832753710448742</v>
          </cell>
          <cell r="AA413">
            <v>0.20582578643158073</v>
          </cell>
          <cell r="AB413" t="str">
            <v/>
          </cell>
          <cell r="AC413" t="e">
            <v>#N/A</v>
          </cell>
          <cell r="AD413">
            <v>326</v>
          </cell>
          <cell r="AE413" t="e">
            <v>#N/A</v>
          </cell>
          <cell r="AF413" t="str">
            <v/>
          </cell>
        </row>
        <row r="414">
          <cell r="Y414">
            <v>398</v>
          </cell>
          <cell r="Z414">
            <v>0.91930285654962063</v>
          </cell>
          <cell r="AA414">
            <v>0.23671039879274888</v>
          </cell>
          <cell r="AB414" t="str">
            <v/>
          </cell>
          <cell r="AC414" t="e">
            <v>#N/A</v>
          </cell>
          <cell r="AD414">
            <v>327</v>
          </cell>
          <cell r="AE414" t="e">
            <v>#N/A</v>
          </cell>
          <cell r="AF414" t="str">
            <v/>
          </cell>
        </row>
        <row r="415">
          <cell r="Y415">
            <v>399</v>
          </cell>
          <cell r="Z415">
            <v>0.5164333414286375</v>
          </cell>
          <cell r="AA415">
            <v>6.9647360934892502E-3</v>
          </cell>
          <cell r="AB415" t="str">
            <v/>
          </cell>
          <cell r="AC415" t="e">
            <v>#N/A</v>
          </cell>
          <cell r="AD415">
            <v>328</v>
          </cell>
          <cell r="AE415" t="e">
            <v>#N/A</v>
          </cell>
          <cell r="AF415" t="str">
            <v/>
          </cell>
        </row>
        <row r="416">
          <cell r="Y416">
            <v>400</v>
          </cell>
          <cell r="Z416">
            <v>0.12791981361806393</v>
          </cell>
          <cell r="AA416">
            <v>-0.19206628284649047</v>
          </cell>
          <cell r="AB416" t="str">
            <v/>
          </cell>
          <cell r="AC416" t="e">
            <v>#N/A</v>
          </cell>
          <cell r="AD416">
            <v>329</v>
          </cell>
          <cell r="AE416" t="e">
            <v>#N/A</v>
          </cell>
          <cell r="AF416" t="str">
            <v/>
          </cell>
        </row>
        <row r="417">
          <cell r="Y417">
            <v>401</v>
          </cell>
          <cell r="Z417">
            <v>0.79913821630179882</v>
          </cell>
          <cell r="AA417">
            <v>0.14174031155888778</v>
          </cell>
          <cell r="AB417" t="str">
            <v/>
          </cell>
          <cell r="AC417" t="e">
            <v>#N/A</v>
          </cell>
          <cell r="AD417">
            <v>330</v>
          </cell>
          <cell r="AE417" t="e">
            <v>#N/A</v>
          </cell>
          <cell r="AF417" t="str">
            <v/>
          </cell>
        </row>
        <row r="418">
          <cell r="Y418">
            <v>402</v>
          </cell>
          <cell r="Z418">
            <v>0.55181480012834072</v>
          </cell>
          <cell r="AA418">
            <v>2.2015891761615586E-2</v>
          </cell>
          <cell r="AB418" t="str">
            <v/>
          </cell>
          <cell r="AC418" t="e">
            <v>#N/A</v>
          </cell>
          <cell r="AD418">
            <v>331</v>
          </cell>
          <cell r="AE418" t="e">
            <v>#N/A</v>
          </cell>
          <cell r="AF418" t="str">
            <v/>
          </cell>
        </row>
        <row r="419">
          <cell r="Y419">
            <v>403</v>
          </cell>
          <cell r="Z419">
            <v>0.17487580887973309</v>
          </cell>
          <cell r="AA419">
            <v>-0.15805587727839082</v>
          </cell>
          <cell r="AB419" t="str">
            <v/>
          </cell>
          <cell r="AC419" t="e">
            <v>#N/A</v>
          </cell>
          <cell r="AD419">
            <v>332</v>
          </cell>
          <cell r="AE419" t="e">
            <v>#N/A</v>
          </cell>
          <cell r="AF419" t="str">
            <v/>
          </cell>
        </row>
        <row r="420">
          <cell r="Y420">
            <v>404</v>
          </cell>
          <cell r="Z420">
            <v>0.36218284629285336</v>
          </cell>
          <cell r="AA420">
            <v>-5.9605383068423223E-2</v>
          </cell>
          <cell r="AB420" t="str">
            <v/>
          </cell>
          <cell r="AC420" t="e">
            <v>#N/A</v>
          </cell>
          <cell r="AD420">
            <v>333</v>
          </cell>
          <cell r="AE420" t="e">
            <v>#N/A</v>
          </cell>
          <cell r="AF420" t="str">
            <v/>
          </cell>
        </row>
        <row r="421">
          <cell r="Y421">
            <v>405</v>
          </cell>
          <cell r="Z421">
            <v>0.17130553536117077</v>
          </cell>
          <cell r="AA421">
            <v>-0.1604134485959107</v>
          </cell>
          <cell r="AB421" t="str">
            <v/>
          </cell>
          <cell r="AC421" t="e">
            <v>#N/A</v>
          </cell>
          <cell r="AD421">
            <v>334</v>
          </cell>
          <cell r="AE421" t="e">
            <v>#N/A</v>
          </cell>
          <cell r="AF421" t="str">
            <v/>
          </cell>
        </row>
        <row r="422">
          <cell r="Y422">
            <v>406</v>
          </cell>
          <cell r="Z422">
            <v>0.58058366738259792</v>
          </cell>
          <cell r="AA422">
            <v>3.4378654913434878E-2</v>
          </cell>
          <cell r="AB422" t="str">
            <v/>
          </cell>
          <cell r="AC422" t="e">
            <v>#N/A</v>
          </cell>
          <cell r="AD422">
            <v>335</v>
          </cell>
          <cell r="AE422" t="e">
            <v>#N/A</v>
          </cell>
          <cell r="AF422" t="str">
            <v/>
          </cell>
        </row>
        <row r="423">
          <cell r="Y423">
            <v>407</v>
          </cell>
          <cell r="Z423">
            <v>0.22141365520656109</v>
          </cell>
          <cell r="AA423">
            <v>-0.12971894411010126</v>
          </cell>
          <cell r="AB423" t="str">
            <v/>
          </cell>
          <cell r="AC423" t="e">
            <v>#N/A</v>
          </cell>
          <cell r="AD423">
            <v>336</v>
          </cell>
          <cell r="AE423" t="e">
            <v>#N/A</v>
          </cell>
          <cell r="AF423" t="str">
            <v/>
          </cell>
        </row>
        <row r="424">
          <cell r="Y424">
            <v>408</v>
          </cell>
          <cell r="Z424">
            <v>0.43044312857091427</v>
          </cell>
          <cell r="AA424">
            <v>-2.9621998498214976E-2</v>
          </cell>
          <cell r="AB424" t="str">
            <v/>
          </cell>
          <cell r="AC424" t="e">
            <v>#N/A</v>
          </cell>
          <cell r="AD424">
            <v>337</v>
          </cell>
          <cell r="AE424" t="e">
            <v>#N/A</v>
          </cell>
          <cell r="AF424" t="str">
            <v/>
          </cell>
        </row>
        <row r="425">
          <cell r="Y425">
            <v>409</v>
          </cell>
          <cell r="Z425">
            <v>0.88146981410682201</v>
          </cell>
          <cell r="AA425">
            <v>0.19985638911502157</v>
          </cell>
          <cell r="AB425" t="str">
            <v/>
          </cell>
          <cell r="AC425" t="e">
            <v>#N/A</v>
          </cell>
          <cell r="AD425">
            <v>338</v>
          </cell>
          <cell r="AE425" t="e">
            <v>#N/A</v>
          </cell>
          <cell r="AF425" t="str">
            <v/>
          </cell>
        </row>
        <row r="426">
          <cell r="Y426">
            <v>410</v>
          </cell>
          <cell r="Z426">
            <v>0.60017580352723598</v>
          </cell>
          <cell r="AA426">
            <v>4.2900397634371382E-2</v>
          </cell>
          <cell r="AB426" t="str">
            <v/>
          </cell>
          <cell r="AC426" t="e">
            <v>#N/A</v>
          </cell>
          <cell r="AD426">
            <v>339</v>
          </cell>
          <cell r="AE426" t="e">
            <v>#N/A</v>
          </cell>
          <cell r="AF426" t="str">
            <v/>
          </cell>
        </row>
        <row r="427">
          <cell r="Y427">
            <v>411</v>
          </cell>
          <cell r="Z427">
            <v>0.83755780570209026</v>
          </cell>
          <cell r="AA427">
            <v>0.166405831524359</v>
          </cell>
          <cell r="AB427" t="str">
            <v/>
          </cell>
          <cell r="AC427" t="e">
            <v>#N/A</v>
          </cell>
          <cell r="AD427">
            <v>340</v>
          </cell>
          <cell r="AE427" t="e">
            <v>#N/A</v>
          </cell>
          <cell r="AF427" t="str">
            <v/>
          </cell>
        </row>
        <row r="428">
          <cell r="Y428">
            <v>412</v>
          </cell>
          <cell r="Z428">
            <v>0.94527237676084042</v>
          </cell>
          <cell r="AA428">
            <v>0.27055863266892338</v>
          </cell>
          <cell r="AB428" t="str">
            <v/>
          </cell>
          <cell r="AC428" t="e">
            <v>#N/A</v>
          </cell>
          <cell r="AD428">
            <v>341</v>
          </cell>
          <cell r="AE428" t="e">
            <v>#N/A</v>
          </cell>
          <cell r="AF428" t="str">
            <v/>
          </cell>
        </row>
        <row r="429">
          <cell r="Y429">
            <v>413</v>
          </cell>
          <cell r="Z429">
            <v>5.6149302050471306E-2</v>
          </cell>
          <cell r="AA429">
            <v>-0.268411823531293</v>
          </cell>
          <cell r="AB429" t="str">
            <v/>
          </cell>
          <cell r="AC429" t="e">
            <v>#N/A</v>
          </cell>
          <cell r="AD429">
            <v>342</v>
          </cell>
          <cell r="AE429" t="e">
            <v>#N/A</v>
          </cell>
          <cell r="AF429" t="str">
            <v/>
          </cell>
        </row>
        <row r="430">
          <cell r="Y430">
            <v>414</v>
          </cell>
          <cell r="Z430">
            <v>0.75044563971459866</v>
          </cell>
          <cell r="AA430">
            <v>0.11424673215195508</v>
          </cell>
          <cell r="AB430" t="str">
            <v/>
          </cell>
          <cell r="AC430" t="e">
            <v>#N/A</v>
          </cell>
          <cell r="AD430">
            <v>343</v>
          </cell>
          <cell r="AE430" t="e">
            <v>#N/A</v>
          </cell>
          <cell r="AF430" t="str">
            <v/>
          </cell>
        </row>
        <row r="431">
          <cell r="Y431">
            <v>415</v>
          </cell>
          <cell r="Z431">
            <v>0.15293930284678936</v>
          </cell>
          <cell r="AA431">
            <v>-0.1730720854510753</v>
          </cell>
          <cell r="AB431" t="str">
            <v/>
          </cell>
          <cell r="AC431" t="e">
            <v>#N/A</v>
          </cell>
          <cell r="AD431">
            <v>344</v>
          </cell>
          <cell r="AE431" t="e">
            <v>#N/A</v>
          </cell>
          <cell r="AF431" t="str">
            <v/>
          </cell>
        </row>
        <row r="432">
          <cell r="Y432">
            <v>416</v>
          </cell>
          <cell r="Z432">
            <v>1.6678830608725548E-2</v>
          </cell>
          <cell r="AA432">
            <v>-0.35965571038398531</v>
          </cell>
          <cell r="AB432" t="str">
            <v/>
          </cell>
          <cell r="AC432" t="e">
            <v>#N/A</v>
          </cell>
          <cell r="AD432">
            <v>345</v>
          </cell>
          <cell r="AE432" t="e">
            <v>#N/A</v>
          </cell>
          <cell r="AF432" t="str">
            <v/>
          </cell>
        </row>
        <row r="433">
          <cell r="Y433">
            <v>417</v>
          </cell>
          <cell r="Z433">
            <v>0.52291205339133739</v>
          </cell>
          <cell r="AA433">
            <v>9.7131228932154159E-3</v>
          </cell>
          <cell r="AB433" t="str">
            <v/>
          </cell>
          <cell r="AC433" t="e">
            <v>#N/A</v>
          </cell>
          <cell r="AD433">
            <v>346</v>
          </cell>
          <cell r="AE433" t="e">
            <v>#N/A</v>
          </cell>
          <cell r="AF433" t="str">
            <v/>
          </cell>
        </row>
        <row r="434">
          <cell r="Y434">
            <v>418</v>
          </cell>
          <cell r="Z434">
            <v>0.33177006803452969</v>
          </cell>
          <cell r="AA434">
            <v>-7.3533611211770322E-2</v>
          </cell>
          <cell r="AB434" t="str">
            <v/>
          </cell>
          <cell r="AC434" t="e">
            <v>#N/A</v>
          </cell>
          <cell r="AD434">
            <v>347</v>
          </cell>
          <cell r="AE434" t="e">
            <v>#N/A</v>
          </cell>
          <cell r="AF434" t="str">
            <v/>
          </cell>
        </row>
        <row r="435">
          <cell r="Y435">
            <v>419</v>
          </cell>
          <cell r="Z435">
            <v>0.99335618130862713</v>
          </cell>
          <cell r="AA435">
            <v>0.41851457519741075</v>
          </cell>
          <cell r="AB435" t="str">
            <v/>
          </cell>
          <cell r="AC435" t="e">
            <v>#N/A</v>
          </cell>
          <cell r="AD435">
            <v>348</v>
          </cell>
          <cell r="AE435" t="e">
            <v>#N/A</v>
          </cell>
          <cell r="AF435" t="str">
            <v/>
          </cell>
        </row>
        <row r="436">
          <cell r="Y436">
            <v>420</v>
          </cell>
          <cell r="Z436">
            <v>0.72671662829816341</v>
          </cell>
          <cell r="AA436">
            <v>0.1019108526872998</v>
          </cell>
          <cell r="AB436" t="str">
            <v/>
          </cell>
          <cell r="AC436" t="e">
            <v>#N/A</v>
          </cell>
          <cell r="AD436">
            <v>349</v>
          </cell>
          <cell r="AE436" t="e">
            <v>#N/A</v>
          </cell>
          <cell r="AF436" t="str">
            <v/>
          </cell>
        </row>
        <row r="437">
          <cell r="Y437">
            <v>421</v>
          </cell>
          <cell r="Z437">
            <v>0.73029780201613903</v>
          </cell>
          <cell r="AA437">
            <v>0.10373658416111502</v>
          </cell>
          <cell r="AB437" t="str">
            <v/>
          </cell>
          <cell r="AC437" t="e">
            <v>#N/A</v>
          </cell>
          <cell r="AD437">
            <v>350</v>
          </cell>
          <cell r="AE437" t="e">
            <v>#N/A</v>
          </cell>
          <cell r="AF437" t="str">
            <v/>
          </cell>
        </row>
        <row r="438">
          <cell r="Y438">
            <v>422</v>
          </cell>
          <cell r="Z438">
            <v>0.51403281651437283</v>
          </cell>
          <cell r="AA438">
            <v>5.9468960311279588E-3</v>
          </cell>
          <cell r="AB438" t="str">
            <v/>
          </cell>
          <cell r="AC438" t="e">
            <v>#N/A</v>
          </cell>
          <cell r="AD438">
            <v>351</v>
          </cell>
          <cell r="AE438" t="e">
            <v>#N/A</v>
          </cell>
          <cell r="AF438" t="str">
            <v/>
          </cell>
        </row>
        <row r="439">
          <cell r="Y439">
            <v>423</v>
          </cell>
          <cell r="Z439">
            <v>0.84757034294307232</v>
          </cell>
          <cell r="AA439">
            <v>0.17343722551661547</v>
          </cell>
          <cell r="AB439" t="str">
            <v/>
          </cell>
          <cell r="AC439" t="e">
            <v>#N/A</v>
          </cell>
          <cell r="AD439">
            <v>352</v>
          </cell>
          <cell r="AE439" t="e">
            <v>#N/A</v>
          </cell>
          <cell r="AF439" t="str">
            <v/>
          </cell>
        </row>
        <row r="440">
          <cell r="Y440">
            <v>424</v>
          </cell>
          <cell r="Z440">
            <v>0.44784518145024776</v>
          </cell>
          <cell r="AA440">
            <v>-2.2161192062877748E-2</v>
          </cell>
          <cell r="AB440" t="str">
            <v/>
          </cell>
          <cell r="AC440" t="e">
            <v>#N/A</v>
          </cell>
          <cell r="AD440">
            <v>353</v>
          </cell>
          <cell r="AE440" t="e">
            <v>#N/A</v>
          </cell>
          <cell r="AF440" t="str">
            <v/>
          </cell>
        </row>
        <row r="441">
          <cell r="Y441">
            <v>425</v>
          </cell>
          <cell r="Z441">
            <v>0.63648983649909496</v>
          </cell>
          <cell r="AA441">
            <v>5.9007298750783144E-2</v>
          </cell>
          <cell r="AB441" t="str">
            <v/>
          </cell>
          <cell r="AC441" t="e">
            <v>#N/A</v>
          </cell>
          <cell r="AD441">
            <v>354</v>
          </cell>
          <cell r="AE441" t="e">
            <v>#N/A</v>
          </cell>
          <cell r="AF441" t="str">
            <v/>
          </cell>
        </row>
        <row r="442">
          <cell r="Y442">
            <v>426</v>
          </cell>
          <cell r="Z442">
            <v>0.63935882411897182</v>
          </cell>
          <cell r="AA442">
            <v>6.0300992709741166E-2</v>
          </cell>
          <cell r="AB442" t="str">
            <v/>
          </cell>
          <cell r="AC442" t="e">
            <v>#N/A</v>
          </cell>
          <cell r="AD442">
            <v>355</v>
          </cell>
          <cell r="AE442" t="e">
            <v>#N/A</v>
          </cell>
          <cell r="AF442" t="str">
            <v/>
          </cell>
        </row>
        <row r="443">
          <cell r="Y443">
            <v>427</v>
          </cell>
          <cell r="Z443">
            <v>0.55285443179309368</v>
          </cell>
          <cell r="AA443">
            <v>2.2460209901496171E-2</v>
          </cell>
          <cell r="AB443" t="str">
            <v/>
          </cell>
          <cell r="AC443" t="e">
            <v>#N/A</v>
          </cell>
          <cell r="AD443">
            <v>356</v>
          </cell>
          <cell r="AE443" t="e">
            <v>#N/A</v>
          </cell>
          <cell r="AF443" t="str">
            <v/>
          </cell>
        </row>
        <row r="444">
          <cell r="Y444">
            <v>428</v>
          </cell>
          <cell r="Z444">
            <v>0.50503855012357235</v>
          </cell>
          <cell r="AA444">
            <v>2.1348779005017568E-3</v>
          </cell>
          <cell r="AB444" t="str">
            <v/>
          </cell>
          <cell r="AC444" t="e">
            <v>#N/A</v>
          </cell>
          <cell r="AD444">
            <v>357</v>
          </cell>
          <cell r="AE444" t="e">
            <v>#N/A</v>
          </cell>
          <cell r="AF444" t="str">
            <v/>
          </cell>
        </row>
        <row r="445">
          <cell r="Y445">
            <v>429</v>
          </cell>
          <cell r="Z445">
            <v>6.6736875101923943E-2</v>
          </cell>
          <cell r="AA445">
            <v>-0.25363809510901414</v>
          </cell>
          <cell r="AB445" t="str">
            <v/>
          </cell>
          <cell r="AC445" t="e">
            <v>#N/A</v>
          </cell>
          <cell r="AD445">
            <v>358</v>
          </cell>
          <cell r="AE445" t="e">
            <v>#N/A</v>
          </cell>
          <cell r="AF445" t="str">
            <v/>
          </cell>
        </row>
        <row r="446">
          <cell r="Y446">
            <v>430</v>
          </cell>
          <cell r="Z446">
            <v>0.61859861575067043</v>
          </cell>
          <cell r="AA446">
            <v>5.1013901568045916E-2</v>
          </cell>
          <cell r="AB446" t="str">
            <v/>
          </cell>
          <cell r="AC446" t="e">
            <v>#N/A</v>
          </cell>
          <cell r="AD446">
            <v>359</v>
          </cell>
          <cell r="AE446" t="e">
            <v>#N/A</v>
          </cell>
          <cell r="AF446" t="str">
            <v/>
          </cell>
        </row>
        <row r="447">
          <cell r="Y447">
            <v>431</v>
          </cell>
          <cell r="Z447">
            <v>0.19928870908915997</v>
          </cell>
          <cell r="AA447">
            <v>-0.14268986519589308</v>
          </cell>
          <cell r="AB447" t="str">
            <v/>
          </cell>
          <cell r="AC447" t="e">
            <v>#N/A</v>
          </cell>
          <cell r="AD447">
            <v>360</v>
          </cell>
          <cell r="AE447" t="e">
            <v>#N/A</v>
          </cell>
          <cell r="AF447" t="str">
            <v/>
          </cell>
        </row>
        <row r="448">
          <cell r="Y448">
            <v>432</v>
          </cell>
          <cell r="Z448">
            <v>0.68164481781423092</v>
          </cell>
          <cell r="AA448">
            <v>7.9833817065523616E-2</v>
          </cell>
          <cell r="AB448" t="str">
            <v/>
          </cell>
          <cell r="AC448" t="e">
            <v>#N/A</v>
          </cell>
          <cell r="AD448">
            <v>361</v>
          </cell>
          <cell r="AE448" t="e">
            <v>#N/A</v>
          </cell>
          <cell r="AF448" t="str">
            <v/>
          </cell>
        </row>
        <row r="449">
          <cell r="Y449">
            <v>433</v>
          </cell>
          <cell r="Z449">
            <v>3.9524940773844719E-2</v>
          </cell>
          <cell r="AA449">
            <v>-0.29685632110848881</v>
          </cell>
          <cell r="AB449" t="str">
            <v/>
          </cell>
          <cell r="AC449" t="e">
            <v>#N/A</v>
          </cell>
          <cell r="AD449">
            <v>362</v>
          </cell>
          <cell r="AE449" t="e">
            <v>#N/A</v>
          </cell>
          <cell r="AF449" t="str">
            <v/>
          </cell>
        </row>
        <row r="450">
          <cell r="Y450">
            <v>434</v>
          </cell>
          <cell r="Z450">
            <v>0.9215626772493124</v>
          </cell>
          <cell r="AA450">
            <v>0.23929046232783518</v>
          </cell>
          <cell r="AB450" t="str">
            <v/>
          </cell>
          <cell r="AC450" t="e">
            <v>#N/A</v>
          </cell>
          <cell r="AD450">
            <v>363</v>
          </cell>
          <cell r="AE450" t="e">
            <v>#N/A</v>
          </cell>
          <cell r="AF450" t="str">
            <v/>
          </cell>
        </row>
        <row r="451">
          <cell r="Y451">
            <v>435</v>
          </cell>
          <cell r="Z451">
            <v>0.75280792824923992</v>
          </cell>
          <cell r="AA451">
            <v>0.11550765021337224</v>
          </cell>
          <cell r="AB451" t="str">
            <v/>
          </cell>
          <cell r="AC451" t="e">
            <v>#N/A</v>
          </cell>
          <cell r="AD451">
            <v>364</v>
          </cell>
          <cell r="AE451" t="e">
            <v>#N/A</v>
          </cell>
          <cell r="AF451" t="str">
            <v/>
          </cell>
        </row>
        <row r="452">
          <cell r="Y452">
            <v>436</v>
          </cell>
          <cell r="Z452">
            <v>6.8995466455817223E-2</v>
          </cell>
          <cell r="AA452">
            <v>-0.25072587316304012</v>
          </cell>
          <cell r="AB452" t="str">
            <v/>
          </cell>
          <cell r="AC452" t="e">
            <v>#N/A</v>
          </cell>
          <cell r="AD452">
            <v>365</v>
          </cell>
          <cell r="AE452" t="e">
            <v>#N/A</v>
          </cell>
          <cell r="AF452" t="str">
            <v/>
          </cell>
        </row>
        <row r="453">
          <cell r="Y453">
            <v>437</v>
          </cell>
          <cell r="Z453">
            <v>0.56149923615157604</v>
          </cell>
          <cell r="AA453">
            <v>2.6161143862732862E-2</v>
          </cell>
          <cell r="AB453" t="str">
            <v/>
          </cell>
          <cell r="AC453" t="e">
            <v>#N/A</v>
          </cell>
          <cell r="AD453">
            <v>366</v>
          </cell>
          <cell r="AE453" t="e">
            <v>#N/A</v>
          </cell>
          <cell r="AF453" t="str">
            <v/>
          </cell>
        </row>
        <row r="454">
          <cell r="Y454">
            <v>438</v>
          </cell>
          <cell r="Z454">
            <v>0.66100583039224148</v>
          </cell>
          <cell r="AA454">
            <v>7.0183262606242108E-2</v>
          </cell>
          <cell r="AB454" t="str">
            <v/>
          </cell>
          <cell r="AC454" t="e">
            <v>#N/A</v>
          </cell>
          <cell r="AD454">
            <v>367</v>
          </cell>
          <cell r="AE454" t="e">
            <v>#N/A</v>
          </cell>
          <cell r="AF454" t="str">
            <v/>
          </cell>
        </row>
        <row r="455">
          <cell r="Y455">
            <v>439</v>
          </cell>
          <cell r="Z455">
            <v>0.8969982098788023</v>
          </cell>
          <cell r="AA455">
            <v>0.21376167988277645</v>
          </cell>
          <cell r="AB455" t="str">
            <v/>
          </cell>
          <cell r="AC455" t="e">
            <v>#N/A</v>
          </cell>
          <cell r="AD455">
            <v>368</v>
          </cell>
          <cell r="AE455" t="e">
            <v>#N/A</v>
          </cell>
          <cell r="AF455" t="str">
            <v/>
          </cell>
        </row>
        <row r="456">
          <cell r="Y456">
            <v>440</v>
          </cell>
          <cell r="Z456">
            <v>0.75976475141942501</v>
          </cell>
          <cell r="AA456">
            <v>0.11925904584463516</v>
          </cell>
          <cell r="AB456" t="str">
            <v/>
          </cell>
          <cell r="AC456" t="e">
            <v>#N/A</v>
          </cell>
          <cell r="AD456">
            <v>369</v>
          </cell>
          <cell r="AE456" t="e">
            <v>#N/A</v>
          </cell>
          <cell r="AF456" t="str">
            <v/>
          </cell>
        </row>
        <row r="457">
          <cell r="Y457">
            <v>441</v>
          </cell>
          <cell r="Z457">
            <v>0.39113601855933666</v>
          </cell>
          <cell r="AA457">
            <v>-4.6713264508987606E-2</v>
          </cell>
          <cell r="AB457" t="str">
            <v/>
          </cell>
          <cell r="AC457" t="e">
            <v>#N/A</v>
          </cell>
          <cell r="AD457">
            <v>370</v>
          </cell>
          <cell r="AE457" t="e">
            <v>#N/A</v>
          </cell>
          <cell r="AF457" t="str">
            <v/>
          </cell>
        </row>
        <row r="458">
          <cell r="Y458">
            <v>442</v>
          </cell>
          <cell r="Z458">
            <v>0.27036160789430141</v>
          </cell>
          <cell r="AA458">
            <v>-0.10339950395189798</v>
          </cell>
          <cell r="AB458" t="str">
            <v/>
          </cell>
          <cell r="AC458" t="e">
            <v>#N/A</v>
          </cell>
          <cell r="AD458">
            <v>371</v>
          </cell>
          <cell r="AE458" t="e">
            <v>#N/A</v>
          </cell>
          <cell r="AF458" t="str">
            <v/>
          </cell>
        </row>
        <row r="459">
          <cell r="Y459">
            <v>443</v>
          </cell>
          <cell r="Z459">
            <v>0.59364391677081585</v>
          </cell>
          <cell r="AA459">
            <v>4.0048246256944905E-2</v>
          </cell>
          <cell r="AB459" t="str">
            <v/>
          </cell>
          <cell r="AC459" t="e">
            <v>#N/A</v>
          </cell>
          <cell r="AD459">
            <v>372</v>
          </cell>
          <cell r="AE459" t="e">
            <v>#N/A</v>
          </cell>
          <cell r="AF459" t="str">
            <v/>
          </cell>
        </row>
        <row r="460">
          <cell r="Y460">
            <v>444</v>
          </cell>
          <cell r="Z460">
            <v>0.88507907651364803</v>
          </cell>
          <cell r="AA460">
            <v>0.20296655851303352</v>
          </cell>
          <cell r="AB460" t="str">
            <v/>
          </cell>
          <cell r="AC460" t="e">
            <v>#N/A</v>
          </cell>
          <cell r="AD460">
            <v>373</v>
          </cell>
          <cell r="AE460" t="e">
            <v>#N/A</v>
          </cell>
          <cell r="AF460" t="str">
            <v/>
          </cell>
        </row>
        <row r="461">
          <cell r="Y461">
            <v>445</v>
          </cell>
          <cell r="Z461">
            <v>0.27116447500884533</v>
          </cell>
          <cell r="AA461">
            <v>-0.10298964483908195</v>
          </cell>
          <cell r="AB461" t="str">
            <v/>
          </cell>
          <cell r="AC461" t="e">
            <v>#N/A</v>
          </cell>
          <cell r="AD461">
            <v>374</v>
          </cell>
          <cell r="AE461" t="e">
            <v>#N/A</v>
          </cell>
          <cell r="AF461" t="str">
            <v/>
          </cell>
        </row>
        <row r="462">
          <cell r="Y462">
            <v>446</v>
          </cell>
          <cell r="Z462">
            <v>0.27522662840783596</v>
          </cell>
          <cell r="AA462">
            <v>-0.10092512108443684</v>
          </cell>
          <cell r="AB462" t="str">
            <v/>
          </cell>
          <cell r="AC462" t="e">
            <v>#N/A</v>
          </cell>
          <cell r="AD462">
            <v>375</v>
          </cell>
          <cell r="AE462" t="e">
            <v>#N/A</v>
          </cell>
          <cell r="AF462" t="str">
            <v/>
          </cell>
        </row>
        <row r="463">
          <cell r="Y463">
            <v>447</v>
          </cell>
          <cell r="Z463">
            <v>0.86202452890574932</v>
          </cell>
          <cell r="AA463">
            <v>0.18415240560073945</v>
          </cell>
          <cell r="AB463" t="str">
            <v/>
          </cell>
          <cell r="AC463" t="e">
            <v>#N/A</v>
          </cell>
          <cell r="AD463">
            <v>376</v>
          </cell>
          <cell r="AE463" t="e">
            <v>#N/A</v>
          </cell>
          <cell r="AF463" t="str">
            <v/>
          </cell>
        </row>
        <row r="464">
          <cell r="Y464">
            <v>448</v>
          </cell>
          <cell r="Z464">
            <v>0.49537636898458004</v>
          </cell>
          <cell r="AA464">
            <v>-1.9590648081880546E-3</v>
          </cell>
          <cell r="AB464" t="str">
            <v/>
          </cell>
          <cell r="AC464" t="e">
            <v>#N/A</v>
          </cell>
          <cell r="AD464">
            <v>377</v>
          </cell>
          <cell r="AE464" t="e">
            <v>#N/A</v>
          </cell>
          <cell r="AF464" t="str">
            <v/>
          </cell>
        </row>
        <row r="465">
          <cell r="Y465">
            <v>449</v>
          </cell>
          <cell r="Z465">
            <v>0.12973859719932079</v>
          </cell>
          <cell r="AA465">
            <v>-0.19060386521897635</v>
          </cell>
          <cell r="AB465" t="str">
            <v/>
          </cell>
          <cell r="AC465" t="e">
            <v>#N/A</v>
          </cell>
          <cell r="AD465">
            <v>378</v>
          </cell>
          <cell r="AE465" t="e">
            <v>#N/A</v>
          </cell>
          <cell r="AF465" t="str">
            <v/>
          </cell>
        </row>
        <row r="466">
          <cell r="Y466">
            <v>450</v>
          </cell>
          <cell r="Z466">
            <v>0.65859497152268887</v>
          </cell>
          <cell r="AA466">
            <v>6.907134245924583E-2</v>
          </cell>
          <cell r="AB466" t="str">
            <v/>
          </cell>
          <cell r="AC466" t="e">
            <v>#N/A</v>
          </cell>
          <cell r="AD466">
            <v>379</v>
          </cell>
          <cell r="AE466" t="e">
            <v>#N/A</v>
          </cell>
          <cell r="AF466" t="str">
            <v/>
          </cell>
        </row>
        <row r="467">
          <cell r="Y467">
            <v>451</v>
          </cell>
          <cell r="Z467">
            <v>0.27696151845157146</v>
          </cell>
          <cell r="AA467">
            <v>-0.10004797670565832</v>
          </cell>
          <cell r="AB467" t="str">
            <v/>
          </cell>
          <cell r="AC467" t="e">
            <v>#N/A</v>
          </cell>
          <cell r="AD467">
            <v>380</v>
          </cell>
          <cell r="AE467" t="e">
            <v>#N/A</v>
          </cell>
          <cell r="AF467" t="str">
            <v/>
          </cell>
        </row>
        <row r="468">
          <cell r="Y468">
            <v>452</v>
          </cell>
          <cell r="Z468">
            <v>0.78501545451581478</v>
          </cell>
          <cell r="AA468">
            <v>0.13340667716919083</v>
          </cell>
          <cell r="AB468" t="str">
            <v/>
          </cell>
          <cell r="AC468" t="e">
            <v>#N/A</v>
          </cell>
          <cell r="AD468">
            <v>381</v>
          </cell>
          <cell r="AE468" t="e">
            <v>#N/A</v>
          </cell>
          <cell r="AF468" t="str">
            <v/>
          </cell>
        </row>
        <row r="469">
          <cell r="Y469">
            <v>453</v>
          </cell>
          <cell r="Z469">
            <v>0.7503590565174818</v>
          </cell>
          <cell r="AA469">
            <v>0.11420063765133036</v>
          </cell>
          <cell r="AB469" t="str">
            <v/>
          </cell>
          <cell r="AC469" t="e">
            <v>#N/A</v>
          </cell>
          <cell r="AD469">
            <v>382</v>
          </cell>
          <cell r="AE469" t="e">
            <v>#N/A</v>
          </cell>
          <cell r="AF469" t="str">
            <v/>
          </cell>
        </row>
        <row r="470">
          <cell r="Y470">
            <v>454</v>
          </cell>
          <cell r="Z470">
            <v>0.31984255276620388</v>
          </cell>
          <cell r="AA470">
            <v>-7.9129953758609595E-2</v>
          </cell>
          <cell r="AB470" t="str">
            <v/>
          </cell>
          <cell r="AC470" t="e">
            <v>#N/A</v>
          </cell>
          <cell r="AD470">
            <v>383</v>
          </cell>
          <cell r="AE470" t="e">
            <v>#N/A</v>
          </cell>
          <cell r="AF470" t="str">
            <v/>
          </cell>
        </row>
        <row r="471">
          <cell r="Y471">
            <v>455</v>
          </cell>
          <cell r="Z471">
            <v>0.68561522476375103</v>
          </cell>
          <cell r="AA471">
            <v>8.1719560966919333E-2</v>
          </cell>
          <cell r="AB471" t="str">
            <v/>
          </cell>
          <cell r="AC471" t="e">
            <v>#N/A</v>
          </cell>
          <cell r="AD471">
            <v>384</v>
          </cell>
          <cell r="AE471" t="e">
            <v>#N/A</v>
          </cell>
          <cell r="AF471" t="str">
            <v/>
          </cell>
        </row>
        <row r="472">
          <cell r="Y472">
            <v>456</v>
          </cell>
          <cell r="Z472">
            <v>0.16063543222844601</v>
          </cell>
          <cell r="AA472">
            <v>-0.16765319350170746</v>
          </cell>
          <cell r="AB472" t="str">
            <v/>
          </cell>
          <cell r="AC472" t="e">
            <v>#N/A</v>
          </cell>
          <cell r="AD472">
            <v>385</v>
          </cell>
          <cell r="AE472" t="e">
            <v>#N/A</v>
          </cell>
          <cell r="AF472" t="str">
            <v/>
          </cell>
        </row>
        <row r="473">
          <cell r="Y473">
            <v>457</v>
          </cell>
          <cell r="Z473">
            <v>0.41054507903754711</v>
          </cell>
          <cell r="AA473">
            <v>-3.8225153176935443E-2</v>
          </cell>
          <cell r="AB473" t="str">
            <v/>
          </cell>
          <cell r="AC473" t="e">
            <v>#N/A</v>
          </cell>
          <cell r="AD473">
            <v>386</v>
          </cell>
          <cell r="AE473" t="e">
            <v>#N/A</v>
          </cell>
          <cell r="AF473" t="str">
            <v/>
          </cell>
        </row>
        <row r="474">
          <cell r="Y474">
            <v>458</v>
          </cell>
          <cell r="Z474">
            <v>0.12746149860322475</v>
          </cell>
          <cell r="AA474">
            <v>-0.19243707199839935</v>
          </cell>
          <cell r="AB474" t="str">
            <v/>
          </cell>
          <cell r="AC474" t="e">
            <v>#N/A</v>
          </cell>
          <cell r="AD474">
            <v>387</v>
          </cell>
          <cell r="AE474" t="e">
            <v>#N/A</v>
          </cell>
          <cell r="AF474" t="str">
            <v/>
          </cell>
        </row>
        <row r="475">
          <cell r="Y475">
            <v>459</v>
          </cell>
          <cell r="Z475">
            <v>0.64303172938525677</v>
          </cell>
          <cell r="AA475">
            <v>6.1962374939212715E-2</v>
          </cell>
          <cell r="AB475" t="str">
            <v/>
          </cell>
          <cell r="AC475" t="e">
            <v>#N/A</v>
          </cell>
          <cell r="AD475">
            <v>388</v>
          </cell>
          <cell r="AE475" t="e">
            <v>#N/A</v>
          </cell>
          <cell r="AF475" t="str">
            <v/>
          </cell>
        </row>
        <row r="476">
          <cell r="Y476">
            <v>460</v>
          </cell>
          <cell r="Z476">
            <v>0.65326504968106747</v>
          </cell>
          <cell r="AA476">
            <v>6.6623600877348865E-2</v>
          </cell>
          <cell r="AB476" t="str">
            <v/>
          </cell>
          <cell r="AC476" t="e">
            <v>#N/A</v>
          </cell>
          <cell r="AD476">
            <v>389</v>
          </cell>
          <cell r="AE476" t="e">
            <v>#N/A</v>
          </cell>
          <cell r="AF476" t="str">
            <v/>
          </cell>
        </row>
        <row r="477">
          <cell r="Y477">
            <v>461</v>
          </cell>
          <cell r="Z477">
            <v>0.98925632052123547</v>
          </cell>
          <cell r="AA477">
            <v>0.38865427652928353</v>
          </cell>
          <cell r="AB477" t="str">
            <v/>
          </cell>
          <cell r="AC477" t="e">
            <v>#N/A</v>
          </cell>
          <cell r="AD477">
            <v>390</v>
          </cell>
          <cell r="AE477" t="e">
            <v>#N/A</v>
          </cell>
          <cell r="AF477" t="str">
            <v/>
          </cell>
        </row>
        <row r="478">
          <cell r="Y478">
            <v>462</v>
          </cell>
          <cell r="Z478">
            <v>6.5544521436095238E-2</v>
          </cell>
          <cell r="AA478">
            <v>-0.25520636958145076</v>
          </cell>
          <cell r="AB478" t="str">
            <v/>
          </cell>
          <cell r="AC478" t="e">
            <v>#N/A</v>
          </cell>
          <cell r="AD478">
            <v>391</v>
          </cell>
          <cell r="AE478" t="e">
            <v>#N/A</v>
          </cell>
          <cell r="AF478" t="str">
            <v/>
          </cell>
        </row>
        <row r="479">
          <cell r="Y479">
            <v>463</v>
          </cell>
          <cell r="Z479">
            <v>6.6439731046557426E-2</v>
          </cell>
          <cell r="AA479">
            <v>-0.25402687858866141</v>
          </cell>
          <cell r="AB479" t="str">
            <v/>
          </cell>
          <cell r="AC479" t="e">
            <v>#N/A</v>
          </cell>
          <cell r="AD479">
            <v>392</v>
          </cell>
          <cell r="AE479" t="e">
            <v>#N/A</v>
          </cell>
          <cell r="AF479" t="str">
            <v/>
          </cell>
        </row>
        <row r="480">
          <cell r="Y480">
            <v>464</v>
          </cell>
          <cell r="Z480">
            <v>0.17418207786977291</v>
          </cell>
          <cell r="AA480">
            <v>-0.15851155654283161</v>
          </cell>
          <cell r="AB480" t="str">
            <v/>
          </cell>
          <cell r="AC480" t="e">
            <v>#N/A</v>
          </cell>
          <cell r="AD480">
            <v>393</v>
          </cell>
          <cell r="AE480" t="e">
            <v>#N/A</v>
          </cell>
          <cell r="AF480" t="str">
            <v/>
          </cell>
        </row>
        <row r="481">
          <cell r="Y481">
            <v>465</v>
          </cell>
          <cell r="Z481">
            <v>4.3064741417765617E-2</v>
          </cell>
          <cell r="AA481">
            <v>-0.29008701448729274</v>
          </cell>
          <cell r="AB481" t="str">
            <v/>
          </cell>
          <cell r="AC481" t="e">
            <v>#N/A</v>
          </cell>
          <cell r="AD481">
            <v>394</v>
          </cell>
          <cell r="AE481" t="e">
            <v>#N/A</v>
          </cell>
          <cell r="AF481" t="str">
            <v/>
          </cell>
        </row>
        <row r="482">
          <cell r="Y482">
            <v>466</v>
          </cell>
          <cell r="Z482">
            <v>0.97401929460465908</v>
          </cell>
          <cell r="AA482">
            <v>0.32850356769775518</v>
          </cell>
          <cell r="AB482" t="str">
            <v/>
          </cell>
          <cell r="AC482" t="e">
            <v>#N/A</v>
          </cell>
          <cell r="AD482">
            <v>395</v>
          </cell>
          <cell r="AE482" t="e">
            <v>#N/A</v>
          </cell>
          <cell r="AF482" t="str">
            <v/>
          </cell>
        </row>
        <row r="483">
          <cell r="Y483">
            <v>467</v>
          </cell>
          <cell r="Z483">
            <v>0.60829742066562176</v>
          </cell>
          <cell r="AA483">
            <v>4.6463920715875941E-2</v>
          </cell>
          <cell r="AB483" t="str">
            <v/>
          </cell>
          <cell r="AC483" t="e">
            <v>#N/A</v>
          </cell>
          <cell r="AD483">
            <v>396</v>
          </cell>
          <cell r="AE483" t="e">
            <v>#N/A</v>
          </cell>
          <cell r="AF483" t="str">
            <v/>
          </cell>
        </row>
        <row r="484">
          <cell r="Y484">
            <v>468</v>
          </cell>
          <cell r="Z484">
            <v>0.11452268622815609</v>
          </cell>
          <cell r="AA484">
            <v>-0.20331395500179916</v>
          </cell>
          <cell r="AB484" t="str">
            <v/>
          </cell>
          <cell r="AC484" t="e">
            <v>#N/A</v>
          </cell>
          <cell r="AD484">
            <v>397</v>
          </cell>
          <cell r="AE484" t="e">
            <v>#N/A</v>
          </cell>
          <cell r="AF484" t="str">
            <v/>
          </cell>
        </row>
        <row r="485">
          <cell r="Y485">
            <v>469</v>
          </cell>
          <cell r="Z485">
            <v>0.35107648186385632</v>
          </cell>
          <cell r="AA485">
            <v>-6.4640070127798058E-2</v>
          </cell>
          <cell r="AB485" t="str">
            <v/>
          </cell>
          <cell r="AC485" t="e">
            <v>#N/A</v>
          </cell>
          <cell r="AD485">
            <v>398</v>
          </cell>
          <cell r="AE485" t="e">
            <v>#N/A</v>
          </cell>
          <cell r="AF485" t="str">
            <v/>
          </cell>
        </row>
        <row r="486">
          <cell r="Y486">
            <v>470</v>
          </cell>
          <cell r="Z486">
            <v>0.38263282738626003</v>
          </cell>
          <cell r="AA486">
            <v>-5.0468095734139615E-2</v>
          </cell>
          <cell r="AB486" t="str">
            <v/>
          </cell>
          <cell r="AC486" t="e">
            <v>#N/A</v>
          </cell>
          <cell r="AD486">
            <v>399</v>
          </cell>
          <cell r="AE486" t="e">
            <v>#N/A</v>
          </cell>
          <cell r="AF486" t="str">
            <v/>
          </cell>
        </row>
        <row r="487">
          <cell r="Y487">
            <v>471</v>
          </cell>
          <cell r="Z487">
            <v>0.24808935634791851</v>
          </cell>
          <cell r="AA487">
            <v>-0.11502795332227796</v>
          </cell>
          <cell r="AB487" t="str">
            <v/>
          </cell>
          <cell r="AC487" t="e">
            <v>#N/A</v>
          </cell>
          <cell r="AD487">
            <v>400</v>
          </cell>
          <cell r="AE487" t="e">
            <v>#N/A</v>
          </cell>
          <cell r="AF487" t="str">
            <v/>
          </cell>
        </row>
        <row r="488">
          <cell r="Y488">
            <v>472</v>
          </cell>
          <cell r="Z488">
            <v>0.78864081762731075</v>
          </cell>
          <cell r="AA488">
            <v>0.13551441447508442</v>
          </cell>
          <cell r="AB488" t="str">
            <v/>
          </cell>
          <cell r="AC488" t="e">
            <v>#N/A</v>
          </cell>
          <cell r="AD488">
            <v>401</v>
          </cell>
          <cell r="AE488" t="e">
            <v>#N/A</v>
          </cell>
          <cell r="AF488" t="str">
            <v/>
          </cell>
        </row>
        <row r="489">
          <cell r="Y489">
            <v>473</v>
          </cell>
          <cell r="Z489">
            <v>0.42860373668372631</v>
          </cell>
          <cell r="AA489">
            <v>-3.0413731686509196E-2</v>
          </cell>
          <cell r="AB489" t="str">
            <v/>
          </cell>
          <cell r="AC489" t="e">
            <v>#N/A</v>
          </cell>
          <cell r="AD489">
            <v>402</v>
          </cell>
          <cell r="AE489" t="e">
            <v>#N/A</v>
          </cell>
          <cell r="AF489" t="str">
            <v/>
          </cell>
        </row>
        <row r="490">
          <cell r="Y490">
            <v>474</v>
          </cell>
          <cell r="Z490">
            <v>0.93868583999574184</v>
          </cell>
          <cell r="AA490">
            <v>0.26095573678081296</v>
          </cell>
          <cell r="AB490" t="str">
            <v/>
          </cell>
          <cell r="AC490" t="e">
            <v>#N/A</v>
          </cell>
          <cell r="AD490">
            <v>403</v>
          </cell>
          <cell r="AE490" t="e">
            <v>#N/A</v>
          </cell>
          <cell r="AF490" t="str">
            <v/>
          </cell>
        </row>
        <row r="491">
          <cell r="Y491">
            <v>475</v>
          </cell>
          <cell r="Z491">
            <v>0.60287333838641644</v>
          </cell>
          <cell r="AA491">
            <v>4.4081804008598957E-2</v>
          </cell>
          <cell r="AB491" t="str">
            <v/>
          </cell>
          <cell r="AC491" t="e">
            <v>#N/A</v>
          </cell>
          <cell r="AD491">
            <v>404</v>
          </cell>
          <cell r="AE491" t="e">
            <v>#N/A</v>
          </cell>
          <cell r="AF491" t="str">
            <v/>
          </cell>
        </row>
        <row r="492">
          <cell r="Y492">
            <v>476</v>
          </cell>
          <cell r="Z492">
            <v>0.22121756337583065</v>
          </cell>
          <cell r="AA492">
            <v>-0.12983050532682266</v>
          </cell>
          <cell r="AB492" t="str">
            <v/>
          </cell>
          <cell r="AC492" t="e">
            <v>#N/A</v>
          </cell>
          <cell r="AD492">
            <v>405</v>
          </cell>
          <cell r="AE492" t="e">
            <v>#N/A</v>
          </cell>
          <cell r="AF492" t="str">
            <v/>
          </cell>
        </row>
        <row r="493">
          <cell r="Y493">
            <v>477</v>
          </cell>
          <cell r="Z493">
            <v>0.50958663038909435</v>
          </cell>
          <cell r="AA493">
            <v>4.0622224218511771E-3</v>
          </cell>
          <cell r="AB493" t="str">
            <v/>
          </cell>
          <cell r="AC493" t="e">
            <v>#N/A</v>
          </cell>
          <cell r="AD493">
            <v>406</v>
          </cell>
          <cell r="AE493" t="e">
            <v>#N/A</v>
          </cell>
          <cell r="AF493" t="str">
            <v/>
          </cell>
        </row>
        <row r="494">
          <cell r="Y494">
            <v>478</v>
          </cell>
          <cell r="Z494">
            <v>0.92851713858544827</v>
          </cell>
          <cell r="AA494">
            <v>0.2476024412205674</v>
          </cell>
          <cell r="AB494" t="str">
            <v/>
          </cell>
          <cell r="AC494" t="e">
            <v>#N/A</v>
          </cell>
          <cell r="AD494">
            <v>407</v>
          </cell>
          <cell r="AE494" t="e">
            <v>#N/A</v>
          </cell>
          <cell r="AF494" t="str">
            <v/>
          </cell>
        </row>
        <row r="495">
          <cell r="Y495">
            <v>479</v>
          </cell>
          <cell r="Z495">
            <v>0.45657728426158428</v>
          </cell>
          <cell r="AA495">
            <v>-1.8434575451563073E-2</v>
          </cell>
          <cell r="AB495" t="str">
            <v/>
          </cell>
          <cell r="AC495" t="e">
            <v>#N/A</v>
          </cell>
          <cell r="AD495">
            <v>408</v>
          </cell>
          <cell r="AE495" t="e">
            <v>#N/A</v>
          </cell>
          <cell r="AF495" t="str">
            <v/>
          </cell>
        </row>
        <row r="496">
          <cell r="Y496">
            <v>480</v>
          </cell>
          <cell r="Z496">
            <v>0.77812053821980953</v>
          </cell>
          <cell r="AA496">
            <v>0.12945416211627517</v>
          </cell>
          <cell r="AB496" t="str">
            <v/>
          </cell>
          <cell r="AC496" t="e">
            <v>#N/A</v>
          </cell>
          <cell r="AD496">
            <v>409</v>
          </cell>
          <cell r="AE496" t="e">
            <v>#N/A</v>
          </cell>
          <cell r="AF496" t="str">
            <v/>
          </cell>
        </row>
        <row r="497">
          <cell r="Y497">
            <v>481</v>
          </cell>
          <cell r="Z497">
            <v>0.49776509217917919</v>
          </cell>
          <cell r="AA497">
            <v>-9.4692983235248316E-4</v>
          </cell>
          <cell r="AB497" t="str">
            <v/>
          </cell>
          <cell r="AC497" t="e">
            <v>#N/A</v>
          </cell>
          <cell r="AD497">
            <v>410</v>
          </cell>
          <cell r="AE497" t="e">
            <v>#N/A</v>
          </cell>
          <cell r="AF497" t="str">
            <v/>
          </cell>
        </row>
        <row r="498">
          <cell r="Y498">
            <v>482</v>
          </cell>
          <cell r="Z498">
            <v>0.39273799024522305</v>
          </cell>
          <cell r="AA498">
            <v>-4.6008496331732589E-2</v>
          </cell>
          <cell r="AB498" t="str">
            <v/>
          </cell>
          <cell r="AC498" t="e">
            <v>#N/A</v>
          </cell>
          <cell r="AD498">
            <v>411</v>
          </cell>
          <cell r="AE498" t="e">
            <v>#N/A</v>
          </cell>
          <cell r="AF498" t="str">
            <v/>
          </cell>
        </row>
        <row r="499">
          <cell r="Y499">
            <v>483</v>
          </cell>
          <cell r="Z499">
            <v>8.0461036413908005E-3</v>
          </cell>
          <cell r="AA499">
            <v>-0.40682641768056399</v>
          </cell>
          <cell r="AB499" t="str">
            <v/>
          </cell>
          <cell r="AC499" t="e">
            <v>#N/A</v>
          </cell>
          <cell r="AD499">
            <v>412</v>
          </cell>
          <cell r="AE499" t="e">
            <v>#N/A</v>
          </cell>
          <cell r="AF499" t="str">
            <v/>
          </cell>
        </row>
        <row r="500">
          <cell r="Y500">
            <v>484</v>
          </cell>
          <cell r="Z500">
            <v>0.14101325534284115</v>
          </cell>
          <cell r="AA500">
            <v>-0.18183968698784256</v>
          </cell>
          <cell r="AB500" t="str">
            <v/>
          </cell>
          <cell r="AC500" t="e">
            <v>#N/A</v>
          </cell>
          <cell r="AD500">
            <v>413</v>
          </cell>
          <cell r="AE500" t="e">
            <v>#N/A</v>
          </cell>
          <cell r="AF500" t="str">
            <v/>
          </cell>
        </row>
        <row r="501">
          <cell r="Y501">
            <v>485</v>
          </cell>
          <cell r="Z501">
            <v>0.38660073094069958</v>
          </cell>
          <cell r="AA501">
            <v>-4.8712965863617716E-2</v>
          </cell>
          <cell r="AB501" t="str">
            <v/>
          </cell>
          <cell r="AC501" t="e">
            <v>#N/A</v>
          </cell>
          <cell r="AD501">
            <v>414</v>
          </cell>
          <cell r="AE501" t="e">
            <v>#N/A</v>
          </cell>
          <cell r="AF501" t="str">
            <v/>
          </cell>
        </row>
        <row r="502">
          <cell r="Y502">
            <v>486</v>
          </cell>
          <cell r="Z502">
            <v>0.33521649800240993</v>
          </cell>
          <cell r="AA502">
            <v>-7.193172443168809E-2</v>
          </cell>
          <cell r="AB502" t="str">
            <v/>
          </cell>
          <cell r="AC502" t="e">
            <v>#N/A</v>
          </cell>
          <cell r="AD502">
            <v>415</v>
          </cell>
          <cell r="AE502" t="e">
            <v>#N/A</v>
          </cell>
          <cell r="AF502" t="str">
            <v/>
          </cell>
        </row>
        <row r="503">
          <cell r="Y503">
            <v>487</v>
          </cell>
          <cell r="Z503">
            <v>0.33783857338130474</v>
          </cell>
          <cell r="AA503">
            <v>-7.0717314655497979E-2</v>
          </cell>
          <cell r="AB503" t="str">
            <v/>
          </cell>
          <cell r="AC503" t="e">
            <v>#N/A</v>
          </cell>
          <cell r="AD503">
            <v>416</v>
          </cell>
          <cell r="AE503" t="e">
            <v>#N/A</v>
          </cell>
          <cell r="AF503" t="str">
            <v/>
          </cell>
        </row>
        <row r="504">
          <cell r="Y504">
            <v>488</v>
          </cell>
          <cell r="Z504">
            <v>0.12571450136601925</v>
          </cell>
          <cell r="AA504">
            <v>-0.19385900888584653</v>
          </cell>
          <cell r="AB504" t="str">
            <v/>
          </cell>
          <cell r="AC504" t="e">
            <v>#N/A</v>
          </cell>
          <cell r="AD504">
            <v>417</v>
          </cell>
          <cell r="AE504" t="e">
            <v>#N/A</v>
          </cell>
          <cell r="AF504" t="str">
            <v/>
          </cell>
        </row>
        <row r="505">
          <cell r="Y505">
            <v>489</v>
          </cell>
          <cell r="Z505">
            <v>0.64794871024787426</v>
          </cell>
          <cell r="AA505">
            <v>6.4195936914286975E-2</v>
          </cell>
          <cell r="AB505" t="str">
            <v/>
          </cell>
          <cell r="AC505" t="e">
            <v>#N/A</v>
          </cell>
          <cell r="AD505">
            <v>418</v>
          </cell>
          <cell r="AE505" t="e">
            <v>#N/A</v>
          </cell>
          <cell r="AF505" t="str">
            <v/>
          </cell>
        </row>
        <row r="506">
          <cell r="Y506">
            <v>490</v>
          </cell>
          <cell r="Z506">
            <v>0.52581197582185268</v>
          </cell>
          <cell r="AA506">
            <v>1.094411150803706E-2</v>
          </cell>
          <cell r="AB506" t="str">
            <v/>
          </cell>
          <cell r="AC506" t="e">
            <v>#N/A</v>
          </cell>
          <cell r="AD506">
            <v>419</v>
          </cell>
          <cell r="AE506" t="e">
            <v>#N/A</v>
          </cell>
          <cell r="AF506" t="str">
            <v/>
          </cell>
        </row>
        <row r="507">
          <cell r="Y507">
            <v>491</v>
          </cell>
          <cell r="Z507">
            <v>0.59377421252429485</v>
          </cell>
          <cell r="AA507">
            <v>4.0105025952743491E-2</v>
          </cell>
          <cell r="AB507" t="str">
            <v/>
          </cell>
          <cell r="AC507" t="e">
            <v>#N/A</v>
          </cell>
          <cell r="AD507">
            <v>420</v>
          </cell>
          <cell r="AE507" t="e">
            <v>#N/A</v>
          </cell>
          <cell r="AF507" t="str">
            <v/>
          </cell>
        </row>
        <row r="508">
          <cell r="Y508">
            <v>492</v>
          </cell>
          <cell r="Z508">
            <v>0.84430771134793758</v>
          </cell>
          <cell r="AA508">
            <v>0.17111348709679569</v>
          </cell>
          <cell r="AB508" t="str">
            <v/>
          </cell>
          <cell r="AC508" t="e">
            <v>#N/A</v>
          </cell>
          <cell r="AD508">
            <v>421</v>
          </cell>
          <cell r="AE508" t="e">
            <v>#N/A</v>
          </cell>
          <cell r="AF508" t="str">
            <v/>
          </cell>
        </row>
        <row r="509">
          <cell r="Y509">
            <v>493</v>
          </cell>
          <cell r="Z509">
            <v>8.9479623362421989E-2</v>
          </cell>
          <cell r="AA509">
            <v>-0.22717178718334913</v>
          </cell>
          <cell r="AB509" t="str">
            <v/>
          </cell>
          <cell r="AC509" t="e">
            <v>#N/A</v>
          </cell>
          <cell r="AD509">
            <v>422</v>
          </cell>
          <cell r="AE509" t="e">
            <v>#N/A</v>
          </cell>
          <cell r="AF509" t="str">
            <v/>
          </cell>
        </row>
        <row r="510">
          <cell r="Y510">
            <v>494</v>
          </cell>
          <cell r="Z510">
            <v>0.39685932360589504</v>
          </cell>
          <cell r="AA510">
            <v>-4.4199003189921253E-2</v>
          </cell>
          <cell r="AB510" t="str">
            <v/>
          </cell>
          <cell r="AC510" t="e">
            <v>#N/A</v>
          </cell>
          <cell r="AD510">
            <v>423</v>
          </cell>
          <cell r="AE510" t="e">
            <v>#N/A</v>
          </cell>
          <cell r="AF510" t="str">
            <v/>
          </cell>
        </row>
        <row r="511">
          <cell r="Y511">
            <v>495</v>
          </cell>
          <cell r="Z511">
            <v>0.39523015730082989</v>
          </cell>
          <cell r="AA511">
            <v>-4.4913680461362605E-2</v>
          </cell>
          <cell r="AB511" t="str">
            <v/>
          </cell>
          <cell r="AC511" t="e">
            <v>#N/A</v>
          </cell>
          <cell r="AD511">
            <v>424</v>
          </cell>
          <cell r="AE511" t="e">
            <v>#N/A</v>
          </cell>
          <cell r="AF511" t="str">
            <v/>
          </cell>
        </row>
        <row r="512">
          <cell r="Y512">
            <v>496</v>
          </cell>
          <cell r="Z512">
            <v>0.7110003437846899</v>
          </cell>
          <cell r="AA512">
            <v>9.4033463596018024E-2</v>
          </cell>
          <cell r="AB512" t="str">
            <v/>
          </cell>
          <cell r="AC512" t="e">
            <v>#N/A</v>
          </cell>
          <cell r="AD512">
            <v>425</v>
          </cell>
          <cell r="AE512" t="e">
            <v>#N/A</v>
          </cell>
          <cell r="AF512" t="str">
            <v/>
          </cell>
        </row>
        <row r="513">
          <cell r="Y513">
            <v>497</v>
          </cell>
          <cell r="Z513">
            <v>0.68085136823356152</v>
          </cell>
          <cell r="AA513">
            <v>7.9458164147421725E-2</v>
          </cell>
          <cell r="AB513" t="str">
            <v/>
          </cell>
          <cell r="AC513" t="e">
            <v>#N/A</v>
          </cell>
          <cell r="AD513">
            <v>426</v>
          </cell>
          <cell r="AE513" t="e">
            <v>#N/A</v>
          </cell>
          <cell r="AF513" t="str">
            <v/>
          </cell>
        </row>
        <row r="514">
          <cell r="Y514">
            <v>498</v>
          </cell>
          <cell r="Z514">
            <v>0.53340340219438076</v>
          </cell>
          <cell r="AA514">
            <v>1.4169516041654196E-2</v>
          </cell>
          <cell r="AB514" t="str">
            <v/>
          </cell>
          <cell r="AC514" t="e">
            <v>#N/A</v>
          </cell>
          <cell r="AD514">
            <v>427</v>
          </cell>
          <cell r="AE514" t="e">
            <v>#N/A</v>
          </cell>
          <cell r="AF514" t="str">
            <v/>
          </cell>
        </row>
        <row r="515">
          <cell r="Y515">
            <v>499</v>
          </cell>
          <cell r="Z515">
            <v>0.95618803612887859</v>
          </cell>
          <cell r="AA515">
            <v>0.28871600345132237</v>
          </cell>
          <cell r="AB515" t="str">
            <v/>
          </cell>
          <cell r="AC515" t="e">
            <v>#N/A</v>
          </cell>
          <cell r="AD515">
            <v>428</v>
          </cell>
          <cell r="AE515" t="e">
            <v>#N/A</v>
          </cell>
          <cell r="AF515" t="str">
            <v/>
          </cell>
        </row>
        <row r="516">
          <cell r="Y516">
            <v>500</v>
          </cell>
          <cell r="Z516">
            <v>0.79173325560986996</v>
          </cell>
          <cell r="AA516">
            <v>0.13732910808639387</v>
          </cell>
          <cell r="AB516" t="str">
            <v/>
          </cell>
          <cell r="AC516" t="e">
            <v>#N/A</v>
          </cell>
          <cell r="AD516">
            <v>429</v>
          </cell>
          <cell r="AE516" t="e">
            <v>#N/A</v>
          </cell>
          <cell r="AF516" t="str">
            <v/>
          </cell>
        </row>
        <row r="517">
          <cell r="Y517">
            <v>501</v>
          </cell>
          <cell r="Z517">
            <v>0.84863102249801159</v>
          </cell>
          <cell r="AA517">
            <v>0.17419976534319093</v>
          </cell>
          <cell r="AB517" t="str">
            <v/>
          </cell>
          <cell r="AC517" t="e">
            <v>#N/A</v>
          </cell>
          <cell r="AD517">
            <v>430</v>
          </cell>
          <cell r="AE517" t="e">
            <v>#N/A</v>
          </cell>
          <cell r="AF517" t="str">
            <v/>
          </cell>
        </row>
        <row r="518">
          <cell r="Y518">
            <v>502</v>
          </cell>
          <cell r="Z518">
            <v>0.25718340836465359</v>
          </cell>
          <cell r="AA518">
            <v>-0.11021711687904844</v>
          </cell>
          <cell r="AB518" t="str">
            <v/>
          </cell>
          <cell r="AC518" t="e">
            <v>#N/A</v>
          </cell>
          <cell r="AD518">
            <v>431</v>
          </cell>
          <cell r="AE518" t="e">
            <v>#N/A</v>
          </cell>
          <cell r="AF518" t="str">
            <v/>
          </cell>
        </row>
        <row r="519">
          <cell r="Y519">
            <v>503</v>
          </cell>
          <cell r="Z519">
            <v>0.42703084461390972</v>
          </cell>
          <cell r="AA519">
            <v>-3.1091283806102064E-2</v>
          </cell>
          <cell r="AB519" t="str">
            <v/>
          </cell>
          <cell r="AC519" t="e">
            <v>#N/A</v>
          </cell>
          <cell r="AD519">
            <v>432</v>
          </cell>
          <cell r="AE519" t="e">
            <v>#N/A</v>
          </cell>
          <cell r="AF519" t="str">
            <v/>
          </cell>
        </row>
        <row r="520">
          <cell r="Y520">
            <v>504</v>
          </cell>
          <cell r="Z520">
            <v>0.9975400771945715</v>
          </cell>
          <cell r="AA520">
            <v>0.4753545726874589</v>
          </cell>
          <cell r="AB520" t="str">
            <v/>
          </cell>
          <cell r="AC520" t="e">
            <v>#N/A</v>
          </cell>
          <cell r="AD520">
            <v>433</v>
          </cell>
          <cell r="AE520" t="e">
            <v>#N/A</v>
          </cell>
          <cell r="AF520" t="str">
            <v/>
          </cell>
        </row>
        <row r="521">
          <cell r="Y521">
            <v>505</v>
          </cell>
          <cell r="Z521">
            <v>0.73996671847999096</v>
          </cell>
          <cell r="AA521">
            <v>0.10872787847339255</v>
          </cell>
          <cell r="AB521" t="str">
            <v/>
          </cell>
          <cell r="AC521" t="e">
            <v>#N/A</v>
          </cell>
          <cell r="AD521">
            <v>434</v>
          </cell>
          <cell r="AE521" t="e">
            <v>#N/A</v>
          </cell>
          <cell r="AF521" t="str">
            <v/>
          </cell>
        </row>
        <row r="522">
          <cell r="Y522">
            <v>506</v>
          </cell>
          <cell r="Z522">
            <v>0.80436724983155727</v>
          </cell>
          <cell r="AA522">
            <v>0.14491431170438193</v>
          </cell>
          <cell r="AB522" t="str">
            <v/>
          </cell>
          <cell r="AC522" t="e">
            <v>#N/A</v>
          </cell>
          <cell r="AD522">
            <v>435</v>
          </cell>
          <cell r="AE522" t="e">
            <v>#N/A</v>
          </cell>
          <cell r="AF522" t="str">
            <v/>
          </cell>
        </row>
        <row r="523">
          <cell r="Y523">
            <v>507</v>
          </cell>
          <cell r="Z523">
            <v>0.95508982054889202</v>
          </cell>
          <cell r="AA523">
            <v>0.2867348211680853</v>
          </cell>
          <cell r="AB523" t="str">
            <v/>
          </cell>
          <cell r="AC523" t="e">
            <v>#N/A</v>
          </cell>
          <cell r="AD523">
            <v>436</v>
          </cell>
          <cell r="AE523" t="e">
            <v>#N/A</v>
          </cell>
          <cell r="AF523" t="str">
            <v/>
          </cell>
        </row>
        <row r="524">
          <cell r="Y524">
            <v>508</v>
          </cell>
          <cell r="Z524">
            <v>0.62165658734738827</v>
          </cell>
          <cell r="AA524">
            <v>5.2371586787346693E-2</v>
          </cell>
          <cell r="AB524" t="str">
            <v/>
          </cell>
          <cell r="AC524" t="e">
            <v>#N/A</v>
          </cell>
          <cell r="AD524">
            <v>437</v>
          </cell>
          <cell r="AE524" t="e">
            <v>#N/A</v>
          </cell>
          <cell r="AF524" t="str">
            <v/>
          </cell>
        </row>
        <row r="525">
          <cell r="Y525">
            <v>509</v>
          </cell>
          <cell r="Z525">
            <v>0.95500951819121838</v>
          </cell>
          <cell r="AA525">
            <v>0.28659149265005041</v>
          </cell>
          <cell r="AB525" t="str">
            <v/>
          </cell>
          <cell r="AC525" t="e">
            <v>#N/A</v>
          </cell>
          <cell r="AD525">
            <v>438</v>
          </cell>
          <cell r="AE525" t="e">
            <v>#N/A</v>
          </cell>
          <cell r="AF525" t="str">
            <v/>
          </cell>
        </row>
        <row r="526">
          <cell r="Y526">
            <v>510</v>
          </cell>
          <cell r="Z526">
            <v>0.59703592024743557</v>
          </cell>
          <cell r="AA526">
            <v>4.1527891586899818E-2</v>
          </cell>
          <cell r="AB526" t="str">
            <v/>
          </cell>
          <cell r="AC526" t="e">
            <v>#N/A</v>
          </cell>
          <cell r="AD526">
            <v>439</v>
          </cell>
          <cell r="AE526" t="e">
            <v>#N/A</v>
          </cell>
          <cell r="AF526" t="str">
            <v/>
          </cell>
        </row>
        <row r="527">
          <cell r="Y527">
            <v>511</v>
          </cell>
          <cell r="Z527">
            <v>0.96394131891429424</v>
          </cell>
          <cell r="AA527">
            <v>0.30398111229128644</v>
          </cell>
          <cell r="AB527" t="str">
            <v/>
          </cell>
          <cell r="AC527" t="e">
            <v>#N/A</v>
          </cell>
          <cell r="AD527">
            <v>440</v>
          </cell>
          <cell r="AE527" t="e">
            <v>#N/A</v>
          </cell>
          <cell r="AF527" t="str">
            <v/>
          </cell>
        </row>
        <row r="528">
          <cell r="Y528">
            <v>512</v>
          </cell>
          <cell r="Z528">
            <v>0.72038008831441402</v>
          </cell>
          <cell r="AA528">
            <v>9.8709115006123754E-2</v>
          </cell>
          <cell r="AB528" t="str">
            <v/>
          </cell>
          <cell r="AC528" t="e">
            <v>#N/A</v>
          </cell>
          <cell r="AD528">
            <v>441</v>
          </cell>
          <cell r="AE528" t="e">
            <v>#N/A</v>
          </cell>
          <cell r="AF528" t="str">
            <v/>
          </cell>
        </row>
        <row r="529">
          <cell r="Y529">
            <v>513</v>
          </cell>
          <cell r="Z529">
            <v>0.24808528833091259</v>
          </cell>
          <cell r="AA529">
            <v>-0.1150301260308097</v>
          </cell>
          <cell r="AB529" t="str">
            <v/>
          </cell>
          <cell r="AC529" t="e">
            <v>#N/A</v>
          </cell>
          <cell r="AD529">
            <v>442</v>
          </cell>
          <cell r="AE529" t="e">
            <v>#N/A</v>
          </cell>
          <cell r="AF529" t="str">
            <v/>
          </cell>
        </row>
        <row r="530">
          <cell r="Y530">
            <v>514</v>
          </cell>
          <cell r="Z530">
            <v>0.10841787420213223</v>
          </cell>
          <cell r="AA530">
            <v>-0.20875071911877852</v>
          </cell>
          <cell r="AB530" t="str">
            <v/>
          </cell>
          <cell r="AC530" t="e">
            <v>#N/A</v>
          </cell>
          <cell r="AD530">
            <v>443</v>
          </cell>
          <cell r="AE530" t="e">
            <v>#N/A</v>
          </cell>
          <cell r="AF530" t="str">
            <v/>
          </cell>
        </row>
        <row r="531">
          <cell r="Y531">
            <v>515</v>
          </cell>
          <cell r="Z531">
            <v>0.15145368687808514</v>
          </cell>
          <cell r="AA531">
            <v>-0.17413873616787043</v>
          </cell>
          <cell r="AB531" t="str">
            <v/>
          </cell>
          <cell r="AC531" t="e">
            <v>#N/A</v>
          </cell>
          <cell r="AD531">
            <v>444</v>
          </cell>
          <cell r="AE531" t="e">
            <v>#N/A</v>
          </cell>
          <cell r="AF531" t="str">
            <v/>
          </cell>
        </row>
        <row r="532">
          <cell r="Y532">
            <v>516</v>
          </cell>
          <cell r="Z532">
            <v>0.83767878077924252</v>
          </cell>
          <cell r="AA532">
            <v>0.16648906771518895</v>
          </cell>
          <cell r="AB532" t="str">
            <v/>
          </cell>
          <cell r="AC532" t="e">
            <v>#N/A</v>
          </cell>
          <cell r="AD532">
            <v>445</v>
          </cell>
          <cell r="AE532" t="e">
            <v>#N/A</v>
          </cell>
          <cell r="AF532" t="str">
            <v/>
          </cell>
        </row>
        <row r="533">
          <cell r="Y533">
            <v>517</v>
          </cell>
          <cell r="Z533">
            <v>0.69761657528579235</v>
          </cell>
          <cell r="AA533">
            <v>8.7483231010443183E-2</v>
          </cell>
          <cell r="AB533" t="str">
            <v/>
          </cell>
          <cell r="AC533" t="e">
            <v>#N/A</v>
          </cell>
          <cell r="AD533">
            <v>446</v>
          </cell>
          <cell r="AE533" t="e">
            <v>#N/A</v>
          </cell>
          <cell r="AF533" t="str">
            <v/>
          </cell>
        </row>
        <row r="534">
          <cell r="Y534">
            <v>518</v>
          </cell>
          <cell r="Z534">
            <v>0.82187340222299099</v>
          </cell>
          <cell r="AA534">
            <v>0.15593570472366558</v>
          </cell>
          <cell r="AB534" t="str">
            <v/>
          </cell>
          <cell r="AC534" t="e">
            <v>#N/A</v>
          </cell>
          <cell r="AD534">
            <v>447</v>
          </cell>
          <cell r="AE534" t="e">
            <v>#N/A</v>
          </cell>
          <cell r="AF534" t="str">
            <v/>
          </cell>
        </row>
        <row r="535">
          <cell r="Y535">
            <v>519</v>
          </cell>
          <cell r="Z535">
            <v>0.70658413879573345</v>
          </cell>
          <cell r="AA535">
            <v>9.1856939325937914E-2</v>
          </cell>
          <cell r="AB535" t="str">
            <v/>
          </cell>
          <cell r="AC535" t="e">
            <v>#N/A</v>
          </cell>
          <cell r="AD535">
            <v>448</v>
          </cell>
          <cell r="AE535" t="e">
            <v>#N/A</v>
          </cell>
          <cell r="AF535" t="str">
            <v/>
          </cell>
        </row>
        <row r="536">
          <cell r="Y536">
            <v>520</v>
          </cell>
          <cell r="Z536">
            <v>0.57355113886296749</v>
          </cell>
          <cell r="AA536">
            <v>3.1342109960207282E-2</v>
          </cell>
          <cell r="AB536" t="str">
            <v/>
          </cell>
          <cell r="AC536" t="e">
            <v>#N/A</v>
          </cell>
          <cell r="AD536">
            <v>449</v>
          </cell>
          <cell r="AE536" t="e">
            <v>#N/A</v>
          </cell>
          <cell r="AF536" t="str">
            <v/>
          </cell>
        </row>
        <row r="537">
          <cell r="Y537">
            <v>521</v>
          </cell>
          <cell r="Z537">
            <v>0.84479448013007641</v>
          </cell>
          <cell r="AA537">
            <v>0.17145812116951537</v>
          </cell>
          <cell r="AB537" t="str">
            <v/>
          </cell>
          <cell r="AC537" t="e">
            <v>#N/A</v>
          </cell>
          <cell r="AD537">
            <v>450</v>
          </cell>
          <cell r="AE537" t="e">
            <v>#N/A</v>
          </cell>
          <cell r="AF537" t="str">
            <v/>
          </cell>
        </row>
        <row r="538">
          <cell r="Y538">
            <v>522</v>
          </cell>
          <cell r="Z538">
            <v>0.78362900577485561</v>
          </cell>
          <cell r="AA538">
            <v>0.13260608396753779</v>
          </cell>
          <cell r="AB538" t="str">
            <v/>
          </cell>
          <cell r="AC538" t="e">
            <v>#N/A</v>
          </cell>
          <cell r="AD538">
            <v>451</v>
          </cell>
          <cell r="AE538" t="e">
            <v>#N/A</v>
          </cell>
          <cell r="AF538" t="str">
            <v/>
          </cell>
        </row>
        <row r="539">
          <cell r="Y539">
            <v>523</v>
          </cell>
          <cell r="Z539">
            <v>0.24492563121020794</v>
          </cell>
          <cell r="AA539">
            <v>-0.11672347857437737</v>
          </cell>
          <cell r="AB539" t="str">
            <v/>
          </cell>
          <cell r="AC539" t="e">
            <v>#N/A</v>
          </cell>
          <cell r="AD539">
            <v>452</v>
          </cell>
          <cell r="AE539" t="e">
            <v>#N/A</v>
          </cell>
          <cell r="AF539" t="str">
            <v/>
          </cell>
        </row>
        <row r="540">
          <cell r="Y540">
            <v>524</v>
          </cell>
          <cell r="Z540">
            <v>0.4961352851241827</v>
          </cell>
          <cell r="AA540">
            <v>-1.6374956832224477E-3</v>
          </cell>
          <cell r="AB540" t="str">
            <v/>
          </cell>
          <cell r="AC540" t="e">
            <v>#N/A</v>
          </cell>
          <cell r="AD540">
            <v>453</v>
          </cell>
          <cell r="AE540" t="e">
            <v>#N/A</v>
          </cell>
          <cell r="AF540" t="str">
            <v/>
          </cell>
        </row>
        <row r="541">
          <cell r="Y541">
            <v>525</v>
          </cell>
          <cell r="Z541">
            <v>0.30100053362548351</v>
          </cell>
          <cell r="AA541">
            <v>-8.8153821194591683E-2</v>
          </cell>
          <cell r="AB541" t="str">
            <v/>
          </cell>
          <cell r="AC541" t="e">
            <v>#N/A</v>
          </cell>
          <cell r="AD541">
            <v>454</v>
          </cell>
          <cell r="AE541" t="e">
            <v>#N/A</v>
          </cell>
          <cell r="AF541" t="str">
            <v/>
          </cell>
        </row>
        <row r="542">
          <cell r="Y542">
            <v>526</v>
          </cell>
          <cell r="Z542">
            <v>0.24926177226006985</v>
          </cell>
          <cell r="AA542">
            <v>-0.11440256084281117</v>
          </cell>
          <cell r="AB542" t="str">
            <v/>
          </cell>
          <cell r="AC542" t="e">
            <v>#N/A</v>
          </cell>
          <cell r="AD542">
            <v>455</v>
          </cell>
          <cell r="AE542" t="e">
            <v>#N/A</v>
          </cell>
          <cell r="AF542" t="str">
            <v/>
          </cell>
        </row>
        <row r="543">
          <cell r="Y543">
            <v>527</v>
          </cell>
          <cell r="Z543">
            <v>0.96300373785197735</v>
          </cell>
          <cell r="AA543">
            <v>0.30200059064869084</v>
          </cell>
          <cell r="AB543" t="str">
            <v/>
          </cell>
          <cell r="AC543" t="e">
            <v>#N/A</v>
          </cell>
          <cell r="AD543">
            <v>456</v>
          </cell>
          <cell r="AE543" t="e">
            <v>#N/A</v>
          </cell>
          <cell r="AF543" t="str">
            <v/>
          </cell>
        </row>
        <row r="544">
          <cell r="Y544">
            <v>528</v>
          </cell>
          <cell r="Z544">
            <v>0.8975683655589819</v>
          </cell>
          <cell r="AA544">
            <v>0.21430020571830527</v>
          </cell>
          <cell r="AB544" t="str">
            <v/>
          </cell>
          <cell r="AC544" t="e">
            <v>#N/A</v>
          </cell>
          <cell r="AD544">
            <v>457</v>
          </cell>
          <cell r="AE544" t="e">
            <v>#N/A</v>
          </cell>
          <cell r="AF544" t="str">
            <v/>
          </cell>
        </row>
        <row r="545">
          <cell r="Y545">
            <v>529</v>
          </cell>
          <cell r="Z545">
            <v>0.32397857122123241</v>
          </cell>
          <cell r="AA545">
            <v>-7.7179824359207852E-2</v>
          </cell>
          <cell r="AB545" t="str">
            <v/>
          </cell>
          <cell r="AC545" t="e">
            <v>#N/A</v>
          </cell>
          <cell r="AD545">
            <v>458</v>
          </cell>
          <cell r="AE545" t="e">
            <v>#N/A</v>
          </cell>
          <cell r="AF545" t="str">
            <v/>
          </cell>
        </row>
        <row r="546">
          <cell r="Y546">
            <v>530</v>
          </cell>
          <cell r="Z546">
            <v>0.92393375001847744</v>
          </cell>
          <cell r="AA546">
            <v>0.24205886544054803</v>
          </cell>
          <cell r="AB546" t="str">
            <v/>
          </cell>
          <cell r="AC546" t="e">
            <v>#N/A</v>
          </cell>
          <cell r="AD546">
            <v>459</v>
          </cell>
          <cell r="AE546" t="e">
            <v>#N/A</v>
          </cell>
          <cell r="AF546" t="str">
            <v/>
          </cell>
        </row>
        <row r="547">
          <cell r="Y547">
            <v>531</v>
          </cell>
          <cell r="Z547">
            <v>0.51132352463901043</v>
          </cell>
          <cell r="AA547">
            <v>4.7983935915951598E-3</v>
          </cell>
          <cell r="AB547" t="str">
            <v/>
          </cell>
          <cell r="AC547" t="e">
            <v>#N/A</v>
          </cell>
          <cell r="AD547">
            <v>460</v>
          </cell>
          <cell r="AE547" t="e">
            <v>#N/A</v>
          </cell>
          <cell r="AF547" t="str">
            <v/>
          </cell>
        </row>
        <row r="548">
          <cell r="Y548">
            <v>532</v>
          </cell>
          <cell r="Z548">
            <v>0.89359592460095882</v>
          </cell>
          <cell r="AA548">
            <v>0.2105922959854063</v>
          </cell>
          <cell r="AB548" t="str">
            <v/>
          </cell>
          <cell r="AC548" t="e">
            <v>#N/A</v>
          </cell>
          <cell r="AD548">
            <v>461</v>
          </cell>
          <cell r="AE548" t="e">
            <v>#N/A</v>
          </cell>
          <cell r="AF548" t="str">
            <v/>
          </cell>
        </row>
        <row r="549">
          <cell r="Y549">
            <v>533</v>
          </cell>
          <cell r="Z549">
            <v>0.86275660805404186</v>
          </cell>
          <cell r="AA549">
            <v>0.18471492698556152</v>
          </cell>
          <cell r="AB549" t="str">
            <v/>
          </cell>
          <cell r="AC549" t="e">
            <v>#N/A</v>
          </cell>
          <cell r="AD549">
            <v>462</v>
          </cell>
          <cell r="AE549" t="e">
            <v>#N/A</v>
          </cell>
          <cell r="AF549" t="str">
            <v/>
          </cell>
        </row>
        <row r="550">
          <cell r="Y550">
            <v>534</v>
          </cell>
          <cell r="Z550">
            <v>0.29637632332742214</v>
          </cell>
          <cell r="AA550">
            <v>-9.0406380038832418E-2</v>
          </cell>
          <cell r="AB550" t="str">
            <v/>
          </cell>
          <cell r="AC550" t="e">
            <v>#N/A</v>
          </cell>
          <cell r="AD550">
            <v>463</v>
          </cell>
          <cell r="AE550" t="e">
            <v>#N/A</v>
          </cell>
          <cell r="AF550" t="str">
            <v/>
          </cell>
        </row>
        <row r="551">
          <cell r="Y551">
            <v>535</v>
          </cell>
          <cell r="Z551">
            <v>8.6166424676775932E-2</v>
          </cell>
          <cell r="AA551">
            <v>-0.23068420296388559</v>
          </cell>
          <cell r="AB551" t="str">
            <v/>
          </cell>
          <cell r="AC551" t="e">
            <v>#N/A</v>
          </cell>
          <cell r="AD551">
            <v>464</v>
          </cell>
          <cell r="AE551" t="e">
            <v>#N/A</v>
          </cell>
          <cell r="AF551" t="str">
            <v/>
          </cell>
        </row>
        <row r="552">
          <cell r="Y552">
            <v>536</v>
          </cell>
          <cell r="Z552">
            <v>0.36693128012120724</v>
          </cell>
          <cell r="AA552">
            <v>-5.7469135343813982E-2</v>
          </cell>
          <cell r="AB552" t="str">
            <v/>
          </cell>
          <cell r="AC552" t="e">
            <v>#N/A</v>
          </cell>
          <cell r="AD552">
            <v>465</v>
          </cell>
          <cell r="AE552" t="e">
            <v>#N/A</v>
          </cell>
          <cell r="AF552" t="str">
            <v/>
          </cell>
        </row>
        <row r="553">
          <cell r="Y553">
            <v>537</v>
          </cell>
          <cell r="Z553">
            <v>0.57131871394813061</v>
          </cell>
          <cell r="AA553">
            <v>3.0380338599879108E-2</v>
          </cell>
          <cell r="AB553" t="str">
            <v/>
          </cell>
          <cell r="AC553" t="e">
            <v>#N/A</v>
          </cell>
          <cell r="AD553">
            <v>466</v>
          </cell>
          <cell r="AE553" t="e">
            <v>#N/A</v>
          </cell>
          <cell r="AF553" t="str">
            <v/>
          </cell>
        </row>
        <row r="554">
          <cell r="Y554">
            <v>538</v>
          </cell>
          <cell r="Z554">
            <v>0.5666245874017477</v>
          </cell>
          <cell r="AA554">
            <v>2.836118471763811E-2</v>
          </cell>
          <cell r="AB554" t="str">
            <v/>
          </cell>
          <cell r="AC554" t="e">
            <v>#N/A</v>
          </cell>
          <cell r="AD554">
            <v>467</v>
          </cell>
          <cell r="AE554" t="e">
            <v>#N/A</v>
          </cell>
          <cell r="AF554" t="str">
            <v/>
          </cell>
        </row>
        <row r="555">
          <cell r="Y555">
            <v>539</v>
          </cell>
          <cell r="Z555">
            <v>0.24013711325824261</v>
          </cell>
          <cell r="AA555">
            <v>-0.11931238233923849</v>
          </cell>
          <cell r="AB555" t="str">
            <v/>
          </cell>
          <cell r="AC555" t="e">
            <v>#N/A</v>
          </cell>
          <cell r="AD555">
            <v>468</v>
          </cell>
          <cell r="AE555" t="e">
            <v>#N/A</v>
          </cell>
          <cell r="AF555" t="str">
            <v/>
          </cell>
        </row>
        <row r="556">
          <cell r="Y556">
            <v>540</v>
          </cell>
          <cell r="Z556">
            <v>0.25436489842832088</v>
          </cell>
          <cell r="AA556">
            <v>-0.11169842884155556</v>
          </cell>
          <cell r="AB556" t="str">
            <v/>
          </cell>
          <cell r="AC556" t="e">
            <v>#N/A</v>
          </cell>
          <cell r="AD556">
            <v>469</v>
          </cell>
          <cell r="AE556" t="e">
            <v>#N/A</v>
          </cell>
          <cell r="AF556" t="str">
            <v/>
          </cell>
        </row>
        <row r="557">
          <cell r="Y557">
            <v>541</v>
          </cell>
          <cell r="Z557">
            <v>0.2910268884152174</v>
          </cell>
          <cell r="AA557">
            <v>-9.3032428919740062E-2</v>
          </cell>
          <cell r="AB557" t="str">
            <v/>
          </cell>
          <cell r="AC557" t="e">
            <v>#N/A</v>
          </cell>
          <cell r="AD557">
            <v>470</v>
          </cell>
          <cell r="AE557" t="e">
            <v>#N/A</v>
          </cell>
          <cell r="AF557" t="str">
            <v/>
          </cell>
        </row>
        <row r="558">
          <cell r="Y558">
            <v>542</v>
          </cell>
          <cell r="Z558">
            <v>0.66750172339379787</v>
          </cell>
          <cell r="AA558">
            <v>7.3194596924745794E-2</v>
          </cell>
          <cell r="AB558" t="str">
            <v/>
          </cell>
          <cell r="AC558" t="e">
            <v>#N/A</v>
          </cell>
          <cell r="AD558">
            <v>471</v>
          </cell>
          <cell r="AE558" t="e">
            <v>#N/A</v>
          </cell>
          <cell r="AF558" t="str">
            <v/>
          </cell>
        </row>
        <row r="559">
          <cell r="Y559">
            <v>543</v>
          </cell>
          <cell r="Z559">
            <v>0.9114603828638792</v>
          </cell>
          <cell r="AA559">
            <v>0.22815832232382183</v>
          </cell>
          <cell r="AB559" t="str">
            <v/>
          </cell>
          <cell r="AC559" t="e">
            <v>#N/A</v>
          </cell>
          <cell r="AD559">
            <v>472</v>
          </cell>
          <cell r="AE559" t="e">
            <v>#N/A</v>
          </cell>
          <cell r="AF559" t="str">
            <v/>
          </cell>
        </row>
        <row r="560">
          <cell r="Y560">
            <v>544</v>
          </cell>
          <cell r="Z560">
            <v>0.67762376926839352</v>
          </cell>
          <cell r="AA560">
            <v>7.7934093862991632E-2</v>
          </cell>
          <cell r="AB560" t="str">
            <v/>
          </cell>
          <cell r="AC560" t="e">
            <v>#N/A</v>
          </cell>
          <cell r="AD560">
            <v>473</v>
          </cell>
          <cell r="AE560" t="e">
            <v>#N/A</v>
          </cell>
          <cell r="AF560" t="str">
            <v/>
          </cell>
        </row>
        <row r="561">
          <cell r="Y561">
            <v>545</v>
          </cell>
          <cell r="Z561">
            <v>0.50179293565452099</v>
          </cell>
          <cell r="AA561">
            <v>7.596649301868458E-4</v>
          </cell>
          <cell r="AB561" t="str">
            <v/>
          </cell>
          <cell r="AC561" t="e">
            <v>#N/A</v>
          </cell>
          <cell r="AD561">
            <v>474</v>
          </cell>
          <cell r="AE561" t="e">
            <v>#N/A</v>
          </cell>
          <cell r="AF561" t="str">
            <v/>
          </cell>
        </row>
        <row r="562">
          <cell r="Y562">
            <v>546</v>
          </cell>
          <cell r="Z562">
            <v>0.8798533733934164</v>
          </cell>
          <cell r="AA562">
            <v>0.19848517360288376</v>
          </cell>
          <cell r="AB562" t="str">
            <v/>
          </cell>
          <cell r="AC562" t="e">
            <v>#N/A</v>
          </cell>
          <cell r="AD562">
            <v>475</v>
          </cell>
          <cell r="AE562" t="e">
            <v>#N/A</v>
          </cell>
          <cell r="AF562" t="str">
            <v/>
          </cell>
        </row>
        <row r="563">
          <cell r="Y563">
            <v>547</v>
          </cell>
          <cell r="Z563">
            <v>0.17202801816165447</v>
          </cell>
          <cell r="AA563">
            <v>-0.15993385880354899</v>
          </cell>
          <cell r="AB563" t="str">
            <v/>
          </cell>
          <cell r="AC563" t="e">
            <v>#N/A</v>
          </cell>
          <cell r="AD563">
            <v>476</v>
          </cell>
          <cell r="AE563" t="e">
            <v>#N/A</v>
          </cell>
          <cell r="AF563" t="str">
            <v/>
          </cell>
        </row>
        <row r="564">
          <cell r="Y564">
            <v>548</v>
          </cell>
          <cell r="Z564">
            <v>0.41798078082501888</v>
          </cell>
          <cell r="AA564">
            <v>-3.4999839412518566E-2</v>
          </cell>
          <cell r="AB564" t="str">
            <v/>
          </cell>
          <cell r="AC564" t="e">
            <v>#N/A</v>
          </cell>
          <cell r="AD564">
            <v>477</v>
          </cell>
          <cell r="AE564" t="e">
            <v>#N/A</v>
          </cell>
          <cell r="AF564" t="str">
            <v/>
          </cell>
        </row>
        <row r="565">
          <cell r="Y565">
            <v>549</v>
          </cell>
          <cell r="Z565">
            <v>0.24200033955276012</v>
          </cell>
          <cell r="AA565">
            <v>-0.11830173671095633</v>
          </cell>
          <cell r="AB565" t="str">
            <v/>
          </cell>
          <cell r="AC565" t="e">
            <v>#N/A</v>
          </cell>
          <cell r="AD565">
            <v>478</v>
          </cell>
          <cell r="AE565" t="e">
            <v>#N/A</v>
          </cell>
          <cell r="AF565" t="str">
            <v/>
          </cell>
        </row>
        <row r="566">
          <cell r="Y566">
            <v>550</v>
          </cell>
          <cell r="Z566">
            <v>0.54153201542794704</v>
          </cell>
          <cell r="AA566">
            <v>1.7628918502364428E-2</v>
          </cell>
          <cell r="AB566" t="str">
            <v/>
          </cell>
          <cell r="AC566" t="e">
            <v>#N/A</v>
          </cell>
          <cell r="AD566">
            <v>479</v>
          </cell>
          <cell r="AE566" t="e">
            <v>#N/A</v>
          </cell>
          <cell r="AF566" t="str">
            <v/>
          </cell>
        </row>
        <row r="567">
          <cell r="Y567">
            <v>551</v>
          </cell>
          <cell r="Z567">
            <v>0.19419567100703716</v>
          </cell>
          <cell r="AA567">
            <v>-0.14579559034300649</v>
          </cell>
          <cell r="AB567" t="str">
            <v/>
          </cell>
          <cell r="AC567" t="e">
            <v>#N/A</v>
          </cell>
          <cell r="AD567">
            <v>480</v>
          </cell>
          <cell r="AE567" t="e">
            <v>#N/A</v>
          </cell>
          <cell r="AF567" t="str">
            <v/>
          </cell>
        </row>
        <row r="568">
          <cell r="Y568">
            <v>552</v>
          </cell>
          <cell r="Z568">
            <v>0.23461409471929073</v>
          </cell>
          <cell r="AA568">
            <v>-0.12233361224485137</v>
          </cell>
          <cell r="AB568" t="str">
            <v/>
          </cell>
          <cell r="AC568" t="e">
            <v>#N/A</v>
          </cell>
          <cell r="AD568">
            <v>481</v>
          </cell>
          <cell r="AE568" t="e">
            <v>#N/A</v>
          </cell>
          <cell r="AF568" t="str">
            <v/>
          </cell>
        </row>
        <row r="569">
          <cell r="Y569">
            <v>553</v>
          </cell>
          <cell r="Z569">
            <v>0.99717613868415356</v>
          </cell>
          <cell r="AA569">
            <v>0.46780343355526988</v>
          </cell>
          <cell r="AB569" t="str">
            <v/>
          </cell>
          <cell r="AC569" t="e">
            <v>#N/A</v>
          </cell>
          <cell r="AD569">
            <v>482</v>
          </cell>
          <cell r="AE569" t="e">
            <v>#N/A</v>
          </cell>
          <cell r="AF569" t="str">
            <v/>
          </cell>
        </row>
        <row r="570">
          <cell r="Y570">
            <v>554</v>
          </cell>
          <cell r="Z570">
            <v>0.35013133846223354</v>
          </cell>
          <cell r="AA570">
            <v>-6.5071114369829833E-2</v>
          </cell>
          <cell r="AB570" t="str">
            <v/>
          </cell>
          <cell r="AC570" t="e">
            <v>#N/A</v>
          </cell>
          <cell r="AD570">
            <v>483</v>
          </cell>
          <cell r="AE570" t="e">
            <v>#N/A</v>
          </cell>
          <cell r="AF570" t="str">
            <v/>
          </cell>
        </row>
        <row r="571">
          <cell r="Y571">
            <v>555</v>
          </cell>
          <cell r="Z571">
            <v>0.93632973544299603</v>
          </cell>
          <cell r="AA571">
            <v>0.25771687640899454</v>
          </cell>
          <cell r="AB571" t="str">
            <v/>
          </cell>
          <cell r="AC571" t="e">
            <v>#N/A</v>
          </cell>
          <cell r="AD571">
            <v>484</v>
          </cell>
          <cell r="AE571" t="e">
            <v>#N/A</v>
          </cell>
          <cell r="AF571" t="str">
            <v/>
          </cell>
        </row>
        <row r="572">
          <cell r="Y572">
            <v>556</v>
          </cell>
          <cell r="Z572">
            <v>0.52671652100980282</v>
          </cell>
          <cell r="AA572">
            <v>1.1328197791261818E-2</v>
          </cell>
          <cell r="AB572" t="str">
            <v/>
          </cell>
          <cell r="AC572" t="e">
            <v>#N/A</v>
          </cell>
          <cell r="AD572">
            <v>485</v>
          </cell>
          <cell r="AE572" t="e">
            <v>#N/A</v>
          </cell>
          <cell r="AF572" t="str">
            <v/>
          </cell>
        </row>
        <row r="573">
          <cell r="Y573">
            <v>557</v>
          </cell>
          <cell r="Z573">
            <v>5.7412801310420036E-2</v>
          </cell>
          <cell r="AA573">
            <v>-0.26653955901218768</v>
          </cell>
          <cell r="AB573" t="str">
            <v/>
          </cell>
          <cell r="AC573" t="e">
            <v>#N/A</v>
          </cell>
          <cell r="AD573">
            <v>486</v>
          </cell>
          <cell r="AE573" t="e">
            <v>#N/A</v>
          </cell>
          <cell r="AF573" t="str">
            <v/>
          </cell>
        </row>
        <row r="574">
          <cell r="Y574">
            <v>558</v>
          </cell>
          <cell r="Z574">
            <v>0.75947061739861965</v>
          </cell>
          <cell r="AA574">
            <v>0.11909925523611468</v>
          </cell>
          <cell r="AB574" t="str">
            <v/>
          </cell>
          <cell r="AC574" t="e">
            <v>#N/A</v>
          </cell>
          <cell r="AD574">
            <v>487</v>
          </cell>
          <cell r="AE574" t="e">
            <v>#N/A</v>
          </cell>
          <cell r="AF574" t="str">
            <v/>
          </cell>
        </row>
        <row r="575">
          <cell r="Y575">
            <v>559</v>
          </cell>
          <cell r="Z575">
            <v>4.7104222699999809E-2</v>
          </cell>
          <cell r="AA575">
            <v>-0.2828907138316083</v>
          </cell>
          <cell r="AB575" t="str">
            <v/>
          </cell>
          <cell r="AC575" t="e">
            <v>#N/A</v>
          </cell>
          <cell r="AD575">
            <v>488</v>
          </cell>
          <cell r="AE575" t="e">
            <v>#N/A</v>
          </cell>
          <cell r="AF575" t="str">
            <v/>
          </cell>
        </row>
        <row r="576">
          <cell r="Y576">
            <v>560</v>
          </cell>
          <cell r="Z576">
            <v>0.83935489319264889</v>
          </cell>
          <cell r="AA576">
            <v>0.16764649000402981</v>
          </cell>
          <cell r="AB576" t="str">
            <v/>
          </cell>
          <cell r="AC576" t="e">
            <v>#N/A</v>
          </cell>
          <cell r="AD576">
            <v>489</v>
          </cell>
          <cell r="AE576" t="e">
            <v>#N/A</v>
          </cell>
          <cell r="AF576" t="str">
            <v/>
          </cell>
        </row>
        <row r="577">
          <cell r="Y577">
            <v>561</v>
          </cell>
          <cell r="Z577">
            <v>0.84354010038077831</v>
          </cell>
          <cell r="AA577">
            <v>0.17057145638022408</v>
          </cell>
          <cell r="AB577" t="str">
            <v/>
          </cell>
          <cell r="AC577" t="e">
            <v>#N/A</v>
          </cell>
          <cell r="AD577">
            <v>490</v>
          </cell>
          <cell r="AE577" t="e">
            <v>#N/A</v>
          </cell>
          <cell r="AF577" t="str">
            <v/>
          </cell>
        </row>
        <row r="578">
          <cell r="Y578">
            <v>562</v>
          </cell>
          <cell r="Z578">
            <v>0.96982908807694912</v>
          </cell>
          <cell r="AA578">
            <v>0.31748856137371939</v>
          </cell>
          <cell r="AB578" t="str">
            <v/>
          </cell>
          <cell r="AC578" t="e">
            <v>#N/A</v>
          </cell>
          <cell r="AD578">
            <v>491</v>
          </cell>
          <cell r="AE578" t="e">
            <v>#N/A</v>
          </cell>
          <cell r="AF578" t="str">
            <v/>
          </cell>
        </row>
        <row r="579">
          <cell r="Y579">
            <v>563</v>
          </cell>
          <cell r="Z579">
            <v>0.48854763619601727</v>
          </cell>
          <cell r="AA579">
            <v>-4.8530046763230151E-3</v>
          </cell>
          <cell r="AB579" t="str">
            <v/>
          </cell>
          <cell r="AC579" t="e">
            <v>#N/A</v>
          </cell>
          <cell r="AD579">
            <v>492</v>
          </cell>
          <cell r="AE579" t="e">
            <v>#N/A</v>
          </cell>
          <cell r="AF579" t="str">
            <v/>
          </cell>
        </row>
        <row r="580">
          <cell r="Y580">
            <v>564</v>
          </cell>
          <cell r="Z580">
            <v>0.71307944320142269</v>
          </cell>
          <cell r="AA580">
            <v>9.5063547481540653E-2</v>
          </cell>
          <cell r="AB580" t="str">
            <v/>
          </cell>
          <cell r="AC580" t="e">
            <v>#N/A</v>
          </cell>
          <cell r="AD580">
            <v>493</v>
          </cell>
          <cell r="AE580" t="e">
            <v>#N/A</v>
          </cell>
          <cell r="AF580" t="str">
            <v/>
          </cell>
        </row>
        <row r="581">
          <cell r="Y581">
            <v>565</v>
          </cell>
          <cell r="Z581">
            <v>0.70204698853194714</v>
          </cell>
          <cell r="AA581">
            <v>8.9636554001842131E-2</v>
          </cell>
          <cell r="AB581" t="str">
            <v/>
          </cell>
          <cell r="AC581" t="e">
            <v>#N/A</v>
          </cell>
          <cell r="AD581">
            <v>494</v>
          </cell>
          <cell r="AE581" t="e">
            <v>#N/A</v>
          </cell>
          <cell r="AF581" t="str">
            <v/>
          </cell>
        </row>
        <row r="582">
          <cell r="Y582">
            <v>566</v>
          </cell>
          <cell r="Z582">
            <v>1.1930322274565697E-2</v>
          </cell>
          <cell r="AA582">
            <v>-0.38190251128719072</v>
          </cell>
          <cell r="AB582" t="str">
            <v/>
          </cell>
          <cell r="AC582" t="e">
            <v>#N/A</v>
          </cell>
          <cell r="AD582">
            <v>495</v>
          </cell>
          <cell r="AE582" t="e">
            <v>#N/A</v>
          </cell>
          <cell r="AF582" t="str">
            <v/>
          </cell>
        </row>
        <row r="583">
          <cell r="Y583">
            <v>567</v>
          </cell>
          <cell r="Z583">
            <v>0.37783984653651714</v>
          </cell>
          <cell r="AA583">
            <v>-5.259548324679636E-2</v>
          </cell>
          <cell r="AB583" t="str">
            <v/>
          </cell>
          <cell r="AC583" t="e">
            <v>#N/A</v>
          </cell>
          <cell r="AD583">
            <v>496</v>
          </cell>
          <cell r="AE583" t="e">
            <v>#N/A</v>
          </cell>
          <cell r="AF583" t="str">
            <v/>
          </cell>
        </row>
        <row r="584">
          <cell r="Y584">
            <v>568</v>
          </cell>
          <cell r="Z584">
            <v>0.37728317640721798</v>
          </cell>
          <cell r="AA584">
            <v>-5.2843098361452123E-2</v>
          </cell>
          <cell r="AB584" t="str">
            <v/>
          </cell>
          <cell r="AC584" t="e">
            <v>#N/A</v>
          </cell>
          <cell r="AD584">
            <v>497</v>
          </cell>
          <cell r="AE584" t="e">
            <v>#N/A</v>
          </cell>
          <cell r="AF584" t="str">
            <v/>
          </cell>
        </row>
        <row r="585">
          <cell r="Y585">
            <v>569</v>
          </cell>
          <cell r="Z585">
            <v>0.66875347308814526</v>
          </cell>
          <cell r="AA585">
            <v>7.3777526296779458E-2</v>
          </cell>
          <cell r="AB585" t="str">
            <v/>
          </cell>
          <cell r="AC585" t="e">
            <v>#N/A</v>
          </cell>
          <cell r="AD585">
            <v>498</v>
          </cell>
          <cell r="AE585" t="e">
            <v>#N/A</v>
          </cell>
          <cell r="AF585" t="str">
            <v/>
          </cell>
        </row>
        <row r="586">
          <cell r="Y586">
            <v>570</v>
          </cell>
          <cell r="Z586">
            <v>0.42467660270631313</v>
          </cell>
          <cell r="AA586">
            <v>-3.210635445469142E-2</v>
          </cell>
          <cell r="AB586" t="str">
            <v/>
          </cell>
          <cell r="AC586" t="e">
            <v>#N/A</v>
          </cell>
          <cell r="AD586">
            <v>499</v>
          </cell>
          <cell r="AE586" t="e">
            <v>#N/A</v>
          </cell>
          <cell r="AF586" t="str">
            <v/>
          </cell>
        </row>
        <row r="587">
          <cell r="Y587">
            <v>571</v>
          </cell>
          <cell r="Z587">
            <v>0.54785896651446819</v>
          </cell>
          <cell r="AA587">
            <v>2.0326609342243604E-2</v>
          </cell>
          <cell r="AB587" t="str">
            <v/>
          </cell>
          <cell r="AC587" t="e">
            <v>#N/A</v>
          </cell>
          <cell r="AD587">
            <v>500</v>
          </cell>
          <cell r="AE587" t="e">
            <v>#N/A</v>
          </cell>
          <cell r="AF587" t="str">
            <v/>
          </cell>
        </row>
        <row r="588">
          <cell r="Y588">
            <v>572</v>
          </cell>
          <cell r="Z588">
            <v>0.7873112466186285</v>
          </cell>
          <cell r="AA588">
            <v>0.13473898822127442</v>
          </cell>
          <cell r="AB588" t="str">
            <v/>
          </cell>
          <cell r="AC588" t="e">
            <v>#N/A</v>
          </cell>
          <cell r="AD588">
            <v>501</v>
          </cell>
          <cell r="AE588" t="e">
            <v>#N/A</v>
          </cell>
          <cell r="AF588" t="str">
            <v/>
          </cell>
        </row>
        <row r="589">
          <cell r="Y589">
            <v>573</v>
          </cell>
          <cell r="Z589">
            <v>0.70123249106109142</v>
          </cell>
          <cell r="AA589">
            <v>8.9239599583648313E-2</v>
          </cell>
          <cell r="AB589" t="str">
            <v/>
          </cell>
          <cell r="AC589" t="e">
            <v>#N/A</v>
          </cell>
          <cell r="AD589">
            <v>502</v>
          </cell>
          <cell r="AE589" t="e">
            <v>#N/A</v>
          </cell>
          <cell r="AF589" t="str">
            <v/>
          </cell>
        </row>
        <row r="590">
          <cell r="Y590">
            <v>574</v>
          </cell>
          <cell r="Z590">
            <v>2.6633298024535179E-2</v>
          </cell>
          <cell r="AA590">
            <v>-0.32669493457670434</v>
          </cell>
          <cell r="AB590" t="str">
            <v/>
          </cell>
          <cell r="AC590" t="e">
            <v>#N/A</v>
          </cell>
          <cell r="AD590">
            <v>503</v>
          </cell>
          <cell r="AE590" t="e">
            <v>#N/A</v>
          </cell>
          <cell r="AF590" t="str">
            <v/>
          </cell>
        </row>
        <row r="591">
          <cell r="Y591">
            <v>575</v>
          </cell>
          <cell r="Z591">
            <v>0.32647822611033916</v>
          </cell>
          <cell r="AA591">
            <v>-7.6006216827163908E-2</v>
          </cell>
          <cell r="AB591" t="str">
            <v/>
          </cell>
          <cell r="AC591" t="e">
            <v>#N/A</v>
          </cell>
          <cell r="AD591">
            <v>504</v>
          </cell>
          <cell r="AE591" t="e">
            <v>#N/A</v>
          </cell>
          <cell r="AF591" t="str">
            <v/>
          </cell>
        </row>
        <row r="592">
          <cell r="Y592">
            <v>576</v>
          </cell>
          <cell r="Z592">
            <v>0.50532033108174801</v>
          </cell>
          <cell r="AA592">
            <v>2.2542778563664858E-3</v>
          </cell>
          <cell r="AB592" t="str">
            <v/>
          </cell>
          <cell r="AC592" t="e">
            <v>#N/A</v>
          </cell>
          <cell r="AD592">
            <v>505</v>
          </cell>
          <cell r="AE592" t="e">
            <v>#N/A</v>
          </cell>
          <cell r="AF592" t="str">
            <v/>
          </cell>
        </row>
        <row r="593">
          <cell r="Y593">
            <v>577</v>
          </cell>
          <cell r="Z593">
            <v>0.87998178415000439</v>
          </cell>
          <cell r="AA593">
            <v>0.19859362604877623</v>
          </cell>
          <cell r="AB593" t="str">
            <v/>
          </cell>
          <cell r="AC593" t="e">
            <v>#N/A</v>
          </cell>
          <cell r="AD593">
            <v>506</v>
          </cell>
          <cell r="AE593" t="e">
            <v>#N/A</v>
          </cell>
          <cell r="AF593" t="str">
            <v/>
          </cell>
        </row>
        <row r="594">
          <cell r="Y594">
            <v>578</v>
          </cell>
          <cell r="Z594">
            <v>0.28126323781907558</v>
          </cell>
          <cell r="AA594">
            <v>-9.7884569389797393E-2</v>
          </cell>
          <cell r="AB594" t="str">
            <v/>
          </cell>
          <cell r="AC594" t="e">
            <v>#N/A</v>
          </cell>
          <cell r="AD594">
            <v>507</v>
          </cell>
          <cell r="AE594" t="e">
            <v>#N/A</v>
          </cell>
          <cell r="AF594" t="str">
            <v/>
          </cell>
        </row>
        <row r="595">
          <cell r="Y595">
            <v>579</v>
          </cell>
          <cell r="Z595">
            <v>3.4612847492098808E-2</v>
          </cell>
          <cell r="AA595">
            <v>-0.30711958326194633</v>
          </cell>
          <cell r="AB595" t="str">
            <v/>
          </cell>
          <cell r="AC595" t="e">
            <v>#N/A</v>
          </cell>
          <cell r="AD595">
            <v>508</v>
          </cell>
          <cell r="AE595" t="e">
            <v>#N/A</v>
          </cell>
          <cell r="AF595" t="str">
            <v/>
          </cell>
        </row>
        <row r="596">
          <cell r="Y596">
            <v>580</v>
          </cell>
          <cell r="Z596">
            <v>0.92488800548017025</v>
          </cell>
          <cell r="AA596">
            <v>0.24319157330177829</v>
          </cell>
          <cell r="AB596" t="str">
            <v/>
          </cell>
          <cell r="AC596" t="e">
            <v>#N/A</v>
          </cell>
          <cell r="AD596">
            <v>509</v>
          </cell>
          <cell r="AE596" t="e">
            <v>#N/A</v>
          </cell>
          <cell r="AF596" t="str">
            <v/>
          </cell>
        </row>
        <row r="597">
          <cell r="Y597">
            <v>581</v>
          </cell>
          <cell r="Z597">
            <v>7.8345773741602898E-2</v>
          </cell>
          <cell r="AA597">
            <v>-0.23939616501497457</v>
          </cell>
          <cell r="AB597" t="str">
            <v/>
          </cell>
          <cell r="AC597" t="e">
            <v>#N/A</v>
          </cell>
          <cell r="AD597">
            <v>510</v>
          </cell>
          <cell r="AE597" t="e">
            <v>#N/A</v>
          </cell>
          <cell r="AF597" t="str">
            <v/>
          </cell>
        </row>
        <row r="598">
          <cell r="Y598">
            <v>582</v>
          </cell>
          <cell r="Z598">
            <v>0.7559110876172781</v>
          </cell>
          <cell r="AA598">
            <v>0.11717386236777032</v>
          </cell>
          <cell r="AB598" t="str">
            <v/>
          </cell>
          <cell r="AC598" t="e">
            <v>#N/A</v>
          </cell>
          <cell r="AD598">
            <v>511</v>
          </cell>
          <cell r="AE598" t="e">
            <v>#N/A</v>
          </cell>
          <cell r="AF598" t="str">
            <v/>
          </cell>
        </row>
        <row r="599">
          <cell r="Y599">
            <v>583</v>
          </cell>
          <cell r="Z599">
            <v>0.70301692001521587</v>
          </cell>
          <cell r="AA599">
            <v>9.0109906867781114E-2</v>
          </cell>
          <cell r="AB599" t="str">
            <v/>
          </cell>
          <cell r="AC599" t="e">
            <v>#N/A</v>
          </cell>
          <cell r="AD599">
            <v>512</v>
          </cell>
          <cell r="AE599" t="e">
            <v>#N/A</v>
          </cell>
          <cell r="AF599" t="str">
            <v/>
          </cell>
        </row>
        <row r="600">
          <cell r="Y600">
            <v>584</v>
          </cell>
          <cell r="Z600">
            <v>0.33937211893498898</v>
          </cell>
          <cell r="AA600">
            <v>-7.0008747720193887E-2</v>
          </cell>
          <cell r="AB600" t="str">
            <v/>
          </cell>
          <cell r="AC600" t="e">
            <v>#N/A</v>
          </cell>
          <cell r="AD600">
            <v>513</v>
          </cell>
          <cell r="AE600" t="e">
            <v>#N/A</v>
          </cell>
          <cell r="AF600" t="str">
            <v/>
          </cell>
        </row>
        <row r="601">
          <cell r="Y601">
            <v>585</v>
          </cell>
          <cell r="Z601">
            <v>0.60118743591010571</v>
          </cell>
          <cell r="AA601">
            <v>4.3343201248764035E-2</v>
          </cell>
          <cell r="AB601" t="str">
            <v/>
          </cell>
          <cell r="AC601" t="e">
            <v>#N/A</v>
          </cell>
          <cell r="AD601">
            <v>514</v>
          </cell>
          <cell r="AE601" t="e">
            <v>#N/A</v>
          </cell>
          <cell r="AF601" t="str">
            <v/>
          </cell>
        </row>
        <row r="602">
          <cell r="Y602">
            <v>586</v>
          </cell>
          <cell r="Z602">
            <v>0.17453772388398647</v>
          </cell>
          <cell r="AA602">
            <v>-0.15827780571284447</v>
          </cell>
          <cell r="AB602" t="str">
            <v/>
          </cell>
          <cell r="AC602" t="e">
            <v>#N/A</v>
          </cell>
          <cell r="AD602">
            <v>515</v>
          </cell>
          <cell r="AE602" t="e">
            <v>#N/A</v>
          </cell>
          <cell r="AF602" t="str">
            <v/>
          </cell>
        </row>
        <row r="603">
          <cell r="Y603">
            <v>587</v>
          </cell>
          <cell r="Z603">
            <v>0.50783027522265911</v>
          </cell>
          <cell r="AA603">
            <v>3.3178811629216189E-3</v>
          </cell>
          <cell r="AB603" t="str">
            <v/>
          </cell>
          <cell r="AC603" t="e">
            <v>#N/A</v>
          </cell>
          <cell r="AD603">
            <v>516</v>
          </cell>
          <cell r="AE603" t="e">
            <v>#N/A</v>
          </cell>
          <cell r="AF603" t="str">
            <v/>
          </cell>
        </row>
        <row r="604">
          <cell r="Y604">
            <v>588</v>
          </cell>
          <cell r="Z604">
            <v>0.35402016900479794</v>
          </cell>
          <cell r="AA604">
            <v>-6.3300240002828981E-2</v>
          </cell>
          <cell r="AB604" t="str">
            <v/>
          </cell>
          <cell r="AC604" t="e">
            <v>#N/A</v>
          </cell>
          <cell r="AD604">
            <v>517</v>
          </cell>
          <cell r="AE604" t="e">
            <v>#N/A</v>
          </cell>
          <cell r="AF604" t="str">
            <v/>
          </cell>
        </row>
        <row r="605">
          <cell r="Y605">
            <v>589</v>
          </cell>
          <cell r="Z605">
            <v>0.29231017641723156</v>
          </cell>
          <cell r="AA605">
            <v>-9.2400433835569951E-2</v>
          </cell>
          <cell r="AB605" t="str">
            <v/>
          </cell>
          <cell r="AC605" t="e">
            <v>#N/A</v>
          </cell>
          <cell r="AD605">
            <v>518</v>
          </cell>
          <cell r="AE605" t="e">
            <v>#N/A</v>
          </cell>
          <cell r="AF605" t="str">
            <v/>
          </cell>
        </row>
        <row r="606">
          <cell r="Y606">
            <v>590</v>
          </cell>
          <cell r="Z606">
            <v>0.56420460902154446</v>
          </cell>
          <cell r="AA606">
            <v>2.7321840698398905E-2</v>
          </cell>
          <cell r="AB606" t="str">
            <v/>
          </cell>
          <cell r="AC606" t="e">
            <v>#N/A</v>
          </cell>
          <cell r="AD606">
            <v>519</v>
          </cell>
          <cell r="AE606" t="e">
            <v>#N/A</v>
          </cell>
          <cell r="AF606" t="str">
            <v/>
          </cell>
        </row>
        <row r="607">
          <cell r="Y607">
            <v>591</v>
          </cell>
          <cell r="Z607">
            <v>0.42487536184489727</v>
          </cell>
          <cell r="AA607">
            <v>-3.2020611886218769E-2</v>
          </cell>
          <cell r="AB607" t="str">
            <v/>
          </cell>
          <cell r="AC607" t="e">
            <v>#N/A</v>
          </cell>
          <cell r="AD607">
            <v>520</v>
          </cell>
          <cell r="AE607" t="e">
            <v>#N/A</v>
          </cell>
          <cell r="AF607" t="str">
            <v/>
          </cell>
        </row>
        <row r="608">
          <cell r="Y608">
            <v>592</v>
          </cell>
          <cell r="Z608">
            <v>0.14182867668569088</v>
          </cell>
          <cell r="AA608">
            <v>-0.1812246618363792</v>
          </cell>
          <cell r="AB608" t="str">
            <v/>
          </cell>
          <cell r="AC608" t="e">
            <v>#N/A</v>
          </cell>
          <cell r="AD608">
            <v>521</v>
          </cell>
          <cell r="AE608" t="e">
            <v>#N/A</v>
          </cell>
          <cell r="AF608" t="str">
            <v/>
          </cell>
        </row>
        <row r="609">
          <cell r="Y609">
            <v>593</v>
          </cell>
          <cell r="Z609">
            <v>0.61062970571219921</v>
          </cell>
          <cell r="AA609">
            <v>4.7491016158664086E-2</v>
          </cell>
          <cell r="AB609" t="str">
            <v/>
          </cell>
          <cell r="AC609" t="e">
            <v>#N/A</v>
          </cell>
          <cell r="AD609">
            <v>522</v>
          </cell>
          <cell r="AE609" t="e">
            <v>#N/A</v>
          </cell>
          <cell r="AF609" t="str">
            <v/>
          </cell>
        </row>
        <row r="610">
          <cell r="Y610">
            <v>594</v>
          </cell>
          <cell r="Z610">
            <v>0.9953081663697958</v>
          </cell>
          <cell r="AA610">
            <v>0.43909996252257416</v>
          </cell>
          <cell r="AB610" t="str">
            <v/>
          </cell>
          <cell r="AC610" t="e">
            <v>#N/A</v>
          </cell>
          <cell r="AD610">
            <v>523</v>
          </cell>
          <cell r="AE610" t="e">
            <v>#N/A</v>
          </cell>
          <cell r="AF610" t="str">
            <v/>
          </cell>
        </row>
        <row r="611">
          <cell r="Y611">
            <v>595</v>
          </cell>
          <cell r="Z611">
            <v>0.6027041207998991</v>
          </cell>
          <cell r="AA611">
            <v>4.4007631113299729E-2</v>
          </cell>
          <cell r="AB611" t="str">
            <v/>
          </cell>
          <cell r="AC611" t="e">
            <v>#N/A</v>
          </cell>
          <cell r="AD611">
            <v>524</v>
          </cell>
          <cell r="AE611" t="e">
            <v>#N/A</v>
          </cell>
          <cell r="AF611" t="str">
            <v/>
          </cell>
        </row>
        <row r="612">
          <cell r="Y612">
            <v>596</v>
          </cell>
          <cell r="Z612">
            <v>4.3152561411261559E-2</v>
          </cell>
          <cell r="AA612">
            <v>-0.28992489007213273</v>
          </cell>
          <cell r="AB612" t="str">
            <v/>
          </cell>
          <cell r="AC612" t="e">
            <v>#N/A</v>
          </cell>
          <cell r="AD612">
            <v>525</v>
          </cell>
          <cell r="AE612" t="e">
            <v>#N/A</v>
          </cell>
          <cell r="AF612" t="str">
            <v/>
          </cell>
        </row>
        <row r="613">
          <cell r="Y613">
            <v>597</v>
          </cell>
          <cell r="Z613">
            <v>0.17509591393172741</v>
          </cell>
          <cell r="AA613">
            <v>-0.15791154049210193</v>
          </cell>
          <cell r="AB613" t="str">
            <v/>
          </cell>
          <cell r="AC613" t="e">
            <v>#N/A</v>
          </cell>
          <cell r="AD613">
            <v>526</v>
          </cell>
          <cell r="AE613" t="e">
            <v>#N/A</v>
          </cell>
          <cell r="AF613" t="str">
            <v/>
          </cell>
        </row>
        <row r="614">
          <cell r="Y614">
            <v>598</v>
          </cell>
          <cell r="Z614">
            <v>0.41556415520608425</v>
          </cell>
          <cell r="AA614">
            <v>-3.6046622225989658E-2</v>
          </cell>
          <cell r="AB614" t="str">
            <v/>
          </cell>
          <cell r="AC614" t="e">
            <v>#N/A</v>
          </cell>
          <cell r="AD614">
            <v>527</v>
          </cell>
          <cell r="AE614" t="e">
            <v>#N/A</v>
          </cell>
          <cell r="AF614" t="str">
            <v/>
          </cell>
        </row>
        <row r="615">
          <cell r="Y615">
            <v>599</v>
          </cell>
          <cell r="Z615">
            <v>0.95439486019313335</v>
          </cell>
          <cell r="AA615">
            <v>0.28550117850466283</v>
          </cell>
          <cell r="AB615" t="str">
            <v/>
          </cell>
          <cell r="AC615" t="e">
            <v>#N/A</v>
          </cell>
          <cell r="AD615">
            <v>528</v>
          </cell>
          <cell r="AE615" t="e">
            <v>#N/A</v>
          </cell>
          <cell r="AF615" t="str">
            <v/>
          </cell>
        </row>
        <row r="616">
          <cell r="Y616">
            <v>600</v>
          </cell>
          <cell r="Z616">
            <v>9.0645160526037216E-3</v>
          </cell>
          <cell r="AA616">
            <v>-0.39941519264483777</v>
          </cell>
          <cell r="AB616" t="str">
            <v/>
          </cell>
          <cell r="AC616" t="e">
            <v>#N/A</v>
          </cell>
          <cell r="AD616">
            <v>529</v>
          </cell>
          <cell r="AE616" t="e">
            <v>#N/A</v>
          </cell>
          <cell r="AF616" t="str">
            <v/>
          </cell>
        </row>
        <row r="617">
          <cell r="Y617">
            <v>601</v>
          </cell>
          <cell r="Z617">
            <v>0.2783647459000349</v>
          </cell>
          <cell r="AA617">
            <v>-9.9340484505789237E-2</v>
          </cell>
          <cell r="AB617" t="str">
            <v/>
          </cell>
          <cell r="AC617" t="e">
            <v>#N/A</v>
          </cell>
          <cell r="AD617">
            <v>530</v>
          </cell>
          <cell r="AE617" t="e">
            <v>#N/A</v>
          </cell>
          <cell r="AF617" t="str">
            <v/>
          </cell>
        </row>
        <row r="618">
          <cell r="Y618">
            <v>602</v>
          </cell>
          <cell r="Z618">
            <v>7.7742045745253563E-2</v>
          </cell>
          <cell r="AA618">
            <v>-0.24009558683891041</v>
          </cell>
          <cell r="AB618" t="str">
            <v/>
          </cell>
          <cell r="AC618" t="e">
            <v>#N/A</v>
          </cell>
          <cell r="AD618">
            <v>531</v>
          </cell>
          <cell r="AE618" t="e">
            <v>#N/A</v>
          </cell>
          <cell r="AF618" t="str">
            <v/>
          </cell>
        </row>
        <row r="619">
          <cell r="Y619">
            <v>603</v>
          </cell>
          <cell r="Z619">
            <v>0.46809913031756878</v>
          </cell>
          <cell r="AA619">
            <v>-1.353075568339443E-2</v>
          </cell>
          <cell r="AB619" t="str">
            <v/>
          </cell>
          <cell r="AC619" t="e">
            <v>#N/A</v>
          </cell>
          <cell r="AD619">
            <v>532</v>
          </cell>
          <cell r="AE619" t="e">
            <v>#N/A</v>
          </cell>
          <cell r="AF619" t="str">
            <v/>
          </cell>
        </row>
        <row r="620">
          <cell r="Y620">
            <v>604</v>
          </cell>
          <cell r="Z620">
            <v>0.38846438191831112</v>
          </cell>
          <cell r="AA620">
            <v>-4.7890434518313311E-2</v>
          </cell>
          <cell r="AB620" t="str">
            <v/>
          </cell>
          <cell r="AC620" t="e">
            <v>#N/A</v>
          </cell>
          <cell r="AD620">
            <v>533</v>
          </cell>
          <cell r="AE620" t="e">
            <v>#N/A</v>
          </cell>
          <cell r="AF620" t="str">
            <v/>
          </cell>
        </row>
        <row r="621">
          <cell r="Y621">
            <v>605</v>
          </cell>
          <cell r="Z621">
            <v>0.86922007612884045</v>
          </cell>
          <cell r="AA621">
            <v>0.18977295760269303</v>
          </cell>
          <cell r="AB621" t="str">
            <v/>
          </cell>
          <cell r="AC621" t="e">
            <v>#N/A</v>
          </cell>
          <cell r="AD621">
            <v>534</v>
          </cell>
          <cell r="AE621" t="e">
            <v>#N/A</v>
          </cell>
          <cell r="AF621" t="str">
            <v/>
          </cell>
        </row>
        <row r="622">
          <cell r="Y622">
            <v>606</v>
          </cell>
          <cell r="Z622">
            <v>6.1149394139647484E-2</v>
          </cell>
          <cell r="AA622">
            <v>-0.26118584601476236</v>
          </cell>
          <cell r="AB622" t="str">
            <v/>
          </cell>
          <cell r="AC622" t="e">
            <v>#N/A</v>
          </cell>
          <cell r="AD622">
            <v>535</v>
          </cell>
          <cell r="AE622" t="e">
            <v>#N/A</v>
          </cell>
          <cell r="AF622" t="str">
            <v/>
          </cell>
        </row>
        <row r="623">
          <cell r="Y623">
            <v>607</v>
          </cell>
          <cell r="Z623">
            <v>0.73633859865367413</v>
          </cell>
          <cell r="AA623">
            <v>0.10684407299209643</v>
          </cell>
          <cell r="AB623" t="str">
            <v/>
          </cell>
          <cell r="AC623" t="e">
            <v>#N/A</v>
          </cell>
          <cell r="AD623">
            <v>536</v>
          </cell>
          <cell r="AE623" t="e">
            <v>#N/A</v>
          </cell>
          <cell r="AF623" t="str">
            <v/>
          </cell>
        </row>
        <row r="624">
          <cell r="Y624">
            <v>608</v>
          </cell>
          <cell r="Z624">
            <v>0.5589385237544775</v>
          </cell>
          <cell r="AA624">
            <v>2.5063647416652738E-2</v>
          </cell>
          <cell r="AB624" t="str">
            <v/>
          </cell>
          <cell r="AC624" t="e">
            <v>#N/A</v>
          </cell>
          <cell r="AD624">
            <v>537</v>
          </cell>
          <cell r="AE624" t="e">
            <v>#N/A</v>
          </cell>
          <cell r="AF624" t="str">
            <v/>
          </cell>
        </row>
        <row r="625">
          <cell r="Y625">
            <v>609</v>
          </cell>
          <cell r="Z625">
            <v>0.50374558381736279</v>
          </cell>
          <cell r="AA625">
            <v>1.587017854038241E-3</v>
          </cell>
          <cell r="AB625" t="str">
            <v/>
          </cell>
          <cell r="AC625" t="e">
            <v>#N/A</v>
          </cell>
          <cell r="AD625">
            <v>538</v>
          </cell>
          <cell r="AE625" t="e">
            <v>#N/A</v>
          </cell>
          <cell r="AF625" t="str">
            <v/>
          </cell>
        </row>
        <row r="626">
          <cell r="Y626">
            <v>610</v>
          </cell>
          <cell r="Z626">
            <v>0.38686621747910976</v>
          </cell>
          <cell r="AA626">
            <v>-4.8595722072907618E-2</v>
          </cell>
          <cell r="AB626" t="str">
            <v/>
          </cell>
          <cell r="AC626" t="e">
            <v>#N/A</v>
          </cell>
          <cell r="AD626">
            <v>539</v>
          </cell>
          <cell r="AE626" t="e">
            <v>#N/A</v>
          </cell>
          <cell r="AF626" t="str">
            <v/>
          </cell>
        </row>
        <row r="627">
          <cell r="Y627">
            <v>611</v>
          </cell>
          <cell r="Z627">
            <v>0.20405192486941814</v>
          </cell>
          <cell r="AA627">
            <v>-0.13982824422322129</v>
          </cell>
          <cell r="AB627" t="str">
            <v/>
          </cell>
          <cell r="AC627" t="e">
            <v>#N/A</v>
          </cell>
          <cell r="AD627">
            <v>540</v>
          </cell>
          <cell r="AE627" t="e">
            <v>#N/A</v>
          </cell>
          <cell r="AF627" t="str">
            <v/>
          </cell>
        </row>
        <row r="628">
          <cell r="Y628">
            <v>612</v>
          </cell>
          <cell r="Z628">
            <v>0.90136920474469662</v>
          </cell>
          <cell r="AA628">
            <v>0.21794714892348024</v>
          </cell>
          <cell r="AB628" t="str">
            <v/>
          </cell>
          <cell r="AC628" t="e">
            <v>#N/A</v>
          </cell>
          <cell r="AD628">
            <v>541</v>
          </cell>
          <cell r="AE628" t="e">
            <v>#N/A</v>
          </cell>
          <cell r="AF628" t="str">
            <v/>
          </cell>
        </row>
        <row r="629">
          <cell r="Y629">
            <v>613</v>
          </cell>
          <cell r="Z629">
            <v>0.76524662785232067</v>
          </cell>
          <cell r="AA629">
            <v>0.12225694575565849</v>
          </cell>
          <cell r="AB629" t="str">
            <v/>
          </cell>
          <cell r="AC629" t="e">
            <v>#N/A</v>
          </cell>
          <cell r="AD629">
            <v>542</v>
          </cell>
          <cell r="AE629" t="e">
            <v>#N/A</v>
          </cell>
          <cell r="AF629" t="str">
            <v/>
          </cell>
        </row>
        <row r="630">
          <cell r="Y630">
            <v>614</v>
          </cell>
          <cell r="Z630">
            <v>0.22672936879098415</v>
          </cell>
          <cell r="AA630">
            <v>-0.12671588285175622</v>
          </cell>
          <cell r="AB630" t="str">
            <v/>
          </cell>
          <cell r="AC630" t="e">
            <v>#N/A</v>
          </cell>
          <cell r="AD630">
            <v>543</v>
          </cell>
          <cell r="AE630" t="e">
            <v>#N/A</v>
          </cell>
          <cell r="AF630" t="str">
            <v/>
          </cell>
        </row>
        <row r="631">
          <cell r="Y631">
            <v>615</v>
          </cell>
          <cell r="Z631">
            <v>0.63539163582026958</v>
          </cell>
          <cell r="AA631">
            <v>5.8513011703448539E-2</v>
          </cell>
          <cell r="AB631" t="str">
            <v/>
          </cell>
          <cell r="AC631" t="e">
            <v>#N/A</v>
          </cell>
          <cell r="AD631">
            <v>544</v>
          </cell>
          <cell r="AE631" t="e">
            <v>#N/A</v>
          </cell>
          <cell r="AF631" t="str">
            <v/>
          </cell>
        </row>
        <row r="632">
          <cell r="Y632">
            <v>616</v>
          </cell>
          <cell r="Z632">
            <v>0.61829396151006222</v>
          </cell>
          <cell r="AA632">
            <v>5.0878822022792987E-2</v>
          </cell>
          <cell r="AB632" t="str">
            <v/>
          </cell>
          <cell r="AC632" t="e">
            <v>#N/A</v>
          </cell>
          <cell r="AD632">
            <v>545</v>
          </cell>
          <cell r="AE632" t="e">
            <v>#N/A</v>
          </cell>
          <cell r="AF632" t="str">
            <v/>
          </cell>
        </row>
        <row r="633">
          <cell r="Y633">
            <v>617</v>
          </cell>
          <cell r="Z633">
            <v>0.65292212180793285</v>
          </cell>
          <cell r="AA633">
            <v>6.6466595657491551E-2</v>
          </cell>
          <cell r="AB633" t="str">
            <v/>
          </cell>
          <cell r="AC633" t="e">
            <v>#N/A</v>
          </cell>
          <cell r="AD633">
            <v>546</v>
          </cell>
          <cell r="AE633" t="e">
            <v>#N/A</v>
          </cell>
          <cell r="AF633" t="str">
            <v/>
          </cell>
        </row>
        <row r="634">
          <cell r="Y634">
            <v>618</v>
          </cell>
          <cell r="Z634">
            <v>0.7060669120401144</v>
          </cell>
          <cell r="AA634">
            <v>9.1603024783285802E-2</v>
          </cell>
          <cell r="AB634" t="str">
            <v/>
          </cell>
          <cell r="AC634" t="e">
            <v>#N/A</v>
          </cell>
          <cell r="AD634">
            <v>547</v>
          </cell>
          <cell r="AE634" t="e">
            <v>#N/A</v>
          </cell>
          <cell r="AF634" t="str">
            <v/>
          </cell>
        </row>
        <row r="635">
          <cell r="Y635">
            <v>619</v>
          </cell>
          <cell r="Z635">
            <v>0.2992710005491972</v>
          </cell>
          <cell r="AA635">
            <v>-8.8994463399997045E-2</v>
          </cell>
          <cell r="AB635" t="str">
            <v/>
          </cell>
          <cell r="AC635" t="e">
            <v>#N/A</v>
          </cell>
          <cell r="AD635">
            <v>548</v>
          </cell>
          <cell r="AE635" t="e">
            <v>#N/A</v>
          </cell>
          <cell r="AF635" t="str">
            <v/>
          </cell>
        </row>
        <row r="636">
          <cell r="Y636">
            <v>620</v>
          </cell>
          <cell r="Z636">
            <v>0.89601497910916805</v>
          </cell>
          <cell r="AA636">
            <v>0.21283805851074294</v>
          </cell>
          <cell r="AB636" t="str">
            <v/>
          </cell>
          <cell r="AC636" t="e">
            <v>#N/A</v>
          </cell>
          <cell r="AD636">
            <v>549</v>
          </cell>
          <cell r="AE636" t="e">
            <v>#N/A</v>
          </cell>
          <cell r="AF636" t="str">
            <v/>
          </cell>
        </row>
        <row r="637">
          <cell r="Y637">
            <v>621</v>
          </cell>
          <cell r="Z637">
            <v>0.43928640894591808</v>
          </cell>
          <cell r="AA637">
            <v>-2.5824308859275166E-2</v>
          </cell>
          <cell r="AB637" t="str">
            <v/>
          </cell>
          <cell r="AC637" t="e">
            <v>#N/A</v>
          </cell>
          <cell r="AD637">
            <v>550</v>
          </cell>
          <cell r="AE637" t="e">
            <v>#N/A</v>
          </cell>
          <cell r="AF637" t="str">
            <v/>
          </cell>
        </row>
        <row r="638">
          <cell r="Y638">
            <v>622</v>
          </cell>
          <cell r="Z638">
            <v>0.80018249712884426</v>
          </cell>
          <cell r="AA638">
            <v>0.14237016867438268</v>
          </cell>
          <cell r="AB638" t="str">
            <v/>
          </cell>
          <cell r="AC638" t="e">
            <v>#N/A</v>
          </cell>
          <cell r="AD638">
            <v>551</v>
          </cell>
          <cell r="AE638" t="e">
            <v>#N/A</v>
          </cell>
          <cell r="AF638" t="str">
            <v/>
          </cell>
        </row>
        <row r="639">
          <cell r="Y639">
            <v>623</v>
          </cell>
          <cell r="Z639">
            <v>0.37366090528666973</v>
          </cell>
          <cell r="AA639">
            <v>-5.4457137783816223E-2</v>
          </cell>
          <cell r="AB639" t="str">
            <v/>
          </cell>
          <cell r="AC639" t="e">
            <v>#N/A</v>
          </cell>
          <cell r="AD639">
            <v>552</v>
          </cell>
          <cell r="AE639" t="e">
            <v>#N/A</v>
          </cell>
          <cell r="AF639" t="str">
            <v/>
          </cell>
        </row>
        <row r="640">
          <cell r="Y640">
            <v>624</v>
          </cell>
          <cell r="Z640">
            <v>0.91045846603810787</v>
          </cell>
          <cell r="AA640">
            <v>0.22710708327861234</v>
          </cell>
          <cell r="AB640" t="str">
            <v/>
          </cell>
          <cell r="AC640" t="e">
            <v>#N/A</v>
          </cell>
          <cell r="AD640">
            <v>553</v>
          </cell>
          <cell r="AE640" t="e">
            <v>#N/A</v>
          </cell>
          <cell r="AF640" t="str">
            <v/>
          </cell>
        </row>
        <row r="641">
          <cell r="Y641">
            <v>625</v>
          </cell>
          <cell r="Z641">
            <v>0.49634113721549511</v>
          </cell>
          <cell r="AA641">
            <v>-1.5502727859985172E-3</v>
          </cell>
          <cell r="AB641" t="str">
            <v/>
          </cell>
          <cell r="AC641" t="e">
            <v>#N/A</v>
          </cell>
          <cell r="AD641">
            <v>554</v>
          </cell>
          <cell r="AE641" t="e">
            <v>#N/A</v>
          </cell>
          <cell r="AF641" t="str">
            <v/>
          </cell>
        </row>
        <row r="642">
          <cell r="Y642">
            <v>626</v>
          </cell>
          <cell r="Z642">
            <v>0.82458973489701748</v>
          </cell>
          <cell r="AA642">
            <v>0.1577055999933788</v>
          </cell>
          <cell r="AB642" t="str">
            <v/>
          </cell>
          <cell r="AC642" t="e">
            <v>#N/A</v>
          </cell>
          <cell r="AD642">
            <v>555</v>
          </cell>
          <cell r="AE642" t="e">
            <v>#N/A</v>
          </cell>
          <cell r="AF642" t="str">
            <v/>
          </cell>
        </row>
        <row r="643">
          <cell r="Y643">
            <v>627</v>
          </cell>
          <cell r="Z643">
            <v>6.8636728450655937E-2</v>
          </cell>
          <cell r="AA643">
            <v>-0.25118346416041964</v>
          </cell>
          <cell r="AB643" t="str">
            <v/>
          </cell>
          <cell r="AC643" t="e">
            <v>#N/A</v>
          </cell>
          <cell r="AD643">
            <v>556</v>
          </cell>
          <cell r="AE643" t="e">
            <v>#N/A</v>
          </cell>
          <cell r="AF643" t="str">
            <v/>
          </cell>
        </row>
        <row r="644">
          <cell r="Y644">
            <v>628</v>
          </cell>
          <cell r="Z644">
            <v>0.17678402923047543</v>
          </cell>
          <cell r="AA644">
            <v>-0.15680834045840372</v>
          </cell>
          <cell r="AB644" t="str">
            <v/>
          </cell>
          <cell r="AC644" t="e">
            <v>#N/A</v>
          </cell>
          <cell r="AD644">
            <v>557</v>
          </cell>
          <cell r="AE644" t="e">
            <v>#N/A</v>
          </cell>
          <cell r="AF644" t="str">
            <v/>
          </cell>
        </row>
        <row r="645">
          <cell r="Y645">
            <v>629</v>
          </cell>
          <cell r="Z645">
            <v>0.59049713425338268</v>
          </cell>
          <cell r="AA645">
            <v>3.8678311270281755E-2</v>
          </cell>
          <cell r="AB645" t="str">
            <v/>
          </cell>
          <cell r="AC645" t="e">
            <v>#N/A</v>
          </cell>
          <cell r="AD645">
            <v>558</v>
          </cell>
          <cell r="AE645" t="e">
            <v>#N/A</v>
          </cell>
          <cell r="AF645" t="str">
            <v/>
          </cell>
        </row>
        <row r="646">
          <cell r="Y646">
            <v>630</v>
          </cell>
          <cell r="Z646">
            <v>1.8996572121977806E-2</v>
          </cell>
          <cell r="AA646">
            <v>-0.35072696215679439</v>
          </cell>
          <cell r="AB646" t="str">
            <v/>
          </cell>
          <cell r="AC646" t="e">
            <v>#N/A</v>
          </cell>
          <cell r="AD646">
            <v>559</v>
          </cell>
          <cell r="AE646" t="e">
            <v>#N/A</v>
          </cell>
          <cell r="AF646" t="str">
            <v/>
          </cell>
        </row>
        <row r="647">
          <cell r="Y647">
            <v>631</v>
          </cell>
          <cell r="Z647">
            <v>0.96817521564662457</v>
          </cell>
          <cell r="AA647">
            <v>0.31348911025581738</v>
          </cell>
          <cell r="AB647" t="str">
            <v/>
          </cell>
          <cell r="AC647" t="e">
            <v>#N/A</v>
          </cell>
          <cell r="AD647">
            <v>560</v>
          </cell>
          <cell r="AE647" t="e">
            <v>#N/A</v>
          </cell>
          <cell r="AF647" t="str">
            <v/>
          </cell>
        </row>
        <row r="648">
          <cell r="Y648">
            <v>632</v>
          </cell>
          <cell r="Z648">
            <v>0.74274404905736446</v>
          </cell>
          <cell r="AA648">
            <v>0.11017910299032237</v>
          </cell>
          <cell r="AB648" t="str">
            <v/>
          </cell>
          <cell r="AC648" t="e">
            <v>#N/A</v>
          </cell>
          <cell r="AD648">
            <v>561</v>
          </cell>
          <cell r="AE648" t="e">
            <v>#N/A</v>
          </cell>
          <cell r="AF648" t="str">
            <v/>
          </cell>
        </row>
        <row r="649">
          <cell r="Y649">
            <v>633</v>
          </cell>
          <cell r="Z649">
            <v>0.14624628238379955</v>
          </cell>
          <cell r="AA649">
            <v>-0.1779335945046866</v>
          </cell>
          <cell r="AB649" t="str">
            <v/>
          </cell>
          <cell r="AC649" t="e">
            <v>#N/A</v>
          </cell>
          <cell r="AD649">
            <v>562</v>
          </cell>
          <cell r="AE649" t="e">
            <v>#N/A</v>
          </cell>
          <cell r="AF649" t="str">
            <v/>
          </cell>
        </row>
        <row r="650">
          <cell r="Y650">
            <v>634</v>
          </cell>
          <cell r="Z650">
            <v>0.72503966651856899</v>
          </cell>
          <cell r="AA650">
            <v>0.10105999766717222</v>
          </cell>
          <cell r="AB650" t="str">
            <v/>
          </cell>
          <cell r="AC650" t="e">
            <v>#N/A</v>
          </cell>
          <cell r="AD650">
            <v>563</v>
          </cell>
          <cell r="AE650" t="e">
            <v>#N/A</v>
          </cell>
          <cell r="AF650" t="str">
            <v/>
          </cell>
        </row>
        <row r="651">
          <cell r="Y651">
            <v>635</v>
          </cell>
          <cell r="Z651">
            <v>9.0701354667544365E-2</v>
          </cell>
          <cell r="AA651">
            <v>-0.22590103419770891</v>
          </cell>
          <cell r="AB651" t="str">
            <v/>
          </cell>
          <cell r="AC651" t="e">
            <v>#N/A</v>
          </cell>
          <cell r="AD651">
            <v>564</v>
          </cell>
          <cell r="AE651" t="e">
            <v>#N/A</v>
          </cell>
          <cell r="AF651" t="str">
            <v/>
          </cell>
        </row>
        <row r="652">
          <cell r="Y652">
            <v>636</v>
          </cell>
          <cell r="Z652">
            <v>0.72579305432736874</v>
          </cell>
          <cell r="AA652">
            <v>0.10144193269752959</v>
          </cell>
          <cell r="AB652" t="str">
            <v/>
          </cell>
          <cell r="AC652" t="e">
            <v>#N/A</v>
          </cell>
          <cell r="AD652">
            <v>565</v>
          </cell>
          <cell r="AE652" t="e">
            <v>#N/A</v>
          </cell>
          <cell r="AF652" t="str">
            <v/>
          </cell>
        </row>
        <row r="653">
          <cell r="Y653">
            <v>637</v>
          </cell>
          <cell r="Z653">
            <v>0.97858339361846447</v>
          </cell>
          <cell r="AA653">
            <v>0.34234371001149783</v>
          </cell>
          <cell r="AB653" t="str">
            <v/>
          </cell>
          <cell r="AC653" t="e">
            <v>#N/A</v>
          </cell>
          <cell r="AD653">
            <v>566</v>
          </cell>
          <cell r="AE653" t="e">
            <v>#N/A</v>
          </cell>
          <cell r="AF653" t="str">
            <v/>
          </cell>
        </row>
        <row r="654">
          <cell r="Y654">
            <v>638</v>
          </cell>
          <cell r="Z654">
            <v>0.65776876173913479</v>
          </cell>
          <cell r="AA654">
            <v>6.8690972583130477E-2</v>
          </cell>
          <cell r="AB654" t="str">
            <v/>
          </cell>
          <cell r="AC654" t="e">
            <v>#N/A</v>
          </cell>
          <cell r="AD654">
            <v>567</v>
          </cell>
          <cell r="AE654" t="e">
            <v>#N/A</v>
          </cell>
          <cell r="AF654" t="str">
            <v/>
          </cell>
        </row>
        <row r="655">
          <cell r="Y655">
            <v>639</v>
          </cell>
          <cell r="Z655">
            <v>0.16838525049388409</v>
          </cell>
          <cell r="AA655">
            <v>-0.16236526482826424</v>
          </cell>
          <cell r="AB655" t="str">
            <v/>
          </cell>
          <cell r="AC655" t="e">
            <v>#N/A</v>
          </cell>
          <cell r="AD655">
            <v>568</v>
          </cell>
          <cell r="AE655" t="e">
            <v>#N/A</v>
          </cell>
          <cell r="AF655" t="str">
            <v/>
          </cell>
        </row>
        <row r="656">
          <cell r="Y656">
            <v>640</v>
          </cell>
          <cell r="Z656">
            <v>0.69394709728658199</v>
          </cell>
          <cell r="AA656">
            <v>8.5710449084217405E-2</v>
          </cell>
          <cell r="AB656" t="str">
            <v/>
          </cell>
          <cell r="AC656" t="e">
            <v>#N/A</v>
          </cell>
          <cell r="AD656">
            <v>569</v>
          </cell>
          <cell r="AE656" t="e">
            <v>#N/A</v>
          </cell>
          <cell r="AF656" t="str">
            <v/>
          </cell>
        </row>
        <row r="657">
          <cell r="Y657">
            <v>641</v>
          </cell>
          <cell r="Z657">
            <v>0.99417808465659618</v>
          </cell>
          <cell r="AA657">
            <v>0.42642403044131721</v>
          </cell>
          <cell r="AB657" t="str">
            <v/>
          </cell>
          <cell r="AC657" t="e">
            <v>#N/A</v>
          </cell>
          <cell r="AD657">
            <v>570</v>
          </cell>
          <cell r="AE657" t="e">
            <v>#N/A</v>
          </cell>
          <cell r="AF657" t="str">
            <v/>
          </cell>
        </row>
        <row r="658">
          <cell r="Y658">
            <v>642</v>
          </cell>
          <cell r="Z658">
            <v>0.77088106237351894</v>
          </cell>
          <cell r="AA658">
            <v>0.12537889710839403</v>
          </cell>
          <cell r="AB658" t="str">
            <v/>
          </cell>
          <cell r="AC658" t="e">
            <v>#N/A</v>
          </cell>
          <cell r="AD658">
            <v>571</v>
          </cell>
          <cell r="AE658" t="e">
            <v>#N/A</v>
          </cell>
          <cell r="AF658" t="str">
            <v/>
          </cell>
        </row>
        <row r="659">
          <cell r="Y659">
            <v>643</v>
          </cell>
          <cell r="Z659">
            <v>0.64518900029361248</v>
          </cell>
          <cell r="AA659">
            <v>6.2940970695198883E-2</v>
          </cell>
          <cell r="AB659" t="str">
            <v/>
          </cell>
          <cell r="AC659" t="e">
            <v>#N/A</v>
          </cell>
          <cell r="AD659">
            <v>572</v>
          </cell>
          <cell r="AE659" t="e">
            <v>#N/A</v>
          </cell>
          <cell r="AF659" t="str">
            <v/>
          </cell>
        </row>
        <row r="660">
          <cell r="Y660">
            <v>644</v>
          </cell>
          <cell r="Z660">
            <v>0.39039312861859798</v>
          </cell>
          <cell r="AA660">
            <v>-4.7040365079245992E-2</v>
          </cell>
          <cell r="AB660" t="str">
            <v/>
          </cell>
          <cell r="AC660" t="e">
            <v>#N/A</v>
          </cell>
          <cell r="AD660">
            <v>573</v>
          </cell>
          <cell r="AE660" t="e">
            <v>#N/A</v>
          </cell>
          <cell r="AF660" t="str">
            <v/>
          </cell>
        </row>
        <row r="661">
          <cell r="Y661">
            <v>645</v>
          </cell>
          <cell r="Z661">
            <v>0.36129665188491344</v>
          </cell>
          <cell r="AA661">
            <v>-6.0005114436232541E-2</v>
          </cell>
          <cell r="AB661" t="str">
            <v/>
          </cell>
          <cell r="AC661" t="e">
            <v>#N/A</v>
          </cell>
          <cell r="AD661">
            <v>574</v>
          </cell>
          <cell r="AE661" t="e">
            <v>#N/A</v>
          </cell>
          <cell r="AF661" t="str">
            <v/>
          </cell>
        </row>
        <row r="662">
          <cell r="Y662">
            <v>646</v>
          </cell>
          <cell r="Z662">
            <v>0.21570560894906521</v>
          </cell>
          <cell r="AA662">
            <v>-0.1329899327821501</v>
          </cell>
          <cell r="AB662" t="str">
            <v/>
          </cell>
          <cell r="AC662" t="e">
            <v>#N/A</v>
          </cell>
          <cell r="AD662">
            <v>575</v>
          </cell>
          <cell r="AE662" t="e">
            <v>#N/A</v>
          </cell>
          <cell r="AF662" t="str">
            <v/>
          </cell>
        </row>
        <row r="663">
          <cell r="Y663">
            <v>647</v>
          </cell>
          <cell r="Z663">
            <v>0.8936635684221983</v>
          </cell>
          <cell r="AA663">
            <v>0.2106545896433622</v>
          </cell>
          <cell r="AB663" t="str">
            <v/>
          </cell>
          <cell r="AC663" t="e">
            <v>#N/A</v>
          </cell>
          <cell r="AD663">
            <v>576</v>
          </cell>
          <cell r="AE663" t="e">
            <v>#N/A</v>
          </cell>
          <cell r="AF663" t="str">
            <v/>
          </cell>
        </row>
        <row r="664">
          <cell r="Y664">
            <v>648</v>
          </cell>
          <cell r="Z664">
            <v>0.30184837244451046</v>
          </cell>
          <cell r="AA664">
            <v>-8.7742524167529728E-2</v>
          </cell>
          <cell r="AB664" t="str">
            <v/>
          </cell>
          <cell r="AC664" t="e">
            <v>#N/A</v>
          </cell>
          <cell r="AD664">
            <v>577</v>
          </cell>
          <cell r="AE664" t="e">
            <v>#N/A</v>
          </cell>
          <cell r="AF664" t="str">
            <v/>
          </cell>
        </row>
        <row r="665">
          <cell r="Y665">
            <v>649</v>
          </cell>
          <cell r="Z665">
            <v>0.648473946377635</v>
          </cell>
          <cell r="AA665">
            <v>6.4435185018275581E-2</v>
          </cell>
          <cell r="AB665" t="str">
            <v/>
          </cell>
          <cell r="AC665" t="e">
            <v>#N/A</v>
          </cell>
          <cell r="AD665">
            <v>578</v>
          </cell>
          <cell r="AE665" t="e">
            <v>#N/A</v>
          </cell>
          <cell r="AF665" t="str">
            <v/>
          </cell>
        </row>
        <row r="666">
          <cell r="Y666">
            <v>650</v>
          </cell>
          <cell r="Z666">
            <v>0.89393765293061733</v>
          </cell>
          <cell r="AA666">
            <v>0.21090728926374372</v>
          </cell>
          <cell r="AB666" t="str">
            <v/>
          </cell>
          <cell r="AC666" t="e">
            <v>#N/A</v>
          </cell>
          <cell r="AD666">
            <v>579</v>
          </cell>
          <cell r="AE666" t="e">
            <v>#N/A</v>
          </cell>
          <cell r="AF666" t="str">
            <v/>
          </cell>
        </row>
        <row r="667">
          <cell r="Y667">
            <v>651</v>
          </cell>
          <cell r="Z667">
            <v>0.15049566142261028</v>
          </cell>
          <cell r="AA667">
            <v>-0.17483027794317474</v>
          </cell>
          <cell r="AB667" t="str">
            <v/>
          </cell>
          <cell r="AC667" t="e">
            <v>#N/A</v>
          </cell>
          <cell r="AD667">
            <v>580</v>
          </cell>
          <cell r="AE667" t="e">
            <v>#N/A</v>
          </cell>
          <cell r="AF667" t="str">
            <v/>
          </cell>
        </row>
        <row r="668">
          <cell r="Y668">
            <v>652</v>
          </cell>
          <cell r="Z668">
            <v>0.57066970132291317</v>
          </cell>
          <cell r="AA668">
            <v>3.0100917362333272E-2</v>
          </cell>
          <cell r="AB668" t="str">
            <v/>
          </cell>
          <cell r="AC668" t="e">
            <v>#N/A</v>
          </cell>
          <cell r="AD668">
            <v>581</v>
          </cell>
          <cell r="AE668" t="e">
            <v>#N/A</v>
          </cell>
          <cell r="AF668" t="str">
            <v/>
          </cell>
        </row>
        <row r="669">
          <cell r="Y669">
            <v>653</v>
          </cell>
          <cell r="Z669">
            <v>0.43193524889647961</v>
          </cell>
          <cell r="AA669">
            <v>-2.8980220002246985E-2</v>
          </cell>
          <cell r="AB669" t="str">
            <v/>
          </cell>
          <cell r="AC669" t="e">
            <v>#N/A</v>
          </cell>
          <cell r="AD669">
            <v>582</v>
          </cell>
          <cell r="AE669" t="e">
            <v>#N/A</v>
          </cell>
          <cell r="AF669" t="str">
            <v/>
          </cell>
        </row>
        <row r="670">
          <cell r="Y670">
            <v>654</v>
          </cell>
          <cell r="Z670">
            <v>0.10412303172051907</v>
          </cell>
          <cell r="AA670">
            <v>-0.21270892247158762</v>
          </cell>
          <cell r="AB670" t="str">
            <v/>
          </cell>
          <cell r="AC670" t="e">
            <v>#N/A</v>
          </cell>
          <cell r="AD670">
            <v>583</v>
          </cell>
          <cell r="AE670" t="e">
            <v>#N/A</v>
          </cell>
          <cell r="AF670" t="str">
            <v/>
          </cell>
        </row>
        <row r="671">
          <cell r="Y671">
            <v>655</v>
          </cell>
          <cell r="Z671">
            <v>0.67080460302531719</v>
          </cell>
          <cell r="AA671">
            <v>7.4734624567691171E-2</v>
          </cell>
          <cell r="AB671" t="str">
            <v/>
          </cell>
          <cell r="AC671" t="e">
            <v>#N/A</v>
          </cell>
          <cell r="AD671">
            <v>584</v>
          </cell>
          <cell r="AE671" t="e">
            <v>#N/A</v>
          </cell>
          <cell r="AF671" t="str">
            <v/>
          </cell>
        </row>
        <row r="672">
          <cell r="Y672">
            <v>656</v>
          </cell>
          <cell r="Z672">
            <v>0.75071301124989986</v>
          </cell>
          <cell r="AA672">
            <v>0.11438912703085914</v>
          </cell>
          <cell r="AB672" t="str">
            <v/>
          </cell>
          <cell r="AC672" t="e">
            <v>#N/A</v>
          </cell>
          <cell r="AD672">
            <v>585</v>
          </cell>
          <cell r="AE672" t="e">
            <v>#N/A</v>
          </cell>
          <cell r="AF672" t="str">
            <v/>
          </cell>
        </row>
        <row r="673">
          <cell r="Y673">
            <v>657</v>
          </cell>
          <cell r="Z673">
            <v>0.87176814489066601</v>
          </cell>
          <cell r="AA673">
            <v>0.19181436080902992</v>
          </cell>
          <cell r="AB673" t="str">
            <v/>
          </cell>
          <cell r="AC673" t="e">
            <v>#N/A</v>
          </cell>
          <cell r="AD673">
            <v>586</v>
          </cell>
          <cell r="AE673" t="e">
            <v>#N/A</v>
          </cell>
          <cell r="AF673" t="str">
            <v/>
          </cell>
        </row>
        <row r="674">
          <cell r="Y674">
            <v>658</v>
          </cell>
          <cell r="Z674">
            <v>0.78189254365861416</v>
          </cell>
          <cell r="AA674">
            <v>0.13160755433618077</v>
          </cell>
          <cell r="AB674" t="str">
            <v/>
          </cell>
          <cell r="AC674" t="e">
            <v>#N/A</v>
          </cell>
          <cell r="AD674">
            <v>587</v>
          </cell>
          <cell r="AE674" t="e">
            <v>#N/A</v>
          </cell>
          <cell r="AF674" t="str">
            <v/>
          </cell>
        </row>
        <row r="675">
          <cell r="Y675">
            <v>659</v>
          </cell>
          <cell r="Z675">
            <v>0.60118920914828777</v>
          </cell>
          <cell r="AA675">
            <v>4.3343977676679794E-2</v>
          </cell>
          <cell r="AB675" t="str">
            <v/>
          </cell>
          <cell r="AC675" t="e">
            <v>#N/A</v>
          </cell>
          <cell r="AD675">
            <v>588</v>
          </cell>
          <cell r="AE675" t="e">
            <v>#N/A</v>
          </cell>
          <cell r="AF675" t="str">
            <v/>
          </cell>
        </row>
        <row r="676">
          <cell r="Y676">
            <v>660</v>
          </cell>
          <cell r="Z676">
            <v>0.90694259665906429</v>
          </cell>
          <cell r="AA676">
            <v>0.22348586591660896</v>
          </cell>
          <cell r="AB676" t="str">
            <v/>
          </cell>
          <cell r="AC676" t="e">
            <v>#N/A</v>
          </cell>
          <cell r="AD676">
            <v>589</v>
          </cell>
          <cell r="AE676" t="e">
            <v>#N/A</v>
          </cell>
          <cell r="AF676" t="str">
            <v/>
          </cell>
        </row>
        <row r="677">
          <cell r="Y677">
            <v>661</v>
          </cell>
          <cell r="Z677">
            <v>0.75684439949691296</v>
          </cell>
          <cell r="AA677">
            <v>0.11767722325455135</v>
          </cell>
          <cell r="AB677" t="str">
            <v/>
          </cell>
          <cell r="AC677" t="e">
            <v>#N/A</v>
          </cell>
          <cell r="AD677">
            <v>590</v>
          </cell>
          <cell r="AE677" t="e">
            <v>#N/A</v>
          </cell>
          <cell r="AF677" t="str">
            <v/>
          </cell>
        </row>
        <row r="678">
          <cell r="Y678">
            <v>662</v>
          </cell>
          <cell r="Z678">
            <v>0.83394632302224636</v>
          </cell>
          <cell r="AA678">
            <v>0.16393928782473843</v>
          </cell>
          <cell r="AB678" t="str">
            <v/>
          </cell>
          <cell r="AC678" t="e">
            <v>#N/A</v>
          </cell>
          <cell r="AD678">
            <v>591</v>
          </cell>
          <cell r="AE678" t="e">
            <v>#N/A</v>
          </cell>
          <cell r="AF678" t="str">
            <v/>
          </cell>
        </row>
        <row r="679">
          <cell r="Y679">
            <v>663</v>
          </cell>
          <cell r="Z679">
            <v>7.1524662896990776E-2</v>
          </cell>
          <cell r="AA679">
            <v>-0.24755066950646462</v>
          </cell>
          <cell r="AB679" t="str">
            <v/>
          </cell>
          <cell r="AC679" t="e">
            <v>#N/A</v>
          </cell>
          <cell r="AD679">
            <v>592</v>
          </cell>
          <cell r="AE679" t="e">
            <v>#N/A</v>
          </cell>
          <cell r="AF679" t="str">
            <v/>
          </cell>
        </row>
        <row r="680">
          <cell r="Y680">
            <v>664</v>
          </cell>
          <cell r="Z680">
            <v>0.55879052542150021</v>
          </cell>
          <cell r="AA680">
            <v>2.5000249500605202E-2</v>
          </cell>
          <cell r="AB680" t="str">
            <v/>
          </cell>
          <cell r="AC680" t="e">
            <v>#N/A</v>
          </cell>
          <cell r="AD680">
            <v>593</v>
          </cell>
          <cell r="AE680" t="e">
            <v>#N/A</v>
          </cell>
          <cell r="AF680" t="str">
            <v/>
          </cell>
        </row>
        <row r="681">
          <cell r="Y681">
            <v>665</v>
          </cell>
          <cell r="Z681">
            <v>0.5184918325394392</v>
          </cell>
          <cell r="AA681">
            <v>7.8377511100884596E-3</v>
          </cell>
          <cell r="AB681" t="str">
            <v/>
          </cell>
          <cell r="AC681" t="e">
            <v>#N/A</v>
          </cell>
          <cell r="AD681">
            <v>594</v>
          </cell>
          <cell r="AE681" t="e">
            <v>#N/A</v>
          </cell>
          <cell r="AF681" t="str">
            <v/>
          </cell>
        </row>
        <row r="682">
          <cell r="Y682">
            <v>666</v>
          </cell>
          <cell r="Z682">
            <v>6.5788215026259422E-2</v>
          </cell>
          <cell r="AA682">
            <v>-0.25488405854260593</v>
          </cell>
          <cell r="AB682" t="str">
            <v/>
          </cell>
          <cell r="AC682" t="e">
            <v>#N/A</v>
          </cell>
          <cell r="AD682">
            <v>595</v>
          </cell>
          <cell r="AE682" t="e">
            <v>#N/A</v>
          </cell>
          <cell r="AF682" t="str">
            <v/>
          </cell>
        </row>
        <row r="683">
          <cell r="Y683">
            <v>667</v>
          </cell>
          <cell r="Z683">
            <v>5.5093895643949509E-3</v>
          </cell>
          <cell r="AA683">
            <v>-0.42969378285583931</v>
          </cell>
          <cell r="AB683" t="str">
            <v/>
          </cell>
          <cell r="AC683" t="e">
            <v>#N/A</v>
          </cell>
          <cell r="AD683">
            <v>596</v>
          </cell>
          <cell r="AE683" t="e">
            <v>#N/A</v>
          </cell>
          <cell r="AF683" t="str">
            <v/>
          </cell>
        </row>
        <row r="684">
          <cell r="Y684">
            <v>668</v>
          </cell>
          <cell r="Z684">
            <v>0.96726601384580135</v>
          </cell>
          <cell r="AA684">
            <v>0.31136312204414274</v>
          </cell>
          <cell r="AB684" t="str">
            <v/>
          </cell>
          <cell r="AC684" t="e">
            <v>#N/A</v>
          </cell>
          <cell r="AD684">
            <v>597</v>
          </cell>
          <cell r="AE684" t="e">
            <v>#N/A</v>
          </cell>
          <cell r="AF684" t="str">
            <v/>
          </cell>
        </row>
        <row r="685">
          <cell r="Y685">
            <v>669</v>
          </cell>
          <cell r="Z685">
            <v>0.71291619352996349</v>
          </cell>
          <cell r="AA685">
            <v>9.4982538551826395E-2</v>
          </cell>
          <cell r="AB685" t="str">
            <v/>
          </cell>
          <cell r="AC685" t="e">
            <v>#N/A</v>
          </cell>
          <cell r="AD685">
            <v>598</v>
          </cell>
          <cell r="AE685" t="e">
            <v>#N/A</v>
          </cell>
          <cell r="AF685" t="str">
            <v/>
          </cell>
        </row>
        <row r="686">
          <cell r="Y686">
            <v>670</v>
          </cell>
          <cell r="Z686">
            <v>0.20321015082299709</v>
          </cell>
          <cell r="AA686">
            <v>-0.14033103120177709</v>
          </cell>
          <cell r="AB686" t="str">
            <v/>
          </cell>
          <cell r="AC686" t="e">
            <v>#N/A</v>
          </cell>
          <cell r="AD686">
            <v>599</v>
          </cell>
          <cell r="AE686" t="e">
            <v>#N/A</v>
          </cell>
          <cell r="AF686" t="str">
            <v/>
          </cell>
        </row>
        <row r="687">
          <cell r="Y687">
            <v>671</v>
          </cell>
          <cell r="Z687">
            <v>0.14996193163096905</v>
          </cell>
          <cell r="AA687">
            <v>-0.17521681816560852</v>
          </cell>
          <cell r="AB687" t="str">
            <v/>
          </cell>
          <cell r="AC687" t="e">
            <v>#N/A</v>
          </cell>
          <cell r="AD687">
            <v>600</v>
          </cell>
          <cell r="AE687" t="e">
            <v>#N/A</v>
          </cell>
          <cell r="AF687" t="str">
            <v/>
          </cell>
        </row>
        <row r="688">
          <cell r="Y688">
            <v>672</v>
          </cell>
          <cell r="Z688">
            <v>0.26581480167806149</v>
          </cell>
          <cell r="AA688">
            <v>-0.10573223528336995</v>
          </cell>
          <cell r="AB688" t="str">
            <v/>
          </cell>
          <cell r="AC688" t="e">
            <v>#N/A</v>
          </cell>
          <cell r="AD688">
            <v>601</v>
          </cell>
          <cell r="AE688" t="e">
            <v>#N/A</v>
          </cell>
          <cell r="AF688" t="str">
            <v/>
          </cell>
        </row>
        <row r="689">
          <cell r="Y689">
            <v>673</v>
          </cell>
          <cell r="Z689">
            <v>0.47237303666770458</v>
          </cell>
          <cell r="AA689">
            <v>-1.1714847182059576E-2</v>
          </cell>
          <cell r="AB689" t="str">
            <v/>
          </cell>
          <cell r="AC689" t="e">
            <v>#N/A</v>
          </cell>
          <cell r="AD689">
            <v>602</v>
          </cell>
          <cell r="AE689" t="e">
            <v>#N/A</v>
          </cell>
          <cell r="AF689" t="str">
            <v/>
          </cell>
        </row>
        <row r="690">
          <cell r="Y690">
            <v>674</v>
          </cell>
          <cell r="Z690">
            <v>0.50752652250230312</v>
          </cell>
          <cell r="AA690">
            <v>3.1891580454435574E-3</v>
          </cell>
          <cell r="AB690" t="str">
            <v/>
          </cell>
          <cell r="AC690" t="e">
            <v>#N/A</v>
          </cell>
          <cell r="AD690">
            <v>603</v>
          </cell>
          <cell r="AE690" t="e">
            <v>#N/A</v>
          </cell>
          <cell r="AF690" t="str">
            <v/>
          </cell>
        </row>
        <row r="691">
          <cell r="Y691">
            <v>675</v>
          </cell>
          <cell r="Z691">
            <v>0.82286782376468182</v>
          </cell>
          <cell r="AA691">
            <v>0.15658165294727394</v>
          </cell>
          <cell r="AB691" t="str">
            <v/>
          </cell>
          <cell r="AC691" t="e">
            <v>#N/A</v>
          </cell>
          <cell r="AD691">
            <v>604</v>
          </cell>
          <cell r="AE691" t="e">
            <v>#N/A</v>
          </cell>
          <cell r="AF691" t="str">
            <v/>
          </cell>
        </row>
        <row r="692">
          <cell r="Y692">
            <v>676</v>
          </cell>
          <cell r="Z692">
            <v>0.93492852710187435</v>
          </cell>
          <cell r="AA692">
            <v>0.25583468966989859</v>
          </cell>
          <cell r="AB692" t="str">
            <v/>
          </cell>
          <cell r="AC692" t="e">
            <v>#N/A</v>
          </cell>
          <cell r="AD692">
            <v>605</v>
          </cell>
          <cell r="AE692" t="e">
            <v>#N/A</v>
          </cell>
          <cell r="AF692" t="str">
            <v/>
          </cell>
        </row>
        <row r="693">
          <cell r="Y693">
            <v>677</v>
          </cell>
          <cell r="Z693">
            <v>0.42508959583938122</v>
          </cell>
          <cell r="AA693">
            <v>-3.1928202855214471E-2</v>
          </cell>
          <cell r="AB693" t="str">
            <v/>
          </cell>
          <cell r="AC693" t="e">
            <v>#N/A</v>
          </cell>
          <cell r="AD693">
            <v>606</v>
          </cell>
          <cell r="AE693" t="e">
            <v>#N/A</v>
          </cell>
          <cell r="AF693" t="str">
            <v/>
          </cell>
        </row>
        <row r="694">
          <cell r="Y694">
            <v>678</v>
          </cell>
          <cell r="Z694">
            <v>0.48455855809152126</v>
          </cell>
          <cell r="AA694">
            <v>-6.5441349575541454E-3</v>
          </cell>
          <cell r="AB694" t="str">
            <v/>
          </cell>
          <cell r="AC694" t="e">
            <v>#N/A</v>
          </cell>
          <cell r="AD694">
            <v>607</v>
          </cell>
          <cell r="AE694" t="e">
            <v>#N/A</v>
          </cell>
          <cell r="AF694" t="str">
            <v/>
          </cell>
        </row>
        <row r="695">
          <cell r="Y695">
            <v>679</v>
          </cell>
          <cell r="Z695">
            <v>0.88017646782100201</v>
          </cell>
          <cell r="AA695">
            <v>0.19875820701177496</v>
          </cell>
          <cell r="AB695" t="str">
            <v/>
          </cell>
          <cell r="AC695" t="e">
            <v>#N/A</v>
          </cell>
          <cell r="AD695">
            <v>608</v>
          </cell>
          <cell r="AE695" t="e">
            <v>#N/A</v>
          </cell>
          <cell r="AF695" t="str">
            <v/>
          </cell>
        </row>
        <row r="696">
          <cell r="Y696">
            <v>680</v>
          </cell>
          <cell r="Z696">
            <v>0.1205041017383337</v>
          </cell>
          <cell r="AA696">
            <v>-0.19818368873786119</v>
          </cell>
          <cell r="AB696" t="str">
            <v/>
          </cell>
          <cell r="AC696" t="e">
            <v>#N/A</v>
          </cell>
          <cell r="AD696">
            <v>609</v>
          </cell>
          <cell r="AE696" t="e">
            <v>#N/A</v>
          </cell>
          <cell r="AF696" t="str">
            <v/>
          </cell>
        </row>
        <row r="697">
          <cell r="Y697">
            <v>681</v>
          </cell>
          <cell r="Z697">
            <v>0.58393665961921215</v>
          </cell>
          <cell r="AA697">
            <v>3.5830283749237364E-2</v>
          </cell>
          <cell r="AB697" t="str">
            <v/>
          </cell>
          <cell r="AC697" t="e">
            <v>#N/A</v>
          </cell>
          <cell r="AD697">
            <v>610</v>
          </cell>
          <cell r="AE697" t="e">
            <v>#N/A</v>
          </cell>
          <cell r="AF697" t="str">
            <v/>
          </cell>
        </row>
        <row r="698">
          <cell r="Y698">
            <v>682</v>
          </cell>
          <cell r="Z698">
            <v>0.18736869655549526</v>
          </cell>
          <cell r="AA698">
            <v>-0.15003761371443936</v>
          </cell>
          <cell r="AB698" t="str">
            <v/>
          </cell>
          <cell r="AC698" t="e">
            <v>#N/A</v>
          </cell>
          <cell r="AD698">
            <v>611</v>
          </cell>
          <cell r="AE698" t="e">
            <v>#N/A</v>
          </cell>
          <cell r="AF698" t="str">
            <v/>
          </cell>
        </row>
        <row r="699">
          <cell r="Y699">
            <v>683</v>
          </cell>
          <cell r="Z699">
            <v>0.40134800784289837</v>
          </cell>
          <cell r="AA699">
            <v>-4.2233961409577338E-2</v>
          </cell>
          <cell r="AB699" t="str">
            <v/>
          </cell>
          <cell r="AC699" t="e">
            <v>#N/A</v>
          </cell>
          <cell r="AD699">
            <v>612</v>
          </cell>
          <cell r="AE699" t="e">
            <v>#N/A</v>
          </cell>
          <cell r="AF699" t="str">
            <v/>
          </cell>
        </row>
        <row r="700">
          <cell r="Y700">
            <v>684</v>
          </cell>
          <cell r="Z700">
            <v>0.29595308564603329</v>
          </cell>
          <cell r="AA700">
            <v>-9.0613346981274906E-2</v>
          </cell>
          <cell r="AB700" t="str">
            <v/>
          </cell>
          <cell r="AC700" t="e">
            <v>#N/A</v>
          </cell>
          <cell r="AD700">
            <v>613</v>
          </cell>
          <cell r="AE700" t="e">
            <v>#N/A</v>
          </cell>
          <cell r="AF700" t="str">
            <v/>
          </cell>
        </row>
        <row r="701">
          <cell r="Y701">
            <v>685</v>
          </cell>
          <cell r="Z701">
            <v>0.70385044626891613</v>
          </cell>
          <cell r="AA701">
            <v>9.0517255486859322E-2</v>
          </cell>
          <cell r="AB701" t="str">
            <v/>
          </cell>
          <cell r="AC701" t="e">
            <v>#N/A</v>
          </cell>
          <cell r="AD701">
            <v>614</v>
          </cell>
          <cell r="AE701" t="e">
            <v>#N/A</v>
          </cell>
          <cell r="AF701" t="str">
            <v/>
          </cell>
        </row>
        <row r="702">
          <cell r="Y702">
            <v>686</v>
          </cell>
          <cell r="Z702">
            <v>0.61274496279656887</v>
          </cell>
          <cell r="AA702">
            <v>4.842405422271151E-2</v>
          </cell>
          <cell r="AB702" t="str">
            <v/>
          </cell>
          <cell r="AC702" t="e">
            <v>#N/A</v>
          </cell>
          <cell r="AD702">
            <v>615</v>
          </cell>
          <cell r="AE702" t="e">
            <v>#N/A</v>
          </cell>
          <cell r="AF702" t="str">
            <v/>
          </cell>
        </row>
        <row r="703">
          <cell r="Y703">
            <v>687</v>
          </cell>
          <cell r="Z703">
            <v>0.59365020506083965</v>
          </cell>
          <cell r="AA703">
            <v>4.0050986435778139E-2</v>
          </cell>
          <cell r="AB703" t="str">
            <v/>
          </cell>
          <cell r="AC703" t="e">
            <v>#N/A</v>
          </cell>
          <cell r="AD703">
            <v>616</v>
          </cell>
          <cell r="AE703" t="e">
            <v>#N/A</v>
          </cell>
          <cell r="AF703" t="str">
            <v/>
          </cell>
        </row>
        <row r="704">
          <cell r="Y704">
            <v>688</v>
          </cell>
          <cell r="Z704">
            <v>0.76806106232106686</v>
          </cell>
          <cell r="AA704">
            <v>0.12381109997862043</v>
          </cell>
          <cell r="AB704" t="str">
            <v/>
          </cell>
          <cell r="AC704" t="e">
            <v>#N/A</v>
          </cell>
          <cell r="AD704">
            <v>617</v>
          </cell>
          <cell r="AE704" t="e">
            <v>#N/A</v>
          </cell>
          <cell r="AF704" t="str">
            <v/>
          </cell>
        </row>
        <row r="705">
          <cell r="Y705">
            <v>689</v>
          </cell>
          <cell r="Z705">
            <v>0.60800447873771191</v>
          </cell>
          <cell r="AA705">
            <v>4.6335036445969063E-2</v>
          </cell>
          <cell r="AB705" t="str">
            <v/>
          </cell>
          <cell r="AC705" t="e">
            <v>#N/A</v>
          </cell>
          <cell r="AD705">
            <v>618</v>
          </cell>
          <cell r="AE705" t="e">
            <v>#N/A</v>
          </cell>
          <cell r="AF705" t="str">
            <v/>
          </cell>
        </row>
        <row r="706">
          <cell r="Y706">
            <v>690</v>
          </cell>
          <cell r="Z706">
            <v>0.69143534265458584</v>
          </cell>
          <cell r="AA706">
            <v>8.450240574410918E-2</v>
          </cell>
          <cell r="AB706" t="str">
            <v/>
          </cell>
          <cell r="AC706" t="e">
            <v>#N/A</v>
          </cell>
          <cell r="AD706">
            <v>619</v>
          </cell>
          <cell r="AE706" t="e">
            <v>#N/A</v>
          </cell>
          <cell r="AF706" t="str">
            <v/>
          </cell>
        </row>
        <row r="707">
          <cell r="Y707">
            <v>691</v>
          </cell>
          <cell r="Z707">
            <v>0.41520531289279461</v>
          </cell>
          <cell r="AA707">
            <v>-3.6202174929325773E-2</v>
          </cell>
          <cell r="AB707" t="str">
            <v/>
          </cell>
          <cell r="AC707" t="e">
            <v>#N/A</v>
          </cell>
          <cell r="AD707">
            <v>620</v>
          </cell>
          <cell r="AE707" t="e">
            <v>#N/A</v>
          </cell>
          <cell r="AF707" t="str">
            <v/>
          </cell>
        </row>
        <row r="708">
          <cell r="Y708">
            <v>692</v>
          </cell>
          <cell r="Z708">
            <v>0.52659701369702816</v>
          </cell>
          <cell r="AA708">
            <v>1.1277449509402579E-2</v>
          </cell>
          <cell r="AB708" t="str">
            <v/>
          </cell>
          <cell r="AC708" t="e">
            <v>#N/A</v>
          </cell>
          <cell r="AD708">
            <v>621</v>
          </cell>
          <cell r="AE708" t="e">
            <v>#N/A</v>
          </cell>
          <cell r="AF708" t="str">
            <v/>
          </cell>
        </row>
        <row r="709">
          <cell r="Y709">
            <v>693</v>
          </cell>
          <cell r="Z709">
            <v>0.98273145966231823</v>
          </cell>
          <cell r="AA709">
            <v>0.357288060895596</v>
          </cell>
          <cell r="AB709" t="str">
            <v/>
          </cell>
          <cell r="AC709" t="e">
            <v>#N/A</v>
          </cell>
          <cell r="AD709">
            <v>622</v>
          </cell>
          <cell r="AE709" t="e">
            <v>#N/A</v>
          </cell>
          <cell r="AF709" t="str">
            <v/>
          </cell>
        </row>
        <row r="710">
          <cell r="Y710">
            <v>694</v>
          </cell>
          <cell r="Z710">
            <v>0.37213215790688992</v>
          </cell>
          <cell r="AA710">
            <v>-5.5139813094570278E-2</v>
          </cell>
          <cell r="AB710" t="str">
            <v/>
          </cell>
          <cell r="AC710" t="e">
            <v>#N/A</v>
          </cell>
          <cell r="AD710">
            <v>623</v>
          </cell>
          <cell r="AE710" t="e">
            <v>#N/A</v>
          </cell>
          <cell r="AF710" t="str">
            <v/>
          </cell>
        </row>
        <row r="711">
          <cell r="Y711">
            <v>695</v>
          </cell>
          <cell r="Z711">
            <v>0.41678695194423199</v>
          </cell>
          <cell r="AA711">
            <v>-3.5516786717225149E-2</v>
          </cell>
          <cell r="AB711" t="str">
            <v/>
          </cell>
          <cell r="AC711" t="e">
            <v>#N/A</v>
          </cell>
          <cell r="AD711">
            <v>624</v>
          </cell>
          <cell r="AE711" t="e">
            <v>#N/A</v>
          </cell>
          <cell r="AF711" t="str">
            <v/>
          </cell>
        </row>
        <row r="712">
          <cell r="Y712">
            <v>696</v>
          </cell>
          <cell r="Z712">
            <v>0.93767269514501095</v>
          </cell>
          <cell r="AA712">
            <v>0.25955131178598995</v>
          </cell>
          <cell r="AB712" t="str">
            <v/>
          </cell>
          <cell r="AC712" t="e">
            <v>#N/A</v>
          </cell>
          <cell r="AD712">
            <v>625</v>
          </cell>
          <cell r="AE712" t="e">
            <v>#N/A</v>
          </cell>
          <cell r="AF712" t="str">
            <v/>
          </cell>
        </row>
        <row r="713">
          <cell r="Y713">
            <v>697</v>
          </cell>
          <cell r="Z713">
            <v>0.14119514636695385</v>
          </cell>
          <cell r="AA713">
            <v>-0.18170228864107196</v>
          </cell>
          <cell r="AB713" t="str">
            <v/>
          </cell>
          <cell r="AC713" t="e">
            <v>#N/A</v>
          </cell>
          <cell r="AD713">
            <v>626</v>
          </cell>
          <cell r="AE713" t="e">
            <v>#N/A</v>
          </cell>
          <cell r="AF713" t="str">
            <v/>
          </cell>
        </row>
        <row r="714">
          <cell r="Y714">
            <v>698</v>
          </cell>
          <cell r="Z714">
            <v>0.29920644126832485</v>
          </cell>
          <cell r="AA714">
            <v>-8.9025885063736737E-2</v>
          </cell>
          <cell r="AB714" t="str">
            <v/>
          </cell>
          <cell r="AC714" t="e">
            <v>#N/A</v>
          </cell>
          <cell r="AD714">
            <v>627</v>
          </cell>
          <cell r="AE714" t="e">
            <v>#N/A</v>
          </cell>
          <cell r="AF714" t="str">
            <v/>
          </cell>
        </row>
        <row r="715">
          <cell r="Y715">
            <v>699</v>
          </cell>
          <cell r="Z715">
            <v>0.30236698500812054</v>
          </cell>
          <cell r="AA715">
            <v>-8.7491194834005276E-2</v>
          </cell>
          <cell r="AB715" t="str">
            <v/>
          </cell>
          <cell r="AC715" t="e">
            <v>#N/A</v>
          </cell>
          <cell r="AD715">
            <v>628</v>
          </cell>
          <cell r="AE715" t="e">
            <v>#N/A</v>
          </cell>
          <cell r="AF715" t="str">
            <v/>
          </cell>
        </row>
        <row r="716">
          <cell r="Y716">
            <v>700</v>
          </cell>
          <cell r="Z716">
            <v>0.78085201047360897</v>
          </cell>
          <cell r="AA716">
            <v>0.13101140488851279</v>
          </cell>
          <cell r="AB716" t="str">
            <v/>
          </cell>
          <cell r="AC716" t="e">
            <v>#N/A</v>
          </cell>
          <cell r="AD716">
            <v>629</v>
          </cell>
          <cell r="AE716" t="e">
            <v>#N/A</v>
          </cell>
          <cell r="AF716" t="str">
            <v/>
          </cell>
        </row>
        <row r="717">
          <cell r="Y717">
            <v>701</v>
          </cell>
          <cell r="Z717">
            <v>0.25581222586333752</v>
          </cell>
          <cell r="AA717">
            <v>-0.11093669898891453</v>
          </cell>
          <cell r="AB717" t="str">
            <v/>
          </cell>
          <cell r="AC717" t="e">
            <v>#N/A</v>
          </cell>
          <cell r="AD717">
            <v>630</v>
          </cell>
          <cell r="AE717" t="e">
            <v>#N/A</v>
          </cell>
          <cell r="AF717" t="str">
            <v/>
          </cell>
        </row>
        <row r="718">
          <cell r="Y718">
            <v>702</v>
          </cell>
          <cell r="Z718">
            <v>0.5841923113912344</v>
          </cell>
          <cell r="AA718">
            <v>3.5941071581933305E-2</v>
          </cell>
          <cell r="AB718" t="str">
            <v/>
          </cell>
          <cell r="AC718" t="e">
            <v>#N/A</v>
          </cell>
          <cell r="AD718">
            <v>631</v>
          </cell>
          <cell r="AE718" t="e">
            <v>#N/A</v>
          </cell>
          <cell r="AF718" t="str">
            <v/>
          </cell>
        </row>
        <row r="719">
          <cell r="Y719">
            <v>703</v>
          </cell>
          <cell r="Z719">
            <v>0.70841239206492901</v>
          </cell>
          <cell r="AA719">
            <v>9.2756125678076021E-2</v>
          </cell>
          <cell r="AB719" t="str">
            <v/>
          </cell>
          <cell r="AC719" t="e">
            <v>#N/A</v>
          </cell>
          <cell r="AD719">
            <v>632</v>
          </cell>
          <cell r="AE719" t="e">
            <v>#N/A</v>
          </cell>
          <cell r="AF719" t="str">
            <v/>
          </cell>
        </row>
        <row r="720">
          <cell r="Y720">
            <v>704</v>
          </cell>
          <cell r="Z720">
            <v>0.13001038692891598</v>
          </cell>
          <cell r="AA720">
            <v>-0.19038655180265113</v>
          </cell>
          <cell r="AB720" t="str">
            <v/>
          </cell>
          <cell r="AC720" t="e">
            <v>#N/A</v>
          </cell>
          <cell r="AD720">
            <v>633</v>
          </cell>
          <cell r="AE720" t="e">
            <v>#N/A</v>
          </cell>
          <cell r="AF720" t="str">
            <v/>
          </cell>
        </row>
        <row r="721">
          <cell r="Y721">
            <v>705</v>
          </cell>
          <cell r="Z721">
            <v>0.55942418985068798</v>
          </cell>
          <cell r="AA721">
            <v>2.527171659673362E-2</v>
          </cell>
          <cell r="AB721" t="str">
            <v/>
          </cell>
          <cell r="AC721" t="e">
            <v>#N/A</v>
          </cell>
          <cell r="AD721">
            <v>634</v>
          </cell>
          <cell r="AE721" t="e">
            <v>#N/A</v>
          </cell>
          <cell r="AF721" t="str">
            <v/>
          </cell>
        </row>
        <row r="722">
          <cell r="Y722">
            <v>706</v>
          </cell>
          <cell r="Z722">
            <v>0.1710213478654623</v>
          </cell>
          <cell r="AA722">
            <v>-0.16060244873515456</v>
          </cell>
          <cell r="AB722" t="str">
            <v/>
          </cell>
          <cell r="AC722" t="e">
            <v>#N/A</v>
          </cell>
          <cell r="AD722">
            <v>635</v>
          </cell>
          <cell r="AE722" t="e">
            <v>#N/A</v>
          </cell>
          <cell r="AF722" t="str">
            <v/>
          </cell>
        </row>
        <row r="723">
          <cell r="Y723">
            <v>707</v>
          </cell>
          <cell r="Z723">
            <v>0.70193214528262615</v>
          </cell>
          <cell r="AA723">
            <v>8.9580553968758692E-2</v>
          </cell>
          <cell r="AB723" t="str">
            <v/>
          </cell>
          <cell r="AC723" t="e">
            <v>#N/A</v>
          </cell>
          <cell r="AD723">
            <v>636</v>
          </cell>
          <cell r="AE723" t="e">
            <v>#N/A</v>
          </cell>
          <cell r="AF723" t="str">
            <v/>
          </cell>
        </row>
        <row r="724">
          <cell r="Y724">
            <v>708</v>
          </cell>
          <cell r="Z724">
            <v>0.57794415019452572</v>
          </cell>
          <cell r="AA724">
            <v>3.3237700955450214E-2</v>
          </cell>
          <cell r="AB724" t="str">
            <v/>
          </cell>
          <cell r="AC724" t="e">
            <v>#N/A</v>
          </cell>
          <cell r="AD724">
            <v>637</v>
          </cell>
          <cell r="AE724" t="e">
            <v>#N/A</v>
          </cell>
          <cell r="AF724" t="str">
            <v/>
          </cell>
        </row>
        <row r="725">
          <cell r="Y725">
            <v>709</v>
          </cell>
          <cell r="Z725">
            <v>1.5219209715723991E-2</v>
          </cell>
          <cell r="AA725">
            <v>-0.36583989151378249</v>
          </cell>
          <cell r="AB725" t="str">
            <v/>
          </cell>
          <cell r="AC725" t="e">
            <v>#N/A</v>
          </cell>
          <cell r="AD725">
            <v>638</v>
          </cell>
          <cell r="AE725" t="e">
            <v>#N/A</v>
          </cell>
          <cell r="AF725" t="str">
            <v/>
          </cell>
        </row>
        <row r="726">
          <cell r="Y726">
            <v>710</v>
          </cell>
          <cell r="Z726">
            <v>0.29500696621835232</v>
          </cell>
          <cell r="AA726">
            <v>-9.1076500018352685E-2</v>
          </cell>
          <cell r="AB726" t="str">
            <v/>
          </cell>
          <cell r="AC726" t="e">
            <v>#N/A</v>
          </cell>
          <cell r="AD726">
            <v>639</v>
          </cell>
          <cell r="AE726" t="e">
            <v>#N/A</v>
          </cell>
          <cell r="AF726" t="str">
            <v/>
          </cell>
        </row>
        <row r="727">
          <cell r="Y727">
            <v>711</v>
          </cell>
          <cell r="Z727">
            <v>0.49727408401668072</v>
          </cell>
          <cell r="AA727">
            <v>-1.1549728026207442E-3</v>
          </cell>
          <cell r="AB727" t="str">
            <v/>
          </cell>
          <cell r="AC727" t="e">
            <v>#N/A</v>
          </cell>
          <cell r="AD727">
            <v>640</v>
          </cell>
          <cell r="AE727" t="e">
            <v>#N/A</v>
          </cell>
          <cell r="AF727" t="str">
            <v/>
          </cell>
        </row>
        <row r="728">
          <cell r="Y728">
            <v>712</v>
          </cell>
          <cell r="Z728">
            <v>0.30472989939153194</v>
          </cell>
          <cell r="AA728">
            <v>-8.634851613637376E-2</v>
          </cell>
          <cell r="AB728" t="str">
            <v/>
          </cell>
          <cell r="AC728" t="e">
            <v>#N/A</v>
          </cell>
          <cell r="AD728">
            <v>641</v>
          </cell>
          <cell r="AE728" t="e">
            <v>#N/A</v>
          </cell>
          <cell r="AF728" t="str">
            <v/>
          </cell>
        </row>
        <row r="729">
          <cell r="Y729">
            <v>713</v>
          </cell>
          <cell r="Z729">
            <v>0.9554040115326643</v>
          </cell>
          <cell r="AA729">
            <v>0.28729759903474406</v>
          </cell>
          <cell r="AB729" t="str">
            <v/>
          </cell>
          <cell r="AC729" t="e">
            <v>#N/A</v>
          </cell>
          <cell r="AD729">
            <v>642</v>
          </cell>
          <cell r="AE729" t="e">
            <v>#N/A</v>
          </cell>
          <cell r="AF729" t="str">
            <v/>
          </cell>
        </row>
        <row r="730">
          <cell r="Y730">
            <v>714</v>
          </cell>
          <cell r="Z730">
            <v>0.53557879291474819</v>
          </cell>
          <cell r="AA730">
            <v>1.509468467905677E-2</v>
          </cell>
          <cell r="AB730" t="str">
            <v/>
          </cell>
          <cell r="AC730" t="e">
            <v>#N/A</v>
          </cell>
          <cell r="AD730">
            <v>643</v>
          </cell>
          <cell r="AE730" t="e">
            <v>#N/A</v>
          </cell>
          <cell r="AF730" t="str">
            <v/>
          </cell>
        </row>
        <row r="731">
          <cell r="Y731">
            <v>715</v>
          </cell>
          <cell r="Z731">
            <v>0.89167178981006145</v>
          </cell>
          <cell r="AA731">
            <v>0.20883218845686302</v>
          </cell>
          <cell r="AB731" t="str">
            <v/>
          </cell>
          <cell r="AC731" t="e">
            <v>#N/A</v>
          </cell>
          <cell r="AD731">
            <v>644</v>
          </cell>
          <cell r="AE731" t="e">
            <v>#N/A</v>
          </cell>
          <cell r="AF731" t="str">
            <v/>
          </cell>
        </row>
        <row r="732">
          <cell r="Y732">
            <v>716</v>
          </cell>
          <cell r="Z732">
            <v>0.4898338820785284</v>
          </cell>
          <cell r="AA732">
            <v>-4.3078251344251884E-3</v>
          </cell>
          <cell r="AB732" t="str">
            <v/>
          </cell>
          <cell r="AC732" t="e">
            <v>#N/A</v>
          </cell>
          <cell r="AD732">
            <v>645</v>
          </cell>
          <cell r="AE732" t="e">
            <v>#N/A</v>
          </cell>
          <cell r="AF732" t="str">
            <v/>
          </cell>
        </row>
        <row r="733">
          <cell r="Y733">
            <v>717</v>
          </cell>
          <cell r="Z733">
            <v>0.18862575106322765</v>
          </cell>
          <cell r="AA733">
            <v>-0.14924947657864426</v>
          </cell>
          <cell r="AB733" t="str">
            <v/>
          </cell>
          <cell r="AC733" t="e">
            <v>#N/A</v>
          </cell>
          <cell r="AD733">
            <v>646</v>
          </cell>
          <cell r="AE733" t="e">
            <v>#N/A</v>
          </cell>
          <cell r="AF733" t="str">
            <v/>
          </cell>
        </row>
        <row r="734">
          <cell r="Y734">
            <v>718</v>
          </cell>
          <cell r="Z734">
            <v>0.96276704035699368</v>
          </cell>
          <cell r="AA734">
            <v>0.30150709411570431</v>
          </cell>
          <cell r="AB734" t="str">
            <v/>
          </cell>
          <cell r="AC734" t="e">
            <v>#N/A</v>
          </cell>
          <cell r="AD734">
            <v>647</v>
          </cell>
          <cell r="AE734" t="e">
            <v>#N/A</v>
          </cell>
          <cell r="AF734" t="str">
            <v/>
          </cell>
        </row>
        <row r="735">
          <cell r="Y735">
            <v>719</v>
          </cell>
          <cell r="Z735">
            <v>0.91954146139323711</v>
          </cell>
          <cell r="AA735">
            <v>0.23698021687353321</v>
          </cell>
          <cell r="AB735" t="str">
            <v/>
          </cell>
          <cell r="AC735" t="e">
            <v>#N/A</v>
          </cell>
          <cell r="AD735">
            <v>648</v>
          </cell>
          <cell r="AE735" t="e">
            <v>#N/A</v>
          </cell>
          <cell r="AF735" t="str">
            <v/>
          </cell>
        </row>
        <row r="736">
          <cell r="Y736">
            <v>720</v>
          </cell>
          <cell r="Z736">
            <v>0.56797136925160885</v>
          </cell>
          <cell r="AA736">
            <v>2.894006935340426E-2</v>
          </cell>
          <cell r="AB736" t="str">
            <v/>
          </cell>
          <cell r="AC736" t="e">
            <v>#N/A</v>
          </cell>
          <cell r="AD736">
            <v>649</v>
          </cell>
          <cell r="AE736" t="e">
            <v>#N/A</v>
          </cell>
          <cell r="AF736" t="str">
            <v/>
          </cell>
        </row>
        <row r="737">
          <cell r="Y737">
            <v>721</v>
          </cell>
          <cell r="Z737">
            <v>7.6143888756632805E-2</v>
          </cell>
          <cell r="AA737">
            <v>-0.2419671847489307</v>
          </cell>
          <cell r="AB737" t="str">
            <v/>
          </cell>
          <cell r="AC737" t="e">
            <v>#N/A</v>
          </cell>
          <cell r="AD737">
            <v>650</v>
          </cell>
          <cell r="AE737" t="e">
            <v>#N/A</v>
          </cell>
          <cell r="AF737" t="str">
            <v/>
          </cell>
        </row>
        <row r="738">
          <cell r="Y738">
            <v>722</v>
          </cell>
          <cell r="Z738">
            <v>0.87743688188493252</v>
          </cell>
          <cell r="AA738">
            <v>0.19645930910083995</v>
          </cell>
          <cell r="AB738" t="str">
            <v/>
          </cell>
          <cell r="AC738" t="e">
            <v>#N/A</v>
          </cell>
          <cell r="AD738">
            <v>651</v>
          </cell>
          <cell r="AE738" t="e">
            <v>#N/A</v>
          </cell>
          <cell r="AF738" t="str">
            <v/>
          </cell>
        </row>
        <row r="739">
          <cell r="Y739">
            <v>723</v>
          </cell>
          <cell r="Z739">
            <v>0.22552878968417645</v>
          </cell>
          <cell r="AA739">
            <v>-0.12739061672048077</v>
          </cell>
          <cell r="AB739" t="str">
            <v/>
          </cell>
          <cell r="AC739" t="e">
            <v>#N/A</v>
          </cell>
          <cell r="AD739">
            <v>652</v>
          </cell>
          <cell r="AE739" t="e">
            <v>#N/A</v>
          </cell>
          <cell r="AF739" t="str">
            <v/>
          </cell>
        </row>
        <row r="740">
          <cell r="Y740">
            <v>724</v>
          </cell>
          <cell r="Z740">
            <v>0.82871603034436703</v>
          </cell>
          <cell r="AA740">
            <v>0.16042778392987214</v>
          </cell>
          <cell r="AB740" t="str">
            <v/>
          </cell>
          <cell r="AC740" t="e">
            <v>#N/A</v>
          </cell>
          <cell r="AD740">
            <v>653</v>
          </cell>
          <cell r="AE740" t="e">
            <v>#N/A</v>
          </cell>
          <cell r="AF740" t="str">
            <v/>
          </cell>
        </row>
        <row r="741">
          <cell r="Y741">
            <v>725</v>
          </cell>
          <cell r="Z741">
            <v>7.6752064749598503E-2</v>
          </cell>
          <cell r="AA741">
            <v>-0.24125146285944105</v>
          </cell>
          <cell r="AB741" t="str">
            <v/>
          </cell>
          <cell r="AC741" t="e">
            <v>#N/A</v>
          </cell>
          <cell r="AD741">
            <v>654</v>
          </cell>
          <cell r="AE741" t="e">
            <v>#N/A</v>
          </cell>
          <cell r="AF741" t="str">
            <v/>
          </cell>
        </row>
        <row r="742">
          <cell r="Y742">
            <v>726</v>
          </cell>
          <cell r="Z742">
            <v>0.64527282677590847</v>
          </cell>
          <cell r="AA742">
            <v>6.2979039029597353E-2</v>
          </cell>
          <cell r="AB742" t="str">
            <v/>
          </cell>
          <cell r="AC742" t="e">
            <v>#N/A</v>
          </cell>
          <cell r="AD742">
            <v>655</v>
          </cell>
          <cell r="AE742" t="e">
            <v>#N/A</v>
          </cell>
          <cell r="AF742" t="str">
            <v/>
          </cell>
        </row>
        <row r="743">
          <cell r="Y743">
            <v>727</v>
          </cell>
          <cell r="Z743">
            <v>0.6563058327883482</v>
          </cell>
          <cell r="AA743">
            <v>6.801832122711203E-2</v>
          </cell>
          <cell r="AB743" t="str">
            <v/>
          </cell>
          <cell r="AC743" t="e">
            <v>#N/A</v>
          </cell>
          <cell r="AD743">
            <v>656</v>
          </cell>
          <cell r="AE743" t="e">
            <v>#N/A</v>
          </cell>
          <cell r="AF743" t="str">
            <v/>
          </cell>
        </row>
        <row r="744">
          <cell r="Y744">
            <v>728</v>
          </cell>
          <cell r="Z744">
            <v>0.85985930822789669</v>
          </cell>
          <cell r="AA744">
            <v>0.18250048874243197</v>
          </cell>
          <cell r="AB744" t="str">
            <v/>
          </cell>
          <cell r="AC744" t="e">
            <v>#N/A</v>
          </cell>
          <cell r="AD744">
            <v>657</v>
          </cell>
          <cell r="AE744" t="e">
            <v>#N/A</v>
          </cell>
          <cell r="AF744" t="str">
            <v/>
          </cell>
        </row>
        <row r="745">
          <cell r="Y745">
            <v>729</v>
          </cell>
          <cell r="Z745">
            <v>0.2604499738663435</v>
          </cell>
          <cell r="AA745">
            <v>-0.10851083870477321</v>
          </cell>
          <cell r="AB745" t="str">
            <v/>
          </cell>
          <cell r="AC745" t="e">
            <v>#N/A</v>
          </cell>
          <cell r="AD745">
            <v>658</v>
          </cell>
          <cell r="AE745" t="e">
            <v>#N/A</v>
          </cell>
          <cell r="AF745" t="str">
            <v/>
          </cell>
        </row>
        <row r="746">
          <cell r="Y746">
            <v>730</v>
          </cell>
          <cell r="Z746">
            <v>0.12451309524476528</v>
          </cell>
          <cell r="AA746">
            <v>-0.19484488811503656</v>
          </cell>
          <cell r="AB746" t="str">
            <v/>
          </cell>
          <cell r="AC746" t="e">
            <v>#N/A</v>
          </cell>
          <cell r="AD746">
            <v>659</v>
          </cell>
          <cell r="AE746" t="e">
            <v>#N/A</v>
          </cell>
          <cell r="AF746" t="str">
            <v/>
          </cell>
        </row>
        <row r="747">
          <cell r="Y747">
            <v>731</v>
          </cell>
          <cell r="Z747">
            <v>0.57111789099872112</v>
          </cell>
          <cell r="AA747">
            <v>3.0293868893977706E-2</v>
          </cell>
          <cell r="AB747" t="str">
            <v/>
          </cell>
          <cell r="AC747" t="e">
            <v>#N/A</v>
          </cell>
          <cell r="AD747">
            <v>660</v>
          </cell>
          <cell r="AE747" t="e">
            <v>#N/A</v>
          </cell>
          <cell r="AF747" t="str">
            <v/>
          </cell>
        </row>
        <row r="748">
          <cell r="Y748">
            <v>732</v>
          </cell>
          <cell r="Z748">
            <v>0.33451979421079159</v>
          </cell>
          <cell r="AA748">
            <v>-7.2255024348517882E-2</v>
          </cell>
          <cell r="AB748" t="str">
            <v/>
          </cell>
          <cell r="AC748" t="e">
            <v>#N/A</v>
          </cell>
          <cell r="AD748">
            <v>661</v>
          </cell>
          <cell r="AE748" t="e">
            <v>#N/A</v>
          </cell>
          <cell r="AF748" t="str">
            <v/>
          </cell>
        </row>
        <row r="749">
          <cell r="Y749">
            <v>733</v>
          </cell>
          <cell r="Z749">
            <v>0.29086524061858654</v>
          </cell>
          <cell r="AA749">
            <v>-9.3112129530005819E-2</v>
          </cell>
          <cell r="AB749" t="str">
            <v/>
          </cell>
          <cell r="AC749" t="e">
            <v>#N/A</v>
          </cell>
          <cell r="AD749">
            <v>662</v>
          </cell>
          <cell r="AE749" t="e">
            <v>#N/A</v>
          </cell>
          <cell r="AF749" t="str">
            <v/>
          </cell>
        </row>
        <row r="750">
          <cell r="Y750">
            <v>734</v>
          </cell>
          <cell r="Z750">
            <v>0.1874339934438467</v>
          </cell>
          <cell r="AA750">
            <v>-0.14999659416833505</v>
          </cell>
          <cell r="AB750" t="str">
            <v/>
          </cell>
          <cell r="AC750" t="e">
            <v>#N/A</v>
          </cell>
          <cell r="AD750">
            <v>663</v>
          </cell>
          <cell r="AE750" t="e">
            <v>#N/A</v>
          </cell>
          <cell r="AF750" t="str">
            <v/>
          </cell>
        </row>
        <row r="751">
          <cell r="Y751">
            <v>735</v>
          </cell>
          <cell r="Z751">
            <v>0.37108038179576397</v>
          </cell>
          <cell r="AA751">
            <v>-5.5610014915172007E-2</v>
          </cell>
          <cell r="AB751" t="str">
            <v/>
          </cell>
          <cell r="AC751" t="e">
            <v>#N/A</v>
          </cell>
          <cell r="AD751">
            <v>664</v>
          </cell>
          <cell r="AE751" t="e">
            <v>#N/A</v>
          </cell>
          <cell r="AF751" t="str">
            <v/>
          </cell>
        </row>
        <row r="752">
          <cell r="Y752">
            <v>736</v>
          </cell>
          <cell r="Z752">
            <v>0.64200260303914547</v>
          </cell>
          <cell r="AA752">
            <v>6.1496268414933504E-2</v>
          </cell>
          <cell r="AB752" t="str">
            <v/>
          </cell>
          <cell r="AC752" t="e">
            <v>#N/A</v>
          </cell>
          <cell r="AD752">
            <v>665</v>
          </cell>
          <cell r="AE752" t="e">
            <v>#N/A</v>
          </cell>
          <cell r="AF752" t="str">
            <v/>
          </cell>
        </row>
        <row r="753">
          <cell r="Y753">
            <v>737</v>
          </cell>
          <cell r="Z753">
            <v>0.37642529420554638</v>
          </cell>
          <cell r="AA753">
            <v>-5.3224919431881339E-2</v>
          </cell>
          <cell r="AB753" t="str">
            <v/>
          </cell>
          <cell r="AC753" t="e">
            <v>#N/A</v>
          </cell>
          <cell r="AD753">
            <v>666</v>
          </cell>
          <cell r="AE753" t="e">
            <v>#N/A</v>
          </cell>
          <cell r="AF753" t="str">
            <v/>
          </cell>
        </row>
        <row r="754">
          <cell r="Y754">
            <v>738</v>
          </cell>
          <cell r="Z754">
            <v>0.83558428846299648</v>
          </cell>
          <cell r="AA754">
            <v>0.16505361794770684</v>
          </cell>
          <cell r="AB754" t="str">
            <v/>
          </cell>
          <cell r="AC754" t="e">
            <v>#N/A</v>
          </cell>
          <cell r="AD754">
            <v>667</v>
          </cell>
          <cell r="AE754" t="e">
            <v>#N/A</v>
          </cell>
          <cell r="AF754" t="str">
            <v/>
          </cell>
        </row>
        <row r="755">
          <cell r="Y755">
            <v>739</v>
          </cell>
          <cell r="Z755">
            <v>0.74722571484744549</v>
          </cell>
          <cell r="AA755">
            <v>0.11253819547500021</v>
          </cell>
          <cell r="AB755" t="str">
            <v/>
          </cell>
          <cell r="AC755" t="e">
            <v>#N/A</v>
          </cell>
          <cell r="AD755">
            <v>668</v>
          </cell>
          <cell r="AE755" t="e">
            <v>#N/A</v>
          </cell>
          <cell r="AF755" t="str">
            <v/>
          </cell>
        </row>
        <row r="756">
          <cell r="Y756">
            <v>740</v>
          </cell>
          <cell r="Z756">
            <v>0.86240874789655209</v>
          </cell>
          <cell r="AA756">
            <v>0.18444738043408052</v>
          </cell>
          <cell r="AB756" t="str">
            <v/>
          </cell>
          <cell r="AC756" t="e">
            <v>#N/A</v>
          </cell>
          <cell r="AD756">
            <v>669</v>
          </cell>
          <cell r="AE756" t="e">
            <v>#N/A</v>
          </cell>
          <cell r="AF756" t="str">
            <v/>
          </cell>
        </row>
        <row r="757">
          <cell r="Y757">
            <v>741</v>
          </cell>
          <cell r="Z757">
            <v>0.69027924351394176</v>
          </cell>
          <cell r="AA757">
            <v>8.3947823913484404E-2</v>
          </cell>
          <cell r="AB757" t="str">
            <v/>
          </cell>
          <cell r="AC757" t="e">
            <v>#N/A</v>
          </cell>
          <cell r="AD757">
            <v>670</v>
          </cell>
          <cell r="AE757" t="e">
            <v>#N/A</v>
          </cell>
          <cell r="AF757" t="str">
            <v/>
          </cell>
        </row>
        <row r="758">
          <cell r="Y758">
            <v>742</v>
          </cell>
          <cell r="Z758">
            <v>0.40876958332955837</v>
          </cell>
          <cell r="AA758">
            <v>-3.899731159890775E-2</v>
          </cell>
          <cell r="AB758" t="str">
            <v/>
          </cell>
          <cell r="AC758" t="e">
            <v>#N/A</v>
          </cell>
          <cell r="AD758">
            <v>671</v>
          </cell>
          <cell r="AE758" t="e">
            <v>#N/A</v>
          </cell>
          <cell r="AF758" t="str">
            <v/>
          </cell>
        </row>
        <row r="759">
          <cell r="Y759">
            <v>743</v>
          </cell>
          <cell r="Z759">
            <v>0.14730016700923443</v>
          </cell>
          <cell r="AA759">
            <v>-0.17715837380695215</v>
          </cell>
          <cell r="AB759" t="str">
            <v/>
          </cell>
          <cell r="AC759" t="e">
            <v>#N/A</v>
          </cell>
          <cell r="AD759">
            <v>672</v>
          </cell>
          <cell r="AE759" t="e">
            <v>#N/A</v>
          </cell>
          <cell r="AF759" t="str">
            <v/>
          </cell>
        </row>
        <row r="760">
          <cell r="Y760">
            <v>744</v>
          </cell>
          <cell r="Z760">
            <v>0.58499451540410519</v>
          </cell>
          <cell r="AA760">
            <v>3.6288810750620543E-2</v>
          </cell>
          <cell r="AB760" t="str">
            <v/>
          </cell>
          <cell r="AC760" t="e">
            <v>#N/A</v>
          </cell>
          <cell r="AD760">
            <v>673</v>
          </cell>
          <cell r="AE760" t="e">
            <v>#N/A</v>
          </cell>
          <cell r="AF760" t="str">
            <v/>
          </cell>
        </row>
        <row r="761">
          <cell r="Y761">
            <v>745</v>
          </cell>
          <cell r="Z761">
            <v>0.75896975211799145</v>
          </cell>
          <cell r="AA761">
            <v>0.11882740086959295</v>
          </cell>
          <cell r="AB761" t="str">
            <v/>
          </cell>
          <cell r="AC761" t="e">
            <v>#N/A</v>
          </cell>
          <cell r="AD761">
            <v>674</v>
          </cell>
          <cell r="AE761" t="e">
            <v>#N/A</v>
          </cell>
          <cell r="AF761" t="str">
            <v/>
          </cell>
        </row>
        <row r="762">
          <cell r="Y762">
            <v>746</v>
          </cell>
          <cell r="Z762">
            <v>0.38778669200837612</v>
          </cell>
          <cell r="AA762">
            <v>-4.8189404011250381E-2</v>
          </cell>
          <cell r="AB762" t="str">
            <v/>
          </cell>
          <cell r="AC762" t="e">
            <v>#N/A</v>
          </cell>
          <cell r="AD762">
            <v>675</v>
          </cell>
          <cell r="AE762" t="e">
            <v>#N/A</v>
          </cell>
          <cell r="AF762" t="str">
            <v/>
          </cell>
        </row>
        <row r="763">
          <cell r="Y763">
            <v>747</v>
          </cell>
          <cell r="Z763">
            <v>0.96131075732409954</v>
          </cell>
          <cell r="AA763">
            <v>0.2985259785190113</v>
          </cell>
          <cell r="AB763" t="str">
            <v/>
          </cell>
          <cell r="AC763" t="e">
            <v>#N/A</v>
          </cell>
          <cell r="AD763">
            <v>676</v>
          </cell>
          <cell r="AE763" t="e">
            <v>#N/A</v>
          </cell>
          <cell r="AF763" t="str">
            <v/>
          </cell>
        </row>
        <row r="764">
          <cell r="Y764">
            <v>748</v>
          </cell>
          <cell r="Z764">
            <v>7.0280840620398521E-2</v>
          </cell>
          <cell r="AA764">
            <v>-0.24910120531930119</v>
          </cell>
          <cell r="AB764" t="str">
            <v/>
          </cell>
          <cell r="AC764" t="e">
            <v>#N/A</v>
          </cell>
          <cell r="AD764">
            <v>677</v>
          </cell>
          <cell r="AE764" t="e">
            <v>#N/A</v>
          </cell>
          <cell r="AF764" t="str">
            <v/>
          </cell>
        </row>
        <row r="765">
          <cell r="Y765">
            <v>749</v>
          </cell>
          <cell r="Z765">
            <v>0.31985491327941418</v>
          </cell>
          <cell r="AA765">
            <v>-7.912411019684952E-2</v>
          </cell>
          <cell r="AB765" t="str">
            <v/>
          </cell>
          <cell r="AC765" t="e">
            <v>#N/A</v>
          </cell>
          <cell r="AD765">
            <v>678</v>
          </cell>
          <cell r="AE765" t="e">
            <v>#N/A</v>
          </cell>
          <cell r="AF765" t="str">
            <v/>
          </cell>
        </row>
        <row r="766">
          <cell r="Y766">
            <v>750</v>
          </cell>
          <cell r="Z766">
            <v>0.29090801440179348</v>
          </cell>
          <cell r="AA766">
            <v>-9.3091037859254225E-2</v>
          </cell>
          <cell r="AB766" t="str">
            <v/>
          </cell>
          <cell r="AC766" t="e">
            <v>#N/A</v>
          </cell>
          <cell r="AD766">
            <v>679</v>
          </cell>
          <cell r="AE766" t="e">
            <v>#N/A</v>
          </cell>
          <cell r="AF766" t="str">
            <v/>
          </cell>
        </row>
        <row r="767">
          <cell r="Y767">
            <v>751</v>
          </cell>
          <cell r="Z767">
            <v>0.92582212202250957</v>
          </cell>
          <cell r="AA767">
            <v>0.24431105494939198</v>
          </cell>
          <cell r="AB767" t="str">
            <v/>
          </cell>
          <cell r="AC767" t="e">
            <v>#N/A</v>
          </cell>
          <cell r="AD767">
            <v>680</v>
          </cell>
          <cell r="AE767" t="e">
            <v>#N/A</v>
          </cell>
          <cell r="AF767" t="str">
            <v/>
          </cell>
        </row>
        <row r="768">
          <cell r="Y768">
            <v>752</v>
          </cell>
          <cell r="Z768">
            <v>0.25591268204152584</v>
          </cell>
          <cell r="AA768">
            <v>-0.11088391249938438</v>
          </cell>
          <cell r="AB768" t="str">
            <v/>
          </cell>
          <cell r="AC768" t="e">
            <v>#N/A</v>
          </cell>
          <cell r="AD768">
            <v>681</v>
          </cell>
          <cell r="AE768" t="e">
            <v>#N/A</v>
          </cell>
          <cell r="AF768" t="str">
            <v/>
          </cell>
        </row>
        <row r="769">
          <cell r="Y769">
            <v>753</v>
          </cell>
          <cell r="Z769">
            <v>0.1472801249474287</v>
          </cell>
          <cell r="AA769">
            <v>-0.17717308167102772</v>
          </cell>
          <cell r="AB769" t="str">
            <v/>
          </cell>
          <cell r="AC769" t="e">
            <v>#N/A</v>
          </cell>
          <cell r="AD769">
            <v>682</v>
          </cell>
          <cell r="AE769" t="e">
            <v>#N/A</v>
          </cell>
          <cell r="AF769" t="str">
            <v/>
          </cell>
        </row>
        <row r="770">
          <cell r="Y770">
            <v>754</v>
          </cell>
          <cell r="Z770">
            <v>0.1641159113496542</v>
          </cell>
          <cell r="AA770">
            <v>-0.16525835356178434</v>
          </cell>
          <cell r="AB770" t="str">
            <v/>
          </cell>
          <cell r="AC770" t="e">
            <v>#N/A</v>
          </cell>
          <cell r="AD770">
            <v>683</v>
          </cell>
          <cell r="AE770" t="e">
            <v>#N/A</v>
          </cell>
          <cell r="AF770" t="str">
            <v/>
          </cell>
        </row>
        <row r="771">
          <cell r="Y771">
            <v>755</v>
          </cell>
          <cell r="Z771">
            <v>0.24700338952243328</v>
          </cell>
          <cell r="AA771">
            <v>-0.11560863988639788</v>
          </cell>
          <cell r="AB771" t="str">
            <v/>
          </cell>
          <cell r="AC771" t="e">
            <v>#N/A</v>
          </cell>
          <cell r="AD771">
            <v>684</v>
          </cell>
          <cell r="AE771" t="e">
            <v>#N/A</v>
          </cell>
          <cell r="AF771" t="str">
            <v/>
          </cell>
        </row>
        <row r="772">
          <cell r="Y772">
            <v>756</v>
          </cell>
          <cell r="Z772">
            <v>0.10626839660108089</v>
          </cell>
          <cell r="AA772">
            <v>-0.2107172723916291</v>
          </cell>
          <cell r="AB772" t="str">
            <v/>
          </cell>
          <cell r="AC772" t="e">
            <v>#N/A</v>
          </cell>
          <cell r="AD772">
            <v>685</v>
          </cell>
          <cell r="AE772" t="e">
            <v>#N/A</v>
          </cell>
          <cell r="AF772" t="str">
            <v/>
          </cell>
        </row>
        <row r="773">
          <cell r="Y773">
            <v>757</v>
          </cell>
          <cell r="Z773">
            <v>0.34749996475875378</v>
          </cell>
          <cell r="AA773">
            <v>-6.6273427305607785E-2</v>
          </cell>
          <cell r="AB773" t="str">
            <v/>
          </cell>
          <cell r="AC773" t="e">
            <v>#N/A</v>
          </cell>
          <cell r="AD773">
            <v>686</v>
          </cell>
          <cell r="AE773" t="e">
            <v>#N/A</v>
          </cell>
          <cell r="AF773" t="str">
            <v/>
          </cell>
        </row>
        <row r="774">
          <cell r="Y774">
            <v>758</v>
          </cell>
          <cell r="Z774">
            <v>0.16508707962930202</v>
          </cell>
          <cell r="AA774">
            <v>-0.16459601200790278</v>
          </cell>
          <cell r="AB774" t="str">
            <v/>
          </cell>
          <cell r="AC774" t="e">
            <v>#N/A</v>
          </cell>
          <cell r="AD774">
            <v>687</v>
          </cell>
          <cell r="AE774" t="e">
            <v>#N/A</v>
          </cell>
          <cell r="AF774" t="str">
            <v/>
          </cell>
        </row>
        <row r="775">
          <cell r="Y775">
            <v>759</v>
          </cell>
          <cell r="Z775">
            <v>0.94242505542933941</v>
          </cell>
          <cell r="AA775">
            <v>0.26630164874716233</v>
          </cell>
          <cell r="AB775" t="str">
            <v/>
          </cell>
          <cell r="AC775" t="e">
            <v>#N/A</v>
          </cell>
          <cell r="AD775">
            <v>688</v>
          </cell>
          <cell r="AE775" t="e">
            <v>#N/A</v>
          </cell>
          <cell r="AF775" t="str">
            <v/>
          </cell>
        </row>
        <row r="776">
          <cell r="Y776">
            <v>760</v>
          </cell>
          <cell r="Z776">
            <v>0.80581911467015743</v>
          </cell>
          <cell r="AA776">
            <v>0.14580467814289655</v>
          </cell>
          <cell r="AB776" t="str">
            <v/>
          </cell>
          <cell r="AC776" t="e">
            <v>#N/A</v>
          </cell>
          <cell r="AD776">
            <v>689</v>
          </cell>
          <cell r="AE776" t="e">
            <v>#N/A</v>
          </cell>
          <cell r="AF776" t="str">
            <v/>
          </cell>
        </row>
        <row r="777">
          <cell r="Y777">
            <v>761</v>
          </cell>
          <cell r="Z777">
            <v>0.62235006503760815</v>
          </cell>
          <cell r="AA777">
            <v>5.2679946015809179E-2</v>
          </cell>
          <cell r="AB777" t="str">
            <v/>
          </cell>
          <cell r="AC777" t="e">
            <v>#N/A</v>
          </cell>
          <cell r="AD777">
            <v>690</v>
          </cell>
          <cell r="AE777" t="e">
            <v>#N/A</v>
          </cell>
          <cell r="AF777" t="str">
            <v/>
          </cell>
        </row>
        <row r="778">
          <cell r="Y778">
            <v>762</v>
          </cell>
          <cell r="Z778">
            <v>0.74092692695558071</v>
          </cell>
          <cell r="AA778">
            <v>0.10922870000879327</v>
          </cell>
          <cell r="AB778" t="str">
            <v/>
          </cell>
          <cell r="AC778" t="e">
            <v>#N/A</v>
          </cell>
          <cell r="AD778">
            <v>691</v>
          </cell>
          <cell r="AE778" t="e">
            <v>#N/A</v>
          </cell>
          <cell r="AF778" t="str">
            <v/>
          </cell>
        </row>
        <row r="779">
          <cell r="Y779">
            <v>763</v>
          </cell>
          <cell r="Z779">
            <v>0.90160585753619671</v>
          </cell>
          <cell r="AA779">
            <v>0.21817759213434926</v>
          </cell>
          <cell r="AB779" t="str">
            <v/>
          </cell>
          <cell r="AC779" t="e">
            <v>#N/A</v>
          </cell>
          <cell r="AD779">
            <v>692</v>
          </cell>
          <cell r="AE779" t="e">
            <v>#N/A</v>
          </cell>
          <cell r="AF779" t="str">
            <v/>
          </cell>
        </row>
        <row r="780">
          <cell r="Y780">
            <v>764</v>
          </cell>
          <cell r="Z780">
            <v>0.29623811505734921</v>
          </cell>
          <cell r="AA780">
            <v>-9.0473950178781168E-2</v>
          </cell>
          <cell r="AB780" t="str">
            <v/>
          </cell>
          <cell r="AC780" t="e">
            <v>#N/A</v>
          </cell>
          <cell r="AD780">
            <v>693</v>
          </cell>
          <cell r="AE780" t="e">
            <v>#N/A</v>
          </cell>
          <cell r="AF780" t="str">
            <v/>
          </cell>
        </row>
        <row r="781">
          <cell r="Y781">
            <v>765</v>
          </cell>
          <cell r="Z781">
            <v>1.6689877957105637E-3</v>
          </cell>
          <cell r="AA781">
            <v>-0.49606626954296934</v>
          </cell>
          <cell r="AB781" t="str">
            <v/>
          </cell>
          <cell r="AC781" t="e">
            <v>#N/A</v>
          </cell>
          <cell r="AD781">
            <v>694</v>
          </cell>
          <cell r="AE781" t="e">
            <v>#N/A</v>
          </cell>
          <cell r="AF781" t="str">
            <v/>
          </cell>
        </row>
        <row r="782">
          <cell r="Y782">
            <v>766</v>
          </cell>
          <cell r="Z782">
            <v>0.89965394698083401</v>
          </cell>
          <cell r="AA782">
            <v>0.21628887161613602</v>
          </cell>
          <cell r="AB782" t="str">
            <v/>
          </cell>
          <cell r="AC782" t="e">
            <v>#N/A</v>
          </cell>
          <cell r="AD782">
            <v>695</v>
          </cell>
          <cell r="AE782" t="e">
            <v>#N/A</v>
          </cell>
          <cell r="AF782" t="str">
            <v/>
          </cell>
        </row>
        <row r="783">
          <cell r="Y783">
            <v>767</v>
          </cell>
          <cell r="Z783">
            <v>0.16530965082347393</v>
          </cell>
          <cell r="AA783">
            <v>-0.16444457303194532</v>
          </cell>
          <cell r="AB783" t="str">
            <v/>
          </cell>
          <cell r="AC783" t="e">
            <v>#N/A</v>
          </cell>
          <cell r="AD783">
            <v>696</v>
          </cell>
          <cell r="AE783" t="e">
            <v>#N/A</v>
          </cell>
          <cell r="AF783" t="str">
            <v/>
          </cell>
        </row>
        <row r="784">
          <cell r="Y784">
            <v>768</v>
          </cell>
          <cell r="Z784">
            <v>0.65726020000874996</v>
          </cell>
          <cell r="AA784">
            <v>6.8457014248044901E-2</v>
          </cell>
          <cell r="AB784" t="str">
            <v/>
          </cell>
          <cell r="AC784" t="e">
            <v>#N/A</v>
          </cell>
          <cell r="AD784">
            <v>697</v>
          </cell>
          <cell r="AE784" t="e">
            <v>#N/A</v>
          </cell>
          <cell r="AF784" t="str">
            <v/>
          </cell>
        </row>
        <row r="785">
          <cell r="Y785">
            <v>769</v>
          </cell>
          <cell r="Z785">
            <v>0.54447009973227978</v>
          </cell>
          <cell r="AA785">
            <v>1.888106129216988E-2</v>
          </cell>
          <cell r="AB785" t="str">
            <v/>
          </cell>
          <cell r="AC785" t="e">
            <v>#N/A</v>
          </cell>
          <cell r="AD785">
            <v>698</v>
          </cell>
          <cell r="AE785" t="e">
            <v>#N/A</v>
          </cell>
          <cell r="AF785" t="str">
            <v/>
          </cell>
        </row>
        <row r="786">
          <cell r="Y786">
            <v>770</v>
          </cell>
          <cell r="Z786">
            <v>7.5434094294905663E-2</v>
          </cell>
          <cell r="AA786">
            <v>-0.24280801892652784</v>
          </cell>
          <cell r="AB786" t="str">
            <v/>
          </cell>
          <cell r="AC786" t="e">
            <v>#N/A</v>
          </cell>
          <cell r="AD786">
            <v>699</v>
          </cell>
          <cell r="AE786" t="e">
            <v>#N/A</v>
          </cell>
          <cell r="AF786" t="str">
            <v/>
          </cell>
        </row>
        <row r="787">
          <cell r="Y787">
            <v>771</v>
          </cell>
          <cell r="Z787">
            <v>0.92359228245913982</v>
          </cell>
          <cell r="AA787">
            <v>0.24165617003238898</v>
          </cell>
          <cell r="AB787" t="str">
            <v/>
          </cell>
          <cell r="AC787" t="e">
            <v>#N/A</v>
          </cell>
          <cell r="AD787">
            <v>700</v>
          </cell>
          <cell r="AE787" t="e">
            <v>#N/A</v>
          </cell>
          <cell r="AF787" t="str">
            <v/>
          </cell>
        </row>
        <row r="788">
          <cell r="Y788">
            <v>772</v>
          </cell>
          <cell r="Z788">
            <v>0.83129107020795345</v>
          </cell>
          <cell r="AA788">
            <v>0.16214786382605348</v>
          </cell>
          <cell r="AB788" t="str">
            <v/>
          </cell>
          <cell r="AC788" t="e">
            <v>#N/A</v>
          </cell>
          <cell r="AD788">
            <v>701</v>
          </cell>
          <cell r="AE788" t="e">
            <v>#N/A</v>
          </cell>
          <cell r="AF788" t="str">
            <v/>
          </cell>
        </row>
        <row r="789">
          <cell r="Y789">
            <v>773</v>
          </cell>
          <cell r="Z789">
            <v>0.50886344723403454</v>
          </cell>
          <cell r="AA789">
            <v>3.7557295318909043E-3</v>
          </cell>
          <cell r="AB789" t="str">
            <v/>
          </cell>
          <cell r="AC789" t="e">
            <v>#N/A</v>
          </cell>
          <cell r="AD789">
            <v>702</v>
          </cell>
          <cell r="AE789" t="e">
            <v>#N/A</v>
          </cell>
          <cell r="AF789" t="str">
            <v/>
          </cell>
        </row>
        <row r="790">
          <cell r="Y790">
            <v>774</v>
          </cell>
          <cell r="Z790">
            <v>8.7565159425139427E-2</v>
          </cell>
          <cell r="AA790">
            <v>-0.22918928598827165</v>
          </cell>
          <cell r="AB790" t="str">
            <v/>
          </cell>
          <cell r="AC790" t="e">
            <v>#N/A</v>
          </cell>
          <cell r="AD790">
            <v>703</v>
          </cell>
          <cell r="AE790" t="e">
            <v>#N/A</v>
          </cell>
          <cell r="AF790" t="str">
            <v/>
          </cell>
        </row>
        <row r="791">
          <cell r="Y791">
            <v>775</v>
          </cell>
          <cell r="Z791">
            <v>0.73259846679866314</v>
          </cell>
          <cell r="AA791">
            <v>0.10491589856533885</v>
          </cell>
          <cell r="AB791" t="str">
            <v/>
          </cell>
          <cell r="AC791" t="e">
            <v>#N/A</v>
          </cell>
          <cell r="AD791">
            <v>704</v>
          </cell>
          <cell r="AE791" t="e">
            <v>#N/A</v>
          </cell>
          <cell r="AF791" t="str">
            <v/>
          </cell>
        </row>
        <row r="792">
          <cell r="Y792">
            <v>776</v>
          </cell>
          <cell r="Z792">
            <v>0.19176669977605343</v>
          </cell>
          <cell r="AA792">
            <v>-0.14729422248963633</v>
          </cell>
          <cell r="AB792" t="str">
            <v/>
          </cell>
          <cell r="AC792" t="e">
            <v>#N/A</v>
          </cell>
          <cell r="AD792">
            <v>705</v>
          </cell>
          <cell r="AE792" t="e">
            <v>#N/A</v>
          </cell>
          <cell r="AF792" t="str">
            <v/>
          </cell>
        </row>
        <row r="793">
          <cell r="Y793">
            <v>777</v>
          </cell>
          <cell r="Z793">
            <v>0.4907276313751936</v>
          </cell>
          <cell r="AA793">
            <v>-3.9290332850281124E-3</v>
          </cell>
          <cell r="AB793" t="str">
            <v/>
          </cell>
          <cell r="AC793" t="e">
            <v>#N/A</v>
          </cell>
          <cell r="AD793">
            <v>706</v>
          </cell>
          <cell r="AE793" t="e">
            <v>#N/A</v>
          </cell>
          <cell r="AF793" t="str">
            <v/>
          </cell>
        </row>
        <row r="794">
          <cell r="Y794">
            <v>778</v>
          </cell>
          <cell r="Z794">
            <v>0.69321114383637905</v>
          </cell>
          <cell r="AA794">
            <v>8.5356036976348443E-2</v>
          </cell>
          <cell r="AB794" t="str">
            <v/>
          </cell>
          <cell r="AC794" t="e">
            <v>#N/A</v>
          </cell>
          <cell r="AD794">
            <v>707</v>
          </cell>
          <cell r="AE794" t="e">
            <v>#N/A</v>
          </cell>
          <cell r="AF794" t="str">
            <v/>
          </cell>
        </row>
        <row r="795">
          <cell r="Y795">
            <v>779</v>
          </cell>
          <cell r="Z795">
            <v>0.45010866038501263</v>
          </cell>
          <cell r="AA795">
            <v>-2.1194241119575831E-2</v>
          </cell>
          <cell r="AB795" t="str">
            <v/>
          </cell>
          <cell r="AC795" t="e">
            <v>#N/A</v>
          </cell>
          <cell r="AD795">
            <v>708</v>
          </cell>
          <cell r="AE795" t="e">
            <v>#N/A</v>
          </cell>
          <cell r="AF795" t="str">
            <v/>
          </cell>
        </row>
        <row r="796">
          <cell r="Y796">
            <v>780</v>
          </cell>
          <cell r="Z796">
            <v>0.45526271127164364</v>
          </cell>
          <cell r="AA796">
            <v>-1.8994981370018316E-2</v>
          </cell>
          <cell r="AB796" t="str">
            <v/>
          </cell>
          <cell r="AC796" t="e">
            <v>#N/A</v>
          </cell>
          <cell r="AD796">
            <v>709</v>
          </cell>
          <cell r="AE796" t="e">
            <v>#N/A</v>
          </cell>
          <cell r="AF796" t="str">
            <v/>
          </cell>
        </row>
        <row r="797">
          <cell r="Y797">
            <v>781</v>
          </cell>
          <cell r="Z797">
            <v>3.11316829174757E-2</v>
          </cell>
          <cell r="AA797">
            <v>-0.31514375297619596</v>
          </cell>
          <cell r="AB797" t="str">
            <v/>
          </cell>
          <cell r="AC797" t="e">
            <v>#N/A</v>
          </cell>
          <cell r="AD797">
            <v>710</v>
          </cell>
          <cell r="AE797" t="e">
            <v>#N/A</v>
          </cell>
          <cell r="AF797" t="str">
            <v/>
          </cell>
        </row>
        <row r="798">
          <cell r="Y798">
            <v>782</v>
          </cell>
          <cell r="Z798">
            <v>0.23388663493096828</v>
          </cell>
          <cell r="AA798">
            <v>-0.12273445878450073</v>
          </cell>
          <cell r="AB798" t="str">
            <v/>
          </cell>
          <cell r="AC798" t="e">
            <v>#N/A</v>
          </cell>
          <cell r="AD798">
            <v>711</v>
          </cell>
          <cell r="AE798" t="e">
            <v>#N/A</v>
          </cell>
          <cell r="AF798" t="str">
            <v/>
          </cell>
        </row>
        <row r="799">
          <cell r="Y799">
            <v>783</v>
          </cell>
          <cell r="Z799">
            <v>0.38983593694865704</v>
          </cell>
          <cell r="AA799">
            <v>-4.7285816764255501E-2</v>
          </cell>
          <cell r="AB799" t="str">
            <v/>
          </cell>
          <cell r="AC799" t="e">
            <v>#N/A</v>
          </cell>
          <cell r="AD799">
            <v>712</v>
          </cell>
          <cell r="AE799" t="e">
            <v>#N/A</v>
          </cell>
          <cell r="AF799" t="str">
            <v/>
          </cell>
        </row>
        <row r="800">
          <cell r="Y800">
            <v>784</v>
          </cell>
          <cell r="Z800">
            <v>0.43735375069081783</v>
          </cell>
          <cell r="AA800">
            <v>-2.6653097665686659E-2</v>
          </cell>
          <cell r="AB800" t="str">
            <v/>
          </cell>
          <cell r="AC800" t="e">
            <v>#N/A</v>
          </cell>
          <cell r="AD800">
            <v>713</v>
          </cell>
          <cell r="AE800" t="e">
            <v>#N/A</v>
          </cell>
          <cell r="AF800" t="str">
            <v/>
          </cell>
        </row>
        <row r="801">
          <cell r="Y801">
            <v>785</v>
          </cell>
          <cell r="Z801">
            <v>0.1925069373100996</v>
          </cell>
          <cell r="AA801">
            <v>-0.14683628668360366</v>
          </cell>
          <cell r="AB801" t="str">
            <v/>
          </cell>
          <cell r="AC801" t="e">
            <v>#N/A</v>
          </cell>
          <cell r="AD801">
            <v>714</v>
          </cell>
          <cell r="AE801" t="e">
            <v>#N/A</v>
          </cell>
          <cell r="AF801" t="str">
            <v/>
          </cell>
        </row>
        <row r="802">
          <cell r="Y802">
            <v>786</v>
          </cell>
          <cell r="Z802">
            <v>0.87569118104875088</v>
          </cell>
          <cell r="AA802">
            <v>0.19501317853663239</v>
          </cell>
          <cell r="AB802" t="str">
            <v/>
          </cell>
          <cell r="AC802" t="e">
            <v>#N/A</v>
          </cell>
          <cell r="AD802">
            <v>715</v>
          </cell>
          <cell r="AE802" t="e">
            <v>#N/A</v>
          </cell>
          <cell r="AF802" t="str">
            <v/>
          </cell>
        </row>
        <row r="803">
          <cell r="Y803">
            <v>787</v>
          </cell>
          <cell r="Z803">
            <v>0.19447286240756512</v>
          </cell>
          <cell r="AA803">
            <v>-0.14562529664341667</v>
          </cell>
          <cell r="AB803" t="str">
            <v/>
          </cell>
          <cell r="AC803" t="e">
            <v>#N/A</v>
          </cell>
          <cell r="AD803">
            <v>716</v>
          </cell>
          <cell r="AE803" t="e">
            <v>#N/A</v>
          </cell>
          <cell r="AF803" t="str">
            <v/>
          </cell>
        </row>
        <row r="804">
          <cell r="Y804">
            <v>788</v>
          </cell>
          <cell r="Z804">
            <v>0.15222286246716976</v>
          </cell>
          <cell r="AA804">
            <v>-0.17358561629849059</v>
          </cell>
          <cell r="AB804" t="str">
            <v/>
          </cell>
          <cell r="AC804" t="e">
            <v>#N/A</v>
          </cell>
          <cell r="AD804">
            <v>717</v>
          </cell>
          <cell r="AE804" t="e">
            <v>#N/A</v>
          </cell>
          <cell r="AF804" t="str">
            <v/>
          </cell>
        </row>
        <row r="805">
          <cell r="Y805">
            <v>789</v>
          </cell>
          <cell r="Z805">
            <v>0.60356890968978405</v>
          </cell>
          <cell r="AA805">
            <v>4.4386782095521431E-2</v>
          </cell>
          <cell r="AB805" t="str">
            <v/>
          </cell>
          <cell r="AC805" t="e">
            <v>#N/A</v>
          </cell>
          <cell r="AD805">
            <v>718</v>
          </cell>
          <cell r="AE805" t="e">
            <v>#N/A</v>
          </cell>
          <cell r="AF805" t="str">
            <v/>
          </cell>
        </row>
        <row r="806">
          <cell r="Y806">
            <v>790</v>
          </cell>
          <cell r="Z806">
            <v>0.94329366646707058</v>
          </cell>
          <cell r="AA806">
            <v>0.26758236138781188</v>
          </cell>
          <cell r="AB806" t="str">
            <v/>
          </cell>
          <cell r="AC806" t="e">
            <v>#N/A</v>
          </cell>
          <cell r="AD806">
            <v>719</v>
          </cell>
          <cell r="AE806" t="e">
            <v>#N/A</v>
          </cell>
          <cell r="AF806" t="str">
            <v/>
          </cell>
        </row>
        <row r="807">
          <cell r="Y807">
            <v>791</v>
          </cell>
          <cell r="Z807">
            <v>0.92748836986720562</v>
          </cell>
          <cell r="AA807">
            <v>0.2463349854562612</v>
          </cell>
          <cell r="AB807" t="str">
            <v/>
          </cell>
          <cell r="AC807" t="e">
            <v>#N/A</v>
          </cell>
          <cell r="AD807">
            <v>720</v>
          </cell>
          <cell r="AE807" t="e">
            <v>#N/A</v>
          </cell>
          <cell r="AF807" t="str">
            <v/>
          </cell>
        </row>
        <row r="808">
          <cell r="Y808">
            <v>792</v>
          </cell>
          <cell r="Z808">
            <v>0.75602086447179317</v>
          </cell>
          <cell r="AA808">
            <v>0.11723301407892017</v>
          </cell>
          <cell r="AB808" t="str">
            <v/>
          </cell>
          <cell r="AC808" t="e">
            <v>#N/A</v>
          </cell>
          <cell r="AD808">
            <v>721</v>
          </cell>
          <cell r="AE808" t="e">
            <v>#N/A</v>
          </cell>
          <cell r="AF808" t="str">
            <v/>
          </cell>
        </row>
        <row r="809">
          <cell r="Y809">
            <v>793</v>
          </cell>
          <cell r="Z809">
            <v>0.4729891698807478</v>
          </cell>
          <cell r="AA809">
            <v>-1.1453179290353201E-2</v>
          </cell>
          <cell r="AB809" t="str">
            <v/>
          </cell>
          <cell r="AC809" t="e">
            <v>#N/A</v>
          </cell>
          <cell r="AD809">
            <v>722</v>
          </cell>
          <cell r="AE809" t="e">
            <v>#N/A</v>
          </cell>
          <cell r="AF809" t="str">
            <v/>
          </cell>
        </row>
        <row r="810">
          <cell r="Y810">
            <v>794</v>
          </cell>
          <cell r="Z810">
            <v>0.84766668640077114</v>
          </cell>
          <cell r="AA810">
            <v>0.17350634260785722</v>
          </cell>
          <cell r="AB810" t="str">
            <v/>
          </cell>
          <cell r="AC810" t="e">
            <v>#N/A</v>
          </cell>
          <cell r="AD810">
            <v>723</v>
          </cell>
          <cell r="AE810" t="e">
            <v>#N/A</v>
          </cell>
          <cell r="AF810" t="str">
            <v/>
          </cell>
        </row>
        <row r="811">
          <cell r="Y811">
            <v>795</v>
          </cell>
          <cell r="Z811">
            <v>0.88367463462054729</v>
          </cell>
          <cell r="AA811">
            <v>0.20174820243321584</v>
          </cell>
          <cell r="AB811" t="str">
            <v/>
          </cell>
          <cell r="AC811" t="e">
            <v>#N/A</v>
          </cell>
          <cell r="AD811">
            <v>724</v>
          </cell>
          <cell r="AE811" t="e">
            <v>#N/A</v>
          </cell>
          <cell r="AF811" t="str">
            <v/>
          </cell>
        </row>
        <row r="812">
          <cell r="Y812">
            <v>796</v>
          </cell>
          <cell r="Z812">
            <v>0.83397572301328182</v>
          </cell>
          <cell r="AA812">
            <v>0.16395922622736472</v>
          </cell>
          <cell r="AB812" t="str">
            <v/>
          </cell>
          <cell r="AC812" t="e">
            <v>#N/A</v>
          </cell>
          <cell r="AD812">
            <v>725</v>
          </cell>
          <cell r="AE812" t="e">
            <v>#N/A</v>
          </cell>
          <cell r="AF812" t="str">
            <v/>
          </cell>
        </row>
        <row r="813">
          <cell r="Y813">
            <v>797</v>
          </cell>
          <cell r="Z813">
            <v>7.1817217394709587E-2</v>
          </cell>
          <cell r="AA813">
            <v>-0.24718898500059455</v>
          </cell>
          <cell r="AB813" t="str">
            <v/>
          </cell>
          <cell r="AC813" t="e">
            <v>#N/A</v>
          </cell>
          <cell r="AD813">
            <v>726</v>
          </cell>
          <cell r="AE813" t="e">
            <v>#N/A</v>
          </cell>
          <cell r="AF813" t="str">
            <v/>
          </cell>
        </row>
        <row r="814">
          <cell r="Y814">
            <v>798</v>
          </cell>
          <cell r="Z814">
            <v>0.10757092200219631</v>
          </cell>
          <cell r="AA814">
            <v>-0.20952220962257637</v>
          </cell>
          <cell r="AB814" t="str">
            <v/>
          </cell>
          <cell r="AC814" t="e">
            <v>#N/A</v>
          </cell>
          <cell r="AD814">
            <v>727</v>
          </cell>
          <cell r="AE814" t="e">
            <v>#N/A</v>
          </cell>
          <cell r="AF814" t="str">
            <v/>
          </cell>
        </row>
        <row r="815">
          <cell r="Y815">
            <v>799</v>
          </cell>
          <cell r="Z815">
            <v>0.61844394914805889</v>
          </cell>
          <cell r="AA815">
            <v>5.0945320434821889E-2</v>
          </cell>
          <cell r="AB815" t="str">
            <v/>
          </cell>
          <cell r="AC815" t="e">
            <v>#N/A</v>
          </cell>
          <cell r="AD815">
            <v>728</v>
          </cell>
          <cell r="AE815" t="e">
            <v>#N/A</v>
          </cell>
          <cell r="AF815" t="str">
            <v/>
          </cell>
        </row>
        <row r="816">
          <cell r="Y816">
            <v>800</v>
          </cell>
          <cell r="Z816">
            <v>0.53125192783772945</v>
          </cell>
          <cell r="AA816">
            <v>1.3254936184161036E-2</v>
          </cell>
          <cell r="AB816" t="str">
            <v/>
          </cell>
          <cell r="AC816" t="e">
            <v>#N/A</v>
          </cell>
          <cell r="AD816">
            <v>729</v>
          </cell>
          <cell r="AE816" t="e">
            <v>#N/A</v>
          </cell>
          <cell r="AF816" t="str">
            <v/>
          </cell>
        </row>
        <row r="817">
          <cell r="Y817">
            <v>801</v>
          </cell>
          <cell r="Z817">
            <v>0.18465235643088818</v>
          </cell>
          <cell r="AA817">
            <v>-0.15175192661412015</v>
          </cell>
          <cell r="AB817" t="str">
            <v/>
          </cell>
          <cell r="AC817" t="e">
            <v>#N/A</v>
          </cell>
          <cell r="AD817">
            <v>730</v>
          </cell>
          <cell r="AE817" t="e">
            <v>#N/A</v>
          </cell>
          <cell r="AF817" t="str">
            <v/>
          </cell>
        </row>
        <row r="818">
          <cell r="Y818">
            <v>802</v>
          </cell>
          <cell r="Z818">
            <v>0.96478951536118984</v>
          </cell>
          <cell r="AA818">
            <v>0.30580949269681656</v>
          </cell>
          <cell r="AB818" t="str">
            <v/>
          </cell>
          <cell r="AC818" t="e">
            <v>#N/A</v>
          </cell>
          <cell r="AD818">
            <v>731</v>
          </cell>
          <cell r="AE818" t="e">
            <v>#N/A</v>
          </cell>
          <cell r="AF818" t="str">
            <v/>
          </cell>
        </row>
        <row r="819">
          <cell r="Y819">
            <v>803</v>
          </cell>
          <cell r="Z819">
            <v>0.69587559811770916</v>
          </cell>
          <cell r="AA819">
            <v>8.6640949982431215E-2</v>
          </cell>
          <cell r="AB819" t="str">
            <v/>
          </cell>
          <cell r="AC819" t="e">
            <v>#N/A</v>
          </cell>
          <cell r="AD819">
            <v>732</v>
          </cell>
          <cell r="AE819" t="e">
            <v>#N/A</v>
          </cell>
          <cell r="AF819" t="str">
            <v/>
          </cell>
        </row>
        <row r="820">
          <cell r="Y820">
            <v>804</v>
          </cell>
          <cell r="Z820">
            <v>2.755986712872982E-2</v>
          </cell>
          <cell r="AA820">
            <v>-0.32418954442673487</v>
          </cell>
          <cell r="AB820" t="str">
            <v/>
          </cell>
          <cell r="AC820" t="e">
            <v>#N/A</v>
          </cell>
          <cell r="AD820">
            <v>733</v>
          </cell>
          <cell r="AE820" t="e">
            <v>#N/A</v>
          </cell>
          <cell r="AF820" t="str">
            <v/>
          </cell>
        </row>
        <row r="821">
          <cell r="Y821">
            <v>805</v>
          </cell>
          <cell r="Z821">
            <v>2.9565570876002312E-2</v>
          </cell>
          <cell r="AA821">
            <v>-0.31899789911172594</v>
          </cell>
          <cell r="AB821" t="str">
            <v/>
          </cell>
          <cell r="AC821" t="e">
            <v>#N/A</v>
          </cell>
          <cell r="AD821">
            <v>734</v>
          </cell>
          <cell r="AE821" t="e">
            <v>#N/A</v>
          </cell>
          <cell r="AF821" t="str">
            <v/>
          </cell>
        </row>
        <row r="822">
          <cell r="Y822">
            <v>806</v>
          </cell>
          <cell r="Z822">
            <v>9.3112444505095482E-2</v>
          </cell>
          <cell r="AA822">
            <v>-0.22342998733615332</v>
          </cell>
          <cell r="AB822" t="str">
            <v/>
          </cell>
          <cell r="AC822" t="e">
            <v>#N/A</v>
          </cell>
          <cell r="AD822">
            <v>735</v>
          </cell>
          <cell r="AE822" t="e">
            <v>#N/A</v>
          </cell>
          <cell r="AF822" t="str">
            <v/>
          </cell>
        </row>
        <row r="823">
          <cell r="Y823">
            <v>807</v>
          </cell>
          <cell r="Z823">
            <v>0.65551273338496685</v>
          </cell>
          <cell r="AA823">
            <v>6.765410639636274E-2</v>
          </cell>
          <cell r="AB823" t="str">
            <v/>
          </cell>
          <cell r="AC823" t="e">
            <v>#N/A</v>
          </cell>
          <cell r="AD823">
            <v>736</v>
          </cell>
          <cell r="AE823" t="e">
            <v>#N/A</v>
          </cell>
          <cell r="AF823" t="str">
            <v/>
          </cell>
        </row>
        <row r="824">
          <cell r="Y824">
            <v>808</v>
          </cell>
          <cell r="Z824">
            <v>0.85551520250737667</v>
          </cell>
          <cell r="AA824">
            <v>0.17923773742266716</v>
          </cell>
          <cell r="AB824" t="str">
            <v/>
          </cell>
          <cell r="AC824" t="e">
            <v>#N/A</v>
          </cell>
          <cell r="AD824">
            <v>737</v>
          </cell>
          <cell r="AE824" t="e">
            <v>#N/A</v>
          </cell>
          <cell r="AF824" t="str">
            <v/>
          </cell>
        </row>
        <row r="825">
          <cell r="Y825">
            <v>809</v>
          </cell>
          <cell r="Z825">
            <v>0.14677139930427074</v>
          </cell>
          <cell r="AA825">
            <v>-0.17754686007865383</v>
          </cell>
          <cell r="AB825" t="str">
            <v/>
          </cell>
          <cell r="AC825" t="e">
            <v>#N/A</v>
          </cell>
          <cell r="AD825">
            <v>738</v>
          </cell>
          <cell r="AE825" t="e">
            <v>#N/A</v>
          </cell>
          <cell r="AF825" t="str">
            <v/>
          </cell>
        </row>
        <row r="826">
          <cell r="Y826">
            <v>810</v>
          </cell>
          <cell r="Z826">
            <v>0.90107089839875698</v>
          </cell>
          <cell r="AA826">
            <v>0.21765724579221821</v>
          </cell>
          <cell r="AB826" t="str">
            <v/>
          </cell>
          <cell r="AC826" t="e">
            <v>#N/A</v>
          </cell>
          <cell r="AD826">
            <v>739</v>
          </cell>
          <cell r="AE826" t="e">
            <v>#N/A</v>
          </cell>
          <cell r="AF826" t="str">
            <v/>
          </cell>
        </row>
        <row r="827">
          <cell r="Y827">
            <v>811</v>
          </cell>
          <cell r="Z827">
            <v>0.69790924899280071</v>
          </cell>
          <cell r="AA827">
            <v>8.7625038878418493E-2</v>
          </cell>
          <cell r="AB827" t="str">
            <v/>
          </cell>
          <cell r="AC827" t="e">
            <v>#N/A</v>
          </cell>
          <cell r="AD827">
            <v>740</v>
          </cell>
          <cell r="AE827" t="e">
            <v>#N/A</v>
          </cell>
          <cell r="AF827" t="str">
            <v/>
          </cell>
        </row>
        <row r="828">
          <cell r="Y828">
            <v>812</v>
          </cell>
          <cell r="Z828">
            <v>0.56274824403226376</v>
          </cell>
          <cell r="AA828">
            <v>2.6696854061123598E-2</v>
          </cell>
          <cell r="AB828" t="str">
            <v/>
          </cell>
          <cell r="AC828" t="e">
            <v>#N/A</v>
          </cell>
          <cell r="AD828">
            <v>741</v>
          </cell>
          <cell r="AE828" t="e">
            <v>#N/A</v>
          </cell>
          <cell r="AF828" t="str">
            <v/>
          </cell>
        </row>
        <row r="829">
          <cell r="Y829">
            <v>813</v>
          </cell>
          <cell r="Z829">
            <v>0.75604980997741222</v>
          </cell>
          <cell r="AA829">
            <v>0.11724861334856147</v>
          </cell>
          <cell r="AB829" t="str">
            <v/>
          </cell>
          <cell r="AC829" t="e">
            <v>#N/A</v>
          </cell>
          <cell r="AD829">
            <v>742</v>
          </cell>
          <cell r="AE829" t="e">
            <v>#N/A</v>
          </cell>
          <cell r="AF829" t="str">
            <v/>
          </cell>
        </row>
        <row r="830">
          <cell r="Y830">
            <v>814</v>
          </cell>
          <cell r="Z830">
            <v>0.92842165194451809</v>
          </cell>
          <cell r="AA830">
            <v>0.24748421374078361</v>
          </cell>
          <cell r="AB830" t="str">
            <v/>
          </cell>
          <cell r="AC830" t="e">
            <v>#N/A</v>
          </cell>
          <cell r="AD830">
            <v>743</v>
          </cell>
          <cell r="AE830" t="e">
            <v>#N/A</v>
          </cell>
          <cell r="AF830" t="str">
            <v/>
          </cell>
        </row>
        <row r="831">
          <cell r="Y831">
            <v>815</v>
          </cell>
          <cell r="Z831">
            <v>0.5889266561716795</v>
          </cell>
          <cell r="AA831">
            <v>3.799556682427753E-2</v>
          </cell>
          <cell r="AB831" t="str">
            <v/>
          </cell>
          <cell r="AC831" t="e">
            <v>#N/A</v>
          </cell>
          <cell r="AD831">
            <v>744</v>
          </cell>
          <cell r="AE831" t="e">
            <v>#N/A</v>
          </cell>
          <cell r="AF831" t="str">
            <v/>
          </cell>
        </row>
        <row r="832">
          <cell r="Y832">
            <v>816</v>
          </cell>
          <cell r="Z832">
            <v>0.21776332519948483</v>
          </cell>
          <cell r="AA832">
            <v>-0.13180507674162023</v>
          </cell>
          <cell r="AB832" t="str">
            <v/>
          </cell>
          <cell r="AC832" t="e">
            <v>#N/A</v>
          </cell>
          <cell r="AD832">
            <v>745</v>
          </cell>
          <cell r="AE832" t="e">
            <v>#N/A</v>
          </cell>
          <cell r="AF832" t="str">
            <v/>
          </cell>
        </row>
        <row r="833">
          <cell r="Y833">
            <v>817</v>
          </cell>
          <cell r="Z833">
            <v>8.29180758446455E-2</v>
          </cell>
          <cell r="AA833">
            <v>-0.23422736515860826</v>
          </cell>
          <cell r="AB833" t="str">
            <v/>
          </cell>
          <cell r="AC833" t="e">
            <v>#N/A</v>
          </cell>
          <cell r="AD833">
            <v>746</v>
          </cell>
          <cell r="AE833" t="e">
            <v>#N/A</v>
          </cell>
          <cell r="AF833" t="str">
            <v/>
          </cell>
        </row>
        <row r="834">
          <cell r="Y834">
            <v>818</v>
          </cell>
          <cell r="Z834">
            <v>0.83638144098222256</v>
          </cell>
          <cell r="AA834">
            <v>0.16559853468086211</v>
          </cell>
          <cell r="AB834" t="str">
            <v/>
          </cell>
          <cell r="AC834" t="e">
            <v>#N/A</v>
          </cell>
          <cell r="AD834">
            <v>747</v>
          </cell>
          <cell r="AE834" t="e">
            <v>#N/A</v>
          </cell>
          <cell r="AF834" t="str">
            <v/>
          </cell>
        </row>
        <row r="835">
          <cell r="Y835">
            <v>819</v>
          </cell>
          <cell r="Z835">
            <v>0.28278095833957195</v>
          </cell>
          <cell r="AA835">
            <v>-9.7125110808321591E-2</v>
          </cell>
          <cell r="AB835" t="str">
            <v/>
          </cell>
          <cell r="AC835" t="e">
            <v>#N/A</v>
          </cell>
          <cell r="AD835">
            <v>748</v>
          </cell>
          <cell r="AE835" t="e">
            <v>#N/A</v>
          </cell>
          <cell r="AF835" t="str">
            <v/>
          </cell>
        </row>
        <row r="836">
          <cell r="Y836">
            <v>820</v>
          </cell>
          <cell r="Z836">
            <v>0.25954817794263363</v>
          </cell>
          <cell r="AA836">
            <v>-0.10898077720008548</v>
          </cell>
          <cell r="AB836" t="str">
            <v/>
          </cell>
          <cell r="AC836" t="e">
            <v>#N/A</v>
          </cell>
          <cell r="AD836">
            <v>749</v>
          </cell>
          <cell r="AE836" t="e">
            <v>#N/A</v>
          </cell>
          <cell r="AF836" t="str">
            <v/>
          </cell>
        </row>
        <row r="837">
          <cell r="Y837">
            <v>821</v>
          </cell>
          <cell r="Z837">
            <v>0.15355264954268932</v>
          </cell>
          <cell r="AA837">
            <v>-0.17263371600864369</v>
          </cell>
          <cell r="AB837" t="str">
            <v/>
          </cell>
          <cell r="AC837" t="e">
            <v>#N/A</v>
          </cell>
          <cell r="AD837">
            <v>750</v>
          </cell>
          <cell r="AE837" t="e">
            <v>#N/A</v>
          </cell>
          <cell r="AF837" t="str">
            <v/>
          </cell>
        </row>
        <row r="838">
          <cell r="Y838">
            <v>822</v>
          </cell>
          <cell r="Z838">
            <v>0.49161133728921413</v>
          </cell>
          <cell r="AA838">
            <v>-3.5545174619774386E-3</v>
          </cell>
          <cell r="AB838" t="str">
            <v/>
          </cell>
          <cell r="AC838" t="e">
            <v>#N/A</v>
          </cell>
          <cell r="AD838">
            <v>751</v>
          </cell>
          <cell r="AE838" t="e">
            <v>#N/A</v>
          </cell>
          <cell r="AF838" t="str">
            <v/>
          </cell>
        </row>
        <row r="839">
          <cell r="Y839">
            <v>823</v>
          </cell>
          <cell r="Z839">
            <v>0.76383952610194683</v>
          </cell>
          <cell r="AA839">
            <v>0.1214837988500642</v>
          </cell>
          <cell r="AB839" t="str">
            <v/>
          </cell>
          <cell r="AC839" t="e">
            <v>#N/A</v>
          </cell>
          <cell r="AD839">
            <v>752</v>
          </cell>
          <cell r="AE839" t="e">
            <v>#N/A</v>
          </cell>
          <cell r="AF839" t="str">
            <v/>
          </cell>
        </row>
        <row r="840">
          <cell r="Y840">
            <v>824</v>
          </cell>
          <cell r="Z840">
            <v>0.19093330763280392</v>
          </cell>
          <cell r="AA840">
            <v>-0.147811084085748</v>
          </cell>
          <cell r="AB840" t="str">
            <v/>
          </cell>
          <cell r="AC840" t="e">
            <v>#N/A</v>
          </cell>
          <cell r="AD840">
            <v>753</v>
          </cell>
          <cell r="AE840" t="e">
            <v>#N/A</v>
          </cell>
          <cell r="AF840" t="str">
            <v/>
          </cell>
        </row>
        <row r="841">
          <cell r="Y841">
            <v>825</v>
          </cell>
          <cell r="Z841">
            <v>0.55846103839576244</v>
          </cell>
          <cell r="AA841">
            <v>2.4859120048511516E-2</v>
          </cell>
          <cell r="AB841" t="str">
            <v/>
          </cell>
          <cell r="AC841" t="e">
            <v>#N/A</v>
          </cell>
          <cell r="AD841">
            <v>754</v>
          </cell>
          <cell r="AE841" t="e">
            <v>#N/A</v>
          </cell>
          <cell r="AF841" t="str">
            <v/>
          </cell>
        </row>
        <row r="842">
          <cell r="Y842">
            <v>826</v>
          </cell>
          <cell r="Z842">
            <v>0.64395112358033657</v>
          </cell>
          <cell r="AA842">
            <v>6.2379180899124927E-2</v>
          </cell>
          <cell r="AB842" t="str">
            <v/>
          </cell>
          <cell r="AC842" t="e">
            <v>#N/A</v>
          </cell>
          <cell r="AD842">
            <v>755</v>
          </cell>
          <cell r="AE842" t="e">
            <v>#N/A</v>
          </cell>
          <cell r="AF842" t="str">
            <v/>
          </cell>
        </row>
        <row r="843">
          <cell r="Y843">
            <v>827</v>
          </cell>
          <cell r="Z843">
            <v>0.60716797225177288</v>
          </cell>
          <cell r="AA843">
            <v>4.5967150625602637E-2</v>
          </cell>
          <cell r="AB843" t="str">
            <v/>
          </cell>
          <cell r="AC843" t="e">
            <v>#N/A</v>
          </cell>
          <cell r="AD843">
            <v>756</v>
          </cell>
          <cell r="AE843" t="e">
            <v>#N/A</v>
          </cell>
          <cell r="AF843" t="str">
            <v/>
          </cell>
        </row>
        <row r="844">
          <cell r="Y844">
            <v>828</v>
          </cell>
          <cell r="Z844">
            <v>0.61570136807858944</v>
          </cell>
          <cell r="AA844">
            <v>4.9730605569284728E-2</v>
          </cell>
          <cell r="AB844" t="str">
            <v/>
          </cell>
          <cell r="AC844" t="e">
            <v>#N/A</v>
          </cell>
          <cell r="AD844">
            <v>757</v>
          </cell>
          <cell r="AE844" t="e">
            <v>#N/A</v>
          </cell>
          <cell r="AF844" t="str">
            <v/>
          </cell>
        </row>
        <row r="845">
          <cell r="Y845">
            <v>829</v>
          </cell>
          <cell r="Z845">
            <v>0.68490367941558361</v>
          </cell>
          <cell r="AA845">
            <v>8.1380870558063256E-2</v>
          </cell>
          <cell r="AB845" t="str">
            <v/>
          </cell>
          <cell r="AC845" t="e">
            <v>#N/A</v>
          </cell>
          <cell r="AD845">
            <v>758</v>
          </cell>
          <cell r="AE845" t="e">
            <v>#N/A</v>
          </cell>
          <cell r="AF845" t="str">
            <v/>
          </cell>
        </row>
        <row r="846">
          <cell r="Y846">
            <v>830</v>
          </cell>
          <cell r="Z846">
            <v>0.69790366850793362</v>
          </cell>
          <cell r="AA846">
            <v>8.7622334414794931E-2</v>
          </cell>
          <cell r="AB846" t="str">
            <v/>
          </cell>
          <cell r="AC846" t="e">
            <v>#N/A</v>
          </cell>
          <cell r="AD846">
            <v>759</v>
          </cell>
          <cell r="AE846" t="e">
            <v>#N/A</v>
          </cell>
          <cell r="AF846" t="str">
            <v/>
          </cell>
        </row>
        <row r="847">
          <cell r="Y847">
            <v>831</v>
          </cell>
          <cell r="Z847">
            <v>0.75782702676951885</v>
          </cell>
          <cell r="AA847">
            <v>0.11820831154269285</v>
          </cell>
          <cell r="AB847" t="str">
            <v/>
          </cell>
          <cell r="AC847" t="e">
            <v>#N/A</v>
          </cell>
          <cell r="AD847">
            <v>760</v>
          </cell>
          <cell r="AE847" t="e">
            <v>#N/A</v>
          </cell>
          <cell r="AF847" t="str">
            <v/>
          </cell>
        </row>
        <row r="848">
          <cell r="Y848">
            <v>832</v>
          </cell>
          <cell r="Z848">
            <v>0.11944653652608395</v>
          </cell>
          <cell r="AA848">
            <v>-0.19907744708023281</v>
          </cell>
          <cell r="AB848" t="str">
            <v/>
          </cell>
          <cell r="AC848" t="e">
            <v>#N/A</v>
          </cell>
          <cell r="AD848">
            <v>761</v>
          </cell>
          <cell r="AE848" t="e">
            <v>#N/A</v>
          </cell>
          <cell r="AF848" t="str">
            <v/>
          </cell>
        </row>
        <row r="849">
          <cell r="Y849">
            <v>833</v>
          </cell>
          <cell r="Z849">
            <v>0.91806581430137157</v>
          </cell>
          <cell r="AA849">
            <v>0.23532110550299778</v>
          </cell>
          <cell r="AB849" t="str">
            <v/>
          </cell>
          <cell r="AC849" t="e">
            <v>#N/A</v>
          </cell>
          <cell r="AD849">
            <v>762</v>
          </cell>
          <cell r="AE849" t="e">
            <v>#N/A</v>
          </cell>
          <cell r="AF849" t="str">
            <v/>
          </cell>
        </row>
        <row r="850">
          <cell r="Y850">
            <v>834</v>
          </cell>
          <cell r="Z850">
            <v>7.7869301661849022E-2</v>
          </cell>
          <cell r="AA850">
            <v>-0.23994781832852563</v>
          </cell>
          <cell r="AB850" t="str">
            <v/>
          </cell>
          <cell r="AC850" t="e">
            <v>#N/A</v>
          </cell>
          <cell r="AD850">
            <v>763</v>
          </cell>
          <cell r="AE850" t="e">
            <v>#N/A</v>
          </cell>
          <cell r="AF850" t="str">
            <v/>
          </cell>
        </row>
        <row r="851">
          <cell r="Y851">
            <v>835</v>
          </cell>
          <cell r="Z851">
            <v>2.8919411823153496E-2</v>
          </cell>
          <cell r="AA851">
            <v>-0.32063758399689768</v>
          </cell>
          <cell r="AB851" t="str">
            <v/>
          </cell>
          <cell r="AC851" t="e">
            <v>#N/A</v>
          </cell>
          <cell r="AD851">
            <v>764</v>
          </cell>
          <cell r="AE851" t="e">
            <v>#N/A</v>
          </cell>
          <cell r="AF851" t="str">
            <v/>
          </cell>
        </row>
        <row r="852">
          <cell r="Y852">
            <v>836</v>
          </cell>
          <cell r="Z852">
            <v>0.49418388865888119</v>
          </cell>
          <cell r="AA852">
            <v>-2.4643591948055334E-3</v>
          </cell>
          <cell r="AB852" t="str">
            <v/>
          </cell>
          <cell r="AC852" t="e">
            <v>#N/A</v>
          </cell>
          <cell r="AD852">
            <v>765</v>
          </cell>
          <cell r="AE852" t="e">
            <v>#N/A</v>
          </cell>
          <cell r="AF852" t="str">
            <v/>
          </cell>
        </row>
        <row r="853">
          <cell r="Y853">
            <v>837</v>
          </cell>
          <cell r="Z853">
            <v>0.31097936443984509</v>
          </cell>
          <cell r="AA853">
            <v>-8.3345093952970781E-2</v>
          </cell>
          <cell r="AB853" t="str">
            <v/>
          </cell>
          <cell r="AC853" t="e">
            <v>#N/A</v>
          </cell>
          <cell r="AD853">
            <v>766</v>
          </cell>
          <cell r="AE853" t="e">
            <v>#N/A</v>
          </cell>
          <cell r="AF853" t="str">
            <v/>
          </cell>
        </row>
        <row r="854">
          <cell r="Y854">
            <v>838</v>
          </cell>
          <cell r="Z854">
            <v>0.68713018856942654</v>
          </cell>
          <cell r="AA854">
            <v>8.2441769217811448E-2</v>
          </cell>
          <cell r="AB854" t="str">
            <v/>
          </cell>
          <cell r="AC854" t="e">
            <v>#N/A</v>
          </cell>
          <cell r="AD854">
            <v>767</v>
          </cell>
          <cell r="AE854" t="e">
            <v>#N/A</v>
          </cell>
          <cell r="AF854" t="str">
            <v/>
          </cell>
        </row>
        <row r="855">
          <cell r="Y855">
            <v>839</v>
          </cell>
          <cell r="Z855">
            <v>0.81838671676814556</v>
          </cell>
          <cell r="AA855">
            <v>0.15368861408503676</v>
          </cell>
          <cell r="AB855" t="str">
            <v/>
          </cell>
          <cell r="AC855" t="e">
            <v>#N/A</v>
          </cell>
          <cell r="AD855">
            <v>768</v>
          </cell>
          <cell r="AE855" t="e">
            <v>#N/A</v>
          </cell>
          <cell r="AF855" t="str">
            <v/>
          </cell>
        </row>
        <row r="856">
          <cell r="Y856">
            <v>840</v>
          </cell>
          <cell r="Z856">
            <v>0.80670877359807491</v>
          </cell>
          <cell r="AA856">
            <v>0.14635227200836837</v>
          </cell>
          <cell r="AB856" t="str">
            <v/>
          </cell>
          <cell r="AC856" t="e">
            <v>#N/A</v>
          </cell>
          <cell r="AD856">
            <v>769</v>
          </cell>
          <cell r="AE856" t="e">
            <v>#N/A</v>
          </cell>
          <cell r="AF856" t="str">
            <v/>
          </cell>
        </row>
        <row r="857">
          <cell r="Y857">
            <v>841</v>
          </cell>
          <cell r="Z857">
            <v>0.22319480590522289</v>
          </cell>
          <cell r="AA857">
            <v>-0.12870817931582554</v>
          </cell>
          <cell r="AB857" t="str">
            <v/>
          </cell>
          <cell r="AC857" t="e">
            <v>#N/A</v>
          </cell>
          <cell r="AD857">
            <v>770</v>
          </cell>
          <cell r="AE857" t="e">
            <v>#N/A</v>
          </cell>
          <cell r="AF857" t="str">
            <v/>
          </cell>
        </row>
        <row r="858">
          <cell r="Y858">
            <v>842</v>
          </cell>
          <cell r="Z858">
            <v>0.96058470569550991</v>
          </cell>
          <cell r="AA858">
            <v>0.29707373864598935</v>
          </cell>
          <cell r="AB858" t="str">
            <v/>
          </cell>
          <cell r="AC858" t="e">
            <v>#N/A</v>
          </cell>
          <cell r="AD858">
            <v>771</v>
          </cell>
          <cell r="AE858" t="e">
            <v>#N/A</v>
          </cell>
          <cell r="AF858" t="str">
            <v/>
          </cell>
        </row>
        <row r="859">
          <cell r="Y859">
            <v>843</v>
          </cell>
          <cell r="Z859">
            <v>0.5445562731474638</v>
          </cell>
          <cell r="AA859">
            <v>1.8917801694295761E-2</v>
          </cell>
          <cell r="AB859" t="str">
            <v/>
          </cell>
          <cell r="AC859" t="e">
            <v>#N/A</v>
          </cell>
          <cell r="AD859">
            <v>772</v>
          </cell>
          <cell r="AE859" t="e">
            <v>#N/A</v>
          </cell>
          <cell r="AF859" t="str">
            <v/>
          </cell>
        </row>
        <row r="860">
          <cell r="Y860">
            <v>844</v>
          </cell>
          <cell r="Z860">
            <v>0.81070618890225887</v>
          </cell>
          <cell r="AA860">
            <v>0.14883193988767107</v>
          </cell>
          <cell r="AB860" t="str">
            <v/>
          </cell>
          <cell r="AC860" t="e">
            <v>#N/A</v>
          </cell>
          <cell r="AD860">
            <v>773</v>
          </cell>
          <cell r="AE860" t="e">
            <v>#N/A</v>
          </cell>
          <cell r="AF860" t="str">
            <v/>
          </cell>
        </row>
        <row r="861">
          <cell r="Y861">
            <v>845</v>
          </cell>
          <cell r="Z861">
            <v>0.42820304445922375</v>
          </cell>
          <cell r="AA861">
            <v>-3.0586290399535004E-2</v>
          </cell>
          <cell r="AB861" t="str">
            <v/>
          </cell>
          <cell r="AC861" t="e">
            <v>#N/A</v>
          </cell>
          <cell r="AD861">
            <v>774</v>
          </cell>
          <cell r="AE861" t="e">
            <v>#N/A</v>
          </cell>
          <cell r="AF861" t="str">
            <v/>
          </cell>
        </row>
        <row r="862">
          <cell r="Y862">
            <v>846</v>
          </cell>
          <cell r="Z862">
            <v>1.1231815442442894E-2</v>
          </cell>
          <cell r="AA862">
            <v>-0.38580204506999732</v>
          </cell>
          <cell r="AB862" t="str">
            <v/>
          </cell>
          <cell r="AC862" t="e">
            <v>#N/A</v>
          </cell>
          <cell r="AD862">
            <v>775</v>
          </cell>
          <cell r="AE862" t="e">
            <v>#N/A</v>
          </cell>
          <cell r="AF862" t="str">
            <v/>
          </cell>
        </row>
        <row r="863">
          <cell r="Y863">
            <v>847</v>
          </cell>
          <cell r="Z863">
            <v>0.30043802969157696</v>
          </cell>
          <cell r="AA863">
            <v>-8.8426986910660893E-2</v>
          </cell>
          <cell r="AB863" t="str">
            <v/>
          </cell>
          <cell r="AC863" t="e">
            <v>#N/A</v>
          </cell>
          <cell r="AD863">
            <v>776</v>
          </cell>
          <cell r="AE863" t="e">
            <v>#N/A</v>
          </cell>
          <cell r="AF863" t="str">
            <v/>
          </cell>
        </row>
        <row r="864">
          <cell r="Y864">
            <v>848</v>
          </cell>
          <cell r="Z864">
            <v>0.20261015556752682</v>
          </cell>
          <cell r="AA864">
            <v>-0.14069016420391911</v>
          </cell>
          <cell r="AB864" t="str">
            <v/>
          </cell>
          <cell r="AC864" t="e">
            <v>#N/A</v>
          </cell>
          <cell r="AD864">
            <v>777</v>
          </cell>
          <cell r="AE864" t="e">
            <v>#N/A</v>
          </cell>
          <cell r="AF864" t="str">
            <v/>
          </cell>
        </row>
        <row r="865">
          <cell r="Y865">
            <v>849</v>
          </cell>
          <cell r="Z865">
            <v>0.1896072905510664</v>
          </cell>
          <cell r="AA865">
            <v>-0.14863632838170213</v>
          </cell>
          <cell r="AB865" t="str">
            <v/>
          </cell>
          <cell r="AC865" t="e">
            <v>#N/A</v>
          </cell>
          <cell r="AD865">
            <v>778</v>
          </cell>
          <cell r="AE865" t="e">
            <v>#N/A</v>
          </cell>
          <cell r="AF865" t="str">
            <v/>
          </cell>
        </row>
        <row r="866">
          <cell r="Y866">
            <v>850</v>
          </cell>
          <cell r="Z866">
            <v>0.37040544115006924</v>
          </cell>
          <cell r="AA866">
            <v>-5.5911977140401262E-2</v>
          </cell>
          <cell r="AB866" t="str">
            <v/>
          </cell>
          <cell r="AC866" t="e">
            <v>#N/A</v>
          </cell>
          <cell r="AD866">
            <v>779</v>
          </cell>
          <cell r="AE866" t="e">
            <v>#N/A</v>
          </cell>
          <cell r="AF866" t="str">
            <v/>
          </cell>
        </row>
        <row r="867">
          <cell r="Y867">
            <v>851</v>
          </cell>
          <cell r="Z867">
            <v>0.22677142731845379</v>
          </cell>
          <cell r="AA867">
            <v>-0.1266922822940893</v>
          </cell>
          <cell r="AB867" t="str">
            <v/>
          </cell>
          <cell r="AC867" t="e">
            <v>#N/A</v>
          </cell>
          <cell r="AD867">
            <v>780</v>
          </cell>
          <cell r="AE867" t="e">
            <v>#N/A</v>
          </cell>
          <cell r="AF867" t="str">
            <v/>
          </cell>
        </row>
        <row r="868">
          <cell r="Y868">
            <v>852</v>
          </cell>
          <cell r="Z868">
            <v>0.2212130930274725</v>
          </cell>
          <cell r="AA868">
            <v>-0.12983304927155992</v>
          </cell>
          <cell r="AB868" t="str">
            <v/>
          </cell>
          <cell r="AC868" t="e">
            <v>#N/A</v>
          </cell>
          <cell r="AD868">
            <v>781</v>
          </cell>
          <cell r="AE868" t="e">
            <v>#N/A</v>
          </cell>
          <cell r="AF868" t="str">
            <v/>
          </cell>
        </row>
        <row r="869">
          <cell r="Y869">
            <v>853</v>
          </cell>
          <cell r="Z869">
            <v>0.8060449343174696</v>
          </cell>
          <cell r="AA869">
            <v>0.14594352729564991</v>
          </cell>
          <cell r="AB869" t="str">
            <v/>
          </cell>
          <cell r="AC869" t="e">
            <v>#N/A</v>
          </cell>
          <cell r="AD869">
            <v>782</v>
          </cell>
          <cell r="AE869" t="e">
            <v>#N/A</v>
          </cell>
          <cell r="AF869" t="str">
            <v/>
          </cell>
        </row>
        <row r="870">
          <cell r="Y870">
            <v>854</v>
          </cell>
          <cell r="Z870">
            <v>0.82175884209573269</v>
          </cell>
          <cell r="AA870">
            <v>0.15586143594241941</v>
          </cell>
          <cell r="AB870" t="str">
            <v/>
          </cell>
          <cell r="AC870" t="e">
            <v>#N/A</v>
          </cell>
          <cell r="AD870">
            <v>783</v>
          </cell>
          <cell r="AE870" t="e">
            <v>#N/A</v>
          </cell>
          <cell r="AF870" t="str">
            <v/>
          </cell>
        </row>
        <row r="871">
          <cell r="Y871">
            <v>855</v>
          </cell>
          <cell r="Z871">
            <v>0.10382227413356304</v>
          </cell>
          <cell r="AA871">
            <v>-0.21299049962994782</v>
          </cell>
          <cell r="AB871" t="str">
            <v/>
          </cell>
          <cell r="AC871" t="e">
            <v>#N/A</v>
          </cell>
          <cell r="AD871">
            <v>784</v>
          </cell>
          <cell r="AE871" t="e">
            <v>#N/A</v>
          </cell>
          <cell r="AF871" t="str">
            <v/>
          </cell>
        </row>
        <row r="872">
          <cell r="Y872">
            <v>856</v>
          </cell>
          <cell r="Z872">
            <v>9.1025194153189659E-2</v>
          </cell>
          <cell r="AA872">
            <v>-0.22556633338620105</v>
          </cell>
          <cell r="AB872" t="str">
            <v/>
          </cell>
          <cell r="AC872" t="e">
            <v>#N/A</v>
          </cell>
          <cell r="AD872">
            <v>785</v>
          </cell>
          <cell r="AE872" t="e">
            <v>#N/A</v>
          </cell>
          <cell r="AF872" t="str">
            <v/>
          </cell>
        </row>
        <row r="873">
          <cell r="Y873">
            <v>857</v>
          </cell>
          <cell r="Z873">
            <v>0.12485942058265209</v>
          </cell>
          <cell r="AA873">
            <v>-0.19456001286822799</v>
          </cell>
          <cell r="AB873" t="str">
            <v/>
          </cell>
          <cell r="AC873" t="e">
            <v>#N/A</v>
          </cell>
          <cell r="AD873">
            <v>786</v>
          </cell>
          <cell r="AE873" t="e">
            <v>#N/A</v>
          </cell>
          <cell r="AF873" t="str">
            <v/>
          </cell>
        </row>
        <row r="874">
          <cell r="Y874">
            <v>858</v>
          </cell>
          <cell r="Z874">
            <v>0.828998988494277</v>
          </cell>
          <cell r="AA874">
            <v>0.16061598121899312</v>
          </cell>
          <cell r="AB874" t="str">
            <v/>
          </cell>
          <cell r="AC874" t="e">
            <v>#N/A</v>
          </cell>
          <cell r="AD874">
            <v>787</v>
          </cell>
          <cell r="AE874" t="e">
            <v>#N/A</v>
          </cell>
          <cell r="AF874" t="str">
            <v/>
          </cell>
        </row>
        <row r="875">
          <cell r="Y875">
            <v>859</v>
          </cell>
          <cell r="Z875">
            <v>0.66192962042987347</v>
          </cell>
          <cell r="AA875">
            <v>7.0610130334868612E-2</v>
          </cell>
          <cell r="AB875" t="str">
            <v/>
          </cell>
          <cell r="AC875" t="e">
            <v>#N/A</v>
          </cell>
          <cell r="AD875">
            <v>788</v>
          </cell>
          <cell r="AE875" t="e">
            <v>#N/A</v>
          </cell>
          <cell r="AF875" t="str">
            <v/>
          </cell>
        </row>
        <row r="876">
          <cell r="Y876">
            <v>860</v>
          </cell>
          <cell r="Z876">
            <v>0.80938380025327206</v>
          </cell>
          <cell r="AA876">
            <v>0.14800811456501178</v>
          </cell>
          <cell r="AB876" t="str">
            <v/>
          </cell>
          <cell r="AC876" t="e">
            <v>#N/A</v>
          </cell>
          <cell r="AD876">
            <v>789</v>
          </cell>
          <cell r="AE876" t="e">
            <v>#N/A</v>
          </cell>
          <cell r="AF876" t="str">
            <v/>
          </cell>
        </row>
        <row r="877">
          <cell r="Y877">
            <v>861</v>
          </cell>
          <cell r="Z877">
            <v>0.52452212385833263</v>
          </cell>
          <cell r="AA877">
            <v>1.0396514218101253E-2</v>
          </cell>
          <cell r="AB877" t="str">
            <v/>
          </cell>
          <cell r="AC877" t="e">
            <v>#N/A</v>
          </cell>
          <cell r="AD877">
            <v>790</v>
          </cell>
          <cell r="AE877" t="e">
            <v>#N/A</v>
          </cell>
          <cell r="AF877" t="str">
            <v/>
          </cell>
        </row>
        <row r="878">
          <cell r="Y878">
            <v>862</v>
          </cell>
          <cell r="Z878">
            <v>5.7370936498045921E-2</v>
          </cell>
          <cell r="AA878">
            <v>-0.26660107244063264</v>
          </cell>
          <cell r="AB878" t="str">
            <v/>
          </cell>
          <cell r="AC878" t="e">
            <v>#N/A</v>
          </cell>
          <cell r="AD878">
            <v>791</v>
          </cell>
          <cell r="AE878" t="e">
            <v>#N/A</v>
          </cell>
          <cell r="AF878" t="str">
            <v/>
          </cell>
        </row>
        <row r="879">
          <cell r="Y879">
            <v>863</v>
          </cell>
          <cell r="Z879">
            <v>0.11080263368785381</v>
          </cell>
          <cell r="AA879">
            <v>-0.20660146015781186</v>
          </cell>
          <cell r="AB879" t="str">
            <v/>
          </cell>
          <cell r="AC879" t="e">
            <v>#N/A</v>
          </cell>
          <cell r="AD879">
            <v>792</v>
          </cell>
          <cell r="AE879" t="e">
            <v>#N/A</v>
          </cell>
          <cell r="AF879" t="str">
            <v/>
          </cell>
        </row>
        <row r="880">
          <cell r="Y880">
            <v>864</v>
          </cell>
          <cell r="Z880">
            <v>0.77731277607381344</v>
          </cell>
          <cell r="AA880">
            <v>0.12899575103644978</v>
          </cell>
          <cell r="AB880" t="str">
            <v/>
          </cell>
          <cell r="AC880" t="e">
            <v>#N/A</v>
          </cell>
          <cell r="AD880">
            <v>793</v>
          </cell>
          <cell r="AE880" t="e">
            <v>#N/A</v>
          </cell>
          <cell r="AF880" t="str">
            <v/>
          </cell>
        </row>
        <row r="881">
          <cell r="Y881">
            <v>865</v>
          </cell>
          <cell r="Z881">
            <v>0.86580422334372997</v>
          </cell>
          <cell r="AA881">
            <v>0.18707898961402711</v>
          </cell>
          <cell r="AB881" t="str">
            <v/>
          </cell>
          <cell r="AC881" t="e">
            <v>#N/A</v>
          </cell>
          <cell r="AD881">
            <v>794</v>
          </cell>
          <cell r="AE881" t="e">
            <v>#N/A</v>
          </cell>
          <cell r="AF881" t="str">
            <v/>
          </cell>
        </row>
        <row r="882">
          <cell r="Y882">
            <v>866</v>
          </cell>
          <cell r="Z882">
            <v>0.4888922031968832</v>
          </cell>
          <cell r="AA882">
            <v>-4.7069541056930881E-3</v>
          </cell>
          <cell r="AB882" t="str">
            <v/>
          </cell>
          <cell r="AC882" t="e">
            <v>#N/A</v>
          </cell>
          <cell r="AD882">
            <v>795</v>
          </cell>
          <cell r="AE882" t="e">
            <v>#N/A</v>
          </cell>
          <cell r="AF882" t="str">
            <v/>
          </cell>
        </row>
        <row r="883">
          <cell r="Y883">
            <v>867</v>
          </cell>
          <cell r="Z883">
            <v>0.38756747357547283</v>
          </cell>
          <cell r="AA883">
            <v>-4.8286146588704913E-2</v>
          </cell>
          <cell r="AB883" t="str">
            <v/>
          </cell>
          <cell r="AC883" t="e">
            <v>#N/A</v>
          </cell>
          <cell r="AD883">
            <v>796</v>
          </cell>
          <cell r="AE883" t="e">
            <v>#N/A</v>
          </cell>
          <cell r="AF883" t="str">
            <v/>
          </cell>
        </row>
        <row r="884">
          <cell r="Y884">
            <v>868</v>
          </cell>
          <cell r="Z884">
            <v>0.77413188479840755</v>
          </cell>
          <cell r="AA884">
            <v>0.12719970799785851</v>
          </cell>
          <cell r="AB884" t="str">
            <v/>
          </cell>
          <cell r="AC884" t="e">
            <v>#N/A</v>
          </cell>
          <cell r="AD884">
            <v>797</v>
          </cell>
          <cell r="AE884" t="e">
            <v>#N/A</v>
          </cell>
          <cell r="AF884" t="str">
            <v/>
          </cell>
        </row>
        <row r="885">
          <cell r="Y885">
            <v>869</v>
          </cell>
          <cell r="Z885">
            <v>0.91169857792556286</v>
          </cell>
          <cell r="AA885">
            <v>0.22840954546548919</v>
          </cell>
          <cell r="AB885" t="str">
            <v/>
          </cell>
          <cell r="AC885" t="e">
            <v>#N/A</v>
          </cell>
          <cell r="AD885">
            <v>798</v>
          </cell>
          <cell r="AE885" t="e">
            <v>#N/A</v>
          </cell>
          <cell r="AF885" t="str">
            <v/>
          </cell>
        </row>
        <row r="886">
          <cell r="Y886">
            <v>870</v>
          </cell>
          <cell r="Z886">
            <v>0.63133714161813259</v>
          </cell>
          <cell r="AA886">
            <v>5.6692421025860751E-2</v>
          </cell>
          <cell r="AB886" t="str">
            <v/>
          </cell>
          <cell r="AC886" t="e">
            <v>#N/A</v>
          </cell>
          <cell r="AD886">
            <v>799</v>
          </cell>
          <cell r="AE886" t="e">
            <v>#N/A</v>
          </cell>
          <cell r="AF886" t="str">
            <v/>
          </cell>
        </row>
        <row r="887">
          <cell r="Y887">
            <v>871</v>
          </cell>
          <cell r="Z887">
            <v>0.62356416694819927</v>
          </cell>
          <cell r="AA887">
            <v>5.3220227221272683E-2</v>
          </cell>
          <cell r="AB887" t="str">
            <v/>
          </cell>
          <cell r="AC887" t="e">
            <v>#N/A</v>
          </cell>
          <cell r="AD887">
            <v>800</v>
          </cell>
          <cell r="AE887" t="e">
            <v>#N/A</v>
          </cell>
          <cell r="AF887" t="str">
            <v/>
          </cell>
        </row>
        <row r="888">
          <cell r="Y888">
            <v>872</v>
          </cell>
          <cell r="Z888">
            <v>0.77581616304814816</v>
          </cell>
          <cell r="AA888">
            <v>0.12814890867411449</v>
          </cell>
          <cell r="AB888" t="str">
            <v/>
          </cell>
          <cell r="AC888" t="e">
            <v>#N/A</v>
          </cell>
          <cell r="AD888">
            <v>801</v>
          </cell>
          <cell r="AE888" t="e">
            <v>#N/A</v>
          </cell>
          <cell r="AF888" t="str">
            <v/>
          </cell>
        </row>
        <row r="889">
          <cell r="Y889">
            <v>873</v>
          </cell>
          <cell r="Z889">
            <v>0.71609160117805004</v>
          </cell>
          <cell r="AA889">
            <v>9.6562213474310418E-2</v>
          </cell>
          <cell r="AB889" t="str">
            <v/>
          </cell>
          <cell r="AC889" t="e">
            <v>#N/A</v>
          </cell>
          <cell r="AD889">
            <v>802</v>
          </cell>
          <cell r="AE889" t="e">
            <v>#N/A</v>
          </cell>
          <cell r="AF889" t="str">
            <v/>
          </cell>
        </row>
        <row r="890">
          <cell r="Y890">
            <v>874</v>
          </cell>
          <cell r="Z890">
            <v>0.32097131572663784</v>
          </cell>
          <cell r="AA890">
            <v>-7.8596708028277104E-2</v>
          </cell>
          <cell r="AB890" t="str">
            <v/>
          </cell>
          <cell r="AC890" t="e">
            <v>#N/A</v>
          </cell>
          <cell r="AD890">
            <v>803</v>
          </cell>
          <cell r="AE890" t="e">
            <v>#N/A</v>
          </cell>
          <cell r="AF890" t="str">
            <v/>
          </cell>
        </row>
        <row r="891">
          <cell r="Y891">
            <v>875</v>
          </cell>
          <cell r="Z891">
            <v>0.32989348284900188</v>
          </cell>
          <cell r="AA891">
            <v>-7.4408616226816743E-2</v>
          </cell>
          <cell r="AB891" t="str">
            <v/>
          </cell>
          <cell r="AC891" t="e">
            <v>#N/A</v>
          </cell>
          <cell r="AD891">
            <v>804</v>
          </cell>
          <cell r="AE891" t="e">
            <v>#N/A</v>
          </cell>
          <cell r="AF891" t="str">
            <v/>
          </cell>
        </row>
        <row r="892">
          <cell r="Y892">
            <v>876</v>
          </cell>
          <cell r="Z892">
            <v>0.11710529588162899</v>
          </cell>
          <cell r="AA892">
            <v>-0.20107611459085686</v>
          </cell>
          <cell r="AB892" t="str">
            <v/>
          </cell>
          <cell r="AC892" t="e">
            <v>#N/A</v>
          </cell>
          <cell r="AD892">
            <v>805</v>
          </cell>
          <cell r="AE892" t="e">
            <v>#N/A</v>
          </cell>
          <cell r="AF892" t="str">
            <v/>
          </cell>
        </row>
        <row r="893">
          <cell r="Y893">
            <v>877</v>
          </cell>
          <cell r="Z893">
            <v>0.48118513636291027</v>
          </cell>
          <cell r="AA893">
            <v>-7.9747683877821971E-3</v>
          </cell>
          <cell r="AB893" t="str">
            <v/>
          </cell>
          <cell r="AC893" t="e">
            <v>#N/A</v>
          </cell>
          <cell r="AD893">
            <v>806</v>
          </cell>
          <cell r="AE893" t="e">
            <v>#N/A</v>
          </cell>
          <cell r="AF893" t="str">
            <v/>
          </cell>
        </row>
        <row r="894">
          <cell r="Y894">
            <v>878</v>
          </cell>
          <cell r="Z894">
            <v>0.6190358754247427</v>
          </cell>
          <cell r="AA894">
            <v>5.120783353358057E-2</v>
          </cell>
          <cell r="AB894" t="str">
            <v/>
          </cell>
          <cell r="AC894" t="e">
            <v>#N/A</v>
          </cell>
          <cell r="AD894">
            <v>807</v>
          </cell>
          <cell r="AE894" t="e">
            <v>#N/A</v>
          </cell>
          <cell r="AF894" t="str">
            <v/>
          </cell>
        </row>
        <row r="895">
          <cell r="Y895">
            <v>879</v>
          </cell>
          <cell r="Z895">
            <v>0.80171380750834942</v>
          </cell>
          <cell r="AA895">
            <v>0.14329736929682324</v>
          </cell>
          <cell r="AB895" t="str">
            <v/>
          </cell>
          <cell r="AC895" t="e">
            <v>#N/A</v>
          </cell>
          <cell r="AD895">
            <v>808</v>
          </cell>
          <cell r="AE895" t="e">
            <v>#N/A</v>
          </cell>
          <cell r="AF895" t="str">
            <v/>
          </cell>
        </row>
        <row r="896">
          <cell r="Y896">
            <v>880</v>
          </cell>
          <cell r="Z896">
            <v>0.49736299179494381</v>
          </cell>
          <cell r="AA896">
            <v>-1.1173019473067829E-3</v>
          </cell>
          <cell r="AB896" t="str">
            <v/>
          </cell>
          <cell r="AC896" t="e">
            <v>#N/A</v>
          </cell>
          <cell r="AD896">
            <v>809</v>
          </cell>
          <cell r="AE896" t="e">
            <v>#N/A</v>
          </cell>
          <cell r="AF896" t="str">
            <v/>
          </cell>
        </row>
        <row r="897">
          <cell r="Y897">
            <v>881</v>
          </cell>
          <cell r="Z897">
            <v>0.3836683314293623</v>
          </cell>
          <cell r="AA897">
            <v>-5.0009542083366984E-2</v>
          </cell>
          <cell r="AB897" t="str">
            <v/>
          </cell>
          <cell r="AC897" t="e">
            <v>#N/A</v>
          </cell>
          <cell r="AD897">
            <v>810</v>
          </cell>
          <cell r="AE897" t="e">
            <v>#N/A</v>
          </cell>
          <cell r="AF897" t="str">
            <v/>
          </cell>
        </row>
        <row r="898">
          <cell r="Y898">
            <v>882</v>
          </cell>
          <cell r="Z898">
            <v>0.30198193155229092</v>
          </cell>
          <cell r="AA898">
            <v>-8.7677780403926431E-2</v>
          </cell>
          <cell r="AB898" t="str">
            <v/>
          </cell>
          <cell r="AC898" t="e">
            <v>#N/A</v>
          </cell>
          <cell r="AD898">
            <v>811</v>
          </cell>
          <cell r="AE898" t="e">
            <v>#N/A</v>
          </cell>
          <cell r="AF898" t="str">
            <v/>
          </cell>
        </row>
        <row r="899">
          <cell r="Y899">
            <v>883</v>
          </cell>
          <cell r="Z899">
            <v>0.24128801934421062</v>
          </cell>
          <cell r="AA899">
            <v>-0.11868761015011088</v>
          </cell>
          <cell r="AB899" t="str">
            <v/>
          </cell>
          <cell r="AC899" t="e">
            <v>#N/A</v>
          </cell>
          <cell r="AD899">
            <v>812</v>
          </cell>
          <cell r="AE899" t="e">
            <v>#N/A</v>
          </cell>
          <cell r="AF899" t="str">
            <v/>
          </cell>
        </row>
        <row r="900">
          <cell r="Y900">
            <v>884</v>
          </cell>
          <cell r="Z900">
            <v>0.33018635772168636</v>
          </cell>
          <cell r="AA900">
            <v>-7.4271925170783473E-2</v>
          </cell>
          <cell r="AB900" t="str">
            <v/>
          </cell>
          <cell r="AC900" t="e">
            <v>#N/A</v>
          </cell>
          <cell r="AD900">
            <v>813</v>
          </cell>
          <cell r="AE900" t="e">
            <v>#N/A</v>
          </cell>
          <cell r="AF900" t="str">
            <v/>
          </cell>
        </row>
        <row r="901">
          <cell r="Y901">
            <v>885</v>
          </cell>
          <cell r="Z901">
            <v>0.86963951401412487</v>
          </cell>
          <cell r="AA901">
            <v>0.1901070879307169</v>
          </cell>
          <cell r="AB901" t="str">
            <v/>
          </cell>
          <cell r="AC901" t="e">
            <v>#N/A</v>
          </cell>
          <cell r="AD901">
            <v>814</v>
          </cell>
          <cell r="AE901" t="e">
            <v>#N/A</v>
          </cell>
          <cell r="AF901" t="str">
            <v/>
          </cell>
        </row>
        <row r="902">
          <cell r="Y902">
            <v>886</v>
          </cell>
          <cell r="Z902">
            <v>0.44545493088662624</v>
          </cell>
          <cell r="AA902">
            <v>-2.3183087986462129E-2</v>
          </cell>
          <cell r="AB902" t="str">
            <v/>
          </cell>
          <cell r="AC902" t="e">
            <v>#N/A</v>
          </cell>
          <cell r="AD902">
            <v>815</v>
          </cell>
          <cell r="AE902" t="e">
            <v>#N/A</v>
          </cell>
          <cell r="AF902" t="str">
            <v/>
          </cell>
        </row>
        <row r="903">
          <cell r="Y903">
            <v>887</v>
          </cell>
          <cell r="Z903">
            <v>9.9780363962054253E-2</v>
          </cell>
          <cell r="AA903">
            <v>-0.21683346352382368</v>
          </cell>
          <cell r="AB903" t="str">
            <v/>
          </cell>
          <cell r="AC903" t="e">
            <v>#N/A</v>
          </cell>
          <cell r="AD903">
            <v>816</v>
          </cell>
          <cell r="AE903" t="e">
            <v>#N/A</v>
          </cell>
          <cell r="AF903" t="str">
            <v/>
          </cell>
        </row>
        <row r="904">
          <cell r="Y904">
            <v>888</v>
          </cell>
          <cell r="Z904">
            <v>0.9367652740329504</v>
          </cell>
          <cell r="AA904">
            <v>0.25830847698239212</v>
          </cell>
          <cell r="AB904" t="str">
            <v/>
          </cell>
          <cell r="AC904" t="e">
            <v>#N/A</v>
          </cell>
          <cell r="AD904">
            <v>817</v>
          </cell>
          <cell r="AE904" t="e">
            <v>#N/A</v>
          </cell>
          <cell r="AF904" t="str">
            <v/>
          </cell>
        </row>
        <row r="905">
          <cell r="Y905">
            <v>889</v>
          </cell>
          <cell r="Z905">
            <v>0.91827806644141674</v>
          </cell>
          <cell r="AA905">
            <v>0.23555835136202077</v>
          </cell>
          <cell r="AB905" t="str">
            <v/>
          </cell>
          <cell r="AC905" t="e">
            <v>#N/A</v>
          </cell>
          <cell r="AD905">
            <v>818</v>
          </cell>
          <cell r="AE905" t="e">
            <v>#N/A</v>
          </cell>
          <cell r="AF905" t="str">
            <v/>
          </cell>
        </row>
        <row r="906">
          <cell r="Y906">
            <v>890</v>
          </cell>
          <cell r="Z906">
            <v>0.60202903114259243</v>
          </cell>
          <cell r="AA906">
            <v>4.3711804227258746E-2</v>
          </cell>
          <cell r="AB906" t="str">
            <v/>
          </cell>
          <cell r="AC906" t="e">
            <v>#N/A</v>
          </cell>
          <cell r="AD906">
            <v>819</v>
          </cell>
          <cell r="AE906" t="e">
            <v>#N/A</v>
          </cell>
          <cell r="AF906" t="str">
            <v/>
          </cell>
        </row>
        <row r="907">
          <cell r="Y907">
            <v>891</v>
          </cell>
          <cell r="Z907">
            <v>0.13780332915484905</v>
          </cell>
          <cell r="AA907">
            <v>-0.18428449401655383</v>
          </cell>
          <cell r="AB907" t="str">
            <v/>
          </cell>
          <cell r="AC907" t="e">
            <v>#N/A</v>
          </cell>
          <cell r="AD907">
            <v>820</v>
          </cell>
          <cell r="AE907" t="e">
            <v>#N/A</v>
          </cell>
          <cell r="AF907" t="str">
            <v/>
          </cell>
        </row>
        <row r="908">
          <cell r="Y908">
            <v>892</v>
          </cell>
          <cell r="Z908">
            <v>8.2991769537329674E-2</v>
          </cell>
          <cell r="AA908">
            <v>-0.23414583764260358</v>
          </cell>
          <cell r="AB908" t="str">
            <v/>
          </cell>
          <cell r="AC908" t="e">
            <v>#N/A</v>
          </cell>
          <cell r="AD908">
            <v>821</v>
          </cell>
          <cell r="AE908" t="e">
            <v>#N/A</v>
          </cell>
          <cell r="AF908" t="str">
            <v/>
          </cell>
        </row>
        <row r="909">
          <cell r="Y909">
            <v>893</v>
          </cell>
          <cell r="Z909">
            <v>0.77426630072295666</v>
          </cell>
          <cell r="AA909">
            <v>0.12727531263611674</v>
          </cell>
          <cell r="AB909" t="str">
            <v/>
          </cell>
          <cell r="AC909" t="e">
            <v>#N/A</v>
          </cell>
          <cell r="AD909">
            <v>822</v>
          </cell>
          <cell r="AE909" t="e">
            <v>#N/A</v>
          </cell>
          <cell r="AF909" t="str">
            <v/>
          </cell>
        </row>
        <row r="910">
          <cell r="Y910">
            <v>894</v>
          </cell>
          <cell r="Z910">
            <v>7.2691475972533226E-2</v>
          </cell>
          <cell r="AA910">
            <v>-0.24611483046502008</v>
          </cell>
          <cell r="AB910" t="str">
            <v/>
          </cell>
          <cell r="AC910" t="e">
            <v>#N/A</v>
          </cell>
          <cell r="AD910">
            <v>823</v>
          </cell>
          <cell r="AE910" t="e">
            <v>#N/A</v>
          </cell>
          <cell r="AF910" t="str">
            <v/>
          </cell>
        </row>
        <row r="911">
          <cell r="Y911">
            <v>895</v>
          </cell>
          <cell r="Z911">
            <v>0.70471451990306377</v>
          </cell>
          <cell r="AA911">
            <v>9.0940088480311085E-2</v>
          </cell>
          <cell r="AB911" t="str">
            <v/>
          </cell>
          <cell r="AC911" t="e">
            <v>#N/A</v>
          </cell>
          <cell r="AD911">
            <v>824</v>
          </cell>
          <cell r="AE911" t="e">
            <v>#N/A</v>
          </cell>
          <cell r="AF911" t="str">
            <v/>
          </cell>
        </row>
        <row r="912">
          <cell r="Y912">
            <v>896</v>
          </cell>
          <cell r="Z912">
            <v>0.36031939648091793</v>
          </cell>
          <cell r="AA912">
            <v>-6.0446309752620025E-2</v>
          </cell>
          <cell r="AB912" t="str">
            <v/>
          </cell>
          <cell r="AC912" t="e">
            <v>#N/A</v>
          </cell>
          <cell r="AD912">
            <v>825</v>
          </cell>
          <cell r="AE912" t="e">
            <v>#N/A</v>
          </cell>
          <cell r="AF912" t="str">
            <v/>
          </cell>
        </row>
        <row r="913">
          <cell r="Y913">
            <v>897</v>
          </cell>
          <cell r="Z913">
            <v>0.64896133355796337</v>
          </cell>
          <cell r="AA913">
            <v>6.4657308225803026E-2</v>
          </cell>
          <cell r="AB913" t="str">
            <v/>
          </cell>
          <cell r="AC913" t="e">
            <v>#N/A</v>
          </cell>
          <cell r="AD913">
            <v>826</v>
          </cell>
          <cell r="AE913" t="e">
            <v>#N/A</v>
          </cell>
          <cell r="AF913" t="str">
            <v/>
          </cell>
        </row>
        <row r="914">
          <cell r="Y914">
            <v>898</v>
          </cell>
          <cell r="Z914">
            <v>0.77207696996629238</v>
          </cell>
          <cell r="AA914">
            <v>0.12604703266251993</v>
          </cell>
          <cell r="AB914" t="str">
            <v/>
          </cell>
          <cell r="AC914" t="e">
            <v>#N/A</v>
          </cell>
          <cell r="AD914">
            <v>827</v>
          </cell>
          <cell r="AE914" t="e">
            <v>#N/A</v>
          </cell>
          <cell r="AF914" t="str">
            <v/>
          </cell>
        </row>
        <row r="915">
          <cell r="Y915">
            <v>899</v>
          </cell>
          <cell r="Z915">
            <v>0.73666353337466717</v>
          </cell>
          <cell r="AA915">
            <v>0.10701224332859961</v>
          </cell>
          <cell r="AB915" t="str">
            <v/>
          </cell>
          <cell r="AC915" t="e">
            <v>#N/A</v>
          </cell>
          <cell r="AD915">
            <v>828</v>
          </cell>
          <cell r="AE915" t="e">
            <v>#N/A</v>
          </cell>
          <cell r="AF915" t="str">
            <v/>
          </cell>
        </row>
        <row r="916">
          <cell r="Y916">
            <v>900</v>
          </cell>
          <cell r="Z916">
            <v>0.91037260554730892</v>
          </cell>
          <cell r="AA916">
            <v>0.22701740394344355</v>
          </cell>
          <cell r="AB916" t="str">
            <v/>
          </cell>
          <cell r="AC916" t="e">
            <v>#N/A</v>
          </cell>
          <cell r="AD916">
            <v>829</v>
          </cell>
          <cell r="AE916" t="e">
            <v>#N/A</v>
          </cell>
          <cell r="AF916" t="str">
            <v/>
          </cell>
        </row>
        <row r="917">
          <cell r="Y917">
            <v>901</v>
          </cell>
          <cell r="Z917">
            <v>0.89031696133315563</v>
          </cell>
          <cell r="AA917">
            <v>0.20760631303828661</v>
          </cell>
          <cell r="AB917" t="str">
            <v/>
          </cell>
          <cell r="AC917" t="e">
            <v>#N/A</v>
          </cell>
          <cell r="AD917">
            <v>830</v>
          </cell>
          <cell r="AE917" t="e">
            <v>#N/A</v>
          </cell>
          <cell r="AF917" t="str">
            <v/>
          </cell>
        </row>
        <row r="918">
          <cell r="Y918">
            <v>902</v>
          </cell>
          <cell r="Z918">
            <v>0.18745205365121365</v>
          </cell>
          <cell r="AA918">
            <v>-0.14998525029418591</v>
          </cell>
          <cell r="AB918" t="str">
            <v/>
          </cell>
          <cell r="AC918" t="e">
            <v>#N/A</v>
          </cell>
          <cell r="AD918">
            <v>831</v>
          </cell>
          <cell r="AE918" t="e">
            <v>#N/A</v>
          </cell>
          <cell r="AF918" t="str">
            <v/>
          </cell>
        </row>
        <row r="919">
          <cell r="Y919">
            <v>903</v>
          </cell>
          <cell r="Z919">
            <v>0.97338883392512798</v>
          </cell>
          <cell r="AA919">
            <v>0.32675566237771719</v>
          </cell>
          <cell r="AB919" t="str">
            <v/>
          </cell>
          <cell r="AC919" t="e">
            <v>#N/A</v>
          </cell>
          <cell r="AD919">
            <v>832</v>
          </cell>
          <cell r="AE919" t="e">
            <v>#N/A</v>
          </cell>
          <cell r="AF919" t="str">
            <v/>
          </cell>
        </row>
        <row r="920">
          <cell r="Y920">
            <v>904</v>
          </cell>
          <cell r="Z920">
            <v>0.9933061208575964</v>
          </cell>
          <cell r="AA920">
            <v>0.41806135475175155</v>
          </cell>
          <cell r="AB920" t="str">
            <v/>
          </cell>
          <cell r="AC920" t="e">
            <v>#N/A</v>
          </cell>
          <cell r="AD920">
            <v>833</v>
          </cell>
          <cell r="AE920" t="e">
            <v>#N/A</v>
          </cell>
          <cell r="AF920" t="str">
            <v/>
          </cell>
        </row>
        <row r="921">
          <cell r="Y921">
            <v>905</v>
          </cell>
          <cell r="Z921">
            <v>0.12155553512275219</v>
          </cell>
          <cell r="AA921">
            <v>-0.19730057160132003</v>
          </cell>
          <cell r="AB921" t="str">
            <v/>
          </cell>
          <cell r="AC921" t="e">
            <v>#N/A</v>
          </cell>
          <cell r="AD921">
            <v>834</v>
          </cell>
          <cell r="AE921" t="e">
            <v>#N/A</v>
          </cell>
          <cell r="AF921" t="str">
            <v/>
          </cell>
        </row>
        <row r="922">
          <cell r="Y922">
            <v>906</v>
          </cell>
          <cell r="Z922">
            <v>0.93144947849214077</v>
          </cell>
          <cell r="AA922">
            <v>0.25129370083501895</v>
          </cell>
          <cell r="AB922" t="str">
            <v/>
          </cell>
          <cell r="AC922" t="e">
            <v>#N/A</v>
          </cell>
          <cell r="AD922">
            <v>835</v>
          </cell>
          <cell r="AE922" t="e">
            <v>#N/A</v>
          </cell>
          <cell r="AF922" t="str">
            <v/>
          </cell>
        </row>
        <row r="923">
          <cell r="Y923">
            <v>907</v>
          </cell>
          <cell r="Z923">
            <v>0.89376462809741497</v>
          </cell>
          <cell r="AA923">
            <v>0.21074770952698121</v>
          </cell>
          <cell r="AB923" t="str">
            <v/>
          </cell>
          <cell r="AC923" t="e">
            <v>#N/A</v>
          </cell>
          <cell r="AD923">
            <v>836</v>
          </cell>
          <cell r="AE923" t="e">
            <v>#N/A</v>
          </cell>
          <cell r="AF923" t="str">
            <v/>
          </cell>
        </row>
        <row r="924">
          <cell r="Y924">
            <v>908</v>
          </cell>
          <cell r="Z924">
            <v>0.89991431497037411</v>
          </cell>
          <cell r="AA924">
            <v>0.21653925010267938</v>
          </cell>
          <cell r="AB924" t="str">
            <v/>
          </cell>
          <cell r="AC924" t="e">
            <v>#N/A</v>
          </cell>
          <cell r="AD924">
            <v>837</v>
          </cell>
          <cell r="AE924" t="e">
            <v>#N/A</v>
          </cell>
          <cell r="AF924" t="str">
            <v/>
          </cell>
        </row>
        <row r="925">
          <cell r="Y925">
            <v>909</v>
          </cell>
          <cell r="Z925">
            <v>0.84858983568847179</v>
          </cell>
          <cell r="AA925">
            <v>0.17417008932187558</v>
          </cell>
          <cell r="AB925" t="str">
            <v/>
          </cell>
          <cell r="AC925" t="e">
            <v>#N/A</v>
          </cell>
          <cell r="AD925">
            <v>838</v>
          </cell>
          <cell r="AE925" t="e">
            <v>#N/A</v>
          </cell>
          <cell r="AF925" t="str">
            <v/>
          </cell>
        </row>
        <row r="926">
          <cell r="Y926">
            <v>910</v>
          </cell>
          <cell r="Z926">
            <v>0.3885525818914175</v>
          </cell>
          <cell r="AA926">
            <v>-4.7851535278494499E-2</v>
          </cell>
          <cell r="AB926" t="str">
            <v/>
          </cell>
          <cell r="AC926" t="e">
            <v>#N/A</v>
          </cell>
          <cell r="AD926">
            <v>839</v>
          </cell>
          <cell r="AE926" t="e">
            <v>#N/A</v>
          </cell>
          <cell r="AF926" t="str">
            <v/>
          </cell>
        </row>
        <row r="927">
          <cell r="Y927">
            <v>911</v>
          </cell>
          <cell r="Z927">
            <v>0.87009773962199688</v>
          </cell>
          <cell r="AA927">
            <v>0.19047296824344467</v>
          </cell>
          <cell r="AB927" t="str">
            <v/>
          </cell>
          <cell r="AC927" t="e">
            <v>#N/A</v>
          </cell>
          <cell r="AD927">
            <v>840</v>
          </cell>
          <cell r="AE927" t="e">
            <v>#N/A</v>
          </cell>
          <cell r="AF927" t="str">
            <v/>
          </cell>
        </row>
        <row r="928">
          <cell r="Y928">
            <v>912</v>
          </cell>
          <cell r="Z928">
            <v>0.7074905838817358</v>
          </cell>
          <cell r="AA928">
            <v>9.2302428011240292E-2</v>
          </cell>
          <cell r="AB928" t="str">
            <v/>
          </cell>
          <cell r="AC928" t="e">
            <v>#N/A</v>
          </cell>
          <cell r="AD928">
            <v>841</v>
          </cell>
          <cell r="AE928" t="e">
            <v>#N/A</v>
          </cell>
          <cell r="AF928" t="str">
            <v/>
          </cell>
        </row>
        <row r="929">
          <cell r="Y929">
            <v>913</v>
          </cell>
          <cell r="Z929">
            <v>3.6194948479533195E-2</v>
          </cell>
          <cell r="AA929">
            <v>-0.30369066629845975</v>
          </cell>
          <cell r="AB929" t="str">
            <v/>
          </cell>
          <cell r="AC929" t="e">
            <v>#N/A</v>
          </cell>
          <cell r="AD929">
            <v>842</v>
          </cell>
          <cell r="AE929" t="e">
            <v>#N/A</v>
          </cell>
          <cell r="AF929" t="str">
            <v/>
          </cell>
        </row>
        <row r="930">
          <cell r="Y930">
            <v>914</v>
          </cell>
          <cell r="Z930">
            <v>0.9553296621888876</v>
          </cell>
          <cell r="AA930">
            <v>0.28716413703351806</v>
          </cell>
          <cell r="AB930" t="str">
            <v/>
          </cell>
          <cell r="AC930" t="e">
            <v>#N/A</v>
          </cell>
          <cell r="AD930">
            <v>843</v>
          </cell>
          <cell r="AE930" t="e">
            <v>#N/A</v>
          </cell>
          <cell r="AF930" t="str">
            <v/>
          </cell>
        </row>
        <row r="931">
          <cell r="Y931">
            <v>915</v>
          </cell>
          <cell r="Z931">
            <v>4.1174484416842461E-2</v>
          </cell>
          <cell r="AA931">
            <v>-0.29364317822688585</v>
          </cell>
          <cell r="AB931" t="str">
            <v/>
          </cell>
          <cell r="AC931" t="e">
            <v>#N/A</v>
          </cell>
          <cell r="AD931">
            <v>844</v>
          </cell>
          <cell r="AE931" t="e">
            <v>#N/A</v>
          </cell>
          <cell r="AF931" t="str">
            <v/>
          </cell>
        </row>
        <row r="932">
          <cell r="Y932">
            <v>916</v>
          </cell>
          <cell r="Z932">
            <v>0.37943672202527523</v>
          </cell>
          <cell r="AA932">
            <v>-5.1885793199791537E-2</v>
          </cell>
          <cell r="AB932" t="str">
            <v/>
          </cell>
          <cell r="AC932" t="e">
            <v>#N/A</v>
          </cell>
          <cell r="AD932">
            <v>845</v>
          </cell>
          <cell r="AE932" t="e">
            <v>#N/A</v>
          </cell>
          <cell r="AF932" t="str">
            <v/>
          </cell>
        </row>
        <row r="933">
          <cell r="Y933">
            <v>917</v>
          </cell>
          <cell r="Z933">
            <v>0.15293013863265514</v>
          </cell>
          <cell r="AA933">
            <v>-0.17307864409961726</v>
          </cell>
          <cell r="AB933" t="str">
            <v/>
          </cell>
          <cell r="AC933" t="e">
            <v>#N/A</v>
          </cell>
          <cell r="AD933">
            <v>846</v>
          </cell>
          <cell r="AE933" t="e">
            <v>#N/A</v>
          </cell>
          <cell r="AF933" t="str">
            <v/>
          </cell>
        </row>
        <row r="934">
          <cell r="Y934">
            <v>918</v>
          </cell>
          <cell r="Z934">
            <v>0.3744183536618948</v>
          </cell>
          <cell r="AA934">
            <v>-5.4119222187635832E-2</v>
          </cell>
          <cell r="AB934" t="str">
            <v/>
          </cell>
          <cell r="AC934" t="e">
            <v>#N/A</v>
          </cell>
          <cell r="AD934">
            <v>847</v>
          </cell>
          <cell r="AE934" t="e">
            <v>#N/A</v>
          </cell>
          <cell r="AF934" t="str">
            <v/>
          </cell>
        </row>
        <row r="935">
          <cell r="Y935">
            <v>919</v>
          </cell>
          <cell r="Z935">
            <v>0.40405754558742046</v>
          </cell>
          <cell r="AA935">
            <v>-4.1050562379392662E-2</v>
          </cell>
          <cell r="AB935" t="str">
            <v/>
          </cell>
          <cell r="AC935" t="e">
            <v>#N/A</v>
          </cell>
          <cell r="AD935">
            <v>848</v>
          </cell>
          <cell r="AE935" t="e">
            <v>#N/A</v>
          </cell>
          <cell r="AF935" t="str">
            <v/>
          </cell>
        </row>
        <row r="936">
          <cell r="Y936">
            <v>920</v>
          </cell>
          <cell r="Z936">
            <v>0.70862229727208614</v>
          </cell>
          <cell r="AA936">
            <v>9.2859530663375697E-2</v>
          </cell>
          <cell r="AB936" t="str">
            <v/>
          </cell>
          <cell r="AC936" t="e">
            <v>#N/A</v>
          </cell>
          <cell r="AD936">
            <v>849</v>
          </cell>
          <cell r="AE936" t="e">
            <v>#N/A</v>
          </cell>
          <cell r="AF936" t="str">
            <v/>
          </cell>
        </row>
        <row r="937">
          <cell r="Y937">
            <v>921</v>
          </cell>
          <cell r="Z937">
            <v>0.18481072597205639</v>
          </cell>
          <cell r="AA937">
            <v>-0.15165154987685434</v>
          </cell>
          <cell r="AB937" t="str">
            <v/>
          </cell>
          <cell r="AC937" t="e">
            <v>#N/A</v>
          </cell>
          <cell r="AD937">
            <v>850</v>
          </cell>
          <cell r="AE937" t="e">
            <v>#N/A</v>
          </cell>
          <cell r="AF937" t="str">
            <v/>
          </cell>
        </row>
        <row r="938">
          <cell r="Y938">
            <v>922</v>
          </cell>
          <cell r="Z938">
            <v>0.66226000152528286</v>
          </cell>
          <cell r="AA938">
            <v>7.0762903091579399E-2</v>
          </cell>
          <cell r="AB938" t="str">
            <v/>
          </cell>
          <cell r="AC938" t="e">
            <v>#N/A</v>
          </cell>
          <cell r="AD938">
            <v>851</v>
          </cell>
          <cell r="AE938" t="e">
            <v>#N/A</v>
          </cell>
          <cell r="AF938" t="str">
            <v/>
          </cell>
        </row>
        <row r="939">
          <cell r="Y939">
            <v>923</v>
          </cell>
          <cell r="Z939">
            <v>0.62463284842669964</v>
          </cell>
          <cell r="AA939">
            <v>5.3696245811119273E-2</v>
          </cell>
          <cell r="AB939" t="str">
            <v/>
          </cell>
          <cell r="AC939" t="e">
            <v>#N/A</v>
          </cell>
          <cell r="AD939">
            <v>852</v>
          </cell>
          <cell r="AE939" t="e">
            <v>#N/A</v>
          </cell>
          <cell r="AF939" t="str">
            <v/>
          </cell>
        </row>
        <row r="940">
          <cell r="Y940">
            <v>924</v>
          </cell>
          <cell r="Z940">
            <v>0.60449402593076229</v>
          </cell>
          <cell r="AA940">
            <v>4.4792629953142683E-2</v>
          </cell>
          <cell r="AB940" t="str">
            <v/>
          </cell>
          <cell r="AC940" t="e">
            <v>#N/A</v>
          </cell>
          <cell r="AD940">
            <v>853</v>
          </cell>
          <cell r="AE940" t="e">
            <v>#N/A</v>
          </cell>
          <cell r="AF940" t="str">
            <v/>
          </cell>
        </row>
        <row r="941">
          <cell r="Y941">
            <v>925</v>
          </cell>
          <cell r="Z941">
            <v>0.11772996000945568</v>
          </cell>
          <cell r="AA941">
            <v>-0.20054010789840745</v>
          </cell>
          <cell r="AB941" t="str">
            <v/>
          </cell>
          <cell r="AC941" t="e">
            <v>#N/A</v>
          </cell>
          <cell r="AD941">
            <v>854</v>
          </cell>
          <cell r="AE941" t="e">
            <v>#N/A</v>
          </cell>
          <cell r="AF941" t="str">
            <v/>
          </cell>
        </row>
        <row r="942">
          <cell r="Y942">
            <v>926</v>
          </cell>
          <cell r="Z942">
            <v>0.13058403693139553</v>
          </cell>
          <cell r="AA942">
            <v>-0.18992891162766426</v>
          </cell>
          <cell r="AB942" t="str">
            <v/>
          </cell>
          <cell r="AC942" t="e">
            <v>#N/A</v>
          </cell>
          <cell r="AD942">
            <v>855</v>
          </cell>
          <cell r="AE942" t="e">
            <v>#N/A</v>
          </cell>
          <cell r="AF942" t="str">
            <v/>
          </cell>
        </row>
        <row r="943">
          <cell r="Y943">
            <v>927</v>
          </cell>
          <cell r="Z943">
            <v>6.6906435415148735E-2</v>
          </cell>
          <cell r="AA943">
            <v>-0.2534168422488573</v>
          </cell>
          <cell r="AB943" t="str">
            <v/>
          </cell>
          <cell r="AC943" t="e">
            <v>#N/A</v>
          </cell>
          <cell r="AD943">
            <v>856</v>
          </cell>
          <cell r="AE943" t="e">
            <v>#N/A</v>
          </cell>
          <cell r="AF943" t="str">
            <v/>
          </cell>
        </row>
        <row r="944">
          <cell r="Y944">
            <v>928</v>
          </cell>
          <cell r="Z944">
            <v>0.22393514774739742</v>
          </cell>
          <cell r="AA944">
            <v>-0.12828940356391344</v>
          </cell>
          <cell r="AB944" t="str">
            <v/>
          </cell>
          <cell r="AC944" t="e">
            <v>#N/A</v>
          </cell>
          <cell r="AD944">
            <v>857</v>
          </cell>
          <cell r="AE944" t="e">
            <v>#N/A</v>
          </cell>
          <cell r="AF944" t="str">
            <v/>
          </cell>
        </row>
        <row r="945">
          <cell r="Y945">
            <v>929</v>
          </cell>
          <cell r="Z945">
            <v>0.38863089494407177</v>
          </cell>
          <cell r="AA945">
            <v>-4.7816998636649226E-2</v>
          </cell>
          <cell r="AB945" t="str">
            <v/>
          </cell>
          <cell r="AC945" t="e">
            <v>#N/A</v>
          </cell>
          <cell r="AD945">
            <v>858</v>
          </cell>
          <cell r="AE945" t="e">
            <v>#N/A</v>
          </cell>
          <cell r="AF945" t="str">
            <v/>
          </cell>
        </row>
        <row r="946">
          <cell r="Y946">
            <v>930</v>
          </cell>
          <cell r="Z946">
            <v>1.642351970076561E-3</v>
          </cell>
          <cell r="AA946">
            <v>-0.49690952317182047</v>
          </cell>
          <cell r="AB946" t="str">
            <v/>
          </cell>
          <cell r="AC946" t="e">
            <v>#N/A</v>
          </cell>
          <cell r="AD946">
            <v>859</v>
          </cell>
          <cell r="AE946" t="e">
            <v>#N/A</v>
          </cell>
          <cell r="AF946" t="str">
            <v/>
          </cell>
        </row>
        <row r="947">
          <cell r="Y947">
            <v>931</v>
          </cell>
          <cell r="Z947">
            <v>0.5410513412207365</v>
          </cell>
          <cell r="AA947">
            <v>1.7424160271321983E-2</v>
          </cell>
          <cell r="AB947" t="str">
            <v/>
          </cell>
          <cell r="AC947" t="e">
            <v>#N/A</v>
          </cell>
          <cell r="AD947">
            <v>860</v>
          </cell>
          <cell r="AE947" t="e">
            <v>#N/A</v>
          </cell>
          <cell r="AF947" t="str">
            <v/>
          </cell>
        </row>
        <row r="948">
          <cell r="Y948">
            <v>932</v>
          </cell>
          <cell r="Z948">
            <v>0.44587480090558529</v>
          </cell>
          <cell r="AA948">
            <v>-2.3003522046107679E-2</v>
          </cell>
          <cell r="AB948" t="str">
            <v/>
          </cell>
          <cell r="AC948" t="e">
            <v>#N/A</v>
          </cell>
          <cell r="AD948">
            <v>861</v>
          </cell>
          <cell r="AE948" t="e">
            <v>#N/A</v>
          </cell>
          <cell r="AF948" t="str">
            <v/>
          </cell>
        </row>
        <row r="949">
          <cell r="Y949">
            <v>933</v>
          </cell>
          <cell r="Z949">
            <v>0.80542826466262341</v>
          </cell>
          <cell r="AA949">
            <v>0.14556458939999917</v>
          </cell>
          <cell r="AB949" t="str">
            <v/>
          </cell>
          <cell r="AC949" t="e">
            <v>#N/A</v>
          </cell>
          <cell r="AD949">
            <v>862</v>
          </cell>
          <cell r="AE949" t="e">
            <v>#N/A</v>
          </cell>
          <cell r="AF949" t="str">
            <v/>
          </cell>
        </row>
        <row r="950">
          <cell r="Y950">
            <v>934</v>
          </cell>
          <cell r="Z950">
            <v>0.1171936746686697</v>
          </cell>
          <cell r="AA950">
            <v>-0.20100015645966698</v>
          </cell>
          <cell r="AB950" t="str">
            <v/>
          </cell>
          <cell r="AC950" t="e">
            <v>#N/A</v>
          </cell>
          <cell r="AD950">
            <v>863</v>
          </cell>
          <cell r="AE950" t="e">
            <v>#N/A</v>
          </cell>
          <cell r="AF950" t="str">
            <v/>
          </cell>
        </row>
        <row r="951">
          <cell r="Y951">
            <v>935</v>
          </cell>
          <cell r="Z951">
            <v>0.27020446769893169</v>
          </cell>
          <cell r="AA951">
            <v>-0.10347979424228886</v>
          </cell>
          <cell r="AB951" t="str">
            <v/>
          </cell>
          <cell r="AC951" t="e">
            <v>#N/A</v>
          </cell>
          <cell r="AD951">
            <v>864</v>
          </cell>
          <cell r="AE951" t="e">
            <v>#N/A</v>
          </cell>
          <cell r="AF951" t="str">
            <v/>
          </cell>
        </row>
        <row r="952">
          <cell r="Y952">
            <v>936</v>
          </cell>
          <cell r="Z952">
            <v>0.18964739702641964</v>
          </cell>
          <cell r="AA952">
            <v>-0.14861131626153931</v>
          </cell>
          <cell r="AB952" t="str">
            <v/>
          </cell>
          <cell r="AC952" t="e">
            <v>#N/A</v>
          </cell>
          <cell r="AD952">
            <v>865</v>
          </cell>
          <cell r="AE952" t="e">
            <v>#N/A</v>
          </cell>
          <cell r="AF952" t="str">
            <v/>
          </cell>
        </row>
        <row r="953">
          <cell r="Y953">
            <v>937</v>
          </cell>
          <cell r="Z953">
            <v>0.43568035773932934</v>
          </cell>
          <cell r="AA953">
            <v>-2.7371222042447081E-2</v>
          </cell>
          <cell r="AB953" t="str">
            <v/>
          </cell>
          <cell r="AC953" t="e">
            <v>#N/A</v>
          </cell>
          <cell r="AD953">
            <v>866</v>
          </cell>
          <cell r="AE953" t="e">
            <v>#N/A</v>
          </cell>
          <cell r="AF953" t="str">
            <v/>
          </cell>
        </row>
        <row r="954">
          <cell r="Y954">
            <v>938</v>
          </cell>
          <cell r="Z954">
            <v>0.2412379439920187</v>
          </cell>
          <cell r="AA954">
            <v>-0.11871475990222329</v>
          </cell>
          <cell r="AB954" t="str">
            <v/>
          </cell>
          <cell r="AC954" t="e">
            <v>#N/A</v>
          </cell>
          <cell r="AD954">
            <v>867</v>
          </cell>
          <cell r="AE954" t="e">
            <v>#N/A</v>
          </cell>
          <cell r="AF954" t="str">
            <v/>
          </cell>
        </row>
        <row r="955">
          <cell r="Y955">
            <v>939</v>
          </cell>
          <cell r="Z955">
            <v>0.57601345889270306</v>
          </cell>
          <cell r="AA955">
            <v>3.2404103943465469E-2</v>
          </cell>
          <cell r="AB955" t="str">
            <v/>
          </cell>
          <cell r="AC955" t="e">
            <v>#N/A</v>
          </cell>
          <cell r="AD955">
            <v>868</v>
          </cell>
          <cell r="AE955" t="e">
            <v>#N/A</v>
          </cell>
          <cell r="AF955" t="str">
            <v/>
          </cell>
        </row>
        <row r="956">
          <cell r="Y956">
            <v>940</v>
          </cell>
          <cell r="Z956">
            <v>7.7101996168494225E-2</v>
          </cell>
          <cell r="AA956">
            <v>-0.24084160456024006</v>
          </cell>
          <cell r="AB956" t="str">
            <v/>
          </cell>
          <cell r="AC956" t="e">
            <v>#N/A</v>
          </cell>
          <cell r="AD956">
            <v>869</v>
          </cell>
          <cell r="AE956" t="e">
            <v>#N/A</v>
          </cell>
          <cell r="AF956" t="str">
            <v/>
          </cell>
        </row>
        <row r="957">
          <cell r="Y957">
            <v>941</v>
          </cell>
          <cell r="Z957">
            <v>0.96401089243590832</v>
          </cell>
          <cell r="AA957">
            <v>0.30412975096245359</v>
          </cell>
          <cell r="AB957" t="str">
            <v/>
          </cell>
          <cell r="AC957" t="e">
            <v>#N/A</v>
          </cell>
          <cell r="AD957">
            <v>870</v>
          </cell>
          <cell r="AE957" t="e">
            <v>#N/A</v>
          </cell>
          <cell r="AF957" t="str">
            <v/>
          </cell>
        </row>
        <row r="958">
          <cell r="Y958">
            <v>942</v>
          </cell>
          <cell r="Z958">
            <v>0.45650068484246731</v>
          </cell>
          <cell r="AA958">
            <v>-1.8467224366508717E-2</v>
          </cell>
          <cell r="AB958" t="str">
            <v/>
          </cell>
          <cell r="AC958" t="e">
            <v>#N/A</v>
          </cell>
          <cell r="AD958">
            <v>871</v>
          </cell>
          <cell r="AE958" t="e">
            <v>#N/A</v>
          </cell>
          <cell r="AF958" t="str">
            <v/>
          </cell>
        </row>
        <row r="959">
          <cell r="Y959">
            <v>943</v>
          </cell>
          <cell r="Z959">
            <v>0.78293357603251934</v>
          </cell>
          <cell r="AA959">
            <v>0.13220563252009701</v>
          </cell>
          <cell r="AB959" t="str">
            <v/>
          </cell>
          <cell r="AC959" t="e">
            <v>#N/A</v>
          </cell>
          <cell r="AD959">
            <v>872</v>
          </cell>
          <cell r="AE959" t="e">
            <v>#N/A</v>
          </cell>
          <cell r="AF959" t="str">
            <v/>
          </cell>
        </row>
        <row r="960">
          <cell r="Y960">
            <v>944</v>
          </cell>
          <cell r="Z960">
            <v>0.93846168182790279</v>
          </cell>
          <cell r="AA960">
            <v>0.26064345568521102</v>
          </cell>
          <cell r="AB960" t="str">
            <v/>
          </cell>
          <cell r="AC960" t="e">
            <v>#N/A</v>
          </cell>
          <cell r="AD960">
            <v>873</v>
          </cell>
          <cell r="AE960" t="e">
            <v>#N/A</v>
          </cell>
          <cell r="AF960" t="str">
            <v/>
          </cell>
        </row>
        <row r="961">
          <cell r="Y961">
            <v>945</v>
          </cell>
          <cell r="Z961">
            <v>1.8280891701579094E-2</v>
          </cell>
          <cell r="AA961">
            <v>-0.35337995222678364</v>
          </cell>
          <cell r="AB961" t="str">
            <v/>
          </cell>
          <cell r="AC961" t="e">
            <v>#N/A</v>
          </cell>
          <cell r="AD961">
            <v>874</v>
          </cell>
          <cell r="AE961" t="e">
            <v>#N/A</v>
          </cell>
          <cell r="AF961" t="str">
            <v/>
          </cell>
        </row>
        <row r="962">
          <cell r="Y962">
            <v>946</v>
          </cell>
          <cell r="Z962">
            <v>0.15466738305985928</v>
          </cell>
          <cell r="AA962">
            <v>-0.17183995544612768</v>
          </cell>
          <cell r="AB962" t="str">
            <v/>
          </cell>
          <cell r="AC962" t="e">
            <v>#N/A</v>
          </cell>
          <cell r="AD962">
            <v>875</v>
          </cell>
          <cell r="AE962" t="e">
            <v>#N/A</v>
          </cell>
          <cell r="AF962" t="str">
            <v/>
          </cell>
        </row>
        <row r="963">
          <cell r="Y963">
            <v>947</v>
          </cell>
          <cell r="Z963">
            <v>0.8412745725363493</v>
          </cell>
          <cell r="AA963">
            <v>0.1689818376924806</v>
          </cell>
          <cell r="AB963" t="str">
            <v/>
          </cell>
          <cell r="AC963" t="e">
            <v>#N/A</v>
          </cell>
          <cell r="AD963">
            <v>876</v>
          </cell>
          <cell r="AE963" t="e">
            <v>#N/A</v>
          </cell>
          <cell r="AF963" t="str">
            <v/>
          </cell>
        </row>
        <row r="964">
          <cell r="Y964">
            <v>948</v>
          </cell>
          <cell r="Z964">
            <v>0.6619329359382391</v>
          </cell>
          <cell r="AA964">
            <v>7.061166318478844E-2</v>
          </cell>
          <cell r="AB964" t="str">
            <v/>
          </cell>
          <cell r="AC964" t="e">
            <v>#N/A</v>
          </cell>
          <cell r="AD964">
            <v>877</v>
          </cell>
          <cell r="AE964" t="e">
            <v>#N/A</v>
          </cell>
          <cell r="AF964" t="str">
            <v/>
          </cell>
        </row>
        <row r="965">
          <cell r="Y965">
            <v>949</v>
          </cell>
          <cell r="Z965">
            <v>0.96451055817306042</v>
          </cell>
          <cell r="AA965">
            <v>0.30520422289216775</v>
          </cell>
          <cell r="AB965" t="str">
            <v/>
          </cell>
          <cell r="AC965" t="e">
            <v>#N/A</v>
          </cell>
          <cell r="AD965">
            <v>878</v>
          </cell>
          <cell r="AE965" t="e">
            <v>#N/A</v>
          </cell>
          <cell r="AF965" t="str">
            <v/>
          </cell>
        </row>
        <row r="966">
          <cell r="Y966">
            <v>950</v>
          </cell>
          <cell r="Z966">
            <v>0.12036786042153835</v>
          </cell>
          <cell r="AA966">
            <v>-0.1982985165884659</v>
          </cell>
          <cell r="AB966" t="str">
            <v/>
          </cell>
          <cell r="AC966" t="e">
            <v>#N/A</v>
          </cell>
          <cell r="AD966">
            <v>879</v>
          </cell>
          <cell r="AE966" t="e">
            <v>#N/A</v>
          </cell>
          <cell r="AF966" t="str">
            <v/>
          </cell>
        </row>
        <row r="967">
          <cell r="Y967">
            <v>951</v>
          </cell>
          <cell r="Z967">
            <v>0.16899756900966167</v>
          </cell>
          <cell r="AA967">
            <v>-0.161954223684352</v>
          </cell>
          <cell r="AB967" t="str">
            <v/>
          </cell>
          <cell r="AC967" t="e">
            <v>#N/A</v>
          </cell>
          <cell r="AD967">
            <v>880</v>
          </cell>
          <cell r="AE967" t="e">
            <v>#N/A</v>
          </cell>
          <cell r="AF967" t="str">
            <v/>
          </cell>
        </row>
        <row r="968">
          <cell r="Y968">
            <v>952</v>
          </cell>
          <cell r="Z968">
            <v>0.88706501387059689</v>
          </cell>
          <cell r="AA968">
            <v>0.20470757764191527</v>
          </cell>
          <cell r="AB968" t="str">
            <v/>
          </cell>
          <cell r="AC968" t="e">
            <v>#N/A</v>
          </cell>
          <cell r="AD968">
            <v>881</v>
          </cell>
          <cell r="AE968" t="e">
            <v>#N/A</v>
          </cell>
          <cell r="AF968" t="str">
            <v/>
          </cell>
        </row>
        <row r="969">
          <cell r="Y969">
            <v>953</v>
          </cell>
          <cell r="Z969">
            <v>0.67055114917457104</v>
          </cell>
          <cell r="AA969">
            <v>7.4616228724273356E-2</v>
          </cell>
          <cell r="AB969" t="str">
            <v/>
          </cell>
          <cell r="AC969" t="e">
            <v>#N/A</v>
          </cell>
          <cell r="AD969">
            <v>882</v>
          </cell>
          <cell r="AE969" t="e">
            <v>#N/A</v>
          </cell>
          <cell r="AF969" t="str">
            <v/>
          </cell>
        </row>
        <row r="970">
          <cell r="Y970">
            <v>954</v>
          </cell>
          <cell r="Z970">
            <v>0.20891064964234829</v>
          </cell>
          <cell r="AA970">
            <v>-0.13694995385806219</v>
          </cell>
          <cell r="AB970" t="str">
            <v/>
          </cell>
          <cell r="AC970" t="e">
            <v>#N/A</v>
          </cell>
          <cell r="AD970">
            <v>883</v>
          </cell>
          <cell r="AE970" t="e">
            <v>#N/A</v>
          </cell>
          <cell r="AF970" t="str">
            <v/>
          </cell>
        </row>
        <row r="971">
          <cell r="Y971">
            <v>955</v>
          </cell>
          <cell r="Z971">
            <v>0.21226192824542522</v>
          </cell>
          <cell r="AA971">
            <v>-0.13498760952273278</v>
          </cell>
          <cell r="AB971" t="str">
            <v/>
          </cell>
          <cell r="AC971" t="e">
            <v>#N/A</v>
          </cell>
          <cell r="AD971">
            <v>884</v>
          </cell>
          <cell r="AE971" t="e">
            <v>#N/A</v>
          </cell>
          <cell r="AF971" t="str">
            <v/>
          </cell>
        </row>
        <row r="972">
          <cell r="Y972">
            <v>956</v>
          </cell>
          <cell r="Z972">
            <v>4.1859319433569908E-2</v>
          </cell>
          <cell r="AA972">
            <v>-0.29233980918284463</v>
          </cell>
          <cell r="AB972" t="str">
            <v/>
          </cell>
          <cell r="AC972" t="e">
            <v>#N/A</v>
          </cell>
          <cell r="AD972">
            <v>885</v>
          </cell>
          <cell r="AE972" t="e">
            <v>#N/A</v>
          </cell>
          <cell r="AF972" t="str">
            <v/>
          </cell>
        </row>
        <row r="973">
          <cell r="Y973">
            <v>957</v>
          </cell>
          <cell r="Z973">
            <v>0.7385068517178297</v>
          </cell>
          <cell r="AA973">
            <v>0.10796826988104673</v>
          </cell>
          <cell r="AB973" t="str">
            <v/>
          </cell>
          <cell r="AC973" t="e">
            <v>#N/A</v>
          </cell>
          <cell r="AD973">
            <v>886</v>
          </cell>
          <cell r="AE973" t="e">
            <v>#N/A</v>
          </cell>
          <cell r="AF973" t="str">
            <v/>
          </cell>
        </row>
        <row r="974">
          <cell r="Y974">
            <v>958</v>
          </cell>
          <cell r="Z974">
            <v>0.11776736937463284</v>
          </cell>
          <cell r="AA974">
            <v>-0.2005080719385669</v>
          </cell>
          <cell r="AB974" t="str">
            <v/>
          </cell>
          <cell r="AC974" t="e">
            <v>#N/A</v>
          </cell>
          <cell r="AD974">
            <v>887</v>
          </cell>
          <cell r="AE974" t="e">
            <v>#N/A</v>
          </cell>
          <cell r="AF974" t="str">
            <v/>
          </cell>
        </row>
        <row r="975">
          <cell r="Y975">
            <v>959</v>
          </cell>
          <cell r="Z975">
            <v>0.2247221302241087</v>
          </cell>
          <cell r="AA975">
            <v>-0.12784510712697081</v>
          </cell>
          <cell r="AB975" t="str">
            <v/>
          </cell>
          <cell r="AC975" t="e">
            <v>#N/A</v>
          </cell>
          <cell r="AD975">
            <v>888</v>
          </cell>
          <cell r="AE975" t="e">
            <v>#N/A</v>
          </cell>
          <cell r="AF975" t="str">
            <v/>
          </cell>
        </row>
        <row r="976">
          <cell r="Y976">
            <v>960</v>
          </cell>
          <cell r="Z976">
            <v>0.22362877987325191</v>
          </cell>
          <cell r="AA976">
            <v>-0.12846260548336549</v>
          </cell>
          <cell r="AB976" t="str">
            <v/>
          </cell>
          <cell r="AC976" t="e">
            <v>#N/A</v>
          </cell>
          <cell r="AD976">
            <v>889</v>
          </cell>
          <cell r="AE976" t="e">
            <v>#N/A</v>
          </cell>
          <cell r="AF976" t="str">
            <v/>
          </cell>
        </row>
        <row r="977">
          <cell r="Y977">
            <v>961</v>
          </cell>
          <cell r="Z977">
            <v>0.70590665750205517</v>
          </cell>
          <cell r="AA977">
            <v>9.1524395326276611E-2</v>
          </cell>
          <cell r="AB977" t="str">
            <v/>
          </cell>
          <cell r="AC977" t="e">
            <v>#N/A</v>
          </cell>
          <cell r="AD977">
            <v>890</v>
          </cell>
          <cell r="AE977" t="e">
            <v>#N/A</v>
          </cell>
          <cell r="AF977" t="str">
            <v/>
          </cell>
        </row>
        <row r="978">
          <cell r="Y978">
            <v>962</v>
          </cell>
          <cell r="Z978">
            <v>0.75180709920823574</v>
          </cell>
          <cell r="AA978">
            <v>0.11497265712377207</v>
          </cell>
          <cell r="AB978" t="str">
            <v/>
          </cell>
          <cell r="AC978" t="e">
            <v>#N/A</v>
          </cell>
          <cell r="AD978">
            <v>891</v>
          </cell>
          <cell r="AE978" t="e">
            <v>#N/A</v>
          </cell>
          <cell r="AF978" t="str">
            <v/>
          </cell>
        </row>
        <row r="979">
          <cell r="Y979">
            <v>963</v>
          </cell>
          <cell r="Z979">
            <v>0.76557464711368084</v>
          </cell>
          <cell r="AA979">
            <v>0.12243754703190798</v>
          </cell>
          <cell r="AB979" t="str">
            <v/>
          </cell>
          <cell r="AC979" t="e">
            <v>#N/A</v>
          </cell>
          <cell r="AD979">
            <v>892</v>
          </cell>
          <cell r="AE979" t="e">
            <v>#N/A</v>
          </cell>
          <cell r="AF979" t="str">
            <v/>
          </cell>
        </row>
        <row r="980">
          <cell r="Y980">
            <v>964</v>
          </cell>
          <cell r="Z980">
            <v>0.42360722087323666</v>
          </cell>
          <cell r="AA980">
            <v>-3.2567816754660507E-2</v>
          </cell>
          <cell r="AB980" t="str">
            <v/>
          </cell>
          <cell r="AC980" t="e">
            <v>#N/A</v>
          </cell>
          <cell r="AD980">
            <v>893</v>
          </cell>
          <cell r="AE980" t="e">
            <v>#N/A</v>
          </cell>
          <cell r="AF980" t="str">
            <v/>
          </cell>
        </row>
        <row r="981">
          <cell r="Y981">
            <v>965</v>
          </cell>
          <cell r="Z981">
            <v>0.71562623791396618</v>
          </cell>
          <cell r="AA981">
            <v>9.6330183727948257E-2</v>
          </cell>
          <cell r="AB981" t="str">
            <v/>
          </cell>
          <cell r="AC981" t="e">
            <v>#N/A</v>
          </cell>
          <cell r="AD981">
            <v>894</v>
          </cell>
          <cell r="AE981" t="e">
            <v>#N/A</v>
          </cell>
          <cell r="AF981" t="str">
            <v/>
          </cell>
        </row>
        <row r="982">
          <cell r="Y982">
            <v>966</v>
          </cell>
          <cell r="Z982">
            <v>0.68228075467050076</v>
          </cell>
          <cell r="AA982">
            <v>8.0135181561838117E-2</v>
          </cell>
          <cell r="AB982" t="str">
            <v/>
          </cell>
          <cell r="AC982" t="e">
            <v>#N/A</v>
          </cell>
          <cell r="AD982">
            <v>895</v>
          </cell>
          <cell r="AE982" t="e">
            <v>#N/A</v>
          </cell>
          <cell r="AF982" t="str">
            <v/>
          </cell>
        </row>
        <row r="983">
          <cell r="Y983">
            <v>967</v>
          </cell>
          <cell r="Z983">
            <v>0.4163548182696104</v>
          </cell>
          <cell r="AA983">
            <v>-3.5703989282812355E-2</v>
          </cell>
          <cell r="AB983" t="str">
            <v/>
          </cell>
          <cell r="AC983" t="e">
            <v>#N/A</v>
          </cell>
          <cell r="AD983">
            <v>896</v>
          </cell>
          <cell r="AE983" t="e">
            <v>#N/A</v>
          </cell>
          <cell r="AF983" t="str">
            <v/>
          </cell>
        </row>
        <row r="984">
          <cell r="Y984">
            <v>968</v>
          </cell>
          <cell r="Z984">
            <v>0.59530874155461788</v>
          </cell>
          <cell r="AA984">
            <v>4.0774078541102036E-2</v>
          </cell>
          <cell r="AB984" t="str">
            <v/>
          </cell>
          <cell r="AC984" t="e">
            <v>#N/A</v>
          </cell>
          <cell r="AD984">
            <v>897</v>
          </cell>
          <cell r="AE984" t="e">
            <v>#N/A</v>
          </cell>
          <cell r="AF984" t="str">
            <v/>
          </cell>
        </row>
        <row r="985">
          <cell r="Y985">
            <v>969</v>
          </cell>
          <cell r="Z985">
            <v>0.15455981902778149</v>
          </cell>
          <cell r="AA985">
            <v>-0.17191638256993508</v>
          </cell>
          <cell r="AB985" t="str">
            <v/>
          </cell>
          <cell r="AC985" t="e">
            <v>#N/A</v>
          </cell>
          <cell r="AD985">
            <v>898</v>
          </cell>
          <cell r="AE985" t="e">
            <v>#N/A</v>
          </cell>
          <cell r="AF985" t="str">
            <v/>
          </cell>
        </row>
        <row r="986">
          <cell r="Y986">
            <v>970</v>
          </cell>
          <cell r="Z986">
            <v>0.19955546222627163</v>
          </cell>
          <cell r="AA986">
            <v>-0.14252852867630059</v>
          </cell>
          <cell r="AB986" t="str">
            <v/>
          </cell>
          <cell r="AC986" t="e">
            <v>#N/A</v>
          </cell>
          <cell r="AD986">
            <v>899</v>
          </cell>
          <cell r="AE986" t="e">
            <v>#N/A</v>
          </cell>
          <cell r="AF986" t="str">
            <v/>
          </cell>
        </row>
        <row r="987">
          <cell r="Y987">
            <v>971</v>
          </cell>
          <cell r="Z987">
            <v>0.21648372523486614</v>
          </cell>
          <cell r="AA987">
            <v>-0.13254111921604891</v>
          </cell>
          <cell r="AB987" t="str">
            <v/>
          </cell>
          <cell r="AC987" t="e">
            <v>#N/A</v>
          </cell>
          <cell r="AD987">
            <v>900</v>
          </cell>
          <cell r="AE987" t="e">
            <v>#N/A</v>
          </cell>
          <cell r="AF987" t="str">
            <v/>
          </cell>
        </row>
        <row r="988">
          <cell r="Y988">
            <v>972</v>
          </cell>
          <cell r="Z988">
            <v>6.6637089475989342E-2</v>
          </cell>
          <cell r="AA988">
            <v>-0.25376850499946657</v>
          </cell>
          <cell r="AB988" t="str">
            <v/>
          </cell>
          <cell r="AC988" t="e">
            <v>#N/A</v>
          </cell>
          <cell r="AD988">
            <v>901</v>
          </cell>
          <cell r="AE988" t="e">
            <v>#N/A</v>
          </cell>
          <cell r="AF988" t="str">
            <v/>
          </cell>
        </row>
        <row r="989">
          <cell r="Y989">
            <v>973</v>
          </cell>
          <cell r="Z989">
            <v>0.76104205660521984</v>
          </cell>
          <cell r="AA989">
            <v>0.11995419273581129</v>
          </cell>
          <cell r="AB989" t="str">
            <v/>
          </cell>
          <cell r="AC989" t="e">
            <v>#N/A</v>
          </cell>
          <cell r="AD989">
            <v>902</v>
          </cell>
          <cell r="AE989" t="e">
            <v>#N/A</v>
          </cell>
          <cell r="AF989" t="str">
            <v/>
          </cell>
        </row>
        <row r="990">
          <cell r="Y990">
            <v>974</v>
          </cell>
          <cell r="Z990">
            <v>0.45959893427789211</v>
          </cell>
          <cell r="AA990">
            <v>-1.714719568884971E-2</v>
          </cell>
          <cell r="AB990" t="str">
            <v/>
          </cell>
          <cell r="AC990" t="e">
            <v>#N/A</v>
          </cell>
          <cell r="AD990">
            <v>903</v>
          </cell>
          <cell r="AE990" t="e">
            <v>#N/A</v>
          </cell>
          <cell r="AF990" t="str">
            <v/>
          </cell>
        </row>
        <row r="991">
          <cell r="Y991">
            <v>975</v>
          </cell>
          <cell r="Z991">
            <v>0.3175650667399168</v>
          </cell>
          <cell r="AA991">
            <v>-8.02082836899808E-2</v>
          </cell>
          <cell r="AB991" t="str">
            <v/>
          </cell>
          <cell r="AC991" t="e">
            <v>#N/A</v>
          </cell>
          <cell r="AD991">
            <v>904</v>
          </cell>
          <cell r="AE991" t="e">
            <v>#N/A</v>
          </cell>
          <cell r="AF991" t="str">
            <v/>
          </cell>
        </row>
        <row r="992">
          <cell r="Y992">
            <v>976</v>
          </cell>
          <cell r="Z992">
            <v>0.79574503563344479</v>
          </cell>
          <cell r="AA992">
            <v>0.13970715499357012</v>
          </cell>
          <cell r="AB992" t="str">
            <v/>
          </cell>
          <cell r="AC992" t="e">
            <v>#N/A</v>
          </cell>
          <cell r="AD992">
            <v>905</v>
          </cell>
          <cell r="AE992" t="e">
            <v>#N/A</v>
          </cell>
          <cell r="AF992" t="str">
            <v/>
          </cell>
        </row>
        <row r="993">
          <cell r="Y993">
            <v>977</v>
          </cell>
          <cell r="Z993">
            <v>0.70101991109549999</v>
          </cell>
          <cell r="AA993">
            <v>8.9136077394841737E-2</v>
          </cell>
          <cell r="AB993" t="str">
            <v/>
          </cell>
          <cell r="AC993" t="e">
            <v>#N/A</v>
          </cell>
          <cell r="AD993">
            <v>906</v>
          </cell>
          <cell r="AE993" t="e">
            <v>#N/A</v>
          </cell>
          <cell r="AF993" t="str">
            <v/>
          </cell>
        </row>
        <row r="994">
          <cell r="Y994">
            <v>978</v>
          </cell>
          <cell r="Z994">
            <v>0.22421384416520596</v>
          </cell>
          <cell r="AA994">
            <v>-0.12813196233554777</v>
          </cell>
          <cell r="AB994" t="str">
            <v/>
          </cell>
          <cell r="AC994" t="e">
            <v>#N/A</v>
          </cell>
          <cell r="AD994">
            <v>907</v>
          </cell>
          <cell r="AE994" t="e">
            <v>#N/A</v>
          </cell>
          <cell r="AF994" t="str">
            <v/>
          </cell>
        </row>
        <row r="995">
          <cell r="Y995">
            <v>979</v>
          </cell>
          <cell r="Z995">
            <v>0.35643203370273113</v>
          </cell>
          <cell r="AA995">
            <v>-6.2205431173468495E-2</v>
          </cell>
          <cell r="AB995" t="str">
            <v/>
          </cell>
          <cell r="AC995" t="e">
            <v>#N/A</v>
          </cell>
          <cell r="AD995">
            <v>908</v>
          </cell>
          <cell r="AE995" t="e">
            <v>#N/A</v>
          </cell>
          <cell r="AF995" t="str">
            <v/>
          </cell>
        </row>
        <row r="996">
          <cell r="Y996">
            <v>980</v>
          </cell>
          <cell r="Z996">
            <v>0.97064374946057796</v>
          </cell>
          <cell r="AA996">
            <v>0.31952578038074309</v>
          </cell>
          <cell r="AB996" t="str">
            <v/>
          </cell>
          <cell r="AC996" t="e">
            <v>#N/A</v>
          </cell>
          <cell r="AD996">
            <v>909</v>
          </cell>
          <cell r="AE996" t="e">
            <v>#N/A</v>
          </cell>
          <cell r="AF996" t="str">
            <v/>
          </cell>
        </row>
        <row r="997">
          <cell r="Y997">
            <v>981</v>
          </cell>
          <cell r="Z997">
            <v>0.11297452263534069</v>
          </cell>
          <cell r="AA997">
            <v>-0.20467270492087164</v>
          </cell>
          <cell r="AB997" t="str">
            <v/>
          </cell>
          <cell r="AC997" t="e">
            <v>#N/A</v>
          </cell>
          <cell r="AD997">
            <v>910</v>
          </cell>
          <cell r="AE997" t="e">
            <v>#N/A</v>
          </cell>
          <cell r="AF997" t="str">
            <v/>
          </cell>
        </row>
        <row r="998">
          <cell r="Y998">
            <v>982</v>
          </cell>
          <cell r="Z998">
            <v>0.69502220116555691</v>
          </cell>
          <cell r="AA998">
            <v>8.6228864065090116E-2</v>
          </cell>
          <cell r="AB998" t="str">
            <v/>
          </cell>
          <cell r="AC998" t="e">
            <v>#N/A</v>
          </cell>
          <cell r="AD998">
            <v>911</v>
          </cell>
          <cell r="AE998" t="e">
            <v>#N/A</v>
          </cell>
          <cell r="AF998" t="str">
            <v/>
          </cell>
        </row>
        <row r="999">
          <cell r="Y999">
            <v>983</v>
          </cell>
          <cell r="Z999">
            <v>4.6944184228777885E-2</v>
          </cell>
          <cell r="AA999">
            <v>-0.28316619461862941</v>
          </cell>
          <cell r="AB999" t="str">
            <v/>
          </cell>
          <cell r="AC999" t="e">
            <v>#N/A</v>
          </cell>
          <cell r="AD999">
            <v>912</v>
          </cell>
          <cell r="AE999" t="e">
            <v>#N/A</v>
          </cell>
          <cell r="AF999" t="str">
            <v/>
          </cell>
        </row>
        <row r="1000">
          <cell r="Y1000">
            <v>984</v>
          </cell>
          <cell r="Z1000">
            <v>0.45256217382848263</v>
          </cell>
          <cell r="AA1000">
            <v>-2.0146889826662892E-2</v>
          </cell>
          <cell r="AB1000" t="str">
            <v/>
          </cell>
          <cell r="AC1000" t="e">
            <v>#N/A</v>
          </cell>
          <cell r="AD1000">
            <v>913</v>
          </cell>
          <cell r="AE1000" t="e">
            <v>#N/A</v>
          </cell>
          <cell r="AF1000" t="str">
            <v/>
          </cell>
        </row>
        <row r="1001">
          <cell r="Y1001">
            <v>985</v>
          </cell>
          <cell r="Z1001">
            <v>0.62159308604896069</v>
          </cell>
          <cell r="AA1001">
            <v>5.2343359258724582E-2</v>
          </cell>
          <cell r="AB1001" t="str">
            <v/>
          </cell>
          <cell r="AC1001" t="e">
            <v>#N/A</v>
          </cell>
          <cell r="AD1001">
            <v>914</v>
          </cell>
          <cell r="AE1001" t="e">
            <v>#N/A</v>
          </cell>
          <cell r="AF1001" t="str">
            <v/>
          </cell>
        </row>
        <row r="1002">
          <cell r="Y1002">
            <v>986</v>
          </cell>
          <cell r="Z1002">
            <v>0.94119972549378872</v>
          </cell>
          <cell r="AA1002">
            <v>0.2645205662121255</v>
          </cell>
          <cell r="AB1002" t="str">
            <v/>
          </cell>
          <cell r="AC1002" t="e">
            <v>#N/A</v>
          </cell>
          <cell r="AD1002">
            <v>915</v>
          </cell>
          <cell r="AE1002" t="e">
            <v>#N/A</v>
          </cell>
          <cell r="AF1002" t="str">
            <v/>
          </cell>
        </row>
        <row r="1003">
          <cell r="Y1003">
            <v>987</v>
          </cell>
          <cell r="Z1003">
            <v>0.49053431861102581</v>
          </cell>
          <cell r="AA1003">
            <v>-4.0109620168016693E-3</v>
          </cell>
          <cell r="AB1003" t="str">
            <v/>
          </cell>
          <cell r="AC1003" t="e">
            <v>#N/A</v>
          </cell>
          <cell r="AD1003">
            <v>916</v>
          </cell>
          <cell r="AE1003" t="e">
            <v>#N/A</v>
          </cell>
          <cell r="AF1003" t="str">
            <v/>
          </cell>
        </row>
        <row r="1004">
          <cell r="Y1004">
            <v>988</v>
          </cell>
          <cell r="Z1004">
            <v>0.56305640004575253</v>
          </cell>
          <cell r="AA1004">
            <v>2.6829065863458651E-2</v>
          </cell>
          <cell r="AB1004" t="str">
            <v/>
          </cell>
          <cell r="AC1004" t="e">
            <v>#N/A</v>
          </cell>
          <cell r="AD1004">
            <v>917</v>
          </cell>
          <cell r="AE1004" t="e">
            <v>#N/A</v>
          </cell>
          <cell r="AF1004" t="str">
            <v/>
          </cell>
        </row>
        <row r="1005">
          <cell r="Y1005">
            <v>989</v>
          </cell>
          <cell r="Z1005">
            <v>0.32019072584807873</v>
          </cell>
          <cell r="AA1005">
            <v>-7.8965387446822993E-2</v>
          </cell>
          <cell r="AB1005" t="str">
            <v/>
          </cell>
          <cell r="AC1005" t="e">
            <v>#N/A</v>
          </cell>
          <cell r="AD1005">
            <v>918</v>
          </cell>
          <cell r="AE1005" t="e">
            <v>#N/A</v>
          </cell>
          <cell r="AF1005" t="str">
            <v/>
          </cell>
        </row>
        <row r="1006">
          <cell r="Y1006">
            <v>990</v>
          </cell>
          <cell r="Z1006">
            <v>0.42096022330224514</v>
          </cell>
          <cell r="AA1006">
            <v>-3.3711108114676258E-2</v>
          </cell>
          <cell r="AB1006" t="str">
            <v/>
          </cell>
          <cell r="AC1006" t="e">
            <v>#N/A</v>
          </cell>
          <cell r="AD1006">
            <v>919</v>
          </cell>
          <cell r="AE1006" t="e">
            <v>#N/A</v>
          </cell>
          <cell r="AF1006" t="str">
            <v/>
          </cell>
        </row>
        <row r="1007">
          <cell r="Y1007">
            <v>991</v>
          </cell>
          <cell r="Z1007">
            <v>0.70550535432994366</v>
          </cell>
          <cell r="AA1007">
            <v>9.1327581315960984E-2</v>
          </cell>
          <cell r="AB1007" t="str">
            <v/>
          </cell>
          <cell r="AC1007" t="e">
            <v>#N/A</v>
          </cell>
          <cell r="AD1007">
            <v>920</v>
          </cell>
          <cell r="AE1007" t="e">
            <v>#N/A</v>
          </cell>
          <cell r="AF1007" t="str">
            <v/>
          </cell>
        </row>
        <row r="1008">
          <cell r="Y1008">
            <v>992</v>
          </cell>
          <cell r="Z1008">
            <v>0.71486904285848141</v>
          </cell>
          <cell r="AA1008">
            <v>9.5953034217156716E-2</v>
          </cell>
          <cell r="AB1008" t="str">
            <v/>
          </cell>
          <cell r="AC1008" t="e">
            <v>#N/A</v>
          </cell>
          <cell r="AD1008">
            <v>921</v>
          </cell>
          <cell r="AE1008" t="e">
            <v>#N/A</v>
          </cell>
          <cell r="AF1008" t="str">
            <v/>
          </cell>
        </row>
        <row r="1009">
          <cell r="Y1009">
            <v>993</v>
          </cell>
          <cell r="Z1009">
            <v>0.72188237123191357</v>
          </cell>
          <cell r="AA1009">
            <v>9.9464951766656373E-2</v>
          </cell>
          <cell r="AB1009" t="str">
            <v/>
          </cell>
          <cell r="AC1009" t="e">
            <v>#N/A</v>
          </cell>
          <cell r="AD1009">
            <v>922</v>
          </cell>
          <cell r="AE1009" t="e">
            <v>#N/A</v>
          </cell>
          <cell r="AF1009" t="str">
            <v/>
          </cell>
        </row>
        <row r="1010">
          <cell r="Y1010">
            <v>994</v>
          </cell>
          <cell r="Z1010">
            <v>9.678996168076992E-2</v>
          </cell>
          <cell r="AA1010">
            <v>-0.21975048599934105</v>
          </cell>
          <cell r="AB1010" t="str">
            <v/>
          </cell>
          <cell r="AC1010" t="e">
            <v>#N/A</v>
          </cell>
          <cell r="AD1010">
            <v>923</v>
          </cell>
          <cell r="AE1010" t="e">
            <v>#N/A</v>
          </cell>
          <cell r="AF1010" t="str">
            <v/>
          </cell>
        </row>
        <row r="1011">
          <cell r="Y1011">
            <v>995</v>
          </cell>
          <cell r="Z1011">
            <v>0.87507720105350018</v>
          </cell>
          <cell r="AA1011">
            <v>0.19450793980839567</v>
          </cell>
          <cell r="AB1011" t="str">
            <v/>
          </cell>
          <cell r="AC1011" t="e">
            <v>#N/A</v>
          </cell>
          <cell r="AD1011">
            <v>924</v>
          </cell>
          <cell r="AE1011" t="e">
            <v>#N/A</v>
          </cell>
          <cell r="AF1011" t="str">
            <v/>
          </cell>
        </row>
        <row r="1012">
          <cell r="Y1012">
            <v>996</v>
          </cell>
          <cell r="Z1012">
            <v>0.38653861545026302</v>
          </cell>
          <cell r="AA1012">
            <v>-4.8740400600331885E-2</v>
          </cell>
          <cell r="AB1012" t="str">
            <v/>
          </cell>
          <cell r="AC1012" t="e">
            <v>#N/A</v>
          </cell>
          <cell r="AD1012">
            <v>925</v>
          </cell>
          <cell r="AE1012" t="e">
            <v>#N/A</v>
          </cell>
          <cell r="AF1012" t="str">
            <v/>
          </cell>
        </row>
        <row r="1013">
          <cell r="Y1013">
            <v>997</v>
          </cell>
          <cell r="Z1013">
            <v>0.17950463108718395</v>
          </cell>
          <cell r="AA1013">
            <v>-0.15504431893210771</v>
          </cell>
          <cell r="AB1013" t="str">
            <v/>
          </cell>
          <cell r="AC1013" t="e">
            <v>#N/A</v>
          </cell>
          <cell r="AD1013">
            <v>926</v>
          </cell>
          <cell r="AE1013" t="e">
            <v>#N/A</v>
          </cell>
          <cell r="AF1013" t="str">
            <v/>
          </cell>
        </row>
        <row r="1014">
          <cell r="Y1014">
            <v>998</v>
          </cell>
          <cell r="Z1014">
            <v>0.64443204365670681</v>
          </cell>
          <cell r="AA1014">
            <v>6.2597356309125871E-2</v>
          </cell>
          <cell r="AB1014" t="str">
            <v/>
          </cell>
          <cell r="AC1014" t="e">
            <v>#N/A</v>
          </cell>
          <cell r="AD1014">
            <v>927</v>
          </cell>
          <cell r="AE1014" t="e">
            <v>#N/A</v>
          </cell>
          <cell r="AF1014" t="str">
            <v/>
          </cell>
        </row>
        <row r="1015">
          <cell r="Y1015">
            <v>999</v>
          </cell>
          <cell r="Z1015">
            <v>0.81418363563716412</v>
          </cell>
          <cell r="AA1015">
            <v>0.15101540627250015</v>
          </cell>
          <cell r="AB1015" t="str">
            <v/>
          </cell>
          <cell r="AC1015" t="e">
            <v>#N/A</v>
          </cell>
          <cell r="AD1015">
            <v>928</v>
          </cell>
          <cell r="AE1015" t="e">
            <v>#N/A</v>
          </cell>
          <cell r="AF1015" t="str">
            <v/>
          </cell>
        </row>
        <row r="1016">
          <cell r="Y1016">
            <v>1000</v>
          </cell>
          <cell r="Z1016">
            <v>0.94075890444219112</v>
          </cell>
          <cell r="AA1016">
            <v>0.26388693566137</v>
          </cell>
          <cell r="AB1016" t="str">
            <v/>
          </cell>
          <cell r="AC1016" t="e">
            <v>#N/A</v>
          </cell>
          <cell r="AD1016">
            <v>929</v>
          </cell>
          <cell r="AE1016" t="e">
            <v>#N/A</v>
          </cell>
          <cell r="AF1016" t="str">
            <v/>
          </cell>
        </row>
      </sheetData>
      <sheetData sheetId="2"/>
      <sheetData sheetId="3"/>
    </sheetDataSet>
  </externalBook>
</externalLink>
</file>

<file path=xl/externalLinks/externalLink32.xml><?xml version="1.0" encoding="utf-8"?>
<externalLink xmlns="http://schemas.openxmlformats.org/spreadsheetml/2006/main">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t="str">
            <v/>
          </cell>
          <cell r="AC87" t="e">
            <v>#N/A</v>
          </cell>
          <cell r="AD87">
            <v>0</v>
          </cell>
          <cell r="AE87" t="e">
            <v>#N/A</v>
          </cell>
          <cell r="AF87" t="str">
            <v/>
          </cell>
        </row>
        <row r="88">
          <cell r="Y88">
            <v>72</v>
          </cell>
          <cell r="Z88">
            <v>0.8441519346088171</v>
          </cell>
          <cell r="AA88">
            <v>0.17100334674149906</v>
          </cell>
          <cell r="AB88" t="str">
            <v/>
          </cell>
          <cell r="AC88" t="e">
            <v>#N/A</v>
          </cell>
          <cell r="AD88">
            <v>1</v>
          </cell>
          <cell r="AE88" t="e">
            <v>#N/A</v>
          </cell>
          <cell r="AF88" t="str">
            <v/>
          </cell>
        </row>
        <row r="89">
          <cell r="Y89">
            <v>73</v>
          </cell>
          <cell r="Z89">
            <v>0.32006332091987133</v>
          </cell>
          <cell r="AA89">
            <v>-7.9025597538194686E-2</v>
          </cell>
          <cell r="AB89" t="str">
            <v/>
          </cell>
          <cell r="AC89" t="e">
            <v>#N/A</v>
          </cell>
          <cell r="AD89">
            <v>2</v>
          </cell>
          <cell r="AE89" t="e">
            <v>#N/A</v>
          </cell>
          <cell r="AF89" t="str">
            <v/>
          </cell>
        </row>
        <row r="90">
          <cell r="Y90">
            <v>74</v>
          </cell>
          <cell r="Z90">
            <v>0.3700218852609396</v>
          </cell>
          <cell r="AA90">
            <v>-5.6083655994776591E-2</v>
          </cell>
          <cell r="AB90" t="str">
            <v/>
          </cell>
          <cell r="AC90" t="e">
            <v>#N/A</v>
          </cell>
          <cell r="AD90">
            <v>3</v>
          </cell>
          <cell r="AE90" t="e">
            <v>#N/A</v>
          </cell>
          <cell r="AF90" t="str">
            <v/>
          </cell>
        </row>
        <row r="91">
          <cell r="Y91">
            <v>75</v>
          </cell>
          <cell r="Z91">
            <v>0.66289390437304974</v>
          </cell>
          <cell r="AA91">
            <v>7.1056190539369041E-2</v>
          </cell>
          <cell r="AB91" t="str">
            <v/>
          </cell>
          <cell r="AC91" t="e">
            <v>#N/A</v>
          </cell>
          <cell r="AD91">
            <v>4</v>
          </cell>
          <cell r="AE91" t="e">
            <v>#N/A</v>
          </cell>
          <cell r="AF91" t="str">
            <v/>
          </cell>
        </row>
        <row r="92">
          <cell r="Y92">
            <v>76</v>
          </cell>
          <cell r="Z92">
            <v>0.66135125420987606</v>
          </cell>
          <cell r="AA92">
            <v>7.0342824567851389E-2</v>
          </cell>
          <cell r="AB92" t="str">
            <v/>
          </cell>
          <cell r="AC92" t="e">
            <v>#N/A</v>
          </cell>
          <cell r="AD92">
            <v>5</v>
          </cell>
          <cell r="AE92" t="e">
            <v>#N/A</v>
          </cell>
          <cell r="AF92" t="str">
            <v/>
          </cell>
        </row>
        <row r="93">
          <cell r="Y93">
            <v>77</v>
          </cell>
          <cell r="Z93">
            <v>0.13966506533324718</v>
          </cell>
          <cell r="AA93">
            <v>-0.18286186310444938</v>
          </cell>
          <cell r="AB93" t="str">
            <v/>
          </cell>
          <cell r="AC93" t="e">
            <v>#N/A</v>
          </cell>
          <cell r="AD93">
            <v>6</v>
          </cell>
          <cell r="AE93" t="e">
            <v>#N/A</v>
          </cell>
          <cell r="AF93" t="str">
            <v/>
          </cell>
        </row>
        <row r="94">
          <cell r="Y94">
            <v>78</v>
          </cell>
          <cell r="Z94">
            <v>0.46897832117974758</v>
          </cell>
          <cell r="AA94">
            <v>-1.3157082054092812E-2</v>
          </cell>
          <cell r="AB94" t="str">
            <v/>
          </cell>
          <cell r="AC94" t="e">
            <v>#N/A</v>
          </cell>
          <cell r="AD94">
            <v>7</v>
          </cell>
          <cell r="AE94" t="e">
            <v>#N/A</v>
          </cell>
          <cell r="AF94" t="str">
            <v/>
          </cell>
        </row>
        <row r="95">
          <cell r="Y95">
            <v>79</v>
          </cell>
          <cell r="Z95">
            <v>0.3085156511515379</v>
          </cell>
          <cell r="AA95">
            <v>-8.4525934127234609E-2</v>
          </cell>
          <cell r="AB95" t="str">
            <v/>
          </cell>
          <cell r="AC95" t="e">
            <v>#N/A</v>
          </cell>
          <cell r="AD95">
            <v>8</v>
          </cell>
          <cell r="AE95" t="e">
            <v>#N/A</v>
          </cell>
          <cell r="AF95" t="str">
            <v/>
          </cell>
        </row>
        <row r="96">
          <cell r="Y96">
            <v>80</v>
          </cell>
          <cell r="Z96">
            <v>0.522218843922019</v>
          </cell>
          <cell r="AA96">
            <v>9.4189410021186977E-3</v>
          </cell>
          <cell r="AB96" t="str">
            <v/>
          </cell>
          <cell r="AC96" t="e">
            <v>#N/A</v>
          </cell>
          <cell r="AD96">
            <v>9</v>
          </cell>
          <cell r="AE96" t="e">
            <v>#N/A</v>
          </cell>
          <cell r="AF96" t="str">
            <v/>
          </cell>
        </row>
        <row r="97">
          <cell r="Y97">
            <v>81</v>
          </cell>
          <cell r="Z97">
            <v>0.22806516103446484</v>
          </cell>
          <cell r="AA97">
            <v>-0.12596752322098367</v>
          </cell>
          <cell r="AB97" t="str">
            <v/>
          </cell>
          <cell r="AC97" t="e">
            <v>#N/A</v>
          </cell>
          <cell r="AD97">
            <v>10</v>
          </cell>
          <cell r="AE97" t="e">
            <v>#N/A</v>
          </cell>
          <cell r="AF97" t="str">
            <v/>
          </cell>
        </row>
        <row r="98">
          <cell r="Y98">
            <v>82</v>
          </cell>
          <cell r="Z98">
            <v>0.57519174180924892</v>
          </cell>
          <cell r="AA98">
            <v>3.2049558763186908E-2</v>
          </cell>
          <cell r="AB98" t="str">
            <v/>
          </cell>
          <cell r="AC98" t="e">
            <v>#N/A</v>
          </cell>
          <cell r="AD98">
            <v>11</v>
          </cell>
          <cell r="AE98" t="e">
            <v>#N/A</v>
          </cell>
          <cell r="AF98" t="str">
            <v/>
          </cell>
        </row>
        <row r="99">
          <cell r="Y99">
            <v>83</v>
          </cell>
          <cell r="Z99">
            <v>0.89558513276278973</v>
          </cell>
          <cell r="AA99">
            <v>0.21243626150191841</v>
          </cell>
          <cell r="AB99" t="str">
            <v/>
          </cell>
          <cell r="AC99" t="e">
            <v>#N/A</v>
          </cell>
          <cell r="AD99">
            <v>12</v>
          </cell>
          <cell r="AE99" t="e">
            <v>#N/A</v>
          </cell>
          <cell r="AF99" t="str">
            <v/>
          </cell>
        </row>
        <row r="100">
          <cell r="Y100">
            <v>84</v>
          </cell>
          <cell r="Z100">
            <v>0.97023462317883968</v>
          </cell>
          <cell r="AA100">
            <v>0.31849689790528485</v>
          </cell>
          <cell r="AB100" t="str">
            <v/>
          </cell>
          <cell r="AC100" t="e">
            <v>#N/A</v>
          </cell>
          <cell r="AD100">
            <v>13</v>
          </cell>
          <cell r="AE100" t="e">
            <v>#N/A</v>
          </cell>
          <cell r="AF100" t="str">
            <v/>
          </cell>
        </row>
        <row r="101">
          <cell r="Y101">
            <v>85</v>
          </cell>
          <cell r="Z101">
            <v>0.84483849816024303</v>
          </cell>
          <cell r="AA101">
            <v>0.1714893212438566</v>
          </cell>
          <cell r="AB101" t="str">
            <v/>
          </cell>
          <cell r="AC101" t="e">
            <v>#N/A</v>
          </cell>
          <cell r="AD101">
            <v>14</v>
          </cell>
          <cell r="AE101" t="e">
            <v>#N/A</v>
          </cell>
          <cell r="AF101" t="str">
            <v/>
          </cell>
        </row>
        <row r="102">
          <cell r="Y102">
            <v>86</v>
          </cell>
          <cell r="Z102">
            <v>0.96450290642678738</v>
          </cell>
          <cell r="AA102">
            <v>0.30518767550318576</v>
          </cell>
          <cell r="AB102" t="str">
            <v/>
          </cell>
          <cell r="AC102" t="e">
            <v>#N/A</v>
          </cell>
          <cell r="AD102">
            <v>15</v>
          </cell>
          <cell r="AE102" t="e">
            <v>#N/A</v>
          </cell>
          <cell r="AF102" t="str">
            <v/>
          </cell>
        </row>
        <row r="103">
          <cell r="Y103">
            <v>87</v>
          </cell>
          <cell r="Z103">
            <v>0.60280565731227398</v>
          </cell>
          <cell r="AA103">
            <v>4.4052136445353503E-2</v>
          </cell>
          <cell r="AB103" t="str">
            <v/>
          </cell>
          <cell r="AC103" t="e">
            <v>#N/A</v>
          </cell>
          <cell r="AD103">
            <v>16</v>
          </cell>
          <cell r="AE103" t="e">
            <v>#N/A</v>
          </cell>
          <cell r="AF103" t="str">
            <v/>
          </cell>
        </row>
        <row r="104">
          <cell r="Y104">
            <v>88</v>
          </cell>
          <cell r="Z104">
            <v>0.40959628485143185</v>
          </cell>
          <cell r="AA104">
            <v>-3.8637681011100454E-2</v>
          </cell>
          <cell r="AB104" t="str">
            <v/>
          </cell>
          <cell r="AC104" t="e">
            <v>#N/A</v>
          </cell>
          <cell r="AD104">
            <v>17</v>
          </cell>
          <cell r="AE104" t="e">
            <v>#N/A</v>
          </cell>
          <cell r="AF104" t="str">
            <v/>
          </cell>
        </row>
        <row r="105">
          <cell r="Y105">
            <v>89</v>
          </cell>
          <cell r="Z105">
            <v>0.17326602153480053</v>
          </cell>
          <cell r="AA105">
            <v>-0.15911504176198221</v>
          </cell>
          <cell r="AB105" t="str">
            <v/>
          </cell>
          <cell r="AC105" t="e">
            <v>#N/A</v>
          </cell>
          <cell r="AD105">
            <v>18</v>
          </cell>
          <cell r="AE105" t="e">
            <v>#N/A</v>
          </cell>
          <cell r="AF105" t="str">
            <v/>
          </cell>
        </row>
        <row r="106">
          <cell r="Y106">
            <v>90</v>
          </cell>
          <cell r="Z106">
            <v>0.46780628524720669</v>
          </cell>
          <cell r="AA106">
            <v>-1.3655235263929717E-2</v>
          </cell>
          <cell r="AB106" t="str">
            <v/>
          </cell>
          <cell r="AC106" t="e">
            <v>#N/A</v>
          </cell>
          <cell r="AD106">
            <v>19</v>
          </cell>
          <cell r="AE106" t="e">
            <v>#N/A</v>
          </cell>
          <cell r="AF106" t="str">
            <v/>
          </cell>
        </row>
        <row r="107">
          <cell r="Y107">
            <v>91</v>
          </cell>
          <cell r="Z107">
            <v>0.9339537750929594</v>
          </cell>
          <cell r="AA107">
            <v>0.25454381964592437</v>
          </cell>
          <cell r="AB107" t="str">
            <v/>
          </cell>
          <cell r="AC107" t="e">
            <v>#N/A</v>
          </cell>
          <cell r="AD107">
            <v>20</v>
          </cell>
          <cell r="AE107" t="e">
            <v>#N/A</v>
          </cell>
          <cell r="AF107" t="str">
            <v/>
          </cell>
        </row>
        <row r="108">
          <cell r="Y108">
            <v>92</v>
          </cell>
          <cell r="Z108">
            <v>0.89232867024838924</v>
          </cell>
          <cell r="AA108">
            <v>0.20943051993037803</v>
          </cell>
          <cell r="AB108" t="str">
            <v/>
          </cell>
          <cell r="AC108" t="e">
            <v>#N/A</v>
          </cell>
          <cell r="AD108">
            <v>21</v>
          </cell>
          <cell r="AE108" t="e">
            <v>#N/A</v>
          </cell>
          <cell r="AF108" t="str">
            <v/>
          </cell>
        </row>
        <row r="109">
          <cell r="Y109">
            <v>93</v>
          </cell>
          <cell r="Z109">
            <v>0.30275660566985607</v>
          </cell>
          <cell r="AA109">
            <v>-8.7302504579142973E-2</v>
          </cell>
          <cell r="AB109" t="str">
            <v/>
          </cell>
          <cell r="AC109" t="e">
            <v>#N/A</v>
          </cell>
          <cell r="AD109">
            <v>22</v>
          </cell>
          <cell r="AE109" t="e">
            <v>#N/A</v>
          </cell>
          <cell r="AF109" t="str">
            <v/>
          </cell>
        </row>
        <row r="110">
          <cell r="Y110">
            <v>94</v>
          </cell>
          <cell r="Z110">
            <v>0.99253443442285061</v>
          </cell>
          <cell r="AA110">
            <v>0.41142872846792794</v>
          </cell>
          <cell r="AB110" t="str">
            <v/>
          </cell>
          <cell r="AC110" t="e">
            <v>#N/A</v>
          </cell>
          <cell r="AD110">
            <v>23</v>
          </cell>
          <cell r="AE110" t="e">
            <v>#N/A</v>
          </cell>
          <cell r="AF110" t="str">
            <v/>
          </cell>
        </row>
        <row r="111">
          <cell r="Y111">
            <v>95</v>
          </cell>
          <cell r="Z111">
            <v>0.24717615358531475</v>
          </cell>
          <cell r="AA111">
            <v>-0.11551616860853341</v>
          </cell>
          <cell r="AB111" t="str">
            <v/>
          </cell>
          <cell r="AC111" t="e">
            <v>#N/A</v>
          </cell>
          <cell r="AD111">
            <v>24</v>
          </cell>
          <cell r="AE111" t="e">
            <v>#N/A</v>
          </cell>
          <cell r="AF111" t="str">
            <v/>
          </cell>
        </row>
        <row r="112">
          <cell r="Y112">
            <v>96</v>
          </cell>
          <cell r="Z112">
            <v>0.74914314411580563</v>
          </cell>
          <cell r="AA112">
            <v>0.11355421338461123</v>
          </cell>
          <cell r="AB112" t="str">
            <v/>
          </cell>
          <cell r="AC112" t="e">
            <v>#N/A</v>
          </cell>
          <cell r="AD112">
            <v>25</v>
          </cell>
          <cell r="AE112" t="e">
            <v>#N/A</v>
          </cell>
          <cell r="AF112" t="str">
            <v/>
          </cell>
        </row>
        <row r="113">
          <cell r="Y113">
            <v>97</v>
          </cell>
          <cell r="Z113">
            <v>0.18001892976462841</v>
          </cell>
          <cell r="AA113">
            <v>-0.1547127460945987</v>
          </cell>
          <cell r="AB113" t="str">
            <v/>
          </cell>
          <cell r="AC113" t="e">
            <v>#N/A</v>
          </cell>
          <cell r="AD113">
            <v>26</v>
          </cell>
          <cell r="AE113" t="e">
            <v>#N/A</v>
          </cell>
          <cell r="AF113" t="str">
            <v/>
          </cell>
        </row>
        <row r="114">
          <cell r="Y114">
            <v>98</v>
          </cell>
          <cell r="Z114">
            <v>0.63789237104356289</v>
          </cell>
          <cell r="AA114">
            <v>5.9639298009494711E-2</v>
          </cell>
          <cell r="AB114" t="str">
            <v/>
          </cell>
          <cell r="AC114" t="e">
            <v>#N/A</v>
          </cell>
          <cell r="AD114">
            <v>27</v>
          </cell>
          <cell r="AE114" t="e">
            <v>#N/A</v>
          </cell>
          <cell r="AF114" t="str">
            <v/>
          </cell>
        </row>
        <row r="115">
          <cell r="Y115">
            <v>99</v>
          </cell>
          <cell r="Z115">
            <v>3.0364524573087692E-3</v>
          </cell>
          <cell r="AA115">
            <v>-0.46379002645821155</v>
          </cell>
          <cell r="AB115" t="str">
            <v/>
          </cell>
          <cell r="AC115" t="e">
            <v>#N/A</v>
          </cell>
          <cell r="AD115">
            <v>28</v>
          </cell>
          <cell r="AE115" t="e">
            <v>#N/A</v>
          </cell>
          <cell r="AF115" t="str">
            <v/>
          </cell>
        </row>
        <row r="116">
          <cell r="Y116">
            <v>100</v>
          </cell>
          <cell r="Z116">
            <v>0.56404696963727474</v>
          </cell>
          <cell r="AA116">
            <v>2.7254173220867605E-2</v>
          </cell>
          <cell r="AB116" t="str">
            <v/>
          </cell>
          <cell r="AC116" t="e">
            <v>#N/A</v>
          </cell>
          <cell r="AD116">
            <v>29</v>
          </cell>
          <cell r="AE116" t="e">
            <v>#N/A</v>
          </cell>
          <cell r="AF116" t="str">
            <v/>
          </cell>
        </row>
        <row r="117">
          <cell r="Y117">
            <v>101</v>
          </cell>
          <cell r="Z117">
            <v>2.8983352705836296E-2</v>
          </cell>
          <cell r="AA117">
            <v>-0.32047397923850851</v>
          </cell>
          <cell r="AB117" t="str">
            <v/>
          </cell>
          <cell r="AC117" t="e">
            <v>#N/A</v>
          </cell>
          <cell r="AD117">
            <v>30</v>
          </cell>
          <cell r="AE117" t="e">
            <v>#N/A</v>
          </cell>
          <cell r="AF117" t="str">
            <v/>
          </cell>
        </row>
        <row r="118">
          <cell r="Y118">
            <v>102</v>
          </cell>
          <cell r="Z118">
            <v>0.90384194813668728</v>
          </cell>
          <cell r="AA118">
            <v>0.22037532576465949</v>
          </cell>
          <cell r="AB118" t="str">
            <v/>
          </cell>
          <cell r="AC118" t="e">
            <v>#N/A</v>
          </cell>
          <cell r="AD118">
            <v>31</v>
          </cell>
          <cell r="AE118" t="e">
            <v>#N/A</v>
          </cell>
          <cell r="AF118" t="str">
            <v/>
          </cell>
        </row>
        <row r="119">
          <cell r="Y119">
            <v>103</v>
          </cell>
          <cell r="Z119">
            <v>0.23131219856441021</v>
          </cell>
          <cell r="AA119">
            <v>-0.1241586154684671</v>
          </cell>
          <cell r="AB119" t="str">
            <v/>
          </cell>
          <cell r="AC119" t="e">
            <v>#N/A</v>
          </cell>
          <cell r="AD119">
            <v>32</v>
          </cell>
          <cell r="AE119" t="e">
            <v>#N/A</v>
          </cell>
          <cell r="AF119" t="str">
            <v/>
          </cell>
        </row>
        <row r="120">
          <cell r="Y120">
            <v>104</v>
          </cell>
          <cell r="Z120">
            <v>0.99270268343389034</v>
          </cell>
          <cell r="AA120">
            <v>0.41282145649700597</v>
          </cell>
          <cell r="AB120" t="str">
            <v/>
          </cell>
          <cell r="AC120" t="e">
            <v>#N/A</v>
          </cell>
          <cell r="AD120">
            <v>33</v>
          </cell>
          <cell r="AE120" t="e">
            <v>#N/A</v>
          </cell>
          <cell r="AF120" t="str">
            <v/>
          </cell>
        </row>
        <row r="121">
          <cell r="Y121">
            <v>105</v>
          </cell>
          <cell r="Z121">
            <v>0.73947378806769848</v>
          </cell>
          <cell r="AA121">
            <v>0.10847114845461558</v>
          </cell>
          <cell r="AB121" t="str">
            <v/>
          </cell>
          <cell r="AC121" t="e">
            <v>#N/A</v>
          </cell>
          <cell r="AD121">
            <v>34</v>
          </cell>
          <cell r="AE121" t="e">
            <v>#N/A</v>
          </cell>
          <cell r="AF121" t="str">
            <v/>
          </cell>
        </row>
        <row r="122">
          <cell r="Y122">
            <v>106</v>
          </cell>
          <cell r="Z122">
            <v>0.49383622966706753</v>
          </cell>
          <cell r="AA122">
            <v>-2.6116780545854296E-3</v>
          </cell>
          <cell r="AB122" t="str">
            <v/>
          </cell>
          <cell r="AC122" t="e">
            <v>#N/A</v>
          </cell>
          <cell r="AD122">
            <v>35</v>
          </cell>
          <cell r="AE122" t="e">
            <v>#N/A</v>
          </cell>
          <cell r="AF122" t="str">
            <v/>
          </cell>
        </row>
        <row r="123">
          <cell r="Y123">
            <v>107</v>
          </cell>
          <cell r="Z123">
            <v>0.71654166094958782</v>
          </cell>
          <cell r="AA123">
            <v>9.6786786117488241E-2</v>
          </cell>
          <cell r="AB123" t="str">
            <v/>
          </cell>
          <cell r="AC123" t="e">
            <v>#N/A</v>
          </cell>
          <cell r="AD123">
            <v>36</v>
          </cell>
          <cell r="AE123" t="e">
            <v>#N/A</v>
          </cell>
          <cell r="AF123" t="str">
            <v/>
          </cell>
        </row>
        <row r="124">
          <cell r="Y124">
            <v>108</v>
          </cell>
          <cell r="Z124">
            <v>0.92453747056424618</v>
          </cell>
          <cell r="AA124">
            <v>0.2427742185492939</v>
          </cell>
          <cell r="AB124" t="str">
            <v/>
          </cell>
          <cell r="AC124" t="e">
            <v>#N/A</v>
          </cell>
          <cell r="AD124">
            <v>37</v>
          </cell>
          <cell r="AE124" t="e">
            <v>#N/A</v>
          </cell>
          <cell r="AF124" t="str">
            <v/>
          </cell>
        </row>
        <row r="125">
          <cell r="Y125">
            <v>109</v>
          </cell>
          <cell r="Z125">
            <v>0.72462957911193371</v>
          </cell>
          <cell r="AA125">
            <v>0.10085231787803753</v>
          </cell>
          <cell r="AB125" t="str">
            <v/>
          </cell>
          <cell r="AC125" t="e">
            <v>#N/A</v>
          </cell>
          <cell r="AD125">
            <v>38</v>
          </cell>
          <cell r="AE125" t="e">
            <v>#N/A</v>
          </cell>
          <cell r="AF125" t="str">
            <v/>
          </cell>
        </row>
        <row r="126">
          <cell r="Y126">
            <v>110</v>
          </cell>
          <cell r="Z126">
            <v>0.21130386553704739</v>
          </cell>
          <cell r="AA126">
            <v>-0.13554673786797022</v>
          </cell>
          <cell r="AB126" t="str">
            <v/>
          </cell>
          <cell r="AC126" t="e">
            <v>#N/A</v>
          </cell>
          <cell r="AD126">
            <v>39</v>
          </cell>
          <cell r="AE126" t="e">
            <v>#N/A</v>
          </cell>
          <cell r="AF126" t="str">
            <v/>
          </cell>
        </row>
        <row r="127">
          <cell r="Y127">
            <v>111</v>
          </cell>
          <cell r="Z127">
            <v>0.40232072584331036</v>
          </cell>
          <cell r="AA127">
            <v>-4.1808888601324944E-2</v>
          </cell>
          <cell r="AB127" t="str">
            <v/>
          </cell>
          <cell r="AC127" t="e">
            <v>#N/A</v>
          </cell>
          <cell r="AD127">
            <v>40</v>
          </cell>
          <cell r="AE127" t="e">
            <v>#N/A</v>
          </cell>
          <cell r="AF127" t="str">
            <v/>
          </cell>
        </row>
        <row r="128">
          <cell r="Y128">
            <v>112</v>
          </cell>
          <cell r="Z128">
            <v>0.488602539524436</v>
          </cell>
          <cell r="AA128">
            <v>-4.8297327290210013E-3</v>
          </cell>
          <cell r="AB128" t="str">
            <v/>
          </cell>
          <cell r="AC128" t="e">
            <v>#N/A</v>
          </cell>
          <cell r="AD128">
            <v>41</v>
          </cell>
          <cell r="AE128" t="e">
            <v>#N/A</v>
          </cell>
          <cell r="AF128" t="str">
            <v/>
          </cell>
        </row>
        <row r="129">
          <cell r="Y129">
            <v>113</v>
          </cell>
          <cell r="Z129">
            <v>0.74707737378776073</v>
          </cell>
          <cell r="AA129">
            <v>0.1124597613625974</v>
          </cell>
          <cell r="AB129" t="str">
            <v/>
          </cell>
          <cell r="AC129" t="e">
            <v>#N/A</v>
          </cell>
          <cell r="AD129">
            <v>42</v>
          </cell>
          <cell r="AE129" t="e">
            <v>#N/A</v>
          </cell>
          <cell r="AF129" t="str">
            <v/>
          </cell>
        </row>
        <row r="130">
          <cell r="Y130">
            <v>114</v>
          </cell>
          <cell r="Z130">
            <v>0.4498834665864706</v>
          </cell>
          <cell r="AA130">
            <v>-2.1290411605509818E-2</v>
          </cell>
          <cell r="AB130" t="str">
            <v/>
          </cell>
          <cell r="AC130" t="e">
            <v>#N/A</v>
          </cell>
          <cell r="AD130">
            <v>43</v>
          </cell>
          <cell r="AE130" t="e">
            <v>#N/A</v>
          </cell>
          <cell r="AF130" t="str">
            <v/>
          </cell>
        </row>
        <row r="131">
          <cell r="Y131">
            <v>115</v>
          </cell>
          <cell r="Z131">
            <v>0.51434977166354656</v>
          </cell>
          <cell r="AA131">
            <v>6.0812741714859056E-3</v>
          </cell>
          <cell r="AB131" t="str">
            <v/>
          </cell>
          <cell r="AC131" t="e">
            <v>#N/A</v>
          </cell>
          <cell r="AD131">
            <v>44</v>
          </cell>
          <cell r="AE131" t="e">
            <v>#N/A</v>
          </cell>
          <cell r="AF131" t="str">
            <v/>
          </cell>
        </row>
        <row r="132">
          <cell r="Y132">
            <v>116</v>
          </cell>
          <cell r="Z132">
            <v>0.40318249724805355</v>
          </cell>
          <cell r="AA132">
            <v>-4.1432519733830692E-2</v>
          </cell>
          <cell r="AB132" t="str">
            <v/>
          </cell>
          <cell r="AC132" t="e">
            <v>#N/A</v>
          </cell>
          <cell r="AD132">
            <v>45</v>
          </cell>
          <cell r="AE132" t="e">
            <v>#N/A</v>
          </cell>
          <cell r="AF132" t="str">
            <v/>
          </cell>
        </row>
        <row r="133">
          <cell r="Y133">
            <v>117</v>
          </cell>
          <cell r="Z133">
            <v>0.21385299973189831</v>
          </cell>
          <cell r="AA133">
            <v>-0.13406230325087992</v>
          </cell>
          <cell r="AB133" t="str">
            <v/>
          </cell>
          <cell r="AC133" t="e">
            <v>#N/A</v>
          </cell>
          <cell r="AD133">
            <v>46</v>
          </cell>
          <cell r="AE133" t="e">
            <v>#N/A</v>
          </cell>
          <cell r="AF133" t="str">
            <v/>
          </cell>
        </row>
        <row r="134">
          <cell r="Y134">
            <v>118</v>
          </cell>
          <cell r="Z134">
            <v>0.77740797959268093</v>
          </cell>
          <cell r="AA134">
            <v>0.12904973038783099</v>
          </cell>
          <cell r="AB134" t="str">
            <v/>
          </cell>
          <cell r="AC134" t="e">
            <v>#N/A</v>
          </cell>
          <cell r="AD134">
            <v>47</v>
          </cell>
          <cell r="AE134" t="e">
            <v>#N/A</v>
          </cell>
          <cell r="AF134" t="str">
            <v/>
          </cell>
        </row>
        <row r="135">
          <cell r="Y135">
            <v>119</v>
          </cell>
          <cell r="Z135">
            <v>0.90223054401576519</v>
          </cell>
          <cell r="AA135">
            <v>0.21878784368166504</v>
          </cell>
          <cell r="AB135" t="str">
            <v/>
          </cell>
          <cell r="AC135" t="e">
            <v>#N/A</v>
          </cell>
          <cell r="AD135">
            <v>48</v>
          </cell>
          <cell r="AE135" t="e">
            <v>#N/A</v>
          </cell>
          <cell r="AF135" t="str">
            <v/>
          </cell>
        </row>
        <row r="136">
          <cell r="Y136">
            <v>120</v>
          </cell>
          <cell r="Z136">
            <v>0.16915472410619259</v>
          </cell>
          <cell r="AA136">
            <v>-0.16184888195070077</v>
          </cell>
          <cell r="AB136" t="str">
            <v/>
          </cell>
          <cell r="AC136" t="e">
            <v>#N/A</v>
          </cell>
          <cell r="AD136">
            <v>49</v>
          </cell>
          <cell r="AE136" t="e">
            <v>#N/A</v>
          </cell>
          <cell r="AF136" t="str">
            <v/>
          </cell>
        </row>
        <row r="137">
          <cell r="Y137">
            <v>121</v>
          </cell>
          <cell r="Z137">
            <v>0.44007333926856518</v>
          </cell>
          <cell r="AA137">
            <v>-2.5487025601202157E-2</v>
          </cell>
          <cell r="AB137" t="str">
            <v/>
          </cell>
          <cell r="AC137" t="e">
            <v>#N/A</v>
          </cell>
          <cell r="AD137">
            <v>50</v>
          </cell>
          <cell r="AE137" t="e">
            <v>#N/A</v>
          </cell>
          <cell r="AF137" t="str">
            <v/>
          </cell>
        </row>
        <row r="138">
          <cell r="Y138">
            <v>122</v>
          </cell>
          <cell r="Z138">
            <v>0.11363906227052212</v>
          </cell>
          <cell r="AA138">
            <v>-0.20408785426705081</v>
          </cell>
          <cell r="AB138" t="str">
            <v/>
          </cell>
          <cell r="AC138" t="e">
            <v>#N/A</v>
          </cell>
          <cell r="AD138">
            <v>51</v>
          </cell>
          <cell r="AE138" t="e">
            <v>#N/A</v>
          </cell>
          <cell r="AF138" t="str">
            <v/>
          </cell>
        </row>
        <row r="139">
          <cell r="Y139">
            <v>123</v>
          </cell>
          <cell r="Z139">
            <v>0.10001303069293499</v>
          </cell>
          <cell r="AA139">
            <v>-0.21660920176725504</v>
          </cell>
          <cell r="AB139" t="str">
            <v/>
          </cell>
          <cell r="AC139" t="e">
            <v>#N/A</v>
          </cell>
          <cell r="AD139">
            <v>52</v>
          </cell>
          <cell r="AE139" t="e">
            <v>#N/A</v>
          </cell>
          <cell r="AF139" t="str">
            <v/>
          </cell>
        </row>
        <row r="140">
          <cell r="Y140">
            <v>124</v>
          </cell>
          <cell r="Z140">
            <v>0.60709874890744686</v>
          </cell>
          <cell r="AA140">
            <v>4.5936716780681931E-2</v>
          </cell>
          <cell r="AB140" t="str">
            <v/>
          </cell>
          <cell r="AC140" t="e">
            <v>#N/A</v>
          </cell>
          <cell r="AD140">
            <v>53</v>
          </cell>
          <cell r="AE140" t="e">
            <v>#N/A</v>
          </cell>
          <cell r="AF140" t="str">
            <v/>
          </cell>
        </row>
        <row r="141">
          <cell r="Y141">
            <v>125</v>
          </cell>
          <cell r="Z141">
            <v>0.38135820440948009</v>
          </cell>
          <cell r="AA141">
            <v>-5.1033049555812546E-2</v>
          </cell>
          <cell r="AB141" t="str">
            <v/>
          </cell>
          <cell r="AC141" t="e">
            <v>#N/A</v>
          </cell>
          <cell r="AD141">
            <v>54</v>
          </cell>
          <cell r="AE141" t="e">
            <v>#N/A</v>
          </cell>
          <cell r="AF141" t="str">
            <v/>
          </cell>
        </row>
        <row r="142">
          <cell r="Y142">
            <v>126</v>
          </cell>
          <cell r="Z142">
            <v>1.7514582723379135E-3</v>
          </cell>
          <cell r="AA142">
            <v>-0.49353092993835729</v>
          </cell>
          <cell r="AB142" t="str">
            <v/>
          </cell>
          <cell r="AC142" t="e">
            <v>#N/A</v>
          </cell>
          <cell r="AD142">
            <v>55</v>
          </cell>
          <cell r="AE142" t="e">
            <v>#N/A</v>
          </cell>
          <cell r="AF142" t="str">
            <v/>
          </cell>
        </row>
        <row r="143">
          <cell r="Y143">
            <v>127</v>
          </cell>
          <cell r="Z143">
            <v>0.60549233667552471</v>
          </cell>
          <cell r="AA143">
            <v>4.5230878134087736E-2</v>
          </cell>
          <cell r="AB143" t="str">
            <v/>
          </cell>
          <cell r="AC143" t="e">
            <v>#N/A</v>
          </cell>
          <cell r="AD143">
            <v>56</v>
          </cell>
          <cell r="AE143" t="e">
            <v>#N/A</v>
          </cell>
          <cell r="AF143" t="str">
            <v/>
          </cell>
        </row>
        <row r="144">
          <cell r="Y144">
            <v>128</v>
          </cell>
          <cell r="Z144">
            <v>0.23815562389791012</v>
          </cell>
          <cell r="AA144">
            <v>-0.12039187744785904</v>
          </cell>
          <cell r="AB144" t="str">
            <v/>
          </cell>
          <cell r="AC144" t="e">
            <v>#N/A</v>
          </cell>
          <cell r="AD144">
            <v>57</v>
          </cell>
          <cell r="AE144" t="e">
            <v>#N/A</v>
          </cell>
          <cell r="AF144" t="str">
            <v/>
          </cell>
        </row>
        <row r="145">
          <cell r="Y145">
            <v>129</v>
          </cell>
          <cell r="Z145">
            <v>0.33500221185386181</v>
          </cell>
          <cell r="AA145">
            <v>-7.2031134160745164E-2</v>
          </cell>
          <cell r="AB145" t="str">
            <v/>
          </cell>
          <cell r="AC145" t="e">
            <v>#N/A</v>
          </cell>
          <cell r="AD145">
            <v>58</v>
          </cell>
          <cell r="AE145" t="e">
            <v>#N/A</v>
          </cell>
          <cell r="AF145" t="str">
            <v/>
          </cell>
        </row>
        <row r="146">
          <cell r="Y146">
            <v>130</v>
          </cell>
          <cell r="Z146">
            <v>0.47356737218797207</v>
          </cell>
          <cell r="AA146">
            <v>-1.1207645388894912E-2</v>
          </cell>
          <cell r="AB146" t="str">
            <v/>
          </cell>
          <cell r="AC146" t="e">
            <v>#N/A</v>
          </cell>
          <cell r="AD146">
            <v>59</v>
          </cell>
          <cell r="AE146" t="e">
            <v>#N/A</v>
          </cell>
          <cell r="AF146" t="str">
            <v/>
          </cell>
        </row>
        <row r="147">
          <cell r="Y147">
            <v>131</v>
          </cell>
          <cell r="Z147">
            <v>0.87825555913150311</v>
          </cell>
          <cell r="AA147">
            <v>0.19714247623324041</v>
          </cell>
          <cell r="AB147" t="str">
            <v/>
          </cell>
          <cell r="AC147" t="e">
            <v>#N/A</v>
          </cell>
          <cell r="AD147">
            <v>60</v>
          </cell>
          <cell r="AE147" t="e">
            <v>#N/A</v>
          </cell>
          <cell r="AF147" t="str">
            <v/>
          </cell>
        </row>
        <row r="148">
          <cell r="Y148">
            <v>132</v>
          </cell>
          <cell r="Z148">
            <v>8.6372997611761093E-3</v>
          </cell>
          <cell r="AA148">
            <v>-0.4024304115941349</v>
          </cell>
          <cell r="AB148" t="str">
            <v/>
          </cell>
          <cell r="AC148" t="e">
            <v>#N/A</v>
          </cell>
          <cell r="AD148">
            <v>61</v>
          </cell>
          <cell r="AE148" t="e">
            <v>#N/A</v>
          </cell>
          <cell r="AF148" t="str">
            <v/>
          </cell>
        </row>
        <row r="149">
          <cell r="Y149">
            <v>133</v>
          </cell>
          <cell r="Z149">
            <v>0.10989665798842907</v>
          </cell>
          <cell r="AA149">
            <v>-0.20741402042341434</v>
          </cell>
          <cell r="AB149" t="str">
            <v/>
          </cell>
          <cell r="AC149" t="e">
            <v>#N/A</v>
          </cell>
          <cell r="AD149">
            <v>62</v>
          </cell>
          <cell r="AE149" t="e">
            <v>#N/A</v>
          </cell>
          <cell r="AF149" t="str">
            <v/>
          </cell>
        </row>
        <row r="150">
          <cell r="Y150">
            <v>134</v>
          </cell>
          <cell r="Z150">
            <v>8.5408445447683334E-3</v>
          </cell>
          <cell r="AA150">
            <v>-0.40312923126153605</v>
          </cell>
          <cell r="AB150" t="str">
            <v/>
          </cell>
          <cell r="AC150" t="e">
            <v>#N/A</v>
          </cell>
          <cell r="AD150">
            <v>63</v>
          </cell>
          <cell r="AE150" t="e">
            <v>#N/A</v>
          </cell>
          <cell r="AF150" t="str">
            <v/>
          </cell>
        </row>
        <row r="151">
          <cell r="Y151">
            <v>135</v>
          </cell>
          <cell r="Z151">
            <v>0.55647866241633892</v>
          </cell>
          <cell r="AA151">
            <v>2.4010369421117124E-2</v>
          </cell>
          <cell r="AB151" t="str">
            <v/>
          </cell>
          <cell r="AC151" t="e">
            <v>#N/A</v>
          </cell>
          <cell r="AD151">
            <v>64</v>
          </cell>
          <cell r="AE151" t="e">
            <v>#N/A</v>
          </cell>
          <cell r="AF151" t="str">
            <v/>
          </cell>
        </row>
        <row r="152">
          <cell r="Y152">
            <v>136</v>
          </cell>
          <cell r="Z152">
            <v>0.85838600061833858</v>
          </cell>
          <cell r="AA152">
            <v>0.18138634764380679</v>
          </cell>
          <cell r="AB152" t="str">
            <v/>
          </cell>
          <cell r="AC152" t="e">
            <v>#N/A</v>
          </cell>
          <cell r="AD152">
            <v>65</v>
          </cell>
          <cell r="AE152" t="e">
            <v>#N/A</v>
          </cell>
          <cell r="AF152" t="str">
            <v/>
          </cell>
        </row>
        <row r="153">
          <cell r="Y153">
            <v>137</v>
          </cell>
          <cell r="Z153">
            <v>0.16520139388740063</v>
          </cell>
          <cell r="AA153">
            <v>-0.1645182153033255</v>
          </cell>
          <cell r="AB153" t="str">
            <v/>
          </cell>
          <cell r="AC153" t="e">
            <v>#N/A</v>
          </cell>
          <cell r="AD153">
            <v>66</v>
          </cell>
          <cell r="AE153" t="e">
            <v>#N/A</v>
          </cell>
          <cell r="AF153" t="str">
            <v/>
          </cell>
        </row>
        <row r="154">
          <cell r="Y154">
            <v>138</v>
          </cell>
          <cell r="Z154">
            <v>8.6492126807570457E-2</v>
          </cell>
          <cell r="AA154">
            <v>-0.2303344936081142</v>
          </cell>
          <cell r="AB154" t="str">
            <v/>
          </cell>
          <cell r="AC154" t="e">
            <v>#N/A</v>
          </cell>
          <cell r="AD154">
            <v>67</v>
          </cell>
          <cell r="AE154" t="e">
            <v>#N/A</v>
          </cell>
          <cell r="AF154" t="str">
            <v/>
          </cell>
        </row>
        <row r="155">
          <cell r="Y155">
            <v>139</v>
          </cell>
          <cell r="Z155">
            <v>0.39247335307300091</v>
          </cell>
          <cell r="AA155">
            <v>-4.6124864808523493E-2</v>
          </cell>
          <cell r="AB155" t="str">
            <v/>
          </cell>
          <cell r="AC155" t="e">
            <v>#N/A</v>
          </cell>
          <cell r="AD155">
            <v>68</v>
          </cell>
          <cell r="AE155" t="e">
            <v>#N/A</v>
          </cell>
          <cell r="AF155" t="str">
            <v/>
          </cell>
        </row>
        <row r="156">
          <cell r="Y156">
            <v>140</v>
          </cell>
          <cell r="Z156">
            <v>0.63288359902799129</v>
          </cell>
          <cell r="AA156">
            <v>5.7386040129740107E-2</v>
          </cell>
          <cell r="AB156" t="str">
            <v/>
          </cell>
          <cell r="AC156" t="e">
            <v>#N/A</v>
          </cell>
          <cell r="AD156">
            <v>69</v>
          </cell>
          <cell r="AE156" t="e">
            <v>#N/A</v>
          </cell>
          <cell r="AF156" t="str">
            <v/>
          </cell>
        </row>
        <row r="157">
          <cell r="Y157">
            <v>141</v>
          </cell>
          <cell r="Z157">
            <v>0.21776670031249523</v>
          </cell>
          <cell r="AA157">
            <v>-0.13180313863997639</v>
          </cell>
          <cell r="AB157" t="str">
            <v/>
          </cell>
          <cell r="AC157" t="e">
            <v>#N/A</v>
          </cell>
          <cell r="AD157">
            <v>70</v>
          </cell>
          <cell r="AE157" t="e">
            <v>#N/A</v>
          </cell>
          <cell r="AF157" t="str">
            <v/>
          </cell>
        </row>
        <row r="158">
          <cell r="Y158">
            <v>142</v>
          </cell>
          <cell r="Z158">
            <v>0.83409205637872219</v>
          </cell>
          <cell r="AA158">
            <v>0.16403814324280669</v>
          </cell>
          <cell r="AB158" t="str">
            <v/>
          </cell>
          <cell r="AC158" t="e">
            <v>#N/A</v>
          </cell>
          <cell r="AD158">
            <v>71</v>
          </cell>
          <cell r="AE158" t="e">
            <v>#N/A</v>
          </cell>
          <cell r="AF158" t="str">
            <v/>
          </cell>
        </row>
        <row r="159">
          <cell r="Y159">
            <v>143</v>
          </cell>
          <cell r="Z159">
            <v>0.40698395483195782</v>
          </cell>
          <cell r="AA159">
            <v>-3.9774698424874605E-2</v>
          </cell>
          <cell r="AB159" t="str">
            <v/>
          </cell>
          <cell r="AC159" t="e">
            <v>#N/A</v>
          </cell>
          <cell r="AD159">
            <v>72</v>
          </cell>
          <cell r="AE159" t="e">
            <v>#N/A</v>
          </cell>
          <cell r="AF159" t="str">
            <v/>
          </cell>
        </row>
        <row r="160">
          <cell r="Y160">
            <v>144</v>
          </cell>
          <cell r="Z160">
            <v>0.83911099098622799</v>
          </cell>
          <cell r="AA160">
            <v>0.16747757764911464</v>
          </cell>
          <cell r="AB160" t="str">
            <v/>
          </cell>
          <cell r="AC160" t="e">
            <v>#N/A</v>
          </cell>
          <cell r="AD160">
            <v>73</v>
          </cell>
          <cell r="AE160" t="e">
            <v>#N/A</v>
          </cell>
          <cell r="AF160" t="str">
            <v/>
          </cell>
        </row>
        <row r="161">
          <cell r="Y161">
            <v>145</v>
          </cell>
          <cell r="Z161">
            <v>0.81830516271293163</v>
          </cell>
          <cell r="AA161">
            <v>0.15363637957391657</v>
          </cell>
          <cell r="AB161" t="str">
            <v/>
          </cell>
          <cell r="AC161" t="e">
            <v>#N/A</v>
          </cell>
          <cell r="AD161">
            <v>74</v>
          </cell>
          <cell r="AE161" t="e">
            <v>#N/A</v>
          </cell>
          <cell r="AF161" t="str">
            <v/>
          </cell>
        </row>
        <row r="162">
          <cell r="Y162">
            <v>146</v>
          </cell>
          <cell r="Z162">
            <v>0.26509643159806728</v>
          </cell>
          <cell r="AA162">
            <v>-0.10610263150026972</v>
          </cell>
          <cell r="AB162" t="str">
            <v/>
          </cell>
          <cell r="AC162" t="e">
            <v>#N/A</v>
          </cell>
          <cell r="AD162">
            <v>75</v>
          </cell>
          <cell r="AE162" t="e">
            <v>#N/A</v>
          </cell>
          <cell r="AF162" t="str">
            <v/>
          </cell>
        </row>
        <row r="163">
          <cell r="Y163">
            <v>147</v>
          </cell>
          <cell r="Z163">
            <v>0.7622342836111784</v>
          </cell>
          <cell r="AA163">
            <v>0.12060487307007314</v>
          </cell>
          <cell r="AB163" t="str">
            <v/>
          </cell>
          <cell r="AC163" t="e">
            <v>#N/A</v>
          </cell>
          <cell r="AD163">
            <v>76</v>
          </cell>
          <cell r="AE163" t="e">
            <v>#N/A</v>
          </cell>
          <cell r="AF163" t="str">
            <v/>
          </cell>
        </row>
        <row r="164">
          <cell r="Y164">
            <v>148</v>
          </cell>
          <cell r="Z164">
            <v>0.74515747092664242</v>
          </cell>
          <cell r="AA164">
            <v>0.11144680126419877</v>
          </cell>
          <cell r="AB164" t="str">
            <v/>
          </cell>
          <cell r="AC164" t="e">
            <v>#N/A</v>
          </cell>
          <cell r="AD164">
            <v>77</v>
          </cell>
          <cell r="AE164" t="e">
            <v>#N/A</v>
          </cell>
          <cell r="AF164" t="str">
            <v/>
          </cell>
        </row>
        <row r="165">
          <cell r="Y165">
            <v>149</v>
          </cell>
          <cell r="Z165">
            <v>0.39631354622542858</v>
          </cell>
          <cell r="AA165">
            <v>-4.4438334367212728E-2</v>
          </cell>
          <cell r="AB165" t="str">
            <v/>
          </cell>
          <cell r="AC165" t="e">
            <v>#N/A</v>
          </cell>
          <cell r="AD165">
            <v>78</v>
          </cell>
          <cell r="AE165" t="e">
            <v>#N/A</v>
          </cell>
          <cell r="AF165" t="str">
            <v/>
          </cell>
        </row>
        <row r="166">
          <cell r="Y166">
            <v>150</v>
          </cell>
          <cell r="Z166">
            <v>0.61433038674294949</v>
          </cell>
          <cell r="AA166">
            <v>4.9124350453204187E-2</v>
          </cell>
          <cell r="AB166" t="str">
            <v/>
          </cell>
          <cell r="AC166" t="e">
            <v>#N/A</v>
          </cell>
          <cell r="AD166">
            <v>79</v>
          </cell>
          <cell r="AE166" t="e">
            <v>#N/A</v>
          </cell>
          <cell r="AF166" t="str">
            <v/>
          </cell>
        </row>
        <row r="167">
          <cell r="Y167">
            <v>151</v>
          </cell>
          <cell r="Z167">
            <v>0.8537245225161314</v>
          </cell>
          <cell r="AA167">
            <v>0.17791206865042078</v>
          </cell>
          <cell r="AB167" t="str">
            <v/>
          </cell>
          <cell r="AC167" t="e">
            <v>#N/A</v>
          </cell>
          <cell r="AD167">
            <v>80</v>
          </cell>
          <cell r="AE167" t="e">
            <v>#N/A</v>
          </cell>
          <cell r="AF167" t="str">
            <v/>
          </cell>
        </row>
        <row r="168">
          <cell r="Y168">
            <v>152</v>
          </cell>
          <cell r="Z168">
            <v>0.32358010672032833</v>
          </cell>
          <cell r="AA168">
            <v>-7.7367249393194087E-2</v>
          </cell>
          <cell r="AB168" t="str">
            <v/>
          </cell>
          <cell r="AC168" t="e">
            <v>#N/A</v>
          </cell>
          <cell r="AD168">
            <v>81</v>
          </cell>
          <cell r="AE168" t="e">
            <v>#N/A</v>
          </cell>
          <cell r="AF168" t="str">
            <v/>
          </cell>
        </row>
        <row r="169">
          <cell r="Y169">
            <v>153</v>
          </cell>
          <cell r="Z169">
            <v>0.27374467067420483</v>
          </cell>
          <cell r="AA169">
            <v>-0.10167654265521515</v>
          </cell>
          <cell r="AB169" t="str">
            <v/>
          </cell>
          <cell r="AC169" t="e">
            <v>#N/A</v>
          </cell>
          <cell r="AD169">
            <v>82</v>
          </cell>
          <cell r="AE169" t="e">
            <v>#N/A</v>
          </cell>
          <cell r="AF169" t="str">
            <v/>
          </cell>
        </row>
        <row r="170">
          <cell r="Y170">
            <v>154</v>
          </cell>
          <cell r="Z170">
            <v>0.26542276702821255</v>
          </cell>
          <cell r="AA170">
            <v>-0.10593430781308198</v>
          </cell>
          <cell r="AB170" t="str">
            <v/>
          </cell>
          <cell r="AC170" t="e">
            <v>#N/A</v>
          </cell>
          <cell r="AD170">
            <v>83</v>
          </cell>
          <cell r="AE170" t="e">
            <v>#N/A</v>
          </cell>
          <cell r="AF170" t="str">
            <v/>
          </cell>
        </row>
        <row r="171">
          <cell r="Y171">
            <v>155</v>
          </cell>
          <cell r="Z171">
            <v>0.12077809683978558</v>
          </cell>
          <cell r="AA171">
            <v>-0.19795303478895418</v>
          </cell>
          <cell r="AB171" t="str">
            <v/>
          </cell>
          <cell r="AC171" t="e">
            <v>#N/A</v>
          </cell>
          <cell r="AD171">
            <v>84</v>
          </cell>
          <cell r="AE171" t="e">
            <v>#N/A</v>
          </cell>
          <cell r="AF171" t="str">
            <v/>
          </cell>
        </row>
        <row r="172">
          <cell r="Y172">
            <v>156</v>
          </cell>
          <cell r="Z172">
            <v>0.53851311467587948</v>
          </cell>
          <cell r="AA172">
            <v>1.6343339870323787E-2</v>
          </cell>
          <cell r="AB172" t="str">
            <v/>
          </cell>
          <cell r="AC172" t="e">
            <v>#N/A</v>
          </cell>
          <cell r="AD172">
            <v>85</v>
          </cell>
          <cell r="AE172" t="e">
            <v>#N/A</v>
          </cell>
          <cell r="AF172" t="str">
            <v/>
          </cell>
        </row>
        <row r="173">
          <cell r="Y173">
            <v>157</v>
          </cell>
          <cell r="Z173">
            <v>0.14742928557097912</v>
          </cell>
          <cell r="AA173">
            <v>-0.17706365230684498</v>
          </cell>
          <cell r="AB173" t="str">
            <v/>
          </cell>
          <cell r="AC173" t="e">
            <v>#N/A</v>
          </cell>
          <cell r="AD173">
            <v>86</v>
          </cell>
          <cell r="AE173" t="e">
            <v>#N/A</v>
          </cell>
          <cell r="AF173" t="str">
            <v/>
          </cell>
        </row>
        <row r="174">
          <cell r="Y174">
            <v>158</v>
          </cell>
          <cell r="Z174">
            <v>0.77229050360620022</v>
          </cell>
          <cell r="AA174">
            <v>0.12616653787846793</v>
          </cell>
          <cell r="AB174" t="str">
            <v/>
          </cell>
          <cell r="AC174" t="e">
            <v>#N/A</v>
          </cell>
          <cell r="AD174">
            <v>87</v>
          </cell>
          <cell r="AE174" t="e">
            <v>#N/A</v>
          </cell>
          <cell r="AF174" t="str">
            <v/>
          </cell>
        </row>
        <row r="175">
          <cell r="Y175">
            <v>159</v>
          </cell>
          <cell r="Z175">
            <v>7.5838549062609673E-2</v>
          </cell>
          <cell r="AA175">
            <v>-0.24232816035339338</v>
          </cell>
          <cell r="AB175" t="str">
            <v/>
          </cell>
          <cell r="AC175" t="e">
            <v>#N/A</v>
          </cell>
          <cell r="AD175">
            <v>88</v>
          </cell>
          <cell r="AE175" t="e">
            <v>#N/A</v>
          </cell>
          <cell r="AF175" t="str">
            <v/>
          </cell>
        </row>
        <row r="176">
          <cell r="Y176">
            <v>160</v>
          </cell>
          <cell r="Z176">
            <v>0.47652723453938961</v>
          </cell>
          <cell r="AA176">
            <v>-9.9510974693184893E-3</v>
          </cell>
          <cell r="AB176" t="str">
            <v/>
          </cell>
          <cell r="AC176" t="e">
            <v>#N/A</v>
          </cell>
          <cell r="AD176">
            <v>89</v>
          </cell>
          <cell r="AE176" t="e">
            <v>#N/A</v>
          </cell>
          <cell r="AF176" t="str">
            <v/>
          </cell>
        </row>
        <row r="177">
          <cell r="Y177">
            <v>161</v>
          </cell>
          <cell r="Z177">
            <v>0.54024794511497021</v>
          </cell>
          <cell r="AA177">
            <v>1.7081985461841226E-2</v>
          </cell>
          <cell r="AB177" t="str">
            <v/>
          </cell>
          <cell r="AC177" t="e">
            <v>#N/A</v>
          </cell>
          <cell r="AD177">
            <v>90</v>
          </cell>
          <cell r="AE177" t="e">
            <v>#N/A</v>
          </cell>
          <cell r="AF177" t="str">
            <v/>
          </cell>
        </row>
        <row r="178">
          <cell r="Y178">
            <v>162</v>
          </cell>
          <cell r="Z178">
            <v>0.47437298856675625</v>
          </cell>
          <cell r="AA178">
            <v>-1.0865579298917462E-2</v>
          </cell>
          <cell r="AB178" t="str">
            <v/>
          </cell>
          <cell r="AC178" t="e">
            <v>#N/A</v>
          </cell>
          <cell r="AD178">
            <v>91</v>
          </cell>
          <cell r="AE178" t="e">
            <v>#N/A</v>
          </cell>
          <cell r="AF178" t="str">
            <v/>
          </cell>
        </row>
        <row r="179">
          <cell r="Y179">
            <v>163</v>
          </cell>
          <cell r="Z179">
            <v>5.2516413852572441E-2</v>
          </cell>
          <cell r="AA179">
            <v>-0.27398703879813124</v>
          </cell>
          <cell r="AB179" t="str">
            <v/>
          </cell>
          <cell r="AC179" t="e">
            <v>#N/A</v>
          </cell>
          <cell r="AD179">
            <v>92</v>
          </cell>
          <cell r="AE179" t="e">
            <v>#N/A</v>
          </cell>
          <cell r="AF179" t="str">
            <v/>
          </cell>
        </row>
        <row r="180">
          <cell r="Y180">
            <v>164</v>
          </cell>
          <cell r="Z180">
            <v>0.82123910449445248</v>
          </cell>
          <cell r="AA180">
            <v>0.15552486974233903</v>
          </cell>
          <cell r="AB180" t="str">
            <v/>
          </cell>
          <cell r="AC180" t="e">
            <v>#N/A</v>
          </cell>
          <cell r="AD180">
            <v>93</v>
          </cell>
          <cell r="AE180" t="e">
            <v>#N/A</v>
          </cell>
          <cell r="AF180" t="str">
            <v/>
          </cell>
        </row>
        <row r="181">
          <cell r="Y181">
            <v>165</v>
          </cell>
          <cell r="Z181">
            <v>0.72105288319289684</v>
          </cell>
          <cell r="AA181">
            <v>9.9047370320688444E-2</v>
          </cell>
          <cell r="AB181" t="str">
            <v/>
          </cell>
          <cell r="AC181" t="e">
            <v>#N/A</v>
          </cell>
          <cell r="AD181">
            <v>94</v>
          </cell>
          <cell r="AE181" t="e">
            <v>#N/A</v>
          </cell>
          <cell r="AF181" t="str">
            <v/>
          </cell>
        </row>
        <row r="182">
          <cell r="Y182">
            <v>166</v>
          </cell>
          <cell r="Z182">
            <v>0.20561644993722439</v>
          </cell>
          <cell r="AA182">
            <v>-0.1388970326263394</v>
          </cell>
          <cell r="AB182" t="str">
            <v/>
          </cell>
          <cell r="AC182" t="e">
            <v>#N/A</v>
          </cell>
          <cell r="AD182">
            <v>95</v>
          </cell>
          <cell r="AE182" t="e">
            <v>#N/A</v>
          </cell>
          <cell r="AF182" t="str">
            <v/>
          </cell>
        </row>
        <row r="183">
          <cell r="Y183">
            <v>167</v>
          </cell>
          <cell r="Z183">
            <v>0.17238609306514263</v>
          </cell>
          <cell r="AA183">
            <v>-0.1596966424274216</v>
          </cell>
          <cell r="AB183" t="str">
            <v/>
          </cell>
          <cell r="AC183" t="e">
            <v>#N/A</v>
          </cell>
          <cell r="AD183">
            <v>96</v>
          </cell>
          <cell r="AE183" t="e">
            <v>#N/A</v>
          </cell>
          <cell r="AF183" t="str">
            <v/>
          </cell>
        </row>
        <row r="184">
          <cell r="Y184">
            <v>168</v>
          </cell>
          <cell r="Z184">
            <v>0.17167063616216183</v>
          </cell>
          <cell r="AA184">
            <v>-0.16017093064074078</v>
          </cell>
          <cell r="AB184" t="str">
            <v/>
          </cell>
          <cell r="AC184" t="e">
            <v>#N/A</v>
          </cell>
          <cell r="AD184">
            <v>97</v>
          </cell>
          <cell r="AE184" t="e">
            <v>#N/A</v>
          </cell>
          <cell r="AF184" t="str">
            <v/>
          </cell>
        </row>
        <row r="185">
          <cell r="Y185">
            <v>169</v>
          </cell>
          <cell r="Z185">
            <v>0.59333988837897778</v>
          </cell>
          <cell r="AA185">
            <v>3.9915775696038824E-2</v>
          </cell>
          <cell r="AB185" t="str">
            <v/>
          </cell>
          <cell r="AC185" t="e">
            <v>#N/A</v>
          </cell>
          <cell r="AD185">
            <v>98</v>
          </cell>
          <cell r="AE185" t="e">
            <v>#N/A</v>
          </cell>
          <cell r="AF185" t="str">
            <v/>
          </cell>
        </row>
        <row r="186">
          <cell r="Y186">
            <v>170</v>
          </cell>
          <cell r="Z186">
            <v>0.59720832668244839</v>
          </cell>
          <cell r="AA186">
            <v>4.1603182077217811E-2</v>
          </cell>
          <cell r="AB186" t="str">
            <v/>
          </cell>
          <cell r="AC186" t="e">
            <v>#N/A</v>
          </cell>
          <cell r="AD186">
            <v>99</v>
          </cell>
          <cell r="AE186" t="e">
            <v>#N/A</v>
          </cell>
          <cell r="AF186" t="str">
            <v/>
          </cell>
        </row>
        <row r="187">
          <cell r="Y187">
            <v>171</v>
          </cell>
          <cell r="Z187">
            <v>3.0532730743288994E-2</v>
          </cell>
          <cell r="AA187">
            <v>-0.31659836246967205</v>
          </cell>
          <cell r="AB187" t="str">
            <v/>
          </cell>
          <cell r="AC187" t="e">
            <v>#N/A</v>
          </cell>
          <cell r="AD187">
            <v>100</v>
          </cell>
          <cell r="AE187" t="e">
            <v>#N/A</v>
          </cell>
          <cell r="AF187" t="str">
            <v/>
          </cell>
        </row>
        <row r="188">
          <cell r="Y188">
            <v>172</v>
          </cell>
          <cell r="Z188">
            <v>0.70435838960111141</v>
          </cell>
          <cell r="AA188">
            <v>9.0765747918578929E-2</v>
          </cell>
          <cell r="AB188" t="str">
            <v/>
          </cell>
          <cell r="AC188" t="e">
            <v>#N/A</v>
          </cell>
          <cell r="AD188">
            <v>101</v>
          </cell>
          <cell r="AE188" t="e">
            <v>#N/A</v>
          </cell>
          <cell r="AF188" t="str">
            <v/>
          </cell>
        </row>
        <row r="189">
          <cell r="Y189">
            <v>173</v>
          </cell>
          <cell r="Z189">
            <v>5.2670178934931755E-2</v>
          </cell>
          <cell r="AA189">
            <v>-0.27374496669160053</v>
          </cell>
          <cell r="AB189" t="str">
            <v/>
          </cell>
          <cell r="AC189" t="e">
            <v>#N/A</v>
          </cell>
          <cell r="AD189">
            <v>102</v>
          </cell>
          <cell r="AE189" t="e">
            <v>#N/A</v>
          </cell>
          <cell r="AF189" t="str">
            <v/>
          </cell>
        </row>
        <row r="190">
          <cell r="Y190">
            <v>174</v>
          </cell>
          <cell r="Z190">
            <v>0.474061643704772</v>
          </cell>
          <cell r="AA190">
            <v>-1.0997771506743371E-2</v>
          </cell>
          <cell r="AB190" t="str">
            <v/>
          </cell>
          <cell r="AC190" t="e">
            <v>#N/A</v>
          </cell>
          <cell r="AD190">
            <v>103</v>
          </cell>
          <cell r="AE190" t="e">
            <v>#N/A</v>
          </cell>
          <cell r="AF190" t="str">
            <v/>
          </cell>
        </row>
        <row r="191">
          <cell r="Y191">
            <v>175</v>
          </cell>
          <cell r="Z191">
            <v>0.59984908811748028</v>
          </cell>
          <cell r="AA191">
            <v>4.2757453403424031E-2</v>
          </cell>
          <cell r="AB191" t="str">
            <v/>
          </cell>
          <cell r="AC191" t="e">
            <v>#N/A</v>
          </cell>
          <cell r="AD191">
            <v>104</v>
          </cell>
          <cell r="AE191" t="e">
            <v>#N/A</v>
          </cell>
          <cell r="AF191" t="str">
            <v/>
          </cell>
        </row>
        <row r="192">
          <cell r="Y192">
            <v>176</v>
          </cell>
          <cell r="Z192">
            <v>0.67921294830739498</v>
          </cell>
          <cell r="AA192">
            <v>7.868370376744882E-2</v>
          </cell>
          <cell r="AB192" t="str">
            <v/>
          </cell>
          <cell r="AC192" t="e">
            <v>#N/A</v>
          </cell>
          <cell r="AD192">
            <v>105</v>
          </cell>
          <cell r="AE192" t="e">
            <v>#N/A</v>
          </cell>
          <cell r="AF192" t="str">
            <v/>
          </cell>
        </row>
        <row r="193">
          <cell r="Y193">
            <v>177</v>
          </cell>
          <cell r="Z193">
            <v>0.31284227780997753</v>
          </cell>
          <cell r="AA193">
            <v>-8.2454908844185187E-2</v>
          </cell>
          <cell r="AB193" t="str">
            <v/>
          </cell>
          <cell r="AC193" t="e">
            <v>#N/A</v>
          </cell>
          <cell r="AD193">
            <v>106</v>
          </cell>
          <cell r="AE193" t="e">
            <v>#N/A</v>
          </cell>
          <cell r="AF193" t="str">
            <v/>
          </cell>
        </row>
        <row r="194">
          <cell r="Y194">
            <v>178</v>
          </cell>
          <cell r="Z194">
            <v>0.84504938684403896</v>
          </cell>
          <cell r="AA194">
            <v>0.17163888071945985</v>
          </cell>
          <cell r="AB194" t="str">
            <v/>
          </cell>
          <cell r="AC194" t="e">
            <v>#N/A</v>
          </cell>
          <cell r="AD194">
            <v>107</v>
          </cell>
          <cell r="AE194" t="e">
            <v>#N/A</v>
          </cell>
          <cell r="AF194" t="str">
            <v/>
          </cell>
        </row>
        <row r="195">
          <cell r="Y195">
            <v>179</v>
          </cell>
          <cell r="Z195">
            <v>0.85408241860568523</v>
          </cell>
          <cell r="AA195">
            <v>0.17817614863095418</v>
          </cell>
          <cell r="AB195" t="str">
            <v/>
          </cell>
          <cell r="AC195" t="e">
            <v>#N/A</v>
          </cell>
          <cell r="AD195">
            <v>108</v>
          </cell>
          <cell r="AE195" t="e">
            <v>#N/A</v>
          </cell>
          <cell r="AF195" t="str">
            <v/>
          </cell>
        </row>
        <row r="196">
          <cell r="Y196">
            <v>180</v>
          </cell>
          <cell r="Z196">
            <v>0.28912829421460629</v>
          </cell>
          <cell r="AA196">
            <v>-9.3969845230022234E-2</v>
          </cell>
          <cell r="AB196" t="str">
            <v/>
          </cell>
          <cell r="AC196" t="e">
            <v>#N/A</v>
          </cell>
          <cell r="AD196">
            <v>109</v>
          </cell>
          <cell r="AE196" t="e">
            <v>#N/A</v>
          </cell>
          <cell r="AF196" t="str">
            <v/>
          </cell>
        </row>
        <row r="197">
          <cell r="Y197">
            <v>181</v>
          </cell>
          <cell r="Z197">
            <v>0.70081388764083385</v>
          </cell>
          <cell r="AA197">
            <v>8.9035779989058747E-2</v>
          </cell>
          <cell r="AB197" t="str">
            <v/>
          </cell>
          <cell r="AC197" t="e">
            <v>#N/A</v>
          </cell>
          <cell r="AD197">
            <v>110</v>
          </cell>
          <cell r="AE197" t="e">
            <v>#N/A</v>
          </cell>
          <cell r="AF197" t="str">
            <v/>
          </cell>
        </row>
        <row r="198">
          <cell r="Y198">
            <v>182</v>
          </cell>
          <cell r="Z198">
            <v>0.98698887787759304</v>
          </cell>
          <cell r="AA198">
            <v>0.37624233021386155</v>
          </cell>
          <cell r="AB198" t="str">
            <v/>
          </cell>
          <cell r="AC198" t="e">
            <v>#N/A</v>
          </cell>
          <cell r="AD198">
            <v>111</v>
          </cell>
          <cell r="AE198" t="e">
            <v>#N/A</v>
          </cell>
          <cell r="AF198" t="str">
            <v/>
          </cell>
        </row>
        <row r="199">
          <cell r="Y199">
            <v>183</v>
          </cell>
          <cell r="Z199">
            <v>0.60963134281337261</v>
          </cell>
          <cell r="AA199">
            <v>4.7051143043466803E-2</v>
          </cell>
          <cell r="AB199" t="str">
            <v/>
          </cell>
          <cell r="AC199" t="e">
            <v>#N/A</v>
          </cell>
          <cell r="AD199">
            <v>112</v>
          </cell>
          <cell r="AE199" t="e">
            <v>#N/A</v>
          </cell>
          <cell r="AF199" t="str">
            <v/>
          </cell>
        </row>
        <row r="200">
          <cell r="Y200">
            <v>184</v>
          </cell>
          <cell r="Z200">
            <v>0.35334118269383907</v>
          </cell>
          <cell r="AA200">
            <v>-6.3608927386657452E-2</v>
          </cell>
          <cell r="AB200" t="str">
            <v/>
          </cell>
          <cell r="AC200" t="e">
            <v>#N/A</v>
          </cell>
          <cell r="AD200">
            <v>113</v>
          </cell>
          <cell r="AE200" t="e">
            <v>#N/A</v>
          </cell>
          <cell r="AF200" t="str">
            <v/>
          </cell>
        </row>
        <row r="201">
          <cell r="Y201">
            <v>185</v>
          </cell>
          <cell r="Z201">
            <v>0.42037376575171947</v>
          </cell>
          <cell r="AA201">
            <v>-3.3964617893442683E-2</v>
          </cell>
          <cell r="AB201" t="str">
            <v/>
          </cell>
          <cell r="AC201" t="e">
            <v>#N/A</v>
          </cell>
          <cell r="AD201">
            <v>114</v>
          </cell>
          <cell r="AE201" t="e">
            <v>#N/A</v>
          </cell>
          <cell r="AF201" t="str">
            <v/>
          </cell>
        </row>
        <row r="202">
          <cell r="Y202">
            <v>186</v>
          </cell>
          <cell r="Z202">
            <v>0.12237614952027798</v>
          </cell>
          <cell r="AA202">
            <v>-0.19661504712170264</v>
          </cell>
          <cell r="AB202" t="str">
            <v/>
          </cell>
          <cell r="AC202" t="e">
            <v>#N/A</v>
          </cell>
          <cell r="AD202">
            <v>115</v>
          </cell>
          <cell r="AE202" t="e">
            <v>#N/A</v>
          </cell>
          <cell r="AF202" t="str">
            <v/>
          </cell>
        </row>
        <row r="203">
          <cell r="Y203">
            <v>187</v>
          </cell>
          <cell r="Z203">
            <v>8.6092723533511162E-2</v>
          </cell>
          <cell r="AA203">
            <v>-0.2307634736873618</v>
          </cell>
          <cell r="AB203" t="str">
            <v/>
          </cell>
          <cell r="AC203" t="e">
            <v>#N/A</v>
          </cell>
          <cell r="AD203">
            <v>116</v>
          </cell>
          <cell r="AE203" t="e">
            <v>#N/A</v>
          </cell>
          <cell r="AF203" t="str">
            <v/>
          </cell>
        </row>
        <row r="204">
          <cell r="Y204">
            <v>188</v>
          </cell>
          <cell r="Z204">
            <v>0.3545405175536871</v>
          </cell>
          <cell r="AA204">
            <v>-6.3063816925982827E-2</v>
          </cell>
          <cell r="AB204" t="str">
            <v/>
          </cell>
          <cell r="AC204" t="e">
            <v>#N/A</v>
          </cell>
          <cell r="AD204">
            <v>117</v>
          </cell>
          <cell r="AE204" t="e">
            <v>#N/A</v>
          </cell>
          <cell r="AF204" t="str">
            <v/>
          </cell>
        </row>
        <row r="205">
          <cell r="Y205">
            <v>189</v>
          </cell>
          <cell r="Z205">
            <v>0.78456359915435314</v>
          </cell>
          <cell r="AA205">
            <v>0.13314542906858823</v>
          </cell>
          <cell r="AB205" t="str">
            <v/>
          </cell>
          <cell r="AC205" t="e">
            <v>#N/A</v>
          </cell>
          <cell r="AD205">
            <v>118</v>
          </cell>
          <cell r="AE205" t="e">
            <v>#N/A</v>
          </cell>
          <cell r="AF205" t="str">
            <v/>
          </cell>
        </row>
        <row r="206">
          <cell r="Y206">
            <v>190</v>
          </cell>
          <cell r="Z206">
            <v>0.19087032042443752</v>
          </cell>
          <cell r="AA206">
            <v>-0.14785020430328097</v>
          </cell>
          <cell r="AB206" t="str">
            <v/>
          </cell>
          <cell r="AC206" t="e">
            <v>#N/A</v>
          </cell>
          <cell r="AD206">
            <v>119</v>
          </cell>
          <cell r="AE206" t="e">
            <v>#N/A</v>
          </cell>
          <cell r="AF206" t="str">
            <v/>
          </cell>
        </row>
        <row r="207">
          <cell r="Y207">
            <v>191</v>
          </cell>
          <cell r="Z207">
            <v>0.68555854074656963</v>
          </cell>
          <cell r="AA207">
            <v>8.1692567774352617E-2</v>
          </cell>
          <cell r="AB207" t="str">
            <v/>
          </cell>
          <cell r="AC207" t="e">
            <v>#N/A</v>
          </cell>
          <cell r="AD207">
            <v>120</v>
          </cell>
          <cell r="AE207" t="e">
            <v>#N/A</v>
          </cell>
          <cell r="AF207" t="str">
            <v/>
          </cell>
        </row>
        <row r="208">
          <cell r="Y208">
            <v>192</v>
          </cell>
          <cell r="Z208">
            <v>0.3197267260402441</v>
          </cell>
          <cell r="AA208">
            <v>-7.9184716650185422E-2</v>
          </cell>
          <cell r="AB208" t="str">
            <v/>
          </cell>
          <cell r="AC208" t="e">
            <v>#N/A</v>
          </cell>
          <cell r="AD208">
            <v>121</v>
          </cell>
          <cell r="AE208" t="e">
            <v>#N/A</v>
          </cell>
          <cell r="AF208" t="str">
            <v/>
          </cell>
        </row>
        <row r="209">
          <cell r="Y209">
            <v>193</v>
          </cell>
          <cell r="Z209">
            <v>0.41684987954795361</v>
          </cell>
          <cell r="AA209">
            <v>-3.5489529789393841E-2</v>
          </cell>
          <cell r="AB209" t="str">
            <v/>
          </cell>
          <cell r="AC209" t="e">
            <v>#N/A</v>
          </cell>
          <cell r="AD209">
            <v>122</v>
          </cell>
          <cell r="AE209" t="e">
            <v>#N/A</v>
          </cell>
          <cell r="AF209" t="str">
            <v/>
          </cell>
        </row>
        <row r="210">
          <cell r="Y210">
            <v>194</v>
          </cell>
          <cell r="Z210">
            <v>0.21452797017991543</v>
          </cell>
          <cell r="AA210">
            <v>-0.13367097827649205</v>
          </cell>
          <cell r="AB210" t="str">
            <v/>
          </cell>
          <cell r="AC210" t="e">
            <v>#N/A</v>
          </cell>
          <cell r="AD210">
            <v>123</v>
          </cell>
          <cell r="AE210" t="e">
            <v>#N/A</v>
          </cell>
          <cell r="AF210" t="str">
            <v/>
          </cell>
        </row>
        <row r="211">
          <cell r="Y211">
            <v>195</v>
          </cell>
          <cell r="Z211">
            <v>0.49066276662051678</v>
          </cell>
          <cell r="AA211">
            <v>-3.9565237977939212E-3</v>
          </cell>
          <cell r="AB211" t="str">
            <v/>
          </cell>
          <cell r="AC211" t="e">
            <v>#N/A</v>
          </cell>
          <cell r="AD211">
            <v>124</v>
          </cell>
          <cell r="AE211" t="e">
            <v>#N/A</v>
          </cell>
          <cell r="AF211" t="str">
            <v/>
          </cell>
        </row>
        <row r="212">
          <cell r="Y212">
            <v>196</v>
          </cell>
          <cell r="Z212">
            <v>4.4821133837103844E-2</v>
          </cell>
          <cell r="AA212">
            <v>-0.28689399661418136</v>
          </cell>
          <cell r="AB212" t="str">
            <v/>
          </cell>
          <cell r="AC212" t="e">
            <v>#N/A</v>
          </cell>
          <cell r="AD212">
            <v>125</v>
          </cell>
          <cell r="AE212" t="e">
            <v>#N/A</v>
          </cell>
          <cell r="AF212" t="str">
            <v/>
          </cell>
        </row>
        <row r="213">
          <cell r="Y213">
            <v>197</v>
          </cell>
          <cell r="Z213">
            <v>0.92104577831923962</v>
          </cell>
          <cell r="AA213">
            <v>0.23869539788317534</v>
          </cell>
          <cell r="AB213" t="str">
            <v/>
          </cell>
          <cell r="AC213" t="e">
            <v>#N/A</v>
          </cell>
          <cell r="AD213">
            <v>126</v>
          </cell>
          <cell r="AE213" t="e">
            <v>#N/A</v>
          </cell>
          <cell r="AF213" t="str">
            <v/>
          </cell>
        </row>
        <row r="214">
          <cell r="Y214">
            <v>198</v>
          </cell>
          <cell r="Z214">
            <v>0.75678751431405544</v>
          </cell>
          <cell r="AA214">
            <v>0.11764651366646847</v>
          </cell>
          <cell r="AB214" t="str">
            <v/>
          </cell>
          <cell r="AC214" t="e">
            <v>#N/A</v>
          </cell>
          <cell r="AD214">
            <v>127</v>
          </cell>
          <cell r="AE214" t="e">
            <v>#N/A</v>
          </cell>
          <cell r="AF214" t="str">
            <v/>
          </cell>
        </row>
        <row r="215">
          <cell r="Y215">
            <v>199</v>
          </cell>
          <cell r="Z215">
            <v>0.98137824051082134</v>
          </cell>
          <cell r="AA215">
            <v>0.35210555116204029</v>
          </cell>
          <cell r="AB215" t="str">
            <v/>
          </cell>
          <cell r="AC215" t="e">
            <v>#N/A</v>
          </cell>
          <cell r="AD215">
            <v>128</v>
          </cell>
          <cell r="AE215" t="e">
            <v>#N/A</v>
          </cell>
          <cell r="AF215" t="str">
            <v/>
          </cell>
        </row>
        <row r="216">
          <cell r="Y216">
            <v>200</v>
          </cell>
          <cell r="Z216">
            <v>0.16302534006536007</v>
          </cell>
          <cell r="AA216">
            <v>-0.16600516623744849</v>
          </cell>
          <cell r="AB216" t="str">
            <v/>
          </cell>
          <cell r="AC216" t="e">
            <v>#N/A</v>
          </cell>
          <cell r="AD216">
            <v>129</v>
          </cell>
          <cell r="AE216" t="e">
            <v>#N/A</v>
          </cell>
          <cell r="AF216" t="str">
            <v/>
          </cell>
        </row>
        <row r="217">
          <cell r="Y217">
            <v>201</v>
          </cell>
          <cell r="Z217">
            <v>0.51998302154242992</v>
          </cell>
          <cell r="AA217">
            <v>8.4703001153328614E-3</v>
          </cell>
          <cell r="AB217" t="str">
            <v/>
          </cell>
          <cell r="AC217" t="e">
            <v>#N/A</v>
          </cell>
          <cell r="AD217">
            <v>130</v>
          </cell>
          <cell r="AE217" t="e">
            <v>#N/A</v>
          </cell>
          <cell r="AF217" t="str">
            <v/>
          </cell>
        </row>
        <row r="218">
          <cell r="Y218">
            <v>202</v>
          </cell>
          <cell r="Z218">
            <v>0.97520357929170132</v>
          </cell>
          <cell r="AA218">
            <v>0.33188517850583454</v>
          </cell>
          <cell r="AB218" t="str">
            <v/>
          </cell>
          <cell r="AC218" t="e">
            <v>#N/A</v>
          </cell>
          <cell r="AD218">
            <v>131</v>
          </cell>
          <cell r="AE218" t="e">
            <v>#N/A</v>
          </cell>
          <cell r="AF218" t="str">
            <v/>
          </cell>
        </row>
        <row r="219">
          <cell r="Y219">
            <v>203</v>
          </cell>
          <cell r="Z219">
            <v>0.47056354396045208</v>
          </cell>
          <cell r="AA219">
            <v>-1.2483492006269841E-2</v>
          </cell>
          <cell r="AB219" t="str">
            <v/>
          </cell>
          <cell r="AC219" t="e">
            <v>#N/A</v>
          </cell>
          <cell r="AD219">
            <v>132</v>
          </cell>
          <cell r="AE219" t="e">
            <v>#N/A</v>
          </cell>
          <cell r="AF219" t="str">
            <v/>
          </cell>
        </row>
        <row r="220">
          <cell r="Y220">
            <v>204</v>
          </cell>
          <cell r="Z220">
            <v>0.55693059228360653</v>
          </cell>
          <cell r="AA220">
            <v>2.4203808324562478E-2</v>
          </cell>
          <cell r="AB220" t="str">
            <v/>
          </cell>
          <cell r="AC220" t="e">
            <v>#N/A</v>
          </cell>
          <cell r="AD220">
            <v>133</v>
          </cell>
          <cell r="AE220" t="e">
            <v>#N/A</v>
          </cell>
          <cell r="AF220" t="str">
            <v/>
          </cell>
        </row>
        <row r="221">
          <cell r="Y221">
            <v>205</v>
          </cell>
          <cell r="Z221">
            <v>0.16293376497924328</v>
          </cell>
          <cell r="AA221">
            <v>-0.16606802349429536</v>
          </cell>
          <cell r="AB221" t="str">
            <v/>
          </cell>
          <cell r="AC221" t="e">
            <v>#N/A</v>
          </cell>
          <cell r="AD221">
            <v>134</v>
          </cell>
          <cell r="AE221" t="e">
            <v>#N/A</v>
          </cell>
          <cell r="AF221" t="str">
            <v/>
          </cell>
        </row>
        <row r="222">
          <cell r="Y222">
            <v>206</v>
          </cell>
          <cell r="Z222">
            <v>0.7679313775151968</v>
          </cell>
          <cell r="AA222">
            <v>0.12373925745136645</v>
          </cell>
          <cell r="AB222" t="str">
            <v/>
          </cell>
          <cell r="AC222" t="e">
            <v>#N/A</v>
          </cell>
          <cell r="AD222">
            <v>135</v>
          </cell>
          <cell r="AE222" t="e">
            <v>#N/A</v>
          </cell>
          <cell r="AF222" t="str">
            <v/>
          </cell>
        </row>
        <row r="223">
          <cell r="Y223">
            <v>207</v>
          </cell>
          <cell r="Z223">
            <v>0.75825987569987774</v>
          </cell>
          <cell r="AA223">
            <v>0.11844262724522145</v>
          </cell>
          <cell r="AB223" t="str">
            <v/>
          </cell>
          <cell r="AC223" t="e">
            <v>#N/A</v>
          </cell>
          <cell r="AD223">
            <v>136</v>
          </cell>
          <cell r="AE223" t="e">
            <v>#N/A</v>
          </cell>
          <cell r="AF223" t="str">
            <v/>
          </cell>
        </row>
        <row r="224">
          <cell r="Y224">
            <v>208</v>
          </cell>
          <cell r="Z224">
            <v>0.61437716148793697</v>
          </cell>
          <cell r="AA224">
            <v>4.9145024036776515E-2</v>
          </cell>
          <cell r="AB224" t="str">
            <v/>
          </cell>
          <cell r="AC224" t="e">
            <v>#N/A</v>
          </cell>
          <cell r="AD224">
            <v>137</v>
          </cell>
          <cell r="AE224" t="e">
            <v>#N/A</v>
          </cell>
          <cell r="AF224" t="str">
            <v/>
          </cell>
        </row>
        <row r="225">
          <cell r="Y225">
            <v>209</v>
          </cell>
          <cell r="Z225">
            <v>0.60178246907889843</v>
          </cell>
          <cell r="AA225">
            <v>4.3603793200760195E-2</v>
          </cell>
          <cell r="AB225" t="str">
            <v/>
          </cell>
          <cell r="AC225" t="e">
            <v>#N/A</v>
          </cell>
          <cell r="AD225">
            <v>138</v>
          </cell>
          <cell r="AE225" t="e">
            <v>#N/A</v>
          </cell>
          <cell r="AF225" t="str">
            <v/>
          </cell>
        </row>
        <row r="226">
          <cell r="Y226">
            <v>210</v>
          </cell>
          <cell r="Z226">
            <v>0.51396108232438564</v>
          </cell>
          <cell r="AA226">
            <v>5.9164837131772743E-3</v>
          </cell>
          <cell r="AB226" t="str">
            <v/>
          </cell>
          <cell r="AC226" t="e">
            <v>#N/A</v>
          </cell>
          <cell r="AD226">
            <v>139</v>
          </cell>
          <cell r="AE226" t="e">
            <v>#N/A</v>
          </cell>
          <cell r="AF226" t="str">
            <v/>
          </cell>
        </row>
        <row r="227">
          <cell r="Y227">
            <v>211</v>
          </cell>
          <cell r="Z227">
            <v>0.50473792664706707</v>
          </cell>
          <cell r="AA227">
            <v>2.0074949164634423E-3</v>
          </cell>
          <cell r="AB227" t="str">
            <v/>
          </cell>
          <cell r="AC227" t="e">
            <v>#N/A</v>
          </cell>
          <cell r="AD227">
            <v>140</v>
          </cell>
          <cell r="AE227" t="e">
            <v>#N/A</v>
          </cell>
          <cell r="AF227" t="str">
            <v/>
          </cell>
        </row>
        <row r="228">
          <cell r="Y228">
            <v>212</v>
          </cell>
          <cell r="Z228">
            <v>0.82806371711194515</v>
          </cell>
          <cell r="AA228">
            <v>0.15999468201041162</v>
          </cell>
          <cell r="AB228" t="str">
            <v/>
          </cell>
          <cell r="AC228" t="e">
            <v>#N/A</v>
          </cell>
          <cell r="AD228">
            <v>141</v>
          </cell>
          <cell r="AE228" t="e">
            <v>#N/A</v>
          </cell>
          <cell r="AF228" t="str">
            <v/>
          </cell>
        </row>
        <row r="229">
          <cell r="Y229">
            <v>213</v>
          </cell>
          <cell r="Z229">
            <v>0.93594777397811413</v>
          </cell>
          <cell r="AA229">
            <v>0.25720063659493886</v>
          </cell>
          <cell r="AB229" t="str">
            <v/>
          </cell>
          <cell r="AC229" t="e">
            <v>#N/A</v>
          </cell>
          <cell r="AD229">
            <v>142</v>
          </cell>
          <cell r="AE229" t="e">
            <v>#N/A</v>
          </cell>
          <cell r="AF229" t="str">
            <v/>
          </cell>
        </row>
        <row r="230">
          <cell r="Y230">
            <v>214</v>
          </cell>
          <cell r="Z230">
            <v>0.9071022029966116</v>
          </cell>
          <cell r="AA230">
            <v>0.22364803881744991</v>
          </cell>
          <cell r="AB230" t="str">
            <v/>
          </cell>
          <cell r="AC230" t="e">
            <v>#N/A</v>
          </cell>
          <cell r="AD230">
            <v>143</v>
          </cell>
          <cell r="AE230" t="e">
            <v>#N/A</v>
          </cell>
          <cell r="AF230" t="str">
            <v/>
          </cell>
        </row>
        <row r="231">
          <cell r="Y231">
            <v>215</v>
          </cell>
          <cell r="Z231">
            <v>0.82229475490748882</v>
          </cell>
          <cell r="AA231">
            <v>0.15620912503383866</v>
          </cell>
          <cell r="AB231" t="str">
            <v/>
          </cell>
          <cell r="AC231" t="e">
            <v>#N/A</v>
          </cell>
          <cell r="AD231">
            <v>144</v>
          </cell>
          <cell r="AE231" t="e">
            <v>#N/A</v>
          </cell>
          <cell r="AF231" t="str">
            <v/>
          </cell>
        </row>
        <row r="232">
          <cell r="Y232">
            <v>216</v>
          </cell>
          <cell r="Z232">
            <v>0.23890670202672482</v>
          </cell>
          <cell r="AA232">
            <v>-0.11998212208163064</v>
          </cell>
          <cell r="AB232" t="str">
            <v/>
          </cell>
          <cell r="AC232" t="e">
            <v>#N/A</v>
          </cell>
          <cell r="AD232">
            <v>145</v>
          </cell>
          <cell r="AE232" t="e">
            <v>#N/A</v>
          </cell>
          <cell r="AF232" t="str">
            <v/>
          </cell>
        </row>
        <row r="233">
          <cell r="Y233">
            <v>217</v>
          </cell>
          <cell r="Z233">
            <v>0.12605437450110912</v>
          </cell>
          <cell r="AA233">
            <v>-0.19358130146757169</v>
          </cell>
          <cell r="AB233" t="str">
            <v/>
          </cell>
          <cell r="AC233" t="e">
            <v>#N/A</v>
          </cell>
          <cell r="AD233">
            <v>146</v>
          </cell>
          <cell r="AE233" t="e">
            <v>#N/A</v>
          </cell>
          <cell r="AF233" t="str">
            <v/>
          </cell>
        </row>
        <row r="234">
          <cell r="Y234">
            <v>218</v>
          </cell>
          <cell r="Z234">
            <v>0.38371795974671841</v>
          </cell>
          <cell r="AA234">
            <v>-4.9987574375181962E-2</v>
          </cell>
          <cell r="AB234" t="str">
            <v/>
          </cell>
          <cell r="AC234" t="e">
            <v>#N/A</v>
          </cell>
          <cell r="AD234">
            <v>147</v>
          </cell>
          <cell r="AE234" t="e">
            <v>#N/A</v>
          </cell>
          <cell r="AF234" t="str">
            <v/>
          </cell>
        </row>
        <row r="235">
          <cell r="Y235">
            <v>219</v>
          </cell>
          <cell r="Z235">
            <v>0.58580066077411175</v>
          </cell>
          <cell r="AA235">
            <v>3.6638413207321613E-2</v>
          </cell>
          <cell r="AB235" t="str">
            <v/>
          </cell>
          <cell r="AC235" t="e">
            <v>#N/A</v>
          </cell>
          <cell r="AD235">
            <v>148</v>
          </cell>
          <cell r="AE235" t="e">
            <v>#N/A</v>
          </cell>
          <cell r="AF235" t="str">
            <v/>
          </cell>
        </row>
        <row r="236">
          <cell r="Y236">
            <v>220</v>
          </cell>
          <cell r="Z236">
            <v>0.22314970754086971</v>
          </cell>
          <cell r="AA236">
            <v>-0.12873371481019355</v>
          </cell>
          <cell r="AB236" t="str">
            <v/>
          </cell>
          <cell r="AC236" t="e">
            <v>#N/A</v>
          </cell>
          <cell r="AD236">
            <v>149</v>
          </cell>
          <cell r="AE236" t="e">
            <v>#N/A</v>
          </cell>
          <cell r="AF236" t="str">
            <v/>
          </cell>
        </row>
        <row r="237">
          <cell r="Y237">
            <v>221</v>
          </cell>
          <cell r="Z237">
            <v>0.97635489515960217</v>
          </cell>
          <cell r="AA237">
            <v>0.33530511080722808</v>
          </cell>
          <cell r="AB237" t="str">
            <v/>
          </cell>
          <cell r="AC237" t="e">
            <v>#N/A</v>
          </cell>
          <cell r="AD237">
            <v>150</v>
          </cell>
          <cell r="AE237" t="e">
            <v>#N/A</v>
          </cell>
          <cell r="AF237" t="str">
            <v/>
          </cell>
        </row>
        <row r="238">
          <cell r="Y238">
            <v>222</v>
          </cell>
          <cell r="Z238">
            <v>0.64420965872704983</v>
          </cell>
          <cell r="AA238">
            <v>6.2496455662757529E-2</v>
          </cell>
          <cell r="AB238" t="str">
            <v/>
          </cell>
          <cell r="AC238" t="e">
            <v>#N/A</v>
          </cell>
          <cell r="AD238">
            <v>151</v>
          </cell>
          <cell r="AE238" t="e">
            <v>#N/A</v>
          </cell>
          <cell r="AF238" t="str">
            <v/>
          </cell>
        </row>
        <row r="239">
          <cell r="Y239">
            <v>223</v>
          </cell>
          <cell r="Z239">
            <v>0.96199606172740459</v>
          </cell>
          <cell r="AA239">
            <v>0.29991723011848281</v>
          </cell>
          <cell r="AB239" t="str">
            <v/>
          </cell>
          <cell r="AC239" t="e">
            <v>#N/A</v>
          </cell>
          <cell r="AD239">
            <v>152</v>
          </cell>
          <cell r="AE239" t="e">
            <v>#N/A</v>
          </cell>
          <cell r="AF239" t="str">
            <v/>
          </cell>
        </row>
        <row r="240">
          <cell r="Y240">
            <v>224</v>
          </cell>
          <cell r="Z240">
            <v>0.12322284840047359</v>
          </cell>
          <cell r="AA240">
            <v>-0.19591110560210656</v>
          </cell>
          <cell r="AB240" t="str">
            <v/>
          </cell>
          <cell r="AC240" t="e">
            <v>#N/A</v>
          </cell>
          <cell r="AD240">
            <v>153</v>
          </cell>
          <cell r="AE240" t="e">
            <v>#N/A</v>
          </cell>
          <cell r="AF240" t="str">
            <v/>
          </cell>
        </row>
        <row r="241">
          <cell r="Y241">
            <v>225</v>
          </cell>
          <cell r="Z241">
            <v>8.5901765152812004E-2</v>
          </cell>
          <cell r="AA241">
            <v>-0.23096909921553629</v>
          </cell>
          <cell r="AB241" t="str">
            <v/>
          </cell>
          <cell r="AC241" t="e">
            <v>#N/A</v>
          </cell>
          <cell r="AD241">
            <v>154</v>
          </cell>
          <cell r="AE241" t="e">
            <v>#N/A</v>
          </cell>
          <cell r="AF241" t="str">
            <v/>
          </cell>
        </row>
        <row r="242">
          <cell r="Y242">
            <v>226</v>
          </cell>
          <cell r="Z242">
            <v>0.76825106702744961</v>
          </cell>
          <cell r="AA242">
            <v>0.12391639881299249</v>
          </cell>
          <cell r="AB242" t="str">
            <v/>
          </cell>
          <cell r="AC242" t="e">
            <v>#N/A</v>
          </cell>
          <cell r="AD242">
            <v>155</v>
          </cell>
          <cell r="AE242" t="e">
            <v>#N/A</v>
          </cell>
          <cell r="AF242" t="str">
            <v/>
          </cell>
        </row>
        <row r="243">
          <cell r="Y243">
            <v>227</v>
          </cell>
          <cell r="Z243">
            <v>0.65753836743533611</v>
          </cell>
          <cell r="AA243">
            <v>6.8584965892536112E-2</v>
          </cell>
          <cell r="AB243" t="str">
            <v/>
          </cell>
          <cell r="AC243" t="e">
            <v>#N/A</v>
          </cell>
          <cell r="AD243">
            <v>156</v>
          </cell>
          <cell r="AE243" t="e">
            <v>#N/A</v>
          </cell>
          <cell r="AF243" t="str">
            <v/>
          </cell>
        </row>
        <row r="244">
          <cell r="Y244">
            <v>228</v>
          </cell>
          <cell r="Z244">
            <v>0.22235213778913021</v>
          </cell>
          <cell r="AA244">
            <v>-0.12918579960120885</v>
          </cell>
          <cell r="AB244" t="str">
            <v/>
          </cell>
          <cell r="AC244" t="e">
            <v>#N/A</v>
          </cell>
          <cell r="AD244">
            <v>157</v>
          </cell>
          <cell r="AE244" t="e">
            <v>#N/A</v>
          </cell>
          <cell r="AF244" t="str">
            <v/>
          </cell>
        </row>
        <row r="245">
          <cell r="Y245">
            <v>229</v>
          </cell>
          <cell r="Z245">
            <v>0.26846909336745739</v>
          </cell>
          <cell r="AA245">
            <v>-0.10436803852400081</v>
          </cell>
          <cell r="AB245" t="str">
            <v/>
          </cell>
          <cell r="AC245" t="e">
            <v>#N/A</v>
          </cell>
          <cell r="AD245">
            <v>158</v>
          </cell>
          <cell r="AE245" t="e">
            <v>#N/A</v>
          </cell>
          <cell r="AF245" t="str">
            <v/>
          </cell>
        </row>
        <row r="246">
          <cell r="Y246">
            <v>230</v>
          </cell>
          <cell r="Z246">
            <v>0.4237727876752615</v>
          </cell>
          <cell r="AA246">
            <v>-3.2496355161169103E-2</v>
          </cell>
          <cell r="AB246" t="str">
            <v/>
          </cell>
          <cell r="AC246" t="e">
            <v>#N/A</v>
          </cell>
          <cell r="AD246">
            <v>159</v>
          </cell>
          <cell r="AE246" t="e">
            <v>#N/A</v>
          </cell>
          <cell r="AF246" t="str">
            <v/>
          </cell>
        </row>
        <row r="247">
          <cell r="Y247">
            <v>231</v>
          </cell>
          <cell r="Z247">
            <v>0.38579885475337505</v>
          </cell>
          <cell r="AA247">
            <v>-4.9067231889754891E-2</v>
          </cell>
          <cell r="AB247" t="str">
            <v/>
          </cell>
          <cell r="AC247" t="e">
            <v>#N/A</v>
          </cell>
          <cell r="AD247">
            <v>160</v>
          </cell>
          <cell r="AE247" t="e">
            <v>#N/A</v>
          </cell>
          <cell r="AF247" t="str">
            <v/>
          </cell>
        </row>
        <row r="248">
          <cell r="Y248">
            <v>232</v>
          </cell>
          <cell r="Z248">
            <v>0.56291886232793331</v>
          </cell>
          <cell r="AA248">
            <v>2.67700544138804E-2</v>
          </cell>
          <cell r="AB248" t="str">
            <v/>
          </cell>
          <cell r="AC248" t="e">
            <v>#N/A</v>
          </cell>
          <cell r="AD248">
            <v>161</v>
          </cell>
          <cell r="AE248" t="e">
            <v>#N/A</v>
          </cell>
          <cell r="AF248" t="str">
            <v/>
          </cell>
        </row>
        <row r="249">
          <cell r="Y249">
            <v>233</v>
          </cell>
          <cell r="Z249">
            <v>0.94122454337775707</v>
          </cell>
          <cell r="AA249">
            <v>0.26455634980349424</v>
          </cell>
          <cell r="AB249" t="str">
            <v/>
          </cell>
          <cell r="AC249" t="e">
            <v>#N/A</v>
          </cell>
          <cell r="AD249">
            <v>162</v>
          </cell>
          <cell r="AE249" t="e">
            <v>#N/A</v>
          </cell>
          <cell r="AF249" t="str">
            <v/>
          </cell>
        </row>
        <row r="250">
          <cell r="Y250">
            <v>234</v>
          </cell>
          <cell r="Z250">
            <v>0.66969663463532925</v>
          </cell>
          <cell r="AA250">
            <v>7.421732874633305E-2</v>
          </cell>
          <cell r="AB250" t="str">
            <v/>
          </cell>
          <cell r="AC250" t="e">
            <v>#N/A</v>
          </cell>
          <cell r="AD250">
            <v>163</v>
          </cell>
          <cell r="AE250" t="e">
            <v>#N/A</v>
          </cell>
          <cell r="AF250" t="str">
            <v/>
          </cell>
        </row>
        <row r="251">
          <cell r="Y251">
            <v>235</v>
          </cell>
          <cell r="Z251">
            <v>5.2409542724490166E-2</v>
          </cell>
          <cell r="AA251">
            <v>-0.27415561742321953</v>
          </cell>
          <cell r="AB251" t="str">
            <v/>
          </cell>
          <cell r="AC251" t="e">
            <v>#N/A</v>
          </cell>
          <cell r="AD251">
            <v>164</v>
          </cell>
          <cell r="AE251" t="e">
            <v>#N/A</v>
          </cell>
          <cell r="AF251" t="str">
            <v/>
          </cell>
        </row>
        <row r="252">
          <cell r="Y252">
            <v>236</v>
          </cell>
          <cell r="Z252">
            <v>0.10856895707547665</v>
          </cell>
          <cell r="AA252">
            <v>-0.20861355377312454</v>
          </cell>
          <cell r="AB252" t="str">
            <v/>
          </cell>
          <cell r="AC252" t="e">
            <v>#N/A</v>
          </cell>
          <cell r="AD252">
            <v>165</v>
          </cell>
          <cell r="AE252" t="e">
            <v>#N/A</v>
          </cell>
          <cell r="AF252" t="str">
            <v/>
          </cell>
        </row>
        <row r="253">
          <cell r="Y253">
            <v>237</v>
          </cell>
          <cell r="Z253">
            <v>0.9821512084454298</v>
          </cell>
          <cell r="AA253">
            <v>0.3550248723589719</v>
          </cell>
          <cell r="AB253" t="str">
            <v/>
          </cell>
          <cell r="AC253" t="e">
            <v>#N/A</v>
          </cell>
          <cell r="AD253">
            <v>166</v>
          </cell>
          <cell r="AE253" t="e">
            <v>#N/A</v>
          </cell>
          <cell r="AF253" t="str">
            <v/>
          </cell>
        </row>
        <row r="254">
          <cell r="Y254">
            <v>238</v>
          </cell>
          <cell r="Z254">
            <v>0.8524200078099966</v>
          </cell>
          <cell r="AA254">
            <v>0.17695316406383327</v>
          </cell>
          <cell r="AB254" t="str">
            <v/>
          </cell>
          <cell r="AC254" t="e">
            <v>#N/A</v>
          </cell>
          <cell r="AD254">
            <v>167</v>
          </cell>
          <cell r="AE254" t="e">
            <v>#N/A</v>
          </cell>
          <cell r="AF254" t="str">
            <v/>
          </cell>
        </row>
        <row r="255">
          <cell r="Y255">
            <v>239</v>
          </cell>
          <cell r="Z255">
            <v>0.1595600675791502</v>
          </cell>
          <cell r="AA255">
            <v>-0.16839996249754377</v>
          </cell>
          <cell r="AB255" t="str">
            <v/>
          </cell>
          <cell r="AC255" t="e">
            <v>#N/A</v>
          </cell>
          <cell r="AD255">
            <v>168</v>
          </cell>
          <cell r="AE255" t="e">
            <v>#N/A</v>
          </cell>
          <cell r="AF255" t="str">
            <v/>
          </cell>
        </row>
        <row r="256">
          <cell r="Y256">
            <v>240</v>
          </cell>
          <cell r="Z256">
            <v>0.75007238052785397</v>
          </cell>
          <cell r="AA256">
            <v>0.11404807984151451</v>
          </cell>
          <cell r="AB256" t="str">
            <v/>
          </cell>
          <cell r="AC256" t="e">
            <v>#N/A</v>
          </cell>
          <cell r="AD256">
            <v>169</v>
          </cell>
          <cell r="AE256" t="e">
            <v>#N/A</v>
          </cell>
          <cell r="AF256" t="str">
            <v/>
          </cell>
        </row>
        <row r="257">
          <cell r="Y257">
            <v>241</v>
          </cell>
          <cell r="Z257">
            <v>0.55621948651969433</v>
          </cell>
          <cell r="AA257">
            <v>2.3899448930029217E-2</v>
          </cell>
          <cell r="AB257" t="str">
            <v/>
          </cell>
          <cell r="AC257" t="e">
            <v>#N/A</v>
          </cell>
          <cell r="AD257">
            <v>170</v>
          </cell>
          <cell r="AE257" t="e">
            <v>#N/A</v>
          </cell>
          <cell r="AF257" t="str">
            <v/>
          </cell>
        </row>
        <row r="258">
          <cell r="Y258">
            <v>242</v>
          </cell>
          <cell r="Z258">
            <v>9.6050268039107323E-2</v>
          </cell>
          <cell r="AA258">
            <v>-0.22048220470483898</v>
          </cell>
          <cell r="AB258" t="str">
            <v/>
          </cell>
          <cell r="AC258" t="e">
            <v>#N/A</v>
          </cell>
          <cell r="AD258">
            <v>171</v>
          </cell>
          <cell r="AE258" t="e">
            <v>#N/A</v>
          </cell>
          <cell r="AF258" t="str">
            <v/>
          </cell>
        </row>
        <row r="259">
          <cell r="Y259">
            <v>243</v>
          </cell>
          <cell r="Z259">
            <v>0.92904455773532391</v>
          </cell>
          <cell r="AA259">
            <v>0.24825766203398572</v>
          </cell>
          <cell r="AB259" t="str">
            <v/>
          </cell>
          <cell r="AC259" t="e">
            <v>#N/A</v>
          </cell>
          <cell r="AD259">
            <v>172</v>
          </cell>
          <cell r="AE259" t="e">
            <v>#N/A</v>
          </cell>
          <cell r="AF259" t="str">
            <v/>
          </cell>
        </row>
        <row r="260">
          <cell r="Y260">
            <v>244</v>
          </cell>
          <cell r="Z260">
            <v>0.65493248961865902</v>
          </cell>
          <cell r="AA260">
            <v>6.7387840126302376E-2</v>
          </cell>
          <cell r="AB260" t="str">
            <v/>
          </cell>
          <cell r="AC260" t="e">
            <v>#N/A</v>
          </cell>
          <cell r="AD260">
            <v>173</v>
          </cell>
          <cell r="AE260" t="e">
            <v>#N/A</v>
          </cell>
          <cell r="AF260" t="str">
            <v/>
          </cell>
        </row>
        <row r="261">
          <cell r="Y261">
            <v>245</v>
          </cell>
          <cell r="Z261">
            <v>0.4103089552372694</v>
          </cell>
          <cell r="AA261">
            <v>-3.8327796470792791E-2</v>
          </cell>
          <cell r="AB261" t="str">
            <v/>
          </cell>
          <cell r="AC261" t="e">
            <v>#N/A</v>
          </cell>
          <cell r="AD261">
            <v>174</v>
          </cell>
          <cell r="AE261" t="e">
            <v>#N/A</v>
          </cell>
          <cell r="AF261" t="str">
            <v/>
          </cell>
        </row>
        <row r="262">
          <cell r="Y262">
            <v>246</v>
          </cell>
          <cell r="Z262">
            <v>0.88638911210000515</v>
          </cell>
          <cell r="AA262">
            <v>0.20411260049371757</v>
          </cell>
          <cell r="AB262" t="str">
            <v/>
          </cell>
          <cell r="AC262" t="e">
            <v>#N/A</v>
          </cell>
          <cell r="AD262">
            <v>175</v>
          </cell>
          <cell r="AE262" t="e">
            <v>#N/A</v>
          </cell>
          <cell r="AF262" t="str">
            <v/>
          </cell>
        </row>
        <row r="263">
          <cell r="Y263">
            <v>247</v>
          </cell>
          <cell r="Z263">
            <v>0.64405850879848003</v>
          </cell>
          <cell r="AA263">
            <v>6.2427888522942801E-2</v>
          </cell>
          <cell r="AB263" t="str">
            <v/>
          </cell>
          <cell r="AC263" t="e">
            <v>#N/A</v>
          </cell>
          <cell r="AD263">
            <v>176</v>
          </cell>
          <cell r="AE263" t="e">
            <v>#N/A</v>
          </cell>
          <cell r="AF263" t="str">
            <v/>
          </cell>
        </row>
        <row r="264">
          <cell r="Y264">
            <v>248</v>
          </cell>
          <cell r="Z264">
            <v>0.46074541471898556</v>
          </cell>
          <cell r="AA264">
            <v>-1.6658999722075261E-2</v>
          </cell>
          <cell r="AB264" t="str">
            <v/>
          </cell>
          <cell r="AC264" t="e">
            <v>#N/A</v>
          </cell>
          <cell r="AD264">
            <v>177</v>
          </cell>
          <cell r="AE264" t="e">
            <v>#N/A</v>
          </cell>
          <cell r="AF264" t="str">
            <v/>
          </cell>
        </row>
        <row r="265">
          <cell r="Y265">
            <v>249</v>
          </cell>
          <cell r="Z265">
            <v>0.13688024692237377</v>
          </cell>
          <cell r="AA265">
            <v>-0.1849947240617868</v>
          </cell>
          <cell r="AB265" t="str">
            <v/>
          </cell>
          <cell r="AC265" t="e">
            <v>#N/A</v>
          </cell>
          <cell r="AD265">
            <v>178</v>
          </cell>
          <cell r="AE265" t="e">
            <v>#N/A</v>
          </cell>
          <cell r="AF265" t="str">
            <v/>
          </cell>
        </row>
        <row r="266">
          <cell r="Y266">
            <v>250</v>
          </cell>
          <cell r="Z266">
            <v>0.24866694770753384</v>
          </cell>
          <cell r="AA266">
            <v>-0.11471965710966009</v>
          </cell>
          <cell r="AB266" t="str">
            <v/>
          </cell>
          <cell r="AC266" t="e">
            <v>#N/A</v>
          </cell>
          <cell r="AD266">
            <v>179</v>
          </cell>
          <cell r="AE266" t="e">
            <v>#N/A</v>
          </cell>
          <cell r="AF266" t="str">
            <v/>
          </cell>
        </row>
        <row r="267">
          <cell r="Y267">
            <v>251</v>
          </cell>
          <cell r="Z267">
            <v>0.70974565856158733</v>
          </cell>
          <cell r="AA267">
            <v>9.341352122700991E-2</v>
          </cell>
          <cell r="AB267" t="str">
            <v/>
          </cell>
          <cell r="AC267" t="e">
            <v>#N/A</v>
          </cell>
          <cell r="AD267">
            <v>180</v>
          </cell>
          <cell r="AE267" t="e">
            <v>#N/A</v>
          </cell>
          <cell r="AF267" t="str">
            <v/>
          </cell>
        </row>
        <row r="268">
          <cell r="Y268">
            <v>252</v>
          </cell>
          <cell r="Z268">
            <v>0.81230943463742733</v>
          </cell>
          <cell r="AA268">
            <v>0.14983550099823223</v>
          </cell>
          <cell r="AB268" t="str">
            <v/>
          </cell>
          <cell r="AC268" t="e">
            <v>#N/A</v>
          </cell>
          <cell r="AD268">
            <v>181</v>
          </cell>
          <cell r="AE268" t="e">
            <v>#N/A</v>
          </cell>
          <cell r="AF268" t="str">
            <v/>
          </cell>
        </row>
        <row r="269">
          <cell r="Y269">
            <v>253</v>
          </cell>
          <cell r="Z269">
            <v>0.90639692358672619</v>
          </cell>
          <cell r="AA269">
            <v>0.22293296602473231</v>
          </cell>
          <cell r="AB269" t="str">
            <v/>
          </cell>
          <cell r="AC269" t="e">
            <v>#N/A</v>
          </cell>
          <cell r="AD269">
            <v>182</v>
          </cell>
          <cell r="AE269" t="e">
            <v>#N/A</v>
          </cell>
          <cell r="AF269" t="str">
            <v/>
          </cell>
        </row>
        <row r="270">
          <cell r="Y270">
            <v>254</v>
          </cell>
          <cell r="Z270">
            <v>1.9027268514037132E-2</v>
          </cell>
          <cell r="AA270">
            <v>-0.35061508656173618</v>
          </cell>
          <cell r="AB270" t="str">
            <v/>
          </cell>
          <cell r="AC270" t="e">
            <v>#N/A</v>
          </cell>
          <cell r="AD270">
            <v>183</v>
          </cell>
          <cell r="AE270" t="e">
            <v>#N/A</v>
          </cell>
          <cell r="AF270" t="str">
            <v/>
          </cell>
        </row>
        <row r="271">
          <cell r="Y271">
            <v>255</v>
          </cell>
          <cell r="Z271">
            <v>0.93249486200511456</v>
          </cell>
          <cell r="AA271">
            <v>0.25263907024977833</v>
          </cell>
          <cell r="AB271" t="str">
            <v/>
          </cell>
          <cell r="AC271" t="e">
            <v>#N/A</v>
          </cell>
          <cell r="AD271">
            <v>184</v>
          </cell>
          <cell r="AE271" t="e">
            <v>#N/A</v>
          </cell>
          <cell r="AF271" t="str">
            <v/>
          </cell>
        </row>
        <row r="272">
          <cell r="Y272">
            <v>256</v>
          </cell>
          <cell r="Z272">
            <v>0.74248435162007809</v>
          </cell>
          <cell r="AA272">
            <v>0.11004306153589045</v>
          </cell>
          <cell r="AB272" t="str">
            <v/>
          </cell>
          <cell r="AC272" t="e">
            <v>#N/A</v>
          </cell>
          <cell r="AD272">
            <v>185</v>
          </cell>
          <cell r="AE272" t="e">
            <v>#N/A</v>
          </cell>
          <cell r="AF272" t="str">
            <v/>
          </cell>
        </row>
        <row r="273">
          <cell r="Y273">
            <v>257</v>
          </cell>
          <cell r="Z273">
            <v>0.1684973519295454</v>
          </cell>
          <cell r="AA273">
            <v>-0.16228994088721946</v>
          </cell>
          <cell r="AB273" t="str">
            <v/>
          </cell>
          <cell r="AC273" t="e">
            <v>#N/A</v>
          </cell>
          <cell r="AD273">
            <v>186</v>
          </cell>
          <cell r="AE273" t="e">
            <v>#N/A</v>
          </cell>
          <cell r="AF273" t="str">
            <v/>
          </cell>
        </row>
        <row r="274">
          <cell r="Y274">
            <v>258</v>
          </cell>
          <cell r="Z274">
            <v>0.70976102910935879</v>
          </cell>
          <cell r="AA274">
            <v>9.3421108229659128E-2</v>
          </cell>
          <cell r="AB274" t="str">
            <v/>
          </cell>
          <cell r="AC274" t="e">
            <v>#N/A</v>
          </cell>
          <cell r="AD274">
            <v>187</v>
          </cell>
          <cell r="AE274" t="e">
            <v>#N/A</v>
          </cell>
          <cell r="AF274" t="str">
            <v/>
          </cell>
        </row>
        <row r="275">
          <cell r="Y275">
            <v>259</v>
          </cell>
          <cell r="Z275">
            <v>0.51798696629703045</v>
          </cell>
          <cell r="AA275">
            <v>7.6236166881654714E-3</v>
          </cell>
          <cell r="AB275" t="str">
            <v/>
          </cell>
          <cell r="AC275" t="e">
            <v>#N/A</v>
          </cell>
          <cell r="AD275">
            <v>188</v>
          </cell>
          <cell r="AE275" t="e">
            <v>#N/A</v>
          </cell>
          <cell r="AF275" t="str">
            <v/>
          </cell>
        </row>
        <row r="276">
          <cell r="Y276">
            <v>260</v>
          </cell>
          <cell r="Z276">
            <v>0.39680086635053158</v>
          </cell>
          <cell r="AA276">
            <v>-4.4224633286235111E-2</v>
          </cell>
          <cell r="AB276" t="str">
            <v/>
          </cell>
          <cell r="AC276" t="e">
            <v>#N/A</v>
          </cell>
          <cell r="AD276">
            <v>189</v>
          </cell>
          <cell r="AE276" t="e">
            <v>#N/A</v>
          </cell>
          <cell r="AF276" t="str">
            <v/>
          </cell>
        </row>
        <row r="277">
          <cell r="Y277">
            <v>261</v>
          </cell>
          <cell r="Z277">
            <v>0.82191657833755016</v>
          </cell>
          <cell r="AA277">
            <v>0.1559637034037637</v>
          </cell>
          <cell r="AB277" t="str">
            <v/>
          </cell>
          <cell r="AC277" t="e">
            <v>#N/A</v>
          </cell>
          <cell r="AD277">
            <v>190</v>
          </cell>
          <cell r="AE277" t="e">
            <v>#N/A</v>
          </cell>
          <cell r="AF277" t="str">
            <v/>
          </cell>
        </row>
        <row r="278">
          <cell r="Y278">
            <v>262</v>
          </cell>
          <cell r="Z278">
            <v>0.46829102002084255</v>
          </cell>
          <cell r="AA278">
            <v>-1.3449193158999E-2</v>
          </cell>
          <cell r="AB278" t="str">
            <v/>
          </cell>
          <cell r="AC278" t="e">
            <v>#N/A</v>
          </cell>
          <cell r="AD278">
            <v>191</v>
          </cell>
          <cell r="AE278" t="e">
            <v>#N/A</v>
          </cell>
          <cell r="AF278" t="str">
            <v/>
          </cell>
        </row>
        <row r="279">
          <cell r="Y279">
            <v>263</v>
          </cell>
          <cell r="Z279">
            <v>0.28799168579280376</v>
          </cell>
          <cell r="AA279">
            <v>-9.4532421204649109E-2</v>
          </cell>
          <cell r="AB279" t="str">
            <v/>
          </cell>
          <cell r="AC279" t="e">
            <v>#N/A</v>
          </cell>
          <cell r="AD279">
            <v>192</v>
          </cell>
          <cell r="AE279" t="e">
            <v>#N/A</v>
          </cell>
          <cell r="AF279" t="str">
            <v/>
          </cell>
        </row>
        <row r="280">
          <cell r="Y280">
            <v>264</v>
          </cell>
          <cell r="Z280">
            <v>0.60181995294988155</v>
          </cell>
          <cell r="AA280">
            <v>4.362021254809538E-2</v>
          </cell>
          <cell r="AB280" t="str">
            <v/>
          </cell>
          <cell r="AC280" t="e">
            <v>#N/A</v>
          </cell>
          <cell r="AD280">
            <v>193</v>
          </cell>
          <cell r="AE280" t="e">
            <v>#N/A</v>
          </cell>
          <cell r="AF280" t="str">
            <v/>
          </cell>
        </row>
        <row r="281">
          <cell r="Y281">
            <v>265</v>
          </cell>
          <cell r="Z281">
            <v>0.35315820388495922</v>
          </cell>
          <cell r="AA281">
            <v>-6.3692151256516366E-2</v>
          </cell>
          <cell r="AB281" t="str">
            <v/>
          </cell>
          <cell r="AC281" t="e">
            <v>#N/A</v>
          </cell>
          <cell r="AD281">
            <v>194</v>
          </cell>
          <cell r="AE281" t="e">
            <v>#N/A</v>
          </cell>
          <cell r="AF281" t="str">
            <v/>
          </cell>
        </row>
        <row r="282">
          <cell r="Y282">
            <v>266</v>
          </cell>
          <cell r="Z282">
            <v>0.62990624271333218</v>
          </cell>
          <cell r="AA282">
            <v>5.6051481819013378E-2</v>
          </cell>
          <cell r="AB282" t="str">
            <v/>
          </cell>
          <cell r="AC282" t="e">
            <v>#N/A</v>
          </cell>
          <cell r="AD282">
            <v>195</v>
          </cell>
          <cell r="AE282" t="e">
            <v>#N/A</v>
          </cell>
          <cell r="AF282" t="str">
            <v/>
          </cell>
        </row>
        <row r="283">
          <cell r="Y283">
            <v>267</v>
          </cell>
          <cell r="Z283">
            <v>0.61591447703540325</v>
          </cell>
          <cell r="AA283">
            <v>4.9824900743731415E-2</v>
          </cell>
          <cell r="AB283" t="str">
            <v/>
          </cell>
          <cell r="AC283" t="e">
            <v>#N/A</v>
          </cell>
          <cell r="AD283">
            <v>196</v>
          </cell>
          <cell r="AE283" t="e">
            <v>#N/A</v>
          </cell>
          <cell r="AF283" t="str">
            <v/>
          </cell>
        </row>
        <row r="284">
          <cell r="Y284">
            <v>268</v>
          </cell>
          <cell r="Z284">
            <v>0.77724223397672176</v>
          </cell>
          <cell r="AA284">
            <v>0.12895576292444885</v>
          </cell>
          <cell r="AB284" t="str">
            <v/>
          </cell>
          <cell r="AC284" t="e">
            <v>#N/A</v>
          </cell>
          <cell r="AD284">
            <v>197</v>
          </cell>
          <cell r="AE284" t="e">
            <v>#N/A</v>
          </cell>
          <cell r="AF284" t="str">
            <v/>
          </cell>
        </row>
        <row r="285">
          <cell r="Y285">
            <v>269</v>
          </cell>
          <cell r="Z285">
            <v>0.44391625933349133</v>
          </cell>
          <cell r="AA285">
            <v>-2.3841357372106825E-2</v>
          </cell>
          <cell r="AB285" t="str">
            <v/>
          </cell>
          <cell r="AC285" t="e">
            <v>#N/A</v>
          </cell>
          <cell r="AD285">
            <v>198</v>
          </cell>
          <cell r="AE285" t="e">
            <v>#N/A</v>
          </cell>
          <cell r="AF285" t="str">
            <v/>
          </cell>
        </row>
        <row r="286">
          <cell r="Y286">
            <v>270</v>
          </cell>
          <cell r="Z286">
            <v>0.36424628458917141</v>
          </cell>
          <cell r="AA286">
            <v>-5.8675923925644274E-2</v>
          </cell>
          <cell r="AB286" t="str">
            <v/>
          </cell>
          <cell r="AC286" t="e">
            <v>#N/A</v>
          </cell>
          <cell r="AD286">
            <v>199</v>
          </cell>
          <cell r="AE286" t="e">
            <v>#N/A</v>
          </cell>
          <cell r="AF286" t="str">
            <v/>
          </cell>
        </row>
        <row r="287">
          <cell r="Y287">
            <v>271</v>
          </cell>
          <cell r="Z287">
            <v>0.58109341375529766</v>
          </cell>
          <cell r="AA287">
            <v>3.4599176118122896E-2</v>
          </cell>
          <cell r="AB287" t="str">
            <v/>
          </cell>
          <cell r="AC287" t="e">
            <v>#N/A</v>
          </cell>
          <cell r="AD287">
            <v>200</v>
          </cell>
          <cell r="AE287" t="e">
            <v>#N/A</v>
          </cell>
          <cell r="AF287" t="str">
            <v/>
          </cell>
        </row>
        <row r="288">
          <cell r="Y288">
            <v>272</v>
          </cell>
          <cell r="Z288">
            <v>0.69176735542714596</v>
          </cell>
          <cell r="AA288">
            <v>8.4661840588919374E-2</v>
          </cell>
          <cell r="AB288" t="str">
            <v/>
          </cell>
          <cell r="AC288" t="e">
            <v>#N/A</v>
          </cell>
          <cell r="AD288">
            <v>201</v>
          </cell>
          <cell r="AE288" t="e">
            <v>#N/A</v>
          </cell>
          <cell r="AF288" t="str">
            <v/>
          </cell>
        </row>
        <row r="289">
          <cell r="Y289">
            <v>273</v>
          </cell>
          <cell r="Z289">
            <v>0.54724708013236523</v>
          </cell>
          <cell r="AA289">
            <v>2.0065497422783581E-2</v>
          </cell>
          <cell r="AB289" t="str">
            <v/>
          </cell>
          <cell r="AC289" t="e">
            <v>#N/A</v>
          </cell>
          <cell r="AD289">
            <v>202</v>
          </cell>
          <cell r="AE289" t="e">
            <v>#N/A</v>
          </cell>
          <cell r="AF289" t="str">
            <v/>
          </cell>
        </row>
        <row r="290">
          <cell r="Y290">
            <v>274</v>
          </cell>
          <cell r="Z290">
            <v>0.915535693988204</v>
          </cell>
          <cell r="AA290">
            <v>0.23252805778974373</v>
          </cell>
          <cell r="AB290" t="str">
            <v/>
          </cell>
          <cell r="AC290" t="e">
            <v>#N/A</v>
          </cell>
          <cell r="AD290">
            <v>203</v>
          </cell>
          <cell r="AE290" t="e">
            <v>#N/A</v>
          </cell>
          <cell r="AF290" t="str">
            <v/>
          </cell>
        </row>
        <row r="291">
          <cell r="Y291">
            <v>275</v>
          </cell>
          <cell r="Z291">
            <v>0.84184606187045574</v>
          </cell>
          <cell r="AA291">
            <v>0.16938141318460759</v>
          </cell>
          <cell r="AB291" t="str">
            <v/>
          </cell>
          <cell r="AC291" t="e">
            <v>#N/A</v>
          </cell>
          <cell r="AD291">
            <v>204</v>
          </cell>
          <cell r="AE291" t="e">
            <v>#N/A</v>
          </cell>
          <cell r="AF291" t="str">
            <v/>
          </cell>
        </row>
        <row r="292">
          <cell r="Y292">
            <v>276</v>
          </cell>
          <cell r="Z292">
            <v>0.56270336173474789</v>
          </cell>
          <cell r="AA292">
            <v>2.6677599045158984E-2</v>
          </cell>
          <cell r="AB292" t="str">
            <v/>
          </cell>
          <cell r="AC292" t="e">
            <v>#N/A</v>
          </cell>
          <cell r="AD292">
            <v>205</v>
          </cell>
          <cell r="AE292" t="e">
            <v>#N/A</v>
          </cell>
          <cell r="AF292" t="str">
            <v/>
          </cell>
        </row>
        <row r="293">
          <cell r="Y293">
            <v>277</v>
          </cell>
          <cell r="Z293">
            <v>0.93249118141829967</v>
          </cell>
          <cell r="AA293">
            <v>0.25263430533628317</v>
          </cell>
          <cell r="AB293" t="str">
            <v/>
          </cell>
          <cell r="AC293" t="e">
            <v>#N/A</v>
          </cell>
          <cell r="AD293">
            <v>206</v>
          </cell>
          <cell r="AE293" t="e">
            <v>#N/A</v>
          </cell>
          <cell r="AF293" t="str">
            <v/>
          </cell>
        </row>
        <row r="294">
          <cell r="Y294">
            <v>278</v>
          </cell>
          <cell r="Z294">
            <v>0.9365683551877737</v>
          </cell>
          <cell r="AA294">
            <v>0.25804060673826501</v>
          </cell>
          <cell r="AB294" t="str">
            <v/>
          </cell>
          <cell r="AC294" t="e">
            <v>#N/A</v>
          </cell>
          <cell r="AD294">
            <v>207</v>
          </cell>
          <cell r="AE294" t="e">
            <v>#N/A</v>
          </cell>
          <cell r="AF294" t="str">
            <v/>
          </cell>
        </row>
        <row r="295">
          <cell r="Y295">
            <v>279</v>
          </cell>
          <cell r="Z295">
            <v>0.72726635448634624</v>
          </cell>
          <cell r="AA295">
            <v>0.10219033403407612</v>
          </cell>
          <cell r="AB295" t="str">
            <v/>
          </cell>
          <cell r="AC295" t="e">
            <v>#N/A</v>
          </cell>
          <cell r="AD295">
            <v>208</v>
          </cell>
          <cell r="AE295" t="e">
            <v>#N/A</v>
          </cell>
          <cell r="AF295" t="str">
            <v/>
          </cell>
        </row>
        <row r="296">
          <cell r="Y296">
            <v>280</v>
          </cell>
          <cell r="Z296">
            <v>0.9993260707706213</v>
          </cell>
          <cell r="AA296">
            <v>0.54184362089858418</v>
          </cell>
          <cell r="AB296" t="str">
            <v/>
          </cell>
          <cell r="AC296" t="e">
            <v>#N/A</v>
          </cell>
          <cell r="AD296">
            <v>209</v>
          </cell>
          <cell r="AE296" t="e">
            <v>#N/A</v>
          </cell>
          <cell r="AF296" t="str">
            <v/>
          </cell>
        </row>
        <row r="297">
          <cell r="Y297">
            <v>281</v>
          </cell>
          <cell r="Z297">
            <v>0.69894513301551342</v>
          </cell>
          <cell r="AA297">
            <v>8.8127447782415561E-2</v>
          </cell>
          <cell r="AB297" t="str">
            <v/>
          </cell>
          <cell r="AC297" t="e">
            <v>#N/A</v>
          </cell>
          <cell r="AD297">
            <v>210</v>
          </cell>
          <cell r="AE297" t="e">
            <v>#N/A</v>
          </cell>
          <cell r="AF297" t="str">
            <v/>
          </cell>
        </row>
        <row r="298">
          <cell r="Y298">
            <v>282</v>
          </cell>
          <cell r="Z298">
            <v>0.41644186340272427</v>
          </cell>
          <cell r="AA298">
            <v>-3.5666277361375252E-2</v>
          </cell>
          <cell r="AB298" t="str">
            <v/>
          </cell>
          <cell r="AC298" t="e">
            <v>#N/A</v>
          </cell>
          <cell r="AD298">
            <v>211</v>
          </cell>
          <cell r="AE298" t="e">
            <v>#N/A</v>
          </cell>
          <cell r="AF298" t="str">
            <v/>
          </cell>
        </row>
        <row r="299">
          <cell r="Y299">
            <v>283</v>
          </cell>
          <cell r="Z299">
            <v>4.777146689593792E-2</v>
          </cell>
          <cell r="AA299">
            <v>-0.28175017988643469</v>
          </cell>
          <cell r="AB299" t="str">
            <v/>
          </cell>
          <cell r="AC299" t="e">
            <v>#N/A</v>
          </cell>
          <cell r="AD299">
            <v>212</v>
          </cell>
          <cell r="AE299" t="e">
            <v>#N/A</v>
          </cell>
          <cell r="AF299" t="str">
            <v/>
          </cell>
        </row>
        <row r="300">
          <cell r="Y300">
            <v>284</v>
          </cell>
          <cell r="Z300">
            <v>0.28998844884335995</v>
          </cell>
          <cell r="AA300">
            <v>-9.3544794098492159E-2</v>
          </cell>
          <cell r="AB300" t="str">
            <v/>
          </cell>
          <cell r="AC300" t="e">
            <v>#N/A</v>
          </cell>
          <cell r="AD300">
            <v>213</v>
          </cell>
          <cell r="AE300" t="e">
            <v>#N/A</v>
          </cell>
          <cell r="AF300" t="str">
            <v/>
          </cell>
        </row>
        <row r="301">
          <cell r="Y301">
            <v>285</v>
          </cell>
          <cell r="Z301">
            <v>0.25828343443572521</v>
          </cell>
          <cell r="AA301">
            <v>-0.10964127596311456</v>
          </cell>
          <cell r="AB301" t="str">
            <v/>
          </cell>
          <cell r="AC301" t="e">
            <v>#N/A</v>
          </cell>
          <cell r="AD301">
            <v>214</v>
          </cell>
          <cell r="AE301" t="e">
            <v>#N/A</v>
          </cell>
          <cell r="AF301" t="str">
            <v/>
          </cell>
        </row>
        <row r="302">
          <cell r="Y302">
            <v>286</v>
          </cell>
          <cell r="Z302">
            <v>0.70204189978539944</v>
          </cell>
          <cell r="AA302">
            <v>8.963407241153154E-2</v>
          </cell>
          <cell r="AB302" t="str">
            <v/>
          </cell>
          <cell r="AC302" t="e">
            <v>#N/A</v>
          </cell>
          <cell r="AD302">
            <v>215</v>
          </cell>
          <cell r="AE302" t="e">
            <v>#N/A</v>
          </cell>
          <cell r="AF302" t="str">
            <v/>
          </cell>
        </row>
        <row r="303">
          <cell r="Y303">
            <v>287</v>
          </cell>
          <cell r="Z303">
            <v>0.12439869157969952</v>
          </cell>
          <cell r="AA303">
            <v>-0.19493911431049118</v>
          </cell>
          <cell r="AB303" t="str">
            <v/>
          </cell>
          <cell r="AC303" t="e">
            <v>#N/A</v>
          </cell>
          <cell r="AD303">
            <v>216</v>
          </cell>
          <cell r="AE303" t="e">
            <v>#N/A</v>
          </cell>
          <cell r="AF303" t="str">
            <v/>
          </cell>
        </row>
        <row r="304">
          <cell r="Y304">
            <v>288</v>
          </cell>
          <cell r="Z304">
            <v>0.53297998569905758</v>
          </cell>
          <cell r="AA304">
            <v>1.3989492085075474E-2</v>
          </cell>
          <cell r="AB304" t="str">
            <v/>
          </cell>
          <cell r="AC304" t="e">
            <v>#N/A</v>
          </cell>
          <cell r="AD304">
            <v>217</v>
          </cell>
          <cell r="AE304" t="e">
            <v>#N/A</v>
          </cell>
          <cell r="AF304" t="str">
            <v/>
          </cell>
        </row>
        <row r="305">
          <cell r="Y305">
            <v>289</v>
          </cell>
          <cell r="Z305">
            <v>0.7857303898781538</v>
          </cell>
          <cell r="AA305">
            <v>0.1338206819416318</v>
          </cell>
          <cell r="AB305" t="str">
            <v/>
          </cell>
          <cell r="AC305" t="e">
            <v>#N/A</v>
          </cell>
          <cell r="AD305">
            <v>218</v>
          </cell>
          <cell r="AE305" t="e">
            <v>#N/A</v>
          </cell>
          <cell r="AF305" t="str">
            <v/>
          </cell>
        </row>
        <row r="306">
          <cell r="Y306">
            <v>290</v>
          </cell>
          <cell r="Z306">
            <v>0.11327660642564297</v>
          </cell>
          <cell r="AA306">
            <v>-0.20440654245567738</v>
          </cell>
          <cell r="AB306" t="str">
            <v/>
          </cell>
          <cell r="AC306" t="e">
            <v>#N/A</v>
          </cell>
          <cell r="AD306">
            <v>219</v>
          </cell>
          <cell r="AE306" t="e">
            <v>#N/A</v>
          </cell>
          <cell r="AF306" t="str">
            <v/>
          </cell>
        </row>
        <row r="307">
          <cell r="Y307">
            <v>291</v>
          </cell>
          <cell r="Z307">
            <v>0.53685231320559978</v>
          </cell>
          <cell r="AA307">
            <v>1.5636506352315446E-2</v>
          </cell>
          <cell r="AB307" t="str">
            <v/>
          </cell>
          <cell r="AC307" t="e">
            <v>#N/A</v>
          </cell>
          <cell r="AD307">
            <v>220</v>
          </cell>
          <cell r="AE307" t="e">
            <v>#N/A</v>
          </cell>
          <cell r="AF307" t="str">
            <v/>
          </cell>
        </row>
        <row r="308">
          <cell r="Y308">
            <v>292</v>
          </cell>
          <cell r="Z308">
            <v>0.11113606952130795</v>
          </cell>
          <cell r="AA308">
            <v>-0.2063036038380795</v>
          </cell>
          <cell r="AB308" t="str">
            <v/>
          </cell>
          <cell r="AC308" t="e">
            <v>#N/A</v>
          </cell>
          <cell r="AD308">
            <v>221</v>
          </cell>
          <cell r="AE308" t="e">
            <v>#N/A</v>
          </cell>
          <cell r="AF308" t="str">
            <v/>
          </cell>
        </row>
        <row r="309">
          <cell r="Y309">
            <v>293</v>
          </cell>
          <cell r="Z309">
            <v>0.13998198322951794</v>
          </cell>
          <cell r="AA309">
            <v>-0.18262098049841044</v>
          </cell>
          <cell r="AB309" t="str">
            <v/>
          </cell>
          <cell r="AC309" t="e">
            <v>#N/A</v>
          </cell>
          <cell r="AD309">
            <v>222</v>
          </cell>
          <cell r="AE309" t="e">
            <v>#N/A</v>
          </cell>
          <cell r="AF309" t="str">
            <v/>
          </cell>
        </row>
        <row r="310">
          <cell r="Y310">
            <v>294</v>
          </cell>
          <cell r="Z310">
            <v>0.65206096135079861</v>
          </cell>
          <cell r="AA310">
            <v>6.6072576489371079E-2</v>
          </cell>
          <cell r="AB310" t="str">
            <v/>
          </cell>
          <cell r="AC310" t="e">
            <v>#N/A</v>
          </cell>
          <cell r="AD310">
            <v>223</v>
          </cell>
          <cell r="AE310" t="e">
            <v>#N/A</v>
          </cell>
          <cell r="AF310" t="str">
            <v/>
          </cell>
        </row>
        <row r="311">
          <cell r="Y311">
            <v>295</v>
          </cell>
          <cell r="Z311">
            <v>9.0300483629107475E-2</v>
          </cell>
          <cell r="AA311">
            <v>-0.22631658087754286</v>
          </cell>
          <cell r="AB311" t="str">
            <v/>
          </cell>
          <cell r="AC311" t="e">
            <v>#N/A</v>
          </cell>
          <cell r="AD311">
            <v>224</v>
          </cell>
          <cell r="AE311" t="e">
            <v>#N/A</v>
          </cell>
          <cell r="AF311" t="str">
            <v/>
          </cell>
        </row>
        <row r="312">
          <cell r="Y312">
            <v>296</v>
          </cell>
          <cell r="Z312">
            <v>1.0197361931204796E-2</v>
          </cell>
          <cell r="AA312">
            <v>-0.39198351742727067</v>
          </cell>
          <cell r="AB312" t="str">
            <v/>
          </cell>
          <cell r="AC312" t="e">
            <v>#N/A</v>
          </cell>
          <cell r="AD312">
            <v>225</v>
          </cell>
          <cell r="AE312" t="e">
            <v>#N/A</v>
          </cell>
          <cell r="AF312" t="str">
            <v/>
          </cell>
        </row>
        <row r="313">
          <cell r="Y313">
            <v>297</v>
          </cell>
          <cell r="Z313">
            <v>0.75187775306403637</v>
          </cell>
          <cell r="AA313">
            <v>0.11501038731361166</v>
          </cell>
          <cell r="AB313" t="str">
            <v/>
          </cell>
          <cell r="AC313" t="e">
            <v>#N/A</v>
          </cell>
          <cell r="AD313">
            <v>226</v>
          </cell>
          <cell r="AE313" t="e">
            <v>#N/A</v>
          </cell>
          <cell r="AF313" t="str">
            <v/>
          </cell>
        </row>
        <row r="314">
          <cell r="Y314">
            <v>298</v>
          </cell>
          <cell r="Z314">
            <v>0.30505115352571011</v>
          </cell>
          <cell r="AA314">
            <v>-8.6193466701171784E-2</v>
          </cell>
          <cell r="AB314" t="str">
            <v/>
          </cell>
          <cell r="AC314" t="e">
            <v>#N/A</v>
          </cell>
          <cell r="AD314">
            <v>227</v>
          </cell>
          <cell r="AE314" t="e">
            <v>#N/A</v>
          </cell>
          <cell r="AF314" t="str">
            <v/>
          </cell>
        </row>
        <row r="315">
          <cell r="Y315">
            <v>299</v>
          </cell>
          <cell r="Z315">
            <v>0.50092209689319134</v>
          </cell>
          <cell r="AA315">
            <v>3.9069050573707279E-4</v>
          </cell>
          <cell r="AB315" t="str">
            <v/>
          </cell>
          <cell r="AC315" t="e">
            <v>#N/A</v>
          </cell>
          <cell r="AD315">
            <v>228</v>
          </cell>
          <cell r="AE315" t="e">
            <v>#N/A</v>
          </cell>
          <cell r="AF315" t="str">
            <v/>
          </cell>
        </row>
        <row r="316">
          <cell r="Y316">
            <v>300</v>
          </cell>
          <cell r="Z316">
            <v>0.48091917298734188</v>
          </cell>
          <cell r="AA316">
            <v>-8.0875836779201286E-3</v>
          </cell>
          <cell r="AB316" t="str">
            <v/>
          </cell>
          <cell r="AC316" t="e">
            <v>#N/A</v>
          </cell>
          <cell r="AD316">
            <v>229</v>
          </cell>
          <cell r="AE316" t="e">
            <v>#N/A</v>
          </cell>
          <cell r="AF316" t="str">
            <v/>
          </cell>
        </row>
        <row r="317">
          <cell r="Y317">
            <v>301</v>
          </cell>
          <cell r="Z317">
            <v>0.98182266764342785</v>
          </cell>
          <cell r="AA317">
            <v>0.35377113806492971</v>
          </cell>
          <cell r="AB317" t="str">
            <v/>
          </cell>
          <cell r="AC317" t="e">
            <v>#N/A</v>
          </cell>
          <cell r="AD317">
            <v>230</v>
          </cell>
          <cell r="AE317" t="e">
            <v>#N/A</v>
          </cell>
          <cell r="AF317" t="str">
            <v/>
          </cell>
        </row>
        <row r="318">
          <cell r="Y318">
            <v>302</v>
          </cell>
          <cell r="Z318">
            <v>0.44012895785272121</v>
          </cell>
          <cell r="AA318">
            <v>-2.5463190983097159E-2</v>
          </cell>
          <cell r="AB318" t="str">
            <v/>
          </cell>
          <cell r="AC318" t="e">
            <v>#N/A</v>
          </cell>
          <cell r="AD318">
            <v>231</v>
          </cell>
          <cell r="AE318" t="e">
            <v>#N/A</v>
          </cell>
          <cell r="AF318" t="str">
            <v/>
          </cell>
        </row>
        <row r="319">
          <cell r="Y319">
            <v>303</v>
          </cell>
          <cell r="Z319">
            <v>0.30020366422832012</v>
          </cell>
          <cell r="AA319">
            <v>-8.8540868682128543E-2</v>
          </cell>
          <cell r="AB319" t="str">
            <v/>
          </cell>
          <cell r="AC319" t="e">
            <v>#N/A</v>
          </cell>
          <cell r="AD319">
            <v>232</v>
          </cell>
          <cell r="AE319" t="e">
            <v>#N/A</v>
          </cell>
          <cell r="AF319" t="str">
            <v/>
          </cell>
        </row>
        <row r="320">
          <cell r="Y320">
            <v>304</v>
          </cell>
          <cell r="Z320">
            <v>0.54493083618581295</v>
          </cell>
          <cell r="AA320">
            <v>1.9077508647823913E-2</v>
          </cell>
          <cell r="AB320" t="str">
            <v/>
          </cell>
          <cell r="AC320" t="e">
            <v>#N/A</v>
          </cell>
          <cell r="AD320">
            <v>233</v>
          </cell>
          <cell r="AE320" t="e">
            <v>#N/A</v>
          </cell>
          <cell r="AF320" t="str">
            <v/>
          </cell>
        </row>
        <row r="321">
          <cell r="Y321">
            <v>305</v>
          </cell>
          <cell r="Z321">
            <v>0.44595899991691113</v>
          </cell>
          <cell r="AA321">
            <v>-2.2967515760266687E-2</v>
          </cell>
          <cell r="AB321" t="str">
            <v/>
          </cell>
          <cell r="AC321" t="e">
            <v>#N/A</v>
          </cell>
          <cell r="AD321">
            <v>234</v>
          </cell>
          <cell r="AE321" t="e">
            <v>#N/A</v>
          </cell>
          <cell r="AF321" t="str">
            <v/>
          </cell>
        </row>
        <row r="322">
          <cell r="Y322">
            <v>306</v>
          </cell>
          <cell r="Z322">
            <v>0.79663611017167568</v>
          </cell>
          <cell r="AA322">
            <v>0.14023911115234855</v>
          </cell>
          <cell r="AB322" t="str">
            <v/>
          </cell>
          <cell r="AC322" t="e">
            <v>#N/A</v>
          </cell>
          <cell r="AD322">
            <v>235</v>
          </cell>
          <cell r="AE322" t="e">
            <v>#N/A</v>
          </cell>
          <cell r="AF322" t="str">
            <v/>
          </cell>
        </row>
        <row r="323">
          <cell r="Y323">
            <v>307</v>
          </cell>
          <cell r="Z323">
            <v>0.45798618905246258</v>
          </cell>
          <cell r="AA323">
            <v>-1.783418035445895E-2</v>
          </cell>
          <cell r="AB323" t="str">
            <v/>
          </cell>
          <cell r="AC323" t="e">
            <v>#N/A</v>
          </cell>
          <cell r="AD323">
            <v>236</v>
          </cell>
          <cell r="AE323" t="e">
            <v>#N/A</v>
          </cell>
          <cell r="AF323" t="str">
            <v/>
          </cell>
        </row>
        <row r="324">
          <cell r="Y324">
            <v>308</v>
          </cell>
          <cell r="Z324">
            <v>0.84434508346021175</v>
          </cell>
          <cell r="AA324">
            <v>0.17113992147515752</v>
          </cell>
          <cell r="AB324" t="str">
            <v/>
          </cell>
          <cell r="AC324" t="e">
            <v>#N/A</v>
          </cell>
          <cell r="AD324">
            <v>237</v>
          </cell>
          <cell r="AE324" t="e">
            <v>#N/A</v>
          </cell>
          <cell r="AF324" t="str">
            <v/>
          </cell>
        </row>
        <row r="325">
          <cell r="Y325">
            <v>309</v>
          </cell>
          <cell r="Z325">
            <v>0.81108820252120495</v>
          </cell>
          <cell r="AA325">
            <v>0.14907058657440828</v>
          </cell>
          <cell r="AB325" t="str">
            <v/>
          </cell>
          <cell r="AC325" t="e">
            <v>#N/A</v>
          </cell>
          <cell r="AD325">
            <v>238</v>
          </cell>
          <cell r="AE325" t="e">
            <v>#N/A</v>
          </cell>
          <cell r="AF325" t="str">
            <v/>
          </cell>
        </row>
        <row r="326">
          <cell r="Y326">
            <v>310</v>
          </cell>
          <cell r="Z326">
            <v>0.56935868225991726</v>
          </cell>
          <cell r="AA326">
            <v>2.9536730610876971E-2</v>
          </cell>
          <cell r="AB326" t="str">
            <v/>
          </cell>
          <cell r="AC326" t="e">
            <v>#N/A</v>
          </cell>
          <cell r="AD326">
            <v>239</v>
          </cell>
          <cell r="AE326" t="e">
            <v>#N/A</v>
          </cell>
          <cell r="AF326" t="str">
            <v/>
          </cell>
        </row>
        <row r="327">
          <cell r="Y327">
            <v>311</v>
          </cell>
          <cell r="Z327">
            <v>0.22426204197108746</v>
          </cell>
          <cell r="AA327">
            <v>-0.12810474569767119</v>
          </cell>
          <cell r="AB327" t="str">
            <v/>
          </cell>
          <cell r="AC327" t="e">
            <v>#N/A</v>
          </cell>
          <cell r="AD327">
            <v>240</v>
          </cell>
          <cell r="AE327" t="e">
            <v>#N/A</v>
          </cell>
          <cell r="AF327" t="str">
            <v/>
          </cell>
        </row>
        <row r="328">
          <cell r="Y328">
            <v>312</v>
          </cell>
          <cell r="Z328">
            <v>0.33511742018163204</v>
          </cell>
          <cell r="AA328">
            <v>-7.1977684640951139E-2</v>
          </cell>
          <cell r="AB328" t="str">
            <v/>
          </cell>
          <cell r="AC328" t="e">
            <v>#N/A</v>
          </cell>
          <cell r="AD328">
            <v>241</v>
          </cell>
          <cell r="AE328" t="e">
            <v>#N/A</v>
          </cell>
          <cell r="AF328" t="str">
            <v/>
          </cell>
        </row>
        <row r="329">
          <cell r="Y329">
            <v>313</v>
          </cell>
          <cell r="Z329">
            <v>0.55834278278052807</v>
          </cell>
          <cell r="AA329">
            <v>2.4808471753228836E-2</v>
          </cell>
          <cell r="AB329" t="str">
            <v/>
          </cell>
          <cell r="AC329" t="e">
            <v>#N/A</v>
          </cell>
          <cell r="AD329">
            <v>242</v>
          </cell>
          <cell r="AE329" t="e">
            <v>#N/A</v>
          </cell>
          <cell r="AF329" t="str">
            <v/>
          </cell>
        </row>
        <row r="330">
          <cell r="Y330">
            <v>314</v>
          </cell>
          <cell r="Z330">
            <v>8.6261456832289696E-2</v>
          </cell>
          <cell r="AA330">
            <v>-0.23058206407501994</v>
          </cell>
          <cell r="AB330" t="str">
            <v/>
          </cell>
          <cell r="AC330" t="e">
            <v>#N/A</v>
          </cell>
          <cell r="AD330">
            <v>243</v>
          </cell>
          <cell r="AE330" t="e">
            <v>#N/A</v>
          </cell>
          <cell r="AF330" t="str">
            <v/>
          </cell>
        </row>
        <row r="331">
          <cell r="Y331">
            <v>315</v>
          </cell>
          <cell r="Z331">
            <v>0.68972183577716351</v>
          </cell>
          <cell r="AA331">
            <v>8.3680757813125714E-2</v>
          </cell>
          <cell r="AB331" t="str">
            <v/>
          </cell>
          <cell r="AC331" t="e">
            <v>#N/A</v>
          </cell>
          <cell r="AD331">
            <v>244</v>
          </cell>
          <cell r="AE331" t="e">
            <v>#N/A</v>
          </cell>
          <cell r="AF331" t="str">
            <v/>
          </cell>
        </row>
        <row r="332">
          <cell r="Y332">
            <v>316</v>
          </cell>
          <cell r="Z332">
            <v>0.32415550015866756</v>
          </cell>
          <cell r="AA332">
            <v>-7.7096633037190679E-2</v>
          </cell>
          <cell r="AB332" t="str">
            <v/>
          </cell>
          <cell r="AC332" t="e">
            <v>#N/A</v>
          </cell>
          <cell r="AD332">
            <v>245</v>
          </cell>
          <cell r="AE332" t="e">
            <v>#N/A</v>
          </cell>
          <cell r="AF332" t="str">
            <v/>
          </cell>
        </row>
        <row r="333">
          <cell r="Y333">
            <v>317</v>
          </cell>
          <cell r="Z333">
            <v>0.21560817770659924</v>
          </cell>
          <cell r="AA333">
            <v>-0.13304619667671103</v>
          </cell>
          <cell r="AB333" t="str">
            <v/>
          </cell>
          <cell r="AC333" t="e">
            <v>#N/A</v>
          </cell>
          <cell r="AD333">
            <v>246</v>
          </cell>
          <cell r="AE333" t="e">
            <v>#N/A</v>
          </cell>
          <cell r="AF333" t="str">
            <v/>
          </cell>
        </row>
        <row r="334">
          <cell r="Y334">
            <v>318</v>
          </cell>
          <cell r="Z334">
            <v>0.57997230254113674</v>
          </cell>
          <cell r="AA334">
            <v>3.4114249695118164E-2</v>
          </cell>
          <cell r="AB334" t="str">
            <v/>
          </cell>
          <cell r="AC334" t="e">
            <v>#N/A</v>
          </cell>
          <cell r="AD334">
            <v>247</v>
          </cell>
          <cell r="AE334" t="e">
            <v>#N/A</v>
          </cell>
          <cell r="AF334" t="str">
            <v/>
          </cell>
        </row>
        <row r="335">
          <cell r="Y335">
            <v>319</v>
          </cell>
          <cell r="Z335">
            <v>0.56505130045115948</v>
          </cell>
          <cell r="AA335">
            <v>2.7685362346662943E-2</v>
          </cell>
          <cell r="AB335" t="str">
            <v/>
          </cell>
          <cell r="AC335" t="e">
            <v>#N/A</v>
          </cell>
          <cell r="AD335">
            <v>248</v>
          </cell>
          <cell r="AE335" t="e">
            <v>#N/A</v>
          </cell>
          <cell r="AF335" t="str">
            <v/>
          </cell>
        </row>
        <row r="336">
          <cell r="Y336">
            <v>320</v>
          </cell>
          <cell r="Z336">
            <v>0.35017850063741207</v>
          </cell>
          <cell r="AA336">
            <v>-6.5049595470831223E-2</v>
          </cell>
          <cell r="AB336" t="str">
            <v/>
          </cell>
          <cell r="AC336" t="e">
            <v>#N/A</v>
          </cell>
          <cell r="AD336">
            <v>249</v>
          </cell>
          <cell r="AE336" t="e">
            <v>#N/A</v>
          </cell>
          <cell r="AF336" t="str">
            <v/>
          </cell>
        </row>
        <row r="337">
          <cell r="Y337">
            <v>321</v>
          </cell>
          <cell r="Z337">
            <v>0.5586946289986372</v>
          </cell>
          <cell r="AA337">
            <v>2.4959172312248121E-2</v>
          </cell>
          <cell r="AB337" t="str">
            <v/>
          </cell>
          <cell r="AC337" t="e">
            <v>#N/A</v>
          </cell>
          <cell r="AD337">
            <v>250</v>
          </cell>
          <cell r="AE337" t="e">
            <v>#N/A</v>
          </cell>
          <cell r="AF337" t="str">
            <v/>
          </cell>
        </row>
        <row r="338">
          <cell r="Y338">
            <v>322</v>
          </cell>
          <cell r="Z338">
            <v>0.55301654897630215</v>
          </cell>
          <cell r="AA338">
            <v>2.2529509510472147E-2</v>
          </cell>
          <cell r="AB338" t="str">
            <v/>
          </cell>
          <cell r="AC338" t="e">
            <v>#N/A</v>
          </cell>
          <cell r="AD338">
            <v>251</v>
          </cell>
          <cell r="AE338" t="e">
            <v>#N/A</v>
          </cell>
          <cell r="AF338" t="str">
            <v/>
          </cell>
        </row>
        <row r="339">
          <cell r="Y339">
            <v>323</v>
          </cell>
          <cell r="Z339">
            <v>0.67897815816104412</v>
          </cell>
          <cell r="AA339">
            <v>7.8572857002591034E-2</v>
          </cell>
          <cell r="AB339" t="str">
            <v/>
          </cell>
          <cell r="AC339" t="e">
            <v>#N/A</v>
          </cell>
          <cell r="AD339">
            <v>252</v>
          </cell>
          <cell r="AE339" t="e">
            <v>#N/A</v>
          </cell>
          <cell r="AF339" t="str">
            <v/>
          </cell>
        </row>
        <row r="340">
          <cell r="Y340">
            <v>324</v>
          </cell>
          <cell r="Z340">
            <v>0.40832649730145931</v>
          </cell>
          <cell r="AA340">
            <v>-3.9190134871867774E-2</v>
          </cell>
          <cell r="AB340" t="str">
            <v/>
          </cell>
          <cell r="AC340" t="e">
            <v>#N/A</v>
          </cell>
          <cell r="AD340">
            <v>253</v>
          </cell>
          <cell r="AE340" t="e">
            <v>#N/A</v>
          </cell>
          <cell r="AF340" t="str">
            <v/>
          </cell>
        </row>
        <row r="341">
          <cell r="Y341">
            <v>325</v>
          </cell>
          <cell r="Z341">
            <v>0.28125905804336071</v>
          </cell>
          <cell r="AA341">
            <v>-9.7886663649201455E-2</v>
          </cell>
          <cell r="AB341" t="str">
            <v/>
          </cell>
          <cell r="AC341" t="e">
            <v>#N/A</v>
          </cell>
          <cell r="AD341">
            <v>254</v>
          </cell>
          <cell r="AE341" t="e">
            <v>#N/A</v>
          </cell>
          <cell r="AF341" t="str">
            <v/>
          </cell>
        </row>
        <row r="342">
          <cell r="Y342">
            <v>326</v>
          </cell>
          <cell r="Z342">
            <v>0.23680136166512966</v>
          </cell>
          <cell r="AA342">
            <v>-0.12113249795358201</v>
          </cell>
          <cell r="AB342" t="str">
            <v/>
          </cell>
          <cell r="AC342" t="e">
            <v>#N/A</v>
          </cell>
          <cell r="AD342">
            <v>255</v>
          </cell>
          <cell r="AE342" t="e">
            <v>#N/A</v>
          </cell>
          <cell r="AF342" t="str">
            <v/>
          </cell>
        </row>
        <row r="343">
          <cell r="Y343">
            <v>327</v>
          </cell>
          <cell r="Z343">
            <v>0.69506899826228619</v>
          </cell>
          <cell r="AA343">
            <v>8.6251448016678056E-2</v>
          </cell>
          <cell r="AB343" t="str">
            <v/>
          </cell>
          <cell r="AC343" t="e">
            <v>#N/A</v>
          </cell>
          <cell r="AD343">
            <v>256</v>
          </cell>
          <cell r="AE343" t="e">
            <v>#N/A</v>
          </cell>
          <cell r="AF343" t="str">
            <v/>
          </cell>
        </row>
        <row r="344">
          <cell r="Y344">
            <v>328</v>
          </cell>
          <cell r="Z344">
            <v>1.8519839271903038E-2</v>
          </cell>
          <cell r="AA344">
            <v>-0.35248450347946569</v>
          </cell>
          <cell r="AB344" t="str">
            <v/>
          </cell>
          <cell r="AC344" t="e">
            <v>#N/A</v>
          </cell>
          <cell r="AD344">
            <v>257</v>
          </cell>
          <cell r="AE344" t="e">
            <v>#N/A</v>
          </cell>
          <cell r="AF344" t="str">
            <v/>
          </cell>
        </row>
        <row r="345">
          <cell r="Y345">
            <v>329</v>
          </cell>
          <cell r="Z345">
            <v>0.63347694091498852</v>
          </cell>
          <cell r="AA345">
            <v>5.7652422683981526E-2</v>
          </cell>
          <cell r="AB345" t="str">
            <v/>
          </cell>
          <cell r="AC345" t="e">
            <v>#N/A</v>
          </cell>
          <cell r="AD345">
            <v>258</v>
          </cell>
          <cell r="AE345" t="e">
            <v>#N/A</v>
          </cell>
          <cell r="AF345" t="str">
            <v/>
          </cell>
        </row>
        <row r="346">
          <cell r="Y346">
            <v>330</v>
          </cell>
          <cell r="Z346">
            <v>0.64435011707246304</v>
          </cell>
          <cell r="AA346">
            <v>6.2560181928641628E-2</v>
          </cell>
          <cell r="AB346" t="str">
            <v/>
          </cell>
          <cell r="AC346" t="e">
            <v>#N/A</v>
          </cell>
          <cell r="AD346">
            <v>259</v>
          </cell>
          <cell r="AE346" t="e">
            <v>#N/A</v>
          </cell>
          <cell r="AF346" t="str">
            <v/>
          </cell>
        </row>
        <row r="347">
          <cell r="Y347">
            <v>331</v>
          </cell>
          <cell r="Z347">
            <v>0.54727615229785442</v>
          </cell>
          <cell r="AA347">
            <v>2.0077902377746832E-2</v>
          </cell>
          <cell r="AB347" t="str">
            <v/>
          </cell>
          <cell r="AC347" t="e">
            <v>#N/A</v>
          </cell>
          <cell r="AD347">
            <v>260</v>
          </cell>
          <cell r="AE347" t="e">
            <v>#N/A</v>
          </cell>
          <cell r="AF347" t="str">
            <v/>
          </cell>
        </row>
        <row r="348">
          <cell r="Y348">
            <v>332</v>
          </cell>
          <cell r="Z348">
            <v>0.637568524107337</v>
          </cell>
          <cell r="AA348">
            <v>5.9493294883987219E-2</v>
          </cell>
          <cell r="AB348" t="str">
            <v/>
          </cell>
          <cell r="AC348" t="e">
            <v>#N/A</v>
          </cell>
          <cell r="AD348">
            <v>261</v>
          </cell>
          <cell r="AE348" t="e">
            <v>#N/A</v>
          </cell>
          <cell r="AF348" t="str">
            <v/>
          </cell>
        </row>
        <row r="349">
          <cell r="Y349">
            <v>333</v>
          </cell>
          <cell r="Z349">
            <v>0.52946418337523937</v>
          </cell>
          <cell r="AA349">
            <v>1.249527212207612E-2</v>
          </cell>
          <cell r="AB349" t="str">
            <v/>
          </cell>
          <cell r="AC349" t="e">
            <v>#N/A</v>
          </cell>
          <cell r="AD349">
            <v>262</v>
          </cell>
          <cell r="AE349" t="e">
            <v>#N/A</v>
          </cell>
          <cell r="AF349" t="str">
            <v/>
          </cell>
        </row>
        <row r="350">
          <cell r="Y350">
            <v>334</v>
          </cell>
          <cell r="Z350">
            <v>0.71678677760064602</v>
          </cell>
          <cell r="AA350">
            <v>9.6909167288480549E-2</v>
          </cell>
          <cell r="AB350" t="str">
            <v/>
          </cell>
          <cell r="AC350" t="e">
            <v>#N/A</v>
          </cell>
          <cell r="AD350">
            <v>263</v>
          </cell>
          <cell r="AE350" t="e">
            <v>#N/A</v>
          </cell>
          <cell r="AF350" t="str">
            <v/>
          </cell>
        </row>
        <row r="351">
          <cell r="Y351">
            <v>335</v>
          </cell>
          <cell r="Z351">
            <v>9.4234568998217583E-2</v>
          </cell>
          <cell r="AA351">
            <v>-0.22229607300793386</v>
          </cell>
          <cell r="AB351" t="str">
            <v/>
          </cell>
          <cell r="AC351" t="e">
            <v>#N/A</v>
          </cell>
          <cell r="AD351">
            <v>264</v>
          </cell>
          <cell r="AE351" t="e">
            <v>#N/A</v>
          </cell>
          <cell r="AF351" t="str">
            <v/>
          </cell>
        </row>
        <row r="352">
          <cell r="Y352">
            <v>336</v>
          </cell>
          <cell r="Z352">
            <v>0.91503157280385494</v>
          </cell>
          <cell r="AA352">
            <v>0.23197907840259196</v>
          </cell>
          <cell r="AB352" t="str">
            <v/>
          </cell>
          <cell r="AC352" t="e">
            <v>#N/A</v>
          </cell>
          <cell r="AD352">
            <v>265</v>
          </cell>
          <cell r="AE352" t="e">
            <v>#N/A</v>
          </cell>
          <cell r="AF352" t="str">
            <v/>
          </cell>
        </row>
        <row r="353">
          <cell r="Y353">
            <v>337</v>
          </cell>
          <cell r="Z353">
            <v>0.62344899587333202</v>
          </cell>
          <cell r="AA353">
            <v>5.3168952274645263E-2</v>
          </cell>
          <cell r="AB353" t="str">
            <v/>
          </cell>
          <cell r="AC353" t="e">
            <v>#N/A</v>
          </cell>
          <cell r="AD353">
            <v>266</v>
          </cell>
          <cell r="AE353" t="e">
            <v>#N/A</v>
          </cell>
          <cell r="AF353" t="str">
            <v/>
          </cell>
        </row>
        <row r="354">
          <cell r="Y354">
            <v>338</v>
          </cell>
          <cell r="Z354">
            <v>6.3570266589522362E-2</v>
          </cell>
          <cell r="AA354">
            <v>-0.2578524264042984</v>
          </cell>
          <cell r="AB354" t="str">
            <v/>
          </cell>
          <cell r="AC354" t="e">
            <v>#N/A</v>
          </cell>
          <cell r="AD354">
            <v>267</v>
          </cell>
          <cell r="AE354" t="e">
            <v>#N/A</v>
          </cell>
          <cell r="AF354" t="str">
            <v/>
          </cell>
        </row>
        <row r="355">
          <cell r="Y355">
            <v>339</v>
          </cell>
          <cell r="Z355">
            <v>0.49230868928134441</v>
          </cell>
          <cell r="AA355">
            <v>-3.2589911048613602E-3</v>
          </cell>
          <cell r="AB355" t="str">
            <v/>
          </cell>
          <cell r="AC355" t="e">
            <v>#N/A</v>
          </cell>
          <cell r="AD355">
            <v>268</v>
          </cell>
          <cell r="AE355" t="e">
            <v>#N/A</v>
          </cell>
          <cell r="AF355" t="str">
            <v/>
          </cell>
        </row>
        <row r="356">
          <cell r="Y356">
            <v>340</v>
          </cell>
          <cell r="Z356">
            <v>0.29282640479505062</v>
          </cell>
          <cell r="AA356">
            <v>-9.2146565490377016E-2</v>
          </cell>
          <cell r="AB356" t="str">
            <v/>
          </cell>
          <cell r="AC356" t="e">
            <v>#N/A</v>
          </cell>
          <cell r="AD356">
            <v>269</v>
          </cell>
          <cell r="AE356" t="e">
            <v>#N/A</v>
          </cell>
          <cell r="AF356" t="str">
            <v/>
          </cell>
        </row>
        <row r="357">
          <cell r="Y357">
            <v>341</v>
          </cell>
          <cell r="Z357">
            <v>0.85469376854598522</v>
          </cell>
          <cell r="AA357">
            <v>0.17862825276514357</v>
          </cell>
          <cell r="AB357" t="str">
            <v/>
          </cell>
          <cell r="AC357" t="e">
            <v>#N/A</v>
          </cell>
          <cell r="AD357">
            <v>270</v>
          </cell>
          <cell r="AE357" t="e">
            <v>#N/A</v>
          </cell>
          <cell r="AF357" t="str">
            <v/>
          </cell>
        </row>
        <row r="358">
          <cell r="Y358">
            <v>342</v>
          </cell>
          <cell r="Z358">
            <v>0.79647884331643581</v>
          </cell>
          <cell r="AA358">
            <v>0.14014512470378954</v>
          </cell>
          <cell r="AB358" t="str">
            <v/>
          </cell>
          <cell r="AC358" t="e">
            <v>#N/A</v>
          </cell>
          <cell r="AD358">
            <v>271</v>
          </cell>
          <cell r="AE358" t="e">
            <v>#N/A</v>
          </cell>
          <cell r="AF358" t="str">
            <v/>
          </cell>
        </row>
        <row r="359">
          <cell r="Y359">
            <v>343</v>
          </cell>
          <cell r="Z359">
            <v>0.78738932125270367</v>
          </cell>
          <cell r="AA359">
            <v>0.13478444410751089</v>
          </cell>
          <cell r="AB359" t="str">
            <v/>
          </cell>
          <cell r="AC359" t="e">
            <v>#N/A</v>
          </cell>
          <cell r="AD359">
            <v>272</v>
          </cell>
          <cell r="AE359" t="e">
            <v>#N/A</v>
          </cell>
          <cell r="AF359" t="str">
            <v/>
          </cell>
        </row>
        <row r="360">
          <cell r="Y360">
            <v>344</v>
          </cell>
          <cell r="Z360">
            <v>0.44858821295201778</v>
          </cell>
          <cell r="AA360">
            <v>-2.18436929673133E-2</v>
          </cell>
          <cell r="AB360" t="str">
            <v/>
          </cell>
          <cell r="AC360" t="e">
            <v>#N/A</v>
          </cell>
          <cell r="AD360">
            <v>273</v>
          </cell>
          <cell r="AE360" t="e">
            <v>#N/A</v>
          </cell>
          <cell r="AF360" t="str">
            <v/>
          </cell>
        </row>
        <row r="361">
          <cell r="Y361">
            <v>345</v>
          </cell>
          <cell r="Z361">
            <v>0.96116694621741772</v>
          </cell>
          <cell r="AA361">
            <v>0.29823657725100799</v>
          </cell>
          <cell r="AB361" t="str">
            <v/>
          </cell>
          <cell r="AC361" t="e">
            <v>#N/A</v>
          </cell>
          <cell r="AD361">
            <v>274</v>
          </cell>
          <cell r="AE361" t="e">
            <v>#N/A</v>
          </cell>
          <cell r="AF361" t="str">
            <v/>
          </cell>
        </row>
        <row r="362">
          <cell r="Y362">
            <v>346</v>
          </cell>
          <cell r="Z362">
            <v>0.95734447799623013</v>
          </cell>
          <cell r="AA362">
            <v>0.290846015623906</v>
          </cell>
          <cell r="AB362" t="str">
            <v/>
          </cell>
          <cell r="AC362" t="e">
            <v>#N/A</v>
          </cell>
          <cell r="AD362">
            <v>275</v>
          </cell>
          <cell r="AE362" t="e">
            <v>#N/A</v>
          </cell>
          <cell r="AF362" t="str">
            <v/>
          </cell>
        </row>
        <row r="363">
          <cell r="Y363">
            <v>347</v>
          </cell>
          <cell r="Z363">
            <v>0.22544051520526409</v>
          </cell>
          <cell r="AA363">
            <v>-0.12744030766893799</v>
          </cell>
          <cell r="AB363" t="str">
            <v/>
          </cell>
          <cell r="AC363" t="e">
            <v>#N/A</v>
          </cell>
          <cell r="AD363">
            <v>276</v>
          </cell>
          <cell r="AE363" t="e">
            <v>#N/A</v>
          </cell>
          <cell r="AF363" t="str">
            <v/>
          </cell>
        </row>
        <row r="364">
          <cell r="Y364">
            <v>348</v>
          </cell>
          <cell r="Z364">
            <v>8.2779338583350182E-2</v>
          </cell>
          <cell r="AA364">
            <v>-0.23438099856357617</v>
          </cell>
          <cell r="AB364" t="str">
            <v/>
          </cell>
          <cell r="AC364" t="e">
            <v>#N/A</v>
          </cell>
          <cell r="AD364">
            <v>277</v>
          </cell>
          <cell r="AE364" t="e">
            <v>#N/A</v>
          </cell>
          <cell r="AF364" t="str">
            <v/>
          </cell>
        </row>
        <row r="365">
          <cell r="Y365">
            <v>349</v>
          </cell>
          <cell r="Z365">
            <v>0.46196490339934826</v>
          </cell>
          <cell r="AA365">
            <v>-1.6139867661828688E-2</v>
          </cell>
          <cell r="AB365" t="str">
            <v/>
          </cell>
          <cell r="AC365" t="e">
            <v>#N/A</v>
          </cell>
          <cell r="AD365">
            <v>278</v>
          </cell>
          <cell r="AE365" t="e">
            <v>#N/A</v>
          </cell>
          <cell r="AF365" t="str">
            <v/>
          </cell>
        </row>
        <row r="366">
          <cell r="Y366">
            <v>350</v>
          </cell>
          <cell r="Z366">
            <v>3.9537226781249046E-2</v>
          </cell>
          <cell r="AA366">
            <v>-0.29683198981238795</v>
          </cell>
          <cell r="AB366" t="str">
            <v/>
          </cell>
          <cell r="AC366" t="e">
            <v>#N/A</v>
          </cell>
          <cell r="AD366">
            <v>279</v>
          </cell>
          <cell r="AE366" t="e">
            <v>#N/A</v>
          </cell>
          <cell r="AF366" t="str">
            <v/>
          </cell>
        </row>
        <row r="367">
          <cell r="Y367">
            <v>351</v>
          </cell>
          <cell r="Z367">
            <v>0.78179643861949444</v>
          </cell>
          <cell r="AA367">
            <v>0.13155242461949546</v>
          </cell>
          <cell r="AB367" t="str">
            <v/>
          </cell>
          <cell r="AC367" t="e">
            <v>#N/A</v>
          </cell>
          <cell r="AD367">
            <v>280</v>
          </cell>
          <cell r="AE367" t="e">
            <v>#N/A</v>
          </cell>
          <cell r="AF367" t="str">
            <v/>
          </cell>
        </row>
        <row r="368">
          <cell r="Y368">
            <v>352</v>
          </cell>
          <cell r="Z368">
            <v>0.54954864643514156</v>
          </cell>
          <cell r="AA368">
            <v>2.1047904906164785E-2</v>
          </cell>
          <cell r="AB368" t="str">
            <v/>
          </cell>
          <cell r="AC368" t="e">
            <v>#N/A</v>
          </cell>
          <cell r="AD368">
            <v>281</v>
          </cell>
          <cell r="AE368" t="e">
            <v>#N/A</v>
          </cell>
          <cell r="AF368" t="str">
            <v/>
          </cell>
        </row>
        <row r="369">
          <cell r="Y369">
            <v>353</v>
          </cell>
          <cell r="Z369">
            <v>0.6084838192909956</v>
          </cell>
          <cell r="AA369">
            <v>4.6545943695042072E-2</v>
          </cell>
          <cell r="AB369" t="str">
            <v/>
          </cell>
          <cell r="AC369" t="e">
            <v>#N/A</v>
          </cell>
          <cell r="AD369">
            <v>282</v>
          </cell>
          <cell r="AE369" t="e">
            <v>#N/A</v>
          </cell>
          <cell r="AF369" t="str">
            <v/>
          </cell>
        </row>
        <row r="370">
          <cell r="Y370">
            <v>354</v>
          </cell>
          <cell r="Z370">
            <v>0.10319960676133633</v>
          </cell>
          <cell r="AA370">
            <v>-0.21357534339952616</v>
          </cell>
          <cell r="AB370" t="str">
            <v/>
          </cell>
          <cell r="AC370" t="e">
            <v>#N/A</v>
          </cell>
          <cell r="AD370">
            <v>283</v>
          </cell>
          <cell r="AE370" t="e">
            <v>#N/A</v>
          </cell>
          <cell r="AF370" t="str">
            <v/>
          </cell>
        </row>
        <row r="371">
          <cell r="Y371">
            <v>355</v>
          </cell>
          <cell r="Z371">
            <v>0.40920825116336346</v>
          </cell>
          <cell r="AA371">
            <v>-3.8806461026220686E-2</v>
          </cell>
          <cell r="AB371" t="str">
            <v/>
          </cell>
          <cell r="AC371" t="e">
            <v>#N/A</v>
          </cell>
          <cell r="AD371">
            <v>284</v>
          </cell>
          <cell r="AE371" t="e">
            <v>#N/A</v>
          </cell>
          <cell r="AF371" t="str">
            <v/>
          </cell>
        </row>
        <row r="372">
          <cell r="Y372">
            <v>356</v>
          </cell>
          <cell r="Z372">
            <v>0.83134089969098568</v>
          </cell>
          <cell r="AA372">
            <v>0.16218131460372634</v>
          </cell>
          <cell r="AB372" t="str">
            <v/>
          </cell>
          <cell r="AC372" t="e">
            <v>#N/A</v>
          </cell>
          <cell r="AD372">
            <v>285</v>
          </cell>
          <cell r="AE372" t="e">
            <v>#N/A</v>
          </cell>
          <cell r="AF372" t="str">
            <v/>
          </cell>
        </row>
        <row r="373">
          <cell r="Y373">
            <v>357</v>
          </cell>
          <cell r="Z373">
            <v>0.80434155277907848</v>
          </cell>
          <cell r="AA373">
            <v>0.14489858903332528</v>
          </cell>
          <cell r="AB373" t="str">
            <v/>
          </cell>
          <cell r="AC373" t="e">
            <v>#N/A</v>
          </cell>
          <cell r="AD373">
            <v>286</v>
          </cell>
          <cell r="AE373" t="e">
            <v>#N/A</v>
          </cell>
          <cell r="AF373" t="str">
            <v/>
          </cell>
        </row>
        <row r="374">
          <cell r="Y374">
            <v>358</v>
          </cell>
          <cell r="Z374">
            <v>0.98423097096383572</v>
          </cell>
          <cell r="AA374">
            <v>0.36345300066642933</v>
          </cell>
          <cell r="AB374" t="str">
            <v/>
          </cell>
          <cell r="AC374" t="e">
            <v>#N/A</v>
          </cell>
          <cell r="AD374">
            <v>287</v>
          </cell>
          <cell r="AE374" t="e">
            <v>#N/A</v>
          </cell>
          <cell r="AF374" t="str">
            <v/>
          </cell>
        </row>
        <row r="375">
          <cell r="Y375">
            <v>359</v>
          </cell>
          <cell r="Z375">
            <v>0.5046409796923399</v>
          </cell>
          <cell r="AA375">
            <v>1.9664158949710044E-3</v>
          </cell>
          <cell r="AB375" t="str">
            <v/>
          </cell>
          <cell r="AC375" t="e">
            <v>#N/A</v>
          </cell>
          <cell r="AD375">
            <v>288</v>
          </cell>
          <cell r="AE375" t="e">
            <v>#N/A</v>
          </cell>
          <cell r="AF375" t="str">
            <v/>
          </cell>
        </row>
        <row r="376">
          <cell r="Y376">
            <v>360</v>
          </cell>
          <cell r="Z376">
            <v>0.35725613497197628</v>
          </cell>
          <cell r="AA376">
            <v>-6.1831949601464861E-2</v>
          </cell>
          <cell r="AB376" t="str">
            <v/>
          </cell>
          <cell r="AC376" t="e">
            <v>#N/A</v>
          </cell>
          <cell r="AD376">
            <v>289</v>
          </cell>
          <cell r="AE376" t="e">
            <v>#N/A</v>
          </cell>
          <cell r="AF376" t="str">
            <v/>
          </cell>
        </row>
        <row r="377">
          <cell r="Y377">
            <v>361</v>
          </cell>
          <cell r="Z377">
            <v>0.99404951743781567</v>
          </cell>
          <cell r="AA377">
            <v>0.42512397205924968</v>
          </cell>
          <cell r="AB377" t="str">
            <v/>
          </cell>
          <cell r="AC377" t="e">
            <v>#N/A</v>
          </cell>
          <cell r="AD377">
            <v>290</v>
          </cell>
          <cell r="AE377" t="e">
            <v>#N/A</v>
          </cell>
          <cell r="AF377" t="str">
            <v/>
          </cell>
        </row>
        <row r="378">
          <cell r="Y378">
            <v>362</v>
          </cell>
          <cell r="Z378">
            <v>9.7021883353590965E-2</v>
          </cell>
          <cell r="AA378">
            <v>-0.21952191081479974</v>
          </cell>
          <cell r="AB378" t="str">
            <v/>
          </cell>
          <cell r="AC378" t="e">
            <v>#N/A</v>
          </cell>
          <cell r="AD378">
            <v>291</v>
          </cell>
          <cell r="AE378" t="e">
            <v>#N/A</v>
          </cell>
          <cell r="AF378" t="str">
            <v/>
          </cell>
        </row>
        <row r="379">
          <cell r="Y379">
            <v>363</v>
          </cell>
          <cell r="Z379">
            <v>9.4820393249392509E-2</v>
          </cell>
          <cell r="AA379">
            <v>-0.22170804770577135</v>
          </cell>
          <cell r="AB379" t="str">
            <v/>
          </cell>
          <cell r="AC379" t="e">
            <v>#N/A</v>
          </cell>
          <cell r="AD379">
            <v>292</v>
          </cell>
          <cell r="AE379" t="e">
            <v>#N/A</v>
          </cell>
          <cell r="AF379" t="str">
            <v/>
          </cell>
        </row>
        <row r="380">
          <cell r="Y380">
            <v>364</v>
          </cell>
          <cell r="Z380">
            <v>0.16515903733670712</v>
          </cell>
          <cell r="AA380">
            <v>-0.16454703703948859</v>
          </cell>
          <cell r="AB380" t="str">
            <v/>
          </cell>
          <cell r="AC380" t="e">
            <v>#N/A</v>
          </cell>
          <cell r="AD380">
            <v>293</v>
          </cell>
          <cell r="AE380" t="e">
            <v>#N/A</v>
          </cell>
          <cell r="AF380" t="str">
            <v/>
          </cell>
        </row>
        <row r="381">
          <cell r="Y381">
            <v>365</v>
          </cell>
          <cell r="Z381">
            <v>0.5204345565289259</v>
          </cell>
          <cell r="AA381">
            <v>8.6618602015252916E-3</v>
          </cell>
          <cell r="AB381" t="str">
            <v/>
          </cell>
          <cell r="AC381" t="e">
            <v>#N/A</v>
          </cell>
          <cell r="AD381">
            <v>294</v>
          </cell>
          <cell r="AE381" t="e">
            <v>#N/A</v>
          </cell>
          <cell r="AF381" t="str">
            <v/>
          </cell>
        </row>
        <row r="382">
          <cell r="Y382">
            <v>366</v>
          </cell>
          <cell r="Z382">
            <v>0.33093849383294582</v>
          </cell>
          <cell r="AA382">
            <v>-7.3921109091170306E-2</v>
          </cell>
          <cell r="AB382" t="str">
            <v/>
          </cell>
          <cell r="AC382" t="e">
            <v>#N/A</v>
          </cell>
          <cell r="AD382">
            <v>295</v>
          </cell>
          <cell r="AE382" t="e">
            <v>#N/A</v>
          </cell>
          <cell r="AF382" t="str">
            <v/>
          </cell>
        </row>
        <row r="383">
          <cell r="Y383">
            <v>367</v>
          </cell>
          <cell r="Z383">
            <v>0.24052987806499004</v>
          </cell>
          <cell r="AA383">
            <v>-0.11909898616144568</v>
          </cell>
          <cell r="AB383" t="str">
            <v/>
          </cell>
          <cell r="AC383" t="e">
            <v>#N/A</v>
          </cell>
          <cell r="AD383">
            <v>296</v>
          </cell>
          <cell r="AE383" t="e">
            <v>#N/A</v>
          </cell>
          <cell r="AF383" t="str">
            <v/>
          </cell>
        </row>
        <row r="384">
          <cell r="Y384">
            <v>368</v>
          </cell>
          <cell r="Z384">
            <v>0.90753831528127193</v>
          </cell>
          <cell r="AA384">
            <v>0.22409221714830055</v>
          </cell>
          <cell r="AB384" t="str">
            <v/>
          </cell>
          <cell r="AC384" t="e">
            <v>#N/A</v>
          </cell>
          <cell r="AD384">
            <v>297</v>
          </cell>
          <cell r="AE384" t="e">
            <v>#N/A</v>
          </cell>
          <cell r="AF384" t="str">
            <v/>
          </cell>
        </row>
        <row r="385">
          <cell r="Y385">
            <v>369</v>
          </cell>
          <cell r="Z385">
            <v>0.95081081800162792</v>
          </cell>
          <cell r="AA385">
            <v>0.27936855317549497</v>
          </cell>
          <cell r="AB385" t="str">
            <v/>
          </cell>
          <cell r="AC385" t="e">
            <v>#N/A</v>
          </cell>
          <cell r="AD385">
            <v>298</v>
          </cell>
          <cell r="AE385" t="e">
            <v>#N/A</v>
          </cell>
          <cell r="AF385" t="str">
            <v/>
          </cell>
        </row>
        <row r="386">
          <cell r="Y386">
            <v>370</v>
          </cell>
          <cell r="Z386">
            <v>0.54055691324174404</v>
          </cell>
          <cell r="AA386">
            <v>1.7213569860324688E-2</v>
          </cell>
          <cell r="AB386" t="str">
            <v/>
          </cell>
          <cell r="AC386" t="e">
            <v>#N/A</v>
          </cell>
          <cell r="AD386">
            <v>299</v>
          </cell>
          <cell r="AE386" t="e">
            <v>#N/A</v>
          </cell>
          <cell r="AF386" t="str">
            <v/>
          </cell>
        </row>
        <row r="387">
          <cell r="Y387">
            <v>371</v>
          </cell>
          <cell r="Z387">
            <v>0.15965731255710125</v>
          </cell>
          <cell r="AA387">
            <v>-0.16833229722870807</v>
          </cell>
          <cell r="AB387" t="str">
            <v/>
          </cell>
          <cell r="AC387" t="e">
            <v>#N/A</v>
          </cell>
          <cell r="AD387">
            <v>300</v>
          </cell>
          <cell r="AE387" t="e">
            <v>#N/A</v>
          </cell>
          <cell r="AF387" t="str">
            <v/>
          </cell>
        </row>
        <row r="388">
          <cell r="Y388">
            <v>372</v>
          </cell>
          <cell r="Z388">
            <v>0.20111607573926449</v>
          </cell>
          <cell r="AA388">
            <v>-0.14158723337224907</v>
          </cell>
          <cell r="AB388" t="str">
            <v/>
          </cell>
          <cell r="AC388" t="e">
            <v>#N/A</v>
          </cell>
          <cell r="AD388">
            <v>301</v>
          </cell>
          <cell r="AE388" t="e">
            <v>#N/A</v>
          </cell>
          <cell r="AF388" t="str">
            <v/>
          </cell>
        </row>
        <row r="389">
          <cell r="Y389">
            <v>373</v>
          </cell>
          <cell r="Z389">
            <v>0.3719016294926405</v>
          </cell>
          <cell r="AA389">
            <v>-5.5242835354744772E-2</v>
          </cell>
          <cell r="AB389" t="str">
            <v/>
          </cell>
          <cell r="AC389" t="e">
            <v>#N/A</v>
          </cell>
          <cell r="AD389">
            <v>302</v>
          </cell>
          <cell r="AE389" t="e">
            <v>#N/A</v>
          </cell>
          <cell r="AF389" t="str">
            <v/>
          </cell>
        </row>
        <row r="390">
          <cell r="Y390">
            <v>374</v>
          </cell>
          <cell r="Z390">
            <v>0.12964758835732937</v>
          </cell>
          <cell r="AA390">
            <v>-0.19067670310490439</v>
          </cell>
          <cell r="AB390" t="str">
            <v/>
          </cell>
          <cell r="AC390" t="e">
            <v>#N/A</v>
          </cell>
          <cell r="AD390">
            <v>303</v>
          </cell>
          <cell r="AE390" t="e">
            <v>#N/A</v>
          </cell>
          <cell r="AF390" t="str">
            <v/>
          </cell>
        </row>
        <row r="391">
          <cell r="Y391">
            <v>375</v>
          </cell>
          <cell r="Z391">
            <v>0.56899194233119488</v>
          </cell>
          <cell r="AA391">
            <v>2.9378966116688717E-2</v>
          </cell>
          <cell r="AB391" t="str">
            <v/>
          </cell>
          <cell r="AC391" t="e">
            <v>#N/A</v>
          </cell>
          <cell r="AD391">
            <v>304</v>
          </cell>
          <cell r="AE391" t="e">
            <v>#N/A</v>
          </cell>
          <cell r="AF391" t="str">
            <v/>
          </cell>
        </row>
        <row r="392">
          <cell r="Y392">
            <v>376</v>
          </cell>
          <cell r="Z392">
            <v>0.82020719908177853</v>
          </cell>
          <cell r="AA392">
            <v>0.15485845992927608</v>
          </cell>
          <cell r="AB392" t="str">
            <v/>
          </cell>
          <cell r="AC392" t="e">
            <v>#N/A</v>
          </cell>
          <cell r="AD392">
            <v>305</v>
          </cell>
          <cell r="AE392" t="e">
            <v>#N/A</v>
          </cell>
          <cell r="AF392" t="str">
            <v/>
          </cell>
        </row>
        <row r="393">
          <cell r="Y393">
            <v>377</v>
          </cell>
          <cell r="Z393">
            <v>0.65351137332618237</v>
          </cell>
          <cell r="AA393">
            <v>6.6736412540176926E-2</v>
          </cell>
          <cell r="AB393" t="str">
            <v/>
          </cell>
          <cell r="AC393" t="e">
            <v>#N/A</v>
          </cell>
          <cell r="AD393">
            <v>306</v>
          </cell>
          <cell r="AE393" t="e">
            <v>#N/A</v>
          </cell>
          <cell r="AF393" t="str">
            <v/>
          </cell>
        </row>
        <row r="394">
          <cell r="Y394">
            <v>378</v>
          </cell>
          <cell r="Z394">
            <v>0.22890967689454556</v>
          </cell>
          <cell r="AA394">
            <v>-0.1254956663228568</v>
          </cell>
          <cell r="AB394" t="str">
            <v/>
          </cell>
          <cell r="AC394" t="e">
            <v>#N/A</v>
          </cell>
          <cell r="AD394">
            <v>307</v>
          </cell>
          <cell r="AE394" t="e">
            <v>#N/A</v>
          </cell>
          <cell r="AF394" t="str">
            <v/>
          </cell>
        </row>
        <row r="395">
          <cell r="Y395">
            <v>379</v>
          </cell>
          <cell r="Z395">
            <v>0.74477125518023968</v>
          </cell>
          <cell r="AA395">
            <v>0.11124351377091866</v>
          </cell>
          <cell r="AB395" t="str">
            <v/>
          </cell>
          <cell r="AC395" t="e">
            <v>#N/A</v>
          </cell>
          <cell r="AD395">
            <v>308</v>
          </cell>
          <cell r="AE395" t="e">
            <v>#N/A</v>
          </cell>
          <cell r="AF395" t="str">
            <v/>
          </cell>
        </row>
        <row r="396">
          <cell r="Y396">
            <v>380</v>
          </cell>
          <cell r="Z396">
            <v>0.2338287141174078</v>
          </cell>
          <cell r="AA396">
            <v>-0.12276640409822454</v>
          </cell>
          <cell r="AB396" t="str">
            <v/>
          </cell>
          <cell r="AC396" t="e">
            <v>#N/A</v>
          </cell>
          <cell r="AD396">
            <v>309</v>
          </cell>
          <cell r="AE396" t="e">
            <v>#N/A</v>
          </cell>
          <cell r="AF396" t="str">
            <v/>
          </cell>
        </row>
        <row r="397">
          <cell r="Y397">
            <v>381</v>
          </cell>
          <cell r="Z397">
            <v>0.18094736151397228</v>
          </cell>
          <cell r="AA397">
            <v>-0.15411568044554544</v>
          </cell>
          <cell r="AB397" t="str">
            <v/>
          </cell>
          <cell r="AC397" t="e">
            <v>#N/A</v>
          </cell>
          <cell r="AD397">
            <v>310</v>
          </cell>
          <cell r="AE397" t="e">
            <v>#N/A</v>
          </cell>
          <cell r="AF397" t="str">
            <v/>
          </cell>
        </row>
        <row r="398">
          <cell r="Y398">
            <v>382</v>
          </cell>
          <cell r="Z398">
            <v>0.96745542250573635</v>
          </cell>
          <cell r="AA398">
            <v>0.31180196215791128</v>
          </cell>
          <cell r="AB398" t="str">
            <v/>
          </cell>
          <cell r="AC398" t="e">
            <v>#N/A</v>
          </cell>
          <cell r="AD398">
            <v>311</v>
          </cell>
          <cell r="AE398" t="e">
            <v>#N/A</v>
          </cell>
          <cell r="AF398" t="str">
            <v/>
          </cell>
        </row>
        <row r="399">
          <cell r="Y399">
            <v>383</v>
          </cell>
          <cell r="Z399">
            <v>0.8019778560847044</v>
          </cell>
          <cell r="AA399">
            <v>0.14345768533714193</v>
          </cell>
          <cell r="AB399" t="str">
            <v/>
          </cell>
          <cell r="AC399" t="e">
            <v>#N/A</v>
          </cell>
          <cell r="AD399">
            <v>312</v>
          </cell>
          <cell r="AE399" t="e">
            <v>#N/A</v>
          </cell>
          <cell r="AF399" t="str">
            <v/>
          </cell>
        </row>
        <row r="400">
          <cell r="Y400">
            <v>384</v>
          </cell>
          <cell r="Z400">
            <v>0.98655917309224606</v>
          </cell>
          <cell r="AA400">
            <v>0.3741044911777453</v>
          </cell>
          <cell r="AB400" t="str">
            <v/>
          </cell>
          <cell r="AC400" t="e">
            <v>#N/A</v>
          </cell>
          <cell r="AD400">
            <v>313</v>
          </cell>
          <cell r="AE400" t="e">
            <v>#N/A</v>
          </cell>
          <cell r="AF400" t="str">
            <v/>
          </cell>
        </row>
        <row r="401">
          <cell r="Y401">
            <v>385</v>
          </cell>
          <cell r="Z401">
            <v>0.556191710755229</v>
          </cell>
          <cell r="AA401">
            <v>2.3887562242195865E-2</v>
          </cell>
          <cell r="AB401" t="str">
            <v/>
          </cell>
          <cell r="AC401" t="e">
            <v>#N/A</v>
          </cell>
          <cell r="AD401">
            <v>314</v>
          </cell>
          <cell r="AE401" t="e">
            <v>#N/A</v>
          </cell>
          <cell r="AF401" t="str">
            <v/>
          </cell>
        </row>
        <row r="402">
          <cell r="Y402">
            <v>386</v>
          </cell>
          <cell r="Z402">
            <v>0.33804452978074551</v>
          </cell>
          <cell r="AA402">
            <v>-7.0622081551198729E-2</v>
          </cell>
          <cell r="AB402" t="str">
            <v/>
          </cell>
          <cell r="AC402" t="e">
            <v>#N/A</v>
          </cell>
          <cell r="AD402">
            <v>315</v>
          </cell>
          <cell r="AE402" t="e">
            <v>#N/A</v>
          </cell>
          <cell r="AF402" t="str">
            <v/>
          </cell>
        </row>
        <row r="403">
          <cell r="Y403">
            <v>387</v>
          </cell>
          <cell r="Z403">
            <v>0.69238634221255779</v>
          </cell>
          <cell r="AA403">
            <v>8.4959283726819906E-2</v>
          </cell>
          <cell r="AB403" t="str">
            <v/>
          </cell>
          <cell r="AC403" t="e">
            <v>#N/A</v>
          </cell>
          <cell r="AD403">
            <v>316</v>
          </cell>
          <cell r="AE403" t="e">
            <v>#N/A</v>
          </cell>
          <cell r="AF403" t="str">
            <v/>
          </cell>
        </row>
        <row r="404">
          <cell r="Y404">
            <v>388</v>
          </cell>
          <cell r="Z404">
            <v>0.42314802668988705</v>
          </cell>
          <cell r="AA404">
            <v>-3.2766043683843678E-2</v>
          </cell>
          <cell r="AB404" t="str">
            <v/>
          </cell>
          <cell r="AC404" t="e">
            <v>#N/A</v>
          </cell>
          <cell r="AD404">
            <v>317</v>
          </cell>
          <cell r="AE404" t="e">
            <v>#N/A</v>
          </cell>
          <cell r="AF404" t="str">
            <v/>
          </cell>
        </row>
        <row r="405">
          <cell r="Y405">
            <v>389</v>
          </cell>
          <cell r="Z405">
            <v>0.76782321743667126</v>
          </cell>
          <cell r="AA405">
            <v>0.12367935624086018</v>
          </cell>
          <cell r="AB405" t="str">
            <v/>
          </cell>
          <cell r="AC405" t="e">
            <v>#N/A</v>
          </cell>
          <cell r="AD405">
            <v>318</v>
          </cell>
          <cell r="AE405" t="e">
            <v>#N/A</v>
          </cell>
          <cell r="AF405" t="str">
            <v/>
          </cell>
        </row>
        <row r="406">
          <cell r="Y406">
            <v>390</v>
          </cell>
          <cell r="Z406">
            <v>0.15606853924691677</v>
          </cell>
          <cell r="AA406">
            <v>-0.17084758693205768</v>
          </cell>
          <cell r="AB406" t="str">
            <v/>
          </cell>
          <cell r="AC406" t="e">
            <v>#N/A</v>
          </cell>
          <cell r="AD406">
            <v>319</v>
          </cell>
          <cell r="AE406" t="e">
            <v>#N/A</v>
          </cell>
          <cell r="AF406" t="str">
            <v/>
          </cell>
        </row>
        <row r="407">
          <cell r="Y407">
            <v>391</v>
          </cell>
          <cell r="Z407">
            <v>0.42136017791926861</v>
          </cell>
          <cell r="AA407">
            <v>-3.3538262038070837E-2</v>
          </cell>
          <cell r="AB407" t="str">
            <v/>
          </cell>
          <cell r="AC407" t="e">
            <v>#N/A</v>
          </cell>
          <cell r="AD407">
            <v>320</v>
          </cell>
          <cell r="AE407" t="e">
            <v>#N/A</v>
          </cell>
          <cell r="AF407" t="str">
            <v/>
          </cell>
        </row>
        <row r="408">
          <cell r="Y408">
            <v>392</v>
          </cell>
          <cell r="Z408">
            <v>0.25687499903142452</v>
          </cell>
          <cell r="AA408">
            <v>-0.11037879235769008</v>
          </cell>
          <cell r="AB408" t="str">
            <v/>
          </cell>
          <cell r="AC408" t="e">
            <v>#N/A</v>
          </cell>
          <cell r="AD408">
            <v>321</v>
          </cell>
          <cell r="AE408" t="e">
            <v>#N/A</v>
          </cell>
          <cell r="AF408" t="str">
            <v/>
          </cell>
        </row>
        <row r="409">
          <cell r="Y409">
            <v>393</v>
          </cell>
          <cell r="Z409">
            <v>0.32968923263251781</v>
          </cell>
          <cell r="AA409">
            <v>-7.4503973037092247E-2</v>
          </cell>
          <cell r="AB409" t="str">
            <v/>
          </cell>
          <cell r="AC409" t="e">
            <v>#N/A</v>
          </cell>
          <cell r="AD409">
            <v>322</v>
          </cell>
          <cell r="AE409" t="e">
            <v>#N/A</v>
          </cell>
          <cell r="AF409" t="str">
            <v/>
          </cell>
        </row>
        <row r="410">
          <cell r="Y410">
            <v>394</v>
          </cell>
          <cell r="Z410">
            <v>0.61228520236909389</v>
          </cell>
          <cell r="AA410">
            <v>4.8221129745320793E-2</v>
          </cell>
          <cell r="AB410" t="str">
            <v/>
          </cell>
          <cell r="AC410" t="e">
            <v>#N/A</v>
          </cell>
          <cell r="AD410">
            <v>323</v>
          </cell>
          <cell r="AE410" t="e">
            <v>#N/A</v>
          </cell>
          <cell r="AF410" t="str">
            <v/>
          </cell>
        </row>
        <row r="411">
          <cell r="Y411">
            <v>395</v>
          </cell>
          <cell r="Z411">
            <v>0.9833985697478056</v>
          </cell>
          <cell r="AA411">
            <v>0.35997176311348095</v>
          </cell>
          <cell r="AB411" t="str">
            <v/>
          </cell>
          <cell r="AC411" t="e">
            <v>#N/A</v>
          </cell>
          <cell r="AD411">
            <v>324</v>
          </cell>
          <cell r="AE411" t="e">
            <v>#N/A</v>
          </cell>
          <cell r="AF411" t="str">
            <v/>
          </cell>
        </row>
        <row r="412">
          <cell r="Y412">
            <v>396</v>
          </cell>
          <cell r="Z412">
            <v>0.48165946267545223</v>
          </cell>
          <cell r="AA412">
            <v>-7.7735793173126146E-3</v>
          </cell>
          <cell r="AB412" t="str">
            <v/>
          </cell>
          <cell r="AC412" t="e">
            <v>#N/A</v>
          </cell>
          <cell r="AD412">
            <v>325</v>
          </cell>
          <cell r="AE412" t="e">
            <v>#N/A</v>
          </cell>
          <cell r="AF412" t="str">
            <v/>
          </cell>
        </row>
        <row r="413">
          <cell r="Y413">
            <v>397</v>
          </cell>
          <cell r="Z413">
            <v>0.88832753710448742</v>
          </cell>
          <cell r="AA413">
            <v>0.20582578643158073</v>
          </cell>
          <cell r="AB413" t="str">
            <v/>
          </cell>
          <cell r="AC413" t="e">
            <v>#N/A</v>
          </cell>
          <cell r="AD413">
            <v>326</v>
          </cell>
          <cell r="AE413" t="e">
            <v>#N/A</v>
          </cell>
          <cell r="AF413" t="str">
            <v/>
          </cell>
        </row>
        <row r="414">
          <cell r="Y414">
            <v>398</v>
          </cell>
          <cell r="Z414">
            <v>0.91930285654962063</v>
          </cell>
          <cell r="AA414">
            <v>0.23671039879274888</v>
          </cell>
          <cell r="AB414" t="str">
            <v/>
          </cell>
          <cell r="AC414" t="e">
            <v>#N/A</v>
          </cell>
          <cell r="AD414">
            <v>327</v>
          </cell>
          <cell r="AE414" t="e">
            <v>#N/A</v>
          </cell>
          <cell r="AF414" t="str">
            <v/>
          </cell>
        </row>
        <row r="415">
          <cell r="Y415">
            <v>399</v>
          </cell>
          <cell r="Z415">
            <v>0.5164333414286375</v>
          </cell>
          <cell r="AA415">
            <v>6.9647360934892502E-3</v>
          </cell>
          <cell r="AB415" t="str">
            <v/>
          </cell>
          <cell r="AC415" t="e">
            <v>#N/A</v>
          </cell>
          <cell r="AD415">
            <v>328</v>
          </cell>
          <cell r="AE415" t="e">
            <v>#N/A</v>
          </cell>
          <cell r="AF415" t="str">
            <v/>
          </cell>
        </row>
        <row r="416">
          <cell r="Y416">
            <v>400</v>
          </cell>
          <cell r="Z416">
            <v>0.12791981361806393</v>
          </cell>
          <cell r="AA416">
            <v>-0.19206628284649047</v>
          </cell>
          <cell r="AB416" t="str">
            <v/>
          </cell>
          <cell r="AC416" t="e">
            <v>#N/A</v>
          </cell>
          <cell r="AD416">
            <v>329</v>
          </cell>
          <cell r="AE416" t="e">
            <v>#N/A</v>
          </cell>
          <cell r="AF416" t="str">
            <v/>
          </cell>
        </row>
        <row r="417">
          <cell r="Y417">
            <v>401</v>
          </cell>
          <cell r="Z417">
            <v>0.79913821630179882</v>
          </cell>
          <cell r="AA417">
            <v>0.14174031155888778</v>
          </cell>
          <cell r="AB417" t="str">
            <v/>
          </cell>
          <cell r="AC417" t="e">
            <v>#N/A</v>
          </cell>
          <cell r="AD417">
            <v>330</v>
          </cell>
          <cell r="AE417" t="e">
            <v>#N/A</v>
          </cell>
          <cell r="AF417" t="str">
            <v/>
          </cell>
        </row>
        <row r="418">
          <cell r="Y418">
            <v>402</v>
          </cell>
          <cell r="Z418">
            <v>0.55181480012834072</v>
          </cell>
          <cell r="AA418">
            <v>2.2015891761615586E-2</v>
          </cell>
          <cell r="AB418" t="str">
            <v/>
          </cell>
          <cell r="AC418" t="e">
            <v>#N/A</v>
          </cell>
          <cell r="AD418">
            <v>331</v>
          </cell>
          <cell r="AE418" t="e">
            <v>#N/A</v>
          </cell>
          <cell r="AF418" t="str">
            <v/>
          </cell>
        </row>
        <row r="419">
          <cell r="Y419">
            <v>403</v>
          </cell>
          <cell r="Z419">
            <v>0.17487580887973309</v>
          </cell>
          <cell r="AA419">
            <v>-0.15805587727839082</v>
          </cell>
          <cell r="AB419" t="str">
            <v/>
          </cell>
          <cell r="AC419" t="e">
            <v>#N/A</v>
          </cell>
          <cell r="AD419">
            <v>332</v>
          </cell>
          <cell r="AE419" t="e">
            <v>#N/A</v>
          </cell>
          <cell r="AF419" t="str">
            <v/>
          </cell>
        </row>
        <row r="420">
          <cell r="Y420">
            <v>404</v>
          </cell>
          <cell r="Z420">
            <v>0.36218284629285336</v>
          </cell>
          <cell r="AA420">
            <v>-5.9605383068423223E-2</v>
          </cell>
          <cell r="AB420" t="str">
            <v/>
          </cell>
          <cell r="AC420" t="e">
            <v>#N/A</v>
          </cell>
          <cell r="AD420">
            <v>333</v>
          </cell>
          <cell r="AE420" t="e">
            <v>#N/A</v>
          </cell>
          <cell r="AF420" t="str">
            <v/>
          </cell>
        </row>
        <row r="421">
          <cell r="Y421">
            <v>405</v>
          </cell>
          <cell r="Z421">
            <v>0.17130553536117077</v>
          </cell>
          <cell r="AA421">
            <v>-0.1604134485959107</v>
          </cell>
          <cell r="AB421" t="str">
            <v/>
          </cell>
          <cell r="AC421" t="e">
            <v>#N/A</v>
          </cell>
          <cell r="AD421">
            <v>334</v>
          </cell>
          <cell r="AE421" t="e">
            <v>#N/A</v>
          </cell>
          <cell r="AF421" t="str">
            <v/>
          </cell>
        </row>
        <row r="422">
          <cell r="Y422">
            <v>406</v>
          </cell>
          <cell r="Z422">
            <v>0.58058366738259792</v>
          </cell>
          <cell r="AA422">
            <v>3.4378654913434878E-2</v>
          </cell>
          <cell r="AB422" t="str">
            <v/>
          </cell>
          <cell r="AC422" t="e">
            <v>#N/A</v>
          </cell>
          <cell r="AD422">
            <v>335</v>
          </cell>
          <cell r="AE422" t="e">
            <v>#N/A</v>
          </cell>
          <cell r="AF422" t="str">
            <v/>
          </cell>
        </row>
        <row r="423">
          <cell r="Y423">
            <v>407</v>
          </cell>
          <cell r="Z423">
            <v>0.22141365520656109</v>
          </cell>
          <cell r="AA423">
            <v>-0.12971894411010126</v>
          </cell>
          <cell r="AB423" t="str">
            <v/>
          </cell>
          <cell r="AC423" t="e">
            <v>#N/A</v>
          </cell>
          <cell r="AD423">
            <v>336</v>
          </cell>
          <cell r="AE423" t="e">
            <v>#N/A</v>
          </cell>
          <cell r="AF423" t="str">
            <v/>
          </cell>
        </row>
        <row r="424">
          <cell r="Y424">
            <v>408</v>
          </cell>
          <cell r="Z424">
            <v>0.43044312857091427</v>
          </cell>
          <cell r="AA424">
            <v>-2.9621998498214976E-2</v>
          </cell>
          <cell r="AB424" t="str">
            <v/>
          </cell>
          <cell r="AC424" t="e">
            <v>#N/A</v>
          </cell>
          <cell r="AD424">
            <v>337</v>
          </cell>
          <cell r="AE424" t="e">
            <v>#N/A</v>
          </cell>
          <cell r="AF424" t="str">
            <v/>
          </cell>
        </row>
        <row r="425">
          <cell r="Y425">
            <v>409</v>
          </cell>
          <cell r="Z425">
            <v>0.88146981410682201</v>
          </cell>
          <cell r="AA425">
            <v>0.19985638911502157</v>
          </cell>
          <cell r="AB425" t="str">
            <v/>
          </cell>
          <cell r="AC425" t="e">
            <v>#N/A</v>
          </cell>
          <cell r="AD425">
            <v>338</v>
          </cell>
          <cell r="AE425" t="e">
            <v>#N/A</v>
          </cell>
          <cell r="AF425" t="str">
            <v/>
          </cell>
        </row>
        <row r="426">
          <cell r="Y426">
            <v>410</v>
          </cell>
          <cell r="Z426">
            <v>0.60017580352723598</v>
          </cell>
          <cell r="AA426">
            <v>4.2900397634371382E-2</v>
          </cell>
          <cell r="AB426" t="str">
            <v/>
          </cell>
          <cell r="AC426" t="e">
            <v>#N/A</v>
          </cell>
          <cell r="AD426">
            <v>339</v>
          </cell>
          <cell r="AE426" t="e">
            <v>#N/A</v>
          </cell>
          <cell r="AF426" t="str">
            <v/>
          </cell>
        </row>
        <row r="427">
          <cell r="Y427">
            <v>411</v>
          </cell>
          <cell r="Z427">
            <v>0.83755780570209026</v>
          </cell>
          <cell r="AA427">
            <v>0.166405831524359</v>
          </cell>
          <cell r="AB427" t="str">
            <v/>
          </cell>
          <cell r="AC427" t="e">
            <v>#N/A</v>
          </cell>
          <cell r="AD427">
            <v>340</v>
          </cell>
          <cell r="AE427" t="e">
            <v>#N/A</v>
          </cell>
          <cell r="AF427" t="str">
            <v/>
          </cell>
        </row>
        <row r="428">
          <cell r="Y428">
            <v>412</v>
          </cell>
          <cell r="Z428">
            <v>0.94527237676084042</v>
          </cell>
          <cell r="AA428">
            <v>0.27055863266892338</v>
          </cell>
          <cell r="AB428" t="str">
            <v/>
          </cell>
          <cell r="AC428" t="e">
            <v>#N/A</v>
          </cell>
          <cell r="AD428">
            <v>341</v>
          </cell>
          <cell r="AE428" t="e">
            <v>#N/A</v>
          </cell>
          <cell r="AF428" t="str">
            <v/>
          </cell>
        </row>
        <row r="429">
          <cell r="Y429">
            <v>413</v>
          </cell>
          <cell r="Z429">
            <v>5.6149302050471306E-2</v>
          </cell>
          <cell r="AA429">
            <v>-0.268411823531293</v>
          </cell>
          <cell r="AB429" t="str">
            <v/>
          </cell>
          <cell r="AC429" t="e">
            <v>#N/A</v>
          </cell>
          <cell r="AD429">
            <v>342</v>
          </cell>
          <cell r="AE429" t="e">
            <v>#N/A</v>
          </cell>
          <cell r="AF429" t="str">
            <v/>
          </cell>
        </row>
        <row r="430">
          <cell r="Y430">
            <v>414</v>
          </cell>
          <cell r="Z430">
            <v>0.75044563971459866</v>
          </cell>
          <cell r="AA430">
            <v>0.11424673215195508</v>
          </cell>
          <cell r="AB430" t="str">
            <v/>
          </cell>
          <cell r="AC430" t="e">
            <v>#N/A</v>
          </cell>
          <cell r="AD430">
            <v>343</v>
          </cell>
          <cell r="AE430" t="e">
            <v>#N/A</v>
          </cell>
          <cell r="AF430" t="str">
            <v/>
          </cell>
        </row>
        <row r="431">
          <cell r="Y431">
            <v>415</v>
          </cell>
          <cell r="Z431">
            <v>0.15293930284678936</v>
          </cell>
          <cell r="AA431">
            <v>-0.1730720854510753</v>
          </cell>
          <cell r="AB431" t="str">
            <v/>
          </cell>
          <cell r="AC431" t="e">
            <v>#N/A</v>
          </cell>
          <cell r="AD431">
            <v>344</v>
          </cell>
          <cell r="AE431" t="e">
            <v>#N/A</v>
          </cell>
          <cell r="AF431" t="str">
            <v/>
          </cell>
        </row>
        <row r="432">
          <cell r="Y432">
            <v>416</v>
          </cell>
          <cell r="Z432">
            <v>1.6678830608725548E-2</v>
          </cell>
          <cell r="AA432">
            <v>-0.35965571038398531</v>
          </cell>
          <cell r="AB432" t="str">
            <v/>
          </cell>
          <cell r="AC432" t="e">
            <v>#N/A</v>
          </cell>
          <cell r="AD432">
            <v>345</v>
          </cell>
          <cell r="AE432" t="e">
            <v>#N/A</v>
          </cell>
          <cell r="AF432" t="str">
            <v/>
          </cell>
        </row>
        <row r="433">
          <cell r="Y433">
            <v>417</v>
          </cell>
          <cell r="Z433">
            <v>0.52291205339133739</v>
          </cell>
          <cell r="AA433">
            <v>9.7131228932154159E-3</v>
          </cell>
          <cell r="AB433" t="str">
            <v/>
          </cell>
          <cell r="AC433" t="e">
            <v>#N/A</v>
          </cell>
          <cell r="AD433">
            <v>346</v>
          </cell>
          <cell r="AE433" t="e">
            <v>#N/A</v>
          </cell>
          <cell r="AF433" t="str">
            <v/>
          </cell>
        </row>
        <row r="434">
          <cell r="Y434">
            <v>418</v>
          </cell>
          <cell r="Z434">
            <v>0.33177006803452969</v>
          </cell>
          <cell r="AA434">
            <v>-7.3533611211770322E-2</v>
          </cell>
          <cell r="AB434" t="str">
            <v/>
          </cell>
          <cell r="AC434" t="e">
            <v>#N/A</v>
          </cell>
          <cell r="AD434">
            <v>347</v>
          </cell>
          <cell r="AE434" t="e">
            <v>#N/A</v>
          </cell>
          <cell r="AF434" t="str">
            <v/>
          </cell>
        </row>
        <row r="435">
          <cell r="Y435">
            <v>419</v>
          </cell>
          <cell r="Z435">
            <v>0.99335618130862713</v>
          </cell>
          <cell r="AA435">
            <v>0.41851457519741075</v>
          </cell>
          <cell r="AB435" t="str">
            <v/>
          </cell>
          <cell r="AC435" t="e">
            <v>#N/A</v>
          </cell>
          <cell r="AD435">
            <v>348</v>
          </cell>
          <cell r="AE435" t="e">
            <v>#N/A</v>
          </cell>
          <cell r="AF435" t="str">
            <v/>
          </cell>
        </row>
        <row r="436">
          <cell r="Y436">
            <v>420</v>
          </cell>
          <cell r="Z436">
            <v>0.72671662829816341</v>
          </cell>
          <cell r="AA436">
            <v>0.1019108526872998</v>
          </cell>
          <cell r="AB436" t="str">
            <v/>
          </cell>
          <cell r="AC436" t="e">
            <v>#N/A</v>
          </cell>
          <cell r="AD436">
            <v>349</v>
          </cell>
          <cell r="AE436" t="e">
            <v>#N/A</v>
          </cell>
          <cell r="AF436" t="str">
            <v/>
          </cell>
        </row>
        <row r="437">
          <cell r="Y437">
            <v>421</v>
          </cell>
          <cell r="Z437">
            <v>0.73029780201613903</v>
          </cell>
          <cell r="AA437">
            <v>0.10373658416111502</v>
          </cell>
          <cell r="AB437" t="str">
            <v/>
          </cell>
          <cell r="AC437" t="e">
            <v>#N/A</v>
          </cell>
          <cell r="AD437">
            <v>350</v>
          </cell>
          <cell r="AE437" t="e">
            <v>#N/A</v>
          </cell>
          <cell r="AF437" t="str">
            <v/>
          </cell>
        </row>
        <row r="438">
          <cell r="Y438">
            <v>422</v>
          </cell>
          <cell r="Z438">
            <v>0.51403281651437283</v>
          </cell>
          <cell r="AA438">
            <v>5.9468960311279588E-3</v>
          </cell>
          <cell r="AB438" t="str">
            <v/>
          </cell>
          <cell r="AC438" t="e">
            <v>#N/A</v>
          </cell>
          <cell r="AD438">
            <v>351</v>
          </cell>
          <cell r="AE438" t="e">
            <v>#N/A</v>
          </cell>
          <cell r="AF438" t="str">
            <v/>
          </cell>
        </row>
        <row r="439">
          <cell r="Y439">
            <v>423</v>
          </cell>
          <cell r="Z439">
            <v>0.84757034294307232</v>
          </cell>
          <cell r="AA439">
            <v>0.17343722551661547</v>
          </cell>
          <cell r="AB439" t="str">
            <v/>
          </cell>
          <cell r="AC439" t="e">
            <v>#N/A</v>
          </cell>
          <cell r="AD439">
            <v>352</v>
          </cell>
          <cell r="AE439" t="e">
            <v>#N/A</v>
          </cell>
          <cell r="AF439" t="str">
            <v/>
          </cell>
        </row>
        <row r="440">
          <cell r="Y440">
            <v>424</v>
          </cell>
          <cell r="Z440">
            <v>0.44784518145024776</v>
          </cell>
          <cell r="AA440">
            <v>-2.2161192062877748E-2</v>
          </cell>
          <cell r="AB440" t="str">
            <v/>
          </cell>
          <cell r="AC440" t="e">
            <v>#N/A</v>
          </cell>
          <cell r="AD440">
            <v>353</v>
          </cell>
          <cell r="AE440" t="e">
            <v>#N/A</v>
          </cell>
          <cell r="AF440" t="str">
            <v/>
          </cell>
        </row>
        <row r="441">
          <cell r="Y441">
            <v>425</v>
          </cell>
          <cell r="Z441">
            <v>0.63648983649909496</v>
          </cell>
          <cell r="AA441">
            <v>5.9007298750783144E-2</v>
          </cell>
          <cell r="AB441" t="str">
            <v/>
          </cell>
          <cell r="AC441" t="e">
            <v>#N/A</v>
          </cell>
          <cell r="AD441">
            <v>354</v>
          </cell>
          <cell r="AE441" t="e">
            <v>#N/A</v>
          </cell>
          <cell r="AF441" t="str">
            <v/>
          </cell>
        </row>
        <row r="442">
          <cell r="Y442">
            <v>426</v>
          </cell>
          <cell r="Z442">
            <v>0.63935882411897182</v>
          </cell>
          <cell r="AA442">
            <v>6.0300992709741166E-2</v>
          </cell>
          <cell r="AB442" t="str">
            <v/>
          </cell>
          <cell r="AC442" t="e">
            <v>#N/A</v>
          </cell>
          <cell r="AD442">
            <v>355</v>
          </cell>
          <cell r="AE442" t="e">
            <v>#N/A</v>
          </cell>
          <cell r="AF442" t="str">
            <v/>
          </cell>
        </row>
        <row r="443">
          <cell r="Y443">
            <v>427</v>
          </cell>
          <cell r="Z443">
            <v>0.55285443179309368</v>
          </cell>
          <cell r="AA443">
            <v>2.2460209901496171E-2</v>
          </cell>
          <cell r="AB443" t="str">
            <v/>
          </cell>
          <cell r="AC443" t="e">
            <v>#N/A</v>
          </cell>
          <cell r="AD443">
            <v>356</v>
          </cell>
          <cell r="AE443" t="e">
            <v>#N/A</v>
          </cell>
          <cell r="AF443" t="str">
            <v/>
          </cell>
        </row>
        <row r="444">
          <cell r="Y444">
            <v>428</v>
          </cell>
          <cell r="Z444">
            <v>0.50503855012357235</v>
          </cell>
          <cell r="AA444">
            <v>2.1348779005017568E-3</v>
          </cell>
          <cell r="AB444" t="str">
            <v/>
          </cell>
          <cell r="AC444" t="e">
            <v>#N/A</v>
          </cell>
          <cell r="AD444">
            <v>357</v>
          </cell>
          <cell r="AE444" t="e">
            <v>#N/A</v>
          </cell>
          <cell r="AF444" t="str">
            <v/>
          </cell>
        </row>
        <row r="445">
          <cell r="Y445">
            <v>429</v>
          </cell>
          <cell r="Z445">
            <v>6.6736875101923943E-2</v>
          </cell>
          <cell r="AA445">
            <v>-0.25363809510901414</v>
          </cell>
          <cell r="AB445" t="str">
            <v/>
          </cell>
          <cell r="AC445" t="e">
            <v>#N/A</v>
          </cell>
          <cell r="AD445">
            <v>358</v>
          </cell>
          <cell r="AE445" t="e">
            <v>#N/A</v>
          </cell>
          <cell r="AF445" t="str">
            <v/>
          </cell>
        </row>
        <row r="446">
          <cell r="Y446">
            <v>430</v>
          </cell>
          <cell r="Z446">
            <v>0.61859861575067043</v>
          </cell>
          <cell r="AA446">
            <v>5.1013901568045916E-2</v>
          </cell>
          <cell r="AB446" t="str">
            <v/>
          </cell>
          <cell r="AC446" t="e">
            <v>#N/A</v>
          </cell>
          <cell r="AD446">
            <v>359</v>
          </cell>
          <cell r="AE446" t="e">
            <v>#N/A</v>
          </cell>
          <cell r="AF446" t="str">
            <v/>
          </cell>
        </row>
        <row r="447">
          <cell r="Y447">
            <v>431</v>
          </cell>
          <cell r="Z447">
            <v>0.19928870908915997</v>
          </cell>
          <cell r="AA447">
            <v>-0.14268986519589308</v>
          </cell>
          <cell r="AB447" t="str">
            <v/>
          </cell>
          <cell r="AC447" t="e">
            <v>#N/A</v>
          </cell>
          <cell r="AD447">
            <v>360</v>
          </cell>
          <cell r="AE447" t="e">
            <v>#N/A</v>
          </cell>
          <cell r="AF447" t="str">
            <v/>
          </cell>
        </row>
        <row r="448">
          <cell r="Y448">
            <v>432</v>
          </cell>
          <cell r="Z448">
            <v>0.68164481781423092</v>
          </cell>
          <cell r="AA448">
            <v>7.9833817065523616E-2</v>
          </cell>
          <cell r="AB448" t="str">
            <v/>
          </cell>
          <cell r="AC448" t="e">
            <v>#N/A</v>
          </cell>
          <cell r="AD448">
            <v>361</v>
          </cell>
          <cell r="AE448" t="e">
            <v>#N/A</v>
          </cell>
          <cell r="AF448" t="str">
            <v/>
          </cell>
        </row>
        <row r="449">
          <cell r="Y449">
            <v>433</v>
          </cell>
          <cell r="Z449">
            <v>3.9524940773844719E-2</v>
          </cell>
          <cell r="AA449">
            <v>-0.29685632110848881</v>
          </cell>
          <cell r="AB449" t="str">
            <v/>
          </cell>
          <cell r="AC449" t="e">
            <v>#N/A</v>
          </cell>
          <cell r="AD449">
            <v>362</v>
          </cell>
          <cell r="AE449" t="e">
            <v>#N/A</v>
          </cell>
          <cell r="AF449" t="str">
            <v/>
          </cell>
        </row>
        <row r="450">
          <cell r="Y450">
            <v>434</v>
          </cell>
          <cell r="Z450">
            <v>0.9215626772493124</v>
          </cell>
          <cell r="AA450">
            <v>0.23929046232783518</v>
          </cell>
          <cell r="AB450" t="str">
            <v/>
          </cell>
          <cell r="AC450" t="e">
            <v>#N/A</v>
          </cell>
          <cell r="AD450">
            <v>363</v>
          </cell>
          <cell r="AE450" t="e">
            <v>#N/A</v>
          </cell>
          <cell r="AF450" t="str">
            <v/>
          </cell>
        </row>
        <row r="451">
          <cell r="Y451">
            <v>435</v>
          </cell>
          <cell r="Z451">
            <v>0.75280792824923992</v>
          </cell>
          <cell r="AA451">
            <v>0.11550765021337224</v>
          </cell>
          <cell r="AB451" t="str">
            <v/>
          </cell>
          <cell r="AC451" t="e">
            <v>#N/A</v>
          </cell>
          <cell r="AD451">
            <v>364</v>
          </cell>
          <cell r="AE451" t="e">
            <v>#N/A</v>
          </cell>
          <cell r="AF451" t="str">
            <v/>
          </cell>
        </row>
        <row r="452">
          <cell r="Y452">
            <v>436</v>
          </cell>
          <cell r="Z452">
            <v>6.8995466455817223E-2</v>
          </cell>
          <cell r="AA452">
            <v>-0.25072587316304012</v>
          </cell>
          <cell r="AB452" t="str">
            <v/>
          </cell>
          <cell r="AC452" t="e">
            <v>#N/A</v>
          </cell>
          <cell r="AD452">
            <v>365</v>
          </cell>
          <cell r="AE452" t="e">
            <v>#N/A</v>
          </cell>
          <cell r="AF452" t="str">
            <v/>
          </cell>
        </row>
        <row r="453">
          <cell r="Y453">
            <v>437</v>
          </cell>
          <cell r="Z453">
            <v>0.56149923615157604</v>
          </cell>
          <cell r="AA453">
            <v>2.6161143862732862E-2</v>
          </cell>
          <cell r="AB453" t="str">
            <v/>
          </cell>
          <cell r="AC453" t="e">
            <v>#N/A</v>
          </cell>
          <cell r="AD453">
            <v>366</v>
          </cell>
          <cell r="AE453" t="e">
            <v>#N/A</v>
          </cell>
          <cell r="AF453" t="str">
            <v/>
          </cell>
        </row>
        <row r="454">
          <cell r="Y454">
            <v>438</v>
          </cell>
          <cell r="Z454">
            <v>0.66100583039224148</v>
          </cell>
          <cell r="AA454">
            <v>7.0183262606242108E-2</v>
          </cell>
          <cell r="AB454" t="str">
            <v/>
          </cell>
          <cell r="AC454" t="e">
            <v>#N/A</v>
          </cell>
          <cell r="AD454">
            <v>367</v>
          </cell>
          <cell r="AE454" t="e">
            <v>#N/A</v>
          </cell>
          <cell r="AF454" t="str">
            <v/>
          </cell>
        </row>
        <row r="455">
          <cell r="Y455">
            <v>439</v>
          </cell>
          <cell r="Z455">
            <v>0.8969982098788023</v>
          </cell>
          <cell r="AA455">
            <v>0.21376167988277645</v>
          </cell>
          <cell r="AB455" t="str">
            <v/>
          </cell>
          <cell r="AC455" t="e">
            <v>#N/A</v>
          </cell>
          <cell r="AD455">
            <v>368</v>
          </cell>
          <cell r="AE455" t="e">
            <v>#N/A</v>
          </cell>
          <cell r="AF455" t="str">
            <v/>
          </cell>
        </row>
        <row r="456">
          <cell r="Y456">
            <v>440</v>
          </cell>
          <cell r="Z456">
            <v>0.75976475141942501</v>
          </cell>
          <cell r="AA456">
            <v>0.11925904584463516</v>
          </cell>
          <cell r="AB456" t="str">
            <v/>
          </cell>
          <cell r="AC456" t="e">
            <v>#N/A</v>
          </cell>
          <cell r="AD456">
            <v>369</v>
          </cell>
          <cell r="AE456" t="e">
            <v>#N/A</v>
          </cell>
          <cell r="AF456" t="str">
            <v/>
          </cell>
        </row>
        <row r="457">
          <cell r="Y457">
            <v>441</v>
          </cell>
          <cell r="Z457">
            <v>0.39113601855933666</v>
          </cell>
          <cell r="AA457">
            <v>-4.6713264508987606E-2</v>
          </cell>
          <cell r="AB457" t="str">
            <v/>
          </cell>
          <cell r="AC457" t="e">
            <v>#N/A</v>
          </cell>
          <cell r="AD457">
            <v>370</v>
          </cell>
          <cell r="AE457" t="e">
            <v>#N/A</v>
          </cell>
          <cell r="AF457" t="str">
            <v/>
          </cell>
        </row>
        <row r="458">
          <cell r="Y458">
            <v>442</v>
          </cell>
          <cell r="Z458">
            <v>0.27036160789430141</v>
          </cell>
          <cell r="AA458">
            <v>-0.10339950395189798</v>
          </cell>
          <cell r="AB458" t="str">
            <v/>
          </cell>
          <cell r="AC458" t="e">
            <v>#N/A</v>
          </cell>
          <cell r="AD458">
            <v>371</v>
          </cell>
          <cell r="AE458" t="e">
            <v>#N/A</v>
          </cell>
          <cell r="AF458" t="str">
            <v/>
          </cell>
        </row>
        <row r="459">
          <cell r="Y459">
            <v>443</v>
          </cell>
          <cell r="Z459">
            <v>0.59364391677081585</v>
          </cell>
          <cell r="AA459">
            <v>4.0048246256944905E-2</v>
          </cell>
          <cell r="AB459" t="str">
            <v/>
          </cell>
          <cell r="AC459" t="e">
            <v>#N/A</v>
          </cell>
          <cell r="AD459">
            <v>372</v>
          </cell>
          <cell r="AE459" t="e">
            <v>#N/A</v>
          </cell>
          <cell r="AF459" t="str">
            <v/>
          </cell>
        </row>
        <row r="460">
          <cell r="Y460">
            <v>444</v>
          </cell>
          <cell r="Z460">
            <v>0.88507907651364803</v>
          </cell>
          <cell r="AA460">
            <v>0.20296655851303352</v>
          </cell>
          <cell r="AB460" t="str">
            <v/>
          </cell>
          <cell r="AC460" t="e">
            <v>#N/A</v>
          </cell>
          <cell r="AD460">
            <v>373</v>
          </cell>
          <cell r="AE460" t="e">
            <v>#N/A</v>
          </cell>
          <cell r="AF460" t="str">
            <v/>
          </cell>
        </row>
        <row r="461">
          <cell r="Y461">
            <v>445</v>
          </cell>
          <cell r="Z461">
            <v>0.27116447500884533</v>
          </cell>
          <cell r="AA461">
            <v>-0.10298964483908195</v>
          </cell>
          <cell r="AB461" t="str">
            <v/>
          </cell>
          <cell r="AC461" t="e">
            <v>#N/A</v>
          </cell>
          <cell r="AD461">
            <v>374</v>
          </cell>
          <cell r="AE461" t="e">
            <v>#N/A</v>
          </cell>
          <cell r="AF461" t="str">
            <v/>
          </cell>
        </row>
        <row r="462">
          <cell r="Y462">
            <v>446</v>
          </cell>
          <cell r="Z462">
            <v>0.27522662840783596</v>
          </cell>
          <cell r="AA462">
            <v>-0.10092512108443684</v>
          </cell>
          <cell r="AB462" t="str">
            <v/>
          </cell>
          <cell r="AC462" t="e">
            <v>#N/A</v>
          </cell>
          <cell r="AD462">
            <v>375</v>
          </cell>
          <cell r="AE462" t="e">
            <v>#N/A</v>
          </cell>
          <cell r="AF462" t="str">
            <v/>
          </cell>
        </row>
        <row r="463">
          <cell r="Y463">
            <v>447</v>
          </cell>
          <cell r="Z463">
            <v>0.86202452890574932</v>
          </cell>
          <cell r="AA463">
            <v>0.18415240560073945</v>
          </cell>
          <cell r="AB463" t="str">
            <v/>
          </cell>
          <cell r="AC463" t="e">
            <v>#N/A</v>
          </cell>
          <cell r="AD463">
            <v>376</v>
          </cell>
          <cell r="AE463" t="e">
            <v>#N/A</v>
          </cell>
          <cell r="AF463" t="str">
            <v/>
          </cell>
        </row>
        <row r="464">
          <cell r="Y464">
            <v>448</v>
          </cell>
          <cell r="Z464">
            <v>0.49537636898458004</v>
          </cell>
          <cell r="AA464">
            <v>-1.9590648081880546E-3</v>
          </cell>
          <cell r="AB464" t="str">
            <v/>
          </cell>
          <cell r="AC464" t="e">
            <v>#N/A</v>
          </cell>
          <cell r="AD464">
            <v>377</v>
          </cell>
          <cell r="AE464" t="e">
            <v>#N/A</v>
          </cell>
          <cell r="AF464" t="str">
            <v/>
          </cell>
        </row>
        <row r="465">
          <cell r="Y465">
            <v>449</v>
          </cell>
          <cell r="Z465">
            <v>0.12973859719932079</v>
          </cell>
          <cell r="AA465">
            <v>-0.19060386521897635</v>
          </cell>
          <cell r="AB465" t="str">
            <v/>
          </cell>
          <cell r="AC465" t="e">
            <v>#N/A</v>
          </cell>
          <cell r="AD465">
            <v>378</v>
          </cell>
          <cell r="AE465" t="e">
            <v>#N/A</v>
          </cell>
          <cell r="AF465" t="str">
            <v/>
          </cell>
        </row>
        <row r="466">
          <cell r="Y466">
            <v>450</v>
          </cell>
          <cell r="Z466">
            <v>0.65859497152268887</v>
          </cell>
          <cell r="AA466">
            <v>6.907134245924583E-2</v>
          </cell>
          <cell r="AB466" t="str">
            <v/>
          </cell>
          <cell r="AC466" t="e">
            <v>#N/A</v>
          </cell>
          <cell r="AD466">
            <v>379</v>
          </cell>
          <cell r="AE466" t="e">
            <v>#N/A</v>
          </cell>
          <cell r="AF466" t="str">
            <v/>
          </cell>
        </row>
        <row r="467">
          <cell r="Y467">
            <v>451</v>
          </cell>
          <cell r="Z467">
            <v>0.27696151845157146</v>
          </cell>
          <cell r="AA467">
            <v>-0.10004797670565832</v>
          </cell>
          <cell r="AB467" t="str">
            <v/>
          </cell>
          <cell r="AC467" t="e">
            <v>#N/A</v>
          </cell>
          <cell r="AD467">
            <v>380</v>
          </cell>
          <cell r="AE467" t="e">
            <v>#N/A</v>
          </cell>
          <cell r="AF467" t="str">
            <v/>
          </cell>
        </row>
        <row r="468">
          <cell r="Y468">
            <v>452</v>
          </cell>
          <cell r="Z468">
            <v>0.78501545451581478</v>
          </cell>
          <cell r="AA468">
            <v>0.13340667716919083</v>
          </cell>
          <cell r="AB468" t="str">
            <v/>
          </cell>
          <cell r="AC468" t="e">
            <v>#N/A</v>
          </cell>
          <cell r="AD468">
            <v>381</v>
          </cell>
          <cell r="AE468" t="e">
            <v>#N/A</v>
          </cell>
          <cell r="AF468" t="str">
            <v/>
          </cell>
        </row>
        <row r="469">
          <cell r="Y469">
            <v>453</v>
          </cell>
          <cell r="Z469">
            <v>0.7503590565174818</v>
          </cell>
          <cell r="AA469">
            <v>0.11420063765133036</v>
          </cell>
          <cell r="AB469" t="str">
            <v/>
          </cell>
          <cell r="AC469" t="e">
            <v>#N/A</v>
          </cell>
          <cell r="AD469">
            <v>382</v>
          </cell>
          <cell r="AE469" t="e">
            <v>#N/A</v>
          </cell>
          <cell r="AF469" t="str">
            <v/>
          </cell>
        </row>
        <row r="470">
          <cell r="Y470">
            <v>454</v>
          </cell>
          <cell r="Z470">
            <v>0.31984255276620388</v>
          </cell>
          <cell r="AA470">
            <v>-7.9129953758609595E-2</v>
          </cell>
          <cell r="AB470" t="str">
            <v/>
          </cell>
          <cell r="AC470" t="e">
            <v>#N/A</v>
          </cell>
          <cell r="AD470">
            <v>383</v>
          </cell>
          <cell r="AE470" t="e">
            <v>#N/A</v>
          </cell>
          <cell r="AF470" t="str">
            <v/>
          </cell>
        </row>
        <row r="471">
          <cell r="Y471">
            <v>455</v>
          </cell>
          <cell r="Z471">
            <v>0.68561522476375103</v>
          </cell>
          <cell r="AA471">
            <v>8.1719560966919333E-2</v>
          </cell>
          <cell r="AB471" t="str">
            <v/>
          </cell>
          <cell r="AC471" t="e">
            <v>#N/A</v>
          </cell>
          <cell r="AD471">
            <v>384</v>
          </cell>
          <cell r="AE471" t="e">
            <v>#N/A</v>
          </cell>
          <cell r="AF471" t="str">
            <v/>
          </cell>
        </row>
        <row r="472">
          <cell r="Y472">
            <v>456</v>
          </cell>
          <cell r="Z472">
            <v>0.16063543222844601</v>
          </cell>
          <cell r="AA472">
            <v>-0.16765319350170746</v>
          </cell>
          <cell r="AB472" t="str">
            <v/>
          </cell>
          <cell r="AC472" t="e">
            <v>#N/A</v>
          </cell>
          <cell r="AD472">
            <v>385</v>
          </cell>
          <cell r="AE472" t="e">
            <v>#N/A</v>
          </cell>
          <cell r="AF472" t="str">
            <v/>
          </cell>
        </row>
        <row r="473">
          <cell r="Y473">
            <v>457</v>
          </cell>
          <cell r="Z473">
            <v>0.41054507903754711</v>
          </cell>
          <cell r="AA473">
            <v>-3.8225153176935443E-2</v>
          </cell>
          <cell r="AB473" t="str">
            <v/>
          </cell>
          <cell r="AC473" t="e">
            <v>#N/A</v>
          </cell>
          <cell r="AD473">
            <v>386</v>
          </cell>
          <cell r="AE473" t="e">
            <v>#N/A</v>
          </cell>
          <cell r="AF473" t="str">
            <v/>
          </cell>
        </row>
        <row r="474">
          <cell r="Y474">
            <v>458</v>
          </cell>
          <cell r="Z474">
            <v>0.12746149860322475</v>
          </cell>
          <cell r="AA474">
            <v>-0.19243707199839935</v>
          </cell>
          <cell r="AB474" t="str">
            <v/>
          </cell>
          <cell r="AC474" t="e">
            <v>#N/A</v>
          </cell>
          <cell r="AD474">
            <v>387</v>
          </cell>
          <cell r="AE474" t="e">
            <v>#N/A</v>
          </cell>
          <cell r="AF474" t="str">
            <v/>
          </cell>
        </row>
        <row r="475">
          <cell r="Y475">
            <v>459</v>
          </cell>
          <cell r="Z475">
            <v>0.64303172938525677</v>
          </cell>
          <cell r="AA475">
            <v>6.1962374939212715E-2</v>
          </cell>
          <cell r="AB475" t="str">
            <v/>
          </cell>
          <cell r="AC475" t="e">
            <v>#N/A</v>
          </cell>
          <cell r="AD475">
            <v>388</v>
          </cell>
          <cell r="AE475" t="e">
            <v>#N/A</v>
          </cell>
          <cell r="AF475" t="str">
            <v/>
          </cell>
        </row>
        <row r="476">
          <cell r="Y476">
            <v>460</v>
          </cell>
          <cell r="Z476">
            <v>0.65326504968106747</v>
          </cell>
          <cell r="AA476">
            <v>6.6623600877348865E-2</v>
          </cell>
          <cell r="AB476" t="str">
            <v/>
          </cell>
          <cell r="AC476" t="e">
            <v>#N/A</v>
          </cell>
          <cell r="AD476">
            <v>389</v>
          </cell>
          <cell r="AE476" t="e">
            <v>#N/A</v>
          </cell>
          <cell r="AF476" t="str">
            <v/>
          </cell>
        </row>
        <row r="477">
          <cell r="Y477">
            <v>461</v>
          </cell>
          <cell r="Z477">
            <v>0.98925632052123547</v>
          </cell>
          <cell r="AA477">
            <v>0.38865427652928353</v>
          </cell>
          <cell r="AB477" t="str">
            <v/>
          </cell>
          <cell r="AC477" t="e">
            <v>#N/A</v>
          </cell>
          <cell r="AD477">
            <v>390</v>
          </cell>
          <cell r="AE477" t="e">
            <v>#N/A</v>
          </cell>
          <cell r="AF477" t="str">
            <v/>
          </cell>
        </row>
        <row r="478">
          <cell r="Y478">
            <v>462</v>
          </cell>
          <cell r="Z478">
            <v>6.5544521436095238E-2</v>
          </cell>
          <cell r="AA478">
            <v>-0.25520636958145076</v>
          </cell>
          <cell r="AB478" t="str">
            <v/>
          </cell>
          <cell r="AC478" t="e">
            <v>#N/A</v>
          </cell>
          <cell r="AD478">
            <v>391</v>
          </cell>
          <cell r="AE478" t="e">
            <v>#N/A</v>
          </cell>
          <cell r="AF478" t="str">
            <v/>
          </cell>
        </row>
        <row r="479">
          <cell r="Y479">
            <v>463</v>
          </cell>
          <cell r="Z479">
            <v>6.6439731046557426E-2</v>
          </cell>
          <cell r="AA479">
            <v>-0.25402687858866141</v>
          </cell>
          <cell r="AB479" t="str">
            <v/>
          </cell>
          <cell r="AC479" t="e">
            <v>#N/A</v>
          </cell>
          <cell r="AD479">
            <v>392</v>
          </cell>
          <cell r="AE479" t="e">
            <v>#N/A</v>
          </cell>
          <cell r="AF479" t="str">
            <v/>
          </cell>
        </row>
        <row r="480">
          <cell r="Y480">
            <v>464</v>
          </cell>
          <cell r="Z480">
            <v>0.17418207786977291</v>
          </cell>
          <cell r="AA480">
            <v>-0.15851155654283161</v>
          </cell>
          <cell r="AB480" t="str">
            <v/>
          </cell>
          <cell r="AC480" t="e">
            <v>#N/A</v>
          </cell>
          <cell r="AD480">
            <v>393</v>
          </cell>
          <cell r="AE480" t="e">
            <v>#N/A</v>
          </cell>
          <cell r="AF480" t="str">
            <v/>
          </cell>
        </row>
        <row r="481">
          <cell r="Y481">
            <v>465</v>
          </cell>
          <cell r="Z481">
            <v>4.3064741417765617E-2</v>
          </cell>
          <cell r="AA481">
            <v>-0.29008701448729274</v>
          </cell>
          <cell r="AB481" t="str">
            <v/>
          </cell>
          <cell r="AC481" t="e">
            <v>#N/A</v>
          </cell>
          <cell r="AD481">
            <v>394</v>
          </cell>
          <cell r="AE481" t="e">
            <v>#N/A</v>
          </cell>
          <cell r="AF481" t="str">
            <v/>
          </cell>
        </row>
        <row r="482">
          <cell r="Y482">
            <v>466</v>
          </cell>
          <cell r="Z482">
            <v>0.97401929460465908</v>
          </cell>
          <cell r="AA482">
            <v>0.32850356769775518</v>
          </cell>
          <cell r="AB482" t="str">
            <v/>
          </cell>
          <cell r="AC482" t="e">
            <v>#N/A</v>
          </cell>
          <cell r="AD482">
            <v>395</v>
          </cell>
          <cell r="AE482" t="e">
            <v>#N/A</v>
          </cell>
          <cell r="AF482" t="str">
            <v/>
          </cell>
        </row>
        <row r="483">
          <cell r="Y483">
            <v>467</v>
          </cell>
          <cell r="Z483">
            <v>0.60829742066562176</v>
          </cell>
          <cell r="AA483">
            <v>4.6463920715875941E-2</v>
          </cell>
          <cell r="AB483" t="str">
            <v/>
          </cell>
          <cell r="AC483" t="e">
            <v>#N/A</v>
          </cell>
          <cell r="AD483">
            <v>396</v>
          </cell>
          <cell r="AE483" t="e">
            <v>#N/A</v>
          </cell>
          <cell r="AF483" t="str">
            <v/>
          </cell>
        </row>
        <row r="484">
          <cell r="Y484">
            <v>468</v>
          </cell>
          <cell r="Z484">
            <v>0.11452268622815609</v>
          </cell>
          <cell r="AA484">
            <v>-0.20331395500179916</v>
          </cell>
          <cell r="AB484" t="str">
            <v/>
          </cell>
          <cell r="AC484" t="e">
            <v>#N/A</v>
          </cell>
          <cell r="AD484">
            <v>397</v>
          </cell>
          <cell r="AE484" t="e">
            <v>#N/A</v>
          </cell>
          <cell r="AF484" t="str">
            <v/>
          </cell>
        </row>
        <row r="485">
          <cell r="Y485">
            <v>469</v>
          </cell>
          <cell r="Z485">
            <v>0.35107648186385632</v>
          </cell>
          <cell r="AA485">
            <v>-6.4640070127798058E-2</v>
          </cell>
          <cell r="AB485" t="str">
            <v/>
          </cell>
          <cell r="AC485" t="e">
            <v>#N/A</v>
          </cell>
          <cell r="AD485">
            <v>398</v>
          </cell>
          <cell r="AE485" t="e">
            <v>#N/A</v>
          </cell>
          <cell r="AF485" t="str">
            <v/>
          </cell>
        </row>
        <row r="486">
          <cell r="Y486">
            <v>470</v>
          </cell>
          <cell r="Z486">
            <v>0.38263282738626003</v>
          </cell>
          <cell r="AA486">
            <v>-5.0468095734139615E-2</v>
          </cell>
          <cell r="AB486" t="str">
            <v/>
          </cell>
          <cell r="AC486" t="e">
            <v>#N/A</v>
          </cell>
          <cell r="AD486">
            <v>399</v>
          </cell>
          <cell r="AE486" t="e">
            <v>#N/A</v>
          </cell>
          <cell r="AF486" t="str">
            <v/>
          </cell>
        </row>
        <row r="487">
          <cell r="Y487">
            <v>471</v>
          </cell>
          <cell r="Z487">
            <v>0.24808935634791851</v>
          </cell>
          <cell r="AA487">
            <v>-0.11502795332227796</v>
          </cell>
          <cell r="AB487" t="str">
            <v/>
          </cell>
          <cell r="AC487" t="e">
            <v>#N/A</v>
          </cell>
          <cell r="AD487">
            <v>400</v>
          </cell>
          <cell r="AE487" t="e">
            <v>#N/A</v>
          </cell>
          <cell r="AF487" t="str">
            <v/>
          </cell>
        </row>
        <row r="488">
          <cell r="Y488">
            <v>472</v>
          </cell>
          <cell r="Z488">
            <v>0.78864081762731075</v>
          </cell>
          <cell r="AA488">
            <v>0.13551441447508442</v>
          </cell>
          <cell r="AB488" t="str">
            <v/>
          </cell>
          <cell r="AC488" t="e">
            <v>#N/A</v>
          </cell>
          <cell r="AD488">
            <v>401</v>
          </cell>
          <cell r="AE488" t="e">
            <v>#N/A</v>
          </cell>
          <cell r="AF488" t="str">
            <v/>
          </cell>
        </row>
        <row r="489">
          <cell r="Y489">
            <v>473</v>
          </cell>
          <cell r="Z489">
            <v>0.42860373668372631</v>
          </cell>
          <cell r="AA489">
            <v>-3.0413731686509196E-2</v>
          </cell>
          <cell r="AB489" t="str">
            <v/>
          </cell>
          <cell r="AC489" t="e">
            <v>#N/A</v>
          </cell>
          <cell r="AD489">
            <v>402</v>
          </cell>
          <cell r="AE489" t="e">
            <v>#N/A</v>
          </cell>
          <cell r="AF489" t="str">
            <v/>
          </cell>
        </row>
        <row r="490">
          <cell r="Y490">
            <v>474</v>
          </cell>
          <cell r="Z490">
            <v>0.93868583999574184</v>
          </cell>
          <cell r="AA490">
            <v>0.26095573678081296</v>
          </cell>
          <cell r="AB490" t="str">
            <v/>
          </cell>
          <cell r="AC490" t="e">
            <v>#N/A</v>
          </cell>
          <cell r="AD490">
            <v>403</v>
          </cell>
          <cell r="AE490" t="e">
            <v>#N/A</v>
          </cell>
          <cell r="AF490" t="str">
            <v/>
          </cell>
        </row>
        <row r="491">
          <cell r="Y491">
            <v>475</v>
          </cell>
          <cell r="Z491">
            <v>0.60287333838641644</v>
          </cell>
          <cell r="AA491">
            <v>4.4081804008598957E-2</v>
          </cell>
          <cell r="AB491" t="str">
            <v/>
          </cell>
          <cell r="AC491" t="e">
            <v>#N/A</v>
          </cell>
          <cell r="AD491">
            <v>404</v>
          </cell>
          <cell r="AE491" t="e">
            <v>#N/A</v>
          </cell>
          <cell r="AF491" t="str">
            <v/>
          </cell>
        </row>
        <row r="492">
          <cell r="Y492">
            <v>476</v>
          </cell>
          <cell r="Z492">
            <v>0.22121756337583065</v>
          </cell>
          <cell r="AA492">
            <v>-0.12983050532682266</v>
          </cell>
          <cell r="AB492" t="str">
            <v/>
          </cell>
          <cell r="AC492" t="e">
            <v>#N/A</v>
          </cell>
          <cell r="AD492">
            <v>405</v>
          </cell>
          <cell r="AE492" t="e">
            <v>#N/A</v>
          </cell>
          <cell r="AF492" t="str">
            <v/>
          </cell>
        </row>
        <row r="493">
          <cell r="Y493">
            <v>477</v>
          </cell>
          <cell r="Z493">
            <v>0.50958663038909435</v>
          </cell>
          <cell r="AA493">
            <v>4.0622224218511771E-3</v>
          </cell>
          <cell r="AB493" t="str">
            <v/>
          </cell>
          <cell r="AC493" t="e">
            <v>#N/A</v>
          </cell>
          <cell r="AD493">
            <v>406</v>
          </cell>
          <cell r="AE493" t="e">
            <v>#N/A</v>
          </cell>
          <cell r="AF493" t="str">
            <v/>
          </cell>
        </row>
        <row r="494">
          <cell r="Y494">
            <v>478</v>
          </cell>
          <cell r="Z494">
            <v>0.92851713858544827</v>
          </cell>
          <cell r="AA494">
            <v>0.2476024412205674</v>
          </cell>
          <cell r="AB494" t="str">
            <v/>
          </cell>
          <cell r="AC494" t="e">
            <v>#N/A</v>
          </cell>
          <cell r="AD494">
            <v>407</v>
          </cell>
          <cell r="AE494" t="e">
            <v>#N/A</v>
          </cell>
          <cell r="AF494" t="str">
            <v/>
          </cell>
        </row>
        <row r="495">
          <cell r="Y495">
            <v>479</v>
          </cell>
          <cell r="Z495">
            <v>0.45657728426158428</v>
          </cell>
          <cell r="AA495">
            <v>-1.8434575451563073E-2</v>
          </cell>
          <cell r="AB495" t="str">
            <v/>
          </cell>
          <cell r="AC495" t="e">
            <v>#N/A</v>
          </cell>
          <cell r="AD495">
            <v>408</v>
          </cell>
          <cell r="AE495" t="e">
            <v>#N/A</v>
          </cell>
          <cell r="AF495" t="str">
            <v/>
          </cell>
        </row>
        <row r="496">
          <cell r="Y496">
            <v>480</v>
          </cell>
          <cell r="Z496">
            <v>0.77812053821980953</v>
          </cell>
          <cell r="AA496">
            <v>0.12945416211627517</v>
          </cell>
          <cell r="AB496" t="str">
            <v/>
          </cell>
          <cell r="AC496" t="e">
            <v>#N/A</v>
          </cell>
          <cell r="AD496">
            <v>409</v>
          </cell>
          <cell r="AE496" t="e">
            <v>#N/A</v>
          </cell>
          <cell r="AF496" t="str">
            <v/>
          </cell>
        </row>
        <row r="497">
          <cell r="Y497">
            <v>481</v>
          </cell>
          <cell r="Z497">
            <v>0.49776509217917919</v>
          </cell>
          <cell r="AA497">
            <v>-9.4692983235248316E-4</v>
          </cell>
          <cell r="AB497" t="str">
            <v/>
          </cell>
          <cell r="AC497" t="e">
            <v>#N/A</v>
          </cell>
          <cell r="AD497">
            <v>410</v>
          </cell>
          <cell r="AE497" t="e">
            <v>#N/A</v>
          </cell>
          <cell r="AF497" t="str">
            <v/>
          </cell>
        </row>
        <row r="498">
          <cell r="Y498">
            <v>482</v>
          </cell>
          <cell r="Z498">
            <v>0.39273799024522305</v>
          </cell>
          <cell r="AA498">
            <v>-4.6008496331732589E-2</v>
          </cell>
          <cell r="AB498" t="str">
            <v/>
          </cell>
          <cell r="AC498" t="e">
            <v>#N/A</v>
          </cell>
          <cell r="AD498">
            <v>411</v>
          </cell>
          <cell r="AE498" t="e">
            <v>#N/A</v>
          </cell>
          <cell r="AF498" t="str">
            <v/>
          </cell>
        </row>
        <row r="499">
          <cell r="Y499">
            <v>483</v>
          </cell>
          <cell r="Z499">
            <v>8.0461036413908005E-3</v>
          </cell>
          <cell r="AA499">
            <v>-0.40682641768056399</v>
          </cell>
          <cell r="AB499" t="str">
            <v/>
          </cell>
          <cell r="AC499" t="e">
            <v>#N/A</v>
          </cell>
          <cell r="AD499">
            <v>412</v>
          </cell>
          <cell r="AE499" t="e">
            <v>#N/A</v>
          </cell>
          <cell r="AF499" t="str">
            <v/>
          </cell>
        </row>
        <row r="500">
          <cell r="Y500">
            <v>484</v>
          </cell>
          <cell r="Z500">
            <v>0.14101325534284115</v>
          </cell>
          <cell r="AA500">
            <v>-0.18183968698784256</v>
          </cell>
          <cell r="AB500" t="str">
            <v/>
          </cell>
          <cell r="AC500" t="e">
            <v>#N/A</v>
          </cell>
          <cell r="AD500">
            <v>413</v>
          </cell>
          <cell r="AE500" t="e">
            <v>#N/A</v>
          </cell>
          <cell r="AF500" t="str">
            <v/>
          </cell>
        </row>
        <row r="501">
          <cell r="Y501">
            <v>485</v>
          </cell>
          <cell r="Z501">
            <v>0.38660073094069958</v>
          </cell>
          <cell r="AA501">
            <v>-4.8712965863617716E-2</v>
          </cell>
          <cell r="AB501" t="str">
            <v/>
          </cell>
          <cell r="AC501" t="e">
            <v>#N/A</v>
          </cell>
          <cell r="AD501">
            <v>414</v>
          </cell>
          <cell r="AE501" t="e">
            <v>#N/A</v>
          </cell>
          <cell r="AF501" t="str">
            <v/>
          </cell>
        </row>
        <row r="502">
          <cell r="Y502">
            <v>486</v>
          </cell>
          <cell r="Z502">
            <v>0.33521649800240993</v>
          </cell>
          <cell r="AA502">
            <v>-7.193172443168809E-2</v>
          </cell>
          <cell r="AB502" t="str">
            <v/>
          </cell>
          <cell r="AC502" t="e">
            <v>#N/A</v>
          </cell>
          <cell r="AD502">
            <v>415</v>
          </cell>
          <cell r="AE502" t="e">
            <v>#N/A</v>
          </cell>
          <cell r="AF502" t="str">
            <v/>
          </cell>
        </row>
        <row r="503">
          <cell r="Y503">
            <v>487</v>
          </cell>
          <cell r="Z503">
            <v>0.33783857338130474</v>
          </cell>
          <cell r="AA503">
            <v>-7.0717314655497979E-2</v>
          </cell>
          <cell r="AB503" t="str">
            <v/>
          </cell>
          <cell r="AC503" t="e">
            <v>#N/A</v>
          </cell>
          <cell r="AD503">
            <v>416</v>
          </cell>
          <cell r="AE503" t="e">
            <v>#N/A</v>
          </cell>
          <cell r="AF503" t="str">
            <v/>
          </cell>
        </row>
        <row r="504">
          <cell r="Y504">
            <v>488</v>
          </cell>
          <cell r="Z504">
            <v>0.12571450136601925</v>
          </cell>
          <cell r="AA504">
            <v>-0.19385900888584653</v>
          </cell>
          <cell r="AB504" t="str">
            <v/>
          </cell>
          <cell r="AC504" t="e">
            <v>#N/A</v>
          </cell>
          <cell r="AD504">
            <v>417</v>
          </cell>
          <cell r="AE504" t="e">
            <v>#N/A</v>
          </cell>
          <cell r="AF504" t="str">
            <v/>
          </cell>
        </row>
        <row r="505">
          <cell r="Y505">
            <v>489</v>
          </cell>
          <cell r="Z505">
            <v>0.64794871024787426</v>
          </cell>
          <cell r="AA505">
            <v>6.4195936914286975E-2</v>
          </cell>
          <cell r="AB505" t="str">
            <v/>
          </cell>
          <cell r="AC505" t="e">
            <v>#N/A</v>
          </cell>
          <cell r="AD505">
            <v>418</v>
          </cell>
          <cell r="AE505" t="e">
            <v>#N/A</v>
          </cell>
          <cell r="AF505" t="str">
            <v/>
          </cell>
        </row>
        <row r="506">
          <cell r="Y506">
            <v>490</v>
          </cell>
          <cell r="Z506">
            <v>0.52581197582185268</v>
          </cell>
          <cell r="AA506">
            <v>1.094411150803706E-2</v>
          </cell>
          <cell r="AB506" t="str">
            <v/>
          </cell>
          <cell r="AC506" t="e">
            <v>#N/A</v>
          </cell>
          <cell r="AD506">
            <v>419</v>
          </cell>
          <cell r="AE506" t="e">
            <v>#N/A</v>
          </cell>
          <cell r="AF506" t="str">
            <v/>
          </cell>
        </row>
        <row r="507">
          <cell r="Y507">
            <v>491</v>
          </cell>
          <cell r="Z507">
            <v>0.59377421252429485</v>
          </cell>
          <cell r="AA507">
            <v>4.0105025952743491E-2</v>
          </cell>
          <cell r="AB507" t="str">
            <v/>
          </cell>
          <cell r="AC507" t="e">
            <v>#N/A</v>
          </cell>
          <cell r="AD507">
            <v>420</v>
          </cell>
          <cell r="AE507" t="e">
            <v>#N/A</v>
          </cell>
          <cell r="AF507" t="str">
            <v/>
          </cell>
        </row>
        <row r="508">
          <cell r="Y508">
            <v>492</v>
          </cell>
          <cell r="Z508">
            <v>0.84430771134793758</v>
          </cell>
          <cell r="AA508">
            <v>0.17111348709679569</v>
          </cell>
          <cell r="AB508" t="str">
            <v/>
          </cell>
          <cell r="AC508" t="e">
            <v>#N/A</v>
          </cell>
          <cell r="AD508">
            <v>421</v>
          </cell>
          <cell r="AE508" t="e">
            <v>#N/A</v>
          </cell>
          <cell r="AF508" t="str">
            <v/>
          </cell>
        </row>
        <row r="509">
          <cell r="Y509">
            <v>493</v>
          </cell>
          <cell r="Z509">
            <v>8.9479623362421989E-2</v>
          </cell>
          <cell r="AA509">
            <v>-0.22717178718334913</v>
          </cell>
          <cell r="AB509" t="str">
            <v/>
          </cell>
          <cell r="AC509" t="e">
            <v>#N/A</v>
          </cell>
          <cell r="AD509">
            <v>422</v>
          </cell>
          <cell r="AE509" t="e">
            <v>#N/A</v>
          </cell>
          <cell r="AF509" t="str">
            <v/>
          </cell>
        </row>
        <row r="510">
          <cell r="Y510">
            <v>494</v>
          </cell>
          <cell r="Z510">
            <v>0.39685932360589504</v>
          </cell>
          <cell r="AA510">
            <v>-4.4199003189921253E-2</v>
          </cell>
          <cell r="AB510" t="str">
            <v/>
          </cell>
          <cell r="AC510" t="e">
            <v>#N/A</v>
          </cell>
          <cell r="AD510">
            <v>423</v>
          </cell>
          <cell r="AE510" t="e">
            <v>#N/A</v>
          </cell>
          <cell r="AF510" t="str">
            <v/>
          </cell>
        </row>
        <row r="511">
          <cell r="Y511">
            <v>495</v>
          </cell>
          <cell r="Z511">
            <v>0.39523015730082989</v>
          </cell>
          <cell r="AA511">
            <v>-4.4913680461362605E-2</v>
          </cell>
          <cell r="AB511" t="str">
            <v/>
          </cell>
          <cell r="AC511" t="e">
            <v>#N/A</v>
          </cell>
          <cell r="AD511">
            <v>424</v>
          </cell>
          <cell r="AE511" t="e">
            <v>#N/A</v>
          </cell>
          <cell r="AF511" t="str">
            <v/>
          </cell>
        </row>
        <row r="512">
          <cell r="Y512">
            <v>496</v>
          </cell>
          <cell r="Z512">
            <v>0.7110003437846899</v>
          </cell>
          <cell r="AA512">
            <v>9.4033463596018024E-2</v>
          </cell>
          <cell r="AB512" t="str">
            <v/>
          </cell>
          <cell r="AC512" t="e">
            <v>#N/A</v>
          </cell>
          <cell r="AD512">
            <v>425</v>
          </cell>
          <cell r="AE512" t="e">
            <v>#N/A</v>
          </cell>
          <cell r="AF512" t="str">
            <v/>
          </cell>
        </row>
        <row r="513">
          <cell r="Y513">
            <v>497</v>
          </cell>
          <cell r="Z513">
            <v>0.68085136823356152</v>
          </cell>
          <cell r="AA513">
            <v>7.9458164147421725E-2</v>
          </cell>
          <cell r="AB513" t="str">
            <v/>
          </cell>
          <cell r="AC513" t="e">
            <v>#N/A</v>
          </cell>
          <cell r="AD513">
            <v>426</v>
          </cell>
          <cell r="AE513" t="e">
            <v>#N/A</v>
          </cell>
          <cell r="AF513" t="str">
            <v/>
          </cell>
        </row>
        <row r="514">
          <cell r="Y514">
            <v>498</v>
          </cell>
          <cell r="Z514">
            <v>0.53340340219438076</v>
          </cell>
          <cell r="AA514">
            <v>1.4169516041654196E-2</v>
          </cell>
          <cell r="AB514" t="str">
            <v/>
          </cell>
          <cell r="AC514" t="e">
            <v>#N/A</v>
          </cell>
          <cell r="AD514">
            <v>427</v>
          </cell>
          <cell r="AE514" t="e">
            <v>#N/A</v>
          </cell>
          <cell r="AF514" t="str">
            <v/>
          </cell>
        </row>
        <row r="515">
          <cell r="Y515">
            <v>499</v>
          </cell>
          <cell r="Z515">
            <v>0.95618803612887859</v>
          </cell>
          <cell r="AA515">
            <v>0.28871600345132237</v>
          </cell>
          <cell r="AB515" t="str">
            <v/>
          </cell>
          <cell r="AC515" t="e">
            <v>#N/A</v>
          </cell>
          <cell r="AD515">
            <v>428</v>
          </cell>
          <cell r="AE515" t="e">
            <v>#N/A</v>
          </cell>
          <cell r="AF515" t="str">
            <v/>
          </cell>
        </row>
        <row r="516">
          <cell r="Y516">
            <v>500</v>
          </cell>
          <cell r="Z516">
            <v>0.79173325560986996</v>
          </cell>
          <cell r="AA516">
            <v>0.13732910808639387</v>
          </cell>
          <cell r="AB516" t="str">
            <v/>
          </cell>
          <cell r="AC516" t="e">
            <v>#N/A</v>
          </cell>
          <cell r="AD516">
            <v>429</v>
          </cell>
          <cell r="AE516" t="e">
            <v>#N/A</v>
          </cell>
          <cell r="AF516" t="str">
            <v/>
          </cell>
        </row>
        <row r="517">
          <cell r="Y517">
            <v>501</v>
          </cell>
          <cell r="Z517">
            <v>0.84863102249801159</v>
          </cell>
          <cell r="AA517">
            <v>0.17419976534319093</v>
          </cell>
          <cell r="AB517" t="str">
            <v/>
          </cell>
          <cell r="AC517" t="e">
            <v>#N/A</v>
          </cell>
          <cell r="AD517">
            <v>430</v>
          </cell>
          <cell r="AE517" t="e">
            <v>#N/A</v>
          </cell>
          <cell r="AF517" t="str">
            <v/>
          </cell>
        </row>
        <row r="518">
          <cell r="Y518">
            <v>502</v>
          </cell>
          <cell r="Z518">
            <v>0.25718340836465359</v>
          </cell>
          <cell r="AA518">
            <v>-0.11021711687904844</v>
          </cell>
          <cell r="AB518" t="str">
            <v/>
          </cell>
          <cell r="AC518" t="e">
            <v>#N/A</v>
          </cell>
          <cell r="AD518">
            <v>431</v>
          </cell>
          <cell r="AE518" t="e">
            <v>#N/A</v>
          </cell>
          <cell r="AF518" t="str">
            <v/>
          </cell>
        </row>
        <row r="519">
          <cell r="Y519">
            <v>503</v>
          </cell>
          <cell r="Z519">
            <v>0.42703084461390972</v>
          </cell>
          <cell r="AA519">
            <v>-3.1091283806102064E-2</v>
          </cell>
          <cell r="AB519" t="str">
            <v/>
          </cell>
          <cell r="AC519" t="e">
            <v>#N/A</v>
          </cell>
          <cell r="AD519">
            <v>432</v>
          </cell>
          <cell r="AE519" t="e">
            <v>#N/A</v>
          </cell>
          <cell r="AF519" t="str">
            <v/>
          </cell>
        </row>
        <row r="520">
          <cell r="Y520">
            <v>504</v>
          </cell>
          <cell r="Z520">
            <v>0.9975400771945715</v>
          </cell>
          <cell r="AA520">
            <v>0.4753545726874589</v>
          </cell>
          <cell r="AB520" t="str">
            <v/>
          </cell>
          <cell r="AC520" t="e">
            <v>#N/A</v>
          </cell>
          <cell r="AD520">
            <v>433</v>
          </cell>
          <cell r="AE520" t="e">
            <v>#N/A</v>
          </cell>
          <cell r="AF520" t="str">
            <v/>
          </cell>
        </row>
        <row r="521">
          <cell r="Y521">
            <v>505</v>
          </cell>
          <cell r="Z521">
            <v>0.73996671847999096</v>
          </cell>
          <cell r="AA521">
            <v>0.10872787847339255</v>
          </cell>
          <cell r="AB521" t="str">
            <v/>
          </cell>
          <cell r="AC521" t="e">
            <v>#N/A</v>
          </cell>
          <cell r="AD521">
            <v>434</v>
          </cell>
          <cell r="AE521" t="e">
            <v>#N/A</v>
          </cell>
          <cell r="AF521" t="str">
            <v/>
          </cell>
        </row>
        <row r="522">
          <cell r="Y522">
            <v>506</v>
          </cell>
          <cell r="Z522">
            <v>0.80436724983155727</v>
          </cell>
          <cell r="AA522">
            <v>0.14491431170438193</v>
          </cell>
          <cell r="AB522" t="str">
            <v/>
          </cell>
          <cell r="AC522" t="e">
            <v>#N/A</v>
          </cell>
          <cell r="AD522">
            <v>435</v>
          </cell>
          <cell r="AE522" t="e">
            <v>#N/A</v>
          </cell>
          <cell r="AF522" t="str">
            <v/>
          </cell>
        </row>
        <row r="523">
          <cell r="Y523">
            <v>507</v>
          </cell>
          <cell r="Z523">
            <v>0.95508982054889202</v>
          </cell>
          <cell r="AA523">
            <v>0.2867348211680853</v>
          </cell>
          <cell r="AB523" t="str">
            <v/>
          </cell>
          <cell r="AC523" t="e">
            <v>#N/A</v>
          </cell>
          <cell r="AD523">
            <v>436</v>
          </cell>
          <cell r="AE523" t="e">
            <v>#N/A</v>
          </cell>
          <cell r="AF523" t="str">
            <v/>
          </cell>
        </row>
        <row r="524">
          <cell r="Y524">
            <v>508</v>
          </cell>
          <cell r="Z524">
            <v>0.62165658734738827</v>
          </cell>
          <cell r="AA524">
            <v>5.2371586787346693E-2</v>
          </cell>
          <cell r="AB524" t="str">
            <v/>
          </cell>
          <cell r="AC524" t="e">
            <v>#N/A</v>
          </cell>
          <cell r="AD524">
            <v>437</v>
          </cell>
          <cell r="AE524" t="e">
            <v>#N/A</v>
          </cell>
          <cell r="AF524" t="str">
            <v/>
          </cell>
        </row>
        <row r="525">
          <cell r="Y525">
            <v>509</v>
          </cell>
          <cell r="Z525">
            <v>0.95500951819121838</v>
          </cell>
          <cell r="AA525">
            <v>0.28659149265005041</v>
          </cell>
          <cell r="AB525" t="str">
            <v/>
          </cell>
          <cell r="AC525" t="e">
            <v>#N/A</v>
          </cell>
          <cell r="AD525">
            <v>438</v>
          </cell>
          <cell r="AE525" t="e">
            <v>#N/A</v>
          </cell>
          <cell r="AF525" t="str">
            <v/>
          </cell>
        </row>
        <row r="526">
          <cell r="Y526">
            <v>510</v>
          </cell>
          <cell r="Z526">
            <v>0.59703592024743557</v>
          </cell>
          <cell r="AA526">
            <v>4.1527891586899818E-2</v>
          </cell>
          <cell r="AB526" t="str">
            <v/>
          </cell>
          <cell r="AC526" t="e">
            <v>#N/A</v>
          </cell>
          <cell r="AD526">
            <v>439</v>
          </cell>
          <cell r="AE526" t="e">
            <v>#N/A</v>
          </cell>
          <cell r="AF526" t="str">
            <v/>
          </cell>
        </row>
        <row r="527">
          <cell r="Y527">
            <v>511</v>
          </cell>
          <cell r="Z527">
            <v>0.96394131891429424</v>
          </cell>
          <cell r="AA527">
            <v>0.30398111229128644</v>
          </cell>
          <cell r="AB527" t="str">
            <v/>
          </cell>
          <cell r="AC527" t="e">
            <v>#N/A</v>
          </cell>
          <cell r="AD527">
            <v>440</v>
          </cell>
          <cell r="AE527" t="e">
            <v>#N/A</v>
          </cell>
          <cell r="AF527" t="str">
            <v/>
          </cell>
        </row>
        <row r="528">
          <cell r="Y528">
            <v>512</v>
          </cell>
          <cell r="Z528">
            <v>0.72038008831441402</v>
          </cell>
          <cell r="AA528">
            <v>9.8709115006123754E-2</v>
          </cell>
          <cell r="AB528" t="str">
            <v/>
          </cell>
          <cell r="AC528" t="e">
            <v>#N/A</v>
          </cell>
          <cell r="AD528">
            <v>441</v>
          </cell>
          <cell r="AE528" t="e">
            <v>#N/A</v>
          </cell>
          <cell r="AF528" t="str">
            <v/>
          </cell>
        </row>
        <row r="529">
          <cell r="Y529">
            <v>513</v>
          </cell>
          <cell r="Z529">
            <v>0.24808528833091259</v>
          </cell>
          <cell r="AA529">
            <v>-0.1150301260308097</v>
          </cell>
          <cell r="AB529" t="str">
            <v/>
          </cell>
          <cell r="AC529" t="e">
            <v>#N/A</v>
          </cell>
          <cell r="AD529">
            <v>442</v>
          </cell>
          <cell r="AE529" t="e">
            <v>#N/A</v>
          </cell>
          <cell r="AF529" t="str">
            <v/>
          </cell>
        </row>
        <row r="530">
          <cell r="Y530">
            <v>514</v>
          </cell>
          <cell r="Z530">
            <v>0.10841787420213223</v>
          </cell>
          <cell r="AA530">
            <v>-0.20875071911877852</v>
          </cell>
          <cell r="AB530" t="str">
            <v/>
          </cell>
          <cell r="AC530" t="e">
            <v>#N/A</v>
          </cell>
          <cell r="AD530">
            <v>443</v>
          </cell>
          <cell r="AE530" t="e">
            <v>#N/A</v>
          </cell>
          <cell r="AF530" t="str">
            <v/>
          </cell>
        </row>
        <row r="531">
          <cell r="Y531">
            <v>515</v>
          </cell>
          <cell r="Z531">
            <v>0.15145368687808514</v>
          </cell>
          <cell r="AA531">
            <v>-0.17413873616787043</v>
          </cell>
          <cell r="AB531" t="str">
            <v/>
          </cell>
          <cell r="AC531" t="e">
            <v>#N/A</v>
          </cell>
          <cell r="AD531">
            <v>444</v>
          </cell>
          <cell r="AE531" t="e">
            <v>#N/A</v>
          </cell>
          <cell r="AF531" t="str">
            <v/>
          </cell>
        </row>
        <row r="532">
          <cell r="Y532">
            <v>516</v>
          </cell>
          <cell r="Z532">
            <v>0.83767878077924252</v>
          </cell>
          <cell r="AA532">
            <v>0.16648906771518895</v>
          </cell>
          <cell r="AB532" t="str">
            <v/>
          </cell>
          <cell r="AC532" t="e">
            <v>#N/A</v>
          </cell>
          <cell r="AD532">
            <v>445</v>
          </cell>
          <cell r="AE532" t="e">
            <v>#N/A</v>
          </cell>
          <cell r="AF532" t="str">
            <v/>
          </cell>
        </row>
        <row r="533">
          <cell r="Y533">
            <v>517</v>
          </cell>
          <cell r="Z533">
            <v>0.69761657528579235</v>
          </cell>
          <cell r="AA533">
            <v>8.7483231010443183E-2</v>
          </cell>
          <cell r="AB533" t="str">
            <v/>
          </cell>
          <cell r="AC533" t="e">
            <v>#N/A</v>
          </cell>
          <cell r="AD533">
            <v>446</v>
          </cell>
          <cell r="AE533" t="e">
            <v>#N/A</v>
          </cell>
          <cell r="AF533" t="str">
            <v/>
          </cell>
        </row>
        <row r="534">
          <cell r="Y534">
            <v>518</v>
          </cell>
          <cell r="Z534">
            <v>0.82187340222299099</v>
          </cell>
          <cell r="AA534">
            <v>0.15593570472366558</v>
          </cell>
          <cell r="AB534" t="str">
            <v/>
          </cell>
          <cell r="AC534" t="e">
            <v>#N/A</v>
          </cell>
          <cell r="AD534">
            <v>447</v>
          </cell>
          <cell r="AE534" t="e">
            <v>#N/A</v>
          </cell>
          <cell r="AF534" t="str">
            <v/>
          </cell>
        </row>
        <row r="535">
          <cell r="Y535">
            <v>519</v>
          </cell>
          <cell r="Z535">
            <v>0.70658413879573345</v>
          </cell>
          <cell r="AA535">
            <v>9.1856939325937914E-2</v>
          </cell>
          <cell r="AB535" t="str">
            <v/>
          </cell>
          <cell r="AC535" t="e">
            <v>#N/A</v>
          </cell>
          <cell r="AD535">
            <v>448</v>
          </cell>
          <cell r="AE535" t="e">
            <v>#N/A</v>
          </cell>
          <cell r="AF535" t="str">
            <v/>
          </cell>
        </row>
        <row r="536">
          <cell r="Y536">
            <v>520</v>
          </cell>
          <cell r="Z536">
            <v>0.57355113886296749</v>
          </cell>
          <cell r="AA536">
            <v>3.1342109960207282E-2</v>
          </cell>
          <cell r="AB536" t="str">
            <v/>
          </cell>
          <cell r="AC536" t="e">
            <v>#N/A</v>
          </cell>
          <cell r="AD536">
            <v>449</v>
          </cell>
          <cell r="AE536" t="e">
            <v>#N/A</v>
          </cell>
          <cell r="AF536" t="str">
            <v/>
          </cell>
        </row>
        <row r="537">
          <cell r="Y537">
            <v>521</v>
          </cell>
          <cell r="Z537">
            <v>0.84479448013007641</v>
          </cell>
          <cell r="AA537">
            <v>0.17145812116951537</v>
          </cell>
          <cell r="AB537" t="str">
            <v/>
          </cell>
          <cell r="AC537" t="e">
            <v>#N/A</v>
          </cell>
          <cell r="AD537">
            <v>450</v>
          </cell>
          <cell r="AE537" t="e">
            <v>#N/A</v>
          </cell>
          <cell r="AF537" t="str">
            <v/>
          </cell>
        </row>
        <row r="538">
          <cell r="Y538">
            <v>522</v>
          </cell>
          <cell r="Z538">
            <v>0.78362900577485561</v>
          </cell>
          <cell r="AA538">
            <v>0.13260608396753779</v>
          </cell>
          <cell r="AB538" t="str">
            <v/>
          </cell>
          <cell r="AC538" t="e">
            <v>#N/A</v>
          </cell>
          <cell r="AD538">
            <v>451</v>
          </cell>
          <cell r="AE538" t="e">
            <v>#N/A</v>
          </cell>
          <cell r="AF538" t="str">
            <v/>
          </cell>
        </row>
        <row r="539">
          <cell r="Y539">
            <v>523</v>
          </cell>
          <cell r="Z539">
            <v>0.24492563121020794</v>
          </cell>
          <cell r="AA539">
            <v>-0.11672347857437737</v>
          </cell>
          <cell r="AB539" t="str">
            <v/>
          </cell>
          <cell r="AC539" t="e">
            <v>#N/A</v>
          </cell>
          <cell r="AD539">
            <v>452</v>
          </cell>
          <cell r="AE539" t="e">
            <v>#N/A</v>
          </cell>
          <cell r="AF539" t="str">
            <v/>
          </cell>
        </row>
        <row r="540">
          <cell r="Y540">
            <v>524</v>
          </cell>
          <cell r="Z540">
            <v>0.4961352851241827</v>
          </cell>
          <cell r="AA540">
            <v>-1.6374956832224477E-3</v>
          </cell>
          <cell r="AB540" t="str">
            <v/>
          </cell>
          <cell r="AC540" t="e">
            <v>#N/A</v>
          </cell>
          <cell r="AD540">
            <v>453</v>
          </cell>
          <cell r="AE540" t="e">
            <v>#N/A</v>
          </cell>
          <cell r="AF540" t="str">
            <v/>
          </cell>
        </row>
        <row r="541">
          <cell r="Y541">
            <v>525</v>
          </cell>
          <cell r="Z541">
            <v>0.30100053362548351</v>
          </cell>
          <cell r="AA541">
            <v>-8.8153821194591683E-2</v>
          </cell>
          <cell r="AB541" t="str">
            <v/>
          </cell>
          <cell r="AC541" t="e">
            <v>#N/A</v>
          </cell>
          <cell r="AD541">
            <v>454</v>
          </cell>
          <cell r="AE541" t="e">
            <v>#N/A</v>
          </cell>
          <cell r="AF541" t="str">
            <v/>
          </cell>
        </row>
        <row r="542">
          <cell r="Y542">
            <v>526</v>
          </cell>
          <cell r="Z542">
            <v>0.24926177226006985</v>
          </cell>
          <cell r="AA542">
            <v>-0.11440256084281117</v>
          </cell>
          <cell r="AB542" t="str">
            <v/>
          </cell>
          <cell r="AC542" t="e">
            <v>#N/A</v>
          </cell>
          <cell r="AD542">
            <v>455</v>
          </cell>
          <cell r="AE542" t="e">
            <v>#N/A</v>
          </cell>
          <cell r="AF542" t="str">
            <v/>
          </cell>
        </row>
        <row r="543">
          <cell r="Y543">
            <v>527</v>
          </cell>
          <cell r="Z543">
            <v>0.96300373785197735</v>
          </cell>
          <cell r="AA543">
            <v>0.30200059064869084</v>
          </cell>
          <cell r="AB543" t="str">
            <v/>
          </cell>
          <cell r="AC543" t="e">
            <v>#N/A</v>
          </cell>
          <cell r="AD543">
            <v>456</v>
          </cell>
          <cell r="AE543" t="e">
            <v>#N/A</v>
          </cell>
          <cell r="AF543" t="str">
            <v/>
          </cell>
        </row>
        <row r="544">
          <cell r="Y544">
            <v>528</v>
          </cell>
          <cell r="Z544">
            <v>0.8975683655589819</v>
          </cell>
          <cell r="AA544">
            <v>0.21430020571830527</v>
          </cell>
          <cell r="AB544" t="str">
            <v/>
          </cell>
          <cell r="AC544" t="e">
            <v>#N/A</v>
          </cell>
          <cell r="AD544">
            <v>457</v>
          </cell>
          <cell r="AE544" t="e">
            <v>#N/A</v>
          </cell>
          <cell r="AF544" t="str">
            <v/>
          </cell>
        </row>
        <row r="545">
          <cell r="Y545">
            <v>529</v>
          </cell>
          <cell r="Z545">
            <v>0.32397857122123241</v>
          </cell>
          <cell r="AA545">
            <v>-7.7179824359207852E-2</v>
          </cell>
          <cell r="AB545" t="str">
            <v/>
          </cell>
          <cell r="AC545" t="e">
            <v>#N/A</v>
          </cell>
          <cell r="AD545">
            <v>458</v>
          </cell>
          <cell r="AE545" t="e">
            <v>#N/A</v>
          </cell>
          <cell r="AF545" t="str">
            <v/>
          </cell>
        </row>
        <row r="546">
          <cell r="Y546">
            <v>530</v>
          </cell>
          <cell r="Z546">
            <v>0.92393375001847744</v>
          </cell>
          <cell r="AA546">
            <v>0.24205886544054803</v>
          </cell>
          <cell r="AB546" t="str">
            <v/>
          </cell>
          <cell r="AC546" t="e">
            <v>#N/A</v>
          </cell>
          <cell r="AD546">
            <v>459</v>
          </cell>
          <cell r="AE546" t="e">
            <v>#N/A</v>
          </cell>
          <cell r="AF546" t="str">
            <v/>
          </cell>
        </row>
        <row r="547">
          <cell r="Y547">
            <v>531</v>
          </cell>
          <cell r="Z547">
            <v>0.51132352463901043</v>
          </cell>
          <cell r="AA547">
            <v>4.7983935915951598E-3</v>
          </cell>
          <cell r="AB547" t="str">
            <v/>
          </cell>
          <cell r="AC547" t="e">
            <v>#N/A</v>
          </cell>
          <cell r="AD547">
            <v>460</v>
          </cell>
          <cell r="AE547" t="e">
            <v>#N/A</v>
          </cell>
          <cell r="AF547" t="str">
            <v/>
          </cell>
        </row>
        <row r="548">
          <cell r="Y548">
            <v>532</v>
          </cell>
          <cell r="Z548">
            <v>0.89359592460095882</v>
          </cell>
          <cell r="AA548">
            <v>0.2105922959854063</v>
          </cell>
          <cell r="AB548" t="str">
            <v/>
          </cell>
          <cell r="AC548" t="e">
            <v>#N/A</v>
          </cell>
          <cell r="AD548">
            <v>461</v>
          </cell>
          <cell r="AE548" t="e">
            <v>#N/A</v>
          </cell>
          <cell r="AF548" t="str">
            <v/>
          </cell>
        </row>
        <row r="549">
          <cell r="Y549">
            <v>533</v>
          </cell>
          <cell r="Z549">
            <v>0.86275660805404186</v>
          </cell>
          <cell r="AA549">
            <v>0.18471492698556152</v>
          </cell>
          <cell r="AB549" t="str">
            <v/>
          </cell>
          <cell r="AC549" t="e">
            <v>#N/A</v>
          </cell>
          <cell r="AD549">
            <v>462</v>
          </cell>
          <cell r="AE549" t="e">
            <v>#N/A</v>
          </cell>
          <cell r="AF549" t="str">
            <v/>
          </cell>
        </row>
        <row r="550">
          <cell r="Y550">
            <v>534</v>
          </cell>
          <cell r="Z550">
            <v>0.29637632332742214</v>
          </cell>
          <cell r="AA550">
            <v>-9.0406380038832418E-2</v>
          </cell>
          <cell r="AB550" t="str">
            <v/>
          </cell>
          <cell r="AC550" t="e">
            <v>#N/A</v>
          </cell>
          <cell r="AD550">
            <v>463</v>
          </cell>
          <cell r="AE550" t="e">
            <v>#N/A</v>
          </cell>
          <cell r="AF550" t="str">
            <v/>
          </cell>
        </row>
        <row r="551">
          <cell r="Y551">
            <v>535</v>
          </cell>
          <cell r="Z551">
            <v>8.6166424676775932E-2</v>
          </cell>
          <cell r="AA551">
            <v>-0.23068420296388559</v>
          </cell>
          <cell r="AB551" t="str">
            <v/>
          </cell>
          <cell r="AC551" t="e">
            <v>#N/A</v>
          </cell>
          <cell r="AD551">
            <v>464</v>
          </cell>
          <cell r="AE551" t="e">
            <v>#N/A</v>
          </cell>
          <cell r="AF551" t="str">
            <v/>
          </cell>
        </row>
        <row r="552">
          <cell r="Y552">
            <v>536</v>
          </cell>
          <cell r="Z552">
            <v>0.36693128012120724</v>
          </cell>
          <cell r="AA552">
            <v>-5.7469135343813982E-2</v>
          </cell>
          <cell r="AB552" t="str">
            <v/>
          </cell>
          <cell r="AC552" t="e">
            <v>#N/A</v>
          </cell>
          <cell r="AD552">
            <v>465</v>
          </cell>
          <cell r="AE552" t="e">
            <v>#N/A</v>
          </cell>
          <cell r="AF552" t="str">
            <v/>
          </cell>
        </row>
        <row r="553">
          <cell r="Y553">
            <v>537</v>
          </cell>
          <cell r="Z553">
            <v>0.57131871394813061</v>
          </cell>
          <cell r="AA553">
            <v>3.0380338599879108E-2</v>
          </cell>
          <cell r="AB553" t="str">
            <v/>
          </cell>
          <cell r="AC553" t="e">
            <v>#N/A</v>
          </cell>
          <cell r="AD553">
            <v>466</v>
          </cell>
          <cell r="AE553" t="e">
            <v>#N/A</v>
          </cell>
          <cell r="AF553" t="str">
            <v/>
          </cell>
        </row>
        <row r="554">
          <cell r="Y554">
            <v>538</v>
          </cell>
          <cell r="Z554">
            <v>0.5666245874017477</v>
          </cell>
          <cell r="AA554">
            <v>2.836118471763811E-2</v>
          </cell>
          <cell r="AB554" t="str">
            <v/>
          </cell>
          <cell r="AC554" t="e">
            <v>#N/A</v>
          </cell>
          <cell r="AD554">
            <v>467</v>
          </cell>
          <cell r="AE554" t="e">
            <v>#N/A</v>
          </cell>
          <cell r="AF554" t="str">
            <v/>
          </cell>
        </row>
        <row r="555">
          <cell r="Y555">
            <v>539</v>
          </cell>
          <cell r="Z555">
            <v>0.24013711325824261</v>
          </cell>
          <cell r="AA555">
            <v>-0.11931238233923849</v>
          </cell>
          <cell r="AB555" t="str">
            <v/>
          </cell>
          <cell r="AC555" t="e">
            <v>#N/A</v>
          </cell>
          <cell r="AD555">
            <v>468</v>
          </cell>
          <cell r="AE555" t="e">
            <v>#N/A</v>
          </cell>
          <cell r="AF555" t="str">
            <v/>
          </cell>
        </row>
        <row r="556">
          <cell r="Y556">
            <v>540</v>
          </cell>
          <cell r="Z556">
            <v>0.25436489842832088</v>
          </cell>
          <cell r="AA556">
            <v>-0.11169842884155556</v>
          </cell>
          <cell r="AB556" t="str">
            <v/>
          </cell>
          <cell r="AC556" t="e">
            <v>#N/A</v>
          </cell>
          <cell r="AD556">
            <v>469</v>
          </cell>
          <cell r="AE556" t="e">
            <v>#N/A</v>
          </cell>
          <cell r="AF556" t="str">
            <v/>
          </cell>
        </row>
        <row r="557">
          <cell r="Y557">
            <v>541</v>
          </cell>
          <cell r="Z557">
            <v>0.2910268884152174</v>
          </cell>
          <cell r="AA557">
            <v>-9.3032428919740062E-2</v>
          </cell>
          <cell r="AB557" t="str">
            <v/>
          </cell>
          <cell r="AC557" t="e">
            <v>#N/A</v>
          </cell>
          <cell r="AD557">
            <v>470</v>
          </cell>
          <cell r="AE557" t="e">
            <v>#N/A</v>
          </cell>
          <cell r="AF557" t="str">
            <v/>
          </cell>
        </row>
        <row r="558">
          <cell r="Y558">
            <v>542</v>
          </cell>
          <cell r="Z558">
            <v>0.66750172339379787</v>
          </cell>
          <cell r="AA558">
            <v>7.3194596924745794E-2</v>
          </cell>
          <cell r="AB558" t="str">
            <v/>
          </cell>
          <cell r="AC558" t="e">
            <v>#N/A</v>
          </cell>
          <cell r="AD558">
            <v>471</v>
          </cell>
          <cell r="AE558" t="e">
            <v>#N/A</v>
          </cell>
          <cell r="AF558" t="str">
            <v/>
          </cell>
        </row>
        <row r="559">
          <cell r="Y559">
            <v>543</v>
          </cell>
          <cell r="Z559">
            <v>0.9114603828638792</v>
          </cell>
          <cell r="AA559">
            <v>0.22815832232382183</v>
          </cell>
          <cell r="AB559" t="str">
            <v/>
          </cell>
          <cell r="AC559" t="e">
            <v>#N/A</v>
          </cell>
          <cell r="AD559">
            <v>472</v>
          </cell>
          <cell r="AE559" t="e">
            <v>#N/A</v>
          </cell>
          <cell r="AF559" t="str">
            <v/>
          </cell>
        </row>
        <row r="560">
          <cell r="Y560">
            <v>544</v>
          </cell>
          <cell r="Z560">
            <v>0.67762376926839352</v>
          </cell>
          <cell r="AA560">
            <v>7.7934093862991632E-2</v>
          </cell>
          <cell r="AB560" t="str">
            <v/>
          </cell>
          <cell r="AC560" t="e">
            <v>#N/A</v>
          </cell>
          <cell r="AD560">
            <v>473</v>
          </cell>
          <cell r="AE560" t="e">
            <v>#N/A</v>
          </cell>
          <cell r="AF560" t="str">
            <v/>
          </cell>
        </row>
        <row r="561">
          <cell r="Y561">
            <v>545</v>
          </cell>
          <cell r="Z561">
            <v>0.50179293565452099</v>
          </cell>
          <cell r="AA561">
            <v>7.596649301868458E-4</v>
          </cell>
          <cell r="AB561" t="str">
            <v/>
          </cell>
          <cell r="AC561" t="e">
            <v>#N/A</v>
          </cell>
          <cell r="AD561">
            <v>474</v>
          </cell>
          <cell r="AE561" t="e">
            <v>#N/A</v>
          </cell>
          <cell r="AF561" t="str">
            <v/>
          </cell>
        </row>
        <row r="562">
          <cell r="Y562">
            <v>546</v>
          </cell>
          <cell r="Z562">
            <v>0.8798533733934164</v>
          </cell>
          <cell r="AA562">
            <v>0.19848517360288376</v>
          </cell>
          <cell r="AB562" t="str">
            <v/>
          </cell>
          <cell r="AC562" t="e">
            <v>#N/A</v>
          </cell>
          <cell r="AD562">
            <v>475</v>
          </cell>
          <cell r="AE562" t="e">
            <v>#N/A</v>
          </cell>
          <cell r="AF562" t="str">
            <v/>
          </cell>
        </row>
        <row r="563">
          <cell r="Y563">
            <v>547</v>
          </cell>
          <cell r="Z563">
            <v>0.17202801816165447</v>
          </cell>
          <cell r="AA563">
            <v>-0.15993385880354899</v>
          </cell>
          <cell r="AB563" t="str">
            <v/>
          </cell>
          <cell r="AC563" t="e">
            <v>#N/A</v>
          </cell>
          <cell r="AD563">
            <v>476</v>
          </cell>
          <cell r="AE563" t="e">
            <v>#N/A</v>
          </cell>
          <cell r="AF563" t="str">
            <v/>
          </cell>
        </row>
        <row r="564">
          <cell r="Y564">
            <v>548</v>
          </cell>
          <cell r="Z564">
            <v>0.41798078082501888</v>
          </cell>
          <cell r="AA564">
            <v>-3.4999839412518566E-2</v>
          </cell>
          <cell r="AB564" t="str">
            <v/>
          </cell>
          <cell r="AC564" t="e">
            <v>#N/A</v>
          </cell>
          <cell r="AD564">
            <v>477</v>
          </cell>
          <cell r="AE564" t="e">
            <v>#N/A</v>
          </cell>
          <cell r="AF564" t="str">
            <v/>
          </cell>
        </row>
        <row r="565">
          <cell r="Y565">
            <v>549</v>
          </cell>
          <cell r="Z565">
            <v>0.24200033955276012</v>
          </cell>
          <cell r="AA565">
            <v>-0.11830173671095633</v>
          </cell>
          <cell r="AB565" t="str">
            <v/>
          </cell>
          <cell r="AC565" t="e">
            <v>#N/A</v>
          </cell>
          <cell r="AD565">
            <v>478</v>
          </cell>
          <cell r="AE565" t="e">
            <v>#N/A</v>
          </cell>
          <cell r="AF565" t="str">
            <v/>
          </cell>
        </row>
        <row r="566">
          <cell r="Y566">
            <v>550</v>
          </cell>
          <cell r="Z566">
            <v>0.54153201542794704</v>
          </cell>
          <cell r="AA566">
            <v>1.7628918502364428E-2</v>
          </cell>
          <cell r="AB566" t="str">
            <v/>
          </cell>
          <cell r="AC566" t="e">
            <v>#N/A</v>
          </cell>
          <cell r="AD566">
            <v>479</v>
          </cell>
          <cell r="AE566" t="e">
            <v>#N/A</v>
          </cell>
          <cell r="AF566" t="str">
            <v/>
          </cell>
        </row>
        <row r="567">
          <cell r="Y567">
            <v>551</v>
          </cell>
          <cell r="Z567">
            <v>0.19419567100703716</v>
          </cell>
          <cell r="AA567">
            <v>-0.14579559034300649</v>
          </cell>
          <cell r="AB567" t="str">
            <v/>
          </cell>
          <cell r="AC567" t="e">
            <v>#N/A</v>
          </cell>
          <cell r="AD567">
            <v>480</v>
          </cell>
          <cell r="AE567" t="e">
            <v>#N/A</v>
          </cell>
          <cell r="AF567" t="str">
            <v/>
          </cell>
        </row>
        <row r="568">
          <cell r="Y568">
            <v>552</v>
          </cell>
          <cell r="Z568">
            <v>0.23461409471929073</v>
          </cell>
          <cell r="AA568">
            <v>-0.12233361224485137</v>
          </cell>
          <cell r="AB568" t="str">
            <v/>
          </cell>
          <cell r="AC568" t="e">
            <v>#N/A</v>
          </cell>
          <cell r="AD568">
            <v>481</v>
          </cell>
          <cell r="AE568" t="e">
            <v>#N/A</v>
          </cell>
          <cell r="AF568" t="str">
            <v/>
          </cell>
        </row>
        <row r="569">
          <cell r="Y569">
            <v>553</v>
          </cell>
          <cell r="Z569">
            <v>0.99717613868415356</v>
          </cell>
          <cell r="AA569">
            <v>0.46780343355526988</v>
          </cell>
          <cell r="AB569" t="str">
            <v/>
          </cell>
          <cell r="AC569" t="e">
            <v>#N/A</v>
          </cell>
          <cell r="AD569">
            <v>482</v>
          </cell>
          <cell r="AE569" t="e">
            <v>#N/A</v>
          </cell>
          <cell r="AF569" t="str">
            <v/>
          </cell>
        </row>
        <row r="570">
          <cell r="Y570">
            <v>554</v>
          </cell>
          <cell r="Z570">
            <v>0.35013133846223354</v>
          </cell>
          <cell r="AA570">
            <v>-6.5071114369829833E-2</v>
          </cell>
          <cell r="AB570" t="str">
            <v/>
          </cell>
          <cell r="AC570" t="e">
            <v>#N/A</v>
          </cell>
          <cell r="AD570">
            <v>483</v>
          </cell>
          <cell r="AE570" t="e">
            <v>#N/A</v>
          </cell>
          <cell r="AF570" t="str">
            <v/>
          </cell>
        </row>
        <row r="571">
          <cell r="Y571">
            <v>555</v>
          </cell>
          <cell r="Z571">
            <v>0.93632973544299603</v>
          </cell>
          <cell r="AA571">
            <v>0.25771687640899454</v>
          </cell>
          <cell r="AB571" t="str">
            <v/>
          </cell>
          <cell r="AC571" t="e">
            <v>#N/A</v>
          </cell>
          <cell r="AD571">
            <v>484</v>
          </cell>
          <cell r="AE571" t="e">
            <v>#N/A</v>
          </cell>
          <cell r="AF571" t="str">
            <v/>
          </cell>
        </row>
        <row r="572">
          <cell r="Y572">
            <v>556</v>
          </cell>
          <cell r="Z572">
            <v>0.52671652100980282</v>
          </cell>
          <cell r="AA572">
            <v>1.1328197791261818E-2</v>
          </cell>
          <cell r="AB572" t="str">
            <v/>
          </cell>
          <cell r="AC572" t="e">
            <v>#N/A</v>
          </cell>
          <cell r="AD572">
            <v>485</v>
          </cell>
          <cell r="AE572" t="e">
            <v>#N/A</v>
          </cell>
          <cell r="AF572" t="str">
            <v/>
          </cell>
        </row>
        <row r="573">
          <cell r="Y573">
            <v>557</v>
          </cell>
          <cell r="Z573">
            <v>5.7412801310420036E-2</v>
          </cell>
          <cell r="AA573">
            <v>-0.26653955901218768</v>
          </cell>
          <cell r="AB573" t="str">
            <v/>
          </cell>
          <cell r="AC573" t="e">
            <v>#N/A</v>
          </cell>
          <cell r="AD573">
            <v>486</v>
          </cell>
          <cell r="AE573" t="e">
            <v>#N/A</v>
          </cell>
          <cell r="AF573" t="str">
            <v/>
          </cell>
        </row>
        <row r="574">
          <cell r="Y574">
            <v>558</v>
          </cell>
          <cell r="Z574">
            <v>0.75947061739861965</v>
          </cell>
          <cell r="AA574">
            <v>0.11909925523611468</v>
          </cell>
          <cell r="AB574" t="str">
            <v/>
          </cell>
          <cell r="AC574" t="e">
            <v>#N/A</v>
          </cell>
          <cell r="AD574">
            <v>487</v>
          </cell>
          <cell r="AE574" t="e">
            <v>#N/A</v>
          </cell>
          <cell r="AF574" t="str">
            <v/>
          </cell>
        </row>
        <row r="575">
          <cell r="Y575">
            <v>559</v>
          </cell>
          <cell r="Z575">
            <v>4.7104222699999809E-2</v>
          </cell>
          <cell r="AA575">
            <v>-0.2828907138316083</v>
          </cell>
          <cell r="AB575" t="str">
            <v/>
          </cell>
          <cell r="AC575" t="e">
            <v>#N/A</v>
          </cell>
          <cell r="AD575">
            <v>488</v>
          </cell>
          <cell r="AE575" t="e">
            <v>#N/A</v>
          </cell>
          <cell r="AF575" t="str">
            <v/>
          </cell>
        </row>
        <row r="576">
          <cell r="Y576">
            <v>560</v>
          </cell>
          <cell r="Z576">
            <v>0.83935489319264889</v>
          </cell>
          <cell r="AA576">
            <v>0.16764649000402981</v>
          </cell>
          <cell r="AB576" t="str">
            <v/>
          </cell>
          <cell r="AC576" t="e">
            <v>#N/A</v>
          </cell>
          <cell r="AD576">
            <v>489</v>
          </cell>
          <cell r="AE576" t="e">
            <v>#N/A</v>
          </cell>
          <cell r="AF576" t="str">
            <v/>
          </cell>
        </row>
        <row r="577">
          <cell r="Y577">
            <v>561</v>
          </cell>
          <cell r="Z577">
            <v>0.84354010038077831</v>
          </cell>
          <cell r="AA577">
            <v>0.17057145638022408</v>
          </cell>
          <cell r="AB577" t="str">
            <v/>
          </cell>
          <cell r="AC577" t="e">
            <v>#N/A</v>
          </cell>
          <cell r="AD577">
            <v>490</v>
          </cell>
          <cell r="AE577" t="e">
            <v>#N/A</v>
          </cell>
          <cell r="AF577" t="str">
            <v/>
          </cell>
        </row>
        <row r="578">
          <cell r="Y578">
            <v>562</v>
          </cell>
          <cell r="Z578">
            <v>0.96982908807694912</v>
          </cell>
          <cell r="AA578">
            <v>0.31748856137371939</v>
          </cell>
          <cell r="AB578" t="str">
            <v/>
          </cell>
          <cell r="AC578" t="e">
            <v>#N/A</v>
          </cell>
          <cell r="AD578">
            <v>491</v>
          </cell>
          <cell r="AE578" t="e">
            <v>#N/A</v>
          </cell>
          <cell r="AF578" t="str">
            <v/>
          </cell>
        </row>
        <row r="579">
          <cell r="Y579">
            <v>563</v>
          </cell>
          <cell r="Z579">
            <v>0.48854763619601727</v>
          </cell>
          <cell r="AA579">
            <v>-4.8530046763230151E-3</v>
          </cell>
          <cell r="AB579" t="str">
            <v/>
          </cell>
          <cell r="AC579" t="e">
            <v>#N/A</v>
          </cell>
          <cell r="AD579">
            <v>492</v>
          </cell>
          <cell r="AE579" t="e">
            <v>#N/A</v>
          </cell>
          <cell r="AF579" t="str">
            <v/>
          </cell>
        </row>
        <row r="580">
          <cell r="Y580">
            <v>564</v>
          </cell>
          <cell r="Z580">
            <v>0.71307944320142269</v>
          </cell>
          <cell r="AA580">
            <v>9.5063547481540653E-2</v>
          </cell>
          <cell r="AB580" t="str">
            <v/>
          </cell>
          <cell r="AC580" t="e">
            <v>#N/A</v>
          </cell>
          <cell r="AD580">
            <v>493</v>
          </cell>
          <cell r="AE580" t="e">
            <v>#N/A</v>
          </cell>
          <cell r="AF580" t="str">
            <v/>
          </cell>
        </row>
        <row r="581">
          <cell r="Y581">
            <v>565</v>
          </cell>
          <cell r="Z581">
            <v>0.70204698853194714</v>
          </cell>
          <cell r="AA581">
            <v>8.9636554001842131E-2</v>
          </cell>
          <cell r="AB581" t="str">
            <v/>
          </cell>
          <cell r="AC581" t="e">
            <v>#N/A</v>
          </cell>
          <cell r="AD581">
            <v>494</v>
          </cell>
          <cell r="AE581" t="e">
            <v>#N/A</v>
          </cell>
          <cell r="AF581" t="str">
            <v/>
          </cell>
        </row>
        <row r="582">
          <cell r="Y582">
            <v>566</v>
          </cell>
          <cell r="Z582">
            <v>1.1930322274565697E-2</v>
          </cell>
          <cell r="AA582">
            <v>-0.38190251128719072</v>
          </cell>
          <cell r="AB582" t="str">
            <v/>
          </cell>
          <cell r="AC582" t="e">
            <v>#N/A</v>
          </cell>
          <cell r="AD582">
            <v>495</v>
          </cell>
          <cell r="AE582" t="e">
            <v>#N/A</v>
          </cell>
          <cell r="AF582" t="str">
            <v/>
          </cell>
        </row>
        <row r="583">
          <cell r="Y583">
            <v>567</v>
          </cell>
          <cell r="Z583">
            <v>0.37783984653651714</v>
          </cell>
          <cell r="AA583">
            <v>-5.259548324679636E-2</v>
          </cell>
          <cell r="AB583" t="str">
            <v/>
          </cell>
          <cell r="AC583" t="e">
            <v>#N/A</v>
          </cell>
          <cell r="AD583">
            <v>496</v>
          </cell>
          <cell r="AE583" t="e">
            <v>#N/A</v>
          </cell>
          <cell r="AF583" t="str">
            <v/>
          </cell>
        </row>
        <row r="584">
          <cell r="Y584">
            <v>568</v>
          </cell>
          <cell r="Z584">
            <v>0.37728317640721798</v>
          </cell>
          <cell r="AA584">
            <v>-5.2843098361452123E-2</v>
          </cell>
          <cell r="AB584" t="str">
            <v/>
          </cell>
          <cell r="AC584" t="e">
            <v>#N/A</v>
          </cell>
          <cell r="AD584">
            <v>497</v>
          </cell>
          <cell r="AE584" t="e">
            <v>#N/A</v>
          </cell>
          <cell r="AF584" t="str">
            <v/>
          </cell>
        </row>
        <row r="585">
          <cell r="Y585">
            <v>569</v>
          </cell>
          <cell r="Z585">
            <v>0.66875347308814526</v>
          </cell>
          <cell r="AA585">
            <v>7.3777526296779458E-2</v>
          </cell>
          <cell r="AB585" t="str">
            <v/>
          </cell>
          <cell r="AC585" t="e">
            <v>#N/A</v>
          </cell>
          <cell r="AD585">
            <v>498</v>
          </cell>
          <cell r="AE585" t="e">
            <v>#N/A</v>
          </cell>
          <cell r="AF585" t="str">
            <v/>
          </cell>
        </row>
        <row r="586">
          <cell r="Y586">
            <v>570</v>
          </cell>
          <cell r="Z586">
            <v>0.42467660270631313</v>
          </cell>
          <cell r="AA586">
            <v>-3.210635445469142E-2</v>
          </cell>
          <cell r="AB586" t="str">
            <v/>
          </cell>
          <cell r="AC586" t="e">
            <v>#N/A</v>
          </cell>
          <cell r="AD586">
            <v>499</v>
          </cell>
          <cell r="AE586" t="e">
            <v>#N/A</v>
          </cell>
          <cell r="AF586" t="str">
            <v/>
          </cell>
        </row>
        <row r="587">
          <cell r="Y587">
            <v>571</v>
          </cell>
          <cell r="Z587">
            <v>0.54785896651446819</v>
          </cell>
          <cell r="AA587">
            <v>2.0326609342243604E-2</v>
          </cell>
          <cell r="AB587" t="str">
            <v/>
          </cell>
          <cell r="AC587" t="e">
            <v>#N/A</v>
          </cell>
          <cell r="AD587">
            <v>500</v>
          </cell>
          <cell r="AE587" t="e">
            <v>#N/A</v>
          </cell>
          <cell r="AF587" t="str">
            <v/>
          </cell>
        </row>
        <row r="588">
          <cell r="Y588">
            <v>572</v>
          </cell>
          <cell r="Z588">
            <v>0.7873112466186285</v>
          </cell>
          <cell r="AA588">
            <v>0.13473898822127442</v>
          </cell>
          <cell r="AB588" t="str">
            <v/>
          </cell>
          <cell r="AC588" t="e">
            <v>#N/A</v>
          </cell>
          <cell r="AD588">
            <v>501</v>
          </cell>
          <cell r="AE588" t="e">
            <v>#N/A</v>
          </cell>
          <cell r="AF588" t="str">
            <v/>
          </cell>
        </row>
        <row r="589">
          <cell r="Y589">
            <v>573</v>
          </cell>
          <cell r="Z589">
            <v>0.70123249106109142</v>
          </cell>
          <cell r="AA589">
            <v>8.9239599583648313E-2</v>
          </cell>
          <cell r="AB589" t="str">
            <v/>
          </cell>
          <cell r="AC589" t="e">
            <v>#N/A</v>
          </cell>
          <cell r="AD589">
            <v>502</v>
          </cell>
          <cell r="AE589" t="e">
            <v>#N/A</v>
          </cell>
          <cell r="AF589" t="str">
            <v/>
          </cell>
        </row>
        <row r="590">
          <cell r="Y590">
            <v>574</v>
          </cell>
          <cell r="Z590">
            <v>2.6633298024535179E-2</v>
          </cell>
          <cell r="AA590">
            <v>-0.32669493457670434</v>
          </cell>
          <cell r="AB590" t="str">
            <v/>
          </cell>
          <cell r="AC590" t="e">
            <v>#N/A</v>
          </cell>
          <cell r="AD590">
            <v>503</v>
          </cell>
          <cell r="AE590" t="e">
            <v>#N/A</v>
          </cell>
          <cell r="AF590" t="str">
            <v/>
          </cell>
        </row>
        <row r="591">
          <cell r="Y591">
            <v>575</v>
          </cell>
          <cell r="Z591">
            <v>0.32647822611033916</v>
          </cell>
          <cell r="AA591">
            <v>-7.6006216827163908E-2</v>
          </cell>
          <cell r="AB591" t="str">
            <v/>
          </cell>
          <cell r="AC591" t="e">
            <v>#N/A</v>
          </cell>
          <cell r="AD591">
            <v>504</v>
          </cell>
          <cell r="AE591" t="e">
            <v>#N/A</v>
          </cell>
          <cell r="AF591" t="str">
            <v/>
          </cell>
        </row>
        <row r="592">
          <cell r="Y592">
            <v>576</v>
          </cell>
          <cell r="Z592">
            <v>0.50532033108174801</v>
          </cell>
          <cell r="AA592">
            <v>2.2542778563664858E-3</v>
          </cell>
          <cell r="AB592" t="str">
            <v/>
          </cell>
          <cell r="AC592" t="e">
            <v>#N/A</v>
          </cell>
          <cell r="AD592">
            <v>505</v>
          </cell>
          <cell r="AE592" t="e">
            <v>#N/A</v>
          </cell>
          <cell r="AF592" t="str">
            <v/>
          </cell>
        </row>
        <row r="593">
          <cell r="Y593">
            <v>577</v>
          </cell>
          <cell r="Z593">
            <v>0.87998178415000439</v>
          </cell>
          <cell r="AA593">
            <v>0.19859362604877623</v>
          </cell>
          <cell r="AB593" t="str">
            <v/>
          </cell>
          <cell r="AC593" t="e">
            <v>#N/A</v>
          </cell>
          <cell r="AD593">
            <v>506</v>
          </cell>
          <cell r="AE593" t="e">
            <v>#N/A</v>
          </cell>
          <cell r="AF593" t="str">
            <v/>
          </cell>
        </row>
        <row r="594">
          <cell r="Y594">
            <v>578</v>
          </cell>
          <cell r="Z594">
            <v>0.28126323781907558</v>
          </cell>
          <cell r="AA594">
            <v>-9.7884569389797393E-2</v>
          </cell>
          <cell r="AB594" t="str">
            <v/>
          </cell>
          <cell r="AC594" t="e">
            <v>#N/A</v>
          </cell>
          <cell r="AD594">
            <v>507</v>
          </cell>
          <cell r="AE594" t="e">
            <v>#N/A</v>
          </cell>
          <cell r="AF594" t="str">
            <v/>
          </cell>
        </row>
        <row r="595">
          <cell r="Y595">
            <v>579</v>
          </cell>
          <cell r="Z595">
            <v>3.4612847492098808E-2</v>
          </cell>
          <cell r="AA595">
            <v>-0.30711958326194633</v>
          </cell>
          <cell r="AB595" t="str">
            <v/>
          </cell>
          <cell r="AC595" t="e">
            <v>#N/A</v>
          </cell>
          <cell r="AD595">
            <v>508</v>
          </cell>
          <cell r="AE595" t="e">
            <v>#N/A</v>
          </cell>
          <cell r="AF595" t="str">
            <v/>
          </cell>
        </row>
        <row r="596">
          <cell r="Y596">
            <v>580</v>
          </cell>
          <cell r="Z596">
            <v>0.92488800548017025</v>
          </cell>
          <cell r="AA596">
            <v>0.24319157330177829</v>
          </cell>
          <cell r="AB596" t="str">
            <v/>
          </cell>
          <cell r="AC596" t="e">
            <v>#N/A</v>
          </cell>
          <cell r="AD596">
            <v>509</v>
          </cell>
          <cell r="AE596" t="e">
            <v>#N/A</v>
          </cell>
          <cell r="AF596" t="str">
            <v/>
          </cell>
        </row>
        <row r="597">
          <cell r="Y597">
            <v>581</v>
          </cell>
          <cell r="Z597">
            <v>7.8345773741602898E-2</v>
          </cell>
          <cell r="AA597">
            <v>-0.23939616501497457</v>
          </cell>
          <cell r="AB597" t="str">
            <v/>
          </cell>
          <cell r="AC597" t="e">
            <v>#N/A</v>
          </cell>
          <cell r="AD597">
            <v>510</v>
          </cell>
          <cell r="AE597" t="e">
            <v>#N/A</v>
          </cell>
          <cell r="AF597" t="str">
            <v/>
          </cell>
        </row>
        <row r="598">
          <cell r="Y598">
            <v>582</v>
          </cell>
          <cell r="Z598">
            <v>0.7559110876172781</v>
          </cell>
          <cell r="AA598">
            <v>0.11717386236777032</v>
          </cell>
          <cell r="AB598" t="str">
            <v/>
          </cell>
          <cell r="AC598" t="e">
            <v>#N/A</v>
          </cell>
          <cell r="AD598">
            <v>511</v>
          </cell>
          <cell r="AE598" t="e">
            <v>#N/A</v>
          </cell>
          <cell r="AF598" t="str">
            <v/>
          </cell>
        </row>
        <row r="599">
          <cell r="Y599">
            <v>583</v>
          </cell>
          <cell r="Z599">
            <v>0.70301692001521587</v>
          </cell>
          <cell r="AA599">
            <v>9.0109906867781114E-2</v>
          </cell>
          <cell r="AB599" t="str">
            <v/>
          </cell>
          <cell r="AC599" t="e">
            <v>#N/A</v>
          </cell>
          <cell r="AD599">
            <v>512</v>
          </cell>
          <cell r="AE599" t="e">
            <v>#N/A</v>
          </cell>
          <cell r="AF599" t="str">
            <v/>
          </cell>
        </row>
        <row r="600">
          <cell r="Y600">
            <v>584</v>
          </cell>
          <cell r="Z600">
            <v>0.33937211893498898</v>
          </cell>
          <cell r="AA600">
            <v>-7.0008747720193887E-2</v>
          </cell>
          <cell r="AB600" t="str">
            <v/>
          </cell>
          <cell r="AC600" t="e">
            <v>#N/A</v>
          </cell>
          <cell r="AD600">
            <v>513</v>
          </cell>
          <cell r="AE600" t="e">
            <v>#N/A</v>
          </cell>
          <cell r="AF600" t="str">
            <v/>
          </cell>
        </row>
        <row r="601">
          <cell r="Y601">
            <v>585</v>
          </cell>
          <cell r="Z601">
            <v>0.60118743591010571</v>
          </cell>
          <cell r="AA601">
            <v>4.3343201248764035E-2</v>
          </cell>
          <cell r="AB601" t="str">
            <v/>
          </cell>
          <cell r="AC601" t="e">
            <v>#N/A</v>
          </cell>
          <cell r="AD601">
            <v>514</v>
          </cell>
          <cell r="AE601" t="e">
            <v>#N/A</v>
          </cell>
          <cell r="AF601" t="str">
            <v/>
          </cell>
        </row>
        <row r="602">
          <cell r="Y602">
            <v>586</v>
          </cell>
          <cell r="Z602">
            <v>0.17453772388398647</v>
          </cell>
          <cell r="AA602">
            <v>-0.15827780571284447</v>
          </cell>
          <cell r="AB602" t="str">
            <v/>
          </cell>
          <cell r="AC602" t="e">
            <v>#N/A</v>
          </cell>
          <cell r="AD602">
            <v>515</v>
          </cell>
          <cell r="AE602" t="e">
            <v>#N/A</v>
          </cell>
          <cell r="AF602" t="str">
            <v/>
          </cell>
        </row>
        <row r="603">
          <cell r="Y603">
            <v>587</v>
          </cell>
          <cell r="Z603">
            <v>0.50783027522265911</v>
          </cell>
          <cell r="AA603">
            <v>3.3178811629216189E-3</v>
          </cell>
          <cell r="AB603" t="str">
            <v/>
          </cell>
          <cell r="AC603" t="e">
            <v>#N/A</v>
          </cell>
          <cell r="AD603">
            <v>516</v>
          </cell>
          <cell r="AE603" t="e">
            <v>#N/A</v>
          </cell>
          <cell r="AF603" t="str">
            <v/>
          </cell>
        </row>
        <row r="604">
          <cell r="Y604">
            <v>588</v>
          </cell>
          <cell r="Z604">
            <v>0.35402016900479794</v>
          </cell>
          <cell r="AA604">
            <v>-6.3300240002828981E-2</v>
          </cell>
          <cell r="AB604" t="str">
            <v/>
          </cell>
          <cell r="AC604" t="e">
            <v>#N/A</v>
          </cell>
          <cell r="AD604">
            <v>517</v>
          </cell>
          <cell r="AE604" t="e">
            <v>#N/A</v>
          </cell>
          <cell r="AF604" t="str">
            <v/>
          </cell>
        </row>
        <row r="605">
          <cell r="Y605">
            <v>589</v>
          </cell>
          <cell r="Z605">
            <v>0.29231017641723156</v>
          </cell>
          <cell r="AA605">
            <v>-9.2400433835569951E-2</v>
          </cell>
          <cell r="AB605" t="str">
            <v/>
          </cell>
          <cell r="AC605" t="e">
            <v>#N/A</v>
          </cell>
          <cell r="AD605">
            <v>518</v>
          </cell>
          <cell r="AE605" t="e">
            <v>#N/A</v>
          </cell>
          <cell r="AF605" t="str">
            <v/>
          </cell>
        </row>
        <row r="606">
          <cell r="Y606">
            <v>590</v>
          </cell>
          <cell r="Z606">
            <v>0.56420460902154446</v>
          </cell>
          <cell r="AA606">
            <v>2.7321840698398905E-2</v>
          </cell>
          <cell r="AB606" t="str">
            <v/>
          </cell>
          <cell r="AC606" t="e">
            <v>#N/A</v>
          </cell>
          <cell r="AD606">
            <v>519</v>
          </cell>
          <cell r="AE606" t="e">
            <v>#N/A</v>
          </cell>
          <cell r="AF606" t="str">
            <v/>
          </cell>
        </row>
        <row r="607">
          <cell r="Y607">
            <v>591</v>
          </cell>
          <cell r="Z607">
            <v>0.42487536184489727</v>
          </cell>
          <cell r="AA607">
            <v>-3.2020611886218769E-2</v>
          </cell>
          <cell r="AB607" t="str">
            <v/>
          </cell>
          <cell r="AC607" t="e">
            <v>#N/A</v>
          </cell>
          <cell r="AD607">
            <v>520</v>
          </cell>
          <cell r="AE607" t="e">
            <v>#N/A</v>
          </cell>
          <cell r="AF607" t="str">
            <v/>
          </cell>
        </row>
        <row r="608">
          <cell r="Y608">
            <v>592</v>
          </cell>
          <cell r="Z608">
            <v>0.14182867668569088</v>
          </cell>
          <cell r="AA608">
            <v>-0.1812246618363792</v>
          </cell>
          <cell r="AB608" t="str">
            <v/>
          </cell>
          <cell r="AC608" t="e">
            <v>#N/A</v>
          </cell>
          <cell r="AD608">
            <v>521</v>
          </cell>
          <cell r="AE608" t="e">
            <v>#N/A</v>
          </cell>
          <cell r="AF608" t="str">
            <v/>
          </cell>
        </row>
        <row r="609">
          <cell r="Y609">
            <v>593</v>
          </cell>
          <cell r="Z609">
            <v>0.61062970571219921</v>
          </cell>
          <cell r="AA609">
            <v>4.7491016158664086E-2</v>
          </cell>
          <cell r="AB609" t="str">
            <v/>
          </cell>
          <cell r="AC609" t="e">
            <v>#N/A</v>
          </cell>
          <cell r="AD609">
            <v>522</v>
          </cell>
          <cell r="AE609" t="e">
            <v>#N/A</v>
          </cell>
          <cell r="AF609" t="str">
            <v/>
          </cell>
        </row>
        <row r="610">
          <cell r="Y610">
            <v>594</v>
          </cell>
          <cell r="Z610">
            <v>0.9953081663697958</v>
          </cell>
          <cell r="AA610">
            <v>0.43909996252257416</v>
          </cell>
          <cell r="AB610" t="str">
            <v/>
          </cell>
          <cell r="AC610" t="e">
            <v>#N/A</v>
          </cell>
          <cell r="AD610">
            <v>523</v>
          </cell>
          <cell r="AE610" t="e">
            <v>#N/A</v>
          </cell>
          <cell r="AF610" t="str">
            <v/>
          </cell>
        </row>
        <row r="611">
          <cell r="Y611">
            <v>595</v>
          </cell>
          <cell r="Z611">
            <v>0.6027041207998991</v>
          </cell>
          <cell r="AA611">
            <v>4.4007631113299729E-2</v>
          </cell>
          <cell r="AB611" t="str">
            <v/>
          </cell>
          <cell r="AC611" t="e">
            <v>#N/A</v>
          </cell>
          <cell r="AD611">
            <v>524</v>
          </cell>
          <cell r="AE611" t="e">
            <v>#N/A</v>
          </cell>
          <cell r="AF611" t="str">
            <v/>
          </cell>
        </row>
        <row r="612">
          <cell r="Y612">
            <v>596</v>
          </cell>
          <cell r="Z612">
            <v>4.3152561411261559E-2</v>
          </cell>
          <cell r="AA612">
            <v>-0.28992489007213273</v>
          </cell>
          <cell r="AB612" t="str">
            <v/>
          </cell>
          <cell r="AC612" t="e">
            <v>#N/A</v>
          </cell>
          <cell r="AD612">
            <v>525</v>
          </cell>
          <cell r="AE612" t="e">
            <v>#N/A</v>
          </cell>
          <cell r="AF612" t="str">
            <v/>
          </cell>
        </row>
        <row r="613">
          <cell r="Y613">
            <v>597</v>
          </cell>
          <cell r="Z613">
            <v>0.17509591393172741</v>
          </cell>
          <cell r="AA613">
            <v>-0.15791154049210193</v>
          </cell>
          <cell r="AB613" t="str">
            <v/>
          </cell>
          <cell r="AC613" t="e">
            <v>#N/A</v>
          </cell>
          <cell r="AD613">
            <v>526</v>
          </cell>
          <cell r="AE613" t="e">
            <v>#N/A</v>
          </cell>
          <cell r="AF613" t="str">
            <v/>
          </cell>
        </row>
        <row r="614">
          <cell r="Y614">
            <v>598</v>
          </cell>
          <cell r="Z614">
            <v>0.41556415520608425</v>
          </cell>
          <cell r="AA614">
            <v>-3.6046622225989658E-2</v>
          </cell>
          <cell r="AB614" t="str">
            <v/>
          </cell>
          <cell r="AC614" t="e">
            <v>#N/A</v>
          </cell>
          <cell r="AD614">
            <v>527</v>
          </cell>
          <cell r="AE614" t="e">
            <v>#N/A</v>
          </cell>
          <cell r="AF614" t="str">
            <v/>
          </cell>
        </row>
        <row r="615">
          <cell r="Y615">
            <v>599</v>
          </cell>
          <cell r="Z615">
            <v>0.95439486019313335</v>
          </cell>
          <cell r="AA615">
            <v>0.28550117850466283</v>
          </cell>
          <cell r="AB615" t="str">
            <v/>
          </cell>
          <cell r="AC615" t="e">
            <v>#N/A</v>
          </cell>
          <cell r="AD615">
            <v>528</v>
          </cell>
          <cell r="AE615" t="e">
            <v>#N/A</v>
          </cell>
          <cell r="AF615" t="str">
            <v/>
          </cell>
        </row>
        <row r="616">
          <cell r="Y616">
            <v>600</v>
          </cell>
          <cell r="Z616">
            <v>9.0645160526037216E-3</v>
          </cell>
          <cell r="AA616">
            <v>-0.39941519264483777</v>
          </cell>
          <cell r="AB616" t="str">
            <v/>
          </cell>
          <cell r="AC616" t="e">
            <v>#N/A</v>
          </cell>
          <cell r="AD616">
            <v>529</v>
          </cell>
          <cell r="AE616" t="e">
            <v>#N/A</v>
          </cell>
          <cell r="AF616" t="str">
            <v/>
          </cell>
        </row>
        <row r="617">
          <cell r="Y617">
            <v>601</v>
          </cell>
          <cell r="Z617">
            <v>0.2783647459000349</v>
          </cell>
          <cell r="AA617">
            <v>-9.9340484505789237E-2</v>
          </cell>
          <cell r="AB617" t="str">
            <v/>
          </cell>
          <cell r="AC617" t="e">
            <v>#N/A</v>
          </cell>
          <cell r="AD617">
            <v>530</v>
          </cell>
          <cell r="AE617" t="e">
            <v>#N/A</v>
          </cell>
          <cell r="AF617" t="str">
            <v/>
          </cell>
        </row>
        <row r="618">
          <cell r="Y618">
            <v>602</v>
          </cell>
          <cell r="Z618">
            <v>7.7742045745253563E-2</v>
          </cell>
          <cell r="AA618">
            <v>-0.24009558683891041</v>
          </cell>
          <cell r="AB618" t="str">
            <v/>
          </cell>
          <cell r="AC618" t="e">
            <v>#N/A</v>
          </cell>
          <cell r="AD618">
            <v>531</v>
          </cell>
          <cell r="AE618" t="e">
            <v>#N/A</v>
          </cell>
          <cell r="AF618" t="str">
            <v/>
          </cell>
        </row>
        <row r="619">
          <cell r="Y619">
            <v>603</v>
          </cell>
          <cell r="Z619">
            <v>0.46809913031756878</v>
          </cell>
          <cell r="AA619">
            <v>-1.353075568339443E-2</v>
          </cell>
          <cell r="AB619" t="str">
            <v/>
          </cell>
          <cell r="AC619" t="e">
            <v>#N/A</v>
          </cell>
          <cell r="AD619">
            <v>532</v>
          </cell>
          <cell r="AE619" t="e">
            <v>#N/A</v>
          </cell>
          <cell r="AF619" t="str">
            <v/>
          </cell>
        </row>
        <row r="620">
          <cell r="Y620">
            <v>604</v>
          </cell>
          <cell r="Z620">
            <v>0.38846438191831112</v>
          </cell>
          <cell r="AA620">
            <v>-4.7890434518313311E-2</v>
          </cell>
          <cell r="AB620" t="str">
            <v/>
          </cell>
          <cell r="AC620" t="e">
            <v>#N/A</v>
          </cell>
          <cell r="AD620">
            <v>533</v>
          </cell>
          <cell r="AE620" t="e">
            <v>#N/A</v>
          </cell>
          <cell r="AF620" t="str">
            <v/>
          </cell>
        </row>
        <row r="621">
          <cell r="Y621">
            <v>605</v>
          </cell>
          <cell r="Z621">
            <v>0.86922007612884045</v>
          </cell>
          <cell r="AA621">
            <v>0.18977295760269303</v>
          </cell>
          <cell r="AB621" t="str">
            <v/>
          </cell>
          <cell r="AC621" t="e">
            <v>#N/A</v>
          </cell>
          <cell r="AD621">
            <v>534</v>
          </cell>
          <cell r="AE621" t="e">
            <v>#N/A</v>
          </cell>
          <cell r="AF621" t="str">
            <v/>
          </cell>
        </row>
        <row r="622">
          <cell r="Y622">
            <v>606</v>
          </cell>
          <cell r="Z622">
            <v>6.1149394139647484E-2</v>
          </cell>
          <cell r="AA622">
            <v>-0.26118584601476236</v>
          </cell>
          <cell r="AB622" t="str">
            <v/>
          </cell>
          <cell r="AC622" t="e">
            <v>#N/A</v>
          </cell>
          <cell r="AD622">
            <v>535</v>
          </cell>
          <cell r="AE622" t="e">
            <v>#N/A</v>
          </cell>
          <cell r="AF622" t="str">
            <v/>
          </cell>
        </row>
        <row r="623">
          <cell r="Y623">
            <v>607</v>
          </cell>
          <cell r="Z623">
            <v>0.73633859865367413</v>
          </cell>
          <cell r="AA623">
            <v>0.10684407299209643</v>
          </cell>
          <cell r="AB623" t="str">
            <v/>
          </cell>
          <cell r="AC623" t="e">
            <v>#N/A</v>
          </cell>
          <cell r="AD623">
            <v>536</v>
          </cell>
          <cell r="AE623" t="e">
            <v>#N/A</v>
          </cell>
          <cell r="AF623" t="str">
            <v/>
          </cell>
        </row>
        <row r="624">
          <cell r="Y624">
            <v>608</v>
          </cell>
          <cell r="Z624">
            <v>0.5589385237544775</v>
          </cell>
          <cell r="AA624">
            <v>2.5063647416652738E-2</v>
          </cell>
          <cell r="AB624" t="str">
            <v/>
          </cell>
          <cell r="AC624" t="e">
            <v>#N/A</v>
          </cell>
          <cell r="AD624">
            <v>537</v>
          </cell>
          <cell r="AE624" t="e">
            <v>#N/A</v>
          </cell>
          <cell r="AF624" t="str">
            <v/>
          </cell>
        </row>
        <row r="625">
          <cell r="Y625">
            <v>609</v>
          </cell>
          <cell r="Z625">
            <v>0.50374558381736279</v>
          </cell>
          <cell r="AA625">
            <v>1.587017854038241E-3</v>
          </cell>
          <cell r="AB625" t="str">
            <v/>
          </cell>
          <cell r="AC625" t="e">
            <v>#N/A</v>
          </cell>
          <cell r="AD625">
            <v>538</v>
          </cell>
          <cell r="AE625" t="e">
            <v>#N/A</v>
          </cell>
          <cell r="AF625" t="str">
            <v/>
          </cell>
        </row>
        <row r="626">
          <cell r="Y626">
            <v>610</v>
          </cell>
          <cell r="Z626">
            <v>0.38686621747910976</v>
          </cell>
          <cell r="AA626">
            <v>-4.8595722072907618E-2</v>
          </cell>
          <cell r="AB626" t="str">
            <v/>
          </cell>
          <cell r="AC626" t="e">
            <v>#N/A</v>
          </cell>
          <cell r="AD626">
            <v>539</v>
          </cell>
          <cell r="AE626" t="e">
            <v>#N/A</v>
          </cell>
          <cell r="AF626" t="str">
            <v/>
          </cell>
        </row>
        <row r="627">
          <cell r="Y627">
            <v>611</v>
          </cell>
          <cell r="Z627">
            <v>0.20405192486941814</v>
          </cell>
          <cell r="AA627">
            <v>-0.13982824422322129</v>
          </cell>
          <cell r="AB627" t="str">
            <v/>
          </cell>
          <cell r="AC627" t="e">
            <v>#N/A</v>
          </cell>
          <cell r="AD627">
            <v>540</v>
          </cell>
          <cell r="AE627" t="e">
            <v>#N/A</v>
          </cell>
          <cell r="AF627" t="str">
            <v/>
          </cell>
        </row>
        <row r="628">
          <cell r="Y628">
            <v>612</v>
          </cell>
          <cell r="Z628">
            <v>0.90136920474469662</v>
          </cell>
          <cell r="AA628">
            <v>0.21794714892348024</v>
          </cell>
          <cell r="AB628" t="str">
            <v/>
          </cell>
          <cell r="AC628" t="e">
            <v>#N/A</v>
          </cell>
          <cell r="AD628">
            <v>541</v>
          </cell>
          <cell r="AE628" t="e">
            <v>#N/A</v>
          </cell>
          <cell r="AF628" t="str">
            <v/>
          </cell>
        </row>
        <row r="629">
          <cell r="Y629">
            <v>613</v>
          </cell>
          <cell r="Z629">
            <v>0.76524662785232067</v>
          </cell>
          <cell r="AA629">
            <v>0.12225694575565849</v>
          </cell>
          <cell r="AB629" t="str">
            <v/>
          </cell>
          <cell r="AC629" t="e">
            <v>#N/A</v>
          </cell>
          <cell r="AD629">
            <v>542</v>
          </cell>
          <cell r="AE629" t="e">
            <v>#N/A</v>
          </cell>
          <cell r="AF629" t="str">
            <v/>
          </cell>
        </row>
        <row r="630">
          <cell r="Y630">
            <v>614</v>
          </cell>
          <cell r="Z630">
            <v>0.22672936879098415</v>
          </cell>
          <cell r="AA630">
            <v>-0.12671588285175622</v>
          </cell>
          <cell r="AB630" t="str">
            <v/>
          </cell>
          <cell r="AC630" t="e">
            <v>#N/A</v>
          </cell>
          <cell r="AD630">
            <v>543</v>
          </cell>
          <cell r="AE630" t="e">
            <v>#N/A</v>
          </cell>
          <cell r="AF630" t="str">
            <v/>
          </cell>
        </row>
        <row r="631">
          <cell r="Y631">
            <v>615</v>
          </cell>
          <cell r="Z631">
            <v>0.63539163582026958</v>
          </cell>
          <cell r="AA631">
            <v>5.8513011703448539E-2</v>
          </cell>
          <cell r="AB631" t="str">
            <v/>
          </cell>
          <cell r="AC631" t="e">
            <v>#N/A</v>
          </cell>
          <cell r="AD631">
            <v>544</v>
          </cell>
          <cell r="AE631" t="e">
            <v>#N/A</v>
          </cell>
          <cell r="AF631" t="str">
            <v/>
          </cell>
        </row>
        <row r="632">
          <cell r="Y632">
            <v>616</v>
          </cell>
          <cell r="Z632">
            <v>0.61829396151006222</v>
          </cell>
          <cell r="AA632">
            <v>5.0878822022792987E-2</v>
          </cell>
          <cell r="AB632" t="str">
            <v/>
          </cell>
          <cell r="AC632" t="e">
            <v>#N/A</v>
          </cell>
          <cell r="AD632">
            <v>545</v>
          </cell>
          <cell r="AE632" t="e">
            <v>#N/A</v>
          </cell>
          <cell r="AF632" t="str">
            <v/>
          </cell>
        </row>
        <row r="633">
          <cell r="Y633">
            <v>617</v>
          </cell>
          <cell r="Z633">
            <v>0.65292212180793285</v>
          </cell>
          <cell r="AA633">
            <v>6.6466595657491551E-2</v>
          </cell>
          <cell r="AB633" t="str">
            <v/>
          </cell>
          <cell r="AC633" t="e">
            <v>#N/A</v>
          </cell>
          <cell r="AD633">
            <v>546</v>
          </cell>
          <cell r="AE633" t="e">
            <v>#N/A</v>
          </cell>
          <cell r="AF633" t="str">
            <v/>
          </cell>
        </row>
        <row r="634">
          <cell r="Y634">
            <v>618</v>
          </cell>
          <cell r="Z634">
            <v>0.7060669120401144</v>
          </cell>
          <cell r="AA634">
            <v>9.1603024783285802E-2</v>
          </cell>
          <cell r="AB634" t="str">
            <v/>
          </cell>
          <cell r="AC634" t="e">
            <v>#N/A</v>
          </cell>
          <cell r="AD634">
            <v>547</v>
          </cell>
          <cell r="AE634" t="e">
            <v>#N/A</v>
          </cell>
          <cell r="AF634" t="str">
            <v/>
          </cell>
        </row>
        <row r="635">
          <cell r="Y635">
            <v>619</v>
          </cell>
          <cell r="Z635">
            <v>0.2992710005491972</v>
          </cell>
          <cell r="AA635">
            <v>-8.8994463399997045E-2</v>
          </cell>
          <cell r="AB635" t="str">
            <v/>
          </cell>
          <cell r="AC635" t="e">
            <v>#N/A</v>
          </cell>
          <cell r="AD635">
            <v>548</v>
          </cell>
          <cell r="AE635" t="e">
            <v>#N/A</v>
          </cell>
          <cell r="AF635" t="str">
            <v/>
          </cell>
        </row>
        <row r="636">
          <cell r="Y636">
            <v>620</v>
          </cell>
          <cell r="Z636">
            <v>0.89601497910916805</v>
          </cell>
          <cell r="AA636">
            <v>0.21283805851074294</v>
          </cell>
          <cell r="AB636" t="str">
            <v/>
          </cell>
          <cell r="AC636" t="e">
            <v>#N/A</v>
          </cell>
          <cell r="AD636">
            <v>549</v>
          </cell>
          <cell r="AE636" t="e">
            <v>#N/A</v>
          </cell>
          <cell r="AF636" t="str">
            <v/>
          </cell>
        </row>
        <row r="637">
          <cell r="Y637">
            <v>621</v>
          </cell>
          <cell r="Z637">
            <v>0.43928640894591808</v>
          </cell>
          <cell r="AA637">
            <v>-2.5824308859275166E-2</v>
          </cell>
          <cell r="AB637" t="str">
            <v/>
          </cell>
          <cell r="AC637" t="e">
            <v>#N/A</v>
          </cell>
          <cell r="AD637">
            <v>550</v>
          </cell>
          <cell r="AE637" t="e">
            <v>#N/A</v>
          </cell>
          <cell r="AF637" t="str">
            <v/>
          </cell>
        </row>
        <row r="638">
          <cell r="Y638">
            <v>622</v>
          </cell>
          <cell r="Z638">
            <v>0.80018249712884426</v>
          </cell>
          <cell r="AA638">
            <v>0.14237016867438268</v>
          </cell>
          <cell r="AB638" t="str">
            <v/>
          </cell>
          <cell r="AC638" t="e">
            <v>#N/A</v>
          </cell>
          <cell r="AD638">
            <v>551</v>
          </cell>
          <cell r="AE638" t="e">
            <v>#N/A</v>
          </cell>
          <cell r="AF638" t="str">
            <v/>
          </cell>
        </row>
        <row r="639">
          <cell r="Y639">
            <v>623</v>
          </cell>
          <cell r="Z639">
            <v>0.37366090528666973</v>
          </cell>
          <cell r="AA639">
            <v>-5.4457137783816223E-2</v>
          </cell>
          <cell r="AB639" t="str">
            <v/>
          </cell>
          <cell r="AC639" t="e">
            <v>#N/A</v>
          </cell>
          <cell r="AD639">
            <v>552</v>
          </cell>
          <cell r="AE639" t="e">
            <v>#N/A</v>
          </cell>
          <cell r="AF639" t="str">
            <v/>
          </cell>
        </row>
        <row r="640">
          <cell r="Y640">
            <v>624</v>
          </cell>
          <cell r="Z640">
            <v>0.91045846603810787</v>
          </cell>
          <cell r="AA640">
            <v>0.22710708327861234</v>
          </cell>
          <cell r="AB640" t="str">
            <v/>
          </cell>
          <cell r="AC640" t="e">
            <v>#N/A</v>
          </cell>
          <cell r="AD640">
            <v>553</v>
          </cell>
          <cell r="AE640" t="e">
            <v>#N/A</v>
          </cell>
          <cell r="AF640" t="str">
            <v/>
          </cell>
        </row>
        <row r="641">
          <cell r="Y641">
            <v>625</v>
          </cell>
          <cell r="Z641">
            <v>0.49634113721549511</v>
          </cell>
          <cell r="AA641">
            <v>-1.5502727859985172E-3</v>
          </cell>
          <cell r="AB641" t="str">
            <v/>
          </cell>
          <cell r="AC641" t="e">
            <v>#N/A</v>
          </cell>
          <cell r="AD641">
            <v>554</v>
          </cell>
          <cell r="AE641" t="e">
            <v>#N/A</v>
          </cell>
          <cell r="AF641" t="str">
            <v/>
          </cell>
        </row>
        <row r="642">
          <cell r="Y642">
            <v>626</v>
          </cell>
          <cell r="Z642">
            <v>0.82458973489701748</v>
          </cell>
          <cell r="AA642">
            <v>0.1577055999933788</v>
          </cell>
          <cell r="AB642" t="str">
            <v/>
          </cell>
          <cell r="AC642" t="e">
            <v>#N/A</v>
          </cell>
          <cell r="AD642">
            <v>555</v>
          </cell>
          <cell r="AE642" t="e">
            <v>#N/A</v>
          </cell>
          <cell r="AF642" t="str">
            <v/>
          </cell>
        </row>
        <row r="643">
          <cell r="Y643">
            <v>627</v>
          </cell>
          <cell r="Z643">
            <v>6.8636728450655937E-2</v>
          </cell>
          <cell r="AA643">
            <v>-0.25118346416041964</v>
          </cell>
          <cell r="AB643" t="str">
            <v/>
          </cell>
          <cell r="AC643" t="e">
            <v>#N/A</v>
          </cell>
          <cell r="AD643">
            <v>556</v>
          </cell>
          <cell r="AE643" t="e">
            <v>#N/A</v>
          </cell>
          <cell r="AF643" t="str">
            <v/>
          </cell>
        </row>
        <row r="644">
          <cell r="Y644">
            <v>628</v>
          </cell>
          <cell r="Z644">
            <v>0.17678402923047543</v>
          </cell>
          <cell r="AA644">
            <v>-0.15680834045840372</v>
          </cell>
          <cell r="AB644" t="str">
            <v/>
          </cell>
          <cell r="AC644" t="e">
            <v>#N/A</v>
          </cell>
          <cell r="AD644">
            <v>557</v>
          </cell>
          <cell r="AE644" t="e">
            <v>#N/A</v>
          </cell>
          <cell r="AF644" t="str">
            <v/>
          </cell>
        </row>
        <row r="645">
          <cell r="Y645">
            <v>629</v>
          </cell>
          <cell r="Z645">
            <v>0.59049713425338268</v>
          </cell>
          <cell r="AA645">
            <v>3.8678311270281755E-2</v>
          </cell>
          <cell r="AB645" t="str">
            <v/>
          </cell>
          <cell r="AC645" t="e">
            <v>#N/A</v>
          </cell>
          <cell r="AD645">
            <v>558</v>
          </cell>
          <cell r="AE645" t="e">
            <v>#N/A</v>
          </cell>
          <cell r="AF645" t="str">
            <v/>
          </cell>
        </row>
        <row r="646">
          <cell r="Y646">
            <v>630</v>
          </cell>
          <cell r="Z646">
            <v>1.8996572121977806E-2</v>
          </cell>
          <cell r="AA646">
            <v>-0.35072696215679439</v>
          </cell>
          <cell r="AB646" t="str">
            <v/>
          </cell>
          <cell r="AC646" t="e">
            <v>#N/A</v>
          </cell>
          <cell r="AD646">
            <v>559</v>
          </cell>
          <cell r="AE646" t="e">
            <v>#N/A</v>
          </cell>
          <cell r="AF646" t="str">
            <v/>
          </cell>
        </row>
        <row r="647">
          <cell r="Y647">
            <v>631</v>
          </cell>
          <cell r="Z647">
            <v>0.96817521564662457</v>
          </cell>
          <cell r="AA647">
            <v>0.31348911025581738</v>
          </cell>
          <cell r="AB647" t="str">
            <v/>
          </cell>
          <cell r="AC647" t="e">
            <v>#N/A</v>
          </cell>
          <cell r="AD647">
            <v>560</v>
          </cell>
          <cell r="AE647" t="e">
            <v>#N/A</v>
          </cell>
          <cell r="AF647" t="str">
            <v/>
          </cell>
        </row>
        <row r="648">
          <cell r="Y648">
            <v>632</v>
          </cell>
          <cell r="Z648">
            <v>0.74274404905736446</v>
          </cell>
          <cell r="AA648">
            <v>0.11017910299032237</v>
          </cell>
          <cell r="AB648" t="str">
            <v/>
          </cell>
          <cell r="AC648" t="e">
            <v>#N/A</v>
          </cell>
          <cell r="AD648">
            <v>561</v>
          </cell>
          <cell r="AE648" t="e">
            <v>#N/A</v>
          </cell>
          <cell r="AF648" t="str">
            <v/>
          </cell>
        </row>
        <row r="649">
          <cell r="Y649">
            <v>633</v>
          </cell>
          <cell r="Z649">
            <v>0.14624628238379955</v>
          </cell>
          <cell r="AA649">
            <v>-0.1779335945046866</v>
          </cell>
          <cell r="AB649" t="str">
            <v/>
          </cell>
          <cell r="AC649" t="e">
            <v>#N/A</v>
          </cell>
          <cell r="AD649">
            <v>562</v>
          </cell>
          <cell r="AE649" t="e">
            <v>#N/A</v>
          </cell>
          <cell r="AF649" t="str">
            <v/>
          </cell>
        </row>
        <row r="650">
          <cell r="Y650">
            <v>634</v>
          </cell>
          <cell r="Z650">
            <v>0.72503966651856899</v>
          </cell>
          <cell r="AA650">
            <v>0.10105999766717222</v>
          </cell>
          <cell r="AB650" t="str">
            <v/>
          </cell>
          <cell r="AC650" t="e">
            <v>#N/A</v>
          </cell>
          <cell r="AD650">
            <v>563</v>
          </cell>
          <cell r="AE650" t="e">
            <v>#N/A</v>
          </cell>
          <cell r="AF650" t="str">
            <v/>
          </cell>
        </row>
        <row r="651">
          <cell r="Y651">
            <v>635</v>
          </cell>
          <cell r="Z651">
            <v>9.0701354667544365E-2</v>
          </cell>
          <cell r="AA651">
            <v>-0.22590103419770891</v>
          </cell>
          <cell r="AB651" t="str">
            <v/>
          </cell>
          <cell r="AC651" t="e">
            <v>#N/A</v>
          </cell>
          <cell r="AD651">
            <v>564</v>
          </cell>
          <cell r="AE651" t="e">
            <v>#N/A</v>
          </cell>
          <cell r="AF651" t="str">
            <v/>
          </cell>
        </row>
        <row r="652">
          <cell r="Y652">
            <v>636</v>
          </cell>
          <cell r="Z652">
            <v>0.72579305432736874</v>
          </cell>
          <cell r="AA652">
            <v>0.10144193269752959</v>
          </cell>
          <cell r="AB652" t="str">
            <v/>
          </cell>
          <cell r="AC652" t="e">
            <v>#N/A</v>
          </cell>
          <cell r="AD652">
            <v>565</v>
          </cell>
          <cell r="AE652" t="e">
            <v>#N/A</v>
          </cell>
          <cell r="AF652" t="str">
            <v/>
          </cell>
        </row>
        <row r="653">
          <cell r="Y653">
            <v>637</v>
          </cell>
          <cell r="Z653">
            <v>0.97858339361846447</v>
          </cell>
          <cell r="AA653">
            <v>0.34234371001149783</v>
          </cell>
          <cell r="AB653" t="str">
            <v/>
          </cell>
          <cell r="AC653" t="e">
            <v>#N/A</v>
          </cell>
          <cell r="AD653">
            <v>566</v>
          </cell>
          <cell r="AE653" t="e">
            <v>#N/A</v>
          </cell>
          <cell r="AF653" t="str">
            <v/>
          </cell>
        </row>
        <row r="654">
          <cell r="Y654">
            <v>638</v>
          </cell>
          <cell r="Z654">
            <v>0.65776876173913479</v>
          </cell>
          <cell r="AA654">
            <v>6.8690972583130477E-2</v>
          </cell>
          <cell r="AB654" t="str">
            <v/>
          </cell>
          <cell r="AC654" t="e">
            <v>#N/A</v>
          </cell>
          <cell r="AD654">
            <v>567</v>
          </cell>
          <cell r="AE654" t="e">
            <v>#N/A</v>
          </cell>
          <cell r="AF654" t="str">
            <v/>
          </cell>
        </row>
        <row r="655">
          <cell r="Y655">
            <v>639</v>
          </cell>
          <cell r="Z655">
            <v>0.16838525049388409</v>
          </cell>
          <cell r="AA655">
            <v>-0.16236526482826424</v>
          </cell>
          <cell r="AB655" t="str">
            <v/>
          </cell>
          <cell r="AC655" t="e">
            <v>#N/A</v>
          </cell>
          <cell r="AD655">
            <v>568</v>
          </cell>
          <cell r="AE655" t="e">
            <v>#N/A</v>
          </cell>
          <cell r="AF655" t="str">
            <v/>
          </cell>
        </row>
        <row r="656">
          <cell r="Y656">
            <v>640</v>
          </cell>
          <cell r="Z656">
            <v>0.69394709728658199</v>
          </cell>
          <cell r="AA656">
            <v>8.5710449084217405E-2</v>
          </cell>
          <cell r="AB656" t="str">
            <v/>
          </cell>
          <cell r="AC656" t="e">
            <v>#N/A</v>
          </cell>
          <cell r="AD656">
            <v>569</v>
          </cell>
          <cell r="AE656" t="e">
            <v>#N/A</v>
          </cell>
          <cell r="AF656" t="str">
            <v/>
          </cell>
        </row>
        <row r="657">
          <cell r="Y657">
            <v>641</v>
          </cell>
          <cell r="Z657">
            <v>0.99417808465659618</v>
          </cell>
          <cell r="AA657">
            <v>0.42642403044131721</v>
          </cell>
          <cell r="AB657" t="str">
            <v/>
          </cell>
          <cell r="AC657" t="e">
            <v>#N/A</v>
          </cell>
          <cell r="AD657">
            <v>570</v>
          </cell>
          <cell r="AE657" t="e">
            <v>#N/A</v>
          </cell>
          <cell r="AF657" t="str">
            <v/>
          </cell>
        </row>
        <row r="658">
          <cell r="Y658">
            <v>642</v>
          </cell>
          <cell r="Z658">
            <v>0.77088106237351894</v>
          </cell>
          <cell r="AA658">
            <v>0.12537889710839403</v>
          </cell>
          <cell r="AB658" t="str">
            <v/>
          </cell>
          <cell r="AC658" t="e">
            <v>#N/A</v>
          </cell>
          <cell r="AD658">
            <v>571</v>
          </cell>
          <cell r="AE658" t="e">
            <v>#N/A</v>
          </cell>
          <cell r="AF658" t="str">
            <v/>
          </cell>
        </row>
        <row r="659">
          <cell r="Y659">
            <v>643</v>
          </cell>
          <cell r="Z659">
            <v>0.64518900029361248</v>
          </cell>
          <cell r="AA659">
            <v>6.2940970695198883E-2</v>
          </cell>
          <cell r="AB659" t="str">
            <v/>
          </cell>
          <cell r="AC659" t="e">
            <v>#N/A</v>
          </cell>
          <cell r="AD659">
            <v>572</v>
          </cell>
          <cell r="AE659" t="e">
            <v>#N/A</v>
          </cell>
          <cell r="AF659" t="str">
            <v/>
          </cell>
        </row>
        <row r="660">
          <cell r="Y660">
            <v>644</v>
          </cell>
          <cell r="Z660">
            <v>0.39039312861859798</v>
          </cell>
          <cell r="AA660">
            <v>-4.7040365079245992E-2</v>
          </cell>
          <cell r="AB660" t="str">
            <v/>
          </cell>
          <cell r="AC660" t="e">
            <v>#N/A</v>
          </cell>
          <cell r="AD660">
            <v>573</v>
          </cell>
          <cell r="AE660" t="e">
            <v>#N/A</v>
          </cell>
          <cell r="AF660" t="str">
            <v/>
          </cell>
        </row>
        <row r="661">
          <cell r="Y661">
            <v>645</v>
          </cell>
          <cell r="Z661">
            <v>0.36129665188491344</v>
          </cell>
          <cell r="AA661">
            <v>-6.0005114436232541E-2</v>
          </cell>
          <cell r="AB661" t="str">
            <v/>
          </cell>
          <cell r="AC661" t="e">
            <v>#N/A</v>
          </cell>
          <cell r="AD661">
            <v>574</v>
          </cell>
          <cell r="AE661" t="e">
            <v>#N/A</v>
          </cell>
          <cell r="AF661" t="str">
            <v/>
          </cell>
        </row>
        <row r="662">
          <cell r="Y662">
            <v>646</v>
          </cell>
          <cell r="Z662">
            <v>0.21570560894906521</v>
          </cell>
          <cell r="AA662">
            <v>-0.1329899327821501</v>
          </cell>
          <cell r="AB662" t="str">
            <v/>
          </cell>
          <cell r="AC662" t="e">
            <v>#N/A</v>
          </cell>
          <cell r="AD662">
            <v>575</v>
          </cell>
          <cell r="AE662" t="e">
            <v>#N/A</v>
          </cell>
          <cell r="AF662" t="str">
            <v/>
          </cell>
        </row>
        <row r="663">
          <cell r="Y663">
            <v>647</v>
          </cell>
          <cell r="Z663">
            <v>0.8936635684221983</v>
          </cell>
          <cell r="AA663">
            <v>0.2106545896433622</v>
          </cell>
          <cell r="AB663" t="str">
            <v/>
          </cell>
          <cell r="AC663" t="e">
            <v>#N/A</v>
          </cell>
          <cell r="AD663">
            <v>576</v>
          </cell>
          <cell r="AE663" t="e">
            <v>#N/A</v>
          </cell>
          <cell r="AF663" t="str">
            <v/>
          </cell>
        </row>
        <row r="664">
          <cell r="Y664">
            <v>648</v>
          </cell>
          <cell r="Z664">
            <v>0.30184837244451046</v>
          </cell>
          <cell r="AA664">
            <v>-8.7742524167529728E-2</v>
          </cell>
          <cell r="AB664" t="str">
            <v/>
          </cell>
          <cell r="AC664" t="e">
            <v>#N/A</v>
          </cell>
          <cell r="AD664">
            <v>577</v>
          </cell>
          <cell r="AE664" t="e">
            <v>#N/A</v>
          </cell>
          <cell r="AF664" t="str">
            <v/>
          </cell>
        </row>
        <row r="665">
          <cell r="Y665">
            <v>649</v>
          </cell>
          <cell r="Z665">
            <v>0.648473946377635</v>
          </cell>
          <cell r="AA665">
            <v>6.4435185018275581E-2</v>
          </cell>
          <cell r="AB665" t="str">
            <v/>
          </cell>
          <cell r="AC665" t="e">
            <v>#N/A</v>
          </cell>
          <cell r="AD665">
            <v>578</v>
          </cell>
          <cell r="AE665" t="e">
            <v>#N/A</v>
          </cell>
          <cell r="AF665" t="str">
            <v/>
          </cell>
        </row>
        <row r="666">
          <cell r="Y666">
            <v>650</v>
          </cell>
          <cell r="Z666">
            <v>0.89393765293061733</v>
          </cell>
          <cell r="AA666">
            <v>0.21090728926374372</v>
          </cell>
          <cell r="AB666" t="str">
            <v/>
          </cell>
          <cell r="AC666" t="e">
            <v>#N/A</v>
          </cell>
          <cell r="AD666">
            <v>579</v>
          </cell>
          <cell r="AE666" t="e">
            <v>#N/A</v>
          </cell>
          <cell r="AF666" t="str">
            <v/>
          </cell>
        </row>
        <row r="667">
          <cell r="Y667">
            <v>651</v>
          </cell>
          <cell r="Z667">
            <v>0.15049566142261028</v>
          </cell>
          <cell r="AA667">
            <v>-0.17483027794317474</v>
          </cell>
          <cell r="AB667" t="str">
            <v/>
          </cell>
          <cell r="AC667" t="e">
            <v>#N/A</v>
          </cell>
          <cell r="AD667">
            <v>580</v>
          </cell>
          <cell r="AE667" t="e">
            <v>#N/A</v>
          </cell>
          <cell r="AF667" t="str">
            <v/>
          </cell>
        </row>
        <row r="668">
          <cell r="Y668">
            <v>652</v>
          </cell>
          <cell r="Z668">
            <v>0.57066970132291317</v>
          </cell>
          <cell r="AA668">
            <v>3.0100917362333272E-2</v>
          </cell>
          <cell r="AB668" t="str">
            <v/>
          </cell>
          <cell r="AC668" t="e">
            <v>#N/A</v>
          </cell>
          <cell r="AD668">
            <v>581</v>
          </cell>
          <cell r="AE668" t="e">
            <v>#N/A</v>
          </cell>
          <cell r="AF668" t="str">
            <v/>
          </cell>
        </row>
        <row r="669">
          <cell r="Y669">
            <v>653</v>
          </cell>
          <cell r="Z669">
            <v>0.43193524889647961</v>
          </cell>
          <cell r="AA669">
            <v>-2.8980220002246985E-2</v>
          </cell>
          <cell r="AB669" t="str">
            <v/>
          </cell>
          <cell r="AC669" t="e">
            <v>#N/A</v>
          </cell>
          <cell r="AD669">
            <v>582</v>
          </cell>
          <cell r="AE669" t="e">
            <v>#N/A</v>
          </cell>
          <cell r="AF669" t="str">
            <v/>
          </cell>
        </row>
        <row r="670">
          <cell r="Y670">
            <v>654</v>
          </cell>
          <cell r="Z670">
            <v>0.10412303172051907</v>
          </cell>
          <cell r="AA670">
            <v>-0.21270892247158762</v>
          </cell>
          <cell r="AB670" t="str">
            <v/>
          </cell>
          <cell r="AC670" t="e">
            <v>#N/A</v>
          </cell>
          <cell r="AD670">
            <v>583</v>
          </cell>
          <cell r="AE670" t="e">
            <v>#N/A</v>
          </cell>
          <cell r="AF670" t="str">
            <v/>
          </cell>
        </row>
        <row r="671">
          <cell r="Y671">
            <v>655</v>
          </cell>
          <cell r="Z671">
            <v>0.67080460302531719</v>
          </cell>
          <cell r="AA671">
            <v>7.4734624567691171E-2</v>
          </cell>
          <cell r="AB671" t="str">
            <v/>
          </cell>
          <cell r="AC671" t="e">
            <v>#N/A</v>
          </cell>
          <cell r="AD671">
            <v>584</v>
          </cell>
          <cell r="AE671" t="e">
            <v>#N/A</v>
          </cell>
          <cell r="AF671" t="str">
            <v/>
          </cell>
        </row>
        <row r="672">
          <cell r="Y672">
            <v>656</v>
          </cell>
          <cell r="Z672">
            <v>0.75071301124989986</v>
          </cell>
          <cell r="AA672">
            <v>0.11438912703085914</v>
          </cell>
          <cell r="AB672" t="str">
            <v/>
          </cell>
          <cell r="AC672" t="e">
            <v>#N/A</v>
          </cell>
          <cell r="AD672">
            <v>585</v>
          </cell>
          <cell r="AE672" t="e">
            <v>#N/A</v>
          </cell>
          <cell r="AF672" t="str">
            <v/>
          </cell>
        </row>
        <row r="673">
          <cell r="Y673">
            <v>657</v>
          </cell>
          <cell r="Z673">
            <v>0.87176814489066601</v>
          </cell>
          <cell r="AA673">
            <v>0.19181436080902992</v>
          </cell>
          <cell r="AB673" t="str">
            <v/>
          </cell>
          <cell r="AC673" t="e">
            <v>#N/A</v>
          </cell>
          <cell r="AD673">
            <v>586</v>
          </cell>
          <cell r="AE673" t="e">
            <v>#N/A</v>
          </cell>
          <cell r="AF673" t="str">
            <v/>
          </cell>
        </row>
        <row r="674">
          <cell r="Y674">
            <v>658</v>
          </cell>
          <cell r="Z674">
            <v>0.78189254365861416</v>
          </cell>
          <cell r="AA674">
            <v>0.13160755433618077</v>
          </cell>
          <cell r="AB674" t="str">
            <v/>
          </cell>
          <cell r="AC674" t="e">
            <v>#N/A</v>
          </cell>
          <cell r="AD674">
            <v>587</v>
          </cell>
          <cell r="AE674" t="e">
            <v>#N/A</v>
          </cell>
          <cell r="AF674" t="str">
            <v/>
          </cell>
        </row>
        <row r="675">
          <cell r="Y675">
            <v>659</v>
          </cell>
          <cell r="Z675">
            <v>0.60118920914828777</v>
          </cell>
          <cell r="AA675">
            <v>4.3343977676679794E-2</v>
          </cell>
          <cell r="AB675" t="str">
            <v/>
          </cell>
          <cell r="AC675" t="e">
            <v>#N/A</v>
          </cell>
          <cell r="AD675">
            <v>588</v>
          </cell>
          <cell r="AE675" t="e">
            <v>#N/A</v>
          </cell>
          <cell r="AF675" t="str">
            <v/>
          </cell>
        </row>
        <row r="676">
          <cell r="Y676">
            <v>660</v>
          </cell>
          <cell r="Z676">
            <v>0.90694259665906429</v>
          </cell>
          <cell r="AA676">
            <v>0.22348586591660896</v>
          </cell>
          <cell r="AB676" t="str">
            <v/>
          </cell>
          <cell r="AC676" t="e">
            <v>#N/A</v>
          </cell>
          <cell r="AD676">
            <v>589</v>
          </cell>
          <cell r="AE676" t="e">
            <v>#N/A</v>
          </cell>
          <cell r="AF676" t="str">
            <v/>
          </cell>
        </row>
        <row r="677">
          <cell r="Y677">
            <v>661</v>
          </cell>
          <cell r="Z677">
            <v>0.75684439949691296</v>
          </cell>
          <cell r="AA677">
            <v>0.11767722325455135</v>
          </cell>
          <cell r="AB677" t="str">
            <v/>
          </cell>
          <cell r="AC677" t="e">
            <v>#N/A</v>
          </cell>
          <cell r="AD677">
            <v>590</v>
          </cell>
          <cell r="AE677" t="e">
            <v>#N/A</v>
          </cell>
          <cell r="AF677" t="str">
            <v/>
          </cell>
        </row>
        <row r="678">
          <cell r="Y678">
            <v>662</v>
          </cell>
          <cell r="Z678">
            <v>0.83394632302224636</v>
          </cell>
          <cell r="AA678">
            <v>0.16393928782473843</v>
          </cell>
          <cell r="AB678" t="str">
            <v/>
          </cell>
          <cell r="AC678" t="e">
            <v>#N/A</v>
          </cell>
          <cell r="AD678">
            <v>591</v>
          </cell>
          <cell r="AE678" t="e">
            <v>#N/A</v>
          </cell>
          <cell r="AF678" t="str">
            <v/>
          </cell>
        </row>
        <row r="679">
          <cell r="Y679">
            <v>663</v>
          </cell>
          <cell r="Z679">
            <v>7.1524662896990776E-2</v>
          </cell>
          <cell r="AA679">
            <v>-0.24755066950646462</v>
          </cell>
          <cell r="AB679" t="str">
            <v/>
          </cell>
          <cell r="AC679" t="e">
            <v>#N/A</v>
          </cell>
          <cell r="AD679">
            <v>592</v>
          </cell>
          <cell r="AE679" t="e">
            <v>#N/A</v>
          </cell>
          <cell r="AF679" t="str">
            <v/>
          </cell>
        </row>
        <row r="680">
          <cell r="Y680">
            <v>664</v>
          </cell>
          <cell r="Z680">
            <v>0.55879052542150021</v>
          </cell>
          <cell r="AA680">
            <v>2.5000249500605202E-2</v>
          </cell>
          <cell r="AB680" t="str">
            <v/>
          </cell>
          <cell r="AC680" t="e">
            <v>#N/A</v>
          </cell>
          <cell r="AD680">
            <v>593</v>
          </cell>
          <cell r="AE680" t="e">
            <v>#N/A</v>
          </cell>
          <cell r="AF680" t="str">
            <v/>
          </cell>
        </row>
        <row r="681">
          <cell r="Y681">
            <v>665</v>
          </cell>
          <cell r="Z681">
            <v>0.5184918325394392</v>
          </cell>
          <cell r="AA681">
            <v>7.8377511100884596E-3</v>
          </cell>
          <cell r="AB681" t="str">
            <v/>
          </cell>
          <cell r="AC681" t="e">
            <v>#N/A</v>
          </cell>
          <cell r="AD681">
            <v>594</v>
          </cell>
          <cell r="AE681" t="e">
            <v>#N/A</v>
          </cell>
          <cell r="AF681" t="str">
            <v/>
          </cell>
        </row>
        <row r="682">
          <cell r="Y682">
            <v>666</v>
          </cell>
          <cell r="Z682">
            <v>6.5788215026259422E-2</v>
          </cell>
          <cell r="AA682">
            <v>-0.25488405854260593</v>
          </cell>
          <cell r="AB682" t="str">
            <v/>
          </cell>
          <cell r="AC682" t="e">
            <v>#N/A</v>
          </cell>
          <cell r="AD682">
            <v>595</v>
          </cell>
          <cell r="AE682" t="e">
            <v>#N/A</v>
          </cell>
          <cell r="AF682" t="str">
            <v/>
          </cell>
        </row>
        <row r="683">
          <cell r="Y683">
            <v>667</v>
          </cell>
          <cell r="Z683">
            <v>5.5093895643949509E-3</v>
          </cell>
          <cell r="AA683">
            <v>-0.42969378285583931</v>
          </cell>
          <cell r="AB683" t="str">
            <v/>
          </cell>
          <cell r="AC683" t="e">
            <v>#N/A</v>
          </cell>
          <cell r="AD683">
            <v>596</v>
          </cell>
          <cell r="AE683" t="e">
            <v>#N/A</v>
          </cell>
          <cell r="AF683" t="str">
            <v/>
          </cell>
        </row>
        <row r="684">
          <cell r="Y684">
            <v>668</v>
          </cell>
          <cell r="Z684">
            <v>0.96726601384580135</v>
          </cell>
          <cell r="AA684">
            <v>0.31136312204414274</v>
          </cell>
          <cell r="AB684" t="str">
            <v/>
          </cell>
          <cell r="AC684" t="e">
            <v>#N/A</v>
          </cell>
          <cell r="AD684">
            <v>597</v>
          </cell>
          <cell r="AE684" t="e">
            <v>#N/A</v>
          </cell>
          <cell r="AF684" t="str">
            <v/>
          </cell>
        </row>
        <row r="685">
          <cell r="Y685">
            <v>669</v>
          </cell>
          <cell r="Z685">
            <v>0.71291619352996349</v>
          </cell>
          <cell r="AA685">
            <v>9.4982538551826395E-2</v>
          </cell>
          <cell r="AB685" t="str">
            <v/>
          </cell>
          <cell r="AC685" t="e">
            <v>#N/A</v>
          </cell>
          <cell r="AD685">
            <v>598</v>
          </cell>
          <cell r="AE685" t="e">
            <v>#N/A</v>
          </cell>
          <cell r="AF685" t="str">
            <v/>
          </cell>
        </row>
        <row r="686">
          <cell r="Y686">
            <v>670</v>
          </cell>
          <cell r="Z686">
            <v>0.20321015082299709</v>
          </cell>
          <cell r="AA686">
            <v>-0.14033103120177709</v>
          </cell>
          <cell r="AB686" t="str">
            <v/>
          </cell>
          <cell r="AC686" t="e">
            <v>#N/A</v>
          </cell>
          <cell r="AD686">
            <v>599</v>
          </cell>
          <cell r="AE686" t="e">
            <v>#N/A</v>
          </cell>
          <cell r="AF686" t="str">
            <v/>
          </cell>
        </row>
        <row r="687">
          <cell r="Y687">
            <v>671</v>
          </cell>
          <cell r="Z687">
            <v>0.14996193163096905</v>
          </cell>
          <cell r="AA687">
            <v>-0.17521681816560852</v>
          </cell>
          <cell r="AB687" t="str">
            <v/>
          </cell>
          <cell r="AC687" t="e">
            <v>#N/A</v>
          </cell>
          <cell r="AD687">
            <v>600</v>
          </cell>
          <cell r="AE687" t="e">
            <v>#N/A</v>
          </cell>
          <cell r="AF687" t="str">
            <v/>
          </cell>
        </row>
        <row r="688">
          <cell r="Y688">
            <v>672</v>
          </cell>
          <cell r="Z688">
            <v>0.26581480167806149</v>
          </cell>
          <cell r="AA688">
            <v>-0.10573223528336995</v>
          </cell>
          <cell r="AB688" t="str">
            <v/>
          </cell>
          <cell r="AC688" t="e">
            <v>#N/A</v>
          </cell>
          <cell r="AD688">
            <v>601</v>
          </cell>
          <cell r="AE688" t="e">
            <v>#N/A</v>
          </cell>
          <cell r="AF688" t="str">
            <v/>
          </cell>
        </row>
        <row r="689">
          <cell r="Y689">
            <v>673</v>
          </cell>
          <cell r="Z689">
            <v>0.47237303666770458</v>
          </cell>
          <cell r="AA689">
            <v>-1.1714847182059576E-2</v>
          </cell>
          <cell r="AB689" t="str">
            <v/>
          </cell>
          <cell r="AC689" t="e">
            <v>#N/A</v>
          </cell>
          <cell r="AD689">
            <v>602</v>
          </cell>
          <cell r="AE689" t="e">
            <v>#N/A</v>
          </cell>
          <cell r="AF689" t="str">
            <v/>
          </cell>
        </row>
        <row r="690">
          <cell r="Y690">
            <v>674</v>
          </cell>
          <cell r="Z690">
            <v>0.50752652250230312</v>
          </cell>
          <cell r="AA690">
            <v>3.1891580454435574E-3</v>
          </cell>
          <cell r="AB690" t="str">
            <v/>
          </cell>
          <cell r="AC690" t="e">
            <v>#N/A</v>
          </cell>
          <cell r="AD690">
            <v>603</v>
          </cell>
          <cell r="AE690" t="e">
            <v>#N/A</v>
          </cell>
          <cell r="AF690" t="str">
            <v/>
          </cell>
        </row>
        <row r="691">
          <cell r="Y691">
            <v>675</v>
          </cell>
          <cell r="Z691">
            <v>0.82286782376468182</v>
          </cell>
          <cell r="AA691">
            <v>0.15658165294727394</v>
          </cell>
          <cell r="AB691" t="str">
            <v/>
          </cell>
          <cell r="AC691" t="e">
            <v>#N/A</v>
          </cell>
          <cell r="AD691">
            <v>604</v>
          </cell>
          <cell r="AE691" t="e">
            <v>#N/A</v>
          </cell>
          <cell r="AF691" t="str">
            <v/>
          </cell>
        </row>
        <row r="692">
          <cell r="Y692">
            <v>676</v>
          </cell>
          <cell r="Z692">
            <v>0.93492852710187435</v>
          </cell>
          <cell r="AA692">
            <v>0.25583468966989859</v>
          </cell>
          <cell r="AB692" t="str">
            <v/>
          </cell>
          <cell r="AC692" t="e">
            <v>#N/A</v>
          </cell>
          <cell r="AD692">
            <v>605</v>
          </cell>
          <cell r="AE692" t="e">
            <v>#N/A</v>
          </cell>
          <cell r="AF692" t="str">
            <v/>
          </cell>
        </row>
        <row r="693">
          <cell r="Y693">
            <v>677</v>
          </cell>
          <cell r="Z693">
            <v>0.42508959583938122</v>
          </cell>
          <cell r="AA693">
            <v>-3.1928202855214471E-2</v>
          </cell>
          <cell r="AB693" t="str">
            <v/>
          </cell>
          <cell r="AC693" t="e">
            <v>#N/A</v>
          </cell>
          <cell r="AD693">
            <v>606</v>
          </cell>
          <cell r="AE693" t="e">
            <v>#N/A</v>
          </cell>
          <cell r="AF693" t="str">
            <v/>
          </cell>
        </row>
        <row r="694">
          <cell r="Y694">
            <v>678</v>
          </cell>
          <cell r="Z694">
            <v>0.48455855809152126</v>
          </cell>
          <cell r="AA694">
            <v>-6.5441349575541454E-3</v>
          </cell>
          <cell r="AB694" t="str">
            <v/>
          </cell>
          <cell r="AC694" t="e">
            <v>#N/A</v>
          </cell>
          <cell r="AD694">
            <v>607</v>
          </cell>
          <cell r="AE694" t="e">
            <v>#N/A</v>
          </cell>
          <cell r="AF694" t="str">
            <v/>
          </cell>
        </row>
        <row r="695">
          <cell r="Y695">
            <v>679</v>
          </cell>
          <cell r="Z695">
            <v>0.88017646782100201</v>
          </cell>
          <cell r="AA695">
            <v>0.19875820701177496</v>
          </cell>
          <cell r="AB695" t="str">
            <v/>
          </cell>
          <cell r="AC695" t="e">
            <v>#N/A</v>
          </cell>
          <cell r="AD695">
            <v>608</v>
          </cell>
          <cell r="AE695" t="e">
            <v>#N/A</v>
          </cell>
          <cell r="AF695" t="str">
            <v/>
          </cell>
        </row>
        <row r="696">
          <cell r="Y696">
            <v>680</v>
          </cell>
          <cell r="Z696">
            <v>0.1205041017383337</v>
          </cell>
          <cell r="AA696">
            <v>-0.19818368873786119</v>
          </cell>
          <cell r="AB696" t="str">
            <v/>
          </cell>
          <cell r="AC696" t="e">
            <v>#N/A</v>
          </cell>
          <cell r="AD696">
            <v>609</v>
          </cell>
          <cell r="AE696" t="e">
            <v>#N/A</v>
          </cell>
          <cell r="AF696" t="str">
            <v/>
          </cell>
        </row>
        <row r="697">
          <cell r="Y697">
            <v>681</v>
          </cell>
          <cell r="Z697">
            <v>0.58393665961921215</v>
          </cell>
          <cell r="AA697">
            <v>3.5830283749237364E-2</v>
          </cell>
          <cell r="AB697" t="str">
            <v/>
          </cell>
          <cell r="AC697" t="e">
            <v>#N/A</v>
          </cell>
          <cell r="AD697">
            <v>610</v>
          </cell>
          <cell r="AE697" t="e">
            <v>#N/A</v>
          </cell>
          <cell r="AF697" t="str">
            <v/>
          </cell>
        </row>
        <row r="698">
          <cell r="Y698">
            <v>682</v>
          </cell>
          <cell r="Z698">
            <v>0.18736869655549526</v>
          </cell>
          <cell r="AA698">
            <v>-0.15003761371443936</v>
          </cell>
          <cell r="AB698" t="str">
            <v/>
          </cell>
          <cell r="AC698" t="e">
            <v>#N/A</v>
          </cell>
          <cell r="AD698">
            <v>611</v>
          </cell>
          <cell r="AE698" t="e">
            <v>#N/A</v>
          </cell>
          <cell r="AF698" t="str">
            <v/>
          </cell>
        </row>
        <row r="699">
          <cell r="Y699">
            <v>683</v>
          </cell>
          <cell r="Z699">
            <v>0.40134800784289837</v>
          </cell>
          <cell r="AA699">
            <v>-4.2233961409577338E-2</v>
          </cell>
          <cell r="AB699" t="str">
            <v/>
          </cell>
          <cell r="AC699" t="e">
            <v>#N/A</v>
          </cell>
          <cell r="AD699">
            <v>612</v>
          </cell>
          <cell r="AE699" t="e">
            <v>#N/A</v>
          </cell>
          <cell r="AF699" t="str">
            <v/>
          </cell>
        </row>
        <row r="700">
          <cell r="Y700">
            <v>684</v>
          </cell>
          <cell r="Z700">
            <v>0.29595308564603329</v>
          </cell>
          <cell r="AA700">
            <v>-9.0613346981274906E-2</v>
          </cell>
          <cell r="AB700" t="str">
            <v/>
          </cell>
          <cell r="AC700" t="e">
            <v>#N/A</v>
          </cell>
          <cell r="AD700">
            <v>613</v>
          </cell>
          <cell r="AE700" t="e">
            <v>#N/A</v>
          </cell>
          <cell r="AF700" t="str">
            <v/>
          </cell>
        </row>
        <row r="701">
          <cell r="Y701">
            <v>685</v>
          </cell>
          <cell r="Z701">
            <v>0.70385044626891613</v>
          </cell>
          <cell r="AA701">
            <v>9.0517255486859322E-2</v>
          </cell>
          <cell r="AB701" t="str">
            <v/>
          </cell>
          <cell r="AC701" t="e">
            <v>#N/A</v>
          </cell>
          <cell r="AD701">
            <v>614</v>
          </cell>
          <cell r="AE701" t="e">
            <v>#N/A</v>
          </cell>
          <cell r="AF701" t="str">
            <v/>
          </cell>
        </row>
        <row r="702">
          <cell r="Y702">
            <v>686</v>
          </cell>
          <cell r="Z702">
            <v>0.61274496279656887</v>
          </cell>
          <cell r="AA702">
            <v>4.842405422271151E-2</v>
          </cell>
          <cell r="AB702" t="str">
            <v/>
          </cell>
          <cell r="AC702" t="e">
            <v>#N/A</v>
          </cell>
          <cell r="AD702">
            <v>615</v>
          </cell>
          <cell r="AE702" t="e">
            <v>#N/A</v>
          </cell>
          <cell r="AF702" t="str">
            <v/>
          </cell>
        </row>
        <row r="703">
          <cell r="Y703">
            <v>687</v>
          </cell>
          <cell r="Z703">
            <v>0.59365020506083965</v>
          </cell>
          <cell r="AA703">
            <v>4.0050986435778139E-2</v>
          </cell>
          <cell r="AB703" t="str">
            <v/>
          </cell>
          <cell r="AC703" t="e">
            <v>#N/A</v>
          </cell>
          <cell r="AD703">
            <v>616</v>
          </cell>
          <cell r="AE703" t="e">
            <v>#N/A</v>
          </cell>
          <cell r="AF703" t="str">
            <v/>
          </cell>
        </row>
        <row r="704">
          <cell r="Y704">
            <v>688</v>
          </cell>
          <cell r="Z704">
            <v>0.76806106232106686</v>
          </cell>
          <cell r="AA704">
            <v>0.12381109997862043</v>
          </cell>
          <cell r="AB704" t="str">
            <v/>
          </cell>
          <cell r="AC704" t="e">
            <v>#N/A</v>
          </cell>
          <cell r="AD704">
            <v>617</v>
          </cell>
          <cell r="AE704" t="e">
            <v>#N/A</v>
          </cell>
          <cell r="AF704" t="str">
            <v/>
          </cell>
        </row>
        <row r="705">
          <cell r="Y705">
            <v>689</v>
          </cell>
          <cell r="Z705">
            <v>0.60800447873771191</v>
          </cell>
          <cell r="AA705">
            <v>4.6335036445969063E-2</v>
          </cell>
          <cell r="AB705" t="str">
            <v/>
          </cell>
          <cell r="AC705" t="e">
            <v>#N/A</v>
          </cell>
          <cell r="AD705">
            <v>618</v>
          </cell>
          <cell r="AE705" t="e">
            <v>#N/A</v>
          </cell>
          <cell r="AF705" t="str">
            <v/>
          </cell>
        </row>
        <row r="706">
          <cell r="Y706">
            <v>690</v>
          </cell>
          <cell r="Z706">
            <v>0.69143534265458584</v>
          </cell>
          <cell r="AA706">
            <v>8.450240574410918E-2</v>
          </cell>
          <cell r="AB706" t="str">
            <v/>
          </cell>
          <cell r="AC706" t="e">
            <v>#N/A</v>
          </cell>
          <cell r="AD706">
            <v>619</v>
          </cell>
          <cell r="AE706" t="e">
            <v>#N/A</v>
          </cell>
          <cell r="AF706" t="str">
            <v/>
          </cell>
        </row>
        <row r="707">
          <cell r="Y707">
            <v>691</v>
          </cell>
          <cell r="Z707">
            <v>0.41520531289279461</v>
          </cell>
          <cell r="AA707">
            <v>-3.6202174929325773E-2</v>
          </cell>
          <cell r="AB707" t="str">
            <v/>
          </cell>
          <cell r="AC707" t="e">
            <v>#N/A</v>
          </cell>
          <cell r="AD707">
            <v>620</v>
          </cell>
          <cell r="AE707" t="e">
            <v>#N/A</v>
          </cell>
          <cell r="AF707" t="str">
            <v/>
          </cell>
        </row>
        <row r="708">
          <cell r="Y708">
            <v>692</v>
          </cell>
          <cell r="Z708">
            <v>0.52659701369702816</v>
          </cell>
          <cell r="AA708">
            <v>1.1277449509402579E-2</v>
          </cell>
          <cell r="AB708" t="str">
            <v/>
          </cell>
          <cell r="AC708" t="e">
            <v>#N/A</v>
          </cell>
          <cell r="AD708">
            <v>621</v>
          </cell>
          <cell r="AE708" t="e">
            <v>#N/A</v>
          </cell>
          <cell r="AF708" t="str">
            <v/>
          </cell>
        </row>
        <row r="709">
          <cell r="Y709">
            <v>693</v>
          </cell>
          <cell r="Z709">
            <v>0.98273145966231823</v>
          </cell>
          <cell r="AA709">
            <v>0.357288060895596</v>
          </cell>
          <cell r="AB709" t="str">
            <v/>
          </cell>
          <cell r="AC709" t="e">
            <v>#N/A</v>
          </cell>
          <cell r="AD709">
            <v>622</v>
          </cell>
          <cell r="AE709" t="e">
            <v>#N/A</v>
          </cell>
          <cell r="AF709" t="str">
            <v/>
          </cell>
        </row>
        <row r="710">
          <cell r="Y710">
            <v>694</v>
          </cell>
          <cell r="Z710">
            <v>0.37213215790688992</v>
          </cell>
          <cell r="AA710">
            <v>-5.5139813094570278E-2</v>
          </cell>
          <cell r="AB710" t="str">
            <v/>
          </cell>
          <cell r="AC710" t="e">
            <v>#N/A</v>
          </cell>
          <cell r="AD710">
            <v>623</v>
          </cell>
          <cell r="AE710" t="e">
            <v>#N/A</v>
          </cell>
          <cell r="AF710" t="str">
            <v/>
          </cell>
        </row>
        <row r="711">
          <cell r="Y711">
            <v>695</v>
          </cell>
          <cell r="Z711">
            <v>0.41678695194423199</v>
          </cell>
          <cell r="AA711">
            <v>-3.5516786717225149E-2</v>
          </cell>
          <cell r="AB711" t="str">
            <v/>
          </cell>
          <cell r="AC711" t="e">
            <v>#N/A</v>
          </cell>
          <cell r="AD711">
            <v>624</v>
          </cell>
          <cell r="AE711" t="e">
            <v>#N/A</v>
          </cell>
          <cell r="AF711" t="str">
            <v/>
          </cell>
        </row>
        <row r="712">
          <cell r="Y712">
            <v>696</v>
          </cell>
          <cell r="Z712">
            <v>0.93767269514501095</v>
          </cell>
          <cell r="AA712">
            <v>0.25955131178598995</v>
          </cell>
          <cell r="AB712" t="str">
            <v/>
          </cell>
          <cell r="AC712" t="e">
            <v>#N/A</v>
          </cell>
          <cell r="AD712">
            <v>625</v>
          </cell>
          <cell r="AE712" t="e">
            <v>#N/A</v>
          </cell>
          <cell r="AF712" t="str">
            <v/>
          </cell>
        </row>
        <row r="713">
          <cell r="Y713">
            <v>697</v>
          </cell>
          <cell r="Z713">
            <v>0.14119514636695385</v>
          </cell>
          <cell r="AA713">
            <v>-0.18170228864107196</v>
          </cell>
          <cell r="AB713" t="str">
            <v/>
          </cell>
          <cell r="AC713" t="e">
            <v>#N/A</v>
          </cell>
          <cell r="AD713">
            <v>626</v>
          </cell>
          <cell r="AE713" t="e">
            <v>#N/A</v>
          </cell>
          <cell r="AF713" t="str">
            <v/>
          </cell>
        </row>
        <row r="714">
          <cell r="Y714">
            <v>698</v>
          </cell>
          <cell r="Z714">
            <v>0.29920644126832485</v>
          </cell>
          <cell r="AA714">
            <v>-8.9025885063736737E-2</v>
          </cell>
          <cell r="AB714" t="str">
            <v/>
          </cell>
          <cell r="AC714" t="e">
            <v>#N/A</v>
          </cell>
          <cell r="AD714">
            <v>627</v>
          </cell>
          <cell r="AE714" t="e">
            <v>#N/A</v>
          </cell>
          <cell r="AF714" t="str">
            <v/>
          </cell>
        </row>
        <row r="715">
          <cell r="Y715">
            <v>699</v>
          </cell>
          <cell r="Z715">
            <v>0.30236698500812054</v>
          </cell>
          <cell r="AA715">
            <v>-8.7491194834005276E-2</v>
          </cell>
          <cell r="AB715" t="str">
            <v/>
          </cell>
          <cell r="AC715" t="e">
            <v>#N/A</v>
          </cell>
          <cell r="AD715">
            <v>628</v>
          </cell>
          <cell r="AE715" t="e">
            <v>#N/A</v>
          </cell>
          <cell r="AF715" t="str">
            <v/>
          </cell>
        </row>
        <row r="716">
          <cell r="Y716">
            <v>700</v>
          </cell>
          <cell r="Z716">
            <v>0.78085201047360897</v>
          </cell>
          <cell r="AA716">
            <v>0.13101140488851279</v>
          </cell>
          <cell r="AB716" t="str">
            <v/>
          </cell>
          <cell r="AC716" t="e">
            <v>#N/A</v>
          </cell>
          <cell r="AD716">
            <v>629</v>
          </cell>
          <cell r="AE716" t="e">
            <v>#N/A</v>
          </cell>
          <cell r="AF716" t="str">
            <v/>
          </cell>
        </row>
        <row r="717">
          <cell r="Y717">
            <v>701</v>
          </cell>
          <cell r="Z717">
            <v>0.25581222586333752</v>
          </cell>
          <cell r="AA717">
            <v>-0.11093669898891453</v>
          </cell>
          <cell r="AB717" t="str">
            <v/>
          </cell>
          <cell r="AC717" t="e">
            <v>#N/A</v>
          </cell>
          <cell r="AD717">
            <v>630</v>
          </cell>
          <cell r="AE717" t="e">
            <v>#N/A</v>
          </cell>
          <cell r="AF717" t="str">
            <v/>
          </cell>
        </row>
        <row r="718">
          <cell r="Y718">
            <v>702</v>
          </cell>
          <cell r="Z718">
            <v>0.5841923113912344</v>
          </cell>
          <cell r="AA718">
            <v>3.5941071581933305E-2</v>
          </cell>
          <cell r="AB718" t="str">
            <v/>
          </cell>
          <cell r="AC718" t="e">
            <v>#N/A</v>
          </cell>
          <cell r="AD718">
            <v>631</v>
          </cell>
          <cell r="AE718" t="e">
            <v>#N/A</v>
          </cell>
          <cell r="AF718" t="str">
            <v/>
          </cell>
        </row>
        <row r="719">
          <cell r="Y719">
            <v>703</v>
          </cell>
          <cell r="Z719">
            <v>0.70841239206492901</v>
          </cell>
          <cell r="AA719">
            <v>9.2756125678076021E-2</v>
          </cell>
          <cell r="AB719" t="str">
            <v/>
          </cell>
          <cell r="AC719" t="e">
            <v>#N/A</v>
          </cell>
          <cell r="AD719">
            <v>632</v>
          </cell>
          <cell r="AE719" t="e">
            <v>#N/A</v>
          </cell>
          <cell r="AF719" t="str">
            <v/>
          </cell>
        </row>
        <row r="720">
          <cell r="Y720">
            <v>704</v>
          </cell>
          <cell r="Z720">
            <v>0.13001038692891598</v>
          </cell>
          <cell r="AA720">
            <v>-0.19038655180265113</v>
          </cell>
          <cell r="AB720" t="str">
            <v/>
          </cell>
          <cell r="AC720" t="e">
            <v>#N/A</v>
          </cell>
          <cell r="AD720">
            <v>633</v>
          </cell>
          <cell r="AE720" t="e">
            <v>#N/A</v>
          </cell>
          <cell r="AF720" t="str">
            <v/>
          </cell>
        </row>
        <row r="721">
          <cell r="Y721">
            <v>705</v>
          </cell>
          <cell r="Z721">
            <v>0.55942418985068798</v>
          </cell>
          <cell r="AA721">
            <v>2.527171659673362E-2</v>
          </cell>
          <cell r="AB721" t="str">
            <v/>
          </cell>
          <cell r="AC721" t="e">
            <v>#N/A</v>
          </cell>
          <cell r="AD721">
            <v>634</v>
          </cell>
          <cell r="AE721" t="e">
            <v>#N/A</v>
          </cell>
          <cell r="AF721" t="str">
            <v/>
          </cell>
        </row>
        <row r="722">
          <cell r="Y722">
            <v>706</v>
          </cell>
          <cell r="Z722">
            <v>0.1710213478654623</v>
          </cell>
          <cell r="AA722">
            <v>-0.16060244873515456</v>
          </cell>
          <cell r="AB722" t="str">
            <v/>
          </cell>
          <cell r="AC722" t="e">
            <v>#N/A</v>
          </cell>
          <cell r="AD722">
            <v>635</v>
          </cell>
          <cell r="AE722" t="e">
            <v>#N/A</v>
          </cell>
          <cell r="AF722" t="str">
            <v/>
          </cell>
        </row>
        <row r="723">
          <cell r="Y723">
            <v>707</v>
          </cell>
          <cell r="Z723">
            <v>0.70193214528262615</v>
          </cell>
          <cell r="AA723">
            <v>8.9580553968758692E-2</v>
          </cell>
          <cell r="AB723" t="str">
            <v/>
          </cell>
          <cell r="AC723" t="e">
            <v>#N/A</v>
          </cell>
          <cell r="AD723">
            <v>636</v>
          </cell>
          <cell r="AE723" t="e">
            <v>#N/A</v>
          </cell>
          <cell r="AF723" t="str">
            <v/>
          </cell>
        </row>
        <row r="724">
          <cell r="Y724">
            <v>708</v>
          </cell>
          <cell r="Z724">
            <v>0.57794415019452572</v>
          </cell>
          <cell r="AA724">
            <v>3.3237700955450214E-2</v>
          </cell>
          <cell r="AB724" t="str">
            <v/>
          </cell>
          <cell r="AC724" t="e">
            <v>#N/A</v>
          </cell>
          <cell r="AD724">
            <v>637</v>
          </cell>
          <cell r="AE724" t="e">
            <v>#N/A</v>
          </cell>
          <cell r="AF724" t="str">
            <v/>
          </cell>
        </row>
        <row r="725">
          <cell r="Y725">
            <v>709</v>
          </cell>
          <cell r="Z725">
            <v>1.5219209715723991E-2</v>
          </cell>
          <cell r="AA725">
            <v>-0.36583989151378249</v>
          </cell>
          <cell r="AB725" t="str">
            <v/>
          </cell>
          <cell r="AC725" t="e">
            <v>#N/A</v>
          </cell>
          <cell r="AD725">
            <v>638</v>
          </cell>
          <cell r="AE725" t="e">
            <v>#N/A</v>
          </cell>
          <cell r="AF725" t="str">
            <v/>
          </cell>
        </row>
        <row r="726">
          <cell r="Y726">
            <v>710</v>
          </cell>
          <cell r="Z726">
            <v>0.29500696621835232</v>
          </cell>
          <cell r="AA726">
            <v>-9.1076500018352685E-2</v>
          </cell>
          <cell r="AB726" t="str">
            <v/>
          </cell>
          <cell r="AC726" t="e">
            <v>#N/A</v>
          </cell>
          <cell r="AD726">
            <v>639</v>
          </cell>
          <cell r="AE726" t="e">
            <v>#N/A</v>
          </cell>
          <cell r="AF726" t="str">
            <v/>
          </cell>
        </row>
        <row r="727">
          <cell r="Y727">
            <v>711</v>
          </cell>
          <cell r="Z727">
            <v>0.49727408401668072</v>
          </cell>
          <cell r="AA727">
            <v>-1.1549728026207442E-3</v>
          </cell>
          <cell r="AB727" t="str">
            <v/>
          </cell>
          <cell r="AC727" t="e">
            <v>#N/A</v>
          </cell>
          <cell r="AD727">
            <v>640</v>
          </cell>
          <cell r="AE727" t="e">
            <v>#N/A</v>
          </cell>
          <cell r="AF727" t="str">
            <v/>
          </cell>
        </row>
        <row r="728">
          <cell r="Y728">
            <v>712</v>
          </cell>
          <cell r="Z728">
            <v>0.30472989939153194</v>
          </cell>
          <cell r="AA728">
            <v>-8.634851613637376E-2</v>
          </cell>
          <cell r="AB728" t="str">
            <v/>
          </cell>
          <cell r="AC728" t="e">
            <v>#N/A</v>
          </cell>
          <cell r="AD728">
            <v>641</v>
          </cell>
          <cell r="AE728" t="e">
            <v>#N/A</v>
          </cell>
          <cell r="AF728" t="str">
            <v/>
          </cell>
        </row>
        <row r="729">
          <cell r="Y729">
            <v>713</v>
          </cell>
          <cell r="Z729">
            <v>0.9554040115326643</v>
          </cell>
          <cell r="AA729">
            <v>0.28729759903474406</v>
          </cell>
          <cell r="AB729" t="str">
            <v/>
          </cell>
          <cell r="AC729" t="e">
            <v>#N/A</v>
          </cell>
          <cell r="AD729">
            <v>642</v>
          </cell>
          <cell r="AE729" t="e">
            <v>#N/A</v>
          </cell>
          <cell r="AF729" t="str">
            <v/>
          </cell>
        </row>
        <row r="730">
          <cell r="Y730">
            <v>714</v>
          </cell>
          <cell r="Z730">
            <v>0.53557879291474819</v>
          </cell>
          <cell r="AA730">
            <v>1.509468467905677E-2</v>
          </cell>
          <cell r="AB730" t="str">
            <v/>
          </cell>
          <cell r="AC730" t="e">
            <v>#N/A</v>
          </cell>
          <cell r="AD730">
            <v>643</v>
          </cell>
          <cell r="AE730" t="e">
            <v>#N/A</v>
          </cell>
          <cell r="AF730" t="str">
            <v/>
          </cell>
        </row>
        <row r="731">
          <cell r="Y731">
            <v>715</v>
          </cell>
          <cell r="Z731">
            <v>0.89167178981006145</v>
          </cell>
          <cell r="AA731">
            <v>0.20883218845686302</v>
          </cell>
          <cell r="AB731" t="str">
            <v/>
          </cell>
          <cell r="AC731" t="e">
            <v>#N/A</v>
          </cell>
          <cell r="AD731">
            <v>644</v>
          </cell>
          <cell r="AE731" t="e">
            <v>#N/A</v>
          </cell>
          <cell r="AF731" t="str">
            <v/>
          </cell>
        </row>
        <row r="732">
          <cell r="Y732">
            <v>716</v>
          </cell>
          <cell r="Z732">
            <v>0.4898338820785284</v>
          </cell>
          <cell r="AA732">
            <v>-4.3078251344251884E-3</v>
          </cell>
          <cell r="AB732" t="str">
            <v/>
          </cell>
          <cell r="AC732" t="e">
            <v>#N/A</v>
          </cell>
          <cell r="AD732">
            <v>645</v>
          </cell>
          <cell r="AE732" t="e">
            <v>#N/A</v>
          </cell>
          <cell r="AF732" t="str">
            <v/>
          </cell>
        </row>
        <row r="733">
          <cell r="Y733">
            <v>717</v>
          </cell>
          <cell r="Z733">
            <v>0.18862575106322765</v>
          </cell>
          <cell r="AA733">
            <v>-0.14924947657864426</v>
          </cell>
          <cell r="AB733" t="str">
            <v/>
          </cell>
          <cell r="AC733" t="e">
            <v>#N/A</v>
          </cell>
          <cell r="AD733">
            <v>646</v>
          </cell>
          <cell r="AE733" t="e">
            <v>#N/A</v>
          </cell>
          <cell r="AF733" t="str">
            <v/>
          </cell>
        </row>
        <row r="734">
          <cell r="Y734">
            <v>718</v>
          </cell>
          <cell r="Z734">
            <v>0.96276704035699368</v>
          </cell>
          <cell r="AA734">
            <v>0.30150709411570431</v>
          </cell>
          <cell r="AB734" t="str">
            <v/>
          </cell>
          <cell r="AC734" t="e">
            <v>#N/A</v>
          </cell>
          <cell r="AD734">
            <v>647</v>
          </cell>
          <cell r="AE734" t="e">
            <v>#N/A</v>
          </cell>
          <cell r="AF734" t="str">
            <v/>
          </cell>
        </row>
        <row r="735">
          <cell r="Y735">
            <v>719</v>
          </cell>
          <cell r="Z735">
            <v>0.91954146139323711</v>
          </cell>
          <cell r="AA735">
            <v>0.23698021687353321</v>
          </cell>
          <cell r="AB735" t="str">
            <v/>
          </cell>
          <cell r="AC735" t="e">
            <v>#N/A</v>
          </cell>
          <cell r="AD735">
            <v>648</v>
          </cell>
          <cell r="AE735" t="e">
            <v>#N/A</v>
          </cell>
          <cell r="AF735" t="str">
            <v/>
          </cell>
        </row>
        <row r="736">
          <cell r="Y736">
            <v>720</v>
          </cell>
          <cell r="Z736">
            <v>0.56797136925160885</v>
          </cell>
          <cell r="AA736">
            <v>2.894006935340426E-2</v>
          </cell>
          <cell r="AB736" t="str">
            <v/>
          </cell>
          <cell r="AC736" t="e">
            <v>#N/A</v>
          </cell>
          <cell r="AD736">
            <v>649</v>
          </cell>
          <cell r="AE736" t="e">
            <v>#N/A</v>
          </cell>
          <cell r="AF736" t="str">
            <v/>
          </cell>
        </row>
        <row r="737">
          <cell r="Y737">
            <v>721</v>
          </cell>
          <cell r="Z737">
            <v>7.6143888756632805E-2</v>
          </cell>
          <cell r="AA737">
            <v>-0.2419671847489307</v>
          </cell>
          <cell r="AB737" t="str">
            <v/>
          </cell>
          <cell r="AC737" t="e">
            <v>#N/A</v>
          </cell>
          <cell r="AD737">
            <v>650</v>
          </cell>
          <cell r="AE737" t="e">
            <v>#N/A</v>
          </cell>
          <cell r="AF737" t="str">
            <v/>
          </cell>
        </row>
        <row r="738">
          <cell r="Y738">
            <v>722</v>
          </cell>
          <cell r="Z738">
            <v>0.87743688188493252</v>
          </cell>
          <cell r="AA738">
            <v>0.19645930910083995</v>
          </cell>
          <cell r="AB738" t="str">
            <v/>
          </cell>
          <cell r="AC738" t="e">
            <v>#N/A</v>
          </cell>
          <cell r="AD738">
            <v>651</v>
          </cell>
          <cell r="AE738" t="e">
            <v>#N/A</v>
          </cell>
          <cell r="AF738" t="str">
            <v/>
          </cell>
        </row>
        <row r="739">
          <cell r="Y739">
            <v>723</v>
          </cell>
          <cell r="Z739">
            <v>0.22552878968417645</v>
          </cell>
          <cell r="AA739">
            <v>-0.12739061672048077</v>
          </cell>
          <cell r="AB739" t="str">
            <v/>
          </cell>
          <cell r="AC739" t="e">
            <v>#N/A</v>
          </cell>
          <cell r="AD739">
            <v>652</v>
          </cell>
          <cell r="AE739" t="e">
            <v>#N/A</v>
          </cell>
          <cell r="AF739" t="str">
            <v/>
          </cell>
        </row>
        <row r="740">
          <cell r="Y740">
            <v>724</v>
          </cell>
          <cell r="Z740">
            <v>0.82871603034436703</v>
          </cell>
          <cell r="AA740">
            <v>0.16042778392987214</v>
          </cell>
          <cell r="AB740" t="str">
            <v/>
          </cell>
          <cell r="AC740" t="e">
            <v>#N/A</v>
          </cell>
          <cell r="AD740">
            <v>653</v>
          </cell>
          <cell r="AE740" t="e">
            <v>#N/A</v>
          </cell>
          <cell r="AF740" t="str">
            <v/>
          </cell>
        </row>
        <row r="741">
          <cell r="Y741">
            <v>725</v>
          </cell>
          <cell r="Z741">
            <v>7.6752064749598503E-2</v>
          </cell>
          <cell r="AA741">
            <v>-0.24125146285944105</v>
          </cell>
          <cell r="AB741" t="str">
            <v/>
          </cell>
          <cell r="AC741" t="e">
            <v>#N/A</v>
          </cell>
          <cell r="AD741">
            <v>654</v>
          </cell>
          <cell r="AE741" t="e">
            <v>#N/A</v>
          </cell>
          <cell r="AF741" t="str">
            <v/>
          </cell>
        </row>
        <row r="742">
          <cell r="Y742">
            <v>726</v>
          </cell>
          <cell r="Z742">
            <v>0.64527282677590847</v>
          </cell>
          <cell r="AA742">
            <v>6.2979039029597353E-2</v>
          </cell>
          <cell r="AB742" t="str">
            <v/>
          </cell>
          <cell r="AC742" t="e">
            <v>#N/A</v>
          </cell>
          <cell r="AD742">
            <v>655</v>
          </cell>
          <cell r="AE742" t="e">
            <v>#N/A</v>
          </cell>
          <cell r="AF742" t="str">
            <v/>
          </cell>
        </row>
        <row r="743">
          <cell r="Y743">
            <v>727</v>
          </cell>
          <cell r="Z743">
            <v>0.6563058327883482</v>
          </cell>
          <cell r="AA743">
            <v>6.801832122711203E-2</v>
          </cell>
          <cell r="AB743" t="str">
            <v/>
          </cell>
          <cell r="AC743" t="e">
            <v>#N/A</v>
          </cell>
          <cell r="AD743">
            <v>656</v>
          </cell>
          <cell r="AE743" t="e">
            <v>#N/A</v>
          </cell>
          <cell r="AF743" t="str">
            <v/>
          </cell>
        </row>
        <row r="744">
          <cell r="Y744">
            <v>728</v>
          </cell>
          <cell r="Z744">
            <v>0.85985930822789669</v>
          </cell>
          <cell r="AA744">
            <v>0.18250048874243197</v>
          </cell>
          <cell r="AB744" t="str">
            <v/>
          </cell>
          <cell r="AC744" t="e">
            <v>#N/A</v>
          </cell>
          <cell r="AD744">
            <v>657</v>
          </cell>
          <cell r="AE744" t="e">
            <v>#N/A</v>
          </cell>
          <cell r="AF744" t="str">
            <v/>
          </cell>
        </row>
        <row r="745">
          <cell r="Y745">
            <v>729</v>
          </cell>
          <cell r="Z745">
            <v>0.2604499738663435</v>
          </cell>
          <cell r="AA745">
            <v>-0.10851083870477321</v>
          </cell>
          <cell r="AB745" t="str">
            <v/>
          </cell>
          <cell r="AC745" t="e">
            <v>#N/A</v>
          </cell>
          <cell r="AD745">
            <v>658</v>
          </cell>
          <cell r="AE745" t="e">
            <v>#N/A</v>
          </cell>
          <cell r="AF745" t="str">
            <v/>
          </cell>
        </row>
        <row r="746">
          <cell r="Y746">
            <v>730</v>
          </cell>
          <cell r="Z746">
            <v>0.12451309524476528</v>
          </cell>
          <cell r="AA746">
            <v>-0.19484488811503656</v>
          </cell>
          <cell r="AB746" t="str">
            <v/>
          </cell>
          <cell r="AC746" t="e">
            <v>#N/A</v>
          </cell>
          <cell r="AD746">
            <v>659</v>
          </cell>
          <cell r="AE746" t="e">
            <v>#N/A</v>
          </cell>
          <cell r="AF746" t="str">
            <v/>
          </cell>
        </row>
        <row r="747">
          <cell r="Y747">
            <v>731</v>
          </cell>
          <cell r="Z747">
            <v>0.57111789099872112</v>
          </cell>
          <cell r="AA747">
            <v>3.0293868893977706E-2</v>
          </cell>
          <cell r="AB747" t="str">
            <v/>
          </cell>
          <cell r="AC747" t="e">
            <v>#N/A</v>
          </cell>
          <cell r="AD747">
            <v>660</v>
          </cell>
          <cell r="AE747" t="e">
            <v>#N/A</v>
          </cell>
          <cell r="AF747" t="str">
            <v/>
          </cell>
        </row>
        <row r="748">
          <cell r="Y748">
            <v>732</v>
          </cell>
          <cell r="Z748">
            <v>0.33451979421079159</v>
          </cell>
          <cell r="AA748">
            <v>-7.2255024348517882E-2</v>
          </cell>
          <cell r="AB748" t="str">
            <v/>
          </cell>
          <cell r="AC748" t="e">
            <v>#N/A</v>
          </cell>
          <cell r="AD748">
            <v>661</v>
          </cell>
          <cell r="AE748" t="e">
            <v>#N/A</v>
          </cell>
          <cell r="AF748" t="str">
            <v/>
          </cell>
        </row>
        <row r="749">
          <cell r="Y749">
            <v>733</v>
          </cell>
          <cell r="Z749">
            <v>0.29086524061858654</v>
          </cell>
          <cell r="AA749">
            <v>-9.3112129530005819E-2</v>
          </cell>
          <cell r="AB749" t="str">
            <v/>
          </cell>
          <cell r="AC749" t="e">
            <v>#N/A</v>
          </cell>
          <cell r="AD749">
            <v>662</v>
          </cell>
          <cell r="AE749" t="e">
            <v>#N/A</v>
          </cell>
          <cell r="AF749" t="str">
            <v/>
          </cell>
        </row>
        <row r="750">
          <cell r="Y750">
            <v>734</v>
          </cell>
          <cell r="Z750">
            <v>0.1874339934438467</v>
          </cell>
          <cell r="AA750">
            <v>-0.14999659416833505</v>
          </cell>
          <cell r="AB750" t="str">
            <v/>
          </cell>
          <cell r="AC750" t="e">
            <v>#N/A</v>
          </cell>
          <cell r="AD750">
            <v>663</v>
          </cell>
          <cell r="AE750" t="e">
            <v>#N/A</v>
          </cell>
          <cell r="AF750" t="str">
            <v/>
          </cell>
        </row>
        <row r="751">
          <cell r="Y751">
            <v>735</v>
          </cell>
          <cell r="Z751">
            <v>0.37108038179576397</v>
          </cell>
          <cell r="AA751">
            <v>-5.5610014915172007E-2</v>
          </cell>
          <cell r="AB751" t="str">
            <v/>
          </cell>
          <cell r="AC751" t="e">
            <v>#N/A</v>
          </cell>
          <cell r="AD751">
            <v>664</v>
          </cell>
          <cell r="AE751" t="e">
            <v>#N/A</v>
          </cell>
          <cell r="AF751" t="str">
            <v/>
          </cell>
        </row>
        <row r="752">
          <cell r="Y752">
            <v>736</v>
          </cell>
          <cell r="Z752">
            <v>0.64200260303914547</v>
          </cell>
          <cell r="AA752">
            <v>6.1496268414933504E-2</v>
          </cell>
          <cell r="AB752" t="str">
            <v/>
          </cell>
          <cell r="AC752" t="e">
            <v>#N/A</v>
          </cell>
          <cell r="AD752">
            <v>665</v>
          </cell>
          <cell r="AE752" t="e">
            <v>#N/A</v>
          </cell>
          <cell r="AF752" t="str">
            <v/>
          </cell>
        </row>
        <row r="753">
          <cell r="Y753">
            <v>737</v>
          </cell>
          <cell r="Z753">
            <v>0.37642529420554638</v>
          </cell>
          <cell r="AA753">
            <v>-5.3224919431881339E-2</v>
          </cell>
          <cell r="AB753" t="str">
            <v/>
          </cell>
          <cell r="AC753" t="e">
            <v>#N/A</v>
          </cell>
          <cell r="AD753">
            <v>666</v>
          </cell>
          <cell r="AE753" t="e">
            <v>#N/A</v>
          </cell>
          <cell r="AF753" t="str">
            <v/>
          </cell>
        </row>
        <row r="754">
          <cell r="Y754">
            <v>738</v>
          </cell>
          <cell r="Z754">
            <v>0.83558428846299648</v>
          </cell>
          <cell r="AA754">
            <v>0.16505361794770684</v>
          </cell>
          <cell r="AB754" t="str">
            <v/>
          </cell>
          <cell r="AC754" t="e">
            <v>#N/A</v>
          </cell>
          <cell r="AD754">
            <v>667</v>
          </cell>
          <cell r="AE754" t="e">
            <v>#N/A</v>
          </cell>
          <cell r="AF754" t="str">
            <v/>
          </cell>
        </row>
        <row r="755">
          <cell r="Y755">
            <v>739</v>
          </cell>
          <cell r="Z755">
            <v>0.74722571484744549</v>
          </cell>
          <cell r="AA755">
            <v>0.11253819547500021</v>
          </cell>
          <cell r="AB755" t="str">
            <v/>
          </cell>
          <cell r="AC755" t="e">
            <v>#N/A</v>
          </cell>
          <cell r="AD755">
            <v>668</v>
          </cell>
          <cell r="AE755" t="e">
            <v>#N/A</v>
          </cell>
          <cell r="AF755" t="str">
            <v/>
          </cell>
        </row>
        <row r="756">
          <cell r="Y756">
            <v>740</v>
          </cell>
          <cell r="Z756">
            <v>0.86240874789655209</v>
          </cell>
          <cell r="AA756">
            <v>0.18444738043408052</v>
          </cell>
          <cell r="AB756" t="str">
            <v/>
          </cell>
          <cell r="AC756" t="e">
            <v>#N/A</v>
          </cell>
          <cell r="AD756">
            <v>669</v>
          </cell>
          <cell r="AE756" t="e">
            <v>#N/A</v>
          </cell>
          <cell r="AF756" t="str">
            <v/>
          </cell>
        </row>
        <row r="757">
          <cell r="Y757">
            <v>741</v>
          </cell>
          <cell r="Z757">
            <v>0.69027924351394176</v>
          </cell>
          <cell r="AA757">
            <v>8.3947823913484404E-2</v>
          </cell>
          <cell r="AB757" t="str">
            <v/>
          </cell>
          <cell r="AC757" t="e">
            <v>#N/A</v>
          </cell>
          <cell r="AD757">
            <v>670</v>
          </cell>
          <cell r="AE757" t="e">
            <v>#N/A</v>
          </cell>
          <cell r="AF757" t="str">
            <v/>
          </cell>
        </row>
        <row r="758">
          <cell r="Y758">
            <v>742</v>
          </cell>
          <cell r="Z758">
            <v>0.40876958332955837</v>
          </cell>
          <cell r="AA758">
            <v>-3.899731159890775E-2</v>
          </cell>
          <cell r="AB758" t="str">
            <v/>
          </cell>
          <cell r="AC758" t="e">
            <v>#N/A</v>
          </cell>
          <cell r="AD758">
            <v>671</v>
          </cell>
          <cell r="AE758" t="e">
            <v>#N/A</v>
          </cell>
          <cell r="AF758" t="str">
            <v/>
          </cell>
        </row>
        <row r="759">
          <cell r="Y759">
            <v>743</v>
          </cell>
          <cell r="Z759">
            <v>0.14730016700923443</v>
          </cell>
          <cell r="AA759">
            <v>-0.17715837380695215</v>
          </cell>
          <cell r="AB759" t="str">
            <v/>
          </cell>
          <cell r="AC759" t="e">
            <v>#N/A</v>
          </cell>
          <cell r="AD759">
            <v>672</v>
          </cell>
          <cell r="AE759" t="e">
            <v>#N/A</v>
          </cell>
          <cell r="AF759" t="str">
            <v/>
          </cell>
        </row>
        <row r="760">
          <cell r="Y760">
            <v>744</v>
          </cell>
          <cell r="Z760">
            <v>0.58499451540410519</v>
          </cell>
          <cell r="AA760">
            <v>3.6288810750620543E-2</v>
          </cell>
          <cell r="AB760" t="str">
            <v/>
          </cell>
          <cell r="AC760" t="e">
            <v>#N/A</v>
          </cell>
          <cell r="AD760">
            <v>673</v>
          </cell>
          <cell r="AE760" t="e">
            <v>#N/A</v>
          </cell>
          <cell r="AF760" t="str">
            <v/>
          </cell>
        </row>
        <row r="761">
          <cell r="Y761">
            <v>745</v>
          </cell>
          <cell r="Z761">
            <v>0.75896975211799145</v>
          </cell>
          <cell r="AA761">
            <v>0.11882740086959295</v>
          </cell>
          <cell r="AB761" t="str">
            <v/>
          </cell>
          <cell r="AC761" t="e">
            <v>#N/A</v>
          </cell>
          <cell r="AD761">
            <v>674</v>
          </cell>
          <cell r="AE761" t="e">
            <v>#N/A</v>
          </cell>
          <cell r="AF761" t="str">
            <v/>
          </cell>
        </row>
        <row r="762">
          <cell r="Y762">
            <v>746</v>
          </cell>
          <cell r="Z762">
            <v>0.38778669200837612</v>
          </cell>
          <cell r="AA762">
            <v>-4.8189404011250381E-2</v>
          </cell>
          <cell r="AB762" t="str">
            <v/>
          </cell>
          <cell r="AC762" t="e">
            <v>#N/A</v>
          </cell>
          <cell r="AD762">
            <v>675</v>
          </cell>
          <cell r="AE762" t="e">
            <v>#N/A</v>
          </cell>
          <cell r="AF762" t="str">
            <v/>
          </cell>
        </row>
        <row r="763">
          <cell r="Y763">
            <v>747</v>
          </cell>
          <cell r="Z763">
            <v>0.96131075732409954</v>
          </cell>
          <cell r="AA763">
            <v>0.2985259785190113</v>
          </cell>
          <cell r="AB763" t="str">
            <v/>
          </cell>
          <cell r="AC763" t="e">
            <v>#N/A</v>
          </cell>
          <cell r="AD763">
            <v>676</v>
          </cell>
          <cell r="AE763" t="e">
            <v>#N/A</v>
          </cell>
          <cell r="AF763" t="str">
            <v/>
          </cell>
        </row>
        <row r="764">
          <cell r="Y764">
            <v>748</v>
          </cell>
          <cell r="Z764">
            <v>7.0280840620398521E-2</v>
          </cell>
          <cell r="AA764">
            <v>-0.24910120531930119</v>
          </cell>
          <cell r="AB764" t="str">
            <v/>
          </cell>
          <cell r="AC764" t="e">
            <v>#N/A</v>
          </cell>
          <cell r="AD764">
            <v>677</v>
          </cell>
          <cell r="AE764" t="e">
            <v>#N/A</v>
          </cell>
          <cell r="AF764" t="str">
            <v/>
          </cell>
        </row>
        <row r="765">
          <cell r="Y765">
            <v>749</v>
          </cell>
          <cell r="Z765">
            <v>0.31985491327941418</v>
          </cell>
          <cell r="AA765">
            <v>-7.912411019684952E-2</v>
          </cell>
          <cell r="AB765" t="str">
            <v/>
          </cell>
          <cell r="AC765" t="e">
            <v>#N/A</v>
          </cell>
          <cell r="AD765">
            <v>678</v>
          </cell>
          <cell r="AE765" t="e">
            <v>#N/A</v>
          </cell>
          <cell r="AF765" t="str">
            <v/>
          </cell>
        </row>
        <row r="766">
          <cell r="Y766">
            <v>750</v>
          </cell>
          <cell r="Z766">
            <v>0.29090801440179348</v>
          </cell>
          <cell r="AA766">
            <v>-9.3091037859254225E-2</v>
          </cell>
          <cell r="AB766" t="str">
            <v/>
          </cell>
          <cell r="AC766" t="e">
            <v>#N/A</v>
          </cell>
          <cell r="AD766">
            <v>679</v>
          </cell>
          <cell r="AE766" t="e">
            <v>#N/A</v>
          </cell>
          <cell r="AF766" t="str">
            <v/>
          </cell>
        </row>
        <row r="767">
          <cell r="Y767">
            <v>751</v>
          </cell>
          <cell r="Z767">
            <v>0.92582212202250957</v>
          </cell>
          <cell r="AA767">
            <v>0.24431105494939198</v>
          </cell>
          <cell r="AB767" t="str">
            <v/>
          </cell>
          <cell r="AC767" t="e">
            <v>#N/A</v>
          </cell>
          <cell r="AD767">
            <v>680</v>
          </cell>
          <cell r="AE767" t="e">
            <v>#N/A</v>
          </cell>
          <cell r="AF767" t="str">
            <v/>
          </cell>
        </row>
        <row r="768">
          <cell r="Y768">
            <v>752</v>
          </cell>
          <cell r="Z768">
            <v>0.25591268204152584</v>
          </cell>
          <cell r="AA768">
            <v>-0.11088391249938438</v>
          </cell>
          <cell r="AB768" t="str">
            <v/>
          </cell>
          <cell r="AC768" t="e">
            <v>#N/A</v>
          </cell>
          <cell r="AD768">
            <v>681</v>
          </cell>
          <cell r="AE768" t="e">
            <v>#N/A</v>
          </cell>
          <cell r="AF768" t="str">
            <v/>
          </cell>
        </row>
        <row r="769">
          <cell r="Y769">
            <v>753</v>
          </cell>
          <cell r="Z769">
            <v>0.1472801249474287</v>
          </cell>
          <cell r="AA769">
            <v>-0.17717308167102772</v>
          </cell>
          <cell r="AB769" t="str">
            <v/>
          </cell>
          <cell r="AC769" t="e">
            <v>#N/A</v>
          </cell>
          <cell r="AD769">
            <v>682</v>
          </cell>
          <cell r="AE769" t="e">
            <v>#N/A</v>
          </cell>
          <cell r="AF769" t="str">
            <v/>
          </cell>
        </row>
        <row r="770">
          <cell r="Y770">
            <v>754</v>
          </cell>
          <cell r="Z770">
            <v>0.1641159113496542</v>
          </cell>
          <cell r="AA770">
            <v>-0.16525835356178434</v>
          </cell>
          <cell r="AB770" t="str">
            <v/>
          </cell>
          <cell r="AC770" t="e">
            <v>#N/A</v>
          </cell>
          <cell r="AD770">
            <v>683</v>
          </cell>
          <cell r="AE770" t="e">
            <v>#N/A</v>
          </cell>
          <cell r="AF770" t="str">
            <v/>
          </cell>
        </row>
        <row r="771">
          <cell r="Y771">
            <v>755</v>
          </cell>
          <cell r="Z771">
            <v>0.24700338952243328</v>
          </cell>
          <cell r="AA771">
            <v>-0.11560863988639788</v>
          </cell>
          <cell r="AB771" t="str">
            <v/>
          </cell>
          <cell r="AC771" t="e">
            <v>#N/A</v>
          </cell>
          <cell r="AD771">
            <v>684</v>
          </cell>
          <cell r="AE771" t="e">
            <v>#N/A</v>
          </cell>
          <cell r="AF771" t="str">
            <v/>
          </cell>
        </row>
        <row r="772">
          <cell r="Y772">
            <v>756</v>
          </cell>
          <cell r="Z772">
            <v>0.10626839660108089</v>
          </cell>
          <cell r="AA772">
            <v>-0.2107172723916291</v>
          </cell>
          <cell r="AB772" t="str">
            <v/>
          </cell>
          <cell r="AC772" t="e">
            <v>#N/A</v>
          </cell>
          <cell r="AD772">
            <v>685</v>
          </cell>
          <cell r="AE772" t="e">
            <v>#N/A</v>
          </cell>
          <cell r="AF772" t="str">
            <v/>
          </cell>
        </row>
        <row r="773">
          <cell r="Y773">
            <v>757</v>
          </cell>
          <cell r="Z773">
            <v>0.34749996475875378</v>
          </cell>
          <cell r="AA773">
            <v>-6.6273427305607785E-2</v>
          </cell>
          <cell r="AB773" t="str">
            <v/>
          </cell>
          <cell r="AC773" t="e">
            <v>#N/A</v>
          </cell>
          <cell r="AD773">
            <v>686</v>
          </cell>
          <cell r="AE773" t="e">
            <v>#N/A</v>
          </cell>
          <cell r="AF773" t="str">
            <v/>
          </cell>
        </row>
        <row r="774">
          <cell r="Y774">
            <v>758</v>
          </cell>
          <cell r="Z774">
            <v>0.16508707962930202</v>
          </cell>
          <cell r="AA774">
            <v>-0.16459601200790278</v>
          </cell>
          <cell r="AB774" t="str">
            <v/>
          </cell>
          <cell r="AC774" t="e">
            <v>#N/A</v>
          </cell>
          <cell r="AD774">
            <v>687</v>
          </cell>
          <cell r="AE774" t="e">
            <v>#N/A</v>
          </cell>
          <cell r="AF774" t="str">
            <v/>
          </cell>
        </row>
        <row r="775">
          <cell r="Y775">
            <v>759</v>
          </cell>
          <cell r="Z775">
            <v>0.94242505542933941</v>
          </cell>
          <cell r="AA775">
            <v>0.26630164874716233</v>
          </cell>
          <cell r="AB775" t="str">
            <v/>
          </cell>
          <cell r="AC775" t="e">
            <v>#N/A</v>
          </cell>
          <cell r="AD775">
            <v>688</v>
          </cell>
          <cell r="AE775" t="e">
            <v>#N/A</v>
          </cell>
          <cell r="AF775" t="str">
            <v/>
          </cell>
        </row>
        <row r="776">
          <cell r="Y776">
            <v>760</v>
          </cell>
          <cell r="Z776">
            <v>0.80581911467015743</v>
          </cell>
          <cell r="AA776">
            <v>0.14580467814289655</v>
          </cell>
          <cell r="AB776" t="str">
            <v/>
          </cell>
          <cell r="AC776" t="e">
            <v>#N/A</v>
          </cell>
          <cell r="AD776">
            <v>689</v>
          </cell>
          <cell r="AE776" t="e">
            <v>#N/A</v>
          </cell>
          <cell r="AF776" t="str">
            <v/>
          </cell>
        </row>
        <row r="777">
          <cell r="Y777">
            <v>761</v>
          </cell>
          <cell r="Z777">
            <v>0.62235006503760815</v>
          </cell>
          <cell r="AA777">
            <v>5.2679946015809179E-2</v>
          </cell>
          <cell r="AB777" t="str">
            <v/>
          </cell>
          <cell r="AC777" t="e">
            <v>#N/A</v>
          </cell>
          <cell r="AD777">
            <v>690</v>
          </cell>
          <cell r="AE777" t="e">
            <v>#N/A</v>
          </cell>
          <cell r="AF777" t="str">
            <v/>
          </cell>
        </row>
        <row r="778">
          <cell r="Y778">
            <v>762</v>
          </cell>
          <cell r="Z778">
            <v>0.74092692695558071</v>
          </cell>
          <cell r="AA778">
            <v>0.10922870000879327</v>
          </cell>
          <cell r="AB778" t="str">
            <v/>
          </cell>
          <cell r="AC778" t="e">
            <v>#N/A</v>
          </cell>
          <cell r="AD778">
            <v>691</v>
          </cell>
          <cell r="AE778" t="e">
            <v>#N/A</v>
          </cell>
          <cell r="AF778" t="str">
            <v/>
          </cell>
        </row>
        <row r="779">
          <cell r="Y779">
            <v>763</v>
          </cell>
          <cell r="Z779">
            <v>0.90160585753619671</v>
          </cell>
          <cell r="AA779">
            <v>0.21817759213434926</v>
          </cell>
          <cell r="AB779" t="str">
            <v/>
          </cell>
          <cell r="AC779" t="e">
            <v>#N/A</v>
          </cell>
          <cell r="AD779">
            <v>692</v>
          </cell>
          <cell r="AE779" t="e">
            <v>#N/A</v>
          </cell>
          <cell r="AF779" t="str">
            <v/>
          </cell>
        </row>
        <row r="780">
          <cell r="Y780">
            <v>764</v>
          </cell>
          <cell r="Z780">
            <v>0.29623811505734921</v>
          </cell>
          <cell r="AA780">
            <v>-9.0473950178781168E-2</v>
          </cell>
          <cell r="AB780" t="str">
            <v/>
          </cell>
          <cell r="AC780" t="e">
            <v>#N/A</v>
          </cell>
          <cell r="AD780">
            <v>693</v>
          </cell>
          <cell r="AE780" t="e">
            <v>#N/A</v>
          </cell>
          <cell r="AF780" t="str">
            <v/>
          </cell>
        </row>
        <row r="781">
          <cell r="Y781">
            <v>765</v>
          </cell>
          <cell r="Z781">
            <v>1.6689877957105637E-3</v>
          </cell>
          <cell r="AA781">
            <v>-0.49606626954296934</v>
          </cell>
          <cell r="AB781" t="str">
            <v/>
          </cell>
          <cell r="AC781" t="e">
            <v>#N/A</v>
          </cell>
          <cell r="AD781">
            <v>694</v>
          </cell>
          <cell r="AE781" t="e">
            <v>#N/A</v>
          </cell>
          <cell r="AF781" t="str">
            <v/>
          </cell>
        </row>
        <row r="782">
          <cell r="Y782">
            <v>766</v>
          </cell>
          <cell r="Z782">
            <v>0.89965394698083401</v>
          </cell>
          <cell r="AA782">
            <v>0.21628887161613602</v>
          </cell>
          <cell r="AB782" t="str">
            <v/>
          </cell>
          <cell r="AC782" t="e">
            <v>#N/A</v>
          </cell>
          <cell r="AD782">
            <v>695</v>
          </cell>
          <cell r="AE782" t="e">
            <v>#N/A</v>
          </cell>
          <cell r="AF782" t="str">
            <v/>
          </cell>
        </row>
        <row r="783">
          <cell r="Y783">
            <v>767</v>
          </cell>
          <cell r="Z783">
            <v>0.16530965082347393</v>
          </cell>
          <cell r="AA783">
            <v>-0.16444457303194532</v>
          </cell>
          <cell r="AB783" t="str">
            <v/>
          </cell>
          <cell r="AC783" t="e">
            <v>#N/A</v>
          </cell>
          <cell r="AD783">
            <v>696</v>
          </cell>
          <cell r="AE783" t="e">
            <v>#N/A</v>
          </cell>
          <cell r="AF783" t="str">
            <v/>
          </cell>
        </row>
        <row r="784">
          <cell r="Y784">
            <v>768</v>
          </cell>
          <cell r="Z784">
            <v>0.65726020000874996</v>
          </cell>
          <cell r="AA784">
            <v>6.8457014248044901E-2</v>
          </cell>
          <cell r="AB784" t="str">
            <v/>
          </cell>
          <cell r="AC784" t="e">
            <v>#N/A</v>
          </cell>
          <cell r="AD784">
            <v>697</v>
          </cell>
          <cell r="AE784" t="e">
            <v>#N/A</v>
          </cell>
          <cell r="AF784" t="str">
            <v/>
          </cell>
        </row>
        <row r="785">
          <cell r="Y785">
            <v>769</v>
          </cell>
          <cell r="Z785">
            <v>0.54447009973227978</v>
          </cell>
          <cell r="AA785">
            <v>1.888106129216988E-2</v>
          </cell>
          <cell r="AB785" t="str">
            <v/>
          </cell>
          <cell r="AC785" t="e">
            <v>#N/A</v>
          </cell>
          <cell r="AD785">
            <v>698</v>
          </cell>
          <cell r="AE785" t="e">
            <v>#N/A</v>
          </cell>
          <cell r="AF785" t="str">
            <v/>
          </cell>
        </row>
        <row r="786">
          <cell r="Y786">
            <v>770</v>
          </cell>
          <cell r="Z786">
            <v>7.5434094294905663E-2</v>
          </cell>
          <cell r="AA786">
            <v>-0.24280801892652784</v>
          </cell>
          <cell r="AB786" t="str">
            <v/>
          </cell>
          <cell r="AC786" t="e">
            <v>#N/A</v>
          </cell>
          <cell r="AD786">
            <v>699</v>
          </cell>
          <cell r="AE786" t="e">
            <v>#N/A</v>
          </cell>
          <cell r="AF786" t="str">
            <v/>
          </cell>
        </row>
        <row r="787">
          <cell r="Y787">
            <v>771</v>
          </cell>
          <cell r="Z787">
            <v>0.92359228245913982</v>
          </cell>
          <cell r="AA787">
            <v>0.24165617003238898</v>
          </cell>
          <cell r="AB787" t="str">
            <v/>
          </cell>
          <cell r="AC787" t="e">
            <v>#N/A</v>
          </cell>
          <cell r="AD787">
            <v>700</v>
          </cell>
          <cell r="AE787" t="e">
            <v>#N/A</v>
          </cell>
          <cell r="AF787" t="str">
            <v/>
          </cell>
        </row>
        <row r="788">
          <cell r="Y788">
            <v>772</v>
          </cell>
          <cell r="Z788">
            <v>0.83129107020795345</v>
          </cell>
          <cell r="AA788">
            <v>0.16214786382605348</v>
          </cell>
          <cell r="AB788" t="str">
            <v/>
          </cell>
          <cell r="AC788" t="e">
            <v>#N/A</v>
          </cell>
          <cell r="AD788">
            <v>701</v>
          </cell>
          <cell r="AE788" t="e">
            <v>#N/A</v>
          </cell>
          <cell r="AF788" t="str">
            <v/>
          </cell>
        </row>
        <row r="789">
          <cell r="Y789">
            <v>773</v>
          </cell>
          <cell r="Z789">
            <v>0.50886344723403454</v>
          </cell>
          <cell r="AA789">
            <v>3.7557295318909043E-3</v>
          </cell>
          <cell r="AB789" t="str">
            <v/>
          </cell>
          <cell r="AC789" t="e">
            <v>#N/A</v>
          </cell>
          <cell r="AD789">
            <v>702</v>
          </cell>
          <cell r="AE789" t="e">
            <v>#N/A</v>
          </cell>
          <cell r="AF789" t="str">
            <v/>
          </cell>
        </row>
        <row r="790">
          <cell r="Y790">
            <v>774</v>
          </cell>
          <cell r="Z790">
            <v>8.7565159425139427E-2</v>
          </cell>
          <cell r="AA790">
            <v>-0.22918928598827165</v>
          </cell>
          <cell r="AB790" t="str">
            <v/>
          </cell>
          <cell r="AC790" t="e">
            <v>#N/A</v>
          </cell>
          <cell r="AD790">
            <v>703</v>
          </cell>
          <cell r="AE790" t="e">
            <v>#N/A</v>
          </cell>
          <cell r="AF790" t="str">
            <v/>
          </cell>
        </row>
        <row r="791">
          <cell r="Y791">
            <v>775</v>
          </cell>
          <cell r="Z791">
            <v>0.73259846679866314</v>
          </cell>
          <cell r="AA791">
            <v>0.10491589856533885</v>
          </cell>
          <cell r="AB791" t="str">
            <v/>
          </cell>
          <cell r="AC791" t="e">
            <v>#N/A</v>
          </cell>
          <cell r="AD791">
            <v>704</v>
          </cell>
          <cell r="AE791" t="e">
            <v>#N/A</v>
          </cell>
          <cell r="AF791" t="str">
            <v/>
          </cell>
        </row>
        <row r="792">
          <cell r="Y792">
            <v>776</v>
          </cell>
          <cell r="Z792">
            <v>0.19176669977605343</v>
          </cell>
          <cell r="AA792">
            <v>-0.14729422248963633</v>
          </cell>
          <cell r="AB792" t="str">
            <v/>
          </cell>
          <cell r="AC792" t="e">
            <v>#N/A</v>
          </cell>
          <cell r="AD792">
            <v>705</v>
          </cell>
          <cell r="AE792" t="e">
            <v>#N/A</v>
          </cell>
          <cell r="AF792" t="str">
            <v/>
          </cell>
        </row>
        <row r="793">
          <cell r="Y793">
            <v>777</v>
          </cell>
          <cell r="Z793">
            <v>0.4907276313751936</v>
          </cell>
          <cell r="AA793">
            <v>-3.9290332850281124E-3</v>
          </cell>
          <cell r="AB793" t="str">
            <v/>
          </cell>
          <cell r="AC793" t="e">
            <v>#N/A</v>
          </cell>
          <cell r="AD793">
            <v>706</v>
          </cell>
          <cell r="AE793" t="e">
            <v>#N/A</v>
          </cell>
          <cell r="AF793" t="str">
            <v/>
          </cell>
        </row>
        <row r="794">
          <cell r="Y794">
            <v>778</v>
          </cell>
          <cell r="Z794">
            <v>0.69321114383637905</v>
          </cell>
          <cell r="AA794">
            <v>8.5356036976348443E-2</v>
          </cell>
          <cell r="AB794" t="str">
            <v/>
          </cell>
          <cell r="AC794" t="e">
            <v>#N/A</v>
          </cell>
          <cell r="AD794">
            <v>707</v>
          </cell>
          <cell r="AE794" t="e">
            <v>#N/A</v>
          </cell>
          <cell r="AF794" t="str">
            <v/>
          </cell>
        </row>
        <row r="795">
          <cell r="Y795">
            <v>779</v>
          </cell>
          <cell r="Z795">
            <v>0.45010866038501263</v>
          </cell>
          <cell r="AA795">
            <v>-2.1194241119575831E-2</v>
          </cell>
          <cell r="AB795" t="str">
            <v/>
          </cell>
          <cell r="AC795" t="e">
            <v>#N/A</v>
          </cell>
          <cell r="AD795">
            <v>708</v>
          </cell>
          <cell r="AE795" t="e">
            <v>#N/A</v>
          </cell>
          <cell r="AF795" t="str">
            <v/>
          </cell>
        </row>
        <row r="796">
          <cell r="Y796">
            <v>780</v>
          </cell>
          <cell r="Z796">
            <v>0.45526271127164364</v>
          </cell>
          <cell r="AA796">
            <v>-1.8994981370018316E-2</v>
          </cell>
          <cell r="AB796" t="str">
            <v/>
          </cell>
          <cell r="AC796" t="e">
            <v>#N/A</v>
          </cell>
          <cell r="AD796">
            <v>709</v>
          </cell>
          <cell r="AE796" t="e">
            <v>#N/A</v>
          </cell>
          <cell r="AF796" t="str">
            <v/>
          </cell>
        </row>
        <row r="797">
          <cell r="Y797">
            <v>781</v>
          </cell>
          <cell r="Z797">
            <v>3.11316829174757E-2</v>
          </cell>
          <cell r="AA797">
            <v>-0.31514375297619596</v>
          </cell>
          <cell r="AB797" t="str">
            <v/>
          </cell>
          <cell r="AC797" t="e">
            <v>#N/A</v>
          </cell>
          <cell r="AD797">
            <v>710</v>
          </cell>
          <cell r="AE797" t="e">
            <v>#N/A</v>
          </cell>
          <cell r="AF797" t="str">
            <v/>
          </cell>
        </row>
        <row r="798">
          <cell r="Y798">
            <v>782</v>
          </cell>
          <cell r="Z798">
            <v>0.23388663493096828</v>
          </cell>
          <cell r="AA798">
            <v>-0.12273445878450073</v>
          </cell>
          <cell r="AB798" t="str">
            <v/>
          </cell>
          <cell r="AC798" t="e">
            <v>#N/A</v>
          </cell>
          <cell r="AD798">
            <v>711</v>
          </cell>
          <cell r="AE798" t="e">
            <v>#N/A</v>
          </cell>
          <cell r="AF798" t="str">
            <v/>
          </cell>
        </row>
        <row r="799">
          <cell r="Y799">
            <v>783</v>
          </cell>
          <cell r="Z799">
            <v>0.38983593694865704</v>
          </cell>
          <cell r="AA799">
            <v>-4.7285816764255501E-2</v>
          </cell>
          <cell r="AB799" t="str">
            <v/>
          </cell>
          <cell r="AC799" t="e">
            <v>#N/A</v>
          </cell>
          <cell r="AD799">
            <v>712</v>
          </cell>
          <cell r="AE799" t="e">
            <v>#N/A</v>
          </cell>
          <cell r="AF799" t="str">
            <v/>
          </cell>
        </row>
        <row r="800">
          <cell r="Y800">
            <v>784</v>
          </cell>
          <cell r="Z800">
            <v>0.43735375069081783</v>
          </cell>
          <cell r="AA800">
            <v>-2.6653097665686659E-2</v>
          </cell>
          <cell r="AB800" t="str">
            <v/>
          </cell>
          <cell r="AC800" t="e">
            <v>#N/A</v>
          </cell>
          <cell r="AD800">
            <v>713</v>
          </cell>
          <cell r="AE800" t="e">
            <v>#N/A</v>
          </cell>
          <cell r="AF800" t="str">
            <v/>
          </cell>
        </row>
        <row r="801">
          <cell r="Y801">
            <v>785</v>
          </cell>
          <cell r="Z801">
            <v>0.1925069373100996</v>
          </cell>
          <cell r="AA801">
            <v>-0.14683628668360366</v>
          </cell>
          <cell r="AB801" t="str">
            <v/>
          </cell>
          <cell r="AC801" t="e">
            <v>#N/A</v>
          </cell>
          <cell r="AD801">
            <v>714</v>
          </cell>
          <cell r="AE801" t="e">
            <v>#N/A</v>
          </cell>
          <cell r="AF801" t="str">
            <v/>
          </cell>
        </row>
        <row r="802">
          <cell r="Y802">
            <v>786</v>
          </cell>
          <cell r="Z802">
            <v>0.87569118104875088</v>
          </cell>
          <cell r="AA802">
            <v>0.19501317853663239</v>
          </cell>
          <cell r="AB802" t="str">
            <v/>
          </cell>
          <cell r="AC802" t="e">
            <v>#N/A</v>
          </cell>
          <cell r="AD802">
            <v>715</v>
          </cell>
          <cell r="AE802" t="e">
            <v>#N/A</v>
          </cell>
          <cell r="AF802" t="str">
            <v/>
          </cell>
        </row>
        <row r="803">
          <cell r="Y803">
            <v>787</v>
          </cell>
          <cell r="Z803">
            <v>0.19447286240756512</v>
          </cell>
          <cell r="AA803">
            <v>-0.14562529664341667</v>
          </cell>
          <cell r="AB803" t="str">
            <v/>
          </cell>
          <cell r="AC803" t="e">
            <v>#N/A</v>
          </cell>
          <cell r="AD803">
            <v>716</v>
          </cell>
          <cell r="AE803" t="e">
            <v>#N/A</v>
          </cell>
          <cell r="AF803" t="str">
            <v/>
          </cell>
        </row>
        <row r="804">
          <cell r="Y804">
            <v>788</v>
          </cell>
          <cell r="Z804">
            <v>0.15222286246716976</v>
          </cell>
          <cell r="AA804">
            <v>-0.17358561629849059</v>
          </cell>
          <cell r="AB804" t="str">
            <v/>
          </cell>
          <cell r="AC804" t="e">
            <v>#N/A</v>
          </cell>
          <cell r="AD804">
            <v>717</v>
          </cell>
          <cell r="AE804" t="e">
            <v>#N/A</v>
          </cell>
          <cell r="AF804" t="str">
            <v/>
          </cell>
        </row>
        <row r="805">
          <cell r="Y805">
            <v>789</v>
          </cell>
          <cell r="Z805">
            <v>0.60356890968978405</v>
          </cell>
          <cell r="AA805">
            <v>4.4386782095521431E-2</v>
          </cell>
          <cell r="AB805" t="str">
            <v/>
          </cell>
          <cell r="AC805" t="e">
            <v>#N/A</v>
          </cell>
          <cell r="AD805">
            <v>718</v>
          </cell>
          <cell r="AE805" t="e">
            <v>#N/A</v>
          </cell>
          <cell r="AF805" t="str">
            <v/>
          </cell>
        </row>
        <row r="806">
          <cell r="Y806">
            <v>790</v>
          </cell>
          <cell r="Z806">
            <v>0.94329366646707058</v>
          </cell>
          <cell r="AA806">
            <v>0.26758236138781188</v>
          </cell>
          <cell r="AB806" t="str">
            <v/>
          </cell>
          <cell r="AC806" t="e">
            <v>#N/A</v>
          </cell>
          <cell r="AD806">
            <v>719</v>
          </cell>
          <cell r="AE806" t="e">
            <v>#N/A</v>
          </cell>
          <cell r="AF806" t="str">
            <v/>
          </cell>
        </row>
        <row r="807">
          <cell r="Y807">
            <v>791</v>
          </cell>
          <cell r="Z807">
            <v>0.92748836986720562</v>
          </cell>
          <cell r="AA807">
            <v>0.2463349854562612</v>
          </cell>
          <cell r="AB807" t="str">
            <v/>
          </cell>
          <cell r="AC807" t="e">
            <v>#N/A</v>
          </cell>
          <cell r="AD807">
            <v>720</v>
          </cell>
          <cell r="AE807" t="e">
            <v>#N/A</v>
          </cell>
          <cell r="AF807" t="str">
            <v/>
          </cell>
        </row>
        <row r="808">
          <cell r="Y808">
            <v>792</v>
          </cell>
          <cell r="Z808">
            <v>0.75602086447179317</v>
          </cell>
          <cell r="AA808">
            <v>0.11723301407892017</v>
          </cell>
          <cell r="AB808" t="str">
            <v/>
          </cell>
          <cell r="AC808" t="e">
            <v>#N/A</v>
          </cell>
          <cell r="AD808">
            <v>721</v>
          </cell>
          <cell r="AE808" t="e">
            <v>#N/A</v>
          </cell>
          <cell r="AF808" t="str">
            <v/>
          </cell>
        </row>
        <row r="809">
          <cell r="Y809">
            <v>793</v>
          </cell>
          <cell r="Z809">
            <v>0.4729891698807478</v>
          </cell>
          <cell r="AA809">
            <v>-1.1453179290353201E-2</v>
          </cell>
          <cell r="AB809" t="str">
            <v/>
          </cell>
          <cell r="AC809" t="e">
            <v>#N/A</v>
          </cell>
          <cell r="AD809">
            <v>722</v>
          </cell>
          <cell r="AE809" t="e">
            <v>#N/A</v>
          </cell>
          <cell r="AF809" t="str">
            <v/>
          </cell>
        </row>
        <row r="810">
          <cell r="Y810">
            <v>794</v>
          </cell>
          <cell r="Z810">
            <v>0.84766668640077114</v>
          </cell>
          <cell r="AA810">
            <v>0.17350634260785722</v>
          </cell>
          <cell r="AB810" t="str">
            <v/>
          </cell>
          <cell r="AC810" t="e">
            <v>#N/A</v>
          </cell>
          <cell r="AD810">
            <v>723</v>
          </cell>
          <cell r="AE810" t="e">
            <v>#N/A</v>
          </cell>
          <cell r="AF810" t="str">
            <v/>
          </cell>
        </row>
        <row r="811">
          <cell r="Y811">
            <v>795</v>
          </cell>
          <cell r="Z811">
            <v>0.88367463462054729</v>
          </cell>
          <cell r="AA811">
            <v>0.20174820243321584</v>
          </cell>
          <cell r="AB811" t="str">
            <v/>
          </cell>
          <cell r="AC811" t="e">
            <v>#N/A</v>
          </cell>
          <cell r="AD811">
            <v>724</v>
          </cell>
          <cell r="AE811" t="e">
            <v>#N/A</v>
          </cell>
          <cell r="AF811" t="str">
            <v/>
          </cell>
        </row>
        <row r="812">
          <cell r="Y812">
            <v>796</v>
          </cell>
          <cell r="Z812">
            <v>0.83397572301328182</v>
          </cell>
          <cell r="AA812">
            <v>0.16395922622736472</v>
          </cell>
          <cell r="AB812" t="str">
            <v/>
          </cell>
          <cell r="AC812" t="e">
            <v>#N/A</v>
          </cell>
          <cell r="AD812">
            <v>725</v>
          </cell>
          <cell r="AE812" t="e">
            <v>#N/A</v>
          </cell>
          <cell r="AF812" t="str">
            <v/>
          </cell>
        </row>
        <row r="813">
          <cell r="Y813">
            <v>797</v>
          </cell>
          <cell r="Z813">
            <v>7.1817217394709587E-2</v>
          </cell>
          <cell r="AA813">
            <v>-0.24718898500059455</v>
          </cell>
          <cell r="AB813" t="str">
            <v/>
          </cell>
          <cell r="AC813" t="e">
            <v>#N/A</v>
          </cell>
          <cell r="AD813">
            <v>726</v>
          </cell>
          <cell r="AE813" t="e">
            <v>#N/A</v>
          </cell>
          <cell r="AF813" t="str">
            <v/>
          </cell>
        </row>
        <row r="814">
          <cell r="Y814">
            <v>798</v>
          </cell>
          <cell r="Z814">
            <v>0.10757092200219631</v>
          </cell>
          <cell r="AA814">
            <v>-0.20952220962257637</v>
          </cell>
          <cell r="AB814" t="str">
            <v/>
          </cell>
          <cell r="AC814" t="e">
            <v>#N/A</v>
          </cell>
          <cell r="AD814">
            <v>727</v>
          </cell>
          <cell r="AE814" t="e">
            <v>#N/A</v>
          </cell>
          <cell r="AF814" t="str">
            <v/>
          </cell>
        </row>
        <row r="815">
          <cell r="Y815">
            <v>799</v>
          </cell>
          <cell r="Z815">
            <v>0.61844394914805889</v>
          </cell>
          <cell r="AA815">
            <v>5.0945320434821889E-2</v>
          </cell>
          <cell r="AB815" t="str">
            <v/>
          </cell>
          <cell r="AC815" t="e">
            <v>#N/A</v>
          </cell>
          <cell r="AD815">
            <v>728</v>
          </cell>
          <cell r="AE815" t="e">
            <v>#N/A</v>
          </cell>
          <cell r="AF815" t="str">
            <v/>
          </cell>
        </row>
        <row r="816">
          <cell r="Y816">
            <v>800</v>
          </cell>
          <cell r="Z816">
            <v>0.53125192783772945</v>
          </cell>
          <cell r="AA816">
            <v>1.3254936184161036E-2</v>
          </cell>
          <cell r="AB816" t="str">
            <v/>
          </cell>
          <cell r="AC816" t="e">
            <v>#N/A</v>
          </cell>
          <cell r="AD816">
            <v>729</v>
          </cell>
          <cell r="AE816" t="e">
            <v>#N/A</v>
          </cell>
          <cell r="AF816" t="str">
            <v/>
          </cell>
        </row>
        <row r="817">
          <cell r="Y817">
            <v>801</v>
          </cell>
          <cell r="Z817">
            <v>0.18465235643088818</v>
          </cell>
          <cell r="AA817">
            <v>-0.15175192661412015</v>
          </cell>
          <cell r="AB817" t="str">
            <v/>
          </cell>
          <cell r="AC817" t="e">
            <v>#N/A</v>
          </cell>
          <cell r="AD817">
            <v>730</v>
          </cell>
          <cell r="AE817" t="e">
            <v>#N/A</v>
          </cell>
          <cell r="AF817" t="str">
            <v/>
          </cell>
        </row>
        <row r="818">
          <cell r="Y818">
            <v>802</v>
          </cell>
          <cell r="Z818">
            <v>0.96478951536118984</v>
          </cell>
          <cell r="AA818">
            <v>0.30580949269681656</v>
          </cell>
          <cell r="AB818" t="str">
            <v/>
          </cell>
          <cell r="AC818" t="e">
            <v>#N/A</v>
          </cell>
          <cell r="AD818">
            <v>731</v>
          </cell>
          <cell r="AE818" t="e">
            <v>#N/A</v>
          </cell>
          <cell r="AF818" t="str">
            <v/>
          </cell>
        </row>
        <row r="819">
          <cell r="Y819">
            <v>803</v>
          </cell>
          <cell r="Z819">
            <v>0.69587559811770916</v>
          </cell>
          <cell r="AA819">
            <v>8.6640949982431215E-2</v>
          </cell>
          <cell r="AB819" t="str">
            <v/>
          </cell>
          <cell r="AC819" t="e">
            <v>#N/A</v>
          </cell>
          <cell r="AD819">
            <v>732</v>
          </cell>
          <cell r="AE819" t="e">
            <v>#N/A</v>
          </cell>
          <cell r="AF819" t="str">
            <v/>
          </cell>
        </row>
        <row r="820">
          <cell r="Y820">
            <v>804</v>
          </cell>
          <cell r="Z820">
            <v>2.755986712872982E-2</v>
          </cell>
          <cell r="AA820">
            <v>-0.32418954442673487</v>
          </cell>
          <cell r="AB820" t="str">
            <v/>
          </cell>
          <cell r="AC820" t="e">
            <v>#N/A</v>
          </cell>
          <cell r="AD820">
            <v>733</v>
          </cell>
          <cell r="AE820" t="e">
            <v>#N/A</v>
          </cell>
          <cell r="AF820" t="str">
            <v/>
          </cell>
        </row>
        <row r="821">
          <cell r="Y821">
            <v>805</v>
          </cell>
          <cell r="Z821">
            <v>2.9565570876002312E-2</v>
          </cell>
          <cell r="AA821">
            <v>-0.31899789911172594</v>
          </cell>
          <cell r="AB821" t="str">
            <v/>
          </cell>
          <cell r="AC821" t="e">
            <v>#N/A</v>
          </cell>
          <cell r="AD821">
            <v>734</v>
          </cell>
          <cell r="AE821" t="e">
            <v>#N/A</v>
          </cell>
          <cell r="AF821" t="str">
            <v/>
          </cell>
        </row>
        <row r="822">
          <cell r="Y822">
            <v>806</v>
          </cell>
          <cell r="Z822">
            <v>9.3112444505095482E-2</v>
          </cell>
          <cell r="AA822">
            <v>-0.22342998733615332</v>
          </cell>
          <cell r="AB822" t="str">
            <v/>
          </cell>
          <cell r="AC822" t="e">
            <v>#N/A</v>
          </cell>
          <cell r="AD822">
            <v>735</v>
          </cell>
          <cell r="AE822" t="e">
            <v>#N/A</v>
          </cell>
          <cell r="AF822" t="str">
            <v/>
          </cell>
        </row>
        <row r="823">
          <cell r="Y823">
            <v>807</v>
          </cell>
          <cell r="Z823">
            <v>0.65551273338496685</v>
          </cell>
          <cell r="AA823">
            <v>6.765410639636274E-2</v>
          </cell>
          <cell r="AB823" t="str">
            <v/>
          </cell>
          <cell r="AC823" t="e">
            <v>#N/A</v>
          </cell>
          <cell r="AD823">
            <v>736</v>
          </cell>
          <cell r="AE823" t="e">
            <v>#N/A</v>
          </cell>
          <cell r="AF823" t="str">
            <v/>
          </cell>
        </row>
        <row r="824">
          <cell r="Y824">
            <v>808</v>
          </cell>
          <cell r="Z824">
            <v>0.85551520250737667</v>
          </cell>
          <cell r="AA824">
            <v>0.17923773742266716</v>
          </cell>
          <cell r="AB824" t="str">
            <v/>
          </cell>
          <cell r="AC824" t="e">
            <v>#N/A</v>
          </cell>
          <cell r="AD824">
            <v>737</v>
          </cell>
          <cell r="AE824" t="e">
            <v>#N/A</v>
          </cell>
          <cell r="AF824" t="str">
            <v/>
          </cell>
        </row>
        <row r="825">
          <cell r="Y825">
            <v>809</v>
          </cell>
          <cell r="Z825">
            <v>0.14677139930427074</v>
          </cell>
          <cell r="AA825">
            <v>-0.17754686007865383</v>
          </cell>
          <cell r="AB825" t="str">
            <v/>
          </cell>
          <cell r="AC825" t="e">
            <v>#N/A</v>
          </cell>
          <cell r="AD825">
            <v>738</v>
          </cell>
          <cell r="AE825" t="e">
            <v>#N/A</v>
          </cell>
          <cell r="AF825" t="str">
            <v/>
          </cell>
        </row>
        <row r="826">
          <cell r="Y826">
            <v>810</v>
          </cell>
          <cell r="Z826">
            <v>0.90107089839875698</v>
          </cell>
          <cell r="AA826">
            <v>0.21765724579221821</v>
          </cell>
          <cell r="AB826" t="str">
            <v/>
          </cell>
          <cell r="AC826" t="e">
            <v>#N/A</v>
          </cell>
          <cell r="AD826">
            <v>739</v>
          </cell>
          <cell r="AE826" t="e">
            <v>#N/A</v>
          </cell>
          <cell r="AF826" t="str">
            <v/>
          </cell>
        </row>
        <row r="827">
          <cell r="Y827">
            <v>811</v>
          </cell>
          <cell r="Z827">
            <v>0.69790924899280071</v>
          </cell>
          <cell r="AA827">
            <v>8.7625038878418493E-2</v>
          </cell>
          <cell r="AB827" t="str">
            <v/>
          </cell>
          <cell r="AC827" t="e">
            <v>#N/A</v>
          </cell>
          <cell r="AD827">
            <v>740</v>
          </cell>
          <cell r="AE827" t="e">
            <v>#N/A</v>
          </cell>
          <cell r="AF827" t="str">
            <v/>
          </cell>
        </row>
        <row r="828">
          <cell r="Y828">
            <v>812</v>
          </cell>
          <cell r="Z828">
            <v>0.56274824403226376</v>
          </cell>
          <cell r="AA828">
            <v>2.6696854061123598E-2</v>
          </cell>
          <cell r="AB828" t="str">
            <v/>
          </cell>
          <cell r="AC828" t="e">
            <v>#N/A</v>
          </cell>
          <cell r="AD828">
            <v>741</v>
          </cell>
          <cell r="AE828" t="e">
            <v>#N/A</v>
          </cell>
          <cell r="AF828" t="str">
            <v/>
          </cell>
        </row>
        <row r="829">
          <cell r="Y829">
            <v>813</v>
          </cell>
          <cell r="Z829">
            <v>0.75604980997741222</v>
          </cell>
          <cell r="AA829">
            <v>0.11724861334856147</v>
          </cell>
          <cell r="AB829" t="str">
            <v/>
          </cell>
          <cell r="AC829" t="e">
            <v>#N/A</v>
          </cell>
          <cell r="AD829">
            <v>742</v>
          </cell>
          <cell r="AE829" t="e">
            <v>#N/A</v>
          </cell>
          <cell r="AF829" t="str">
            <v/>
          </cell>
        </row>
        <row r="830">
          <cell r="Y830">
            <v>814</v>
          </cell>
          <cell r="Z830">
            <v>0.92842165194451809</v>
          </cell>
          <cell r="AA830">
            <v>0.24748421374078361</v>
          </cell>
          <cell r="AB830" t="str">
            <v/>
          </cell>
          <cell r="AC830" t="e">
            <v>#N/A</v>
          </cell>
          <cell r="AD830">
            <v>743</v>
          </cell>
          <cell r="AE830" t="e">
            <v>#N/A</v>
          </cell>
          <cell r="AF830" t="str">
            <v/>
          </cell>
        </row>
        <row r="831">
          <cell r="Y831">
            <v>815</v>
          </cell>
          <cell r="Z831">
            <v>0.5889266561716795</v>
          </cell>
          <cell r="AA831">
            <v>3.799556682427753E-2</v>
          </cell>
          <cell r="AB831" t="str">
            <v/>
          </cell>
          <cell r="AC831" t="e">
            <v>#N/A</v>
          </cell>
          <cell r="AD831">
            <v>744</v>
          </cell>
          <cell r="AE831" t="e">
            <v>#N/A</v>
          </cell>
          <cell r="AF831" t="str">
            <v/>
          </cell>
        </row>
        <row r="832">
          <cell r="Y832">
            <v>816</v>
          </cell>
          <cell r="Z832">
            <v>0.21776332519948483</v>
          </cell>
          <cell r="AA832">
            <v>-0.13180507674162023</v>
          </cell>
          <cell r="AB832" t="str">
            <v/>
          </cell>
          <cell r="AC832" t="e">
            <v>#N/A</v>
          </cell>
          <cell r="AD832">
            <v>745</v>
          </cell>
          <cell r="AE832" t="e">
            <v>#N/A</v>
          </cell>
          <cell r="AF832" t="str">
            <v/>
          </cell>
        </row>
        <row r="833">
          <cell r="Y833">
            <v>817</v>
          </cell>
          <cell r="Z833">
            <v>8.29180758446455E-2</v>
          </cell>
          <cell r="AA833">
            <v>-0.23422736515860826</v>
          </cell>
          <cell r="AB833" t="str">
            <v/>
          </cell>
          <cell r="AC833" t="e">
            <v>#N/A</v>
          </cell>
          <cell r="AD833">
            <v>746</v>
          </cell>
          <cell r="AE833" t="e">
            <v>#N/A</v>
          </cell>
          <cell r="AF833" t="str">
            <v/>
          </cell>
        </row>
        <row r="834">
          <cell r="Y834">
            <v>818</v>
          </cell>
          <cell r="Z834">
            <v>0.83638144098222256</v>
          </cell>
          <cell r="AA834">
            <v>0.16559853468086211</v>
          </cell>
          <cell r="AB834" t="str">
            <v/>
          </cell>
          <cell r="AC834" t="e">
            <v>#N/A</v>
          </cell>
          <cell r="AD834">
            <v>747</v>
          </cell>
          <cell r="AE834" t="e">
            <v>#N/A</v>
          </cell>
          <cell r="AF834" t="str">
            <v/>
          </cell>
        </row>
        <row r="835">
          <cell r="Y835">
            <v>819</v>
          </cell>
          <cell r="Z835">
            <v>0.28278095833957195</v>
          </cell>
          <cell r="AA835">
            <v>-9.7125110808321591E-2</v>
          </cell>
          <cell r="AB835" t="str">
            <v/>
          </cell>
          <cell r="AC835" t="e">
            <v>#N/A</v>
          </cell>
          <cell r="AD835">
            <v>748</v>
          </cell>
          <cell r="AE835" t="e">
            <v>#N/A</v>
          </cell>
          <cell r="AF835" t="str">
            <v/>
          </cell>
        </row>
        <row r="836">
          <cell r="Y836">
            <v>820</v>
          </cell>
          <cell r="Z836">
            <v>0.25954817794263363</v>
          </cell>
          <cell r="AA836">
            <v>-0.10898077720008548</v>
          </cell>
          <cell r="AB836" t="str">
            <v/>
          </cell>
          <cell r="AC836" t="e">
            <v>#N/A</v>
          </cell>
          <cell r="AD836">
            <v>749</v>
          </cell>
          <cell r="AE836" t="e">
            <v>#N/A</v>
          </cell>
          <cell r="AF836" t="str">
            <v/>
          </cell>
        </row>
        <row r="837">
          <cell r="Y837">
            <v>821</v>
          </cell>
          <cell r="Z837">
            <v>0.15355264954268932</v>
          </cell>
          <cell r="AA837">
            <v>-0.17263371600864369</v>
          </cell>
          <cell r="AB837" t="str">
            <v/>
          </cell>
          <cell r="AC837" t="e">
            <v>#N/A</v>
          </cell>
          <cell r="AD837">
            <v>750</v>
          </cell>
          <cell r="AE837" t="e">
            <v>#N/A</v>
          </cell>
          <cell r="AF837" t="str">
            <v/>
          </cell>
        </row>
        <row r="838">
          <cell r="Y838">
            <v>822</v>
          </cell>
          <cell r="Z838">
            <v>0.49161133728921413</v>
          </cell>
          <cell r="AA838">
            <v>-3.5545174619774386E-3</v>
          </cell>
          <cell r="AB838" t="str">
            <v/>
          </cell>
          <cell r="AC838" t="e">
            <v>#N/A</v>
          </cell>
          <cell r="AD838">
            <v>751</v>
          </cell>
          <cell r="AE838" t="e">
            <v>#N/A</v>
          </cell>
          <cell r="AF838" t="str">
            <v/>
          </cell>
        </row>
        <row r="839">
          <cell r="Y839">
            <v>823</v>
          </cell>
          <cell r="Z839">
            <v>0.76383952610194683</v>
          </cell>
          <cell r="AA839">
            <v>0.1214837988500642</v>
          </cell>
          <cell r="AB839" t="str">
            <v/>
          </cell>
          <cell r="AC839" t="e">
            <v>#N/A</v>
          </cell>
          <cell r="AD839">
            <v>752</v>
          </cell>
          <cell r="AE839" t="e">
            <v>#N/A</v>
          </cell>
          <cell r="AF839" t="str">
            <v/>
          </cell>
        </row>
        <row r="840">
          <cell r="Y840">
            <v>824</v>
          </cell>
          <cell r="Z840">
            <v>0.19093330763280392</v>
          </cell>
          <cell r="AA840">
            <v>-0.147811084085748</v>
          </cell>
          <cell r="AB840" t="str">
            <v/>
          </cell>
          <cell r="AC840" t="e">
            <v>#N/A</v>
          </cell>
          <cell r="AD840">
            <v>753</v>
          </cell>
          <cell r="AE840" t="e">
            <v>#N/A</v>
          </cell>
          <cell r="AF840" t="str">
            <v/>
          </cell>
        </row>
        <row r="841">
          <cell r="Y841">
            <v>825</v>
          </cell>
          <cell r="Z841">
            <v>0.55846103839576244</v>
          </cell>
          <cell r="AA841">
            <v>2.4859120048511516E-2</v>
          </cell>
          <cell r="AB841" t="str">
            <v/>
          </cell>
          <cell r="AC841" t="e">
            <v>#N/A</v>
          </cell>
          <cell r="AD841">
            <v>754</v>
          </cell>
          <cell r="AE841" t="e">
            <v>#N/A</v>
          </cell>
          <cell r="AF841" t="str">
            <v/>
          </cell>
        </row>
        <row r="842">
          <cell r="Y842">
            <v>826</v>
          </cell>
          <cell r="Z842">
            <v>0.64395112358033657</v>
          </cell>
          <cell r="AA842">
            <v>6.2379180899124927E-2</v>
          </cell>
          <cell r="AB842" t="str">
            <v/>
          </cell>
          <cell r="AC842" t="e">
            <v>#N/A</v>
          </cell>
          <cell r="AD842">
            <v>755</v>
          </cell>
          <cell r="AE842" t="e">
            <v>#N/A</v>
          </cell>
          <cell r="AF842" t="str">
            <v/>
          </cell>
        </row>
        <row r="843">
          <cell r="Y843">
            <v>827</v>
          </cell>
          <cell r="Z843">
            <v>0.60716797225177288</v>
          </cell>
          <cell r="AA843">
            <v>4.5967150625602637E-2</v>
          </cell>
          <cell r="AB843" t="str">
            <v/>
          </cell>
          <cell r="AC843" t="e">
            <v>#N/A</v>
          </cell>
          <cell r="AD843">
            <v>756</v>
          </cell>
          <cell r="AE843" t="e">
            <v>#N/A</v>
          </cell>
          <cell r="AF843" t="str">
            <v/>
          </cell>
        </row>
        <row r="844">
          <cell r="Y844">
            <v>828</v>
          </cell>
          <cell r="Z844">
            <v>0.61570136807858944</v>
          </cell>
          <cell r="AA844">
            <v>4.9730605569284728E-2</v>
          </cell>
          <cell r="AB844" t="str">
            <v/>
          </cell>
          <cell r="AC844" t="e">
            <v>#N/A</v>
          </cell>
          <cell r="AD844">
            <v>757</v>
          </cell>
          <cell r="AE844" t="e">
            <v>#N/A</v>
          </cell>
          <cell r="AF844" t="str">
            <v/>
          </cell>
        </row>
        <row r="845">
          <cell r="Y845">
            <v>829</v>
          </cell>
          <cell r="Z845">
            <v>0.68490367941558361</v>
          </cell>
          <cell r="AA845">
            <v>8.1380870558063256E-2</v>
          </cell>
          <cell r="AB845" t="str">
            <v/>
          </cell>
          <cell r="AC845" t="e">
            <v>#N/A</v>
          </cell>
          <cell r="AD845">
            <v>758</v>
          </cell>
          <cell r="AE845" t="e">
            <v>#N/A</v>
          </cell>
          <cell r="AF845" t="str">
            <v/>
          </cell>
        </row>
        <row r="846">
          <cell r="Y846">
            <v>830</v>
          </cell>
          <cell r="Z846">
            <v>0.69790366850793362</v>
          </cell>
          <cell r="AA846">
            <v>8.7622334414794931E-2</v>
          </cell>
          <cell r="AB846" t="str">
            <v/>
          </cell>
          <cell r="AC846" t="e">
            <v>#N/A</v>
          </cell>
          <cell r="AD846">
            <v>759</v>
          </cell>
          <cell r="AE846" t="e">
            <v>#N/A</v>
          </cell>
          <cell r="AF846" t="str">
            <v/>
          </cell>
        </row>
        <row r="847">
          <cell r="Y847">
            <v>831</v>
          </cell>
          <cell r="Z847">
            <v>0.75782702676951885</v>
          </cell>
          <cell r="AA847">
            <v>0.11820831154269285</v>
          </cell>
          <cell r="AB847" t="str">
            <v/>
          </cell>
          <cell r="AC847" t="e">
            <v>#N/A</v>
          </cell>
          <cell r="AD847">
            <v>760</v>
          </cell>
          <cell r="AE847" t="e">
            <v>#N/A</v>
          </cell>
          <cell r="AF847" t="str">
            <v/>
          </cell>
        </row>
        <row r="848">
          <cell r="Y848">
            <v>832</v>
          </cell>
          <cell r="Z848">
            <v>0.11944653652608395</v>
          </cell>
          <cell r="AA848">
            <v>-0.19907744708023281</v>
          </cell>
          <cell r="AB848" t="str">
            <v/>
          </cell>
          <cell r="AC848" t="e">
            <v>#N/A</v>
          </cell>
          <cell r="AD848">
            <v>761</v>
          </cell>
          <cell r="AE848" t="e">
            <v>#N/A</v>
          </cell>
          <cell r="AF848" t="str">
            <v/>
          </cell>
        </row>
        <row r="849">
          <cell r="Y849">
            <v>833</v>
          </cell>
          <cell r="Z849">
            <v>0.91806581430137157</v>
          </cell>
          <cell r="AA849">
            <v>0.23532110550299778</v>
          </cell>
          <cell r="AB849" t="str">
            <v/>
          </cell>
          <cell r="AC849" t="e">
            <v>#N/A</v>
          </cell>
          <cell r="AD849">
            <v>762</v>
          </cell>
          <cell r="AE849" t="e">
            <v>#N/A</v>
          </cell>
          <cell r="AF849" t="str">
            <v/>
          </cell>
        </row>
        <row r="850">
          <cell r="Y850">
            <v>834</v>
          </cell>
          <cell r="Z850">
            <v>7.7869301661849022E-2</v>
          </cell>
          <cell r="AA850">
            <v>-0.23994781832852563</v>
          </cell>
          <cell r="AB850" t="str">
            <v/>
          </cell>
          <cell r="AC850" t="e">
            <v>#N/A</v>
          </cell>
          <cell r="AD850">
            <v>763</v>
          </cell>
          <cell r="AE850" t="e">
            <v>#N/A</v>
          </cell>
          <cell r="AF850" t="str">
            <v/>
          </cell>
        </row>
        <row r="851">
          <cell r="Y851">
            <v>835</v>
          </cell>
          <cell r="Z851">
            <v>2.8919411823153496E-2</v>
          </cell>
          <cell r="AA851">
            <v>-0.32063758399689768</v>
          </cell>
          <cell r="AB851" t="str">
            <v/>
          </cell>
          <cell r="AC851" t="e">
            <v>#N/A</v>
          </cell>
          <cell r="AD851">
            <v>764</v>
          </cell>
          <cell r="AE851" t="e">
            <v>#N/A</v>
          </cell>
          <cell r="AF851" t="str">
            <v/>
          </cell>
        </row>
        <row r="852">
          <cell r="Y852">
            <v>836</v>
          </cell>
          <cell r="Z852">
            <v>0.49418388865888119</v>
          </cell>
          <cell r="AA852">
            <v>-2.4643591948055334E-3</v>
          </cell>
          <cell r="AB852" t="str">
            <v/>
          </cell>
          <cell r="AC852" t="e">
            <v>#N/A</v>
          </cell>
          <cell r="AD852">
            <v>765</v>
          </cell>
          <cell r="AE852" t="e">
            <v>#N/A</v>
          </cell>
          <cell r="AF852" t="str">
            <v/>
          </cell>
        </row>
        <row r="853">
          <cell r="Y853">
            <v>837</v>
          </cell>
          <cell r="Z853">
            <v>0.31097936443984509</v>
          </cell>
          <cell r="AA853">
            <v>-8.3345093952970781E-2</v>
          </cell>
          <cell r="AB853" t="str">
            <v/>
          </cell>
          <cell r="AC853" t="e">
            <v>#N/A</v>
          </cell>
          <cell r="AD853">
            <v>766</v>
          </cell>
          <cell r="AE853" t="e">
            <v>#N/A</v>
          </cell>
          <cell r="AF853" t="str">
            <v/>
          </cell>
        </row>
        <row r="854">
          <cell r="Y854">
            <v>838</v>
          </cell>
          <cell r="Z854">
            <v>0.68713018856942654</v>
          </cell>
          <cell r="AA854">
            <v>8.2441769217811448E-2</v>
          </cell>
          <cell r="AB854" t="str">
            <v/>
          </cell>
          <cell r="AC854" t="e">
            <v>#N/A</v>
          </cell>
          <cell r="AD854">
            <v>767</v>
          </cell>
          <cell r="AE854" t="e">
            <v>#N/A</v>
          </cell>
          <cell r="AF854" t="str">
            <v/>
          </cell>
        </row>
        <row r="855">
          <cell r="Y855">
            <v>839</v>
          </cell>
          <cell r="Z855">
            <v>0.81838671676814556</v>
          </cell>
          <cell r="AA855">
            <v>0.15368861408503676</v>
          </cell>
          <cell r="AB855" t="str">
            <v/>
          </cell>
          <cell r="AC855" t="e">
            <v>#N/A</v>
          </cell>
          <cell r="AD855">
            <v>768</v>
          </cell>
          <cell r="AE855" t="e">
            <v>#N/A</v>
          </cell>
          <cell r="AF855" t="str">
            <v/>
          </cell>
        </row>
        <row r="856">
          <cell r="Y856">
            <v>840</v>
          </cell>
          <cell r="Z856">
            <v>0.80670877359807491</v>
          </cell>
          <cell r="AA856">
            <v>0.14635227200836837</v>
          </cell>
          <cell r="AB856" t="str">
            <v/>
          </cell>
          <cell r="AC856" t="e">
            <v>#N/A</v>
          </cell>
          <cell r="AD856">
            <v>769</v>
          </cell>
          <cell r="AE856" t="e">
            <v>#N/A</v>
          </cell>
          <cell r="AF856" t="str">
            <v/>
          </cell>
        </row>
        <row r="857">
          <cell r="Y857">
            <v>841</v>
          </cell>
          <cell r="Z857">
            <v>0.22319480590522289</v>
          </cell>
          <cell r="AA857">
            <v>-0.12870817931582554</v>
          </cell>
          <cell r="AB857" t="str">
            <v/>
          </cell>
          <cell r="AC857" t="e">
            <v>#N/A</v>
          </cell>
          <cell r="AD857">
            <v>770</v>
          </cell>
          <cell r="AE857" t="e">
            <v>#N/A</v>
          </cell>
          <cell r="AF857" t="str">
            <v/>
          </cell>
        </row>
        <row r="858">
          <cell r="Y858">
            <v>842</v>
          </cell>
          <cell r="Z858">
            <v>0.96058470569550991</v>
          </cell>
          <cell r="AA858">
            <v>0.29707373864598935</v>
          </cell>
          <cell r="AB858" t="str">
            <v/>
          </cell>
          <cell r="AC858" t="e">
            <v>#N/A</v>
          </cell>
          <cell r="AD858">
            <v>771</v>
          </cell>
          <cell r="AE858" t="e">
            <v>#N/A</v>
          </cell>
          <cell r="AF858" t="str">
            <v/>
          </cell>
        </row>
        <row r="859">
          <cell r="Y859">
            <v>843</v>
          </cell>
          <cell r="Z859">
            <v>0.5445562731474638</v>
          </cell>
          <cell r="AA859">
            <v>1.8917801694295761E-2</v>
          </cell>
          <cell r="AB859" t="str">
            <v/>
          </cell>
          <cell r="AC859" t="e">
            <v>#N/A</v>
          </cell>
          <cell r="AD859">
            <v>772</v>
          </cell>
          <cell r="AE859" t="e">
            <v>#N/A</v>
          </cell>
          <cell r="AF859" t="str">
            <v/>
          </cell>
        </row>
        <row r="860">
          <cell r="Y860">
            <v>844</v>
          </cell>
          <cell r="Z860">
            <v>0.81070618890225887</v>
          </cell>
          <cell r="AA860">
            <v>0.14883193988767107</v>
          </cell>
          <cell r="AB860" t="str">
            <v/>
          </cell>
          <cell r="AC860" t="e">
            <v>#N/A</v>
          </cell>
          <cell r="AD860">
            <v>773</v>
          </cell>
          <cell r="AE860" t="e">
            <v>#N/A</v>
          </cell>
          <cell r="AF860" t="str">
            <v/>
          </cell>
        </row>
        <row r="861">
          <cell r="Y861">
            <v>845</v>
          </cell>
          <cell r="Z861">
            <v>0.42820304445922375</v>
          </cell>
          <cell r="AA861">
            <v>-3.0586290399535004E-2</v>
          </cell>
          <cell r="AB861" t="str">
            <v/>
          </cell>
          <cell r="AC861" t="e">
            <v>#N/A</v>
          </cell>
          <cell r="AD861">
            <v>774</v>
          </cell>
          <cell r="AE861" t="e">
            <v>#N/A</v>
          </cell>
          <cell r="AF861" t="str">
            <v/>
          </cell>
        </row>
        <row r="862">
          <cell r="Y862">
            <v>846</v>
          </cell>
          <cell r="Z862">
            <v>1.1231815442442894E-2</v>
          </cell>
          <cell r="AA862">
            <v>-0.38580204506999732</v>
          </cell>
          <cell r="AB862" t="str">
            <v/>
          </cell>
          <cell r="AC862" t="e">
            <v>#N/A</v>
          </cell>
          <cell r="AD862">
            <v>775</v>
          </cell>
          <cell r="AE862" t="e">
            <v>#N/A</v>
          </cell>
          <cell r="AF862" t="str">
            <v/>
          </cell>
        </row>
        <row r="863">
          <cell r="Y863">
            <v>847</v>
          </cell>
          <cell r="Z863">
            <v>0.30043802969157696</v>
          </cell>
          <cell r="AA863">
            <v>-8.8426986910660893E-2</v>
          </cell>
          <cell r="AB863" t="str">
            <v/>
          </cell>
          <cell r="AC863" t="e">
            <v>#N/A</v>
          </cell>
          <cell r="AD863">
            <v>776</v>
          </cell>
          <cell r="AE863" t="e">
            <v>#N/A</v>
          </cell>
          <cell r="AF863" t="str">
            <v/>
          </cell>
        </row>
        <row r="864">
          <cell r="Y864">
            <v>848</v>
          </cell>
          <cell r="Z864">
            <v>0.20261015556752682</v>
          </cell>
          <cell r="AA864">
            <v>-0.14069016420391911</v>
          </cell>
          <cell r="AB864" t="str">
            <v/>
          </cell>
          <cell r="AC864" t="e">
            <v>#N/A</v>
          </cell>
          <cell r="AD864">
            <v>777</v>
          </cell>
          <cell r="AE864" t="e">
            <v>#N/A</v>
          </cell>
          <cell r="AF864" t="str">
            <v/>
          </cell>
        </row>
        <row r="865">
          <cell r="Y865">
            <v>849</v>
          </cell>
          <cell r="Z865">
            <v>0.1896072905510664</v>
          </cell>
          <cell r="AA865">
            <v>-0.14863632838170213</v>
          </cell>
          <cell r="AB865" t="str">
            <v/>
          </cell>
          <cell r="AC865" t="e">
            <v>#N/A</v>
          </cell>
          <cell r="AD865">
            <v>778</v>
          </cell>
          <cell r="AE865" t="e">
            <v>#N/A</v>
          </cell>
          <cell r="AF865" t="str">
            <v/>
          </cell>
        </row>
        <row r="866">
          <cell r="Y866">
            <v>850</v>
          </cell>
          <cell r="Z866">
            <v>0.37040544115006924</v>
          </cell>
          <cell r="AA866">
            <v>-5.5911977140401262E-2</v>
          </cell>
          <cell r="AB866" t="str">
            <v/>
          </cell>
          <cell r="AC866" t="e">
            <v>#N/A</v>
          </cell>
          <cell r="AD866">
            <v>779</v>
          </cell>
          <cell r="AE866" t="e">
            <v>#N/A</v>
          </cell>
          <cell r="AF866" t="str">
            <v/>
          </cell>
        </row>
        <row r="867">
          <cell r="Y867">
            <v>851</v>
          </cell>
          <cell r="Z867">
            <v>0.22677142731845379</v>
          </cell>
          <cell r="AA867">
            <v>-0.1266922822940893</v>
          </cell>
          <cell r="AB867" t="str">
            <v/>
          </cell>
          <cell r="AC867" t="e">
            <v>#N/A</v>
          </cell>
          <cell r="AD867">
            <v>780</v>
          </cell>
          <cell r="AE867" t="e">
            <v>#N/A</v>
          </cell>
          <cell r="AF867" t="str">
            <v/>
          </cell>
        </row>
        <row r="868">
          <cell r="Y868">
            <v>852</v>
          </cell>
          <cell r="Z868">
            <v>0.2212130930274725</v>
          </cell>
          <cell r="AA868">
            <v>-0.12983304927155992</v>
          </cell>
          <cell r="AB868" t="str">
            <v/>
          </cell>
          <cell r="AC868" t="e">
            <v>#N/A</v>
          </cell>
          <cell r="AD868">
            <v>781</v>
          </cell>
          <cell r="AE868" t="e">
            <v>#N/A</v>
          </cell>
          <cell r="AF868" t="str">
            <v/>
          </cell>
        </row>
        <row r="869">
          <cell r="Y869">
            <v>853</v>
          </cell>
          <cell r="Z869">
            <v>0.8060449343174696</v>
          </cell>
          <cell r="AA869">
            <v>0.14594352729564991</v>
          </cell>
          <cell r="AB869" t="str">
            <v/>
          </cell>
          <cell r="AC869" t="e">
            <v>#N/A</v>
          </cell>
          <cell r="AD869">
            <v>782</v>
          </cell>
          <cell r="AE869" t="e">
            <v>#N/A</v>
          </cell>
          <cell r="AF869" t="str">
            <v/>
          </cell>
        </row>
        <row r="870">
          <cell r="Y870">
            <v>854</v>
          </cell>
          <cell r="Z870">
            <v>0.82175884209573269</v>
          </cell>
          <cell r="AA870">
            <v>0.15586143594241941</v>
          </cell>
          <cell r="AB870" t="str">
            <v/>
          </cell>
          <cell r="AC870" t="e">
            <v>#N/A</v>
          </cell>
          <cell r="AD870">
            <v>783</v>
          </cell>
          <cell r="AE870" t="e">
            <v>#N/A</v>
          </cell>
          <cell r="AF870" t="str">
            <v/>
          </cell>
        </row>
        <row r="871">
          <cell r="Y871">
            <v>855</v>
          </cell>
          <cell r="Z871">
            <v>0.10382227413356304</v>
          </cell>
          <cell r="AA871">
            <v>-0.21299049962994782</v>
          </cell>
          <cell r="AB871" t="str">
            <v/>
          </cell>
          <cell r="AC871" t="e">
            <v>#N/A</v>
          </cell>
          <cell r="AD871">
            <v>784</v>
          </cell>
          <cell r="AE871" t="e">
            <v>#N/A</v>
          </cell>
          <cell r="AF871" t="str">
            <v/>
          </cell>
        </row>
        <row r="872">
          <cell r="Y872">
            <v>856</v>
          </cell>
          <cell r="Z872">
            <v>9.1025194153189659E-2</v>
          </cell>
          <cell r="AA872">
            <v>-0.22556633338620105</v>
          </cell>
          <cell r="AB872" t="str">
            <v/>
          </cell>
          <cell r="AC872" t="e">
            <v>#N/A</v>
          </cell>
          <cell r="AD872">
            <v>785</v>
          </cell>
          <cell r="AE872" t="e">
            <v>#N/A</v>
          </cell>
          <cell r="AF872" t="str">
            <v/>
          </cell>
        </row>
        <row r="873">
          <cell r="Y873">
            <v>857</v>
          </cell>
          <cell r="Z873">
            <v>0.12485942058265209</v>
          </cell>
          <cell r="AA873">
            <v>-0.19456001286822799</v>
          </cell>
          <cell r="AB873" t="str">
            <v/>
          </cell>
          <cell r="AC873" t="e">
            <v>#N/A</v>
          </cell>
          <cell r="AD873">
            <v>786</v>
          </cell>
          <cell r="AE873" t="e">
            <v>#N/A</v>
          </cell>
          <cell r="AF873" t="str">
            <v/>
          </cell>
        </row>
        <row r="874">
          <cell r="Y874">
            <v>858</v>
          </cell>
          <cell r="Z874">
            <v>0.828998988494277</v>
          </cell>
          <cell r="AA874">
            <v>0.16061598121899312</v>
          </cell>
          <cell r="AB874" t="str">
            <v/>
          </cell>
          <cell r="AC874" t="e">
            <v>#N/A</v>
          </cell>
          <cell r="AD874">
            <v>787</v>
          </cell>
          <cell r="AE874" t="e">
            <v>#N/A</v>
          </cell>
          <cell r="AF874" t="str">
            <v/>
          </cell>
        </row>
        <row r="875">
          <cell r="Y875">
            <v>859</v>
          </cell>
          <cell r="Z875">
            <v>0.66192962042987347</v>
          </cell>
          <cell r="AA875">
            <v>7.0610130334868612E-2</v>
          </cell>
          <cell r="AB875" t="str">
            <v/>
          </cell>
          <cell r="AC875" t="e">
            <v>#N/A</v>
          </cell>
          <cell r="AD875">
            <v>788</v>
          </cell>
          <cell r="AE875" t="e">
            <v>#N/A</v>
          </cell>
          <cell r="AF875" t="str">
            <v/>
          </cell>
        </row>
        <row r="876">
          <cell r="Y876">
            <v>860</v>
          </cell>
          <cell r="Z876">
            <v>0.80938380025327206</v>
          </cell>
          <cell r="AA876">
            <v>0.14800811456501178</v>
          </cell>
          <cell r="AB876" t="str">
            <v/>
          </cell>
          <cell r="AC876" t="e">
            <v>#N/A</v>
          </cell>
          <cell r="AD876">
            <v>789</v>
          </cell>
          <cell r="AE876" t="e">
            <v>#N/A</v>
          </cell>
          <cell r="AF876" t="str">
            <v/>
          </cell>
        </row>
        <row r="877">
          <cell r="Y877">
            <v>861</v>
          </cell>
          <cell r="Z877">
            <v>0.52452212385833263</v>
          </cell>
          <cell r="AA877">
            <v>1.0396514218101253E-2</v>
          </cell>
          <cell r="AB877" t="str">
            <v/>
          </cell>
          <cell r="AC877" t="e">
            <v>#N/A</v>
          </cell>
          <cell r="AD877">
            <v>790</v>
          </cell>
          <cell r="AE877" t="e">
            <v>#N/A</v>
          </cell>
          <cell r="AF877" t="str">
            <v/>
          </cell>
        </row>
        <row r="878">
          <cell r="Y878">
            <v>862</v>
          </cell>
          <cell r="Z878">
            <v>5.7370936498045921E-2</v>
          </cell>
          <cell r="AA878">
            <v>-0.26660107244063264</v>
          </cell>
          <cell r="AB878" t="str">
            <v/>
          </cell>
          <cell r="AC878" t="e">
            <v>#N/A</v>
          </cell>
          <cell r="AD878">
            <v>791</v>
          </cell>
          <cell r="AE878" t="e">
            <v>#N/A</v>
          </cell>
          <cell r="AF878" t="str">
            <v/>
          </cell>
        </row>
        <row r="879">
          <cell r="Y879">
            <v>863</v>
          </cell>
          <cell r="Z879">
            <v>0.11080263368785381</v>
          </cell>
          <cell r="AA879">
            <v>-0.20660146015781186</v>
          </cell>
          <cell r="AB879" t="str">
            <v/>
          </cell>
          <cell r="AC879" t="e">
            <v>#N/A</v>
          </cell>
          <cell r="AD879">
            <v>792</v>
          </cell>
          <cell r="AE879" t="e">
            <v>#N/A</v>
          </cell>
          <cell r="AF879" t="str">
            <v/>
          </cell>
        </row>
        <row r="880">
          <cell r="Y880">
            <v>864</v>
          </cell>
          <cell r="Z880">
            <v>0.77731277607381344</v>
          </cell>
          <cell r="AA880">
            <v>0.12899575103644978</v>
          </cell>
          <cell r="AB880" t="str">
            <v/>
          </cell>
          <cell r="AC880" t="e">
            <v>#N/A</v>
          </cell>
          <cell r="AD880">
            <v>793</v>
          </cell>
          <cell r="AE880" t="e">
            <v>#N/A</v>
          </cell>
          <cell r="AF880" t="str">
            <v/>
          </cell>
        </row>
        <row r="881">
          <cell r="Y881">
            <v>865</v>
          </cell>
          <cell r="Z881">
            <v>0.86580422334372997</v>
          </cell>
          <cell r="AA881">
            <v>0.18707898961402711</v>
          </cell>
          <cell r="AB881" t="str">
            <v/>
          </cell>
          <cell r="AC881" t="e">
            <v>#N/A</v>
          </cell>
          <cell r="AD881">
            <v>794</v>
          </cell>
          <cell r="AE881" t="e">
            <v>#N/A</v>
          </cell>
          <cell r="AF881" t="str">
            <v/>
          </cell>
        </row>
        <row r="882">
          <cell r="Y882">
            <v>866</v>
          </cell>
          <cell r="Z882">
            <v>0.4888922031968832</v>
          </cell>
          <cell r="AA882">
            <v>-4.7069541056930881E-3</v>
          </cell>
          <cell r="AB882" t="str">
            <v/>
          </cell>
          <cell r="AC882" t="e">
            <v>#N/A</v>
          </cell>
          <cell r="AD882">
            <v>795</v>
          </cell>
          <cell r="AE882" t="e">
            <v>#N/A</v>
          </cell>
          <cell r="AF882" t="str">
            <v/>
          </cell>
        </row>
        <row r="883">
          <cell r="Y883">
            <v>867</v>
          </cell>
          <cell r="Z883">
            <v>0.38756747357547283</v>
          </cell>
          <cell r="AA883">
            <v>-4.8286146588704913E-2</v>
          </cell>
          <cell r="AB883" t="str">
            <v/>
          </cell>
          <cell r="AC883" t="e">
            <v>#N/A</v>
          </cell>
          <cell r="AD883">
            <v>796</v>
          </cell>
          <cell r="AE883" t="e">
            <v>#N/A</v>
          </cell>
          <cell r="AF883" t="str">
            <v/>
          </cell>
        </row>
        <row r="884">
          <cell r="Y884">
            <v>868</v>
          </cell>
          <cell r="Z884">
            <v>0.77413188479840755</v>
          </cell>
          <cell r="AA884">
            <v>0.12719970799785851</v>
          </cell>
          <cell r="AB884" t="str">
            <v/>
          </cell>
          <cell r="AC884" t="e">
            <v>#N/A</v>
          </cell>
          <cell r="AD884">
            <v>797</v>
          </cell>
          <cell r="AE884" t="e">
            <v>#N/A</v>
          </cell>
          <cell r="AF884" t="str">
            <v/>
          </cell>
        </row>
        <row r="885">
          <cell r="Y885">
            <v>869</v>
          </cell>
          <cell r="Z885">
            <v>0.91169857792556286</v>
          </cell>
          <cell r="AA885">
            <v>0.22840954546548919</v>
          </cell>
          <cell r="AB885" t="str">
            <v/>
          </cell>
          <cell r="AC885" t="e">
            <v>#N/A</v>
          </cell>
          <cell r="AD885">
            <v>798</v>
          </cell>
          <cell r="AE885" t="e">
            <v>#N/A</v>
          </cell>
          <cell r="AF885" t="str">
            <v/>
          </cell>
        </row>
        <row r="886">
          <cell r="Y886">
            <v>870</v>
          </cell>
          <cell r="Z886">
            <v>0.63133714161813259</v>
          </cell>
          <cell r="AA886">
            <v>5.6692421025860751E-2</v>
          </cell>
          <cell r="AB886" t="str">
            <v/>
          </cell>
          <cell r="AC886" t="e">
            <v>#N/A</v>
          </cell>
          <cell r="AD886">
            <v>799</v>
          </cell>
          <cell r="AE886" t="e">
            <v>#N/A</v>
          </cell>
          <cell r="AF886" t="str">
            <v/>
          </cell>
        </row>
        <row r="887">
          <cell r="Y887">
            <v>871</v>
          </cell>
          <cell r="Z887">
            <v>0.62356416694819927</v>
          </cell>
          <cell r="AA887">
            <v>5.3220227221272683E-2</v>
          </cell>
          <cell r="AB887" t="str">
            <v/>
          </cell>
          <cell r="AC887" t="e">
            <v>#N/A</v>
          </cell>
          <cell r="AD887">
            <v>800</v>
          </cell>
          <cell r="AE887" t="e">
            <v>#N/A</v>
          </cell>
          <cell r="AF887" t="str">
            <v/>
          </cell>
        </row>
        <row r="888">
          <cell r="Y888">
            <v>872</v>
          </cell>
          <cell r="Z888">
            <v>0.77581616304814816</v>
          </cell>
          <cell r="AA888">
            <v>0.12814890867411449</v>
          </cell>
          <cell r="AB888" t="str">
            <v/>
          </cell>
          <cell r="AC888" t="e">
            <v>#N/A</v>
          </cell>
          <cell r="AD888">
            <v>801</v>
          </cell>
          <cell r="AE888" t="e">
            <v>#N/A</v>
          </cell>
          <cell r="AF888" t="str">
            <v/>
          </cell>
        </row>
        <row r="889">
          <cell r="Y889">
            <v>873</v>
          </cell>
          <cell r="Z889">
            <v>0.71609160117805004</v>
          </cell>
          <cell r="AA889">
            <v>9.6562213474310418E-2</v>
          </cell>
          <cell r="AB889" t="str">
            <v/>
          </cell>
          <cell r="AC889" t="e">
            <v>#N/A</v>
          </cell>
          <cell r="AD889">
            <v>802</v>
          </cell>
          <cell r="AE889" t="e">
            <v>#N/A</v>
          </cell>
          <cell r="AF889" t="str">
            <v/>
          </cell>
        </row>
        <row r="890">
          <cell r="Y890">
            <v>874</v>
          </cell>
          <cell r="Z890">
            <v>0.32097131572663784</v>
          </cell>
          <cell r="AA890">
            <v>-7.8596708028277104E-2</v>
          </cell>
          <cell r="AB890" t="str">
            <v/>
          </cell>
          <cell r="AC890" t="e">
            <v>#N/A</v>
          </cell>
          <cell r="AD890">
            <v>803</v>
          </cell>
          <cell r="AE890" t="e">
            <v>#N/A</v>
          </cell>
          <cell r="AF890" t="str">
            <v/>
          </cell>
        </row>
        <row r="891">
          <cell r="Y891">
            <v>875</v>
          </cell>
          <cell r="Z891">
            <v>0.32989348284900188</v>
          </cell>
          <cell r="AA891">
            <v>-7.4408616226816743E-2</v>
          </cell>
          <cell r="AB891" t="str">
            <v/>
          </cell>
          <cell r="AC891" t="e">
            <v>#N/A</v>
          </cell>
          <cell r="AD891">
            <v>804</v>
          </cell>
          <cell r="AE891" t="e">
            <v>#N/A</v>
          </cell>
          <cell r="AF891" t="str">
            <v/>
          </cell>
        </row>
        <row r="892">
          <cell r="Y892">
            <v>876</v>
          </cell>
          <cell r="Z892">
            <v>0.11710529588162899</v>
          </cell>
          <cell r="AA892">
            <v>-0.20107611459085686</v>
          </cell>
          <cell r="AB892" t="str">
            <v/>
          </cell>
          <cell r="AC892" t="e">
            <v>#N/A</v>
          </cell>
          <cell r="AD892">
            <v>805</v>
          </cell>
          <cell r="AE892" t="e">
            <v>#N/A</v>
          </cell>
          <cell r="AF892" t="str">
            <v/>
          </cell>
        </row>
        <row r="893">
          <cell r="Y893">
            <v>877</v>
          </cell>
          <cell r="Z893">
            <v>0.48118513636291027</v>
          </cell>
          <cell r="AA893">
            <v>-7.9747683877821971E-3</v>
          </cell>
          <cell r="AB893" t="str">
            <v/>
          </cell>
          <cell r="AC893" t="e">
            <v>#N/A</v>
          </cell>
          <cell r="AD893">
            <v>806</v>
          </cell>
          <cell r="AE893" t="e">
            <v>#N/A</v>
          </cell>
          <cell r="AF893" t="str">
            <v/>
          </cell>
        </row>
        <row r="894">
          <cell r="Y894">
            <v>878</v>
          </cell>
          <cell r="Z894">
            <v>0.6190358754247427</v>
          </cell>
          <cell r="AA894">
            <v>5.120783353358057E-2</v>
          </cell>
          <cell r="AB894" t="str">
            <v/>
          </cell>
          <cell r="AC894" t="e">
            <v>#N/A</v>
          </cell>
          <cell r="AD894">
            <v>807</v>
          </cell>
          <cell r="AE894" t="e">
            <v>#N/A</v>
          </cell>
          <cell r="AF894" t="str">
            <v/>
          </cell>
        </row>
        <row r="895">
          <cell r="Y895">
            <v>879</v>
          </cell>
          <cell r="Z895">
            <v>0.80171380750834942</v>
          </cell>
          <cell r="AA895">
            <v>0.14329736929682324</v>
          </cell>
          <cell r="AB895" t="str">
            <v/>
          </cell>
          <cell r="AC895" t="e">
            <v>#N/A</v>
          </cell>
          <cell r="AD895">
            <v>808</v>
          </cell>
          <cell r="AE895" t="e">
            <v>#N/A</v>
          </cell>
          <cell r="AF895" t="str">
            <v/>
          </cell>
        </row>
        <row r="896">
          <cell r="Y896">
            <v>880</v>
          </cell>
          <cell r="Z896">
            <v>0.49736299179494381</v>
          </cell>
          <cell r="AA896">
            <v>-1.1173019473067829E-3</v>
          </cell>
          <cell r="AB896" t="str">
            <v/>
          </cell>
          <cell r="AC896" t="e">
            <v>#N/A</v>
          </cell>
          <cell r="AD896">
            <v>809</v>
          </cell>
          <cell r="AE896" t="e">
            <v>#N/A</v>
          </cell>
          <cell r="AF896" t="str">
            <v/>
          </cell>
        </row>
        <row r="897">
          <cell r="Y897">
            <v>881</v>
          </cell>
          <cell r="Z897">
            <v>0.3836683314293623</v>
          </cell>
          <cell r="AA897">
            <v>-5.0009542083366984E-2</v>
          </cell>
          <cell r="AB897" t="str">
            <v/>
          </cell>
          <cell r="AC897" t="e">
            <v>#N/A</v>
          </cell>
          <cell r="AD897">
            <v>810</v>
          </cell>
          <cell r="AE897" t="e">
            <v>#N/A</v>
          </cell>
          <cell r="AF897" t="str">
            <v/>
          </cell>
        </row>
        <row r="898">
          <cell r="Y898">
            <v>882</v>
          </cell>
          <cell r="Z898">
            <v>0.30198193155229092</v>
          </cell>
          <cell r="AA898">
            <v>-8.7677780403926431E-2</v>
          </cell>
          <cell r="AB898" t="str">
            <v/>
          </cell>
          <cell r="AC898" t="e">
            <v>#N/A</v>
          </cell>
          <cell r="AD898">
            <v>811</v>
          </cell>
          <cell r="AE898" t="e">
            <v>#N/A</v>
          </cell>
          <cell r="AF898" t="str">
            <v/>
          </cell>
        </row>
        <row r="899">
          <cell r="Y899">
            <v>883</v>
          </cell>
          <cell r="Z899">
            <v>0.24128801934421062</v>
          </cell>
          <cell r="AA899">
            <v>-0.11868761015011088</v>
          </cell>
          <cell r="AB899" t="str">
            <v/>
          </cell>
          <cell r="AC899" t="e">
            <v>#N/A</v>
          </cell>
          <cell r="AD899">
            <v>812</v>
          </cell>
          <cell r="AE899" t="e">
            <v>#N/A</v>
          </cell>
          <cell r="AF899" t="str">
            <v/>
          </cell>
        </row>
        <row r="900">
          <cell r="Y900">
            <v>884</v>
          </cell>
          <cell r="Z900">
            <v>0.33018635772168636</v>
          </cell>
          <cell r="AA900">
            <v>-7.4271925170783473E-2</v>
          </cell>
          <cell r="AB900" t="str">
            <v/>
          </cell>
          <cell r="AC900" t="e">
            <v>#N/A</v>
          </cell>
          <cell r="AD900">
            <v>813</v>
          </cell>
          <cell r="AE900" t="e">
            <v>#N/A</v>
          </cell>
          <cell r="AF900" t="str">
            <v/>
          </cell>
        </row>
        <row r="901">
          <cell r="Y901">
            <v>885</v>
          </cell>
          <cell r="Z901">
            <v>0.86963951401412487</v>
          </cell>
          <cell r="AA901">
            <v>0.1901070879307169</v>
          </cell>
          <cell r="AB901" t="str">
            <v/>
          </cell>
          <cell r="AC901" t="e">
            <v>#N/A</v>
          </cell>
          <cell r="AD901">
            <v>814</v>
          </cell>
          <cell r="AE901" t="e">
            <v>#N/A</v>
          </cell>
          <cell r="AF901" t="str">
            <v/>
          </cell>
        </row>
        <row r="902">
          <cell r="Y902">
            <v>886</v>
          </cell>
          <cell r="Z902">
            <v>0.44545493088662624</v>
          </cell>
          <cell r="AA902">
            <v>-2.3183087986462129E-2</v>
          </cell>
          <cell r="AB902" t="str">
            <v/>
          </cell>
          <cell r="AC902" t="e">
            <v>#N/A</v>
          </cell>
          <cell r="AD902">
            <v>815</v>
          </cell>
          <cell r="AE902" t="e">
            <v>#N/A</v>
          </cell>
          <cell r="AF902" t="str">
            <v/>
          </cell>
        </row>
        <row r="903">
          <cell r="Y903">
            <v>887</v>
          </cell>
          <cell r="Z903">
            <v>9.9780363962054253E-2</v>
          </cell>
          <cell r="AA903">
            <v>-0.21683346352382368</v>
          </cell>
          <cell r="AB903" t="str">
            <v/>
          </cell>
          <cell r="AC903" t="e">
            <v>#N/A</v>
          </cell>
          <cell r="AD903">
            <v>816</v>
          </cell>
          <cell r="AE903" t="e">
            <v>#N/A</v>
          </cell>
          <cell r="AF903" t="str">
            <v/>
          </cell>
        </row>
        <row r="904">
          <cell r="Y904">
            <v>888</v>
          </cell>
          <cell r="Z904">
            <v>0.9367652740329504</v>
          </cell>
          <cell r="AA904">
            <v>0.25830847698239212</v>
          </cell>
          <cell r="AB904" t="str">
            <v/>
          </cell>
          <cell r="AC904" t="e">
            <v>#N/A</v>
          </cell>
          <cell r="AD904">
            <v>817</v>
          </cell>
          <cell r="AE904" t="e">
            <v>#N/A</v>
          </cell>
          <cell r="AF904" t="str">
            <v/>
          </cell>
        </row>
        <row r="905">
          <cell r="Y905">
            <v>889</v>
          </cell>
          <cell r="Z905">
            <v>0.91827806644141674</v>
          </cell>
          <cell r="AA905">
            <v>0.23555835136202077</v>
          </cell>
          <cell r="AB905" t="str">
            <v/>
          </cell>
          <cell r="AC905" t="e">
            <v>#N/A</v>
          </cell>
          <cell r="AD905">
            <v>818</v>
          </cell>
          <cell r="AE905" t="e">
            <v>#N/A</v>
          </cell>
          <cell r="AF905" t="str">
            <v/>
          </cell>
        </row>
        <row r="906">
          <cell r="Y906">
            <v>890</v>
          </cell>
          <cell r="Z906">
            <v>0.60202903114259243</v>
          </cell>
          <cell r="AA906">
            <v>4.3711804227258746E-2</v>
          </cell>
          <cell r="AB906" t="str">
            <v/>
          </cell>
          <cell r="AC906" t="e">
            <v>#N/A</v>
          </cell>
          <cell r="AD906">
            <v>819</v>
          </cell>
          <cell r="AE906" t="e">
            <v>#N/A</v>
          </cell>
          <cell r="AF906" t="str">
            <v/>
          </cell>
        </row>
        <row r="907">
          <cell r="Y907">
            <v>891</v>
          </cell>
          <cell r="Z907">
            <v>0.13780332915484905</v>
          </cell>
          <cell r="AA907">
            <v>-0.18428449401655383</v>
          </cell>
          <cell r="AB907" t="str">
            <v/>
          </cell>
          <cell r="AC907" t="e">
            <v>#N/A</v>
          </cell>
          <cell r="AD907">
            <v>820</v>
          </cell>
          <cell r="AE907" t="e">
            <v>#N/A</v>
          </cell>
          <cell r="AF907" t="str">
            <v/>
          </cell>
        </row>
        <row r="908">
          <cell r="Y908">
            <v>892</v>
          </cell>
          <cell r="Z908">
            <v>8.2991769537329674E-2</v>
          </cell>
          <cell r="AA908">
            <v>-0.23414583764260358</v>
          </cell>
          <cell r="AB908" t="str">
            <v/>
          </cell>
          <cell r="AC908" t="e">
            <v>#N/A</v>
          </cell>
          <cell r="AD908">
            <v>821</v>
          </cell>
          <cell r="AE908" t="e">
            <v>#N/A</v>
          </cell>
          <cell r="AF908" t="str">
            <v/>
          </cell>
        </row>
        <row r="909">
          <cell r="Y909">
            <v>893</v>
          </cell>
          <cell r="Z909">
            <v>0.77426630072295666</v>
          </cell>
          <cell r="AA909">
            <v>0.12727531263611674</v>
          </cell>
          <cell r="AB909" t="str">
            <v/>
          </cell>
          <cell r="AC909" t="e">
            <v>#N/A</v>
          </cell>
          <cell r="AD909">
            <v>822</v>
          </cell>
          <cell r="AE909" t="e">
            <v>#N/A</v>
          </cell>
          <cell r="AF909" t="str">
            <v/>
          </cell>
        </row>
        <row r="910">
          <cell r="Y910">
            <v>894</v>
          </cell>
          <cell r="Z910">
            <v>7.2691475972533226E-2</v>
          </cell>
          <cell r="AA910">
            <v>-0.24611483046502008</v>
          </cell>
          <cell r="AB910" t="str">
            <v/>
          </cell>
          <cell r="AC910" t="e">
            <v>#N/A</v>
          </cell>
          <cell r="AD910">
            <v>823</v>
          </cell>
          <cell r="AE910" t="e">
            <v>#N/A</v>
          </cell>
          <cell r="AF910" t="str">
            <v/>
          </cell>
        </row>
        <row r="911">
          <cell r="Y911">
            <v>895</v>
          </cell>
          <cell r="Z911">
            <v>0.70471451990306377</v>
          </cell>
          <cell r="AA911">
            <v>9.0940088480311085E-2</v>
          </cell>
          <cell r="AB911" t="str">
            <v/>
          </cell>
          <cell r="AC911" t="e">
            <v>#N/A</v>
          </cell>
          <cell r="AD911">
            <v>824</v>
          </cell>
          <cell r="AE911" t="e">
            <v>#N/A</v>
          </cell>
          <cell r="AF911" t="str">
            <v/>
          </cell>
        </row>
        <row r="912">
          <cell r="Y912">
            <v>896</v>
          </cell>
          <cell r="Z912">
            <v>0.36031939648091793</v>
          </cell>
          <cell r="AA912">
            <v>-6.0446309752620025E-2</v>
          </cell>
          <cell r="AB912" t="str">
            <v/>
          </cell>
          <cell r="AC912" t="e">
            <v>#N/A</v>
          </cell>
          <cell r="AD912">
            <v>825</v>
          </cell>
          <cell r="AE912" t="e">
            <v>#N/A</v>
          </cell>
          <cell r="AF912" t="str">
            <v/>
          </cell>
        </row>
        <row r="913">
          <cell r="Y913">
            <v>897</v>
          </cell>
          <cell r="Z913">
            <v>0.64896133355796337</v>
          </cell>
          <cell r="AA913">
            <v>6.4657308225803026E-2</v>
          </cell>
          <cell r="AB913" t="str">
            <v/>
          </cell>
          <cell r="AC913" t="e">
            <v>#N/A</v>
          </cell>
          <cell r="AD913">
            <v>826</v>
          </cell>
          <cell r="AE913" t="e">
            <v>#N/A</v>
          </cell>
          <cell r="AF913" t="str">
            <v/>
          </cell>
        </row>
        <row r="914">
          <cell r="Y914">
            <v>898</v>
          </cell>
          <cell r="Z914">
            <v>0.77207696996629238</v>
          </cell>
          <cell r="AA914">
            <v>0.12604703266251993</v>
          </cell>
          <cell r="AB914" t="str">
            <v/>
          </cell>
          <cell r="AC914" t="e">
            <v>#N/A</v>
          </cell>
          <cell r="AD914">
            <v>827</v>
          </cell>
          <cell r="AE914" t="e">
            <v>#N/A</v>
          </cell>
          <cell r="AF914" t="str">
            <v/>
          </cell>
        </row>
        <row r="915">
          <cell r="Y915">
            <v>899</v>
          </cell>
          <cell r="Z915">
            <v>0.73666353337466717</v>
          </cell>
          <cell r="AA915">
            <v>0.10701224332859961</v>
          </cell>
          <cell r="AB915" t="str">
            <v/>
          </cell>
          <cell r="AC915" t="e">
            <v>#N/A</v>
          </cell>
          <cell r="AD915">
            <v>828</v>
          </cell>
          <cell r="AE915" t="e">
            <v>#N/A</v>
          </cell>
          <cell r="AF915" t="str">
            <v/>
          </cell>
        </row>
        <row r="916">
          <cell r="Y916">
            <v>900</v>
          </cell>
          <cell r="Z916">
            <v>0.91037260554730892</v>
          </cell>
          <cell r="AA916">
            <v>0.22701740394344355</v>
          </cell>
          <cell r="AB916" t="str">
            <v/>
          </cell>
          <cell r="AC916" t="e">
            <v>#N/A</v>
          </cell>
          <cell r="AD916">
            <v>829</v>
          </cell>
          <cell r="AE916" t="e">
            <v>#N/A</v>
          </cell>
          <cell r="AF916" t="str">
            <v/>
          </cell>
        </row>
        <row r="917">
          <cell r="Y917">
            <v>901</v>
          </cell>
          <cell r="Z917">
            <v>0.89031696133315563</v>
          </cell>
          <cell r="AA917">
            <v>0.20760631303828661</v>
          </cell>
          <cell r="AB917" t="str">
            <v/>
          </cell>
          <cell r="AC917" t="e">
            <v>#N/A</v>
          </cell>
          <cell r="AD917">
            <v>830</v>
          </cell>
          <cell r="AE917" t="e">
            <v>#N/A</v>
          </cell>
          <cell r="AF917" t="str">
            <v/>
          </cell>
        </row>
        <row r="918">
          <cell r="Y918">
            <v>902</v>
          </cell>
          <cell r="Z918">
            <v>0.18745205365121365</v>
          </cell>
          <cell r="AA918">
            <v>-0.14998525029418591</v>
          </cell>
          <cell r="AB918" t="str">
            <v/>
          </cell>
          <cell r="AC918" t="e">
            <v>#N/A</v>
          </cell>
          <cell r="AD918">
            <v>831</v>
          </cell>
          <cell r="AE918" t="e">
            <v>#N/A</v>
          </cell>
          <cell r="AF918" t="str">
            <v/>
          </cell>
        </row>
        <row r="919">
          <cell r="Y919">
            <v>903</v>
          </cell>
          <cell r="Z919">
            <v>0.97338883392512798</v>
          </cell>
          <cell r="AA919">
            <v>0.32675566237771719</v>
          </cell>
          <cell r="AB919" t="str">
            <v/>
          </cell>
          <cell r="AC919" t="e">
            <v>#N/A</v>
          </cell>
          <cell r="AD919">
            <v>832</v>
          </cell>
          <cell r="AE919" t="e">
            <v>#N/A</v>
          </cell>
          <cell r="AF919" t="str">
            <v/>
          </cell>
        </row>
        <row r="920">
          <cell r="Y920">
            <v>904</v>
          </cell>
          <cell r="Z920">
            <v>0.9933061208575964</v>
          </cell>
          <cell r="AA920">
            <v>0.41806135475175155</v>
          </cell>
          <cell r="AB920" t="str">
            <v/>
          </cell>
          <cell r="AC920" t="e">
            <v>#N/A</v>
          </cell>
          <cell r="AD920">
            <v>833</v>
          </cell>
          <cell r="AE920" t="e">
            <v>#N/A</v>
          </cell>
          <cell r="AF920" t="str">
            <v/>
          </cell>
        </row>
        <row r="921">
          <cell r="Y921">
            <v>905</v>
          </cell>
          <cell r="Z921">
            <v>0.12155553512275219</v>
          </cell>
          <cell r="AA921">
            <v>-0.19730057160132003</v>
          </cell>
          <cell r="AB921" t="str">
            <v/>
          </cell>
          <cell r="AC921" t="e">
            <v>#N/A</v>
          </cell>
          <cell r="AD921">
            <v>834</v>
          </cell>
          <cell r="AE921" t="e">
            <v>#N/A</v>
          </cell>
          <cell r="AF921" t="str">
            <v/>
          </cell>
        </row>
        <row r="922">
          <cell r="Y922">
            <v>906</v>
          </cell>
          <cell r="Z922">
            <v>0.93144947849214077</v>
          </cell>
          <cell r="AA922">
            <v>0.25129370083501895</v>
          </cell>
          <cell r="AB922" t="str">
            <v/>
          </cell>
          <cell r="AC922" t="e">
            <v>#N/A</v>
          </cell>
          <cell r="AD922">
            <v>835</v>
          </cell>
          <cell r="AE922" t="e">
            <v>#N/A</v>
          </cell>
          <cell r="AF922" t="str">
            <v/>
          </cell>
        </row>
        <row r="923">
          <cell r="Y923">
            <v>907</v>
          </cell>
          <cell r="Z923">
            <v>0.89376462809741497</v>
          </cell>
          <cell r="AA923">
            <v>0.21074770952698121</v>
          </cell>
          <cell r="AB923" t="str">
            <v/>
          </cell>
          <cell r="AC923" t="e">
            <v>#N/A</v>
          </cell>
          <cell r="AD923">
            <v>836</v>
          </cell>
          <cell r="AE923" t="e">
            <v>#N/A</v>
          </cell>
          <cell r="AF923" t="str">
            <v/>
          </cell>
        </row>
        <row r="924">
          <cell r="Y924">
            <v>908</v>
          </cell>
          <cell r="Z924">
            <v>0.89991431497037411</v>
          </cell>
          <cell r="AA924">
            <v>0.21653925010267938</v>
          </cell>
          <cell r="AB924" t="str">
            <v/>
          </cell>
          <cell r="AC924" t="e">
            <v>#N/A</v>
          </cell>
          <cell r="AD924">
            <v>837</v>
          </cell>
          <cell r="AE924" t="e">
            <v>#N/A</v>
          </cell>
          <cell r="AF924" t="str">
            <v/>
          </cell>
        </row>
        <row r="925">
          <cell r="Y925">
            <v>909</v>
          </cell>
          <cell r="Z925">
            <v>0.84858983568847179</v>
          </cell>
          <cell r="AA925">
            <v>0.17417008932187558</v>
          </cell>
          <cell r="AB925" t="str">
            <v/>
          </cell>
          <cell r="AC925" t="e">
            <v>#N/A</v>
          </cell>
          <cell r="AD925">
            <v>838</v>
          </cell>
          <cell r="AE925" t="e">
            <v>#N/A</v>
          </cell>
          <cell r="AF925" t="str">
            <v/>
          </cell>
        </row>
        <row r="926">
          <cell r="Y926">
            <v>910</v>
          </cell>
          <cell r="Z926">
            <v>0.3885525818914175</v>
          </cell>
          <cell r="AA926">
            <v>-4.7851535278494499E-2</v>
          </cell>
          <cell r="AB926" t="str">
            <v/>
          </cell>
          <cell r="AC926" t="e">
            <v>#N/A</v>
          </cell>
          <cell r="AD926">
            <v>839</v>
          </cell>
          <cell r="AE926" t="e">
            <v>#N/A</v>
          </cell>
          <cell r="AF926" t="str">
            <v/>
          </cell>
        </row>
        <row r="927">
          <cell r="Y927">
            <v>911</v>
          </cell>
          <cell r="Z927">
            <v>0.87009773962199688</v>
          </cell>
          <cell r="AA927">
            <v>0.19047296824344467</v>
          </cell>
          <cell r="AB927" t="str">
            <v/>
          </cell>
          <cell r="AC927" t="e">
            <v>#N/A</v>
          </cell>
          <cell r="AD927">
            <v>840</v>
          </cell>
          <cell r="AE927" t="e">
            <v>#N/A</v>
          </cell>
          <cell r="AF927" t="str">
            <v/>
          </cell>
        </row>
        <row r="928">
          <cell r="Y928">
            <v>912</v>
          </cell>
          <cell r="Z928">
            <v>0.7074905838817358</v>
          </cell>
          <cell r="AA928">
            <v>9.2302428011240292E-2</v>
          </cell>
          <cell r="AB928" t="str">
            <v/>
          </cell>
          <cell r="AC928" t="e">
            <v>#N/A</v>
          </cell>
          <cell r="AD928">
            <v>841</v>
          </cell>
          <cell r="AE928" t="e">
            <v>#N/A</v>
          </cell>
          <cell r="AF928" t="str">
            <v/>
          </cell>
        </row>
        <row r="929">
          <cell r="Y929">
            <v>913</v>
          </cell>
          <cell r="Z929">
            <v>3.6194948479533195E-2</v>
          </cell>
          <cell r="AA929">
            <v>-0.30369066629845975</v>
          </cell>
          <cell r="AB929" t="str">
            <v/>
          </cell>
          <cell r="AC929" t="e">
            <v>#N/A</v>
          </cell>
          <cell r="AD929">
            <v>842</v>
          </cell>
          <cell r="AE929" t="e">
            <v>#N/A</v>
          </cell>
          <cell r="AF929" t="str">
            <v/>
          </cell>
        </row>
        <row r="930">
          <cell r="Y930">
            <v>914</v>
          </cell>
          <cell r="Z930">
            <v>0.9553296621888876</v>
          </cell>
          <cell r="AA930">
            <v>0.28716413703351806</v>
          </cell>
          <cell r="AB930" t="str">
            <v/>
          </cell>
          <cell r="AC930" t="e">
            <v>#N/A</v>
          </cell>
          <cell r="AD930">
            <v>843</v>
          </cell>
          <cell r="AE930" t="e">
            <v>#N/A</v>
          </cell>
          <cell r="AF930" t="str">
            <v/>
          </cell>
        </row>
        <row r="931">
          <cell r="Y931">
            <v>915</v>
          </cell>
          <cell r="Z931">
            <v>4.1174484416842461E-2</v>
          </cell>
          <cell r="AA931">
            <v>-0.29364317822688585</v>
          </cell>
          <cell r="AB931" t="str">
            <v/>
          </cell>
          <cell r="AC931" t="e">
            <v>#N/A</v>
          </cell>
          <cell r="AD931">
            <v>844</v>
          </cell>
          <cell r="AE931" t="e">
            <v>#N/A</v>
          </cell>
          <cell r="AF931" t="str">
            <v/>
          </cell>
        </row>
        <row r="932">
          <cell r="Y932">
            <v>916</v>
          </cell>
          <cell r="Z932">
            <v>0.37943672202527523</v>
          </cell>
          <cell r="AA932">
            <v>-5.1885793199791537E-2</v>
          </cell>
          <cell r="AB932" t="str">
            <v/>
          </cell>
          <cell r="AC932" t="e">
            <v>#N/A</v>
          </cell>
          <cell r="AD932">
            <v>845</v>
          </cell>
          <cell r="AE932" t="e">
            <v>#N/A</v>
          </cell>
          <cell r="AF932" t="str">
            <v/>
          </cell>
        </row>
        <row r="933">
          <cell r="Y933">
            <v>917</v>
          </cell>
          <cell r="Z933">
            <v>0.15293013863265514</v>
          </cell>
          <cell r="AA933">
            <v>-0.17307864409961726</v>
          </cell>
          <cell r="AB933" t="str">
            <v/>
          </cell>
          <cell r="AC933" t="e">
            <v>#N/A</v>
          </cell>
          <cell r="AD933">
            <v>846</v>
          </cell>
          <cell r="AE933" t="e">
            <v>#N/A</v>
          </cell>
          <cell r="AF933" t="str">
            <v/>
          </cell>
        </row>
        <row r="934">
          <cell r="Y934">
            <v>918</v>
          </cell>
          <cell r="Z934">
            <v>0.3744183536618948</v>
          </cell>
          <cell r="AA934">
            <v>-5.4119222187635832E-2</v>
          </cell>
          <cell r="AB934" t="str">
            <v/>
          </cell>
          <cell r="AC934" t="e">
            <v>#N/A</v>
          </cell>
          <cell r="AD934">
            <v>847</v>
          </cell>
          <cell r="AE934" t="e">
            <v>#N/A</v>
          </cell>
          <cell r="AF934" t="str">
            <v/>
          </cell>
        </row>
        <row r="935">
          <cell r="Y935">
            <v>919</v>
          </cell>
          <cell r="Z935">
            <v>0.40405754558742046</v>
          </cell>
          <cell r="AA935">
            <v>-4.1050562379392662E-2</v>
          </cell>
          <cell r="AB935" t="str">
            <v/>
          </cell>
          <cell r="AC935" t="e">
            <v>#N/A</v>
          </cell>
          <cell r="AD935">
            <v>848</v>
          </cell>
          <cell r="AE935" t="e">
            <v>#N/A</v>
          </cell>
          <cell r="AF935" t="str">
            <v/>
          </cell>
        </row>
        <row r="936">
          <cell r="Y936">
            <v>920</v>
          </cell>
          <cell r="Z936">
            <v>0.70862229727208614</v>
          </cell>
          <cell r="AA936">
            <v>9.2859530663375697E-2</v>
          </cell>
          <cell r="AB936" t="str">
            <v/>
          </cell>
          <cell r="AC936" t="e">
            <v>#N/A</v>
          </cell>
          <cell r="AD936">
            <v>849</v>
          </cell>
          <cell r="AE936" t="e">
            <v>#N/A</v>
          </cell>
          <cell r="AF936" t="str">
            <v/>
          </cell>
        </row>
        <row r="937">
          <cell r="Y937">
            <v>921</v>
          </cell>
          <cell r="Z937">
            <v>0.18481072597205639</v>
          </cell>
          <cell r="AA937">
            <v>-0.15165154987685434</v>
          </cell>
          <cell r="AB937" t="str">
            <v/>
          </cell>
          <cell r="AC937" t="e">
            <v>#N/A</v>
          </cell>
          <cell r="AD937">
            <v>850</v>
          </cell>
          <cell r="AE937" t="e">
            <v>#N/A</v>
          </cell>
          <cell r="AF937" t="str">
            <v/>
          </cell>
        </row>
        <row r="938">
          <cell r="Y938">
            <v>922</v>
          </cell>
          <cell r="Z938">
            <v>0.66226000152528286</v>
          </cell>
          <cell r="AA938">
            <v>7.0762903091579399E-2</v>
          </cell>
          <cell r="AB938" t="str">
            <v/>
          </cell>
          <cell r="AC938" t="e">
            <v>#N/A</v>
          </cell>
          <cell r="AD938">
            <v>851</v>
          </cell>
          <cell r="AE938" t="e">
            <v>#N/A</v>
          </cell>
          <cell r="AF938" t="str">
            <v/>
          </cell>
        </row>
        <row r="939">
          <cell r="Y939">
            <v>923</v>
          </cell>
          <cell r="Z939">
            <v>0.62463284842669964</v>
          </cell>
          <cell r="AA939">
            <v>5.3696245811119273E-2</v>
          </cell>
          <cell r="AB939" t="str">
            <v/>
          </cell>
          <cell r="AC939" t="e">
            <v>#N/A</v>
          </cell>
          <cell r="AD939">
            <v>852</v>
          </cell>
          <cell r="AE939" t="e">
            <v>#N/A</v>
          </cell>
          <cell r="AF939" t="str">
            <v/>
          </cell>
        </row>
        <row r="940">
          <cell r="Y940">
            <v>924</v>
          </cell>
          <cell r="Z940">
            <v>0.60449402593076229</v>
          </cell>
          <cell r="AA940">
            <v>4.4792629953142683E-2</v>
          </cell>
          <cell r="AB940" t="str">
            <v/>
          </cell>
          <cell r="AC940" t="e">
            <v>#N/A</v>
          </cell>
          <cell r="AD940">
            <v>853</v>
          </cell>
          <cell r="AE940" t="e">
            <v>#N/A</v>
          </cell>
          <cell r="AF940" t="str">
            <v/>
          </cell>
        </row>
        <row r="941">
          <cell r="Y941">
            <v>925</v>
          </cell>
          <cell r="Z941">
            <v>0.11772996000945568</v>
          </cell>
          <cell r="AA941">
            <v>-0.20054010789840745</v>
          </cell>
          <cell r="AB941" t="str">
            <v/>
          </cell>
          <cell r="AC941" t="e">
            <v>#N/A</v>
          </cell>
          <cell r="AD941">
            <v>854</v>
          </cell>
          <cell r="AE941" t="e">
            <v>#N/A</v>
          </cell>
          <cell r="AF941" t="str">
            <v/>
          </cell>
        </row>
        <row r="942">
          <cell r="Y942">
            <v>926</v>
          </cell>
          <cell r="Z942">
            <v>0.13058403693139553</v>
          </cell>
          <cell r="AA942">
            <v>-0.18992891162766426</v>
          </cell>
          <cell r="AB942" t="str">
            <v/>
          </cell>
          <cell r="AC942" t="e">
            <v>#N/A</v>
          </cell>
          <cell r="AD942">
            <v>855</v>
          </cell>
          <cell r="AE942" t="e">
            <v>#N/A</v>
          </cell>
          <cell r="AF942" t="str">
            <v/>
          </cell>
        </row>
        <row r="943">
          <cell r="Y943">
            <v>927</v>
          </cell>
          <cell r="Z943">
            <v>6.6906435415148735E-2</v>
          </cell>
          <cell r="AA943">
            <v>-0.2534168422488573</v>
          </cell>
          <cell r="AB943" t="str">
            <v/>
          </cell>
          <cell r="AC943" t="e">
            <v>#N/A</v>
          </cell>
          <cell r="AD943">
            <v>856</v>
          </cell>
          <cell r="AE943" t="e">
            <v>#N/A</v>
          </cell>
          <cell r="AF943" t="str">
            <v/>
          </cell>
        </row>
        <row r="944">
          <cell r="Y944">
            <v>928</v>
          </cell>
          <cell r="Z944">
            <v>0.22393514774739742</v>
          </cell>
          <cell r="AA944">
            <v>-0.12828940356391344</v>
          </cell>
          <cell r="AB944" t="str">
            <v/>
          </cell>
          <cell r="AC944" t="e">
            <v>#N/A</v>
          </cell>
          <cell r="AD944">
            <v>857</v>
          </cell>
          <cell r="AE944" t="e">
            <v>#N/A</v>
          </cell>
          <cell r="AF944" t="str">
            <v/>
          </cell>
        </row>
        <row r="945">
          <cell r="Y945">
            <v>929</v>
          </cell>
          <cell r="Z945">
            <v>0.38863089494407177</v>
          </cell>
          <cell r="AA945">
            <v>-4.7816998636649226E-2</v>
          </cell>
          <cell r="AB945" t="str">
            <v/>
          </cell>
          <cell r="AC945" t="e">
            <v>#N/A</v>
          </cell>
          <cell r="AD945">
            <v>858</v>
          </cell>
          <cell r="AE945" t="e">
            <v>#N/A</v>
          </cell>
          <cell r="AF945" t="str">
            <v/>
          </cell>
        </row>
        <row r="946">
          <cell r="Y946">
            <v>930</v>
          </cell>
          <cell r="Z946">
            <v>1.642351970076561E-3</v>
          </cell>
          <cell r="AA946">
            <v>-0.49690952317182047</v>
          </cell>
          <cell r="AB946" t="str">
            <v/>
          </cell>
          <cell r="AC946" t="e">
            <v>#N/A</v>
          </cell>
          <cell r="AD946">
            <v>859</v>
          </cell>
          <cell r="AE946" t="e">
            <v>#N/A</v>
          </cell>
          <cell r="AF946" t="str">
            <v/>
          </cell>
        </row>
        <row r="947">
          <cell r="Y947">
            <v>931</v>
          </cell>
          <cell r="Z947">
            <v>0.5410513412207365</v>
          </cell>
          <cell r="AA947">
            <v>1.7424160271321983E-2</v>
          </cell>
          <cell r="AB947" t="str">
            <v/>
          </cell>
          <cell r="AC947" t="e">
            <v>#N/A</v>
          </cell>
          <cell r="AD947">
            <v>860</v>
          </cell>
          <cell r="AE947" t="e">
            <v>#N/A</v>
          </cell>
          <cell r="AF947" t="str">
            <v/>
          </cell>
        </row>
        <row r="948">
          <cell r="Y948">
            <v>932</v>
          </cell>
          <cell r="Z948">
            <v>0.44587480090558529</v>
          </cell>
          <cell r="AA948">
            <v>-2.3003522046107679E-2</v>
          </cell>
          <cell r="AB948" t="str">
            <v/>
          </cell>
          <cell r="AC948" t="e">
            <v>#N/A</v>
          </cell>
          <cell r="AD948">
            <v>861</v>
          </cell>
          <cell r="AE948" t="e">
            <v>#N/A</v>
          </cell>
          <cell r="AF948" t="str">
            <v/>
          </cell>
        </row>
        <row r="949">
          <cell r="Y949">
            <v>933</v>
          </cell>
          <cell r="Z949">
            <v>0.80542826466262341</v>
          </cell>
          <cell r="AA949">
            <v>0.14556458939999917</v>
          </cell>
          <cell r="AB949" t="str">
            <v/>
          </cell>
          <cell r="AC949" t="e">
            <v>#N/A</v>
          </cell>
          <cell r="AD949">
            <v>862</v>
          </cell>
          <cell r="AE949" t="e">
            <v>#N/A</v>
          </cell>
          <cell r="AF949" t="str">
            <v/>
          </cell>
        </row>
        <row r="950">
          <cell r="Y950">
            <v>934</v>
          </cell>
          <cell r="Z950">
            <v>0.1171936746686697</v>
          </cell>
          <cell r="AA950">
            <v>-0.20100015645966698</v>
          </cell>
          <cell r="AB950" t="str">
            <v/>
          </cell>
          <cell r="AC950" t="e">
            <v>#N/A</v>
          </cell>
          <cell r="AD950">
            <v>863</v>
          </cell>
          <cell r="AE950" t="e">
            <v>#N/A</v>
          </cell>
          <cell r="AF950" t="str">
            <v/>
          </cell>
        </row>
        <row r="951">
          <cell r="Y951">
            <v>935</v>
          </cell>
          <cell r="Z951">
            <v>0.27020446769893169</v>
          </cell>
          <cell r="AA951">
            <v>-0.10347979424228886</v>
          </cell>
          <cell r="AB951" t="str">
            <v/>
          </cell>
          <cell r="AC951" t="e">
            <v>#N/A</v>
          </cell>
          <cell r="AD951">
            <v>864</v>
          </cell>
          <cell r="AE951" t="e">
            <v>#N/A</v>
          </cell>
          <cell r="AF951" t="str">
            <v/>
          </cell>
        </row>
        <row r="952">
          <cell r="Y952">
            <v>936</v>
          </cell>
          <cell r="Z952">
            <v>0.18964739702641964</v>
          </cell>
          <cell r="AA952">
            <v>-0.14861131626153931</v>
          </cell>
          <cell r="AB952" t="str">
            <v/>
          </cell>
          <cell r="AC952" t="e">
            <v>#N/A</v>
          </cell>
          <cell r="AD952">
            <v>865</v>
          </cell>
          <cell r="AE952" t="e">
            <v>#N/A</v>
          </cell>
          <cell r="AF952" t="str">
            <v/>
          </cell>
        </row>
        <row r="953">
          <cell r="Y953">
            <v>937</v>
          </cell>
          <cell r="Z953">
            <v>0.43568035773932934</v>
          </cell>
          <cell r="AA953">
            <v>-2.7371222042447081E-2</v>
          </cell>
          <cell r="AB953" t="str">
            <v/>
          </cell>
          <cell r="AC953" t="e">
            <v>#N/A</v>
          </cell>
          <cell r="AD953">
            <v>866</v>
          </cell>
          <cell r="AE953" t="e">
            <v>#N/A</v>
          </cell>
          <cell r="AF953" t="str">
            <v/>
          </cell>
        </row>
        <row r="954">
          <cell r="Y954">
            <v>938</v>
          </cell>
          <cell r="Z954">
            <v>0.2412379439920187</v>
          </cell>
          <cell r="AA954">
            <v>-0.11871475990222329</v>
          </cell>
          <cell r="AB954" t="str">
            <v/>
          </cell>
          <cell r="AC954" t="e">
            <v>#N/A</v>
          </cell>
          <cell r="AD954">
            <v>867</v>
          </cell>
          <cell r="AE954" t="e">
            <v>#N/A</v>
          </cell>
          <cell r="AF954" t="str">
            <v/>
          </cell>
        </row>
        <row r="955">
          <cell r="Y955">
            <v>939</v>
          </cell>
          <cell r="Z955">
            <v>0.57601345889270306</v>
          </cell>
          <cell r="AA955">
            <v>3.2404103943465469E-2</v>
          </cell>
          <cell r="AB955" t="str">
            <v/>
          </cell>
          <cell r="AC955" t="e">
            <v>#N/A</v>
          </cell>
          <cell r="AD955">
            <v>868</v>
          </cell>
          <cell r="AE955" t="e">
            <v>#N/A</v>
          </cell>
          <cell r="AF955" t="str">
            <v/>
          </cell>
        </row>
        <row r="956">
          <cell r="Y956">
            <v>940</v>
          </cell>
          <cell r="Z956">
            <v>7.7101996168494225E-2</v>
          </cell>
          <cell r="AA956">
            <v>-0.24084160456024006</v>
          </cell>
          <cell r="AB956" t="str">
            <v/>
          </cell>
          <cell r="AC956" t="e">
            <v>#N/A</v>
          </cell>
          <cell r="AD956">
            <v>869</v>
          </cell>
          <cell r="AE956" t="e">
            <v>#N/A</v>
          </cell>
          <cell r="AF956" t="str">
            <v/>
          </cell>
        </row>
        <row r="957">
          <cell r="Y957">
            <v>941</v>
          </cell>
          <cell r="Z957">
            <v>0.96401089243590832</v>
          </cell>
          <cell r="AA957">
            <v>0.30412975096245359</v>
          </cell>
          <cell r="AB957" t="str">
            <v/>
          </cell>
          <cell r="AC957" t="e">
            <v>#N/A</v>
          </cell>
          <cell r="AD957">
            <v>870</v>
          </cell>
          <cell r="AE957" t="e">
            <v>#N/A</v>
          </cell>
          <cell r="AF957" t="str">
            <v/>
          </cell>
        </row>
        <row r="958">
          <cell r="Y958">
            <v>942</v>
          </cell>
          <cell r="Z958">
            <v>0.45650068484246731</v>
          </cell>
          <cell r="AA958">
            <v>-1.8467224366508717E-2</v>
          </cell>
          <cell r="AB958" t="str">
            <v/>
          </cell>
          <cell r="AC958" t="e">
            <v>#N/A</v>
          </cell>
          <cell r="AD958">
            <v>871</v>
          </cell>
          <cell r="AE958" t="e">
            <v>#N/A</v>
          </cell>
          <cell r="AF958" t="str">
            <v/>
          </cell>
        </row>
        <row r="959">
          <cell r="Y959">
            <v>943</v>
          </cell>
          <cell r="Z959">
            <v>0.78293357603251934</v>
          </cell>
          <cell r="AA959">
            <v>0.13220563252009701</v>
          </cell>
          <cell r="AB959" t="str">
            <v/>
          </cell>
          <cell r="AC959" t="e">
            <v>#N/A</v>
          </cell>
          <cell r="AD959">
            <v>872</v>
          </cell>
          <cell r="AE959" t="e">
            <v>#N/A</v>
          </cell>
          <cell r="AF959" t="str">
            <v/>
          </cell>
        </row>
        <row r="960">
          <cell r="Y960">
            <v>944</v>
          </cell>
          <cell r="Z960">
            <v>0.93846168182790279</v>
          </cell>
          <cell r="AA960">
            <v>0.26064345568521102</v>
          </cell>
          <cell r="AB960" t="str">
            <v/>
          </cell>
          <cell r="AC960" t="e">
            <v>#N/A</v>
          </cell>
          <cell r="AD960">
            <v>873</v>
          </cell>
          <cell r="AE960" t="e">
            <v>#N/A</v>
          </cell>
          <cell r="AF960" t="str">
            <v/>
          </cell>
        </row>
        <row r="961">
          <cell r="Y961">
            <v>945</v>
          </cell>
          <cell r="Z961">
            <v>1.8280891701579094E-2</v>
          </cell>
          <cell r="AA961">
            <v>-0.35337995222678364</v>
          </cell>
          <cell r="AB961" t="str">
            <v/>
          </cell>
          <cell r="AC961" t="e">
            <v>#N/A</v>
          </cell>
          <cell r="AD961">
            <v>874</v>
          </cell>
          <cell r="AE961" t="e">
            <v>#N/A</v>
          </cell>
          <cell r="AF961" t="str">
            <v/>
          </cell>
        </row>
        <row r="962">
          <cell r="Y962">
            <v>946</v>
          </cell>
          <cell r="Z962">
            <v>0.15466738305985928</v>
          </cell>
          <cell r="AA962">
            <v>-0.17183995544612768</v>
          </cell>
          <cell r="AB962" t="str">
            <v/>
          </cell>
          <cell r="AC962" t="e">
            <v>#N/A</v>
          </cell>
          <cell r="AD962">
            <v>875</v>
          </cell>
          <cell r="AE962" t="e">
            <v>#N/A</v>
          </cell>
          <cell r="AF962" t="str">
            <v/>
          </cell>
        </row>
        <row r="963">
          <cell r="Y963">
            <v>947</v>
          </cell>
          <cell r="Z963">
            <v>0.8412745725363493</v>
          </cell>
          <cell r="AA963">
            <v>0.1689818376924806</v>
          </cell>
          <cell r="AB963" t="str">
            <v/>
          </cell>
          <cell r="AC963" t="e">
            <v>#N/A</v>
          </cell>
          <cell r="AD963">
            <v>876</v>
          </cell>
          <cell r="AE963" t="e">
            <v>#N/A</v>
          </cell>
          <cell r="AF963" t="str">
            <v/>
          </cell>
        </row>
        <row r="964">
          <cell r="Y964">
            <v>948</v>
          </cell>
          <cell r="Z964">
            <v>0.6619329359382391</v>
          </cell>
          <cell r="AA964">
            <v>7.061166318478844E-2</v>
          </cell>
          <cell r="AB964" t="str">
            <v/>
          </cell>
          <cell r="AC964" t="e">
            <v>#N/A</v>
          </cell>
          <cell r="AD964">
            <v>877</v>
          </cell>
          <cell r="AE964" t="e">
            <v>#N/A</v>
          </cell>
          <cell r="AF964" t="str">
            <v/>
          </cell>
        </row>
        <row r="965">
          <cell r="Y965">
            <v>949</v>
          </cell>
          <cell r="Z965">
            <v>0.96451055817306042</v>
          </cell>
          <cell r="AA965">
            <v>0.30520422289216775</v>
          </cell>
          <cell r="AB965" t="str">
            <v/>
          </cell>
          <cell r="AC965" t="e">
            <v>#N/A</v>
          </cell>
          <cell r="AD965">
            <v>878</v>
          </cell>
          <cell r="AE965" t="e">
            <v>#N/A</v>
          </cell>
          <cell r="AF965" t="str">
            <v/>
          </cell>
        </row>
        <row r="966">
          <cell r="Y966">
            <v>950</v>
          </cell>
          <cell r="Z966">
            <v>0.12036786042153835</v>
          </cell>
          <cell r="AA966">
            <v>-0.1982985165884659</v>
          </cell>
          <cell r="AB966" t="str">
            <v/>
          </cell>
          <cell r="AC966" t="e">
            <v>#N/A</v>
          </cell>
          <cell r="AD966">
            <v>879</v>
          </cell>
          <cell r="AE966" t="e">
            <v>#N/A</v>
          </cell>
          <cell r="AF966" t="str">
            <v/>
          </cell>
        </row>
        <row r="967">
          <cell r="Y967">
            <v>951</v>
          </cell>
          <cell r="Z967">
            <v>0.16899756900966167</v>
          </cell>
          <cell r="AA967">
            <v>-0.161954223684352</v>
          </cell>
          <cell r="AB967" t="str">
            <v/>
          </cell>
          <cell r="AC967" t="e">
            <v>#N/A</v>
          </cell>
          <cell r="AD967">
            <v>880</v>
          </cell>
          <cell r="AE967" t="e">
            <v>#N/A</v>
          </cell>
          <cell r="AF967" t="str">
            <v/>
          </cell>
        </row>
        <row r="968">
          <cell r="Y968">
            <v>952</v>
          </cell>
          <cell r="Z968">
            <v>0.88706501387059689</v>
          </cell>
          <cell r="AA968">
            <v>0.20470757764191527</v>
          </cell>
          <cell r="AB968" t="str">
            <v/>
          </cell>
          <cell r="AC968" t="e">
            <v>#N/A</v>
          </cell>
          <cell r="AD968">
            <v>881</v>
          </cell>
          <cell r="AE968" t="e">
            <v>#N/A</v>
          </cell>
          <cell r="AF968" t="str">
            <v/>
          </cell>
        </row>
        <row r="969">
          <cell r="Y969">
            <v>953</v>
          </cell>
          <cell r="Z969">
            <v>0.67055114917457104</v>
          </cell>
          <cell r="AA969">
            <v>7.4616228724273356E-2</v>
          </cell>
          <cell r="AB969" t="str">
            <v/>
          </cell>
          <cell r="AC969" t="e">
            <v>#N/A</v>
          </cell>
          <cell r="AD969">
            <v>882</v>
          </cell>
          <cell r="AE969" t="e">
            <v>#N/A</v>
          </cell>
          <cell r="AF969" t="str">
            <v/>
          </cell>
        </row>
        <row r="970">
          <cell r="Y970">
            <v>954</v>
          </cell>
          <cell r="Z970">
            <v>0.20891064964234829</v>
          </cell>
          <cell r="AA970">
            <v>-0.13694995385806219</v>
          </cell>
          <cell r="AB970" t="str">
            <v/>
          </cell>
          <cell r="AC970" t="e">
            <v>#N/A</v>
          </cell>
          <cell r="AD970">
            <v>883</v>
          </cell>
          <cell r="AE970" t="e">
            <v>#N/A</v>
          </cell>
          <cell r="AF970" t="str">
            <v/>
          </cell>
        </row>
        <row r="971">
          <cell r="Y971">
            <v>955</v>
          </cell>
          <cell r="Z971">
            <v>0.21226192824542522</v>
          </cell>
          <cell r="AA971">
            <v>-0.13498760952273278</v>
          </cell>
          <cell r="AB971" t="str">
            <v/>
          </cell>
          <cell r="AC971" t="e">
            <v>#N/A</v>
          </cell>
          <cell r="AD971">
            <v>884</v>
          </cell>
          <cell r="AE971" t="e">
            <v>#N/A</v>
          </cell>
          <cell r="AF971" t="str">
            <v/>
          </cell>
        </row>
        <row r="972">
          <cell r="Y972">
            <v>956</v>
          </cell>
          <cell r="Z972">
            <v>4.1859319433569908E-2</v>
          </cell>
          <cell r="AA972">
            <v>-0.29233980918284463</v>
          </cell>
          <cell r="AB972" t="str">
            <v/>
          </cell>
          <cell r="AC972" t="e">
            <v>#N/A</v>
          </cell>
          <cell r="AD972">
            <v>885</v>
          </cell>
          <cell r="AE972" t="e">
            <v>#N/A</v>
          </cell>
          <cell r="AF972" t="str">
            <v/>
          </cell>
        </row>
        <row r="973">
          <cell r="Y973">
            <v>957</v>
          </cell>
          <cell r="Z973">
            <v>0.7385068517178297</v>
          </cell>
          <cell r="AA973">
            <v>0.10796826988104673</v>
          </cell>
          <cell r="AB973" t="str">
            <v/>
          </cell>
          <cell r="AC973" t="e">
            <v>#N/A</v>
          </cell>
          <cell r="AD973">
            <v>886</v>
          </cell>
          <cell r="AE973" t="e">
            <v>#N/A</v>
          </cell>
          <cell r="AF973" t="str">
            <v/>
          </cell>
        </row>
        <row r="974">
          <cell r="Y974">
            <v>958</v>
          </cell>
          <cell r="Z974">
            <v>0.11776736937463284</v>
          </cell>
          <cell r="AA974">
            <v>-0.2005080719385669</v>
          </cell>
          <cell r="AB974" t="str">
            <v/>
          </cell>
          <cell r="AC974" t="e">
            <v>#N/A</v>
          </cell>
          <cell r="AD974">
            <v>887</v>
          </cell>
          <cell r="AE974" t="e">
            <v>#N/A</v>
          </cell>
          <cell r="AF974" t="str">
            <v/>
          </cell>
        </row>
        <row r="975">
          <cell r="Y975">
            <v>959</v>
          </cell>
          <cell r="Z975">
            <v>0.2247221302241087</v>
          </cell>
          <cell r="AA975">
            <v>-0.12784510712697081</v>
          </cell>
          <cell r="AB975" t="str">
            <v/>
          </cell>
          <cell r="AC975" t="e">
            <v>#N/A</v>
          </cell>
          <cell r="AD975">
            <v>888</v>
          </cell>
          <cell r="AE975" t="e">
            <v>#N/A</v>
          </cell>
          <cell r="AF975" t="str">
            <v/>
          </cell>
        </row>
        <row r="976">
          <cell r="Y976">
            <v>960</v>
          </cell>
          <cell r="Z976">
            <v>0.22362877987325191</v>
          </cell>
          <cell r="AA976">
            <v>-0.12846260548336549</v>
          </cell>
          <cell r="AB976" t="str">
            <v/>
          </cell>
          <cell r="AC976" t="e">
            <v>#N/A</v>
          </cell>
          <cell r="AD976">
            <v>889</v>
          </cell>
          <cell r="AE976" t="e">
            <v>#N/A</v>
          </cell>
          <cell r="AF976" t="str">
            <v/>
          </cell>
        </row>
        <row r="977">
          <cell r="Y977">
            <v>961</v>
          </cell>
          <cell r="Z977">
            <v>0.70590665750205517</v>
          </cell>
          <cell r="AA977">
            <v>9.1524395326276611E-2</v>
          </cell>
          <cell r="AB977" t="str">
            <v/>
          </cell>
          <cell r="AC977" t="e">
            <v>#N/A</v>
          </cell>
          <cell r="AD977">
            <v>890</v>
          </cell>
          <cell r="AE977" t="e">
            <v>#N/A</v>
          </cell>
          <cell r="AF977" t="str">
            <v/>
          </cell>
        </row>
        <row r="978">
          <cell r="Y978">
            <v>962</v>
          </cell>
          <cell r="Z978">
            <v>0.75180709920823574</v>
          </cell>
          <cell r="AA978">
            <v>0.11497265712377207</v>
          </cell>
          <cell r="AB978" t="str">
            <v/>
          </cell>
          <cell r="AC978" t="e">
            <v>#N/A</v>
          </cell>
          <cell r="AD978">
            <v>891</v>
          </cell>
          <cell r="AE978" t="e">
            <v>#N/A</v>
          </cell>
          <cell r="AF978" t="str">
            <v/>
          </cell>
        </row>
        <row r="979">
          <cell r="Y979">
            <v>963</v>
          </cell>
          <cell r="Z979">
            <v>0.76557464711368084</v>
          </cell>
          <cell r="AA979">
            <v>0.12243754703190798</v>
          </cell>
          <cell r="AB979" t="str">
            <v/>
          </cell>
          <cell r="AC979" t="e">
            <v>#N/A</v>
          </cell>
          <cell r="AD979">
            <v>892</v>
          </cell>
          <cell r="AE979" t="e">
            <v>#N/A</v>
          </cell>
          <cell r="AF979" t="str">
            <v/>
          </cell>
        </row>
        <row r="980">
          <cell r="Y980">
            <v>964</v>
          </cell>
          <cell r="Z980">
            <v>0.42360722087323666</v>
          </cell>
          <cell r="AA980">
            <v>-3.2567816754660507E-2</v>
          </cell>
          <cell r="AB980" t="str">
            <v/>
          </cell>
          <cell r="AC980" t="e">
            <v>#N/A</v>
          </cell>
          <cell r="AD980">
            <v>893</v>
          </cell>
          <cell r="AE980" t="e">
            <v>#N/A</v>
          </cell>
          <cell r="AF980" t="str">
            <v/>
          </cell>
        </row>
        <row r="981">
          <cell r="Y981">
            <v>965</v>
          </cell>
          <cell r="Z981">
            <v>0.71562623791396618</v>
          </cell>
          <cell r="AA981">
            <v>9.6330183727948257E-2</v>
          </cell>
          <cell r="AB981" t="str">
            <v/>
          </cell>
          <cell r="AC981" t="e">
            <v>#N/A</v>
          </cell>
          <cell r="AD981">
            <v>894</v>
          </cell>
          <cell r="AE981" t="e">
            <v>#N/A</v>
          </cell>
          <cell r="AF981" t="str">
            <v/>
          </cell>
        </row>
        <row r="982">
          <cell r="Y982">
            <v>966</v>
          </cell>
          <cell r="Z982">
            <v>0.68228075467050076</v>
          </cell>
          <cell r="AA982">
            <v>8.0135181561838117E-2</v>
          </cell>
          <cell r="AB982" t="str">
            <v/>
          </cell>
          <cell r="AC982" t="e">
            <v>#N/A</v>
          </cell>
          <cell r="AD982">
            <v>895</v>
          </cell>
          <cell r="AE982" t="e">
            <v>#N/A</v>
          </cell>
          <cell r="AF982" t="str">
            <v/>
          </cell>
        </row>
        <row r="983">
          <cell r="Y983">
            <v>967</v>
          </cell>
          <cell r="Z983">
            <v>0.4163548182696104</v>
          </cell>
          <cell r="AA983">
            <v>-3.5703989282812355E-2</v>
          </cell>
          <cell r="AB983" t="str">
            <v/>
          </cell>
          <cell r="AC983" t="e">
            <v>#N/A</v>
          </cell>
          <cell r="AD983">
            <v>896</v>
          </cell>
          <cell r="AE983" t="e">
            <v>#N/A</v>
          </cell>
          <cell r="AF983" t="str">
            <v/>
          </cell>
        </row>
        <row r="984">
          <cell r="Y984">
            <v>968</v>
          </cell>
          <cell r="Z984">
            <v>0.59530874155461788</v>
          </cell>
          <cell r="AA984">
            <v>4.0774078541102036E-2</v>
          </cell>
          <cell r="AB984" t="str">
            <v/>
          </cell>
          <cell r="AC984" t="e">
            <v>#N/A</v>
          </cell>
          <cell r="AD984">
            <v>897</v>
          </cell>
          <cell r="AE984" t="e">
            <v>#N/A</v>
          </cell>
          <cell r="AF984" t="str">
            <v/>
          </cell>
        </row>
        <row r="985">
          <cell r="Y985">
            <v>969</v>
          </cell>
          <cell r="Z985">
            <v>0.15455981902778149</v>
          </cell>
          <cell r="AA985">
            <v>-0.17191638256993508</v>
          </cell>
          <cell r="AB985" t="str">
            <v/>
          </cell>
          <cell r="AC985" t="e">
            <v>#N/A</v>
          </cell>
          <cell r="AD985">
            <v>898</v>
          </cell>
          <cell r="AE985" t="e">
            <v>#N/A</v>
          </cell>
          <cell r="AF985" t="str">
            <v/>
          </cell>
        </row>
        <row r="986">
          <cell r="Y986">
            <v>970</v>
          </cell>
          <cell r="Z986">
            <v>0.19955546222627163</v>
          </cell>
          <cell r="AA986">
            <v>-0.14252852867630059</v>
          </cell>
          <cell r="AB986" t="str">
            <v/>
          </cell>
          <cell r="AC986" t="e">
            <v>#N/A</v>
          </cell>
          <cell r="AD986">
            <v>899</v>
          </cell>
          <cell r="AE986" t="e">
            <v>#N/A</v>
          </cell>
          <cell r="AF986" t="str">
            <v/>
          </cell>
        </row>
        <row r="987">
          <cell r="Y987">
            <v>971</v>
          </cell>
          <cell r="Z987">
            <v>0.21648372523486614</v>
          </cell>
          <cell r="AA987">
            <v>-0.13254111921604891</v>
          </cell>
          <cell r="AB987" t="str">
            <v/>
          </cell>
          <cell r="AC987" t="e">
            <v>#N/A</v>
          </cell>
          <cell r="AD987">
            <v>900</v>
          </cell>
          <cell r="AE987" t="e">
            <v>#N/A</v>
          </cell>
          <cell r="AF987" t="str">
            <v/>
          </cell>
        </row>
        <row r="988">
          <cell r="Y988">
            <v>972</v>
          </cell>
          <cell r="Z988">
            <v>6.6637089475989342E-2</v>
          </cell>
          <cell r="AA988">
            <v>-0.25376850499946657</v>
          </cell>
          <cell r="AB988" t="str">
            <v/>
          </cell>
          <cell r="AC988" t="e">
            <v>#N/A</v>
          </cell>
          <cell r="AD988">
            <v>901</v>
          </cell>
          <cell r="AE988" t="e">
            <v>#N/A</v>
          </cell>
          <cell r="AF988" t="str">
            <v/>
          </cell>
        </row>
        <row r="989">
          <cell r="Y989">
            <v>973</v>
          </cell>
          <cell r="Z989">
            <v>0.76104205660521984</v>
          </cell>
          <cell r="AA989">
            <v>0.11995419273581129</v>
          </cell>
          <cell r="AB989" t="str">
            <v/>
          </cell>
          <cell r="AC989" t="e">
            <v>#N/A</v>
          </cell>
          <cell r="AD989">
            <v>902</v>
          </cell>
          <cell r="AE989" t="e">
            <v>#N/A</v>
          </cell>
          <cell r="AF989" t="str">
            <v/>
          </cell>
        </row>
        <row r="990">
          <cell r="Y990">
            <v>974</v>
          </cell>
          <cell r="Z990">
            <v>0.45959893427789211</v>
          </cell>
          <cell r="AA990">
            <v>-1.714719568884971E-2</v>
          </cell>
          <cell r="AB990" t="str">
            <v/>
          </cell>
          <cell r="AC990" t="e">
            <v>#N/A</v>
          </cell>
          <cell r="AD990">
            <v>903</v>
          </cell>
          <cell r="AE990" t="e">
            <v>#N/A</v>
          </cell>
          <cell r="AF990" t="str">
            <v/>
          </cell>
        </row>
        <row r="991">
          <cell r="Y991">
            <v>975</v>
          </cell>
          <cell r="Z991">
            <v>0.3175650667399168</v>
          </cell>
          <cell r="AA991">
            <v>-8.02082836899808E-2</v>
          </cell>
          <cell r="AB991" t="str">
            <v/>
          </cell>
          <cell r="AC991" t="e">
            <v>#N/A</v>
          </cell>
          <cell r="AD991">
            <v>904</v>
          </cell>
          <cell r="AE991" t="e">
            <v>#N/A</v>
          </cell>
          <cell r="AF991" t="str">
            <v/>
          </cell>
        </row>
        <row r="992">
          <cell r="Y992">
            <v>976</v>
          </cell>
          <cell r="Z992">
            <v>0.79574503563344479</v>
          </cell>
          <cell r="AA992">
            <v>0.13970715499357012</v>
          </cell>
          <cell r="AB992" t="str">
            <v/>
          </cell>
          <cell r="AC992" t="e">
            <v>#N/A</v>
          </cell>
          <cell r="AD992">
            <v>905</v>
          </cell>
          <cell r="AE992" t="e">
            <v>#N/A</v>
          </cell>
          <cell r="AF992" t="str">
            <v/>
          </cell>
        </row>
        <row r="993">
          <cell r="Y993">
            <v>977</v>
          </cell>
          <cell r="Z993">
            <v>0.70101991109549999</v>
          </cell>
          <cell r="AA993">
            <v>8.9136077394841737E-2</v>
          </cell>
          <cell r="AB993" t="str">
            <v/>
          </cell>
          <cell r="AC993" t="e">
            <v>#N/A</v>
          </cell>
          <cell r="AD993">
            <v>906</v>
          </cell>
          <cell r="AE993" t="e">
            <v>#N/A</v>
          </cell>
          <cell r="AF993" t="str">
            <v/>
          </cell>
        </row>
        <row r="994">
          <cell r="Y994">
            <v>978</v>
          </cell>
          <cell r="Z994">
            <v>0.22421384416520596</v>
          </cell>
          <cell r="AA994">
            <v>-0.12813196233554777</v>
          </cell>
          <cell r="AB994" t="str">
            <v/>
          </cell>
          <cell r="AC994" t="e">
            <v>#N/A</v>
          </cell>
          <cell r="AD994">
            <v>907</v>
          </cell>
          <cell r="AE994" t="e">
            <v>#N/A</v>
          </cell>
          <cell r="AF994" t="str">
            <v/>
          </cell>
        </row>
        <row r="995">
          <cell r="Y995">
            <v>979</v>
          </cell>
          <cell r="Z995">
            <v>0.35643203370273113</v>
          </cell>
          <cell r="AA995">
            <v>-6.2205431173468495E-2</v>
          </cell>
          <cell r="AB995" t="str">
            <v/>
          </cell>
          <cell r="AC995" t="e">
            <v>#N/A</v>
          </cell>
          <cell r="AD995">
            <v>908</v>
          </cell>
          <cell r="AE995" t="e">
            <v>#N/A</v>
          </cell>
          <cell r="AF995" t="str">
            <v/>
          </cell>
        </row>
        <row r="996">
          <cell r="Y996">
            <v>980</v>
          </cell>
          <cell r="Z996">
            <v>0.97064374946057796</v>
          </cell>
          <cell r="AA996">
            <v>0.31952578038074309</v>
          </cell>
          <cell r="AB996" t="str">
            <v/>
          </cell>
          <cell r="AC996" t="e">
            <v>#N/A</v>
          </cell>
          <cell r="AD996">
            <v>909</v>
          </cell>
          <cell r="AE996" t="e">
            <v>#N/A</v>
          </cell>
          <cell r="AF996" t="str">
            <v/>
          </cell>
        </row>
        <row r="997">
          <cell r="Y997">
            <v>981</v>
          </cell>
          <cell r="Z997">
            <v>0.11297452263534069</v>
          </cell>
          <cell r="AA997">
            <v>-0.20467270492087164</v>
          </cell>
          <cell r="AB997" t="str">
            <v/>
          </cell>
          <cell r="AC997" t="e">
            <v>#N/A</v>
          </cell>
          <cell r="AD997">
            <v>910</v>
          </cell>
          <cell r="AE997" t="e">
            <v>#N/A</v>
          </cell>
          <cell r="AF997" t="str">
            <v/>
          </cell>
        </row>
        <row r="998">
          <cell r="Y998">
            <v>982</v>
          </cell>
          <cell r="Z998">
            <v>0.69502220116555691</v>
          </cell>
          <cell r="AA998">
            <v>8.6228864065090116E-2</v>
          </cell>
          <cell r="AB998" t="str">
            <v/>
          </cell>
          <cell r="AC998" t="e">
            <v>#N/A</v>
          </cell>
          <cell r="AD998">
            <v>911</v>
          </cell>
          <cell r="AE998" t="e">
            <v>#N/A</v>
          </cell>
          <cell r="AF998" t="str">
            <v/>
          </cell>
        </row>
        <row r="999">
          <cell r="Y999">
            <v>983</v>
          </cell>
          <cell r="Z999">
            <v>4.6944184228777885E-2</v>
          </cell>
          <cell r="AA999">
            <v>-0.28316619461862941</v>
          </cell>
          <cell r="AB999" t="str">
            <v/>
          </cell>
          <cell r="AC999" t="e">
            <v>#N/A</v>
          </cell>
          <cell r="AD999">
            <v>912</v>
          </cell>
          <cell r="AE999" t="e">
            <v>#N/A</v>
          </cell>
          <cell r="AF999" t="str">
            <v/>
          </cell>
        </row>
        <row r="1000">
          <cell r="Y1000">
            <v>984</v>
          </cell>
          <cell r="Z1000">
            <v>0.45256217382848263</v>
          </cell>
          <cell r="AA1000">
            <v>-2.0146889826662892E-2</v>
          </cell>
          <cell r="AB1000" t="str">
            <v/>
          </cell>
          <cell r="AC1000" t="e">
            <v>#N/A</v>
          </cell>
          <cell r="AD1000">
            <v>913</v>
          </cell>
          <cell r="AE1000" t="e">
            <v>#N/A</v>
          </cell>
          <cell r="AF1000" t="str">
            <v/>
          </cell>
        </row>
        <row r="1001">
          <cell r="Y1001">
            <v>985</v>
          </cell>
          <cell r="Z1001">
            <v>0.62159308604896069</v>
          </cell>
          <cell r="AA1001">
            <v>5.2343359258724582E-2</v>
          </cell>
          <cell r="AB1001" t="str">
            <v/>
          </cell>
          <cell r="AC1001" t="e">
            <v>#N/A</v>
          </cell>
          <cell r="AD1001">
            <v>914</v>
          </cell>
          <cell r="AE1001" t="e">
            <v>#N/A</v>
          </cell>
          <cell r="AF1001" t="str">
            <v/>
          </cell>
        </row>
        <row r="1002">
          <cell r="Y1002">
            <v>986</v>
          </cell>
          <cell r="Z1002">
            <v>0.94119972549378872</v>
          </cell>
          <cell r="AA1002">
            <v>0.2645205662121255</v>
          </cell>
          <cell r="AB1002" t="str">
            <v/>
          </cell>
          <cell r="AC1002" t="e">
            <v>#N/A</v>
          </cell>
          <cell r="AD1002">
            <v>915</v>
          </cell>
          <cell r="AE1002" t="e">
            <v>#N/A</v>
          </cell>
          <cell r="AF1002" t="str">
            <v/>
          </cell>
        </row>
        <row r="1003">
          <cell r="Y1003">
            <v>987</v>
          </cell>
          <cell r="Z1003">
            <v>0.49053431861102581</v>
          </cell>
          <cell r="AA1003">
            <v>-4.0109620168016693E-3</v>
          </cell>
          <cell r="AB1003" t="str">
            <v/>
          </cell>
          <cell r="AC1003" t="e">
            <v>#N/A</v>
          </cell>
          <cell r="AD1003">
            <v>916</v>
          </cell>
          <cell r="AE1003" t="e">
            <v>#N/A</v>
          </cell>
          <cell r="AF1003" t="str">
            <v/>
          </cell>
        </row>
        <row r="1004">
          <cell r="Y1004">
            <v>988</v>
          </cell>
          <cell r="Z1004">
            <v>0.56305640004575253</v>
          </cell>
          <cell r="AA1004">
            <v>2.6829065863458651E-2</v>
          </cell>
          <cell r="AB1004" t="str">
            <v/>
          </cell>
          <cell r="AC1004" t="e">
            <v>#N/A</v>
          </cell>
          <cell r="AD1004">
            <v>917</v>
          </cell>
          <cell r="AE1004" t="e">
            <v>#N/A</v>
          </cell>
          <cell r="AF1004" t="str">
            <v/>
          </cell>
        </row>
        <row r="1005">
          <cell r="Y1005">
            <v>989</v>
          </cell>
          <cell r="Z1005">
            <v>0.32019072584807873</v>
          </cell>
          <cell r="AA1005">
            <v>-7.8965387446822993E-2</v>
          </cell>
          <cell r="AB1005" t="str">
            <v/>
          </cell>
          <cell r="AC1005" t="e">
            <v>#N/A</v>
          </cell>
          <cell r="AD1005">
            <v>918</v>
          </cell>
          <cell r="AE1005" t="e">
            <v>#N/A</v>
          </cell>
          <cell r="AF1005" t="str">
            <v/>
          </cell>
        </row>
        <row r="1006">
          <cell r="Y1006">
            <v>990</v>
          </cell>
          <cell r="Z1006">
            <v>0.42096022330224514</v>
          </cell>
          <cell r="AA1006">
            <v>-3.3711108114676258E-2</v>
          </cell>
          <cell r="AB1006" t="str">
            <v/>
          </cell>
          <cell r="AC1006" t="e">
            <v>#N/A</v>
          </cell>
          <cell r="AD1006">
            <v>919</v>
          </cell>
          <cell r="AE1006" t="e">
            <v>#N/A</v>
          </cell>
          <cell r="AF1006" t="str">
            <v/>
          </cell>
        </row>
        <row r="1007">
          <cell r="Y1007">
            <v>991</v>
          </cell>
          <cell r="Z1007">
            <v>0.70550535432994366</v>
          </cell>
          <cell r="AA1007">
            <v>9.1327581315960984E-2</v>
          </cell>
          <cell r="AB1007" t="str">
            <v/>
          </cell>
          <cell r="AC1007" t="e">
            <v>#N/A</v>
          </cell>
          <cell r="AD1007">
            <v>920</v>
          </cell>
          <cell r="AE1007" t="e">
            <v>#N/A</v>
          </cell>
          <cell r="AF1007" t="str">
            <v/>
          </cell>
        </row>
        <row r="1008">
          <cell r="Y1008">
            <v>992</v>
          </cell>
          <cell r="Z1008">
            <v>0.71486904285848141</v>
          </cell>
          <cell r="AA1008">
            <v>9.5953034217156716E-2</v>
          </cell>
          <cell r="AB1008" t="str">
            <v/>
          </cell>
          <cell r="AC1008" t="e">
            <v>#N/A</v>
          </cell>
          <cell r="AD1008">
            <v>921</v>
          </cell>
          <cell r="AE1008" t="e">
            <v>#N/A</v>
          </cell>
          <cell r="AF1008" t="str">
            <v/>
          </cell>
        </row>
        <row r="1009">
          <cell r="Y1009">
            <v>993</v>
          </cell>
          <cell r="Z1009">
            <v>0.72188237123191357</v>
          </cell>
          <cell r="AA1009">
            <v>9.9464951766656373E-2</v>
          </cell>
          <cell r="AB1009" t="str">
            <v/>
          </cell>
          <cell r="AC1009" t="e">
            <v>#N/A</v>
          </cell>
          <cell r="AD1009">
            <v>922</v>
          </cell>
          <cell r="AE1009" t="e">
            <v>#N/A</v>
          </cell>
          <cell r="AF1009" t="str">
            <v/>
          </cell>
        </row>
        <row r="1010">
          <cell r="Y1010">
            <v>994</v>
          </cell>
          <cell r="Z1010">
            <v>9.678996168076992E-2</v>
          </cell>
          <cell r="AA1010">
            <v>-0.21975048599934105</v>
          </cell>
          <cell r="AB1010" t="str">
            <v/>
          </cell>
          <cell r="AC1010" t="e">
            <v>#N/A</v>
          </cell>
          <cell r="AD1010">
            <v>923</v>
          </cell>
          <cell r="AE1010" t="e">
            <v>#N/A</v>
          </cell>
          <cell r="AF1010" t="str">
            <v/>
          </cell>
        </row>
        <row r="1011">
          <cell r="Y1011">
            <v>995</v>
          </cell>
          <cell r="Z1011">
            <v>0.87507720105350018</v>
          </cell>
          <cell r="AA1011">
            <v>0.19450793980839567</v>
          </cell>
          <cell r="AB1011" t="str">
            <v/>
          </cell>
          <cell r="AC1011" t="e">
            <v>#N/A</v>
          </cell>
          <cell r="AD1011">
            <v>924</v>
          </cell>
          <cell r="AE1011" t="e">
            <v>#N/A</v>
          </cell>
          <cell r="AF1011" t="str">
            <v/>
          </cell>
        </row>
        <row r="1012">
          <cell r="Y1012">
            <v>996</v>
          </cell>
          <cell r="Z1012">
            <v>0.38653861545026302</v>
          </cell>
          <cell r="AA1012">
            <v>-4.8740400600331885E-2</v>
          </cell>
          <cell r="AB1012" t="str">
            <v/>
          </cell>
          <cell r="AC1012" t="e">
            <v>#N/A</v>
          </cell>
          <cell r="AD1012">
            <v>925</v>
          </cell>
          <cell r="AE1012" t="e">
            <v>#N/A</v>
          </cell>
          <cell r="AF1012" t="str">
            <v/>
          </cell>
        </row>
        <row r="1013">
          <cell r="Y1013">
            <v>997</v>
          </cell>
          <cell r="Z1013">
            <v>0.17950463108718395</v>
          </cell>
          <cell r="AA1013">
            <v>-0.15504431893210771</v>
          </cell>
          <cell r="AB1013" t="str">
            <v/>
          </cell>
          <cell r="AC1013" t="e">
            <v>#N/A</v>
          </cell>
          <cell r="AD1013">
            <v>926</v>
          </cell>
          <cell r="AE1013" t="e">
            <v>#N/A</v>
          </cell>
          <cell r="AF1013" t="str">
            <v/>
          </cell>
        </row>
        <row r="1014">
          <cell r="Y1014">
            <v>998</v>
          </cell>
          <cell r="Z1014">
            <v>0.64443204365670681</v>
          </cell>
          <cell r="AA1014">
            <v>6.2597356309125871E-2</v>
          </cell>
          <cell r="AB1014" t="str">
            <v/>
          </cell>
          <cell r="AC1014" t="e">
            <v>#N/A</v>
          </cell>
          <cell r="AD1014">
            <v>927</v>
          </cell>
          <cell r="AE1014" t="e">
            <v>#N/A</v>
          </cell>
          <cell r="AF1014" t="str">
            <v/>
          </cell>
        </row>
        <row r="1015">
          <cell r="Y1015">
            <v>999</v>
          </cell>
          <cell r="Z1015">
            <v>0.81418363563716412</v>
          </cell>
          <cell r="AA1015">
            <v>0.15101540627250015</v>
          </cell>
          <cell r="AB1015" t="str">
            <v/>
          </cell>
          <cell r="AC1015" t="e">
            <v>#N/A</v>
          </cell>
          <cell r="AD1015">
            <v>928</v>
          </cell>
          <cell r="AE1015" t="e">
            <v>#N/A</v>
          </cell>
          <cell r="AF1015" t="str">
            <v/>
          </cell>
        </row>
        <row r="1016">
          <cell r="Y1016">
            <v>1000</v>
          </cell>
          <cell r="Z1016">
            <v>0.94075890444219112</v>
          </cell>
          <cell r="AA1016">
            <v>0.26388693566137</v>
          </cell>
          <cell r="AB1016" t="str">
            <v/>
          </cell>
          <cell r="AC1016" t="e">
            <v>#N/A</v>
          </cell>
          <cell r="AD1016">
            <v>929</v>
          </cell>
          <cell r="AE1016" t="e">
            <v>#N/A</v>
          </cell>
          <cell r="AF1016" t="str">
            <v/>
          </cell>
        </row>
      </sheetData>
      <sheetData sheetId="2"/>
      <sheetData sheetId="3"/>
    </sheetDataSet>
  </externalBook>
</externalLink>
</file>

<file path=xl/externalLinks/externalLink33.xml><?xml version="1.0" encoding="utf-8"?>
<externalLink xmlns="http://schemas.openxmlformats.org/spreadsheetml/2006/main">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4.xml><?xml version="1.0" encoding="utf-8"?>
<externalLink xmlns="http://schemas.openxmlformats.org/spreadsheetml/2006/main">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5.xml><?xml version="1.0" encoding="utf-8"?>
<externalLink xmlns="http://schemas.openxmlformats.org/spreadsheetml/2006/main">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6.xml><?xml version="1.0" encoding="utf-8"?>
<externalLink xmlns="http://schemas.openxmlformats.org/spreadsheetml/2006/main">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7.xml><?xml version="1.0" encoding="utf-8"?>
<externalLink xmlns="http://schemas.openxmlformats.org/spreadsheetml/2006/main">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8.xml><?xml version="1.0" encoding="utf-8"?>
<externalLink xmlns="http://schemas.openxmlformats.org/spreadsheetml/2006/main">
  <externalBook xmlns:r="http://schemas.openxmlformats.org/officeDocument/2006/relationships" r:id="rId1">
    <sheetNames>
      <sheetName val="Title"/>
      <sheetName val="Two Independent Groups"/>
      <sheetName val="Star Games"/>
      <sheetName val="Two Independent Groups Repeated"/>
      <sheetName val="Paired Data"/>
      <sheetName val="IBITwo-18.4.1b"/>
    </sheetNames>
    <sheetDataSet>
      <sheetData sheetId="0"/>
      <sheetData sheetId="1"/>
      <sheetData sheetId="2"/>
      <sheetData sheetId="3"/>
      <sheetData sheetId="4">
        <row r="3">
          <cell r="K3">
            <v>40</v>
          </cell>
        </row>
        <row r="5">
          <cell r="K5">
            <v>30</v>
          </cell>
        </row>
        <row r="6">
          <cell r="K6">
            <v>15</v>
          </cell>
        </row>
        <row r="8">
          <cell r="K8">
            <v>10</v>
          </cell>
        </row>
        <row r="11">
          <cell r="H11">
            <v>15</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oleObject" Target="../embeddings/oleObject2.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oleObject" Target="../embeddings/oleObject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oleObject" Target="../embeddings/oleObject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1.bin"/><Relationship Id="rId5" Type="http://schemas.openxmlformats.org/officeDocument/2006/relationships/comments" Target="../comments11.xml"/><Relationship Id="rId4" Type="http://schemas.openxmlformats.org/officeDocument/2006/relationships/oleObject" Target="../embeddings/oleObject5.bin"/></Relationships>
</file>

<file path=xl/worksheets/sheet1.xml><?xml version="1.0" encoding="utf-8"?>
<worksheet xmlns="http://schemas.openxmlformats.org/spreadsheetml/2006/main" xmlns:r="http://schemas.openxmlformats.org/officeDocument/2006/relationships">
  <sheetPr codeName="Sheet12"/>
  <dimension ref="A2:T758"/>
  <sheetViews>
    <sheetView showGridLines="0" showRowColHeaders="0" tabSelected="1" zoomScale="120" workbookViewId="0">
      <selection activeCell="B2" sqref="B2"/>
    </sheetView>
  </sheetViews>
  <sheetFormatPr defaultRowHeight="11.25"/>
  <cols>
    <col min="1" max="1" width="4.28515625" style="1" customWidth="1"/>
    <col min="2" max="2" width="5.7109375" style="1" customWidth="1"/>
    <col min="3" max="3" width="3.7109375" style="1" customWidth="1"/>
    <col min="4" max="4" width="6" style="1" customWidth="1"/>
    <col min="5" max="5" width="4.28515625" style="1" customWidth="1"/>
    <col min="6" max="7" width="2.85546875" style="1" customWidth="1"/>
    <col min="8" max="8" width="5.5703125" style="1" customWidth="1"/>
    <col min="9" max="9" width="5.7109375" style="1" customWidth="1"/>
    <col min="10" max="10" width="10.7109375" style="1" customWidth="1"/>
    <col min="11" max="11" width="5.7109375" style="1" customWidth="1"/>
    <col min="12" max="12" width="3.5703125" style="1" customWidth="1"/>
    <col min="13" max="13" width="7" style="1" customWidth="1"/>
    <col min="14" max="14" width="9.140625" style="1"/>
    <col min="15" max="15" width="25.85546875" style="1" customWidth="1"/>
    <col min="16" max="16" width="18.28515625" style="1" customWidth="1"/>
    <col min="17" max="17" width="11.28515625" style="1" customWidth="1"/>
    <col min="18" max="18" width="14" style="1" customWidth="1"/>
    <col min="19" max="19" width="12.28515625" style="1" customWidth="1"/>
    <col min="20" max="16384" width="9.140625" style="1"/>
  </cols>
  <sheetData>
    <row r="2" spans="1:20" ht="20.25">
      <c r="F2" s="11" t="s">
        <v>610</v>
      </c>
    </row>
    <row r="3" spans="1:20" ht="15.75">
      <c r="F3" s="12" t="s">
        <v>1343</v>
      </c>
      <c r="L3" s="13" t="s">
        <v>791</v>
      </c>
      <c r="T3" s="15"/>
    </row>
    <row r="4" spans="1:20" ht="12" customHeight="1">
      <c r="T4" s="15"/>
    </row>
    <row r="5" spans="1:20" s="16" customFormat="1" ht="12" customHeight="1">
      <c r="G5" s="16" t="s">
        <v>611</v>
      </c>
      <c r="L5" s="17"/>
      <c r="N5" s="16" t="s">
        <v>197</v>
      </c>
      <c r="T5" s="15"/>
    </row>
    <row r="6" spans="1:20" s="16" customFormat="1" ht="12" customHeight="1">
      <c r="H6" s="16" t="s">
        <v>612</v>
      </c>
      <c r="L6" s="17"/>
      <c r="M6" s="17"/>
      <c r="N6" s="16" t="s">
        <v>792</v>
      </c>
      <c r="T6" s="15"/>
    </row>
    <row r="7" spans="1:20" s="16" customFormat="1" ht="12" customHeight="1">
      <c r="H7" s="16" t="s">
        <v>793</v>
      </c>
      <c r="L7" s="17"/>
      <c r="M7" s="17"/>
      <c r="N7" s="16" t="s">
        <v>794</v>
      </c>
      <c r="T7" s="15"/>
    </row>
    <row r="8" spans="1:20" s="16" customFormat="1" ht="12" customHeight="1">
      <c r="H8" s="16" t="s">
        <v>795</v>
      </c>
      <c r="L8" s="17"/>
      <c r="M8" s="17"/>
      <c r="N8" s="16" t="s">
        <v>796</v>
      </c>
      <c r="T8" s="15"/>
    </row>
    <row r="9" spans="1:20" s="16" customFormat="1" ht="12" customHeight="1">
      <c r="H9" s="18" t="s">
        <v>613</v>
      </c>
      <c r="L9" s="17"/>
      <c r="M9" s="17"/>
      <c r="N9" s="16" t="s">
        <v>797</v>
      </c>
      <c r="T9" s="15"/>
    </row>
    <row r="10" spans="1:20" s="16" customFormat="1" ht="12" customHeight="1">
      <c r="L10" s="17"/>
      <c r="M10" s="17"/>
      <c r="T10" s="15"/>
    </row>
    <row r="11" spans="1:20" s="16" customFormat="1" ht="6" customHeight="1">
      <c r="B11" s="19"/>
      <c r="C11" s="20"/>
      <c r="D11" s="20"/>
      <c r="E11" s="20"/>
      <c r="F11" s="20"/>
      <c r="G11" s="20"/>
      <c r="H11" s="20"/>
      <c r="I11" s="20"/>
      <c r="J11" s="20"/>
      <c r="K11" s="20"/>
      <c r="L11" s="20"/>
      <c r="M11" s="20"/>
      <c r="N11" s="20"/>
      <c r="O11" s="20"/>
      <c r="P11" s="20"/>
      <c r="Q11" s="20"/>
      <c r="R11" s="20"/>
      <c r="S11" s="21"/>
      <c r="T11" s="15"/>
    </row>
    <row r="12" spans="1:20" s="16" customFormat="1" ht="12" customHeight="1">
      <c r="B12" s="22" t="s">
        <v>1344</v>
      </c>
      <c r="C12" s="23"/>
      <c r="D12" s="23"/>
      <c r="E12" s="23"/>
      <c r="F12" s="23"/>
      <c r="G12" s="23"/>
      <c r="H12" s="23"/>
      <c r="I12" s="23"/>
      <c r="J12" s="23"/>
      <c r="K12" s="23"/>
      <c r="L12" s="23"/>
      <c r="M12" s="23"/>
      <c r="N12" s="23"/>
      <c r="O12" s="23"/>
      <c r="P12" s="23"/>
      <c r="Q12" s="23"/>
      <c r="R12" s="23"/>
      <c r="S12" s="24"/>
      <c r="T12" s="15"/>
    </row>
    <row r="13" spans="1:20" s="16" customFormat="1" ht="12" customHeight="1">
      <c r="A13" s="25"/>
      <c r="B13" s="22" t="s">
        <v>608</v>
      </c>
      <c r="C13" s="23"/>
      <c r="D13" s="23"/>
      <c r="E13" s="23"/>
      <c r="F13" s="23"/>
      <c r="G13" s="23"/>
      <c r="H13" s="23"/>
      <c r="I13" s="23"/>
      <c r="J13" s="23"/>
      <c r="K13" s="23"/>
      <c r="L13" s="23"/>
      <c r="M13" s="23"/>
      <c r="N13" s="23"/>
      <c r="O13" s="23"/>
      <c r="P13" s="23"/>
      <c r="Q13" s="23"/>
      <c r="R13" s="23"/>
      <c r="S13" s="24"/>
    </row>
    <row r="14" spans="1:20" s="16" customFormat="1" ht="12" customHeight="1">
      <c r="A14" s="25"/>
      <c r="B14" s="22" t="s">
        <v>609</v>
      </c>
      <c r="C14" s="23"/>
      <c r="D14" s="23"/>
      <c r="E14" s="23"/>
      <c r="F14" s="23"/>
      <c r="G14" s="23"/>
      <c r="H14" s="23"/>
      <c r="I14" s="23"/>
      <c r="J14" s="23"/>
      <c r="K14" s="23"/>
      <c r="L14" s="23"/>
      <c r="M14" s="23"/>
      <c r="N14" s="23"/>
      <c r="O14" s="23"/>
      <c r="P14" s="23"/>
      <c r="Q14" s="23"/>
      <c r="R14" s="23"/>
      <c r="S14" s="24"/>
    </row>
    <row r="15" spans="1:20" s="16" customFormat="1" ht="12" customHeight="1">
      <c r="A15" s="25"/>
      <c r="B15" s="22" t="s">
        <v>933</v>
      </c>
      <c r="C15" s="23"/>
      <c r="D15" s="23"/>
      <c r="E15" s="23"/>
      <c r="F15" s="23"/>
      <c r="G15" s="23"/>
      <c r="H15" s="23"/>
      <c r="I15" s="23"/>
      <c r="J15" s="23"/>
      <c r="K15" s="23"/>
      <c r="L15" s="23"/>
      <c r="M15" s="23"/>
      <c r="N15" s="23"/>
      <c r="O15" s="23"/>
      <c r="P15" s="23"/>
      <c r="Q15" s="23"/>
      <c r="R15" s="23"/>
      <c r="S15" s="24"/>
    </row>
    <row r="16" spans="1:20" s="16" customFormat="1" ht="6" customHeight="1">
      <c r="B16" s="26"/>
      <c r="C16" s="27"/>
      <c r="D16" s="27"/>
      <c r="E16" s="27"/>
      <c r="F16" s="27"/>
      <c r="G16" s="27"/>
      <c r="H16" s="27"/>
      <c r="I16" s="27"/>
      <c r="J16" s="27"/>
      <c r="K16" s="27"/>
      <c r="L16" s="27"/>
      <c r="M16" s="27"/>
      <c r="N16" s="27"/>
      <c r="O16" s="27"/>
      <c r="P16" s="27"/>
      <c r="Q16" s="27"/>
      <c r="R16" s="27"/>
      <c r="S16" s="28"/>
    </row>
    <row r="17" spans="1:12" s="16" customFormat="1" ht="7.5" customHeight="1">
      <c r="B17" s="29"/>
      <c r="C17" s="30"/>
      <c r="D17" s="30"/>
      <c r="E17" s="30"/>
      <c r="F17" s="30"/>
      <c r="G17" s="30"/>
      <c r="H17" s="30"/>
      <c r="I17" s="30"/>
      <c r="J17" s="30"/>
      <c r="K17" s="30"/>
      <c r="L17" s="30"/>
    </row>
    <row r="18" spans="1:12" s="16" customFormat="1" ht="7.5" customHeight="1">
      <c r="B18" s="31"/>
    </row>
    <row r="19" spans="1:12" s="16" customFormat="1" ht="12" customHeight="1">
      <c r="A19" s="32"/>
      <c r="B19" s="33" t="s">
        <v>798</v>
      </c>
    </row>
    <row r="20" spans="1:12" s="16" customFormat="1" ht="3" customHeight="1"/>
    <row r="21" spans="1:12" s="16" customFormat="1" ht="12" customHeight="1">
      <c r="B21" s="34"/>
      <c r="C21" s="18" t="s">
        <v>1345</v>
      </c>
    </row>
    <row r="22" spans="1:12" s="16" customFormat="1" ht="3" customHeight="1">
      <c r="C22" s="35"/>
    </row>
    <row r="23" spans="1:12" s="16" customFormat="1" ht="12" customHeight="1">
      <c r="B23" s="34"/>
      <c r="C23" s="18" t="s">
        <v>1346</v>
      </c>
    </row>
    <row r="24" spans="1:12" s="16" customFormat="1" ht="3" customHeight="1">
      <c r="B24" s="25"/>
      <c r="C24" s="36"/>
    </row>
    <row r="25" spans="1:12" s="16" customFormat="1" ht="12" customHeight="1">
      <c r="B25" s="34"/>
      <c r="C25" s="18" t="s">
        <v>1347</v>
      </c>
    </row>
    <row r="26" spans="1:12" s="16" customFormat="1" ht="3" customHeight="1">
      <c r="B26" s="25"/>
      <c r="C26" s="36"/>
    </row>
    <row r="27" spans="1:12" s="16" customFormat="1" ht="12" customHeight="1">
      <c r="B27" s="34"/>
      <c r="C27" s="36" t="s">
        <v>1348</v>
      </c>
    </row>
    <row r="28" spans="1:12" ht="3" customHeight="1"/>
    <row r="29" spans="1:12" s="16" customFormat="1" ht="14.25" customHeight="1">
      <c r="B29" s="34"/>
      <c r="C29" s="36" t="s">
        <v>1349</v>
      </c>
    </row>
    <row r="30" spans="1:12" ht="3" customHeight="1"/>
    <row r="31" spans="1:12" s="16" customFormat="1" ht="12" customHeight="1">
      <c r="B31" s="34"/>
      <c r="C31" s="18" t="s">
        <v>1350</v>
      </c>
    </row>
    <row r="32" spans="1:12" ht="3" customHeight="1"/>
    <row r="33" spans="2:3" s="16" customFormat="1" ht="12" customHeight="1">
      <c r="B33" s="34"/>
      <c r="C33" s="945" t="s">
        <v>1351</v>
      </c>
    </row>
    <row r="34" spans="2:3" ht="3" customHeight="1"/>
    <row r="35" spans="2:3" s="16" customFormat="1" ht="12" customHeight="1">
      <c r="B35" s="34"/>
      <c r="C35" s="945" t="s">
        <v>1352</v>
      </c>
    </row>
    <row r="36" spans="2:3" ht="3" customHeight="1"/>
    <row r="37" spans="2:3" s="16" customFormat="1" ht="12" customHeight="1">
      <c r="B37" s="34"/>
      <c r="C37" s="18" t="s">
        <v>1353</v>
      </c>
    </row>
    <row r="38" spans="2:3" ht="3" customHeight="1"/>
    <row r="39" spans="2:3" s="16" customFormat="1" ht="12" customHeight="1">
      <c r="B39" s="34"/>
      <c r="C39" s="945" t="s">
        <v>1354</v>
      </c>
    </row>
    <row r="40" spans="2:3" ht="3" customHeight="1"/>
    <row r="41" spans="2:3" ht="12" customHeight="1"/>
    <row r="42" spans="2:3" ht="12" customHeight="1"/>
    <row r="43" spans="2:3" ht="12" customHeight="1"/>
    <row r="44" spans="2:3" ht="12" customHeight="1"/>
    <row r="45" spans="2:3" ht="12" customHeight="1"/>
    <row r="46" spans="2:3" ht="12" customHeight="1"/>
    <row r="47" spans="2:3" ht="12" customHeight="1"/>
    <row r="48" spans="2:3" ht="12" customHeight="1"/>
    <row r="49" spans="1:2" ht="12" customHeight="1"/>
    <row r="50" spans="1:2" ht="12" customHeight="1"/>
    <row r="51" spans="1:2" ht="12" customHeight="1"/>
    <row r="52" spans="1:2" ht="12" customHeight="1"/>
    <row r="53" spans="1:2" ht="12" customHeight="1"/>
    <row r="54" spans="1:2" ht="12" customHeight="1"/>
    <row r="55" spans="1:2" ht="12" customHeight="1"/>
    <row r="56" spans="1:2" ht="12" customHeight="1"/>
    <row r="57" spans="1:2" s="16" customFormat="1" ht="12" customHeight="1">
      <c r="A57" s="32"/>
      <c r="B57" s="16" t="s">
        <v>799</v>
      </c>
    </row>
    <row r="58" spans="1:2" s="16" customFormat="1" ht="7.5" customHeight="1"/>
    <row r="59" spans="1:2" s="16" customFormat="1" ht="12" customHeight="1">
      <c r="A59" s="37"/>
    </row>
    <row r="60" spans="1:2" s="16" customFormat="1" ht="12" customHeight="1">
      <c r="A60" s="37"/>
    </row>
    <row r="61" spans="1:2" s="16" customFormat="1" ht="12" customHeight="1">
      <c r="A61" s="37"/>
    </row>
    <row r="62" spans="1:2" s="16" customFormat="1" ht="12" customHeight="1">
      <c r="A62" s="37"/>
    </row>
    <row r="63" spans="1:2" s="16" customFormat="1" ht="12" customHeight="1">
      <c r="A63" s="37"/>
    </row>
    <row r="64" spans="1:2" s="16" customFormat="1" ht="12" customHeight="1">
      <c r="A64" s="37"/>
    </row>
    <row r="65" spans="1:1" s="16" customFormat="1" ht="12" customHeight="1">
      <c r="A65" s="37"/>
    </row>
    <row r="66" spans="1:1" s="16" customFormat="1" ht="12" customHeight="1">
      <c r="A66" s="37"/>
    </row>
    <row r="67" spans="1:1" s="16" customFormat="1" ht="12" customHeight="1">
      <c r="A67" s="37"/>
    </row>
    <row r="68" spans="1:1" s="16" customFormat="1" ht="12" customHeight="1">
      <c r="A68" s="37"/>
    </row>
    <row r="69" spans="1:1" s="16" customFormat="1" ht="12" customHeight="1">
      <c r="A69" s="37"/>
    </row>
    <row r="70" spans="1:1" s="16" customFormat="1" ht="12" customHeight="1">
      <c r="A70" s="37"/>
    </row>
    <row r="71" spans="1:1" s="16" customFormat="1" ht="12" customHeight="1">
      <c r="A71" s="37"/>
    </row>
    <row r="72" spans="1:1" s="16" customFormat="1" ht="12" customHeight="1">
      <c r="A72" s="37"/>
    </row>
    <row r="73" spans="1:1" s="16" customFormat="1" ht="12" customHeight="1">
      <c r="A73" s="37"/>
    </row>
    <row r="74" spans="1:1" s="16" customFormat="1" ht="12" customHeight="1">
      <c r="A74" s="37"/>
    </row>
    <row r="75" spans="1:1" s="16" customFormat="1" ht="12" customHeight="1">
      <c r="A75" s="37"/>
    </row>
    <row r="76" spans="1:1" s="16" customFormat="1" ht="12" customHeight="1">
      <c r="A76" s="37"/>
    </row>
    <row r="77" spans="1:1" s="16" customFormat="1" ht="12" customHeight="1">
      <c r="A77" s="37"/>
    </row>
    <row r="78" spans="1:1" s="16" customFormat="1" ht="12" customHeight="1">
      <c r="A78" s="37"/>
    </row>
    <row r="79" spans="1:1" s="16" customFormat="1" ht="12" customHeight="1">
      <c r="A79" s="37"/>
    </row>
    <row r="80" spans="1:1" s="16" customFormat="1" ht="12" customHeight="1">
      <c r="A80" s="37"/>
    </row>
    <row r="81" spans="1:10" s="16" customFormat="1" ht="12" customHeight="1">
      <c r="A81" s="37"/>
    </row>
    <row r="82" spans="1:10" s="16" customFormat="1" ht="12" customHeight="1">
      <c r="A82" s="37"/>
    </row>
    <row r="83" spans="1:10" s="16" customFormat="1" ht="12" customHeight="1">
      <c r="A83" s="37"/>
    </row>
    <row r="84" spans="1:10" s="16" customFormat="1" ht="12" customHeight="1">
      <c r="A84" s="37"/>
      <c r="B84" s="15" t="s">
        <v>800</v>
      </c>
    </row>
    <row r="85" spans="1:10" s="16" customFormat="1" ht="12" customHeight="1">
      <c r="A85" s="37"/>
      <c r="B85" s="15" t="s">
        <v>801</v>
      </c>
    </row>
    <row r="86" spans="1:10" s="16" customFormat="1" ht="12" customHeight="1">
      <c r="A86" s="37"/>
      <c r="B86" s="15"/>
    </row>
    <row r="87" spans="1:10" s="16" customFormat="1" ht="12" customHeight="1">
      <c r="A87" s="37"/>
      <c r="B87" s="15" t="s">
        <v>802</v>
      </c>
    </row>
    <row r="88" spans="1:10" s="16" customFormat="1" ht="12" customHeight="1">
      <c r="A88" s="37"/>
      <c r="B88" s="15" t="s">
        <v>803</v>
      </c>
    </row>
    <row r="89" spans="1:10" s="16" customFormat="1" ht="12" customHeight="1">
      <c r="A89" s="37"/>
      <c r="B89" s="15" t="s">
        <v>804</v>
      </c>
    </row>
    <row r="90" spans="1:10" s="16" customFormat="1" ht="12" customHeight="1">
      <c r="B90" s="15"/>
    </row>
    <row r="91" spans="1:10" s="16" customFormat="1" ht="12" customHeight="1">
      <c r="A91" s="25"/>
      <c r="B91" s="15" t="s">
        <v>805</v>
      </c>
      <c r="C91" s="25"/>
      <c r="D91" s="25"/>
      <c r="E91" s="25"/>
      <c r="F91" s="25"/>
      <c r="G91" s="25"/>
      <c r="H91" s="25"/>
      <c r="I91" s="25"/>
      <c r="J91" s="25"/>
    </row>
    <row r="92" spans="1:10" s="16" customFormat="1" ht="12" customHeight="1">
      <c r="A92" s="25"/>
      <c r="B92" s="15"/>
      <c r="C92" s="25"/>
      <c r="D92" s="25"/>
      <c r="E92" s="25"/>
      <c r="F92" s="25"/>
      <c r="G92" s="25"/>
      <c r="H92" s="25"/>
      <c r="I92" s="25"/>
      <c r="J92" s="25"/>
    </row>
    <row r="93" spans="1:10" s="16" customFormat="1" ht="12" customHeight="1">
      <c r="A93" s="25"/>
      <c r="B93" s="15" t="s">
        <v>806</v>
      </c>
      <c r="C93" s="25"/>
      <c r="D93" s="25"/>
      <c r="E93" s="25"/>
      <c r="F93" s="25"/>
      <c r="G93" s="25"/>
      <c r="H93" s="25"/>
      <c r="I93" s="25"/>
      <c r="J93" s="25"/>
    </row>
    <row r="94" spans="1:10" s="16" customFormat="1" ht="12" customHeight="1">
      <c r="A94" s="25"/>
      <c r="B94" s="15" t="s">
        <v>807</v>
      </c>
      <c r="C94" s="25"/>
      <c r="D94" s="25"/>
      <c r="E94" s="25"/>
      <c r="F94" s="25"/>
      <c r="G94" s="25"/>
      <c r="H94" s="25"/>
      <c r="I94" s="25"/>
      <c r="J94" s="25"/>
    </row>
    <row r="95" spans="1:10" s="16" customFormat="1" ht="12" customHeight="1">
      <c r="A95" s="25"/>
      <c r="B95" s="15"/>
      <c r="C95" s="25"/>
      <c r="D95" s="25"/>
      <c r="E95" s="25"/>
      <c r="F95" s="25"/>
      <c r="G95" s="25"/>
      <c r="H95" s="25"/>
      <c r="I95" s="25"/>
      <c r="J95" s="25"/>
    </row>
    <row r="96" spans="1:10" s="16" customFormat="1" ht="12" customHeight="1">
      <c r="A96" s="25"/>
      <c r="B96" s="15" t="s">
        <v>808</v>
      </c>
      <c r="C96" s="25"/>
      <c r="D96" s="25"/>
      <c r="E96" s="25"/>
      <c r="F96" s="25"/>
      <c r="G96" s="25"/>
      <c r="H96" s="25"/>
      <c r="I96" s="25"/>
      <c r="J96" s="25"/>
    </row>
    <row r="97" spans="1:10" s="16" customFormat="1" ht="12" customHeight="1">
      <c r="A97" s="25"/>
      <c r="B97" s="15" t="s">
        <v>809</v>
      </c>
      <c r="C97" s="25"/>
      <c r="D97" s="25"/>
      <c r="E97" s="25"/>
      <c r="F97" s="25"/>
      <c r="G97" s="25"/>
      <c r="H97" s="25"/>
      <c r="I97" s="25"/>
      <c r="J97" s="25"/>
    </row>
    <row r="98" spans="1:10" s="16" customFormat="1" ht="12" customHeight="1">
      <c r="A98" s="25"/>
      <c r="B98" s="15" t="s">
        <v>810</v>
      </c>
      <c r="C98" s="25"/>
      <c r="D98" s="25"/>
      <c r="E98" s="25"/>
      <c r="F98" s="25"/>
      <c r="G98" s="25"/>
      <c r="H98" s="25"/>
      <c r="I98" s="25"/>
      <c r="J98" s="25"/>
    </row>
    <row r="99" spans="1:10" s="16" customFormat="1" ht="12" customHeight="1">
      <c r="A99" s="25"/>
      <c r="B99" s="15" t="s">
        <v>811</v>
      </c>
      <c r="C99" s="25"/>
      <c r="D99" s="25"/>
      <c r="E99" s="25"/>
      <c r="F99" s="25"/>
      <c r="G99" s="25"/>
      <c r="H99" s="25"/>
      <c r="I99" s="25"/>
      <c r="J99" s="25"/>
    </row>
    <row r="100" spans="1:10" s="16" customFormat="1" ht="12" customHeight="1">
      <c r="A100" s="25"/>
      <c r="B100" s="15" t="s">
        <v>812</v>
      </c>
      <c r="C100" s="25"/>
      <c r="D100" s="38"/>
      <c r="E100" s="25"/>
      <c r="F100" s="25"/>
      <c r="G100" s="25"/>
      <c r="H100" s="25"/>
      <c r="I100" s="25"/>
      <c r="J100" s="25"/>
    </row>
    <row r="101" spans="1:10" s="16" customFormat="1" ht="12" customHeight="1">
      <c r="A101" s="25"/>
      <c r="B101" s="15" t="s">
        <v>813</v>
      </c>
      <c r="C101" s="25"/>
      <c r="D101" s="25"/>
      <c r="E101" s="25"/>
      <c r="F101" s="25"/>
      <c r="G101" s="25"/>
      <c r="H101" s="25"/>
      <c r="I101" s="25"/>
      <c r="J101" s="25"/>
    </row>
    <row r="102" spans="1:10" s="16" customFormat="1" ht="12" customHeight="1">
      <c r="A102" s="25"/>
      <c r="B102" s="15" t="s">
        <v>814</v>
      </c>
      <c r="C102" s="25"/>
      <c r="D102" s="38"/>
      <c r="E102" s="25"/>
      <c r="F102" s="25"/>
      <c r="G102" s="25"/>
      <c r="H102" s="25"/>
      <c r="I102" s="25"/>
      <c r="J102" s="25"/>
    </row>
    <row r="103" spans="1:10" s="16" customFormat="1" ht="12" customHeight="1">
      <c r="A103" s="25"/>
      <c r="B103" s="15" t="s">
        <v>815</v>
      </c>
      <c r="C103" s="25"/>
      <c r="D103" s="25"/>
      <c r="E103" s="25"/>
      <c r="F103" s="25"/>
      <c r="G103" s="25"/>
      <c r="H103" s="25"/>
      <c r="I103" s="25"/>
      <c r="J103" s="25"/>
    </row>
    <row r="104" spans="1:10" s="16" customFormat="1" ht="12" customHeight="1">
      <c r="A104" s="25"/>
      <c r="B104" s="15"/>
      <c r="C104" s="25"/>
      <c r="D104" s="38"/>
      <c r="E104" s="25"/>
      <c r="F104" s="25"/>
      <c r="G104" s="25"/>
      <c r="H104" s="25"/>
      <c r="I104" s="25"/>
      <c r="J104" s="25"/>
    </row>
    <row r="105" spans="1:10" s="16" customFormat="1" ht="12" customHeight="1">
      <c r="A105" s="25"/>
      <c r="B105" s="15" t="s">
        <v>816</v>
      </c>
      <c r="C105" s="25"/>
      <c r="D105" s="25"/>
      <c r="E105" s="25"/>
      <c r="F105" s="25"/>
      <c r="G105" s="25"/>
      <c r="H105" s="25"/>
      <c r="I105" s="25"/>
      <c r="J105" s="25"/>
    </row>
    <row r="106" spans="1:10" s="16" customFormat="1" ht="12" customHeight="1">
      <c r="A106" s="25"/>
      <c r="B106" s="15" t="s">
        <v>817</v>
      </c>
      <c r="C106" s="25"/>
      <c r="D106" s="38"/>
      <c r="E106" s="25"/>
      <c r="F106" s="25"/>
      <c r="G106" s="25"/>
      <c r="H106" s="25"/>
      <c r="I106" s="25"/>
      <c r="J106" s="25"/>
    </row>
    <row r="107" spans="1:10" s="16" customFormat="1" ht="12" customHeight="1">
      <c r="A107" s="25"/>
      <c r="B107" s="15" t="s">
        <v>818</v>
      </c>
      <c r="C107" s="25"/>
      <c r="D107" s="25"/>
      <c r="E107" s="25"/>
      <c r="F107" s="25"/>
      <c r="G107" s="25"/>
      <c r="H107" s="25"/>
      <c r="I107" s="25"/>
      <c r="J107" s="25"/>
    </row>
    <row r="108" spans="1:10" s="16" customFormat="1" ht="12" customHeight="1">
      <c r="A108" s="25"/>
      <c r="B108" s="15" t="s">
        <v>819</v>
      </c>
      <c r="C108" s="25"/>
      <c r="D108" s="38"/>
      <c r="E108" s="25"/>
      <c r="F108" s="25"/>
      <c r="G108" s="25"/>
      <c r="H108" s="25"/>
      <c r="I108" s="25"/>
      <c r="J108" s="25"/>
    </row>
    <row r="109" spans="1:10" s="16" customFormat="1" ht="12" customHeight="1">
      <c r="A109" s="25"/>
      <c r="B109" s="15" t="s">
        <v>820</v>
      </c>
      <c r="C109" s="25"/>
      <c r="D109" s="25"/>
      <c r="E109" s="25"/>
      <c r="F109" s="25"/>
      <c r="G109" s="25"/>
      <c r="H109" s="25"/>
      <c r="I109" s="25"/>
      <c r="J109" s="25"/>
    </row>
    <row r="110" spans="1:10" s="16" customFormat="1" ht="12" customHeight="1">
      <c r="A110" s="25"/>
      <c r="B110" s="15" t="s">
        <v>821</v>
      </c>
      <c r="C110" s="25"/>
      <c r="D110" s="25"/>
      <c r="E110" s="25"/>
      <c r="F110" s="25"/>
      <c r="G110" s="25"/>
      <c r="H110" s="25"/>
      <c r="I110" s="25"/>
      <c r="J110" s="25"/>
    </row>
    <row r="111" spans="1:10" s="16" customFormat="1" ht="12" customHeight="1">
      <c r="A111" s="25"/>
      <c r="B111" s="15"/>
      <c r="C111" s="25"/>
      <c r="D111" s="38"/>
      <c r="E111" s="25"/>
      <c r="F111" s="25"/>
      <c r="G111" s="25"/>
      <c r="H111" s="25"/>
      <c r="I111" s="25"/>
      <c r="J111" s="25"/>
    </row>
    <row r="112" spans="1:10" s="16" customFormat="1" ht="12" customHeight="1">
      <c r="A112" s="25"/>
      <c r="B112" s="15" t="s">
        <v>822</v>
      </c>
      <c r="C112" s="25"/>
      <c r="D112" s="25"/>
      <c r="E112" s="25"/>
      <c r="F112" s="25"/>
      <c r="G112" s="25"/>
      <c r="H112" s="25"/>
      <c r="I112" s="25"/>
      <c r="J112" s="25"/>
    </row>
    <row r="113" spans="1:10" s="16" customFormat="1" ht="12" customHeight="1">
      <c r="A113" s="25"/>
      <c r="B113" s="15" t="s">
        <v>823</v>
      </c>
      <c r="C113" s="25"/>
      <c r="D113" s="25"/>
      <c r="E113" s="25"/>
      <c r="F113" s="25"/>
      <c r="G113" s="25"/>
      <c r="H113" s="25"/>
      <c r="I113" s="25"/>
      <c r="J113" s="25"/>
    </row>
    <row r="114" spans="1:10" s="16" customFormat="1" ht="12" customHeight="1">
      <c r="A114" s="25"/>
      <c r="B114" s="15" t="s">
        <v>824</v>
      </c>
      <c r="C114" s="25"/>
      <c r="D114" s="25"/>
      <c r="E114" s="25"/>
      <c r="F114" s="25"/>
      <c r="G114" s="25"/>
      <c r="H114" s="25"/>
      <c r="I114" s="25"/>
      <c r="J114" s="25"/>
    </row>
    <row r="115" spans="1:10" s="16" customFormat="1" ht="12" customHeight="1">
      <c r="A115" s="25"/>
      <c r="B115" s="15" t="s">
        <v>825</v>
      </c>
      <c r="C115" s="39"/>
      <c r="D115" s="25"/>
      <c r="E115" s="25"/>
      <c r="F115" s="25"/>
      <c r="G115" s="25"/>
      <c r="H115" s="25"/>
      <c r="I115" s="25"/>
      <c r="J115" s="25"/>
    </row>
    <row r="116" spans="1:10" s="16" customFormat="1" ht="12" customHeight="1">
      <c r="A116" s="25"/>
      <c r="B116" s="15"/>
      <c r="C116" s="25"/>
      <c r="D116" s="25"/>
      <c r="E116" s="25"/>
      <c r="F116" s="25"/>
      <c r="G116" s="25"/>
      <c r="H116" s="25"/>
      <c r="I116" s="25"/>
      <c r="J116" s="25"/>
    </row>
    <row r="117" spans="1:10" s="16" customFormat="1" ht="12" customHeight="1">
      <c r="A117" s="25"/>
      <c r="B117" s="15" t="s">
        <v>826</v>
      </c>
      <c r="C117" s="25"/>
      <c r="D117" s="25"/>
      <c r="E117" s="25"/>
      <c r="F117" s="25"/>
      <c r="G117" s="25"/>
      <c r="H117" s="25"/>
      <c r="I117" s="25"/>
      <c r="J117" s="25"/>
    </row>
    <row r="118" spans="1:10" s="16" customFormat="1" ht="12" customHeight="1">
      <c r="A118" s="25"/>
      <c r="B118" s="15" t="s">
        <v>827</v>
      </c>
      <c r="C118" s="25"/>
      <c r="D118" s="25"/>
      <c r="E118" s="25"/>
      <c r="F118" s="25"/>
      <c r="G118" s="25"/>
      <c r="H118" s="25"/>
      <c r="I118" s="25"/>
      <c r="J118" s="25"/>
    </row>
    <row r="119" spans="1:10" s="16" customFormat="1" ht="12" customHeight="1">
      <c r="A119" s="25"/>
      <c r="B119" s="15" t="s">
        <v>828</v>
      </c>
      <c r="C119" s="25"/>
      <c r="D119" s="25"/>
      <c r="E119" s="25"/>
      <c r="F119" s="25"/>
      <c r="G119" s="25"/>
      <c r="H119" s="25"/>
      <c r="I119" s="25"/>
      <c r="J119" s="25"/>
    </row>
    <row r="120" spans="1:10" s="16" customFormat="1" ht="12" customHeight="1">
      <c r="A120" s="25"/>
      <c r="B120" s="15" t="s">
        <v>837</v>
      </c>
      <c r="C120" s="25"/>
      <c r="D120" s="25"/>
      <c r="E120" s="25"/>
      <c r="F120" s="25"/>
      <c r="G120" s="25"/>
      <c r="H120" s="25"/>
      <c r="I120" s="25"/>
      <c r="J120" s="25"/>
    </row>
    <row r="121" spans="1:10" s="16" customFormat="1" ht="12" customHeight="1">
      <c r="A121" s="25"/>
      <c r="B121" s="15" t="s">
        <v>838</v>
      </c>
      <c r="C121" s="25"/>
      <c r="D121" s="25"/>
      <c r="E121" s="25"/>
      <c r="F121" s="25"/>
      <c r="G121" s="25"/>
      <c r="H121" s="25"/>
      <c r="I121" s="25"/>
      <c r="J121" s="25"/>
    </row>
    <row r="122" spans="1:10" s="16" customFormat="1" ht="12" customHeight="1">
      <c r="A122" s="25"/>
      <c r="B122" s="15"/>
      <c r="C122" s="25"/>
      <c r="D122" s="25"/>
      <c r="E122" s="25"/>
      <c r="F122" s="25"/>
      <c r="G122" s="25"/>
      <c r="H122" s="25"/>
      <c r="I122" s="25"/>
      <c r="J122" s="25"/>
    </row>
    <row r="123" spans="1:10" s="16" customFormat="1" ht="12" customHeight="1">
      <c r="A123" s="25"/>
      <c r="B123" s="15" t="s">
        <v>839</v>
      </c>
      <c r="C123" s="25"/>
      <c r="D123" s="25"/>
      <c r="E123" s="25"/>
      <c r="F123" s="25"/>
      <c r="G123" s="25"/>
      <c r="H123" s="25"/>
      <c r="I123" s="25"/>
      <c r="J123" s="25"/>
    </row>
    <row r="124" spans="1:10" s="16" customFormat="1" ht="12" customHeight="1">
      <c r="A124" s="25"/>
      <c r="B124" s="15" t="s">
        <v>840</v>
      </c>
      <c r="C124" s="25"/>
      <c r="D124" s="25"/>
      <c r="E124" s="25"/>
      <c r="F124" s="25"/>
      <c r="G124" s="25"/>
      <c r="H124" s="25"/>
      <c r="I124" s="25"/>
      <c r="J124" s="25"/>
    </row>
    <row r="125" spans="1:10" s="16" customFormat="1" ht="12" customHeight="1">
      <c r="A125" s="25"/>
      <c r="B125" s="15" t="s">
        <v>841</v>
      </c>
      <c r="C125" s="25"/>
      <c r="D125" s="25"/>
      <c r="E125" s="25"/>
      <c r="F125" s="25"/>
      <c r="G125" s="25"/>
      <c r="H125" s="25"/>
      <c r="I125" s="25"/>
      <c r="J125" s="25"/>
    </row>
    <row r="126" spans="1:10" s="16" customFormat="1" ht="12" customHeight="1">
      <c r="A126" s="25"/>
      <c r="B126" s="15"/>
      <c r="C126" s="25"/>
      <c r="D126" s="25"/>
      <c r="E126" s="25"/>
      <c r="F126" s="25"/>
      <c r="G126" s="25"/>
      <c r="H126" s="25"/>
      <c r="I126" s="25"/>
      <c r="J126" s="25"/>
    </row>
    <row r="127" spans="1:10" s="16" customFormat="1" ht="12" customHeight="1">
      <c r="A127" s="25"/>
      <c r="B127" s="15" t="s">
        <v>842</v>
      </c>
      <c r="C127" s="25"/>
      <c r="D127" s="25"/>
      <c r="E127" s="25"/>
      <c r="F127" s="25"/>
      <c r="G127" s="25"/>
      <c r="H127" s="25"/>
      <c r="I127" s="25"/>
      <c r="J127" s="25"/>
    </row>
    <row r="128" spans="1:10" s="16" customFormat="1" ht="12" customHeight="1">
      <c r="A128" s="25"/>
      <c r="B128" s="15" t="s">
        <v>843</v>
      </c>
      <c r="C128" s="25"/>
      <c r="D128" s="25"/>
      <c r="E128" s="25"/>
      <c r="F128" s="25"/>
      <c r="G128" s="25"/>
      <c r="H128" s="25"/>
      <c r="I128" s="25"/>
      <c r="J128" s="25"/>
    </row>
    <row r="129" spans="1:10" s="16" customFormat="1" ht="12" customHeight="1">
      <c r="A129" s="25"/>
      <c r="B129" s="15" t="s">
        <v>844</v>
      </c>
      <c r="C129" s="25"/>
      <c r="D129" s="25"/>
      <c r="E129" s="25"/>
      <c r="F129" s="25"/>
      <c r="G129" s="25"/>
      <c r="H129" s="25"/>
      <c r="I129" s="25"/>
      <c r="J129" s="25"/>
    </row>
    <row r="130" spans="1:10" s="16" customFormat="1" ht="12" customHeight="1">
      <c r="A130" s="25"/>
      <c r="B130" s="15" t="s">
        <v>845</v>
      </c>
      <c r="C130" s="25"/>
      <c r="D130" s="25"/>
      <c r="E130" s="25"/>
      <c r="F130" s="25"/>
      <c r="G130" s="25"/>
      <c r="H130" s="25"/>
      <c r="I130" s="25"/>
      <c r="J130" s="25"/>
    </row>
    <row r="131" spans="1:10" s="16" customFormat="1" ht="12" customHeight="1">
      <c r="A131" s="25"/>
      <c r="B131" s="15" t="s">
        <v>846</v>
      </c>
      <c r="C131" s="25"/>
      <c r="D131" s="25"/>
      <c r="E131" s="25"/>
      <c r="F131" s="25"/>
      <c r="G131" s="25"/>
      <c r="H131" s="25"/>
      <c r="I131" s="25"/>
      <c r="J131" s="25"/>
    </row>
    <row r="132" spans="1:10" s="16" customFormat="1" ht="12" customHeight="1">
      <c r="A132" s="25"/>
      <c r="B132" s="15"/>
      <c r="C132" s="25"/>
      <c r="D132" s="25"/>
      <c r="E132" s="25"/>
      <c r="F132" s="25"/>
      <c r="G132" s="25"/>
      <c r="H132" s="25"/>
      <c r="I132" s="25"/>
      <c r="J132" s="25"/>
    </row>
    <row r="133" spans="1:10" s="16" customFormat="1" ht="12" customHeight="1">
      <c r="A133" s="25"/>
      <c r="B133" s="15" t="s">
        <v>847</v>
      </c>
      <c r="C133" s="25"/>
      <c r="D133" s="25"/>
      <c r="E133" s="25"/>
      <c r="F133" s="25"/>
      <c r="G133" s="25"/>
      <c r="H133" s="25"/>
      <c r="I133" s="25"/>
      <c r="J133" s="25"/>
    </row>
    <row r="134" spans="1:10" s="16" customFormat="1" ht="12" customHeight="1">
      <c r="A134" s="25"/>
      <c r="B134" s="15" t="s">
        <v>848</v>
      </c>
      <c r="C134" s="25"/>
      <c r="D134" s="25"/>
      <c r="E134" s="25"/>
      <c r="F134" s="25"/>
      <c r="G134" s="25"/>
      <c r="H134" s="25"/>
      <c r="I134" s="25"/>
      <c r="J134" s="25"/>
    </row>
    <row r="135" spans="1:10" s="16" customFormat="1" ht="12" customHeight="1">
      <c r="A135" s="25"/>
      <c r="B135" s="15" t="s">
        <v>849</v>
      </c>
      <c r="C135" s="25"/>
      <c r="D135" s="25"/>
      <c r="E135" s="25"/>
      <c r="F135" s="25"/>
      <c r="G135" s="25"/>
      <c r="H135" s="25"/>
      <c r="I135" s="25"/>
      <c r="J135" s="25"/>
    </row>
    <row r="136" spans="1:10" s="16" customFormat="1" ht="12" customHeight="1">
      <c r="A136" s="25"/>
      <c r="B136" s="15" t="s">
        <v>850</v>
      </c>
      <c r="C136" s="25"/>
      <c r="D136" s="25"/>
      <c r="E136" s="25"/>
      <c r="F136" s="25"/>
      <c r="G136" s="25"/>
      <c r="H136" s="25"/>
      <c r="I136" s="25"/>
      <c r="J136" s="25"/>
    </row>
    <row r="137" spans="1:10" s="16" customFormat="1" ht="12" customHeight="1">
      <c r="A137" s="25"/>
      <c r="B137" s="15" t="s">
        <v>851</v>
      </c>
      <c r="C137" s="25"/>
      <c r="D137" s="25"/>
      <c r="E137" s="25"/>
      <c r="F137" s="25"/>
      <c r="G137" s="25"/>
      <c r="H137" s="25"/>
      <c r="I137" s="25"/>
      <c r="J137" s="25"/>
    </row>
    <row r="138" spans="1:10" s="16" customFormat="1" ht="12" customHeight="1">
      <c r="A138" s="25"/>
      <c r="B138" s="15" t="s">
        <v>852</v>
      </c>
      <c r="C138" s="25"/>
      <c r="D138" s="25"/>
      <c r="E138" s="25"/>
      <c r="F138" s="25"/>
      <c r="G138" s="25"/>
      <c r="H138" s="25"/>
      <c r="I138" s="25"/>
      <c r="J138" s="25"/>
    </row>
    <row r="139" spans="1:10" s="16" customFormat="1" ht="12" customHeight="1">
      <c r="A139" s="25"/>
      <c r="B139" s="15" t="s">
        <v>853</v>
      </c>
      <c r="C139" s="25"/>
      <c r="D139" s="25"/>
      <c r="E139" s="25"/>
      <c r="F139" s="25"/>
      <c r="G139" s="25"/>
      <c r="H139" s="25"/>
      <c r="I139" s="25"/>
      <c r="J139" s="25"/>
    </row>
    <row r="140" spans="1:10" s="16" customFormat="1" ht="12" customHeight="1">
      <c r="A140" s="25"/>
      <c r="B140" s="15" t="s">
        <v>854</v>
      </c>
      <c r="C140" s="25"/>
      <c r="D140" s="25"/>
      <c r="E140" s="25"/>
      <c r="F140" s="25"/>
      <c r="G140" s="25"/>
      <c r="H140" s="25"/>
      <c r="I140" s="25"/>
      <c r="J140" s="25"/>
    </row>
    <row r="141" spans="1:10" s="16" customFormat="1" ht="12" customHeight="1">
      <c r="A141" s="25"/>
      <c r="B141" s="15" t="s">
        <v>855</v>
      </c>
      <c r="C141" s="25"/>
      <c r="D141" s="25"/>
      <c r="E141" s="25"/>
      <c r="F141" s="25"/>
      <c r="G141" s="25"/>
      <c r="H141" s="25"/>
      <c r="I141" s="25"/>
      <c r="J141" s="25"/>
    </row>
    <row r="142" spans="1:10" s="16" customFormat="1" ht="12" customHeight="1">
      <c r="A142" s="25"/>
      <c r="B142" s="15" t="s">
        <v>856</v>
      </c>
      <c r="C142" s="25"/>
      <c r="D142" s="25"/>
      <c r="E142" s="25"/>
      <c r="F142" s="25"/>
      <c r="G142" s="25"/>
      <c r="H142" s="25"/>
      <c r="I142" s="25"/>
      <c r="J142" s="25"/>
    </row>
    <row r="143" spans="1:10" s="16" customFormat="1" ht="12" customHeight="1">
      <c r="A143" s="25"/>
      <c r="B143" s="15"/>
      <c r="C143" s="25"/>
      <c r="D143" s="25"/>
      <c r="E143" s="25"/>
      <c r="F143" s="25"/>
      <c r="G143" s="25"/>
      <c r="H143" s="25"/>
      <c r="I143" s="25"/>
      <c r="J143" s="25"/>
    </row>
    <row r="144" spans="1:10" s="16" customFormat="1" ht="12" customHeight="1">
      <c r="A144" s="25"/>
      <c r="B144" s="15" t="s">
        <v>857</v>
      </c>
      <c r="C144" s="25"/>
      <c r="D144" s="25"/>
      <c r="E144" s="25"/>
      <c r="F144" s="25"/>
      <c r="G144" s="25"/>
      <c r="H144" s="25"/>
      <c r="I144" s="25"/>
      <c r="J144" s="25"/>
    </row>
    <row r="145" spans="1:10" s="16" customFormat="1" ht="12" customHeight="1">
      <c r="A145" s="25"/>
      <c r="B145" s="15" t="s">
        <v>858</v>
      </c>
      <c r="C145" s="25"/>
      <c r="D145" s="25"/>
      <c r="E145" s="25"/>
      <c r="F145" s="25"/>
      <c r="G145" s="25"/>
      <c r="H145" s="25"/>
      <c r="I145" s="25"/>
      <c r="J145" s="25"/>
    </row>
    <row r="146" spans="1:10" s="16" customFormat="1" ht="12" customHeight="1">
      <c r="A146" s="25"/>
      <c r="B146" s="15" t="s">
        <v>873</v>
      </c>
      <c r="C146" s="25"/>
      <c r="D146" s="25"/>
      <c r="E146" s="25"/>
      <c r="F146" s="25"/>
      <c r="G146" s="25"/>
      <c r="H146" s="25"/>
      <c r="I146" s="25"/>
      <c r="J146" s="25"/>
    </row>
    <row r="147" spans="1:10" s="16" customFormat="1" ht="12" customHeight="1">
      <c r="A147" s="25"/>
      <c r="B147" s="15" t="s">
        <v>874</v>
      </c>
      <c r="C147" s="25"/>
      <c r="D147" s="25"/>
      <c r="E147" s="25"/>
      <c r="F147" s="25"/>
      <c r="G147" s="25"/>
      <c r="H147" s="25"/>
      <c r="I147" s="25"/>
      <c r="J147" s="25"/>
    </row>
    <row r="148" spans="1:10" s="16" customFormat="1" ht="12" customHeight="1">
      <c r="A148" s="25"/>
      <c r="B148" s="15" t="s">
        <v>875</v>
      </c>
      <c r="C148" s="25"/>
      <c r="D148" s="25"/>
      <c r="E148" s="25"/>
      <c r="F148" s="25"/>
      <c r="G148" s="25"/>
      <c r="H148" s="25"/>
      <c r="I148" s="25"/>
      <c r="J148" s="25"/>
    </row>
    <row r="149" spans="1:10" s="16" customFormat="1" ht="12" customHeight="1">
      <c r="A149" s="25"/>
      <c r="B149" s="15" t="s">
        <v>876</v>
      </c>
      <c r="C149" s="25"/>
      <c r="D149" s="25"/>
      <c r="E149" s="25"/>
      <c r="F149" s="25"/>
      <c r="G149" s="25"/>
      <c r="H149" s="25"/>
      <c r="I149" s="25"/>
      <c r="J149" s="25"/>
    </row>
    <row r="150" spans="1:10" s="16" customFormat="1" ht="12" customHeight="1">
      <c r="A150" s="25"/>
      <c r="B150" s="15"/>
      <c r="C150" s="25"/>
      <c r="D150" s="25"/>
      <c r="E150" s="25"/>
      <c r="F150" s="25"/>
      <c r="G150" s="25"/>
      <c r="H150" s="25"/>
      <c r="I150" s="25"/>
      <c r="J150" s="25"/>
    </row>
    <row r="151" spans="1:10" s="16" customFormat="1" ht="12" customHeight="1">
      <c r="A151" s="25"/>
      <c r="B151" s="15" t="s">
        <v>877</v>
      </c>
      <c r="C151" s="25"/>
      <c r="D151" s="25"/>
      <c r="E151" s="25"/>
      <c r="F151" s="25"/>
      <c r="G151" s="25"/>
      <c r="H151" s="25"/>
      <c r="I151" s="25"/>
      <c r="J151" s="25"/>
    </row>
    <row r="152" spans="1:10" s="16" customFormat="1" ht="12" customHeight="1">
      <c r="A152" s="25"/>
      <c r="B152" s="15" t="s">
        <v>878</v>
      </c>
      <c r="C152" s="25"/>
      <c r="D152" s="25"/>
      <c r="E152" s="25"/>
      <c r="F152" s="25"/>
      <c r="G152" s="25"/>
      <c r="H152" s="25"/>
      <c r="I152" s="25"/>
      <c r="J152" s="25"/>
    </row>
    <row r="153" spans="1:10" s="16" customFormat="1" ht="12" customHeight="1">
      <c r="A153" s="25"/>
      <c r="B153" s="15"/>
      <c r="C153" s="25"/>
      <c r="D153" s="25"/>
      <c r="E153" s="25"/>
      <c r="F153" s="25"/>
      <c r="G153" s="25"/>
      <c r="H153" s="25"/>
      <c r="I153" s="25"/>
      <c r="J153" s="25"/>
    </row>
    <row r="154" spans="1:10" s="16" customFormat="1" ht="12" customHeight="1">
      <c r="A154" s="25"/>
      <c r="B154" s="15" t="s">
        <v>879</v>
      </c>
      <c r="C154" s="25"/>
      <c r="D154" s="25"/>
      <c r="E154" s="25"/>
      <c r="F154" s="25"/>
      <c r="G154" s="25"/>
      <c r="H154" s="25"/>
      <c r="I154" s="25"/>
      <c r="J154" s="25"/>
    </row>
    <row r="155" spans="1:10" s="16" customFormat="1" ht="12" customHeight="1">
      <c r="A155" s="25"/>
      <c r="B155" s="15"/>
      <c r="C155" s="25"/>
      <c r="D155" s="25"/>
      <c r="E155" s="25"/>
      <c r="F155" s="25"/>
      <c r="G155" s="25"/>
      <c r="H155" s="25"/>
      <c r="I155" s="25"/>
      <c r="J155" s="25"/>
    </row>
    <row r="156" spans="1:10" s="16" customFormat="1" ht="12" customHeight="1">
      <c r="A156" s="25"/>
      <c r="B156" s="15" t="s">
        <v>880</v>
      </c>
      <c r="C156" s="25"/>
      <c r="D156" s="25"/>
      <c r="E156" s="25"/>
      <c r="F156" s="25"/>
      <c r="G156" s="25"/>
      <c r="H156" s="25"/>
      <c r="I156" s="25"/>
      <c r="J156" s="25"/>
    </row>
    <row r="157" spans="1:10" s="16" customFormat="1" ht="12" customHeight="1">
      <c r="A157" s="25"/>
      <c r="B157" s="15"/>
      <c r="C157" s="25"/>
      <c r="D157" s="25"/>
      <c r="E157" s="25"/>
      <c r="F157" s="25"/>
      <c r="G157" s="25"/>
      <c r="H157" s="25"/>
      <c r="I157" s="25"/>
      <c r="J157" s="25"/>
    </row>
    <row r="158" spans="1:10" s="16" customFormat="1" ht="12" customHeight="1">
      <c r="A158" s="25"/>
      <c r="B158" s="15" t="s">
        <v>881</v>
      </c>
      <c r="C158" s="25"/>
      <c r="D158" s="25"/>
      <c r="E158" s="25"/>
      <c r="F158" s="25"/>
      <c r="G158" s="25"/>
      <c r="H158" s="25"/>
      <c r="I158" s="25"/>
      <c r="J158" s="25"/>
    </row>
    <row r="159" spans="1:10" s="16" customFormat="1" ht="12" customHeight="1">
      <c r="A159" s="25"/>
      <c r="B159" s="15"/>
      <c r="C159" s="25"/>
      <c r="D159" s="25"/>
      <c r="E159" s="25"/>
      <c r="F159" s="25"/>
      <c r="G159" s="25"/>
      <c r="H159" s="25"/>
      <c r="I159" s="25"/>
      <c r="J159" s="25"/>
    </row>
    <row r="160" spans="1:10" s="16" customFormat="1" ht="12" customHeight="1">
      <c r="A160" s="25"/>
      <c r="B160" s="15" t="s">
        <v>882</v>
      </c>
      <c r="C160" s="25"/>
      <c r="D160" s="25"/>
      <c r="E160" s="25"/>
      <c r="F160" s="25"/>
      <c r="G160" s="25"/>
      <c r="H160" s="25"/>
      <c r="I160" s="25"/>
      <c r="J160" s="25"/>
    </row>
    <row r="161" spans="1:10" s="16" customFormat="1" ht="12" customHeight="1">
      <c r="A161" s="25"/>
      <c r="B161" s="15" t="s">
        <v>883</v>
      </c>
      <c r="C161" s="25"/>
      <c r="D161" s="25"/>
      <c r="E161" s="25"/>
      <c r="F161" s="25"/>
      <c r="G161" s="25"/>
      <c r="H161" s="25"/>
      <c r="I161" s="25"/>
      <c r="J161" s="25"/>
    </row>
    <row r="162" spans="1:10" s="16" customFormat="1" ht="12" customHeight="1">
      <c r="A162" s="25"/>
      <c r="B162" s="15"/>
      <c r="C162" s="25"/>
      <c r="D162" s="25"/>
      <c r="E162" s="25"/>
      <c r="F162" s="25"/>
      <c r="G162" s="25"/>
      <c r="H162" s="25"/>
      <c r="I162" s="25"/>
      <c r="J162" s="25"/>
    </row>
    <row r="163" spans="1:10" s="16" customFormat="1" ht="12" customHeight="1">
      <c r="A163" s="25"/>
      <c r="B163" s="15" t="s">
        <v>884</v>
      </c>
      <c r="C163" s="25"/>
      <c r="D163" s="25"/>
      <c r="E163" s="25"/>
      <c r="F163" s="25"/>
      <c r="G163" s="25"/>
      <c r="H163" s="25"/>
      <c r="I163" s="25"/>
      <c r="J163" s="25"/>
    </row>
    <row r="164" spans="1:10" s="16" customFormat="1" ht="12" customHeight="1">
      <c r="A164" s="25"/>
      <c r="B164" s="15" t="s">
        <v>885</v>
      </c>
      <c r="C164" s="25"/>
      <c r="D164" s="25"/>
      <c r="E164" s="25"/>
      <c r="F164" s="25"/>
      <c r="G164" s="25"/>
      <c r="H164" s="25"/>
      <c r="I164" s="25"/>
      <c r="J164" s="25"/>
    </row>
    <row r="165" spans="1:10" s="16" customFormat="1" ht="12" customHeight="1">
      <c r="A165" s="25"/>
      <c r="B165" s="15" t="s">
        <v>886</v>
      </c>
      <c r="C165" s="25"/>
      <c r="D165" s="25"/>
      <c r="E165" s="25"/>
      <c r="F165" s="25"/>
      <c r="G165" s="25"/>
      <c r="H165" s="25"/>
      <c r="I165" s="25"/>
      <c r="J165" s="25"/>
    </row>
    <row r="166" spans="1:10" s="16" customFormat="1" ht="12" customHeight="1">
      <c r="A166" s="25"/>
      <c r="B166" s="15"/>
      <c r="C166" s="25"/>
      <c r="D166" s="25"/>
      <c r="E166" s="25"/>
      <c r="F166" s="25"/>
      <c r="G166" s="25"/>
      <c r="H166" s="25"/>
      <c r="I166" s="25"/>
      <c r="J166" s="25"/>
    </row>
    <row r="167" spans="1:10" s="16" customFormat="1" ht="12" customHeight="1">
      <c r="A167" s="25"/>
      <c r="B167" s="15" t="s">
        <v>887</v>
      </c>
      <c r="C167" s="25"/>
      <c r="D167" s="25"/>
      <c r="E167" s="25"/>
      <c r="F167" s="25"/>
      <c r="G167" s="25"/>
      <c r="H167" s="25"/>
      <c r="I167" s="25"/>
      <c r="J167" s="25"/>
    </row>
    <row r="168" spans="1:10" s="16" customFormat="1" ht="12" customHeight="1">
      <c r="A168" s="25"/>
      <c r="B168" s="15" t="s">
        <v>888</v>
      </c>
      <c r="C168" s="25"/>
      <c r="D168" s="25"/>
      <c r="E168" s="25"/>
      <c r="F168" s="25"/>
      <c r="G168" s="25"/>
      <c r="H168" s="25"/>
      <c r="I168" s="25"/>
      <c r="J168" s="25"/>
    </row>
    <row r="169" spans="1:10" s="16" customFormat="1" ht="12" customHeight="1">
      <c r="A169" s="25"/>
      <c r="B169" s="15" t="s">
        <v>889</v>
      </c>
      <c r="C169" s="25"/>
      <c r="D169" s="25"/>
      <c r="E169" s="25"/>
      <c r="F169" s="25"/>
      <c r="G169" s="25"/>
      <c r="H169" s="25"/>
      <c r="I169" s="25"/>
      <c r="J169" s="25"/>
    </row>
    <row r="170" spans="1:10" s="16" customFormat="1" ht="12" customHeight="1">
      <c r="A170" s="25"/>
      <c r="B170" s="15" t="s">
        <v>890</v>
      </c>
      <c r="C170" s="25"/>
      <c r="D170" s="25"/>
      <c r="E170" s="25"/>
      <c r="F170" s="25"/>
      <c r="G170" s="25"/>
      <c r="H170" s="25"/>
      <c r="I170" s="25"/>
      <c r="J170" s="25"/>
    </row>
    <row r="171" spans="1:10" s="16" customFormat="1" ht="12" customHeight="1">
      <c r="A171" s="25"/>
      <c r="B171" s="15"/>
      <c r="C171" s="25"/>
      <c r="D171" s="25"/>
      <c r="E171" s="25"/>
      <c r="F171" s="25"/>
      <c r="G171" s="25"/>
      <c r="H171" s="25"/>
      <c r="I171" s="25"/>
      <c r="J171" s="25"/>
    </row>
    <row r="172" spans="1:10" s="16" customFormat="1" ht="12" customHeight="1">
      <c r="A172" s="25"/>
      <c r="B172" s="15" t="s">
        <v>891</v>
      </c>
      <c r="C172" s="25"/>
      <c r="D172" s="25"/>
      <c r="E172" s="25"/>
      <c r="F172" s="25"/>
      <c r="G172" s="25"/>
      <c r="H172" s="25"/>
      <c r="I172" s="25"/>
      <c r="J172" s="25"/>
    </row>
    <row r="173" spans="1:10" s="16" customFormat="1" ht="12" customHeight="1">
      <c r="A173" s="25"/>
      <c r="B173" s="15" t="s">
        <v>892</v>
      </c>
      <c r="C173" s="25"/>
      <c r="D173" s="25"/>
      <c r="E173" s="25"/>
      <c r="F173" s="25"/>
      <c r="G173" s="25"/>
      <c r="H173" s="25"/>
      <c r="I173" s="25"/>
      <c r="J173" s="25"/>
    </row>
    <row r="174" spans="1:10" s="16" customFormat="1" ht="12" customHeight="1">
      <c r="A174" s="25"/>
      <c r="B174" s="15"/>
      <c r="C174" s="25"/>
      <c r="D174" s="25"/>
      <c r="E174" s="25"/>
      <c r="F174" s="25"/>
      <c r="G174" s="25"/>
      <c r="H174" s="25"/>
      <c r="I174" s="25"/>
      <c r="J174" s="25"/>
    </row>
    <row r="175" spans="1:10" s="16" customFormat="1" ht="12" customHeight="1">
      <c r="A175" s="25"/>
      <c r="B175" s="15" t="s">
        <v>893</v>
      </c>
      <c r="C175" s="25"/>
      <c r="D175" s="25"/>
      <c r="E175" s="25"/>
      <c r="F175" s="25"/>
      <c r="G175" s="25"/>
      <c r="H175" s="25"/>
      <c r="I175" s="25"/>
      <c r="J175" s="25"/>
    </row>
    <row r="176" spans="1:10" s="16" customFormat="1" ht="12" customHeight="1">
      <c r="A176" s="25"/>
      <c r="B176" s="15" t="s">
        <v>894</v>
      </c>
      <c r="C176" s="25"/>
      <c r="D176" s="25"/>
      <c r="E176" s="25"/>
      <c r="F176" s="25"/>
      <c r="G176" s="25"/>
      <c r="H176" s="25"/>
      <c r="I176" s="25"/>
      <c r="J176" s="25"/>
    </row>
    <row r="177" spans="1:10" s="16" customFormat="1" ht="12" customHeight="1">
      <c r="A177" s="25"/>
      <c r="B177" s="15" t="s">
        <v>895</v>
      </c>
      <c r="C177" s="25"/>
      <c r="D177" s="25"/>
      <c r="E177" s="25"/>
      <c r="F177" s="25"/>
      <c r="G177" s="25"/>
      <c r="H177" s="25"/>
      <c r="I177" s="25"/>
      <c r="J177" s="25"/>
    </row>
    <row r="178" spans="1:10" s="16" customFormat="1" ht="12" customHeight="1">
      <c r="A178" s="25"/>
      <c r="B178" s="15" t="s">
        <v>896</v>
      </c>
      <c r="C178" s="25"/>
      <c r="D178" s="25"/>
      <c r="E178" s="25"/>
      <c r="F178" s="25"/>
      <c r="G178" s="25"/>
      <c r="H178" s="25"/>
      <c r="I178" s="25"/>
      <c r="J178" s="25"/>
    </row>
    <row r="179" spans="1:10" s="16" customFormat="1" ht="12" customHeight="1">
      <c r="A179" s="25"/>
      <c r="B179" s="15" t="s">
        <v>897</v>
      </c>
      <c r="C179" s="25"/>
      <c r="D179" s="25"/>
      <c r="E179" s="25"/>
      <c r="F179" s="25"/>
      <c r="G179" s="25"/>
      <c r="H179" s="25"/>
      <c r="I179" s="25"/>
      <c r="J179" s="25"/>
    </row>
    <row r="180" spans="1:10" s="16" customFormat="1" ht="12" customHeight="1">
      <c r="A180" s="25"/>
      <c r="B180" s="15" t="s">
        <v>898</v>
      </c>
      <c r="C180" s="25"/>
      <c r="D180" s="25"/>
      <c r="E180" s="25"/>
      <c r="F180" s="25"/>
      <c r="G180" s="25"/>
      <c r="H180" s="25"/>
      <c r="I180" s="25"/>
      <c r="J180" s="25"/>
    </row>
    <row r="181" spans="1:10" s="16" customFormat="1" ht="12" customHeight="1">
      <c r="A181" s="25"/>
      <c r="B181" s="15"/>
      <c r="C181" s="25"/>
      <c r="D181" s="25"/>
      <c r="E181" s="25"/>
      <c r="F181" s="25"/>
      <c r="G181" s="25"/>
      <c r="H181" s="25"/>
      <c r="I181" s="25"/>
      <c r="J181" s="25"/>
    </row>
    <row r="182" spans="1:10" s="16" customFormat="1" ht="12" customHeight="1">
      <c r="A182" s="25"/>
      <c r="B182" s="15" t="s">
        <v>902</v>
      </c>
      <c r="C182" s="25"/>
      <c r="D182" s="25"/>
      <c r="E182" s="25"/>
      <c r="F182" s="25"/>
      <c r="G182" s="25"/>
      <c r="H182" s="25"/>
      <c r="I182" s="25"/>
      <c r="J182" s="25"/>
    </row>
    <row r="183" spans="1:10" s="16" customFormat="1" ht="12" customHeight="1">
      <c r="A183" s="25"/>
      <c r="B183" s="15" t="s">
        <v>903</v>
      </c>
      <c r="C183" s="25"/>
      <c r="D183" s="25"/>
      <c r="E183" s="25"/>
      <c r="F183" s="25"/>
      <c r="G183" s="25"/>
      <c r="H183" s="25"/>
      <c r="I183" s="25"/>
      <c r="J183" s="25"/>
    </row>
    <row r="184" spans="1:10" s="16" customFormat="1" ht="12" customHeight="1">
      <c r="A184" s="25"/>
      <c r="B184" s="15" t="s">
        <v>904</v>
      </c>
      <c r="C184" s="25"/>
      <c r="D184" s="25"/>
      <c r="E184" s="25"/>
      <c r="F184" s="25"/>
      <c r="G184" s="25"/>
      <c r="H184" s="25"/>
      <c r="I184" s="25"/>
      <c r="J184" s="25"/>
    </row>
    <row r="185" spans="1:10" s="16" customFormat="1" ht="12" customHeight="1">
      <c r="A185" s="25"/>
      <c r="B185" s="15"/>
      <c r="C185" s="25"/>
      <c r="D185" s="25"/>
      <c r="E185" s="25"/>
      <c r="F185" s="25"/>
      <c r="G185" s="25"/>
      <c r="H185" s="25"/>
      <c r="I185" s="25"/>
      <c r="J185" s="25"/>
    </row>
    <row r="186" spans="1:10" s="16" customFormat="1" ht="12" customHeight="1">
      <c r="A186" s="25"/>
      <c r="B186" s="15" t="s">
        <v>906</v>
      </c>
      <c r="C186" s="25"/>
      <c r="D186" s="25"/>
      <c r="E186" s="25"/>
      <c r="F186" s="25"/>
      <c r="G186" s="25"/>
      <c r="H186" s="25"/>
      <c r="I186" s="25"/>
      <c r="J186" s="25"/>
    </row>
    <row r="187" spans="1:10" s="16" customFormat="1" ht="12" customHeight="1">
      <c r="A187" s="25"/>
      <c r="B187" s="15" t="s">
        <v>907</v>
      </c>
      <c r="C187" s="25"/>
      <c r="D187" s="25"/>
      <c r="E187" s="25"/>
      <c r="F187" s="25"/>
      <c r="G187" s="25"/>
      <c r="H187" s="25"/>
      <c r="I187" s="25"/>
      <c r="J187" s="25"/>
    </row>
    <row r="188" spans="1:10" s="16" customFormat="1" ht="12" customHeight="1">
      <c r="A188" s="25"/>
      <c r="B188" s="15" t="s">
        <v>908</v>
      </c>
      <c r="C188" s="25"/>
      <c r="D188" s="25"/>
      <c r="E188" s="25"/>
      <c r="F188" s="25"/>
      <c r="G188" s="25"/>
      <c r="H188" s="25"/>
      <c r="I188" s="25"/>
      <c r="J188" s="25"/>
    </row>
    <row r="189" spans="1:10" s="16" customFormat="1" ht="12" customHeight="1">
      <c r="A189" s="25"/>
      <c r="B189" s="15" t="s">
        <v>909</v>
      </c>
      <c r="C189" s="25"/>
      <c r="D189" s="25"/>
      <c r="E189" s="25"/>
      <c r="F189" s="25"/>
      <c r="G189" s="25"/>
      <c r="H189" s="25"/>
      <c r="I189" s="25"/>
      <c r="J189" s="25"/>
    </row>
    <row r="190" spans="1:10" s="16" customFormat="1" ht="12" customHeight="1">
      <c r="A190" s="25"/>
      <c r="B190" s="15" t="s">
        <v>910</v>
      </c>
      <c r="C190" s="25"/>
      <c r="D190" s="25"/>
      <c r="E190" s="25"/>
      <c r="F190" s="25"/>
      <c r="G190" s="25"/>
      <c r="H190" s="25"/>
      <c r="I190" s="25"/>
      <c r="J190" s="25"/>
    </row>
    <row r="191" spans="1:10" s="16" customFormat="1" ht="12" customHeight="1">
      <c r="A191" s="25"/>
      <c r="B191" s="15" t="s">
        <v>911</v>
      </c>
      <c r="C191" s="25"/>
      <c r="D191" s="25"/>
      <c r="E191" s="25"/>
      <c r="F191" s="25"/>
      <c r="G191" s="25"/>
      <c r="H191" s="25"/>
      <c r="I191" s="25"/>
      <c r="J191" s="25"/>
    </row>
    <row r="192" spans="1:10" s="16" customFormat="1" ht="12" customHeight="1">
      <c r="A192" s="25"/>
      <c r="B192" s="15" t="s">
        <v>912</v>
      </c>
      <c r="C192" s="25"/>
      <c r="D192" s="25"/>
      <c r="E192" s="25"/>
      <c r="F192" s="25"/>
      <c r="G192" s="25"/>
      <c r="H192" s="25"/>
      <c r="I192" s="25"/>
      <c r="J192" s="25"/>
    </row>
    <row r="193" spans="1:10" s="16" customFormat="1" ht="12" customHeight="1">
      <c r="A193" s="25"/>
      <c r="B193" s="15" t="s">
        <v>913</v>
      </c>
      <c r="C193" s="25"/>
      <c r="D193" s="25"/>
      <c r="E193" s="25"/>
      <c r="F193" s="25"/>
      <c r="G193" s="25"/>
      <c r="H193" s="25"/>
      <c r="I193" s="25"/>
      <c r="J193" s="25"/>
    </row>
    <row r="194" spans="1:10" s="16" customFormat="1" ht="12" customHeight="1">
      <c r="A194" s="25"/>
      <c r="B194" s="15"/>
      <c r="C194" s="25"/>
      <c r="D194" s="25"/>
      <c r="E194" s="25"/>
      <c r="F194" s="25"/>
      <c r="G194" s="25"/>
      <c r="H194" s="25"/>
      <c r="I194" s="25"/>
      <c r="J194" s="25"/>
    </row>
    <row r="195" spans="1:10" s="16" customFormat="1" ht="12" customHeight="1">
      <c r="A195" s="25"/>
      <c r="B195" s="15" t="s">
        <v>914</v>
      </c>
      <c r="C195" s="25"/>
      <c r="D195" s="25"/>
      <c r="E195" s="25"/>
      <c r="F195" s="25"/>
      <c r="G195" s="25"/>
      <c r="H195" s="25"/>
      <c r="I195" s="25"/>
      <c r="J195" s="25"/>
    </row>
    <row r="196" spans="1:10" s="16" customFormat="1" ht="12" customHeight="1">
      <c r="A196" s="25"/>
      <c r="B196" s="15"/>
      <c r="C196" s="25"/>
      <c r="D196" s="25"/>
      <c r="E196" s="25"/>
      <c r="F196" s="25"/>
      <c r="G196" s="25"/>
      <c r="H196" s="25"/>
      <c r="I196" s="25"/>
      <c r="J196" s="25"/>
    </row>
    <row r="197" spans="1:10" ht="12" customHeight="1">
      <c r="A197" s="2"/>
      <c r="B197" s="15" t="s">
        <v>915</v>
      </c>
      <c r="C197" s="2"/>
      <c r="D197" s="2"/>
      <c r="E197" s="2"/>
      <c r="F197" s="2"/>
      <c r="G197" s="2"/>
      <c r="H197" s="2"/>
      <c r="I197" s="2"/>
      <c r="J197" s="2"/>
    </row>
    <row r="198" spans="1:10" ht="12" customHeight="1">
      <c r="A198" s="2"/>
      <c r="B198" s="15" t="s">
        <v>916</v>
      </c>
      <c r="C198" s="2"/>
      <c r="D198" s="2"/>
      <c r="E198" s="2"/>
      <c r="F198" s="2"/>
      <c r="G198" s="2"/>
      <c r="H198" s="2"/>
      <c r="I198" s="2"/>
      <c r="J198" s="2"/>
    </row>
    <row r="199" spans="1:10" ht="13.5">
      <c r="A199" s="2"/>
      <c r="B199" s="15" t="s">
        <v>917</v>
      </c>
      <c r="C199" s="2"/>
      <c r="D199" s="2"/>
      <c r="E199" s="2"/>
      <c r="F199" s="2"/>
      <c r="G199" s="2"/>
      <c r="H199" s="2"/>
      <c r="I199" s="2"/>
      <c r="J199" s="2"/>
    </row>
    <row r="200" spans="1:10" ht="13.5">
      <c r="A200" s="2"/>
      <c r="B200" s="15"/>
      <c r="C200" s="2"/>
      <c r="D200" s="2"/>
      <c r="E200" s="2"/>
      <c r="F200" s="2"/>
      <c r="G200" s="2"/>
      <c r="H200" s="2"/>
      <c r="I200" s="2"/>
      <c r="J200" s="2"/>
    </row>
    <row r="201" spans="1:10" ht="13.5">
      <c r="B201" s="15" t="s">
        <v>918</v>
      </c>
    </row>
    <row r="202" spans="1:10" ht="13.5">
      <c r="B202" s="15" t="s">
        <v>919</v>
      </c>
    </row>
    <row r="203" spans="1:10" ht="13.5">
      <c r="B203" s="15" t="s">
        <v>920</v>
      </c>
    </row>
    <row r="204" spans="1:10" ht="13.5">
      <c r="B204" s="15" t="s">
        <v>921</v>
      </c>
    </row>
    <row r="205" spans="1:10" ht="13.5">
      <c r="B205" s="15"/>
    </row>
    <row r="206" spans="1:10" ht="13.5">
      <c r="B206" s="15" t="s">
        <v>922</v>
      </c>
    </row>
    <row r="207" spans="1:10" ht="13.5">
      <c r="B207" s="15" t="s">
        <v>923</v>
      </c>
    </row>
    <row r="208" spans="1:10" ht="13.5">
      <c r="B208" s="15" t="s">
        <v>924</v>
      </c>
    </row>
    <row r="209" spans="2:2" ht="13.5">
      <c r="B209" s="15" t="s">
        <v>925</v>
      </c>
    </row>
    <row r="210" spans="2:2" ht="13.5">
      <c r="B210" s="15" t="s">
        <v>926</v>
      </c>
    </row>
    <row r="211" spans="2:2" ht="13.5">
      <c r="B211" s="15" t="s">
        <v>927</v>
      </c>
    </row>
    <row r="212" spans="2:2" ht="13.5">
      <c r="B212" s="15" t="s">
        <v>928</v>
      </c>
    </row>
    <row r="213" spans="2:2" ht="13.5">
      <c r="B213" s="15" t="s">
        <v>929</v>
      </c>
    </row>
    <row r="214" spans="2:2" ht="13.5">
      <c r="B214" s="15" t="s">
        <v>930</v>
      </c>
    </row>
    <row r="215" spans="2:2" ht="13.5">
      <c r="B215" s="15" t="s">
        <v>931</v>
      </c>
    </row>
    <row r="216" spans="2:2" ht="13.5">
      <c r="B216" s="15"/>
    </row>
    <row r="217" spans="2:2" ht="13.5">
      <c r="B217" s="15" t="s">
        <v>932</v>
      </c>
    </row>
    <row r="218" spans="2:2" ht="13.5">
      <c r="B218" s="15" t="s">
        <v>934</v>
      </c>
    </row>
    <row r="219" spans="2:2" ht="13.5">
      <c r="B219" s="15" t="s">
        <v>935</v>
      </c>
    </row>
    <row r="220" spans="2:2" ht="13.5">
      <c r="B220" s="15" t="s">
        <v>936</v>
      </c>
    </row>
    <row r="221" spans="2:2" ht="13.5">
      <c r="B221" s="15" t="s">
        <v>937</v>
      </c>
    </row>
    <row r="222" spans="2:2" ht="13.5">
      <c r="B222" s="15" t="s">
        <v>940</v>
      </c>
    </row>
    <row r="223" spans="2:2" ht="13.5">
      <c r="B223" s="15" t="s">
        <v>941</v>
      </c>
    </row>
    <row r="224" spans="2:2" ht="13.5">
      <c r="B224" s="15" t="s">
        <v>942</v>
      </c>
    </row>
    <row r="225" spans="2:2" ht="13.5">
      <c r="B225" s="15" t="s">
        <v>943</v>
      </c>
    </row>
    <row r="226" spans="2:2" ht="13.5">
      <c r="B226" s="15" t="s">
        <v>944</v>
      </c>
    </row>
    <row r="227" spans="2:2" ht="13.5">
      <c r="B227" s="15" t="s">
        <v>945</v>
      </c>
    </row>
    <row r="228" spans="2:2" ht="13.5">
      <c r="B228" s="15" t="s">
        <v>946</v>
      </c>
    </row>
    <row r="229" spans="2:2" ht="13.5">
      <c r="B229" s="15"/>
    </row>
    <row r="230" spans="2:2" ht="13.5">
      <c r="B230" s="15" t="s">
        <v>947</v>
      </c>
    </row>
    <row r="231" spans="2:2" ht="13.5">
      <c r="B231" s="15" t="s">
        <v>948</v>
      </c>
    </row>
    <row r="232" spans="2:2" ht="13.5">
      <c r="B232" s="15" t="s">
        <v>949</v>
      </c>
    </row>
    <row r="233" spans="2:2" ht="13.5">
      <c r="B233" s="15"/>
    </row>
    <row r="234" spans="2:2" ht="13.5">
      <c r="B234" s="15" t="s">
        <v>950</v>
      </c>
    </row>
    <row r="235" spans="2:2" ht="13.5">
      <c r="B235" s="15" t="s">
        <v>951</v>
      </c>
    </row>
    <row r="236" spans="2:2" ht="13.5">
      <c r="B236" s="15"/>
    </row>
    <row r="237" spans="2:2" ht="13.5">
      <c r="B237" s="15" t="s">
        <v>952</v>
      </c>
    </row>
    <row r="238" spans="2:2" ht="13.5">
      <c r="B238" s="15"/>
    </row>
    <row r="239" spans="2:2" ht="13.5">
      <c r="B239" s="15" t="s">
        <v>953</v>
      </c>
    </row>
    <row r="240" spans="2:2" ht="13.5">
      <c r="B240" s="15" t="s">
        <v>954</v>
      </c>
    </row>
    <row r="241" spans="2:2" ht="13.5">
      <c r="B241" s="15" t="s">
        <v>955</v>
      </c>
    </row>
    <row r="242" spans="2:2" ht="13.5">
      <c r="B242" s="15" t="s">
        <v>956</v>
      </c>
    </row>
    <row r="243" spans="2:2" ht="13.5">
      <c r="B243" s="15" t="s">
        <v>957</v>
      </c>
    </row>
    <row r="244" spans="2:2" ht="13.5">
      <c r="B244" s="15" t="s">
        <v>958</v>
      </c>
    </row>
    <row r="245" spans="2:2" ht="13.5">
      <c r="B245" s="15" t="s">
        <v>959</v>
      </c>
    </row>
    <row r="246" spans="2:2" ht="13.5">
      <c r="B246" s="15"/>
    </row>
    <row r="247" spans="2:2" ht="13.5">
      <c r="B247" s="15" t="s">
        <v>960</v>
      </c>
    </row>
    <row r="248" spans="2:2" ht="13.5">
      <c r="B248" s="15" t="s">
        <v>961</v>
      </c>
    </row>
    <row r="249" spans="2:2" ht="13.5">
      <c r="B249" s="15" t="s">
        <v>962</v>
      </c>
    </row>
    <row r="250" spans="2:2" ht="13.5">
      <c r="B250" s="15" t="s">
        <v>963</v>
      </c>
    </row>
    <row r="251" spans="2:2" ht="13.5">
      <c r="B251" s="15" t="s">
        <v>964</v>
      </c>
    </row>
    <row r="252" spans="2:2" ht="13.5">
      <c r="B252" s="15" t="s">
        <v>965</v>
      </c>
    </row>
    <row r="253" spans="2:2" ht="13.5">
      <c r="B253" s="15" t="s">
        <v>966</v>
      </c>
    </row>
    <row r="254" spans="2:2" ht="13.5">
      <c r="B254" s="15" t="s">
        <v>967</v>
      </c>
    </row>
    <row r="255" spans="2:2" ht="13.5">
      <c r="B255" s="15" t="s">
        <v>1104</v>
      </c>
    </row>
    <row r="256" spans="2:2" ht="13.5">
      <c r="B256" s="15" t="s">
        <v>1105</v>
      </c>
    </row>
    <row r="257" spans="2:2" ht="13.5">
      <c r="B257" s="15"/>
    </row>
    <row r="258" spans="2:2" ht="13.5">
      <c r="B258" s="15" t="s">
        <v>1106</v>
      </c>
    </row>
    <row r="259" spans="2:2" ht="13.5">
      <c r="B259" s="15" t="s">
        <v>1107</v>
      </c>
    </row>
    <row r="260" spans="2:2" ht="13.5">
      <c r="B260" s="15" t="s">
        <v>1108</v>
      </c>
    </row>
    <row r="261" spans="2:2" ht="13.5">
      <c r="B261" s="15"/>
    </row>
    <row r="262" spans="2:2" ht="13.5">
      <c r="B262" s="15" t="s">
        <v>1109</v>
      </c>
    </row>
    <row r="263" spans="2:2" ht="13.5">
      <c r="B263" s="15"/>
    </row>
    <row r="264" spans="2:2" ht="13.5">
      <c r="B264" s="15" t="s">
        <v>1110</v>
      </c>
    </row>
    <row r="265" spans="2:2" ht="13.5">
      <c r="B265" s="15" t="s">
        <v>1111</v>
      </c>
    </row>
    <row r="266" spans="2:2" ht="13.5">
      <c r="B266" s="15" t="s">
        <v>1112</v>
      </c>
    </row>
    <row r="267" spans="2:2" ht="13.5">
      <c r="B267" s="15" t="s">
        <v>1113</v>
      </c>
    </row>
    <row r="268" spans="2:2" ht="13.5">
      <c r="B268" s="15" t="s">
        <v>1114</v>
      </c>
    </row>
    <row r="269" spans="2:2" ht="13.5">
      <c r="B269" s="15"/>
    </row>
    <row r="270" spans="2:2" ht="13.5">
      <c r="B270" s="15" t="s">
        <v>1115</v>
      </c>
    </row>
    <row r="271" spans="2:2" ht="13.5">
      <c r="B271" s="15" t="s">
        <v>1116</v>
      </c>
    </row>
    <row r="272" spans="2:2" ht="13.5">
      <c r="B272" s="15" t="s">
        <v>1117</v>
      </c>
    </row>
    <row r="273" spans="2:2" ht="13.5">
      <c r="B273" s="15" t="s">
        <v>1118</v>
      </c>
    </row>
    <row r="274" spans="2:2" ht="13.5">
      <c r="B274" s="15" t="s">
        <v>1119</v>
      </c>
    </row>
    <row r="275" spans="2:2" ht="13.5">
      <c r="B275" s="15" t="s">
        <v>1120</v>
      </c>
    </row>
    <row r="276" spans="2:2" ht="13.5">
      <c r="B276" s="15" t="s">
        <v>1121</v>
      </c>
    </row>
    <row r="277" spans="2:2" ht="13.5">
      <c r="B277" s="15"/>
    </row>
    <row r="278" spans="2:2" ht="13.5">
      <c r="B278" s="15" t="s">
        <v>1122</v>
      </c>
    </row>
    <row r="279" spans="2:2" ht="13.5">
      <c r="B279" s="15"/>
    </row>
    <row r="280" spans="2:2" ht="13.5">
      <c r="B280" s="15" t="s">
        <v>1123</v>
      </c>
    </row>
    <row r="281" spans="2:2" ht="13.5">
      <c r="B281" s="15" t="s">
        <v>1124</v>
      </c>
    </row>
    <row r="282" spans="2:2" ht="13.5">
      <c r="B282" s="15" t="s">
        <v>1125</v>
      </c>
    </row>
    <row r="283" spans="2:2" ht="13.5">
      <c r="B283" s="15" t="s">
        <v>1126</v>
      </c>
    </row>
    <row r="284" spans="2:2" ht="13.5">
      <c r="B284" s="15" t="s">
        <v>1127</v>
      </c>
    </row>
    <row r="285" spans="2:2" ht="13.5">
      <c r="B285" s="15" t="s">
        <v>1128</v>
      </c>
    </row>
    <row r="286" spans="2:2" ht="13.5">
      <c r="B286" s="15" t="s">
        <v>1129</v>
      </c>
    </row>
    <row r="287" spans="2:2" ht="13.5">
      <c r="B287" s="15"/>
    </row>
    <row r="288" spans="2:2" ht="13.5">
      <c r="B288" s="15" t="s">
        <v>1130</v>
      </c>
    </row>
    <row r="289" spans="2:2" ht="13.5">
      <c r="B289" s="15" t="s">
        <v>1131</v>
      </c>
    </row>
    <row r="290" spans="2:2" ht="13.5">
      <c r="B290" s="15"/>
    </row>
    <row r="291" spans="2:2" ht="13.5">
      <c r="B291" s="15" t="s">
        <v>1132</v>
      </c>
    </row>
    <row r="292" spans="2:2" ht="13.5">
      <c r="B292" s="15"/>
    </row>
    <row r="293" spans="2:2" ht="13.5">
      <c r="B293" s="15" t="s">
        <v>1133</v>
      </c>
    </row>
    <row r="294" spans="2:2" ht="13.5">
      <c r="B294" s="15" t="s">
        <v>1134</v>
      </c>
    </row>
    <row r="295" spans="2:2" ht="13.5">
      <c r="B295" s="15" t="s">
        <v>1135</v>
      </c>
    </row>
    <row r="296" spans="2:2" ht="13.5">
      <c r="B296" s="15"/>
    </row>
    <row r="297" spans="2:2" ht="13.5">
      <c r="B297" s="15" t="s">
        <v>1136</v>
      </c>
    </row>
    <row r="298" spans="2:2" ht="13.5">
      <c r="B298" s="15" t="s">
        <v>1137</v>
      </c>
    </row>
    <row r="299" spans="2:2" ht="13.5">
      <c r="B299" s="15"/>
    </row>
    <row r="300" spans="2:2" ht="13.5">
      <c r="B300" s="15" t="s">
        <v>1138</v>
      </c>
    </row>
    <row r="301" spans="2:2" ht="13.5">
      <c r="B301" s="15" t="s">
        <v>1139</v>
      </c>
    </row>
    <row r="302" spans="2:2" ht="13.5">
      <c r="B302" s="15" t="s">
        <v>1140</v>
      </c>
    </row>
    <row r="303" spans="2:2" ht="13.5">
      <c r="B303" s="15" t="s">
        <v>1141</v>
      </c>
    </row>
    <row r="304" spans="2:2" ht="13.5">
      <c r="B304" s="15"/>
    </row>
    <row r="305" spans="2:2" ht="13.5">
      <c r="B305" s="15" t="s">
        <v>1142</v>
      </c>
    </row>
    <row r="306" spans="2:2" ht="13.5">
      <c r="B306" s="15" t="s">
        <v>1143</v>
      </c>
    </row>
    <row r="307" spans="2:2" ht="13.5">
      <c r="B307" s="15" t="s">
        <v>1144</v>
      </c>
    </row>
    <row r="308" spans="2:2" ht="13.5">
      <c r="B308" s="15" t="s">
        <v>1145</v>
      </c>
    </row>
    <row r="309" spans="2:2" ht="13.5">
      <c r="B309" s="15" t="s">
        <v>1146</v>
      </c>
    </row>
    <row r="310" spans="2:2" ht="13.5">
      <c r="B310" s="15" t="s">
        <v>1147</v>
      </c>
    </row>
    <row r="311" spans="2:2" ht="13.5">
      <c r="B311" s="15" t="s">
        <v>1148</v>
      </c>
    </row>
    <row r="312" spans="2:2" ht="13.5">
      <c r="B312" s="15"/>
    </row>
    <row r="313" spans="2:2" ht="13.5">
      <c r="B313" s="15" t="s">
        <v>1149</v>
      </c>
    </row>
    <row r="314" spans="2:2" ht="13.5">
      <c r="B314" s="15" t="s">
        <v>1150</v>
      </c>
    </row>
    <row r="315" spans="2:2" ht="13.5">
      <c r="B315" s="15" t="s">
        <v>1151</v>
      </c>
    </row>
    <row r="316" spans="2:2" ht="13.5">
      <c r="B316" s="15" t="s">
        <v>1152</v>
      </c>
    </row>
    <row r="317" spans="2:2" ht="13.5">
      <c r="B317" s="15"/>
    </row>
    <row r="318" spans="2:2" ht="13.5">
      <c r="B318" s="15" t="s">
        <v>1153</v>
      </c>
    </row>
    <row r="319" spans="2:2" ht="13.5">
      <c r="B319" s="15" t="s">
        <v>1154</v>
      </c>
    </row>
    <row r="320" spans="2:2" ht="13.5">
      <c r="B320" s="15" t="s">
        <v>1155</v>
      </c>
    </row>
    <row r="321" spans="2:2" ht="13.5">
      <c r="B321" s="15" t="s">
        <v>1156</v>
      </c>
    </row>
    <row r="322" spans="2:2" ht="13.5">
      <c r="B322" s="15" t="s">
        <v>1157</v>
      </c>
    </row>
    <row r="323" spans="2:2" ht="13.5">
      <c r="B323" s="15" t="s">
        <v>1158</v>
      </c>
    </row>
    <row r="324" spans="2:2" ht="13.5">
      <c r="B324" s="15" t="s">
        <v>1159</v>
      </c>
    </row>
    <row r="325" spans="2:2" ht="13.5">
      <c r="B325" s="15" t="s">
        <v>1160</v>
      </c>
    </row>
    <row r="326" spans="2:2" ht="13.5">
      <c r="B326" s="15" t="s">
        <v>1161</v>
      </c>
    </row>
    <row r="327" spans="2:2" ht="13.5">
      <c r="B327" s="15"/>
    </row>
    <row r="328" spans="2:2" ht="13.5">
      <c r="B328" s="15" t="s">
        <v>1162</v>
      </c>
    </row>
    <row r="329" spans="2:2" ht="13.5">
      <c r="B329" s="15"/>
    </row>
    <row r="330" spans="2:2" ht="13.5">
      <c r="B330" s="15" t="s">
        <v>1163</v>
      </c>
    </row>
    <row r="331" spans="2:2" ht="13.5">
      <c r="B331" s="15" t="s">
        <v>1164</v>
      </c>
    </row>
    <row r="332" spans="2:2" ht="13.5">
      <c r="B332" s="15" t="s">
        <v>1165</v>
      </c>
    </row>
    <row r="333" spans="2:2" ht="13.5">
      <c r="B333" s="15" t="s">
        <v>1166</v>
      </c>
    </row>
    <row r="334" spans="2:2" ht="13.5">
      <c r="B334" s="15"/>
    </row>
    <row r="335" spans="2:2" ht="13.5">
      <c r="B335" s="15" t="s">
        <v>1167</v>
      </c>
    </row>
    <row r="336" spans="2:2" ht="13.5">
      <c r="B336" s="15" t="s">
        <v>1168</v>
      </c>
    </row>
    <row r="337" spans="2:2" ht="13.5">
      <c r="B337" s="15" t="s">
        <v>1169</v>
      </c>
    </row>
    <row r="338" spans="2:2" ht="13.5">
      <c r="B338" s="15" t="s">
        <v>1170</v>
      </c>
    </row>
    <row r="339" spans="2:2" ht="13.5">
      <c r="B339" s="15"/>
    </row>
    <row r="340" spans="2:2" ht="13.5">
      <c r="B340" s="15" t="s">
        <v>1171</v>
      </c>
    </row>
    <row r="341" spans="2:2" ht="13.5">
      <c r="B341" s="15" t="s">
        <v>1172</v>
      </c>
    </row>
    <row r="342" spans="2:2" ht="13.5">
      <c r="B342" s="15" t="s">
        <v>1173</v>
      </c>
    </row>
    <row r="343" spans="2:2" ht="13.5">
      <c r="B343" s="15" t="s">
        <v>1175</v>
      </c>
    </row>
    <row r="344" spans="2:2" ht="13.5">
      <c r="B344" s="15" t="s">
        <v>1176</v>
      </c>
    </row>
    <row r="345" spans="2:2" ht="13.5">
      <c r="B345" s="15" t="s">
        <v>1177</v>
      </c>
    </row>
    <row r="346" spans="2:2" ht="13.5">
      <c r="B346" s="15" t="s">
        <v>1178</v>
      </c>
    </row>
    <row r="347" spans="2:2" ht="13.5">
      <c r="B347" s="15" t="s">
        <v>1180</v>
      </c>
    </row>
    <row r="348" spans="2:2" ht="13.5">
      <c r="B348" s="15" t="s">
        <v>1181</v>
      </c>
    </row>
    <row r="349" spans="2:2" ht="13.5">
      <c r="B349" s="15" t="s">
        <v>1182</v>
      </c>
    </row>
    <row r="350" spans="2:2" ht="13.5">
      <c r="B350" s="15" t="s">
        <v>1183</v>
      </c>
    </row>
    <row r="351" spans="2:2" ht="13.5">
      <c r="B351" s="15"/>
    </row>
    <row r="352" spans="2:2" ht="13.5">
      <c r="B352" s="15" t="s">
        <v>1184</v>
      </c>
    </row>
    <row r="353" spans="2:2" ht="13.5">
      <c r="B353" s="15" t="s">
        <v>1185</v>
      </c>
    </row>
    <row r="354" spans="2:2" ht="13.5">
      <c r="B354" s="15" t="s">
        <v>1186</v>
      </c>
    </row>
    <row r="355" spans="2:2" ht="13.5">
      <c r="B355" s="15" t="s">
        <v>1187</v>
      </c>
    </row>
    <row r="356" spans="2:2" ht="13.5">
      <c r="B356" s="15" t="s">
        <v>1188</v>
      </c>
    </row>
    <row r="357" spans="2:2" ht="13.5">
      <c r="B357" s="15"/>
    </row>
    <row r="358" spans="2:2" ht="13.5">
      <c r="B358" s="15" t="s">
        <v>1189</v>
      </c>
    </row>
    <row r="359" spans="2:2" ht="13.5">
      <c r="B359" s="15" t="s">
        <v>1190</v>
      </c>
    </row>
    <row r="360" spans="2:2" ht="13.5">
      <c r="B360" s="15" t="s">
        <v>1191</v>
      </c>
    </row>
    <row r="361" spans="2:2" ht="13.5">
      <c r="B361" s="15" t="s">
        <v>1192</v>
      </c>
    </row>
    <row r="362" spans="2:2" ht="13.5">
      <c r="B362" s="15" t="s">
        <v>1202</v>
      </c>
    </row>
    <row r="363" spans="2:2" ht="13.5">
      <c r="B363" s="15" t="s">
        <v>1203</v>
      </c>
    </row>
    <row r="364" spans="2:2" ht="13.5">
      <c r="B364" s="15" t="s">
        <v>1204</v>
      </c>
    </row>
    <row r="365" spans="2:2" ht="13.5">
      <c r="B365" s="15" t="s">
        <v>1205</v>
      </c>
    </row>
    <row r="366" spans="2:2" ht="13.5">
      <c r="B366" s="15" t="s">
        <v>1206</v>
      </c>
    </row>
    <row r="367" spans="2:2" ht="13.5">
      <c r="B367" s="15" t="s">
        <v>1207</v>
      </c>
    </row>
    <row r="368" spans="2:2" ht="13.5">
      <c r="B368" s="15" t="s">
        <v>1208</v>
      </c>
    </row>
    <row r="369" spans="2:2" ht="13.5">
      <c r="B369" s="15" t="s">
        <v>1210</v>
      </c>
    </row>
    <row r="370" spans="2:2" ht="13.5">
      <c r="B370" s="15"/>
    </row>
    <row r="371" spans="2:2" ht="13.5">
      <c r="B371" s="15" t="s">
        <v>1211</v>
      </c>
    </row>
    <row r="372" spans="2:2" ht="13.5">
      <c r="B372" s="15" t="s">
        <v>1212</v>
      </c>
    </row>
    <row r="373" spans="2:2" ht="13.5">
      <c r="B373" s="15" t="s">
        <v>1213</v>
      </c>
    </row>
    <row r="374" spans="2:2" ht="13.5">
      <c r="B374" s="15" t="s">
        <v>1214</v>
      </c>
    </row>
    <row r="375" spans="2:2" ht="13.5">
      <c r="B375" s="15"/>
    </row>
    <row r="376" spans="2:2" ht="13.5">
      <c r="B376" s="15" t="s">
        <v>1215</v>
      </c>
    </row>
    <row r="377" spans="2:2" ht="13.5">
      <c r="B377" s="15" t="s">
        <v>1216</v>
      </c>
    </row>
    <row r="378" spans="2:2" ht="13.5">
      <c r="B378" s="15" t="s">
        <v>1217</v>
      </c>
    </row>
    <row r="379" spans="2:2" ht="13.5">
      <c r="B379" s="15"/>
    </row>
    <row r="380" spans="2:2" ht="13.5">
      <c r="B380" s="15" t="s">
        <v>1218</v>
      </c>
    </row>
    <row r="381" spans="2:2" ht="13.5">
      <c r="B381" s="15" t="s">
        <v>1219</v>
      </c>
    </row>
    <row r="382" spans="2:2" ht="13.5">
      <c r="B382" s="15" t="s">
        <v>1220</v>
      </c>
    </row>
    <row r="383" spans="2:2" ht="13.5">
      <c r="B383" s="15" t="s">
        <v>1221</v>
      </c>
    </row>
    <row r="384" spans="2:2" ht="13.5">
      <c r="B384" s="15" t="s">
        <v>1222</v>
      </c>
    </row>
    <row r="385" spans="2:2" ht="13.5">
      <c r="B385" s="15" t="s">
        <v>1223</v>
      </c>
    </row>
    <row r="386" spans="2:2" ht="13.5">
      <c r="B386" s="15" t="s">
        <v>1224</v>
      </c>
    </row>
    <row r="387" spans="2:2" ht="13.5">
      <c r="B387" s="15" t="s">
        <v>1225</v>
      </c>
    </row>
    <row r="388" spans="2:2" ht="13.5">
      <c r="B388" s="15" t="s">
        <v>1226</v>
      </c>
    </row>
    <row r="389" spans="2:2" ht="13.5">
      <c r="B389" s="15" t="s">
        <v>1227</v>
      </c>
    </row>
    <row r="390" spans="2:2" ht="13.5">
      <c r="B390" s="15" t="s">
        <v>1228</v>
      </c>
    </row>
    <row r="391" spans="2:2" ht="13.5">
      <c r="B391" s="15" t="s">
        <v>1229</v>
      </c>
    </row>
    <row r="392" spans="2:2" ht="13.5">
      <c r="B392" s="15"/>
    </row>
    <row r="393" spans="2:2" ht="13.5">
      <c r="B393" s="15" t="s">
        <v>1230</v>
      </c>
    </row>
    <row r="394" spans="2:2" ht="13.5">
      <c r="B394" s="15" t="s">
        <v>1231</v>
      </c>
    </row>
    <row r="395" spans="2:2" ht="13.5">
      <c r="B395" s="15" t="s">
        <v>1232</v>
      </c>
    </row>
    <row r="396" spans="2:2" ht="13.5">
      <c r="B396" s="15" t="s">
        <v>1233</v>
      </c>
    </row>
    <row r="397" spans="2:2" ht="13.5">
      <c r="B397" s="15" t="s">
        <v>1234</v>
      </c>
    </row>
    <row r="398" spans="2:2" ht="13.5">
      <c r="B398" s="15" t="s">
        <v>1235</v>
      </c>
    </row>
    <row r="399" spans="2:2" ht="13.5">
      <c r="B399" s="15" t="s">
        <v>1236</v>
      </c>
    </row>
    <row r="400" spans="2:2" ht="13.5">
      <c r="B400" s="15"/>
    </row>
    <row r="401" spans="2:2" ht="13.5">
      <c r="B401" s="15" t="s">
        <v>1237</v>
      </c>
    </row>
    <row r="402" spans="2:2" ht="13.5">
      <c r="B402" s="15" t="s">
        <v>1238</v>
      </c>
    </row>
    <row r="403" spans="2:2" ht="13.5">
      <c r="B403" s="15" t="s">
        <v>1239</v>
      </c>
    </row>
    <row r="404" spans="2:2" ht="13.5">
      <c r="B404" s="15" t="s">
        <v>1240</v>
      </c>
    </row>
    <row r="405" spans="2:2" ht="13.5">
      <c r="B405" s="15" t="s">
        <v>1241</v>
      </c>
    </row>
    <row r="406" spans="2:2" ht="13.5">
      <c r="B406" s="15" t="s">
        <v>1242</v>
      </c>
    </row>
    <row r="407" spans="2:2" ht="13.5">
      <c r="B407" s="15" t="s">
        <v>1243</v>
      </c>
    </row>
    <row r="408" spans="2:2" ht="13.5">
      <c r="B408" s="15" t="s">
        <v>1244</v>
      </c>
    </row>
    <row r="409" spans="2:2" ht="13.5">
      <c r="B409" s="15" t="s">
        <v>1245</v>
      </c>
    </row>
    <row r="410" spans="2:2" ht="13.5">
      <c r="B410" s="15" t="s">
        <v>1246</v>
      </c>
    </row>
    <row r="411" spans="2:2" ht="13.5">
      <c r="B411" s="15"/>
    </row>
    <row r="412" spans="2:2" ht="13.5">
      <c r="B412" s="15" t="s">
        <v>1247</v>
      </c>
    </row>
    <row r="413" spans="2:2" ht="13.5">
      <c r="B413" s="15" t="s">
        <v>1249</v>
      </c>
    </row>
    <row r="414" spans="2:2" ht="13.5">
      <c r="B414" s="15" t="s">
        <v>1250</v>
      </c>
    </row>
    <row r="415" spans="2:2" ht="13.5">
      <c r="B415" s="15" t="s">
        <v>1251</v>
      </c>
    </row>
    <row r="416" spans="2:2" ht="13.5">
      <c r="B416" s="15" t="s">
        <v>1252</v>
      </c>
    </row>
    <row r="417" spans="2:2" ht="13.5">
      <c r="B417" s="15" t="s">
        <v>1253</v>
      </c>
    </row>
    <row r="418" spans="2:2" ht="13.5">
      <c r="B418" s="15" t="s">
        <v>1254</v>
      </c>
    </row>
    <row r="419" spans="2:2" ht="13.5">
      <c r="B419" s="15"/>
    </row>
    <row r="420" spans="2:2" ht="13.5">
      <c r="B420" s="15" t="s">
        <v>1255</v>
      </c>
    </row>
    <row r="421" spans="2:2" ht="13.5">
      <c r="B421" s="15" t="s">
        <v>1256</v>
      </c>
    </row>
    <row r="422" spans="2:2" ht="13.5">
      <c r="B422" s="15" t="s">
        <v>1257</v>
      </c>
    </row>
    <row r="423" spans="2:2" ht="13.5">
      <c r="B423" s="15" t="s">
        <v>1258</v>
      </c>
    </row>
    <row r="424" spans="2:2" ht="13.5">
      <c r="B424" s="15" t="s">
        <v>1259</v>
      </c>
    </row>
    <row r="425" spans="2:2" ht="13.5">
      <c r="B425" s="15"/>
    </row>
    <row r="426" spans="2:2" ht="13.5">
      <c r="B426" s="15" t="s">
        <v>1260</v>
      </c>
    </row>
    <row r="427" spans="2:2" ht="13.5">
      <c r="B427" s="15"/>
    </row>
    <row r="428" spans="2:2" ht="13.5">
      <c r="B428" s="15" t="s">
        <v>1261</v>
      </c>
    </row>
    <row r="429" spans="2:2" ht="13.5">
      <c r="B429" s="15" t="s">
        <v>1262</v>
      </c>
    </row>
    <row r="430" spans="2:2" ht="13.5">
      <c r="B430" s="15" t="s">
        <v>1263</v>
      </c>
    </row>
    <row r="431" spans="2:2" ht="13.5">
      <c r="B431" s="15" t="s">
        <v>1264</v>
      </c>
    </row>
    <row r="432" spans="2:2" ht="13.5">
      <c r="B432" s="15" t="s">
        <v>1265</v>
      </c>
    </row>
    <row r="433" spans="2:2" ht="13.5">
      <c r="B433" s="15" t="s">
        <v>1270</v>
      </c>
    </row>
    <row r="434" spans="2:2" ht="13.5">
      <c r="B434" s="15" t="s">
        <v>1271</v>
      </c>
    </row>
    <row r="435" spans="2:2" ht="13.5">
      <c r="B435" s="15" t="s">
        <v>1272</v>
      </c>
    </row>
    <row r="436" spans="2:2" ht="13.5">
      <c r="B436" s="15"/>
    </row>
    <row r="437" spans="2:2" ht="13.5">
      <c r="B437" s="15" t="s">
        <v>1273</v>
      </c>
    </row>
    <row r="438" spans="2:2" ht="13.5">
      <c r="B438" s="15" t="s">
        <v>1274</v>
      </c>
    </row>
    <row r="439" spans="2:2" ht="13.5">
      <c r="B439" s="15" t="s">
        <v>1275</v>
      </c>
    </row>
    <row r="440" spans="2:2" ht="13.5">
      <c r="B440" s="15" t="s">
        <v>1276</v>
      </c>
    </row>
    <row r="441" spans="2:2" ht="13.5">
      <c r="B441" s="15" t="s">
        <v>1277</v>
      </c>
    </row>
    <row r="442" spans="2:2" ht="13.5">
      <c r="B442" s="15" t="s">
        <v>1278</v>
      </c>
    </row>
    <row r="443" spans="2:2" ht="13.5">
      <c r="B443" s="15"/>
    </row>
    <row r="444" spans="2:2" ht="13.5">
      <c r="B444" s="15" t="s">
        <v>1279</v>
      </c>
    </row>
    <row r="445" spans="2:2" ht="13.5">
      <c r="B445" s="15" t="s">
        <v>1280</v>
      </c>
    </row>
    <row r="446" spans="2:2" ht="13.5">
      <c r="B446" s="15" t="s">
        <v>1281</v>
      </c>
    </row>
    <row r="447" spans="2:2" ht="13.5">
      <c r="B447" s="15"/>
    </row>
    <row r="448" spans="2:2" ht="13.5">
      <c r="B448" s="15" t="s">
        <v>1282</v>
      </c>
    </row>
    <row r="449" spans="2:2" ht="13.5">
      <c r="B449" s="15" t="s">
        <v>1283</v>
      </c>
    </row>
    <row r="450" spans="2:2" ht="13.5">
      <c r="B450" s="15"/>
    </row>
    <row r="451" spans="2:2" ht="13.5">
      <c r="B451" s="15" t="s">
        <v>1284</v>
      </c>
    </row>
    <row r="452" spans="2:2" ht="13.5">
      <c r="B452" s="15" t="s">
        <v>1285</v>
      </c>
    </row>
    <row r="453" spans="2:2" ht="13.5">
      <c r="B453" s="15" t="s">
        <v>1286</v>
      </c>
    </row>
    <row r="454" spans="2:2" ht="13.5">
      <c r="B454" s="15"/>
    </row>
    <row r="455" spans="2:2" ht="13.5">
      <c r="B455" s="15" t="s">
        <v>1287</v>
      </c>
    </row>
    <row r="456" spans="2:2" ht="13.5">
      <c r="B456" s="15" t="s">
        <v>1288</v>
      </c>
    </row>
    <row r="457" spans="2:2" ht="13.5">
      <c r="B457" s="15" t="s">
        <v>1289</v>
      </c>
    </row>
    <row r="458" spans="2:2" ht="13.5">
      <c r="B458" s="15"/>
    </row>
    <row r="459" spans="2:2" ht="13.5">
      <c r="B459" s="15" t="s">
        <v>1290</v>
      </c>
    </row>
    <row r="460" spans="2:2" ht="13.5">
      <c r="B460" s="15" t="s">
        <v>1291</v>
      </c>
    </row>
    <row r="461" spans="2:2" ht="13.5">
      <c r="B461" s="15"/>
    </row>
    <row r="462" spans="2:2" ht="13.5">
      <c r="B462" s="15" t="s">
        <v>1292</v>
      </c>
    </row>
    <row r="463" spans="2:2" ht="13.5">
      <c r="B463" s="15" t="s">
        <v>1293</v>
      </c>
    </row>
    <row r="464" spans="2:2" ht="13.5">
      <c r="B464" s="15"/>
    </row>
    <row r="465" spans="2:2" ht="13.5">
      <c r="B465" s="15" t="s">
        <v>1294</v>
      </c>
    </row>
    <row r="466" spans="2:2" ht="13.5">
      <c r="B466" s="15" t="s">
        <v>1295</v>
      </c>
    </row>
    <row r="467" spans="2:2" ht="13.5">
      <c r="B467" s="15" t="s">
        <v>1296</v>
      </c>
    </row>
    <row r="468" spans="2:2" ht="13.5">
      <c r="B468" s="15" t="s">
        <v>1297</v>
      </c>
    </row>
    <row r="469" spans="2:2" ht="13.5">
      <c r="B469" s="15" t="s">
        <v>1298</v>
      </c>
    </row>
    <row r="470" spans="2:2" ht="13.5">
      <c r="B470" s="15"/>
    </row>
    <row r="471" spans="2:2" ht="13.5">
      <c r="B471" s="15" t="s">
        <v>1299</v>
      </c>
    </row>
    <row r="472" spans="2:2" ht="13.5">
      <c r="B472" s="15" t="s">
        <v>1310</v>
      </c>
    </row>
    <row r="473" spans="2:2" ht="13.5">
      <c r="B473" s="15" t="s">
        <v>1311</v>
      </c>
    </row>
    <row r="474" spans="2:2" ht="13.5">
      <c r="B474" s="15" t="s">
        <v>1312</v>
      </c>
    </row>
    <row r="475" spans="2:2" ht="13.5">
      <c r="B475" s="15" t="s">
        <v>1313</v>
      </c>
    </row>
    <row r="476" spans="2:2" ht="13.5">
      <c r="B476" s="15" t="s">
        <v>1314</v>
      </c>
    </row>
    <row r="477" spans="2:2" ht="13.5">
      <c r="B477" s="15" t="s">
        <v>1315</v>
      </c>
    </row>
    <row r="478" spans="2:2" ht="13.5">
      <c r="B478" s="15" t="s">
        <v>1316</v>
      </c>
    </row>
    <row r="479" spans="2:2" ht="13.5">
      <c r="B479" s="15" t="s">
        <v>1342</v>
      </c>
    </row>
    <row r="480" spans="2:2" ht="13.5">
      <c r="B480" s="15"/>
    </row>
    <row r="481" spans="2:2" ht="13.5">
      <c r="B481" s="15" t="s">
        <v>1373</v>
      </c>
    </row>
    <row r="482" spans="2:2" ht="13.5">
      <c r="B482" s="15" t="s">
        <v>1374</v>
      </c>
    </row>
    <row r="483" spans="2:2" ht="13.5">
      <c r="B483" s="15" t="s">
        <v>1375</v>
      </c>
    </row>
    <row r="484" spans="2:2" ht="13.5">
      <c r="B484" s="15" t="s">
        <v>1376</v>
      </c>
    </row>
    <row r="485" spans="2:2" ht="13.5">
      <c r="B485" s="15"/>
    </row>
    <row r="486" spans="2:2" ht="13.5">
      <c r="B486" s="15" t="s">
        <v>1377</v>
      </c>
    </row>
    <row r="487" spans="2:2" ht="13.5">
      <c r="B487" s="15" t="s">
        <v>1378</v>
      </c>
    </row>
    <row r="488" spans="2:2" ht="13.5">
      <c r="B488" s="15" t="s">
        <v>1379</v>
      </c>
    </row>
    <row r="489" spans="2:2" ht="13.5">
      <c r="B489" s="15"/>
    </row>
    <row r="490" spans="2:2" ht="13.5">
      <c r="B490" s="15" t="s">
        <v>1380</v>
      </c>
    </row>
    <row r="491" spans="2:2" ht="13.5">
      <c r="B491" s="15"/>
    </row>
    <row r="492" spans="2:2" ht="13.5">
      <c r="B492" s="15" t="s">
        <v>1381</v>
      </c>
    </row>
    <row r="493" spans="2:2" ht="13.5">
      <c r="B493" s="15" t="s">
        <v>1382</v>
      </c>
    </row>
    <row r="494" spans="2:2" ht="13.5">
      <c r="B494" s="15" t="s">
        <v>1383</v>
      </c>
    </row>
    <row r="495" spans="2:2" ht="13.5">
      <c r="B495" s="15" t="s">
        <v>1384</v>
      </c>
    </row>
    <row r="496" spans="2:2" ht="13.5">
      <c r="B496" s="15" t="s">
        <v>1385</v>
      </c>
    </row>
    <row r="497" spans="2:2" ht="13.5">
      <c r="B497" s="15"/>
    </row>
    <row r="498" spans="2:2" ht="13.5">
      <c r="B498" s="15" t="s">
        <v>1386</v>
      </c>
    </row>
    <row r="499" spans="2:2" ht="13.5">
      <c r="B499" s="15" t="s">
        <v>6</v>
      </c>
    </row>
    <row r="500" spans="2:2" ht="13.5">
      <c r="B500" s="15" t="s">
        <v>7</v>
      </c>
    </row>
    <row r="501" spans="2:2" ht="13.5">
      <c r="B501" s="15" t="s">
        <v>8</v>
      </c>
    </row>
    <row r="502" spans="2:2" ht="13.5">
      <c r="B502" s="15" t="s">
        <v>9</v>
      </c>
    </row>
    <row r="503" spans="2:2" ht="13.5">
      <c r="B503" s="15" t="s">
        <v>10</v>
      </c>
    </row>
    <row r="504" spans="2:2" ht="13.5">
      <c r="B504" s="15"/>
    </row>
    <row r="505" spans="2:2" ht="13.5">
      <c r="B505" s="15" t="s">
        <v>11</v>
      </c>
    </row>
    <row r="506" spans="2:2" ht="13.5">
      <c r="B506" s="15" t="s">
        <v>12</v>
      </c>
    </row>
    <row r="507" spans="2:2" ht="13.5">
      <c r="B507" s="15" t="s">
        <v>13</v>
      </c>
    </row>
    <row r="508" spans="2:2" ht="13.5">
      <c r="B508" s="15" t="s">
        <v>14</v>
      </c>
    </row>
    <row r="509" spans="2:2" ht="13.5">
      <c r="B509" s="15" t="s">
        <v>15</v>
      </c>
    </row>
    <row r="510" spans="2:2" ht="13.5">
      <c r="B510" s="15" t="s">
        <v>16</v>
      </c>
    </row>
    <row r="511" spans="2:2" ht="13.5">
      <c r="B511" s="15"/>
    </row>
    <row r="512" spans="2:2" ht="13.5">
      <c r="B512" s="15" t="s">
        <v>17</v>
      </c>
    </row>
    <row r="513" spans="2:2" ht="13.5">
      <c r="B513" s="15" t="s">
        <v>18</v>
      </c>
    </row>
    <row r="514" spans="2:2" ht="13.5">
      <c r="B514" s="15" t="s">
        <v>19</v>
      </c>
    </row>
    <row r="515" spans="2:2" ht="13.5">
      <c r="B515" s="15" t="s">
        <v>20</v>
      </c>
    </row>
    <row r="516" spans="2:2" ht="13.5">
      <c r="B516" s="15" t="s">
        <v>21</v>
      </c>
    </row>
    <row r="517" spans="2:2" ht="13.5">
      <c r="B517" s="15"/>
    </row>
    <row r="518" spans="2:2" ht="13.5">
      <c r="B518" s="15" t="s">
        <v>22</v>
      </c>
    </row>
    <row r="519" spans="2:2" ht="13.5">
      <c r="B519" s="15"/>
    </row>
    <row r="520" spans="2:2" ht="13.5">
      <c r="B520" s="15" t="s">
        <v>23</v>
      </c>
    </row>
    <row r="521" spans="2:2" ht="13.5">
      <c r="B521" s="15" t="s">
        <v>24</v>
      </c>
    </row>
    <row r="522" spans="2:2" ht="13.5">
      <c r="B522" s="15" t="s">
        <v>25</v>
      </c>
    </row>
    <row r="523" spans="2:2" ht="13.5">
      <c r="B523" s="15" t="s">
        <v>26</v>
      </c>
    </row>
    <row r="524" spans="2:2" ht="13.5">
      <c r="B524" s="15" t="s">
        <v>27</v>
      </c>
    </row>
    <row r="525" spans="2:2" ht="13.5">
      <c r="B525" s="15" t="s">
        <v>28</v>
      </c>
    </row>
    <row r="526" spans="2:2" ht="13.5">
      <c r="B526" s="15" t="s">
        <v>29</v>
      </c>
    </row>
    <row r="527" spans="2:2" ht="13.5">
      <c r="B527" s="15" t="s">
        <v>30</v>
      </c>
    </row>
    <row r="528" spans="2:2" ht="13.5">
      <c r="B528" s="15"/>
    </row>
    <row r="529" spans="2:2" ht="13.5">
      <c r="B529" s="15" t="s">
        <v>31</v>
      </c>
    </row>
    <row r="530" spans="2:2" ht="13.5">
      <c r="B530" s="15"/>
    </row>
    <row r="531" spans="2:2" ht="13.5">
      <c r="B531" s="15" t="s">
        <v>32</v>
      </c>
    </row>
    <row r="532" spans="2:2" ht="13.5">
      <c r="B532" s="15" t="s">
        <v>33</v>
      </c>
    </row>
    <row r="533" spans="2:2" ht="13.5">
      <c r="B533" s="15" t="s">
        <v>34</v>
      </c>
    </row>
    <row r="534" spans="2:2" ht="13.5">
      <c r="B534" s="15" t="s">
        <v>35</v>
      </c>
    </row>
    <row r="535" spans="2:2" ht="13.5">
      <c r="B535" s="15"/>
    </row>
    <row r="536" spans="2:2" ht="13.5">
      <c r="B536" s="15" t="s">
        <v>36</v>
      </c>
    </row>
    <row r="537" spans="2:2" ht="13.5">
      <c r="B537" s="15" t="s">
        <v>37</v>
      </c>
    </row>
    <row r="538" spans="2:2" ht="13.5">
      <c r="B538" s="15" t="s">
        <v>38</v>
      </c>
    </row>
    <row r="539" spans="2:2" ht="13.5">
      <c r="B539" s="15" t="s">
        <v>39</v>
      </c>
    </row>
    <row r="540" spans="2:2" ht="13.5">
      <c r="B540" s="15" t="s">
        <v>40</v>
      </c>
    </row>
    <row r="541" spans="2:2" ht="13.5">
      <c r="B541" s="15" t="s">
        <v>41</v>
      </c>
    </row>
    <row r="542" spans="2:2" ht="13.5">
      <c r="B542" s="15" t="s">
        <v>42</v>
      </c>
    </row>
    <row r="543" spans="2:2" ht="13.5">
      <c r="B543" s="15" t="s">
        <v>43</v>
      </c>
    </row>
    <row r="544" spans="2:2" ht="13.5">
      <c r="B544" s="15" t="s">
        <v>44</v>
      </c>
    </row>
    <row r="545" spans="2:2" ht="13.5">
      <c r="B545" s="15"/>
    </row>
    <row r="546" spans="2:2" ht="13.5">
      <c r="B546" s="15" t="s">
        <v>45</v>
      </c>
    </row>
    <row r="547" spans="2:2" ht="13.5">
      <c r="B547" s="15" t="s">
        <v>46</v>
      </c>
    </row>
    <row r="548" spans="2:2" ht="13.5">
      <c r="B548" s="15" t="s">
        <v>47</v>
      </c>
    </row>
    <row r="549" spans="2:2" ht="13.5">
      <c r="B549" s="15" t="s">
        <v>48</v>
      </c>
    </row>
    <row r="550" spans="2:2" ht="13.5">
      <c r="B550" s="15" t="s">
        <v>49</v>
      </c>
    </row>
    <row r="551" spans="2:2" ht="13.5">
      <c r="B551" s="15" t="s">
        <v>50</v>
      </c>
    </row>
    <row r="552" spans="2:2" ht="13.5">
      <c r="B552" s="15" t="s">
        <v>51</v>
      </c>
    </row>
    <row r="553" spans="2:2" ht="13.5">
      <c r="B553" s="15"/>
    </row>
    <row r="554" spans="2:2" ht="13.5">
      <c r="B554" s="15" t="s">
        <v>52</v>
      </c>
    </row>
    <row r="555" spans="2:2" ht="13.5">
      <c r="B555" s="15"/>
    </row>
    <row r="556" spans="2:2" ht="13.5">
      <c r="B556" s="15" t="s">
        <v>53</v>
      </c>
    </row>
    <row r="557" spans="2:2" ht="13.5">
      <c r="B557" s="15" t="s">
        <v>54</v>
      </c>
    </row>
    <row r="558" spans="2:2" ht="13.5">
      <c r="B558" s="15" t="s">
        <v>55</v>
      </c>
    </row>
    <row r="559" spans="2:2" ht="13.5">
      <c r="B559" s="15"/>
    </row>
    <row r="560" spans="2:2" ht="13.5">
      <c r="B560" s="15" t="s">
        <v>56</v>
      </c>
    </row>
    <row r="561" spans="2:2" ht="13.5">
      <c r="B561" s="15" t="s">
        <v>57</v>
      </c>
    </row>
    <row r="562" spans="2:2" ht="13.5">
      <c r="B562" s="15" t="s">
        <v>58</v>
      </c>
    </row>
    <row r="563" spans="2:2" ht="13.5">
      <c r="B563" s="15" t="s">
        <v>59</v>
      </c>
    </row>
    <row r="564" spans="2:2" ht="13.5">
      <c r="B564" s="15" t="s">
        <v>60</v>
      </c>
    </row>
    <row r="565" spans="2:2" ht="13.5">
      <c r="B565" s="15" t="s">
        <v>61</v>
      </c>
    </row>
    <row r="566" spans="2:2" ht="13.5">
      <c r="B566" s="15" t="s">
        <v>62</v>
      </c>
    </row>
    <row r="567" spans="2:2" ht="13.5">
      <c r="B567" s="15" t="s">
        <v>75</v>
      </c>
    </row>
    <row r="568" spans="2:2" ht="13.5">
      <c r="B568" s="15" t="s">
        <v>76</v>
      </c>
    </row>
    <row r="569" spans="2:2" ht="13.5">
      <c r="B569" s="15"/>
    </row>
    <row r="570" spans="2:2" ht="13.5">
      <c r="B570" s="15" t="s">
        <v>77</v>
      </c>
    </row>
    <row r="571" spans="2:2" ht="13.5">
      <c r="B571" s="15" t="s">
        <v>78</v>
      </c>
    </row>
    <row r="572" spans="2:2" ht="13.5">
      <c r="B572" s="15" t="s">
        <v>79</v>
      </c>
    </row>
    <row r="573" spans="2:2" ht="13.5">
      <c r="B573" s="15" t="s">
        <v>80</v>
      </c>
    </row>
    <row r="574" spans="2:2" ht="13.5">
      <c r="B574" s="15"/>
    </row>
    <row r="575" spans="2:2" ht="13.5">
      <c r="B575" s="15" t="s">
        <v>81</v>
      </c>
    </row>
    <row r="576" spans="2:2" ht="13.5">
      <c r="B576" s="15" t="s">
        <v>82</v>
      </c>
    </row>
    <row r="577" spans="2:2" ht="13.5">
      <c r="B577" s="15" t="s">
        <v>83</v>
      </c>
    </row>
    <row r="578" spans="2:2" ht="13.5">
      <c r="B578" s="15" t="s">
        <v>84</v>
      </c>
    </row>
    <row r="579" spans="2:2" ht="13.5">
      <c r="B579" s="15" t="s">
        <v>85</v>
      </c>
    </row>
    <row r="580" spans="2:2" ht="13.5">
      <c r="B580" s="15" t="s">
        <v>86</v>
      </c>
    </row>
    <row r="581" spans="2:2" ht="13.5">
      <c r="B581" s="15"/>
    </row>
    <row r="582" spans="2:2" ht="13.5">
      <c r="B582" s="15" t="s">
        <v>87</v>
      </c>
    </row>
    <row r="583" spans="2:2" ht="13.5">
      <c r="B583" s="15" t="s">
        <v>88</v>
      </c>
    </row>
    <row r="584" spans="2:2" ht="13.5">
      <c r="B584" s="15" t="s">
        <v>89</v>
      </c>
    </row>
    <row r="585" spans="2:2" ht="13.5">
      <c r="B585" s="15" t="s">
        <v>90</v>
      </c>
    </row>
    <row r="586" spans="2:2" ht="13.5">
      <c r="B586" s="15" t="s">
        <v>91</v>
      </c>
    </row>
    <row r="587" spans="2:2" ht="13.5">
      <c r="B587" s="15" t="s">
        <v>92</v>
      </c>
    </row>
    <row r="588" spans="2:2" ht="13.5">
      <c r="B588" s="15" t="s">
        <v>93</v>
      </c>
    </row>
    <row r="589" spans="2:2" ht="13.5">
      <c r="B589" s="15" t="s">
        <v>94</v>
      </c>
    </row>
    <row r="590" spans="2:2" ht="13.5">
      <c r="B590" s="15" t="s">
        <v>95</v>
      </c>
    </row>
    <row r="591" spans="2:2" ht="13.5">
      <c r="B591" s="15" t="s">
        <v>96</v>
      </c>
    </row>
    <row r="592" spans="2:2" ht="13.5">
      <c r="B592" s="15" t="s">
        <v>97</v>
      </c>
    </row>
    <row r="593" spans="2:2" ht="13.5">
      <c r="B593" s="15" t="s">
        <v>98</v>
      </c>
    </row>
    <row r="594" spans="2:2" ht="13.5">
      <c r="B594" s="15" t="s">
        <v>99</v>
      </c>
    </row>
    <row r="595" spans="2:2" ht="13.5">
      <c r="B595" s="15"/>
    </row>
    <row r="596" spans="2:2" ht="13.5">
      <c r="B596" s="15" t="s">
        <v>100</v>
      </c>
    </row>
    <row r="597" spans="2:2" ht="13.5">
      <c r="B597" s="15" t="s">
        <v>119</v>
      </c>
    </row>
    <row r="598" spans="2:2" ht="13.5">
      <c r="B598" s="15" t="s">
        <v>120</v>
      </c>
    </row>
    <row r="599" spans="2:2" ht="13.5">
      <c r="B599" s="15" t="s">
        <v>121</v>
      </c>
    </row>
    <row r="600" spans="2:2" ht="13.5">
      <c r="B600" s="15" t="s">
        <v>122</v>
      </c>
    </row>
    <row r="601" spans="2:2" ht="13.5">
      <c r="B601" s="15" t="s">
        <v>123</v>
      </c>
    </row>
    <row r="602" spans="2:2" ht="13.5">
      <c r="B602" s="15" t="s">
        <v>124</v>
      </c>
    </row>
    <row r="603" spans="2:2" ht="13.5">
      <c r="B603" s="15"/>
    </row>
    <row r="604" spans="2:2" ht="13.5">
      <c r="B604" s="15" t="s">
        <v>125</v>
      </c>
    </row>
    <row r="605" spans="2:2" ht="13.5">
      <c r="B605" s="15" t="s">
        <v>126</v>
      </c>
    </row>
    <row r="606" spans="2:2" ht="13.5">
      <c r="B606" s="15" t="s">
        <v>127</v>
      </c>
    </row>
    <row r="607" spans="2:2" ht="13.5">
      <c r="B607" s="15" t="s">
        <v>128</v>
      </c>
    </row>
    <row r="608" spans="2:2" ht="13.5">
      <c r="B608" s="15" t="s">
        <v>129</v>
      </c>
    </row>
    <row r="609" spans="2:2" ht="13.5">
      <c r="B609" s="15" t="s">
        <v>130</v>
      </c>
    </row>
    <row r="610" spans="2:2" ht="13.5">
      <c r="B610" s="15" t="s">
        <v>131</v>
      </c>
    </row>
    <row r="611" spans="2:2" ht="13.5">
      <c r="B611" s="15" t="s">
        <v>132</v>
      </c>
    </row>
    <row r="612" spans="2:2" ht="13.5">
      <c r="B612" s="15" t="s">
        <v>133</v>
      </c>
    </row>
    <row r="613" spans="2:2" ht="13.5">
      <c r="B613" s="15" t="s">
        <v>134</v>
      </c>
    </row>
    <row r="614" spans="2:2" ht="13.5">
      <c r="B614" s="15" t="s">
        <v>135</v>
      </c>
    </row>
    <row r="615" spans="2:2" ht="13.5">
      <c r="B615" s="15" t="s">
        <v>136</v>
      </c>
    </row>
    <row r="616" spans="2:2" ht="13.5">
      <c r="B616" s="15" t="s">
        <v>137</v>
      </c>
    </row>
    <row r="617" spans="2:2" ht="13.5">
      <c r="B617" s="15" t="s">
        <v>138</v>
      </c>
    </row>
    <row r="618" spans="2:2" ht="13.5">
      <c r="B618" s="15"/>
    </row>
    <row r="619" spans="2:2" ht="13.5">
      <c r="B619" s="15" t="s">
        <v>139</v>
      </c>
    </row>
    <row r="620" spans="2:2" ht="13.5">
      <c r="B620" s="15" t="s">
        <v>140</v>
      </c>
    </row>
    <row r="621" spans="2:2" ht="13.5">
      <c r="B621" s="15" t="s">
        <v>141</v>
      </c>
    </row>
    <row r="622" spans="2:2" ht="13.5">
      <c r="B622" s="15"/>
    </row>
    <row r="623" spans="2:2" ht="13.5">
      <c r="B623" s="15" t="s">
        <v>142</v>
      </c>
    </row>
    <row r="624" spans="2:2" ht="13.5">
      <c r="B624" s="15"/>
    </row>
    <row r="625" spans="2:2" ht="13.5">
      <c r="B625" s="15" t="s">
        <v>143</v>
      </c>
    </row>
    <row r="626" spans="2:2" ht="13.5">
      <c r="B626" s="15" t="s">
        <v>144</v>
      </c>
    </row>
    <row r="627" spans="2:2" ht="13.5">
      <c r="B627" s="15" t="s">
        <v>145</v>
      </c>
    </row>
    <row r="628" spans="2:2" ht="13.5">
      <c r="B628" s="15" t="s">
        <v>146</v>
      </c>
    </row>
    <row r="629" spans="2:2" ht="13.5">
      <c r="B629" s="15" t="s">
        <v>147</v>
      </c>
    </row>
    <row r="630" spans="2:2" ht="13.5">
      <c r="B630" s="15" t="s">
        <v>148</v>
      </c>
    </row>
    <row r="631" spans="2:2" ht="13.5">
      <c r="B631" s="15" t="s">
        <v>149</v>
      </c>
    </row>
    <row r="632" spans="2:2" ht="13.5">
      <c r="B632" s="15" t="s">
        <v>150</v>
      </c>
    </row>
    <row r="633" spans="2:2" ht="13.5">
      <c r="B633" s="15" t="s">
        <v>151</v>
      </c>
    </row>
    <row r="634" spans="2:2" ht="13.5">
      <c r="B634" s="15"/>
    </row>
    <row r="635" spans="2:2" ht="13.5">
      <c r="B635" s="15" t="s">
        <v>152</v>
      </c>
    </row>
    <row r="636" spans="2:2" ht="13.5">
      <c r="B636" s="15"/>
    </row>
    <row r="637" spans="2:2" ht="13.5">
      <c r="B637" s="15" t="s">
        <v>153</v>
      </c>
    </row>
    <row r="638" spans="2:2" ht="13.5">
      <c r="B638" s="15" t="s">
        <v>154</v>
      </c>
    </row>
    <row r="639" spans="2:2" ht="13.5">
      <c r="B639" s="15" t="s">
        <v>164</v>
      </c>
    </row>
    <row r="640" spans="2:2" ht="13.5">
      <c r="B640" s="15" t="s">
        <v>165</v>
      </c>
    </row>
    <row r="641" spans="2:2" ht="13.5">
      <c r="B641" s="15" t="s">
        <v>166</v>
      </c>
    </row>
    <row r="642" spans="2:2" ht="13.5">
      <c r="B642" s="15" t="s">
        <v>167</v>
      </c>
    </row>
    <row r="643" spans="2:2" ht="13.5">
      <c r="B643" s="15" t="s">
        <v>168</v>
      </c>
    </row>
    <row r="644" spans="2:2" ht="13.5">
      <c r="B644" s="15" t="s">
        <v>169</v>
      </c>
    </row>
    <row r="645" spans="2:2" ht="13.5">
      <c r="B645" s="15"/>
    </row>
    <row r="646" spans="2:2" ht="13.5">
      <c r="B646" s="15" t="s">
        <v>170</v>
      </c>
    </row>
    <row r="647" spans="2:2" ht="13.5">
      <c r="B647" s="15"/>
    </row>
    <row r="648" spans="2:2" ht="13.5">
      <c r="B648" s="15" t="s">
        <v>171</v>
      </c>
    </row>
    <row r="649" spans="2:2" ht="13.5">
      <c r="B649" s="15" t="s">
        <v>172</v>
      </c>
    </row>
    <row r="650" spans="2:2" ht="13.5">
      <c r="B650" s="15" t="s">
        <v>173</v>
      </c>
    </row>
    <row r="651" spans="2:2" ht="13.5">
      <c r="B651" s="15" t="s">
        <v>174</v>
      </c>
    </row>
    <row r="652" spans="2:2" ht="13.5">
      <c r="B652" s="15"/>
    </row>
    <row r="653" spans="2:2" ht="13.5">
      <c r="B653" s="15" t="s">
        <v>175</v>
      </c>
    </row>
    <row r="654" spans="2:2" ht="13.5">
      <c r="B654" s="15" t="s">
        <v>176</v>
      </c>
    </row>
    <row r="655" spans="2:2" ht="13.5">
      <c r="B655" s="15" t="s">
        <v>177</v>
      </c>
    </row>
    <row r="656" spans="2:2" ht="13.5">
      <c r="B656" s="15" t="s">
        <v>178</v>
      </c>
    </row>
    <row r="657" spans="2:2" ht="13.5">
      <c r="B657" s="15" t="s">
        <v>179</v>
      </c>
    </row>
    <row r="658" spans="2:2" ht="13.5">
      <c r="B658" s="15" t="s">
        <v>180</v>
      </c>
    </row>
    <row r="659" spans="2:2" ht="13.5">
      <c r="B659" s="15" t="s">
        <v>181</v>
      </c>
    </row>
    <row r="660" spans="2:2" ht="13.5">
      <c r="B660" s="15" t="s">
        <v>182</v>
      </c>
    </row>
    <row r="661" spans="2:2" ht="13.5">
      <c r="B661" s="15"/>
    </row>
    <row r="662" spans="2:2" ht="13.5">
      <c r="B662" s="15" t="s">
        <v>183</v>
      </c>
    </row>
    <row r="663" spans="2:2" ht="13.5">
      <c r="B663" s="15" t="s">
        <v>184</v>
      </c>
    </row>
    <row r="664" spans="2:2" ht="13.5">
      <c r="B664" s="15" t="s">
        <v>185</v>
      </c>
    </row>
    <row r="665" spans="2:2" ht="13.5">
      <c r="B665" s="15" t="s">
        <v>186</v>
      </c>
    </row>
    <row r="666" spans="2:2" ht="13.5">
      <c r="B666" s="15"/>
    </row>
    <row r="667" spans="2:2" ht="13.5">
      <c r="B667" s="15" t="s">
        <v>187</v>
      </c>
    </row>
    <row r="668" spans="2:2" ht="13.5">
      <c r="B668" s="15" t="s">
        <v>188</v>
      </c>
    </row>
    <row r="669" spans="2:2" ht="13.5">
      <c r="B669" s="15" t="s">
        <v>189</v>
      </c>
    </row>
    <row r="670" spans="2:2" ht="13.5">
      <c r="B670" s="15" t="s">
        <v>190</v>
      </c>
    </row>
    <row r="671" spans="2:2" ht="13.5">
      <c r="B671" s="15"/>
    </row>
    <row r="672" spans="2:2" ht="13.5">
      <c r="B672" s="15" t="s">
        <v>191</v>
      </c>
    </row>
    <row r="673" spans="2:2" ht="13.5">
      <c r="B673" s="15"/>
    </row>
    <row r="674" spans="2:2" ht="13.5">
      <c r="B674" s="15" t="s">
        <v>192</v>
      </c>
    </row>
    <row r="675" spans="2:2" ht="13.5">
      <c r="B675" s="15" t="s">
        <v>193</v>
      </c>
    </row>
    <row r="676" spans="2:2" ht="13.5">
      <c r="B676" s="15" t="s">
        <v>194</v>
      </c>
    </row>
    <row r="677" spans="2:2" ht="13.5">
      <c r="B677" s="15" t="s">
        <v>195</v>
      </c>
    </row>
    <row r="678" spans="2:2" ht="13.5">
      <c r="B678" s="15" t="s">
        <v>196</v>
      </c>
    </row>
    <row r="679" spans="2:2" ht="13.5">
      <c r="B679" s="15" t="s">
        <v>261</v>
      </c>
    </row>
    <row r="680" spans="2:2" ht="13.5">
      <c r="B680" s="15" t="s">
        <v>262</v>
      </c>
    </row>
    <row r="681" spans="2:2" ht="13.5">
      <c r="B681" s="15" t="s">
        <v>263</v>
      </c>
    </row>
    <row r="682" spans="2:2" ht="13.5">
      <c r="B682" s="15"/>
    </row>
    <row r="683" spans="2:2" ht="13.5">
      <c r="B683" s="15" t="s">
        <v>264</v>
      </c>
    </row>
    <row r="684" spans="2:2" ht="13.5">
      <c r="B684" s="15"/>
    </row>
    <row r="685" spans="2:2" ht="13.5">
      <c r="B685" s="15" t="s">
        <v>265</v>
      </c>
    </row>
    <row r="686" spans="2:2" ht="13.5">
      <c r="B686" s="15" t="s">
        <v>266</v>
      </c>
    </row>
    <row r="687" spans="2:2" ht="13.5">
      <c r="B687" s="15" t="s">
        <v>267</v>
      </c>
    </row>
    <row r="688" spans="2:2" ht="13.5">
      <c r="B688" s="15" t="s">
        <v>268</v>
      </c>
    </row>
    <row r="689" spans="2:2" ht="13.5">
      <c r="B689" s="15" t="s">
        <v>269</v>
      </c>
    </row>
    <row r="690" spans="2:2" ht="13.5">
      <c r="B690" s="15" t="s">
        <v>270</v>
      </c>
    </row>
    <row r="691" spans="2:2" ht="13.5">
      <c r="B691" s="15" t="s">
        <v>271</v>
      </c>
    </row>
    <row r="692" spans="2:2" ht="13.5">
      <c r="B692" s="15" t="s">
        <v>272</v>
      </c>
    </row>
    <row r="693" spans="2:2" ht="13.5">
      <c r="B693" s="15" t="s">
        <v>273</v>
      </c>
    </row>
    <row r="694" spans="2:2" ht="13.5">
      <c r="B694" s="15"/>
    </row>
    <row r="695" spans="2:2" ht="13.5">
      <c r="B695" s="15" t="s">
        <v>560</v>
      </c>
    </row>
    <row r="696" spans="2:2" ht="13.5">
      <c r="B696" s="15"/>
    </row>
    <row r="697" spans="2:2" ht="13.5">
      <c r="B697" s="15" t="s">
        <v>561</v>
      </c>
    </row>
    <row r="698" spans="2:2" ht="13.5">
      <c r="B698" s="15" t="s">
        <v>562</v>
      </c>
    </row>
    <row r="699" spans="2:2" ht="13.5">
      <c r="B699" s="15" t="s">
        <v>563</v>
      </c>
    </row>
    <row r="700" spans="2:2" ht="13.5">
      <c r="B700" s="15" t="s">
        <v>564</v>
      </c>
    </row>
    <row r="701" spans="2:2" ht="13.5">
      <c r="B701" s="15" t="s">
        <v>565</v>
      </c>
    </row>
    <row r="702" spans="2:2" ht="13.5">
      <c r="B702" s="15" t="s">
        <v>566</v>
      </c>
    </row>
    <row r="703" spans="2:2" ht="13.5">
      <c r="B703" s="15"/>
    </row>
    <row r="704" spans="2:2" ht="13.5">
      <c r="B704" s="15" t="s">
        <v>567</v>
      </c>
    </row>
    <row r="705" spans="2:2" ht="13.5">
      <c r="B705" s="15"/>
    </row>
    <row r="706" spans="2:2" ht="13.5">
      <c r="B706" s="15" t="s">
        <v>568</v>
      </c>
    </row>
    <row r="707" spans="2:2" ht="13.5">
      <c r="B707" s="15"/>
    </row>
    <row r="708" spans="2:2" ht="13.5">
      <c r="B708" s="15" t="s">
        <v>569</v>
      </c>
    </row>
    <row r="709" spans="2:2" ht="13.5">
      <c r="B709" s="15" t="s">
        <v>570</v>
      </c>
    </row>
    <row r="710" spans="2:2" ht="13.5">
      <c r="B710" s="15" t="s">
        <v>571</v>
      </c>
    </row>
    <row r="711" spans="2:2" ht="13.5">
      <c r="B711" s="15"/>
    </row>
    <row r="712" spans="2:2" ht="13.5">
      <c r="B712" s="15" t="s">
        <v>572</v>
      </c>
    </row>
    <row r="713" spans="2:2" ht="13.5">
      <c r="B713" s="15" t="s">
        <v>573</v>
      </c>
    </row>
    <row r="714" spans="2:2" ht="13.5">
      <c r="B714" s="15" t="s">
        <v>574</v>
      </c>
    </row>
    <row r="715" spans="2:2" ht="13.5">
      <c r="B715" s="15" t="s">
        <v>575</v>
      </c>
    </row>
    <row r="716" spans="2:2" ht="13.5">
      <c r="B716" s="15"/>
    </row>
    <row r="717" spans="2:2" ht="13.5">
      <c r="B717" s="15" t="s">
        <v>576</v>
      </c>
    </row>
    <row r="718" spans="2:2" ht="13.5">
      <c r="B718" s="15" t="s">
        <v>577</v>
      </c>
    </row>
    <row r="719" spans="2:2" ht="13.5">
      <c r="B719" s="15"/>
    </row>
    <row r="720" spans="2:2" ht="13.5">
      <c r="B720" s="15" t="s">
        <v>578</v>
      </c>
    </row>
    <row r="721" spans="2:2" ht="13.5">
      <c r="B721" s="15" t="s">
        <v>579</v>
      </c>
    </row>
    <row r="722" spans="2:2" ht="13.5">
      <c r="B722" s="15" t="s">
        <v>580</v>
      </c>
    </row>
    <row r="723" spans="2:2" ht="13.5">
      <c r="B723" s="15" t="s">
        <v>581</v>
      </c>
    </row>
    <row r="724" spans="2:2" ht="13.5">
      <c r="B724" s="15"/>
    </row>
    <row r="725" spans="2:2" ht="13.5">
      <c r="B725" s="15" t="s">
        <v>582</v>
      </c>
    </row>
    <row r="726" spans="2:2" ht="13.5">
      <c r="B726" s="15" t="s">
        <v>583</v>
      </c>
    </row>
    <row r="727" spans="2:2" ht="13.5">
      <c r="B727" s="15" t="s">
        <v>584</v>
      </c>
    </row>
    <row r="728" spans="2:2" ht="13.5">
      <c r="B728" s="15" t="s">
        <v>585</v>
      </c>
    </row>
    <row r="729" spans="2:2" ht="13.5">
      <c r="B729" s="15"/>
    </row>
    <row r="730" spans="2:2" ht="13.5">
      <c r="B730" s="15" t="s">
        <v>586</v>
      </c>
    </row>
    <row r="731" spans="2:2" ht="13.5">
      <c r="B731" s="15" t="s">
        <v>587</v>
      </c>
    </row>
    <row r="732" spans="2:2" ht="13.5">
      <c r="B732" s="15"/>
    </row>
    <row r="733" spans="2:2" ht="13.5">
      <c r="B733" s="15" t="s">
        <v>588</v>
      </c>
    </row>
    <row r="734" spans="2:2" ht="13.5">
      <c r="B734" s="15"/>
    </row>
    <row r="735" spans="2:2" ht="13.5">
      <c r="B735" s="15" t="s">
        <v>589</v>
      </c>
    </row>
    <row r="736" spans="2:2" ht="13.5">
      <c r="B736" s="15" t="s">
        <v>590</v>
      </c>
    </row>
    <row r="737" spans="2:2" ht="13.5">
      <c r="B737" s="15"/>
    </row>
    <row r="738" spans="2:2" ht="13.5">
      <c r="B738" s="15" t="s">
        <v>591</v>
      </c>
    </row>
    <row r="739" spans="2:2" ht="13.5">
      <c r="B739" s="15" t="s">
        <v>592</v>
      </c>
    </row>
    <row r="740" spans="2:2" ht="13.5">
      <c r="B740" s="15" t="s">
        <v>593</v>
      </c>
    </row>
    <row r="741" spans="2:2" ht="13.5">
      <c r="B741" s="15" t="s">
        <v>594</v>
      </c>
    </row>
    <row r="742" spans="2:2" ht="13.5">
      <c r="B742" s="15"/>
    </row>
    <row r="743" spans="2:2" ht="13.5">
      <c r="B743" s="15" t="s">
        <v>595</v>
      </c>
    </row>
    <row r="744" spans="2:2" ht="13.5">
      <c r="B744" s="15" t="s">
        <v>596</v>
      </c>
    </row>
    <row r="745" spans="2:2" ht="13.5">
      <c r="B745" s="15" t="s">
        <v>597</v>
      </c>
    </row>
    <row r="746" spans="2:2" ht="13.5">
      <c r="B746" s="15"/>
    </row>
    <row r="747" spans="2:2" ht="13.5">
      <c r="B747" s="15" t="s">
        <v>598</v>
      </c>
    </row>
    <row r="748" spans="2:2" ht="13.5">
      <c r="B748" s="15" t="s">
        <v>599</v>
      </c>
    </row>
    <row r="749" spans="2:2" ht="13.5">
      <c r="B749" s="15" t="s">
        <v>600</v>
      </c>
    </row>
    <row r="750" spans="2:2" ht="13.5">
      <c r="B750" s="15" t="s">
        <v>601</v>
      </c>
    </row>
    <row r="751" spans="2:2" ht="13.5">
      <c r="B751" s="15"/>
    </row>
    <row r="752" spans="2:2" ht="13.5">
      <c r="B752" s="15" t="s">
        <v>602</v>
      </c>
    </row>
    <row r="753" spans="2:2" ht="13.5">
      <c r="B753" s="15" t="s">
        <v>603</v>
      </c>
    </row>
    <row r="754" spans="2:2" ht="13.5">
      <c r="B754" s="15" t="s">
        <v>604</v>
      </c>
    </row>
    <row r="755" spans="2:2" ht="13.5">
      <c r="B755" s="15" t="s">
        <v>605</v>
      </c>
    </row>
    <row r="756" spans="2:2" ht="13.5">
      <c r="B756" s="15" t="s">
        <v>606</v>
      </c>
    </row>
    <row r="757" spans="2:2" ht="13.5">
      <c r="B757" s="15" t="s">
        <v>607</v>
      </c>
    </row>
    <row r="758" spans="2:2" ht="15">
      <c r="B758" s="40"/>
    </row>
  </sheetData>
  <sheetProtection sheet="1" objects="1" scenarios="1" selectLockedCells="1" selectUnlockedCells="1"/>
  <phoneticPr fontId="3" type="noConversion"/>
  <pageMargins left="0.75" right="0.75" top="1" bottom="1" header="0.5" footer="0.5"/>
  <pageSetup paperSize="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GF391"/>
  <sheetViews>
    <sheetView showGridLines="0" showRowColHeaders="0" zoomScale="120" workbookViewId="0">
      <selection activeCell="F2" sqref="F2"/>
    </sheetView>
  </sheetViews>
  <sheetFormatPr defaultColWidth="6.7109375" defaultRowHeight="11.25" customHeight="1"/>
  <cols>
    <col min="1" max="1" width="2.7109375" style="16" customWidth="1"/>
    <col min="2" max="2" width="9.7109375" style="16" customWidth="1"/>
    <col min="3" max="4" width="6.28515625" style="16" customWidth="1"/>
    <col min="5" max="5" width="4.28515625" style="327" customWidth="1"/>
    <col min="6" max="6" width="7.140625" style="136" customWidth="1"/>
    <col min="7" max="7" width="2.85546875" style="136" customWidth="1"/>
    <col min="8" max="8" width="6.28515625" style="136" hidden="1" customWidth="1"/>
    <col min="9" max="9" width="5" style="322" hidden="1" customWidth="1"/>
    <col min="10" max="10" width="1.140625" style="25" hidden="1" customWidth="1"/>
    <col min="11" max="11" width="5.28515625" style="16" hidden="1" customWidth="1"/>
    <col min="12" max="12" width="4.7109375" style="16" hidden="1" customWidth="1"/>
    <col min="13" max="13" width="1.140625" style="16" customWidth="1"/>
    <col min="14" max="14" width="3.5703125" style="16" customWidth="1"/>
    <col min="15" max="15" width="4.7109375" style="16" customWidth="1"/>
    <col min="16" max="16" width="2.7109375" style="16" customWidth="1"/>
    <col min="17" max="17" width="3.5703125" style="16" customWidth="1"/>
    <col min="18" max="18" width="3.85546875" style="16" customWidth="1"/>
    <col min="19" max="19" width="3.140625" style="179" customWidth="1"/>
    <col min="20" max="20" width="5.28515625" style="179" customWidth="1"/>
    <col min="21" max="21" width="7.42578125" style="185" customWidth="1"/>
    <col min="22" max="24" width="5.28515625" style="16" customWidth="1"/>
    <col min="25" max="25" width="5.42578125" style="16" customWidth="1"/>
    <col min="26" max="26" width="5.28515625" style="16" customWidth="1"/>
    <col min="27" max="27" width="5.42578125" style="16" customWidth="1"/>
    <col min="28" max="31" width="5.28515625" style="16" customWidth="1"/>
    <col min="32" max="32" width="4.7109375" style="25" customWidth="1"/>
    <col min="33" max="33" width="4.42578125" style="16" customWidth="1"/>
    <col min="34" max="34" width="5.28515625" style="16" customWidth="1"/>
    <col min="35" max="35" width="4.140625" style="16" customWidth="1"/>
    <col min="36" max="36" width="5.28515625" style="180" customWidth="1"/>
    <col min="37" max="37" width="4.42578125" style="180" customWidth="1"/>
    <col min="38" max="38" width="5.28515625" style="180" customWidth="1"/>
    <col min="39" max="47" width="10" style="180" customWidth="1"/>
    <col min="48" max="48" width="10" style="16" customWidth="1"/>
    <col min="49" max="49" width="6.42578125" style="16" customWidth="1"/>
    <col min="50" max="50" width="7" style="16" customWidth="1"/>
    <col min="51" max="51" width="5.28515625" style="16" customWidth="1"/>
    <col min="52" max="60" width="8.5703125" style="16" customWidth="1"/>
    <col min="61" max="61" width="3.85546875" style="16" customWidth="1"/>
    <col min="62" max="62" width="7.7109375" style="16" customWidth="1"/>
    <col min="63" max="63" width="3.5703125" style="136" customWidth="1"/>
    <col min="64" max="64" width="7.5703125" style="16" customWidth="1"/>
    <col min="65" max="65" width="4.85546875" style="16" customWidth="1"/>
    <col min="66" max="66" width="1.42578125" style="16" customWidth="1"/>
    <col min="67" max="67" width="9.140625" style="16" customWidth="1"/>
    <col min="68" max="68" width="3.85546875" style="16" customWidth="1"/>
    <col min="69" max="69" width="7.7109375" style="16" customWidth="1"/>
    <col min="70" max="70" width="3.5703125" style="136" customWidth="1"/>
    <col min="71" max="71" width="7.5703125" style="16" customWidth="1"/>
    <col min="72" max="72" width="4.7109375" style="16" customWidth="1"/>
    <col min="73" max="73" width="1.42578125" style="16" customWidth="1"/>
    <col min="74" max="74" width="9.140625" style="16" customWidth="1"/>
    <col min="75" max="75" width="3.85546875" style="16" customWidth="1"/>
    <col min="76" max="76" width="7.7109375" style="16" customWidth="1"/>
    <col min="77" max="77" width="3.5703125" style="136" customWidth="1"/>
    <col min="78" max="78" width="7.7109375" style="16" customWidth="1"/>
    <col min="79" max="79" width="4.85546875" style="16" customWidth="1"/>
    <col min="80" max="80" width="1.42578125" style="16" customWidth="1"/>
    <col min="81" max="94" width="8.42578125" style="181" customWidth="1"/>
    <col min="95" max="96" width="5.28515625" style="181" customWidth="1"/>
    <col min="97" max="97" width="6.5703125" style="181" customWidth="1"/>
    <col min="98" max="114" width="5.28515625" style="16" customWidth="1"/>
    <col min="115" max="115" width="2.85546875" style="16" customWidth="1"/>
    <col min="116" max="126" width="5.28515625" style="16" customWidth="1"/>
    <col min="127" max="127" width="7.140625" style="221" customWidth="1"/>
    <col min="128" max="129" width="6.7109375" style="197" customWidth="1"/>
    <col min="130" max="130" width="6.7109375" style="222" customWidth="1"/>
    <col min="131" max="131" width="6.7109375" style="192" customWidth="1"/>
    <col min="132" max="132" width="6.7109375" style="197" customWidth="1"/>
    <col min="133" max="133" width="6.7109375" style="192" customWidth="1"/>
    <col min="134" max="134" width="6.7109375" style="197" customWidth="1"/>
    <col min="135" max="135" width="6.7109375" style="192" customWidth="1"/>
    <col min="136" max="137" width="6.7109375" style="197" customWidth="1"/>
    <col min="138" max="138" width="6.7109375" style="222" customWidth="1"/>
    <col min="139" max="139" width="6.7109375" style="192" customWidth="1"/>
    <col min="140" max="140" width="6.7109375" style="197" customWidth="1"/>
    <col min="141" max="141" width="6.7109375" style="192" customWidth="1"/>
    <col min="142" max="142" width="6.7109375" style="197" customWidth="1"/>
    <col min="143" max="143" width="6.7109375" style="192" customWidth="1"/>
    <col min="144" max="145" width="6.7109375" style="197" customWidth="1"/>
    <col min="146" max="146" width="6.7109375" style="222" customWidth="1"/>
    <col min="147" max="147" width="6.7109375" style="192" customWidth="1"/>
    <col min="148" max="148" width="6.7109375" style="197" customWidth="1"/>
    <col min="149" max="149" width="6.7109375" style="192" customWidth="1"/>
    <col min="150" max="150" width="6.7109375" style="197" customWidth="1"/>
    <col min="151" max="151" width="6.7109375" style="192" customWidth="1"/>
    <col min="152" max="153" width="6.7109375" style="197" customWidth="1"/>
    <col min="154" max="154" width="6.7109375" style="222" customWidth="1"/>
    <col min="155" max="155" width="6.7109375" style="192" customWidth="1"/>
    <col min="156" max="156" width="6.7109375" style="197" customWidth="1"/>
    <col min="157" max="157" width="6.7109375" style="192" customWidth="1"/>
    <col min="158" max="158" width="6.7109375" style="197" customWidth="1"/>
    <col min="159" max="159" width="6.7109375" style="192" customWidth="1"/>
    <col min="160" max="161" width="6.7109375" style="197" customWidth="1"/>
    <col min="162" max="162" width="6.7109375" style="222" customWidth="1"/>
    <col min="163" max="163" width="6.7109375" style="192" customWidth="1"/>
    <col min="164" max="164" width="6.7109375" style="197" customWidth="1"/>
    <col min="165" max="165" width="6.7109375" style="192" customWidth="1"/>
    <col min="166" max="166" width="6.7109375" style="197" customWidth="1"/>
    <col min="167" max="167" width="6.7109375" style="192" customWidth="1"/>
    <col min="168" max="169" width="6.7109375" style="197" customWidth="1"/>
    <col min="170" max="170" width="6.7109375" style="222" customWidth="1"/>
    <col min="171" max="171" width="6.7109375" style="192" customWidth="1"/>
    <col min="172" max="172" width="6.7109375" style="197" customWidth="1"/>
    <col min="173" max="173" width="6.7109375" style="192" customWidth="1"/>
    <col min="174" max="174" width="6.7109375" style="197" customWidth="1"/>
    <col min="175" max="175" width="6.7109375" style="192" customWidth="1"/>
    <col min="176" max="177" width="6.7109375" style="197" customWidth="1"/>
    <col min="178" max="178" width="6.7109375" style="222" customWidth="1"/>
    <col min="179" max="179" width="6.7109375" style="192" customWidth="1"/>
    <col min="180" max="180" width="6.7109375" style="197" customWidth="1"/>
    <col min="181" max="181" width="6.7109375" style="192" customWidth="1"/>
    <col min="182" max="182" width="6.7109375" style="197" customWidth="1"/>
    <col min="183" max="183" width="6.7109375" style="192" customWidth="1"/>
    <col min="184" max="184" width="6.7109375" style="222" customWidth="1"/>
    <col min="185" max="185" width="6.7109375" style="192" customWidth="1"/>
    <col min="186" max="186" width="6.7109375" style="197" customWidth="1"/>
    <col min="187" max="187" width="6.7109375" style="192" customWidth="1"/>
    <col min="188" max="188" width="6.7109375" style="197" customWidth="1"/>
    <col min="189" max="16384" width="6.7109375" style="16"/>
  </cols>
  <sheetData>
    <row r="1" spans="1:187" ht="11.25" customHeight="1">
      <c r="C1" s="41" t="s">
        <v>859</v>
      </c>
      <c r="E1" s="468">
        <v>2</v>
      </c>
      <c r="F1" s="469" t="s">
        <v>707</v>
      </c>
      <c r="G1" s="470"/>
      <c r="H1" s="175" t="s">
        <v>741</v>
      </c>
      <c r="I1" s="176"/>
      <c r="J1" s="177"/>
      <c r="K1" s="178" t="s">
        <v>743</v>
      </c>
      <c r="L1" s="30"/>
      <c r="M1" s="30"/>
      <c r="N1" s="30"/>
      <c r="O1" s="30"/>
      <c r="P1" s="30"/>
      <c r="Q1" s="30"/>
      <c r="R1" s="25"/>
      <c r="S1" s="179">
        <f>(kbins+Z7+AW4+AW9+AW13+AW17+AW29+AW30+AX9+Xscrollcount)/1000000</f>
        <v>1.1017000000000001E-2</v>
      </c>
      <c r="T1" s="16">
        <f t="shared" ref="T1:AJ1" si="0">$S$1</f>
        <v>1.1017000000000001E-2</v>
      </c>
      <c r="U1" s="16">
        <f t="shared" si="0"/>
        <v>1.1017000000000001E-2</v>
      </c>
      <c r="V1" s="16">
        <f t="shared" si="0"/>
        <v>1.1017000000000001E-2</v>
      </c>
      <c r="W1" s="16">
        <f t="shared" si="0"/>
        <v>1.1017000000000001E-2</v>
      </c>
      <c r="X1" s="16">
        <f t="shared" si="0"/>
        <v>1.1017000000000001E-2</v>
      </c>
      <c r="Y1" s="16">
        <f t="shared" si="0"/>
        <v>1.1017000000000001E-2</v>
      </c>
      <c r="Z1" s="16">
        <f t="shared" si="0"/>
        <v>1.1017000000000001E-2</v>
      </c>
      <c r="AA1" s="16">
        <f t="shared" si="0"/>
        <v>1.1017000000000001E-2</v>
      </c>
      <c r="AB1" s="16">
        <f t="shared" si="0"/>
        <v>1.1017000000000001E-2</v>
      </c>
      <c r="AC1" s="16">
        <f t="shared" si="0"/>
        <v>1.1017000000000001E-2</v>
      </c>
      <c r="AD1" s="16">
        <f t="shared" si="0"/>
        <v>1.1017000000000001E-2</v>
      </c>
      <c r="AE1" s="16">
        <f t="shared" si="0"/>
        <v>1.1017000000000001E-2</v>
      </c>
      <c r="AF1" s="25">
        <f t="shared" si="0"/>
        <v>1.1017000000000001E-2</v>
      </c>
      <c r="AG1" s="16">
        <f t="shared" si="0"/>
        <v>1.1017000000000001E-2</v>
      </c>
      <c r="AH1" s="16">
        <f t="shared" si="0"/>
        <v>1.1017000000000001E-2</v>
      </c>
      <c r="AI1" s="16">
        <f t="shared" si="0"/>
        <v>1.1017000000000001E-2</v>
      </c>
      <c r="AJ1" s="180">
        <f t="shared" si="0"/>
        <v>1.1017000000000001E-2</v>
      </c>
      <c r="BI1" s="239"/>
      <c r="BJ1" s="586"/>
      <c r="BK1" s="587"/>
      <c r="BL1" s="23"/>
      <c r="BM1" s="23"/>
      <c r="BN1" s="24"/>
      <c r="BP1" s="239"/>
      <c r="BQ1" s="586"/>
      <c r="BR1" s="587"/>
      <c r="BS1" s="23"/>
      <c r="BT1" s="23"/>
      <c r="BU1" s="24"/>
      <c r="BW1" s="239"/>
      <c r="BX1" s="586"/>
      <c r="BY1" s="587"/>
      <c r="BZ1" s="23"/>
      <c r="CA1" s="23"/>
      <c r="CB1" s="24"/>
      <c r="CT1" s="182" t="s">
        <v>769</v>
      </c>
      <c r="CU1" s="183" t="s">
        <v>771</v>
      </c>
      <c r="CV1" s="184" t="e">
        <f>IF(OR(Y24,Y25),XaxisL+Z7*X6/1001,NA())</f>
        <v>#N/A</v>
      </c>
      <c r="CW1" s="185" t="s">
        <v>736</v>
      </c>
      <c r="CX1" s="186">
        <f>COUNT(CU4:CU303)/C14</f>
        <v>0</v>
      </c>
      <c r="CY1" s="185" t="s">
        <v>721</v>
      </c>
      <c r="CZ1" s="187" t="s">
        <v>719</v>
      </c>
      <c r="DA1" s="187" t="s">
        <v>720</v>
      </c>
      <c r="DB1" s="187" t="s">
        <v>722</v>
      </c>
      <c r="DC1" s="187" t="s">
        <v>723</v>
      </c>
      <c r="DD1" s="188" t="s">
        <v>637</v>
      </c>
      <c r="DE1" s="189" t="s">
        <v>651</v>
      </c>
      <c r="DF1" s="189" t="s">
        <v>651</v>
      </c>
      <c r="DG1" s="189" t="s">
        <v>651</v>
      </c>
      <c r="DH1" s="189" t="s">
        <v>651</v>
      </c>
      <c r="DI1" s="190" t="s">
        <v>629</v>
      </c>
      <c r="DJ1" s="191" t="s">
        <v>630</v>
      </c>
      <c r="DK1" s="187"/>
      <c r="DM1" s="192"/>
      <c r="DN1" s="185" t="s">
        <v>633</v>
      </c>
      <c r="DO1" s="192">
        <v>32</v>
      </c>
      <c r="DP1" s="193" t="s">
        <v>660</v>
      </c>
      <c r="DQ1" s="194"/>
      <c r="DR1" s="193" t="s">
        <v>662</v>
      </c>
      <c r="DS1" s="193" t="s">
        <v>662</v>
      </c>
      <c r="DT1" s="193" t="s">
        <v>746</v>
      </c>
      <c r="DU1" s="193" t="s">
        <v>747</v>
      </c>
      <c r="DV1" s="193" t="s">
        <v>748</v>
      </c>
      <c r="DW1" s="195" t="s">
        <v>670</v>
      </c>
      <c r="DX1" s="196" t="s">
        <v>739</v>
      </c>
      <c r="DZ1" s="198" t="s">
        <v>761</v>
      </c>
      <c r="EA1" s="199"/>
      <c r="EB1" s="200"/>
      <c r="EC1" s="199"/>
      <c r="ED1" s="200"/>
      <c r="EE1" s="199"/>
      <c r="EH1" s="198"/>
      <c r="EI1" s="199"/>
      <c r="EJ1" s="200"/>
      <c r="EK1" s="199"/>
      <c r="EL1" s="200"/>
      <c r="EM1" s="199"/>
      <c r="EP1" s="198"/>
      <c r="EQ1" s="199"/>
      <c r="ER1" s="200"/>
      <c r="ES1" s="199"/>
      <c r="ET1" s="200"/>
      <c r="EU1" s="199"/>
      <c r="EX1" s="198"/>
      <c r="EY1" s="199"/>
      <c r="EZ1" s="200"/>
      <c r="FA1" s="199"/>
      <c r="FB1" s="200"/>
      <c r="FC1" s="199"/>
      <c r="FF1" s="198"/>
      <c r="FG1" s="199"/>
      <c r="FH1" s="200"/>
      <c r="FI1" s="199"/>
      <c r="FJ1" s="200"/>
      <c r="FK1" s="199"/>
      <c r="FN1" s="198"/>
      <c r="FO1" s="199"/>
      <c r="FP1" s="200"/>
      <c r="FQ1" s="199"/>
      <c r="FR1" s="200"/>
      <c r="FS1" s="199"/>
      <c r="FV1" s="198"/>
      <c r="FW1" s="199"/>
      <c r="FX1" s="200"/>
      <c r="FY1" s="199"/>
      <c r="FZ1" s="200"/>
      <c r="GA1" s="199"/>
      <c r="GB1" s="198"/>
      <c r="GC1" s="199"/>
      <c r="GD1" s="200"/>
      <c r="GE1" s="199"/>
    </row>
    <row r="2" spans="1:187" ht="11.25" customHeight="1">
      <c r="C2" s="201" t="s">
        <v>861</v>
      </c>
      <c r="E2" s="466">
        <v>1</v>
      </c>
      <c r="F2" s="464">
        <v>13.7</v>
      </c>
      <c r="G2" s="145"/>
      <c r="H2" s="164">
        <f ca="1">IF(OFFSET(CX3,$AI$2,0)="","",OFFSET(CX3,$AI$2,0))</f>
        <v>1.2</v>
      </c>
      <c r="I2" s="202">
        <f ca="1">OFFSET(CW3,$AI$2,0)</f>
        <v>1</v>
      </c>
      <c r="J2" s="177"/>
      <c r="K2" s="178"/>
      <c r="L2" s="30"/>
      <c r="M2" s="30"/>
      <c r="N2" s="30"/>
      <c r="O2" s="30"/>
      <c r="P2" s="30"/>
      <c r="Q2" s="30"/>
      <c r="R2" s="25"/>
      <c r="S2" s="179">
        <f>$S$1</f>
        <v>1.1017000000000001E-2</v>
      </c>
      <c r="T2" s="197" t="s">
        <v>659</v>
      </c>
      <c r="U2" s="203"/>
      <c r="V2" s="204" t="s">
        <v>615</v>
      </c>
      <c r="W2" s="204" t="s">
        <v>614</v>
      </c>
      <c r="X2" s="205" t="s">
        <v>618</v>
      </c>
      <c r="Y2" s="206" t="s">
        <v>631</v>
      </c>
      <c r="Z2" s="20"/>
      <c r="AA2" s="207"/>
      <c r="AB2" s="208" t="s">
        <v>715</v>
      </c>
      <c r="AC2" s="209"/>
      <c r="AD2" s="209"/>
      <c r="AE2" s="210" t="s">
        <v>716</v>
      </c>
      <c r="AF2" s="30" t="s">
        <v>770</v>
      </c>
      <c r="AG2" s="211">
        <v>1</v>
      </c>
      <c r="AH2" s="138">
        <f>IF(C14&lt;=36,0,INT(Z7*(C14-35)/1001))</f>
        <v>0</v>
      </c>
      <c r="AI2" s="197">
        <f>IF(Y24,IF(CT3&lt;36,1,CT3-34),Oscrollcount+1)</f>
        <v>1</v>
      </c>
      <c r="AJ2" s="180">
        <f t="shared" ref="AJ2:AJ16" si="1">$S$1</f>
        <v>1.1017000000000001E-2</v>
      </c>
      <c r="AV2" s="30"/>
      <c r="AW2" s="16" t="s">
        <v>788</v>
      </c>
      <c r="AY2" s="197"/>
      <c r="AZ2" s="197"/>
      <c r="BA2" s="197"/>
      <c r="BB2" s="197"/>
      <c r="BC2" s="197"/>
      <c r="BD2" s="197"/>
      <c r="BE2" s="197"/>
      <c r="BF2" s="197"/>
      <c r="BG2" s="197"/>
      <c r="BH2" s="197"/>
      <c r="BI2" s="589" t="s">
        <v>1369</v>
      </c>
      <c r="BJ2" s="590"/>
      <c r="BK2" s="23"/>
      <c r="BL2" s="23"/>
      <c r="BM2" s="23"/>
      <c r="BN2" s="24"/>
      <c r="BP2" s="589" t="s">
        <v>297</v>
      </c>
      <c r="BQ2" s="590"/>
      <c r="BR2" s="23"/>
      <c r="BS2" s="23"/>
      <c r="BT2" s="23"/>
      <c r="BU2" s="24"/>
      <c r="BW2" s="589" t="s">
        <v>299</v>
      </c>
      <c r="BX2" s="590"/>
      <c r="BY2" s="23"/>
      <c r="BZ2" s="23"/>
      <c r="CA2" s="23"/>
      <c r="CB2" s="24"/>
      <c r="CT2" s="212" t="s">
        <v>772</v>
      </c>
      <c r="CU2" s="197" t="s">
        <v>729</v>
      </c>
      <c r="CV2" s="197"/>
      <c r="CW2" s="177" t="s">
        <v>737</v>
      </c>
      <c r="CX2" s="213" t="s">
        <v>728</v>
      </c>
      <c r="CY2" s="16">
        <v>0.7</v>
      </c>
      <c r="CZ2" s="16">
        <v>18.5</v>
      </c>
      <c r="DA2" s="16">
        <f>MAX(DA4:DA303)</f>
        <v>2.7950000000000004</v>
      </c>
      <c r="DB2" s="16">
        <f>IF(DA2-yinc/2&lt;=0,0,MAX(0,ROUNDUP(LOG((CZ2-yinc/2)/(DA2-yinc/2),CY2),0)))</f>
        <v>0</v>
      </c>
      <c r="DC2" s="16">
        <f>POWER(CY2,DB2)</f>
        <v>1</v>
      </c>
      <c r="DD2" s="214" t="s">
        <v>636</v>
      </c>
      <c r="DE2" s="215">
        <v>1</v>
      </c>
      <c r="DF2" s="215">
        <v>2</v>
      </c>
      <c r="DG2" s="215">
        <v>5</v>
      </c>
      <c r="DH2" s="216">
        <v>10</v>
      </c>
      <c r="DJ2" s="192">
        <f t="array" ref="DJ2:DJ32">FREQUENCY(F2:F301,DI3:DI32)</f>
        <v>0</v>
      </c>
      <c r="DK2" s="217"/>
      <c r="DL2" s="217" t="s">
        <v>634</v>
      </c>
      <c r="DM2" s="218"/>
      <c r="DN2" s="219" t="s">
        <v>635</v>
      </c>
      <c r="DO2" s="220"/>
      <c r="DP2" s="193" t="s">
        <v>661</v>
      </c>
      <c r="DQ2" s="194"/>
      <c r="DR2" s="193" t="s">
        <v>659</v>
      </c>
      <c r="DS2" s="193" t="s">
        <v>750</v>
      </c>
      <c r="DT2" s="193" t="s">
        <v>659</v>
      </c>
      <c r="DU2" s="193" t="s">
        <v>659</v>
      </c>
      <c r="DV2" s="193" t="s">
        <v>659</v>
      </c>
      <c r="DW2" s="221">
        <f>yaxismax</f>
        <v>8</v>
      </c>
      <c r="DX2" s="197" t="e">
        <f>SUM(DY4:GE4)</f>
        <v>#N/A</v>
      </c>
      <c r="DZ2" s="222" t="s">
        <v>762</v>
      </c>
      <c r="EA2" s="192">
        <v>500</v>
      </c>
    </row>
    <row r="3" spans="1:187" ht="11.25" customHeight="1">
      <c r="C3" s="201" t="s">
        <v>862</v>
      </c>
      <c r="E3" s="466">
        <v>2</v>
      </c>
      <c r="F3" s="474">
        <v>21.1</v>
      </c>
      <c r="G3" s="145"/>
      <c r="H3" s="223">
        <f ca="1">IF(OFFSET(CX4,$AI$2,0)="","",OFFSET(CX4,$AI$2,0))</f>
        <v>4.0999999999999996</v>
      </c>
      <c r="I3" s="202">
        <f t="shared" ref="I3:I36" ca="1" si="2">OFFSET(CW4,$AI$2,0)</f>
        <v>2</v>
      </c>
      <c r="J3" s="177"/>
      <c r="K3" s="178" t="s">
        <v>742</v>
      </c>
      <c r="L3" s="177"/>
      <c r="M3" s="177"/>
      <c r="N3" s="177"/>
      <c r="O3" s="177"/>
      <c r="P3" s="177"/>
      <c r="Q3" s="177"/>
      <c r="R3" s="25"/>
      <c r="S3" s="179">
        <f t="shared" ref="S3:S37" si="3">$S$1</f>
        <v>1.1017000000000001E-2</v>
      </c>
      <c r="T3" s="224" t="str">
        <f ca="1">IF(OFFSET($AG$3,Xscrollcount,0)="","",OFFSET($AG$3,Xscrollcount,0))</f>
        <v/>
      </c>
      <c r="U3" s="225" t="s">
        <v>616</v>
      </c>
      <c r="V3" s="197">
        <f>MIN($F2:$F301)</f>
        <v>1.2</v>
      </c>
      <c r="W3" s="197">
        <f>MAX($F2:$F301)</f>
        <v>34.700000000000003</v>
      </c>
      <c r="X3" s="192">
        <f>W3-V3</f>
        <v>33.5</v>
      </c>
      <c r="Y3" s="222">
        <f>V6</f>
        <v>-5</v>
      </c>
      <c r="Z3" s="197">
        <v>0</v>
      </c>
      <c r="AA3" s="222">
        <v>-10</v>
      </c>
      <c r="AB3" s="197" t="e">
        <f t="shared" ref="AB3:AB23" si="4">IF($X$3=0,NA(),IF($Y$23,$V$32+AA3*$V$34,NA()))</f>
        <v>#N/A</v>
      </c>
      <c r="AC3" s="197">
        <f>yaxismax-ymajunit*0.2</f>
        <v>7.8</v>
      </c>
      <c r="AD3" s="197">
        <v>18</v>
      </c>
      <c r="AE3" s="192" t="e">
        <f>IF(AND(AB3&gt;XaxisL,AB3&lt;XaxisU),"z=-10","")</f>
        <v>#N/A</v>
      </c>
      <c r="AF3" s="30"/>
      <c r="AG3" s="187"/>
      <c r="AI3" s="197"/>
      <c r="AJ3" s="180">
        <f t="shared" si="1"/>
        <v>1.1017000000000001E-2</v>
      </c>
      <c r="AV3" s="197"/>
      <c r="AW3" s="16" t="s">
        <v>731</v>
      </c>
      <c r="AX3" s="197"/>
      <c r="AY3" s="197"/>
      <c r="AZ3" s="197"/>
      <c r="BA3" s="197"/>
      <c r="BB3" s="197"/>
      <c r="BC3" s="197"/>
      <c r="BD3" s="197"/>
      <c r="BE3" s="197"/>
      <c r="BF3" s="197"/>
      <c r="BG3" s="197"/>
      <c r="BH3" s="197"/>
      <c r="BI3" s="239"/>
      <c r="BJ3" s="590"/>
      <c r="BK3" s="23"/>
      <c r="BL3" s="23"/>
      <c r="BM3" s="23"/>
      <c r="BN3" s="24"/>
      <c r="BP3" s="239"/>
      <c r="BQ3" s="590"/>
      <c r="BR3" s="23"/>
      <c r="BS3" s="23"/>
      <c r="BT3" s="23"/>
      <c r="BU3" s="24"/>
      <c r="BW3" s="239"/>
      <c r="BX3" s="590"/>
      <c r="BY3" s="23"/>
      <c r="BZ3" s="23"/>
      <c r="CA3" s="23"/>
      <c r="CB3" s="24"/>
      <c r="CT3" s="197" t="e">
        <f>MAX(1,MAX(CT4:CT303))</f>
        <v>#N/A</v>
      </c>
      <c r="CU3" s="182" t="s">
        <v>645</v>
      </c>
      <c r="CV3" s="182" t="s">
        <v>646</v>
      </c>
      <c r="CW3" s="226" t="e">
        <f>(CV1-V32)/V34</f>
        <v>#N/A</v>
      </c>
      <c r="CX3" s="213" t="s">
        <v>659</v>
      </c>
      <c r="CY3" s="190" t="s">
        <v>645</v>
      </c>
      <c r="CZ3" s="190" t="s">
        <v>646</v>
      </c>
      <c r="DA3" s="190" t="s">
        <v>718</v>
      </c>
      <c r="DB3" s="190" t="s">
        <v>643</v>
      </c>
      <c r="DC3" s="190" t="s">
        <v>644</v>
      </c>
      <c r="DD3" s="222">
        <v>1</v>
      </c>
      <c r="DE3" s="197">
        <v>1</v>
      </c>
      <c r="DF3" s="197">
        <v>2</v>
      </c>
      <c r="DG3" s="197">
        <v>5</v>
      </c>
      <c r="DH3" s="192">
        <v>10</v>
      </c>
      <c r="DI3" s="16">
        <f>V8</f>
        <v>0</v>
      </c>
      <c r="DJ3" s="192">
        <v>1</v>
      </c>
      <c r="DL3" s="16">
        <f>$DI$3</f>
        <v>0</v>
      </c>
      <c r="DM3" s="192">
        <v>0</v>
      </c>
      <c r="DN3" s="16">
        <f>DI3</f>
        <v>0</v>
      </c>
      <c r="DO3" s="192">
        <v>0</v>
      </c>
      <c r="DP3" s="16">
        <f>MOD(putrand*10000013,1)</f>
        <v>0.8067724322900176</v>
      </c>
      <c r="DQ3" s="16">
        <v>1</v>
      </c>
      <c r="DR3" s="16">
        <f t="shared" ref="DR3:DR66" si="5">IF(DQ3&lt;=$Y$9,ROUND(NORMINV(DP3,$Y$10,$Y$11),$Y$12),"")</f>
        <v>58.7</v>
      </c>
      <c r="DS3" s="16">
        <f t="shared" ref="DS3:DS66" si="6">IF(DQ3&lt;=$Y$9,NORMINV(DP3,$DW$24,$DW$18),"")</f>
        <v>2.8930126351266678</v>
      </c>
      <c r="DT3" s="16">
        <f t="shared" ref="DT3:DT66" si="7">IF(DQ3&lt;=$Y$9,ROUND(2*$Y$10-($DW$22+EXP(DS3)),$Y$12),"")</f>
        <v>44.5</v>
      </c>
      <c r="DU3" s="16">
        <f t="shared" ref="DU3:DU66" si="8">IF(DQ3&lt;=$Y$9,ROUND($DW$22+EXP(DS3),$Y$12),"")</f>
        <v>55.5</v>
      </c>
      <c r="DV3" s="16">
        <f t="shared" ref="DV3:DV66" si="9">IF(DQ3&lt;=$Y$9,ROUND($Y$10+(DP3-0.5)*$DW$14,$Y$12),"")</f>
        <v>60.6</v>
      </c>
      <c r="DW3" s="227" t="s">
        <v>738</v>
      </c>
      <c r="DX3" s="228" t="s">
        <v>789</v>
      </c>
      <c r="DZ3" s="222" t="s">
        <v>763</v>
      </c>
      <c r="EA3" s="192">
        <v>0.02</v>
      </c>
    </row>
    <row r="4" spans="1:187" ht="11.25" customHeight="1">
      <c r="E4" s="466">
        <v>3</v>
      </c>
      <c r="F4" s="474">
        <v>15.2</v>
      </c>
      <c r="G4" s="145"/>
      <c r="H4" s="223">
        <f t="shared" ref="H4:H37" ca="1" si="10">IF(OFFSET(CX5,$AI$2,0)="","",OFFSET(CX5,$AI$2,0))</f>
        <v>5.0999999999999996</v>
      </c>
      <c r="I4" s="202">
        <f t="shared" ca="1" si="2"/>
        <v>3</v>
      </c>
      <c r="J4" s="30"/>
      <c r="K4" s="1122">
        <f>IF(C14=0,"",V18)</f>
        <v>3</v>
      </c>
      <c r="L4" s="1123"/>
      <c r="M4" s="229"/>
      <c r="N4" s="229"/>
      <c r="O4" s="229"/>
      <c r="P4" s="229"/>
      <c r="Q4" s="229"/>
      <c r="R4" s="230"/>
      <c r="S4" s="179">
        <f t="shared" si="3"/>
        <v>1.1017000000000001E-2</v>
      </c>
      <c r="T4" s="224">
        <f ca="1">IF(OFFSET($F$2,Xscrollcount,0)="","",OFFSET($F$2,Xscrollcount,0))</f>
        <v>21.1</v>
      </c>
      <c r="U4" s="225" t="s">
        <v>617</v>
      </c>
      <c r="V4" s="197">
        <f>IF(C14=0,0,IF(X3=0,V3-1,V3-X3/V9))</f>
        <v>0.86499999999999999</v>
      </c>
      <c r="W4" s="197">
        <f>IF(C14=0,100,IF(X3=0,W3+1,W3+X3/V9))</f>
        <v>35.035000000000004</v>
      </c>
      <c r="X4" s="192">
        <f>W4-V4</f>
        <v>34.17</v>
      </c>
      <c r="Y4" s="231">
        <f>W6</f>
        <v>45</v>
      </c>
      <c r="Z4" s="232">
        <v>0</v>
      </c>
      <c r="AA4" s="222">
        <v>-9</v>
      </c>
      <c r="AB4" s="197" t="e">
        <f t="shared" si="4"/>
        <v>#N/A</v>
      </c>
      <c r="AC4" s="197">
        <f>AC3</f>
        <v>7.8</v>
      </c>
      <c r="AD4" s="197">
        <v>18</v>
      </c>
      <c r="AE4" s="192" t="e">
        <f>IF(AND(AB4&gt;XaxisL,AB4&lt;XaxisU),"z=-9","")</f>
        <v>#N/A</v>
      </c>
      <c r="AH4"/>
      <c r="AJ4" s="180">
        <f t="shared" si="1"/>
        <v>1.1017000000000001E-2</v>
      </c>
      <c r="AV4" s="197"/>
      <c r="AW4" s="211">
        <v>1968</v>
      </c>
      <c r="AX4" s="197"/>
      <c r="AY4" s="197"/>
      <c r="AZ4" s="197"/>
      <c r="BA4" s="197"/>
      <c r="BB4" s="197"/>
      <c r="BC4" s="197"/>
      <c r="BD4" s="197"/>
      <c r="BE4" s="197"/>
      <c r="BF4" s="197"/>
      <c r="BG4" s="197"/>
      <c r="BH4" s="197"/>
      <c r="BI4" s="239"/>
      <c r="BJ4" s="23"/>
      <c r="BK4" s="144"/>
      <c r="BL4" s="23"/>
      <c r="BM4" s="23"/>
      <c r="BN4" s="24"/>
      <c r="BP4" s="239"/>
      <c r="BQ4" s="23"/>
      <c r="BR4" s="144"/>
      <c r="BS4" s="23"/>
      <c r="BT4" s="23"/>
      <c r="BU4" s="24"/>
      <c r="BW4" s="239"/>
      <c r="BX4" s="23"/>
      <c r="BY4" s="144"/>
      <c r="BZ4" s="23"/>
      <c r="CA4" s="23"/>
      <c r="CB4" s="24"/>
      <c r="CS4" s="16">
        <f>AW4*DW2/250000</f>
        <v>6.2976000000000004E-2</v>
      </c>
      <c r="CT4" s="16" t="e">
        <f>IF($CV$1&gt;CX4,CW4,"")</f>
        <v>#N/A</v>
      </c>
      <c r="CU4" s="197" t="e">
        <f>IF($CV$1&gt;CX4,CY4,NA())</f>
        <v>#N/A</v>
      </c>
      <c r="CV4" s="197" t="e">
        <f>IF($CV$1&gt;CX4,CZ4,NA())</f>
        <v>#N/A</v>
      </c>
      <c r="CW4" s="197">
        <v>1</v>
      </c>
      <c r="CX4" s="197">
        <f t="shared" ref="CX4:CX67" si="11">IF($C$14&gt;=CW4,SMALL(data300x,CW4),"")</f>
        <v>1.2</v>
      </c>
      <c r="CY4" s="197">
        <f t="shared" ref="CY4:CY67" si="12">IF(ISNUMBER(CX4),IF($Y$14,IF($CS$34,Xl+DB4*xinc,CX4),CX4),NA())</f>
        <v>1.2729999999999997</v>
      </c>
      <c r="CZ4" s="197">
        <f t="shared" ref="CZ4:CZ67" si="13">IF(ISNUMBER(CX4),IF($Y$14,$DC$2*DC4*yinc,0)+yinc/2,NA())</f>
        <v>0.55900000000000005</v>
      </c>
      <c r="DA4" s="197">
        <f>IF(ISNUMBER(CX4),IF($Y$14,DC4*yinc,0)+yinc/2,"")</f>
        <v>0.55900000000000005</v>
      </c>
      <c r="DB4" s="16">
        <f t="shared" ref="DB4:DB67" si="14">IF(ISNUMBER(CX4),ROUND((CX4-Xl)/xinc,0),NA())</f>
        <v>9</v>
      </c>
      <c r="DC4" s="16">
        <f>IF(ISNUMBER(CX4),COUNTIF($DB$4:DB4,DB4)-1,NA())</f>
        <v>0</v>
      </c>
      <c r="DD4" s="222">
        <v>2</v>
      </c>
      <c r="DE4" s="197">
        <v>2</v>
      </c>
      <c r="DF4" s="197">
        <v>5</v>
      </c>
      <c r="DG4" s="197">
        <v>10</v>
      </c>
      <c r="DH4" s="192">
        <v>20</v>
      </c>
      <c r="DI4" s="16">
        <f t="shared" ref="DI4:DI33" si="15">DI3+$V$18</f>
        <v>3</v>
      </c>
      <c r="DJ4" s="192">
        <v>2</v>
      </c>
      <c r="DL4" s="16">
        <f>$DI$3</f>
        <v>0</v>
      </c>
      <c r="DM4" s="192">
        <f>$DJ$3</f>
        <v>1</v>
      </c>
      <c r="DN4" s="16">
        <f>IF(kbins&lt;=$DO$1,DI4,NA())</f>
        <v>3</v>
      </c>
      <c r="DO4" s="192">
        <v>0</v>
      </c>
      <c r="DP4" s="16">
        <f>MOD(DP3*10000013,1)</f>
        <v>0.81094179581850767</v>
      </c>
      <c r="DQ4" s="16">
        <v>2</v>
      </c>
      <c r="DR4" s="16">
        <f t="shared" si="5"/>
        <v>58.8</v>
      </c>
      <c r="DS4" s="16">
        <f t="shared" si="6"/>
        <v>2.9037284522868392</v>
      </c>
      <c r="DT4" s="16">
        <f t="shared" si="7"/>
        <v>44.3</v>
      </c>
      <c r="DU4" s="16">
        <f t="shared" si="8"/>
        <v>55.7</v>
      </c>
      <c r="DV4" s="16">
        <f t="shared" si="9"/>
        <v>60.8</v>
      </c>
      <c r="DW4" s="221" t="e">
        <f>CV1</f>
        <v>#N/A</v>
      </c>
      <c r="DX4" s="228" t="s">
        <v>790</v>
      </c>
      <c r="DY4" s="233" t="e">
        <f>IF($CV$1&gt;=DY6,DY5,"")</f>
        <v>#N/A</v>
      </c>
      <c r="DZ4" s="234"/>
      <c r="EA4" s="235" t="e">
        <f>IF($CV$1&gt;=EA6,EA5,"")</f>
        <v>#N/A</v>
      </c>
      <c r="EB4" s="233"/>
      <c r="EC4" s="235" t="e">
        <f>IF($CV$1&gt;=EC6,EC5,"")</f>
        <v>#N/A</v>
      </c>
      <c r="ED4" s="233"/>
      <c r="EE4" s="235" t="e">
        <f>IF($CV$1&gt;=EE6,EE5,"")</f>
        <v>#N/A</v>
      </c>
      <c r="EF4" s="233"/>
      <c r="EG4" s="233" t="e">
        <f>IF($CV$1&gt;=EG6,EG5,"")</f>
        <v>#N/A</v>
      </c>
      <c r="EH4" s="234"/>
      <c r="EI4" s="235" t="e">
        <f>IF($CV$1&gt;=EI6,EI5,"")</f>
        <v>#N/A</v>
      </c>
      <c r="EJ4" s="233"/>
      <c r="EK4" s="235" t="e">
        <f>IF($CV$1&gt;=EK6,EK5,"")</f>
        <v>#N/A</v>
      </c>
      <c r="EL4" s="233"/>
      <c r="EM4" s="235" t="e">
        <f>IF($CV$1&gt;=EM6,EM5,"")</f>
        <v>#N/A</v>
      </c>
      <c r="EN4" s="233"/>
      <c r="EO4" s="233" t="e">
        <f>IF($CV$1&gt;=EO6,EO5,"")</f>
        <v>#N/A</v>
      </c>
      <c r="EP4" s="234"/>
      <c r="EQ4" s="235" t="e">
        <f>IF($CV$1&gt;=EQ6,EQ5,"")</f>
        <v>#N/A</v>
      </c>
      <c r="ER4" s="233"/>
      <c r="ES4" s="235" t="e">
        <f>IF($CV$1&gt;=ES6,ES5,"")</f>
        <v>#N/A</v>
      </c>
      <c r="ET4" s="233"/>
      <c r="EU4" s="235" t="e">
        <f>IF($CV$1&gt;=EU6,EU5,"")</f>
        <v>#N/A</v>
      </c>
      <c r="EV4" s="233"/>
      <c r="EW4" s="233" t="e">
        <f>IF($CV$1&gt;=EW6,EW5,"")</f>
        <v>#N/A</v>
      </c>
      <c r="EX4" s="234"/>
      <c r="EY4" s="235" t="e">
        <f>IF($CV$1&gt;=EY6,EY5,"")</f>
        <v>#N/A</v>
      </c>
      <c r="EZ4" s="233"/>
      <c r="FA4" s="235" t="e">
        <f>IF($CV$1&gt;=FA6,FA5,"")</f>
        <v>#N/A</v>
      </c>
      <c r="FB4" s="233"/>
      <c r="FC4" s="235" t="e">
        <f>IF($CV$1&gt;=FC6,FC5,"")</f>
        <v>#N/A</v>
      </c>
      <c r="FD4" s="233"/>
      <c r="FE4" s="233" t="e">
        <f>IF($CV$1&gt;=FE6,FE5,"")</f>
        <v>#N/A</v>
      </c>
      <c r="FF4" s="234"/>
      <c r="FG4" s="235" t="e">
        <f>IF($CV$1&gt;=FG6,FG5,"")</f>
        <v>#N/A</v>
      </c>
      <c r="FH4" s="233"/>
      <c r="FI4" s="235" t="e">
        <f>IF($CV$1&gt;=FI6,FI5,"")</f>
        <v>#N/A</v>
      </c>
      <c r="FJ4" s="233"/>
      <c r="FK4" s="235" t="e">
        <f>IF($CV$1&gt;=FK6,FK5,"")</f>
        <v>#N/A</v>
      </c>
      <c r="FL4" s="233"/>
      <c r="FM4" s="233" t="e">
        <f>IF($CV$1&gt;=FM6,FM5,"")</f>
        <v>#N/A</v>
      </c>
      <c r="FN4" s="234"/>
      <c r="FO4" s="235" t="e">
        <f>IF($CV$1&gt;=FO6,FO5,"")</f>
        <v>#N/A</v>
      </c>
      <c r="FP4" s="233"/>
      <c r="FQ4" s="235" t="e">
        <f>IF($CV$1&gt;=FQ6,FQ5,"")</f>
        <v>#N/A</v>
      </c>
      <c r="FR4" s="233"/>
      <c r="FS4" s="235" t="e">
        <f>IF($CV$1&gt;=FS6,FS5,"")</f>
        <v>#N/A</v>
      </c>
      <c r="FT4" s="233"/>
      <c r="FU4" s="233" t="e">
        <f>IF($CV$1&gt;=FU6,FU5,"")</f>
        <v>#N/A</v>
      </c>
      <c r="FV4" s="234"/>
      <c r="FW4" s="235" t="e">
        <f>IF($CV$1&gt;=FW6,FW5,"")</f>
        <v>#N/A</v>
      </c>
      <c r="FX4" s="233"/>
      <c r="FY4" s="235" t="e">
        <f>IF($CV$1&gt;=FY6,FY5,"")</f>
        <v>#N/A</v>
      </c>
      <c r="FZ4" s="233"/>
      <c r="GA4" s="235" t="e">
        <f>IF($CV$1&gt;=GA6,GA5,"")</f>
        <v>#N/A</v>
      </c>
      <c r="GB4" s="234"/>
      <c r="GC4" s="235" t="e">
        <f>IF($CV$1&gt;=GC6,GC5,"")</f>
        <v>#N/A</v>
      </c>
      <c r="GD4" s="233"/>
      <c r="GE4" s="235" t="e">
        <f>IF($CV$1&gt;=GE6,GE5,"")</f>
        <v>#N/A</v>
      </c>
    </row>
    <row r="5" spans="1:187" ht="11.25" customHeight="1">
      <c r="A5" s="434">
        <v>1</v>
      </c>
      <c r="B5" s="236"/>
      <c r="C5" s="236"/>
      <c r="D5" s="236"/>
      <c r="E5" s="466">
        <v>4</v>
      </c>
      <c r="F5" s="474">
        <v>30.4</v>
      </c>
      <c r="G5" s="145"/>
      <c r="H5" s="223">
        <f t="shared" ca="1" si="10"/>
        <v>8.5</v>
      </c>
      <c r="I5" s="202">
        <f t="shared" ca="1" si="2"/>
        <v>4</v>
      </c>
      <c r="J5" s="30"/>
      <c r="K5" s="177" t="s">
        <v>760</v>
      </c>
      <c r="L5" s="229"/>
      <c r="N5" s="439">
        <v>6</v>
      </c>
      <c r="O5" s="237" t="s">
        <v>766</v>
      </c>
      <c r="P5" s="237"/>
      <c r="Q5" s="328"/>
      <c r="R5" s="329"/>
      <c r="S5" s="179">
        <f t="shared" si="3"/>
        <v>1.1017000000000001E-2</v>
      </c>
      <c r="T5" s="224">
        <f ca="1">IF(OFFSET($F$3,Xscrollcount,0)="","",OFFSET($F$3,Xscrollcount,0))</f>
        <v>15.2</v>
      </c>
      <c r="U5" s="225" t="s">
        <v>724</v>
      </c>
      <c r="V5" s="16">
        <f>IF(OR(Y22,Y23),MIN(V4,V32-V34-X3/V9),V4)</f>
        <v>0.86499999999999999</v>
      </c>
      <c r="W5" s="16">
        <f>IF(OR(Y22,Y23),MAX(W4,V32+V34+X3/V9),W4)</f>
        <v>35.035000000000004</v>
      </c>
      <c r="Y5" s="198" t="s">
        <v>641</v>
      </c>
      <c r="Z5" s="200">
        <f>IF(savexinc="",AW30*X6/50000,savexinc)</f>
        <v>0.69699999999999995</v>
      </c>
      <c r="AA5" s="222">
        <v>-8</v>
      </c>
      <c r="AB5" s="197" t="e">
        <f t="shared" si="4"/>
        <v>#N/A</v>
      </c>
      <c r="AC5" s="197">
        <f t="shared" ref="AC5:AC23" si="16">AC4</f>
        <v>7.8</v>
      </c>
      <c r="AD5" s="197">
        <v>18</v>
      </c>
      <c r="AE5" s="192" t="e">
        <f>IF(AND(AB5&gt;XaxisL,AB5&lt;XaxisU),"z=-8","")</f>
        <v>#N/A</v>
      </c>
      <c r="AH5"/>
      <c r="AJ5" s="180">
        <f t="shared" si="1"/>
        <v>1.1017000000000001E-2</v>
      </c>
      <c r="AV5" s="197"/>
      <c r="AY5" s="197"/>
      <c r="AZ5" s="197"/>
      <c r="BA5" s="197"/>
      <c r="BB5" s="197"/>
      <c r="BC5" s="197"/>
      <c r="BD5" s="197"/>
      <c r="BE5" s="197"/>
      <c r="BF5" s="197"/>
      <c r="BG5" s="197"/>
      <c r="BH5" s="197"/>
      <c r="BI5" s="239"/>
      <c r="BJ5" s="23"/>
      <c r="BK5" s="491" t="s">
        <v>282</v>
      </c>
      <c r="BL5" s="1117" t="s">
        <v>283</v>
      </c>
      <c r="BM5" s="199"/>
      <c r="BN5" s="595"/>
      <c r="BP5" s="239"/>
      <c r="BQ5" s="23"/>
      <c r="BR5" s="491" t="s">
        <v>282</v>
      </c>
      <c r="BS5" s="1117" t="s">
        <v>283</v>
      </c>
      <c r="BT5" s="199"/>
      <c r="BU5" s="595"/>
      <c r="BW5" s="239"/>
      <c r="BX5" s="23"/>
      <c r="BY5" s="491" t="s">
        <v>282</v>
      </c>
      <c r="BZ5" s="1117" t="s">
        <v>1370</v>
      </c>
      <c r="CA5" s="199"/>
      <c r="CB5" s="595"/>
      <c r="CT5" s="16" t="e">
        <f t="shared" ref="CT5:CT68" si="17">IF($CV$1&gt;CX5,CW5,"")</f>
        <v>#N/A</v>
      </c>
      <c r="CU5" s="197" t="e">
        <f t="shared" ref="CU5:CU68" si="18">IF($CV$1&gt;CX5,CY5,NA())</f>
        <v>#N/A</v>
      </c>
      <c r="CV5" s="197" t="e">
        <f t="shared" ref="CV5:CV68" si="19">IF($CV$1&gt;CX5,CZ5,NA())</f>
        <v>#N/A</v>
      </c>
      <c r="CW5" s="197">
        <v>2</v>
      </c>
      <c r="CX5" s="197">
        <f t="shared" si="11"/>
        <v>4.0999999999999996</v>
      </c>
      <c r="CY5" s="197">
        <f t="shared" si="12"/>
        <v>4.0609999999999999</v>
      </c>
      <c r="CZ5" s="197">
        <f t="shared" si="13"/>
        <v>0.55900000000000005</v>
      </c>
      <c r="DA5" s="197">
        <f t="shared" ref="DA5:DA68" si="20">IF(ISNUMBER(CX5),IF($Y$14,DC5*yinc,0)+yinc/2,"")</f>
        <v>0.55900000000000005</v>
      </c>
      <c r="DB5" s="16">
        <f t="shared" si="14"/>
        <v>13</v>
      </c>
      <c r="DC5" s="16">
        <f>IF(ISNUMBER(CX5),COUNTIF($DB$4:DB5,DB5)-1,NA())</f>
        <v>0</v>
      </c>
      <c r="DD5" s="222">
        <v>3</v>
      </c>
      <c r="DE5" s="197">
        <v>2</v>
      </c>
      <c r="DF5" s="197">
        <v>5</v>
      </c>
      <c r="DG5" s="197">
        <v>10</v>
      </c>
      <c r="DH5" s="192">
        <v>20</v>
      </c>
      <c r="DI5" s="16">
        <f t="shared" si="15"/>
        <v>6</v>
      </c>
      <c r="DJ5" s="192">
        <v>4</v>
      </c>
      <c r="DL5" s="16">
        <f>$DI$4</f>
        <v>3</v>
      </c>
      <c r="DM5" s="192">
        <f>$DJ$3</f>
        <v>1</v>
      </c>
      <c r="DN5" s="238">
        <f t="shared" ref="DN5:DN33" si="21">IF($X$3=0,NA(),IF(AND(kbins&gt;=DD5-1,OR(kbins&lt;=$DO$1,MOD(DD5,2)=1)),DI5,NA()))</f>
        <v>6</v>
      </c>
      <c r="DO5" s="192">
        <v>0</v>
      </c>
      <c r="DP5" s="16">
        <f t="shared" ref="DP5:DP68" si="22">MOD(DP4*10000013,1)</f>
        <v>0.50042842235416174</v>
      </c>
      <c r="DQ5" s="16">
        <v>3</v>
      </c>
      <c r="DR5" s="16">
        <f t="shared" si="5"/>
        <v>50</v>
      </c>
      <c r="DS5" s="16">
        <f t="shared" si="6"/>
        <v>2.2875196510175098</v>
      </c>
      <c r="DT5" s="16">
        <f t="shared" si="7"/>
        <v>52.7</v>
      </c>
      <c r="DU5" s="16">
        <f t="shared" si="8"/>
        <v>47.3</v>
      </c>
      <c r="DV5" s="16">
        <f t="shared" si="9"/>
        <v>50</v>
      </c>
      <c r="DW5" s="221" t="s">
        <v>677</v>
      </c>
      <c r="DX5" s="23" t="s">
        <v>671</v>
      </c>
      <c r="DY5" s="23">
        <f>DJ3</f>
        <v>1</v>
      </c>
      <c r="DZ5" s="239" t="s">
        <v>678</v>
      </c>
      <c r="EA5" s="24">
        <f>DJ4</f>
        <v>2</v>
      </c>
      <c r="EB5" s="23" t="s">
        <v>679</v>
      </c>
      <c r="EC5" s="24">
        <f>DJ5</f>
        <v>4</v>
      </c>
      <c r="ED5" s="23" t="s">
        <v>680</v>
      </c>
      <c r="EE5" s="24">
        <f>DJ6</f>
        <v>6</v>
      </c>
      <c r="EF5" s="23" t="s">
        <v>681</v>
      </c>
      <c r="EG5" s="23">
        <f>DJ7</f>
        <v>4</v>
      </c>
      <c r="EH5" s="239" t="s">
        <v>682</v>
      </c>
      <c r="EI5" s="24">
        <f>DJ8</f>
        <v>7</v>
      </c>
      <c r="EJ5" s="23" t="s">
        <v>683</v>
      </c>
      <c r="EK5" s="24">
        <f>DJ9</f>
        <v>2</v>
      </c>
      <c r="EL5" s="23" t="s">
        <v>684</v>
      </c>
      <c r="EM5" s="24">
        <f>DJ10</f>
        <v>2</v>
      </c>
      <c r="EN5" s="23" t="s">
        <v>685</v>
      </c>
      <c r="EO5" s="23">
        <f>DJ11</f>
        <v>1</v>
      </c>
      <c r="EP5" s="239" t="s">
        <v>686</v>
      </c>
      <c r="EQ5" s="24">
        <f>DJ12</f>
        <v>0</v>
      </c>
      <c r="ER5" s="23" t="s">
        <v>687</v>
      </c>
      <c r="ES5" s="24">
        <f>DJ13</f>
        <v>1</v>
      </c>
      <c r="ET5" s="23" t="s">
        <v>688</v>
      </c>
      <c r="EU5" s="24">
        <f>DJ14</f>
        <v>1</v>
      </c>
      <c r="EV5" s="23" t="s">
        <v>689</v>
      </c>
      <c r="EW5" s="23">
        <f>DJ15</f>
        <v>0</v>
      </c>
      <c r="EX5" s="239" t="s">
        <v>690</v>
      </c>
      <c r="EY5" s="24">
        <f>DJ16</f>
        <v>0</v>
      </c>
      <c r="EZ5" s="23" t="s">
        <v>691</v>
      </c>
      <c r="FA5" s="24">
        <f>DJ17</f>
        <v>0</v>
      </c>
      <c r="FB5" s="23" t="s">
        <v>692</v>
      </c>
      <c r="FC5" s="24">
        <f>DJ18</f>
        <v>0</v>
      </c>
      <c r="FD5" s="23" t="s">
        <v>693</v>
      </c>
      <c r="FE5" s="23">
        <f>DJ19</f>
        <v>0</v>
      </c>
      <c r="FF5" s="239" t="s">
        <v>694</v>
      </c>
      <c r="FG5" s="24">
        <f>DJ20</f>
        <v>0</v>
      </c>
      <c r="FH5" s="23" t="s">
        <v>695</v>
      </c>
      <c r="FI5" s="24">
        <f>DJ21</f>
        <v>0</v>
      </c>
      <c r="FJ5" s="23" t="s">
        <v>696</v>
      </c>
      <c r="FK5" s="24">
        <f>DJ22</f>
        <v>0</v>
      </c>
      <c r="FL5" s="23" t="s">
        <v>697</v>
      </c>
      <c r="FM5" s="23">
        <f>DJ23</f>
        <v>0</v>
      </c>
      <c r="FN5" s="239" t="s">
        <v>698</v>
      </c>
      <c r="FO5" s="24">
        <f>DJ24</f>
        <v>0</v>
      </c>
      <c r="FP5" s="23" t="s">
        <v>699</v>
      </c>
      <c r="FQ5" s="24">
        <f>DJ25</f>
        <v>0</v>
      </c>
      <c r="FR5" s="23" t="s">
        <v>700</v>
      </c>
      <c r="FS5" s="24">
        <f>DJ26</f>
        <v>0</v>
      </c>
      <c r="FT5" s="23" t="s">
        <v>701</v>
      </c>
      <c r="FU5" s="23">
        <f>DJ27</f>
        <v>0</v>
      </c>
      <c r="FV5" s="239" t="s">
        <v>702</v>
      </c>
      <c r="FW5" s="24">
        <f>DJ28</f>
        <v>0</v>
      </c>
      <c r="FX5" s="23" t="s">
        <v>703</v>
      </c>
      <c r="FY5" s="24">
        <f>DJ29</f>
        <v>0</v>
      </c>
      <c r="FZ5" s="23" t="s">
        <v>704</v>
      </c>
      <c r="GA5" s="24">
        <f>DJ30</f>
        <v>0</v>
      </c>
      <c r="GB5" s="239" t="s">
        <v>705</v>
      </c>
      <c r="GC5" s="24">
        <f>DJ31</f>
        <v>0</v>
      </c>
      <c r="GD5" s="23" t="s">
        <v>706</v>
      </c>
      <c r="GE5" s="24">
        <f>DJ32</f>
        <v>0</v>
      </c>
    </row>
    <row r="6" spans="1:187" ht="11.25" customHeight="1">
      <c r="A6" s="767"/>
      <c r="B6" s="1112" t="s">
        <v>434</v>
      </c>
      <c r="C6" s="1114" t="s">
        <v>283</v>
      </c>
      <c r="D6" s="199"/>
      <c r="E6" s="466">
        <v>5</v>
      </c>
      <c r="F6" s="474">
        <v>12.8</v>
      </c>
      <c r="G6" s="145"/>
      <c r="H6" s="223">
        <f t="shared" ca="1" si="10"/>
        <v>8.6999999999999993</v>
      </c>
      <c r="I6" s="202">
        <f t="shared" ca="1" si="2"/>
        <v>5</v>
      </c>
      <c r="J6" s="30"/>
      <c r="K6" s="230" t="s">
        <v>759</v>
      </c>
      <c r="L6" s="230" t="s">
        <v>647</v>
      </c>
      <c r="N6" s="330"/>
      <c r="O6" s="331"/>
      <c r="P6" s="331"/>
      <c r="Q6" s="331"/>
      <c r="R6" s="245"/>
      <c r="S6" s="179">
        <f t="shared" si="3"/>
        <v>1.1017000000000001E-2</v>
      </c>
      <c r="T6" s="224">
        <f ca="1">IF(OFFSET($F$4,Xscrollcount,0)="","",OFFSET($F$4,Xscrollcount,0))</f>
        <v>30.4</v>
      </c>
      <c r="U6" s="225" t="s">
        <v>623</v>
      </c>
      <c r="V6" s="197">
        <f>IF(C14=0,0,IF(X3=0,V3-1,IF(V5&lt;0,V13*ROUNDUP(V5/V13,0),V13*ROUNDDOWN(V5/V13,0))-V13))</f>
        <v>-5</v>
      </c>
      <c r="W6" s="197">
        <f>IF(C14=0,100,IF(X3=0,W3+1,IF(W5&lt;0,V13*ROUNDDOWN(W5/V13,0),V13*ROUNDUP(W5/V13,0))+V13))</f>
        <v>45</v>
      </c>
      <c r="X6" s="192">
        <f>W6-V6</f>
        <v>50</v>
      </c>
      <c r="Y6" s="231" t="s">
        <v>642</v>
      </c>
      <c r="Z6" s="232">
        <f>AW29/500</f>
        <v>1.1180000000000001</v>
      </c>
      <c r="AA6" s="222">
        <v>-7</v>
      </c>
      <c r="AB6" s="197" t="e">
        <f t="shared" si="4"/>
        <v>#N/A</v>
      </c>
      <c r="AC6" s="197">
        <f t="shared" si="16"/>
        <v>7.8</v>
      </c>
      <c r="AD6" s="197">
        <v>18</v>
      </c>
      <c r="AE6" s="192" t="e">
        <f>IF(AND(AB6&gt;XaxisL,AB6&lt;XaxisU),"z=-7","")</f>
        <v>#N/A</v>
      </c>
      <c r="AH6"/>
      <c r="AJ6" s="180">
        <f t="shared" si="1"/>
        <v>1.1017000000000001E-2</v>
      </c>
      <c r="AV6" s="197"/>
      <c r="AY6" s="197"/>
      <c r="AZ6" s="197"/>
      <c r="BA6" s="197"/>
      <c r="BB6" s="197"/>
      <c r="BC6" s="197"/>
      <c r="BD6" s="197"/>
      <c r="BE6" s="197"/>
      <c r="BF6" s="197"/>
      <c r="BG6" s="197"/>
      <c r="BH6" s="197"/>
      <c r="BI6" s="576"/>
      <c r="BJ6" s="34"/>
      <c r="BK6" s="596" t="s">
        <v>287</v>
      </c>
      <c r="BL6" s="591" t="s">
        <v>288</v>
      </c>
      <c r="BM6" s="592"/>
      <c r="BN6" s="24"/>
      <c r="BP6" s="576"/>
      <c r="BQ6" s="34"/>
      <c r="BR6" s="596" t="s">
        <v>287</v>
      </c>
      <c r="BS6" s="591" t="s">
        <v>288</v>
      </c>
      <c r="BT6" s="592"/>
      <c r="BU6" s="24"/>
      <c r="BW6" s="576"/>
      <c r="BX6" s="34"/>
      <c r="BY6" s="596" t="s">
        <v>287</v>
      </c>
      <c r="BZ6" s="591" t="s">
        <v>1371</v>
      </c>
      <c r="CA6" s="592"/>
      <c r="CB6" s="24"/>
      <c r="CR6" s="181" t="s">
        <v>835</v>
      </c>
      <c r="CT6" s="16" t="e">
        <f t="shared" si="17"/>
        <v>#N/A</v>
      </c>
      <c r="CU6" s="197" t="e">
        <f t="shared" si="18"/>
        <v>#N/A</v>
      </c>
      <c r="CV6" s="197" t="e">
        <f t="shared" si="19"/>
        <v>#N/A</v>
      </c>
      <c r="CW6" s="197">
        <v>3</v>
      </c>
      <c r="CX6" s="197">
        <f t="shared" si="11"/>
        <v>5.0999999999999996</v>
      </c>
      <c r="CY6" s="197">
        <f t="shared" si="12"/>
        <v>4.7579999999999991</v>
      </c>
      <c r="CZ6" s="197">
        <f t="shared" si="13"/>
        <v>0.55900000000000005</v>
      </c>
      <c r="DA6" s="197">
        <f t="shared" si="20"/>
        <v>0.55900000000000005</v>
      </c>
      <c r="DB6" s="16">
        <f t="shared" si="14"/>
        <v>14</v>
      </c>
      <c r="DC6" s="16">
        <f>IF(ISNUMBER(CX6),COUNTIF($DB$4:DB6,DB6)-1,NA())</f>
        <v>0</v>
      </c>
      <c r="DD6" s="222">
        <v>4</v>
      </c>
      <c r="DE6" s="197">
        <v>5</v>
      </c>
      <c r="DF6" s="197">
        <v>10</v>
      </c>
      <c r="DG6" s="197">
        <v>20</v>
      </c>
      <c r="DH6" s="192">
        <v>50</v>
      </c>
      <c r="DI6" s="16">
        <f t="shared" si="15"/>
        <v>9</v>
      </c>
      <c r="DJ6" s="192">
        <v>6</v>
      </c>
      <c r="DL6" s="16">
        <f>$DI$4</f>
        <v>3</v>
      </c>
      <c r="DM6" s="192">
        <v>0</v>
      </c>
      <c r="DN6" s="238">
        <f t="shared" si="21"/>
        <v>9</v>
      </c>
      <c r="DO6" s="192">
        <v>0</v>
      </c>
      <c r="DP6" s="16">
        <f t="shared" si="22"/>
        <v>0.72911110799759626</v>
      </c>
      <c r="DQ6" s="16">
        <v>4</v>
      </c>
      <c r="DR6" s="16">
        <f t="shared" si="5"/>
        <v>56.1</v>
      </c>
      <c r="DS6" s="16">
        <f t="shared" si="6"/>
        <v>2.7138567164769403</v>
      </c>
      <c r="DT6" s="16">
        <f t="shared" si="7"/>
        <v>47.5</v>
      </c>
      <c r="DU6" s="16">
        <f t="shared" si="8"/>
        <v>52.5</v>
      </c>
      <c r="DV6" s="16">
        <f t="shared" si="9"/>
        <v>57.9</v>
      </c>
      <c r="DW6" s="221" t="s">
        <v>672</v>
      </c>
      <c r="DX6" s="197">
        <f>DI3</f>
        <v>0</v>
      </c>
      <c r="DY6" s="197">
        <f>DI4</f>
        <v>3</v>
      </c>
      <c r="DZ6" s="222">
        <f>DY6</f>
        <v>3</v>
      </c>
      <c r="EA6" s="192">
        <f>DI5</f>
        <v>6</v>
      </c>
      <c r="EB6" s="197">
        <f>EA6</f>
        <v>6</v>
      </c>
      <c r="EC6" s="192">
        <f>DI6</f>
        <v>9</v>
      </c>
      <c r="ED6" s="197">
        <f>EC6</f>
        <v>9</v>
      </c>
      <c r="EE6" s="192">
        <f>DI7</f>
        <v>12</v>
      </c>
      <c r="EF6" s="197">
        <f>EE6</f>
        <v>12</v>
      </c>
      <c r="EG6" s="197">
        <f>DI8</f>
        <v>15</v>
      </c>
      <c r="EH6" s="222">
        <f t="shared" ref="EH6:GD6" si="23">EG6</f>
        <v>15</v>
      </c>
      <c r="EI6" s="192">
        <f>DI9</f>
        <v>18</v>
      </c>
      <c r="EJ6" s="197">
        <f t="shared" si="23"/>
        <v>18</v>
      </c>
      <c r="EK6" s="192">
        <f>DI10</f>
        <v>21</v>
      </c>
      <c r="EL6" s="197">
        <f t="shared" si="23"/>
        <v>21</v>
      </c>
      <c r="EM6" s="192">
        <f>DI11</f>
        <v>24</v>
      </c>
      <c r="EN6" s="197">
        <f t="shared" si="23"/>
        <v>24</v>
      </c>
      <c r="EO6" s="197">
        <f>DI12</f>
        <v>27</v>
      </c>
      <c r="EP6" s="222">
        <f t="shared" si="23"/>
        <v>27</v>
      </c>
      <c r="EQ6" s="192">
        <f>DI13</f>
        <v>30</v>
      </c>
      <c r="ER6" s="197">
        <f t="shared" si="23"/>
        <v>30</v>
      </c>
      <c r="ES6" s="192">
        <f>DI14</f>
        <v>33</v>
      </c>
      <c r="ET6" s="197">
        <f t="shared" si="23"/>
        <v>33</v>
      </c>
      <c r="EU6" s="192">
        <f>DI15</f>
        <v>36</v>
      </c>
      <c r="EV6" s="197">
        <f t="shared" si="23"/>
        <v>36</v>
      </c>
      <c r="EW6" s="197">
        <f>DI16</f>
        <v>39</v>
      </c>
      <c r="EX6" s="222">
        <f t="shared" si="23"/>
        <v>39</v>
      </c>
      <c r="EY6" s="192">
        <f>DI17</f>
        <v>42</v>
      </c>
      <c r="EZ6" s="197">
        <f t="shared" si="23"/>
        <v>42</v>
      </c>
      <c r="FA6" s="192">
        <f>DI18</f>
        <v>45</v>
      </c>
      <c r="FB6" s="197">
        <f t="shared" si="23"/>
        <v>45</v>
      </c>
      <c r="FC6" s="192">
        <f>DI19</f>
        <v>48</v>
      </c>
      <c r="FD6" s="197">
        <f t="shared" si="23"/>
        <v>48</v>
      </c>
      <c r="FE6" s="197">
        <f>DI20</f>
        <v>51</v>
      </c>
      <c r="FF6" s="222">
        <f t="shared" si="23"/>
        <v>51</v>
      </c>
      <c r="FG6" s="192">
        <f>DI21</f>
        <v>54</v>
      </c>
      <c r="FH6" s="197">
        <f t="shared" si="23"/>
        <v>54</v>
      </c>
      <c r="FI6" s="192">
        <f>DI22</f>
        <v>57</v>
      </c>
      <c r="FJ6" s="197">
        <f t="shared" si="23"/>
        <v>57</v>
      </c>
      <c r="FK6" s="192">
        <f>DI23</f>
        <v>60</v>
      </c>
      <c r="FL6" s="197">
        <f t="shared" si="23"/>
        <v>60</v>
      </c>
      <c r="FM6" s="197">
        <f>DI24</f>
        <v>63</v>
      </c>
      <c r="FN6" s="222">
        <f t="shared" si="23"/>
        <v>63</v>
      </c>
      <c r="FO6" s="192">
        <f>DI25</f>
        <v>66</v>
      </c>
      <c r="FP6" s="197">
        <f t="shared" si="23"/>
        <v>66</v>
      </c>
      <c r="FQ6" s="192">
        <f>DI26</f>
        <v>69</v>
      </c>
      <c r="FR6" s="197">
        <f t="shared" si="23"/>
        <v>69</v>
      </c>
      <c r="FS6" s="192">
        <f>DI27</f>
        <v>72</v>
      </c>
      <c r="FT6" s="197">
        <f t="shared" si="23"/>
        <v>72</v>
      </c>
      <c r="FU6" s="197">
        <f>DI28</f>
        <v>75</v>
      </c>
      <c r="FV6" s="222">
        <f t="shared" si="23"/>
        <v>75</v>
      </c>
      <c r="FW6" s="192">
        <f>DI29</f>
        <v>78</v>
      </c>
      <c r="FX6" s="197">
        <f t="shared" si="23"/>
        <v>78</v>
      </c>
      <c r="FY6" s="192">
        <f>DI30</f>
        <v>81</v>
      </c>
      <c r="FZ6" s="197">
        <f t="shared" si="23"/>
        <v>81</v>
      </c>
      <c r="GA6" s="192">
        <f>DI31</f>
        <v>84</v>
      </c>
      <c r="GB6" s="222">
        <f t="shared" si="23"/>
        <v>84</v>
      </c>
      <c r="GC6" s="192">
        <f>DI32</f>
        <v>87</v>
      </c>
      <c r="GD6" s="197">
        <f t="shared" si="23"/>
        <v>87</v>
      </c>
      <c r="GE6" s="192">
        <f>DI33</f>
        <v>90</v>
      </c>
    </row>
    <row r="7" spans="1:187" ht="11.25" customHeight="1">
      <c r="A7" s="767"/>
      <c r="B7" s="241" t="s">
        <v>764</v>
      </c>
      <c r="C7" s="1115" t="s">
        <v>288</v>
      </c>
      <c r="D7" s="1116"/>
      <c r="E7" s="1113">
        <v>6</v>
      </c>
      <c r="F7" s="474">
        <v>9.6</v>
      </c>
      <c r="G7" s="145"/>
      <c r="H7" s="223">
        <f t="shared" ca="1" si="10"/>
        <v>8.6999999999999993</v>
      </c>
      <c r="I7" s="202">
        <f t="shared" ca="1" si="2"/>
        <v>6</v>
      </c>
      <c r="J7" s="30"/>
      <c r="K7" s="248">
        <f>IF($C$14=0,"",IF(X3=0,V3-0.5,IF(kbins&lt;DD3,"",DI3)))</f>
        <v>0</v>
      </c>
      <c r="L7" s="248">
        <f>IF($C$14=0,"",IF(X3=0,COUNT(data300x),IF(kbins&lt;DD3,"",DJ3)))</f>
        <v>1</v>
      </c>
      <c r="M7" s="30"/>
      <c r="N7" s="332"/>
      <c r="O7" s="243" t="s">
        <v>767</v>
      </c>
      <c r="P7" s="1124">
        <f>kbins</f>
        <v>12</v>
      </c>
      <c r="Q7" s="1125"/>
      <c r="R7" s="245"/>
      <c r="S7" s="179">
        <f t="shared" si="3"/>
        <v>1.1017000000000001E-2</v>
      </c>
      <c r="T7" s="224">
        <f ca="1">IF(OFFSET($F$5,Xscrollcount,0)="","",OFFSET($F$5,Xscrollcount,0))</f>
        <v>12.8</v>
      </c>
      <c r="U7" s="249" t="s">
        <v>638</v>
      </c>
      <c r="V7" s="232">
        <f>IF(C14=0,0,IF(X3=0,V3-1,IF(V4&lt;0,V17*ROUNDUP(V4/V17,0),V17*ROUNDDOWN(V4/V17,0))))</f>
        <v>0.5</v>
      </c>
      <c r="W7" s="197">
        <f>IF(C14=0,100,IF(X3=0,W3+1,IF(W4&lt;0,V17*ROUNDDOWN(W4/V17,0),V17*ROUNDUP(W4/V17,0))))</f>
        <v>35.5</v>
      </c>
      <c r="X7" s="192">
        <f>W7-V7</f>
        <v>35</v>
      </c>
      <c r="Y7" s="185" t="s">
        <v>727</v>
      </c>
      <c r="Z7" s="250">
        <v>1000</v>
      </c>
      <c r="AA7" s="222">
        <v>-6</v>
      </c>
      <c r="AB7" s="197" t="e">
        <f t="shared" si="4"/>
        <v>#N/A</v>
      </c>
      <c r="AC7" s="197">
        <f t="shared" si="16"/>
        <v>7.8</v>
      </c>
      <c r="AD7" s="197">
        <v>18</v>
      </c>
      <c r="AE7" s="192" t="e">
        <f>IF(AND(AB7&gt;XaxisL,AB7&lt;XaxisU),"z=-6","")</f>
        <v>#N/A</v>
      </c>
      <c r="AH7"/>
      <c r="AJ7" s="180">
        <f t="shared" si="1"/>
        <v>1.1017000000000001E-2</v>
      </c>
      <c r="AV7" s="197"/>
      <c r="AW7" s="16" t="s">
        <v>730</v>
      </c>
      <c r="AY7" s="197"/>
      <c r="AZ7" s="197"/>
      <c r="BA7" s="197"/>
      <c r="BB7" s="197"/>
      <c r="BC7" s="197"/>
      <c r="BD7" s="197"/>
      <c r="BE7" s="197"/>
      <c r="BF7" s="197"/>
      <c r="BG7" s="197"/>
      <c r="BH7" s="197"/>
      <c r="BI7" s="604"/>
      <c r="BJ7" s="600" t="s">
        <v>1368</v>
      </c>
      <c r="BK7" s="601"/>
      <c r="BL7" s="1109"/>
      <c r="BM7" s="1109"/>
      <c r="BN7" s="24"/>
      <c r="BP7" s="604"/>
      <c r="BQ7" s="600" t="s">
        <v>1368</v>
      </c>
      <c r="BR7" s="601"/>
      <c r="BS7" s="1109"/>
      <c r="BT7" s="1109"/>
      <c r="BU7" s="24"/>
      <c r="BW7" s="604"/>
      <c r="BX7" s="600" t="s">
        <v>1368</v>
      </c>
      <c r="BY7" s="601"/>
      <c r="BZ7" s="1109"/>
      <c r="CA7" s="1109"/>
      <c r="CB7" s="24"/>
      <c r="CR7" s="180">
        <v>0</v>
      </c>
      <c r="CS7" s="180">
        <v>0</v>
      </c>
      <c r="CT7" s="16" t="e">
        <f t="shared" si="17"/>
        <v>#N/A</v>
      </c>
      <c r="CU7" s="197" t="e">
        <f t="shared" si="18"/>
        <v>#N/A</v>
      </c>
      <c r="CV7" s="197" t="e">
        <f t="shared" si="19"/>
        <v>#N/A</v>
      </c>
      <c r="CW7" s="197">
        <v>4</v>
      </c>
      <c r="CX7" s="197">
        <f t="shared" si="11"/>
        <v>8.5</v>
      </c>
      <c r="CY7" s="197">
        <f t="shared" si="12"/>
        <v>8.2429999999999986</v>
      </c>
      <c r="CZ7" s="197">
        <f t="shared" si="13"/>
        <v>0.55900000000000005</v>
      </c>
      <c r="DA7" s="197">
        <f t="shared" si="20"/>
        <v>0.55900000000000005</v>
      </c>
      <c r="DB7" s="16">
        <f t="shared" si="14"/>
        <v>19</v>
      </c>
      <c r="DC7" s="16">
        <f>IF(ISNUMBER(CX7),COUNTIF($DB$4:DB7,DB7)-1,NA())</f>
        <v>0</v>
      </c>
      <c r="DD7" s="222">
        <v>5</v>
      </c>
      <c r="DE7" s="197">
        <v>5</v>
      </c>
      <c r="DF7" s="197">
        <v>10</v>
      </c>
      <c r="DG7" s="197">
        <v>20</v>
      </c>
      <c r="DH7" s="192">
        <v>50</v>
      </c>
      <c r="DI7" s="16">
        <f t="shared" si="15"/>
        <v>12</v>
      </c>
      <c r="DJ7" s="192">
        <v>4</v>
      </c>
      <c r="DK7" s="16">
        <v>2</v>
      </c>
      <c r="DL7" s="16">
        <f>IF($X$3=0,NA(),IF(kbins&lt;DK7,NA(),$DI$4))</f>
        <v>3</v>
      </c>
      <c r="DM7" s="192">
        <f>$DJ$4</f>
        <v>2</v>
      </c>
      <c r="DN7" s="238">
        <f t="shared" si="21"/>
        <v>12</v>
      </c>
      <c r="DO7" s="192">
        <v>0</v>
      </c>
      <c r="DP7" s="16">
        <f t="shared" si="22"/>
        <v>0.55842036660760641</v>
      </c>
      <c r="DQ7" s="16">
        <v>5</v>
      </c>
      <c r="DR7" s="16">
        <f t="shared" si="5"/>
        <v>51.5</v>
      </c>
      <c r="DS7" s="16">
        <f t="shared" si="6"/>
        <v>2.3896437604889704</v>
      </c>
      <c r="DT7" s="16">
        <f t="shared" si="7"/>
        <v>51.7</v>
      </c>
      <c r="DU7" s="16">
        <f t="shared" si="8"/>
        <v>48.3</v>
      </c>
      <c r="DV7" s="16">
        <f t="shared" si="9"/>
        <v>52</v>
      </c>
      <c r="DW7" s="221" t="s">
        <v>676</v>
      </c>
      <c r="DX7" s="197">
        <f>DX6+$CS$13</f>
        <v>0.22189999999999999</v>
      </c>
      <c r="DY7" s="197">
        <f>DY6-$CS$17</f>
        <v>2.7781000000000002</v>
      </c>
      <c r="DZ7" s="222">
        <f>DZ6+$CS$13</f>
        <v>3.2218999999999998</v>
      </c>
      <c r="EA7" s="192">
        <f>EA6-$CS$17</f>
        <v>5.7781000000000002</v>
      </c>
      <c r="EB7" s="197">
        <f>EB6+$CS$13</f>
        <v>6.2218999999999998</v>
      </c>
      <c r="EC7" s="192">
        <f>EC6-$CS$17</f>
        <v>8.7781000000000002</v>
      </c>
      <c r="ED7" s="197">
        <f>ED6+$CS$13</f>
        <v>9.2218999999999998</v>
      </c>
      <c r="EE7" s="192">
        <f>EE6-$CS$17</f>
        <v>11.7781</v>
      </c>
      <c r="EF7" s="197">
        <f>EF6+$CS$13</f>
        <v>12.2219</v>
      </c>
      <c r="EG7" s="197">
        <f>EG6-$CS$17</f>
        <v>14.7781</v>
      </c>
      <c r="EH7" s="222">
        <f>EH6+$CS$13</f>
        <v>15.2219</v>
      </c>
      <c r="EI7" s="192">
        <f>EI6-$CS$17</f>
        <v>17.778099999999998</v>
      </c>
      <c r="EJ7" s="197">
        <f>EJ6+$CS$13</f>
        <v>18.221900000000002</v>
      </c>
      <c r="EK7" s="192">
        <f>EK6-$CS$17</f>
        <v>20.778099999999998</v>
      </c>
      <c r="EL7" s="197">
        <f>EL6+$CS$13</f>
        <v>21.221900000000002</v>
      </c>
      <c r="EM7" s="192">
        <f>EM6-$CS$17</f>
        <v>23.778099999999998</v>
      </c>
      <c r="EN7" s="197">
        <f>EN6+$CS$13</f>
        <v>24.221900000000002</v>
      </c>
      <c r="EO7" s="197">
        <f>EO6-$CS$17</f>
        <v>26.778099999999998</v>
      </c>
      <c r="EP7" s="222">
        <f>EP6+$CS$13</f>
        <v>27.221900000000002</v>
      </c>
      <c r="EQ7" s="192">
        <f>EQ6-$CS$17</f>
        <v>29.778099999999998</v>
      </c>
      <c r="ER7" s="197">
        <f>ER6+$CS$13</f>
        <v>30.221900000000002</v>
      </c>
      <c r="ES7" s="192">
        <f>ES6-$CS$17</f>
        <v>32.778100000000002</v>
      </c>
      <c r="ET7" s="197">
        <f>ET6+$CS$13</f>
        <v>33.221899999999998</v>
      </c>
      <c r="EU7" s="192">
        <f>EU6-$CS$17</f>
        <v>35.778100000000002</v>
      </c>
      <c r="EV7" s="197">
        <f>EV6+$CS$13</f>
        <v>36.221899999999998</v>
      </c>
      <c r="EW7" s="197">
        <f>EW6-$CS$17</f>
        <v>38.778100000000002</v>
      </c>
      <c r="EX7" s="222">
        <f>EX6+$CS$13</f>
        <v>39.221899999999998</v>
      </c>
      <c r="EY7" s="192">
        <f>EY6-$CS$17</f>
        <v>41.778100000000002</v>
      </c>
      <c r="EZ7" s="197">
        <f>EZ6+$CS$13</f>
        <v>42.221899999999998</v>
      </c>
      <c r="FA7" s="192">
        <f>FA6-$CS$17</f>
        <v>44.778100000000002</v>
      </c>
      <c r="FB7" s="197">
        <f>FB6+$CS$13</f>
        <v>45.221899999999998</v>
      </c>
      <c r="FC7" s="192">
        <f>FC6-$CS$17</f>
        <v>47.778100000000002</v>
      </c>
      <c r="FD7" s="197">
        <f>FD6+$CS$13</f>
        <v>48.221899999999998</v>
      </c>
      <c r="FE7" s="197">
        <f>FE6-$CS$17</f>
        <v>50.778100000000002</v>
      </c>
      <c r="FF7" s="222">
        <f>FF6+$CS$13</f>
        <v>51.221899999999998</v>
      </c>
      <c r="FG7" s="192">
        <f>FG6-$CS$17</f>
        <v>53.778100000000002</v>
      </c>
      <c r="FH7" s="197">
        <f>FH6+$CS$13</f>
        <v>54.221899999999998</v>
      </c>
      <c r="FI7" s="192">
        <f>FI6-$CS$17</f>
        <v>56.778100000000002</v>
      </c>
      <c r="FJ7" s="197">
        <f>FJ6+$CS$13</f>
        <v>57.221899999999998</v>
      </c>
      <c r="FK7" s="192">
        <f>FK6-$CS$17</f>
        <v>59.778100000000002</v>
      </c>
      <c r="FL7" s="197">
        <f>FL6+$CS$13</f>
        <v>60.221899999999998</v>
      </c>
      <c r="FM7" s="197">
        <f>FM6-$CS$17</f>
        <v>62.778100000000002</v>
      </c>
      <c r="FN7" s="222">
        <f>FN6+$CS$13</f>
        <v>63.221899999999998</v>
      </c>
      <c r="FO7" s="192">
        <f>FO6-$CS$17</f>
        <v>65.778099999999995</v>
      </c>
      <c r="FP7" s="197">
        <f>FP6+$CS$13</f>
        <v>66.221900000000005</v>
      </c>
      <c r="FQ7" s="192">
        <f>FQ6-$CS$17</f>
        <v>68.778099999999995</v>
      </c>
      <c r="FR7" s="197">
        <f>FR6+$CS$13</f>
        <v>69.221900000000005</v>
      </c>
      <c r="FS7" s="192">
        <f>FS6-$CS$17</f>
        <v>71.778099999999995</v>
      </c>
      <c r="FT7" s="197">
        <f>FT6+$CS$13</f>
        <v>72.221900000000005</v>
      </c>
      <c r="FU7" s="197">
        <f>FU6-$CS$17</f>
        <v>74.778099999999995</v>
      </c>
      <c r="FV7" s="222">
        <f>FV6+$CS$13</f>
        <v>75.221900000000005</v>
      </c>
      <c r="FW7" s="192">
        <f>FW6-$CS$17</f>
        <v>77.778099999999995</v>
      </c>
      <c r="FX7" s="197">
        <f>FX6+$CS$13</f>
        <v>78.221900000000005</v>
      </c>
      <c r="FY7" s="192">
        <f>FY6-$CS$17</f>
        <v>80.778099999999995</v>
      </c>
      <c r="FZ7" s="197">
        <f>FZ6+$CS$13</f>
        <v>81.221900000000005</v>
      </c>
      <c r="GA7" s="192">
        <f>GA6-$CS$17</f>
        <v>83.778099999999995</v>
      </c>
      <c r="GB7" s="222">
        <f>GB6+$CS$13</f>
        <v>84.221900000000005</v>
      </c>
      <c r="GC7" s="192">
        <f>GC6-$CS$17</f>
        <v>86.778099999999995</v>
      </c>
      <c r="GD7" s="197">
        <f>GD6+$CS$13</f>
        <v>87.221900000000005</v>
      </c>
      <c r="GE7" s="192">
        <f>GE6-$CS$17</f>
        <v>89.778099999999995</v>
      </c>
    </row>
    <row r="8" spans="1:187" ht="11.25" customHeight="1">
      <c r="A8" s="767"/>
      <c r="B8" s="767"/>
      <c r="C8" s="767"/>
      <c r="D8" s="767"/>
      <c r="E8" s="466">
        <v>7</v>
      </c>
      <c r="F8" s="474">
        <v>9.3000000000000007</v>
      </c>
      <c r="G8" s="145"/>
      <c r="H8" s="223">
        <f t="shared" ca="1" si="10"/>
        <v>9</v>
      </c>
      <c r="I8" s="202">
        <f t="shared" ca="1" si="2"/>
        <v>7</v>
      </c>
      <c r="J8" s="30"/>
      <c r="K8" s="248">
        <f>IF($C$14=0,"",IF(X3=0,V3+0.5,IF(kbins&lt;DD4-1,"",DI4)))</f>
        <v>3</v>
      </c>
      <c r="L8" s="248">
        <f>IF($X$3=0,"",IF(kbins&lt;DD4,"",DJ4))</f>
        <v>2</v>
      </c>
      <c r="M8" s="30"/>
      <c r="N8" s="330"/>
      <c r="O8" s="331"/>
      <c r="P8" s="331"/>
      <c r="Q8" s="331"/>
      <c r="R8" s="245"/>
      <c r="S8" s="179">
        <f t="shared" si="3"/>
        <v>1.1017000000000001E-2</v>
      </c>
      <c r="T8" s="224">
        <f ca="1">IF(OFFSET($F$6,Xscrollcount,0)="","",OFFSET($F$6,Xscrollcount,0))</f>
        <v>9.6</v>
      </c>
      <c r="U8" s="185" t="s">
        <v>628</v>
      </c>
      <c r="V8" s="16">
        <f>IF(C14=0,NA(),IF(X3=0,V3-0.5,V7-V21))</f>
        <v>0</v>
      </c>
      <c r="W8" s="19" t="s">
        <v>656</v>
      </c>
      <c r="X8" s="20"/>
      <c r="Y8" s="251" t="s">
        <v>657</v>
      </c>
      <c r="Z8" s="252" t="b">
        <v>0</v>
      </c>
      <c r="AA8" s="222">
        <v>-5</v>
      </c>
      <c r="AB8" s="197" t="e">
        <f t="shared" si="4"/>
        <v>#N/A</v>
      </c>
      <c r="AC8" s="197">
        <f t="shared" si="16"/>
        <v>7.8</v>
      </c>
      <c r="AD8" s="197">
        <v>18</v>
      </c>
      <c r="AE8" s="192" t="e">
        <f>IF(AND(AB8&gt;XaxisL,AB8&lt;XaxisU),"z=-5","")</f>
        <v>#N/A</v>
      </c>
      <c r="AH8"/>
      <c r="AJ8" s="180">
        <f t="shared" si="1"/>
        <v>1.1017000000000001E-2</v>
      </c>
      <c r="AV8" s="197"/>
      <c r="AW8" s="253" t="s">
        <v>768</v>
      </c>
      <c r="AX8" s="254" t="s">
        <v>769</v>
      </c>
      <c r="AY8" s="197"/>
      <c r="AZ8" s="197"/>
      <c r="BA8" s="197"/>
      <c r="BB8" s="197"/>
      <c r="BC8" s="197"/>
      <c r="BD8" s="197"/>
      <c r="BE8" s="197"/>
      <c r="BF8" s="197"/>
      <c r="BG8" s="197"/>
      <c r="BH8" s="197"/>
      <c r="BI8" s="604"/>
      <c r="BJ8" s="1111" t="s">
        <v>294</v>
      </c>
      <c r="BK8" s="1110"/>
      <c r="BL8" s="1109"/>
      <c r="BM8" s="1109"/>
      <c r="BN8" s="24"/>
      <c r="BP8" s="604"/>
      <c r="BQ8" s="1111" t="s">
        <v>295</v>
      </c>
      <c r="BR8" s="1110"/>
      <c r="BS8" s="1109"/>
      <c r="BT8" s="1109"/>
      <c r="BU8" s="24"/>
      <c r="BW8" s="604"/>
      <c r="BX8" s="1111" t="s">
        <v>1372</v>
      </c>
      <c r="BY8" s="1110"/>
      <c r="BZ8" s="1109"/>
      <c r="CA8" s="1109"/>
      <c r="CB8" s="24"/>
      <c r="CT8" s="16" t="e">
        <f t="shared" si="17"/>
        <v>#N/A</v>
      </c>
      <c r="CU8" s="197" t="e">
        <f t="shared" si="18"/>
        <v>#N/A</v>
      </c>
      <c r="CV8" s="197" t="e">
        <f t="shared" si="19"/>
        <v>#N/A</v>
      </c>
      <c r="CW8" s="197">
        <v>5</v>
      </c>
      <c r="CX8" s="197">
        <f t="shared" si="11"/>
        <v>8.6999999999999993</v>
      </c>
      <c r="CY8" s="197">
        <f t="shared" si="12"/>
        <v>8.94</v>
      </c>
      <c r="CZ8" s="197">
        <f t="shared" si="13"/>
        <v>0.55900000000000005</v>
      </c>
      <c r="DA8" s="197">
        <f t="shared" si="20"/>
        <v>0.55900000000000005</v>
      </c>
      <c r="DB8" s="16">
        <f t="shared" si="14"/>
        <v>20</v>
      </c>
      <c r="DC8" s="16">
        <f>IF(ISNUMBER(CX8),COUNTIF($DB$4:DB8,DB8)-1,NA())</f>
        <v>0</v>
      </c>
      <c r="DD8" s="222">
        <v>6</v>
      </c>
      <c r="DE8" s="197">
        <v>5</v>
      </c>
      <c r="DF8" s="197">
        <v>10</v>
      </c>
      <c r="DG8" s="197">
        <v>20</v>
      </c>
      <c r="DH8" s="192">
        <v>50</v>
      </c>
      <c r="DI8" s="16">
        <f t="shared" si="15"/>
        <v>15</v>
      </c>
      <c r="DJ8" s="192">
        <v>7</v>
      </c>
      <c r="DK8" s="16">
        <v>2</v>
      </c>
      <c r="DL8" s="16">
        <f>IF($X$3=0,NA(),IF(kbins&lt;DK8,NA(),$DI$5))</f>
        <v>6</v>
      </c>
      <c r="DM8" s="192">
        <f>$DJ$4</f>
        <v>2</v>
      </c>
      <c r="DN8" s="238">
        <f t="shared" si="21"/>
        <v>15</v>
      </c>
      <c r="DO8" s="192">
        <v>0</v>
      </c>
      <c r="DP8" s="16">
        <f t="shared" si="22"/>
        <v>0.92554083000868559</v>
      </c>
      <c r="DQ8" s="16">
        <v>6</v>
      </c>
      <c r="DR8" s="16">
        <f t="shared" si="5"/>
        <v>64.400000000000006</v>
      </c>
      <c r="DS8" s="16">
        <f t="shared" si="6"/>
        <v>3.2971217784703555</v>
      </c>
      <c r="DT8" s="16">
        <f t="shared" si="7"/>
        <v>35.5</v>
      </c>
      <c r="DU8" s="16">
        <f t="shared" si="8"/>
        <v>64.5</v>
      </c>
      <c r="DV8" s="16">
        <f t="shared" si="9"/>
        <v>64.7</v>
      </c>
      <c r="DW8" s="221" t="s">
        <v>675</v>
      </c>
      <c r="DY8" s="197">
        <v>190</v>
      </c>
      <c r="EA8" s="192">
        <v>95</v>
      </c>
      <c r="EC8" s="192">
        <v>60</v>
      </c>
      <c r="EE8" s="192">
        <v>45</v>
      </c>
      <c r="EG8" s="197">
        <v>35</v>
      </c>
      <c r="EI8" s="192">
        <v>30</v>
      </c>
      <c r="EK8" s="192">
        <v>25</v>
      </c>
      <c r="EM8" s="192">
        <v>25</v>
      </c>
      <c r="EO8" s="197">
        <v>20</v>
      </c>
      <c r="EQ8" s="192">
        <v>20</v>
      </c>
      <c r="ES8" s="192">
        <v>20</v>
      </c>
      <c r="EU8" s="192">
        <v>15</v>
      </c>
      <c r="EW8" s="197">
        <v>15</v>
      </c>
      <c r="EY8" s="192">
        <v>15</v>
      </c>
      <c r="FA8" s="192">
        <v>12</v>
      </c>
      <c r="FC8" s="192">
        <v>12</v>
      </c>
      <c r="FE8" s="197">
        <v>12</v>
      </c>
      <c r="FG8" s="192">
        <v>10</v>
      </c>
      <c r="FI8" s="192">
        <v>10</v>
      </c>
      <c r="FK8" s="192">
        <v>10</v>
      </c>
      <c r="FM8" s="197">
        <v>10</v>
      </c>
      <c r="FO8" s="192">
        <v>8</v>
      </c>
      <c r="FQ8" s="192">
        <v>8</v>
      </c>
      <c r="FS8" s="192">
        <v>8</v>
      </c>
      <c r="FU8" s="197">
        <v>8</v>
      </c>
      <c r="FW8" s="192">
        <v>8</v>
      </c>
      <c r="FY8" s="192">
        <v>8</v>
      </c>
      <c r="GA8" s="192">
        <v>8</v>
      </c>
      <c r="GC8" s="192">
        <v>8</v>
      </c>
      <c r="GE8" s="192">
        <v>8</v>
      </c>
    </row>
    <row r="9" spans="1:187" ht="11.25" customHeight="1">
      <c r="A9" s="767"/>
      <c r="B9" s="1112" t="s">
        <v>1368</v>
      </c>
      <c r="C9" s="161" t="s">
        <v>295</v>
      </c>
      <c r="D9" s="767"/>
      <c r="E9" s="466">
        <v>8</v>
      </c>
      <c r="F9" s="474">
        <v>17.7</v>
      </c>
      <c r="G9" s="145"/>
      <c r="H9" s="223">
        <f t="shared" ca="1" si="10"/>
        <v>9.3000000000000007</v>
      </c>
      <c r="I9" s="202">
        <f t="shared" ca="1" si="2"/>
        <v>8</v>
      </c>
      <c r="J9" s="30"/>
      <c r="K9" s="248">
        <f>IF($X$3=0,"",IF(kbins&lt;DD5-1,"",DI5))</f>
        <v>6</v>
      </c>
      <c r="L9" s="248">
        <f t="shared" ref="L9:L36" si="24">IF($X$3=0,"",IF(kbins&lt;DD5,"",DJ5))</f>
        <v>4</v>
      </c>
      <c r="M9" s="30"/>
      <c r="N9" s="333"/>
      <c r="O9" s="334"/>
      <c r="P9" s="334"/>
      <c r="Q9" s="334"/>
      <c r="R9" s="335"/>
      <c r="S9" s="179">
        <f t="shared" si="3"/>
        <v>1.1017000000000001E-2</v>
      </c>
      <c r="T9" s="224">
        <f ca="1">IF(OFFSET($F$7,Xscrollcount,0)="","",OFFSET($F$7,Xscrollcount,0))</f>
        <v>9.3000000000000007</v>
      </c>
      <c r="U9" s="257" t="s">
        <v>619</v>
      </c>
      <c r="V9" s="197">
        <v>100</v>
      </c>
      <c r="W9" s="222" t="s">
        <v>648</v>
      </c>
      <c r="X9" s="252" t="s">
        <v>899</v>
      </c>
      <c r="Y9" s="197">
        <f>IF(VALUE(forn)&lt;2,2,IF(VALUE(forn)&gt;300,300,ROUND(VALUE(forn),0)))</f>
        <v>300</v>
      </c>
      <c r="Z9" s="252" t="b">
        <v>0</v>
      </c>
      <c r="AA9" s="197">
        <v>-4</v>
      </c>
      <c r="AB9" s="197" t="e">
        <f t="shared" si="4"/>
        <v>#N/A</v>
      </c>
      <c r="AC9" s="197">
        <f t="shared" si="16"/>
        <v>7.8</v>
      </c>
      <c r="AD9" s="197">
        <v>18</v>
      </c>
      <c r="AE9" s="192" t="e">
        <f>IF(AND(AB9&gt;XaxisL,AB9&lt;XaxisU),"z=-4","")</f>
        <v>#N/A</v>
      </c>
      <c r="AH9"/>
      <c r="AJ9" s="180">
        <f t="shared" si="1"/>
        <v>1.1017000000000001E-2</v>
      </c>
      <c r="AN9" s="258"/>
      <c r="AV9" s="197"/>
      <c r="AW9" s="211">
        <v>1125</v>
      </c>
      <c r="AX9" s="211">
        <v>1217</v>
      </c>
      <c r="BI9" s="621">
        <v>1</v>
      </c>
      <c r="BJ9" s="614">
        <v>12.1</v>
      </c>
      <c r="BK9" s="169"/>
      <c r="BL9" s="1109"/>
      <c r="BM9" s="1109"/>
      <c r="BN9" s="618"/>
      <c r="BP9" s="621">
        <v>1</v>
      </c>
      <c r="BQ9" s="614">
        <v>13.7</v>
      </c>
      <c r="BR9" s="169"/>
      <c r="BS9" s="1109"/>
      <c r="BT9" s="1109"/>
      <c r="BU9" s="618"/>
      <c r="BW9" s="621">
        <v>1</v>
      </c>
      <c r="BX9" s="614">
        <v>34</v>
      </c>
      <c r="BY9" s="169"/>
      <c r="BZ9" s="1109"/>
      <c r="CA9" s="1109"/>
      <c r="CB9" s="618"/>
      <c r="CR9" s="16">
        <f>AW9*$DW$2/250000</f>
        <v>3.5999999999999997E-2</v>
      </c>
      <c r="CS9" s="16">
        <f>AX9*$DW$2/250000</f>
        <v>3.8943999999999999E-2</v>
      </c>
      <c r="CT9" s="16" t="e">
        <f t="shared" si="17"/>
        <v>#N/A</v>
      </c>
      <c r="CU9" s="197" t="e">
        <f t="shared" si="18"/>
        <v>#N/A</v>
      </c>
      <c r="CV9" s="197" t="e">
        <f t="shared" si="19"/>
        <v>#N/A</v>
      </c>
      <c r="CW9" s="197">
        <v>6</v>
      </c>
      <c r="CX9" s="197">
        <f t="shared" si="11"/>
        <v>8.6999999999999993</v>
      </c>
      <c r="CY9" s="197">
        <f t="shared" si="12"/>
        <v>8.94</v>
      </c>
      <c r="CZ9" s="197">
        <f t="shared" si="13"/>
        <v>1.677</v>
      </c>
      <c r="DA9" s="197">
        <f t="shared" si="20"/>
        <v>1.677</v>
      </c>
      <c r="DB9" s="16">
        <f t="shared" si="14"/>
        <v>20</v>
      </c>
      <c r="DC9" s="16">
        <f>IF(ISNUMBER(CX9),COUNTIF($DB$4:DB9,DB9)-1,NA())</f>
        <v>1</v>
      </c>
      <c r="DD9" s="222">
        <v>7</v>
      </c>
      <c r="DE9" s="197">
        <v>5</v>
      </c>
      <c r="DF9" s="197">
        <v>10</v>
      </c>
      <c r="DG9" s="197">
        <v>20</v>
      </c>
      <c r="DH9" s="192">
        <v>50</v>
      </c>
      <c r="DI9" s="16">
        <f t="shared" si="15"/>
        <v>18</v>
      </c>
      <c r="DJ9" s="192">
        <v>2</v>
      </c>
      <c r="DK9" s="16">
        <v>2</v>
      </c>
      <c r="DL9" s="16">
        <f>IF($X$3=0,NA(),IF(kbins&lt;DK9,NA(),$DI$5))</f>
        <v>6</v>
      </c>
      <c r="DM9" s="192">
        <v>0</v>
      </c>
      <c r="DN9" s="238">
        <f t="shared" si="21"/>
        <v>18</v>
      </c>
      <c r="DO9" s="192">
        <v>0</v>
      </c>
      <c r="DP9" s="16">
        <f t="shared" si="22"/>
        <v>0.33211764693260193</v>
      </c>
      <c r="DQ9" s="16">
        <v>7</v>
      </c>
      <c r="DR9" s="16">
        <f t="shared" si="5"/>
        <v>45.7</v>
      </c>
      <c r="DS9" s="16">
        <f t="shared" si="6"/>
        <v>1.9829166913917617</v>
      </c>
      <c r="DT9" s="16">
        <f t="shared" si="7"/>
        <v>55.3</v>
      </c>
      <c r="DU9" s="16">
        <f t="shared" si="8"/>
        <v>44.7</v>
      </c>
      <c r="DV9" s="16">
        <f t="shared" si="9"/>
        <v>44.2</v>
      </c>
      <c r="DW9" s="221" t="s">
        <v>674</v>
      </c>
      <c r="DY9" s="197">
        <f>(DY7-DX7)/(DY8-1)</f>
        <v>1.3524867724867728E-2</v>
      </c>
      <c r="EA9" s="192">
        <f t="shared" ref="EA9:EG9" si="25">(EA7-DZ7)/(EA8-1)</f>
        <v>2.7193617021276602E-2</v>
      </c>
      <c r="EC9" s="192">
        <f t="shared" si="25"/>
        <v>4.3325423728813567E-2</v>
      </c>
      <c r="EE9" s="192">
        <f t="shared" si="25"/>
        <v>5.8095454545454554E-2</v>
      </c>
      <c r="EG9" s="197">
        <f t="shared" si="25"/>
        <v>7.5182352941176478E-2</v>
      </c>
      <c r="EI9" s="192">
        <f>(EI7-EH7)/(EI8-1)</f>
        <v>8.8144827586206856E-2</v>
      </c>
      <c r="EK9" s="192">
        <f>(EK7-EJ7)/(EK8-1)</f>
        <v>0.1065083333333332</v>
      </c>
      <c r="EM9" s="192">
        <f>(EM7-EL7)/(EM8-1)</f>
        <v>0.1065083333333332</v>
      </c>
      <c r="EO9" s="197">
        <f>(EO7-EN7)/(EO8-1)</f>
        <v>0.13453684210526298</v>
      </c>
      <c r="EQ9" s="192">
        <f>(EQ7-EP7)/(EQ8-1)</f>
        <v>0.13453684210526298</v>
      </c>
      <c r="ES9" s="192">
        <f>(ES7-ER7)/(ES8-1)</f>
        <v>0.13453684210526318</v>
      </c>
      <c r="EU9" s="192">
        <f>(EU7-ET7)/(EU8-1)</f>
        <v>0.18258571428571457</v>
      </c>
      <c r="EW9" s="197">
        <f>(EW7-EV7)/(EW8-1)</f>
        <v>0.18258571428571457</v>
      </c>
      <c r="EY9" s="192">
        <f>(EY7-EX7)/(EY8-1)</f>
        <v>0.18258571428571457</v>
      </c>
      <c r="FA9" s="192">
        <f>(FA7-EZ7)/(FA8-1)</f>
        <v>0.23238181818181855</v>
      </c>
      <c r="FC9" s="192">
        <f>(FC7-FB7)/(FC8-1)</f>
        <v>0.23238181818181855</v>
      </c>
      <c r="FE9" s="197">
        <f>(FE7-FD7)/(FE8-1)</f>
        <v>0.23238181818181855</v>
      </c>
      <c r="FG9" s="192">
        <f>(FG7-FF7)/(FG8-1)</f>
        <v>0.28402222222222268</v>
      </c>
      <c r="FI9" s="192">
        <f>(FI7-FH7)/(FI8-1)</f>
        <v>0.28402222222222268</v>
      </c>
      <c r="FK9" s="192">
        <f>(FK7-FJ7)/(FK8-1)</f>
        <v>0.28402222222222268</v>
      </c>
      <c r="FM9" s="197">
        <f>(FM7-FL7)/(FM8-1)</f>
        <v>0.28402222222222268</v>
      </c>
      <c r="FO9" s="192">
        <f>(FO7-FN7)/(FO8-1)</f>
        <v>0.36517142857142815</v>
      </c>
      <c r="FQ9" s="192">
        <f>(FQ7-FP7)/(FQ8-1)</f>
        <v>0.36517142857142709</v>
      </c>
      <c r="FS9" s="192">
        <f>(FS7-FR7)/(FS8-1)</f>
        <v>0.36517142857142709</v>
      </c>
      <c r="FU9" s="197">
        <f>(FU7-FT7)/(FU8-1)</f>
        <v>0.36517142857142709</v>
      </c>
      <c r="FW9" s="192">
        <f>(FW7-FV7)/(FW8-1)</f>
        <v>0.36517142857142709</v>
      </c>
      <c r="FY9" s="192">
        <f>(FY7-FX7)/(FY8-1)</f>
        <v>0.36517142857142709</v>
      </c>
      <c r="GA9" s="192">
        <f>(GA7-FZ7)/(GA8-1)</f>
        <v>0.36517142857142709</v>
      </c>
      <c r="GC9" s="192">
        <f>(GC7-GB7)/(GC8-1)</f>
        <v>0.36517142857142709</v>
      </c>
      <c r="GE9" s="192">
        <f>(GE7-GD7)/(GE8-1)</f>
        <v>0.36517142857142709</v>
      </c>
    </row>
    <row r="10" spans="1:187" ht="11.25" customHeight="1">
      <c r="A10" s="246"/>
      <c r="B10" s="247"/>
      <c r="C10" s="844"/>
      <c r="D10" s="247"/>
      <c r="E10" s="466">
        <v>9</v>
      </c>
      <c r="F10" s="474">
        <v>15.4</v>
      </c>
      <c r="G10" s="145"/>
      <c r="H10" s="223">
        <f t="shared" ca="1" si="10"/>
        <v>9.6</v>
      </c>
      <c r="I10" s="202">
        <f t="shared" ca="1" si="2"/>
        <v>9</v>
      </c>
      <c r="J10" s="30"/>
      <c r="K10" s="248">
        <f t="shared" ref="K10:K37" si="26">IF($X$3=0,"",IF(kbins&lt;DD6-1,"",DI6))</f>
        <v>9</v>
      </c>
      <c r="L10" s="248">
        <f t="shared" si="24"/>
        <v>6</v>
      </c>
      <c r="M10" s="30"/>
      <c r="N10" s="30"/>
      <c r="O10" s="30"/>
      <c r="P10" s="30"/>
      <c r="Q10" s="30"/>
      <c r="R10" s="25"/>
      <c r="S10" s="179">
        <f t="shared" si="3"/>
        <v>1.1017000000000001E-2</v>
      </c>
      <c r="T10" s="224">
        <f ca="1">IF(OFFSET($F$8,Xscrollcount,0)="","",OFFSET($F$8,Xscrollcount,0))</f>
        <v>17.7</v>
      </c>
      <c r="U10" s="185" t="s">
        <v>620</v>
      </c>
      <c r="V10" s="16">
        <f>IF(X3=0,NA(),POWER(10,INT(LOG10(X4))))</f>
        <v>10</v>
      </c>
      <c r="W10" s="222" t="s">
        <v>649</v>
      </c>
      <c r="X10" s="252" t="s">
        <v>717</v>
      </c>
      <c r="Y10" s="192">
        <f>VALUE(forMean)</f>
        <v>50</v>
      </c>
      <c r="Z10" s="252" t="b">
        <v>0</v>
      </c>
      <c r="AA10" s="222">
        <v>-3</v>
      </c>
      <c r="AB10" s="197" t="e">
        <f t="shared" si="4"/>
        <v>#N/A</v>
      </c>
      <c r="AC10" s="197">
        <f t="shared" si="16"/>
        <v>7.8</v>
      </c>
      <c r="AD10" s="197">
        <v>18</v>
      </c>
      <c r="AE10" s="192" t="e">
        <f>IF(AND(AB10&gt;XaxisL,AB10&lt;XaxisU),"z=-3","")</f>
        <v>#N/A</v>
      </c>
      <c r="AH10"/>
      <c r="AJ10" s="180">
        <f t="shared" si="1"/>
        <v>1.1017000000000001E-2</v>
      </c>
      <c r="AV10" s="197"/>
      <c r="BI10" s="621">
        <v>2</v>
      </c>
      <c r="BJ10" s="622">
        <v>6.5</v>
      </c>
      <c r="BK10" s="623"/>
      <c r="BL10" s="1109"/>
      <c r="BM10" s="1109"/>
      <c r="BN10" s="24"/>
      <c r="BP10" s="621">
        <v>2</v>
      </c>
      <c r="BQ10" s="622">
        <v>21.1</v>
      </c>
      <c r="BR10" s="623"/>
      <c r="BS10" s="1109"/>
      <c r="BT10" s="1109"/>
      <c r="BU10" s="24"/>
      <c r="BW10" s="621">
        <v>2</v>
      </c>
      <c r="BX10" s="622">
        <v>45</v>
      </c>
      <c r="BY10" s="623"/>
      <c r="BZ10" s="1109"/>
      <c r="CA10" s="1109"/>
      <c r="CB10" s="24"/>
      <c r="CT10" s="16" t="e">
        <f t="shared" si="17"/>
        <v>#N/A</v>
      </c>
      <c r="CU10" s="197" t="e">
        <f t="shared" si="18"/>
        <v>#N/A</v>
      </c>
      <c r="CV10" s="197" t="e">
        <f t="shared" si="19"/>
        <v>#N/A</v>
      </c>
      <c r="CW10" s="197">
        <v>7</v>
      </c>
      <c r="CX10" s="197">
        <f t="shared" si="11"/>
        <v>9</v>
      </c>
      <c r="CY10" s="197">
        <f t="shared" si="12"/>
        <v>8.94</v>
      </c>
      <c r="CZ10" s="197">
        <f t="shared" si="13"/>
        <v>2.7950000000000004</v>
      </c>
      <c r="DA10" s="197">
        <f t="shared" si="20"/>
        <v>2.7950000000000004</v>
      </c>
      <c r="DB10" s="16">
        <f t="shared" si="14"/>
        <v>20</v>
      </c>
      <c r="DC10" s="16">
        <f>IF(ISNUMBER(CX10),COUNTIF($DB$4:DB10,DB10)-1,NA())</f>
        <v>2</v>
      </c>
      <c r="DD10" s="222">
        <v>8</v>
      </c>
      <c r="DE10" s="197">
        <v>10</v>
      </c>
      <c r="DF10" s="197">
        <v>20</v>
      </c>
      <c r="DG10" s="197">
        <v>50</v>
      </c>
      <c r="DH10" s="192">
        <v>100</v>
      </c>
      <c r="DI10" s="16">
        <f t="shared" si="15"/>
        <v>21</v>
      </c>
      <c r="DJ10" s="192">
        <v>2</v>
      </c>
      <c r="DK10" s="16">
        <v>3</v>
      </c>
      <c r="DL10" s="16">
        <f>IF($X$3=0,NA(),IF(kbins&lt;DK10,NA(),$DI$5))</f>
        <v>6</v>
      </c>
      <c r="DM10" s="192">
        <f>$DJ$5</f>
        <v>4</v>
      </c>
      <c r="DN10" s="238">
        <f t="shared" si="21"/>
        <v>21</v>
      </c>
      <c r="DO10" s="192">
        <v>0</v>
      </c>
      <c r="DP10" s="16">
        <f t="shared" si="22"/>
        <v>0.78685542941093445</v>
      </c>
      <c r="DQ10" s="16">
        <v>8</v>
      </c>
      <c r="DR10" s="16">
        <f t="shared" si="5"/>
        <v>58</v>
      </c>
      <c r="DS10" s="16">
        <f t="shared" si="6"/>
        <v>2.8436583379423901</v>
      </c>
      <c r="DT10" s="16">
        <f t="shared" si="7"/>
        <v>45.4</v>
      </c>
      <c r="DU10" s="16">
        <f t="shared" si="8"/>
        <v>54.6</v>
      </c>
      <c r="DV10" s="16">
        <f t="shared" si="9"/>
        <v>59.9</v>
      </c>
      <c r="DW10" s="221" t="s">
        <v>673</v>
      </c>
      <c r="DX10" s="197">
        <f>IF(DY11-$CS$9&lt;0,IF($CS$9-DY11&lt;yaxismax/$EA$2,$EA$3,NA()),DY11-$CS$9)</f>
        <v>0.89807999999999999</v>
      </c>
      <c r="DY10" s="197">
        <f>IF(DY11-$CR$9&lt;0,IF($CR$9-DY11&lt;yaxismax/$EA$2,$EA$3,NA()),DY11-$CR$9)</f>
        <v>0.90102399999999994</v>
      </c>
      <c r="DZ10" s="222">
        <f>IF(EA11-$CS$9&lt;0,IF($CS$9-EA11&lt;yaxismax/$EA$2,$EA$3,NA()),EA11-$CS$9)</f>
        <v>1.89808</v>
      </c>
      <c r="EA10" s="192">
        <f>IF(EA11-$CR$9&lt;0,IF($CR$9-EA11&lt;yaxismax/$EA$2,$EA$3,NA()),EA11-$CR$9)</f>
        <v>1.901024</v>
      </c>
      <c r="EB10" s="197">
        <f>IF(EC11-$CS$9&lt;0,IF($CS$9-EC11&lt;yaxismax/$EA$2,$EA$3,NA()),EC11-$CS$9)</f>
        <v>3.8980800000000002</v>
      </c>
      <c r="EC10" s="192">
        <f>IF(EC11-$CR$9&lt;0,IF($CR$9-EC11&lt;yaxismax/$EA$2,$EA$3,NA()),EC11-$CR$9)</f>
        <v>3.901024</v>
      </c>
      <c r="ED10" s="197">
        <f>IF(EE11-$CS$9&lt;0,IF($CS$9-EE11&lt;yaxismax/$EA$2,$EA$3,NA()),EE11-$CS$9)</f>
        <v>5.8980800000000002</v>
      </c>
      <c r="EE10" s="192">
        <f>IF(EE11-$CR$9&lt;0,IF($CR$9-EE11&lt;yaxismax/$EA$2,$EA$3,NA()),EE11-$CR$9)</f>
        <v>5.9010240000000005</v>
      </c>
      <c r="EF10" s="197">
        <f>IF(EG11-$CS$9&lt;0,IF($CS$9-EG11&lt;yaxismax/$EA$2,$EA$3,NA()),EG11-$CS$9)</f>
        <v>3.8980800000000002</v>
      </c>
      <c r="EG10" s="197">
        <f>IF(EG11-$CR$9&lt;0,IF($CR$9-EG11&lt;yaxismax/$EA$2,$EA$3,NA()),EG11-$CR$9)</f>
        <v>3.901024</v>
      </c>
      <c r="EH10" s="222">
        <f>IF(EI11-$CS$9&lt;0,IF($CS$9-EI11&lt;yaxismax/$EA$2,$EA$3,NA()),EI11-$CS$9)</f>
        <v>6.8980800000000002</v>
      </c>
      <c r="EI10" s="192">
        <f>IF(EI11-$CR$9&lt;0,IF($CR$9-EI11&lt;yaxismax/$EA$2,$EA$3,NA()),EI11-$CR$9)</f>
        <v>6.9010240000000005</v>
      </c>
      <c r="EJ10" s="197">
        <f>IF(EK11-$CS$9&lt;0,IF($CS$9-EK11&lt;yaxismax/$EA$2,$EA$3,NA()),EK11-$CS$9)</f>
        <v>1.89808</v>
      </c>
      <c r="EK10" s="192">
        <f>IF(EK11-$CR$9&lt;0,IF($CR$9-EK11&lt;yaxismax/$EA$2,$EA$3,NA()),EK11-$CR$9)</f>
        <v>1.901024</v>
      </c>
      <c r="EL10" s="197">
        <f>IF(EM11-$CS$9&lt;0,IF($CS$9-EM11&lt;yaxismax/$EA$2,$EA$3,NA()),EM11-$CS$9)</f>
        <v>1.89808</v>
      </c>
      <c r="EM10" s="192">
        <f>IF(EM11-$CR$9&lt;0,IF($CR$9-EM11&lt;yaxismax/$EA$2,$EA$3,NA()),EM11-$CR$9)</f>
        <v>1.901024</v>
      </c>
      <c r="EN10" s="197">
        <f>IF(EO11-$CS$9&lt;0,IF($CS$9-EO11&lt;yaxismax/$EA$2,$EA$3,NA()),EO11-$CS$9)</f>
        <v>0.89807999999999999</v>
      </c>
      <c r="EO10" s="197">
        <f>IF(EO11-$CR$9&lt;0,IF($CR$9-EO11&lt;yaxismax/$EA$2,$EA$3,NA()),EO11-$CR$9)</f>
        <v>0.90102399999999994</v>
      </c>
      <c r="EP10" s="222" t="e">
        <f>IF(EQ11-$CS$9&lt;0,IF($CS$9-EQ11&lt;yaxismax/$EA$2,$EA$3,NA()),EQ11-$CS$9)</f>
        <v>#N/A</v>
      </c>
      <c r="EQ10" s="192" t="e">
        <f>IF(EQ11-$CR$9&lt;0,IF($CR$9-EQ11&lt;yaxismax/$EA$2,$EA$3,NA()),EQ11-$CR$9)</f>
        <v>#N/A</v>
      </c>
      <c r="ER10" s="197">
        <f>IF(ES11-$CS$9&lt;0,IF($CS$9-ES11&lt;yaxismax/$EA$2,$EA$3,NA()),ES11-$CS$9)</f>
        <v>0.89807999999999999</v>
      </c>
      <c r="ES10" s="192">
        <f>IF(ES11-$CR$9&lt;0,IF($CR$9-ES11&lt;yaxismax/$EA$2,$EA$3,NA()),ES11-$CR$9)</f>
        <v>0.90102399999999994</v>
      </c>
      <c r="ET10" s="197">
        <f>IF(EU11-$CS$9&lt;0,IF($CS$9-EU11&lt;yaxismax/$EA$2,$EA$3,NA()),EU11-$CS$9)</f>
        <v>0.89807999999999999</v>
      </c>
      <c r="EU10" s="192">
        <f>IF(EU11-$CR$9&lt;0,IF($CR$9-EU11&lt;yaxismax/$EA$2,$EA$3,NA()),EU11-$CR$9)</f>
        <v>0.90102399999999994</v>
      </c>
      <c r="EV10" s="197" t="e">
        <f>IF(EW11-$CS$9&lt;0,IF($CS$9-EW11&lt;yaxismax/$EA$2,$EA$3,NA()),EW11-$CS$9)</f>
        <v>#N/A</v>
      </c>
      <c r="EW10" s="197" t="e">
        <f>IF(EW11-$CR$9&lt;0,IF($CR$9-EW11&lt;yaxismax/$EA$2,$EA$3,NA()),EW11-$CR$9)</f>
        <v>#N/A</v>
      </c>
      <c r="EX10" s="222" t="e">
        <f>IF(EY11-$CS$9&lt;0,IF($CS$9-EY11&lt;yaxismax/$EA$2,$EA$3,NA()),EY11-$CS$9)</f>
        <v>#N/A</v>
      </c>
      <c r="EY10" s="192" t="e">
        <f>IF(EY11-$CR$9&lt;0,IF($CR$9-EY11&lt;yaxismax/$EA$2,$EA$3,NA()),EY11-$CR$9)</f>
        <v>#N/A</v>
      </c>
      <c r="EZ10" s="197" t="e">
        <f>IF(FA11-$CS$9&lt;0,IF($CS$9-FA11&lt;yaxismax/$EA$2,$EA$3,NA()),FA11-$CS$9)</f>
        <v>#N/A</v>
      </c>
      <c r="FA10" s="192" t="e">
        <f>IF(FA11-$CR$9&lt;0,IF($CR$9-FA11&lt;yaxismax/$EA$2,$EA$3,NA()),FA11-$CR$9)</f>
        <v>#N/A</v>
      </c>
      <c r="FB10" s="197" t="e">
        <f>IF(FC11-$CS$9&lt;0,IF($CS$9-FC11&lt;yaxismax/$EA$2,$EA$3,NA()),FC11-$CS$9)</f>
        <v>#N/A</v>
      </c>
      <c r="FC10" s="192" t="e">
        <f>IF(FC11-$CR$9&lt;0,IF($CR$9-FC11&lt;yaxismax/$EA$2,$EA$3,NA()),FC11-$CR$9)</f>
        <v>#N/A</v>
      </c>
      <c r="FD10" s="197" t="e">
        <f>IF(FE11-$CS$9&lt;0,IF($CS$9-FE11&lt;yaxismax/$EA$2,$EA$3,NA()),FE11-$CS$9)</f>
        <v>#N/A</v>
      </c>
      <c r="FE10" s="197" t="e">
        <f>IF(FE11-$CR$9&lt;0,IF($CR$9-FE11&lt;yaxismax/$EA$2,$EA$3,NA()),FE11-$CR$9)</f>
        <v>#N/A</v>
      </c>
      <c r="FF10" s="222" t="e">
        <f>IF(FG11-$CS$9&lt;0,IF($CS$9-FG11&lt;yaxismax/$EA$2,$EA$3,NA()),FG11-$CS$9)</f>
        <v>#N/A</v>
      </c>
      <c r="FG10" s="192" t="e">
        <f>IF(FG11-$CR$9&lt;0,IF($CR$9-FG11&lt;yaxismax/$EA$2,$EA$3,NA()),FG11-$CR$9)</f>
        <v>#N/A</v>
      </c>
      <c r="FH10" s="197" t="e">
        <f>IF(FI11-$CS$9&lt;0,IF($CS$9-FI11&lt;yaxismax/$EA$2,$EA$3,NA()),FI11-$CS$9)</f>
        <v>#N/A</v>
      </c>
      <c r="FI10" s="192" t="e">
        <f>IF(FI11-$CR$9&lt;0,IF($CR$9-FI11&lt;yaxismax/$EA$2,$EA$3,NA()),FI11-$CR$9)</f>
        <v>#N/A</v>
      </c>
      <c r="FJ10" s="197" t="e">
        <f>IF(FK11-$CS$9&lt;0,IF($CS$9-FK11&lt;yaxismax/$EA$2,$EA$3,NA()),FK11-$CS$9)</f>
        <v>#N/A</v>
      </c>
      <c r="FK10" s="192" t="e">
        <f>IF(FK11-$CR$9&lt;0,IF($CR$9-FK11&lt;yaxismax/$EA$2,$EA$3,NA()),FK11-$CR$9)</f>
        <v>#N/A</v>
      </c>
      <c r="FL10" s="197" t="e">
        <f>IF(FM11-$CS$9&lt;0,IF($CS$9-FM11&lt;yaxismax/$EA$2,$EA$3,NA()),FM11-$CS$9)</f>
        <v>#N/A</v>
      </c>
      <c r="FM10" s="197" t="e">
        <f>IF(FM11-$CR$9&lt;0,IF($CR$9-FM11&lt;yaxismax/$EA$2,$EA$3,NA()),FM11-$CR$9)</f>
        <v>#N/A</v>
      </c>
      <c r="FN10" s="222" t="e">
        <f>IF(FO11-$CS$9&lt;0,IF($CS$9-FO11&lt;yaxismax/$EA$2,$EA$3,NA()),FO11-$CS$9)</f>
        <v>#N/A</v>
      </c>
      <c r="FO10" s="192" t="e">
        <f>IF(FO11-$CR$9&lt;0,IF($CR$9-FO11&lt;yaxismax/$EA$2,$EA$3,NA()),FO11-$CR$9)</f>
        <v>#N/A</v>
      </c>
      <c r="FP10" s="197" t="e">
        <f>IF(FQ11-$CS$9&lt;0,IF($CS$9-FQ11&lt;yaxismax/$EA$2,$EA$3,NA()),FQ11-$CS$9)</f>
        <v>#N/A</v>
      </c>
      <c r="FQ10" s="192" t="e">
        <f>IF(FQ11-$CR$9&lt;0,IF($CR$9-FQ11&lt;yaxismax/$EA$2,$EA$3,NA()),FQ11-$CR$9)</f>
        <v>#N/A</v>
      </c>
      <c r="FR10" s="197" t="e">
        <f>IF(FS11-$CS$9&lt;0,IF($CS$9-FS11&lt;yaxismax/$EA$2,$EA$3,NA()),FS11-$CS$9)</f>
        <v>#N/A</v>
      </c>
      <c r="FS10" s="192" t="e">
        <f>IF(FS11-$CR$9&lt;0,IF($CR$9-FS11&lt;yaxismax/$EA$2,$EA$3,NA()),FS11-$CR$9)</f>
        <v>#N/A</v>
      </c>
      <c r="FT10" s="197" t="e">
        <f>IF(FU11-$CS$9&lt;0,IF($CS$9-FU11&lt;yaxismax/$EA$2,$EA$3,NA()),FU11-$CS$9)</f>
        <v>#N/A</v>
      </c>
      <c r="FU10" s="197" t="e">
        <f>IF(FU11-$CR$9&lt;0,IF($CR$9-FU11&lt;yaxismax/$EA$2,$EA$3,NA()),FU11-$CR$9)</f>
        <v>#N/A</v>
      </c>
      <c r="FV10" s="222" t="e">
        <f>IF(FW11-$CS$9&lt;0,IF($CS$9-FW11&lt;yaxismax/$EA$2,$EA$3,NA()),FW11-$CS$9)</f>
        <v>#N/A</v>
      </c>
      <c r="FW10" s="192" t="e">
        <f>IF(FW11-$CR$9&lt;0,IF($CR$9-FW11&lt;yaxismax/$EA$2,$EA$3,NA()),FW11-$CR$9)</f>
        <v>#N/A</v>
      </c>
      <c r="FX10" s="197" t="e">
        <f>IF(FY11-$CS$9&lt;0,IF($CS$9-FY11&lt;yaxismax/$EA$2,$EA$3,NA()),FY11-$CS$9)</f>
        <v>#N/A</v>
      </c>
      <c r="FY10" s="192" t="e">
        <f>IF(FY11-$CR$9&lt;0,IF($CR$9-FY11&lt;yaxismax/$EA$2,$EA$3,NA()),FY11-$CR$9)</f>
        <v>#N/A</v>
      </c>
      <c r="FZ10" s="197" t="e">
        <f>IF(GA11-$CS$9&lt;0,IF($CS$9-GA11&lt;yaxismax/$EA$2,$EA$3,NA()),GA11-$CS$9)</f>
        <v>#N/A</v>
      </c>
      <c r="GA10" s="192" t="e">
        <f>IF(GA11-$CR$9&lt;0,IF($CR$9-GA11&lt;yaxismax/$EA$2,$EA$3,NA()),GA11-$CR$9)</f>
        <v>#N/A</v>
      </c>
      <c r="GB10" s="222" t="e">
        <f>IF(GC11-$CS$9&lt;0,IF($CS$9-GC11&lt;yaxismax/$EA$2,$EA$3,NA()),GC11-$CS$9)</f>
        <v>#N/A</v>
      </c>
      <c r="GC10" s="192" t="e">
        <f>IF(GC11-$CR$9&lt;0,IF($CR$9-GC11&lt;yaxismax/$EA$2,$EA$3,NA()),GC11-$CR$9)</f>
        <v>#N/A</v>
      </c>
      <c r="GD10" s="197" t="e">
        <f>IF(GE11-$CS$9&lt;0,IF($CS$9-GE11&lt;yaxismax/$EA$2,$EA$3,NA()),GE11-$CS$9)</f>
        <v>#N/A</v>
      </c>
      <c r="GE10" s="192" t="e">
        <f>IF(GE11-$CR$9&lt;0,IF($CR$9-GE11&lt;yaxismax/$EA$2,$EA$3,NA()),GE11-$CR$9)</f>
        <v>#N/A</v>
      </c>
    </row>
    <row r="11" spans="1:187" ht="11.25" customHeight="1">
      <c r="E11" s="466">
        <v>10</v>
      </c>
      <c r="F11" s="474">
        <v>8.6999999999999993</v>
      </c>
      <c r="G11" s="145"/>
      <c r="H11" s="223">
        <f t="shared" ca="1" si="10"/>
        <v>10.3</v>
      </c>
      <c r="I11" s="202">
        <f t="shared" ca="1" si="2"/>
        <v>10</v>
      </c>
      <c r="J11" s="30"/>
      <c r="K11" s="248">
        <f t="shared" si="26"/>
        <v>12</v>
      </c>
      <c r="L11" s="248">
        <f t="shared" si="24"/>
        <v>4</v>
      </c>
      <c r="M11" s="30"/>
      <c r="N11" s="30"/>
      <c r="O11" s="30"/>
      <c r="P11" s="30"/>
      <c r="Q11" s="30"/>
      <c r="R11" s="25"/>
      <c r="S11" s="179">
        <f t="shared" si="3"/>
        <v>1.1017000000000001E-2</v>
      </c>
      <c r="T11" s="224">
        <f ca="1">IF(OFFSET($F$9,Xscrollcount,0)="","",OFFSET($F$9,Xscrollcount,0))</f>
        <v>15.4</v>
      </c>
      <c r="U11" s="185" t="s">
        <v>621</v>
      </c>
      <c r="V11" s="16">
        <f>IF(X3=0,NA(),ROUNDUP(X4/V10,0))</f>
        <v>4</v>
      </c>
      <c r="W11" s="222" t="s">
        <v>650</v>
      </c>
      <c r="X11" s="252" t="s">
        <v>900</v>
      </c>
      <c r="Y11" s="192">
        <f>VALUE(forSD)</f>
        <v>10</v>
      </c>
      <c r="Z11" s="252" t="b">
        <v>0</v>
      </c>
      <c r="AA11" s="222">
        <v>-2</v>
      </c>
      <c r="AB11" s="197" t="e">
        <f t="shared" si="4"/>
        <v>#N/A</v>
      </c>
      <c r="AC11" s="197">
        <f t="shared" si="16"/>
        <v>7.8</v>
      </c>
      <c r="AD11" s="197">
        <v>18</v>
      </c>
      <c r="AE11" s="192" t="e">
        <f>IF(AND(AB11&gt;XaxisL,AB11&lt;XaxisU),"z=-2","")</f>
        <v>#N/A</v>
      </c>
      <c r="AH11"/>
      <c r="AJ11" s="180">
        <f t="shared" si="1"/>
        <v>1.1017000000000001E-2</v>
      </c>
      <c r="AV11" s="197"/>
      <c r="BI11" s="621">
        <v>3</v>
      </c>
      <c r="BJ11" s="622">
        <v>8.1</v>
      </c>
      <c r="BK11" s="623"/>
      <c r="BL11" s="1109"/>
      <c r="BM11" s="1109"/>
      <c r="BN11" s="24"/>
      <c r="BP11" s="621">
        <v>3</v>
      </c>
      <c r="BQ11" s="622">
        <v>15.2</v>
      </c>
      <c r="BR11" s="623"/>
      <c r="BS11" s="1109"/>
      <c r="BT11" s="1109"/>
      <c r="BU11" s="24"/>
      <c r="BW11" s="621">
        <v>3</v>
      </c>
      <c r="BX11" s="622">
        <v>3</v>
      </c>
      <c r="BY11" s="623"/>
      <c r="BZ11" s="1109"/>
      <c r="CA11" s="1109"/>
      <c r="CB11" s="24"/>
      <c r="CT11" s="16" t="e">
        <f t="shared" si="17"/>
        <v>#N/A</v>
      </c>
      <c r="CU11" s="197" t="e">
        <f t="shared" si="18"/>
        <v>#N/A</v>
      </c>
      <c r="CV11" s="197" t="e">
        <f t="shared" si="19"/>
        <v>#N/A</v>
      </c>
      <c r="CW11" s="197">
        <v>8</v>
      </c>
      <c r="CX11" s="197">
        <f t="shared" si="11"/>
        <v>9.3000000000000007</v>
      </c>
      <c r="CY11" s="197">
        <f t="shared" si="12"/>
        <v>9.6369999999999987</v>
      </c>
      <c r="CZ11" s="197">
        <f t="shared" si="13"/>
        <v>0.55900000000000005</v>
      </c>
      <c r="DA11" s="197">
        <f t="shared" si="20"/>
        <v>0.55900000000000005</v>
      </c>
      <c r="DB11" s="16">
        <f t="shared" si="14"/>
        <v>21</v>
      </c>
      <c r="DC11" s="16">
        <f>IF(ISNUMBER(CX11),COUNTIF($DB$4:DB11,DB11)-1,NA())</f>
        <v>0</v>
      </c>
      <c r="DD11" s="222">
        <v>9</v>
      </c>
      <c r="DE11" s="197">
        <v>10</v>
      </c>
      <c r="DF11" s="197">
        <v>20</v>
      </c>
      <c r="DG11" s="197">
        <v>50</v>
      </c>
      <c r="DH11" s="192">
        <v>100</v>
      </c>
      <c r="DI11" s="16">
        <f t="shared" si="15"/>
        <v>24</v>
      </c>
      <c r="DJ11" s="192">
        <v>1</v>
      </c>
      <c r="DK11" s="16">
        <v>3</v>
      </c>
      <c r="DL11" s="16">
        <f>IF($X$3=0,NA(),IF(kbins&lt;DK11,NA(),$DI$6))</f>
        <v>9</v>
      </c>
      <c r="DM11" s="192">
        <f>$DJ$5</f>
        <v>4</v>
      </c>
      <c r="DN11" s="238">
        <f t="shared" si="21"/>
        <v>24</v>
      </c>
      <c r="DO11" s="192">
        <v>0</v>
      </c>
      <c r="DP11" s="16">
        <f t="shared" si="22"/>
        <v>0.5232299268245697</v>
      </c>
      <c r="DQ11" s="16">
        <v>9</v>
      </c>
      <c r="DR11" s="16">
        <f t="shared" si="5"/>
        <v>50.6</v>
      </c>
      <c r="DS11" s="16">
        <f t="shared" si="6"/>
        <v>2.3275511388235759</v>
      </c>
      <c r="DT11" s="16">
        <f t="shared" si="7"/>
        <v>52.3</v>
      </c>
      <c r="DU11" s="16">
        <f t="shared" si="8"/>
        <v>47.7</v>
      </c>
      <c r="DV11" s="16">
        <f t="shared" si="9"/>
        <v>50.8</v>
      </c>
      <c r="DX11" s="197">
        <f>IF(DY$5=0,NA(),DX7)</f>
        <v>0.22189999999999999</v>
      </c>
      <c r="DY11" s="197">
        <f>MAX(0,DY5-$CS$4)</f>
        <v>0.93702399999999997</v>
      </c>
      <c r="DZ11" s="222">
        <f>IF(EA$5=0,NA(),DZ7)</f>
        <v>3.2218999999999998</v>
      </c>
      <c r="EA11" s="192">
        <f>MAX(0,EA5-$CS$4)</f>
        <v>1.9370240000000001</v>
      </c>
      <c r="EB11" s="197">
        <f>IF(EC$5=0,NA(),EB7)</f>
        <v>6.2218999999999998</v>
      </c>
      <c r="EC11" s="192">
        <f>MAX(0,EC5-$CS$4)</f>
        <v>3.9370240000000001</v>
      </c>
      <c r="ED11" s="197">
        <f>IF(EE$5=0,NA(),ED7)</f>
        <v>9.2218999999999998</v>
      </c>
      <c r="EE11" s="192">
        <f>MAX(0,EE5-$CS$4)</f>
        <v>5.9370240000000001</v>
      </c>
      <c r="EF11" s="197">
        <f>IF(EG$5=0,NA(),EF7)</f>
        <v>12.2219</v>
      </c>
      <c r="EG11" s="197">
        <f>MAX(0,EG5-$CS$4)</f>
        <v>3.9370240000000001</v>
      </c>
      <c r="EH11" s="222">
        <f>IF(EI$5=0,NA(),EH7)</f>
        <v>15.2219</v>
      </c>
      <c r="EI11" s="192">
        <f>MAX(0,EI5-$CS$4)</f>
        <v>6.9370240000000001</v>
      </c>
      <c r="EJ11" s="197">
        <f>IF(EK$5=0,NA(),EJ7)</f>
        <v>18.221900000000002</v>
      </c>
      <c r="EK11" s="192">
        <f>MAX(0,EK5-$CS$4)</f>
        <v>1.9370240000000001</v>
      </c>
      <c r="EL11" s="197">
        <f>IF(EM$5=0,NA(),EL7)</f>
        <v>21.221900000000002</v>
      </c>
      <c r="EM11" s="192">
        <f>MAX(0,EM5-$CS$4)</f>
        <v>1.9370240000000001</v>
      </c>
      <c r="EN11" s="197">
        <f>IF(EO$5=0,NA(),EN7)</f>
        <v>24.221900000000002</v>
      </c>
      <c r="EO11" s="197">
        <f>MAX(0,EO5-$CS$4)</f>
        <v>0.93702399999999997</v>
      </c>
      <c r="EP11" s="222" t="e">
        <f>IF(EQ$5=0,NA(),EP7)</f>
        <v>#N/A</v>
      </c>
      <c r="EQ11" s="192">
        <f>MAX(0,EQ5-$CS$4)</f>
        <v>0</v>
      </c>
      <c r="ER11" s="197">
        <f>IF(ES$5=0,NA(),ER7)</f>
        <v>30.221900000000002</v>
      </c>
      <c r="ES11" s="192">
        <f>MAX(0,ES5-$CS$4)</f>
        <v>0.93702399999999997</v>
      </c>
      <c r="ET11" s="197">
        <f>IF(EU$5=0,NA(),ET7)</f>
        <v>33.221899999999998</v>
      </c>
      <c r="EU11" s="192">
        <f>MAX(0,EU5-$CS$4)</f>
        <v>0.93702399999999997</v>
      </c>
      <c r="EV11" s="197" t="e">
        <f>IF(EW$5=0,NA(),EV7)</f>
        <v>#N/A</v>
      </c>
      <c r="EW11" s="197">
        <f>MAX(0,EW5-$CS$4)</f>
        <v>0</v>
      </c>
      <c r="EX11" s="222" t="e">
        <f>IF(EY$5=0,NA(),EX7)</f>
        <v>#N/A</v>
      </c>
      <c r="EY11" s="192">
        <f>MAX(0,EY5-$CS$4)</f>
        <v>0</v>
      </c>
      <c r="EZ11" s="197" t="e">
        <f>IF(FA$5=0,NA(),EZ7)</f>
        <v>#N/A</v>
      </c>
      <c r="FA11" s="192">
        <f>MAX(0,FA5-$CS$4)</f>
        <v>0</v>
      </c>
      <c r="FB11" s="197" t="e">
        <f>IF(FC$5=0,NA(),FB7)</f>
        <v>#N/A</v>
      </c>
      <c r="FC11" s="192">
        <f>MAX(0,FC5-$CS$4)</f>
        <v>0</v>
      </c>
      <c r="FD11" s="197" t="e">
        <f>IF(FE$5=0,NA(),FD7)</f>
        <v>#N/A</v>
      </c>
      <c r="FE11" s="197">
        <f>MAX(0,FE5-$CS$4)</f>
        <v>0</v>
      </c>
      <c r="FF11" s="222" t="e">
        <f>IF(FG$5=0,NA(),FF7)</f>
        <v>#N/A</v>
      </c>
      <c r="FG11" s="192">
        <f>MAX(0,FG5-$CS$4)</f>
        <v>0</v>
      </c>
      <c r="FH11" s="197" t="e">
        <f>IF(FI$5=0,NA(),FH7)</f>
        <v>#N/A</v>
      </c>
      <c r="FI11" s="192">
        <f>MAX(0,FI5-$CS$4)</f>
        <v>0</v>
      </c>
      <c r="FJ11" s="197" t="e">
        <f>IF(FK$5=0,NA(),FJ7)</f>
        <v>#N/A</v>
      </c>
      <c r="FK11" s="192">
        <f>MAX(0,FK5-$CS$4)</f>
        <v>0</v>
      </c>
      <c r="FL11" s="197" t="e">
        <f>IF(FM$5=0,NA(),FL7)</f>
        <v>#N/A</v>
      </c>
      <c r="FM11" s="197">
        <f>MAX(0,FM5-$CS$4)</f>
        <v>0</v>
      </c>
      <c r="FN11" s="222" t="e">
        <f>IF(FO$5=0,NA(),FN7)</f>
        <v>#N/A</v>
      </c>
      <c r="FO11" s="192">
        <f>MAX(0,FO5-$CS$4)</f>
        <v>0</v>
      </c>
      <c r="FP11" s="197" t="e">
        <f>IF(FQ$5=0,NA(),FP7)</f>
        <v>#N/A</v>
      </c>
      <c r="FQ11" s="192">
        <f>MAX(0,FQ5-$CS$4)</f>
        <v>0</v>
      </c>
      <c r="FR11" s="197" t="e">
        <f>IF(FS$5=0,NA(),FR7)</f>
        <v>#N/A</v>
      </c>
      <c r="FS11" s="192">
        <f>MAX(0,FS5-$CS$4)</f>
        <v>0</v>
      </c>
      <c r="FT11" s="197" t="e">
        <f>IF(FU$5=0,NA(),FT7)</f>
        <v>#N/A</v>
      </c>
      <c r="FU11" s="197">
        <f>MAX(0,FU5-$CS$4)</f>
        <v>0</v>
      </c>
      <c r="FV11" s="222" t="e">
        <f>IF(FW$5=0,NA(),FV7)</f>
        <v>#N/A</v>
      </c>
      <c r="FW11" s="192">
        <f>MAX(0,FW5-$CS$4)</f>
        <v>0</v>
      </c>
      <c r="FX11" s="197" t="e">
        <f>IF(FY$5=0,NA(),FX7)</f>
        <v>#N/A</v>
      </c>
      <c r="FY11" s="192">
        <f>MAX(0,FY5-$CS$4)</f>
        <v>0</v>
      </c>
      <c r="FZ11" s="197" t="e">
        <f>IF(GA$5=0,NA(),FZ7)</f>
        <v>#N/A</v>
      </c>
      <c r="GA11" s="192">
        <f>MAX(0,GA5-$CS$4)</f>
        <v>0</v>
      </c>
      <c r="GB11" s="222" t="e">
        <f>IF(GC$5=0,NA(),GB7)</f>
        <v>#N/A</v>
      </c>
      <c r="GC11" s="192">
        <f>MAX(0,GC5-$CS$4)</f>
        <v>0</v>
      </c>
      <c r="GD11" s="197" t="e">
        <f>IF(GE$5=0,NA(),GD7)</f>
        <v>#N/A</v>
      </c>
      <c r="GE11" s="192">
        <f>MAX(0,GE5-$CS$4)</f>
        <v>0</v>
      </c>
    </row>
    <row r="12" spans="1:187" ht="11.25" customHeight="1">
      <c r="A12" s="435">
        <v>3</v>
      </c>
      <c r="B12" s="255" t="s">
        <v>765</v>
      </c>
      <c r="C12" s="256"/>
      <c r="D12" s="256"/>
      <c r="E12" s="466">
        <v>11</v>
      </c>
      <c r="F12" s="474">
        <v>12.8</v>
      </c>
      <c r="G12" s="145"/>
      <c r="H12" s="223">
        <f t="shared" ca="1" si="10"/>
        <v>10.6</v>
      </c>
      <c r="I12" s="202">
        <f t="shared" ca="1" si="2"/>
        <v>11</v>
      </c>
      <c r="J12" s="30"/>
      <c r="K12" s="248">
        <f t="shared" si="26"/>
        <v>15</v>
      </c>
      <c r="L12" s="248">
        <f t="shared" si="24"/>
        <v>7</v>
      </c>
      <c r="M12" s="30"/>
      <c r="S12" s="179">
        <f t="shared" si="3"/>
        <v>1.1017000000000001E-2</v>
      </c>
      <c r="T12" s="224">
        <f ca="1">IF(OFFSET($F$10,Xscrollcount,0)="","",OFFSET($F$10,Xscrollcount,0))</f>
        <v>8.6999999999999993</v>
      </c>
      <c r="U12" s="185" t="s">
        <v>651</v>
      </c>
      <c r="V12" s="16">
        <f>IF(X3=0,NA(),CHOOSE(V11,10,5,5,2,2,2,2,1,1,1))</f>
        <v>2</v>
      </c>
      <c r="W12" s="231" t="s">
        <v>655</v>
      </c>
      <c r="X12" s="261" t="s">
        <v>901</v>
      </c>
      <c r="Y12" s="262">
        <f>ROUND(VALUE(forRound),0)</f>
        <v>1</v>
      </c>
      <c r="Z12" s="252" t="b">
        <v>1</v>
      </c>
      <c r="AA12" s="222">
        <v>-1</v>
      </c>
      <c r="AB12" s="197" t="e">
        <f t="shared" si="4"/>
        <v>#N/A</v>
      </c>
      <c r="AC12" s="197">
        <f t="shared" si="16"/>
        <v>7.8</v>
      </c>
      <c r="AD12" s="197">
        <v>18</v>
      </c>
      <c r="AE12" s="192" t="e">
        <f>IF(AND(AB12&gt;XaxisL,AB12&lt;XaxisU),"z=-1","")</f>
        <v>#N/A</v>
      </c>
      <c r="AH12"/>
      <c r="AJ12" s="180">
        <f t="shared" si="1"/>
        <v>1.1017000000000001E-2</v>
      </c>
      <c r="AV12" s="197"/>
      <c r="AW12" s="16" t="s">
        <v>732</v>
      </c>
      <c r="BI12" s="621">
        <v>4</v>
      </c>
      <c r="BJ12" s="622">
        <v>7.6</v>
      </c>
      <c r="BK12" s="623"/>
      <c r="BL12" s="1109"/>
      <c r="BM12" s="1109"/>
      <c r="BN12" s="24"/>
      <c r="BP12" s="621">
        <v>4</v>
      </c>
      <c r="BQ12" s="622">
        <v>30.4</v>
      </c>
      <c r="BR12" s="623"/>
      <c r="BS12" s="1109"/>
      <c r="BT12" s="1109"/>
      <c r="BU12" s="24"/>
      <c r="BW12" s="621">
        <v>4</v>
      </c>
      <c r="BX12" s="622">
        <v>4</v>
      </c>
      <c r="BY12" s="623"/>
      <c r="BZ12" s="1109"/>
      <c r="CA12" s="1109"/>
      <c r="CB12" s="24"/>
      <c r="CT12" s="16" t="e">
        <f t="shared" si="17"/>
        <v>#N/A</v>
      </c>
      <c r="CU12" s="197" t="e">
        <f t="shared" si="18"/>
        <v>#N/A</v>
      </c>
      <c r="CV12" s="197" t="e">
        <f t="shared" si="19"/>
        <v>#N/A</v>
      </c>
      <c r="CW12" s="197">
        <v>9</v>
      </c>
      <c r="CX12" s="197">
        <f t="shared" si="11"/>
        <v>9.6</v>
      </c>
      <c r="CY12" s="197">
        <f t="shared" si="12"/>
        <v>9.6369999999999987</v>
      </c>
      <c r="CZ12" s="197">
        <f t="shared" si="13"/>
        <v>1.677</v>
      </c>
      <c r="DA12" s="197">
        <f t="shared" si="20"/>
        <v>1.677</v>
      </c>
      <c r="DB12" s="16">
        <f t="shared" si="14"/>
        <v>21</v>
      </c>
      <c r="DC12" s="16">
        <f>IF(ISNUMBER(CX12),COUNTIF($DB$4:DB12,DB12)-1,NA())</f>
        <v>1</v>
      </c>
      <c r="DD12" s="222">
        <v>10</v>
      </c>
      <c r="DE12" s="197">
        <v>10</v>
      </c>
      <c r="DF12" s="197">
        <v>20</v>
      </c>
      <c r="DG12" s="197">
        <v>50</v>
      </c>
      <c r="DH12" s="192">
        <v>100</v>
      </c>
      <c r="DI12" s="16">
        <f t="shared" si="15"/>
        <v>27</v>
      </c>
      <c r="DJ12" s="192">
        <v>0</v>
      </c>
      <c r="DK12" s="16">
        <v>3</v>
      </c>
      <c r="DL12" s="16">
        <f>IF($X$3=0,NA(),IF(kbins&lt;DK12,NA(),$DI$6))</f>
        <v>9</v>
      </c>
      <c r="DM12" s="192">
        <v>0</v>
      </c>
      <c r="DN12" s="238">
        <f t="shared" si="21"/>
        <v>27</v>
      </c>
      <c r="DO12" s="192">
        <v>0</v>
      </c>
      <c r="DP12" s="16">
        <f t="shared" si="22"/>
        <v>7.0234745740890503E-2</v>
      </c>
      <c r="DQ12" s="16">
        <v>10</v>
      </c>
      <c r="DR12" s="16">
        <f t="shared" si="5"/>
        <v>35.299999999999997</v>
      </c>
      <c r="DS12" s="16">
        <f t="shared" si="6"/>
        <v>1.2549364655351345</v>
      </c>
      <c r="DT12" s="16">
        <f t="shared" si="7"/>
        <v>59.1</v>
      </c>
      <c r="DU12" s="16">
        <f t="shared" si="8"/>
        <v>40.9</v>
      </c>
      <c r="DV12" s="16">
        <f t="shared" si="9"/>
        <v>35.1</v>
      </c>
      <c r="DX12" s="197">
        <f>IF(DY$5=0,NA(),DX11+DY$9)</f>
        <v>0.2354248677248677</v>
      </c>
      <c r="DY12" s="197">
        <f>DY11</f>
        <v>0.93702399999999997</v>
      </c>
      <c r="DZ12" s="222">
        <f>IF(EA$5=0,NA(),DZ11+EA$9)</f>
        <v>3.2490936170212765</v>
      </c>
      <c r="EA12" s="192">
        <f>EA11</f>
        <v>1.9370240000000001</v>
      </c>
      <c r="EB12" s="197">
        <f>IF(EC$5=0,NA(),EB11+EC$9)</f>
        <v>6.265225423728813</v>
      </c>
      <c r="EC12" s="192">
        <f>EC11</f>
        <v>3.9370240000000001</v>
      </c>
      <c r="ED12" s="197">
        <f>IF(EE$5=0,NA(),ED11+EE$9)</f>
        <v>9.279995454545455</v>
      </c>
      <c r="EE12" s="192">
        <f>EE11</f>
        <v>5.9370240000000001</v>
      </c>
      <c r="EF12" s="197">
        <f>IF(EG$5=0,NA(),EF11+EG$9)</f>
        <v>12.297082352941176</v>
      </c>
      <c r="EG12" s="197">
        <f>EG11</f>
        <v>3.9370240000000001</v>
      </c>
      <c r="EH12" s="222">
        <f>IF(EI$5=0,NA(),EH11+EI$9)</f>
        <v>15.310044827586207</v>
      </c>
      <c r="EI12" s="192">
        <f t="shared" ref="EI12:EI27" si="27">EI11</f>
        <v>6.9370240000000001</v>
      </c>
      <c r="EJ12" s="197">
        <f>IF(EK$5=0,NA(),EJ11+EK$9)</f>
        <v>18.328408333333336</v>
      </c>
      <c r="EK12" s="192">
        <f t="shared" ref="EK12:EK27" si="28">EK11</f>
        <v>1.9370240000000001</v>
      </c>
      <c r="EL12" s="197">
        <f>IF(EM$5=0,NA(),EL11+EM$9)</f>
        <v>21.328408333333336</v>
      </c>
      <c r="EM12" s="192">
        <f t="shared" ref="EM12:EM27" si="29">EM11</f>
        <v>1.9370240000000001</v>
      </c>
      <c r="EN12" s="197">
        <f>IF(EO$5=0,NA(),EN11+EO$9)</f>
        <v>24.356436842105264</v>
      </c>
      <c r="EO12" s="197">
        <f t="shared" ref="EO12:EO30" si="30">EO11</f>
        <v>0.93702399999999997</v>
      </c>
      <c r="EP12" s="222" t="e">
        <f>IF(EQ$5=0,NA(),EP11+EQ$9)</f>
        <v>#N/A</v>
      </c>
      <c r="EQ12" s="192">
        <f t="shared" ref="EQ12:EQ30" si="31">EQ11</f>
        <v>0</v>
      </c>
      <c r="ER12" s="197">
        <f>IF(ES$5=0,NA(),ER11+ES$9)</f>
        <v>30.356436842105264</v>
      </c>
      <c r="ES12" s="192">
        <f t="shared" ref="ES12:ES30" si="32">ES11</f>
        <v>0.93702399999999997</v>
      </c>
      <c r="ET12" s="197">
        <f>IF(EU$5=0,NA(),ET11+EU$9)</f>
        <v>33.404485714285713</v>
      </c>
      <c r="EU12" s="192">
        <f t="shared" ref="EU12:EU25" si="33">EU11</f>
        <v>0.93702399999999997</v>
      </c>
      <c r="EV12" s="197" t="e">
        <f>IF(EW$5=0,NA(),EV11+EW$9)</f>
        <v>#N/A</v>
      </c>
      <c r="EW12" s="197">
        <f>EW11</f>
        <v>0</v>
      </c>
      <c r="EX12" s="222" t="e">
        <f>IF(EY$5=0,NA(),EX11+EY$9)</f>
        <v>#N/A</v>
      </c>
      <c r="EY12" s="192">
        <f>EY11</f>
        <v>0</v>
      </c>
      <c r="EZ12" s="197" t="e">
        <f>IF(FA$5=0,NA(),EZ11+FA$9)</f>
        <v>#N/A</v>
      </c>
      <c r="FA12" s="192">
        <f>FA11</f>
        <v>0</v>
      </c>
      <c r="FB12" s="197" t="e">
        <f>IF(FC$5=0,NA(),FB11+FC$9)</f>
        <v>#N/A</v>
      </c>
      <c r="FC12" s="192">
        <f>FC11</f>
        <v>0</v>
      </c>
      <c r="FD12" s="197" t="e">
        <f>IF(FE$5=0,NA(),FD11+FE$9)</f>
        <v>#N/A</v>
      </c>
      <c r="FE12" s="197">
        <f>FE11</f>
        <v>0</v>
      </c>
      <c r="FF12" s="222" t="e">
        <f>IF(FG$5=0,NA(),FF11+FG$9)</f>
        <v>#N/A</v>
      </c>
      <c r="FG12" s="192">
        <f>FG11</f>
        <v>0</v>
      </c>
      <c r="FH12" s="197" t="e">
        <f>IF(FI$5=0,NA(),FH11+FI$9)</f>
        <v>#N/A</v>
      </c>
      <c r="FI12" s="192">
        <f>FI11</f>
        <v>0</v>
      </c>
      <c r="FJ12" s="197" t="e">
        <f>IF(FK$5=0,NA(),FJ11+FK$9)</f>
        <v>#N/A</v>
      </c>
      <c r="FK12" s="192">
        <f>FK11</f>
        <v>0</v>
      </c>
      <c r="FL12" s="197" t="e">
        <f>IF(FM$5=0,NA(),FL11+FM$9)</f>
        <v>#N/A</v>
      </c>
      <c r="FM12" s="197">
        <f>FM11</f>
        <v>0</v>
      </c>
      <c r="FN12" s="222" t="e">
        <f>IF(FO$5=0,NA(),FN11+FO$9)</f>
        <v>#N/A</v>
      </c>
      <c r="FO12" s="192">
        <f>FO11</f>
        <v>0</v>
      </c>
      <c r="FP12" s="197" t="e">
        <f>IF(FQ$5=0,NA(),FP11+FQ$9)</f>
        <v>#N/A</v>
      </c>
      <c r="FQ12" s="192">
        <f>FQ11</f>
        <v>0</v>
      </c>
      <c r="FR12" s="197" t="e">
        <f>IF(FS$5=0,NA(),FR11+FS$9)</f>
        <v>#N/A</v>
      </c>
      <c r="FS12" s="192">
        <f>FS11</f>
        <v>0</v>
      </c>
      <c r="FT12" s="197" t="e">
        <f>IF(FU$5=0,NA(),FT11+FU$9)</f>
        <v>#N/A</v>
      </c>
      <c r="FU12" s="197">
        <f>FU11</f>
        <v>0</v>
      </c>
      <c r="FV12" s="222" t="e">
        <f>IF(FW$5=0,NA(),FV11+FW$9)</f>
        <v>#N/A</v>
      </c>
      <c r="FW12" s="192">
        <f>FW11</f>
        <v>0</v>
      </c>
      <c r="FX12" s="197" t="e">
        <f>IF(FY$5=0,NA(),FX11+FY$9)</f>
        <v>#N/A</v>
      </c>
      <c r="FY12" s="192">
        <f>FY11</f>
        <v>0</v>
      </c>
      <c r="FZ12" s="197" t="e">
        <f>IF(GA$5=0,NA(),FZ11+GA$9)</f>
        <v>#N/A</v>
      </c>
      <c r="GA12" s="192">
        <f>GA11</f>
        <v>0</v>
      </c>
      <c r="GB12" s="222" t="e">
        <f>IF(GC$5=0,NA(),GB11+GC$9)</f>
        <v>#N/A</v>
      </c>
      <c r="GC12" s="192">
        <f>GC11</f>
        <v>0</v>
      </c>
      <c r="GD12" s="197" t="e">
        <f>IF(GE$5=0,NA(),GD11+GE$9)</f>
        <v>#N/A</v>
      </c>
      <c r="GE12" s="192">
        <f>GE11</f>
        <v>0</v>
      </c>
    </row>
    <row r="13" spans="1:187" ht="11.25" customHeight="1">
      <c r="A13" s="279"/>
      <c r="B13" s="279"/>
      <c r="C13" s="279"/>
      <c r="D13" s="279"/>
      <c r="E13" s="466">
        <v>12</v>
      </c>
      <c r="F13" s="474">
        <v>10.6</v>
      </c>
      <c r="G13" s="145"/>
      <c r="H13" s="223">
        <f t="shared" ca="1" si="10"/>
        <v>11.5</v>
      </c>
      <c r="I13" s="202">
        <f t="shared" ca="1" si="2"/>
        <v>12</v>
      </c>
      <c r="J13" s="30"/>
      <c r="K13" s="248">
        <f t="shared" si="26"/>
        <v>18</v>
      </c>
      <c r="L13" s="248">
        <f t="shared" si="24"/>
        <v>2</v>
      </c>
      <c r="M13" s="30"/>
      <c r="S13" s="179">
        <f t="shared" si="3"/>
        <v>1.1017000000000001E-2</v>
      </c>
      <c r="T13" s="224">
        <f ca="1">IF(OFFSET($F$11,Xscrollcount,0)="","",OFFSET($F$11,Xscrollcount,0))</f>
        <v>12.8</v>
      </c>
      <c r="U13" s="185" t="s">
        <v>622</v>
      </c>
      <c r="V13" s="16">
        <f>IF(C14=0,10,IF(X3=0,1,V10/V12))</f>
        <v>5</v>
      </c>
      <c r="W13" s="263" t="s">
        <v>658</v>
      </c>
      <c r="X13" s="264">
        <f ca="1">RAND()</f>
        <v>0.73895580454629961</v>
      </c>
      <c r="Y13" s="250">
        <v>0.72102664334260691</v>
      </c>
      <c r="Z13" s="252" t="b">
        <f>AND(Z11,Z12)</f>
        <v>0</v>
      </c>
      <c r="AA13" s="222">
        <v>0</v>
      </c>
      <c r="AB13" s="197" t="e">
        <f t="shared" si="4"/>
        <v>#N/A</v>
      </c>
      <c r="AC13" s="197">
        <f t="shared" si="16"/>
        <v>7.8</v>
      </c>
      <c r="AD13" s="197">
        <v>18</v>
      </c>
      <c r="AE13" s="192" t="e">
        <f>IF(AND(AB13&gt;XaxisL,AB13&lt;XaxisU),"z=0","")</f>
        <v>#N/A</v>
      </c>
      <c r="AH13"/>
      <c r="AJ13" s="180">
        <f t="shared" si="1"/>
        <v>1.1017000000000001E-2</v>
      </c>
      <c r="AM13" s="265"/>
      <c r="AN13" s="258"/>
      <c r="AV13" s="197"/>
      <c r="AW13" s="211">
        <v>2219</v>
      </c>
      <c r="BI13" s="621">
        <v>5</v>
      </c>
      <c r="BJ13" s="622">
        <v>12.2</v>
      </c>
      <c r="BK13" s="623"/>
      <c r="BL13" s="1109"/>
      <c r="BM13" s="1109"/>
      <c r="BN13" s="24"/>
      <c r="BP13" s="621">
        <v>5</v>
      </c>
      <c r="BQ13" s="622">
        <v>12.8</v>
      </c>
      <c r="BR13" s="623"/>
      <c r="BS13" s="1109"/>
      <c r="BT13" s="1109"/>
      <c r="BU13" s="24"/>
      <c r="BW13" s="621">
        <v>5</v>
      </c>
      <c r="BX13" s="622">
        <v>5</v>
      </c>
      <c r="BY13" s="623"/>
      <c r="BZ13" s="1109"/>
      <c r="CA13" s="1109"/>
      <c r="CB13" s="24"/>
      <c r="CS13" s="16">
        <f>X6*AW13/500000</f>
        <v>0.22189999999999999</v>
      </c>
      <c r="CT13" s="16" t="e">
        <f t="shared" si="17"/>
        <v>#N/A</v>
      </c>
      <c r="CU13" s="197" t="e">
        <f t="shared" si="18"/>
        <v>#N/A</v>
      </c>
      <c r="CV13" s="197" t="e">
        <f t="shared" si="19"/>
        <v>#N/A</v>
      </c>
      <c r="CW13" s="197">
        <v>10</v>
      </c>
      <c r="CX13" s="197">
        <f t="shared" si="11"/>
        <v>10.3</v>
      </c>
      <c r="CY13" s="197">
        <f t="shared" si="12"/>
        <v>10.334</v>
      </c>
      <c r="CZ13" s="197">
        <f t="shared" si="13"/>
        <v>0.55900000000000005</v>
      </c>
      <c r="DA13" s="197">
        <f t="shared" si="20"/>
        <v>0.55900000000000005</v>
      </c>
      <c r="DB13" s="16">
        <f t="shared" si="14"/>
        <v>22</v>
      </c>
      <c r="DC13" s="16">
        <f>IF(ISNUMBER(CX13),COUNTIF($DB$4:DB13,DB13)-1,NA())</f>
        <v>0</v>
      </c>
      <c r="DD13" s="222">
        <v>11</v>
      </c>
      <c r="DE13" s="197">
        <v>10</v>
      </c>
      <c r="DF13" s="197">
        <v>20</v>
      </c>
      <c r="DG13" s="197">
        <v>50</v>
      </c>
      <c r="DH13" s="192">
        <v>100</v>
      </c>
      <c r="DI13" s="16">
        <f t="shared" si="15"/>
        <v>30</v>
      </c>
      <c r="DJ13" s="192">
        <v>1</v>
      </c>
      <c r="DK13" s="16">
        <v>4</v>
      </c>
      <c r="DL13" s="16">
        <f>IF($X$3=0,NA(),IF(kbins&lt;DK13,NA(),$DI$6))</f>
        <v>9</v>
      </c>
      <c r="DM13" s="192">
        <f>$DJ$6</f>
        <v>6</v>
      </c>
      <c r="DN13" s="238">
        <f t="shared" si="21"/>
        <v>30</v>
      </c>
      <c r="DO13" s="192">
        <v>0</v>
      </c>
      <c r="DP13" s="16">
        <f t="shared" si="22"/>
        <v>0.37046059966087341</v>
      </c>
      <c r="DQ13" s="16">
        <v>11</v>
      </c>
      <c r="DR13" s="16">
        <f t="shared" si="5"/>
        <v>46.7</v>
      </c>
      <c r="DS13" s="16">
        <f t="shared" si="6"/>
        <v>2.0553243447906824</v>
      </c>
      <c r="DT13" s="16">
        <f t="shared" si="7"/>
        <v>54.8</v>
      </c>
      <c r="DU13" s="16">
        <f t="shared" si="8"/>
        <v>45.2</v>
      </c>
      <c r="DV13" s="16">
        <f t="shared" si="9"/>
        <v>45.5</v>
      </c>
      <c r="DW13" s="266" t="s">
        <v>749</v>
      </c>
      <c r="DX13" s="197">
        <f t="shared" ref="DX13:DX76" si="34">IF(DY$5=0,NA(),DX12+DY$9)</f>
        <v>0.24894973544973542</v>
      </c>
      <c r="DY13" s="197">
        <f t="shared" ref="DY13:DY76" si="35">DY12</f>
        <v>0.93702399999999997</v>
      </c>
      <c r="DZ13" s="222">
        <f t="shared" ref="DZ13:DZ76" si="36">IF(EA$5=0,NA(),DZ12+EA$9)</f>
        <v>3.2762872340425533</v>
      </c>
      <c r="EA13" s="192">
        <f t="shared" ref="EA13:EA76" si="37">EA12</f>
        <v>1.9370240000000001</v>
      </c>
      <c r="EB13" s="197">
        <f t="shared" ref="EB13:EB70" si="38">IF(EC$5=0,NA(),EB12+EC$9)</f>
        <v>6.3085508474576262</v>
      </c>
      <c r="EC13" s="192">
        <f t="shared" ref="EC13:EC70" si="39">EC12</f>
        <v>3.9370240000000001</v>
      </c>
      <c r="ED13" s="197">
        <f t="shared" ref="ED13:ED55" si="40">IF(EE$5=0,NA(),ED12+EE$9)</f>
        <v>9.3380909090909103</v>
      </c>
      <c r="EE13" s="192">
        <f t="shared" ref="EE13:EE55" si="41">EE12</f>
        <v>5.9370240000000001</v>
      </c>
      <c r="EF13" s="197">
        <f t="shared" ref="EF13:EF45" si="42">IF(EG$5=0,NA(),EF12+EG$9)</f>
        <v>12.372264705882353</v>
      </c>
      <c r="EG13" s="197">
        <f t="shared" ref="EG13:EG45" si="43">EG12</f>
        <v>3.9370240000000001</v>
      </c>
      <c r="EH13" s="222">
        <f t="shared" ref="EH13:EH40" si="44">IF(EI$5=0,NA(),EH12+EI$9)</f>
        <v>15.398189655172414</v>
      </c>
      <c r="EI13" s="192">
        <f t="shared" si="27"/>
        <v>6.9370240000000001</v>
      </c>
      <c r="EJ13" s="197">
        <f t="shared" ref="EJ13:EJ35" si="45">IF(EK$5=0,NA(),EJ12+EK$9)</f>
        <v>18.43491666666667</v>
      </c>
      <c r="EK13" s="192">
        <f t="shared" si="28"/>
        <v>1.9370240000000001</v>
      </c>
      <c r="EL13" s="197">
        <f t="shared" ref="EL13:EL35" si="46">IF(EM$5=0,NA(),EL12+EM$9)</f>
        <v>21.43491666666667</v>
      </c>
      <c r="EM13" s="192">
        <f t="shared" si="29"/>
        <v>1.9370240000000001</v>
      </c>
      <c r="EN13" s="197">
        <f t="shared" ref="EN13:EN30" si="47">IF(EO$5=0,NA(),EN12+EO$9)</f>
        <v>24.490973684210527</v>
      </c>
      <c r="EO13" s="197">
        <f t="shared" si="30"/>
        <v>0.93702399999999997</v>
      </c>
      <c r="EP13" s="222" t="e">
        <f t="shared" ref="EP13:EP30" si="48">IF(EQ$5=0,NA(),EP12+EQ$9)</f>
        <v>#N/A</v>
      </c>
      <c r="EQ13" s="192">
        <f t="shared" si="31"/>
        <v>0</v>
      </c>
      <c r="ER13" s="197">
        <f t="shared" ref="ER13:ER30" si="49">IF(ES$5=0,NA(),ER12+ES$9)</f>
        <v>30.490973684210527</v>
      </c>
      <c r="ES13" s="192">
        <f t="shared" si="32"/>
        <v>0.93702399999999997</v>
      </c>
      <c r="ET13" s="197">
        <f t="shared" ref="ET13:ET25" si="50">IF(EU$5=0,NA(),ET12+EU$9)</f>
        <v>33.587071428571427</v>
      </c>
      <c r="EU13" s="192">
        <f t="shared" si="33"/>
        <v>0.93702399999999997</v>
      </c>
      <c r="EV13" s="197" t="e">
        <f t="shared" ref="EV13:EV25" si="51">IF(EW$5=0,NA(),EV12+EW$9)</f>
        <v>#N/A</v>
      </c>
      <c r="EW13" s="197">
        <f t="shared" ref="EW13:EW25" si="52">EW12</f>
        <v>0</v>
      </c>
      <c r="EX13" s="222" t="e">
        <f t="shared" ref="EX13:EX25" si="53">IF(EY$5=0,NA(),EX12+EY$9)</f>
        <v>#N/A</v>
      </c>
      <c r="EY13" s="192">
        <f t="shared" ref="EY13:EY25" si="54">EY12</f>
        <v>0</v>
      </c>
      <c r="EZ13" s="197" t="e">
        <f t="shared" ref="EZ13:EZ22" si="55">IF(FA$5=0,NA(),EZ12+FA$9)</f>
        <v>#N/A</v>
      </c>
      <c r="FA13" s="192">
        <f t="shared" ref="FA13:FA22" si="56">FA12</f>
        <v>0</v>
      </c>
      <c r="FB13" s="197" t="e">
        <f t="shared" ref="FB13:FB22" si="57">IF(FC$5=0,NA(),FB12+FC$9)</f>
        <v>#N/A</v>
      </c>
      <c r="FC13" s="192">
        <f t="shared" ref="FC13:FC22" si="58">FC12</f>
        <v>0</v>
      </c>
      <c r="FD13" s="197" t="e">
        <f t="shared" ref="FD13:FD22" si="59">IF(FE$5=0,NA(),FD12+FE$9)</f>
        <v>#N/A</v>
      </c>
      <c r="FE13" s="197">
        <f t="shared" ref="FE13:FE22" si="60">FE12</f>
        <v>0</v>
      </c>
      <c r="FF13" s="222" t="e">
        <f t="shared" ref="FF13:FF20" si="61">IF(FG$5=0,NA(),FF12+FG$9)</f>
        <v>#N/A</v>
      </c>
      <c r="FG13" s="192">
        <f t="shared" ref="FG13:FG20" si="62">FG12</f>
        <v>0</v>
      </c>
      <c r="FH13" s="197" t="e">
        <f t="shared" ref="FH13:FH20" si="63">IF(FI$5=0,NA(),FH12+FI$9)</f>
        <v>#N/A</v>
      </c>
      <c r="FI13" s="192">
        <f t="shared" ref="FI13:FI20" si="64">FI12</f>
        <v>0</v>
      </c>
      <c r="FJ13" s="197" t="e">
        <f t="shared" ref="FJ13:FJ20" si="65">IF(FK$5=0,NA(),FJ12+FK$9)</f>
        <v>#N/A</v>
      </c>
      <c r="FK13" s="192">
        <f t="shared" ref="FK13:FK20" si="66">FK12</f>
        <v>0</v>
      </c>
      <c r="FL13" s="197" t="e">
        <f t="shared" ref="FL13:FL20" si="67">IF(FM$5=0,NA(),FL12+FM$9)</f>
        <v>#N/A</v>
      </c>
      <c r="FM13" s="197">
        <f t="shared" ref="FM13:FM20" si="68">FM12</f>
        <v>0</v>
      </c>
      <c r="FN13" s="222" t="e">
        <f t="shared" ref="FN13:FN18" si="69">IF(FO$5=0,NA(),FN12+FO$9)</f>
        <v>#N/A</v>
      </c>
      <c r="FO13" s="192">
        <f t="shared" ref="FO13:FO18" si="70">FO12</f>
        <v>0</v>
      </c>
      <c r="FP13" s="197" t="e">
        <f t="shared" ref="FP13:FP18" si="71">IF(FQ$5=0,NA(),FP12+FQ$9)</f>
        <v>#N/A</v>
      </c>
      <c r="FQ13" s="192">
        <f t="shared" ref="FQ13:FQ18" si="72">FQ12</f>
        <v>0</v>
      </c>
      <c r="FR13" s="197" t="e">
        <f t="shared" ref="FR13:FR18" si="73">IF(FS$5=0,NA(),FR12+FS$9)</f>
        <v>#N/A</v>
      </c>
      <c r="FS13" s="192">
        <f t="shared" ref="FS13:FS18" si="74">FS12</f>
        <v>0</v>
      </c>
      <c r="FT13" s="197" t="e">
        <f t="shared" ref="FT13:FT18" si="75">IF(FU$5=0,NA(),FT12+FU$9)</f>
        <v>#N/A</v>
      </c>
      <c r="FU13" s="197">
        <f t="shared" ref="FU13:FU18" si="76">FU12</f>
        <v>0</v>
      </c>
      <c r="FV13" s="222" t="e">
        <f t="shared" ref="FV13:FV18" si="77">IF(FW$5=0,NA(),FV12+FW$9)</f>
        <v>#N/A</v>
      </c>
      <c r="FW13" s="192">
        <f t="shared" ref="FW13:FW18" si="78">FW12</f>
        <v>0</v>
      </c>
      <c r="FX13" s="197" t="e">
        <f t="shared" ref="FX13:FX18" si="79">IF(FY$5=0,NA(),FX12+FY$9)</f>
        <v>#N/A</v>
      </c>
      <c r="FY13" s="192">
        <f t="shared" ref="FY13:FY18" si="80">FY12</f>
        <v>0</v>
      </c>
      <c r="FZ13" s="197" t="e">
        <f t="shared" ref="FZ13:FZ18" si="81">IF(GA$5=0,NA(),FZ12+GA$9)</f>
        <v>#N/A</v>
      </c>
      <c r="GA13" s="192">
        <f t="shared" ref="GA13:GA18" si="82">GA12</f>
        <v>0</v>
      </c>
      <c r="GB13" s="222" t="e">
        <f t="shared" ref="GB13:GB18" si="83">IF(GC$5=0,NA(),GB12+GC$9)</f>
        <v>#N/A</v>
      </c>
      <c r="GC13" s="192">
        <f t="shared" ref="GC13:GC18" si="84">GC12</f>
        <v>0</v>
      </c>
      <c r="GD13" s="197" t="e">
        <f t="shared" ref="GD13:GD18" si="85">IF(GE$5=0,NA(),GD12+GE$9)</f>
        <v>#N/A</v>
      </c>
      <c r="GE13" s="192">
        <f t="shared" ref="GE13:GE18" si="86">GE12</f>
        <v>0</v>
      </c>
    </row>
    <row r="14" spans="1:187" ht="11.25" customHeight="1">
      <c r="A14" s="259"/>
      <c r="B14" s="42" t="s">
        <v>905</v>
      </c>
      <c r="C14" s="30">
        <f>COUNT(F2:F301)</f>
        <v>31</v>
      </c>
      <c r="D14" s="260"/>
      <c r="E14" s="466">
        <v>13</v>
      </c>
      <c r="F14" s="474">
        <v>5.0999999999999996</v>
      </c>
      <c r="G14" s="145"/>
      <c r="H14" s="223">
        <f t="shared" ca="1" si="10"/>
        <v>12</v>
      </c>
      <c r="I14" s="202">
        <f t="shared" ca="1" si="2"/>
        <v>13</v>
      </c>
      <c r="J14" s="30"/>
      <c r="K14" s="248">
        <f t="shared" si="26"/>
        <v>21</v>
      </c>
      <c r="L14" s="248">
        <f t="shared" si="24"/>
        <v>2</v>
      </c>
      <c r="M14" s="30"/>
      <c r="S14" s="179">
        <f t="shared" si="3"/>
        <v>1.1017000000000001E-2</v>
      </c>
      <c r="T14" s="224">
        <f ca="1">IF(OFFSET($F$12,Xscrollcount,0)="","",OFFSET($F$12,Xscrollcount,0))</f>
        <v>10.6</v>
      </c>
      <c r="U14" s="185" t="s">
        <v>632</v>
      </c>
      <c r="V14" s="16">
        <f>IF(X3=0,NA(),(XaxisU-XaxisL)/XaxisInt)</f>
        <v>10</v>
      </c>
      <c r="W14" s="267"/>
      <c r="X14" s="268" t="s">
        <v>663</v>
      </c>
      <c r="Y14" s="250" t="b">
        <v>1</v>
      </c>
      <c r="Z14" s="269" t="b">
        <v>0</v>
      </c>
      <c r="AA14" s="222">
        <v>1</v>
      </c>
      <c r="AB14" s="197" t="e">
        <f t="shared" si="4"/>
        <v>#N/A</v>
      </c>
      <c r="AC14" s="197">
        <f t="shared" si="16"/>
        <v>7.8</v>
      </c>
      <c r="AD14" s="197">
        <v>18</v>
      </c>
      <c r="AE14" s="192" t="e">
        <f>IF(AND(AB14&gt;XaxisL,AB14&lt;XaxisU),"z=1","")</f>
        <v>#N/A</v>
      </c>
      <c r="AH14"/>
      <c r="AJ14" s="180">
        <f t="shared" si="1"/>
        <v>1.1017000000000001E-2</v>
      </c>
      <c r="AV14" s="197"/>
      <c r="BI14" s="621">
        <v>6</v>
      </c>
      <c r="BJ14" s="622">
        <v>10.8</v>
      </c>
      <c r="BK14" s="623"/>
      <c r="BL14" s="1109"/>
      <c r="BM14" s="1109"/>
      <c r="BN14" s="24"/>
      <c r="BP14" s="621">
        <v>6</v>
      </c>
      <c r="BQ14" s="622">
        <v>9.6</v>
      </c>
      <c r="BR14" s="623"/>
      <c r="BS14" s="1109"/>
      <c r="BT14" s="1109"/>
      <c r="BU14" s="24"/>
      <c r="BW14" s="621">
        <v>6</v>
      </c>
      <c r="BX14" s="622">
        <v>6</v>
      </c>
      <c r="BY14" s="623"/>
      <c r="BZ14" s="1109"/>
      <c r="CA14" s="1109"/>
      <c r="CB14" s="24"/>
      <c r="CT14" s="16" t="e">
        <f t="shared" si="17"/>
        <v>#N/A</v>
      </c>
      <c r="CU14" s="197" t="e">
        <f t="shared" si="18"/>
        <v>#N/A</v>
      </c>
      <c r="CV14" s="197" t="e">
        <f t="shared" si="19"/>
        <v>#N/A</v>
      </c>
      <c r="CW14" s="197">
        <v>11</v>
      </c>
      <c r="CX14" s="197">
        <f t="shared" si="11"/>
        <v>10.6</v>
      </c>
      <c r="CY14" s="197">
        <f t="shared" si="12"/>
        <v>10.334</v>
      </c>
      <c r="CZ14" s="197">
        <f t="shared" si="13"/>
        <v>1.677</v>
      </c>
      <c r="DA14" s="197">
        <f t="shared" si="20"/>
        <v>1.677</v>
      </c>
      <c r="DB14" s="16">
        <f t="shared" si="14"/>
        <v>22</v>
      </c>
      <c r="DC14" s="16">
        <f>IF(ISNUMBER(CX14),COUNTIF($DB$4:DB14,DB14)-1,NA())</f>
        <v>1</v>
      </c>
      <c r="DD14" s="222">
        <v>12</v>
      </c>
      <c r="DE14" s="197">
        <v>10</v>
      </c>
      <c r="DF14" s="197">
        <v>20</v>
      </c>
      <c r="DG14" s="197">
        <v>50</v>
      </c>
      <c r="DH14" s="192">
        <v>100</v>
      </c>
      <c r="DI14" s="16">
        <f t="shared" si="15"/>
        <v>33</v>
      </c>
      <c r="DJ14" s="192">
        <v>1</v>
      </c>
      <c r="DK14" s="16">
        <v>4</v>
      </c>
      <c r="DL14" s="16">
        <f>IF($X$3=0,NA(),IF(kbins&lt;DK14,NA(),$DI$7))</f>
        <v>12</v>
      </c>
      <c r="DM14" s="192">
        <f>$DJ$6</f>
        <v>6</v>
      </c>
      <c r="DN14" s="238">
        <f t="shared" si="21"/>
        <v>33</v>
      </c>
      <c r="DO14" s="192">
        <v>0</v>
      </c>
      <c r="DP14" s="16">
        <f t="shared" si="22"/>
        <v>0.81259652972221375</v>
      </c>
      <c r="DQ14" s="16">
        <v>12</v>
      </c>
      <c r="DR14" s="16">
        <f t="shared" si="5"/>
        <v>58.9</v>
      </c>
      <c r="DS14" s="16">
        <f t="shared" si="6"/>
        <v>2.9080215994363674</v>
      </c>
      <c r="DT14" s="16">
        <f t="shared" si="7"/>
        <v>44.3</v>
      </c>
      <c r="DU14" s="16">
        <f t="shared" si="8"/>
        <v>55.7</v>
      </c>
      <c r="DV14" s="16">
        <f t="shared" si="9"/>
        <v>60.8</v>
      </c>
      <c r="DW14" s="221">
        <f>Y11/(0.5/SQRT(3))</f>
        <v>34.641016151377542</v>
      </c>
      <c r="DX14" s="197">
        <f t="shared" si="34"/>
        <v>0.26247460317460314</v>
      </c>
      <c r="DY14" s="197">
        <f t="shared" si="35"/>
        <v>0.93702399999999997</v>
      </c>
      <c r="DZ14" s="222">
        <f t="shared" si="36"/>
        <v>3.30348085106383</v>
      </c>
      <c r="EA14" s="192">
        <f t="shared" si="37"/>
        <v>1.9370240000000001</v>
      </c>
      <c r="EB14" s="197">
        <f t="shared" si="38"/>
        <v>6.3518762711864394</v>
      </c>
      <c r="EC14" s="192">
        <f t="shared" si="39"/>
        <v>3.9370240000000001</v>
      </c>
      <c r="ED14" s="197">
        <f t="shared" si="40"/>
        <v>9.3961863636363656</v>
      </c>
      <c r="EE14" s="192">
        <f t="shared" si="41"/>
        <v>5.9370240000000001</v>
      </c>
      <c r="EF14" s="197">
        <f t="shared" si="42"/>
        <v>12.44744705882353</v>
      </c>
      <c r="EG14" s="197">
        <f t="shared" si="43"/>
        <v>3.9370240000000001</v>
      </c>
      <c r="EH14" s="222">
        <f t="shared" si="44"/>
        <v>15.486334482758622</v>
      </c>
      <c r="EI14" s="192">
        <f t="shared" si="27"/>
        <v>6.9370240000000001</v>
      </c>
      <c r="EJ14" s="197">
        <f t="shared" si="45"/>
        <v>18.541425000000004</v>
      </c>
      <c r="EK14" s="192">
        <f t="shared" si="28"/>
        <v>1.9370240000000001</v>
      </c>
      <c r="EL14" s="197">
        <f t="shared" si="46"/>
        <v>21.541425000000004</v>
      </c>
      <c r="EM14" s="192">
        <f t="shared" si="29"/>
        <v>1.9370240000000001</v>
      </c>
      <c r="EN14" s="197">
        <f t="shared" si="47"/>
        <v>24.625510526315789</v>
      </c>
      <c r="EO14" s="197">
        <f t="shared" si="30"/>
        <v>0.93702399999999997</v>
      </c>
      <c r="EP14" s="222" t="e">
        <f t="shared" si="48"/>
        <v>#N/A</v>
      </c>
      <c r="EQ14" s="192">
        <f t="shared" si="31"/>
        <v>0</v>
      </c>
      <c r="ER14" s="197">
        <f t="shared" si="49"/>
        <v>30.625510526315789</v>
      </c>
      <c r="ES14" s="192">
        <f t="shared" si="32"/>
        <v>0.93702399999999997</v>
      </c>
      <c r="ET14" s="197">
        <f t="shared" si="50"/>
        <v>33.769657142857142</v>
      </c>
      <c r="EU14" s="192">
        <f t="shared" si="33"/>
        <v>0.93702399999999997</v>
      </c>
      <c r="EV14" s="197" t="e">
        <f t="shared" si="51"/>
        <v>#N/A</v>
      </c>
      <c r="EW14" s="197">
        <f t="shared" si="52"/>
        <v>0</v>
      </c>
      <c r="EX14" s="222" t="e">
        <f t="shared" si="53"/>
        <v>#N/A</v>
      </c>
      <c r="EY14" s="192">
        <f t="shared" si="54"/>
        <v>0</v>
      </c>
      <c r="EZ14" s="197" t="e">
        <f t="shared" si="55"/>
        <v>#N/A</v>
      </c>
      <c r="FA14" s="192">
        <f t="shared" si="56"/>
        <v>0</v>
      </c>
      <c r="FB14" s="197" t="e">
        <f t="shared" si="57"/>
        <v>#N/A</v>
      </c>
      <c r="FC14" s="192">
        <f t="shared" si="58"/>
        <v>0</v>
      </c>
      <c r="FD14" s="197" t="e">
        <f t="shared" si="59"/>
        <v>#N/A</v>
      </c>
      <c r="FE14" s="197">
        <f t="shared" si="60"/>
        <v>0</v>
      </c>
      <c r="FF14" s="222" t="e">
        <f t="shared" si="61"/>
        <v>#N/A</v>
      </c>
      <c r="FG14" s="192">
        <f t="shared" si="62"/>
        <v>0</v>
      </c>
      <c r="FH14" s="197" t="e">
        <f t="shared" si="63"/>
        <v>#N/A</v>
      </c>
      <c r="FI14" s="192">
        <f t="shared" si="64"/>
        <v>0</v>
      </c>
      <c r="FJ14" s="197" t="e">
        <f t="shared" si="65"/>
        <v>#N/A</v>
      </c>
      <c r="FK14" s="192">
        <f t="shared" si="66"/>
        <v>0</v>
      </c>
      <c r="FL14" s="197" t="e">
        <f t="shared" si="67"/>
        <v>#N/A</v>
      </c>
      <c r="FM14" s="197">
        <f t="shared" si="68"/>
        <v>0</v>
      </c>
      <c r="FN14" s="222" t="e">
        <f t="shared" si="69"/>
        <v>#N/A</v>
      </c>
      <c r="FO14" s="192">
        <f t="shared" si="70"/>
        <v>0</v>
      </c>
      <c r="FP14" s="197" t="e">
        <f t="shared" si="71"/>
        <v>#N/A</v>
      </c>
      <c r="FQ14" s="192">
        <f t="shared" si="72"/>
        <v>0</v>
      </c>
      <c r="FR14" s="197" t="e">
        <f t="shared" si="73"/>
        <v>#N/A</v>
      </c>
      <c r="FS14" s="192">
        <f t="shared" si="74"/>
        <v>0</v>
      </c>
      <c r="FT14" s="197" t="e">
        <f t="shared" si="75"/>
        <v>#N/A</v>
      </c>
      <c r="FU14" s="197">
        <f t="shared" si="76"/>
        <v>0</v>
      </c>
      <c r="FV14" s="222" t="e">
        <f t="shared" si="77"/>
        <v>#N/A</v>
      </c>
      <c r="FW14" s="192">
        <f t="shared" si="78"/>
        <v>0</v>
      </c>
      <c r="FX14" s="197" t="e">
        <f t="shared" si="79"/>
        <v>#N/A</v>
      </c>
      <c r="FY14" s="192">
        <f t="shared" si="80"/>
        <v>0</v>
      </c>
      <c r="FZ14" s="197" t="e">
        <f t="shared" si="81"/>
        <v>#N/A</v>
      </c>
      <c r="GA14" s="192">
        <f t="shared" si="82"/>
        <v>0</v>
      </c>
      <c r="GB14" s="222" t="e">
        <f t="shared" si="83"/>
        <v>#N/A</v>
      </c>
      <c r="GC14" s="192">
        <f t="shared" si="84"/>
        <v>0</v>
      </c>
      <c r="GD14" s="197" t="e">
        <f t="shared" si="85"/>
        <v>#N/A</v>
      </c>
      <c r="GE14" s="192">
        <f t="shared" si="86"/>
        <v>0</v>
      </c>
    </row>
    <row r="15" spans="1:187" ht="11.25" customHeight="1">
      <c r="A15" s="260"/>
      <c r="B15" s="260"/>
      <c r="C15" s="260"/>
      <c r="D15" s="260"/>
      <c r="E15" s="466">
        <v>14</v>
      </c>
      <c r="F15" s="474">
        <v>16.7</v>
      </c>
      <c r="G15" s="145"/>
      <c r="H15" s="223">
        <f t="shared" ca="1" si="10"/>
        <v>12.8</v>
      </c>
      <c r="I15" s="202">
        <f t="shared" ca="1" si="2"/>
        <v>14</v>
      </c>
      <c r="J15" s="30"/>
      <c r="K15" s="248">
        <f t="shared" si="26"/>
        <v>24</v>
      </c>
      <c r="L15" s="248">
        <f t="shared" si="24"/>
        <v>1</v>
      </c>
      <c r="M15" s="30"/>
      <c r="S15" s="179">
        <f t="shared" si="3"/>
        <v>1.1017000000000001E-2</v>
      </c>
      <c r="T15" s="224">
        <f ca="1">IF(OFFSET($F$13,Xscrollcount,0)="","",OFFSET($F$13,Xscrollcount,0))</f>
        <v>5.0999999999999996</v>
      </c>
      <c r="U15" s="185" t="s">
        <v>652</v>
      </c>
      <c r="V15" s="16">
        <f>CHOOSE(V12,1,2,,,3,,,,,4)</f>
        <v>2</v>
      </c>
      <c r="W15" s="19"/>
      <c r="X15" s="20" t="s">
        <v>668</v>
      </c>
      <c r="Y15" s="21"/>
      <c r="Z15" s="195" t="s">
        <v>787</v>
      </c>
      <c r="AA15" s="222">
        <v>2</v>
      </c>
      <c r="AB15" s="197" t="e">
        <f t="shared" si="4"/>
        <v>#N/A</v>
      </c>
      <c r="AC15" s="197">
        <f t="shared" si="16"/>
        <v>7.8</v>
      </c>
      <c r="AD15" s="197">
        <v>18</v>
      </c>
      <c r="AE15" s="192" t="e">
        <f>IF(AND(AB15&gt;XaxisL,AB15&lt;XaxisU),"z=2","")</f>
        <v>#N/A</v>
      </c>
      <c r="AH15"/>
      <c r="AJ15" s="180">
        <f t="shared" si="1"/>
        <v>1.1017000000000001E-2</v>
      </c>
      <c r="AV15" s="197"/>
      <c r="BI15" s="621">
        <v>7</v>
      </c>
      <c r="BJ15" s="622">
        <v>1</v>
      </c>
      <c r="BK15" s="623"/>
      <c r="BL15" s="1109"/>
      <c r="BM15" s="1109"/>
      <c r="BN15" s="24"/>
      <c r="BP15" s="621">
        <v>7</v>
      </c>
      <c r="BQ15" s="622">
        <v>9.3000000000000007</v>
      </c>
      <c r="BR15" s="623"/>
      <c r="BS15" s="1109"/>
      <c r="BT15" s="1109"/>
      <c r="BU15" s="24"/>
      <c r="BW15" s="621">
        <v>7</v>
      </c>
      <c r="BX15" s="622">
        <v>12.8</v>
      </c>
      <c r="BY15" s="623"/>
      <c r="BZ15" s="1109"/>
      <c r="CA15" s="1109"/>
      <c r="CB15" s="24"/>
      <c r="CT15" s="16" t="e">
        <f t="shared" si="17"/>
        <v>#N/A</v>
      </c>
      <c r="CU15" s="197" t="e">
        <f t="shared" si="18"/>
        <v>#N/A</v>
      </c>
      <c r="CV15" s="197" t="e">
        <f t="shared" si="19"/>
        <v>#N/A</v>
      </c>
      <c r="CW15" s="197">
        <v>12</v>
      </c>
      <c r="CX15" s="197">
        <f t="shared" si="11"/>
        <v>11.5</v>
      </c>
      <c r="CY15" s="197">
        <f t="shared" si="12"/>
        <v>11.727999999999998</v>
      </c>
      <c r="CZ15" s="197">
        <f t="shared" si="13"/>
        <v>0.55900000000000005</v>
      </c>
      <c r="DA15" s="197">
        <f t="shared" si="20"/>
        <v>0.55900000000000005</v>
      </c>
      <c r="DB15" s="16">
        <f t="shared" si="14"/>
        <v>24</v>
      </c>
      <c r="DC15" s="16">
        <f>IF(ISNUMBER(CX15),COUNTIF($DB$4:DB15,DB15)-1,NA())</f>
        <v>0</v>
      </c>
      <c r="DD15" s="222">
        <v>13</v>
      </c>
      <c r="DE15" s="197">
        <v>10</v>
      </c>
      <c r="DF15" s="197">
        <v>20</v>
      </c>
      <c r="DG15" s="197">
        <v>50</v>
      </c>
      <c r="DH15" s="192">
        <v>100</v>
      </c>
      <c r="DI15" s="16">
        <f t="shared" si="15"/>
        <v>36</v>
      </c>
      <c r="DJ15" s="192">
        <v>0</v>
      </c>
      <c r="DK15" s="16">
        <v>4</v>
      </c>
      <c r="DL15" s="16">
        <f>IF($X$3=0,NA(),IF(kbins&lt;DK15,NA(),$DI$7))</f>
        <v>12</v>
      </c>
      <c r="DM15" s="192">
        <v>0</v>
      </c>
      <c r="DN15" s="238">
        <f t="shared" si="21"/>
        <v>36</v>
      </c>
      <c r="DO15" s="192">
        <v>0</v>
      </c>
      <c r="DP15" s="16">
        <f t="shared" si="22"/>
        <v>0.86097702383995056</v>
      </c>
      <c r="DQ15" s="16">
        <v>13</v>
      </c>
      <c r="DR15" s="16">
        <f t="shared" si="5"/>
        <v>60.8</v>
      </c>
      <c r="DS15" s="16">
        <f t="shared" si="6"/>
        <v>3.0460715047967106</v>
      </c>
      <c r="DT15" s="16">
        <f t="shared" si="7"/>
        <v>41.5</v>
      </c>
      <c r="DU15" s="16">
        <f t="shared" si="8"/>
        <v>58.5</v>
      </c>
      <c r="DV15" s="16">
        <f t="shared" si="9"/>
        <v>62.5</v>
      </c>
      <c r="DX15" s="197">
        <f t="shared" si="34"/>
        <v>0.27599947089947086</v>
      </c>
      <c r="DY15" s="197">
        <f t="shared" si="35"/>
        <v>0.93702399999999997</v>
      </c>
      <c r="DZ15" s="222">
        <f t="shared" si="36"/>
        <v>3.3306744680851068</v>
      </c>
      <c r="EA15" s="192">
        <f t="shared" si="37"/>
        <v>1.9370240000000001</v>
      </c>
      <c r="EB15" s="197">
        <f t="shared" si="38"/>
        <v>6.3952016949152526</v>
      </c>
      <c r="EC15" s="192">
        <f t="shared" si="39"/>
        <v>3.9370240000000001</v>
      </c>
      <c r="ED15" s="197">
        <f t="shared" si="40"/>
        <v>9.4542818181818209</v>
      </c>
      <c r="EE15" s="192">
        <f t="shared" si="41"/>
        <v>5.9370240000000001</v>
      </c>
      <c r="EF15" s="197">
        <f t="shared" si="42"/>
        <v>12.522629411764706</v>
      </c>
      <c r="EG15" s="197">
        <f t="shared" si="43"/>
        <v>3.9370240000000001</v>
      </c>
      <c r="EH15" s="222">
        <f t="shared" si="44"/>
        <v>15.574479310344829</v>
      </c>
      <c r="EI15" s="192">
        <f t="shared" si="27"/>
        <v>6.9370240000000001</v>
      </c>
      <c r="EJ15" s="197">
        <f t="shared" si="45"/>
        <v>18.647933333333338</v>
      </c>
      <c r="EK15" s="192">
        <f t="shared" si="28"/>
        <v>1.9370240000000001</v>
      </c>
      <c r="EL15" s="197">
        <f t="shared" si="46"/>
        <v>21.647933333333338</v>
      </c>
      <c r="EM15" s="192">
        <f t="shared" si="29"/>
        <v>1.9370240000000001</v>
      </c>
      <c r="EN15" s="197">
        <f t="shared" si="47"/>
        <v>24.760047368421052</v>
      </c>
      <c r="EO15" s="197">
        <f t="shared" si="30"/>
        <v>0.93702399999999997</v>
      </c>
      <c r="EP15" s="222" t="e">
        <f t="shared" si="48"/>
        <v>#N/A</v>
      </c>
      <c r="EQ15" s="192">
        <f t="shared" si="31"/>
        <v>0</v>
      </c>
      <c r="ER15" s="197">
        <f t="shared" si="49"/>
        <v>30.760047368421052</v>
      </c>
      <c r="ES15" s="192">
        <f t="shared" si="32"/>
        <v>0.93702399999999997</v>
      </c>
      <c r="ET15" s="197">
        <f t="shared" si="50"/>
        <v>33.952242857142856</v>
      </c>
      <c r="EU15" s="192">
        <f t="shared" si="33"/>
        <v>0.93702399999999997</v>
      </c>
      <c r="EV15" s="197" t="e">
        <f t="shared" si="51"/>
        <v>#N/A</v>
      </c>
      <c r="EW15" s="197">
        <f t="shared" si="52"/>
        <v>0</v>
      </c>
      <c r="EX15" s="222" t="e">
        <f t="shared" si="53"/>
        <v>#N/A</v>
      </c>
      <c r="EY15" s="192">
        <f t="shared" si="54"/>
        <v>0</v>
      </c>
      <c r="EZ15" s="197" t="e">
        <f t="shared" si="55"/>
        <v>#N/A</v>
      </c>
      <c r="FA15" s="192">
        <f t="shared" si="56"/>
        <v>0</v>
      </c>
      <c r="FB15" s="197" t="e">
        <f t="shared" si="57"/>
        <v>#N/A</v>
      </c>
      <c r="FC15" s="192">
        <f t="shared" si="58"/>
        <v>0</v>
      </c>
      <c r="FD15" s="197" t="e">
        <f t="shared" si="59"/>
        <v>#N/A</v>
      </c>
      <c r="FE15" s="197">
        <f t="shared" si="60"/>
        <v>0</v>
      </c>
      <c r="FF15" s="222" t="e">
        <f t="shared" si="61"/>
        <v>#N/A</v>
      </c>
      <c r="FG15" s="192">
        <f t="shared" si="62"/>
        <v>0</v>
      </c>
      <c r="FH15" s="197" t="e">
        <f t="shared" si="63"/>
        <v>#N/A</v>
      </c>
      <c r="FI15" s="192">
        <f t="shared" si="64"/>
        <v>0</v>
      </c>
      <c r="FJ15" s="197" t="e">
        <f t="shared" si="65"/>
        <v>#N/A</v>
      </c>
      <c r="FK15" s="192">
        <f t="shared" si="66"/>
        <v>0</v>
      </c>
      <c r="FL15" s="197" t="e">
        <f t="shared" si="67"/>
        <v>#N/A</v>
      </c>
      <c r="FM15" s="197">
        <f t="shared" si="68"/>
        <v>0</v>
      </c>
      <c r="FN15" s="222" t="e">
        <f t="shared" si="69"/>
        <v>#N/A</v>
      </c>
      <c r="FO15" s="192">
        <f t="shared" si="70"/>
        <v>0</v>
      </c>
      <c r="FP15" s="197" t="e">
        <f t="shared" si="71"/>
        <v>#N/A</v>
      </c>
      <c r="FQ15" s="192">
        <f t="shared" si="72"/>
        <v>0</v>
      </c>
      <c r="FR15" s="197" t="e">
        <f t="shared" si="73"/>
        <v>#N/A</v>
      </c>
      <c r="FS15" s="192">
        <f t="shared" si="74"/>
        <v>0</v>
      </c>
      <c r="FT15" s="197" t="e">
        <f t="shared" si="75"/>
        <v>#N/A</v>
      </c>
      <c r="FU15" s="197">
        <f t="shared" si="76"/>
        <v>0</v>
      </c>
      <c r="FV15" s="222" t="e">
        <f t="shared" si="77"/>
        <v>#N/A</v>
      </c>
      <c r="FW15" s="192">
        <f t="shared" si="78"/>
        <v>0</v>
      </c>
      <c r="FX15" s="197" t="e">
        <f t="shared" si="79"/>
        <v>#N/A</v>
      </c>
      <c r="FY15" s="192">
        <f t="shared" si="80"/>
        <v>0</v>
      </c>
      <c r="FZ15" s="197" t="e">
        <f t="shared" si="81"/>
        <v>#N/A</v>
      </c>
      <c r="GA15" s="192">
        <f t="shared" si="82"/>
        <v>0</v>
      </c>
      <c r="GB15" s="222" t="e">
        <f t="shared" si="83"/>
        <v>#N/A</v>
      </c>
      <c r="GC15" s="192">
        <f t="shared" si="84"/>
        <v>0</v>
      </c>
      <c r="GD15" s="197" t="e">
        <f t="shared" si="85"/>
        <v>#N/A</v>
      </c>
      <c r="GE15" s="192">
        <f t="shared" si="86"/>
        <v>0</v>
      </c>
    </row>
    <row r="16" spans="1:187" ht="11.25" customHeight="1">
      <c r="A16" s="259"/>
      <c r="B16" s="260"/>
      <c r="C16" s="270" t="s">
        <v>836</v>
      </c>
      <c r="D16" s="260"/>
      <c r="E16" s="466">
        <v>15</v>
      </c>
      <c r="F16" s="474">
        <v>17.7</v>
      </c>
      <c r="G16" s="145"/>
      <c r="H16" s="223">
        <f t="shared" ca="1" si="10"/>
        <v>12.8</v>
      </c>
      <c r="I16" s="202">
        <f t="shared" ca="1" si="2"/>
        <v>15</v>
      </c>
      <c r="J16" s="30"/>
      <c r="K16" s="248">
        <f t="shared" si="26"/>
        <v>27</v>
      </c>
      <c r="L16" s="248">
        <f t="shared" si="24"/>
        <v>0</v>
      </c>
      <c r="M16" s="30"/>
      <c r="N16" s="440">
        <v>7</v>
      </c>
      <c r="O16" s="286" t="s">
        <v>766</v>
      </c>
      <c r="P16" s="287"/>
      <c r="Q16" s="287"/>
      <c r="R16" s="337"/>
      <c r="S16" s="179">
        <f t="shared" si="3"/>
        <v>1.1017000000000001E-2</v>
      </c>
      <c r="T16" s="224">
        <f ca="1">IF(OFFSET($F$14,Xscrollcount,0)="","",OFFSET($F$14,Xscrollcount,0))</f>
        <v>16.7</v>
      </c>
      <c r="U16" s="185" t="s">
        <v>653</v>
      </c>
      <c r="V16" s="16">
        <f>IF(X3=0,NA(),INDEX(DE3:DH32,kbins,V15))</f>
        <v>20</v>
      </c>
      <c r="W16" s="271"/>
      <c r="X16" s="257" t="s">
        <v>664</v>
      </c>
      <c r="Y16" s="192">
        <f>IF(X3=0,COUNT(data300x)+1,MAX(L7:L36))</f>
        <v>7</v>
      </c>
      <c r="Z16" s="272"/>
      <c r="AA16" s="222">
        <v>3</v>
      </c>
      <c r="AB16" s="197" t="e">
        <f t="shared" si="4"/>
        <v>#N/A</v>
      </c>
      <c r="AC16" s="197">
        <f t="shared" si="16"/>
        <v>7.8</v>
      </c>
      <c r="AD16" s="197">
        <v>18</v>
      </c>
      <c r="AE16" s="192" t="e">
        <f>IF(AND(AB16&gt;XaxisL,AB16&lt;XaxisU),"z=3","")</f>
        <v>#N/A</v>
      </c>
      <c r="AH16"/>
      <c r="AJ16" s="180">
        <f t="shared" si="1"/>
        <v>1.1017000000000001E-2</v>
      </c>
      <c r="AV16" s="197"/>
      <c r="AW16" s="16" t="s">
        <v>733</v>
      </c>
      <c r="BI16" s="621">
        <v>8</v>
      </c>
      <c r="BJ16" s="622">
        <v>2.9</v>
      </c>
      <c r="BK16" s="623"/>
      <c r="BL16" s="1109"/>
      <c r="BM16" s="1109"/>
      <c r="BN16" s="24"/>
      <c r="BP16" s="621">
        <v>8</v>
      </c>
      <c r="BQ16" s="622">
        <v>17.7</v>
      </c>
      <c r="BR16" s="623"/>
      <c r="BS16" s="1109"/>
      <c r="BT16" s="1109"/>
      <c r="BU16" s="24"/>
      <c r="BW16" s="621">
        <v>8</v>
      </c>
      <c r="BX16" s="622">
        <v>9.6</v>
      </c>
      <c r="BY16" s="623"/>
      <c r="BZ16" s="1109"/>
      <c r="CA16" s="1109"/>
      <c r="CB16" s="24"/>
      <c r="CT16" s="16" t="e">
        <f t="shared" si="17"/>
        <v>#N/A</v>
      </c>
      <c r="CU16" s="197" t="e">
        <f t="shared" si="18"/>
        <v>#N/A</v>
      </c>
      <c r="CV16" s="197" t="e">
        <f t="shared" si="19"/>
        <v>#N/A</v>
      </c>
      <c r="CW16" s="197">
        <v>13</v>
      </c>
      <c r="CX16" s="197">
        <f t="shared" si="11"/>
        <v>12</v>
      </c>
      <c r="CY16" s="197">
        <f t="shared" si="12"/>
        <v>11.727999999999998</v>
      </c>
      <c r="CZ16" s="197">
        <f t="shared" si="13"/>
        <v>1.677</v>
      </c>
      <c r="DA16" s="197">
        <f t="shared" si="20"/>
        <v>1.677</v>
      </c>
      <c r="DB16" s="16">
        <f t="shared" si="14"/>
        <v>24</v>
      </c>
      <c r="DC16" s="16">
        <f>IF(ISNUMBER(CX16),COUNTIF($DB$4:DB16,DB16)-1,NA())</f>
        <v>1</v>
      </c>
      <c r="DD16" s="222">
        <v>14</v>
      </c>
      <c r="DE16" s="197">
        <v>10</v>
      </c>
      <c r="DF16" s="197">
        <v>20</v>
      </c>
      <c r="DG16" s="197">
        <v>50</v>
      </c>
      <c r="DH16" s="192">
        <v>100</v>
      </c>
      <c r="DI16" s="16">
        <f t="shared" si="15"/>
        <v>39</v>
      </c>
      <c r="DJ16" s="192">
        <v>0</v>
      </c>
      <c r="DK16" s="16">
        <v>5</v>
      </c>
      <c r="DL16" s="16">
        <f>IF($X$3=0,NA(),IF(kbins&lt;DK16,NA(),$DI$7))</f>
        <v>12</v>
      </c>
      <c r="DM16" s="192">
        <f>$DJ$7</f>
        <v>4</v>
      </c>
      <c r="DN16" s="238" t="e">
        <f t="shared" si="21"/>
        <v>#N/A</v>
      </c>
      <c r="DO16" s="192">
        <v>0</v>
      </c>
      <c r="DP16" s="16">
        <f t="shared" si="22"/>
        <v>0.43110081553459167</v>
      </c>
      <c r="DQ16" s="16">
        <v>14</v>
      </c>
      <c r="DR16" s="16">
        <f t="shared" si="5"/>
        <v>48.3</v>
      </c>
      <c r="DS16" s="16">
        <f t="shared" si="6"/>
        <v>2.1652673390177992</v>
      </c>
      <c r="DT16" s="16">
        <f t="shared" si="7"/>
        <v>53.9</v>
      </c>
      <c r="DU16" s="16">
        <f t="shared" si="8"/>
        <v>46.1</v>
      </c>
      <c r="DV16" s="16">
        <f t="shared" si="9"/>
        <v>47.6</v>
      </c>
      <c r="DW16" s="266" t="s">
        <v>750</v>
      </c>
      <c r="DX16" s="197">
        <f t="shared" si="34"/>
        <v>0.28952433862433857</v>
      </c>
      <c r="DY16" s="197">
        <f t="shared" si="35"/>
        <v>0.93702399999999997</v>
      </c>
      <c r="DZ16" s="222">
        <f t="shared" si="36"/>
        <v>3.3578680851063836</v>
      </c>
      <c r="EA16" s="192">
        <f t="shared" si="37"/>
        <v>1.9370240000000001</v>
      </c>
      <c r="EB16" s="197">
        <f t="shared" si="38"/>
        <v>6.4385271186440658</v>
      </c>
      <c r="EC16" s="192">
        <f t="shared" si="39"/>
        <v>3.9370240000000001</v>
      </c>
      <c r="ED16" s="197">
        <f t="shared" si="40"/>
        <v>9.5123772727272762</v>
      </c>
      <c r="EE16" s="192">
        <f t="shared" si="41"/>
        <v>5.9370240000000001</v>
      </c>
      <c r="EF16" s="197">
        <f t="shared" si="42"/>
        <v>12.597811764705883</v>
      </c>
      <c r="EG16" s="197">
        <f t="shared" si="43"/>
        <v>3.9370240000000001</v>
      </c>
      <c r="EH16" s="222">
        <f t="shared" si="44"/>
        <v>15.662624137931036</v>
      </c>
      <c r="EI16" s="192">
        <f t="shared" si="27"/>
        <v>6.9370240000000001</v>
      </c>
      <c r="EJ16" s="197">
        <f t="shared" si="45"/>
        <v>18.754441666666672</v>
      </c>
      <c r="EK16" s="192">
        <f t="shared" si="28"/>
        <v>1.9370240000000001</v>
      </c>
      <c r="EL16" s="197">
        <f t="shared" si="46"/>
        <v>21.754441666666672</v>
      </c>
      <c r="EM16" s="192">
        <f t="shared" si="29"/>
        <v>1.9370240000000001</v>
      </c>
      <c r="EN16" s="197">
        <f t="shared" si="47"/>
        <v>24.894584210526315</v>
      </c>
      <c r="EO16" s="197">
        <f t="shared" si="30"/>
        <v>0.93702399999999997</v>
      </c>
      <c r="EP16" s="222" t="e">
        <f t="shared" si="48"/>
        <v>#N/A</v>
      </c>
      <c r="EQ16" s="192">
        <f t="shared" si="31"/>
        <v>0</v>
      </c>
      <c r="ER16" s="197">
        <f t="shared" si="49"/>
        <v>30.894584210526315</v>
      </c>
      <c r="ES16" s="192">
        <f t="shared" si="32"/>
        <v>0.93702399999999997</v>
      </c>
      <c r="ET16" s="197">
        <f t="shared" si="50"/>
        <v>34.134828571428571</v>
      </c>
      <c r="EU16" s="192">
        <f t="shared" si="33"/>
        <v>0.93702399999999997</v>
      </c>
      <c r="EV16" s="197" t="e">
        <f t="shared" si="51"/>
        <v>#N/A</v>
      </c>
      <c r="EW16" s="197">
        <f t="shared" si="52"/>
        <v>0</v>
      </c>
      <c r="EX16" s="222" t="e">
        <f t="shared" si="53"/>
        <v>#N/A</v>
      </c>
      <c r="EY16" s="192">
        <f t="shared" si="54"/>
        <v>0</v>
      </c>
      <c r="EZ16" s="197" t="e">
        <f t="shared" si="55"/>
        <v>#N/A</v>
      </c>
      <c r="FA16" s="192">
        <f t="shared" si="56"/>
        <v>0</v>
      </c>
      <c r="FB16" s="197" t="e">
        <f t="shared" si="57"/>
        <v>#N/A</v>
      </c>
      <c r="FC16" s="192">
        <f t="shared" si="58"/>
        <v>0</v>
      </c>
      <c r="FD16" s="197" t="e">
        <f t="shared" si="59"/>
        <v>#N/A</v>
      </c>
      <c r="FE16" s="197">
        <f t="shared" si="60"/>
        <v>0</v>
      </c>
      <c r="FF16" s="222" t="e">
        <f t="shared" si="61"/>
        <v>#N/A</v>
      </c>
      <c r="FG16" s="192">
        <f t="shared" si="62"/>
        <v>0</v>
      </c>
      <c r="FH16" s="197" t="e">
        <f t="shared" si="63"/>
        <v>#N/A</v>
      </c>
      <c r="FI16" s="192">
        <f t="shared" si="64"/>
        <v>0</v>
      </c>
      <c r="FJ16" s="197" t="e">
        <f t="shared" si="65"/>
        <v>#N/A</v>
      </c>
      <c r="FK16" s="192">
        <f t="shared" si="66"/>
        <v>0</v>
      </c>
      <c r="FL16" s="197" t="e">
        <f t="shared" si="67"/>
        <v>#N/A</v>
      </c>
      <c r="FM16" s="197">
        <f t="shared" si="68"/>
        <v>0</v>
      </c>
      <c r="FN16" s="222" t="e">
        <f t="shared" si="69"/>
        <v>#N/A</v>
      </c>
      <c r="FO16" s="192">
        <f t="shared" si="70"/>
        <v>0</v>
      </c>
      <c r="FP16" s="197" t="e">
        <f t="shared" si="71"/>
        <v>#N/A</v>
      </c>
      <c r="FQ16" s="192">
        <f t="shared" si="72"/>
        <v>0</v>
      </c>
      <c r="FR16" s="197" t="e">
        <f t="shared" si="73"/>
        <v>#N/A</v>
      </c>
      <c r="FS16" s="192">
        <f t="shared" si="74"/>
        <v>0</v>
      </c>
      <c r="FT16" s="197" t="e">
        <f t="shared" si="75"/>
        <v>#N/A</v>
      </c>
      <c r="FU16" s="197">
        <f t="shared" si="76"/>
        <v>0</v>
      </c>
      <c r="FV16" s="222" t="e">
        <f t="shared" si="77"/>
        <v>#N/A</v>
      </c>
      <c r="FW16" s="192">
        <f t="shared" si="78"/>
        <v>0</v>
      </c>
      <c r="FX16" s="197" t="e">
        <f t="shared" si="79"/>
        <v>#N/A</v>
      </c>
      <c r="FY16" s="192">
        <f t="shared" si="80"/>
        <v>0</v>
      </c>
      <c r="FZ16" s="197" t="e">
        <f t="shared" si="81"/>
        <v>#N/A</v>
      </c>
      <c r="GA16" s="192">
        <f t="shared" si="82"/>
        <v>0</v>
      </c>
      <c r="GB16" s="222" t="e">
        <f t="shared" si="83"/>
        <v>#N/A</v>
      </c>
      <c r="GC16" s="192">
        <f t="shared" si="84"/>
        <v>0</v>
      </c>
      <c r="GD16" s="197" t="e">
        <f t="shared" si="85"/>
        <v>#N/A</v>
      </c>
      <c r="GE16" s="192">
        <f t="shared" si="86"/>
        <v>0</v>
      </c>
    </row>
    <row r="17" spans="1:187" ht="11.25" customHeight="1">
      <c r="A17" s="279"/>
      <c r="B17" s="279"/>
      <c r="C17" s="279"/>
      <c r="D17" s="279"/>
      <c r="E17" s="466">
        <v>16</v>
      </c>
      <c r="F17" s="474">
        <v>8.6999999999999993</v>
      </c>
      <c r="G17" s="145"/>
      <c r="H17" s="223">
        <f t="shared" ca="1" si="10"/>
        <v>12.8</v>
      </c>
      <c r="I17" s="202">
        <f t="shared" ca="1" si="2"/>
        <v>16</v>
      </c>
      <c r="J17" s="30"/>
      <c r="K17" s="248">
        <f t="shared" si="26"/>
        <v>30</v>
      </c>
      <c r="L17" s="248">
        <f t="shared" si="24"/>
        <v>1</v>
      </c>
      <c r="M17" s="30"/>
      <c r="N17" s="290"/>
      <c r="O17" s="336" t="s">
        <v>833</v>
      </c>
      <c r="P17" s="228"/>
      <c r="Q17" s="228"/>
      <c r="R17" s="338"/>
      <c r="S17" s="179">
        <f t="shared" si="3"/>
        <v>1.1017000000000001E-2</v>
      </c>
      <c r="T17" s="224">
        <f ca="1">IF(OFFSET($F$15,Xscrollcount,0)="","",OFFSET($F$15,Xscrollcount,0))</f>
        <v>17.7</v>
      </c>
      <c r="U17" s="273" t="s">
        <v>624</v>
      </c>
      <c r="V17" s="25">
        <f>IF(X3=0,NA(),V10/V16)</f>
        <v>0.5</v>
      </c>
      <c r="W17" s="271"/>
      <c r="X17" s="257" t="s">
        <v>666</v>
      </c>
      <c r="Y17" s="192">
        <f>IF(C14=0,1,IF(Y16&lt;=10,1,IF(Y16&lt;=24,2,IF(Y16&lt;=50,5,IF(Y16&lt;=120,10,20)))))</f>
        <v>1</v>
      </c>
      <c r="AA17" s="222">
        <v>4</v>
      </c>
      <c r="AB17" s="197" t="e">
        <f t="shared" si="4"/>
        <v>#N/A</v>
      </c>
      <c r="AC17" s="197">
        <f t="shared" si="16"/>
        <v>7.8</v>
      </c>
      <c r="AD17" s="197">
        <v>18</v>
      </c>
      <c r="AE17" s="192" t="e">
        <f>IF(AND(AB17&gt;XaxisL,AB17&lt;XaxisU),"z=4","")</f>
        <v>#N/A</v>
      </c>
      <c r="AH17"/>
      <c r="AJ17" s="180">
        <f t="shared" ref="AJ17:AJ37" si="87">$S$1</f>
        <v>1.1017000000000001E-2</v>
      </c>
      <c r="AV17" s="197"/>
      <c r="AW17" s="211">
        <v>2219</v>
      </c>
      <c r="BI17" s="621">
        <v>9</v>
      </c>
      <c r="BJ17" s="622">
        <v>14.4</v>
      </c>
      <c r="BK17" s="623"/>
      <c r="BL17" s="1109"/>
      <c r="BM17" s="1109"/>
      <c r="BN17" s="24"/>
      <c r="BP17" s="621">
        <v>9</v>
      </c>
      <c r="BQ17" s="622">
        <v>15.4</v>
      </c>
      <c r="BR17" s="623"/>
      <c r="BS17" s="1109"/>
      <c r="BT17" s="1109"/>
      <c r="BU17" s="24"/>
      <c r="BW17" s="621">
        <v>9</v>
      </c>
      <c r="BX17" s="622">
        <v>9.3000000000000007</v>
      </c>
      <c r="BY17" s="623"/>
      <c r="BZ17" s="1109"/>
      <c r="CA17" s="1109"/>
      <c r="CB17" s="24"/>
      <c r="CS17" s="16">
        <f>X6*AW17/500000</f>
        <v>0.22189999999999999</v>
      </c>
      <c r="CT17" s="16" t="e">
        <f t="shared" si="17"/>
        <v>#N/A</v>
      </c>
      <c r="CU17" s="197" t="e">
        <f t="shared" si="18"/>
        <v>#N/A</v>
      </c>
      <c r="CV17" s="197" t="e">
        <f t="shared" si="19"/>
        <v>#N/A</v>
      </c>
      <c r="CW17" s="197">
        <v>14</v>
      </c>
      <c r="CX17" s="197">
        <f t="shared" si="11"/>
        <v>12.8</v>
      </c>
      <c r="CY17" s="197">
        <f t="shared" si="12"/>
        <v>13.122</v>
      </c>
      <c r="CZ17" s="197">
        <f t="shared" si="13"/>
        <v>0.55900000000000005</v>
      </c>
      <c r="DA17" s="197">
        <f t="shared" si="20"/>
        <v>0.55900000000000005</v>
      </c>
      <c r="DB17" s="16">
        <f t="shared" si="14"/>
        <v>26</v>
      </c>
      <c r="DC17" s="16">
        <f>IF(ISNUMBER(CX17),COUNTIF($DB$4:DB17,DB17)-1,NA())</f>
        <v>0</v>
      </c>
      <c r="DD17" s="222">
        <v>15</v>
      </c>
      <c r="DE17" s="197">
        <v>10</v>
      </c>
      <c r="DF17" s="197">
        <v>20</v>
      </c>
      <c r="DG17" s="197">
        <v>50</v>
      </c>
      <c r="DH17" s="192">
        <v>100</v>
      </c>
      <c r="DI17" s="16">
        <f t="shared" si="15"/>
        <v>42</v>
      </c>
      <c r="DJ17" s="192">
        <v>0</v>
      </c>
      <c r="DK17" s="16">
        <v>5</v>
      </c>
      <c r="DL17" s="16">
        <f>IF($X$3=0,NA(),IF(kbins&lt;DK17,NA(),$DI$8))</f>
        <v>15</v>
      </c>
      <c r="DM17" s="192">
        <f>$DJ$7</f>
        <v>4</v>
      </c>
      <c r="DN17" s="238" t="e">
        <f t="shared" si="21"/>
        <v>#N/A</v>
      </c>
      <c r="DO17" s="192">
        <v>0</v>
      </c>
      <c r="DP17" s="16">
        <f t="shared" si="22"/>
        <v>0.75965651869773865</v>
      </c>
      <c r="DQ17" s="16">
        <v>15</v>
      </c>
      <c r="DR17" s="16">
        <f t="shared" si="5"/>
        <v>57.1</v>
      </c>
      <c r="DS17" s="16">
        <f t="shared" si="6"/>
        <v>2.7804065950268182</v>
      </c>
      <c r="DT17" s="16">
        <f t="shared" si="7"/>
        <v>46.5</v>
      </c>
      <c r="DU17" s="16">
        <f t="shared" si="8"/>
        <v>53.5</v>
      </c>
      <c r="DV17" s="16">
        <f t="shared" si="9"/>
        <v>59</v>
      </c>
      <c r="DW17" s="221" t="s">
        <v>829</v>
      </c>
      <c r="DX17" s="197">
        <f t="shared" si="34"/>
        <v>0.30304920634920629</v>
      </c>
      <c r="DY17" s="197">
        <f t="shared" si="35"/>
        <v>0.93702399999999997</v>
      </c>
      <c r="DZ17" s="222">
        <f t="shared" si="36"/>
        <v>3.3850617021276603</v>
      </c>
      <c r="EA17" s="192">
        <f t="shared" si="37"/>
        <v>1.9370240000000001</v>
      </c>
      <c r="EB17" s="197">
        <f t="shared" si="38"/>
        <v>6.481852542372879</v>
      </c>
      <c r="EC17" s="192">
        <f t="shared" si="39"/>
        <v>3.9370240000000001</v>
      </c>
      <c r="ED17" s="197">
        <f t="shared" si="40"/>
        <v>9.5704727272727315</v>
      </c>
      <c r="EE17" s="192">
        <f t="shared" si="41"/>
        <v>5.9370240000000001</v>
      </c>
      <c r="EF17" s="197">
        <f t="shared" si="42"/>
        <v>12.672994117647059</v>
      </c>
      <c r="EG17" s="197">
        <f t="shared" si="43"/>
        <v>3.9370240000000001</v>
      </c>
      <c r="EH17" s="222">
        <f t="shared" si="44"/>
        <v>15.750768965517244</v>
      </c>
      <c r="EI17" s="192">
        <f t="shared" si="27"/>
        <v>6.9370240000000001</v>
      </c>
      <c r="EJ17" s="197">
        <f t="shared" si="45"/>
        <v>18.860950000000006</v>
      </c>
      <c r="EK17" s="192">
        <f t="shared" si="28"/>
        <v>1.9370240000000001</v>
      </c>
      <c r="EL17" s="197">
        <f t="shared" si="46"/>
        <v>21.860950000000006</v>
      </c>
      <c r="EM17" s="192">
        <f t="shared" si="29"/>
        <v>1.9370240000000001</v>
      </c>
      <c r="EN17" s="197">
        <f t="shared" si="47"/>
        <v>25.029121052631577</v>
      </c>
      <c r="EO17" s="197">
        <f t="shared" si="30"/>
        <v>0.93702399999999997</v>
      </c>
      <c r="EP17" s="222" t="e">
        <f t="shared" si="48"/>
        <v>#N/A</v>
      </c>
      <c r="EQ17" s="192">
        <f t="shared" si="31"/>
        <v>0</v>
      </c>
      <c r="ER17" s="197">
        <f t="shared" si="49"/>
        <v>31.029121052631577</v>
      </c>
      <c r="ES17" s="192">
        <f t="shared" si="32"/>
        <v>0.93702399999999997</v>
      </c>
      <c r="ET17" s="197">
        <f t="shared" si="50"/>
        <v>34.317414285714285</v>
      </c>
      <c r="EU17" s="192">
        <f t="shared" si="33"/>
        <v>0.93702399999999997</v>
      </c>
      <c r="EV17" s="197" t="e">
        <f t="shared" si="51"/>
        <v>#N/A</v>
      </c>
      <c r="EW17" s="197">
        <f t="shared" si="52"/>
        <v>0</v>
      </c>
      <c r="EX17" s="222" t="e">
        <f t="shared" si="53"/>
        <v>#N/A</v>
      </c>
      <c r="EY17" s="192">
        <f t="shared" si="54"/>
        <v>0</v>
      </c>
      <c r="EZ17" s="197" t="e">
        <f t="shared" si="55"/>
        <v>#N/A</v>
      </c>
      <c r="FA17" s="192">
        <f t="shared" si="56"/>
        <v>0</v>
      </c>
      <c r="FB17" s="197" t="e">
        <f t="shared" si="57"/>
        <v>#N/A</v>
      </c>
      <c r="FC17" s="192">
        <f t="shared" si="58"/>
        <v>0</v>
      </c>
      <c r="FD17" s="197" t="e">
        <f t="shared" si="59"/>
        <v>#N/A</v>
      </c>
      <c r="FE17" s="197">
        <f t="shared" si="60"/>
        <v>0</v>
      </c>
      <c r="FF17" s="222" t="e">
        <f t="shared" si="61"/>
        <v>#N/A</v>
      </c>
      <c r="FG17" s="192">
        <f t="shared" si="62"/>
        <v>0</v>
      </c>
      <c r="FH17" s="197" t="e">
        <f t="shared" si="63"/>
        <v>#N/A</v>
      </c>
      <c r="FI17" s="192">
        <f t="shared" si="64"/>
        <v>0</v>
      </c>
      <c r="FJ17" s="197" t="e">
        <f t="shared" si="65"/>
        <v>#N/A</v>
      </c>
      <c r="FK17" s="192">
        <f t="shared" si="66"/>
        <v>0</v>
      </c>
      <c r="FL17" s="197" t="e">
        <f t="shared" si="67"/>
        <v>#N/A</v>
      </c>
      <c r="FM17" s="197">
        <f t="shared" si="68"/>
        <v>0</v>
      </c>
      <c r="FN17" s="222" t="e">
        <f t="shared" si="69"/>
        <v>#N/A</v>
      </c>
      <c r="FO17" s="192">
        <f t="shared" si="70"/>
        <v>0</v>
      </c>
      <c r="FP17" s="197" t="e">
        <f t="shared" si="71"/>
        <v>#N/A</v>
      </c>
      <c r="FQ17" s="192">
        <f t="shared" si="72"/>
        <v>0</v>
      </c>
      <c r="FR17" s="197" t="e">
        <f t="shared" si="73"/>
        <v>#N/A</v>
      </c>
      <c r="FS17" s="192">
        <f t="shared" si="74"/>
        <v>0</v>
      </c>
      <c r="FT17" s="197" t="e">
        <f t="shared" si="75"/>
        <v>#N/A</v>
      </c>
      <c r="FU17" s="197">
        <f t="shared" si="76"/>
        <v>0</v>
      </c>
      <c r="FV17" s="222" t="e">
        <f t="shared" si="77"/>
        <v>#N/A</v>
      </c>
      <c r="FW17" s="192">
        <f t="shared" si="78"/>
        <v>0</v>
      </c>
      <c r="FX17" s="197" t="e">
        <f t="shared" si="79"/>
        <v>#N/A</v>
      </c>
      <c r="FY17" s="192">
        <f t="shared" si="80"/>
        <v>0</v>
      </c>
      <c r="FZ17" s="197" t="e">
        <f t="shared" si="81"/>
        <v>#N/A</v>
      </c>
      <c r="GA17" s="192">
        <f t="shared" si="82"/>
        <v>0</v>
      </c>
      <c r="GB17" s="222" t="e">
        <f t="shared" si="83"/>
        <v>#N/A</v>
      </c>
      <c r="GC17" s="192">
        <f t="shared" si="84"/>
        <v>0</v>
      </c>
      <c r="GD17" s="197" t="e">
        <f t="shared" si="85"/>
        <v>#N/A</v>
      </c>
      <c r="GE17" s="192">
        <f t="shared" si="86"/>
        <v>0</v>
      </c>
    </row>
    <row r="18" spans="1:187" ht="11.25" customHeight="1">
      <c r="A18" s="259"/>
      <c r="B18" s="270" t="s">
        <v>866</v>
      </c>
      <c r="C18" s="197">
        <f>IF($V$35,V32,"")</f>
        <v>14.519354838709676</v>
      </c>
      <c r="D18" s="260" t="str">
        <f>IF(ISBLANK($C$7),"",$C$7)</f>
        <v>Transcription %</v>
      </c>
      <c r="E18" s="466">
        <v>17</v>
      </c>
      <c r="F18" s="474">
        <v>26.4</v>
      </c>
      <c r="G18" s="145"/>
      <c r="H18" s="223">
        <f t="shared" ca="1" si="10"/>
        <v>13.7</v>
      </c>
      <c r="I18" s="202">
        <f t="shared" ca="1" si="2"/>
        <v>17</v>
      </c>
      <c r="J18" s="30"/>
      <c r="K18" s="248">
        <f t="shared" si="26"/>
        <v>33</v>
      </c>
      <c r="L18" s="248">
        <f t="shared" si="24"/>
        <v>1</v>
      </c>
      <c r="M18" s="30"/>
      <c r="N18" s="290"/>
      <c r="O18" s="228"/>
      <c r="P18" s="228"/>
      <c r="Q18" s="228"/>
      <c r="R18" s="338"/>
      <c r="S18" s="179">
        <f t="shared" si="3"/>
        <v>1.1017000000000001E-2</v>
      </c>
      <c r="T18" s="224">
        <f ca="1">IF(OFFSET($F$16,Xscrollcount,0)="","",OFFSET($F$16,Xscrollcount,0))</f>
        <v>8.6999999999999993</v>
      </c>
      <c r="U18" s="185" t="s">
        <v>625</v>
      </c>
      <c r="V18" s="16">
        <f>IF(C14=0,NA(),IF(X3=0,1,CEILING((X7)/kbins,V17)))</f>
        <v>3</v>
      </c>
      <c r="W18" s="271"/>
      <c r="X18" s="257" t="s">
        <v>665</v>
      </c>
      <c r="Y18" s="192">
        <f>IF(C14=0,1,IF(Y16&lt;=50,1,5))</f>
        <v>1</v>
      </c>
      <c r="AA18" s="222">
        <v>5</v>
      </c>
      <c r="AB18" s="197" t="e">
        <f t="shared" si="4"/>
        <v>#N/A</v>
      </c>
      <c r="AC18" s="197">
        <f t="shared" si="16"/>
        <v>7.8</v>
      </c>
      <c r="AD18" s="197">
        <v>18</v>
      </c>
      <c r="AE18" s="192" t="e">
        <f>IF(AND(AB18&gt;XaxisL,AB18&lt;XaxisU),"z=5","")</f>
        <v>#N/A</v>
      </c>
      <c r="AH18"/>
      <c r="AJ18" s="180">
        <f t="shared" si="87"/>
        <v>1.1017000000000001E-2</v>
      </c>
      <c r="AV18" s="197"/>
      <c r="BI18" s="621">
        <v>10</v>
      </c>
      <c r="BJ18" s="622">
        <v>8.4</v>
      </c>
      <c r="BK18" s="623"/>
      <c r="BL18" s="1109"/>
      <c r="BM18" s="1109"/>
      <c r="BN18" s="24"/>
      <c r="BP18" s="621">
        <v>10</v>
      </c>
      <c r="BQ18" s="622">
        <v>8.6999999999999993</v>
      </c>
      <c r="BR18" s="623"/>
      <c r="BS18" s="1109"/>
      <c r="BT18" s="1109"/>
      <c r="BU18" s="24"/>
      <c r="BW18" s="621">
        <v>10</v>
      </c>
      <c r="BX18" s="622">
        <v>17.7</v>
      </c>
      <c r="BY18" s="623"/>
      <c r="BZ18" s="1109"/>
      <c r="CA18" s="1109"/>
      <c r="CB18" s="24"/>
      <c r="CT18" s="16" t="e">
        <f t="shared" si="17"/>
        <v>#N/A</v>
      </c>
      <c r="CU18" s="197" t="e">
        <f t="shared" si="18"/>
        <v>#N/A</v>
      </c>
      <c r="CV18" s="197" t="e">
        <f t="shared" si="19"/>
        <v>#N/A</v>
      </c>
      <c r="CW18" s="197">
        <v>15</v>
      </c>
      <c r="CX18" s="197">
        <f t="shared" si="11"/>
        <v>12.8</v>
      </c>
      <c r="CY18" s="197">
        <f t="shared" si="12"/>
        <v>13.122</v>
      </c>
      <c r="CZ18" s="197">
        <f t="shared" si="13"/>
        <v>1.677</v>
      </c>
      <c r="DA18" s="197">
        <f t="shared" si="20"/>
        <v>1.677</v>
      </c>
      <c r="DB18" s="16">
        <f t="shared" si="14"/>
        <v>26</v>
      </c>
      <c r="DC18" s="16">
        <f>IF(ISNUMBER(CX18),COUNTIF($DB$4:DB18,DB18)-1,NA())</f>
        <v>1</v>
      </c>
      <c r="DD18" s="222">
        <v>16</v>
      </c>
      <c r="DE18" s="197">
        <v>20</v>
      </c>
      <c r="DF18" s="197">
        <v>50</v>
      </c>
      <c r="DG18" s="197">
        <v>100</v>
      </c>
      <c r="DH18" s="192">
        <v>200</v>
      </c>
      <c r="DI18" s="16">
        <f t="shared" si="15"/>
        <v>45</v>
      </c>
      <c r="DJ18" s="192">
        <v>0</v>
      </c>
      <c r="DK18" s="16">
        <v>5</v>
      </c>
      <c r="DL18" s="16">
        <f>IF($X$3=0,NA(),IF(kbins&lt;DK18,NA(),$DI$8))</f>
        <v>15</v>
      </c>
      <c r="DM18" s="192">
        <v>0</v>
      </c>
      <c r="DN18" s="238" t="e">
        <f t="shared" si="21"/>
        <v>#N/A</v>
      </c>
      <c r="DO18" s="192">
        <v>0</v>
      </c>
      <c r="DP18" s="16">
        <f t="shared" si="22"/>
        <v>6.2512129545211792E-2</v>
      </c>
      <c r="DQ18" s="16">
        <v>16</v>
      </c>
      <c r="DR18" s="16">
        <f t="shared" si="5"/>
        <v>34.700000000000003</v>
      </c>
      <c r="DS18" s="16">
        <f t="shared" si="6"/>
        <v>1.2129525766366782</v>
      </c>
      <c r="DT18" s="16">
        <f t="shared" si="7"/>
        <v>59.2</v>
      </c>
      <c r="DU18" s="16">
        <f t="shared" si="8"/>
        <v>40.799999999999997</v>
      </c>
      <c r="DV18" s="16">
        <f t="shared" si="9"/>
        <v>34.799999999999997</v>
      </c>
      <c r="DW18" s="221">
        <f>AY24</f>
        <v>0.7</v>
      </c>
      <c r="DX18" s="197">
        <f t="shared" si="34"/>
        <v>0.31657407407407401</v>
      </c>
      <c r="DY18" s="197">
        <f t="shared" si="35"/>
        <v>0.93702399999999997</v>
      </c>
      <c r="DZ18" s="222">
        <f t="shared" si="36"/>
        <v>3.4122553191489371</v>
      </c>
      <c r="EA18" s="192">
        <f t="shared" si="37"/>
        <v>1.9370240000000001</v>
      </c>
      <c r="EB18" s="197">
        <f t="shared" si="38"/>
        <v>6.5251779661016922</v>
      </c>
      <c r="EC18" s="192">
        <f t="shared" si="39"/>
        <v>3.9370240000000001</v>
      </c>
      <c r="ED18" s="197">
        <f t="shared" si="40"/>
        <v>9.6285681818181867</v>
      </c>
      <c r="EE18" s="192">
        <f t="shared" si="41"/>
        <v>5.9370240000000001</v>
      </c>
      <c r="EF18" s="197">
        <f t="shared" si="42"/>
        <v>12.748176470588236</v>
      </c>
      <c r="EG18" s="197">
        <f t="shared" si="43"/>
        <v>3.9370240000000001</v>
      </c>
      <c r="EH18" s="222">
        <f t="shared" si="44"/>
        <v>15.838913793103451</v>
      </c>
      <c r="EI18" s="192">
        <f t="shared" si="27"/>
        <v>6.9370240000000001</v>
      </c>
      <c r="EJ18" s="197">
        <f t="shared" si="45"/>
        <v>18.96745833333334</v>
      </c>
      <c r="EK18" s="192">
        <f t="shared" si="28"/>
        <v>1.9370240000000001</v>
      </c>
      <c r="EL18" s="197">
        <f t="shared" si="46"/>
        <v>21.96745833333334</v>
      </c>
      <c r="EM18" s="192">
        <f t="shared" si="29"/>
        <v>1.9370240000000001</v>
      </c>
      <c r="EN18" s="197">
        <f t="shared" si="47"/>
        <v>25.16365789473684</v>
      </c>
      <c r="EO18" s="197">
        <f t="shared" si="30"/>
        <v>0.93702399999999997</v>
      </c>
      <c r="EP18" s="222" t="e">
        <f t="shared" si="48"/>
        <v>#N/A</v>
      </c>
      <c r="EQ18" s="192">
        <f t="shared" si="31"/>
        <v>0</v>
      </c>
      <c r="ER18" s="197">
        <f t="shared" si="49"/>
        <v>31.16365789473684</v>
      </c>
      <c r="ES18" s="192">
        <f t="shared" si="32"/>
        <v>0.93702399999999997</v>
      </c>
      <c r="ET18" s="197">
        <f t="shared" si="50"/>
        <v>34.5</v>
      </c>
      <c r="EU18" s="192">
        <f t="shared" si="33"/>
        <v>0.93702399999999997</v>
      </c>
      <c r="EV18" s="197" t="e">
        <f t="shared" si="51"/>
        <v>#N/A</v>
      </c>
      <c r="EW18" s="197">
        <f t="shared" si="52"/>
        <v>0</v>
      </c>
      <c r="EX18" s="222" t="e">
        <f t="shared" si="53"/>
        <v>#N/A</v>
      </c>
      <c r="EY18" s="192">
        <f t="shared" si="54"/>
        <v>0</v>
      </c>
      <c r="EZ18" s="197" t="e">
        <f t="shared" si="55"/>
        <v>#N/A</v>
      </c>
      <c r="FA18" s="192">
        <f t="shared" si="56"/>
        <v>0</v>
      </c>
      <c r="FB18" s="197" t="e">
        <f t="shared" si="57"/>
        <v>#N/A</v>
      </c>
      <c r="FC18" s="192">
        <f t="shared" si="58"/>
        <v>0</v>
      </c>
      <c r="FD18" s="197" t="e">
        <f t="shared" si="59"/>
        <v>#N/A</v>
      </c>
      <c r="FE18" s="197">
        <f t="shared" si="60"/>
        <v>0</v>
      </c>
      <c r="FF18" s="222" t="e">
        <f t="shared" si="61"/>
        <v>#N/A</v>
      </c>
      <c r="FG18" s="192">
        <f t="shared" si="62"/>
        <v>0</v>
      </c>
      <c r="FH18" s="197" t="e">
        <f t="shared" si="63"/>
        <v>#N/A</v>
      </c>
      <c r="FI18" s="192">
        <f t="shared" si="64"/>
        <v>0</v>
      </c>
      <c r="FJ18" s="197" t="e">
        <f t="shared" si="65"/>
        <v>#N/A</v>
      </c>
      <c r="FK18" s="192">
        <f t="shared" si="66"/>
        <v>0</v>
      </c>
      <c r="FL18" s="197" t="e">
        <f t="shared" si="67"/>
        <v>#N/A</v>
      </c>
      <c r="FM18" s="197">
        <f t="shared" si="68"/>
        <v>0</v>
      </c>
      <c r="FN18" s="222" t="e">
        <f t="shared" si="69"/>
        <v>#N/A</v>
      </c>
      <c r="FO18" s="192">
        <f t="shared" si="70"/>
        <v>0</v>
      </c>
      <c r="FP18" s="197" t="e">
        <f t="shared" si="71"/>
        <v>#N/A</v>
      </c>
      <c r="FQ18" s="192">
        <f t="shared" si="72"/>
        <v>0</v>
      </c>
      <c r="FR18" s="197" t="e">
        <f t="shared" si="73"/>
        <v>#N/A</v>
      </c>
      <c r="FS18" s="192">
        <f t="shared" si="74"/>
        <v>0</v>
      </c>
      <c r="FT18" s="197" t="e">
        <f t="shared" si="75"/>
        <v>#N/A</v>
      </c>
      <c r="FU18" s="197">
        <f t="shared" si="76"/>
        <v>0</v>
      </c>
      <c r="FV18" s="222" t="e">
        <f t="shared" si="77"/>
        <v>#N/A</v>
      </c>
      <c r="FW18" s="192">
        <f t="shared" si="78"/>
        <v>0</v>
      </c>
      <c r="FX18" s="197" t="e">
        <f t="shared" si="79"/>
        <v>#N/A</v>
      </c>
      <c r="FY18" s="192">
        <f t="shared" si="80"/>
        <v>0</v>
      </c>
      <c r="FZ18" s="197" t="e">
        <f t="shared" si="81"/>
        <v>#N/A</v>
      </c>
      <c r="GA18" s="192">
        <f t="shared" si="82"/>
        <v>0</v>
      </c>
      <c r="GB18" s="222" t="e">
        <f t="shared" si="83"/>
        <v>#N/A</v>
      </c>
      <c r="GC18" s="192">
        <f t="shared" si="84"/>
        <v>0</v>
      </c>
      <c r="GD18" s="197" t="e">
        <f t="shared" si="85"/>
        <v>#N/A</v>
      </c>
      <c r="GE18" s="192">
        <f t="shared" si="86"/>
        <v>0</v>
      </c>
    </row>
    <row r="19" spans="1:187" ht="11.25" customHeight="1">
      <c r="A19" s="259"/>
      <c r="B19" s="260"/>
      <c r="C19" s="260"/>
      <c r="D19" s="260"/>
      <c r="E19" s="466">
        <v>18</v>
      </c>
      <c r="F19" s="474">
        <v>18</v>
      </c>
      <c r="G19" s="145"/>
      <c r="H19" s="223">
        <f t="shared" ca="1" si="10"/>
        <v>15.2</v>
      </c>
      <c r="I19" s="202">
        <f t="shared" ca="1" si="2"/>
        <v>18</v>
      </c>
      <c r="J19" s="30"/>
      <c r="K19" s="248">
        <f t="shared" si="26"/>
        <v>36</v>
      </c>
      <c r="L19" s="248" t="str">
        <f t="shared" si="24"/>
        <v/>
      </c>
      <c r="M19" s="30"/>
      <c r="N19" s="290"/>
      <c r="O19" s="228" t="s">
        <v>831</v>
      </c>
      <c r="P19" s="228"/>
      <c r="Q19" s="228"/>
      <c r="R19" s="338"/>
      <c r="S19" s="179">
        <f t="shared" si="3"/>
        <v>1.1017000000000001E-2</v>
      </c>
      <c r="T19" s="224">
        <f ca="1">IF(OFFSET($F$17,Xscrollcount,0)="","",OFFSET($F$17,Xscrollcount,0))</f>
        <v>26.4</v>
      </c>
      <c r="U19" s="185" t="s">
        <v>654</v>
      </c>
      <c r="V19" s="16">
        <f>V18/V17</f>
        <v>6</v>
      </c>
      <c r="W19" s="274"/>
      <c r="X19" s="275" t="s">
        <v>667</v>
      </c>
      <c r="Y19" s="262">
        <f>IF(C14=0,1,IF(X3=0,COUNT(data300x)+1,Y17*(ROUNDUP(Y16/Y17+1,0))))</f>
        <v>8</v>
      </c>
      <c r="AA19" s="222">
        <v>6</v>
      </c>
      <c r="AB19" s="197" t="e">
        <f t="shared" si="4"/>
        <v>#N/A</v>
      </c>
      <c r="AC19" s="197">
        <f t="shared" si="16"/>
        <v>7.8</v>
      </c>
      <c r="AD19" s="197">
        <v>18</v>
      </c>
      <c r="AE19" s="192" t="e">
        <f>IF(AND(AB19&gt;XaxisL,AB19&lt;XaxisU),"z=6","")</f>
        <v>#N/A</v>
      </c>
      <c r="AH19"/>
      <c r="AJ19" s="180">
        <f t="shared" si="87"/>
        <v>1.1017000000000001E-2</v>
      </c>
      <c r="AW19" s="198" t="s">
        <v>754</v>
      </c>
      <c r="AX19" s="200"/>
      <c r="AY19" s="199"/>
      <c r="AZ19" s="197"/>
      <c r="BA19" s="197"/>
      <c r="BB19" s="197"/>
      <c r="BC19" s="197"/>
      <c r="BD19" s="197"/>
      <c r="BE19" s="197"/>
      <c r="BF19" s="197"/>
      <c r="BG19" s="197"/>
      <c r="BH19" s="197"/>
      <c r="BI19" s="621">
        <v>11</v>
      </c>
      <c r="BJ19" s="622">
        <v>17.7</v>
      </c>
      <c r="BK19" s="623"/>
      <c r="BL19" s="1109"/>
      <c r="BM19" s="1109"/>
      <c r="BN19" s="24"/>
      <c r="BP19" s="621">
        <v>11</v>
      </c>
      <c r="BQ19" s="622">
        <v>12.8</v>
      </c>
      <c r="BR19" s="623"/>
      <c r="BS19" s="1109"/>
      <c r="BT19" s="1109"/>
      <c r="BU19" s="24"/>
      <c r="BW19" s="621">
        <v>11</v>
      </c>
      <c r="BX19" s="622">
        <v>15.4</v>
      </c>
      <c r="BY19" s="623"/>
      <c r="BZ19" s="1109"/>
      <c r="CA19" s="1109"/>
      <c r="CB19" s="24"/>
      <c r="CT19" s="16" t="e">
        <f t="shared" si="17"/>
        <v>#N/A</v>
      </c>
      <c r="CU19" s="197" t="e">
        <f t="shared" si="18"/>
        <v>#N/A</v>
      </c>
      <c r="CV19" s="197" t="e">
        <f t="shared" si="19"/>
        <v>#N/A</v>
      </c>
      <c r="CW19" s="197">
        <v>16</v>
      </c>
      <c r="CX19" s="197">
        <f t="shared" si="11"/>
        <v>12.8</v>
      </c>
      <c r="CY19" s="197">
        <f t="shared" si="12"/>
        <v>13.122</v>
      </c>
      <c r="CZ19" s="197">
        <f t="shared" si="13"/>
        <v>2.7950000000000004</v>
      </c>
      <c r="DA19" s="197">
        <f t="shared" si="20"/>
        <v>2.7950000000000004</v>
      </c>
      <c r="DB19" s="16">
        <f t="shared" si="14"/>
        <v>26</v>
      </c>
      <c r="DC19" s="16">
        <f>IF(ISNUMBER(CX19),COUNTIF($DB$4:DB19,DB19)-1,NA())</f>
        <v>2</v>
      </c>
      <c r="DD19" s="222">
        <v>17</v>
      </c>
      <c r="DE19" s="197">
        <v>20</v>
      </c>
      <c r="DF19" s="197">
        <v>50</v>
      </c>
      <c r="DG19" s="197">
        <v>100</v>
      </c>
      <c r="DH19" s="192">
        <v>200</v>
      </c>
      <c r="DI19" s="16">
        <f t="shared" si="15"/>
        <v>48</v>
      </c>
      <c r="DJ19" s="192">
        <v>0</v>
      </c>
      <c r="DK19" s="16">
        <v>6</v>
      </c>
      <c r="DL19" s="16">
        <f>IF($X$3=0,NA(),IF(kbins&lt;DK19,NA(),$DI$8))</f>
        <v>15</v>
      </c>
      <c r="DM19" s="192">
        <f>$DJ$8</f>
        <v>7</v>
      </c>
      <c r="DN19" s="238" t="e">
        <f t="shared" si="21"/>
        <v>#N/A</v>
      </c>
      <c r="DO19" s="192">
        <v>0</v>
      </c>
      <c r="DP19" s="16">
        <f t="shared" si="22"/>
        <v>0.10810980200767517</v>
      </c>
      <c r="DQ19" s="16">
        <v>17</v>
      </c>
      <c r="DR19" s="16">
        <f t="shared" si="5"/>
        <v>37.6</v>
      </c>
      <c r="DS19" s="16">
        <f t="shared" si="6"/>
        <v>1.421117739861236</v>
      </c>
      <c r="DT19" s="16">
        <f t="shared" si="7"/>
        <v>58.4</v>
      </c>
      <c r="DU19" s="16">
        <f t="shared" si="8"/>
        <v>41.6</v>
      </c>
      <c r="DV19" s="16">
        <f t="shared" si="9"/>
        <v>36.4</v>
      </c>
      <c r="DW19" s="221" t="s">
        <v>751</v>
      </c>
      <c r="DX19" s="197">
        <f t="shared" si="34"/>
        <v>0.33009894179894173</v>
      </c>
      <c r="DY19" s="197">
        <f t="shared" si="35"/>
        <v>0.93702399999999997</v>
      </c>
      <c r="DZ19" s="222">
        <f t="shared" si="36"/>
        <v>3.4394489361702139</v>
      </c>
      <c r="EA19" s="192">
        <f t="shared" si="37"/>
        <v>1.9370240000000001</v>
      </c>
      <c r="EB19" s="197">
        <f t="shared" si="38"/>
        <v>6.5685033898305054</v>
      </c>
      <c r="EC19" s="192">
        <f t="shared" si="39"/>
        <v>3.9370240000000001</v>
      </c>
      <c r="ED19" s="197">
        <f t="shared" si="40"/>
        <v>9.686663636363642</v>
      </c>
      <c r="EE19" s="192">
        <f t="shared" si="41"/>
        <v>5.9370240000000001</v>
      </c>
      <c r="EF19" s="197">
        <f t="shared" si="42"/>
        <v>12.823358823529412</v>
      </c>
      <c r="EG19" s="197">
        <f t="shared" si="43"/>
        <v>3.9370240000000001</v>
      </c>
      <c r="EH19" s="222">
        <f t="shared" si="44"/>
        <v>15.927058620689658</v>
      </c>
      <c r="EI19" s="192">
        <f t="shared" si="27"/>
        <v>6.9370240000000001</v>
      </c>
      <c r="EJ19" s="197">
        <f t="shared" si="45"/>
        <v>19.073966666666674</v>
      </c>
      <c r="EK19" s="192">
        <f t="shared" si="28"/>
        <v>1.9370240000000001</v>
      </c>
      <c r="EL19" s="197">
        <f t="shared" si="46"/>
        <v>22.073966666666674</v>
      </c>
      <c r="EM19" s="192">
        <f t="shared" si="29"/>
        <v>1.9370240000000001</v>
      </c>
      <c r="EN19" s="197">
        <f t="shared" si="47"/>
        <v>25.298194736842103</v>
      </c>
      <c r="EO19" s="197">
        <f t="shared" si="30"/>
        <v>0.93702399999999997</v>
      </c>
      <c r="EP19" s="222" t="e">
        <f t="shared" si="48"/>
        <v>#N/A</v>
      </c>
      <c r="EQ19" s="192">
        <f t="shared" si="31"/>
        <v>0</v>
      </c>
      <c r="ER19" s="197">
        <f t="shared" si="49"/>
        <v>31.298194736842103</v>
      </c>
      <c r="ES19" s="192">
        <f t="shared" si="32"/>
        <v>0.93702399999999997</v>
      </c>
      <c r="ET19" s="197">
        <f t="shared" si="50"/>
        <v>34.682585714285715</v>
      </c>
      <c r="EU19" s="192">
        <f t="shared" si="33"/>
        <v>0.93702399999999997</v>
      </c>
      <c r="EV19" s="197" t="e">
        <f t="shared" si="51"/>
        <v>#N/A</v>
      </c>
      <c r="EW19" s="197">
        <f t="shared" si="52"/>
        <v>0</v>
      </c>
      <c r="EX19" s="222" t="e">
        <f t="shared" si="53"/>
        <v>#N/A</v>
      </c>
      <c r="EY19" s="192">
        <f t="shared" si="54"/>
        <v>0</v>
      </c>
      <c r="EZ19" s="197" t="e">
        <f t="shared" si="55"/>
        <v>#N/A</v>
      </c>
      <c r="FA19" s="192">
        <f t="shared" si="56"/>
        <v>0</v>
      </c>
      <c r="FB19" s="197" t="e">
        <f t="shared" si="57"/>
        <v>#N/A</v>
      </c>
      <c r="FC19" s="192">
        <f t="shared" si="58"/>
        <v>0</v>
      </c>
      <c r="FD19" s="197" t="e">
        <f t="shared" si="59"/>
        <v>#N/A</v>
      </c>
      <c r="FE19" s="197">
        <f t="shared" si="60"/>
        <v>0</v>
      </c>
      <c r="FF19" s="222" t="e">
        <f t="shared" si="61"/>
        <v>#N/A</v>
      </c>
      <c r="FG19" s="192">
        <f t="shared" si="62"/>
        <v>0</v>
      </c>
      <c r="FH19" s="197" t="e">
        <f t="shared" si="63"/>
        <v>#N/A</v>
      </c>
      <c r="FI19" s="192">
        <f t="shared" si="64"/>
        <v>0</v>
      </c>
      <c r="FJ19" s="197" t="e">
        <f t="shared" si="65"/>
        <v>#N/A</v>
      </c>
      <c r="FK19" s="192">
        <f t="shared" si="66"/>
        <v>0</v>
      </c>
      <c r="FL19" s="197" t="e">
        <f t="shared" si="67"/>
        <v>#N/A</v>
      </c>
      <c r="FM19" s="197">
        <f t="shared" si="68"/>
        <v>0</v>
      </c>
      <c r="FN19" s="239"/>
      <c r="FO19" s="24"/>
      <c r="FP19" s="23"/>
      <c r="FQ19" s="24"/>
      <c r="FR19" s="23"/>
      <c r="FS19" s="24"/>
      <c r="FT19" s="23"/>
      <c r="FU19" s="23"/>
      <c r="FV19" s="239"/>
      <c r="FW19" s="24"/>
      <c r="FX19" s="23"/>
      <c r="FY19" s="24"/>
      <c r="FZ19" s="23"/>
      <c r="GA19" s="24"/>
      <c r="GB19" s="239"/>
      <c r="GC19" s="24"/>
      <c r="GD19" s="23"/>
      <c r="GE19" s="24"/>
    </row>
    <row r="20" spans="1:187" ht="11.25" customHeight="1">
      <c r="A20" s="279"/>
      <c r="B20" s="279"/>
      <c r="C20" s="279"/>
      <c r="D20" s="279"/>
      <c r="E20" s="466">
        <v>19</v>
      </c>
      <c r="F20" s="474">
        <v>19</v>
      </c>
      <c r="G20" s="145"/>
      <c r="H20" s="223">
        <f t="shared" ca="1" si="10"/>
        <v>15.4</v>
      </c>
      <c r="I20" s="202">
        <f t="shared" ca="1" si="2"/>
        <v>19</v>
      </c>
      <c r="J20" s="30"/>
      <c r="K20" s="248" t="str">
        <f t="shared" si="26"/>
        <v/>
      </c>
      <c r="L20" s="248" t="str">
        <f t="shared" si="24"/>
        <v/>
      </c>
      <c r="M20" s="30"/>
      <c r="N20" s="290"/>
      <c r="O20" s="228"/>
      <c r="P20" s="228"/>
      <c r="Q20" s="228"/>
      <c r="R20" s="338"/>
      <c r="S20" s="179">
        <f t="shared" si="3"/>
        <v>1.1017000000000001E-2</v>
      </c>
      <c r="T20" s="224">
        <f ca="1">IF(OFFSET($F$18,Xscrollcount,0)="","",OFFSET($F$18,Xscrollcount,0))</f>
        <v>18</v>
      </c>
      <c r="U20" s="185" t="s">
        <v>626</v>
      </c>
      <c r="V20" s="16">
        <f>IF(X3=0,NA(),V18*kbins)</f>
        <v>36</v>
      </c>
      <c r="X20" s="185" t="s">
        <v>710</v>
      </c>
      <c r="Y20" s="252" t="b">
        <v>1</v>
      </c>
      <c r="AA20" s="222">
        <v>7</v>
      </c>
      <c r="AB20" s="197" t="e">
        <f t="shared" si="4"/>
        <v>#N/A</v>
      </c>
      <c r="AC20" s="197">
        <f t="shared" si="16"/>
        <v>7.8</v>
      </c>
      <c r="AD20" s="197">
        <v>18</v>
      </c>
      <c r="AE20" s="192" t="e">
        <f>IF(AND(AB20&gt;XaxisL,AB20&lt;XaxisU),"z=7","")</f>
        <v>#N/A</v>
      </c>
      <c r="AH20"/>
      <c r="AJ20" s="180">
        <f t="shared" si="87"/>
        <v>1.1017000000000001E-2</v>
      </c>
      <c r="AW20" s="198"/>
      <c r="AX20" s="276" t="s">
        <v>755</v>
      </c>
      <c r="AY20" s="199"/>
      <c r="AZ20" s="197"/>
      <c r="BA20" s="197"/>
      <c r="BB20" s="197"/>
      <c r="BC20" s="197"/>
      <c r="BD20" s="197"/>
      <c r="BE20" s="197"/>
      <c r="BF20" s="197"/>
      <c r="BG20" s="197"/>
      <c r="BH20" s="197"/>
      <c r="BI20" s="621">
        <v>12</v>
      </c>
      <c r="BJ20" s="622">
        <v>20.100000000000001</v>
      </c>
      <c r="BK20" s="623"/>
      <c r="BL20" s="1109"/>
      <c r="BM20" s="1109"/>
      <c r="BN20" s="24"/>
      <c r="BP20" s="621">
        <v>12</v>
      </c>
      <c r="BQ20" s="622">
        <v>10.6</v>
      </c>
      <c r="BR20" s="623"/>
      <c r="BS20" s="1109"/>
      <c r="BT20" s="1109"/>
      <c r="BU20" s="24"/>
      <c r="BW20" s="621">
        <v>12</v>
      </c>
      <c r="BX20" s="622">
        <v>8.6999999999999993</v>
      </c>
      <c r="BY20" s="623"/>
      <c r="BZ20" s="1109"/>
      <c r="CA20" s="1109"/>
      <c r="CB20" s="24"/>
      <c r="CR20" s="179" t="s">
        <v>865</v>
      </c>
      <c r="CS20" s="277">
        <f>QUARTILE(F2:F301,1)</f>
        <v>9.4499999999999993</v>
      </c>
      <c r="CT20" s="16" t="e">
        <f t="shared" si="17"/>
        <v>#N/A</v>
      </c>
      <c r="CU20" s="197" t="e">
        <f t="shared" si="18"/>
        <v>#N/A</v>
      </c>
      <c r="CV20" s="197" t="e">
        <f t="shared" si="19"/>
        <v>#N/A</v>
      </c>
      <c r="CW20" s="197">
        <v>17</v>
      </c>
      <c r="CX20" s="197">
        <f t="shared" si="11"/>
        <v>13.7</v>
      </c>
      <c r="CY20" s="197">
        <f t="shared" si="12"/>
        <v>13.818999999999999</v>
      </c>
      <c r="CZ20" s="197">
        <f t="shared" si="13"/>
        <v>0.55900000000000005</v>
      </c>
      <c r="DA20" s="197">
        <f t="shared" si="20"/>
        <v>0.55900000000000005</v>
      </c>
      <c r="DB20" s="16">
        <f t="shared" si="14"/>
        <v>27</v>
      </c>
      <c r="DC20" s="16">
        <f>IF(ISNUMBER(CX20),COUNTIF($DB$4:DB20,DB20)-1,NA())</f>
        <v>0</v>
      </c>
      <c r="DD20" s="222">
        <v>18</v>
      </c>
      <c r="DE20" s="197">
        <v>20</v>
      </c>
      <c r="DF20" s="197">
        <v>50</v>
      </c>
      <c r="DG20" s="197">
        <v>100</v>
      </c>
      <c r="DH20" s="192">
        <v>200</v>
      </c>
      <c r="DI20" s="16">
        <f t="shared" si="15"/>
        <v>51</v>
      </c>
      <c r="DJ20" s="192">
        <v>0</v>
      </c>
      <c r="DK20" s="16">
        <v>6</v>
      </c>
      <c r="DL20" s="16">
        <f>IF($X$3=0,NA(),IF(kbins&lt;DK20,NA(),$DI$9))</f>
        <v>18</v>
      </c>
      <c r="DM20" s="192">
        <f>$DJ$8</f>
        <v>7</v>
      </c>
      <c r="DN20" s="238" t="e">
        <f t="shared" si="21"/>
        <v>#N/A</v>
      </c>
      <c r="DO20" s="192">
        <v>0</v>
      </c>
      <c r="DP20" s="16">
        <f t="shared" si="22"/>
        <v>0.4255041778087616</v>
      </c>
      <c r="DQ20" s="16">
        <v>18</v>
      </c>
      <c r="DR20" s="16">
        <f t="shared" si="5"/>
        <v>48.1</v>
      </c>
      <c r="DS20" s="16">
        <f t="shared" si="6"/>
        <v>2.1552855291235611</v>
      </c>
      <c r="DT20" s="16">
        <f t="shared" si="7"/>
        <v>53.9</v>
      </c>
      <c r="DU20" s="16">
        <f t="shared" si="8"/>
        <v>46.1</v>
      </c>
      <c r="DV20" s="16">
        <f t="shared" si="9"/>
        <v>47.4</v>
      </c>
      <c r="DW20" s="221">
        <f>Y11/SQRT(EXP(DW18^2)*(EXP(DW18^2)-1))</f>
        <v>9.8430726545561047</v>
      </c>
      <c r="DX20" s="197">
        <f t="shared" si="34"/>
        <v>0.34362380952380944</v>
      </c>
      <c r="DY20" s="197">
        <f t="shared" si="35"/>
        <v>0.93702399999999997</v>
      </c>
      <c r="DZ20" s="222">
        <f t="shared" si="36"/>
        <v>3.4666425531914906</v>
      </c>
      <c r="EA20" s="192">
        <f t="shared" si="37"/>
        <v>1.9370240000000001</v>
      </c>
      <c r="EB20" s="197">
        <f t="shared" si="38"/>
        <v>6.6118288135593186</v>
      </c>
      <c r="EC20" s="192">
        <f t="shared" si="39"/>
        <v>3.9370240000000001</v>
      </c>
      <c r="ED20" s="197">
        <f t="shared" si="40"/>
        <v>9.7447590909090973</v>
      </c>
      <c r="EE20" s="192">
        <f t="shared" si="41"/>
        <v>5.9370240000000001</v>
      </c>
      <c r="EF20" s="197">
        <f t="shared" si="42"/>
        <v>12.898541176470589</v>
      </c>
      <c r="EG20" s="197">
        <f t="shared" si="43"/>
        <v>3.9370240000000001</v>
      </c>
      <c r="EH20" s="222">
        <f t="shared" si="44"/>
        <v>16.015203448275866</v>
      </c>
      <c r="EI20" s="192">
        <f t="shared" si="27"/>
        <v>6.9370240000000001</v>
      </c>
      <c r="EJ20" s="197">
        <f t="shared" si="45"/>
        <v>19.180475000000008</v>
      </c>
      <c r="EK20" s="192">
        <f t="shared" si="28"/>
        <v>1.9370240000000001</v>
      </c>
      <c r="EL20" s="197">
        <f t="shared" si="46"/>
        <v>22.180475000000008</v>
      </c>
      <c r="EM20" s="192">
        <f t="shared" si="29"/>
        <v>1.9370240000000001</v>
      </c>
      <c r="EN20" s="197">
        <f t="shared" si="47"/>
        <v>25.432731578947365</v>
      </c>
      <c r="EO20" s="197">
        <f t="shared" si="30"/>
        <v>0.93702399999999997</v>
      </c>
      <c r="EP20" s="222" t="e">
        <f t="shared" si="48"/>
        <v>#N/A</v>
      </c>
      <c r="EQ20" s="192">
        <f t="shared" si="31"/>
        <v>0</v>
      </c>
      <c r="ER20" s="197">
        <f t="shared" si="49"/>
        <v>31.432731578947365</v>
      </c>
      <c r="ES20" s="192">
        <f t="shared" si="32"/>
        <v>0.93702399999999997</v>
      </c>
      <c r="ET20" s="197">
        <f t="shared" si="50"/>
        <v>34.865171428571429</v>
      </c>
      <c r="EU20" s="192">
        <f t="shared" si="33"/>
        <v>0.93702399999999997</v>
      </c>
      <c r="EV20" s="197" t="e">
        <f t="shared" si="51"/>
        <v>#N/A</v>
      </c>
      <c r="EW20" s="197">
        <f t="shared" si="52"/>
        <v>0</v>
      </c>
      <c r="EX20" s="222" t="e">
        <f t="shared" si="53"/>
        <v>#N/A</v>
      </c>
      <c r="EY20" s="192">
        <f t="shared" si="54"/>
        <v>0</v>
      </c>
      <c r="EZ20" s="197" t="e">
        <f t="shared" si="55"/>
        <v>#N/A</v>
      </c>
      <c r="FA20" s="192">
        <f t="shared" si="56"/>
        <v>0</v>
      </c>
      <c r="FB20" s="197" t="e">
        <f t="shared" si="57"/>
        <v>#N/A</v>
      </c>
      <c r="FC20" s="192">
        <f t="shared" si="58"/>
        <v>0</v>
      </c>
      <c r="FD20" s="197" t="e">
        <f t="shared" si="59"/>
        <v>#N/A</v>
      </c>
      <c r="FE20" s="197">
        <f t="shared" si="60"/>
        <v>0</v>
      </c>
      <c r="FF20" s="222" t="e">
        <f t="shared" si="61"/>
        <v>#N/A</v>
      </c>
      <c r="FG20" s="192">
        <f t="shared" si="62"/>
        <v>0</v>
      </c>
      <c r="FH20" s="197" t="e">
        <f t="shared" si="63"/>
        <v>#N/A</v>
      </c>
      <c r="FI20" s="192">
        <f t="shared" si="64"/>
        <v>0</v>
      </c>
      <c r="FJ20" s="197" t="e">
        <f t="shared" si="65"/>
        <v>#N/A</v>
      </c>
      <c r="FK20" s="192">
        <f t="shared" si="66"/>
        <v>0</v>
      </c>
      <c r="FL20" s="197" t="e">
        <f t="shared" si="67"/>
        <v>#N/A</v>
      </c>
      <c r="FM20" s="197">
        <f t="shared" si="68"/>
        <v>0</v>
      </c>
      <c r="FN20" s="222" t="e">
        <f>IF(ISNUMBER(FO$4),FN11,NA())</f>
        <v>#N/A</v>
      </c>
      <c r="FO20" s="192">
        <f>FO11</f>
        <v>0</v>
      </c>
      <c r="FP20" s="197" t="e">
        <f>IF(ISNUMBER(FQ$4),FP11,NA())</f>
        <v>#N/A</v>
      </c>
      <c r="FQ20" s="192">
        <f>FQ11</f>
        <v>0</v>
      </c>
      <c r="FR20" s="197" t="e">
        <f>IF(ISNUMBER(FS$4),FR11,NA())</f>
        <v>#N/A</v>
      </c>
      <c r="FS20" s="192">
        <f>FS11</f>
        <v>0</v>
      </c>
      <c r="FT20" s="197" t="e">
        <f>IF(ISNUMBER(FU$4),FT11,NA())</f>
        <v>#N/A</v>
      </c>
      <c r="FU20" s="197">
        <f>FU11</f>
        <v>0</v>
      </c>
      <c r="FV20" s="222" t="e">
        <f>IF(ISNUMBER(FW$4),FV11,NA())</f>
        <v>#N/A</v>
      </c>
      <c r="FW20" s="192">
        <f>FW11</f>
        <v>0</v>
      </c>
      <c r="FX20" s="197" t="e">
        <f>IF(ISNUMBER(FY$4),FX11,NA())</f>
        <v>#N/A</v>
      </c>
      <c r="FY20" s="192">
        <f>FY11</f>
        <v>0</v>
      </c>
      <c r="FZ20" s="197" t="e">
        <f>IF(ISNUMBER(GA$4),FZ11,NA())</f>
        <v>#N/A</v>
      </c>
      <c r="GA20" s="192">
        <f>GA11</f>
        <v>0</v>
      </c>
      <c r="GB20" s="222" t="e">
        <f>IF(ISNUMBER(GC$4),GB11,NA())</f>
        <v>#N/A</v>
      </c>
      <c r="GC20" s="192">
        <f>GC11</f>
        <v>0</v>
      </c>
      <c r="GD20" s="197" t="e">
        <f>IF(ISNUMBER(GE$4),GD11,NA())</f>
        <v>#N/A</v>
      </c>
      <c r="GE20" s="192">
        <f>GE11</f>
        <v>0</v>
      </c>
    </row>
    <row r="21" spans="1:187" ht="11.25" customHeight="1">
      <c r="A21" s="259"/>
      <c r="B21" s="270" t="s">
        <v>868</v>
      </c>
      <c r="C21" s="197">
        <f>IF($V$35,V33,"")</f>
        <v>12.8</v>
      </c>
      <c r="D21" s="260" t="str">
        <f>IF(ISBLANK($C$7),"",$C$7)</f>
        <v>Transcription %</v>
      </c>
      <c r="E21" s="466">
        <v>20</v>
      </c>
      <c r="F21" s="474">
        <v>16.899999999999999</v>
      </c>
      <c r="G21" s="145"/>
      <c r="H21" s="223">
        <f t="shared" ca="1" si="10"/>
        <v>16.7</v>
      </c>
      <c r="I21" s="202">
        <f t="shared" ca="1" si="2"/>
        <v>20</v>
      </c>
      <c r="J21" s="30"/>
      <c r="K21" s="248" t="str">
        <f t="shared" si="26"/>
        <v/>
      </c>
      <c r="L21" s="248" t="str">
        <f t="shared" si="24"/>
        <v/>
      </c>
      <c r="M21" s="30"/>
      <c r="N21" s="290"/>
      <c r="O21" s="228" t="s">
        <v>714</v>
      </c>
      <c r="P21" s="228"/>
      <c r="Q21" s="228"/>
      <c r="R21" s="338"/>
      <c r="S21" s="179">
        <f t="shared" si="3"/>
        <v>1.1017000000000001E-2</v>
      </c>
      <c r="T21" s="224">
        <f ca="1">IF(OFFSET($F$19,Xscrollcount,0)="","",OFFSET($F$19,Xscrollcount,0))</f>
        <v>19</v>
      </c>
      <c r="U21" s="185" t="s">
        <v>627</v>
      </c>
      <c r="V21" s="16">
        <f>V17*ROUND((V20-X7)/(2*V17),0)</f>
        <v>0.5</v>
      </c>
      <c r="X21" s="185" t="s">
        <v>711</v>
      </c>
      <c r="Y21" s="252" t="b">
        <v>0</v>
      </c>
      <c r="AA21" s="222">
        <v>8</v>
      </c>
      <c r="AB21" s="197" t="e">
        <f t="shared" si="4"/>
        <v>#N/A</v>
      </c>
      <c r="AC21" s="197">
        <f t="shared" si="16"/>
        <v>7.8</v>
      </c>
      <c r="AD21" s="197">
        <v>18</v>
      </c>
      <c r="AE21" s="192" t="e">
        <f>IF(AND(AB21&gt;XaxisL,AB21&lt;XaxisU),"z=8","")</f>
        <v>#N/A</v>
      </c>
      <c r="AH21"/>
      <c r="AJ21" s="180">
        <f t="shared" si="87"/>
        <v>1.1017000000000001E-2</v>
      </c>
      <c r="AW21" s="222"/>
      <c r="AX21" s="197" t="s">
        <v>756</v>
      </c>
      <c r="AY21" s="192">
        <f>Y10+Y11*SQRT(3)</f>
        <v>67.320508075688764</v>
      </c>
      <c r="AZ21" s="197"/>
      <c r="BA21" s="197"/>
      <c r="BB21" s="197"/>
      <c r="BC21" s="197"/>
      <c r="BD21" s="197"/>
      <c r="BE21" s="197"/>
      <c r="BF21" s="197"/>
      <c r="BG21" s="197"/>
      <c r="BH21" s="197"/>
      <c r="BI21" s="621">
        <v>13</v>
      </c>
      <c r="BJ21" s="622">
        <v>2.1</v>
      </c>
      <c r="BK21" s="623"/>
      <c r="BL21" s="1109"/>
      <c r="BM21" s="1109"/>
      <c r="BN21" s="24"/>
      <c r="BP21" s="621">
        <v>13</v>
      </c>
      <c r="BQ21" s="622">
        <v>5.0999999999999996</v>
      </c>
      <c r="BR21" s="623"/>
      <c r="BS21" s="1109"/>
      <c r="BT21" s="1109"/>
      <c r="BU21" s="24"/>
      <c r="BW21" s="621">
        <v>13</v>
      </c>
      <c r="BX21" s="622">
        <v>12.8</v>
      </c>
      <c r="BY21" s="623"/>
      <c r="BZ21" s="1109"/>
      <c r="CA21" s="1109"/>
      <c r="CB21" s="24"/>
      <c r="CR21" s="179" t="s">
        <v>871</v>
      </c>
      <c r="CS21" s="277">
        <f>QUARTILE(F2:F301,3)</f>
        <v>17.850000000000001</v>
      </c>
      <c r="CT21" s="16" t="e">
        <f t="shared" si="17"/>
        <v>#N/A</v>
      </c>
      <c r="CU21" s="197" t="e">
        <f t="shared" si="18"/>
        <v>#N/A</v>
      </c>
      <c r="CV21" s="197" t="e">
        <f t="shared" si="19"/>
        <v>#N/A</v>
      </c>
      <c r="CW21" s="197">
        <v>18</v>
      </c>
      <c r="CX21" s="197">
        <f t="shared" si="11"/>
        <v>15.2</v>
      </c>
      <c r="CY21" s="197">
        <f t="shared" si="12"/>
        <v>15.212999999999997</v>
      </c>
      <c r="CZ21" s="197">
        <f t="shared" si="13"/>
        <v>0.55900000000000005</v>
      </c>
      <c r="DA21" s="197">
        <f t="shared" si="20"/>
        <v>0.55900000000000005</v>
      </c>
      <c r="DB21" s="16">
        <f t="shared" si="14"/>
        <v>29</v>
      </c>
      <c r="DC21" s="16">
        <f>IF(ISNUMBER(CX21),COUNTIF($DB$4:DB21,DB21)-1,NA())</f>
        <v>0</v>
      </c>
      <c r="DD21" s="222">
        <v>19</v>
      </c>
      <c r="DE21" s="197">
        <v>20</v>
      </c>
      <c r="DF21" s="197">
        <v>50</v>
      </c>
      <c r="DG21" s="197">
        <v>100</v>
      </c>
      <c r="DH21" s="192">
        <v>200</v>
      </c>
      <c r="DI21" s="16">
        <f t="shared" si="15"/>
        <v>54</v>
      </c>
      <c r="DJ21" s="192">
        <v>0</v>
      </c>
      <c r="DK21" s="16">
        <v>6</v>
      </c>
      <c r="DL21" s="16">
        <f>IF($X$3=0,NA(),IF(kbins&lt;DK21,NA(),$DI$9))</f>
        <v>18</v>
      </c>
      <c r="DM21" s="192">
        <v>0</v>
      </c>
      <c r="DN21" s="238" t="e">
        <f t="shared" si="21"/>
        <v>#N/A</v>
      </c>
      <c r="DO21" s="192">
        <v>0</v>
      </c>
      <c r="DP21" s="16">
        <f t="shared" si="22"/>
        <v>0.30964192748069763</v>
      </c>
      <c r="DQ21" s="16">
        <v>19</v>
      </c>
      <c r="DR21" s="16">
        <f t="shared" si="5"/>
        <v>45</v>
      </c>
      <c r="DS21" s="16">
        <f t="shared" si="6"/>
        <v>1.9389620274636807</v>
      </c>
      <c r="DT21" s="16">
        <f t="shared" si="7"/>
        <v>55.6</v>
      </c>
      <c r="DU21" s="16">
        <f t="shared" si="8"/>
        <v>44.4</v>
      </c>
      <c r="DV21" s="16">
        <f t="shared" si="9"/>
        <v>43.4</v>
      </c>
      <c r="DW21" s="221" t="s">
        <v>752</v>
      </c>
      <c r="DX21" s="197">
        <f t="shared" si="34"/>
        <v>0.35714867724867716</v>
      </c>
      <c r="DY21" s="197">
        <f t="shared" si="35"/>
        <v>0.93702399999999997</v>
      </c>
      <c r="DZ21" s="222">
        <f t="shared" si="36"/>
        <v>3.4938361702127674</v>
      </c>
      <c r="EA21" s="192">
        <f t="shared" si="37"/>
        <v>1.9370240000000001</v>
      </c>
      <c r="EB21" s="197">
        <f t="shared" si="38"/>
        <v>6.6551542372881318</v>
      </c>
      <c r="EC21" s="192">
        <f t="shared" si="39"/>
        <v>3.9370240000000001</v>
      </c>
      <c r="ED21" s="197">
        <f t="shared" si="40"/>
        <v>9.8028545454545526</v>
      </c>
      <c r="EE21" s="192">
        <f t="shared" si="41"/>
        <v>5.9370240000000001</v>
      </c>
      <c r="EF21" s="197">
        <f t="shared" si="42"/>
        <v>12.973723529411766</v>
      </c>
      <c r="EG21" s="197">
        <f t="shared" si="43"/>
        <v>3.9370240000000001</v>
      </c>
      <c r="EH21" s="222">
        <f t="shared" si="44"/>
        <v>16.103348275862071</v>
      </c>
      <c r="EI21" s="192">
        <f t="shared" si="27"/>
        <v>6.9370240000000001</v>
      </c>
      <c r="EJ21" s="197">
        <f t="shared" si="45"/>
        <v>19.286983333333342</v>
      </c>
      <c r="EK21" s="192">
        <f t="shared" si="28"/>
        <v>1.9370240000000001</v>
      </c>
      <c r="EL21" s="197">
        <f t="shared" si="46"/>
        <v>22.286983333333342</v>
      </c>
      <c r="EM21" s="192">
        <f t="shared" si="29"/>
        <v>1.9370240000000001</v>
      </c>
      <c r="EN21" s="197">
        <f t="shared" si="47"/>
        <v>25.567268421052628</v>
      </c>
      <c r="EO21" s="197">
        <f t="shared" si="30"/>
        <v>0.93702399999999997</v>
      </c>
      <c r="EP21" s="222" t="e">
        <f t="shared" si="48"/>
        <v>#N/A</v>
      </c>
      <c r="EQ21" s="192">
        <f t="shared" si="31"/>
        <v>0</v>
      </c>
      <c r="ER21" s="197">
        <f t="shared" si="49"/>
        <v>31.567268421052628</v>
      </c>
      <c r="ES21" s="192">
        <f t="shared" si="32"/>
        <v>0.93702399999999997</v>
      </c>
      <c r="ET21" s="197">
        <f t="shared" si="50"/>
        <v>35.047757142857144</v>
      </c>
      <c r="EU21" s="192">
        <f t="shared" si="33"/>
        <v>0.93702399999999997</v>
      </c>
      <c r="EV21" s="197" t="e">
        <f t="shared" si="51"/>
        <v>#N/A</v>
      </c>
      <c r="EW21" s="197">
        <f t="shared" si="52"/>
        <v>0</v>
      </c>
      <c r="EX21" s="222" t="e">
        <f t="shared" si="53"/>
        <v>#N/A</v>
      </c>
      <c r="EY21" s="192">
        <f t="shared" si="54"/>
        <v>0</v>
      </c>
      <c r="EZ21" s="197" t="e">
        <f t="shared" si="55"/>
        <v>#N/A</v>
      </c>
      <c r="FA21" s="192">
        <f t="shared" si="56"/>
        <v>0</v>
      </c>
      <c r="FB21" s="197" t="e">
        <f t="shared" si="57"/>
        <v>#N/A</v>
      </c>
      <c r="FC21" s="192">
        <f t="shared" si="58"/>
        <v>0</v>
      </c>
      <c r="FD21" s="197" t="e">
        <f t="shared" si="59"/>
        <v>#N/A</v>
      </c>
      <c r="FE21" s="197">
        <f t="shared" si="60"/>
        <v>0</v>
      </c>
      <c r="FF21" s="239"/>
      <c r="FG21" s="24"/>
      <c r="FH21" s="23"/>
      <c r="FI21" s="24"/>
      <c r="FJ21" s="23"/>
      <c r="FK21" s="24"/>
      <c r="FL21" s="23"/>
      <c r="FM21" s="23"/>
      <c r="FN21" s="222" t="e">
        <f>IF(ISNUMBER(FO$4),FN12,NA())</f>
        <v>#N/A</v>
      </c>
      <c r="FO21" s="192">
        <f>FO20</f>
        <v>0</v>
      </c>
      <c r="FP21" s="197" t="e">
        <f>IF(ISNUMBER(FQ$4),FP12,NA())</f>
        <v>#N/A</v>
      </c>
      <c r="FQ21" s="192">
        <f>FQ20</f>
        <v>0</v>
      </c>
      <c r="FR21" s="197" t="e">
        <f>IF(ISNUMBER(FS$4),FR12,NA())</f>
        <v>#N/A</v>
      </c>
      <c r="FS21" s="192">
        <f>FS20</f>
        <v>0</v>
      </c>
      <c r="FT21" s="197" t="e">
        <f>IF(ISNUMBER(FU$4),FT12,NA())</f>
        <v>#N/A</v>
      </c>
      <c r="FU21" s="197">
        <f>FU20</f>
        <v>0</v>
      </c>
      <c r="FV21" s="222" t="e">
        <f>IF(ISNUMBER(FW$4),FV12,NA())</f>
        <v>#N/A</v>
      </c>
      <c r="FW21" s="192">
        <f>FW20</f>
        <v>0</v>
      </c>
      <c r="FX21" s="197" t="e">
        <f>IF(ISNUMBER(FY$4),FX12,NA())</f>
        <v>#N/A</v>
      </c>
      <c r="FY21" s="192">
        <f>FY20</f>
        <v>0</v>
      </c>
      <c r="FZ21" s="197" t="e">
        <f>IF(ISNUMBER(GA$4),FZ12,NA())</f>
        <v>#N/A</v>
      </c>
      <c r="GA21" s="192">
        <f>GA20</f>
        <v>0</v>
      </c>
      <c r="GB21" s="222" t="e">
        <f>IF(ISNUMBER(GC$4),GB12,NA())</f>
        <v>#N/A</v>
      </c>
      <c r="GC21" s="192">
        <f>GC20</f>
        <v>0</v>
      </c>
      <c r="GD21" s="197" t="e">
        <f>IF(ISNUMBER(GE$4),GD12,NA())</f>
        <v>#N/A</v>
      </c>
      <c r="GE21" s="192">
        <f>GE20</f>
        <v>0</v>
      </c>
    </row>
    <row r="22" spans="1:187" ht="11.25" customHeight="1">
      <c r="A22" s="259"/>
      <c r="B22" s="260"/>
      <c r="C22" s="260"/>
      <c r="D22" s="260"/>
      <c r="E22" s="466">
        <v>21</v>
      </c>
      <c r="F22" s="474">
        <v>18.8</v>
      </c>
      <c r="G22" s="145"/>
      <c r="H22" s="223">
        <f t="shared" ca="1" si="10"/>
        <v>16.899999999999999</v>
      </c>
      <c r="I22" s="202">
        <f t="shared" ca="1" si="2"/>
        <v>21</v>
      </c>
      <c r="J22" s="30"/>
      <c r="K22" s="248" t="str">
        <f t="shared" si="26"/>
        <v/>
      </c>
      <c r="L22" s="248" t="str">
        <f t="shared" si="24"/>
        <v/>
      </c>
      <c r="M22" s="30"/>
      <c r="N22" s="290"/>
      <c r="O22" s="228"/>
      <c r="P22" s="228"/>
      <c r="Q22" s="228"/>
      <c r="R22" s="338"/>
      <c r="S22" s="179">
        <f t="shared" si="3"/>
        <v>1.1017000000000001E-2</v>
      </c>
      <c r="T22" s="224">
        <f ca="1">IF(OFFSET($F$20,Xscrollcount,0)="","",OFFSET($F$20,Xscrollcount,0))</f>
        <v>16.899999999999999</v>
      </c>
      <c r="U22" s="203" t="s">
        <v>708</v>
      </c>
      <c r="V22" s="276">
        <f>IF(C14=0,NA(),IF(Y20,V32,NA()))</f>
        <v>14.519354838709676</v>
      </c>
      <c r="W22" s="199">
        <v>0</v>
      </c>
      <c r="X22" s="185" t="s">
        <v>712</v>
      </c>
      <c r="Y22" s="252" t="b">
        <v>0</v>
      </c>
      <c r="AA22" s="222">
        <v>9</v>
      </c>
      <c r="AB22" s="197" t="e">
        <f t="shared" si="4"/>
        <v>#N/A</v>
      </c>
      <c r="AC22" s="197">
        <f t="shared" si="16"/>
        <v>7.8</v>
      </c>
      <c r="AD22" s="197">
        <v>18</v>
      </c>
      <c r="AE22" s="192" t="e">
        <f>IF(AND(AB22&gt;XaxisL,AB22&lt;XaxisU),"z=9","")</f>
        <v>#N/A</v>
      </c>
      <c r="AH22"/>
      <c r="AJ22" s="180">
        <f t="shared" si="87"/>
        <v>1.1017000000000001E-2</v>
      </c>
      <c r="AW22" s="231"/>
      <c r="AX22" s="232" t="s">
        <v>757</v>
      </c>
      <c r="AY22" s="262">
        <f>Y10-Y11*SQRT(3)</f>
        <v>32.679491924311229</v>
      </c>
      <c r="AZ22" s="197"/>
      <c r="BA22" s="197"/>
      <c r="BB22" s="197"/>
      <c r="BC22" s="197"/>
      <c r="BD22" s="197"/>
      <c r="BE22" s="197"/>
      <c r="BF22" s="197"/>
      <c r="BG22" s="197"/>
      <c r="BH22" s="197"/>
      <c r="BI22" s="621">
        <v>14</v>
      </c>
      <c r="BJ22" s="622">
        <v>11.1</v>
      </c>
      <c r="BK22" s="623"/>
      <c r="BL22" s="1109"/>
      <c r="BM22" s="1109"/>
      <c r="BN22" s="24"/>
      <c r="BP22" s="621">
        <v>14</v>
      </c>
      <c r="BQ22" s="622">
        <v>16.7</v>
      </c>
      <c r="BR22" s="623"/>
      <c r="BS22" s="1109"/>
      <c r="BT22" s="1109"/>
      <c r="BU22" s="24"/>
      <c r="BW22" s="621">
        <v>14</v>
      </c>
      <c r="BX22" s="622">
        <v>10.6</v>
      </c>
      <c r="BY22" s="623"/>
      <c r="BZ22" s="1109"/>
      <c r="CA22" s="1109"/>
      <c r="CB22" s="24"/>
      <c r="CR22" s="179" t="s">
        <v>1269</v>
      </c>
      <c r="CS22" s="277">
        <f>(CS21-CS20)</f>
        <v>8.4000000000000021</v>
      </c>
      <c r="CT22" s="16" t="e">
        <f t="shared" si="17"/>
        <v>#N/A</v>
      </c>
      <c r="CU22" s="197" t="e">
        <f t="shared" si="18"/>
        <v>#N/A</v>
      </c>
      <c r="CV22" s="197" t="e">
        <f t="shared" si="19"/>
        <v>#N/A</v>
      </c>
      <c r="CW22" s="197">
        <v>19</v>
      </c>
      <c r="CX22" s="197">
        <f t="shared" si="11"/>
        <v>15.4</v>
      </c>
      <c r="CY22" s="197">
        <f t="shared" si="12"/>
        <v>15.212999999999997</v>
      </c>
      <c r="CZ22" s="197">
        <f t="shared" si="13"/>
        <v>1.677</v>
      </c>
      <c r="DA22" s="197">
        <f t="shared" si="20"/>
        <v>1.677</v>
      </c>
      <c r="DB22" s="16">
        <f t="shared" si="14"/>
        <v>29</v>
      </c>
      <c r="DC22" s="16">
        <f>IF(ISNUMBER(CX22),COUNTIF($DB$4:DB22,DB22)-1,NA())</f>
        <v>1</v>
      </c>
      <c r="DD22" s="222">
        <v>20</v>
      </c>
      <c r="DE22" s="197">
        <v>20</v>
      </c>
      <c r="DF22" s="197">
        <v>50</v>
      </c>
      <c r="DG22" s="197">
        <v>100</v>
      </c>
      <c r="DH22" s="192">
        <v>200</v>
      </c>
      <c r="DI22" s="16">
        <f t="shared" si="15"/>
        <v>57</v>
      </c>
      <c r="DJ22" s="192">
        <v>0</v>
      </c>
      <c r="DK22" s="16">
        <v>7</v>
      </c>
      <c r="DL22" s="16">
        <f>IF($X$3=0,NA(),IF(kbins&lt;DK22,NA(),$DI$9))</f>
        <v>18</v>
      </c>
      <c r="DM22" s="192">
        <f>$DJ$9</f>
        <v>2</v>
      </c>
      <c r="DN22" s="238" t="e">
        <f t="shared" si="21"/>
        <v>#N/A</v>
      </c>
      <c r="DO22" s="192">
        <v>0</v>
      </c>
      <c r="DP22" s="16">
        <f t="shared" si="22"/>
        <v>0.30015203356742859</v>
      </c>
      <c r="DQ22" s="16">
        <v>20</v>
      </c>
      <c r="DR22" s="16">
        <f t="shared" si="5"/>
        <v>44.8</v>
      </c>
      <c r="DS22" s="16">
        <f t="shared" si="6"/>
        <v>1.9199936149988419</v>
      </c>
      <c r="DT22" s="16">
        <f t="shared" si="7"/>
        <v>55.8</v>
      </c>
      <c r="DU22" s="16">
        <f t="shared" si="8"/>
        <v>44.2</v>
      </c>
      <c r="DV22" s="16">
        <f t="shared" si="9"/>
        <v>43.1</v>
      </c>
      <c r="DW22" s="221">
        <f>Y10-DW20*EXP(DW18^2/2)</f>
        <v>37.424280589114922</v>
      </c>
      <c r="DX22" s="197">
        <f t="shared" si="34"/>
        <v>0.37067354497354488</v>
      </c>
      <c r="DY22" s="197">
        <f t="shared" si="35"/>
        <v>0.93702399999999997</v>
      </c>
      <c r="DZ22" s="222">
        <f t="shared" si="36"/>
        <v>3.5210297872340441</v>
      </c>
      <c r="EA22" s="192">
        <f t="shared" si="37"/>
        <v>1.9370240000000001</v>
      </c>
      <c r="EB22" s="197">
        <f t="shared" si="38"/>
        <v>6.698479661016945</v>
      </c>
      <c r="EC22" s="192">
        <f t="shared" si="39"/>
        <v>3.9370240000000001</v>
      </c>
      <c r="ED22" s="197">
        <f t="shared" si="40"/>
        <v>9.8609500000000079</v>
      </c>
      <c r="EE22" s="192">
        <f t="shared" si="41"/>
        <v>5.9370240000000001</v>
      </c>
      <c r="EF22" s="197">
        <f t="shared" si="42"/>
        <v>13.048905882352942</v>
      </c>
      <c r="EG22" s="197">
        <f t="shared" si="43"/>
        <v>3.9370240000000001</v>
      </c>
      <c r="EH22" s="222">
        <f t="shared" si="44"/>
        <v>16.191493103448277</v>
      </c>
      <c r="EI22" s="192">
        <f t="shared" si="27"/>
        <v>6.9370240000000001</v>
      </c>
      <c r="EJ22" s="197">
        <f t="shared" si="45"/>
        <v>19.393491666666677</v>
      </c>
      <c r="EK22" s="192">
        <f t="shared" si="28"/>
        <v>1.9370240000000001</v>
      </c>
      <c r="EL22" s="197">
        <f t="shared" si="46"/>
        <v>22.393491666666677</v>
      </c>
      <c r="EM22" s="192">
        <f t="shared" si="29"/>
        <v>1.9370240000000001</v>
      </c>
      <c r="EN22" s="197">
        <f t="shared" si="47"/>
        <v>25.70180526315789</v>
      </c>
      <c r="EO22" s="197">
        <f t="shared" si="30"/>
        <v>0.93702399999999997</v>
      </c>
      <c r="EP22" s="222" t="e">
        <f t="shared" si="48"/>
        <v>#N/A</v>
      </c>
      <c r="EQ22" s="192">
        <f t="shared" si="31"/>
        <v>0</v>
      </c>
      <c r="ER22" s="197">
        <f t="shared" si="49"/>
        <v>31.70180526315789</v>
      </c>
      <c r="ES22" s="192">
        <f t="shared" si="32"/>
        <v>0.93702399999999997</v>
      </c>
      <c r="ET22" s="197">
        <f t="shared" si="50"/>
        <v>35.230342857142858</v>
      </c>
      <c r="EU22" s="192">
        <f t="shared" si="33"/>
        <v>0.93702399999999997</v>
      </c>
      <c r="EV22" s="197" t="e">
        <f t="shared" si="51"/>
        <v>#N/A</v>
      </c>
      <c r="EW22" s="197">
        <f t="shared" si="52"/>
        <v>0</v>
      </c>
      <c r="EX22" s="222" t="e">
        <f t="shared" si="53"/>
        <v>#N/A</v>
      </c>
      <c r="EY22" s="192">
        <f t="shared" si="54"/>
        <v>0</v>
      </c>
      <c r="EZ22" s="197" t="e">
        <f t="shared" si="55"/>
        <v>#N/A</v>
      </c>
      <c r="FA22" s="192">
        <f t="shared" si="56"/>
        <v>0</v>
      </c>
      <c r="FB22" s="197" t="e">
        <f t="shared" si="57"/>
        <v>#N/A</v>
      </c>
      <c r="FC22" s="192">
        <f t="shared" si="58"/>
        <v>0</v>
      </c>
      <c r="FD22" s="197" t="e">
        <f t="shared" si="59"/>
        <v>#N/A</v>
      </c>
      <c r="FE22" s="197">
        <f t="shared" si="60"/>
        <v>0</v>
      </c>
      <c r="FF22" s="222" t="e">
        <f>IF(ISNUMBER(FG$4),FF11,NA())</f>
        <v>#N/A</v>
      </c>
      <c r="FG22" s="192">
        <f>FG11</f>
        <v>0</v>
      </c>
      <c r="FH22" s="197" t="e">
        <f t="shared" ref="FH22:FH31" si="88">IF(ISNUMBER(FI$4),FH11,NA())</f>
        <v>#N/A</v>
      </c>
      <c r="FI22" s="192">
        <f>FI11</f>
        <v>0</v>
      </c>
      <c r="FJ22" s="197" t="e">
        <f t="shared" ref="FJ22:FJ31" si="89">IF(ISNUMBER(FK$4),FJ11,NA())</f>
        <v>#N/A</v>
      </c>
      <c r="FK22" s="192">
        <f>FK11</f>
        <v>0</v>
      </c>
      <c r="FL22" s="197" t="e">
        <f t="shared" ref="FL22:FL31" si="90">IF(ISNUMBER(FM$4),FL11,NA())</f>
        <v>#N/A</v>
      </c>
      <c r="FM22" s="197">
        <f>FM11</f>
        <v>0</v>
      </c>
      <c r="FN22" s="222" t="e">
        <f t="shared" ref="FN22:FN27" si="91">IF(ISNUMBER(FO$4),FN13,NA())</f>
        <v>#N/A</v>
      </c>
      <c r="FO22" s="192">
        <f t="shared" ref="FO22:FO27" si="92">FO21</f>
        <v>0</v>
      </c>
      <c r="FP22" s="197" t="e">
        <f t="shared" ref="FP22:FP27" si="93">IF(ISNUMBER(FQ$4),FP13,NA())</f>
        <v>#N/A</v>
      </c>
      <c r="FQ22" s="192">
        <f t="shared" ref="FQ22:FQ27" si="94">FQ21</f>
        <v>0</v>
      </c>
      <c r="FR22" s="197" t="e">
        <f t="shared" ref="FR22:FR27" si="95">IF(ISNUMBER(FS$4),FR13,NA())</f>
        <v>#N/A</v>
      </c>
      <c r="FS22" s="192">
        <f t="shared" ref="FS22:FS27" si="96">FS21</f>
        <v>0</v>
      </c>
      <c r="FT22" s="197" t="e">
        <f t="shared" ref="FT22:FT27" si="97">IF(ISNUMBER(FU$4),FT13,NA())</f>
        <v>#N/A</v>
      </c>
      <c r="FU22" s="197">
        <f t="shared" ref="FU22:FU27" si="98">FU21</f>
        <v>0</v>
      </c>
      <c r="FV22" s="222" t="e">
        <f t="shared" ref="FV22:FV27" si="99">IF(ISNUMBER(FW$4),FV13,NA())</f>
        <v>#N/A</v>
      </c>
      <c r="FW22" s="192">
        <f t="shared" ref="FW22:FW27" si="100">FW21</f>
        <v>0</v>
      </c>
      <c r="FX22" s="197" t="e">
        <f t="shared" ref="FX22:FX27" si="101">IF(ISNUMBER(FY$4),FX13,NA())</f>
        <v>#N/A</v>
      </c>
      <c r="FY22" s="192">
        <f t="shared" ref="FY22:FY27" si="102">FY21</f>
        <v>0</v>
      </c>
      <c r="FZ22" s="197" t="e">
        <f t="shared" ref="FZ22:FZ27" si="103">IF(ISNUMBER(GA$4),FZ13,NA())</f>
        <v>#N/A</v>
      </c>
      <c r="GA22" s="192">
        <f t="shared" ref="GA22:GA27" si="104">GA21</f>
        <v>0</v>
      </c>
      <c r="GB22" s="222" t="e">
        <f t="shared" ref="GB22:GB27" si="105">IF(ISNUMBER(GC$4),GB13,NA())</f>
        <v>#N/A</v>
      </c>
      <c r="GC22" s="192">
        <f t="shared" ref="GC22:GC27" si="106">GC21</f>
        <v>0</v>
      </c>
      <c r="GD22" s="197" t="e">
        <f t="shared" ref="GD22:GD27" si="107">IF(ISNUMBER(GE$4),GD13,NA())</f>
        <v>#N/A</v>
      </c>
      <c r="GE22" s="192">
        <f t="shared" ref="GE22:GE27" si="108">GE21</f>
        <v>0</v>
      </c>
    </row>
    <row r="23" spans="1:187" ht="11.25" customHeight="1">
      <c r="A23" s="279"/>
      <c r="B23" s="279"/>
      <c r="C23" s="279"/>
      <c r="D23" s="279"/>
      <c r="E23" s="466">
        <v>22</v>
      </c>
      <c r="F23" s="474">
        <v>8.5</v>
      </c>
      <c r="G23" s="145"/>
      <c r="H23" s="223">
        <f t="shared" ca="1" si="10"/>
        <v>17.7</v>
      </c>
      <c r="I23" s="202">
        <f t="shared" ca="1" si="2"/>
        <v>22</v>
      </c>
      <c r="J23" s="30"/>
      <c r="K23" s="248" t="str">
        <f t="shared" si="26"/>
        <v/>
      </c>
      <c r="L23" s="248" t="str">
        <f t="shared" si="24"/>
        <v/>
      </c>
      <c r="M23" s="30"/>
      <c r="N23" s="290"/>
      <c r="O23" s="228" t="s">
        <v>832</v>
      </c>
      <c r="P23" s="228"/>
      <c r="Q23" s="228"/>
      <c r="R23" s="338"/>
      <c r="S23" s="179">
        <f t="shared" si="3"/>
        <v>1.1017000000000001E-2</v>
      </c>
      <c r="T23" s="224">
        <f ca="1">IF(OFFSET($F$21,Xscrollcount,0)="","",OFFSET($F$21,Xscrollcount,0))</f>
        <v>18.8</v>
      </c>
      <c r="U23" s="225"/>
      <c r="V23" s="197">
        <f>V22</f>
        <v>14.519354838709676</v>
      </c>
      <c r="W23" s="192">
        <v>0</v>
      </c>
      <c r="X23" s="185" t="s">
        <v>714</v>
      </c>
      <c r="Y23" s="252" t="b">
        <v>0</v>
      </c>
      <c r="AA23" s="231">
        <v>10</v>
      </c>
      <c r="AB23" s="232" t="e">
        <f t="shared" si="4"/>
        <v>#N/A</v>
      </c>
      <c r="AC23" s="197">
        <f t="shared" si="16"/>
        <v>7.8</v>
      </c>
      <c r="AD23" s="232">
        <v>18</v>
      </c>
      <c r="AE23" s="262" t="e">
        <f>IF(AND(AB23&gt;XaxisL,AB23&lt;XaxisU),"z=10","")</f>
        <v>#N/A</v>
      </c>
      <c r="AH23"/>
      <c r="AJ23" s="180">
        <f t="shared" si="87"/>
        <v>1.1017000000000001E-2</v>
      </c>
      <c r="AW23" s="222"/>
      <c r="AX23" s="257" t="s">
        <v>758</v>
      </c>
      <c r="AY23" s="192"/>
      <c r="AZ23" s="197"/>
      <c r="BA23" s="197"/>
      <c r="BB23" s="197"/>
      <c r="BC23" s="197"/>
      <c r="BD23" s="197"/>
      <c r="BE23" s="197"/>
      <c r="BF23" s="197"/>
      <c r="BG23" s="197"/>
      <c r="BH23" s="197"/>
      <c r="BI23" s="666">
        <v>15</v>
      </c>
      <c r="BJ23" s="622">
        <v>11.2</v>
      </c>
      <c r="BK23" s="623"/>
      <c r="BL23" s="1109"/>
      <c r="BM23" s="1109"/>
      <c r="BN23" s="24"/>
      <c r="BP23" s="666">
        <v>15</v>
      </c>
      <c r="BQ23" s="622">
        <v>17.7</v>
      </c>
      <c r="BR23" s="623"/>
      <c r="BS23" s="1109"/>
      <c r="BT23" s="1109"/>
      <c r="BU23" s="24"/>
      <c r="BW23" s="666">
        <v>15</v>
      </c>
      <c r="BX23" s="622">
        <v>5.0999999999999996</v>
      </c>
      <c r="BY23" s="623"/>
      <c r="BZ23" s="1109"/>
      <c r="CA23" s="1109"/>
      <c r="CB23" s="24"/>
      <c r="CS23" s="179" t="s">
        <v>870</v>
      </c>
      <c r="CT23" s="16" t="e">
        <f t="shared" si="17"/>
        <v>#N/A</v>
      </c>
      <c r="CU23" s="197" t="e">
        <f t="shared" si="18"/>
        <v>#N/A</v>
      </c>
      <c r="CV23" s="197" t="e">
        <f t="shared" si="19"/>
        <v>#N/A</v>
      </c>
      <c r="CW23" s="197">
        <v>20</v>
      </c>
      <c r="CX23" s="197">
        <f t="shared" si="11"/>
        <v>16.7</v>
      </c>
      <c r="CY23" s="197">
        <f t="shared" si="12"/>
        <v>16.606999999999999</v>
      </c>
      <c r="CZ23" s="197">
        <f t="shared" si="13"/>
        <v>0.55900000000000005</v>
      </c>
      <c r="DA23" s="197">
        <f t="shared" si="20"/>
        <v>0.55900000000000005</v>
      </c>
      <c r="DB23" s="16">
        <f t="shared" si="14"/>
        <v>31</v>
      </c>
      <c r="DC23" s="16">
        <f>IF(ISNUMBER(CX23),COUNTIF($DB$4:DB23,DB23)-1,NA())</f>
        <v>0</v>
      </c>
      <c r="DD23" s="222">
        <v>21</v>
      </c>
      <c r="DE23" s="197">
        <v>20</v>
      </c>
      <c r="DF23" s="197">
        <v>50</v>
      </c>
      <c r="DG23" s="197">
        <v>100</v>
      </c>
      <c r="DH23" s="192">
        <v>200</v>
      </c>
      <c r="DI23" s="16">
        <f t="shared" si="15"/>
        <v>60</v>
      </c>
      <c r="DJ23" s="192">
        <v>0</v>
      </c>
      <c r="DK23" s="16">
        <v>7</v>
      </c>
      <c r="DL23" s="16">
        <f>IF($X$3=0,NA(),IF(kbins&lt;DK23,NA(),$DI$10))</f>
        <v>21</v>
      </c>
      <c r="DM23" s="192">
        <f>$DJ$9</f>
        <v>2</v>
      </c>
      <c r="DN23" s="238" t="e">
        <f t="shared" si="21"/>
        <v>#N/A</v>
      </c>
      <c r="DO23" s="192">
        <v>0</v>
      </c>
      <c r="DP23" s="16">
        <f t="shared" si="22"/>
        <v>0.23765072226524353</v>
      </c>
      <c r="DQ23" s="16">
        <v>21</v>
      </c>
      <c r="DR23" s="16">
        <f t="shared" si="5"/>
        <v>42.9</v>
      </c>
      <c r="DS23" s="16">
        <f t="shared" si="6"/>
        <v>1.7870519908142251</v>
      </c>
      <c r="DT23" s="16">
        <f t="shared" si="7"/>
        <v>56.6</v>
      </c>
      <c r="DU23" s="16">
        <f t="shared" si="8"/>
        <v>43.4</v>
      </c>
      <c r="DV23" s="16">
        <f t="shared" si="9"/>
        <v>40.9</v>
      </c>
      <c r="DW23" s="221" t="s">
        <v>753</v>
      </c>
      <c r="DX23" s="197">
        <f t="shared" si="34"/>
        <v>0.38419841269841259</v>
      </c>
      <c r="DY23" s="197">
        <f t="shared" si="35"/>
        <v>0.93702399999999997</v>
      </c>
      <c r="DZ23" s="222">
        <f t="shared" si="36"/>
        <v>3.5482234042553209</v>
      </c>
      <c r="EA23" s="192">
        <f t="shared" si="37"/>
        <v>1.9370240000000001</v>
      </c>
      <c r="EB23" s="197">
        <f t="shared" si="38"/>
        <v>6.7418050847457582</v>
      </c>
      <c r="EC23" s="192">
        <f t="shared" si="39"/>
        <v>3.9370240000000001</v>
      </c>
      <c r="ED23" s="197">
        <f t="shared" si="40"/>
        <v>9.9190454545454632</v>
      </c>
      <c r="EE23" s="192">
        <f t="shared" si="41"/>
        <v>5.9370240000000001</v>
      </c>
      <c r="EF23" s="197">
        <f t="shared" si="42"/>
        <v>13.124088235294119</v>
      </c>
      <c r="EG23" s="197">
        <f t="shared" si="43"/>
        <v>3.9370240000000001</v>
      </c>
      <c r="EH23" s="222">
        <f t="shared" si="44"/>
        <v>16.279637931034483</v>
      </c>
      <c r="EI23" s="192">
        <f t="shared" si="27"/>
        <v>6.9370240000000001</v>
      </c>
      <c r="EJ23" s="197">
        <f t="shared" si="45"/>
        <v>19.500000000000011</v>
      </c>
      <c r="EK23" s="192">
        <f t="shared" si="28"/>
        <v>1.9370240000000001</v>
      </c>
      <c r="EL23" s="197">
        <f t="shared" si="46"/>
        <v>22.500000000000011</v>
      </c>
      <c r="EM23" s="192">
        <f t="shared" si="29"/>
        <v>1.9370240000000001</v>
      </c>
      <c r="EN23" s="197">
        <f t="shared" si="47"/>
        <v>25.836342105263153</v>
      </c>
      <c r="EO23" s="197">
        <f t="shared" si="30"/>
        <v>0.93702399999999997</v>
      </c>
      <c r="EP23" s="222" t="e">
        <f t="shared" si="48"/>
        <v>#N/A</v>
      </c>
      <c r="EQ23" s="192">
        <f t="shared" si="31"/>
        <v>0</v>
      </c>
      <c r="ER23" s="197">
        <f t="shared" si="49"/>
        <v>31.836342105263153</v>
      </c>
      <c r="ES23" s="192">
        <f t="shared" si="32"/>
        <v>0.93702399999999997</v>
      </c>
      <c r="ET23" s="197">
        <f t="shared" si="50"/>
        <v>35.412928571428573</v>
      </c>
      <c r="EU23" s="192">
        <f t="shared" si="33"/>
        <v>0.93702399999999997</v>
      </c>
      <c r="EV23" s="197" t="e">
        <f t="shared" si="51"/>
        <v>#N/A</v>
      </c>
      <c r="EW23" s="197">
        <f t="shared" si="52"/>
        <v>0</v>
      </c>
      <c r="EX23" s="222" t="e">
        <f t="shared" si="53"/>
        <v>#N/A</v>
      </c>
      <c r="EY23" s="192">
        <f t="shared" si="54"/>
        <v>0</v>
      </c>
      <c r="EZ23" s="23"/>
      <c r="FA23" s="24"/>
      <c r="FB23" s="23"/>
      <c r="FC23" s="24"/>
      <c r="FD23" s="23"/>
      <c r="FE23" s="23"/>
      <c r="FF23" s="222" t="e">
        <f>IF(ISNUMBER(FG$4),FF12,NA())</f>
        <v>#N/A</v>
      </c>
      <c r="FG23" s="192">
        <f>FG22</f>
        <v>0</v>
      </c>
      <c r="FH23" s="197" t="e">
        <f t="shared" si="88"/>
        <v>#N/A</v>
      </c>
      <c r="FI23" s="192">
        <f>FI22</f>
        <v>0</v>
      </c>
      <c r="FJ23" s="197" t="e">
        <f t="shared" si="89"/>
        <v>#N/A</v>
      </c>
      <c r="FK23" s="192">
        <f>FK22</f>
        <v>0</v>
      </c>
      <c r="FL23" s="197" t="e">
        <f t="shared" si="90"/>
        <v>#N/A</v>
      </c>
      <c r="FM23" s="197">
        <f>FM22</f>
        <v>0</v>
      </c>
      <c r="FN23" s="222" t="e">
        <f t="shared" si="91"/>
        <v>#N/A</v>
      </c>
      <c r="FO23" s="192">
        <f t="shared" si="92"/>
        <v>0</v>
      </c>
      <c r="FP23" s="197" t="e">
        <f t="shared" si="93"/>
        <v>#N/A</v>
      </c>
      <c r="FQ23" s="192">
        <f t="shared" si="94"/>
        <v>0</v>
      </c>
      <c r="FR23" s="197" t="e">
        <f t="shared" si="95"/>
        <v>#N/A</v>
      </c>
      <c r="FS23" s="192">
        <f t="shared" si="96"/>
        <v>0</v>
      </c>
      <c r="FT23" s="197" t="e">
        <f t="shared" si="97"/>
        <v>#N/A</v>
      </c>
      <c r="FU23" s="197">
        <f t="shared" si="98"/>
        <v>0</v>
      </c>
      <c r="FV23" s="222" t="e">
        <f t="shared" si="99"/>
        <v>#N/A</v>
      </c>
      <c r="FW23" s="192">
        <f t="shared" si="100"/>
        <v>0</v>
      </c>
      <c r="FX23" s="197" t="e">
        <f t="shared" si="101"/>
        <v>#N/A</v>
      </c>
      <c r="FY23" s="192">
        <f t="shared" si="102"/>
        <v>0</v>
      </c>
      <c r="FZ23" s="197" t="e">
        <f t="shared" si="103"/>
        <v>#N/A</v>
      </c>
      <c r="GA23" s="192">
        <f t="shared" si="104"/>
        <v>0</v>
      </c>
      <c r="GB23" s="222" t="e">
        <f t="shared" si="105"/>
        <v>#N/A</v>
      </c>
      <c r="GC23" s="192">
        <f t="shared" si="106"/>
        <v>0</v>
      </c>
      <c r="GD23" s="197" t="e">
        <f t="shared" si="107"/>
        <v>#N/A</v>
      </c>
      <c r="GE23" s="192">
        <f t="shared" si="108"/>
        <v>0</v>
      </c>
    </row>
    <row r="24" spans="1:187" ht="11.25" customHeight="1">
      <c r="A24" s="259"/>
      <c r="B24" s="270" t="s">
        <v>867</v>
      </c>
      <c r="C24" s="197">
        <f>IF($V$35,V34,"")</f>
        <v>7.2855756741129127</v>
      </c>
      <c r="D24" s="260" t="str">
        <f>IF(ISBLANK($C$7),"",$C$7)</f>
        <v>Transcription %</v>
      </c>
      <c r="E24" s="466">
        <v>23</v>
      </c>
      <c r="F24" s="474">
        <v>1.2</v>
      </c>
      <c r="G24" s="145"/>
      <c r="H24" s="223">
        <f t="shared" ca="1" si="10"/>
        <v>17.7</v>
      </c>
      <c r="I24" s="202">
        <f t="shared" ca="1" si="2"/>
        <v>23</v>
      </c>
      <c r="J24" s="30"/>
      <c r="K24" s="248" t="str">
        <f t="shared" si="26"/>
        <v/>
      </c>
      <c r="L24" s="248" t="str">
        <f t="shared" si="24"/>
        <v/>
      </c>
      <c r="M24" s="30"/>
      <c r="N24" s="339"/>
      <c r="O24" s="340"/>
      <c r="P24" s="340"/>
      <c r="Q24" s="340"/>
      <c r="R24" s="341"/>
      <c r="S24" s="179">
        <f t="shared" si="3"/>
        <v>1.1017000000000001E-2</v>
      </c>
      <c r="T24" s="224">
        <f ca="1">IF(OFFSET($F$22,Xscrollcount,0)="","",OFFSET($F$22,Xscrollcount,0))</f>
        <v>8.5</v>
      </c>
      <c r="U24" s="225" t="s">
        <v>709</v>
      </c>
      <c r="V24" s="257" t="e">
        <f>IF(C14=0,NA(),IF(Y21,V33,NA()))</f>
        <v>#N/A</v>
      </c>
      <c r="W24" s="192">
        <f>yaxismax</f>
        <v>8</v>
      </c>
      <c r="X24" s="185" t="s">
        <v>725</v>
      </c>
      <c r="Y24" s="252" t="b">
        <v>0</v>
      </c>
      <c r="Z24" s="198"/>
      <c r="AA24" s="200" t="s">
        <v>734</v>
      </c>
      <c r="AB24" s="200"/>
      <c r="AC24" s="200"/>
      <c r="AD24" s="200"/>
      <c r="AE24" s="205" t="s">
        <v>735</v>
      </c>
      <c r="AH24"/>
      <c r="AJ24" s="180">
        <f t="shared" si="87"/>
        <v>1.1017000000000001E-2</v>
      </c>
      <c r="AW24" s="231"/>
      <c r="AX24" s="275" t="s">
        <v>830</v>
      </c>
      <c r="AY24" s="262">
        <v>0.7</v>
      </c>
      <c r="AZ24" s="197"/>
      <c r="BA24" s="197"/>
      <c r="BB24" s="197"/>
      <c r="BC24" s="197"/>
      <c r="BD24" s="197"/>
      <c r="BE24" s="197"/>
      <c r="BF24" s="197"/>
      <c r="BG24" s="197"/>
      <c r="BH24" s="197"/>
      <c r="BI24" s="621">
        <v>16</v>
      </c>
      <c r="BJ24" s="622">
        <v>10.7</v>
      </c>
      <c r="BK24" s="623"/>
      <c r="BL24" s="1109"/>
      <c r="BM24" s="1109"/>
      <c r="BN24" s="24"/>
      <c r="BP24" s="621">
        <v>16</v>
      </c>
      <c r="BQ24" s="622">
        <v>8.6999999999999993</v>
      </c>
      <c r="BR24" s="623"/>
      <c r="BS24" s="1109"/>
      <c r="BT24" s="1109"/>
      <c r="BU24" s="24"/>
      <c r="BW24" s="621">
        <v>16</v>
      </c>
      <c r="BX24" s="622">
        <v>16.7</v>
      </c>
      <c r="BY24" s="623"/>
      <c r="BZ24" s="1109"/>
      <c r="CA24" s="1109"/>
      <c r="CB24" s="24"/>
      <c r="CS24" s="281" t="b">
        <v>0</v>
      </c>
      <c r="CT24" s="16" t="e">
        <f t="shared" si="17"/>
        <v>#N/A</v>
      </c>
      <c r="CU24" s="197" t="e">
        <f t="shared" si="18"/>
        <v>#N/A</v>
      </c>
      <c r="CV24" s="197" t="e">
        <f t="shared" si="19"/>
        <v>#N/A</v>
      </c>
      <c r="CW24" s="197">
        <v>21</v>
      </c>
      <c r="CX24" s="197">
        <f t="shared" si="11"/>
        <v>16.899999999999999</v>
      </c>
      <c r="CY24" s="197">
        <f t="shared" si="12"/>
        <v>16.606999999999999</v>
      </c>
      <c r="CZ24" s="197">
        <f t="shared" si="13"/>
        <v>1.677</v>
      </c>
      <c r="DA24" s="197">
        <f t="shared" si="20"/>
        <v>1.677</v>
      </c>
      <c r="DB24" s="16">
        <f t="shared" si="14"/>
        <v>31</v>
      </c>
      <c r="DC24" s="16">
        <f>IF(ISNUMBER(CX24),COUNTIF($DB$4:DB24,DB24)-1,NA())</f>
        <v>1</v>
      </c>
      <c r="DD24" s="222">
        <v>22</v>
      </c>
      <c r="DE24" s="197">
        <v>20</v>
      </c>
      <c r="DF24" s="197">
        <v>50</v>
      </c>
      <c r="DG24" s="197">
        <v>100</v>
      </c>
      <c r="DH24" s="192">
        <v>200</v>
      </c>
      <c r="DI24" s="16">
        <f t="shared" si="15"/>
        <v>63</v>
      </c>
      <c r="DJ24" s="192">
        <v>0</v>
      </c>
      <c r="DK24" s="16">
        <v>7</v>
      </c>
      <c r="DL24" s="16">
        <f>IF($X$3=0,NA(),IF(kbins&lt;DK24,NA(),$DI$10))</f>
        <v>21</v>
      </c>
      <c r="DM24" s="192">
        <v>0</v>
      </c>
      <c r="DN24" s="238" t="e">
        <f t="shared" si="21"/>
        <v>#N/A</v>
      </c>
      <c r="DO24" s="192">
        <v>0</v>
      </c>
      <c r="DP24" s="16">
        <f t="shared" si="22"/>
        <v>0.31211182475090027</v>
      </c>
      <c r="DQ24" s="16">
        <v>22</v>
      </c>
      <c r="DR24" s="16">
        <f t="shared" si="5"/>
        <v>45.1</v>
      </c>
      <c r="DS24" s="16">
        <f t="shared" si="6"/>
        <v>1.9438567047968673</v>
      </c>
      <c r="DT24" s="16">
        <f t="shared" si="7"/>
        <v>55.6</v>
      </c>
      <c r="DU24" s="16">
        <f t="shared" si="8"/>
        <v>44.4</v>
      </c>
      <c r="DV24" s="16">
        <f t="shared" si="9"/>
        <v>43.5</v>
      </c>
      <c r="DW24" s="221">
        <f>LN(DW20)</f>
        <v>2.2867679239625232</v>
      </c>
      <c r="DX24" s="197">
        <f t="shared" si="34"/>
        <v>0.39772328042328031</v>
      </c>
      <c r="DY24" s="197">
        <f t="shared" si="35"/>
        <v>0.93702399999999997</v>
      </c>
      <c r="DZ24" s="222">
        <f t="shared" si="36"/>
        <v>3.5754170212765977</v>
      </c>
      <c r="EA24" s="192">
        <f t="shared" si="37"/>
        <v>1.9370240000000001</v>
      </c>
      <c r="EB24" s="197">
        <f t="shared" si="38"/>
        <v>6.7851305084745714</v>
      </c>
      <c r="EC24" s="192">
        <f t="shared" si="39"/>
        <v>3.9370240000000001</v>
      </c>
      <c r="ED24" s="197">
        <f t="shared" si="40"/>
        <v>9.9771409090909184</v>
      </c>
      <c r="EE24" s="192">
        <f t="shared" si="41"/>
        <v>5.9370240000000001</v>
      </c>
      <c r="EF24" s="197">
        <f t="shared" si="42"/>
        <v>13.199270588235295</v>
      </c>
      <c r="EG24" s="197">
        <f t="shared" si="43"/>
        <v>3.9370240000000001</v>
      </c>
      <c r="EH24" s="222">
        <f t="shared" si="44"/>
        <v>16.367782758620688</v>
      </c>
      <c r="EI24" s="192">
        <f t="shared" si="27"/>
        <v>6.9370240000000001</v>
      </c>
      <c r="EJ24" s="197">
        <f t="shared" si="45"/>
        <v>19.606508333333345</v>
      </c>
      <c r="EK24" s="192">
        <f t="shared" si="28"/>
        <v>1.9370240000000001</v>
      </c>
      <c r="EL24" s="197">
        <f t="shared" si="46"/>
        <v>22.606508333333345</v>
      </c>
      <c r="EM24" s="192">
        <f t="shared" si="29"/>
        <v>1.9370240000000001</v>
      </c>
      <c r="EN24" s="197">
        <f t="shared" si="47"/>
        <v>25.970878947368416</v>
      </c>
      <c r="EO24" s="197">
        <f t="shared" si="30"/>
        <v>0.93702399999999997</v>
      </c>
      <c r="EP24" s="222" t="e">
        <f t="shared" si="48"/>
        <v>#N/A</v>
      </c>
      <c r="EQ24" s="192">
        <f t="shared" si="31"/>
        <v>0</v>
      </c>
      <c r="ER24" s="197">
        <f t="shared" si="49"/>
        <v>31.970878947368416</v>
      </c>
      <c r="ES24" s="192">
        <f t="shared" si="32"/>
        <v>0.93702399999999997</v>
      </c>
      <c r="ET24" s="197">
        <f t="shared" si="50"/>
        <v>35.595514285714287</v>
      </c>
      <c r="EU24" s="192">
        <f t="shared" si="33"/>
        <v>0.93702399999999997</v>
      </c>
      <c r="EV24" s="197" t="e">
        <f t="shared" si="51"/>
        <v>#N/A</v>
      </c>
      <c r="EW24" s="197">
        <f t="shared" si="52"/>
        <v>0</v>
      </c>
      <c r="EX24" s="222" t="e">
        <f t="shared" si="53"/>
        <v>#N/A</v>
      </c>
      <c r="EY24" s="192">
        <f t="shared" si="54"/>
        <v>0</v>
      </c>
      <c r="EZ24" s="197" t="e">
        <f>IF(ISNUMBER(FA$4),EZ11,NA())</f>
        <v>#N/A</v>
      </c>
      <c r="FA24" s="192">
        <f>FA11</f>
        <v>0</v>
      </c>
      <c r="FB24" s="197" t="e">
        <f>IF(ISNUMBER(FC$4),FB11,NA())</f>
        <v>#N/A</v>
      </c>
      <c r="FC24" s="192">
        <f>FC11</f>
        <v>0</v>
      </c>
      <c r="FD24" s="197" t="e">
        <f>IF(ISNUMBER(FE$4),FD11,NA())</f>
        <v>#N/A</v>
      </c>
      <c r="FE24" s="197">
        <f>FE11</f>
        <v>0</v>
      </c>
      <c r="FF24" s="222" t="e">
        <f t="shared" ref="FF24:FF31" si="109">IF(ISNUMBER(FG$4),FF13,NA())</f>
        <v>#N/A</v>
      </c>
      <c r="FG24" s="192">
        <f t="shared" ref="FG24:FG31" si="110">FG23</f>
        <v>0</v>
      </c>
      <c r="FH24" s="197" t="e">
        <f t="shared" si="88"/>
        <v>#N/A</v>
      </c>
      <c r="FI24" s="192">
        <f t="shared" ref="FI24:FI31" si="111">FI23</f>
        <v>0</v>
      </c>
      <c r="FJ24" s="197" t="e">
        <f t="shared" si="89"/>
        <v>#N/A</v>
      </c>
      <c r="FK24" s="192">
        <f t="shared" ref="FK24:FK31" si="112">FK23</f>
        <v>0</v>
      </c>
      <c r="FL24" s="197" t="e">
        <f t="shared" si="90"/>
        <v>#N/A</v>
      </c>
      <c r="FM24" s="197">
        <f t="shared" ref="FM24:FM31" si="113">FM23</f>
        <v>0</v>
      </c>
      <c r="FN24" s="222" t="e">
        <f t="shared" si="91"/>
        <v>#N/A</v>
      </c>
      <c r="FO24" s="192">
        <f t="shared" si="92"/>
        <v>0</v>
      </c>
      <c r="FP24" s="197" t="e">
        <f t="shared" si="93"/>
        <v>#N/A</v>
      </c>
      <c r="FQ24" s="192">
        <f t="shared" si="94"/>
        <v>0</v>
      </c>
      <c r="FR24" s="197" t="e">
        <f t="shared" si="95"/>
        <v>#N/A</v>
      </c>
      <c r="FS24" s="192">
        <f t="shared" si="96"/>
        <v>0</v>
      </c>
      <c r="FT24" s="197" t="e">
        <f t="shared" si="97"/>
        <v>#N/A</v>
      </c>
      <c r="FU24" s="197">
        <f t="shared" si="98"/>
        <v>0</v>
      </c>
      <c r="FV24" s="222" t="e">
        <f t="shared" si="99"/>
        <v>#N/A</v>
      </c>
      <c r="FW24" s="192">
        <f t="shared" si="100"/>
        <v>0</v>
      </c>
      <c r="FX24" s="197" t="e">
        <f t="shared" si="101"/>
        <v>#N/A</v>
      </c>
      <c r="FY24" s="192">
        <f t="shared" si="102"/>
        <v>0</v>
      </c>
      <c r="FZ24" s="197" t="e">
        <f t="shared" si="103"/>
        <v>#N/A</v>
      </c>
      <c r="GA24" s="192">
        <f t="shared" si="104"/>
        <v>0</v>
      </c>
      <c r="GB24" s="222" t="e">
        <f t="shared" si="105"/>
        <v>#N/A</v>
      </c>
      <c r="GC24" s="192">
        <f t="shared" si="106"/>
        <v>0</v>
      </c>
      <c r="GD24" s="197" t="e">
        <f t="shared" si="107"/>
        <v>#N/A</v>
      </c>
      <c r="GE24" s="192">
        <f t="shared" si="108"/>
        <v>0</v>
      </c>
    </row>
    <row r="25" spans="1:187" ht="11.25" customHeight="1">
      <c r="A25" s="259"/>
      <c r="B25" s="270"/>
      <c r="C25" s="260"/>
      <c r="D25" s="260"/>
      <c r="E25" s="466">
        <v>24</v>
      </c>
      <c r="F25" s="474">
        <v>11.5</v>
      </c>
      <c r="G25" s="145"/>
      <c r="H25" s="223">
        <f t="shared" ca="1" si="10"/>
        <v>18</v>
      </c>
      <c r="I25" s="202">
        <f t="shared" ca="1" si="2"/>
        <v>24</v>
      </c>
      <c r="J25" s="30"/>
      <c r="K25" s="248" t="str">
        <f t="shared" si="26"/>
        <v/>
      </c>
      <c r="L25" s="248" t="str">
        <f t="shared" si="24"/>
        <v/>
      </c>
      <c r="M25" s="30"/>
      <c r="N25" s="30"/>
      <c r="O25" s="30"/>
      <c r="P25" s="30"/>
      <c r="Q25" s="30"/>
      <c r="R25" s="25"/>
      <c r="S25" s="179">
        <f t="shared" si="3"/>
        <v>1.1017000000000001E-2</v>
      </c>
      <c r="T25" s="224">
        <f ca="1">IF(OFFSET($F$23,Xscrollcount,0)="","",OFFSET($F$23,Xscrollcount,0))</f>
        <v>1.2</v>
      </c>
      <c r="U25" s="225"/>
      <c r="V25" s="197" t="e">
        <f>V24</f>
        <v>#N/A</v>
      </c>
      <c r="W25" s="192">
        <v>20</v>
      </c>
      <c r="X25" s="185" t="s">
        <v>726</v>
      </c>
      <c r="Y25" s="138" t="b">
        <f>AND(Y23,Y24)</f>
        <v>0</v>
      </c>
      <c r="Z25" s="225" t="s">
        <v>735</v>
      </c>
      <c r="AA25" s="197" t="e">
        <f>IF(C14=0,NA(),IF(Y24,CV1,NA()))</f>
        <v>#N/A</v>
      </c>
      <c r="AB25" s="197">
        <v>17</v>
      </c>
      <c r="AC25" s="197" t="e">
        <f>IF(C14=0,NA(),IF(Y24,IF(OR(CV1&lt;MIN(K7:K37),CV1&gt;MAX(K7:K37)),CV1,LOOKUP(CV1,K7:K37)),NA()))</f>
        <v>#N/A</v>
      </c>
      <c r="AD25" s="197">
        <f>yaxismax-ymajunit*0.7</f>
        <v>7.3</v>
      </c>
      <c r="AE25" s="282" t="e">
        <f>IF(C14=0,NA(),IF(Y24,IF(CV1&lt;MIN(K7:K37),0,IF(CV1&gt;MAX(K7:K37),1,DX2/C14)),NA()))</f>
        <v>#N/A</v>
      </c>
      <c r="AH25"/>
      <c r="AJ25" s="180">
        <f t="shared" si="87"/>
        <v>1.1017000000000001E-2</v>
      </c>
      <c r="BI25" s="621">
        <v>17</v>
      </c>
      <c r="BJ25" s="622">
        <v>1.9</v>
      </c>
      <c r="BK25" s="623"/>
      <c r="BL25" s="1109"/>
      <c r="BM25" s="1109"/>
      <c r="BN25" s="24"/>
      <c r="BP25" s="621">
        <v>17</v>
      </c>
      <c r="BQ25" s="622">
        <v>26.4</v>
      </c>
      <c r="BR25" s="623"/>
      <c r="BS25" s="1109"/>
      <c r="BT25" s="1109"/>
      <c r="BU25" s="24"/>
      <c r="BW25" s="621">
        <v>17</v>
      </c>
      <c r="BX25" s="622">
        <v>17.7</v>
      </c>
      <c r="BY25" s="623"/>
      <c r="BZ25" s="1109"/>
      <c r="CA25" s="1109"/>
      <c r="CB25" s="24"/>
      <c r="CT25" s="16" t="e">
        <f t="shared" si="17"/>
        <v>#N/A</v>
      </c>
      <c r="CU25" s="197" t="e">
        <f t="shared" si="18"/>
        <v>#N/A</v>
      </c>
      <c r="CV25" s="197" t="e">
        <f t="shared" si="19"/>
        <v>#N/A</v>
      </c>
      <c r="CW25" s="197">
        <v>22</v>
      </c>
      <c r="CX25" s="197">
        <f t="shared" si="11"/>
        <v>17.7</v>
      </c>
      <c r="CY25" s="197">
        <f t="shared" si="12"/>
        <v>18.000999999999998</v>
      </c>
      <c r="CZ25" s="197">
        <f t="shared" si="13"/>
        <v>0.55900000000000005</v>
      </c>
      <c r="DA25" s="197">
        <f t="shared" si="20"/>
        <v>0.55900000000000005</v>
      </c>
      <c r="DB25" s="16">
        <f t="shared" si="14"/>
        <v>33</v>
      </c>
      <c r="DC25" s="16">
        <f>IF(ISNUMBER(CX25),COUNTIF($DB$4:DB25,DB25)-1,NA())</f>
        <v>0</v>
      </c>
      <c r="DD25" s="222">
        <v>23</v>
      </c>
      <c r="DE25" s="197">
        <v>20</v>
      </c>
      <c r="DF25" s="197">
        <v>50</v>
      </c>
      <c r="DG25" s="197">
        <v>100</v>
      </c>
      <c r="DH25" s="192">
        <v>200</v>
      </c>
      <c r="DI25" s="16">
        <f t="shared" si="15"/>
        <v>66</v>
      </c>
      <c r="DJ25" s="192">
        <v>0</v>
      </c>
      <c r="DK25" s="16">
        <v>8</v>
      </c>
      <c r="DL25" s="16">
        <f>IF($X$3=0,NA(),IF(kbins&lt;DK25,NA(),$DI$10))</f>
        <v>21</v>
      </c>
      <c r="DM25" s="192">
        <f>$DJ$10</f>
        <v>2</v>
      </c>
      <c r="DN25" s="238" t="e">
        <f t="shared" si="21"/>
        <v>#N/A</v>
      </c>
      <c r="DO25" s="192">
        <v>0</v>
      </c>
      <c r="DP25" s="16">
        <f t="shared" si="22"/>
        <v>0.30496272444725037</v>
      </c>
      <c r="DQ25" s="16">
        <v>23</v>
      </c>
      <c r="DR25" s="16">
        <f t="shared" si="5"/>
        <v>44.9</v>
      </c>
      <c r="DS25" s="16">
        <f t="shared" si="6"/>
        <v>1.9296420102854916</v>
      </c>
      <c r="DT25" s="16">
        <f t="shared" si="7"/>
        <v>55.7</v>
      </c>
      <c r="DU25" s="16">
        <f t="shared" si="8"/>
        <v>44.3</v>
      </c>
      <c r="DV25" s="16">
        <f t="shared" si="9"/>
        <v>43.2</v>
      </c>
      <c r="DX25" s="197">
        <f t="shared" si="34"/>
        <v>0.41124814814814803</v>
      </c>
      <c r="DY25" s="197">
        <f t="shared" si="35"/>
        <v>0.93702399999999997</v>
      </c>
      <c r="DZ25" s="222">
        <f t="shared" si="36"/>
        <v>3.6026106382978744</v>
      </c>
      <c r="EA25" s="192">
        <f t="shared" si="37"/>
        <v>1.9370240000000001</v>
      </c>
      <c r="EB25" s="197">
        <f t="shared" si="38"/>
        <v>6.8284559322033846</v>
      </c>
      <c r="EC25" s="192">
        <f t="shared" si="39"/>
        <v>3.9370240000000001</v>
      </c>
      <c r="ED25" s="197">
        <f t="shared" si="40"/>
        <v>10.035236363636374</v>
      </c>
      <c r="EE25" s="192">
        <f t="shared" si="41"/>
        <v>5.9370240000000001</v>
      </c>
      <c r="EF25" s="197">
        <f t="shared" si="42"/>
        <v>13.274452941176472</v>
      </c>
      <c r="EG25" s="197">
        <f t="shared" si="43"/>
        <v>3.9370240000000001</v>
      </c>
      <c r="EH25" s="222">
        <f t="shared" si="44"/>
        <v>16.455927586206894</v>
      </c>
      <c r="EI25" s="192">
        <f t="shared" si="27"/>
        <v>6.9370240000000001</v>
      </c>
      <c r="EJ25" s="197">
        <f t="shared" si="45"/>
        <v>19.713016666666679</v>
      </c>
      <c r="EK25" s="192">
        <f t="shared" si="28"/>
        <v>1.9370240000000001</v>
      </c>
      <c r="EL25" s="197">
        <f t="shared" si="46"/>
        <v>22.713016666666679</v>
      </c>
      <c r="EM25" s="192">
        <f t="shared" si="29"/>
        <v>1.9370240000000001</v>
      </c>
      <c r="EN25" s="197">
        <f t="shared" si="47"/>
        <v>26.105415789473678</v>
      </c>
      <c r="EO25" s="197">
        <f t="shared" si="30"/>
        <v>0.93702399999999997</v>
      </c>
      <c r="EP25" s="222" t="e">
        <f t="shared" si="48"/>
        <v>#N/A</v>
      </c>
      <c r="EQ25" s="192">
        <f t="shared" si="31"/>
        <v>0</v>
      </c>
      <c r="ER25" s="197">
        <f t="shared" si="49"/>
        <v>32.105415789473682</v>
      </c>
      <c r="ES25" s="192">
        <f t="shared" si="32"/>
        <v>0.93702399999999997</v>
      </c>
      <c r="ET25" s="197">
        <f t="shared" si="50"/>
        <v>35.778100000000002</v>
      </c>
      <c r="EU25" s="192">
        <f t="shared" si="33"/>
        <v>0.93702399999999997</v>
      </c>
      <c r="EV25" s="197" t="e">
        <f t="shared" si="51"/>
        <v>#N/A</v>
      </c>
      <c r="EW25" s="197">
        <f t="shared" si="52"/>
        <v>0</v>
      </c>
      <c r="EX25" s="222" t="e">
        <f t="shared" si="53"/>
        <v>#N/A</v>
      </c>
      <c r="EY25" s="192">
        <f t="shared" si="54"/>
        <v>0</v>
      </c>
      <c r="EZ25" s="197" t="e">
        <f>IF(ISNUMBER(FA$4),EZ12,NA())</f>
        <v>#N/A</v>
      </c>
      <c r="FA25" s="192">
        <f>FA24</f>
        <v>0</v>
      </c>
      <c r="FB25" s="197" t="e">
        <f>IF(ISNUMBER(FC$4),FB12,NA())</f>
        <v>#N/A</v>
      </c>
      <c r="FC25" s="192">
        <f>FC24</f>
        <v>0</v>
      </c>
      <c r="FD25" s="197" t="e">
        <f>IF(ISNUMBER(FE$4),FD12,NA())</f>
        <v>#N/A</v>
      </c>
      <c r="FE25" s="197">
        <f>FE24</f>
        <v>0</v>
      </c>
      <c r="FF25" s="222" t="e">
        <f t="shared" si="109"/>
        <v>#N/A</v>
      </c>
      <c r="FG25" s="192">
        <f t="shared" si="110"/>
        <v>0</v>
      </c>
      <c r="FH25" s="197" t="e">
        <f t="shared" si="88"/>
        <v>#N/A</v>
      </c>
      <c r="FI25" s="192">
        <f t="shared" si="111"/>
        <v>0</v>
      </c>
      <c r="FJ25" s="197" t="e">
        <f t="shared" si="89"/>
        <v>#N/A</v>
      </c>
      <c r="FK25" s="192">
        <f t="shared" si="112"/>
        <v>0</v>
      </c>
      <c r="FL25" s="197" t="e">
        <f t="shared" si="90"/>
        <v>#N/A</v>
      </c>
      <c r="FM25" s="197">
        <f t="shared" si="113"/>
        <v>0</v>
      </c>
      <c r="FN25" s="222" t="e">
        <f t="shared" si="91"/>
        <v>#N/A</v>
      </c>
      <c r="FO25" s="192">
        <f t="shared" si="92"/>
        <v>0</v>
      </c>
      <c r="FP25" s="197" t="e">
        <f t="shared" si="93"/>
        <v>#N/A</v>
      </c>
      <c r="FQ25" s="192">
        <f t="shared" si="94"/>
        <v>0</v>
      </c>
      <c r="FR25" s="197" t="e">
        <f t="shared" si="95"/>
        <v>#N/A</v>
      </c>
      <c r="FS25" s="192">
        <f t="shared" si="96"/>
        <v>0</v>
      </c>
      <c r="FT25" s="197" t="e">
        <f t="shared" si="97"/>
        <v>#N/A</v>
      </c>
      <c r="FU25" s="197">
        <f t="shared" si="98"/>
        <v>0</v>
      </c>
      <c r="FV25" s="222" t="e">
        <f t="shared" si="99"/>
        <v>#N/A</v>
      </c>
      <c r="FW25" s="192">
        <f t="shared" si="100"/>
        <v>0</v>
      </c>
      <c r="FX25" s="197" t="e">
        <f t="shared" si="101"/>
        <v>#N/A</v>
      </c>
      <c r="FY25" s="192">
        <f t="shared" si="102"/>
        <v>0</v>
      </c>
      <c r="FZ25" s="197" t="e">
        <f t="shared" si="103"/>
        <v>#N/A</v>
      </c>
      <c r="GA25" s="192">
        <f t="shared" si="104"/>
        <v>0</v>
      </c>
      <c r="GB25" s="222" t="e">
        <f t="shared" si="105"/>
        <v>#N/A</v>
      </c>
      <c r="GC25" s="192">
        <f t="shared" si="106"/>
        <v>0</v>
      </c>
      <c r="GD25" s="197" t="e">
        <f t="shared" si="107"/>
        <v>#N/A</v>
      </c>
      <c r="GE25" s="192">
        <f t="shared" si="108"/>
        <v>0</v>
      </c>
    </row>
    <row r="26" spans="1:187" ht="11.25" customHeight="1">
      <c r="A26" s="278" t="s">
        <v>1267</v>
      </c>
      <c r="B26" s="279"/>
      <c r="C26" s="279"/>
      <c r="D26" s="260"/>
      <c r="E26" s="466">
        <v>25</v>
      </c>
      <c r="F26" s="474">
        <v>21.4</v>
      </c>
      <c r="G26" s="145"/>
      <c r="H26" s="223">
        <f t="shared" ca="1" si="10"/>
        <v>18.8</v>
      </c>
      <c r="I26" s="202">
        <f t="shared" ca="1" si="2"/>
        <v>25</v>
      </c>
      <c r="J26" s="30"/>
      <c r="K26" s="248" t="str">
        <f t="shared" si="26"/>
        <v/>
      </c>
      <c r="L26" s="248" t="str">
        <f t="shared" si="24"/>
        <v/>
      </c>
      <c r="M26" s="30"/>
      <c r="N26" s="30"/>
      <c r="O26" s="30"/>
      <c r="P26" s="30"/>
      <c r="Q26" s="30"/>
      <c r="R26" s="25"/>
      <c r="S26" s="179">
        <f t="shared" si="3"/>
        <v>1.1017000000000001E-2</v>
      </c>
      <c r="T26" s="224">
        <f ca="1">IF(OFFSET($F$24,Xscrollcount,0)="","",OFFSET($F$24,Xscrollcount,0))</f>
        <v>11.5</v>
      </c>
      <c r="U26" s="225" t="s">
        <v>713</v>
      </c>
      <c r="V26" s="197" t="e">
        <f>IF(X3=0,NA(),IF(Y22,V32-V34,NA()))</f>
        <v>#N/A</v>
      </c>
      <c r="W26" s="192">
        <f>yaxismax*0.95</f>
        <v>7.6</v>
      </c>
      <c r="X26" s="16" t="s">
        <v>773</v>
      </c>
      <c r="Y26" s="211" t="b">
        <v>0</v>
      </c>
      <c r="Z26" s="225" t="s">
        <v>737</v>
      </c>
      <c r="AA26" s="197" t="e">
        <f>IF(X3=0,NA(),IF(Y25,CV1,NA()))</f>
        <v>#N/A</v>
      </c>
      <c r="AB26" s="197">
        <f>AB25</f>
        <v>17</v>
      </c>
      <c r="AC26" s="197" t="e">
        <f>IF(X3=0,NA(),IF(Y25,IF(OR(CV1&lt;MIN(K7:K37),CV1&gt;MAX(K7:K37)),CV1,LOOKUP(CV1,K7:K37)),NA()))</f>
        <v>#N/A</v>
      </c>
      <c r="AD26" s="197">
        <f>AD25</f>
        <v>7.3</v>
      </c>
      <c r="AE26" s="192"/>
      <c r="AH26"/>
      <c r="AJ26" s="180">
        <f t="shared" si="87"/>
        <v>1.1017000000000001E-2</v>
      </c>
      <c r="AW26" s="16" t="s">
        <v>863</v>
      </c>
      <c r="AX26" s="185"/>
      <c r="AY26" s="185"/>
      <c r="AZ26" s="185"/>
      <c r="BA26" s="185"/>
      <c r="BB26" s="185"/>
      <c r="BC26" s="185"/>
      <c r="BD26" s="185"/>
      <c r="BE26" s="185"/>
      <c r="BF26" s="185"/>
      <c r="BG26" s="185"/>
      <c r="BH26" s="185"/>
      <c r="BI26" s="621">
        <v>18</v>
      </c>
      <c r="BJ26" s="622">
        <v>5.2</v>
      </c>
      <c r="BK26" s="623"/>
      <c r="BL26" s="1109"/>
      <c r="BM26" s="1109"/>
      <c r="BN26" s="24"/>
      <c r="BP26" s="621">
        <v>18</v>
      </c>
      <c r="BQ26" s="622">
        <v>18</v>
      </c>
      <c r="BR26" s="623"/>
      <c r="BS26" s="1109"/>
      <c r="BT26" s="1109"/>
      <c r="BU26" s="24"/>
      <c r="BW26" s="621">
        <v>18</v>
      </c>
      <c r="BX26" s="622">
        <v>8.6999999999999993</v>
      </c>
      <c r="BY26" s="623"/>
      <c r="BZ26" s="1109"/>
      <c r="CA26" s="1109"/>
      <c r="CB26" s="24"/>
      <c r="CQ26" s="180" t="s">
        <v>872</v>
      </c>
      <c r="CS26" s="180"/>
      <c r="CT26" s="16" t="e">
        <f t="shared" si="17"/>
        <v>#N/A</v>
      </c>
      <c r="CU26" s="197" t="e">
        <f t="shared" si="18"/>
        <v>#N/A</v>
      </c>
      <c r="CV26" s="197" t="e">
        <f t="shared" si="19"/>
        <v>#N/A</v>
      </c>
      <c r="CW26" s="197">
        <v>23</v>
      </c>
      <c r="CX26" s="197">
        <f t="shared" si="11"/>
        <v>17.7</v>
      </c>
      <c r="CY26" s="197">
        <f t="shared" si="12"/>
        <v>18.000999999999998</v>
      </c>
      <c r="CZ26" s="197">
        <f t="shared" si="13"/>
        <v>1.677</v>
      </c>
      <c r="DA26" s="197">
        <f t="shared" si="20"/>
        <v>1.677</v>
      </c>
      <c r="DB26" s="16">
        <f t="shared" si="14"/>
        <v>33</v>
      </c>
      <c r="DC26" s="16">
        <f>IF(ISNUMBER(CX26),COUNTIF($DB$4:DB26,DB26)-1,NA())</f>
        <v>1</v>
      </c>
      <c r="DD26" s="222">
        <v>24</v>
      </c>
      <c r="DE26" s="197">
        <v>20</v>
      </c>
      <c r="DF26" s="197">
        <v>50</v>
      </c>
      <c r="DG26" s="197">
        <v>100</v>
      </c>
      <c r="DH26" s="192">
        <v>200</v>
      </c>
      <c r="DI26" s="16">
        <f t="shared" si="15"/>
        <v>69</v>
      </c>
      <c r="DJ26" s="192">
        <v>0</v>
      </c>
      <c r="DK26" s="16">
        <v>8</v>
      </c>
      <c r="DL26" s="16">
        <f>IF($X$3=0,NA(),IF(kbins&lt;DK26,NA(),$DI$11))</f>
        <v>24</v>
      </c>
      <c r="DM26" s="192">
        <f>$DJ$10</f>
        <v>2</v>
      </c>
      <c r="DN26" s="238" t="e">
        <f t="shared" si="21"/>
        <v>#N/A</v>
      </c>
      <c r="DO26" s="192">
        <v>0</v>
      </c>
      <c r="DP26" s="16">
        <f t="shared" si="22"/>
        <v>0.20898792147636414</v>
      </c>
      <c r="DQ26" s="16">
        <v>24</v>
      </c>
      <c r="DR26" s="16">
        <f t="shared" si="5"/>
        <v>41.9</v>
      </c>
      <c r="DS26" s="16">
        <f t="shared" si="6"/>
        <v>1.7198113636309325</v>
      </c>
      <c r="DT26" s="16">
        <f t="shared" si="7"/>
        <v>57</v>
      </c>
      <c r="DU26" s="16">
        <f t="shared" si="8"/>
        <v>43</v>
      </c>
      <c r="DV26" s="16">
        <f t="shared" si="9"/>
        <v>39.9</v>
      </c>
      <c r="DX26" s="197">
        <f t="shared" si="34"/>
        <v>0.42477301587301575</v>
      </c>
      <c r="DY26" s="197">
        <f t="shared" si="35"/>
        <v>0.93702399999999997</v>
      </c>
      <c r="DZ26" s="222">
        <f t="shared" si="36"/>
        <v>3.6298042553191512</v>
      </c>
      <c r="EA26" s="192">
        <f t="shared" si="37"/>
        <v>1.9370240000000001</v>
      </c>
      <c r="EB26" s="197">
        <f t="shared" si="38"/>
        <v>6.8717813559321979</v>
      </c>
      <c r="EC26" s="192">
        <f t="shared" si="39"/>
        <v>3.9370240000000001</v>
      </c>
      <c r="ED26" s="197">
        <f t="shared" si="40"/>
        <v>10.093331818181829</v>
      </c>
      <c r="EE26" s="192">
        <f t="shared" si="41"/>
        <v>5.9370240000000001</v>
      </c>
      <c r="EF26" s="197">
        <f t="shared" si="42"/>
        <v>13.349635294117649</v>
      </c>
      <c r="EG26" s="197">
        <f t="shared" si="43"/>
        <v>3.9370240000000001</v>
      </c>
      <c r="EH26" s="222">
        <f t="shared" si="44"/>
        <v>16.544072413793099</v>
      </c>
      <c r="EI26" s="192">
        <f t="shared" si="27"/>
        <v>6.9370240000000001</v>
      </c>
      <c r="EJ26" s="197">
        <f t="shared" si="45"/>
        <v>19.819525000000013</v>
      </c>
      <c r="EK26" s="192">
        <f t="shared" si="28"/>
        <v>1.9370240000000001</v>
      </c>
      <c r="EL26" s="197">
        <f t="shared" si="46"/>
        <v>22.819525000000013</v>
      </c>
      <c r="EM26" s="192">
        <f t="shared" si="29"/>
        <v>1.9370240000000001</v>
      </c>
      <c r="EN26" s="197">
        <f t="shared" si="47"/>
        <v>26.239952631578941</v>
      </c>
      <c r="EO26" s="197">
        <f t="shared" si="30"/>
        <v>0.93702399999999997</v>
      </c>
      <c r="EP26" s="222" t="e">
        <f t="shared" si="48"/>
        <v>#N/A</v>
      </c>
      <c r="EQ26" s="192">
        <f t="shared" si="31"/>
        <v>0</v>
      </c>
      <c r="ER26" s="197">
        <f t="shared" si="49"/>
        <v>32.239952631578944</v>
      </c>
      <c r="ES26" s="192">
        <f t="shared" si="32"/>
        <v>0.93702399999999997</v>
      </c>
      <c r="ET26" s="23"/>
      <c r="EU26" s="24"/>
      <c r="EV26" s="23"/>
      <c r="EW26" s="23"/>
      <c r="EX26" s="239"/>
      <c r="EY26" s="24"/>
      <c r="EZ26" s="197" t="e">
        <f t="shared" ref="EZ26:EZ35" si="114">IF(ISNUMBER(FA$4),EZ13,NA())</f>
        <v>#N/A</v>
      </c>
      <c r="FA26" s="192">
        <f t="shared" ref="FA26:FA35" si="115">FA25</f>
        <v>0</v>
      </c>
      <c r="FB26" s="197" t="e">
        <f t="shared" ref="FB26:FB35" si="116">IF(ISNUMBER(FC$4),FB13,NA())</f>
        <v>#N/A</v>
      </c>
      <c r="FC26" s="192">
        <f t="shared" ref="FC26:FC35" si="117">FC25</f>
        <v>0</v>
      </c>
      <c r="FD26" s="197" t="e">
        <f t="shared" ref="FD26:FD35" si="118">IF(ISNUMBER(FE$4),FD13,NA())</f>
        <v>#N/A</v>
      </c>
      <c r="FE26" s="197">
        <f t="shared" ref="FE26:FE35" si="119">FE25</f>
        <v>0</v>
      </c>
      <c r="FF26" s="222" t="e">
        <f t="shared" si="109"/>
        <v>#N/A</v>
      </c>
      <c r="FG26" s="192">
        <f t="shared" si="110"/>
        <v>0</v>
      </c>
      <c r="FH26" s="197" t="e">
        <f t="shared" si="88"/>
        <v>#N/A</v>
      </c>
      <c r="FI26" s="192">
        <f t="shared" si="111"/>
        <v>0</v>
      </c>
      <c r="FJ26" s="197" t="e">
        <f t="shared" si="89"/>
        <v>#N/A</v>
      </c>
      <c r="FK26" s="192">
        <f t="shared" si="112"/>
        <v>0</v>
      </c>
      <c r="FL26" s="197" t="e">
        <f t="shared" si="90"/>
        <v>#N/A</v>
      </c>
      <c r="FM26" s="197">
        <f t="shared" si="113"/>
        <v>0</v>
      </c>
      <c r="FN26" s="222" t="e">
        <f t="shared" si="91"/>
        <v>#N/A</v>
      </c>
      <c r="FO26" s="192">
        <f t="shared" si="92"/>
        <v>0</v>
      </c>
      <c r="FP26" s="197" t="e">
        <f t="shared" si="93"/>
        <v>#N/A</v>
      </c>
      <c r="FQ26" s="192">
        <f t="shared" si="94"/>
        <v>0</v>
      </c>
      <c r="FR26" s="197" t="e">
        <f t="shared" si="95"/>
        <v>#N/A</v>
      </c>
      <c r="FS26" s="192">
        <f t="shared" si="96"/>
        <v>0</v>
      </c>
      <c r="FT26" s="197" t="e">
        <f t="shared" si="97"/>
        <v>#N/A</v>
      </c>
      <c r="FU26" s="197">
        <f t="shared" si="98"/>
        <v>0</v>
      </c>
      <c r="FV26" s="222" t="e">
        <f t="shared" si="99"/>
        <v>#N/A</v>
      </c>
      <c r="FW26" s="192">
        <f t="shared" si="100"/>
        <v>0</v>
      </c>
      <c r="FX26" s="197" t="e">
        <f t="shared" si="101"/>
        <v>#N/A</v>
      </c>
      <c r="FY26" s="192">
        <f t="shared" si="102"/>
        <v>0</v>
      </c>
      <c r="FZ26" s="197" t="e">
        <f t="shared" si="103"/>
        <v>#N/A</v>
      </c>
      <c r="GA26" s="192">
        <f t="shared" si="104"/>
        <v>0</v>
      </c>
      <c r="GB26" s="222" t="e">
        <f t="shared" si="105"/>
        <v>#N/A</v>
      </c>
      <c r="GC26" s="192">
        <f t="shared" si="106"/>
        <v>0</v>
      </c>
      <c r="GD26" s="197" t="e">
        <f t="shared" si="107"/>
        <v>#N/A</v>
      </c>
      <c r="GE26" s="192">
        <f t="shared" si="108"/>
        <v>0</v>
      </c>
    </row>
    <row r="27" spans="1:187" ht="11.25" customHeight="1">
      <c r="A27" s="259"/>
      <c r="B27" s="270" t="s">
        <v>1266</v>
      </c>
      <c r="C27" s="280">
        <f>IF(AND(C14&gt;0,$V$35),CS20,"")</f>
        <v>9.4499999999999993</v>
      </c>
      <c r="D27" s="260" t="str">
        <f>IF(ISBLANK($C$7),"",$C$7)</f>
        <v>Transcription %</v>
      </c>
      <c r="E27" s="466">
        <v>26</v>
      </c>
      <c r="F27" s="474">
        <v>10.3</v>
      </c>
      <c r="G27" s="145"/>
      <c r="H27" s="223">
        <f t="shared" ca="1" si="10"/>
        <v>19</v>
      </c>
      <c r="I27" s="202">
        <f t="shared" ca="1" si="2"/>
        <v>26</v>
      </c>
      <c r="J27" s="30"/>
      <c r="K27" s="248" t="str">
        <f t="shared" si="26"/>
        <v/>
      </c>
      <c r="L27" s="248" t="str">
        <f t="shared" si="24"/>
        <v/>
      </c>
      <c r="M27" s="30"/>
      <c r="N27" s="30"/>
      <c r="O27" s="30"/>
      <c r="P27" s="30"/>
      <c r="Q27" s="30"/>
      <c r="R27" s="25"/>
      <c r="S27" s="179">
        <f t="shared" si="3"/>
        <v>1.1017000000000001E-2</v>
      </c>
      <c r="T27" s="224">
        <f ca="1">IF(OFFSET($F$25,Xscrollcount,0)="","",OFFSET($F$25,Xscrollcount,0))</f>
        <v>21.4</v>
      </c>
      <c r="U27" s="225"/>
      <c r="V27" s="197" t="e">
        <f>IF(X3=0,NA(),IF(Y22,V32,NA()))</f>
        <v>#N/A</v>
      </c>
      <c r="W27" s="197">
        <f>W26</f>
        <v>7.6</v>
      </c>
      <c r="Z27" s="231"/>
      <c r="AA27" s="283" t="e">
        <f>"z="&amp;ROUND(CW3,2)</f>
        <v>#N/A</v>
      </c>
      <c r="AB27" s="232"/>
      <c r="AC27" s="232" t="e">
        <f>(AC26-V32)/V34</f>
        <v>#N/A</v>
      </c>
      <c r="AD27" s="232" t="e">
        <f>"z="&amp;ROUND(AC27,2)</f>
        <v>#N/A</v>
      </c>
      <c r="AE27" s="262"/>
      <c r="AH27"/>
      <c r="AJ27" s="180">
        <f t="shared" si="87"/>
        <v>1.1017000000000001E-2</v>
      </c>
      <c r="AW27" s="16" t="s">
        <v>864</v>
      </c>
      <c r="AZ27" s="185"/>
      <c r="BA27" s="185"/>
      <c r="BB27" s="185"/>
      <c r="BC27" s="185"/>
      <c r="BD27" s="185"/>
      <c r="BE27" s="185"/>
      <c r="BF27" s="185"/>
      <c r="BG27" s="185"/>
      <c r="BH27" s="185"/>
      <c r="BI27" s="621">
        <v>19</v>
      </c>
      <c r="BJ27" s="622">
        <v>9.6999999999999993</v>
      </c>
      <c r="BK27" s="623"/>
      <c r="BL27" s="1109"/>
      <c r="BM27" s="1109"/>
      <c r="BN27" s="24"/>
      <c r="BP27" s="621">
        <v>19</v>
      </c>
      <c r="BQ27" s="622">
        <v>19</v>
      </c>
      <c r="BR27" s="623"/>
      <c r="BS27" s="1109"/>
      <c r="BT27" s="1109"/>
      <c r="BU27" s="24"/>
      <c r="BW27" s="621">
        <v>19</v>
      </c>
      <c r="BX27" s="622">
        <v>26.4</v>
      </c>
      <c r="BY27" s="623"/>
      <c r="BZ27" s="1109"/>
      <c r="CA27" s="1109"/>
      <c r="CB27" s="24"/>
      <c r="CQ27" s="179" t="s">
        <v>865</v>
      </c>
      <c r="CR27" s="277" t="e">
        <f>IF(C14=0,NA(),IF(CS24,CS20,NA()))</f>
        <v>#N/A</v>
      </c>
      <c r="CS27" s="180">
        <f>W25</f>
        <v>20</v>
      </c>
      <c r="CT27" s="16" t="e">
        <f t="shared" si="17"/>
        <v>#N/A</v>
      </c>
      <c r="CU27" s="197" t="e">
        <f t="shared" si="18"/>
        <v>#N/A</v>
      </c>
      <c r="CV27" s="197" t="e">
        <f t="shared" si="19"/>
        <v>#N/A</v>
      </c>
      <c r="CW27" s="197">
        <v>24</v>
      </c>
      <c r="CX27" s="197">
        <f t="shared" si="11"/>
        <v>18</v>
      </c>
      <c r="CY27" s="197">
        <f t="shared" si="12"/>
        <v>18.000999999999998</v>
      </c>
      <c r="CZ27" s="197">
        <f t="shared" si="13"/>
        <v>2.7950000000000004</v>
      </c>
      <c r="DA27" s="197">
        <f t="shared" si="20"/>
        <v>2.7950000000000004</v>
      </c>
      <c r="DB27" s="16">
        <f t="shared" si="14"/>
        <v>33</v>
      </c>
      <c r="DC27" s="16">
        <f>IF(ISNUMBER(CX27),COUNTIF($DB$4:DB27,DB27)-1,NA())</f>
        <v>2</v>
      </c>
      <c r="DD27" s="222">
        <v>25</v>
      </c>
      <c r="DE27" s="197">
        <v>20</v>
      </c>
      <c r="DF27" s="197">
        <v>50</v>
      </c>
      <c r="DG27" s="197">
        <v>100</v>
      </c>
      <c r="DH27" s="192">
        <v>200</v>
      </c>
      <c r="DI27" s="16">
        <f t="shared" si="15"/>
        <v>72</v>
      </c>
      <c r="DJ27" s="192">
        <v>0</v>
      </c>
      <c r="DK27" s="16">
        <v>8</v>
      </c>
      <c r="DL27" s="16">
        <f>IF($X$3=0,NA(),IF(kbins&lt;DK27,NA(),$DI$11))</f>
        <v>24</v>
      </c>
      <c r="DM27" s="192">
        <v>0</v>
      </c>
      <c r="DN27" s="238" t="e">
        <f t="shared" si="21"/>
        <v>#N/A</v>
      </c>
      <c r="DO27" s="192">
        <v>0</v>
      </c>
      <c r="DP27" s="16">
        <f t="shared" si="22"/>
        <v>0.93160662055015564</v>
      </c>
      <c r="DQ27" s="16">
        <v>25</v>
      </c>
      <c r="DR27" s="16">
        <f t="shared" si="5"/>
        <v>64.900000000000006</v>
      </c>
      <c r="DS27" s="16">
        <f t="shared" si="6"/>
        <v>3.3282727357055677</v>
      </c>
      <c r="DT27" s="16">
        <f t="shared" si="7"/>
        <v>34.700000000000003</v>
      </c>
      <c r="DU27" s="16">
        <f t="shared" si="8"/>
        <v>65.3</v>
      </c>
      <c r="DV27" s="16">
        <f t="shared" si="9"/>
        <v>65</v>
      </c>
      <c r="DX27" s="197">
        <f t="shared" si="34"/>
        <v>0.43829788359788346</v>
      </c>
      <c r="DY27" s="197">
        <f t="shared" si="35"/>
        <v>0.93702399999999997</v>
      </c>
      <c r="DZ27" s="222">
        <f t="shared" si="36"/>
        <v>3.6569978723404279</v>
      </c>
      <c r="EA27" s="192">
        <f t="shared" si="37"/>
        <v>1.9370240000000001</v>
      </c>
      <c r="EB27" s="197">
        <f t="shared" si="38"/>
        <v>6.9151067796610111</v>
      </c>
      <c r="EC27" s="192">
        <f t="shared" si="39"/>
        <v>3.9370240000000001</v>
      </c>
      <c r="ED27" s="197">
        <f t="shared" si="40"/>
        <v>10.151427272727284</v>
      </c>
      <c r="EE27" s="192">
        <f t="shared" si="41"/>
        <v>5.9370240000000001</v>
      </c>
      <c r="EF27" s="197">
        <f t="shared" si="42"/>
        <v>13.424817647058825</v>
      </c>
      <c r="EG27" s="197">
        <f t="shared" si="43"/>
        <v>3.9370240000000001</v>
      </c>
      <c r="EH27" s="222">
        <f t="shared" si="44"/>
        <v>16.632217241379305</v>
      </c>
      <c r="EI27" s="192">
        <f t="shared" si="27"/>
        <v>6.9370240000000001</v>
      </c>
      <c r="EJ27" s="197">
        <f t="shared" si="45"/>
        <v>19.926033333333347</v>
      </c>
      <c r="EK27" s="192">
        <f t="shared" si="28"/>
        <v>1.9370240000000001</v>
      </c>
      <c r="EL27" s="197">
        <f t="shared" si="46"/>
        <v>22.926033333333347</v>
      </c>
      <c r="EM27" s="192">
        <f t="shared" si="29"/>
        <v>1.9370240000000001</v>
      </c>
      <c r="EN27" s="197">
        <f t="shared" si="47"/>
        <v>26.374489473684203</v>
      </c>
      <c r="EO27" s="197">
        <f t="shared" si="30"/>
        <v>0.93702399999999997</v>
      </c>
      <c r="EP27" s="222" t="e">
        <f t="shared" si="48"/>
        <v>#N/A</v>
      </c>
      <c r="EQ27" s="192">
        <f t="shared" si="31"/>
        <v>0</v>
      </c>
      <c r="ER27" s="197">
        <f t="shared" si="49"/>
        <v>32.374489473684207</v>
      </c>
      <c r="ES27" s="192">
        <f t="shared" si="32"/>
        <v>0.93702399999999997</v>
      </c>
      <c r="ET27" s="197" t="e">
        <f>IF(ISNUMBER(EU$4),ET11,NA())</f>
        <v>#N/A</v>
      </c>
      <c r="EU27" s="192">
        <f>EU11</f>
        <v>0.93702399999999997</v>
      </c>
      <c r="EV27" s="197" t="e">
        <f>IF(ISNUMBER(EW$4),EV11,NA())</f>
        <v>#N/A</v>
      </c>
      <c r="EW27" s="197">
        <f>EW11</f>
        <v>0</v>
      </c>
      <c r="EX27" s="222" t="e">
        <f>IF(ISNUMBER(EY$4),EX11,NA())</f>
        <v>#N/A</v>
      </c>
      <c r="EY27" s="192">
        <f>EY11</f>
        <v>0</v>
      </c>
      <c r="EZ27" s="197" t="e">
        <f t="shared" si="114"/>
        <v>#N/A</v>
      </c>
      <c r="FA27" s="192">
        <f t="shared" si="115"/>
        <v>0</v>
      </c>
      <c r="FB27" s="197" t="e">
        <f t="shared" si="116"/>
        <v>#N/A</v>
      </c>
      <c r="FC27" s="192">
        <f t="shared" si="117"/>
        <v>0</v>
      </c>
      <c r="FD27" s="197" t="e">
        <f t="shared" si="118"/>
        <v>#N/A</v>
      </c>
      <c r="FE27" s="197">
        <f t="shared" si="119"/>
        <v>0</v>
      </c>
      <c r="FF27" s="222" t="e">
        <f t="shared" si="109"/>
        <v>#N/A</v>
      </c>
      <c r="FG27" s="192">
        <f t="shared" si="110"/>
        <v>0</v>
      </c>
      <c r="FH27" s="197" t="e">
        <f t="shared" si="88"/>
        <v>#N/A</v>
      </c>
      <c r="FI27" s="192">
        <f t="shared" si="111"/>
        <v>0</v>
      </c>
      <c r="FJ27" s="197" t="e">
        <f t="shared" si="89"/>
        <v>#N/A</v>
      </c>
      <c r="FK27" s="192">
        <f t="shared" si="112"/>
        <v>0</v>
      </c>
      <c r="FL27" s="197" t="e">
        <f t="shared" si="90"/>
        <v>#N/A</v>
      </c>
      <c r="FM27" s="197">
        <f t="shared" si="113"/>
        <v>0</v>
      </c>
      <c r="FN27" s="222" t="e">
        <f t="shared" si="91"/>
        <v>#N/A</v>
      </c>
      <c r="FO27" s="192">
        <f t="shared" si="92"/>
        <v>0</v>
      </c>
      <c r="FP27" s="197" t="e">
        <f t="shared" si="93"/>
        <v>#N/A</v>
      </c>
      <c r="FQ27" s="192">
        <f t="shared" si="94"/>
        <v>0</v>
      </c>
      <c r="FR27" s="197" t="e">
        <f t="shared" si="95"/>
        <v>#N/A</v>
      </c>
      <c r="FS27" s="192">
        <f t="shared" si="96"/>
        <v>0</v>
      </c>
      <c r="FT27" s="197" t="e">
        <f t="shared" si="97"/>
        <v>#N/A</v>
      </c>
      <c r="FU27" s="197">
        <f t="shared" si="98"/>
        <v>0</v>
      </c>
      <c r="FV27" s="222" t="e">
        <f t="shared" si="99"/>
        <v>#N/A</v>
      </c>
      <c r="FW27" s="192">
        <f t="shared" si="100"/>
        <v>0</v>
      </c>
      <c r="FX27" s="197" t="e">
        <f t="shared" si="101"/>
        <v>#N/A</v>
      </c>
      <c r="FY27" s="192">
        <f t="shared" si="102"/>
        <v>0</v>
      </c>
      <c r="FZ27" s="197" t="e">
        <f t="shared" si="103"/>
        <v>#N/A</v>
      </c>
      <c r="GA27" s="192">
        <f t="shared" si="104"/>
        <v>0</v>
      </c>
      <c r="GB27" s="222" t="e">
        <f t="shared" si="105"/>
        <v>#N/A</v>
      </c>
      <c r="GC27" s="192">
        <f t="shared" si="106"/>
        <v>0</v>
      </c>
      <c r="GD27" s="197" t="e">
        <f t="shared" si="107"/>
        <v>#N/A</v>
      </c>
      <c r="GE27" s="192">
        <f t="shared" si="108"/>
        <v>0</v>
      </c>
    </row>
    <row r="28" spans="1:187" ht="11.25" customHeight="1">
      <c r="A28" s="259"/>
      <c r="B28" s="270" t="s">
        <v>869</v>
      </c>
      <c r="C28" s="280">
        <f>IF(AND(C14&gt;0,$V$35),CS21,"")</f>
        <v>17.850000000000001</v>
      </c>
      <c r="D28" s="260" t="str">
        <f>IF(ISBLANK($C$7),"",$C$7)</f>
        <v>Transcription %</v>
      </c>
      <c r="E28" s="466">
        <v>27</v>
      </c>
      <c r="F28" s="474">
        <v>9</v>
      </c>
      <c r="G28" s="145"/>
      <c r="H28" s="223">
        <f t="shared" ca="1" si="10"/>
        <v>21.1</v>
      </c>
      <c r="I28" s="202">
        <f t="shared" ca="1" si="2"/>
        <v>27</v>
      </c>
      <c r="J28" s="30"/>
      <c r="K28" s="248" t="str">
        <f t="shared" si="26"/>
        <v/>
      </c>
      <c r="L28" s="248" t="str">
        <f t="shared" si="24"/>
        <v/>
      </c>
      <c r="M28" s="30"/>
      <c r="N28" s="30"/>
      <c r="O28" s="30"/>
      <c r="P28" s="30"/>
      <c r="Q28" s="30"/>
      <c r="S28" s="179">
        <f t="shared" si="3"/>
        <v>1.1017000000000001E-2</v>
      </c>
      <c r="T28" s="224">
        <f ca="1">IF(OFFSET($F$26,Xscrollcount,0)="","",OFFSET($F$26,Xscrollcount,0))</f>
        <v>10.3</v>
      </c>
      <c r="U28" s="225"/>
      <c r="V28" s="197" t="e">
        <f>IF(X3=0,NA(),IF(Y22,V32+V34,NA()))</f>
        <v>#N/A</v>
      </c>
      <c r="W28" s="197">
        <f>W26</f>
        <v>7.6</v>
      </c>
      <c r="X28" s="198" t="s">
        <v>745</v>
      </c>
      <c r="Y28" s="200"/>
      <c r="Z28" s="197"/>
      <c r="AA28" s="192"/>
      <c r="AB28" s="267"/>
      <c r="AC28" s="268" t="s">
        <v>740</v>
      </c>
      <c r="AD28" s="264" t="e">
        <f>IF(OR(pccursortf,zcursortf),CV1,NA())</f>
        <v>#N/A</v>
      </c>
      <c r="AE28" s="184"/>
      <c r="AH28"/>
      <c r="AJ28" s="180">
        <f t="shared" si="87"/>
        <v>1.1017000000000001E-2</v>
      </c>
      <c r="AW28" s="185" t="s">
        <v>640</v>
      </c>
      <c r="BI28" s="621">
        <v>20</v>
      </c>
      <c r="BJ28" s="622">
        <v>5.2</v>
      </c>
      <c r="BK28" s="623"/>
      <c r="BL28" s="1109"/>
      <c r="BM28" s="1109"/>
      <c r="BN28" s="24"/>
      <c r="BP28" s="621">
        <v>20</v>
      </c>
      <c r="BQ28" s="622">
        <v>16.899999999999999</v>
      </c>
      <c r="BR28" s="623"/>
      <c r="BS28" s="1109"/>
      <c r="BT28" s="1109"/>
      <c r="BU28" s="24"/>
      <c r="BW28" s="621">
        <v>20</v>
      </c>
      <c r="BX28" s="622">
        <v>18</v>
      </c>
      <c r="BY28" s="623"/>
      <c r="BZ28" s="1109"/>
      <c r="CA28" s="1109"/>
      <c r="CB28" s="24"/>
      <c r="CQ28" s="179" t="s">
        <v>871</v>
      </c>
      <c r="CR28" s="277" t="e">
        <f>IF(C14=0,NA(),IF(CS24,CS21,NA()))</f>
        <v>#N/A</v>
      </c>
      <c r="CS28" s="180">
        <f>CS27</f>
        <v>20</v>
      </c>
      <c r="CT28" s="16" t="e">
        <f t="shared" si="17"/>
        <v>#N/A</v>
      </c>
      <c r="CU28" s="197" t="e">
        <f t="shared" si="18"/>
        <v>#N/A</v>
      </c>
      <c r="CV28" s="197" t="e">
        <f t="shared" si="19"/>
        <v>#N/A</v>
      </c>
      <c r="CW28" s="197">
        <v>25</v>
      </c>
      <c r="CX28" s="197">
        <f t="shared" si="11"/>
        <v>18.8</v>
      </c>
      <c r="CY28" s="197">
        <f t="shared" si="12"/>
        <v>18.697999999999997</v>
      </c>
      <c r="CZ28" s="197">
        <f t="shared" si="13"/>
        <v>0.55900000000000005</v>
      </c>
      <c r="DA28" s="197">
        <f t="shared" si="20"/>
        <v>0.55900000000000005</v>
      </c>
      <c r="DB28" s="16">
        <f t="shared" si="14"/>
        <v>34</v>
      </c>
      <c r="DC28" s="16">
        <f>IF(ISNUMBER(CX28),COUNTIF($DB$4:DB28,DB28)-1,NA())</f>
        <v>0</v>
      </c>
      <c r="DD28" s="222">
        <v>26</v>
      </c>
      <c r="DE28" s="197">
        <v>20</v>
      </c>
      <c r="DF28" s="197">
        <v>50</v>
      </c>
      <c r="DG28" s="197">
        <v>100</v>
      </c>
      <c r="DH28" s="192">
        <v>200</v>
      </c>
      <c r="DI28" s="16">
        <f t="shared" si="15"/>
        <v>75</v>
      </c>
      <c r="DJ28" s="192">
        <v>0</v>
      </c>
      <c r="DK28" s="16">
        <v>9</v>
      </c>
      <c r="DL28" s="16">
        <f>IF($X$3=0,NA(),IF(kbins&lt;DK28,NA(),$DI$11))</f>
        <v>24</v>
      </c>
      <c r="DM28" s="192">
        <f>$DJ$11</f>
        <v>1</v>
      </c>
      <c r="DN28" s="238" t="e">
        <f t="shared" si="21"/>
        <v>#N/A</v>
      </c>
      <c r="DO28" s="192">
        <v>0</v>
      </c>
      <c r="DP28" s="16">
        <f t="shared" si="22"/>
        <v>0.31638762354850769</v>
      </c>
      <c r="DQ28" s="16">
        <v>26</v>
      </c>
      <c r="DR28" s="16">
        <f t="shared" si="5"/>
        <v>45.2</v>
      </c>
      <c r="DS28" s="16">
        <f t="shared" si="6"/>
        <v>1.9522908971784105</v>
      </c>
      <c r="DT28" s="16">
        <f t="shared" si="7"/>
        <v>55.5</v>
      </c>
      <c r="DU28" s="16">
        <f t="shared" si="8"/>
        <v>44.5</v>
      </c>
      <c r="DV28" s="16">
        <f t="shared" si="9"/>
        <v>43.6</v>
      </c>
      <c r="DX28" s="197">
        <f t="shared" si="34"/>
        <v>0.45182275132275118</v>
      </c>
      <c r="DY28" s="197">
        <f t="shared" si="35"/>
        <v>0.93702399999999997</v>
      </c>
      <c r="DZ28" s="222">
        <f t="shared" si="36"/>
        <v>3.6841914893617047</v>
      </c>
      <c r="EA28" s="192">
        <f t="shared" si="37"/>
        <v>1.9370240000000001</v>
      </c>
      <c r="EB28" s="197">
        <f t="shared" si="38"/>
        <v>6.9584322033898243</v>
      </c>
      <c r="EC28" s="192">
        <f t="shared" si="39"/>
        <v>3.9370240000000001</v>
      </c>
      <c r="ED28" s="197">
        <f t="shared" si="40"/>
        <v>10.20952272727274</v>
      </c>
      <c r="EE28" s="192">
        <f t="shared" si="41"/>
        <v>5.9370240000000001</v>
      </c>
      <c r="EF28" s="197">
        <f t="shared" si="42"/>
        <v>13.500000000000002</v>
      </c>
      <c r="EG28" s="197">
        <f t="shared" si="43"/>
        <v>3.9370240000000001</v>
      </c>
      <c r="EH28" s="222">
        <f t="shared" si="44"/>
        <v>16.72036206896551</v>
      </c>
      <c r="EI28" s="192">
        <f t="shared" ref="EI28:EI40" si="120">EI27</f>
        <v>6.9370240000000001</v>
      </c>
      <c r="EJ28" s="197">
        <f t="shared" si="45"/>
        <v>20.032541666666681</v>
      </c>
      <c r="EK28" s="192">
        <f t="shared" ref="EK28:EK35" si="121">EK27</f>
        <v>1.9370240000000001</v>
      </c>
      <c r="EL28" s="197">
        <f t="shared" si="46"/>
        <v>23.032541666666681</v>
      </c>
      <c r="EM28" s="192">
        <f t="shared" ref="EM28:EM35" si="122">EM27</f>
        <v>1.9370240000000001</v>
      </c>
      <c r="EN28" s="197">
        <f t="shared" si="47"/>
        <v>26.509026315789466</v>
      </c>
      <c r="EO28" s="197">
        <f t="shared" si="30"/>
        <v>0.93702399999999997</v>
      </c>
      <c r="EP28" s="222" t="e">
        <f t="shared" si="48"/>
        <v>#N/A</v>
      </c>
      <c r="EQ28" s="192">
        <f t="shared" si="31"/>
        <v>0</v>
      </c>
      <c r="ER28" s="197">
        <f t="shared" si="49"/>
        <v>32.50902631578947</v>
      </c>
      <c r="ES28" s="192">
        <f t="shared" si="32"/>
        <v>0.93702399999999997</v>
      </c>
      <c r="ET28" s="197" t="e">
        <f>IF(ISNUMBER(EU$4),ET12,NA())</f>
        <v>#N/A</v>
      </c>
      <c r="EU28" s="192">
        <f>EU27</f>
        <v>0.93702399999999997</v>
      </c>
      <c r="EV28" s="197" t="e">
        <f>IF(ISNUMBER(EW$4),EV12,NA())</f>
        <v>#N/A</v>
      </c>
      <c r="EW28" s="197">
        <f>EW27</f>
        <v>0</v>
      </c>
      <c r="EX28" s="222" t="e">
        <f>IF(ISNUMBER(EY$4),EX12,NA())</f>
        <v>#N/A</v>
      </c>
      <c r="EY28" s="192">
        <f>EY27</f>
        <v>0</v>
      </c>
      <c r="EZ28" s="197" t="e">
        <f t="shared" si="114"/>
        <v>#N/A</v>
      </c>
      <c r="FA28" s="192">
        <f t="shared" si="115"/>
        <v>0</v>
      </c>
      <c r="FB28" s="197" t="e">
        <f t="shared" si="116"/>
        <v>#N/A</v>
      </c>
      <c r="FC28" s="192">
        <f t="shared" si="117"/>
        <v>0</v>
      </c>
      <c r="FD28" s="197" t="e">
        <f t="shared" si="118"/>
        <v>#N/A</v>
      </c>
      <c r="FE28" s="197">
        <f t="shared" si="119"/>
        <v>0</v>
      </c>
      <c r="FF28" s="222" t="e">
        <f t="shared" si="109"/>
        <v>#N/A</v>
      </c>
      <c r="FG28" s="192">
        <f t="shared" si="110"/>
        <v>0</v>
      </c>
      <c r="FH28" s="197" t="e">
        <f t="shared" si="88"/>
        <v>#N/A</v>
      </c>
      <c r="FI28" s="192">
        <f t="shared" si="111"/>
        <v>0</v>
      </c>
      <c r="FJ28" s="197" t="e">
        <f t="shared" si="89"/>
        <v>#N/A</v>
      </c>
      <c r="FK28" s="192">
        <f t="shared" si="112"/>
        <v>0</v>
      </c>
      <c r="FL28" s="197" t="e">
        <f t="shared" si="90"/>
        <v>#N/A</v>
      </c>
      <c r="FM28" s="197">
        <f t="shared" si="113"/>
        <v>0</v>
      </c>
    </row>
    <row r="29" spans="1:187" ht="11.25" customHeight="1">
      <c r="A29" s="259"/>
      <c r="B29" s="279"/>
      <c r="C29" s="279"/>
      <c r="D29" s="260"/>
      <c r="E29" s="466">
        <v>28</v>
      </c>
      <c r="F29" s="474">
        <v>12.8</v>
      </c>
      <c r="G29" s="145"/>
      <c r="H29" s="223">
        <f t="shared" ca="1" si="10"/>
        <v>21.4</v>
      </c>
      <c r="I29" s="202">
        <f t="shared" ca="1" si="2"/>
        <v>28</v>
      </c>
      <c r="J29" s="30"/>
      <c r="K29" s="248" t="str">
        <f t="shared" si="26"/>
        <v/>
      </c>
      <c r="L29" s="248" t="str">
        <f t="shared" si="24"/>
        <v/>
      </c>
      <c r="S29" s="179">
        <f t="shared" si="3"/>
        <v>1.1017000000000001E-2</v>
      </c>
      <c r="T29" s="224">
        <f ca="1">IF(OFFSET($F$27,Xscrollcount,0)="","",OFFSET($F$27,Xscrollcount,0))</f>
        <v>9</v>
      </c>
      <c r="U29" s="225"/>
      <c r="V29" s="197" t="e">
        <f>V26</f>
        <v>#N/A</v>
      </c>
      <c r="W29" s="197">
        <v>18</v>
      </c>
      <c r="X29" s="225" t="s">
        <v>724</v>
      </c>
      <c r="Y29" s="197">
        <f>(V32-V34-X3/V9)</f>
        <v>6.8987791645967631</v>
      </c>
      <c r="Z29" s="197">
        <f>(V32+V34+X3/V9)</f>
        <v>22.139930512822588</v>
      </c>
      <c r="AA29" s="288" t="s">
        <v>744</v>
      </c>
      <c r="AH29"/>
      <c r="AJ29" s="180">
        <f t="shared" si="87"/>
        <v>1.1017000000000001E-2</v>
      </c>
      <c r="AW29" s="289">
        <v>559</v>
      </c>
      <c r="AZ29" s="185"/>
      <c r="BA29" s="185"/>
      <c r="BB29" s="185"/>
      <c r="BC29" s="185"/>
      <c r="BD29" s="185"/>
      <c r="BE29" s="185"/>
      <c r="BF29" s="185"/>
      <c r="BG29" s="185"/>
      <c r="BH29" s="185"/>
      <c r="BI29" s="621">
        <v>21</v>
      </c>
      <c r="BJ29" s="622">
        <v>2.4</v>
      </c>
      <c r="BK29" s="623"/>
      <c r="BL29" s="1109"/>
      <c r="BM29" s="1109"/>
      <c r="BN29" s="24"/>
      <c r="BP29" s="621">
        <v>21</v>
      </c>
      <c r="BQ29" s="622">
        <v>18.8</v>
      </c>
      <c r="BR29" s="623"/>
      <c r="BS29" s="1109"/>
      <c r="BT29" s="1109"/>
      <c r="BU29" s="24"/>
      <c r="BW29" s="621">
        <v>21</v>
      </c>
      <c r="BX29" s="622">
        <v>19</v>
      </c>
      <c r="BY29" s="623"/>
      <c r="BZ29" s="1109"/>
      <c r="CA29" s="1109"/>
      <c r="CB29" s="24"/>
      <c r="CQ29" s="179" t="s">
        <v>865</v>
      </c>
      <c r="CR29" s="181" t="e">
        <f>CR27</f>
        <v>#N/A</v>
      </c>
      <c r="CS29" s="181">
        <f>Y19</f>
        <v>8</v>
      </c>
      <c r="CT29" s="16" t="e">
        <f t="shared" si="17"/>
        <v>#N/A</v>
      </c>
      <c r="CU29" s="197" t="e">
        <f t="shared" si="18"/>
        <v>#N/A</v>
      </c>
      <c r="CV29" s="197" t="e">
        <f t="shared" si="19"/>
        <v>#N/A</v>
      </c>
      <c r="CW29" s="197">
        <v>26</v>
      </c>
      <c r="CX29" s="197">
        <f t="shared" si="11"/>
        <v>19</v>
      </c>
      <c r="CY29" s="197">
        <f t="shared" si="12"/>
        <v>18.697999999999997</v>
      </c>
      <c r="CZ29" s="197">
        <f t="shared" si="13"/>
        <v>1.677</v>
      </c>
      <c r="DA29" s="197">
        <f t="shared" si="20"/>
        <v>1.677</v>
      </c>
      <c r="DB29" s="16">
        <f t="shared" si="14"/>
        <v>34</v>
      </c>
      <c r="DC29" s="16">
        <f>IF(ISNUMBER(CX29),COUNTIF($DB$4:DB29,DB29)-1,NA())</f>
        <v>1</v>
      </c>
      <c r="DD29" s="222">
        <v>27</v>
      </c>
      <c r="DE29" s="197">
        <v>20</v>
      </c>
      <c r="DF29" s="197">
        <v>50</v>
      </c>
      <c r="DG29" s="197">
        <v>100</v>
      </c>
      <c r="DH29" s="192">
        <v>200</v>
      </c>
      <c r="DI29" s="16">
        <f t="shared" si="15"/>
        <v>78</v>
      </c>
      <c r="DJ29" s="192">
        <v>0</v>
      </c>
      <c r="DK29" s="16">
        <v>9</v>
      </c>
      <c r="DL29" s="16">
        <f>IF($X$3=0,NA(),IF(kbins&lt;DK29,NA(),$DI$12))</f>
        <v>27</v>
      </c>
      <c r="DM29" s="192">
        <f>$DJ$11</f>
        <v>1</v>
      </c>
      <c r="DN29" s="238" t="e">
        <f t="shared" si="21"/>
        <v>#N/A</v>
      </c>
      <c r="DO29" s="192">
        <v>0</v>
      </c>
      <c r="DP29" s="16">
        <f t="shared" si="22"/>
        <v>0.34852418303489685</v>
      </c>
      <c r="DQ29" s="16">
        <v>27</v>
      </c>
      <c r="DR29" s="16">
        <f t="shared" si="5"/>
        <v>46.1</v>
      </c>
      <c r="DS29" s="16">
        <f t="shared" si="6"/>
        <v>2.0142523684544349</v>
      </c>
      <c r="DT29" s="16">
        <f t="shared" si="7"/>
        <v>55.1</v>
      </c>
      <c r="DU29" s="16">
        <f t="shared" si="8"/>
        <v>44.9</v>
      </c>
      <c r="DV29" s="16">
        <f t="shared" si="9"/>
        <v>44.8</v>
      </c>
      <c r="DX29" s="197">
        <f t="shared" si="34"/>
        <v>0.4653476190476189</v>
      </c>
      <c r="DY29" s="197">
        <f t="shared" si="35"/>
        <v>0.93702399999999997</v>
      </c>
      <c r="DZ29" s="222">
        <f t="shared" si="36"/>
        <v>3.7113851063829815</v>
      </c>
      <c r="EA29" s="192">
        <f t="shared" si="37"/>
        <v>1.9370240000000001</v>
      </c>
      <c r="EB29" s="197">
        <f t="shared" si="38"/>
        <v>7.0017576271186375</v>
      </c>
      <c r="EC29" s="192">
        <f t="shared" si="39"/>
        <v>3.9370240000000001</v>
      </c>
      <c r="ED29" s="197">
        <f t="shared" si="40"/>
        <v>10.267618181818195</v>
      </c>
      <c r="EE29" s="192">
        <f t="shared" si="41"/>
        <v>5.9370240000000001</v>
      </c>
      <c r="EF29" s="197">
        <f t="shared" si="42"/>
        <v>13.575182352941178</v>
      </c>
      <c r="EG29" s="197">
        <f t="shared" si="43"/>
        <v>3.9370240000000001</v>
      </c>
      <c r="EH29" s="222">
        <f t="shared" si="44"/>
        <v>16.808506896551716</v>
      </c>
      <c r="EI29" s="192">
        <f t="shared" si="120"/>
        <v>6.9370240000000001</v>
      </c>
      <c r="EJ29" s="197">
        <f t="shared" si="45"/>
        <v>20.139050000000015</v>
      </c>
      <c r="EK29" s="192">
        <f t="shared" si="121"/>
        <v>1.9370240000000001</v>
      </c>
      <c r="EL29" s="197">
        <f t="shared" si="46"/>
        <v>23.139050000000015</v>
      </c>
      <c r="EM29" s="192">
        <f t="shared" si="122"/>
        <v>1.9370240000000001</v>
      </c>
      <c r="EN29" s="197">
        <f t="shared" si="47"/>
        <v>26.643563157894729</v>
      </c>
      <c r="EO29" s="197">
        <f t="shared" si="30"/>
        <v>0.93702399999999997</v>
      </c>
      <c r="EP29" s="222" t="e">
        <f t="shared" si="48"/>
        <v>#N/A</v>
      </c>
      <c r="EQ29" s="192">
        <f t="shared" si="31"/>
        <v>0</v>
      </c>
      <c r="ER29" s="197">
        <f t="shared" si="49"/>
        <v>32.643563157894732</v>
      </c>
      <c r="ES29" s="192">
        <f t="shared" si="32"/>
        <v>0.93702399999999997</v>
      </c>
      <c r="ET29" s="197" t="e">
        <f t="shared" ref="ET29:ET41" si="123">IF(ISNUMBER(EU$4),ET13,NA())</f>
        <v>#N/A</v>
      </c>
      <c r="EU29" s="192">
        <f t="shared" ref="EU29:EU41" si="124">EU28</f>
        <v>0.93702399999999997</v>
      </c>
      <c r="EV29" s="197" t="e">
        <f t="shared" ref="EV29:EV41" si="125">IF(ISNUMBER(EW$4),EV13,NA())</f>
        <v>#N/A</v>
      </c>
      <c r="EW29" s="197">
        <f t="shared" ref="EW29:EW41" si="126">EW28</f>
        <v>0</v>
      </c>
      <c r="EX29" s="222" t="e">
        <f t="shared" ref="EX29:EX41" si="127">IF(ISNUMBER(EY$4),EX13,NA())</f>
        <v>#N/A</v>
      </c>
      <c r="EY29" s="192">
        <f t="shared" ref="EY29:EY41" si="128">EY28</f>
        <v>0</v>
      </c>
      <c r="EZ29" s="197" t="e">
        <f t="shared" si="114"/>
        <v>#N/A</v>
      </c>
      <c r="FA29" s="192">
        <f t="shared" si="115"/>
        <v>0</v>
      </c>
      <c r="FB29" s="197" t="e">
        <f t="shared" si="116"/>
        <v>#N/A</v>
      </c>
      <c r="FC29" s="192">
        <f t="shared" si="117"/>
        <v>0</v>
      </c>
      <c r="FD29" s="197" t="e">
        <f t="shared" si="118"/>
        <v>#N/A</v>
      </c>
      <c r="FE29" s="197">
        <f t="shared" si="119"/>
        <v>0</v>
      </c>
      <c r="FF29" s="222" t="e">
        <f t="shared" si="109"/>
        <v>#N/A</v>
      </c>
      <c r="FG29" s="192">
        <f t="shared" si="110"/>
        <v>0</v>
      </c>
      <c r="FH29" s="197" t="e">
        <f t="shared" si="88"/>
        <v>#N/A</v>
      </c>
      <c r="FI29" s="192">
        <f t="shared" si="111"/>
        <v>0</v>
      </c>
      <c r="FJ29" s="197" t="e">
        <f t="shared" si="89"/>
        <v>#N/A</v>
      </c>
      <c r="FK29" s="192">
        <f t="shared" si="112"/>
        <v>0</v>
      </c>
      <c r="FL29" s="197" t="e">
        <f t="shared" si="90"/>
        <v>#N/A</v>
      </c>
      <c r="FM29" s="197">
        <f t="shared" si="113"/>
        <v>0</v>
      </c>
    </row>
    <row r="30" spans="1:187" ht="11.25" customHeight="1">
      <c r="A30" s="259"/>
      <c r="B30" s="270" t="s">
        <v>1268</v>
      </c>
      <c r="C30" s="260"/>
      <c r="D30" s="279"/>
      <c r="E30" s="466">
        <v>29</v>
      </c>
      <c r="F30" s="474">
        <v>12</v>
      </c>
      <c r="G30" s="145"/>
      <c r="H30" s="223">
        <f t="shared" ca="1" si="10"/>
        <v>26.4</v>
      </c>
      <c r="I30" s="202">
        <f t="shared" ca="1" si="2"/>
        <v>29</v>
      </c>
      <c r="J30" s="30"/>
      <c r="K30" s="248" t="str">
        <f t="shared" si="26"/>
        <v/>
      </c>
      <c r="L30" s="248" t="str">
        <f t="shared" si="24"/>
        <v/>
      </c>
      <c r="S30" s="179">
        <f t="shared" si="3"/>
        <v>1.1017000000000001E-2</v>
      </c>
      <c r="T30" s="224">
        <f ca="1">IF(OFFSET($F$28,Xscrollcount,0)="","",OFFSET($F$28,Xscrollcount,0))</f>
        <v>12.8</v>
      </c>
      <c r="U30" s="225"/>
      <c r="V30" s="197" t="e">
        <f>V27</f>
        <v>#N/A</v>
      </c>
      <c r="W30" s="197">
        <f>W29</f>
        <v>18</v>
      </c>
      <c r="X30" s="225" t="s">
        <v>623</v>
      </c>
      <c r="Y30" s="197">
        <f>IF(C14=0,0,IF(X3=0,V3-1,IF(Y29&lt;0,V13*ROUNDUP(Y29/V13,0),V13*ROUNDDOWN(Y29/V13,0))-V13))</f>
        <v>0</v>
      </c>
      <c r="Z30" s="197">
        <f>IF(C14=0,100,IF(X3=0,W3+1,IF(Z29&lt;0,V13*ROUNDDOWN(Z29/V13,0),V13*ROUNDUP(Z29/V13,0))+V13))</f>
        <v>30</v>
      </c>
      <c r="AA30" s="192" t="b">
        <f>OR(Z30&gt;Z32,Y30&lt;Y32)</f>
        <v>0</v>
      </c>
      <c r="AC30" s="16">
        <f>COUNT(F2:F301)</f>
        <v>31</v>
      </c>
      <c r="AH30"/>
      <c r="AJ30" s="180">
        <f t="shared" si="87"/>
        <v>1.1017000000000001E-2</v>
      </c>
      <c r="AW30" s="211">
        <v>697</v>
      </c>
      <c r="AX30" s="181"/>
      <c r="AY30" s="181"/>
      <c r="AZ30" s="181"/>
      <c r="BA30" s="181"/>
      <c r="BB30" s="181"/>
      <c r="BC30" s="181"/>
      <c r="BD30" s="181"/>
      <c r="BE30" s="181"/>
      <c r="BF30" s="181"/>
      <c r="BG30" s="181"/>
      <c r="BH30" s="181"/>
      <c r="BI30" s="621">
        <v>22</v>
      </c>
      <c r="BJ30" s="622">
        <v>7.1</v>
      </c>
      <c r="BK30" s="623"/>
      <c r="BL30" s="1109"/>
      <c r="BM30" s="1109"/>
      <c r="BN30" s="24"/>
      <c r="BP30" s="621">
        <v>22</v>
      </c>
      <c r="BQ30" s="622">
        <v>8.5</v>
      </c>
      <c r="BR30" s="623"/>
      <c r="BS30" s="1109"/>
      <c r="BT30" s="1109"/>
      <c r="BU30" s="24"/>
      <c r="BW30" s="621">
        <v>22</v>
      </c>
      <c r="BX30" s="622">
        <v>16.899999999999999</v>
      </c>
      <c r="BY30" s="623"/>
      <c r="BZ30" s="1109"/>
      <c r="CA30" s="1109"/>
      <c r="CB30" s="24"/>
      <c r="CQ30" s="179" t="s">
        <v>871</v>
      </c>
      <c r="CR30" s="181" t="e">
        <f>CR28</f>
        <v>#N/A</v>
      </c>
      <c r="CS30" s="291">
        <f>CS29</f>
        <v>8</v>
      </c>
      <c r="CT30" s="16" t="e">
        <f t="shared" si="17"/>
        <v>#N/A</v>
      </c>
      <c r="CU30" s="197" t="e">
        <f t="shared" si="18"/>
        <v>#N/A</v>
      </c>
      <c r="CV30" s="197" t="e">
        <f t="shared" si="19"/>
        <v>#N/A</v>
      </c>
      <c r="CW30" s="197">
        <v>27</v>
      </c>
      <c r="CX30" s="197">
        <f t="shared" si="11"/>
        <v>21.1</v>
      </c>
      <c r="CY30" s="197">
        <f t="shared" si="12"/>
        <v>20.788999999999998</v>
      </c>
      <c r="CZ30" s="197">
        <f t="shared" si="13"/>
        <v>0.55900000000000005</v>
      </c>
      <c r="DA30" s="197">
        <f t="shared" si="20"/>
        <v>0.55900000000000005</v>
      </c>
      <c r="DB30" s="16">
        <f t="shared" si="14"/>
        <v>37</v>
      </c>
      <c r="DC30" s="16">
        <f>IF(ISNUMBER(CX30),COUNTIF($DB$4:DB30,DB30)-1,NA())</f>
        <v>0</v>
      </c>
      <c r="DD30" s="222">
        <v>28</v>
      </c>
      <c r="DE30" s="197">
        <v>50</v>
      </c>
      <c r="DF30" s="197">
        <v>100</v>
      </c>
      <c r="DG30" s="197">
        <v>200</v>
      </c>
      <c r="DH30" s="192">
        <v>500</v>
      </c>
      <c r="DI30" s="16">
        <f t="shared" si="15"/>
        <v>81</v>
      </c>
      <c r="DJ30" s="192">
        <v>0</v>
      </c>
      <c r="DK30" s="16">
        <v>9</v>
      </c>
      <c r="DL30" s="16">
        <f>IF($X$3=0,NA(),IF(kbins&lt;DK30,NA(),$DI$12))</f>
        <v>27</v>
      </c>
      <c r="DM30" s="192">
        <v>0</v>
      </c>
      <c r="DN30" s="238" t="e">
        <f t="shared" si="21"/>
        <v>#N/A</v>
      </c>
      <c r="DO30" s="192">
        <v>0</v>
      </c>
      <c r="DP30" s="16">
        <f t="shared" si="22"/>
        <v>0.36116334795951843</v>
      </c>
      <c r="DQ30" s="16">
        <v>28</v>
      </c>
      <c r="DR30" s="16">
        <f t="shared" si="5"/>
        <v>46.4</v>
      </c>
      <c r="DS30" s="16">
        <f t="shared" si="6"/>
        <v>2.0380222642915862</v>
      </c>
      <c r="DT30" s="16">
        <f t="shared" si="7"/>
        <v>54.9</v>
      </c>
      <c r="DU30" s="16">
        <f t="shared" si="8"/>
        <v>45.1</v>
      </c>
      <c r="DV30" s="16">
        <f t="shared" si="9"/>
        <v>45.2</v>
      </c>
      <c r="DX30" s="197">
        <f t="shared" si="34"/>
        <v>0.47887248677248662</v>
      </c>
      <c r="DY30" s="197">
        <f t="shared" si="35"/>
        <v>0.93702399999999997</v>
      </c>
      <c r="DZ30" s="222">
        <f t="shared" si="36"/>
        <v>3.7385787234042582</v>
      </c>
      <c r="EA30" s="192">
        <f t="shared" si="37"/>
        <v>1.9370240000000001</v>
      </c>
      <c r="EB30" s="197">
        <f t="shared" si="38"/>
        <v>7.0450830508474507</v>
      </c>
      <c r="EC30" s="192">
        <f t="shared" si="39"/>
        <v>3.9370240000000001</v>
      </c>
      <c r="ED30" s="197">
        <f t="shared" si="40"/>
        <v>10.32571363636365</v>
      </c>
      <c r="EE30" s="192">
        <f t="shared" si="41"/>
        <v>5.9370240000000001</v>
      </c>
      <c r="EF30" s="197">
        <f t="shared" si="42"/>
        <v>13.650364705882355</v>
      </c>
      <c r="EG30" s="197">
        <f t="shared" si="43"/>
        <v>3.9370240000000001</v>
      </c>
      <c r="EH30" s="222">
        <f t="shared" si="44"/>
        <v>16.896651724137921</v>
      </c>
      <c r="EI30" s="192">
        <f t="shared" si="120"/>
        <v>6.9370240000000001</v>
      </c>
      <c r="EJ30" s="197">
        <f t="shared" si="45"/>
        <v>20.245558333333349</v>
      </c>
      <c r="EK30" s="192">
        <f t="shared" si="121"/>
        <v>1.9370240000000001</v>
      </c>
      <c r="EL30" s="197">
        <f t="shared" si="46"/>
        <v>23.245558333333349</v>
      </c>
      <c r="EM30" s="192">
        <f t="shared" si="122"/>
        <v>1.9370240000000001</v>
      </c>
      <c r="EN30" s="197">
        <f t="shared" si="47"/>
        <v>26.778099999999991</v>
      </c>
      <c r="EO30" s="197">
        <f t="shared" si="30"/>
        <v>0.93702399999999997</v>
      </c>
      <c r="EP30" s="222" t="e">
        <f t="shared" si="48"/>
        <v>#N/A</v>
      </c>
      <c r="EQ30" s="192">
        <f t="shared" si="31"/>
        <v>0</v>
      </c>
      <c r="ER30" s="197">
        <f t="shared" si="49"/>
        <v>32.778099999999995</v>
      </c>
      <c r="ES30" s="192">
        <f t="shared" si="32"/>
        <v>0.93702399999999997</v>
      </c>
      <c r="ET30" s="197" t="e">
        <f t="shared" si="123"/>
        <v>#N/A</v>
      </c>
      <c r="EU30" s="192">
        <f t="shared" si="124"/>
        <v>0.93702399999999997</v>
      </c>
      <c r="EV30" s="197" t="e">
        <f t="shared" si="125"/>
        <v>#N/A</v>
      </c>
      <c r="EW30" s="197">
        <f t="shared" si="126"/>
        <v>0</v>
      </c>
      <c r="EX30" s="222" t="e">
        <f t="shared" si="127"/>
        <v>#N/A</v>
      </c>
      <c r="EY30" s="192">
        <f t="shared" si="128"/>
        <v>0</v>
      </c>
      <c r="EZ30" s="197" t="e">
        <f t="shared" si="114"/>
        <v>#N/A</v>
      </c>
      <c r="FA30" s="192">
        <f t="shared" si="115"/>
        <v>0</v>
      </c>
      <c r="FB30" s="197" t="e">
        <f t="shared" si="116"/>
        <v>#N/A</v>
      </c>
      <c r="FC30" s="192">
        <f t="shared" si="117"/>
        <v>0</v>
      </c>
      <c r="FD30" s="197" t="e">
        <f t="shared" si="118"/>
        <v>#N/A</v>
      </c>
      <c r="FE30" s="197">
        <f t="shared" si="119"/>
        <v>0</v>
      </c>
      <c r="FF30" s="222" t="e">
        <f t="shared" si="109"/>
        <v>#N/A</v>
      </c>
      <c r="FG30" s="192">
        <f t="shared" si="110"/>
        <v>0</v>
      </c>
      <c r="FH30" s="197" t="e">
        <f t="shared" si="88"/>
        <v>#N/A</v>
      </c>
      <c r="FI30" s="192">
        <f t="shared" si="111"/>
        <v>0</v>
      </c>
      <c r="FJ30" s="197" t="e">
        <f t="shared" si="89"/>
        <v>#N/A</v>
      </c>
      <c r="FK30" s="192">
        <f t="shared" si="112"/>
        <v>0</v>
      </c>
      <c r="FL30" s="197" t="e">
        <f t="shared" si="90"/>
        <v>#N/A</v>
      </c>
      <c r="FM30" s="197">
        <f t="shared" si="113"/>
        <v>0</v>
      </c>
    </row>
    <row r="31" spans="1:187" ht="11.25" customHeight="1">
      <c r="A31" s="284"/>
      <c r="B31" s="285"/>
      <c r="C31" s="285"/>
      <c r="D31" s="285"/>
      <c r="E31" s="466">
        <v>30</v>
      </c>
      <c r="F31" s="474">
        <v>34.700000000000003</v>
      </c>
      <c r="G31" s="145"/>
      <c r="H31" s="223">
        <f t="shared" ca="1" si="10"/>
        <v>30.4</v>
      </c>
      <c r="I31" s="202">
        <f t="shared" ca="1" si="2"/>
        <v>30</v>
      </c>
      <c r="J31" s="30"/>
      <c r="K31" s="248" t="str">
        <f t="shared" si="26"/>
        <v/>
      </c>
      <c r="L31" s="248" t="str">
        <f t="shared" si="24"/>
        <v/>
      </c>
      <c r="N31" s="438">
        <v>8</v>
      </c>
      <c r="O31" s="342" t="s">
        <v>1174</v>
      </c>
      <c r="P31" s="342"/>
      <c r="Q31" s="343"/>
      <c r="R31" s="344"/>
      <c r="S31" s="179">
        <f t="shared" si="3"/>
        <v>1.1017000000000001E-2</v>
      </c>
      <c r="T31" s="224">
        <f ca="1">IF(OFFSET($F$29,Xscrollcount,0)="","",OFFSET($F$29,Xscrollcount,0))</f>
        <v>12</v>
      </c>
      <c r="U31" s="249"/>
      <c r="V31" s="232" t="e">
        <f>V28</f>
        <v>#N/A</v>
      </c>
      <c r="W31" s="232">
        <f>W30</f>
        <v>18</v>
      </c>
      <c r="X31" s="225" t="s">
        <v>724</v>
      </c>
      <c r="Y31" s="197">
        <f>V4</f>
        <v>0.86499999999999999</v>
      </c>
      <c r="Z31" s="197">
        <f>W4</f>
        <v>35.035000000000004</v>
      </c>
      <c r="AA31" s="192"/>
      <c r="AC31" s="16">
        <f>dataput</f>
        <v>13.7</v>
      </c>
      <c r="AH31"/>
      <c r="AJ31" s="180">
        <f t="shared" si="87"/>
        <v>1.1017000000000001E-2</v>
      </c>
      <c r="AW31" s="185" t="s">
        <v>639</v>
      </c>
      <c r="AX31" s="181"/>
      <c r="AY31" s="181"/>
      <c r="AZ31" s="181"/>
      <c r="BA31" s="181"/>
      <c r="BB31" s="181"/>
      <c r="BC31" s="181"/>
      <c r="BD31" s="181"/>
      <c r="BE31" s="181"/>
      <c r="BF31" s="181"/>
      <c r="BG31" s="181"/>
      <c r="BH31" s="181"/>
      <c r="BI31" s="621">
        <v>23</v>
      </c>
      <c r="BJ31" s="622">
        <v>8.6999999999999993</v>
      </c>
      <c r="BK31" s="623"/>
      <c r="BL31" s="1109"/>
      <c r="BM31" s="1109"/>
      <c r="BN31" s="24"/>
      <c r="BP31" s="621">
        <v>23</v>
      </c>
      <c r="BQ31" s="622">
        <v>1.2</v>
      </c>
      <c r="BR31" s="623"/>
      <c r="BS31" s="1109"/>
      <c r="BT31" s="1109"/>
      <c r="BU31" s="24"/>
      <c r="BW31" s="621">
        <v>23</v>
      </c>
      <c r="BX31" s="622">
        <v>18.8</v>
      </c>
      <c r="BY31" s="623"/>
      <c r="BZ31" s="1109"/>
      <c r="CA31" s="1109"/>
      <c r="CB31" s="24"/>
      <c r="CT31" s="16" t="e">
        <f t="shared" si="17"/>
        <v>#N/A</v>
      </c>
      <c r="CU31" s="197" t="e">
        <f t="shared" si="18"/>
        <v>#N/A</v>
      </c>
      <c r="CV31" s="197" t="e">
        <f t="shared" si="19"/>
        <v>#N/A</v>
      </c>
      <c r="CW31" s="197">
        <v>28</v>
      </c>
      <c r="CX31" s="197">
        <f t="shared" si="11"/>
        <v>21.4</v>
      </c>
      <c r="CY31" s="197">
        <f t="shared" si="12"/>
        <v>21.485999999999997</v>
      </c>
      <c r="CZ31" s="197">
        <f t="shared" si="13"/>
        <v>0.55900000000000005</v>
      </c>
      <c r="DA31" s="197">
        <f t="shared" si="20"/>
        <v>0.55900000000000005</v>
      </c>
      <c r="DB31" s="16">
        <f t="shared" si="14"/>
        <v>38</v>
      </c>
      <c r="DC31" s="16">
        <f>IF(ISNUMBER(CX31),COUNTIF($DB$4:DB31,DB31)-1,NA())</f>
        <v>0</v>
      </c>
      <c r="DD31" s="222">
        <v>29</v>
      </c>
      <c r="DE31" s="197">
        <v>50</v>
      </c>
      <c r="DF31" s="197">
        <v>100</v>
      </c>
      <c r="DG31" s="197">
        <v>200</v>
      </c>
      <c r="DH31" s="192">
        <v>500</v>
      </c>
      <c r="DI31" s="16">
        <f t="shared" si="15"/>
        <v>84</v>
      </c>
      <c r="DJ31" s="192">
        <v>0</v>
      </c>
      <c r="DK31" s="16">
        <v>10</v>
      </c>
      <c r="DL31" s="16">
        <f>IF($X$3=0,NA(),IF(kbins&lt;DK31,NA(),$DI$12))</f>
        <v>27</v>
      </c>
      <c r="DM31" s="192">
        <f>$DJ$12</f>
        <v>0</v>
      </c>
      <c r="DN31" s="238" t="e">
        <f t="shared" si="21"/>
        <v>#N/A</v>
      </c>
      <c r="DO31" s="192">
        <v>0</v>
      </c>
      <c r="DP31" s="16">
        <f t="shared" si="22"/>
        <v>0.1747187077999115</v>
      </c>
      <c r="DQ31" s="16">
        <v>29</v>
      </c>
      <c r="DR31" s="16">
        <f t="shared" si="5"/>
        <v>40.6</v>
      </c>
      <c r="DS31" s="16">
        <f t="shared" si="6"/>
        <v>1.63179116904282</v>
      </c>
      <c r="DT31" s="16">
        <f t="shared" si="7"/>
        <v>57.5</v>
      </c>
      <c r="DU31" s="16">
        <f t="shared" si="8"/>
        <v>42.5</v>
      </c>
      <c r="DV31" s="16">
        <f t="shared" si="9"/>
        <v>38.700000000000003</v>
      </c>
      <c r="DX31" s="197">
        <f t="shared" si="34"/>
        <v>0.49239735449735433</v>
      </c>
      <c r="DY31" s="197">
        <f t="shared" si="35"/>
        <v>0.93702399999999997</v>
      </c>
      <c r="DZ31" s="222">
        <f t="shared" si="36"/>
        <v>3.765772340425535</v>
      </c>
      <c r="EA31" s="192">
        <f t="shared" si="37"/>
        <v>1.9370240000000001</v>
      </c>
      <c r="EB31" s="197">
        <f t="shared" si="38"/>
        <v>7.0884084745762639</v>
      </c>
      <c r="EC31" s="192">
        <f t="shared" si="39"/>
        <v>3.9370240000000001</v>
      </c>
      <c r="ED31" s="197">
        <f t="shared" si="40"/>
        <v>10.383809090909105</v>
      </c>
      <c r="EE31" s="192">
        <f t="shared" si="41"/>
        <v>5.9370240000000001</v>
      </c>
      <c r="EF31" s="197">
        <f t="shared" si="42"/>
        <v>13.725547058823532</v>
      </c>
      <c r="EG31" s="197">
        <f t="shared" si="43"/>
        <v>3.9370240000000001</v>
      </c>
      <c r="EH31" s="222">
        <f t="shared" si="44"/>
        <v>16.984796551724127</v>
      </c>
      <c r="EI31" s="192">
        <f t="shared" si="120"/>
        <v>6.9370240000000001</v>
      </c>
      <c r="EJ31" s="197">
        <f t="shared" si="45"/>
        <v>20.352066666666683</v>
      </c>
      <c r="EK31" s="192">
        <f t="shared" si="121"/>
        <v>1.9370240000000001</v>
      </c>
      <c r="EL31" s="197">
        <f t="shared" si="46"/>
        <v>23.352066666666683</v>
      </c>
      <c r="EM31" s="192">
        <f t="shared" si="122"/>
        <v>1.9370240000000001</v>
      </c>
      <c r="EN31" s="23"/>
      <c r="EO31" s="23"/>
      <c r="EP31" s="239"/>
      <c r="EQ31" s="24"/>
      <c r="ER31" s="23"/>
      <c r="ES31" s="24"/>
      <c r="ET31" s="197" t="e">
        <f t="shared" si="123"/>
        <v>#N/A</v>
      </c>
      <c r="EU31" s="192">
        <f t="shared" si="124"/>
        <v>0.93702399999999997</v>
      </c>
      <c r="EV31" s="197" t="e">
        <f t="shared" si="125"/>
        <v>#N/A</v>
      </c>
      <c r="EW31" s="197">
        <f t="shared" si="126"/>
        <v>0</v>
      </c>
      <c r="EX31" s="222" t="e">
        <f t="shared" si="127"/>
        <v>#N/A</v>
      </c>
      <c r="EY31" s="192">
        <f t="shared" si="128"/>
        <v>0</v>
      </c>
      <c r="EZ31" s="197" t="e">
        <f t="shared" si="114"/>
        <v>#N/A</v>
      </c>
      <c r="FA31" s="192">
        <f t="shared" si="115"/>
        <v>0</v>
      </c>
      <c r="FB31" s="197" t="e">
        <f t="shared" si="116"/>
        <v>#N/A</v>
      </c>
      <c r="FC31" s="192">
        <f t="shared" si="117"/>
        <v>0</v>
      </c>
      <c r="FD31" s="197" t="e">
        <f t="shared" si="118"/>
        <v>#N/A</v>
      </c>
      <c r="FE31" s="197">
        <f t="shared" si="119"/>
        <v>0</v>
      </c>
      <c r="FF31" s="222" t="e">
        <f t="shared" si="109"/>
        <v>#N/A</v>
      </c>
      <c r="FG31" s="192">
        <f t="shared" si="110"/>
        <v>0</v>
      </c>
      <c r="FH31" s="197" t="e">
        <f t="shared" si="88"/>
        <v>#N/A</v>
      </c>
      <c r="FI31" s="192">
        <f t="shared" si="111"/>
        <v>0</v>
      </c>
      <c r="FJ31" s="197" t="e">
        <f t="shared" si="89"/>
        <v>#N/A</v>
      </c>
      <c r="FK31" s="192">
        <f t="shared" si="112"/>
        <v>0</v>
      </c>
      <c r="FL31" s="197" t="e">
        <f t="shared" si="90"/>
        <v>#N/A</v>
      </c>
      <c r="FM31" s="197">
        <f t="shared" si="113"/>
        <v>0</v>
      </c>
    </row>
    <row r="32" spans="1:187" ht="11.25" customHeight="1">
      <c r="E32" s="466">
        <v>31</v>
      </c>
      <c r="F32" s="474">
        <v>4.0999999999999996</v>
      </c>
      <c r="G32" s="145"/>
      <c r="H32" s="223">
        <f t="shared" ca="1" si="10"/>
        <v>34.700000000000003</v>
      </c>
      <c r="I32" s="202">
        <f t="shared" ca="1" si="2"/>
        <v>31</v>
      </c>
      <c r="J32" s="30"/>
      <c r="K32" s="248" t="str">
        <f t="shared" si="26"/>
        <v/>
      </c>
      <c r="L32" s="248" t="str">
        <f t="shared" si="24"/>
        <v/>
      </c>
      <c r="M32" s="30"/>
      <c r="N32" s="345"/>
      <c r="O32" s="346"/>
      <c r="P32" s="346"/>
      <c r="Q32" s="346"/>
      <c r="R32" s="347"/>
      <c r="S32" s="179">
        <f t="shared" si="3"/>
        <v>1.1017000000000001E-2</v>
      </c>
      <c r="T32" s="224">
        <f ca="1">IF(OFFSET($F$30,Xscrollcount,0)="","",OFFSET($F$30,Xscrollcount,0))</f>
        <v>34.700000000000003</v>
      </c>
      <c r="U32" s="203" t="s">
        <v>649</v>
      </c>
      <c r="V32" s="292">
        <f>IF(C14&gt;0,AVERAGE(F2:F301),"")</f>
        <v>14.519354838709676</v>
      </c>
      <c r="X32" s="225" t="s">
        <v>623</v>
      </c>
      <c r="Y32" s="232">
        <f>IF(C14=0,0,IF(X3=0,V3-1,IF(Y31&lt;0,V13*ROUNDUP(Y31/V13,0),V13*ROUNDDOWN(Y31/V13,0))-V13))</f>
        <v>-5</v>
      </c>
      <c r="Z32" s="232">
        <f>IF(C14=0,100,IF(X3=0,W3+1,IF(Z31&lt;0,V13*ROUNDDOWN(Z31/V13,0),V13*ROUNDUP(Z31/V13,0))+V13))</f>
        <v>45</v>
      </c>
      <c r="AA32" s="262"/>
      <c r="AC32" s="16">
        <f>COUNT(F2:F301)</f>
        <v>31</v>
      </c>
      <c r="AH32"/>
      <c r="AJ32" s="180">
        <f t="shared" si="87"/>
        <v>1.1017000000000001E-2</v>
      </c>
      <c r="BI32" s="666">
        <v>24</v>
      </c>
      <c r="BJ32" s="622">
        <v>8</v>
      </c>
      <c r="BK32" s="623"/>
      <c r="BL32" s="1109"/>
      <c r="BM32" s="1109"/>
      <c r="BN32" s="681"/>
      <c r="BP32" s="666">
        <v>24</v>
      </c>
      <c r="BQ32" s="622">
        <v>11.5</v>
      </c>
      <c r="BR32" s="623"/>
      <c r="BS32" s="1109"/>
      <c r="BT32" s="1109"/>
      <c r="BU32" s="681"/>
      <c r="BW32" s="666">
        <v>24</v>
      </c>
      <c r="BX32" s="622">
        <v>8.5</v>
      </c>
      <c r="BY32" s="623"/>
      <c r="BZ32" s="1109"/>
      <c r="CA32" s="1109"/>
      <c r="CB32" s="681"/>
      <c r="CT32" s="16" t="e">
        <f t="shared" si="17"/>
        <v>#N/A</v>
      </c>
      <c r="CU32" s="197" t="e">
        <f t="shared" si="18"/>
        <v>#N/A</v>
      </c>
      <c r="CV32" s="197" t="e">
        <f t="shared" si="19"/>
        <v>#N/A</v>
      </c>
      <c r="CW32" s="197">
        <v>29</v>
      </c>
      <c r="CX32" s="197">
        <f t="shared" si="11"/>
        <v>26.4</v>
      </c>
      <c r="CY32" s="197">
        <f t="shared" si="12"/>
        <v>26.364999999999998</v>
      </c>
      <c r="CZ32" s="197">
        <f t="shared" si="13"/>
        <v>0.55900000000000005</v>
      </c>
      <c r="DA32" s="197">
        <f t="shared" si="20"/>
        <v>0.55900000000000005</v>
      </c>
      <c r="DB32" s="16">
        <f t="shared" si="14"/>
        <v>45</v>
      </c>
      <c r="DC32" s="16">
        <f>IF(ISNUMBER(CX32),COUNTIF($DB$4:DB32,DB32)-1,NA())</f>
        <v>0</v>
      </c>
      <c r="DD32" s="222">
        <v>30</v>
      </c>
      <c r="DE32" s="197">
        <v>50</v>
      </c>
      <c r="DF32" s="197">
        <v>100</v>
      </c>
      <c r="DG32" s="197">
        <v>200</v>
      </c>
      <c r="DH32" s="192">
        <v>500</v>
      </c>
      <c r="DI32" s="16">
        <f t="shared" si="15"/>
        <v>87</v>
      </c>
      <c r="DJ32" s="192">
        <v>0</v>
      </c>
      <c r="DK32" s="16">
        <v>10</v>
      </c>
      <c r="DL32" s="16">
        <f>IF($X$3=0,NA(),IF(kbins&lt;DK32,NA(),$DI$13))</f>
        <v>30</v>
      </c>
      <c r="DM32" s="192">
        <f>$DJ$12</f>
        <v>0</v>
      </c>
      <c r="DN32" s="238" t="e">
        <f t="shared" si="21"/>
        <v>#N/A</v>
      </c>
      <c r="DO32" s="192">
        <v>0</v>
      </c>
      <c r="DP32" s="16">
        <f t="shared" si="22"/>
        <v>0.34934231638908386</v>
      </c>
      <c r="DQ32" s="16">
        <v>30</v>
      </c>
      <c r="DR32" s="16">
        <f t="shared" si="5"/>
        <v>46.1</v>
      </c>
      <c r="DS32" s="16">
        <f t="shared" si="6"/>
        <v>2.0158002455061315</v>
      </c>
      <c r="DT32" s="16">
        <f t="shared" si="7"/>
        <v>55.1</v>
      </c>
      <c r="DU32" s="16">
        <f t="shared" si="8"/>
        <v>44.9</v>
      </c>
      <c r="DV32" s="16">
        <f t="shared" si="9"/>
        <v>44.8</v>
      </c>
      <c r="DX32" s="197">
        <f t="shared" si="34"/>
        <v>0.50592222222222205</v>
      </c>
      <c r="DY32" s="197">
        <f t="shared" si="35"/>
        <v>0.93702399999999997</v>
      </c>
      <c r="DZ32" s="222">
        <f t="shared" si="36"/>
        <v>3.7929659574468118</v>
      </c>
      <c r="EA32" s="192">
        <f t="shared" si="37"/>
        <v>1.9370240000000001</v>
      </c>
      <c r="EB32" s="197">
        <f t="shared" si="38"/>
        <v>7.1317338983050771</v>
      </c>
      <c r="EC32" s="192">
        <f t="shared" si="39"/>
        <v>3.9370240000000001</v>
      </c>
      <c r="ED32" s="197">
        <f t="shared" si="40"/>
        <v>10.441904545454561</v>
      </c>
      <c r="EE32" s="192">
        <f t="shared" si="41"/>
        <v>5.9370240000000001</v>
      </c>
      <c r="EF32" s="197">
        <f t="shared" si="42"/>
        <v>13.800729411764708</v>
      </c>
      <c r="EG32" s="197">
        <f t="shared" si="43"/>
        <v>3.9370240000000001</v>
      </c>
      <c r="EH32" s="222">
        <f t="shared" si="44"/>
        <v>17.072941379310333</v>
      </c>
      <c r="EI32" s="192">
        <f t="shared" si="120"/>
        <v>6.9370240000000001</v>
      </c>
      <c r="EJ32" s="197">
        <f t="shared" si="45"/>
        <v>20.458575000000017</v>
      </c>
      <c r="EK32" s="192">
        <f t="shared" si="121"/>
        <v>1.9370240000000001</v>
      </c>
      <c r="EL32" s="197">
        <f t="shared" si="46"/>
        <v>23.458575000000017</v>
      </c>
      <c r="EM32" s="192">
        <f t="shared" si="122"/>
        <v>1.9370240000000001</v>
      </c>
      <c r="EN32" s="197" t="e">
        <f>IF(ISNUMBER(EO$4),EN11,NA())</f>
        <v>#N/A</v>
      </c>
      <c r="EO32" s="197">
        <f>EO11</f>
        <v>0.93702399999999997</v>
      </c>
      <c r="EP32" s="222" t="e">
        <f>IF(ISNUMBER(EQ$4),EP11,NA())</f>
        <v>#N/A</v>
      </c>
      <c r="EQ32" s="192">
        <f>EQ11</f>
        <v>0</v>
      </c>
      <c r="ER32" s="197" t="e">
        <f>IF(ISNUMBER(ES$4),ER11,NA())</f>
        <v>#N/A</v>
      </c>
      <c r="ES32" s="192">
        <f>ES11</f>
        <v>0.93702399999999997</v>
      </c>
      <c r="ET32" s="197" t="e">
        <f t="shared" si="123"/>
        <v>#N/A</v>
      </c>
      <c r="EU32" s="192">
        <f t="shared" si="124"/>
        <v>0.93702399999999997</v>
      </c>
      <c r="EV32" s="197" t="e">
        <f t="shared" si="125"/>
        <v>#N/A</v>
      </c>
      <c r="EW32" s="197">
        <f t="shared" si="126"/>
        <v>0</v>
      </c>
      <c r="EX32" s="222" t="e">
        <f t="shared" si="127"/>
        <v>#N/A</v>
      </c>
      <c r="EY32" s="192">
        <f t="shared" si="128"/>
        <v>0</v>
      </c>
      <c r="EZ32" s="197" t="e">
        <f t="shared" si="114"/>
        <v>#N/A</v>
      </c>
      <c r="FA32" s="192">
        <f t="shared" si="115"/>
        <v>0</v>
      </c>
      <c r="FB32" s="197" t="e">
        <f t="shared" si="116"/>
        <v>#N/A</v>
      </c>
      <c r="FC32" s="192">
        <f t="shared" si="117"/>
        <v>0</v>
      </c>
      <c r="FD32" s="197" t="e">
        <f t="shared" si="118"/>
        <v>#N/A</v>
      </c>
      <c r="FE32" s="197">
        <f t="shared" si="119"/>
        <v>0</v>
      </c>
    </row>
    <row r="33" spans="1:161" ht="11.25" customHeight="1">
      <c r="A33" s="436">
        <v>4</v>
      </c>
      <c r="E33" s="466">
        <v>32</v>
      </c>
      <c r="F33" s="474"/>
      <c r="G33" s="145"/>
      <c r="H33" s="223" t="str">
        <f t="shared" ca="1" si="10"/>
        <v/>
      </c>
      <c r="I33" s="202">
        <f t="shared" ca="1" si="2"/>
        <v>32</v>
      </c>
      <c r="J33" s="30"/>
      <c r="K33" s="248" t="str">
        <f t="shared" si="26"/>
        <v/>
      </c>
      <c r="L33" s="248" t="str">
        <f t="shared" si="24"/>
        <v/>
      </c>
      <c r="M33" s="30"/>
      <c r="N33" s="345"/>
      <c r="O33" s="348" t="s">
        <v>834</v>
      </c>
      <c r="P33" s="348"/>
      <c r="Q33" s="346"/>
      <c r="R33" s="347"/>
      <c r="S33" s="179">
        <f t="shared" si="3"/>
        <v>1.1017000000000001E-2</v>
      </c>
      <c r="T33" s="224">
        <f ca="1">IF(OFFSET($F$31,Xscrollcount,0)="","",OFFSET($F$31,Xscrollcount,0))</f>
        <v>4.0999999999999996</v>
      </c>
      <c r="U33" s="225" t="s">
        <v>669</v>
      </c>
      <c r="V33" s="293">
        <f>IF(C14&gt;0,MEDIAN(F2:F301),"")</f>
        <v>12.8</v>
      </c>
      <c r="W33" s="200" t="s">
        <v>782</v>
      </c>
      <c r="X33" s="294">
        <v>572</v>
      </c>
      <c r="Y33" s="198" t="s">
        <v>783</v>
      </c>
      <c r="Z33" s="199"/>
      <c r="AH33"/>
      <c r="AJ33" s="180">
        <f t="shared" si="87"/>
        <v>1.1017000000000001E-2</v>
      </c>
      <c r="AW33" s="181"/>
      <c r="AX33" s="181"/>
      <c r="AY33" s="181"/>
      <c r="AZ33" s="181"/>
      <c r="BA33" s="181"/>
      <c r="BB33" s="181"/>
      <c r="BC33" s="181"/>
      <c r="BD33" s="181"/>
      <c r="BE33" s="181"/>
      <c r="BF33" s="181"/>
      <c r="BG33" s="181"/>
      <c r="BH33" s="181"/>
      <c r="BI33" s="621">
        <v>25</v>
      </c>
      <c r="BJ33" s="622">
        <v>11.3</v>
      </c>
      <c r="BK33" s="623"/>
      <c r="BL33" s="1109"/>
      <c r="BM33" s="1109"/>
      <c r="BN33" s="24"/>
      <c r="BP33" s="621">
        <v>25</v>
      </c>
      <c r="BQ33" s="622">
        <v>21.4</v>
      </c>
      <c r="BR33" s="623"/>
      <c r="BS33" s="1109"/>
      <c r="BT33" s="1109"/>
      <c r="BU33" s="24"/>
      <c r="BW33" s="621">
        <v>25</v>
      </c>
      <c r="BX33" s="622">
        <v>1.2</v>
      </c>
      <c r="BY33" s="623"/>
      <c r="BZ33" s="1109"/>
      <c r="CA33" s="1109"/>
      <c r="CB33" s="24"/>
      <c r="CS33" s="181" t="s">
        <v>860</v>
      </c>
      <c r="CT33" s="16" t="e">
        <f t="shared" si="17"/>
        <v>#N/A</v>
      </c>
      <c r="CU33" s="197" t="e">
        <f t="shared" si="18"/>
        <v>#N/A</v>
      </c>
      <c r="CV33" s="197" t="e">
        <f t="shared" si="19"/>
        <v>#N/A</v>
      </c>
      <c r="CW33" s="197">
        <v>30</v>
      </c>
      <c r="CX33" s="197">
        <f t="shared" si="11"/>
        <v>30.4</v>
      </c>
      <c r="CY33" s="197">
        <f t="shared" si="12"/>
        <v>30.546999999999997</v>
      </c>
      <c r="CZ33" s="197">
        <f t="shared" si="13"/>
        <v>0.55900000000000005</v>
      </c>
      <c r="DA33" s="197">
        <f t="shared" si="20"/>
        <v>0.55900000000000005</v>
      </c>
      <c r="DB33" s="16">
        <f t="shared" si="14"/>
        <v>51</v>
      </c>
      <c r="DC33" s="16">
        <f>IF(ISNUMBER(CX33),COUNTIF($DB$4:DB33,DB33)-1,NA())</f>
        <v>0</v>
      </c>
      <c r="DD33" s="222">
        <v>31</v>
      </c>
      <c r="DE33" s="197"/>
      <c r="DF33" s="197"/>
      <c r="DG33" s="197"/>
      <c r="DH33" s="192"/>
      <c r="DI33" s="16">
        <f t="shared" si="15"/>
        <v>90</v>
      </c>
      <c r="DJ33" s="192"/>
      <c r="DK33" s="16">
        <v>10</v>
      </c>
      <c r="DL33" s="16">
        <f>IF($X$3=0,NA(),IF(kbins&lt;DK33,NA(),$DI$13))</f>
        <v>30</v>
      </c>
      <c r="DM33" s="192">
        <v>0</v>
      </c>
      <c r="DN33" s="238" t="e">
        <f t="shared" si="21"/>
        <v>#N/A</v>
      </c>
      <c r="DO33" s="192">
        <v>0</v>
      </c>
      <c r="DP33" s="16">
        <f t="shared" si="22"/>
        <v>0.70534095168113708</v>
      </c>
      <c r="DQ33" s="16">
        <v>31</v>
      </c>
      <c r="DR33" s="16">
        <f t="shared" si="5"/>
        <v>55.4</v>
      </c>
      <c r="DS33" s="16">
        <f t="shared" si="6"/>
        <v>2.6646450462008788</v>
      </c>
      <c r="DT33" s="16">
        <f t="shared" si="7"/>
        <v>48.2</v>
      </c>
      <c r="DU33" s="16">
        <f t="shared" si="8"/>
        <v>51.8</v>
      </c>
      <c r="DV33" s="16">
        <f t="shared" si="9"/>
        <v>57.1</v>
      </c>
      <c r="DX33" s="197">
        <f t="shared" si="34"/>
        <v>0.51944708994708977</v>
      </c>
      <c r="DY33" s="197">
        <f t="shared" si="35"/>
        <v>0.93702399999999997</v>
      </c>
      <c r="DZ33" s="222">
        <f t="shared" si="36"/>
        <v>3.8201595744680885</v>
      </c>
      <c r="EA33" s="192">
        <f t="shared" si="37"/>
        <v>1.9370240000000001</v>
      </c>
      <c r="EB33" s="197">
        <f t="shared" si="38"/>
        <v>7.1750593220338903</v>
      </c>
      <c r="EC33" s="192">
        <f t="shared" si="39"/>
        <v>3.9370240000000001</v>
      </c>
      <c r="ED33" s="197">
        <f t="shared" si="40"/>
        <v>10.500000000000016</v>
      </c>
      <c r="EE33" s="192">
        <f t="shared" si="41"/>
        <v>5.9370240000000001</v>
      </c>
      <c r="EF33" s="197">
        <f t="shared" si="42"/>
        <v>13.875911764705885</v>
      </c>
      <c r="EG33" s="197">
        <f t="shared" si="43"/>
        <v>3.9370240000000001</v>
      </c>
      <c r="EH33" s="222">
        <f t="shared" si="44"/>
        <v>17.161086206896538</v>
      </c>
      <c r="EI33" s="192">
        <f t="shared" si="120"/>
        <v>6.9370240000000001</v>
      </c>
      <c r="EJ33" s="197">
        <f t="shared" si="45"/>
        <v>20.565083333333352</v>
      </c>
      <c r="EK33" s="192">
        <f t="shared" si="121"/>
        <v>1.9370240000000001</v>
      </c>
      <c r="EL33" s="197">
        <f t="shared" si="46"/>
        <v>23.565083333333352</v>
      </c>
      <c r="EM33" s="192">
        <f t="shared" si="122"/>
        <v>1.9370240000000001</v>
      </c>
      <c r="EN33" s="197" t="e">
        <f>IF(ISNUMBER(EO$4),EN12,NA())</f>
        <v>#N/A</v>
      </c>
      <c r="EO33" s="197">
        <f>EO32</f>
        <v>0.93702399999999997</v>
      </c>
      <c r="EP33" s="222" t="e">
        <f>IF(ISNUMBER(EQ$4),EP12,NA())</f>
        <v>#N/A</v>
      </c>
      <c r="EQ33" s="192">
        <f>EQ32</f>
        <v>0</v>
      </c>
      <c r="ER33" s="197" t="e">
        <f>IF(ISNUMBER(ES$4),ER12,NA())</f>
        <v>#N/A</v>
      </c>
      <c r="ES33" s="192">
        <f>ES32</f>
        <v>0.93702399999999997</v>
      </c>
      <c r="ET33" s="197" t="e">
        <f t="shared" si="123"/>
        <v>#N/A</v>
      </c>
      <c r="EU33" s="192">
        <f t="shared" si="124"/>
        <v>0.93702399999999997</v>
      </c>
      <c r="EV33" s="197" t="e">
        <f t="shared" si="125"/>
        <v>#N/A</v>
      </c>
      <c r="EW33" s="197">
        <f t="shared" si="126"/>
        <v>0</v>
      </c>
      <c r="EX33" s="222" t="e">
        <f t="shared" si="127"/>
        <v>#N/A</v>
      </c>
      <c r="EY33" s="192">
        <f t="shared" si="128"/>
        <v>0</v>
      </c>
      <c r="EZ33" s="197" t="e">
        <f t="shared" si="114"/>
        <v>#N/A</v>
      </c>
      <c r="FA33" s="192">
        <f t="shared" si="115"/>
        <v>0</v>
      </c>
      <c r="FB33" s="197" t="e">
        <f t="shared" si="116"/>
        <v>#N/A</v>
      </c>
      <c r="FC33" s="192">
        <f t="shared" si="117"/>
        <v>0</v>
      </c>
      <c r="FD33" s="197" t="e">
        <f t="shared" si="118"/>
        <v>#N/A</v>
      </c>
      <c r="FE33" s="197">
        <f t="shared" si="119"/>
        <v>0</v>
      </c>
    </row>
    <row r="34" spans="1:161" ht="11.25" customHeight="1">
      <c r="E34" s="466">
        <v>33</v>
      </c>
      <c r="F34" s="474"/>
      <c r="G34" s="145"/>
      <c r="H34" s="223" t="str">
        <f t="shared" ca="1" si="10"/>
        <v/>
      </c>
      <c r="I34" s="202">
        <f t="shared" ca="1" si="2"/>
        <v>33</v>
      </c>
      <c r="J34" s="295"/>
      <c r="K34" s="296" t="str">
        <f t="shared" si="26"/>
        <v/>
      </c>
      <c r="L34" s="297" t="str">
        <f t="shared" si="24"/>
        <v/>
      </c>
      <c r="M34" s="30"/>
      <c r="N34" s="349"/>
      <c r="O34" s="350"/>
      <c r="P34" s="350"/>
      <c r="Q34" s="350"/>
      <c r="R34" s="351"/>
      <c r="S34" s="179">
        <f t="shared" si="3"/>
        <v>1.1017000000000001E-2</v>
      </c>
      <c r="T34" s="224" t="str">
        <f ca="1">IF(OFFSET($F$32,Xscrollcount,0)="","",OFFSET($F$32,Xscrollcount,0))</f>
        <v/>
      </c>
      <c r="U34" s="249" t="s">
        <v>650</v>
      </c>
      <c r="V34" s="298">
        <f>IF(C14&gt;1,STDEV(F2:F301),"")</f>
        <v>7.2855756741129127</v>
      </c>
      <c r="W34" s="197" t="s">
        <v>777</v>
      </c>
      <c r="X34" s="299" t="b">
        <v>0</v>
      </c>
      <c r="Y34" s="222">
        <v>0</v>
      </c>
      <c r="Z34" s="192">
        <v>-99</v>
      </c>
      <c r="AH34"/>
      <c r="AJ34" s="180">
        <f t="shared" si="87"/>
        <v>1.1017000000000001E-2</v>
      </c>
      <c r="AW34" s="181"/>
      <c r="AX34" s="181"/>
      <c r="AY34" s="181"/>
      <c r="AZ34" s="181"/>
      <c r="BA34" s="181"/>
      <c r="BB34" s="181"/>
      <c r="BC34" s="181"/>
      <c r="BD34" s="181"/>
      <c r="BE34" s="181"/>
      <c r="BF34" s="181"/>
      <c r="BG34" s="181"/>
      <c r="BH34" s="181"/>
      <c r="BI34" s="621">
        <v>26</v>
      </c>
      <c r="BJ34" s="622">
        <v>8.5</v>
      </c>
      <c r="BK34" s="623"/>
      <c r="BL34" s="1109"/>
      <c r="BM34" s="1109"/>
      <c r="BN34" s="24"/>
      <c r="BP34" s="621">
        <v>26</v>
      </c>
      <c r="BQ34" s="622">
        <v>10.3</v>
      </c>
      <c r="BR34" s="623"/>
      <c r="BS34" s="1109"/>
      <c r="BT34" s="1109"/>
      <c r="BU34" s="24"/>
      <c r="BW34" s="621">
        <v>26</v>
      </c>
      <c r="BX34" s="622">
        <v>11.5</v>
      </c>
      <c r="BY34" s="623"/>
      <c r="BZ34" s="1109"/>
      <c r="CA34" s="1109"/>
      <c r="CB34" s="24"/>
      <c r="CS34" s="300" t="b">
        <f>Y14</f>
        <v>1</v>
      </c>
      <c r="CT34" s="16" t="e">
        <f t="shared" si="17"/>
        <v>#N/A</v>
      </c>
      <c r="CU34" s="197" t="e">
        <f t="shared" si="18"/>
        <v>#N/A</v>
      </c>
      <c r="CV34" s="197" t="e">
        <f t="shared" si="19"/>
        <v>#N/A</v>
      </c>
      <c r="CW34" s="197">
        <v>31</v>
      </c>
      <c r="CX34" s="197">
        <f t="shared" si="11"/>
        <v>34.700000000000003</v>
      </c>
      <c r="CY34" s="197">
        <f t="shared" si="12"/>
        <v>34.728999999999999</v>
      </c>
      <c r="CZ34" s="197">
        <f t="shared" si="13"/>
        <v>0.55900000000000005</v>
      </c>
      <c r="DA34" s="197">
        <f t="shared" si="20"/>
        <v>0.55900000000000005</v>
      </c>
      <c r="DB34" s="16">
        <f t="shared" si="14"/>
        <v>57</v>
      </c>
      <c r="DC34" s="16">
        <f>IF(ISNUMBER(CX34),COUNTIF($DB$4:DB34,DB34)-1,NA())</f>
        <v>0</v>
      </c>
      <c r="DK34" s="16">
        <v>11</v>
      </c>
      <c r="DL34" s="16">
        <f>IF($X$3=0,NA(),IF(kbins&lt;DK34,NA(),$DI$13))</f>
        <v>30</v>
      </c>
      <c r="DM34" s="16">
        <f>$DJ$13</f>
        <v>1</v>
      </c>
      <c r="DP34" s="16">
        <f t="shared" si="22"/>
        <v>0.68624374270439148</v>
      </c>
      <c r="DQ34" s="16">
        <v>32</v>
      </c>
      <c r="DR34" s="16">
        <f t="shared" si="5"/>
        <v>54.9</v>
      </c>
      <c r="DS34" s="16">
        <f t="shared" si="6"/>
        <v>2.6264296040903945</v>
      </c>
      <c r="DT34" s="16">
        <f t="shared" si="7"/>
        <v>48.8</v>
      </c>
      <c r="DU34" s="16">
        <f t="shared" si="8"/>
        <v>51.2</v>
      </c>
      <c r="DV34" s="16">
        <f t="shared" si="9"/>
        <v>56.5</v>
      </c>
      <c r="DX34" s="197">
        <f t="shared" si="34"/>
        <v>0.53297195767195749</v>
      </c>
      <c r="DY34" s="197">
        <f t="shared" si="35"/>
        <v>0.93702399999999997</v>
      </c>
      <c r="DZ34" s="222">
        <f t="shared" si="36"/>
        <v>3.8473531914893653</v>
      </c>
      <c r="EA34" s="192">
        <f t="shared" si="37"/>
        <v>1.9370240000000001</v>
      </c>
      <c r="EB34" s="197">
        <f t="shared" si="38"/>
        <v>7.2183847457627035</v>
      </c>
      <c r="EC34" s="192">
        <f t="shared" si="39"/>
        <v>3.9370240000000001</v>
      </c>
      <c r="ED34" s="197">
        <f t="shared" si="40"/>
        <v>10.558095454545471</v>
      </c>
      <c r="EE34" s="192">
        <f t="shared" si="41"/>
        <v>5.9370240000000001</v>
      </c>
      <c r="EF34" s="197">
        <f t="shared" si="42"/>
        <v>13.951094117647061</v>
      </c>
      <c r="EG34" s="197">
        <f t="shared" si="43"/>
        <v>3.9370240000000001</v>
      </c>
      <c r="EH34" s="222">
        <f t="shared" si="44"/>
        <v>17.249231034482744</v>
      </c>
      <c r="EI34" s="192">
        <f t="shared" si="120"/>
        <v>6.9370240000000001</v>
      </c>
      <c r="EJ34" s="197">
        <f t="shared" si="45"/>
        <v>20.671591666666686</v>
      </c>
      <c r="EK34" s="192">
        <f t="shared" si="121"/>
        <v>1.9370240000000001</v>
      </c>
      <c r="EL34" s="197">
        <f t="shared" si="46"/>
        <v>23.671591666666686</v>
      </c>
      <c r="EM34" s="192">
        <f t="shared" si="122"/>
        <v>1.9370240000000001</v>
      </c>
      <c r="EN34" s="197" t="e">
        <f t="shared" ref="EN34:EN51" si="129">IF(ISNUMBER(EO$4),EN13,NA())</f>
        <v>#N/A</v>
      </c>
      <c r="EO34" s="197">
        <f t="shared" ref="EO34:EO51" si="130">EO33</f>
        <v>0.93702399999999997</v>
      </c>
      <c r="EP34" s="222" t="e">
        <f t="shared" ref="EP34:EP51" si="131">IF(ISNUMBER(EQ$4),EP13,NA())</f>
        <v>#N/A</v>
      </c>
      <c r="EQ34" s="192">
        <f t="shared" ref="EQ34:EQ51" si="132">EQ33</f>
        <v>0</v>
      </c>
      <c r="ER34" s="197" t="e">
        <f t="shared" ref="ER34:ER51" si="133">IF(ISNUMBER(ES$4),ER13,NA())</f>
        <v>#N/A</v>
      </c>
      <c r="ES34" s="192">
        <f t="shared" ref="ES34:ES51" si="134">ES33</f>
        <v>0.93702399999999997</v>
      </c>
      <c r="ET34" s="197" t="e">
        <f t="shared" si="123"/>
        <v>#N/A</v>
      </c>
      <c r="EU34" s="192">
        <f t="shared" si="124"/>
        <v>0.93702399999999997</v>
      </c>
      <c r="EV34" s="197" t="e">
        <f t="shared" si="125"/>
        <v>#N/A</v>
      </c>
      <c r="EW34" s="197">
        <f t="shared" si="126"/>
        <v>0</v>
      </c>
      <c r="EX34" s="222" t="e">
        <f t="shared" si="127"/>
        <v>#N/A</v>
      </c>
      <c r="EY34" s="192">
        <f t="shared" si="128"/>
        <v>0</v>
      </c>
      <c r="EZ34" s="197" t="e">
        <f t="shared" si="114"/>
        <v>#N/A</v>
      </c>
      <c r="FA34" s="192">
        <f t="shared" si="115"/>
        <v>0</v>
      </c>
      <c r="FB34" s="197" t="e">
        <f t="shared" si="116"/>
        <v>#N/A</v>
      </c>
      <c r="FC34" s="192">
        <f t="shared" si="117"/>
        <v>0</v>
      </c>
      <c r="FD34" s="197" t="e">
        <f t="shared" si="118"/>
        <v>#N/A</v>
      </c>
      <c r="FE34" s="197">
        <f t="shared" si="119"/>
        <v>0</v>
      </c>
    </row>
    <row r="35" spans="1:161" ht="11.25" customHeight="1">
      <c r="E35" s="466">
        <v>34</v>
      </c>
      <c r="F35" s="474"/>
      <c r="G35" s="145"/>
      <c r="H35" s="223" t="str">
        <f t="shared" ca="1" si="10"/>
        <v/>
      </c>
      <c r="I35" s="202">
        <f t="shared" ca="1" si="2"/>
        <v>34</v>
      </c>
      <c r="J35" s="295"/>
      <c r="K35" s="301" t="str">
        <f t="shared" si="26"/>
        <v/>
      </c>
      <c r="L35" s="297" t="str">
        <f t="shared" si="24"/>
        <v/>
      </c>
      <c r="M35" s="30"/>
      <c r="N35" s="30"/>
      <c r="O35" s="30"/>
      <c r="P35" s="30"/>
      <c r="Q35" s="30"/>
      <c r="R35" s="30"/>
      <c r="S35" s="179">
        <f t="shared" si="3"/>
        <v>1.1017000000000001E-2</v>
      </c>
      <c r="T35" s="224" t="str">
        <f ca="1">IF(OFFSET($F$33,Xscrollcount,0)="","",OFFSET($F$33,Xscrollcount,0))</f>
        <v/>
      </c>
      <c r="U35" s="249" t="s">
        <v>774</v>
      </c>
      <c r="V35" s="269" t="b">
        <v>1</v>
      </c>
      <c r="W35" s="197" t="s">
        <v>778</v>
      </c>
      <c r="X35" s="252" t="b">
        <v>0</v>
      </c>
      <c r="Y35" s="198" t="s">
        <v>784</v>
      </c>
      <c r="Z35" s="199"/>
      <c r="AB35" s="244" t="str">
        <f>IF(ISBLANK(C7),"X","X ("&amp;C7&amp;")")</f>
        <v>X (Transcription %)</v>
      </c>
      <c r="AH35"/>
      <c r="AJ35" s="180">
        <f t="shared" si="87"/>
        <v>1.1017000000000001E-2</v>
      </c>
      <c r="AW35" s="181"/>
      <c r="AX35" s="181"/>
      <c r="AY35" s="181"/>
      <c r="AZ35" s="181"/>
      <c r="BA35" s="181"/>
      <c r="BB35" s="181"/>
      <c r="BC35" s="181"/>
      <c r="BD35" s="181"/>
      <c r="BE35" s="181"/>
      <c r="BF35" s="181"/>
      <c r="BG35" s="181"/>
      <c r="BH35" s="181"/>
      <c r="BI35" s="621">
        <v>27</v>
      </c>
      <c r="BJ35" s="622">
        <v>9.1</v>
      </c>
      <c r="BK35" s="623"/>
      <c r="BL35" s="1109"/>
      <c r="BM35" s="1109"/>
      <c r="BN35" s="24"/>
      <c r="BP35" s="621">
        <v>27</v>
      </c>
      <c r="BQ35" s="622">
        <v>9</v>
      </c>
      <c r="BR35" s="623"/>
      <c r="BS35" s="1109"/>
      <c r="BT35" s="1109"/>
      <c r="BU35" s="24"/>
      <c r="BW35" s="621">
        <v>27</v>
      </c>
      <c r="BX35" s="622">
        <v>21.4</v>
      </c>
      <c r="BY35" s="623"/>
      <c r="BZ35" s="1109"/>
      <c r="CA35" s="1109"/>
      <c r="CB35" s="24"/>
      <c r="CT35" s="16" t="e">
        <f t="shared" si="17"/>
        <v>#N/A</v>
      </c>
      <c r="CU35" s="197" t="e">
        <f t="shared" si="18"/>
        <v>#N/A</v>
      </c>
      <c r="CV35" s="197" t="e">
        <f t="shared" si="19"/>
        <v>#N/A</v>
      </c>
      <c r="CW35" s="197">
        <v>32</v>
      </c>
      <c r="CX35" s="197" t="str">
        <f t="shared" si="11"/>
        <v/>
      </c>
      <c r="CY35" s="197" t="e">
        <f t="shared" si="12"/>
        <v>#N/A</v>
      </c>
      <c r="CZ35" s="197" t="e">
        <f t="shared" si="13"/>
        <v>#N/A</v>
      </c>
      <c r="DA35" s="197" t="str">
        <f t="shared" si="20"/>
        <v/>
      </c>
      <c r="DB35" s="16" t="e">
        <f t="shared" si="14"/>
        <v>#N/A</v>
      </c>
      <c r="DC35" s="16" t="e">
        <f>IF(ISNUMBER(CX35),COUNTIF($DB$4:DB35,DB35)-1,NA())</f>
        <v>#N/A</v>
      </c>
      <c r="DK35" s="16">
        <v>11</v>
      </c>
      <c r="DL35" s="16">
        <f>IF($X$3=0,NA(),IF(kbins&lt;DK35,NA(),$DI$14))</f>
        <v>33</v>
      </c>
      <c r="DM35" s="16">
        <f>$DJ$13</f>
        <v>1</v>
      </c>
      <c r="DP35" s="16">
        <f t="shared" si="22"/>
        <v>0.34821256995201111</v>
      </c>
      <c r="DQ35" s="16">
        <v>33</v>
      </c>
      <c r="DR35" s="16">
        <f t="shared" si="5"/>
        <v>46.1</v>
      </c>
      <c r="DS35" s="16">
        <f t="shared" si="6"/>
        <v>2.0136624582215807</v>
      </c>
      <c r="DT35" s="16">
        <f t="shared" si="7"/>
        <v>55.1</v>
      </c>
      <c r="DU35" s="16">
        <f t="shared" si="8"/>
        <v>44.9</v>
      </c>
      <c r="DV35" s="16">
        <f t="shared" si="9"/>
        <v>44.7</v>
      </c>
      <c r="DX35" s="197">
        <f t="shared" si="34"/>
        <v>0.5464968253968252</v>
      </c>
      <c r="DY35" s="197">
        <f t="shared" si="35"/>
        <v>0.93702399999999997</v>
      </c>
      <c r="DZ35" s="222">
        <f t="shared" si="36"/>
        <v>3.874546808510642</v>
      </c>
      <c r="EA35" s="192">
        <f t="shared" si="37"/>
        <v>1.9370240000000001</v>
      </c>
      <c r="EB35" s="197">
        <f t="shared" si="38"/>
        <v>7.2617101694915167</v>
      </c>
      <c r="EC35" s="192">
        <f t="shared" si="39"/>
        <v>3.9370240000000001</v>
      </c>
      <c r="ED35" s="197">
        <f t="shared" si="40"/>
        <v>10.616190909090927</v>
      </c>
      <c r="EE35" s="192">
        <f t="shared" si="41"/>
        <v>5.9370240000000001</v>
      </c>
      <c r="EF35" s="197">
        <f t="shared" si="42"/>
        <v>14.026276470588238</v>
      </c>
      <c r="EG35" s="197">
        <f t="shared" si="43"/>
        <v>3.9370240000000001</v>
      </c>
      <c r="EH35" s="222">
        <f t="shared" si="44"/>
        <v>17.337375862068949</v>
      </c>
      <c r="EI35" s="192">
        <f t="shared" si="120"/>
        <v>6.9370240000000001</v>
      </c>
      <c r="EJ35" s="197">
        <f t="shared" si="45"/>
        <v>20.77810000000002</v>
      </c>
      <c r="EK35" s="192">
        <f t="shared" si="121"/>
        <v>1.9370240000000001</v>
      </c>
      <c r="EL35" s="197">
        <f t="shared" si="46"/>
        <v>23.77810000000002</v>
      </c>
      <c r="EM35" s="192">
        <f t="shared" si="122"/>
        <v>1.9370240000000001</v>
      </c>
      <c r="EN35" s="197" t="e">
        <f t="shared" si="129"/>
        <v>#N/A</v>
      </c>
      <c r="EO35" s="197">
        <f t="shared" si="130"/>
        <v>0.93702399999999997</v>
      </c>
      <c r="EP35" s="222" t="e">
        <f t="shared" si="131"/>
        <v>#N/A</v>
      </c>
      <c r="EQ35" s="192">
        <f t="shared" si="132"/>
        <v>0</v>
      </c>
      <c r="ER35" s="197" t="e">
        <f t="shared" si="133"/>
        <v>#N/A</v>
      </c>
      <c r="ES35" s="192">
        <f t="shared" si="134"/>
        <v>0.93702399999999997</v>
      </c>
      <c r="ET35" s="197" t="e">
        <f t="shared" si="123"/>
        <v>#N/A</v>
      </c>
      <c r="EU35" s="192">
        <f t="shared" si="124"/>
        <v>0.93702399999999997</v>
      </c>
      <c r="EV35" s="197" t="e">
        <f t="shared" si="125"/>
        <v>#N/A</v>
      </c>
      <c r="EW35" s="197">
        <f t="shared" si="126"/>
        <v>0</v>
      </c>
      <c r="EX35" s="222" t="e">
        <f t="shared" si="127"/>
        <v>#N/A</v>
      </c>
      <c r="EY35" s="192">
        <f t="shared" si="128"/>
        <v>0</v>
      </c>
      <c r="EZ35" s="197" t="e">
        <f t="shared" si="114"/>
        <v>#N/A</v>
      </c>
      <c r="FA35" s="192">
        <f t="shared" si="115"/>
        <v>0</v>
      </c>
      <c r="FB35" s="197" t="e">
        <f t="shared" si="116"/>
        <v>#N/A</v>
      </c>
      <c r="FC35" s="192">
        <f t="shared" si="117"/>
        <v>0</v>
      </c>
      <c r="FD35" s="197" t="e">
        <f t="shared" si="118"/>
        <v>#N/A</v>
      </c>
      <c r="FE35" s="197">
        <f t="shared" si="119"/>
        <v>0</v>
      </c>
    </row>
    <row r="36" spans="1:161" ht="11.25" customHeight="1">
      <c r="A36" s="436">
        <v>5</v>
      </c>
      <c r="E36" s="466">
        <v>35</v>
      </c>
      <c r="F36" s="474"/>
      <c r="G36" s="145"/>
      <c r="H36" s="223" t="str">
        <f t="shared" ca="1" si="10"/>
        <v/>
      </c>
      <c r="I36" s="202">
        <f t="shared" ca="1" si="2"/>
        <v>35</v>
      </c>
      <c r="J36" s="295"/>
      <c r="K36" s="302" t="str">
        <f t="shared" si="26"/>
        <v/>
      </c>
      <c r="L36" s="302" t="str">
        <f t="shared" si="24"/>
        <v/>
      </c>
      <c r="M36" s="30"/>
      <c r="N36" s="30"/>
      <c r="O36" s="30"/>
      <c r="P36" s="30"/>
      <c r="Q36" s="30"/>
      <c r="R36" s="30"/>
      <c r="S36" s="179">
        <f t="shared" si="3"/>
        <v>1.1017000000000001E-2</v>
      </c>
      <c r="T36" s="224" t="str">
        <f ca="1">IF(OFFSET($F$34,Xscrollcount,0)="","",OFFSET($F$34,Xscrollcount,0))</f>
        <v/>
      </c>
      <c r="U36" s="198" t="s">
        <v>780</v>
      </c>
      <c r="V36" s="199">
        <f ca="1">RAND()</f>
        <v>0.87325553093724384</v>
      </c>
      <c r="W36" s="197" t="s">
        <v>785</v>
      </c>
      <c r="X36" s="252" t="b">
        <v>0</v>
      </c>
      <c r="Y36" s="303" t="e">
        <f>IF(calib1,Xl,NA())</f>
        <v>#N/A</v>
      </c>
      <c r="Z36" s="304">
        <f>Yl</f>
        <v>0</v>
      </c>
      <c r="AH36"/>
      <c r="AJ36" s="180">
        <f t="shared" si="87"/>
        <v>1.1017000000000001E-2</v>
      </c>
      <c r="AV36" s="181"/>
      <c r="AZ36" s="181"/>
      <c r="BA36" s="181"/>
      <c r="BB36" s="181"/>
      <c r="BC36" s="181"/>
      <c r="BD36" s="181"/>
      <c r="BE36" s="181"/>
      <c r="BF36" s="181"/>
      <c r="BG36" s="181"/>
      <c r="BH36" s="181"/>
      <c r="BI36" s="621">
        <v>28</v>
      </c>
      <c r="BJ36" s="622">
        <v>4.5</v>
      </c>
      <c r="BK36" s="623"/>
      <c r="BL36" s="1109"/>
      <c r="BM36" s="1109"/>
      <c r="BN36" s="24"/>
      <c r="BP36" s="621">
        <v>28</v>
      </c>
      <c r="BQ36" s="622">
        <v>12.8</v>
      </c>
      <c r="BR36" s="623"/>
      <c r="BS36" s="1109"/>
      <c r="BT36" s="1109"/>
      <c r="BU36" s="24"/>
      <c r="BW36" s="621">
        <v>28</v>
      </c>
      <c r="BX36" s="622">
        <v>10.3</v>
      </c>
      <c r="BY36" s="623"/>
      <c r="BZ36" s="1109"/>
      <c r="CA36" s="1109"/>
      <c r="CB36" s="24"/>
      <c r="CQ36" s="305"/>
      <c r="CR36" s="306" t="s">
        <v>615</v>
      </c>
      <c r="CS36" s="307" t="s">
        <v>614</v>
      </c>
      <c r="CT36" s="16" t="e">
        <f t="shared" si="17"/>
        <v>#N/A</v>
      </c>
      <c r="CU36" s="197" t="e">
        <f t="shared" si="18"/>
        <v>#N/A</v>
      </c>
      <c r="CV36" s="197" t="e">
        <f t="shared" si="19"/>
        <v>#N/A</v>
      </c>
      <c r="CW36" s="197">
        <v>33</v>
      </c>
      <c r="CX36" s="197" t="str">
        <f t="shared" si="11"/>
        <v/>
      </c>
      <c r="CY36" s="197" t="e">
        <f t="shared" si="12"/>
        <v>#N/A</v>
      </c>
      <c r="CZ36" s="197" t="e">
        <f t="shared" si="13"/>
        <v>#N/A</v>
      </c>
      <c r="DA36" s="197" t="str">
        <f t="shared" si="20"/>
        <v/>
      </c>
      <c r="DB36" s="16" t="e">
        <f t="shared" si="14"/>
        <v>#N/A</v>
      </c>
      <c r="DC36" s="16" t="e">
        <f>IF(ISNUMBER(CX36),COUNTIF($DB$4:DB36,DB36)-1,NA())</f>
        <v>#N/A</v>
      </c>
      <c r="DK36" s="16">
        <v>11</v>
      </c>
      <c r="DL36" s="16">
        <f>IF($X$3=0,NA(),IF(kbins&lt;DK36,NA(),$DI$14))</f>
        <v>33</v>
      </c>
      <c r="DM36" s="16">
        <v>0</v>
      </c>
      <c r="DP36" s="16">
        <f t="shared" si="22"/>
        <v>0.22628352046012878</v>
      </c>
      <c r="DQ36" s="16">
        <v>34</v>
      </c>
      <c r="DR36" s="16">
        <f t="shared" si="5"/>
        <v>42.5</v>
      </c>
      <c r="DS36" s="16">
        <f t="shared" si="6"/>
        <v>1.7609683371979044</v>
      </c>
      <c r="DT36" s="16">
        <f t="shared" si="7"/>
        <v>56.8</v>
      </c>
      <c r="DU36" s="16">
        <f t="shared" si="8"/>
        <v>43.2</v>
      </c>
      <c r="DV36" s="16">
        <f t="shared" si="9"/>
        <v>40.5</v>
      </c>
      <c r="DX36" s="197">
        <f t="shared" si="34"/>
        <v>0.56002169312169292</v>
      </c>
      <c r="DY36" s="197">
        <f t="shared" si="35"/>
        <v>0.93702399999999997</v>
      </c>
      <c r="DZ36" s="222">
        <f t="shared" si="36"/>
        <v>3.9017404255319188</v>
      </c>
      <c r="EA36" s="192">
        <f t="shared" si="37"/>
        <v>1.9370240000000001</v>
      </c>
      <c r="EB36" s="197">
        <f t="shared" si="38"/>
        <v>7.3050355932203299</v>
      </c>
      <c r="EC36" s="192">
        <f t="shared" si="39"/>
        <v>3.9370240000000001</v>
      </c>
      <c r="ED36" s="197">
        <f t="shared" si="40"/>
        <v>10.674286363636382</v>
      </c>
      <c r="EE36" s="192">
        <f t="shared" si="41"/>
        <v>5.9370240000000001</v>
      </c>
      <c r="EF36" s="197">
        <f t="shared" si="42"/>
        <v>14.101458823529414</v>
      </c>
      <c r="EG36" s="197">
        <f t="shared" si="43"/>
        <v>3.9370240000000001</v>
      </c>
      <c r="EH36" s="222">
        <f t="shared" si="44"/>
        <v>17.425520689655155</v>
      </c>
      <c r="EI36" s="192">
        <f t="shared" si="120"/>
        <v>6.9370240000000001</v>
      </c>
      <c r="EJ36" s="23"/>
      <c r="EK36" s="24"/>
      <c r="EL36" s="23"/>
      <c r="EM36" s="24"/>
      <c r="EN36" s="197" t="e">
        <f t="shared" si="129"/>
        <v>#N/A</v>
      </c>
      <c r="EO36" s="197">
        <f t="shared" si="130"/>
        <v>0.93702399999999997</v>
      </c>
      <c r="EP36" s="222" t="e">
        <f t="shared" si="131"/>
        <v>#N/A</v>
      </c>
      <c r="EQ36" s="192">
        <f t="shared" si="132"/>
        <v>0</v>
      </c>
      <c r="ER36" s="197" t="e">
        <f t="shared" si="133"/>
        <v>#N/A</v>
      </c>
      <c r="ES36" s="192">
        <f t="shared" si="134"/>
        <v>0.93702399999999997</v>
      </c>
      <c r="ET36" s="197" t="e">
        <f t="shared" si="123"/>
        <v>#N/A</v>
      </c>
      <c r="EU36" s="192">
        <f t="shared" si="124"/>
        <v>0.93702399999999997</v>
      </c>
      <c r="EV36" s="197" t="e">
        <f t="shared" si="125"/>
        <v>#N/A</v>
      </c>
      <c r="EW36" s="197">
        <f t="shared" si="126"/>
        <v>0</v>
      </c>
      <c r="EX36" s="222" t="e">
        <f t="shared" si="127"/>
        <v>#N/A</v>
      </c>
      <c r="EY36" s="192">
        <f t="shared" si="128"/>
        <v>0</v>
      </c>
    </row>
    <row r="37" spans="1:161" ht="11.25" customHeight="1">
      <c r="D37" s="30"/>
      <c r="E37" s="466">
        <v>36</v>
      </c>
      <c r="F37" s="474"/>
      <c r="G37" s="145"/>
      <c r="H37" s="308" t="str">
        <f t="shared" ca="1" si="10"/>
        <v/>
      </c>
      <c r="I37" s="202">
        <f ca="1">IF(OFFSET(CW38,$AI$2,0)=0,"",OFFSET(CW38,$AI$2,0))</f>
        <v>36</v>
      </c>
      <c r="J37" s="295"/>
      <c r="K37" s="302" t="str">
        <f t="shared" si="26"/>
        <v/>
      </c>
      <c r="L37" s="302"/>
      <c r="M37" s="30"/>
      <c r="N37" s="30"/>
      <c r="O37" s="30"/>
      <c r="P37" s="30"/>
      <c r="Q37" s="30"/>
      <c r="R37" s="30"/>
      <c r="S37" s="179">
        <f t="shared" si="3"/>
        <v>1.1017000000000001E-2</v>
      </c>
      <c r="T37" s="224" t="str">
        <f ca="1">IF(OFFSET($F$35,Xscrollcount,0)="","",OFFSET($F$35,Xscrollcount,0))</f>
        <v/>
      </c>
      <c r="U37" s="231" t="s">
        <v>781</v>
      </c>
      <c r="V37" s="269">
        <v>0.23051694728781502</v>
      </c>
      <c r="W37" s="267" t="s">
        <v>786</v>
      </c>
      <c r="X37" s="309">
        <v>12</v>
      </c>
      <c r="Y37" s="310" t="e">
        <f>IF(calib2,Xu,NA())</f>
        <v>#N/A</v>
      </c>
      <c r="Z37" s="311">
        <f>Yu</f>
        <v>20</v>
      </c>
      <c r="AH37"/>
      <c r="AJ37" s="180">
        <f t="shared" si="87"/>
        <v>1.1017000000000001E-2</v>
      </c>
      <c r="AV37" s="181"/>
      <c r="AZ37" s="181"/>
      <c r="BA37" s="181"/>
      <c r="BB37" s="181"/>
      <c r="BC37" s="181"/>
      <c r="BD37" s="181"/>
      <c r="BE37" s="181"/>
      <c r="BF37" s="181"/>
      <c r="BG37" s="181"/>
      <c r="BH37" s="181"/>
      <c r="BI37" s="621">
        <v>29</v>
      </c>
      <c r="BJ37" s="622">
        <v>9.1999999999999993</v>
      </c>
      <c r="BK37" s="623"/>
      <c r="BL37" s="1109"/>
      <c r="BM37" s="1109"/>
      <c r="BN37" s="23"/>
      <c r="BO37" s="221"/>
      <c r="BP37" s="621">
        <v>29</v>
      </c>
      <c r="BQ37" s="622">
        <v>12</v>
      </c>
      <c r="BR37" s="623"/>
      <c r="BS37" s="1109"/>
      <c r="BT37" s="1109"/>
      <c r="BU37" s="23"/>
      <c r="BV37" s="221"/>
      <c r="BW37" s="621">
        <v>29</v>
      </c>
      <c r="BX37" s="622">
        <v>9</v>
      </c>
      <c r="BY37" s="623"/>
      <c r="BZ37" s="1109"/>
      <c r="CA37" s="1109"/>
      <c r="CB37" s="24"/>
      <c r="CQ37" s="303" t="s">
        <v>775</v>
      </c>
      <c r="CR37" s="312">
        <v>-5</v>
      </c>
      <c r="CS37" s="313">
        <v>45</v>
      </c>
      <c r="CT37" s="16" t="e">
        <f t="shared" si="17"/>
        <v>#N/A</v>
      </c>
      <c r="CU37" s="197" t="e">
        <f t="shared" si="18"/>
        <v>#N/A</v>
      </c>
      <c r="CV37" s="197" t="e">
        <f t="shared" si="19"/>
        <v>#N/A</v>
      </c>
      <c r="CW37" s="197">
        <v>34</v>
      </c>
      <c r="CX37" s="197" t="str">
        <f t="shared" si="11"/>
        <v/>
      </c>
      <c r="CY37" s="197" t="e">
        <f t="shared" si="12"/>
        <v>#N/A</v>
      </c>
      <c r="CZ37" s="197" t="e">
        <f t="shared" si="13"/>
        <v>#N/A</v>
      </c>
      <c r="DA37" s="197" t="str">
        <f t="shared" si="20"/>
        <v/>
      </c>
      <c r="DB37" s="16" t="e">
        <f t="shared" si="14"/>
        <v>#N/A</v>
      </c>
      <c r="DC37" s="16" t="e">
        <f>IF(ISNUMBER(CX37),COUNTIF($DB$4:DB37,DB37)-1,NA())</f>
        <v>#N/A</v>
      </c>
      <c r="DK37" s="16">
        <v>12</v>
      </c>
      <c r="DL37" s="16">
        <f>IF($X$3=0,NA(),IF(kbins&lt;DK37,NA(),$DI$14))</f>
        <v>33</v>
      </c>
      <c r="DM37" s="16">
        <f>$DJ$14</f>
        <v>1</v>
      </c>
      <c r="DP37" s="16">
        <f t="shared" si="22"/>
        <v>0.14628705382347107</v>
      </c>
      <c r="DQ37" s="16">
        <v>35</v>
      </c>
      <c r="DR37" s="16">
        <f t="shared" si="5"/>
        <v>39.5</v>
      </c>
      <c r="DS37" s="16">
        <f t="shared" si="6"/>
        <v>1.5500238729926203</v>
      </c>
      <c r="DT37" s="16">
        <f t="shared" si="7"/>
        <v>57.9</v>
      </c>
      <c r="DU37" s="16">
        <f t="shared" si="8"/>
        <v>42.1</v>
      </c>
      <c r="DV37" s="16">
        <f t="shared" si="9"/>
        <v>37.700000000000003</v>
      </c>
      <c r="DX37" s="197">
        <f t="shared" si="34"/>
        <v>0.57354656084656064</v>
      </c>
      <c r="DY37" s="197">
        <f t="shared" si="35"/>
        <v>0.93702399999999997</v>
      </c>
      <c r="DZ37" s="222">
        <f t="shared" si="36"/>
        <v>3.9289340425531956</v>
      </c>
      <c r="EA37" s="192">
        <f t="shared" si="37"/>
        <v>1.9370240000000001</v>
      </c>
      <c r="EB37" s="197">
        <f t="shared" si="38"/>
        <v>7.3483610169491431</v>
      </c>
      <c r="EC37" s="192">
        <f t="shared" si="39"/>
        <v>3.9370240000000001</v>
      </c>
      <c r="ED37" s="197">
        <f t="shared" si="40"/>
        <v>10.732381818181837</v>
      </c>
      <c r="EE37" s="192">
        <f t="shared" si="41"/>
        <v>5.9370240000000001</v>
      </c>
      <c r="EF37" s="197">
        <f t="shared" si="42"/>
        <v>14.176641176470591</v>
      </c>
      <c r="EG37" s="197">
        <f t="shared" si="43"/>
        <v>3.9370240000000001</v>
      </c>
      <c r="EH37" s="222">
        <f t="shared" si="44"/>
        <v>17.51366551724136</v>
      </c>
      <c r="EI37" s="192">
        <f t="shared" si="120"/>
        <v>6.9370240000000001</v>
      </c>
      <c r="EJ37" s="197" t="e">
        <f>IF(ISNUMBER(EK$4),EJ11,NA())</f>
        <v>#N/A</v>
      </c>
      <c r="EK37" s="192">
        <f>EK11</f>
        <v>1.9370240000000001</v>
      </c>
      <c r="EL37" s="197" t="e">
        <f>IF(ISNUMBER(EM$4),EL11,NA())</f>
        <v>#N/A</v>
      </c>
      <c r="EM37" s="192">
        <f>EM11</f>
        <v>1.9370240000000001</v>
      </c>
      <c r="EN37" s="197" t="e">
        <f t="shared" si="129"/>
        <v>#N/A</v>
      </c>
      <c r="EO37" s="197">
        <f t="shared" si="130"/>
        <v>0.93702399999999997</v>
      </c>
      <c r="EP37" s="222" t="e">
        <f t="shared" si="131"/>
        <v>#N/A</v>
      </c>
      <c r="EQ37" s="192">
        <f t="shared" si="132"/>
        <v>0</v>
      </c>
      <c r="ER37" s="197" t="e">
        <f t="shared" si="133"/>
        <v>#N/A</v>
      </c>
      <c r="ES37" s="192">
        <f t="shared" si="134"/>
        <v>0.93702399999999997</v>
      </c>
      <c r="ET37" s="197" t="e">
        <f t="shared" si="123"/>
        <v>#N/A</v>
      </c>
      <c r="EU37" s="192">
        <f t="shared" si="124"/>
        <v>0.93702399999999997</v>
      </c>
      <c r="EV37" s="197" t="e">
        <f t="shared" si="125"/>
        <v>#N/A</v>
      </c>
      <c r="EW37" s="197">
        <f t="shared" si="126"/>
        <v>0</v>
      </c>
      <c r="EX37" s="222" t="e">
        <f t="shared" si="127"/>
        <v>#N/A</v>
      </c>
      <c r="EY37" s="192">
        <f t="shared" si="128"/>
        <v>0</v>
      </c>
    </row>
    <row r="38" spans="1:161" ht="11.25" customHeight="1">
      <c r="D38" s="30"/>
      <c r="E38" s="466">
        <v>37</v>
      </c>
      <c r="F38" s="474"/>
      <c r="G38" s="471"/>
      <c r="H38" s="314"/>
      <c r="I38" s="315"/>
      <c r="J38" s="316"/>
      <c r="K38" s="317"/>
      <c r="L38" s="317"/>
      <c r="M38" s="30"/>
      <c r="N38" s="30"/>
      <c r="O38" s="30"/>
      <c r="P38" s="30"/>
      <c r="Q38" s="30"/>
      <c r="R38" s="30"/>
      <c r="T38" s="224" t="str">
        <f ca="1">IF(OFFSET($F$36,Xscrollcount,0)="","",OFFSET($F$36,Xscrollcount,0))</f>
        <v/>
      </c>
      <c r="AH38"/>
      <c r="AV38" s="181"/>
      <c r="AZ38" s="181"/>
      <c r="BA38" s="181"/>
      <c r="BB38" s="181"/>
      <c r="BC38" s="181"/>
      <c r="BD38" s="181"/>
      <c r="BE38" s="181"/>
      <c r="BF38" s="181"/>
      <c r="BG38" s="181"/>
      <c r="BH38" s="181"/>
      <c r="BI38" s="621">
        <v>30</v>
      </c>
      <c r="BJ38" s="622">
        <v>13.3</v>
      </c>
      <c r="BK38" s="623"/>
      <c r="BL38" s="1109"/>
      <c r="BM38" s="1109"/>
      <c r="BN38" s="23"/>
      <c r="BO38" s="221"/>
      <c r="BP38" s="621">
        <v>30</v>
      </c>
      <c r="BQ38" s="622">
        <v>34.700000000000003</v>
      </c>
      <c r="BR38" s="623"/>
      <c r="BS38" s="1109"/>
      <c r="BT38" s="1109"/>
      <c r="BU38" s="23"/>
      <c r="BV38" s="221"/>
      <c r="BW38" s="621">
        <v>30</v>
      </c>
      <c r="BX38" s="622">
        <v>12.8</v>
      </c>
      <c r="BY38" s="623"/>
      <c r="BZ38" s="1109"/>
      <c r="CA38" s="1109"/>
      <c r="CB38" s="24"/>
      <c r="CQ38" s="318" t="s">
        <v>776</v>
      </c>
      <c r="CR38" s="319">
        <v>0</v>
      </c>
      <c r="CS38" s="320">
        <v>20</v>
      </c>
      <c r="CT38" s="16" t="e">
        <f t="shared" si="17"/>
        <v>#N/A</v>
      </c>
      <c r="CU38" s="197" t="e">
        <f t="shared" si="18"/>
        <v>#N/A</v>
      </c>
      <c r="CV38" s="197" t="e">
        <f t="shared" si="19"/>
        <v>#N/A</v>
      </c>
      <c r="CW38" s="197">
        <v>35</v>
      </c>
      <c r="CX38" s="197" t="str">
        <f t="shared" si="11"/>
        <v/>
      </c>
      <c r="CY38" s="197" t="e">
        <f t="shared" si="12"/>
        <v>#N/A</v>
      </c>
      <c r="CZ38" s="197" t="e">
        <f t="shared" si="13"/>
        <v>#N/A</v>
      </c>
      <c r="DA38" s="197" t="str">
        <f t="shared" si="20"/>
        <v/>
      </c>
      <c r="DB38" s="16" t="e">
        <f t="shared" si="14"/>
        <v>#N/A</v>
      </c>
      <c r="DC38" s="16" t="e">
        <f>IF(ISNUMBER(CX38),COUNTIF($DB$4:DB38,DB38)-1,NA())</f>
        <v>#N/A</v>
      </c>
      <c r="DK38" s="16">
        <v>12</v>
      </c>
      <c r="DL38" s="16">
        <f>IF($X$3=0,NA(),IF(kbins&lt;DK38,NA(),$DI$15))</f>
        <v>36</v>
      </c>
      <c r="DM38" s="16">
        <f>$DJ$14</f>
        <v>1</v>
      </c>
      <c r="DP38" s="16">
        <f t="shared" si="22"/>
        <v>0.43996641039848328</v>
      </c>
      <c r="DQ38" s="16">
        <v>36</v>
      </c>
      <c r="DR38" s="16">
        <f t="shared" si="5"/>
        <v>48.5</v>
      </c>
      <c r="DS38" s="16">
        <f t="shared" si="6"/>
        <v>2.1810298595937456</v>
      </c>
      <c r="DT38" s="16">
        <f t="shared" si="7"/>
        <v>53.7</v>
      </c>
      <c r="DU38" s="16">
        <f t="shared" si="8"/>
        <v>46.3</v>
      </c>
      <c r="DV38" s="16">
        <f t="shared" si="9"/>
        <v>47.9</v>
      </c>
      <c r="DX38" s="197">
        <f t="shared" si="34"/>
        <v>0.58707142857142836</v>
      </c>
      <c r="DY38" s="197">
        <f t="shared" si="35"/>
        <v>0.93702399999999997</v>
      </c>
      <c r="DZ38" s="222">
        <f t="shared" si="36"/>
        <v>3.9561276595744723</v>
      </c>
      <c r="EA38" s="192">
        <f t="shared" si="37"/>
        <v>1.9370240000000001</v>
      </c>
      <c r="EB38" s="197">
        <f t="shared" si="38"/>
        <v>7.3916864406779563</v>
      </c>
      <c r="EC38" s="192">
        <f t="shared" si="39"/>
        <v>3.9370240000000001</v>
      </c>
      <c r="ED38" s="197">
        <f t="shared" si="40"/>
        <v>10.790477272727292</v>
      </c>
      <c r="EE38" s="192">
        <f t="shared" si="41"/>
        <v>5.9370240000000001</v>
      </c>
      <c r="EF38" s="197">
        <f t="shared" si="42"/>
        <v>14.251823529411768</v>
      </c>
      <c r="EG38" s="197">
        <f t="shared" si="43"/>
        <v>3.9370240000000001</v>
      </c>
      <c r="EH38" s="222">
        <f t="shared" si="44"/>
        <v>17.601810344827566</v>
      </c>
      <c r="EI38" s="192">
        <f t="shared" si="120"/>
        <v>6.9370240000000001</v>
      </c>
      <c r="EJ38" s="197" t="e">
        <f>IF(ISNUMBER(EK$4),EJ12,NA())</f>
        <v>#N/A</v>
      </c>
      <c r="EK38" s="192">
        <f>EK37</f>
        <v>1.9370240000000001</v>
      </c>
      <c r="EL38" s="197" t="e">
        <f>IF(ISNUMBER(EM$4),EL12,NA())</f>
        <v>#N/A</v>
      </c>
      <c r="EM38" s="192">
        <f>EM37</f>
        <v>1.9370240000000001</v>
      </c>
      <c r="EN38" s="197" t="e">
        <f t="shared" si="129"/>
        <v>#N/A</v>
      </c>
      <c r="EO38" s="197">
        <f t="shared" si="130"/>
        <v>0.93702399999999997</v>
      </c>
      <c r="EP38" s="222" t="e">
        <f t="shared" si="131"/>
        <v>#N/A</v>
      </c>
      <c r="EQ38" s="192">
        <f t="shared" si="132"/>
        <v>0</v>
      </c>
      <c r="ER38" s="197" t="e">
        <f t="shared" si="133"/>
        <v>#N/A</v>
      </c>
      <c r="ES38" s="192">
        <f t="shared" si="134"/>
        <v>0.93702399999999997</v>
      </c>
      <c r="ET38" s="197" t="e">
        <f t="shared" si="123"/>
        <v>#N/A</v>
      </c>
      <c r="EU38" s="192">
        <f t="shared" si="124"/>
        <v>0.93702399999999997</v>
      </c>
      <c r="EV38" s="197" t="e">
        <f t="shared" si="125"/>
        <v>#N/A</v>
      </c>
      <c r="EW38" s="197">
        <f t="shared" si="126"/>
        <v>0</v>
      </c>
      <c r="EX38" s="222" t="e">
        <f t="shared" si="127"/>
        <v>#N/A</v>
      </c>
      <c r="EY38" s="192">
        <f t="shared" si="128"/>
        <v>0</v>
      </c>
    </row>
    <row r="39" spans="1:161" ht="11.25" customHeight="1">
      <c r="E39" s="466">
        <v>38</v>
      </c>
      <c r="F39" s="474"/>
      <c r="G39" s="471"/>
      <c r="K39" s="181"/>
      <c r="L39" s="181"/>
      <c r="M39" s="181"/>
      <c r="N39" s="181"/>
      <c r="O39" s="181"/>
      <c r="Q39" s="437">
        <v>9</v>
      </c>
      <c r="S39" s="323"/>
      <c r="T39" s="323"/>
      <c r="U39" s="324"/>
      <c r="V39" s="30"/>
      <c r="W39" s="30"/>
      <c r="X39" s="30"/>
      <c r="Y39" s="30"/>
      <c r="Z39" s="30"/>
      <c r="AA39" s="30"/>
      <c r="AB39" s="30"/>
      <c r="AC39" s="30"/>
      <c r="AD39" s="30"/>
      <c r="AE39" s="30"/>
      <c r="AH39"/>
      <c r="AI39" s="30"/>
      <c r="AJ39" s="325"/>
      <c r="AK39" s="325"/>
      <c r="BI39" s="621">
        <v>31</v>
      </c>
      <c r="BJ39" s="622">
        <v>18.3</v>
      </c>
      <c r="BK39" s="623"/>
      <c r="BL39" s="1109"/>
      <c r="BM39" s="1109"/>
      <c r="BN39" s="23"/>
      <c r="BO39" s="221"/>
      <c r="BP39" s="621">
        <v>31</v>
      </c>
      <c r="BQ39" s="622">
        <v>4.0999999999999996</v>
      </c>
      <c r="BR39" s="623"/>
      <c r="BS39" s="1109"/>
      <c r="BT39" s="1109"/>
      <c r="BU39" s="23"/>
      <c r="BV39" s="221"/>
      <c r="BW39" s="621">
        <v>31</v>
      </c>
      <c r="BX39" s="622">
        <v>12</v>
      </c>
      <c r="BY39" s="623"/>
      <c r="BZ39" s="1109"/>
      <c r="CA39" s="1109"/>
      <c r="CB39" s="24"/>
      <c r="CT39" s="16" t="e">
        <f t="shared" si="17"/>
        <v>#N/A</v>
      </c>
      <c r="CU39" s="197" t="e">
        <f t="shared" si="18"/>
        <v>#N/A</v>
      </c>
      <c r="CV39" s="197" t="e">
        <f t="shared" si="19"/>
        <v>#N/A</v>
      </c>
      <c r="CW39" s="197">
        <v>36</v>
      </c>
      <c r="CX39" s="197" t="str">
        <f t="shared" si="11"/>
        <v/>
      </c>
      <c r="CY39" s="197" t="e">
        <f t="shared" si="12"/>
        <v>#N/A</v>
      </c>
      <c r="CZ39" s="197" t="e">
        <f t="shared" si="13"/>
        <v>#N/A</v>
      </c>
      <c r="DA39" s="197" t="str">
        <f t="shared" si="20"/>
        <v/>
      </c>
      <c r="DB39" s="16" t="e">
        <f t="shared" si="14"/>
        <v>#N/A</v>
      </c>
      <c r="DC39" s="16" t="e">
        <f>IF(ISNUMBER(CX39),COUNTIF($DB$4:DB39,DB39)-1,NA())</f>
        <v>#N/A</v>
      </c>
      <c r="DK39" s="16">
        <v>12</v>
      </c>
      <c r="DL39" s="16">
        <f>IF($X$3=0,NA(),IF(kbins&lt;DK39,NA(),$DI$15))</f>
        <v>36</v>
      </c>
      <c r="DM39" s="16">
        <v>0</v>
      </c>
      <c r="DP39" s="16">
        <f t="shared" si="22"/>
        <v>0.82354816794395447</v>
      </c>
      <c r="DQ39" s="16">
        <v>37</v>
      </c>
      <c r="DR39" s="16">
        <f t="shared" si="5"/>
        <v>59.3</v>
      </c>
      <c r="DS39" s="16">
        <f t="shared" si="6"/>
        <v>2.9370482337367951</v>
      </c>
      <c r="DT39" s="16">
        <f t="shared" si="7"/>
        <v>43.7</v>
      </c>
      <c r="DU39" s="16">
        <f t="shared" si="8"/>
        <v>56.3</v>
      </c>
      <c r="DV39" s="16">
        <f t="shared" si="9"/>
        <v>61.2</v>
      </c>
      <c r="DX39" s="197">
        <f t="shared" si="34"/>
        <v>0.60059629629629607</v>
      </c>
      <c r="DY39" s="197">
        <f t="shared" si="35"/>
        <v>0.93702399999999997</v>
      </c>
      <c r="DZ39" s="222">
        <f t="shared" si="36"/>
        <v>3.9833212765957491</v>
      </c>
      <c r="EA39" s="192">
        <f t="shared" si="37"/>
        <v>1.9370240000000001</v>
      </c>
      <c r="EB39" s="197">
        <f t="shared" si="38"/>
        <v>7.4350118644067695</v>
      </c>
      <c r="EC39" s="192">
        <f t="shared" si="39"/>
        <v>3.9370240000000001</v>
      </c>
      <c r="ED39" s="197">
        <f t="shared" si="40"/>
        <v>10.848572727272748</v>
      </c>
      <c r="EE39" s="192">
        <f t="shared" si="41"/>
        <v>5.9370240000000001</v>
      </c>
      <c r="EF39" s="197">
        <f t="shared" si="42"/>
        <v>14.327005882352944</v>
      </c>
      <c r="EG39" s="197">
        <f t="shared" si="43"/>
        <v>3.9370240000000001</v>
      </c>
      <c r="EH39" s="222">
        <f t="shared" si="44"/>
        <v>17.689955172413772</v>
      </c>
      <c r="EI39" s="192">
        <f t="shared" si="120"/>
        <v>6.9370240000000001</v>
      </c>
      <c r="EJ39" s="197" t="e">
        <f t="shared" ref="EJ39:EJ61" si="135">IF(ISNUMBER(EK$4),EJ13,NA())</f>
        <v>#N/A</v>
      </c>
      <c r="EK39" s="192">
        <f t="shared" ref="EK39:EK61" si="136">EK38</f>
        <v>1.9370240000000001</v>
      </c>
      <c r="EL39" s="197" t="e">
        <f t="shared" ref="EL39:EL61" si="137">IF(ISNUMBER(EM$4),EL13,NA())</f>
        <v>#N/A</v>
      </c>
      <c r="EM39" s="192">
        <f t="shared" ref="EM39:EM61" si="138">EM38</f>
        <v>1.9370240000000001</v>
      </c>
      <c r="EN39" s="197" t="e">
        <f t="shared" si="129"/>
        <v>#N/A</v>
      </c>
      <c r="EO39" s="197">
        <f t="shared" si="130"/>
        <v>0.93702399999999997</v>
      </c>
      <c r="EP39" s="222" t="e">
        <f t="shared" si="131"/>
        <v>#N/A</v>
      </c>
      <c r="EQ39" s="192">
        <f t="shared" si="132"/>
        <v>0</v>
      </c>
      <c r="ER39" s="197" t="e">
        <f t="shared" si="133"/>
        <v>#N/A</v>
      </c>
      <c r="ES39" s="192">
        <f t="shared" si="134"/>
        <v>0.93702399999999997</v>
      </c>
      <c r="ET39" s="197" t="e">
        <f t="shared" si="123"/>
        <v>#N/A</v>
      </c>
      <c r="EU39" s="192">
        <f t="shared" si="124"/>
        <v>0.93702399999999997</v>
      </c>
      <c r="EV39" s="197" t="e">
        <f t="shared" si="125"/>
        <v>#N/A</v>
      </c>
      <c r="EW39" s="197">
        <f t="shared" si="126"/>
        <v>0</v>
      </c>
      <c r="EX39" s="222" t="e">
        <f t="shared" si="127"/>
        <v>#N/A</v>
      </c>
      <c r="EY39" s="192">
        <f t="shared" si="128"/>
        <v>0</v>
      </c>
    </row>
    <row r="40" spans="1:161" ht="11.25" customHeight="1">
      <c r="E40" s="466">
        <v>39</v>
      </c>
      <c r="F40" s="474"/>
      <c r="G40" s="471"/>
      <c r="K40" s="181"/>
      <c r="L40" s="181"/>
      <c r="M40" s="181"/>
      <c r="N40" s="181"/>
      <c r="O40" s="181"/>
      <c r="P40" s="181"/>
      <c r="Q40" s="181"/>
      <c r="R40" s="181"/>
      <c r="S40" s="323"/>
      <c r="T40" s="323"/>
      <c r="U40" s="324"/>
      <c r="V40" s="30"/>
      <c r="W40" s="30"/>
      <c r="X40" s="30"/>
      <c r="Y40" s="30"/>
      <c r="Z40" s="30"/>
      <c r="AA40" s="30"/>
      <c r="AB40" s="30"/>
      <c r="AC40" s="30"/>
      <c r="AD40" s="30"/>
      <c r="AE40" s="30"/>
      <c r="AH40" s="30"/>
      <c r="AI40" s="30"/>
      <c r="AJ40" s="325"/>
      <c r="AK40" s="325"/>
      <c r="BI40" s="621">
        <v>32</v>
      </c>
      <c r="BJ40" s="622">
        <v>2.8</v>
      </c>
      <c r="BK40" s="623"/>
      <c r="BL40" s="1109"/>
      <c r="BM40" s="1109"/>
      <c r="BN40" s="23"/>
      <c r="BO40" s="221"/>
      <c r="BP40" s="621">
        <v>32</v>
      </c>
      <c r="BQ40" s="622"/>
      <c r="BR40" s="623"/>
      <c r="BS40" s="1109"/>
      <c r="BT40" s="1109"/>
      <c r="BU40" s="23"/>
      <c r="BV40" s="221"/>
      <c r="BW40" s="621">
        <v>32</v>
      </c>
      <c r="BX40" s="622">
        <v>34.700000000000003</v>
      </c>
      <c r="BY40" s="623"/>
      <c r="BZ40" s="1109"/>
      <c r="CA40" s="1109"/>
      <c r="CB40" s="24"/>
      <c r="CT40" s="16" t="e">
        <f t="shared" si="17"/>
        <v>#N/A</v>
      </c>
      <c r="CU40" s="197" t="e">
        <f t="shared" si="18"/>
        <v>#N/A</v>
      </c>
      <c r="CV40" s="197" t="e">
        <f t="shared" si="19"/>
        <v>#N/A</v>
      </c>
      <c r="CW40" s="197">
        <v>37</v>
      </c>
      <c r="CX40" s="197" t="str">
        <f t="shared" si="11"/>
        <v/>
      </c>
      <c r="CY40" s="197" t="e">
        <f t="shared" si="12"/>
        <v>#N/A</v>
      </c>
      <c r="CZ40" s="197" t="e">
        <f t="shared" si="13"/>
        <v>#N/A</v>
      </c>
      <c r="DA40" s="197" t="str">
        <f t="shared" si="20"/>
        <v/>
      </c>
      <c r="DB40" s="16" t="e">
        <f t="shared" si="14"/>
        <v>#N/A</v>
      </c>
      <c r="DC40" s="16" t="e">
        <f>IF(ISNUMBER(CX40),COUNTIF($DB$4:DB40,DB40)-1,NA())</f>
        <v>#N/A</v>
      </c>
      <c r="DK40" s="16">
        <v>13</v>
      </c>
      <c r="DL40" s="16" t="e">
        <f>IF($X$3=0,NA(),IF(kbins&lt;DK40,NA(),$DI$15))</f>
        <v>#N/A</v>
      </c>
      <c r="DM40" s="16">
        <f>$DJ$15</f>
        <v>0</v>
      </c>
      <c r="DP40" s="16">
        <f t="shared" si="22"/>
        <v>0.38556572794914246</v>
      </c>
      <c r="DQ40" s="16">
        <v>38</v>
      </c>
      <c r="DR40" s="16">
        <f t="shared" si="5"/>
        <v>47.1</v>
      </c>
      <c r="DS40" s="16">
        <f t="shared" si="6"/>
        <v>2.0831412687721653</v>
      </c>
      <c r="DT40" s="16">
        <f t="shared" si="7"/>
        <v>54.5</v>
      </c>
      <c r="DU40" s="16">
        <f t="shared" si="8"/>
        <v>45.5</v>
      </c>
      <c r="DV40" s="16">
        <f t="shared" si="9"/>
        <v>46</v>
      </c>
      <c r="DX40" s="197">
        <f t="shared" si="34"/>
        <v>0.61412116402116379</v>
      </c>
      <c r="DY40" s="197">
        <f t="shared" si="35"/>
        <v>0.93702399999999997</v>
      </c>
      <c r="DZ40" s="222">
        <f t="shared" si="36"/>
        <v>4.0105148936170254</v>
      </c>
      <c r="EA40" s="192">
        <f t="shared" si="37"/>
        <v>1.9370240000000001</v>
      </c>
      <c r="EB40" s="197">
        <f t="shared" si="38"/>
        <v>7.4783372881355827</v>
      </c>
      <c r="EC40" s="192">
        <f t="shared" si="39"/>
        <v>3.9370240000000001</v>
      </c>
      <c r="ED40" s="197">
        <f t="shared" si="40"/>
        <v>10.906668181818203</v>
      </c>
      <c r="EE40" s="192">
        <f t="shared" si="41"/>
        <v>5.9370240000000001</v>
      </c>
      <c r="EF40" s="197">
        <f t="shared" si="42"/>
        <v>14.402188235294121</v>
      </c>
      <c r="EG40" s="197">
        <f t="shared" si="43"/>
        <v>3.9370240000000001</v>
      </c>
      <c r="EH40" s="222">
        <f t="shared" si="44"/>
        <v>17.778099999999977</v>
      </c>
      <c r="EI40" s="192">
        <f t="shared" si="120"/>
        <v>6.9370240000000001</v>
      </c>
      <c r="EJ40" s="197" t="e">
        <f t="shared" si="135"/>
        <v>#N/A</v>
      </c>
      <c r="EK40" s="192">
        <f t="shared" si="136"/>
        <v>1.9370240000000001</v>
      </c>
      <c r="EL40" s="197" t="e">
        <f t="shared" si="137"/>
        <v>#N/A</v>
      </c>
      <c r="EM40" s="192">
        <f t="shared" si="138"/>
        <v>1.9370240000000001</v>
      </c>
      <c r="EN40" s="197" t="e">
        <f t="shared" si="129"/>
        <v>#N/A</v>
      </c>
      <c r="EO40" s="197">
        <f t="shared" si="130"/>
        <v>0.93702399999999997</v>
      </c>
      <c r="EP40" s="222" t="e">
        <f t="shared" si="131"/>
        <v>#N/A</v>
      </c>
      <c r="EQ40" s="192">
        <f t="shared" si="132"/>
        <v>0</v>
      </c>
      <c r="ER40" s="197" t="e">
        <f t="shared" si="133"/>
        <v>#N/A</v>
      </c>
      <c r="ES40" s="192">
        <f t="shared" si="134"/>
        <v>0.93702399999999997</v>
      </c>
      <c r="ET40" s="197" t="e">
        <f t="shared" si="123"/>
        <v>#N/A</v>
      </c>
      <c r="EU40" s="192">
        <f t="shared" si="124"/>
        <v>0.93702399999999997</v>
      </c>
      <c r="EV40" s="197" t="e">
        <f t="shared" si="125"/>
        <v>#N/A</v>
      </c>
      <c r="EW40" s="197">
        <f t="shared" si="126"/>
        <v>0</v>
      </c>
      <c r="EX40" s="222" t="e">
        <f t="shared" si="127"/>
        <v>#N/A</v>
      </c>
      <c r="EY40" s="192">
        <f t="shared" si="128"/>
        <v>0</v>
      </c>
    </row>
    <row r="41" spans="1:161" ht="11.25" customHeight="1">
      <c r="E41" s="466">
        <v>40</v>
      </c>
      <c r="F41" s="474"/>
      <c r="G41" s="471"/>
      <c r="K41" s="181"/>
      <c r="L41" s="181"/>
      <c r="M41" s="181"/>
      <c r="N41" s="181"/>
      <c r="O41" s="181"/>
      <c r="P41" s="181"/>
      <c r="Q41" s="181"/>
      <c r="R41" s="181"/>
      <c r="S41" s="323"/>
      <c r="T41" s="323"/>
      <c r="U41" s="324"/>
      <c r="V41" s="30"/>
      <c r="W41" s="30"/>
      <c r="X41" s="30"/>
      <c r="Y41" s="30"/>
      <c r="Z41" s="30"/>
      <c r="AA41" s="30"/>
      <c r="AB41" s="30"/>
      <c r="AC41" s="30"/>
      <c r="AD41" s="30"/>
      <c r="AE41" s="30"/>
      <c r="AH41" s="30"/>
      <c r="AI41" s="30"/>
      <c r="AJ41" s="325"/>
      <c r="AK41" s="325"/>
      <c r="BI41" s="621">
        <v>33</v>
      </c>
      <c r="BJ41" s="622">
        <v>5.0999999999999996</v>
      </c>
      <c r="BK41" s="623"/>
      <c r="BL41" s="1109"/>
      <c r="BM41" s="1109"/>
      <c r="BN41" s="23"/>
      <c r="BO41" s="221"/>
      <c r="BP41" s="621">
        <v>33</v>
      </c>
      <c r="BQ41" s="622"/>
      <c r="BR41" s="623"/>
      <c r="BS41" s="1109"/>
      <c r="BT41" s="1109"/>
      <c r="BU41" s="23"/>
      <c r="BV41" s="221"/>
      <c r="BW41" s="621">
        <v>33</v>
      </c>
      <c r="BX41" s="622">
        <v>4.0999999999999996</v>
      </c>
      <c r="BY41" s="623"/>
      <c r="BZ41" s="1109"/>
      <c r="CA41" s="1109"/>
      <c r="CB41" s="24"/>
      <c r="CT41" s="16" t="e">
        <f t="shared" si="17"/>
        <v>#N/A</v>
      </c>
      <c r="CU41" s="197" t="e">
        <f t="shared" si="18"/>
        <v>#N/A</v>
      </c>
      <c r="CV41" s="197" t="e">
        <f t="shared" si="19"/>
        <v>#N/A</v>
      </c>
      <c r="CW41" s="197">
        <v>38</v>
      </c>
      <c r="CX41" s="197" t="str">
        <f t="shared" si="11"/>
        <v/>
      </c>
      <c r="CY41" s="197" t="e">
        <f t="shared" si="12"/>
        <v>#N/A</v>
      </c>
      <c r="CZ41" s="197" t="e">
        <f t="shared" si="13"/>
        <v>#N/A</v>
      </c>
      <c r="DA41" s="197" t="str">
        <f t="shared" si="20"/>
        <v/>
      </c>
      <c r="DB41" s="16" t="e">
        <f t="shared" si="14"/>
        <v>#N/A</v>
      </c>
      <c r="DC41" s="16" t="e">
        <f>IF(ISNUMBER(CX41),COUNTIF($DB$4:DB41,DB41)-1,NA())</f>
        <v>#N/A</v>
      </c>
      <c r="DK41" s="16">
        <v>13</v>
      </c>
      <c r="DL41" s="16" t="e">
        <f>IF($X$3=0,NA(),IF(kbins&lt;DK41,NA(),$DI$16))</f>
        <v>#N/A</v>
      </c>
      <c r="DM41" s="16">
        <f>$DJ$15</f>
        <v>0</v>
      </c>
      <c r="DP41" s="16">
        <f t="shared" si="22"/>
        <v>0.2918458878993988</v>
      </c>
      <c r="DQ41" s="16">
        <v>39</v>
      </c>
      <c r="DR41" s="16">
        <f t="shared" si="5"/>
        <v>44.5</v>
      </c>
      <c r="DS41" s="16">
        <f t="shared" si="6"/>
        <v>1.9031677944551022</v>
      </c>
      <c r="DT41" s="16">
        <f t="shared" si="7"/>
        <v>55.9</v>
      </c>
      <c r="DU41" s="16">
        <f t="shared" si="8"/>
        <v>44.1</v>
      </c>
      <c r="DV41" s="16">
        <f t="shared" si="9"/>
        <v>42.8</v>
      </c>
      <c r="DX41" s="197">
        <f t="shared" si="34"/>
        <v>0.62764603174603151</v>
      </c>
      <c r="DY41" s="197">
        <f t="shared" si="35"/>
        <v>0.93702399999999997</v>
      </c>
      <c r="DZ41" s="222">
        <f t="shared" si="36"/>
        <v>4.0377085106383017</v>
      </c>
      <c r="EA41" s="192">
        <f t="shared" si="37"/>
        <v>1.9370240000000001</v>
      </c>
      <c r="EB41" s="197">
        <f t="shared" si="38"/>
        <v>7.5216627118643959</v>
      </c>
      <c r="EC41" s="192">
        <f t="shared" si="39"/>
        <v>3.9370240000000001</v>
      </c>
      <c r="ED41" s="197">
        <f t="shared" si="40"/>
        <v>10.964763636363658</v>
      </c>
      <c r="EE41" s="192">
        <f t="shared" si="41"/>
        <v>5.9370240000000001</v>
      </c>
      <c r="EF41" s="197">
        <f t="shared" si="42"/>
        <v>14.477370588235297</v>
      </c>
      <c r="EG41" s="197">
        <f t="shared" si="43"/>
        <v>3.9370240000000001</v>
      </c>
      <c r="EH41" s="239"/>
      <c r="EI41" s="24"/>
      <c r="EJ41" s="197" t="e">
        <f t="shared" si="135"/>
        <v>#N/A</v>
      </c>
      <c r="EK41" s="192">
        <f t="shared" si="136"/>
        <v>1.9370240000000001</v>
      </c>
      <c r="EL41" s="197" t="e">
        <f t="shared" si="137"/>
        <v>#N/A</v>
      </c>
      <c r="EM41" s="192">
        <f t="shared" si="138"/>
        <v>1.9370240000000001</v>
      </c>
      <c r="EN41" s="197" t="e">
        <f t="shared" si="129"/>
        <v>#N/A</v>
      </c>
      <c r="EO41" s="197">
        <f t="shared" si="130"/>
        <v>0.93702399999999997</v>
      </c>
      <c r="EP41" s="222" t="e">
        <f t="shared" si="131"/>
        <v>#N/A</v>
      </c>
      <c r="EQ41" s="192">
        <f t="shared" si="132"/>
        <v>0</v>
      </c>
      <c r="ER41" s="197" t="e">
        <f t="shared" si="133"/>
        <v>#N/A</v>
      </c>
      <c r="ES41" s="192">
        <f t="shared" si="134"/>
        <v>0.93702399999999997</v>
      </c>
      <c r="ET41" s="197" t="e">
        <f t="shared" si="123"/>
        <v>#N/A</v>
      </c>
      <c r="EU41" s="192">
        <f t="shared" si="124"/>
        <v>0.93702399999999997</v>
      </c>
      <c r="EV41" s="197" t="e">
        <f t="shared" si="125"/>
        <v>#N/A</v>
      </c>
      <c r="EW41" s="197">
        <f t="shared" si="126"/>
        <v>0</v>
      </c>
      <c r="EX41" s="222" t="e">
        <f t="shared" si="127"/>
        <v>#N/A</v>
      </c>
      <c r="EY41" s="192">
        <f t="shared" si="128"/>
        <v>0</v>
      </c>
    </row>
    <row r="42" spans="1:161" ht="11.25" customHeight="1">
      <c r="E42" s="466">
        <v>41</v>
      </c>
      <c r="F42" s="474"/>
      <c r="G42" s="471"/>
      <c r="K42" s="181"/>
      <c r="L42" s="181"/>
      <c r="M42" s="181"/>
      <c r="N42" s="181"/>
      <c r="O42" s="181"/>
      <c r="P42" s="181"/>
      <c r="Q42" s="181"/>
      <c r="R42" s="181"/>
      <c r="S42" s="323"/>
      <c r="T42" s="323"/>
      <c r="U42" s="324"/>
      <c r="V42" s="30"/>
      <c r="W42" s="30"/>
      <c r="X42" s="30"/>
      <c r="Y42" s="30"/>
      <c r="Z42" s="30"/>
      <c r="AA42" s="30"/>
      <c r="AB42" s="30"/>
      <c r="AC42" s="30"/>
      <c r="AD42" s="30"/>
      <c r="AE42" s="30"/>
      <c r="AH42" s="30"/>
      <c r="AI42" s="30"/>
      <c r="AJ42" s="325"/>
      <c r="AK42" s="325"/>
      <c r="BI42" s="621">
        <v>34</v>
      </c>
      <c r="BJ42" s="622">
        <v>12.4</v>
      </c>
      <c r="BK42" s="623"/>
      <c r="BL42" s="1109"/>
      <c r="BM42" s="1109"/>
      <c r="BN42" s="24"/>
      <c r="BP42" s="621">
        <v>34</v>
      </c>
      <c r="BQ42" s="622"/>
      <c r="BR42" s="623"/>
      <c r="BS42" s="1109"/>
      <c r="BT42" s="1109"/>
      <c r="BU42" s="24"/>
      <c r="BW42" s="621">
        <v>34</v>
      </c>
      <c r="BX42" s="622">
        <v>8</v>
      </c>
      <c r="BY42" s="623"/>
      <c r="BZ42" s="1109"/>
      <c r="CA42" s="1109"/>
      <c r="CB42" s="24"/>
      <c r="CT42" s="16" t="e">
        <f t="shared" si="17"/>
        <v>#N/A</v>
      </c>
      <c r="CU42" s="197" t="e">
        <f t="shared" si="18"/>
        <v>#N/A</v>
      </c>
      <c r="CV42" s="197" t="e">
        <f t="shared" si="19"/>
        <v>#N/A</v>
      </c>
      <c r="CW42" s="197">
        <v>39</v>
      </c>
      <c r="CX42" s="197" t="str">
        <f t="shared" si="11"/>
        <v/>
      </c>
      <c r="CY42" s="197" t="e">
        <f t="shared" si="12"/>
        <v>#N/A</v>
      </c>
      <c r="CZ42" s="197" t="e">
        <f t="shared" si="13"/>
        <v>#N/A</v>
      </c>
      <c r="DA42" s="197" t="str">
        <f t="shared" si="20"/>
        <v/>
      </c>
      <c r="DB42" s="16" t="e">
        <f t="shared" si="14"/>
        <v>#N/A</v>
      </c>
      <c r="DC42" s="16" t="e">
        <f>IF(ISNUMBER(CX42),COUNTIF($DB$4:DB42,DB42)-1,NA())</f>
        <v>#N/A</v>
      </c>
      <c r="DK42" s="16">
        <v>13</v>
      </c>
      <c r="DL42" s="16" t="e">
        <f>IF($X$3=0,NA(),IF(kbins&lt;DK42,NA(),$DI$16))</f>
        <v>#N/A</v>
      </c>
      <c r="DM42" s="16">
        <v>0</v>
      </c>
      <c r="DP42" s="16">
        <f t="shared" si="22"/>
        <v>0.67299053072929382</v>
      </c>
      <c r="DQ42" s="16">
        <v>40</v>
      </c>
      <c r="DR42" s="16">
        <f t="shared" si="5"/>
        <v>54.5</v>
      </c>
      <c r="DS42" s="16">
        <f t="shared" si="6"/>
        <v>2.6004981502872613</v>
      </c>
      <c r="DT42" s="16">
        <f t="shared" si="7"/>
        <v>49.1</v>
      </c>
      <c r="DU42" s="16">
        <f t="shared" si="8"/>
        <v>50.9</v>
      </c>
      <c r="DV42" s="16">
        <f t="shared" si="9"/>
        <v>56</v>
      </c>
      <c r="DX42" s="197">
        <f t="shared" si="34"/>
        <v>0.64117089947089922</v>
      </c>
      <c r="DY42" s="197">
        <f t="shared" si="35"/>
        <v>0.93702399999999997</v>
      </c>
      <c r="DZ42" s="222">
        <f t="shared" si="36"/>
        <v>4.064902127659578</v>
      </c>
      <c r="EA42" s="192">
        <f t="shared" si="37"/>
        <v>1.9370240000000001</v>
      </c>
      <c r="EB42" s="197">
        <f t="shared" si="38"/>
        <v>7.5649881355932092</v>
      </c>
      <c r="EC42" s="192">
        <f t="shared" si="39"/>
        <v>3.9370240000000001</v>
      </c>
      <c r="ED42" s="197">
        <f t="shared" si="40"/>
        <v>11.022859090909114</v>
      </c>
      <c r="EE42" s="192">
        <f t="shared" si="41"/>
        <v>5.9370240000000001</v>
      </c>
      <c r="EF42" s="197">
        <f t="shared" si="42"/>
        <v>14.552552941176474</v>
      </c>
      <c r="EG42" s="197">
        <f t="shared" si="43"/>
        <v>3.9370240000000001</v>
      </c>
      <c r="EH42" s="222" t="e">
        <f>IF(ISNUMBER(EI$4),EH11,NA())</f>
        <v>#N/A</v>
      </c>
      <c r="EI42" s="192">
        <f>EI11</f>
        <v>6.9370240000000001</v>
      </c>
      <c r="EJ42" s="197" t="e">
        <f t="shared" si="135"/>
        <v>#N/A</v>
      </c>
      <c r="EK42" s="192">
        <f t="shared" si="136"/>
        <v>1.9370240000000001</v>
      </c>
      <c r="EL42" s="197" t="e">
        <f t="shared" si="137"/>
        <v>#N/A</v>
      </c>
      <c r="EM42" s="192">
        <f t="shared" si="138"/>
        <v>1.9370240000000001</v>
      </c>
      <c r="EN42" s="197" t="e">
        <f t="shared" si="129"/>
        <v>#N/A</v>
      </c>
      <c r="EO42" s="197">
        <f t="shared" si="130"/>
        <v>0.93702399999999997</v>
      </c>
      <c r="EP42" s="222" t="e">
        <f t="shared" si="131"/>
        <v>#N/A</v>
      </c>
      <c r="EQ42" s="192">
        <f t="shared" si="132"/>
        <v>0</v>
      </c>
      <c r="ER42" s="197" t="e">
        <f t="shared" si="133"/>
        <v>#N/A</v>
      </c>
      <c r="ES42" s="192">
        <f t="shared" si="134"/>
        <v>0.93702399999999997</v>
      </c>
    </row>
    <row r="43" spans="1:161" ht="11.25" customHeight="1">
      <c r="E43" s="466">
        <v>42</v>
      </c>
      <c r="F43" s="474"/>
      <c r="G43" s="471"/>
      <c r="K43" s="181"/>
      <c r="L43" s="181"/>
      <c r="M43" s="181"/>
      <c r="N43" s="181"/>
      <c r="O43" s="181"/>
      <c r="P43" s="181"/>
      <c r="Q43" s="181"/>
      <c r="R43" s="181"/>
      <c r="S43" s="323"/>
      <c r="T43" s="323"/>
      <c r="U43" s="324"/>
      <c r="V43" s="30"/>
      <c r="W43" s="30"/>
      <c r="X43" s="30"/>
      <c r="Y43" s="30"/>
      <c r="Z43" s="30"/>
      <c r="AA43" s="30"/>
      <c r="AB43" s="30"/>
      <c r="AC43" s="30"/>
      <c r="AD43" s="30"/>
      <c r="AE43" s="30"/>
      <c r="AH43" s="30"/>
      <c r="AI43" s="30"/>
      <c r="AJ43" s="325"/>
      <c r="AK43" s="325"/>
      <c r="BI43" s="621">
        <v>35</v>
      </c>
      <c r="BJ43" s="622"/>
      <c r="BK43" s="623"/>
      <c r="BL43" s="1109"/>
      <c r="BM43" s="1109"/>
      <c r="BN43" s="24"/>
      <c r="BP43" s="621">
        <v>35</v>
      </c>
      <c r="BQ43" s="622"/>
      <c r="BR43" s="623"/>
      <c r="BS43" s="1109"/>
      <c r="BT43" s="1109"/>
      <c r="BU43" s="24"/>
      <c r="BW43" s="621">
        <v>35</v>
      </c>
      <c r="BX43" s="622">
        <v>7</v>
      </c>
      <c r="BY43" s="623"/>
      <c r="BZ43" s="1109"/>
      <c r="CA43" s="1109"/>
      <c r="CB43" s="24"/>
      <c r="CT43" s="16" t="e">
        <f t="shared" si="17"/>
        <v>#N/A</v>
      </c>
      <c r="CU43" s="197" t="e">
        <f t="shared" si="18"/>
        <v>#N/A</v>
      </c>
      <c r="CV43" s="197" t="e">
        <f t="shared" si="19"/>
        <v>#N/A</v>
      </c>
      <c r="CW43" s="197">
        <v>40</v>
      </c>
      <c r="CX43" s="197" t="str">
        <f t="shared" si="11"/>
        <v/>
      </c>
      <c r="CY43" s="197" t="e">
        <f t="shared" si="12"/>
        <v>#N/A</v>
      </c>
      <c r="CZ43" s="197" t="e">
        <f t="shared" si="13"/>
        <v>#N/A</v>
      </c>
      <c r="DA43" s="197" t="str">
        <f t="shared" si="20"/>
        <v/>
      </c>
      <c r="DB43" s="16" t="e">
        <f t="shared" si="14"/>
        <v>#N/A</v>
      </c>
      <c r="DC43" s="16" t="e">
        <f>IF(ISNUMBER(CX43),COUNTIF($DB$4:DB43,DB43)-1,NA())</f>
        <v>#N/A</v>
      </c>
      <c r="DK43" s="16">
        <v>14</v>
      </c>
      <c r="DL43" s="16" t="e">
        <f>IF($X$3=0,NA(),IF(kbins&lt;DK43,NA(),$DI$16))</f>
        <v>#N/A</v>
      </c>
      <c r="DM43" s="16">
        <f>$DJ$16</f>
        <v>0</v>
      </c>
      <c r="DP43" s="16">
        <f t="shared" si="22"/>
        <v>5.6169837713241577E-2</v>
      </c>
      <c r="DQ43" s="16">
        <v>41</v>
      </c>
      <c r="DR43" s="16">
        <f t="shared" si="5"/>
        <v>34.1</v>
      </c>
      <c r="DS43" s="16">
        <f t="shared" si="6"/>
        <v>1.1753330020103285</v>
      </c>
      <c r="DT43" s="16">
        <f t="shared" si="7"/>
        <v>59.3</v>
      </c>
      <c r="DU43" s="16">
        <f t="shared" si="8"/>
        <v>40.700000000000003</v>
      </c>
      <c r="DV43" s="16">
        <f t="shared" si="9"/>
        <v>34.6</v>
      </c>
      <c r="DX43" s="197">
        <f t="shared" si="34"/>
        <v>0.65469576719576694</v>
      </c>
      <c r="DY43" s="197">
        <f t="shared" si="35"/>
        <v>0.93702399999999997</v>
      </c>
      <c r="DZ43" s="222">
        <f t="shared" si="36"/>
        <v>4.0920957446808544</v>
      </c>
      <c r="EA43" s="192">
        <f t="shared" si="37"/>
        <v>1.9370240000000001</v>
      </c>
      <c r="EB43" s="197">
        <f t="shared" si="38"/>
        <v>7.6083135593220224</v>
      </c>
      <c r="EC43" s="192">
        <f t="shared" si="39"/>
        <v>3.9370240000000001</v>
      </c>
      <c r="ED43" s="197">
        <f t="shared" si="40"/>
        <v>11.080954545454569</v>
      </c>
      <c r="EE43" s="192">
        <f t="shared" si="41"/>
        <v>5.9370240000000001</v>
      </c>
      <c r="EF43" s="197">
        <f t="shared" si="42"/>
        <v>14.627735294117651</v>
      </c>
      <c r="EG43" s="197">
        <f t="shared" si="43"/>
        <v>3.9370240000000001</v>
      </c>
      <c r="EH43" s="222" t="e">
        <f>IF(ISNUMBER(EI$4),EH12,NA())</f>
        <v>#N/A</v>
      </c>
      <c r="EI43" s="192">
        <f t="shared" ref="EI43:EI71" si="139">EI42</f>
        <v>6.9370240000000001</v>
      </c>
      <c r="EJ43" s="197" t="e">
        <f t="shared" si="135"/>
        <v>#N/A</v>
      </c>
      <c r="EK43" s="192">
        <f t="shared" si="136"/>
        <v>1.9370240000000001</v>
      </c>
      <c r="EL43" s="197" t="e">
        <f t="shared" si="137"/>
        <v>#N/A</v>
      </c>
      <c r="EM43" s="192">
        <f t="shared" si="138"/>
        <v>1.9370240000000001</v>
      </c>
      <c r="EN43" s="197" t="e">
        <f t="shared" si="129"/>
        <v>#N/A</v>
      </c>
      <c r="EO43" s="197">
        <f t="shared" si="130"/>
        <v>0.93702399999999997</v>
      </c>
      <c r="EP43" s="222" t="e">
        <f t="shared" si="131"/>
        <v>#N/A</v>
      </c>
      <c r="EQ43" s="192">
        <f t="shared" si="132"/>
        <v>0</v>
      </c>
      <c r="ER43" s="197" t="e">
        <f t="shared" si="133"/>
        <v>#N/A</v>
      </c>
      <c r="ES43" s="192">
        <f t="shared" si="134"/>
        <v>0.93702399999999997</v>
      </c>
    </row>
    <row r="44" spans="1:161" ht="11.25" customHeight="1">
      <c r="E44" s="466">
        <v>43</v>
      </c>
      <c r="F44" s="474"/>
      <c r="G44" s="471"/>
      <c r="J44" s="16"/>
      <c r="K44" s="181"/>
      <c r="L44" s="181"/>
      <c r="M44" s="181"/>
      <c r="N44" s="181"/>
      <c r="O44" s="181"/>
      <c r="P44" s="181"/>
      <c r="Q44" s="181"/>
      <c r="R44" s="181"/>
      <c r="S44" s="323"/>
      <c r="T44" s="323"/>
      <c r="U44" s="324"/>
      <c r="V44" s="30"/>
      <c r="W44" s="30"/>
      <c r="X44" s="30"/>
      <c r="Y44" s="30"/>
      <c r="Z44" s="30"/>
      <c r="AA44" s="30"/>
      <c r="AB44" s="30"/>
      <c r="AC44" s="30"/>
      <c r="AD44" s="30"/>
      <c r="AE44" s="30"/>
      <c r="AH44" s="30"/>
      <c r="AI44" s="30"/>
      <c r="AJ44" s="325"/>
      <c r="AK44" s="325"/>
      <c r="BI44" s="621">
        <v>36</v>
      </c>
      <c r="BJ44" s="622"/>
      <c r="BK44" s="623"/>
      <c r="BL44" s="1109"/>
      <c r="BM44" s="1109"/>
      <c r="BN44" s="24"/>
      <c r="BP44" s="621">
        <v>36</v>
      </c>
      <c r="BQ44" s="622"/>
      <c r="BR44" s="623"/>
      <c r="BS44" s="1109"/>
      <c r="BT44" s="1109"/>
      <c r="BU44" s="24"/>
      <c r="BW44" s="621">
        <v>36</v>
      </c>
      <c r="BX44" s="622">
        <v>6</v>
      </c>
      <c r="BY44" s="623"/>
      <c r="BZ44" s="1109"/>
      <c r="CA44" s="1109"/>
      <c r="CB44" s="24"/>
      <c r="CT44" s="16" t="e">
        <f t="shared" si="17"/>
        <v>#N/A</v>
      </c>
      <c r="CU44" s="197" t="e">
        <f t="shared" si="18"/>
        <v>#N/A</v>
      </c>
      <c r="CV44" s="197" t="e">
        <f t="shared" si="19"/>
        <v>#N/A</v>
      </c>
      <c r="CW44" s="197">
        <v>41</v>
      </c>
      <c r="CX44" s="197" t="str">
        <f t="shared" si="11"/>
        <v/>
      </c>
      <c r="CY44" s="197" t="e">
        <f t="shared" si="12"/>
        <v>#N/A</v>
      </c>
      <c r="CZ44" s="197" t="e">
        <f t="shared" si="13"/>
        <v>#N/A</v>
      </c>
      <c r="DA44" s="197" t="str">
        <f t="shared" si="20"/>
        <v/>
      </c>
      <c r="DB44" s="16" t="e">
        <f t="shared" si="14"/>
        <v>#N/A</v>
      </c>
      <c r="DC44" s="16" t="e">
        <f>IF(ISNUMBER(CX44),COUNTIF($DB$4:DB44,DB44)-1,NA())</f>
        <v>#N/A</v>
      </c>
      <c r="DK44" s="16">
        <v>14</v>
      </c>
      <c r="DL44" s="16" t="e">
        <f>IF($X$3=0,NA(),IF(kbins&lt;DK44,NA(),$DI$17))</f>
        <v>#N/A</v>
      </c>
      <c r="DM44" s="16">
        <f>$DJ$16</f>
        <v>0</v>
      </c>
      <c r="DP44" s="16">
        <f t="shared" si="22"/>
        <v>0.10734030604362488</v>
      </c>
      <c r="DQ44" s="16">
        <v>42</v>
      </c>
      <c r="DR44" s="16">
        <f t="shared" si="5"/>
        <v>37.6</v>
      </c>
      <c r="DS44" s="16">
        <f t="shared" si="6"/>
        <v>1.4182097631278046</v>
      </c>
      <c r="DT44" s="16">
        <f t="shared" si="7"/>
        <v>58.4</v>
      </c>
      <c r="DU44" s="16">
        <f t="shared" si="8"/>
        <v>41.6</v>
      </c>
      <c r="DV44" s="16">
        <f t="shared" si="9"/>
        <v>36.4</v>
      </c>
      <c r="DX44" s="197">
        <f t="shared" si="34"/>
        <v>0.66822063492063466</v>
      </c>
      <c r="DY44" s="197">
        <f t="shared" si="35"/>
        <v>0.93702399999999997</v>
      </c>
      <c r="DZ44" s="222">
        <f t="shared" si="36"/>
        <v>4.1192893617021307</v>
      </c>
      <c r="EA44" s="192">
        <f t="shared" si="37"/>
        <v>1.9370240000000001</v>
      </c>
      <c r="EB44" s="197">
        <f t="shared" si="38"/>
        <v>7.6516389830508356</v>
      </c>
      <c r="EC44" s="192">
        <f t="shared" si="39"/>
        <v>3.9370240000000001</v>
      </c>
      <c r="ED44" s="197">
        <f t="shared" si="40"/>
        <v>11.139050000000024</v>
      </c>
      <c r="EE44" s="192">
        <f t="shared" si="41"/>
        <v>5.9370240000000001</v>
      </c>
      <c r="EF44" s="197">
        <f t="shared" si="42"/>
        <v>14.702917647058827</v>
      </c>
      <c r="EG44" s="197">
        <f t="shared" si="43"/>
        <v>3.9370240000000001</v>
      </c>
      <c r="EH44" s="222" t="e">
        <f t="shared" ref="EH44:EH71" si="140">IF(ISNUMBER(EI$4),EH13,NA())</f>
        <v>#N/A</v>
      </c>
      <c r="EI44" s="192">
        <f t="shared" si="139"/>
        <v>6.9370240000000001</v>
      </c>
      <c r="EJ44" s="197" t="e">
        <f t="shared" si="135"/>
        <v>#N/A</v>
      </c>
      <c r="EK44" s="192">
        <f t="shared" si="136"/>
        <v>1.9370240000000001</v>
      </c>
      <c r="EL44" s="197" t="e">
        <f t="shared" si="137"/>
        <v>#N/A</v>
      </c>
      <c r="EM44" s="192">
        <f t="shared" si="138"/>
        <v>1.9370240000000001</v>
      </c>
      <c r="EN44" s="197" t="e">
        <f t="shared" si="129"/>
        <v>#N/A</v>
      </c>
      <c r="EO44" s="197">
        <f t="shared" si="130"/>
        <v>0.93702399999999997</v>
      </c>
      <c r="EP44" s="222" t="e">
        <f t="shared" si="131"/>
        <v>#N/A</v>
      </c>
      <c r="EQ44" s="192">
        <f t="shared" si="132"/>
        <v>0</v>
      </c>
      <c r="ER44" s="197" t="e">
        <f t="shared" si="133"/>
        <v>#N/A</v>
      </c>
      <c r="ES44" s="192">
        <f t="shared" si="134"/>
        <v>0.93702399999999997</v>
      </c>
    </row>
    <row r="45" spans="1:161" ht="11.25" customHeight="1">
      <c r="E45" s="466">
        <v>44</v>
      </c>
      <c r="F45" s="474"/>
      <c r="G45" s="471"/>
      <c r="H45" s="321"/>
      <c r="I45" s="326"/>
      <c r="J45" s="30"/>
      <c r="BI45" s="621">
        <v>37</v>
      </c>
      <c r="BJ45" s="622"/>
      <c r="BK45" s="623"/>
      <c r="BL45" s="1109"/>
      <c r="BM45" s="1109"/>
      <c r="BN45" s="24"/>
      <c r="BP45" s="621">
        <v>37</v>
      </c>
      <c r="BQ45" s="622"/>
      <c r="BR45" s="623"/>
      <c r="BS45" s="1109"/>
      <c r="BT45" s="1109"/>
      <c r="BU45" s="24"/>
      <c r="BW45" s="621">
        <v>37</v>
      </c>
      <c r="BX45" s="622">
        <v>5</v>
      </c>
      <c r="BY45" s="623"/>
      <c r="BZ45" s="1109"/>
      <c r="CA45" s="1109"/>
      <c r="CB45" s="24"/>
      <c r="CT45" s="16" t="e">
        <f t="shared" si="17"/>
        <v>#N/A</v>
      </c>
      <c r="CU45" s="197" t="e">
        <f t="shared" si="18"/>
        <v>#N/A</v>
      </c>
      <c r="CV45" s="197" t="e">
        <f t="shared" si="19"/>
        <v>#N/A</v>
      </c>
      <c r="CW45" s="197">
        <v>42</v>
      </c>
      <c r="CX45" s="197" t="str">
        <f t="shared" si="11"/>
        <v/>
      </c>
      <c r="CY45" s="197" t="e">
        <f t="shared" si="12"/>
        <v>#N/A</v>
      </c>
      <c r="CZ45" s="197" t="e">
        <f t="shared" si="13"/>
        <v>#N/A</v>
      </c>
      <c r="DA45" s="197" t="str">
        <f t="shared" si="20"/>
        <v/>
      </c>
      <c r="DB45" s="16" t="e">
        <f t="shared" si="14"/>
        <v>#N/A</v>
      </c>
      <c r="DC45" s="16" t="e">
        <f>IF(ISNUMBER(CX45),COUNTIF($DB$4:DB45,DB45)-1,NA())</f>
        <v>#N/A</v>
      </c>
      <c r="DK45" s="16">
        <v>14</v>
      </c>
      <c r="DL45" s="16" t="e">
        <f>IF($X$3=0,NA(),IF(kbins&lt;DK45,NA(),$DI$17))</f>
        <v>#N/A</v>
      </c>
      <c r="DM45" s="16">
        <v>0</v>
      </c>
      <c r="DP45" s="16">
        <f t="shared" si="22"/>
        <v>0.45586022734642029</v>
      </c>
      <c r="DQ45" s="16">
        <v>43</v>
      </c>
      <c r="DR45" s="16">
        <f t="shared" si="5"/>
        <v>48.9</v>
      </c>
      <c r="DS45" s="16">
        <f t="shared" si="6"/>
        <v>2.209159823689939</v>
      </c>
      <c r="DT45" s="16">
        <f t="shared" si="7"/>
        <v>53.5</v>
      </c>
      <c r="DU45" s="16">
        <f t="shared" si="8"/>
        <v>46.5</v>
      </c>
      <c r="DV45" s="16">
        <f t="shared" si="9"/>
        <v>48.5</v>
      </c>
      <c r="DX45" s="197">
        <f t="shared" si="34"/>
        <v>0.68174550264550238</v>
      </c>
      <c r="DY45" s="197">
        <f t="shared" si="35"/>
        <v>0.93702399999999997</v>
      </c>
      <c r="DZ45" s="222">
        <f t="shared" si="36"/>
        <v>4.146482978723407</v>
      </c>
      <c r="EA45" s="192">
        <f t="shared" si="37"/>
        <v>1.9370240000000001</v>
      </c>
      <c r="EB45" s="197">
        <f t="shared" si="38"/>
        <v>7.6949644067796488</v>
      </c>
      <c r="EC45" s="192">
        <f t="shared" si="39"/>
        <v>3.9370240000000001</v>
      </c>
      <c r="ED45" s="197">
        <f t="shared" si="40"/>
        <v>11.197145454545479</v>
      </c>
      <c r="EE45" s="192">
        <f t="shared" si="41"/>
        <v>5.9370240000000001</v>
      </c>
      <c r="EF45" s="197">
        <f t="shared" si="42"/>
        <v>14.778100000000004</v>
      </c>
      <c r="EG45" s="197">
        <f t="shared" si="43"/>
        <v>3.9370240000000001</v>
      </c>
      <c r="EH45" s="222" t="e">
        <f t="shared" si="140"/>
        <v>#N/A</v>
      </c>
      <c r="EI45" s="192">
        <f t="shared" si="139"/>
        <v>6.9370240000000001</v>
      </c>
      <c r="EJ45" s="197" t="e">
        <f t="shared" si="135"/>
        <v>#N/A</v>
      </c>
      <c r="EK45" s="192">
        <f t="shared" si="136"/>
        <v>1.9370240000000001</v>
      </c>
      <c r="EL45" s="197" t="e">
        <f t="shared" si="137"/>
        <v>#N/A</v>
      </c>
      <c r="EM45" s="192">
        <f t="shared" si="138"/>
        <v>1.9370240000000001</v>
      </c>
      <c r="EN45" s="197" t="e">
        <f t="shared" si="129"/>
        <v>#N/A</v>
      </c>
      <c r="EO45" s="197">
        <f t="shared" si="130"/>
        <v>0.93702399999999997</v>
      </c>
      <c r="EP45" s="222" t="e">
        <f t="shared" si="131"/>
        <v>#N/A</v>
      </c>
      <c r="EQ45" s="192">
        <f t="shared" si="132"/>
        <v>0</v>
      </c>
      <c r="ER45" s="197" t="e">
        <f t="shared" si="133"/>
        <v>#N/A</v>
      </c>
      <c r="ES45" s="192">
        <f t="shared" si="134"/>
        <v>0.93702399999999997</v>
      </c>
    </row>
    <row r="46" spans="1:161" ht="11.25" customHeight="1">
      <c r="E46" s="466">
        <v>45</v>
      </c>
      <c r="F46" s="474"/>
      <c r="G46" s="471"/>
      <c r="H46" s="321"/>
      <c r="I46" s="326"/>
      <c r="J46" s="30"/>
      <c r="W46" s="1121"/>
      <c r="BI46" s="621">
        <v>38</v>
      </c>
      <c r="BJ46" s="622"/>
      <c r="BK46" s="623"/>
      <c r="BL46" s="1109"/>
      <c r="BM46" s="1109"/>
      <c r="BN46" s="24"/>
      <c r="BP46" s="621">
        <v>38</v>
      </c>
      <c r="BQ46" s="622"/>
      <c r="BR46" s="623"/>
      <c r="BS46" s="1109"/>
      <c r="BT46" s="1109"/>
      <c r="BU46" s="24"/>
      <c r="BW46" s="621">
        <v>38</v>
      </c>
      <c r="BX46" s="622">
        <v>9</v>
      </c>
      <c r="BY46" s="623"/>
      <c r="BZ46" s="1109"/>
      <c r="CA46" s="1109"/>
      <c r="CB46" s="24"/>
      <c r="CT46" s="16" t="e">
        <f t="shared" si="17"/>
        <v>#N/A</v>
      </c>
      <c r="CU46" s="197" t="e">
        <f t="shared" si="18"/>
        <v>#N/A</v>
      </c>
      <c r="CV46" s="197" t="e">
        <f t="shared" si="19"/>
        <v>#N/A</v>
      </c>
      <c r="CW46" s="197">
        <v>43</v>
      </c>
      <c r="CX46" s="197" t="str">
        <f t="shared" si="11"/>
        <v/>
      </c>
      <c r="CY46" s="197" t="e">
        <f t="shared" si="12"/>
        <v>#N/A</v>
      </c>
      <c r="CZ46" s="197" t="e">
        <f t="shared" si="13"/>
        <v>#N/A</v>
      </c>
      <c r="DA46" s="197" t="str">
        <f t="shared" si="20"/>
        <v/>
      </c>
      <c r="DB46" s="16" t="e">
        <f t="shared" si="14"/>
        <v>#N/A</v>
      </c>
      <c r="DC46" s="16" t="e">
        <f>IF(ISNUMBER(CX46),COUNTIF($DB$4:DB46,DB46)-1,NA())</f>
        <v>#N/A</v>
      </c>
      <c r="DK46" s="16">
        <v>15</v>
      </c>
      <c r="DL46" s="16" t="e">
        <f>IF($X$3=0,NA(),IF(kbins&lt;DK46,NA(),$DI$17))</f>
        <v>#N/A</v>
      </c>
      <c r="DM46" s="16">
        <f>$DJ$17</f>
        <v>0</v>
      </c>
      <c r="DP46" s="16">
        <f t="shared" si="22"/>
        <v>0.19964715838432312</v>
      </c>
      <c r="DQ46" s="16">
        <v>44</v>
      </c>
      <c r="DR46" s="16">
        <f t="shared" si="5"/>
        <v>41.6</v>
      </c>
      <c r="DS46" s="16">
        <f t="shared" si="6"/>
        <v>1.6967503679831442</v>
      </c>
      <c r="DT46" s="16">
        <f t="shared" si="7"/>
        <v>57.1</v>
      </c>
      <c r="DU46" s="16">
        <f t="shared" si="8"/>
        <v>42.9</v>
      </c>
      <c r="DV46" s="16">
        <f t="shared" si="9"/>
        <v>39.6</v>
      </c>
      <c r="DX46" s="197">
        <f t="shared" si="34"/>
        <v>0.69527037037037009</v>
      </c>
      <c r="DY46" s="197">
        <f t="shared" si="35"/>
        <v>0.93702399999999997</v>
      </c>
      <c r="DZ46" s="222">
        <f t="shared" si="36"/>
        <v>4.1736765957446833</v>
      </c>
      <c r="EA46" s="192">
        <f t="shared" si="37"/>
        <v>1.9370240000000001</v>
      </c>
      <c r="EB46" s="197">
        <f t="shared" si="38"/>
        <v>7.738289830508462</v>
      </c>
      <c r="EC46" s="192">
        <f t="shared" si="39"/>
        <v>3.9370240000000001</v>
      </c>
      <c r="ED46" s="197">
        <f t="shared" si="40"/>
        <v>11.255240909090935</v>
      </c>
      <c r="EE46" s="192">
        <f t="shared" si="41"/>
        <v>5.9370240000000001</v>
      </c>
      <c r="EF46" s="23"/>
      <c r="EG46" s="23"/>
      <c r="EH46" s="222" t="e">
        <f t="shared" si="140"/>
        <v>#N/A</v>
      </c>
      <c r="EI46" s="192">
        <f t="shared" si="139"/>
        <v>6.9370240000000001</v>
      </c>
      <c r="EJ46" s="197" t="e">
        <f t="shared" si="135"/>
        <v>#N/A</v>
      </c>
      <c r="EK46" s="192">
        <f t="shared" si="136"/>
        <v>1.9370240000000001</v>
      </c>
      <c r="EL46" s="197" t="e">
        <f t="shared" si="137"/>
        <v>#N/A</v>
      </c>
      <c r="EM46" s="192">
        <f t="shared" si="138"/>
        <v>1.9370240000000001</v>
      </c>
      <c r="EN46" s="197" t="e">
        <f t="shared" si="129"/>
        <v>#N/A</v>
      </c>
      <c r="EO46" s="197">
        <f t="shared" si="130"/>
        <v>0.93702399999999997</v>
      </c>
      <c r="EP46" s="222" t="e">
        <f t="shared" si="131"/>
        <v>#N/A</v>
      </c>
      <c r="EQ46" s="192">
        <f t="shared" si="132"/>
        <v>0</v>
      </c>
      <c r="ER46" s="197" t="e">
        <f t="shared" si="133"/>
        <v>#N/A</v>
      </c>
      <c r="ES46" s="192">
        <f t="shared" si="134"/>
        <v>0.93702399999999997</v>
      </c>
    </row>
    <row r="47" spans="1:161" ht="11.25" customHeight="1">
      <c r="E47" s="466">
        <v>46</v>
      </c>
      <c r="F47" s="474"/>
      <c r="G47" s="471"/>
      <c r="H47" s="321"/>
      <c r="I47" s="326"/>
      <c r="J47" s="30"/>
      <c r="W47" s="1121"/>
      <c r="BI47" s="621">
        <v>39</v>
      </c>
      <c r="BJ47" s="622"/>
      <c r="BK47" s="623"/>
      <c r="BL47" s="1109"/>
      <c r="BM47" s="1109"/>
      <c r="BN47" s="24"/>
      <c r="BP47" s="621">
        <v>39</v>
      </c>
      <c r="BQ47" s="622"/>
      <c r="BR47" s="623"/>
      <c r="BS47" s="1109"/>
      <c r="BT47" s="1109"/>
      <c r="BU47" s="24"/>
      <c r="BW47" s="621">
        <v>39</v>
      </c>
      <c r="BX47" s="622">
        <v>11</v>
      </c>
      <c r="BY47" s="623"/>
      <c r="BZ47" s="1109"/>
      <c r="CA47" s="1109"/>
      <c r="CB47" s="24"/>
      <c r="CT47" s="16" t="e">
        <f t="shared" si="17"/>
        <v>#N/A</v>
      </c>
      <c r="CU47" s="197" t="e">
        <f t="shared" si="18"/>
        <v>#N/A</v>
      </c>
      <c r="CV47" s="197" t="e">
        <f t="shared" si="19"/>
        <v>#N/A</v>
      </c>
      <c r="CW47" s="197">
        <v>44</v>
      </c>
      <c r="CX47" s="197" t="str">
        <f t="shared" si="11"/>
        <v/>
      </c>
      <c r="CY47" s="197" t="e">
        <f t="shared" si="12"/>
        <v>#N/A</v>
      </c>
      <c r="CZ47" s="197" t="e">
        <f t="shared" si="13"/>
        <v>#N/A</v>
      </c>
      <c r="DA47" s="197" t="str">
        <f t="shared" si="20"/>
        <v/>
      </c>
      <c r="DB47" s="16" t="e">
        <f t="shared" si="14"/>
        <v>#N/A</v>
      </c>
      <c r="DC47" s="16" t="e">
        <f>IF(ISNUMBER(CX47),COUNTIF($DB$4:DB47,DB47)-1,NA())</f>
        <v>#N/A</v>
      </c>
      <c r="DK47" s="16">
        <v>15</v>
      </c>
      <c r="DL47" s="16" t="e">
        <f>IF($X$3=0,NA(),IF(kbins&lt;DK47,NA(),$DI$18))</f>
        <v>#N/A</v>
      </c>
      <c r="DM47" s="16">
        <f>$DJ$17</f>
        <v>0</v>
      </c>
      <c r="DP47" s="16">
        <f t="shared" si="22"/>
        <v>0.17925629019737244</v>
      </c>
      <c r="DQ47" s="16">
        <v>45</v>
      </c>
      <c r="DR47" s="16">
        <f t="shared" si="5"/>
        <v>40.799999999999997</v>
      </c>
      <c r="DS47" s="16">
        <f t="shared" si="6"/>
        <v>1.6440257999298284</v>
      </c>
      <c r="DT47" s="16">
        <f t="shared" si="7"/>
        <v>57.4</v>
      </c>
      <c r="DU47" s="16">
        <f t="shared" si="8"/>
        <v>42.6</v>
      </c>
      <c r="DV47" s="16">
        <f t="shared" si="9"/>
        <v>38.9</v>
      </c>
      <c r="DX47" s="197">
        <f t="shared" si="34"/>
        <v>0.70879523809523781</v>
      </c>
      <c r="DY47" s="197">
        <f t="shared" si="35"/>
        <v>0.93702399999999997</v>
      </c>
      <c r="DZ47" s="222">
        <f t="shared" si="36"/>
        <v>4.2008702127659596</v>
      </c>
      <c r="EA47" s="192">
        <f t="shared" si="37"/>
        <v>1.9370240000000001</v>
      </c>
      <c r="EB47" s="197">
        <f t="shared" si="38"/>
        <v>7.7816152542372752</v>
      </c>
      <c r="EC47" s="192">
        <f t="shared" si="39"/>
        <v>3.9370240000000001</v>
      </c>
      <c r="ED47" s="197">
        <f t="shared" si="40"/>
        <v>11.31333636363639</v>
      </c>
      <c r="EE47" s="192">
        <f t="shared" si="41"/>
        <v>5.9370240000000001</v>
      </c>
      <c r="EF47" s="197" t="e">
        <f>IF(ISNUMBER(EG$4),EF11,NA())</f>
        <v>#N/A</v>
      </c>
      <c r="EG47" s="197">
        <f>EG11</f>
        <v>3.9370240000000001</v>
      </c>
      <c r="EH47" s="222" t="e">
        <f t="shared" si="140"/>
        <v>#N/A</v>
      </c>
      <c r="EI47" s="192">
        <f t="shared" si="139"/>
        <v>6.9370240000000001</v>
      </c>
      <c r="EJ47" s="197" t="e">
        <f t="shared" si="135"/>
        <v>#N/A</v>
      </c>
      <c r="EK47" s="192">
        <f t="shared" si="136"/>
        <v>1.9370240000000001</v>
      </c>
      <c r="EL47" s="197" t="e">
        <f t="shared" si="137"/>
        <v>#N/A</v>
      </c>
      <c r="EM47" s="192">
        <f t="shared" si="138"/>
        <v>1.9370240000000001</v>
      </c>
      <c r="EN47" s="197" t="e">
        <f t="shared" si="129"/>
        <v>#N/A</v>
      </c>
      <c r="EO47" s="197">
        <f t="shared" si="130"/>
        <v>0.93702399999999997</v>
      </c>
      <c r="EP47" s="222" t="e">
        <f t="shared" si="131"/>
        <v>#N/A</v>
      </c>
      <c r="EQ47" s="192">
        <f t="shared" si="132"/>
        <v>0</v>
      </c>
      <c r="ER47" s="197" t="e">
        <f t="shared" si="133"/>
        <v>#N/A</v>
      </c>
      <c r="ES47" s="192">
        <f t="shared" si="134"/>
        <v>0.93702399999999997</v>
      </c>
    </row>
    <row r="48" spans="1:161" ht="11.25" customHeight="1">
      <c r="E48" s="466">
        <v>47</v>
      </c>
      <c r="F48" s="474"/>
      <c r="G48" s="471"/>
      <c r="H48" s="321"/>
      <c r="I48" s="326"/>
      <c r="J48" s="30"/>
      <c r="BI48" s="621">
        <v>40</v>
      </c>
      <c r="BJ48" s="622"/>
      <c r="BK48" s="623"/>
      <c r="BL48" s="1109"/>
      <c r="BM48" s="1109"/>
      <c r="BN48" s="24"/>
      <c r="BP48" s="621">
        <v>40</v>
      </c>
      <c r="BQ48" s="622"/>
      <c r="BR48" s="623"/>
      <c r="BS48" s="1109"/>
      <c r="BT48" s="1109"/>
      <c r="BU48" s="24"/>
      <c r="BW48" s="621">
        <v>40</v>
      </c>
      <c r="BX48" s="622">
        <v>12</v>
      </c>
      <c r="BY48" s="623"/>
      <c r="BZ48" s="1109"/>
      <c r="CA48" s="1109"/>
      <c r="CB48" s="24"/>
      <c r="CT48" s="16" t="e">
        <f t="shared" si="17"/>
        <v>#N/A</v>
      </c>
      <c r="CU48" s="197" t="e">
        <f t="shared" si="18"/>
        <v>#N/A</v>
      </c>
      <c r="CV48" s="197" t="e">
        <f t="shared" si="19"/>
        <v>#N/A</v>
      </c>
      <c r="CW48" s="197">
        <v>45</v>
      </c>
      <c r="CX48" s="197" t="str">
        <f t="shared" si="11"/>
        <v/>
      </c>
      <c r="CY48" s="197" t="e">
        <f t="shared" si="12"/>
        <v>#N/A</v>
      </c>
      <c r="CZ48" s="197" t="e">
        <f t="shared" si="13"/>
        <v>#N/A</v>
      </c>
      <c r="DA48" s="197" t="str">
        <f t="shared" si="20"/>
        <v/>
      </c>
      <c r="DB48" s="16" t="e">
        <f t="shared" si="14"/>
        <v>#N/A</v>
      </c>
      <c r="DC48" s="16" t="e">
        <f>IF(ISNUMBER(CX48),COUNTIF($DB$4:DB48,DB48)-1,NA())</f>
        <v>#N/A</v>
      </c>
      <c r="DK48" s="16">
        <v>15</v>
      </c>
      <c r="DL48" s="16" t="e">
        <f>IF($X$3=0,NA(),IF(kbins&lt;DK48,NA(),$DI$18))</f>
        <v>#N/A</v>
      </c>
      <c r="DM48" s="16">
        <v>0</v>
      </c>
      <c r="DP48" s="16">
        <f t="shared" si="22"/>
        <v>0.23230549693107605</v>
      </c>
      <c r="DQ48" s="16">
        <v>46</v>
      </c>
      <c r="DR48" s="16">
        <f t="shared" si="5"/>
        <v>42.7</v>
      </c>
      <c r="DS48" s="16">
        <f t="shared" si="6"/>
        <v>1.7748751905481841</v>
      </c>
      <c r="DT48" s="16">
        <f t="shared" si="7"/>
        <v>56.7</v>
      </c>
      <c r="DU48" s="16">
        <f t="shared" si="8"/>
        <v>43.3</v>
      </c>
      <c r="DV48" s="16">
        <f t="shared" si="9"/>
        <v>40.700000000000003</v>
      </c>
      <c r="DX48" s="197">
        <f t="shared" si="34"/>
        <v>0.72232010582010553</v>
      </c>
      <c r="DY48" s="197">
        <f t="shared" si="35"/>
        <v>0.93702399999999997</v>
      </c>
      <c r="DZ48" s="222">
        <f t="shared" si="36"/>
        <v>4.2280638297872359</v>
      </c>
      <c r="EA48" s="192">
        <f t="shared" si="37"/>
        <v>1.9370240000000001</v>
      </c>
      <c r="EB48" s="197">
        <f t="shared" si="38"/>
        <v>7.8249406779660884</v>
      </c>
      <c r="EC48" s="192">
        <f t="shared" si="39"/>
        <v>3.9370240000000001</v>
      </c>
      <c r="ED48" s="197">
        <f t="shared" si="40"/>
        <v>11.371431818181845</v>
      </c>
      <c r="EE48" s="192">
        <f t="shared" si="41"/>
        <v>5.9370240000000001</v>
      </c>
      <c r="EF48" s="197" t="e">
        <f>IF(ISNUMBER(EG$4),EF12,NA())</f>
        <v>#N/A</v>
      </c>
      <c r="EG48" s="197">
        <f t="shared" ref="EG48:EG81" si="141">EG47</f>
        <v>3.9370240000000001</v>
      </c>
      <c r="EH48" s="222" t="e">
        <f t="shared" si="140"/>
        <v>#N/A</v>
      </c>
      <c r="EI48" s="192">
        <f t="shared" si="139"/>
        <v>6.9370240000000001</v>
      </c>
      <c r="EJ48" s="197" t="e">
        <f t="shared" si="135"/>
        <v>#N/A</v>
      </c>
      <c r="EK48" s="192">
        <f t="shared" si="136"/>
        <v>1.9370240000000001</v>
      </c>
      <c r="EL48" s="197" t="e">
        <f t="shared" si="137"/>
        <v>#N/A</v>
      </c>
      <c r="EM48" s="192">
        <f t="shared" si="138"/>
        <v>1.9370240000000001</v>
      </c>
      <c r="EN48" s="197" t="e">
        <f t="shared" si="129"/>
        <v>#N/A</v>
      </c>
      <c r="EO48" s="197">
        <f t="shared" si="130"/>
        <v>0.93702399999999997</v>
      </c>
      <c r="EP48" s="222" t="e">
        <f t="shared" si="131"/>
        <v>#N/A</v>
      </c>
      <c r="EQ48" s="192">
        <f t="shared" si="132"/>
        <v>0</v>
      </c>
      <c r="ER48" s="197" t="e">
        <f t="shared" si="133"/>
        <v>#N/A</v>
      </c>
      <c r="ES48" s="192">
        <f t="shared" si="134"/>
        <v>0.93702399999999997</v>
      </c>
    </row>
    <row r="49" spans="5:149" ht="11.25" customHeight="1">
      <c r="E49" s="466">
        <v>48</v>
      </c>
      <c r="F49" s="474"/>
      <c r="G49" s="471"/>
      <c r="H49" s="321"/>
      <c r="I49" s="326"/>
      <c r="J49" s="30"/>
      <c r="BI49" s="621">
        <v>41</v>
      </c>
      <c r="BJ49" s="622"/>
      <c r="BK49" s="623"/>
      <c r="BL49" s="1109"/>
      <c r="BM49" s="1109"/>
      <c r="BN49" s="24"/>
      <c r="BP49" s="621">
        <v>41</v>
      </c>
      <c r="BQ49" s="622"/>
      <c r="BR49" s="623"/>
      <c r="BS49" s="1109"/>
      <c r="BT49" s="1109"/>
      <c r="BU49" s="24"/>
      <c r="BW49" s="621">
        <v>41</v>
      </c>
      <c r="BX49" s="622">
        <v>13</v>
      </c>
      <c r="BY49" s="623"/>
      <c r="BZ49" s="1109"/>
      <c r="CA49" s="1109"/>
      <c r="CB49" s="24"/>
      <c r="CT49" s="16" t="e">
        <f t="shared" si="17"/>
        <v>#N/A</v>
      </c>
      <c r="CU49" s="197" t="e">
        <f t="shared" si="18"/>
        <v>#N/A</v>
      </c>
      <c r="CV49" s="197" t="e">
        <f t="shared" si="19"/>
        <v>#N/A</v>
      </c>
      <c r="CW49" s="197">
        <v>46</v>
      </c>
      <c r="CX49" s="197" t="str">
        <f t="shared" si="11"/>
        <v/>
      </c>
      <c r="CY49" s="197" t="e">
        <f t="shared" si="12"/>
        <v>#N/A</v>
      </c>
      <c r="CZ49" s="197" t="e">
        <f t="shared" si="13"/>
        <v>#N/A</v>
      </c>
      <c r="DA49" s="197" t="str">
        <f t="shared" si="20"/>
        <v/>
      </c>
      <c r="DB49" s="16" t="e">
        <f t="shared" si="14"/>
        <v>#N/A</v>
      </c>
      <c r="DC49" s="16" t="e">
        <f>IF(ISNUMBER(CX49),COUNTIF($DB$4:DB49,DB49)-1,NA())</f>
        <v>#N/A</v>
      </c>
      <c r="DK49" s="16">
        <v>16</v>
      </c>
      <c r="DL49" s="16" t="e">
        <f>IF($X$3=0,NA(),IF(kbins&lt;DK49,NA(),$DI$18))</f>
        <v>#N/A</v>
      </c>
      <c r="DM49" s="16">
        <f>$DJ$18</f>
        <v>0</v>
      </c>
      <c r="DP49" s="16">
        <f t="shared" si="22"/>
        <v>0.98928222060203552</v>
      </c>
      <c r="DQ49" s="16">
        <v>47</v>
      </c>
      <c r="DR49" s="16">
        <f t="shared" si="5"/>
        <v>73</v>
      </c>
      <c r="DS49" s="16">
        <f t="shared" si="6"/>
        <v>3.8969244025880418</v>
      </c>
      <c r="DT49" s="16">
        <f t="shared" si="7"/>
        <v>13.3</v>
      </c>
      <c r="DU49" s="16">
        <f t="shared" si="8"/>
        <v>86.7</v>
      </c>
      <c r="DV49" s="16">
        <f t="shared" si="9"/>
        <v>66.900000000000006</v>
      </c>
      <c r="DX49" s="197">
        <f t="shared" si="34"/>
        <v>0.73584497354497325</v>
      </c>
      <c r="DY49" s="197">
        <f t="shared" si="35"/>
        <v>0.93702399999999997</v>
      </c>
      <c r="DZ49" s="222">
        <f t="shared" si="36"/>
        <v>4.2552574468085123</v>
      </c>
      <c r="EA49" s="192">
        <f t="shared" si="37"/>
        <v>1.9370240000000001</v>
      </c>
      <c r="EB49" s="197">
        <f t="shared" si="38"/>
        <v>7.8682661016949016</v>
      </c>
      <c r="EC49" s="192">
        <f t="shared" si="39"/>
        <v>3.9370240000000001</v>
      </c>
      <c r="ED49" s="197">
        <f t="shared" si="40"/>
        <v>11.429527272727301</v>
      </c>
      <c r="EE49" s="192">
        <f t="shared" si="41"/>
        <v>5.9370240000000001</v>
      </c>
      <c r="EF49" s="197" t="e">
        <f t="shared" ref="EF49:EF81" si="142">IF(ISNUMBER(EG$4),EF13,NA())</f>
        <v>#N/A</v>
      </c>
      <c r="EG49" s="197">
        <f t="shared" si="141"/>
        <v>3.9370240000000001</v>
      </c>
      <c r="EH49" s="222" t="e">
        <f t="shared" si="140"/>
        <v>#N/A</v>
      </c>
      <c r="EI49" s="192">
        <f t="shared" si="139"/>
        <v>6.9370240000000001</v>
      </c>
      <c r="EJ49" s="197" t="e">
        <f t="shared" si="135"/>
        <v>#N/A</v>
      </c>
      <c r="EK49" s="192">
        <f t="shared" si="136"/>
        <v>1.9370240000000001</v>
      </c>
      <c r="EL49" s="197" t="e">
        <f t="shared" si="137"/>
        <v>#N/A</v>
      </c>
      <c r="EM49" s="192">
        <f t="shared" si="138"/>
        <v>1.9370240000000001</v>
      </c>
      <c r="EN49" s="197" t="e">
        <f t="shared" si="129"/>
        <v>#N/A</v>
      </c>
      <c r="EO49" s="197">
        <f t="shared" si="130"/>
        <v>0.93702399999999997</v>
      </c>
      <c r="EP49" s="222" t="e">
        <f t="shared" si="131"/>
        <v>#N/A</v>
      </c>
      <c r="EQ49" s="192">
        <f t="shared" si="132"/>
        <v>0</v>
      </c>
      <c r="ER49" s="197" t="e">
        <f t="shared" si="133"/>
        <v>#N/A</v>
      </c>
      <c r="ES49" s="192">
        <f t="shared" si="134"/>
        <v>0.93702399999999997</v>
      </c>
    </row>
    <row r="50" spans="5:149" ht="11.25" customHeight="1">
      <c r="E50" s="466">
        <v>49</v>
      </c>
      <c r="F50" s="474"/>
      <c r="G50" s="471"/>
      <c r="H50" s="321"/>
      <c r="I50" s="326"/>
      <c r="J50" s="30"/>
      <c r="BI50" s="621">
        <v>42</v>
      </c>
      <c r="BJ50" s="622"/>
      <c r="BK50" s="623"/>
      <c r="BL50" s="1109"/>
      <c r="BM50" s="1109"/>
      <c r="BN50" s="24"/>
      <c r="BP50" s="621">
        <v>42</v>
      </c>
      <c r="BQ50" s="622"/>
      <c r="BR50" s="623"/>
      <c r="BS50" s="1109"/>
      <c r="BT50" s="1109"/>
      <c r="BU50" s="24"/>
      <c r="BW50" s="621">
        <v>42</v>
      </c>
      <c r="BX50" s="622">
        <v>14</v>
      </c>
      <c r="BY50" s="623"/>
      <c r="BZ50" s="1109"/>
      <c r="CA50" s="1109"/>
      <c r="CB50" s="24"/>
      <c r="CT50" s="16" t="e">
        <f t="shared" si="17"/>
        <v>#N/A</v>
      </c>
      <c r="CU50" s="197" t="e">
        <f t="shared" si="18"/>
        <v>#N/A</v>
      </c>
      <c r="CV50" s="197" t="e">
        <f t="shared" si="19"/>
        <v>#N/A</v>
      </c>
      <c r="CW50" s="197">
        <v>47</v>
      </c>
      <c r="CX50" s="197" t="str">
        <f t="shared" si="11"/>
        <v/>
      </c>
      <c r="CY50" s="197" t="e">
        <f t="shared" si="12"/>
        <v>#N/A</v>
      </c>
      <c r="CZ50" s="197" t="e">
        <f t="shared" si="13"/>
        <v>#N/A</v>
      </c>
      <c r="DA50" s="197" t="str">
        <f t="shared" si="20"/>
        <v/>
      </c>
      <c r="DB50" s="16" t="e">
        <f t="shared" si="14"/>
        <v>#N/A</v>
      </c>
      <c r="DC50" s="16" t="e">
        <f>IF(ISNUMBER(CX50),COUNTIF($DB$4:DB50,DB50)-1,NA())</f>
        <v>#N/A</v>
      </c>
      <c r="DK50" s="16">
        <v>16</v>
      </c>
      <c r="DL50" s="16" t="e">
        <f>IF($X$3=0,NA(),IF(kbins&lt;DK50,NA(),$DI$19))</f>
        <v>#N/A</v>
      </c>
      <c r="DM50" s="16">
        <f>$DJ$18</f>
        <v>0</v>
      </c>
      <c r="DP50" s="16">
        <f t="shared" si="22"/>
        <v>6.6689223051071167E-2</v>
      </c>
      <c r="DQ50" s="16">
        <v>48</v>
      </c>
      <c r="DR50" s="16">
        <f t="shared" si="5"/>
        <v>35</v>
      </c>
      <c r="DS50" s="16">
        <f t="shared" si="6"/>
        <v>1.236129854400897</v>
      </c>
      <c r="DT50" s="16">
        <f t="shared" si="7"/>
        <v>59.1</v>
      </c>
      <c r="DU50" s="16">
        <f t="shared" si="8"/>
        <v>40.9</v>
      </c>
      <c r="DV50" s="16">
        <f t="shared" si="9"/>
        <v>35</v>
      </c>
      <c r="DX50" s="197">
        <f t="shared" si="34"/>
        <v>0.74936984126984096</v>
      </c>
      <c r="DY50" s="197">
        <f t="shared" si="35"/>
        <v>0.93702399999999997</v>
      </c>
      <c r="DZ50" s="222">
        <f t="shared" si="36"/>
        <v>4.2824510638297886</v>
      </c>
      <c r="EA50" s="192">
        <f t="shared" si="37"/>
        <v>1.9370240000000001</v>
      </c>
      <c r="EB50" s="197">
        <f t="shared" si="38"/>
        <v>7.9115915254237148</v>
      </c>
      <c r="EC50" s="192">
        <f t="shared" si="39"/>
        <v>3.9370240000000001</v>
      </c>
      <c r="ED50" s="197">
        <f t="shared" si="40"/>
        <v>11.487622727272756</v>
      </c>
      <c r="EE50" s="192">
        <f t="shared" si="41"/>
        <v>5.9370240000000001</v>
      </c>
      <c r="EF50" s="197" t="e">
        <f t="shared" si="142"/>
        <v>#N/A</v>
      </c>
      <c r="EG50" s="197">
        <f t="shared" si="141"/>
        <v>3.9370240000000001</v>
      </c>
      <c r="EH50" s="222" t="e">
        <f t="shared" si="140"/>
        <v>#N/A</v>
      </c>
      <c r="EI50" s="192">
        <f t="shared" si="139"/>
        <v>6.9370240000000001</v>
      </c>
      <c r="EJ50" s="197" t="e">
        <f t="shared" si="135"/>
        <v>#N/A</v>
      </c>
      <c r="EK50" s="192">
        <f t="shared" si="136"/>
        <v>1.9370240000000001</v>
      </c>
      <c r="EL50" s="197" t="e">
        <f t="shared" si="137"/>
        <v>#N/A</v>
      </c>
      <c r="EM50" s="192">
        <f t="shared" si="138"/>
        <v>1.9370240000000001</v>
      </c>
      <c r="EN50" s="197" t="e">
        <f t="shared" si="129"/>
        <v>#N/A</v>
      </c>
      <c r="EO50" s="197">
        <f t="shared" si="130"/>
        <v>0.93702399999999997</v>
      </c>
      <c r="EP50" s="222" t="e">
        <f t="shared" si="131"/>
        <v>#N/A</v>
      </c>
      <c r="EQ50" s="192">
        <f t="shared" si="132"/>
        <v>0</v>
      </c>
      <c r="ER50" s="197" t="e">
        <f t="shared" si="133"/>
        <v>#N/A</v>
      </c>
      <c r="ES50" s="192">
        <f t="shared" si="134"/>
        <v>0.93702399999999997</v>
      </c>
    </row>
    <row r="51" spans="5:149" ht="11.25" customHeight="1">
      <c r="E51" s="466">
        <v>50</v>
      </c>
      <c r="F51" s="474"/>
      <c r="G51" s="471"/>
      <c r="H51" s="321"/>
      <c r="I51" s="326"/>
      <c r="J51" s="30"/>
      <c r="BI51" s="621">
        <v>43</v>
      </c>
      <c r="BJ51" s="622"/>
      <c r="BK51" s="623"/>
      <c r="BL51" s="1109"/>
      <c r="BM51" s="1109"/>
      <c r="BN51" s="24"/>
      <c r="BP51" s="621">
        <v>43</v>
      </c>
      <c r="BQ51" s="622"/>
      <c r="BR51" s="623"/>
      <c r="BS51" s="1109"/>
      <c r="BT51" s="1109"/>
      <c r="BU51" s="24"/>
      <c r="BW51" s="621">
        <v>43</v>
      </c>
      <c r="BX51" s="622">
        <v>15</v>
      </c>
      <c r="BY51" s="623"/>
      <c r="BZ51" s="1109"/>
      <c r="CA51" s="1109"/>
      <c r="CB51" s="24"/>
      <c r="CT51" s="16" t="e">
        <f t="shared" si="17"/>
        <v>#N/A</v>
      </c>
      <c r="CU51" s="197" t="e">
        <f t="shared" si="18"/>
        <v>#N/A</v>
      </c>
      <c r="CV51" s="197" t="e">
        <f t="shared" si="19"/>
        <v>#N/A</v>
      </c>
      <c r="CW51" s="197">
        <v>48</v>
      </c>
      <c r="CX51" s="197" t="str">
        <f t="shared" si="11"/>
        <v/>
      </c>
      <c r="CY51" s="197" t="e">
        <f t="shared" si="12"/>
        <v>#N/A</v>
      </c>
      <c r="CZ51" s="197" t="e">
        <f t="shared" si="13"/>
        <v>#N/A</v>
      </c>
      <c r="DA51" s="197" t="str">
        <f t="shared" si="20"/>
        <v/>
      </c>
      <c r="DB51" s="16" t="e">
        <f t="shared" si="14"/>
        <v>#N/A</v>
      </c>
      <c r="DC51" s="16" t="e">
        <f>IF(ISNUMBER(CX51),COUNTIF($DB$4:DB51,DB51)-1,NA())</f>
        <v>#N/A</v>
      </c>
      <c r="DK51" s="16">
        <v>16</v>
      </c>
      <c r="DL51" s="16" t="e">
        <f>IF($X$3=0,NA(),IF(kbins&lt;DK51,NA(),$DI$19))</f>
        <v>#N/A</v>
      </c>
      <c r="DM51" s="16">
        <v>0</v>
      </c>
      <c r="DP51" s="16">
        <f t="shared" si="22"/>
        <v>9.7470611333847046E-2</v>
      </c>
      <c r="DQ51" s="16">
        <v>49</v>
      </c>
      <c r="DR51" s="16">
        <f t="shared" si="5"/>
        <v>37</v>
      </c>
      <c r="DS51" s="16">
        <f t="shared" si="6"/>
        <v>1.3794983053305994</v>
      </c>
      <c r="DT51" s="16">
        <f t="shared" si="7"/>
        <v>58.6</v>
      </c>
      <c r="DU51" s="16">
        <f t="shared" si="8"/>
        <v>41.4</v>
      </c>
      <c r="DV51" s="16">
        <f t="shared" si="9"/>
        <v>36.1</v>
      </c>
      <c r="DX51" s="197">
        <f t="shared" si="34"/>
        <v>0.76289470899470868</v>
      </c>
      <c r="DY51" s="197">
        <f t="shared" si="35"/>
        <v>0.93702399999999997</v>
      </c>
      <c r="DZ51" s="222">
        <f t="shared" si="36"/>
        <v>4.3096446808510649</v>
      </c>
      <c r="EA51" s="192">
        <f t="shared" si="37"/>
        <v>1.9370240000000001</v>
      </c>
      <c r="EB51" s="197">
        <f t="shared" si="38"/>
        <v>7.954916949152528</v>
      </c>
      <c r="EC51" s="192">
        <f t="shared" si="39"/>
        <v>3.9370240000000001</v>
      </c>
      <c r="ED51" s="197">
        <f t="shared" si="40"/>
        <v>11.545718181818211</v>
      </c>
      <c r="EE51" s="192">
        <f t="shared" si="41"/>
        <v>5.9370240000000001</v>
      </c>
      <c r="EF51" s="197" t="e">
        <f t="shared" si="142"/>
        <v>#N/A</v>
      </c>
      <c r="EG51" s="197">
        <f t="shared" si="141"/>
        <v>3.9370240000000001</v>
      </c>
      <c r="EH51" s="222" t="e">
        <f t="shared" si="140"/>
        <v>#N/A</v>
      </c>
      <c r="EI51" s="192">
        <f t="shared" si="139"/>
        <v>6.9370240000000001</v>
      </c>
      <c r="EJ51" s="197" t="e">
        <f t="shared" si="135"/>
        <v>#N/A</v>
      </c>
      <c r="EK51" s="192">
        <f t="shared" si="136"/>
        <v>1.9370240000000001</v>
      </c>
      <c r="EL51" s="197" t="e">
        <f t="shared" si="137"/>
        <v>#N/A</v>
      </c>
      <c r="EM51" s="192">
        <f t="shared" si="138"/>
        <v>1.9370240000000001</v>
      </c>
      <c r="EN51" s="197" t="e">
        <f t="shared" si="129"/>
        <v>#N/A</v>
      </c>
      <c r="EO51" s="197">
        <f t="shared" si="130"/>
        <v>0.93702399999999997</v>
      </c>
      <c r="EP51" s="222" t="e">
        <f t="shared" si="131"/>
        <v>#N/A</v>
      </c>
      <c r="EQ51" s="192">
        <f t="shared" si="132"/>
        <v>0</v>
      </c>
      <c r="ER51" s="197" t="e">
        <f t="shared" si="133"/>
        <v>#N/A</v>
      </c>
      <c r="ES51" s="192">
        <f t="shared" si="134"/>
        <v>0.93702399999999997</v>
      </c>
    </row>
    <row r="52" spans="5:149" ht="11.25" customHeight="1">
      <c r="E52" s="466">
        <v>51</v>
      </c>
      <c r="F52" s="474"/>
      <c r="G52" s="471"/>
      <c r="H52" s="321"/>
      <c r="I52" s="326"/>
      <c r="J52" s="30"/>
      <c r="BI52" s="621">
        <v>44</v>
      </c>
      <c r="BJ52" s="622"/>
      <c r="BK52" s="623"/>
      <c r="BL52" s="1109"/>
      <c r="BM52" s="1109"/>
      <c r="BN52" s="24"/>
      <c r="BP52" s="621">
        <v>44</v>
      </c>
      <c r="BQ52" s="622"/>
      <c r="BR52" s="623"/>
      <c r="BS52" s="1109"/>
      <c r="BT52" s="1109"/>
      <c r="BU52" s="24"/>
      <c r="BW52" s="621">
        <v>44</v>
      </c>
      <c r="BX52" s="622">
        <v>12.1</v>
      </c>
      <c r="BY52" s="623"/>
      <c r="BZ52" s="1109"/>
      <c r="CA52" s="1109"/>
      <c r="CB52" s="24"/>
      <c r="CT52" s="16" t="e">
        <f t="shared" si="17"/>
        <v>#N/A</v>
      </c>
      <c r="CU52" s="197" t="e">
        <f t="shared" si="18"/>
        <v>#N/A</v>
      </c>
      <c r="CV52" s="197" t="e">
        <f t="shared" si="19"/>
        <v>#N/A</v>
      </c>
      <c r="CW52" s="197">
        <v>49</v>
      </c>
      <c r="CX52" s="197" t="str">
        <f t="shared" si="11"/>
        <v/>
      </c>
      <c r="CY52" s="197" t="e">
        <f t="shared" si="12"/>
        <v>#N/A</v>
      </c>
      <c r="CZ52" s="197" t="e">
        <f t="shared" si="13"/>
        <v>#N/A</v>
      </c>
      <c r="DA52" s="197" t="str">
        <f t="shared" si="20"/>
        <v/>
      </c>
      <c r="DB52" s="16" t="e">
        <f t="shared" si="14"/>
        <v>#N/A</v>
      </c>
      <c r="DC52" s="16" t="e">
        <f>IF(ISNUMBER(CX52),COUNTIF($DB$4:DB52,DB52)-1,NA())</f>
        <v>#N/A</v>
      </c>
      <c r="DK52" s="16">
        <v>17</v>
      </c>
      <c r="DL52" s="16" t="e">
        <f>IF($X$3=0,NA(),IF(kbins&lt;DK52,NA(),$DI$19))</f>
        <v>#N/A</v>
      </c>
      <c r="DM52" s="16">
        <f>$DJ$19</f>
        <v>0</v>
      </c>
      <c r="DP52" s="16">
        <f t="shared" si="22"/>
        <v>0.38045641779899597</v>
      </c>
      <c r="DQ52" s="16">
        <v>50</v>
      </c>
      <c r="DR52" s="16">
        <f t="shared" si="5"/>
        <v>47</v>
      </c>
      <c r="DS52" s="16">
        <f t="shared" si="6"/>
        <v>2.0737703202174771</v>
      </c>
      <c r="DT52" s="16">
        <f t="shared" si="7"/>
        <v>54.6</v>
      </c>
      <c r="DU52" s="16">
        <f t="shared" si="8"/>
        <v>45.4</v>
      </c>
      <c r="DV52" s="16">
        <f t="shared" si="9"/>
        <v>45.9</v>
      </c>
      <c r="DX52" s="197">
        <f t="shared" si="34"/>
        <v>0.7764195767195764</v>
      </c>
      <c r="DY52" s="197">
        <f t="shared" si="35"/>
        <v>0.93702399999999997</v>
      </c>
      <c r="DZ52" s="222">
        <f t="shared" si="36"/>
        <v>4.3368382978723412</v>
      </c>
      <c r="EA52" s="192">
        <f t="shared" si="37"/>
        <v>1.9370240000000001</v>
      </c>
      <c r="EB52" s="197">
        <f t="shared" si="38"/>
        <v>7.9982423728813412</v>
      </c>
      <c r="EC52" s="192">
        <f t="shared" si="39"/>
        <v>3.9370240000000001</v>
      </c>
      <c r="ED52" s="197">
        <f t="shared" si="40"/>
        <v>11.603813636363666</v>
      </c>
      <c r="EE52" s="192">
        <f t="shared" si="41"/>
        <v>5.9370240000000001</v>
      </c>
      <c r="EF52" s="197" t="e">
        <f t="shared" si="142"/>
        <v>#N/A</v>
      </c>
      <c r="EG52" s="197">
        <f t="shared" si="141"/>
        <v>3.9370240000000001</v>
      </c>
      <c r="EH52" s="222" t="e">
        <f t="shared" si="140"/>
        <v>#N/A</v>
      </c>
      <c r="EI52" s="192">
        <f t="shared" si="139"/>
        <v>6.9370240000000001</v>
      </c>
      <c r="EJ52" s="197" t="e">
        <f t="shared" si="135"/>
        <v>#N/A</v>
      </c>
      <c r="EK52" s="192">
        <f t="shared" si="136"/>
        <v>1.9370240000000001</v>
      </c>
      <c r="EL52" s="197" t="e">
        <f t="shared" si="137"/>
        <v>#N/A</v>
      </c>
      <c r="EM52" s="192">
        <f t="shared" si="138"/>
        <v>1.9370240000000001</v>
      </c>
    </row>
    <row r="53" spans="5:149" ht="11.25" customHeight="1">
      <c r="E53" s="466">
        <v>52</v>
      </c>
      <c r="F53" s="474"/>
      <c r="G53" s="471"/>
      <c r="H53" s="321"/>
      <c r="I53" s="326"/>
      <c r="J53" s="30"/>
      <c r="BI53" s="621">
        <v>45</v>
      </c>
      <c r="BJ53" s="622"/>
      <c r="BK53" s="623"/>
      <c r="BL53" s="1109"/>
      <c r="BM53" s="1109"/>
      <c r="BN53" s="24"/>
      <c r="BP53" s="621">
        <v>45</v>
      </c>
      <c r="BQ53" s="622"/>
      <c r="BR53" s="623"/>
      <c r="BS53" s="1109"/>
      <c r="BT53" s="1109"/>
      <c r="BU53" s="24"/>
      <c r="BW53" s="621">
        <v>45</v>
      </c>
      <c r="BX53" s="622">
        <v>6.5</v>
      </c>
      <c r="BY53" s="623"/>
      <c r="BZ53" s="1109"/>
      <c r="CA53" s="1109"/>
      <c r="CB53" s="24"/>
      <c r="CT53" s="16" t="e">
        <f t="shared" si="17"/>
        <v>#N/A</v>
      </c>
      <c r="CU53" s="197" t="e">
        <f t="shared" si="18"/>
        <v>#N/A</v>
      </c>
      <c r="CV53" s="197" t="e">
        <f t="shared" si="19"/>
        <v>#N/A</v>
      </c>
      <c r="CW53" s="197">
        <v>50</v>
      </c>
      <c r="CX53" s="197" t="str">
        <f t="shared" si="11"/>
        <v/>
      </c>
      <c r="CY53" s="197" t="e">
        <f t="shared" si="12"/>
        <v>#N/A</v>
      </c>
      <c r="CZ53" s="197" t="e">
        <f t="shared" si="13"/>
        <v>#N/A</v>
      </c>
      <c r="DA53" s="197" t="str">
        <f t="shared" si="20"/>
        <v/>
      </c>
      <c r="DB53" s="16" t="e">
        <f t="shared" si="14"/>
        <v>#N/A</v>
      </c>
      <c r="DC53" s="16" t="e">
        <f>IF(ISNUMBER(CX53),COUNTIF($DB$4:DB53,DB53)-1,NA())</f>
        <v>#N/A</v>
      </c>
      <c r="DK53" s="16">
        <v>17</v>
      </c>
      <c r="DL53" s="16" t="e">
        <f>IF($X$3=0,NA(),IF(kbins&lt;DK53,NA(),$DI$20))</f>
        <v>#N/A</v>
      </c>
      <c r="DM53" s="16">
        <f>$DJ$19</f>
        <v>0</v>
      </c>
      <c r="DP53" s="16">
        <f t="shared" si="22"/>
        <v>0.12392339110374451</v>
      </c>
      <c r="DQ53" s="16">
        <v>51</v>
      </c>
      <c r="DR53" s="16">
        <f t="shared" si="5"/>
        <v>38.4</v>
      </c>
      <c r="DS53" s="16">
        <f t="shared" si="6"/>
        <v>1.4778513009066354</v>
      </c>
      <c r="DT53" s="16">
        <f t="shared" si="7"/>
        <v>58.2</v>
      </c>
      <c r="DU53" s="16">
        <f t="shared" si="8"/>
        <v>41.8</v>
      </c>
      <c r="DV53" s="16">
        <f t="shared" si="9"/>
        <v>37</v>
      </c>
      <c r="DX53" s="197">
        <f t="shared" si="34"/>
        <v>0.78994444444444412</v>
      </c>
      <c r="DY53" s="197">
        <f t="shared" si="35"/>
        <v>0.93702399999999997</v>
      </c>
      <c r="DZ53" s="222">
        <f t="shared" si="36"/>
        <v>4.3640319148936175</v>
      </c>
      <c r="EA53" s="192">
        <f t="shared" si="37"/>
        <v>1.9370240000000001</v>
      </c>
      <c r="EB53" s="197">
        <f t="shared" si="38"/>
        <v>8.0415677966101544</v>
      </c>
      <c r="EC53" s="192">
        <f t="shared" si="39"/>
        <v>3.9370240000000001</v>
      </c>
      <c r="ED53" s="197">
        <f t="shared" si="40"/>
        <v>11.661909090909122</v>
      </c>
      <c r="EE53" s="192">
        <f t="shared" si="41"/>
        <v>5.9370240000000001</v>
      </c>
      <c r="EF53" s="197" t="e">
        <f t="shared" si="142"/>
        <v>#N/A</v>
      </c>
      <c r="EG53" s="197">
        <f t="shared" si="141"/>
        <v>3.9370240000000001</v>
      </c>
      <c r="EH53" s="222" t="e">
        <f t="shared" si="140"/>
        <v>#N/A</v>
      </c>
      <c r="EI53" s="192">
        <f t="shared" si="139"/>
        <v>6.9370240000000001</v>
      </c>
      <c r="EJ53" s="197" t="e">
        <f t="shared" si="135"/>
        <v>#N/A</v>
      </c>
      <c r="EK53" s="192">
        <f t="shared" si="136"/>
        <v>1.9370240000000001</v>
      </c>
      <c r="EL53" s="197" t="e">
        <f t="shared" si="137"/>
        <v>#N/A</v>
      </c>
      <c r="EM53" s="192">
        <f t="shared" si="138"/>
        <v>1.9370240000000001</v>
      </c>
    </row>
    <row r="54" spans="5:149" ht="11.25" customHeight="1">
      <c r="E54" s="466">
        <v>53</v>
      </c>
      <c r="F54" s="474"/>
      <c r="G54" s="471"/>
      <c r="H54" s="321"/>
      <c r="I54" s="326"/>
      <c r="J54" s="30"/>
      <c r="BI54" s="621">
        <v>46</v>
      </c>
      <c r="BJ54" s="622"/>
      <c r="BK54" s="623"/>
      <c r="BL54" s="1109"/>
      <c r="BM54" s="1109"/>
      <c r="BN54" s="24"/>
      <c r="BP54" s="621">
        <v>46</v>
      </c>
      <c r="BQ54" s="622"/>
      <c r="BR54" s="623"/>
      <c r="BS54" s="1109"/>
      <c r="BT54" s="1109"/>
      <c r="BU54" s="24"/>
      <c r="BW54" s="621">
        <v>46</v>
      </c>
      <c r="BX54" s="622">
        <v>8.1</v>
      </c>
      <c r="BY54" s="623"/>
      <c r="BZ54" s="1109"/>
      <c r="CA54" s="1109"/>
      <c r="CB54" s="24"/>
      <c r="CT54" s="16" t="e">
        <f t="shared" si="17"/>
        <v>#N/A</v>
      </c>
      <c r="CU54" s="197" t="e">
        <f t="shared" si="18"/>
        <v>#N/A</v>
      </c>
      <c r="CV54" s="197" t="e">
        <f t="shared" si="19"/>
        <v>#N/A</v>
      </c>
      <c r="CW54" s="197">
        <v>51</v>
      </c>
      <c r="CX54" s="197" t="str">
        <f t="shared" si="11"/>
        <v/>
      </c>
      <c r="CY54" s="197" t="e">
        <f t="shared" si="12"/>
        <v>#N/A</v>
      </c>
      <c r="CZ54" s="197" t="e">
        <f t="shared" si="13"/>
        <v>#N/A</v>
      </c>
      <c r="DA54" s="197" t="str">
        <f t="shared" si="20"/>
        <v/>
      </c>
      <c r="DB54" s="16" t="e">
        <f t="shared" si="14"/>
        <v>#N/A</v>
      </c>
      <c r="DC54" s="16" t="e">
        <f>IF(ISNUMBER(CX54),COUNTIF($DB$4:DB54,DB54)-1,NA())</f>
        <v>#N/A</v>
      </c>
      <c r="DK54" s="16">
        <v>17</v>
      </c>
      <c r="DL54" s="16" t="e">
        <f>IF($X$3=0,NA(),IF(kbins&lt;DK54,NA(),$DI$20))</f>
        <v>#N/A</v>
      </c>
      <c r="DM54" s="16">
        <v>0</v>
      </c>
      <c r="DP54" s="16">
        <f t="shared" si="22"/>
        <v>0.52204152941703796</v>
      </c>
      <c r="DQ54" s="16">
        <v>52</v>
      </c>
      <c r="DR54" s="16">
        <f t="shared" si="5"/>
        <v>50.6</v>
      </c>
      <c r="DS54" s="16">
        <f t="shared" si="6"/>
        <v>2.3254625658337953</v>
      </c>
      <c r="DT54" s="16">
        <f t="shared" si="7"/>
        <v>52.3</v>
      </c>
      <c r="DU54" s="16">
        <f t="shared" si="8"/>
        <v>47.7</v>
      </c>
      <c r="DV54" s="16">
        <f t="shared" si="9"/>
        <v>50.8</v>
      </c>
      <c r="DX54" s="197">
        <f t="shared" si="34"/>
        <v>0.80346931216931183</v>
      </c>
      <c r="DY54" s="197">
        <f t="shared" si="35"/>
        <v>0.93702399999999997</v>
      </c>
      <c r="DZ54" s="222">
        <f t="shared" si="36"/>
        <v>4.3912255319148938</v>
      </c>
      <c r="EA54" s="192">
        <f t="shared" si="37"/>
        <v>1.9370240000000001</v>
      </c>
      <c r="EB54" s="197">
        <f t="shared" si="38"/>
        <v>8.0848932203389676</v>
      </c>
      <c r="EC54" s="192">
        <f t="shared" si="39"/>
        <v>3.9370240000000001</v>
      </c>
      <c r="ED54" s="197">
        <f t="shared" si="40"/>
        <v>11.720004545454577</v>
      </c>
      <c r="EE54" s="192">
        <f t="shared" si="41"/>
        <v>5.9370240000000001</v>
      </c>
      <c r="EF54" s="197" t="e">
        <f t="shared" si="142"/>
        <v>#N/A</v>
      </c>
      <c r="EG54" s="197">
        <f t="shared" si="141"/>
        <v>3.9370240000000001</v>
      </c>
      <c r="EH54" s="222" t="e">
        <f t="shared" si="140"/>
        <v>#N/A</v>
      </c>
      <c r="EI54" s="192">
        <f t="shared" si="139"/>
        <v>6.9370240000000001</v>
      </c>
      <c r="EJ54" s="197" t="e">
        <f t="shared" si="135"/>
        <v>#N/A</v>
      </c>
      <c r="EK54" s="192">
        <f t="shared" si="136"/>
        <v>1.9370240000000001</v>
      </c>
      <c r="EL54" s="197" t="e">
        <f t="shared" si="137"/>
        <v>#N/A</v>
      </c>
      <c r="EM54" s="192">
        <f t="shared" si="138"/>
        <v>1.9370240000000001</v>
      </c>
    </row>
    <row r="55" spans="5:149" ht="11.25" customHeight="1">
      <c r="E55" s="466">
        <v>54</v>
      </c>
      <c r="F55" s="474"/>
      <c r="G55" s="471"/>
      <c r="H55" s="321"/>
      <c r="I55" s="326"/>
      <c r="J55" s="30"/>
      <c r="BI55" s="621">
        <v>47</v>
      </c>
      <c r="BJ55" s="622"/>
      <c r="BK55" s="623"/>
      <c r="BL55" s="1109"/>
      <c r="BM55" s="1109"/>
      <c r="BN55" s="24"/>
      <c r="BP55" s="621">
        <v>47</v>
      </c>
      <c r="BQ55" s="622"/>
      <c r="BR55" s="623"/>
      <c r="BS55" s="1109"/>
      <c r="BT55" s="1109"/>
      <c r="BU55" s="24"/>
      <c r="BW55" s="621">
        <v>47</v>
      </c>
      <c r="BX55" s="622">
        <v>7.6</v>
      </c>
      <c r="BY55" s="623"/>
      <c r="BZ55" s="1109"/>
      <c r="CA55" s="1109"/>
      <c r="CB55" s="24"/>
      <c r="CT55" s="16" t="e">
        <f t="shared" si="17"/>
        <v>#N/A</v>
      </c>
      <c r="CU55" s="197" t="e">
        <f t="shared" si="18"/>
        <v>#N/A</v>
      </c>
      <c r="CV55" s="197" t="e">
        <f t="shared" si="19"/>
        <v>#N/A</v>
      </c>
      <c r="CW55" s="197">
        <v>52</v>
      </c>
      <c r="CX55" s="197" t="str">
        <f t="shared" si="11"/>
        <v/>
      </c>
      <c r="CY55" s="197" t="e">
        <f t="shared" si="12"/>
        <v>#N/A</v>
      </c>
      <c r="CZ55" s="197" t="e">
        <f t="shared" si="13"/>
        <v>#N/A</v>
      </c>
      <c r="DA55" s="197" t="str">
        <f t="shared" si="20"/>
        <v/>
      </c>
      <c r="DB55" s="16" t="e">
        <f t="shared" si="14"/>
        <v>#N/A</v>
      </c>
      <c r="DC55" s="16" t="e">
        <f>IF(ISNUMBER(CX55),COUNTIF($DB$4:DB55,DB55)-1,NA())</f>
        <v>#N/A</v>
      </c>
      <c r="DK55" s="16">
        <v>18</v>
      </c>
      <c r="DL55" s="16" t="e">
        <f>IF($X$3=0,NA(),IF(kbins&lt;DK55,NA(),$DI$20))</f>
        <v>#N/A</v>
      </c>
      <c r="DM55" s="16">
        <f>$DJ$20</f>
        <v>0</v>
      </c>
      <c r="DP55" s="16">
        <f t="shared" si="22"/>
        <v>8.0710262060165405E-2</v>
      </c>
      <c r="DQ55" s="16">
        <v>53</v>
      </c>
      <c r="DR55" s="16">
        <f t="shared" si="5"/>
        <v>36</v>
      </c>
      <c r="DS55" s="16">
        <f t="shared" si="6"/>
        <v>1.3065509626395599</v>
      </c>
      <c r="DT55" s="16">
        <f t="shared" si="7"/>
        <v>58.9</v>
      </c>
      <c r="DU55" s="16">
        <f t="shared" si="8"/>
        <v>41.1</v>
      </c>
      <c r="DV55" s="16">
        <f t="shared" si="9"/>
        <v>35.5</v>
      </c>
      <c r="DX55" s="197">
        <f t="shared" si="34"/>
        <v>0.81699417989417955</v>
      </c>
      <c r="DY55" s="197">
        <f t="shared" si="35"/>
        <v>0.93702399999999997</v>
      </c>
      <c r="DZ55" s="222">
        <f t="shared" si="36"/>
        <v>4.4184191489361702</v>
      </c>
      <c r="EA55" s="192">
        <f t="shared" si="37"/>
        <v>1.9370240000000001</v>
      </c>
      <c r="EB55" s="197">
        <f t="shared" si="38"/>
        <v>8.1282186440677808</v>
      </c>
      <c r="EC55" s="192">
        <f t="shared" si="39"/>
        <v>3.9370240000000001</v>
      </c>
      <c r="ED55" s="197">
        <f t="shared" si="40"/>
        <v>11.778100000000032</v>
      </c>
      <c r="EE55" s="192">
        <f t="shared" si="41"/>
        <v>5.9370240000000001</v>
      </c>
      <c r="EF55" s="197" t="e">
        <f t="shared" si="142"/>
        <v>#N/A</v>
      </c>
      <c r="EG55" s="197">
        <f t="shared" si="141"/>
        <v>3.9370240000000001</v>
      </c>
      <c r="EH55" s="222" t="e">
        <f t="shared" si="140"/>
        <v>#N/A</v>
      </c>
      <c r="EI55" s="192">
        <f t="shared" si="139"/>
        <v>6.9370240000000001</v>
      </c>
      <c r="EJ55" s="197" t="e">
        <f t="shared" si="135"/>
        <v>#N/A</v>
      </c>
      <c r="EK55" s="192">
        <f t="shared" si="136"/>
        <v>1.9370240000000001</v>
      </c>
      <c r="EL55" s="197" t="e">
        <f t="shared" si="137"/>
        <v>#N/A</v>
      </c>
      <c r="EM55" s="192">
        <f t="shared" si="138"/>
        <v>1.9370240000000001</v>
      </c>
    </row>
    <row r="56" spans="5:149" ht="11.25" customHeight="1">
      <c r="E56" s="466">
        <v>55</v>
      </c>
      <c r="F56" s="474"/>
      <c r="G56" s="471"/>
      <c r="H56" s="321"/>
      <c r="I56" s="326"/>
      <c r="J56" s="30"/>
      <c r="BI56" s="621">
        <v>48</v>
      </c>
      <c r="BJ56" s="622"/>
      <c r="BK56" s="623"/>
      <c r="BL56" s="1109"/>
      <c r="BM56" s="1109"/>
      <c r="BN56" s="24"/>
      <c r="BP56" s="621">
        <v>48</v>
      </c>
      <c r="BQ56" s="622"/>
      <c r="BR56" s="623"/>
      <c r="BS56" s="1109"/>
      <c r="BT56" s="1109"/>
      <c r="BU56" s="24"/>
      <c r="BW56" s="621">
        <v>48</v>
      </c>
      <c r="BX56" s="622">
        <v>12.2</v>
      </c>
      <c r="BY56" s="623"/>
      <c r="BZ56" s="1109"/>
      <c r="CA56" s="1109"/>
      <c r="CB56" s="24"/>
      <c r="CT56" s="16" t="e">
        <f t="shared" si="17"/>
        <v>#N/A</v>
      </c>
      <c r="CU56" s="197" t="e">
        <f t="shared" si="18"/>
        <v>#N/A</v>
      </c>
      <c r="CV56" s="197" t="e">
        <f t="shared" si="19"/>
        <v>#N/A</v>
      </c>
      <c r="CW56" s="197">
        <v>53</v>
      </c>
      <c r="CX56" s="197" t="str">
        <f t="shared" si="11"/>
        <v/>
      </c>
      <c r="CY56" s="197" t="e">
        <f t="shared" si="12"/>
        <v>#N/A</v>
      </c>
      <c r="CZ56" s="197" t="e">
        <f t="shared" si="13"/>
        <v>#N/A</v>
      </c>
      <c r="DA56" s="197" t="str">
        <f t="shared" si="20"/>
        <v/>
      </c>
      <c r="DB56" s="16" t="e">
        <f t="shared" si="14"/>
        <v>#N/A</v>
      </c>
      <c r="DC56" s="16" t="e">
        <f>IF(ISNUMBER(CX56),COUNTIF($DB$4:DB56,DB56)-1,NA())</f>
        <v>#N/A</v>
      </c>
      <c r="DK56" s="16">
        <v>18</v>
      </c>
      <c r="DL56" s="16" t="e">
        <f>IF($X$3=0,NA(),IF(kbins&lt;DK56,NA(),$DI$21))</f>
        <v>#N/A</v>
      </c>
      <c r="DM56" s="16">
        <f>$DJ$20</f>
        <v>0</v>
      </c>
      <c r="DP56" s="16">
        <f t="shared" si="22"/>
        <v>0.66983506083488464</v>
      </c>
      <c r="DQ56" s="16">
        <v>54</v>
      </c>
      <c r="DR56" s="16">
        <f t="shared" si="5"/>
        <v>54.4</v>
      </c>
      <c r="DS56" s="16">
        <f t="shared" si="6"/>
        <v>2.5943883596945492</v>
      </c>
      <c r="DT56" s="16">
        <f t="shared" si="7"/>
        <v>49.2</v>
      </c>
      <c r="DU56" s="16">
        <f t="shared" si="8"/>
        <v>50.8</v>
      </c>
      <c r="DV56" s="16">
        <f t="shared" si="9"/>
        <v>55.9</v>
      </c>
      <c r="DX56" s="197">
        <f t="shared" si="34"/>
        <v>0.83051904761904727</v>
      </c>
      <c r="DY56" s="197">
        <f t="shared" si="35"/>
        <v>0.93702399999999997</v>
      </c>
      <c r="DZ56" s="222">
        <f t="shared" si="36"/>
        <v>4.4456127659574465</v>
      </c>
      <c r="EA56" s="192">
        <f t="shared" si="37"/>
        <v>1.9370240000000001</v>
      </c>
      <c r="EB56" s="197">
        <f t="shared" si="38"/>
        <v>8.171544067796594</v>
      </c>
      <c r="EC56" s="192">
        <f t="shared" si="39"/>
        <v>3.9370240000000001</v>
      </c>
      <c r="ED56" s="23"/>
      <c r="EE56" s="24"/>
      <c r="EF56" s="197" t="e">
        <f t="shared" si="142"/>
        <v>#N/A</v>
      </c>
      <c r="EG56" s="197">
        <f t="shared" si="141"/>
        <v>3.9370240000000001</v>
      </c>
      <c r="EH56" s="222" t="e">
        <f t="shared" si="140"/>
        <v>#N/A</v>
      </c>
      <c r="EI56" s="192">
        <f t="shared" si="139"/>
        <v>6.9370240000000001</v>
      </c>
      <c r="EJ56" s="197" t="e">
        <f t="shared" si="135"/>
        <v>#N/A</v>
      </c>
      <c r="EK56" s="192">
        <f t="shared" si="136"/>
        <v>1.9370240000000001</v>
      </c>
      <c r="EL56" s="197" t="e">
        <f t="shared" si="137"/>
        <v>#N/A</v>
      </c>
      <c r="EM56" s="192">
        <f t="shared" si="138"/>
        <v>1.9370240000000001</v>
      </c>
    </row>
    <row r="57" spans="5:149" ht="11.25" customHeight="1">
      <c r="E57" s="466">
        <v>56</v>
      </c>
      <c r="F57" s="474"/>
      <c r="G57" s="471"/>
      <c r="H57" s="321"/>
      <c r="I57" s="326"/>
      <c r="J57" s="30"/>
      <c r="BI57" s="621">
        <v>49</v>
      </c>
      <c r="BJ57" s="622"/>
      <c r="BK57" s="623"/>
      <c r="BL57" s="1109"/>
      <c r="BM57" s="1109"/>
      <c r="BN57" s="24"/>
      <c r="BP57" s="621">
        <v>49</v>
      </c>
      <c r="BQ57" s="622"/>
      <c r="BR57" s="623"/>
      <c r="BS57" s="1109"/>
      <c r="BT57" s="1109"/>
      <c r="BU57" s="24"/>
      <c r="BW57" s="621">
        <v>49</v>
      </c>
      <c r="BX57" s="622">
        <v>10.8</v>
      </c>
      <c r="BY57" s="623"/>
      <c r="BZ57" s="1109"/>
      <c r="CA57" s="1109"/>
      <c r="CB57" s="24"/>
      <c r="CT57" s="16" t="e">
        <f t="shared" si="17"/>
        <v>#N/A</v>
      </c>
      <c r="CU57" s="197" t="e">
        <f t="shared" si="18"/>
        <v>#N/A</v>
      </c>
      <c r="CV57" s="197" t="e">
        <f t="shared" si="19"/>
        <v>#N/A</v>
      </c>
      <c r="CW57" s="197">
        <v>54</v>
      </c>
      <c r="CX57" s="197" t="str">
        <f t="shared" si="11"/>
        <v/>
      </c>
      <c r="CY57" s="197" t="e">
        <f t="shared" si="12"/>
        <v>#N/A</v>
      </c>
      <c r="CZ57" s="197" t="e">
        <f t="shared" si="13"/>
        <v>#N/A</v>
      </c>
      <c r="DA57" s="197" t="str">
        <f t="shared" si="20"/>
        <v/>
      </c>
      <c r="DB57" s="16" t="e">
        <f t="shared" si="14"/>
        <v>#N/A</v>
      </c>
      <c r="DC57" s="16" t="e">
        <f>IF(ISNUMBER(CX57),COUNTIF($DB$4:DB57,DB57)-1,NA())</f>
        <v>#N/A</v>
      </c>
      <c r="DK57" s="16">
        <v>18</v>
      </c>
      <c r="DL57" s="16" t="e">
        <f>IF($X$3=0,NA(),IF(kbins&lt;DK57,NA(),$DI$21))</f>
        <v>#N/A</v>
      </c>
      <c r="DM57" s="16">
        <v>0</v>
      </c>
      <c r="DP57" s="16">
        <f t="shared" si="22"/>
        <v>0.31620463728904724</v>
      </c>
      <c r="DQ57" s="16">
        <v>55</v>
      </c>
      <c r="DR57" s="16">
        <f t="shared" si="5"/>
        <v>45.2</v>
      </c>
      <c r="DS57" s="16">
        <f t="shared" si="6"/>
        <v>1.9519309506136941</v>
      </c>
      <c r="DT57" s="16">
        <f t="shared" si="7"/>
        <v>55.5</v>
      </c>
      <c r="DU57" s="16">
        <f t="shared" si="8"/>
        <v>44.5</v>
      </c>
      <c r="DV57" s="16">
        <f t="shared" si="9"/>
        <v>43.6</v>
      </c>
      <c r="DX57" s="197">
        <f t="shared" si="34"/>
        <v>0.84404391534391499</v>
      </c>
      <c r="DY57" s="197">
        <f t="shared" si="35"/>
        <v>0.93702399999999997</v>
      </c>
      <c r="DZ57" s="222">
        <f t="shared" si="36"/>
        <v>4.4728063829787228</v>
      </c>
      <c r="EA57" s="192">
        <f t="shared" si="37"/>
        <v>1.9370240000000001</v>
      </c>
      <c r="EB57" s="197">
        <f t="shared" si="38"/>
        <v>8.2148694915254072</v>
      </c>
      <c r="EC57" s="192">
        <f t="shared" si="39"/>
        <v>3.9370240000000001</v>
      </c>
      <c r="ED57" s="197" t="e">
        <f>IF(ISNUMBER(EE$4),ED11,NA())</f>
        <v>#N/A</v>
      </c>
      <c r="EE57" s="192">
        <f>EE11</f>
        <v>5.9370240000000001</v>
      </c>
      <c r="EF57" s="197" t="e">
        <f t="shared" si="142"/>
        <v>#N/A</v>
      </c>
      <c r="EG57" s="197">
        <f t="shared" si="141"/>
        <v>3.9370240000000001</v>
      </c>
      <c r="EH57" s="222" t="e">
        <f t="shared" si="140"/>
        <v>#N/A</v>
      </c>
      <c r="EI57" s="192">
        <f t="shared" si="139"/>
        <v>6.9370240000000001</v>
      </c>
      <c r="EJ57" s="197" t="e">
        <f t="shared" si="135"/>
        <v>#N/A</v>
      </c>
      <c r="EK57" s="192">
        <f t="shared" si="136"/>
        <v>1.9370240000000001</v>
      </c>
      <c r="EL57" s="197" t="e">
        <f t="shared" si="137"/>
        <v>#N/A</v>
      </c>
      <c r="EM57" s="192">
        <f t="shared" si="138"/>
        <v>1.9370240000000001</v>
      </c>
    </row>
    <row r="58" spans="5:149" ht="11.25" customHeight="1">
      <c r="E58" s="466">
        <v>57</v>
      </c>
      <c r="F58" s="474"/>
      <c r="G58" s="471"/>
      <c r="H58" s="321"/>
      <c r="I58" s="326"/>
      <c r="J58" s="30"/>
      <c r="BI58" s="621">
        <v>50</v>
      </c>
      <c r="BJ58" s="622"/>
      <c r="BK58" s="623"/>
      <c r="BL58" s="1109"/>
      <c r="BM58" s="1109"/>
      <c r="BN58" s="24"/>
      <c r="BP58" s="621">
        <v>50</v>
      </c>
      <c r="BQ58" s="622"/>
      <c r="BR58" s="623"/>
      <c r="BS58" s="1109"/>
      <c r="BT58" s="1109"/>
      <c r="BU58" s="24"/>
      <c r="BW58" s="621">
        <v>50</v>
      </c>
      <c r="BX58" s="622">
        <v>1</v>
      </c>
      <c r="BY58" s="623"/>
      <c r="BZ58" s="1109"/>
      <c r="CA58" s="1109"/>
      <c r="CB58" s="24"/>
      <c r="CT58" s="16" t="e">
        <f t="shared" si="17"/>
        <v>#N/A</v>
      </c>
      <c r="CU58" s="197" t="e">
        <f t="shared" si="18"/>
        <v>#N/A</v>
      </c>
      <c r="CV58" s="197" t="e">
        <f t="shared" si="19"/>
        <v>#N/A</v>
      </c>
      <c r="CW58" s="197">
        <v>55</v>
      </c>
      <c r="CX58" s="197" t="str">
        <f t="shared" si="11"/>
        <v/>
      </c>
      <c r="CY58" s="197" t="e">
        <f t="shared" si="12"/>
        <v>#N/A</v>
      </c>
      <c r="CZ58" s="197" t="e">
        <f t="shared" si="13"/>
        <v>#N/A</v>
      </c>
      <c r="DA58" s="197" t="str">
        <f t="shared" si="20"/>
        <v/>
      </c>
      <c r="DB58" s="16" t="e">
        <f t="shared" si="14"/>
        <v>#N/A</v>
      </c>
      <c r="DC58" s="16" t="e">
        <f>IF(ISNUMBER(CX58),COUNTIF($DB$4:DB58,DB58)-1,NA())</f>
        <v>#N/A</v>
      </c>
      <c r="DK58" s="16">
        <v>19</v>
      </c>
      <c r="DL58" s="16" t="e">
        <f>IF($X$3=0,NA(),IF(kbins&lt;DK58,NA(),$DI$21))</f>
        <v>#N/A</v>
      </c>
      <c r="DM58" s="16">
        <f>$DJ$21</f>
        <v>0</v>
      </c>
      <c r="DP58" s="16">
        <f t="shared" si="22"/>
        <v>0.48355075716972351</v>
      </c>
      <c r="DQ58" s="16">
        <v>56</v>
      </c>
      <c r="DR58" s="16">
        <f t="shared" si="5"/>
        <v>49.6</v>
      </c>
      <c r="DS58" s="16">
        <f t="shared" si="6"/>
        <v>2.2578972449344632</v>
      </c>
      <c r="DT58" s="16">
        <f t="shared" si="7"/>
        <v>53</v>
      </c>
      <c r="DU58" s="16">
        <f t="shared" si="8"/>
        <v>47</v>
      </c>
      <c r="DV58" s="16">
        <f t="shared" si="9"/>
        <v>49.4</v>
      </c>
      <c r="DX58" s="197">
        <f t="shared" si="34"/>
        <v>0.8575687830687827</v>
      </c>
      <c r="DY58" s="197">
        <f t="shared" si="35"/>
        <v>0.93702399999999997</v>
      </c>
      <c r="DZ58" s="222">
        <f t="shared" si="36"/>
        <v>4.4999999999999991</v>
      </c>
      <c r="EA58" s="192">
        <f t="shared" si="37"/>
        <v>1.9370240000000001</v>
      </c>
      <c r="EB58" s="197">
        <f t="shared" si="38"/>
        <v>8.2581949152542204</v>
      </c>
      <c r="EC58" s="192">
        <f t="shared" si="39"/>
        <v>3.9370240000000001</v>
      </c>
      <c r="ED58" s="197" t="e">
        <f>IF(ISNUMBER(EE$4),ED12,NA())</f>
        <v>#N/A</v>
      </c>
      <c r="EE58" s="192">
        <f>EE57</f>
        <v>5.9370240000000001</v>
      </c>
      <c r="EF58" s="197" t="e">
        <f t="shared" si="142"/>
        <v>#N/A</v>
      </c>
      <c r="EG58" s="197">
        <f t="shared" si="141"/>
        <v>3.9370240000000001</v>
      </c>
      <c r="EH58" s="222" t="e">
        <f t="shared" si="140"/>
        <v>#N/A</v>
      </c>
      <c r="EI58" s="192">
        <f t="shared" si="139"/>
        <v>6.9370240000000001</v>
      </c>
      <c r="EJ58" s="197" t="e">
        <f t="shared" si="135"/>
        <v>#N/A</v>
      </c>
      <c r="EK58" s="192">
        <f t="shared" si="136"/>
        <v>1.9370240000000001</v>
      </c>
      <c r="EL58" s="197" t="e">
        <f t="shared" si="137"/>
        <v>#N/A</v>
      </c>
      <c r="EM58" s="192">
        <f t="shared" si="138"/>
        <v>1.9370240000000001</v>
      </c>
    </row>
    <row r="59" spans="5:149" ht="11.25" customHeight="1">
      <c r="E59" s="466">
        <v>58</v>
      </c>
      <c r="F59" s="474"/>
      <c r="G59" s="471"/>
      <c r="H59" s="321"/>
      <c r="I59" s="326"/>
      <c r="J59" s="30"/>
      <c r="BI59" s="621">
        <v>51</v>
      </c>
      <c r="BJ59" s="622"/>
      <c r="BK59" s="623"/>
      <c r="BL59" s="1109"/>
      <c r="BM59" s="1109"/>
      <c r="BN59" s="24"/>
      <c r="BP59" s="621">
        <v>51</v>
      </c>
      <c r="BQ59" s="622"/>
      <c r="BR59" s="623"/>
      <c r="BS59" s="1109"/>
      <c r="BT59" s="1109"/>
      <c r="BU59" s="24"/>
      <c r="BW59" s="621">
        <v>51</v>
      </c>
      <c r="BX59" s="622">
        <v>2.9</v>
      </c>
      <c r="BY59" s="623"/>
      <c r="BZ59" s="1109"/>
      <c r="CA59" s="1109"/>
      <c r="CB59" s="24"/>
      <c r="CT59" s="16" t="e">
        <f t="shared" si="17"/>
        <v>#N/A</v>
      </c>
      <c r="CU59" s="197" t="e">
        <f t="shared" si="18"/>
        <v>#N/A</v>
      </c>
      <c r="CV59" s="197" t="e">
        <f t="shared" si="19"/>
        <v>#N/A</v>
      </c>
      <c r="CW59" s="197">
        <v>56</v>
      </c>
      <c r="CX59" s="197" t="str">
        <f t="shared" si="11"/>
        <v/>
      </c>
      <c r="CY59" s="197" t="e">
        <f t="shared" si="12"/>
        <v>#N/A</v>
      </c>
      <c r="CZ59" s="197" t="e">
        <f t="shared" si="13"/>
        <v>#N/A</v>
      </c>
      <c r="DA59" s="197" t="str">
        <f t="shared" si="20"/>
        <v/>
      </c>
      <c r="DB59" s="16" t="e">
        <f t="shared" si="14"/>
        <v>#N/A</v>
      </c>
      <c r="DC59" s="16" t="e">
        <f>IF(ISNUMBER(CX59),COUNTIF($DB$4:DB59,DB59)-1,NA())</f>
        <v>#N/A</v>
      </c>
      <c r="DK59" s="16">
        <v>19</v>
      </c>
      <c r="DL59" s="16" t="e">
        <f>IF($X$3=0,NA(),IF(kbins&lt;DK59,NA(),$DI$22))</f>
        <v>#N/A</v>
      </c>
      <c r="DM59" s="16">
        <f>$DJ$21</f>
        <v>0</v>
      </c>
      <c r="DP59" s="16">
        <f t="shared" si="22"/>
        <v>0.85785707831382751</v>
      </c>
      <c r="DQ59" s="16">
        <v>57</v>
      </c>
      <c r="DR59" s="16">
        <f t="shared" si="5"/>
        <v>60.7</v>
      </c>
      <c r="DS59" s="16">
        <f t="shared" si="6"/>
        <v>3.0362867153800739</v>
      </c>
      <c r="DT59" s="16">
        <f t="shared" si="7"/>
        <v>41.7</v>
      </c>
      <c r="DU59" s="16">
        <f t="shared" si="8"/>
        <v>58.3</v>
      </c>
      <c r="DV59" s="16">
        <f t="shared" si="9"/>
        <v>62.4</v>
      </c>
      <c r="DX59" s="197">
        <f t="shared" si="34"/>
        <v>0.87109365079365042</v>
      </c>
      <c r="DY59" s="197">
        <f t="shared" si="35"/>
        <v>0.93702399999999997</v>
      </c>
      <c r="DZ59" s="222">
        <f t="shared" si="36"/>
        <v>4.5271936170212754</v>
      </c>
      <c r="EA59" s="192">
        <f t="shared" si="37"/>
        <v>1.9370240000000001</v>
      </c>
      <c r="EB59" s="197">
        <f t="shared" si="38"/>
        <v>8.3015203389830337</v>
      </c>
      <c r="EC59" s="192">
        <f t="shared" si="39"/>
        <v>3.9370240000000001</v>
      </c>
      <c r="ED59" s="197" t="e">
        <f t="shared" ref="ED59:ED101" si="143">IF(ISNUMBER(EE$4),ED13,NA())</f>
        <v>#N/A</v>
      </c>
      <c r="EE59" s="192">
        <f t="shared" ref="EE59:EE101" si="144">EE58</f>
        <v>5.9370240000000001</v>
      </c>
      <c r="EF59" s="197" t="e">
        <f t="shared" si="142"/>
        <v>#N/A</v>
      </c>
      <c r="EG59" s="197">
        <f t="shared" si="141"/>
        <v>3.9370240000000001</v>
      </c>
      <c r="EH59" s="222" t="e">
        <f t="shared" si="140"/>
        <v>#N/A</v>
      </c>
      <c r="EI59" s="192">
        <f t="shared" si="139"/>
        <v>6.9370240000000001</v>
      </c>
      <c r="EJ59" s="197" t="e">
        <f t="shared" si="135"/>
        <v>#N/A</v>
      </c>
      <c r="EK59" s="192">
        <f t="shared" si="136"/>
        <v>1.9370240000000001</v>
      </c>
      <c r="EL59" s="197" t="e">
        <f t="shared" si="137"/>
        <v>#N/A</v>
      </c>
      <c r="EM59" s="192">
        <f t="shared" si="138"/>
        <v>1.9370240000000001</v>
      </c>
    </row>
    <row r="60" spans="5:149" ht="11.25" customHeight="1">
      <c r="E60" s="466">
        <v>59</v>
      </c>
      <c r="F60" s="474"/>
      <c r="G60" s="471"/>
      <c r="H60" s="321"/>
      <c r="I60" s="326"/>
      <c r="J60" s="30"/>
      <c r="BI60" s="621">
        <v>52</v>
      </c>
      <c r="BJ60" s="622"/>
      <c r="BK60" s="623"/>
      <c r="BL60" s="1109"/>
      <c r="BM60" s="1109"/>
      <c r="BN60" s="24"/>
      <c r="BP60" s="621">
        <v>52</v>
      </c>
      <c r="BQ60" s="622"/>
      <c r="BR60" s="623"/>
      <c r="BS60" s="1109"/>
      <c r="BT60" s="1109"/>
      <c r="BU60" s="24"/>
      <c r="BW60" s="621">
        <v>52</v>
      </c>
      <c r="BX60" s="622">
        <v>14.4</v>
      </c>
      <c r="BY60" s="623"/>
      <c r="BZ60" s="1109"/>
      <c r="CA60" s="1109"/>
      <c r="CB60" s="24"/>
      <c r="CT60" s="16" t="e">
        <f t="shared" si="17"/>
        <v>#N/A</v>
      </c>
      <c r="CU60" s="197" t="e">
        <f t="shared" si="18"/>
        <v>#N/A</v>
      </c>
      <c r="CV60" s="197" t="e">
        <f t="shared" si="19"/>
        <v>#N/A</v>
      </c>
      <c r="CW60" s="197">
        <v>57</v>
      </c>
      <c r="CX60" s="197" t="str">
        <f t="shared" si="11"/>
        <v/>
      </c>
      <c r="CY60" s="197" t="e">
        <f t="shared" si="12"/>
        <v>#N/A</v>
      </c>
      <c r="CZ60" s="197" t="e">
        <f t="shared" si="13"/>
        <v>#N/A</v>
      </c>
      <c r="DA60" s="197" t="str">
        <f t="shared" si="20"/>
        <v/>
      </c>
      <c r="DB60" s="16" t="e">
        <f t="shared" si="14"/>
        <v>#N/A</v>
      </c>
      <c r="DC60" s="16" t="e">
        <f>IF(ISNUMBER(CX60),COUNTIF($DB$4:DB60,DB60)-1,NA())</f>
        <v>#N/A</v>
      </c>
      <c r="DK60" s="16">
        <v>19</v>
      </c>
      <c r="DL60" s="16" t="e">
        <f>IF($X$3=0,NA(),IF(kbins&lt;DK60,NA(),$DI$22))</f>
        <v>#N/A</v>
      </c>
      <c r="DM60" s="16">
        <v>0</v>
      </c>
      <c r="DP60" s="16">
        <f t="shared" si="22"/>
        <v>0.93528029322624207</v>
      </c>
      <c r="DQ60" s="16">
        <v>58</v>
      </c>
      <c r="DR60" s="16">
        <f t="shared" si="5"/>
        <v>65.2</v>
      </c>
      <c r="DS60" s="16">
        <f t="shared" si="6"/>
        <v>3.3481892741893367</v>
      </c>
      <c r="DT60" s="16">
        <f t="shared" si="7"/>
        <v>34.1</v>
      </c>
      <c r="DU60" s="16">
        <f t="shared" si="8"/>
        <v>65.900000000000006</v>
      </c>
      <c r="DV60" s="16">
        <f t="shared" si="9"/>
        <v>65.099999999999994</v>
      </c>
      <c r="DX60" s="197">
        <f t="shared" si="34"/>
        <v>0.88461851851851814</v>
      </c>
      <c r="DY60" s="197">
        <f t="shared" si="35"/>
        <v>0.93702399999999997</v>
      </c>
      <c r="DZ60" s="222">
        <f t="shared" si="36"/>
        <v>4.5543872340425517</v>
      </c>
      <c r="EA60" s="192">
        <f t="shared" si="37"/>
        <v>1.9370240000000001</v>
      </c>
      <c r="EB60" s="197">
        <f t="shared" si="38"/>
        <v>8.3448457627118469</v>
      </c>
      <c r="EC60" s="192">
        <f t="shared" si="39"/>
        <v>3.9370240000000001</v>
      </c>
      <c r="ED60" s="197" t="e">
        <f t="shared" si="143"/>
        <v>#N/A</v>
      </c>
      <c r="EE60" s="192">
        <f t="shared" si="144"/>
        <v>5.9370240000000001</v>
      </c>
      <c r="EF60" s="197" t="e">
        <f t="shared" si="142"/>
        <v>#N/A</v>
      </c>
      <c r="EG60" s="197">
        <f t="shared" si="141"/>
        <v>3.9370240000000001</v>
      </c>
      <c r="EH60" s="222" t="e">
        <f t="shared" si="140"/>
        <v>#N/A</v>
      </c>
      <c r="EI60" s="192">
        <f t="shared" si="139"/>
        <v>6.9370240000000001</v>
      </c>
      <c r="EJ60" s="197" t="e">
        <f t="shared" si="135"/>
        <v>#N/A</v>
      </c>
      <c r="EK60" s="192">
        <f t="shared" si="136"/>
        <v>1.9370240000000001</v>
      </c>
      <c r="EL60" s="197" t="e">
        <f t="shared" si="137"/>
        <v>#N/A</v>
      </c>
      <c r="EM60" s="192">
        <f t="shared" si="138"/>
        <v>1.9370240000000001</v>
      </c>
    </row>
    <row r="61" spans="5:149" ht="11.25" customHeight="1">
      <c r="E61" s="466">
        <v>60</v>
      </c>
      <c r="F61" s="474"/>
      <c r="G61" s="471"/>
      <c r="H61" s="321"/>
      <c r="I61" s="326"/>
      <c r="J61" s="30"/>
      <c r="BI61" s="621">
        <v>53</v>
      </c>
      <c r="BJ61" s="622"/>
      <c r="BK61" s="623"/>
      <c r="BL61" s="1109"/>
      <c r="BM61" s="1109"/>
      <c r="BN61" s="24"/>
      <c r="BP61" s="621">
        <v>53</v>
      </c>
      <c r="BQ61" s="622"/>
      <c r="BR61" s="623"/>
      <c r="BS61" s="1109"/>
      <c r="BT61" s="1109"/>
      <c r="BU61" s="24"/>
      <c r="BW61" s="621">
        <v>53</v>
      </c>
      <c r="BX61" s="622">
        <v>8.4</v>
      </c>
      <c r="BY61" s="623"/>
      <c r="BZ61" s="1109"/>
      <c r="CA61" s="1109"/>
      <c r="CB61" s="24"/>
      <c r="CT61" s="16" t="e">
        <f t="shared" si="17"/>
        <v>#N/A</v>
      </c>
      <c r="CU61" s="197" t="e">
        <f t="shared" si="18"/>
        <v>#N/A</v>
      </c>
      <c r="CV61" s="197" t="e">
        <f t="shared" si="19"/>
        <v>#N/A</v>
      </c>
      <c r="CW61" s="197">
        <v>58</v>
      </c>
      <c r="CX61" s="197" t="str">
        <f t="shared" si="11"/>
        <v/>
      </c>
      <c r="CY61" s="197" t="e">
        <f t="shared" si="12"/>
        <v>#N/A</v>
      </c>
      <c r="CZ61" s="197" t="e">
        <f t="shared" si="13"/>
        <v>#N/A</v>
      </c>
      <c r="DA61" s="197" t="str">
        <f t="shared" si="20"/>
        <v/>
      </c>
      <c r="DB61" s="16" t="e">
        <f t="shared" si="14"/>
        <v>#N/A</v>
      </c>
      <c r="DC61" s="16" t="e">
        <f>IF(ISNUMBER(CX61),COUNTIF($DB$4:DB61,DB61)-1,NA())</f>
        <v>#N/A</v>
      </c>
      <c r="DK61" s="16">
        <v>20</v>
      </c>
      <c r="DL61" s="16" t="e">
        <f>IF($X$3=0,NA(),IF(kbins&lt;DK61,NA(),$DI$22))</f>
        <v>#N/A</v>
      </c>
      <c r="DM61" s="16">
        <f>$DJ$22</f>
        <v>0</v>
      </c>
      <c r="DP61" s="16">
        <f t="shared" si="22"/>
        <v>9.0906232595443726E-2</v>
      </c>
      <c r="DQ61" s="16">
        <v>59</v>
      </c>
      <c r="DR61" s="16">
        <f t="shared" si="5"/>
        <v>36.6</v>
      </c>
      <c r="DS61" s="16">
        <f t="shared" si="6"/>
        <v>1.3521312791083675</v>
      </c>
      <c r="DT61" s="16">
        <f t="shared" si="7"/>
        <v>58.7</v>
      </c>
      <c r="DU61" s="16">
        <f t="shared" si="8"/>
        <v>41.3</v>
      </c>
      <c r="DV61" s="16">
        <f t="shared" si="9"/>
        <v>35.799999999999997</v>
      </c>
      <c r="DX61" s="197">
        <f t="shared" si="34"/>
        <v>0.89814338624338586</v>
      </c>
      <c r="DY61" s="197">
        <f t="shared" si="35"/>
        <v>0.93702399999999997</v>
      </c>
      <c r="DZ61" s="222">
        <f t="shared" si="36"/>
        <v>4.5815808510638281</v>
      </c>
      <c r="EA61" s="192">
        <f t="shared" si="37"/>
        <v>1.9370240000000001</v>
      </c>
      <c r="EB61" s="197">
        <f t="shared" si="38"/>
        <v>8.3881711864406601</v>
      </c>
      <c r="EC61" s="192">
        <f t="shared" si="39"/>
        <v>3.9370240000000001</v>
      </c>
      <c r="ED61" s="197" t="e">
        <f t="shared" si="143"/>
        <v>#N/A</v>
      </c>
      <c r="EE61" s="192">
        <f t="shared" si="144"/>
        <v>5.9370240000000001</v>
      </c>
      <c r="EF61" s="197" t="e">
        <f t="shared" si="142"/>
        <v>#N/A</v>
      </c>
      <c r="EG61" s="197">
        <f t="shared" si="141"/>
        <v>3.9370240000000001</v>
      </c>
      <c r="EH61" s="222" t="e">
        <f t="shared" si="140"/>
        <v>#N/A</v>
      </c>
      <c r="EI61" s="192">
        <f t="shared" si="139"/>
        <v>6.9370240000000001</v>
      </c>
      <c r="EJ61" s="197" t="e">
        <f t="shared" si="135"/>
        <v>#N/A</v>
      </c>
      <c r="EK61" s="192">
        <f t="shared" si="136"/>
        <v>1.9370240000000001</v>
      </c>
      <c r="EL61" s="197" t="e">
        <f t="shared" si="137"/>
        <v>#N/A</v>
      </c>
      <c r="EM61" s="192">
        <f t="shared" si="138"/>
        <v>1.9370240000000001</v>
      </c>
    </row>
    <row r="62" spans="5:149" ht="11.25" customHeight="1">
      <c r="E62" s="466">
        <v>61</v>
      </c>
      <c r="F62" s="474"/>
      <c r="G62" s="471"/>
      <c r="H62" s="321"/>
      <c r="I62" s="326"/>
      <c r="J62" s="30"/>
      <c r="BI62" s="621">
        <v>54</v>
      </c>
      <c r="BJ62" s="622"/>
      <c r="BK62" s="623"/>
      <c r="BL62" s="1109"/>
      <c r="BM62" s="1109"/>
      <c r="BN62" s="24"/>
      <c r="BP62" s="621">
        <v>54</v>
      </c>
      <c r="BQ62" s="622"/>
      <c r="BR62" s="623"/>
      <c r="BS62" s="1109"/>
      <c r="BT62" s="1109"/>
      <c r="BU62" s="24"/>
      <c r="BW62" s="621">
        <v>54</v>
      </c>
      <c r="BX62" s="622">
        <v>17.7</v>
      </c>
      <c r="BY62" s="623"/>
      <c r="BZ62" s="1109"/>
      <c r="CA62" s="1109"/>
      <c r="CB62" s="24"/>
      <c r="CT62" s="16" t="e">
        <f t="shared" si="17"/>
        <v>#N/A</v>
      </c>
      <c r="CU62" s="197" t="e">
        <f t="shared" si="18"/>
        <v>#N/A</v>
      </c>
      <c r="CV62" s="197" t="e">
        <f t="shared" si="19"/>
        <v>#N/A</v>
      </c>
      <c r="CW62" s="197">
        <v>59</v>
      </c>
      <c r="CX62" s="197" t="str">
        <f t="shared" si="11"/>
        <v/>
      </c>
      <c r="CY62" s="197" t="e">
        <f t="shared" si="12"/>
        <v>#N/A</v>
      </c>
      <c r="CZ62" s="197" t="e">
        <f t="shared" si="13"/>
        <v>#N/A</v>
      </c>
      <c r="DA62" s="197" t="str">
        <f t="shared" si="20"/>
        <v/>
      </c>
      <c r="DB62" s="16" t="e">
        <f t="shared" si="14"/>
        <v>#N/A</v>
      </c>
      <c r="DC62" s="16" t="e">
        <f>IF(ISNUMBER(CX62),COUNTIF($DB$4:DB62,DB62)-1,NA())</f>
        <v>#N/A</v>
      </c>
      <c r="DK62" s="16">
        <v>20</v>
      </c>
      <c r="DL62" s="16" t="e">
        <f>IF($X$3=0,NA(),IF(kbins&lt;DK62,NA(),$DI$23))</f>
        <v>#N/A</v>
      </c>
      <c r="DM62" s="16">
        <f>$DJ$22</f>
        <v>0</v>
      </c>
      <c r="DP62" s="16">
        <f t="shared" si="22"/>
        <v>0.50773546099662781</v>
      </c>
      <c r="DQ62" s="16">
        <v>60</v>
      </c>
      <c r="DR62" s="16">
        <f t="shared" si="5"/>
        <v>50.2</v>
      </c>
      <c r="DS62" s="16">
        <f t="shared" si="6"/>
        <v>2.3003417222521909</v>
      </c>
      <c r="DT62" s="16">
        <f t="shared" si="7"/>
        <v>52.6</v>
      </c>
      <c r="DU62" s="16">
        <f t="shared" si="8"/>
        <v>47.4</v>
      </c>
      <c r="DV62" s="16">
        <f t="shared" si="9"/>
        <v>50.3</v>
      </c>
      <c r="DX62" s="197">
        <f t="shared" si="34"/>
        <v>0.91166825396825357</v>
      </c>
      <c r="DY62" s="197">
        <f t="shared" si="35"/>
        <v>0.93702399999999997</v>
      </c>
      <c r="DZ62" s="222">
        <f t="shared" si="36"/>
        <v>4.6087744680851044</v>
      </c>
      <c r="EA62" s="192">
        <f t="shared" si="37"/>
        <v>1.9370240000000001</v>
      </c>
      <c r="EB62" s="197">
        <f t="shared" si="38"/>
        <v>8.4314966101694733</v>
      </c>
      <c r="EC62" s="192">
        <f t="shared" si="39"/>
        <v>3.9370240000000001</v>
      </c>
      <c r="ED62" s="197" t="e">
        <f t="shared" si="143"/>
        <v>#N/A</v>
      </c>
      <c r="EE62" s="192">
        <f t="shared" si="144"/>
        <v>5.9370240000000001</v>
      </c>
      <c r="EF62" s="197" t="e">
        <f t="shared" si="142"/>
        <v>#N/A</v>
      </c>
      <c r="EG62" s="197">
        <f t="shared" si="141"/>
        <v>3.9370240000000001</v>
      </c>
      <c r="EH62" s="222" t="e">
        <f t="shared" si="140"/>
        <v>#N/A</v>
      </c>
      <c r="EI62" s="192">
        <f t="shared" si="139"/>
        <v>6.9370240000000001</v>
      </c>
    </row>
    <row r="63" spans="5:149" ht="11.25" customHeight="1">
      <c r="E63" s="466">
        <v>62</v>
      </c>
      <c r="F63" s="474"/>
      <c r="G63" s="471"/>
      <c r="H63" s="321"/>
      <c r="I63" s="326"/>
      <c r="J63" s="30"/>
      <c r="BI63" s="621">
        <v>55</v>
      </c>
      <c r="BJ63" s="622"/>
      <c r="BK63" s="623"/>
      <c r="BL63" s="1109"/>
      <c r="BM63" s="1109"/>
      <c r="BN63" s="24"/>
      <c r="BP63" s="621">
        <v>55</v>
      </c>
      <c r="BQ63" s="622"/>
      <c r="BR63" s="623"/>
      <c r="BS63" s="1109"/>
      <c r="BT63" s="1109"/>
      <c r="BU63" s="24"/>
      <c r="BW63" s="621">
        <v>55</v>
      </c>
      <c r="BX63" s="622">
        <v>20.100000000000001</v>
      </c>
      <c r="BY63" s="623"/>
      <c r="BZ63" s="1109"/>
      <c r="CA63" s="1109"/>
      <c r="CB63" s="24"/>
      <c r="CT63" s="16" t="e">
        <f t="shared" si="17"/>
        <v>#N/A</v>
      </c>
      <c r="CU63" s="197" t="e">
        <f t="shared" si="18"/>
        <v>#N/A</v>
      </c>
      <c r="CV63" s="197" t="e">
        <f t="shared" si="19"/>
        <v>#N/A</v>
      </c>
      <c r="CW63" s="197">
        <v>60</v>
      </c>
      <c r="CX63" s="197" t="str">
        <f t="shared" si="11"/>
        <v/>
      </c>
      <c r="CY63" s="197" t="e">
        <f t="shared" si="12"/>
        <v>#N/A</v>
      </c>
      <c r="CZ63" s="197" t="e">
        <f t="shared" si="13"/>
        <v>#N/A</v>
      </c>
      <c r="DA63" s="197" t="str">
        <f t="shared" si="20"/>
        <v/>
      </c>
      <c r="DB63" s="16" t="e">
        <f t="shared" si="14"/>
        <v>#N/A</v>
      </c>
      <c r="DC63" s="16" t="e">
        <f>IF(ISNUMBER(CX63),COUNTIF($DB$4:DB63,DB63)-1,NA())</f>
        <v>#N/A</v>
      </c>
      <c r="DK63" s="16">
        <v>20</v>
      </c>
      <c r="DL63" s="16" t="e">
        <f>IF($X$3=0,NA(),IF(kbins&lt;DK63,NA(),$DI$23))</f>
        <v>#N/A</v>
      </c>
      <c r="DM63" s="16">
        <v>0</v>
      </c>
      <c r="DP63" s="16">
        <f t="shared" si="22"/>
        <v>0.21052727103233337</v>
      </c>
      <c r="DQ63" s="16">
        <v>61</v>
      </c>
      <c r="DR63" s="16">
        <f t="shared" si="5"/>
        <v>42</v>
      </c>
      <c r="DS63" s="16">
        <f t="shared" si="6"/>
        <v>1.7235527744485357</v>
      </c>
      <c r="DT63" s="16">
        <f t="shared" si="7"/>
        <v>57</v>
      </c>
      <c r="DU63" s="16">
        <f t="shared" si="8"/>
        <v>43</v>
      </c>
      <c r="DV63" s="16">
        <f t="shared" si="9"/>
        <v>40</v>
      </c>
      <c r="DX63" s="197">
        <f t="shared" si="34"/>
        <v>0.92519312169312129</v>
      </c>
      <c r="DY63" s="197">
        <f t="shared" si="35"/>
        <v>0.93702399999999997</v>
      </c>
      <c r="DZ63" s="222">
        <f t="shared" si="36"/>
        <v>4.6359680851063807</v>
      </c>
      <c r="EA63" s="192">
        <f t="shared" si="37"/>
        <v>1.9370240000000001</v>
      </c>
      <c r="EB63" s="197">
        <f t="shared" si="38"/>
        <v>8.4748220338982865</v>
      </c>
      <c r="EC63" s="192">
        <f t="shared" si="39"/>
        <v>3.9370240000000001</v>
      </c>
      <c r="ED63" s="197" t="e">
        <f t="shared" si="143"/>
        <v>#N/A</v>
      </c>
      <c r="EE63" s="192">
        <f t="shared" si="144"/>
        <v>5.9370240000000001</v>
      </c>
      <c r="EF63" s="197" t="e">
        <f t="shared" si="142"/>
        <v>#N/A</v>
      </c>
      <c r="EG63" s="197">
        <f t="shared" si="141"/>
        <v>3.9370240000000001</v>
      </c>
      <c r="EH63" s="222" t="e">
        <f t="shared" si="140"/>
        <v>#N/A</v>
      </c>
      <c r="EI63" s="192">
        <f t="shared" si="139"/>
        <v>6.9370240000000001</v>
      </c>
    </row>
    <row r="64" spans="5:149" ht="11.25" customHeight="1">
      <c r="E64" s="466">
        <v>63</v>
      </c>
      <c r="F64" s="474"/>
      <c r="G64" s="471"/>
      <c r="H64" s="321"/>
      <c r="I64" s="326"/>
      <c r="J64" s="30"/>
      <c r="BI64" s="621">
        <v>56</v>
      </c>
      <c r="BJ64" s="622"/>
      <c r="BK64" s="623"/>
      <c r="BL64" s="1109"/>
      <c r="BM64" s="1109"/>
      <c r="BN64" s="24"/>
      <c r="BP64" s="621">
        <v>56</v>
      </c>
      <c r="BQ64" s="622"/>
      <c r="BR64" s="623"/>
      <c r="BS64" s="1109"/>
      <c r="BT64" s="1109"/>
      <c r="BU64" s="24"/>
      <c r="BW64" s="621">
        <v>56</v>
      </c>
      <c r="BX64" s="622">
        <v>2.1</v>
      </c>
      <c r="BY64" s="623"/>
      <c r="BZ64" s="1109"/>
      <c r="CA64" s="1109"/>
      <c r="CB64" s="24"/>
      <c r="CT64" s="16" t="e">
        <f t="shared" si="17"/>
        <v>#N/A</v>
      </c>
      <c r="CU64" s="197" t="e">
        <f t="shared" si="18"/>
        <v>#N/A</v>
      </c>
      <c r="CV64" s="197" t="e">
        <f t="shared" si="19"/>
        <v>#N/A</v>
      </c>
      <c r="CW64" s="197">
        <v>61</v>
      </c>
      <c r="CX64" s="197" t="str">
        <f t="shared" si="11"/>
        <v/>
      </c>
      <c r="CY64" s="197" t="e">
        <f t="shared" si="12"/>
        <v>#N/A</v>
      </c>
      <c r="CZ64" s="197" t="e">
        <f t="shared" si="13"/>
        <v>#N/A</v>
      </c>
      <c r="DA64" s="197" t="str">
        <f t="shared" si="20"/>
        <v/>
      </c>
      <c r="DB64" s="16" t="e">
        <f t="shared" si="14"/>
        <v>#N/A</v>
      </c>
      <c r="DC64" s="16" t="e">
        <f>IF(ISNUMBER(CX64),COUNTIF($DB$4:DB64,DB64)-1,NA())</f>
        <v>#N/A</v>
      </c>
      <c r="DK64" s="16">
        <v>21</v>
      </c>
      <c r="DL64" s="16" t="e">
        <f>IF($X$3=0,NA(),IF(kbins&lt;DK64,NA(),$DI$23))</f>
        <v>#N/A</v>
      </c>
      <c r="DM64" s="16">
        <f>$DJ$23</f>
        <v>0</v>
      </c>
      <c r="DP64" s="16">
        <f t="shared" si="22"/>
        <v>0.44717785716056824</v>
      </c>
      <c r="DQ64" s="16">
        <v>62</v>
      </c>
      <c r="DR64" s="16">
        <f t="shared" si="5"/>
        <v>48.7</v>
      </c>
      <c r="DS64" s="16">
        <f t="shared" si="6"/>
        <v>2.1938116059024484</v>
      </c>
      <c r="DT64" s="16">
        <f t="shared" si="7"/>
        <v>53.6</v>
      </c>
      <c r="DU64" s="16">
        <f t="shared" si="8"/>
        <v>46.4</v>
      </c>
      <c r="DV64" s="16">
        <f t="shared" si="9"/>
        <v>48.2</v>
      </c>
      <c r="DX64" s="197">
        <f t="shared" si="34"/>
        <v>0.93871798941798901</v>
      </c>
      <c r="DY64" s="197">
        <f t="shared" si="35"/>
        <v>0.93702399999999997</v>
      </c>
      <c r="DZ64" s="222">
        <f t="shared" si="36"/>
        <v>4.663161702127657</v>
      </c>
      <c r="EA64" s="192">
        <f t="shared" si="37"/>
        <v>1.9370240000000001</v>
      </c>
      <c r="EB64" s="197">
        <f t="shared" si="38"/>
        <v>8.5181474576270997</v>
      </c>
      <c r="EC64" s="192">
        <f t="shared" si="39"/>
        <v>3.9370240000000001</v>
      </c>
      <c r="ED64" s="197" t="e">
        <f t="shared" si="143"/>
        <v>#N/A</v>
      </c>
      <c r="EE64" s="192">
        <f t="shared" si="144"/>
        <v>5.9370240000000001</v>
      </c>
      <c r="EF64" s="197" t="e">
        <f t="shared" si="142"/>
        <v>#N/A</v>
      </c>
      <c r="EG64" s="197">
        <f t="shared" si="141"/>
        <v>3.9370240000000001</v>
      </c>
      <c r="EH64" s="222" t="e">
        <f t="shared" si="140"/>
        <v>#N/A</v>
      </c>
      <c r="EI64" s="192">
        <f t="shared" si="139"/>
        <v>6.9370240000000001</v>
      </c>
    </row>
    <row r="65" spans="5:139" ht="11.25" customHeight="1">
      <c r="E65" s="466">
        <v>64</v>
      </c>
      <c r="F65" s="474"/>
      <c r="G65" s="471"/>
      <c r="H65" s="321"/>
      <c r="I65" s="326"/>
      <c r="J65" s="30"/>
      <c r="BI65" s="621">
        <v>57</v>
      </c>
      <c r="BJ65" s="622"/>
      <c r="BK65" s="623"/>
      <c r="BL65" s="1109"/>
      <c r="BM65" s="1109"/>
      <c r="BN65" s="24"/>
      <c r="BP65" s="621">
        <v>57</v>
      </c>
      <c r="BQ65" s="622"/>
      <c r="BR65" s="623"/>
      <c r="BS65" s="1109"/>
      <c r="BT65" s="1109"/>
      <c r="BU65" s="24"/>
      <c r="BW65" s="621">
        <v>57</v>
      </c>
      <c r="BX65" s="622">
        <v>11.1</v>
      </c>
      <c r="BY65" s="623"/>
      <c r="BZ65" s="1109"/>
      <c r="CA65" s="1109"/>
      <c r="CB65" s="24"/>
      <c r="CT65" s="16" t="e">
        <f t="shared" si="17"/>
        <v>#N/A</v>
      </c>
      <c r="CU65" s="197" t="e">
        <f t="shared" si="18"/>
        <v>#N/A</v>
      </c>
      <c r="CV65" s="197" t="e">
        <f t="shared" si="19"/>
        <v>#N/A</v>
      </c>
      <c r="CW65" s="197">
        <v>62</v>
      </c>
      <c r="CX65" s="197" t="str">
        <f t="shared" si="11"/>
        <v/>
      </c>
      <c r="CY65" s="197" t="e">
        <f t="shared" si="12"/>
        <v>#N/A</v>
      </c>
      <c r="CZ65" s="197" t="e">
        <f t="shared" si="13"/>
        <v>#N/A</v>
      </c>
      <c r="DA65" s="197" t="str">
        <f t="shared" si="20"/>
        <v/>
      </c>
      <c r="DB65" s="16" t="e">
        <f t="shared" si="14"/>
        <v>#N/A</v>
      </c>
      <c r="DC65" s="16" t="e">
        <f>IF(ISNUMBER(CX65),COUNTIF($DB$4:DB65,DB65)-1,NA())</f>
        <v>#N/A</v>
      </c>
      <c r="DK65" s="16">
        <v>21</v>
      </c>
      <c r="DL65" s="16" t="e">
        <f>IF($X$3=0,NA(),IF(kbins&lt;DK65,NA(),$DI$24))</f>
        <v>#N/A</v>
      </c>
      <c r="DM65" s="16">
        <f>$DJ$23</f>
        <v>0</v>
      </c>
      <c r="DP65" s="16">
        <f t="shared" si="22"/>
        <v>0.38491782546043396</v>
      </c>
      <c r="DQ65" s="16">
        <v>63</v>
      </c>
      <c r="DR65" s="16">
        <f t="shared" si="5"/>
        <v>47.1</v>
      </c>
      <c r="DS65" s="16">
        <f t="shared" si="6"/>
        <v>2.08195500879425</v>
      </c>
      <c r="DT65" s="16">
        <f t="shared" si="7"/>
        <v>54.6</v>
      </c>
      <c r="DU65" s="16">
        <f t="shared" si="8"/>
        <v>45.4</v>
      </c>
      <c r="DV65" s="16">
        <f t="shared" si="9"/>
        <v>46</v>
      </c>
      <c r="DX65" s="197">
        <f t="shared" si="34"/>
        <v>0.95224285714285672</v>
      </c>
      <c r="DY65" s="197">
        <f t="shared" si="35"/>
        <v>0.93702399999999997</v>
      </c>
      <c r="DZ65" s="222">
        <f t="shared" si="36"/>
        <v>4.6903553191489333</v>
      </c>
      <c r="EA65" s="192">
        <f t="shared" si="37"/>
        <v>1.9370240000000001</v>
      </c>
      <c r="EB65" s="197">
        <f t="shared" si="38"/>
        <v>8.5614728813559129</v>
      </c>
      <c r="EC65" s="192">
        <f t="shared" si="39"/>
        <v>3.9370240000000001</v>
      </c>
      <c r="ED65" s="197" t="e">
        <f t="shared" si="143"/>
        <v>#N/A</v>
      </c>
      <c r="EE65" s="192">
        <f t="shared" si="144"/>
        <v>5.9370240000000001</v>
      </c>
      <c r="EF65" s="197" t="e">
        <f t="shared" si="142"/>
        <v>#N/A</v>
      </c>
      <c r="EG65" s="197">
        <f t="shared" si="141"/>
        <v>3.9370240000000001</v>
      </c>
      <c r="EH65" s="222" t="e">
        <f t="shared" si="140"/>
        <v>#N/A</v>
      </c>
      <c r="EI65" s="192">
        <f t="shared" si="139"/>
        <v>6.9370240000000001</v>
      </c>
    </row>
    <row r="66" spans="5:139" ht="11.25" customHeight="1">
      <c r="E66" s="466">
        <v>65</v>
      </c>
      <c r="F66" s="474"/>
      <c r="G66" s="471"/>
      <c r="H66" s="321"/>
      <c r="I66" s="326"/>
      <c r="J66" s="30"/>
      <c r="BI66" s="621">
        <v>58</v>
      </c>
      <c r="BJ66" s="622"/>
      <c r="BK66" s="623"/>
      <c r="BL66" s="1109"/>
      <c r="BM66" s="1109"/>
      <c r="BN66" s="24"/>
      <c r="BP66" s="621">
        <v>58</v>
      </c>
      <c r="BQ66" s="622"/>
      <c r="BR66" s="623"/>
      <c r="BS66" s="1109"/>
      <c r="BT66" s="1109"/>
      <c r="BU66" s="24"/>
      <c r="BW66" s="621">
        <v>58</v>
      </c>
      <c r="BX66" s="622">
        <v>11.2</v>
      </c>
      <c r="BY66" s="623"/>
      <c r="BZ66" s="1109"/>
      <c r="CA66" s="1109"/>
      <c r="CB66" s="24"/>
      <c r="CT66" s="16" t="e">
        <f t="shared" si="17"/>
        <v>#N/A</v>
      </c>
      <c r="CU66" s="197" t="e">
        <f t="shared" si="18"/>
        <v>#N/A</v>
      </c>
      <c r="CV66" s="197" t="e">
        <f t="shared" si="19"/>
        <v>#N/A</v>
      </c>
      <c r="CW66" s="197">
        <v>63</v>
      </c>
      <c r="CX66" s="197" t="str">
        <f t="shared" si="11"/>
        <v/>
      </c>
      <c r="CY66" s="197" t="e">
        <f t="shared" si="12"/>
        <v>#N/A</v>
      </c>
      <c r="CZ66" s="197" t="e">
        <f t="shared" si="13"/>
        <v>#N/A</v>
      </c>
      <c r="DA66" s="197" t="str">
        <f t="shared" si="20"/>
        <v/>
      </c>
      <c r="DB66" s="16" t="e">
        <f t="shared" si="14"/>
        <v>#N/A</v>
      </c>
      <c r="DC66" s="16" t="e">
        <f>IF(ISNUMBER(CX66),COUNTIF($DB$4:DB66,DB66)-1,NA())</f>
        <v>#N/A</v>
      </c>
      <c r="DK66" s="16">
        <v>21</v>
      </c>
      <c r="DL66" s="16" t="e">
        <f>IF($X$3=0,NA(),IF(kbins&lt;DK66,NA(),$DI$24))</f>
        <v>#N/A</v>
      </c>
      <c r="DM66" s="16">
        <v>0</v>
      </c>
      <c r="DP66" s="16">
        <f t="shared" si="22"/>
        <v>0.25853607058525085</v>
      </c>
      <c r="DQ66" s="16">
        <v>64</v>
      </c>
      <c r="DR66" s="16">
        <f t="shared" si="5"/>
        <v>43.5</v>
      </c>
      <c r="DS66" s="16">
        <f t="shared" si="6"/>
        <v>1.8332622846546631</v>
      </c>
      <c r="DT66" s="16">
        <f t="shared" si="7"/>
        <v>56.3</v>
      </c>
      <c r="DU66" s="16">
        <f t="shared" si="8"/>
        <v>43.7</v>
      </c>
      <c r="DV66" s="16">
        <f t="shared" si="9"/>
        <v>41.6</v>
      </c>
      <c r="DX66" s="197">
        <f t="shared" si="34"/>
        <v>0.96576772486772444</v>
      </c>
      <c r="DY66" s="197">
        <f t="shared" si="35"/>
        <v>0.93702399999999997</v>
      </c>
      <c r="DZ66" s="222">
        <f t="shared" si="36"/>
        <v>4.7175489361702097</v>
      </c>
      <c r="EA66" s="192">
        <f t="shared" si="37"/>
        <v>1.9370240000000001</v>
      </c>
      <c r="EB66" s="197">
        <f t="shared" si="38"/>
        <v>8.6047983050847261</v>
      </c>
      <c r="EC66" s="192">
        <f t="shared" si="39"/>
        <v>3.9370240000000001</v>
      </c>
      <c r="ED66" s="197" t="e">
        <f t="shared" si="143"/>
        <v>#N/A</v>
      </c>
      <c r="EE66" s="192">
        <f t="shared" si="144"/>
        <v>5.9370240000000001</v>
      </c>
      <c r="EF66" s="197" t="e">
        <f t="shared" si="142"/>
        <v>#N/A</v>
      </c>
      <c r="EG66" s="197">
        <f t="shared" si="141"/>
        <v>3.9370240000000001</v>
      </c>
      <c r="EH66" s="222" t="e">
        <f t="shared" si="140"/>
        <v>#N/A</v>
      </c>
      <c r="EI66" s="192">
        <f t="shared" si="139"/>
        <v>6.9370240000000001</v>
      </c>
    </row>
    <row r="67" spans="5:139" ht="11.25" customHeight="1">
      <c r="E67" s="466">
        <v>66</v>
      </c>
      <c r="F67" s="474"/>
      <c r="G67" s="471"/>
      <c r="H67" s="321"/>
      <c r="I67" s="326"/>
      <c r="J67" s="30"/>
      <c r="BI67" s="621">
        <v>59</v>
      </c>
      <c r="BJ67" s="622"/>
      <c r="BK67" s="623"/>
      <c r="BL67" s="1109"/>
      <c r="BM67" s="1109"/>
      <c r="BN67" s="24"/>
      <c r="BP67" s="621">
        <v>59</v>
      </c>
      <c r="BQ67" s="622"/>
      <c r="BR67" s="623"/>
      <c r="BS67" s="1109"/>
      <c r="BT67" s="1109"/>
      <c r="BU67" s="24"/>
      <c r="BW67" s="621">
        <v>59</v>
      </c>
      <c r="BX67" s="622">
        <v>10.7</v>
      </c>
      <c r="BY67" s="623"/>
      <c r="BZ67" s="1109"/>
      <c r="CA67" s="1109"/>
      <c r="CB67" s="24"/>
      <c r="CT67" s="16" t="e">
        <f t="shared" si="17"/>
        <v>#N/A</v>
      </c>
      <c r="CU67" s="197" t="e">
        <f t="shared" si="18"/>
        <v>#N/A</v>
      </c>
      <c r="CV67" s="197" t="e">
        <f t="shared" si="19"/>
        <v>#N/A</v>
      </c>
      <c r="CW67" s="197">
        <v>64</v>
      </c>
      <c r="CX67" s="197" t="str">
        <f t="shared" si="11"/>
        <v/>
      </c>
      <c r="CY67" s="197" t="e">
        <f t="shared" si="12"/>
        <v>#N/A</v>
      </c>
      <c r="CZ67" s="197" t="e">
        <f t="shared" si="13"/>
        <v>#N/A</v>
      </c>
      <c r="DA67" s="197" t="str">
        <f t="shared" si="20"/>
        <v/>
      </c>
      <c r="DB67" s="16" t="e">
        <f t="shared" si="14"/>
        <v>#N/A</v>
      </c>
      <c r="DC67" s="16" t="e">
        <f>IF(ISNUMBER(CX67),COUNTIF($DB$4:DB67,DB67)-1,NA())</f>
        <v>#N/A</v>
      </c>
      <c r="DK67" s="16">
        <v>22</v>
      </c>
      <c r="DL67" s="16" t="e">
        <f>IF($X$3=0,NA(),IF(kbins&lt;DK67,NA(),$DI$24))</f>
        <v>#N/A</v>
      </c>
      <c r="DM67" s="16">
        <f>$DJ$24</f>
        <v>0</v>
      </c>
      <c r="DP67" s="16">
        <f t="shared" si="22"/>
        <v>6.6821426153182983E-2</v>
      </c>
      <c r="DQ67" s="16">
        <v>65</v>
      </c>
      <c r="DR67" s="16">
        <f t="shared" ref="DR67:DR130" si="145">IF(DQ67&lt;=$Y$9,ROUND(NORMINV(DP67,$Y$10,$Y$11),$Y$12),"")</f>
        <v>35</v>
      </c>
      <c r="DS67" s="16">
        <f t="shared" ref="DS67:DS130" si="146">IF(DQ67&lt;=$Y$9,NORMINV(DP67,$DW$24,$DW$18),"")</f>
        <v>1.2368447984510484</v>
      </c>
      <c r="DT67" s="16">
        <f t="shared" ref="DT67:DT130" si="147">IF(DQ67&lt;=$Y$9,ROUND(2*$Y$10-($DW$22+EXP(DS67)),$Y$12),"")</f>
        <v>59.1</v>
      </c>
      <c r="DU67" s="16">
        <f t="shared" ref="DU67:DU130" si="148">IF(DQ67&lt;=$Y$9,ROUND($DW$22+EXP(DS67),$Y$12),"")</f>
        <v>40.9</v>
      </c>
      <c r="DV67" s="16">
        <f t="shared" ref="DV67:DV130" si="149">IF(DQ67&lt;=$Y$9,ROUND($Y$10+(DP67-0.5)*$DW$14,$Y$12),"")</f>
        <v>35</v>
      </c>
      <c r="DX67" s="197">
        <f t="shared" si="34"/>
        <v>0.97929259259259216</v>
      </c>
      <c r="DY67" s="197">
        <f t="shared" si="35"/>
        <v>0.93702399999999997</v>
      </c>
      <c r="DZ67" s="222">
        <f t="shared" si="36"/>
        <v>4.744742553191486</v>
      </c>
      <c r="EA67" s="192">
        <f t="shared" si="37"/>
        <v>1.9370240000000001</v>
      </c>
      <c r="EB67" s="197">
        <f t="shared" si="38"/>
        <v>8.6481237288135393</v>
      </c>
      <c r="EC67" s="192">
        <f t="shared" si="39"/>
        <v>3.9370240000000001</v>
      </c>
      <c r="ED67" s="197" t="e">
        <f t="shared" si="143"/>
        <v>#N/A</v>
      </c>
      <c r="EE67" s="192">
        <f t="shared" si="144"/>
        <v>5.9370240000000001</v>
      </c>
      <c r="EF67" s="197" t="e">
        <f t="shared" si="142"/>
        <v>#N/A</v>
      </c>
      <c r="EG67" s="197">
        <f t="shared" si="141"/>
        <v>3.9370240000000001</v>
      </c>
      <c r="EH67" s="222" t="e">
        <f t="shared" si="140"/>
        <v>#N/A</v>
      </c>
      <c r="EI67" s="192">
        <f t="shared" si="139"/>
        <v>6.9370240000000001</v>
      </c>
    </row>
    <row r="68" spans="5:139" ht="11.25" customHeight="1">
      <c r="E68" s="466">
        <v>67</v>
      </c>
      <c r="F68" s="474"/>
      <c r="G68" s="471"/>
      <c r="H68" s="321"/>
      <c r="I68" s="326"/>
      <c r="J68" s="30"/>
      <c r="BI68" s="621">
        <v>60</v>
      </c>
      <c r="BJ68" s="622"/>
      <c r="BK68" s="623"/>
      <c r="BL68" s="1109"/>
      <c r="BM68" s="1109"/>
      <c r="BN68" s="24"/>
      <c r="BP68" s="621">
        <v>60</v>
      </c>
      <c r="BQ68" s="622"/>
      <c r="BR68" s="623"/>
      <c r="BS68" s="1109"/>
      <c r="BT68" s="1109"/>
      <c r="BU68" s="24"/>
      <c r="BW68" s="621">
        <v>60</v>
      </c>
      <c r="BX68" s="622">
        <v>1.9</v>
      </c>
      <c r="BY68" s="623"/>
      <c r="BZ68" s="1109"/>
      <c r="CA68" s="1109"/>
      <c r="CB68" s="24"/>
      <c r="CT68" s="16" t="e">
        <f t="shared" si="17"/>
        <v>#N/A</v>
      </c>
      <c r="CU68" s="197" t="e">
        <f t="shared" si="18"/>
        <v>#N/A</v>
      </c>
      <c r="CV68" s="197" t="e">
        <f t="shared" si="19"/>
        <v>#N/A</v>
      </c>
      <c r="CW68" s="197">
        <v>65</v>
      </c>
      <c r="CX68" s="197" t="str">
        <f t="shared" ref="CX68:CX131" si="150">IF($C$14&gt;=CW68,SMALL(data300x,CW68),"")</f>
        <v/>
      </c>
      <c r="CY68" s="197" t="e">
        <f t="shared" ref="CY68:CY131" si="151">IF(ISNUMBER(CX68),IF($Y$14,IF($CS$34,Xl+DB68*xinc,CX68),CX68),NA())</f>
        <v>#N/A</v>
      </c>
      <c r="CZ68" s="197" t="e">
        <f t="shared" ref="CZ68:CZ131" si="152">IF(ISNUMBER(CX68),IF($Y$14,$DC$2*DC68*yinc,0)+yinc/2,NA())</f>
        <v>#N/A</v>
      </c>
      <c r="DA68" s="197" t="str">
        <f t="shared" si="20"/>
        <v/>
      </c>
      <c r="DB68" s="16" t="e">
        <f t="shared" ref="DB68:DB131" si="153">IF(ISNUMBER(CX68),ROUND((CX68-Xl)/xinc,0),NA())</f>
        <v>#N/A</v>
      </c>
      <c r="DC68" s="16" t="e">
        <f>IF(ISNUMBER(CX68),COUNTIF($DB$4:DB68,DB68)-1,NA())</f>
        <v>#N/A</v>
      </c>
      <c r="DK68" s="16">
        <v>22</v>
      </c>
      <c r="DL68" s="16" t="e">
        <f>IF($X$3=0,NA(),IF(kbins&lt;DK68,NA(),$DI$25))</f>
        <v>#N/A</v>
      </c>
      <c r="DM68" s="16">
        <f>$DJ$24</f>
        <v>0</v>
      </c>
      <c r="DP68" s="16">
        <f t="shared" si="22"/>
        <v>0.13021036982536316</v>
      </c>
      <c r="DQ68" s="16">
        <v>66</v>
      </c>
      <c r="DR68" s="16">
        <f t="shared" si="145"/>
        <v>38.700000000000003</v>
      </c>
      <c r="DS68" s="16">
        <f t="shared" si="146"/>
        <v>1.4989898551734036</v>
      </c>
      <c r="DT68" s="16">
        <f t="shared" si="147"/>
        <v>58.1</v>
      </c>
      <c r="DU68" s="16">
        <f t="shared" si="148"/>
        <v>41.9</v>
      </c>
      <c r="DV68" s="16">
        <f t="shared" si="149"/>
        <v>37.200000000000003</v>
      </c>
      <c r="DX68" s="197">
        <f t="shared" si="34"/>
        <v>0.99281746031745988</v>
      </c>
      <c r="DY68" s="197">
        <f t="shared" si="35"/>
        <v>0.93702399999999997</v>
      </c>
      <c r="DZ68" s="222">
        <f t="shared" si="36"/>
        <v>4.7719361702127623</v>
      </c>
      <c r="EA68" s="192">
        <f t="shared" si="37"/>
        <v>1.9370240000000001</v>
      </c>
      <c r="EB68" s="197">
        <f t="shared" si="38"/>
        <v>8.6914491525423525</v>
      </c>
      <c r="EC68" s="192">
        <f t="shared" si="39"/>
        <v>3.9370240000000001</v>
      </c>
      <c r="ED68" s="197" t="e">
        <f t="shared" si="143"/>
        <v>#N/A</v>
      </c>
      <c r="EE68" s="192">
        <f t="shared" si="144"/>
        <v>5.9370240000000001</v>
      </c>
      <c r="EF68" s="197" t="e">
        <f t="shared" si="142"/>
        <v>#N/A</v>
      </c>
      <c r="EG68" s="197">
        <f t="shared" si="141"/>
        <v>3.9370240000000001</v>
      </c>
      <c r="EH68" s="222" t="e">
        <f t="shared" si="140"/>
        <v>#N/A</v>
      </c>
      <c r="EI68" s="192">
        <f t="shared" si="139"/>
        <v>6.9370240000000001</v>
      </c>
    </row>
    <row r="69" spans="5:139" ht="11.25" customHeight="1">
      <c r="E69" s="466">
        <v>68</v>
      </c>
      <c r="F69" s="474"/>
      <c r="G69" s="471"/>
      <c r="H69" s="321"/>
      <c r="I69" s="326"/>
      <c r="J69" s="30"/>
      <c r="BI69" s="621">
        <v>61</v>
      </c>
      <c r="BJ69" s="622"/>
      <c r="BK69" s="623"/>
      <c r="BL69" s="1109"/>
      <c r="BM69" s="1109"/>
      <c r="BN69" s="24"/>
      <c r="BP69" s="621">
        <v>61</v>
      </c>
      <c r="BQ69" s="622"/>
      <c r="BR69" s="623"/>
      <c r="BS69" s="1109"/>
      <c r="BT69" s="1109"/>
      <c r="BU69" s="24"/>
      <c r="BW69" s="621">
        <v>61</v>
      </c>
      <c r="BX69" s="622">
        <v>5.2</v>
      </c>
      <c r="BY69" s="623"/>
      <c r="BZ69" s="1109"/>
      <c r="CA69" s="1109"/>
      <c r="CB69" s="24"/>
      <c r="CT69" s="16" t="e">
        <f t="shared" ref="CT69:CT132" si="154">IF($CV$1&gt;CX69,CW69,"")</f>
        <v>#N/A</v>
      </c>
      <c r="CU69" s="197" t="e">
        <f t="shared" ref="CU69:CU132" si="155">IF($CV$1&gt;CX69,CY69,NA())</f>
        <v>#N/A</v>
      </c>
      <c r="CV69" s="197" t="e">
        <f t="shared" ref="CV69:CV132" si="156">IF($CV$1&gt;CX69,CZ69,NA())</f>
        <v>#N/A</v>
      </c>
      <c r="CW69" s="197">
        <v>66</v>
      </c>
      <c r="CX69" s="197" t="str">
        <f t="shared" si="150"/>
        <v/>
      </c>
      <c r="CY69" s="197" t="e">
        <f t="shared" si="151"/>
        <v>#N/A</v>
      </c>
      <c r="CZ69" s="197" t="e">
        <f t="shared" si="152"/>
        <v>#N/A</v>
      </c>
      <c r="DA69" s="197" t="str">
        <f t="shared" ref="DA69:DA132" si="157">IF(ISNUMBER(CX69),IF($Y$14,DC69*yinc,0)+yinc/2,"")</f>
        <v/>
      </c>
      <c r="DB69" s="16" t="e">
        <f t="shared" si="153"/>
        <v>#N/A</v>
      </c>
      <c r="DC69" s="16" t="e">
        <f>IF(ISNUMBER(CX69),COUNTIF($DB$4:DB69,DB69)-1,NA())</f>
        <v>#N/A</v>
      </c>
      <c r="DK69" s="16">
        <v>22</v>
      </c>
      <c r="DL69" s="16" t="e">
        <f>IF($X$3=0,NA(),IF(kbins&lt;DK69,NA(),$DI$25))</f>
        <v>#N/A</v>
      </c>
      <c r="DM69" s="16">
        <v>0</v>
      </c>
      <c r="DP69" s="16">
        <f t="shared" ref="DP69:DP132" si="158">MOD(DP68*10000013,1)</f>
        <v>0.39098843932151794</v>
      </c>
      <c r="DQ69" s="16">
        <v>67</v>
      </c>
      <c r="DR69" s="16">
        <f t="shared" si="145"/>
        <v>47.2</v>
      </c>
      <c r="DS69" s="16">
        <f t="shared" si="146"/>
        <v>2.0930473016656208</v>
      </c>
      <c r="DT69" s="16">
        <f t="shared" si="147"/>
        <v>54.5</v>
      </c>
      <c r="DU69" s="16">
        <f t="shared" si="148"/>
        <v>45.5</v>
      </c>
      <c r="DV69" s="16">
        <f t="shared" si="149"/>
        <v>46.2</v>
      </c>
      <c r="DX69" s="197">
        <f t="shared" si="34"/>
        <v>1.0063423280423276</v>
      </c>
      <c r="DY69" s="197">
        <f t="shared" si="35"/>
        <v>0.93702399999999997</v>
      </c>
      <c r="DZ69" s="222">
        <f t="shared" si="36"/>
        <v>4.7991297872340386</v>
      </c>
      <c r="EA69" s="192">
        <f t="shared" si="37"/>
        <v>1.9370240000000001</v>
      </c>
      <c r="EB69" s="197">
        <f t="shared" si="38"/>
        <v>8.7347745762711657</v>
      </c>
      <c r="EC69" s="192">
        <f t="shared" si="39"/>
        <v>3.9370240000000001</v>
      </c>
      <c r="ED69" s="197" t="e">
        <f t="shared" si="143"/>
        <v>#N/A</v>
      </c>
      <c r="EE69" s="192">
        <f t="shared" si="144"/>
        <v>5.9370240000000001</v>
      </c>
      <c r="EF69" s="197" t="e">
        <f t="shared" si="142"/>
        <v>#N/A</v>
      </c>
      <c r="EG69" s="197">
        <f t="shared" si="141"/>
        <v>3.9370240000000001</v>
      </c>
      <c r="EH69" s="222" t="e">
        <f t="shared" si="140"/>
        <v>#N/A</v>
      </c>
      <c r="EI69" s="192">
        <f t="shared" si="139"/>
        <v>6.9370240000000001</v>
      </c>
    </row>
    <row r="70" spans="5:139" ht="11.25" customHeight="1">
      <c r="E70" s="466">
        <v>69</v>
      </c>
      <c r="F70" s="474"/>
      <c r="G70" s="471"/>
      <c r="H70" s="321"/>
      <c r="I70" s="326"/>
      <c r="J70" s="30"/>
      <c r="BI70" s="621">
        <v>62</v>
      </c>
      <c r="BJ70" s="622"/>
      <c r="BK70" s="623"/>
      <c r="BL70" s="1109"/>
      <c r="BM70" s="1109"/>
      <c r="BN70" s="24"/>
      <c r="BP70" s="621">
        <v>62</v>
      </c>
      <c r="BQ70" s="622"/>
      <c r="BR70" s="623"/>
      <c r="BS70" s="1109"/>
      <c r="BT70" s="1109"/>
      <c r="BU70" s="24"/>
      <c r="BW70" s="621">
        <v>62</v>
      </c>
      <c r="BX70" s="622">
        <v>9.6999999999999993</v>
      </c>
      <c r="BY70" s="623"/>
      <c r="BZ70" s="1109"/>
      <c r="CA70" s="1109"/>
      <c r="CB70" s="24"/>
      <c r="CT70" s="16" t="e">
        <f t="shared" si="154"/>
        <v>#N/A</v>
      </c>
      <c r="CU70" s="197" t="e">
        <f t="shared" si="155"/>
        <v>#N/A</v>
      </c>
      <c r="CV70" s="197" t="e">
        <f t="shared" si="156"/>
        <v>#N/A</v>
      </c>
      <c r="CW70" s="197">
        <v>67</v>
      </c>
      <c r="CX70" s="197" t="str">
        <f t="shared" si="150"/>
        <v/>
      </c>
      <c r="CY70" s="197" t="e">
        <f t="shared" si="151"/>
        <v>#N/A</v>
      </c>
      <c r="CZ70" s="197" t="e">
        <f t="shared" si="152"/>
        <v>#N/A</v>
      </c>
      <c r="DA70" s="197" t="str">
        <f t="shared" si="157"/>
        <v/>
      </c>
      <c r="DB70" s="16" t="e">
        <f t="shared" si="153"/>
        <v>#N/A</v>
      </c>
      <c r="DC70" s="16" t="e">
        <f>IF(ISNUMBER(CX70),COUNTIF($DB$4:DB70,DB70)-1,NA())</f>
        <v>#N/A</v>
      </c>
      <c r="DK70" s="16">
        <v>23</v>
      </c>
      <c r="DL70" s="16" t="e">
        <f>IF($X$3=0,NA(),IF(kbins&lt;DK70,NA(),$DI$25))</f>
        <v>#N/A</v>
      </c>
      <c r="DM70" s="16">
        <f>$DJ$25</f>
        <v>0</v>
      </c>
      <c r="DP70" s="16">
        <f t="shared" si="158"/>
        <v>0.47606489062309265</v>
      </c>
      <c r="DQ70" s="16">
        <v>68</v>
      </c>
      <c r="DR70" s="16">
        <f t="shared" si="145"/>
        <v>49.4</v>
      </c>
      <c r="DS70" s="16">
        <f t="shared" si="146"/>
        <v>2.2447452013342795</v>
      </c>
      <c r="DT70" s="16">
        <f t="shared" si="147"/>
        <v>53.1</v>
      </c>
      <c r="DU70" s="16">
        <f t="shared" si="148"/>
        <v>46.9</v>
      </c>
      <c r="DV70" s="16">
        <f t="shared" si="149"/>
        <v>49.2</v>
      </c>
      <c r="DX70" s="197">
        <f t="shared" si="34"/>
        <v>1.0198671957671954</v>
      </c>
      <c r="DY70" s="197">
        <f t="shared" si="35"/>
        <v>0.93702399999999997</v>
      </c>
      <c r="DZ70" s="222">
        <f t="shared" si="36"/>
        <v>4.8263234042553149</v>
      </c>
      <c r="EA70" s="192">
        <f t="shared" si="37"/>
        <v>1.9370240000000001</v>
      </c>
      <c r="EB70" s="197">
        <f t="shared" si="38"/>
        <v>8.7780999999999789</v>
      </c>
      <c r="EC70" s="192">
        <f t="shared" si="39"/>
        <v>3.9370240000000001</v>
      </c>
      <c r="ED70" s="197" t="e">
        <f t="shared" si="143"/>
        <v>#N/A</v>
      </c>
      <c r="EE70" s="192">
        <f t="shared" si="144"/>
        <v>5.9370240000000001</v>
      </c>
      <c r="EF70" s="197" t="e">
        <f t="shared" si="142"/>
        <v>#N/A</v>
      </c>
      <c r="EG70" s="197">
        <f t="shared" si="141"/>
        <v>3.9370240000000001</v>
      </c>
      <c r="EH70" s="222" t="e">
        <f t="shared" si="140"/>
        <v>#N/A</v>
      </c>
      <c r="EI70" s="192">
        <f t="shared" si="139"/>
        <v>6.9370240000000001</v>
      </c>
    </row>
    <row r="71" spans="5:139" ht="11.25" customHeight="1">
      <c r="E71" s="466">
        <v>70</v>
      </c>
      <c r="F71" s="474"/>
      <c r="G71" s="471"/>
      <c r="H71" s="321"/>
      <c r="I71" s="326"/>
      <c r="J71" s="30"/>
      <c r="BI71" s="621">
        <v>63</v>
      </c>
      <c r="BJ71" s="622"/>
      <c r="BK71" s="623"/>
      <c r="BL71" s="1109"/>
      <c r="BM71" s="1109"/>
      <c r="BN71" s="24"/>
      <c r="BP71" s="621">
        <v>63</v>
      </c>
      <c r="BQ71" s="622"/>
      <c r="BR71" s="623"/>
      <c r="BS71" s="1109"/>
      <c r="BT71" s="1109"/>
      <c r="BU71" s="24"/>
      <c r="BW71" s="621">
        <v>63</v>
      </c>
      <c r="BX71" s="622">
        <v>5.2</v>
      </c>
      <c r="BY71" s="623"/>
      <c r="BZ71" s="1109"/>
      <c r="CA71" s="1109"/>
      <c r="CB71" s="24"/>
      <c r="CT71" s="16" t="e">
        <f t="shared" si="154"/>
        <v>#N/A</v>
      </c>
      <c r="CU71" s="197" t="e">
        <f t="shared" si="155"/>
        <v>#N/A</v>
      </c>
      <c r="CV71" s="197" t="e">
        <f t="shared" si="156"/>
        <v>#N/A</v>
      </c>
      <c r="CW71" s="197">
        <v>68</v>
      </c>
      <c r="CX71" s="197" t="str">
        <f t="shared" si="150"/>
        <v/>
      </c>
      <c r="CY71" s="197" t="e">
        <f t="shared" si="151"/>
        <v>#N/A</v>
      </c>
      <c r="CZ71" s="197" t="e">
        <f t="shared" si="152"/>
        <v>#N/A</v>
      </c>
      <c r="DA71" s="197" t="str">
        <f t="shared" si="157"/>
        <v/>
      </c>
      <c r="DB71" s="16" t="e">
        <f t="shared" si="153"/>
        <v>#N/A</v>
      </c>
      <c r="DC71" s="16" t="e">
        <f>IF(ISNUMBER(CX71),COUNTIF($DB$4:DB71,DB71)-1,NA())</f>
        <v>#N/A</v>
      </c>
      <c r="DK71" s="16">
        <v>23</v>
      </c>
      <c r="DL71" s="16" t="e">
        <f>IF($X$3=0,NA(),IF(kbins&lt;DK71,NA(),$DI$26))</f>
        <v>#N/A</v>
      </c>
      <c r="DM71" s="16">
        <f>$DJ$25</f>
        <v>0</v>
      </c>
      <c r="DP71" s="16">
        <f t="shared" si="158"/>
        <v>9.5074504613876343E-2</v>
      </c>
      <c r="DQ71" s="16">
        <v>69</v>
      </c>
      <c r="DR71" s="16">
        <f t="shared" si="145"/>
        <v>36.9</v>
      </c>
      <c r="DS71" s="16">
        <f t="shared" si="146"/>
        <v>1.3696710216451375</v>
      </c>
      <c r="DT71" s="16">
        <f t="shared" si="147"/>
        <v>58.6</v>
      </c>
      <c r="DU71" s="16">
        <f t="shared" si="148"/>
        <v>41.4</v>
      </c>
      <c r="DV71" s="16">
        <f t="shared" si="149"/>
        <v>36</v>
      </c>
      <c r="DX71" s="197">
        <f t="shared" si="34"/>
        <v>1.0333920634920633</v>
      </c>
      <c r="DY71" s="197">
        <f t="shared" si="35"/>
        <v>0.93702399999999997</v>
      </c>
      <c r="DZ71" s="222">
        <f t="shared" si="36"/>
        <v>4.8535170212765912</v>
      </c>
      <c r="EA71" s="192">
        <f t="shared" si="37"/>
        <v>1.9370240000000001</v>
      </c>
      <c r="EB71" s="23"/>
      <c r="EC71" s="24"/>
      <c r="ED71" s="197" t="e">
        <f t="shared" si="143"/>
        <v>#N/A</v>
      </c>
      <c r="EE71" s="192">
        <f t="shared" si="144"/>
        <v>5.9370240000000001</v>
      </c>
      <c r="EF71" s="197" t="e">
        <f t="shared" si="142"/>
        <v>#N/A</v>
      </c>
      <c r="EG71" s="197">
        <f t="shared" si="141"/>
        <v>3.9370240000000001</v>
      </c>
      <c r="EH71" s="222" t="e">
        <f t="shared" si="140"/>
        <v>#N/A</v>
      </c>
      <c r="EI71" s="192">
        <f t="shared" si="139"/>
        <v>6.9370240000000001</v>
      </c>
    </row>
    <row r="72" spans="5:139" ht="11.25" customHeight="1">
      <c r="E72" s="466">
        <v>71</v>
      </c>
      <c r="F72" s="474"/>
      <c r="G72" s="471"/>
      <c r="H72" s="321"/>
      <c r="I72" s="326"/>
      <c r="J72" s="30"/>
      <c r="BI72" s="621">
        <v>64</v>
      </c>
      <c r="BJ72" s="622"/>
      <c r="BK72" s="623"/>
      <c r="BL72" s="1109"/>
      <c r="BM72" s="1109"/>
      <c r="BN72" s="24"/>
      <c r="BP72" s="621">
        <v>64</v>
      </c>
      <c r="BQ72" s="622"/>
      <c r="BR72" s="623"/>
      <c r="BS72" s="1109"/>
      <c r="BT72" s="1109"/>
      <c r="BU72" s="24"/>
      <c r="BW72" s="621">
        <v>64</v>
      </c>
      <c r="BX72" s="622">
        <v>2.4</v>
      </c>
      <c r="BY72" s="623"/>
      <c r="BZ72" s="1109"/>
      <c r="CA72" s="1109"/>
      <c r="CB72" s="24"/>
      <c r="CT72" s="16" t="e">
        <f t="shared" si="154"/>
        <v>#N/A</v>
      </c>
      <c r="CU72" s="197" t="e">
        <f t="shared" si="155"/>
        <v>#N/A</v>
      </c>
      <c r="CV72" s="197" t="e">
        <f t="shared" si="156"/>
        <v>#N/A</v>
      </c>
      <c r="CW72" s="197">
        <v>69</v>
      </c>
      <c r="CX72" s="197" t="str">
        <f t="shared" si="150"/>
        <v/>
      </c>
      <c r="CY72" s="197" t="e">
        <f t="shared" si="151"/>
        <v>#N/A</v>
      </c>
      <c r="CZ72" s="197" t="e">
        <f t="shared" si="152"/>
        <v>#N/A</v>
      </c>
      <c r="DA72" s="197" t="str">
        <f t="shared" si="157"/>
        <v/>
      </c>
      <c r="DB72" s="16" t="e">
        <f t="shared" si="153"/>
        <v>#N/A</v>
      </c>
      <c r="DC72" s="16" t="e">
        <f>IF(ISNUMBER(CX72),COUNTIF($DB$4:DB72,DB72)-1,NA())</f>
        <v>#N/A</v>
      </c>
      <c r="DK72" s="16">
        <v>23</v>
      </c>
      <c r="DL72" s="16" t="e">
        <f>IF($X$3=0,NA(),IF(kbins&lt;DK72,NA(),$DI$26))</f>
        <v>#N/A</v>
      </c>
      <c r="DM72" s="16">
        <v>0</v>
      </c>
      <c r="DP72" s="16">
        <f t="shared" si="158"/>
        <v>0.28210732340812683</v>
      </c>
      <c r="DQ72" s="16">
        <v>70</v>
      </c>
      <c r="DR72" s="16">
        <f t="shared" si="145"/>
        <v>44.2</v>
      </c>
      <c r="DS72" s="16">
        <f t="shared" si="146"/>
        <v>1.8831530495932118</v>
      </c>
      <c r="DT72" s="16">
        <f t="shared" si="147"/>
        <v>56</v>
      </c>
      <c r="DU72" s="16">
        <f t="shared" si="148"/>
        <v>44</v>
      </c>
      <c r="DV72" s="16">
        <f t="shared" si="149"/>
        <v>42.5</v>
      </c>
      <c r="DX72" s="197">
        <f t="shared" si="34"/>
        <v>1.0469169312169311</v>
      </c>
      <c r="DY72" s="197">
        <f t="shared" si="35"/>
        <v>0.93702399999999997</v>
      </c>
      <c r="DZ72" s="222">
        <f t="shared" si="36"/>
        <v>4.8807106382978676</v>
      </c>
      <c r="EA72" s="192">
        <f t="shared" si="37"/>
        <v>1.9370240000000001</v>
      </c>
      <c r="EB72" s="197" t="e">
        <f>IF(ISNUMBER(EC$4),EB11,NA())</f>
        <v>#N/A</v>
      </c>
      <c r="EC72" s="192">
        <f>EC11</f>
        <v>3.9370240000000001</v>
      </c>
      <c r="ED72" s="197" t="e">
        <f t="shared" si="143"/>
        <v>#N/A</v>
      </c>
      <c r="EE72" s="192">
        <f t="shared" si="144"/>
        <v>5.9370240000000001</v>
      </c>
      <c r="EF72" s="197" t="e">
        <f t="shared" si="142"/>
        <v>#N/A</v>
      </c>
      <c r="EG72" s="197">
        <f t="shared" si="141"/>
        <v>3.9370240000000001</v>
      </c>
    </row>
    <row r="73" spans="5:139" ht="11.25" customHeight="1">
      <c r="E73" s="466">
        <v>72</v>
      </c>
      <c r="F73" s="474"/>
      <c r="G73" s="471"/>
      <c r="H73" s="321"/>
      <c r="I73" s="326"/>
      <c r="J73" s="30"/>
      <c r="BI73" s="621">
        <v>65</v>
      </c>
      <c r="BJ73" s="624"/>
      <c r="BK73" s="623"/>
      <c r="BL73" s="1109"/>
      <c r="BM73" s="1109"/>
      <c r="BN73" s="24"/>
      <c r="BP73" s="621">
        <v>65</v>
      </c>
      <c r="BQ73" s="624"/>
      <c r="BR73" s="623"/>
      <c r="BS73" s="1109"/>
      <c r="BT73" s="1109"/>
      <c r="BU73" s="24"/>
      <c r="BW73" s="621">
        <v>65</v>
      </c>
      <c r="BX73" s="624">
        <v>7.1</v>
      </c>
      <c r="BY73" s="623"/>
      <c r="BZ73" s="1109"/>
      <c r="CA73" s="1109"/>
      <c r="CB73" s="24"/>
      <c r="CT73" s="16" t="e">
        <f t="shared" si="154"/>
        <v>#N/A</v>
      </c>
      <c r="CU73" s="197" t="e">
        <f t="shared" si="155"/>
        <v>#N/A</v>
      </c>
      <c r="CV73" s="197" t="e">
        <f t="shared" si="156"/>
        <v>#N/A</v>
      </c>
      <c r="CW73" s="197">
        <v>70</v>
      </c>
      <c r="CX73" s="197" t="str">
        <f t="shared" si="150"/>
        <v/>
      </c>
      <c r="CY73" s="197" t="e">
        <f t="shared" si="151"/>
        <v>#N/A</v>
      </c>
      <c r="CZ73" s="197" t="e">
        <f t="shared" si="152"/>
        <v>#N/A</v>
      </c>
      <c r="DA73" s="197" t="str">
        <f t="shared" si="157"/>
        <v/>
      </c>
      <c r="DB73" s="16" t="e">
        <f t="shared" si="153"/>
        <v>#N/A</v>
      </c>
      <c r="DC73" s="16" t="e">
        <f>IF(ISNUMBER(CX73),COUNTIF($DB$4:DB73,DB73)-1,NA())</f>
        <v>#N/A</v>
      </c>
      <c r="DK73" s="16">
        <v>24</v>
      </c>
      <c r="DL73" s="16" t="e">
        <f>IF($X$3=0,NA(),IF(kbins&lt;DK73,NA(),$DI$26))</f>
        <v>#N/A</v>
      </c>
      <c r="DM73" s="16">
        <f>$DJ$26</f>
        <v>0</v>
      </c>
      <c r="DP73" s="16">
        <f t="shared" si="158"/>
        <v>0.90147647261619568</v>
      </c>
      <c r="DQ73" s="16">
        <v>71</v>
      </c>
      <c r="DR73" s="16">
        <f t="shared" si="145"/>
        <v>62.9</v>
      </c>
      <c r="DS73" s="16">
        <f t="shared" si="146"/>
        <v>3.1897751886991514</v>
      </c>
      <c r="DT73" s="16">
        <f t="shared" si="147"/>
        <v>38.299999999999997</v>
      </c>
      <c r="DU73" s="16">
        <f t="shared" si="148"/>
        <v>61.7</v>
      </c>
      <c r="DV73" s="16">
        <f t="shared" si="149"/>
        <v>63.9</v>
      </c>
      <c r="DX73" s="197">
        <f t="shared" si="34"/>
        <v>1.0604417989417989</v>
      </c>
      <c r="DY73" s="197">
        <f t="shared" si="35"/>
        <v>0.93702399999999997</v>
      </c>
      <c r="DZ73" s="222">
        <f t="shared" si="36"/>
        <v>4.9079042553191439</v>
      </c>
      <c r="EA73" s="192">
        <f t="shared" si="37"/>
        <v>1.9370240000000001</v>
      </c>
      <c r="EB73" s="197" t="e">
        <f>IF(ISNUMBER(EC$4),EB12,NA())</f>
        <v>#N/A</v>
      </c>
      <c r="EC73" s="192">
        <f>EC72</f>
        <v>3.9370240000000001</v>
      </c>
      <c r="ED73" s="197" t="e">
        <f t="shared" si="143"/>
        <v>#N/A</v>
      </c>
      <c r="EE73" s="192">
        <f t="shared" si="144"/>
        <v>5.9370240000000001</v>
      </c>
      <c r="EF73" s="197" t="e">
        <f t="shared" si="142"/>
        <v>#N/A</v>
      </c>
      <c r="EG73" s="197">
        <f t="shared" si="141"/>
        <v>3.9370240000000001</v>
      </c>
    </row>
    <row r="74" spans="5:139" ht="11.25" customHeight="1">
      <c r="E74" s="466">
        <v>73</v>
      </c>
      <c r="F74" s="474"/>
      <c r="G74" s="471"/>
      <c r="H74" s="321"/>
      <c r="I74" s="326"/>
      <c r="J74" s="30"/>
      <c r="BI74" s="621">
        <v>66</v>
      </c>
      <c r="BJ74" s="624"/>
      <c r="BK74" s="623"/>
      <c r="BL74" s="1109"/>
      <c r="BM74" s="1109"/>
      <c r="BN74" s="24"/>
      <c r="BP74" s="621">
        <v>66</v>
      </c>
      <c r="BQ74" s="624"/>
      <c r="BR74" s="623"/>
      <c r="BS74" s="1109"/>
      <c r="BT74" s="1109"/>
      <c r="BU74" s="24"/>
      <c r="BW74" s="621">
        <v>66</v>
      </c>
      <c r="BX74" s="624">
        <v>8.6999999999999993</v>
      </c>
      <c r="BY74" s="623"/>
      <c r="BZ74" s="1109"/>
      <c r="CA74" s="1109"/>
      <c r="CB74" s="24"/>
      <c r="CT74" s="16" t="e">
        <f t="shared" si="154"/>
        <v>#N/A</v>
      </c>
      <c r="CU74" s="197" t="e">
        <f t="shared" si="155"/>
        <v>#N/A</v>
      </c>
      <c r="CV74" s="197" t="e">
        <f t="shared" si="156"/>
        <v>#N/A</v>
      </c>
      <c r="CW74" s="197">
        <v>71</v>
      </c>
      <c r="CX74" s="197" t="str">
        <f t="shared" si="150"/>
        <v/>
      </c>
      <c r="CY74" s="197" t="e">
        <f t="shared" si="151"/>
        <v>#N/A</v>
      </c>
      <c r="CZ74" s="197" t="e">
        <f t="shared" si="152"/>
        <v>#N/A</v>
      </c>
      <c r="DA74" s="197" t="str">
        <f t="shared" si="157"/>
        <v/>
      </c>
      <c r="DB74" s="16" t="e">
        <f t="shared" si="153"/>
        <v>#N/A</v>
      </c>
      <c r="DC74" s="16" t="e">
        <f>IF(ISNUMBER(CX74),COUNTIF($DB$4:DB74,DB74)-1,NA())</f>
        <v>#N/A</v>
      </c>
      <c r="DK74" s="16">
        <v>24</v>
      </c>
      <c r="DL74" s="16" t="e">
        <f>IF($X$3=0,NA(),IF(kbins&lt;DK74,NA(),$DI$27))</f>
        <v>#N/A</v>
      </c>
      <c r="DM74" s="16">
        <f>$DJ$26</f>
        <v>0</v>
      </c>
      <c r="DP74" s="16">
        <f t="shared" si="158"/>
        <v>0.4453561007976532</v>
      </c>
      <c r="DQ74" s="16">
        <v>72</v>
      </c>
      <c r="DR74" s="16">
        <f t="shared" si="145"/>
        <v>48.6</v>
      </c>
      <c r="DS74" s="16">
        <f t="shared" si="146"/>
        <v>2.1905857723406816</v>
      </c>
      <c r="DT74" s="16">
        <f t="shared" si="147"/>
        <v>53.6</v>
      </c>
      <c r="DU74" s="16">
        <f t="shared" si="148"/>
        <v>46.4</v>
      </c>
      <c r="DV74" s="16">
        <f t="shared" si="149"/>
        <v>48.1</v>
      </c>
      <c r="DX74" s="197">
        <f t="shared" si="34"/>
        <v>1.0739666666666667</v>
      </c>
      <c r="DY74" s="197">
        <f t="shared" si="35"/>
        <v>0.93702399999999997</v>
      </c>
      <c r="DZ74" s="222">
        <f t="shared" si="36"/>
        <v>4.9350978723404202</v>
      </c>
      <c r="EA74" s="192">
        <f t="shared" si="37"/>
        <v>1.9370240000000001</v>
      </c>
      <c r="EB74" s="197" t="e">
        <f t="shared" ref="EB74:EB131" si="159">IF(ISNUMBER(EC$4),EB13,NA())</f>
        <v>#N/A</v>
      </c>
      <c r="EC74" s="192">
        <f t="shared" ref="EC74:EC131" si="160">EC73</f>
        <v>3.9370240000000001</v>
      </c>
      <c r="ED74" s="197" t="e">
        <f t="shared" si="143"/>
        <v>#N/A</v>
      </c>
      <c r="EE74" s="192">
        <f t="shared" si="144"/>
        <v>5.9370240000000001</v>
      </c>
      <c r="EF74" s="197" t="e">
        <f t="shared" si="142"/>
        <v>#N/A</v>
      </c>
      <c r="EG74" s="197">
        <f t="shared" si="141"/>
        <v>3.9370240000000001</v>
      </c>
    </row>
    <row r="75" spans="5:139" ht="11.25" customHeight="1">
      <c r="E75" s="466">
        <v>74</v>
      </c>
      <c r="F75" s="474"/>
      <c r="G75" s="471"/>
      <c r="H75" s="321"/>
      <c r="I75" s="326"/>
      <c r="J75" s="30"/>
      <c r="BI75" s="621">
        <v>67</v>
      </c>
      <c r="BJ75" s="624"/>
      <c r="BK75" s="623"/>
      <c r="BL75" s="1109"/>
      <c r="BM75" s="1109"/>
      <c r="BN75" s="24"/>
      <c r="BP75" s="621">
        <v>67</v>
      </c>
      <c r="BQ75" s="624"/>
      <c r="BR75" s="623"/>
      <c r="BS75" s="1109"/>
      <c r="BT75" s="1109"/>
      <c r="BU75" s="24"/>
      <c r="BW75" s="621">
        <v>67</v>
      </c>
      <c r="BX75" s="624">
        <v>8</v>
      </c>
      <c r="BY75" s="623"/>
      <c r="BZ75" s="1109"/>
      <c r="CA75" s="1109"/>
      <c r="CB75" s="24"/>
      <c r="CT75" s="16" t="e">
        <f t="shared" si="154"/>
        <v>#N/A</v>
      </c>
      <c r="CU75" s="197" t="e">
        <f t="shared" si="155"/>
        <v>#N/A</v>
      </c>
      <c r="CV75" s="197" t="e">
        <f t="shared" si="156"/>
        <v>#N/A</v>
      </c>
      <c r="CW75" s="197">
        <v>72</v>
      </c>
      <c r="CX75" s="197" t="str">
        <f t="shared" si="150"/>
        <v/>
      </c>
      <c r="CY75" s="197" t="e">
        <f t="shared" si="151"/>
        <v>#N/A</v>
      </c>
      <c r="CZ75" s="197" t="e">
        <f t="shared" si="152"/>
        <v>#N/A</v>
      </c>
      <c r="DA75" s="197" t="str">
        <f t="shared" si="157"/>
        <v/>
      </c>
      <c r="DB75" s="16" t="e">
        <f t="shared" si="153"/>
        <v>#N/A</v>
      </c>
      <c r="DC75" s="16" t="e">
        <f>IF(ISNUMBER(CX75),COUNTIF($DB$4:DB75,DB75)-1,NA())</f>
        <v>#N/A</v>
      </c>
      <c r="DK75" s="16">
        <v>24</v>
      </c>
      <c r="DL75" s="16" t="e">
        <f>IF($X$3=0,NA(),IF(kbins&lt;DK75,NA(),$DI$27))</f>
        <v>#N/A</v>
      </c>
      <c r="DM75" s="16">
        <v>0</v>
      </c>
      <c r="DP75" s="16">
        <f t="shared" si="158"/>
        <v>0.79760584235191345</v>
      </c>
      <c r="DQ75" s="16">
        <v>73</v>
      </c>
      <c r="DR75" s="16">
        <f t="shared" si="145"/>
        <v>58.3</v>
      </c>
      <c r="DS75" s="16">
        <f t="shared" si="146"/>
        <v>2.8699379466734856</v>
      </c>
      <c r="DT75" s="16">
        <f t="shared" si="147"/>
        <v>44.9</v>
      </c>
      <c r="DU75" s="16">
        <f t="shared" si="148"/>
        <v>55.1</v>
      </c>
      <c r="DV75" s="16">
        <f t="shared" si="149"/>
        <v>60.3</v>
      </c>
      <c r="DX75" s="197">
        <f t="shared" si="34"/>
        <v>1.0874915343915346</v>
      </c>
      <c r="DY75" s="197">
        <f t="shared" si="35"/>
        <v>0.93702399999999997</v>
      </c>
      <c r="DZ75" s="222">
        <f t="shared" si="36"/>
        <v>4.9622914893616965</v>
      </c>
      <c r="EA75" s="192">
        <f t="shared" si="37"/>
        <v>1.9370240000000001</v>
      </c>
      <c r="EB75" s="197" t="e">
        <f t="shared" si="159"/>
        <v>#N/A</v>
      </c>
      <c r="EC75" s="192">
        <f t="shared" si="160"/>
        <v>3.9370240000000001</v>
      </c>
      <c r="ED75" s="197" t="e">
        <f t="shared" si="143"/>
        <v>#N/A</v>
      </c>
      <c r="EE75" s="192">
        <f t="shared" si="144"/>
        <v>5.9370240000000001</v>
      </c>
      <c r="EF75" s="197" t="e">
        <f t="shared" si="142"/>
        <v>#N/A</v>
      </c>
      <c r="EG75" s="197">
        <f t="shared" si="141"/>
        <v>3.9370240000000001</v>
      </c>
    </row>
    <row r="76" spans="5:139" ht="11.25" customHeight="1">
      <c r="E76" s="466">
        <v>75</v>
      </c>
      <c r="F76" s="474"/>
      <c r="G76" s="471"/>
      <c r="H76" s="321"/>
      <c r="I76" s="326"/>
      <c r="J76" s="30"/>
      <c r="BI76" s="621">
        <v>68</v>
      </c>
      <c r="BJ76" s="624"/>
      <c r="BK76" s="623"/>
      <c r="BL76" s="1109"/>
      <c r="BM76" s="1109"/>
      <c r="BN76" s="24"/>
      <c r="BP76" s="621">
        <v>68</v>
      </c>
      <c r="BQ76" s="624"/>
      <c r="BR76" s="623"/>
      <c r="BS76" s="1109"/>
      <c r="BT76" s="1109"/>
      <c r="BU76" s="24"/>
      <c r="BW76" s="621">
        <v>68</v>
      </c>
      <c r="BX76" s="624">
        <v>11.3</v>
      </c>
      <c r="BY76" s="623"/>
      <c r="BZ76" s="1109"/>
      <c r="CA76" s="1109"/>
      <c r="CB76" s="24"/>
      <c r="CT76" s="16" t="e">
        <f t="shared" si="154"/>
        <v>#N/A</v>
      </c>
      <c r="CU76" s="197" t="e">
        <f t="shared" si="155"/>
        <v>#N/A</v>
      </c>
      <c r="CV76" s="197" t="e">
        <f t="shared" si="156"/>
        <v>#N/A</v>
      </c>
      <c r="CW76" s="197">
        <v>73</v>
      </c>
      <c r="CX76" s="197" t="str">
        <f t="shared" si="150"/>
        <v/>
      </c>
      <c r="CY76" s="197" t="e">
        <f t="shared" si="151"/>
        <v>#N/A</v>
      </c>
      <c r="CZ76" s="197" t="e">
        <f t="shared" si="152"/>
        <v>#N/A</v>
      </c>
      <c r="DA76" s="197" t="str">
        <f t="shared" si="157"/>
        <v/>
      </c>
      <c r="DB76" s="16" t="e">
        <f t="shared" si="153"/>
        <v>#N/A</v>
      </c>
      <c r="DC76" s="16" t="e">
        <f>IF(ISNUMBER(CX76),COUNTIF($DB$4:DB76,DB76)-1,NA())</f>
        <v>#N/A</v>
      </c>
      <c r="DK76" s="16">
        <v>25</v>
      </c>
      <c r="DL76" s="16" t="e">
        <f>IF($X$3=0,NA(),IF(kbins&lt;DK76,NA(),$DI$27))</f>
        <v>#N/A</v>
      </c>
      <c r="DM76" s="16">
        <f>$DJ$27</f>
        <v>0</v>
      </c>
      <c r="DP76" s="16">
        <f t="shared" si="158"/>
        <v>0.79239508509635925</v>
      </c>
      <c r="DQ76" s="16">
        <v>74</v>
      </c>
      <c r="DR76" s="16">
        <f t="shared" si="145"/>
        <v>58.1</v>
      </c>
      <c r="DS76" s="16">
        <f t="shared" si="146"/>
        <v>2.8570997669093425</v>
      </c>
      <c r="DT76" s="16">
        <f t="shared" si="147"/>
        <v>45.2</v>
      </c>
      <c r="DU76" s="16">
        <f t="shared" si="148"/>
        <v>54.8</v>
      </c>
      <c r="DV76" s="16">
        <f t="shared" si="149"/>
        <v>60.1</v>
      </c>
      <c r="DX76" s="197">
        <f t="shared" si="34"/>
        <v>1.1010164021164024</v>
      </c>
      <c r="DY76" s="197">
        <f t="shared" si="35"/>
        <v>0.93702399999999997</v>
      </c>
      <c r="DZ76" s="222">
        <f t="shared" si="36"/>
        <v>4.9894851063829728</v>
      </c>
      <c r="EA76" s="192">
        <f t="shared" si="37"/>
        <v>1.9370240000000001</v>
      </c>
      <c r="EB76" s="197" t="e">
        <f t="shared" si="159"/>
        <v>#N/A</v>
      </c>
      <c r="EC76" s="192">
        <f t="shared" si="160"/>
        <v>3.9370240000000001</v>
      </c>
      <c r="ED76" s="197" t="e">
        <f t="shared" si="143"/>
        <v>#N/A</v>
      </c>
      <c r="EE76" s="192">
        <f t="shared" si="144"/>
        <v>5.9370240000000001</v>
      </c>
      <c r="EF76" s="197" t="e">
        <f t="shared" si="142"/>
        <v>#N/A</v>
      </c>
      <c r="EG76" s="197">
        <f t="shared" si="141"/>
        <v>3.9370240000000001</v>
      </c>
    </row>
    <row r="77" spans="5:139" ht="11.25" customHeight="1">
      <c r="E77" s="466">
        <v>76</v>
      </c>
      <c r="F77" s="474"/>
      <c r="G77" s="471"/>
      <c r="H77" s="321"/>
      <c r="I77" s="326"/>
      <c r="J77" s="30"/>
      <c r="BI77" s="621">
        <v>69</v>
      </c>
      <c r="BJ77" s="624"/>
      <c r="BK77" s="623"/>
      <c r="BL77" s="1109"/>
      <c r="BM77" s="1109"/>
      <c r="BN77" s="24"/>
      <c r="BP77" s="621">
        <v>69</v>
      </c>
      <c r="BQ77" s="624"/>
      <c r="BR77" s="623"/>
      <c r="BS77" s="1109"/>
      <c r="BT77" s="1109"/>
      <c r="BU77" s="24"/>
      <c r="BW77" s="621">
        <v>69</v>
      </c>
      <c r="BX77" s="624">
        <v>8.5</v>
      </c>
      <c r="BY77" s="623"/>
      <c r="BZ77" s="1109"/>
      <c r="CA77" s="1109"/>
      <c r="CB77" s="24"/>
      <c r="CT77" s="16" t="e">
        <f t="shared" si="154"/>
        <v>#N/A</v>
      </c>
      <c r="CU77" s="197" t="e">
        <f t="shared" si="155"/>
        <v>#N/A</v>
      </c>
      <c r="CV77" s="197" t="e">
        <f t="shared" si="156"/>
        <v>#N/A</v>
      </c>
      <c r="CW77" s="197">
        <v>74</v>
      </c>
      <c r="CX77" s="197" t="str">
        <f t="shared" si="150"/>
        <v/>
      </c>
      <c r="CY77" s="197" t="e">
        <f t="shared" si="151"/>
        <v>#N/A</v>
      </c>
      <c r="CZ77" s="197" t="e">
        <f t="shared" si="152"/>
        <v>#N/A</v>
      </c>
      <c r="DA77" s="197" t="str">
        <f t="shared" si="157"/>
        <v/>
      </c>
      <c r="DB77" s="16" t="e">
        <f t="shared" si="153"/>
        <v>#N/A</v>
      </c>
      <c r="DC77" s="16" t="e">
        <f>IF(ISNUMBER(CX77),COUNTIF($DB$4:DB77,DB77)-1,NA())</f>
        <v>#N/A</v>
      </c>
      <c r="DK77" s="16">
        <v>25</v>
      </c>
      <c r="DL77" s="16" t="e">
        <f>IF($X$3=0,NA(),IF(kbins&lt;DK77,NA(),$DI$28))</f>
        <v>#N/A</v>
      </c>
      <c r="DM77" s="16">
        <f>$DJ$27</f>
        <v>0</v>
      </c>
      <c r="DP77" s="16">
        <f t="shared" si="158"/>
        <v>0.15209969878196716</v>
      </c>
      <c r="DQ77" s="16">
        <v>75</v>
      </c>
      <c r="DR77" s="16">
        <f t="shared" si="145"/>
        <v>39.700000000000003</v>
      </c>
      <c r="DS77" s="16">
        <f t="shared" si="146"/>
        <v>1.5675392107375667</v>
      </c>
      <c r="DT77" s="16">
        <f t="shared" si="147"/>
        <v>57.8</v>
      </c>
      <c r="DU77" s="16">
        <f t="shared" si="148"/>
        <v>42.2</v>
      </c>
      <c r="DV77" s="16">
        <f t="shared" si="149"/>
        <v>37.9</v>
      </c>
      <c r="DX77" s="197">
        <f t="shared" ref="DX77:DX140" si="161">IF(DY$5=0,NA(),DX76+DY$9)</f>
        <v>1.1145412698412702</v>
      </c>
      <c r="DY77" s="197">
        <f t="shared" ref="DY77:DY140" si="162">DY76</f>
        <v>0.93702399999999997</v>
      </c>
      <c r="DZ77" s="222">
        <f t="shared" ref="DZ77:DZ95" si="163">IF(EA$5=0,NA(),DZ76+EA$9)</f>
        <v>5.0166787234042491</v>
      </c>
      <c r="EA77" s="192">
        <f t="shared" ref="EA77:EA95" si="164">EA76</f>
        <v>1.9370240000000001</v>
      </c>
      <c r="EB77" s="197" t="e">
        <f t="shared" si="159"/>
        <v>#N/A</v>
      </c>
      <c r="EC77" s="192">
        <f t="shared" si="160"/>
        <v>3.9370240000000001</v>
      </c>
      <c r="ED77" s="197" t="e">
        <f t="shared" si="143"/>
        <v>#N/A</v>
      </c>
      <c r="EE77" s="192">
        <f t="shared" si="144"/>
        <v>5.9370240000000001</v>
      </c>
      <c r="EF77" s="197" t="e">
        <f t="shared" si="142"/>
        <v>#N/A</v>
      </c>
      <c r="EG77" s="197">
        <f t="shared" si="141"/>
        <v>3.9370240000000001</v>
      </c>
    </row>
    <row r="78" spans="5:139" ht="11.25" customHeight="1">
      <c r="E78" s="466">
        <v>77</v>
      </c>
      <c r="F78" s="474"/>
      <c r="G78" s="471"/>
      <c r="H78" s="321"/>
      <c r="I78" s="326"/>
      <c r="J78" s="30"/>
      <c r="BI78" s="621">
        <v>70</v>
      </c>
      <c r="BJ78" s="624"/>
      <c r="BK78" s="623"/>
      <c r="BL78" s="1109"/>
      <c r="BM78" s="1109"/>
      <c r="BN78" s="24"/>
      <c r="BP78" s="621">
        <v>70</v>
      </c>
      <c r="BQ78" s="624"/>
      <c r="BR78" s="623"/>
      <c r="BS78" s="1109"/>
      <c r="BT78" s="1109"/>
      <c r="BU78" s="24"/>
      <c r="BW78" s="621">
        <v>70</v>
      </c>
      <c r="BX78" s="624">
        <v>9.1</v>
      </c>
      <c r="BY78" s="623"/>
      <c r="BZ78" s="1109"/>
      <c r="CA78" s="1109"/>
      <c r="CB78" s="24"/>
      <c r="CT78" s="16" t="e">
        <f t="shared" si="154"/>
        <v>#N/A</v>
      </c>
      <c r="CU78" s="197" t="e">
        <f t="shared" si="155"/>
        <v>#N/A</v>
      </c>
      <c r="CV78" s="197" t="e">
        <f t="shared" si="156"/>
        <v>#N/A</v>
      </c>
      <c r="CW78" s="197">
        <v>75</v>
      </c>
      <c r="CX78" s="197" t="str">
        <f t="shared" si="150"/>
        <v/>
      </c>
      <c r="CY78" s="197" t="e">
        <f t="shared" si="151"/>
        <v>#N/A</v>
      </c>
      <c r="CZ78" s="197" t="e">
        <f t="shared" si="152"/>
        <v>#N/A</v>
      </c>
      <c r="DA78" s="197" t="str">
        <f t="shared" si="157"/>
        <v/>
      </c>
      <c r="DB78" s="16" t="e">
        <f t="shared" si="153"/>
        <v>#N/A</v>
      </c>
      <c r="DC78" s="16" t="e">
        <f>IF(ISNUMBER(CX78),COUNTIF($DB$4:DB78,DB78)-1,NA())</f>
        <v>#N/A</v>
      </c>
      <c r="DK78" s="16">
        <v>25</v>
      </c>
      <c r="DL78" s="16" t="e">
        <f>IF($X$3=0,NA(),IF(kbins&lt;DK78,NA(),$DI$28))</f>
        <v>#N/A</v>
      </c>
      <c r="DM78" s="16">
        <v>0</v>
      </c>
      <c r="DP78" s="16">
        <f t="shared" si="158"/>
        <v>0.9651157557964325</v>
      </c>
      <c r="DQ78" s="16">
        <v>76</v>
      </c>
      <c r="DR78" s="16">
        <f t="shared" si="145"/>
        <v>68.099999999999994</v>
      </c>
      <c r="DS78" s="16">
        <f t="shared" si="146"/>
        <v>3.5561554686933001</v>
      </c>
      <c r="DT78" s="16">
        <f t="shared" si="147"/>
        <v>27.5</v>
      </c>
      <c r="DU78" s="16">
        <f t="shared" si="148"/>
        <v>72.5</v>
      </c>
      <c r="DV78" s="16">
        <f t="shared" si="149"/>
        <v>66.099999999999994</v>
      </c>
      <c r="DX78" s="197">
        <f t="shared" si="161"/>
        <v>1.128066137566138</v>
      </c>
      <c r="DY78" s="197">
        <f t="shared" si="162"/>
        <v>0.93702399999999997</v>
      </c>
      <c r="DZ78" s="222">
        <f t="shared" si="163"/>
        <v>5.0438723404255255</v>
      </c>
      <c r="EA78" s="192">
        <f t="shared" si="164"/>
        <v>1.9370240000000001</v>
      </c>
      <c r="EB78" s="197" t="e">
        <f t="shared" si="159"/>
        <v>#N/A</v>
      </c>
      <c r="EC78" s="192">
        <f t="shared" si="160"/>
        <v>3.9370240000000001</v>
      </c>
      <c r="ED78" s="197" t="e">
        <f t="shared" si="143"/>
        <v>#N/A</v>
      </c>
      <c r="EE78" s="192">
        <f t="shared" si="144"/>
        <v>5.9370240000000001</v>
      </c>
      <c r="EF78" s="197" t="e">
        <f t="shared" si="142"/>
        <v>#N/A</v>
      </c>
      <c r="EG78" s="197">
        <f t="shared" si="141"/>
        <v>3.9370240000000001</v>
      </c>
    </row>
    <row r="79" spans="5:139" ht="11.25" customHeight="1">
      <c r="E79" s="466">
        <v>78</v>
      </c>
      <c r="F79" s="474"/>
      <c r="G79" s="471"/>
      <c r="H79" s="321"/>
      <c r="I79" s="326"/>
      <c r="J79" s="30"/>
      <c r="BI79" s="621">
        <v>71</v>
      </c>
      <c r="BJ79" s="624"/>
      <c r="BK79" s="623"/>
      <c r="BL79" s="1109"/>
      <c r="BM79" s="1109"/>
      <c r="BN79" s="24"/>
      <c r="BP79" s="621">
        <v>71</v>
      </c>
      <c r="BQ79" s="624"/>
      <c r="BR79" s="623"/>
      <c r="BS79" s="1109"/>
      <c r="BT79" s="1109"/>
      <c r="BU79" s="24"/>
      <c r="BW79" s="621">
        <v>71</v>
      </c>
      <c r="BX79" s="624">
        <v>4.5</v>
      </c>
      <c r="BY79" s="623"/>
      <c r="BZ79" s="1109"/>
      <c r="CA79" s="1109"/>
      <c r="CB79" s="24"/>
      <c r="CT79" s="16" t="e">
        <f t="shared" si="154"/>
        <v>#N/A</v>
      </c>
      <c r="CU79" s="197" t="e">
        <f t="shared" si="155"/>
        <v>#N/A</v>
      </c>
      <c r="CV79" s="197" t="e">
        <f t="shared" si="156"/>
        <v>#N/A</v>
      </c>
      <c r="CW79" s="197">
        <v>76</v>
      </c>
      <c r="CX79" s="197" t="str">
        <f t="shared" si="150"/>
        <v/>
      </c>
      <c r="CY79" s="197" t="e">
        <f t="shared" si="151"/>
        <v>#N/A</v>
      </c>
      <c r="CZ79" s="197" t="e">
        <f t="shared" si="152"/>
        <v>#N/A</v>
      </c>
      <c r="DA79" s="197" t="str">
        <f t="shared" si="157"/>
        <v/>
      </c>
      <c r="DB79" s="16" t="e">
        <f t="shared" si="153"/>
        <v>#N/A</v>
      </c>
      <c r="DC79" s="16" t="e">
        <f>IF(ISNUMBER(CX79),COUNTIF($DB$4:DB79,DB79)-1,NA())</f>
        <v>#N/A</v>
      </c>
      <c r="DK79" s="16">
        <v>26</v>
      </c>
      <c r="DL79" s="16" t="e">
        <f>IF($X$3=0,NA(),IF(kbins&lt;DK79,NA(),$DI$28))</f>
        <v>#N/A</v>
      </c>
      <c r="DM79" s="16">
        <f>$DJ$28</f>
        <v>0</v>
      </c>
      <c r="DP79" s="16">
        <f t="shared" si="158"/>
        <v>0.10446915030479431</v>
      </c>
      <c r="DQ79" s="16">
        <v>77</v>
      </c>
      <c r="DR79" s="16">
        <f t="shared" si="145"/>
        <v>37.4</v>
      </c>
      <c r="DS79" s="16">
        <f t="shared" si="146"/>
        <v>1.4072247912745324</v>
      </c>
      <c r="DT79" s="16">
        <f t="shared" si="147"/>
        <v>58.5</v>
      </c>
      <c r="DU79" s="16">
        <f t="shared" si="148"/>
        <v>41.5</v>
      </c>
      <c r="DV79" s="16">
        <f t="shared" si="149"/>
        <v>36.299999999999997</v>
      </c>
      <c r="DX79" s="197">
        <f t="shared" si="161"/>
        <v>1.1415910052910059</v>
      </c>
      <c r="DY79" s="197">
        <f t="shared" si="162"/>
        <v>0.93702399999999997</v>
      </c>
      <c r="DZ79" s="222">
        <f t="shared" si="163"/>
        <v>5.0710659574468018</v>
      </c>
      <c r="EA79" s="192">
        <f t="shared" si="164"/>
        <v>1.9370240000000001</v>
      </c>
      <c r="EB79" s="197" t="e">
        <f t="shared" si="159"/>
        <v>#N/A</v>
      </c>
      <c r="EC79" s="192">
        <f t="shared" si="160"/>
        <v>3.9370240000000001</v>
      </c>
      <c r="ED79" s="197" t="e">
        <f t="shared" si="143"/>
        <v>#N/A</v>
      </c>
      <c r="EE79" s="192">
        <f t="shared" si="144"/>
        <v>5.9370240000000001</v>
      </c>
      <c r="EF79" s="197" t="e">
        <f t="shared" si="142"/>
        <v>#N/A</v>
      </c>
      <c r="EG79" s="197">
        <f t="shared" si="141"/>
        <v>3.9370240000000001</v>
      </c>
    </row>
    <row r="80" spans="5:139" ht="11.25" customHeight="1">
      <c r="E80" s="466">
        <v>79</v>
      </c>
      <c r="F80" s="474"/>
      <c r="G80" s="471"/>
      <c r="H80" s="321"/>
      <c r="I80" s="326"/>
      <c r="J80" s="30"/>
      <c r="BI80" s="621">
        <v>72</v>
      </c>
      <c r="BJ80" s="624"/>
      <c r="BK80" s="623"/>
      <c r="BL80" s="1109"/>
      <c r="BM80" s="1109"/>
      <c r="BN80" s="24"/>
      <c r="BP80" s="621">
        <v>72</v>
      </c>
      <c r="BQ80" s="624"/>
      <c r="BR80" s="623"/>
      <c r="BS80" s="1109"/>
      <c r="BT80" s="1109"/>
      <c r="BU80" s="24"/>
      <c r="BW80" s="621">
        <v>72</v>
      </c>
      <c r="BX80" s="624">
        <v>9.1999999999999993</v>
      </c>
      <c r="BY80" s="623"/>
      <c r="BZ80" s="1109"/>
      <c r="CA80" s="1109"/>
      <c r="CB80" s="24"/>
      <c r="CT80" s="16" t="e">
        <f t="shared" si="154"/>
        <v>#N/A</v>
      </c>
      <c r="CU80" s="197" t="e">
        <f t="shared" si="155"/>
        <v>#N/A</v>
      </c>
      <c r="CV80" s="197" t="e">
        <f t="shared" si="156"/>
        <v>#N/A</v>
      </c>
      <c r="CW80" s="197">
        <v>77</v>
      </c>
      <c r="CX80" s="197" t="str">
        <f t="shared" si="150"/>
        <v/>
      </c>
      <c r="CY80" s="197" t="e">
        <f t="shared" si="151"/>
        <v>#N/A</v>
      </c>
      <c r="CZ80" s="197" t="e">
        <f t="shared" si="152"/>
        <v>#N/A</v>
      </c>
      <c r="DA80" s="197" t="str">
        <f t="shared" si="157"/>
        <v/>
      </c>
      <c r="DB80" s="16" t="e">
        <f t="shared" si="153"/>
        <v>#N/A</v>
      </c>
      <c r="DC80" s="16" t="e">
        <f>IF(ISNUMBER(CX80),COUNTIF($DB$4:DB80,DB80)-1,NA())</f>
        <v>#N/A</v>
      </c>
      <c r="DK80" s="16">
        <v>26</v>
      </c>
      <c r="DL80" s="16" t="e">
        <f>IF($X$3=0,NA(),IF(kbins&lt;DK80,NA(),$DI$29))</f>
        <v>#N/A</v>
      </c>
      <c r="DM80" s="16">
        <f>$DJ$28</f>
        <v>0</v>
      </c>
      <c r="DP80" s="16">
        <f t="shared" si="158"/>
        <v>0.86114689707756042</v>
      </c>
      <c r="DQ80" s="16">
        <v>78</v>
      </c>
      <c r="DR80" s="16">
        <f t="shared" si="145"/>
        <v>60.9</v>
      </c>
      <c r="DS80" s="16">
        <f t="shared" si="146"/>
        <v>3.0466085274781189</v>
      </c>
      <c r="DT80" s="16">
        <f t="shared" si="147"/>
        <v>41.5</v>
      </c>
      <c r="DU80" s="16">
        <f t="shared" si="148"/>
        <v>58.5</v>
      </c>
      <c r="DV80" s="16">
        <f t="shared" si="149"/>
        <v>62.5</v>
      </c>
      <c r="DX80" s="197">
        <f t="shared" si="161"/>
        <v>1.1551158730158737</v>
      </c>
      <c r="DY80" s="197">
        <f t="shared" si="162"/>
        <v>0.93702399999999997</v>
      </c>
      <c r="DZ80" s="222">
        <f t="shared" si="163"/>
        <v>5.0982595744680781</v>
      </c>
      <c r="EA80" s="192">
        <f t="shared" si="164"/>
        <v>1.9370240000000001</v>
      </c>
      <c r="EB80" s="197" t="e">
        <f t="shared" si="159"/>
        <v>#N/A</v>
      </c>
      <c r="EC80" s="192">
        <f t="shared" si="160"/>
        <v>3.9370240000000001</v>
      </c>
      <c r="ED80" s="197" t="e">
        <f t="shared" si="143"/>
        <v>#N/A</v>
      </c>
      <c r="EE80" s="192">
        <f t="shared" si="144"/>
        <v>5.9370240000000001</v>
      </c>
      <c r="EF80" s="197" t="e">
        <f t="shared" si="142"/>
        <v>#N/A</v>
      </c>
      <c r="EG80" s="197">
        <f t="shared" si="141"/>
        <v>3.9370240000000001</v>
      </c>
    </row>
    <row r="81" spans="5:137" ht="11.25" customHeight="1">
      <c r="E81" s="466">
        <v>80</v>
      </c>
      <c r="F81" s="474"/>
      <c r="G81" s="471"/>
      <c r="H81" s="321"/>
      <c r="I81" s="326"/>
      <c r="J81" s="30"/>
      <c r="BI81" s="621">
        <v>73</v>
      </c>
      <c r="BJ81" s="624"/>
      <c r="BK81" s="623"/>
      <c r="BL81" s="1109"/>
      <c r="BM81" s="1109"/>
      <c r="BN81" s="24"/>
      <c r="BP81" s="621">
        <v>73</v>
      </c>
      <c r="BQ81" s="624"/>
      <c r="BR81" s="623"/>
      <c r="BS81" s="1109"/>
      <c r="BT81" s="1109"/>
      <c r="BU81" s="24"/>
      <c r="BW81" s="621">
        <v>73</v>
      </c>
      <c r="BX81" s="624">
        <v>13.3</v>
      </c>
      <c r="BY81" s="623"/>
      <c r="BZ81" s="1109"/>
      <c r="CA81" s="1109"/>
      <c r="CB81" s="24"/>
      <c r="CT81" s="16" t="e">
        <f t="shared" si="154"/>
        <v>#N/A</v>
      </c>
      <c r="CU81" s="197" t="e">
        <f t="shared" si="155"/>
        <v>#N/A</v>
      </c>
      <c r="CV81" s="197" t="e">
        <f t="shared" si="156"/>
        <v>#N/A</v>
      </c>
      <c r="CW81" s="197">
        <v>78</v>
      </c>
      <c r="CX81" s="197" t="str">
        <f t="shared" si="150"/>
        <v/>
      </c>
      <c r="CY81" s="197" t="e">
        <f t="shared" si="151"/>
        <v>#N/A</v>
      </c>
      <c r="CZ81" s="197" t="e">
        <f t="shared" si="152"/>
        <v>#N/A</v>
      </c>
      <c r="DA81" s="197" t="str">
        <f t="shared" si="157"/>
        <v/>
      </c>
      <c r="DB81" s="16" t="e">
        <f t="shared" si="153"/>
        <v>#N/A</v>
      </c>
      <c r="DC81" s="16" t="e">
        <f>IF(ISNUMBER(CX81),COUNTIF($DB$4:DB81,DB81)-1,NA())</f>
        <v>#N/A</v>
      </c>
      <c r="DK81" s="16">
        <v>26</v>
      </c>
      <c r="DL81" s="16" t="e">
        <f>IF($X$3=0,NA(),IF(kbins&lt;DK81,NA(),$DI$29))</f>
        <v>#N/A</v>
      </c>
      <c r="DM81" s="16">
        <v>0</v>
      </c>
      <c r="DP81" s="16">
        <f t="shared" si="158"/>
        <v>0.1656852662563324</v>
      </c>
      <c r="DQ81" s="16">
        <v>79</v>
      </c>
      <c r="DR81" s="16">
        <f t="shared" si="145"/>
        <v>40.299999999999997</v>
      </c>
      <c r="DS81" s="16">
        <f t="shared" si="146"/>
        <v>1.6068180226273536</v>
      </c>
      <c r="DT81" s="16">
        <f t="shared" si="147"/>
        <v>57.6</v>
      </c>
      <c r="DU81" s="16">
        <f t="shared" si="148"/>
        <v>42.4</v>
      </c>
      <c r="DV81" s="16">
        <f t="shared" si="149"/>
        <v>38.4</v>
      </c>
      <c r="DX81" s="197">
        <f t="shared" si="161"/>
        <v>1.1686407407407415</v>
      </c>
      <c r="DY81" s="197">
        <f t="shared" si="162"/>
        <v>0.93702399999999997</v>
      </c>
      <c r="DZ81" s="222">
        <f t="shared" si="163"/>
        <v>5.1254531914893544</v>
      </c>
      <c r="EA81" s="192">
        <f t="shared" si="164"/>
        <v>1.9370240000000001</v>
      </c>
      <c r="EB81" s="197" t="e">
        <f t="shared" si="159"/>
        <v>#N/A</v>
      </c>
      <c r="EC81" s="192">
        <f t="shared" si="160"/>
        <v>3.9370240000000001</v>
      </c>
      <c r="ED81" s="197" t="e">
        <f t="shared" si="143"/>
        <v>#N/A</v>
      </c>
      <c r="EE81" s="192">
        <f t="shared" si="144"/>
        <v>5.9370240000000001</v>
      </c>
      <c r="EF81" s="197" t="e">
        <f t="shared" si="142"/>
        <v>#N/A</v>
      </c>
      <c r="EG81" s="197">
        <f t="shared" si="141"/>
        <v>3.9370240000000001</v>
      </c>
    </row>
    <row r="82" spans="5:137" ht="11.25" customHeight="1">
      <c r="E82" s="466">
        <v>81</v>
      </c>
      <c r="F82" s="474"/>
      <c r="G82" s="471"/>
      <c r="H82" s="321"/>
      <c r="I82" s="326"/>
      <c r="J82" s="30"/>
      <c r="BI82" s="621">
        <v>74</v>
      </c>
      <c r="BJ82" s="624"/>
      <c r="BK82" s="623"/>
      <c r="BL82" s="1109"/>
      <c r="BM82" s="1109"/>
      <c r="BN82" s="24"/>
      <c r="BP82" s="621">
        <v>74</v>
      </c>
      <c r="BQ82" s="624"/>
      <c r="BR82" s="623"/>
      <c r="BS82" s="1109"/>
      <c r="BT82" s="1109"/>
      <c r="BU82" s="24"/>
      <c r="BW82" s="621">
        <v>74</v>
      </c>
      <c r="BX82" s="624">
        <v>18.3</v>
      </c>
      <c r="BY82" s="623"/>
      <c r="BZ82" s="1109"/>
      <c r="CA82" s="1109"/>
      <c r="CB82" s="24"/>
      <c r="CT82" s="16" t="e">
        <f t="shared" si="154"/>
        <v>#N/A</v>
      </c>
      <c r="CU82" s="197" t="e">
        <f t="shared" si="155"/>
        <v>#N/A</v>
      </c>
      <c r="CV82" s="197" t="e">
        <f t="shared" si="156"/>
        <v>#N/A</v>
      </c>
      <c r="CW82" s="197">
        <v>79</v>
      </c>
      <c r="CX82" s="197" t="str">
        <f t="shared" si="150"/>
        <v/>
      </c>
      <c r="CY82" s="197" t="e">
        <f t="shared" si="151"/>
        <v>#N/A</v>
      </c>
      <c r="CZ82" s="197" t="e">
        <f t="shared" si="152"/>
        <v>#N/A</v>
      </c>
      <c r="DA82" s="197" t="str">
        <f t="shared" si="157"/>
        <v/>
      </c>
      <c r="DB82" s="16" t="e">
        <f t="shared" si="153"/>
        <v>#N/A</v>
      </c>
      <c r="DC82" s="16" t="e">
        <f>IF(ISNUMBER(CX82),COUNTIF($DB$4:DB82,DB82)-1,NA())</f>
        <v>#N/A</v>
      </c>
      <c r="DK82" s="16">
        <v>27</v>
      </c>
      <c r="DL82" s="16" t="e">
        <f>IF($X$3=0,NA(),IF(kbins&lt;DK82,NA(),$DI$29))</f>
        <v>#N/A</v>
      </c>
      <c r="DM82" s="16">
        <f>$DJ$29</f>
        <v>0</v>
      </c>
      <c r="DP82" s="16">
        <f t="shared" si="158"/>
        <v>0.81647178530693054</v>
      </c>
      <c r="DQ82" s="16">
        <v>80</v>
      </c>
      <c r="DR82" s="16">
        <f t="shared" si="145"/>
        <v>59</v>
      </c>
      <c r="DS82" s="16">
        <f t="shared" si="146"/>
        <v>2.9181685015926391</v>
      </c>
      <c r="DT82" s="16">
        <f t="shared" si="147"/>
        <v>44.1</v>
      </c>
      <c r="DU82" s="16">
        <f t="shared" si="148"/>
        <v>55.9</v>
      </c>
      <c r="DV82" s="16">
        <f t="shared" si="149"/>
        <v>61</v>
      </c>
      <c r="DX82" s="197">
        <f t="shared" si="161"/>
        <v>1.1821656084656094</v>
      </c>
      <c r="DY82" s="197">
        <f t="shared" si="162"/>
        <v>0.93702399999999997</v>
      </c>
      <c r="DZ82" s="222">
        <f t="shared" si="163"/>
        <v>5.1526468085106307</v>
      </c>
      <c r="EA82" s="192">
        <f t="shared" si="164"/>
        <v>1.9370240000000001</v>
      </c>
      <c r="EB82" s="197" t="e">
        <f t="shared" si="159"/>
        <v>#N/A</v>
      </c>
      <c r="EC82" s="192">
        <f t="shared" si="160"/>
        <v>3.9370240000000001</v>
      </c>
      <c r="ED82" s="197" t="e">
        <f t="shared" si="143"/>
        <v>#N/A</v>
      </c>
      <c r="EE82" s="192">
        <f t="shared" si="144"/>
        <v>5.9370240000000001</v>
      </c>
    </row>
    <row r="83" spans="5:137" ht="11.25" customHeight="1">
      <c r="E83" s="466">
        <v>82</v>
      </c>
      <c r="F83" s="474"/>
      <c r="G83" s="471"/>
      <c r="H83" s="321"/>
      <c r="I83" s="326"/>
      <c r="J83" s="30"/>
      <c r="BI83" s="621">
        <v>75</v>
      </c>
      <c r="BJ83" s="624"/>
      <c r="BK83" s="623"/>
      <c r="BL83" s="1109"/>
      <c r="BM83" s="1109"/>
      <c r="BN83" s="24"/>
      <c r="BP83" s="621">
        <v>75</v>
      </c>
      <c r="BQ83" s="624"/>
      <c r="BR83" s="623"/>
      <c r="BS83" s="1109"/>
      <c r="BT83" s="1109"/>
      <c r="BU83" s="24"/>
      <c r="BW83" s="621">
        <v>75</v>
      </c>
      <c r="BX83" s="624">
        <v>2.8</v>
      </c>
      <c r="BY83" s="623"/>
      <c r="BZ83" s="1109"/>
      <c r="CA83" s="1109"/>
      <c r="CB83" s="24"/>
      <c r="CT83" s="16" t="e">
        <f t="shared" si="154"/>
        <v>#N/A</v>
      </c>
      <c r="CU83" s="197" t="e">
        <f t="shared" si="155"/>
        <v>#N/A</v>
      </c>
      <c r="CV83" s="197" t="e">
        <f t="shared" si="156"/>
        <v>#N/A</v>
      </c>
      <c r="CW83" s="197">
        <v>80</v>
      </c>
      <c r="CX83" s="197" t="str">
        <f t="shared" si="150"/>
        <v/>
      </c>
      <c r="CY83" s="197" t="e">
        <f t="shared" si="151"/>
        <v>#N/A</v>
      </c>
      <c r="CZ83" s="197" t="e">
        <f t="shared" si="152"/>
        <v>#N/A</v>
      </c>
      <c r="DA83" s="197" t="str">
        <f t="shared" si="157"/>
        <v/>
      </c>
      <c r="DB83" s="16" t="e">
        <f t="shared" si="153"/>
        <v>#N/A</v>
      </c>
      <c r="DC83" s="16" t="e">
        <f>IF(ISNUMBER(CX83),COUNTIF($DB$4:DB83,DB83)-1,NA())</f>
        <v>#N/A</v>
      </c>
      <c r="DK83" s="16">
        <v>27</v>
      </c>
      <c r="DL83" s="16" t="e">
        <f>IF($X$3=0,NA(),IF(kbins&lt;DK83,NA(),$DI$30))</f>
        <v>#N/A</v>
      </c>
      <c r="DM83" s="16">
        <f>$DJ$29</f>
        <v>0</v>
      </c>
      <c r="DP83" s="16">
        <f t="shared" si="158"/>
        <v>0.46720251441001892</v>
      </c>
      <c r="DQ83" s="16">
        <v>81</v>
      </c>
      <c r="DR83" s="16">
        <f t="shared" si="145"/>
        <v>49.2</v>
      </c>
      <c r="DS83" s="16">
        <f t="shared" si="146"/>
        <v>2.2291551725069296</v>
      </c>
      <c r="DT83" s="16">
        <f t="shared" si="147"/>
        <v>53.3</v>
      </c>
      <c r="DU83" s="16">
        <f t="shared" si="148"/>
        <v>46.7</v>
      </c>
      <c r="DV83" s="16">
        <f t="shared" si="149"/>
        <v>48.9</v>
      </c>
      <c r="DX83" s="197">
        <f t="shared" si="161"/>
        <v>1.1956904761904772</v>
      </c>
      <c r="DY83" s="197">
        <f t="shared" si="162"/>
        <v>0.93702399999999997</v>
      </c>
      <c r="DZ83" s="222">
        <f t="shared" si="163"/>
        <v>5.179840425531907</v>
      </c>
      <c r="EA83" s="192">
        <f t="shared" si="164"/>
        <v>1.9370240000000001</v>
      </c>
      <c r="EB83" s="197" t="e">
        <f t="shared" si="159"/>
        <v>#N/A</v>
      </c>
      <c r="EC83" s="192">
        <f t="shared" si="160"/>
        <v>3.9370240000000001</v>
      </c>
      <c r="ED83" s="197" t="e">
        <f t="shared" si="143"/>
        <v>#N/A</v>
      </c>
      <c r="EE83" s="192">
        <f t="shared" si="144"/>
        <v>5.9370240000000001</v>
      </c>
    </row>
    <row r="84" spans="5:137" ht="11.25" customHeight="1">
      <c r="E84" s="466">
        <v>83</v>
      </c>
      <c r="F84" s="474"/>
      <c r="G84" s="471"/>
      <c r="H84" s="321"/>
      <c r="I84" s="326"/>
      <c r="J84" s="30"/>
      <c r="BI84" s="621">
        <v>76</v>
      </c>
      <c r="BJ84" s="624"/>
      <c r="BK84" s="623"/>
      <c r="BL84" s="1109"/>
      <c r="BM84" s="1109"/>
      <c r="BN84" s="24"/>
      <c r="BP84" s="621">
        <v>76</v>
      </c>
      <c r="BQ84" s="624"/>
      <c r="BR84" s="623"/>
      <c r="BS84" s="1109"/>
      <c r="BT84" s="1109"/>
      <c r="BU84" s="24"/>
      <c r="BW84" s="621">
        <v>76</v>
      </c>
      <c r="BX84" s="624">
        <v>5.0999999999999996</v>
      </c>
      <c r="BY84" s="623"/>
      <c r="BZ84" s="1109"/>
      <c r="CA84" s="1109"/>
      <c r="CB84" s="24"/>
      <c r="CT84" s="16" t="e">
        <f t="shared" si="154"/>
        <v>#N/A</v>
      </c>
      <c r="CU84" s="197" t="e">
        <f t="shared" si="155"/>
        <v>#N/A</v>
      </c>
      <c r="CV84" s="197" t="e">
        <f t="shared" si="156"/>
        <v>#N/A</v>
      </c>
      <c r="CW84" s="197">
        <v>81</v>
      </c>
      <c r="CX84" s="197" t="str">
        <f t="shared" si="150"/>
        <v/>
      </c>
      <c r="CY84" s="197" t="e">
        <f t="shared" si="151"/>
        <v>#N/A</v>
      </c>
      <c r="CZ84" s="197" t="e">
        <f t="shared" si="152"/>
        <v>#N/A</v>
      </c>
      <c r="DA84" s="197" t="str">
        <f t="shared" si="157"/>
        <v/>
      </c>
      <c r="DB84" s="16" t="e">
        <f t="shared" si="153"/>
        <v>#N/A</v>
      </c>
      <c r="DC84" s="16" t="e">
        <f>IF(ISNUMBER(CX84),COUNTIF($DB$4:DB84,DB84)-1,NA())</f>
        <v>#N/A</v>
      </c>
      <c r="DK84" s="16">
        <v>27</v>
      </c>
      <c r="DL84" s="16" t="e">
        <f>IF($X$3=0,NA(),IF(kbins&lt;DK84,NA(),$DI$30))</f>
        <v>#N/A</v>
      </c>
      <c r="DM84" s="16">
        <v>0</v>
      </c>
      <c r="DP84" s="16">
        <f t="shared" si="158"/>
        <v>0.21773287653923035</v>
      </c>
      <c r="DQ84" s="16">
        <v>82</v>
      </c>
      <c r="DR84" s="16">
        <f t="shared" si="145"/>
        <v>42.2</v>
      </c>
      <c r="DS84" s="16">
        <f t="shared" si="146"/>
        <v>1.7408569675219105</v>
      </c>
      <c r="DT84" s="16">
        <f t="shared" si="147"/>
        <v>56.9</v>
      </c>
      <c r="DU84" s="16">
        <f t="shared" si="148"/>
        <v>43.1</v>
      </c>
      <c r="DV84" s="16">
        <f t="shared" si="149"/>
        <v>40.200000000000003</v>
      </c>
      <c r="DX84" s="197">
        <f t="shared" si="161"/>
        <v>1.209215343915345</v>
      </c>
      <c r="DY84" s="197">
        <f t="shared" si="162"/>
        <v>0.93702399999999997</v>
      </c>
      <c r="DZ84" s="222">
        <f t="shared" si="163"/>
        <v>5.2070340425531834</v>
      </c>
      <c r="EA84" s="192">
        <f t="shared" si="164"/>
        <v>1.9370240000000001</v>
      </c>
      <c r="EB84" s="197" t="e">
        <f t="shared" si="159"/>
        <v>#N/A</v>
      </c>
      <c r="EC84" s="192">
        <f t="shared" si="160"/>
        <v>3.9370240000000001</v>
      </c>
      <c r="ED84" s="197" t="e">
        <f t="shared" si="143"/>
        <v>#N/A</v>
      </c>
      <c r="EE84" s="192">
        <f t="shared" si="144"/>
        <v>5.9370240000000001</v>
      </c>
    </row>
    <row r="85" spans="5:137" ht="11.25" customHeight="1">
      <c r="E85" s="466">
        <v>84</v>
      </c>
      <c r="F85" s="474"/>
      <c r="G85" s="471"/>
      <c r="H85" s="321"/>
      <c r="I85" s="326"/>
      <c r="J85" s="30"/>
      <c r="BI85" s="621">
        <v>77</v>
      </c>
      <c r="BJ85" s="624"/>
      <c r="BK85" s="623"/>
      <c r="BL85" s="1109"/>
      <c r="BM85" s="1109"/>
      <c r="BN85" s="24"/>
      <c r="BP85" s="621">
        <v>77</v>
      </c>
      <c r="BQ85" s="624"/>
      <c r="BR85" s="623"/>
      <c r="BS85" s="1109"/>
      <c r="BT85" s="1109"/>
      <c r="BU85" s="24"/>
      <c r="BW85" s="621">
        <v>77</v>
      </c>
      <c r="BX85" s="624">
        <v>12.4</v>
      </c>
      <c r="BY85" s="623"/>
      <c r="BZ85" s="1109"/>
      <c r="CA85" s="1109"/>
      <c r="CB85" s="24"/>
      <c r="CT85" s="16" t="e">
        <f t="shared" si="154"/>
        <v>#N/A</v>
      </c>
      <c r="CU85" s="197" t="e">
        <f t="shared" si="155"/>
        <v>#N/A</v>
      </c>
      <c r="CV85" s="197" t="e">
        <f t="shared" si="156"/>
        <v>#N/A</v>
      </c>
      <c r="CW85" s="197">
        <v>82</v>
      </c>
      <c r="CX85" s="197" t="str">
        <f t="shared" si="150"/>
        <v/>
      </c>
      <c r="CY85" s="197" t="e">
        <f t="shared" si="151"/>
        <v>#N/A</v>
      </c>
      <c r="CZ85" s="197" t="e">
        <f t="shared" si="152"/>
        <v>#N/A</v>
      </c>
      <c r="DA85" s="197" t="str">
        <f t="shared" si="157"/>
        <v/>
      </c>
      <c r="DB85" s="16" t="e">
        <f t="shared" si="153"/>
        <v>#N/A</v>
      </c>
      <c r="DC85" s="16" t="e">
        <f>IF(ISNUMBER(CX85),COUNTIF($DB$4:DB85,DB85)-1,NA())</f>
        <v>#N/A</v>
      </c>
      <c r="DK85" s="16">
        <v>28</v>
      </c>
      <c r="DL85" s="16" t="e">
        <f>IF($X$3=0,NA(),IF(kbins&lt;DK85,NA(),$DI$30))</f>
        <v>#N/A</v>
      </c>
      <c r="DM85" s="16">
        <f>$DJ$30</f>
        <v>0</v>
      </c>
      <c r="DP85" s="16">
        <f t="shared" si="158"/>
        <v>0.59591969847679138</v>
      </c>
      <c r="DQ85" s="16">
        <v>83</v>
      </c>
      <c r="DR85" s="16">
        <f t="shared" si="145"/>
        <v>52.4</v>
      </c>
      <c r="DS85" s="16">
        <f t="shared" si="146"/>
        <v>2.4567276822809201</v>
      </c>
      <c r="DT85" s="16">
        <f t="shared" si="147"/>
        <v>50.9</v>
      </c>
      <c r="DU85" s="16">
        <f t="shared" si="148"/>
        <v>49.1</v>
      </c>
      <c r="DV85" s="16">
        <f t="shared" si="149"/>
        <v>53.3</v>
      </c>
      <c r="DX85" s="197">
        <f t="shared" si="161"/>
        <v>1.2227402116402128</v>
      </c>
      <c r="DY85" s="197">
        <f t="shared" si="162"/>
        <v>0.93702399999999997</v>
      </c>
      <c r="DZ85" s="222">
        <f t="shared" si="163"/>
        <v>5.2342276595744597</v>
      </c>
      <c r="EA85" s="192">
        <f t="shared" si="164"/>
        <v>1.9370240000000001</v>
      </c>
      <c r="EB85" s="197" t="e">
        <f t="shared" si="159"/>
        <v>#N/A</v>
      </c>
      <c r="EC85" s="192">
        <f t="shared" si="160"/>
        <v>3.9370240000000001</v>
      </c>
      <c r="ED85" s="197" t="e">
        <f t="shared" si="143"/>
        <v>#N/A</v>
      </c>
      <c r="EE85" s="192">
        <f t="shared" si="144"/>
        <v>5.9370240000000001</v>
      </c>
    </row>
    <row r="86" spans="5:137" ht="11.25" customHeight="1">
      <c r="E86" s="466">
        <v>85</v>
      </c>
      <c r="F86" s="474"/>
      <c r="G86" s="471"/>
      <c r="H86" s="321"/>
      <c r="I86" s="326"/>
      <c r="J86" s="30"/>
      <c r="BI86" s="621">
        <v>78</v>
      </c>
      <c r="BJ86" s="624"/>
      <c r="BK86" s="623"/>
      <c r="BL86" s="1109"/>
      <c r="BM86" s="1109"/>
      <c r="BN86" s="24"/>
      <c r="BP86" s="621">
        <v>78</v>
      </c>
      <c r="BQ86" s="624"/>
      <c r="BR86" s="623"/>
      <c r="BS86" s="1109"/>
      <c r="BT86" s="1109"/>
      <c r="BU86" s="24"/>
      <c r="BW86" s="621">
        <v>78</v>
      </c>
      <c r="BX86" s="624">
        <v>12.1</v>
      </c>
      <c r="BY86" s="623"/>
      <c r="BZ86" s="1109"/>
      <c r="CA86" s="1109"/>
      <c r="CB86" s="24"/>
      <c r="CT86" s="16" t="e">
        <f t="shared" si="154"/>
        <v>#N/A</v>
      </c>
      <c r="CU86" s="197" t="e">
        <f t="shared" si="155"/>
        <v>#N/A</v>
      </c>
      <c r="CV86" s="197" t="e">
        <f t="shared" si="156"/>
        <v>#N/A</v>
      </c>
      <c r="CW86" s="197">
        <v>83</v>
      </c>
      <c r="CX86" s="197" t="str">
        <f t="shared" si="150"/>
        <v/>
      </c>
      <c r="CY86" s="197" t="e">
        <f t="shared" si="151"/>
        <v>#N/A</v>
      </c>
      <c r="CZ86" s="197" t="e">
        <f t="shared" si="152"/>
        <v>#N/A</v>
      </c>
      <c r="DA86" s="197" t="str">
        <f t="shared" si="157"/>
        <v/>
      </c>
      <c r="DB86" s="16" t="e">
        <f t="shared" si="153"/>
        <v>#N/A</v>
      </c>
      <c r="DC86" s="16" t="e">
        <f>IF(ISNUMBER(CX86),COUNTIF($DB$4:DB86,DB86)-1,NA())</f>
        <v>#N/A</v>
      </c>
      <c r="DK86" s="16">
        <v>28</v>
      </c>
      <c r="DL86" s="16" t="e">
        <f>IF($X$3=0,NA(),IF(kbins&lt;DK86,NA(),$DI$31))</f>
        <v>#N/A</v>
      </c>
      <c r="DM86" s="16">
        <f>$DJ$30</f>
        <v>0</v>
      </c>
      <c r="DP86" s="16">
        <f t="shared" si="158"/>
        <v>0.73172399401664734</v>
      </c>
      <c r="DQ86" s="16">
        <v>84</v>
      </c>
      <c r="DR86" s="16">
        <f t="shared" si="145"/>
        <v>56.2</v>
      </c>
      <c r="DS86" s="16">
        <f t="shared" si="146"/>
        <v>2.7193926952644949</v>
      </c>
      <c r="DT86" s="16">
        <f t="shared" si="147"/>
        <v>47.4</v>
      </c>
      <c r="DU86" s="16">
        <f t="shared" si="148"/>
        <v>52.6</v>
      </c>
      <c r="DV86" s="16">
        <f t="shared" si="149"/>
        <v>58</v>
      </c>
      <c r="DX86" s="197">
        <f t="shared" si="161"/>
        <v>1.2362650793650807</v>
      </c>
      <c r="DY86" s="197">
        <f t="shared" si="162"/>
        <v>0.93702399999999997</v>
      </c>
      <c r="DZ86" s="222">
        <f t="shared" si="163"/>
        <v>5.261421276595736</v>
      </c>
      <c r="EA86" s="192">
        <f t="shared" si="164"/>
        <v>1.9370240000000001</v>
      </c>
      <c r="EB86" s="197" t="e">
        <f t="shared" si="159"/>
        <v>#N/A</v>
      </c>
      <c r="EC86" s="192">
        <f t="shared" si="160"/>
        <v>3.9370240000000001</v>
      </c>
      <c r="ED86" s="197" t="e">
        <f t="shared" si="143"/>
        <v>#N/A</v>
      </c>
      <c r="EE86" s="192">
        <f t="shared" si="144"/>
        <v>5.9370240000000001</v>
      </c>
    </row>
    <row r="87" spans="5:137" ht="11.25" customHeight="1">
      <c r="E87" s="466">
        <v>86</v>
      </c>
      <c r="F87" s="474"/>
      <c r="G87" s="471"/>
      <c r="H87" s="321"/>
      <c r="I87" s="326"/>
      <c r="J87" s="30"/>
      <c r="BI87" s="621">
        <v>79</v>
      </c>
      <c r="BJ87" s="624"/>
      <c r="BK87" s="623"/>
      <c r="BL87" s="1109"/>
      <c r="BM87" s="1109"/>
      <c r="BN87" s="24"/>
      <c r="BP87" s="621">
        <v>79</v>
      </c>
      <c r="BQ87" s="624"/>
      <c r="BR87" s="623"/>
      <c r="BS87" s="1109"/>
      <c r="BT87" s="1109"/>
      <c r="BU87" s="24"/>
      <c r="BW87" s="621">
        <v>79</v>
      </c>
      <c r="BX87" s="624">
        <v>6.5</v>
      </c>
      <c r="BY87" s="623"/>
      <c r="BZ87" s="1109"/>
      <c r="CA87" s="1109"/>
      <c r="CB87" s="24"/>
      <c r="CT87" s="16" t="e">
        <f t="shared" si="154"/>
        <v>#N/A</v>
      </c>
      <c r="CU87" s="197" t="e">
        <f t="shared" si="155"/>
        <v>#N/A</v>
      </c>
      <c r="CV87" s="197" t="e">
        <f t="shared" si="156"/>
        <v>#N/A</v>
      </c>
      <c r="CW87" s="197">
        <v>84</v>
      </c>
      <c r="CX87" s="197" t="str">
        <f t="shared" si="150"/>
        <v/>
      </c>
      <c r="CY87" s="197" t="e">
        <f t="shared" si="151"/>
        <v>#N/A</v>
      </c>
      <c r="CZ87" s="197" t="e">
        <f t="shared" si="152"/>
        <v>#N/A</v>
      </c>
      <c r="DA87" s="197" t="str">
        <f t="shared" si="157"/>
        <v/>
      </c>
      <c r="DB87" s="16" t="e">
        <f t="shared" si="153"/>
        <v>#N/A</v>
      </c>
      <c r="DC87" s="16" t="e">
        <f>IF(ISNUMBER(CX87),COUNTIF($DB$4:DB87,DB87)-1,NA())</f>
        <v>#N/A</v>
      </c>
      <c r="DK87" s="16">
        <v>28</v>
      </c>
      <c r="DL87" s="16" t="e">
        <f>IF($X$3=0,NA(),IF(kbins&lt;DK87,NA(),$DI$31))</f>
        <v>#N/A</v>
      </c>
      <c r="DM87" s="16">
        <v>0</v>
      </c>
      <c r="DP87" s="16">
        <f t="shared" si="158"/>
        <v>0.45257839560508728</v>
      </c>
      <c r="DQ87" s="16">
        <v>85</v>
      </c>
      <c r="DR87" s="16">
        <f t="shared" si="145"/>
        <v>48.8</v>
      </c>
      <c r="DS87" s="16">
        <f t="shared" si="146"/>
        <v>2.2033631648510288</v>
      </c>
      <c r="DT87" s="16">
        <f t="shared" si="147"/>
        <v>53.5</v>
      </c>
      <c r="DU87" s="16">
        <f t="shared" si="148"/>
        <v>46.5</v>
      </c>
      <c r="DV87" s="16">
        <f t="shared" si="149"/>
        <v>48.4</v>
      </c>
      <c r="DX87" s="197">
        <f t="shared" si="161"/>
        <v>1.2497899470899485</v>
      </c>
      <c r="DY87" s="197">
        <f t="shared" si="162"/>
        <v>0.93702399999999997</v>
      </c>
      <c r="DZ87" s="222">
        <f t="shared" si="163"/>
        <v>5.2886148936170123</v>
      </c>
      <c r="EA87" s="192">
        <f t="shared" si="164"/>
        <v>1.9370240000000001</v>
      </c>
      <c r="EB87" s="197" t="e">
        <f t="shared" si="159"/>
        <v>#N/A</v>
      </c>
      <c r="EC87" s="192">
        <f t="shared" si="160"/>
        <v>3.9370240000000001</v>
      </c>
      <c r="ED87" s="197" t="e">
        <f t="shared" si="143"/>
        <v>#N/A</v>
      </c>
      <c r="EE87" s="192">
        <f t="shared" si="144"/>
        <v>5.9370240000000001</v>
      </c>
    </row>
    <row r="88" spans="5:137" ht="11.25" customHeight="1">
      <c r="E88" s="466">
        <v>87</v>
      </c>
      <c r="F88" s="474"/>
      <c r="G88" s="471"/>
      <c r="H88" s="321"/>
      <c r="I88" s="326"/>
      <c r="J88" s="30"/>
      <c r="BI88" s="621">
        <v>80</v>
      </c>
      <c r="BJ88" s="624"/>
      <c r="BK88" s="623"/>
      <c r="BL88" s="1109"/>
      <c r="BM88" s="1109"/>
      <c r="BN88" s="24"/>
      <c r="BP88" s="621">
        <v>80</v>
      </c>
      <c r="BQ88" s="624"/>
      <c r="BR88" s="623"/>
      <c r="BS88" s="1109"/>
      <c r="BT88" s="1109"/>
      <c r="BU88" s="24"/>
      <c r="BW88" s="621">
        <v>80</v>
      </c>
      <c r="BX88" s="624">
        <v>8.1</v>
      </c>
      <c r="BY88" s="623"/>
      <c r="BZ88" s="1109"/>
      <c r="CA88" s="1109"/>
      <c r="CB88" s="24"/>
      <c r="CT88" s="16" t="e">
        <f t="shared" si="154"/>
        <v>#N/A</v>
      </c>
      <c r="CU88" s="197" t="e">
        <f t="shared" si="155"/>
        <v>#N/A</v>
      </c>
      <c r="CV88" s="197" t="e">
        <f t="shared" si="156"/>
        <v>#N/A</v>
      </c>
      <c r="CW88" s="197">
        <v>85</v>
      </c>
      <c r="CX88" s="197" t="str">
        <f t="shared" si="150"/>
        <v/>
      </c>
      <c r="CY88" s="197" t="e">
        <f t="shared" si="151"/>
        <v>#N/A</v>
      </c>
      <c r="CZ88" s="197" t="e">
        <f t="shared" si="152"/>
        <v>#N/A</v>
      </c>
      <c r="DA88" s="197" t="str">
        <f t="shared" si="157"/>
        <v/>
      </c>
      <c r="DB88" s="16" t="e">
        <f t="shared" si="153"/>
        <v>#N/A</v>
      </c>
      <c r="DC88" s="16" t="e">
        <f>IF(ISNUMBER(CX88),COUNTIF($DB$4:DB88,DB88)-1,NA())</f>
        <v>#N/A</v>
      </c>
      <c r="DK88" s="16">
        <v>29</v>
      </c>
      <c r="DL88" s="16" t="e">
        <f>IF($X$3=0,NA(),IF(kbins&lt;DK88,NA(),$DI$31))</f>
        <v>#N/A</v>
      </c>
      <c r="DM88" s="16">
        <f>$DJ$31</f>
        <v>0</v>
      </c>
      <c r="DP88" s="16">
        <f t="shared" si="158"/>
        <v>0.83957001566886902</v>
      </c>
      <c r="DQ88" s="16">
        <v>86</v>
      </c>
      <c r="DR88" s="16">
        <f t="shared" si="145"/>
        <v>59.9</v>
      </c>
      <c r="DS88" s="16">
        <f t="shared" si="146"/>
        <v>2.9816524763075036</v>
      </c>
      <c r="DT88" s="16">
        <f t="shared" si="147"/>
        <v>42.9</v>
      </c>
      <c r="DU88" s="16">
        <f t="shared" si="148"/>
        <v>57.1</v>
      </c>
      <c r="DV88" s="16">
        <f t="shared" si="149"/>
        <v>61.8</v>
      </c>
      <c r="DX88" s="197">
        <f t="shared" si="161"/>
        <v>1.2633148148148163</v>
      </c>
      <c r="DY88" s="197">
        <f t="shared" si="162"/>
        <v>0.93702399999999997</v>
      </c>
      <c r="DZ88" s="222">
        <f t="shared" si="163"/>
        <v>5.3158085106382886</v>
      </c>
      <c r="EA88" s="192">
        <f t="shared" si="164"/>
        <v>1.9370240000000001</v>
      </c>
      <c r="EB88" s="197" t="e">
        <f t="shared" si="159"/>
        <v>#N/A</v>
      </c>
      <c r="EC88" s="192">
        <f t="shared" si="160"/>
        <v>3.9370240000000001</v>
      </c>
      <c r="ED88" s="197" t="e">
        <f t="shared" si="143"/>
        <v>#N/A</v>
      </c>
      <c r="EE88" s="192">
        <f t="shared" si="144"/>
        <v>5.9370240000000001</v>
      </c>
    </row>
    <row r="89" spans="5:137" ht="11.25" customHeight="1">
      <c r="E89" s="466">
        <v>88</v>
      </c>
      <c r="F89" s="474"/>
      <c r="G89" s="471"/>
      <c r="H89" s="321"/>
      <c r="I89" s="326"/>
      <c r="J89" s="30"/>
      <c r="BI89" s="621">
        <v>81</v>
      </c>
      <c r="BJ89" s="624"/>
      <c r="BK89" s="623"/>
      <c r="BL89" s="1109"/>
      <c r="BM89" s="1109"/>
      <c r="BN89" s="24"/>
      <c r="BP89" s="621">
        <v>81</v>
      </c>
      <c r="BQ89" s="624"/>
      <c r="BR89" s="623"/>
      <c r="BS89" s="1109"/>
      <c r="BT89" s="1109"/>
      <c r="BU89" s="24"/>
      <c r="BW89" s="621">
        <v>81</v>
      </c>
      <c r="BX89" s="624">
        <v>7.6</v>
      </c>
      <c r="BY89" s="623"/>
      <c r="BZ89" s="1109"/>
      <c r="CA89" s="1109"/>
      <c r="CB89" s="24"/>
      <c r="CT89" s="16" t="e">
        <f t="shared" si="154"/>
        <v>#N/A</v>
      </c>
      <c r="CU89" s="197" t="e">
        <f t="shared" si="155"/>
        <v>#N/A</v>
      </c>
      <c r="CV89" s="197" t="e">
        <f t="shared" si="156"/>
        <v>#N/A</v>
      </c>
      <c r="CW89" s="197">
        <v>86</v>
      </c>
      <c r="CX89" s="197" t="str">
        <f t="shared" si="150"/>
        <v/>
      </c>
      <c r="CY89" s="197" t="e">
        <f t="shared" si="151"/>
        <v>#N/A</v>
      </c>
      <c r="CZ89" s="197" t="e">
        <f t="shared" si="152"/>
        <v>#N/A</v>
      </c>
      <c r="DA89" s="197" t="str">
        <f t="shared" si="157"/>
        <v/>
      </c>
      <c r="DB89" s="16" t="e">
        <f t="shared" si="153"/>
        <v>#N/A</v>
      </c>
      <c r="DC89" s="16" t="e">
        <f>IF(ISNUMBER(CX89),COUNTIF($DB$4:DB89,DB89)-1,NA())</f>
        <v>#N/A</v>
      </c>
      <c r="DK89" s="16">
        <v>29</v>
      </c>
      <c r="DL89" s="16" t="e">
        <f>IF($X$3=0,NA(),IF(kbins&lt;DK89,NA(),$DI$32))</f>
        <v>#N/A</v>
      </c>
      <c r="DM89" s="16">
        <f>$DJ$31</f>
        <v>0</v>
      </c>
      <c r="DP89" s="16">
        <f t="shared" si="158"/>
        <v>7.1098893880844116E-2</v>
      </c>
      <c r="DQ89" s="16">
        <v>87</v>
      </c>
      <c r="DR89" s="16">
        <f t="shared" si="145"/>
        <v>35.299999999999997</v>
      </c>
      <c r="DS89" s="16">
        <f t="shared" si="146"/>
        <v>1.2594089802546251</v>
      </c>
      <c r="DT89" s="16">
        <f t="shared" si="147"/>
        <v>59.1</v>
      </c>
      <c r="DU89" s="16">
        <f t="shared" si="148"/>
        <v>40.9</v>
      </c>
      <c r="DV89" s="16">
        <f t="shared" si="149"/>
        <v>35.1</v>
      </c>
      <c r="DX89" s="197">
        <f t="shared" si="161"/>
        <v>1.2768396825396842</v>
      </c>
      <c r="DY89" s="197">
        <f t="shared" si="162"/>
        <v>0.93702399999999997</v>
      </c>
      <c r="DZ89" s="222">
        <f t="shared" si="163"/>
        <v>5.3430021276595649</v>
      </c>
      <c r="EA89" s="192">
        <f t="shared" si="164"/>
        <v>1.9370240000000001</v>
      </c>
      <c r="EB89" s="197" t="e">
        <f t="shared" si="159"/>
        <v>#N/A</v>
      </c>
      <c r="EC89" s="192">
        <f t="shared" si="160"/>
        <v>3.9370240000000001</v>
      </c>
      <c r="ED89" s="197" t="e">
        <f t="shared" si="143"/>
        <v>#N/A</v>
      </c>
      <c r="EE89" s="192">
        <f t="shared" si="144"/>
        <v>5.9370240000000001</v>
      </c>
    </row>
    <row r="90" spans="5:137" ht="11.25" customHeight="1">
      <c r="E90" s="466">
        <v>89</v>
      </c>
      <c r="F90" s="474"/>
      <c r="G90" s="471"/>
      <c r="H90" s="321"/>
      <c r="I90" s="326"/>
      <c r="J90" s="30"/>
      <c r="BI90" s="621">
        <v>82</v>
      </c>
      <c r="BJ90" s="624"/>
      <c r="BK90" s="623"/>
      <c r="BL90" s="1109"/>
      <c r="BM90" s="1109"/>
      <c r="BN90" s="24"/>
      <c r="BP90" s="621">
        <v>82</v>
      </c>
      <c r="BQ90" s="624"/>
      <c r="BR90" s="623"/>
      <c r="BS90" s="1109"/>
      <c r="BT90" s="1109"/>
      <c r="BU90" s="24"/>
      <c r="BW90" s="621">
        <v>82</v>
      </c>
      <c r="BX90" s="624">
        <v>12.2</v>
      </c>
      <c r="BY90" s="623"/>
      <c r="BZ90" s="1109"/>
      <c r="CA90" s="1109"/>
      <c r="CB90" s="24"/>
      <c r="CT90" s="16" t="e">
        <f t="shared" si="154"/>
        <v>#N/A</v>
      </c>
      <c r="CU90" s="197" t="e">
        <f t="shared" si="155"/>
        <v>#N/A</v>
      </c>
      <c r="CV90" s="197" t="e">
        <f t="shared" si="156"/>
        <v>#N/A</v>
      </c>
      <c r="CW90" s="197">
        <v>87</v>
      </c>
      <c r="CX90" s="197" t="str">
        <f t="shared" si="150"/>
        <v/>
      </c>
      <c r="CY90" s="197" t="e">
        <f t="shared" si="151"/>
        <v>#N/A</v>
      </c>
      <c r="CZ90" s="197" t="e">
        <f t="shared" si="152"/>
        <v>#N/A</v>
      </c>
      <c r="DA90" s="197" t="str">
        <f t="shared" si="157"/>
        <v/>
      </c>
      <c r="DB90" s="16" t="e">
        <f t="shared" si="153"/>
        <v>#N/A</v>
      </c>
      <c r="DC90" s="16" t="e">
        <f>IF(ISNUMBER(CX90),COUNTIF($DB$4:DB90,DB90)-1,NA())</f>
        <v>#N/A</v>
      </c>
      <c r="DK90" s="16">
        <v>29</v>
      </c>
      <c r="DL90" s="16" t="e">
        <f>IF($X$3=0,NA(),IF(kbins&lt;DK90,NA(),$DI$32))</f>
        <v>#N/A</v>
      </c>
      <c r="DM90" s="16">
        <v>0</v>
      </c>
      <c r="DP90" s="16">
        <f t="shared" si="158"/>
        <v>0.86309406161308289</v>
      </c>
      <c r="DQ90" s="16">
        <v>88</v>
      </c>
      <c r="DR90" s="16">
        <f t="shared" si="145"/>
        <v>60.9</v>
      </c>
      <c r="DS90" s="16">
        <f t="shared" si="146"/>
        <v>3.0527963623781718</v>
      </c>
      <c r="DT90" s="16">
        <f t="shared" si="147"/>
        <v>41.4</v>
      </c>
      <c r="DU90" s="16">
        <f t="shared" si="148"/>
        <v>58.6</v>
      </c>
      <c r="DV90" s="16">
        <f t="shared" si="149"/>
        <v>62.6</v>
      </c>
      <c r="DX90" s="197">
        <f t="shared" si="161"/>
        <v>1.290364550264552</v>
      </c>
      <c r="DY90" s="197">
        <f t="shared" si="162"/>
        <v>0.93702399999999997</v>
      </c>
      <c r="DZ90" s="222">
        <f t="shared" si="163"/>
        <v>5.3701957446808413</v>
      </c>
      <c r="EA90" s="192">
        <f t="shared" si="164"/>
        <v>1.9370240000000001</v>
      </c>
      <c r="EB90" s="197" t="e">
        <f t="shared" si="159"/>
        <v>#N/A</v>
      </c>
      <c r="EC90" s="192">
        <f t="shared" si="160"/>
        <v>3.9370240000000001</v>
      </c>
      <c r="ED90" s="197" t="e">
        <f t="shared" si="143"/>
        <v>#N/A</v>
      </c>
      <c r="EE90" s="192">
        <f t="shared" si="144"/>
        <v>5.9370240000000001</v>
      </c>
    </row>
    <row r="91" spans="5:137" ht="11.25" customHeight="1">
      <c r="E91" s="466">
        <v>90</v>
      </c>
      <c r="F91" s="474"/>
      <c r="G91" s="471"/>
      <c r="H91" s="321"/>
      <c r="I91" s="326"/>
      <c r="J91" s="30"/>
      <c r="BI91" s="621">
        <v>83</v>
      </c>
      <c r="BJ91" s="624"/>
      <c r="BK91" s="623"/>
      <c r="BL91" s="1109"/>
      <c r="BM91" s="1109"/>
      <c r="BN91" s="24"/>
      <c r="BP91" s="621">
        <v>83</v>
      </c>
      <c r="BQ91" s="624"/>
      <c r="BR91" s="623"/>
      <c r="BS91" s="1109"/>
      <c r="BT91" s="1109"/>
      <c r="BU91" s="24"/>
      <c r="BW91" s="621">
        <v>83</v>
      </c>
      <c r="BX91" s="624">
        <v>10.8</v>
      </c>
      <c r="BY91" s="623"/>
      <c r="BZ91" s="1109"/>
      <c r="CA91" s="1109"/>
      <c r="CB91" s="24"/>
      <c r="CT91" s="16" t="e">
        <f t="shared" si="154"/>
        <v>#N/A</v>
      </c>
      <c r="CU91" s="197" t="e">
        <f t="shared" si="155"/>
        <v>#N/A</v>
      </c>
      <c r="CV91" s="197" t="e">
        <f t="shared" si="156"/>
        <v>#N/A</v>
      </c>
      <c r="CW91" s="197">
        <v>88</v>
      </c>
      <c r="CX91" s="197" t="str">
        <f t="shared" si="150"/>
        <v/>
      </c>
      <c r="CY91" s="197" t="e">
        <f t="shared" si="151"/>
        <v>#N/A</v>
      </c>
      <c r="CZ91" s="197" t="e">
        <f t="shared" si="152"/>
        <v>#N/A</v>
      </c>
      <c r="DA91" s="197" t="str">
        <f t="shared" si="157"/>
        <v/>
      </c>
      <c r="DB91" s="16" t="e">
        <f t="shared" si="153"/>
        <v>#N/A</v>
      </c>
      <c r="DC91" s="16" t="e">
        <f>IF(ISNUMBER(CX91),COUNTIF($DB$4:DB91,DB91)-1,NA())</f>
        <v>#N/A</v>
      </c>
      <c r="DK91" s="16">
        <v>30</v>
      </c>
      <c r="DL91" s="16" t="e">
        <f>IF($X$3=0,NA(),IF(kbins&lt;DK91,NA(),$DI$32))</f>
        <v>#N/A</v>
      </c>
      <c r="DM91" s="16">
        <f>$DJ$32</f>
        <v>0</v>
      </c>
      <c r="DP91" s="16">
        <f t="shared" si="158"/>
        <v>0.83635362982749939</v>
      </c>
      <c r="DQ91" s="16">
        <v>89</v>
      </c>
      <c r="DR91" s="16">
        <f t="shared" si="145"/>
        <v>59.8</v>
      </c>
      <c r="DS91" s="16">
        <f t="shared" si="146"/>
        <v>2.9724749742686813</v>
      </c>
      <c r="DT91" s="16">
        <f t="shared" si="147"/>
        <v>43</v>
      </c>
      <c r="DU91" s="16">
        <f t="shared" si="148"/>
        <v>57</v>
      </c>
      <c r="DV91" s="16">
        <f t="shared" si="149"/>
        <v>61.7</v>
      </c>
      <c r="DX91" s="197">
        <f t="shared" si="161"/>
        <v>1.3038894179894198</v>
      </c>
      <c r="DY91" s="197">
        <f t="shared" si="162"/>
        <v>0.93702399999999997</v>
      </c>
      <c r="DZ91" s="222">
        <f t="shared" si="163"/>
        <v>5.3973893617021176</v>
      </c>
      <c r="EA91" s="192">
        <f t="shared" si="164"/>
        <v>1.9370240000000001</v>
      </c>
      <c r="EB91" s="197" t="e">
        <f t="shared" si="159"/>
        <v>#N/A</v>
      </c>
      <c r="EC91" s="192">
        <f t="shared" si="160"/>
        <v>3.9370240000000001</v>
      </c>
      <c r="ED91" s="197" t="e">
        <f t="shared" si="143"/>
        <v>#N/A</v>
      </c>
      <c r="EE91" s="192">
        <f t="shared" si="144"/>
        <v>5.9370240000000001</v>
      </c>
    </row>
    <row r="92" spans="5:137" ht="11.25" customHeight="1">
      <c r="E92" s="466">
        <v>91</v>
      </c>
      <c r="F92" s="474"/>
      <c r="G92" s="471"/>
      <c r="H92" s="321"/>
      <c r="I92" s="326"/>
      <c r="J92" s="30"/>
      <c r="BI92" s="621">
        <v>84</v>
      </c>
      <c r="BJ92" s="624"/>
      <c r="BK92" s="623"/>
      <c r="BL92" s="1109"/>
      <c r="BM92" s="1109"/>
      <c r="BN92" s="24"/>
      <c r="BP92" s="621">
        <v>84</v>
      </c>
      <c r="BQ92" s="624"/>
      <c r="BR92" s="623"/>
      <c r="BS92" s="1109"/>
      <c r="BT92" s="1109"/>
      <c r="BU92" s="24"/>
      <c r="BW92" s="621">
        <v>84</v>
      </c>
      <c r="BX92" s="624">
        <v>1</v>
      </c>
      <c r="BY92" s="623"/>
      <c r="BZ92" s="1109"/>
      <c r="CA92" s="1109"/>
      <c r="CB92" s="24"/>
      <c r="CT92" s="16" t="e">
        <f t="shared" si="154"/>
        <v>#N/A</v>
      </c>
      <c r="CU92" s="197" t="e">
        <f t="shared" si="155"/>
        <v>#N/A</v>
      </c>
      <c r="CV92" s="197" t="e">
        <f t="shared" si="156"/>
        <v>#N/A</v>
      </c>
      <c r="CW92" s="197">
        <v>89</v>
      </c>
      <c r="CX92" s="197" t="str">
        <f t="shared" si="150"/>
        <v/>
      </c>
      <c r="CY92" s="197" t="e">
        <f t="shared" si="151"/>
        <v>#N/A</v>
      </c>
      <c r="CZ92" s="197" t="e">
        <f t="shared" si="152"/>
        <v>#N/A</v>
      </c>
      <c r="DA92" s="197" t="str">
        <f t="shared" si="157"/>
        <v/>
      </c>
      <c r="DB92" s="16" t="e">
        <f t="shared" si="153"/>
        <v>#N/A</v>
      </c>
      <c r="DC92" s="16" t="e">
        <f>IF(ISNUMBER(CX92),COUNTIF($DB$4:DB92,DB92)-1,NA())</f>
        <v>#N/A</v>
      </c>
      <c r="DK92" s="16">
        <v>30</v>
      </c>
      <c r="DL92" s="16" t="e">
        <f>IF($X$3=0,NA(),IF(kbins&lt;DK92,NA(),$DI$33))</f>
        <v>#N/A</v>
      </c>
      <c r="DM92" s="16">
        <f>$DJ$32</f>
        <v>0</v>
      </c>
      <c r="DP92" s="16">
        <f t="shared" si="158"/>
        <v>0.17087218165397644</v>
      </c>
      <c r="DQ92" s="16">
        <v>90</v>
      </c>
      <c r="DR92" s="16">
        <f t="shared" si="145"/>
        <v>40.5</v>
      </c>
      <c r="DS92" s="16">
        <f t="shared" si="146"/>
        <v>1.6212609332890171</v>
      </c>
      <c r="DT92" s="16">
        <f t="shared" si="147"/>
        <v>57.5</v>
      </c>
      <c r="DU92" s="16">
        <f t="shared" si="148"/>
        <v>42.5</v>
      </c>
      <c r="DV92" s="16">
        <f t="shared" si="149"/>
        <v>38.6</v>
      </c>
      <c r="DX92" s="197">
        <f t="shared" si="161"/>
        <v>1.3174142857142876</v>
      </c>
      <c r="DY92" s="197">
        <f t="shared" si="162"/>
        <v>0.93702399999999997</v>
      </c>
      <c r="DZ92" s="222">
        <f t="shared" si="163"/>
        <v>5.4245829787233939</v>
      </c>
      <c r="EA92" s="192">
        <f t="shared" si="164"/>
        <v>1.9370240000000001</v>
      </c>
      <c r="EB92" s="197" t="e">
        <f t="shared" si="159"/>
        <v>#N/A</v>
      </c>
      <c r="EC92" s="192">
        <f t="shared" si="160"/>
        <v>3.9370240000000001</v>
      </c>
      <c r="ED92" s="197" t="e">
        <f t="shared" si="143"/>
        <v>#N/A</v>
      </c>
      <c r="EE92" s="192">
        <f t="shared" si="144"/>
        <v>5.9370240000000001</v>
      </c>
    </row>
    <row r="93" spans="5:137" ht="11.25" customHeight="1">
      <c r="E93" s="466">
        <v>92</v>
      </c>
      <c r="F93" s="474"/>
      <c r="G93" s="471"/>
      <c r="H93" s="321"/>
      <c r="I93" s="326"/>
      <c r="J93" s="30"/>
      <c r="BI93" s="621">
        <v>85</v>
      </c>
      <c r="BJ93" s="624"/>
      <c r="BK93" s="623"/>
      <c r="BL93" s="1109"/>
      <c r="BM93" s="1109"/>
      <c r="BN93" s="24"/>
      <c r="BP93" s="621">
        <v>85</v>
      </c>
      <c r="BQ93" s="624"/>
      <c r="BR93" s="623"/>
      <c r="BS93" s="1109"/>
      <c r="BT93" s="1109"/>
      <c r="BU93" s="24"/>
      <c r="BW93" s="621">
        <v>85</v>
      </c>
      <c r="BX93" s="624">
        <v>2.9</v>
      </c>
      <c r="BY93" s="623"/>
      <c r="BZ93" s="1109"/>
      <c r="CA93" s="1109"/>
      <c r="CB93" s="24"/>
      <c r="CT93" s="16" t="e">
        <f t="shared" si="154"/>
        <v>#N/A</v>
      </c>
      <c r="CU93" s="197" t="e">
        <f t="shared" si="155"/>
        <v>#N/A</v>
      </c>
      <c r="CV93" s="197" t="e">
        <f t="shared" si="156"/>
        <v>#N/A</v>
      </c>
      <c r="CW93" s="197">
        <v>90</v>
      </c>
      <c r="CX93" s="197" t="str">
        <f t="shared" si="150"/>
        <v/>
      </c>
      <c r="CY93" s="197" t="e">
        <f t="shared" si="151"/>
        <v>#N/A</v>
      </c>
      <c r="CZ93" s="197" t="e">
        <f t="shared" si="152"/>
        <v>#N/A</v>
      </c>
      <c r="DA93" s="197" t="str">
        <f t="shared" si="157"/>
        <v/>
      </c>
      <c r="DB93" s="16" t="e">
        <f t="shared" si="153"/>
        <v>#N/A</v>
      </c>
      <c r="DC93" s="16" t="e">
        <f>IF(ISNUMBER(CX93),COUNTIF($DB$4:DB93,DB93)-1,NA())</f>
        <v>#N/A</v>
      </c>
      <c r="DK93" s="16">
        <v>30</v>
      </c>
      <c r="DL93" s="16" t="e">
        <f>IF($X$3=0,NA(),IF(kbins&lt;DK93,NA(),$DI$33))</f>
        <v>#N/A</v>
      </c>
      <c r="DM93" s="16">
        <v>0</v>
      </c>
      <c r="DP93" s="16">
        <f t="shared" si="158"/>
        <v>3.7878125905990601E-2</v>
      </c>
      <c r="DQ93" s="16">
        <v>91</v>
      </c>
      <c r="DR93" s="16">
        <f t="shared" si="145"/>
        <v>32.200000000000003</v>
      </c>
      <c r="DS93" s="16">
        <f t="shared" si="146"/>
        <v>1.0436670129966179</v>
      </c>
      <c r="DT93" s="16">
        <f t="shared" si="147"/>
        <v>59.7</v>
      </c>
      <c r="DU93" s="16">
        <f t="shared" si="148"/>
        <v>40.299999999999997</v>
      </c>
      <c r="DV93" s="16">
        <f t="shared" si="149"/>
        <v>34</v>
      </c>
      <c r="DX93" s="197">
        <f t="shared" si="161"/>
        <v>1.3309391534391555</v>
      </c>
      <c r="DY93" s="197">
        <f t="shared" si="162"/>
        <v>0.93702399999999997</v>
      </c>
      <c r="DZ93" s="222">
        <f t="shared" si="163"/>
        <v>5.4517765957446702</v>
      </c>
      <c r="EA93" s="192">
        <f t="shared" si="164"/>
        <v>1.9370240000000001</v>
      </c>
      <c r="EB93" s="197" t="e">
        <f t="shared" si="159"/>
        <v>#N/A</v>
      </c>
      <c r="EC93" s="192">
        <f t="shared" si="160"/>
        <v>3.9370240000000001</v>
      </c>
      <c r="ED93" s="197" t="e">
        <f t="shared" si="143"/>
        <v>#N/A</v>
      </c>
      <c r="EE93" s="192">
        <f t="shared" si="144"/>
        <v>5.9370240000000001</v>
      </c>
    </row>
    <row r="94" spans="5:137" ht="11.25" customHeight="1">
      <c r="E94" s="466">
        <v>93</v>
      </c>
      <c r="F94" s="474"/>
      <c r="G94" s="471"/>
      <c r="H94" s="321"/>
      <c r="I94" s="326"/>
      <c r="J94" s="30"/>
      <c r="BI94" s="621">
        <v>86</v>
      </c>
      <c r="BJ94" s="624"/>
      <c r="BK94" s="623"/>
      <c r="BL94" s="1109"/>
      <c r="BM94" s="1109"/>
      <c r="BN94" s="24"/>
      <c r="BP94" s="621">
        <v>86</v>
      </c>
      <c r="BQ94" s="624"/>
      <c r="BR94" s="623"/>
      <c r="BS94" s="1109"/>
      <c r="BT94" s="1109"/>
      <c r="BU94" s="24"/>
      <c r="BW94" s="621">
        <v>86</v>
      </c>
      <c r="BX94" s="624">
        <v>14.4</v>
      </c>
      <c r="BY94" s="623"/>
      <c r="BZ94" s="1109"/>
      <c r="CA94" s="1109"/>
      <c r="CB94" s="24"/>
      <c r="CT94" s="16" t="e">
        <f t="shared" si="154"/>
        <v>#N/A</v>
      </c>
      <c r="CU94" s="197" t="e">
        <f t="shared" si="155"/>
        <v>#N/A</v>
      </c>
      <c r="CV94" s="197" t="e">
        <f t="shared" si="156"/>
        <v>#N/A</v>
      </c>
      <c r="CW94" s="197">
        <v>91</v>
      </c>
      <c r="CX94" s="197" t="str">
        <f t="shared" si="150"/>
        <v/>
      </c>
      <c r="CY94" s="197" t="e">
        <f t="shared" si="151"/>
        <v>#N/A</v>
      </c>
      <c r="CZ94" s="197" t="e">
        <f t="shared" si="152"/>
        <v>#N/A</v>
      </c>
      <c r="DA94" s="197" t="str">
        <f t="shared" si="157"/>
        <v/>
      </c>
      <c r="DB94" s="16" t="e">
        <f t="shared" si="153"/>
        <v>#N/A</v>
      </c>
      <c r="DC94" s="16" t="e">
        <f>IF(ISNUMBER(CX94),COUNTIF($DB$4:DB94,DB94)-1,NA())</f>
        <v>#N/A</v>
      </c>
      <c r="DP94" s="16">
        <f t="shared" si="158"/>
        <v>0.75147554278373718</v>
      </c>
      <c r="DQ94" s="16">
        <v>92</v>
      </c>
      <c r="DR94" s="16">
        <f t="shared" si="145"/>
        <v>56.8</v>
      </c>
      <c r="DS94" s="16">
        <f t="shared" si="146"/>
        <v>2.762166195168656</v>
      </c>
      <c r="DT94" s="16">
        <f t="shared" si="147"/>
        <v>46.7</v>
      </c>
      <c r="DU94" s="16">
        <f t="shared" si="148"/>
        <v>53.3</v>
      </c>
      <c r="DV94" s="16">
        <f t="shared" si="149"/>
        <v>58.7</v>
      </c>
      <c r="DX94" s="197">
        <f t="shared" si="161"/>
        <v>1.3444640211640233</v>
      </c>
      <c r="DY94" s="197">
        <f t="shared" si="162"/>
        <v>0.93702399999999997</v>
      </c>
      <c r="DZ94" s="222">
        <f t="shared" si="163"/>
        <v>5.4789702127659465</v>
      </c>
      <c r="EA94" s="192">
        <f t="shared" si="164"/>
        <v>1.9370240000000001</v>
      </c>
      <c r="EB94" s="197" t="e">
        <f t="shared" si="159"/>
        <v>#N/A</v>
      </c>
      <c r="EC94" s="192">
        <f t="shared" si="160"/>
        <v>3.9370240000000001</v>
      </c>
      <c r="ED94" s="197" t="e">
        <f t="shared" si="143"/>
        <v>#N/A</v>
      </c>
      <c r="EE94" s="192">
        <f t="shared" si="144"/>
        <v>5.9370240000000001</v>
      </c>
    </row>
    <row r="95" spans="5:137" ht="11.25" customHeight="1">
      <c r="E95" s="466">
        <v>94</v>
      </c>
      <c r="F95" s="474"/>
      <c r="G95" s="471"/>
      <c r="H95" s="321"/>
      <c r="I95" s="326"/>
      <c r="J95" s="30"/>
      <c r="BI95" s="621">
        <v>87</v>
      </c>
      <c r="BJ95" s="624"/>
      <c r="BK95" s="623"/>
      <c r="BL95" s="1109"/>
      <c r="BM95" s="1109"/>
      <c r="BN95" s="24"/>
      <c r="BP95" s="621">
        <v>87</v>
      </c>
      <c r="BQ95" s="624"/>
      <c r="BR95" s="623"/>
      <c r="BS95" s="1109"/>
      <c r="BT95" s="1109"/>
      <c r="BU95" s="24"/>
      <c r="BW95" s="621">
        <v>87</v>
      </c>
      <c r="BX95" s="624">
        <v>8.4</v>
      </c>
      <c r="BY95" s="623"/>
      <c r="BZ95" s="1109"/>
      <c r="CA95" s="1109"/>
      <c r="CB95" s="24"/>
      <c r="CT95" s="16" t="e">
        <f t="shared" si="154"/>
        <v>#N/A</v>
      </c>
      <c r="CU95" s="197" t="e">
        <f t="shared" si="155"/>
        <v>#N/A</v>
      </c>
      <c r="CV95" s="197" t="e">
        <f t="shared" si="156"/>
        <v>#N/A</v>
      </c>
      <c r="CW95" s="197">
        <v>92</v>
      </c>
      <c r="CX95" s="197" t="str">
        <f t="shared" si="150"/>
        <v/>
      </c>
      <c r="CY95" s="197" t="e">
        <f t="shared" si="151"/>
        <v>#N/A</v>
      </c>
      <c r="CZ95" s="197" t="e">
        <f t="shared" si="152"/>
        <v>#N/A</v>
      </c>
      <c r="DA95" s="197" t="str">
        <f t="shared" si="157"/>
        <v/>
      </c>
      <c r="DB95" s="16" t="e">
        <f t="shared" si="153"/>
        <v>#N/A</v>
      </c>
      <c r="DC95" s="16" t="e">
        <f>IF(ISNUMBER(CX95),COUNTIF($DB$4:DB95,DB95)-1,NA())</f>
        <v>#N/A</v>
      </c>
      <c r="DP95" s="16">
        <f t="shared" si="158"/>
        <v>0.19701942801475525</v>
      </c>
      <c r="DQ95" s="16">
        <v>93</v>
      </c>
      <c r="DR95" s="16">
        <f t="shared" si="145"/>
        <v>41.5</v>
      </c>
      <c r="DS95" s="16">
        <f t="shared" si="146"/>
        <v>1.6901468855012576</v>
      </c>
      <c r="DT95" s="16">
        <f t="shared" si="147"/>
        <v>57.2</v>
      </c>
      <c r="DU95" s="16">
        <f t="shared" si="148"/>
        <v>42.8</v>
      </c>
      <c r="DV95" s="16">
        <f t="shared" si="149"/>
        <v>39.5</v>
      </c>
      <c r="DX95" s="197">
        <f t="shared" si="161"/>
        <v>1.3579888888888911</v>
      </c>
      <c r="DY95" s="197">
        <f t="shared" si="162"/>
        <v>0.93702399999999997</v>
      </c>
      <c r="DZ95" s="222">
        <f t="shared" si="163"/>
        <v>5.5061638297872229</v>
      </c>
      <c r="EA95" s="192">
        <f t="shared" si="164"/>
        <v>1.9370240000000001</v>
      </c>
      <c r="EB95" s="197" t="e">
        <f t="shared" si="159"/>
        <v>#N/A</v>
      </c>
      <c r="EC95" s="192">
        <f t="shared" si="160"/>
        <v>3.9370240000000001</v>
      </c>
      <c r="ED95" s="197" t="e">
        <f t="shared" si="143"/>
        <v>#N/A</v>
      </c>
      <c r="EE95" s="192">
        <f t="shared" si="144"/>
        <v>5.9370240000000001</v>
      </c>
    </row>
    <row r="96" spans="5:137" ht="11.25" customHeight="1">
      <c r="E96" s="466">
        <v>95</v>
      </c>
      <c r="F96" s="474"/>
      <c r="G96" s="471"/>
      <c r="H96" s="321"/>
      <c r="I96" s="326"/>
      <c r="J96" s="30"/>
      <c r="BI96" s="621">
        <v>88</v>
      </c>
      <c r="BJ96" s="624"/>
      <c r="BK96" s="623"/>
      <c r="BL96" s="1109"/>
      <c r="BM96" s="1109"/>
      <c r="BN96" s="24"/>
      <c r="BP96" s="621">
        <v>88</v>
      </c>
      <c r="BQ96" s="624"/>
      <c r="BR96" s="623"/>
      <c r="BS96" s="1109"/>
      <c r="BT96" s="1109"/>
      <c r="BU96" s="24"/>
      <c r="BW96" s="621">
        <v>88</v>
      </c>
      <c r="BX96" s="624">
        <v>17.7</v>
      </c>
      <c r="BY96" s="623"/>
      <c r="BZ96" s="1109"/>
      <c r="CA96" s="1109"/>
      <c r="CB96" s="24"/>
      <c r="CT96" s="16" t="e">
        <f t="shared" si="154"/>
        <v>#N/A</v>
      </c>
      <c r="CU96" s="197" t="e">
        <f t="shared" si="155"/>
        <v>#N/A</v>
      </c>
      <c r="CV96" s="197" t="e">
        <f t="shared" si="156"/>
        <v>#N/A</v>
      </c>
      <c r="CW96" s="197">
        <v>93</v>
      </c>
      <c r="CX96" s="197" t="str">
        <f t="shared" si="150"/>
        <v/>
      </c>
      <c r="CY96" s="197" t="e">
        <f t="shared" si="151"/>
        <v>#N/A</v>
      </c>
      <c r="CZ96" s="197" t="e">
        <f t="shared" si="152"/>
        <v>#N/A</v>
      </c>
      <c r="DA96" s="197" t="str">
        <f t="shared" si="157"/>
        <v/>
      </c>
      <c r="DB96" s="16" t="e">
        <f t="shared" si="153"/>
        <v>#N/A</v>
      </c>
      <c r="DC96" s="16" t="e">
        <f>IF(ISNUMBER(CX96),COUNTIF($DB$4:DB96,DB96)-1,NA())</f>
        <v>#N/A</v>
      </c>
      <c r="DP96" s="16">
        <f t="shared" si="158"/>
        <v>0.84140011668205261</v>
      </c>
      <c r="DQ96" s="16">
        <v>94</v>
      </c>
      <c r="DR96" s="16">
        <f t="shared" si="145"/>
        <v>60</v>
      </c>
      <c r="DS96" s="16">
        <f t="shared" si="146"/>
        <v>2.9869281246035104</v>
      </c>
      <c r="DT96" s="16">
        <f t="shared" si="147"/>
        <v>42.8</v>
      </c>
      <c r="DU96" s="16">
        <f t="shared" si="148"/>
        <v>57.2</v>
      </c>
      <c r="DV96" s="16">
        <f t="shared" si="149"/>
        <v>61.8</v>
      </c>
      <c r="DX96" s="197">
        <f t="shared" si="161"/>
        <v>1.371513756613759</v>
      </c>
      <c r="DY96" s="197">
        <f t="shared" si="162"/>
        <v>0.93702399999999997</v>
      </c>
      <c r="DZ96" s="222">
        <f t="shared" ref="DZ96:DZ105" si="165">IF(EA$5=0,NA(),DZ95+EA$9)</f>
        <v>5.5333574468084992</v>
      </c>
      <c r="EA96" s="192">
        <f t="shared" ref="EA96:EA105" si="166">EA95</f>
        <v>1.9370240000000001</v>
      </c>
      <c r="EB96" s="197" t="e">
        <f t="shared" si="159"/>
        <v>#N/A</v>
      </c>
      <c r="EC96" s="192">
        <f t="shared" si="160"/>
        <v>3.9370240000000001</v>
      </c>
      <c r="ED96" s="197" t="e">
        <f t="shared" si="143"/>
        <v>#N/A</v>
      </c>
      <c r="EE96" s="192">
        <f t="shared" si="144"/>
        <v>5.9370240000000001</v>
      </c>
    </row>
    <row r="97" spans="5:135" ht="11.25" customHeight="1">
      <c r="E97" s="466">
        <v>96</v>
      </c>
      <c r="F97" s="474"/>
      <c r="G97" s="471"/>
      <c r="H97" s="321"/>
      <c r="I97" s="326"/>
      <c r="J97" s="30"/>
      <c r="BI97" s="621">
        <v>89</v>
      </c>
      <c r="BJ97" s="624"/>
      <c r="BK97" s="623"/>
      <c r="BL97" s="1109"/>
      <c r="BM97" s="1109"/>
      <c r="BN97" s="24"/>
      <c r="BP97" s="621">
        <v>89</v>
      </c>
      <c r="BQ97" s="624"/>
      <c r="BR97" s="623"/>
      <c r="BS97" s="1109"/>
      <c r="BT97" s="1109"/>
      <c r="BU97" s="24"/>
      <c r="BW97" s="621">
        <v>89</v>
      </c>
      <c r="BX97" s="624">
        <v>20.100000000000001</v>
      </c>
      <c r="BY97" s="623"/>
      <c r="BZ97" s="1109"/>
      <c r="CA97" s="1109"/>
      <c r="CB97" s="24"/>
      <c r="CT97" s="16" t="e">
        <f t="shared" si="154"/>
        <v>#N/A</v>
      </c>
      <c r="CU97" s="197" t="e">
        <f t="shared" si="155"/>
        <v>#N/A</v>
      </c>
      <c r="CV97" s="197" t="e">
        <f t="shared" si="156"/>
        <v>#N/A</v>
      </c>
      <c r="CW97" s="197">
        <v>94</v>
      </c>
      <c r="CX97" s="197" t="str">
        <f t="shared" si="150"/>
        <v/>
      </c>
      <c r="CY97" s="197" t="e">
        <f t="shared" si="151"/>
        <v>#N/A</v>
      </c>
      <c r="CZ97" s="197" t="e">
        <f t="shared" si="152"/>
        <v>#N/A</v>
      </c>
      <c r="DA97" s="197" t="str">
        <f t="shared" si="157"/>
        <v/>
      </c>
      <c r="DB97" s="16" t="e">
        <f t="shared" si="153"/>
        <v>#N/A</v>
      </c>
      <c r="DC97" s="16" t="e">
        <f>IF(ISNUMBER(CX97),COUNTIF($DB$4:DB97,DB97)-1,NA())</f>
        <v>#N/A</v>
      </c>
      <c r="DP97" s="16">
        <f t="shared" si="158"/>
        <v>0.10502204298973083</v>
      </c>
      <c r="DQ97" s="16">
        <v>95</v>
      </c>
      <c r="DR97" s="16">
        <f t="shared" si="145"/>
        <v>37.5</v>
      </c>
      <c r="DS97" s="16">
        <f t="shared" si="146"/>
        <v>1.4093569679158922</v>
      </c>
      <c r="DT97" s="16">
        <f t="shared" si="147"/>
        <v>58.5</v>
      </c>
      <c r="DU97" s="16">
        <f t="shared" si="148"/>
        <v>41.5</v>
      </c>
      <c r="DV97" s="16">
        <f t="shared" si="149"/>
        <v>36.299999999999997</v>
      </c>
      <c r="DX97" s="197">
        <f t="shared" si="161"/>
        <v>1.3850386243386268</v>
      </c>
      <c r="DY97" s="197">
        <f t="shared" si="162"/>
        <v>0.93702399999999997</v>
      </c>
      <c r="DZ97" s="222">
        <f t="shared" si="165"/>
        <v>5.5605510638297755</v>
      </c>
      <c r="EA97" s="192">
        <f t="shared" si="166"/>
        <v>1.9370240000000001</v>
      </c>
      <c r="EB97" s="197" t="e">
        <f t="shared" si="159"/>
        <v>#N/A</v>
      </c>
      <c r="EC97" s="192">
        <f t="shared" si="160"/>
        <v>3.9370240000000001</v>
      </c>
      <c r="ED97" s="197" t="e">
        <f t="shared" si="143"/>
        <v>#N/A</v>
      </c>
      <c r="EE97" s="192">
        <f t="shared" si="144"/>
        <v>5.9370240000000001</v>
      </c>
    </row>
    <row r="98" spans="5:135" ht="11.25" customHeight="1">
      <c r="E98" s="466">
        <v>97</v>
      </c>
      <c r="F98" s="474"/>
      <c r="G98" s="471"/>
      <c r="H98" s="321"/>
      <c r="I98" s="326"/>
      <c r="J98" s="30"/>
      <c r="BI98" s="621">
        <v>90</v>
      </c>
      <c r="BJ98" s="624"/>
      <c r="BK98" s="623"/>
      <c r="BL98" s="1109"/>
      <c r="BM98" s="1109"/>
      <c r="BN98" s="24"/>
      <c r="BP98" s="621">
        <v>90</v>
      </c>
      <c r="BQ98" s="624"/>
      <c r="BR98" s="623"/>
      <c r="BS98" s="1109"/>
      <c r="BT98" s="1109"/>
      <c r="BU98" s="24"/>
      <c r="BW98" s="621">
        <v>90</v>
      </c>
      <c r="BX98" s="624">
        <v>2.1</v>
      </c>
      <c r="BY98" s="623"/>
      <c r="BZ98" s="1109"/>
      <c r="CA98" s="1109"/>
      <c r="CB98" s="24"/>
      <c r="CT98" s="16" t="e">
        <f t="shared" si="154"/>
        <v>#N/A</v>
      </c>
      <c r="CU98" s="197" t="e">
        <f t="shared" si="155"/>
        <v>#N/A</v>
      </c>
      <c r="CV98" s="197" t="e">
        <f t="shared" si="156"/>
        <v>#N/A</v>
      </c>
      <c r="CW98" s="197">
        <v>95</v>
      </c>
      <c r="CX98" s="197" t="str">
        <f t="shared" si="150"/>
        <v/>
      </c>
      <c r="CY98" s="197" t="e">
        <f t="shared" si="151"/>
        <v>#N/A</v>
      </c>
      <c r="CZ98" s="197" t="e">
        <f t="shared" si="152"/>
        <v>#N/A</v>
      </c>
      <c r="DA98" s="197" t="str">
        <f t="shared" si="157"/>
        <v/>
      </c>
      <c r="DB98" s="16" t="e">
        <f t="shared" si="153"/>
        <v>#N/A</v>
      </c>
      <c r="DC98" s="16" t="e">
        <f>IF(ISNUMBER(CX98),COUNTIF($DB$4:DB98,DB98)-1,NA())</f>
        <v>#N/A</v>
      </c>
      <c r="DP98" s="16">
        <f t="shared" si="158"/>
        <v>0.79518386721611023</v>
      </c>
      <c r="DQ98" s="16">
        <v>96</v>
      </c>
      <c r="DR98" s="16">
        <f t="shared" si="145"/>
        <v>58.2</v>
      </c>
      <c r="DS98" s="16">
        <f t="shared" si="146"/>
        <v>2.8639465795421089</v>
      </c>
      <c r="DT98" s="16">
        <f t="shared" si="147"/>
        <v>45</v>
      </c>
      <c r="DU98" s="16">
        <f t="shared" si="148"/>
        <v>55</v>
      </c>
      <c r="DV98" s="16">
        <f t="shared" si="149"/>
        <v>60.2</v>
      </c>
      <c r="DX98" s="197">
        <f t="shared" si="161"/>
        <v>1.3985634920634946</v>
      </c>
      <c r="DY98" s="197">
        <f t="shared" si="162"/>
        <v>0.93702399999999997</v>
      </c>
      <c r="DZ98" s="222">
        <f t="shared" si="165"/>
        <v>5.5877446808510518</v>
      </c>
      <c r="EA98" s="192">
        <f t="shared" si="166"/>
        <v>1.9370240000000001</v>
      </c>
      <c r="EB98" s="197" t="e">
        <f t="shared" si="159"/>
        <v>#N/A</v>
      </c>
      <c r="EC98" s="192">
        <f t="shared" si="160"/>
        <v>3.9370240000000001</v>
      </c>
      <c r="ED98" s="197" t="e">
        <f t="shared" si="143"/>
        <v>#N/A</v>
      </c>
      <c r="EE98" s="192">
        <f t="shared" si="144"/>
        <v>5.9370240000000001</v>
      </c>
    </row>
    <row r="99" spans="5:135" ht="11.25" customHeight="1">
      <c r="E99" s="466">
        <v>98</v>
      </c>
      <c r="F99" s="474"/>
      <c r="G99" s="471"/>
      <c r="H99" s="321"/>
      <c r="I99" s="326"/>
      <c r="J99" s="30"/>
      <c r="BI99" s="621">
        <v>91</v>
      </c>
      <c r="BJ99" s="624"/>
      <c r="BK99" s="623"/>
      <c r="BL99" s="1109"/>
      <c r="BM99" s="1109"/>
      <c r="BN99" s="24"/>
      <c r="BP99" s="621">
        <v>91</v>
      </c>
      <c r="BQ99" s="624"/>
      <c r="BR99" s="623"/>
      <c r="BS99" s="1109"/>
      <c r="BT99" s="1109"/>
      <c r="BU99" s="24"/>
      <c r="BW99" s="621">
        <v>91</v>
      </c>
      <c r="BX99" s="624">
        <v>11.1</v>
      </c>
      <c r="BY99" s="623"/>
      <c r="BZ99" s="1109"/>
      <c r="CA99" s="1109"/>
      <c r="CB99" s="24"/>
      <c r="CT99" s="16" t="e">
        <f t="shared" si="154"/>
        <v>#N/A</v>
      </c>
      <c r="CU99" s="197" t="e">
        <f t="shared" si="155"/>
        <v>#N/A</v>
      </c>
      <c r="CV99" s="197" t="e">
        <f t="shared" si="156"/>
        <v>#N/A</v>
      </c>
      <c r="CW99" s="197">
        <v>96</v>
      </c>
      <c r="CX99" s="197" t="str">
        <f t="shared" si="150"/>
        <v/>
      </c>
      <c r="CY99" s="197" t="e">
        <f t="shared" si="151"/>
        <v>#N/A</v>
      </c>
      <c r="CZ99" s="197" t="e">
        <f t="shared" si="152"/>
        <v>#N/A</v>
      </c>
      <c r="DA99" s="197" t="str">
        <f t="shared" si="157"/>
        <v/>
      </c>
      <c r="DB99" s="16" t="e">
        <f t="shared" si="153"/>
        <v>#N/A</v>
      </c>
      <c r="DC99" s="16" t="e">
        <f>IF(ISNUMBER(CX99),COUNTIF($DB$4:DB99,DB99)-1,NA())</f>
        <v>#N/A</v>
      </c>
      <c r="DP99" s="16">
        <f t="shared" si="158"/>
        <v>9.5513761043548584E-3</v>
      </c>
      <c r="DQ99" s="16">
        <v>97</v>
      </c>
      <c r="DR99" s="16">
        <f t="shared" si="145"/>
        <v>26.6</v>
      </c>
      <c r="DS99" s="16">
        <f t="shared" si="146"/>
        <v>0.64630411770406804</v>
      </c>
      <c r="DT99" s="16">
        <f t="shared" si="147"/>
        <v>60.7</v>
      </c>
      <c r="DU99" s="16">
        <f t="shared" si="148"/>
        <v>39.299999999999997</v>
      </c>
      <c r="DV99" s="16">
        <f t="shared" si="149"/>
        <v>33</v>
      </c>
      <c r="DX99" s="197">
        <f t="shared" si="161"/>
        <v>1.4120883597883624</v>
      </c>
      <c r="DY99" s="197">
        <f t="shared" si="162"/>
        <v>0.93702399999999997</v>
      </c>
      <c r="DZ99" s="222">
        <f t="shared" si="165"/>
        <v>5.6149382978723281</v>
      </c>
      <c r="EA99" s="192">
        <f t="shared" si="166"/>
        <v>1.9370240000000001</v>
      </c>
      <c r="EB99" s="197" t="e">
        <f t="shared" si="159"/>
        <v>#N/A</v>
      </c>
      <c r="EC99" s="192">
        <f t="shared" si="160"/>
        <v>3.9370240000000001</v>
      </c>
      <c r="ED99" s="197" t="e">
        <f t="shared" si="143"/>
        <v>#N/A</v>
      </c>
      <c r="EE99" s="192">
        <f t="shared" si="144"/>
        <v>5.9370240000000001</v>
      </c>
    </row>
    <row r="100" spans="5:135" ht="11.25" customHeight="1">
      <c r="E100" s="466">
        <v>99</v>
      </c>
      <c r="F100" s="474"/>
      <c r="G100" s="471"/>
      <c r="H100" s="321"/>
      <c r="I100" s="326"/>
      <c r="J100" s="30"/>
      <c r="BI100" s="621">
        <v>92</v>
      </c>
      <c r="BJ100" s="624"/>
      <c r="BK100" s="623"/>
      <c r="BL100" s="1109"/>
      <c r="BM100" s="1109"/>
      <c r="BN100" s="24"/>
      <c r="BP100" s="621">
        <v>92</v>
      </c>
      <c r="BQ100" s="624"/>
      <c r="BR100" s="623"/>
      <c r="BS100" s="1109"/>
      <c r="BT100" s="1109"/>
      <c r="BU100" s="24"/>
      <c r="BW100" s="621">
        <v>92</v>
      </c>
      <c r="BX100" s="624">
        <v>11.2</v>
      </c>
      <c r="BY100" s="623"/>
      <c r="BZ100" s="1109"/>
      <c r="CA100" s="1109"/>
      <c r="CB100" s="24"/>
      <c r="CT100" s="16" t="e">
        <f t="shared" si="154"/>
        <v>#N/A</v>
      </c>
      <c r="CU100" s="197" t="e">
        <f t="shared" si="155"/>
        <v>#N/A</v>
      </c>
      <c r="CV100" s="197" t="e">
        <f t="shared" si="156"/>
        <v>#N/A</v>
      </c>
      <c r="CW100" s="197">
        <v>97</v>
      </c>
      <c r="CX100" s="197" t="str">
        <f t="shared" si="150"/>
        <v/>
      </c>
      <c r="CY100" s="197" t="e">
        <f t="shared" si="151"/>
        <v>#N/A</v>
      </c>
      <c r="CZ100" s="197" t="e">
        <f t="shared" si="152"/>
        <v>#N/A</v>
      </c>
      <c r="DA100" s="197" t="str">
        <f t="shared" si="157"/>
        <v/>
      </c>
      <c r="DB100" s="16" t="e">
        <f t="shared" si="153"/>
        <v>#N/A</v>
      </c>
      <c r="DC100" s="16" t="e">
        <f>IF(ISNUMBER(CX100),COUNTIF($DB$4:DB100,DB100)-1,NA())</f>
        <v>#N/A</v>
      </c>
      <c r="DP100" s="16">
        <f t="shared" si="158"/>
        <v>0.88521143794059753</v>
      </c>
      <c r="DQ100" s="16">
        <v>98</v>
      </c>
      <c r="DR100" s="16">
        <f t="shared" si="145"/>
        <v>62</v>
      </c>
      <c r="DS100" s="16">
        <f t="shared" si="146"/>
        <v>3.1277821414611404</v>
      </c>
      <c r="DT100" s="16">
        <f t="shared" si="147"/>
        <v>39.799999999999997</v>
      </c>
      <c r="DU100" s="16">
        <f t="shared" si="148"/>
        <v>60.2</v>
      </c>
      <c r="DV100" s="16">
        <f t="shared" si="149"/>
        <v>63.3</v>
      </c>
      <c r="DX100" s="197">
        <f t="shared" si="161"/>
        <v>1.4256132275132303</v>
      </c>
      <c r="DY100" s="197">
        <f t="shared" si="162"/>
        <v>0.93702399999999997</v>
      </c>
      <c r="DZ100" s="222">
        <f t="shared" si="165"/>
        <v>5.6421319148936044</v>
      </c>
      <c r="EA100" s="192">
        <f t="shared" si="166"/>
        <v>1.9370240000000001</v>
      </c>
      <c r="EB100" s="197" t="e">
        <f t="shared" si="159"/>
        <v>#N/A</v>
      </c>
      <c r="EC100" s="192">
        <f t="shared" si="160"/>
        <v>3.9370240000000001</v>
      </c>
      <c r="ED100" s="197" t="e">
        <f t="shared" si="143"/>
        <v>#N/A</v>
      </c>
      <c r="EE100" s="192">
        <f t="shared" si="144"/>
        <v>5.9370240000000001</v>
      </c>
    </row>
    <row r="101" spans="5:135" ht="11.25" customHeight="1">
      <c r="E101" s="466">
        <v>100</v>
      </c>
      <c r="F101" s="474"/>
      <c r="G101" s="471"/>
      <c r="H101" s="321"/>
      <c r="I101" s="326"/>
      <c r="J101" s="30"/>
      <c r="BI101" s="621">
        <v>93</v>
      </c>
      <c r="BJ101" s="624"/>
      <c r="BK101" s="623"/>
      <c r="BL101" s="1109"/>
      <c r="BM101" s="1109"/>
      <c r="BN101" s="24"/>
      <c r="BP101" s="621">
        <v>93</v>
      </c>
      <c r="BQ101" s="624"/>
      <c r="BR101" s="623"/>
      <c r="BS101" s="1109"/>
      <c r="BT101" s="1109"/>
      <c r="BU101" s="24"/>
      <c r="BW101" s="621">
        <v>93</v>
      </c>
      <c r="BX101" s="624">
        <v>10.7</v>
      </c>
      <c r="BY101" s="623"/>
      <c r="BZ101" s="1109"/>
      <c r="CA101" s="1109"/>
      <c r="CB101" s="24"/>
      <c r="CT101" s="16" t="e">
        <f t="shared" si="154"/>
        <v>#N/A</v>
      </c>
      <c r="CU101" s="197" t="e">
        <f t="shared" si="155"/>
        <v>#N/A</v>
      </c>
      <c r="CV101" s="197" t="e">
        <f t="shared" si="156"/>
        <v>#N/A</v>
      </c>
      <c r="CW101" s="197">
        <v>98</v>
      </c>
      <c r="CX101" s="197" t="str">
        <f t="shared" si="150"/>
        <v/>
      </c>
      <c r="CY101" s="197" t="e">
        <f t="shared" si="151"/>
        <v>#N/A</v>
      </c>
      <c r="CZ101" s="197" t="e">
        <f t="shared" si="152"/>
        <v>#N/A</v>
      </c>
      <c r="DA101" s="197" t="str">
        <f t="shared" si="157"/>
        <v/>
      </c>
      <c r="DB101" s="16" t="e">
        <f t="shared" si="153"/>
        <v>#N/A</v>
      </c>
      <c r="DC101" s="16" t="e">
        <f>IF(ISNUMBER(CX101),COUNTIF($DB$4:DB101,DB101)-1,NA())</f>
        <v>#N/A</v>
      </c>
      <c r="DP101" s="16">
        <f t="shared" si="158"/>
        <v>0.88715466856956482</v>
      </c>
      <c r="DQ101" s="16">
        <v>99</v>
      </c>
      <c r="DR101" s="16">
        <f t="shared" si="145"/>
        <v>62.1</v>
      </c>
      <c r="DS101" s="16">
        <f t="shared" si="146"/>
        <v>3.1348419967412733</v>
      </c>
      <c r="DT101" s="16">
        <f t="shared" si="147"/>
        <v>39.6</v>
      </c>
      <c r="DU101" s="16">
        <f t="shared" si="148"/>
        <v>60.4</v>
      </c>
      <c r="DV101" s="16">
        <f t="shared" si="149"/>
        <v>63.4</v>
      </c>
      <c r="DX101" s="197">
        <f t="shared" si="161"/>
        <v>1.4391380952380981</v>
      </c>
      <c r="DY101" s="197">
        <f t="shared" si="162"/>
        <v>0.93702399999999997</v>
      </c>
      <c r="DZ101" s="222">
        <f t="shared" si="165"/>
        <v>5.6693255319148808</v>
      </c>
      <c r="EA101" s="192">
        <f t="shared" si="166"/>
        <v>1.9370240000000001</v>
      </c>
      <c r="EB101" s="197" t="e">
        <f t="shared" si="159"/>
        <v>#N/A</v>
      </c>
      <c r="EC101" s="192">
        <f t="shared" si="160"/>
        <v>3.9370240000000001</v>
      </c>
      <c r="ED101" s="197" t="e">
        <f t="shared" si="143"/>
        <v>#N/A</v>
      </c>
      <c r="EE101" s="192">
        <f t="shared" si="144"/>
        <v>5.9370240000000001</v>
      </c>
    </row>
    <row r="102" spans="5:135" ht="11.25" customHeight="1">
      <c r="E102" s="466">
        <v>101</v>
      </c>
      <c r="F102" s="474"/>
      <c r="G102" s="471"/>
      <c r="H102" s="321"/>
      <c r="I102" s="326"/>
      <c r="J102" s="30"/>
      <c r="BI102" s="621">
        <v>94</v>
      </c>
      <c r="BJ102" s="624"/>
      <c r="BK102" s="623"/>
      <c r="BL102" s="1109"/>
      <c r="BM102" s="1109"/>
      <c r="BN102" s="24"/>
      <c r="BP102" s="621">
        <v>94</v>
      </c>
      <c r="BQ102" s="624"/>
      <c r="BR102" s="623"/>
      <c r="BS102" s="1109"/>
      <c r="BT102" s="1109"/>
      <c r="BU102" s="24"/>
      <c r="BW102" s="621">
        <v>94</v>
      </c>
      <c r="BX102" s="624">
        <v>1.9</v>
      </c>
      <c r="BY102" s="623"/>
      <c r="BZ102" s="1109"/>
      <c r="CA102" s="1109"/>
      <c r="CB102" s="24"/>
      <c r="CT102" s="16" t="e">
        <f t="shared" si="154"/>
        <v>#N/A</v>
      </c>
      <c r="CU102" s="197" t="e">
        <f t="shared" si="155"/>
        <v>#N/A</v>
      </c>
      <c r="CV102" s="197" t="e">
        <f t="shared" si="156"/>
        <v>#N/A</v>
      </c>
      <c r="CW102" s="197">
        <v>99</v>
      </c>
      <c r="CX102" s="197" t="str">
        <f t="shared" si="150"/>
        <v/>
      </c>
      <c r="CY102" s="197" t="e">
        <f t="shared" si="151"/>
        <v>#N/A</v>
      </c>
      <c r="CZ102" s="197" t="e">
        <f t="shared" si="152"/>
        <v>#N/A</v>
      </c>
      <c r="DA102" s="197" t="str">
        <f t="shared" si="157"/>
        <v/>
      </c>
      <c r="DB102" s="16" t="e">
        <f t="shared" si="153"/>
        <v>#N/A</v>
      </c>
      <c r="DC102" s="16" t="e">
        <f>IF(ISNUMBER(CX102),COUNTIF($DB$4:DB102,DB102)-1,NA())</f>
        <v>#N/A</v>
      </c>
      <c r="DP102" s="16">
        <f t="shared" si="158"/>
        <v>0.21870633959770203</v>
      </c>
      <c r="DQ102" s="16">
        <v>100</v>
      </c>
      <c r="DR102" s="16">
        <f t="shared" si="145"/>
        <v>42.2</v>
      </c>
      <c r="DS102" s="16">
        <f t="shared" si="146"/>
        <v>1.7431691283821764</v>
      </c>
      <c r="DT102" s="16">
        <f t="shared" si="147"/>
        <v>56.9</v>
      </c>
      <c r="DU102" s="16">
        <f t="shared" si="148"/>
        <v>43.1</v>
      </c>
      <c r="DV102" s="16">
        <f t="shared" si="149"/>
        <v>40.299999999999997</v>
      </c>
      <c r="DX102" s="197">
        <f t="shared" si="161"/>
        <v>1.4526629629629659</v>
      </c>
      <c r="DY102" s="197">
        <f t="shared" si="162"/>
        <v>0.93702399999999997</v>
      </c>
      <c r="DZ102" s="222">
        <f t="shared" si="165"/>
        <v>5.6965191489361571</v>
      </c>
      <c r="EA102" s="192">
        <f t="shared" si="166"/>
        <v>1.9370240000000001</v>
      </c>
      <c r="EB102" s="197" t="e">
        <f t="shared" si="159"/>
        <v>#N/A</v>
      </c>
      <c r="EC102" s="192">
        <f t="shared" si="160"/>
        <v>3.9370240000000001</v>
      </c>
    </row>
    <row r="103" spans="5:135" ht="11.25" customHeight="1">
      <c r="E103" s="466">
        <v>102</v>
      </c>
      <c r="F103" s="474"/>
      <c r="G103" s="471"/>
      <c r="H103" s="321"/>
      <c r="I103" s="326"/>
      <c r="J103" s="30"/>
      <c r="BI103" s="621">
        <v>95</v>
      </c>
      <c r="BJ103" s="624"/>
      <c r="BK103" s="623"/>
      <c r="BL103" s="1109"/>
      <c r="BM103" s="1109"/>
      <c r="BN103" s="24"/>
      <c r="BP103" s="621">
        <v>95</v>
      </c>
      <c r="BQ103" s="624"/>
      <c r="BR103" s="623"/>
      <c r="BS103" s="1109"/>
      <c r="BT103" s="1109"/>
      <c r="BU103" s="24"/>
      <c r="BW103" s="621">
        <v>95</v>
      </c>
      <c r="BX103" s="624">
        <v>5.2</v>
      </c>
      <c r="BY103" s="623"/>
      <c r="BZ103" s="1109"/>
      <c r="CA103" s="1109"/>
      <c r="CB103" s="24"/>
      <c r="CT103" s="16" t="e">
        <f t="shared" si="154"/>
        <v>#N/A</v>
      </c>
      <c r="CU103" s="197" t="e">
        <f t="shared" si="155"/>
        <v>#N/A</v>
      </c>
      <c r="CV103" s="197" t="e">
        <f t="shared" si="156"/>
        <v>#N/A</v>
      </c>
      <c r="CW103" s="197">
        <v>100</v>
      </c>
      <c r="CX103" s="197" t="str">
        <f t="shared" si="150"/>
        <v/>
      </c>
      <c r="CY103" s="197" t="e">
        <f t="shared" si="151"/>
        <v>#N/A</v>
      </c>
      <c r="CZ103" s="197" t="e">
        <f t="shared" si="152"/>
        <v>#N/A</v>
      </c>
      <c r="DA103" s="197" t="str">
        <f t="shared" si="157"/>
        <v/>
      </c>
      <c r="DB103" s="16" t="e">
        <f t="shared" si="153"/>
        <v>#N/A</v>
      </c>
      <c r="DC103" s="16" t="e">
        <f>IF(ISNUMBER(CX103),COUNTIF($DB$4:DB103,DB103)-1,NA())</f>
        <v>#N/A</v>
      </c>
      <c r="DP103" s="16">
        <f t="shared" si="158"/>
        <v>0.23915943503379822</v>
      </c>
      <c r="DQ103" s="16">
        <v>101</v>
      </c>
      <c r="DR103" s="16">
        <f t="shared" si="145"/>
        <v>42.9</v>
      </c>
      <c r="DS103" s="16">
        <f t="shared" si="146"/>
        <v>1.7904615994336808</v>
      </c>
      <c r="DT103" s="16">
        <f t="shared" si="147"/>
        <v>56.6</v>
      </c>
      <c r="DU103" s="16">
        <f t="shared" si="148"/>
        <v>43.4</v>
      </c>
      <c r="DV103" s="16">
        <f t="shared" si="149"/>
        <v>41</v>
      </c>
      <c r="DX103" s="197">
        <f t="shared" si="161"/>
        <v>1.4661878306878338</v>
      </c>
      <c r="DY103" s="197">
        <f t="shared" si="162"/>
        <v>0.93702399999999997</v>
      </c>
      <c r="DZ103" s="222">
        <f t="shared" si="165"/>
        <v>5.7237127659574334</v>
      </c>
      <c r="EA103" s="192">
        <f t="shared" si="166"/>
        <v>1.9370240000000001</v>
      </c>
      <c r="EB103" s="197" t="e">
        <f t="shared" si="159"/>
        <v>#N/A</v>
      </c>
      <c r="EC103" s="192">
        <f t="shared" si="160"/>
        <v>3.9370240000000001</v>
      </c>
    </row>
    <row r="104" spans="5:135" ht="11.25" customHeight="1">
      <c r="E104" s="466">
        <v>103</v>
      </c>
      <c r="F104" s="474"/>
      <c r="G104" s="471"/>
      <c r="H104" s="321"/>
      <c r="I104" s="326"/>
      <c r="J104" s="30"/>
      <c r="BI104" s="621">
        <v>96</v>
      </c>
      <c r="BJ104" s="624"/>
      <c r="BK104" s="623"/>
      <c r="BL104" s="1109"/>
      <c r="BM104" s="1109"/>
      <c r="BN104" s="24"/>
      <c r="BP104" s="621">
        <v>96</v>
      </c>
      <c r="BQ104" s="624"/>
      <c r="BR104" s="623"/>
      <c r="BS104" s="1109"/>
      <c r="BT104" s="1109"/>
      <c r="BU104" s="24"/>
      <c r="BW104" s="621">
        <v>96</v>
      </c>
      <c r="BX104" s="624">
        <v>9.6999999999999993</v>
      </c>
      <c r="BY104" s="623"/>
      <c r="BZ104" s="1109"/>
      <c r="CA104" s="1109"/>
      <c r="CB104" s="24"/>
      <c r="CT104" s="16" t="e">
        <f t="shared" si="154"/>
        <v>#N/A</v>
      </c>
      <c r="CU104" s="197" t="e">
        <f t="shared" si="155"/>
        <v>#N/A</v>
      </c>
      <c r="CV104" s="197" t="e">
        <f t="shared" si="156"/>
        <v>#N/A</v>
      </c>
      <c r="CW104" s="197">
        <v>101</v>
      </c>
      <c r="CX104" s="197" t="str">
        <f t="shared" si="150"/>
        <v/>
      </c>
      <c r="CY104" s="197" t="e">
        <f t="shared" si="151"/>
        <v>#N/A</v>
      </c>
      <c r="CZ104" s="197" t="e">
        <f t="shared" si="152"/>
        <v>#N/A</v>
      </c>
      <c r="DA104" s="197" t="str">
        <f t="shared" si="157"/>
        <v/>
      </c>
      <c r="DB104" s="16" t="e">
        <f t="shared" si="153"/>
        <v>#N/A</v>
      </c>
      <c r="DC104" s="16" t="e">
        <f>IF(ISNUMBER(CX104),COUNTIF($DB$4:DB104,DB104)-1,NA())</f>
        <v>#N/A</v>
      </c>
      <c r="DP104" s="16">
        <f t="shared" si="158"/>
        <v>0.45941063761711121</v>
      </c>
      <c r="DQ104" s="16">
        <v>102</v>
      </c>
      <c r="DR104" s="16">
        <f t="shared" si="145"/>
        <v>49</v>
      </c>
      <c r="DS104" s="16">
        <f t="shared" si="146"/>
        <v>2.2154248943139541</v>
      </c>
      <c r="DT104" s="16">
        <f t="shared" si="147"/>
        <v>53.4</v>
      </c>
      <c r="DU104" s="16">
        <f t="shared" si="148"/>
        <v>46.6</v>
      </c>
      <c r="DV104" s="16">
        <f t="shared" si="149"/>
        <v>48.6</v>
      </c>
      <c r="DX104" s="197">
        <f t="shared" si="161"/>
        <v>1.4797126984127016</v>
      </c>
      <c r="DY104" s="197">
        <f t="shared" si="162"/>
        <v>0.93702399999999997</v>
      </c>
      <c r="DZ104" s="222">
        <f t="shared" si="165"/>
        <v>5.7509063829787097</v>
      </c>
      <c r="EA104" s="192">
        <f t="shared" si="166"/>
        <v>1.9370240000000001</v>
      </c>
      <c r="EB104" s="197" t="e">
        <f t="shared" si="159"/>
        <v>#N/A</v>
      </c>
      <c r="EC104" s="192">
        <f t="shared" si="160"/>
        <v>3.9370240000000001</v>
      </c>
    </row>
    <row r="105" spans="5:135" ht="11.25" customHeight="1">
      <c r="E105" s="466">
        <v>104</v>
      </c>
      <c r="F105" s="474"/>
      <c r="G105" s="471"/>
      <c r="H105" s="321"/>
      <c r="I105" s="326"/>
      <c r="J105" s="30"/>
      <c r="BI105" s="621">
        <v>97</v>
      </c>
      <c r="BJ105" s="624"/>
      <c r="BK105" s="623"/>
      <c r="BL105" s="1109"/>
      <c r="BM105" s="1109"/>
      <c r="BN105" s="24"/>
      <c r="BP105" s="621">
        <v>97</v>
      </c>
      <c r="BQ105" s="624"/>
      <c r="BR105" s="623"/>
      <c r="BS105" s="1109"/>
      <c r="BT105" s="1109"/>
      <c r="BU105" s="24"/>
      <c r="BW105" s="621">
        <v>97</v>
      </c>
      <c r="BX105" s="624">
        <v>5.2</v>
      </c>
      <c r="BY105" s="623"/>
      <c r="BZ105" s="1109"/>
      <c r="CA105" s="1109"/>
      <c r="CB105" s="24"/>
      <c r="CT105" s="16" t="e">
        <f t="shared" si="154"/>
        <v>#N/A</v>
      </c>
      <c r="CU105" s="197" t="e">
        <f t="shared" si="155"/>
        <v>#N/A</v>
      </c>
      <c r="CV105" s="197" t="e">
        <f t="shared" si="156"/>
        <v>#N/A</v>
      </c>
      <c r="CW105" s="197">
        <v>102</v>
      </c>
      <c r="CX105" s="197" t="str">
        <f t="shared" si="150"/>
        <v/>
      </c>
      <c r="CY105" s="197" t="e">
        <f t="shared" si="151"/>
        <v>#N/A</v>
      </c>
      <c r="CZ105" s="197" t="e">
        <f t="shared" si="152"/>
        <v>#N/A</v>
      </c>
      <c r="DA105" s="197" t="str">
        <f t="shared" si="157"/>
        <v/>
      </c>
      <c r="DB105" s="16" t="e">
        <f t="shared" si="153"/>
        <v>#N/A</v>
      </c>
      <c r="DC105" s="16" t="e">
        <f>IF(ISNUMBER(CX105),COUNTIF($DB$4:DB105,DB105)-1,NA())</f>
        <v>#N/A</v>
      </c>
      <c r="DP105" s="16">
        <f t="shared" si="158"/>
        <v>0.34850940108299255</v>
      </c>
      <c r="DQ105" s="16">
        <v>103</v>
      </c>
      <c r="DR105" s="16">
        <f t="shared" si="145"/>
        <v>46.1</v>
      </c>
      <c r="DS105" s="16">
        <f t="shared" si="146"/>
        <v>2.0142243893300269</v>
      </c>
      <c r="DT105" s="16">
        <f t="shared" si="147"/>
        <v>55.1</v>
      </c>
      <c r="DU105" s="16">
        <f t="shared" si="148"/>
        <v>44.9</v>
      </c>
      <c r="DV105" s="16">
        <f t="shared" si="149"/>
        <v>44.8</v>
      </c>
      <c r="DX105" s="197">
        <f t="shared" si="161"/>
        <v>1.4932375661375694</v>
      </c>
      <c r="DY105" s="197">
        <f t="shared" si="162"/>
        <v>0.93702399999999997</v>
      </c>
      <c r="DZ105" s="222">
        <f t="shared" si="165"/>
        <v>5.778099999999986</v>
      </c>
      <c r="EA105" s="192">
        <f t="shared" si="166"/>
        <v>1.9370240000000001</v>
      </c>
      <c r="EB105" s="197" t="e">
        <f t="shared" si="159"/>
        <v>#N/A</v>
      </c>
      <c r="EC105" s="192">
        <f t="shared" si="160"/>
        <v>3.9370240000000001</v>
      </c>
    </row>
    <row r="106" spans="5:135" ht="11.25" customHeight="1">
      <c r="E106" s="466">
        <v>105</v>
      </c>
      <c r="F106" s="474"/>
      <c r="G106" s="471"/>
      <c r="H106" s="321"/>
      <c r="I106" s="326"/>
      <c r="J106" s="30"/>
      <c r="BI106" s="621">
        <v>98</v>
      </c>
      <c r="BJ106" s="624"/>
      <c r="BK106" s="623"/>
      <c r="BL106" s="1109"/>
      <c r="BM106" s="1109"/>
      <c r="BN106" s="24"/>
      <c r="BP106" s="621">
        <v>98</v>
      </c>
      <c r="BQ106" s="624"/>
      <c r="BR106" s="623"/>
      <c r="BS106" s="1109"/>
      <c r="BT106" s="1109"/>
      <c r="BU106" s="24"/>
      <c r="BW106" s="621">
        <v>98</v>
      </c>
      <c r="BX106" s="624">
        <v>2.4</v>
      </c>
      <c r="BY106" s="623"/>
      <c r="BZ106" s="1109"/>
      <c r="CA106" s="1109"/>
      <c r="CB106" s="24"/>
      <c r="CT106" s="16" t="e">
        <f t="shared" si="154"/>
        <v>#N/A</v>
      </c>
      <c r="CU106" s="197" t="e">
        <f t="shared" si="155"/>
        <v>#N/A</v>
      </c>
      <c r="CV106" s="197" t="e">
        <f t="shared" si="156"/>
        <v>#N/A</v>
      </c>
      <c r="CW106" s="197">
        <v>103</v>
      </c>
      <c r="CX106" s="197" t="str">
        <f t="shared" si="150"/>
        <v/>
      </c>
      <c r="CY106" s="197" t="e">
        <f t="shared" si="151"/>
        <v>#N/A</v>
      </c>
      <c r="CZ106" s="197" t="e">
        <f t="shared" si="152"/>
        <v>#N/A</v>
      </c>
      <c r="DA106" s="197" t="str">
        <f t="shared" si="157"/>
        <v/>
      </c>
      <c r="DB106" s="16" t="e">
        <f t="shared" si="153"/>
        <v>#N/A</v>
      </c>
      <c r="DC106" s="16" t="e">
        <f>IF(ISNUMBER(CX106),COUNTIF($DB$4:DB106,DB106)-1,NA())</f>
        <v>#N/A</v>
      </c>
      <c r="DP106" s="16">
        <f t="shared" si="158"/>
        <v>0.54145213961601257</v>
      </c>
      <c r="DQ106" s="16">
        <v>104</v>
      </c>
      <c r="DR106" s="16">
        <f t="shared" si="145"/>
        <v>51</v>
      </c>
      <c r="DS106" s="16">
        <f t="shared" si="146"/>
        <v>2.3596328696894968</v>
      </c>
      <c r="DT106" s="16">
        <f t="shared" si="147"/>
        <v>52</v>
      </c>
      <c r="DU106" s="16">
        <f t="shared" si="148"/>
        <v>48</v>
      </c>
      <c r="DV106" s="16">
        <f t="shared" si="149"/>
        <v>51.4</v>
      </c>
      <c r="DX106" s="197">
        <f t="shared" si="161"/>
        <v>1.5067624338624372</v>
      </c>
      <c r="DY106" s="197">
        <f t="shared" si="162"/>
        <v>0.93702399999999997</v>
      </c>
      <c r="DZ106" s="239"/>
      <c r="EA106" s="24"/>
      <c r="EB106" s="197" t="e">
        <f t="shared" si="159"/>
        <v>#N/A</v>
      </c>
      <c r="EC106" s="192">
        <f t="shared" si="160"/>
        <v>3.9370240000000001</v>
      </c>
    </row>
    <row r="107" spans="5:135" ht="11.25" customHeight="1">
      <c r="E107" s="466">
        <v>106</v>
      </c>
      <c r="F107" s="474"/>
      <c r="G107" s="471"/>
      <c r="H107" s="321"/>
      <c r="I107" s="326"/>
      <c r="J107" s="30"/>
      <c r="BI107" s="621">
        <v>99</v>
      </c>
      <c r="BJ107" s="624"/>
      <c r="BK107" s="623"/>
      <c r="BL107" s="1109"/>
      <c r="BM107" s="1109"/>
      <c r="BN107" s="24"/>
      <c r="BP107" s="621">
        <v>99</v>
      </c>
      <c r="BQ107" s="624"/>
      <c r="BR107" s="623"/>
      <c r="BS107" s="1109"/>
      <c r="BT107" s="1109"/>
      <c r="BU107" s="24"/>
      <c r="BW107" s="621">
        <v>99</v>
      </c>
      <c r="BX107" s="624">
        <v>7.1</v>
      </c>
      <c r="BY107" s="623"/>
      <c r="BZ107" s="1109"/>
      <c r="CA107" s="1109"/>
      <c r="CB107" s="24"/>
      <c r="CT107" s="16" t="e">
        <f t="shared" si="154"/>
        <v>#N/A</v>
      </c>
      <c r="CU107" s="197" t="e">
        <f t="shared" si="155"/>
        <v>#N/A</v>
      </c>
      <c r="CV107" s="197" t="e">
        <f t="shared" si="156"/>
        <v>#N/A</v>
      </c>
      <c r="CW107" s="197">
        <v>104</v>
      </c>
      <c r="CX107" s="197" t="str">
        <f t="shared" si="150"/>
        <v/>
      </c>
      <c r="CY107" s="197" t="e">
        <f t="shared" si="151"/>
        <v>#N/A</v>
      </c>
      <c r="CZ107" s="197" t="e">
        <f t="shared" si="152"/>
        <v>#N/A</v>
      </c>
      <c r="DA107" s="197" t="str">
        <f t="shared" si="157"/>
        <v/>
      </c>
      <c r="DB107" s="16" t="e">
        <f t="shared" si="153"/>
        <v>#N/A</v>
      </c>
      <c r="DC107" s="16" t="e">
        <f>IF(ISNUMBER(CX107),COUNTIF($DB$4:DB107,DB107)-1,NA())</f>
        <v>#N/A</v>
      </c>
      <c r="DP107" s="16">
        <f t="shared" si="158"/>
        <v>0.43503794074058533</v>
      </c>
      <c r="DQ107" s="16">
        <v>105</v>
      </c>
      <c r="DR107" s="16">
        <f t="shared" si="145"/>
        <v>48.4</v>
      </c>
      <c r="DS107" s="16">
        <f t="shared" si="146"/>
        <v>2.1722744529369984</v>
      </c>
      <c r="DT107" s="16">
        <f t="shared" si="147"/>
        <v>53.8</v>
      </c>
      <c r="DU107" s="16">
        <f t="shared" si="148"/>
        <v>46.2</v>
      </c>
      <c r="DV107" s="16">
        <f t="shared" si="149"/>
        <v>47.7</v>
      </c>
      <c r="DX107" s="197">
        <f t="shared" si="161"/>
        <v>1.5202873015873051</v>
      </c>
      <c r="DY107" s="197">
        <f t="shared" si="162"/>
        <v>0.93702399999999997</v>
      </c>
      <c r="DZ107" s="222" t="e">
        <f>IF(ISNUMBER(EA$4),DZ11,NA())</f>
        <v>#N/A</v>
      </c>
      <c r="EA107" s="192">
        <f>EA11</f>
        <v>1.9370240000000001</v>
      </c>
      <c r="EB107" s="197" t="e">
        <f t="shared" si="159"/>
        <v>#N/A</v>
      </c>
      <c r="EC107" s="192">
        <f t="shared" si="160"/>
        <v>3.9370240000000001</v>
      </c>
    </row>
    <row r="108" spans="5:135" ht="11.25" customHeight="1">
      <c r="E108" s="466">
        <v>107</v>
      </c>
      <c r="F108" s="474"/>
      <c r="G108" s="471"/>
      <c r="H108" s="321"/>
      <c r="I108" s="326"/>
      <c r="J108" s="30"/>
      <c r="BI108" s="621">
        <v>100</v>
      </c>
      <c r="BJ108" s="624"/>
      <c r="BK108" s="623"/>
      <c r="BL108" s="1109"/>
      <c r="BM108" s="1109"/>
      <c r="BN108" s="24"/>
      <c r="BP108" s="621">
        <v>100</v>
      </c>
      <c r="BQ108" s="624"/>
      <c r="BR108" s="623"/>
      <c r="BS108" s="1109"/>
      <c r="BT108" s="1109"/>
      <c r="BU108" s="24"/>
      <c r="BW108" s="621">
        <v>100</v>
      </c>
      <c r="BX108" s="624">
        <v>8.6999999999999993</v>
      </c>
      <c r="BY108" s="623"/>
      <c r="BZ108" s="1109"/>
      <c r="CA108" s="1109"/>
      <c r="CB108" s="24"/>
      <c r="CT108" s="16" t="e">
        <f t="shared" si="154"/>
        <v>#N/A</v>
      </c>
      <c r="CU108" s="197" t="e">
        <f t="shared" si="155"/>
        <v>#N/A</v>
      </c>
      <c r="CV108" s="197" t="e">
        <f t="shared" si="156"/>
        <v>#N/A</v>
      </c>
      <c r="CW108" s="197">
        <v>105</v>
      </c>
      <c r="CX108" s="197" t="str">
        <f t="shared" si="150"/>
        <v/>
      </c>
      <c r="CY108" s="197" t="e">
        <f t="shared" si="151"/>
        <v>#N/A</v>
      </c>
      <c r="CZ108" s="197" t="e">
        <f t="shared" si="152"/>
        <v>#N/A</v>
      </c>
      <c r="DA108" s="197" t="str">
        <f t="shared" si="157"/>
        <v/>
      </c>
      <c r="DB108" s="16" t="e">
        <f t="shared" si="153"/>
        <v>#N/A</v>
      </c>
      <c r="DC108" s="16" t="e">
        <f>IF(ISNUMBER(CX108),COUNTIF($DB$4:DB108,DB108)-1,NA())</f>
        <v>#N/A</v>
      </c>
      <c r="DP108" s="16">
        <f t="shared" si="158"/>
        <v>6.2899082899093628E-2</v>
      </c>
      <c r="DQ108" s="16">
        <v>106</v>
      </c>
      <c r="DR108" s="16">
        <f t="shared" si="145"/>
        <v>34.700000000000003</v>
      </c>
      <c r="DS108" s="16">
        <f t="shared" si="146"/>
        <v>1.2151494115226462</v>
      </c>
      <c r="DT108" s="16">
        <f t="shared" si="147"/>
        <v>59.2</v>
      </c>
      <c r="DU108" s="16">
        <f t="shared" si="148"/>
        <v>40.799999999999997</v>
      </c>
      <c r="DV108" s="16">
        <f t="shared" si="149"/>
        <v>34.9</v>
      </c>
      <c r="DX108" s="197">
        <f t="shared" si="161"/>
        <v>1.5338121693121729</v>
      </c>
      <c r="DY108" s="197">
        <f t="shared" si="162"/>
        <v>0.93702399999999997</v>
      </c>
      <c r="DZ108" s="222" t="e">
        <f>IF(ISNUMBER(EA$4),DZ12,NA())</f>
        <v>#N/A</v>
      </c>
      <c r="EA108" s="192">
        <f>EA107</f>
        <v>1.9370240000000001</v>
      </c>
      <c r="EB108" s="197" t="e">
        <f t="shared" si="159"/>
        <v>#N/A</v>
      </c>
      <c r="EC108" s="192">
        <f t="shared" si="160"/>
        <v>3.9370240000000001</v>
      </c>
    </row>
    <row r="109" spans="5:135" ht="11.25" customHeight="1">
      <c r="E109" s="466">
        <v>108</v>
      </c>
      <c r="F109" s="474"/>
      <c r="G109" s="471"/>
      <c r="H109" s="321"/>
      <c r="I109" s="326"/>
      <c r="J109" s="30"/>
      <c r="BI109" s="621">
        <v>101</v>
      </c>
      <c r="BJ109" s="624"/>
      <c r="BK109" s="623"/>
      <c r="BL109" s="1109"/>
      <c r="BM109" s="1109"/>
      <c r="BN109" s="24"/>
      <c r="BP109" s="621">
        <v>101</v>
      </c>
      <c r="BQ109" s="624"/>
      <c r="BR109" s="623"/>
      <c r="BS109" s="1109"/>
      <c r="BT109" s="1109"/>
      <c r="BU109" s="24"/>
      <c r="BW109" s="621">
        <v>101</v>
      </c>
      <c r="BX109" s="624">
        <v>8</v>
      </c>
      <c r="BY109" s="623"/>
      <c r="BZ109" s="1109"/>
      <c r="CA109" s="1109"/>
      <c r="CB109" s="24"/>
      <c r="CT109" s="16" t="e">
        <f t="shared" si="154"/>
        <v>#N/A</v>
      </c>
      <c r="CU109" s="197" t="e">
        <f t="shared" si="155"/>
        <v>#N/A</v>
      </c>
      <c r="CV109" s="197" t="e">
        <f t="shared" si="156"/>
        <v>#N/A</v>
      </c>
      <c r="CW109" s="197">
        <v>106</v>
      </c>
      <c r="CX109" s="197" t="str">
        <f t="shared" si="150"/>
        <v/>
      </c>
      <c r="CY109" s="197" t="e">
        <f t="shared" si="151"/>
        <v>#N/A</v>
      </c>
      <c r="CZ109" s="197" t="e">
        <f t="shared" si="152"/>
        <v>#N/A</v>
      </c>
      <c r="DA109" s="197" t="str">
        <f t="shared" si="157"/>
        <v/>
      </c>
      <c r="DB109" s="16" t="e">
        <f t="shared" si="153"/>
        <v>#N/A</v>
      </c>
      <c r="DC109" s="16" t="e">
        <f>IF(ISNUMBER(CX109),COUNTIF($DB$4:DB109,DB109)-1,NA())</f>
        <v>#N/A</v>
      </c>
      <c r="DP109" s="16">
        <f t="shared" si="158"/>
        <v>0.64667901396751404</v>
      </c>
      <c r="DQ109" s="16">
        <v>107</v>
      </c>
      <c r="DR109" s="16">
        <f t="shared" si="145"/>
        <v>53.8</v>
      </c>
      <c r="DS109" s="16">
        <f t="shared" si="146"/>
        <v>2.5502268049600776</v>
      </c>
      <c r="DT109" s="16">
        <f t="shared" si="147"/>
        <v>49.8</v>
      </c>
      <c r="DU109" s="16">
        <f t="shared" si="148"/>
        <v>50.2</v>
      </c>
      <c r="DV109" s="16">
        <f t="shared" si="149"/>
        <v>55.1</v>
      </c>
      <c r="DX109" s="197">
        <f t="shared" si="161"/>
        <v>1.5473370370370407</v>
      </c>
      <c r="DY109" s="197">
        <f t="shared" si="162"/>
        <v>0.93702399999999997</v>
      </c>
      <c r="DZ109" s="222" t="e">
        <f t="shared" ref="DZ109:DZ172" si="167">IF(ISNUMBER(EA$4),DZ13,NA())</f>
        <v>#N/A</v>
      </c>
      <c r="EA109" s="192">
        <f t="shared" ref="EA109:EA172" si="168">EA108</f>
        <v>1.9370240000000001</v>
      </c>
      <c r="EB109" s="197" t="e">
        <f t="shared" si="159"/>
        <v>#N/A</v>
      </c>
      <c r="EC109" s="192">
        <f t="shared" si="160"/>
        <v>3.9370240000000001</v>
      </c>
    </row>
    <row r="110" spans="5:135" ht="11.25" customHeight="1">
      <c r="E110" s="466">
        <v>109</v>
      </c>
      <c r="F110" s="474"/>
      <c r="G110" s="471"/>
      <c r="H110" s="321"/>
      <c r="I110" s="326"/>
      <c r="J110" s="30"/>
      <c r="BI110" s="621">
        <v>102</v>
      </c>
      <c r="BJ110" s="624"/>
      <c r="BK110" s="623"/>
      <c r="BL110" s="1109"/>
      <c r="BM110" s="1109"/>
      <c r="BN110" s="24"/>
      <c r="BP110" s="621">
        <v>102</v>
      </c>
      <c r="BQ110" s="624"/>
      <c r="BR110" s="623"/>
      <c r="BS110" s="1109"/>
      <c r="BT110" s="1109"/>
      <c r="BU110" s="24"/>
      <c r="BW110" s="621">
        <v>102</v>
      </c>
      <c r="BX110" s="624">
        <v>11.3</v>
      </c>
      <c r="BY110" s="623"/>
      <c r="BZ110" s="1109"/>
      <c r="CA110" s="1109"/>
      <c r="CB110" s="24"/>
      <c r="CT110" s="16" t="e">
        <f t="shared" si="154"/>
        <v>#N/A</v>
      </c>
      <c r="CU110" s="197" t="e">
        <f t="shared" si="155"/>
        <v>#N/A</v>
      </c>
      <c r="CV110" s="197" t="e">
        <f t="shared" si="156"/>
        <v>#N/A</v>
      </c>
      <c r="CW110" s="197">
        <v>107</v>
      </c>
      <c r="CX110" s="197" t="str">
        <f t="shared" si="150"/>
        <v/>
      </c>
      <c r="CY110" s="197" t="e">
        <f t="shared" si="151"/>
        <v>#N/A</v>
      </c>
      <c r="CZ110" s="197" t="e">
        <f t="shared" si="152"/>
        <v>#N/A</v>
      </c>
      <c r="DA110" s="197" t="str">
        <f t="shared" si="157"/>
        <v/>
      </c>
      <c r="DB110" s="16" t="e">
        <f t="shared" si="153"/>
        <v>#N/A</v>
      </c>
      <c r="DC110" s="16" t="e">
        <f>IF(ISNUMBER(CX110),COUNTIF($DB$4:DB110,DB110)-1,NA())</f>
        <v>#N/A</v>
      </c>
      <c r="DP110" s="16">
        <f t="shared" si="158"/>
        <v>0.54650232195854187</v>
      </c>
      <c r="DQ110" s="16">
        <v>108</v>
      </c>
      <c r="DR110" s="16">
        <f t="shared" si="145"/>
        <v>51.2</v>
      </c>
      <c r="DS110" s="16">
        <f t="shared" si="146"/>
        <v>2.3685484062377911</v>
      </c>
      <c r="DT110" s="16">
        <f t="shared" si="147"/>
        <v>51.9</v>
      </c>
      <c r="DU110" s="16">
        <f t="shared" si="148"/>
        <v>48.1</v>
      </c>
      <c r="DV110" s="16">
        <f t="shared" si="149"/>
        <v>51.6</v>
      </c>
      <c r="DX110" s="197">
        <f t="shared" si="161"/>
        <v>1.5608619047619086</v>
      </c>
      <c r="DY110" s="197">
        <f t="shared" si="162"/>
        <v>0.93702399999999997</v>
      </c>
      <c r="DZ110" s="222" t="e">
        <f t="shared" si="167"/>
        <v>#N/A</v>
      </c>
      <c r="EA110" s="192">
        <f t="shared" si="168"/>
        <v>1.9370240000000001</v>
      </c>
      <c r="EB110" s="197" t="e">
        <f t="shared" si="159"/>
        <v>#N/A</v>
      </c>
      <c r="EC110" s="192">
        <f t="shared" si="160"/>
        <v>3.9370240000000001</v>
      </c>
    </row>
    <row r="111" spans="5:135" ht="11.25" customHeight="1">
      <c r="E111" s="466">
        <v>110</v>
      </c>
      <c r="F111" s="474"/>
      <c r="G111" s="471"/>
      <c r="H111" s="321"/>
      <c r="I111" s="326"/>
      <c r="J111" s="30"/>
      <c r="BI111" s="621">
        <v>103</v>
      </c>
      <c r="BJ111" s="624"/>
      <c r="BK111" s="623"/>
      <c r="BL111" s="1109"/>
      <c r="BM111" s="1109"/>
      <c r="BN111" s="24"/>
      <c r="BP111" s="621">
        <v>103</v>
      </c>
      <c r="BQ111" s="624"/>
      <c r="BR111" s="623"/>
      <c r="BS111" s="1109"/>
      <c r="BT111" s="1109"/>
      <c r="BU111" s="24"/>
      <c r="BW111" s="621">
        <v>103</v>
      </c>
      <c r="BX111" s="624">
        <v>8.5</v>
      </c>
      <c r="BY111" s="623"/>
      <c r="BZ111" s="1109"/>
      <c r="CA111" s="1109"/>
      <c r="CB111" s="24"/>
      <c r="CT111" s="16" t="e">
        <f t="shared" si="154"/>
        <v>#N/A</v>
      </c>
      <c r="CU111" s="197" t="e">
        <f t="shared" si="155"/>
        <v>#N/A</v>
      </c>
      <c r="CV111" s="197" t="e">
        <f t="shared" si="156"/>
        <v>#N/A</v>
      </c>
      <c r="CW111" s="197">
        <v>108</v>
      </c>
      <c r="CX111" s="197" t="str">
        <f t="shared" si="150"/>
        <v/>
      </c>
      <c r="CY111" s="197" t="e">
        <f t="shared" si="151"/>
        <v>#N/A</v>
      </c>
      <c r="CZ111" s="197" t="e">
        <f t="shared" si="152"/>
        <v>#N/A</v>
      </c>
      <c r="DA111" s="197" t="str">
        <f t="shared" si="157"/>
        <v/>
      </c>
      <c r="DB111" s="16" t="e">
        <f t="shared" si="153"/>
        <v>#N/A</v>
      </c>
      <c r="DC111" s="16" t="e">
        <f>IF(ISNUMBER(CX111),COUNTIF($DB$4:DB111,DB111)-1,NA())</f>
        <v>#N/A</v>
      </c>
      <c r="DP111" s="16">
        <f t="shared" si="158"/>
        <v>0.32411560416221619</v>
      </c>
      <c r="DQ111" s="16">
        <v>109</v>
      </c>
      <c r="DR111" s="16">
        <f t="shared" si="145"/>
        <v>45.4</v>
      </c>
      <c r="DS111" s="16">
        <f t="shared" si="146"/>
        <v>1.9674133626771306</v>
      </c>
      <c r="DT111" s="16">
        <f t="shared" si="147"/>
        <v>55.4</v>
      </c>
      <c r="DU111" s="16">
        <f t="shared" si="148"/>
        <v>44.6</v>
      </c>
      <c r="DV111" s="16">
        <f t="shared" si="149"/>
        <v>43.9</v>
      </c>
      <c r="DX111" s="197">
        <f t="shared" si="161"/>
        <v>1.5743867724867764</v>
      </c>
      <c r="DY111" s="197">
        <f t="shared" si="162"/>
        <v>0.93702399999999997</v>
      </c>
      <c r="DZ111" s="222" t="e">
        <f t="shared" si="167"/>
        <v>#N/A</v>
      </c>
      <c r="EA111" s="192">
        <f t="shared" si="168"/>
        <v>1.9370240000000001</v>
      </c>
      <c r="EB111" s="197" t="e">
        <f t="shared" si="159"/>
        <v>#N/A</v>
      </c>
      <c r="EC111" s="192">
        <f t="shared" si="160"/>
        <v>3.9370240000000001</v>
      </c>
    </row>
    <row r="112" spans="5:135" ht="11.25" customHeight="1">
      <c r="E112" s="466">
        <v>111</v>
      </c>
      <c r="F112" s="474"/>
      <c r="G112" s="471"/>
      <c r="H112" s="321"/>
      <c r="I112" s="326"/>
      <c r="J112" s="30"/>
      <c r="BI112" s="621">
        <v>104</v>
      </c>
      <c r="BJ112" s="624"/>
      <c r="BK112" s="623"/>
      <c r="BL112" s="1109"/>
      <c r="BM112" s="1109"/>
      <c r="BN112" s="24"/>
      <c r="BP112" s="621">
        <v>104</v>
      </c>
      <c r="BQ112" s="624"/>
      <c r="BR112" s="623"/>
      <c r="BS112" s="1109"/>
      <c r="BT112" s="1109"/>
      <c r="BU112" s="24"/>
      <c r="BW112" s="621">
        <v>104</v>
      </c>
      <c r="BX112" s="624">
        <v>9.1</v>
      </c>
      <c r="BY112" s="623"/>
      <c r="BZ112" s="1109"/>
      <c r="CA112" s="1109"/>
      <c r="CB112" s="24"/>
      <c r="CT112" s="16" t="e">
        <f t="shared" si="154"/>
        <v>#N/A</v>
      </c>
      <c r="CU112" s="197" t="e">
        <f t="shared" si="155"/>
        <v>#N/A</v>
      </c>
      <c r="CV112" s="197" t="e">
        <f t="shared" si="156"/>
        <v>#N/A</v>
      </c>
      <c r="CW112" s="197">
        <v>109</v>
      </c>
      <c r="CX112" s="197" t="str">
        <f t="shared" si="150"/>
        <v/>
      </c>
      <c r="CY112" s="197" t="e">
        <f t="shared" si="151"/>
        <v>#N/A</v>
      </c>
      <c r="CZ112" s="197" t="e">
        <f t="shared" si="152"/>
        <v>#N/A</v>
      </c>
      <c r="DA112" s="197" t="str">
        <f t="shared" si="157"/>
        <v/>
      </c>
      <c r="DB112" s="16" t="e">
        <f t="shared" si="153"/>
        <v>#N/A</v>
      </c>
      <c r="DC112" s="16" t="e">
        <f>IF(ISNUMBER(CX112),COUNTIF($DB$4:DB112,DB112)-1,NA())</f>
        <v>#N/A</v>
      </c>
      <c r="DP112" s="16">
        <f t="shared" si="158"/>
        <v>0.2551250159740448</v>
      </c>
      <c r="DQ112" s="16">
        <v>110</v>
      </c>
      <c r="DR112" s="16">
        <f t="shared" si="145"/>
        <v>43.4</v>
      </c>
      <c r="DS112" s="16">
        <f t="shared" si="146"/>
        <v>1.8258540313729967</v>
      </c>
      <c r="DT112" s="16">
        <f t="shared" si="147"/>
        <v>56.4</v>
      </c>
      <c r="DU112" s="16">
        <f t="shared" si="148"/>
        <v>43.6</v>
      </c>
      <c r="DV112" s="16">
        <f t="shared" si="149"/>
        <v>41.5</v>
      </c>
      <c r="DX112" s="197">
        <f t="shared" si="161"/>
        <v>1.5879116402116442</v>
      </c>
      <c r="DY112" s="197">
        <f t="shared" si="162"/>
        <v>0.93702399999999997</v>
      </c>
      <c r="DZ112" s="222" t="e">
        <f t="shared" si="167"/>
        <v>#N/A</v>
      </c>
      <c r="EA112" s="192">
        <f t="shared" si="168"/>
        <v>1.9370240000000001</v>
      </c>
      <c r="EB112" s="197" t="e">
        <f t="shared" si="159"/>
        <v>#N/A</v>
      </c>
      <c r="EC112" s="192">
        <f t="shared" si="160"/>
        <v>3.9370240000000001</v>
      </c>
    </row>
    <row r="113" spans="5:133" ht="11.25" customHeight="1">
      <c r="E113" s="466">
        <v>112</v>
      </c>
      <c r="F113" s="474"/>
      <c r="G113" s="471"/>
      <c r="H113" s="321"/>
      <c r="I113" s="326"/>
      <c r="J113" s="30"/>
      <c r="BI113" s="621">
        <v>105</v>
      </c>
      <c r="BJ113" s="624"/>
      <c r="BK113" s="623"/>
      <c r="BL113" s="1109"/>
      <c r="BM113" s="1109"/>
      <c r="BN113" s="24"/>
      <c r="BP113" s="621">
        <v>105</v>
      </c>
      <c r="BQ113" s="624"/>
      <c r="BR113" s="623"/>
      <c r="BS113" s="1109"/>
      <c r="BT113" s="1109"/>
      <c r="BU113" s="24"/>
      <c r="BW113" s="621">
        <v>105</v>
      </c>
      <c r="BX113" s="624">
        <v>4.5</v>
      </c>
      <c r="BY113" s="623"/>
      <c r="BZ113" s="1109"/>
      <c r="CA113" s="1109"/>
      <c r="CB113" s="24"/>
      <c r="CT113" s="16" t="e">
        <f t="shared" si="154"/>
        <v>#N/A</v>
      </c>
      <c r="CU113" s="197" t="e">
        <f t="shared" si="155"/>
        <v>#N/A</v>
      </c>
      <c r="CV113" s="197" t="e">
        <f t="shared" si="156"/>
        <v>#N/A</v>
      </c>
      <c r="CW113" s="197">
        <v>110</v>
      </c>
      <c r="CX113" s="197" t="str">
        <f t="shared" si="150"/>
        <v/>
      </c>
      <c r="CY113" s="197" t="e">
        <f t="shared" si="151"/>
        <v>#N/A</v>
      </c>
      <c r="CZ113" s="197" t="e">
        <f t="shared" si="152"/>
        <v>#N/A</v>
      </c>
      <c r="DA113" s="197" t="str">
        <f t="shared" si="157"/>
        <v/>
      </c>
      <c r="DB113" s="16" t="e">
        <f t="shared" si="153"/>
        <v>#N/A</v>
      </c>
      <c r="DC113" s="16" t="e">
        <f>IF(ISNUMBER(CX113),COUNTIF($DB$4:DB113,DB113)-1,NA())</f>
        <v>#N/A</v>
      </c>
      <c r="DP113" s="16">
        <f t="shared" si="158"/>
        <v>0.47636565566062927</v>
      </c>
      <c r="DQ113" s="16">
        <v>111</v>
      </c>
      <c r="DR113" s="16">
        <f t="shared" si="145"/>
        <v>49.4</v>
      </c>
      <c r="DS113" s="16">
        <f t="shared" si="146"/>
        <v>2.2452738755096027</v>
      </c>
      <c r="DT113" s="16">
        <f t="shared" si="147"/>
        <v>53.1</v>
      </c>
      <c r="DU113" s="16">
        <f t="shared" si="148"/>
        <v>46.9</v>
      </c>
      <c r="DV113" s="16">
        <f t="shared" si="149"/>
        <v>49.2</v>
      </c>
      <c r="DX113" s="197">
        <f t="shared" si="161"/>
        <v>1.601436507936512</v>
      </c>
      <c r="DY113" s="197">
        <f t="shared" si="162"/>
        <v>0.93702399999999997</v>
      </c>
      <c r="DZ113" s="222" t="e">
        <f t="shared" si="167"/>
        <v>#N/A</v>
      </c>
      <c r="EA113" s="192">
        <f t="shared" si="168"/>
        <v>1.9370240000000001</v>
      </c>
      <c r="EB113" s="197" t="e">
        <f t="shared" si="159"/>
        <v>#N/A</v>
      </c>
      <c r="EC113" s="192">
        <f t="shared" si="160"/>
        <v>3.9370240000000001</v>
      </c>
    </row>
    <row r="114" spans="5:133" ht="11.25" customHeight="1">
      <c r="E114" s="466">
        <v>113</v>
      </c>
      <c r="F114" s="474"/>
      <c r="G114" s="471"/>
      <c r="H114" s="321"/>
      <c r="I114" s="326"/>
      <c r="J114" s="30"/>
      <c r="BI114" s="621">
        <v>106</v>
      </c>
      <c r="BJ114" s="624"/>
      <c r="BK114" s="623"/>
      <c r="BL114" s="1109"/>
      <c r="BM114" s="1109"/>
      <c r="BN114" s="24"/>
      <c r="BP114" s="621">
        <v>106</v>
      </c>
      <c r="BQ114" s="624"/>
      <c r="BR114" s="623"/>
      <c r="BS114" s="1109"/>
      <c r="BT114" s="1109"/>
      <c r="BU114" s="24"/>
      <c r="BW114" s="621">
        <v>106</v>
      </c>
      <c r="BX114" s="624">
        <v>9.1999999999999993</v>
      </c>
      <c r="BY114" s="623"/>
      <c r="BZ114" s="1109"/>
      <c r="CA114" s="1109"/>
      <c r="CB114" s="24"/>
      <c r="CT114" s="16" t="e">
        <f t="shared" si="154"/>
        <v>#N/A</v>
      </c>
      <c r="CU114" s="197" t="e">
        <f t="shared" si="155"/>
        <v>#N/A</v>
      </c>
      <c r="CV114" s="197" t="e">
        <f t="shared" si="156"/>
        <v>#N/A</v>
      </c>
      <c r="CW114" s="197">
        <v>111</v>
      </c>
      <c r="CX114" s="197" t="str">
        <f t="shared" si="150"/>
        <v/>
      </c>
      <c r="CY114" s="197" t="e">
        <f t="shared" si="151"/>
        <v>#N/A</v>
      </c>
      <c r="CZ114" s="197" t="e">
        <f t="shared" si="152"/>
        <v>#N/A</v>
      </c>
      <c r="DA114" s="197" t="str">
        <f t="shared" si="157"/>
        <v/>
      </c>
      <c r="DB114" s="16" t="e">
        <f t="shared" si="153"/>
        <v>#N/A</v>
      </c>
      <c r="DC114" s="16" t="e">
        <f>IF(ISNUMBER(CX114),COUNTIF($DB$4:DB114,DB114)-1,NA())</f>
        <v>#N/A</v>
      </c>
      <c r="DP114" s="16">
        <f t="shared" si="158"/>
        <v>0.74935981631278992</v>
      </c>
      <c r="DQ114" s="16">
        <v>112</v>
      </c>
      <c r="DR114" s="16">
        <f t="shared" si="145"/>
        <v>56.7</v>
      </c>
      <c r="DS114" s="16">
        <f t="shared" si="146"/>
        <v>2.7575015051934479</v>
      </c>
      <c r="DT114" s="16">
        <f t="shared" si="147"/>
        <v>46.8</v>
      </c>
      <c r="DU114" s="16">
        <f t="shared" si="148"/>
        <v>53.2</v>
      </c>
      <c r="DV114" s="16">
        <f t="shared" si="149"/>
        <v>58.6</v>
      </c>
      <c r="DX114" s="197">
        <f t="shared" si="161"/>
        <v>1.6149613756613799</v>
      </c>
      <c r="DY114" s="197">
        <f t="shared" si="162"/>
        <v>0.93702399999999997</v>
      </c>
      <c r="DZ114" s="222" t="e">
        <f t="shared" si="167"/>
        <v>#N/A</v>
      </c>
      <c r="EA114" s="192">
        <f t="shared" si="168"/>
        <v>1.9370240000000001</v>
      </c>
      <c r="EB114" s="197" t="e">
        <f t="shared" si="159"/>
        <v>#N/A</v>
      </c>
      <c r="EC114" s="192">
        <f t="shared" si="160"/>
        <v>3.9370240000000001</v>
      </c>
    </row>
    <row r="115" spans="5:133" ht="11.25" customHeight="1">
      <c r="E115" s="466">
        <v>114</v>
      </c>
      <c r="F115" s="474"/>
      <c r="G115" s="471"/>
      <c r="H115" s="321"/>
      <c r="I115" s="326"/>
      <c r="J115" s="30"/>
      <c r="BI115" s="621">
        <v>107</v>
      </c>
      <c r="BJ115" s="622"/>
      <c r="BK115" s="623"/>
      <c r="BL115" s="1109"/>
      <c r="BM115" s="1109"/>
      <c r="BN115" s="24"/>
      <c r="BP115" s="621">
        <v>107</v>
      </c>
      <c r="BQ115" s="622"/>
      <c r="BR115" s="623"/>
      <c r="BS115" s="1109"/>
      <c r="BT115" s="1109"/>
      <c r="BU115" s="24"/>
      <c r="BW115" s="621">
        <v>107</v>
      </c>
      <c r="BX115" s="622">
        <v>13.3</v>
      </c>
      <c r="BY115" s="623"/>
      <c r="BZ115" s="1109"/>
      <c r="CA115" s="1109"/>
      <c r="CB115" s="24"/>
      <c r="CT115" s="16" t="e">
        <f t="shared" si="154"/>
        <v>#N/A</v>
      </c>
      <c r="CU115" s="197" t="e">
        <f t="shared" si="155"/>
        <v>#N/A</v>
      </c>
      <c r="CV115" s="197" t="e">
        <f t="shared" si="156"/>
        <v>#N/A</v>
      </c>
      <c r="CW115" s="197">
        <v>112</v>
      </c>
      <c r="CX115" s="197" t="str">
        <f t="shared" si="150"/>
        <v/>
      </c>
      <c r="CY115" s="197" t="e">
        <f t="shared" si="151"/>
        <v>#N/A</v>
      </c>
      <c r="CZ115" s="197" t="e">
        <f t="shared" si="152"/>
        <v>#N/A</v>
      </c>
      <c r="DA115" s="197" t="str">
        <f t="shared" si="157"/>
        <v/>
      </c>
      <c r="DB115" s="16" t="e">
        <f t="shared" si="153"/>
        <v>#N/A</v>
      </c>
      <c r="DC115" s="16" t="e">
        <f>IF(ISNUMBER(CX115),COUNTIF($DB$4:DB115,DB115)-1,NA())</f>
        <v>#N/A</v>
      </c>
      <c r="DP115" s="16">
        <f t="shared" si="158"/>
        <v>0.9048055112361908</v>
      </c>
      <c r="DQ115" s="16">
        <v>113</v>
      </c>
      <c r="DR115" s="16">
        <f t="shared" si="145"/>
        <v>63.1</v>
      </c>
      <c r="DS115" s="16">
        <f t="shared" si="146"/>
        <v>3.2033684222849037</v>
      </c>
      <c r="DT115" s="16">
        <f t="shared" si="147"/>
        <v>38</v>
      </c>
      <c r="DU115" s="16">
        <f t="shared" si="148"/>
        <v>62</v>
      </c>
      <c r="DV115" s="16">
        <f t="shared" si="149"/>
        <v>64</v>
      </c>
      <c r="DX115" s="197">
        <f t="shared" si="161"/>
        <v>1.6284862433862477</v>
      </c>
      <c r="DY115" s="197">
        <f t="shared" si="162"/>
        <v>0.93702399999999997</v>
      </c>
      <c r="DZ115" s="222" t="e">
        <f t="shared" si="167"/>
        <v>#N/A</v>
      </c>
      <c r="EA115" s="192">
        <f t="shared" si="168"/>
        <v>1.9370240000000001</v>
      </c>
      <c r="EB115" s="197" t="e">
        <f t="shared" si="159"/>
        <v>#N/A</v>
      </c>
      <c r="EC115" s="192">
        <f t="shared" si="160"/>
        <v>3.9370240000000001</v>
      </c>
    </row>
    <row r="116" spans="5:133" ht="11.25" customHeight="1">
      <c r="E116" s="466">
        <v>115</v>
      </c>
      <c r="F116" s="474"/>
      <c r="G116" s="471"/>
      <c r="H116" s="321"/>
      <c r="I116" s="326"/>
      <c r="J116" s="30"/>
      <c r="BI116" s="621">
        <v>108</v>
      </c>
      <c r="BJ116" s="622"/>
      <c r="BK116" s="623"/>
      <c r="BL116" s="1109"/>
      <c r="BM116" s="1109"/>
      <c r="BN116" s="24"/>
      <c r="BP116" s="621">
        <v>108</v>
      </c>
      <c r="BQ116" s="622"/>
      <c r="BR116" s="623"/>
      <c r="BS116" s="1109"/>
      <c r="BT116" s="1109"/>
      <c r="BU116" s="24"/>
      <c r="BW116" s="621">
        <v>108</v>
      </c>
      <c r="BX116" s="622">
        <v>18.3</v>
      </c>
      <c r="BY116" s="623"/>
      <c r="BZ116" s="1109"/>
      <c r="CA116" s="1109"/>
      <c r="CB116" s="24"/>
      <c r="CT116" s="16" t="e">
        <f t="shared" si="154"/>
        <v>#N/A</v>
      </c>
      <c r="CU116" s="197" t="e">
        <f t="shared" si="155"/>
        <v>#N/A</v>
      </c>
      <c r="CV116" s="197" t="e">
        <f t="shared" si="156"/>
        <v>#N/A</v>
      </c>
      <c r="CW116" s="197">
        <v>113</v>
      </c>
      <c r="CX116" s="197" t="str">
        <f t="shared" si="150"/>
        <v/>
      </c>
      <c r="CY116" s="197" t="e">
        <f t="shared" si="151"/>
        <v>#N/A</v>
      </c>
      <c r="CZ116" s="197" t="e">
        <f t="shared" si="152"/>
        <v>#N/A</v>
      </c>
      <c r="DA116" s="197" t="str">
        <f t="shared" si="157"/>
        <v/>
      </c>
      <c r="DB116" s="16" t="e">
        <f t="shared" si="153"/>
        <v>#N/A</v>
      </c>
      <c r="DC116" s="16" t="e">
        <f>IF(ISNUMBER(CX116),COUNTIF($DB$4:DB116,DB116)-1,NA())</f>
        <v>#N/A</v>
      </c>
      <c r="DP116" s="16">
        <f t="shared" si="158"/>
        <v>0.87483355402946472</v>
      </c>
      <c r="DQ116" s="16">
        <v>114</v>
      </c>
      <c r="DR116" s="16">
        <f t="shared" si="145"/>
        <v>61.5</v>
      </c>
      <c r="DS116" s="16">
        <f t="shared" si="146"/>
        <v>3.091446757689309</v>
      </c>
      <c r="DT116" s="16">
        <f t="shared" si="147"/>
        <v>40.6</v>
      </c>
      <c r="DU116" s="16">
        <f t="shared" si="148"/>
        <v>59.4</v>
      </c>
      <c r="DV116" s="16">
        <f t="shared" si="149"/>
        <v>63</v>
      </c>
      <c r="DX116" s="197">
        <f t="shared" si="161"/>
        <v>1.6420111111111155</v>
      </c>
      <c r="DY116" s="197">
        <f t="shared" si="162"/>
        <v>0.93702399999999997</v>
      </c>
      <c r="DZ116" s="222" t="e">
        <f t="shared" si="167"/>
        <v>#N/A</v>
      </c>
      <c r="EA116" s="192">
        <f t="shared" si="168"/>
        <v>1.9370240000000001</v>
      </c>
      <c r="EB116" s="197" t="e">
        <f t="shared" si="159"/>
        <v>#N/A</v>
      </c>
      <c r="EC116" s="192">
        <f t="shared" si="160"/>
        <v>3.9370240000000001</v>
      </c>
    </row>
    <row r="117" spans="5:133" ht="11.25" customHeight="1">
      <c r="E117" s="466">
        <v>116</v>
      </c>
      <c r="F117" s="474"/>
      <c r="G117" s="471"/>
      <c r="H117" s="321"/>
      <c r="I117" s="326"/>
      <c r="J117" s="30"/>
      <c r="BI117" s="621">
        <v>109</v>
      </c>
      <c r="BJ117" s="622"/>
      <c r="BK117" s="623"/>
      <c r="BL117" s="1109"/>
      <c r="BM117" s="1109"/>
      <c r="BN117" s="24"/>
      <c r="BP117" s="621">
        <v>109</v>
      </c>
      <c r="BQ117" s="622"/>
      <c r="BR117" s="623"/>
      <c r="BS117" s="1109"/>
      <c r="BT117" s="1109"/>
      <c r="BU117" s="24"/>
      <c r="BW117" s="621">
        <v>109</v>
      </c>
      <c r="BX117" s="622">
        <v>2.8</v>
      </c>
      <c r="BY117" s="623"/>
      <c r="BZ117" s="1109"/>
      <c r="CA117" s="1109"/>
      <c r="CB117" s="24"/>
      <c r="CT117" s="16" t="e">
        <f t="shared" si="154"/>
        <v>#N/A</v>
      </c>
      <c r="CU117" s="197" t="e">
        <f t="shared" si="155"/>
        <v>#N/A</v>
      </c>
      <c r="CV117" s="197" t="e">
        <f t="shared" si="156"/>
        <v>#N/A</v>
      </c>
      <c r="CW117" s="197">
        <v>114</v>
      </c>
      <c r="CX117" s="197" t="str">
        <f t="shared" si="150"/>
        <v/>
      </c>
      <c r="CY117" s="197" t="e">
        <f t="shared" si="151"/>
        <v>#N/A</v>
      </c>
      <c r="CZ117" s="197" t="e">
        <f t="shared" si="152"/>
        <v>#N/A</v>
      </c>
      <c r="DA117" s="197" t="str">
        <f t="shared" si="157"/>
        <v/>
      </c>
      <c r="DB117" s="16" t="e">
        <f t="shared" si="153"/>
        <v>#N/A</v>
      </c>
      <c r="DC117" s="16" t="e">
        <f>IF(ISNUMBER(CX117),COUNTIF($DB$4:DB117,DB117)-1,NA())</f>
        <v>#N/A</v>
      </c>
      <c r="DP117" s="16">
        <f t="shared" si="158"/>
        <v>0.91313084959983826</v>
      </c>
      <c r="DQ117" s="16">
        <v>115</v>
      </c>
      <c r="DR117" s="16">
        <f t="shared" si="145"/>
        <v>63.6</v>
      </c>
      <c r="DS117" s="16">
        <f t="shared" si="146"/>
        <v>3.2389706380792815</v>
      </c>
      <c r="DT117" s="16">
        <f t="shared" si="147"/>
        <v>37.1</v>
      </c>
      <c r="DU117" s="16">
        <f t="shared" si="148"/>
        <v>62.9</v>
      </c>
      <c r="DV117" s="16">
        <f t="shared" si="149"/>
        <v>64.3</v>
      </c>
      <c r="DX117" s="197">
        <f t="shared" si="161"/>
        <v>1.6555359788359834</v>
      </c>
      <c r="DY117" s="197">
        <f t="shared" si="162"/>
        <v>0.93702399999999997</v>
      </c>
      <c r="DZ117" s="222" t="e">
        <f t="shared" si="167"/>
        <v>#N/A</v>
      </c>
      <c r="EA117" s="192">
        <f t="shared" si="168"/>
        <v>1.9370240000000001</v>
      </c>
      <c r="EB117" s="197" t="e">
        <f t="shared" si="159"/>
        <v>#N/A</v>
      </c>
      <c r="EC117" s="192">
        <f t="shared" si="160"/>
        <v>3.9370240000000001</v>
      </c>
    </row>
    <row r="118" spans="5:133" ht="11.25" customHeight="1">
      <c r="E118" s="466">
        <v>117</v>
      </c>
      <c r="F118" s="474"/>
      <c r="G118" s="471"/>
      <c r="H118" s="321"/>
      <c r="I118" s="326"/>
      <c r="J118" s="30"/>
      <c r="BI118" s="621">
        <v>110</v>
      </c>
      <c r="BJ118" s="622"/>
      <c r="BK118" s="623"/>
      <c r="BL118" s="1109"/>
      <c r="BM118" s="1109"/>
      <c r="BN118" s="24"/>
      <c r="BP118" s="621">
        <v>110</v>
      </c>
      <c r="BQ118" s="622"/>
      <c r="BR118" s="623"/>
      <c r="BS118" s="1109"/>
      <c r="BT118" s="1109"/>
      <c r="BU118" s="24"/>
      <c r="BW118" s="621">
        <v>110</v>
      </c>
      <c r="BX118" s="622">
        <v>5.0999999999999996</v>
      </c>
      <c r="BY118" s="623"/>
      <c r="BZ118" s="1109"/>
      <c r="CA118" s="1109"/>
      <c r="CB118" s="24"/>
      <c r="CT118" s="16" t="e">
        <f t="shared" si="154"/>
        <v>#N/A</v>
      </c>
      <c r="CU118" s="197" t="e">
        <f t="shared" si="155"/>
        <v>#N/A</v>
      </c>
      <c r="CV118" s="197" t="e">
        <f t="shared" si="156"/>
        <v>#N/A</v>
      </c>
      <c r="CW118" s="197">
        <v>115</v>
      </c>
      <c r="CX118" s="197" t="str">
        <f t="shared" si="150"/>
        <v/>
      </c>
      <c r="CY118" s="197" t="e">
        <f t="shared" si="151"/>
        <v>#N/A</v>
      </c>
      <c r="CZ118" s="197" t="e">
        <f t="shared" si="152"/>
        <v>#N/A</v>
      </c>
      <c r="DA118" s="197" t="str">
        <f t="shared" si="157"/>
        <v/>
      </c>
      <c r="DB118" s="16" t="e">
        <f t="shared" si="153"/>
        <v>#N/A</v>
      </c>
      <c r="DC118" s="16" t="e">
        <f>IF(ISNUMBER(CX118),COUNTIF($DB$4:DB118,DB118)-1,NA())</f>
        <v>#N/A</v>
      </c>
      <c r="DP118" s="16">
        <f t="shared" si="158"/>
        <v>0.36669942736625671</v>
      </c>
      <c r="DQ118" s="16">
        <v>116</v>
      </c>
      <c r="DR118" s="16">
        <f t="shared" si="145"/>
        <v>46.6</v>
      </c>
      <c r="DS118" s="16">
        <f t="shared" si="146"/>
        <v>2.0483424621582662</v>
      </c>
      <c r="DT118" s="16">
        <f t="shared" si="147"/>
        <v>54.8</v>
      </c>
      <c r="DU118" s="16">
        <f t="shared" si="148"/>
        <v>45.2</v>
      </c>
      <c r="DV118" s="16">
        <f t="shared" si="149"/>
        <v>45.4</v>
      </c>
      <c r="DX118" s="197">
        <f t="shared" si="161"/>
        <v>1.6690608465608512</v>
      </c>
      <c r="DY118" s="197">
        <f t="shared" si="162"/>
        <v>0.93702399999999997</v>
      </c>
      <c r="DZ118" s="222" t="e">
        <f t="shared" si="167"/>
        <v>#N/A</v>
      </c>
      <c r="EA118" s="192">
        <f t="shared" si="168"/>
        <v>1.9370240000000001</v>
      </c>
      <c r="EB118" s="197" t="e">
        <f t="shared" si="159"/>
        <v>#N/A</v>
      </c>
      <c r="EC118" s="192">
        <f t="shared" si="160"/>
        <v>3.9370240000000001</v>
      </c>
    </row>
    <row r="119" spans="5:133" ht="11.25" customHeight="1">
      <c r="E119" s="466">
        <v>118</v>
      </c>
      <c r="F119" s="474"/>
      <c r="G119" s="471"/>
      <c r="H119" s="321"/>
      <c r="I119" s="326"/>
      <c r="J119" s="30"/>
      <c r="BI119" s="621">
        <v>111</v>
      </c>
      <c r="BJ119" s="622"/>
      <c r="BK119" s="623"/>
      <c r="BL119" s="1109"/>
      <c r="BM119" s="1109"/>
      <c r="BN119" s="24"/>
      <c r="BP119" s="621">
        <v>111</v>
      </c>
      <c r="BQ119" s="622"/>
      <c r="BR119" s="623"/>
      <c r="BS119" s="1109"/>
      <c r="BT119" s="1109"/>
      <c r="BU119" s="24"/>
      <c r="BW119" s="621">
        <v>111</v>
      </c>
      <c r="BX119" s="622">
        <v>12.4</v>
      </c>
      <c r="BY119" s="623"/>
      <c r="BZ119" s="1109"/>
      <c r="CA119" s="1109"/>
      <c r="CB119" s="24"/>
      <c r="CT119" s="16" t="e">
        <f t="shared" si="154"/>
        <v>#N/A</v>
      </c>
      <c r="CU119" s="197" t="e">
        <f t="shared" si="155"/>
        <v>#N/A</v>
      </c>
      <c r="CV119" s="197" t="e">
        <f t="shared" si="156"/>
        <v>#N/A</v>
      </c>
      <c r="CW119" s="197">
        <v>116</v>
      </c>
      <c r="CX119" s="197" t="str">
        <f t="shared" si="150"/>
        <v/>
      </c>
      <c r="CY119" s="197" t="e">
        <f t="shared" si="151"/>
        <v>#N/A</v>
      </c>
      <c r="CZ119" s="197" t="e">
        <f t="shared" si="152"/>
        <v>#N/A</v>
      </c>
      <c r="DA119" s="197" t="str">
        <f t="shared" si="157"/>
        <v/>
      </c>
      <c r="DB119" s="16" t="e">
        <f t="shared" si="153"/>
        <v>#N/A</v>
      </c>
      <c r="DC119" s="16" t="e">
        <f>IF(ISNUMBER(CX119),COUNTIF($DB$4:DB119,DB119)-1,NA())</f>
        <v>#N/A</v>
      </c>
      <c r="DP119" s="16">
        <f t="shared" si="158"/>
        <v>4.0755122900009155E-2</v>
      </c>
      <c r="DQ119" s="16">
        <v>117</v>
      </c>
      <c r="DR119" s="16">
        <f t="shared" si="145"/>
        <v>32.6</v>
      </c>
      <c r="DS119" s="16">
        <f t="shared" si="146"/>
        <v>1.0673751308033068</v>
      </c>
      <c r="DT119" s="16">
        <f t="shared" si="147"/>
        <v>59.7</v>
      </c>
      <c r="DU119" s="16">
        <f t="shared" si="148"/>
        <v>40.299999999999997</v>
      </c>
      <c r="DV119" s="16">
        <f t="shared" si="149"/>
        <v>34.1</v>
      </c>
      <c r="DX119" s="197">
        <f t="shared" si="161"/>
        <v>1.682585714285719</v>
      </c>
      <c r="DY119" s="197">
        <f t="shared" si="162"/>
        <v>0.93702399999999997</v>
      </c>
      <c r="DZ119" s="222" t="e">
        <f t="shared" si="167"/>
        <v>#N/A</v>
      </c>
      <c r="EA119" s="192">
        <f t="shared" si="168"/>
        <v>1.9370240000000001</v>
      </c>
      <c r="EB119" s="197" t="e">
        <f t="shared" si="159"/>
        <v>#N/A</v>
      </c>
      <c r="EC119" s="192">
        <f t="shared" si="160"/>
        <v>3.9370240000000001</v>
      </c>
    </row>
    <row r="120" spans="5:133" ht="11.25" customHeight="1">
      <c r="E120" s="466">
        <v>119</v>
      </c>
      <c r="F120" s="474"/>
      <c r="G120" s="471"/>
      <c r="H120" s="321"/>
      <c r="I120" s="326"/>
      <c r="J120" s="30"/>
      <c r="BI120" s="621">
        <v>112</v>
      </c>
      <c r="BJ120" s="622"/>
      <c r="BK120" s="623"/>
      <c r="BL120" s="1109"/>
      <c r="BM120" s="1109"/>
      <c r="BN120" s="24"/>
      <c r="BP120" s="621">
        <v>112</v>
      </c>
      <c r="BQ120" s="622"/>
      <c r="BR120" s="623"/>
      <c r="BS120" s="1109"/>
      <c r="BT120" s="1109"/>
      <c r="BU120" s="24"/>
      <c r="BW120" s="621">
        <v>112</v>
      </c>
      <c r="BX120" s="622">
        <v>34</v>
      </c>
      <c r="BY120" s="623"/>
      <c r="BZ120" s="1109"/>
      <c r="CA120" s="1109"/>
      <c r="CB120" s="24"/>
      <c r="CT120" s="16" t="e">
        <f t="shared" si="154"/>
        <v>#N/A</v>
      </c>
      <c r="CU120" s="197" t="e">
        <f t="shared" si="155"/>
        <v>#N/A</v>
      </c>
      <c r="CV120" s="197" t="e">
        <f t="shared" si="156"/>
        <v>#N/A</v>
      </c>
      <c r="CW120" s="197">
        <v>117</v>
      </c>
      <c r="CX120" s="197" t="str">
        <f t="shared" si="150"/>
        <v/>
      </c>
      <c r="CY120" s="197" t="e">
        <f t="shared" si="151"/>
        <v>#N/A</v>
      </c>
      <c r="CZ120" s="197" t="e">
        <f t="shared" si="152"/>
        <v>#N/A</v>
      </c>
      <c r="DA120" s="197" t="str">
        <f t="shared" si="157"/>
        <v/>
      </c>
      <c r="DB120" s="16" t="e">
        <f t="shared" si="153"/>
        <v>#N/A</v>
      </c>
      <c r="DC120" s="16" t="e">
        <f>IF(ISNUMBER(CX120),COUNTIF($DB$4:DB120,DB120)-1,NA())</f>
        <v>#N/A</v>
      </c>
      <c r="DP120" s="16">
        <f t="shared" si="158"/>
        <v>0.75881668925285339</v>
      </c>
      <c r="DQ120" s="16">
        <v>118</v>
      </c>
      <c r="DR120" s="16">
        <f t="shared" si="145"/>
        <v>57</v>
      </c>
      <c r="DS120" s="16">
        <f t="shared" si="146"/>
        <v>2.7785188000365029</v>
      </c>
      <c r="DT120" s="16">
        <f t="shared" si="147"/>
        <v>46.5</v>
      </c>
      <c r="DU120" s="16">
        <f t="shared" si="148"/>
        <v>53.5</v>
      </c>
      <c r="DV120" s="16">
        <f t="shared" si="149"/>
        <v>59</v>
      </c>
      <c r="DX120" s="197">
        <f t="shared" si="161"/>
        <v>1.6961105820105868</v>
      </c>
      <c r="DY120" s="197">
        <f t="shared" si="162"/>
        <v>0.93702399999999997</v>
      </c>
      <c r="DZ120" s="222" t="e">
        <f t="shared" si="167"/>
        <v>#N/A</v>
      </c>
      <c r="EA120" s="192">
        <f t="shared" si="168"/>
        <v>1.9370240000000001</v>
      </c>
      <c r="EB120" s="197" t="e">
        <f t="shared" si="159"/>
        <v>#N/A</v>
      </c>
      <c r="EC120" s="192">
        <f t="shared" si="160"/>
        <v>3.9370240000000001</v>
      </c>
    </row>
    <row r="121" spans="5:133" ht="11.25" customHeight="1">
      <c r="E121" s="466">
        <v>120</v>
      </c>
      <c r="F121" s="474"/>
      <c r="G121" s="471"/>
      <c r="H121" s="321"/>
      <c r="I121" s="326"/>
      <c r="J121" s="30"/>
      <c r="BI121" s="621">
        <v>113</v>
      </c>
      <c r="BJ121" s="622"/>
      <c r="BK121" s="623"/>
      <c r="BL121" s="1109"/>
      <c r="BM121" s="1109"/>
      <c r="BN121" s="24"/>
      <c r="BP121" s="621">
        <v>113</v>
      </c>
      <c r="BQ121" s="622"/>
      <c r="BR121" s="623"/>
      <c r="BS121" s="1109"/>
      <c r="BT121" s="1109"/>
      <c r="BU121" s="24"/>
      <c r="BW121" s="621">
        <v>113</v>
      </c>
      <c r="BX121" s="622">
        <v>45</v>
      </c>
      <c r="BY121" s="623"/>
      <c r="BZ121" s="1109"/>
      <c r="CA121" s="1109"/>
      <c r="CB121" s="24"/>
      <c r="CT121" s="16" t="e">
        <f t="shared" si="154"/>
        <v>#N/A</v>
      </c>
      <c r="CU121" s="197" t="e">
        <f t="shared" si="155"/>
        <v>#N/A</v>
      </c>
      <c r="CV121" s="197" t="e">
        <f t="shared" si="156"/>
        <v>#N/A</v>
      </c>
      <c r="CW121" s="197">
        <v>118</v>
      </c>
      <c r="CX121" s="197" t="str">
        <f t="shared" si="150"/>
        <v/>
      </c>
      <c r="CY121" s="197" t="e">
        <f t="shared" si="151"/>
        <v>#N/A</v>
      </c>
      <c r="CZ121" s="197" t="e">
        <f t="shared" si="152"/>
        <v>#N/A</v>
      </c>
      <c r="DA121" s="197" t="str">
        <f t="shared" si="157"/>
        <v/>
      </c>
      <c r="DB121" s="16" t="e">
        <f t="shared" si="153"/>
        <v>#N/A</v>
      </c>
      <c r="DC121" s="16" t="e">
        <f>IF(ISNUMBER(CX121),COUNTIF($DB$4:DB121,DB121)-1,NA())</f>
        <v>#N/A</v>
      </c>
      <c r="DP121" s="16">
        <f t="shared" si="158"/>
        <v>0.75714549422264099</v>
      </c>
      <c r="DQ121" s="16">
        <v>119</v>
      </c>
      <c r="DR121" s="16">
        <f t="shared" si="145"/>
        <v>57</v>
      </c>
      <c r="DS121" s="16">
        <f t="shared" si="146"/>
        <v>2.7747728282925923</v>
      </c>
      <c r="DT121" s="16">
        <f t="shared" si="147"/>
        <v>46.5</v>
      </c>
      <c r="DU121" s="16">
        <f t="shared" si="148"/>
        <v>53.5</v>
      </c>
      <c r="DV121" s="16">
        <f t="shared" si="149"/>
        <v>58.9</v>
      </c>
      <c r="DX121" s="197">
        <f t="shared" si="161"/>
        <v>1.7096354497354547</v>
      </c>
      <c r="DY121" s="197">
        <f t="shared" si="162"/>
        <v>0.93702399999999997</v>
      </c>
      <c r="DZ121" s="222" t="e">
        <f t="shared" si="167"/>
        <v>#N/A</v>
      </c>
      <c r="EA121" s="192">
        <f t="shared" si="168"/>
        <v>1.9370240000000001</v>
      </c>
      <c r="EB121" s="197" t="e">
        <f t="shared" si="159"/>
        <v>#N/A</v>
      </c>
      <c r="EC121" s="192">
        <f t="shared" si="160"/>
        <v>3.9370240000000001</v>
      </c>
    </row>
    <row r="122" spans="5:133" ht="11.25" customHeight="1">
      <c r="E122" s="466">
        <v>121</v>
      </c>
      <c r="F122" s="474"/>
      <c r="G122" s="471"/>
      <c r="H122" s="321"/>
      <c r="I122" s="326"/>
      <c r="J122" s="30"/>
      <c r="BI122" s="621">
        <v>114</v>
      </c>
      <c r="BJ122" s="622"/>
      <c r="BK122" s="623"/>
      <c r="BL122" s="1109"/>
      <c r="BM122" s="1109"/>
      <c r="BN122" s="24"/>
      <c r="BP122" s="621">
        <v>114</v>
      </c>
      <c r="BQ122" s="622"/>
      <c r="BR122" s="623"/>
      <c r="BS122" s="1109"/>
      <c r="BT122" s="1109"/>
      <c r="BU122" s="24"/>
      <c r="BW122" s="621">
        <v>114</v>
      </c>
      <c r="BX122" s="622">
        <v>3</v>
      </c>
      <c r="BY122" s="623"/>
      <c r="BZ122" s="1109"/>
      <c r="CA122" s="1109"/>
      <c r="CB122" s="24"/>
      <c r="CT122" s="16" t="e">
        <f t="shared" si="154"/>
        <v>#N/A</v>
      </c>
      <c r="CU122" s="197" t="e">
        <f t="shared" si="155"/>
        <v>#N/A</v>
      </c>
      <c r="CV122" s="197" t="e">
        <f t="shared" si="156"/>
        <v>#N/A</v>
      </c>
      <c r="CW122" s="197">
        <v>119</v>
      </c>
      <c r="CX122" s="197" t="str">
        <f t="shared" si="150"/>
        <v/>
      </c>
      <c r="CY122" s="197" t="e">
        <f t="shared" si="151"/>
        <v>#N/A</v>
      </c>
      <c r="CZ122" s="197" t="e">
        <f t="shared" si="152"/>
        <v>#N/A</v>
      </c>
      <c r="DA122" s="197" t="str">
        <f t="shared" si="157"/>
        <v/>
      </c>
      <c r="DB122" s="16" t="e">
        <f t="shared" si="153"/>
        <v>#N/A</v>
      </c>
      <c r="DC122" s="16" t="e">
        <f>IF(ISNUMBER(CX122),COUNTIF($DB$4:DB122,DB122)-1,NA())</f>
        <v>#N/A</v>
      </c>
      <c r="DP122" s="16">
        <f t="shared" si="158"/>
        <v>0.78511783480644226</v>
      </c>
      <c r="DQ122" s="16">
        <v>120</v>
      </c>
      <c r="DR122" s="16">
        <f t="shared" si="145"/>
        <v>57.9</v>
      </c>
      <c r="DS122" s="16">
        <f t="shared" si="146"/>
        <v>2.8394844225688871</v>
      </c>
      <c r="DT122" s="16">
        <f t="shared" si="147"/>
        <v>45.5</v>
      </c>
      <c r="DU122" s="16">
        <f t="shared" si="148"/>
        <v>54.5</v>
      </c>
      <c r="DV122" s="16">
        <f t="shared" si="149"/>
        <v>59.9</v>
      </c>
      <c r="DX122" s="197">
        <f t="shared" si="161"/>
        <v>1.7231603174603225</v>
      </c>
      <c r="DY122" s="197">
        <f t="shared" si="162"/>
        <v>0.93702399999999997</v>
      </c>
      <c r="DZ122" s="222" t="e">
        <f t="shared" si="167"/>
        <v>#N/A</v>
      </c>
      <c r="EA122" s="192">
        <f t="shared" si="168"/>
        <v>1.9370240000000001</v>
      </c>
      <c r="EB122" s="197" t="e">
        <f t="shared" si="159"/>
        <v>#N/A</v>
      </c>
      <c r="EC122" s="192">
        <f t="shared" si="160"/>
        <v>3.9370240000000001</v>
      </c>
    </row>
    <row r="123" spans="5:133" ht="11.25" customHeight="1">
      <c r="E123" s="466">
        <v>122</v>
      </c>
      <c r="F123" s="474"/>
      <c r="G123" s="471"/>
      <c r="H123" s="321"/>
      <c r="I123" s="326"/>
      <c r="J123" s="30"/>
      <c r="BI123" s="621">
        <v>115</v>
      </c>
      <c r="BJ123" s="622"/>
      <c r="BK123" s="623"/>
      <c r="BL123" s="1109"/>
      <c r="BM123" s="1109"/>
      <c r="BN123" s="24"/>
      <c r="BP123" s="621">
        <v>115</v>
      </c>
      <c r="BQ123" s="622"/>
      <c r="BR123" s="623"/>
      <c r="BS123" s="1109"/>
      <c r="BT123" s="1109"/>
      <c r="BU123" s="24"/>
      <c r="BW123" s="621">
        <v>115</v>
      </c>
      <c r="BX123" s="622">
        <v>4</v>
      </c>
      <c r="BY123" s="623"/>
      <c r="BZ123" s="1109"/>
      <c r="CA123" s="1109"/>
      <c r="CB123" s="24"/>
      <c r="CT123" s="16" t="e">
        <f t="shared" si="154"/>
        <v>#N/A</v>
      </c>
      <c r="CU123" s="197" t="e">
        <f t="shared" si="155"/>
        <v>#N/A</v>
      </c>
      <c r="CV123" s="197" t="e">
        <f t="shared" si="156"/>
        <v>#N/A</v>
      </c>
      <c r="CW123" s="197">
        <v>120</v>
      </c>
      <c r="CX123" s="197" t="str">
        <f t="shared" si="150"/>
        <v/>
      </c>
      <c r="CY123" s="197" t="e">
        <f t="shared" si="151"/>
        <v>#N/A</v>
      </c>
      <c r="CZ123" s="197" t="e">
        <f t="shared" si="152"/>
        <v>#N/A</v>
      </c>
      <c r="DA123" s="197" t="str">
        <f t="shared" si="157"/>
        <v/>
      </c>
      <c r="DB123" s="16" t="e">
        <f t="shared" si="153"/>
        <v>#N/A</v>
      </c>
      <c r="DC123" s="16" t="e">
        <f>IF(ISNUMBER(CX123),COUNTIF($DB$4:DB123,DB123)-1,NA())</f>
        <v>#N/A</v>
      </c>
      <c r="DP123" s="16">
        <f t="shared" si="158"/>
        <v>0.55459627509117126</v>
      </c>
      <c r="DQ123" s="16">
        <v>121</v>
      </c>
      <c r="DR123" s="16">
        <f t="shared" si="145"/>
        <v>51.4</v>
      </c>
      <c r="DS123" s="16">
        <f t="shared" si="146"/>
        <v>2.3828657205673909</v>
      </c>
      <c r="DT123" s="16">
        <f t="shared" si="147"/>
        <v>51.7</v>
      </c>
      <c r="DU123" s="16">
        <f t="shared" si="148"/>
        <v>48.3</v>
      </c>
      <c r="DV123" s="16">
        <f t="shared" si="149"/>
        <v>51.9</v>
      </c>
      <c r="DX123" s="197">
        <f t="shared" si="161"/>
        <v>1.7366851851851903</v>
      </c>
      <c r="DY123" s="197">
        <f t="shared" si="162"/>
        <v>0.93702399999999997</v>
      </c>
      <c r="DZ123" s="222" t="e">
        <f t="shared" si="167"/>
        <v>#N/A</v>
      </c>
      <c r="EA123" s="192">
        <f t="shared" si="168"/>
        <v>1.9370240000000001</v>
      </c>
      <c r="EB123" s="197" t="e">
        <f t="shared" si="159"/>
        <v>#N/A</v>
      </c>
      <c r="EC123" s="192">
        <f t="shared" si="160"/>
        <v>3.9370240000000001</v>
      </c>
    </row>
    <row r="124" spans="5:133" ht="11.25" customHeight="1">
      <c r="E124" s="466">
        <v>123</v>
      </c>
      <c r="F124" s="474"/>
      <c r="G124" s="471"/>
      <c r="H124" s="321"/>
      <c r="I124" s="326"/>
      <c r="J124" s="30"/>
      <c r="BI124" s="621">
        <v>116</v>
      </c>
      <c r="BJ124" s="622"/>
      <c r="BK124" s="623"/>
      <c r="BL124" s="1109"/>
      <c r="BM124" s="1109"/>
      <c r="BN124" s="24"/>
      <c r="BP124" s="621">
        <v>116</v>
      </c>
      <c r="BQ124" s="622"/>
      <c r="BR124" s="623"/>
      <c r="BS124" s="1109"/>
      <c r="BT124" s="1109"/>
      <c r="BU124" s="24"/>
      <c r="BW124" s="621">
        <v>116</v>
      </c>
      <c r="BX124" s="622">
        <v>5</v>
      </c>
      <c r="BY124" s="623"/>
      <c r="BZ124" s="1109"/>
      <c r="CA124" s="1109"/>
      <c r="CB124" s="24"/>
      <c r="CT124" s="16" t="e">
        <f t="shared" si="154"/>
        <v>#N/A</v>
      </c>
      <c r="CU124" s="197" t="e">
        <f t="shared" si="155"/>
        <v>#N/A</v>
      </c>
      <c r="CV124" s="197" t="e">
        <f t="shared" si="156"/>
        <v>#N/A</v>
      </c>
      <c r="CW124" s="197">
        <v>121</v>
      </c>
      <c r="CX124" s="197" t="str">
        <f t="shared" si="150"/>
        <v/>
      </c>
      <c r="CY124" s="197" t="e">
        <f t="shared" si="151"/>
        <v>#N/A</v>
      </c>
      <c r="CZ124" s="197" t="e">
        <f t="shared" si="152"/>
        <v>#N/A</v>
      </c>
      <c r="DA124" s="197" t="str">
        <f t="shared" si="157"/>
        <v/>
      </c>
      <c r="DB124" s="16" t="e">
        <f t="shared" si="153"/>
        <v>#N/A</v>
      </c>
      <c r="DC124" s="16" t="e">
        <f>IF(ISNUMBER(CX124),COUNTIF($DB$4:DB124,DB124)-1,NA())</f>
        <v>#N/A</v>
      </c>
      <c r="DP124" s="16">
        <f t="shared" si="158"/>
        <v>0.96066328883171082</v>
      </c>
      <c r="DQ124" s="16">
        <v>122</v>
      </c>
      <c r="DR124" s="16">
        <f t="shared" si="145"/>
        <v>67.599999999999994</v>
      </c>
      <c r="DS124" s="16">
        <f t="shared" si="146"/>
        <v>3.5176728353349187</v>
      </c>
      <c r="DT124" s="16">
        <f t="shared" si="147"/>
        <v>28.9</v>
      </c>
      <c r="DU124" s="16">
        <f t="shared" si="148"/>
        <v>71.099999999999994</v>
      </c>
      <c r="DV124" s="16">
        <f t="shared" si="149"/>
        <v>66</v>
      </c>
      <c r="DX124" s="197">
        <f t="shared" si="161"/>
        <v>1.7502100529100582</v>
      </c>
      <c r="DY124" s="197">
        <f t="shared" si="162"/>
        <v>0.93702399999999997</v>
      </c>
      <c r="DZ124" s="222" t="e">
        <f t="shared" si="167"/>
        <v>#N/A</v>
      </c>
      <c r="EA124" s="192">
        <f t="shared" si="168"/>
        <v>1.9370240000000001</v>
      </c>
      <c r="EB124" s="197" t="e">
        <f t="shared" si="159"/>
        <v>#N/A</v>
      </c>
      <c r="EC124" s="192">
        <f t="shared" si="160"/>
        <v>3.9370240000000001</v>
      </c>
    </row>
    <row r="125" spans="5:133" ht="11.25" customHeight="1">
      <c r="E125" s="466">
        <v>124</v>
      </c>
      <c r="F125" s="474"/>
      <c r="G125" s="471"/>
      <c r="H125" s="321"/>
      <c r="I125" s="326"/>
      <c r="J125" s="30"/>
      <c r="BI125" s="621">
        <v>117</v>
      </c>
      <c r="BJ125" s="622"/>
      <c r="BK125" s="623"/>
      <c r="BL125" s="1109"/>
      <c r="BM125" s="1109"/>
      <c r="BN125" s="24"/>
      <c r="BP125" s="621">
        <v>117</v>
      </c>
      <c r="BQ125" s="622"/>
      <c r="BR125" s="623"/>
      <c r="BS125" s="1109"/>
      <c r="BT125" s="1109"/>
      <c r="BU125" s="24"/>
      <c r="BW125" s="621">
        <v>117</v>
      </c>
      <c r="BX125" s="622">
        <v>6</v>
      </c>
      <c r="BY125" s="623"/>
      <c r="BZ125" s="1109"/>
      <c r="CA125" s="1109"/>
      <c r="CB125" s="24"/>
      <c r="CT125" s="16" t="e">
        <f t="shared" si="154"/>
        <v>#N/A</v>
      </c>
      <c r="CU125" s="197" t="e">
        <f t="shared" si="155"/>
        <v>#N/A</v>
      </c>
      <c r="CV125" s="197" t="e">
        <f t="shared" si="156"/>
        <v>#N/A</v>
      </c>
      <c r="CW125" s="197">
        <v>122</v>
      </c>
      <c r="CX125" s="197" t="str">
        <f t="shared" si="150"/>
        <v/>
      </c>
      <c r="CY125" s="197" t="e">
        <f t="shared" si="151"/>
        <v>#N/A</v>
      </c>
      <c r="CZ125" s="197" t="e">
        <f t="shared" si="152"/>
        <v>#N/A</v>
      </c>
      <c r="DA125" s="197" t="str">
        <f t="shared" si="157"/>
        <v/>
      </c>
      <c r="DB125" s="16" t="e">
        <f t="shared" si="153"/>
        <v>#N/A</v>
      </c>
      <c r="DC125" s="16" t="e">
        <f>IF(ISNUMBER(CX125),COUNTIF($DB$4:DB125,DB125)-1,NA())</f>
        <v>#N/A</v>
      </c>
      <c r="DP125" s="16">
        <f t="shared" si="158"/>
        <v>0.37693986296653748</v>
      </c>
      <c r="DQ125" s="16">
        <v>123</v>
      </c>
      <c r="DR125" s="16">
        <f t="shared" si="145"/>
        <v>46.9</v>
      </c>
      <c r="DS125" s="16">
        <f t="shared" si="146"/>
        <v>2.0672984848644536</v>
      </c>
      <c r="DT125" s="16">
        <f t="shared" si="147"/>
        <v>54.7</v>
      </c>
      <c r="DU125" s="16">
        <f t="shared" si="148"/>
        <v>45.3</v>
      </c>
      <c r="DV125" s="16">
        <f t="shared" si="149"/>
        <v>45.7</v>
      </c>
      <c r="DX125" s="197">
        <f t="shared" si="161"/>
        <v>1.763734920634926</v>
      </c>
      <c r="DY125" s="197">
        <f t="shared" si="162"/>
        <v>0.93702399999999997</v>
      </c>
      <c r="DZ125" s="222" t="e">
        <f t="shared" si="167"/>
        <v>#N/A</v>
      </c>
      <c r="EA125" s="192">
        <f t="shared" si="168"/>
        <v>1.9370240000000001</v>
      </c>
      <c r="EB125" s="197" t="e">
        <f t="shared" si="159"/>
        <v>#N/A</v>
      </c>
      <c r="EC125" s="192">
        <f t="shared" si="160"/>
        <v>3.9370240000000001</v>
      </c>
    </row>
    <row r="126" spans="5:133" ht="11.25" customHeight="1">
      <c r="E126" s="466">
        <v>125</v>
      </c>
      <c r="F126" s="474"/>
      <c r="G126" s="471"/>
      <c r="H126" s="321"/>
      <c r="I126" s="326"/>
      <c r="J126" s="30"/>
      <c r="BI126" s="621">
        <v>118</v>
      </c>
      <c r="BJ126" s="622"/>
      <c r="BK126" s="623"/>
      <c r="BL126" s="1109"/>
      <c r="BM126" s="1109"/>
      <c r="BN126" s="24"/>
      <c r="BP126" s="621">
        <v>118</v>
      </c>
      <c r="BQ126" s="622"/>
      <c r="BR126" s="623"/>
      <c r="BS126" s="1109"/>
      <c r="BT126" s="1109"/>
      <c r="BU126" s="24"/>
      <c r="BW126" s="621">
        <v>118</v>
      </c>
      <c r="BX126" s="622">
        <v>12.8</v>
      </c>
      <c r="BY126" s="623"/>
      <c r="BZ126" s="1109"/>
      <c r="CA126" s="1109"/>
      <c r="CB126" s="24"/>
      <c r="CT126" s="16" t="e">
        <f t="shared" si="154"/>
        <v>#N/A</v>
      </c>
      <c r="CU126" s="197" t="e">
        <f t="shared" si="155"/>
        <v>#N/A</v>
      </c>
      <c r="CV126" s="197" t="e">
        <f t="shared" si="156"/>
        <v>#N/A</v>
      </c>
      <c r="CW126" s="197">
        <v>123</v>
      </c>
      <c r="CX126" s="197" t="str">
        <f t="shared" si="150"/>
        <v/>
      </c>
      <c r="CY126" s="197" t="e">
        <f t="shared" si="151"/>
        <v>#N/A</v>
      </c>
      <c r="CZ126" s="197" t="e">
        <f t="shared" si="152"/>
        <v>#N/A</v>
      </c>
      <c r="DA126" s="197" t="str">
        <f t="shared" si="157"/>
        <v/>
      </c>
      <c r="DB126" s="16" t="e">
        <f t="shared" si="153"/>
        <v>#N/A</v>
      </c>
      <c r="DC126" s="16" t="e">
        <f>IF(ISNUMBER(CX126),COUNTIF($DB$4:DB126,DB126)-1,NA())</f>
        <v>#N/A</v>
      </c>
      <c r="DP126" s="16">
        <f t="shared" si="158"/>
        <v>0.52988359332084656</v>
      </c>
      <c r="DQ126" s="16">
        <v>124</v>
      </c>
      <c r="DR126" s="16">
        <f t="shared" si="145"/>
        <v>50.7</v>
      </c>
      <c r="DS126" s="16">
        <f t="shared" si="146"/>
        <v>2.3392519984739608</v>
      </c>
      <c r="DT126" s="16">
        <f t="shared" si="147"/>
        <v>52.2</v>
      </c>
      <c r="DU126" s="16">
        <f t="shared" si="148"/>
        <v>47.8</v>
      </c>
      <c r="DV126" s="16">
        <f t="shared" si="149"/>
        <v>51</v>
      </c>
      <c r="DX126" s="197">
        <f t="shared" si="161"/>
        <v>1.7772597883597938</v>
      </c>
      <c r="DY126" s="197">
        <f t="shared" si="162"/>
        <v>0.93702399999999997</v>
      </c>
      <c r="DZ126" s="222" t="e">
        <f t="shared" si="167"/>
        <v>#N/A</v>
      </c>
      <c r="EA126" s="192">
        <f t="shared" si="168"/>
        <v>1.9370240000000001</v>
      </c>
      <c r="EB126" s="197" t="e">
        <f t="shared" si="159"/>
        <v>#N/A</v>
      </c>
      <c r="EC126" s="192">
        <f t="shared" si="160"/>
        <v>3.9370240000000001</v>
      </c>
    </row>
    <row r="127" spans="5:133" ht="11.25" customHeight="1">
      <c r="E127" s="466">
        <v>126</v>
      </c>
      <c r="F127" s="474"/>
      <c r="G127" s="471"/>
      <c r="H127" s="321"/>
      <c r="I127" s="326"/>
      <c r="J127" s="30"/>
      <c r="BI127" s="621">
        <v>119</v>
      </c>
      <c r="BJ127" s="622"/>
      <c r="BK127" s="623"/>
      <c r="BL127" s="1109"/>
      <c r="BM127" s="1109"/>
      <c r="BN127" s="24"/>
      <c r="BP127" s="621">
        <v>119</v>
      </c>
      <c r="BQ127" s="622"/>
      <c r="BR127" s="623"/>
      <c r="BS127" s="1109"/>
      <c r="BT127" s="1109"/>
      <c r="BU127" s="24"/>
      <c r="BW127" s="621">
        <v>119</v>
      </c>
      <c r="BX127" s="622">
        <v>9.6</v>
      </c>
      <c r="BY127" s="623"/>
      <c r="BZ127" s="1109"/>
      <c r="CA127" s="1109"/>
      <c r="CB127" s="24"/>
      <c r="CT127" s="16" t="e">
        <f t="shared" si="154"/>
        <v>#N/A</v>
      </c>
      <c r="CU127" s="197" t="e">
        <f t="shared" si="155"/>
        <v>#N/A</v>
      </c>
      <c r="CV127" s="197" t="e">
        <f t="shared" si="156"/>
        <v>#N/A</v>
      </c>
      <c r="CW127" s="197">
        <v>124</v>
      </c>
      <c r="CX127" s="197" t="str">
        <f t="shared" si="150"/>
        <v/>
      </c>
      <c r="CY127" s="197" t="e">
        <f t="shared" si="151"/>
        <v>#N/A</v>
      </c>
      <c r="CZ127" s="197" t="e">
        <f t="shared" si="152"/>
        <v>#N/A</v>
      </c>
      <c r="DA127" s="197" t="str">
        <f t="shared" si="157"/>
        <v/>
      </c>
      <c r="DB127" s="16" t="e">
        <f t="shared" si="153"/>
        <v>#N/A</v>
      </c>
      <c r="DC127" s="16" t="e">
        <f>IF(ISNUMBER(CX127),COUNTIF($DB$4:DB127,DB127)-1,NA())</f>
        <v>#N/A</v>
      </c>
      <c r="DP127" s="16">
        <f t="shared" si="158"/>
        <v>0.82169517874717712</v>
      </c>
      <c r="DQ127" s="16">
        <v>125</v>
      </c>
      <c r="DR127" s="16">
        <f t="shared" si="145"/>
        <v>59.2</v>
      </c>
      <c r="DS127" s="16">
        <f t="shared" si="146"/>
        <v>2.9320591403400793</v>
      </c>
      <c r="DT127" s="16">
        <f t="shared" si="147"/>
        <v>43.8</v>
      </c>
      <c r="DU127" s="16">
        <f t="shared" si="148"/>
        <v>56.2</v>
      </c>
      <c r="DV127" s="16">
        <f t="shared" si="149"/>
        <v>61.1</v>
      </c>
      <c r="DX127" s="197">
        <f t="shared" si="161"/>
        <v>1.7907846560846616</v>
      </c>
      <c r="DY127" s="197">
        <f t="shared" si="162"/>
        <v>0.93702399999999997</v>
      </c>
      <c r="DZ127" s="222" t="e">
        <f t="shared" si="167"/>
        <v>#N/A</v>
      </c>
      <c r="EA127" s="192">
        <f t="shared" si="168"/>
        <v>1.9370240000000001</v>
      </c>
      <c r="EB127" s="197" t="e">
        <f t="shared" si="159"/>
        <v>#N/A</v>
      </c>
      <c r="EC127" s="192">
        <f t="shared" si="160"/>
        <v>3.9370240000000001</v>
      </c>
    </row>
    <row r="128" spans="5:133" ht="11.25" customHeight="1">
      <c r="E128" s="466">
        <v>127</v>
      </c>
      <c r="F128" s="474"/>
      <c r="G128" s="471"/>
      <c r="H128" s="321"/>
      <c r="I128" s="326"/>
      <c r="J128" s="30"/>
      <c r="BI128" s="621">
        <v>120</v>
      </c>
      <c r="BJ128" s="622"/>
      <c r="BK128" s="623"/>
      <c r="BL128" s="1109"/>
      <c r="BM128" s="1109"/>
      <c r="BN128" s="24"/>
      <c r="BP128" s="621">
        <v>120</v>
      </c>
      <c r="BQ128" s="622"/>
      <c r="BR128" s="623"/>
      <c r="BS128" s="1109"/>
      <c r="BT128" s="1109"/>
      <c r="BU128" s="24"/>
      <c r="BW128" s="621">
        <v>120</v>
      </c>
      <c r="BX128" s="622">
        <v>9.3000000000000007</v>
      </c>
      <c r="BY128" s="623"/>
      <c r="BZ128" s="1109"/>
      <c r="CA128" s="1109"/>
      <c r="CB128" s="24"/>
      <c r="CT128" s="16" t="e">
        <f t="shared" si="154"/>
        <v>#N/A</v>
      </c>
      <c r="CU128" s="197" t="e">
        <f t="shared" si="155"/>
        <v>#N/A</v>
      </c>
      <c r="CV128" s="197" t="e">
        <f t="shared" si="156"/>
        <v>#N/A</v>
      </c>
      <c r="CW128" s="197">
        <v>125</v>
      </c>
      <c r="CX128" s="197" t="str">
        <f t="shared" si="150"/>
        <v/>
      </c>
      <c r="CY128" s="197" t="e">
        <f t="shared" si="151"/>
        <v>#N/A</v>
      </c>
      <c r="CZ128" s="197" t="e">
        <f t="shared" si="152"/>
        <v>#N/A</v>
      </c>
      <c r="DA128" s="197" t="str">
        <f t="shared" si="157"/>
        <v/>
      </c>
      <c r="DB128" s="16" t="e">
        <f t="shared" si="153"/>
        <v>#N/A</v>
      </c>
      <c r="DC128" s="16" t="e">
        <f>IF(ISNUMBER(CX128),COUNTIF($DB$4:DB128,DB128)-1,NA())</f>
        <v>#N/A</v>
      </c>
      <c r="DP128" s="16">
        <f t="shared" si="158"/>
        <v>0.46950909495353699</v>
      </c>
      <c r="DQ128" s="16">
        <v>126</v>
      </c>
      <c r="DR128" s="16">
        <f t="shared" si="145"/>
        <v>49.2</v>
      </c>
      <c r="DS128" s="16">
        <f t="shared" si="146"/>
        <v>2.2332151751218747</v>
      </c>
      <c r="DT128" s="16">
        <f t="shared" si="147"/>
        <v>53.2</v>
      </c>
      <c r="DU128" s="16">
        <f t="shared" si="148"/>
        <v>46.8</v>
      </c>
      <c r="DV128" s="16">
        <f t="shared" si="149"/>
        <v>48.9</v>
      </c>
      <c r="DX128" s="197">
        <f t="shared" si="161"/>
        <v>1.8043095238095295</v>
      </c>
      <c r="DY128" s="197">
        <f t="shared" si="162"/>
        <v>0.93702399999999997</v>
      </c>
      <c r="DZ128" s="222" t="e">
        <f t="shared" si="167"/>
        <v>#N/A</v>
      </c>
      <c r="EA128" s="192">
        <f t="shared" si="168"/>
        <v>1.9370240000000001</v>
      </c>
      <c r="EB128" s="197" t="e">
        <f t="shared" si="159"/>
        <v>#N/A</v>
      </c>
      <c r="EC128" s="192">
        <f t="shared" si="160"/>
        <v>3.9370240000000001</v>
      </c>
    </row>
    <row r="129" spans="5:133" ht="11.25" customHeight="1">
      <c r="E129" s="466">
        <v>128</v>
      </c>
      <c r="F129" s="474"/>
      <c r="G129" s="471"/>
      <c r="H129" s="321"/>
      <c r="I129" s="326"/>
      <c r="J129" s="30"/>
      <c r="BI129" s="621">
        <v>121</v>
      </c>
      <c r="BJ129" s="622"/>
      <c r="BK129" s="623"/>
      <c r="BL129" s="1109"/>
      <c r="BM129" s="1109"/>
      <c r="BN129" s="24"/>
      <c r="BP129" s="621">
        <v>121</v>
      </c>
      <c r="BQ129" s="622"/>
      <c r="BR129" s="623"/>
      <c r="BS129" s="1109"/>
      <c r="BT129" s="1109"/>
      <c r="BU129" s="24"/>
      <c r="BW129" s="621">
        <v>121</v>
      </c>
      <c r="BX129" s="622">
        <v>17.7</v>
      </c>
      <c r="BY129" s="623"/>
      <c r="BZ129" s="1109"/>
      <c r="CA129" s="1109"/>
      <c r="CB129" s="24"/>
      <c r="CT129" s="16" t="e">
        <f t="shared" si="154"/>
        <v>#N/A</v>
      </c>
      <c r="CU129" s="197" t="e">
        <f t="shared" si="155"/>
        <v>#N/A</v>
      </c>
      <c r="CV129" s="197" t="e">
        <f t="shared" si="156"/>
        <v>#N/A</v>
      </c>
      <c r="CW129" s="197">
        <v>126</v>
      </c>
      <c r="CX129" s="197" t="str">
        <f t="shared" si="150"/>
        <v/>
      </c>
      <c r="CY129" s="197" t="e">
        <f t="shared" si="151"/>
        <v>#N/A</v>
      </c>
      <c r="CZ129" s="197" t="e">
        <f t="shared" si="152"/>
        <v>#N/A</v>
      </c>
      <c r="DA129" s="197" t="str">
        <f t="shared" si="157"/>
        <v/>
      </c>
      <c r="DB129" s="16" t="e">
        <f t="shared" si="153"/>
        <v>#N/A</v>
      </c>
      <c r="DC129" s="16" t="e">
        <f>IF(ISNUMBER(CX129),COUNTIF($DB$4:DB129,DB129)-1,NA())</f>
        <v>#N/A</v>
      </c>
      <c r="DP129" s="16">
        <f t="shared" si="158"/>
        <v>5.315360426902771E-2</v>
      </c>
      <c r="DQ129" s="16">
        <v>127</v>
      </c>
      <c r="DR129" s="16">
        <f t="shared" si="145"/>
        <v>33.799999999999997</v>
      </c>
      <c r="DS129" s="16">
        <f t="shared" si="146"/>
        <v>1.15625665454545</v>
      </c>
      <c r="DT129" s="16">
        <f t="shared" si="147"/>
        <v>59.4</v>
      </c>
      <c r="DU129" s="16">
        <f t="shared" si="148"/>
        <v>40.6</v>
      </c>
      <c r="DV129" s="16">
        <f t="shared" si="149"/>
        <v>34.5</v>
      </c>
      <c r="DX129" s="197">
        <f t="shared" si="161"/>
        <v>1.8178343915343973</v>
      </c>
      <c r="DY129" s="197">
        <f t="shared" si="162"/>
        <v>0.93702399999999997</v>
      </c>
      <c r="DZ129" s="222" t="e">
        <f t="shared" si="167"/>
        <v>#N/A</v>
      </c>
      <c r="EA129" s="192">
        <f t="shared" si="168"/>
        <v>1.9370240000000001</v>
      </c>
      <c r="EB129" s="197" t="e">
        <f t="shared" si="159"/>
        <v>#N/A</v>
      </c>
      <c r="EC129" s="192">
        <f t="shared" si="160"/>
        <v>3.9370240000000001</v>
      </c>
    </row>
    <row r="130" spans="5:133" ht="11.25" customHeight="1">
      <c r="E130" s="466">
        <v>129</v>
      </c>
      <c r="F130" s="474"/>
      <c r="G130" s="471"/>
      <c r="H130" s="321"/>
      <c r="I130" s="326"/>
      <c r="J130" s="30"/>
      <c r="BI130" s="621">
        <v>122</v>
      </c>
      <c r="BJ130" s="622"/>
      <c r="BK130" s="623"/>
      <c r="BL130" s="1109"/>
      <c r="BM130" s="1109"/>
      <c r="BN130" s="24"/>
      <c r="BP130" s="621">
        <v>122</v>
      </c>
      <c r="BQ130" s="622"/>
      <c r="BR130" s="623"/>
      <c r="BS130" s="1109"/>
      <c r="BT130" s="1109"/>
      <c r="BU130" s="24"/>
      <c r="BW130" s="621">
        <v>122</v>
      </c>
      <c r="BX130" s="622">
        <v>15.4</v>
      </c>
      <c r="BY130" s="623"/>
      <c r="BZ130" s="1109"/>
      <c r="CA130" s="1109"/>
      <c r="CB130" s="24"/>
      <c r="CT130" s="16" t="e">
        <f t="shared" si="154"/>
        <v>#N/A</v>
      </c>
      <c r="CU130" s="197" t="e">
        <f t="shared" si="155"/>
        <v>#N/A</v>
      </c>
      <c r="CV130" s="197" t="e">
        <f t="shared" si="156"/>
        <v>#N/A</v>
      </c>
      <c r="CW130" s="197">
        <v>127</v>
      </c>
      <c r="CX130" s="197" t="str">
        <f t="shared" si="150"/>
        <v/>
      </c>
      <c r="CY130" s="197" t="e">
        <f t="shared" si="151"/>
        <v>#N/A</v>
      </c>
      <c r="CZ130" s="197" t="e">
        <f t="shared" si="152"/>
        <v>#N/A</v>
      </c>
      <c r="DA130" s="197" t="str">
        <f t="shared" si="157"/>
        <v/>
      </c>
      <c r="DB130" s="16" t="e">
        <f t="shared" si="153"/>
        <v>#N/A</v>
      </c>
      <c r="DC130" s="16" t="e">
        <f>IF(ISNUMBER(CX130),COUNTIF($DB$4:DB130,DB130)-1,NA())</f>
        <v>#N/A</v>
      </c>
      <c r="DP130" s="16">
        <f t="shared" si="158"/>
        <v>0.7336871325969696</v>
      </c>
      <c r="DQ130" s="16">
        <v>128</v>
      </c>
      <c r="DR130" s="16">
        <f t="shared" si="145"/>
        <v>56.2</v>
      </c>
      <c r="DS130" s="16">
        <f t="shared" si="146"/>
        <v>2.7235698961291015</v>
      </c>
      <c r="DT130" s="16">
        <f t="shared" si="147"/>
        <v>47.3</v>
      </c>
      <c r="DU130" s="16">
        <f t="shared" si="148"/>
        <v>52.7</v>
      </c>
      <c r="DV130" s="16">
        <f t="shared" si="149"/>
        <v>58.1</v>
      </c>
      <c r="DX130" s="197">
        <f t="shared" si="161"/>
        <v>1.8313592592592651</v>
      </c>
      <c r="DY130" s="197">
        <f t="shared" si="162"/>
        <v>0.93702399999999997</v>
      </c>
      <c r="DZ130" s="222" t="e">
        <f t="shared" si="167"/>
        <v>#N/A</v>
      </c>
      <c r="EA130" s="192">
        <f t="shared" si="168"/>
        <v>1.9370240000000001</v>
      </c>
      <c r="EB130" s="197" t="e">
        <f t="shared" si="159"/>
        <v>#N/A</v>
      </c>
      <c r="EC130" s="192">
        <f t="shared" si="160"/>
        <v>3.9370240000000001</v>
      </c>
    </row>
    <row r="131" spans="5:133" ht="11.25" customHeight="1">
      <c r="E131" s="466">
        <v>130</v>
      </c>
      <c r="F131" s="474"/>
      <c r="G131" s="471"/>
      <c r="H131" s="321"/>
      <c r="I131" s="326"/>
      <c r="J131" s="30"/>
      <c r="BI131" s="621">
        <v>123</v>
      </c>
      <c r="BJ131" s="622"/>
      <c r="BK131" s="623"/>
      <c r="BL131" s="1109"/>
      <c r="BM131" s="1109"/>
      <c r="BN131" s="24"/>
      <c r="BP131" s="621">
        <v>123</v>
      </c>
      <c r="BQ131" s="622"/>
      <c r="BR131" s="623"/>
      <c r="BS131" s="1109"/>
      <c r="BT131" s="1109"/>
      <c r="BU131" s="24"/>
      <c r="BW131" s="621">
        <v>123</v>
      </c>
      <c r="BX131" s="622">
        <v>8.6999999999999993</v>
      </c>
      <c r="BY131" s="623"/>
      <c r="BZ131" s="1109"/>
      <c r="CA131" s="1109"/>
      <c r="CB131" s="24"/>
      <c r="CT131" s="16" t="e">
        <f t="shared" si="154"/>
        <v>#N/A</v>
      </c>
      <c r="CU131" s="197" t="e">
        <f t="shared" si="155"/>
        <v>#N/A</v>
      </c>
      <c r="CV131" s="197" t="e">
        <f t="shared" si="156"/>
        <v>#N/A</v>
      </c>
      <c r="CW131" s="197">
        <v>128</v>
      </c>
      <c r="CX131" s="197" t="str">
        <f t="shared" si="150"/>
        <v/>
      </c>
      <c r="CY131" s="197" t="e">
        <f t="shared" si="151"/>
        <v>#N/A</v>
      </c>
      <c r="CZ131" s="197" t="e">
        <f t="shared" si="152"/>
        <v>#N/A</v>
      </c>
      <c r="DA131" s="197" t="str">
        <f t="shared" si="157"/>
        <v/>
      </c>
      <c r="DB131" s="16" t="e">
        <f t="shared" si="153"/>
        <v>#N/A</v>
      </c>
      <c r="DC131" s="16" t="e">
        <f>IF(ISNUMBER(CX131),COUNTIF($DB$4:DB131,DB131)-1,NA())</f>
        <v>#N/A</v>
      </c>
      <c r="DP131" s="16">
        <f t="shared" si="158"/>
        <v>0.86390241980552673</v>
      </c>
      <c r="DQ131" s="16">
        <v>129</v>
      </c>
      <c r="DR131" s="16">
        <f t="shared" ref="DR131:DR194" si="169">IF(DQ131&lt;=$Y$9,ROUND(NORMINV(DP131,$Y$10,$Y$11),$Y$12),"")</f>
        <v>61</v>
      </c>
      <c r="DS131" s="16">
        <f t="shared" ref="DS131:DS194" si="170">IF(DQ131&lt;=$Y$9,NORMINV(DP131,$DW$24,$DW$18),"")</f>
        <v>3.0553828789584401</v>
      </c>
      <c r="DT131" s="16">
        <f t="shared" ref="DT131:DT194" si="171">IF(DQ131&lt;=$Y$9,ROUND(2*$Y$10-($DW$22+EXP(DS131)),$Y$12),"")</f>
        <v>41.3</v>
      </c>
      <c r="DU131" s="16">
        <f t="shared" ref="DU131:DU194" si="172">IF(DQ131&lt;=$Y$9,ROUND($DW$22+EXP(DS131),$Y$12),"")</f>
        <v>58.7</v>
      </c>
      <c r="DV131" s="16">
        <f t="shared" ref="DV131:DV194" si="173">IF(DQ131&lt;=$Y$9,ROUND($Y$10+(DP131-0.5)*$DW$14,$Y$12),"")</f>
        <v>62.6</v>
      </c>
      <c r="DX131" s="197">
        <f t="shared" si="161"/>
        <v>1.844884126984133</v>
      </c>
      <c r="DY131" s="197">
        <f t="shared" si="162"/>
        <v>0.93702399999999997</v>
      </c>
      <c r="DZ131" s="222" t="e">
        <f t="shared" si="167"/>
        <v>#N/A</v>
      </c>
      <c r="EA131" s="192">
        <f t="shared" si="168"/>
        <v>1.9370240000000001</v>
      </c>
      <c r="EB131" s="197" t="e">
        <f t="shared" si="159"/>
        <v>#N/A</v>
      </c>
      <c r="EC131" s="192">
        <f t="shared" si="160"/>
        <v>3.9370240000000001</v>
      </c>
    </row>
    <row r="132" spans="5:133" ht="11.25" customHeight="1">
      <c r="E132" s="466">
        <v>131</v>
      </c>
      <c r="F132" s="474"/>
      <c r="G132" s="471"/>
      <c r="H132" s="321"/>
      <c r="I132" s="326"/>
      <c r="J132" s="30"/>
      <c r="BI132" s="621">
        <v>124</v>
      </c>
      <c r="BJ132" s="622"/>
      <c r="BK132" s="623"/>
      <c r="BL132" s="1109"/>
      <c r="BM132" s="1109"/>
      <c r="BN132" s="24"/>
      <c r="BP132" s="621">
        <v>124</v>
      </c>
      <c r="BQ132" s="622"/>
      <c r="BR132" s="623"/>
      <c r="BS132" s="1109"/>
      <c r="BT132" s="1109"/>
      <c r="BU132" s="24"/>
      <c r="BW132" s="621">
        <v>124</v>
      </c>
      <c r="BX132" s="622">
        <v>12.8</v>
      </c>
      <c r="BY132" s="623"/>
      <c r="BZ132" s="1109"/>
      <c r="CA132" s="1109"/>
      <c r="CB132" s="24"/>
      <c r="CT132" s="16" t="e">
        <f t="shared" si="154"/>
        <v>#N/A</v>
      </c>
      <c r="CU132" s="197" t="e">
        <f t="shared" si="155"/>
        <v>#N/A</v>
      </c>
      <c r="CV132" s="197" t="e">
        <f t="shared" si="156"/>
        <v>#N/A</v>
      </c>
      <c r="CW132" s="197">
        <v>129</v>
      </c>
      <c r="CX132" s="197" t="str">
        <f t="shared" ref="CX132:CX195" si="174">IF($C$14&gt;=CW132,SMALL(data300x,CW132),"")</f>
        <v/>
      </c>
      <c r="CY132" s="197" t="e">
        <f t="shared" ref="CY132:CY195" si="175">IF(ISNUMBER(CX132),IF($Y$14,IF($CS$34,Xl+DB132*xinc,CX132),CX132),NA())</f>
        <v>#N/A</v>
      </c>
      <c r="CZ132" s="197" t="e">
        <f t="shared" ref="CZ132:CZ195" si="176">IF(ISNUMBER(CX132),IF($Y$14,$DC$2*DC132*yinc,0)+yinc/2,NA())</f>
        <v>#N/A</v>
      </c>
      <c r="DA132" s="197" t="str">
        <f t="shared" si="157"/>
        <v/>
      </c>
      <c r="DB132" s="16" t="e">
        <f t="shared" ref="DB132:DB195" si="177">IF(ISNUMBER(CX132),ROUND((CX132-Xl)/xinc,0),NA())</f>
        <v>#N/A</v>
      </c>
      <c r="DC132" s="16" t="e">
        <f>IF(ISNUMBER(CX132),COUNTIF($DB$4:DB132,DB132)-1,NA())</f>
        <v>#N/A</v>
      </c>
      <c r="DP132" s="16">
        <f t="shared" si="158"/>
        <v>0.42878672480583191</v>
      </c>
      <c r="DQ132" s="16">
        <v>130</v>
      </c>
      <c r="DR132" s="16">
        <f t="shared" si="169"/>
        <v>48.2</v>
      </c>
      <c r="DS132" s="16">
        <f t="shared" si="170"/>
        <v>2.1611431840395294</v>
      </c>
      <c r="DT132" s="16">
        <f t="shared" si="171"/>
        <v>53.9</v>
      </c>
      <c r="DU132" s="16">
        <f t="shared" si="172"/>
        <v>46.1</v>
      </c>
      <c r="DV132" s="16">
        <f t="shared" si="173"/>
        <v>47.5</v>
      </c>
      <c r="DX132" s="197">
        <f t="shared" si="161"/>
        <v>1.8584089947090008</v>
      </c>
      <c r="DY132" s="197">
        <f t="shared" si="162"/>
        <v>0.93702399999999997</v>
      </c>
      <c r="DZ132" s="222" t="e">
        <f t="shared" si="167"/>
        <v>#N/A</v>
      </c>
      <c r="EA132" s="192">
        <f t="shared" si="168"/>
        <v>1.9370240000000001</v>
      </c>
    </row>
    <row r="133" spans="5:133" ht="11.25" customHeight="1">
      <c r="E133" s="466">
        <v>132</v>
      </c>
      <c r="F133" s="474"/>
      <c r="G133" s="471"/>
      <c r="H133" s="321"/>
      <c r="I133" s="326"/>
      <c r="J133" s="30"/>
      <c r="BI133" s="621">
        <v>125</v>
      </c>
      <c r="BJ133" s="622"/>
      <c r="BK133" s="623"/>
      <c r="BL133" s="1109"/>
      <c r="BM133" s="1109"/>
      <c r="BN133" s="24"/>
      <c r="BP133" s="621">
        <v>125</v>
      </c>
      <c r="BQ133" s="622"/>
      <c r="BR133" s="623"/>
      <c r="BS133" s="1109"/>
      <c r="BT133" s="1109"/>
      <c r="BU133" s="24"/>
      <c r="BW133" s="621">
        <v>125</v>
      </c>
      <c r="BX133" s="622">
        <v>10.6</v>
      </c>
      <c r="BY133" s="623"/>
      <c r="BZ133" s="1109"/>
      <c r="CA133" s="1109"/>
      <c r="CB133" s="24"/>
      <c r="CT133" s="16" t="e">
        <f t="shared" ref="CT133:CT196" si="178">IF($CV$1&gt;CX133,CW133,"")</f>
        <v>#N/A</v>
      </c>
      <c r="CU133" s="197" t="e">
        <f t="shared" ref="CU133:CU196" si="179">IF($CV$1&gt;CX133,CY133,NA())</f>
        <v>#N/A</v>
      </c>
      <c r="CV133" s="197" t="e">
        <f t="shared" ref="CV133:CV196" si="180">IF($CV$1&gt;CX133,CZ133,NA())</f>
        <v>#N/A</v>
      </c>
      <c r="CW133" s="197">
        <v>130</v>
      </c>
      <c r="CX133" s="197" t="str">
        <f t="shared" si="174"/>
        <v/>
      </c>
      <c r="CY133" s="197" t="e">
        <f t="shared" si="175"/>
        <v>#N/A</v>
      </c>
      <c r="CZ133" s="197" t="e">
        <f t="shared" si="176"/>
        <v>#N/A</v>
      </c>
      <c r="DA133" s="197" t="str">
        <f t="shared" ref="DA133:DA196" si="181">IF(ISNUMBER(CX133),IF($Y$14,DC133*yinc,0)+yinc/2,"")</f>
        <v/>
      </c>
      <c r="DB133" s="16" t="e">
        <f t="shared" si="177"/>
        <v>#N/A</v>
      </c>
      <c r="DC133" s="16" t="e">
        <f>IF(ISNUMBER(CX133),COUNTIF($DB$4:DB133,DB133)-1,NA())</f>
        <v>#N/A</v>
      </c>
      <c r="DP133" s="16">
        <f t="shared" ref="DP133:DP196" si="182">MOD(DP132*10000013,1)</f>
        <v>0.82228574156761169</v>
      </c>
      <c r="DQ133" s="16">
        <v>131</v>
      </c>
      <c r="DR133" s="16">
        <f t="shared" si="169"/>
        <v>59.2</v>
      </c>
      <c r="DS133" s="16">
        <f t="shared" si="170"/>
        <v>2.9336456372322623</v>
      </c>
      <c r="DT133" s="16">
        <f t="shared" si="171"/>
        <v>43.8</v>
      </c>
      <c r="DU133" s="16">
        <f t="shared" si="172"/>
        <v>56.2</v>
      </c>
      <c r="DV133" s="16">
        <f t="shared" si="173"/>
        <v>61.2</v>
      </c>
      <c r="DX133" s="197">
        <f t="shared" si="161"/>
        <v>1.8719338624338686</v>
      </c>
      <c r="DY133" s="197">
        <f t="shared" si="162"/>
        <v>0.93702399999999997</v>
      </c>
      <c r="DZ133" s="222" t="e">
        <f t="shared" si="167"/>
        <v>#N/A</v>
      </c>
      <c r="EA133" s="192">
        <f t="shared" si="168"/>
        <v>1.9370240000000001</v>
      </c>
    </row>
    <row r="134" spans="5:133" ht="11.25" customHeight="1">
      <c r="E134" s="466">
        <v>133</v>
      </c>
      <c r="F134" s="474"/>
      <c r="G134" s="471"/>
      <c r="H134" s="321"/>
      <c r="I134" s="326"/>
      <c r="J134" s="30"/>
      <c r="BI134" s="621">
        <v>126</v>
      </c>
      <c r="BJ134" s="622"/>
      <c r="BK134" s="623"/>
      <c r="BL134" s="1109"/>
      <c r="BM134" s="1109"/>
      <c r="BN134" s="24"/>
      <c r="BP134" s="621">
        <v>126</v>
      </c>
      <c r="BQ134" s="622"/>
      <c r="BR134" s="623"/>
      <c r="BS134" s="1109"/>
      <c r="BT134" s="1109"/>
      <c r="BU134" s="24"/>
      <c r="BW134" s="621">
        <v>126</v>
      </c>
      <c r="BX134" s="622">
        <v>5.0999999999999996</v>
      </c>
      <c r="BY134" s="623"/>
      <c r="BZ134" s="1109"/>
      <c r="CA134" s="1109"/>
      <c r="CB134" s="24"/>
      <c r="CT134" s="16" t="e">
        <f t="shared" si="178"/>
        <v>#N/A</v>
      </c>
      <c r="CU134" s="197" t="e">
        <f t="shared" si="179"/>
        <v>#N/A</v>
      </c>
      <c r="CV134" s="197" t="e">
        <f t="shared" si="180"/>
        <v>#N/A</v>
      </c>
      <c r="CW134" s="197">
        <v>131</v>
      </c>
      <c r="CX134" s="197" t="str">
        <f t="shared" si="174"/>
        <v/>
      </c>
      <c r="CY134" s="197" t="e">
        <f t="shared" si="175"/>
        <v>#N/A</v>
      </c>
      <c r="CZ134" s="197" t="e">
        <f t="shared" si="176"/>
        <v>#N/A</v>
      </c>
      <c r="DA134" s="197" t="str">
        <f t="shared" si="181"/>
        <v/>
      </c>
      <c r="DB134" s="16" t="e">
        <f t="shared" si="177"/>
        <v>#N/A</v>
      </c>
      <c r="DC134" s="16" t="e">
        <f>IF(ISNUMBER(CX134),COUNTIF($DB$4:DB134,DB134)-1,NA())</f>
        <v>#N/A</v>
      </c>
      <c r="DP134" s="16">
        <f t="shared" si="182"/>
        <v>0.1053907573223114</v>
      </c>
      <c r="DQ134" s="16">
        <v>132</v>
      </c>
      <c r="DR134" s="16">
        <f t="shared" si="169"/>
        <v>37.5</v>
      </c>
      <c r="DS134" s="16">
        <f t="shared" si="170"/>
        <v>1.4107743663350563</v>
      </c>
      <c r="DT134" s="16">
        <f t="shared" si="171"/>
        <v>58.5</v>
      </c>
      <c r="DU134" s="16">
        <f t="shared" si="172"/>
        <v>41.5</v>
      </c>
      <c r="DV134" s="16">
        <f t="shared" si="173"/>
        <v>36.299999999999997</v>
      </c>
      <c r="DX134" s="197">
        <f t="shared" si="161"/>
        <v>1.8854587301587364</v>
      </c>
      <c r="DY134" s="197">
        <f t="shared" si="162"/>
        <v>0.93702399999999997</v>
      </c>
      <c r="DZ134" s="222" t="e">
        <f t="shared" si="167"/>
        <v>#N/A</v>
      </c>
      <c r="EA134" s="192">
        <f t="shared" si="168"/>
        <v>1.9370240000000001</v>
      </c>
    </row>
    <row r="135" spans="5:133" ht="11.25" customHeight="1">
      <c r="E135" s="466">
        <v>134</v>
      </c>
      <c r="F135" s="474"/>
      <c r="G135" s="471"/>
      <c r="H135" s="321"/>
      <c r="I135" s="326"/>
      <c r="J135" s="30"/>
      <c r="BI135" s="621">
        <v>127</v>
      </c>
      <c r="BJ135" s="622"/>
      <c r="BK135" s="623"/>
      <c r="BL135" s="1109"/>
      <c r="BM135" s="1109"/>
      <c r="BN135" s="24"/>
      <c r="BP135" s="621">
        <v>127</v>
      </c>
      <c r="BQ135" s="622"/>
      <c r="BR135" s="623"/>
      <c r="BS135" s="1109"/>
      <c r="BT135" s="1109"/>
      <c r="BU135" s="24"/>
      <c r="BW135" s="621">
        <v>127</v>
      </c>
      <c r="BX135" s="622">
        <v>16.7</v>
      </c>
      <c r="BY135" s="623"/>
      <c r="BZ135" s="1109"/>
      <c r="CA135" s="1109"/>
      <c r="CB135" s="24"/>
      <c r="CT135" s="16" t="e">
        <f t="shared" si="178"/>
        <v>#N/A</v>
      </c>
      <c r="CU135" s="197" t="e">
        <f t="shared" si="179"/>
        <v>#N/A</v>
      </c>
      <c r="CV135" s="197" t="e">
        <f t="shared" si="180"/>
        <v>#N/A</v>
      </c>
      <c r="CW135" s="197">
        <v>132</v>
      </c>
      <c r="CX135" s="197" t="str">
        <f t="shared" si="174"/>
        <v/>
      </c>
      <c r="CY135" s="197" t="e">
        <f t="shared" si="175"/>
        <v>#N/A</v>
      </c>
      <c r="CZ135" s="197" t="e">
        <f t="shared" si="176"/>
        <v>#N/A</v>
      </c>
      <c r="DA135" s="197" t="str">
        <f t="shared" si="181"/>
        <v/>
      </c>
      <c r="DB135" s="16" t="e">
        <f t="shared" si="177"/>
        <v>#N/A</v>
      </c>
      <c r="DC135" s="16" t="e">
        <f>IF(ISNUMBER(CX135),COUNTIF($DB$4:DB135,DB135)-1,NA())</f>
        <v>#N/A</v>
      </c>
      <c r="DP135" s="16">
        <f t="shared" si="182"/>
        <v>0.94330295920372009</v>
      </c>
      <c r="DQ135" s="16">
        <v>133</v>
      </c>
      <c r="DR135" s="16">
        <f t="shared" si="169"/>
        <v>65.8</v>
      </c>
      <c r="DS135" s="16">
        <f t="shared" si="170"/>
        <v>3.3949520293794904</v>
      </c>
      <c r="DT135" s="16">
        <f t="shared" si="171"/>
        <v>32.799999999999997</v>
      </c>
      <c r="DU135" s="16">
        <f t="shared" si="172"/>
        <v>67.2</v>
      </c>
      <c r="DV135" s="16">
        <f t="shared" si="173"/>
        <v>65.400000000000006</v>
      </c>
      <c r="DX135" s="197">
        <f t="shared" si="161"/>
        <v>1.8989835978836043</v>
      </c>
      <c r="DY135" s="197">
        <f t="shared" si="162"/>
        <v>0.93702399999999997</v>
      </c>
      <c r="DZ135" s="222" t="e">
        <f t="shared" si="167"/>
        <v>#N/A</v>
      </c>
      <c r="EA135" s="192">
        <f t="shared" si="168"/>
        <v>1.9370240000000001</v>
      </c>
    </row>
    <row r="136" spans="5:133" ht="11.25" customHeight="1">
      <c r="E136" s="466">
        <v>135</v>
      </c>
      <c r="F136" s="474"/>
      <c r="G136" s="471"/>
      <c r="H136" s="321"/>
      <c r="I136" s="326"/>
      <c r="J136" s="30"/>
      <c r="BI136" s="621">
        <v>128</v>
      </c>
      <c r="BJ136" s="622"/>
      <c r="BK136" s="623"/>
      <c r="BL136" s="1109"/>
      <c r="BM136" s="1109"/>
      <c r="BN136" s="24"/>
      <c r="BP136" s="621">
        <v>128</v>
      </c>
      <c r="BQ136" s="622"/>
      <c r="BR136" s="623"/>
      <c r="BS136" s="1109"/>
      <c r="BT136" s="1109"/>
      <c r="BU136" s="24"/>
      <c r="BW136" s="621">
        <v>128</v>
      </c>
      <c r="BX136" s="622">
        <v>17.7</v>
      </c>
      <c r="BY136" s="623"/>
      <c r="BZ136" s="1109"/>
      <c r="CA136" s="1109"/>
      <c r="CB136" s="24"/>
      <c r="CT136" s="16" t="e">
        <f t="shared" si="178"/>
        <v>#N/A</v>
      </c>
      <c r="CU136" s="197" t="e">
        <f t="shared" si="179"/>
        <v>#N/A</v>
      </c>
      <c r="CV136" s="197" t="e">
        <f t="shared" si="180"/>
        <v>#N/A</v>
      </c>
      <c r="CW136" s="197">
        <v>133</v>
      </c>
      <c r="CX136" s="197" t="str">
        <f t="shared" si="174"/>
        <v/>
      </c>
      <c r="CY136" s="197" t="e">
        <f t="shared" si="175"/>
        <v>#N/A</v>
      </c>
      <c r="CZ136" s="197" t="e">
        <f t="shared" si="176"/>
        <v>#N/A</v>
      </c>
      <c r="DA136" s="197" t="str">
        <f t="shared" si="181"/>
        <v/>
      </c>
      <c r="DB136" s="16" t="e">
        <f t="shared" si="177"/>
        <v>#N/A</v>
      </c>
      <c r="DC136" s="16" t="e">
        <f>IF(ISNUMBER(CX136),COUNTIF($DB$4:DB136,DB136)-1,NA())</f>
        <v>#N/A</v>
      </c>
      <c r="DP136" s="16">
        <f t="shared" si="182"/>
        <v>0.85497567057609558</v>
      </c>
      <c r="DQ136" s="16">
        <v>134</v>
      </c>
      <c r="DR136" s="16">
        <f t="shared" si="169"/>
        <v>60.6</v>
      </c>
      <c r="DS136" s="16">
        <f t="shared" si="170"/>
        <v>3.0273783395934069</v>
      </c>
      <c r="DT136" s="16">
        <f t="shared" si="171"/>
        <v>41.9</v>
      </c>
      <c r="DU136" s="16">
        <f t="shared" si="172"/>
        <v>58.1</v>
      </c>
      <c r="DV136" s="16">
        <f t="shared" si="173"/>
        <v>62.3</v>
      </c>
      <c r="DX136" s="197">
        <f t="shared" si="161"/>
        <v>1.9125084656084721</v>
      </c>
      <c r="DY136" s="197">
        <f t="shared" si="162"/>
        <v>0.93702399999999997</v>
      </c>
      <c r="DZ136" s="222" t="e">
        <f t="shared" si="167"/>
        <v>#N/A</v>
      </c>
      <c r="EA136" s="192">
        <f t="shared" si="168"/>
        <v>1.9370240000000001</v>
      </c>
    </row>
    <row r="137" spans="5:133" ht="11.25" customHeight="1">
      <c r="E137" s="466">
        <v>136</v>
      </c>
      <c r="F137" s="474"/>
      <c r="G137" s="471"/>
      <c r="H137" s="321"/>
      <c r="I137" s="326"/>
      <c r="J137" s="30"/>
      <c r="BI137" s="621">
        <v>129</v>
      </c>
      <c r="BJ137" s="622"/>
      <c r="BK137" s="623"/>
      <c r="BL137" s="1109"/>
      <c r="BM137" s="1109"/>
      <c r="BN137" s="24"/>
      <c r="BP137" s="621">
        <v>129</v>
      </c>
      <c r="BQ137" s="622"/>
      <c r="BR137" s="623"/>
      <c r="BS137" s="1109"/>
      <c r="BT137" s="1109"/>
      <c r="BU137" s="24"/>
      <c r="BW137" s="621">
        <v>129</v>
      </c>
      <c r="BX137" s="622">
        <v>8.6999999999999993</v>
      </c>
      <c r="BY137" s="623"/>
      <c r="BZ137" s="1109"/>
      <c r="CA137" s="1109"/>
      <c r="CB137" s="24"/>
      <c r="CT137" s="16" t="e">
        <f t="shared" si="178"/>
        <v>#N/A</v>
      </c>
      <c r="CU137" s="197" t="e">
        <f t="shared" si="179"/>
        <v>#N/A</v>
      </c>
      <c r="CV137" s="197" t="e">
        <f t="shared" si="180"/>
        <v>#N/A</v>
      </c>
      <c r="CW137" s="197">
        <v>134</v>
      </c>
      <c r="CX137" s="197" t="str">
        <f t="shared" si="174"/>
        <v/>
      </c>
      <c r="CY137" s="197" t="e">
        <f t="shared" si="175"/>
        <v>#N/A</v>
      </c>
      <c r="CZ137" s="197" t="e">
        <f t="shared" si="176"/>
        <v>#N/A</v>
      </c>
      <c r="DA137" s="197" t="str">
        <f t="shared" si="181"/>
        <v/>
      </c>
      <c r="DB137" s="16" t="e">
        <f t="shared" si="177"/>
        <v>#N/A</v>
      </c>
      <c r="DC137" s="16" t="e">
        <f>IF(ISNUMBER(CX137),COUNTIF($DB$4:DB137,DB137)-1,NA())</f>
        <v>#N/A</v>
      </c>
      <c r="DP137" s="16">
        <f t="shared" si="182"/>
        <v>0.82044467329978943</v>
      </c>
      <c r="DQ137" s="16">
        <v>135</v>
      </c>
      <c r="DR137" s="16">
        <f t="shared" si="169"/>
        <v>59.2</v>
      </c>
      <c r="DS137" s="16">
        <f t="shared" si="170"/>
        <v>2.9287106543264825</v>
      </c>
      <c r="DT137" s="16">
        <f t="shared" si="171"/>
        <v>43.9</v>
      </c>
      <c r="DU137" s="16">
        <f t="shared" si="172"/>
        <v>56.1</v>
      </c>
      <c r="DV137" s="16">
        <f t="shared" si="173"/>
        <v>61.1</v>
      </c>
      <c r="DX137" s="197">
        <f t="shared" si="161"/>
        <v>1.9260333333333399</v>
      </c>
      <c r="DY137" s="197">
        <f t="shared" si="162"/>
        <v>0.93702399999999997</v>
      </c>
      <c r="DZ137" s="222" t="e">
        <f t="shared" si="167"/>
        <v>#N/A</v>
      </c>
      <c r="EA137" s="192">
        <f t="shared" si="168"/>
        <v>1.9370240000000001</v>
      </c>
    </row>
    <row r="138" spans="5:133" ht="11.25" customHeight="1">
      <c r="E138" s="466">
        <v>137</v>
      </c>
      <c r="F138" s="474"/>
      <c r="G138" s="471"/>
      <c r="H138" s="321"/>
      <c r="I138" s="326"/>
      <c r="J138" s="30"/>
      <c r="BI138" s="621">
        <v>130</v>
      </c>
      <c r="BJ138" s="622"/>
      <c r="BK138" s="623"/>
      <c r="BL138" s="1109"/>
      <c r="BM138" s="1109"/>
      <c r="BN138" s="24"/>
      <c r="BP138" s="621">
        <v>130</v>
      </c>
      <c r="BQ138" s="622"/>
      <c r="BR138" s="623"/>
      <c r="BS138" s="1109"/>
      <c r="BT138" s="1109"/>
      <c r="BU138" s="24"/>
      <c r="BW138" s="621">
        <v>130</v>
      </c>
      <c r="BX138" s="622">
        <v>26.4</v>
      </c>
      <c r="BY138" s="623"/>
      <c r="BZ138" s="1109"/>
      <c r="CA138" s="1109"/>
      <c r="CB138" s="24"/>
      <c r="CT138" s="16" t="e">
        <f t="shared" si="178"/>
        <v>#N/A</v>
      </c>
      <c r="CU138" s="197" t="e">
        <f t="shared" si="179"/>
        <v>#N/A</v>
      </c>
      <c r="CV138" s="197" t="e">
        <f t="shared" si="180"/>
        <v>#N/A</v>
      </c>
      <c r="CW138" s="197">
        <v>135</v>
      </c>
      <c r="CX138" s="197" t="str">
        <f t="shared" si="174"/>
        <v/>
      </c>
      <c r="CY138" s="197" t="e">
        <f t="shared" si="175"/>
        <v>#N/A</v>
      </c>
      <c r="CZ138" s="197" t="e">
        <f t="shared" si="176"/>
        <v>#N/A</v>
      </c>
      <c r="DA138" s="197" t="str">
        <f t="shared" si="181"/>
        <v/>
      </c>
      <c r="DB138" s="16" t="e">
        <f t="shared" si="177"/>
        <v>#N/A</v>
      </c>
      <c r="DC138" s="16" t="e">
        <f>IF(ISNUMBER(CX138),COUNTIF($DB$4:DB138,DB138)-1,NA())</f>
        <v>#N/A</v>
      </c>
      <c r="DP138" s="16">
        <f t="shared" si="182"/>
        <v>0.39877864718437195</v>
      </c>
      <c r="DQ138" s="16">
        <v>136</v>
      </c>
      <c r="DR138" s="16">
        <f t="shared" si="169"/>
        <v>47.4</v>
      </c>
      <c r="DS138" s="16">
        <f t="shared" si="170"/>
        <v>2.107211136631403</v>
      </c>
      <c r="DT138" s="16">
        <f t="shared" si="171"/>
        <v>54.4</v>
      </c>
      <c r="DU138" s="16">
        <f t="shared" si="172"/>
        <v>45.6</v>
      </c>
      <c r="DV138" s="16">
        <f t="shared" si="173"/>
        <v>46.5</v>
      </c>
      <c r="DX138" s="197">
        <f t="shared" si="161"/>
        <v>1.9395582010582078</v>
      </c>
      <c r="DY138" s="197">
        <f t="shared" si="162"/>
        <v>0.93702399999999997</v>
      </c>
      <c r="DZ138" s="222" t="e">
        <f t="shared" si="167"/>
        <v>#N/A</v>
      </c>
      <c r="EA138" s="192">
        <f t="shared" si="168"/>
        <v>1.9370240000000001</v>
      </c>
    </row>
    <row r="139" spans="5:133" ht="11.25" customHeight="1">
      <c r="E139" s="466">
        <v>138</v>
      </c>
      <c r="F139" s="474"/>
      <c r="G139" s="471"/>
      <c r="H139" s="321"/>
      <c r="I139" s="326"/>
      <c r="J139" s="30"/>
      <c r="BI139" s="621">
        <v>131</v>
      </c>
      <c r="BJ139" s="622"/>
      <c r="BK139" s="623"/>
      <c r="BL139" s="1109"/>
      <c r="BM139" s="1109"/>
      <c r="BN139" s="24"/>
      <c r="BP139" s="621">
        <v>131</v>
      </c>
      <c r="BQ139" s="622"/>
      <c r="BR139" s="623"/>
      <c r="BS139" s="1109"/>
      <c r="BT139" s="1109"/>
      <c r="BU139" s="24"/>
      <c r="BW139" s="621">
        <v>131</v>
      </c>
      <c r="BX139" s="622">
        <v>18</v>
      </c>
      <c r="BY139" s="623"/>
      <c r="BZ139" s="1109"/>
      <c r="CA139" s="1109"/>
      <c r="CB139" s="24"/>
      <c r="CT139" s="16" t="e">
        <f t="shared" si="178"/>
        <v>#N/A</v>
      </c>
      <c r="CU139" s="197" t="e">
        <f t="shared" si="179"/>
        <v>#N/A</v>
      </c>
      <c r="CV139" s="197" t="e">
        <f t="shared" si="180"/>
        <v>#N/A</v>
      </c>
      <c r="CW139" s="197">
        <v>136</v>
      </c>
      <c r="CX139" s="197" t="str">
        <f t="shared" si="174"/>
        <v/>
      </c>
      <c r="CY139" s="197" t="e">
        <f t="shared" si="175"/>
        <v>#N/A</v>
      </c>
      <c r="CZ139" s="197" t="e">
        <f t="shared" si="176"/>
        <v>#N/A</v>
      </c>
      <c r="DA139" s="197" t="str">
        <f t="shared" si="181"/>
        <v/>
      </c>
      <c r="DB139" s="16" t="e">
        <f t="shared" si="177"/>
        <v>#N/A</v>
      </c>
      <c r="DC139" s="16" t="e">
        <f>IF(ISNUMBER(CX139),COUNTIF($DB$4:DB139,DB139)-1,NA())</f>
        <v>#N/A</v>
      </c>
      <c r="DP139" s="16">
        <f t="shared" si="182"/>
        <v>0.6559661328792572</v>
      </c>
      <c r="DQ139" s="16">
        <v>137</v>
      </c>
      <c r="DR139" s="16">
        <f t="shared" si="169"/>
        <v>54</v>
      </c>
      <c r="DS139" s="16">
        <f t="shared" si="170"/>
        <v>2.5678029976585726</v>
      </c>
      <c r="DT139" s="16">
        <f t="shared" si="171"/>
        <v>49.5</v>
      </c>
      <c r="DU139" s="16">
        <f t="shared" si="172"/>
        <v>50.5</v>
      </c>
      <c r="DV139" s="16">
        <f t="shared" si="173"/>
        <v>55.4</v>
      </c>
      <c r="DX139" s="197">
        <f t="shared" si="161"/>
        <v>1.9530830687830756</v>
      </c>
      <c r="DY139" s="197">
        <f t="shared" si="162"/>
        <v>0.93702399999999997</v>
      </c>
      <c r="DZ139" s="222" t="e">
        <f t="shared" si="167"/>
        <v>#N/A</v>
      </c>
      <c r="EA139" s="192">
        <f t="shared" si="168"/>
        <v>1.9370240000000001</v>
      </c>
    </row>
    <row r="140" spans="5:133" ht="11.25" customHeight="1">
      <c r="E140" s="466">
        <v>139</v>
      </c>
      <c r="F140" s="474"/>
      <c r="G140" s="471"/>
      <c r="H140" s="321"/>
      <c r="I140" s="326"/>
      <c r="J140" s="30"/>
      <c r="BI140" s="621">
        <v>132</v>
      </c>
      <c r="BJ140" s="622"/>
      <c r="BK140" s="623"/>
      <c r="BL140" s="1109"/>
      <c r="BM140" s="1109"/>
      <c r="BN140" s="24"/>
      <c r="BP140" s="621">
        <v>132</v>
      </c>
      <c r="BQ140" s="622"/>
      <c r="BR140" s="623"/>
      <c r="BS140" s="1109"/>
      <c r="BT140" s="1109"/>
      <c r="BU140" s="24"/>
      <c r="BW140" s="621">
        <v>132</v>
      </c>
      <c r="BX140" s="622">
        <v>19</v>
      </c>
      <c r="BY140" s="623"/>
      <c r="BZ140" s="1109"/>
      <c r="CA140" s="1109"/>
      <c r="CB140" s="24"/>
      <c r="CT140" s="16" t="e">
        <f t="shared" si="178"/>
        <v>#N/A</v>
      </c>
      <c r="CU140" s="197" t="e">
        <f t="shared" si="179"/>
        <v>#N/A</v>
      </c>
      <c r="CV140" s="197" t="e">
        <f t="shared" si="180"/>
        <v>#N/A</v>
      </c>
      <c r="CW140" s="197">
        <v>137</v>
      </c>
      <c r="CX140" s="197" t="str">
        <f t="shared" si="174"/>
        <v/>
      </c>
      <c r="CY140" s="197" t="e">
        <f t="shared" si="175"/>
        <v>#N/A</v>
      </c>
      <c r="CZ140" s="197" t="e">
        <f t="shared" si="176"/>
        <v>#N/A</v>
      </c>
      <c r="DA140" s="197" t="str">
        <f t="shared" si="181"/>
        <v/>
      </c>
      <c r="DB140" s="16" t="e">
        <f t="shared" si="177"/>
        <v>#N/A</v>
      </c>
      <c r="DC140" s="16" t="e">
        <f>IF(ISNUMBER(CX140),COUNTIF($DB$4:DB140,DB140)-1,NA())</f>
        <v>#N/A</v>
      </c>
      <c r="DP140" s="16">
        <f t="shared" si="182"/>
        <v>0.856352299451828</v>
      </c>
      <c r="DQ140" s="16">
        <v>138</v>
      </c>
      <c r="DR140" s="16">
        <f t="shared" si="169"/>
        <v>60.6</v>
      </c>
      <c r="DS140" s="16">
        <f t="shared" si="170"/>
        <v>3.0316193793044861</v>
      </c>
      <c r="DT140" s="16">
        <f t="shared" si="171"/>
        <v>41.8</v>
      </c>
      <c r="DU140" s="16">
        <f t="shared" si="172"/>
        <v>58.2</v>
      </c>
      <c r="DV140" s="16">
        <f t="shared" si="173"/>
        <v>62.3</v>
      </c>
      <c r="DX140" s="197">
        <f t="shared" si="161"/>
        <v>1.9666079365079434</v>
      </c>
      <c r="DY140" s="197">
        <f t="shared" si="162"/>
        <v>0.93702399999999997</v>
      </c>
      <c r="DZ140" s="222" t="e">
        <f t="shared" si="167"/>
        <v>#N/A</v>
      </c>
      <c r="EA140" s="192">
        <f t="shared" si="168"/>
        <v>1.9370240000000001</v>
      </c>
    </row>
    <row r="141" spans="5:133" ht="11.25" customHeight="1">
      <c r="E141" s="466">
        <v>140</v>
      </c>
      <c r="F141" s="474"/>
      <c r="G141" s="471"/>
      <c r="H141" s="321"/>
      <c r="I141" s="326"/>
      <c r="J141" s="30"/>
      <c r="BI141" s="621">
        <v>133</v>
      </c>
      <c r="BJ141" s="622"/>
      <c r="BK141" s="623"/>
      <c r="BL141" s="1109"/>
      <c r="BM141" s="1109"/>
      <c r="BN141" s="24"/>
      <c r="BP141" s="621">
        <v>133</v>
      </c>
      <c r="BQ141" s="622"/>
      <c r="BR141" s="623"/>
      <c r="BS141" s="1109"/>
      <c r="BT141" s="1109"/>
      <c r="BU141" s="24"/>
      <c r="BW141" s="621">
        <v>133</v>
      </c>
      <c r="BX141" s="622">
        <v>16.899999999999999</v>
      </c>
      <c r="BY141" s="623"/>
      <c r="BZ141" s="1109"/>
      <c r="CA141" s="1109"/>
      <c r="CB141" s="24"/>
      <c r="CT141" s="16" t="e">
        <f t="shared" si="178"/>
        <v>#N/A</v>
      </c>
      <c r="CU141" s="197" t="e">
        <f t="shared" si="179"/>
        <v>#N/A</v>
      </c>
      <c r="CV141" s="197" t="e">
        <f t="shared" si="180"/>
        <v>#N/A</v>
      </c>
      <c r="CW141" s="197">
        <v>138</v>
      </c>
      <c r="CX141" s="197" t="str">
        <f t="shared" si="174"/>
        <v/>
      </c>
      <c r="CY141" s="197" t="e">
        <f t="shared" si="175"/>
        <v>#N/A</v>
      </c>
      <c r="CZ141" s="197" t="e">
        <f t="shared" si="176"/>
        <v>#N/A</v>
      </c>
      <c r="DA141" s="197" t="str">
        <f t="shared" si="181"/>
        <v/>
      </c>
      <c r="DB141" s="16" t="e">
        <f t="shared" si="177"/>
        <v>#N/A</v>
      </c>
      <c r="DC141" s="16" t="e">
        <f>IF(ISNUMBER(CX141),COUNTIF($DB$4:DB141,DB141)-1,NA())</f>
        <v>#N/A</v>
      </c>
      <c r="DP141" s="16">
        <f t="shared" si="182"/>
        <v>0.12709817290306091</v>
      </c>
      <c r="DQ141" s="16">
        <v>139</v>
      </c>
      <c r="DR141" s="16">
        <f t="shared" si="169"/>
        <v>38.6</v>
      </c>
      <c r="DS141" s="16">
        <f t="shared" si="170"/>
        <v>1.4886167618883874</v>
      </c>
      <c r="DT141" s="16">
        <f t="shared" si="171"/>
        <v>58.1</v>
      </c>
      <c r="DU141" s="16">
        <f t="shared" si="172"/>
        <v>41.9</v>
      </c>
      <c r="DV141" s="16">
        <f t="shared" si="173"/>
        <v>37.1</v>
      </c>
      <c r="DX141" s="197">
        <f t="shared" ref="DX141:DX180" si="183">IF(DY$5=0,NA(),DX140+DY$9)</f>
        <v>1.9801328042328112</v>
      </c>
      <c r="DY141" s="197">
        <f t="shared" ref="DY141:DY224" si="184">DY140</f>
        <v>0.93702399999999997</v>
      </c>
      <c r="DZ141" s="222" t="e">
        <f t="shared" si="167"/>
        <v>#N/A</v>
      </c>
      <c r="EA141" s="192">
        <f t="shared" si="168"/>
        <v>1.9370240000000001</v>
      </c>
    </row>
    <row r="142" spans="5:133" ht="11.25" customHeight="1">
      <c r="E142" s="466">
        <v>141</v>
      </c>
      <c r="F142" s="474"/>
      <c r="G142" s="471"/>
      <c r="H142" s="321"/>
      <c r="I142" s="326"/>
      <c r="J142" s="30"/>
      <c r="BI142" s="621">
        <v>134</v>
      </c>
      <c r="BJ142" s="622"/>
      <c r="BK142" s="623"/>
      <c r="BL142" s="1109"/>
      <c r="BM142" s="1109"/>
      <c r="BN142" s="24"/>
      <c r="BP142" s="621">
        <v>134</v>
      </c>
      <c r="BQ142" s="622"/>
      <c r="BR142" s="623"/>
      <c r="BS142" s="1109"/>
      <c r="BT142" s="1109"/>
      <c r="BU142" s="24"/>
      <c r="BW142" s="621">
        <v>134</v>
      </c>
      <c r="BX142" s="622">
        <v>18.8</v>
      </c>
      <c r="BY142" s="623"/>
      <c r="BZ142" s="1109"/>
      <c r="CA142" s="1109"/>
      <c r="CB142" s="24"/>
      <c r="CT142" s="16" t="e">
        <f t="shared" si="178"/>
        <v>#N/A</v>
      </c>
      <c r="CU142" s="197" t="e">
        <f t="shared" si="179"/>
        <v>#N/A</v>
      </c>
      <c r="CV142" s="197" t="e">
        <f t="shared" si="180"/>
        <v>#N/A</v>
      </c>
      <c r="CW142" s="197">
        <v>139</v>
      </c>
      <c r="CX142" s="197" t="str">
        <f t="shared" si="174"/>
        <v/>
      </c>
      <c r="CY142" s="197" t="e">
        <f t="shared" si="175"/>
        <v>#N/A</v>
      </c>
      <c r="CZ142" s="197" t="e">
        <f t="shared" si="176"/>
        <v>#N/A</v>
      </c>
      <c r="DA142" s="197" t="str">
        <f t="shared" si="181"/>
        <v/>
      </c>
      <c r="DB142" s="16" t="e">
        <f t="shared" si="177"/>
        <v>#N/A</v>
      </c>
      <c r="DC142" s="16" t="e">
        <f>IF(ISNUMBER(CX142),COUNTIF($DB$4:DB142,DB142)-1,NA())</f>
        <v>#N/A</v>
      </c>
      <c r="DP142" s="16">
        <f t="shared" si="182"/>
        <v>0.38130685687065125</v>
      </c>
      <c r="DQ142" s="16">
        <v>140</v>
      </c>
      <c r="DR142" s="16">
        <f t="shared" si="169"/>
        <v>47</v>
      </c>
      <c r="DS142" s="16">
        <f t="shared" si="170"/>
        <v>2.0753327093925296</v>
      </c>
      <c r="DT142" s="16">
        <f t="shared" si="171"/>
        <v>54.6</v>
      </c>
      <c r="DU142" s="16">
        <f t="shared" si="172"/>
        <v>45.4</v>
      </c>
      <c r="DV142" s="16">
        <f t="shared" si="173"/>
        <v>45.9</v>
      </c>
      <c r="DX142" s="197">
        <f t="shared" si="183"/>
        <v>1.9936576719576791</v>
      </c>
      <c r="DY142" s="197">
        <f t="shared" si="184"/>
        <v>0.93702399999999997</v>
      </c>
      <c r="DZ142" s="222" t="e">
        <f t="shared" si="167"/>
        <v>#N/A</v>
      </c>
      <c r="EA142" s="192">
        <f t="shared" si="168"/>
        <v>1.9370240000000001</v>
      </c>
    </row>
    <row r="143" spans="5:133" ht="11.25" customHeight="1">
      <c r="E143" s="466">
        <v>142</v>
      </c>
      <c r="F143" s="474"/>
      <c r="G143" s="471"/>
      <c r="H143" s="321"/>
      <c r="I143" s="326"/>
      <c r="J143" s="30"/>
      <c r="BI143" s="621">
        <v>135</v>
      </c>
      <c r="BJ143" s="622"/>
      <c r="BK143" s="623"/>
      <c r="BL143" s="1109"/>
      <c r="BM143" s="1109"/>
      <c r="BN143" s="24"/>
      <c r="BP143" s="621">
        <v>135</v>
      </c>
      <c r="BQ143" s="622"/>
      <c r="BR143" s="623"/>
      <c r="BS143" s="1109"/>
      <c r="BT143" s="1109"/>
      <c r="BU143" s="24"/>
      <c r="BW143" s="621">
        <v>135</v>
      </c>
      <c r="BX143" s="622">
        <v>8.5</v>
      </c>
      <c r="BY143" s="623"/>
      <c r="BZ143" s="1109"/>
      <c r="CA143" s="1109"/>
      <c r="CB143" s="24"/>
      <c r="CT143" s="16" t="e">
        <f t="shared" si="178"/>
        <v>#N/A</v>
      </c>
      <c r="CU143" s="197" t="e">
        <f t="shared" si="179"/>
        <v>#N/A</v>
      </c>
      <c r="CV143" s="197" t="e">
        <f t="shared" si="180"/>
        <v>#N/A</v>
      </c>
      <c r="CW143" s="197">
        <v>140</v>
      </c>
      <c r="CX143" s="197" t="str">
        <f t="shared" si="174"/>
        <v/>
      </c>
      <c r="CY143" s="197" t="e">
        <f t="shared" si="175"/>
        <v>#N/A</v>
      </c>
      <c r="CZ143" s="197" t="e">
        <f t="shared" si="176"/>
        <v>#N/A</v>
      </c>
      <c r="DA143" s="197" t="str">
        <f t="shared" si="181"/>
        <v/>
      </c>
      <c r="DB143" s="16" t="e">
        <f t="shared" si="177"/>
        <v>#N/A</v>
      </c>
      <c r="DC143" s="16" t="e">
        <f>IF(ISNUMBER(CX143),COUNTIF($DB$4:DB143,DB143)-1,NA())</f>
        <v>#N/A</v>
      </c>
      <c r="DP143" s="16">
        <f t="shared" si="182"/>
        <v>0.52569565176963806</v>
      </c>
      <c r="DQ143" s="16">
        <v>141</v>
      </c>
      <c r="DR143" s="16">
        <f t="shared" si="169"/>
        <v>50.6</v>
      </c>
      <c r="DS143" s="16">
        <f t="shared" si="170"/>
        <v>2.3318857566049753</v>
      </c>
      <c r="DT143" s="16">
        <f t="shared" si="171"/>
        <v>52.3</v>
      </c>
      <c r="DU143" s="16">
        <f t="shared" si="172"/>
        <v>47.7</v>
      </c>
      <c r="DV143" s="16">
        <f t="shared" si="173"/>
        <v>50.9</v>
      </c>
      <c r="DX143" s="197">
        <f t="shared" si="183"/>
        <v>2.0071825396825469</v>
      </c>
      <c r="DY143" s="197">
        <f t="shared" si="184"/>
        <v>0.93702399999999997</v>
      </c>
      <c r="DZ143" s="222" t="e">
        <f t="shared" si="167"/>
        <v>#N/A</v>
      </c>
      <c r="EA143" s="192">
        <f t="shared" si="168"/>
        <v>1.9370240000000001</v>
      </c>
    </row>
    <row r="144" spans="5:133" ht="11.25" customHeight="1">
      <c r="E144" s="466">
        <v>143</v>
      </c>
      <c r="F144" s="474"/>
      <c r="G144" s="471"/>
      <c r="H144" s="321"/>
      <c r="I144" s="326"/>
      <c r="J144" s="30"/>
      <c r="BI144" s="621">
        <v>136</v>
      </c>
      <c r="BJ144" s="622"/>
      <c r="BK144" s="623"/>
      <c r="BL144" s="1109"/>
      <c r="BM144" s="1109"/>
      <c r="BN144" s="24"/>
      <c r="BP144" s="621">
        <v>136</v>
      </c>
      <c r="BQ144" s="622"/>
      <c r="BR144" s="623"/>
      <c r="BS144" s="1109"/>
      <c r="BT144" s="1109"/>
      <c r="BU144" s="24"/>
      <c r="BW144" s="621">
        <v>136</v>
      </c>
      <c r="BX144" s="622">
        <v>1.2</v>
      </c>
      <c r="BY144" s="623"/>
      <c r="BZ144" s="1109"/>
      <c r="CA144" s="1109"/>
      <c r="CB144" s="24"/>
      <c r="CT144" s="16" t="e">
        <f t="shared" si="178"/>
        <v>#N/A</v>
      </c>
      <c r="CU144" s="197" t="e">
        <f t="shared" si="179"/>
        <v>#N/A</v>
      </c>
      <c r="CV144" s="197" t="e">
        <f t="shared" si="180"/>
        <v>#N/A</v>
      </c>
      <c r="CW144" s="197">
        <v>141</v>
      </c>
      <c r="CX144" s="197" t="str">
        <f t="shared" si="174"/>
        <v/>
      </c>
      <c r="CY144" s="197" t="e">
        <f t="shared" si="175"/>
        <v>#N/A</v>
      </c>
      <c r="CZ144" s="197" t="e">
        <f t="shared" si="176"/>
        <v>#N/A</v>
      </c>
      <c r="DA144" s="197" t="str">
        <f t="shared" si="181"/>
        <v/>
      </c>
      <c r="DB144" s="16" t="e">
        <f t="shared" si="177"/>
        <v>#N/A</v>
      </c>
      <c r="DC144" s="16" t="e">
        <f>IF(ISNUMBER(CX144),COUNTIF($DB$4:DB144,DB144)-1,NA())</f>
        <v>#N/A</v>
      </c>
      <c r="DP144" s="16">
        <f t="shared" si="182"/>
        <v>0.35173985362052917</v>
      </c>
      <c r="DQ144" s="16">
        <v>142</v>
      </c>
      <c r="DR144" s="16">
        <f t="shared" si="169"/>
        <v>46.2</v>
      </c>
      <c r="DS144" s="16">
        <f t="shared" si="170"/>
        <v>2.0203287066426658</v>
      </c>
      <c r="DT144" s="16">
        <f t="shared" si="171"/>
        <v>55</v>
      </c>
      <c r="DU144" s="16">
        <f t="shared" si="172"/>
        <v>45</v>
      </c>
      <c r="DV144" s="16">
        <f t="shared" si="173"/>
        <v>44.9</v>
      </c>
      <c r="DX144" s="197">
        <f t="shared" si="183"/>
        <v>2.0207074074074147</v>
      </c>
      <c r="DY144" s="197">
        <f t="shared" si="184"/>
        <v>0.93702399999999997</v>
      </c>
      <c r="DZ144" s="222" t="e">
        <f t="shared" si="167"/>
        <v>#N/A</v>
      </c>
      <c r="EA144" s="192">
        <f t="shared" si="168"/>
        <v>1.9370240000000001</v>
      </c>
    </row>
    <row r="145" spans="5:131" ht="11.25" customHeight="1">
      <c r="E145" s="466">
        <v>144</v>
      </c>
      <c r="F145" s="474"/>
      <c r="G145" s="471"/>
      <c r="H145" s="321"/>
      <c r="I145" s="326"/>
      <c r="J145" s="30"/>
      <c r="BI145" s="621">
        <v>137</v>
      </c>
      <c r="BJ145" s="622"/>
      <c r="BK145" s="623"/>
      <c r="BL145" s="1109"/>
      <c r="BM145" s="1109"/>
      <c r="BN145" s="24"/>
      <c r="BP145" s="621">
        <v>137</v>
      </c>
      <c r="BQ145" s="622"/>
      <c r="BR145" s="623"/>
      <c r="BS145" s="1109"/>
      <c r="BT145" s="1109"/>
      <c r="BU145" s="24"/>
      <c r="BW145" s="621">
        <v>137</v>
      </c>
      <c r="BX145" s="622">
        <v>11.5</v>
      </c>
      <c r="BY145" s="623"/>
      <c r="BZ145" s="1109"/>
      <c r="CA145" s="1109"/>
      <c r="CB145" s="24"/>
      <c r="CT145" s="16" t="e">
        <f t="shared" si="178"/>
        <v>#N/A</v>
      </c>
      <c r="CU145" s="197" t="e">
        <f t="shared" si="179"/>
        <v>#N/A</v>
      </c>
      <c r="CV145" s="197" t="e">
        <f t="shared" si="180"/>
        <v>#N/A</v>
      </c>
      <c r="CW145" s="197">
        <v>142</v>
      </c>
      <c r="CX145" s="197" t="str">
        <f t="shared" si="174"/>
        <v/>
      </c>
      <c r="CY145" s="197" t="e">
        <f t="shared" si="175"/>
        <v>#N/A</v>
      </c>
      <c r="CZ145" s="197" t="e">
        <f t="shared" si="176"/>
        <v>#N/A</v>
      </c>
      <c r="DA145" s="197" t="str">
        <f t="shared" si="181"/>
        <v/>
      </c>
      <c r="DB145" s="16" t="e">
        <f t="shared" si="177"/>
        <v>#N/A</v>
      </c>
      <c r="DC145" s="16" t="e">
        <f>IF(ISNUMBER(CX145),COUNTIF($DB$4:DB145,DB145)-1,NA())</f>
        <v>#N/A</v>
      </c>
      <c r="DP145" s="16">
        <f t="shared" si="182"/>
        <v>0.10882338881492615</v>
      </c>
      <c r="DQ145" s="16">
        <v>143</v>
      </c>
      <c r="DR145" s="16">
        <f t="shared" si="169"/>
        <v>37.700000000000003</v>
      </c>
      <c r="DS145" s="16">
        <f t="shared" si="170"/>
        <v>1.4238011454404815</v>
      </c>
      <c r="DT145" s="16">
        <f t="shared" si="171"/>
        <v>58.4</v>
      </c>
      <c r="DU145" s="16">
        <f t="shared" si="172"/>
        <v>41.6</v>
      </c>
      <c r="DV145" s="16">
        <f t="shared" si="173"/>
        <v>36.4</v>
      </c>
      <c r="DX145" s="197">
        <f t="shared" si="183"/>
        <v>2.0342322751322826</v>
      </c>
      <c r="DY145" s="197">
        <f t="shared" si="184"/>
        <v>0.93702399999999997</v>
      </c>
      <c r="DZ145" s="222" t="e">
        <f t="shared" si="167"/>
        <v>#N/A</v>
      </c>
      <c r="EA145" s="192">
        <f t="shared" si="168"/>
        <v>1.9370240000000001</v>
      </c>
    </row>
    <row r="146" spans="5:131" ht="11.25" customHeight="1">
      <c r="E146" s="466">
        <v>145</v>
      </c>
      <c r="F146" s="474"/>
      <c r="G146" s="471"/>
      <c r="H146" s="321"/>
      <c r="I146" s="326"/>
      <c r="J146" s="30"/>
      <c r="BI146" s="621">
        <v>138</v>
      </c>
      <c r="BJ146" s="622"/>
      <c r="BK146" s="623"/>
      <c r="BL146" s="1109"/>
      <c r="BM146" s="1109"/>
      <c r="BN146" s="24"/>
      <c r="BP146" s="621">
        <v>138</v>
      </c>
      <c r="BQ146" s="622"/>
      <c r="BR146" s="623"/>
      <c r="BS146" s="1109"/>
      <c r="BT146" s="1109"/>
      <c r="BU146" s="24"/>
      <c r="BW146" s="621">
        <v>138</v>
      </c>
      <c r="BX146" s="622">
        <v>21.4</v>
      </c>
      <c r="BY146" s="623"/>
      <c r="BZ146" s="1109"/>
      <c r="CA146" s="1109"/>
      <c r="CB146" s="24"/>
      <c r="CT146" s="16" t="e">
        <f t="shared" si="178"/>
        <v>#N/A</v>
      </c>
      <c r="CU146" s="197" t="e">
        <f t="shared" si="179"/>
        <v>#N/A</v>
      </c>
      <c r="CV146" s="197" t="e">
        <f t="shared" si="180"/>
        <v>#N/A</v>
      </c>
      <c r="CW146" s="197">
        <v>143</v>
      </c>
      <c r="CX146" s="197" t="str">
        <f t="shared" si="174"/>
        <v/>
      </c>
      <c r="CY146" s="197" t="e">
        <f t="shared" si="175"/>
        <v>#N/A</v>
      </c>
      <c r="CZ146" s="197" t="e">
        <f t="shared" si="176"/>
        <v>#N/A</v>
      </c>
      <c r="DA146" s="197" t="str">
        <f t="shared" si="181"/>
        <v/>
      </c>
      <c r="DB146" s="16" t="e">
        <f t="shared" si="177"/>
        <v>#N/A</v>
      </c>
      <c r="DC146" s="16" t="e">
        <f>IF(ISNUMBER(CX146),COUNTIF($DB$4:DB146,DB146)-1,NA())</f>
        <v>#N/A</v>
      </c>
      <c r="DP146" s="16">
        <f t="shared" si="182"/>
        <v>0.30285331606864929</v>
      </c>
      <c r="DQ146" s="16">
        <v>144</v>
      </c>
      <c r="DR146" s="16">
        <f t="shared" si="169"/>
        <v>44.8</v>
      </c>
      <c r="DS146" s="16">
        <f t="shared" si="170"/>
        <v>1.9254198067494279</v>
      </c>
      <c r="DT146" s="16">
        <f t="shared" si="171"/>
        <v>55.7</v>
      </c>
      <c r="DU146" s="16">
        <f t="shared" si="172"/>
        <v>44.3</v>
      </c>
      <c r="DV146" s="16">
        <f t="shared" si="173"/>
        <v>43.2</v>
      </c>
      <c r="DX146" s="197">
        <f t="shared" si="183"/>
        <v>2.0477571428571504</v>
      </c>
      <c r="DY146" s="197">
        <f t="shared" si="184"/>
        <v>0.93702399999999997</v>
      </c>
      <c r="DZ146" s="222" t="e">
        <f t="shared" si="167"/>
        <v>#N/A</v>
      </c>
      <c r="EA146" s="192">
        <f t="shared" si="168"/>
        <v>1.9370240000000001</v>
      </c>
    </row>
    <row r="147" spans="5:131" ht="11.25" customHeight="1">
      <c r="E147" s="466">
        <v>146</v>
      </c>
      <c r="F147" s="474"/>
      <c r="G147" s="471"/>
      <c r="H147" s="321"/>
      <c r="I147" s="326"/>
      <c r="J147" s="30"/>
      <c r="BI147" s="621">
        <v>139</v>
      </c>
      <c r="BJ147" s="622"/>
      <c r="BK147" s="623"/>
      <c r="BL147" s="1109"/>
      <c r="BM147" s="1109"/>
      <c r="BN147" s="24"/>
      <c r="BP147" s="621">
        <v>139</v>
      </c>
      <c r="BQ147" s="622"/>
      <c r="BR147" s="623"/>
      <c r="BS147" s="1109"/>
      <c r="BT147" s="1109"/>
      <c r="BU147" s="24"/>
      <c r="BW147" s="621">
        <v>139</v>
      </c>
      <c r="BX147" s="622">
        <v>10.3</v>
      </c>
      <c r="BY147" s="623"/>
      <c r="BZ147" s="1109"/>
      <c r="CA147" s="1109"/>
      <c r="CB147" s="24"/>
      <c r="CT147" s="16" t="e">
        <f t="shared" si="178"/>
        <v>#N/A</v>
      </c>
      <c r="CU147" s="197" t="e">
        <f t="shared" si="179"/>
        <v>#N/A</v>
      </c>
      <c r="CV147" s="197" t="e">
        <f t="shared" si="180"/>
        <v>#N/A</v>
      </c>
      <c r="CW147" s="197">
        <v>144</v>
      </c>
      <c r="CX147" s="197" t="str">
        <f t="shared" si="174"/>
        <v/>
      </c>
      <c r="CY147" s="197" t="e">
        <f t="shared" si="175"/>
        <v>#N/A</v>
      </c>
      <c r="CZ147" s="197" t="e">
        <f t="shared" si="176"/>
        <v>#N/A</v>
      </c>
      <c r="DA147" s="197" t="str">
        <f t="shared" si="181"/>
        <v/>
      </c>
      <c r="DB147" s="16" t="e">
        <f t="shared" si="177"/>
        <v>#N/A</v>
      </c>
      <c r="DC147" s="16" t="e">
        <f>IF(ISNUMBER(CX147),COUNTIF($DB$4:DB147,DB147)-1,NA())</f>
        <v>#N/A</v>
      </c>
      <c r="DP147" s="16">
        <f t="shared" si="182"/>
        <v>9.7779601812362671E-2</v>
      </c>
      <c r="DQ147" s="16">
        <v>145</v>
      </c>
      <c r="DR147" s="16">
        <f t="shared" si="169"/>
        <v>37.1</v>
      </c>
      <c r="DS147" s="16">
        <f t="shared" si="170"/>
        <v>1.3807526267817978</v>
      </c>
      <c r="DT147" s="16">
        <f t="shared" si="171"/>
        <v>58.6</v>
      </c>
      <c r="DU147" s="16">
        <f t="shared" si="172"/>
        <v>41.4</v>
      </c>
      <c r="DV147" s="16">
        <f t="shared" si="173"/>
        <v>36.1</v>
      </c>
      <c r="DX147" s="197">
        <f t="shared" si="183"/>
        <v>2.0612820105820182</v>
      </c>
      <c r="DY147" s="197">
        <f t="shared" si="184"/>
        <v>0.93702399999999997</v>
      </c>
      <c r="DZ147" s="222" t="e">
        <f t="shared" si="167"/>
        <v>#N/A</v>
      </c>
      <c r="EA147" s="192">
        <f t="shared" si="168"/>
        <v>1.9370240000000001</v>
      </c>
    </row>
    <row r="148" spans="5:131" ht="11.25" customHeight="1">
      <c r="E148" s="466">
        <v>147</v>
      </c>
      <c r="F148" s="474"/>
      <c r="G148" s="471"/>
      <c r="H148" s="321"/>
      <c r="I148" s="326"/>
      <c r="J148" s="30"/>
      <c r="BI148" s="621">
        <v>140</v>
      </c>
      <c r="BJ148" s="622"/>
      <c r="BK148" s="623"/>
      <c r="BL148" s="1109"/>
      <c r="BM148" s="1109"/>
      <c r="BN148" s="24"/>
      <c r="BP148" s="621">
        <v>140</v>
      </c>
      <c r="BQ148" s="622"/>
      <c r="BR148" s="623"/>
      <c r="BS148" s="1109"/>
      <c r="BT148" s="1109"/>
      <c r="BU148" s="24"/>
      <c r="BW148" s="621">
        <v>140</v>
      </c>
      <c r="BX148" s="622">
        <v>9</v>
      </c>
      <c r="BY148" s="623"/>
      <c r="BZ148" s="1109"/>
      <c r="CA148" s="1109"/>
      <c r="CB148" s="24"/>
      <c r="CT148" s="16" t="e">
        <f t="shared" si="178"/>
        <v>#N/A</v>
      </c>
      <c r="CU148" s="197" t="e">
        <f t="shared" si="179"/>
        <v>#N/A</v>
      </c>
      <c r="CV148" s="197" t="e">
        <f t="shared" si="180"/>
        <v>#N/A</v>
      </c>
      <c r="CW148" s="197">
        <v>145</v>
      </c>
      <c r="CX148" s="197" t="str">
        <f t="shared" si="174"/>
        <v/>
      </c>
      <c r="CY148" s="197" t="e">
        <f t="shared" si="175"/>
        <v>#N/A</v>
      </c>
      <c r="CZ148" s="197" t="e">
        <f t="shared" si="176"/>
        <v>#N/A</v>
      </c>
      <c r="DA148" s="197" t="str">
        <f t="shared" si="181"/>
        <v/>
      </c>
      <c r="DB148" s="16" t="e">
        <f t="shared" si="177"/>
        <v>#N/A</v>
      </c>
      <c r="DC148" s="16" t="e">
        <f>IF(ISNUMBER(CX148),COUNTIF($DB$4:DB148,DB148)-1,NA())</f>
        <v>#N/A</v>
      </c>
      <c r="DP148" s="16">
        <f t="shared" si="182"/>
        <v>0.2892584502696991</v>
      </c>
      <c r="DQ148" s="16">
        <v>146</v>
      </c>
      <c r="DR148" s="16">
        <f t="shared" si="169"/>
        <v>44.4</v>
      </c>
      <c r="DS148" s="16">
        <f t="shared" si="170"/>
        <v>1.8978812657771242</v>
      </c>
      <c r="DT148" s="16">
        <f t="shared" si="171"/>
        <v>55.9</v>
      </c>
      <c r="DU148" s="16">
        <f t="shared" si="172"/>
        <v>44.1</v>
      </c>
      <c r="DV148" s="16">
        <f t="shared" si="173"/>
        <v>42.7</v>
      </c>
      <c r="DX148" s="197">
        <f t="shared" si="183"/>
        <v>2.074806878306886</v>
      </c>
      <c r="DY148" s="197">
        <f t="shared" si="184"/>
        <v>0.93702399999999997</v>
      </c>
      <c r="DZ148" s="222" t="e">
        <f t="shared" si="167"/>
        <v>#N/A</v>
      </c>
      <c r="EA148" s="192">
        <f t="shared" si="168"/>
        <v>1.9370240000000001</v>
      </c>
    </row>
    <row r="149" spans="5:131" ht="11.25" customHeight="1">
      <c r="E149" s="466">
        <v>148</v>
      </c>
      <c r="F149" s="474"/>
      <c r="G149" s="471"/>
      <c r="H149" s="321"/>
      <c r="I149" s="326"/>
      <c r="J149" s="30"/>
      <c r="BI149" s="621">
        <v>141</v>
      </c>
      <c r="BJ149" s="622"/>
      <c r="BK149" s="623"/>
      <c r="BL149" s="1109"/>
      <c r="BM149" s="1109"/>
      <c r="BN149" s="24"/>
      <c r="BP149" s="621">
        <v>141</v>
      </c>
      <c r="BQ149" s="622"/>
      <c r="BR149" s="623"/>
      <c r="BS149" s="1109"/>
      <c r="BT149" s="1109"/>
      <c r="BU149" s="24"/>
      <c r="BW149" s="621">
        <v>141</v>
      </c>
      <c r="BX149" s="622">
        <v>12.8</v>
      </c>
      <c r="BY149" s="623"/>
      <c r="BZ149" s="1109"/>
      <c r="CA149" s="1109"/>
      <c r="CB149" s="24"/>
      <c r="CT149" s="16" t="e">
        <f t="shared" si="178"/>
        <v>#N/A</v>
      </c>
      <c r="CU149" s="197" t="e">
        <f t="shared" si="179"/>
        <v>#N/A</v>
      </c>
      <c r="CV149" s="197" t="e">
        <f t="shared" si="180"/>
        <v>#N/A</v>
      </c>
      <c r="CW149" s="197">
        <v>146</v>
      </c>
      <c r="CX149" s="197" t="str">
        <f t="shared" si="174"/>
        <v/>
      </c>
      <c r="CY149" s="197" t="e">
        <f t="shared" si="175"/>
        <v>#N/A</v>
      </c>
      <c r="CZ149" s="197" t="e">
        <f t="shared" si="176"/>
        <v>#N/A</v>
      </c>
      <c r="DA149" s="197" t="str">
        <f t="shared" si="181"/>
        <v/>
      </c>
      <c r="DB149" s="16" t="e">
        <f t="shared" si="177"/>
        <v>#N/A</v>
      </c>
      <c r="DC149" s="16" t="e">
        <f>IF(ISNUMBER(CX149),COUNTIF($DB$4:DB149,DB149)-1,NA())</f>
        <v>#N/A</v>
      </c>
      <c r="DP149" s="16">
        <f t="shared" si="182"/>
        <v>0.26305684447288513</v>
      </c>
      <c r="DQ149" s="16">
        <v>147</v>
      </c>
      <c r="DR149" s="16">
        <f t="shared" si="169"/>
        <v>43.7</v>
      </c>
      <c r="DS149" s="16">
        <f t="shared" si="170"/>
        <v>1.8430031766747121</v>
      </c>
      <c r="DT149" s="16">
        <f t="shared" si="171"/>
        <v>56.3</v>
      </c>
      <c r="DU149" s="16">
        <f t="shared" si="172"/>
        <v>43.7</v>
      </c>
      <c r="DV149" s="16">
        <f t="shared" si="173"/>
        <v>41.8</v>
      </c>
      <c r="DX149" s="197">
        <f t="shared" si="183"/>
        <v>2.0883317460317539</v>
      </c>
      <c r="DY149" s="197">
        <f t="shared" si="184"/>
        <v>0.93702399999999997</v>
      </c>
      <c r="DZ149" s="222" t="e">
        <f t="shared" si="167"/>
        <v>#N/A</v>
      </c>
      <c r="EA149" s="192">
        <f t="shared" si="168"/>
        <v>1.9370240000000001</v>
      </c>
    </row>
    <row r="150" spans="5:131" ht="11.25" customHeight="1">
      <c r="E150" s="466">
        <v>149</v>
      </c>
      <c r="F150" s="474"/>
      <c r="G150" s="471"/>
      <c r="H150" s="321"/>
      <c r="I150" s="326"/>
      <c r="J150" s="30"/>
      <c r="BI150" s="621">
        <v>142</v>
      </c>
      <c r="BJ150" s="622"/>
      <c r="BK150" s="623"/>
      <c r="BL150" s="1109"/>
      <c r="BM150" s="1109"/>
      <c r="BN150" s="24"/>
      <c r="BP150" s="621">
        <v>142</v>
      </c>
      <c r="BQ150" s="622"/>
      <c r="BR150" s="623"/>
      <c r="BS150" s="1109"/>
      <c r="BT150" s="1109"/>
      <c r="BU150" s="24"/>
      <c r="BW150" s="621">
        <v>142</v>
      </c>
      <c r="BX150" s="622">
        <v>12</v>
      </c>
      <c r="BY150" s="623"/>
      <c r="BZ150" s="1109"/>
      <c r="CA150" s="1109"/>
      <c r="CB150" s="24"/>
      <c r="CT150" s="16" t="e">
        <f t="shared" si="178"/>
        <v>#N/A</v>
      </c>
      <c r="CU150" s="197" t="e">
        <f t="shared" si="179"/>
        <v>#N/A</v>
      </c>
      <c r="CV150" s="197" t="e">
        <f t="shared" si="180"/>
        <v>#N/A</v>
      </c>
      <c r="CW150" s="197">
        <v>147</v>
      </c>
      <c r="CX150" s="197" t="str">
        <f t="shared" si="174"/>
        <v/>
      </c>
      <c r="CY150" s="197" t="e">
        <f t="shared" si="175"/>
        <v>#N/A</v>
      </c>
      <c r="CZ150" s="197" t="e">
        <f t="shared" si="176"/>
        <v>#N/A</v>
      </c>
      <c r="DA150" s="197" t="str">
        <f t="shared" si="181"/>
        <v/>
      </c>
      <c r="DB150" s="16" t="e">
        <f t="shared" si="177"/>
        <v>#N/A</v>
      </c>
      <c r="DC150" s="16" t="e">
        <f>IF(ISNUMBER(CX150),COUNTIF($DB$4:DB150,DB150)-1,NA())</f>
        <v>#N/A</v>
      </c>
      <c r="DP150" s="16">
        <f t="shared" si="182"/>
        <v>0.86446782946586609</v>
      </c>
      <c r="DQ150" s="16">
        <v>148</v>
      </c>
      <c r="DR150" s="16">
        <f t="shared" si="169"/>
        <v>61</v>
      </c>
      <c r="DS150" s="16">
        <f t="shared" si="170"/>
        <v>3.0571982845444743</v>
      </c>
      <c r="DT150" s="16">
        <f t="shared" si="171"/>
        <v>41.3</v>
      </c>
      <c r="DU150" s="16">
        <f t="shared" si="172"/>
        <v>58.7</v>
      </c>
      <c r="DV150" s="16">
        <f t="shared" si="173"/>
        <v>62.6</v>
      </c>
      <c r="DX150" s="197">
        <f t="shared" si="183"/>
        <v>2.1018566137566217</v>
      </c>
      <c r="DY150" s="197">
        <f t="shared" si="184"/>
        <v>0.93702399999999997</v>
      </c>
      <c r="DZ150" s="222" t="e">
        <f t="shared" si="167"/>
        <v>#N/A</v>
      </c>
      <c r="EA150" s="192">
        <f t="shared" si="168"/>
        <v>1.9370240000000001</v>
      </c>
    </row>
    <row r="151" spans="5:131" ht="11.25" customHeight="1">
      <c r="E151" s="466">
        <v>150</v>
      </c>
      <c r="F151" s="474"/>
      <c r="G151" s="471"/>
      <c r="H151" s="321"/>
      <c r="I151" s="326"/>
      <c r="J151" s="30"/>
      <c r="BI151" s="621">
        <v>143</v>
      </c>
      <c r="BJ151" s="622"/>
      <c r="BK151" s="623"/>
      <c r="BL151" s="1109"/>
      <c r="BM151" s="1109"/>
      <c r="BN151" s="24"/>
      <c r="BP151" s="621">
        <v>143</v>
      </c>
      <c r="BQ151" s="622"/>
      <c r="BR151" s="623"/>
      <c r="BS151" s="1109"/>
      <c r="BT151" s="1109"/>
      <c r="BU151" s="24"/>
      <c r="BW151" s="621">
        <v>143</v>
      </c>
      <c r="BX151" s="622">
        <v>34.700000000000003</v>
      </c>
      <c r="BY151" s="623"/>
      <c r="BZ151" s="1109"/>
      <c r="CA151" s="1109"/>
      <c r="CB151" s="24"/>
      <c r="CT151" s="16" t="e">
        <f t="shared" si="178"/>
        <v>#N/A</v>
      </c>
      <c r="CU151" s="197" t="e">
        <f t="shared" si="179"/>
        <v>#N/A</v>
      </c>
      <c r="CV151" s="197" t="e">
        <f t="shared" si="180"/>
        <v>#N/A</v>
      </c>
      <c r="CW151" s="197">
        <v>148</v>
      </c>
      <c r="CX151" s="197" t="str">
        <f t="shared" si="174"/>
        <v/>
      </c>
      <c r="CY151" s="197" t="e">
        <f t="shared" si="175"/>
        <v>#N/A</v>
      </c>
      <c r="CZ151" s="197" t="e">
        <f t="shared" si="176"/>
        <v>#N/A</v>
      </c>
      <c r="DA151" s="197" t="str">
        <f t="shared" si="181"/>
        <v/>
      </c>
      <c r="DB151" s="16" t="e">
        <f t="shared" si="177"/>
        <v>#N/A</v>
      </c>
      <c r="DC151" s="16" t="e">
        <f>IF(ISNUMBER(CX151),COUNTIF($DB$4:DB151,DB151)-1,NA())</f>
        <v>#N/A</v>
      </c>
      <c r="DP151" s="16">
        <f t="shared" si="182"/>
        <v>0.53274044394493103</v>
      </c>
      <c r="DQ151" s="16">
        <v>149</v>
      </c>
      <c r="DR151" s="16">
        <f t="shared" si="169"/>
        <v>50.8</v>
      </c>
      <c r="DS151" s="16">
        <f t="shared" si="170"/>
        <v>2.3442802489023906</v>
      </c>
      <c r="DT151" s="16">
        <f t="shared" si="171"/>
        <v>52.1</v>
      </c>
      <c r="DU151" s="16">
        <f t="shared" si="172"/>
        <v>47.9</v>
      </c>
      <c r="DV151" s="16">
        <f t="shared" si="173"/>
        <v>51.1</v>
      </c>
      <c r="DX151" s="197">
        <f t="shared" si="183"/>
        <v>2.1153814814814895</v>
      </c>
      <c r="DY151" s="197">
        <f t="shared" si="184"/>
        <v>0.93702399999999997</v>
      </c>
      <c r="DZ151" s="222" t="e">
        <f t="shared" si="167"/>
        <v>#N/A</v>
      </c>
      <c r="EA151" s="192">
        <f t="shared" si="168"/>
        <v>1.9370240000000001</v>
      </c>
    </row>
    <row r="152" spans="5:131" ht="11.25" customHeight="1">
      <c r="E152" s="466">
        <v>151</v>
      </c>
      <c r="F152" s="474"/>
      <c r="G152" s="471"/>
      <c r="H152" s="321"/>
      <c r="I152" s="326"/>
      <c r="J152" s="30"/>
      <c r="BI152" s="621">
        <v>144</v>
      </c>
      <c r="BJ152" s="622"/>
      <c r="BK152" s="623"/>
      <c r="BL152" s="1109"/>
      <c r="BM152" s="1109"/>
      <c r="BN152" s="24"/>
      <c r="BP152" s="621">
        <v>144</v>
      </c>
      <c r="BQ152" s="622"/>
      <c r="BR152" s="623"/>
      <c r="BS152" s="1109"/>
      <c r="BT152" s="1109"/>
      <c r="BU152" s="24"/>
      <c r="BW152" s="621">
        <v>144</v>
      </c>
      <c r="BX152" s="622">
        <v>4.0999999999999996</v>
      </c>
      <c r="BY152" s="623"/>
      <c r="BZ152" s="1109"/>
      <c r="CA152" s="1109"/>
      <c r="CB152" s="24"/>
      <c r="CT152" s="16" t="e">
        <f t="shared" si="178"/>
        <v>#N/A</v>
      </c>
      <c r="CU152" s="197" t="e">
        <f t="shared" si="179"/>
        <v>#N/A</v>
      </c>
      <c r="CV152" s="197" t="e">
        <f t="shared" si="180"/>
        <v>#N/A</v>
      </c>
      <c r="CW152" s="197">
        <v>149</v>
      </c>
      <c r="CX152" s="197" t="str">
        <f t="shared" si="174"/>
        <v/>
      </c>
      <c r="CY152" s="197" t="e">
        <f t="shared" si="175"/>
        <v>#N/A</v>
      </c>
      <c r="CZ152" s="197" t="e">
        <f t="shared" si="176"/>
        <v>#N/A</v>
      </c>
      <c r="DA152" s="197" t="str">
        <f t="shared" si="181"/>
        <v/>
      </c>
      <c r="DB152" s="16" t="e">
        <f t="shared" si="177"/>
        <v>#N/A</v>
      </c>
      <c r="DC152" s="16" t="e">
        <f>IF(ISNUMBER(CX152),COUNTIF($DB$4:DB152,DB152)-1,NA())</f>
        <v>#N/A</v>
      </c>
      <c r="DP152" s="16">
        <f t="shared" si="182"/>
        <v>0.36507508158683777</v>
      </c>
      <c r="DQ152" s="16">
        <v>150</v>
      </c>
      <c r="DR152" s="16">
        <f t="shared" si="169"/>
        <v>46.6</v>
      </c>
      <c r="DS152" s="16">
        <f t="shared" si="170"/>
        <v>2.0453198725497055</v>
      </c>
      <c r="DT152" s="16">
        <f t="shared" si="171"/>
        <v>54.8</v>
      </c>
      <c r="DU152" s="16">
        <f t="shared" si="172"/>
        <v>45.2</v>
      </c>
      <c r="DV152" s="16">
        <f t="shared" si="173"/>
        <v>45.3</v>
      </c>
      <c r="DX152" s="197">
        <f t="shared" si="183"/>
        <v>2.1289063492063574</v>
      </c>
      <c r="DY152" s="197">
        <f t="shared" si="184"/>
        <v>0.93702399999999997</v>
      </c>
      <c r="DZ152" s="222" t="e">
        <f t="shared" si="167"/>
        <v>#N/A</v>
      </c>
      <c r="EA152" s="192">
        <f t="shared" si="168"/>
        <v>1.9370240000000001</v>
      </c>
    </row>
    <row r="153" spans="5:131" ht="11.25" customHeight="1">
      <c r="E153" s="466">
        <v>152</v>
      </c>
      <c r="F153" s="474"/>
      <c r="G153" s="471"/>
      <c r="H153" s="321"/>
      <c r="I153" s="326"/>
      <c r="J153" s="30"/>
      <c r="BI153" s="621">
        <v>145</v>
      </c>
      <c r="BJ153" s="622"/>
      <c r="BK153" s="623"/>
      <c r="BL153" s="1109"/>
      <c r="BM153" s="1109"/>
      <c r="BN153" s="24"/>
      <c r="BP153" s="621">
        <v>145</v>
      </c>
      <c r="BQ153" s="622"/>
      <c r="BR153" s="623"/>
      <c r="BS153" s="1109"/>
      <c r="BT153" s="1109"/>
      <c r="BU153" s="24"/>
      <c r="BW153" s="621">
        <v>145</v>
      </c>
      <c r="BX153" s="622">
        <v>8</v>
      </c>
      <c r="BY153" s="623"/>
      <c r="BZ153" s="1109"/>
      <c r="CA153" s="1109"/>
      <c r="CB153" s="24"/>
      <c r="CT153" s="16" t="e">
        <f t="shared" si="178"/>
        <v>#N/A</v>
      </c>
      <c r="CU153" s="197" t="e">
        <f t="shared" si="179"/>
        <v>#N/A</v>
      </c>
      <c r="CV153" s="197" t="e">
        <f t="shared" si="180"/>
        <v>#N/A</v>
      </c>
      <c r="CW153" s="197">
        <v>150</v>
      </c>
      <c r="CX153" s="197" t="str">
        <f t="shared" si="174"/>
        <v/>
      </c>
      <c r="CY153" s="197" t="e">
        <f t="shared" si="175"/>
        <v>#N/A</v>
      </c>
      <c r="CZ153" s="197" t="e">
        <f t="shared" si="176"/>
        <v>#N/A</v>
      </c>
      <c r="DA153" s="197" t="str">
        <f t="shared" si="181"/>
        <v/>
      </c>
      <c r="DB153" s="16" t="e">
        <f t="shared" si="177"/>
        <v>#N/A</v>
      </c>
      <c r="DC153" s="16" t="e">
        <f>IF(ISNUMBER(CX153),COUNTIF($DB$4:DB153,DB153)-1,NA())</f>
        <v>#N/A</v>
      </c>
      <c r="DP153" s="16">
        <f t="shared" si="182"/>
        <v>0.56184443831443787</v>
      </c>
      <c r="DQ153" s="16">
        <v>151</v>
      </c>
      <c r="DR153" s="16">
        <f t="shared" si="169"/>
        <v>51.6</v>
      </c>
      <c r="DS153" s="16">
        <f t="shared" si="170"/>
        <v>2.3957209592648399</v>
      </c>
      <c r="DT153" s="16">
        <f t="shared" si="171"/>
        <v>51.6</v>
      </c>
      <c r="DU153" s="16">
        <f t="shared" si="172"/>
        <v>48.4</v>
      </c>
      <c r="DV153" s="16">
        <f t="shared" si="173"/>
        <v>52.1</v>
      </c>
      <c r="DX153" s="197">
        <f t="shared" si="183"/>
        <v>2.1424312169312252</v>
      </c>
      <c r="DY153" s="197">
        <f t="shared" si="184"/>
        <v>0.93702399999999997</v>
      </c>
      <c r="DZ153" s="222" t="e">
        <f t="shared" si="167"/>
        <v>#N/A</v>
      </c>
      <c r="EA153" s="192">
        <f t="shared" si="168"/>
        <v>1.9370240000000001</v>
      </c>
    </row>
    <row r="154" spans="5:131" ht="11.25" customHeight="1">
      <c r="E154" s="466">
        <v>153</v>
      </c>
      <c r="F154" s="474"/>
      <c r="G154" s="471"/>
      <c r="H154" s="321"/>
      <c r="I154" s="326"/>
      <c r="J154" s="30"/>
      <c r="BI154" s="621">
        <v>146</v>
      </c>
      <c r="BJ154" s="622"/>
      <c r="BK154" s="623"/>
      <c r="BL154" s="1109"/>
      <c r="BM154" s="1109"/>
      <c r="BN154" s="24"/>
      <c r="BP154" s="621">
        <v>146</v>
      </c>
      <c r="BQ154" s="622"/>
      <c r="BR154" s="623"/>
      <c r="BS154" s="1109"/>
      <c r="BT154" s="1109"/>
      <c r="BU154" s="24"/>
      <c r="BW154" s="621">
        <v>146</v>
      </c>
      <c r="BX154" s="622">
        <v>7</v>
      </c>
      <c r="BY154" s="623"/>
      <c r="BZ154" s="1109"/>
      <c r="CA154" s="1109"/>
      <c r="CB154" s="24"/>
      <c r="CT154" s="16" t="e">
        <f t="shared" si="178"/>
        <v>#N/A</v>
      </c>
      <c r="CU154" s="197" t="e">
        <f t="shared" si="179"/>
        <v>#N/A</v>
      </c>
      <c r="CV154" s="197" t="e">
        <f t="shared" si="180"/>
        <v>#N/A</v>
      </c>
      <c r="CW154" s="197">
        <v>151</v>
      </c>
      <c r="CX154" s="197" t="str">
        <f t="shared" si="174"/>
        <v/>
      </c>
      <c r="CY154" s="197" t="e">
        <f t="shared" si="175"/>
        <v>#N/A</v>
      </c>
      <c r="CZ154" s="197" t="e">
        <f t="shared" si="176"/>
        <v>#N/A</v>
      </c>
      <c r="DA154" s="197" t="str">
        <f t="shared" si="181"/>
        <v/>
      </c>
      <c r="DB154" s="16" t="e">
        <f t="shared" si="177"/>
        <v>#N/A</v>
      </c>
      <c r="DC154" s="16" t="e">
        <f>IF(ISNUMBER(CX154),COUNTIF($DB$4:DB154,DB154)-1,NA())</f>
        <v>#N/A</v>
      </c>
      <c r="DP154" s="16">
        <f t="shared" si="182"/>
        <v>0.68712207674980164</v>
      </c>
      <c r="DQ154" s="16">
        <v>152</v>
      </c>
      <c r="DR154" s="16">
        <f t="shared" si="169"/>
        <v>54.9</v>
      </c>
      <c r="DS154" s="16">
        <f t="shared" si="170"/>
        <v>2.6281643519147604</v>
      </c>
      <c r="DT154" s="16">
        <f t="shared" si="171"/>
        <v>48.7</v>
      </c>
      <c r="DU154" s="16">
        <f t="shared" si="172"/>
        <v>51.3</v>
      </c>
      <c r="DV154" s="16">
        <f t="shared" si="173"/>
        <v>56.5</v>
      </c>
      <c r="DX154" s="197">
        <f t="shared" si="183"/>
        <v>2.155956084656093</v>
      </c>
      <c r="DY154" s="197">
        <f t="shared" si="184"/>
        <v>0.93702399999999997</v>
      </c>
      <c r="DZ154" s="222" t="e">
        <f t="shared" si="167"/>
        <v>#N/A</v>
      </c>
      <c r="EA154" s="192">
        <f t="shared" si="168"/>
        <v>1.9370240000000001</v>
      </c>
    </row>
    <row r="155" spans="5:131" ht="11.25" customHeight="1">
      <c r="E155" s="466">
        <v>154</v>
      </c>
      <c r="F155" s="474"/>
      <c r="G155" s="471"/>
      <c r="H155" s="321"/>
      <c r="I155" s="326"/>
      <c r="J155" s="30"/>
      <c r="BI155" s="621">
        <v>147</v>
      </c>
      <c r="BJ155" s="622"/>
      <c r="BK155" s="623"/>
      <c r="BL155" s="1109"/>
      <c r="BM155" s="1109"/>
      <c r="BN155" s="24"/>
      <c r="BP155" s="621">
        <v>147</v>
      </c>
      <c r="BQ155" s="622"/>
      <c r="BR155" s="623"/>
      <c r="BS155" s="1109"/>
      <c r="BT155" s="1109"/>
      <c r="BU155" s="24"/>
      <c r="BW155" s="621">
        <v>147</v>
      </c>
      <c r="BX155" s="622">
        <v>6</v>
      </c>
      <c r="BY155" s="623"/>
      <c r="BZ155" s="1109"/>
      <c r="CA155" s="1109"/>
      <c r="CB155" s="24"/>
      <c r="CT155" s="16" t="e">
        <f t="shared" si="178"/>
        <v>#N/A</v>
      </c>
      <c r="CU155" s="197" t="e">
        <f t="shared" si="179"/>
        <v>#N/A</v>
      </c>
      <c r="CV155" s="197" t="e">
        <f t="shared" si="180"/>
        <v>#N/A</v>
      </c>
      <c r="CW155" s="197">
        <v>152</v>
      </c>
      <c r="CX155" s="197" t="str">
        <f t="shared" si="174"/>
        <v/>
      </c>
      <c r="CY155" s="197" t="e">
        <f t="shared" si="175"/>
        <v>#N/A</v>
      </c>
      <c r="CZ155" s="197" t="e">
        <f t="shared" si="176"/>
        <v>#N/A</v>
      </c>
      <c r="DA155" s="197" t="str">
        <f t="shared" si="181"/>
        <v/>
      </c>
      <c r="DB155" s="16" t="e">
        <f t="shared" si="177"/>
        <v>#N/A</v>
      </c>
      <c r="DC155" s="16" t="e">
        <f>IF(ISNUMBER(CX155),COUNTIF($DB$4:DB155,DB155)-1,NA())</f>
        <v>#N/A</v>
      </c>
      <c r="DP155" s="16">
        <f t="shared" si="182"/>
        <v>0.70008501410484314</v>
      </c>
      <c r="DQ155" s="16">
        <v>153</v>
      </c>
      <c r="DR155" s="16">
        <f t="shared" si="169"/>
        <v>55.2</v>
      </c>
      <c r="DS155" s="16">
        <f t="shared" si="170"/>
        <v>2.654019450398335</v>
      </c>
      <c r="DT155" s="16">
        <f t="shared" si="171"/>
        <v>48.4</v>
      </c>
      <c r="DU155" s="16">
        <f t="shared" si="172"/>
        <v>51.6</v>
      </c>
      <c r="DV155" s="16">
        <f t="shared" si="173"/>
        <v>56.9</v>
      </c>
      <c r="DX155" s="197">
        <f t="shared" si="183"/>
        <v>2.1694809523809608</v>
      </c>
      <c r="DY155" s="197">
        <f t="shared" si="184"/>
        <v>0.93702399999999997</v>
      </c>
      <c r="DZ155" s="222" t="e">
        <f t="shared" si="167"/>
        <v>#N/A</v>
      </c>
      <c r="EA155" s="192">
        <f t="shared" si="168"/>
        <v>1.9370240000000001</v>
      </c>
    </row>
    <row r="156" spans="5:131" ht="11.25" customHeight="1">
      <c r="E156" s="466">
        <v>155</v>
      </c>
      <c r="F156" s="474"/>
      <c r="G156" s="471"/>
      <c r="H156" s="321"/>
      <c r="I156" s="326"/>
      <c r="J156" s="30"/>
      <c r="BI156" s="621">
        <v>148</v>
      </c>
      <c r="BJ156" s="622"/>
      <c r="BK156" s="623"/>
      <c r="BL156" s="1109"/>
      <c r="BM156" s="1109"/>
      <c r="BN156" s="24"/>
      <c r="BP156" s="621">
        <v>148</v>
      </c>
      <c r="BQ156" s="622"/>
      <c r="BR156" s="623"/>
      <c r="BS156" s="1109"/>
      <c r="BT156" s="1109"/>
      <c r="BU156" s="24"/>
      <c r="BW156" s="621">
        <v>148</v>
      </c>
      <c r="BX156" s="622">
        <v>5</v>
      </c>
      <c r="BY156" s="623"/>
      <c r="BZ156" s="1109"/>
      <c r="CA156" s="1109"/>
      <c r="CB156" s="24"/>
      <c r="CT156" s="16" t="e">
        <f t="shared" si="178"/>
        <v>#N/A</v>
      </c>
      <c r="CU156" s="197" t="e">
        <f t="shared" si="179"/>
        <v>#N/A</v>
      </c>
      <c r="CV156" s="197" t="e">
        <f t="shared" si="180"/>
        <v>#N/A</v>
      </c>
      <c r="CW156" s="197">
        <v>153</v>
      </c>
      <c r="CX156" s="197" t="str">
        <f t="shared" si="174"/>
        <v/>
      </c>
      <c r="CY156" s="197" t="e">
        <f t="shared" si="175"/>
        <v>#N/A</v>
      </c>
      <c r="CZ156" s="197" t="e">
        <f t="shared" si="176"/>
        <v>#N/A</v>
      </c>
      <c r="DA156" s="197" t="str">
        <f t="shared" si="181"/>
        <v/>
      </c>
      <c r="DB156" s="16" t="e">
        <f t="shared" si="177"/>
        <v>#N/A</v>
      </c>
      <c r="DC156" s="16" t="e">
        <f>IF(ISNUMBER(CX156),COUNTIF($DB$4:DB156,DB156)-1,NA())</f>
        <v>#N/A</v>
      </c>
      <c r="DP156" s="16">
        <f t="shared" si="182"/>
        <v>0.24215361475944519</v>
      </c>
      <c r="DQ156" s="16">
        <v>154</v>
      </c>
      <c r="DR156" s="16">
        <f t="shared" si="169"/>
        <v>43</v>
      </c>
      <c r="DS156" s="16">
        <f t="shared" si="170"/>
        <v>1.7971936847422978</v>
      </c>
      <c r="DT156" s="16">
        <f t="shared" si="171"/>
        <v>56.5</v>
      </c>
      <c r="DU156" s="16">
        <f t="shared" si="172"/>
        <v>43.5</v>
      </c>
      <c r="DV156" s="16">
        <f t="shared" si="173"/>
        <v>41.1</v>
      </c>
      <c r="DX156" s="197">
        <f t="shared" si="183"/>
        <v>2.1830058201058287</v>
      </c>
      <c r="DY156" s="197">
        <f t="shared" si="184"/>
        <v>0.93702399999999997</v>
      </c>
      <c r="DZ156" s="222" t="e">
        <f t="shared" si="167"/>
        <v>#N/A</v>
      </c>
      <c r="EA156" s="192">
        <f t="shared" si="168"/>
        <v>1.9370240000000001</v>
      </c>
    </row>
    <row r="157" spans="5:131" ht="11.25" customHeight="1">
      <c r="E157" s="466">
        <v>156</v>
      </c>
      <c r="F157" s="474"/>
      <c r="G157" s="471"/>
      <c r="H157" s="321"/>
      <c r="I157" s="326"/>
      <c r="J157" s="30"/>
      <c r="BI157" s="621">
        <v>149</v>
      </c>
      <c r="BJ157" s="622"/>
      <c r="BK157" s="623"/>
      <c r="BL157" s="1109"/>
      <c r="BM157" s="1109"/>
      <c r="BN157" s="24"/>
      <c r="BP157" s="621">
        <v>149</v>
      </c>
      <c r="BQ157" s="622"/>
      <c r="BR157" s="623"/>
      <c r="BS157" s="1109"/>
      <c r="BT157" s="1109"/>
      <c r="BU157" s="24"/>
      <c r="BW157" s="621">
        <v>149</v>
      </c>
      <c r="BX157" s="622">
        <v>9</v>
      </c>
      <c r="BY157" s="623"/>
      <c r="BZ157" s="1109"/>
      <c r="CA157" s="1109"/>
      <c r="CB157" s="24"/>
      <c r="CT157" s="16" t="e">
        <f t="shared" si="178"/>
        <v>#N/A</v>
      </c>
      <c r="CU157" s="197" t="e">
        <f t="shared" si="179"/>
        <v>#N/A</v>
      </c>
      <c r="CV157" s="197" t="e">
        <f t="shared" si="180"/>
        <v>#N/A</v>
      </c>
      <c r="CW157" s="197">
        <v>154</v>
      </c>
      <c r="CX157" s="197" t="str">
        <f t="shared" si="174"/>
        <v/>
      </c>
      <c r="CY157" s="197" t="e">
        <f t="shared" si="175"/>
        <v>#N/A</v>
      </c>
      <c r="CZ157" s="197" t="e">
        <f t="shared" si="176"/>
        <v>#N/A</v>
      </c>
      <c r="DA157" s="197" t="str">
        <f t="shared" si="181"/>
        <v/>
      </c>
      <c r="DB157" s="16" t="e">
        <f t="shared" si="177"/>
        <v>#N/A</v>
      </c>
      <c r="DC157" s="16" t="e">
        <f>IF(ISNUMBER(CX157),COUNTIF($DB$4:DB157,DB157)-1,NA())</f>
        <v>#N/A</v>
      </c>
      <c r="DP157" s="16">
        <f t="shared" si="182"/>
        <v>0.29559144377708435</v>
      </c>
      <c r="DQ157" s="16">
        <v>155</v>
      </c>
      <c r="DR157" s="16">
        <f t="shared" si="169"/>
        <v>44.6</v>
      </c>
      <c r="DS157" s="16">
        <f t="shared" si="170"/>
        <v>1.9107820601674941</v>
      </c>
      <c r="DT157" s="16">
        <f t="shared" si="171"/>
        <v>55.8</v>
      </c>
      <c r="DU157" s="16">
        <f t="shared" si="172"/>
        <v>44.2</v>
      </c>
      <c r="DV157" s="16">
        <f t="shared" si="173"/>
        <v>42.9</v>
      </c>
      <c r="DX157" s="197">
        <f t="shared" si="183"/>
        <v>2.1965306878306965</v>
      </c>
      <c r="DY157" s="197">
        <f t="shared" si="184"/>
        <v>0.93702399999999997</v>
      </c>
      <c r="DZ157" s="222" t="e">
        <f t="shared" si="167"/>
        <v>#N/A</v>
      </c>
      <c r="EA157" s="192">
        <f t="shared" si="168"/>
        <v>1.9370240000000001</v>
      </c>
    </row>
    <row r="158" spans="5:131" ht="11.25" customHeight="1">
      <c r="E158" s="466">
        <v>157</v>
      </c>
      <c r="F158" s="474"/>
      <c r="G158" s="471"/>
      <c r="H158" s="321"/>
      <c r="I158" s="326"/>
      <c r="J158" s="30"/>
      <c r="BI158" s="621">
        <v>150</v>
      </c>
      <c r="BJ158" s="622"/>
      <c r="BK158" s="623"/>
      <c r="BL158" s="1109"/>
      <c r="BM158" s="1109"/>
      <c r="BN158" s="24"/>
      <c r="BP158" s="621">
        <v>150</v>
      </c>
      <c r="BQ158" s="622"/>
      <c r="BR158" s="623"/>
      <c r="BS158" s="1109"/>
      <c r="BT158" s="1109"/>
      <c r="BU158" s="24"/>
      <c r="BW158" s="621">
        <v>150</v>
      </c>
      <c r="BX158" s="622">
        <v>11</v>
      </c>
      <c r="BY158" s="623"/>
      <c r="BZ158" s="1109"/>
      <c r="CA158" s="1109"/>
      <c r="CB158" s="24"/>
      <c r="CT158" s="16" t="e">
        <f t="shared" si="178"/>
        <v>#N/A</v>
      </c>
      <c r="CU158" s="197" t="e">
        <f t="shared" si="179"/>
        <v>#N/A</v>
      </c>
      <c r="CV158" s="197" t="e">
        <f t="shared" si="180"/>
        <v>#N/A</v>
      </c>
      <c r="CW158" s="197">
        <v>155</v>
      </c>
      <c r="CX158" s="197" t="str">
        <f t="shared" si="174"/>
        <v/>
      </c>
      <c r="CY158" s="197" t="e">
        <f t="shared" si="175"/>
        <v>#N/A</v>
      </c>
      <c r="CZ158" s="197" t="e">
        <f t="shared" si="176"/>
        <v>#N/A</v>
      </c>
      <c r="DA158" s="197" t="str">
        <f t="shared" si="181"/>
        <v/>
      </c>
      <c r="DB158" s="16" t="e">
        <f t="shared" si="177"/>
        <v>#N/A</v>
      </c>
      <c r="DC158" s="16" t="e">
        <f>IF(ISNUMBER(CX158),COUNTIF($DB$4:DB158,DB158)-1,NA())</f>
        <v>#N/A</v>
      </c>
      <c r="DP158" s="16">
        <f t="shared" si="182"/>
        <v>0.28045961260795593</v>
      </c>
      <c r="DQ158" s="16">
        <v>156</v>
      </c>
      <c r="DR158" s="16">
        <f t="shared" si="169"/>
        <v>44.2</v>
      </c>
      <c r="DS158" s="16">
        <f t="shared" si="170"/>
        <v>1.8797342422414614</v>
      </c>
      <c r="DT158" s="16">
        <f t="shared" si="171"/>
        <v>56</v>
      </c>
      <c r="DU158" s="16">
        <f t="shared" si="172"/>
        <v>44</v>
      </c>
      <c r="DV158" s="16">
        <f t="shared" si="173"/>
        <v>42.4</v>
      </c>
      <c r="DX158" s="197">
        <f t="shared" si="183"/>
        <v>2.2100555555555643</v>
      </c>
      <c r="DY158" s="197">
        <f t="shared" si="184"/>
        <v>0.93702399999999997</v>
      </c>
      <c r="DZ158" s="222" t="e">
        <f t="shared" si="167"/>
        <v>#N/A</v>
      </c>
      <c r="EA158" s="192">
        <f t="shared" si="168"/>
        <v>1.9370240000000001</v>
      </c>
    </row>
    <row r="159" spans="5:131" ht="11.25" customHeight="1">
      <c r="E159" s="466">
        <v>158</v>
      </c>
      <c r="F159" s="474"/>
      <c r="G159" s="471"/>
      <c r="H159" s="321"/>
      <c r="I159" s="326"/>
      <c r="J159" s="30"/>
      <c r="BI159" s="621">
        <v>151</v>
      </c>
      <c r="BJ159" s="622"/>
      <c r="BK159" s="623"/>
      <c r="BL159" s="1109"/>
      <c r="BM159" s="1109"/>
      <c r="BN159" s="24"/>
      <c r="BP159" s="621">
        <v>151</v>
      </c>
      <c r="BQ159" s="622"/>
      <c r="BR159" s="623"/>
      <c r="BS159" s="1109"/>
      <c r="BT159" s="1109"/>
      <c r="BU159" s="24"/>
      <c r="BW159" s="621">
        <v>151</v>
      </c>
      <c r="BX159" s="622">
        <v>12</v>
      </c>
      <c r="BY159" s="623"/>
      <c r="BZ159" s="1109"/>
      <c r="CA159" s="1109"/>
      <c r="CB159" s="24"/>
      <c r="CT159" s="16" t="e">
        <f t="shared" si="178"/>
        <v>#N/A</v>
      </c>
      <c r="CU159" s="197" t="e">
        <f t="shared" si="179"/>
        <v>#N/A</v>
      </c>
      <c r="CV159" s="197" t="e">
        <f t="shared" si="180"/>
        <v>#N/A</v>
      </c>
      <c r="CW159" s="197">
        <v>156</v>
      </c>
      <c r="CX159" s="197" t="str">
        <f t="shared" si="174"/>
        <v/>
      </c>
      <c r="CY159" s="197" t="e">
        <f t="shared" si="175"/>
        <v>#N/A</v>
      </c>
      <c r="CZ159" s="197" t="e">
        <f t="shared" si="176"/>
        <v>#N/A</v>
      </c>
      <c r="DA159" s="197" t="str">
        <f t="shared" si="181"/>
        <v/>
      </c>
      <c r="DB159" s="16" t="e">
        <f t="shared" si="177"/>
        <v>#N/A</v>
      </c>
      <c r="DC159" s="16" t="e">
        <f>IF(ISNUMBER(CX159),COUNTIF($DB$4:DB159,DB159)-1,NA())</f>
        <v>#N/A</v>
      </c>
      <c r="DP159" s="16">
        <f t="shared" si="182"/>
        <v>0.772054523229599</v>
      </c>
      <c r="DQ159" s="16">
        <v>157</v>
      </c>
      <c r="DR159" s="16">
        <f t="shared" si="169"/>
        <v>57.5</v>
      </c>
      <c r="DS159" s="16">
        <f t="shared" si="170"/>
        <v>2.8087089260267692</v>
      </c>
      <c r="DT159" s="16">
        <f t="shared" si="171"/>
        <v>46</v>
      </c>
      <c r="DU159" s="16">
        <f t="shared" si="172"/>
        <v>54</v>
      </c>
      <c r="DV159" s="16">
        <f t="shared" si="173"/>
        <v>59.4</v>
      </c>
      <c r="DX159" s="197">
        <f t="shared" si="183"/>
        <v>2.2235804232804322</v>
      </c>
      <c r="DY159" s="197">
        <f t="shared" si="184"/>
        <v>0.93702399999999997</v>
      </c>
      <c r="DZ159" s="222" t="e">
        <f t="shared" si="167"/>
        <v>#N/A</v>
      </c>
      <c r="EA159" s="192">
        <f t="shared" si="168"/>
        <v>1.9370240000000001</v>
      </c>
    </row>
    <row r="160" spans="5:131" ht="11.25" customHeight="1">
      <c r="E160" s="466">
        <v>159</v>
      </c>
      <c r="F160" s="474"/>
      <c r="G160" s="471"/>
      <c r="H160" s="321"/>
      <c r="I160" s="326"/>
      <c r="J160" s="30"/>
      <c r="BI160" s="621">
        <v>152</v>
      </c>
      <c r="BJ160" s="622"/>
      <c r="BK160" s="623"/>
      <c r="BL160" s="1109"/>
      <c r="BM160" s="1109"/>
      <c r="BN160" s="24"/>
      <c r="BP160" s="621">
        <v>152</v>
      </c>
      <c r="BQ160" s="622"/>
      <c r="BR160" s="623"/>
      <c r="BS160" s="1109"/>
      <c r="BT160" s="1109"/>
      <c r="BU160" s="24"/>
      <c r="BW160" s="621">
        <v>152</v>
      </c>
      <c r="BX160" s="622">
        <v>13</v>
      </c>
      <c r="BY160" s="623"/>
      <c r="BZ160" s="1109"/>
      <c r="CA160" s="1109"/>
      <c r="CB160" s="24"/>
      <c r="CT160" s="16" t="e">
        <f t="shared" si="178"/>
        <v>#N/A</v>
      </c>
      <c r="CU160" s="197" t="e">
        <f t="shared" si="179"/>
        <v>#N/A</v>
      </c>
      <c r="CV160" s="197" t="e">
        <f t="shared" si="180"/>
        <v>#N/A</v>
      </c>
      <c r="CW160" s="197">
        <v>157</v>
      </c>
      <c r="CX160" s="197" t="str">
        <f t="shared" si="174"/>
        <v/>
      </c>
      <c r="CY160" s="197" t="e">
        <f t="shared" si="175"/>
        <v>#N/A</v>
      </c>
      <c r="CZ160" s="197" t="e">
        <f t="shared" si="176"/>
        <v>#N/A</v>
      </c>
      <c r="DA160" s="197" t="str">
        <f t="shared" si="181"/>
        <v/>
      </c>
      <c r="DB160" s="16" t="e">
        <f t="shared" si="177"/>
        <v>#N/A</v>
      </c>
      <c r="DC160" s="16" t="e">
        <f>IF(ISNUMBER(CX160),COUNTIF($DB$4:DB160,DB160)-1,NA())</f>
        <v>#N/A</v>
      </c>
      <c r="DP160" s="16">
        <f t="shared" si="182"/>
        <v>0.26900479197502136</v>
      </c>
      <c r="DQ160" s="16">
        <v>158</v>
      </c>
      <c r="DR160" s="16">
        <f t="shared" si="169"/>
        <v>43.8</v>
      </c>
      <c r="DS160" s="16">
        <f t="shared" si="170"/>
        <v>1.8556899556282471</v>
      </c>
      <c r="DT160" s="16">
        <f t="shared" si="171"/>
        <v>56.2</v>
      </c>
      <c r="DU160" s="16">
        <f t="shared" si="172"/>
        <v>43.8</v>
      </c>
      <c r="DV160" s="16">
        <f t="shared" si="173"/>
        <v>42</v>
      </c>
      <c r="DX160" s="197">
        <f t="shared" si="183"/>
        <v>2.2371052910053</v>
      </c>
      <c r="DY160" s="197">
        <f t="shared" si="184"/>
        <v>0.93702399999999997</v>
      </c>
      <c r="DZ160" s="222" t="e">
        <f t="shared" si="167"/>
        <v>#N/A</v>
      </c>
      <c r="EA160" s="192">
        <f t="shared" si="168"/>
        <v>1.9370240000000001</v>
      </c>
    </row>
    <row r="161" spans="5:131" ht="11.25" customHeight="1">
      <c r="E161" s="466">
        <v>160</v>
      </c>
      <c r="F161" s="474"/>
      <c r="G161" s="471"/>
      <c r="H161" s="321"/>
      <c r="I161" s="326"/>
      <c r="J161" s="30"/>
      <c r="BI161" s="621">
        <v>153</v>
      </c>
      <c r="BJ161" s="622"/>
      <c r="BK161" s="623"/>
      <c r="BL161" s="1109"/>
      <c r="BM161" s="1109"/>
      <c r="BN161" s="24"/>
      <c r="BP161" s="621">
        <v>153</v>
      </c>
      <c r="BQ161" s="622"/>
      <c r="BR161" s="623"/>
      <c r="BS161" s="1109"/>
      <c r="BT161" s="1109"/>
      <c r="BU161" s="24"/>
      <c r="BW161" s="621">
        <v>153</v>
      </c>
      <c r="BX161" s="622">
        <v>14</v>
      </c>
      <c r="BY161" s="623"/>
      <c r="BZ161" s="1109"/>
      <c r="CA161" s="1109"/>
      <c r="CB161" s="24"/>
      <c r="CT161" s="16" t="e">
        <f t="shared" si="178"/>
        <v>#N/A</v>
      </c>
      <c r="CU161" s="197" t="e">
        <f t="shared" si="179"/>
        <v>#N/A</v>
      </c>
      <c r="CV161" s="197" t="e">
        <f t="shared" si="180"/>
        <v>#N/A</v>
      </c>
      <c r="CW161" s="197">
        <v>158</v>
      </c>
      <c r="CX161" s="197" t="str">
        <f t="shared" si="174"/>
        <v/>
      </c>
      <c r="CY161" s="197" t="e">
        <f t="shared" si="175"/>
        <v>#N/A</v>
      </c>
      <c r="CZ161" s="197" t="e">
        <f t="shared" si="176"/>
        <v>#N/A</v>
      </c>
      <c r="DA161" s="197" t="str">
        <f t="shared" si="181"/>
        <v/>
      </c>
      <c r="DB161" s="16" t="e">
        <f t="shared" si="177"/>
        <v>#N/A</v>
      </c>
      <c r="DC161" s="16" t="e">
        <f>IF(ISNUMBER(CX161),COUNTIF($DB$4:DB161,DB161)-1,NA())</f>
        <v>#N/A</v>
      </c>
      <c r="DP161" s="16">
        <f t="shared" si="182"/>
        <v>0.41681250929832458</v>
      </c>
      <c r="DQ161" s="16">
        <v>159</v>
      </c>
      <c r="DR161" s="16">
        <f t="shared" si="169"/>
        <v>47.9</v>
      </c>
      <c r="DS161" s="16">
        <f t="shared" si="170"/>
        <v>2.1397296678449766</v>
      </c>
      <c r="DT161" s="16">
        <f t="shared" si="171"/>
        <v>54.1</v>
      </c>
      <c r="DU161" s="16">
        <f t="shared" si="172"/>
        <v>45.9</v>
      </c>
      <c r="DV161" s="16">
        <f t="shared" si="173"/>
        <v>47.1</v>
      </c>
      <c r="DX161" s="197">
        <f t="shared" si="183"/>
        <v>2.2506301587301678</v>
      </c>
      <c r="DY161" s="197">
        <f t="shared" si="184"/>
        <v>0.93702399999999997</v>
      </c>
      <c r="DZ161" s="222" t="e">
        <f t="shared" si="167"/>
        <v>#N/A</v>
      </c>
      <c r="EA161" s="192">
        <f t="shared" si="168"/>
        <v>1.9370240000000001</v>
      </c>
    </row>
    <row r="162" spans="5:131" ht="11.25" customHeight="1">
      <c r="E162" s="466">
        <v>161</v>
      </c>
      <c r="F162" s="474"/>
      <c r="G162" s="471"/>
      <c r="H162" s="321"/>
      <c r="I162" s="326"/>
      <c r="J162" s="30"/>
      <c r="BI162" s="621">
        <v>154</v>
      </c>
      <c r="BJ162" s="622"/>
      <c r="BK162" s="623"/>
      <c r="BL162" s="1109"/>
      <c r="BM162" s="1109"/>
      <c r="BN162" s="24"/>
      <c r="BP162" s="621">
        <v>154</v>
      </c>
      <c r="BQ162" s="622"/>
      <c r="BR162" s="623"/>
      <c r="BS162" s="1109"/>
      <c r="BT162" s="1109"/>
      <c r="BU162" s="24"/>
      <c r="BW162" s="621">
        <v>154</v>
      </c>
      <c r="BX162" s="622">
        <v>15</v>
      </c>
      <c r="BY162" s="623"/>
      <c r="BZ162" s="1109"/>
      <c r="CA162" s="1109"/>
      <c r="CB162" s="24"/>
      <c r="CT162" s="16" t="e">
        <f t="shared" si="178"/>
        <v>#N/A</v>
      </c>
      <c r="CU162" s="197" t="e">
        <f t="shared" si="179"/>
        <v>#N/A</v>
      </c>
      <c r="CV162" s="197" t="e">
        <f t="shared" si="180"/>
        <v>#N/A</v>
      </c>
      <c r="CW162" s="197">
        <v>159</v>
      </c>
      <c r="CX162" s="197" t="str">
        <f t="shared" si="174"/>
        <v/>
      </c>
      <c r="CY162" s="197" t="e">
        <f t="shared" si="175"/>
        <v>#N/A</v>
      </c>
      <c r="CZ162" s="197" t="e">
        <f t="shared" si="176"/>
        <v>#N/A</v>
      </c>
      <c r="DA162" s="197" t="str">
        <f t="shared" si="181"/>
        <v/>
      </c>
      <c r="DB162" s="16" t="e">
        <f t="shared" si="177"/>
        <v>#N/A</v>
      </c>
      <c r="DC162" s="16" t="e">
        <f>IF(ISNUMBER(CX162),COUNTIF($DB$4:DB162,DB162)-1,NA())</f>
        <v>#N/A</v>
      </c>
      <c r="DP162" s="16">
        <f t="shared" si="182"/>
        <v>0.51154586672782898</v>
      </c>
      <c r="DQ162" s="16">
        <v>160</v>
      </c>
      <c r="DR162" s="16">
        <f t="shared" si="169"/>
        <v>50.3</v>
      </c>
      <c r="DS162" s="16">
        <f t="shared" si="170"/>
        <v>2.3070295900979212</v>
      </c>
      <c r="DT162" s="16">
        <f t="shared" si="171"/>
        <v>52.5</v>
      </c>
      <c r="DU162" s="16">
        <f t="shared" si="172"/>
        <v>47.5</v>
      </c>
      <c r="DV162" s="16">
        <f t="shared" si="173"/>
        <v>50.4</v>
      </c>
      <c r="DX162" s="197">
        <f t="shared" si="183"/>
        <v>2.2641550264550356</v>
      </c>
      <c r="DY162" s="197">
        <f t="shared" si="184"/>
        <v>0.93702399999999997</v>
      </c>
      <c r="DZ162" s="222" t="e">
        <f t="shared" si="167"/>
        <v>#N/A</v>
      </c>
      <c r="EA162" s="192">
        <f t="shared" si="168"/>
        <v>1.9370240000000001</v>
      </c>
    </row>
    <row r="163" spans="5:131" ht="11.25" customHeight="1">
      <c r="E163" s="466">
        <v>162</v>
      </c>
      <c r="F163" s="474"/>
      <c r="G163" s="471"/>
      <c r="H163" s="321"/>
      <c r="I163" s="326"/>
      <c r="J163" s="30"/>
      <c r="BI163" s="621">
        <v>155</v>
      </c>
      <c r="BJ163" s="622"/>
      <c r="BK163" s="623"/>
      <c r="BL163" s="1109"/>
      <c r="BM163" s="1109"/>
      <c r="BN163" s="24"/>
      <c r="BP163" s="621">
        <v>155</v>
      </c>
      <c r="BQ163" s="622"/>
      <c r="BR163" s="623"/>
      <c r="BS163" s="1109"/>
      <c r="BT163" s="1109"/>
      <c r="BU163" s="24"/>
      <c r="BW163" s="621">
        <v>155</v>
      </c>
      <c r="BX163" s="622">
        <v>12.1</v>
      </c>
      <c r="BY163" s="623"/>
      <c r="BZ163" s="1109"/>
      <c r="CA163" s="1109"/>
      <c r="CB163" s="24"/>
      <c r="CT163" s="16" t="e">
        <f t="shared" si="178"/>
        <v>#N/A</v>
      </c>
      <c r="CU163" s="197" t="e">
        <f t="shared" si="179"/>
        <v>#N/A</v>
      </c>
      <c r="CV163" s="197" t="e">
        <f t="shared" si="180"/>
        <v>#N/A</v>
      </c>
      <c r="CW163" s="197">
        <v>160</v>
      </c>
      <c r="CX163" s="197" t="str">
        <f t="shared" si="174"/>
        <v/>
      </c>
      <c r="CY163" s="197" t="e">
        <f t="shared" si="175"/>
        <v>#N/A</v>
      </c>
      <c r="CZ163" s="197" t="e">
        <f t="shared" si="176"/>
        <v>#N/A</v>
      </c>
      <c r="DA163" s="197" t="str">
        <f t="shared" si="181"/>
        <v/>
      </c>
      <c r="DB163" s="16" t="e">
        <f t="shared" si="177"/>
        <v>#N/A</v>
      </c>
      <c r="DC163" s="16" t="e">
        <f>IF(ISNUMBER(CX163),COUNTIF($DB$4:DB163,DB163)-1,NA())</f>
        <v>#N/A</v>
      </c>
      <c r="DP163" s="16">
        <f t="shared" si="182"/>
        <v>0.31737455725669861</v>
      </c>
      <c r="DQ163" s="16">
        <v>161</v>
      </c>
      <c r="DR163" s="16">
        <f t="shared" si="169"/>
        <v>45.2</v>
      </c>
      <c r="DS163" s="16">
        <f t="shared" si="170"/>
        <v>1.9542307427290251</v>
      </c>
      <c r="DT163" s="16">
        <f t="shared" si="171"/>
        <v>55.5</v>
      </c>
      <c r="DU163" s="16">
        <f t="shared" si="172"/>
        <v>44.5</v>
      </c>
      <c r="DV163" s="16">
        <f t="shared" si="173"/>
        <v>43.7</v>
      </c>
      <c r="DX163" s="197">
        <f t="shared" si="183"/>
        <v>2.2776798941799035</v>
      </c>
      <c r="DY163" s="197">
        <f t="shared" si="184"/>
        <v>0.93702399999999997</v>
      </c>
      <c r="DZ163" s="222" t="e">
        <f t="shared" si="167"/>
        <v>#N/A</v>
      </c>
      <c r="EA163" s="192">
        <f t="shared" si="168"/>
        <v>1.9370240000000001</v>
      </c>
    </row>
    <row r="164" spans="5:131" ht="11.25" customHeight="1">
      <c r="E164" s="466">
        <v>163</v>
      </c>
      <c r="F164" s="474"/>
      <c r="G164" s="471"/>
      <c r="H164" s="321"/>
      <c r="I164" s="326"/>
      <c r="J164" s="30"/>
      <c r="BI164" s="621">
        <v>156</v>
      </c>
      <c r="BJ164" s="622"/>
      <c r="BK164" s="623"/>
      <c r="BL164" s="1109"/>
      <c r="BM164" s="1109"/>
      <c r="BN164" s="24"/>
      <c r="BP164" s="621">
        <v>156</v>
      </c>
      <c r="BQ164" s="622"/>
      <c r="BR164" s="623"/>
      <c r="BS164" s="1109"/>
      <c r="BT164" s="1109"/>
      <c r="BU164" s="24"/>
      <c r="BW164" s="621">
        <v>156</v>
      </c>
      <c r="BX164" s="622">
        <v>6.5</v>
      </c>
      <c r="BY164" s="623"/>
      <c r="BZ164" s="1109"/>
      <c r="CA164" s="1109"/>
      <c r="CB164" s="24"/>
      <c r="CT164" s="16" t="e">
        <f t="shared" si="178"/>
        <v>#N/A</v>
      </c>
      <c r="CU164" s="197" t="e">
        <f t="shared" si="179"/>
        <v>#N/A</v>
      </c>
      <c r="CV164" s="197" t="e">
        <f t="shared" si="180"/>
        <v>#N/A</v>
      </c>
      <c r="CW164" s="197">
        <v>161</v>
      </c>
      <c r="CX164" s="197" t="str">
        <f t="shared" si="174"/>
        <v/>
      </c>
      <c r="CY164" s="197" t="e">
        <f t="shared" si="175"/>
        <v>#N/A</v>
      </c>
      <c r="CZ164" s="197" t="e">
        <f t="shared" si="176"/>
        <v>#N/A</v>
      </c>
      <c r="DA164" s="197" t="str">
        <f t="shared" si="181"/>
        <v/>
      </c>
      <c r="DB164" s="16" t="e">
        <f t="shared" si="177"/>
        <v>#N/A</v>
      </c>
      <c r="DC164" s="16" t="e">
        <f>IF(ISNUMBER(CX164),COUNTIF($DB$4:DB164,DB164)-1,NA())</f>
        <v>#N/A</v>
      </c>
      <c r="DP164" s="16">
        <f t="shared" si="182"/>
        <v>0.69843623042106628</v>
      </c>
      <c r="DQ164" s="16">
        <v>162</v>
      </c>
      <c r="DR164" s="16">
        <f t="shared" si="169"/>
        <v>55.2</v>
      </c>
      <c r="DS164" s="16">
        <f t="shared" si="170"/>
        <v>2.650703684739518</v>
      </c>
      <c r="DT164" s="16">
        <f t="shared" si="171"/>
        <v>48.4</v>
      </c>
      <c r="DU164" s="16">
        <f t="shared" si="172"/>
        <v>51.6</v>
      </c>
      <c r="DV164" s="16">
        <f t="shared" si="173"/>
        <v>56.9</v>
      </c>
      <c r="DX164" s="197">
        <f t="shared" si="183"/>
        <v>2.2912047619047713</v>
      </c>
      <c r="DY164" s="197">
        <f t="shared" si="184"/>
        <v>0.93702399999999997</v>
      </c>
      <c r="DZ164" s="222" t="e">
        <f t="shared" si="167"/>
        <v>#N/A</v>
      </c>
      <c r="EA164" s="192">
        <f t="shared" si="168"/>
        <v>1.9370240000000001</v>
      </c>
    </row>
    <row r="165" spans="5:131" ht="11.25" customHeight="1">
      <c r="E165" s="466">
        <v>164</v>
      </c>
      <c r="F165" s="474"/>
      <c r="G165" s="471"/>
      <c r="H165" s="321"/>
      <c r="I165" s="326"/>
      <c r="J165" s="30"/>
      <c r="BI165" s="621">
        <v>157</v>
      </c>
      <c r="BJ165" s="622"/>
      <c r="BK165" s="623"/>
      <c r="BL165" s="1109"/>
      <c r="BM165" s="1109"/>
      <c r="BN165" s="24"/>
      <c r="BP165" s="621">
        <v>157</v>
      </c>
      <c r="BQ165" s="622"/>
      <c r="BR165" s="623"/>
      <c r="BS165" s="1109"/>
      <c r="BT165" s="1109"/>
      <c r="BU165" s="24"/>
      <c r="BW165" s="621">
        <v>157</v>
      </c>
      <c r="BX165" s="622">
        <v>8.1</v>
      </c>
      <c r="BY165" s="623"/>
      <c r="BZ165" s="1109"/>
      <c r="CA165" s="1109"/>
      <c r="CB165" s="24"/>
      <c r="CT165" s="16" t="e">
        <f t="shared" si="178"/>
        <v>#N/A</v>
      </c>
      <c r="CU165" s="197" t="e">
        <f t="shared" si="179"/>
        <v>#N/A</v>
      </c>
      <c r="CV165" s="197" t="e">
        <f t="shared" si="180"/>
        <v>#N/A</v>
      </c>
      <c r="CW165" s="197">
        <v>162</v>
      </c>
      <c r="CX165" s="197" t="str">
        <f t="shared" si="174"/>
        <v/>
      </c>
      <c r="CY165" s="197" t="e">
        <f t="shared" si="175"/>
        <v>#N/A</v>
      </c>
      <c r="CZ165" s="197" t="e">
        <f t="shared" si="176"/>
        <v>#N/A</v>
      </c>
      <c r="DA165" s="197" t="str">
        <f t="shared" si="181"/>
        <v/>
      </c>
      <c r="DB165" s="16" t="e">
        <f t="shared" si="177"/>
        <v>#N/A</v>
      </c>
      <c r="DC165" s="16" t="e">
        <f>IF(ISNUMBER(CX165),COUNTIF($DB$4:DB165,DB165)-1,NA())</f>
        <v>#N/A</v>
      </c>
      <c r="DP165" s="16">
        <f t="shared" si="182"/>
        <v>0.38388165831565857</v>
      </c>
      <c r="DQ165" s="16">
        <v>163</v>
      </c>
      <c r="DR165" s="16">
        <f t="shared" si="169"/>
        <v>47</v>
      </c>
      <c r="DS165" s="16">
        <f t="shared" si="170"/>
        <v>2.0800566410788677</v>
      </c>
      <c r="DT165" s="16">
        <f t="shared" si="171"/>
        <v>54.6</v>
      </c>
      <c r="DU165" s="16">
        <f t="shared" si="172"/>
        <v>45.4</v>
      </c>
      <c r="DV165" s="16">
        <f t="shared" si="173"/>
        <v>46</v>
      </c>
      <c r="DX165" s="197">
        <f t="shared" si="183"/>
        <v>2.3047296296296391</v>
      </c>
      <c r="DY165" s="197">
        <f t="shared" si="184"/>
        <v>0.93702399999999997</v>
      </c>
      <c r="DZ165" s="222" t="e">
        <f t="shared" si="167"/>
        <v>#N/A</v>
      </c>
      <c r="EA165" s="192">
        <f t="shared" si="168"/>
        <v>1.9370240000000001</v>
      </c>
    </row>
    <row r="166" spans="5:131" ht="11.25" customHeight="1">
      <c r="E166" s="466">
        <v>165</v>
      </c>
      <c r="F166" s="474"/>
      <c r="G166" s="471"/>
      <c r="H166" s="321"/>
      <c r="I166" s="326"/>
      <c r="J166" s="30"/>
      <c r="BI166" s="621">
        <v>158</v>
      </c>
      <c r="BJ166" s="622"/>
      <c r="BK166" s="623"/>
      <c r="BL166" s="1109"/>
      <c r="BM166" s="1109"/>
      <c r="BN166" s="24"/>
      <c r="BP166" s="621">
        <v>158</v>
      </c>
      <c r="BQ166" s="622"/>
      <c r="BR166" s="623"/>
      <c r="BS166" s="1109"/>
      <c r="BT166" s="1109"/>
      <c r="BU166" s="24"/>
      <c r="BW166" s="621">
        <v>158</v>
      </c>
      <c r="BX166" s="622">
        <v>7.6</v>
      </c>
      <c r="BY166" s="623"/>
      <c r="BZ166" s="1109"/>
      <c r="CA166" s="1109"/>
      <c r="CB166" s="24"/>
      <c r="CT166" s="16" t="e">
        <f t="shared" si="178"/>
        <v>#N/A</v>
      </c>
      <c r="CU166" s="197" t="e">
        <f t="shared" si="179"/>
        <v>#N/A</v>
      </c>
      <c r="CV166" s="197" t="e">
        <f t="shared" si="180"/>
        <v>#N/A</v>
      </c>
      <c r="CW166" s="197">
        <v>163</v>
      </c>
      <c r="CX166" s="197" t="str">
        <f t="shared" si="174"/>
        <v/>
      </c>
      <c r="CY166" s="197" t="e">
        <f t="shared" si="175"/>
        <v>#N/A</v>
      </c>
      <c r="CZ166" s="197" t="e">
        <f t="shared" si="176"/>
        <v>#N/A</v>
      </c>
      <c r="DA166" s="197" t="str">
        <f t="shared" si="181"/>
        <v/>
      </c>
      <c r="DB166" s="16" t="e">
        <f t="shared" si="177"/>
        <v>#N/A</v>
      </c>
      <c r="DC166" s="16" t="e">
        <f>IF(ISNUMBER(CX166),COUNTIF($DB$4:DB166,DB166)-1,NA())</f>
        <v>#N/A</v>
      </c>
      <c r="DP166" s="16">
        <f t="shared" si="182"/>
        <v>0.57361814379692078</v>
      </c>
      <c r="DQ166" s="16">
        <v>164</v>
      </c>
      <c r="DR166" s="16">
        <f t="shared" si="169"/>
        <v>51.9</v>
      </c>
      <c r="DS166" s="16">
        <f t="shared" si="170"/>
        <v>2.416683230126937</v>
      </c>
      <c r="DT166" s="16">
        <f t="shared" si="171"/>
        <v>51.4</v>
      </c>
      <c r="DU166" s="16">
        <f t="shared" si="172"/>
        <v>48.6</v>
      </c>
      <c r="DV166" s="16">
        <f t="shared" si="173"/>
        <v>52.6</v>
      </c>
      <c r="DX166" s="197">
        <f t="shared" si="183"/>
        <v>2.3182544973545069</v>
      </c>
      <c r="DY166" s="197">
        <f t="shared" si="184"/>
        <v>0.93702399999999997</v>
      </c>
      <c r="DZ166" s="222" t="e">
        <f t="shared" si="167"/>
        <v>#N/A</v>
      </c>
      <c r="EA166" s="192">
        <f t="shared" si="168"/>
        <v>1.9370240000000001</v>
      </c>
    </row>
    <row r="167" spans="5:131" ht="11.25" customHeight="1">
      <c r="E167" s="466">
        <v>166</v>
      </c>
      <c r="F167" s="474"/>
      <c r="G167" s="471"/>
      <c r="H167" s="321"/>
      <c r="I167" s="326"/>
      <c r="J167" s="30"/>
      <c r="BI167" s="621">
        <v>159</v>
      </c>
      <c r="BJ167" s="622"/>
      <c r="BK167" s="623"/>
      <c r="BL167" s="1109"/>
      <c r="BM167" s="1109"/>
      <c r="BN167" s="24"/>
      <c r="BP167" s="621">
        <v>159</v>
      </c>
      <c r="BQ167" s="622"/>
      <c r="BR167" s="623"/>
      <c r="BS167" s="1109"/>
      <c r="BT167" s="1109"/>
      <c r="BU167" s="24"/>
      <c r="BW167" s="621">
        <v>159</v>
      </c>
      <c r="BX167" s="622">
        <v>12.2</v>
      </c>
      <c r="BY167" s="623"/>
      <c r="BZ167" s="1109"/>
      <c r="CA167" s="1109"/>
      <c r="CB167" s="24"/>
      <c r="CT167" s="16" t="e">
        <f t="shared" si="178"/>
        <v>#N/A</v>
      </c>
      <c r="CU167" s="197" t="e">
        <f t="shared" si="179"/>
        <v>#N/A</v>
      </c>
      <c r="CV167" s="197" t="e">
        <f t="shared" si="180"/>
        <v>#N/A</v>
      </c>
      <c r="CW167" s="197">
        <v>164</v>
      </c>
      <c r="CX167" s="197" t="str">
        <f t="shared" si="174"/>
        <v/>
      </c>
      <c r="CY167" s="197" t="e">
        <f t="shared" si="175"/>
        <v>#N/A</v>
      </c>
      <c r="CZ167" s="197" t="e">
        <f t="shared" si="176"/>
        <v>#N/A</v>
      </c>
      <c r="DA167" s="197" t="str">
        <f t="shared" si="181"/>
        <v/>
      </c>
      <c r="DB167" s="16" t="e">
        <f t="shared" si="177"/>
        <v>#N/A</v>
      </c>
      <c r="DC167" s="16" t="e">
        <f>IF(ISNUMBER(CX167),COUNTIF($DB$4:DB167,DB167)-1,NA())</f>
        <v>#N/A</v>
      </c>
      <c r="DP167" s="16">
        <f t="shared" si="182"/>
        <v>0.89500507712364197</v>
      </c>
      <c r="DQ167" s="16">
        <v>165</v>
      </c>
      <c r="DR167" s="16">
        <f t="shared" si="169"/>
        <v>62.5</v>
      </c>
      <c r="DS167" s="16">
        <f t="shared" si="170"/>
        <v>3.1642832762755964</v>
      </c>
      <c r="DT167" s="16">
        <f t="shared" si="171"/>
        <v>38.9</v>
      </c>
      <c r="DU167" s="16">
        <f t="shared" si="172"/>
        <v>61.1</v>
      </c>
      <c r="DV167" s="16">
        <f t="shared" si="173"/>
        <v>63.7</v>
      </c>
      <c r="DX167" s="197">
        <f t="shared" si="183"/>
        <v>2.3317793650793748</v>
      </c>
      <c r="DY167" s="197">
        <f t="shared" si="184"/>
        <v>0.93702399999999997</v>
      </c>
      <c r="DZ167" s="222" t="e">
        <f t="shared" si="167"/>
        <v>#N/A</v>
      </c>
      <c r="EA167" s="192">
        <f t="shared" si="168"/>
        <v>1.9370240000000001</v>
      </c>
    </row>
    <row r="168" spans="5:131" ht="11.25" customHeight="1">
      <c r="E168" s="466">
        <v>167</v>
      </c>
      <c r="F168" s="474"/>
      <c r="G168" s="471"/>
      <c r="H168" s="321"/>
      <c r="I168" s="326"/>
      <c r="J168" s="30"/>
      <c r="BI168" s="621">
        <v>160</v>
      </c>
      <c r="BJ168" s="711"/>
      <c r="BK168" s="712"/>
      <c r="BL168" s="1109"/>
      <c r="BM168" s="1109"/>
      <c r="BN168" s="24"/>
      <c r="BP168" s="621">
        <v>160</v>
      </c>
      <c r="BQ168" s="711"/>
      <c r="BR168" s="712"/>
      <c r="BS168" s="1109"/>
      <c r="BT168" s="1109"/>
      <c r="BU168" s="24"/>
      <c r="BW168" s="621">
        <v>160</v>
      </c>
      <c r="BX168" s="711">
        <v>10.8</v>
      </c>
      <c r="BY168" s="712"/>
      <c r="BZ168" s="1109"/>
      <c r="CA168" s="1109"/>
      <c r="CB168" s="24"/>
      <c r="CT168" s="16" t="e">
        <f t="shared" si="178"/>
        <v>#N/A</v>
      </c>
      <c r="CU168" s="197" t="e">
        <f t="shared" si="179"/>
        <v>#N/A</v>
      </c>
      <c r="CV168" s="197" t="e">
        <f t="shared" si="180"/>
        <v>#N/A</v>
      </c>
      <c r="CW168" s="197">
        <v>165</v>
      </c>
      <c r="CX168" s="197" t="str">
        <f t="shared" si="174"/>
        <v/>
      </c>
      <c r="CY168" s="197" t="e">
        <f t="shared" si="175"/>
        <v>#N/A</v>
      </c>
      <c r="CZ168" s="197" t="e">
        <f t="shared" si="176"/>
        <v>#N/A</v>
      </c>
      <c r="DA168" s="197" t="str">
        <f t="shared" si="181"/>
        <v/>
      </c>
      <c r="DB168" s="16" t="e">
        <f t="shared" si="177"/>
        <v>#N/A</v>
      </c>
      <c r="DC168" s="16" t="e">
        <f>IF(ISNUMBER(CX168),COUNTIF($DB$4:DB168,DB168)-1,NA())</f>
        <v>#N/A</v>
      </c>
      <c r="DP168" s="16">
        <f t="shared" si="182"/>
        <v>0.40630242228507996</v>
      </c>
      <c r="DQ168" s="16">
        <v>166</v>
      </c>
      <c r="DR168" s="16">
        <f t="shared" si="169"/>
        <v>47.6</v>
      </c>
      <c r="DS168" s="16">
        <f t="shared" si="170"/>
        <v>2.1208210525689402</v>
      </c>
      <c r="DT168" s="16">
        <f t="shared" si="171"/>
        <v>54.2</v>
      </c>
      <c r="DU168" s="16">
        <f t="shared" si="172"/>
        <v>45.8</v>
      </c>
      <c r="DV168" s="16">
        <f t="shared" si="173"/>
        <v>46.8</v>
      </c>
      <c r="DX168" s="197">
        <f t="shared" si="183"/>
        <v>2.3453042328042426</v>
      </c>
      <c r="DY168" s="197">
        <f t="shared" si="184"/>
        <v>0.93702399999999997</v>
      </c>
      <c r="DZ168" s="222" t="e">
        <f t="shared" si="167"/>
        <v>#N/A</v>
      </c>
      <c r="EA168" s="192">
        <f t="shared" si="168"/>
        <v>1.9370240000000001</v>
      </c>
    </row>
    <row r="169" spans="5:131" ht="11.25" customHeight="1">
      <c r="E169" s="466">
        <v>168</v>
      </c>
      <c r="F169" s="474"/>
      <c r="G169" s="471"/>
      <c r="H169" s="321"/>
      <c r="I169" s="326"/>
      <c r="J169" s="30"/>
      <c r="BI169" s="621">
        <v>161</v>
      </c>
      <c r="BJ169" s="711"/>
      <c r="BK169" s="712"/>
      <c r="BL169" s="1109"/>
      <c r="BM169" s="1109"/>
      <c r="BN169" s="24"/>
      <c r="BP169" s="621">
        <v>161</v>
      </c>
      <c r="BQ169" s="711"/>
      <c r="BR169" s="712"/>
      <c r="BS169" s="1109"/>
      <c r="BT169" s="1109"/>
      <c r="BU169" s="24"/>
      <c r="BW169" s="621">
        <v>161</v>
      </c>
      <c r="BX169" s="711">
        <v>1</v>
      </c>
      <c r="BY169" s="712"/>
      <c r="BZ169" s="1109"/>
      <c r="CA169" s="1109"/>
      <c r="CB169" s="24"/>
      <c r="CT169" s="16" t="e">
        <f t="shared" si="178"/>
        <v>#N/A</v>
      </c>
      <c r="CU169" s="197" t="e">
        <f t="shared" si="179"/>
        <v>#N/A</v>
      </c>
      <c r="CV169" s="197" t="e">
        <f t="shared" si="180"/>
        <v>#N/A</v>
      </c>
      <c r="CW169" s="197">
        <v>166</v>
      </c>
      <c r="CX169" s="197" t="str">
        <f t="shared" si="174"/>
        <v/>
      </c>
      <c r="CY169" s="197" t="e">
        <f t="shared" si="175"/>
        <v>#N/A</v>
      </c>
      <c r="CZ169" s="197" t="e">
        <f t="shared" si="176"/>
        <v>#N/A</v>
      </c>
      <c r="DA169" s="197" t="str">
        <f t="shared" si="181"/>
        <v/>
      </c>
      <c r="DB169" s="16" t="e">
        <f t="shared" si="177"/>
        <v>#N/A</v>
      </c>
      <c r="DC169" s="16" t="e">
        <f>IF(ISNUMBER(CX169),COUNTIF($DB$4:DB169,DB169)-1,NA())</f>
        <v>#N/A</v>
      </c>
      <c r="DP169" s="16">
        <f t="shared" si="182"/>
        <v>0.5047822892665863</v>
      </c>
      <c r="DQ169" s="16">
        <v>167</v>
      </c>
      <c r="DR169" s="16">
        <f t="shared" si="169"/>
        <v>50.1</v>
      </c>
      <c r="DS169" s="16">
        <f t="shared" si="170"/>
        <v>2.2951593199845015</v>
      </c>
      <c r="DT169" s="16">
        <f t="shared" si="171"/>
        <v>52.6</v>
      </c>
      <c r="DU169" s="16">
        <f t="shared" si="172"/>
        <v>47.4</v>
      </c>
      <c r="DV169" s="16">
        <f t="shared" si="173"/>
        <v>50.2</v>
      </c>
      <c r="DX169" s="197">
        <f t="shared" si="183"/>
        <v>2.3588291005291104</v>
      </c>
      <c r="DY169" s="197">
        <f t="shared" si="184"/>
        <v>0.93702399999999997</v>
      </c>
      <c r="DZ169" s="222" t="e">
        <f t="shared" si="167"/>
        <v>#N/A</v>
      </c>
      <c r="EA169" s="192">
        <f t="shared" si="168"/>
        <v>1.9370240000000001</v>
      </c>
    </row>
    <row r="170" spans="5:131" ht="11.25" customHeight="1">
      <c r="E170" s="466">
        <v>169</v>
      </c>
      <c r="F170" s="474"/>
      <c r="G170" s="471"/>
      <c r="H170" s="321"/>
      <c r="I170" s="326"/>
      <c r="J170" s="30"/>
      <c r="BI170" s="621">
        <v>162</v>
      </c>
      <c r="BJ170" s="711"/>
      <c r="BK170" s="712"/>
      <c r="BL170" s="1109"/>
      <c r="BM170" s="1109"/>
      <c r="BN170" s="24"/>
      <c r="BP170" s="621">
        <v>162</v>
      </c>
      <c r="BQ170" s="711"/>
      <c r="BR170" s="712"/>
      <c r="BS170" s="1109"/>
      <c r="BT170" s="1109"/>
      <c r="BU170" s="24"/>
      <c r="BW170" s="621">
        <v>162</v>
      </c>
      <c r="BX170" s="711">
        <v>2.9</v>
      </c>
      <c r="BY170" s="712"/>
      <c r="BZ170" s="1109"/>
      <c r="CA170" s="1109"/>
      <c r="CB170" s="24"/>
      <c r="CT170" s="16" t="e">
        <f t="shared" si="178"/>
        <v>#N/A</v>
      </c>
      <c r="CU170" s="197" t="e">
        <f t="shared" si="179"/>
        <v>#N/A</v>
      </c>
      <c r="CV170" s="197" t="e">
        <f t="shared" si="180"/>
        <v>#N/A</v>
      </c>
      <c r="CW170" s="197">
        <v>167</v>
      </c>
      <c r="CX170" s="197" t="str">
        <f t="shared" si="174"/>
        <v/>
      </c>
      <c r="CY170" s="197" t="e">
        <f t="shared" si="175"/>
        <v>#N/A</v>
      </c>
      <c r="CZ170" s="197" t="e">
        <f t="shared" si="176"/>
        <v>#N/A</v>
      </c>
      <c r="DA170" s="197" t="str">
        <f t="shared" si="181"/>
        <v/>
      </c>
      <c r="DB170" s="16" t="e">
        <f t="shared" si="177"/>
        <v>#N/A</v>
      </c>
      <c r="DC170" s="16" t="e">
        <f>IF(ISNUMBER(CX170),COUNTIF($DB$4:DB170,DB170)-1,NA())</f>
        <v>#N/A</v>
      </c>
      <c r="DP170" s="16">
        <f t="shared" si="182"/>
        <v>0.45483562350273132</v>
      </c>
      <c r="DQ170" s="16">
        <v>168</v>
      </c>
      <c r="DR170" s="16">
        <f t="shared" si="169"/>
        <v>48.9</v>
      </c>
      <c r="DS170" s="16">
        <f t="shared" si="170"/>
        <v>2.2073506685742017</v>
      </c>
      <c r="DT170" s="16">
        <f t="shared" si="171"/>
        <v>53.5</v>
      </c>
      <c r="DU170" s="16">
        <f t="shared" si="172"/>
        <v>46.5</v>
      </c>
      <c r="DV170" s="16">
        <f t="shared" si="173"/>
        <v>48.4</v>
      </c>
      <c r="DX170" s="197">
        <f t="shared" si="183"/>
        <v>2.3723539682539783</v>
      </c>
      <c r="DY170" s="197">
        <f t="shared" si="184"/>
        <v>0.93702399999999997</v>
      </c>
      <c r="DZ170" s="222" t="e">
        <f t="shared" si="167"/>
        <v>#N/A</v>
      </c>
      <c r="EA170" s="192">
        <f t="shared" si="168"/>
        <v>1.9370240000000001</v>
      </c>
    </row>
    <row r="171" spans="5:131" ht="11.25" customHeight="1">
      <c r="E171" s="466">
        <v>170</v>
      </c>
      <c r="F171" s="474"/>
      <c r="G171" s="471"/>
      <c r="H171" s="321"/>
      <c r="I171" s="326"/>
      <c r="J171" s="30"/>
      <c r="BI171" s="621">
        <v>163</v>
      </c>
      <c r="BJ171" s="711"/>
      <c r="BK171" s="712"/>
      <c r="BL171" s="1109"/>
      <c r="BM171" s="1109"/>
      <c r="BN171" s="24"/>
      <c r="BP171" s="621">
        <v>163</v>
      </c>
      <c r="BQ171" s="711"/>
      <c r="BR171" s="712"/>
      <c r="BS171" s="1109"/>
      <c r="BT171" s="1109"/>
      <c r="BU171" s="24"/>
      <c r="BW171" s="621">
        <v>163</v>
      </c>
      <c r="BX171" s="711">
        <v>14.4</v>
      </c>
      <c r="BY171" s="712"/>
      <c r="BZ171" s="1109"/>
      <c r="CA171" s="1109"/>
      <c r="CB171" s="24"/>
      <c r="CT171" s="16" t="e">
        <f t="shared" si="178"/>
        <v>#N/A</v>
      </c>
      <c r="CU171" s="197" t="e">
        <f t="shared" si="179"/>
        <v>#N/A</v>
      </c>
      <c r="CV171" s="197" t="e">
        <f t="shared" si="180"/>
        <v>#N/A</v>
      </c>
      <c r="CW171" s="197">
        <v>168</v>
      </c>
      <c r="CX171" s="197" t="str">
        <f t="shared" si="174"/>
        <v/>
      </c>
      <c r="CY171" s="197" t="e">
        <f t="shared" si="175"/>
        <v>#N/A</v>
      </c>
      <c r="CZ171" s="197" t="e">
        <f t="shared" si="176"/>
        <v>#N/A</v>
      </c>
      <c r="DA171" s="197" t="str">
        <f t="shared" si="181"/>
        <v/>
      </c>
      <c r="DB171" s="16" t="e">
        <f t="shared" si="177"/>
        <v>#N/A</v>
      </c>
      <c r="DC171" s="16" t="e">
        <f>IF(ISNUMBER(CX171),COUNTIF($DB$4:DB171,DB171)-1,NA())</f>
        <v>#N/A</v>
      </c>
      <c r="DP171" s="16">
        <f t="shared" si="182"/>
        <v>0.14789041876792908</v>
      </c>
      <c r="DQ171" s="16">
        <v>169</v>
      </c>
      <c r="DR171" s="16">
        <f t="shared" si="169"/>
        <v>39.5</v>
      </c>
      <c r="DS171" s="16">
        <f t="shared" si="170"/>
        <v>1.5549010986567544</v>
      </c>
      <c r="DT171" s="16">
        <f t="shared" si="171"/>
        <v>57.8</v>
      </c>
      <c r="DU171" s="16">
        <f t="shared" si="172"/>
        <v>42.2</v>
      </c>
      <c r="DV171" s="16">
        <f t="shared" si="173"/>
        <v>37.799999999999997</v>
      </c>
      <c r="DX171" s="197">
        <f t="shared" si="183"/>
        <v>2.3858788359788461</v>
      </c>
      <c r="DY171" s="197">
        <f t="shared" si="184"/>
        <v>0.93702399999999997</v>
      </c>
      <c r="DZ171" s="222" t="e">
        <f t="shared" si="167"/>
        <v>#N/A</v>
      </c>
      <c r="EA171" s="192">
        <f t="shared" si="168"/>
        <v>1.9370240000000001</v>
      </c>
    </row>
    <row r="172" spans="5:131" ht="11.25" customHeight="1">
      <c r="E172" s="466">
        <v>171</v>
      </c>
      <c r="F172" s="474"/>
      <c r="G172" s="471"/>
      <c r="H172" s="321"/>
      <c r="I172" s="326"/>
      <c r="J172" s="30"/>
      <c r="BI172" s="621">
        <v>164</v>
      </c>
      <c r="BJ172" s="711"/>
      <c r="BK172" s="712"/>
      <c r="BL172" s="1109"/>
      <c r="BM172" s="1109"/>
      <c r="BN172" s="24"/>
      <c r="BP172" s="621">
        <v>164</v>
      </c>
      <c r="BQ172" s="711"/>
      <c r="BR172" s="712"/>
      <c r="BS172" s="1109"/>
      <c r="BT172" s="1109"/>
      <c r="BU172" s="24"/>
      <c r="BW172" s="621">
        <v>164</v>
      </c>
      <c r="BX172" s="711">
        <v>8.4</v>
      </c>
      <c r="BY172" s="712"/>
      <c r="BZ172" s="1109"/>
      <c r="CA172" s="1109"/>
      <c r="CB172" s="24"/>
      <c r="CT172" s="16" t="e">
        <f t="shared" si="178"/>
        <v>#N/A</v>
      </c>
      <c r="CU172" s="197" t="e">
        <f t="shared" si="179"/>
        <v>#N/A</v>
      </c>
      <c r="CV172" s="197" t="e">
        <f t="shared" si="180"/>
        <v>#N/A</v>
      </c>
      <c r="CW172" s="197">
        <v>169</v>
      </c>
      <c r="CX172" s="197" t="str">
        <f t="shared" si="174"/>
        <v/>
      </c>
      <c r="CY172" s="197" t="e">
        <f t="shared" si="175"/>
        <v>#N/A</v>
      </c>
      <c r="CZ172" s="197" t="e">
        <f t="shared" si="176"/>
        <v>#N/A</v>
      </c>
      <c r="DA172" s="197" t="str">
        <f t="shared" si="181"/>
        <v/>
      </c>
      <c r="DB172" s="16" t="e">
        <f t="shared" si="177"/>
        <v>#N/A</v>
      </c>
      <c r="DC172" s="16" t="e">
        <f>IF(ISNUMBER(CX172),COUNTIF($DB$4:DB172,DB172)-1,NA())</f>
        <v>#N/A</v>
      </c>
      <c r="DP172" s="16">
        <f t="shared" si="182"/>
        <v>0.11025473475456238</v>
      </c>
      <c r="DQ172" s="16">
        <v>170</v>
      </c>
      <c r="DR172" s="16">
        <f t="shared" si="169"/>
        <v>37.700000000000003</v>
      </c>
      <c r="DS172" s="16">
        <f t="shared" si="170"/>
        <v>1.4291457543142589</v>
      </c>
      <c r="DT172" s="16">
        <f t="shared" si="171"/>
        <v>58.4</v>
      </c>
      <c r="DU172" s="16">
        <f t="shared" si="172"/>
        <v>41.6</v>
      </c>
      <c r="DV172" s="16">
        <f t="shared" si="173"/>
        <v>36.5</v>
      </c>
      <c r="DX172" s="197">
        <f t="shared" si="183"/>
        <v>2.3994037037037139</v>
      </c>
      <c r="DY172" s="197">
        <f t="shared" si="184"/>
        <v>0.93702399999999997</v>
      </c>
      <c r="DZ172" s="222" t="e">
        <f t="shared" si="167"/>
        <v>#N/A</v>
      </c>
      <c r="EA172" s="192">
        <f t="shared" si="168"/>
        <v>1.9370240000000001</v>
      </c>
    </row>
    <row r="173" spans="5:131" ht="11.25" customHeight="1">
      <c r="E173" s="466">
        <v>172</v>
      </c>
      <c r="F173" s="474"/>
      <c r="G173" s="471"/>
      <c r="H173" s="321"/>
      <c r="I173" s="326"/>
      <c r="J173" s="30"/>
      <c r="BI173" s="621">
        <v>165</v>
      </c>
      <c r="BJ173" s="711"/>
      <c r="BK173" s="712"/>
      <c r="BL173" s="1109"/>
      <c r="BM173" s="1109"/>
      <c r="BN173" s="24"/>
      <c r="BP173" s="621">
        <v>165</v>
      </c>
      <c r="BQ173" s="711"/>
      <c r="BR173" s="712"/>
      <c r="BS173" s="1109"/>
      <c r="BT173" s="1109"/>
      <c r="BU173" s="24"/>
      <c r="BW173" s="621">
        <v>165</v>
      </c>
      <c r="BX173" s="711">
        <v>17.7</v>
      </c>
      <c r="BY173" s="712"/>
      <c r="BZ173" s="1109"/>
      <c r="CA173" s="1109"/>
      <c r="CB173" s="24"/>
      <c r="CT173" s="16" t="e">
        <f t="shared" si="178"/>
        <v>#N/A</v>
      </c>
      <c r="CU173" s="197" t="e">
        <f t="shared" si="179"/>
        <v>#N/A</v>
      </c>
      <c r="CV173" s="197" t="e">
        <f t="shared" si="180"/>
        <v>#N/A</v>
      </c>
      <c r="CW173" s="197">
        <v>170</v>
      </c>
      <c r="CX173" s="197" t="str">
        <f t="shared" si="174"/>
        <v/>
      </c>
      <c r="CY173" s="197" t="e">
        <f t="shared" si="175"/>
        <v>#N/A</v>
      </c>
      <c r="CZ173" s="197" t="e">
        <f t="shared" si="176"/>
        <v>#N/A</v>
      </c>
      <c r="DA173" s="197" t="str">
        <f t="shared" si="181"/>
        <v/>
      </c>
      <c r="DB173" s="16" t="e">
        <f t="shared" si="177"/>
        <v>#N/A</v>
      </c>
      <c r="DC173" s="16" t="e">
        <f>IF(ISNUMBER(CX173),COUNTIF($DB$4:DB173,DB173)-1,NA())</f>
        <v>#N/A</v>
      </c>
      <c r="DP173" s="16">
        <f t="shared" si="182"/>
        <v>0.78085717558860779</v>
      </c>
      <c r="DQ173" s="16">
        <v>171</v>
      </c>
      <c r="DR173" s="16">
        <f t="shared" si="169"/>
        <v>57.8</v>
      </c>
      <c r="DS173" s="16">
        <f t="shared" si="170"/>
        <v>2.8293319088990962</v>
      </c>
      <c r="DT173" s="16">
        <f t="shared" si="171"/>
        <v>45.6</v>
      </c>
      <c r="DU173" s="16">
        <f t="shared" si="172"/>
        <v>54.4</v>
      </c>
      <c r="DV173" s="16">
        <f t="shared" si="173"/>
        <v>59.7</v>
      </c>
      <c r="DX173" s="197">
        <f t="shared" si="183"/>
        <v>2.4129285714285817</v>
      </c>
      <c r="DY173" s="197">
        <f t="shared" si="184"/>
        <v>0.93702399999999997</v>
      </c>
      <c r="DZ173" s="222" t="e">
        <f t="shared" ref="DZ173:DZ191" si="185">IF(ISNUMBER(EA$4),DZ77,NA())</f>
        <v>#N/A</v>
      </c>
      <c r="EA173" s="192">
        <f t="shared" ref="EA173:EA191" si="186">EA172</f>
        <v>1.9370240000000001</v>
      </c>
    </row>
    <row r="174" spans="5:131" ht="11.25" customHeight="1">
      <c r="E174" s="466">
        <v>173</v>
      </c>
      <c r="F174" s="474"/>
      <c r="G174" s="471"/>
      <c r="H174" s="321"/>
      <c r="I174" s="326"/>
      <c r="J174" s="30"/>
      <c r="BI174" s="621">
        <v>166</v>
      </c>
      <c r="BJ174" s="711"/>
      <c r="BK174" s="712"/>
      <c r="BL174" s="1109"/>
      <c r="BM174" s="1109"/>
      <c r="BN174" s="24"/>
      <c r="BP174" s="621">
        <v>166</v>
      </c>
      <c r="BQ174" s="711"/>
      <c r="BR174" s="712"/>
      <c r="BS174" s="1109"/>
      <c r="BT174" s="1109"/>
      <c r="BU174" s="24"/>
      <c r="BW174" s="621">
        <v>166</v>
      </c>
      <c r="BX174" s="711">
        <v>20.100000000000001</v>
      </c>
      <c r="BY174" s="712"/>
      <c r="BZ174" s="1109"/>
      <c r="CA174" s="1109"/>
      <c r="CB174" s="24"/>
      <c r="CT174" s="16" t="e">
        <f t="shared" si="178"/>
        <v>#N/A</v>
      </c>
      <c r="CU174" s="197" t="e">
        <f t="shared" si="179"/>
        <v>#N/A</v>
      </c>
      <c r="CV174" s="197" t="e">
        <f t="shared" si="180"/>
        <v>#N/A</v>
      </c>
      <c r="CW174" s="197">
        <v>171</v>
      </c>
      <c r="CX174" s="197" t="str">
        <f t="shared" si="174"/>
        <v/>
      </c>
      <c r="CY174" s="197" t="e">
        <f t="shared" si="175"/>
        <v>#N/A</v>
      </c>
      <c r="CZ174" s="197" t="e">
        <f t="shared" si="176"/>
        <v>#N/A</v>
      </c>
      <c r="DA174" s="197" t="str">
        <f t="shared" si="181"/>
        <v/>
      </c>
      <c r="DB174" s="16" t="e">
        <f t="shared" si="177"/>
        <v>#N/A</v>
      </c>
      <c r="DC174" s="16" t="e">
        <f>IF(ISNUMBER(CX174),COUNTIF($DB$4:DB174,DB174)-1,NA())</f>
        <v>#N/A</v>
      </c>
      <c r="DP174" s="16">
        <f t="shared" si="182"/>
        <v>0.90702936053276062</v>
      </c>
      <c r="DQ174" s="16">
        <v>172</v>
      </c>
      <c r="DR174" s="16">
        <f t="shared" si="169"/>
        <v>63.2</v>
      </c>
      <c r="DS174" s="16">
        <f t="shared" si="170"/>
        <v>3.2126450567847398</v>
      </c>
      <c r="DT174" s="16">
        <f t="shared" si="171"/>
        <v>37.700000000000003</v>
      </c>
      <c r="DU174" s="16">
        <f t="shared" si="172"/>
        <v>62.3</v>
      </c>
      <c r="DV174" s="16">
        <f t="shared" si="173"/>
        <v>64.099999999999994</v>
      </c>
      <c r="DX174" s="197">
        <f t="shared" si="183"/>
        <v>2.4264534391534496</v>
      </c>
      <c r="DY174" s="197">
        <f t="shared" si="184"/>
        <v>0.93702399999999997</v>
      </c>
      <c r="DZ174" s="222" t="e">
        <f t="shared" si="185"/>
        <v>#N/A</v>
      </c>
      <c r="EA174" s="192">
        <f t="shared" si="186"/>
        <v>1.9370240000000001</v>
      </c>
    </row>
    <row r="175" spans="5:131" ht="11.25" customHeight="1">
      <c r="E175" s="466">
        <v>174</v>
      </c>
      <c r="F175" s="474"/>
      <c r="G175" s="471"/>
      <c r="H175" s="321"/>
      <c r="I175" s="326"/>
      <c r="J175" s="30"/>
      <c r="BI175" s="621">
        <v>167</v>
      </c>
      <c r="BJ175" s="711"/>
      <c r="BK175" s="712"/>
      <c r="BL175" s="1109"/>
      <c r="BM175" s="1109"/>
      <c r="BN175" s="24"/>
      <c r="BP175" s="621">
        <v>167</v>
      </c>
      <c r="BQ175" s="711"/>
      <c r="BR175" s="712"/>
      <c r="BS175" s="1109"/>
      <c r="BT175" s="1109"/>
      <c r="BU175" s="24"/>
      <c r="BW175" s="621">
        <v>167</v>
      </c>
      <c r="BX175" s="711">
        <v>2.1</v>
      </c>
      <c r="BY175" s="712"/>
      <c r="BZ175" s="1109"/>
      <c r="CA175" s="1109"/>
      <c r="CB175" s="24"/>
      <c r="CT175" s="16" t="e">
        <f t="shared" si="178"/>
        <v>#N/A</v>
      </c>
      <c r="CU175" s="197" t="e">
        <f t="shared" si="179"/>
        <v>#N/A</v>
      </c>
      <c r="CV175" s="197" t="e">
        <f t="shared" si="180"/>
        <v>#N/A</v>
      </c>
      <c r="CW175" s="197">
        <v>172</v>
      </c>
      <c r="CX175" s="197" t="str">
        <f t="shared" si="174"/>
        <v/>
      </c>
      <c r="CY175" s="197" t="e">
        <f t="shared" si="175"/>
        <v>#N/A</v>
      </c>
      <c r="CZ175" s="197" t="e">
        <f t="shared" si="176"/>
        <v>#N/A</v>
      </c>
      <c r="DA175" s="197" t="str">
        <f t="shared" si="181"/>
        <v/>
      </c>
      <c r="DB175" s="16" t="e">
        <f t="shared" si="177"/>
        <v>#N/A</v>
      </c>
      <c r="DC175" s="16" t="e">
        <f>IF(ISNUMBER(CX175),COUNTIF($DB$4:DB175,DB175)-1,NA())</f>
        <v>#N/A</v>
      </c>
      <c r="DP175" s="16">
        <f t="shared" si="182"/>
        <v>0.39670929312705994</v>
      </c>
      <c r="DQ175" s="16">
        <v>173</v>
      </c>
      <c r="DR175" s="16">
        <f t="shared" si="169"/>
        <v>47.4</v>
      </c>
      <c r="DS175" s="16">
        <f t="shared" si="170"/>
        <v>2.1034561248468528</v>
      </c>
      <c r="DT175" s="16">
        <f t="shared" si="171"/>
        <v>54.4</v>
      </c>
      <c r="DU175" s="16">
        <f t="shared" si="172"/>
        <v>45.6</v>
      </c>
      <c r="DV175" s="16">
        <f t="shared" si="173"/>
        <v>46.4</v>
      </c>
      <c r="DX175" s="197">
        <f t="shared" si="183"/>
        <v>2.4399783068783174</v>
      </c>
      <c r="DY175" s="197">
        <f t="shared" si="184"/>
        <v>0.93702399999999997</v>
      </c>
      <c r="DZ175" s="222" t="e">
        <f t="shared" si="185"/>
        <v>#N/A</v>
      </c>
      <c r="EA175" s="192">
        <f t="shared" si="186"/>
        <v>1.9370240000000001</v>
      </c>
    </row>
    <row r="176" spans="5:131" ht="11.25" customHeight="1">
      <c r="E176" s="466">
        <v>175</v>
      </c>
      <c r="F176" s="474"/>
      <c r="G176" s="471"/>
      <c r="H176" s="321"/>
      <c r="I176" s="326"/>
      <c r="J176" s="30"/>
      <c r="BI176" s="621">
        <v>168</v>
      </c>
      <c r="BJ176" s="711"/>
      <c r="BK176" s="712"/>
      <c r="BL176" s="1109"/>
      <c r="BM176" s="1109"/>
      <c r="BN176" s="24"/>
      <c r="BP176" s="621">
        <v>168</v>
      </c>
      <c r="BQ176" s="711"/>
      <c r="BR176" s="712"/>
      <c r="BS176" s="1109"/>
      <c r="BT176" s="1109"/>
      <c r="BU176" s="24"/>
      <c r="BW176" s="621">
        <v>168</v>
      </c>
      <c r="BX176" s="711">
        <v>11.1</v>
      </c>
      <c r="BY176" s="712"/>
      <c r="BZ176" s="1109"/>
      <c r="CA176" s="1109"/>
      <c r="CB176" s="24"/>
      <c r="CT176" s="16" t="e">
        <f t="shared" si="178"/>
        <v>#N/A</v>
      </c>
      <c r="CU176" s="197" t="e">
        <f t="shared" si="179"/>
        <v>#N/A</v>
      </c>
      <c r="CV176" s="197" t="e">
        <f t="shared" si="180"/>
        <v>#N/A</v>
      </c>
      <c r="CW176" s="197">
        <v>173</v>
      </c>
      <c r="CX176" s="197" t="str">
        <f t="shared" si="174"/>
        <v/>
      </c>
      <c r="CY176" s="197" t="e">
        <f t="shared" si="175"/>
        <v>#N/A</v>
      </c>
      <c r="CZ176" s="197" t="e">
        <f t="shared" si="176"/>
        <v>#N/A</v>
      </c>
      <c r="DA176" s="197" t="str">
        <f t="shared" si="181"/>
        <v/>
      </c>
      <c r="DB176" s="16" t="e">
        <f t="shared" si="177"/>
        <v>#N/A</v>
      </c>
      <c r="DC176" s="16" t="e">
        <f>IF(ISNUMBER(CX176),COUNTIF($DB$4:DB176,DB176)-1,NA())</f>
        <v>#N/A</v>
      </c>
      <c r="DP176" s="16">
        <f t="shared" si="182"/>
        <v>8.849141001701355E-2</v>
      </c>
      <c r="DQ176" s="16">
        <v>174</v>
      </c>
      <c r="DR176" s="16">
        <f t="shared" si="169"/>
        <v>36.5</v>
      </c>
      <c r="DS176" s="16">
        <f t="shared" si="170"/>
        <v>1.3416955485818498</v>
      </c>
      <c r="DT176" s="16">
        <f t="shared" si="171"/>
        <v>58.8</v>
      </c>
      <c r="DU176" s="16">
        <f t="shared" si="172"/>
        <v>41.2</v>
      </c>
      <c r="DV176" s="16">
        <f t="shared" si="173"/>
        <v>35.700000000000003</v>
      </c>
      <c r="DX176" s="197">
        <f t="shared" si="183"/>
        <v>2.4535031746031852</v>
      </c>
      <c r="DY176" s="197">
        <f t="shared" si="184"/>
        <v>0.93702399999999997</v>
      </c>
      <c r="DZ176" s="222" t="e">
        <f t="shared" si="185"/>
        <v>#N/A</v>
      </c>
      <c r="EA176" s="192">
        <f t="shared" si="186"/>
        <v>1.9370240000000001</v>
      </c>
    </row>
    <row r="177" spans="5:131" ht="11.25" customHeight="1">
      <c r="E177" s="466">
        <v>176</v>
      </c>
      <c r="F177" s="474"/>
      <c r="G177" s="471"/>
      <c r="H177" s="321"/>
      <c r="I177" s="326"/>
      <c r="J177" s="30"/>
      <c r="BI177" s="621">
        <v>169</v>
      </c>
      <c r="BJ177" s="711"/>
      <c r="BK177" s="712"/>
      <c r="BL177" s="1109"/>
      <c r="BM177" s="1109"/>
      <c r="BN177" s="24"/>
      <c r="BP177" s="621">
        <v>169</v>
      </c>
      <c r="BQ177" s="711"/>
      <c r="BR177" s="712"/>
      <c r="BS177" s="1109"/>
      <c r="BT177" s="1109"/>
      <c r="BU177" s="24"/>
      <c r="BW177" s="621">
        <v>169</v>
      </c>
      <c r="BX177" s="711">
        <v>11.2</v>
      </c>
      <c r="BY177" s="712"/>
      <c r="BZ177" s="1109"/>
      <c r="CA177" s="1109"/>
      <c r="CB177" s="24"/>
      <c r="CT177" s="16" t="e">
        <f t="shared" si="178"/>
        <v>#N/A</v>
      </c>
      <c r="CU177" s="197" t="e">
        <f t="shared" si="179"/>
        <v>#N/A</v>
      </c>
      <c r="CV177" s="197" t="e">
        <f t="shared" si="180"/>
        <v>#N/A</v>
      </c>
      <c r="CW177" s="197">
        <v>174</v>
      </c>
      <c r="CX177" s="197" t="str">
        <f t="shared" si="174"/>
        <v/>
      </c>
      <c r="CY177" s="197" t="e">
        <f t="shared" si="175"/>
        <v>#N/A</v>
      </c>
      <c r="CZ177" s="197" t="e">
        <f t="shared" si="176"/>
        <v>#N/A</v>
      </c>
      <c r="DA177" s="197" t="str">
        <f t="shared" si="181"/>
        <v/>
      </c>
      <c r="DB177" s="16" t="e">
        <f t="shared" si="177"/>
        <v>#N/A</v>
      </c>
      <c r="DC177" s="16" t="e">
        <f>IF(ISNUMBER(CX177),COUNTIF($DB$4:DB177,DB177)-1,NA())</f>
        <v>#N/A</v>
      </c>
      <c r="DP177" s="16">
        <f t="shared" si="182"/>
        <v>0.25055846571922302</v>
      </c>
      <c r="DQ177" s="16">
        <v>175</v>
      </c>
      <c r="DR177" s="16">
        <f t="shared" si="169"/>
        <v>43.3</v>
      </c>
      <c r="DS177" s="16">
        <f t="shared" si="170"/>
        <v>1.8158545623128388</v>
      </c>
      <c r="DT177" s="16">
        <f t="shared" si="171"/>
        <v>56.4</v>
      </c>
      <c r="DU177" s="16">
        <f t="shared" si="172"/>
        <v>43.6</v>
      </c>
      <c r="DV177" s="16">
        <f t="shared" si="173"/>
        <v>41.4</v>
      </c>
      <c r="DX177" s="197">
        <f t="shared" si="183"/>
        <v>2.4670280423280531</v>
      </c>
      <c r="DY177" s="197">
        <f t="shared" si="184"/>
        <v>0.93702399999999997</v>
      </c>
      <c r="DZ177" s="222" t="e">
        <f t="shared" si="185"/>
        <v>#N/A</v>
      </c>
      <c r="EA177" s="192">
        <f t="shared" si="186"/>
        <v>1.9370240000000001</v>
      </c>
    </row>
    <row r="178" spans="5:131" ht="11.25" customHeight="1">
      <c r="E178" s="466">
        <v>177</v>
      </c>
      <c r="F178" s="474"/>
      <c r="G178" s="471"/>
      <c r="H178" s="321"/>
      <c r="I178" s="326"/>
      <c r="J178" s="30"/>
      <c r="BI178" s="621">
        <v>170</v>
      </c>
      <c r="BJ178" s="711"/>
      <c r="BK178" s="712"/>
      <c r="BL178" s="1109"/>
      <c r="BM178" s="1109"/>
      <c r="BN178" s="24"/>
      <c r="BP178" s="621">
        <v>170</v>
      </c>
      <c r="BQ178" s="711"/>
      <c r="BR178" s="712"/>
      <c r="BS178" s="1109"/>
      <c r="BT178" s="1109"/>
      <c r="BU178" s="24"/>
      <c r="BW178" s="621">
        <v>170</v>
      </c>
      <c r="BX178" s="711">
        <v>10.7</v>
      </c>
      <c r="BY178" s="712"/>
      <c r="BZ178" s="1109"/>
      <c r="CA178" s="1109"/>
      <c r="CB178" s="24"/>
      <c r="CT178" s="16" t="e">
        <f t="shared" si="178"/>
        <v>#N/A</v>
      </c>
      <c r="CU178" s="197" t="e">
        <f t="shared" si="179"/>
        <v>#N/A</v>
      </c>
      <c r="CV178" s="197" t="e">
        <f t="shared" si="180"/>
        <v>#N/A</v>
      </c>
      <c r="CW178" s="197">
        <v>175</v>
      </c>
      <c r="CX178" s="197" t="str">
        <f t="shared" si="174"/>
        <v/>
      </c>
      <c r="CY178" s="197" t="e">
        <f t="shared" si="175"/>
        <v>#N/A</v>
      </c>
      <c r="CZ178" s="197" t="e">
        <f t="shared" si="176"/>
        <v>#N/A</v>
      </c>
      <c r="DA178" s="197" t="str">
        <f t="shared" si="181"/>
        <v/>
      </c>
      <c r="DB178" s="16" t="e">
        <f t="shared" si="177"/>
        <v>#N/A</v>
      </c>
      <c r="DC178" s="16" t="e">
        <f>IF(ISNUMBER(CX178),COUNTIF($DB$4:DB178,DB178)-1,NA())</f>
        <v>#N/A</v>
      </c>
      <c r="DP178" s="16">
        <f t="shared" si="182"/>
        <v>0.91445228457450867</v>
      </c>
      <c r="DQ178" s="16">
        <v>176</v>
      </c>
      <c r="DR178" s="16">
        <f t="shared" si="169"/>
        <v>63.7</v>
      </c>
      <c r="DS178" s="16">
        <f t="shared" si="170"/>
        <v>3.2448526400542415</v>
      </c>
      <c r="DT178" s="16">
        <f t="shared" si="171"/>
        <v>36.9</v>
      </c>
      <c r="DU178" s="16">
        <f t="shared" si="172"/>
        <v>63.1</v>
      </c>
      <c r="DV178" s="16">
        <f t="shared" si="173"/>
        <v>64.400000000000006</v>
      </c>
      <c r="DX178" s="197">
        <f t="shared" si="183"/>
        <v>2.4805529100529209</v>
      </c>
      <c r="DY178" s="197">
        <f t="shared" si="184"/>
        <v>0.93702399999999997</v>
      </c>
      <c r="DZ178" s="222" t="e">
        <f t="shared" si="185"/>
        <v>#N/A</v>
      </c>
      <c r="EA178" s="192">
        <f t="shared" si="186"/>
        <v>1.9370240000000001</v>
      </c>
    </row>
    <row r="179" spans="5:131" ht="11.25" customHeight="1">
      <c r="E179" s="466">
        <v>178</v>
      </c>
      <c r="F179" s="474"/>
      <c r="G179" s="471"/>
      <c r="H179" s="321"/>
      <c r="I179" s="326"/>
      <c r="J179" s="30"/>
      <c r="BI179" s="621">
        <v>171</v>
      </c>
      <c r="BJ179" s="711"/>
      <c r="BK179" s="712"/>
      <c r="BL179" s="1109"/>
      <c r="BM179" s="1109"/>
      <c r="BN179" s="24"/>
      <c r="BP179" s="621">
        <v>171</v>
      </c>
      <c r="BQ179" s="711"/>
      <c r="BR179" s="712"/>
      <c r="BS179" s="1109"/>
      <c r="BT179" s="1109"/>
      <c r="BU179" s="24"/>
      <c r="BW179" s="621">
        <v>171</v>
      </c>
      <c r="BX179" s="711">
        <v>1.9</v>
      </c>
      <c r="BY179" s="712"/>
      <c r="BZ179" s="1109"/>
      <c r="CA179" s="1109"/>
      <c r="CB179" s="24"/>
      <c r="CT179" s="16" t="e">
        <f t="shared" si="178"/>
        <v>#N/A</v>
      </c>
      <c r="CU179" s="197" t="e">
        <f t="shared" si="179"/>
        <v>#N/A</v>
      </c>
      <c r="CV179" s="197" t="e">
        <f t="shared" si="180"/>
        <v>#N/A</v>
      </c>
      <c r="CW179" s="197">
        <v>176</v>
      </c>
      <c r="CX179" s="197" t="str">
        <f t="shared" si="174"/>
        <v/>
      </c>
      <c r="CY179" s="197" t="e">
        <f t="shared" si="175"/>
        <v>#N/A</v>
      </c>
      <c r="CZ179" s="197" t="e">
        <f t="shared" si="176"/>
        <v>#N/A</v>
      </c>
      <c r="DA179" s="197" t="str">
        <f t="shared" si="181"/>
        <v/>
      </c>
      <c r="DB179" s="16" t="e">
        <f t="shared" si="177"/>
        <v>#N/A</v>
      </c>
      <c r="DC179" s="16" t="e">
        <f>IF(ISNUMBER(CX179),COUNTIF($DB$4:DB179,DB179)-1,NA())</f>
        <v>#N/A</v>
      </c>
      <c r="DP179" s="16">
        <f t="shared" si="182"/>
        <v>0.73362478613853455</v>
      </c>
      <c r="DQ179" s="16">
        <v>177</v>
      </c>
      <c r="DR179" s="16">
        <f t="shared" si="169"/>
        <v>56.2</v>
      </c>
      <c r="DS179" s="16">
        <f t="shared" si="170"/>
        <v>2.723436995594811</v>
      </c>
      <c r="DT179" s="16">
        <f t="shared" si="171"/>
        <v>47.3</v>
      </c>
      <c r="DU179" s="16">
        <f t="shared" si="172"/>
        <v>52.7</v>
      </c>
      <c r="DV179" s="16">
        <f t="shared" si="173"/>
        <v>58.1</v>
      </c>
      <c r="DX179" s="197">
        <f t="shared" si="183"/>
        <v>2.4940777777777887</v>
      </c>
      <c r="DY179" s="197">
        <f t="shared" si="184"/>
        <v>0.93702399999999997</v>
      </c>
      <c r="DZ179" s="222" t="e">
        <f t="shared" si="185"/>
        <v>#N/A</v>
      </c>
      <c r="EA179" s="192">
        <f t="shared" si="186"/>
        <v>1.9370240000000001</v>
      </c>
    </row>
    <row r="180" spans="5:131" ht="11.25" customHeight="1">
      <c r="E180" s="466">
        <v>179</v>
      </c>
      <c r="F180" s="474"/>
      <c r="G180" s="471"/>
      <c r="H180" s="321"/>
      <c r="I180" s="326"/>
      <c r="J180" s="30"/>
      <c r="BI180" s="621">
        <v>172</v>
      </c>
      <c r="BJ180" s="711"/>
      <c r="BK180" s="712"/>
      <c r="BL180" s="1109"/>
      <c r="BM180" s="1109"/>
      <c r="BN180" s="24"/>
      <c r="BP180" s="621">
        <v>172</v>
      </c>
      <c r="BQ180" s="711"/>
      <c r="BR180" s="712"/>
      <c r="BS180" s="1109"/>
      <c r="BT180" s="1109"/>
      <c r="BU180" s="24"/>
      <c r="BW180" s="621">
        <v>172</v>
      </c>
      <c r="BX180" s="711">
        <v>5.2</v>
      </c>
      <c r="BY180" s="712"/>
      <c r="BZ180" s="1109"/>
      <c r="CA180" s="1109"/>
      <c r="CB180" s="24"/>
      <c r="CT180" s="16" t="e">
        <f t="shared" si="178"/>
        <v>#N/A</v>
      </c>
      <c r="CU180" s="197" t="e">
        <f t="shared" si="179"/>
        <v>#N/A</v>
      </c>
      <c r="CV180" s="197" t="e">
        <f t="shared" si="180"/>
        <v>#N/A</v>
      </c>
      <c r="CW180" s="197">
        <v>177</v>
      </c>
      <c r="CX180" s="197" t="str">
        <f t="shared" si="174"/>
        <v/>
      </c>
      <c r="CY180" s="197" t="e">
        <f t="shared" si="175"/>
        <v>#N/A</v>
      </c>
      <c r="CZ180" s="197" t="e">
        <f t="shared" si="176"/>
        <v>#N/A</v>
      </c>
      <c r="DA180" s="197" t="str">
        <f t="shared" si="181"/>
        <v/>
      </c>
      <c r="DB180" s="16" t="e">
        <f t="shared" si="177"/>
        <v>#N/A</v>
      </c>
      <c r="DC180" s="16" t="e">
        <f>IF(ISNUMBER(CX180),COUNTIF($DB$4:DB180,DB180)-1,NA())</f>
        <v>#N/A</v>
      </c>
      <c r="DP180" s="16">
        <f t="shared" si="182"/>
        <v>0.39850756525993347</v>
      </c>
      <c r="DQ180" s="16">
        <v>178</v>
      </c>
      <c r="DR180" s="16">
        <f t="shared" si="169"/>
        <v>47.4</v>
      </c>
      <c r="DS180" s="16">
        <f t="shared" si="170"/>
        <v>2.1067195326709549</v>
      </c>
      <c r="DT180" s="16">
        <f t="shared" si="171"/>
        <v>54.4</v>
      </c>
      <c r="DU180" s="16">
        <f t="shared" si="172"/>
        <v>45.6</v>
      </c>
      <c r="DV180" s="16">
        <f t="shared" si="173"/>
        <v>46.5</v>
      </c>
      <c r="DX180" s="197">
        <f t="shared" si="183"/>
        <v>2.5076026455026565</v>
      </c>
      <c r="DY180" s="197">
        <f t="shared" si="184"/>
        <v>0.93702399999999997</v>
      </c>
      <c r="DZ180" s="222" t="e">
        <f t="shared" si="185"/>
        <v>#N/A</v>
      </c>
      <c r="EA180" s="192">
        <f t="shared" si="186"/>
        <v>1.9370240000000001</v>
      </c>
    </row>
    <row r="181" spans="5:131" ht="11.25" customHeight="1">
      <c r="E181" s="466">
        <v>180</v>
      </c>
      <c r="F181" s="474"/>
      <c r="G181" s="471"/>
      <c r="H181" s="321"/>
      <c r="I181" s="326"/>
      <c r="J181" s="30"/>
      <c r="BI181" s="621">
        <v>173</v>
      </c>
      <c r="BJ181" s="711"/>
      <c r="BK181" s="712"/>
      <c r="BL181" s="1109"/>
      <c r="BM181" s="1109"/>
      <c r="BN181" s="24"/>
      <c r="BP181" s="621">
        <v>173</v>
      </c>
      <c r="BQ181" s="711"/>
      <c r="BR181" s="712"/>
      <c r="BS181" s="1109"/>
      <c r="BT181" s="1109"/>
      <c r="BU181" s="24"/>
      <c r="BW181" s="621">
        <v>173</v>
      </c>
      <c r="BX181" s="711">
        <v>9.6999999999999993</v>
      </c>
      <c r="BY181" s="712"/>
      <c r="BZ181" s="1109"/>
      <c r="CA181" s="1109"/>
      <c r="CB181" s="24"/>
      <c r="CT181" s="16" t="e">
        <f t="shared" si="178"/>
        <v>#N/A</v>
      </c>
      <c r="CU181" s="197" t="e">
        <f t="shared" si="179"/>
        <v>#N/A</v>
      </c>
      <c r="CV181" s="197" t="e">
        <f t="shared" si="180"/>
        <v>#N/A</v>
      </c>
      <c r="CW181" s="197">
        <v>178</v>
      </c>
      <c r="CX181" s="197" t="str">
        <f t="shared" si="174"/>
        <v/>
      </c>
      <c r="CY181" s="197" t="e">
        <f t="shared" si="175"/>
        <v>#N/A</v>
      </c>
      <c r="CZ181" s="197" t="e">
        <f t="shared" si="176"/>
        <v>#N/A</v>
      </c>
      <c r="DA181" s="197" t="str">
        <f t="shared" si="181"/>
        <v/>
      </c>
      <c r="DB181" s="16" t="e">
        <f t="shared" si="177"/>
        <v>#N/A</v>
      </c>
      <c r="DC181" s="16" t="e">
        <f>IF(ISNUMBER(CX181),COUNTIF($DB$4:DB181,DB181)-1,NA())</f>
        <v>#N/A</v>
      </c>
      <c r="DP181" s="16">
        <f t="shared" si="182"/>
        <v>0.83319768309593201</v>
      </c>
      <c r="DQ181" s="16">
        <v>179</v>
      </c>
      <c r="DR181" s="16">
        <f t="shared" si="169"/>
        <v>59.7</v>
      </c>
      <c r="DS181" s="16">
        <f t="shared" si="170"/>
        <v>2.9635830727244019</v>
      </c>
      <c r="DT181" s="16">
        <f t="shared" si="171"/>
        <v>43.2</v>
      </c>
      <c r="DU181" s="16">
        <f t="shared" si="172"/>
        <v>56.8</v>
      </c>
      <c r="DV181" s="16">
        <f t="shared" si="173"/>
        <v>61.5</v>
      </c>
      <c r="DX181" s="197">
        <f t="shared" ref="DX181:DX200" si="187">IF(DY$5=0,NA(),DX180+DY$9)</f>
        <v>2.5211275132275244</v>
      </c>
      <c r="DY181" s="197">
        <f t="shared" ref="DY181:DY200" si="188">DY180</f>
        <v>0.93702399999999997</v>
      </c>
      <c r="DZ181" s="222" t="e">
        <f t="shared" si="185"/>
        <v>#N/A</v>
      </c>
      <c r="EA181" s="192">
        <f t="shared" si="186"/>
        <v>1.9370240000000001</v>
      </c>
    </row>
    <row r="182" spans="5:131" ht="11.25" customHeight="1">
      <c r="E182" s="466">
        <v>181</v>
      </c>
      <c r="F182" s="474"/>
      <c r="G182" s="471"/>
      <c r="H182" s="321"/>
      <c r="I182" s="326"/>
      <c r="J182" s="30"/>
      <c r="BI182" s="621">
        <v>174</v>
      </c>
      <c r="BJ182" s="711"/>
      <c r="BK182" s="712"/>
      <c r="BL182" s="1109"/>
      <c r="BM182" s="1109"/>
      <c r="BN182" s="24"/>
      <c r="BP182" s="621">
        <v>174</v>
      </c>
      <c r="BQ182" s="711"/>
      <c r="BR182" s="712"/>
      <c r="BS182" s="1109"/>
      <c r="BT182" s="1109"/>
      <c r="BU182" s="24"/>
      <c r="BW182" s="621">
        <v>174</v>
      </c>
      <c r="BX182" s="711">
        <v>5.2</v>
      </c>
      <c r="BY182" s="712"/>
      <c r="BZ182" s="1109"/>
      <c r="CA182" s="1109"/>
      <c r="CB182" s="24"/>
      <c r="CT182" s="16" t="e">
        <f t="shared" si="178"/>
        <v>#N/A</v>
      </c>
      <c r="CU182" s="197" t="e">
        <f t="shared" si="179"/>
        <v>#N/A</v>
      </c>
      <c r="CV182" s="197" t="e">
        <f t="shared" si="180"/>
        <v>#N/A</v>
      </c>
      <c r="CW182" s="197">
        <v>179</v>
      </c>
      <c r="CX182" s="197" t="str">
        <f t="shared" si="174"/>
        <v/>
      </c>
      <c r="CY182" s="197" t="e">
        <f t="shared" si="175"/>
        <v>#N/A</v>
      </c>
      <c r="CZ182" s="197" t="e">
        <f t="shared" si="176"/>
        <v>#N/A</v>
      </c>
      <c r="DA182" s="197" t="str">
        <f t="shared" si="181"/>
        <v/>
      </c>
      <c r="DB182" s="16" t="e">
        <f t="shared" si="177"/>
        <v>#N/A</v>
      </c>
      <c r="DC182" s="16" t="e">
        <f>IF(ISNUMBER(CX182),COUNTIF($DB$4:DB182,DB182)-1,NA())</f>
        <v>#N/A</v>
      </c>
      <c r="DP182" s="16">
        <f t="shared" si="182"/>
        <v>0.66252920031547546</v>
      </c>
      <c r="DQ182" s="16">
        <v>180</v>
      </c>
      <c r="DR182" s="16">
        <f t="shared" si="169"/>
        <v>54.2</v>
      </c>
      <c r="DS182" s="16">
        <f t="shared" si="170"/>
        <v>2.5803308958261946</v>
      </c>
      <c r="DT182" s="16">
        <f t="shared" si="171"/>
        <v>49.4</v>
      </c>
      <c r="DU182" s="16">
        <f t="shared" si="172"/>
        <v>50.6</v>
      </c>
      <c r="DV182" s="16">
        <f t="shared" si="173"/>
        <v>55.6</v>
      </c>
      <c r="DX182" s="197">
        <f t="shared" si="187"/>
        <v>2.5346523809523922</v>
      </c>
      <c r="DY182" s="197">
        <f t="shared" si="188"/>
        <v>0.93702399999999997</v>
      </c>
      <c r="DZ182" s="222" t="e">
        <f t="shared" si="185"/>
        <v>#N/A</v>
      </c>
      <c r="EA182" s="192">
        <f t="shared" si="186"/>
        <v>1.9370240000000001</v>
      </c>
    </row>
    <row r="183" spans="5:131" ht="11.25" customHeight="1">
      <c r="E183" s="466">
        <v>182</v>
      </c>
      <c r="F183" s="474"/>
      <c r="G183" s="471"/>
      <c r="H183" s="321"/>
      <c r="I183" s="326"/>
      <c r="J183" s="30"/>
      <c r="BI183" s="621">
        <v>175</v>
      </c>
      <c r="BJ183" s="711"/>
      <c r="BK183" s="712"/>
      <c r="BL183" s="1109"/>
      <c r="BM183" s="1109"/>
      <c r="BN183" s="24"/>
      <c r="BP183" s="621">
        <v>175</v>
      </c>
      <c r="BQ183" s="711"/>
      <c r="BR183" s="712"/>
      <c r="BS183" s="1109"/>
      <c r="BT183" s="1109"/>
      <c r="BU183" s="24"/>
      <c r="BW183" s="621">
        <v>175</v>
      </c>
      <c r="BX183" s="711">
        <v>2.4</v>
      </c>
      <c r="BY183" s="712"/>
      <c r="BZ183" s="1109"/>
      <c r="CA183" s="1109"/>
      <c r="CB183" s="24"/>
      <c r="CT183" s="16" t="e">
        <f t="shared" si="178"/>
        <v>#N/A</v>
      </c>
      <c r="CU183" s="197" t="e">
        <f t="shared" si="179"/>
        <v>#N/A</v>
      </c>
      <c r="CV183" s="197" t="e">
        <f t="shared" si="180"/>
        <v>#N/A</v>
      </c>
      <c r="CW183" s="197">
        <v>180</v>
      </c>
      <c r="CX183" s="197" t="str">
        <f t="shared" si="174"/>
        <v/>
      </c>
      <c r="CY183" s="197" t="e">
        <f t="shared" si="175"/>
        <v>#N/A</v>
      </c>
      <c r="CZ183" s="197" t="e">
        <f t="shared" si="176"/>
        <v>#N/A</v>
      </c>
      <c r="DA183" s="197" t="str">
        <f t="shared" si="181"/>
        <v/>
      </c>
      <c r="DB183" s="16" t="e">
        <f t="shared" si="177"/>
        <v>#N/A</v>
      </c>
      <c r="DC183" s="16" t="e">
        <f>IF(ISNUMBER(CX183),COUNTIF($DB$4:DB183,DB183)-1,NA())</f>
        <v>#N/A</v>
      </c>
      <c r="DP183" s="16">
        <f t="shared" si="182"/>
        <v>0.61603435873985291</v>
      </c>
      <c r="DQ183" s="16">
        <v>181</v>
      </c>
      <c r="DR183" s="16">
        <f t="shared" si="169"/>
        <v>53</v>
      </c>
      <c r="DS183" s="16">
        <f t="shared" si="170"/>
        <v>2.4933252847734644</v>
      </c>
      <c r="DT183" s="16">
        <f t="shared" si="171"/>
        <v>50.5</v>
      </c>
      <c r="DU183" s="16">
        <f t="shared" si="172"/>
        <v>49.5</v>
      </c>
      <c r="DV183" s="16">
        <f t="shared" si="173"/>
        <v>54</v>
      </c>
      <c r="DX183" s="197">
        <f t="shared" si="187"/>
        <v>2.54817724867726</v>
      </c>
      <c r="DY183" s="197">
        <f t="shared" si="188"/>
        <v>0.93702399999999997</v>
      </c>
      <c r="DZ183" s="222" t="e">
        <f t="shared" si="185"/>
        <v>#N/A</v>
      </c>
      <c r="EA183" s="192">
        <f t="shared" si="186"/>
        <v>1.9370240000000001</v>
      </c>
    </row>
    <row r="184" spans="5:131" ht="11.25" customHeight="1">
      <c r="E184" s="466">
        <v>183</v>
      </c>
      <c r="F184" s="474"/>
      <c r="G184" s="471"/>
      <c r="H184" s="321"/>
      <c r="I184" s="326"/>
      <c r="J184" s="30"/>
      <c r="BI184" s="621">
        <v>176</v>
      </c>
      <c r="BJ184" s="711"/>
      <c r="BK184" s="712"/>
      <c r="BL184" s="1109"/>
      <c r="BM184" s="1109"/>
      <c r="BN184" s="24"/>
      <c r="BP184" s="621">
        <v>176</v>
      </c>
      <c r="BQ184" s="711"/>
      <c r="BR184" s="712"/>
      <c r="BS184" s="1109"/>
      <c r="BT184" s="1109"/>
      <c r="BU184" s="24"/>
      <c r="BW184" s="621">
        <v>176</v>
      </c>
      <c r="BX184" s="711">
        <v>7.1</v>
      </c>
      <c r="BY184" s="712"/>
      <c r="BZ184" s="1109"/>
      <c r="CA184" s="1109"/>
      <c r="CB184" s="24"/>
      <c r="CT184" s="16" t="e">
        <f t="shared" si="178"/>
        <v>#N/A</v>
      </c>
      <c r="CU184" s="197" t="e">
        <f t="shared" si="179"/>
        <v>#N/A</v>
      </c>
      <c r="CV184" s="197" t="e">
        <f t="shared" si="180"/>
        <v>#N/A</v>
      </c>
      <c r="CW184" s="197">
        <v>181</v>
      </c>
      <c r="CX184" s="197" t="str">
        <f t="shared" si="174"/>
        <v/>
      </c>
      <c r="CY184" s="197" t="e">
        <f t="shared" si="175"/>
        <v>#N/A</v>
      </c>
      <c r="CZ184" s="197" t="e">
        <f t="shared" si="176"/>
        <v>#N/A</v>
      </c>
      <c r="DA184" s="197" t="str">
        <f t="shared" si="181"/>
        <v/>
      </c>
      <c r="DB184" s="16" t="e">
        <f t="shared" si="177"/>
        <v>#N/A</v>
      </c>
      <c r="DC184" s="16" t="e">
        <f>IF(ISNUMBER(CX184),COUNTIF($DB$4:DB184,DB184)-1,NA())</f>
        <v>#N/A</v>
      </c>
      <c r="DP184" s="16">
        <f t="shared" si="182"/>
        <v>0.59584519267082214</v>
      </c>
      <c r="DQ184" s="16">
        <v>182</v>
      </c>
      <c r="DR184" s="16">
        <f t="shared" si="169"/>
        <v>52.4</v>
      </c>
      <c r="DS184" s="16">
        <f t="shared" si="170"/>
        <v>2.4565930438176484</v>
      </c>
      <c r="DT184" s="16">
        <f t="shared" si="171"/>
        <v>50.9</v>
      </c>
      <c r="DU184" s="16">
        <f t="shared" si="172"/>
        <v>49.1</v>
      </c>
      <c r="DV184" s="16">
        <f t="shared" si="173"/>
        <v>53.3</v>
      </c>
      <c r="DX184" s="197">
        <f t="shared" si="187"/>
        <v>2.5617021164021279</v>
      </c>
      <c r="DY184" s="197">
        <f t="shared" si="188"/>
        <v>0.93702399999999997</v>
      </c>
      <c r="DZ184" s="222" t="e">
        <f t="shared" si="185"/>
        <v>#N/A</v>
      </c>
      <c r="EA184" s="192">
        <f t="shared" si="186"/>
        <v>1.9370240000000001</v>
      </c>
    </row>
    <row r="185" spans="5:131" ht="11.25" customHeight="1">
      <c r="E185" s="466">
        <v>184</v>
      </c>
      <c r="F185" s="474"/>
      <c r="G185" s="471"/>
      <c r="H185" s="321"/>
      <c r="I185" s="326"/>
      <c r="J185" s="30"/>
      <c r="BI185" s="621">
        <v>177</v>
      </c>
      <c r="BJ185" s="711"/>
      <c r="BK185" s="712"/>
      <c r="BL185" s="1109"/>
      <c r="BM185" s="1109"/>
      <c r="BN185" s="24"/>
      <c r="BP185" s="621">
        <v>177</v>
      </c>
      <c r="BQ185" s="711"/>
      <c r="BR185" s="712"/>
      <c r="BS185" s="1109"/>
      <c r="BT185" s="1109"/>
      <c r="BU185" s="24"/>
      <c r="BW185" s="621">
        <v>177</v>
      </c>
      <c r="BX185" s="711">
        <v>8.6999999999999993</v>
      </c>
      <c r="BY185" s="712"/>
      <c r="BZ185" s="1109"/>
      <c r="CA185" s="1109"/>
      <c r="CB185" s="24"/>
      <c r="CT185" s="16" t="e">
        <f t="shared" si="178"/>
        <v>#N/A</v>
      </c>
      <c r="CU185" s="197" t="e">
        <f t="shared" si="179"/>
        <v>#N/A</v>
      </c>
      <c r="CV185" s="197" t="e">
        <f t="shared" si="180"/>
        <v>#N/A</v>
      </c>
      <c r="CW185" s="197">
        <v>182</v>
      </c>
      <c r="CX185" s="197" t="str">
        <f t="shared" si="174"/>
        <v/>
      </c>
      <c r="CY185" s="197" t="e">
        <f t="shared" si="175"/>
        <v>#N/A</v>
      </c>
      <c r="CZ185" s="197" t="e">
        <f t="shared" si="176"/>
        <v>#N/A</v>
      </c>
      <c r="DA185" s="197" t="str">
        <f t="shared" si="181"/>
        <v/>
      </c>
      <c r="DB185" s="16" t="e">
        <f t="shared" si="177"/>
        <v>#N/A</v>
      </c>
      <c r="DC185" s="16" t="e">
        <f>IF(ISNUMBER(CX185),COUNTIF($DB$4:DB185,DB185)-1,NA())</f>
        <v>#N/A</v>
      </c>
      <c r="DP185" s="16">
        <f t="shared" si="182"/>
        <v>0.67269572615623474</v>
      </c>
      <c r="DQ185" s="16">
        <v>183</v>
      </c>
      <c r="DR185" s="16">
        <f t="shared" si="169"/>
        <v>54.5</v>
      </c>
      <c r="DS185" s="16">
        <f t="shared" si="170"/>
        <v>2.59992632776328</v>
      </c>
      <c r="DT185" s="16">
        <f t="shared" si="171"/>
        <v>49.1</v>
      </c>
      <c r="DU185" s="16">
        <f t="shared" si="172"/>
        <v>50.9</v>
      </c>
      <c r="DV185" s="16">
        <f t="shared" si="173"/>
        <v>56</v>
      </c>
      <c r="DX185" s="197">
        <f t="shared" si="187"/>
        <v>2.5752269841269957</v>
      </c>
      <c r="DY185" s="197">
        <f t="shared" si="188"/>
        <v>0.93702399999999997</v>
      </c>
      <c r="DZ185" s="222" t="e">
        <f t="shared" si="185"/>
        <v>#N/A</v>
      </c>
      <c r="EA185" s="192">
        <f t="shared" si="186"/>
        <v>1.9370240000000001</v>
      </c>
    </row>
    <row r="186" spans="5:131" ht="11.25" customHeight="1">
      <c r="E186" s="466">
        <v>185</v>
      </c>
      <c r="F186" s="474"/>
      <c r="G186" s="471"/>
      <c r="H186" s="321"/>
      <c r="I186" s="326"/>
      <c r="J186" s="30"/>
      <c r="BI186" s="621">
        <v>178</v>
      </c>
      <c r="BJ186" s="711"/>
      <c r="BK186" s="712"/>
      <c r="BL186" s="1109"/>
      <c r="BM186" s="1109"/>
      <c r="BN186" s="24"/>
      <c r="BP186" s="621">
        <v>178</v>
      </c>
      <c r="BQ186" s="711"/>
      <c r="BR186" s="712"/>
      <c r="BS186" s="1109"/>
      <c r="BT186" s="1109"/>
      <c r="BU186" s="24"/>
      <c r="BW186" s="621">
        <v>178</v>
      </c>
      <c r="BX186" s="711">
        <v>8</v>
      </c>
      <c r="BY186" s="712"/>
      <c r="BZ186" s="1109"/>
      <c r="CA186" s="1109"/>
      <c r="CB186" s="24"/>
      <c r="CT186" s="16" t="e">
        <f t="shared" si="178"/>
        <v>#N/A</v>
      </c>
      <c r="CU186" s="197" t="e">
        <f t="shared" si="179"/>
        <v>#N/A</v>
      </c>
      <c r="CV186" s="197" t="e">
        <f t="shared" si="180"/>
        <v>#N/A</v>
      </c>
      <c r="CW186" s="197">
        <v>183</v>
      </c>
      <c r="CX186" s="197" t="str">
        <f t="shared" si="174"/>
        <v/>
      </c>
      <c r="CY186" s="197" t="e">
        <f t="shared" si="175"/>
        <v>#N/A</v>
      </c>
      <c r="CZ186" s="197" t="e">
        <f t="shared" si="176"/>
        <v>#N/A</v>
      </c>
      <c r="DA186" s="197" t="str">
        <f t="shared" si="181"/>
        <v/>
      </c>
      <c r="DB186" s="16" t="e">
        <f t="shared" si="177"/>
        <v>#N/A</v>
      </c>
      <c r="DC186" s="16" t="e">
        <f>IF(ISNUMBER(CX186),COUNTIF($DB$4:DB186,DB186)-1,NA())</f>
        <v>#N/A</v>
      </c>
      <c r="DP186" s="16">
        <f t="shared" si="182"/>
        <v>6.6067874431610107E-3</v>
      </c>
      <c r="DQ186" s="16">
        <v>184</v>
      </c>
      <c r="DR186" s="16">
        <f t="shared" si="169"/>
        <v>25.2</v>
      </c>
      <c r="DS186" s="16">
        <f t="shared" si="170"/>
        <v>0.55219552884470802</v>
      </c>
      <c r="DT186" s="16">
        <f t="shared" si="171"/>
        <v>60.8</v>
      </c>
      <c r="DU186" s="16">
        <f t="shared" si="172"/>
        <v>39.200000000000003</v>
      </c>
      <c r="DV186" s="16">
        <f t="shared" si="173"/>
        <v>32.9</v>
      </c>
      <c r="DX186" s="197">
        <f t="shared" si="187"/>
        <v>2.5887518518518635</v>
      </c>
      <c r="DY186" s="197">
        <f t="shared" si="188"/>
        <v>0.93702399999999997</v>
      </c>
      <c r="DZ186" s="222" t="e">
        <f t="shared" si="185"/>
        <v>#N/A</v>
      </c>
      <c r="EA186" s="192">
        <f t="shared" si="186"/>
        <v>1.9370240000000001</v>
      </c>
    </row>
    <row r="187" spans="5:131" ht="11.25" customHeight="1">
      <c r="E187" s="466">
        <v>186</v>
      </c>
      <c r="F187" s="474"/>
      <c r="G187" s="471"/>
      <c r="H187" s="321"/>
      <c r="I187" s="326"/>
      <c r="J187" s="30"/>
      <c r="BI187" s="621">
        <v>179</v>
      </c>
      <c r="BJ187" s="711"/>
      <c r="BK187" s="712"/>
      <c r="BL187" s="1109"/>
      <c r="BM187" s="1109"/>
      <c r="BN187" s="24"/>
      <c r="BP187" s="621">
        <v>179</v>
      </c>
      <c r="BQ187" s="711"/>
      <c r="BR187" s="712"/>
      <c r="BS187" s="1109"/>
      <c r="BT187" s="1109"/>
      <c r="BU187" s="24"/>
      <c r="BW187" s="621">
        <v>179</v>
      </c>
      <c r="BX187" s="711">
        <v>11.3</v>
      </c>
      <c r="BY187" s="712"/>
      <c r="BZ187" s="1109"/>
      <c r="CA187" s="1109"/>
      <c r="CB187" s="24"/>
      <c r="CT187" s="16" t="e">
        <f t="shared" si="178"/>
        <v>#N/A</v>
      </c>
      <c r="CU187" s="197" t="e">
        <f t="shared" si="179"/>
        <v>#N/A</v>
      </c>
      <c r="CV187" s="197" t="e">
        <f t="shared" si="180"/>
        <v>#N/A</v>
      </c>
      <c r="CW187" s="197">
        <v>184</v>
      </c>
      <c r="CX187" s="197" t="str">
        <f t="shared" si="174"/>
        <v/>
      </c>
      <c r="CY187" s="197" t="e">
        <f t="shared" si="175"/>
        <v>#N/A</v>
      </c>
      <c r="CZ187" s="197" t="e">
        <f t="shared" si="176"/>
        <v>#N/A</v>
      </c>
      <c r="DA187" s="197" t="str">
        <f t="shared" si="181"/>
        <v/>
      </c>
      <c r="DB187" s="16" t="e">
        <f t="shared" si="177"/>
        <v>#N/A</v>
      </c>
      <c r="DC187" s="16" t="e">
        <f>IF(ISNUMBER(CX187),COUNTIF($DB$4:DB187,DB187)-1,NA())</f>
        <v>#N/A</v>
      </c>
      <c r="DP187" s="16">
        <f t="shared" si="182"/>
        <v>0.96031984686851501</v>
      </c>
      <c r="DQ187" s="16">
        <v>185</v>
      </c>
      <c r="DR187" s="16">
        <f t="shared" si="169"/>
        <v>67.5</v>
      </c>
      <c r="DS187" s="16">
        <f t="shared" si="170"/>
        <v>3.5148548127770827</v>
      </c>
      <c r="DT187" s="16">
        <f t="shared" si="171"/>
        <v>29</v>
      </c>
      <c r="DU187" s="16">
        <f t="shared" si="172"/>
        <v>71</v>
      </c>
      <c r="DV187" s="16">
        <f t="shared" si="173"/>
        <v>65.900000000000006</v>
      </c>
      <c r="DX187" s="197">
        <f t="shared" si="187"/>
        <v>2.6022767195767313</v>
      </c>
      <c r="DY187" s="197">
        <f t="shared" si="188"/>
        <v>0.93702399999999997</v>
      </c>
      <c r="DZ187" s="222" t="e">
        <f t="shared" si="185"/>
        <v>#N/A</v>
      </c>
      <c r="EA187" s="192">
        <f t="shared" si="186"/>
        <v>1.9370240000000001</v>
      </c>
    </row>
    <row r="188" spans="5:131" ht="11.25" customHeight="1">
      <c r="E188" s="466">
        <v>187</v>
      </c>
      <c r="F188" s="474"/>
      <c r="G188" s="471"/>
      <c r="H188" s="321"/>
      <c r="I188" s="326"/>
      <c r="J188" s="30"/>
      <c r="BI188" s="621">
        <v>180</v>
      </c>
      <c r="BJ188" s="711"/>
      <c r="BK188" s="712"/>
      <c r="BL188" s="1109"/>
      <c r="BM188" s="1109"/>
      <c r="BN188" s="24"/>
      <c r="BP188" s="621">
        <v>180</v>
      </c>
      <c r="BQ188" s="711"/>
      <c r="BR188" s="712"/>
      <c r="BS188" s="1109"/>
      <c r="BT188" s="1109"/>
      <c r="BU188" s="24"/>
      <c r="BW188" s="621">
        <v>180</v>
      </c>
      <c r="BX188" s="711">
        <v>8.5</v>
      </c>
      <c r="BY188" s="712"/>
      <c r="BZ188" s="1109"/>
      <c r="CA188" s="1109"/>
      <c r="CB188" s="24"/>
      <c r="CT188" s="16" t="e">
        <f t="shared" si="178"/>
        <v>#N/A</v>
      </c>
      <c r="CU188" s="197" t="e">
        <f t="shared" si="179"/>
        <v>#N/A</v>
      </c>
      <c r="CV188" s="197" t="e">
        <f t="shared" si="180"/>
        <v>#N/A</v>
      </c>
      <c r="CW188" s="197">
        <v>185</v>
      </c>
      <c r="CX188" s="197" t="str">
        <f t="shared" si="174"/>
        <v/>
      </c>
      <c r="CY188" s="197" t="e">
        <f t="shared" si="175"/>
        <v>#N/A</v>
      </c>
      <c r="CZ188" s="197" t="e">
        <f t="shared" si="176"/>
        <v>#N/A</v>
      </c>
      <c r="DA188" s="197" t="str">
        <f t="shared" si="181"/>
        <v/>
      </c>
      <c r="DB188" s="16" t="e">
        <f t="shared" si="177"/>
        <v>#N/A</v>
      </c>
      <c r="DC188" s="16" t="e">
        <f>IF(ISNUMBER(CX188),COUNTIF($DB$4:DB188,DB188)-1,NA())</f>
        <v>#N/A</v>
      </c>
      <c r="DP188" s="16">
        <f t="shared" si="182"/>
        <v>0.95284315943717957</v>
      </c>
      <c r="DQ188" s="16">
        <v>186</v>
      </c>
      <c r="DR188" s="16">
        <f t="shared" si="169"/>
        <v>66.7</v>
      </c>
      <c r="DS188" s="16">
        <f t="shared" si="170"/>
        <v>3.4579163387106147</v>
      </c>
      <c r="DT188" s="16">
        <f t="shared" si="171"/>
        <v>30.8</v>
      </c>
      <c r="DU188" s="16">
        <f t="shared" si="172"/>
        <v>69.2</v>
      </c>
      <c r="DV188" s="16">
        <f t="shared" si="173"/>
        <v>65.7</v>
      </c>
      <c r="DX188" s="197">
        <f t="shared" si="187"/>
        <v>2.6158015873015992</v>
      </c>
      <c r="DY188" s="197">
        <f t="shared" si="188"/>
        <v>0.93702399999999997</v>
      </c>
      <c r="DZ188" s="222" t="e">
        <f t="shared" si="185"/>
        <v>#N/A</v>
      </c>
      <c r="EA188" s="192">
        <f t="shared" si="186"/>
        <v>1.9370240000000001</v>
      </c>
    </row>
    <row r="189" spans="5:131" ht="11.25" customHeight="1">
      <c r="E189" s="466">
        <v>188</v>
      </c>
      <c r="F189" s="474"/>
      <c r="G189" s="471"/>
      <c r="H189" s="321"/>
      <c r="I189" s="326"/>
      <c r="J189" s="30"/>
      <c r="BI189" s="621">
        <v>181</v>
      </c>
      <c r="BJ189" s="711"/>
      <c r="BK189" s="712"/>
      <c r="BL189" s="1109"/>
      <c r="BM189" s="1109"/>
      <c r="BN189" s="24"/>
      <c r="BP189" s="621">
        <v>181</v>
      </c>
      <c r="BQ189" s="711"/>
      <c r="BR189" s="712"/>
      <c r="BS189" s="1109"/>
      <c r="BT189" s="1109"/>
      <c r="BU189" s="24"/>
      <c r="BW189" s="621">
        <v>181</v>
      </c>
      <c r="BX189" s="711">
        <v>9.1</v>
      </c>
      <c r="BY189" s="712"/>
      <c r="BZ189" s="1109"/>
      <c r="CA189" s="1109"/>
      <c r="CB189" s="24"/>
      <c r="CT189" s="16" t="e">
        <f t="shared" si="178"/>
        <v>#N/A</v>
      </c>
      <c r="CU189" s="197" t="e">
        <f t="shared" si="179"/>
        <v>#N/A</v>
      </c>
      <c r="CV189" s="197" t="e">
        <f t="shared" si="180"/>
        <v>#N/A</v>
      </c>
      <c r="CW189" s="197">
        <v>186</v>
      </c>
      <c r="CX189" s="197" t="str">
        <f t="shared" si="174"/>
        <v/>
      </c>
      <c r="CY189" s="197" t="e">
        <f t="shared" si="175"/>
        <v>#N/A</v>
      </c>
      <c r="CZ189" s="197" t="e">
        <f t="shared" si="176"/>
        <v>#N/A</v>
      </c>
      <c r="DA189" s="197" t="str">
        <f t="shared" si="181"/>
        <v/>
      </c>
      <c r="DB189" s="16" t="e">
        <f t="shared" si="177"/>
        <v>#N/A</v>
      </c>
      <c r="DC189" s="16" t="e">
        <f>IF(ISNUMBER(CX189),COUNTIF($DB$4:DB189,DB189)-1,NA())</f>
        <v>#N/A</v>
      </c>
      <c r="DP189" s="16">
        <f t="shared" si="182"/>
        <v>0.98133286833763123</v>
      </c>
      <c r="DQ189" s="16">
        <v>187</v>
      </c>
      <c r="DR189" s="16">
        <f t="shared" si="169"/>
        <v>70.8</v>
      </c>
      <c r="DS189" s="16">
        <f t="shared" si="170"/>
        <v>3.7442308201774543</v>
      </c>
      <c r="DT189" s="16">
        <f t="shared" si="171"/>
        <v>20.3</v>
      </c>
      <c r="DU189" s="16">
        <f t="shared" si="172"/>
        <v>79.7</v>
      </c>
      <c r="DV189" s="16">
        <f t="shared" si="173"/>
        <v>66.7</v>
      </c>
      <c r="DX189" s="197">
        <f t="shared" si="187"/>
        <v>2.629326455026467</v>
      </c>
      <c r="DY189" s="197">
        <f t="shared" si="188"/>
        <v>0.93702399999999997</v>
      </c>
      <c r="DZ189" s="222" t="e">
        <f t="shared" si="185"/>
        <v>#N/A</v>
      </c>
      <c r="EA189" s="192">
        <f t="shared" si="186"/>
        <v>1.9370240000000001</v>
      </c>
    </row>
    <row r="190" spans="5:131" ht="11.25" customHeight="1">
      <c r="E190" s="466">
        <v>189</v>
      </c>
      <c r="F190" s="474"/>
      <c r="G190" s="471"/>
      <c r="H190" s="321"/>
      <c r="I190" s="326"/>
      <c r="J190" s="30"/>
      <c r="BI190" s="621">
        <v>182</v>
      </c>
      <c r="BJ190" s="711"/>
      <c r="BK190" s="712"/>
      <c r="BL190" s="1109"/>
      <c r="BM190" s="1109"/>
      <c r="BN190" s="24"/>
      <c r="BP190" s="621">
        <v>182</v>
      </c>
      <c r="BQ190" s="711"/>
      <c r="BR190" s="712"/>
      <c r="BS190" s="1109"/>
      <c r="BT190" s="1109"/>
      <c r="BU190" s="24"/>
      <c r="BW190" s="621">
        <v>182</v>
      </c>
      <c r="BX190" s="711">
        <v>4.5</v>
      </c>
      <c r="BY190" s="712"/>
      <c r="BZ190" s="1109"/>
      <c r="CA190" s="1109"/>
      <c r="CB190" s="24"/>
      <c r="CT190" s="16" t="e">
        <f t="shared" si="178"/>
        <v>#N/A</v>
      </c>
      <c r="CU190" s="197" t="e">
        <f t="shared" si="179"/>
        <v>#N/A</v>
      </c>
      <c r="CV190" s="197" t="e">
        <f t="shared" si="180"/>
        <v>#N/A</v>
      </c>
      <c r="CW190" s="197">
        <v>187</v>
      </c>
      <c r="CX190" s="197" t="str">
        <f t="shared" si="174"/>
        <v/>
      </c>
      <c r="CY190" s="197" t="e">
        <f t="shared" si="175"/>
        <v>#N/A</v>
      </c>
      <c r="CZ190" s="197" t="e">
        <f t="shared" si="176"/>
        <v>#N/A</v>
      </c>
      <c r="DA190" s="197" t="str">
        <f t="shared" si="181"/>
        <v/>
      </c>
      <c r="DB190" s="16" t="e">
        <f t="shared" si="177"/>
        <v>#N/A</v>
      </c>
      <c r="DC190" s="16" t="e">
        <f>IF(ISNUMBER(CX190),COUNTIF($DB$4:DB190,DB190)-1,NA())</f>
        <v>#N/A</v>
      </c>
      <c r="DP190" s="16">
        <f t="shared" si="182"/>
        <v>0.44070360064506531</v>
      </c>
      <c r="DQ190" s="16">
        <v>188</v>
      </c>
      <c r="DR190" s="16">
        <f t="shared" si="169"/>
        <v>48.5</v>
      </c>
      <c r="DS190" s="16">
        <f t="shared" si="170"/>
        <v>2.1823380207473937</v>
      </c>
      <c r="DT190" s="16">
        <f t="shared" si="171"/>
        <v>53.7</v>
      </c>
      <c r="DU190" s="16">
        <f t="shared" si="172"/>
        <v>46.3</v>
      </c>
      <c r="DV190" s="16">
        <f t="shared" si="173"/>
        <v>47.9</v>
      </c>
      <c r="DX190" s="197">
        <f t="shared" si="187"/>
        <v>2.6428513227513348</v>
      </c>
      <c r="DY190" s="197">
        <f t="shared" si="188"/>
        <v>0.93702399999999997</v>
      </c>
      <c r="DZ190" s="222" t="e">
        <f t="shared" si="185"/>
        <v>#N/A</v>
      </c>
      <c r="EA190" s="192">
        <f t="shared" si="186"/>
        <v>1.9370240000000001</v>
      </c>
    </row>
    <row r="191" spans="5:131" ht="11.25" customHeight="1">
      <c r="E191" s="466">
        <v>190</v>
      </c>
      <c r="F191" s="474"/>
      <c r="G191" s="471"/>
      <c r="H191" s="321"/>
      <c r="I191" s="326"/>
      <c r="J191" s="30"/>
      <c r="BI191" s="621">
        <v>183</v>
      </c>
      <c r="BJ191" s="711"/>
      <c r="BK191" s="712"/>
      <c r="BL191" s="1109"/>
      <c r="BM191" s="1109"/>
      <c r="BN191" s="24"/>
      <c r="BP191" s="621">
        <v>183</v>
      </c>
      <c r="BQ191" s="711"/>
      <c r="BR191" s="712"/>
      <c r="BS191" s="1109"/>
      <c r="BT191" s="1109"/>
      <c r="BU191" s="24"/>
      <c r="BW191" s="621">
        <v>183</v>
      </c>
      <c r="BX191" s="711">
        <v>9.1999999999999993</v>
      </c>
      <c r="BY191" s="712"/>
      <c r="BZ191" s="1109"/>
      <c r="CA191" s="1109"/>
      <c r="CB191" s="24"/>
      <c r="CT191" s="16" t="e">
        <f t="shared" si="178"/>
        <v>#N/A</v>
      </c>
      <c r="CU191" s="197" t="e">
        <f t="shared" si="179"/>
        <v>#N/A</v>
      </c>
      <c r="CV191" s="197" t="e">
        <f t="shared" si="180"/>
        <v>#N/A</v>
      </c>
      <c r="CW191" s="197">
        <v>188</v>
      </c>
      <c r="CX191" s="197" t="str">
        <f t="shared" si="174"/>
        <v/>
      </c>
      <c r="CY191" s="197" t="e">
        <f t="shared" si="175"/>
        <v>#N/A</v>
      </c>
      <c r="CZ191" s="197" t="e">
        <f t="shared" si="176"/>
        <v>#N/A</v>
      </c>
      <c r="DA191" s="197" t="str">
        <f t="shared" si="181"/>
        <v/>
      </c>
      <c r="DB191" s="16" t="e">
        <f t="shared" si="177"/>
        <v>#N/A</v>
      </c>
      <c r="DC191" s="16" t="e">
        <f>IF(ISNUMBER(CX191),COUNTIF($DB$4:DB191,DB191)-1,NA())</f>
        <v>#N/A</v>
      </c>
      <c r="DP191" s="16">
        <f t="shared" si="182"/>
        <v>0.73559746146202087</v>
      </c>
      <c r="DQ191" s="16">
        <v>189</v>
      </c>
      <c r="DR191" s="16">
        <f t="shared" si="169"/>
        <v>56.3</v>
      </c>
      <c r="DS191" s="16">
        <f t="shared" si="170"/>
        <v>2.7276497138113567</v>
      </c>
      <c r="DT191" s="16">
        <f t="shared" si="171"/>
        <v>47.3</v>
      </c>
      <c r="DU191" s="16">
        <f t="shared" si="172"/>
        <v>52.7</v>
      </c>
      <c r="DV191" s="16">
        <f t="shared" si="173"/>
        <v>58.2</v>
      </c>
      <c r="DX191" s="197">
        <f t="shared" si="187"/>
        <v>2.6563761904762027</v>
      </c>
      <c r="DY191" s="197">
        <f t="shared" si="188"/>
        <v>0.93702399999999997</v>
      </c>
      <c r="DZ191" s="222" t="e">
        <f t="shared" si="185"/>
        <v>#N/A</v>
      </c>
      <c r="EA191" s="192">
        <f t="shared" si="186"/>
        <v>1.9370240000000001</v>
      </c>
    </row>
    <row r="192" spans="5:131" ht="11.25" customHeight="1">
      <c r="E192" s="466">
        <v>191</v>
      </c>
      <c r="F192" s="474"/>
      <c r="G192" s="471"/>
      <c r="H192" s="321"/>
      <c r="I192" s="326"/>
      <c r="J192" s="30"/>
      <c r="BI192" s="621">
        <v>184</v>
      </c>
      <c r="BJ192" s="711"/>
      <c r="BK192" s="712"/>
      <c r="BL192" s="1109"/>
      <c r="BM192" s="1109"/>
      <c r="BN192" s="24"/>
      <c r="BP192" s="621">
        <v>184</v>
      </c>
      <c r="BQ192" s="711"/>
      <c r="BR192" s="712"/>
      <c r="BS192" s="1109"/>
      <c r="BT192" s="1109"/>
      <c r="BU192" s="24"/>
      <c r="BW192" s="621">
        <v>184</v>
      </c>
      <c r="BX192" s="711">
        <v>13.3</v>
      </c>
      <c r="BY192" s="712"/>
      <c r="BZ192" s="1109"/>
      <c r="CA192" s="1109"/>
      <c r="CB192" s="24"/>
      <c r="CT192" s="16" t="e">
        <f t="shared" si="178"/>
        <v>#N/A</v>
      </c>
      <c r="CU192" s="197" t="e">
        <f t="shared" si="179"/>
        <v>#N/A</v>
      </c>
      <c r="CV192" s="197" t="e">
        <f t="shared" si="180"/>
        <v>#N/A</v>
      </c>
      <c r="CW192" s="197">
        <v>189</v>
      </c>
      <c r="CX192" s="197" t="str">
        <f t="shared" si="174"/>
        <v/>
      </c>
      <c r="CY192" s="197" t="e">
        <f t="shared" si="175"/>
        <v>#N/A</v>
      </c>
      <c r="CZ192" s="197" t="e">
        <f t="shared" si="176"/>
        <v>#N/A</v>
      </c>
      <c r="DA192" s="197" t="str">
        <f t="shared" si="181"/>
        <v/>
      </c>
      <c r="DB192" s="16" t="e">
        <f t="shared" si="177"/>
        <v>#N/A</v>
      </c>
      <c r="DC192" s="16" t="e">
        <f>IF(ISNUMBER(CX192),COUNTIF($DB$4:DB192,DB192)-1,NA())</f>
        <v>#N/A</v>
      </c>
      <c r="DP192" s="16">
        <f t="shared" si="182"/>
        <v>0.17738720774650574</v>
      </c>
      <c r="DQ192" s="16">
        <v>190</v>
      </c>
      <c r="DR192" s="16">
        <f t="shared" si="169"/>
        <v>40.700000000000003</v>
      </c>
      <c r="DS192" s="16">
        <f t="shared" si="170"/>
        <v>1.6390101855908559</v>
      </c>
      <c r="DT192" s="16">
        <f t="shared" si="171"/>
        <v>57.4</v>
      </c>
      <c r="DU192" s="16">
        <f t="shared" si="172"/>
        <v>42.6</v>
      </c>
      <c r="DV192" s="16">
        <f t="shared" si="173"/>
        <v>38.799999999999997</v>
      </c>
      <c r="DX192" s="197">
        <f t="shared" si="187"/>
        <v>2.6699010582010705</v>
      </c>
      <c r="DY192" s="197">
        <f t="shared" si="188"/>
        <v>0.93702399999999997</v>
      </c>
      <c r="DZ192" s="222" t="e">
        <f t="shared" ref="DZ192:DZ201" si="189">IF(ISNUMBER(EA$4),DZ96,NA())</f>
        <v>#N/A</v>
      </c>
      <c r="EA192" s="192">
        <f t="shared" ref="EA192:EA201" si="190">EA191</f>
        <v>1.9370240000000001</v>
      </c>
    </row>
    <row r="193" spans="5:131" ht="11.25" customHeight="1">
      <c r="E193" s="466">
        <v>192</v>
      </c>
      <c r="F193" s="474"/>
      <c r="G193" s="471"/>
      <c r="H193" s="321"/>
      <c r="I193" s="326"/>
      <c r="J193" s="30"/>
      <c r="BI193" s="621">
        <v>185</v>
      </c>
      <c r="BJ193" s="711"/>
      <c r="BK193" s="712"/>
      <c r="BL193" s="1109"/>
      <c r="BM193" s="1109"/>
      <c r="BN193" s="24"/>
      <c r="BP193" s="621">
        <v>185</v>
      </c>
      <c r="BQ193" s="711"/>
      <c r="BR193" s="712"/>
      <c r="BS193" s="1109"/>
      <c r="BT193" s="1109"/>
      <c r="BU193" s="24"/>
      <c r="BW193" s="621">
        <v>185</v>
      </c>
      <c r="BX193" s="711">
        <v>18.3</v>
      </c>
      <c r="BY193" s="712"/>
      <c r="BZ193" s="1109"/>
      <c r="CA193" s="1109"/>
      <c r="CB193" s="24"/>
      <c r="CT193" s="16" t="e">
        <f t="shared" si="178"/>
        <v>#N/A</v>
      </c>
      <c r="CU193" s="197" t="e">
        <f t="shared" si="179"/>
        <v>#N/A</v>
      </c>
      <c r="CV193" s="197" t="e">
        <f t="shared" si="180"/>
        <v>#N/A</v>
      </c>
      <c r="CW193" s="197">
        <v>190</v>
      </c>
      <c r="CX193" s="197" t="str">
        <f t="shared" si="174"/>
        <v/>
      </c>
      <c r="CY193" s="197" t="e">
        <f t="shared" si="175"/>
        <v>#N/A</v>
      </c>
      <c r="CZ193" s="197" t="e">
        <f t="shared" si="176"/>
        <v>#N/A</v>
      </c>
      <c r="DA193" s="197" t="str">
        <f t="shared" si="181"/>
        <v/>
      </c>
      <c r="DB193" s="16" t="e">
        <f t="shared" si="177"/>
        <v>#N/A</v>
      </c>
      <c r="DC193" s="16" t="e">
        <f>IF(ISNUMBER(CX193),COUNTIF($DB$4:DB193,DB193)-1,NA())</f>
        <v>#N/A</v>
      </c>
      <c r="DP193" s="16">
        <f t="shared" si="182"/>
        <v>0.38349875807762146</v>
      </c>
      <c r="DQ193" s="16">
        <v>191</v>
      </c>
      <c r="DR193" s="16">
        <f t="shared" si="169"/>
        <v>47</v>
      </c>
      <c r="DS193" s="16">
        <f t="shared" si="170"/>
        <v>2.0793547432357951</v>
      </c>
      <c r="DT193" s="16">
        <f t="shared" si="171"/>
        <v>54.6</v>
      </c>
      <c r="DU193" s="16">
        <f t="shared" si="172"/>
        <v>45.4</v>
      </c>
      <c r="DV193" s="16">
        <f t="shared" si="173"/>
        <v>46</v>
      </c>
      <c r="DX193" s="197">
        <f t="shared" si="187"/>
        <v>2.6834259259259383</v>
      </c>
      <c r="DY193" s="197">
        <f t="shared" si="188"/>
        <v>0.93702399999999997</v>
      </c>
      <c r="DZ193" s="222" t="e">
        <f t="shared" si="189"/>
        <v>#N/A</v>
      </c>
      <c r="EA193" s="192">
        <f t="shared" si="190"/>
        <v>1.9370240000000001</v>
      </c>
    </row>
    <row r="194" spans="5:131" ht="11.25" customHeight="1">
      <c r="E194" s="466">
        <v>193</v>
      </c>
      <c r="F194" s="474"/>
      <c r="G194" s="471"/>
      <c r="H194" s="321"/>
      <c r="I194" s="326"/>
      <c r="J194" s="30"/>
      <c r="BI194" s="621">
        <v>186</v>
      </c>
      <c r="BJ194" s="711"/>
      <c r="BK194" s="712"/>
      <c r="BL194" s="1109"/>
      <c r="BM194" s="1109"/>
      <c r="BN194" s="24"/>
      <c r="BP194" s="621">
        <v>186</v>
      </c>
      <c r="BQ194" s="711"/>
      <c r="BR194" s="712"/>
      <c r="BS194" s="1109"/>
      <c r="BT194" s="1109"/>
      <c r="BU194" s="24"/>
      <c r="BW194" s="621">
        <v>186</v>
      </c>
      <c r="BX194" s="711">
        <v>2.8</v>
      </c>
      <c r="BY194" s="712"/>
      <c r="BZ194" s="1109"/>
      <c r="CA194" s="1109"/>
      <c r="CB194" s="24"/>
      <c r="CT194" s="16" t="e">
        <f t="shared" si="178"/>
        <v>#N/A</v>
      </c>
      <c r="CU194" s="197" t="e">
        <f t="shared" si="179"/>
        <v>#N/A</v>
      </c>
      <c r="CV194" s="197" t="e">
        <f t="shared" si="180"/>
        <v>#N/A</v>
      </c>
      <c r="CW194" s="197">
        <v>191</v>
      </c>
      <c r="CX194" s="197" t="str">
        <f t="shared" si="174"/>
        <v/>
      </c>
      <c r="CY194" s="197" t="e">
        <f t="shared" si="175"/>
        <v>#N/A</v>
      </c>
      <c r="CZ194" s="197" t="e">
        <f t="shared" si="176"/>
        <v>#N/A</v>
      </c>
      <c r="DA194" s="197" t="str">
        <f t="shared" si="181"/>
        <v/>
      </c>
      <c r="DB194" s="16" t="e">
        <f t="shared" si="177"/>
        <v>#N/A</v>
      </c>
      <c r="DC194" s="16" t="e">
        <f>IF(ISNUMBER(CX194),COUNTIF($DB$4:DB194,DB194)-1,NA())</f>
        <v>#N/A</v>
      </c>
      <c r="DP194" s="16">
        <f t="shared" si="182"/>
        <v>0.56626006960868835</v>
      </c>
      <c r="DQ194" s="16">
        <v>192</v>
      </c>
      <c r="DR194" s="16">
        <f t="shared" si="169"/>
        <v>51.7</v>
      </c>
      <c r="DS194" s="16">
        <f t="shared" si="170"/>
        <v>2.4035702321476884</v>
      </c>
      <c r="DT194" s="16">
        <f t="shared" si="171"/>
        <v>51.5</v>
      </c>
      <c r="DU194" s="16">
        <f t="shared" si="172"/>
        <v>48.5</v>
      </c>
      <c r="DV194" s="16">
        <f t="shared" si="173"/>
        <v>52.3</v>
      </c>
      <c r="DX194" s="197">
        <f t="shared" si="187"/>
        <v>2.6969507936508061</v>
      </c>
      <c r="DY194" s="197">
        <f t="shared" si="188"/>
        <v>0.93702399999999997</v>
      </c>
      <c r="DZ194" s="222" t="e">
        <f t="shared" si="189"/>
        <v>#N/A</v>
      </c>
      <c r="EA194" s="192">
        <f t="shared" si="190"/>
        <v>1.9370240000000001</v>
      </c>
    </row>
    <row r="195" spans="5:131" ht="11.25" customHeight="1">
      <c r="E195" s="466">
        <v>194</v>
      </c>
      <c r="F195" s="474"/>
      <c r="G195" s="471"/>
      <c r="H195" s="321"/>
      <c r="I195" s="326"/>
      <c r="J195" s="30"/>
      <c r="BI195" s="621">
        <v>187</v>
      </c>
      <c r="BJ195" s="711"/>
      <c r="BK195" s="712"/>
      <c r="BL195" s="1109"/>
      <c r="BM195" s="1109"/>
      <c r="BN195" s="24"/>
      <c r="BP195" s="621">
        <v>187</v>
      </c>
      <c r="BQ195" s="711"/>
      <c r="BR195" s="712"/>
      <c r="BS195" s="1109"/>
      <c r="BT195" s="1109"/>
      <c r="BU195" s="24"/>
      <c r="BW195" s="621">
        <v>187</v>
      </c>
      <c r="BX195" s="711">
        <v>5.0999999999999996</v>
      </c>
      <c r="BY195" s="712"/>
      <c r="BZ195" s="1109"/>
      <c r="CA195" s="1109"/>
      <c r="CB195" s="24"/>
      <c r="CT195" s="16" t="e">
        <f t="shared" si="178"/>
        <v>#N/A</v>
      </c>
      <c r="CU195" s="197" t="e">
        <f t="shared" si="179"/>
        <v>#N/A</v>
      </c>
      <c r="CV195" s="197" t="e">
        <f t="shared" si="180"/>
        <v>#N/A</v>
      </c>
      <c r="CW195" s="197">
        <v>192</v>
      </c>
      <c r="CX195" s="197" t="str">
        <f t="shared" si="174"/>
        <v/>
      </c>
      <c r="CY195" s="197" t="e">
        <f t="shared" si="175"/>
        <v>#N/A</v>
      </c>
      <c r="CZ195" s="197" t="e">
        <f t="shared" si="176"/>
        <v>#N/A</v>
      </c>
      <c r="DA195" s="197" t="str">
        <f t="shared" si="181"/>
        <v/>
      </c>
      <c r="DB195" s="16" t="e">
        <f t="shared" si="177"/>
        <v>#N/A</v>
      </c>
      <c r="DC195" s="16" t="e">
        <f>IF(ISNUMBER(CX195),COUNTIF($DB$4:DB195,DB195)-1,NA())</f>
        <v>#N/A</v>
      </c>
      <c r="DP195" s="16">
        <f t="shared" si="182"/>
        <v>5.7467788457870483E-2</v>
      </c>
      <c r="DQ195" s="16">
        <v>193</v>
      </c>
      <c r="DR195" s="16">
        <f t="shared" ref="DR195:DR258" si="191">IF(DQ195&lt;=$Y$9,ROUND(NORMINV(DP195,$Y$10,$Y$11),$Y$12),"")</f>
        <v>34.200000000000003</v>
      </c>
      <c r="DS195" s="16">
        <f t="shared" ref="DS195:DS258" si="192">IF(DQ195&lt;=$Y$9,NORMINV(DP195,$DW$24,$DW$18),"")</f>
        <v>1.1832937853286971</v>
      </c>
      <c r="DT195" s="16">
        <f t="shared" ref="DT195:DT258" si="193">IF(DQ195&lt;=$Y$9,ROUND(2*$Y$10-($DW$22+EXP(DS195)),$Y$12),"")</f>
        <v>59.3</v>
      </c>
      <c r="DU195" s="16">
        <f t="shared" ref="DU195:DU258" si="194">IF(DQ195&lt;=$Y$9,ROUND($DW$22+EXP(DS195),$Y$12),"")</f>
        <v>40.700000000000003</v>
      </c>
      <c r="DV195" s="16">
        <f t="shared" ref="DV195:DV258" si="195">IF(DQ195&lt;=$Y$9,ROUND($Y$10+(DP195-0.5)*$DW$14,$Y$12),"")</f>
        <v>34.700000000000003</v>
      </c>
      <c r="DX195" s="197">
        <f t="shared" si="187"/>
        <v>2.710475661375674</v>
      </c>
      <c r="DY195" s="197">
        <f t="shared" si="188"/>
        <v>0.93702399999999997</v>
      </c>
      <c r="DZ195" s="222" t="e">
        <f t="shared" si="189"/>
        <v>#N/A</v>
      </c>
      <c r="EA195" s="192">
        <f t="shared" si="190"/>
        <v>1.9370240000000001</v>
      </c>
    </row>
    <row r="196" spans="5:131" ht="11.25" customHeight="1">
      <c r="E196" s="466">
        <v>195</v>
      </c>
      <c r="F196" s="474"/>
      <c r="G196" s="471"/>
      <c r="H196" s="321"/>
      <c r="I196" s="326"/>
      <c r="J196" s="30"/>
      <c r="BI196" s="621">
        <v>188</v>
      </c>
      <c r="BJ196" s="711"/>
      <c r="BK196" s="712"/>
      <c r="BL196" s="1109"/>
      <c r="BM196" s="1109"/>
      <c r="BN196" s="24"/>
      <c r="BP196" s="621">
        <v>188</v>
      </c>
      <c r="BQ196" s="711"/>
      <c r="BR196" s="712"/>
      <c r="BS196" s="1109"/>
      <c r="BT196" s="1109"/>
      <c r="BU196" s="24"/>
      <c r="BW196" s="621">
        <v>188</v>
      </c>
      <c r="BX196" s="711">
        <v>12.4</v>
      </c>
      <c r="BY196" s="712"/>
      <c r="BZ196" s="1109"/>
      <c r="CA196" s="1109"/>
      <c r="CB196" s="24"/>
      <c r="CT196" s="16" t="e">
        <f t="shared" si="178"/>
        <v>#N/A</v>
      </c>
      <c r="CU196" s="197" t="e">
        <f t="shared" si="179"/>
        <v>#N/A</v>
      </c>
      <c r="CV196" s="197" t="e">
        <f t="shared" si="180"/>
        <v>#N/A</v>
      </c>
      <c r="CW196" s="197">
        <v>193</v>
      </c>
      <c r="CX196" s="197" t="str">
        <f t="shared" ref="CX196:CX259" si="196">IF($C$14&gt;=CW196,SMALL(data300x,CW196),"")</f>
        <v/>
      </c>
      <c r="CY196" s="197" t="e">
        <f t="shared" ref="CY196:CY259" si="197">IF(ISNUMBER(CX196),IF($Y$14,IF($CS$34,Xl+DB196*xinc,CX196),CX196),NA())</f>
        <v>#N/A</v>
      </c>
      <c r="CZ196" s="197" t="e">
        <f t="shared" ref="CZ196:CZ259" si="198">IF(ISNUMBER(CX196),IF($Y$14,$DC$2*DC196*yinc,0)+yinc/2,NA())</f>
        <v>#N/A</v>
      </c>
      <c r="DA196" s="197" t="str">
        <f t="shared" si="181"/>
        <v/>
      </c>
      <c r="DB196" s="16" t="e">
        <f t="shared" ref="DB196:DB259" si="199">IF(ISNUMBER(CX196),ROUND((CX196-Xl)/xinc,0),NA())</f>
        <v>#N/A</v>
      </c>
      <c r="DC196" s="16" t="e">
        <f>IF(ISNUMBER(CX196),COUNTIF($DB$4:DB196,DB196)-1,NA())</f>
        <v>#N/A</v>
      </c>
      <c r="DP196" s="16">
        <f t="shared" si="182"/>
        <v>0.63165995478630066</v>
      </c>
      <c r="DQ196" s="16">
        <v>194</v>
      </c>
      <c r="DR196" s="16">
        <f t="shared" si="191"/>
        <v>53.4</v>
      </c>
      <c r="DS196" s="16">
        <f t="shared" si="192"/>
        <v>2.522145022648516</v>
      </c>
      <c r="DT196" s="16">
        <f t="shared" si="193"/>
        <v>50.1</v>
      </c>
      <c r="DU196" s="16">
        <f t="shared" si="194"/>
        <v>49.9</v>
      </c>
      <c r="DV196" s="16">
        <f t="shared" si="195"/>
        <v>54.6</v>
      </c>
      <c r="DX196" s="197">
        <f t="shared" si="187"/>
        <v>2.7240005291005418</v>
      </c>
      <c r="DY196" s="197">
        <f t="shared" si="188"/>
        <v>0.93702399999999997</v>
      </c>
      <c r="DZ196" s="222" t="e">
        <f t="shared" si="189"/>
        <v>#N/A</v>
      </c>
      <c r="EA196" s="192">
        <f t="shared" si="190"/>
        <v>1.9370240000000001</v>
      </c>
    </row>
    <row r="197" spans="5:131" ht="11.25" customHeight="1">
      <c r="E197" s="466">
        <v>196</v>
      </c>
      <c r="F197" s="474"/>
      <c r="G197" s="471"/>
      <c r="H197" s="321"/>
      <c r="I197" s="326"/>
      <c r="J197" s="30"/>
      <c r="BI197" s="621">
        <v>189</v>
      </c>
      <c r="BJ197" s="711"/>
      <c r="BK197" s="712"/>
      <c r="BL197" s="1109"/>
      <c r="BM197" s="1109"/>
      <c r="BN197" s="24"/>
      <c r="BP197" s="621">
        <v>189</v>
      </c>
      <c r="BQ197" s="711"/>
      <c r="BR197" s="712"/>
      <c r="BS197" s="1109"/>
      <c r="BT197" s="1109"/>
      <c r="BU197" s="24"/>
      <c r="BW197" s="621">
        <v>189</v>
      </c>
      <c r="BX197" s="711">
        <v>12.1</v>
      </c>
      <c r="BY197" s="712"/>
      <c r="BZ197" s="1109"/>
      <c r="CA197" s="1109"/>
      <c r="CB197" s="24"/>
      <c r="CT197" s="16" t="e">
        <f t="shared" ref="CT197:CT260" si="200">IF($CV$1&gt;CX197,CW197,"")</f>
        <v>#N/A</v>
      </c>
      <c r="CU197" s="197" t="e">
        <f t="shared" ref="CU197:CU260" si="201">IF($CV$1&gt;CX197,CY197,NA())</f>
        <v>#N/A</v>
      </c>
      <c r="CV197" s="197" t="e">
        <f t="shared" ref="CV197:CV260" si="202">IF($CV$1&gt;CX197,CZ197,NA())</f>
        <v>#N/A</v>
      </c>
      <c r="CW197" s="197">
        <v>194</v>
      </c>
      <c r="CX197" s="197" t="str">
        <f t="shared" si="196"/>
        <v/>
      </c>
      <c r="CY197" s="197" t="e">
        <f t="shared" si="197"/>
        <v>#N/A</v>
      </c>
      <c r="CZ197" s="197" t="e">
        <f t="shared" si="198"/>
        <v>#N/A</v>
      </c>
      <c r="DA197" s="197" t="str">
        <f t="shared" ref="DA197:DA260" si="203">IF(ISNUMBER(CX197),IF($Y$14,DC197*yinc,0)+yinc/2,"")</f>
        <v/>
      </c>
      <c r="DB197" s="16" t="e">
        <f t="shared" si="199"/>
        <v>#N/A</v>
      </c>
      <c r="DC197" s="16" t="e">
        <f>IF(ISNUMBER(CX197),COUNTIF($DB$4:DB197,DB197)-1,NA())</f>
        <v>#N/A</v>
      </c>
      <c r="DP197" s="16">
        <f t="shared" ref="DP197:DP260" si="204">MOD(DP196*10000013,1)</f>
        <v>0.75944241881370544</v>
      </c>
      <c r="DQ197" s="16">
        <v>195</v>
      </c>
      <c r="DR197" s="16">
        <f t="shared" si="191"/>
        <v>57</v>
      </c>
      <c r="DS197" s="16">
        <f t="shared" si="192"/>
        <v>2.7799249940583817</v>
      </c>
      <c r="DT197" s="16">
        <f t="shared" si="193"/>
        <v>46.5</v>
      </c>
      <c r="DU197" s="16">
        <f t="shared" si="194"/>
        <v>53.5</v>
      </c>
      <c r="DV197" s="16">
        <f t="shared" si="195"/>
        <v>59</v>
      </c>
      <c r="DX197" s="197">
        <f t="shared" si="187"/>
        <v>2.7375253968254096</v>
      </c>
      <c r="DY197" s="197">
        <f t="shared" si="188"/>
        <v>0.93702399999999997</v>
      </c>
      <c r="DZ197" s="222" t="e">
        <f t="shared" si="189"/>
        <v>#N/A</v>
      </c>
      <c r="EA197" s="192">
        <f t="shared" si="190"/>
        <v>1.9370240000000001</v>
      </c>
    </row>
    <row r="198" spans="5:131" ht="11.25" customHeight="1">
      <c r="E198" s="466">
        <v>197</v>
      </c>
      <c r="F198" s="474"/>
      <c r="G198" s="471"/>
      <c r="H198" s="321"/>
      <c r="I198" s="326"/>
      <c r="J198" s="30"/>
      <c r="BI198" s="621">
        <v>190</v>
      </c>
      <c r="BJ198" s="711"/>
      <c r="BK198" s="712"/>
      <c r="BL198" s="1109"/>
      <c r="BM198" s="1109"/>
      <c r="BN198" s="24"/>
      <c r="BP198" s="621">
        <v>190</v>
      </c>
      <c r="BQ198" s="711"/>
      <c r="BR198" s="712"/>
      <c r="BS198" s="1109"/>
      <c r="BT198" s="1109"/>
      <c r="BU198" s="24"/>
      <c r="BW198" s="621">
        <v>190</v>
      </c>
      <c r="BX198" s="711">
        <v>6.5</v>
      </c>
      <c r="BY198" s="712"/>
      <c r="BZ198" s="1109"/>
      <c r="CA198" s="1109"/>
      <c r="CB198" s="24"/>
      <c r="CT198" s="16" t="e">
        <f t="shared" si="200"/>
        <v>#N/A</v>
      </c>
      <c r="CU198" s="197" t="e">
        <f t="shared" si="201"/>
        <v>#N/A</v>
      </c>
      <c r="CV198" s="197" t="e">
        <f t="shared" si="202"/>
        <v>#N/A</v>
      </c>
      <c r="CW198" s="197">
        <v>195</v>
      </c>
      <c r="CX198" s="197" t="str">
        <f t="shared" si="196"/>
        <v/>
      </c>
      <c r="CY198" s="197" t="e">
        <f t="shared" si="197"/>
        <v>#N/A</v>
      </c>
      <c r="CZ198" s="197" t="e">
        <f t="shared" si="198"/>
        <v>#N/A</v>
      </c>
      <c r="DA198" s="197" t="str">
        <f t="shared" si="203"/>
        <v/>
      </c>
      <c r="DB198" s="16" t="e">
        <f t="shared" si="199"/>
        <v>#N/A</v>
      </c>
      <c r="DC198" s="16" t="e">
        <f>IF(ISNUMBER(CX198),COUNTIF($DB$4:DB198,DB198)-1,NA())</f>
        <v>#N/A</v>
      </c>
      <c r="DP198" s="16">
        <f t="shared" si="204"/>
        <v>6.0888499021530151E-2</v>
      </c>
      <c r="DQ198" s="16">
        <v>196</v>
      </c>
      <c r="DR198" s="16">
        <f t="shared" si="191"/>
        <v>34.5</v>
      </c>
      <c r="DS198" s="16">
        <f t="shared" si="192"/>
        <v>1.2036174838201372</v>
      </c>
      <c r="DT198" s="16">
        <f t="shared" si="193"/>
        <v>59.2</v>
      </c>
      <c r="DU198" s="16">
        <f t="shared" si="194"/>
        <v>40.799999999999997</v>
      </c>
      <c r="DV198" s="16">
        <f t="shared" si="195"/>
        <v>34.799999999999997</v>
      </c>
      <c r="DX198" s="197">
        <f t="shared" si="187"/>
        <v>2.7510502645502775</v>
      </c>
      <c r="DY198" s="197">
        <f t="shared" si="188"/>
        <v>0.93702399999999997</v>
      </c>
      <c r="DZ198" s="222" t="e">
        <f t="shared" si="189"/>
        <v>#N/A</v>
      </c>
      <c r="EA198" s="192">
        <f t="shared" si="190"/>
        <v>1.9370240000000001</v>
      </c>
    </row>
    <row r="199" spans="5:131" ht="11.25" customHeight="1">
      <c r="E199" s="466">
        <v>198</v>
      </c>
      <c r="F199" s="474"/>
      <c r="G199" s="471"/>
      <c r="H199" s="321"/>
      <c r="I199" s="326"/>
      <c r="J199" s="30"/>
      <c r="BI199" s="621">
        <v>191</v>
      </c>
      <c r="BJ199" s="711"/>
      <c r="BK199" s="712"/>
      <c r="BL199" s="1109"/>
      <c r="BM199" s="1109"/>
      <c r="BN199" s="24"/>
      <c r="BP199" s="621">
        <v>191</v>
      </c>
      <c r="BQ199" s="711"/>
      <c r="BR199" s="712"/>
      <c r="BS199" s="1109"/>
      <c r="BT199" s="1109"/>
      <c r="BU199" s="24"/>
      <c r="BW199" s="621">
        <v>191</v>
      </c>
      <c r="BX199" s="711">
        <v>8.1</v>
      </c>
      <c r="BY199" s="712"/>
      <c r="BZ199" s="1109"/>
      <c r="CA199" s="1109"/>
      <c r="CB199" s="24"/>
      <c r="CT199" s="16" t="e">
        <f t="shared" si="200"/>
        <v>#N/A</v>
      </c>
      <c r="CU199" s="197" t="e">
        <f t="shared" si="201"/>
        <v>#N/A</v>
      </c>
      <c r="CV199" s="197" t="e">
        <f t="shared" si="202"/>
        <v>#N/A</v>
      </c>
      <c r="CW199" s="197">
        <v>196</v>
      </c>
      <c r="CX199" s="197" t="str">
        <f t="shared" si="196"/>
        <v/>
      </c>
      <c r="CY199" s="197" t="e">
        <f t="shared" si="197"/>
        <v>#N/A</v>
      </c>
      <c r="CZ199" s="197" t="e">
        <f t="shared" si="198"/>
        <v>#N/A</v>
      </c>
      <c r="DA199" s="197" t="str">
        <f t="shared" si="203"/>
        <v/>
      </c>
      <c r="DB199" s="16" t="e">
        <f t="shared" si="199"/>
        <v>#N/A</v>
      </c>
      <c r="DC199" s="16" t="e">
        <f>IF(ISNUMBER(CX199),COUNTIF($DB$4:DB199,DB199)-1,NA())</f>
        <v>#N/A</v>
      </c>
      <c r="DP199" s="16">
        <f t="shared" si="204"/>
        <v>0.78176578879356384</v>
      </c>
      <c r="DQ199" s="16">
        <v>197</v>
      </c>
      <c r="DR199" s="16">
        <f t="shared" si="191"/>
        <v>57.8</v>
      </c>
      <c r="DS199" s="16">
        <f t="shared" si="192"/>
        <v>2.8314873724973788</v>
      </c>
      <c r="DT199" s="16">
        <f t="shared" si="193"/>
        <v>45.6</v>
      </c>
      <c r="DU199" s="16">
        <f t="shared" si="194"/>
        <v>54.4</v>
      </c>
      <c r="DV199" s="16">
        <f t="shared" si="195"/>
        <v>59.8</v>
      </c>
      <c r="DX199" s="197">
        <f t="shared" si="187"/>
        <v>2.7645751322751453</v>
      </c>
      <c r="DY199" s="197">
        <f t="shared" si="188"/>
        <v>0.93702399999999997</v>
      </c>
      <c r="DZ199" s="222" t="e">
        <f t="shared" si="189"/>
        <v>#N/A</v>
      </c>
      <c r="EA199" s="192">
        <f t="shared" si="190"/>
        <v>1.9370240000000001</v>
      </c>
    </row>
    <row r="200" spans="5:131" ht="11.25" customHeight="1">
      <c r="E200" s="466">
        <v>199</v>
      </c>
      <c r="F200" s="474"/>
      <c r="G200" s="471"/>
      <c r="H200" s="321"/>
      <c r="I200" s="326"/>
      <c r="J200" s="30"/>
      <c r="BI200" s="621">
        <v>192</v>
      </c>
      <c r="BJ200" s="711"/>
      <c r="BK200" s="712"/>
      <c r="BL200" s="1109"/>
      <c r="BM200" s="1109"/>
      <c r="BN200" s="24"/>
      <c r="BP200" s="621">
        <v>192</v>
      </c>
      <c r="BQ200" s="711"/>
      <c r="BR200" s="712"/>
      <c r="BS200" s="1109"/>
      <c r="BT200" s="1109"/>
      <c r="BU200" s="24"/>
      <c r="BW200" s="621">
        <v>192</v>
      </c>
      <c r="BX200" s="711">
        <v>7.6</v>
      </c>
      <c r="BY200" s="712"/>
      <c r="BZ200" s="1109"/>
      <c r="CA200" s="1109"/>
      <c r="CB200" s="24"/>
      <c r="CT200" s="16" t="e">
        <f t="shared" si="200"/>
        <v>#N/A</v>
      </c>
      <c r="CU200" s="197" t="e">
        <f t="shared" si="201"/>
        <v>#N/A</v>
      </c>
      <c r="CV200" s="197" t="e">
        <f t="shared" si="202"/>
        <v>#N/A</v>
      </c>
      <c r="CW200" s="197">
        <v>197</v>
      </c>
      <c r="CX200" s="197" t="str">
        <f t="shared" si="196"/>
        <v/>
      </c>
      <c r="CY200" s="197" t="e">
        <f t="shared" si="197"/>
        <v>#N/A</v>
      </c>
      <c r="CZ200" s="197" t="e">
        <f t="shared" si="198"/>
        <v>#N/A</v>
      </c>
      <c r="DA200" s="197" t="str">
        <f t="shared" si="203"/>
        <v/>
      </c>
      <c r="DB200" s="16" t="e">
        <f t="shared" si="199"/>
        <v>#N/A</v>
      </c>
      <c r="DC200" s="16" t="e">
        <f>IF(ISNUMBER(CX200),COUNTIF($DB$4:DB200,DB200)-1,NA())</f>
        <v>#N/A</v>
      </c>
      <c r="DP200" s="16">
        <f t="shared" si="204"/>
        <v>5.0890892744064331E-2</v>
      </c>
      <c r="DQ200" s="16">
        <v>198</v>
      </c>
      <c r="DR200" s="16">
        <f t="shared" si="191"/>
        <v>33.6</v>
      </c>
      <c r="DS200" s="16">
        <f t="shared" si="192"/>
        <v>1.1413745526642352</v>
      </c>
      <c r="DT200" s="16">
        <f t="shared" si="193"/>
        <v>59.4</v>
      </c>
      <c r="DU200" s="16">
        <f t="shared" si="194"/>
        <v>40.6</v>
      </c>
      <c r="DV200" s="16">
        <f t="shared" si="195"/>
        <v>34.4</v>
      </c>
      <c r="DX200" s="197">
        <f t="shared" si="187"/>
        <v>2.7781000000000131</v>
      </c>
      <c r="DY200" s="197">
        <f t="shared" si="188"/>
        <v>0.93702399999999997</v>
      </c>
      <c r="DZ200" s="222" t="e">
        <f t="shared" si="189"/>
        <v>#N/A</v>
      </c>
      <c r="EA200" s="192">
        <f t="shared" si="190"/>
        <v>1.9370240000000001</v>
      </c>
    </row>
    <row r="201" spans="5:131" ht="11.25" customHeight="1">
      <c r="E201" s="466">
        <v>200</v>
      </c>
      <c r="F201" s="474"/>
      <c r="G201" s="471"/>
      <c r="H201" s="321"/>
      <c r="I201" s="326"/>
      <c r="J201" s="30"/>
      <c r="BI201" s="621">
        <v>193</v>
      </c>
      <c r="BJ201" s="711"/>
      <c r="BK201" s="712"/>
      <c r="BL201" s="1109"/>
      <c r="BM201" s="1109"/>
      <c r="BN201" s="24"/>
      <c r="BP201" s="621">
        <v>193</v>
      </c>
      <c r="BQ201" s="711"/>
      <c r="BR201" s="712"/>
      <c r="BS201" s="1109"/>
      <c r="BT201" s="1109"/>
      <c r="BU201" s="24"/>
      <c r="BW201" s="621">
        <v>193</v>
      </c>
      <c r="BX201" s="711">
        <v>12.2</v>
      </c>
      <c r="BY201" s="712"/>
      <c r="BZ201" s="1109"/>
      <c r="CA201" s="1109"/>
      <c r="CB201" s="24"/>
      <c r="CT201" s="16" t="e">
        <f t="shared" si="200"/>
        <v>#N/A</v>
      </c>
      <c r="CU201" s="197" t="e">
        <f t="shared" si="201"/>
        <v>#N/A</v>
      </c>
      <c r="CV201" s="197" t="e">
        <f t="shared" si="202"/>
        <v>#N/A</v>
      </c>
      <c r="CW201" s="197">
        <v>198</v>
      </c>
      <c r="CX201" s="197" t="str">
        <f t="shared" si="196"/>
        <v/>
      </c>
      <c r="CY201" s="197" t="e">
        <f t="shared" si="197"/>
        <v>#N/A</v>
      </c>
      <c r="CZ201" s="197" t="e">
        <f t="shared" si="198"/>
        <v>#N/A</v>
      </c>
      <c r="DA201" s="197" t="str">
        <f t="shared" si="203"/>
        <v/>
      </c>
      <c r="DB201" s="16" t="e">
        <f t="shared" si="199"/>
        <v>#N/A</v>
      </c>
      <c r="DC201" s="16" t="e">
        <f>IF(ISNUMBER(CX201),COUNTIF($DB$4:DB201,DB201)-1,NA())</f>
        <v>#N/A</v>
      </c>
      <c r="DP201" s="16">
        <f t="shared" si="204"/>
        <v>0.58902224898338318</v>
      </c>
      <c r="DQ201" s="16">
        <v>199</v>
      </c>
      <c r="DR201" s="16">
        <f t="shared" si="191"/>
        <v>52.3</v>
      </c>
      <c r="DS201" s="16">
        <f t="shared" si="192"/>
        <v>2.4442893145376456</v>
      </c>
      <c r="DT201" s="16">
        <f t="shared" si="193"/>
        <v>51.1</v>
      </c>
      <c r="DU201" s="16">
        <f t="shared" si="194"/>
        <v>48.9</v>
      </c>
      <c r="DV201" s="16">
        <f t="shared" si="195"/>
        <v>53.1</v>
      </c>
      <c r="DX201" s="23"/>
      <c r="DY201" s="23"/>
      <c r="DZ201" s="222" t="e">
        <f t="shared" si="189"/>
        <v>#N/A</v>
      </c>
      <c r="EA201" s="192">
        <f t="shared" si="190"/>
        <v>1.9370240000000001</v>
      </c>
    </row>
    <row r="202" spans="5:131" ht="11.25" customHeight="1">
      <c r="E202" s="466">
        <v>201</v>
      </c>
      <c r="F202" s="474"/>
      <c r="G202" s="471"/>
      <c r="H202" s="321"/>
      <c r="I202" s="326"/>
      <c r="J202" s="30"/>
      <c r="BI202" s="621">
        <v>194</v>
      </c>
      <c r="BJ202" s="711"/>
      <c r="BK202" s="712"/>
      <c r="BL202" s="1109"/>
      <c r="BM202" s="1109"/>
      <c r="BN202" s="24"/>
      <c r="BP202" s="621">
        <v>194</v>
      </c>
      <c r="BQ202" s="711"/>
      <c r="BR202" s="712"/>
      <c r="BS202" s="1109"/>
      <c r="BT202" s="1109"/>
      <c r="BU202" s="24"/>
      <c r="BW202" s="621">
        <v>194</v>
      </c>
      <c r="BX202" s="711">
        <v>10.8</v>
      </c>
      <c r="BY202" s="712"/>
      <c r="BZ202" s="1109"/>
      <c r="CA202" s="1109"/>
      <c r="CB202" s="24"/>
      <c r="CT202" s="16" t="e">
        <f t="shared" si="200"/>
        <v>#N/A</v>
      </c>
      <c r="CU202" s="197" t="e">
        <f t="shared" si="201"/>
        <v>#N/A</v>
      </c>
      <c r="CV202" s="197" t="e">
        <f t="shared" si="202"/>
        <v>#N/A</v>
      </c>
      <c r="CW202" s="197">
        <v>199</v>
      </c>
      <c r="CX202" s="197" t="str">
        <f t="shared" si="196"/>
        <v/>
      </c>
      <c r="CY202" s="197" t="e">
        <f t="shared" si="197"/>
        <v>#N/A</v>
      </c>
      <c r="CZ202" s="197" t="e">
        <f t="shared" si="198"/>
        <v>#N/A</v>
      </c>
      <c r="DA202" s="197" t="str">
        <f t="shared" si="203"/>
        <v/>
      </c>
      <c r="DB202" s="16" t="e">
        <f t="shared" si="199"/>
        <v>#N/A</v>
      </c>
      <c r="DC202" s="16" t="e">
        <f>IF(ISNUMBER(CX202),COUNTIF($DB$4:DB202,DB202)-1,NA())</f>
        <v>#N/A</v>
      </c>
      <c r="DP202" s="16">
        <f t="shared" si="204"/>
        <v>0.1471230685710907</v>
      </c>
      <c r="DQ202" s="16">
        <v>200</v>
      </c>
      <c r="DR202" s="16">
        <f t="shared" si="191"/>
        <v>39.5</v>
      </c>
      <c r="DS202" s="16">
        <f t="shared" si="192"/>
        <v>1.5525713671384564</v>
      </c>
      <c r="DT202" s="16">
        <f t="shared" si="193"/>
        <v>57.9</v>
      </c>
      <c r="DU202" s="16">
        <f t="shared" si="194"/>
        <v>42.1</v>
      </c>
      <c r="DV202" s="16">
        <f t="shared" si="195"/>
        <v>37.799999999999997</v>
      </c>
      <c r="DX202" s="197" t="e">
        <f>IF(ISNUMBER(DY$4),DX11,NA())</f>
        <v>#N/A</v>
      </c>
      <c r="DY202" s="197">
        <f>DY11</f>
        <v>0.93702399999999997</v>
      </c>
    </row>
    <row r="203" spans="5:131" ht="11.25" customHeight="1">
      <c r="E203" s="466">
        <v>202</v>
      </c>
      <c r="F203" s="474"/>
      <c r="G203" s="471"/>
      <c r="H203" s="321"/>
      <c r="I203" s="326"/>
      <c r="J203" s="30"/>
      <c r="BI203" s="621">
        <v>195</v>
      </c>
      <c r="BJ203" s="711"/>
      <c r="BK203" s="712"/>
      <c r="BL203" s="1109"/>
      <c r="BM203" s="1109"/>
      <c r="BN203" s="24"/>
      <c r="BP203" s="621">
        <v>195</v>
      </c>
      <c r="BQ203" s="711"/>
      <c r="BR203" s="712"/>
      <c r="BS203" s="1109"/>
      <c r="BT203" s="1109"/>
      <c r="BU203" s="24"/>
      <c r="BW203" s="621">
        <v>195</v>
      </c>
      <c r="BX203" s="711">
        <v>1</v>
      </c>
      <c r="BY203" s="712"/>
      <c r="BZ203" s="1109"/>
      <c r="CA203" s="1109"/>
      <c r="CB203" s="24"/>
      <c r="CT203" s="16" t="e">
        <f t="shared" si="200"/>
        <v>#N/A</v>
      </c>
      <c r="CU203" s="197" t="e">
        <f t="shared" si="201"/>
        <v>#N/A</v>
      </c>
      <c r="CV203" s="197" t="e">
        <f t="shared" si="202"/>
        <v>#N/A</v>
      </c>
      <c r="CW203" s="197">
        <v>200</v>
      </c>
      <c r="CX203" s="197" t="str">
        <f t="shared" si="196"/>
        <v/>
      </c>
      <c r="CY203" s="197" t="e">
        <f t="shared" si="197"/>
        <v>#N/A</v>
      </c>
      <c r="CZ203" s="197" t="e">
        <f t="shared" si="198"/>
        <v>#N/A</v>
      </c>
      <c r="DA203" s="197" t="str">
        <f t="shared" si="203"/>
        <v/>
      </c>
      <c r="DB203" s="16" t="e">
        <f t="shared" si="199"/>
        <v>#N/A</v>
      </c>
      <c r="DC203" s="16" t="e">
        <f>IF(ISNUMBER(CX203),COUNTIF($DB$4:DB203,DB203)-1,NA())</f>
        <v>#N/A</v>
      </c>
      <c r="DP203" s="16">
        <f t="shared" si="204"/>
        <v>0.59831079840660095</v>
      </c>
      <c r="DQ203" s="16">
        <v>201</v>
      </c>
      <c r="DR203" s="16">
        <f t="shared" si="191"/>
        <v>52.5</v>
      </c>
      <c r="DS203" s="16">
        <f t="shared" si="192"/>
        <v>2.4610519773040873</v>
      </c>
      <c r="DT203" s="16">
        <f t="shared" si="193"/>
        <v>50.9</v>
      </c>
      <c r="DU203" s="16">
        <f t="shared" si="194"/>
        <v>49.1</v>
      </c>
      <c r="DV203" s="16">
        <f t="shared" si="195"/>
        <v>53.4</v>
      </c>
      <c r="DX203" s="197" t="e">
        <f t="shared" ref="DX203:DX266" si="205">IF(ISNUMBER(DY$4),DX12,NA())</f>
        <v>#N/A</v>
      </c>
      <c r="DY203" s="197">
        <f t="shared" si="184"/>
        <v>0.93702399999999997</v>
      </c>
    </row>
    <row r="204" spans="5:131" ht="11.25" customHeight="1">
      <c r="E204" s="466">
        <v>203</v>
      </c>
      <c r="F204" s="474"/>
      <c r="G204" s="471"/>
      <c r="H204" s="321"/>
      <c r="I204" s="326"/>
      <c r="J204" s="30"/>
      <c r="BI204" s="621">
        <v>196</v>
      </c>
      <c r="BJ204" s="711"/>
      <c r="BK204" s="712"/>
      <c r="BL204" s="1109"/>
      <c r="BM204" s="1109"/>
      <c r="BN204" s="24"/>
      <c r="BP204" s="621">
        <v>196</v>
      </c>
      <c r="BQ204" s="711"/>
      <c r="BR204" s="712"/>
      <c r="BS204" s="1109"/>
      <c r="BT204" s="1109"/>
      <c r="BU204" s="24"/>
      <c r="BW204" s="621">
        <v>196</v>
      </c>
      <c r="BX204" s="711">
        <v>2.9</v>
      </c>
      <c r="BY204" s="712"/>
      <c r="BZ204" s="1109"/>
      <c r="CA204" s="1109"/>
      <c r="CB204" s="24"/>
      <c r="CT204" s="16" t="e">
        <f t="shared" si="200"/>
        <v>#N/A</v>
      </c>
      <c r="CU204" s="197" t="e">
        <f t="shared" si="201"/>
        <v>#N/A</v>
      </c>
      <c r="CV204" s="197" t="e">
        <f t="shared" si="202"/>
        <v>#N/A</v>
      </c>
      <c r="CW204" s="197">
        <v>201</v>
      </c>
      <c r="CX204" s="197" t="str">
        <f t="shared" si="196"/>
        <v/>
      </c>
      <c r="CY204" s="197" t="e">
        <f t="shared" si="197"/>
        <v>#N/A</v>
      </c>
      <c r="CZ204" s="197" t="e">
        <f t="shared" si="198"/>
        <v>#N/A</v>
      </c>
      <c r="DA204" s="197" t="str">
        <f t="shared" si="203"/>
        <v/>
      </c>
      <c r="DB204" s="16" t="e">
        <f t="shared" si="199"/>
        <v>#N/A</v>
      </c>
      <c r="DC204" s="16" t="e">
        <f>IF(ISNUMBER(CX204),COUNTIF($DB$4:DB204,DB204)-1,NA())</f>
        <v>#N/A</v>
      </c>
      <c r="DP204" s="16">
        <f t="shared" si="204"/>
        <v>0.76210638880729675</v>
      </c>
      <c r="DQ204" s="16">
        <v>202</v>
      </c>
      <c r="DR204" s="16">
        <f t="shared" si="191"/>
        <v>57.1</v>
      </c>
      <c r="DS204" s="16">
        <f t="shared" si="192"/>
        <v>2.785934142155559</v>
      </c>
      <c r="DT204" s="16">
        <f t="shared" si="193"/>
        <v>46.4</v>
      </c>
      <c r="DU204" s="16">
        <f t="shared" si="194"/>
        <v>53.6</v>
      </c>
      <c r="DV204" s="16">
        <f t="shared" si="195"/>
        <v>59.1</v>
      </c>
      <c r="DX204" s="197" t="e">
        <f t="shared" si="205"/>
        <v>#N/A</v>
      </c>
      <c r="DY204" s="197">
        <f t="shared" si="184"/>
        <v>0.93702399999999997</v>
      </c>
    </row>
    <row r="205" spans="5:131" ht="11.25" customHeight="1">
      <c r="E205" s="466">
        <v>204</v>
      </c>
      <c r="F205" s="474"/>
      <c r="G205" s="471"/>
      <c r="H205" s="321"/>
      <c r="I205" s="326"/>
      <c r="J205" s="30"/>
      <c r="BI205" s="621">
        <v>197</v>
      </c>
      <c r="BJ205" s="711"/>
      <c r="BK205" s="712"/>
      <c r="BL205" s="1109"/>
      <c r="BM205" s="1109"/>
      <c r="BN205" s="24"/>
      <c r="BP205" s="621">
        <v>197</v>
      </c>
      <c r="BQ205" s="711"/>
      <c r="BR205" s="712"/>
      <c r="BS205" s="1109"/>
      <c r="BT205" s="1109"/>
      <c r="BU205" s="24"/>
      <c r="BW205" s="621">
        <v>197</v>
      </c>
      <c r="BX205" s="711">
        <v>14.4</v>
      </c>
      <c r="BY205" s="712"/>
      <c r="BZ205" s="1109"/>
      <c r="CA205" s="1109"/>
      <c r="CB205" s="24"/>
      <c r="CT205" s="16" t="e">
        <f t="shared" si="200"/>
        <v>#N/A</v>
      </c>
      <c r="CU205" s="197" t="e">
        <f t="shared" si="201"/>
        <v>#N/A</v>
      </c>
      <c r="CV205" s="197" t="e">
        <f t="shared" si="202"/>
        <v>#N/A</v>
      </c>
      <c r="CW205" s="197">
        <v>202</v>
      </c>
      <c r="CX205" s="197" t="str">
        <f t="shared" si="196"/>
        <v/>
      </c>
      <c r="CY205" s="197" t="e">
        <f t="shared" si="197"/>
        <v>#N/A</v>
      </c>
      <c r="CZ205" s="197" t="e">
        <f t="shared" si="198"/>
        <v>#N/A</v>
      </c>
      <c r="DA205" s="197" t="str">
        <f t="shared" si="203"/>
        <v/>
      </c>
      <c r="DB205" s="16" t="e">
        <f t="shared" si="199"/>
        <v>#N/A</v>
      </c>
      <c r="DC205" s="16" t="e">
        <f>IF(ISNUMBER(CX205),COUNTIF($DB$4:DB205,DB205)-1,NA())</f>
        <v>#N/A</v>
      </c>
      <c r="DP205" s="16">
        <f t="shared" si="204"/>
        <v>0.79545602202415466</v>
      </c>
      <c r="DQ205" s="16">
        <v>203</v>
      </c>
      <c r="DR205" s="16">
        <f t="shared" si="191"/>
        <v>58.3</v>
      </c>
      <c r="DS205" s="16">
        <f t="shared" si="192"/>
        <v>2.8646177102500259</v>
      </c>
      <c r="DT205" s="16">
        <f t="shared" si="193"/>
        <v>45</v>
      </c>
      <c r="DU205" s="16">
        <f t="shared" si="194"/>
        <v>55</v>
      </c>
      <c r="DV205" s="16">
        <f t="shared" si="195"/>
        <v>60.2</v>
      </c>
      <c r="DX205" s="197" t="e">
        <f t="shared" si="205"/>
        <v>#N/A</v>
      </c>
      <c r="DY205" s="197">
        <f t="shared" si="184"/>
        <v>0.93702399999999997</v>
      </c>
    </row>
    <row r="206" spans="5:131" ht="11.25" customHeight="1">
      <c r="E206" s="466">
        <v>205</v>
      </c>
      <c r="F206" s="474"/>
      <c r="G206" s="471"/>
      <c r="H206" s="321"/>
      <c r="I206" s="326"/>
      <c r="J206" s="30"/>
      <c r="BI206" s="621">
        <v>198</v>
      </c>
      <c r="BJ206" s="711"/>
      <c r="BK206" s="712"/>
      <c r="BL206" s="1109"/>
      <c r="BM206" s="1109"/>
      <c r="BN206" s="24"/>
      <c r="BP206" s="621">
        <v>198</v>
      </c>
      <c r="BQ206" s="711"/>
      <c r="BR206" s="712"/>
      <c r="BS206" s="1109"/>
      <c r="BT206" s="1109"/>
      <c r="BU206" s="24"/>
      <c r="BW206" s="621">
        <v>198</v>
      </c>
      <c r="BX206" s="711">
        <v>8.4</v>
      </c>
      <c r="BY206" s="712"/>
      <c r="BZ206" s="1109"/>
      <c r="CA206" s="1109"/>
      <c r="CB206" s="24"/>
      <c r="CT206" s="16" t="e">
        <f t="shared" si="200"/>
        <v>#N/A</v>
      </c>
      <c r="CU206" s="197" t="e">
        <f t="shared" si="201"/>
        <v>#N/A</v>
      </c>
      <c r="CV206" s="197" t="e">
        <f t="shared" si="202"/>
        <v>#N/A</v>
      </c>
      <c r="CW206" s="197">
        <v>203</v>
      </c>
      <c r="CX206" s="197" t="str">
        <f t="shared" si="196"/>
        <v/>
      </c>
      <c r="CY206" s="197" t="e">
        <f t="shared" si="197"/>
        <v>#N/A</v>
      </c>
      <c r="CZ206" s="197" t="e">
        <f t="shared" si="198"/>
        <v>#N/A</v>
      </c>
      <c r="DA206" s="197" t="str">
        <f t="shared" si="203"/>
        <v/>
      </c>
      <c r="DB206" s="16" t="e">
        <f t="shared" si="199"/>
        <v>#N/A</v>
      </c>
      <c r="DC206" s="16" t="e">
        <f>IF(ISNUMBER(CX206),COUNTIF($DB$4:DB206,DB206)-1,NA())</f>
        <v>#N/A</v>
      </c>
      <c r="DP206" s="16">
        <f t="shared" si="204"/>
        <v>0.56116983294487</v>
      </c>
      <c r="DQ206" s="16">
        <v>204</v>
      </c>
      <c r="DR206" s="16">
        <f t="shared" si="191"/>
        <v>51.5</v>
      </c>
      <c r="DS206" s="16">
        <f t="shared" si="192"/>
        <v>2.3945230035686826</v>
      </c>
      <c r="DT206" s="16">
        <f t="shared" si="193"/>
        <v>51.6</v>
      </c>
      <c r="DU206" s="16">
        <f t="shared" si="194"/>
        <v>48.4</v>
      </c>
      <c r="DV206" s="16">
        <f t="shared" si="195"/>
        <v>52.1</v>
      </c>
      <c r="DX206" s="197" t="e">
        <f t="shared" si="205"/>
        <v>#N/A</v>
      </c>
      <c r="DY206" s="197">
        <f t="shared" si="184"/>
        <v>0.93702399999999997</v>
      </c>
    </row>
    <row r="207" spans="5:131" ht="11.25" customHeight="1">
      <c r="E207" s="466">
        <v>206</v>
      </c>
      <c r="F207" s="474"/>
      <c r="G207" s="471"/>
      <c r="H207" s="321"/>
      <c r="I207" s="326"/>
      <c r="J207" s="30"/>
      <c r="BI207" s="621">
        <v>199</v>
      </c>
      <c r="BJ207" s="711"/>
      <c r="BK207" s="712"/>
      <c r="BL207" s="1109"/>
      <c r="BM207" s="1109"/>
      <c r="BN207" s="24"/>
      <c r="BP207" s="621">
        <v>199</v>
      </c>
      <c r="BQ207" s="711"/>
      <c r="BR207" s="712"/>
      <c r="BS207" s="1109"/>
      <c r="BT207" s="1109"/>
      <c r="BU207" s="24"/>
      <c r="BW207" s="621">
        <v>199</v>
      </c>
      <c r="BX207" s="711">
        <v>17.7</v>
      </c>
      <c r="BY207" s="712"/>
      <c r="BZ207" s="1109"/>
      <c r="CA207" s="1109"/>
      <c r="CB207" s="24"/>
      <c r="CT207" s="16" t="e">
        <f t="shared" si="200"/>
        <v>#N/A</v>
      </c>
      <c r="CU207" s="197" t="e">
        <f t="shared" si="201"/>
        <v>#N/A</v>
      </c>
      <c r="CV207" s="197" t="e">
        <f t="shared" si="202"/>
        <v>#N/A</v>
      </c>
      <c r="CW207" s="197">
        <v>204</v>
      </c>
      <c r="CX207" s="197" t="str">
        <f t="shared" si="196"/>
        <v/>
      </c>
      <c r="CY207" s="197" t="e">
        <f t="shared" si="197"/>
        <v>#N/A</v>
      </c>
      <c r="CZ207" s="197" t="e">
        <f t="shared" si="198"/>
        <v>#N/A</v>
      </c>
      <c r="DA207" s="197" t="str">
        <f t="shared" si="203"/>
        <v/>
      </c>
      <c r="DB207" s="16" t="e">
        <f t="shared" si="199"/>
        <v>#N/A</v>
      </c>
      <c r="DC207" s="16" t="e">
        <f>IF(ISNUMBER(CX207),COUNTIF($DB$4:DB207,DB207)-1,NA())</f>
        <v>#N/A</v>
      </c>
      <c r="DP207" s="16">
        <f t="shared" si="204"/>
        <v>0.62465652823448181</v>
      </c>
      <c r="DQ207" s="16">
        <v>205</v>
      </c>
      <c r="DR207" s="16">
        <f t="shared" si="191"/>
        <v>53.2</v>
      </c>
      <c r="DS207" s="16">
        <f t="shared" si="192"/>
        <v>2.5091815161979851</v>
      </c>
      <c r="DT207" s="16">
        <f t="shared" si="193"/>
        <v>50.3</v>
      </c>
      <c r="DU207" s="16">
        <f t="shared" si="194"/>
        <v>49.7</v>
      </c>
      <c r="DV207" s="16">
        <f t="shared" si="195"/>
        <v>54.3</v>
      </c>
      <c r="DX207" s="197" t="e">
        <f t="shared" si="205"/>
        <v>#N/A</v>
      </c>
      <c r="DY207" s="197">
        <f t="shared" si="184"/>
        <v>0.93702399999999997</v>
      </c>
    </row>
    <row r="208" spans="5:131" ht="11.25" customHeight="1">
      <c r="E208" s="466">
        <v>207</v>
      </c>
      <c r="F208" s="474"/>
      <c r="G208" s="471"/>
      <c r="H208" s="321"/>
      <c r="I208" s="326"/>
      <c r="J208" s="30"/>
      <c r="BI208" s="621">
        <v>200</v>
      </c>
      <c r="BJ208" s="711"/>
      <c r="BK208" s="712"/>
      <c r="BL208" s="1109"/>
      <c r="BM208" s="1109"/>
      <c r="BN208" s="24"/>
      <c r="BP208" s="621">
        <v>200</v>
      </c>
      <c r="BQ208" s="711"/>
      <c r="BR208" s="712"/>
      <c r="BS208" s="1109"/>
      <c r="BT208" s="1109"/>
      <c r="BU208" s="24"/>
      <c r="BW208" s="621">
        <v>200</v>
      </c>
      <c r="BX208" s="711">
        <v>20.100000000000001</v>
      </c>
      <c r="BY208" s="712"/>
      <c r="BZ208" s="1109"/>
      <c r="CA208" s="1109"/>
      <c r="CB208" s="24"/>
      <c r="CT208" s="16" t="e">
        <f t="shared" si="200"/>
        <v>#N/A</v>
      </c>
      <c r="CU208" s="197" t="e">
        <f t="shared" si="201"/>
        <v>#N/A</v>
      </c>
      <c r="CV208" s="197" t="e">
        <f t="shared" si="202"/>
        <v>#N/A</v>
      </c>
      <c r="CW208" s="197">
        <v>205</v>
      </c>
      <c r="CX208" s="197" t="str">
        <f t="shared" si="196"/>
        <v/>
      </c>
      <c r="CY208" s="197" t="e">
        <f t="shared" si="197"/>
        <v>#N/A</v>
      </c>
      <c r="CZ208" s="197" t="e">
        <f t="shared" si="198"/>
        <v>#N/A</v>
      </c>
      <c r="DA208" s="197" t="str">
        <f t="shared" si="203"/>
        <v/>
      </c>
      <c r="DB208" s="16" t="e">
        <f t="shared" si="199"/>
        <v>#N/A</v>
      </c>
      <c r="DC208" s="16" t="e">
        <f>IF(ISNUMBER(CX208),COUNTIF($DB$4:DB208,DB208)-1,NA())</f>
        <v>#N/A</v>
      </c>
      <c r="DP208" s="16">
        <f t="shared" si="204"/>
        <v>0.40287968516349792</v>
      </c>
      <c r="DQ208" s="16">
        <v>206</v>
      </c>
      <c r="DR208" s="16">
        <f t="shared" si="191"/>
        <v>47.5</v>
      </c>
      <c r="DS208" s="16">
        <f t="shared" si="192"/>
        <v>2.1146376766475732</v>
      </c>
      <c r="DT208" s="16">
        <f t="shared" si="193"/>
        <v>54.3</v>
      </c>
      <c r="DU208" s="16">
        <f t="shared" si="194"/>
        <v>45.7</v>
      </c>
      <c r="DV208" s="16">
        <f t="shared" si="195"/>
        <v>46.6</v>
      </c>
      <c r="DX208" s="197" t="e">
        <f t="shared" si="205"/>
        <v>#N/A</v>
      </c>
      <c r="DY208" s="197">
        <f t="shared" si="184"/>
        <v>0.93702399999999997</v>
      </c>
    </row>
    <row r="209" spans="5:129" ht="11.25" customHeight="1">
      <c r="E209" s="466">
        <v>208</v>
      </c>
      <c r="F209" s="474"/>
      <c r="G209" s="471"/>
      <c r="H209" s="321"/>
      <c r="I209" s="326"/>
      <c r="J209" s="30"/>
      <c r="BI209" s="621">
        <v>201</v>
      </c>
      <c r="BJ209" s="711"/>
      <c r="BK209" s="712"/>
      <c r="BL209" s="1109"/>
      <c r="BM209" s="1109"/>
      <c r="BN209" s="24"/>
      <c r="BP209" s="621">
        <v>201</v>
      </c>
      <c r="BQ209" s="711"/>
      <c r="BR209" s="712"/>
      <c r="BS209" s="1109"/>
      <c r="BT209" s="1109"/>
      <c r="BU209" s="24"/>
      <c r="BW209" s="621">
        <v>201</v>
      </c>
      <c r="BX209" s="711">
        <v>2.1</v>
      </c>
      <c r="BY209" s="712"/>
      <c r="BZ209" s="1109"/>
      <c r="CA209" s="1109"/>
      <c r="CB209" s="24"/>
      <c r="CT209" s="16" t="e">
        <f t="shared" si="200"/>
        <v>#N/A</v>
      </c>
      <c r="CU209" s="197" t="e">
        <f t="shared" si="201"/>
        <v>#N/A</v>
      </c>
      <c r="CV209" s="197" t="e">
        <f t="shared" si="202"/>
        <v>#N/A</v>
      </c>
      <c r="CW209" s="197">
        <v>206</v>
      </c>
      <c r="CX209" s="197" t="str">
        <f t="shared" si="196"/>
        <v/>
      </c>
      <c r="CY209" s="197" t="e">
        <f t="shared" si="197"/>
        <v>#N/A</v>
      </c>
      <c r="CZ209" s="197" t="e">
        <f t="shared" si="198"/>
        <v>#N/A</v>
      </c>
      <c r="DA209" s="197" t="str">
        <f t="shared" si="203"/>
        <v/>
      </c>
      <c r="DB209" s="16" t="e">
        <f t="shared" si="199"/>
        <v>#N/A</v>
      </c>
      <c r="DC209" s="16" t="e">
        <f>IF(ISNUMBER(CX209),COUNTIF($DB$4:DB209,DB209)-1,NA())</f>
        <v>#N/A</v>
      </c>
      <c r="DP209" s="16">
        <f t="shared" si="204"/>
        <v>8.9070886373519897E-2</v>
      </c>
      <c r="DQ209" s="16">
        <v>207</v>
      </c>
      <c r="DR209" s="16">
        <f t="shared" si="191"/>
        <v>36.5</v>
      </c>
      <c r="DS209" s="16">
        <f t="shared" si="192"/>
        <v>1.3442189064855137</v>
      </c>
      <c r="DT209" s="16">
        <f t="shared" si="193"/>
        <v>58.7</v>
      </c>
      <c r="DU209" s="16">
        <f t="shared" si="194"/>
        <v>41.3</v>
      </c>
      <c r="DV209" s="16">
        <f t="shared" si="195"/>
        <v>35.799999999999997</v>
      </c>
      <c r="DX209" s="197" t="e">
        <f t="shared" si="205"/>
        <v>#N/A</v>
      </c>
      <c r="DY209" s="197">
        <f t="shared" si="184"/>
        <v>0.93702399999999997</v>
      </c>
    </row>
    <row r="210" spans="5:129" ht="11.25" customHeight="1">
      <c r="E210" s="466">
        <v>209</v>
      </c>
      <c r="F210" s="474"/>
      <c r="G210" s="471"/>
      <c r="H210" s="321"/>
      <c r="I210" s="326"/>
      <c r="J210" s="30"/>
      <c r="BI210" s="621">
        <v>202</v>
      </c>
      <c r="BJ210" s="711"/>
      <c r="BK210" s="712"/>
      <c r="BL210" s="1109"/>
      <c r="BM210" s="1109"/>
      <c r="BN210" s="24"/>
      <c r="BP210" s="621">
        <v>202</v>
      </c>
      <c r="BQ210" s="711"/>
      <c r="BR210" s="712"/>
      <c r="BS210" s="1109"/>
      <c r="BT210" s="1109"/>
      <c r="BU210" s="24"/>
      <c r="BW210" s="621">
        <v>202</v>
      </c>
      <c r="BX210" s="711">
        <v>11.1</v>
      </c>
      <c r="BY210" s="712"/>
      <c r="BZ210" s="1109"/>
      <c r="CA210" s="1109"/>
      <c r="CB210" s="24"/>
      <c r="CT210" s="16" t="e">
        <f t="shared" si="200"/>
        <v>#N/A</v>
      </c>
      <c r="CU210" s="197" t="e">
        <f t="shared" si="201"/>
        <v>#N/A</v>
      </c>
      <c r="CV210" s="197" t="e">
        <f t="shared" si="202"/>
        <v>#N/A</v>
      </c>
      <c r="CW210" s="197">
        <v>207</v>
      </c>
      <c r="CX210" s="197" t="str">
        <f t="shared" si="196"/>
        <v/>
      </c>
      <c r="CY210" s="197" t="e">
        <f t="shared" si="197"/>
        <v>#N/A</v>
      </c>
      <c r="CZ210" s="197" t="e">
        <f t="shared" si="198"/>
        <v>#N/A</v>
      </c>
      <c r="DA210" s="197" t="str">
        <f t="shared" si="203"/>
        <v/>
      </c>
      <c r="DB210" s="16" t="e">
        <f t="shared" si="199"/>
        <v>#N/A</v>
      </c>
      <c r="DC210" s="16" t="e">
        <f>IF(ISNUMBER(CX210),COUNTIF($DB$4:DB210,DB210)-1,NA())</f>
        <v>#N/A</v>
      </c>
      <c r="DP210" s="16">
        <f t="shared" si="204"/>
        <v>2.1656721830368042E-2</v>
      </c>
      <c r="DQ210" s="16">
        <v>208</v>
      </c>
      <c r="DR210" s="16">
        <f t="shared" si="191"/>
        <v>29.8</v>
      </c>
      <c r="DS210" s="16">
        <f t="shared" si="192"/>
        <v>0.87229558774879057</v>
      </c>
      <c r="DT210" s="16">
        <f t="shared" si="193"/>
        <v>60.2</v>
      </c>
      <c r="DU210" s="16">
        <f t="shared" si="194"/>
        <v>39.799999999999997</v>
      </c>
      <c r="DV210" s="16">
        <f t="shared" si="195"/>
        <v>33.4</v>
      </c>
      <c r="DX210" s="197" t="e">
        <f t="shared" si="205"/>
        <v>#N/A</v>
      </c>
      <c r="DY210" s="197">
        <f t="shared" si="184"/>
        <v>0.93702399999999997</v>
      </c>
    </row>
    <row r="211" spans="5:129" ht="11.25" customHeight="1">
      <c r="E211" s="466">
        <v>210</v>
      </c>
      <c r="F211" s="474"/>
      <c r="G211" s="471"/>
      <c r="H211" s="321"/>
      <c r="I211" s="326"/>
      <c r="J211" s="30"/>
      <c r="BI211" s="621">
        <v>203</v>
      </c>
      <c r="BJ211" s="711"/>
      <c r="BK211" s="712"/>
      <c r="BL211" s="1109"/>
      <c r="BM211" s="1109"/>
      <c r="BN211" s="24"/>
      <c r="BP211" s="621">
        <v>203</v>
      </c>
      <c r="BQ211" s="711"/>
      <c r="BR211" s="712"/>
      <c r="BS211" s="1109"/>
      <c r="BT211" s="1109"/>
      <c r="BU211" s="24"/>
      <c r="BW211" s="621">
        <v>203</v>
      </c>
      <c r="BX211" s="711">
        <v>11.2</v>
      </c>
      <c r="BY211" s="712"/>
      <c r="BZ211" s="1109"/>
      <c r="CA211" s="1109"/>
      <c r="CB211" s="24"/>
      <c r="CT211" s="16" t="e">
        <f t="shared" si="200"/>
        <v>#N/A</v>
      </c>
      <c r="CU211" s="197" t="e">
        <f t="shared" si="201"/>
        <v>#N/A</v>
      </c>
      <c r="CV211" s="197" t="e">
        <f t="shared" si="202"/>
        <v>#N/A</v>
      </c>
      <c r="CW211" s="197">
        <v>208</v>
      </c>
      <c r="CX211" s="197" t="str">
        <f t="shared" si="196"/>
        <v/>
      </c>
      <c r="CY211" s="197" t="e">
        <f t="shared" si="197"/>
        <v>#N/A</v>
      </c>
      <c r="CZ211" s="197" t="e">
        <f t="shared" si="198"/>
        <v>#N/A</v>
      </c>
      <c r="DA211" s="197" t="str">
        <f t="shared" si="203"/>
        <v/>
      </c>
      <c r="DB211" s="16" t="e">
        <f t="shared" si="199"/>
        <v>#N/A</v>
      </c>
      <c r="DC211" s="16" t="e">
        <f>IF(ISNUMBER(CX211),COUNTIF($DB$4:DB211,DB211)-1,NA())</f>
        <v>#N/A</v>
      </c>
      <c r="DP211" s="16">
        <f t="shared" si="204"/>
        <v>0.49984106421470642</v>
      </c>
      <c r="DQ211" s="16">
        <v>209</v>
      </c>
      <c r="DR211" s="16">
        <f t="shared" si="191"/>
        <v>50</v>
      </c>
      <c r="DS211" s="16">
        <f t="shared" si="192"/>
        <v>2.2864890489018586</v>
      </c>
      <c r="DT211" s="16">
        <f t="shared" si="193"/>
        <v>52.7</v>
      </c>
      <c r="DU211" s="16">
        <f t="shared" si="194"/>
        <v>47.3</v>
      </c>
      <c r="DV211" s="16">
        <f t="shared" si="195"/>
        <v>50</v>
      </c>
      <c r="DX211" s="197" t="e">
        <f t="shared" si="205"/>
        <v>#N/A</v>
      </c>
      <c r="DY211" s="197">
        <f t="shared" si="184"/>
        <v>0.93702399999999997</v>
      </c>
    </row>
    <row r="212" spans="5:129" ht="11.25" customHeight="1">
      <c r="E212" s="466">
        <v>211</v>
      </c>
      <c r="F212" s="474"/>
      <c r="G212" s="471"/>
      <c r="H212" s="321"/>
      <c r="I212" s="326"/>
      <c r="J212" s="30"/>
      <c r="BI212" s="621">
        <v>204</v>
      </c>
      <c r="BJ212" s="711"/>
      <c r="BK212" s="712"/>
      <c r="BL212" s="1109"/>
      <c r="BM212" s="1109"/>
      <c r="BN212" s="24"/>
      <c r="BP212" s="621">
        <v>204</v>
      </c>
      <c r="BQ212" s="711"/>
      <c r="BR212" s="712"/>
      <c r="BS212" s="1109"/>
      <c r="BT212" s="1109"/>
      <c r="BU212" s="24"/>
      <c r="BW212" s="621">
        <v>204</v>
      </c>
      <c r="BX212" s="711">
        <v>10.7</v>
      </c>
      <c r="BY212" s="712"/>
      <c r="BZ212" s="1109"/>
      <c r="CA212" s="1109"/>
      <c r="CB212" s="24"/>
      <c r="CT212" s="16" t="e">
        <f t="shared" si="200"/>
        <v>#N/A</v>
      </c>
      <c r="CU212" s="197" t="e">
        <f t="shared" si="201"/>
        <v>#N/A</v>
      </c>
      <c r="CV212" s="197" t="e">
        <f t="shared" si="202"/>
        <v>#N/A</v>
      </c>
      <c r="CW212" s="197">
        <v>209</v>
      </c>
      <c r="CX212" s="197" t="str">
        <f t="shared" si="196"/>
        <v/>
      </c>
      <c r="CY212" s="197" t="e">
        <f t="shared" si="197"/>
        <v>#N/A</v>
      </c>
      <c r="CZ212" s="197" t="e">
        <f t="shared" si="198"/>
        <v>#N/A</v>
      </c>
      <c r="DA212" s="197" t="str">
        <f t="shared" si="203"/>
        <v/>
      </c>
      <c r="DB212" s="16" t="e">
        <f t="shared" si="199"/>
        <v>#N/A</v>
      </c>
      <c r="DC212" s="16" t="e">
        <f>IF(ISNUMBER(CX212),COUNTIF($DB$4:DB212,DB212)-1,NA())</f>
        <v>#N/A</v>
      </c>
      <c r="DP212" s="16">
        <f t="shared" si="204"/>
        <v>0.14008089900016785</v>
      </c>
      <c r="DQ212" s="16">
        <v>210</v>
      </c>
      <c r="DR212" s="16">
        <f t="shared" si="191"/>
        <v>39.200000000000003</v>
      </c>
      <c r="DS212" s="16">
        <f t="shared" si="192"/>
        <v>1.5307987614507312</v>
      </c>
      <c r="DT212" s="16">
        <f t="shared" si="193"/>
        <v>58</v>
      </c>
      <c r="DU212" s="16">
        <f t="shared" si="194"/>
        <v>42</v>
      </c>
      <c r="DV212" s="16">
        <f t="shared" si="195"/>
        <v>37.5</v>
      </c>
      <c r="DX212" s="197" t="e">
        <f t="shared" si="205"/>
        <v>#N/A</v>
      </c>
      <c r="DY212" s="197">
        <f t="shared" si="184"/>
        <v>0.93702399999999997</v>
      </c>
    </row>
    <row r="213" spans="5:129" ht="11.25" customHeight="1">
      <c r="E213" s="466">
        <v>212</v>
      </c>
      <c r="F213" s="474"/>
      <c r="G213" s="471"/>
      <c r="H213" s="321"/>
      <c r="I213" s="326"/>
      <c r="J213" s="30"/>
      <c r="BI213" s="621">
        <v>205</v>
      </c>
      <c r="BJ213" s="711"/>
      <c r="BK213" s="712"/>
      <c r="BL213" s="1109"/>
      <c r="BM213" s="1109"/>
      <c r="BN213" s="24"/>
      <c r="BP213" s="621">
        <v>205</v>
      </c>
      <c r="BQ213" s="711"/>
      <c r="BR213" s="712"/>
      <c r="BS213" s="1109"/>
      <c r="BT213" s="1109"/>
      <c r="BU213" s="24"/>
      <c r="BW213" s="621">
        <v>205</v>
      </c>
      <c r="BX213" s="711">
        <v>1.9</v>
      </c>
      <c r="BY213" s="712"/>
      <c r="BZ213" s="1109"/>
      <c r="CA213" s="1109"/>
      <c r="CB213" s="24"/>
      <c r="CT213" s="16" t="e">
        <f t="shared" si="200"/>
        <v>#N/A</v>
      </c>
      <c r="CU213" s="197" t="e">
        <f t="shared" si="201"/>
        <v>#N/A</v>
      </c>
      <c r="CV213" s="197" t="e">
        <f t="shared" si="202"/>
        <v>#N/A</v>
      </c>
      <c r="CW213" s="197">
        <v>210</v>
      </c>
      <c r="CX213" s="197" t="str">
        <f t="shared" si="196"/>
        <v/>
      </c>
      <c r="CY213" s="197" t="e">
        <f t="shared" si="197"/>
        <v>#N/A</v>
      </c>
      <c r="CZ213" s="197" t="e">
        <f t="shared" si="198"/>
        <v>#N/A</v>
      </c>
      <c r="DA213" s="197" t="str">
        <f t="shared" si="203"/>
        <v/>
      </c>
      <c r="DB213" s="16" t="e">
        <f t="shared" si="199"/>
        <v>#N/A</v>
      </c>
      <c r="DC213" s="16" t="e">
        <f>IF(ISNUMBER(CX213),COUNTIF($DB$4:DB213,DB213)-1,NA())</f>
        <v>#N/A</v>
      </c>
      <c r="DP213" s="16">
        <f t="shared" si="204"/>
        <v>0.81105336546897888</v>
      </c>
      <c r="DQ213" s="16">
        <v>211</v>
      </c>
      <c r="DR213" s="16">
        <f t="shared" si="191"/>
        <v>58.8</v>
      </c>
      <c r="DS213" s="16">
        <f t="shared" si="192"/>
        <v>2.9040171854385459</v>
      </c>
      <c r="DT213" s="16">
        <f t="shared" si="193"/>
        <v>44.3</v>
      </c>
      <c r="DU213" s="16">
        <f t="shared" si="194"/>
        <v>55.7</v>
      </c>
      <c r="DV213" s="16">
        <f t="shared" si="195"/>
        <v>60.8</v>
      </c>
      <c r="DX213" s="197" t="e">
        <f t="shared" si="205"/>
        <v>#N/A</v>
      </c>
      <c r="DY213" s="197">
        <f t="shared" si="184"/>
        <v>0.93702399999999997</v>
      </c>
    </row>
    <row r="214" spans="5:129" ht="11.25" customHeight="1">
      <c r="E214" s="466">
        <v>213</v>
      </c>
      <c r="F214" s="474"/>
      <c r="G214" s="471"/>
      <c r="H214" s="321"/>
      <c r="I214" s="326"/>
      <c r="J214" s="30"/>
      <c r="BI214" s="621">
        <v>206</v>
      </c>
      <c r="BJ214" s="711"/>
      <c r="BK214" s="712"/>
      <c r="BL214" s="1109"/>
      <c r="BM214" s="1109"/>
      <c r="BN214" s="24"/>
      <c r="BP214" s="621">
        <v>206</v>
      </c>
      <c r="BQ214" s="711"/>
      <c r="BR214" s="712"/>
      <c r="BS214" s="1109"/>
      <c r="BT214" s="1109"/>
      <c r="BU214" s="24"/>
      <c r="BW214" s="621">
        <v>206</v>
      </c>
      <c r="BX214" s="711">
        <v>5.2</v>
      </c>
      <c r="BY214" s="712"/>
      <c r="BZ214" s="1109"/>
      <c r="CA214" s="1109"/>
      <c r="CB214" s="24"/>
      <c r="CT214" s="16" t="e">
        <f t="shared" si="200"/>
        <v>#N/A</v>
      </c>
      <c r="CU214" s="197" t="e">
        <f t="shared" si="201"/>
        <v>#N/A</v>
      </c>
      <c r="CV214" s="197" t="e">
        <f t="shared" si="202"/>
        <v>#N/A</v>
      </c>
      <c r="CW214" s="197">
        <v>211</v>
      </c>
      <c r="CX214" s="197" t="str">
        <f t="shared" si="196"/>
        <v/>
      </c>
      <c r="CY214" s="197" t="e">
        <f t="shared" si="197"/>
        <v>#N/A</v>
      </c>
      <c r="CZ214" s="197" t="e">
        <f t="shared" si="198"/>
        <v>#N/A</v>
      </c>
      <c r="DA214" s="197" t="str">
        <f t="shared" si="203"/>
        <v/>
      </c>
      <c r="DB214" s="16" t="e">
        <f t="shared" si="199"/>
        <v>#N/A</v>
      </c>
      <c r="DC214" s="16" t="e">
        <f>IF(ISNUMBER(CX214),COUNTIF($DB$4:DB214,DB214)-1,NA())</f>
        <v>#N/A</v>
      </c>
      <c r="DP214" s="16">
        <f t="shared" si="204"/>
        <v>0.19838353991508484</v>
      </c>
      <c r="DQ214" s="16">
        <v>212</v>
      </c>
      <c r="DR214" s="16">
        <f t="shared" si="191"/>
        <v>41.5</v>
      </c>
      <c r="DS214" s="16">
        <f t="shared" si="192"/>
        <v>1.6935814858856775</v>
      </c>
      <c r="DT214" s="16">
        <f t="shared" si="193"/>
        <v>57.1</v>
      </c>
      <c r="DU214" s="16">
        <f t="shared" si="194"/>
        <v>42.9</v>
      </c>
      <c r="DV214" s="16">
        <f t="shared" si="195"/>
        <v>39.6</v>
      </c>
      <c r="DX214" s="197" t="e">
        <f t="shared" si="205"/>
        <v>#N/A</v>
      </c>
      <c r="DY214" s="197">
        <f t="shared" si="184"/>
        <v>0.93702399999999997</v>
      </c>
    </row>
    <row r="215" spans="5:129" ht="11.25" customHeight="1">
      <c r="E215" s="466">
        <v>214</v>
      </c>
      <c r="F215" s="474"/>
      <c r="G215" s="471"/>
      <c r="H215" s="321"/>
      <c r="I215" s="326"/>
      <c r="J215" s="30"/>
      <c r="BI215" s="621">
        <v>207</v>
      </c>
      <c r="BJ215" s="711"/>
      <c r="BK215" s="712"/>
      <c r="BL215" s="1109"/>
      <c r="BM215" s="1109"/>
      <c r="BN215" s="24"/>
      <c r="BP215" s="621">
        <v>207</v>
      </c>
      <c r="BQ215" s="711"/>
      <c r="BR215" s="712"/>
      <c r="BS215" s="1109"/>
      <c r="BT215" s="1109"/>
      <c r="BU215" s="24"/>
      <c r="BW215" s="621">
        <v>207</v>
      </c>
      <c r="BX215" s="711">
        <v>9.6999999999999993</v>
      </c>
      <c r="BY215" s="712"/>
      <c r="BZ215" s="1109"/>
      <c r="CA215" s="1109"/>
      <c r="CB215" s="24"/>
      <c r="CT215" s="16" t="e">
        <f t="shared" si="200"/>
        <v>#N/A</v>
      </c>
      <c r="CU215" s="197" t="e">
        <f t="shared" si="201"/>
        <v>#N/A</v>
      </c>
      <c r="CV215" s="197" t="e">
        <f t="shared" si="202"/>
        <v>#N/A</v>
      </c>
      <c r="CW215" s="197">
        <v>212</v>
      </c>
      <c r="CX215" s="197" t="str">
        <f t="shared" si="196"/>
        <v/>
      </c>
      <c r="CY215" s="197" t="e">
        <f t="shared" si="197"/>
        <v>#N/A</v>
      </c>
      <c r="CZ215" s="197" t="e">
        <f t="shared" si="198"/>
        <v>#N/A</v>
      </c>
      <c r="DA215" s="197" t="str">
        <f t="shared" si="203"/>
        <v/>
      </c>
      <c r="DB215" s="16" t="e">
        <f t="shared" si="199"/>
        <v>#N/A</v>
      </c>
      <c r="DC215" s="16" t="e">
        <f>IF(ISNUMBER(CX215),COUNTIF($DB$4:DB215,DB215)-1,NA())</f>
        <v>#N/A</v>
      </c>
      <c r="DP215" s="16">
        <f t="shared" si="204"/>
        <v>0.97813686728477478</v>
      </c>
      <c r="DQ215" s="16">
        <v>213</v>
      </c>
      <c r="DR215" s="16">
        <f t="shared" si="191"/>
        <v>70.2</v>
      </c>
      <c r="DS215" s="16">
        <f t="shared" si="192"/>
        <v>3.6984617082774651</v>
      </c>
      <c r="DT215" s="16">
        <f t="shared" si="193"/>
        <v>22.2</v>
      </c>
      <c r="DU215" s="16">
        <f t="shared" si="194"/>
        <v>77.8</v>
      </c>
      <c r="DV215" s="16">
        <f t="shared" si="195"/>
        <v>66.599999999999994</v>
      </c>
      <c r="DX215" s="197" t="e">
        <f t="shared" si="205"/>
        <v>#N/A</v>
      </c>
      <c r="DY215" s="197">
        <f t="shared" si="184"/>
        <v>0.93702399999999997</v>
      </c>
    </row>
    <row r="216" spans="5:129" ht="11.25" customHeight="1">
      <c r="E216" s="466">
        <v>215</v>
      </c>
      <c r="F216" s="474"/>
      <c r="G216" s="471"/>
      <c r="H216" s="321"/>
      <c r="I216" s="326"/>
      <c r="J216" s="30"/>
      <c r="BI216" s="621">
        <v>208</v>
      </c>
      <c r="BJ216" s="711"/>
      <c r="BK216" s="712"/>
      <c r="BL216" s="1109"/>
      <c r="BM216" s="1109"/>
      <c r="BN216" s="24"/>
      <c r="BP216" s="621">
        <v>208</v>
      </c>
      <c r="BQ216" s="711"/>
      <c r="BR216" s="712"/>
      <c r="BS216" s="1109"/>
      <c r="BT216" s="1109"/>
      <c r="BU216" s="24"/>
      <c r="BW216" s="621">
        <v>208</v>
      </c>
      <c r="BX216" s="711">
        <v>5.2</v>
      </c>
      <c r="BY216" s="712"/>
      <c r="BZ216" s="1109"/>
      <c r="CA216" s="1109"/>
      <c r="CB216" s="24"/>
      <c r="CT216" s="16" t="e">
        <f t="shared" si="200"/>
        <v>#N/A</v>
      </c>
      <c r="CU216" s="197" t="e">
        <f t="shared" si="201"/>
        <v>#N/A</v>
      </c>
      <c r="CV216" s="197" t="e">
        <f t="shared" si="202"/>
        <v>#N/A</v>
      </c>
      <c r="CW216" s="197">
        <v>213</v>
      </c>
      <c r="CX216" s="197" t="str">
        <f t="shared" si="196"/>
        <v/>
      </c>
      <c r="CY216" s="197" t="e">
        <f t="shared" si="197"/>
        <v>#N/A</v>
      </c>
      <c r="CZ216" s="197" t="e">
        <f t="shared" si="198"/>
        <v>#N/A</v>
      </c>
      <c r="DA216" s="197" t="str">
        <f t="shared" si="203"/>
        <v/>
      </c>
      <c r="DB216" s="16" t="e">
        <f t="shared" si="199"/>
        <v>#N/A</v>
      </c>
      <c r="DC216" s="16" t="e">
        <f>IF(ISNUMBER(CX216),COUNTIF($DB$4:DB216,DB216)-1,NA())</f>
        <v>#N/A</v>
      </c>
      <c r="DP216" s="16">
        <f t="shared" si="204"/>
        <v>0.38862702250480652</v>
      </c>
      <c r="DQ216" s="16">
        <v>214</v>
      </c>
      <c r="DR216" s="16">
        <f t="shared" si="191"/>
        <v>47.2</v>
      </c>
      <c r="DS216" s="16">
        <f t="shared" si="192"/>
        <v>2.0887384265790496</v>
      </c>
      <c r="DT216" s="16">
        <f t="shared" si="193"/>
        <v>54.5</v>
      </c>
      <c r="DU216" s="16">
        <f t="shared" si="194"/>
        <v>45.5</v>
      </c>
      <c r="DV216" s="16">
        <f t="shared" si="195"/>
        <v>46.1</v>
      </c>
      <c r="DX216" s="197" t="e">
        <f t="shared" si="205"/>
        <v>#N/A</v>
      </c>
      <c r="DY216" s="197">
        <f t="shared" si="184"/>
        <v>0.93702399999999997</v>
      </c>
    </row>
    <row r="217" spans="5:129" ht="11.25" customHeight="1">
      <c r="E217" s="466">
        <v>216</v>
      </c>
      <c r="F217" s="474"/>
      <c r="G217" s="471"/>
      <c r="H217" s="321"/>
      <c r="I217" s="326"/>
      <c r="J217" s="30"/>
      <c r="BI217" s="621">
        <v>209</v>
      </c>
      <c r="BJ217" s="711"/>
      <c r="BK217" s="712"/>
      <c r="BL217" s="1109"/>
      <c r="BM217" s="1109"/>
      <c r="BN217" s="24"/>
      <c r="BP217" s="621">
        <v>209</v>
      </c>
      <c r="BQ217" s="711"/>
      <c r="BR217" s="712"/>
      <c r="BS217" s="1109"/>
      <c r="BT217" s="1109"/>
      <c r="BU217" s="24"/>
      <c r="BW217" s="621">
        <v>209</v>
      </c>
      <c r="BX217" s="711">
        <v>2.4</v>
      </c>
      <c r="BY217" s="712"/>
      <c r="BZ217" s="1109"/>
      <c r="CA217" s="1109"/>
      <c r="CB217" s="24"/>
      <c r="CT217" s="16" t="e">
        <f t="shared" si="200"/>
        <v>#N/A</v>
      </c>
      <c r="CU217" s="197" t="e">
        <f t="shared" si="201"/>
        <v>#N/A</v>
      </c>
      <c r="CV217" s="197" t="e">
        <f t="shared" si="202"/>
        <v>#N/A</v>
      </c>
      <c r="CW217" s="197">
        <v>214</v>
      </c>
      <c r="CX217" s="197" t="str">
        <f t="shared" si="196"/>
        <v/>
      </c>
      <c r="CY217" s="197" t="e">
        <f t="shared" si="197"/>
        <v>#N/A</v>
      </c>
      <c r="CZ217" s="197" t="e">
        <f t="shared" si="198"/>
        <v>#N/A</v>
      </c>
      <c r="DA217" s="197" t="str">
        <f t="shared" si="203"/>
        <v/>
      </c>
      <c r="DB217" s="16" t="e">
        <f t="shared" si="199"/>
        <v>#N/A</v>
      </c>
      <c r="DC217" s="16" t="e">
        <f>IF(ISNUMBER(CX217),COUNTIF($DB$4:DB217,DB217)-1,NA())</f>
        <v>#N/A</v>
      </c>
      <c r="DP217" s="16">
        <f t="shared" si="204"/>
        <v>0.27719935774803162</v>
      </c>
      <c r="DQ217" s="16">
        <v>215</v>
      </c>
      <c r="DR217" s="16">
        <f t="shared" si="191"/>
        <v>44.1</v>
      </c>
      <c r="DS217" s="16">
        <f t="shared" si="192"/>
        <v>1.8729407679905061</v>
      </c>
      <c r="DT217" s="16">
        <f t="shared" si="193"/>
        <v>56.1</v>
      </c>
      <c r="DU217" s="16">
        <f t="shared" si="194"/>
        <v>43.9</v>
      </c>
      <c r="DV217" s="16">
        <f t="shared" si="195"/>
        <v>42.3</v>
      </c>
      <c r="DX217" s="197" t="e">
        <f t="shared" si="205"/>
        <v>#N/A</v>
      </c>
      <c r="DY217" s="197">
        <f t="shared" si="184"/>
        <v>0.93702399999999997</v>
      </c>
    </row>
    <row r="218" spans="5:129" ht="11.25" customHeight="1">
      <c r="E218" s="466">
        <v>217</v>
      </c>
      <c r="F218" s="474"/>
      <c r="G218" s="471"/>
      <c r="H218" s="321"/>
      <c r="I218" s="326"/>
      <c r="J218" s="30"/>
      <c r="BI218" s="621">
        <v>210</v>
      </c>
      <c r="BJ218" s="711"/>
      <c r="BK218" s="712"/>
      <c r="BL218" s="1109"/>
      <c r="BM218" s="1109"/>
      <c r="BN218" s="24"/>
      <c r="BP218" s="621">
        <v>210</v>
      </c>
      <c r="BQ218" s="711"/>
      <c r="BR218" s="712"/>
      <c r="BS218" s="1109"/>
      <c r="BT218" s="1109"/>
      <c r="BU218" s="24"/>
      <c r="BW218" s="621">
        <v>210</v>
      </c>
      <c r="BX218" s="711">
        <v>7.1</v>
      </c>
      <c r="BY218" s="712"/>
      <c r="BZ218" s="1109"/>
      <c r="CA218" s="1109"/>
      <c r="CB218" s="24"/>
      <c r="CT218" s="16" t="e">
        <f t="shared" si="200"/>
        <v>#N/A</v>
      </c>
      <c r="CU218" s="197" t="e">
        <f t="shared" si="201"/>
        <v>#N/A</v>
      </c>
      <c r="CV218" s="197" t="e">
        <f t="shared" si="202"/>
        <v>#N/A</v>
      </c>
      <c r="CW218" s="197">
        <v>215</v>
      </c>
      <c r="CX218" s="197" t="str">
        <f t="shared" si="196"/>
        <v/>
      </c>
      <c r="CY218" s="197" t="e">
        <f t="shared" si="197"/>
        <v>#N/A</v>
      </c>
      <c r="CZ218" s="197" t="e">
        <f t="shared" si="198"/>
        <v>#N/A</v>
      </c>
      <c r="DA218" s="197" t="str">
        <f t="shared" si="203"/>
        <v/>
      </c>
      <c r="DB218" s="16" t="e">
        <f t="shared" si="199"/>
        <v>#N/A</v>
      </c>
      <c r="DC218" s="16" t="e">
        <f>IF(ISNUMBER(CX218),COUNTIF($DB$4:DB218,DB218)-1,NA())</f>
        <v>#N/A</v>
      </c>
      <c r="DP218" s="16">
        <f t="shared" si="204"/>
        <v>0.18107196688652039</v>
      </c>
      <c r="DQ218" s="16">
        <v>216</v>
      </c>
      <c r="DR218" s="16">
        <f t="shared" si="191"/>
        <v>40.9</v>
      </c>
      <c r="DS218" s="16">
        <f t="shared" si="192"/>
        <v>1.6488667043952792</v>
      </c>
      <c r="DT218" s="16">
        <f t="shared" si="193"/>
        <v>57.4</v>
      </c>
      <c r="DU218" s="16">
        <f t="shared" si="194"/>
        <v>42.6</v>
      </c>
      <c r="DV218" s="16">
        <f t="shared" si="195"/>
        <v>39</v>
      </c>
      <c r="DX218" s="197" t="e">
        <f t="shared" si="205"/>
        <v>#N/A</v>
      </c>
      <c r="DY218" s="197">
        <f t="shared" si="184"/>
        <v>0.93702399999999997</v>
      </c>
    </row>
    <row r="219" spans="5:129" ht="11.25" customHeight="1">
      <c r="E219" s="466">
        <v>218</v>
      </c>
      <c r="F219" s="474"/>
      <c r="G219" s="471"/>
      <c r="H219" s="321"/>
      <c r="I219" s="326"/>
      <c r="J219" s="30"/>
      <c r="BI219" s="621">
        <v>211</v>
      </c>
      <c r="BJ219" s="711"/>
      <c r="BK219" s="712"/>
      <c r="BL219" s="1109"/>
      <c r="BM219" s="1109"/>
      <c r="BN219" s="24"/>
      <c r="BP219" s="621">
        <v>211</v>
      </c>
      <c r="BQ219" s="711"/>
      <c r="BR219" s="712"/>
      <c r="BS219" s="1109"/>
      <c r="BT219" s="1109"/>
      <c r="BU219" s="24"/>
      <c r="BW219" s="621">
        <v>211</v>
      </c>
      <c r="BX219" s="711">
        <v>8.6999999999999993</v>
      </c>
      <c r="BY219" s="712"/>
      <c r="BZ219" s="1109"/>
      <c r="CA219" s="1109"/>
      <c r="CB219" s="24"/>
      <c r="CT219" s="16" t="e">
        <f t="shared" si="200"/>
        <v>#N/A</v>
      </c>
      <c r="CU219" s="197" t="e">
        <f t="shared" si="201"/>
        <v>#N/A</v>
      </c>
      <c r="CV219" s="197" t="e">
        <f t="shared" si="202"/>
        <v>#N/A</v>
      </c>
      <c r="CW219" s="197">
        <v>216</v>
      </c>
      <c r="CX219" s="197" t="str">
        <f t="shared" si="196"/>
        <v/>
      </c>
      <c r="CY219" s="197" t="e">
        <f t="shared" si="197"/>
        <v>#N/A</v>
      </c>
      <c r="CZ219" s="197" t="e">
        <f t="shared" si="198"/>
        <v>#N/A</v>
      </c>
      <c r="DA219" s="197" t="str">
        <f t="shared" si="203"/>
        <v/>
      </c>
      <c r="DB219" s="16" t="e">
        <f t="shared" si="199"/>
        <v>#N/A</v>
      </c>
      <c r="DC219" s="16" t="e">
        <f>IF(ISNUMBER(CX219),COUNTIF($DB$4:DB219,DB219)-1,NA())</f>
        <v>#N/A</v>
      </c>
      <c r="DP219" s="16">
        <f t="shared" si="204"/>
        <v>2.280077338218689E-2</v>
      </c>
      <c r="DQ219" s="16">
        <v>217</v>
      </c>
      <c r="DR219" s="16">
        <f t="shared" si="191"/>
        <v>30</v>
      </c>
      <c r="DS219" s="16">
        <f t="shared" si="192"/>
        <v>0.88742388185707344</v>
      </c>
      <c r="DT219" s="16">
        <f t="shared" si="193"/>
        <v>60.1</v>
      </c>
      <c r="DU219" s="16">
        <f t="shared" si="194"/>
        <v>39.9</v>
      </c>
      <c r="DV219" s="16">
        <f t="shared" si="195"/>
        <v>33.5</v>
      </c>
      <c r="DX219" s="197" t="e">
        <f t="shared" si="205"/>
        <v>#N/A</v>
      </c>
      <c r="DY219" s="197">
        <f t="shared" si="184"/>
        <v>0.93702399999999997</v>
      </c>
    </row>
    <row r="220" spans="5:129" ht="11.25" customHeight="1">
      <c r="E220" s="466">
        <v>219</v>
      </c>
      <c r="F220" s="474"/>
      <c r="G220" s="471"/>
      <c r="H220" s="321"/>
      <c r="I220" s="326"/>
      <c r="J220" s="30"/>
      <c r="BI220" s="621">
        <v>212</v>
      </c>
      <c r="BJ220" s="711"/>
      <c r="BK220" s="712"/>
      <c r="BL220" s="1109"/>
      <c r="BM220" s="1109"/>
      <c r="BN220" s="24"/>
      <c r="BP220" s="621">
        <v>212</v>
      </c>
      <c r="BQ220" s="711"/>
      <c r="BR220" s="712"/>
      <c r="BS220" s="1109"/>
      <c r="BT220" s="1109"/>
      <c r="BU220" s="24"/>
      <c r="BW220" s="621">
        <v>212</v>
      </c>
      <c r="BX220" s="711">
        <v>8</v>
      </c>
      <c r="BY220" s="712"/>
      <c r="BZ220" s="1109"/>
      <c r="CA220" s="1109"/>
      <c r="CB220" s="24"/>
      <c r="CT220" s="16" t="e">
        <f t="shared" si="200"/>
        <v>#N/A</v>
      </c>
      <c r="CU220" s="197" t="e">
        <f t="shared" si="201"/>
        <v>#N/A</v>
      </c>
      <c r="CV220" s="197" t="e">
        <f t="shared" si="202"/>
        <v>#N/A</v>
      </c>
      <c r="CW220" s="197">
        <v>217</v>
      </c>
      <c r="CX220" s="197" t="str">
        <f t="shared" si="196"/>
        <v/>
      </c>
      <c r="CY220" s="197" t="e">
        <f t="shared" si="197"/>
        <v>#N/A</v>
      </c>
      <c r="CZ220" s="197" t="e">
        <f t="shared" si="198"/>
        <v>#N/A</v>
      </c>
      <c r="DA220" s="197" t="str">
        <f t="shared" si="203"/>
        <v/>
      </c>
      <c r="DB220" s="16" t="e">
        <f t="shared" si="199"/>
        <v>#N/A</v>
      </c>
      <c r="DC220" s="16" t="e">
        <f>IF(ISNUMBER(CX220),COUNTIF($DB$4:DB220,DB220)-1,NA())</f>
        <v>#N/A</v>
      </c>
      <c r="DP220" s="16">
        <f t="shared" si="204"/>
        <v>3.023192286491394E-2</v>
      </c>
      <c r="DQ220" s="16">
        <v>218</v>
      </c>
      <c r="DR220" s="16">
        <f t="shared" si="191"/>
        <v>31.2</v>
      </c>
      <c r="DS220" s="16">
        <f t="shared" si="192"/>
        <v>0.97259075671853101</v>
      </c>
      <c r="DT220" s="16">
        <f t="shared" si="193"/>
        <v>59.9</v>
      </c>
      <c r="DU220" s="16">
        <f t="shared" si="194"/>
        <v>40.1</v>
      </c>
      <c r="DV220" s="16">
        <f t="shared" si="195"/>
        <v>33.700000000000003</v>
      </c>
      <c r="DX220" s="197" t="e">
        <f t="shared" si="205"/>
        <v>#N/A</v>
      </c>
      <c r="DY220" s="197">
        <f t="shared" si="184"/>
        <v>0.93702399999999997</v>
      </c>
    </row>
    <row r="221" spans="5:129" ht="11.25" customHeight="1">
      <c r="E221" s="466">
        <v>220</v>
      </c>
      <c r="F221" s="474"/>
      <c r="G221" s="471"/>
      <c r="H221" s="321"/>
      <c r="I221" s="326"/>
      <c r="J221" s="30"/>
      <c r="BI221" s="621">
        <v>213</v>
      </c>
      <c r="BJ221" s="711"/>
      <c r="BK221" s="712"/>
      <c r="BL221" s="1109"/>
      <c r="BM221" s="1109"/>
      <c r="BN221" s="24"/>
      <c r="BP221" s="621">
        <v>213</v>
      </c>
      <c r="BQ221" s="711"/>
      <c r="BR221" s="712"/>
      <c r="BS221" s="1109"/>
      <c r="BT221" s="1109"/>
      <c r="BU221" s="24"/>
      <c r="BW221" s="621">
        <v>213</v>
      </c>
      <c r="BX221" s="711">
        <v>11.3</v>
      </c>
      <c r="BY221" s="712"/>
      <c r="BZ221" s="1109"/>
      <c r="CA221" s="1109"/>
      <c r="CB221" s="24"/>
      <c r="CT221" s="16" t="e">
        <f t="shared" si="200"/>
        <v>#N/A</v>
      </c>
      <c r="CU221" s="197" t="e">
        <f t="shared" si="201"/>
        <v>#N/A</v>
      </c>
      <c r="CV221" s="197" t="e">
        <f t="shared" si="202"/>
        <v>#N/A</v>
      </c>
      <c r="CW221" s="197">
        <v>218</v>
      </c>
      <c r="CX221" s="197" t="str">
        <f t="shared" si="196"/>
        <v/>
      </c>
      <c r="CY221" s="197" t="e">
        <f t="shared" si="197"/>
        <v>#N/A</v>
      </c>
      <c r="CZ221" s="197" t="e">
        <f t="shared" si="198"/>
        <v>#N/A</v>
      </c>
      <c r="DA221" s="197" t="str">
        <f t="shared" si="203"/>
        <v/>
      </c>
      <c r="DB221" s="16" t="e">
        <f t="shared" si="199"/>
        <v>#N/A</v>
      </c>
      <c r="DC221" s="16" t="e">
        <f>IF(ISNUMBER(CX221),COUNTIF($DB$4:DB221,DB221)-1,NA())</f>
        <v>#N/A</v>
      </c>
      <c r="DP221" s="16">
        <f t="shared" si="204"/>
        <v>0.6216641366481781</v>
      </c>
      <c r="DQ221" s="16">
        <v>219</v>
      </c>
      <c r="DR221" s="16">
        <f t="shared" si="191"/>
        <v>53.1</v>
      </c>
      <c r="DS221" s="16">
        <f t="shared" si="192"/>
        <v>2.5036659616812864</v>
      </c>
      <c r="DT221" s="16">
        <f t="shared" si="193"/>
        <v>50.3</v>
      </c>
      <c r="DU221" s="16">
        <f t="shared" si="194"/>
        <v>49.7</v>
      </c>
      <c r="DV221" s="16">
        <f t="shared" si="195"/>
        <v>54.2</v>
      </c>
      <c r="DX221" s="197" t="e">
        <f t="shared" si="205"/>
        <v>#N/A</v>
      </c>
      <c r="DY221" s="197">
        <f t="shared" si="184"/>
        <v>0.93702399999999997</v>
      </c>
    </row>
    <row r="222" spans="5:129" ht="11.25" customHeight="1">
      <c r="E222" s="466">
        <v>221</v>
      </c>
      <c r="F222" s="474"/>
      <c r="G222" s="471"/>
      <c r="H222" s="321"/>
      <c r="I222" s="326"/>
      <c r="J222" s="30"/>
      <c r="BI222" s="621">
        <v>214</v>
      </c>
      <c r="BJ222" s="711"/>
      <c r="BK222" s="712"/>
      <c r="BL222" s="1109"/>
      <c r="BM222" s="1109"/>
      <c r="BN222" s="24"/>
      <c r="BP222" s="621">
        <v>214</v>
      </c>
      <c r="BQ222" s="711"/>
      <c r="BR222" s="712"/>
      <c r="BS222" s="1109"/>
      <c r="BT222" s="1109"/>
      <c r="BU222" s="24"/>
      <c r="BW222" s="621">
        <v>214</v>
      </c>
      <c r="BX222" s="711">
        <v>8.5</v>
      </c>
      <c r="BY222" s="712"/>
      <c r="BZ222" s="1109"/>
      <c r="CA222" s="1109"/>
      <c r="CB222" s="24"/>
      <c r="CT222" s="16" t="e">
        <f t="shared" si="200"/>
        <v>#N/A</v>
      </c>
      <c r="CU222" s="197" t="e">
        <f t="shared" si="201"/>
        <v>#N/A</v>
      </c>
      <c r="CV222" s="197" t="e">
        <f t="shared" si="202"/>
        <v>#N/A</v>
      </c>
      <c r="CW222" s="197">
        <v>219</v>
      </c>
      <c r="CX222" s="197" t="str">
        <f t="shared" si="196"/>
        <v/>
      </c>
      <c r="CY222" s="197" t="e">
        <f t="shared" si="197"/>
        <v>#N/A</v>
      </c>
      <c r="CZ222" s="197" t="e">
        <f t="shared" si="198"/>
        <v>#N/A</v>
      </c>
      <c r="DA222" s="197" t="str">
        <f t="shared" si="203"/>
        <v/>
      </c>
      <c r="DB222" s="16" t="e">
        <f t="shared" si="199"/>
        <v>#N/A</v>
      </c>
      <c r="DC222" s="16" t="e">
        <f>IF(ISNUMBER(CX222),COUNTIF($DB$4:DB222,DB222)-1,NA())</f>
        <v>#N/A</v>
      </c>
      <c r="DP222" s="16">
        <f t="shared" si="204"/>
        <v>0.44811555743217468</v>
      </c>
      <c r="DQ222" s="16">
        <v>220</v>
      </c>
      <c r="DR222" s="16">
        <f t="shared" si="191"/>
        <v>48.7</v>
      </c>
      <c r="DS222" s="16">
        <f t="shared" si="192"/>
        <v>2.1954712437267032</v>
      </c>
      <c r="DT222" s="16">
        <f t="shared" si="193"/>
        <v>53.6</v>
      </c>
      <c r="DU222" s="16">
        <f t="shared" si="194"/>
        <v>46.4</v>
      </c>
      <c r="DV222" s="16">
        <f t="shared" si="195"/>
        <v>48.2</v>
      </c>
      <c r="DX222" s="197" t="e">
        <f t="shared" si="205"/>
        <v>#N/A</v>
      </c>
      <c r="DY222" s="197">
        <f t="shared" si="184"/>
        <v>0.93702399999999997</v>
      </c>
    </row>
    <row r="223" spans="5:129" ht="11.25" customHeight="1">
      <c r="E223" s="466">
        <v>222</v>
      </c>
      <c r="F223" s="474"/>
      <c r="G223" s="471"/>
      <c r="H223" s="321"/>
      <c r="I223" s="326"/>
      <c r="J223" s="30"/>
      <c r="BI223" s="621">
        <v>215</v>
      </c>
      <c r="BJ223" s="711"/>
      <c r="BK223" s="712"/>
      <c r="BL223" s="1109"/>
      <c r="BM223" s="1109"/>
      <c r="BN223" s="24"/>
      <c r="BP223" s="621">
        <v>215</v>
      </c>
      <c r="BQ223" s="711"/>
      <c r="BR223" s="712"/>
      <c r="BS223" s="1109"/>
      <c r="BT223" s="1109"/>
      <c r="BU223" s="24"/>
      <c r="BW223" s="621">
        <v>215</v>
      </c>
      <c r="BX223" s="711">
        <v>9.1</v>
      </c>
      <c r="BY223" s="712"/>
      <c r="BZ223" s="1109"/>
      <c r="CA223" s="1109"/>
      <c r="CB223" s="24"/>
      <c r="CT223" s="16" t="e">
        <f t="shared" si="200"/>
        <v>#N/A</v>
      </c>
      <c r="CU223" s="197" t="e">
        <f t="shared" si="201"/>
        <v>#N/A</v>
      </c>
      <c r="CV223" s="197" t="e">
        <f t="shared" si="202"/>
        <v>#N/A</v>
      </c>
      <c r="CW223" s="197">
        <v>220</v>
      </c>
      <c r="CX223" s="197" t="str">
        <f t="shared" si="196"/>
        <v/>
      </c>
      <c r="CY223" s="197" t="e">
        <f t="shared" si="197"/>
        <v>#N/A</v>
      </c>
      <c r="CZ223" s="197" t="e">
        <f t="shared" si="198"/>
        <v>#N/A</v>
      </c>
      <c r="DA223" s="197" t="str">
        <f t="shared" si="203"/>
        <v/>
      </c>
      <c r="DB223" s="16" t="e">
        <f t="shared" si="199"/>
        <v>#N/A</v>
      </c>
      <c r="DC223" s="16" t="e">
        <f>IF(ISNUMBER(CX223),COUNTIF($DB$4:DB223,DB223)-1,NA())</f>
        <v>#N/A</v>
      </c>
      <c r="DP223" s="16">
        <f t="shared" si="204"/>
        <v>0.39982399344444275</v>
      </c>
      <c r="DQ223" s="16">
        <v>221</v>
      </c>
      <c r="DR223" s="16">
        <f t="shared" si="191"/>
        <v>47.5</v>
      </c>
      <c r="DS223" s="16">
        <f t="shared" si="192"/>
        <v>2.1091060334682608</v>
      </c>
      <c r="DT223" s="16">
        <f t="shared" si="193"/>
        <v>54.3</v>
      </c>
      <c r="DU223" s="16">
        <f t="shared" si="194"/>
        <v>45.7</v>
      </c>
      <c r="DV223" s="16">
        <f t="shared" si="195"/>
        <v>46.5</v>
      </c>
      <c r="DX223" s="197" t="e">
        <f t="shared" si="205"/>
        <v>#N/A</v>
      </c>
      <c r="DY223" s="197">
        <f t="shared" si="184"/>
        <v>0.93702399999999997</v>
      </c>
    </row>
    <row r="224" spans="5:129" ht="11.25" customHeight="1">
      <c r="E224" s="466">
        <v>223</v>
      </c>
      <c r="F224" s="474"/>
      <c r="G224" s="471"/>
      <c r="H224" s="321"/>
      <c r="I224" s="326"/>
      <c r="J224" s="30"/>
      <c r="BI224" s="621">
        <v>216</v>
      </c>
      <c r="BJ224" s="711"/>
      <c r="BK224" s="712"/>
      <c r="BL224" s="1109"/>
      <c r="BM224" s="1109"/>
      <c r="BN224" s="24"/>
      <c r="BP224" s="621">
        <v>216</v>
      </c>
      <c r="BQ224" s="711"/>
      <c r="BR224" s="712"/>
      <c r="BS224" s="1109"/>
      <c r="BT224" s="1109"/>
      <c r="BU224" s="24"/>
      <c r="BW224" s="621">
        <v>216</v>
      </c>
      <c r="BX224" s="711">
        <v>4.5</v>
      </c>
      <c r="BY224" s="712"/>
      <c r="BZ224" s="1109"/>
      <c r="CA224" s="1109"/>
      <c r="CB224" s="24"/>
      <c r="CT224" s="16" t="e">
        <f t="shared" si="200"/>
        <v>#N/A</v>
      </c>
      <c r="CU224" s="197" t="e">
        <f t="shared" si="201"/>
        <v>#N/A</v>
      </c>
      <c r="CV224" s="197" t="e">
        <f t="shared" si="202"/>
        <v>#N/A</v>
      </c>
      <c r="CW224" s="197">
        <v>221</v>
      </c>
      <c r="CX224" s="197" t="str">
        <f t="shared" si="196"/>
        <v/>
      </c>
      <c r="CY224" s="197" t="e">
        <f t="shared" si="197"/>
        <v>#N/A</v>
      </c>
      <c r="CZ224" s="197" t="e">
        <f t="shared" si="198"/>
        <v>#N/A</v>
      </c>
      <c r="DA224" s="197" t="str">
        <f t="shared" si="203"/>
        <v/>
      </c>
      <c r="DB224" s="16" t="e">
        <f t="shared" si="199"/>
        <v>#N/A</v>
      </c>
      <c r="DC224" s="16" t="e">
        <f>IF(ISNUMBER(CX224),COUNTIF($DB$4:DB224,DB224)-1,NA())</f>
        <v>#N/A</v>
      </c>
      <c r="DP224" s="16">
        <f t="shared" si="204"/>
        <v>0.13215634226799011</v>
      </c>
      <c r="DQ224" s="16">
        <v>222</v>
      </c>
      <c r="DR224" s="16">
        <f t="shared" si="191"/>
        <v>38.799999999999997</v>
      </c>
      <c r="DS224" s="16">
        <f t="shared" si="192"/>
        <v>1.5053889114723833</v>
      </c>
      <c r="DT224" s="16">
        <f t="shared" si="193"/>
        <v>58.1</v>
      </c>
      <c r="DU224" s="16">
        <f t="shared" si="194"/>
        <v>41.9</v>
      </c>
      <c r="DV224" s="16">
        <f t="shared" si="195"/>
        <v>37.299999999999997</v>
      </c>
      <c r="DX224" s="197" t="e">
        <f t="shared" si="205"/>
        <v>#N/A</v>
      </c>
      <c r="DY224" s="197">
        <f t="shared" si="184"/>
        <v>0.93702399999999997</v>
      </c>
    </row>
    <row r="225" spans="5:129" ht="11.25" customHeight="1">
      <c r="E225" s="466">
        <v>224</v>
      </c>
      <c r="F225" s="474"/>
      <c r="G225" s="471"/>
      <c r="H225" s="321"/>
      <c r="I225" s="326"/>
      <c r="J225" s="30"/>
      <c r="BI225" s="621">
        <v>217</v>
      </c>
      <c r="BJ225" s="711"/>
      <c r="BK225" s="712"/>
      <c r="BL225" s="1109"/>
      <c r="BM225" s="1109"/>
      <c r="BN225" s="24"/>
      <c r="BP225" s="621">
        <v>217</v>
      </c>
      <c r="BQ225" s="711"/>
      <c r="BR225" s="712"/>
      <c r="BS225" s="1109"/>
      <c r="BT225" s="1109"/>
      <c r="BU225" s="24"/>
      <c r="BW225" s="621">
        <v>217</v>
      </c>
      <c r="BX225" s="711">
        <v>9.1999999999999993</v>
      </c>
      <c r="BY225" s="712"/>
      <c r="BZ225" s="1109"/>
      <c r="CA225" s="1109"/>
      <c r="CB225" s="24"/>
      <c r="CT225" s="16" t="e">
        <f t="shared" si="200"/>
        <v>#N/A</v>
      </c>
      <c r="CU225" s="197" t="e">
        <f t="shared" si="201"/>
        <v>#N/A</v>
      </c>
      <c r="CV225" s="197" t="e">
        <f t="shared" si="202"/>
        <v>#N/A</v>
      </c>
      <c r="CW225" s="197">
        <v>222</v>
      </c>
      <c r="CX225" s="197" t="str">
        <f t="shared" si="196"/>
        <v/>
      </c>
      <c r="CY225" s="197" t="e">
        <f t="shared" si="197"/>
        <v>#N/A</v>
      </c>
      <c r="CZ225" s="197" t="e">
        <f t="shared" si="198"/>
        <v>#N/A</v>
      </c>
      <c r="DA225" s="197" t="str">
        <f t="shared" si="203"/>
        <v/>
      </c>
      <c r="DB225" s="16" t="e">
        <f t="shared" si="199"/>
        <v>#N/A</v>
      </c>
      <c r="DC225" s="16" t="e">
        <f>IF(ISNUMBER(CX225),COUNTIF($DB$4:DB225,DB225)-1,NA())</f>
        <v>#N/A</v>
      </c>
      <c r="DP225" s="16">
        <f t="shared" si="204"/>
        <v>0.14071235060691833</v>
      </c>
      <c r="DQ225" s="16">
        <v>223</v>
      </c>
      <c r="DR225" s="16">
        <f t="shared" si="191"/>
        <v>39.200000000000003</v>
      </c>
      <c r="DS225" s="16">
        <f t="shared" si="192"/>
        <v>1.5327808557367653</v>
      </c>
      <c r="DT225" s="16">
        <f t="shared" si="193"/>
        <v>57.9</v>
      </c>
      <c r="DU225" s="16">
        <f t="shared" si="194"/>
        <v>42.1</v>
      </c>
      <c r="DV225" s="16">
        <f t="shared" si="195"/>
        <v>37.6</v>
      </c>
      <c r="DX225" s="197" t="e">
        <f t="shared" si="205"/>
        <v>#N/A</v>
      </c>
      <c r="DY225" s="197">
        <f t="shared" ref="DY225:DY288" si="206">DY224</f>
        <v>0.93702399999999997</v>
      </c>
    </row>
    <row r="226" spans="5:129" ht="11.25" customHeight="1">
      <c r="E226" s="466">
        <v>225</v>
      </c>
      <c r="F226" s="474"/>
      <c r="G226" s="471"/>
      <c r="H226" s="321"/>
      <c r="I226" s="326"/>
      <c r="J226" s="30"/>
      <c r="BI226" s="621">
        <v>218</v>
      </c>
      <c r="BJ226" s="711"/>
      <c r="BK226" s="712"/>
      <c r="BL226" s="1109"/>
      <c r="BM226" s="1109"/>
      <c r="BN226" s="24"/>
      <c r="BP226" s="621">
        <v>218</v>
      </c>
      <c r="BQ226" s="711"/>
      <c r="BR226" s="712"/>
      <c r="BS226" s="1109"/>
      <c r="BT226" s="1109"/>
      <c r="BU226" s="24"/>
      <c r="BW226" s="621">
        <v>218</v>
      </c>
      <c r="BX226" s="711">
        <v>13.3</v>
      </c>
      <c r="BY226" s="712"/>
      <c r="BZ226" s="1109"/>
      <c r="CA226" s="1109"/>
      <c r="CB226" s="24"/>
      <c r="CT226" s="16" t="e">
        <f t="shared" si="200"/>
        <v>#N/A</v>
      </c>
      <c r="CU226" s="197" t="e">
        <f t="shared" si="201"/>
        <v>#N/A</v>
      </c>
      <c r="CV226" s="197" t="e">
        <f t="shared" si="202"/>
        <v>#N/A</v>
      </c>
      <c r="CW226" s="197">
        <v>223</v>
      </c>
      <c r="CX226" s="197" t="str">
        <f t="shared" si="196"/>
        <v/>
      </c>
      <c r="CY226" s="197" t="e">
        <f t="shared" si="197"/>
        <v>#N/A</v>
      </c>
      <c r="CZ226" s="197" t="e">
        <f t="shared" si="198"/>
        <v>#N/A</v>
      </c>
      <c r="DA226" s="197" t="str">
        <f t="shared" si="203"/>
        <v/>
      </c>
      <c r="DB226" s="16" t="e">
        <f t="shared" si="199"/>
        <v>#N/A</v>
      </c>
      <c r="DC226" s="16" t="e">
        <f>IF(ISNUMBER(CX226),COUNTIF($DB$4:DB226,DB226)-1,NA())</f>
        <v>#N/A</v>
      </c>
      <c r="DP226" s="16">
        <f t="shared" si="204"/>
        <v>0.33532974123954773</v>
      </c>
      <c r="DQ226" s="16">
        <v>224</v>
      </c>
      <c r="DR226" s="16">
        <f t="shared" si="191"/>
        <v>45.7</v>
      </c>
      <c r="DS226" s="16">
        <f t="shared" si="192"/>
        <v>1.9890977679158881</v>
      </c>
      <c r="DT226" s="16">
        <f t="shared" si="193"/>
        <v>55.3</v>
      </c>
      <c r="DU226" s="16">
        <f t="shared" si="194"/>
        <v>44.7</v>
      </c>
      <c r="DV226" s="16">
        <f t="shared" si="195"/>
        <v>44.3</v>
      </c>
      <c r="DX226" s="197" t="e">
        <f t="shared" si="205"/>
        <v>#N/A</v>
      </c>
      <c r="DY226" s="197">
        <f t="shared" si="206"/>
        <v>0.93702399999999997</v>
      </c>
    </row>
    <row r="227" spans="5:129" ht="11.25" customHeight="1">
      <c r="E227" s="466">
        <v>226</v>
      </c>
      <c r="F227" s="474"/>
      <c r="G227" s="471"/>
      <c r="H227" s="321"/>
      <c r="I227" s="326"/>
      <c r="J227" s="30"/>
      <c r="BI227" s="621">
        <v>219</v>
      </c>
      <c r="BJ227" s="711"/>
      <c r="BK227" s="712"/>
      <c r="BL227" s="1109"/>
      <c r="BM227" s="1109"/>
      <c r="BN227" s="24"/>
      <c r="BP227" s="621">
        <v>219</v>
      </c>
      <c r="BQ227" s="711"/>
      <c r="BR227" s="712"/>
      <c r="BS227" s="1109"/>
      <c r="BT227" s="1109"/>
      <c r="BU227" s="24"/>
      <c r="BW227" s="621">
        <v>219</v>
      </c>
      <c r="BX227" s="711">
        <v>18.3</v>
      </c>
      <c r="BY227" s="712"/>
      <c r="BZ227" s="1109"/>
      <c r="CA227" s="1109"/>
      <c r="CB227" s="24"/>
      <c r="CT227" s="16" t="e">
        <f t="shared" si="200"/>
        <v>#N/A</v>
      </c>
      <c r="CU227" s="197" t="e">
        <f t="shared" si="201"/>
        <v>#N/A</v>
      </c>
      <c r="CV227" s="197" t="e">
        <f t="shared" si="202"/>
        <v>#N/A</v>
      </c>
      <c r="CW227" s="197">
        <v>224</v>
      </c>
      <c r="CX227" s="197" t="str">
        <f t="shared" si="196"/>
        <v/>
      </c>
      <c r="CY227" s="197" t="e">
        <f t="shared" si="197"/>
        <v>#N/A</v>
      </c>
      <c r="CZ227" s="197" t="e">
        <f t="shared" si="198"/>
        <v>#N/A</v>
      </c>
      <c r="DA227" s="197" t="str">
        <f t="shared" si="203"/>
        <v/>
      </c>
      <c r="DB227" s="16" t="e">
        <f t="shared" si="199"/>
        <v>#N/A</v>
      </c>
      <c r="DC227" s="16" t="e">
        <f>IF(ISNUMBER(CX227),COUNTIF($DB$4:DB227,DB227)-1,NA())</f>
        <v>#N/A</v>
      </c>
      <c r="DP227" s="16">
        <f t="shared" si="204"/>
        <v>0.77168211340904236</v>
      </c>
      <c r="DQ227" s="16">
        <v>225</v>
      </c>
      <c r="DR227" s="16">
        <f t="shared" si="191"/>
        <v>57.4</v>
      </c>
      <c r="DS227" s="16">
        <f t="shared" si="192"/>
        <v>2.8078464723518826</v>
      </c>
      <c r="DT227" s="16">
        <f t="shared" si="193"/>
        <v>46</v>
      </c>
      <c r="DU227" s="16">
        <f t="shared" si="194"/>
        <v>54</v>
      </c>
      <c r="DV227" s="16">
        <f t="shared" si="195"/>
        <v>59.4</v>
      </c>
      <c r="DX227" s="197" t="e">
        <f t="shared" si="205"/>
        <v>#N/A</v>
      </c>
      <c r="DY227" s="197">
        <f t="shared" si="206"/>
        <v>0.93702399999999997</v>
      </c>
    </row>
    <row r="228" spans="5:129" ht="11.25" customHeight="1">
      <c r="E228" s="466">
        <v>227</v>
      </c>
      <c r="F228" s="474"/>
      <c r="G228" s="471"/>
      <c r="H228" s="321"/>
      <c r="I228" s="326"/>
      <c r="J228" s="30"/>
      <c r="BI228" s="621">
        <v>220</v>
      </c>
      <c r="BJ228" s="711"/>
      <c r="BK228" s="712"/>
      <c r="BL228" s="1109"/>
      <c r="BM228" s="1109"/>
      <c r="BN228" s="24"/>
      <c r="BP228" s="621">
        <v>220</v>
      </c>
      <c r="BQ228" s="711"/>
      <c r="BR228" s="712"/>
      <c r="BS228" s="1109"/>
      <c r="BT228" s="1109"/>
      <c r="BU228" s="24"/>
      <c r="BW228" s="621">
        <v>220</v>
      </c>
      <c r="BX228" s="711">
        <v>2.8</v>
      </c>
      <c r="BY228" s="712"/>
      <c r="BZ228" s="1109"/>
      <c r="CA228" s="1109"/>
      <c r="CB228" s="24"/>
      <c r="CT228" s="16" t="e">
        <f t="shared" si="200"/>
        <v>#N/A</v>
      </c>
      <c r="CU228" s="197" t="e">
        <f t="shared" si="201"/>
        <v>#N/A</v>
      </c>
      <c r="CV228" s="197" t="e">
        <f t="shared" si="202"/>
        <v>#N/A</v>
      </c>
      <c r="CW228" s="197">
        <v>225</v>
      </c>
      <c r="CX228" s="197" t="str">
        <f t="shared" si="196"/>
        <v/>
      </c>
      <c r="CY228" s="197" t="e">
        <f t="shared" si="197"/>
        <v>#N/A</v>
      </c>
      <c r="CZ228" s="197" t="e">
        <f t="shared" si="198"/>
        <v>#N/A</v>
      </c>
      <c r="DA228" s="197" t="str">
        <f t="shared" si="203"/>
        <v/>
      </c>
      <c r="DB228" s="16" t="e">
        <f t="shared" si="199"/>
        <v>#N/A</v>
      </c>
      <c r="DC228" s="16" t="e">
        <f>IF(ISNUMBER(CX228),COUNTIF($DB$4:DB228,DB228)-1,NA())</f>
        <v>#N/A</v>
      </c>
      <c r="DP228" s="16">
        <f t="shared" si="204"/>
        <v>0.16595789790153503</v>
      </c>
      <c r="DQ228" s="16">
        <v>226</v>
      </c>
      <c r="DR228" s="16">
        <f t="shared" si="191"/>
        <v>40.299999999999997</v>
      </c>
      <c r="DS228" s="16">
        <f t="shared" si="192"/>
        <v>1.6075843587296852</v>
      </c>
      <c r="DT228" s="16">
        <f t="shared" si="193"/>
        <v>57.6</v>
      </c>
      <c r="DU228" s="16">
        <f t="shared" si="194"/>
        <v>42.4</v>
      </c>
      <c r="DV228" s="16">
        <f t="shared" si="195"/>
        <v>38.4</v>
      </c>
      <c r="DX228" s="197" t="e">
        <f t="shared" si="205"/>
        <v>#N/A</v>
      </c>
      <c r="DY228" s="197">
        <f t="shared" si="206"/>
        <v>0.93702399999999997</v>
      </c>
    </row>
    <row r="229" spans="5:129" ht="11.25" customHeight="1">
      <c r="E229" s="466">
        <v>228</v>
      </c>
      <c r="F229" s="474"/>
      <c r="G229" s="471"/>
      <c r="H229" s="321"/>
      <c r="I229" s="326"/>
      <c r="J229" s="30"/>
      <c r="BI229" s="621">
        <v>221</v>
      </c>
      <c r="BJ229" s="711"/>
      <c r="BK229" s="712"/>
      <c r="BL229" s="1109"/>
      <c r="BM229" s="1109"/>
      <c r="BN229" s="24"/>
      <c r="BP229" s="621">
        <v>221</v>
      </c>
      <c r="BQ229" s="711"/>
      <c r="BR229" s="712"/>
      <c r="BS229" s="1109"/>
      <c r="BT229" s="1109"/>
      <c r="BU229" s="24"/>
      <c r="BW229" s="621">
        <v>221</v>
      </c>
      <c r="BX229" s="711">
        <v>5.0999999999999996</v>
      </c>
      <c r="BY229" s="712"/>
      <c r="BZ229" s="1109"/>
      <c r="CA229" s="1109"/>
      <c r="CB229" s="24"/>
      <c r="CT229" s="16" t="e">
        <f t="shared" si="200"/>
        <v>#N/A</v>
      </c>
      <c r="CU229" s="197" t="e">
        <f t="shared" si="201"/>
        <v>#N/A</v>
      </c>
      <c r="CV229" s="197" t="e">
        <f t="shared" si="202"/>
        <v>#N/A</v>
      </c>
      <c r="CW229" s="197">
        <v>226</v>
      </c>
      <c r="CX229" s="197" t="str">
        <f t="shared" si="196"/>
        <v/>
      </c>
      <c r="CY229" s="197" t="e">
        <f t="shared" si="197"/>
        <v>#N/A</v>
      </c>
      <c r="CZ229" s="197" t="e">
        <f t="shared" si="198"/>
        <v>#N/A</v>
      </c>
      <c r="DA229" s="197" t="str">
        <f t="shared" si="203"/>
        <v/>
      </c>
      <c r="DB229" s="16" t="e">
        <f t="shared" si="199"/>
        <v>#N/A</v>
      </c>
      <c r="DC229" s="16" t="e">
        <f>IF(ISNUMBER(CX229),COUNTIF($DB$4:DB229,DB229)-1,NA())</f>
        <v>#N/A</v>
      </c>
      <c r="DP229" s="16">
        <f t="shared" si="204"/>
        <v>0.13646802306175232</v>
      </c>
      <c r="DQ229" s="16">
        <v>227</v>
      </c>
      <c r="DR229" s="16">
        <f t="shared" si="191"/>
        <v>39</v>
      </c>
      <c r="DS229" s="16">
        <f t="shared" si="192"/>
        <v>1.5193395815393145</v>
      </c>
      <c r="DT229" s="16">
        <f t="shared" si="193"/>
        <v>58</v>
      </c>
      <c r="DU229" s="16">
        <f t="shared" si="194"/>
        <v>42</v>
      </c>
      <c r="DV229" s="16">
        <f t="shared" si="195"/>
        <v>37.4</v>
      </c>
      <c r="DX229" s="197" t="e">
        <f t="shared" si="205"/>
        <v>#N/A</v>
      </c>
      <c r="DY229" s="197">
        <f t="shared" si="206"/>
        <v>0.93702399999999997</v>
      </c>
    </row>
    <row r="230" spans="5:129" ht="11.25" customHeight="1">
      <c r="E230" s="466">
        <v>229</v>
      </c>
      <c r="F230" s="474"/>
      <c r="G230" s="471"/>
      <c r="H230" s="321"/>
      <c r="I230" s="326"/>
      <c r="J230" s="30"/>
      <c r="BI230" s="621">
        <v>222</v>
      </c>
      <c r="BJ230" s="711"/>
      <c r="BK230" s="712"/>
      <c r="BL230" s="1109"/>
      <c r="BM230" s="1109"/>
      <c r="BN230" s="24"/>
      <c r="BP230" s="621">
        <v>222</v>
      </c>
      <c r="BQ230" s="711"/>
      <c r="BR230" s="712"/>
      <c r="BS230" s="1109"/>
      <c r="BT230" s="1109"/>
      <c r="BU230" s="24"/>
      <c r="BW230" s="621">
        <v>222</v>
      </c>
      <c r="BX230" s="711">
        <v>12.4</v>
      </c>
      <c r="BY230" s="712"/>
      <c r="BZ230" s="1109"/>
      <c r="CA230" s="1109"/>
      <c r="CB230" s="24"/>
      <c r="CT230" s="16" t="e">
        <f t="shared" si="200"/>
        <v>#N/A</v>
      </c>
      <c r="CU230" s="197" t="e">
        <f t="shared" si="201"/>
        <v>#N/A</v>
      </c>
      <c r="CV230" s="197" t="e">
        <f t="shared" si="202"/>
        <v>#N/A</v>
      </c>
      <c r="CW230" s="197">
        <v>227</v>
      </c>
      <c r="CX230" s="197" t="str">
        <f t="shared" si="196"/>
        <v/>
      </c>
      <c r="CY230" s="197" t="e">
        <f t="shared" si="197"/>
        <v>#N/A</v>
      </c>
      <c r="CZ230" s="197" t="e">
        <f t="shared" si="198"/>
        <v>#N/A</v>
      </c>
      <c r="DA230" s="197" t="str">
        <f t="shared" si="203"/>
        <v/>
      </c>
      <c r="DB230" s="16" t="e">
        <f t="shared" si="199"/>
        <v>#N/A</v>
      </c>
      <c r="DC230" s="16" t="e">
        <f>IF(ISNUMBER(CX230),COUNTIF($DB$4:DB230,DB230)-1,NA())</f>
        <v>#N/A</v>
      </c>
      <c r="DP230" s="16">
        <f t="shared" si="204"/>
        <v>4.7018229961395264E-3</v>
      </c>
      <c r="DQ230" s="16">
        <v>228</v>
      </c>
      <c r="DR230" s="16">
        <f t="shared" si="191"/>
        <v>24</v>
      </c>
      <c r="DS230" s="16">
        <f t="shared" si="192"/>
        <v>0.46885395309723665</v>
      </c>
      <c r="DT230" s="16">
        <f t="shared" si="193"/>
        <v>61</v>
      </c>
      <c r="DU230" s="16">
        <f t="shared" si="194"/>
        <v>39</v>
      </c>
      <c r="DV230" s="16">
        <f t="shared" si="195"/>
        <v>32.799999999999997</v>
      </c>
      <c r="DX230" s="197" t="e">
        <f t="shared" si="205"/>
        <v>#N/A</v>
      </c>
      <c r="DY230" s="197">
        <f t="shared" si="206"/>
        <v>0.93702399999999997</v>
      </c>
    </row>
    <row r="231" spans="5:129" ht="11.25" customHeight="1">
      <c r="E231" s="466">
        <v>230</v>
      </c>
      <c r="F231" s="474"/>
      <c r="G231" s="471"/>
      <c r="H231" s="321"/>
      <c r="I231" s="326"/>
      <c r="J231" s="30"/>
      <c r="BI231" s="621">
        <v>223</v>
      </c>
      <c r="BJ231" s="711"/>
      <c r="BK231" s="712"/>
      <c r="BL231" s="1109"/>
      <c r="BM231" s="1109"/>
      <c r="BN231" s="24"/>
      <c r="BP231" s="621">
        <v>223</v>
      </c>
      <c r="BQ231" s="711"/>
      <c r="BR231" s="712"/>
      <c r="BS231" s="1109"/>
      <c r="BT231" s="1109"/>
      <c r="BU231" s="24"/>
      <c r="BW231" s="621">
        <v>223</v>
      </c>
      <c r="BX231" s="711">
        <v>7.6</v>
      </c>
      <c r="BY231" s="712"/>
      <c r="BZ231" s="1109"/>
      <c r="CA231" s="1109"/>
      <c r="CB231" s="24"/>
      <c r="CT231" s="16" t="e">
        <f t="shared" si="200"/>
        <v>#N/A</v>
      </c>
      <c r="CU231" s="197" t="e">
        <f t="shared" si="201"/>
        <v>#N/A</v>
      </c>
      <c r="CV231" s="197" t="e">
        <f t="shared" si="202"/>
        <v>#N/A</v>
      </c>
      <c r="CW231" s="197">
        <v>228</v>
      </c>
      <c r="CX231" s="197" t="str">
        <f t="shared" si="196"/>
        <v/>
      </c>
      <c r="CY231" s="197" t="e">
        <f t="shared" si="197"/>
        <v>#N/A</v>
      </c>
      <c r="CZ231" s="197" t="e">
        <f t="shared" si="198"/>
        <v>#N/A</v>
      </c>
      <c r="DA231" s="197" t="str">
        <f t="shared" si="203"/>
        <v/>
      </c>
      <c r="DB231" s="16" t="e">
        <f t="shared" si="199"/>
        <v>#N/A</v>
      </c>
      <c r="DC231" s="16" t="e">
        <f>IF(ISNUMBER(CX231),COUNTIF($DB$4:DB231,DB231)-1,NA())</f>
        <v>#N/A</v>
      </c>
      <c r="DP231" s="16">
        <f t="shared" si="204"/>
        <v>0.29108509421348572</v>
      </c>
      <c r="DQ231" s="16">
        <v>229</v>
      </c>
      <c r="DR231" s="16">
        <f t="shared" si="191"/>
        <v>44.5</v>
      </c>
      <c r="DS231" s="16">
        <f t="shared" si="192"/>
        <v>1.9016156601867107</v>
      </c>
      <c r="DT231" s="16">
        <f t="shared" si="193"/>
        <v>55.9</v>
      </c>
      <c r="DU231" s="16">
        <f t="shared" si="194"/>
        <v>44.1</v>
      </c>
      <c r="DV231" s="16">
        <f t="shared" si="195"/>
        <v>42.8</v>
      </c>
      <c r="DX231" s="197" t="e">
        <f t="shared" si="205"/>
        <v>#N/A</v>
      </c>
      <c r="DY231" s="197">
        <f t="shared" si="206"/>
        <v>0.93702399999999997</v>
      </c>
    </row>
    <row r="232" spans="5:129" ht="11.25" customHeight="1">
      <c r="E232" s="466">
        <v>231</v>
      </c>
      <c r="F232" s="474"/>
      <c r="G232" s="471"/>
      <c r="H232" s="321"/>
      <c r="I232" s="326"/>
      <c r="J232" s="30"/>
      <c r="BI232" s="621">
        <v>224</v>
      </c>
      <c r="BJ232" s="711"/>
      <c r="BK232" s="712"/>
      <c r="BL232" s="1109"/>
      <c r="BM232" s="1109"/>
      <c r="BN232" s="24"/>
      <c r="BP232" s="621">
        <v>224</v>
      </c>
      <c r="BQ232" s="711"/>
      <c r="BR232" s="712"/>
      <c r="BS232" s="1109"/>
      <c r="BT232" s="1109"/>
      <c r="BU232" s="24"/>
      <c r="BW232" s="621">
        <v>224</v>
      </c>
      <c r="BX232" s="711">
        <v>12.2</v>
      </c>
      <c r="BY232" s="712"/>
      <c r="BZ232" s="1109"/>
      <c r="CA232" s="1109"/>
      <c r="CB232" s="24"/>
      <c r="CT232" s="16" t="e">
        <f t="shared" si="200"/>
        <v>#N/A</v>
      </c>
      <c r="CU232" s="197" t="e">
        <f t="shared" si="201"/>
        <v>#N/A</v>
      </c>
      <c r="CV232" s="197" t="e">
        <f t="shared" si="202"/>
        <v>#N/A</v>
      </c>
      <c r="CW232" s="197">
        <v>229</v>
      </c>
      <c r="CX232" s="197" t="str">
        <f t="shared" si="196"/>
        <v/>
      </c>
      <c r="CY232" s="197" t="e">
        <f t="shared" si="197"/>
        <v>#N/A</v>
      </c>
      <c r="CZ232" s="197" t="e">
        <f t="shared" si="198"/>
        <v>#N/A</v>
      </c>
      <c r="DA232" s="197" t="str">
        <f t="shared" si="203"/>
        <v/>
      </c>
      <c r="DB232" s="16" t="e">
        <f t="shared" si="199"/>
        <v>#N/A</v>
      </c>
      <c r="DC232" s="16" t="e">
        <f>IF(ISNUMBER(CX232),COUNTIF($DB$4:DB232,DB232)-1,NA())</f>
        <v>#N/A</v>
      </c>
      <c r="DP232" s="16">
        <f t="shared" si="204"/>
        <v>0.72624108195304871</v>
      </c>
      <c r="DQ232" s="16">
        <v>230</v>
      </c>
      <c r="DR232" s="16">
        <f t="shared" si="191"/>
        <v>56</v>
      </c>
      <c r="DS232" s="16">
        <f t="shared" si="192"/>
        <v>2.7078065445349004</v>
      </c>
      <c r="DT232" s="16">
        <f t="shared" si="193"/>
        <v>47.6</v>
      </c>
      <c r="DU232" s="16">
        <f t="shared" si="194"/>
        <v>52.4</v>
      </c>
      <c r="DV232" s="16">
        <f t="shared" si="195"/>
        <v>57.8</v>
      </c>
      <c r="DX232" s="197" t="e">
        <f t="shared" si="205"/>
        <v>#N/A</v>
      </c>
      <c r="DY232" s="197">
        <f t="shared" si="206"/>
        <v>0.93702399999999997</v>
      </c>
    </row>
    <row r="233" spans="5:129" ht="11.25" customHeight="1">
      <c r="E233" s="466">
        <v>232</v>
      </c>
      <c r="F233" s="474"/>
      <c r="G233" s="471"/>
      <c r="H233" s="321"/>
      <c r="I233" s="326"/>
      <c r="J233" s="30"/>
      <c r="BI233" s="621">
        <v>225</v>
      </c>
      <c r="BJ233" s="711"/>
      <c r="BK233" s="712"/>
      <c r="BL233" s="1109"/>
      <c r="BM233" s="1109"/>
      <c r="BN233" s="24"/>
      <c r="BP233" s="621">
        <v>225</v>
      </c>
      <c r="BQ233" s="711"/>
      <c r="BR233" s="712"/>
      <c r="BS233" s="1109"/>
      <c r="BT233" s="1109"/>
      <c r="BU233" s="24"/>
      <c r="BW233" s="621">
        <v>225</v>
      </c>
      <c r="BX233" s="711">
        <v>10.8</v>
      </c>
      <c r="BY233" s="712"/>
      <c r="BZ233" s="1109"/>
      <c r="CA233" s="1109"/>
      <c r="CB233" s="24"/>
      <c r="CT233" s="16" t="e">
        <f t="shared" si="200"/>
        <v>#N/A</v>
      </c>
      <c r="CU233" s="197" t="e">
        <f t="shared" si="201"/>
        <v>#N/A</v>
      </c>
      <c r="CV233" s="197" t="e">
        <f t="shared" si="202"/>
        <v>#N/A</v>
      </c>
      <c r="CW233" s="197">
        <v>230</v>
      </c>
      <c r="CX233" s="197" t="str">
        <f t="shared" si="196"/>
        <v/>
      </c>
      <c r="CY233" s="197" t="e">
        <f t="shared" si="197"/>
        <v>#N/A</v>
      </c>
      <c r="CZ233" s="197" t="e">
        <f t="shared" si="198"/>
        <v>#N/A</v>
      </c>
      <c r="DA233" s="197" t="str">
        <f t="shared" si="203"/>
        <v/>
      </c>
      <c r="DB233" s="16" t="e">
        <f t="shared" si="199"/>
        <v>#N/A</v>
      </c>
      <c r="DC233" s="16" t="e">
        <f>IF(ISNUMBER(CX233),COUNTIF($DB$4:DB233,DB233)-1,NA())</f>
        <v>#N/A</v>
      </c>
      <c r="DP233" s="16">
        <f t="shared" si="204"/>
        <v>0.26066455245018005</v>
      </c>
      <c r="DQ233" s="16">
        <v>231</v>
      </c>
      <c r="DR233" s="16">
        <f t="shared" si="191"/>
        <v>43.6</v>
      </c>
      <c r="DS233" s="16">
        <f t="shared" si="192"/>
        <v>1.8378593417496574</v>
      </c>
      <c r="DT233" s="16">
        <f t="shared" si="193"/>
        <v>56.3</v>
      </c>
      <c r="DU233" s="16">
        <f t="shared" si="194"/>
        <v>43.7</v>
      </c>
      <c r="DV233" s="16">
        <f t="shared" si="195"/>
        <v>41.7</v>
      </c>
      <c r="DX233" s="197" t="e">
        <f t="shared" si="205"/>
        <v>#N/A</v>
      </c>
      <c r="DY233" s="197">
        <f t="shared" si="206"/>
        <v>0.93702399999999997</v>
      </c>
    </row>
    <row r="234" spans="5:129" ht="11.25" customHeight="1">
      <c r="E234" s="466">
        <v>233</v>
      </c>
      <c r="F234" s="474"/>
      <c r="G234" s="471"/>
      <c r="H234" s="321"/>
      <c r="I234" s="326"/>
      <c r="J234" s="30"/>
      <c r="BI234" s="621">
        <v>226</v>
      </c>
      <c r="BJ234" s="711"/>
      <c r="BK234" s="712"/>
      <c r="BL234" s="1109"/>
      <c r="BM234" s="1109"/>
      <c r="BN234" s="24"/>
      <c r="BP234" s="621">
        <v>226</v>
      </c>
      <c r="BQ234" s="711"/>
      <c r="BR234" s="712"/>
      <c r="BS234" s="1109"/>
      <c r="BT234" s="1109"/>
      <c r="BU234" s="24"/>
      <c r="BW234" s="621">
        <v>226</v>
      </c>
      <c r="BX234" s="711">
        <v>1</v>
      </c>
      <c r="BY234" s="712"/>
      <c r="BZ234" s="1109"/>
      <c r="CA234" s="1109"/>
      <c r="CB234" s="24"/>
      <c r="CT234" s="16" t="e">
        <f t="shared" si="200"/>
        <v>#N/A</v>
      </c>
      <c r="CU234" s="197" t="e">
        <f t="shared" si="201"/>
        <v>#N/A</v>
      </c>
      <c r="CV234" s="197" t="e">
        <f t="shared" si="202"/>
        <v>#N/A</v>
      </c>
      <c r="CW234" s="197">
        <v>231</v>
      </c>
      <c r="CX234" s="197" t="str">
        <f t="shared" si="196"/>
        <v/>
      </c>
      <c r="CY234" s="197" t="e">
        <f t="shared" si="197"/>
        <v>#N/A</v>
      </c>
      <c r="CZ234" s="197" t="e">
        <f t="shared" si="198"/>
        <v>#N/A</v>
      </c>
      <c r="DA234" s="197" t="str">
        <f t="shared" si="203"/>
        <v/>
      </c>
      <c r="DB234" s="16" t="e">
        <f t="shared" si="199"/>
        <v>#N/A</v>
      </c>
      <c r="DC234" s="16" t="e">
        <f>IF(ISNUMBER(CX234),COUNTIF($DB$4:DB234,DB234)-1,NA())</f>
        <v>#N/A</v>
      </c>
      <c r="DP234" s="16">
        <f t="shared" si="204"/>
        <v>0.91314098238945007</v>
      </c>
      <c r="DQ234" s="16">
        <v>232</v>
      </c>
      <c r="DR234" s="16">
        <f t="shared" si="191"/>
        <v>63.6</v>
      </c>
      <c r="DS234" s="16">
        <f t="shared" si="192"/>
        <v>3.2390154860218368</v>
      </c>
      <c r="DT234" s="16">
        <f t="shared" si="193"/>
        <v>37.1</v>
      </c>
      <c r="DU234" s="16">
        <f t="shared" si="194"/>
        <v>62.9</v>
      </c>
      <c r="DV234" s="16">
        <f t="shared" si="195"/>
        <v>64.3</v>
      </c>
      <c r="DX234" s="197" t="e">
        <f t="shared" si="205"/>
        <v>#N/A</v>
      </c>
      <c r="DY234" s="197">
        <f t="shared" si="206"/>
        <v>0.93702399999999997</v>
      </c>
    </row>
    <row r="235" spans="5:129" ht="11.25" customHeight="1">
      <c r="E235" s="466">
        <v>234</v>
      </c>
      <c r="F235" s="474"/>
      <c r="G235" s="471"/>
      <c r="H235" s="321"/>
      <c r="I235" s="326"/>
      <c r="J235" s="30"/>
      <c r="BI235" s="621">
        <v>227</v>
      </c>
      <c r="BJ235" s="711"/>
      <c r="BK235" s="712"/>
      <c r="BL235" s="1109"/>
      <c r="BM235" s="1109"/>
      <c r="BN235" s="24"/>
      <c r="BP235" s="621">
        <v>227</v>
      </c>
      <c r="BQ235" s="711"/>
      <c r="BR235" s="712"/>
      <c r="BS235" s="1109"/>
      <c r="BT235" s="1109"/>
      <c r="BU235" s="24"/>
      <c r="BW235" s="621">
        <v>227</v>
      </c>
      <c r="BX235" s="711">
        <v>2.9</v>
      </c>
      <c r="BY235" s="712"/>
      <c r="BZ235" s="1109"/>
      <c r="CA235" s="1109"/>
      <c r="CB235" s="24"/>
      <c r="CT235" s="16" t="e">
        <f t="shared" si="200"/>
        <v>#N/A</v>
      </c>
      <c r="CU235" s="197" t="e">
        <f t="shared" si="201"/>
        <v>#N/A</v>
      </c>
      <c r="CV235" s="197" t="e">
        <f t="shared" si="202"/>
        <v>#N/A</v>
      </c>
      <c r="CW235" s="197">
        <v>232</v>
      </c>
      <c r="CX235" s="197" t="str">
        <f t="shared" si="196"/>
        <v/>
      </c>
      <c r="CY235" s="197" t="e">
        <f t="shared" si="197"/>
        <v>#N/A</v>
      </c>
      <c r="CZ235" s="197" t="e">
        <f t="shared" si="198"/>
        <v>#N/A</v>
      </c>
      <c r="DA235" s="197" t="str">
        <f t="shared" si="203"/>
        <v/>
      </c>
      <c r="DB235" s="16" t="e">
        <f t="shared" si="199"/>
        <v>#N/A</v>
      </c>
      <c r="DC235" s="16" t="e">
        <f>IF(ISNUMBER(CX235),COUNTIF($DB$4:DB235,DB235)-1,NA())</f>
        <v>#N/A</v>
      </c>
      <c r="DP235" s="16">
        <f t="shared" si="204"/>
        <v>0.69472727179527283</v>
      </c>
      <c r="DQ235" s="16">
        <v>233</v>
      </c>
      <c r="DR235" s="16">
        <f t="shared" si="191"/>
        <v>55.1</v>
      </c>
      <c r="DS235" s="16">
        <f t="shared" si="192"/>
        <v>2.6432744296527932</v>
      </c>
      <c r="DT235" s="16">
        <f t="shared" si="193"/>
        <v>48.5</v>
      </c>
      <c r="DU235" s="16">
        <f t="shared" si="194"/>
        <v>51.5</v>
      </c>
      <c r="DV235" s="16">
        <f t="shared" si="195"/>
        <v>56.7</v>
      </c>
      <c r="DX235" s="197" t="e">
        <f t="shared" si="205"/>
        <v>#N/A</v>
      </c>
      <c r="DY235" s="197">
        <f t="shared" si="206"/>
        <v>0.93702399999999997</v>
      </c>
    </row>
    <row r="236" spans="5:129" ht="11.25" customHeight="1">
      <c r="E236" s="466">
        <v>235</v>
      </c>
      <c r="F236" s="474"/>
      <c r="G236" s="471"/>
      <c r="H236" s="321"/>
      <c r="I236" s="326"/>
      <c r="J236" s="30"/>
      <c r="BI236" s="621">
        <v>228</v>
      </c>
      <c r="BJ236" s="711"/>
      <c r="BK236" s="712"/>
      <c r="BL236" s="1109"/>
      <c r="BM236" s="1109"/>
      <c r="BN236" s="24"/>
      <c r="BP236" s="621">
        <v>228</v>
      </c>
      <c r="BQ236" s="711"/>
      <c r="BR236" s="712"/>
      <c r="BS236" s="1109"/>
      <c r="BT236" s="1109"/>
      <c r="BU236" s="24"/>
      <c r="BW236" s="621">
        <v>228</v>
      </c>
      <c r="BX236" s="711">
        <v>14.4</v>
      </c>
      <c r="BY236" s="712"/>
      <c r="BZ236" s="1109"/>
      <c r="CA236" s="1109"/>
      <c r="CB236" s="24"/>
      <c r="CT236" s="16" t="e">
        <f t="shared" si="200"/>
        <v>#N/A</v>
      </c>
      <c r="CU236" s="197" t="e">
        <f t="shared" si="201"/>
        <v>#N/A</v>
      </c>
      <c r="CV236" s="197" t="e">
        <f t="shared" si="202"/>
        <v>#N/A</v>
      </c>
      <c r="CW236" s="197">
        <v>233</v>
      </c>
      <c r="CX236" s="197" t="str">
        <f t="shared" si="196"/>
        <v/>
      </c>
      <c r="CY236" s="197" t="e">
        <f t="shared" si="197"/>
        <v>#N/A</v>
      </c>
      <c r="CZ236" s="197" t="e">
        <f t="shared" si="198"/>
        <v>#N/A</v>
      </c>
      <c r="DA236" s="197" t="str">
        <f t="shared" si="203"/>
        <v/>
      </c>
      <c r="DB236" s="16" t="e">
        <f t="shared" si="199"/>
        <v>#N/A</v>
      </c>
      <c r="DC236" s="16" t="e">
        <f>IF(ISNUMBER(CX236),COUNTIF($DB$4:DB236,DB236)-1,NA())</f>
        <v>#N/A</v>
      </c>
      <c r="DP236" s="16">
        <f t="shared" si="204"/>
        <v>0.74940726161003113</v>
      </c>
      <c r="DQ236" s="16">
        <v>234</v>
      </c>
      <c r="DR236" s="16">
        <f t="shared" si="191"/>
        <v>56.7</v>
      </c>
      <c r="DS236" s="16">
        <f t="shared" si="192"/>
        <v>2.7576058815824251</v>
      </c>
      <c r="DT236" s="16">
        <f t="shared" si="193"/>
        <v>46.8</v>
      </c>
      <c r="DU236" s="16">
        <f t="shared" si="194"/>
        <v>53.2</v>
      </c>
      <c r="DV236" s="16">
        <f t="shared" si="195"/>
        <v>58.6</v>
      </c>
      <c r="DX236" s="197" t="e">
        <f t="shared" si="205"/>
        <v>#N/A</v>
      </c>
      <c r="DY236" s="197">
        <f t="shared" si="206"/>
        <v>0.93702399999999997</v>
      </c>
    </row>
    <row r="237" spans="5:129" ht="11.25" customHeight="1">
      <c r="E237" s="466">
        <v>236</v>
      </c>
      <c r="F237" s="474"/>
      <c r="G237" s="471"/>
      <c r="H237" s="321"/>
      <c r="I237" s="326"/>
      <c r="J237" s="30"/>
      <c r="BI237" s="621">
        <v>229</v>
      </c>
      <c r="BJ237" s="711"/>
      <c r="BK237" s="712"/>
      <c r="BL237" s="1109"/>
      <c r="BM237" s="1109"/>
      <c r="BN237" s="24"/>
      <c r="BP237" s="621">
        <v>229</v>
      </c>
      <c r="BQ237" s="711"/>
      <c r="BR237" s="712"/>
      <c r="BS237" s="1109"/>
      <c r="BT237" s="1109"/>
      <c r="BU237" s="24"/>
      <c r="BW237" s="621">
        <v>229</v>
      </c>
      <c r="BX237" s="711">
        <v>8.4</v>
      </c>
      <c r="BY237" s="712"/>
      <c r="BZ237" s="1109"/>
      <c r="CA237" s="1109"/>
      <c r="CB237" s="24"/>
      <c r="CT237" s="16" t="e">
        <f t="shared" si="200"/>
        <v>#N/A</v>
      </c>
      <c r="CU237" s="197" t="e">
        <f t="shared" si="201"/>
        <v>#N/A</v>
      </c>
      <c r="CV237" s="197" t="e">
        <f t="shared" si="202"/>
        <v>#N/A</v>
      </c>
      <c r="CW237" s="197">
        <v>234</v>
      </c>
      <c r="CX237" s="197" t="str">
        <f t="shared" si="196"/>
        <v/>
      </c>
      <c r="CY237" s="197" t="e">
        <f t="shared" si="197"/>
        <v>#N/A</v>
      </c>
      <c r="CZ237" s="197" t="e">
        <f t="shared" si="198"/>
        <v>#N/A</v>
      </c>
      <c r="DA237" s="197" t="str">
        <f t="shared" si="203"/>
        <v/>
      </c>
      <c r="DB237" s="16" t="e">
        <f t="shared" si="199"/>
        <v>#N/A</v>
      </c>
      <c r="DC237" s="16" t="e">
        <f>IF(ISNUMBER(CX237),COUNTIF($DB$4:DB237,DB237)-1,NA())</f>
        <v>#N/A</v>
      </c>
      <c r="DP237" s="16">
        <f t="shared" si="204"/>
        <v>0.35839471220970154</v>
      </c>
      <c r="DQ237" s="16">
        <v>235</v>
      </c>
      <c r="DR237" s="16">
        <f t="shared" si="191"/>
        <v>46.4</v>
      </c>
      <c r="DS237" s="16">
        <f t="shared" si="192"/>
        <v>2.0328408428830844</v>
      </c>
      <c r="DT237" s="16">
        <f t="shared" si="193"/>
        <v>54.9</v>
      </c>
      <c r="DU237" s="16">
        <f t="shared" si="194"/>
        <v>45.1</v>
      </c>
      <c r="DV237" s="16">
        <f t="shared" si="195"/>
        <v>45.1</v>
      </c>
      <c r="DX237" s="197" t="e">
        <f t="shared" si="205"/>
        <v>#N/A</v>
      </c>
      <c r="DY237" s="197">
        <f t="shared" si="206"/>
        <v>0.93702399999999997</v>
      </c>
    </row>
    <row r="238" spans="5:129" ht="11.25" customHeight="1">
      <c r="E238" s="466">
        <v>237</v>
      </c>
      <c r="F238" s="474"/>
      <c r="G238" s="471"/>
      <c r="H238" s="321"/>
      <c r="I238" s="326"/>
      <c r="J238" s="30"/>
      <c r="BI238" s="621">
        <v>230</v>
      </c>
      <c r="BJ238" s="711"/>
      <c r="BK238" s="712"/>
      <c r="BL238" s="1109"/>
      <c r="BM238" s="1109"/>
      <c r="BN238" s="24"/>
      <c r="BP238" s="621">
        <v>230</v>
      </c>
      <c r="BQ238" s="711"/>
      <c r="BR238" s="712"/>
      <c r="BS238" s="1109"/>
      <c r="BT238" s="1109"/>
      <c r="BU238" s="24"/>
      <c r="BW238" s="621">
        <v>230</v>
      </c>
      <c r="BX238" s="711">
        <v>17.7</v>
      </c>
      <c r="BY238" s="712"/>
      <c r="BZ238" s="1109"/>
      <c r="CA238" s="1109"/>
      <c r="CB238" s="24"/>
      <c r="CT238" s="16" t="e">
        <f t="shared" si="200"/>
        <v>#N/A</v>
      </c>
      <c r="CU238" s="197" t="e">
        <f t="shared" si="201"/>
        <v>#N/A</v>
      </c>
      <c r="CV238" s="197" t="e">
        <f t="shared" si="202"/>
        <v>#N/A</v>
      </c>
      <c r="CW238" s="197">
        <v>235</v>
      </c>
      <c r="CX238" s="197" t="str">
        <f t="shared" si="196"/>
        <v/>
      </c>
      <c r="CY238" s="197" t="e">
        <f t="shared" si="197"/>
        <v>#N/A</v>
      </c>
      <c r="CZ238" s="197" t="e">
        <f t="shared" si="198"/>
        <v>#N/A</v>
      </c>
      <c r="DA238" s="197" t="str">
        <f t="shared" si="203"/>
        <v/>
      </c>
      <c r="DB238" s="16" t="e">
        <f t="shared" si="199"/>
        <v>#N/A</v>
      </c>
      <c r="DC238" s="16" t="e">
        <f>IF(ISNUMBER(CX238),COUNTIF($DB$4:DB238,DB238)-1,NA())</f>
        <v>#N/A</v>
      </c>
      <c r="DP238" s="16">
        <f t="shared" si="204"/>
        <v>0.78122827410697937</v>
      </c>
      <c r="DQ238" s="16">
        <v>236</v>
      </c>
      <c r="DR238" s="16">
        <f t="shared" si="191"/>
        <v>57.8</v>
      </c>
      <c r="DS238" s="16">
        <f t="shared" si="192"/>
        <v>2.8302116272297555</v>
      </c>
      <c r="DT238" s="16">
        <f t="shared" si="193"/>
        <v>45.6</v>
      </c>
      <c r="DU238" s="16">
        <f t="shared" si="194"/>
        <v>54.4</v>
      </c>
      <c r="DV238" s="16">
        <f t="shared" si="195"/>
        <v>59.7</v>
      </c>
      <c r="DX238" s="197" t="e">
        <f t="shared" si="205"/>
        <v>#N/A</v>
      </c>
      <c r="DY238" s="197">
        <f t="shared" si="206"/>
        <v>0.93702399999999997</v>
      </c>
    </row>
    <row r="239" spans="5:129" ht="11.25" customHeight="1">
      <c r="E239" s="466">
        <v>238</v>
      </c>
      <c r="F239" s="474"/>
      <c r="G239" s="471"/>
      <c r="H239" s="321"/>
      <c r="I239" s="326"/>
      <c r="J239" s="30"/>
      <c r="BI239" s="621">
        <v>231</v>
      </c>
      <c r="BJ239" s="711"/>
      <c r="BK239" s="712"/>
      <c r="BL239" s="1109"/>
      <c r="BM239" s="1109"/>
      <c r="BN239" s="24"/>
      <c r="BP239" s="621">
        <v>231</v>
      </c>
      <c r="BQ239" s="711"/>
      <c r="BR239" s="712"/>
      <c r="BS239" s="1109"/>
      <c r="BT239" s="1109"/>
      <c r="BU239" s="24"/>
      <c r="BW239" s="621">
        <v>231</v>
      </c>
      <c r="BX239" s="711">
        <v>20.100000000000001</v>
      </c>
      <c r="BY239" s="712"/>
      <c r="BZ239" s="1109"/>
      <c r="CA239" s="1109"/>
      <c r="CB239" s="24"/>
      <c r="CT239" s="16" t="e">
        <f t="shared" si="200"/>
        <v>#N/A</v>
      </c>
      <c r="CU239" s="197" t="e">
        <f t="shared" si="201"/>
        <v>#N/A</v>
      </c>
      <c r="CV239" s="197" t="e">
        <f t="shared" si="202"/>
        <v>#N/A</v>
      </c>
      <c r="CW239" s="197">
        <v>236</v>
      </c>
      <c r="CX239" s="197" t="str">
        <f t="shared" si="196"/>
        <v/>
      </c>
      <c r="CY239" s="197" t="e">
        <f t="shared" si="197"/>
        <v>#N/A</v>
      </c>
      <c r="CZ239" s="197" t="e">
        <f t="shared" si="198"/>
        <v>#N/A</v>
      </c>
      <c r="DA239" s="197" t="str">
        <f t="shared" si="203"/>
        <v/>
      </c>
      <c r="DB239" s="16" t="e">
        <f t="shared" si="199"/>
        <v>#N/A</v>
      </c>
      <c r="DC239" s="16" t="e">
        <f>IF(ISNUMBER(CX239),COUNTIF($DB$4:DB239,DB239)-1,NA())</f>
        <v>#N/A</v>
      </c>
      <c r="DP239" s="16">
        <f t="shared" si="204"/>
        <v>0.89703735709190369</v>
      </c>
      <c r="DQ239" s="16">
        <v>237</v>
      </c>
      <c r="DR239" s="16">
        <f t="shared" si="191"/>
        <v>62.6</v>
      </c>
      <c r="DS239" s="16">
        <f t="shared" si="192"/>
        <v>3.1721625686360646</v>
      </c>
      <c r="DT239" s="16">
        <f t="shared" si="193"/>
        <v>38.700000000000003</v>
      </c>
      <c r="DU239" s="16">
        <f t="shared" si="194"/>
        <v>61.3</v>
      </c>
      <c r="DV239" s="16">
        <f t="shared" si="195"/>
        <v>63.8</v>
      </c>
      <c r="DX239" s="197" t="e">
        <f t="shared" si="205"/>
        <v>#N/A</v>
      </c>
      <c r="DY239" s="197">
        <f t="shared" si="206"/>
        <v>0.93702399999999997</v>
      </c>
    </row>
    <row r="240" spans="5:129" ht="11.25" customHeight="1">
      <c r="E240" s="466">
        <v>239</v>
      </c>
      <c r="F240" s="474"/>
      <c r="G240" s="471"/>
      <c r="H240" s="321"/>
      <c r="I240" s="326"/>
      <c r="J240" s="30"/>
      <c r="BI240" s="621">
        <v>232</v>
      </c>
      <c r="BJ240" s="711"/>
      <c r="BK240" s="712"/>
      <c r="BL240" s="1109"/>
      <c r="BM240" s="1109"/>
      <c r="BN240" s="24"/>
      <c r="BP240" s="621">
        <v>232</v>
      </c>
      <c r="BQ240" s="711"/>
      <c r="BR240" s="712"/>
      <c r="BS240" s="1109"/>
      <c r="BT240" s="1109"/>
      <c r="BU240" s="24"/>
      <c r="BW240" s="621">
        <v>232</v>
      </c>
      <c r="BX240" s="711">
        <v>2.1</v>
      </c>
      <c r="BY240" s="712"/>
      <c r="BZ240" s="1109"/>
      <c r="CA240" s="1109"/>
      <c r="CB240" s="24"/>
      <c r="CT240" s="16" t="e">
        <f t="shared" si="200"/>
        <v>#N/A</v>
      </c>
      <c r="CU240" s="197" t="e">
        <f t="shared" si="201"/>
        <v>#N/A</v>
      </c>
      <c r="CV240" s="197" t="e">
        <f t="shared" si="202"/>
        <v>#N/A</v>
      </c>
      <c r="CW240" s="197">
        <v>237</v>
      </c>
      <c r="CX240" s="197" t="str">
        <f t="shared" si="196"/>
        <v/>
      </c>
      <c r="CY240" s="197" t="e">
        <f t="shared" si="197"/>
        <v>#N/A</v>
      </c>
      <c r="CZ240" s="197" t="e">
        <f t="shared" si="198"/>
        <v>#N/A</v>
      </c>
      <c r="DA240" s="197" t="str">
        <f t="shared" si="203"/>
        <v/>
      </c>
      <c r="DB240" s="16" t="e">
        <f t="shared" si="199"/>
        <v>#N/A</v>
      </c>
      <c r="DC240" s="16" t="e">
        <f>IF(ISNUMBER(CX240),COUNTIF($DB$4:DB240,DB240)-1,NA())</f>
        <v>#N/A</v>
      </c>
      <c r="DP240" s="16">
        <f t="shared" si="204"/>
        <v>0.2324046790599823</v>
      </c>
      <c r="DQ240" s="16">
        <v>238</v>
      </c>
      <c r="DR240" s="16">
        <f t="shared" si="191"/>
        <v>42.7</v>
      </c>
      <c r="DS240" s="16">
        <f t="shared" si="192"/>
        <v>1.7751025391439907</v>
      </c>
      <c r="DT240" s="16">
        <f t="shared" si="193"/>
        <v>56.7</v>
      </c>
      <c r="DU240" s="16">
        <f t="shared" si="194"/>
        <v>43.3</v>
      </c>
      <c r="DV240" s="16">
        <f t="shared" si="195"/>
        <v>40.700000000000003</v>
      </c>
      <c r="DX240" s="197" t="e">
        <f t="shared" si="205"/>
        <v>#N/A</v>
      </c>
      <c r="DY240" s="197">
        <f t="shared" si="206"/>
        <v>0.93702399999999997</v>
      </c>
    </row>
    <row r="241" spans="5:129" ht="11.25" customHeight="1">
      <c r="E241" s="466">
        <v>240</v>
      </c>
      <c r="F241" s="474"/>
      <c r="G241" s="471"/>
      <c r="H241" s="321"/>
      <c r="I241" s="326"/>
      <c r="J241" s="30"/>
      <c r="BI241" s="621">
        <v>233</v>
      </c>
      <c r="BJ241" s="711"/>
      <c r="BK241" s="712"/>
      <c r="BL241" s="1109"/>
      <c r="BM241" s="1109"/>
      <c r="BN241" s="24"/>
      <c r="BP241" s="621">
        <v>233</v>
      </c>
      <c r="BQ241" s="711"/>
      <c r="BR241" s="712"/>
      <c r="BS241" s="1109"/>
      <c r="BT241" s="1109"/>
      <c r="BU241" s="24"/>
      <c r="BW241" s="621">
        <v>233</v>
      </c>
      <c r="BX241" s="711">
        <v>11.1</v>
      </c>
      <c r="BY241" s="712"/>
      <c r="BZ241" s="1109"/>
      <c r="CA241" s="1109"/>
      <c r="CB241" s="24"/>
      <c r="CT241" s="16" t="e">
        <f t="shared" si="200"/>
        <v>#N/A</v>
      </c>
      <c r="CU241" s="197" t="e">
        <f t="shared" si="201"/>
        <v>#N/A</v>
      </c>
      <c r="CV241" s="197" t="e">
        <f t="shared" si="202"/>
        <v>#N/A</v>
      </c>
      <c r="CW241" s="197">
        <v>238</v>
      </c>
      <c r="CX241" s="197" t="str">
        <f t="shared" si="196"/>
        <v/>
      </c>
      <c r="CY241" s="197" t="e">
        <f t="shared" si="197"/>
        <v>#N/A</v>
      </c>
      <c r="CZ241" s="197" t="e">
        <f t="shared" si="198"/>
        <v>#N/A</v>
      </c>
      <c r="DA241" s="197" t="str">
        <f t="shared" si="203"/>
        <v/>
      </c>
      <c r="DB241" s="16" t="e">
        <f t="shared" si="199"/>
        <v>#N/A</v>
      </c>
      <c r="DC241" s="16" t="e">
        <f>IF(ISNUMBER(CX241),COUNTIF($DB$4:DB241,DB241)-1,NA())</f>
        <v>#N/A</v>
      </c>
      <c r="DP241" s="16">
        <f t="shared" si="204"/>
        <v>0.81186065077781677</v>
      </c>
      <c r="DQ241" s="16">
        <v>239</v>
      </c>
      <c r="DR241" s="16">
        <f t="shared" si="191"/>
        <v>58.8</v>
      </c>
      <c r="DS241" s="16">
        <f t="shared" si="192"/>
        <v>2.906109511915469</v>
      </c>
      <c r="DT241" s="16">
        <f t="shared" si="193"/>
        <v>44.3</v>
      </c>
      <c r="DU241" s="16">
        <f t="shared" si="194"/>
        <v>55.7</v>
      </c>
      <c r="DV241" s="16">
        <f t="shared" si="195"/>
        <v>60.8</v>
      </c>
      <c r="DX241" s="197" t="e">
        <f t="shared" si="205"/>
        <v>#N/A</v>
      </c>
      <c r="DY241" s="197">
        <f t="shared" si="206"/>
        <v>0.93702399999999997</v>
      </c>
    </row>
    <row r="242" spans="5:129" ht="11.25" customHeight="1">
      <c r="E242" s="466">
        <v>241</v>
      </c>
      <c r="F242" s="474"/>
      <c r="G242" s="471"/>
      <c r="H242" s="321"/>
      <c r="I242" s="326"/>
      <c r="J242" s="30"/>
      <c r="BI242" s="621">
        <v>234</v>
      </c>
      <c r="BJ242" s="711"/>
      <c r="BK242" s="712"/>
      <c r="BL242" s="1109"/>
      <c r="BM242" s="1109"/>
      <c r="BN242" s="24"/>
      <c r="BP242" s="621">
        <v>234</v>
      </c>
      <c r="BQ242" s="711"/>
      <c r="BR242" s="712"/>
      <c r="BS242" s="1109"/>
      <c r="BT242" s="1109"/>
      <c r="BU242" s="24"/>
      <c r="BW242" s="621">
        <v>234</v>
      </c>
      <c r="BX242" s="711">
        <v>11.2</v>
      </c>
      <c r="BY242" s="712"/>
      <c r="BZ242" s="1109"/>
      <c r="CA242" s="1109"/>
      <c r="CB242" s="24"/>
      <c r="CT242" s="16" t="e">
        <f t="shared" si="200"/>
        <v>#N/A</v>
      </c>
      <c r="CU242" s="197" t="e">
        <f t="shared" si="201"/>
        <v>#N/A</v>
      </c>
      <c r="CV242" s="197" t="e">
        <f t="shared" si="202"/>
        <v>#N/A</v>
      </c>
      <c r="CW242" s="197">
        <v>239</v>
      </c>
      <c r="CX242" s="197" t="str">
        <f t="shared" si="196"/>
        <v/>
      </c>
      <c r="CY242" s="197" t="e">
        <f t="shared" si="197"/>
        <v>#N/A</v>
      </c>
      <c r="CZ242" s="197" t="e">
        <f t="shared" si="198"/>
        <v>#N/A</v>
      </c>
      <c r="DA242" s="197" t="str">
        <f t="shared" si="203"/>
        <v/>
      </c>
      <c r="DB242" s="16" t="e">
        <f t="shared" si="199"/>
        <v>#N/A</v>
      </c>
      <c r="DC242" s="16" t="e">
        <f>IF(ISNUMBER(CX242),COUNTIF($DB$4:DB242,DB242)-1,NA())</f>
        <v>#N/A</v>
      </c>
      <c r="DP242" s="16">
        <f t="shared" si="204"/>
        <v>6.1966627836227417E-2</v>
      </c>
      <c r="DQ242" s="16">
        <v>240</v>
      </c>
      <c r="DR242" s="16">
        <f t="shared" si="191"/>
        <v>34.6</v>
      </c>
      <c r="DS242" s="16">
        <f t="shared" si="192"/>
        <v>1.2098375413760021</v>
      </c>
      <c r="DT242" s="16">
        <f t="shared" si="193"/>
        <v>59.2</v>
      </c>
      <c r="DU242" s="16">
        <f t="shared" si="194"/>
        <v>40.799999999999997</v>
      </c>
      <c r="DV242" s="16">
        <f t="shared" si="195"/>
        <v>34.799999999999997</v>
      </c>
      <c r="DX242" s="197" t="e">
        <f t="shared" si="205"/>
        <v>#N/A</v>
      </c>
      <c r="DY242" s="197">
        <f t="shared" si="206"/>
        <v>0.93702399999999997</v>
      </c>
    </row>
    <row r="243" spans="5:129" ht="11.25" customHeight="1">
      <c r="E243" s="466">
        <v>242</v>
      </c>
      <c r="F243" s="474"/>
      <c r="G243" s="471"/>
      <c r="H243" s="321"/>
      <c r="I243" s="326"/>
      <c r="J243" s="30"/>
      <c r="BI243" s="621">
        <v>235</v>
      </c>
      <c r="BJ243" s="711"/>
      <c r="BK243" s="712"/>
      <c r="BL243" s="1109"/>
      <c r="BM243" s="1109"/>
      <c r="BN243" s="24"/>
      <c r="BP243" s="621">
        <v>235</v>
      </c>
      <c r="BQ243" s="711"/>
      <c r="BR243" s="712"/>
      <c r="BS243" s="1109"/>
      <c r="BT243" s="1109"/>
      <c r="BU243" s="24"/>
      <c r="BW243" s="621">
        <v>235</v>
      </c>
      <c r="BX243" s="711">
        <v>10.7</v>
      </c>
      <c r="BY243" s="712"/>
      <c r="BZ243" s="1109"/>
      <c r="CA243" s="1109"/>
      <c r="CB243" s="24"/>
      <c r="CT243" s="16" t="e">
        <f t="shared" si="200"/>
        <v>#N/A</v>
      </c>
      <c r="CU243" s="197" t="e">
        <f t="shared" si="201"/>
        <v>#N/A</v>
      </c>
      <c r="CV243" s="197" t="e">
        <f t="shared" si="202"/>
        <v>#N/A</v>
      </c>
      <c r="CW243" s="197">
        <v>240</v>
      </c>
      <c r="CX243" s="197" t="str">
        <f t="shared" si="196"/>
        <v/>
      </c>
      <c r="CY243" s="197" t="e">
        <f t="shared" si="197"/>
        <v>#N/A</v>
      </c>
      <c r="CZ243" s="197" t="e">
        <f t="shared" si="198"/>
        <v>#N/A</v>
      </c>
      <c r="DA243" s="197" t="str">
        <f t="shared" si="203"/>
        <v/>
      </c>
      <c r="DB243" s="16" t="e">
        <f t="shared" si="199"/>
        <v>#N/A</v>
      </c>
      <c r="DC243" s="16" t="e">
        <f>IF(ISNUMBER(CX243),COUNTIF($DB$4:DB243,DB243)-1,NA())</f>
        <v>#N/A</v>
      </c>
      <c r="DP243" s="16">
        <f t="shared" si="204"/>
        <v>8.3928436040878296E-2</v>
      </c>
      <c r="DQ243" s="16">
        <v>241</v>
      </c>
      <c r="DR243" s="16">
        <f t="shared" si="191"/>
        <v>36.200000000000003</v>
      </c>
      <c r="DS243" s="16">
        <f t="shared" si="192"/>
        <v>1.3213819114429457</v>
      </c>
      <c r="DT243" s="16">
        <f t="shared" si="193"/>
        <v>58.8</v>
      </c>
      <c r="DU243" s="16">
        <f t="shared" si="194"/>
        <v>41.2</v>
      </c>
      <c r="DV243" s="16">
        <f t="shared" si="195"/>
        <v>35.6</v>
      </c>
      <c r="DX243" s="197" t="e">
        <f t="shared" si="205"/>
        <v>#N/A</v>
      </c>
      <c r="DY243" s="197">
        <f t="shared" si="206"/>
        <v>0.93702399999999997</v>
      </c>
    </row>
    <row r="244" spans="5:129" ht="11.25" customHeight="1">
      <c r="E244" s="466">
        <v>243</v>
      </c>
      <c r="F244" s="474"/>
      <c r="G244" s="471"/>
      <c r="H244" s="321"/>
      <c r="I244" s="326"/>
      <c r="J244" s="30"/>
      <c r="BI244" s="621">
        <v>236</v>
      </c>
      <c r="BJ244" s="711"/>
      <c r="BK244" s="712"/>
      <c r="BL244" s="1109"/>
      <c r="BM244" s="1109"/>
      <c r="BN244" s="24"/>
      <c r="BP244" s="621">
        <v>236</v>
      </c>
      <c r="BQ244" s="711"/>
      <c r="BR244" s="712"/>
      <c r="BS244" s="1109"/>
      <c r="BT244" s="1109"/>
      <c r="BU244" s="24"/>
      <c r="BW244" s="621">
        <v>236</v>
      </c>
      <c r="BX244" s="711">
        <v>1.9</v>
      </c>
      <c r="BY244" s="712"/>
      <c r="BZ244" s="1109"/>
      <c r="CA244" s="1109"/>
      <c r="CB244" s="24"/>
      <c r="CT244" s="16" t="e">
        <f t="shared" si="200"/>
        <v>#N/A</v>
      </c>
      <c r="CU244" s="197" t="e">
        <f t="shared" si="201"/>
        <v>#N/A</v>
      </c>
      <c r="CV244" s="197" t="e">
        <f t="shared" si="202"/>
        <v>#N/A</v>
      </c>
      <c r="CW244" s="197">
        <v>241</v>
      </c>
      <c r="CX244" s="197" t="str">
        <f t="shared" si="196"/>
        <v/>
      </c>
      <c r="CY244" s="197" t="e">
        <f t="shared" si="197"/>
        <v>#N/A</v>
      </c>
      <c r="CZ244" s="197" t="e">
        <f t="shared" si="198"/>
        <v>#N/A</v>
      </c>
      <c r="DA244" s="197" t="str">
        <f t="shared" si="203"/>
        <v/>
      </c>
      <c r="DB244" s="16" t="e">
        <f t="shared" si="199"/>
        <v>#N/A</v>
      </c>
      <c r="DC244" s="16" t="e">
        <f>IF(ISNUMBER(CX244),COUNTIF($DB$4:DB244,DB244)-1,NA())</f>
        <v>#N/A</v>
      </c>
      <c r="DP244" s="16">
        <f t="shared" si="204"/>
        <v>0.45147845149040222</v>
      </c>
      <c r="DQ244" s="16">
        <v>242</v>
      </c>
      <c r="DR244" s="16">
        <f t="shared" si="191"/>
        <v>48.8</v>
      </c>
      <c r="DS244" s="16">
        <f t="shared" si="192"/>
        <v>2.2014190864819705</v>
      </c>
      <c r="DT244" s="16">
        <f t="shared" si="193"/>
        <v>53.5</v>
      </c>
      <c r="DU244" s="16">
        <f t="shared" si="194"/>
        <v>46.5</v>
      </c>
      <c r="DV244" s="16">
        <f t="shared" si="195"/>
        <v>48.3</v>
      </c>
      <c r="DX244" s="197" t="e">
        <f t="shared" si="205"/>
        <v>#N/A</v>
      </c>
      <c r="DY244" s="197">
        <f t="shared" si="206"/>
        <v>0.93702399999999997</v>
      </c>
    </row>
    <row r="245" spans="5:129" ht="11.25" customHeight="1">
      <c r="E245" s="466">
        <v>244</v>
      </c>
      <c r="F245" s="474"/>
      <c r="G245" s="471"/>
      <c r="H245" s="321"/>
      <c r="I245" s="326"/>
      <c r="J245" s="30"/>
      <c r="BI245" s="621">
        <v>237</v>
      </c>
      <c r="BJ245" s="711"/>
      <c r="BK245" s="712"/>
      <c r="BL245" s="1109"/>
      <c r="BM245" s="1109"/>
      <c r="BN245" s="24"/>
      <c r="BP245" s="621">
        <v>237</v>
      </c>
      <c r="BQ245" s="711"/>
      <c r="BR245" s="712"/>
      <c r="BS245" s="1109"/>
      <c r="BT245" s="1109"/>
      <c r="BU245" s="24"/>
      <c r="BW245" s="621">
        <v>237</v>
      </c>
      <c r="BX245" s="711">
        <v>5.2</v>
      </c>
      <c r="BY245" s="712"/>
      <c r="BZ245" s="1109"/>
      <c r="CA245" s="1109"/>
      <c r="CB245" s="24"/>
      <c r="CT245" s="16" t="e">
        <f t="shared" si="200"/>
        <v>#N/A</v>
      </c>
      <c r="CU245" s="197" t="e">
        <f t="shared" si="201"/>
        <v>#N/A</v>
      </c>
      <c r="CV245" s="197" t="e">
        <f t="shared" si="202"/>
        <v>#N/A</v>
      </c>
      <c r="CW245" s="197">
        <v>242</v>
      </c>
      <c r="CX245" s="197" t="str">
        <f t="shared" si="196"/>
        <v/>
      </c>
      <c r="CY245" s="197" t="e">
        <f t="shared" si="197"/>
        <v>#N/A</v>
      </c>
      <c r="CZ245" s="197" t="e">
        <f t="shared" si="198"/>
        <v>#N/A</v>
      </c>
      <c r="DA245" s="197" t="str">
        <f t="shared" si="203"/>
        <v/>
      </c>
      <c r="DB245" s="16" t="e">
        <f t="shared" si="199"/>
        <v>#N/A</v>
      </c>
      <c r="DC245" s="16" t="e">
        <f>IF(ISNUMBER(CX245),COUNTIF($DB$4:DB245,DB245)-1,NA())</f>
        <v>#N/A</v>
      </c>
      <c r="DP245" s="16">
        <f t="shared" si="204"/>
        <v>0.38412389159202576</v>
      </c>
      <c r="DQ245" s="16">
        <v>243</v>
      </c>
      <c r="DR245" s="16">
        <f t="shared" si="191"/>
        <v>47.1</v>
      </c>
      <c r="DS245" s="16">
        <f t="shared" si="192"/>
        <v>2.0805005737086359</v>
      </c>
      <c r="DT245" s="16">
        <f t="shared" si="193"/>
        <v>54.6</v>
      </c>
      <c r="DU245" s="16">
        <f t="shared" si="194"/>
        <v>45.4</v>
      </c>
      <c r="DV245" s="16">
        <f t="shared" si="195"/>
        <v>46</v>
      </c>
      <c r="DX245" s="197" t="e">
        <f t="shared" si="205"/>
        <v>#N/A</v>
      </c>
      <c r="DY245" s="197">
        <f t="shared" si="206"/>
        <v>0.93702399999999997</v>
      </c>
    </row>
    <row r="246" spans="5:129" ht="11.25" customHeight="1">
      <c r="E246" s="466">
        <v>245</v>
      </c>
      <c r="F246" s="474"/>
      <c r="G246" s="471"/>
      <c r="H246" s="321"/>
      <c r="I246" s="326"/>
      <c r="J246" s="30"/>
      <c r="BI246" s="621">
        <v>238</v>
      </c>
      <c r="BJ246" s="711"/>
      <c r="BK246" s="712"/>
      <c r="BL246" s="1109"/>
      <c r="BM246" s="1109"/>
      <c r="BN246" s="24"/>
      <c r="BP246" s="621">
        <v>238</v>
      </c>
      <c r="BQ246" s="711"/>
      <c r="BR246" s="712"/>
      <c r="BS246" s="1109"/>
      <c r="BT246" s="1109"/>
      <c r="BU246" s="24"/>
      <c r="BW246" s="621">
        <v>238</v>
      </c>
      <c r="BX246" s="711">
        <v>9.6999999999999993</v>
      </c>
      <c r="BY246" s="712"/>
      <c r="BZ246" s="1109"/>
      <c r="CA246" s="1109"/>
      <c r="CB246" s="24"/>
      <c r="CT246" s="16" t="e">
        <f t="shared" si="200"/>
        <v>#N/A</v>
      </c>
      <c r="CU246" s="197" t="e">
        <f t="shared" si="201"/>
        <v>#N/A</v>
      </c>
      <c r="CV246" s="197" t="e">
        <f t="shared" si="202"/>
        <v>#N/A</v>
      </c>
      <c r="CW246" s="197">
        <v>243</v>
      </c>
      <c r="CX246" s="197" t="str">
        <f t="shared" si="196"/>
        <v/>
      </c>
      <c r="CY246" s="197" t="e">
        <f t="shared" si="197"/>
        <v>#N/A</v>
      </c>
      <c r="CZ246" s="197" t="e">
        <f t="shared" si="198"/>
        <v>#N/A</v>
      </c>
      <c r="DA246" s="197" t="str">
        <f t="shared" si="203"/>
        <v/>
      </c>
      <c r="DB246" s="16" t="e">
        <f t="shared" si="199"/>
        <v>#N/A</v>
      </c>
      <c r="DC246" s="16" t="e">
        <f>IF(ISNUMBER(CX246),COUNTIF($DB$4:DB246,DB246)-1,NA())</f>
        <v>#N/A</v>
      </c>
      <c r="DP246" s="16">
        <f t="shared" si="204"/>
        <v>0.90953084826469421</v>
      </c>
      <c r="DQ246" s="16">
        <v>244</v>
      </c>
      <c r="DR246" s="16">
        <f t="shared" si="191"/>
        <v>63.4</v>
      </c>
      <c r="DS246" s="16">
        <f t="shared" si="192"/>
        <v>3.2232780289188576</v>
      </c>
      <c r="DT246" s="16">
        <f t="shared" si="193"/>
        <v>37.5</v>
      </c>
      <c r="DU246" s="16">
        <f t="shared" si="194"/>
        <v>62.5</v>
      </c>
      <c r="DV246" s="16">
        <f t="shared" si="195"/>
        <v>64.2</v>
      </c>
      <c r="DX246" s="197" t="e">
        <f t="shared" si="205"/>
        <v>#N/A</v>
      </c>
      <c r="DY246" s="197">
        <f t="shared" si="206"/>
        <v>0.93702399999999997</v>
      </c>
    </row>
    <row r="247" spans="5:129" ht="11.25" customHeight="1">
      <c r="E247" s="466">
        <v>246</v>
      </c>
      <c r="F247" s="474"/>
      <c r="G247" s="471"/>
      <c r="H247" s="321"/>
      <c r="I247" s="326"/>
      <c r="J247" s="30"/>
      <c r="BI247" s="621">
        <v>239</v>
      </c>
      <c r="BJ247" s="711"/>
      <c r="BK247" s="712"/>
      <c r="BL247" s="1109"/>
      <c r="BM247" s="1109"/>
      <c r="BN247" s="24"/>
      <c r="BP247" s="621">
        <v>239</v>
      </c>
      <c r="BQ247" s="711"/>
      <c r="BR247" s="712"/>
      <c r="BS247" s="1109"/>
      <c r="BT247" s="1109"/>
      <c r="BU247" s="24"/>
      <c r="BW247" s="621">
        <v>239</v>
      </c>
      <c r="BX247" s="711">
        <v>5.2</v>
      </c>
      <c r="BY247" s="712"/>
      <c r="BZ247" s="1109"/>
      <c r="CA247" s="1109"/>
      <c r="CB247" s="24"/>
      <c r="CT247" s="16" t="e">
        <f t="shared" si="200"/>
        <v>#N/A</v>
      </c>
      <c r="CU247" s="197" t="e">
        <f t="shared" si="201"/>
        <v>#N/A</v>
      </c>
      <c r="CV247" s="197" t="e">
        <f t="shared" si="202"/>
        <v>#N/A</v>
      </c>
      <c r="CW247" s="197">
        <v>244</v>
      </c>
      <c r="CX247" s="197" t="str">
        <f t="shared" si="196"/>
        <v/>
      </c>
      <c r="CY247" s="197" t="e">
        <f t="shared" si="197"/>
        <v>#N/A</v>
      </c>
      <c r="CZ247" s="197" t="e">
        <f t="shared" si="198"/>
        <v>#N/A</v>
      </c>
      <c r="DA247" s="197" t="str">
        <f t="shared" si="203"/>
        <v/>
      </c>
      <c r="DB247" s="16" t="e">
        <f t="shared" si="199"/>
        <v>#N/A</v>
      </c>
      <c r="DC247" s="16" t="e">
        <f>IF(ISNUMBER(CX247),COUNTIF($DB$4:DB247,DB247)-1,NA())</f>
        <v>#N/A</v>
      </c>
      <c r="DP247" s="16">
        <f t="shared" si="204"/>
        <v>0.30654796957969666</v>
      </c>
      <c r="DQ247" s="16">
        <v>245</v>
      </c>
      <c r="DR247" s="16">
        <f t="shared" si="191"/>
        <v>44.9</v>
      </c>
      <c r="DS247" s="16">
        <f t="shared" si="192"/>
        <v>1.9328065081617547</v>
      </c>
      <c r="DT247" s="16">
        <f t="shared" si="193"/>
        <v>55.7</v>
      </c>
      <c r="DU247" s="16">
        <f t="shared" si="194"/>
        <v>44.3</v>
      </c>
      <c r="DV247" s="16">
        <f t="shared" si="195"/>
        <v>43.3</v>
      </c>
      <c r="DX247" s="197" t="e">
        <f t="shared" si="205"/>
        <v>#N/A</v>
      </c>
      <c r="DY247" s="197">
        <f t="shared" si="206"/>
        <v>0.93702399999999997</v>
      </c>
    </row>
    <row r="248" spans="5:129" ht="11.25" customHeight="1">
      <c r="E248" s="466">
        <v>247</v>
      </c>
      <c r="F248" s="474"/>
      <c r="G248" s="471"/>
      <c r="H248" s="321"/>
      <c r="I248" s="326"/>
      <c r="J248" s="30"/>
      <c r="BI248" s="621">
        <v>240</v>
      </c>
      <c r="BJ248" s="711"/>
      <c r="BK248" s="712"/>
      <c r="BL248" s="1109"/>
      <c r="BM248" s="1109"/>
      <c r="BN248" s="24"/>
      <c r="BP248" s="621">
        <v>240</v>
      </c>
      <c r="BQ248" s="711"/>
      <c r="BR248" s="712"/>
      <c r="BS248" s="1109"/>
      <c r="BT248" s="1109"/>
      <c r="BU248" s="24"/>
      <c r="BW248" s="621">
        <v>240</v>
      </c>
      <c r="BX248" s="711">
        <v>2.4</v>
      </c>
      <c r="BY248" s="712"/>
      <c r="BZ248" s="1109"/>
      <c r="CA248" s="1109"/>
      <c r="CB248" s="24"/>
      <c r="CT248" s="16" t="e">
        <f t="shared" si="200"/>
        <v>#N/A</v>
      </c>
      <c r="CU248" s="197" t="e">
        <f t="shared" si="201"/>
        <v>#N/A</v>
      </c>
      <c r="CV248" s="197" t="e">
        <f t="shared" si="202"/>
        <v>#N/A</v>
      </c>
      <c r="CW248" s="197">
        <v>245</v>
      </c>
      <c r="CX248" s="197" t="str">
        <f t="shared" si="196"/>
        <v/>
      </c>
      <c r="CY248" s="197" t="e">
        <f t="shared" si="197"/>
        <v>#N/A</v>
      </c>
      <c r="CZ248" s="197" t="e">
        <f t="shared" si="198"/>
        <v>#N/A</v>
      </c>
      <c r="DA248" s="197" t="str">
        <f t="shared" si="203"/>
        <v/>
      </c>
      <c r="DB248" s="16" t="e">
        <f t="shared" si="199"/>
        <v>#N/A</v>
      </c>
      <c r="DC248" s="16" t="e">
        <f>IF(ISNUMBER(CX248),COUNTIF($DB$4:DB248,DB248)-1,NA())</f>
        <v>#N/A</v>
      </c>
      <c r="DP248" s="16">
        <f t="shared" si="204"/>
        <v>0.68092057108879089</v>
      </c>
      <c r="DQ248" s="16">
        <v>246</v>
      </c>
      <c r="DR248" s="16">
        <f t="shared" si="191"/>
        <v>54.7</v>
      </c>
      <c r="DS248" s="16">
        <f t="shared" si="192"/>
        <v>2.6159601285351868</v>
      </c>
      <c r="DT248" s="16">
        <f t="shared" si="193"/>
        <v>48.9</v>
      </c>
      <c r="DU248" s="16">
        <f t="shared" si="194"/>
        <v>51.1</v>
      </c>
      <c r="DV248" s="16">
        <f t="shared" si="195"/>
        <v>56.3</v>
      </c>
      <c r="DX248" s="197" t="e">
        <f t="shared" si="205"/>
        <v>#N/A</v>
      </c>
      <c r="DY248" s="197">
        <f t="shared" si="206"/>
        <v>0.93702399999999997</v>
      </c>
    </row>
    <row r="249" spans="5:129" ht="11.25" customHeight="1">
      <c r="E249" s="466">
        <v>248</v>
      </c>
      <c r="F249" s="474"/>
      <c r="G249" s="471"/>
      <c r="H249" s="321"/>
      <c r="I249" s="326"/>
      <c r="J249" s="30"/>
      <c r="BI249" s="621">
        <v>241</v>
      </c>
      <c r="BJ249" s="711"/>
      <c r="BK249" s="712"/>
      <c r="BL249" s="1109"/>
      <c r="BM249" s="1109"/>
      <c r="BN249" s="24"/>
      <c r="BP249" s="621">
        <v>241</v>
      </c>
      <c r="BQ249" s="711"/>
      <c r="BR249" s="712"/>
      <c r="BS249" s="1109"/>
      <c r="BT249" s="1109"/>
      <c r="BU249" s="24"/>
      <c r="BW249" s="621">
        <v>241</v>
      </c>
      <c r="BX249" s="711">
        <v>7.1</v>
      </c>
      <c r="BY249" s="712"/>
      <c r="BZ249" s="1109"/>
      <c r="CA249" s="1109"/>
      <c r="CB249" s="24"/>
      <c r="CT249" s="16" t="e">
        <f t="shared" si="200"/>
        <v>#N/A</v>
      </c>
      <c r="CU249" s="197" t="e">
        <f t="shared" si="201"/>
        <v>#N/A</v>
      </c>
      <c r="CV249" s="197" t="e">
        <f t="shared" si="202"/>
        <v>#N/A</v>
      </c>
      <c r="CW249" s="197">
        <v>246</v>
      </c>
      <c r="CX249" s="197" t="str">
        <f t="shared" si="196"/>
        <v/>
      </c>
      <c r="CY249" s="197" t="e">
        <f t="shared" si="197"/>
        <v>#N/A</v>
      </c>
      <c r="CZ249" s="197" t="e">
        <f t="shared" si="198"/>
        <v>#N/A</v>
      </c>
      <c r="DA249" s="197" t="str">
        <f t="shared" si="203"/>
        <v/>
      </c>
      <c r="DB249" s="16" t="e">
        <f t="shared" si="199"/>
        <v>#N/A</v>
      </c>
      <c r="DC249" s="16" t="e">
        <f>IF(ISNUMBER(CX249),COUNTIF($DB$4:DB249,DB249)-1,NA())</f>
        <v>#N/A</v>
      </c>
      <c r="DP249" s="16">
        <f t="shared" si="204"/>
        <v>0.56285533308982849</v>
      </c>
      <c r="DQ249" s="16">
        <v>247</v>
      </c>
      <c r="DR249" s="16">
        <f t="shared" si="191"/>
        <v>51.6</v>
      </c>
      <c r="DS249" s="16">
        <f t="shared" si="192"/>
        <v>2.397516692097645</v>
      </c>
      <c r="DT249" s="16">
        <f t="shared" si="193"/>
        <v>51.6</v>
      </c>
      <c r="DU249" s="16">
        <f t="shared" si="194"/>
        <v>48.4</v>
      </c>
      <c r="DV249" s="16">
        <f t="shared" si="195"/>
        <v>52.2</v>
      </c>
      <c r="DX249" s="197" t="e">
        <f t="shared" si="205"/>
        <v>#N/A</v>
      </c>
      <c r="DY249" s="197">
        <f t="shared" si="206"/>
        <v>0.93702399999999997</v>
      </c>
    </row>
    <row r="250" spans="5:129" ht="11.25" customHeight="1">
      <c r="E250" s="466">
        <v>249</v>
      </c>
      <c r="F250" s="474"/>
      <c r="G250" s="471"/>
      <c r="H250" s="321"/>
      <c r="I250" s="326"/>
      <c r="J250" s="30"/>
      <c r="BI250" s="621">
        <v>242</v>
      </c>
      <c r="BJ250" s="711"/>
      <c r="BK250" s="712"/>
      <c r="BL250" s="1109"/>
      <c r="BM250" s="1109"/>
      <c r="BN250" s="24"/>
      <c r="BP250" s="621">
        <v>242</v>
      </c>
      <c r="BQ250" s="711"/>
      <c r="BR250" s="712"/>
      <c r="BS250" s="1109"/>
      <c r="BT250" s="1109"/>
      <c r="BU250" s="24"/>
      <c r="BW250" s="621">
        <v>242</v>
      </c>
      <c r="BX250" s="711">
        <v>8.6999999999999993</v>
      </c>
      <c r="BY250" s="712"/>
      <c r="BZ250" s="1109"/>
      <c r="CA250" s="1109"/>
      <c r="CB250" s="24"/>
      <c r="CT250" s="16" t="e">
        <f t="shared" si="200"/>
        <v>#N/A</v>
      </c>
      <c r="CU250" s="197" t="e">
        <f t="shared" si="201"/>
        <v>#N/A</v>
      </c>
      <c r="CV250" s="197" t="e">
        <f t="shared" si="202"/>
        <v>#N/A</v>
      </c>
      <c r="CW250" s="197">
        <v>247</v>
      </c>
      <c r="CX250" s="197" t="str">
        <f t="shared" si="196"/>
        <v/>
      </c>
      <c r="CY250" s="197" t="e">
        <f t="shared" si="197"/>
        <v>#N/A</v>
      </c>
      <c r="CZ250" s="197" t="e">
        <f t="shared" si="198"/>
        <v>#N/A</v>
      </c>
      <c r="DA250" s="197" t="str">
        <f t="shared" si="203"/>
        <v/>
      </c>
      <c r="DB250" s="16" t="e">
        <f t="shared" si="199"/>
        <v>#N/A</v>
      </c>
      <c r="DC250" s="16" t="e">
        <f>IF(ISNUMBER(CX250),COUNTIF($DB$4:DB250,DB250)-1,NA())</f>
        <v>#N/A</v>
      </c>
      <c r="DP250" s="16">
        <f t="shared" si="204"/>
        <v>0.64801761507987976</v>
      </c>
      <c r="DQ250" s="16">
        <v>248</v>
      </c>
      <c r="DR250" s="16">
        <f t="shared" si="191"/>
        <v>53.8</v>
      </c>
      <c r="DS250" s="16">
        <f t="shared" si="192"/>
        <v>2.5527496724829701</v>
      </c>
      <c r="DT250" s="16">
        <f t="shared" si="193"/>
        <v>49.7</v>
      </c>
      <c r="DU250" s="16">
        <f t="shared" si="194"/>
        <v>50.3</v>
      </c>
      <c r="DV250" s="16">
        <f t="shared" si="195"/>
        <v>55.1</v>
      </c>
      <c r="DX250" s="197" t="e">
        <f t="shared" si="205"/>
        <v>#N/A</v>
      </c>
      <c r="DY250" s="197">
        <f t="shared" si="206"/>
        <v>0.93702399999999997</v>
      </c>
    </row>
    <row r="251" spans="5:129" ht="11.25" customHeight="1">
      <c r="E251" s="466">
        <v>250</v>
      </c>
      <c r="F251" s="474"/>
      <c r="G251" s="471"/>
      <c r="H251" s="321"/>
      <c r="I251" s="326"/>
      <c r="J251" s="30"/>
      <c r="BI251" s="621">
        <v>243</v>
      </c>
      <c r="BJ251" s="711"/>
      <c r="BK251" s="712"/>
      <c r="BL251" s="1109"/>
      <c r="BM251" s="1109"/>
      <c r="BN251" s="24"/>
      <c r="BP251" s="621">
        <v>243</v>
      </c>
      <c r="BQ251" s="711"/>
      <c r="BR251" s="712"/>
      <c r="BS251" s="1109"/>
      <c r="BT251" s="1109"/>
      <c r="BU251" s="24"/>
      <c r="BW251" s="621">
        <v>243</v>
      </c>
      <c r="BX251" s="711">
        <v>8</v>
      </c>
      <c r="BY251" s="712"/>
      <c r="BZ251" s="1109"/>
      <c r="CA251" s="1109"/>
      <c r="CB251" s="24"/>
      <c r="CT251" s="16" t="e">
        <f t="shared" si="200"/>
        <v>#N/A</v>
      </c>
      <c r="CU251" s="197" t="e">
        <f t="shared" si="201"/>
        <v>#N/A</v>
      </c>
      <c r="CV251" s="197" t="e">
        <f t="shared" si="202"/>
        <v>#N/A</v>
      </c>
      <c r="CW251" s="197">
        <v>248</v>
      </c>
      <c r="CX251" s="197" t="str">
        <f t="shared" si="196"/>
        <v/>
      </c>
      <c r="CY251" s="197" t="e">
        <f t="shared" si="197"/>
        <v>#N/A</v>
      </c>
      <c r="CZ251" s="197" t="e">
        <f t="shared" si="198"/>
        <v>#N/A</v>
      </c>
      <c r="DA251" s="197" t="str">
        <f t="shared" si="203"/>
        <v/>
      </c>
      <c r="DB251" s="16" t="e">
        <f t="shared" si="199"/>
        <v>#N/A</v>
      </c>
      <c r="DC251" s="16" t="e">
        <f>IF(ISNUMBER(CX251),COUNTIF($DB$4:DB251,DB251)-1,NA())</f>
        <v>#N/A</v>
      </c>
      <c r="DP251" s="16">
        <f t="shared" si="204"/>
        <v>0.57502779364585876</v>
      </c>
      <c r="DQ251" s="16">
        <v>249</v>
      </c>
      <c r="DR251" s="16">
        <f t="shared" si="191"/>
        <v>51.9</v>
      </c>
      <c r="DS251" s="16">
        <f t="shared" si="192"/>
        <v>2.4192004704779455</v>
      </c>
      <c r="DT251" s="16">
        <f t="shared" si="193"/>
        <v>51.3</v>
      </c>
      <c r="DU251" s="16">
        <f t="shared" si="194"/>
        <v>48.7</v>
      </c>
      <c r="DV251" s="16">
        <f t="shared" si="195"/>
        <v>52.6</v>
      </c>
      <c r="DX251" s="197" t="e">
        <f t="shared" si="205"/>
        <v>#N/A</v>
      </c>
      <c r="DY251" s="197">
        <f t="shared" si="206"/>
        <v>0.93702399999999997</v>
      </c>
    </row>
    <row r="252" spans="5:129" ht="11.25" customHeight="1">
      <c r="E252" s="466">
        <v>251</v>
      </c>
      <c r="F252" s="474"/>
      <c r="G252" s="471"/>
      <c r="H252" s="321"/>
      <c r="I252" s="326"/>
      <c r="J252" s="30"/>
      <c r="BI252" s="621">
        <v>244</v>
      </c>
      <c r="BJ252" s="711"/>
      <c r="BK252" s="712"/>
      <c r="BL252" s="1109"/>
      <c r="BM252" s="1109"/>
      <c r="BN252" s="24"/>
      <c r="BP252" s="621">
        <v>244</v>
      </c>
      <c r="BQ252" s="711"/>
      <c r="BR252" s="712"/>
      <c r="BS252" s="1109"/>
      <c r="BT252" s="1109"/>
      <c r="BU252" s="24"/>
      <c r="BW252" s="621">
        <v>244</v>
      </c>
      <c r="BX252" s="711">
        <v>11.3</v>
      </c>
      <c r="BY252" s="712"/>
      <c r="BZ252" s="1109"/>
      <c r="CA252" s="1109"/>
      <c r="CB252" s="24"/>
      <c r="CT252" s="16" t="e">
        <f t="shared" si="200"/>
        <v>#N/A</v>
      </c>
      <c r="CU252" s="197" t="e">
        <f t="shared" si="201"/>
        <v>#N/A</v>
      </c>
      <c r="CV252" s="197" t="e">
        <f t="shared" si="202"/>
        <v>#N/A</v>
      </c>
      <c r="CW252" s="197">
        <v>249</v>
      </c>
      <c r="CX252" s="197" t="str">
        <f t="shared" si="196"/>
        <v/>
      </c>
      <c r="CY252" s="197" t="e">
        <f t="shared" si="197"/>
        <v>#N/A</v>
      </c>
      <c r="CZ252" s="197" t="e">
        <f t="shared" si="198"/>
        <v>#N/A</v>
      </c>
      <c r="DA252" s="197" t="str">
        <f t="shared" si="203"/>
        <v/>
      </c>
      <c r="DB252" s="16" t="e">
        <f t="shared" si="199"/>
        <v>#N/A</v>
      </c>
      <c r="DC252" s="16" t="e">
        <f>IF(ISNUMBER(CX252),COUNTIF($DB$4:DB252,DB252)-1,NA())</f>
        <v>#N/A</v>
      </c>
      <c r="DP252" s="16">
        <f t="shared" si="204"/>
        <v>0.41181990504264832</v>
      </c>
      <c r="DQ252" s="16">
        <v>250</v>
      </c>
      <c r="DR252" s="16">
        <f t="shared" si="191"/>
        <v>47.8</v>
      </c>
      <c r="DS252" s="16">
        <f t="shared" si="192"/>
        <v>2.1307617339825486</v>
      </c>
      <c r="DT252" s="16">
        <f t="shared" si="193"/>
        <v>54.2</v>
      </c>
      <c r="DU252" s="16">
        <f t="shared" si="194"/>
        <v>45.8</v>
      </c>
      <c r="DV252" s="16">
        <f t="shared" si="195"/>
        <v>46.9</v>
      </c>
      <c r="DX252" s="197" t="e">
        <f t="shared" si="205"/>
        <v>#N/A</v>
      </c>
      <c r="DY252" s="197">
        <f t="shared" si="206"/>
        <v>0.93702399999999997</v>
      </c>
    </row>
    <row r="253" spans="5:129" ht="11.25" customHeight="1">
      <c r="E253" s="466">
        <v>252</v>
      </c>
      <c r="F253" s="474"/>
      <c r="G253" s="471"/>
      <c r="H253" s="321"/>
      <c r="I253" s="326"/>
      <c r="J253" s="30"/>
      <c r="BI253" s="621">
        <v>245</v>
      </c>
      <c r="BJ253" s="711"/>
      <c r="BK253" s="712"/>
      <c r="BL253" s="1109"/>
      <c r="BM253" s="1109"/>
      <c r="BN253" s="24"/>
      <c r="BP253" s="621">
        <v>245</v>
      </c>
      <c r="BQ253" s="711"/>
      <c r="BR253" s="712"/>
      <c r="BS253" s="1109"/>
      <c r="BT253" s="1109"/>
      <c r="BU253" s="24"/>
      <c r="BW253" s="621">
        <v>245</v>
      </c>
      <c r="BX253" s="711">
        <v>8.5</v>
      </c>
      <c r="BY253" s="712"/>
      <c r="BZ253" s="1109"/>
      <c r="CA253" s="1109"/>
      <c r="CB253" s="24"/>
      <c r="CT253" s="16" t="e">
        <f t="shared" si="200"/>
        <v>#N/A</v>
      </c>
      <c r="CU253" s="197" t="e">
        <f t="shared" si="201"/>
        <v>#N/A</v>
      </c>
      <c r="CV253" s="197" t="e">
        <f t="shared" si="202"/>
        <v>#N/A</v>
      </c>
      <c r="CW253" s="197">
        <v>250</v>
      </c>
      <c r="CX253" s="197" t="str">
        <f t="shared" si="196"/>
        <v/>
      </c>
      <c r="CY253" s="197" t="e">
        <f t="shared" si="197"/>
        <v>#N/A</v>
      </c>
      <c r="CZ253" s="197" t="e">
        <f t="shared" si="198"/>
        <v>#N/A</v>
      </c>
      <c r="DA253" s="197" t="str">
        <f t="shared" si="203"/>
        <v/>
      </c>
      <c r="DB253" s="16" t="e">
        <f t="shared" si="199"/>
        <v>#N/A</v>
      </c>
      <c r="DC253" s="16" t="e">
        <f>IF(ISNUMBER(CX253),COUNTIF($DB$4:DB253,DB253)-1,NA())</f>
        <v>#N/A</v>
      </c>
      <c r="DP253" s="16">
        <f t="shared" si="204"/>
        <v>0.40408524870872498</v>
      </c>
      <c r="DQ253" s="16">
        <v>251</v>
      </c>
      <c r="DR253" s="16">
        <f t="shared" si="191"/>
        <v>47.6</v>
      </c>
      <c r="DS253" s="16">
        <f t="shared" si="192"/>
        <v>2.1168171058329239</v>
      </c>
      <c r="DT253" s="16">
        <f t="shared" si="193"/>
        <v>54.3</v>
      </c>
      <c r="DU253" s="16">
        <f t="shared" si="194"/>
        <v>45.7</v>
      </c>
      <c r="DV253" s="16">
        <f t="shared" si="195"/>
        <v>46.7</v>
      </c>
      <c r="DX253" s="197" t="e">
        <f t="shared" si="205"/>
        <v>#N/A</v>
      </c>
      <c r="DY253" s="197">
        <f t="shared" si="206"/>
        <v>0.93702399999999997</v>
      </c>
    </row>
    <row r="254" spans="5:129" ht="11.25" customHeight="1">
      <c r="E254" s="466">
        <v>253</v>
      </c>
      <c r="F254" s="474"/>
      <c r="G254" s="471"/>
      <c r="H254" s="321"/>
      <c r="I254" s="326"/>
      <c r="J254" s="30"/>
      <c r="BI254" s="621">
        <v>246</v>
      </c>
      <c r="BJ254" s="711"/>
      <c r="BK254" s="712"/>
      <c r="BL254" s="1109"/>
      <c r="BM254" s="1109"/>
      <c r="BN254" s="24"/>
      <c r="BP254" s="621">
        <v>246</v>
      </c>
      <c r="BQ254" s="711"/>
      <c r="BR254" s="712"/>
      <c r="BS254" s="1109"/>
      <c r="BT254" s="1109"/>
      <c r="BU254" s="24"/>
      <c r="BW254" s="621">
        <v>246</v>
      </c>
      <c r="BX254" s="711">
        <v>9.1</v>
      </c>
      <c r="BY254" s="712"/>
      <c r="BZ254" s="1109"/>
      <c r="CA254" s="1109"/>
      <c r="CB254" s="24"/>
      <c r="CT254" s="16" t="e">
        <f t="shared" si="200"/>
        <v>#N/A</v>
      </c>
      <c r="CU254" s="197" t="e">
        <f t="shared" si="201"/>
        <v>#N/A</v>
      </c>
      <c r="CV254" s="197" t="e">
        <f t="shared" si="202"/>
        <v>#N/A</v>
      </c>
      <c r="CW254" s="197">
        <v>251</v>
      </c>
      <c r="CX254" s="197" t="str">
        <f t="shared" si="196"/>
        <v/>
      </c>
      <c r="CY254" s="197" t="e">
        <f t="shared" si="197"/>
        <v>#N/A</v>
      </c>
      <c r="CZ254" s="197" t="e">
        <f t="shared" si="198"/>
        <v>#N/A</v>
      </c>
      <c r="DA254" s="197" t="str">
        <f t="shared" si="203"/>
        <v/>
      </c>
      <c r="DB254" s="16" t="e">
        <f t="shared" si="199"/>
        <v>#N/A</v>
      </c>
      <c r="DC254" s="16" t="e">
        <f>IF(ISNUMBER(CX254),COUNTIF($DB$4:DB254,DB254)-1,NA())</f>
        <v>#N/A</v>
      </c>
      <c r="DP254" s="16">
        <f t="shared" si="204"/>
        <v>0.74019548296928406</v>
      </c>
      <c r="DQ254" s="16">
        <v>252</v>
      </c>
      <c r="DR254" s="16">
        <f t="shared" si="191"/>
        <v>56.4</v>
      </c>
      <c r="DS254" s="16">
        <f t="shared" si="192"/>
        <v>2.7375316537860872</v>
      </c>
      <c r="DT254" s="16">
        <f t="shared" si="193"/>
        <v>47.1</v>
      </c>
      <c r="DU254" s="16">
        <f t="shared" si="194"/>
        <v>52.9</v>
      </c>
      <c r="DV254" s="16">
        <f t="shared" si="195"/>
        <v>58.3</v>
      </c>
      <c r="DX254" s="197" t="e">
        <f t="shared" si="205"/>
        <v>#N/A</v>
      </c>
      <c r="DY254" s="197">
        <f t="shared" si="206"/>
        <v>0.93702399999999997</v>
      </c>
    </row>
    <row r="255" spans="5:129" ht="11.25" customHeight="1">
      <c r="E255" s="466">
        <v>254</v>
      </c>
      <c r="F255" s="474"/>
      <c r="G255" s="471"/>
      <c r="H255" s="321"/>
      <c r="I255" s="326"/>
      <c r="J255" s="30"/>
      <c r="BI255" s="621">
        <v>247</v>
      </c>
      <c r="BJ255" s="711"/>
      <c r="BK255" s="712"/>
      <c r="BL255" s="1109"/>
      <c r="BM255" s="1109"/>
      <c r="BN255" s="24"/>
      <c r="BP255" s="621">
        <v>247</v>
      </c>
      <c r="BQ255" s="711"/>
      <c r="BR255" s="712"/>
      <c r="BS255" s="1109"/>
      <c r="BT255" s="1109"/>
      <c r="BU255" s="24"/>
      <c r="BW255" s="621">
        <v>247</v>
      </c>
      <c r="BX255" s="711">
        <v>4.5</v>
      </c>
      <c r="BY255" s="712"/>
      <c r="BZ255" s="1109"/>
      <c r="CA255" s="1109"/>
      <c r="CB255" s="24"/>
      <c r="CT255" s="16" t="e">
        <f t="shared" si="200"/>
        <v>#N/A</v>
      </c>
      <c r="CU255" s="197" t="e">
        <f t="shared" si="201"/>
        <v>#N/A</v>
      </c>
      <c r="CV255" s="197" t="e">
        <f t="shared" si="202"/>
        <v>#N/A</v>
      </c>
      <c r="CW255" s="197">
        <v>252</v>
      </c>
      <c r="CX255" s="197" t="str">
        <f t="shared" si="196"/>
        <v/>
      </c>
      <c r="CY255" s="197" t="e">
        <f t="shared" si="197"/>
        <v>#N/A</v>
      </c>
      <c r="CZ255" s="197" t="e">
        <f t="shared" si="198"/>
        <v>#N/A</v>
      </c>
      <c r="DA255" s="197" t="str">
        <f t="shared" si="203"/>
        <v/>
      </c>
      <c r="DB255" s="16" t="e">
        <f t="shared" si="199"/>
        <v>#N/A</v>
      </c>
      <c r="DC255" s="16" t="e">
        <f>IF(ISNUMBER(CX255),COUNTIF($DB$4:DB255,DB255)-1,NA())</f>
        <v>#N/A</v>
      </c>
      <c r="DP255" s="16">
        <f t="shared" si="204"/>
        <v>0.45223411917686462</v>
      </c>
      <c r="DQ255" s="16">
        <v>253</v>
      </c>
      <c r="DR255" s="16">
        <f t="shared" si="191"/>
        <v>48.8</v>
      </c>
      <c r="DS255" s="16">
        <f t="shared" si="192"/>
        <v>2.202754748935031</v>
      </c>
      <c r="DT255" s="16">
        <f t="shared" si="193"/>
        <v>53.5</v>
      </c>
      <c r="DU255" s="16">
        <f t="shared" si="194"/>
        <v>46.5</v>
      </c>
      <c r="DV255" s="16">
        <f t="shared" si="195"/>
        <v>48.3</v>
      </c>
      <c r="DX255" s="197" t="e">
        <f t="shared" si="205"/>
        <v>#N/A</v>
      </c>
      <c r="DY255" s="197">
        <f t="shared" si="206"/>
        <v>0.93702399999999997</v>
      </c>
    </row>
    <row r="256" spans="5:129" ht="11.25" customHeight="1">
      <c r="E256" s="466">
        <v>255</v>
      </c>
      <c r="F256" s="474"/>
      <c r="G256" s="471"/>
      <c r="H256" s="321"/>
      <c r="I256" s="326"/>
      <c r="J256" s="30"/>
      <c r="BI256" s="621">
        <v>248</v>
      </c>
      <c r="BJ256" s="711"/>
      <c r="BK256" s="712"/>
      <c r="BL256" s="1109"/>
      <c r="BM256" s="1109"/>
      <c r="BN256" s="24"/>
      <c r="BP256" s="621">
        <v>248</v>
      </c>
      <c r="BQ256" s="711"/>
      <c r="BR256" s="712"/>
      <c r="BS256" s="1109"/>
      <c r="BT256" s="1109"/>
      <c r="BU256" s="24"/>
      <c r="BW256" s="621">
        <v>248</v>
      </c>
      <c r="BX256" s="711">
        <v>9.1999999999999993</v>
      </c>
      <c r="BY256" s="712"/>
      <c r="BZ256" s="1109"/>
      <c r="CA256" s="1109"/>
      <c r="CB256" s="24"/>
      <c r="CT256" s="16" t="e">
        <f t="shared" si="200"/>
        <v>#N/A</v>
      </c>
      <c r="CU256" s="197" t="e">
        <f t="shared" si="201"/>
        <v>#N/A</v>
      </c>
      <c r="CV256" s="197" t="e">
        <f t="shared" si="202"/>
        <v>#N/A</v>
      </c>
      <c r="CW256" s="197">
        <v>253</v>
      </c>
      <c r="CX256" s="197" t="str">
        <f t="shared" si="196"/>
        <v/>
      </c>
      <c r="CY256" s="197" t="e">
        <f t="shared" si="197"/>
        <v>#N/A</v>
      </c>
      <c r="CZ256" s="197" t="e">
        <f t="shared" si="198"/>
        <v>#N/A</v>
      </c>
      <c r="DA256" s="197" t="str">
        <f t="shared" si="203"/>
        <v/>
      </c>
      <c r="DB256" s="16" t="e">
        <f t="shared" si="199"/>
        <v>#N/A</v>
      </c>
      <c r="DC256" s="16" t="e">
        <f>IF(ISNUMBER(CX256),COUNTIF($DB$4:DB256,DB256)-1,NA())</f>
        <v>#N/A</v>
      </c>
      <c r="DP256" s="16">
        <f t="shared" si="204"/>
        <v>7.0812195539474487E-2</v>
      </c>
      <c r="DQ256" s="16">
        <v>254</v>
      </c>
      <c r="DR256" s="16">
        <f t="shared" si="191"/>
        <v>35.299999999999997</v>
      </c>
      <c r="DS256" s="16">
        <f t="shared" si="192"/>
        <v>1.2579297875842859</v>
      </c>
      <c r="DT256" s="16">
        <f t="shared" si="193"/>
        <v>59.1</v>
      </c>
      <c r="DU256" s="16">
        <f t="shared" si="194"/>
        <v>40.9</v>
      </c>
      <c r="DV256" s="16">
        <f t="shared" si="195"/>
        <v>35.1</v>
      </c>
      <c r="DX256" s="197" t="e">
        <f t="shared" si="205"/>
        <v>#N/A</v>
      </c>
      <c r="DY256" s="197">
        <f t="shared" si="206"/>
        <v>0.93702399999999997</v>
      </c>
    </row>
    <row r="257" spans="5:129" ht="11.25" customHeight="1">
      <c r="E257" s="466">
        <v>256</v>
      </c>
      <c r="F257" s="474"/>
      <c r="G257" s="471"/>
      <c r="H257" s="321"/>
      <c r="I257" s="326"/>
      <c r="J257" s="30"/>
      <c r="BI257" s="621">
        <v>249</v>
      </c>
      <c r="BJ257" s="711"/>
      <c r="BK257" s="712"/>
      <c r="BL257" s="1109"/>
      <c r="BM257" s="1109"/>
      <c r="BN257" s="24"/>
      <c r="BP257" s="621">
        <v>249</v>
      </c>
      <c r="BQ257" s="711"/>
      <c r="BR257" s="712"/>
      <c r="BS257" s="1109"/>
      <c r="BT257" s="1109"/>
      <c r="BU257" s="24"/>
      <c r="BW257" s="621">
        <v>249</v>
      </c>
      <c r="BX257" s="711">
        <v>13.3</v>
      </c>
      <c r="BY257" s="712"/>
      <c r="BZ257" s="1109"/>
      <c r="CA257" s="1109"/>
      <c r="CB257" s="24"/>
      <c r="CT257" s="16" t="e">
        <f t="shared" si="200"/>
        <v>#N/A</v>
      </c>
      <c r="CU257" s="197" t="e">
        <f t="shared" si="201"/>
        <v>#N/A</v>
      </c>
      <c r="CV257" s="197" t="e">
        <f t="shared" si="202"/>
        <v>#N/A</v>
      </c>
      <c r="CW257" s="197">
        <v>254</v>
      </c>
      <c r="CX257" s="197" t="str">
        <f t="shared" si="196"/>
        <v/>
      </c>
      <c r="CY257" s="197" t="e">
        <f t="shared" si="197"/>
        <v>#N/A</v>
      </c>
      <c r="CZ257" s="197" t="e">
        <f t="shared" si="198"/>
        <v>#N/A</v>
      </c>
      <c r="DA257" s="197" t="str">
        <f t="shared" si="203"/>
        <v/>
      </c>
      <c r="DB257" s="16" t="e">
        <f t="shared" si="199"/>
        <v>#N/A</v>
      </c>
      <c r="DC257" s="16" t="e">
        <f>IF(ISNUMBER(CX257),COUNTIF($DB$4:DB257,DB257)-1,NA())</f>
        <v>#N/A</v>
      </c>
      <c r="DP257" s="16">
        <f t="shared" si="204"/>
        <v>0.87595328688621521</v>
      </c>
      <c r="DQ257" s="16">
        <v>255</v>
      </c>
      <c r="DR257" s="16">
        <f t="shared" si="191"/>
        <v>61.5</v>
      </c>
      <c r="DS257" s="16">
        <f t="shared" si="192"/>
        <v>3.09526279626267</v>
      </c>
      <c r="DT257" s="16">
        <f t="shared" si="193"/>
        <v>40.5</v>
      </c>
      <c r="DU257" s="16">
        <f t="shared" si="194"/>
        <v>59.5</v>
      </c>
      <c r="DV257" s="16">
        <f t="shared" si="195"/>
        <v>63</v>
      </c>
      <c r="DX257" s="197" t="e">
        <f t="shared" si="205"/>
        <v>#N/A</v>
      </c>
      <c r="DY257" s="197">
        <f t="shared" si="206"/>
        <v>0.93702399999999997</v>
      </c>
    </row>
    <row r="258" spans="5:129" ht="11.25" customHeight="1">
      <c r="E258" s="466">
        <v>257</v>
      </c>
      <c r="F258" s="474"/>
      <c r="G258" s="471"/>
      <c r="H258" s="321"/>
      <c r="I258" s="326"/>
      <c r="J258" s="30"/>
      <c r="BI258" s="621">
        <v>250</v>
      </c>
      <c r="BJ258" s="711"/>
      <c r="BK258" s="712"/>
      <c r="BL258" s="1109"/>
      <c r="BM258" s="1109"/>
      <c r="BN258" s="24"/>
      <c r="BP258" s="621">
        <v>250</v>
      </c>
      <c r="BQ258" s="711"/>
      <c r="BR258" s="712"/>
      <c r="BS258" s="1109"/>
      <c r="BT258" s="1109"/>
      <c r="BU258" s="24"/>
      <c r="BW258" s="621">
        <v>250</v>
      </c>
      <c r="BX258" s="711">
        <v>18.3</v>
      </c>
      <c r="BY258" s="712"/>
      <c r="BZ258" s="1109"/>
      <c r="CA258" s="1109"/>
      <c r="CB258" s="24"/>
      <c r="CT258" s="16" t="e">
        <f t="shared" si="200"/>
        <v>#N/A</v>
      </c>
      <c r="CU258" s="197" t="e">
        <f t="shared" si="201"/>
        <v>#N/A</v>
      </c>
      <c r="CV258" s="197" t="e">
        <f t="shared" si="202"/>
        <v>#N/A</v>
      </c>
      <c r="CW258" s="197">
        <v>255</v>
      </c>
      <c r="CX258" s="197" t="str">
        <f t="shared" si="196"/>
        <v/>
      </c>
      <c r="CY258" s="197" t="e">
        <f t="shared" si="197"/>
        <v>#N/A</v>
      </c>
      <c r="CZ258" s="197" t="e">
        <f t="shared" si="198"/>
        <v>#N/A</v>
      </c>
      <c r="DA258" s="197" t="str">
        <f t="shared" si="203"/>
        <v/>
      </c>
      <c r="DB258" s="16" t="e">
        <f t="shared" si="199"/>
        <v>#N/A</v>
      </c>
      <c r="DC258" s="16" t="e">
        <f>IF(ISNUMBER(CX258),COUNTIF($DB$4:DB258,DB258)-1,NA())</f>
        <v>#N/A</v>
      </c>
      <c r="DP258" s="16">
        <f t="shared" si="204"/>
        <v>0.2562548816204071</v>
      </c>
      <c r="DQ258" s="16">
        <v>256</v>
      </c>
      <c r="DR258" s="16">
        <f t="shared" si="191"/>
        <v>43.5</v>
      </c>
      <c r="DS258" s="16">
        <f t="shared" si="192"/>
        <v>1.8283135964341417</v>
      </c>
      <c r="DT258" s="16">
        <f t="shared" si="193"/>
        <v>56.4</v>
      </c>
      <c r="DU258" s="16">
        <f t="shared" si="194"/>
        <v>43.6</v>
      </c>
      <c r="DV258" s="16">
        <f t="shared" si="195"/>
        <v>41.6</v>
      </c>
      <c r="DX258" s="197" t="e">
        <f t="shared" si="205"/>
        <v>#N/A</v>
      </c>
      <c r="DY258" s="197">
        <f t="shared" si="206"/>
        <v>0.93702399999999997</v>
      </c>
    </row>
    <row r="259" spans="5:129" ht="11.25" customHeight="1">
      <c r="E259" s="466">
        <v>258</v>
      </c>
      <c r="F259" s="474"/>
      <c r="G259" s="471"/>
      <c r="H259" s="321"/>
      <c r="I259" s="326"/>
      <c r="J259" s="30"/>
      <c r="BI259" s="621">
        <v>251</v>
      </c>
      <c r="BJ259" s="711"/>
      <c r="BK259" s="712"/>
      <c r="BL259" s="1109"/>
      <c r="BM259" s="1109"/>
      <c r="BN259" s="24"/>
      <c r="BP259" s="621">
        <v>251</v>
      </c>
      <c r="BQ259" s="711"/>
      <c r="BR259" s="712"/>
      <c r="BS259" s="1109"/>
      <c r="BT259" s="1109"/>
      <c r="BU259" s="24"/>
      <c r="BW259" s="621">
        <v>251</v>
      </c>
      <c r="BX259" s="711">
        <v>2.8</v>
      </c>
      <c r="BY259" s="712"/>
      <c r="BZ259" s="1109"/>
      <c r="CA259" s="1109"/>
      <c r="CB259" s="24"/>
      <c r="CT259" s="16" t="e">
        <f t="shared" si="200"/>
        <v>#N/A</v>
      </c>
      <c r="CU259" s="197" t="e">
        <f t="shared" si="201"/>
        <v>#N/A</v>
      </c>
      <c r="CV259" s="197" t="e">
        <f t="shared" si="202"/>
        <v>#N/A</v>
      </c>
      <c r="CW259" s="197">
        <v>256</v>
      </c>
      <c r="CX259" s="197" t="str">
        <f t="shared" si="196"/>
        <v/>
      </c>
      <c r="CY259" s="197" t="e">
        <f t="shared" si="197"/>
        <v>#N/A</v>
      </c>
      <c r="CZ259" s="197" t="e">
        <f t="shared" si="198"/>
        <v>#N/A</v>
      </c>
      <c r="DA259" s="197" t="str">
        <f t="shared" si="203"/>
        <v/>
      </c>
      <c r="DB259" s="16" t="e">
        <f t="shared" si="199"/>
        <v>#N/A</v>
      </c>
      <c r="DC259" s="16" t="e">
        <f>IF(ISNUMBER(CX259),COUNTIF($DB$4:DB259,DB259)-1,NA())</f>
        <v>#N/A</v>
      </c>
      <c r="DP259" s="16">
        <f t="shared" si="204"/>
        <v>0.14751753211021423</v>
      </c>
      <c r="DQ259" s="16">
        <v>257</v>
      </c>
      <c r="DR259" s="16">
        <f t="shared" ref="DR259:DR302" si="207">IF(DQ259&lt;=$Y$9,ROUND(NORMINV(DP259,$Y$10,$Y$11),$Y$12),"")</f>
        <v>39.5</v>
      </c>
      <c r="DS259" s="16">
        <f t="shared" ref="DS259:DS302" si="208">IF(DQ259&lt;=$Y$9,NORMINV(DP259,$DW$24,$DW$18),"")</f>
        <v>1.5537700015023286</v>
      </c>
      <c r="DT259" s="16">
        <f t="shared" ref="DT259:DT302" si="209">IF(DQ259&lt;=$Y$9,ROUND(2*$Y$10-($DW$22+EXP(DS259)),$Y$12),"")</f>
        <v>57.8</v>
      </c>
      <c r="DU259" s="16">
        <f t="shared" ref="DU259:DU302" si="210">IF(DQ259&lt;=$Y$9,ROUND($DW$22+EXP(DS259),$Y$12),"")</f>
        <v>42.2</v>
      </c>
      <c r="DV259" s="16">
        <f t="shared" ref="DV259:DV302" si="211">IF(DQ259&lt;=$Y$9,ROUND($Y$10+(DP259-0.5)*$DW$14,$Y$12),"")</f>
        <v>37.799999999999997</v>
      </c>
      <c r="DX259" s="197" t="e">
        <f t="shared" si="205"/>
        <v>#N/A</v>
      </c>
      <c r="DY259" s="197">
        <f t="shared" si="206"/>
        <v>0.93702399999999997</v>
      </c>
    </row>
    <row r="260" spans="5:129" ht="11.25" customHeight="1">
      <c r="E260" s="466">
        <v>259</v>
      </c>
      <c r="F260" s="474"/>
      <c r="G260" s="471"/>
      <c r="H260" s="321"/>
      <c r="I260" s="326"/>
      <c r="J260" s="30"/>
      <c r="BI260" s="621">
        <v>252</v>
      </c>
      <c r="BJ260" s="711"/>
      <c r="BK260" s="712"/>
      <c r="BL260" s="1109"/>
      <c r="BM260" s="1109"/>
      <c r="BN260" s="24"/>
      <c r="BP260" s="621">
        <v>252</v>
      </c>
      <c r="BQ260" s="711"/>
      <c r="BR260" s="712"/>
      <c r="BS260" s="1109"/>
      <c r="BT260" s="1109"/>
      <c r="BU260" s="24"/>
      <c r="BW260" s="621">
        <v>252</v>
      </c>
      <c r="BX260" s="711">
        <v>5.0999999999999996</v>
      </c>
      <c r="BY260" s="712"/>
      <c r="BZ260" s="1109"/>
      <c r="CA260" s="1109"/>
      <c r="CB260" s="24"/>
      <c r="CT260" s="16" t="e">
        <f t="shared" si="200"/>
        <v>#N/A</v>
      </c>
      <c r="CU260" s="197" t="e">
        <f t="shared" si="201"/>
        <v>#N/A</v>
      </c>
      <c r="CV260" s="197" t="e">
        <f t="shared" si="202"/>
        <v>#N/A</v>
      </c>
      <c r="CW260" s="197">
        <v>257</v>
      </c>
      <c r="CX260" s="197" t="str">
        <f t="shared" ref="CX260:CX303" si="212">IF($C$14&gt;=CW260,SMALL(data300x,CW260),"")</f>
        <v/>
      </c>
      <c r="CY260" s="197" t="e">
        <f t="shared" ref="CY260:CY303" si="213">IF(ISNUMBER(CX260),IF($Y$14,IF($CS$34,Xl+DB260*xinc,CX260),CX260),NA())</f>
        <v>#N/A</v>
      </c>
      <c r="CZ260" s="197" t="e">
        <f t="shared" ref="CZ260:CZ303" si="214">IF(ISNUMBER(CX260),IF($Y$14,$DC$2*DC260*yinc,0)+yinc/2,NA())</f>
        <v>#N/A</v>
      </c>
      <c r="DA260" s="197" t="str">
        <f t="shared" si="203"/>
        <v/>
      </c>
      <c r="DB260" s="16" t="e">
        <f t="shared" ref="DB260:DB303" si="215">IF(ISNUMBER(CX260),ROUND((CX260-Xl)/xinc,0),NA())</f>
        <v>#N/A</v>
      </c>
      <c r="DC260" s="16" t="e">
        <f>IF(ISNUMBER(CX260),COUNTIF($DB$4:DB260,DB260)-1,NA())</f>
        <v>#N/A</v>
      </c>
      <c r="DP260" s="16">
        <f t="shared" si="204"/>
        <v>0.23883005976676941</v>
      </c>
      <c r="DQ260" s="16">
        <v>258</v>
      </c>
      <c r="DR260" s="16">
        <f t="shared" si="207"/>
        <v>42.9</v>
      </c>
      <c r="DS260" s="16">
        <f t="shared" si="208"/>
        <v>1.7897182361591166</v>
      </c>
      <c r="DT260" s="16">
        <f t="shared" si="209"/>
        <v>56.6</v>
      </c>
      <c r="DU260" s="16">
        <f t="shared" si="210"/>
        <v>43.4</v>
      </c>
      <c r="DV260" s="16">
        <f t="shared" si="211"/>
        <v>41</v>
      </c>
      <c r="DX260" s="197" t="e">
        <f t="shared" si="205"/>
        <v>#N/A</v>
      </c>
      <c r="DY260" s="197">
        <f t="shared" si="206"/>
        <v>0.93702399999999997</v>
      </c>
    </row>
    <row r="261" spans="5:129" ht="11.25" customHeight="1">
      <c r="E261" s="466">
        <v>260</v>
      </c>
      <c r="F261" s="474"/>
      <c r="G261" s="471"/>
      <c r="H261" s="321"/>
      <c r="I261" s="326"/>
      <c r="J261" s="30"/>
      <c r="BI261" s="621">
        <v>253</v>
      </c>
      <c r="BJ261" s="711"/>
      <c r="BK261" s="712"/>
      <c r="BL261" s="1109"/>
      <c r="BM261" s="1109"/>
      <c r="BN261" s="24"/>
      <c r="BP261" s="621">
        <v>253</v>
      </c>
      <c r="BQ261" s="711"/>
      <c r="BR261" s="712"/>
      <c r="BS261" s="1109"/>
      <c r="BT261" s="1109"/>
      <c r="BU261" s="24"/>
      <c r="BW261" s="621">
        <v>253</v>
      </c>
      <c r="BX261" s="711">
        <v>12.4</v>
      </c>
      <c r="BY261" s="712"/>
      <c r="BZ261" s="1109"/>
      <c r="CA261" s="1109"/>
      <c r="CB261" s="24"/>
      <c r="CT261" s="16" t="e">
        <f t="shared" ref="CT261:CT303" si="216">IF($CV$1&gt;CX261,CW261,"")</f>
        <v>#N/A</v>
      </c>
      <c r="CU261" s="197" t="e">
        <f t="shared" ref="CU261:CU303" si="217">IF($CV$1&gt;CX261,CY261,NA())</f>
        <v>#N/A</v>
      </c>
      <c r="CV261" s="197" t="e">
        <f t="shared" ref="CV261:CV303" si="218">IF($CV$1&gt;CX261,CZ261,NA())</f>
        <v>#N/A</v>
      </c>
      <c r="CW261" s="197">
        <v>258</v>
      </c>
      <c r="CX261" s="197" t="str">
        <f t="shared" si="212"/>
        <v/>
      </c>
      <c r="CY261" s="197" t="e">
        <f t="shared" si="213"/>
        <v>#N/A</v>
      </c>
      <c r="CZ261" s="197" t="e">
        <f t="shared" si="214"/>
        <v>#N/A</v>
      </c>
      <c r="DA261" s="197" t="str">
        <f t="shared" ref="DA261:DA303" si="219">IF(ISNUMBER(CX261),IF($Y$14,DC261*yinc,0)+yinc/2,"")</f>
        <v/>
      </c>
      <c r="DB261" s="16" t="e">
        <f t="shared" si="215"/>
        <v>#N/A</v>
      </c>
      <c r="DC261" s="16" t="e">
        <f>IF(ISNUMBER(CX261),COUNTIF($DB$4:DB261,DB261)-1,NA())</f>
        <v>#N/A</v>
      </c>
      <c r="DP261" s="16">
        <f t="shared" ref="DP261:DP302" si="220">MOD(DP260*10000013,1)</f>
        <v>0.70245847105979919</v>
      </c>
      <c r="DQ261" s="16">
        <v>259</v>
      </c>
      <c r="DR261" s="16">
        <f t="shared" si="207"/>
        <v>55.3</v>
      </c>
      <c r="DS261" s="16">
        <f t="shared" si="208"/>
        <v>2.6588070958056487</v>
      </c>
      <c r="DT261" s="16">
        <f t="shared" si="209"/>
        <v>48.3</v>
      </c>
      <c r="DU261" s="16">
        <f t="shared" si="210"/>
        <v>51.7</v>
      </c>
      <c r="DV261" s="16">
        <f t="shared" si="211"/>
        <v>57</v>
      </c>
      <c r="DX261" s="197" t="e">
        <f t="shared" si="205"/>
        <v>#N/A</v>
      </c>
      <c r="DY261" s="197">
        <f t="shared" si="206"/>
        <v>0.93702399999999997</v>
      </c>
    </row>
    <row r="262" spans="5:129" ht="11.25" customHeight="1">
      <c r="E262" s="466">
        <v>261</v>
      </c>
      <c r="F262" s="474"/>
      <c r="G262" s="471"/>
      <c r="H262" s="321"/>
      <c r="I262" s="326"/>
      <c r="J262" s="30"/>
      <c r="BI262" s="621">
        <v>254</v>
      </c>
      <c r="BJ262" s="711"/>
      <c r="BK262" s="712"/>
      <c r="BL262" s="1109"/>
      <c r="BM262" s="1109"/>
      <c r="BN262" s="24"/>
      <c r="BP262" s="621">
        <v>254</v>
      </c>
      <c r="BQ262" s="711"/>
      <c r="BR262" s="712"/>
      <c r="BS262" s="1109"/>
      <c r="BT262" s="1109"/>
      <c r="BU262" s="24"/>
      <c r="BW262" s="621">
        <v>254</v>
      </c>
      <c r="BX262" s="711">
        <v>12.1</v>
      </c>
      <c r="BY262" s="712"/>
      <c r="BZ262" s="1109"/>
      <c r="CA262" s="1109"/>
      <c r="CB262" s="24"/>
      <c r="CT262" s="16" t="e">
        <f t="shared" si="216"/>
        <v>#N/A</v>
      </c>
      <c r="CU262" s="197" t="e">
        <f t="shared" si="217"/>
        <v>#N/A</v>
      </c>
      <c r="CV262" s="197" t="e">
        <f t="shared" si="218"/>
        <v>#N/A</v>
      </c>
      <c r="CW262" s="197">
        <v>259</v>
      </c>
      <c r="CX262" s="197" t="str">
        <f t="shared" si="212"/>
        <v/>
      </c>
      <c r="CY262" s="197" t="e">
        <f t="shared" si="213"/>
        <v>#N/A</v>
      </c>
      <c r="CZ262" s="197" t="e">
        <f t="shared" si="214"/>
        <v>#N/A</v>
      </c>
      <c r="DA262" s="197" t="str">
        <f t="shared" si="219"/>
        <v/>
      </c>
      <c r="DB262" s="16" t="e">
        <f t="shared" si="215"/>
        <v>#N/A</v>
      </c>
      <c r="DC262" s="16" t="e">
        <f>IF(ISNUMBER(CX262),COUNTIF($DB$4:DB262,DB262)-1,NA())</f>
        <v>#N/A</v>
      </c>
      <c r="DP262" s="16">
        <f t="shared" si="220"/>
        <v>0.8425581157207489</v>
      </c>
      <c r="DQ262" s="16">
        <v>260</v>
      </c>
      <c r="DR262" s="16">
        <f t="shared" si="207"/>
        <v>60.1</v>
      </c>
      <c r="DS262" s="16">
        <f t="shared" si="208"/>
        <v>2.9902869408320347</v>
      </c>
      <c r="DT262" s="16">
        <f t="shared" si="209"/>
        <v>42.7</v>
      </c>
      <c r="DU262" s="16">
        <f t="shared" si="210"/>
        <v>57.3</v>
      </c>
      <c r="DV262" s="16">
        <f t="shared" si="211"/>
        <v>61.9</v>
      </c>
      <c r="DX262" s="197" t="e">
        <f t="shared" si="205"/>
        <v>#N/A</v>
      </c>
      <c r="DY262" s="197">
        <f t="shared" si="206"/>
        <v>0.93702399999999997</v>
      </c>
    </row>
    <row r="263" spans="5:129" ht="11.25" customHeight="1">
      <c r="E263" s="466">
        <v>262</v>
      </c>
      <c r="F263" s="474"/>
      <c r="G263" s="471"/>
      <c r="H263" s="321"/>
      <c r="I263" s="326"/>
      <c r="J263" s="30"/>
      <c r="BI263" s="621">
        <v>255</v>
      </c>
      <c r="BJ263" s="711"/>
      <c r="BK263" s="712"/>
      <c r="BL263" s="1109"/>
      <c r="BM263" s="1109"/>
      <c r="BN263" s="24"/>
      <c r="BP263" s="621">
        <v>255</v>
      </c>
      <c r="BQ263" s="711"/>
      <c r="BR263" s="712"/>
      <c r="BS263" s="1109"/>
      <c r="BT263" s="1109"/>
      <c r="BU263" s="24"/>
      <c r="BW263" s="621">
        <v>255</v>
      </c>
      <c r="BX263" s="711">
        <v>6.5</v>
      </c>
      <c r="BY263" s="712"/>
      <c r="BZ263" s="1109"/>
      <c r="CA263" s="1109"/>
      <c r="CB263" s="24"/>
      <c r="CT263" s="16" t="e">
        <f t="shared" si="216"/>
        <v>#N/A</v>
      </c>
      <c r="CU263" s="197" t="e">
        <f t="shared" si="217"/>
        <v>#N/A</v>
      </c>
      <c r="CV263" s="197" t="e">
        <f t="shared" si="218"/>
        <v>#N/A</v>
      </c>
      <c r="CW263" s="197">
        <v>260</v>
      </c>
      <c r="CX263" s="197" t="str">
        <f t="shared" si="212"/>
        <v/>
      </c>
      <c r="CY263" s="197" t="e">
        <f t="shared" si="213"/>
        <v>#N/A</v>
      </c>
      <c r="CZ263" s="197" t="e">
        <f t="shared" si="214"/>
        <v>#N/A</v>
      </c>
      <c r="DA263" s="197" t="str">
        <f t="shared" si="219"/>
        <v/>
      </c>
      <c r="DB263" s="16" t="e">
        <f t="shared" si="215"/>
        <v>#N/A</v>
      </c>
      <c r="DC263" s="16" t="e">
        <f>IF(ISNUMBER(CX263),COUNTIF($DB$4:DB263,DB263)-1,NA())</f>
        <v>#N/A</v>
      </c>
      <c r="DP263" s="16">
        <f t="shared" si="220"/>
        <v>0.11046299338340759</v>
      </c>
      <c r="DQ263" s="16">
        <v>261</v>
      </c>
      <c r="DR263" s="16">
        <f t="shared" si="207"/>
        <v>37.799999999999997</v>
      </c>
      <c r="DS263" s="16">
        <f t="shared" si="208"/>
        <v>1.4299192297068246</v>
      </c>
      <c r="DT263" s="16">
        <f t="shared" si="209"/>
        <v>58.4</v>
      </c>
      <c r="DU263" s="16">
        <f t="shared" si="210"/>
        <v>41.6</v>
      </c>
      <c r="DV263" s="16">
        <f t="shared" si="211"/>
        <v>36.5</v>
      </c>
      <c r="DX263" s="197" t="e">
        <f t="shared" si="205"/>
        <v>#N/A</v>
      </c>
      <c r="DY263" s="197">
        <f t="shared" si="206"/>
        <v>0.93702399999999997</v>
      </c>
    </row>
    <row r="264" spans="5:129" ht="11.25" customHeight="1">
      <c r="E264" s="466">
        <v>263</v>
      </c>
      <c r="F264" s="474"/>
      <c r="G264" s="471"/>
      <c r="H264" s="321"/>
      <c r="I264" s="326"/>
      <c r="J264" s="30"/>
      <c r="BI264" s="621">
        <v>256</v>
      </c>
      <c r="BJ264" s="711"/>
      <c r="BK264" s="712"/>
      <c r="BL264" s="1109"/>
      <c r="BM264" s="1109"/>
      <c r="BN264" s="24"/>
      <c r="BP264" s="621">
        <v>256</v>
      </c>
      <c r="BQ264" s="711"/>
      <c r="BR264" s="712"/>
      <c r="BS264" s="1109"/>
      <c r="BT264" s="1109"/>
      <c r="BU264" s="24"/>
      <c r="BW264" s="621">
        <v>256</v>
      </c>
      <c r="BX264" s="711">
        <v>8.1</v>
      </c>
      <c r="BY264" s="712"/>
      <c r="BZ264" s="1109"/>
      <c r="CA264" s="1109"/>
      <c r="CB264" s="24"/>
      <c r="CT264" s="16" t="e">
        <f t="shared" si="216"/>
        <v>#N/A</v>
      </c>
      <c r="CU264" s="197" t="e">
        <f t="shared" si="217"/>
        <v>#N/A</v>
      </c>
      <c r="CV264" s="197" t="e">
        <f t="shared" si="218"/>
        <v>#N/A</v>
      </c>
      <c r="CW264" s="197">
        <v>261</v>
      </c>
      <c r="CX264" s="197" t="str">
        <f t="shared" si="212"/>
        <v/>
      </c>
      <c r="CY264" s="197" t="e">
        <f t="shared" si="213"/>
        <v>#N/A</v>
      </c>
      <c r="CZ264" s="197" t="e">
        <f t="shared" si="214"/>
        <v>#N/A</v>
      </c>
      <c r="DA264" s="197" t="str">
        <f t="shared" si="219"/>
        <v/>
      </c>
      <c r="DB264" s="16" t="e">
        <f t="shared" si="215"/>
        <v>#N/A</v>
      </c>
      <c r="DC264" s="16" t="e">
        <f>IF(ISNUMBER(CX264),COUNTIF($DB$4:DB264,DB264)-1,NA())</f>
        <v>#N/A</v>
      </c>
      <c r="DP264" s="16">
        <f t="shared" si="220"/>
        <v>0.36985298991203308</v>
      </c>
      <c r="DQ264" s="16">
        <v>262</v>
      </c>
      <c r="DR264" s="16">
        <f t="shared" si="207"/>
        <v>46.7</v>
      </c>
      <c r="DS264" s="16">
        <f t="shared" si="208"/>
        <v>2.0541980121945671</v>
      </c>
      <c r="DT264" s="16">
        <f t="shared" si="209"/>
        <v>54.8</v>
      </c>
      <c r="DU264" s="16">
        <f t="shared" si="210"/>
        <v>45.2</v>
      </c>
      <c r="DV264" s="16">
        <f t="shared" si="211"/>
        <v>45.5</v>
      </c>
      <c r="DX264" s="197" t="e">
        <f t="shared" si="205"/>
        <v>#N/A</v>
      </c>
      <c r="DY264" s="197">
        <f t="shared" si="206"/>
        <v>0.93702399999999997</v>
      </c>
    </row>
    <row r="265" spans="5:129" ht="11.25" customHeight="1">
      <c r="E265" s="466">
        <v>264</v>
      </c>
      <c r="F265" s="474"/>
      <c r="G265" s="471"/>
      <c r="H265" s="321"/>
      <c r="I265" s="326"/>
      <c r="J265" s="30"/>
      <c r="BI265" s="621">
        <v>257</v>
      </c>
      <c r="BJ265" s="711"/>
      <c r="BK265" s="712"/>
      <c r="BL265" s="1109"/>
      <c r="BM265" s="1109"/>
      <c r="BN265" s="24"/>
      <c r="BP265" s="621">
        <v>257</v>
      </c>
      <c r="BQ265" s="711"/>
      <c r="BR265" s="712"/>
      <c r="BS265" s="1109"/>
      <c r="BT265" s="1109"/>
      <c r="BU265" s="24"/>
      <c r="BW265" s="621">
        <v>257</v>
      </c>
      <c r="BX265" s="711">
        <v>7.6</v>
      </c>
      <c r="BY265" s="712"/>
      <c r="BZ265" s="1109"/>
      <c r="CA265" s="1109"/>
      <c r="CB265" s="24"/>
      <c r="CT265" s="16" t="e">
        <f t="shared" si="216"/>
        <v>#N/A</v>
      </c>
      <c r="CU265" s="197" t="e">
        <f t="shared" si="217"/>
        <v>#N/A</v>
      </c>
      <c r="CV265" s="197" t="e">
        <f t="shared" si="218"/>
        <v>#N/A</v>
      </c>
      <c r="CW265" s="197">
        <v>262</v>
      </c>
      <c r="CX265" s="197" t="str">
        <f t="shared" si="212"/>
        <v/>
      </c>
      <c r="CY265" s="197" t="e">
        <f t="shared" si="213"/>
        <v>#N/A</v>
      </c>
      <c r="CZ265" s="197" t="e">
        <f t="shared" si="214"/>
        <v>#N/A</v>
      </c>
      <c r="DA265" s="197" t="str">
        <f t="shared" si="219"/>
        <v/>
      </c>
      <c r="DB265" s="16" t="e">
        <f t="shared" si="215"/>
        <v>#N/A</v>
      </c>
      <c r="DC265" s="16" t="e">
        <f>IF(ISNUMBER(CX265),COUNTIF($DB$4:DB265,DB265)-1,NA())</f>
        <v>#N/A</v>
      </c>
      <c r="DP265" s="16">
        <f t="shared" si="220"/>
        <v>0.70720919966697693</v>
      </c>
      <c r="DQ265" s="16">
        <v>263</v>
      </c>
      <c r="DR265" s="16">
        <f t="shared" si="207"/>
        <v>55.5</v>
      </c>
      <c r="DS265" s="16">
        <f t="shared" si="208"/>
        <v>2.6684429104092473</v>
      </c>
      <c r="DT265" s="16">
        <f t="shared" si="209"/>
        <v>48.2</v>
      </c>
      <c r="DU265" s="16">
        <f t="shared" si="210"/>
        <v>51.8</v>
      </c>
      <c r="DV265" s="16">
        <f t="shared" si="211"/>
        <v>57.2</v>
      </c>
      <c r="DX265" s="197" t="e">
        <f t="shared" si="205"/>
        <v>#N/A</v>
      </c>
      <c r="DY265" s="197">
        <f t="shared" si="206"/>
        <v>0.93702399999999997</v>
      </c>
    </row>
    <row r="266" spans="5:129" ht="11.25" customHeight="1">
      <c r="E266" s="466">
        <v>265</v>
      </c>
      <c r="F266" s="474"/>
      <c r="G266" s="471"/>
      <c r="H266" s="321"/>
      <c r="I266" s="326"/>
      <c r="J266" s="30"/>
      <c r="BI266" s="621">
        <v>258</v>
      </c>
      <c r="BJ266" s="711"/>
      <c r="BK266" s="712"/>
      <c r="BL266" s="1109"/>
      <c r="BM266" s="1109"/>
      <c r="BN266" s="24"/>
      <c r="BP266" s="621">
        <v>258</v>
      </c>
      <c r="BQ266" s="711"/>
      <c r="BR266" s="712"/>
      <c r="BS266" s="1109"/>
      <c r="BT266" s="1109"/>
      <c r="BU266" s="24"/>
      <c r="BW266" s="621">
        <v>258</v>
      </c>
      <c r="BX266" s="711">
        <v>12.2</v>
      </c>
      <c r="BY266" s="712"/>
      <c r="BZ266" s="1109"/>
      <c r="CA266" s="1109"/>
      <c r="CB266" s="24"/>
      <c r="CT266" s="16" t="e">
        <f t="shared" si="216"/>
        <v>#N/A</v>
      </c>
      <c r="CU266" s="197" t="e">
        <f t="shared" si="217"/>
        <v>#N/A</v>
      </c>
      <c r="CV266" s="197" t="e">
        <f t="shared" si="218"/>
        <v>#N/A</v>
      </c>
      <c r="CW266" s="197">
        <v>263</v>
      </c>
      <c r="CX266" s="197" t="str">
        <f t="shared" si="212"/>
        <v/>
      </c>
      <c r="CY266" s="197" t="e">
        <f t="shared" si="213"/>
        <v>#N/A</v>
      </c>
      <c r="CZ266" s="197" t="e">
        <f t="shared" si="214"/>
        <v>#N/A</v>
      </c>
      <c r="DA266" s="197" t="str">
        <f t="shared" si="219"/>
        <v/>
      </c>
      <c r="DB266" s="16" t="e">
        <f t="shared" si="215"/>
        <v>#N/A</v>
      </c>
      <c r="DC266" s="16" t="e">
        <f>IF(ISNUMBER(CX266),COUNTIF($DB$4:DB266,DB266)-1,NA())</f>
        <v>#N/A</v>
      </c>
      <c r="DP266" s="16">
        <f t="shared" si="220"/>
        <v>0.19038936495780945</v>
      </c>
      <c r="DQ266" s="16">
        <v>264</v>
      </c>
      <c r="DR266" s="16">
        <f t="shared" si="207"/>
        <v>41.2</v>
      </c>
      <c r="DS266" s="16">
        <f t="shared" si="208"/>
        <v>1.6732442716714608</v>
      </c>
      <c r="DT266" s="16">
        <f t="shared" si="209"/>
        <v>57.2</v>
      </c>
      <c r="DU266" s="16">
        <f t="shared" si="210"/>
        <v>42.8</v>
      </c>
      <c r="DV266" s="16">
        <f t="shared" si="211"/>
        <v>39.299999999999997</v>
      </c>
      <c r="DX266" s="197" t="e">
        <f t="shared" si="205"/>
        <v>#N/A</v>
      </c>
      <c r="DY266" s="197">
        <f t="shared" si="206"/>
        <v>0.93702399999999997</v>
      </c>
    </row>
    <row r="267" spans="5:129" ht="11.25" customHeight="1">
      <c r="E267" s="466">
        <v>266</v>
      </c>
      <c r="F267" s="474"/>
      <c r="G267" s="471"/>
      <c r="H267" s="321"/>
      <c r="I267" s="326"/>
      <c r="J267" s="30"/>
      <c r="BI267" s="621">
        <v>259</v>
      </c>
      <c r="BJ267" s="711"/>
      <c r="BK267" s="712"/>
      <c r="BL267" s="1109"/>
      <c r="BM267" s="1109"/>
      <c r="BN267" s="24"/>
      <c r="BP267" s="621">
        <v>259</v>
      </c>
      <c r="BQ267" s="711"/>
      <c r="BR267" s="712"/>
      <c r="BS267" s="1109"/>
      <c r="BT267" s="1109"/>
      <c r="BU267" s="24"/>
      <c r="BW267" s="621">
        <v>259</v>
      </c>
      <c r="BX267" s="711">
        <v>10.8</v>
      </c>
      <c r="BY267" s="712"/>
      <c r="BZ267" s="1109"/>
      <c r="CA267" s="1109"/>
      <c r="CB267" s="24"/>
      <c r="CT267" s="16" t="e">
        <f t="shared" si="216"/>
        <v>#N/A</v>
      </c>
      <c r="CU267" s="197" t="e">
        <f t="shared" si="217"/>
        <v>#N/A</v>
      </c>
      <c r="CV267" s="197" t="e">
        <f t="shared" si="218"/>
        <v>#N/A</v>
      </c>
      <c r="CW267" s="197">
        <v>264</v>
      </c>
      <c r="CX267" s="197" t="str">
        <f t="shared" si="212"/>
        <v/>
      </c>
      <c r="CY267" s="197" t="e">
        <f t="shared" si="213"/>
        <v>#N/A</v>
      </c>
      <c r="CZ267" s="197" t="e">
        <f t="shared" si="214"/>
        <v>#N/A</v>
      </c>
      <c r="DA267" s="197" t="str">
        <f t="shared" si="219"/>
        <v/>
      </c>
      <c r="DB267" s="16" t="e">
        <f t="shared" si="215"/>
        <v>#N/A</v>
      </c>
      <c r="DC267" s="16" t="e">
        <f>IF(ISNUMBER(CX267),COUNTIF($DB$4:DB267,DB267)-1,NA())</f>
        <v>#N/A</v>
      </c>
      <c r="DP267" s="16">
        <f t="shared" si="220"/>
        <v>0.1246398389339447</v>
      </c>
      <c r="DQ267" s="16">
        <v>265</v>
      </c>
      <c r="DR267" s="16">
        <f t="shared" si="207"/>
        <v>38.5</v>
      </c>
      <c r="DS267" s="16">
        <f t="shared" si="208"/>
        <v>1.4802974038700745</v>
      </c>
      <c r="DT267" s="16">
        <f t="shared" si="209"/>
        <v>58.2</v>
      </c>
      <c r="DU267" s="16">
        <f t="shared" si="210"/>
        <v>41.8</v>
      </c>
      <c r="DV267" s="16">
        <f t="shared" si="211"/>
        <v>37</v>
      </c>
      <c r="DX267" s="197" t="e">
        <f t="shared" ref="DX267:DX330" si="221">IF(ISNUMBER(DY$4),DX76,NA())</f>
        <v>#N/A</v>
      </c>
      <c r="DY267" s="197">
        <f t="shared" si="206"/>
        <v>0.93702399999999997</v>
      </c>
    </row>
    <row r="268" spans="5:129" ht="11.25" customHeight="1">
      <c r="E268" s="466">
        <v>267</v>
      </c>
      <c r="F268" s="474"/>
      <c r="G268" s="471"/>
      <c r="H268" s="321"/>
      <c r="I268" s="326"/>
      <c r="J268" s="30"/>
      <c r="BI268" s="621">
        <v>260</v>
      </c>
      <c r="BJ268" s="711"/>
      <c r="BK268" s="712"/>
      <c r="BL268" s="1109"/>
      <c r="BM268" s="1109"/>
      <c r="BN268" s="24"/>
      <c r="BP268" s="621">
        <v>260</v>
      </c>
      <c r="BQ268" s="711"/>
      <c r="BR268" s="712"/>
      <c r="BS268" s="1109"/>
      <c r="BT268" s="1109"/>
      <c r="BU268" s="24"/>
      <c r="BW268" s="621">
        <v>260</v>
      </c>
      <c r="BX268" s="711">
        <v>1</v>
      </c>
      <c r="BY268" s="712"/>
      <c r="BZ268" s="1109"/>
      <c r="CA268" s="1109"/>
      <c r="CB268" s="24"/>
      <c r="CT268" s="16" t="e">
        <f t="shared" si="216"/>
        <v>#N/A</v>
      </c>
      <c r="CU268" s="197" t="e">
        <f t="shared" si="217"/>
        <v>#N/A</v>
      </c>
      <c r="CV268" s="197" t="e">
        <f t="shared" si="218"/>
        <v>#N/A</v>
      </c>
      <c r="CW268" s="197">
        <v>265</v>
      </c>
      <c r="CX268" s="197" t="str">
        <f t="shared" si="212"/>
        <v/>
      </c>
      <c r="CY268" s="197" t="e">
        <f t="shared" si="213"/>
        <v>#N/A</v>
      </c>
      <c r="CZ268" s="197" t="e">
        <f t="shared" si="214"/>
        <v>#N/A</v>
      </c>
      <c r="DA268" s="197" t="str">
        <f t="shared" si="219"/>
        <v/>
      </c>
      <c r="DB268" s="16" t="e">
        <f t="shared" si="215"/>
        <v>#N/A</v>
      </c>
      <c r="DC268" s="16" t="e">
        <f>IF(ISNUMBER(CX268),COUNTIF($DB$4:DB268,DB268)-1,NA())</f>
        <v>#N/A</v>
      </c>
      <c r="DP268" s="16">
        <f t="shared" si="220"/>
        <v>9.6573531627655029E-3</v>
      </c>
      <c r="DQ268" s="16">
        <v>266</v>
      </c>
      <c r="DR268" s="16">
        <f t="shared" si="207"/>
        <v>26.6</v>
      </c>
      <c r="DS268" s="16">
        <f t="shared" si="208"/>
        <v>0.64918744725694588</v>
      </c>
      <c r="DT268" s="16">
        <f t="shared" si="209"/>
        <v>60.7</v>
      </c>
      <c r="DU268" s="16">
        <f t="shared" si="210"/>
        <v>39.299999999999997</v>
      </c>
      <c r="DV268" s="16">
        <f t="shared" si="211"/>
        <v>33</v>
      </c>
      <c r="DX268" s="197" t="e">
        <f t="shared" si="221"/>
        <v>#N/A</v>
      </c>
      <c r="DY268" s="197">
        <f t="shared" si="206"/>
        <v>0.93702399999999997</v>
      </c>
    </row>
    <row r="269" spans="5:129" ht="11.25" customHeight="1">
      <c r="E269" s="466">
        <v>268</v>
      </c>
      <c r="F269" s="474"/>
      <c r="G269" s="471"/>
      <c r="H269" s="321"/>
      <c r="I269" s="326"/>
      <c r="J269" s="30"/>
      <c r="BI269" s="621">
        <v>261</v>
      </c>
      <c r="BJ269" s="711"/>
      <c r="BK269" s="712"/>
      <c r="BL269" s="1109"/>
      <c r="BM269" s="1109"/>
      <c r="BN269" s="24"/>
      <c r="BP269" s="621">
        <v>261</v>
      </c>
      <c r="BQ269" s="711"/>
      <c r="BR269" s="712"/>
      <c r="BS269" s="1109"/>
      <c r="BT269" s="1109"/>
      <c r="BU269" s="24"/>
      <c r="BW269" s="621">
        <v>261</v>
      </c>
      <c r="BX269" s="711">
        <v>2.9</v>
      </c>
      <c r="BY269" s="712"/>
      <c r="BZ269" s="1109"/>
      <c r="CA269" s="1109"/>
      <c r="CB269" s="24"/>
      <c r="CT269" s="16" t="e">
        <f t="shared" si="216"/>
        <v>#N/A</v>
      </c>
      <c r="CU269" s="197" t="e">
        <f t="shared" si="217"/>
        <v>#N/A</v>
      </c>
      <c r="CV269" s="197" t="e">
        <f t="shared" si="218"/>
        <v>#N/A</v>
      </c>
      <c r="CW269" s="197">
        <v>266</v>
      </c>
      <c r="CX269" s="197" t="str">
        <f t="shared" si="212"/>
        <v/>
      </c>
      <c r="CY269" s="197" t="e">
        <f t="shared" si="213"/>
        <v>#N/A</v>
      </c>
      <c r="CZ269" s="197" t="e">
        <f t="shared" si="214"/>
        <v>#N/A</v>
      </c>
      <c r="DA269" s="197" t="str">
        <f t="shared" si="219"/>
        <v/>
      </c>
      <c r="DB269" s="16" t="e">
        <f t="shared" si="215"/>
        <v>#N/A</v>
      </c>
      <c r="DC269" s="16" t="e">
        <f>IF(ISNUMBER(CX269),COUNTIF($DB$4:DB269,DB269)-1,NA())</f>
        <v>#N/A</v>
      </c>
      <c r="DP269" s="16">
        <f t="shared" si="220"/>
        <v>0.65717324614524841</v>
      </c>
      <c r="DQ269" s="16">
        <v>267</v>
      </c>
      <c r="DR269" s="16">
        <f t="shared" si="207"/>
        <v>54</v>
      </c>
      <c r="DS269" s="16">
        <f t="shared" si="208"/>
        <v>2.5701003296848626</v>
      </c>
      <c r="DT269" s="16">
        <f t="shared" si="209"/>
        <v>49.5</v>
      </c>
      <c r="DU269" s="16">
        <f t="shared" si="210"/>
        <v>50.5</v>
      </c>
      <c r="DV269" s="16">
        <f t="shared" si="211"/>
        <v>55.4</v>
      </c>
      <c r="DX269" s="197" t="e">
        <f t="shared" si="221"/>
        <v>#N/A</v>
      </c>
      <c r="DY269" s="197">
        <f t="shared" si="206"/>
        <v>0.93702399999999997</v>
      </c>
    </row>
    <row r="270" spans="5:129" ht="11.25" customHeight="1">
      <c r="E270" s="466">
        <v>269</v>
      </c>
      <c r="F270" s="474"/>
      <c r="G270" s="471"/>
      <c r="H270" s="321"/>
      <c r="I270" s="326"/>
      <c r="J270" s="30"/>
      <c r="BI270" s="621">
        <v>262</v>
      </c>
      <c r="BJ270" s="711"/>
      <c r="BK270" s="712"/>
      <c r="BL270" s="1109"/>
      <c r="BM270" s="1109"/>
      <c r="BN270" s="24"/>
      <c r="BP270" s="621">
        <v>262</v>
      </c>
      <c r="BQ270" s="711"/>
      <c r="BR270" s="712"/>
      <c r="BS270" s="1109"/>
      <c r="BT270" s="1109"/>
      <c r="BU270" s="24"/>
      <c r="BW270" s="621">
        <v>262</v>
      </c>
      <c r="BX270" s="711">
        <v>14.4</v>
      </c>
      <c r="BY270" s="712"/>
      <c r="BZ270" s="1109"/>
      <c r="CA270" s="1109"/>
      <c r="CB270" s="24"/>
      <c r="CT270" s="16" t="e">
        <f t="shared" si="216"/>
        <v>#N/A</v>
      </c>
      <c r="CU270" s="197" t="e">
        <f t="shared" si="217"/>
        <v>#N/A</v>
      </c>
      <c r="CV270" s="197" t="e">
        <f t="shared" si="218"/>
        <v>#N/A</v>
      </c>
      <c r="CW270" s="197">
        <v>267</v>
      </c>
      <c r="CX270" s="197" t="str">
        <f t="shared" si="212"/>
        <v/>
      </c>
      <c r="CY270" s="197" t="e">
        <f t="shared" si="213"/>
        <v>#N/A</v>
      </c>
      <c r="CZ270" s="197" t="e">
        <f t="shared" si="214"/>
        <v>#N/A</v>
      </c>
      <c r="DA270" s="197" t="str">
        <f t="shared" si="219"/>
        <v/>
      </c>
      <c r="DB270" s="16" t="e">
        <f t="shared" si="215"/>
        <v>#N/A</v>
      </c>
      <c r="DC270" s="16" t="e">
        <f>IF(ISNUMBER(CX270),COUNTIF($DB$4:DB270,DB270)-1,NA())</f>
        <v>#N/A</v>
      </c>
      <c r="DP270" s="16">
        <f t="shared" si="220"/>
        <v>4.7046840190887451E-3</v>
      </c>
      <c r="DQ270" s="16">
        <v>268</v>
      </c>
      <c r="DR270" s="16">
        <f t="shared" si="207"/>
        <v>24</v>
      </c>
      <c r="DS270" s="16">
        <f t="shared" si="208"/>
        <v>0.46900021923534507</v>
      </c>
      <c r="DT270" s="16">
        <f t="shared" si="209"/>
        <v>61</v>
      </c>
      <c r="DU270" s="16">
        <f t="shared" si="210"/>
        <v>39</v>
      </c>
      <c r="DV270" s="16">
        <f t="shared" si="211"/>
        <v>32.799999999999997</v>
      </c>
      <c r="DX270" s="197" t="e">
        <f t="shared" si="221"/>
        <v>#N/A</v>
      </c>
      <c r="DY270" s="197">
        <f t="shared" si="206"/>
        <v>0.93702399999999997</v>
      </c>
    </row>
    <row r="271" spans="5:129" ht="11.25" customHeight="1">
      <c r="E271" s="466">
        <v>270</v>
      </c>
      <c r="F271" s="474"/>
      <c r="G271" s="471"/>
      <c r="H271" s="321"/>
      <c r="I271" s="326"/>
      <c r="J271" s="30"/>
      <c r="BI271" s="621">
        <v>263</v>
      </c>
      <c r="BJ271" s="711"/>
      <c r="BK271" s="712"/>
      <c r="BL271" s="1109"/>
      <c r="BM271" s="1109"/>
      <c r="BN271" s="24"/>
      <c r="BP271" s="621">
        <v>263</v>
      </c>
      <c r="BQ271" s="711"/>
      <c r="BR271" s="712"/>
      <c r="BS271" s="1109"/>
      <c r="BT271" s="1109"/>
      <c r="BU271" s="24"/>
      <c r="BW271" s="621">
        <v>263</v>
      </c>
      <c r="BX271" s="711">
        <v>8.4</v>
      </c>
      <c r="BY271" s="712"/>
      <c r="BZ271" s="1109"/>
      <c r="CA271" s="1109"/>
      <c r="CB271" s="24"/>
      <c r="CT271" s="16" t="e">
        <f t="shared" si="216"/>
        <v>#N/A</v>
      </c>
      <c r="CU271" s="197" t="e">
        <f t="shared" si="217"/>
        <v>#N/A</v>
      </c>
      <c r="CV271" s="197" t="e">
        <f t="shared" si="218"/>
        <v>#N/A</v>
      </c>
      <c r="CW271" s="197">
        <v>268</v>
      </c>
      <c r="CX271" s="197" t="str">
        <f t="shared" si="212"/>
        <v/>
      </c>
      <c r="CY271" s="197" t="e">
        <f t="shared" si="213"/>
        <v>#N/A</v>
      </c>
      <c r="CZ271" s="197" t="e">
        <f t="shared" si="214"/>
        <v>#N/A</v>
      </c>
      <c r="DA271" s="197" t="str">
        <f t="shared" si="219"/>
        <v/>
      </c>
      <c r="DB271" s="16" t="e">
        <f t="shared" si="215"/>
        <v>#N/A</v>
      </c>
      <c r="DC271" s="16" t="e">
        <f>IF(ISNUMBER(CX271),COUNTIF($DB$4:DB271,DB271)-1,NA())</f>
        <v>#N/A</v>
      </c>
      <c r="DP271" s="16">
        <f t="shared" si="220"/>
        <v>0.90135177969932556</v>
      </c>
      <c r="DQ271" s="16">
        <v>269</v>
      </c>
      <c r="DR271" s="16">
        <f t="shared" si="207"/>
        <v>62.9</v>
      </c>
      <c r="DS271" s="16">
        <f t="shared" si="208"/>
        <v>3.189272627210034</v>
      </c>
      <c r="DT271" s="16">
        <f t="shared" si="209"/>
        <v>38.299999999999997</v>
      </c>
      <c r="DU271" s="16">
        <f t="shared" si="210"/>
        <v>61.7</v>
      </c>
      <c r="DV271" s="16">
        <f t="shared" si="211"/>
        <v>63.9</v>
      </c>
      <c r="DX271" s="197" t="e">
        <f t="shared" si="221"/>
        <v>#N/A</v>
      </c>
      <c r="DY271" s="197">
        <f t="shared" si="206"/>
        <v>0.93702399999999997</v>
      </c>
    </row>
    <row r="272" spans="5:129" ht="11.25" customHeight="1">
      <c r="E272" s="466">
        <v>271</v>
      </c>
      <c r="F272" s="474"/>
      <c r="G272" s="471"/>
      <c r="H272" s="321"/>
      <c r="I272" s="326"/>
      <c r="J272" s="30"/>
      <c r="BI272" s="621">
        <v>264</v>
      </c>
      <c r="BJ272" s="711"/>
      <c r="BK272" s="712"/>
      <c r="BL272" s="1109"/>
      <c r="BM272" s="1109"/>
      <c r="BN272" s="24"/>
      <c r="BP272" s="621">
        <v>264</v>
      </c>
      <c r="BQ272" s="711"/>
      <c r="BR272" s="712"/>
      <c r="BS272" s="1109"/>
      <c r="BT272" s="1109"/>
      <c r="BU272" s="24"/>
      <c r="BW272" s="621">
        <v>264</v>
      </c>
      <c r="BX272" s="711">
        <v>17.7</v>
      </c>
      <c r="BY272" s="712"/>
      <c r="BZ272" s="1109"/>
      <c r="CA272" s="1109"/>
      <c r="CB272" s="24"/>
      <c r="CT272" s="16" t="e">
        <f t="shared" si="216"/>
        <v>#N/A</v>
      </c>
      <c r="CU272" s="197" t="e">
        <f t="shared" si="217"/>
        <v>#N/A</v>
      </c>
      <c r="CV272" s="197" t="e">
        <f t="shared" si="218"/>
        <v>#N/A</v>
      </c>
      <c r="CW272" s="197">
        <v>269</v>
      </c>
      <c r="CX272" s="197" t="str">
        <f t="shared" si="212"/>
        <v/>
      </c>
      <c r="CY272" s="197" t="e">
        <f t="shared" si="213"/>
        <v>#N/A</v>
      </c>
      <c r="CZ272" s="197" t="e">
        <f t="shared" si="214"/>
        <v>#N/A</v>
      </c>
      <c r="DA272" s="197" t="str">
        <f t="shared" si="219"/>
        <v/>
      </c>
      <c r="DB272" s="16" t="e">
        <f t="shared" si="215"/>
        <v>#N/A</v>
      </c>
      <c r="DC272" s="16" t="e">
        <f>IF(ISNUMBER(CX272),COUNTIF($DB$4:DB272,DB272)-1,NA())</f>
        <v>#N/A</v>
      </c>
      <c r="DP272" s="16">
        <f t="shared" si="220"/>
        <v>0.51456639170646667</v>
      </c>
      <c r="DQ272" s="16">
        <v>270</v>
      </c>
      <c r="DR272" s="16">
        <f t="shared" si="207"/>
        <v>50.4</v>
      </c>
      <c r="DS272" s="16">
        <f t="shared" si="208"/>
        <v>2.3123323761403149</v>
      </c>
      <c r="DT272" s="16">
        <f t="shared" si="209"/>
        <v>52.5</v>
      </c>
      <c r="DU272" s="16">
        <f t="shared" si="210"/>
        <v>47.5</v>
      </c>
      <c r="DV272" s="16">
        <f t="shared" si="211"/>
        <v>50.5</v>
      </c>
      <c r="DX272" s="197" t="e">
        <f t="shared" si="221"/>
        <v>#N/A</v>
      </c>
      <c r="DY272" s="197">
        <f t="shared" si="206"/>
        <v>0.93702399999999997</v>
      </c>
    </row>
    <row r="273" spans="5:129" ht="11.25" customHeight="1">
      <c r="E273" s="466">
        <v>272</v>
      </c>
      <c r="F273" s="474"/>
      <c r="G273" s="471"/>
      <c r="H273" s="321"/>
      <c r="I273" s="326"/>
      <c r="J273" s="30"/>
      <c r="BI273" s="621">
        <v>265</v>
      </c>
      <c r="BJ273" s="711"/>
      <c r="BK273" s="712"/>
      <c r="BL273" s="1109"/>
      <c r="BM273" s="1109"/>
      <c r="BN273" s="24"/>
      <c r="BP273" s="621">
        <v>265</v>
      </c>
      <c r="BQ273" s="711"/>
      <c r="BR273" s="712"/>
      <c r="BS273" s="1109"/>
      <c r="BT273" s="1109"/>
      <c r="BU273" s="24"/>
      <c r="BW273" s="621">
        <v>265</v>
      </c>
      <c r="BX273" s="711">
        <v>20.100000000000001</v>
      </c>
      <c r="BY273" s="712"/>
      <c r="BZ273" s="1109"/>
      <c r="CA273" s="1109"/>
      <c r="CB273" s="24"/>
      <c r="CT273" s="16" t="e">
        <f t="shared" si="216"/>
        <v>#N/A</v>
      </c>
      <c r="CU273" s="197" t="e">
        <f t="shared" si="217"/>
        <v>#N/A</v>
      </c>
      <c r="CV273" s="197" t="e">
        <f t="shared" si="218"/>
        <v>#N/A</v>
      </c>
      <c r="CW273" s="197">
        <v>270</v>
      </c>
      <c r="CX273" s="197" t="str">
        <f t="shared" si="212"/>
        <v/>
      </c>
      <c r="CY273" s="197" t="e">
        <f t="shared" si="213"/>
        <v>#N/A</v>
      </c>
      <c r="CZ273" s="197" t="e">
        <f t="shared" si="214"/>
        <v>#N/A</v>
      </c>
      <c r="DA273" s="197" t="str">
        <f t="shared" si="219"/>
        <v/>
      </c>
      <c r="DB273" s="16" t="e">
        <f t="shared" si="215"/>
        <v>#N/A</v>
      </c>
      <c r="DC273" s="16" t="e">
        <f>IF(ISNUMBER(CX273),COUNTIF($DB$4:DB273,DB273)-1,NA())</f>
        <v>#N/A</v>
      </c>
      <c r="DP273" s="16">
        <f t="shared" si="220"/>
        <v>0.60642775893211365</v>
      </c>
      <c r="DQ273" s="16">
        <v>271</v>
      </c>
      <c r="DR273" s="16">
        <f t="shared" si="207"/>
        <v>52.7</v>
      </c>
      <c r="DS273" s="16">
        <f t="shared" si="208"/>
        <v>2.4757822742743278</v>
      </c>
      <c r="DT273" s="16">
        <f t="shared" si="209"/>
        <v>50.7</v>
      </c>
      <c r="DU273" s="16">
        <f t="shared" si="210"/>
        <v>49.3</v>
      </c>
      <c r="DV273" s="16">
        <f t="shared" si="211"/>
        <v>53.7</v>
      </c>
      <c r="DX273" s="197" t="e">
        <f t="shared" si="221"/>
        <v>#N/A</v>
      </c>
      <c r="DY273" s="197">
        <f t="shared" si="206"/>
        <v>0.93702399999999997</v>
      </c>
    </row>
    <row r="274" spans="5:129" ht="11.25" customHeight="1">
      <c r="E274" s="466">
        <v>273</v>
      </c>
      <c r="F274" s="474"/>
      <c r="G274" s="471"/>
      <c r="H274" s="321"/>
      <c r="I274" s="326"/>
      <c r="J274" s="30"/>
      <c r="BI274" s="621">
        <v>266</v>
      </c>
      <c r="BJ274" s="711"/>
      <c r="BK274" s="712"/>
      <c r="BL274" s="1109"/>
      <c r="BM274" s="1109"/>
      <c r="BN274" s="24"/>
      <c r="BP274" s="621">
        <v>266</v>
      </c>
      <c r="BQ274" s="711"/>
      <c r="BR274" s="712"/>
      <c r="BS274" s="1109"/>
      <c r="BT274" s="1109"/>
      <c r="BU274" s="24"/>
      <c r="BW274" s="621">
        <v>266</v>
      </c>
      <c r="BX274" s="711">
        <v>2.1</v>
      </c>
      <c r="BY274" s="712"/>
      <c r="BZ274" s="1109"/>
      <c r="CA274" s="1109"/>
      <c r="CB274" s="24"/>
      <c r="CT274" s="16" t="e">
        <f t="shared" si="216"/>
        <v>#N/A</v>
      </c>
      <c r="CU274" s="197" t="e">
        <f t="shared" si="217"/>
        <v>#N/A</v>
      </c>
      <c r="CV274" s="197" t="e">
        <f t="shared" si="218"/>
        <v>#N/A</v>
      </c>
      <c r="CW274" s="197">
        <v>271</v>
      </c>
      <c r="CX274" s="197" t="str">
        <f t="shared" si="212"/>
        <v/>
      </c>
      <c r="CY274" s="197" t="e">
        <f t="shared" si="213"/>
        <v>#N/A</v>
      </c>
      <c r="CZ274" s="197" t="e">
        <f t="shared" si="214"/>
        <v>#N/A</v>
      </c>
      <c r="DA274" s="197" t="str">
        <f t="shared" si="219"/>
        <v/>
      </c>
      <c r="DB274" s="16" t="e">
        <f t="shared" si="215"/>
        <v>#N/A</v>
      </c>
      <c r="DC274" s="16" t="e">
        <f>IF(ISNUMBER(CX274),COUNTIF($DB$4:DB274,DB274)-1,NA())</f>
        <v>#N/A</v>
      </c>
      <c r="DP274" s="16">
        <f t="shared" si="220"/>
        <v>0.47288200259208679</v>
      </c>
      <c r="DQ274" s="16">
        <v>272</v>
      </c>
      <c r="DR274" s="16">
        <f t="shared" si="207"/>
        <v>49.3</v>
      </c>
      <c r="DS274" s="16">
        <f t="shared" si="208"/>
        <v>2.2391489043811852</v>
      </c>
      <c r="DT274" s="16">
        <f t="shared" si="209"/>
        <v>53.2</v>
      </c>
      <c r="DU274" s="16">
        <f t="shared" si="210"/>
        <v>46.8</v>
      </c>
      <c r="DV274" s="16">
        <f t="shared" si="211"/>
        <v>49.1</v>
      </c>
      <c r="DX274" s="197" t="e">
        <f t="shared" si="221"/>
        <v>#N/A</v>
      </c>
      <c r="DY274" s="197">
        <f t="shared" si="206"/>
        <v>0.93702399999999997</v>
      </c>
    </row>
    <row r="275" spans="5:129" ht="11.25" customHeight="1">
      <c r="E275" s="466">
        <v>274</v>
      </c>
      <c r="F275" s="474"/>
      <c r="G275" s="471"/>
      <c r="H275" s="321"/>
      <c r="I275" s="326"/>
      <c r="J275" s="30"/>
      <c r="BI275" s="621">
        <v>267</v>
      </c>
      <c r="BJ275" s="711"/>
      <c r="BK275" s="712"/>
      <c r="BL275" s="1109"/>
      <c r="BM275" s="1109"/>
      <c r="BN275" s="24"/>
      <c r="BP275" s="621">
        <v>267</v>
      </c>
      <c r="BQ275" s="711"/>
      <c r="BR275" s="712"/>
      <c r="BS275" s="1109"/>
      <c r="BT275" s="1109"/>
      <c r="BU275" s="24"/>
      <c r="BW275" s="621">
        <v>267</v>
      </c>
      <c r="BX275" s="711">
        <v>11.1</v>
      </c>
      <c r="BY275" s="712"/>
      <c r="BZ275" s="1109"/>
      <c r="CA275" s="1109"/>
      <c r="CB275" s="24"/>
      <c r="CT275" s="16" t="e">
        <f t="shared" si="216"/>
        <v>#N/A</v>
      </c>
      <c r="CU275" s="197" t="e">
        <f t="shared" si="217"/>
        <v>#N/A</v>
      </c>
      <c r="CV275" s="197" t="e">
        <f t="shared" si="218"/>
        <v>#N/A</v>
      </c>
      <c r="CW275" s="197">
        <v>272</v>
      </c>
      <c r="CX275" s="197" t="str">
        <f t="shared" si="212"/>
        <v/>
      </c>
      <c r="CY275" s="197" t="e">
        <f t="shared" si="213"/>
        <v>#N/A</v>
      </c>
      <c r="CZ275" s="197" t="e">
        <f t="shared" si="214"/>
        <v>#N/A</v>
      </c>
      <c r="DA275" s="197" t="str">
        <f t="shared" si="219"/>
        <v/>
      </c>
      <c r="DB275" s="16" t="e">
        <f t="shared" si="215"/>
        <v>#N/A</v>
      </c>
      <c r="DC275" s="16" t="e">
        <f>IF(ISNUMBER(CX275),COUNTIF($DB$4:DB275,DB275)-1,NA())</f>
        <v>#N/A</v>
      </c>
      <c r="DP275" s="16">
        <f t="shared" si="220"/>
        <v>0.17338690161705017</v>
      </c>
      <c r="DQ275" s="16">
        <v>273</v>
      </c>
      <c r="DR275" s="16">
        <f t="shared" si="207"/>
        <v>40.6</v>
      </c>
      <c r="DS275" s="16">
        <f t="shared" si="208"/>
        <v>1.6281620927668559</v>
      </c>
      <c r="DT275" s="16">
        <f t="shared" si="209"/>
        <v>57.5</v>
      </c>
      <c r="DU275" s="16">
        <f t="shared" si="210"/>
        <v>42.5</v>
      </c>
      <c r="DV275" s="16">
        <f t="shared" si="211"/>
        <v>38.700000000000003</v>
      </c>
      <c r="DX275" s="197" t="e">
        <f t="shared" si="221"/>
        <v>#N/A</v>
      </c>
      <c r="DY275" s="197">
        <f t="shared" si="206"/>
        <v>0.93702399999999997</v>
      </c>
    </row>
    <row r="276" spans="5:129" ht="11.25" customHeight="1">
      <c r="E276" s="466">
        <v>275</v>
      </c>
      <c r="F276" s="474"/>
      <c r="G276" s="471"/>
      <c r="H276" s="321"/>
      <c r="I276" s="326"/>
      <c r="J276" s="30"/>
      <c r="BI276" s="621">
        <v>268</v>
      </c>
      <c r="BJ276" s="711"/>
      <c r="BK276" s="712"/>
      <c r="BL276" s="1109"/>
      <c r="BM276" s="1109"/>
      <c r="BN276" s="24"/>
      <c r="BP276" s="621">
        <v>268</v>
      </c>
      <c r="BQ276" s="711"/>
      <c r="BR276" s="712"/>
      <c r="BS276" s="1109"/>
      <c r="BT276" s="1109"/>
      <c r="BU276" s="24"/>
      <c r="BW276" s="621">
        <v>268</v>
      </c>
      <c r="BX276" s="711">
        <v>11.2</v>
      </c>
      <c r="BY276" s="712"/>
      <c r="BZ276" s="1109"/>
      <c r="CA276" s="1109"/>
      <c r="CB276" s="24"/>
      <c r="CT276" s="16" t="e">
        <f t="shared" si="216"/>
        <v>#N/A</v>
      </c>
      <c r="CU276" s="197" t="e">
        <f t="shared" si="217"/>
        <v>#N/A</v>
      </c>
      <c r="CV276" s="197" t="e">
        <f t="shared" si="218"/>
        <v>#N/A</v>
      </c>
      <c r="CW276" s="197">
        <v>273</v>
      </c>
      <c r="CX276" s="197" t="str">
        <f t="shared" si="212"/>
        <v/>
      </c>
      <c r="CY276" s="197" t="e">
        <f t="shared" si="213"/>
        <v>#N/A</v>
      </c>
      <c r="CZ276" s="197" t="e">
        <f t="shared" si="214"/>
        <v>#N/A</v>
      </c>
      <c r="DA276" s="197" t="str">
        <f t="shared" si="219"/>
        <v/>
      </c>
      <c r="DB276" s="16" t="e">
        <f t="shared" si="215"/>
        <v>#N/A</v>
      </c>
      <c r="DC276" s="16" t="e">
        <f>IF(ISNUMBER(CX276),COUNTIF($DB$4:DB276,DB276)-1,NA())</f>
        <v>#N/A</v>
      </c>
      <c r="DP276" s="16">
        <f t="shared" si="220"/>
        <v>0.2702002227306366</v>
      </c>
      <c r="DQ276" s="16">
        <v>274</v>
      </c>
      <c r="DR276" s="16">
        <f t="shared" si="207"/>
        <v>43.9</v>
      </c>
      <c r="DS276" s="16">
        <f t="shared" si="208"/>
        <v>1.8582226373578559</v>
      </c>
      <c r="DT276" s="16">
        <f t="shared" si="209"/>
        <v>56.2</v>
      </c>
      <c r="DU276" s="16">
        <f t="shared" si="210"/>
        <v>43.8</v>
      </c>
      <c r="DV276" s="16">
        <f t="shared" si="211"/>
        <v>42</v>
      </c>
      <c r="DX276" s="197" t="e">
        <f t="shared" si="221"/>
        <v>#N/A</v>
      </c>
      <c r="DY276" s="197">
        <f t="shared" si="206"/>
        <v>0.93702399999999997</v>
      </c>
    </row>
    <row r="277" spans="5:129" ht="11.25" customHeight="1">
      <c r="E277" s="466">
        <v>276</v>
      </c>
      <c r="F277" s="474"/>
      <c r="G277" s="471"/>
      <c r="H277" s="321"/>
      <c r="I277" s="326"/>
      <c r="J277" s="30"/>
      <c r="BI277" s="621">
        <v>269</v>
      </c>
      <c r="BJ277" s="711"/>
      <c r="BK277" s="712"/>
      <c r="BL277" s="1109"/>
      <c r="BM277" s="1109"/>
      <c r="BN277" s="24"/>
      <c r="BP277" s="621">
        <v>269</v>
      </c>
      <c r="BQ277" s="711"/>
      <c r="BR277" s="712"/>
      <c r="BS277" s="1109"/>
      <c r="BT277" s="1109"/>
      <c r="BU277" s="24"/>
      <c r="BW277" s="621">
        <v>269</v>
      </c>
      <c r="BX277" s="711">
        <v>10.7</v>
      </c>
      <c r="BY277" s="712"/>
      <c r="BZ277" s="1109"/>
      <c r="CA277" s="1109"/>
      <c r="CB277" s="24"/>
      <c r="CT277" s="16" t="e">
        <f t="shared" si="216"/>
        <v>#N/A</v>
      </c>
      <c r="CU277" s="197" t="e">
        <f t="shared" si="217"/>
        <v>#N/A</v>
      </c>
      <c r="CV277" s="197" t="e">
        <f t="shared" si="218"/>
        <v>#N/A</v>
      </c>
      <c r="CW277" s="197">
        <v>274</v>
      </c>
      <c r="CX277" s="197" t="str">
        <f t="shared" si="212"/>
        <v/>
      </c>
      <c r="CY277" s="197" t="e">
        <f t="shared" si="213"/>
        <v>#N/A</v>
      </c>
      <c r="CZ277" s="197" t="e">
        <f t="shared" si="214"/>
        <v>#N/A</v>
      </c>
      <c r="DA277" s="197" t="str">
        <f t="shared" si="219"/>
        <v/>
      </c>
      <c r="DB277" s="16" t="e">
        <f t="shared" si="215"/>
        <v>#N/A</v>
      </c>
      <c r="DC277" s="16" t="e">
        <f>IF(ISNUMBER(CX277),COUNTIF($DB$4:DB277,DB277)-1,NA())</f>
        <v>#N/A</v>
      </c>
      <c r="DP277" s="16">
        <f t="shared" si="220"/>
        <v>0.73990926146507263</v>
      </c>
      <c r="DQ277" s="16">
        <v>275</v>
      </c>
      <c r="DR277" s="16">
        <f t="shared" si="207"/>
        <v>56.4</v>
      </c>
      <c r="DS277" s="16">
        <f t="shared" si="208"/>
        <v>2.7369139060385566</v>
      </c>
      <c r="DT277" s="16">
        <f t="shared" si="209"/>
        <v>47.1</v>
      </c>
      <c r="DU277" s="16">
        <f t="shared" si="210"/>
        <v>52.9</v>
      </c>
      <c r="DV277" s="16">
        <f t="shared" si="211"/>
        <v>58.3</v>
      </c>
      <c r="DX277" s="197" t="e">
        <f t="shared" si="221"/>
        <v>#N/A</v>
      </c>
      <c r="DY277" s="197">
        <f t="shared" si="206"/>
        <v>0.93702399999999997</v>
      </c>
    </row>
    <row r="278" spans="5:129" ht="11.25" customHeight="1">
      <c r="E278" s="466">
        <v>277</v>
      </c>
      <c r="F278" s="474"/>
      <c r="G278" s="471"/>
      <c r="H278" s="321"/>
      <c r="I278" s="326"/>
      <c r="J278" s="30"/>
      <c r="BI278" s="621">
        <v>270</v>
      </c>
      <c r="BJ278" s="711"/>
      <c r="BK278" s="712"/>
      <c r="BL278" s="1109"/>
      <c r="BM278" s="1109"/>
      <c r="BN278" s="24"/>
      <c r="BP278" s="621">
        <v>270</v>
      </c>
      <c r="BQ278" s="711"/>
      <c r="BR278" s="712"/>
      <c r="BS278" s="1109"/>
      <c r="BT278" s="1109"/>
      <c r="BU278" s="24"/>
      <c r="BW278" s="621">
        <v>270</v>
      </c>
      <c r="BX278" s="711">
        <v>1.9</v>
      </c>
      <c r="BY278" s="712"/>
      <c r="BZ278" s="1109"/>
      <c r="CA278" s="1109"/>
      <c r="CB278" s="24"/>
      <c r="CT278" s="16" t="e">
        <f t="shared" si="216"/>
        <v>#N/A</v>
      </c>
      <c r="CU278" s="197" t="e">
        <f t="shared" si="217"/>
        <v>#N/A</v>
      </c>
      <c r="CV278" s="197" t="e">
        <f t="shared" si="218"/>
        <v>#N/A</v>
      </c>
      <c r="CW278" s="197">
        <v>275</v>
      </c>
      <c r="CX278" s="197" t="str">
        <f t="shared" si="212"/>
        <v/>
      </c>
      <c r="CY278" s="197" t="e">
        <f t="shared" si="213"/>
        <v>#N/A</v>
      </c>
      <c r="CZ278" s="197" t="e">
        <f t="shared" si="214"/>
        <v>#N/A</v>
      </c>
      <c r="DA278" s="197" t="str">
        <f t="shared" si="219"/>
        <v/>
      </c>
      <c r="DB278" s="16" t="e">
        <f t="shared" si="215"/>
        <v>#N/A</v>
      </c>
      <c r="DC278" s="16" t="e">
        <f>IF(ISNUMBER(CX278),COUNTIF($DB$4:DB278,DB278)-1,NA())</f>
        <v>#N/A</v>
      </c>
      <c r="DP278" s="16">
        <f t="shared" si="220"/>
        <v>0.23347112536430359</v>
      </c>
      <c r="DQ278" s="16">
        <v>276</v>
      </c>
      <c r="DR278" s="16">
        <f t="shared" si="207"/>
        <v>42.7</v>
      </c>
      <c r="DS278" s="16">
        <f t="shared" si="208"/>
        <v>1.7775436838470307</v>
      </c>
      <c r="DT278" s="16">
        <f t="shared" si="209"/>
        <v>56.7</v>
      </c>
      <c r="DU278" s="16">
        <f t="shared" si="210"/>
        <v>43.3</v>
      </c>
      <c r="DV278" s="16">
        <f t="shared" si="211"/>
        <v>40.799999999999997</v>
      </c>
      <c r="DX278" s="197" t="e">
        <f t="shared" si="221"/>
        <v>#N/A</v>
      </c>
      <c r="DY278" s="197">
        <f t="shared" si="206"/>
        <v>0.93702399999999997</v>
      </c>
    </row>
    <row r="279" spans="5:129" ht="11.25" customHeight="1">
      <c r="E279" s="466">
        <v>278</v>
      </c>
      <c r="F279" s="474"/>
      <c r="G279" s="471"/>
      <c r="H279" s="321"/>
      <c r="I279" s="326"/>
      <c r="J279" s="30"/>
      <c r="BI279" s="621">
        <v>271</v>
      </c>
      <c r="BJ279" s="711"/>
      <c r="BK279" s="712"/>
      <c r="BL279" s="1109"/>
      <c r="BM279" s="1109"/>
      <c r="BN279" s="24"/>
      <c r="BP279" s="621">
        <v>271</v>
      </c>
      <c r="BQ279" s="711"/>
      <c r="BR279" s="712"/>
      <c r="BS279" s="1109"/>
      <c r="BT279" s="1109"/>
      <c r="BU279" s="24"/>
      <c r="BW279" s="621">
        <v>271</v>
      </c>
      <c r="BX279" s="711">
        <v>5.2</v>
      </c>
      <c r="BY279" s="712"/>
      <c r="BZ279" s="1109"/>
      <c r="CA279" s="1109"/>
      <c r="CB279" s="24"/>
      <c r="CT279" s="16" t="e">
        <f t="shared" si="216"/>
        <v>#N/A</v>
      </c>
      <c r="CU279" s="197" t="e">
        <f t="shared" si="217"/>
        <v>#N/A</v>
      </c>
      <c r="CV279" s="197" t="e">
        <f t="shared" si="218"/>
        <v>#N/A</v>
      </c>
      <c r="CW279" s="197">
        <v>276</v>
      </c>
      <c r="CX279" s="197" t="str">
        <f t="shared" si="212"/>
        <v/>
      </c>
      <c r="CY279" s="197" t="e">
        <f t="shared" si="213"/>
        <v>#N/A</v>
      </c>
      <c r="CZ279" s="197" t="e">
        <f t="shared" si="214"/>
        <v>#N/A</v>
      </c>
      <c r="DA279" s="197" t="str">
        <f t="shared" si="219"/>
        <v/>
      </c>
      <c r="DB279" s="16" t="e">
        <f t="shared" si="215"/>
        <v>#N/A</v>
      </c>
      <c r="DC279" s="16" t="e">
        <f>IF(ISNUMBER(CX279),COUNTIF($DB$4:DB279,DB279)-1,NA())</f>
        <v>#N/A</v>
      </c>
      <c r="DP279" s="16">
        <f t="shared" si="220"/>
        <v>0.28876766562461853</v>
      </c>
      <c r="DQ279" s="16">
        <v>277</v>
      </c>
      <c r="DR279" s="16">
        <f t="shared" si="207"/>
        <v>44.4</v>
      </c>
      <c r="DS279" s="16">
        <f t="shared" si="208"/>
        <v>1.8968760198890522</v>
      </c>
      <c r="DT279" s="16">
        <f t="shared" si="209"/>
        <v>55.9</v>
      </c>
      <c r="DU279" s="16">
        <f t="shared" si="210"/>
        <v>44.1</v>
      </c>
      <c r="DV279" s="16">
        <f t="shared" si="211"/>
        <v>42.7</v>
      </c>
      <c r="DX279" s="197" t="e">
        <f t="shared" si="221"/>
        <v>#N/A</v>
      </c>
      <c r="DY279" s="197">
        <f t="shared" si="206"/>
        <v>0.93702399999999997</v>
      </c>
    </row>
    <row r="280" spans="5:129" ht="11.25" customHeight="1">
      <c r="E280" s="466">
        <v>279</v>
      </c>
      <c r="F280" s="474"/>
      <c r="G280" s="471"/>
      <c r="H280" s="321"/>
      <c r="I280" s="326"/>
      <c r="J280" s="30"/>
      <c r="BI280" s="621">
        <v>272</v>
      </c>
      <c r="BJ280" s="711"/>
      <c r="BK280" s="712"/>
      <c r="BL280" s="1109"/>
      <c r="BM280" s="1109"/>
      <c r="BN280" s="24"/>
      <c r="BP280" s="621">
        <v>272</v>
      </c>
      <c r="BQ280" s="711"/>
      <c r="BR280" s="712"/>
      <c r="BS280" s="1109"/>
      <c r="BT280" s="1109"/>
      <c r="BU280" s="24"/>
      <c r="BW280" s="621">
        <v>272</v>
      </c>
      <c r="BX280" s="711">
        <v>9.6999999999999993</v>
      </c>
      <c r="BY280" s="712"/>
      <c r="BZ280" s="1109"/>
      <c r="CA280" s="1109"/>
      <c r="CB280" s="24"/>
      <c r="CT280" s="16" t="e">
        <f t="shared" si="216"/>
        <v>#N/A</v>
      </c>
      <c r="CU280" s="197" t="e">
        <f t="shared" si="217"/>
        <v>#N/A</v>
      </c>
      <c r="CV280" s="197" t="e">
        <f t="shared" si="218"/>
        <v>#N/A</v>
      </c>
      <c r="CW280" s="197">
        <v>277</v>
      </c>
      <c r="CX280" s="197" t="str">
        <f t="shared" si="212"/>
        <v/>
      </c>
      <c r="CY280" s="197" t="e">
        <f t="shared" si="213"/>
        <v>#N/A</v>
      </c>
      <c r="CZ280" s="197" t="e">
        <f t="shared" si="214"/>
        <v>#N/A</v>
      </c>
      <c r="DA280" s="197" t="str">
        <f t="shared" si="219"/>
        <v/>
      </c>
      <c r="DB280" s="16" t="e">
        <f t="shared" si="215"/>
        <v>#N/A</v>
      </c>
      <c r="DC280" s="16" t="e">
        <f>IF(ISNUMBER(CX280),COUNTIF($DB$4:DB280,DB280)-1,NA())</f>
        <v>#N/A</v>
      </c>
      <c r="DP280" s="16">
        <f t="shared" si="220"/>
        <v>0.41022583842277527</v>
      </c>
      <c r="DQ280" s="16">
        <v>278</v>
      </c>
      <c r="DR280" s="16">
        <f t="shared" si="207"/>
        <v>47.7</v>
      </c>
      <c r="DS280" s="16">
        <f t="shared" si="208"/>
        <v>2.1278930711397686</v>
      </c>
      <c r="DT280" s="16">
        <f t="shared" si="209"/>
        <v>54.2</v>
      </c>
      <c r="DU280" s="16">
        <f t="shared" si="210"/>
        <v>45.8</v>
      </c>
      <c r="DV280" s="16">
        <f t="shared" si="211"/>
        <v>46.9</v>
      </c>
      <c r="DX280" s="197" t="e">
        <f t="shared" si="221"/>
        <v>#N/A</v>
      </c>
      <c r="DY280" s="197">
        <f t="shared" si="206"/>
        <v>0.93702399999999997</v>
      </c>
    </row>
    <row r="281" spans="5:129" ht="11.25" customHeight="1">
      <c r="E281" s="466">
        <v>280</v>
      </c>
      <c r="F281" s="474"/>
      <c r="G281" s="471"/>
      <c r="H281" s="321"/>
      <c r="I281" s="326"/>
      <c r="J281" s="30"/>
      <c r="BI281" s="621">
        <v>273</v>
      </c>
      <c r="BJ281" s="711"/>
      <c r="BK281" s="712"/>
      <c r="BL281" s="1109"/>
      <c r="BM281" s="1109"/>
      <c r="BN281" s="24"/>
      <c r="BP281" s="621">
        <v>273</v>
      </c>
      <c r="BQ281" s="711"/>
      <c r="BR281" s="712"/>
      <c r="BS281" s="1109"/>
      <c r="BT281" s="1109"/>
      <c r="BU281" s="24"/>
      <c r="BW281" s="621">
        <v>273</v>
      </c>
      <c r="BX281" s="711">
        <v>5.2</v>
      </c>
      <c r="BY281" s="712"/>
      <c r="BZ281" s="1109"/>
      <c r="CA281" s="1109"/>
      <c r="CB281" s="24"/>
      <c r="CT281" s="16" t="e">
        <f t="shared" si="216"/>
        <v>#N/A</v>
      </c>
      <c r="CU281" s="197" t="e">
        <f t="shared" si="217"/>
        <v>#N/A</v>
      </c>
      <c r="CV281" s="197" t="e">
        <f t="shared" si="218"/>
        <v>#N/A</v>
      </c>
      <c r="CW281" s="197">
        <v>278</v>
      </c>
      <c r="CX281" s="197" t="str">
        <f t="shared" si="212"/>
        <v/>
      </c>
      <c r="CY281" s="197" t="e">
        <f t="shared" si="213"/>
        <v>#N/A</v>
      </c>
      <c r="CZ281" s="197" t="e">
        <f t="shared" si="214"/>
        <v>#N/A</v>
      </c>
      <c r="DA281" s="197" t="str">
        <f t="shared" si="219"/>
        <v/>
      </c>
      <c r="DB281" s="16" t="e">
        <f t="shared" si="215"/>
        <v>#N/A</v>
      </c>
      <c r="DC281" s="16" t="e">
        <f>IF(ISNUMBER(CX281),COUNTIF($DB$4:DB281,DB281)-1,NA())</f>
        <v>#N/A</v>
      </c>
      <c r="DP281" s="16">
        <f t="shared" si="220"/>
        <v>0.71716365218162537</v>
      </c>
      <c r="DQ281" s="16">
        <v>279</v>
      </c>
      <c r="DR281" s="16">
        <f t="shared" si="207"/>
        <v>55.7</v>
      </c>
      <c r="DS281" s="16">
        <f t="shared" si="208"/>
        <v>2.6888732294876938</v>
      </c>
      <c r="DT281" s="16">
        <f t="shared" si="209"/>
        <v>47.9</v>
      </c>
      <c r="DU281" s="16">
        <f t="shared" si="210"/>
        <v>52.1</v>
      </c>
      <c r="DV281" s="16">
        <f t="shared" si="211"/>
        <v>57.5</v>
      </c>
      <c r="DX281" s="197" t="e">
        <f t="shared" si="221"/>
        <v>#N/A</v>
      </c>
      <c r="DY281" s="197">
        <f t="shared" si="206"/>
        <v>0.93702399999999997</v>
      </c>
    </row>
    <row r="282" spans="5:129" ht="11.25" customHeight="1">
      <c r="E282" s="466">
        <v>281</v>
      </c>
      <c r="F282" s="474"/>
      <c r="G282" s="471"/>
      <c r="H282" s="321"/>
      <c r="I282" s="326"/>
      <c r="J282" s="30"/>
      <c r="BI282" s="621">
        <v>274</v>
      </c>
      <c r="BJ282" s="711"/>
      <c r="BK282" s="712"/>
      <c r="BL282" s="1109"/>
      <c r="BM282" s="1109"/>
      <c r="BN282" s="24"/>
      <c r="BP282" s="621">
        <v>274</v>
      </c>
      <c r="BQ282" s="711"/>
      <c r="BR282" s="712"/>
      <c r="BS282" s="1109"/>
      <c r="BT282" s="1109"/>
      <c r="BU282" s="24"/>
      <c r="BW282" s="621">
        <v>274</v>
      </c>
      <c r="BX282" s="711">
        <v>2.4</v>
      </c>
      <c r="BY282" s="712"/>
      <c r="BZ282" s="1109"/>
      <c r="CA282" s="1109"/>
      <c r="CB282" s="24"/>
      <c r="CT282" s="16" t="e">
        <f t="shared" si="216"/>
        <v>#N/A</v>
      </c>
      <c r="CU282" s="197" t="e">
        <f t="shared" si="217"/>
        <v>#N/A</v>
      </c>
      <c r="CV282" s="197" t="e">
        <f t="shared" si="218"/>
        <v>#N/A</v>
      </c>
      <c r="CW282" s="197">
        <v>279</v>
      </c>
      <c r="CX282" s="197" t="str">
        <f t="shared" si="212"/>
        <v/>
      </c>
      <c r="CY282" s="197" t="e">
        <f t="shared" si="213"/>
        <v>#N/A</v>
      </c>
      <c r="CZ282" s="197" t="e">
        <f t="shared" si="214"/>
        <v>#N/A</v>
      </c>
      <c r="DA282" s="197" t="str">
        <f t="shared" si="219"/>
        <v/>
      </c>
      <c r="DB282" s="16" t="e">
        <f t="shared" si="215"/>
        <v>#N/A</v>
      </c>
      <c r="DC282" s="16" t="e">
        <f>IF(ISNUMBER(CX282),COUNTIF($DB$4:DB282,DB282)-1,NA())</f>
        <v>#N/A</v>
      </c>
      <c r="DP282" s="16">
        <f t="shared" si="220"/>
        <v>0.84494373202323914</v>
      </c>
      <c r="DQ282" s="16">
        <v>280</v>
      </c>
      <c r="DR282" s="16">
        <f t="shared" si="207"/>
        <v>60.1</v>
      </c>
      <c r="DS282" s="16">
        <f t="shared" si="208"/>
        <v>2.9972580727998399</v>
      </c>
      <c r="DT282" s="16">
        <f t="shared" si="209"/>
        <v>42.5</v>
      </c>
      <c r="DU282" s="16">
        <f t="shared" si="210"/>
        <v>57.5</v>
      </c>
      <c r="DV282" s="16">
        <f t="shared" si="211"/>
        <v>61.9</v>
      </c>
      <c r="DX282" s="197" t="e">
        <f t="shared" si="221"/>
        <v>#N/A</v>
      </c>
      <c r="DY282" s="197">
        <f t="shared" si="206"/>
        <v>0.93702399999999997</v>
      </c>
    </row>
    <row r="283" spans="5:129" ht="11.25" customHeight="1">
      <c r="E283" s="466">
        <v>282</v>
      </c>
      <c r="F283" s="474"/>
      <c r="G283" s="471"/>
      <c r="H283" s="321"/>
      <c r="I283" s="326"/>
      <c r="J283" s="30"/>
      <c r="BI283" s="621">
        <v>275</v>
      </c>
      <c r="BJ283" s="711"/>
      <c r="BK283" s="712"/>
      <c r="BL283" s="1109"/>
      <c r="BM283" s="1109"/>
      <c r="BN283" s="24"/>
      <c r="BP283" s="621">
        <v>275</v>
      </c>
      <c r="BQ283" s="711"/>
      <c r="BR283" s="712"/>
      <c r="BS283" s="1109"/>
      <c r="BT283" s="1109"/>
      <c r="BU283" s="24"/>
      <c r="BW283" s="621">
        <v>275</v>
      </c>
      <c r="BX283" s="711">
        <v>7.1</v>
      </c>
      <c r="BY283" s="712"/>
      <c r="BZ283" s="1109"/>
      <c r="CA283" s="1109"/>
      <c r="CB283" s="24"/>
      <c r="CT283" s="16" t="e">
        <f t="shared" si="216"/>
        <v>#N/A</v>
      </c>
      <c r="CU283" s="197" t="e">
        <f t="shared" si="217"/>
        <v>#N/A</v>
      </c>
      <c r="CV283" s="197" t="e">
        <f t="shared" si="218"/>
        <v>#N/A</v>
      </c>
      <c r="CW283" s="197">
        <v>280</v>
      </c>
      <c r="CX283" s="197" t="str">
        <f t="shared" si="212"/>
        <v/>
      </c>
      <c r="CY283" s="197" t="e">
        <f t="shared" si="213"/>
        <v>#N/A</v>
      </c>
      <c r="CZ283" s="197" t="e">
        <f t="shared" si="214"/>
        <v>#N/A</v>
      </c>
      <c r="DA283" s="197" t="str">
        <f t="shared" si="219"/>
        <v/>
      </c>
      <c r="DB283" s="16" t="e">
        <f t="shared" si="215"/>
        <v>#N/A</v>
      </c>
      <c r="DC283" s="16" t="e">
        <f>IF(ISNUMBER(CX283),COUNTIF($DB$4:DB283,DB283)-1,NA())</f>
        <v>#N/A</v>
      </c>
      <c r="DP283" s="16">
        <f t="shared" si="220"/>
        <v>0.30450090765953064</v>
      </c>
      <c r="DQ283" s="16">
        <v>281</v>
      </c>
      <c r="DR283" s="16">
        <f t="shared" si="207"/>
        <v>44.9</v>
      </c>
      <c r="DS283" s="16">
        <f t="shared" si="208"/>
        <v>1.9287187508149755</v>
      </c>
      <c r="DT283" s="16">
        <f t="shared" si="209"/>
        <v>55.7</v>
      </c>
      <c r="DU283" s="16">
        <f t="shared" si="210"/>
        <v>44.3</v>
      </c>
      <c r="DV283" s="16">
        <f t="shared" si="211"/>
        <v>43.2</v>
      </c>
      <c r="DX283" s="197" t="e">
        <f t="shared" si="221"/>
        <v>#N/A</v>
      </c>
      <c r="DY283" s="197">
        <f t="shared" si="206"/>
        <v>0.93702399999999997</v>
      </c>
    </row>
    <row r="284" spans="5:129" ht="11.25" customHeight="1">
      <c r="E284" s="466">
        <v>283</v>
      </c>
      <c r="F284" s="474"/>
      <c r="G284" s="471"/>
      <c r="H284" s="321"/>
      <c r="I284" s="326"/>
      <c r="J284" s="30"/>
      <c r="BI284" s="621">
        <v>276</v>
      </c>
      <c r="BJ284" s="711"/>
      <c r="BK284" s="712"/>
      <c r="BL284" s="1109"/>
      <c r="BM284" s="1109"/>
      <c r="BN284" s="24"/>
      <c r="BP284" s="621">
        <v>276</v>
      </c>
      <c r="BQ284" s="711"/>
      <c r="BR284" s="712"/>
      <c r="BS284" s="1109"/>
      <c r="BT284" s="1109"/>
      <c r="BU284" s="24"/>
      <c r="BW284" s="621">
        <v>276</v>
      </c>
      <c r="BX284" s="711">
        <v>8.6999999999999993</v>
      </c>
      <c r="BY284" s="712"/>
      <c r="BZ284" s="1109"/>
      <c r="CA284" s="1109"/>
      <c r="CB284" s="24"/>
      <c r="CT284" s="16" t="e">
        <f t="shared" si="216"/>
        <v>#N/A</v>
      </c>
      <c r="CU284" s="197" t="e">
        <f t="shared" si="217"/>
        <v>#N/A</v>
      </c>
      <c r="CV284" s="197" t="e">
        <f t="shared" si="218"/>
        <v>#N/A</v>
      </c>
      <c r="CW284" s="197">
        <v>281</v>
      </c>
      <c r="CX284" s="197" t="str">
        <f t="shared" si="212"/>
        <v/>
      </c>
      <c r="CY284" s="197" t="e">
        <f t="shared" si="213"/>
        <v>#N/A</v>
      </c>
      <c r="CZ284" s="197" t="e">
        <f t="shared" si="214"/>
        <v>#N/A</v>
      </c>
      <c r="DA284" s="197" t="str">
        <f t="shared" si="219"/>
        <v/>
      </c>
      <c r="DB284" s="16" t="e">
        <f t="shared" si="215"/>
        <v>#N/A</v>
      </c>
      <c r="DC284" s="16" t="e">
        <f>IF(ISNUMBER(CX284),COUNTIF($DB$4:DB284,DB284)-1,NA())</f>
        <v>#N/A</v>
      </c>
      <c r="DP284" s="16">
        <f t="shared" si="220"/>
        <v>3.510710597038269E-2</v>
      </c>
      <c r="DQ284" s="16">
        <v>282</v>
      </c>
      <c r="DR284" s="16">
        <f t="shared" si="207"/>
        <v>31.9</v>
      </c>
      <c r="DS284" s="16">
        <f t="shared" si="208"/>
        <v>1.0193995243199458</v>
      </c>
      <c r="DT284" s="16">
        <f t="shared" si="209"/>
        <v>59.8</v>
      </c>
      <c r="DU284" s="16">
        <f t="shared" si="210"/>
        <v>40.200000000000003</v>
      </c>
      <c r="DV284" s="16">
        <f t="shared" si="211"/>
        <v>33.9</v>
      </c>
      <c r="DX284" s="197" t="e">
        <f t="shared" si="221"/>
        <v>#N/A</v>
      </c>
      <c r="DY284" s="197">
        <f t="shared" si="206"/>
        <v>0.93702399999999997</v>
      </c>
    </row>
    <row r="285" spans="5:129" ht="11.25" customHeight="1">
      <c r="E285" s="466">
        <v>284</v>
      </c>
      <c r="F285" s="474"/>
      <c r="G285" s="471"/>
      <c r="H285" s="321"/>
      <c r="I285" s="326"/>
      <c r="J285" s="30"/>
      <c r="BI285" s="621">
        <v>277</v>
      </c>
      <c r="BJ285" s="711"/>
      <c r="BK285" s="712"/>
      <c r="BL285" s="1109"/>
      <c r="BM285" s="1109"/>
      <c r="BN285" s="24"/>
      <c r="BP285" s="621">
        <v>277</v>
      </c>
      <c r="BQ285" s="711"/>
      <c r="BR285" s="712"/>
      <c r="BS285" s="1109"/>
      <c r="BT285" s="1109"/>
      <c r="BU285" s="24"/>
      <c r="BW285" s="621">
        <v>277</v>
      </c>
      <c r="BX285" s="711">
        <v>8</v>
      </c>
      <c r="BY285" s="712"/>
      <c r="BZ285" s="1109"/>
      <c r="CA285" s="1109"/>
      <c r="CB285" s="24"/>
      <c r="CT285" s="16" t="e">
        <f t="shared" si="216"/>
        <v>#N/A</v>
      </c>
      <c r="CU285" s="197" t="e">
        <f t="shared" si="217"/>
        <v>#N/A</v>
      </c>
      <c r="CV285" s="197" t="e">
        <f t="shared" si="218"/>
        <v>#N/A</v>
      </c>
      <c r="CW285" s="197">
        <v>282</v>
      </c>
      <c r="CX285" s="197" t="str">
        <f t="shared" si="212"/>
        <v/>
      </c>
      <c r="CY285" s="197" t="e">
        <f t="shared" si="213"/>
        <v>#N/A</v>
      </c>
      <c r="CZ285" s="197" t="e">
        <f t="shared" si="214"/>
        <v>#N/A</v>
      </c>
      <c r="DA285" s="197" t="str">
        <f t="shared" si="219"/>
        <v/>
      </c>
      <c r="DB285" s="16" t="e">
        <f t="shared" si="215"/>
        <v>#N/A</v>
      </c>
      <c r="DC285" s="16" t="e">
        <f>IF(ISNUMBER(CX285),COUNTIF($DB$4:DB285,DB285)-1,NA())</f>
        <v>#N/A</v>
      </c>
      <c r="DP285" s="16">
        <f t="shared" si="220"/>
        <v>0.51609620451927185</v>
      </c>
      <c r="DQ285" s="16">
        <v>283</v>
      </c>
      <c r="DR285" s="16">
        <f t="shared" si="207"/>
        <v>50.4</v>
      </c>
      <c r="DS285" s="16">
        <f t="shared" si="208"/>
        <v>2.3150186320771482</v>
      </c>
      <c r="DT285" s="16">
        <f t="shared" si="209"/>
        <v>52.5</v>
      </c>
      <c r="DU285" s="16">
        <f t="shared" si="210"/>
        <v>47.5</v>
      </c>
      <c r="DV285" s="16">
        <f t="shared" si="211"/>
        <v>50.6</v>
      </c>
      <c r="DX285" s="197" t="e">
        <f t="shared" si="221"/>
        <v>#N/A</v>
      </c>
      <c r="DY285" s="197">
        <f t="shared" si="206"/>
        <v>0.93702399999999997</v>
      </c>
    </row>
    <row r="286" spans="5:129" ht="11.25" customHeight="1">
      <c r="E286" s="466">
        <v>285</v>
      </c>
      <c r="F286" s="474"/>
      <c r="G286" s="471"/>
      <c r="H286" s="321"/>
      <c r="I286" s="326"/>
      <c r="J286" s="30"/>
      <c r="BI286" s="621">
        <v>278</v>
      </c>
      <c r="BJ286" s="711"/>
      <c r="BK286" s="712"/>
      <c r="BL286" s="1109"/>
      <c r="BM286" s="1109"/>
      <c r="BN286" s="24"/>
      <c r="BP286" s="621">
        <v>278</v>
      </c>
      <c r="BQ286" s="711"/>
      <c r="BR286" s="712"/>
      <c r="BS286" s="1109"/>
      <c r="BT286" s="1109"/>
      <c r="BU286" s="24"/>
      <c r="BW286" s="621">
        <v>278</v>
      </c>
      <c r="BX286" s="711">
        <v>11.3</v>
      </c>
      <c r="BY286" s="712"/>
      <c r="BZ286" s="1109"/>
      <c r="CA286" s="1109"/>
      <c r="CB286" s="24"/>
      <c r="CT286" s="16" t="e">
        <f t="shared" si="216"/>
        <v>#N/A</v>
      </c>
      <c r="CU286" s="197" t="e">
        <f t="shared" si="217"/>
        <v>#N/A</v>
      </c>
      <c r="CV286" s="197" t="e">
        <f t="shared" si="218"/>
        <v>#N/A</v>
      </c>
      <c r="CW286" s="197">
        <v>283</v>
      </c>
      <c r="CX286" s="197" t="str">
        <f t="shared" si="212"/>
        <v/>
      </c>
      <c r="CY286" s="197" t="e">
        <f t="shared" si="213"/>
        <v>#N/A</v>
      </c>
      <c r="CZ286" s="197" t="e">
        <f t="shared" si="214"/>
        <v>#N/A</v>
      </c>
      <c r="DA286" s="197" t="str">
        <f t="shared" si="219"/>
        <v/>
      </c>
      <c r="DB286" s="16" t="e">
        <f t="shared" si="215"/>
        <v>#N/A</v>
      </c>
      <c r="DC286" s="16" t="e">
        <f>IF(ISNUMBER(CX286),COUNTIF($DB$4:DB286,DB286)-1,NA())</f>
        <v>#N/A</v>
      </c>
      <c r="DP286" s="16">
        <f t="shared" si="220"/>
        <v>0.75444337725639343</v>
      </c>
      <c r="DQ286" s="16">
        <v>284</v>
      </c>
      <c r="DR286" s="16">
        <f t="shared" si="207"/>
        <v>56.9</v>
      </c>
      <c r="DS286" s="16">
        <f t="shared" si="208"/>
        <v>2.7687454175536517</v>
      </c>
      <c r="DT286" s="16">
        <f t="shared" si="209"/>
        <v>46.6</v>
      </c>
      <c r="DU286" s="16">
        <f t="shared" si="210"/>
        <v>53.4</v>
      </c>
      <c r="DV286" s="16">
        <f t="shared" si="211"/>
        <v>58.8</v>
      </c>
      <c r="DX286" s="197" t="e">
        <f t="shared" si="221"/>
        <v>#N/A</v>
      </c>
      <c r="DY286" s="197">
        <f t="shared" si="206"/>
        <v>0.93702399999999997</v>
      </c>
    </row>
    <row r="287" spans="5:129" ht="11.25" customHeight="1">
      <c r="E287" s="466">
        <v>286</v>
      </c>
      <c r="F287" s="474"/>
      <c r="G287" s="471"/>
      <c r="H287" s="321"/>
      <c r="I287" s="326"/>
      <c r="J287" s="30"/>
      <c r="BI287" s="621">
        <v>279</v>
      </c>
      <c r="BJ287" s="711"/>
      <c r="BK287" s="712"/>
      <c r="BL287" s="1109"/>
      <c r="BM287" s="1109"/>
      <c r="BN287" s="24"/>
      <c r="BP287" s="621">
        <v>279</v>
      </c>
      <c r="BQ287" s="711"/>
      <c r="BR287" s="712"/>
      <c r="BS287" s="1109"/>
      <c r="BT287" s="1109"/>
      <c r="BU287" s="24"/>
      <c r="BW287" s="621">
        <v>279</v>
      </c>
      <c r="BX287" s="711">
        <v>8.5</v>
      </c>
      <c r="BY287" s="712"/>
      <c r="BZ287" s="1109"/>
      <c r="CA287" s="1109"/>
      <c r="CB287" s="24"/>
      <c r="CT287" s="16" t="e">
        <f t="shared" si="216"/>
        <v>#N/A</v>
      </c>
      <c r="CU287" s="197" t="e">
        <f t="shared" si="217"/>
        <v>#N/A</v>
      </c>
      <c r="CV287" s="197" t="e">
        <f t="shared" si="218"/>
        <v>#N/A</v>
      </c>
      <c r="CW287" s="197">
        <v>284</v>
      </c>
      <c r="CX287" s="197" t="str">
        <f t="shared" si="212"/>
        <v/>
      </c>
      <c r="CY287" s="197" t="e">
        <f t="shared" si="213"/>
        <v>#N/A</v>
      </c>
      <c r="CZ287" s="197" t="e">
        <f t="shared" si="214"/>
        <v>#N/A</v>
      </c>
      <c r="DA287" s="197" t="str">
        <f t="shared" si="219"/>
        <v/>
      </c>
      <c r="DB287" s="16" t="e">
        <f t="shared" si="215"/>
        <v>#N/A</v>
      </c>
      <c r="DC287" s="16" t="e">
        <f>IF(ISNUMBER(CX287),COUNTIF($DB$4:DB287,DB287)-1,NA())</f>
        <v>#N/A</v>
      </c>
      <c r="DP287" s="16">
        <f t="shared" si="220"/>
        <v>0.5803278386592865</v>
      </c>
      <c r="DQ287" s="16">
        <v>285</v>
      </c>
      <c r="DR287" s="16">
        <f t="shared" si="207"/>
        <v>52</v>
      </c>
      <c r="DS287" s="16">
        <f t="shared" si="208"/>
        <v>2.4286804918268863</v>
      </c>
      <c r="DT287" s="16">
        <f t="shared" si="209"/>
        <v>51.2</v>
      </c>
      <c r="DU287" s="16">
        <f t="shared" si="210"/>
        <v>48.8</v>
      </c>
      <c r="DV287" s="16">
        <f t="shared" si="211"/>
        <v>52.8</v>
      </c>
      <c r="DX287" s="197" t="e">
        <f t="shared" si="221"/>
        <v>#N/A</v>
      </c>
      <c r="DY287" s="197">
        <f t="shared" si="206"/>
        <v>0.93702399999999997</v>
      </c>
    </row>
    <row r="288" spans="5:129" ht="11.25" customHeight="1">
      <c r="E288" s="466">
        <v>287</v>
      </c>
      <c r="F288" s="474"/>
      <c r="G288" s="471"/>
      <c r="H288" s="321"/>
      <c r="I288" s="326"/>
      <c r="J288" s="30"/>
      <c r="BI288" s="621">
        <v>280</v>
      </c>
      <c r="BJ288" s="711"/>
      <c r="BK288" s="712"/>
      <c r="BL288" s="1109"/>
      <c r="BM288" s="1109"/>
      <c r="BN288" s="24"/>
      <c r="BP288" s="621">
        <v>280</v>
      </c>
      <c r="BQ288" s="711"/>
      <c r="BR288" s="712"/>
      <c r="BS288" s="1109"/>
      <c r="BT288" s="1109"/>
      <c r="BU288" s="24"/>
      <c r="BW288" s="621">
        <v>280</v>
      </c>
      <c r="BX288" s="711">
        <v>9.1</v>
      </c>
      <c r="BY288" s="712"/>
      <c r="BZ288" s="1109"/>
      <c r="CA288" s="1109"/>
      <c r="CB288" s="24"/>
      <c r="CT288" s="16" t="e">
        <f t="shared" si="216"/>
        <v>#N/A</v>
      </c>
      <c r="CU288" s="197" t="e">
        <f t="shared" si="217"/>
        <v>#N/A</v>
      </c>
      <c r="CV288" s="197" t="e">
        <f t="shared" si="218"/>
        <v>#N/A</v>
      </c>
      <c r="CW288" s="197">
        <v>285</v>
      </c>
      <c r="CX288" s="197" t="str">
        <f t="shared" si="212"/>
        <v/>
      </c>
      <c r="CY288" s="197" t="e">
        <f t="shared" si="213"/>
        <v>#N/A</v>
      </c>
      <c r="CZ288" s="197" t="e">
        <f t="shared" si="214"/>
        <v>#N/A</v>
      </c>
      <c r="DA288" s="197" t="str">
        <f t="shared" si="219"/>
        <v/>
      </c>
      <c r="DB288" s="16" t="e">
        <f t="shared" si="215"/>
        <v>#N/A</v>
      </c>
      <c r="DC288" s="16" t="e">
        <f>IF(ISNUMBER(CX288),COUNTIF($DB$4:DB288,DB288)-1,NA())</f>
        <v>#N/A</v>
      </c>
      <c r="DP288" s="16">
        <f t="shared" si="220"/>
        <v>0.93085476756095886</v>
      </c>
      <c r="DQ288" s="16">
        <v>286</v>
      </c>
      <c r="DR288" s="16">
        <f t="shared" si="207"/>
        <v>64.8</v>
      </c>
      <c r="DS288" s="16">
        <f t="shared" si="208"/>
        <v>3.3242990338934222</v>
      </c>
      <c r="DT288" s="16">
        <f t="shared" si="209"/>
        <v>34.799999999999997</v>
      </c>
      <c r="DU288" s="16">
        <f t="shared" si="210"/>
        <v>65.2</v>
      </c>
      <c r="DV288" s="16">
        <f t="shared" si="211"/>
        <v>64.900000000000006</v>
      </c>
      <c r="DX288" s="197" t="e">
        <f t="shared" si="221"/>
        <v>#N/A</v>
      </c>
      <c r="DY288" s="197">
        <f t="shared" si="206"/>
        <v>0.93702399999999997</v>
      </c>
    </row>
    <row r="289" spans="5:129" ht="11.25" customHeight="1">
      <c r="E289" s="466">
        <v>288</v>
      </c>
      <c r="F289" s="474"/>
      <c r="G289" s="471"/>
      <c r="H289" s="321"/>
      <c r="I289" s="326"/>
      <c r="J289" s="30"/>
      <c r="BI289" s="621">
        <v>281</v>
      </c>
      <c r="BJ289" s="711"/>
      <c r="BK289" s="712"/>
      <c r="BL289" s="1109"/>
      <c r="BM289" s="1109"/>
      <c r="BN289" s="24"/>
      <c r="BP289" s="621">
        <v>281</v>
      </c>
      <c r="BQ289" s="711"/>
      <c r="BR289" s="712"/>
      <c r="BS289" s="1109"/>
      <c r="BT289" s="1109"/>
      <c r="BU289" s="24"/>
      <c r="BW289" s="621">
        <v>281</v>
      </c>
      <c r="BX289" s="711">
        <v>4.5</v>
      </c>
      <c r="BY289" s="712"/>
      <c r="BZ289" s="1109"/>
      <c r="CA289" s="1109"/>
      <c r="CB289" s="24"/>
      <c r="CT289" s="16" t="e">
        <f t="shared" si="216"/>
        <v>#N/A</v>
      </c>
      <c r="CU289" s="197" t="e">
        <f t="shared" si="217"/>
        <v>#N/A</v>
      </c>
      <c r="CV289" s="197" t="e">
        <f t="shared" si="218"/>
        <v>#N/A</v>
      </c>
      <c r="CW289" s="197">
        <v>286</v>
      </c>
      <c r="CX289" s="197" t="str">
        <f t="shared" si="212"/>
        <v/>
      </c>
      <c r="CY289" s="197" t="e">
        <f t="shared" si="213"/>
        <v>#N/A</v>
      </c>
      <c r="CZ289" s="197" t="e">
        <f t="shared" si="214"/>
        <v>#N/A</v>
      </c>
      <c r="DA289" s="197" t="str">
        <f t="shared" si="219"/>
        <v/>
      </c>
      <c r="DB289" s="16" t="e">
        <f t="shared" si="215"/>
        <v>#N/A</v>
      </c>
      <c r="DC289" s="16" t="e">
        <f>IF(ISNUMBER(CX289),COUNTIF($DB$4:DB289,DB289)-1,NA())</f>
        <v>#N/A</v>
      </c>
      <c r="DP289" s="16">
        <f t="shared" si="220"/>
        <v>0.77672156691551208</v>
      </c>
      <c r="DQ289" s="16">
        <v>287</v>
      </c>
      <c r="DR289" s="16">
        <f t="shared" si="207"/>
        <v>57.6</v>
      </c>
      <c r="DS289" s="16">
        <f t="shared" si="208"/>
        <v>2.8195853630404781</v>
      </c>
      <c r="DT289" s="16">
        <f t="shared" si="209"/>
        <v>45.8</v>
      </c>
      <c r="DU289" s="16">
        <f t="shared" si="210"/>
        <v>54.2</v>
      </c>
      <c r="DV289" s="16">
        <f t="shared" si="211"/>
        <v>59.6</v>
      </c>
      <c r="DX289" s="197" t="e">
        <f t="shared" si="221"/>
        <v>#N/A</v>
      </c>
      <c r="DY289" s="197">
        <f t="shared" ref="DY289:DY352" si="222">DY288</f>
        <v>0.93702399999999997</v>
      </c>
    </row>
    <row r="290" spans="5:129" ht="11.25" customHeight="1">
      <c r="E290" s="466">
        <v>289</v>
      </c>
      <c r="F290" s="474"/>
      <c r="G290" s="471"/>
      <c r="H290" s="321"/>
      <c r="I290" s="326"/>
      <c r="J290" s="30"/>
      <c r="BI290" s="621">
        <v>282</v>
      </c>
      <c r="BJ290" s="711"/>
      <c r="BK290" s="712"/>
      <c r="BL290" s="1109"/>
      <c r="BM290" s="1109"/>
      <c r="BN290" s="24"/>
      <c r="BP290" s="621">
        <v>282</v>
      </c>
      <c r="BQ290" s="711"/>
      <c r="BR290" s="712"/>
      <c r="BS290" s="1109"/>
      <c r="BT290" s="1109"/>
      <c r="BU290" s="24"/>
      <c r="BW290" s="621">
        <v>282</v>
      </c>
      <c r="BX290" s="711">
        <v>9.1999999999999993</v>
      </c>
      <c r="BY290" s="712"/>
      <c r="BZ290" s="1109"/>
      <c r="CA290" s="1109"/>
      <c r="CB290" s="24"/>
      <c r="CT290" s="16" t="e">
        <f t="shared" si="216"/>
        <v>#N/A</v>
      </c>
      <c r="CU290" s="197" t="e">
        <f t="shared" si="217"/>
        <v>#N/A</v>
      </c>
      <c r="CV290" s="197" t="e">
        <f t="shared" si="218"/>
        <v>#N/A</v>
      </c>
      <c r="CW290" s="197">
        <v>287</v>
      </c>
      <c r="CX290" s="197" t="str">
        <f t="shared" si="212"/>
        <v/>
      </c>
      <c r="CY290" s="197" t="e">
        <f t="shared" si="213"/>
        <v>#N/A</v>
      </c>
      <c r="CZ290" s="197" t="e">
        <f t="shared" si="214"/>
        <v>#N/A</v>
      </c>
      <c r="DA290" s="197" t="str">
        <f t="shared" si="219"/>
        <v/>
      </c>
      <c r="DB290" s="16" t="e">
        <f t="shared" si="215"/>
        <v>#N/A</v>
      </c>
      <c r="DC290" s="16" t="e">
        <f>IF(ISNUMBER(CX290),COUNTIF($DB$4:DB290,DB290)-1,NA())</f>
        <v>#N/A</v>
      </c>
      <c r="DP290" s="16">
        <f t="shared" si="220"/>
        <v>0.76653549075126648</v>
      </c>
      <c r="DQ290" s="16">
        <v>288</v>
      </c>
      <c r="DR290" s="16">
        <f t="shared" si="207"/>
        <v>57.3</v>
      </c>
      <c r="DS290" s="16">
        <f t="shared" si="208"/>
        <v>2.7960072895654187</v>
      </c>
      <c r="DT290" s="16">
        <f t="shared" si="209"/>
        <v>46.2</v>
      </c>
      <c r="DU290" s="16">
        <f t="shared" si="210"/>
        <v>53.8</v>
      </c>
      <c r="DV290" s="16">
        <f t="shared" si="211"/>
        <v>59.2</v>
      </c>
      <c r="DX290" s="197" t="e">
        <f t="shared" si="221"/>
        <v>#N/A</v>
      </c>
      <c r="DY290" s="197">
        <f t="shared" si="222"/>
        <v>0.93702399999999997</v>
      </c>
    </row>
    <row r="291" spans="5:129" ht="11.25" customHeight="1">
      <c r="E291" s="466">
        <v>290</v>
      </c>
      <c r="F291" s="474"/>
      <c r="G291" s="471"/>
      <c r="H291" s="321"/>
      <c r="I291" s="326"/>
      <c r="J291" s="30"/>
      <c r="BI291" s="621">
        <v>283</v>
      </c>
      <c r="BJ291" s="711"/>
      <c r="BK291" s="712"/>
      <c r="BL291" s="1109"/>
      <c r="BM291" s="1109"/>
      <c r="BN291" s="24"/>
      <c r="BP291" s="621">
        <v>283</v>
      </c>
      <c r="BQ291" s="711"/>
      <c r="BR291" s="712"/>
      <c r="BS291" s="1109"/>
      <c r="BT291" s="1109"/>
      <c r="BU291" s="24"/>
      <c r="BW291" s="621">
        <v>283</v>
      </c>
      <c r="BX291" s="711">
        <v>13.3</v>
      </c>
      <c r="BY291" s="712"/>
      <c r="BZ291" s="1109"/>
      <c r="CA291" s="1109"/>
      <c r="CB291" s="24"/>
      <c r="CT291" s="16" t="e">
        <f t="shared" si="216"/>
        <v>#N/A</v>
      </c>
      <c r="CU291" s="197" t="e">
        <f t="shared" si="217"/>
        <v>#N/A</v>
      </c>
      <c r="CV291" s="197" t="e">
        <f t="shared" si="218"/>
        <v>#N/A</v>
      </c>
      <c r="CW291" s="197">
        <v>288</v>
      </c>
      <c r="CX291" s="197" t="str">
        <f t="shared" si="212"/>
        <v/>
      </c>
      <c r="CY291" s="197" t="e">
        <f t="shared" si="213"/>
        <v>#N/A</v>
      </c>
      <c r="CZ291" s="197" t="e">
        <f t="shared" si="214"/>
        <v>#N/A</v>
      </c>
      <c r="DA291" s="197" t="str">
        <f t="shared" si="219"/>
        <v/>
      </c>
      <c r="DB291" s="16" t="e">
        <f t="shared" si="215"/>
        <v>#N/A</v>
      </c>
      <c r="DC291" s="16" t="e">
        <f>IF(ISNUMBER(CX291),COUNTIF($DB$4:DB291,DB291)-1,NA())</f>
        <v>#N/A</v>
      </c>
      <c r="DP291" s="16">
        <f t="shared" si="220"/>
        <v>0.87247404456138611</v>
      </c>
      <c r="DQ291" s="16">
        <v>289</v>
      </c>
      <c r="DR291" s="16">
        <f t="shared" si="207"/>
        <v>61.4</v>
      </c>
      <c r="DS291" s="16">
        <f t="shared" si="208"/>
        <v>3.0834828867218005</v>
      </c>
      <c r="DT291" s="16">
        <f t="shared" si="209"/>
        <v>40.700000000000003</v>
      </c>
      <c r="DU291" s="16">
        <f t="shared" si="210"/>
        <v>59.3</v>
      </c>
      <c r="DV291" s="16">
        <f t="shared" si="211"/>
        <v>62.9</v>
      </c>
      <c r="DX291" s="197" t="e">
        <f t="shared" si="221"/>
        <v>#N/A</v>
      </c>
      <c r="DY291" s="197">
        <f t="shared" si="222"/>
        <v>0.93702399999999997</v>
      </c>
    </row>
    <row r="292" spans="5:129" ht="11.25" customHeight="1">
      <c r="E292" s="466">
        <v>291</v>
      </c>
      <c r="F292" s="474"/>
      <c r="G292" s="471"/>
      <c r="H292" s="321"/>
      <c r="I292" s="326"/>
      <c r="J292" s="30"/>
      <c r="BI292" s="621">
        <v>284</v>
      </c>
      <c r="BJ292" s="711"/>
      <c r="BK292" s="712"/>
      <c r="BL292" s="1109"/>
      <c r="BM292" s="1109"/>
      <c r="BN292" s="24"/>
      <c r="BP292" s="621">
        <v>284</v>
      </c>
      <c r="BQ292" s="711"/>
      <c r="BR292" s="712"/>
      <c r="BS292" s="1109"/>
      <c r="BT292" s="1109"/>
      <c r="BU292" s="24"/>
      <c r="BW292" s="621">
        <v>284</v>
      </c>
      <c r="BX292" s="711">
        <v>18.3</v>
      </c>
      <c r="BY292" s="712"/>
      <c r="BZ292" s="1109"/>
      <c r="CA292" s="1109"/>
      <c r="CB292" s="24"/>
      <c r="CT292" s="16" t="e">
        <f t="shared" si="216"/>
        <v>#N/A</v>
      </c>
      <c r="CU292" s="197" t="e">
        <f t="shared" si="217"/>
        <v>#N/A</v>
      </c>
      <c r="CV292" s="197" t="e">
        <f t="shared" si="218"/>
        <v>#N/A</v>
      </c>
      <c r="CW292" s="197">
        <v>289</v>
      </c>
      <c r="CX292" s="197" t="str">
        <f t="shared" si="212"/>
        <v/>
      </c>
      <c r="CY292" s="197" t="e">
        <f t="shared" si="213"/>
        <v>#N/A</v>
      </c>
      <c r="CZ292" s="197" t="e">
        <f t="shared" si="214"/>
        <v>#N/A</v>
      </c>
      <c r="DA292" s="197" t="str">
        <f t="shared" si="219"/>
        <v/>
      </c>
      <c r="DB292" s="16" t="e">
        <f t="shared" si="215"/>
        <v>#N/A</v>
      </c>
      <c r="DC292" s="16" t="e">
        <f>IF(ISNUMBER(CX292),COUNTIF($DB$4:DB292,DB292)-1,NA())</f>
        <v>#N/A</v>
      </c>
      <c r="DP292" s="16">
        <f t="shared" si="220"/>
        <v>0.78777644038200378</v>
      </c>
      <c r="DQ292" s="16">
        <v>290</v>
      </c>
      <c r="DR292" s="16">
        <f t="shared" si="207"/>
        <v>58</v>
      </c>
      <c r="DS292" s="16">
        <f t="shared" si="208"/>
        <v>2.8458787648837198</v>
      </c>
      <c r="DT292" s="16">
        <f t="shared" si="209"/>
        <v>45.4</v>
      </c>
      <c r="DU292" s="16">
        <f t="shared" si="210"/>
        <v>54.6</v>
      </c>
      <c r="DV292" s="16">
        <f t="shared" si="211"/>
        <v>60</v>
      </c>
      <c r="DX292" s="197" t="e">
        <f t="shared" si="221"/>
        <v>#N/A</v>
      </c>
      <c r="DY292" s="197">
        <f t="shared" si="222"/>
        <v>0.93702399999999997</v>
      </c>
    </row>
    <row r="293" spans="5:129" ht="11.25" customHeight="1">
      <c r="E293" s="466">
        <v>292</v>
      </c>
      <c r="F293" s="474"/>
      <c r="G293" s="471"/>
      <c r="H293" s="321"/>
      <c r="I293" s="326"/>
      <c r="J293" s="30"/>
      <c r="BI293" s="621">
        <v>285</v>
      </c>
      <c r="BJ293" s="711"/>
      <c r="BK293" s="712"/>
      <c r="BL293" s="1109"/>
      <c r="BM293" s="1109"/>
      <c r="BN293" s="24"/>
      <c r="BP293" s="621">
        <v>285</v>
      </c>
      <c r="BQ293" s="711"/>
      <c r="BR293" s="712"/>
      <c r="BS293" s="1109"/>
      <c r="BT293" s="1109"/>
      <c r="BU293" s="24"/>
      <c r="BW293" s="621">
        <v>285</v>
      </c>
      <c r="BX293" s="711">
        <v>2.8</v>
      </c>
      <c r="BY293" s="712"/>
      <c r="BZ293" s="1109"/>
      <c r="CA293" s="1109"/>
      <c r="CB293" s="24"/>
      <c r="CT293" s="16" t="e">
        <f t="shared" si="216"/>
        <v>#N/A</v>
      </c>
      <c r="CU293" s="197" t="e">
        <f t="shared" si="217"/>
        <v>#N/A</v>
      </c>
      <c r="CV293" s="197" t="e">
        <f t="shared" si="218"/>
        <v>#N/A</v>
      </c>
      <c r="CW293" s="197">
        <v>290</v>
      </c>
      <c r="CX293" s="197" t="str">
        <f t="shared" si="212"/>
        <v/>
      </c>
      <c r="CY293" s="197" t="e">
        <f t="shared" si="213"/>
        <v>#N/A</v>
      </c>
      <c r="CZ293" s="197" t="e">
        <f t="shared" si="214"/>
        <v>#N/A</v>
      </c>
      <c r="DA293" s="197" t="str">
        <f t="shared" si="219"/>
        <v/>
      </c>
      <c r="DB293" s="16" t="e">
        <f t="shared" si="215"/>
        <v>#N/A</v>
      </c>
      <c r="DC293" s="16" t="e">
        <f>IF(ISNUMBER(CX293),COUNTIF($DB$4:DB293,DB293)-1,NA())</f>
        <v>#N/A</v>
      </c>
      <c r="DP293" s="16">
        <f t="shared" si="220"/>
        <v>0.64491376280784607</v>
      </c>
      <c r="DQ293" s="16">
        <v>291</v>
      </c>
      <c r="DR293" s="16">
        <f t="shared" si="207"/>
        <v>53.7</v>
      </c>
      <c r="DS293" s="16">
        <f t="shared" si="208"/>
        <v>2.5469050464679004</v>
      </c>
      <c r="DT293" s="16">
        <f t="shared" si="209"/>
        <v>49.8</v>
      </c>
      <c r="DU293" s="16">
        <f t="shared" si="210"/>
        <v>50.2</v>
      </c>
      <c r="DV293" s="16">
        <f t="shared" si="211"/>
        <v>55</v>
      </c>
      <c r="DX293" s="197" t="e">
        <f t="shared" si="221"/>
        <v>#N/A</v>
      </c>
      <c r="DY293" s="197">
        <f t="shared" si="222"/>
        <v>0.93702399999999997</v>
      </c>
    </row>
    <row r="294" spans="5:129" ht="11.25" customHeight="1">
      <c r="E294" s="466">
        <v>293</v>
      </c>
      <c r="F294" s="474"/>
      <c r="G294" s="471"/>
      <c r="H294" s="321"/>
      <c r="I294" s="326"/>
      <c r="J294" s="30"/>
      <c r="BI294" s="621">
        <v>286</v>
      </c>
      <c r="BJ294" s="711"/>
      <c r="BK294" s="712"/>
      <c r="BL294" s="1109"/>
      <c r="BM294" s="1109"/>
      <c r="BN294" s="24"/>
      <c r="BP294" s="621">
        <v>286</v>
      </c>
      <c r="BQ294" s="711"/>
      <c r="BR294" s="712"/>
      <c r="BS294" s="1109"/>
      <c r="BT294" s="1109"/>
      <c r="BU294" s="24"/>
      <c r="BW294" s="621">
        <v>286</v>
      </c>
      <c r="BX294" s="711">
        <v>5.0999999999999996</v>
      </c>
      <c r="BY294" s="712"/>
      <c r="BZ294" s="1109"/>
      <c r="CA294" s="1109"/>
      <c r="CB294" s="24"/>
      <c r="CT294" s="16" t="e">
        <f t="shared" si="216"/>
        <v>#N/A</v>
      </c>
      <c r="CU294" s="197" t="e">
        <f t="shared" si="217"/>
        <v>#N/A</v>
      </c>
      <c r="CV294" s="197" t="e">
        <f t="shared" si="218"/>
        <v>#N/A</v>
      </c>
      <c r="CW294" s="197">
        <v>291</v>
      </c>
      <c r="CX294" s="197" t="str">
        <f t="shared" si="212"/>
        <v/>
      </c>
      <c r="CY294" s="197" t="e">
        <f t="shared" si="213"/>
        <v>#N/A</v>
      </c>
      <c r="CZ294" s="197" t="e">
        <f t="shared" si="214"/>
        <v>#N/A</v>
      </c>
      <c r="DA294" s="197" t="str">
        <f t="shared" si="219"/>
        <v/>
      </c>
      <c r="DB294" s="16" t="e">
        <f t="shared" si="215"/>
        <v>#N/A</v>
      </c>
      <c r="DC294" s="16" t="e">
        <f>IF(ISNUMBER(CX294),COUNTIF($DB$4:DB294,DB294)-1,NA())</f>
        <v>#N/A</v>
      </c>
      <c r="DP294" s="16">
        <f t="shared" si="220"/>
        <v>1.1957377195358276E-2</v>
      </c>
      <c r="DQ294" s="16">
        <v>292</v>
      </c>
      <c r="DR294" s="16">
        <f t="shared" si="207"/>
        <v>27.4</v>
      </c>
      <c r="DS294" s="16">
        <f t="shared" si="208"/>
        <v>0.70582073201993101</v>
      </c>
      <c r="DT294" s="16">
        <f t="shared" si="209"/>
        <v>60.6</v>
      </c>
      <c r="DU294" s="16">
        <f t="shared" si="210"/>
        <v>39.4</v>
      </c>
      <c r="DV294" s="16">
        <f t="shared" si="211"/>
        <v>33.1</v>
      </c>
      <c r="DX294" s="197" t="e">
        <f t="shared" si="221"/>
        <v>#N/A</v>
      </c>
      <c r="DY294" s="197">
        <f t="shared" si="222"/>
        <v>0.93702399999999997</v>
      </c>
    </row>
    <row r="295" spans="5:129" ht="11.25" customHeight="1">
      <c r="E295" s="466">
        <v>294</v>
      </c>
      <c r="F295" s="474"/>
      <c r="G295" s="471"/>
      <c r="H295" s="321"/>
      <c r="I295" s="326"/>
      <c r="J295" s="30"/>
      <c r="BI295" s="621">
        <v>287</v>
      </c>
      <c r="BJ295" s="711"/>
      <c r="BK295" s="712"/>
      <c r="BL295" s="1109"/>
      <c r="BM295" s="1109"/>
      <c r="BN295" s="24"/>
      <c r="BP295" s="621">
        <v>287</v>
      </c>
      <c r="BQ295" s="711"/>
      <c r="BR295" s="712"/>
      <c r="BS295" s="1109"/>
      <c r="BT295" s="1109"/>
      <c r="BU295" s="24"/>
      <c r="BW295" s="621">
        <v>287</v>
      </c>
      <c r="BX295" s="711">
        <v>12.4</v>
      </c>
      <c r="BY295" s="712"/>
      <c r="BZ295" s="1109"/>
      <c r="CA295" s="1109"/>
      <c r="CB295" s="24"/>
      <c r="CT295" s="16" t="e">
        <f t="shared" si="216"/>
        <v>#N/A</v>
      </c>
      <c r="CU295" s="197" t="e">
        <f t="shared" si="217"/>
        <v>#N/A</v>
      </c>
      <c r="CV295" s="197" t="e">
        <f t="shared" si="218"/>
        <v>#N/A</v>
      </c>
      <c r="CW295" s="197">
        <v>292</v>
      </c>
      <c r="CX295" s="197" t="str">
        <f t="shared" si="212"/>
        <v/>
      </c>
      <c r="CY295" s="197" t="e">
        <f t="shared" si="213"/>
        <v>#N/A</v>
      </c>
      <c r="CZ295" s="197" t="e">
        <f t="shared" si="214"/>
        <v>#N/A</v>
      </c>
      <c r="DA295" s="197" t="str">
        <f t="shared" si="219"/>
        <v/>
      </c>
      <c r="DB295" s="16" t="e">
        <f t="shared" si="215"/>
        <v>#N/A</v>
      </c>
      <c r="DC295" s="16" t="e">
        <f>IF(ISNUMBER(CX295),COUNTIF($DB$4:DB295,DB295)-1,NA())</f>
        <v>#N/A</v>
      </c>
      <c r="DP295" s="16">
        <f t="shared" si="220"/>
        <v>0.92739948630332947</v>
      </c>
      <c r="DQ295" s="16">
        <v>293</v>
      </c>
      <c r="DR295" s="16">
        <f t="shared" si="207"/>
        <v>64.599999999999994</v>
      </c>
      <c r="DS295" s="16">
        <f t="shared" si="208"/>
        <v>3.3064533167803729</v>
      </c>
      <c r="DT295" s="16">
        <f t="shared" si="209"/>
        <v>35.299999999999997</v>
      </c>
      <c r="DU295" s="16">
        <f t="shared" si="210"/>
        <v>64.7</v>
      </c>
      <c r="DV295" s="16">
        <f t="shared" si="211"/>
        <v>64.8</v>
      </c>
      <c r="DX295" s="197" t="e">
        <f t="shared" si="221"/>
        <v>#N/A</v>
      </c>
      <c r="DY295" s="197">
        <f t="shared" si="222"/>
        <v>0.93702399999999997</v>
      </c>
    </row>
    <row r="296" spans="5:129" ht="11.25" customHeight="1">
      <c r="E296" s="466">
        <v>295</v>
      </c>
      <c r="F296" s="474"/>
      <c r="G296" s="471"/>
      <c r="H296" s="321"/>
      <c r="I296" s="326"/>
      <c r="J296" s="30"/>
      <c r="BI296" s="621">
        <v>288</v>
      </c>
      <c r="BJ296" s="711"/>
      <c r="BK296" s="712"/>
      <c r="BL296" s="1109"/>
      <c r="BM296" s="1109"/>
      <c r="BN296" s="24"/>
      <c r="BP296" s="621">
        <v>288</v>
      </c>
      <c r="BQ296" s="711"/>
      <c r="BR296" s="712"/>
      <c r="BS296" s="1109"/>
      <c r="BT296" s="1109"/>
      <c r="BU296" s="24"/>
      <c r="BW296" s="621">
        <v>288</v>
      </c>
      <c r="BX296" s="711">
        <v>22</v>
      </c>
      <c r="BY296" s="712"/>
      <c r="BZ296" s="1109"/>
      <c r="CA296" s="1109"/>
      <c r="CB296" s="24"/>
      <c r="CT296" s="16" t="e">
        <f t="shared" si="216"/>
        <v>#N/A</v>
      </c>
      <c r="CU296" s="197" t="e">
        <f t="shared" si="217"/>
        <v>#N/A</v>
      </c>
      <c r="CV296" s="197" t="e">
        <f t="shared" si="218"/>
        <v>#N/A</v>
      </c>
      <c r="CW296" s="197">
        <v>293</v>
      </c>
      <c r="CX296" s="197" t="str">
        <f t="shared" si="212"/>
        <v/>
      </c>
      <c r="CY296" s="197" t="e">
        <f t="shared" si="213"/>
        <v>#N/A</v>
      </c>
      <c r="CZ296" s="197" t="e">
        <f t="shared" si="214"/>
        <v>#N/A</v>
      </c>
      <c r="DA296" s="197" t="str">
        <f t="shared" si="219"/>
        <v/>
      </c>
      <c r="DB296" s="16" t="e">
        <f t="shared" si="215"/>
        <v>#N/A</v>
      </c>
      <c r="DC296" s="16" t="e">
        <f>IF(ISNUMBER(CX296),COUNTIF($DB$4:DB296,DB296)-1,NA())</f>
        <v>#N/A</v>
      </c>
      <c r="DP296" s="16">
        <f t="shared" si="220"/>
        <v>0.91922661662101746</v>
      </c>
      <c r="DQ296" s="16">
        <v>294</v>
      </c>
      <c r="DR296" s="16">
        <f t="shared" si="207"/>
        <v>64</v>
      </c>
      <c r="DS296" s="16">
        <f t="shared" si="208"/>
        <v>3.2666897420045364</v>
      </c>
      <c r="DT296" s="16">
        <f t="shared" si="209"/>
        <v>36.4</v>
      </c>
      <c r="DU296" s="16">
        <f t="shared" si="210"/>
        <v>63.6</v>
      </c>
      <c r="DV296" s="16">
        <f t="shared" si="211"/>
        <v>64.5</v>
      </c>
      <c r="DX296" s="197" t="e">
        <f t="shared" si="221"/>
        <v>#N/A</v>
      </c>
      <c r="DY296" s="197">
        <f t="shared" si="222"/>
        <v>0.93702399999999997</v>
      </c>
    </row>
    <row r="297" spans="5:129" ht="11.25" customHeight="1">
      <c r="E297" s="466">
        <v>296</v>
      </c>
      <c r="F297" s="474"/>
      <c r="G297" s="471"/>
      <c r="H297" s="321"/>
      <c r="I297" s="326"/>
      <c r="J297" s="30"/>
      <c r="BI297" s="621">
        <v>289</v>
      </c>
      <c r="BJ297" s="711"/>
      <c r="BK297" s="712"/>
      <c r="BL297" s="1109"/>
      <c r="BM297" s="1109"/>
      <c r="BN297" s="24"/>
      <c r="BP297" s="621">
        <v>289</v>
      </c>
      <c r="BQ297" s="711"/>
      <c r="BR297" s="712"/>
      <c r="BS297" s="1109"/>
      <c r="BT297" s="1109"/>
      <c r="BU297" s="24"/>
      <c r="BW297" s="621">
        <v>289</v>
      </c>
      <c r="BX297" s="711">
        <v>23</v>
      </c>
      <c r="BY297" s="712"/>
      <c r="BZ297" s="1109"/>
      <c r="CA297" s="1109"/>
      <c r="CB297" s="24"/>
      <c r="CT297" s="16" t="e">
        <f t="shared" si="216"/>
        <v>#N/A</v>
      </c>
      <c r="CU297" s="197" t="e">
        <f t="shared" si="217"/>
        <v>#N/A</v>
      </c>
      <c r="CV297" s="197" t="e">
        <f t="shared" si="218"/>
        <v>#N/A</v>
      </c>
      <c r="CW297" s="197">
        <v>294</v>
      </c>
      <c r="CX297" s="197" t="str">
        <f t="shared" si="212"/>
        <v/>
      </c>
      <c r="CY297" s="197" t="e">
        <f t="shared" si="213"/>
        <v>#N/A</v>
      </c>
      <c r="CZ297" s="197" t="e">
        <f t="shared" si="214"/>
        <v>#N/A</v>
      </c>
      <c r="DA297" s="197" t="str">
        <f t="shared" si="219"/>
        <v/>
      </c>
      <c r="DB297" s="16" t="e">
        <f t="shared" si="215"/>
        <v>#N/A</v>
      </c>
      <c r="DC297" s="16" t="e">
        <f>IF(ISNUMBER(CX297),COUNTIF($DB$4:DB297,DB297)-1,NA())</f>
        <v>#N/A</v>
      </c>
      <c r="DP297" s="16">
        <f t="shared" si="220"/>
        <v>0.1161561906337738</v>
      </c>
      <c r="DQ297" s="16">
        <v>295</v>
      </c>
      <c r="DR297" s="16">
        <f t="shared" si="207"/>
        <v>38.1</v>
      </c>
      <c r="DS297" s="16">
        <f t="shared" si="208"/>
        <v>1.4506715320372985</v>
      </c>
      <c r="DT297" s="16">
        <f t="shared" si="209"/>
        <v>58.3</v>
      </c>
      <c r="DU297" s="16">
        <f t="shared" si="210"/>
        <v>41.7</v>
      </c>
      <c r="DV297" s="16">
        <f t="shared" si="211"/>
        <v>36.700000000000003</v>
      </c>
      <c r="DX297" s="197" t="e">
        <f t="shared" si="221"/>
        <v>#N/A</v>
      </c>
      <c r="DY297" s="197">
        <f t="shared" si="222"/>
        <v>0.93702399999999997</v>
      </c>
    </row>
    <row r="298" spans="5:129" ht="11.25" customHeight="1">
      <c r="E298" s="466">
        <v>297</v>
      </c>
      <c r="F298" s="474"/>
      <c r="G298" s="471"/>
      <c r="H298" s="321"/>
      <c r="I298" s="326"/>
      <c r="J298" s="30"/>
      <c r="BI298" s="621">
        <v>290</v>
      </c>
      <c r="BJ298" s="711"/>
      <c r="BK298" s="712"/>
      <c r="BL298" s="1109"/>
      <c r="BM298" s="1109"/>
      <c r="BN298" s="24"/>
      <c r="BP298" s="621">
        <v>290</v>
      </c>
      <c r="BQ298" s="711"/>
      <c r="BR298" s="712"/>
      <c r="BS298" s="1109"/>
      <c r="BT298" s="1109"/>
      <c r="BU298" s="24"/>
      <c r="BW298" s="621">
        <v>290</v>
      </c>
      <c r="BX298" s="711">
        <v>24</v>
      </c>
      <c r="BY298" s="712"/>
      <c r="BZ298" s="1109"/>
      <c r="CA298" s="1109"/>
      <c r="CB298" s="24"/>
      <c r="CT298" s="16" t="e">
        <f t="shared" si="216"/>
        <v>#N/A</v>
      </c>
      <c r="CU298" s="197" t="e">
        <f t="shared" si="217"/>
        <v>#N/A</v>
      </c>
      <c r="CV298" s="197" t="e">
        <f t="shared" si="218"/>
        <v>#N/A</v>
      </c>
      <c r="CW298" s="197">
        <v>295</v>
      </c>
      <c r="CX298" s="197" t="str">
        <f t="shared" si="212"/>
        <v/>
      </c>
      <c r="CY298" s="197" t="e">
        <f t="shared" si="213"/>
        <v>#N/A</v>
      </c>
      <c r="CZ298" s="197" t="e">
        <f t="shared" si="214"/>
        <v>#N/A</v>
      </c>
      <c r="DA298" s="197" t="str">
        <f t="shared" si="219"/>
        <v/>
      </c>
      <c r="DB298" s="16" t="e">
        <f t="shared" si="215"/>
        <v>#N/A</v>
      </c>
      <c r="DC298" s="16" t="e">
        <f>IF(ISNUMBER(CX298),COUNTIF($DB$4:DB298,DB298)-1,NA())</f>
        <v>#N/A</v>
      </c>
      <c r="DP298" s="16">
        <f t="shared" si="220"/>
        <v>0.41636821627616882</v>
      </c>
      <c r="DQ298" s="16">
        <v>296</v>
      </c>
      <c r="DR298" s="16">
        <f t="shared" si="207"/>
        <v>47.9</v>
      </c>
      <c r="DS298" s="16">
        <f t="shared" si="208"/>
        <v>2.1389326084685893</v>
      </c>
      <c r="DT298" s="16">
        <f t="shared" si="209"/>
        <v>54.1</v>
      </c>
      <c r="DU298" s="16">
        <f t="shared" si="210"/>
        <v>45.9</v>
      </c>
      <c r="DV298" s="16">
        <f t="shared" si="211"/>
        <v>47.1</v>
      </c>
      <c r="DX298" s="197" t="e">
        <f t="shared" si="221"/>
        <v>#N/A</v>
      </c>
      <c r="DY298" s="197">
        <f t="shared" si="222"/>
        <v>0.93702399999999997</v>
      </c>
    </row>
    <row r="299" spans="5:129" ht="11.25" customHeight="1">
      <c r="E299" s="466">
        <v>298</v>
      </c>
      <c r="F299" s="474"/>
      <c r="G299" s="471"/>
      <c r="H299" s="321"/>
      <c r="I299" s="326"/>
      <c r="J299" s="30"/>
      <c r="BI299" s="621">
        <v>291</v>
      </c>
      <c r="BJ299" s="711"/>
      <c r="BK299" s="712"/>
      <c r="BL299" s="1109"/>
      <c r="BM299" s="1109"/>
      <c r="BN299" s="24"/>
      <c r="BP299" s="621">
        <v>291</v>
      </c>
      <c r="BQ299" s="711"/>
      <c r="BR299" s="712"/>
      <c r="BS299" s="1109"/>
      <c r="BT299" s="1109"/>
      <c r="BU299" s="24"/>
      <c r="BW299" s="621">
        <v>291</v>
      </c>
      <c r="BX299" s="711">
        <v>21</v>
      </c>
      <c r="BY299" s="712"/>
      <c r="BZ299" s="1109"/>
      <c r="CA299" s="1109"/>
      <c r="CB299" s="24"/>
      <c r="CT299" s="16" t="e">
        <f t="shared" si="216"/>
        <v>#N/A</v>
      </c>
      <c r="CU299" s="197" t="e">
        <f t="shared" si="217"/>
        <v>#N/A</v>
      </c>
      <c r="CV299" s="197" t="e">
        <f t="shared" si="218"/>
        <v>#N/A</v>
      </c>
      <c r="CW299" s="197">
        <v>296</v>
      </c>
      <c r="CX299" s="197" t="str">
        <f t="shared" si="212"/>
        <v/>
      </c>
      <c r="CY299" s="197" t="e">
        <f t="shared" si="213"/>
        <v>#N/A</v>
      </c>
      <c r="CZ299" s="197" t="e">
        <f t="shared" si="214"/>
        <v>#N/A</v>
      </c>
      <c r="DA299" s="197" t="str">
        <f t="shared" si="219"/>
        <v/>
      </c>
      <c r="DB299" s="16" t="e">
        <f t="shared" si="215"/>
        <v>#N/A</v>
      </c>
      <c r="DC299" s="16" t="e">
        <f>IF(ISNUMBER(CX299),COUNTIF($DB$4:DB299,DB299)-1,NA())</f>
        <v>#N/A</v>
      </c>
      <c r="DP299" s="16">
        <f t="shared" si="220"/>
        <v>0.57554849982261658</v>
      </c>
      <c r="DQ299" s="16">
        <v>297</v>
      </c>
      <c r="DR299" s="16">
        <f t="shared" si="207"/>
        <v>51.9</v>
      </c>
      <c r="DS299" s="16">
        <f t="shared" si="208"/>
        <v>2.4201307376445875</v>
      </c>
      <c r="DT299" s="16">
        <f t="shared" si="209"/>
        <v>51.3</v>
      </c>
      <c r="DU299" s="16">
        <f t="shared" si="210"/>
        <v>48.7</v>
      </c>
      <c r="DV299" s="16">
        <f t="shared" si="211"/>
        <v>52.6</v>
      </c>
      <c r="DX299" s="197" t="e">
        <f t="shared" si="221"/>
        <v>#N/A</v>
      </c>
      <c r="DY299" s="197">
        <f t="shared" si="222"/>
        <v>0.93702399999999997</v>
      </c>
    </row>
    <row r="300" spans="5:129" ht="11.25" customHeight="1">
      <c r="E300" s="466">
        <v>299</v>
      </c>
      <c r="F300" s="474"/>
      <c r="G300" s="471"/>
      <c r="H300" s="321"/>
      <c r="I300" s="326"/>
      <c r="J300" s="30"/>
      <c r="BI300" s="621">
        <v>292</v>
      </c>
      <c r="BJ300" s="711"/>
      <c r="BK300" s="712"/>
      <c r="BL300" s="1109"/>
      <c r="BM300" s="1109"/>
      <c r="BN300" s="24"/>
      <c r="BP300" s="621">
        <v>292</v>
      </c>
      <c r="BQ300" s="711"/>
      <c r="BR300" s="712"/>
      <c r="BS300" s="1109"/>
      <c r="BT300" s="1109"/>
      <c r="BU300" s="24"/>
      <c r="BW300" s="621">
        <v>292</v>
      </c>
      <c r="BX300" s="711">
        <v>20</v>
      </c>
      <c r="BY300" s="712"/>
      <c r="BZ300" s="1109"/>
      <c r="CA300" s="1109"/>
      <c r="CB300" s="24"/>
      <c r="CT300" s="16" t="e">
        <f t="shared" si="216"/>
        <v>#N/A</v>
      </c>
      <c r="CU300" s="197" t="e">
        <f t="shared" si="217"/>
        <v>#N/A</v>
      </c>
      <c r="CV300" s="197" t="e">
        <f t="shared" si="218"/>
        <v>#N/A</v>
      </c>
      <c r="CW300" s="197">
        <v>297</v>
      </c>
      <c r="CX300" s="197" t="str">
        <f t="shared" si="212"/>
        <v/>
      </c>
      <c r="CY300" s="197" t="e">
        <f t="shared" si="213"/>
        <v>#N/A</v>
      </c>
      <c r="CZ300" s="197" t="e">
        <f t="shared" si="214"/>
        <v>#N/A</v>
      </c>
      <c r="DA300" s="197" t="str">
        <f t="shared" si="219"/>
        <v/>
      </c>
      <c r="DB300" s="16" t="e">
        <f t="shared" si="215"/>
        <v>#N/A</v>
      </c>
      <c r="DC300" s="16" t="e">
        <f>IF(ISNUMBER(CX300),COUNTIF($DB$4:DB300,DB300)-1,NA())</f>
        <v>#N/A</v>
      </c>
      <c r="DP300" s="16">
        <f t="shared" si="220"/>
        <v>0.48035666346549988</v>
      </c>
      <c r="DQ300" s="16">
        <v>298</v>
      </c>
      <c r="DR300" s="16">
        <f t="shared" si="207"/>
        <v>49.5</v>
      </c>
      <c r="DS300" s="16">
        <f t="shared" si="208"/>
        <v>2.2522870050428461</v>
      </c>
      <c r="DT300" s="16">
        <f t="shared" si="209"/>
        <v>53.1</v>
      </c>
      <c r="DU300" s="16">
        <f t="shared" si="210"/>
        <v>46.9</v>
      </c>
      <c r="DV300" s="16">
        <f t="shared" si="211"/>
        <v>49.3</v>
      </c>
      <c r="DX300" s="197" t="e">
        <f t="shared" si="221"/>
        <v>#N/A</v>
      </c>
      <c r="DY300" s="197">
        <f t="shared" si="222"/>
        <v>0.93702399999999997</v>
      </c>
    </row>
    <row r="301" spans="5:129" ht="11.25" customHeight="1">
      <c r="E301" s="466">
        <v>300</v>
      </c>
      <c r="F301" s="465"/>
      <c r="G301" s="471"/>
      <c r="H301" s="321"/>
      <c r="I301" s="326"/>
      <c r="J301" s="30"/>
      <c r="BI301" s="621">
        <v>293</v>
      </c>
      <c r="BJ301" s="711"/>
      <c r="BK301" s="712"/>
      <c r="BL301" s="1109"/>
      <c r="BM301" s="1109"/>
      <c r="BN301" s="24"/>
      <c r="BP301" s="621">
        <v>293</v>
      </c>
      <c r="BQ301" s="711"/>
      <c r="BR301" s="712"/>
      <c r="BS301" s="1109"/>
      <c r="BT301" s="1109"/>
      <c r="BU301" s="24"/>
      <c r="BW301" s="621">
        <v>293</v>
      </c>
      <c r="BX301" s="711">
        <v>25</v>
      </c>
      <c r="BY301" s="712"/>
      <c r="BZ301" s="1109"/>
      <c r="CA301" s="1109"/>
      <c r="CB301" s="24"/>
      <c r="CT301" s="16" t="e">
        <f t="shared" si="216"/>
        <v>#N/A</v>
      </c>
      <c r="CU301" s="197" t="e">
        <f t="shared" si="217"/>
        <v>#N/A</v>
      </c>
      <c r="CV301" s="197" t="e">
        <f t="shared" si="218"/>
        <v>#N/A</v>
      </c>
      <c r="CW301" s="197">
        <v>298</v>
      </c>
      <c r="CX301" s="197" t="str">
        <f t="shared" si="212"/>
        <v/>
      </c>
      <c r="CY301" s="197" t="e">
        <f t="shared" si="213"/>
        <v>#N/A</v>
      </c>
      <c r="CZ301" s="197" t="e">
        <f t="shared" si="214"/>
        <v>#N/A</v>
      </c>
      <c r="DA301" s="197" t="str">
        <f t="shared" si="219"/>
        <v/>
      </c>
      <c r="DB301" s="16" t="e">
        <f t="shared" si="215"/>
        <v>#N/A</v>
      </c>
      <c r="DC301" s="16" t="e">
        <f>IF(ISNUMBER(CX301),COUNTIF($DB$4:DB301,DB301)-1,NA())</f>
        <v>#N/A</v>
      </c>
      <c r="DP301" s="16">
        <f t="shared" si="220"/>
        <v>0.87929162383079529</v>
      </c>
      <c r="DQ301" s="16">
        <v>299</v>
      </c>
      <c r="DR301" s="16">
        <f t="shared" si="207"/>
        <v>61.7</v>
      </c>
      <c r="DS301" s="16">
        <f t="shared" si="208"/>
        <v>3.1067850011246065</v>
      </c>
      <c r="DT301" s="16">
        <f t="shared" si="209"/>
        <v>40.200000000000003</v>
      </c>
      <c r="DU301" s="16">
        <f t="shared" si="210"/>
        <v>59.8</v>
      </c>
      <c r="DV301" s="16">
        <f t="shared" si="211"/>
        <v>63.1</v>
      </c>
      <c r="DX301" s="197" t="e">
        <f t="shared" si="221"/>
        <v>#N/A</v>
      </c>
      <c r="DY301" s="197">
        <f t="shared" si="222"/>
        <v>0.93702399999999997</v>
      </c>
    </row>
    <row r="302" spans="5:129" ht="11.25" customHeight="1">
      <c r="E302" s="467"/>
      <c r="F302" s="473"/>
      <c r="G302" s="472"/>
      <c r="H302" s="321"/>
      <c r="I302" s="326"/>
      <c r="J302" s="30"/>
      <c r="BI302" s="621">
        <v>294</v>
      </c>
      <c r="BJ302" s="711"/>
      <c r="BK302" s="712"/>
      <c r="BL302" s="1109"/>
      <c r="BM302" s="1109"/>
      <c r="BN302" s="24"/>
      <c r="BP302" s="621">
        <v>294</v>
      </c>
      <c r="BQ302" s="711"/>
      <c r="BR302" s="712"/>
      <c r="BS302" s="1109"/>
      <c r="BT302" s="1109"/>
      <c r="BU302" s="24"/>
      <c r="BW302" s="621">
        <v>294</v>
      </c>
      <c r="BX302" s="711">
        <v>26</v>
      </c>
      <c r="BY302" s="712"/>
      <c r="BZ302" s="1109"/>
      <c r="CA302" s="1109"/>
      <c r="CB302" s="24"/>
      <c r="CT302" s="16" t="e">
        <f t="shared" si="216"/>
        <v>#N/A</v>
      </c>
      <c r="CU302" s="197" t="e">
        <f t="shared" si="217"/>
        <v>#N/A</v>
      </c>
      <c r="CV302" s="197" t="e">
        <f t="shared" si="218"/>
        <v>#N/A</v>
      </c>
      <c r="CW302" s="197">
        <v>299</v>
      </c>
      <c r="CX302" s="197" t="str">
        <f t="shared" si="212"/>
        <v/>
      </c>
      <c r="CY302" s="197" t="e">
        <f t="shared" si="213"/>
        <v>#N/A</v>
      </c>
      <c r="CZ302" s="197" t="e">
        <f t="shared" si="214"/>
        <v>#N/A</v>
      </c>
      <c r="DA302" s="197" t="str">
        <f t="shared" si="219"/>
        <v/>
      </c>
      <c r="DB302" s="16" t="e">
        <f t="shared" si="215"/>
        <v>#N/A</v>
      </c>
      <c r="DC302" s="16" t="e">
        <f>IF(ISNUMBER(CX302),COUNTIF($DB$4:DB302,DB302)-1,NA())</f>
        <v>#N/A</v>
      </c>
      <c r="DP302" s="16">
        <f t="shared" si="220"/>
        <v>0.66909906268119812</v>
      </c>
      <c r="DQ302" s="16">
        <v>300</v>
      </c>
      <c r="DR302" s="16">
        <f t="shared" si="207"/>
        <v>54.4</v>
      </c>
      <c r="DS302" s="16">
        <f t="shared" si="208"/>
        <v>2.5929666617826359</v>
      </c>
      <c r="DT302" s="16">
        <f t="shared" si="209"/>
        <v>49.2</v>
      </c>
      <c r="DU302" s="16">
        <f t="shared" si="210"/>
        <v>50.8</v>
      </c>
      <c r="DV302" s="16">
        <f t="shared" si="211"/>
        <v>55.9</v>
      </c>
      <c r="DX302" s="197" t="e">
        <f t="shared" si="221"/>
        <v>#N/A</v>
      </c>
      <c r="DY302" s="197">
        <f t="shared" si="222"/>
        <v>0.93702399999999997</v>
      </c>
    </row>
    <row r="303" spans="5:129" ht="11.25" customHeight="1">
      <c r="H303" s="164"/>
      <c r="I303" s="326"/>
      <c r="J303" s="30"/>
      <c r="BI303" s="621">
        <v>295</v>
      </c>
      <c r="BJ303" s="711"/>
      <c r="BK303" s="712"/>
      <c r="BL303" s="1109"/>
      <c r="BM303" s="1109"/>
      <c r="BN303" s="24"/>
      <c r="BP303" s="621">
        <v>295</v>
      </c>
      <c r="BQ303" s="711"/>
      <c r="BR303" s="712"/>
      <c r="BS303" s="1109"/>
      <c r="BT303" s="1109"/>
      <c r="BU303" s="24"/>
      <c r="BW303" s="621">
        <v>295</v>
      </c>
      <c r="BX303" s="711">
        <v>27</v>
      </c>
      <c r="BY303" s="712"/>
      <c r="BZ303" s="1109"/>
      <c r="CA303" s="1109"/>
      <c r="CB303" s="24"/>
      <c r="CT303" s="16" t="e">
        <f t="shared" si="216"/>
        <v>#N/A</v>
      </c>
      <c r="CU303" s="197" t="e">
        <f t="shared" si="217"/>
        <v>#N/A</v>
      </c>
      <c r="CV303" s="197" t="e">
        <f t="shared" si="218"/>
        <v>#N/A</v>
      </c>
      <c r="CW303" s="197">
        <v>300</v>
      </c>
      <c r="CX303" s="197" t="str">
        <f t="shared" si="212"/>
        <v/>
      </c>
      <c r="CY303" s="197" t="e">
        <f t="shared" si="213"/>
        <v>#N/A</v>
      </c>
      <c r="CZ303" s="197" t="e">
        <f t="shared" si="214"/>
        <v>#N/A</v>
      </c>
      <c r="DA303" s="197" t="str">
        <f t="shared" si="219"/>
        <v/>
      </c>
      <c r="DB303" s="16" t="e">
        <f t="shared" si="215"/>
        <v>#N/A</v>
      </c>
      <c r="DC303" s="16" t="e">
        <f>IF(ISNUMBER(CX303),COUNTIF($DB$4:DB303,DB303)-1,NA())</f>
        <v>#N/A</v>
      </c>
      <c r="DX303" s="197" t="e">
        <f t="shared" si="221"/>
        <v>#N/A</v>
      </c>
      <c r="DY303" s="197">
        <f t="shared" si="222"/>
        <v>0.93702399999999997</v>
      </c>
    </row>
    <row r="304" spans="5:129" ht="11.25" customHeight="1">
      <c r="J304" s="30"/>
      <c r="BI304" s="621">
        <v>296</v>
      </c>
      <c r="BJ304" s="711"/>
      <c r="BK304" s="712"/>
      <c r="BL304" s="1109"/>
      <c r="BM304" s="1109"/>
      <c r="BN304" s="24"/>
      <c r="BP304" s="621">
        <v>296</v>
      </c>
      <c r="BQ304" s="711"/>
      <c r="BR304" s="712"/>
      <c r="BS304" s="1109"/>
      <c r="BT304" s="1109"/>
      <c r="BU304" s="24"/>
      <c r="BW304" s="621">
        <v>296</v>
      </c>
      <c r="BX304" s="711">
        <v>31</v>
      </c>
      <c r="BY304" s="712"/>
      <c r="BZ304" s="1109"/>
      <c r="CA304" s="1109"/>
      <c r="CB304" s="24"/>
      <c r="DX304" s="197" t="e">
        <f t="shared" si="221"/>
        <v>#N/A</v>
      </c>
      <c r="DY304" s="197">
        <f t="shared" si="222"/>
        <v>0.93702399999999997</v>
      </c>
    </row>
    <row r="305" spans="61:129" ht="11.25" customHeight="1">
      <c r="BI305" s="621">
        <v>297</v>
      </c>
      <c r="BJ305" s="711"/>
      <c r="BK305" s="712"/>
      <c r="BL305" s="1109"/>
      <c r="BM305" s="1109"/>
      <c r="BN305" s="24"/>
      <c r="BP305" s="621">
        <v>297</v>
      </c>
      <c r="BQ305" s="711"/>
      <c r="BR305" s="712"/>
      <c r="BS305" s="1109"/>
      <c r="BT305" s="1109"/>
      <c r="BU305" s="24"/>
      <c r="BW305" s="621">
        <v>297</v>
      </c>
      <c r="BX305" s="711">
        <v>32</v>
      </c>
      <c r="BY305" s="712"/>
      <c r="BZ305" s="1109"/>
      <c r="CA305" s="1109"/>
      <c r="CB305" s="24"/>
      <c r="DX305" s="197" t="e">
        <f t="shared" si="221"/>
        <v>#N/A</v>
      </c>
      <c r="DY305" s="197">
        <f t="shared" si="222"/>
        <v>0.93702399999999997</v>
      </c>
    </row>
    <row r="306" spans="61:129" ht="11.25" customHeight="1">
      <c r="BI306" s="621">
        <v>298</v>
      </c>
      <c r="BJ306" s="711"/>
      <c r="BK306" s="712"/>
      <c r="BL306" s="1109"/>
      <c r="BM306" s="1109"/>
      <c r="BN306" s="24"/>
      <c r="BP306" s="621">
        <v>298</v>
      </c>
      <c r="BQ306" s="711"/>
      <c r="BR306" s="712"/>
      <c r="BS306" s="1109"/>
      <c r="BT306" s="1109"/>
      <c r="BU306" s="24"/>
      <c r="BW306" s="621">
        <v>298</v>
      </c>
      <c r="BX306" s="711">
        <v>26</v>
      </c>
      <c r="BY306" s="712"/>
      <c r="BZ306" s="1109"/>
      <c r="CA306" s="1109"/>
      <c r="CB306" s="24"/>
      <c r="DX306" s="197" t="e">
        <f t="shared" si="221"/>
        <v>#N/A</v>
      </c>
      <c r="DY306" s="197">
        <f t="shared" si="222"/>
        <v>0.93702399999999997</v>
      </c>
    </row>
    <row r="307" spans="61:129" ht="11.25" customHeight="1">
      <c r="BI307" s="621">
        <v>299</v>
      </c>
      <c r="BJ307" s="711"/>
      <c r="BK307" s="712"/>
      <c r="BL307" s="1109"/>
      <c r="BM307" s="1109"/>
      <c r="BN307" s="24"/>
      <c r="BP307" s="621">
        <v>299</v>
      </c>
      <c r="BQ307" s="711"/>
      <c r="BR307" s="712"/>
      <c r="BS307" s="1109"/>
      <c r="BT307" s="1109"/>
      <c r="BU307" s="24"/>
      <c r="BW307" s="621">
        <v>299</v>
      </c>
      <c r="BX307" s="711">
        <v>34</v>
      </c>
      <c r="BY307" s="712"/>
      <c r="BZ307" s="1109"/>
      <c r="CA307" s="1109"/>
      <c r="CB307" s="24"/>
      <c r="DX307" s="197" t="e">
        <f t="shared" si="221"/>
        <v>#N/A</v>
      </c>
      <c r="DY307" s="197">
        <f t="shared" si="222"/>
        <v>0.93702399999999997</v>
      </c>
    </row>
    <row r="308" spans="61:129" ht="11.25" customHeight="1">
      <c r="BI308" s="621">
        <v>300</v>
      </c>
      <c r="BJ308" s="711"/>
      <c r="BK308" s="712"/>
      <c r="BL308" s="1109"/>
      <c r="BM308" s="1109"/>
      <c r="BN308" s="24"/>
      <c r="BP308" s="621">
        <v>300</v>
      </c>
      <c r="BQ308" s="711"/>
      <c r="BR308" s="712"/>
      <c r="BS308" s="1109"/>
      <c r="BT308" s="1109"/>
      <c r="BU308" s="24"/>
      <c r="BW308" s="621">
        <v>300</v>
      </c>
      <c r="BX308" s="711">
        <v>33</v>
      </c>
      <c r="BY308" s="712"/>
      <c r="BZ308" s="1109"/>
      <c r="CA308" s="1109"/>
      <c r="CB308" s="24"/>
      <c r="DX308" s="197" t="e">
        <f t="shared" si="221"/>
        <v>#N/A</v>
      </c>
      <c r="DY308" s="197">
        <f t="shared" si="222"/>
        <v>0.93702399999999997</v>
      </c>
    </row>
    <row r="309" spans="61:129" ht="11.25" customHeight="1">
      <c r="BI309" s="496"/>
      <c r="BJ309" s="27"/>
      <c r="BK309" s="431"/>
      <c r="BL309" s="27"/>
      <c r="BM309" s="27"/>
      <c r="BN309" s="28"/>
      <c r="BP309" s="496"/>
      <c r="BQ309" s="27"/>
      <c r="BR309" s="431"/>
      <c r="BS309" s="27"/>
      <c r="BT309" s="27"/>
      <c r="BU309" s="28"/>
      <c r="BW309" s="496"/>
      <c r="BX309" s="27"/>
      <c r="BY309" s="431"/>
      <c r="BZ309" s="27"/>
      <c r="CA309" s="27"/>
      <c r="CB309" s="28"/>
      <c r="DX309" s="197" t="e">
        <f t="shared" si="221"/>
        <v>#N/A</v>
      </c>
      <c r="DY309" s="197">
        <f t="shared" si="222"/>
        <v>0.93702399999999997</v>
      </c>
    </row>
    <row r="310" spans="61:129" ht="11.25" customHeight="1">
      <c r="DX310" s="197" t="e">
        <f t="shared" si="221"/>
        <v>#N/A</v>
      </c>
      <c r="DY310" s="197">
        <f t="shared" si="222"/>
        <v>0.93702399999999997</v>
      </c>
    </row>
    <row r="311" spans="61:129" ht="11.25" customHeight="1">
      <c r="DX311" s="197" t="e">
        <f t="shared" si="221"/>
        <v>#N/A</v>
      </c>
      <c r="DY311" s="197">
        <f t="shared" si="222"/>
        <v>0.93702399999999997</v>
      </c>
    </row>
    <row r="312" spans="61:129" ht="11.25" customHeight="1">
      <c r="DX312" s="197" t="e">
        <f t="shared" si="221"/>
        <v>#N/A</v>
      </c>
      <c r="DY312" s="197">
        <f t="shared" si="222"/>
        <v>0.93702399999999997</v>
      </c>
    </row>
    <row r="313" spans="61:129" ht="11.25" customHeight="1">
      <c r="DX313" s="197" t="e">
        <f t="shared" si="221"/>
        <v>#N/A</v>
      </c>
      <c r="DY313" s="197">
        <f t="shared" si="222"/>
        <v>0.93702399999999997</v>
      </c>
    </row>
    <row r="314" spans="61:129" ht="11.25" customHeight="1">
      <c r="DX314" s="197" t="e">
        <f t="shared" si="221"/>
        <v>#N/A</v>
      </c>
      <c r="DY314" s="197">
        <f t="shared" si="222"/>
        <v>0.93702399999999997</v>
      </c>
    </row>
    <row r="315" spans="61:129" ht="11.25" customHeight="1">
      <c r="DX315" s="197" t="e">
        <f t="shared" si="221"/>
        <v>#N/A</v>
      </c>
      <c r="DY315" s="197">
        <f t="shared" si="222"/>
        <v>0.93702399999999997</v>
      </c>
    </row>
    <row r="316" spans="61:129" ht="11.25" customHeight="1">
      <c r="DX316" s="197" t="e">
        <f t="shared" si="221"/>
        <v>#N/A</v>
      </c>
      <c r="DY316" s="197">
        <f t="shared" si="222"/>
        <v>0.93702399999999997</v>
      </c>
    </row>
    <row r="317" spans="61:129" ht="11.25" customHeight="1">
      <c r="DX317" s="197" t="e">
        <f t="shared" si="221"/>
        <v>#N/A</v>
      </c>
      <c r="DY317" s="197">
        <f t="shared" si="222"/>
        <v>0.93702399999999997</v>
      </c>
    </row>
    <row r="318" spans="61:129" ht="11.25" customHeight="1">
      <c r="DX318" s="197" t="e">
        <f t="shared" si="221"/>
        <v>#N/A</v>
      </c>
      <c r="DY318" s="197">
        <f t="shared" si="222"/>
        <v>0.93702399999999997</v>
      </c>
    </row>
    <row r="319" spans="61:129" ht="11.25" customHeight="1">
      <c r="DX319" s="197" t="e">
        <f t="shared" si="221"/>
        <v>#N/A</v>
      </c>
      <c r="DY319" s="197">
        <f t="shared" si="222"/>
        <v>0.93702399999999997</v>
      </c>
    </row>
    <row r="320" spans="61:129" ht="11.25" customHeight="1">
      <c r="DX320" s="197" t="e">
        <f t="shared" si="221"/>
        <v>#N/A</v>
      </c>
      <c r="DY320" s="197">
        <f t="shared" si="222"/>
        <v>0.93702399999999997</v>
      </c>
    </row>
    <row r="321" spans="128:129" ht="11.25" customHeight="1">
      <c r="DX321" s="197" t="e">
        <f t="shared" si="221"/>
        <v>#N/A</v>
      </c>
      <c r="DY321" s="197">
        <f t="shared" si="222"/>
        <v>0.93702399999999997</v>
      </c>
    </row>
    <row r="322" spans="128:129" ht="11.25" customHeight="1">
      <c r="DX322" s="197" t="e">
        <f t="shared" si="221"/>
        <v>#N/A</v>
      </c>
      <c r="DY322" s="197">
        <f t="shared" si="222"/>
        <v>0.93702399999999997</v>
      </c>
    </row>
    <row r="323" spans="128:129" ht="11.25" customHeight="1">
      <c r="DX323" s="197" t="e">
        <f t="shared" si="221"/>
        <v>#N/A</v>
      </c>
      <c r="DY323" s="197">
        <f t="shared" si="222"/>
        <v>0.93702399999999997</v>
      </c>
    </row>
    <row r="324" spans="128:129" ht="11.25" customHeight="1">
      <c r="DX324" s="197" t="e">
        <f t="shared" si="221"/>
        <v>#N/A</v>
      </c>
      <c r="DY324" s="197">
        <f t="shared" si="222"/>
        <v>0.93702399999999997</v>
      </c>
    </row>
    <row r="325" spans="128:129" ht="11.25" customHeight="1">
      <c r="DX325" s="197" t="e">
        <f t="shared" si="221"/>
        <v>#N/A</v>
      </c>
      <c r="DY325" s="197">
        <f t="shared" si="222"/>
        <v>0.93702399999999997</v>
      </c>
    </row>
    <row r="326" spans="128:129" ht="11.25" customHeight="1">
      <c r="DX326" s="197" t="e">
        <f t="shared" si="221"/>
        <v>#N/A</v>
      </c>
      <c r="DY326" s="197">
        <f t="shared" si="222"/>
        <v>0.93702399999999997</v>
      </c>
    </row>
    <row r="327" spans="128:129" ht="11.25" customHeight="1">
      <c r="DX327" s="197" t="e">
        <f t="shared" si="221"/>
        <v>#N/A</v>
      </c>
      <c r="DY327" s="197">
        <f t="shared" si="222"/>
        <v>0.93702399999999997</v>
      </c>
    </row>
    <row r="328" spans="128:129" ht="11.25" customHeight="1">
      <c r="DX328" s="197" t="e">
        <f t="shared" si="221"/>
        <v>#N/A</v>
      </c>
      <c r="DY328" s="197">
        <f t="shared" si="222"/>
        <v>0.93702399999999997</v>
      </c>
    </row>
    <row r="329" spans="128:129" ht="11.25" customHeight="1">
      <c r="DX329" s="197" t="e">
        <f t="shared" si="221"/>
        <v>#N/A</v>
      </c>
      <c r="DY329" s="197">
        <f t="shared" si="222"/>
        <v>0.93702399999999997</v>
      </c>
    </row>
    <row r="330" spans="128:129" ht="11.25" customHeight="1">
      <c r="DX330" s="197" t="e">
        <f t="shared" si="221"/>
        <v>#N/A</v>
      </c>
      <c r="DY330" s="197">
        <f t="shared" si="222"/>
        <v>0.93702399999999997</v>
      </c>
    </row>
    <row r="331" spans="128:129" ht="11.25" customHeight="1">
      <c r="DX331" s="197" t="e">
        <f t="shared" ref="DX331:DX371" si="223">IF(ISNUMBER(DY$4),DX140,NA())</f>
        <v>#N/A</v>
      </c>
      <c r="DY331" s="197">
        <f t="shared" si="222"/>
        <v>0.93702399999999997</v>
      </c>
    </row>
    <row r="332" spans="128:129" ht="11.25" customHeight="1">
      <c r="DX332" s="197" t="e">
        <f t="shared" si="223"/>
        <v>#N/A</v>
      </c>
      <c r="DY332" s="197">
        <f t="shared" si="222"/>
        <v>0.93702399999999997</v>
      </c>
    </row>
    <row r="333" spans="128:129" ht="11.25" customHeight="1">
      <c r="DX333" s="197" t="e">
        <f t="shared" si="223"/>
        <v>#N/A</v>
      </c>
      <c r="DY333" s="197">
        <f t="shared" si="222"/>
        <v>0.93702399999999997</v>
      </c>
    </row>
    <row r="334" spans="128:129" ht="11.25" customHeight="1">
      <c r="DX334" s="197" t="e">
        <f t="shared" si="223"/>
        <v>#N/A</v>
      </c>
      <c r="DY334" s="197">
        <f t="shared" si="222"/>
        <v>0.93702399999999997</v>
      </c>
    </row>
    <row r="335" spans="128:129" ht="11.25" customHeight="1">
      <c r="DX335" s="197" t="e">
        <f t="shared" si="223"/>
        <v>#N/A</v>
      </c>
      <c r="DY335" s="197">
        <f t="shared" si="222"/>
        <v>0.93702399999999997</v>
      </c>
    </row>
    <row r="336" spans="128:129" ht="11.25" customHeight="1">
      <c r="DX336" s="197" t="e">
        <f t="shared" si="223"/>
        <v>#N/A</v>
      </c>
      <c r="DY336" s="197">
        <f t="shared" si="222"/>
        <v>0.93702399999999997</v>
      </c>
    </row>
    <row r="337" spans="128:129" ht="11.25" customHeight="1">
      <c r="DX337" s="197" t="e">
        <f t="shared" si="223"/>
        <v>#N/A</v>
      </c>
      <c r="DY337" s="197">
        <f t="shared" si="222"/>
        <v>0.93702399999999997</v>
      </c>
    </row>
    <row r="338" spans="128:129" ht="11.25" customHeight="1">
      <c r="DX338" s="197" t="e">
        <f t="shared" si="223"/>
        <v>#N/A</v>
      </c>
      <c r="DY338" s="197">
        <f t="shared" si="222"/>
        <v>0.93702399999999997</v>
      </c>
    </row>
    <row r="339" spans="128:129" ht="11.25" customHeight="1">
      <c r="DX339" s="197" t="e">
        <f t="shared" si="223"/>
        <v>#N/A</v>
      </c>
      <c r="DY339" s="197">
        <f t="shared" si="222"/>
        <v>0.93702399999999997</v>
      </c>
    </row>
    <row r="340" spans="128:129" ht="11.25" customHeight="1">
      <c r="DX340" s="197" t="e">
        <f t="shared" si="223"/>
        <v>#N/A</v>
      </c>
      <c r="DY340" s="197">
        <f t="shared" si="222"/>
        <v>0.93702399999999997</v>
      </c>
    </row>
    <row r="341" spans="128:129" ht="11.25" customHeight="1">
      <c r="DX341" s="197" t="e">
        <f t="shared" si="223"/>
        <v>#N/A</v>
      </c>
      <c r="DY341" s="197">
        <f t="shared" si="222"/>
        <v>0.93702399999999997</v>
      </c>
    </row>
    <row r="342" spans="128:129" ht="11.25" customHeight="1">
      <c r="DX342" s="197" t="e">
        <f t="shared" si="223"/>
        <v>#N/A</v>
      </c>
      <c r="DY342" s="197">
        <f t="shared" si="222"/>
        <v>0.93702399999999997</v>
      </c>
    </row>
    <row r="343" spans="128:129" ht="11.25" customHeight="1">
      <c r="DX343" s="197" t="e">
        <f t="shared" si="223"/>
        <v>#N/A</v>
      </c>
      <c r="DY343" s="197">
        <f t="shared" si="222"/>
        <v>0.93702399999999997</v>
      </c>
    </row>
    <row r="344" spans="128:129" ht="11.25" customHeight="1">
      <c r="DX344" s="197" t="e">
        <f t="shared" si="223"/>
        <v>#N/A</v>
      </c>
      <c r="DY344" s="197">
        <f t="shared" si="222"/>
        <v>0.93702399999999997</v>
      </c>
    </row>
    <row r="345" spans="128:129" ht="11.25" customHeight="1">
      <c r="DX345" s="197" t="e">
        <f t="shared" si="223"/>
        <v>#N/A</v>
      </c>
      <c r="DY345" s="197">
        <f t="shared" si="222"/>
        <v>0.93702399999999997</v>
      </c>
    </row>
    <row r="346" spans="128:129" ht="11.25" customHeight="1">
      <c r="DX346" s="197" t="e">
        <f t="shared" si="223"/>
        <v>#N/A</v>
      </c>
      <c r="DY346" s="197">
        <f t="shared" si="222"/>
        <v>0.93702399999999997</v>
      </c>
    </row>
    <row r="347" spans="128:129" ht="11.25" customHeight="1">
      <c r="DX347" s="197" t="e">
        <f t="shared" si="223"/>
        <v>#N/A</v>
      </c>
      <c r="DY347" s="197">
        <f t="shared" si="222"/>
        <v>0.93702399999999997</v>
      </c>
    </row>
    <row r="348" spans="128:129" ht="11.25" customHeight="1">
      <c r="DX348" s="197" t="e">
        <f t="shared" si="223"/>
        <v>#N/A</v>
      </c>
      <c r="DY348" s="197">
        <f t="shared" si="222"/>
        <v>0.93702399999999997</v>
      </c>
    </row>
    <row r="349" spans="128:129" ht="11.25" customHeight="1">
      <c r="DX349" s="197" t="e">
        <f t="shared" si="223"/>
        <v>#N/A</v>
      </c>
      <c r="DY349" s="197">
        <f t="shared" si="222"/>
        <v>0.93702399999999997</v>
      </c>
    </row>
    <row r="350" spans="128:129" ht="11.25" customHeight="1">
      <c r="DX350" s="197" t="e">
        <f t="shared" si="223"/>
        <v>#N/A</v>
      </c>
      <c r="DY350" s="197">
        <f t="shared" si="222"/>
        <v>0.93702399999999997</v>
      </c>
    </row>
    <row r="351" spans="128:129" ht="11.25" customHeight="1">
      <c r="DX351" s="197" t="e">
        <f t="shared" si="223"/>
        <v>#N/A</v>
      </c>
      <c r="DY351" s="197">
        <f t="shared" si="222"/>
        <v>0.93702399999999997</v>
      </c>
    </row>
    <row r="352" spans="128:129" ht="11.25" customHeight="1">
      <c r="DX352" s="197" t="e">
        <f t="shared" si="223"/>
        <v>#N/A</v>
      </c>
      <c r="DY352" s="197">
        <f t="shared" si="222"/>
        <v>0.93702399999999997</v>
      </c>
    </row>
    <row r="353" spans="128:129" ht="11.25" customHeight="1">
      <c r="DX353" s="197" t="e">
        <f t="shared" si="223"/>
        <v>#N/A</v>
      </c>
      <c r="DY353" s="197">
        <f t="shared" ref="DY353:DY371" si="224">DY352</f>
        <v>0.93702399999999997</v>
      </c>
    </row>
    <row r="354" spans="128:129" ht="11.25" customHeight="1">
      <c r="DX354" s="197" t="e">
        <f t="shared" si="223"/>
        <v>#N/A</v>
      </c>
      <c r="DY354" s="197">
        <f t="shared" si="224"/>
        <v>0.93702399999999997</v>
      </c>
    </row>
    <row r="355" spans="128:129" ht="11.25" customHeight="1">
      <c r="DX355" s="197" t="e">
        <f t="shared" si="223"/>
        <v>#N/A</v>
      </c>
      <c r="DY355" s="197">
        <f t="shared" si="224"/>
        <v>0.93702399999999997</v>
      </c>
    </row>
    <row r="356" spans="128:129" ht="11.25" customHeight="1">
      <c r="DX356" s="197" t="e">
        <f t="shared" si="223"/>
        <v>#N/A</v>
      </c>
      <c r="DY356" s="197">
        <f t="shared" si="224"/>
        <v>0.93702399999999997</v>
      </c>
    </row>
    <row r="357" spans="128:129" ht="11.25" customHeight="1">
      <c r="DX357" s="197" t="e">
        <f t="shared" si="223"/>
        <v>#N/A</v>
      </c>
      <c r="DY357" s="197">
        <f t="shared" si="224"/>
        <v>0.93702399999999997</v>
      </c>
    </row>
    <row r="358" spans="128:129" ht="11.25" customHeight="1">
      <c r="DX358" s="197" t="e">
        <f t="shared" si="223"/>
        <v>#N/A</v>
      </c>
      <c r="DY358" s="197">
        <f t="shared" si="224"/>
        <v>0.93702399999999997</v>
      </c>
    </row>
    <row r="359" spans="128:129" ht="11.25" customHeight="1">
      <c r="DX359" s="197" t="e">
        <f t="shared" si="223"/>
        <v>#N/A</v>
      </c>
      <c r="DY359" s="197">
        <f t="shared" si="224"/>
        <v>0.93702399999999997</v>
      </c>
    </row>
    <row r="360" spans="128:129" ht="11.25" customHeight="1">
      <c r="DX360" s="197" t="e">
        <f t="shared" si="223"/>
        <v>#N/A</v>
      </c>
      <c r="DY360" s="197">
        <f t="shared" si="224"/>
        <v>0.93702399999999997</v>
      </c>
    </row>
    <row r="361" spans="128:129" ht="11.25" customHeight="1">
      <c r="DX361" s="197" t="e">
        <f t="shared" si="223"/>
        <v>#N/A</v>
      </c>
      <c r="DY361" s="197">
        <f t="shared" si="224"/>
        <v>0.93702399999999997</v>
      </c>
    </row>
    <row r="362" spans="128:129" ht="11.25" customHeight="1">
      <c r="DX362" s="197" t="e">
        <f t="shared" si="223"/>
        <v>#N/A</v>
      </c>
      <c r="DY362" s="197">
        <f t="shared" si="224"/>
        <v>0.93702399999999997</v>
      </c>
    </row>
    <row r="363" spans="128:129" ht="11.25" customHeight="1">
      <c r="DX363" s="197" t="e">
        <f t="shared" si="223"/>
        <v>#N/A</v>
      </c>
      <c r="DY363" s="197">
        <f t="shared" si="224"/>
        <v>0.93702399999999997</v>
      </c>
    </row>
    <row r="364" spans="128:129" ht="11.25" customHeight="1">
      <c r="DX364" s="197" t="e">
        <f t="shared" si="223"/>
        <v>#N/A</v>
      </c>
      <c r="DY364" s="197">
        <f t="shared" si="224"/>
        <v>0.93702399999999997</v>
      </c>
    </row>
    <row r="365" spans="128:129" ht="11.25" customHeight="1">
      <c r="DX365" s="197" t="e">
        <f t="shared" si="223"/>
        <v>#N/A</v>
      </c>
      <c r="DY365" s="197">
        <f t="shared" si="224"/>
        <v>0.93702399999999997</v>
      </c>
    </row>
    <row r="366" spans="128:129" ht="11.25" customHeight="1">
      <c r="DX366" s="197" t="e">
        <f t="shared" si="223"/>
        <v>#N/A</v>
      </c>
      <c r="DY366" s="197">
        <f t="shared" si="224"/>
        <v>0.93702399999999997</v>
      </c>
    </row>
    <row r="367" spans="128:129" ht="11.25" customHeight="1">
      <c r="DX367" s="197" t="e">
        <f t="shared" si="223"/>
        <v>#N/A</v>
      </c>
      <c r="DY367" s="197">
        <f t="shared" si="224"/>
        <v>0.93702399999999997</v>
      </c>
    </row>
    <row r="368" spans="128:129" ht="11.25" customHeight="1">
      <c r="DX368" s="197" t="e">
        <f t="shared" si="223"/>
        <v>#N/A</v>
      </c>
      <c r="DY368" s="197">
        <f t="shared" si="224"/>
        <v>0.93702399999999997</v>
      </c>
    </row>
    <row r="369" spans="128:129" ht="11.25" customHeight="1">
      <c r="DX369" s="197" t="e">
        <f t="shared" si="223"/>
        <v>#N/A</v>
      </c>
      <c r="DY369" s="197">
        <f t="shared" si="224"/>
        <v>0.93702399999999997</v>
      </c>
    </row>
    <row r="370" spans="128:129" ht="11.25" customHeight="1">
      <c r="DX370" s="197" t="e">
        <f t="shared" si="223"/>
        <v>#N/A</v>
      </c>
      <c r="DY370" s="197">
        <f t="shared" si="224"/>
        <v>0.93702399999999997</v>
      </c>
    </row>
    <row r="371" spans="128:129" ht="11.25" customHeight="1">
      <c r="DX371" s="197" t="e">
        <f t="shared" si="223"/>
        <v>#N/A</v>
      </c>
      <c r="DY371" s="197">
        <f t="shared" si="224"/>
        <v>0.93702399999999997</v>
      </c>
    </row>
    <row r="372" spans="128:129" ht="11.25" customHeight="1">
      <c r="DX372" s="197" t="e">
        <f t="shared" ref="DX372:DX391" si="225">IF(ISNUMBER(DY$4),DX181,NA())</f>
        <v>#N/A</v>
      </c>
      <c r="DY372" s="197">
        <f t="shared" ref="DY372:DY391" si="226">DY371</f>
        <v>0.93702399999999997</v>
      </c>
    </row>
    <row r="373" spans="128:129" ht="11.25" customHeight="1">
      <c r="DX373" s="197" t="e">
        <f t="shared" si="225"/>
        <v>#N/A</v>
      </c>
      <c r="DY373" s="197">
        <f t="shared" si="226"/>
        <v>0.93702399999999997</v>
      </c>
    </row>
    <row r="374" spans="128:129" ht="11.25" customHeight="1">
      <c r="DX374" s="197" t="e">
        <f t="shared" si="225"/>
        <v>#N/A</v>
      </c>
      <c r="DY374" s="197">
        <f t="shared" si="226"/>
        <v>0.93702399999999997</v>
      </c>
    </row>
    <row r="375" spans="128:129" ht="11.25" customHeight="1">
      <c r="DX375" s="197" t="e">
        <f t="shared" si="225"/>
        <v>#N/A</v>
      </c>
      <c r="DY375" s="197">
        <f t="shared" si="226"/>
        <v>0.93702399999999997</v>
      </c>
    </row>
    <row r="376" spans="128:129" ht="11.25" customHeight="1">
      <c r="DX376" s="197" t="e">
        <f t="shared" si="225"/>
        <v>#N/A</v>
      </c>
      <c r="DY376" s="197">
        <f t="shared" si="226"/>
        <v>0.93702399999999997</v>
      </c>
    </row>
    <row r="377" spans="128:129" ht="11.25" customHeight="1">
      <c r="DX377" s="197" t="e">
        <f t="shared" si="225"/>
        <v>#N/A</v>
      </c>
      <c r="DY377" s="197">
        <f t="shared" si="226"/>
        <v>0.93702399999999997</v>
      </c>
    </row>
    <row r="378" spans="128:129" ht="11.25" customHeight="1">
      <c r="DX378" s="197" t="e">
        <f t="shared" si="225"/>
        <v>#N/A</v>
      </c>
      <c r="DY378" s="197">
        <f t="shared" si="226"/>
        <v>0.93702399999999997</v>
      </c>
    </row>
    <row r="379" spans="128:129" ht="11.25" customHeight="1">
      <c r="DX379" s="197" t="e">
        <f t="shared" si="225"/>
        <v>#N/A</v>
      </c>
      <c r="DY379" s="197">
        <f t="shared" si="226"/>
        <v>0.93702399999999997</v>
      </c>
    </row>
    <row r="380" spans="128:129" ht="11.25" customHeight="1">
      <c r="DX380" s="197" t="e">
        <f t="shared" si="225"/>
        <v>#N/A</v>
      </c>
      <c r="DY380" s="197">
        <f t="shared" si="226"/>
        <v>0.93702399999999997</v>
      </c>
    </row>
    <row r="381" spans="128:129" ht="11.25" customHeight="1">
      <c r="DX381" s="197" t="e">
        <f t="shared" si="225"/>
        <v>#N/A</v>
      </c>
      <c r="DY381" s="197">
        <f t="shared" si="226"/>
        <v>0.93702399999999997</v>
      </c>
    </row>
    <row r="382" spans="128:129" ht="11.25" customHeight="1">
      <c r="DX382" s="197" t="e">
        <f t="shared" si="225"/>
        <v>#N/A</v>
      </c>
      <c r="DY382" s="197">
        <f t="shared" si="226"/>
        <v>0.93702399999999997</v>
      </c>
    </row>
    <row r="383" spans="128:129" ht="11.25" customHeight="1">
      <c r="DX383" s="197" t="e">
        <f t="shared" si="225"/>
        <v>#N/A</v>
      </c>
      <c r="DY383" s="197">
        <f t="shared" si="226"/>
        <v>0.93702399999999997</v>
      </c>
    </row>
    <row r="384" spans="128:129" ht="11.25" customHeight="1">
      <c r="DX384" s="197" t="e">
        <f t="shared" si="225"/>
        <v>#N/A</v>
      </c>
      <c r="DY384" s="197">
        <f t="shared" si="226"/>
        <v>0.93702399999999997</v>
      </c>
    </row>
    <row r="385" spans="128:129" ht="11.25" customHeight="1">
      <c r="DX385" s="197" t="e">
        <f t="shared" si="225"/>
        <v>#N/A</v>
      </c>
      <c r="DY385" s="197">
        <f t="shared" si="226"/>
        <v>0.93702399999999997</v>
      </c>
    </row>
    <row r="386" spans="128:129" ht="11.25" customHeight="1">
      <c r="DX386" s="197" t="e">
        <f t="shared" si="225"/>
        <v>#N/A</v>
      </c>
      <c r="DY386" s="197">
        <f t="shared" si="226"/>
        <v>0.93702399999999997</v>
      </c>
    </row>
    <row r="387" spans="128:129" ht="11.25" customHeight="1">
      <c r="DX387" s="197" t="e">
        <f t="shared" si="225"/>
        <v>#N/A</v>
      </c>
      <c r="DY387" s="197">
        <f t="shared" si="226"/>
        <v>0.93702399999999997</v>
      </c>
    </row>
    <row r="388" spans="128:129" ht="11.25" customHeight="1">
      <c r="DX388" s="197" t="e">
        <f t="shared" si="225"/>
        <v>#N/A</v>
      </c>
      <c r="DY388" s="197">
        <f t="shared" si="226"/>
        <v>0.93702399999999997</v>
      </c>
    </row>
    <row r="389" spans="128:129" ht="11.25" customHeight="1">
      <c r="DX389" s="197" t="e">
        <f t="shared" si="225"/>
        <v>#N/A</v>
      </c>
      <c r="DY389" s="197">
        <f t="shared" si="226"/>
        <v>0.93702399999999997</v>
      </c>
    </row>
    <row r="390" spans="128:129" ht="11.25" customHeight="1">
      <c r="DX390" s="197" t="e">
        <f t="shared" si="225"/>
        <v>#N/A</v>
      </c>
      <c r="DY390" s="197">
        <f t="shared" si="226"/>
        <v>0.93702399999999997</v>
      </c>
    </row>
    <row r="391" spans="128:129" ht="11.25" customHeight="1">
      <c r="DX391" s="197" t="e">
        <f t="shared" si="225"/>
        <v>#N/A</v>
      </c>
      <c r="DY391" s="197">
        <f t="shared" si="226"/>
        <v>0.93702399999999997</v>
      </c>
    </row>
  </sheetData>
  <sheetProtection sheet="1" objects="1" scenarios="1" selectLockedCells="1"/>
  <mergeCells count="2">
    <mergeCell ref="K4:L4"/>
    <mergeCell ref="P7:Q7"/>
  </mergeCells>
  <phoneticPr fontId="2" type="noConversion"/>
  <conditionalFormatting sqref="H2:H37">
    <cfRule type="cellIs" dxfId="1" priority="1" stopIfTrue="1" operator="lessThanOrEqual">
      <formula>$AD$28</formula>
    </cfRule>
  </conditionalFormatting>
  <dataValidations count="4">
    <dataValidation type="textLength" allowBlank="1" showInputMessage="1" showErrorMessage="1" errorTitle="Units" error="Type a short word or abbreviation" sqref="C7">
      <formula1>0</formula1>
      <formula2>18</formula2>
    </dataValidation>
    <dataValidation type="whole" allowBlank="1" showErrorMessage="1" errorTitle="Data set size" error="Min 2, max 300" sqref="X9">
      <formula1>2</formula1>
      <formula2>300</formula2>
    </dataValidation>
    <dataValidation type="decimal" operator="greaterThan" allowBlank="1" showInputMessage="1" showErrorMessage="1" errorTitle="Data value" error="Must be a number" sqref="F2:F301">
      <formula1>-999999999999999</formula1>
    </dataValidation>
    <dataValidation type="decimal" operator="notEqual" allowBlank="1" showInputMessage="1" showErrorMessage="1" errorTitle="Data value" error="Must be a number" sqref="BJ9:BJ308 BQ9:BQ308 BX9:BX308">
      <formula1>-9999999999999990</formula1>
    </dataValidation>
  </dataValidations>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4"/>
  <dimension ref="A1:IP1221"/>
  <sheetViews>
    <sheetView showGridLines="0" showRowColHeaders="0" zoomScale="120" workbookViewId="0">
      <selection activeCell="E19" sqref="E19"/>
    </sheetView>
  </sheetViews>
  <sheetFormatPr defaultColWidth="8.85546875" defaultRowHeight="11.25" customHeight="1"/>
  <cols>
    <col min="1" max="1" width="0.7109375" style="136" customWidth="1"/>
    <col min="2" max="2" width="2.28515625" style="136" customWidth="1"/>
    <col min="3" max="3" width="6.140625" style="136" customWidth="1"/>
    <col min="4" max="4" width="3.28515625" style="136" customWidth="1"/>
    <col min="5" max="5" width="6" style="136" customWidth="1"/>
    <col min="6" max="6" width="4" style="136" customWidth="1"/>
    <col min="7" max="7" width="4.28515625" style="136" customWidth="1"/>
    <col min="8" max="8" width="2.140625" style="136" customWidth="1"/>
    <col min="9" max="9" width="4.42578125" style="136" customWidth="1"/>
    <col min="10" max="13" width="4.28515625" style="136" customWidth="1"/>
    <col min="14" max="14" width="4.28515625" style="353" customWidth="1"/>
    <col min="15" max="15" width="8.140625" style="136" customWidth="1"/>
    <col min="16" max="16" width="4.85546875" style="136" customWidth="1"/>
    <col min="17" max="17" width="6.5703125" style="136" customWidth="1"/>
    <col min="18" max="18" width="7" style="136" customWidth="1"/>
    <col min="19" max="19" width="8" style="136" customWidth="1"/>
    <col min="20" max="21" width="6.5703125" style="136" customWidth="1"/>
    <col min="22" max="22" width="9.5703125" style="136" customWidth="1"/>
    <col min="23" max="23" width="6.5703125" style="136" customWidth="1"/>
    <col min="24" max="24" width="7.7109375" style="136" customWidth="1"/>
    <col min="25" max="26" width="6.5703125" style="136" customWidth="1"/>
    <col min="27" max="27" width="9.42578125" style="136" customWidth="1"/>
    <col min="28" max="28" width="21.5703125" style="136" customWidth="1"/>
    <col min="29" max="29" width="7.140625" style="136" customWidth="1"/>
    <col min="30" max="30" width="3.140625" style="136" customWidth="1"/>
    <col min="31" max="41" width="7.140625" style="136" customWidth="1"/>
    <col min="42" max="42" width="7.140625" style="355" customWidth="1"/>
    <col min="43" max="46" width="7.140625" style="136" customWidth="1"/>
    <col min="47" max="55" width="8.85546875" style="136"/>
    <col min="56" max="56" width="10.42578125" style="136" bestFit="1" customWidth="1"/>
    <col min="57" max="16384" width="8.85546875" style="136"/>
  </cols>
  <sheetData>
    <row r="1" spans="2:250" ht="11.25" customHeight="1">
      <c r="D1" s="43" t="s">
        <v>112</v>
      </c>
      <c r="H1" s="44"/>
      <c r="I1" s="44"/>
      <c r="J1" s="353">
        <f>($AV$14+$AV$16)/100000000</f>
        <v>6.9620000000000001E-5</v>
      </c>
      <c r="K1" s="353">
        <f t="shared" ref="K1:AB1" si="0">$J$1</f>
        <v>6.9620000000000001E-5</v>
      </c>
      <c r="L1" s="353">
        <f t="shared" si="0"/>
        <v>6.9620000000000001E-5</v>
      </c>
      <c r="M1" s="353">
        <f t="shared" si="0"/>
        <v>6.9620000000000001E-5</v>
      </c>
      <c r="N1" s="353">
        <f t="shared" si="0"/>
        <v>6.9620000000000001E-5</v>
      </c>
      <c r="O1" s="353">
        <f t="shared" si="0"/>
        <v>6.9620000000000001E-5</v>
      </c>
      <c r="P1" s="353">
        <f t="shared" si="0"/>
        <v>6.9620000000000001E-5</v>
      </c>
      <c r="Q1" s="353">
        <f t="shared" si="0"/>
        <v>6.9620000000000001E-5</v>
      </c>
      <c r="R1" s="353">
        <f t="shared" si="0"/>
        <v>6.9620000000000001E-5</v>
      </c>
      <c r="S1" s="353">
        <f t="shared" si="0"/>
        <v>6.9620000000000001E-5</v>
      </c>
      <c r="T1" s="353">
        <f t="shared" si="0"/>
        <v>6.9620000000000001E-5</v>
      </c>
      <c r="U1" s="353">
        <f t="shared" si="0"/>
        <v>6.9620000000000001E-5</v>
      </c>
      <c r="V1" s="353">
        <f t="shared" si="0"/>
        <v>6.9620000000000001E-5</v>
      </c>
      <c r="W1" s="353">
        <f t="shared" si="0"/>
        <v>6.9620000000000001E-5</v>
      </c>
      <c r="X1" s="353">
        <f t="shared" si="0"/>
        <v>6.9620000000000001E-5</v>
      </c>
      <c r="Y1" s="353">
        <f t="shared" si="0"/>
        <v>6.9620000000000001E-5</v>
      </c>
      <c r="Z1" s="353">
        <f t="shared" si="0"/>
        <v>6.9620000000000001E-5</v>
      </c>
      <c r="AA1" s="353">
        <f t="shared" si="0"/>
        <v>6.9620000000000001E-5</v>
      </c>
      <c r="AB1" s="353">
        <f t="shared" si="0"/>
        <v>6.9620000000000001E-5</v>
      </c>
      <c r="AC1" s="354"/>
      <c r="AD1" s="354"/>
      <c r="AE1" s="354"/>
      <c r="AF1" s="354"/>
      <c r="AG1" s="354"/>
      <c r="AH1" s="354"/>
      <c r="AI1" s="354"/>
      <c r="AJ1" s="354"/>
      <c r="AK1" s="354"/>
      <c r="AL1" s="354"/>
      <c r="AM1" s="354"/>
      <c r="AN1" s="354"/>
      <c r="AO1" s="354"/>
      <c r="AP1" s="355" t="s">
        <v>1209</v>
      </c>
      <c r="AQ1" s="136">
        <v>-5.5</v>
      </c>
      <c r="AR1" s="136">
        <f>IF($AR$4,AS7+AS1,NA())</f>
        <v>0.42899999999999999</v>
      </c>
      <c r="AS1" s="136">
        <v>-1E-3</v>
      </c>
      <c r="AU1" s="170" t="s">
        <v>968</v>
      </c>
      <c r="AV1" s="169">
        <f>1-NORMDIST(AS5,AV17,AV18,TRUE)</f>
        <v>2.4997895148220373E-2</v>
      </c>
      <c r="AW1" s="170" t="s">
        <v>969</v>
      </c>
      <c r="AX1" s="169">
        <f>IF(AS5&gt;=0,TDIST(AS5,AV14,1),1-TDIST(-AS5,AV14,1))</f>
        <v>9.4528654776490292E-2</v>
      </c>
      <c r="AY1" s="356" t="s">
        <v>970</v>
      </c>
      <c r="AZ1" s="460">
        <f>IF($AV$13=1,AV1,AX1)</f>
        <v>2.4997895148220373E-2</v>
      </c>
      <c r="BA1" s="357" t="s">
        <v>971</v>
      </c>
      <c r="BB1" s="358"/>
      <c r="BC1" s="357"/>
      <c r="BD1" s="359" t="s">
        <v>972</v>
      </c>
      <c r="BE1" s="360" t="s">
        <v>973</v>
      </c>
    </row>
    <row r="2" spans="2:250" ht="11.25" customHeight="1">
      <c r="D2" s="137" t="s">
        <v>1194</v>
      </c>
      <c r="J2" s="353">
        <f t="shared" ref="J2:J28" si="1">$J$1</f>
        <v>6.9620000000000001E-5</v>
      </c>
      <c r="N2" s="361"/>
      <c r="Z2" s="354"/>
      <c r="AA2" s="354"/>
      <c r="AB2" s="353">
        <f t="shared" ref="AB2:AB28" si="2">$J$1</f>
        <v>6.9620000000000001E-5</v>
      </c>
      <c r="AC2" s="354"/>
      <c r="AD2" s="354"/>
      <c r="AE2" s="354"/>
      <c r="AF2" s="354"/>
      <c r="AG2" s="354"/>
      <c r="AH2" s="354"/>
      <c r="AI2" s="354"/>
      <c r="AJ2" s="354"/>
      <c r="AK2" s="354"/>
      <c r="AL2" s="354"/>
      <c r="AM2" s="354"/>
      <c r="AN2" s="354"/>
      <c r="AO2" s="354"/>
      <c r="AQ2" s="136">
        <v>5.0999999999999996</v>
      </c>
      <c r="AR2" s="136">
        <f>AR1</f>
        <v>0.42899999999999999</v>
      </c>
      <c r="AU2" s="356" t="s">
        <v>974</v>
      </c>
      <c r="AV2" s="136">
        <f>1-AV1</f>
        <v>0.97500210485177963</v>
      </c>
      <c r="AW2" s="356" t="s">
        <v>975</v>
      </c>
      <c r="AX2" s="136">
        <f>1-AX1</f>
        <v>0.90547134522350969</v>
      </c>
      <c r="AY2" s="356" t="s">
        <v>970</v>
      </c>
      <c r="AZ2" s="460">
        <f>IF($AV$13=1,AV2,AX2)</f>
        <v>0.97500210485177963</v>
      </c>
      <c r="BA2" s="362" t="s">
        <v>976</v>
      </c>
      <c r="BB2" s="363">
        <v>0.435</v>
      </c>
      <c r="BC2" s="364" t="s">
        <v>977</v>
      </c>
      <c r="BD2" s="365" t="e">
        <f>IF($AV$15=1,NORMDIST(AX13,$AV$17,$AV$18,FALSE),NA())</f>
        <v>#N/A</v>
      </c>
      <c r="BE2" s="366">
        <f>IF($AV$15=2,NORMDIST(AX14,$AV$17,$AV$18,FALSE),NA())</f>
        <v>5.8440944333451463E-2</v>
      </c>
    </row>
    <row r="3" spans="2:250" ht="11.25" customHeight="1">
      <c r="D3" s="136" t="s">
        <v>198</v>
      </c>
      <c r="J3" s="353">
        <f t="shared" si="1"/>
        <v>6.9620000000000001E-5</v>
      </c>
      <c r="K3" s="367"/>
      <c r="L3" s="367"/>
      <c r="M3" s="367"/>
      <c r="N3" s="361"/>
      <c r="O3" s="367"/>
      <c r="V3" s="368"/>
      <c r="Z3" s="354"/>
      <c r="AA3" s="354"/>
      <c r="AB3" s="353">
        <f t="shared" si="2"/>
        <v>6.9620000000000001E-5</v>
      </c>
      <c r="AC3" s="354"/>
      <c r="AD3" s="354"/>
      <c r="AE3" s="354"/>
      <c r="AF3" s="354"/>
      <c r="AG3" s="354"/>
      <c r="AH3" s="354"/>
      <c r="AI3" s="354"/>
      <c r="AJ3" s="354"/>
      <c r="AK3" s="354"/>
      <c r="AL3" s="354"/>
      <c r="AM3" s="354"/>
      <c r="AN3" s="354"/>
      <c r="AO3" s="354"/>
      <c r="AS3" s="136" t="s">
        <v>1193</v>
      </c>
      <c r="AU3" s="170" t="s">
        <v>978</v>
      </c>
      <c r="AV3" s="169">
        <f>2*(1-NORMDIST(AS4,AV17,AV18,TRUE))</f>
        <v>4.9995790296440745E-2</v>
      </c>
      <c r="AW3" s="170" t="s">
        <v>979</v>
      </c>
      <c r="AX3" s="169">
        <f>MIN(1,2*AX1)</f>
        <v>0.18905730955298058</v>
      </c>
      <c r="AY3" s="356" t="s">
        <v>970</v>
      </c>
      <c r="AZ3" s="460">
        <f>IF($AV$13=1,AV3,AX3)</f>
        <v>4.9995790296440745E-2</v>
      </c>
      <c r="BA3" s="362" t="e">
        <f>IF(IF($AV$11,AV15=1),AS5+BB2,NA())</f>
        <v>#N/A</v>
      </c>
      <c r="BB3" s="363">
        <v>0.02</v>
      </c>
      <c r="BC3" s="136" t="s">
        <v>980</v>
      </c>
    </row>
    <row r="4" spans="2:250" ht="11.25" customHeight="1">
      <c r="B4" s="138"/>
      <c r="E4" s="138"/>
      <c r="F4" s="138"/>
      <c r="J4" s="353">
        <f t="shared" si="1"/>
        <v>6.9620000000000001E-5</v>
      </c>
      <c r="K4" s="321"/>
      <c r="L4" s="321"/>
      <c r="M4" s="321"/>
      <c r="N4" s="321"/>
      <c r="V4" s="138"/>
      <c r="Z4" s="354"/>
      <c r="AA4" s="354"/>
      <c r="AB4" s="353">
        <f t="shared" si="2"/>
        <v>6.9620000000000001E-5</v>
      </c>
      <c r="AC4" s="354"/>
      <c r="AD4" s="354"/>
      <c r="AE4" s="354"/>
      <c r="AF4" s="354"/>
      <c r="AG4" s="354"/>
      <c r="AH4" s="354"/>
      <c r="AI4" s="354"/>
      <c r="AJ4" s="354"/>
      <c r="AK4" s="354"/>
      <c r="AL4" s="354"/>
      <c r="AM4" s="354"/>
      <c r="AN4" s="354"/>
      <c r="AO4" s="354"/>
      <c r="AP4" s="369"/>
      <c r="AQ4" s="356" t="s">
        <v>116</v>
      </c>
      <c r="AR4" s="289" t="b">
        <v>1</v>
      </c>
      <c r="AS4" s="136">
        <f>ABS(AS5)</f>
        <v>1.96</v>
      </c>
      <c r="AU4" s="356" t="s">
        <v>981</v>
      </c>
      <c r="AV4" s="136">
        <f>1-AV3</f>
        <v>0.95000420970355925</v>
      </c>
      <c r="AW4" s="356" t="s">
        <v>982</v>
      </c>
      <c r="AX4" s="136">
        <f>1-AX3</f>
        <v>0.81094269044701939</v>
      </c>
      <c r="AY4" s="356" t="s">
        <v>970</v>
      </c>
      <c r="AZ4" s="460">
        <f>IF($AV$13=1,AV4,AX4)</f>
        <v>0.95000420970355925</v>
      </c>
      <c r="BA4" s="370" t="e">
        <f>IF(IF($AV$11,AV15=1),AS5-BB2,NA())</f>
        <v>#N/A</v>
      </c>
      <c r="BB4" s="371">
        <f>BB3</f>
        <v>0.02</v>
      </c>
      <c r="BD4" s="368" t="s">
        <v>983</v>
      </c>
      <c r="BE4" s="368" t="s">
        <v>984</v>
      </c>
      <c r="BF4" s="368" t="s">
        <v>985</v>
      </c>
      <c r="BG4" s="368" t="s">
        <v>986</v>
      </c>
      <c r="BH4" s="372" t="s">
        <v>987</v>
      </c>
    </row>
    <row r="5" spans="2:250" ht="11.25" customHeight="1">
      <c r="B5" s="138"/>
      <c r="C5" s="138"/>
      <c r="D5" s="138"/>
      <c r="E5" s="138"/>
      <c r="F5" s="138"/>
      <c r="J5" s="353">
        <f t="shared" si="1"/>
        <v>6.9620000000000001E-5</v>
      </c>
      <c r="K5" s="321"/>
      <c r="L5" s="321"/>
      <c r="M5" s="321"/>
      <c r="N5" s="321"/>
      <c r="V5" s="138"/>
      <c r="Z5" s="354"/>
      <c r="AA5" s="354"/>
      <c r="AB5" s="353">
        <f t="shared" si="2"/>
        <v>6.9620000000000001E-5</v>
      </c>
      <c r="AC5" s="354"/>
      <c r="AD5" s="354"/>
      <c r="AE5" s="354"/>
      <c r="AF5" s="354"/>
      <c r="AG5" s="354"/>
      <c r="AH5" s="354"/>
      <c r="AI5" s="354"/>
      <c r="AJ5" s="354"/>
      <c r="AK5" s="354"/>
      <c r="AL5" s="354"/>
      <c r="AM5" s="354"/>
      <c r="AN5" s="354"/>
      <c r="AO5" s="354"/>
      <c r="AP5" s="136" t="s">
        <v>108</v>
      </c>
      <c r="AR5" s="356" t="s">
        <v>117</v>
      </c>
      <c r="AS5" s="373">
        <f>(AV16-5000)/1000</f>
        <v>1.96</v>
      </c>
      <c r="AT5" s="136" t="s">
        <v>106</v>
      </c>
      <c r="AU5" s="357" t="s">
        <v>988</v>
      </c>
      <c r="AV5" s="358"/>
      <c r="AY5" s="356" t="s">
        <v>989</v>
      </c>
      <c r="AZ5" s="460">
        <f>0.5*AZ3</f>
        <v>2.4997895148220373E-2</v>
      </c>
      <c r="BC5" s="356" t="s">
        <v>972</v>
      </c>
      <c r="BD5" s="136" t="e">
        <f>IF($AV$15=1,AX13-$AY$19,NA())</f>
        <v>#N/A</v>
      </c>
      <c r="BE5" s="136" t="e">
        <f>IF($AV$15=1,AX13+$AY$19,NA())</f>
        <v>#N/A</v>
      </c>
      <c r="BF5" s="136" t="e">
        <f>IF(BD5&lt;0,TDIST(-BD5,$AV$14,1),1-TDIST(BD5,$AV$14,1))</f>
        <v>#N/A</v>
      </c>
      <c r="BG5" s="136" t="e">
        <f>IF(BE5&lt;0,TDIST(-BE5,$AV$14,1),1-TDIST(BE5,$AV$14,1))</f>
        <v>#N/A</v>
      </c>
      <c r="BH5" s="374" t="e">
        <f>IF($AV$13&gt;1,(BG5-BF5)/(2*$AY$19),NA())</f>
        <v>#N/A</v>
      </c>
    </row>
    <row r="6" spans="2:250" ht="11.25" customHeight="1">
      <c r="B6" s="433">
        <v>1</v>
      </c>
      <c r="C6" s="152" t="s">
        <v>1018</v>
      </c>
      <c r="D6" s="153"/>
      <c r="E6" s="153"/>
      <c r="F6" s="153"/>
      <c r="G6" s="153"/>
      <c r="H6" s="153"/>
      <c r="I6" s="154"/>
      <c r="J6" s="353">
        <f t="shared" si="1"/>
        <v>6.9620000000000001E-5</v>
      </c>
      <c r="K6" s="321"/>
      <c r="L6" s="321"/>
      <c r="M6" s="321"/>
      <c r="N6" s="321"/>
      <c r="V6" s="138"/>
      <c r="Y6" s="138"/>
      <c r="Z6" s="354"/>
      <c r="AA6" s="354"/>
      <c r="AB6" s="353">
        <f t="shared" si="2"/>
        <v>6.9620000000000001E-5</v>
      </c>
      <c r="AC6" s="354"/>
      <c r="AD6" s="354"/>
      <c r="AE6" s="354"/>
      <c r="AF6" s="354"/>
      <c r="AG6" s="354"/>
      <c r="AH6" s="354"/>
      <c r="AI6" s="354"/>
      <c r="AJ6" s="354"/>
      <c r="AK6" s="354"/>
      <c r="AL6" s="354"/>
      <c r="AM6" s="354"/>
      <c r="AN6" s="354"/>
      <c r="AO6" s="354"/>
      <c r="AP6" s="369" t="s">
        <v>737</v>
      </c>
      <c r="AQ6" s="136" t="s">
        <v>639</v>
      </c>
      <c r="AR6" s="136" t="s">
        <v>109</v>
      </c>
      <c r="AS6" s="138" t="s">
        <v>640</v>
      </c>
      <c r="AU6" s="362">
        <f>IF(IF($AV$11,$AV$15=2),AX15-BB2,NA())</f>
        <v>-2.395</v>
      </c>
      <c r="AV6" s="363">
        <f>BB3</f>
        <v>0.02</v>
      </c>
      <c r="AW6" s="375"/>
      <c r="AX6" s="376" t="s">
        <v>991</v>
      </c>
      <c r="AY6" s="377" t="b">
        <v>1</v>
      </c>
      <c r="AZ6" s="378" t="s">
        <v>992</v>
      </c>
      <c r="BA6" s="379"/>
      <c r="BB6" s="358"/>
      <c r="BC6" s="356" t="s">
        <v>973</v>
      </c>
      <c r="BD6" s="136">
        <f>IF($AV$15=2,AX14-$AY$19,NA())</f>
        <v>1.9599899999999999</v>
      </c>
      <c r="BE6" s="136">
        <f>IF($AV$15=2,AX14+$AY$19,NA())</f>
        <v>1.96001</v>
      </c>
      <c r="BF6" s="136">
        <f>IF(BD6&lt;0,TDIST(-BD6,$AV$14,1),1-TDIST(BD6,$AV$14,1))</f>
        <v>0.90547063694435315</v>
      </c>
      <c r="BG6" s="136">
        <f>IF(BE6&lt;0,TDIST(-BE6,$AV$14,1),1-TDIST(BE6,$AV$14,1))</f>
        <v>0.90547205349553683</v>
      </c>
      <c r="BH6" s="374" t="e">
        <f>IF($AV$13&gt;1,(BG6-BF6)/(2*$AY$19),NA())</f>
        <v>#N/A</v>
      </c>
    </row>
    <row r="7" spans="2:250" ht="11.25" customHeight="1">
      <c r="B7" s="155"/>
      <c r="C7" s="156"/>
      <c r="D7" s="156" t="s">
        <v>1020</v>
      </c>
      <c r="E7" s="156"/>
      <c r="F7" s="157"/>
      <c r="G7" s="157"/>
      <c r="H7" s="156"/>
      <c r="I7" s="158"/>
      <c r="J7" s="353">
        <f t="shared" si="1"/>
        <v>6.9620000000000001E-5</v>
      </c>
      <c r="K7" s="321"/>
      <c r="L7" s="321"/>
      <c r="M7" s="321"/>
      <c r="N7" s="321"/>
      <c r="V7" s="138"/>
      <c r="Z7" s="354"/>
      <c r="AA7" s="361"/>
      <c r="AB7" s="353">
        <f t="shared" si="2"/>
        <v>6.9620000000000001E-5</v>
      </c>
      <c r="AC7" s="354"/>
      <c r="AD7" s="354"/>
      <c r="AE7" s="354"/>
      <c r="AF7" s="354"/>
      <c r="AG7" s="354"/>
      <c r="AH7" s="354"/>
      <c r="AI7" s="354"/>
      <c r="AJ7" s="354"/>
      <c r="AK7" s="354"/>
      <c r="AL7" s="354"/>
      <c r="AM7" s="354"/>
      <c r="AN7" s="354"/>
      <c r="AO7" s="354"/>
      <c r="AP7" s="355">
        <v>-5</v>
      </c>
      <c r="AQ7" s="136">
        <f t="shared" ref="AQ7:AQ17" si="3">$E$19+$E$21*AP7</f>
        <v>25</v>
      </c>
      <c r="AR7" s="136">
        <f>IF($AR$4,AP7,NA())</f>
        <v>-5</v>
      </c>
      <c r="AS7" s="136">
        <v>0.43</v>
      </c>
      <c r="AT7" s="138">
        <f>IF($AR$4,AQ7,NA())</f>
        <v>25</v>
      </c>
      <c r="AU7" s="362">
        <f>IF(IF($AV$11,AV15=2),0,NA())</f>
        <v>0</v>
      </c>
      <c r="AV7" s="363">
        <v>0.05</v>
      </c>
      <c r="AW7" s="380"/>
      <c r="AX7" s="381" t="s">
        <v>993</v>
      </c>
      <c r="AY7" s="382" t="b">
        <v>1</v>
      </c>
      <c r="AZ7" s="383">
        <f t="shared" ref="AZ7:AZ19" si="4">IF($AY$7,$AV$17+BB7*$AV$18,NA())</f>
        <v>-6</v>
      </c>
      <c r="BA7" s="375">
        <v>0</v>
      </c>
      <c r="BB7" s="358">
        <v>-6</v>
      </c>
      <c r="BD7" s="356" t="s">
        <v>994</v>
      </c>
      <c r="BE7" s="136">
        <v>0.3</v>
      </c>
    </row>
    <row r="8" spans="2:250" ht="11.25" customHeight="1">
      <c r="B8" s="155"/>
      <c r="C8" s="156"/>
      <c r="D8" s="156"/>
      <c r="E8" s="156"/>
      <c r="F8" s="156"/>
      <c r="G8" s="159"/>
      <c r="H8" s="159"/>
      <c r="I8" s="160"/>
      <c r="J8" s="353">
        <f t="shared" si="1"/>
        <v>6.9620000000000001E-5</v>
      </c>
      <c r="K8" s="321"/>
      <c r="L8" s="321"/>
      <c r="M8" s="321"/>
      <c r="N8" s="321"/>
      <c r="V8" s="138"/>
      <c r="Y8" s="384"/>
      <c r="Z8" s="354"/>
      <c r="AA8" s="356"/>
      <c r="AB8" s="353">
        <f t="shared" si="2"/>
        <v>6.9620000000000001E-5</v>
      </c>
      <c r="AP8" s="355">
        <v>-4</v>
      </c>
      <c r="AQ8" s="136">
        <f t="shared" si="3"/>
        <v>40</v>
      </c>
      <c r="AR8" s="136">
        <f t="shared" ref="AR8:AR17" si="5">IF($AR$4,AP8,NA())</f>
        <v>-4</v>
      </c>
      <c r="AS8" s="136">
        <f>AS7</f>
        <v>0.43</v>
      </c>
      <c r="AT8" s="138">
        <f t="shared" ref="AT8:AT17" si="6">IF($AR$4,AQ8,NA())</f>
        <v>40</v>
      </c>
      <c r="AU8" s="362">
        <f>IF(IF($AV$11,$AV$15=2),AX14+BB2,NA())</f>
        <v>2.395</v>
      </c>
      <c r="AV8" s="363">
        <f>AV6</f>
        <v>0.02</v>
      </c>
      <c r="AX8" s="385" t="s">
        <v>995</v>
      </c>
      <c r="AY8" s="367">
        <v>1200</v>
      </c>
      <c r="AZ8" s="386">
        <f t="shared" si="4"/>
        <v>-5</v>
      </c>
      <c r="BA8" s="164">
        <v>0</v>
      </c>
      <c r="BB8" s="363">
        <v>-5</v>
      </c>
      <c r="BC8" s="136" t="s">
        <v>996</v>
      </c>
      <c r="BD8" s="368" t="s">
        <v>997</v>
      </c>
      <c r="BE8" s="368" t="s">
        <v>997</v>
      </c>
      <c r="BF8" s="368" t="s">
        <v>106</v>
      </c>
      <c r="BG8" s="368" t="s">
        <v>106</v>
      </c>
    </row>
    <row r="9" spans="2:250" ht="11.25" customHeight="1">
      <c r="B9" s="155"/>
      <c r="C9" s="156"/>
      <c r="D9" s="156" t="s">
        <v>1027</v>
      </c>
      <c r="E9" s="156"/>
      <c r="F9" s="156"/>
      <c r="G9" s="156"/>
      <c r="H9" s="156"/>
      <c r="I9" s="158"/>
      <c r="J9" s="353">
        <f t="shared" si="1"/>
        <v>6.9620000000000001E-5</v>
      </c>
      <c r="K9" s="321"/>
      <c r="L9" s="321"/>
      <c r="M9" s="321"/>
      <c r="N9" s="321"/>
      <c r="V9" s="138"/>
      <c r="Z9" s="354"/>
      <c r="AA9" s="361"/>
      <c r="AB9" s="353">
        <f t="shared" si="2"/>
        <v>6.9620000000000001E-5</v>
      </c>
      <c r="AP9" s="355">
        <v>-3</v>
      </c>
      <c r="AQ9" s="136">
        <f t="shared" si="3"/>
        <v>55</v>
      </c>
      <c r="AR9" s="136">
        <f t="shared" si="5"/>
        <v>-3</v>
      </c>
      <c r="AS9" s="136">
        <f t="shared" ref="AS9:AS17" si="7">AS8</f>
        <v>0.43</v>
      </c>
      <c r="AT9" s="138">
        <f t="shared" si="6"/>
        <v>55</v>
      </c>
      <c r="AU9" s="362">
        <f>AU8</f>
        <v>2.395</v>
      </c>
      <c r="AV9" s="363">
        <v>0.1</v>
      </c>
      <c r="AX9" s="385" t="s">
        <v>999</v>
      </c>
      <c r="AY9" s="367">
        <v>6</v>
      </c>
      <c r="AZ9" s="386">
        <f t="shared" si="4"/>
        <v>-4</v>
      </c>
      <c r="BA9" s="164">
        <v>0</v>
      </c>
      <c r="BB9" s="363">
        <v>-4</v>
      </c>
      <c r="BC9" s="356" t="s">
        <v>972</v>
      </c>
      <c r="BD9" s="136" t="e">
        <f>IF(AND($AV$15=1,$AV$12,$AV$13=1),AS5+$BE$7,NA())</f>
        <v>#N/A</v>
      </c>
      <c r="BE9" s="136">
        <v>0.39</v>
      </c>
      <c r="BF9" s="136" t="e">
        <f>IF(AND($AV$15=1,$AV$12,$AV$13=1),AS5-$BE$7,NA())</f>
        <v>#N/A</v>
      </c>
      <c r="BG9" s="136">
        <f>BE9</f>
        <v>0.39</v>
      </c>
    </row>
    <row r="10" spans="2:250" ht="11.25" customHeight="1">
      <c r="B10" s="155"/>
      <c r="C10" s="156"/>
      <c r="D10" s="156"/>
      <c r="E10" s="156"/>
      <c r="F10" s="156"/>
      <c r="G10" s="156" t="s">
        <v>104</v>
      </c>
      <c r="H10" s="156"/>
      <c r="I10" s="158"/>
      <c r="J10" s="353">
        <f t="shared" si="1"/>
        <v>6.9620000000000001E-5</v>
      </c>
      <c r="K10" s="321"/>
      <c r="L10" s="321"/>
      <c r="M10" s="321"/>
      <c r="N10" s="321"/>
      <c r="O10" s="367"/>
      <c r="V10" s="138"/>
      <c r="Z10" s="354"/>
      <c r="AA10" s="361"/>
      <c r="AB10" s="353">
        <f t="shared" si="2"/>
        <v>6.9620000000000001E-5</v>
      </c>
      <c r="AP10" s="387">
        <v>-2</v>
      </c>
      <c r="AQ10" s="136">
        <f t="shared" si="3"/>
        <v>70</v>
      </c>
      <c r="AR10" s="136">
        <f t="shared" si="5"/>
        <v>-2</v>
      </c>
      <c r="AS10" s="136">
        <f t="shared" si="7"/>
        <v>0.43</v>
      </c>
      <c r="AT10" s="138">
        <f t="shared" si="6"/>
        <v>70</v>
      </c>
      <c r="AU10" s="370">
        <f>AU9</f>
        <v>2.395</v>
      </c>
      <c r="AV10" s="371">
        <v>0.13</v>
      </c>
      <c r="AX10" s="388" t="s">
        <v>1001</v>
      </c>
      <c r="AY10" s="164">
        <f>(AY9/AY8)*2</f>
        <v>0.01</v>
      </c>
      <c r="AZ10" s="386">
        <f t="shared" si="4"/>
        <v>-3</v>
      </c>
      <c r="BA10" s="164">
        <v>0</v>
      </c>
      <c r="BB10" s="363">
        <v>-3</v>
      </c>
      <c r="BC10" s="356" t="s">
        <v>1002</v>
      </c>
      <c r="BD10" s="136" t="e">
        <f>IF(AND($AV$12,$AV$13=1),AX14+$BE$7,NA())</f>
        <v>#N/A</v>
      </c>
      <c r="BE10" s="136">
        <f>BE9</f>
        <v>0.39</v>
      </c>
      <c r="BF10" s="136" t="e">
        <f>IF(AND($AV$12,$AV$13=1),AX14-$BE$7,NA())</f>
        <v>#N/A</v>
      </c>
      <c r="BG10" s="136">
        <f>BG9</f>
        <v>0.39</v>
      </c>
    </row>
    <row r="11" spans="2:250" ht="11.25" customHeight="1">
      <c r="B11" s="155"/>
      <c r="C11" s="156"/>
      <c r="D11" s="156" t="s">
        <v>1038</v>
      </c>
      <c r="E11" s="156"/>
      <c r="F11" s="156"/>
      <c r="G11" s="156"/>
      <c r="H11" s="156"/>
      <c r="I11" s="158"/>
      <c r="J11" s="353">
        <f t="shared" si="1"/>
        <v>6.9620000000000001E-5</v>
      </c>
      <c r="K11" s="321"/>
      <c r="L11" s="321"/>
      <c r="M11" s="321"/>
      <c r="N11" s="321"/>
      <c r="V11" s="138"/>
      <c r="Z11" s="354"/>
      <c r="AA11" s="361"/>
      <c r="AB11" s="353">
        <f t="shared" si="2"/>
        <v>6.9620000000000001E-5</v>
      </c>
      <c r="AC11" s="354"/>
      <c r="AD11" s="354"/>
      <c r="AE11" s="354"/>
      <c r="AF11" s="354"/>
      <c r="AG11" s="354"/>
      <c r="AH11" s="354"/>
      <c r="AI11" s="354"/>
      <c r="AJ11" s="354"/>
      <c r="AK11" s="354"/>
      <c r="AL11" s="354"/>
      <c r="AM11" s="354"/>
      <c r="AN11" s="354"/>
      <c r="AO11" s="354"/>
      <c r="AP11" s="355">
        <v>-1</v>
      </c>
      <c r="AQ11" s="136">
        <f t="shared" si="3"/>
        <v>85</v>
      </c>
      <c r="AR11" s="136">
        <f t="shared" si="5"/>
        <v>-1</v>
      </c>
      <c r="AS11" s="136">
        <f t="shared" si="7"/>
        <v>0.43</v>
      </c>
      <c r="AT11" s="138">
        <f t="shared" si="6"/>
        <v>85</v>
      </c>
      <c r="AU11" s="389" t="s">
        <v>1003</v>
      </c>
      <c r="AV11" s="250" t="b">
        <v>1</v>
      </c>
      <c r="AW11" s="367"/>
      <c r="AX11" s="367"/>
      <c r="AZ11" s="386">
        <f t="shared" si="4"/>
        <v>-2</v>
      </c>
      <c r="BA11" s="164">
        <v>0</v>
      </c>
      <c r="BB11" s="363">
        <v>-2</v>
      </c>
      <c r="BD11" s="136" t="e">
        <f>IF(AND($AV$12,$AV$13=1),AX15+$BE$7,NA())</f>
        <v>#N/A</v>
      </c>
      <c r="BE11" s="136">
        <f>BE9</f>
        <v>0.39</v>
      </c>
      <c r="BF11" s="136" t="e">
        <f>IF(AND($AV$12,$AV$13=1),AX15-$BE$7,NA())</f>
        <v>#N/A</v>
      </c>
      <c r="BG11" s="136">
        <f>BG9</f>
        <v>0.39</v>
      </c>
    </row>
    <row r="12" spans="2:250" ht="11.25" customHeight="1">
      <c r="B12" s="155"/>
      <c r="C12" s="156"/>
      <c r="D12" s="156"/>
      <c r="E12" s="156"/>
      <c r="F12" s="156"/>
      <c r="G12" s="156"/>
      <c r="H12" s="156"/>
      <c r="I12" s="158"/>
      <c r="J12" s="353">
        <f t="shared" si="1"/>
        <v>6.9620000000000001E-5</v>
      </c>
      <c r="K12" s="321"/>
      <c r="L12" s="321"/>
      <c r="M12" s="321"/>
      <c r="N12" s="321"/>
      <c r="V12" s="138"/>
      <c r="Z12" s="354"/>
      <c r="AA12" s="361"/>
      <c r="AB12" s="353">
        <f t="shared" si="2"/>
        <v>6.9620000000000001E-5</v>
      </c>
      <c r="AC12" s="354"/>
      <c r="AD12" s="354"/>
      <c r="AE12" s="354"/>
      <c r="AF12" s="354"/>
      <c r="AG12" s="354"/>
      <c r="AH12" s="354"/>
      <c r="AI12" s="354"/>
      <c r="AJ12" s="354"/>
      <c r="AK12" s="354"/>
      <c r="AL12" s="354"/>
      <c r="AM12" s="354"/>
      <c r="AN12" s="354"/>
      <c r="AO12" s="354"/>
      <c r="AP12" s="355">
        <v>0</v>
      </c>
      <c r="AQ12" s="136">
        <f t="shared" si="3"/>
        <v>100</v>
      </c>
      <c r="AR12" s="136">
        <f t="shared" si="5"/>
        <v>0</v>
      </c>
      <c r="AS12" s="136">
        <f t="shared" si="7"/>
        <v>0.43</v>
      </c>
      <c r="AT12" s="138">
        <f t="shared" si="6"/>
        <v>100</v>
      </c>
      <c r="AU12" s="389" t="s">
        <v>1004</v>
      </c>
      <c r="AV12" s="250" t="b">
        <v>0</v>
      </c>
      <c r="AW12" s="375"/>
      <c r="AX12" s="375" t="s">
        <v>1005</v>
      </c>
      <c r="AY12" s="375" t="s">
        <v>640</v>
      </c>
      <c r="AZ12" s="386">
        <f t="shared" si="4"/>
        <v>-1</v>
      </c>
      <c r="BA12" s="164">
        <v>0</v>
      </c>
      <c r="BB12" s="363">
        <v>-1</v>
      </c>
      <c r="BC12" s="136" t="s">
        <v>1006</v>
      </c>
      <c r="BF12" s="321"/>
      <c r="BG12" s="321"/>
    </row>
    <row r="13" spans="2:250" ht="11.25" customHeight="1">
      <c r="B13" s="441">
        <v>2</v>
      </c>
      <c r="C13" s="146" t="s">
        <v>1007</v>
      </c>
      <c r="D13" s="147"/>
      <c r="E13" s="147"/>
      <c r="F13" s="147"/>
      <c r="G13" s="147"/>
      <c r="H13" s="147"/>
      <c r="I13" s="148"/>
      <c r="J13" s="353">
        <f t="shared" si="1"/>
        <v>6.9620000000000001E-5</v>
      </c>
      <c r="K13" s="321"/>
      <c r="L13" s="321"/>
      <c r="M13" s="321"/>
      <c r="N13" s="321"/>
      <c r="V13" s="138"/>
      <c r="Z13" s="354"/>
      <c r="AA13" s="361"/>
      <c r="AB13" s="353">
        <f t="shared" si="2"/>
        <v>6.9620000000000001E-5</v>
      </c>
      <c r="AC13" s="354"/>
      <c r="AD13" s="354"/>
      <c r="AE13" s="354"/>
      <c r="AF13" s="354"/>
      <c r="AG13" s="354"/>
      <c r="AH13" s="354"/>
      <c r="AI13" s="354"/>
      <c r="AJ13" s="354"/>
      <c r="AK13" s="354"/>
      <c r="AL13" s="354"/>
      <c r="AM13" s="354"/>
      <c r="AN13" s="354"/>
      <c r="AO13" s="354"/>
      <c r="AP13" s="355">
        <v>1</v>
      </c>
      <c r="AQ13" s="136">
        <f t="shared" si="3"/>
        <v>115</v>
      </c>
      <c r="AR13" s="136">
        <f t="shared" si="5"/>
        <v>1</v>
      </c>
      <c r="AS13" s="136">
        <f t="shared" si="7"/>
        <v>0.43</v>
      </c>
      <c r="AT13" s="138">
        <f t="shared" si="6"/>
        <v>115</v>
      </c>
      <c r="AU13" s="390" t="s">
        <v>1008</v>
      </c>
      <c r="AV13" s="358">
        <v>1</v>
      </c>
      <c r="AW13" s="391" t="s">
        <v>972</v>
      </c>
      <c r="AX13" s="138" t="e">
        <f>IF($AV$15=1,AS5,NA())</f>
        <v>#N/A</v>
      </c>
      <c r="AY13" s="138">
        <v>0</v>
      </c>
      <c r="AZ13" s="386">
        <f t="shared" si="4"/>
        <v>0</v>
      </c>
      <c r="BA13" s="138">
        <v>0</v>
      </c>
      <c r="BB13" s="363">
        <v>0</v>
      </c>
      <c r="BD13" s="136" t="s">
        <v>1009</v>
      </c>
      <c r="BF13" s="321"/>
      <c r="BG13" s="321"/>
      <c r="BH13" s="392"/>
      <c r="BI13" s="392"/>
      <c r="BJ13" s="392"/>
      <c r="BK13" s="392"/>
      <c r="BL13" s="392"/>
      <c r="BM13" s="392"/>
      <c r="BN13" s="392"/>
      <c r="BO13" s="392"/>
      <c r="BP13" s="392"/>
      <c r="BQ13" s="392"/>
      <c r="BR13" s="392"/>
      <c r="BS13" s="392"/>
      <c r="BT13" s="392"/>
      <c r="BU13" s="392"/>
      <c r="BV13" s="392"/>
      <c r="BW13" s="392"/>
      <c r="BX13" s="392"/>
      <c r="BY13" s="392"/>
      <c r="BZ13" s="392"/>
      <c r="CA13" s="392"/>
      <c r="CB13" s="392"/>
      <c r="CC13" s="392"/>
      <c r="CD13" s="392"/>
      <c r="CE13" s="392"/>
      <c r="CF13" s="392"/>
      <c r="CG13" s="392"/>
      <c r="CH13" s="392"/>
      <c r="CI13" s="392"/>
      <c r="CJ13" s="392"/>
      <c r="CK13" s="392"/>
      <c r="CL13" s="392"/>
      <c r="CM13" s="392"/>
      <c r="CN13" s="392"/>
      <c r="CO13" s="392"/>
      <c r="CP13" s="392"/>
      <c r="CQ13" s="392"/>
      <c r="CR13" s="392"/>
      <c r="CS13" s="392"/>
      <c r="CT13" s="392"/>
      <c r="CU13" s="392"/>
      <c r="CV13" s="392"/>
      <c r="CW13" s="392"/>
      <c r="CX13" s="392"/>
      <c r="CY13" s="392"/>
      <c r="CZ13" s="392"/>
      <c r="DA13" s="392"/>
      <c r="DB13" s="392"/>
      <c r="DC13" s="392"/>
      <c r="DD13" s="392"/>
      <c r="DE13" s="392"/>
      <c r="DF13" s="392"/>
      <c r="DG13" s="392"/>
      <c r="DH13" s="392"/>
      <c r="DI13" s="392"/>
      <c r="DJ13" s="392"/>
      <c r="DK13" s="392"/>
      <c r="DL13" s="392"/>
      <c r="DM13" s="392"/>
      <c r="DN13" s="392"/>
      <c r="DO13" s="392"/>
      <c r="DP13" s="392"/>
      <c r="DQ13" s="392"/>
      <c r="DR13" s="392"/>
      <c r="DS13" s="392"/>
      <c r="DT13" s="392"/>
      <c r="DU13" s="392"/>
      <c r="DV13" s="392"/>
      <c r="DW13" s="392"/>
      <c r="DX13" s="392"/>
      <c r="DY13" s="392"/>
      <c r="DZ13" s="392"/>
      <c r="EA13" s="392"/>
      <c r="EB13" s="392"/>
      <c r="EC13" s="392"/>
      <c r="ED13" s="392"/>
      <c r="EE13" s="392"/>
      <c r="EF13" s="392"/>
      <c r="EG13" s="392"/>
      <c r="EH13" s="392"/>
      <c r="EI13" s="392"/>
      <c r="EJ13" s="392"/>
      <c r="EK13" s="392"/>
      <c r="EL13" s="392"/>
      <c r="EM13" s="392"/>
      <c r="EN13" s="392"/>
      <c r="EO13" s="392"/>
      <c r="EP13" s="392"/>
      <c r="EQ13" s="392"/>
      <c r="ER13" s="392"/>
      <c r="ES13" s="392"/>
      <c r="ET13" s="392"/>
      <c r="EU13" s="392"/>
      <c r="EV13" s="392"/>
      <c r="EW13" s="392"/>
      <c r="EX13" s="392"/>
      <c r="EY13" s="138"/>
      <c r="EZ13" s="138"/>
      <c r="FA13" s="138"/>
      <c r="FB13" s="138"/>
      <c r="FC13" s="138"/>
      <c r="FD13" s="138"/>
      <c r="FE13" s="138"/>
      <c r="FF13" s="138"/>
      <c r="FG13" s="138"/>
      <c r="FH13" s="138"/>
      <c r="FI13" s="138"/>
      <c r="FJ13" s="138"/>
      <c r="FK13" s="138"/>
      <c r="FL13" s="138"/>
      <c r="FM13" s="138"/>
      <c r="FN13" s="138"/>
      <c r="FO13" s="138"/>
      <c r="FP13" s="138"/>
      <c r="FQ13" s="138"/>
      <c r="FR13" s="138"/>
      <c r="FS13" s="138"/>
      <c r="FT13" s="138"/>
      <c r="FU13" s="138"/>
      <c r="FV13" s="138"/>
      <c r="FW13" s="138"/>
      <c r="FX13" s="138"/>
      <c r="FY13" s="138"/>
      <c r="FZ13" s="138"/>
      <c r="GA13" s="138"/>
      <c r="GB13" s="138"/>
      <c r="GC13" s="138"/>
      <c r="GD13" s="138"/>
      <c r="GE13" s="138"/>
      <c r="GF13" s="138"/>
      <c r="GG13" s="138"/>
      <c r="GH13" s="138"/>
      <c r="GI13" s="138"/>
      <c r="GJ13" s="138"/>
      <c r="GK13" s="138"/>
      <c r="GL13" s="138"/>
      <c r="GM13" s="138"/>
      <c r="GN13" s="138"/>
      <c r="GO13" s="138"/>
      <c r="GP13" s="138"/>
      <c r="GQ13" s="138"/>
      <c r="GR13" s="138"/>
      <c r="GS13" s="138"/>
      <c r="GT13" s="138"/>
      <c r="GU13" s="138"/>
      <c r="GV13" s="138"/>
      <c r="GW13" s="138"/>
      <c r="GX13" s="138"/>
      <c r="GY13" s="138"/>
      <c r="GZ13" s="138"/>
      <c r="HA13" s="138"/>
      <c r="HB13" s="138"/>
      <c r="HC13" s="138"/>
      <c r="HD13" s="138"/>
      <c r="HE13" s="138"/>
      <c r="HF13" s="138"/>
      <c r="HG13" s="138"/>
      <c r="HH13" s="138"/>
      <c r="HI13" s="138"/>
      <c r="HJ13" s="138"/>
      <c r="HK13" s="138"/>
      <c r="HL13" s="138"/>
      <c r="HM13" s="138"/>
      <c r="HN13" s="138"/>
      <c r="HO13" s="138"/>
      <c r="HP13" s="138"/>
      <c r="HQ13" s="138"/>
      <c r="HR13" s="138"/>
      <c r="HS13" s="138"/>
      <c r="HT13" s="138"/>
      <c r="HU13" s="138"/>
      <c r="HV13" s="138"/>
      <c r="HW13" s="138"/>
      <c r="HX13" s="138"/>
      <c r="HY13" s="138"/>
      <c r="HZ13" s="138"/>
      <c r="IA13" s="138"/>
      <c r="IB13" s="138"/>
      <c r="IC13" s="138"/>
      <c r="ID13" s="138"/>
      <c r="IE13" s="138"/>
      <c r="IF13" s="138"/>
      <c r="IG13" s="138"/>
      <c r="IH13" s="138"/>
      <c r="II13" s="138"/>
      <c r="IJ13" s="138"/>
      <c r="IK13" s="138"/>
      <c r="IL13" s="138"/>
      <c r="IM13" s="138"/>
      <c r="IN13" s="138"/>
      <c r="IO13" s="138"/>
    </row>
    <row r="14" spans="2:250" ht="11.25" customHeight="1">
      <c r="B14" s="149"/>
      <c r="C14" s="150"/>
      <c r="D14" s="150" t="s">
        <v>101</v>
      </c>
      <c r="E14" s="150"/>
      <c r="F14" s="150"/>
      <c r="G14" s="165" t="s">
        <v>105</v>
      </c>
      <c r="H14" s="150"/>
      <c r="I14" s="151"/>
      <c r="J14" s="353">
        <f t="shared" si="1"/>
        <v>6.9620000000000001E-5</v>
      </c>
      <c r="K14" s="321"/>
      <c r="L14" s="321"/>
      <c r="M14" s="321"/>
      <c r="N14" s="321"/>
      <c r="O14" s="367"/>
      <c r="V14" s="138"/>
      <c r="Z14" s="354"/>
      <c r="AA14" s="361"/>
      <c r="AB14" s="353">
        <f t="shared" si="2"/>
        <v>6.9620000000000001E-5</v>
      </c>
      <c r="AC14" s="354"/>
      <c r="AD14" s="354"/>
      <c r="AE14" s="354"/>
      <c r="AF14" s="354"/>
      <c r="AG14" s="354"/>
      <c r="AH14" s="354"/>
      <c r="AI14" s="354"/>
      <c r="AJ14" s="354"/>
      <c r="AK14" s="354"/>
      <c r="AL14" s="354"/>
      <c r="AM14" s="354"/>
      <c r="AN14" s="354"/>
      <c r="AO14" s="354"/>
      <c r="AP14" s="355">
        <v>2</v>
      </c>
      <c r="AQ14" s="136">
        <f t="shared" si="3"/>
        <v>130</v>
      </c>
      <c r="AR14" s="136">
        <f t="shared" si="5"/>
        <v>2</v>
      </c>
      <c r="AS14" s="136">
        <f t="shared" si="7"/>
        <v>0.43</v>
      </c>
      <c r="AT14" s="138">
        <f t="shared" si="6"/>
        <v>130</v>
      </c>
      <c r="AU14" s="393" t="s">
        <v>1000</v>
      </c>
      <c r="AV14" s="168">
        <v>2</v>
      </c>
      <c r="AW14" s="393" t="s">
        <v>1002</v>
      </c>
      <c r="AX14" s="138">
        <f>IF($AV$15=2,AS4,NA())</f>
        <v>1.96</v>
      </c>
      <c r="AY14" s="138">
        <v>0</v>
      </c>
      <c r="AZ14" s="386">
        <f t="shared" si="4"/>
        <v>1</v>
      </c>
      <c r="BA14" s="164">
        <v>0</v>
      </c>
      <c r="BB14" s="363">
        <v>1</v>
      </c>
      <c r="BC14" s="356" t="s">
        <v>1010</v>
      </c>
      <c r="BD14" s="136">
        <f>IF(AV15=1,IF(AV13=1,AV1,AX1),IF(AV13=1,AV3,AX3))</f>
        <v>4.9995790296440745E-2</v>
      </c>
      <c r="BE14" s="368" t="s">
        <v>1011</v>
      </c>
      <c r="BF14" s="368" t="s">
        <v>1012</v>
      </c>
      <c r="BG14" s="394" t="s">
        <v>1013</v>
      </c>
      <c r="BH14" s="392" t="s">
        <v>1014</v>
      </c>
      <c r="BI14" s="392" t="s">
        <v>1015</v>
      </c>
      <c r="BJ14" s="395"/>
      <c r="BK14" s="395"/>
      <c r="BL14" s="395"/>
      <c r="BM14" s="395"/>
      <c r="BN14" s="395"/>
      <c r="BO14" s="395"/>
      <c r="BP14" s="395"/>
      <c r="BQ14" s="395"/>
      <c r="BR14" s="395"/>
      <c r="BS14" s="395"/>
      <c r="BT14" s="395"/>
      <c r="BU14" s="395"/>
      <c r="BV14" s="395"/>
      <c r="BW14" s="395"/>
      <c r="BX14" s="395"/>
      <c r="BY14" s="395"/>
      <c r="BZ14" s="395"/>
      <c r="CA14" s="395"/>
      <c r="CB14" s="395"/>
      <c r="CC14" s="395"/>
      <c r="CD14" s="395"/>
      <c r="CE14" s="395"/>
      <c r="CF14" s="395"/>
      <c r="CG14" s="395"/>
      <c r="CH14" s="395"/>
      <c r="CI14" s="395"/>
      <c r="CJ14" s="395"/>
      <c r="CK14" s="395"/>
      <c r="CL14" s="395"/>
      <c r="CM14" s="395"/>
      <c r="CN14" s="395"/>
      <c r="CO14" s="395"/>
      <c r="CP14" s="395"/>
      <c r="CQ14" s="395"/>
      <c r="CR14" s="395"/>
      <c r="CS14" s="395"/>
      <c r="CT14" s="395"/>
      <c r="CU14" s="395"/>
      <c r="CV14" s="395"/>
      <c r="CW14" s="395"/>
      <c r="CX14" s="395"/>
      <c r="CY14" s="395"/>
      <c r="CZ14" s="395"/>
      <c r="DA14" s="395"/>
      <c r="DB14" s="395"/>
      <c r="DC14" s="395"/>
      <c r="DD14" s="395"/>
      <c r="DE14" s="395"/>
      <c r="DF14" s="395"/>
      <c r="DG14" s="395"/>
      <c r="DH14" s="395"/>
      <c r="DI14" s="395"/>
      <c r="DJ14" s="395"/>
      <c r="DK14" s="395"/>
      <c r="DL14" s="395"/>
      <c r="DM14" s="395"/>
      <c r="DN14" s="395"/>
      <c r="DO14" s="395"/>
      <c r="DP14" s="395"/>
      <c r="DQ14" s="395"/>
      <c r="DR14" s="395"/>
      <c r="DS14" s="395"/>
      <c r="DT14" s="395"/>
      <c r="DU14" s="395"/>
      <c r="DV14" s="395"/>
      <c r="DW14" s="395"/>
      <c r="DX14" s="395"/>
      <c r="DY14" s="395"/>
      <c r="DZ14" s="395"/>
      <c r="EA14" s="395"/>
      <c r="EB14" s="395"/>
      <c r="EC14" s="395"/>
      <c r="ED14" s="395"/>
      <c r="EE14" s="395"/>
      <c r="EF14" s="395"/>
      <c r="EG14" s="395"/>
      <c r="EH14" s="395"/>
      <c r="EI14" s="395"/>
      <c r="EJ14" s="395"/>
      <c r="EK14" s="395"/>
      <c r="EL14" s="395"/>
      <c r="EM14" s="395"/>
      <c r="EN14" s="395"/>
      <c r="EO14" s="395"/>
      <c r="EP14" s="395"/>
      <c r="EQ14" s="395"/>
      <c r="ER14" s="395"/>
      <c r="ES14" s="395"/>
      <c r="ET14" s="395"/>
      <c r="EU14" s="395"/>
      <c r="EV14" s="395"/>
      <c r="EW14" s="395"/>
      <c r="EX14" s="395"/>
      <c r="EY14" s="138"/>
      <c r="EZ14" s="138"/>
      <c r="FA14" s="138"/>
      <c r="FB14" s="138"/>
      <c r="FC14" s="138"/>
      <c r="FD14" s="138"/>
      <c r="FE14" s="138"/>
      <c r="FF14" s="138"/>
      <c r="FG14" s="138"/>
      <c r="FH14" s="138"/>
      <c r="FI14" s="138"/>
      <c r="FJ14" s="138"/>
      <c r="FK14" s="138"/>
      <c r="FL14" s="138"/>
      <c r="FM14" s="138"/>
      <c r="FN14" s="138"/>
      <c r="FO14" s="138"/>
      <c r="FP14" s="138"/>
      <c r="FQ14" s="138"/>
      <c r="FR14" s="138"/>
      <c r="FS14" s="138"/>
      <c r="FT14" s="138"/>
      <c r="FU14" s="138"/>
      <c r="FV14" s="138"/>
      <c r="FW14" s="138"/>
      <c r="FX14" s="138"/>
      <c r="FY14" s="138"/>
      <c r="FZ14" s="138"/>
      <c r="GA14" s="138"/>
      <c r="GB14" s="138"/>
      <c r="GC14" s="138"/>
      <c r="GD14" s="138"/>
      <c r="GE14" s="138"/>
      <c r="GF14" s="138"/>
      <c r="GG14" s="138"/>
      <c r="GH14" s="138"/>
      <c r="GI14" s="138"/>
      <c r="GJ14" s="138"/>
      <c r="GK14" s="138"/>
      <c r="GL14" s="138"/>
      <c r="GM14" s="138"/>
      <c r="GN14" s="138"/>
      <c r="GO14" s="138"/>
      <c r="GP14" s="138"/>
      <c r="GQ14" s="138"/>
      <c r="GR14" s="138"/>
      <c r="GS14" s="138"/>
      <c r="GT14" s="138"/>
      <c r="GU14" s="138"/>
      <c r="GV14" s="138"/>
      <c r="GW14" s="138"/>
      <c r="GX14" s="138"/>
      <c r="GY14" s="138"/>
      <c r="GZ14" s="138"/>
      <c r="HA14" s="138"/>
      <c r="HB14" s="138"/>
      <c r="HC14" s="138"/>
      <c r="HD14" s="138"/>
      <c r="HE14" s="138"/>
      <c r="HF14" s="138"/>
      <c r="HG14" s="138"/>
      <c r="HH14" s="138"/>
      <c r="HI14" s="138"/>
      <c r="HJ14" s="138"/>
      <c r="HK14" s="138"/>
      <c r="HL14" s="138"/>
      <c r="HM14" s="138"/>
      <c r="HN14" s="138"/>
      <c r="HO14" s="138"/>
      <c r="HP14" s="138"/>
      <c r="HQ14" s="138"/>
      <c r="HR14" s="138"/>
      <c r="HS14" s="138"/>
      <c r="HT14" s="138"/>
      <c r="HU14" s="138"/>
      <c r="HV14" s="138"/>
      <c r="HW14" s="138"/>
      <c r="HX14" s="138"/>
      <c r="HY14" s="138"/>
      <c r="HZ14" s="138"/>
      <c r="IA14" s="138"/>
      <c r="IB14" s="138"/>
      <c r="IC14" s="138"/>
      <c r="ID14" s="138"/>
      <c r="IE14" s="138"/>
      <c r="IF14" s="138"/>
      <c r="IG14" s="138"/>
      <c r="IH14" s="138"/>
      <c r="II14" s="138"/>
      <c r="IJ14" s="138"/>
      <c r="IK14" s="138"/>
      <c r="IL14" s="138"/>
      <c r="IM14" s="138"/>
      <c r="IN14" s="138"/>
      <c r="IO14" s="138"/>
    </row>
    <row r="15" spans="2:250" ht="11.25" customHeight="1">
      <c r="B15" s="149"/>
      <c r="C15" s="150"/>
      <c r="D15" s="150"/>
      <c r="E15" s="150"/>
      <c r="F15" s="150"/>
      <c r="G15" s="150"/>
      <c r="H15" s="150"/>
      <c r="I15" s="151"/>
      <c r="J15" s="353">
        <f t="shared" si="1"/>
        <v>6.9620000000000001E-5</v>
      </c>
      <c r="K15" s="321"/>
      <c r="L15" s="321"/>
      <c r="M15" s="321"/>
      <c r="N15" s="321"/>
      <c r="O15" s="164"/>
      <c r="V15" s="138"/>
      <c r="Z15" s="354"/>
      <c r="AA15" s="354"/>
      <c r="AB15" s="353">
        <f t="shared" si="2"/>
        <v>6.9620000000000001E-5</v>
      </c>
      <c r="AC15" s="354"/>
      <c r="AD15" s="354"/>
      <c r="AE15" s="354"/>
      <c r="AF15" s="354"/>
      <c r="AG15" s="354"/>
      <c r="AH15" s="354"/>
      <c r="AI15" s="354"/>
      <c r="AJ15" s="354"/>
      <c r="AK15" s="354"/>
      <c r="AL15" s="354"/>
      <c r="AM15" s="354"/>
      <c r="AN15" s="354"/>
      <c r="AO15" s="354"/>
      <c r="AP15" s="355">
        <v>3</v>
      </c>
      <c r="AQ15" s="136">
        <f t="shared" si="3"/>
        <v>145</v>
      </c>
      <c r="AR15" s="136">
        <f t="shared" si="5"/>
        <v>3</v>
      </c>
      <c r="AS15" s="136">
        <f t="shared" si="7"/>
        <v>0.43</v>
      </c>
      <c r="AT15" s="138">
        <f t="shared" si="6"/>
        <v>145</v>
      </c>
      <c r="AU15" s="393" t="s">
        <v>1016</v>
      </c>
      <c r="AV15" s="299">
        <v>2</v>
      </c>
      <c r="AW15" s="370"/>
      <c r="AX15" s="396">
        <f>IF($AV$15=2,-AS4,NA())</f>
        <v>-1.96</v>
      </c>
      <c r="AY15" s="396">
        <v>0</v>
      </c>
      <c r="AZ15" s="386">
        <f t="shared" si="4"/>
        <v>2</v>
      </c>
      <c r="BA15" s="164">
        <v>0</v>
      </c>
      <c r="BB15" s="363">
        <v>2</v>
      </c>
      <c r="BC15" s="356" t="s">
        <v>1017</v>
      </c>
      <c r="BD15" s="397">
        <f>ROUND(BD14,4)</f>
        <v>0.05</v>
      </c>
      <c r="BE15" s="355">
        <f>IF(BD15&gt;0,NORMINV(1-BD15,AV17,AV18),"")</f>
        <v>1.6448536269514724</v>
      </c>
      <c r="BF15" s="136">
        <f>IF(BD15&gt;0,NORMINV(1-BD15/2,AV17,AV18),"")</f>
        <v>1.959963984540054</v>
      </c>
      <c r="BG15" s="136">
        <f>IF(BD15&lt;=0.5,TINV(2*BD15,AV14),-TINV(2*(1-BD15),AV14))</f>
        <v>2.919985580097558</v>
      </c>
      <c r="BH15" s="138">
        <f>TINV(BD15,AV14)</f>
        <v>4.3026527295445423</v>
      </c>
      <c r="BI15" s="138">
        <f>IF(AV15=1,IF(AV13=1,BE15,BG15),IF(AV13=1,BF15,BH15))</f>
        <v>1.959963984540054</v>
      </c>
      <c r="BJ15" s="138"/>
      <c r="BK15" s="138"/>
      <c r="BL15" s="138"/>
      <c r="BM15" s="138"/>
      <c r="BN15" s="138"/>
      <c r="BO15" s="138"/>
      <c r="BP15" s="138"/>
      <c r="BQ15" s="138"/>
      <c r="BR15" s="138"/>
      <c r="BS15" s="138"/>
      <c r="BT15" s="138"/>
      <c r="BU15" s="138"/>
      <c r="BV15" s="138"/>
      <c r="BW15" s="138"/>
      <c r="BX15" s="138"/>
      <c r="BY15" s="138"/>
      <c r="BZ15" s="138"/>
      <c r="CA15" s="138"/>
      <c r="CB15" s="138"/>
      <c r="CC15" s="138"/>
      <c r="CD15" s="138"/>
      <c r="CE15" s="138"/>
      <c r="CF15" s="138"/>
      <c r="CG15" s="138"/>
      <c r="CH15" s="138"/>
      <c r="CI15" s="138"/>
      <c r="CJ15" s="138"/>
      <c r="CK15" s="138"/>
      <c r="CL15" s="138"/>
      <c r="CM15" s="138"/>
      <c r="CN15" s="138"/>
      <c r="CO15" s="138"/>
      <c r="CP15" s="138"/>
      <c r="CQ15" s="138"/>
      <c r="CR15" s="138"/>
      <c r="CS15" s="138"/>
      <c r="CT15" s="138"/>
      <c r="CU15" s="138"/>
      <c r="CV15" s="138"/>
      <c r="CW15" s="138"/>
      <c r="CX15" s="138"/>
      <c r="CY15" s="138"/>
      <c r="CZ15" s="138"/>
      <c r="DA15" s="138"/>
      <c r="DB15" s="138"/>
      <c r="DC15" s="138"/>
      <c r="DD15" s="138"/>
      <c r="DE15" s="138"/>
      <c r="DF15" s="138"/>
      <c r="DG15" s="138"/>
      <c r="DH15" s="138"/>
      <c r="DI15" s="138"/>
      <c r="DJ15" s="138"/>
      <c r="DK15" s="138"/>
      <c r="DL15" s="138"/>
      <c r="DM15" s="138"/>
      <c r="DN15" s="138"/>
      <c r="DO15" s="138"/>
      <c r="DP15" s="138"/>
      <c r="DQ15" s="138"/>
      <c r="DR15" s="138"/>
      <c r="DS15" s="138"/>
      <c r="DT15" s="138"/>
      <c r="DU15" s="138"/>
      <c r="DV15" s="138"/>
      <c r="DW15" s="138"/>
      <c r="DX15" s="138"/>
      <c r="DY15" s="138"/>
      <c r="DZ15" s="138"/>
      <c r="EA15" s="138"/>
      <c r="EB15" s="138"/>
      <c r="EC15" s="138"/>
      <c r="ED15" s="138"/>
      <c r="EE15" s="138"/>
      <c r="EF15" s="138"/>
      <c r="EG15" s="138"/>
      <c r="EH15" s="138"/>
      <c r="EI15" s="138"/>
      <c r="EJ15" s="138"/>
      <c r="EK15" s="138"/>
      <c r="EL15" s="138"/>
      <c r="EM15" s="138"/>
      <c r="EN15" s="138"/>
      <c r="EO15" s="138"/>
      <c r="EP15" s="138"/>
      <c r="EQ15" s="138"/>
      <c r="ER15" s="138"/>
      <c r="ES15" s="138"/>
      <c r="ET15" s="138"/>
      <c r="EU15" s="138"/>
      <c r="EV15" s="138"/>
      <c r="EW15" s="138"/>
      <c r="EX15" s="138"/>
      <c r="EY15" s="138"/>
      <c r="EZ15" s="138"/>
      <c r="FA15" s="138"/>
      <c r="FB15" s="138"/>
      <c r="FC15" s="138"/>
      <c r="FD15" s="138"/>
      <c r="FE15" s="138"/>
      <c r="FF15" s="138"/>
      <c r="FG15" s="138"/>
      <c r="FH15" s="138"/>
      <c r="FI15" s="138"/>
      <c r="FJ15" s="138"/>
      <c r="FK15" s="138"/>
      <c r="FL15" s="138"/>
      <c r="FM15" s="138"/>
      <c r="FN15" s="138"/>
      <c r="FO15" s="138"/>
      <c r="FP15" s="138"/>
      <c r="FQ15" s="138"/>
      <c r="FR15" s="138"/>
      <c r="FS15" s="138"/>
      <c r="FT15" s="138"/>
      <c r="FU15" s="138"/>
      <c r="FV15" s="138"/>
      <c r="FW15" s="138"/>
      <c r="FX15" s="138"/>
      <c r="FY15" s="138"/>
      <c r="FZ15" s="138"/>
      <c r="GA15" s="138"/>
      <c r="GB15" s="138"/>
      <c r="GC15" s="138"/>
      <c r="GD15" s="138"/>
      <c r="GE15" s="138"/>
      <c r="GF15" s="138"/>
      <c r="GG15" s="138"/>
      <c r="GH15" s="138"/>
      <c r="GI15" s="138"/>
      <c r="GJ15" s="138"/>
      <c r="GK15" s="138"/>
      <c r="GL15" s="138"/>
      <c r="GM15" s="138"/>
      <c r="GN15" s="138"/>
      <c r="GO15" s="138"/>
      <c r="GP15" s="138"/>
      <c r="GQ15" s="138"/>
      <c r="GR15" s="138"/>
      <c r="GS15" s="138"/>
      <c r="GT15" s="138"/>
      <c r="GU15" s="138"/>
      <c r="GV15" s="138"/>
      <c r="GW15" s="138"/>
      <c r="GX15" s="138"/>
      <c r="GY15" s="138"/>
      <c r="GZ15" s="138"/>
      <c r="HA15" s="138"/>
      <c r="HB15" s="138"/>
      <c r="HC15" s="138"/>
      <c r="HD15" s="138"/>
      <c r="HE15" s="138"/>
      <c r="HF15" s="138"/>
      <c r="HG15" s="138"/>
      <c r="HH15" s="138"/>
      <c r="HI15" s="138"/>
      <c r="HJ15" s="138"/>
      <c r="HK15" s="138"/>
      <c r="HL15" s="138"/>
      <c r="HM15" s="138"/>
      <c r="HN15" s="138"/>
      <c r="HO15" s="138"/>
      <c r="HP15" s="138"/>
      <c r="HQ15" s="138"/>
      <c r="HR15" s="138"/>
      <c r="HS15" s="138"/>
      <c r="HT15" s="138"/>
      <c r="HU15" s="138"/>
      <c r="HV15" s="138"/>
      <c r="HW15" s="138"/>
      <c r="HX15" s="138"/>
      <c r="HY15" s="138"/>
      <c r="HZ15" s="138"/>
      <c r="IA15" s="138"/>
      <c r="IB15" s="138"/>
      <c r="IC15" s="138"/>
      <c r="ID15" s="138"/>
      <c r="IE15" s="138"/>
      <c r="IF15" s="138"/>
      <c r="IG15" s="138"/>
      <c r="IH15" s="138"/>
      <c r="II15" s="138"/>
      <c r="IJ15" s="138"/>
      <c r="IK15" s="138"/>
      <c r="IL15" s="138"/>
      <c r="IM15" s="138"/>
      <c r="IN15" s="138"/>
      <c r="IO15" s="138"/>
      <c r="IP15" s="138"/>
    </row>
    <row r="16" spans="2:250" ht="11.25" customHeight="1">
      <c r="B16" s="442">
        <v>3</v>
      </c>
      <c r="C16" s="167" t="s">
        <v>113</v>
      </c>
      <c r="D16" s="140"/>
      <c r="E16" s="140"/>
      <c r="F16" s="140"/>
      <c r="G16" s="141"/>
      <c r="H16" s="141"/>
      <c r="I16" s="142"/>
      <c r="J16" s="353">
        <f t="shared" si="1"/>
        <v>6.9620000000000001E-5</v>
      </c>
      <c r="K16" s="321"/>
      <c r="L16" s="321"/>
      <c r="M16" s="321"/>
      <c r="N16" s="321"/>
      <c r="O16" s="367"/>
      <c r="V16" s="138"/>
      <c r="Z16" s="354"/>
      <c r="AA16" s="354"/>
      <c r="AB16" s="353">
        <f t="shared" si="2"/>
        <v>6.9620000000000001E-5</v>
      </c>
      <c r="AC16" s="354"/>
      <c r="AM16" s="354"/>
      <c r="AN16" s="354"/>
      <c r="AO16" s="354"/>
      <c r="AP16" s="398">
        <v>4</v>
      </c>
      <c r="AQ16" s="136">
        <f t="shared" si="3"/>
        <v>160</v>
      </c>
      <c r="AR16" s="136">
        <f t="shared" si="5"/>
        <v>4</v>
      </c>
      <c r="AS16" s="136">
        <f t="shared" si="7"/>
        <v>0.43</v>
      </c>
      <c r="AT16" s="138">
        <f t="shared" si="6"/>
        <v>160</v>
      </c>
      <c r="AU16" s="399" t="s">
        <v>1019</v>
      </c>
      <c r="AV16" s="269">
        <v>6960</v>
      </c>
      <c r="AW16" s="400" t="s">
        <v>1195</v>
      </c>
      <c r="AX16" s="401">
        <f>IF(AY6,AV17,NA())</f>
        <v>0</v>
      </c>
      <c r="AY16" s="401">
        <v>0</v>
      </c>
      <c r="AZ16" s="386">
        <f t="shared" si="4"/>
        <v>3</v>
      </c>
      <c r="BA16" s="164">
        <v>0</v>
      </c>
      <c r="BB16" s="363">
        <v>3</v>
      </c>
      <c r="BD16" s="368" t="s">
        <v>1023</v>
      </c>
      <c r="BF16" s="321"/>
      <c r="BG16" s="321"/>
    </row>
    <row r="17" spans="2:59" ht="11.25" customHeight="1">
      <c r="B17" s="143"/>
      <c r="C17" s="144"/>
      <c r="D17" s="144" t="s">
        <v>114</v>
      </c>
      <c r="E17" s="144"/>
      <c r="F17" s="144"/>
      <c r="G17" s="144"/>
      <c r="H17" s="144"/>
      <c r="I17" s="145"/>
      <c r="J17" s="353">
        <f t="shared" si="1"/>
        <v>6.9620000000000001E-5</v>
      </c>
      <c r="K17" s="321"/>
      <c r="L17" s="321"/>
      <c r="M17" s="321"/>
      <c r="N17" s="321"/>
      <c r="O17" s="367"/>
      <c r="V17" s="138"/>
      <c r="Z17" s="354"/>
      <c r="AA17" s="354"/>
      <c r="AB17" s="353">
        <f t="shared" si="2"/>
        <v>6.9620000000000001E-5</v>
      </c>
      <c r="AC17" s="354"/>
      <c r="AD17" s="354"/>
      <c r="AE17" s="354"/>
      <c r="AF17" s="354"/>
      <c r="AG17" s="354"/>
      <c r="AH17" s="354"/>
      <c r="AI17" s="354"/>
      <c r="AJ17" s="354"/>
      <c r="AK17" s="354"/>
      <c r="AL17" s="354"/>
      <c r="AM17" s="354"/>
      <c r="AN17" s="354"/>
      <c r="AO17" s="354"/>
      <c r="AP17" s="398">
        <v>5</v>
      </c>
      <c r="AQ17" s="136">
        <f t="shared" si="3"/>
        <v>175</v>
      </c>
      <c r="AR17" s="136">
        <f t="shared" si="5"/>
        <v>5</v>
      </c>
      <c r="AS17" s="136">
        <f t="shared" si="7"/>
        <v>0.43</v>
      </c>
      <c r="AT17" s="138">
        <f t="shared" si="6"/>
        <v>175</v>
      </c>
      <c r="AU17" s="94" t="s">
        <v>1021</v>
      </c>
      <c r="AV17" s="402">
        <v>0</v>
      </c>
      <c r="AX17" s="400" t="s">
        <v>1022</v>
      </c>
      <c r="AY17" s="401">
        <v>0.39894228040143265</v>
      </c>
      <c r="AZ17" s="386">
        <f t="shared" si="4"/>
        <v>4</v>
      </c>
      <c r="BA17" s="164">
        <v>0</v>
      </c>
      <c r="BB17" s="363">
        <v>4</v>
      </c>
      <c r="BD17" s="136">
        <v>4.0000000000000001E-3</v>
      </c>
      <c r="BF17" s="368" t="s">
        <v>1023</v>
      </c>
    </row>
    <row r="18" spans="2:59" ht="11.25" customHeight="1">
      <c r="B18" s="143"/>
      <c r="C18" s="144"/>
      <c r="D18" s="144"/>
      <c r="E18" s="144"/>
      <c r="F18" s="169"/>
      <c r="G18" s="444" t="s">
        <v>1197</v>
      </c>
      <c r="H18" s="144"/>
      <c r="I18" s="145"/>
      <c r="J18" s="353">
        <f t="shared" si="1"/>
        <v>6.9620000000000001E-5</v>
      </c>
      <c r="K18" s="321"/>
      <c r="L18" s="321"/>
      <c r="M18" s="321"/>
      <c r="N18" s="321"/>
      <c r="V18" s="138"/>
      <c r="Z18" s="354"/>
      <c r="AA18" s="403"/>
      <c r="AB18" s="353">
        <f t="shared" si="2"/>
        <v>6.9620000000000001E-5</v>
      </c>
      <c r="AC18" s="354"/>
      <c r="AD18" s="354"/>
      <c r="AE18" s="354"/>
      <c r="AF18" s="354"/>
      <c r="AG18" s="354"/>
      <c r="AH18" s="354"/>
      <c r="AI18" s="354"/>
      <c r="AJ18" s="354"/>
      <c r="AK18" s="354"/>
      <c r="AL18" s="354"/>
      <c r="AM18" s="354"/>
      <c r="AN18" s="354"/>
      <c r="AO18" s="354"/>
      <c r="AP18" s="369"/>
      <c r="AQ18" s="356" t="s">
        <v>110</v>
      </c>
      <c r="AR18" s="136" t="str">
        <f>IF(AR4,"X","")</f>
        <v>X</v>
      </c>
      <c r="AU18" s="94" t="s">
        <v>1024</v>
      </c>
      <c r="AV18" s="404">
        <v>1</v>
      </c>
      <c r="AX18" s="367"/>
      <c r="AY18" s="405" t="s">
        <v>1025</v>
      </c>
      <c r="AZ18" s="386">
        <f t="shared" si="4"/>
        <v>5</v>
      </c>
      <c r="BA18" s="164">
        <v>0</v>
      </c>
      <c r="BB18" s="363">
        <v>5</v>
      </c>
      <c r="BD18" s="136">
        <f>AS4+BD17</f>
        <v>1.964</v>
      </c>
      <c r="BE18" s="368" t="s">
        <v>1026</v>
      </c>
      <c r="BF18" s="136">
        <v>4.0000000000000001E-3</v>
      </c>
      <c r="BG18" s="368" t="s">
        <v>1026</v>
      </c>
    </row>
    <row r="19" spans="2:59" ht="11.25" customHeight="1">
      <c r="B19" s="143"/>
      <c r="C19" s="144"/>
      <c r="D19" s="428" t="s">
        <v>866</v>
      </c>
      <c r="E19" s="161">
        <v>100</v>
      </c>
      <c r="F19" s="1126" t="s">
        <v>107</v>
      </c>
      <c r="G19" s="1127"/>
      <c r="H19" s="144"/>
      <c r="I19" s="145"/>
      <c r="J19" s="353">
        <f t="shared" si="1"/>
        <v>6.9620000000000001E-5</v>
      </c>
      <c r="K19" s="321"/>
      <c r="L19" s="321"/>
      <c r="M19" s="321"/>
      <c r="N19" s="321"/>
      <c r="V19" s="138"/>
      <c r="Z19" s="354"/>
      <c r="AA19" s="403"/>
      <c r="AB19" s="353">
        <f t="shared" si="2"/>
        <v>6.9620000000000001E-5</v>
      </c>
      <c r="AC19" s="354"/>
      <c r="AD19" s="354"/>
      <c r="AE19" s="354"/>
      <c r="AF19" s="354"/>
      <c r="AG19" s="354"/>
      <c r="AH19" s="354"/>
      <c r="AI19" s="354"/>
      <c r="AJ19" s="354"/>
      <c r="AK19" s="354"/>
      <c r="AL19" s="354"/>
      <c r="AM19" s="354"/>
      <c r="AN19" s="354"/>
      <c r="AO19" s="354"/>
      <c r="AP19" s="369"/>
      <c r="AR19" s="136" t="str">
        <f>IF(AR4,IF(F19="","",F19),"")</f>
        <v>IQ points</v>
      </c>
      <c r="AU19" s="400" t="s">
        <v>1028</v>
      </c>
      <c r="AV19" s="406">
        <v>0.43</v>
      </c>
      <c r="AW19" s="407" t="s">
        <v>1029</v>
      </c>
      <c r="AX19" s="408">
        <v>0.45</v>
      </c>
      <c r="AY19" s="362">
        <v>1.0000000000000001E-5</v>
      </c>
      <c r="AZ19" s="409">
        <f t="shared" si="4"/>
        <v>6</v>
      </c>
      <c r="BA19" s="396">
        <v>0</v>
      </c>
      <c r="BB19" s="371">
        <v>6</v>
      </c>
      <c r="BD19" s="136">
        <f>AS5+BD17</f>
        <v>1.964</v>
      </c>
      <c r="BE19" s="136">
        <v>1E-3</v>
      </c>
      <c r="BF19" s="136">
        <f>AS5+BF18</f>
        <v>1.964</v>
      </c>
      <c r="BG19" s="136">
        <v>1E-3</v>
      </c>
    </row>
    <row r="20" spans="2:59" ht="11.25" customHeight="1" thickBot="1">
      <c r="B20" s="143"/>
      <c r="C20" s="144"/>
      <c r="D20" s="144"/>
      <c r="E20" s="144"/>
      <c r="F20" s="144"/>
      <c r="G20" s="429"/>
      <c r="H20" s="144"/>
      <c r="I20" s="145"/>
      <c r="J20" s="353">
        <f t="shared" si="1"/>
        <v>6.9620000000000001E-5</v>
      </c>
      <c r="K20" s="321"/>
      <c r="L20" s="321"/>
      <c r="M20" s="321"/>
      <c r="N20" s="321"/>
      <c r="V20" s="138"/>
      <c r="Z20" s="354"/>
      <c r="AA20" s="354"/>
      <c r="AB20" s="353">
        <f t="shared" si="2"/>
        <v>6.9620000000000001E-5</v>
      </c>
      <c r="AC20" s="354"/>
      <c r="AD20" s="354"/>
      <c r="AE20" s="354"/>
      <c r="AF20" s="354"/>
      <c r="AG20" s="354"/>
      <c r="AH20" s="354"/>
      <c r="AI20" s="354"/>
      <c r="AJ20" s="354"/>
      <c r="AK20" s="354"/>
      <c r="AL20" s="354"/>
      <c r="AM20" s="354"/>
      <c r="AN20" s="354"/>
      <c r="AO20" s="354"/>
      <c r="AQ20" s="369">
        <v>-5</v>
      </c>
      <c r="AR20" s="136">
        <f t="shared" ref="AR20:AR51" si="8">IF($AR$4,AQ20,NA())</f>
        <v>-5</v>
      </c>
      <c r="AS20" s="136">
        <f>AS7</f>
        <v>0.43</v>
      </c>
      <c r="AU20" s="410" t="s">
        <v>1030</v>
      </c>
      <c r="AV20" s="411" t="s">
        <v>639</v>
      </c>
      <c r="AW20" s="412" t="s">
        <v>977</v>
      </c>
      <c r="AX20" s="412" t="s">
        <v>1031</v>
      </c>
      <c r="AY20" s="413" t="s">
        <v>1032</v>
      </c>
      <c r="AZ20" s="414" t="s">
        <v>1033</v>
      </c>
      <c r="BA20" s="414" t="s">
        <v>985</v>
      </c>
      <c r="BB20" s="414" t="s">
        <v>986</v>
      </c>
      <c r="BC20" s="414" t="s">
        <v>987</v>
      </c>
      <c r="BD20" s="415" t="s">
        <v>1034</v>
      </c>
      <c r="BE20" s="415" t="s">
        <v>1035</v>
      </c>
      <c r="BF20" s="416" t="s">
        <v>1036</v>
      </c>
      <c r="BG20" s="416" t="s">
        <v>1037</v>
      </c>
    </row>
    <row r="21" spans="2:59" ht="11.25" customHeight="1">
      <c r="B21" s="143"/>
      <c r="C21" s="144"/>
      <c r="D21" s="428" t="s">
        <v>118</v>
      </c>
      <c r="E21" s="161">
        <v>15</v>
      </c>
      <c r="F21" s="144"/>
      <c r="G21" s="429"/>
      <c r="H21" s="144"/>
      <c r="I21" s="145"/>
      <c r="J21" s="353">
        <f t="shared" si="1"/>
        <v>6.9620000000000001E-5</v>
      </c>
      <c r="K21" s="321"/>
      <c r="L21" s="321"/>
      <c r="M21" s="321"/>
      <c r="N21" s="321"/>
      <c r="V21" s="138"/>
      <c r="Z21" s="354"/>
      <c r="AA21" s="354"/>
      <c r="AB21" s="353">
        <f t="shared" si="2"/>
        <v>6.9620000000000001E-5</v>
      </c>
      <c r="AC21" s="354"/>
      <c r="AD21" s="354"/>
      <c r="AE21" s="354"/>
      <c r="AF21" s="354"/>
      <c r="AG21" s="354"/>
      <c r="AH21" s="354"/>
      <c r="AI21" s="354"/>
      <c r="AJ21" s="354"/>
      <c r="AK21" s="354"/>
      <c r="AL21" s="354"/>
      <c r="AM21" s="354"/>
      <c r="AN21" s="354"/>
      <c r="AO21" s="354"/>
      <c r="AQ21" s="369">
        <v>-4.8</v>
      </c>
      <c r="AR21" s="136">
        <f t="shared" si="8"/>
        <v>-4.8</v>
      </c>
      <c r="AS21" s="136">
        <f>AS20</f>
        <v>0.43</v>
      </c>
      <c r="AU21" s="136">
        <f t="shared" ref="AU21:AU84" si="9">NORMDIST(AV21,$AV$17,$AV$18,TRUE)</f>
        <v>9.8658764503751384E-10</v>
      </c>
      <c r="AV21" s="136">
        <f>-AY9</f>
        <v>-6</v>
      </c>
      <c r="AW21" s="136">
        <f t="shared" ref="AW21:AW84" si="10">IF($AV$13=1,NORMDIST(AV21,$AV$17,$AV$18,FALSE),NA())</f>
        <v>6.0758828498232853E-9</v>
      </c>
      <c r="AX21" s="136" t="e">
        <f t="shared" ref="AX21:AX84" si="11">IF($AV$13=3,NORMDIST(AV21,$AV$17,$AV$18,FALSE),NA())</f>
        <v>#N/A</v>
      </c>
      <c r="AY21" s="136">
        <f t="shared" ref="AY21:AY84" si="12">AV21-$AY$19</f>
        <v>-6.0000099999999996</v>
      </c>
      <c r="AZ21" s="136">
        <f t="shared" ref="AZ21:AZ84" si="13">AV21+$AY$19</f>
        <v>-5.9999900000000004</v>
      </c>
      <c r="BA21" s="136">
        <f t="shared" ref="BA21:BA84" si="14">IF(AY21&lt;0,TDIST(-AY21,$AV$14,1),1-TDIST(AY21,$AV$14,1))</f>
        <v>1.3335693916709386E-2</v>
      </c>
      <c r="BB21" s="136">
        <f t="shared" ref="BB21:BB84" si="15">IF(AZ21&lt;0,TDIST(-AZ21,$AV$14,1),1-TDIST(AZ21,$AV$14,1))</f>
        <v>1.3335779296404702E-2</v>
      </c>
      <c r="BC21" s="136" t="e">
        <f t="shared" ref="BC21:BC84" si="16">IF($AV$13&gt;1,(BB21-BA21)/(2*$AY$19),NA())</f>
        <v>#N/A</v>
      </c>
      <c r="BD21" s="136">
        <f>IF($AV$15=1,IF(OR(AND(AV21&gt;=$BD$19,$AS$5&gt;=0),AND(AV21&lt;=$BD$19,$AS$5&lt;0)),AW21,NA()),IF($AV$15=2,IF(ABS(AV21)&gt;=$BD$18,AW21,NA()),NA()))</f>
        <v>6.0758828498232853E-9</v>
      </c>
      <c r="BE21" s="136">
        <f t="shared" ref="BE21:BE84" si="17">IF(ISNUMBER(BD21),BD21-$BE$19,NA())</f>
        <v>-9.9999392411715023E-4</v>
      </c>
      <c r="BF21" s="136" t="e">
        <f t="shared" ref="BF21:BF84" si="18">IF($AV$15=1,IF(AV21&gt;=$BF$19,BC21,NA()),IF($AV$15=2,IF(ABS(AV21)&gt;=$BF$19,BC21,NA()),NA()))</f>
        <v>#N/A</v>
      </c>
      <c r="BG21" s="136" t="e">
        <f t="shared" ref="BG21:BG84" si="19">IF(ISNUMBER(BF21),BF21-$BG$19,NA())</f>
        <v>#N/A</v>
      </c>
    </row>
    <row r="22" spans="2:59" ht="11.25" customHeight="1">
      <c r="B22" s="430"/>
      <c r="C22" s="431"/>
      <c r="D22" s="431"/>
      <c r="E22" s="431"/>
      <c r="F22" s="431"/>
      <c r="G22" s="461"/>
      <c r="H22" s="431"/>
      <c r="I22" s="432"/>
      <c r="J22" s="353">
        <f t="shared" si="1"/>
        <v>6.9620000000000001E-5</v>
      </c>
      <c r="K22" s="321"/>
      <c r="L22" s="321"/>
      <c r="M22" s="321"/>
      <c r="N22" s="321"/>
      <c r="O22" s="164"/>
      <c r="V22" s="138"/>
      <c r="Z22" s="354"/>
      <c r="AA22" s="354"/>
      <c r="AB22" s="353">
        <f t="shared" si="2"/>
        <v>6.9620000000000001E-5</v>
      </c>
      <c r="AC22" s="354"/>
      <c r="AD22" s="354"/>
      <c r="AE22" s="354"/>
      <c r="AF22" s="354"/>
      <c r="AG22" s="354"/>
      <c r="AH22" s="354"/>
      <c r="AI22" s="354"/>
      <c r="AJ22" s="354"/>
      <c r="AK22" s="354"/>
      <c r="AL22" s="354"/>
      <c r="AM22" s="354"/>
      <c r="AN22" s="354"/>
      <c r="AO22" s="354"/>
      <c r="AQ22" s="369">
        <v>-4.5999999999999996</v>
      </c>
      <c r="AR22" s="136">
        <f t="shared" si="8"/>
        <v>-4.5999999999999996</v>
      </c>
      <c r="AS22" s="136">
        <f t="shared" ref="AS22:AS70" si="20">AS21</f>
        <v>0.43</v>
      </c>
      <c r="AU22" s="136">
        <f t="shared" si="9"/>
        <v>1.0492051878329494E-9</v>
      </c>
      <c r="AV22" s="136">
        <f t="shared" ref="AV22:AV85" si="21">AV21+$AY$10</f>
        <v>-5.99</v>
      </c>
      <c r="AW22" s="136">
        <f t="shared" si="10"/>
        <v>6.4512718908117505E-9</v>
      </c>
      <c r="AX22" s="136" t="e">
        <f t="shared" si="11"/>
        <v>#N/A</v>
      </c>
      <c r="AY22" s="136">
        <f t="shared" si="12"/>
        <v>-5.9900099999999998</v>
      </c>
      <c r="AZ22" s="136">
        <f t="shared" si="13"/>
        <v>-5.9899900000000006</v>
      </c>
      <c r="BA22" s="136">
        <f t="shared" si="14"/>
        <v>1.3378484879362855E-2</v>
      </c>
      <c r="BB22" s="136">
        <f t="shared" si="15"/>
        <v>1.3378570664750946E-2</v>
      </c>
      <c r="BC22" s="136" t="e">
        <f t="shared" si="16"/>
        <v>#N/A</v>
      </c>
      <c r="BD22" s="136">
        <f t="shared" ref="BD22:BD85" si="22">IF($AV$15=1,IF(OR(AND(AV22&gt;=$BD$19,$AS$5&gt;=0),AND(AV22&lt;=$BD$19,$AS$5&lt;0)),AW22,NA()),IF($AV$15=2,IF(ABS(AV22)&gt;=$BD$18,AW22,NA()),NA()))</f>
        <v>6.4512718908117505E-9</v>
      </c>
      <c r="BE22" s="136">
        <f t="shared" si="17"/>
        <v>-9.9999354872810919E-4</v>
      </c>
      <c r="BF22" s="136" t="e">
        <f t="shared" si="18"/>
        <v>#N/A</v>
      </c>
      <c r="BG22" s="136" t="e">
        <f t="shared" si="19"/>
        <v>#N/A</v>
      </c>
    </row>
    <row r="23" spans="2:59" ht="11.25" customHeight="1">
      <c r="J23" s="353">
        <f t="shared" si="1"/>
        <v>6.9620000000000001E-5</v>
      </c>
      <c r="K23" s="321"/>
      <c r="L23" s="321"/>
      <c r="M23" s="321"/>
      <c r="N23" s="321"/>
      <c r="V23" s="138"/>
      <c r="Z23" s="354"/>
      <c r="AA23" s="354"/>
      <c r="AB23" s="353">
        <f t="shared" si="2"/>
        <v>6.9620000000000001E-5</v>
      </c>
      <c r="AC23" s="354"/>
      <c r="AD23" s="354"/>
      <c r="AE23" s="354"/>
      <c r="AF23" s="354"/>
      <c r="AG23" s="354"/>
      <c r="AH23" s="354"/>
      <c r="AI23" s="354"/>
      <c r="AJ23" s="354"/>
      <c r="AK23" s="354"/>
      <c r="AL23" s="354"/>
      <c r="AM23" s="354"/>
      <c r="AN23" s="354"/>
      <c r="AO23" s="354"/>
      <c r="AQ23" s="369">
        <v>-4.4000000000000004</v>
      </c>
      <c r="AR23" s="136">
        <f t="shared" si="8"/>
        <v>-4.4000000000000004</v>
      </c>
      <c r="AS23" s="136">
        <f t="shared" si="20"/>
        <v>0.43</v>
      </c>
      <c r="AT23" s="321"/>
      <c r="AU23" s="136">
        <f t="shared" si="9"/>
        <v>1.1156881014169402E-9</v>
      </c>
      <c r="AV23" s="136">
        <f t="shared" si="21"/>
        <v>-5.98</v>
      </c>
      <c r="AW23" s="136">
        <f t="shared" si="10"/>
        <v>6.8491688129857578E-9</v>
      </c>
      <c r="AX23" s="136" t="e">
        <f t="shared" si="11"/>
        <v>#N/A</v>
      </c>
      <c r="AY23" s="136">
        <f t="shared" si="12"/>
        <v>-5.98001</v>
      </c>
      <c r="AZ23" s="136">
        <f t="shared" si="13"/>
        <v>-5.9799900000000008</v>
      </c>
      <c r="BA23" s="136">
        <f t="shared" si="14"/>
        <v>1.3421479320883174E-2</v>
      </c>
      <c r="BB23" s="136">
        <f t="shared" si="15"/>
        <v>1.3421565514502283E-2</v>
      </c>
      <c r="BC23" s="136" t="e">
        <f t="shared" si="16"/>
        <v>#N/A</v>
      </c>
      <c r="BD23" s="136">
        <f t="shared" si="22"/>
        <v>6.8491688129857578E-9</v>
      </c>
      <c r="BE23" s="136">
        <f t="shared" si="17"/>
        <v>-9.9999315083118697E-4</v>
      </c>
      <c r="BF23" s="136" t="e">
        <f t="shared" si="18"/>
        <v>#N/A</v>
      </c>
      <c r="BG23" s="136" t="e">
        <f t="shared" si="19"/>
        <v>#N/A</v>
      </c>
    </row>
    <row r="24" spans="2:59" ht="11.25" customHeight="1">
      <c r="J24" s="353">
        <f t="shared" si="1"/>
        <v>6.9620000000000001E-5</v>
      </c>
      <c r="K24" s="321"/>
      <c r="L24" s="321"/>
      <c r="M24" s="321"/>
      <c r="N24" s="321"/>
      <c r="Z24" s="354"/>
      <c r="AA24" s="354"/>
      <c r="AB24" s="353">
        <f t="shared" si="2"/>
        <v>6.9620000000000001E-5</v>
      </c>
      <c r="AC24" s="354"/>
      <c r="AD24" s="354"/>
      <c r="AE24" s="354"/>
      <c r="AF24" s="354"/>
      <c r="AG24" s="354"/>
      <c r="AH24" s="354"/>
      <c r="AI24" s="354"/>
      <c r="AJ24" s="354"/>
      <c r="AK24" s="354"/>
      <c r="AL24" s="354"/>
      <c r="AM24" s="354"/>
      <c r="AN24" s="354"/>
      <c r="AO24" s="354"/>
      <c r="AQ24" s="369">
        <v>-4.2</v>
      </c>
      <c r="AR24" s="136">
        <f t="shared" si="8"/>
        <v>-4.2</v>
      </c>
      <c r="AS24" s="136">
        <f t="shared" si="20"/>
        <v>0.43</v>
      </c>
      <c r="AT24" s="321"/>
      <c r="AU24" s="136">
        <f t="shared" si="9"/>
        <v>1.1862679362254752E-9</v>
      </c>
      <c r="AV24" s="136">
        <f t="shared" si="21"/>
        <v>-5.9700000000000006</v>
      </c>
      <c r="AW24" s="136">
        <f t="shared" si="10"/>
        <v>7.2708798119000543E-9</v>
      </c>
      <c r="AX24" s="136" t="e">
        <f t="shared" si="11"/>
        <v>#N/A</v>
      </c>
      <c r="AY24" s="136">
        <f t="shared" si="12"/>
        <v>-5.9700100000000003</v>
      </c>
      <c r="AZ24" s="136">
        <f t="shared" si="13"/>
        <v>-5.969990000000001</v>
      </c>
      <c r="BA24" s="136">
        <f t="shared" si="14"/>
        <v>1.3464678515274315E-2</v>
      </c>
      <c r="BB24" s="136">
        <f t="shared" si="15"/>
        <v>1.3464765119682282E-2</v>
      </c>
      <c r="BC24" s="136" t="e">
        <f t="shared" si="16"/>
        <v>#N/A</v>
      </c>
      <c r="BD24" s="136">
        <f t="shared" si="22"/>
        <v>7.2708798119000543E-9</v>
      </c>
      <c r="BE24" s="136">
        <f t="shared" si="17"/>
        <v>-9.9999272912018817E-4</v>
      </c>
      <c r="BF24" s="136" t="e">
        <f t="shared" si="18"/>
        <v>#N/A</v>
      </c>
      <c r="BG24" s="136" t="e">
        <f t="shared" si="19"/>
        <v>#N/A</v>
      </c>
    </row>
    <row r="25" spans="2:59" ht="11.25" customHeight="1">
      <c r="J25" s="353">
        <f t="shared" si="1"/>
        <v>6.9620000000000001E-5</v>
      </c>
      <c r="K25" s="321"/>
      <c r="L25" s="321"/>
      <c r="M25" s="321"/>
      <c r="N25" s="321"/>
      <c r="Z25" s="354"/>
      <c r="AA25" s="354"/>
      <c r="AB25" s="353">
        <f t="shared" si="2"/>
        <v>6.9620000000000001E-5</v>
      </c>
      <c r="AC25" s="354"/>
      <c r="AD25" s="354"/>
      <c r="AE25" s="354"/>
      <c r="AF25" s="354"/>
      <c r="AG25" s="354"/>
      <c r="AH25" s="354"/>
      <c r="AI25" s="354"/>
      <c r="AJ25" s="354"/>
      <c r="AK25" s="354"/>
      <c r="AL25" s="354"/>
      <c r="AM25" s="354"/>
      <c r="AN25" s="354"/>
      <c r="AO25" s="354"/>
      <c r="AQ25" s="369">
        <v>-4</v>
      </c>
      <c r="AR25" s="136">
        <f t="shared" si="8"/>
        <v>-4</v>
      </c>
      <c r="AS25" s="136">
        <f t="shared" si="20"/>
        <v>0.43</v>
      </c>
      <c r="AT25" s="321"/>
      <c r="AU25" s="136">
        <f t="shared" si="9"/>
        <v>1.2611896671008135E-9</v>
      </c>
      <c r="AV25" s="136">
        <f t="shared" si="21"/>
        <v>-5.9600000000000009</v>
      </c>
      <c r="AW25" s="136">
        <f t="shared" si="10"/>
        <v>7.7177842125704726E-9</v>
      </c>
      <c r="AX25" s="136" t="e">
        <f t="shared" si="11"/>
        <v>#N/A</v>
      </c>
      <c r="AY25" s="136">
        <f t="shared" si="12"/>
        <v>-5.9600100000000005</v>
      </c>
      <c r="AZ25" s="136">
        <f t="shared" si="13"/>
        <v>-5.9599900000000012</v>
      </c>
      <c r="BA25" s="136">
        <f t="shared" si="14"/>
        <v>1.3508083746379978E-2</v>
      </c>
      <c r="BB25" s="136">
        <f t="shared" si="15"/>
        <v>1.3508170764154412E-2</v>
      </c>
      <c r="BC25" s="136" t="e">
        <f t="shared" si="16"/>
        <v>#N/A</v>
      </c>
      <c r="BD25" s="136">
        <f t="shared" si="22"/>
        <v>7.7177842125704726E-9</v>
      </c>
      <c r="BE25" s="136">
        <f t="shared" si="17"/>
        <v>-9.9999228221578753E-4</v>
      </c>
      <c r="BF25" s="136" t="e">
        <f t="shared" si="18"/>
        <v>#N/A</v>
      </c>
      <c r="BG25" s="136" t="e">
        <f t="shared" si="19"/>
        <v>#N/A</v>
      </c>
    </row>
    <row r="26" spans="2:59" ht="11.25" customHeight="1">
      <c r="B26" s="321"/>
      <c r="C26" s="321"/>
      <c r="D26" s="321"/>
      <c r="E26" s="321"/>
      <c r="F26" s="321"/>
      <c r="G26" s="321"/>
      <c r="H26" s="321"/>
      <c r="I26" s="321"/>
      <c r="J26" s="353">
        <f t="shared" si="1"/>
        <v>6.9620000000000001E-5</v>
      </c>
      <c r="K26" s="321"/>
      <c r="L26" s="321"/>
      <c r="M26" s="321"/>
      <c r="N26" s="321"/>
      <c r="Z26" s="354"/>
      <c r="AA26" s="354"/>
      <c r="AB26" s="353">
        <f t="shared" si="2"/>
        <v>6.9620000000000001E-5</v>
      </c>
      <c r="AC26" s="354"/>
      <c r="AD26" s="354"/>
      <c r="AE26" s="354"/>
      <c r="AF26" s="354"/>
      <c r="AG26" s="354"/>
      <c r="AH26" s="354"/>
      <c r="AI26" s="354"/>
      <c r="AJ26" s="354"/>
      <c r="AK26" s="354"/>
      <c r="AL26" s="354"/>
      <c r="AM26" s="354"/>
      <c r="AN26" s="354"/>
      <c r="AO26" s="354"/>
      <c r="AQ26" s="369">
        <v>-3.8</v>
      </c>
      <c r="AR26" s="136">
        <f t="shared" si="8"/>
        <v>-3.8</v>
      </c>
      <c r="AS26" s="136">
        <f t="shared" si="20"/>
        <v>0.43</v>
      </c>
      <c r="AT26" s="321"/>
      <c r="AU26" s="136">
        <f t="shared" si="9"/>
        <v>1.3407124440915626E-9</v>
      </c>
      <c r="AV26" s="136">
        <f t="shared" si="21"/>
        <v>-5.9500000000000011</v>
      </c>
      <c r="AW26" s="136">
        <f t="shared" si="10"/>
        <v>8.1913384034791439E-9</v>
      </c>
      <c r="AX26" s="136" t="e">
        <f t="shared" si="11"/>
        <v>#N/A</v>
      </c>
      <c r="AY26" s="136">
        <f t="shared" si="12"/>
        <v>-5.9500100000000007</v>
      </c>
      <c r="AZ26" s="136">
        <f t="shared" si="13"/>
        <v>-5.9499900000000014</v>
      </c>
      <c r="BA26" s="136">
        <f t="shared" si="14"/>
        <v>1.3551696307973492E-2</v>
      </c>
      <c r="BB26" s="136">
        <f t="shared" si="15"/>
        <v>1.3551783741711957E-2</v>
      </c>
      <c r="BC26" s="136" t="e">
        <f t="shared" si="16"/>
        <v>#N/A</v>
      </c>
      <c r="BD26" s="136">
        <f t="shared" si="22"/>
        <v>8.1913384034791439E-9</v>
      </c>
      <c r="BE26" s="136">
        <f t="shared" si="17"/>
        <v>-9.9999180866159644E-4</v>
      </c>
      <c r="BF26" s="136" t="e">
        <f t="shared" si="18"/>
        <v>#N/A</v>
      </c>
      <c r="BG26" s="136" t="e">
        <f t="shared" si="19"/>
        <v>#N/A</v>
      </c>
    </row>
    <row r="27" spans="2:59" ht="11.25" customHeight="1">
      <c r="J27" s="353">
        <f t="shared" si="1"/>
        <v>6.9620000000000001E-5</v>
      </c>
      <c r="K27" s="321"/>
      <c r="L27" s="321"/>
      <c r="M27" s="321"/>
      <c r="N27" s="321"/>
      <c r="Z27" s="354"/>
      <c r="AA27" s="354"/>
      <c r="AB27" s="353">
        <f t="shared" si="2"/>
        <v>6.9620000000000001E-5</v>
      </c>
      <c r="AC27" s="354"/>
      <c r="AD27" s="354"/>
      <c r="AE27" s="354"/>
      <c r="AF27" s="354"/>
      <c r="AG27" s="354"/>
      <c r="AH27" s="354"/>
      <c r="AI27" s="354"/>
      <c r="AJ27" s="354"/>
      <c r="AK27" s="354"/>
      <c r="AL27" s="354"/>
      <c r="AM27" s="354"/>
      <c r="AN27" s="354"/>
      <c r="AO27" s="354"/>
      <c r="AQ27" s="369">
        <v>-3.6</v>
      </c>
      <c r="AR27" s="136">
        <f t="shared" si="8"/>
        <v>-3.6</v>
      </c>
      <c r="AS27" s="136">
        <f t="shared" si="20"/>
        <v>0.43</v>
      </c>
      <c r="AT27" s="321"/>
      <c r="AU27" s="136">
        <f t="shared" si="9"/>
        <v>1.4251103835962218E-9</v>
      </c>
      <c r="AV27" s="136">
        <f t="shared" si="21"/>
        <v>-5.9400000000000013</v>
      </c>
      <c r="AW27" s="136">
        <f t="shared" si="10"/>
        <v>8.693079972880142E-9</v>
      </c>
      <c r="AX27" s="136" t="e">
        <f t="shared" si="11"/>
        <v>#N/A</v>
      </c>
      <c r="AY27" s="136">
        <f t="shared" si="12"/>
        <v>-5.9400100000000009</v>
      </c>
      <c r="AZ27" s="136">
        <f t="shared" si="13"/>
        <v>-5.9399900000000017</v>
      </c>
      <c r="BA27" s="136">
        <f t="shared" si="14"/>
        <v>1.3595517503848699E-2</v>
      </c>
      <c r="BB27" s="136">
        <f t="shared" si="15"/>
        <v>1.3595605356168864E-2</v>
      </c>
      <c r="BC27" s="136" t="e">
        <f t="shared" si="16"/>
        <v>#N/A</v>
      </c>
      <c r="BD27" s="136">
        <f t="shared" si="22"/>
        <v>8.693079972880142E-9</v>
      </c>
      <c r="BE27" s="136">
        <f t="shared" si="17"/>
        <v>-9.9999130692002714E-4</v>
      </c>
      <c r="BF27" s="136" t="e">
        <f t="shared" si="18"/>
        <v>#N/A</v>
      </c>
      <c r="BG27" s="136" t="e">
        <f t="shared" si="19"/>
        <v>#N/A</v>
      </c>
    </row>
    <row r="28" spans="2:59" ht="11.25" customHeight="1">
      <c r="J28" s="353">
        <f t="shared" si="1"/>
        <v>6.9620000000000001E-5</v>
      </c>
      <c r="K28" s="321"/>
      <c r="L28" s="321"/>
      <c r="M28" s="321"/>
      <c r="N28" s="321"/>
      <c r="O28" s="164"/>
      <c r="Z28" s="354"/>
      <c r="AA28" s="354"/>
      <c r="AB28" s="353">
        <f t="shared" si="2"/>
        <v>6.9620000000000001E-5</v>
      </c>
      <c r="AC28" s="354"/>
      <c r="AD28" s="354"/>
      <c r="AE28" s="354"/>
      <c r="AF28" s="354"/>
      <c r="AG28" s="354"/>
      <c r="AH28" s="354"/>
      <c r="AI28" s="354"/>
      <c r="AJ28" s="354"/>
      <c r="AK28" s="354"/>
      <c r="AL28" s="354"/>
      <c r="AM28" s="354"/>
      <c r="AN28" s="354"/>
      <c r="AO28" s="354"/>
      <c r="AQ28" s="369">
        <v>-3.4</v>
      </c>
      <c r="AR28" s="136">
        <f t="shared" si="8"/>
        <v>-3.4</v>
      </c>
      <c r="AS28" s="136">
        <f t="shared" si="20"/>
        <v>0.43</v>
      </c>
      <c r="AT28" s="321"/>
      <c r="AU28" s="136">
        <f t="shared" si="9"/>
        <v>1.5146734019222711E-9</v>
      </c>
      <c r="AV28" s="136">
        <f t="shared" si="21"/>
        <v>-5.9300000000000015</v>
      </c>
      <c r="AW28" s="136">
        <f t="shared" si="10"/>
        <v>9.2246320572826198E-9</v>
      </c>
      <c r="AX28" s="136" t="e">
        <f t="shared" si="11"/>
        <v>#N/A</v>
      </c>
      <c r="AY28" s="136">
        <f t="shared" si="12"/>
        <v>-5.9300100000000011</v>
      </c>
      <c r="AZ28" s="136">
        <f t="shared" si="13"/>
        <v>-5.9299900000000019</v>
      </c>
      <c r="BA28" s="136">
        <f t="shared" si="14"/>
        <v>1.3639548647911727E-2</v>
      </c>
      <c r="BB28" s="136">
        <f t="shared" si="15"/>
        <v>1.3639636921451608E-2</v>
      </c>
      <c r="BC28" s="136" t="e">
        <f t="shared" si="16"/>
        <v>#N/A</v>
      </c>
      <c r="BD28" s="136">
        <f t="shared" si="22"/>
        <v>9.2246320572826198E-9</v>
      </c>
      <c r="BE28" s="136">
        <f t="shared" si="17"/>
        <v>-9.9999077536794267E-4</v>
      </c>
      <c r="BF28" s="136" t="e">
        <f t="shared" si="18"/>
        <v>#N/A</v>
      </c>
      <c r="BG28" s="136" t="e">
        <f t="shared" si="19"/>
        <v>#N/A</v>
      </c>
    </row>
    <row r="29" spans="2:59" ht="13.5" customHeight="1">
      <c r="H29" s="446"/>
      <c r="I29" s="418"/>
      <c r="J29" s="417"/>
      <c r="K29" s="417"/>
      <c r="L29" s="417"/>
      <c r="M29" s="417"/>
      <c r="N29" s="417"/>
      <c r="O29" s="418"/>
      <c r="P29" s="418"/>
      <c r="Q29" s="418"/>
      <c r="R29" s="443" t="s">
        <v>1198</v>
      </c>
      <c r="S29" s="112" t="s">
        <v>111</v>
      </c>
      <c r="T29" s="162">
        <f>IF(AV15=3,"",IF(AND(AV15=1,AV16&gt;=5000),"",-ABS((AV16-5000)/1000)))</f>
        <v>-1.96</v>
      </c>
      <c r="U29" s="162">
        <f>IF(AV15=3,"",IF(AND(AV15=1,AV16&lt;5000),"",ABS((AV16-5000)/1000)))</f>
        <v>1.96</v>
      </c>
      <c r="V29" s="418"/>
      <c r="W29" s="443" t="s">
        <v>1196</v>
      </c>
      <c r="X29" s="112" t="s">
        <v>115</v>
      </c>
      <c r="Y29" s="168">
        <f>IF(AND(AR4,NOT(T29="")),E19-E21*AS4,"")</f>
        <v>70.599999999999994</v>
      </c>
      <c r="Z29" s="168">
        <f>IF(AND(AR4,NOT(U29="")),E19+E21*AS4,"")</f>
        <v>129.4</v>
      </c>
      <c r="AA29" s="419"/>
      <c r="AB29" s="445"/>
      <c r="AC29" s="419"/>
      <c r="AD29" s="447"/>
      <c r="AE29" s="354"/>
      <c r="AF29" s="354"/>
      <c r="AG29" s="354"/>
      <c r="AH29" s="354"/>
      <c r="AI29" s="354"/>
      <c r="AJ29" s="354"/>
      <c r="AK29" s="354"/>
      <c r="AL29" s="354"/>
      <c r="AM29" s="354"/>
      <c r="AN29" s="354"/>
      <c r="AO29" s="354"/>
      <c r="AQ29" s="369">
        <v>-3.2</v>
      </c>
      <c r="AR29" s="136">
        <f t="shared" si="8"/>
        <v>-3.2</v>
      </c>
      <c r="AS29" s="136">
        <f t="shared" si="20"/>
        <v>0.43</v>
      </c>
      <c r="AT29" s="321"/>
      <c r="AU29" s="136">
        <f t="shared" si="9"/>
        <v>1.6097080934338383E-9</v>
      </c>
      <c r="AV29" s="136">
        <f t="shared" si="21"/>
        <v>-5.9200000000000017</v>
      </c>
      <c r="AW29" s="136">
        <f t="shared" si="10"/>
        <v>9.7877079124410719E-9</v>
      </c>
      <c r="AX29" s="136" t="e">
        <f t="shared" si="11"/>
        <v>#N/A</v>
      </c>
      <c r="AY29" s="136">
        <f t="shared" si="12"/>
        <v>-5.9200100000000013</v>
      </c>
      <c r="AZ29" s="136">
        <f t="shared" si="13"/>
        <v>-5.9199900000000021</v>
      </c>
      <c r="BA29" s="136">
        <f t="shared" si="14"/>
        <v>1.3683791064273781E-2</v>
      </c>
      <c r="BB29" s="136">
        <f t="shared" si="15"/>
        <v>1.3683879761691895E-2</v>
      </c>
      <c r="BC29" s="136" t="e">
        <f t="shared" si="16"/>
        <v>#N/A</v>
      </c>
      <c r="BD29" s="136">
        <f t="shared" si="22"/>
        <v>9.7877079124410719E-9</v>
      </c>
      <c r="BE29" s="136">
        <f t="shared" si="17"/>
        <v>-9.9999021229208764E-4</v>
      </c>
      <c r="BF29" s="136" t="e">
        <f t="shared" si="18"/>
        <v>#N/A</v>
      </c>
      <c r="BG29" s="136" t="e">
        <f t="shared" si="19"/>
        <v>#N/A</v>
      </c>
    </row>
    <row r="30" spans="2:59" ht="11.25" customHeight="1">
      <c r="H30" s="448"/>
      <c r="I30" s="121"/>
      <c r="J30" s="420"/>
      <c r="K30" s="420"/>
      <c r="L30" s="420"/>
      <c r="M30" s="420"/>
      <c r="N30" s="420"/>
      <c r="O30" s="121"/>
      <c r="P30" s="121"/>
      <c r="Q30" s="121"/>
      <c r="R30" s="121"/>
      <c r="S30" s="121"/>
      <c r="T30" s="121"/>
      <c r="U30" s="121"/>
      <c r="V30" s="121"/>
      <c r="W30" s="121"/>
      <c r="X30" s="121"/>
      <c r="Y30" s="121"/>
      <c r="Z30" s="125"/>
      <c r="AA30" s="125"/>
      <c r="AB30" s="125"/>
      <c r="AC30" s="125"/>
      <c r="AD30" s="126"/>
      <c r="AE30" s="354"/>
      <c r="AF30" s="354"/>
      <c r="AG30" s="354"/>
      <c r="AH30" s="354"/>
      <c r="AI30" s="354"/>
      <c r="AJ30" s="354"/>
      <c r="AK30" s="354"/>
      <c r="AL30" s="354"/>
      <c r="AM30" s="354"/>
      <c r="AN30" s="354"/>
      <c r="AO30" s="354"/>
      <c r="AQ30" s="369">
        <v>-3</v>
      </c>
      <c r="AR30" s="136">
        <f t="shared" si="8"/>
        <v>-3</v>
      </c>
      <c r="AS30" s="136">
        <f t="shared" si="20"/>
        <v>0.43</v>
      </c>
      <c r="AT30" s="321"/>
      <c r="AU30" s="136">
        <f t="shared" si="9"/>
        <v>1.710538655566553E-9</v>
      </c>
      <c r="AV30" s="136">
        <f t="shared" si="21"/>
        <v>-5.9100000000000019</v>
      </c>
      <c r="AW30" s="136">
        <f t="shared" si="10"/>
        <v>1.0384115717656214E-8</v>
      </c>
      <c r="AX30" s="136" t="e">
        <f t="shared" si="11"/>
        <v>#N/A</v>
      </c>
      <c r="AY30" s="136">
        <f t="shared" si="12"/>
        <v>-5.9100100000000015</v>
      </c>
      <c r="AZ30" s="136">
        <f t="shared" si="13"/>
        <v>-5.9099900000000023</v>
      </c>
      <c r="BA30" s="136">
        <f t="shared" si="14"/>
        <v>1.3728246087344895E-2</v>
      </c>
      <c r="BB30" s="136">
        <f t="shared" si="15"/>
        <v>1.3728335211320442E-2</v>
      </c>
      <c r="BC30" s="136" t="e">
        <f t="shared" si="16"/>
        <v>#N/A</v>
      </c>
      <c r="BD30" s="136">
        <f t="shared" si="22"/>
        <v>1.0384115717656214E-8</v>
      </c>
      <c r="BE30" s="136">
        <f t="shared" si="17"/>
        <v>-9.9998961588428233E-4</v>
      </c>
      <c r="BF30" s="136" t="e">
        <f t="shared" si="18"/>
        <v>#N/A</v>
      </c>
      <c r="BG30" s="136" t="e">
        <f t="shared" si="19"/>
        <v>#N/A</v>
      </c>
    </row>
    <row r="31" spans="2:59" ht="11.25" customHeight="1">
      <c r="H31" s="448"/>
      <c r="I31" s="121"/>
      <c r="J31" s="420"/>
      <c r="K31" s="420"/>
      <c r="L31" s="420"/>
      <c r="M31" s="420"/>
      <c r="N31" s="420"/>
      <c r="O31" s="121"/>
      <c r="P31" s="121"/>
      <c r="Q31" s="121"/>
      <c r="R31" s="121"/>
      <c r="S31" s="121"/>
      <c r="T31" s="121"/>
      <c r="U31" s="121"/>
      <c r="V31" s="121"/>
      <c r="W31" s="121"/>
      <c r="X31" s="121"/>
      <c r="Y31" s="121"/>
      <c r="Z31" s="125"/>
      <c r="AA31" s="125"/>
      <c r="AB31" s="125"/>
      <c r="AC31" s="125"/>
      <c r="AD31" s="126"/>
      <c r="AE31" s="354"/>
      <c r="AF31" s="354"/>
      <c r="AG31" s="354"/>
      <c r="AH31" s="354"/>
      <c r="AI31" s="354"/>
      <c r="AJ31" s="354"/>
      <c r="AK31" s="354"/>
      <c r="AL31" s="354"/>
      <c r="AM31" s="354"/>
      <c r="AN31" s="354"/>
      <c r="AO31" s="354"/>
      <c r="AQ31" s="369">
        <v>-2.8</v>
      </c>
      <c r="AR31" s="136">
        <f t="shared" si="8"/>
        <v>-2.8</v>
      </c>
      <c r="AS31" s="136">
        <f t="shared" si="20"/>
        <v>0.43</v>
      </c>
      <c r="AU31" s="136">
        <f t="shared" si="9"/>
        <v>1.8175078630989352E-9</v>
      </c>
      <c r="AV31" s="136">
        <f t="shared" si="21"/>
        <v>-5.9000000000000021</v>
      </c>
      <c r="AW31" s="136">
        <f t="shared" si="10"/>
        <v>1.1015763624682189E-8</v>
      </c>
      <c r="AX31" s="136" t="e">
        <f t="shared" si="11"/>
        <v>#N/A</v>
      </c>
      <c r="AY31" s="136">
        <f t="shared" si="12"/>
        <v>-5.9000100000000018</v>
      </c>
      <c r="AZ31" s="136">
        <f t="shared" si="13"/>
        <v>-5.8999900000000025</v>
      </c>
      <c r="BA31" s="136">
        <f t="shared" si="14"/>
        <v>1.3772915061928693E-2</v>
      </c>
      <c r="BB31" s="136">
        <f t="shared" si="15"/>
        <v>1.3773004615161752E-2</v>
      </c>
      <c r="BC31" s="136" t="e">
        <f t="shared" si="16"/>
        <v>#N/A</v>
      </c>
      <c r="BD31" s="136">
        <f t="shared" si="22"/>
        <v>1.1015763624682189E-8</v>
      </c>
      <c r="BE31" s="136">
        <f t="shared" si="17"/>
        <v>-9.9998898423637539E-4</v>
      </c>
      <c r="BF31" s="136" t="e">
        <f t="shared" si="18"/>
        <v>#N/A</v>
      </c>
      <c r="BG31" s="136" t="e">
        <f t="shared" si="19"/>
        <v>#N/A</v>
      </c>
    </row>
    <row r="32" spans="2:59" ht="11.25" customHeight="1">
      <c r="H32" s="448"/>
      <c r="I32" s="121"/>
      <c r="J32" s="420"/>
      <c r="K32" s="420"/>
      <c r="L32" s="420"/>
      <c r="M32" s="420"/>
      <c r="N32" s="420"/>
      <c r="O32" s="121"/>
      <c r="P32" s="121"/>
      <c r="Q32" s="121"/>
      <c r="R32" s="121"/>
      <c r="S32" s="121"/>
      <c r="T32" s="121"/>
      <c r="U32" s="121"/>
      <c r="V32" s="121"/>
      <c r="W32" s="121"/>
      <c r="X32" s="121"/>
      <c r="Y32" s="121"/>
      <c r="Z32" s="125"/>
      <c r="AA32" s="125"/>
      <c r="AB32" s="125"/>
      <c r="AC32" s="125"/>
      <c r="AD32" s="126"/>
      <c r="AE32" s="354"/>
      <c r="AF32" s="354"/>
      <c r="AG32" s="354"/>
      <c r="AH32" s="354"/>
      <c r="AI32" s="354"/>
      <c r="AJ32" s="354"/>
      <c r="AK32" s="354"/>
      <c r="AL32" s="354"/>
      <c r="AM32" s="354"/>
      <c r="AN32" s="354"/>
      <c r="AO32" s="354"/>
      <c r="AQ32" s="369">
        <v>-2.6</v>
      </c>
      <c r="AR32" s="136">
        <f t="shared" si="8"/>
        <v>-2.6</v>
      </c>
      <c r="AS32" s="136">
        <f t="shared" si="20"/>
        <v>0.43</v>
      </c>
      <c r="AU32" s="136">
        <f t="shared" si="9"/>
        <v>1.9309780941847517E-9</v>
      </c>
      <c r="AV32" s="136">
        <f t="shared" si="21"/>
        <v>-5.8900000000000023</v>
      </c>
      <c r="AW32" s="136">
        <f t="shared" si="10"/>
        <v>1.1684665063049702E-8</v>
      </c>
      <c r="AX32" s="136" t="e">
        <f t="shared" si="11"/>
        <v>#N/A</v>
      </c>
      <c r="AY32" s="136">
        <f t="shared" si="12"/>
        <v>-5.890010000000002</v>
      </c>
      <c r="AZ32" s="136">
        <f t="shared" si="13"/>
        <v>-5.8899900000000027</v>
      </c>
      <c r="BA32" s="136">
        <f t="shared" si="14"/>
        <v>1.3817799343318095E-2</v>
      </c>
      <c r="BB32" s="136">
        <f t="shared" si="15"/>
        <v>1.3817889328529833E-2</v>
      </c>
      <c r="BC32" s="136" t="e">
        <f t="shared" si="16"/>
        <v>#N/A</v>
      </c>
      <c r="BD32" s="136">
        <f t="shared" si="22"/>
        <v>1.1684665063049702E-8</v>
      </c>
      <c r="BE32" s="136">
        <f t="shared" si="17"/>
        <v>-9.9998831533493703E-4</v>
      </c>
      <c r="BF32" s="136" t="e">
        <f t="shared" si="18"/>
        <v>#N/A</v>
      </c>
      <c r="BG32" s="136" t="e">
        <f t="shared" si="19"/>
        <v>#N/A</v>
      </c>
    </row>
    <row r="33" spans="1:59" ht="11.25" customHeight="1">
      <c r="H33" s="448"/>
      <c r="I33" s="121"/>
      <c r="J33" s="420"/>
      <c r="K33" s="420"/>
      <c r="L33" s="420"/>
      <c r="M33" s="420"/>
      <c r="N33" s="420"/>
      <c r="O33" s="121"/>
      <c r="P33" s="121"/>
      <c r="Q33" s="121"/>
      <c r="R33" s="121"/>
      <c r="S33" s="121"/>
      <c r="T33" s="121"/>
      <c r="U33" s="121"/>
      <c r="V33" s="121"/>
      <c r="W33" s="121"/>
      <c r="X33" s="121"/>
      <c r="Y33" s="121"/>
      <c r="Z33" s="125"/>
      <c r="AA33" s="125"/>
      <c r="AB33" s="125"/>
      <c r="AC33" s="125"/>
      <c r="AD33" s="126"/>
      <c r="AE33" s="354"/>
      <c r="AF33" s="354"/>
      <c r="AG33" s="354"/>
      <c r="AH33" s="354"/>
      <c r="AI33" s="354"/>
      <c r="AJ33" s="354"/>
      <c r="AK33" s="354"/>
      <c r="AL33" s="354"/>
      <c r="AM33" s="354"/>
      <c r="AN33" s="354"/>
      <c r="AO33" s="354"/>
      <c r="AQ33" s="369">
        <v>-2.4</v>
      </c>
      <c r="AR33" s="136">
        <f t="shared" si="8"/>
        <v>-2.4</v>
      </c>
      <c r="AS33" s="136">
        <f t="shared" si="20"/>
        <v>0.43</v>
      </c>
      <c r="AU33" s="136">
        <f t="shared" si="9"/>
        <v>2.0513324107719853E-9</v>
      </c>
      <c r="AV33" s="136">
        <f t="shared" si="21"/>
        <v>-5.8800000000000026</v>
      </c>
      <c r="AW33" s="136">
        <f t="shared" si="10"/>
        <v>1.2392944314149906E-8</v>
      </c>
      <c r="AX33" s="136" t="e">
        <f t="shared" si="11"/>
        <v>#N/A</v>
      </c>
      <c r="AY33" s="136">
        <f t="shared" si="12"/>
        <v>-5.8800100000000022</v>
      </c>
      <c r="AZ33" s="136">
        <f t="shared" si="13"/>
        <v>-5.8799900000000029</v>
      </c>
      <c r="BA33" s="136">
        <f t="shared" si="14"/>
        <v>1.3862900297392101E-2</v>
      </c>
      <c r="BB33" s="136">
        <f t="shared" si="15"/>
        <v>1.3862990717324948E-2</v>
      </c>
      <c r="BC33" s="136" t="e">
        <f t="shared" si="16"/>
        <v>#N/A</v>
      </c>
      <c r="BD33" s="136">
        <f t="shared" si="22"/>
        <v>1.2392944314149906E-8</v>
      </c>
      <c r="BE33" s="136">
        <f t="shared" si="17"/>
        <v>-9.9998760705568581E-4</v>
      </c>
      <c r="BF33" s="136" t="e">
        <f t="shared" si="18"/>
        <v>#N/A</v>
      </c>
      <c r="BG33" s="136" t="e">
        <f t="shared" si="19"/>
        <v>#N/A</v>
      </c>
    </row>
    <row r="34" spans="1:59" ht="11.25" customHeight="1">
      <c r="B34" s="321"/>
      <c r="C34" s="321"/>
      <c r="D34" s="321"/>
      <c r="E34" s="321"/>
      <c r="F34" s="321"/>
      <c r="G34" s="321"/>
      <c r="H34" s="449"/>
      <c r="I34" s="422"/>
      <c r="J34" s="421"/>
      <c r="K34" s="421"/>
      <c r="L34" s="421"/>
      <c r="M34" s="421"/>
      <c r="N34" s="421"/>
      <c r="O34" s="422"/>
      <c r="P34" s="422"/>
      <c r="Q34" s="422"/>
      <c r="R34" s="422"/>
      <c r="S34" s="422"/>
      <c r="T34" s="422"/>
      <c r="U34" s="422"/>
      <c r="V34" s="422"/>
      <c r="W34" s="422"/>
      <c r="X34" s="422"/>
      <c r="Y34" s="422"/>
      <c r="Z34" s="423"/>
      <c r="AA34" s="423"/>
      <c r="AB34" s="423"/>
      <c r="AC34" s="423"/>
      <c r="AD34" s="424"/>
      <c r="AE34" s="354"/>
      <c r="AF34" s="354"/>
      <c r="AG34" s="354"/>
      <c r="AH34" s="354"/>
      <c r="AI34" s="354"/>
      <c r="AJ34" s="354"/>
      <c r="AK34" s="354"/>
      <c r="AL34" s="354"/>
      <c r="AM34" s="354"/>
      <c r="AN34" s="354"/>
      <c r="AO34" s="354"/>
      <c r="AQ34" s="369">
        <v>-2.2000000000000002</v>
      </c>
      <c r="AR34" s="136">
        <f t="shared" si="8"/>
        <v>-2.2000000000000002</v>
      </c>
      <c r="AS34" s="136">
        <f t="shared" si="20"/>
        <v>0.43</v>
      </c>
      <c r="AU34" s="136">
        <f t="shared" si="9"/>
        <v>2.1789756961598882E-9</v>
      </c>
      <c r="AV34" s="136">
        <f t="shared" si="21"/>
        <v>-5.8700000000000028</v>
      </c>
      <c r="AW34" s="136">
        <f t="shared" si="10"/>
        <v>1.3142842366981953E-8</v>
      </c>
      <c r="AX34" s="136" t="e">
        <f t="shared" si="11"/>
        <v>#N/A</v>
      </c>
      <c r="AY34" s="136">
        <f t="shared" si="12"/>
        <v>-5.8700100000000024</v>
      </c>
      <c r="AZ34" s="136">
        <f t="shared" si="13"/>
        <v>-5.8699900000000031</v>
      </c>
      <c r="BA34" s="136">
        <f t="shared" si="14"/>
        <v>1.3908219300713547E-2</v>
      </c>
      <c r="BB34" s="136">
        <f t="shared" si="15"/>
        <v>1.3908310158131397E-2</v>
      </c>
      <c r="BC34" s="136" t="e">
        <f t="shared" si="16"/>
        <v>#N/A</v>
      </c>
      <c r="BD34" s="136">
        <f t="shared" si="22"/>
        <v>1.3142842366981953E-8</v>
      </c>
      <c r="BE34" s="136">
        <f t="shared" si="17"/>
        <v>-9.9998685715763308E-4</v>
      </c>
      <c r="BF34" s="136" t="e">
        <f t="shared" si="18"/>
        <v>#N/A</v>
      </c>
      <c r="BG34" s="136" t="e">
        <f t="shared" si="19"/>
        <v>#N/A</v>
      </c>
    </row>
    <row r="35" spans="1:59" ht="11.25" customHeight="1">
      <c r="B35" s="321"/>
      <c r="C35" s="321"/>
      <c r="D35" s="321"/>
      <c r="E35" s="321"/>
      <c r="F35" s="321"/>
      <c r="G35" s="321"/>
      <c r="H35" s="321"/>
      <c r="M35" s="164"/>
      <c r="N35" s="425"/>
      <c r="O35" s="164"/>
      <c r="Z35" s="354"/>
      <c r="AA35" s="354"/>
      <c r="AB35" s="354"/>
      <c r="AC35" s="354"/>
      <c r="AD35" s="354"/>
      <c r="AE35" s="354"/>
      <c r="AF35" s="354"/>
      <c r="AG35" s="354"/>
      <c r="AH35" s="354"/>
      <c r="AI35" s="354"/>
      <c r="AJ35" s="354"/>
      <c r="AK35" s="354"/>
      <c r="AL35" s="354"/>
      <c r="AM35" s="354"/>
      <c r="AN35" s="354"/>
      <c r="AO35" s="354"/>
      <c r="AQ35" s="369">
        <v>-2</v>
      </c>
      <c r="AR35" s="136">
        <f t="shared" si="8"/>
        <v>-2</v>
      </c>
      <c r="AS35" s="136">
        <f t="shared" si="20"/>
        <v>0.43</v>
      </c>
      <c r="AU35" s="136">
        <f t="shared" si="9"/>
        <v>2.3143358525778178E-9</v>
      </c>
      <c r="AV35" s="136">
        <f t="shared" si="21"/>
        <v>-5.860000000000003</v>
      </c>
      <c r="AW35" s="136">
        <f t="shared" si="10"/>
        <v>1.3936723069047191E-8</v>
      </c>
      <c r="AX35" s="136" t="e">
        <f t="shared" si="11"/>
        <v>#N/A</v>
      </c>
      <c r="AY35" s="136">
        <f t="shared" si="12"/>
        <v>-5.8600100000000026</v>
      </c>
      <c r="AZ35" s="136">
        <f t="shared" si="13"/>
        <v>-5.8599900000000034</v>
      </c>
      <c r="BA35" s="136">
        <f t="shared" si="14"/>
        <v>1.3953757740627947E-2</v>
      </c>
      <c r="BB35" s="136">
        <f t="shared" si="15"/>
        <v>1.395384903831637E-2</v>
      </c>
      <c r="BC35" s="136" t="e">
        <f t="shared" si="16"/>
        <v>#N/A</v>
      </c>
      <c r="BD35" s="136">
        <f t="shared" si="22"/>
        <v>1.3936723069047191E-8</v>
      </c>
      <c r="BE35" s="136">
        <f t="shared" si="17"/>
        <v>-9.9998606327693102E-4</v>
      </c>
      <c r="BF35" s="136" t="e">
        <f t="shared" si="18"/>
        <v>#N/A</v>
      </c>
      <c r="BG35" s="136" t="e">
        <f t="shared" si="19"/>
        <v>#N/A</v>
      </c>
    </row>
    <row r="36" spans="1:59" ht="11.25" customHeight="1">
      <c r="B36" s="321"/>
      <c r="C36" s="321"/>
      <c r="D36" s="321"/>
      <c r="E36" s="321"/>
      <c r="F36" s="321"/>
      <c r="G36" s="321"/>
      <c r="H36" s="321"/>
      <c r="I36" s="321"/>
      <c r="M36" s="164"/>
      <c r="N36" s="426"/>
      <c r="O36" s="164"/>
      <c r="Z36" s="353"/>
      <c r="AA36" s="353"/>
      <c r="AB36" s="353"/>
      <c r="AC36" s="354"/>
      <c r="AD36" s="354"/>
      <c r="AE36" s="354"/>
      <c r="AF36" s="354"/>
      <c r="AG36" s="354"/>
      <c r="AH36" s="354"/>
      <c r="AI36" s="354"/>
      <c r="AJ36" s="354"/>
      <c r="AK36" s="354"/>
      <c r="AL36" s="354"/>
      <c r="AM36" s="354"/>
      <c r="AN36" s="354"/>
      <c r="AO36" s="354"/>
      <c r="AQ36" s="369">
        <v>-1.8</v>
      </c>
      <c r="AR36" s="136">
        <f t="shared" si="8"/>
        <v>-1.8</v>
      </c>
      <c r="AS36" s="136">
        <f t="shared" si="20"/>
        <v>0.43</v>
      </c>
      <c r="AU36" s="136">
        <f t="shared" si="9"/>
        <v>2.4578650618072104E-9</v>
      </c>
      <c r="AV36" s="136">
        <f t="shared" si="21"/>
        <v>-5.8500000000000032</v>
      </c>
      <c r="AW36" s="136">
        <f t="shared" si="10"/>
        <v>1.4777079586479737E-8</v>
      </c>
      <c r="AX36" s="136" t="e">
        <f t="shared" si="11"/>
        <v>#N/A</v>
      </c>
      <c r="AY36" s="136">
        <f t="shared" si="12"/>
        <v>-5.8500100000000028</v>
      </c>
      <c r="AZ36" s="136">
        <f t="shared" si="13"/>
        <v>-5.8499900000000036</v>
      </c>
      <c r="BA36" s="136">
        <f t="shared" si="14"/>
        <v>1.399951701536334E-2</v>
      </c>
      <c r="BB36" s="136">
        <f t="shared" si="15"/>
        <v>1.3999608756129746E-2</v>
      </c>
      <c r="BC36" s="136" t="e">
        <f t="shared" si="16"/>
        <v>#N/A</v>
      </c>
      <c r="BD36" s="136">
        <f t="shared" si="22"/>
        <v>1.4777079586479737E-8</v>
      </c>
      <c r="BE36" s="136">
        <f t="shared" si="17"/>
        <v>-9.9998522292041358E-4</v>
      </c>
      <c r="BF36" s="136" t="e">
        <f t="shared" si="18"/>
        <v>#N/A</v>
      </c>
      <c r="BG36" s="136" t="e">
        <f t="shared" si="19"/>
        <v>#N/A</v>
      </c>
    </row>
    <row r="37" spans="1:59" ht="11.25" customHeight="1">
      <c r="Z37" s="353"/>
      <c r="AA37" s="353"/>
      <c r="AB37" s="353"/>
      <c r="AC37" s="354"/>
      <c r="AD37" s="354"/>
      <c r="AE37" s="354"/>
      <c r="AF37" s="354"/>
      <c r="AG37" s="354"/>
      <c r="AH37" s="354"/>
      <c r="AI37" s="354"/>
      <c r="AJ37" s="354"/>
      <c r="AK37" s="354"/>
      <c r="AL37" s="354"/>
      <c r="AM37" s="354"/>
      <c r="AN37" s="354"/>
      <c r="AO37" s="354"/>
      <c r="AQ37" s="369">
        <v>-1.6</v>
      </c>
      <c r="AR37" s="136">
        <f t="shared" si="8"/>
        <v>-1.6</v>
      </c>
      <c r="AS37" s="136">
        <f t="shared" si="20"/>
        <v>0.43</v>
      </c>
      <c r="AU37" s="136">
        <f t="shared" si="9"/>
        <v>2.6100411120120076E-9</v>
      </c>
      <c r="AV37" s="136">
        <f t="shared" si="21"/>
        <v>-5.8400000000000034</v>
      </c>
      <c r="AW37" s="136">
        <f t="shared" si="10"/>
        <v>1.5666541188132235E-8</v>
      </c>
      <c r="AX37" s="136" t="e">
        <f t="shared" si="11"/>
        <v>#N/A</v>
      </c>
      <c r="AY37" s="136">
        <f t="shared" si="12"/>
        <v>-5.840010000000003</v>
      </c>
      <c r="AZ37" s="136">
        <f t="shared" si="13"/>
        <v>-5.8399900000000038</v>
      </c>
      <c r="BA37" s="136">
        <f t="shared" si="14"/>
        <v>1.4045498534131234E-2</v>
      </c>
      <c r="BB37" s="136">
        <f t="shared" si="15"/>
        <v>1.4045590720805128E-2</v>
      </c>
      <c r="BC37" s="136" t="e">
        <f t="shared" si="16"/>
        <v>#N/A</v>
      </c>
      <c r="BD37" s="136">
        <f t="shared" si="22"/>
        <v>1.5666541188132235E-8</v>
      </c>
      <c r="BE37" s="136">
        <f t="shared" si="17"/>
        <v>-9.9998433345881198E-4</v>
      </c>
      <c r="BF37" s="136" t="e">
        <f t="shared" si="18"/>
        <v>#N/A</v>
      </c>
      <c r="BG37" s="136" t="e">
        <f t="shared" si="19"/>
        <v>#N/A</v>
      </c>
    </row>
    <row r="38" spans="1:59" ht="11.25" customHeight="1">
      <c r="Z38" s="353"/>
      <c r="AA38" s="353"/>
      <c r="AB38" s="353"/>
      <c r="AC38" s="353"/>
      <c r="AD38" s="353"/>
      <c r="AE38" s="353"/>
      <c r="AF38" s="353"/>
      <c r="AG38" s="353"/>
      <c r="AH38" s="353"/>
      <c r="AI38" s="353"/>
      <c r="AJ38" s="353"/>
      <c r="AK38" s="353"/>
      <c r="AL38" s="353"/>
      <c r="AM38" s="353"/>
      <c r="AN38" s="353"/>
      <c r="AO38" s="353"/>
      <c r="AQ38" s="369">
        <v>-1.4</v>
      </c>
      <c r="AR38" s="136">
        <f t="shared" si="8"/>
        <v>-1.4</v>
      </c>
      <c r="AS38" s="136">
        <f t="shared" si="20"/>
        <v>0.43</v>
      </c>
      <c r="AU38" s="136">
        <f t="shared" si="9"/>
        <v>2.7713687940936262E-9</v>
      </c>
      <c r="AV38" s="136">
        <f t="shared" si="21"/>
        <v>-5.8300000000000036</v>
      </c>
      <c r="AW38" s="136">
        <f t="shared" si="10"/>
        <v>1.6607880368991689E-8</v>
      </c>
      <c r="AX38" s="136" t="e">
        <f t="shared" si="11"/>
        <v>#N/A</v>
      </c>
      <c r="AY38" s="136">
        <f t="shared" si="12"/>
        <v>-5.8300100000000032</v>
      </c>
      <c r="AZ38" s="136">
        <f t="shared" si="13"/>
        <v>-5.829990000000004</v>
      </c>
      <c r="BA38" s="136">
        <f t="shared" si="14"/>
        <v>1.4091703717228583E-2</v>
      </c>
      <c r="BB38" s="136">
        <f t="shared" si="15"/>
        <v>1.4091796352661742E-2</v>
      </c>
      <c r="BC38" s="136" t="e">
        <f t="shared" si="16"/>
        <v>#N/A</v>
      </c>
      <c r="BD38" s="136">
        <f t="shared" si="22"/>
        <v>1.6607880368991689E-8</v>
      </c>
      <c r="BE38" s="136">
        <f t="shared" si="17"/>
        <v>-9.9998339211963111E-4</v>
      </c>
      <c r="BF38" s="136" t="e">
        <f t="shared" si="18"/>
        <v>#N/A</v>
      </c>
      <c r="BG38" s="136" t="e">
        <f t="shared" si="19"/>
        <v>#N/A</v>
      </c>
    </row>
    <row r="39" spans="1:59" ht="11.25" customHeight="1">
      <c r="Z39" s="353"/>
      <c r="AA39" s="353"/>
      <c r="AB39" s="353"/>
      <c r="AC39" s="353"/>
      <c r="AD39" s="353"/>
      <c r="AE39" s="353"/>
      <c r="AF39" s="353"/>
      <c r="AG39" s="353"/>
      <c r="AH39" s="353"/>
      <c r="AI39" s="353"/>
      <c r="AJ39" s="353"/>
      <c r="AK39" s="353"/>
      <c r="AL39" s="353"/>
      <c r="AM39" s="353"/>
      <c r="AN39" s="353"/>
      <c r="AO39" s="353"/>
      <c r="AQ39" s="369">
        <v>-1.2</v>
      </c>
      <c r="AR39" s="136">
        <f t="shared" si="8"/>
        <v>-1.2</v>
      </c>
      <c r="AS39" s="136">
        <f t="shared" si="20"/>
        <v>0.43</v>
      </c>
      <c r="AU39" s="136">
        <f t="shared" si="9"/>
        <v>2.9423813710432679E-9</v>
      </c>
      <c r="AV39" s="136">
        <f t="shared" si="21"/>
        <v>-5.8200000000000038</v>
      </c>
      <c r="AW39" s="136">
        <f t="shared" si="10"/>
        <v>1.7604020328985466E-8</v>
      </c>
      <c r="AX39" s="136" t="e">
        <f t="shared" si="11"/>
        <v>#N/A</v>
      </c>
      <c r="AY39" s="136">
        <f t="shared" si="12"/>
        <v>-5.8200100000000035</v>
      </c>
      <c r="AZ39" s="136">
        <f t="shared" si="13"/>
        <v>-5.8199900000000042</v>
      </c>
      <c r="BA39" s="136">
        <f t="shared" si="14"/>
        <v>1.4138133996140901E-2</v>
      </c>
      <c r="BB39" s="136">
        <f t="shared" si="15"/>
        <v>1.4138227083207576E-2</v>
      </c>
      <c r="BC39" s="136" t="e">
        <f t="shared" si="16"/>
        <v>#N/A</v>
      </c>
      <c r="BD39" s="136">
        <f t="shared" si="22"/>
        <v>1.7604020328985466E-8</v>
      </c>
      <c r="BE39" s="136">
        <f t="shared" si="17"/>
        <v>-9.999823959796711E-4</v>
      </c>
      <c r="BF39" s="136" t="e">
        <f t="shared" si="18"/>
        <v>#N/A</v>
      </c>
      <c r="BG39" s="136" t="e">
        <f t="shared" si="19"/>
        <v>#N/A</v>
      </c>
    </row>
    <row r="40" spans="1:59" ht="11.25" customHeight="1">
      <c r="Z40" s="353"/>
      <c r="AA40" s="353"/>
      <c r="AB40" s="353"/>
      <c r="AC40" s="353"/>
      <c r="AD40" s="353"/>
      <c r="AE40" s="353"/>
      <c r="AF40" s="353"/>
      <c r="AG40" s="353"/>
      <c r="AH40" s="353"/>
      <c r="AI40" s="353"/>
      <c r="AJ40" s="353"/>
      <c r="AK40" s="353"/>
      <c r="AL40" s="353"/>
      <c r="AM40" s="353"/>
      <c r="AN40" s="353"/>
      <c r="AO40" s="353"/>
      <c r="AQ40" s="369">
        <v>-1</v>
      </c>
      <c r="AR40" s="136">
        <f t="shared" si="8"/>
        <v>-1</v>
      </c>
      <c r="AS40" s="136">
        <f t="shared" si="20"/>
        <v>0.43</v>
      </c>
      <c r="AU40" s="136">
        <f t="shared" si="9"/>
        <v>3.1236421239287999E-9</v>
      </c>
      <c r="AV40" s="136">
        <f t="shared" si="21"/>
        <v>-5.8100000000000041</v>
      </c>
      <c r="AW40" s="136">
        <f t="shared" si="10"/>
        <v>1.8658042823945709E-8</v>
      </c>
      <c r="AX40" s="136" t="e">
        <f t="shared" si="11"/>
        <v>#N/A</v>
      </c>
      <c r="AY40" s="136">
        <f t="shared" si="12"/>
        <v>-5.8100100000000037</v>
      </c>
      <c r="AZ40" s="136">
        <f t="shared" si="13"/>
        <v>-5.8099900000000044</v>
      </c>
      <c r="BA40" s="136">
        <f t="shared" si="14"/>
        <v>1.4184790813646436E-2</v>
      </c>
      <c r="BB40" s="136">
        <f t="shared" si="15"/>
        <v>1.4184884355243562E-2</v>
      </c>
      <c r="BC40" s="136" t="e">
        <f t="shared" si="16"/>
        <v>#N/A</v>
      </c>
      <c r="BD40" s="136">
        <f t="shared" si="22"/>
        <v>1.8658042823945709E-8</v>
      </c>
      <c r="BE40" s="136">
        <f t="shared" si="17"/>
        <v>-9.9998134195717616E-4</v>
      </c>
      <c r="BF40" s="136" t="e">
        <f t="shared" si="18"/>
        <v>#N/A</v>
      </c>
      <c r="BG40" s="136" t="e">
        <f t="shared" si="19"/>
        <v>#N/A</v>
      </c>
    </row>
    <row r="41" spans="1:59" ht="11.25" customHeight="1">
      <c r="Z41" s="353"/>
      <c r="AA41" s="353"/>
      <c r="AB41" s="353"/>
      <c r="AC41" s="353"/>
      <c r="AD41" s="353"/>
      <c r="AE41" s="353"/>
      <c r="AF41" s="353"/>
      <c r="AG41" s="353"/>
      <c r="AH41" s="353"/>
      <c r="AI41" s="353"/>
      <c r="AJ41" s="353"/>
      <c r="AK41" s="353"/>
      <c r="AL41" s="353"/>
      <c r="AM41" s="353"/>
      <c r="AN41" s="353"/>
      <c r="AO41" s="353"/>
      <c r="AQ41" s="369">
        <v>-0.8</v>
      </c>
      <c r="AR41" s="136">
        <f t="shared" si="8"/>
        <v>-0.8</v>
      </c>
      <c r="AS41" s="136">
        <f t="shared" si="20"/>
        <v>0.43</v>
      </c>
      <c r="AU41" s="136">
        <f t="shared" si="9"/>
        <v>3.3157459783248225E-9</v>
      </c>
      <c r="AV41" s="136">
        <f t="shared" si="21"/>
        <v>-5.8000000000000043</v>
      </c>
      <c r="AW41" s="136">
        <f t="shared" si="10"/>
        <v>1.9773196406244176E-8</v>
      </c>
      <c r="AX41" s="136" t="e">
        <f t="shared" si="11"/>
        <v>#N/A</v>
      </c>
      <c r="AY41" s="136">
        <f t="shared" si="12"/>
        <v>-5.8000100000000039</v>
      </c>
      <c r="AZ41" s="136">
        <f t="shared" si="13"/>
        <v>-5.7999900000000046</v>
      </c>
      <c r="BA41" s="136">
        <f t="shared" si="14"/>
        <v>1.4231675623921509E-2</v>
      </c>
      <c r="BB41" s="136">
        <f t="shared" si="15"/>
        <v>1.4231769622968928E-2</v>
      </c>
      <c r="BC41" s="136" t="e">
        <f t="shared" si="16"/>
        <v>#N/A</v>
      </c>
      <c r="BD41" s="136">
        <f t="shared" si="22"/>
        <v>1.9773196406244176E-8</v>
      </c>
      <c r="BE41" s="136">
        <f t="shared" si="17"/>
        <v>-9.9998022680359384E-4</v>
      </c>
      <c r="BF41" s="136" t="e">
        <f t="shared" si="18"/>
        <v>#N/A</v>
      </c>
      <c r="BG41" s="136" t="e">
        <f t="shared" si="19"/>
        <v>#N/A</v>
      </c>
    </row>
    <row r="42" spans="1:59" ht="11.25" customHeight="1">
      <c r="Z42" s="353"/>
      <c r="AA42" s="353"/>
      <c r="AB42" s="353"/>
      <c r="AC42" s="353"/>
      <c r="AD42" s="353"/>
      <c r="AE42" s="353"/>
      <c r="AF42" s="353"/>
      <c r="AG42" s="353"/>
      <c r="AH42" s="353"/>
      <c r="AI42" s="353"/>
      <c r="AJ42" s="353"/>
      <c r="AK42" s="353"/>
      <c r="AL42" s="353"/>
      <c r="AM42" s="353"/>
      <c r="AN42" s="353"/>
      <c r="AO42" s="353"/>
      <c r="AQ42" s="369">
        <v>-0.6</v>
      </c>
      <c r="AR42" s="136">
        <f t="shared" si="8"/>
        <v>-0.6</v>
      </c>
      <c r="AS42" s="136">
        <f t="shared" si="20"/>
        <v>0.43</v>
      </c>
      <c r="AU42" s="136">
        <f t="shared" si="9"/>
        <v>3.5193212151731503E-9</v>
      </c>
      <c r="AV42" s="136">
        <f t="shared" si="21"/>
        <v>-5.7900000000000045</v>
      </c>
      <c r="AW42" s="136">
        <f t="shared" si="10"/>
        <v>2.0952905073376448E-8</v>
      </c>
      <c r="AX42" s="136" t="e">
        <f t="shared" si="11"/>
        <v>#N/A</v>
      </c>
      <c r="AY42" s="136">
        <f t="shared" si="12"/>
        <v>-5.7900100000000041</v>
      </c>
      <c r="AZ42" s="136">
        <f t="shared" si="13"/>
        <v>-5.7899900000000049</v>
      </c>
      <c r="BA42" s="136">
        <f t="shared" si="14"/>
        <v>1.4278789892646856E-2</v>
      </c>
      <c r="BB42" s="136">
        <f t="shared" si="15"/>
        <v>1.4278884352087538E-2</v>
      </c>
      <c r="BC42" s="136" t="e">
        <f t="shared" si="16"/>
        <v>#N/A</v>
      </c>
      <c r="BD42" s="136">
        <f t="shared" si="22"/>
        <v>2.0952905073376448E-8</v>
      </c>
      <c r="BE42" s="136">
        <f t="shared" si="17"/>
        <v>-9.9997904709492672E-4</v>
      </c>
      <c r="BF42" s="136" t="e">
        <f t="shared" si="18"/>
        <v>#N/A</v>
      </c>
      <c r="BG42" s="136" t="e">
        <f t="shared" si="19"/>
        <v>#N/A</v>
      </c>
    </row>
    <row r="43" spans="1:59" ht="11.25" customHeight="1">
      <c r="Z43" s="353"/>
      <c r="AA43" s="353"/>
      <c r="AB43" s="353"/>
      <c r="AC43" s="353"/>
      <c r="AD43" s="353"/>
      <c r="AE43" s="353"/>
      <c r="AF43" s="353"/>
      <c r="AG43" s="353"/>
      <c r="AH43" s="353"/>
      <c r="AI43" s="353"/>
      <c r="AJ43" s="353"/>
      <c r="AK43" s="353"/>
      <c r="AL43" s="353"/>
      <c r="AM43" s="353"/>
      <c r="AN43" s="353"/>
      <c r="AO43" s="353"/>
      <c r="AQ43" s="369">
        <v>-0.4</v>
      </c>
      <c r="AR43" s="136">
        <f t="shared" si="8"/>
        <v>-0.4</v>
      </c>
      <c r="AS43" s="136">
        <f t="shared" si="20"/>
        <v>0.43</v>
      </c>
      <c r="AU43" s="136">
        <f t="shared" si="9"/>
        <v>3.735031270248125E-9</v>
      </c>
      <c r="AV43" s="136">
        <f t="shared" si="21"/>
        <v>-5.7800000000000047</v>
      </c>
      <c r="AW43" s="136">
        <f t="shared" si="10"/>
        <v>2.2200777343578378E-8</v>
      </c>
      <c r="AX43" s="136" t="e">
        <f t="shared" si="11"/>
        <v>#N/A</v>
      </c>
      <c r="AY43" s="136">
        <f t="shared" si="12"/>
        <v>-5.7800100000000043</v>
      </c>
      <c r="AZ43" s="136">
        <f t="shared" si="13"/>
        <v>-5.7799900000000051</v>
      </c>
      <c r="BA43" s="136">
        <f t="shared" si="14"/>
        <v>1.4326135097115309E-2</v>
      </c>
      <c r="BB43" s="136">
        <f t="shared" si="15"/>
        <v>1.4326230019915542E-2</v>
      </c>
      <c r="BC43" s="136" t="e">
        <f t="shared" si="16"/>
        <v>#N/A</v>
      </c>
      <c r="BD43" s="136">
        <f t="shared" si="22"/>
        <v>2.2200777343578378E-8</v>
      </c>
      <c r="BE43" s="136">
        <f t="shared" si="17"/>
        <v>-9.9997779922265636E-4</v>
      </c>
      <c r="BF43" s="136" t="e">
        <f t="shared" si="18"/>
        <v>#N/A</v>
      </c>
      <c r="BG43" s="136" t="e">
        <f t="shared" si="19"/>
        <v>#N/A</v>
      </c>
    </row>
    <row r="44" spans="1:59" ht="11.25" customHeight="1">
      <c r="Z44" s="353"/>
      <c r="AA44" s="353"/>
      <c r="AB44" s="353"/>
      <c r="AC44" s="353"/>
      <c r="AD44" s="353"/>
      <c r="AE44" s="353"/>
      <c r="AF44" s="353"/>
      <c r="AG44" s="353"/>
      <c r="AH44" s="353"/>
      <c r="AI44" s="353"/>
      <c r="AJ44" s="353"/>
      <c r="AK44" s="353"/>
      <c r="AL44" s="353"/>
      <c r="AM44" s="353"/>
      <c r="AN44" s="353"/>
      <c r="AO44" s="353"/>
      <c r="AQ44" s="369">
        <v>-0.2</v>
      </c>
      <c r="AR44" s="136">
        <f t="shared" si="8"/>
        <v>-0.2</v>
      </c>
      <c r="AS44" s="136">
        <f t="shared" si="20"/>
        <v>0.43</v>
      </c>
      <c r="AU44" s="136">
        <f t="shared" si="9"/>
        <v>3.9635766265958533E-9</v>
      </c>
      <c r="AV44" s="136">
        <f t="shared" si="21"/>
        <v>-5.7700000000000049</v>
      </c>
      <c r="AW44" s="136">
        <f t="shared" si="10"/>
        <v>2.3520615778390081E-8</v>
      </c>
      <c r="AX44" s="136" t="e">
        <f t="shared" si="11"/>
        <v>#N/A</v>
      </c>
      <c r="AY44" s="136">
        <f t="shared" si="12"/>
        <v>-5.7700100000000045</v>
      </c>
      <c r="AZ44" s="136">
        <f t="shared" si="13"/>
        <v>-5.7699900000000053</v>
      </c>
      <c r="BA44" s="136">
        <f t="shared" si="14"/>
        <v>1.4373712726340445E-2</v>
      </c>
      <c r="BB44" s="136">
        <f t="shared" si="15"/>
        <v>1.4373808115490086E-2</v>
      </c>
      <c r="BC44" s="136" t="e">
        <f t="shared" si="16"/>
        <v>#N/A</v>
      </c>
      <c r="BD44" s="136">
        <f t="shared" si="22"/>
        <v>2.3520615778390081E-8</v>
      </c>
      <c r="BE44" s="136">
        <f t="shared" si="17"/>
        <v>-9.9997647938422163E-4</v>
      </c>
      <c r="BF44" s="136" t="e">
        <f t="shared" si="18"/>
        <v>#N/A</v>
      </c>
      <c r="BG44" s="136" t="e">
        <f t="shared" si="19"/>
        <v>#N/A</v>
      </c>
    </row>
    <row r="45" spans="1:59" ht="11.25" customHeight="1">
      <c r="Z45" s="353"/>
      <c r="AA45" s="353"/>
      <c r="AB45" s="353"/>
      <c r="AC45" s="353"/>
      <c r="AD45" s="353"/>
      <c r="AE45" s="353"/>
      <c r="AF45" s="353"/>
      <c r="AG45" s="353"/>
      <c r="AH45" s="353"/>
      <c r="AI45" s="353"/>
      <c r="AJ45" s="353"/>
      <c r="AK45" s="353"/>
      <c r="AL45" s="353"/>
      <c r="AM45" s="353"/>
      <c r="AN45" s="353"/>
      <c r="AO45" s="353"/>
      <c r="AQ45" s="369">
        <v>0</v>
      </c>
      <c r="AR45" s="136">
        <f t="shared" si="8"/>
        <v>0</v>
      </c>
      <c r="AS45" s="136">
        <f t="shared" si="20"/>
        <v>0.43</v>
      </c>
      <c r="AU45" s="136">
        <f t="shared" si="9"/>
        <v>4.2056968045200514E-9</v>
      </c>
      <c r="AV45" s="136">
        <f t="shared" si="21"/>
        <v>-5.7600000000000051</v>
      </c>
      <c r="AW45" s="136">
        <f t="shared" si="10"/>
        <v>2.4916426972950188E-8</v>
      </c>
      <c r="AX45" s="136" t="e">
        <f t="shared" si="11"/>
        <v>#N/A</v>
      </c>
      <c r="AY45" s="136">
        <f t="shared" si="12"/>
        <v>-5.7600100000000047</v>
      </c>
      <c r="AZ45" s="136">
        <f t="shared" si="13"/>
        <v>-5.7599900000000055</v>
      </c>
      <c r="BA45" s="136">
        <f t="shared" si="14"/>
        <v>1.4421524281166519E-2</v>
      </c>
      <c r="BB45" s="136">
        <f t="shared" si="15"/>
        <v>1.4421620139679158E-2</v>
      </c>
      <c r="BC45" s="136" t="e">
        <f t="shared" si="16"/>
        <v>#N/A</v>
      </c>
      <c r="BD45" s="136">
        <f t="shared" si="22"/>
        <v>2.4916426972950188E-8</v>
      </c>
      <c r="BE45" s="136">
        <f t="shared" si="17"/>
        <v>-9.9997508357302714E-4</v>
      </c>
      <c r="BF45" s="136" t="e">
        <f t="shared" si="18"/>
        <v>#N/A</v>
      </c>
      <c r="BG45" s="136" t="e">
        <f t="shared" si="19"/>
        <v>#N/A</v>
      </c>
    </row>
    <row r="46" spans="1:59" ht="11.25" customHeight="1">
      <c r="J46" s="321"/>
      <c r="K46" s="321"/>
      <c r="L46" s="321"/>
      <c r="M46" s="321"/>
      <c r="N46" s="321"/>
      <c r="O46" s="321"/>
      <c r="P46" s="321"/>
      <c r="Q46" s="321"/>
      <c r="AC46" s="353"/>
      <c r="AD46" s="353"/>
      <c r="AE46" s="353"/>
      <c r="AF46" s="353"/>
      <c r="AG46" s="353"/>
      <c r="AH46" s="353"/>
      <c r="AI46" s="353"/>
      <c r="AJ46" s="353"/>
      <c r="AK46" s="353"/>
      <c r="AL46" s="353"/>
      <c r="AM46" s="353"/>
      <c r="AN46" s="353"/>
      <c r="AO46" s="353"/>
      <c r="AQ46" s="369">
        <v>0.2</v>
      </c>
      <c r="AR46" s="136">
        <f t="shared" si="8"/>
        <v>0.2</v>
      </c>
      <c r="AS46" s="136">
        <f t="shared" si="20"/>
        <v>0.43</v>
      </c>
      <c r="AU46" s="136">
        <f t="shared" si="9"/>
        <v>4.4621724538994461E-9</v>
      </c>
      <c r="AV46" s="136">
        <f t="shared" si="21"/>
        <v>-5.7500000000000053</v>
      </c>
      <c r="AW46" s="136">
        <f t="shared" si="10"/>
        <v>2.6392432035704888E-8</v>
      </c>
      <c r="AX46" s="136" t="e">
        <f t="shared" si="11"/>
        <v>#N/A</v>
      </c>
      <c r="AY46" s="136">
        <f t="shared" si="12"/>
        <v>-5.750010000000005</v>
      </c>
      <c r="AZ46" s="136">
        <f t="shared" si="13"/>
        <v>-5.7499900000000057</v>
      </c>
      <c r="BA46" s="136">
        <f t="shared" si="14"/>
        <v>1.4469571274379459E-2</v>
      </c>
      <c r="BB46" s="136">
        <f t="shared" si="15"/>
        <v>1.4469667605292729E-2</v>
      </c>
      <c r="BC46" s="136" t="e">
        <f t="shared" si="16"/>
        <v>#N/A</v>
      </c>
      <c r="BD46" s="136">
        <f t="shared" si="22"/>
        <v>2.6392432035704888E-8</v>
      </c>
      <c r="BE46" s="136">
        <f t="shared" si="17"/>
        <v>-9.9997360756796439E-4</v>
      </c>
      <c r="BF46" s="136" t="e">
        <f t="shared" si="18"/>
        <v>#N/A</v>
      </c>
      <c r="BG46" s="136" t="e">
        <f t="shared" si="19"/>
        <v>#N/A</v>
      </c>
    </row>
    <row r="47" spans="1:59" ht="11.25" customHeight="1">
      <c r="J47" s="321"/>
      <c r="K47" s="321"/>
      <c r="L47" s="321"/>
      <c r="M47" s="321"/>
      <c r="N47" s="321"/>
      <c r="O47" s="321"/>
      <c r="P47" s="321"/>
      <c r="Q47" s="321"/>
      <c r="AC47" s="353"/>
      <c r="AD47" s="353"/>
      <c r="AE47" s="353"/>
      <c r="AF47" s="353"/>
      <c r="AG47" s="353"/>
      <c r="AH47" s="353"/>
      <c r="AI47" s="353"/>
      <c r="AJ47" s="353"/>
      <c r="AK47" s="353"/>
      <c r="AL47" s="353"/>
      <c r="AM47" s="353"/>
      <c r="AN47" s="353"/>
      <c r="AO47" s="353"/>
      <c r="AQ47" s="369">
        <v>0.4</v>
      </c>
      <c r="AR47" s="136">
        <f t="shared" si="8"/>
        <v>0.4</v>
      </c>
      <c r="AS47" s="136">
        <f t="shared" si="20"/>
        <v>0.43</v>
      </c>
      <c r="AU47" s="136">
        <f t="shared" si="9"/>
        <v>4.7338275538432085E-9</v>
      </c>
      <c r="AV47" s="136">
        <f t="shared" si="21"/>
        <v>-5.7400000000000055</v>
      </c>
      <c r="AW47" s="136">
        <f t="shared" si="10"/>
        <v>2.7953077580153754E-8</v>
      </c>
      <c r="AX47" s="136" t="e">
        <f t="shared" si="11"/>
        <v>#N/A</v>
      </c>
      <c r="AY47" s="136">
        <f t="shared" si="12"/>
        <v>-5.7400100000000052</v>
      </c>
      <c r="AZ47" s="136">
        <f t="shared" si="13"/>
        <v>-5.7399900000000059</v>
      </c>
      <c r="BA47" s="136">
        <f t="shared" si="14"/>
        <v>1.4517855230819273E-2</v>
      </c>
      <c r="BB47" s="136">
        <f t="shared" si="15"/>
        <v>1.4517952037195008E-2</v>
      </c>
      <c r="BC47" s="136" t="e">
        <f t="shared" si="16"/>
        <v>#N/A</v>
      </c>
      <c r="BD47" s="136">
        <f t="shared" si="22"/>
        <v>2.7953077580153754E-8</v>
      </c>
      <c r="BE47" s="136">
        <f t="shared" si="17"/>
        <v>-9.9997204692241996E-4</v>
      </c>
      <c r="BF47" s="136" t="e">
        <f t="shared" si="18"/>
        <v>#N/A</v>
      </c>
      <c r="BG47" s="136" t="e">
        <f t="shared" si="19"/>
        <v>#N/A</v>
      </c>
    </row>
    <row r="48" spans="1:59" ht="11.25" customHeight="1">
      <c r="A48" s="321"/>
      <c r="B48" s="321"/>
      <c r="C48" s="321"/>
      <c r="D48" s="321"/>
      <c r="E48" s="321"/>
      <c r="F48" s="321"/>
      <c r="G48" s="321"/>
      <c r="H48" s="321"/>
      <c r="I48" s="321"/>
      <c r="J48" s="321"/>
      <c r="K48" s="321"/>
      <c r="L48" s="321"/>
      <c r="M48" s="321"/>
      <c r="N48" s="321"/>
      <c r="O48" s="321"/>
      <c r="P48" s="321"/>
      <c r="Q48" s="321"/>
      <c r="AQ48" s="369">
        <v>0.6</v>
      </c>
      <c r="AR48" s="136">
        <f t="shared" si="8"/>
        <v>0.6</v>
      </c>
      <c r="AS48" s="136">
        <f t="shared" si="20"/>
        <v>0.43</v>
      </c>
      <c r="AU48" s="136">
        <f t="shared" si="9"/>
        <v>5.0215317249219037E-9</v>
      </c>
      <c r="AV48" s="136">
        <f t="shared" si="21"/>
        <v>-5.7300000000000058</v>
      </c>
      <c r="AW48" s="136">
        <f t="shared" si="10"/>
        <v>2.9603047252229099E-8</v>
      </c>
      <c r="AX48" s="136" t="e">
        <f t="shared" si="11"/>
        <v>#N/A</v>
      </c>
      <c r="AY48" s="136">
        <f t="shared" si="12"/>
        <v>-5.7300100000000054</v>
      </c>
      <c r="AZ48" s="136">
        <f t="shared" si="13"/>
        <v>-5.7299900000000061</v>
      </c>
      <c r="BA48" s="136">
        <f t="shared" si="14"/>
        <v>1.4566377687493406E-2</v>
      </c>
      <c r="BB48" s="136">
        <f t="shared" si="15"/>
        <v>1.4566474972417885E-2</v>
      </c>
      <c r="BC48" s="136" t="e">
        <f t="shared" si="16"/>
        <v>#N/A</v>
      </c>
      <c r="BD48" s="136">
        <f t="shared" si="22"/>
        <v>2.9603047252229099E-8</v>
      </c>
      <c r="BE48" s="136">
        <f t="shared" si="17"/>
        <v>-9.9997039695274778E-4</v>
      </c>
      <c r="BF48" s="136" t="e">
        <f t="shared" si="18"/>
        <v>#N/A</v>
      </c>
      <c r="BG48" s="136" t="e">
        <f t="shared" si="19"/>
        <v>#N/A</v>
      </c>
    </row>
    <row r="49" spans="1:59" ht="11.25" customHeight="1">
      <c r="A49" s="321"/>
      <c r="B49" s="321"/>
      <c r="C49" s="321"/>
      <c r="D49" s="321"/>
      <c r="E49" s="321"/>
      <c r="F49" s="321"/>
      <c r="G49" s="321"/>
      <c r="H49" s="321"/>
      <c r="I49" s="321"/>
      <c r="J49" s="321"/>
      <c r="K49" s="321"/>
      <c r="L49" s="321"/>
      <c r="M49" s="321"/>
      <c r="N49" s="321"/>
      <c r="O49" s="321"/>
      <c r="P49" s="321"/>
      <c r="Q49" s="321"/>
      <c r="R49" s="321"/>
      <c r="S49" s="321"/>
      <c r="T49" s="321"/>
      <c r="U49" s="321"/>
      <c r="V49" s="321"/>
      <c r="W49" s="321"/>
      <c r="X49" s="321"/>
      <c r="Y49" s="321"/>
      <c r="Z49" s="321"/>
      <c r="AA49" s="321"/>
      <c r="AB49" s="321"/>
      <c r="AQ49" s="369">
        <v>0.80000000000001004</v>
      </c>
      <c r="AR49" s="136">
        <f t="shared" si="8"/>
        <v>0.80000000000001004</v>
      </c>
      <c r="AS49" s="136">
        <f t="shared" si="20"/>
        <v>0.43</v>
      </c>
      <c r="AU49" s="136">
        <f t="shared" si="9"/>
        <v>5.326202659452609E-9</v>
      </c>
      <c r="AV49" s="136">
        <f t="shared" si="21"/>
        <v>-5.720000000000006</v>
      </c>
      <c r="AW49" s="136">
        <f t="shared" si="10"/>
        <v>3.1347273817918672E-8</v>
      </c>
      <c r="AX49" s="136" t="e">
        <f t="shared" si="11"/>
        <v>#N/A</v>
      </c>
      <c r="AY49" s="136">
        <f t="shared" si="12"/>
        <v>-5.7200100000000056</v>
      </c>
      <c r="AZ49" s="136">
        <f t="shared" si="13"/>
        <v>-5.7199900000000063</v>
      </c>
      <c r="BA49" s="136">
        <f t="shared" si="14"/>
        <v>1.4615140193691515E-2</v>
      </c>
      <c r="BB49" s="136">
        <f t="shared" si="15"/>
        <v>1.4615237960275702E-2</v>
      </c>
      <c r="BC49" s="136" t="e">
        <f t="shared" si="16"/>
        <v>#N/A</v>
      </c>
      <c r="BD49" s="136">
        <f t="shared" si="22"/>
        <v>3.1347273817918672E-8</v>
      </c>
      <c r="BE49" s="136">
        <f t="shared" si="17"/>
        <v>-9.9996865272618208E-4</v>
      </c>
      <c r="BF49" s="136" t="e">
        <f t="shared" si="18"/>
        <v>#N/A</v>
      </c>
      <c r="BG49" s="136" t="e">
        <f t="shared" si="19"/>
        <v>#N/A</v>
      </c>
    </row>
    <row r="50" spans="1:59" ht="11.25" customHeight="1">
      <c r="A50" s="321"/>
      <c r="B50" s="321"/>
      <c r="C50" s="321"/>
      <c r="D50" s="321"/>
      <c r="E50" s="321"/>
      <c r="F50" s="321"/>
      <c r="G50" s="321"/>
      <c r="H50" s="321"/>
      <c r="I50" s="321"/>
      <c r="J50" s="321"/>
      <c r="K50" s="321"/>
      <c r="L50" s="321"/>
      <c r="M50" s="321"/>
      <c r="N50" s="321"/>
      <c r="O50" s="321"/>
      <c r="P50" s="321"/>
      <c r="Q50" s="321"/>
      <c r="R50" s="321"/>
      <c r="S50" s="321"/>
      <c r="T50" s="321"/>
      <c r="U50" s="321"/>
      <c r="V50" s="321"/>
      <c r="W50" s="321"/>
      <c r="X50" s="321"/>
      <c r="Y50" s="321"/>
      <c r="Z50" s="321"/>
      <c r="AA50" s="321"/>
      <c r="AB50" s="321"/>
      <c r="AQ50" s="369">
        <v>1.00000000000001</v>
      </c>
      <c r="AR50" s="136">
        <f t="shared" si="8"/>
        <v>1.00000000000001</v>
      </c>
      <c r="AS50" s="136">
        <f t="shared" si="20"/>
        <v>0.43</v>
      </c>
      <c r="AU50" s="136">
        <f t="shared" si="9"/>
        <v>5.6488086755678095E-9</v>
      </c>
      <c r="AV50" s="136">
        <f t="shared" si="21"/>
        <v>-5.7100000000000062</v>
      </c>
      <c r="AW50" s="136">
        <f t="shared" si="10"/>
        <v>3.3190951836794195E-8</v>
      </c>
      <c r="AX50" s="136" t="e">
        <f t="shared" si="11"/>
        <v>#N/A</v>
      </c>
      <c r="AY50" s="136">
        <f t="shared" si="12"/>
        <v>-5.7100100000000058</v>
      </c>
      <c r="AZ50" s="136">
        <f t="shared" si="13"/>
        <v>-5.7099900000000066</v>
      </c>
      <c r="BA50" s="136">
        <f t="shared" si="14"/>
        <v>1.4664144311101359E-2</v>
      </c>
      <c r="BB50" s="136">
        <f t="shared" si="15"/>
        <v>1.4664242562481129E-2</v>
      </c>
      <c r="BC50" s="136" t="e">
        <f t="shared" si="16"/>
        <v>#N/A</v>
      </c>
      <c r="BD50" s="136">
        <f t="shared" si="22"/>
        <v>3.3190951836794195E-8</v>
      </c>
      <c r="BE50" s="136">
        <f t="shared" si="17"/>
        <v>-9.9996680904816324E-4</v>
      </c>
      <c r="BF50" s="136" t="e">
        <f t="shared" si="18"/>
        <v>#N/A</v>
      </c>
      <c r="BG50" s="136" t="e">
        <f t="shared" si="19"/>
        <v>#N/A</v>
      </c>
    </row>
    <row r="51" spans="1:59" ht="11.25" customHeight="1">
      <c r="A51" s="321"/>
      <c r="B51" s="321"/>
      <c r="C51" s="321"/>
      <c r="D51" s="321"/>
      <c r="E51" s="321"/>
      <c r="F51" s="321"/>
      <c r="G51" s="321"/>
      <c r="H51" s="321"/>
      <c r="I51" s="321"/>
      <c r="J51" s="321"/>
      <c r="K51" s="321"/>
      <c r="L51" s="321"/>
      <c r="M51" s="321"/>
      <c r="N51" s="321"/>
      <c r="O51" s="321"/>
      <c r="P51" s="321"/>
      <c r="Q51" s="321"/>
      <c r="R51" s="321"/>
      <c r="S51" s="321"/>
      <c r="T51" s="321"/>
      <c r="U51" s="321"/>
      <c r="V51" s="321"/>
      <c r="W51" s="321"/>
      <c r="X51" s="321"/>
      <c r="Y51" s="321"/>
      <c r="Z51" s="321"/>
      <c r="AA51" s="321"/>
      <c r="AB51" s="321"/>
      <c r="AC51" s="321"/>
      <c r="AD51" s="321"/>
      <c r="AE51" s="321"/>
      <c r="AF51" s="321"/>
      <c r="AG51" s="321"/>
      <c r="AH51" s="321"/>
      <c r="AI51" s="321"/>
      <c r="AJ51" s="321"/>
      <c r="AK51" s="321"/>
      <c r="AL51" s="321"/>
      <c r="AM51" s="321"/>
      <c r="AN51" s="321"/>
      <c r="AO51" s="321"/>
      <c r="AQ51" s="369">
        <v>1.2000000000000099</v>
      </c>
      <c r="AR51" s="136">
        <f t="shared" si="8"/>
        <v>1.2000000000000099</v>
      </c>
      <c r="AS51" s="136">
        <f t="shared" si="20"/>
        <v>0.43</v>
      </c>
      <c r="AU51" s="136">
        <f t="shared" si="9"/>
        <v>5.9903714010600844E-9</v>
      </c>
      <c r="AV51" s="136">
        <f t="shared" si="21"/>
        <v>-5.7000000000000064</v>
      </c>
      <c r="AW51" s="136">
        <f t="shared" si="10"/>
        <v>3.513955094820309E-8</v>
      </c>
      <c r="AX51" s="136" t="e">
        <f t="shared" si="11"/>
        <v>#N/A</v>
      </c>
      <c r="AY51" s="136">
        <f t="shared" si="12"/>
        <v>-5.700010000000006</v>
      </c>
      <c r="AZ51" s="136">
        <f t="shared" si="13"/>
        <v>-5.6999900000000068</v>
      </c>
      <c r="BA51" s="136">
        <f t="shared" si="14"/>
        <v>1.4713391613926072E-2</v>
      </c>
      <c r="BB51" s="136">
        <f t="shared" si="15"/>
        <v>1.4713490353262446E-2</v>
      </c>
      <c r="BC51" s="136" t="e">
        <f t="shared" si="16"/>
        <v>#N/A</v>
      </c>
      <c r="BD51" s="136">
        <f t="shared" si="22"/>
        <v>3.513955094820309E-8</v>
      </c>
      <c r="BE51" s="136">
        <f t="shared" si="17"/>
        <v>-9.9996486044905174E-4</v>
      </c>
      <c r="BF51" s="136" t="e">
        <f t="shared" si="18"/>
        <v>#N/A</v>
      </c>
      <c r="BG51" s="136" t="e">
        <f t="shared" si="19"/>
        <v>#N/A</v>
      </c>
    </row>
    <row r="52" spans="1:59" ht="11.25" customHeight="1">
      <c r="B52" s="321"/>
      <c r="C52" s="321"/>
      <c r="D52" s="321"/>
      <c r="E52" s="321"/>
      <c r="F52" s="321"/>
      <c r="G52" s="321"/>
      <c r="H52" s="321"/>
      <c r="I52" s="321"/>
      <c r="J52" s="321"/>
      <c r="K52" s="321"/>
      <c r="L52" s="321"/>
      <c r="M52" s="321"/>
      <c r="N52" s="321"/>
      <c r="O52" s="321"/>
      <c r="P52" s="321"/>
      <c r="Q52" s="321"/>
      <c r="R52" s="321"/>
      <c r="S52" s="321"/>
      <c r="T52" s="321"/>
      <c r="U52" s="321"/>
      <c r="V52" s="321"/>
      <c r="W52" s="321"/>
      <c r="X52" s="321"/>
      <c r="Y52" s="321"/>
      <c r="Z52" s="321"/>
      <c r="AA52" s="321"/>
      <c r="AB52" s="321"/>
      <c r="AC52" s="321"/>
      <c r="AD52" s="321"/>
      <c r="AE52" s="321"/>
      <c r="AF52" s="321"/>
      <c r="AG52" s="321"/>
      <c r="AH52" s="321"/>
      <c r="AI52" s="321"/>
      <c r="AJ52" s="321"/>
      <c r="AK52" s="321"/>
      <c r="AL52" s="321"/>
      <c r="AM52" s="321"/>
      <c r="AN52" s="321"/>
      <c r="AO52" s="321"/>
      <c r="AQ52" s="369">
        <v>1.4000000000000099</v>
      </c>
      <c r="AR52" s="136">
        <f t="shared" ref="AR52:AR70" si="23">IF($AR$4,AQ52,NA())</f>
        <v>1.4000000000000099</v>
      </c>
      <c r="AS52" s="136">
        <f t="shared" si="20"/>
        <v>0.43</v>
      </c>
      <c r="AU52" s="136">
        <f t="shared" si="9"/>
        <v>6.3519685932681828E-9</v>
      </c>
      <c r="AV52" s="136">
        <f t="shared" si="21"/>
        <v>-5.6900000000000066</v>
      </c>
      <c r="AW52" s="136">
        <f t="shared" si="10"/>
        <v>3.719882979801471E-8</v>
      </c>
      <c r="AX52" s="136" t="e">
        <f t="shared" si="11"/>
        <v>#N/A</v>
      </c>
      <c r="AY52" s="136">
        <f t="shared" si="12"/>
        <v>-5.6900100000000062</v>
      </c>
      <c r="AZ52" s="136">
        <f t="shared" si="13"/>
        <v>-5.689990000000007</v>
      </c>
      <c r="BA52" s="136">
        <f t="shared" si="14"/>
        <v>1.4762883689002573E-2</v>
      </c>
      <c r="BB52" s="136">
        <f t="shared" si="15"/>
        <v>1.4762982919481967E-2</v>
      </c>
      <c r="BC52" s="136" t="e">
        <f t="shared" si="16"/>
        <v>#N/A</v>
      </c>
      <c r="BD52" s="136">
        <f t="shared" si="22"/>
        <v>3.719882979801471E-8</v>
      </c>
      <c r="BE52" s="136">
        <f t="shared" si="17"/>
        <v>-9.9996280117020209E-4</v>
      </c>
      <c r="BF52" s="136" t="e">
        <f t="shared" si="18"/>
        <v>#N/A</v>
      </c>
      <c r="BG52" s="136" t="e">
        <f t="shared" si="19"/>
        <v>#N/A</v>
      </c>
    </row>
    <row r="53" spans="1:59" ht="11.25" customHeight="1">
      <c r="B53" s="321"/>
      <c r="C53" s="321"/>
      <c r="D53" s="321"/>
      <c r="E53" s="321"/>
      <c r="F53" s="321"/>
      <c r="G53" s="321"/>
      <c r="H53" s="321"/>
      <c r="I53" s="321"/>
      <c r="J53" s="321"/>
      <c r="K53" s="321"/>
      <c r="L53" s="321"/>
      <c r="M53" s="321"/>
      <c r="N53" s="321"/>
      <c r="O53" s="321"/>
      <c r="P53" s="321"/>
      <c r="Q53" s="321"/>
      <c r="R53" s="321"/>
      <c r="S53" s="321"/>
      <c r="T53" s="321"/>
      <c r="U53" s="321"/>
      <c r="V53" s="321"/>
      <c r="W53" s="321"/>
      <c r="X53" s="321"/>
      <c r="Y53" s="321"/>
      <c r="Z53" s="321"/>
      <c r="AA53" s="321"/>
      <c r="AB53" s="321"/>
      <c r="AC53" s="321"/>
      <c r="AD53" s="321"/>
      <c r="AE53" s="321"/>
      <c r="AF53" s="321"/>
      <c r="AG53" s="321"/>
      <c r="AH53" s="321"/>
      <c r="AI53" s="321"/>
      <c r="AJ53" s="321"/>
      <c r="AK53" s="321"/>
      <c r="AL53" s="321"/>
      <c r="AM53" s="321"/>
      <c r="AN53" s="321"/>
      <c r="AO53" s="321"/>
      <c r="AQ53" s="369">
        <v>1.6000000000000101</v>
      </c>
      <c r="AR53" s="136">
        <f t="shared" si="23"/>
        <v>1.6000000000000101</v>
      </c>
      <c r="AS53" s="136">
        <f t="shared" si="20"/>
        <v>0.43</v>
      </c>
      <c r="AU53" s="136">
        <f t="shared" si="9"/>
        <v>6.7347371015533519E-9</v>
      </c>
      <c r="AV53" s="136">
        <f t="shared" si="21"/>
        <v>-5.6800000000000068</v>
      </c>
      <c r="AW53" s="136">
        <f t="shared" si="10"/>
        <v>3.9374850634996962E-8</v>
      </c>
      <c r="AX53" s="136" t="e">
        <f t="shared" si="11"/>
        <v>#N/A</v>
      </c>
      <c r="AY53" s="136">
        <f t="shared" si="12"/>
        <v>-5.6800100000000064</v>
      </c>
      <c r="AZ53" s="136">
        <f t="shared" si="13"/>
        <v>-5.6799900000000072</v>
      </c>
      <c r="BA53" s="136">
        <f t="shared" si="14"/>
        <v>1.4812622135921341E-2</v>
      </c>
      <c r="BB53" s="136">
        <f t="shared" si="15"/>
        <v>1.4812721860755806E-2</v>
      </c>
      <c r="BC53" s="136" t="e">
        <f t="shared" si="16"/>
        <v>#N/A</v>
      </c>
      <c r="BD53" s="136">
        <f t="shared" si="22"/>
        <v>3.9374850634996962E-8</v>
      </c>
      <c r="BE53" s="136">
        <f t="shared" si="17"/>
        <v>-9.9996062514936504E-4</v>
      </c>
      <c r="BF53" s="136" t="e">
        <f t="shared" si="18"/>
        <v>#N/A</v>
      </c>
      <c r="BG53" s="136" t="e">
        <f t="shared" si="19"/>
        <v>#N/A</v>
      </c>
    </row>
    <row r="54" spans="1:59" ht="11.25" customHeight="1">
      <c r="B54" s="321"/>
      <c r="C54" s="321"/>
      <c r="D54" s="321"/>
      <c r="E54" s="321"/>
      <c r="F54" s="321"/>
      <c r="G54" s="321"/>
      <c r="H54" s="321"/>
      <c r="I54" s="321"/>
      <c r="J54" s="321"/>
      <c r="K54" s="321"/>
      <c r="L54" s="321"/>
      <c r="M54" s="321"/>
      <c r="N54" s="321"/>
      <c r="O54" s="321"/>
      <c r="P54" s="321"/>
      <c r="Q54" s="321"/>
      <c r="R54" s="321"/>
      <c r="S54" s="321"/>
      <c r="T54" s="321"/>
      <c r="U54" s="321"/>
      <c r="V54" s="321"/>
      <c r="W54" s="321"/>
      <c r="X54" s="321"/>
      <c r="Y54" s="321"/>
      <c r="Z54" s="321"/>
      <c r="AA54" s="321"/>
      <c r="AB54" s="321"/>
      <c r="AC54" s="321"/>
      <c r="AD54" s="321"/>
      <c r="AE54" s="321"/>
      <c r="AF54" s="321"/>
      <c r="AG54" s="321"/>
      <c r="AH54" s="321"/>
      <c r="AI54" s="321"/>
      <c r="AJ54" s="321"/>
      <c r="AK54" s="321"/>
      <c r="AL54" s="321"/>
      <c r="AM54" s="321"/>
      <c r="AN54" s="321"/>
      <c r="AO54" s="321"/>
      <c r="AQ54" s="369">
        <v>1.80000000000001</v>
      </c>
      <c r="AR54" s="136">
        <f t="shared" si="23"/>
        <v>1.80000000000001</v>
      </c>
      <c r="AS54" s="136">
        <f t="shared" si="20"/>
        <v>0.43</v>
      </c>
      <c r="AT54" s="321"/>
      <c r="AU54" s="136">
        <f t="shared" si="9"/>
        <v>7.1398759792138114E-9</v>
      </c>
      <c r="AV54" s="136">
        <f t="shared" si="21"/>
        <v>-5.670000000000007</v>
      </c>
      <c r="AW54" s="136">
        <f t="shared" si="10"/>
        <v>4.1673994607121722E-8</v>
      </c>
      <c r="AX54" s="136" t="e">
        <f t="shared" si="11"/>
        <v>#N/A</v>
      </c>
      <c r="AY54" s="136">
        <f t="shared" si="12"/>
        <v>-5.6700100000000067</v>
      </c>
      <c r="AZ54" s="136">
        <f t="shared" si="13"/>
        <v>-5.6699900000000074</v>
      </c>
      <c r="BA54" s="136">
        <f t="shared" si="14"/>
        <v>1.4862608567147507E-2</v>
      </c>
      <c r="BB54" s="136">
        <f t="shared" si="15"/>
        <v>1.4862708789574939E-2</v>
      </c>
      <c r="BC54" s="136" t="e">
        <f t="shared" si="16"/>
        <v>#N/A</v>
      </c>
      <c r="BD54" s="136">
        <f t="shared" si="22"/>
        <v>4.1673994607121722E-8</v>
      </c>
      <c r="BE54" s="136">
        <f t="shared" si="17"/>
        <v>-9.9995832600539283E-4</v>
      </c>
      <c r="BF54" s="136" t="e">
        <f t="shared" si="18"/>
        <v>#N/A</v>
      </c>
      <c r="BG54" s="136" t="e">
        <f t="shared" si="19"/>
        <v>#N/A</v>
      </c>
    </row>
    <row r="55" spans="1:59" ht="11.25" customHeight="1">
      <c r="B55" s="321"/>
      <c r="C55" s="321"/>
      <c r="D55" s="321"/>
      <c r="E55" s="321"/>
      <c r="F55" s="321"/>
      <c r="G55" s="321"/>
      <c r="H55" s="321"/>
      <c r="I55" s="321"/>
      <c r="J55" s="321"/>
      <c r="K55" s="321"/>
      <c r="L55" s="321"/>
      <c r="M55" s="321"/>
      <c r="N55" s="321"/>
      <c r="O55" s="321"/>
      <c r="P55" s="321"/>
      <c r="Q55" s="321"/>
      <c r="R55" s="321"/>
      <c r="S55" s="321"/>
      <c r="T55" s="321"/>
      <c r="U55" s="321"/>
      <c r="V55" s="321"/>
      <c r="W55" s="321"/>
      <c r="X55" s="321"/>
      <c r="Y55" s="321"/>
      <c r="Z55" s="321"/>
      <c r="AA55" s="321"/>
      <c r="AB55" s="321"/>
      <c r="AC55" s="321"/>
      <c r="AD55" s="321"/>
      <c r="AE55" s="321"/>
      <c r="AF55" s="321"/>
      <c r="AG55" s="321"/>
      <c r="AH55" s="321"/>
      <c r="AI55" s="321"/>
      <c r="AJ55" s="321"/>
      <c r="AK55" s="321"/>
      <c r="AL55" s="321"/>
      <c r="AM55" s="321"/>
      <c r="AN55" s="321"/>
      <c r="AO55" s="321"/>
      <c r="AQ55" s="369">
        <v>2.0000000000000102</v>
      </c>
      <c r="AR55" s="136">
        <f t="shared" si="23"/>
        <v>2.0000000000000102</v>
      </c>
      <c r="AS55" s="136">
        <f t="shared" si="20"/>
        <v>0.43</v>
      </c>
      <c r="AT55" s="321"/>
      <c r="AU55" s="136">
        <f t="shared" si="9"/>
        <v>7.5686497519926647E-9</v>
      </c>
      <c r="AV55" s="136">
        <f t="shared" si="21"/>
        <v>-5.6600000000000072</v>
      </c>
      <c r="AW55" s="136">
        <f t="shared" si="10"/>
        <v>4.4102977789371349E-8</v>
      </c>
      <c r="AX55" s="136" t="e">
        <f t="shared" si="11"/>
        <v>#N/A</v>
      </c>
      <c r="AY55" s="136">
        <f t="shared" si="12"/>
        <v>-5.6600100000000069</v>
      </c>
      <c r="AZ55" s="136">
        <f t="shared" si="13"/>
        <v>-5.6599900000000076</v>
      </c>
      <c r="BA55" s="136">
        <f t="shared" si="14"/>
        <v>1.4912844608143159E-2</v>
      </c>
      <c r="BB55" s="136">
        <f t="shared" si="15"/>
        <v>1.4912945331427604E-2</v>
      </c>
      <c r="BC55" s="136" t="e">
        <f t="shared" si="16"/>
        <v>#N/A</v>
      </c>
      <c r="BD55" s="136">
        <f t="shared" si="22"/>
        <v>4.4102977789371349E-8</v>
      </c>
      <c r="BE55" s="136">
        <f t="shared" si="17"/>
        <v>-9.9995589702221071E-4</v>
      </c>
      <c r="BF55" s="136" t="e">
        <f t="shared" si="18"/>
        <v>#N/A</v>
      </c>
      <c r="BG55" s="136" t="e">
        <f t="shared" si="19"/>
        <v>#N/A</v>
      </c>
    </row>
    <row r="56" spans="1:59" ht="11.25" customHeight="1">
      <c r="B56" s="321"/>
      <c r="C56" s="321"/>
      <c r="D56" s="321"/>
      <c r="E56" s="321"/>
      <c r="F56" s="321"/>
      <c r="G56" s="321"/>
      <c r="H56" s="321"/>
      <c r="I56" s="321"/>
      <c r="J56" s="321"/>
      <c r="K56" s="321"/>
      <c r="L56" s="321"/>
      <c r="M56" s="321"/>
      <c r="N56" s="321"/>
      <c r="O56" s="321"/>
      <c r="P56" s="321"/>
      <c r="Q56" s="321"/>
      <c r="R56" s="321"/>
      <c r="S56" s="321"/>
      <c r="T56" s="321"/>
      <c r="U56" s="321"/>
      <c r="V56" s="321"/>
      <c r="W56" s="321"/>
      <c r="X56" s="321"/>
      <c r="Y56" s="321"/>
      <c r="Z56" s="321"/>
      <c r="AA56" s="321"/>
      <c r="AB56" s="321"/>
      <c r="AC56" s="321"/>
      <c r="AD56" s="321"/>
      <c r="AE56" s="321"/>
      <c r="AF56" s="321"/>
      <c r="AG56" s="321"/>
      <c r="AH56" s="321"/>
      <c r="AI56" s="321"/>
      <c r="AJ56" s="321"/>
      <c r="AK56" s="321"/>
      <c r="AL56" s="321"/>
      <c r="AM56" s="321"/>
      <c r="AN56" s="321"/>
      <c r="AO56" s="321"/>
      <c r="AQ56" s="369">
        <v>2.2000000000000099</v>
      </c>
      <c r="AR56" s="136">
        <f t="shared" si="23"/>
        <v>2.2000000000000099</v>
      </c>
      <c r="AS56" s="136">
        <f t="shared" si="20"/>
        <v>0.43</v>
      </c>
      <c r="AT56" s="321"/>
      <c r="AU56" s="136">
        <f t="shared" si="9"/>
        <v>8.0223918506579649E-9</v>
      </c>
      <c r="AV56" s="136">
        <f t="shared" si="21"/>
        <v>-5.6500000000000075</v>
      </c>
      <c r="AW56" s="136">
        <f t="shared" si="10"/>
        <v>4.6668867975940648E-8</v>
      </c>
      <c r="AX56" s="136" t="e">
        <f t="shared" si="11"/>
        <v>#N/A</v>
      </c>
      <c r="AY56" s="136">
        <f t="shared" si="12"/>
        <v>-5.6500100000000071</v>
      </c>
      <c r="AZ56" s="136">
        <f t="shared" si="13"/>
        <v>-5.6499900000000078</v>
      </c>
      <c r="BA56" s="136">
        <f t="shared" si="14"/>
        <v>1.4963331897491145E-2</v>
      </c>
      <c r="BB56" s="136">
        <f t="shared" si="15"/>
        <v>1.4963433124922983E-2</v>
      </c>
      <c r="BC56" s="136" t="e">
        <f t="shared" si="16"/>
        <v>#N/A</v>
      </c>
      <c r="BD56" s="136">
        <f t="shared" si="22"/>
        <v>4.6668867975940648E-8</v>
      </c>
      <c r="BE56" s="136">
        <f t="shared" si="17"/>
        <v>-9.9995333113202418E-4</v>
      </c>
      <c r="BF56" s="136" t="e">
        <f t="shared" si="18"/>
        <v>#N/A</v>
      </c>
      <c r="BG56" s="136" t="e">
        <f t="shared" si="19"/>
        <v>#N/A</v>
      </c>
    </row>
    <row r="57" spans="1:59" ht="11.25" customHeight="1">
      <c r="B57" s="321"/>
      <c r="C57" s="321"/>
      <c r="D57" s="321"/>
      <c r="E57" s="321"/>
      <c r="F57" s="321"/>
      <c r="G57" s="321"/>
      <c r="H57" s="321"/>
      <c r="I57" s="321"/>
      <c r="J57" s="321"/>
      <c r="K57" s="321"/>
      <c r="L57" s="321"/>
      <c r="M57" s="321"/>
      <c r="N57" s="321"/>
      <c r="O57" s="321"/>
      <c r="P57" s="321"/>
      <c r="Q57" s="321"/>
      <c r="R57" s="321"/>
      <c r="S57" s="321"/>
      <c r="T57" s="321"/>
      <c r="U57" s="321"/>
      <c r="V57" s="321"/>
      <c r="W57" s="321"/>
      <c r="X57" s="321"/>
      <c r="Y57" s="321"/>
      <c r="Z57" s="321"/>
      <c r="AA57" s="321"/>
      <c r="AB57" s="321"/>
      <c r="AC57" s="321"/>
      <c r="AD57" s="321"/>
      <c r="AE57" s="321"/>
      <c r="AF57" s="321"/>
      <c r="AG57" s="321"/>
      <c r="AH57" s="321"/>
      <c r="AI57" s="321"/>
      <c r="AJ57" s="321"/>
      <c r="AK57" s="321"/>
      <c r="AL57" s="321"/>
      <c r="AM57" s="321"/>
      <c r="AN57" s="321"/>
      <c r="AO57" s="321"/>
      <c r="AQ57" s="369">
        <v>2.4000000000000101</v>
      </c>
      <c r="AR57" s="136">
        <f t="shared" si="23"/>
        <v>2.4000000000000101</v>
      </c>
      <c r="AS57" s="136">
        <f t="shared" si="20"/>
        <v>0.43</v>
      </c>
      <c r="AT57" s="321"/>
      <c r="AU57" s="136">
        <f t="shared" si="9"/>
        <v>8.5025082154689529E-9</v>
      </c>
      <c r="AV57" s="136">
        <f t="shared" si="21"/>
        <v>-5.6400000000000077</v>
      </c>
      <c r="AW57" s="136">
        <f t="shared" si="10"/>
        <v>4.9379102271102286E-8</v>
      </c>
      <c r="AX57" s="136" t="e">
        <f t="shared" si="11"/>
        <v>#N/A</v>
      </c>
      <c r="AY57" s="136">
        <f t="shared" si="12"/>
        <v>-5.6400100000000073</v>
      </c>
      <c r="AZ57" s="136">
        <f t="shared" si="13"/>
        <v>-5.6399900000000081</v>
      </c>
      <c r="BA57" s="136">
        <f t="shared" si="14"/>
        <v>1.5014072087020013E-2</v>
      </c>
      <c r="BB57" s="136">
        <f t="shared" si="15"/>
        <v>1.5014173821916275E-2</v>
      </c>
      <c r="BC57" s="136" t="e">
        <f t="shared" si="16"/>
        <v>#N/A</v>
      </c>
      <c r="BD57" s="136">
        <f t="shared" si="22"/>
        <v>4.9379102271102286E-8</v>
      </c>
      <c r="BE57" s="136">
        <f t="shared" si="17"/>
        <v>-9.9995062089772895E-4</v>
      </c>
      <c r="BF57" s="136" t="e">
        <f t="shared" si="18"/>
        <v>#N/A</v>
      </c>
      <c r="BG57" s="136" t="e">
        <f t="shared" si="19"/>
        <v>#N/A</v>
      </c>
    </row>
    <row r="58" spans="1:59" ht="11.25" customHeight="1">
      <c r="B58" s="321"/>
      <c r="C58" s="321"/>
      <c r="D58" s="321"/>
      <c r="E58" s="321"/>
      <c r="F58" s="321"/>
      <c r="G58" s="321"/>
      <c r="H58" s="321"/>
      <c r="I58" s="321"/>
      <c r="J58" s="321"/>
      <c r="K58" s="321"/>
      <c r="L58" s="321"/>
      <c r="M58" s="321"/>
      <c r="N58" s="321"/>
      <c r="O58" s="321"/>
      <c r="P58" s="321"/>
      <c r="Q58" s="321"/>
      <c r="R58" s="321"/>
      <c r="S58" s="321"/>
      <c r="T58" s="321"/>
      <c r="U58" s="321"/>
      <c r="V58" s="321"/>
      <c r="W58" s="321"/>
      <c r="X58" s="321"/>
      <c r="Y58" s="321"/>
      <c r="Z58" s="321"/>
      <c r="AA58" s="321"/>
      <c r="AB58" s="321"/>
      <c r="AC58" s="321"/>
      <c r="AD58" s="321"/>
      <c r="AE58" s="321"/>
      <c r="AF58" s="321"/>
      <c r="AG58" s="321"/>
      <c r="AH58" s="321"/>
      <c r="AI58" s="321"/>
      <c r="AJ58" s="321"/>
      <c r="AK58" s="321"/>
      <c r="AL58" s="321"/>
      <c r="AM58" s="321"/>
      <c r="AN58" s="321"/>
      <c r="AO58" s="321"/>
      <c r="AQ58" s="369">
        <v>2.6000000000000099</v>
      </c>
      <c r="AR58" s="136">
        <f t="shared" si="23"/>
        <v>2.6000000000000099</v>
      </c>
      <c r="AS58" s="136">
        <f t="shared" si="20"/>
        <v>0.43</v>
      </c>
      <c r="AT58" s="321"/>
      <c r="AU58" s="136">
        <f t="shared" si="9"/>
        <v>9.0104810806923625E-9</v>
      </c>
      <c r="AV58" s="136">
        <f t="shared" si="21"/>
        <v>-5.6300000000000079</v>
      </c>
      <c r="AW58" s="136">
        <f t="shared" si="10"/>
        <v>5.2241505514422051E-8</v>
      </c>
      <c r="AX58" s="136" t="e">
        <f t="shared" si="11"/>
        <v>#N/A</v>
      </c>
      <c r="AY58" s="136">
        <f t="shared" si="12"/>
        <v>-5.6300100000000075</v>
      </c>
      <c r="AZ58" s="136">
        <f t="shared" si="13"/>
        <v>-5.6299900000000083</v>
      </c>
      <c r="BA58" s="136">
        <f t="shared" si="14"/>
        <v>1.5065066841930579E-2</v>
      </c>
      <c r="BB58" s="136">
        <f t="shared" si="15"/>
        <v>1.506516908763514E-2</v>
      </c>
      <c r="BC58" s="136" t="e">
        <f t="shared" si="16"/>
        <v>#N/A</v>
      </c>
      <c r="BD58" s="136">
        <f t="shared" si="22"/>
        <v>5.2241505514422051E-8</v>
      </c>
      <c r="BE58" s="136">
        <f t="shared" si="17"/>
        <v>-9.999477584944857E-4</v>
      </c>
      <c r="BF58" s="136" t="e">
        <f t="shared" si="18"/>
        <v>#N/A</v>
      </c>
      <c r="BG58" s="136" t="e">
        <f t="shared" si="19"/>
        <v>#N/A</v>
      </c>
    </row>
    <row r="59" spans="1:59" ht="11.25" customHeight="1">
      <c r="B59" s="321"/>
      <c r="C59" s="321"/>
      <c r="D59" s="321"/>
      <c r="E59" s="321"/>
      <c r="F59" s="321"/>
      <c r="G59" s="321"/>
      <c r="H59" s="321"/>
      <c r="I59" s="321"/>
      <c r="J59" s="321"/>
      <c r="K59" s="321"/>
      <c r="L59" s="321"/>
      <c r="M59" s="321"/>
      <c r="N59" s="321"/>
      <c r="O59" s="321"/>
      <c r="P59" s="321"/>
      <c r="Q59" s="321"/>
      <c r="R59" s="321"/>
      <c r="S59" s="321"/>
      <c r="T59" s="321"/>
      <c r="U59" s="321"/>
      <c r="V59" s="321"/>
      <c r="W59" s="321"/>
      <c r="X59" s="321"/>
      <c r="Y59" s="321"/>
      <c r="Z59" s="321"/>
      <c r="AA59" s="321"/>
      <c r="AB59" s="321"/>
      <c r="AC59" s="321"/>
      <c r="AD59" s="321"/>
      <c r="AE59" s="321"/>
      <c r="AF59" s="321"/>
      <c r="AG59" s="321"/>
      <c r="AH59" s="321"/>
      <c r="AI59" s="321"/>
      <c r="AJ59" s="321"/>
      <c r="AK59" s="321"/>
      <c r="AL59" s="321"/>
      <c r="AM59" s="321"/>
      <c r="AN59" s="321"/>
      <c r="AO59" s="321"/>
      <c r="AQ59" s="369">
        <v>2.80000000000001</v>
      </c>
      <c r="AR59" s="136">
        <f t="shared" si="23"/>
        <v>2.80000000000001</v>
      </c>
      <c r="AS59" s="136">
        <f t="shared" si="20"/>
        <v>0.43</v>
      </c>
      <c r="AT59" s="321"/>
      <c r="AU59" s="136">
        <f t="shared" si="9"/>
        <v>9.5478729476969196E-9</v>
      </c>
      <c r="AV59" s="136">
        <f t="shared" si="21"/>
        <v>-5.6200000000000081</v>
      </c>
      <c r="AW59" s="136">
        <f t="shared" si="10"/>
        <v>5.5264309577494689E-8</v>
      </c>
      <c r="AX59" s="136" t="e">
        <f t="shared" si="11"/>
        <v>#N/A</v>
      </c>
      <c r="AY59" s="136">
        <f t="shared" si="12"/>
        <v>-5.6200100000000077</v>
      </c>
      <c r="AZ59" s="136">
        <f t="shared" si="13"/>
        <v>-5.6199900000000085</v>
      </c>
      <c r="BA59" s="136">
        <f t="shared" si="14"/>
        <v>1.5116317840923613E-2</v>
      </c>
      <c r="BB59" s="136">
        <f t="shared" si="15"/>
        <v>1.5116420600807486E-2</v>
      </c>
      <c r="BC59" s="136" t="e">
        <f t="shared" si="16"/>
        <v>#N/A</v>
      </c>
      <c r="BD59" s="136">
        <f t="shared" si="22"/>
        <v>5.5264309577494689E-8</v>
      </c>
      <c r="BE59" s="136">
        <f t="shared" si="17"/>
        <v>-9.9994473569042243E-4</v>
      </c>
      <c r="BF59" s="136" t="e">
        <f t="shared" si="18"/>
        <v>#N/A</v>
      </c>
      <c r="BG59" s="136" t="e">
        <f t="shared" si="19"/>
        <v>#N/A</v>
      </c>
    </row>
    <row r="60" spans="1:59" ht="11.25" customHeight="1">
      <c r="B60" s="321"/>
      <c r="C60" s="321"/>
      <c r="D60" s="321"/>
      <c r="E60" s="321"/>
      <c r="F60" s="321"/>
      <c r="G60" s="321"/>
      <c r="H60" s="321"/>
      <c r="I60" s="321"/>
      <c r="J60" s="321"/>
      <c r="K60" s="321"/>
      <c r="L60" s="321"/>
      <c r="M60" s="321"/>
      <c r="N60" s="321"/>
      <c r="O60" s="321"/>
      <c r="P60" s="321"/>
      <c r="Q60" s="321"/>
      <c r="R60" s="321"/>
      <c r="S60" s="321"/>
      <c r="T60" s="321"/>
      <c r="U60" s="321"/>
      <c r="V60" s="321"/>
      <c r="W60" s="321"/>
      <c r="X60" s="321"/>
      <c r="Y60" s="321"/>
      <c r="Z60" s="321"/>
      <c r="AA60" s="321"/>
      <c r="AB60" s="321"/>
      <c r="AC60" s="321"/>
      <c r="AD60" s="321"/>
      <c r="AE60" s="321"/>
      <c r="AF60" s="321"/>
      <c r="AG60" s="321"/>
      <c r="AH60" s="321"/>
      <c r="AI60" s="321"/>
      <c r="AJ60" s="321"/>
      <c r="AK60" s="321"/>
      <c r="AL60" s="321"/>
      <c r="AM60" s="321"/>
      <c r="AN60" s="321"/>
      <c r="AO60" s="321"/>
      <c r="AQ60" s="369">
        <v>3.0000000000000102</v>
      </c>
      <c r="AR60" s="136">
        <f t="shared" si="23"/>
        <v>3.0000000000000102</v>
      </c>
      <c r="AS60" s="136">
        <f t="shared" si="20"/>
        <v>0.43</v>
      </c>
      <c r="AT60" s="321"/>
      <c r="AU60" s="136">
        <f t="shared" si="9"/>
        <v>1.0116330755533319E-8</v>
      </c>
      <c r="AV60" s="136">
        <f t="shared" si="21"/>
        <v>-5.6100000000000083</v>
      </c>
      <c r="AW60" s="136">
        <f t="shared" si="10"/>
        <v>5.8456173570897893E-8</v>
      </c>
      <c r="AX60" s="136" t="e">
        <f t="shared" si="11"/>
        <v>#N/A</v>
      </c>
      <c r="AY60" s="136">
        <f t="shared" si="12"/>
        <v>-5.6100100000000079</v>
      </c>
      <c r="AZ60" s="136">
        <f t="shared" si="13"/>
        <v>-5.6099900000000087</v>
      </c>
      <c r="BA60" s="136">
        <f t="shared" si="14"/>
        <v>1.5167826776329099E-2</v>
      </c>
      <c r="BB60" s="136">
        <f t="shared" si="15"/>
        <v>1.5167930053790689E-2</v>
      </c>
      <c r="BC60" s="136" t="e">
        <f t="shared" si="16"/>
        <v>#N/A</v>
      </c>
      <c r="BD60" s="136">
        <f t="shared" si="22"/>
        <v>5.8456173570897893E-8</v>
      </c>
      <c r="BE60" s="136">
        <f t="shared" si="17"/>
        <v>-9.9994154382642905E-4</v>
      </c>
      <c r="BF60" s="136" t="e">
        <f t="shared" si="18"/>
        <v>#N/A</v>
      </c>
      <c r="BG60" s="136" t="e">
        <f t="shared" si="19"/>
        <v>#N/A</v>
      </c>
    </row>
    <row r="61" spans="1:59" ht="11.25" customHeight="1">
      <c r="B61" s="321"/>
      <c r="C61" s="321"/>
      <c r="D61" s="321"/>
      <c r="E61" s="321"/>
      <c r="F61" s="321"/>
      <c r="G61" s="321"/>
      <c r="H61" s="321"/>
      <c r="I61" s="321"/>
      <c r="J61" s="321"/>
      <c r="K61" s="321"/>
      <c r="L61" s="321"/>
      <c r="M61" s="321"/>
      <c r="N61" s="321"/>
      <c r="O61" s="321"/>
      <c r="P61" s="321"/>
      <c r="Q61" s="321"/>
      <c r="R61" s="321"/>
      <c r="S61" s="321"/>
      <c r="T61" s="321"/>
      <c r="U61" s="321"/>
      <c r="V61" s="321"/>
      <c r="W61" s="321"/>
      <c r="X61" s="321"/>
      <c r="Y61" s="321"/>
      <c r="Z61" s="321"/>
      <c r="AA61" s="321"/>
      <c r="AB61" s="321"/>
      <c r="AC61" s="321"/>
      <c r="AD61" s="321"/>
      <c r="AE61" s="321"/>
      <c r="AF61" s="321"/>
      <c r="AG61" s="321"/>
      <c r="AH61" s="321"/>
      <c r="AI61" s="321"/>
      <c r="AJ61" s="321"/>
      <c r="AK61" s="321"/>
      <c r="AL61" s="321"/>
      <c r="AM61" s="321"/>
      <c r="AN61" s="321"/>
      <c r="AO61" s="321"/>
      <c r="AQ61" s="369">
        <v>3.2000000000000099</v>
      </c>
      <c r="AR61" s="136">
        <f t="shared" si="23"/>
        <v>3.2000000000000099</v>
      </c>
      <c r="AS61" s="136">
        <f t="shared" si="20"/>
        <v>0.43</v>
      </c>
      <c r="AT61" s="321"/>
      <c r="AU61" s="136">
        <f t="shared" si="9"/>
        <v>1.0717590258302018E-8</v>
      </c>
      <c r="AV61" s="136">
        <f t="shared" si="21"/>
        <v>-5.6000000000000085</v>
      </c>
      <c r="AW61" s="136">
        <f t="shared" si="10"/>
        <v>6.1826205001655489E-8</v>
      </c>
      <c r="AX61" s="136" t="e">
        <f t="shared" si="11"/>
        <v>#N/A</v>
      </c>
      <c r="AY61" s="136">
        <f t="shared" si="12"/>
        <v>-5.6000100000000081</v>
      </c>
      <c r="AZ61" s="136">
        <f t="shared" si="13"/>
        <v>-5.5999900000000089</v>
      </c>
      <c r="BA61" s="136">
        <f t="shared" si="14"/>
        <v>1.5219595354236856E-2</v>
      </c>
      <c r="BB61" s="136">
        <f t="shared" si="15"/>
        <v>1.521969915270222E-2</v>
      </c>
      <c r="BC61" s="136" t="e">
        <f t="shared" si="16"/>
        <v>#N/A</v>
      </c>
      <c r="BD61" s="136">
        <f t="shared" si="22"/>
        <v>6.1826205001655489E-8</v>
      </c>
      <c r="BE61" s="136">
        <f t="shared" si="17"/>
        <v>-9.9993817379499827E-4</v>
      </c>
      <c r="BF61" s="136" t="e">
        <f t="shared" si="18"/>
        <v>#N/A</v>
      </c>
      <c r="BG61" s="136" t="e">
        <f t="shared" si="19"/>
        <v>#N/A</v>
      </c>
    </row>
    <row r="62" spans="1:59" ht="11.25" customHeight="1">
      <c r="B62" s="321"/>
      <c r="C62" s="321"/>
      <c r="D62" s="321"/>
      <c r="E62" s="321"/>
      <c r="F62" s="321"/>
      <c r="G62" s="321"/>
      <c r="H62" s="321"/>
      <c r="I62" s="321"/>
      <c r="J62" s="321"/>
      <c r="K62" s="321"/>
      <c r="L62" s="321"/>
      <c r="M62" s="321"/>
      <c r="N62" s="321"/>
      <c r="O62" s="321"/>
      <c r="P62" s="321"/>
      <c r="Q62" s="321"/>
      <c r="R62" s="321"/>
      <c r="S62" s="321"/>
      <c r="T62" s="321"/>
      <c r="U62" s="321"/>
      <c r="V62" s="321"/>
      <c r="W62" s="321"/>
      <c r="X62" s="321"/>
      <c r="Y62" s="321"/>
      <c r="Z62" s="321"/>
      <c r="AA62" s="321"/>
      <c r="AB62" s="321"/>
      <c r="AC62" s="321"/>
      <c r="AD62" s="321"/>
      <c r="AE62" s="321"/>
      <c r="AF62" s="321"/>
      <c r="AG62" s="321"/>
      <c r="AH62" s="321"/>
      <c r="AI62" s="321"/>
      <c r="AJ62" s="321"/>
      <c r="AK62" s="321"/>
      <c r="AL62" s="321"/>
      <c r="AM62" s="321"/>
      <c r="AN62" s="321"/>
      <c r="AO62" s="321"/>
      <c r="AQ62" s="369">
        <v>3.4000000000000101</v>
      </c>
      <c r="AR62" s="136">
        <f t="shared" si="23"/>
        <v>3.4000000000000101</v>
      </c>
      <c r="AS62" s="136">
        <f t="shared" si="20"/>
        <v>0.43</v>
      </c>
      <c r="AT62" s="321"/>
      <c r="AU62" s="136">
        <f t="shared" si="9"/>
        <v>1.1353480619022411E-8</v>
      </c>
      <c r="AV62" s="136">
        <f t="shared" si="21"/>
        <v>-5.5900000000000087</v>
      </c>
      <c r="AW62" s="136">
        <f t="shared" si="10"/>
        <v>6.5383981923148184E-8</v>
      </c>
      <c r="AX62" s="136" t="e">
        <f t="shared" si="11"/>
        <v>#N/A</v>
      </c>
      <c r="AY62" s="136">
        <f t="shared" si="12"/>
        <v>-5.5900100000000084</v>
      </c>
      <c r="AZ62" s="136">
        <f t="shared" si="13"/>
        <v>-5.5899900000000091</v>
      </c>
      <c r="BA62" s="136">
        <f t="shared" si="14"/>
        <v>1.5271625294628593E-2</v>
      </c>
      <c r="BB62" s="136">
        <f t="shared" si="15"/>
        <v>1.5271729617551714E-2</v>
      </c>
      <c r="BC62" s="136" t="e">
        <f t="shared" si="16"/>
        <v>#N/A</v>
      </c>
      <c r="BD62" s="136">
        <f t="shared" si="22"/>
        <v>6.5383981923148184E-8</v>
      </c>
      <c r="BE62" s="136">
        <f t="shared" si="17"/>
        <v>-9.9993461601807689E-4</v>
      </c>
      <c r="BF62" s="136" t="e">
        <f t="shared" si="18"/>
        <v>#N/A</v>
      </c>
      <c r="BG62" s="136" t="e">
        <f t="shared" si="19"/>
        <v>#N/A</v>
      </c>
    </row>
    <row r="63" spans="1:59" ht="11.25" customHeight="1">
      <c r="B63" s="321"/>
      <c r="C63" s="321"/>
      <c r="D63" s="321"/>
      <c r="E63" s="321"/>
      <c r="F63" s="321"/>
      <c r="G63" s="321"/>
      <c r="H63" s="321"/>
      <c r="I63" s="321"/>
      <c r="J63" s="321"/>
      <c r="K63" s="321"/>
      <c r="L63" s="321"/>
      <c r="M63" s="321"/>
      <c r="N63" s="321"/>
      <c r="O63" s="321"/>
      <c r="P63" s="321"/>
      <c r="Q63" s="321"/>
      <c r="R63" s="321"/>
      <c r="S63" s="321"/>
      <c r="T63" s="321"/>
      <c r="U63" s="321"/>
      <c r="V63" s="321"/>
      <c r="W63" s="321"/>
      <c r="X63" s="321"/>
      <c r="Y63" s="321"/>
      <c r="Z63" s="321"/>
      <c r="AA63" s="321"/>
      <c r="AB63" s="321"/>
      <c r="AC63" s="321"/>
      <c r="AD63" s="321"/>
      <c r="AE63" s="321"/>
      <c r="AF63" s="321"/>
      <c r="AG63" s="321"/>
      <c r="AH63" s="321"/>
      <c r="AI63" s="321"/>
      <c r="AJ63" s="321"/>
      <c r="AK63" s="321"/>
      <c r="AL63" s="321"/>
      <c r="AM63" s="321"/>
      <c r="AN63" s="321"/>
      <c r="AO63" s="321"/>
      <c r="AQ63" s="369">
        <v>3.6000000000000099</v>
      </c>
      <c r="AR63" s="136">
        <f t="shared" si="23"/>
        <v>3.6000000000000099</v>
      </c>
      <c r="AS63" s="136">
        <f t="shared" si="20"/>
        <v>0.43</v>
      </c>
      <c r="AT63" s="321"/>
      <c r="AU63" s="136">
        <f t="shared" si="9"/>
        <v>1.2025929230144191E-8</v>
      </c>
      <c r="AV63" s="136">
        <f t="shared" si="21"/>
        <v>-5.580000000000009</v>
      </c>
      <c r="AW63" s="136">
        <f t="shared" si="10"/>
        <v>6.9139576121120543E-8</v>
      </c>
      <c r="AX63" s="136" t="e">
        <f t="shared" si="11"/>
        <v>#N/A</v>
      </c>
      <c r="AY63" s="136">
        <f t="shared" si="12"/>
        <v>-5.5800100000000086</v>
      </c>
      <c r="AZ63" s="136">
        <f t="shared" si="13"/>
        <v>-5.5799900000000093</v>
      </c>
      <c r="BA63" s="136">
        <f t="shared" si="14"/>
        <v>1.5323918331511453E-2</v>
      </c>
      <c r="BB63" s="136">
        <f t="shared" si="15"/>
        <v>1.5324023182374465E-2</v>
      </c>
      <c r="BC63" s="136" t="e">
        <f t="shared" si="16"/>
        <v>#N/A</v>
      </c>
      <c r="BD63" s="136">
        <f t="shared" si="22"/>
        <v>6.9139576121120543E-8</v>
      </c>
      <c r="BE63" s="136">
        <f t="shared" si="17"/>
        <v>-9.9993086042387885E-4</v>
      </c>
      <c r="BF63" s="136" t="e">
        <f t="shared" si="18"/>
        <v>#N/A</v>
      </c>
      <c r="BG63" s="136" t="e">
        <f t="shared" si="19"/>
        <v>#N/A</v>
      </c>
    </row>
    <row r="64" spans="1:59" ht="11.25" customHeight="1">
      <c r="B64" s="321"/>
      <c r="C64" s="321"/>
      <c r="D64" s="321"/>
      <c r="E64" s="321"/>
      <c r="F64" s="321"/>
      <c r="G64" s="321"/>
      <c r="H64" s="321"/>
      <c r="I64" s="321"/>
      <c r="J64" s="321"/>
      <c r="K64" s="321"/>
      <c r="L64" s="321"/>
      <c r="M64" s="321"/>
      <c r="N64" s="321"/>
      <c r="O64" s="321"/>
      <c r="P64" s="321"/>
      <c r="Q64" s="321"/>
      <c r="R64" s="321"/>
      <c r="S64" s="321"/>
      <c r="T64" s="321"/>
      <c r="U64" s="321"/>
      <c r="V64" s="321"/>
      <c r="W64" s="321"/>
      <c r="X64" s="321"/>
      <c r="Y64" s="321"/>
      <c r="Z64" s="321"/>
      <c r="AA64" s="321"/>
      <c r="AB64" s="321"/>
      <c r="AC64" s="321"/>
      <c r="AD64" s="321"/>
      <c r="AE64" s="321"/>
      <c r="AF64" s="321"/>
      <c r="AG64" s="321"/>
      <c r="AH64" s="321"/>
      <c r="AI64" s="321"/>
      <c r="AJ64" s="321"/>
      <c r="AK64" s="321"/>
      <c r="AL64" s="321"/>
      <c r="AM64" s="321"/>
      <c r="AN64" s="321"/>
      <c r="AO64" s="321"/>
      <c r="AQ64" s="369">
        <v>3.80000000000001</v>
      </c>
      <c r="AR64" s="136">
        <f t="shared" si="23"/>
        <v>3.80000000000001</v>
      </c>
      <c r="AS64" s="136">
        <f t="shared" si="20"/>
        <v>0.43</v>
      </c>
      <c r="AT64" s="321"/>
      <c r="AU64" s="136">
        <f t="shared" si="9"/>
        <v>1.2736966771288147E-8</v>
      </c>
      <c r="AV64" s="136">
        <f t="shared" si="21"/>
        <v>-5.5700000000000092</v>
      </c>
      <c r="AW64" s="136">
        <f t="shared" si="10"/>
        <v>7.3103577381205687E-8</v>
      </c>
      <c r="AX64" s="136" t="e">
        <f t="shared" si="11"/>
        <v>#N/A</v>
      </c>
      <c r="AY64" s="136">
        <f t="shared" si="12"/>
        <v>-5.5700100000000088</v>
      </c>
      <c r="AZ64" s="136">
        <f t="shared" si="13"/>
        <v>-5.5699900000000095</v>
      </c>
      <c r="BA64" s="136">
        <f t="shared" si="14"/>
        <v>1.5376476213052895E-2</v>
      </c>
      <c r="BB64" s="136">
        <f t="shared" si="15"/>
        <v>1.5376581595366421E-2</v>
      </c>
      <c r="BC64" s="136" t="e">
        <f t="shared" si="16"/>
        <v>#N/A</v>
      </c>
      <c r="BD64" s="136">
        <f t="shared" si="22"/>
        <v>7.3103577381205687E-8</v>
      </c>
      <c r="BE64" s="136">
        <f t="shared" si="17"/>
        <v>-9.999268964226188E-4</v>
      </c>
      <c r="BF64" s="136" t="e">
        <f t="shared" si="18"/>
        <v>#N/A</v>
      </c>
      <c r="BG64" s="136" t="e">
        <f t="shared" si="19"/>
        <v>#N/A</v>
      </c>
    </row>
    <row r="65" spans="2:59" ht="11.25" customHeight="1">
      <c r="B65" s="321"/>
      <c r="C65" s="321"/>
      <c r="D65" s="321"/>
      <c r="E65" s="321"/>
      <c r="F65" s="321"/>
      <c r="G65" s="321"/>
      <c r="H65" s="321"/>
      <c r="I65" s="321"/>
      <c r="J65" s="321"/>
      <c r="K65" s="321"/>
      <c r="L65" s="321"/>
      <c r="M65" s="321"/>
      <c r="N65" s="321"/>
      <c r="O65" s="321"/>
      <c r="P65" s="321"/>
      <c r="Q65" s="321"/>
      <c r="R65" s="321"/>
      <c r="S65" s="321"/>
      <c r="T65" s="321"/>
      <c r="U65" s="321"/>
      <c r="V65" s="321"/>
      <c r="W65" s="321"/>
      <c r="X65" s="321"/>
      <c r="Y65" s="321"/>
      <c r="Z65" s="321"/>
      <c r="AA65" s="321"/>
      <c r="AB65" s="321"/>
      <c r="AC65" s="321"/>
      <c r="AD65" s="321"/>
      <c r="AE65" s="321"/>
      <c r="AF65" s="321"/>
      <c r="AG65" s="321"/>
      <c r="AH65" s="321"/>
      <c r="AI65" s="321"/>
      <c r="AJ65" s="321"/>
      <c r="AK65" s="321"/>
      <c r="AL65" s="321"/>
      <c r="AM65" s="321"/>
      <c r="AN65" s="321"/>
      <c r="AO65" s="321"/>
      <c r="AQ65" s="369">
        <v>4.0000000000000098</v>
      </c>
      <c r="AR65" s="136">
        <f t="shared" si="23"/>
        <v>4.0000000000000098</v>
      </c>
      <c r="AS65" s="136">
        <f t="shared" si="20"/>
        <v>0.43</v>
      </c>
      <c r="AT65" s="321"/>
      <c r="AU65" s="136">
        <f t="shared" si="9"/>
        <v>1.3488732515265501E-8</v>
      </c>
      <c r="AV65" s="136">
        <f t="shared" si="21"/>
        <v>-5.5600000000000094</v>
      </c>
      <c r="AW65" s="136">
        <f t="shared" si="10"/>
        <v>7.7287118885224935E-8</v>
      </c>
      <c r="AX65" s="136" t="e">
        <f t="shared" si="11"/>
        <v>#N/A</v>
      </c>
      <c r="AY65" s="136">
        <f t="shared" si="12"/>
        <v>-5.560010000000009</v>
      </c>
      <c r="AZ65" s="136">
        <f t="shared" si="13"/>
        <v>-5.5599900000000098</v>
      </c>
      <c r="BA65" s="136">
        <f t="shared" si="14"/>
        <v>1.5429300701717276E-2</v>
      </c>
      <c r="BB65" s="136">
        <f t="shared" si="15"/>
        <v>1.5429406619020666E-2</v>
      </c>
      <c r="BC65" s="136" t="e">
        <f t="shared" si="16"/>
        <v>#N/A</v>
      </c>
      <c r="BD65" s="136">
        <f t="shared" si="22"/>
        <v>7.7287118885224935E-8</v>
      </c>
      <c r="BE65" s="136">
        <f t="shared" si="17"/>
        <v>-9.9992271288111469E-4</v>
      </c>
      <c r="BF65" s="136" t="e">
        <f t="shared" si="18"/>
        <v>#N/A</v>
      </c>
      <c r="BG65" s="136" t="e">
        <f t="shared" si="19"/>
        <v>#N/A</v>
      </c>
    </row>
    <row r="66" spans="2:59" ht="11.25" customHeight="1">
      <c r="B66" s="321"/>
      <c r="C66" s="321"/>
      <c r="D66" s="321"/>
      <c r="E66" s="321"/>
      <c r="F66" s="321"/>
      <c r="G66" s="321"/>
      <c r="H66" s="321"/>
      <c r="I66" s="321"/>
      <c r="J66" s="321"/>
      <c r="K66" s="321"/>
      <c r="L66" s="321"/>
      <c r="M66" s="321"/>
      <c r="N66" s="321"/>
      <c r="O66" s="321"/>
      <c r="P66" s="321"/>
      <c r="Q66" s="321"/>
      <c r="R66" s="321"/>
      <c r="S66" s="321"/>
      <c r="T66" s="321"/>
      <c r="U66" s="321"/>
      <c r="V66" s="321"/>
      <c r="W66" s="321"/>
      <c r="X66" s="321"/>
      <c r="Y66" s="321"/>
      <c r="Z66" s="321"/>
      <c r="AA66" s="321"/>
      <c r="AB66" s="321"/>
      <c r="AC66" s="321"/>
      <c r="AD66" s="321"/>
      <c r="AE66" s="321"/>
      <c r="AF66" s="321"/>
      <c r="AG66" s="321"/>
      <c r="AH66" s="321"/>
      <c r="AI66" s="321"/>
      <c r="AJ66" s="321"/>
      <c r="AK66" s="321"/>
      <c r="AL66" s="321"/>
      <c r="AM66" s="321"/>
      <c r="AN66" s="321"/>
      <c r="AO66" s="321"/>
      <c r="AQ66" s="369">
        <v>4.2000000000000099</v>
      </c>
      <c r="AR66" s="136">
        <f t="shared" si="23"/>
        <v>4.2000000000000099</v>
      </c>
      <c r="AS66" s="136">
        <f t="shared" si="20"/>
        <v>0.43</v>
      </c>
      <c r="AT66" s="321"/>
      <c r="AU66" s="136">
        <f t="shared" si="9"/>
        <v>1.4283479893908613E-8</v>
      </c>
      <c r="AV66" s="136">
        <f t="shared" si="21"/>
        <v>-5.5500000000000096</v>
      </c>
      <c r="AW66" s="136">
        <f t="shared" si="10"/>
        <v>8.1701903785427822E-8</v>
      </c>
      <c r="AX66" s="136" t="e">
        <f t="shared" si="11"/>
        <v>#N/A</v>
      </c>
      <c r="AY66" s="136">
        <f t="shared" si="12"/>
        <v>-5.5500100000000092</v>
      </c>
      <c r="AZ66" s="136">
        <f t="shared" si="13"/>
        <v>-5.54999000000001</v>
      </c>
      <c r="BA66" s="136">
        <f t="shared" si="14"/>
        <v>1.5482393574403779E-2</v>
      </c>
      <c r="BB66" s="136">
        <f t="shared" si="15"/>
        <v>1.5482500030265389E-2</v>
      </c>
      <c r="BC66" s="136" t="e">
        <f t="shared" si="16"/>
        <v>#N/A</v>
      </c>
      <c r="BD66" s="136">
        <f t="shared" si="22"/>
        <v>8.1701903785427822E-8</v>
      </c>
      <c r="BE66" s="136">
        <f t="shared" si="17"/>
        <v>-9.9991829809621463E-4</v>
      </c>
      <c r="BF66" s="136" t="e">
        <f t="shared" si="18"/>
        <v>#N/A</v>
      </c>
      <c r="BG66" s="136" t="e">
        <f t="shared" si="19"/>
        <v>#N/A</v>
      </c>
    </row>
    <row r="67" spans="2:59" ht="11.25" customHeight="1">
      <c r="B67" s="321"/>
      <c r="C67" s="321"/>
      <c r="D67" s="321"/>
      <c r="E67" s="321"/>
      <c r="F67" s="321"/>
      <c r="G67" s="321"/>
      <c r="H67" s="321"/>
      <c r="I67" s="321"/>
      <c r="J67" s="321"/>
      <c r="K67" s="321"/>
      <c r="L67" s="321"/>
      <c r="M67" s="321"/>
      <c r="N67" s="321"/>
      <c r="O67" s="321"/>
      <c r="P67" s="321"/>
      <c r="Q67" s="321"/>
      <c r="R67" s="321"/>
      <c r="S67" s="321"/>
      <c r="T67" s="321"/>
      <c r="U67" s="321"/>
      <c r="V67" s="321"/>
      <c r="W67" s="321"/>
      <c r="X67" s="321"/>
      <c r="Y67" s="321"/>
      <c r="Z67" s="321"/>
      <c r="AA67" s="321"/>
      <c r="AB67" s="321"/>
      <c r="AC67" s="321"/>
      <c r="AD67" s="321"/>
      <c r="AE67" s="321"/>
      <c r="AF67" s="321"/>
      <c r="AG67" s="321"/>
      <c r="AH67" s="321"/>
      <c r="AI67" s="321"/>
      <c r="AJ67" s="321"/>
      <c r="AK67" s="321"/>
      <c r="AL67" s="321"/>
      <c r="AM67" s="321"/>
      <c r="AN67" s="321"/>
      <c r="AO67" s="321"/>
      <c r="AQ67" s="369">
        <v>4.4000000000000101</v>
      </c>
      <c r="AR67" s="136">
        <f t="shared" si="23"/>
        <v>4.4000000000000101</v>
      </c>
      <c r="AS67" s="136">
        <f t="shared" si="20"/>
        <v>0.43</v>
      </c>
      <c r="AT67" s="321"/>
      <c r="AU67" s="136">
        <f t="shared" si="9"/>
        <v>1.512358233574544E-8</v>
      </c>
      <c r="AV67" s="136">
        <f t="shared" si="21"/>
        <v>-5.5400000000000098</v>
      </c>
      <c r="AW67" s="136">
        <f t="shared" si="10"/>
        <v>8.6360233007805262E-8</v>
      </c>
      <c r="AX67" s="136" t="e">
        <f t="shared" si="11"/>
        <v>#N/A</v>
      </c>
      <c r="AY67" s="136">
        <f t="shared" si="12"/>
        <v>-5.5400100000000094</v>
      </c>
      <c r="AZ67" s="136">
        <f t="shared" si="13"/>
        <v>-5.5399900000000102</v>
      </c>
      <c r="BA67" s="136">
        <f t="shared" si="14"/>
        <v>1.5535756622585902E-2</v>
      </c>
      <c r="BB67" s="136">
        <f t="shared" si="15"/>
        <v>1.5535863620603376E-2</v>
      </c>
      <c r="BC67" s="136" t="e">
        <f t="shared" si="16"/>
        <v>#N/A</v>
      </c>
      <c r="BD67" s="136">
        <f t="shared" si="22"/>
        <v>8.6360233007805262E-8</v>
      </c>
      <c r="BE67" s="136">
        <f t="shared" si="17"/>
        <v>-9.9991363976699226E-4</v>
      </c>
      <c r="BF67" s="136" t="e">
        <f t="shared" si="18"/>
        <v>#N/A</v>
      </c>
      <c r="BG67" s="136" t="e">
        <f t="shared" si="19"/>
        <v>#N/A</v>
      </c>
    </row>
    <row r="68" spans="2:59" ht="11.25" customHeight="1">
      <c r="B68" s="321"/>
      <c r="C68" s="321"/>
      <c r="D68" s="321"/>
      <c r="E68" s="321"/>
      <c r="F68" s="321"/>
      <c r="G68" s="321"/>
      <c r="H68" s="321"/>
      <c r="I68" s="321"/>
      <c r="J68" s="321"/>
      <c r="K68" s="321"/>
      <c r="L68" s="321"/>
      <c r="M68" s="321"/>
      <c r="N68" s="321"/>
      <c r="O68" s="321"/>
      <c r="P68" s="321"/>
      <c r="Q68" s="321"/>
      <c r="R68" s="321"/>
      <c r="S68" s="321"/>
      <c r="T68" s="321"/>
      <c r="U68" s="321"/>
      <c r="V68" s="321"/>
      <c r="W68" s="321"/>
      <c r="X68" s="321"/>
      <c r="Y68" s="321"/>
      <c r="Z68" s="321"/>
      <c r="AA68" s="321"/>
      <c r="AB68" s="321"/>
      <c r="AC68" s="321"/>
      <c r="AD68" s="321"/>
      <c r="AE68" s="321"/>
      <c r="AF68" s="321"/>
      <c r="AG68" s="321"/>
      <c r="AH68" s="321"/>
      <c r="AI68" s="321"/>
      <c r="AJ68" s="321"/>
      <c r="AK68" s="321"/>
      <c r="AL68" s="321"/>
      <c r="AM68" s="321"/>
      <c r="AN68" s="321"/>
      <c r="AO68" s="321"/>
      <c r="AQ68" s="369">
        <v>4.6000000000000103</v>
      </c>
      <c r="AR68" s="136">
        <f t="shared" si="23"/>
        <v>4.6000000000000103</v>
      </c>
      <c r="AS68" s="136">
        <f t="shared" si="20"/>
        <v>0.43</v>
      </c>
      <c r="AT68" s="321"/>
      <c r="AU68" s="136">
        <f t="shared" si="9"/>
        <v>1.6011539388073899E-8</v>
      </c>
      <c r="AV68" s="136">
        <f t="shared" si="21"/>
        <v>-5.53000000000001</v>
      </c>
      <c r="AW68" s="136">
        <f t="shared" si="10"/>
        <v>9.1275034337659897E-8</v>
      </c>
      <c r="AX68" s="136" t="e">
        <f t="shared" si="11"/>
        <v>#N/A</v>
      </c>
      <c r="AY68" s="136">
        <f t="shared" si="12"/>
        <v>-5.5300100000000096</v>
      </c>
      <c r="AZ68" s="136">
        <f t="shared" si="13"/>
        <v>-5.5299900000000104</v>
      </c>
      <c r="BA68" s="136">
        <f t="shared" si="14"/>
        <v>1.5589391652452494E-2</v>
      </c>
      <c r="BB68" s="136">
        <f t="shared" si="15"/>
        <v>1.5589499196253059E-2</v>
      </c>
      <c r="BC68" s="136" t="e">
        <f t="shared" si="16"/>
        <v>#N/A</v>
      </c>
      <c r="BD68" s="136">
        <f t="shared" si="22"/>
        <v>9.1275034337659897E-8</v>
      </c>
      <c r="BE68" s="136">
        <f t="shared" si="17"/>
        <v>-9.9990872496566246E-4</v>
      </c>
      <c r="BF68" s="136" t="e">
        <f t="shared" si="18"/>
        <v>#N/A</v>
      </c>
      <c r="BG68" s="136" t="e">
        <f t="shared" si="19"/>
        <v>#N/A</v>
      </c>
    </row>
    <row r="69" spans="2:59" ht="11.25" customHeight="1">
      <c r="B69" s="321"/>
      <c r="C69" s="321"/>
      <c r="D69" s="321"/>
      <c r="E69" s="321"/>
      <c r="F69" s="321"/>
      <c r="G69" s="321"/>
      <c r="H69" s="321"/>
      <c r="I69" s="321"/>
      <c r="J69" s="321"/>
      <c r="K69" s="321"/>
      <c r="L69" s="321"/>
      <c r="M69" s="321"/>
      <c r="N69" s="321"/>
      <c r="O69" s="321"/>
      <c r="P69" s="321"/>
      <c r="Q69" s="321"/>
      <c r="R69" s="321"/>
      <c r="S69" s="321"/>
      <c r="T69" s="321"/>
      <c r="U69" s="321"/>
      <c r="V69" s="321"/>
      <c r="W69" s="321"/>
      <c r="X69" s="321"/>
      <c r="Y69" s="321"/>
      <c r="Z69" s="321"/>
      <c r="AA69" s="321"/>
      <c r="AB69" s="321"/>
      <c r="AC69" s="321"/>
      <c r="AD69" s="321"/>
      <c r="AE69" s="321"/>
      <c r="AF69" s="321"/>
      <c r="AG69" s="321"/>
      <c r="AH69" s="321"/>
      <c r="AI69" s="321"/>
      <c r="AJ69" s="321"/>
      <c r="AK69" s="321"/>
      <c r="AL69" s="321"/>
      <c r="AM69" s="321"/>
      <c r="AN69" s="321"/>
      <c r="AO69" s="321"/>
      <c r="AQ69" s="369">
        <v>4.8000000000000096</v>
      </c>
      <c r="AR69" s="136">
        <f t="shared" si="23"/>
        <v>4.8000000000000096</v>
      </c>
      <c r="AS69" s="136">
        <f t="shared" si="20"/>
        <v>0.43</v>
      </c>
      <c r="AT69" s="321"/>
      <c r="AU69" s="136">
        <f t="shared" si="9"/>
        <v>1.6949983136532117E-8</v>
      </c>
      <c r="AV69" s="136">
        <f t="shared" si="21"/>
        <v>-5.5200000000000102</v>
      </c>
      <c r="AW69" s="136">
        <f t="shared" si="10"/>
        <v>9.6459892842728164E-8</v>
      </c>
      <c r="AX69" s="136" t="e">
        <f t="shared" si="11"/>
        <v>#N/A</v>
      </c>
      <c r="AY69" s="136">
        <f t="shared" si="12"/>
        <v>-5.5200100000000099</v>
      </c>
      <c r="AZ69" s="136">
        <f t="shared" si="13"/>
        <v>-5.5199900000000106</v>
      </c>
      <c r="BA69" s="136">
        <f t="shared" si="14"/>
        <v>1.5643300485050433E-2</v>
      </c>
      <c r="BB69" s="136">
        <f t="shared" si="15"/>
        <v>1.5643408578291149E-2</v>
      </c>
      <c r="BC69" s="136" t="e">
        <f t="shared" si="16"/>
        <v>#N/A</v>
      </c>
      <c r="BD69" s="136">
        <f t="shared" si="22"/>
        <v>9.6459892842728164E-8</v>
      </c>
      <c r="BE69" s="136">
        <f t="shared" si="17"/>
        <v>-9.9990354010715725E-4</v>
      </c>
      <c r="BF69" s="136" t="e">
        <f t="shared" si="18"/>
        <v>#N/A</v>
      </c>
      <c r="BG69" s="136" t="e">
        <f t="shared" si="19"/>
        <v>#N/A</v>
      </c>
    </row>
    <row r="70" spans="2:59" ht="11.25" customHeight="1">
      <c r="B70" s="321"/>
      <c r="C70" s="321"/>
      <c r="D70" s="321"/>
      <c r="E70" s="321"/>
      <c r="F70" s="321"/>
      <c r="G70" s="321"/>
      <c r="H70" s="321"/>
      <c r="I70" s="321"/>
      <c r="J70" s="321"/>
      <c r="K70" s="321"/>
      <c r="L70" s="321"/>
      <c r="M70" s="321"/>
      <c r="N70" s="321"/>
      <c r="O70" s="321"/>
      <c r="P70" s="321"/>
      <c r="Q70" s="321"/>
      <c r="R70" s="321"/>
      <c r="S70" s="321"/>
      <c r="T70" s="321"/>
      <c r="U70" s="321"/>
      <c r="V70" s="321"/>
      <c r="W70" s="321"/>
      <c r="X70" s="321"/>
      <c r="Y70" s="321"/>
      <c r="Z70" s="321"/>
      <c r="AA70" s="321"/>
      <c r="AB70" s="321"/>
      <c r="AC70" s="321"/>
      <c r="AD70" s="321"/>
      <c r="AE70" s="321"/>
      <c r="AF70" s="321"/>
      <c r="AG70" s="321"/>
      <c r="AH70" s="321"/>
      <c r="AI70" s="321"/>
      <c r="AJ70" s="321"/>
      <c r="AK70" s="321"/>
      <c r="AL70" s="321"/>
      <c r="AM70" s="321"/>
      <c r="AN70" s="321"/>
      <c r="AO70" s="321"/>
      <c r="AQ70" s="369">
        <v>5</v>
      </c>
      <c r="AR70" s="136">
        <f t="shared" si="23"/>
        <v>5</v>
      </c>
      <c r="AS70" s="136">
        <f t="shared" si="20"/>
        <v>0.43</v>
      </c>
      <c r="AT70" s="321"/>
      <c r="AU70" s="136">
        <f t="shared" si="9"/>
        <v>1.7941684935826559E-8</v>
      </c>
      <c r="AV70" s="136">
        <f t="shared" si="21"/>
        <v>-5.5100000000000104</v>
      </c>
      <c r="AW70" s="136">
        <f t="shared" si="10"/>
        <v>1.0192908269134693E-7</v>
      </c>
      <c r="AX70" s="136" t="e">
        <f t="shared" si="11"/>
        <v>#N/A</v>
      </c>
      <c r="AY70" s="136">
        <f t="shared" si="12"/>
        <v>-5.5100100000000101</v>
      </c>
      <c r="AZ70" s="136">
        <f t="shared" si="13"/>
        <v>-5.5099900000000108</v>
      </c>
      <c r="BA70" s="136">
        <f t="shared" si="14"/>
        <v>1.5697484956428684E-2</v>
      </c>
      <c r="BB70" s="136">
        <f t="shared" si="15"/>
        <v>1.5697593602796794E-2</v>
      </c>
      <c r="BC70" s="136" t="e">
        <f t="shared" si="16"/>
        <v>#N/A</v>
      </c>
      <c r="BD70" s="136">
        <f t="shared" si="22"/>
        <v>1.0192908269134693E-7</v>
      </c>
      <c r="BE70" s="136">
        <f t="shared" si="17"/>
        <v>-9.9989807091730863E-4</v>
      </c>
      <c r="BF70" s="136" t="e">
        <f t="shared" si="18"/>
        <v>#N/A</v>
      </c>
      <c r="BG70" s="136" t="e">
        <f t="shared" si="19"/>
        <v>#N/A</v>
      </c>
    </row>
    <row r="71" spans="2:59" ht="11.25" customHeight="1">
      <c r="B71" s="321"/>
      <c r="C71" s="321"/>
      <c r="D71" s="321"/>
      <c r="E71" s="321"/>
      <c r="F71" s="321"/>
      <c r="G71" s="321"/>
      <c r="H71" s="321"/>
      <c r="I71" s="321"/>
      <c r="J71" s="321"/>
      <c r="K71" s="321"/>
      <c r="L71" s="321"/>
      <c r="M71" s="321"/>
      <c r="N71" s="321"/>
      <c r="O71" s="321"/>
      <c r="P71" s="321"/>
      <c r="Q71" s="321"/>
      <c r="R71" s="321"/>
      <c r="S71" s="321"/>
      <c r="T71" s="321"/>
      <c r="U71" s="321"/>
      <c r="V71" s="321"/>
      <c r="W71" s="321"/>
      <c r="X71" s="321"/>
      <c r="Y71" s="321"/>
      <c r="Z71" s="321"/>
      <c r="AA71" s="321"/>
      <c r="AB71" s="321"/>
      <c r="AC71" s="321"/>
      <c r="AD71" s="321"/>
      <c r="AE71" s="321"/>
      <c r="AF71" s="321"/>
      <c r="AG71" s="321"/>
      <c r="AH71" s="321"/>
      <c r="AI71" s="321"/>
      <c r="AJ71" s="321"/>
      <c r="AK71" s="321"/>
      <c r="AL71" s="321"/>
      <c r="AM71" s="321"/>
      <c r="AN71" s="321"/>
      <c r="AO71" s="321"/>
      <c r="AP71" s="427"/>
      <c r="AQ71" s="321"/>
      <c r="AR71" s="321"/>
      <c r="AS71" s="321"/>
      <c r="AT71" s="321"/>
      <c r="AU71" s="136">
        <f t="shared" si="9"/>
        <v>1.8989562465865179E-8</v>
      </c>
      <c r="AV71" s="136">
        <f t="shared" si="21"/>
        <v>-5.5000000000000107</v>
      </c>
      <c r="AW71" s="136">
        <f t="shared" si="10"/>
        <v>1.0769760042542645E-7</v>
      </c>
      <c r="AX71" s="136" t="e">
        <f t="shared" si="11"/>
        <v>#N/A</v>
      </c>
      <c r="AY71" s="136">
        <f t="shared" si="12"/>
        <v>-5.5000100000000103</v>
      </c>
      <c r="AZ71" s="136">
        <f t="shared" si="13"/>
        <v>-5.499990000000011</v>
      </c>
      <c r="BA71" s="136">
        <f t="shared" si="14"/>
        <v>1.5751946917784258E-2</v>
      </c>
      <c r="BB71" s="136">
        <f t="shared" si="15"/>
        <v>1.5752056120997417E-2</v>
      </c>
      <c r="BC71" s="136" t="e">
        <f t="shared" si="16"/>
        <v>#N/A</v>
      </c>
      <c r="BD71" s="136">
        <f t="shared" si="22"/>
        <v>1.0769760042542645E-7</v>
      </c>
      <c r="BE71" s="136">
        <f t="shared" si="17"/>
        <v>-9.9989230239957462E-4</v>
      </c>
      <c r="BF71" s="136" t="e">
        <f t="shared" si="18"/>
        <v>#N/A</v>
      </c>
      <c r="BG71" s="136" t="e">
        <f t="shared" si="19"/>
        <v>#N/A</v>
      </c>
    </row>
    <row r="72" spans="2:59" ht="11.25" customHeight="1">
      <c r="B72" s="321"/>
      <c r="C72" s="321"/>
      <c r="D72" s="321"/>
      <c r="E72" s="321"/>
      <c r="F72" s="321"/>
      <c r="G72" s="321"/>
      <c r="H72" s="321"/>
      <c r="I72" s="321"/>
      <c r="J72" s="321"/>
      <c r="K72" s="321"/>
      <c r="L72" s="321"/>
      <c r="M72" s="321"/>
      <c r="N72" s="321"/>
      <c r="O72" s="321"/>
      <c r="P72" s="321"/>
      <c r="Q72" s="321"/>
      <c r="R72" s="321"/>
      <c r="S72" s="321"/>
      <c r="T72" s="321"/>
      <c r="U72" s="321"/>
      <c r="V72" s="321"/>
      <c r="W72" s="321"/>
      <c r="X72" s="321"/>
      <c r="Y72" s="321"/>
      <c r="Z72" s="321"/>
      <c r="AA72" s="321"/>
      <c r="AB72" s="321"/>
      <c r="AC72" s="321"/>
      <c r="AD72" s="321"/>
      <c r="AE72" s="321"/>
      <c r="AF72" s="321"/>
      <c r="AG72" s="321"/>
      <c r="AH72" s="321"/>
      <c r="AI72" s="321"/>
      <c r="AJ72" s="321"/>
      <c r="AK72" s="321"/>
      <c r="AL72" s="321"/>
      <c r="AM72" s="321"/>
      <c r="AN72" s="321"/>
      <c r="AO72" s="321"/>
      <c r="AP72" s="427"/>
      <c r="AQ72" s="321"/>
      <c r="AR72" s="321"/>
      <c r="AS72" s="321"/>
      <c r="AT72" s="321"/>
      <c r="AU72" s="136">
        <f t="shared" si="9"/>
        <v>2.0096687128151725E-8</v>
      </c>
      <c r="AV72" s="136">
        <f t="shared" si="21"/>
        <v>-5.4900000000000109</v>
      </c>
      <c r="AW72" s="136">
        <f t="shared" si="10"/>
        <v>1.1378119975033922E-7</v>
      </c>
      <c r="AX72" s="136" t="e">
        <f t="shared" si="11"/>
        <v>#N/A</v>
      </c>
      <c r="AY72" s="136">
        <f t="shared" si="12"/>
        <v>-5.4900100000000105</v>
      </c>
      <c r="AZ72" s="136">
        <f t="shared" si="13"/>
        <v>-5.4899900000000112</v>
      </c>
      <c r="BA72" s="136">
        <f t="shared" si="14"/>
        <v>1.5806688235609441E-2</v>
      </c>
      <c r="BB72" s="136">
        <f t="shared" si="15"/>
        <v>1.5806797999416065E-2</v>
      </c>
      <c r="BC72" s="136" t="e">
        <f t="shared" si="16"/>
        <v>#N/A</v>
      </c>
      <c r="BD72" s="136">
        <f t="shared" si="22"/>
        <v>1.1378119975033922E-7</v>
      </c>
      <c r="BE72" s="136">
        <f t="shared" si="17"/>
        <v>-9.9988621880024958E-4</v>
      </c>
      <c r="BF72" s="136" t="e">
        <f t="shared" si="18"/>
        <v>#N/A</v>
      </c>
      <c r="BG72" s="136" t="e">
        <f t="shared" si="19"/>
        <v>#N/A</v>
      </c>
    </row>
    <row r="73" spans="2:59" ht="11.25" customHeight="1">
      <c r="B73" s="321"/>
      <c r="C73" s="321"/>
      <c r="D73" s="321"/>
      <c r="E73" s="321"/>
      <c r="F73" s="321"/>
      <c r="G73" s="321"/>
      <c r="H73" s="321"/>
      <c r="I73" s="321"/>
      <c r="J73" s="321"/>
      <c r="K73" s="321"/>
      <c r="L73" s="321"/>
      <c r="M73" s="321"/>
      <c r="N73" s="321"/>
      <c r="O73" s="321"/>
      <c r="P73" s="321"/>
      <c r="Q73" s="321"/>
      <c r="R73" s="321"/>
      <c r="S73" s="321"/>
      <c r="T73" s="321"/>
      <c r="U73" s="321"/>
      <c r="V73" s="321"/>
      <c r="W73" s="321"/>
      <c r="X73" s="321"/>
      <c r="Y73" s="321"/>
      <c r="Z73" s="321"/>
      <c r="AA73" s="321"/>
      <c r="AB73" s="321"/>
      <c r="AC73" s="321"/>
      <c r="AD73" s="321"/>
      <c r="AE73" s="321"/>
      <c r="AF73" s="321"/>
      <c r="AG73" s="321"/>
      <c r="AH73" s="321"/>
      <c r="AI73" s="321"/>
      <c r="AJ73" s="321"/>
      <c r="AK73" s="321"/>
      <c r="AL73" s="321"/>
      <c r="AM73" s="321"/>
      <c r="AN73" s="321"/>
      <c r="AO73" s="321"/>
      <c r="AP73" s="427"/>
      <c r="AQ73" s="321"/>
      <c r="AR73" s="321"/>
      <c r="AS73" s="321"/>
      <c r="AT73" s="321"/>
      <c r="AU73" s="136">
        <f t="shared" si="9"/>
        <v>2.1266291797931969E-8</v>
      </c>
      <c r="AV73" s="136">
        <f t="shared" si="21"/>
        <v>-5.4800000000000111</v>
      </c>
      <c r="AW73" s="136">
        <f t="shared" si="10"/>
        <v>1.2019642790627524E-7</v>
      </c>
      <c r="AX73" s="136" t="e">
        <f t="shared" si="11"/>
        <v>#N/A</v>
      </c>
      <c r="AY73" s="136">
        <f t="shared" si="12"/>
        <v>-5.4800100000000107</v>
      </c>
      <c r="AZ73" s="136">
        <f t="shared" si="13"/>
        <v>-5.4799900000000115</v>
      </c>
      <c r="BA73" s="136">
        <f t="shared" si="14"/>
        <v>1.5861710791840997E-2</v>
      </c>
      <c r="BB73" s="136">
        <f t="shared" si="15"/>
        <v>1.586182112002054E-2</v>
      </c>
      <c r="BC73" s="136" t="e">
        <f t="shared" si="16"/>
        <v>#N/A</v>
      </c>
      <c r="BD73" s="136">
        <f t="shared" si="22"/>
        <v>1.2019642790627524E-7</v>
      </c>
      <c r="BE73" s="136">
        <f t="shared" si="17"/>
        <v>-9.9987980357209381E-4</v>
      </c>
      <c r="BF73" s="136" t="e">
        <f t="shared" si="18"/>
        <v>#N/A</v>
      </c>
      <c r="BG73" s="136" t="e">
        <f t="shared" si="19"/>
        <v>#N/A</v>
      </c>
    </row>
    <row r="74" spans="2:59" ht="11.25" customHeight="1">
      <c r="B74" s="321"/>
      <c r="C74" s="321"/>
      <c r="D74" s="321"/>
      <c r="E74" s="321"/>
      <c r="F74" s="321"/>
      <c r="G74" s="321"/>
      <c r="H74" s="321"/>
      <c r="I74" s="321"/>
      <c r="J74" s="321"/>
      <c r="K74" s="321"/>
      <c r="L74" s="321"/>
      <c r="M74" s="321"/>
      <c r="N74" s="321"/>
      <c r="O74" s="321"/>
      <c r="P74" s="321"/>
      <c r="Q74" s="321"/>
      <c r="R74" s="321"/>
      <c r="S74" s="321"/>
      <c r="T74" s="321"/>
      <c r="U74" s="321"/>
      <c r="V74" s="321"/>
      <c r="W74" s="321"/>
      <c r="X74" s="321"/>
      <c r="Y74" s="321"/>
      <c r="Z74" s="321"/>
      <c r="AA74" s="321"/>
      <c r="AB74" s="321"/>
      <c r="AC74" s="321"/>
      <c r="AD74" s="321"/>
      <c r="AE74" s="321"/>
      <c r="AF74" s="321"/>
      <c r="AG74" s="321"/>
      <c r="AH74" s="321"/>
      <c r="AI74" s="321"/>
      <c r="AJ74" s="321"/>
      <c r="AK74" s="321"/>
      <c r="AL74" s="321"/>
      <c r="AM74" s="321"/>
      <c r="AN74" s="321"/>
      <c r="AO74" s="321"/>
      <c r="AP74" s="427"/>
      <c r="AQ74" s="321"/>
      <c r="AR74" s="321"/>
      <c r="AS74" s="321"/>
      <c r="AT74" s="321"/>
      <c r="AU74" s="136">
        <f t="shared" si="9"/>
        <v>2.2501778948238708E-8</v>
      </c>
      <c r="AV74" s="136">
        <f t="shared" si="21"/>
        <v>-5.4700000000000113</v>
      </c>
      <c r="AW74" s="136">
        <f t="shared" si="10"/>
        <v>1.2696066368812117E-7</v>
      </c>
      <c r="AX74" s="136" t="e">
        <f t="shared" si="11"/>
        <v>#N/A</v>
      </c>
      <c r="AY74" s="136">
        <f t="shared" si="12"/>
        <v>-5.4700100000000109</v>
      </c>
      <c r="AZ74" s="136">
        <f t="shared" si="13"/>
        <v>-5.4699900000000117</v>
      </c>
      <c r="BA74" s="136">
        <f t="shared" si="14"/>
        <v>1.591701648401082E-2</v>
      </c>
      <c r="BB74" s="136">
        <f t="shared" si="15"/>
        <v>1.5917127380374069E-2</v>
      </c>
      <c r="BC74" s="136" t="e">
        <f t="shared" si="16"/>
        <v>#N/A</v>
      </c>
      <c r="BD74" s="136">
        <f t="shared" si="22"/>
        <v>1.2696066368812117E-7</v>
      </c>
      <c r="BE74" s="136">
        <f t="shared" si="17"/>
        <v>-9.9987303933631185E-4</v>
      </c>
      <c r="BF74" s="136" t="e">
        <f t="shared" si="18"/>
        <v>#N/A</v>
      </c>
      <c r="BG74" s="136" t="e">
        <f t="shared" si="19"/>
        <v>#N/A</v>
      </c>
    </row>
    <row r="75" spans="2:59" ht="11.25" customHeight="1">
      <c r="B75" s="321"/>
      <c r="C75" s="321"/>
      <c r="D75" s="321"/>
      <c r="E75" s="321"/>
      <c r="F75" s="321"/>
      <c r="G75" s="321"/>
      <c r="H75" s="321"/>
      <c r="I75" s="321"/>
      <c r="J75" s="321"/>
      <c r="K75" s="321"/>
      <c r="L75" s="321"/>
      <c r="M75" s="321"/>
      <c r="N75" s="321"/>
      <c r="O75" s="321"/>
      <c r="P75" s="321"/>
      <c r="Q75" s="321"/>
      <c r="R75" s="321"/>
      <c r="S75" s="321"/>
      <c r="T75" s="321"/>
      <c r="U75" s="321"/>
      <c r="V75" s="321"/>
      <c r="W75" s="321"/>
      <c r="X75" s="321"/>
      <c r="Y75" s="321"/>
      <c r="Z75" s="321"/>
      <c r="AA75" s="321"/>
      <c r="AB75" s="321"/>
      <c r="AC75" s="321"/>
      <c r="AD75" s="321"/>
      <c r="AE75" s="321"/>
      <c r="AF75" s="321"/>
      <c r="AG75" s="321"/>
      <c r="AH75" s="321"/>
      <c r="AI75" s="321"/>
      <c r="AJ75" s="321"/>
      <c r="AK75" s="321"/>
      <c r="AL75" s="321"/>
      <c r="AM75" s="321"/>
      <c r="AN75" s="321"/>
      <c r="AO75" s="321"/>
      <c r="AP75" s="427"/>
      <c r="AQ75" s="321"/>
      <c r="AR75" s="321"/>
      <c r="AS75" s="321"/>
      <c r="AT75" s="321"/>
      <c r="AU75" s="136">
        <f t="shared" si="9"/>
        <v>2.3806729162667637E-8</v>
      </c>
      <c r="AV75" s="136">
        <f t="shared" si="21"/>
        <v>-5.4600000000000115</v>
      </c>
      <c r="AW75" s="136">
        <f t="shared" si="10"/>
        <v>1.3409215718353893E-7</v>
      </c>
      <c r="AX75" s="136" t="e">
        <f t="shared" si="11"/>
        <v>#N/A</v>
      </c>
      <c r="AY75" s="136">
        <f t="shared" si="12"/>
        <v>-5.4600100000000111</v>
      </c>
      <c r="AZ75" s="136">
        <f t="shared" si="13"/>
        <v>-5.4599900000000119</v>
      </c>
      <c r="BA75" s="136">
        <f t="shared" si="14"/>
        <v>1.5972607225398321E-2</v>
      </c>
      <c r="BB75" s="136">
        <f t="shared" si="15"/>
        <v>1.5972718693787722E-2</v>
      </c>
      <c r="BC75" s="136" t="e">
        <f t="shared" si="16"/>
        <v>#N/A</v>
      </c>
      <c r="BD75" s="136">
        <f t="shared" si="22"/>
        <v>1.3409215718353893E-7</v>
      </c>
      <c r="BE75" s="136">
        <f t="shared" si="17"/>
        <v>-9.998659078428165E-4</v>
      </c>
      <c r="BF75" s="136" t="e">
        <f t="shared" si="18"/>
        <v>#N/A</v>
      </c>
      <c r="BG75" s="136" t="e">
        <f t="shared" si="19"/>
        <v>#N/A</v>
      </c>
    </row>
    <row r="76" spans="2:59" ht="11.25" customHeight="1">
      <c r="B76" s="321"/>
      <c r="C76" s="321"/>
      <c r="D76" s="321"/>
      <c r="E76" s="321"/>
      <c r="F76" s="321"/>
      <c r="G76" s="321"/>
      <c r="H76" s="321"/>
      <c r="I76" s="321"/>
      <c r="J76" s="321"/>
      <c r="K76" s="321"/>
      <c r="L76" s="321"/>
      <c r="M76" s="321"/>
      <c r="N76" s="321"/>
      <c r="O76" s="321"/>
      <c r="P76" s="321"/>
      <c r="Q76" s="321"/>
      <c r="R76" s="321"/>
      <c r="S76" s="321"/>
      <c r="T76" s="321"/>
      <c r="U76" s="321"/>
      <c r="V76" s="321"/>
      <c r="W76" s="321"/>
      <c r="X76" s="321"/>
      <c r="Y76" s="321"/>
      <c r="Z76" s="321"/>
      <c r="AA76" s="321"/>
      <c r="AB76" s="321"/>
      <c r="AC76" s="321"/>
      <c r="AD76" s="321"/>
      <c r="AE76" s="321"/>
      <c r="AF76" s="321"/>
      <c r="AG76" s="321"/>
      <c r="AH76" s="321"/>
      <c r="AI76" s="321"/>
      <c r="AJ76" s="321"/>
      <c r="AK76" s="321"/>
      <c r="AL76" s="321"/>
      <c r="AM76" s="321"/>
      <c r="AN76" s="321"/>
      <c r="AO76" s="321"/>
      <c r="AP76" s="427"/>
      <c r="AQ76" s="321"/>
      <c r="AR76" s="321"/>
      <c r="AS76" s="321"/>
      <c r="AT76" s="321"/>
      <c r="AU76" s="136">
        <f t="shared" si="9"/>
        <v>2.5184910054425246E-8</v>
      </c>
      <c r="AV76" s="136">
        <f t="shared" si="21"/>
        <v>-5.4500000000000117</v>
      </c>
      <c r="AW76" s="136">
        <f t="shared" si="10"/>
        <v>1.4161007130160268E-7</v>
      </c>
      <c r="AX76" s="136" t="e">
        <f t="shared" si="11"/>
        <v>#N/A</v>
      </c>
      <c r="AY76" s="136">
        <f t="shared" si="12"/>
        <v>-5.4500100000000113</v>
      </c>
      <c r="AZ76" s="136">
        <f t="shared" si="13"/>
        <v>-5.4499900000000121</v>
      </c>
      <c r="BA76" s="136">
        <f t="shared" si="14"/>
        <v>1.6028484945184569E-2</v>
      </c>
      <c r="BB76" s="136">
        <f t="shared" si="15"/>
        <v>1.6028596989474515E-2</v>
      </c>
      <c r="BC76" s="136" t="e">
        <f t="shared" si="16"/>
        <v>#N/A</v>
      </c>
      <c r="BD76" s="136">
        <f t="shared" si="22"/>
        <v>1.4161007130160268E-7</v>
      </c>
      <c r="BE76" s="136">
        <f t="shared" si="17"/>
        <v>-9.9985838992869844E-4</v>
      </c>
      <c r="BF76" s="136" t="e">
        <f t="shared" si="18"/>
        <v>#N/A</v>
      </c>
      <c r="BG76" s="136" t="e">
        <f t="shared" si="19"/>
        <v>#N/A</v>
      </c>
    </row>
    <row r="77" spans="2:59" ht="11.25" customHeight="1">
      <c r="B77" s="321"/>
      <c r="C77" s="321"/>
      <c r="D77" s="321"/>
      <c r="E77" s="321"/>
      <c r="F77" s="321"/>
      <c r="G77" s="321"/>
      <c r="H77" s="321"/>
      <c r="I77" s="321"/>
      <c r="J77" s="321"/>
      <c r="K77" s="321"/>
      <c r="L77" s="321"/>
      <c r="M77" s="321"/>
      <c r="N77" s="321"/>
      <c r="O77" s="321"/>
      <c r="P77" s="321"/>
      <c r="Q77" s="321"/>
      <c r="R77" s="321"/>
      <c r="S77" s="321"/>
      <c r="T77" s="321"/>
      <c r="U77" s="321"/>
      <c r="V77" s="321"/>
      <c r="W77" s="321"/>
      <c r="X77" s="321"/>
      <c r="Y77" s="321"/>
      <c r="Z77" s="321"/>
      <c r="AA77" s="321"/>
      <c r="AB77" s="321"/>
      <c r="AC77" s="321"/>
      <c r="AD77" s="321"/>
      <c r="AE77" s="321"/>
      <c r="AF77" s="321"/>
      <c r="AG77" s="321"/>
      <c r="AH77" s="321"/>
      <c r="AI77" s="321"/>
      <c r="AJ77" s="321"/>
      <c r="AK77" s="321"/>
      <c r="AL77" s="321"/>
      <c r="AM77" s="321"/>
      <c r="AN77" s="321"/>
      <c r="AO77" s="321"/>
      <c r="AP77" s="427"/>
      <c r="AQ77" s="321"/>
      <c r="AR77" s="321"/>
      <c r="AS77" s="321"/>
      <c r="AT77" s="321"/>
      <c r="AU77" s="136">
        <f t="shared" si="9"/>
        <v>2.6640285609927902E-8</v>
      </c>
      <c r="AV77" s="136">
        <f t="shared" si="21"/>
        <v>-5.4400000000000119</v>
      </c>
      <c r="AW77" s="136">
        <f t="shared" si="10"/>
        <v>1.4953452516714987E-7</v>
      </c>
      <c r="AX77" s="136" t="e">
        <f t="shared" si="11"/>
        <v>#N/A</v>
      </c>
      <c r="AY77" s="136">
        <f t="shared" si="12"/>
        <v>-5.4400100000000116</v>
      </c>
      <c r="AZ77" s="136">
        <f t="shared" si="13"/>
        <v>-5.4399900000000123</v>
      </c>
      <c r="BA77" s="136">
        <f t="shared" si="14"/>
        <v>1.6084651588608095E-2</v>
      </c>
      <c r="BB77" s="136">
        <f t="shared" si="15"/>
        <v>1.6084764212705268E-2</v>
      </c>
      <c r="BC77" s="136" t="e">
        <f t="shared" si="16"/>
        <v>#N/A</v>
      </c>
      <c r="BD77" s="136">
        <f t="shared" si="22"/>
        <v>1.4953452516714987E-7</v>
      </c>
      <c r="BE77" s="136">
        <f t="shared" si="17"/>
        <v>-9.9985046547483277E-4</v>
      </c>
      <c r="BF77" s="136" t="e">
        <f t="shared" si="18"/>
        <v>#N/A</v>
      </c>
      <c r="BG77" s="136" t="e">
        <f t="shared" si="19"/>
        <v>#N/A</v>
      </c>
    </row>
    <row r="78" spans="2:59" ht="11.25" customHeight="1">
      <c r="B78" s="321"/>
      <c r="C78" s="321"/>
      <c r="D78" s="321"/>
      <c r="E78" s="321"/>
      <c r="F78" s="321"/>
      <c r="G78" s="321"/>
      <c r="H78" s="321"/>
      <c r="I78" s="321"/>
      <c r="J78" s="321"/>
      <c r="K78" s="321"/>
      <c r="L78" s="321"/>
      <c r="M78" s="321"/>
      <c r="N78" s="321"/>
      <c r="O78" s="321"/>
      <c r="P78" s="321"/>
      <c r="Q78" s="321"/>
      <c r="R78" s="321"/>
      <c r="S78" s="321"/>
      <c r="T78" s="321"/>
      <c r="U78" s="321"/>
      <c r="V78" s="321"/>
      <c r="W78" s="321"/>
      <c r="X78" s="321"/>
      <c r="Y78" s="321"/>
      <c r="Z78" s="321"/>
      <c r="AA78" s="321"/>
      <c r="AB78" s="321"/>
      <c r="AC78" s="321"/>
      <c r="AD78" s="321"/>
      <c r="AE78" s="321"/>
      <c r="AF78" s="321"/>
      <c r="AG78" s="321"/>
      <c r="AH78" s="321"/>
      <c r="AI78" s="321"/>
      <c r="AJ78" s="321"/>
      <c r="AK78" s="321"/>
      <c r="AL78" s="321"/>
      <c r="AM78" s="321"/>
      <c r="AN78" s="321"/>
      <c r="AO78" s="321"/>
      <c r="AP78" s="427"/>
      <c r="AQ78" s="321"/>
      <c r="AR78" s="321"/>
      <c r="AS78" s="321"/>
      <c r="AT78" s="321"/>
      <c r="AU78" s="136">
        <f t="shared" si="9"/>
        <v>2.8177025975996744E-8</v>
      </c>
      <c r="AV78" s="136">
        <f t="shared" si="21"/>
        <v>-5.4300000000000122</v>
      </c>
      <c r="AW78" s="136">
        <f t="shared" si="10"/>
        <v>1.5788663945887994E-7</v>
      </c>
      <c r="AX78" s="136" t="e">
        <f t="shared" si="11"/>
        <v>#N/A</v>
      </c>
      <c r="AY78" s="136">
        <f t="shared" si="12"/>
        <v>-5.4300100000000118</v>
      </c>
      <c r="AZ78" s="136">
        <f t="shared" si="13"/>
        <v>-5.4299900000000125</v>
      </c>
      <c r="BA78" s="136">
        <f t="shared" si="14"/>
        <v>1.6141109117122493E-2</v>
      </c>
      <c r="BB78" s="136">
        <f t="shared" si="15"/>
        <v>1.6141222324966138E-2</v>
      </c>
      <c r="BC78" s="136" t="e">
        <f t="shared" si="16"/>
        <v>#N/A</v>
      </c>
      <c r="BD78" s="136">
        <f t="shared" si="22"/>
        <v>1.5788663945887994E-7</v>
      </c>
      <c r="BE78" s="136">
        <f t="shared" si="17"/>
        <v>-9.9984211336054114E-4</v>
      </c>
      <c r="BF78" s="136" t="e">
        <f t="shared" si="18"/>
        <v>#N/A</v>
      </c>
      <c r="BG78" s="136" t="e">
        <f t="shared" si="19"/>
        <v>#N/A</v>
      </c>
    </row>
    <row r="79" spans="2:59" ht="11.25" customHeight="1">
      <c r="B79" s="321"/>
      <c r="C79" s="321"/>
      <c r="D79" s="321"/>
      <c r="E79" s="321"/>
      <c r="F79" s="321"/>
      <c r="G79" s="321"/>
      <c r="H79" s="321"/>
      <c r="I79" s="321"/>
      <c r="J79" s="321"/>
      <c r="K79" s="321"/>
      <c r="L79" s="321"/>
      <c r="M79" s="321"/>
      <c r="N79" s="321"/>
      <c r="O79" s="321"/>
      <c r="P79" s="321"/>
      <c r="Q79" s="321"/>
      <c r="R79" s="321"/>
      <c r="S79" s="321"/>
      <c r="T79" s="321"/>
      <c r="U79" s="321"/>
      <c r="V79" s="321"/>
      <c r="W79" s="321"/>
      <c r="X79" s="321"/>
      <c r="Y79" s="321"/>
      <c r="Z79" s="321"/>
      <c r="AA79" s="321"/>
      <c r="AB79" s="321"/>
      <c r="AC79" s="321"/>
      <c r="AD79" s="321"/>
      <c r="AE79" s="321"/>
      <c r="AF79" s="321"/>
      <c r="AG79" s="321"/>
      <c r="AH79" s="321"/>
      <c r="AI79" s="321"/>
      <c r="AJ79" s="321"/>
      <c r="AK79" s="321"/>
      <c r="AL79" s="321"/>
      <c r="AM79" s="321"/>
      <c r="AN79" s="321"/>
      <c r="AO79" s="321"/>
      <c r="AP79" s="427"/>
      <c r="AQ79" s="321"/>
      <c r="AR79" s="321"/>
      <c r="AS79" s="321"/>
      <c r="AT79" s="321"/>
      <c r="AU79" s="136">
        <f t="shared" si="9"/>
        <v>2.9799517710488934E-8</v>
      </c>
      <c r="AV79" s="136">
        <f t="shared" si="21"/>
        <v>-5.4200000000000124</v>
      </c>
      <c r="AW79" s="136">
        <f t="shared" si="10"/>
        <v>1.66688583772217E-7</v>
      </c>
      <c r="AX79" s="136" t="e">
        <f t="shared" si="11"/>
        <v>#N/A</v>
      </c>
      <c r="AY79" s="136">
        <f t="shared" si="12"/>
        <v>-5.420010000000012</v>
      </c>
      <c r="AZ79" s="136">
        <f t="shared" si="13"/>
        <v>-5.4199900000000127</v>
      </c>
      <c r="BA79" s="136">
        <f t="shared" si="14"/>
        <v>1.6197859508555727E-2</v>
      </c>
      <c r="BB79" s="136">
        <f t="shared" si="15"/>
        <v>1.619797330411802E-2</v>
      </c>
      <c r="BC79" s="136" t="e">
        <f t="shared" si="16"/>
        <v>#N/A</v>
      </c>
      <c r="BD79" s="136">
        <f t="shared" si="22"/>
        <v>1.66688583772217E-7</v>
      </c>
      <c r="BE79" s="136">
        <f t="shared" si="17"/>
        <v>-9.9983331141622776E-4</v>
      </c>
      <c r="BF79" s="136" t="e">
        <f t="shared" si="18"/>
        <v>#N/A</v>
      </c>
      <c r="BG79" s="136" t="e">
        <f t="shared" si="19"/>
        <v>#N/A</v>
      </c>
    </row>
    <row r="80" spans="2:59" ht="11.25" customHeight="1">
      <c r="B80" s="321"/>
      <c r="C80" s="321"/>
      <c r="D80" s="321"/>
      <c r="E80" s="321"/>
      <c r="F80" s="321"/>
      <c r="G80" s="321"/>
      <c r="H80" s="321"/>
      <c r="I80" s="321"/>
      <c r="J80" s="321"/>
      <c r="K80" s="321"/>
      <c r="L80" s="321"/>
      <c r="M80" s="321"/>
      <c r="N80" s="321"/>
      <c r="O80" s="321"/>
      <c r="P80" s="321"/>
      <c r="Q80" s="321"/>
      <c r="R80" s="321"/>
      <c r="S80" s="321"/>
      <c r="T80" s="321"/>
      <c r="U80" s="321"/>
      <c r="V80" s="321"/>
      <c r="W80" s="321"/>
      <c r="X80" s="321"/>
      <c r="Y80" s="321"/>
      <c r="Z80" s="321"/>
      <c r="AA80" s="321"/>
      <c r="AB80" s="321"/>
      <c r="AC80" s="321"/>
      <c r="AD80" s="321"/>
      <c r="AE80" s="321"/>
      <c r="AF80" s="321"/>
      <c r="AG80" s="321"/>
      <c r="AH80" s="321"/>
      <c r="AI80" s="321"/>
      <c r="AJ80" s="321"/>
      <c r="AK80" s="321"/>
      <c r="AL80" s="321"/>
      <c r="AM80" s="321"/>
      <c r="AN80" s="321"/>
      <c r="AO80" s="321"/>
      <c r="AP80" s="427"/>
      <c r="AQ80" s="321"/>
      <c r="AR80" s="321"/>
      <c r="AS80" s="321"/>
      <c r="AT80" s="321"/>
      <c r="AU80" s="136">
        <f t="shared" si="9"/>
        <v>3.1512374517030345E-8</v>
      </c>
      <c r="AV80" s="136">
        <f t="shared" si="21"/>
        <v>-5.4100000000000126</v>
      </c>
      <c r="AW80" s="136">
        <f t="shared" si="10"/>
        <v>1.7596362609103401E-7</v>
      </c>
      <c r="AX80" s="136" t="e">
        <f t="shared" si="11"/>
        <v>#N/A</v>
      </c>
      <c r="AY80" s="136">
        <f t="shared" si="12"/>
        <v>-5.4100100000000122</v>
      </c>
      <c r="AZ80" s="136">
        <f t="shared" si="13"/>
        <v>-5.409990000000013</v>
      </c>
      <c r="BA80" s="136">
        <f t="shared" si="14"/>
        <v>1.6254904757271295E-2</v>
      </c>
      <c r="BB80" s="136">
        <f t="shared" si="15"/>
        <v>1.6255019144557657E-2</v>
      </c>
      <c r="BC80" s="136" t="e">
        <f t="shared" si="16"/>
        <v>#N/A</v>
      </c>
      <c r="BD80" s="136">
        <f t="shared" si="22"/>
        <v>1.7596362609103401E-7</v>
      </c>
      <c r="BE80" s="136">
        <f t="shared" si="17"/>
        <v>-9.9982403637390894E-4</v>
      </c>
      <c r="BF80" s="136" t="e">
        <f t="shared" si="18"/>
        <v>#N/A</v>
      </c>
      <c r="BG80" s="136" t="e">
        <f t="shared" si="19"/>
        <v>#N/A</v>
      </c>
    </row>
    <row r="81" spans="2:59" ht="11.25" customHeight="1">
      <c r="B81" s="321"/>
      <c r="C81" s="321"/>
      <c r="D81" s="321"/>
      <c r="E81" s="321"/>
      <c r="F81" s="321"/>
      <c r="G81" s="321"/>
      <c r="H81" s="321"/>
      <c r="I81" s="321"/>
      <c r="J81" s="321"/>
      <c r="K81" s="321"/>
      <c r="L81" s="321"/>
      <c r="M81" s="321"/>
      <c r="N81" s="321"/>
      <c r="O81" s="321"/>
      <c r="P81" s="321"/>
      <c r="Q81" s="321"/>
      <c r="R81" s="321"/>
      <c r="S81" s="321"/>
      <c r="T81" s="321"/>
      <c r="U81" s="321"/>
      <c r="V81" s="321"/>
      <c r="W81" s="321"/>
      <c r="X81" s="321"/>
      <c r="Y81" s="321"/>
      <c r="Z81" s="321"/>
      <c r="AA81" s="321"/>
      <c r="AB81" s="321"/>
      <c r="AC81" s="321"/>
      <c r="AD81" s="321"/>
      <c r="AE81" s="321"/>
      <c r="AF81" s="321"/>
      <c r="AG81" s="321"/>
      <c r="AH81" s="321"/>
      <c r="AI81" s="321"/>
      <c r="AJ81" s="321"/>
      <c r="AK81" s="321"/>
      <c r="AL81" s="321"/>
      <c r="AM81" s="321"/>
      <c r="AN81" s="321"/>
      <c r="AO81" s="321"/>
      <c r="AP81" s="427"/>
      <c r="AQ81" s="321"/>
      <c r="AR81" s="321"/>
      <c r="AS81" s="321"/>
      <c r="AT81" s="321"/>
      <c r="AU81" s="136">
        <f t="shared" si="9"/>
        <v>3.3320448485371644E-8</v>
      </c>
      <c r="AV81" s="136">
        <f t="shared" si="21"/>
        <v>-5.4000000000000128</v>
      </c>
      <c r="AW81" s="136">
        <f t="shared" si="10"/>
        <v>1.8573618445551639E-7</v>
      </c>
      <c r="AX81" s="136" t="e">
        <f t="shared" si="11"/>
        <v>#N/A</v>
      </c>
      <c r="AY81" s="136">
        <f t="shared" si="12"/>
        <v>-5.4000100000000124</v>
      </c>
      <c r="AZ81" s="136">
        <f t="shared" si="13"/>
        <v>-5.3999900000000132</v>
      </c>
      <c r="BA81" s="136">
        <f t="shared" si="14"/>
        <v>1.6312246874331197E-2</v>
      </c>
      <c r="BB81" s="136">
        <f t="shared" si="15"/>
        <v>1.6312361857380567E-2</v>
      </c>
      <c r="BC81" s="136" t="e">
        <f t="shared" si="16"/>
        <v>#N/A</v>
      </c>
      <c r="BD81" s="136">
        <f t="shared" si="22"/>
        <v>1.8573618445551639E-7</v>
      </c>
      <c r="BE81" s="136">
        <f t="shared" si="17"/>
        <v>-9.9981426381554441E-4</v>
      </c>
      <c r="BF81" s="136" t="e">
        <f t="shared" si="18"/>
        <v>#N/A</v>
      </c>
      <c r="BG81" s="136" t="e">
        <f t="shared" si="19"/>
        <v>#N/A</v>
      </c>
    </row>
    <row r="82" spans="2:59" ht="11.25" customHeight="1">
      <c r="B82" s="321"/>
      <c r="C82" s="321"/>
      <c r="D82" s="321"/>
      <c r="E82" s="321"/>
      <c r="F82" s="321"/>
      <c r="G82" s="321"/>
      <c r="H82" s="321"/>
      <c r="I82" s="321"/>
      <c r="J82" s="321"/>
      <c r="K82" s="321"/>
      <c r="L82" s="321"/>
      <c r="M82" s="321"/>
      <c r="N82" s="321"/>
      <c r="O82" s="321"/>
      <c r="P82" s="321"/>
      <c r="Q82" s="321"/>
      <c r="R82" s="321"/>
      <c r="S82" s="321"/>
      <c r="T82" s="321"/>
      <c r="U82" s="321"/>
      <c r="V82" s="321"/>
      <c r="W82" s="321"/>
      <c r="X82" s="321"/>
      <c r="Y82" s="321"/>
      <c r="Z82" s="321"/>
      <c r="AA82" s="321"/>
      <c r="AB82" s="321"/>
      <c r="AC82" s="321"/>
      <c r="AD82" s="321"/>
      <c r="AE82" s="321"/>
      <c r="AF82" s="321"/>
      <c r="AG82" s="321"/>
      <c r="AH82" s="321"/>
      <c r="AI82" s="321"/>
      <c r="AJ82" s="321"/>
      <c r="AK82" s="321"/>
      <c r="AL82" s="321"/>
      <c r="AM82" s="321"/>
      <c r="AN82" s="321"/>
      <c r="AO82" s="321"/>
      <c r="AP82" s="427"/>
      <c r="AQ82" s="321"/>
      <c r="AR82" s="321"/>
      <c r="AS82" s="321"/>
      <c r="AT82" s="321"/>
      <c r="AU82" s="136">
        <f t="shared" si="9"/>
        <v>3.5228841859780492E-8</v>
      </c>
      <c r="AV82" s="136">
        <f t="shared" si="21"/>
        <v>-5.390000000000013</v>
      </c>
      <c r="AW82" s="136">
        <f t="shared" si="10"/>
        <v>1.9603188091674326E-7</v>
      </c>
      <c r="AX82" s="136" t="e">
        <f t="shared" si="11"/>
        <v>#N/A</v>
      </c>
      <c r="AY82" s="136">
        <f t="shared" si="12"/>
        <v>-5.3900100000000126</v>
      </c>
      <c r="AZ82" s="136">
        <f t="shared" si="13"/>
        <v>-5.3899900000000134</v>
      </c>
      <c r="BA82" s="136">
        <f t="shared" si="14"/>
        <v>1.636988788766066E-2</v>
      </c>
      <c r="BB82" s="136">
        <f t="shared" si="15"/>
        <v>1.6370003470545919E-2</v>
      </c>
      <c r="BC82" s="136" t="e">
        <f t="shared" si="16"/>
        <v>#N/A</v>
      </c>
      <c r="BD82" s="136">
        <f t="shared" si="22"/>
        <v>1.9603188091674326E-7</v>
      </c>
      <c r="BE82" s="136">
        <f t="shared" si="17"/>
        <v>-9.9980396811908323E-4</v>
      </c>
      <c r="BF82" s="136" t="e">
        <f t="shared" si="18"/>
        <v>#N/A</v>
      </c>
      <c r="BG82" s="136" t="e">
        <f t="shared" si="19"/>
        <v>#N/A</v>
      </c>
    </row>
    <row r="83" spans="2:59" ht="11.25" customHeight="1">
      <c r="B83" s="321"/>
      <c r="C83" s="321"/>
      <c r="D83" s="321"/>
      <c r="E83" s="321"/>
      <c r="F83" s="321"/>
      <c r="G83" s="321"/>
      <c r="H83" s="321"/>
      <c r="I83" s="321"/>
      <c r="J83" s="321"/>
      <c r="K83" s="321"/>
      <c r="L83" s="321"/>
      <c r="M83" s="321"/>
      <c r="N83" s="321"/>
      <c r="O83" s="321"/>
      <c r="P83" s="321"/>
      <c r="Q83" s="321"/>
      <c r="R83" s="321"/>
      <c r="S83" s="321"/>
      <c r="T83" s="321"/>
      <c r="U83" s="321"/>
      <c r="V83" s="321"/>
      <c r="W83" s="321"/>
      <c r="X83" s="321"/>
      <c r="Y83" s="321"/>
      <c r="Z83" s="321"/>
      <c r="AA83" s="321"/>
      <c r="AB83" s="321"/>
      <c r="AC83" s="321"/>
      <c r="AD83" s="321"/>
      <c r="AE83" s="321"/>
      <c r="AF83" s="321"/>
      <c r="AG83" s="321"/>
      <c r="AH83" s="321"/>
      <c r="AI83" s="321"/>
      <c r="AJ83" s="321"/>
      <c r="AK83" s="321"/>
      <c r="AL83" s="321"/>
      <c r="AM83" s="321"/>
      <c r="AN83" s="321"/>
      <c r="AO83" s="321"/>
      <c r="AP83" s="427"/>
      <c r="AQ83" s="321"/>
      <c r="AR83" s="321"/>
      <c r="AS83" s="321"/>
      <c r="AT83" s="321"/>
      <c r="AU83" s="136">
        <f t="shared" si="9"/>
        <v>3.7242919358802636E-8</v>
      </c>
      <c r="AV83" s="136">
        <f t="shared" si="21"/>
        <v>-5.3800000000000132</v>
      </c>
      <c r="AW83" s="136">
        <f t="shared" si="10"/>
        <v>2.0687759787195041E-7</v>
      </c>
      <c r="AX83" s="136" t="e">
        <f t="shared" si="11"/>
        <v>#N/A</v>
      </c>
      <c r="AY83" s="136">
        <f t="shared" si="12"/>
        <v>-5.3800100000000128</v>
      </c>
      <c r="AZ83" s="136">
        <f t="shared" si="13"/>
        <v>-5.3799900000000136</v>
      </c>
      <c r="BA83" s="136">
        <f t="shared" si="14"/>
        <v>1.6427829842214848E-2</v>
      </c>
      <c r="BB83" s="136">
        <f t="shared" si="15"/>
        <v>1.6427946029043076E-2</v>
      </c>
      <c r="BC83" s="136" t="e">
        <f t="shared" si="16"/>
        <v>#N/A</v>
      </c>
      <c r="BD83" s="136">
        <f t="shared" si="22"/>
        <v>2.0687759787195041E-7</v>
      </c>
      <c r="BE83" s="136">
        <f t="shared" si="17"/>
        <v>-9.9979312240212805E-4</v>
      </c>
      <c r="BF83" s="136" t="e">
        <f t="shared" si="18"/>
        <v>#N/A</v>
      </c>
      <c r="BG83" s="136" t="e">
        <f t="shared" si="19"/>
        <v>#N/A</v>
      </c>
    </row>
    <row r="84" spans="2:59" ht="11.25" customHeight="1">
      <c r="B84" s="321"/>
      <c r="C84" s="321"/>
      <c r="D84" s="321"/>
      <c r="E84" s="321"/>
      <c r="F84" s="321"/>
      <c r="G84" s="321"/>
      <c r="H84" s="321"/>
      <c r="I84" s="321"/>
      <c r="J84" s="321"/>
      <c r="K84" s="321"/>
      <c r="L84" s="321"/>
      <c r="M84" s="321"/>
      <c r="N84" s="321"/>
      <c r="O84" s="321"/>
      <c r="P84" s="321"/>
      <c r="Q84" s="321"/>
      <c r="R84" s="321"/>
      <c r="S84" s="321"/>
      <c r="T84" s="321"/>
      <c r="U84" s="321"/>
      <c r="V84" s="321"/>
      <c r="W84" s="321"/>
      <c r="X84" s="321"/>
      <c r="Y84" s="321"/>
      <c r="Z84" s="321"/>
      <c r="AA84" s="321"/>
      <c r="AB84" s="321"/>
      <c r="AC84" s="321"/>
      <c r="AD84" s="321"/>
      <c r="AE84" s="321"/>
      <c r="AF84" s="321"/>
      <c r="AG84" s="321"/>
      <c r="AH84" s="321"/>
      <c r="AI84" s="321"/>
      <c r="AJ84" s="321"/>
      <c r="AK84" s="321"/>
      <c r="AL84" s="321"/>
      <c r="AM84" s="321"/>
      <c r="AN84" s="321"/>
      <c r="AO84" s="321"/>
      <c r="AP84" s="427"/>
      <c r="AQ84" s="321"/>
      <c r="AR84" s="321"/>
      <c r="AS84" s="321"/>
      <c r="AT84" s="321"/>
      <c r="AU84" s="136">
        <f t="shared" si="9"/>
        <v>3.9368321070683965E-8</v>
      </c>
      <c r="AV84" s="136">
        <f t="shared" si="21"/>
        <v>-5.3700000000000134</v>
      </c>
      <c r="AW84" s="136">
        <f t="shared" si="10"/>
        <v>2.1830153687796297E-7</v>
      </c>
      <c r="AX84" s="136" t="e">
        <f t="shared" si="11"/>
        <v>#N/A</v>
      </c>
      <c r="AY84" s="136">
        <f t="shared" si="12"/>
        <v>-5.3700100000000131</v>
      </c>
      <c r="AZ84" s="136">
        <f t="shared" si="13"/>
        <v>-5.3699900000000138</v>
      </c>
      <c r="BA84" s="136">
        <f t="shared" si="14"/>
        <v>1.6486074800147361E-2</v>
      </c>
      <c r="BB84" s="136">
        <f t="shared" si="15"/>
        <v>1.6486191595060217E-2</v>
      </c>
      <c r="BC84" s="136" t="e">
        <f t="shared" si="16"/>
        <v>#N/A</v>
      </c>
      <c r="BD84" s="136">
        <f t="shared" si="22"/>
        <v>2.1830153687796297E-7</v>
      </c>
      <c r="BE84" s="136">
        <f t="shared" si="17"/>
        <v>-9.9978169846312213E-4</v>
      </c>
      <c r="BF84" s="136" t="e">
        <f t="shared" si="18"/>
        <v>#N/A</v>
      </c>
      <c r="BG84" s="136" t="e">
        <f t="shared" si="19"/>
        <v>#N/A</v>
      </c>
    </row>
    <row r="85" spans="2:59" ht="11.25" customHeight="1">
      <c r="B85" s="321"/>
      <c r="C85" s="321"/>
      <c r="D85" s="321"/>
      <c r="E85" s="321"/>
      <c r="F85" s="321"/>
      <c r="G85" s="321"/>
      <c r="H85" s="321"/>
      <c r="I85" s="321"/>
      <c r="J85" s="321"/>
      <c r="K85" s="321"/>
      <c r="L85" s="321"/>
      <c r="M85" s="321"/>
      <c r="N85" s="321"/>
      <c r="O85" s="321"/>
      <c r="P85" s="321"/>
      <c r="Q85" s="321"/>
      <c r="R85" s="321"/>
      <c r="S85" s="321"/>
      <c r="T85" s="321"/>
      <c r="U85" s="321"/>
      <c r="V85" s="321"/>
      <c r="W85" s="321"/>
      <c r="X85" s="321"/>
      <c r="Y85" s="321"/>
      <c r="Z85" s="321"/>
      <c r="AA85" s="321"/>
      <c r="AB85" s="321"/>
      <c r="AC85" s="321"/>
      <c r="AD85" s="321"/>
      <c r="AE85" s="321"/>
      <c r="AF85" s="321"/>
      <c r="AG85" s="321"/>
      <c r="AH85" s="321"/>
      <c r="AI85" s="321"/>
      <c r="AJ85" s="321"/>
      <c r="AK85" s="321"/>
      <c r="AL85" s="321"/>
      <c r="AM85" s="321"/>
      <c r="AN85" s="321"/>
      <c r="AO85" s="321"/>
      <c r="AP85" s="427"/>
      <c r="AQ85" s="321"/>
      <c r="AR85" s="321"/>
      <c r="AS85" s="321"/>
      <c r="AT85" s="321"/>
      <c r="AU85" s="136">
        <f t="shared" ref="AU85:AU148" si="24">NORMDIST(AV85,$AV$17,$AV$18,TRUE)</f>
        <v>4.1610975949737303E-8</v>
      </c>
      <c r="AV85" s="136">
        <f t="shared" si="21"/>
        <v>-5.3600000000000136</v>
      </c>
      <c r="AW85" s="136">
        <f t="shared" ref="AW85:AW148" si="25">IF($AV$13=1,NORMDIST(AV85,$AV$17,$AV$18,FALSE),NA())</f>
        <v>2.3033328004390427E-7</v>
      </c>
      <c r="AX85" s="136" t="e">
        <f t="shared" ref="AX85:AX148" si="26">IF($AV$13=3,NORMDIST(AV85,$AV$17,$AV$18,FALSE),NA())</f>
        <v>#N/A</v>
      </c>
      <c r="AY85" s="136">
        <f t="shared" ref="AY85:AY148" si="27">AV85-$AY$19</f>
        <v>-5.3600100000000133</v>
      </c>
      <c r="AZ85" s="136">
        <f t="shared" ref="AZ85:AZ148" si="28">AV85+$AY$19</f>
        <v>-5.359990000000014</v>
      </c>
      <c r="BA85" s="136">
        <f t="shared" ref="BA85:BA148" si="29">IF(AY85&lt;0,TDIST(-AY85,$AV$14,1),1-TDIST(AY85,$AV$14,1))</f>
        <v>1.6544624840980692E-2</v>
      </c>
      <c r="BB85" s="136">
        <f t="shared" ref="BB85:BB148" si="30">IF(AZ85&lt;0,TDIST(-AZ85,$AV$14,1),1-TDIST(AZ85,$AV$14,1))</f>
        <v>1.654474224815471E-2</v>
      </c>
      <c r="BC85" s="136" t="e">
        <f t="shared" ref="BC85:BC148" si="31">IF($AV$13&gt;1,(BB85-BA85)/(2*$AY$19),NA())</f>
        <v>#N/A</v>
      </c>
      <c r="BD85" s="136">
        <f t="shared" si="22"/>
        <v>2.3033328004390427E-7</v>
      </c>
      <c r="BE85" s="136">
        <f t="shared" ref="BE85:BE148" si="32">IF(ISNUMBER(BD85),BD85-$BE$19,NA())</f>
        <v>-9.9976966671995612E-4</v>
      </c>
      <c r="BF85" s="136" t="e">
        <f t="shared" ref="BF85:BF148" si="33">IF($AV$15=1,IF(AV85&gt;=$BF$19,BC85,NA()),IF($AV$15=2,IF(ABS(AV85)&gt;=$BF$19,BC85,NA()),NA()))</f>
        <v>#N/A</v>
      </c>
      <c r="BG85" s="136" t="e">
        <f t="shared" ref="BG85:BG148" si="34">IF(ISNUMBER(BF85),BF85-$BG$19,NA())</f>
        <v>#N/A</v>
      </c>
    </row>
    <row r="86" spans="2:59" ht="11.25" customHeight="1">
      <c r="B86" s="321"/>
      <c r="C86" s="321"/>
      <c r="D86" s="321"/>
      <c r="E86" s="321"/>
      <c r="F86" s="321"/>
      <c r="G86" s="321"/>
      <c r="H86" s="321"/>
      <c r="I86" s="321"/>
      <c r="J86" s="321"/>
      <c r="K86" s="321"/>
      <c r="L86" s="321"/>
      <c r="M86" s="321"/>
      <c r="N86" s="321"/>
      <c r="O86" s="321"/>
      <c r="P86" s="321"/>
      <c r="Q86" s="321"/>
      <c r="R86" s="321"/>
      <c r="S86" s="321"/>
      <c r="T86" s="321"/>
      <c r="U86" s="321"/>
      <c r="V86" s="321"/>
      <c r="W86" s="321"/>
      <c r="X86" s="321"/>
      <c r="Y86" s="321"/>
      <c r="Z86" s="321"/>
      <c r="AA86" s="321"/>
      <c r="AB86" s="321"/>
      <c r="AC86" s="321"/>
      <c r="AD86" s="321"/>
      <c r="AE86" s="321"/>
      <c r="AF86" s="321"/>
      <c r="AG86" s="321"/>
      <c r="AH86" s="321"/>
      <c r="AI86" s="321"/>
      <c r="AJ86" s="321"/>
      <c r="AK86" s="321"/>
      <c r="AL86" s="321"/>
      <c r="AM86" s="321"/>
      <c r="AN86" s="321"/>
      <c r="AO86" s="321"/>
      <c r="AP86" s="427"/>
      <c r="AQ86" s="321"/>
      <c r="AR86" s="321"/>
      <c r="AS86" s="321"/>
      <c r="AT86" s="321"/>
      <c r="AU86" s="136">
        <f t="shared" si="24"/>
        <v>4.397711593996854E-8</v>
      </c>
      <c r="AV86" s="136">
        <f t="shared" ref="AV86:AV149" si="35">AV85+$AY$10</f>
        <v>-5.3500000000000139</v>
      </c>
      <c r="AW86" s="136">
        <f t="shared" si="25"/>
        <v>2.4300385410803492E-7</v>
      </c>
      <c r="AX86" s="136" t="e">
        <f t="shared" si="26"/>
        <v>#N/A</v>
      </c>
      <c r="AY86" s="136">
        <f t="shared" si="27"/>
        <v>-5.3500100000000135</v>
      </c>
      <c r="AZ86" s="136">
        <f t="shared" si="28"/>
        <v>-5.3499900000000142</v>
      </c>
      <c r="BA86" s="136">
        <f t="shared" si="29"/>
        <v>1.6603482061778536E-2</v>
      </c>
      <c r="BB86" s="136">
        <f t="shared" si="30"/>
        <v>1.6603600085425559E-2</v>
      </c>
      <c r="BC86" s="136" t="e">
        <f t="shared" si="31"/>
        <v>#N/A</v>
      </c>
      <c r="BD86" s="136">
        <f t="shared" ref="BD86:BD149" si="36">IF($AV$15=1,IF(OR(AND(AV86&gt;=$BD$19,$AS$5&gt;=0),AND(AV86&lt;=$BD$19,$AS$5&lt;0)),AW86,NA()),IF($AV$15=2,IF(ABS(AV86)&gt;=$BD$18,AW86,NA()),NA()))</f>
        <v>2.4300385410803492E-7</v>
      </c>
      <c r="BE86" s="136">
        <f t="shared" si="32"/>
        <v>-9.9975699614589198E-4</v>
      </c>
      <c r="BF86" s="136" t="e">
        <f t="shared" si="33"/>
        <v>#N/A</v>
      </c>
      <c r="BG86" s="136" t="e">
        <f t="shared" si="34"/>
        <v>#N/A</v>
      </c>
    </row>
    <row r="87" spans="2:59" ht="11.25" customHeight="1">
      <c r="B87" s="321"/>
      <c r="C87" s="321"/>
      <c r="D87" s="321"/>
      <c r="E87" s="321"/>
      <c r="F87" s="321"/>
      <c r="G87" s="321"/>
      <c r="H87" s="321"/>
      <c r="I87" s="321"/>
      <c r="J87" s="321"/>
      <c r="K87" s="321"/>
      <c r="L87" s="321"/>
      <c r="M87" s="321"/>
      <c r="N87" s="321"/>
      <c r="O87" s="321"/>
      <c r="P87" s="321"/>
      <c r="Q87" s="321"/>
      <c r="R87" s="321"/>
      <c r="S87" s="321"/>
      <c r="T87" s="321"/>
      <c r="U87" s="321"/>
      <c r="V87" s="321"/>
      <c r="W87" s="321"/>
      <c r="X87" s="321"/>
      <c r="Y87" s="321"/>
      <c r="Z87" s="321"/>
      <c r="AA87" s="321"/>
      <c r="AB87" s="321"/>
      <c r="AC87" s="321"/>
      <c r="AD87" s="321"/>
      <c r="AE87" s="321"/>
      <c r="AF87" s="321"/>
      <c r="AG87" s="321"/>
      <c r="AH87" s="321"/>
      <c r="AI87" s="321"/>
      <c r="AJ87" s="321"/>
      <c r="AK87" s="321"/>
      <c r="AL87" s="321"/>
      <c r="AM87" s="321"/>
      <c r="AN87" s="321"/>
      <c r="AO87" s="321"/>
      <c r="AP87" s="427"/>
      <c r="AQ87" s="321"/>
      <c r="AR87" s="321"/>
      <c r="AS87" s="321"/>
      <c r="AT87" s="321"/>
      <c r="AU87" s="136">
        <f t="shared" si="24"/>
        <v>4.6473290753342099E-8</v>
      </c>
      <c r="AV87" s="136">
        <f t="shared" si="35"/>
        <v>-5.3400000000000141</v>
      </c>
      <c r="AW87" s="136">
        <f t="shared" si="25"/>
        <v>2.563457973074397E-7</v>
      </c>
      <c r="AX87" s="136" t="e">
        <f t="shared" si="26"/>
        <v>#N/A</v>
      </c>
      <c r="AY87" s="136">
        <f t="shared" si="27"/>
        <v>-5.3400100000000137</v>
      </c>
      <c r="AZ87" s="136">
        <f t="shared" si="28"/>
        <v>-5.3399900000000144</v>
      </c>
      <c r="BA87" s="136">
        <f t="shared" si="29"/>
        <v>1.6662648577320173E-2</v>
      </c>
      <c r="BB87" s="136">
        <f t="shared" si="30"/>
        <v>1.6662767221687635E-2</v>
      </c>
      <c r="BC87" s="136" t="e">
        <f t="shared" si="31"/>
        <v>#N/A</v>
      </c>
      <c r="BD87" s="136">
        <f t="shared" si="36"/>
        <v>2.563457973074397E-7</v>
      </c>
      <c r="BE87" s="136">
        <f t="shared" si="32"/>
        <v>-9.9974365420269266E-4</v>
      </c>
      <c r="BF87" s="136" t="e">
        <f t="shared" si="33"/>
        <v>#N/A</v>
      </c>
      <c r="BG87" s="136" t="e">
        <f t="shared" si="34"/>
        <v>#N/A</v>
      </c>
    </row>
    <row r="88" spans="2:59" ht="11.25" customHeight="1">
      <c r="B88" s="321"/>
      <c r="C88" s="321"/>
      <c r="D88" s="321"/>
      <c r="E88" s="321"/>
      <c r="F88" s="321"/>
      <c r="G88" s="321"/>
      <c r="H88" s="321"/>
      <c r="I88" s="321"/>
      <c r="J88" s="321"/>
      <c r="K88" s="321"/>
      <c r="L88" s="321"/>
      <c r="M88" s="321"/>
      <c r="N88" s="321"/>
      <c r="O88" s="321"/>
      <c r="P88" s="321"/>
      <c r="Q88" s="321"/>
      <c r="R88" s="321"/>
      <c r="S88" s="321"/>
      <c r="T88" s="321"/>
      <c r="U88" s="321"/>
      <c r="V88" s="321"/>
      <c r="W88" s="321"/>
      <c r="X88" s="321"/>
      <c r="Y88" s="321"/>
      <c r="Z88" s="321"/>
      <c r="AA88" s="321"/>
      <c r="AB88" s="321"/>
      <c r="AC88" s="321"/>
      <c r="AD88" s="321"/>
      <c r="AE88" s="321"/>
      <c r="AF88" s="321"/>
      <c r="AG88" s="321"/>
      <c r="AH88" s="321"/>
      <c r="AI88" s="321"/>
      <c r="AJ88" s="321"/>
      <c r="AK88" s="321"/>
      <c r="AL88" s="321"/>
      <c r="AM88" s="321"/>
      <c r="AN88" s="321"/>
      <c r="AO88" s="321"/>
      <c r="AP88" s="427"/>
      <c r="AQ88" s="321"/>
      <c r="AR88" s="321"/>
      <c r="AS88" s="321"/>
      <c r="AT88" s="321"/>
      <c r="AU88" s="136">
        <f t="shared" si="24"/>
        <v>4.9106383331176802E-8</v>
      </c>
      <c r="AV88" s="136">
        <f t="shared" si="35"/>
        <v>-5.3300000000000143</v>
      </c>
      <c r="AW88" s="136">
        <f t="shared" si="25"/>
        <v>2.7039322915327235E-7</v>
      </c>
      <c r="AX88" s="136" t="e">
        <f t="shared" si="26"/>
        <v>#N/A</v>
      </c>
      <c r="AY88" s="136">
        <f t="shared" si="27"/>
        <v>-5.3300100000000139</v>
      </c>
      <c r="AZ88" s="136">
        <f t="shared" si="28"/>
        <v>-5.3299900000000147</v>
      </c>
      <c r="BA88" s="136">
        <f t="shared" si="29"/>
        <v>1.6722126520276773E-2</v>
      </c>
      <c r="BB88" s="136">
        <f t="shared" si="30"/>
        <v>1.6722245789648059E-2</v>
      </c>
      <c r="BC88" s="136" t="e">
        <f t="shared" si="31"/>
        <v>#N/A</v>
      </c>
      <c r="BD88" s="136">
        <f t="shared" si="36"/>
        <v>2.7039322915327235E-7</v>
      </c>
      <c r="BE88" s="136">
        <f t="shared" si="32"/>
        <v>-9.9972960677084666E-4</v>
      </c>
      <c r="BF88" s="136" t="e">
        <f t="shared" si="33"/>
        <v>#N/A</v>
      </c>
      <c r="BG88" s="136" t="e">
        <f t="shared" si="34"/>
        <v>#N/A</v>
      </c>
    </row>
    <row r="89" spans="2:59" ht="11.25" customHeight="1">
      <c r="B89" s="321"/>
      <c r="C89" s="321"/>
      <c r="D89" s="321"/>
      <c r="E89" s="321"/>
      <c r="F89" s="321"/>
      <c r="G89" s="321"/>
      <c r="H89" s="321"/>
      <c r="I89" s="321"/>
      <c r="J89" s="321"/>
      <c r="K89" s="321"/>
      <c r="L89" s="321"/>
      <c r="M89" s="321"/>
      <c r="N89" s="321"/>
      <c r="O89" s="321"/>
      <c r="P89" s="321"/>
      <c r="Q89" s="321"/>
      <c r="R89" s="321"/>
      <c r="S89" s="321"/>
      <c r="T89" s="321"/>
      <c r="U89" s="321"/>
      <c r="V89" s="321"/>
      <c r="W89" s="321"/>
      <c r="X89" s="321"/>
      <c r="Y89" s="321"/>
      <c r="Z89" s="321"/>
      <c r="AA89" s="321"/>
      <c r="AB89" s="321"/>
      <c r="AC89" s="321"/>
      <c r="AD89" s="321"/>
      <c r="AE89" s="321"/>
      <c r="AF89" s="321"/>
      <c r="AG89" s="321"/>
      <c r="AH89" s="321"/>
      <c r="AI89" s="321"/>
      <c r="AJ89" s="321"/>
      <c r="AK89" s="321"/>
      <c r="AL89" s="321"/>
      <c r="AM89" s="321"/>
      <c r="AN89" s="321"/>
      <c r="AO89" s="321"/>
      <c r="AP89" s="427"/>
      <c r="AQ89" s="321"/>
      <c r="AR89" s="321"/>
      <c r="AS89" s="321"/>
      <c r="AT89" s="321"/>
      <c r="AU89" s="136">
        <f t="shared" si="24"/>
        <v>5.1883626018305206E-8</v>
      </c>
      <c r="AV89" s="136">
        <f t="shared" si="35"/>
        <v>-5.3200000000000145</v>
      </c>
      <c r="AW89" s="136">
        <f t="shared" si="25"/>
        <v>2.8518192322837581E-7</v>
      </c>
      <c r="AX89" s="136" t="e">
        <f t="shared" si="26"/>
        <v>#N/A</v>
      </c>
      <c r="AY89" s="136">
        <f t="shared" si="27"/>
        <v>-5.3200100000000141</v>
      </c>
      <c r="AZ89" s="136">
        <f t="shared" si="28"/>
        <v>-5.3199900000000149</v>
      </c>
      <c r="BA89" s="136">
        <f t="shared" si="29"/>
        <v>1.6781918041389645E-2</v>
      </c>
      <c r="BB89" s="136">
        <f t="shared" si="30"/>
        <v>1.6782037940084451E-2</v>
      </c>
      <c r="BC89" s="136" t="e">
        <f t="shared" si="31"/>
        <v>#N/A</v>
      </c>
      <c r="BD89" s="136">
        <f t="shared" si="36"/>
        <v>2.8518192322837581E-7</v>
      </c>
      <c r="BE89" s="136">
        <f t="shared" si="32"/>
        <v>-9.9971481807677154E-4</v>
      </c>
      <c r="BF89" s="136" t="e">
        <f t="shared" si="33"/>
        <v>#N/A</v>
      </c>
      <c r="BG89" s="136" t="e">
        <f t="shared" si="34"/>
        <v>#N/A</v>
      </c>
    </row>
    <row r="90" spans="2:59" ht="11.25" customHeight="1">
      <c r="B90" s="321"/>
      <c r="C90" s="321"/>
      <c r="D90" s="321"/>
      <c r="E90" s="321"/>
      <c r="F90" s="321"/>
      <c r="G90" s="321"/>
      <c r="H90" s="321"/>
      <c r="I90" s="321"/>
      <c r="J90" s="321"/>
      <c r="K90" s="321"/>
      <c r="L90" s="321"/>
      <c r="M90" s="321"/>
      <c r="N90" s="321"/>
      <c r="O90" s="321"/>
      <c r="P90" s="321"/>
      <c r="Q90" s="321"/>
      <c r="R90" s="321"/>
      <c r="S90" s="321"/>
      <c r="T90" s="321"/>
      <c r="U90" s="321"/>
      <c r="V90" s="321"/>
      <c r="W90" s="321"/>
      <c r="X90" s="321"/>
      <c r="Y90" s="321"/>
      <c r="Z90" s="321"/>
      <c r="AA90" s="321"/>
      <c r="AB90" s="321"/>
      <c r="AC90" s="321"/>
      <c r="AD90" s="321"/>
      <c r="AE90" s="321"/>
      <c r="AF90" s="321"/>
      <c r="AG90" s="321"/>
      <c r="AH90" s="321"/>
      <c r="AI90" s="321"/>
      <c r="AJ90" s="321"/>
      <c r="AK90" s="321"/>
      <c r="AL90" s="321"/>
      <c r="AM90" s="321"/>
      <c r="AN90" s="321"/>
      <c r="AO90" s="321"/>
      <c r="AP90" s="427"/>
      <c r="AQ90" s="321"/>
      <c r="AR90" s="321"/>
      <c r="AS90" s="321"/>
      <c r="AT90" s="321"/>
      <c r="AU90" s="136">
        <f t="shared" si="24"/>
        <v>5.4812617480825912E-8</v>
      </c>
      <c r="AV90" s="136">
        <f t="shared" si="35"/>
        <v>-5.3100000000000147</v>
      </c>
      <c r="AW90" s="136">
        <f t="shared" si="25"/>
        <v>3.0074938312835919E-7</v>
      </c>
      <c r="AX90" s="136" t="e">
        <f t="shared" si="26"/>
        <v>#N/A</v>
      </c>
      <c r="AY90" s="136">
        <f t="shared" si="27"/>
        <v>-5.3100100000000143</v>
      </c>
      <c r="AZ90" s="136">
        <f t="shared" si="28"/>
        <v>-5.3099900000000151</v>
      </c>
      <c r="BA90" s="136">
        <f t="shared" si="29"/>
        <v>1.6842025309650635E-2</v>
      </c>
      <c r="BB90" s="136">
        <f t="shared" si="30"/>
        <v>1.6842145842025358E-2</v>
      </c>
      <c r="BC90" s="136" t="e">
        <f t="shared" si="31"/>
        <v>#N/A</v>
      </c>
      <c r="BD90" s="136">
        <f t="shared" si="36"/>
        <v>3.0074938312835919E-7</v>
      </c>
      <c r="BE90" s="136">
        <f t="shared" si="32"/>
        <v>-9.996992506168716E-4</v>
      </c>
      <c r="BF90" s="136" t="e">
        <f t="shared" si="33"/>
        <v>#N/A</v>
      </c>
      <c r="BG90" s="136" t="e">
        <f t="shared" si="34"/>
        <v>#N/A</v>
      </c>
    </row>
    <row r="91" spans="2:59" ht="11.25" customHeight="1">
      <c r="B91" s="321"/>
      <c r="C91" s="321"/>
      <c r="D91" s="321"/>
      <c r="E91" s="321"/>
      <c r="F91" s="321"/>
      <c r="G91" s="321"/>
      <c r="H91" s="321"/>
      <c r="I91" s="321"/>
      <c r="J91" s="321"/>
      <c r="K91" s="321"/>
      <c r="L91" s="321"/>
      <c r="M91" s="321"/>
      <c r="N91" s="321"/>
      <c r="O91" s="321"/>
      <c r="P91" s="321"/>
      <c r="Q91" s="321"/>
      <c r="R91" s="321"/>
      <c r="S91" s="321"/>
      <c r="T91" s="321"/>
      <c r="U91" s="321"/>
      <c r="V91" s="321"/>
      <c r="W91" s="321"/>
      <c r="X91" s="321"/>
      <c r="Y91" s="321"/>
      <c r="Z91" s="321"/>
      <c r="AA91" s="321"/>
      <c r="AB91" s="321"/>
      <c r="AC91" s="321"/>
      <c r="AD91" s="321"/>
      <c r="AE91" s="321"/>
      <c r="AF91" s="321"/>
      <c r="AG91" s="321"/>
      <c r="AH91" s="321"/>
      <c r="AI91" s="321"/>
      <c r="AJ91" s="321"/>
      <c r="AK91" s="321"/>
      <c r="AL91" s="321"/>
      <c r="AM91" s="321"/>
      <c r="AN91" s="321"/>
      <c r="AO91" s="321"/>
      <c r="AP91" s="427"/>
      <c r="AQ91" s="321"/>
      <c r="AR91" s="321"/>
      <c r="AS91" s="321"/>
      <c r="AT91" s="321"/>
      <c r="AU91" s="136">
        <f t="shared" si="24"/>
        <v>5.7901340399502791E-8</v>
      </c>
      <c r="AV91" s="136">
        <f t="shared" si="35"/>
        <v>-5.3000000000000149</v>
      </c>
      <c r="AW91" s="136">
        <f t="shared" si="25"/>
        <v>3.1713492167157213E-7</v>
      </c>
      <c r="AX91" s="136" t="e">
        <f t="shared" si="26"/>
        <v>#N/A</v>
      </c>
      <c r="AY91" s="136">
        <f t="shared" si="27"/>
        <v>-5.3000100000000145</v>
      </c>
      <c r="AZ91" s="136">
        <f t="shared" si="28"/>
        <v>-5.2999900000000153</v>
      </c>
      <c r="BA91" s="136">
        <f t="shared" si="29"/>
        <v>1.6902450512484467E-2</v>
      </c>
      <c r="BB91" s="136">
        <f t="shared" si="30"/>
        <v>1.6902571682932566E-2</v>
      </c>
      <c r="BC91" s="136" t="e">
        <f t="shared" si="31"/>
        <v>#N/A</v>
      </c>
      <c r="BD91" s="136">
        <f t="shared" si="36"/>
        <v>3.1713492167157213E-7</v>
      </c>
      <c r="BE91" s="136">
        <f t="shared" si="32"/>
        <v>-9.9968286507832842E-4</v>
      </c>
      <c r="BF91" s="136" t="e">
        <f t="shared" si="33"/>
        <v>#N/A</v>
      </c>
      <c r="BG91" s="136" t="e">
        <f t="shared" si="34"/>
        <v>#N/A</v>
      </c>
    </row>
    <row r="92" spans="2:59" ht="11.25" customHeight="1">
      <c r="B92" s="321"/>
      <c r="C92" s="321"/>
      <c r="D92" s="321"/>
      <c r="E92" s="321"/>
      <c r="F92" s="321"/>
      <c r="G92" s="321"/>
      <c r="H92" s="321"/>
      <c r="I92" s="321"/>
      <c r="J92" s="321"/>
      <c r="K92" s="321"/>
      <c r="L92" s="321"/>
      <c r="M92" s="321"/>
      <c r="N92" s="321"/>
      <c r="O92" s="321"/>
      <c r="P92" s="321"/>
      <c r="Q92" s="321"/>
      <c r="R92" s="321"/>
      <c r="S92" s="321"/>
      <c r="T92" s="321"/>
      <c r="U92" s="321"/>
      <c r="V92" s="321"/>
      <c r="W92" s="321"/>
      <c r="X92" s="321"/>
      <c r="Y92" s="321"/>
      <c r="Z92" s="321"/>
      <c r="AA92" s="321"/>
      <c r="AB92" s="321"/>
      <c r="AC92" s="321"/>
      <c r="AD92" s="321"/>
      <c r="AE92" s="321"/>
      <c r="AF92" s="321"/>
      <c r="AG92" s="321"/>
      <c r="AH92" s="321"/>
      <c r="AI92" s="321"/>
      <c r="AJ92" s="321"/>
      <c r="AK92" s="321"/>
      <c r="AL92" s="321"/>
      <c r="AM92" s="321"/>
      <c r="AN92" s="321"/>
      <c r="AO92" s="321"/>
      <c r="AP92" s="427"/>
      <c r="AQ92" s="321"/>
      <c r="AR92" s="321"/>
      <c r="AS92" s="321"/>
      <c r="AT92" s="321"/>
      <c r="AU92" s="136">
        <f t="shared" si="24"/>
        <v>6.1158179972149109E-8</v>
      </c>
      <c r="AV92" s="136">
        <f t="shared" si="35"/>
        <v>-5.2900000000000151</v>
      </c>
      <c r="AW92" s="136">
        <f t="shared" si="25"/>
        <v>3.3437974350795325E-7</v>
      </c>
      <c r="AX92" s="136" t="e">
        <f t="shared" si="26"/>
        <v>#N/A</v>
      </c>
      <c r="AY92" s="136">
        <f t="shared" si="27"/>
        <v>-5.2900100000000148</v>
      </c>
      <c r="AZ92" s="136">
        <f t="shared" si="28"/>
        <v>-5.2899900000000155</v>
      </c>
      <c r="BA92" s="136">
        <f t="shared" si="29"/>
        <v>1.6963195855933279E-2</v>
      </c>
      <c r="BB92" s="136">
        <f t="shared" si="30"/>
        <v>1.6963317668885605E-2</v>
      </c>
      <c r="BC92" s="136" t="e">
        <f t="shared" si="31"/>
        <v>#N/A</v>
      </c>
      <c r="BD92" s="136">
        <f t="shared" si="36"/>
        <v>3.3437974350795325E-7</v>
      </c>
      <c r="BE92" s="136">
        <f t="shared" si="32"/>
        <v>-9.9966562025649206E-4</v>
      </c>
      <c r="BF92" s="136" t="e">
        <f t="shared" si="33"/>
        <v>#N/A</v>
      </c>
      <c r="BG92" s="136" t="e">
        <f t="shared" si="34"/>
        <v>#N/A</v>
      </c>
    </row>
    <row r="93" spans="2:59" ht="11.25" customHeight="1">
      <c r="B93" s="321"/>
      <c r="C93" s="321"/>
      <c r="D93" s="321"/>
      <c r="E93" s="321"/>
      <c r="F93" s="321"/>
      <c r="G93" s="321"/>
      <c r="H93" s="321"/>
      <c r="I93" s="321"/>
      <c r="J93" s="321"/>
      <c r="K93" s="321"/>
      <c r="L93" s="321"/>
      <c r="M93" s="321"/>
      <c r="N93" s="321"/>
      <c r="O93" s="321"/>
      <c r="P93" s="321"/>
      <c r="Q93" s="321"/>
      <c r="R93" s="321"/>
      <c r="S93" s="321"/>
      <c r="T93" s="321"/>
      <c r="U93" s="321"/>
      <c r="V93" s="321"/>
      <c r="W93" s="321"/>
      <c r="X93" s="321"/>
      <c r="Y93" s="321"/>
      <c r="Z93" s="321"/>
      <c r="AA93" s="321"/>
      <c r="AB93" s="321"/>
      <c r="AC93" s="321"/>
      <c r="AD93" s="321"/>
      <c r="AE93" s="321"/>
      <c r="AF93" s="321"/>
      <c r="AG93" s="321"/>
      <c r="AH93" s="321"/>
      <c r="AI93" s="321"/>
      <c r="AJ93" s="321"/>
      <c r="AK93" s="321"/>
      <c r="AL93" s="321"/>
      <c r="AM93" s="321"/>
      <c r="AN93" s="321"/>
      <c r="AO93" s="321"/>
      <c r="AP93" s="427"/>
      <c r="AQ93" s="321"/>
      <c r="AR93" s="321"/>
      <c r="AS93" s="321"/>
      <c r="AT93" s="321"/>
      <c r="AU93" s="136">
        <f t="shared" si="24"/>
        <v>6.4591943259653177E-8</v>
      </c>
      <c r="AV93" s="136">
        <f t="shared" si="35"/>
        <v>-5.2800000000000153</v>
      </c>
      <c r="AW93" s="136">
        <f t="shared" si="25"/>
        <v>3.525270312613756E-7</v>
      </c>
      <c r="AX93" s="136" t="e">
        <f t="shared" si="26"/>
        <v>#N/A</v>
      </c>
      <c r="AY93" s="136">
        <f t="shared" si="27"/>
        <v>-5.280010000000015</v>
      </c>
      <c r="AZ93" s="136">
        <f t="shared" si="28"/>
        <v>-5.2799900000000157</v>
      </c>
      <c r="BA93" s="136">
        <f t="shared" si="29"/>
        <v>1.702426356484317E-2</v>
      </c>
      <c r="BB93" s="136">
        <f t="shared" si="30"/>
        <v>1.7024386024768374E-2</v>
      </c>
      <c r="BC93" s="136" t="e">
        <f t="shared" si="31"/>
        <v>#N/A</v>
      </c>
      <c r="BD93" s="136">
        <f t="shared" si="36"/>
        <v>3.525270312613756E-7</v>
      </c>
      <c r="BE93" s="136">
        <f t="shared" si="32"/>
        <v>-9.996474729687386E-4</v>
      </c>
      <c r="BF93" s="136" t="e">
        <f t="shared" si="33"/>
        <v>#N/A</v>
      </c>
      <c r="BG93" s="136" t="e">
        <f t="shared" si="34"/>
        <v>#N/A</v>
      </c>
    </row>
    <row r="94" spans="2:59" ht="11.25" customHeight="1">
      <c r="B94" s="321"/>
      <c r="C94" s="321"/>
      <c r="D94" s="321"/>
      <c r="E94" s="321"/>
      <c r="F94" s="321"/>
      <c r="G94" s="321"/>
      <c r="H94" s="321"/>
      <c r="I94" s="321"/>
      <c r="J94" s="321"/>
      <c r="K94" s="321"/>
      <c r="L94" s="321"/>
      <c r="M94" s="321"/>
      <c r="N94" s="321"/>
      <c r="O94" s="321"/>
      <c r="P94" s="321"/>
      <c r="Q94" s="321"/>
      <c r="R94" s="321"/>
      <c r="S94" s="321"/>
      <c r="T94" s="321"/>
      <c r="U94" s="321"/>
      <c r="V94" s="321"/>
      <c r="W94" s="321"/>
      <c r="X94" s="321"/>
      <c r="Y94" s="321"/>
      <c r="Z94" s="321"/>
      <c r="AA94" s="321"/>
      <c r="AB94" s="321"/>
      <c r="AC94" s="321"/>
      <c r="AD94" s="321"/>
      <c r="AE94" s="321"/>
      <c r="AF94" s="321"/>
      <c r="AG94" s="321"/>
      <c r="AH94" s="321"/>
      <c r="AI94" s="321"/>
      <c r="AJ94" s="321"/>
      <c r="AK94" s="321"/>
      <c r="AL94" s="321"/>
      <c r="AM94" s="321"/>
      <c r="AN94" s="321"/>
      <c r="AO94" s="321"/>
      <c r="AP94" s="427"/>
      <c r="AQ94" s="321"/>
      <c r="AR94" s="321"/>
      <c r="AS94" s="321"/>
      <c r="AT94" s="321"/>
      <c r="AU94" s="136">
        <f t="shared" si="24"/>
        <v>6.8211879411673762E-8</v>
      </c>
      <c r="AV94" s="136">
        <f t="shared" si="35"/>
        <v>-5.2700000000000156</v>
      </c>
      <c r="AW94" s="136">
        <f t="shared" si="25"/>
        <v>3.7162203534491956E-7</v>
      </c>
      <c r="AX94" s="136" t="e">
        <f t="shared" si="26"/>
        <v>#N/A</v>
      </c>
      <c r="AY94" s="136">
        <f t="shared" si="27"/>
        <v>-5.2700100000000152</v>
      </c>
      <c r="AZ94" s="136">
        <f t="shared" si="28"/>
        <v>-5.2699900000000159</v>
      </c>
      <c r="BA94" s="136">
        <f t="shared" si="29"/>
        <v>1.70856558830529E-2</v>
      </c>
      <c r="BB94" s="136">
        <f t="shared" si="30"/>
        <v>1.7085778994457821E-2</v>
      </c>
      <c r="BC94" s="136" t="e">
        <f t="shared" si="31"/>
        <v>#N/A</v>
      </c>
      <c r="BD94" s="136">
        <f t="shared" si="36"/>
        <v>3.7162203534491956E-7</v>
      </c>
      <c r="BE94" s="136">
        <f t="shared" si="32"/>
        <v>-9.9962837796465503E-4</v>
      </c>
      <c r="BF94" s="136" t="e">
        <f t="shared" si="33"/>
        <v>#N/A</v>
      </c>
      <c r="BG94" s="136" t="e">
        <f t="shared" si="34"/>
        <v>#N/A</v>
      </c>
    </row>
    <row r="95" spans="2:59" ht="11.25" customHeight="1">
      <c r="B95" s="321"/>
      <c r="C95" s="321"/>
      <c r="D95" s="321"/>
      <c r="E95" s="321"/>
      <c r="F95" s="321"/>
      <c r="G95" s="321"/>
      <c r="H95" s="321"/>
      <c r="I95" s="321"/>
      <c r="J95" s="321"/>
      <c r="K95" s="321"/>
      <c r="L95" s="321"/>
      <c r="M95" s="321"/>
      <c r="N95" s="321"/>
      <c r="O95" s="321"/>
      <c r="P95" s="321"/>
      <c r="Q95" s="321"/>
      <c r="R95" s="321"/>
      <c r="S95" s="321"/>
      <c r="T95" s="321"/>
      <c r="U95" s="321"/>
      <c r="V95" s="321"/>
      <c r="W95" s="321"/>
      <c r="X95" s="321"/>
      <c r="Y95" s="321"/>
      <c r="Z95" s="321"/>
      <c r="AA95" s="321"/>
      <c r="AB95" s="321"/>
      <c r="AC95" s="321"/>
      <c r="AD95" s="321"/>
      <c r="AE95" s="321"/>
      <c r="AF95" s="321"/>
      <c r="AG95" s="321"/>
      <c r="AH95" s="321"/>
      <c r="AI95" s="321"/>
      <c r="AJ95" s="321"/>
      <c r="AK95" s="321"/>
      <c r="AL95" s="321"/>
      <c r="AM95" s="321"/>
      <c r="AN95" s="321"/>
      <c r="AO95" s="321"/>
      <c r="AP95" s="427"/>
      <c r="AQ95" s="321"/>
      <c r="AR95" s="321"/>
      <c r="AS95" s="321"/>
      <c r="AT95" s="321"/>
      <c r="AU95" s="136">
        <f t="shared" si="24"/>
        <v>7.2027700809452939E-8</v>
      </c>
      <c r="AV95" s="136">
        <f t="shared" si="35"/>
        <v>-5.2600000000000158</v>
      </c>
      <c r="AW95" s="136">
        <f t="shared" si="25"/>
        <v>3.9171216759344815E-7</v>
      </c>
      <c r="AX95" s="136" t="e">
        <f t="shared" si="26"/>
        <v>#N/A</v>
      </c>
      <c r="AY95" s="136">
        <f t="shared" si="27"/>
        <v>-5.2600100000000154</v>
      </c>
      <c r="AZ95" s="136">
        <f t="shared" si="28"/>
        <v>-5.2599900000000162</v>
      </c>
      <c r="BA95" s="136">
        <f t="shared" si="29"/>
        <v>1.7147375073584822E-2</v>
      </c>
      <c r="BB95" s="136">
        <f t="shared" si="30"/>
        <v>1.7147498841014869E-2</v>
      </c>
      <c r="BC95" s="136" t="e">
        <f t="shared" si="31"/>
        <v>#N/A</v>
      </c>
      <c r="BD95" s="136">
        <f t="shared" si="36"/>
        <v>3.9171216759344815E-7</v>
      </c>
      <c r="BE95" s="136">
        <f t="shared" si="32"/>
        <v>-9.9960828783240648E-4</v>
      </c>
      <c r="BF95" s="136" t="e">
        <f t="shared" si="33"/>
        <v>#N/A</v>
      </c>
      <c r="BG95" s="136" t="e">
        <f t="shared" si="34"/>
        <v>#N/A</v>
      </c>
    </row>
    <row r="96" spans="2:59" ht="11.25" customHeight="1">
      <c r="B96" s="321"/>
      <c r="C96" s="321"/>
      <c r="D96" s="321"/>
      <c r="E96" s="321"/>
      <c r="F96" s="321"/>
      <c r="G96" s="321"/>
      <c r="H96" s="321"/>
      <c r="I96" s="321"/>
      <c r="J96" s="321"/>
      <c r="K96" s="321"/>
      <c r="L96" s="321"/>
      <c r="M96" s="321"/>
      <c r="N96" s="321"/>
      <c r="O96" s="321"/>
      <c r="P96" s="321"/>
      <c r="Q96" s="321"/>
      <c r="R96" s="321"/>
      <c r="S96" s="321"/>
      <c r="T96" s="321"/>
      <c r="U96" s="321"/>
      <c r="V96" s="321"/>
      <c r="W96" s="321"/>
      <c r="X96" s="321"/>
      <c r="Y96" s="321"/>
      <c r="Z96" s="321"/>
      <c r="AA96" s="321"/>
      <c r="AB96" s="321"/>
      <c r="AC96" s="321"/>
      <c r="AD96" s="321"/>
      <c r="AE96" s="321"/>
      <c r="AF96" s="321"/>
      <c r="AG96" s="321"/>
      <c r="AH96" s="321"/>
      <c r="AI96" s="321"/>
      <c r="AJ96" s="321"/>
      <c r="AK96" s="321"/>
      <c r="AL96" s="321"/>
      <c r="AM96" s="321"/>
      <c r="AN96" s="321"/>
      <c r="AO96" s="321"/>
      <c r="AP96" s="427"/>
      <c r="AQ96" s="321"/>
      <c r="AR96" s="321"/>
      <c r="AS96" s="321"/>
      <c r="AT96" s="321"/>
      <c r="AU96" s="136">
        <f t="shared" si="24"/>
        <v>7.604960516466067E-8</v>
      </c>
      <c r="AV96" s="136">
        <f t="shared" si="35"/>
        <v>-5.250000000000016</v>
      </c>
      <c r="AW96" s="136">
        <f t="shared" si="25"/>
        <v>4.1284709886296532E-7</v>
      </c>
      <c r="AX96" s="136" t="e">
        <f t="shared" si="26"/>
        <v>#N/A</v>
      </c>
      <c r="AY96" s="136">
        <f t="shared" si="27"/>
        <v>-5.2500100000000156</v>
      </c>
      <c r="AZ96" s="136">
        <f t="shared" si="28"/>
        <v>-5.2499900000000164</v>
      </c>
      <c r="BA96" s="136">
        <f t="shared" si="29"/>
        <v>1.7209423418837948E-2</v>
      </c>
      <c r="BB96" s="136">
        <f t="shared" si="30"/>
        <v>1.7209547846877456E-2</v>
      </c>
      <c r="BC96" s="136" t="e">
        <f t="shared" si="31"/>
        <v>#N/A</v>
      </c>
      <c r="BD96" s="136">
        <f t="shared" si="36"/>
        <v>4.1284709886296532E-7</v>
      </c>
      <c r="BE96" s="136">
        <f t="shared" si="32"/>
        <v>-9.9958715290113698E-4</v>
      </c>
      <c r="BF96" s="136" t="e">
        <f t="shared" si="33"/>
        <v>#N/A</v>
      </c>
      <c r="BG96" s="136" t="e">
        <f t="shared" si="34"/>
        <v>#N/A</v>
      </c>
    </row>
    <row r="97" spans="2:59" ht="11.25" customHeight="1">
      <c r="B97" s="321"/>
      <c r="C97" s="321"/>
      <c r="D97" s="321"/>
      <c r="E97" s="321"/>
      <c r="F97" s="321"/>
      <c r="G97" s="321"/>
      <c r="H97" s="321"/>
      <c r="I97" s="321"/>
      <c r="J97" s="321"/>
      <c r="K97" s="321"/>
      <c r="L97" s="321"/>
      <c r="M97" s="321"/>
      <c r="N97" s="321"/>
      <c r="O97" s="321"/>
      <c r="P97" s="321"/>
      <c r="Q97" s="321"/>
      <c r="R97" s="321"/>
      <c r="S97" s="321"/>
      <c r="T97" s="321"/>
      <c r="U97" s="321"/>
      <c r="V97" s="321"/>
      <c r="W97" s="321"/>
      <c r="X97" s="321"/>
      <c r="Y97" s="321"/>
      <c r="Z97" s="321"/>
      <c r="AA97" s="321"/>
      <c r="AB97" s="321"/>
      <c r="AC97" s="321"/>
      <c r="AD97" s="321"/>
      <c r="AE97" s="321"/>
      <c r="AF97" s="321"/>
      <c r="AG97" s="321"/>
      <c r="AH97" s="321"/>
      <c r="AI97" s="321"/>
      <c r="AJ97" s="321"/>
      <c r="AK97" s="321"/>
      <c r="AL97" s="321"/>
      <c r="AM97" s="321"/>
      <c r="AN97" s="321"/>
      <c r="AO97" s="321"/>
      <c r="AP97" s="427"/>
      <c r="AQ97" s="321"/>
      <c r="AR97" s="321"/>
      <c r="AS97" s="321"/>
      <c r="AT97" s="321"/>
      <c r="AU97" s="136">
        <f t="shared" si="24"/>
        <v>8.0288298614710676E-8</v>
      </c>
      <c r="AV97" s="136">
        <f t="shared" si="35"/>
        <v>-5.2400000000000162</v>
      </c>
      <c r="AW97" s="136">
        <f t="shared" si="25"/>
        <v>4.350788607514745E-7</v>
      </c>
      <c r="AX97" s="136" t="e">
        <f t="shared" si="26"/>
        <v>#N/A</v>
      </c>
      <c r="AY97" s="136">
        <f t="shared" si="27"/>
        <v>-5.2400100000000158</v>
      </c>
      <c r="AZ97" s="136">
        <f t="shared" si="28"/>
        <v>-5.2399900000000166</v>
      </c>
      <c r="BA97" s="136">
        <f t="shared" si="29"/>
        <v>1.7271803220783231E-2</v>
      </c>
      <c r="BB97" s="136">
        <f t="shared" si="30"/>
        <v>1.7271928314055884E-2</v>
      </c>
      <c r="BC97" s="136" t="e">
        <f t="shared" si="31"/>
        <v>#N/A</v>
      </c>
      <c r="BD97" s="136">
        <f t="shared" si="36"/>
        <v>4.350788607514745E-7</v>
      </c>
      <c r="BE97" s="136">
        <f t="shared" si="32"/>
        <v>-9.9956492113924852E-4</v>
      </c>
      <c r="BF97" s="136" t="e">
        <f t="shared" si="33"/>
        <v>#N/A</v>
      </c>
      <c r="BG97" s="136" t="e">
        <f t="shared" si="34"/>
        <v>#N/A</v>
      </c>
    </row>
    <row r="98" spans="2:59" ht="11.25" customHeight="1">
      <c r="B98" s="321"/>
      <c r="C98" s="321"/>
      <c r="D98" s="321"/>
      <c r="E98" s="321"/>
      <c r="F98" s="321"/>
      <c r="G98" s="321"/>
      <c r="H98" s="321"/>
      <c r="I98" s="321"/>
      <c r="J98" s="321"/>
      <c r="K98" s="321"/>
      <c r="L98" s="321"/>
      <c r="M98" s="321"/>
      <c r="N98" s="321"/>
      <c r="O98" s="321"/>
      <c r="P98" s="321"/>
      <c r="Q98" s="321"/>
      <c r="R98" s="321"/>
      <c r="S98" s="321"/>
      <c r="T98" s="321"/>
      <c r="U98" s="321"/>
      <c r="V98" s="321"/>
      <c r="W98" s="321"/>
      <c r="X98" s="321"/>
      <c r="Y98" s="321"/>
      <c r="Z98" s="321"/>
      <c r="AA98" s="321"/>
      <c r="AB98" s="321"/>
      <c r="AC98" s="321"/>
      <c r="AD98" s="321"/>
      <c r="AE98" s="321"/>
      <c r="AF98" s="321"/>
      <c r="AG98" s="321"/>
      <c r="AH98" s="321"/>
      <c r="AI98" s="321"/>
      <c r="AJ98" s="321"/>
      <c r="AK98" s="321"/>
      <c r="AL98" s="321"/>
      <c r="AM98" s="321"/>
      <c r="AN98" s="321"/>
      <c r="AO98" s="321"/>
      <c r="AP98" s="427"/>
      <c r="AQ98" s="321"/>
      <c r="AR98" s="321"/>
      <c r="AS98" s="321"/>
      <c r="AT98" s="321"/>
      <c r="AU98" s="136">
        <f t="shared" si="24"/>
        <v>8.4755019856556453E-8</v>
      </c>
      <c r="AV98" s="136">
        <f t="shared" si="35"/>
        <v>-5.2300000000000164</v>
      </c>
      <c r="AW98" s="136">
        <f t="shared" si="25"/>
        <v>4.5846195160149453E-7</v>
      </c>
      <c r="AX98" s="136" t="e">
        <f t="shared" si="26"/>
        <v>#N/A</v>
      </c>
      <c r="AY98" s="136">
        <f t="shared" si="27"/>
        <v>-5.230010000000016</v>
      </c>
      <c r="AZ98" s="136">
        <f t="shared" si="28"/>
        <v>-5.2299900000000168</v>
      </c>
      <c r="BA98" s="136">
        <f t="shared" si="29"/>
        <v>1.73345168011611E-2</v>
      </c>
      <c r="BB98" s="136">
        <f t="shared" si="30"/>
        <v>1.7334642564330306E-2</v>
      </c>
      <c r="BC98" s="136" t="e">
        <f t="shared" si="31"/>
        <v>#N/A</v>
      </c>
      <c r="BD98" s="136">
        <f t="shared" si="36"/>
        <v>4.5846195160149453E-7</v>
      </c>
      <c r="BE98" s="136">
        <f t="shared" si="32"/>
        <v>-9.9954153804839843E-4</v>
      </c>
      <c r="BF98" s="136" t="e">
        <f t="shared" si="33"/>
        <v>#N/A</v>
      </c>
      <c r="BG98" s="136" t="e">
        <f t="shared" si="34"/>
        <v>#N/A</v>
      </c>
    </row>
    <row r="99" spans="2:59" ht="11.25" customHeight="1">
      <c r="B99" s="321"/>
      <c r="C99" s="321"/>
      <c r="D99" s="321"/>
      <c r="E99" s="321"/>
      <c r="F99" s="321"/>
      <c r="G99" s="321"/>
      <c r="H99" s="321"/>
      <c r="I99" s="321"/>
      <c r="J99" s="321"/>
      <c r="K99" s="321"/>
      <c r="L99" s="321"/>
      <c r="M99" s="321"/>
      <c r="N99" s="321"/>
      <c r="O99" s="321"/>
      <c r="P99" s="321"/>
      <c r="Q99" s="321"/>
      <c r="R99" s="321"/>
      <c r="S99" s="321"/>
      <c r="T99" s="321"/>
      <c r="U99" s="321"/>
      <c r="V99" s="321"/>
      <c r="W99" s="321"/>
      <c r="X99" s="321"/>
      <c r="Y99" s="321"/>
      <c r="Z99" s="321"/>
      <c r="AA99" s="321"/>
      <c r="AB99" s="321"/>
      <c r="AC99" s="321"/>
      <c r="AD99" s="321"/>
      <c r="AE99" s="321"/>
      <c r="AF99" s="321"/>
      <c r="AG99" s="321"/>
      <c r="AH99" s="321"/>
      <c r="AI99" s="321"/>
      <c r="AJ99" s="321"/>
      <c r="AK99" s="321"/>
      <c r="AL99" s="321"/>
      <c r="AM99" s="321"/>
      <c r="AN99" s="321"/>
      <c r="AO99" s="321"/>
      <c r="AP99" s="427"/>
      <c r="AQ99" s="321"/>
      <c r="AR99" s="321"/>
      <c r="AS99" s="321"/>
      <c r="AT99" s="321"/>
      <c r="AU99" s="136">
        <f t="shared" si="24"/>
        <v>8.9461565362609545E-8</v>
      </c>
      <c r="AV99" s="136">
        <f t="shared" si="35"/>
        <v>-5.2200000000000166</v>
      </c>
      <c r="AW99" s="136">
        <f t="shared" si="25"/>
        <v>4.830534469499253E-7</v>
      </c>
      <c r="AX99" s="136" t="e">
        <f t="shared" si="26"/>
        <v>#N/A</v>
      </c>
      <c r="AY99" s="136">
        <f t="shared" si="27"/>
        <v>-5.2200100000000162</v>
      </c>
      <c r="AZ99" s="136">
        <f t="shared" si="28"/>
        <v>-5.219990000000017</v>
      </c>
      <c r="BA99" s="136">
        <f t="shared" si="29"/>
        <v>1.7397566501681276E-2</v>
      </c>
      <c r="BB99" s="136">
        <f t="shared" si="30"/>
        <v>1.7397692939450621E-2</v>
      </c>
      <c r="BC99" s="136" t="e">
        <f t="shared" si="31"/>
        <v>#N/A</v>
      </c>
      <c r="BD99" s="136">
        <f t="shared" si="36"/>
        <v>4.830534469499253E-7</v>
      </c>
      <c r="BE99" s="136">
        <f t="shared" si="32"/>
        <v>-9.9951694655305012E-4</v>
      </c>
      <c r="BF99" s="136" t="e">
        <f t="shared" si="33"/>
        <v>#N/A</v>
      </c>
      <c r="BG99" s="136" t="e">
        <f t="shared" si="34"/>
        <v>#N/A</v>
      </c>
    </row>
    <row r="100" spans="2:59" ht="11.25" customHeight="1">
      <c r="B100" s="321"/>
      <c r="C100" s="321"/>
      <c r="D100" s="321"/>
      <c r="E100" s="321"/>
      <c r="F100" s="321"/>
      <c r="G100" s="321"/>
      <c r="H100" s="321"/>
      <c r="I100" s="321"/>
      <c r="J100" s="321"/>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427"/>
      <c r="AQ100" s="321"/>
      <c r="AR100" s="321"/>
      <c r="AS100" s="321"/>
      <c r="AT100" s="321"/>
      <c r="AU100" s="136">
        <f t="shared" si="24"/>
        <v>9.4420315724103081E-8</v>
      </c>
      <c r="AV100" s="136">
        <f t="shared" si="35"/>
        <v>-5.2100000000000168</v>
      </c>
      <c r="AW100" s="136">
        <f t="shared" si="25"/>
        <v>5.0891311459672057E-7</v>
      </c>
      <c r="AX100" s="136" t="e">
        <f t="shared" si="26"/>
        <v>#N/A</v>
      </c>
      <c r="AY100" s="136">
        <f t="shared" si="27"/>
        <v>-5.2100100000000165</v>
      </c>
      <c r="AZ100" s="136">
        <f t="shared" si="28"/>
        <v>-5.2099900000000172</v>
      </c>
      <c r="BA100" s="136">
        <f t="shared" si="29"/>
        <v>1.7460954684224945E-2</v>
      </c>
      <c r="BB100" s="136">
        <f t="shared" si="30"/>
        <v>1.7461081801338537E-2</v>
      </c>
      <c r="BC100" s="136" t="e">
        <f t="shared" si="31"/>
        <v>#N/A</v>
      </c>
      <c r="BD100" s="136">
        <f t="shared" si="36"/>
        <v>5.0891311459672057E-7</v>
      </c>
      <c r="BE100" s="136">
        <f t="shared" si="32"/>
        <v>-9.9949108688540331E-4</v>
      </c>
      <c r="BF100" s="136" t="e">
        <f t="shared" si="33"/>
        <v>#N/A</v>
      </c>
      <c r="BG100" s="136" t="e">
        <f t="shared" si="34"/>
        <v>#N/A</v>
      </c>
    </row>
    <row r="101" spans="2:59" ht="11.25" customHeight="1">
      <c r="B101" s="321"/>
      <c r="C101" s="321"/>
      <c r="D101" s="321"/>
      <c r="E101" s="321"/>
      <c r="F101" s="321"/>
      <c r="G101" s="321"/>
      <c r="H101" s="321"/>
      <c r="I101" s="321"/>
      <c r="J101" s="321"/>
      <c r="K101" s="321"/>
      <c r="L101" s="321"/>
      <c r="M101" s="321"/>
      <c r="N101" s="321"/>
      <c r="O101" s="321"/>
      <c r="P101" s="321"/>
      <c r="Q101" s="321"/>
      <c r="R101" s="321"/>
      <c r="S101" s="321"/>
      <c r="T101" s="321"/>
      <c r="U101" s="321"/>
      <c r="V101" s="321"/>
      <c r="W101" s="321"/>
      <c r="X101" s="321"/>
      <c r="Y101" s="321"/>
      <c r="Z101" s="321"/>
      <c r="AA101" s="321"/>
      <c r="AB101" s="321"/>
      <c r="AC101" s="321"/>
      <c r="AD101" s="321"/>
      <c r="AE101" s="321"/>
      <c r="AF101" s="321"/>
      <c r="AG101" s="321"/>
      <c r="AH101" s="321"/>
      <c r="AI101" s="321"/>
      <c r="AJ101" s="321"/>
      <c r="AK101" s="321"/>
      <c r="AL101" s="321"/>
      <c r="AM101" s="321"/>
      <c r="AN101" s="321"/>
      <c r="AO101" s="321"/>
      <c r="AP101" s="427"/>
      <c r="AQ101" s="321"/>
      <c r="AR101" s="321"/>
      <c r="AS101" s="321"/>
      <c r="AT101" s="321"/>
      <c r="AU101" s="136">
        <f t="shared" si="24"/>
        <v>9.9644263168976962E-8</v>
      </c>
      <c r="AV101" s="136">
        <f t="shared" si="35"/>
        <v>-5.2000000000000171</v>
      </c>
      <c r="AW101" s="136">
        <f t="shared" si="25"/>
        <v>5.3610353446971465E-7</v>
      </c>
      <c r="AX101" s="136" t="e">
        <f t="shared" si="26"/>
        <v>#N/A</v>
      </c>
      <c r="AY101" s="136">
        <f t="shared" si="27"/>
        <v>-5.2000100000000167</v>
      </c>
      <c r="AZ101" s="136">
        <f t="shared" si="28"/>
        <v>-5.1999900000000174</v>
      </c>
      <c r="BA101" s="136">
        <f t="shared" si="29"/>
        <v>1.7524683731049148E-2</v>
      </c>
      <c r="BB101" s="136">
        <f t="shared" si="30"/>
        <v>1.7524811532292042E-2</v>
      </c>
      <c r="BC101" s="136" t="e">
        <f t="shared" si="31"/>
        <v>#N/A</v>
      </c>
      <c r="BD101" s="136">
        <f t="shared" si="36"/>
        <v>5.3610353446971465E-7</v>
      </c>
      <c r="BE101" s="136">
        <f t="shared" si="32"/>
        <v>-9.9946389646553041E-4</v>
      </c>
      <c r="BF101" s="136" t="e">
        <f t="shared" si="33"/>
        <v>#N/A</v>
      </c>
      <c r="BG101" s="136" t="e">
        <f t="shared" si="34"/>
        <v>#N/A</v>
      </c>
    </row>
    <row r="102" spans="2:59" ht="11.25" customHeight="1">
      <c r="B102" s="321"/>
      <c r="C102" s="321"/>
      <c r="D102" s="321"/>
      <c r="E102" s="321"/>
      <c r="F102" s="321"/>
      <c r="G102" s="321"/>
      <c r="H102" s="321"/>
      <c r="I102" s="321"/>
      <c r="J102" s="321"/>
      <c r="K102" s="321"/>
      <c r="L102" s="321"/>
      <c r="M102" s="321"/>
      <c r="N102" s="321"/>
      <c r="O102" s="321"/>
      <c r="P102" s="321"/>
      <c r="Q102" s="321"/>
      <c r="R102" s="321"/>
      <c r="S102" s="321"/>
      <c r="T102" s="321"/>
      <c r="U102" s="321"/>
      <c r="V102" s="321"/>
      <c r="W102" s="321"/>
      <c r="X102" s="321"/>
      <c r="Y102" s="321"/>
      <c r="Z102" s="321"/>
      <c r="AA102" s="321"/>
      <c r="AB102" s="321"/>
      <c r="AC102" s="321"/>
      <c r="AD102" s="321"/>
      <c r="AE102" s="321"/>
      <c r="AF102" s="321"/>
      <c r="AG102" s="321"/>
      <c r="AH102" s="321"/>
      <c r="AI102" s="321"/>
      <c r="AJ102" s="321"/>
      <c r="AK102" s="321"/>
      <c r="AL102" s="321"/>
      <c r="AM102" s="321"/>
      <c r="AN102" s="321"/>
      <c r="AO102" s="321"/>
      <c r="AP102" s="427"/>
      <c r="AQ102" s="321"/>
      <c r="AR102" s="321"/>
      <c r="AS102" s="321"/>
      <c r="AT102" s="321"/>
      <c r="AU102" s="136">
        <f t="shared" si="24"/>
        <v>1.0514704030314847E-7</v>
      </c>
      <c r="AV102" s="136">
        <f t="shared" si="35"/>
        <v>-5.1900000000000173</v>
      </c>
      <c r="AW102" s="136">
        <f t="shared" si="25"/>
        <v>5.6469022346902573E-7</v>
      </c>
      <c r="AX102" s="136" t="e">
        <f t="shared" si="26"/>
        <v>#N/A</v>
      </c>
      <c r="AY102" s="136">
        <f t="shared" si="27"/>
        <v>-5.1900100000000169</v>
      </c>
      <c r="AZ102" s="136">
        <f t="shared" si="28"/>
        <v>-5.1899900000000176</v>
      </c>
      <c r="BA102" s="136">
        <f t="shared" si="29"/>
        <v>1.7588756044993645E-2</v>
      </c>
      <c r="BB102" s="136">
        <f t="shared" si="30"/>
        <v>1.7588884535192292E-2</v>
      </c>
      <c r="BC102" s="136" t="e">
        <f t="shared" si="31"/>
        <v>#N/A</v>
      </c>
      <c r="BD102" s="136">
        <f t="shared" si="36"/>
        <v>5.6469022346902573E-7</v>
      </c>
      <c r="BE102" s="136">
        <f t="shared" si="32"/>
        <v>-9.9943530977653094E-4</v>
      </c>
      <c r="BF102" s="136" t="e">
        <f t="shared" si="33"/>
        <v>#N/A</v>
      </c>
      <c r="BG102" s="136" t="e">
        <f t="shared" si="34"/>
        <v>#N/A</v>
      </c>
    </row>
    <row r="103" spans="2:59" ht="11.25" customHeight="1">
      <c r="B103" s="321"/>
      <c r="C103" s="321"/>
      <c r="D103" s="321"/>
      <c r="E103" s="321"/>
      <c r="F103" s="321"/>
      <c r="G103" s="321"/>
      <c r="H103" s="321"/>
      <c r="I103" s="321"/>
      <c r="J103" s="321"/>
      <c r="K103" s="321"/>
      <c r="L103" s="321"/>
      <c r="M103" s="321"/>
      <c r="N103" s="321"/>
      <c r="O103" s="321"/>
      <c r="P103" s="321"/>
      <c r="Q103" s="321"/>
      <c r="R103" s="321"/>
      <c r="S103" s="321"/>
      <c r="T103" s="321"/>
      <c r="U103" s="321"/>
      <c r="V103" s="321"/>
      <c r="W103" s="321"/>
      <c r="X103" s="321"/>
      <c r="Y103" s="321"/>
      <c r="Z103" s="321"/>
      <c r="AA103" s="321"/>
      <c r="AB103" s="321"/>
      <c r="AC103" s="321"/>
      <c r="AD103" s="321"/>
      <c r="AE103" s="321"/>
      <c r="AF103" s="321"/>
      <c r="AG103" s="321"/>
      <c r="AH103" s="321"/>
      <c r="AI103" s="321"/>
      <c r="AJ103" s="321"/>
      <c r="AK103" s="321"/>
      <c r="AL103" s="321"/>
      <c r="AM103" s="321"/>
      <c r="AN103" s="321"/>
      <c r="AO103" s="321"/>
      <c r="AP103" s="427"/>
      <c r="AQ103" s="321"/>
      <c r="AR103" s="321"/>
      <c r="AS103" s="321"/>
      <c r="AT103" s="321"/>
      <c r="AU103" s="136">
        <f t="shared" si="24"/>
        <v>1.1094295012591658E-7</v>
      </c>
      <c r="AV103" s="136">
        <f t="shared" si="35"/>
        <v>-5.1800000000000175</v>
      </c>
      <c r="AW103" s="136">
        <f t="shared" si="25"/>
        <v>5.9474176548072136E-7</v>
      </c>
      <c r="AX103" s="136" t="e">
        <f t="shared" si="26"/>
        <v>#N/A</v>
      </c>
      <c r="AY103" s="136">
        <f t="shared" si="27"/>
        <v>-5.1800100000000171</v>
      </c>
      <c r="AZ103" s="136">
        <f t="shared" si="28"/>
        <v>-5.1799900000000179</v>
      </c>
      <c r="BA103" s="136">
        <f t="shared" si="29"/>
        <v>1.7653174049690114E-2</v>
      </c>
      <c r="BB103" s="136">
        <f t="shared" si="30"/>
        <v>1.765330323371276E-2</v>
      </c>
      <c r="BC103" s="136" t="e">
        <f t="shared" si="31"/>
        <v>#N/A</v>
      </c>
      <c r="BD103" s="136">
        <f t="shared" si="36"/>
        <v>5.9474176548072136E-7</v>
      </c>
      <c r="BE103" s="136">
        <f t="shared" si="32"/>
        <v>-9.9940525823451936E-4</v>
      </c>
      <c r="BF103" s="136" t="e">
        <f t="shared" si="33"/>
        <v>#N/A</v>
      </c>
      <c r="BG103" s="136" t="e">
        <f t="shared" si="34"/>
        <v>#N/A</v>
      </c>
    </row>
    <row r="104" spans="2:59" ht="11.25" customHeight="1">
      <c r="B104" s="321"/>
      <c r="C104" s="321"/>
      <c r="D104" s="321"/>
      <c r="E104" s="321"/>
      <c r="F104" s="321"/>
      <c r="G104" s="321"/>
      <c r="H104" s="321"/>
      <c r="I104" s="321"/>
      <c r="J104" s="321"/>
      <c r="K104" s="321"/>
      <c r="L104" s="321"/>
      <c r="M104" s="321"/>
      <c r="N104" s="321"/>
      <c r="O104" s="321"/>
      <c r="P104" s="321"/>
      <c r="Q104" s="321"/>
      <c r="R104" s="321"/>
      <c r="S104" s="321"/>
      <c r="T104" s="321"/>
      <c r="U104" s="321"/>
      <c r="V104" s="321"/>
      <c r="W104" s="321"/>
      <c r="X104" s="321"/>
      <c r="Y104" s="321"/>
      <c r="Z104" s="321"/>
      <c r="AA104" s="321"/>
      <c r="AB104" s="321"/>
      <c r="AC104" s="321"/>
      <c r="AD104" s="321"/>
      <c r="AE104" s="321"/>
      <c r="AF104" s="321"/>
      <c r="AG104" s="321"/>
      <c r="AH104" s="321"/>
      <c r="AI104" s="321"/>
      <c r="AJ104" s="321"/>
      <c r="AK104" s="321"/>
      <c r="AL104" s="321"/>
      <c r="AM104" s="321"/>
      <c r="AN104" s="321"/>
      <c r="AO104" s="321"/>
      <c r="AP104" s="427"/>
      <c r="AQ104" s="321"/>
      <c r="AR104" s="321"/>
      <c r="AS104" s="321"/>
      <c r="AT104" s="321"/>
      <c r="AU104" s="136">
        <f t="shared" si="24"/>
        <v>1.1704699737216066E-7</v>
      </c>
      <c r="AV104" s="136">
        <f t="shared" si="35"/>
        <v>-5.1700000000000177</v>
      </c>
      <c r="AW104" s="136">
        <f t="shared" si="25"/>
        <v>6.2632994675583231E-7</v>
      </c>
      <c r="AX104" s="136" t="e">
        <f t="shared" si="26"/>
        <v>#N/A</v>
      </c>
      <c r="AY104" s="136">
        <f t="shared" si="27"/>
        <v>-5.1700100000000173</v>
      </c>
      <c r="AZ104" s="136">
        <f t="shared" si="28"/>
        <v>-5.1699900000000181</v>
      </c>
      <c r="BA104" s="136">
        <f t="shared" si="29"/>
        <v>1.7717940189773834E-2</v>
      </c>
      <c r="BB104" s="136">
        <f t="shared" si="30"/>
        <v>1.7718070072530935E-2</v>
      </c>
      <c r="BC104" s="136" t="e">
        <f t="shared" si="31"/>
        <v>#N/A</v>
      </c>
      <c r="BD104" s="136">
        <f t="shared" si="36"/>
        <v>6.2632994675583231E-7</v>
      </c>
      <c r="BE104" s="136">
        <f t="shared" si="32"/>
        <v>-9.9937367005324424E-4</v>
      </c>
      <c r="BF104" s="136" t="e">
        <f t="shared" si="33"/>
        <v>#N/A</v>
      </c>
      <c r="BG104" s="136" t="e">
        <f t="shared" si="34"/>
        <v>#N/A</v>
      </c>
    </row>
    <row r="105" spans="2:59" ht="11.25" customHeight="1">
      <c r="B105" s="321"/>
      <c r="C105" s="321"/>
      <c r="D105" s="321"/>
      <c r="E105" s="321"/>
      <c r="F105" s="321"/>
      <c r="G105" s="321"/>
      <c r="H105" s="321"/>
      <c r="I105" s="321"/>
      <c r="J105" s="321"/>
      <c r="K105" s="321"/>
      <c r="L105" s="321"/>
      <c r="M105" s="321"/>
      <c r="N105" s="321"/>
      <c r="O105" s="321"/>
      <c r="P105" s="321"/>
      <c r="Q105" s="321"/>
      <c r="R105" s="321"/>
      <c r="S105" s="321"/>
      <c r="T105" s="321"/>
      <c r="U105" s="321"/>
      <c r="V105" s="321"/>
      <c r="W105" s="321"/>
      <c r="X105" s="321"/>
      <c r="Y105" s="321"/>
      <c r="Z105" s="321"/>
      <c r="AA105" s="321"/>
      <c r="AB105" s="321"/>
      <c r="AC105" s="321"/>
      <c r="AD105" s="321"/>
      <c r="AE105" s="321"/>
      <c r="AF105" s="321"/>
      <c r="AG105" s="321"/>
      <c r="AH105" s="321"/>
      <c r="AI105" s="321"/>
      <c r="AJ105" s="321"/>
      <c r="AK105" s="321"/>
      <c r="AL105" s="321"/>
      <c r="AM105" s="321"/>
      <c r="AN105" s="321"/>
      <c r="AO105" s="321"/>
      <c r="AP105" s="427"/>
      <c r="AQ105" s="321"/>
      <c r="AR105" s="321"/>
      <c r="AS105" s="321"/>
      <c r="AT105" s="321"/>
      <c r="AU105" s="136">
        <f t="shared" si="24"/>
        <v>1.2347492123600057E-7</v>
      </c>
      <c r="AV105" s="136">
        <f t="shared" si="35"/>
        <v>-5.1600000000000179</v>
      </c>
      <c r="AW105" s="136">
        <f t="shared" si="25"/>
        <v>6.5952989685746175E-7</v>
      </c>
      <c r="AX105" s="136" t="e">
        <f t="shared" si="26"/>
        <v>#N/A</v>
      </c>
      <c r="AY105" s="136">
        <f t="shared" si="27"/>
        <v>-5.1600100000000175</v>
      </c>
      <c r="AZ105" s="136">
        <f t="shared" si="28"/>
        <v>-5.1599900000000183</v>
      </c>
      <c r="BA105" s="136">
        <f t="shared" si="29"/>
        <v>1.7783056931097749E-2</v>
      </c>
      <c r="BB105" s="136">
        <f t="shared" si="30"/>
        <v>1.7783187517542411E-2</v>
      </c>
      <c r="BC105" s="136" t="e">
        <f t="shared" si="31"/>
        <v>#N/A</v>
      </c>
      <c r="BD105" s="136">
        <f t="shared" si="36"/>
        <v>6.5952989685746175E-7</v>
      </c>
      <c r="BE105" s="136">
        <f t="shared" si="32"/>
        <v>-9.9934047010314265E-4</v>
      </c>
      <c r="BF105" s="136" t="e">
        <f t="shared" si="33"/>
        <v>#N/A</v>
      </c>
      <c r="BG105" s="136" t="e">
        <f t="shared" si="34"/>
        <v>#N/A</v>
      </c>
    </row>
    <row r="106" spans="2:59" ht="11.25" customHeight="1">
      <c r="B106" s="321"/>
      <c r="C106" s="321"/>
      <c r="D106" s="321"/>
      <c r="E106" s="321"/>
      <c r="F106" s="321"/>
      <c r="G106" s="321"/>
      <c r="H106" s="321"/>
      <c r="I106" s="321"/>
      <c r="J106" s="321"/>
      <c r="K106" s="321"/>
      <c r="L106" s="321"/>
      <c r="M106" s="321"/>
      <c r="N106" s="321"/>
      <c r="O106" s="321"/>
      <c r="P106" s="321"/>
      <c r="Q106" s="321"/>
      <c r="R106" s="321"/>
      <c r="S106" s="321"/>
      <c r="T106" s="321"/>
      <c r="U106" s="321"/>
      <c r="V106" s="321"/>
      <c r="W106" s="321"/>
      <c r="X106" s="321"/>
      <c r="Y106" s="321"/>
      <c r="Z106" s="321"/>
      <c r="AA106" s="321"/>
      <c r="AB106" s="321"/>
      <c r="AC106" s="321"/>
      <c r="AD106" s="321"/>
      <c r="AE106" s="321"/>
      <c r="AF106" s="321"/>
      <c r="AG106" s="321"/>
      <c r="AH106" s="321"/>
      <c r="AI106" s="321"/>
      <c r="AJ106" s="321"/>
      <c r="AK106" s="321"/>
      <c r="AL106" s="321"/>
      <c r="AM106" s="321"/>
      <c r="AN106" s="321"/>
      <c r="AO106" s="321"/>
      <c r="AP106" s="427"/>
      <c r="AQ106" s="321"/>
      <c r="AR106" s="321"/>
      <c r="AS106" s="321"/>
      <c r="AT106" s="321"/>
      <c r="AU106" s="136">
        <f t="shared" si="24"/>
        <v>1.3024322953263623E-7</v>
      </c>
      <c r="AV106" s="136">
        <f t="shared" si="35"/>
        <v>-5.1500000000000181</v>
      </c>
      <c r="AW106" s="136">
        <f t="shared" si="25"/>
        <v>6.9442023538547093E-7</v>
      </c>
      <c r="AX106" s="136" t="e">
        <f t="shared" si="26"/>
        <v>#N/A</v>
      </c>
      <c r="AY106" s="136">
        <f t="shared" si="27"/>
        <v>-5.1500100000000177</v>
      </c>
      <c r="AZ106" s="136">
        <f t="shared" si="28"/>
        <v>-5.1499900000000185</v>
      </c>
      <c r="BA106" s="136">
        <f t="shared" si="29"/>
        <v>1.7848526760949054E-2</v>
      </c>
      <c r="BB106" s="136">
        <f t="shared" si="30"/>
        <v>1.7848658056077472E-2</v>
      </c>
      <c r="BC106" s="136" t="e">
        <f t="shared" si="31"/>
        <v>#N/A</v>
      </c>
      <c r="BD106" s="136">
        <f t="shared" si="36"/>
        <v>6.9442023538547093E-7</v>
      </c>
      <c r="BE106" s="136">
        <f t="shared" si="32"/>
        <v>-9.993055797646146E-4</v>
      </c>
      <c r="BF106" s="136" t="e">
        <f t="shared" si="33"/>
        <v>#N/A</v>
      </c>
      <c r="BG106" s="136" t="e">
        <f t="shared" si="34"/>
        <v>#N/A</v>
      </c>
    </row>
    <row r="107" spans="2:59" ht="11.25" customHeight="1">
      <c r="B107" s="321"/>
      <c r="C107" s="321"/>
      <c r="D107" s="321"/>
      <c r="E107" s="321"/>
      <c r="F107" s="321"/>
      <c r="G107" s="321"/>
      <c r="H107" s="321"/>
      <c r="I107" s="321"/>
      <c r="J107" s="321"/>
      <c r="K107" s="321"/>
      <c r="L107" s="321"/>
      <c r="M107" s="321"/>
      <c r="N107" s="321"/>
      <c r="O107" s="321"/>
      <c r="P107" s="321"/>
      <c r="Q107" s="321"/>
      <c r="R107" s="321"/>
      <c r="S107" s="321"/>
      <c r="T107" s="321"/>
      <c r="U107" s="321"/>
      <c r="V107" s="321"/>
      <c r="W107" s="321"/>
      <c r="X107" s="321"/>
      <c r="Y107" s="321"/>
      <c r="Z107" s="321"/>
      <c r="AA107" s="321"/>
      <c r="AB107" s="321"/>
      <c r="AC107" s="321"/>
      <c r="AD107" s="321"/>
      <c r="AE107" s="321"/>
      <c r="AF107" s="321"/>
      <c r="AG107" s="321"/>
      <c r="AH107" s="321"/>
      <c r="AI107" s="321"/>
      <c r="AJ107" s="321"/>
      <c r="AK107" s="321"/>
      <c r="AL107" s="321"/>
      <c r="AM107" s="321"/>
      <c r="AN107" s="321"/>
      <c r="AO107" s="321"/>
      <c r="AP107" s="427"/>
      <c r="AQ107" s="321"/>
      <c r="AR107" s="321"/>
      <c r="AS107" s="321"/>
      <c r="AT107" s="321"/>
      <c r="AU107" s="136">
        <f t="shared" si="24"/>
        <v>1.3736923435722227E-7</v>
      </c>
      <c r="AV107" s="136">
        <f t="shared" si="35"/>
        <v>-5.1400000000000183</v>
      </c>
      <c r="AW107" s="136">
        <f t="shared" si="25"/>
        <v>7.3108322469528001E-7</v>
      </c>
      <c r="AX107" s="136" t="e">
        <f t="shared" si="26"/>
        <v>#N/A</v>
      </c>
      <c r="AY107" s="136">
        <f t="shared" si="27"/>
        <v>-5.140010000000018</v>
      </c>
      <c r="AZ107" s="136">
        <f t="shared" si="28"/>
        <v>-5.1399900000000187</v>
      </c>
      <c r="BA107" s="136">
        <f t="shared" si="29"/>
        <v>1.791435218826835E-2</v>
      </c>
      <c r="BB107" s="136">
        <f t="shared" si="30"/>
        <v>1.7914484197120266E-2</v>
      </c>
      <c r="BC107" s="136" t="e">
        <f t="shared" si="31"/>
        <v>#N/A</v>
      </c>
      <c r="BD107" s="136">
        <f t="shared" si="36"/>
        <v>7.3108322469528001E-7</v>
      </c>
      <c r="BE107" s="136">
        <f t="shared" si="32"/>
        <v>-9.9926891677530475E-4</v>
      </c>
      <c r="BF107" s="136" t="e">
        <f t="shared" si="33"/>
        <v>#N/A</v>
      </c>
      <c r="BG107" s="136" t="e">
        <f t="shared" si="34"/>
        <v>#N/A</v>
      </c>
    </row>
    <row r="108" spans="2:59" ht="11.25" customHeight="1">
      <c r="B108" s="321"/>
      <c r="C108" s="321"/>
      <c r="D108" s="321"/>
      <c r="E108" s="321"/>
      <c r="F108" s="321"/>
      <c r="G108" s="321"/>
      <c r="H108" s="321"/>
      <c r="I108" s="321"/>
      <c r="J108" s="321"/>
      <c r="K108" s="321"/>
      <c r="L108" s="321"/>
      <c r="M108" s="321"/>
      <c r="N108" s="321"/>
      <c r="O108" s="321"/>
      <c r="P108" s="321"/>
      <c r="Q108" s="321"/>
      <c r="R108" s="321"/>
      <c r="S108" s="321"/>
      <c r="T108" s="321"/>
      <c r="U108" s="321"/>
      <c r="V108" s="321"/>
      <c r="W108" s="321"/>
      <c r="X108" s="321"/>
      <c r="Y108" s="321"/>
      <c r="Z108" s="321"/>
      <c r="AA108" s="321"/>
      <c r="AB108" s="321"/>
      <c r="AC108" s="321"/>
      <c r="AD108" s="321"/>
      <c r="AE108" s="321"/>
      <c r="AF108" s="321"/>
      <c r="AG108" s="321"/>
      <c r="AH108" s="321"/>
      <c r="AI108" s="321"/>
      <c r="AJ108" s="321"/>
      <c r="AK108" s="321"/>
      <c r="AL108" s="321"/>
      <c r="AM108" s="321"/>
      <c r="AN108" s="321"/>
      <c r="AO108" s="321"/>
      <c r="AP108" s="427"/>
      <c r="AQ108" s="321"/>
      <c r="AR108" s="321"/>
      <c r="AS108" s="321"/>
      <c r="AT108" s="321"/>
      <c r="AU108" s="136">
        <f t="shared" si="24"/>
        <v>1.4487108930182966E-7</v>
      </c>
      <c r="AV108" s="136">
        <f t="shared" si="35"/>
        <v>-5.1300000000000185</v>
      </c>
      <c r="AW108" s="136">
        <f t="shared" si="25"/>
        <v>7.6960492883444052E-7</v>
      </c>
      <c r="AX108" s="136" t="e">
        <f t="shared" si="26"/>
        <v>#N/A</v>
      </c>
      <c r="AY108" s="136">
        <f t="shared" si="27"/>
        <v>-5.1300100000000182</v>
      </c>
      <c r="AZ108" s="136">
        <f t="shared" si="28"/>
        <v>-5.1299900000000189</v>
      </c>
      <c r="BA108" s="136">
        <f t="shared" si="29"/>
        <v>1.7980535743871311E-2</v>
      </c>
      <c r="BB108" s="136">
        <f t="shared" si="30"/>
        <v>1.7980668471530382E-2</v>
      </c>
      <c r="BC108" s="136" t="e">
        <f t="shared" si="31"/>
        <v>#N/A</v>
      </c>
      <c r="BD108" s="136">
        <f t="shared" si="36"/>
        <v>7.6960492883444052E-7</v>
      </c>
      <c r="BE108" s="136">
        <f t="shared" si="32"/>
        <v>-9.9923039507116549E-4</v>
      </c>
      <c r="BF108" s="136" t="e">
        <f t="shared" si="33"/>
        <v>#N/A</v>
      </c>
      <c r="BG108" s="136" t="e">
        <f t="shared" si="34"/>
        <v>#N/A</v>
      </c>
    </row>
    <row r="109" spans="2:59" ht="11.25" customHeight="1">
      <c r="B109" s="321"/>
      <c r="C109" s="321"/>
      <c r="D109" s="321"/>
      <c r="E109" s="321"/>
      <c r="F109" s="321"/>
      <c r="G109" s="321"/>
      <c r="H109" s="321"/>
      <c r="I109" s="321"/>
      <c r="J109" s="321"/>
      <c r="K109" s="321"/>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427"/>
      <c r="AQ109" s="321"/>
      <c r="AR109" s="321"/>
      <c r="AS109" s="321"/>
      <c r="AT109" s="321"/>
      <c r="AU109" s="136">
        <f t="shared" si="24"/>
        <v>1.5276782829382331E-7</v>
      </c>
      <c r="AV109" s="136">
        <f t="shared" si="35"/>
        <v>-5.1200000000000188</v>
      </c>
      <c r="AW109" s="136">
        <f t="shared" si="25"/>
        <v>8.1007537892805665E-7</v>
      </c>
      <c r="AX109" s="136" t="e">
        <f t="shared" si="26"/>
        <v>#N/A</v>
      </c>
      <c r="AY109" s="136">
        <f t="shared" si="27"/>
        <v>-5.1200100000000184</v>
      </c>
      <c r="AZ109" s="136">
        <f t="shared" si="28"/>
        <v>-5.1199900000000191</v>
      </c>
      <c r="BA109" s="136">
        <f t="shared" si="29"/>
        <v>1.8047079980672866E-2</v>
      </c>
      <c r="BB109" s="136">
        <f t="shared" si="30"/>
        <v>1.8047213432267267E-2</v>
      </c>
      <c r="BC109" s="136" t="e">
        <f t="shared" si="31"/>
        <v>#N/A</v>
      </c>
      <c r="BD109" s="136">
        <f t="shared" si="36"/>
        <v>8.1007537892805665E-7</v>
      </c>
      <c r="BE109" s="136">
        <f t="shared" si="32"/>
        <v>-9.9918992462107192E-4</v>
      </c>
      <c r="BF109" s="136" t="e">
        <f t="shared" si="33"/>
        <v>#N/A</v>
      </c>
      <c r="BG109" s="136" t="e">
        <f t="shared" si="34"/>
        <v>#N/A</v>
      </c>
    </row>
    <row r="110" spans="2:59" ht="11.25" customHeight="1">
      <c r="B110" s="321"/>
      <c r="C110" s="321"/>
      <c r="D110" s="321"/>
      <c r="E110" s="321"/>
      <c r="F110" s="321"/>
      <c r="G110" s="321"/>
      <c r="H110" s="321"/>
      <c r="I110" s="321"/>
      <c r="J110" s="321"/>
      <c r="K110" s="321"/>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427"/>
      <c r="AQ110" s="321"/>
      <c r="AR110" s="321"/>
      <c r="AS110" s="321"/>
      <c r="AT110" s="321"/>
      <c r="AU110" s="136">
        <f t="shared" si="24"/>
        <v>1.6107940612132373E-7</v>
      </c>
      <c r="AV110" s="136">
        <f t="shared" si="35"/>
        <v>-5.110000000000019</v>
      </c>
      <c r="AW110" s="136">
        <f t="shared" si="25"/>
        <v>8.5258874525170403E-7</v>
      </c>
      <c r="AX110" s="136" t="e">
        <f t="shared" si="26"/>
        <v>#N/A</v>
      </c>
      <c r="AY110" s="136">
        <f t="shared" si="27"/>
        <v>-5.1100100000000186</v>
      </c>
      <c r="AZ110" s="136">
        <f t="shared" si="28"/>
        <v>-5.1099900000000194</v>
      </c>
      <c r="BA110" s="136">
        <f t="shared" si="29"/>
        <v>1.8113987473914187E-2</v>
      </c>
      <c r="BB110" s="136">
        <f t="shared" si="30"/>
        <v>1.8114121654616906E-2</v>
      </c>
      <c r="BC110" s="136" t="e">
        <f t="shared" si="31"/>
        <v>#N/A</v>
      </c>
      <c r="BD110" s="136">
        <f t="shared" si="36"/>
        <v>8.5258874525170403E-7</v>
      </c>
      <c r="BE110" s="136">
        <f t="shared" si="32"/>
        <v>-9.9914741125474828E-4</v>
      </c>
      <c r="BF110" s="136" t="e">
        <f t="shared" si="33"/>
        <v>#N/A</v>
      </c>
      <c r="BG110" s="136" t="e">
        <f t="shared" si="34"/>
        <v>#N/A</v>
      </c>
    </row>
    <row r="111" spans="2:59" ht="11.25" customHeight="1">
      <c r="B111" s="321"/>
      <c r="C111" s="321"/>
      <c r="D111" s="321"/>
      <c r="E111" s="321"/>
      <c r="F111" s="321"/>
      <c r="G111" s="321"/>
      <c r="H111" s="321"/>
      <c r="I111" s="321"/>
      <c r="J111" s="321"/>
      <c r="K111" s="321"/>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427"/>
      <c r="AQ111" s="321"/>
      <c r="AR111" s="321"/>
      <c r="AS111" s="321"/>
      <c r="AT111" s="321"/>
      <c r="AU111" s="136">
        <f t="shared" si="24"/>
        <v>1.698267407138684E-7</v>
      </c>
      <c r="AV111" s="136">
        <f t="shared" si="35"/>
        <v>-5.1000000000000192</v>
      </c>
      <c r="AW111" s="136">
        <f t="shared" si="25"/>
        <v>8.9724351623824438E-7</v>
      </c>
      <c r="AX111" s="136" t="e">
        <f t="shared" si="26"/>
        <v>#N/A</v>
      </c>
      <c r="AY111" s="136">
        <f t="shared" si="27"/>
        <v>-5.1000100000000188</v>
      </c>
      <c r="AZ111" s="136">
        <f t="shared" si="28"/>
        <v>-5.0999900000000196</v>
      </c>
      <c r="BA111" s="136">
        <f t="shared" si="29"/>
        <v>1.818126082139216E-2</v>
      </c>
      <c r="BB111" s="136">
        <f t="shared" si="30"/>
        <v>1.8181395736421541E-2</v>
      </c>
      <c r="BC111" s="136" t="e">
        <f t="shared" si="31"/>
        <v>#N/A</v>
      </c>
      <c r="BD111" s="136">
        <f t="shared" si="36"/>
        <v>8.9724351623824438E-7</v>
      </c>
      <c r="BE111" s="136">
        <f t="shared" si="32"/>
        <v>-9.9910275648376168E-4</v>
      </c>
      <c r="BF111" s="136" t="e">
        <f t="shared" si="33"/>
        <v>#N/A</v>
      </c>
      <c r="BG111" s="136" t="e">
        <f t="shared" si="34"/>
        <v>#N/A</v>
      </c>
    </row>
    <row r="112" spans="2:59" ht="11.25" customHeight="1">
      <c r="B112" s="321"/>
      <c r="C112" s="321"/>
      <c r="D112" s="321"/>
      <c r="E112" s="321"/>
      <c r="F112" s="321"/>
      <c r="G112" s="321"/>
      <c r="H112" s="321"/>
      <c r="I112" s="321"/>
      <c r="J112" s="321"/>
      <c r="K112" s="321"/>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321"/>
      <c r="AP112" s="427"/>
      <c r="AQ112" s="321"/>
      <c r="AR112" s="321"/>
      <c r="AS112" s="321"/>
      <c r="AT112" s="321"/>
      <c r="AU112" s="136">
        <f t="shared" si="24"/>
        <v>1.7903175724885746E-7</v>
      </c>
      <c r="AV112" s="136">
        <f t="shared" si="35"/>
        <v>-5.0900000000000194</v>
      </c>
      <c r="AW112" s="136">
        <f t="shared" si="25"/>
        <v>9.4414268467299333E-7</v>
      </c>
      <c r="AX112" s="136" t="e">
        <f t="shared" si="26"/>
        <v>#N/A</v>
      </c>
      <c r="AY112" s="136">
        <f t="shared" si="27"/>
        <v>-5.090010000000019</v>
      </c>
      <c r="AZ112" s="136">
        <f t="shared" si="28"/>
        <v>-5.0899900000000198</v>
      </c>
      <c r="BA112" s="136">
        <f t="shared" si="29"/>
        <v>1.8248902643691608E-2</v>
      </c>
      <c r="BB112" s="136">
        <f t="shared" si="30"/>
        <v>1.8249038298311804E-2</v>
      </c>
      <c r="BC112" s="136" t="e">
        <f t="shared" si="31"/>
        <v>#N/A</v>
      </c>
      <c r="BD112" s="136">
        <f t="shared" si="36"/>
        <v>9.4414268467299333E-7</v>
      </c>
      <c r="BE112" s="136">
        <f t="shared" si="32"/>
        <v>-9.9905585731532701E-4</v>
      </c>
      <c r="BF112" s="136" t="e">
        <f t="shared" si="33"/>
        <v>#N/A</v>
      </c>
      <c r="BG112" s="136" t="e">
        <f t="shared" si="34"/>
        <v>#N/A</v>
      </c>
    </row>
    <row r="113" spans="2:59" ht="11.25" customHeight="1">
      <c r="B113" s="321"/>
      <c r="C113" s="321"/>
      <c r="D113" s="321"/>
      <c r="E113" s="321"/>
      <c r="F113" s="321"/>
      <c r="G113" s="321"/>
      <c r="H113" s="321"/>
      <c r="I113" s="321"/>
      <c r="J113" s="321"/>
      <c r="K113" s="321"/>
      <c r="L113" s="321"/>
      <c r="M113" s="321"/>
      <c r="N113" s="321"/>
      <c r="O113" s="321"/>
      <c r="P113" s="321"/>
      <c r="Q113" s="321"/>
      <c r="R113" s="321"/>
      <c r="S113" s="321"/>
      <c r="T113" s="321"/>
      <c r="U113" s="321"/>
      <c r="V113" s="321"/>
      <c r="W113" s="321"/>
      <c r="X113" s="321"/>
      <c r="Y113" s="321"/>
      <c r="Z113" s="321"/>
      <c r="AA113" s="321"/>
      <c r="AB113" s="321"/>
      <c r="AC113" s="321"/>
      <c r="AD113" s="321"/>
      <c r="AE113" s="321"/>
      <c r="AF113" s="321"/>
      <c r="AG113" s="321"/>
      <c r="AH113" s="321"/>
      <c r="AI113" s="321"/>
      <c r="AJ113" s="321"/>
      <c r="AK113" s="321"/>
      <c r="AL113" s="321"/>
      <c r="AM113" s="321"/>
      <c r="AN113" s="321"/>
      <c r="AO113" s="321"/>
      <c r="AP113" s="427"/>
      <c r="AQ113" s="321"/>
      <c r="AR113" s="321"/>
      <c r="AS113" s="321"/>
      <c r="AT113" s="321"/>
      <c r="AU113" s="136">
        <f t="shared" si="24"/>
        <v>1.8871743415699056E-7</v>
      </c>
      <c r="AV113" s="136">
        <f t="shared" si="35"/>
        <v>-5.0800000000000196</v>
      </c>
      <c r="AW113" s="136">
        <f t="shared" si="25"/>
        <v>9.9339394133981313E-7</v>
      </c>
      <c r="AX113" s="136" t="e">
        <f t="shared" si="26"/>
        <v>#N/A</v>
      </c>
      <c r="AY113" s="136">
        <f t="shared" si="27"/>
        <v>-5.0800100000000192</v>
      </c>
      <c r="AZ113" s="136">
        <f t="shared" si="28"/>
        <v>-5.07999000000002</v>
      </c>
      <c r="BA113" s="136">
        <f t="shared" si="29"/>
        <v>1.8316915584420234E-2</v>
      </c>
      <c r="BB113" s="136">
        <f t="shared" si="30"/>
        <v>1.8317051983941696E-2</v>
      </c>
      <c r="BC113" s="136" t="e">
        <f t="shared" si="31"/>
        <v>#N/A</v>
      </c>
      <c r="BD113" s="136">
        <f t="shared" si="36"/>
        <v>9.9339394133981313E-7</v>
      </c>
      <c r="BE113" s="136">
        <f t="shared" si="32"/>
        <v>-9.9900660605866027E-4</v>
      </c>
      <c r="BF113" s="136" t="e">
        <f t="shared" si="33"/>
        <v>#N/A</v>
      </c>
      <c r="BG113" s="136" t="e">
        <f t="shared" si="34"/>
        <v>#N/A</v>
      </c>
    </row>
    <row r="114" spans="2:59" ht="11.25" customHeight="1">
      <c r="B114" s="321"/>
      <c r="C114" s="321"/>
      <c r="D114" s="321"/>
      <c r="E114" s="321"/>
      <c r="F114" s="321"/>
      <c r="G114" s="321"/>
      <c r="H114" s="321"/>
      <c r="I114" s="321"/>
      <c r="J114" s="321"/>
      <c r="K114" s="321"/>
      <c r="L114" s="321"/>
      <c r="M114" s="321"/>
      <c r="N114" s="321"/>
      <c r="O114" s="321"/>
      <c r="P114" s="321"/>
      <c r="Q114" s="321"/>
      <c r="R114" s="321"/>
      <c r="S114" s="321"/>
      <c r="T114" s="321"/>
      <c r="U114" s="321"/>
      <c r="V114" s="321"/>
      <c r="W114" s="321"/>
      <c r="X114" s="321"/>
      <c r="Y114" s="321"/>
      <c r="Z114" s="321"/>
      <c r="AA114" s="321"/>
      <c r="AB114" s="321"/>
      <c r="AC114" s="321"/>
      <c r="AD114" s="321"/>
      <c r="AE114" s="321"/>
      <c r="AF114" s="321"/>
      <c r="AG114" s="321"/>
      <c r="AH114" s="321"/>
      <c r="AI114" s="321"/>
      <c r="AJ114" s="321"/>
      <c r="AK114" s="321"/>
      <c r="AL114" s="321"/>
      <c r="AM114" s="321"/>
      <c r="AN114" s="321"/>
      <c r="AO114" s="321"/>
      <c r="AP114" s="427"/>
      <c r="AQ114" s="321"/>
      <c r="AR114" s="321"/>
      <c r="AS114" s="321"/>
      <c r="AT114" s="321"/>
      <c r="AU114" s="136">
        <f t="shared" si="24"/>
        <v>1.9890785110254156E-7</v>
      </c>
      <c r="AV114" s="136">
        <f t="shared" si="35"/>
        <v>-5.0700000000000198</v>
      </c>
      <c r="AW114" s="136">
        <f t="shared" si="25"/>
        <v>1.0451098763892137E-6</v>
      </c>
      <c r="AX114" s="136" t="e">
        <f t="shared" si="26"/>
        <v>#N/A</v>
      </c>
      <c r="AY114" s="136">
        <f t="shared" si="27"/>
        <v>-5.0700100000000194</v>
      </c>
      <c r="AZ114" s="136">
        <f t="shared" si="28"/>
        <v>-5.0699900000000202</v>
      </c>
      <c r="BA114" s="136">
        <f t="shared" si="29"/>
        <v>1.8385302310446393E-2</v>
      </c>
      <c r="BB114" s="136">
        <f t="shared" si="30"/>
        <v>1.8385439460226329E-2</v>
      </c>
      <c r="BC114" s="136" t="e">
        <f t="shared" si="31"/>
        <v>#N/A</v>
      </c>
      <c r="BD114" s="136">
        <f t="shared" si="36"/>
        <v>1.0451098763892137E-6</v>
      </c>
      <c r="BE114" s="136">
        <f t="shared" si="32"/>
        <v>-9.989548901236107E-4</v>
      </c>
      <c r="BF114" s="136" t="e">
        <f t="shared" si="33"/>
        <v>#N/A</v>
      </c>
      <c r="BG114" s="136" t="e">
        <f t="shared" si="34"/>
        <v>#N/A</v>
      </c>
    </row>
    <row r="115" spans="2:59" ht="11.25" customHeight="1">
      <c r="B115" s="321"/>
      <c r="C115" s="321"/>
      <c r="D115" s="321"/>
      <c r="E115" s="321"/>
      <c r="F115" s="321"/>
      <c r="G115" s="321"/>
      <c r="H115" s="321"/>
      <c r="I115" s="321"/>
      <c r="J115" s="321"/>
      <c r="K115" s="321"/>
      <c r="L115" s="321"/>
      <c r="M115" s="321"/>
      <c r="N115" s="321"/>
      <c r="O115" s="321"/>
      <c r="P115" s="321"/>
      <c r="Q115" s="321"/>
      <c r="R115" s="321"/>
      <c r="S115" s="321"/>
      <c r="T115" s="321"/>
      <c r="U115" s="321"/>
      <c r="V115" s="321"/>
      <c r="W115" s="321"/>
      <c r="X115" s="321"/>
      <c r="Y115" s="321"/>
      <c r="Z115" s="321"/>
      <c r="AA115" s="321"/>
      <c r="AB115" s="321"/>
      <c r="AC115" s="321"/>
      <c r="AD115" s="321"/>
      <c r="AE115" s="321"/>
      <c r="AF115" s="321"/>
      <c r="AG115" s="321"/>
      <c r="AH115" s="321"/>
      <c r="AI115" s="321"/>
      <c r="AJ115" s="321"/>
      <c r="AK115" s="321"/>
      <c r="AL115" s="321"/>
      <c r="AM115" s="321"/>
      <c r="AN115" s="321"/>
      <c r="AO115" s="321"/>
      <c r="AP115" s="427"/>
      <c r="AQ115" s="321"/>
      <c r="AR115" s="321"/>
      <c r="AS115" s="321"/>
      <c r="AT115" s="321"/>
      <c r="AU115" s="136">
        <f t="shared" si="24"/>
        <v>2.096282390170869E-7</v>
      </c>
      <c r="AV115" s="136">
        <f t="shared" si="35"/>
        <v>-5.06000000000002</v>
      </c>
      <c r="AW115" s="136">
        <f t="shared" si="25"/>
        <v>1.0994081887080917E-6</v>
      </c>
      <c r="AX115" s="136" t="e">
        <f t="shared" si="26"/>
        <v>#N/A</v>
      </c>
      <c r="AY115" s="136">
        <f t="shared" si="27"/>
        <v>-5.0600100000000197</v>
      </c>
      <c r="AZ115" s="136">
        <f t="shared" si="28"/>
        <v>-5.0599900000000204</v>
      </c>
      <c r="BA115" s="136">
        <f t="shared" si="29"/>
        <v>1.8454065512139513E-2</v>
      </c>
      <c r="BB115" s="136">
        <f t="shared" si="30"/>
        <v>1.8454203417582377E-2</v>
      </c>
      <c r="BC115" s="136" t="e">
        <f t="shared" si="31"/>
        <v>#N/A</v>
      </c>
      <c r="BD115" s="136">
        <f t="shared" si="36"/>
        <v>1.0994081887080917E-6</v>
      </c>
      <c r="BE115" s="136">
        <f t="shared" si="32"/>
        <v>-9.9890059181129186E-4</v>
      </c>
      <c r="BF115" s="136" t="e">
        <f t="shared" si="33"/>
        <v>#N/A</v>
      </c>
      <c r="BG115" s="136" t="e">
        <f t="shared" si="34"/>
        <v>#N/A</v>
      </c>
    </row>
    <row r="116" spans="2:59" ht="11.25" customHeight="1">
      <c r="B116" s="321"/>
      <c r="C116" s="321"/>
      <c r="D116" s="321"/>
      <c r="E116" s="321"/>
      <c r="F116" s="321"/>
      <c r="G116" s="321"/>
      <c r="H116" s="321"/>
      <c r="I116" s="321"/>
      <c r="J116" s="321"/>
      <c r="K116" s="321"/>
      <c r="L116" s="321"/>
      <c r="M116" s="321"/>
      <c r="N116" s="321"/>
      <c r="O116" s="321"/>
      <c r="P116" s="321"/>
      <c r="Q116" s="321"/>
      <c r="R116" s="321"/>
      <c r="S116" s="321"/>
      <c r="T116" s="321"/>
      <c r="U116" s="321"/>
      <c r="V116" s="321"/>
      <c r="W116" s="321"/>
      <c r="X116" s="321"/>
      <c r="Y116" s="321"/>
      <c r="Z116" s="321"/>
      <c r="AA116" s="321"/>
      <c r="AB116" s="321"/>
      <c r="AC116" s="321"/>
      <c r="AD116" s="321"/>
      <c r="AE116" s="321"/>
      <c r="AF116" s="321"/>
      <c r="AG116" s="321"/>
      <c r="AH116" s="321"/>
      <c r="AI116" s="321"/>
      <c r="AJ116" s="321"/>
      <c r="AK116" s="321"/>
      <c r="AL116" s="321"/>
      <c r="AM116" s="321"/>
      <c r="AN116" s="321"/>
      <c r="AO116" s="321"/>
      <c r="AP116" s="427"/>
      <c r="AQ116" s="321"/>
      <c r="AR116" s="321"/>
      <c r="AS116" s="321"/>
      <c r="AT116" s="321"/>
      <c r="AU116" s="136">
        <f t="shared" si="24"/>
        <v>2.2090503226813785E-7</v>
      </c>
      <c r="AV116" s="136">
        <f t="shared" si="35"/>
        <v>-5.0500000000000203</v>
      </c>
      <c r="AW116" s="136">
        <f t="shared" si="25"/>
        <v>1.156411903579664E-6</v>
      </c>
      <c r="AX116" s="136" t="e">
        <f t="shared" si="26"/>
        <v>#N/A</v>
      </c>
      <c r="AY116" s="136">
        <f t="shared" si="27"/>
        <v>-5.0500100000000199</v>
      </c>
      <c r="AZ116" s="136">
        <f t="shared" si="28"/>
        <v>-5.0499900000000206</v>
      </c>
      <c r="BA116" s="136">
        <f t="shared" si="29"/>
        <v>1.8523207903613486E-2</v>
      </c>
      <c r="BB116" s="136">
        <f t="shared" si="30"/>
        <v>1.8523346570171441E-2</v>
      </c>
      <c r="BC116" s="136" t="e">
        <f t="shared" si="31"/>
        <v>#N/A</v>
      </c>
      <c r="BD116" s="136">
        <f t="shared" si="36"/>
        <v>1.156411903579664E-6</v>
      </c>
      <c r="BE116" s="136">
        <f t="shared" si="32"/>
        <v>-9.9884358809642043E-4</v>
      </c>
      <c r="BF116" s="136" t="e">
        <f t="shared" si="33"/>
        <v>#N/A</v>
      </c>
      <c r="BG116" s="136" t="e">
        <f t="shared" si="34"/>
        <v>#N/A</v>
      </c>
    </row>
    <row r="117" spans="2:59" ht="11.25" customHeight="1">
      <c r="B117" s="321"/>
      <c r="C117" s="321"/>
      <c r="D117" s="321"/>
      <c r="E117" s="321"/>
      <c r="F117" s="321"/>
      <c r="G117" s="321"/>
      <c r="H117" s="321"/>
      <c r="I117" s="321"/>
      <c r="J117" s="321"/>
      <c r="K117" s="321"/>
      <c r="L117" s="321"/>
      <c r="M117" s="321"/>
      <c r="N117" s="321"/>
      <c r="O117" s="321"/>
      <c r="P117" s="321"/>
      <c r="Q117" s="321"/>
      <c r="R117" s="321"/>
      <c r="S117" s="321"/>
      <c r="T117" s="321"/>
      <c r="U117" s="321"/>
      <c r="V117" s="321"/>
      <c r="W117" s="321"/>
      <c r="X117" s="321"/>
      <c r="Y117" s="321"/>
      <c r="Z117" s="321"/>
      <c r="AA117" s="321"/>
      <c r="AB117" s="321"/>
      <c r="AC117" s="321"/>
      <c r="AD117" s="321"/>
      <c r="AE117" s="321"/>
      <c r="AF117" s="321"/>
      <c r="AG117" s="321"/>
      <c r="AH117" s="321"/>
      <c r="AI117" s="321"/>
      <c r="AJ117" s="321"/>
      <c r="AK117" s="321"/>
      <c r="AL117" s="321"/>
      <c r="AM117" s="321"/>
      <c r="AN117" s="321"/>
      <c r="AO117" s="321"/>
      <c r="AP117" s="427"/>
      <c r="AQ117" s="321"/>
      <c r="AR117" s="321"/>
      <c r="AS117" s="321"/>
      <c r="AT117" s="321"/>
      <c r="AU117" s="136">
        <f t="shared" si="24"/>
        <v>2.3276592304706091E-7</v>
      </c>
      <c r="AV117" s="136">
        <f t="shared" si="35"/>
        <v>-5.0400000000000205</v>
      </c>
      <c r="AW117" s="136">
        <f t="shared" si="25"/>
        <v>1.2162495989311927E-6</v>
      </c>
      <c r="AX117" s="136" t="e">
        <f t="shared" si="26"/>
        <v>#N/A</v>
      </c>
      <c r="AY117" s="136">
        <f t="shared" si="27"/>
        <v>-5.0400100000000201</v>
      </c>
      <c r="AZ117" s="136">
        <f t="shared" si="28"/>
        <v>-5.0399900000000208</v>
      </c>
      <c r="BA117" s="136">
        <f t="shared" si="29"/>
        <v>1.8592732222972849E-2</v>
      </c>
      <c r="BB117" s="136">
        <f t="shared" si="30"/>
        <v>1.8592871656146336E-2</v>
      </c>
      <c r="BC117" s="136" t="e">
        <f t="shared" si="31"/>
        <v>#N/A</v>
      </c>
      <c r="BD117" s="136">
        <f t="shared" si="36"/>
        <v>1.2162495989311927E-6</v>
      </c>
      <c r="BE117" s="136">
        <f t="shared" si="32"/>
        <v>-9.9878375040106881E-4</v>
      </c>
      <c r="BF117" s="136" t="e">
        <f t="shared" si="33"/>
        <v>#N/A</v>
      </c>
      <c r="BG117" s="136" t="e">
        <f t="shared" si="34"/>
        <v>#N/A</v>
      </c>
    </row>
    <row r="118" spans="2:59" ht="11.25" customHeight="1">
      <c r="B118" s="321"/>
      <c r="C118" s="321"/>
      <c r="D118" s="321"/>
      <c r="E118" s="321"/>
      <c r="F118" s="321"/>
      <c r="G118" s="321"/>
      <c r="H118" s="321"/>
      <c r="I118" s="321"/>
      <c r="J118" s="321"/>
      <c r="K118" s="321"/>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427"/>
      <c r="AQ118" s="321"/>
      <c r="AR118" s="321"/>
      <c r="AS118" s="321"/>
      <c r="AT118" s="321"/>
      <c r="AU118" s="136">
        <f t="shared" si="24"/>
        <v>2.4523991806368498E-7</v>
      </c>
      <c r="AV118" s="136">
        <f t="shared" si="35"/>
        <v>-5.0300000000000207</v>
      </c>
      <c r="AW118" s="136">
        <f t="shared" si="25"/>
        <v>1.2790556404764422E-6</v>
      </c>
      <c r="AX118" s="136" t="e">
        <f t="shared" si="26"/>
        <v>#N/A</v>
      </c>
      <c r="AY118" s="136">
        <f t="shared" si="27"/>
        <v>-5.0300100000000203</v>
      </c>
      <c r="AZ118" s="136">
        <f t="shared" si="28"/>
        <v>-5.0299900000000211</v>
      </c>
      <c r="BA118" s="136">
        <f t="shared" si="29"/>
        <v>1.866264123256195E-2</v>
      </c>
      <c r="BB118" s="136">
        <f t="shared" si="30"/>
        <v>1.8662781437900098E-2</v>
      </c>
      <c r="BC118" s="136" t="e">
        <f t="shared" si="31"/>
        <v>#N/A</v>
      </c>
      <c r="BD118" s="136">
        <f t="shared" si="36"/>
        <v>1.2790556404764422E-6</v>
      </c>
      <c r="BE118" s="136">
        <f t="shared" si="32"/>
        <v>-9.9872094435952356E-4</v>
      </c>
      <c r="BF118" s="136" t="e">
        <f t="shared" si="33"/>
        <v>#N/A</v>
      </c>
      <c r="BG118" s="136" t="e">
        <f t="shared" si="34"/>
        <v>#N/A</v>
      </c>
    </row>
    <row r="119" spans="2:59" ht="11.25" customHeight="1">
      <c r="B119" s="321"/>
      <c r="C119" s="321"/>
      <c r="D119" s="321"/>
      <c r="E119" s="321"/>
      <c r="F119" s="321"/>
      <c r="G119" s="321"/>
      <c r="H119" s="321"/>
      <c r="I119" s="321"/>
      <c r="J119" s="321"/>
      <c r="K119" s="321"/>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427"/>
      <c r="AQ119" s="321"/>
      <c r="AR119" s="321"/>
      <c r="AS119" s="321"/>
      <c r="AT119" s="321"/>
      <c r="AU119" s="136">
        <f t="shared" si="24"/>
        <v>2.5835739763812686E-7</v>
      </c>
      <c r="AV119" s="136">
        <f t="shared" si="35"/>
        <v>-5.0200000000000209</v>
      </c>
      <c r="AW119" s="136">
        <f t="shared" si="25"/>
        <v>1.344970426069301E-6</v>
      </c>
      <c r="AX119" s="136" t="e">
        <f t="shared" si="26"/>
        <v>#N/A</v>
      </c>
      <c r="AY119" s="136">
        <f t="shared" si="27"/>
        <v>-5.0200100000000205</v>
      </c>
      <c r="AZ119" s="136">
        <f t="shared" si="28"/>
        <v>-5.0199900000000213</v>
      </c>
      <c r="BA119" s="136">
        <f t="shared" si="29"/>
        <v>1.8732937719216945E-2</v>
      </c>
      <c r="BB119" s="136">
        <f t="shared" si="30"/>
        <v>1.8733078702318134E-2</v>
      </c>
      <c r="BC119" s="136" t="e">
        <f t="shared" si="31"/>
        <v>#N/A</v>
      </c>
      <c r="BD119" s="136">
        <f t="shared" si="36"/>
        <v>1.344970426069301E-6</v>
      </c>
      <c r="BE119" s="136">
        <f t="shared" si="32"/>
        <v>-9.9865502957393075E-4</v>
      </c>
      <c r="BF119" s="136" t="e">
        <f t="shared" si="33"/>
        <v>#N/A</v>
      </c>
      <c r="BG119" s="136" t="e">
        <f t="shared" si="34"/>
        <v>#N/A</v>
      </c>
    </row>
    <row r="120" spans="2:59" ht="11.25" customHeight="1">
      <c r="B120" s="321"/>
      <c r="C120" s="321"/>
      <c r="D120" s="321"/>
      <c r="E120" s="321"/>
      <c r="F120" s="321"/>
      <c r="G120" s="321"/>
      <c r="H120" s="321"/>
      <c r="I120" s="321"/>
      <c r="J120" s="321"/>
      <c r="K120" s="321"/>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427"/>
      <c r="AQ120" s="321"/>
      <c r="AR120" s="321"/>
      <c r="AS120" s="321"/>
      <c r="AT120" s="321"/>
      <c r="AU120" s="136">
        <f t="shared" si="24"/>
        <v>2.721501772835614E-7</v>
      </c>
      <c r="AV120" s="136">
        <f t="shared" si="35"/>
        <v>-5.0100000000000211</v>
      </c>
      <c r="AW120" s="136">
        <f t="shared" si="25"/>
        <v>1.4141406395948527E-6</v>
      </c>
      <c r="AX120" s="136" t="e">
        <f t="shared" si="26"/>
        <v>#N/A</v>
      </c>
      <c r="AY120" s="136">
        <f t="shared" si="27"/>
        <v>-5.0100100000000207</v>
      </c>
      <c r="AZ120" s="136">
        <f t="shared" si="28"/>
        <v>-5.0099900000000215</v>
      </c>
      <c r="BA120" s="136">
        <f t="shared" si="29"/>
        <v>1.8803624494520894E-2</v>
      </c>
      <c r="BB120" s="136">
        <f t="shared" si="30"/>
        <v>1.8803766261033257E-2</v>
      </c>
      <c r="BC120" s="136" t="e">
        <f t="shared" si="31"/>
        <v>#N/A</v>
      </c>
      <c r="BD120" s="136">
        <f t="shared" si="36"/>
        <v>1.4141406395948527E-6</v>
      </c>
      <c r="BE120" s="136">
        <f t="shared" si="32"/>
        <v>-9.9858585936040507E-4</v>
      </c>
      <c r="BF120" s="136" t="e">
        <f t="shared" si="33"/>
        <v>#N/A</v>
      </c>
      <c r="BG120" s="136" t="e">
        <f t="shared" si="34"/>
        <v>#N/A</v>
      </c>
    </row>
    <row r="121" spans="2:59" ht="11.25" customHeight="1">
      <c r="B121" s="321"/>
      <c r="C121" s="321"/>
      <c r="D121" s="321"/>
      <c r="E121" s="321"/>
      <c r="F121" s="321"/>
      <c r="G121" s="321"/>
      <c r="H121" s="321"/>
      <c r="I121" s="321"/>
      <c r="J121" s="321"/>
      <c r="K121" s="321"/>
      <c r="L121" s="321"/>
      <c r="M121" s="321"/>
      <c r="N121" s="321"/>
      <c r="O121" s="321"/>
      <c r="P121" s="321"/>
      <c r="Q121" s="321"/>
      <c r="R121" s="321"/>
      <c r="S121" s="321"/>
      <c r="T121" s="321"/>
      <c r="U121" s="321"/>
      <c r="V121" s="321"/>
      <c r="W121" s="321"/>
      <c r="X121" s="321"/>
      <c r="Y121" s="321"/>
      <c r="Z121" s="321"/>
      <c r="AA121" s="321"/>
      <c r="AB121" s="321"/>
      <c r="AC121" s="321"/>
      <c r="AD121" s="321"/>
      <c r="AE121" s="321"/>
      <c r="AF121" s="321"/>
      <c r="AG121" s="321"/>
      <c r="AH121" s="321"/>
      <c r="AI121" s="321"/>
      <c r="AJ121" s="321"/>
      <c r="AK121" s="321"/>
      <c r="AL121" s="321"/>
      <c r="AM121" s="321"/>
      <c r="AN121" s="321"/>
      <c r="AO121" s="321"/>
      <c r="AP121" s="427"/>
      <c r="AQ121" s="321"/>
      <c r="AR121" s="321"/>
      <c r="AS121" s="321"/>
      <c r="AT121" s="321"/>
      <c r="AU121" s="136">
        <f t="shared" si="24"/>
        <v>2.8665157187698178E-7</v>
      </c>
      <c r="AV121" s="136">
        <f t="shared" si="35"/>
        <v>-5.0000000000000213</v>
      </c>
      <c r="AW121" s="136">
        <f t="shared" si="25"/>
        <v>1.4867195147341391E-6</v>
      </c>
      <c r="AX121" s="136" t="e">
        <f t="shared" si="26"/>
        <v>#N/A</v>
      </c>
      <c r="AY121" s="136">
        <f t="shared" si="27"/>
        <v>-5.0000100000000209</v>
      </c>
      <c r="AZ121" s="136">
        <f t="shared" si="28"/>
        <v>-4.9999900000000217</v>
      </c>
      <c r="BA121" s="136">
        <f t="shared" si="29"/>
        <v>1.8874704395061826E-2</v>
      </c>
      <c r="BB121" s="136">
        <f t="shared" si="30"/>
        <v>1.8874846950683772E-2</v>
      </c>
      <c r="BC121" s="136" t="e">
        <f t="shared" si="31"/>
        <v>#N/A</v>
      </c>
      <c r="BD121" s="136">
        <f t="shared" si="36"/>
        <v>1.4867195147341391E-6</v>
      </c>
      <c r="BE121" s="136">
        <f t="shared" si="32"/>
        <v>-9.9851328048526579E-4</v>
      </c>
      <c r="BF121" s="136" t="e">
        <f t="shared" si="33"/>
        <v>#N/A</v>
      </c>
      <c r="BG121" s="136" t="e">
        <f t="shared" si="34"/>
        <v>#N/A</v>
      </c>
    </row>
    <row r="122" spans="2:59" ht="11.25" customHeight="1">
      <c r="B122" s="321"/>
      <c r="C122" s="321"/>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427"/>
      <c r="AQ122" s="321"/>
      <c r="AR122" s="321"/>
      <c r="AS122" s="321"/>
      <c r="AT122" s="321"/>
      <c r="AU122" s="136">
        <f t="shared" si="24"/>
        <v>3.0189628175136818E-7</v>
      </c>
      <c r="AV122" s="136">
        <f t="shared" si="35"/>
        <v>-4.9900000000000215</v>
      </c>
      <c r="AW122" s="136">
        <f t="shared" si="25"/>
        <v>1.5628671089491233E-6</v>
      </c>
      <c r="AX122" s="136" t="e">
        <f t="shared" si="26"/>
        <v>#N/A</v>
      </c>
      <c r="AY122" s="136">
        <f t="shared" si="27"/>
        <v>-4.9900100000000212</v>
      </c>
      <c r="AZ122" s="136">
        <f t="shared" si="28"/>
        <v>-4.9899900000000219</v>
      </c>
      <c r="BA122" s="136">
        <f t="shared" si="29"/>
        <v>1.894618028269383E-2</v>
      </c>
      <c r="BB122" s="136">
        <f t="shared" si="30"/>
        <v>1.8946323633174569E-2</v>
      </c>
      <c r="BC122" s="136" t="e">
        <f t="shared" si="31"/>
        <v>#N/A</v>
      </c>
      <c r="BD122" s="136">
        <f t="shared" si="36"/>
        <v>1.5628671089491233E-6</v>
      </c>
      <c r="BE122" s="136">
        <f t="shared" si="32"/>
        <v>-9.9843713289105083E-4</v>
      </c>
      <c r="BF122" s="136" t="e">
        <f t="shared" si="33"/>
        <v>#N/A</v>
      </c>
      <c r="BG122" s="136" t="e">
        <f t="shared" si="34"/>
        <v>#N/A</v>
      </c>
    </row>
    <row r="123" spans="2:59" ht="11.25" customHeight="1">
      <c r="B123" s="321"/>
      <c r="C123" s="321"/>
      <c r="D123" s="321"/>
      <c r="E123" s="321"/>
      <c r="F123" s="321"/>
      <c r="G123" s="321"/>
      <c r="H123" s="321"/>
      <c r="I123" s="321"/>
      <c r="J123" s="321"/>
      <c r="K123" s="321"/>
      <c r="L123" s="321"/>
      <c r="M123" s="321"/>
      <c r="N123" s="321"/>
      <c r="O123" s="321"/>
      <c r="P123" s="321"/>
      <c r="Q123" s="321"/>
      <c r="R123" s="321"/>
      <c r="S123" s="321"/>
      <c r="T123" s="321"/>
      <c r="U123" s="321"/>
      <c r="V123" s="321"/>
      <c r="W123" s="321"/>
      <c r="X123" s="321"/>
      <c r="Y123" s="321"/>
      <c r="Z123" s="321"/>
      <c r="AA123" s="321"/>
      <c r="AB123" s="321"/>
      <c r="AC123" s="321"/>
      <c r="AD123" s="321"/>
      <c r="AE123" s="321"/>
      <c r="AF123" s="321"/>
      <c r="AG123" s="321"/>
      <c r="AH123" s="321"/>
      <c r="AI123" s="321"/>
      <c r="AJ123" s="321"/>
      <c r="AK123" s="321"/>
      <c r="AL123" s="321"/>
      <c r="AM123" s="321"/>
      <c r="AN123" s="321"/>
      <c r="AO123" s="321"/>
      <c r="AP123" s="427"/>
      <c r="AQ123" s="321"/>
      <c r="AR123" s="321"/>
      <c r="AS123" s="321"/>
      <c r="AT123" s="321"/>
      <c r="AU123" s="136">
        <f t="shared" si="24"/>
        <v>3.1792132149099928E-7</v>
      </c>
      <c r="AV123" s="136">
        <f t="shared" si="35"/>
        <v>-4.9800000000000217</v>
      </c>
      <c r="AW123" s="136">
        <f t="shared" si="25"/>
        <v>1.642750588044896E-6</v>
      </c>
      <c r="AX123" s="136" t="e">
        <f t="shared" si="26"/>
        <v>#N/A</v>
      </c>
      <c r="AY123" s="136">
        <f t="shared" si="27"/>
        <v>-4.9800100000000214</v>
      </c>
      <c r="AZ123" s="136">
        <f t="shared" si="28"/>
        <v>-4.9799900000000221</v>
      </c>
      <c r="BA123" s="136">
        <f t="shared" si="29"/>
        <v>1.9018055044801373E-2</v>
      </c>
      <c r="BB123" s="136">
        <f t="shared" si="30"/>
        <v>1.9018199195941433E-2</v>
      </c>
      <c r="BC123" s="136" t="e">
        <f t="shared" si="31"/>
        <v>#N/A</v>
      </c>
      <c r="BD123" s="136">
        <f t="shared" si="36"/>
        <v>1.642750588044896E-6</v>
      </c>
      <c r="BE123" s="136">
        <f t="shared" si="32"/>
        <v>-9.9835724941195513E-4</v>
      </c>
      <c r="BF123" s="136" t="e">
        <f t="shared" si="33"/>
        <v>#N/A</v>
      </c>
      <c r="BG123" s="136" t="e">
        <f t="shared" si="34"/>
        <v>#N/A</v>
      </c>
    </row>
    <row r="124" spans="2:59" ht="11.25" customHeight="1">
      <c r="B124" s="321"/>
      <c r="C124" s="321"/>
      <c r="D124" s="321"/>
      <c r="E124" s="321"/>
      <c r="F124" s="321"/>
      <c r="G124" s="321"/>
      <c r="H124" s="321"/>
      <c r="I124" s="321"/>
      <c r="J124" s="321"/>
      <c r="K124" s="321"/>
      <c r="L124" s="321"/>
      <c r="M124" s="321"/>
      <c r="N124" s="321"/>
      <c r="O124" s="321"/>
      <c r="P124" s="321"/>
      <c r="Q124" s="321"/>
      <c r="R124" s="321"/>
      <c r="S124" s="321"/>
      <c r="T124" s="321"/>
      <c r="U124" s="321"/>
      <c r="V124" s="321"/>
      <c r="W124" s="321"/>
      <c r="X124" s="321"/>
      <c r="Y124" s="321"/>
      <c r="Z124" s="321"/>
      <c r="AA124" s="321"/>
      <c r="AB124" s="321"/>
      <c r="AC124" s="321"/>
      <c r="AD124" s="321"/>
      <c r="AE124" s="321"/>
      <c r="AF124" s="321"/>
      <c r="AG124" s="321"/>
      <c r="AH124" s="321"/>
      <c r="AI124" s="321"/>
      <c r="AJ124" s="321"/>
      <c r="AK124" s="321"/>
      <c r="AL124" s="321"/>
      <c r="AM124" s="321"/>
      <c r="AN124" s="321"/>
      <c r="AO124" s="321"/>
      <c r="AP124" s="427"/>
      <c r="AQ124" s="321"/>
      <c r="AR124" s="321"/>
      <c r="AS124" s="321"/>
      <c r="AT124" s="321"/>
      <c r="AU124" s="136">
        <f t="shared" si="24"/>
        <v>3.3476451799518969E-7</v>
      </c>
      <c r="AV124" s="136">
        <f t="shared" si="35"/>
        <v>-4.970000000000022</v>
      </c>
      <c r="AW124" s="136">
        <f t="shared" si="25"/>
        <v>1.726544521676883E-6</v>
      </c>
      <c r="AX124" s="136" t="e">
        <f t="shared" si="26"/>
        <v>#N/A</v>
      </c>
      <c r="AY124" s="136">
        <f t="shared" si="27"/>
        <v>-4.9700100000000216</v>
      </c>
      <c r="AZ124" s="136">
        <f t="shared" si="28"/>
        <v>-4.9699900000000223</v>
      </c>
      <c r="BA124" s="136">
        <f t="shared" si="29"/>
        <v>1.9090331594566634E-2</v>
      </c>
      <c r="BB124" s="136">
        <f t="shared" si="30"/>
        <v>1.9090476552218398E-2</v>
      </c>
      <c r="BC124" s="136" t="e">
        <f t="shared" si="31"/>
        <v>#N/A</v>
      </c>
      <c r="BD124" s="136">
        <f t="shared" si="36"/>
        <v>1.726544521676883E-6</v>
      </c>
      <c r="BE124" s="136">
        <f t="shared" si="32"/>
        <v>-9.9827345547832307E-4</v>
      </c>
      <c r="BF124" s="136" t="e">
        <f t="shared" si="33"/>
        <v>#N/A</v>
      </c>
      <c r="BG124" s="136" t="e">
        <f t="shared" si="34"/>
        <v>#N/A</v>
      </c>
    </row>
    <row r="125" spans="2:59" ht="11.25" customHeight="1">
      <c r="B125" s="321"/>
      <c r="C125" s="321"/>
      <c r="D125" s="321"/>
      <c r="E125" s="321"/>
      <c r="F125" s="321"/>
      <c r="G125" s="321"/>
      <c r="H125" s="321"/>
      <c r="I125" s="321"/>
      <c r="J125" s="321"/>
      <c r="K125" s="321"/>
      <c r="L125" s="321"/>
      <c r="M125" s="321"/>
      <c r="N125" s="321"/>
      <c r="O125" s="321"/>
      <c r="P125" s="321"/>
      <c r="Q125" s="321"/>
      <c r="R125" s="321"/>
      <c r="S125" s="321"/>
      <c r="T125" s="321"/>
      <c r="U125" s="321"/>
      <c r="V125" s="321"/>
      <c r="W125" s="321"/>
      <c r="X125" s="321"/>
      <c r="Y125" s="321"/>
      <c r="Z125" s="321"/>
      <c r="AA125" s="321"/>
      <c r="AB125" s="321"/>
      <c r="AC125" s="321"/>
      <c r="AD125" s="321"/>
      <c r="AE125" s="321"/>
      <c r="AF125" s="321"/>
      <c r="AG125" s="321"/>
      <c r="AH125" s="321"/>
      <c r="AI125" s="321"/>
      <c r="AJ125" s="321"/>
      <c r="AK125" s="321"/>
      <c r="AL125" s="321"/>
      <c r="AM125" s="321"/>
      <c r="AN125" s="321"/>
      <c r="AO125" s="321"/>
      <c r="AP125" s="427"/>
      <c r="AQ125" s="321"/>
      <c r="AR125" s="321"/>
      <c r="AS125" s="321"/>
      <c r="AT125" s="321"/>
      <c r="AU125" s="136">
        <f t="shared" si="24"/>
        <v>3.5246613627748502E-7</v>
      </c>
      <c r="AV125" s="136">
        <f t="shared" si="35"/>
        <v>-4.9600000000000222</v>
      </c>
      <c r="AW125" s="136">
        <f t="shared" si="25"/>
        <v>1.8144311901818304E-6</v>
      </c>
      <c r="AX125" s="136" t="e">
        <f t="shared" si="26"/>
        <v>#N/A</v>
      </c>
      <c r="AY125" s="136">
        <f t="shared" si="27"/>
        <v>-4.9600100000000218</v>
      </c>
      <c r="AZ125" s="136">
        <f t="shared" si="28"/>
        <v>-4.9599900000000225</v>
      </c>
      <c r="BA125" s="136">
        <f t="shared" si="29"/>
        <v>1.9163012871240087E-2</v>
      </c>
      <c r="BB125" s="136">
        <f t="shared" si="30"/>
        <v>1.9163158641308374E-2</v>
      </c>
      <c r="BC125" s="136" t="e">
        <f t="shared" si="31"/>
        <v>#N/A</v>
      </c>
      <c r="BD125" s="136">
        <f t="shared" si="36"/>
        <v>1.8144311901818304E-6</v>
      </c>
      <c r="BE125" s="136">
        <f t="shared" si="32"/>
        <v>-9.9818556880981821E-4</v>
      </c>
      <c r="BF125" s="136" t="e">
        <f t="shared" si="33"/>
        <v>#N/A</v>
      </c>
      <c r="BG125" s="136" t="e">
        <f t="shared" si="34"/>
        <v>#N/A</v>
      </c>
    </row>
    <row r="126" spans="2:59" ht="11.25" customHeight="1">
      <c r="B126" s="321"/>
      <c r="C126" s="321"/>
      <c r="D126" s="321"/>
      <c r="E126" s="321"/>
      <c r="F126" s="321"/>
      <c r="G126" s="321"/>
      <c r="H126" s="321"/>
      <c r="I126" s="321"/>
      <c r="J126" s="321"/>
      <c r="K126" s="321"/>
      <c r="L126" s="321"/>
      <c r="M126" s="321"/>
      <c r="N126" s="321"/>
      <c r="O126" s="321"/>
      <c r="P126" s="321"/>
      <c r="Q126" s="321"/>
      <c r="R126" s="321"/>
      <c r="S126" s="321"/>
      <c r="T126" s="321"/>
      <c r="U126" s="321"/>
      <c r="V126" s="321"/>
      <c r="W126" s="321"/>
      <c r="X126" s="321"/>
      <c r="Y126" s="321"/>
      <c r="Z126" s="321"/>
      <c r="AA126" s="321"/>
      <c r="AB126" s="321"/>
      <c r="AC126" s="321"/>
      <c r="AD126" s="321"/>
      <c r="AE126" s="321"/>
      <c r="AF126" s="321"/>
      <c r="AG126" s="321"/>
      <c r="AH126" s="321"/>
      <c r="AI126" s="321"/>
      <c r="AJ126" s="321"/>
      <c r="AK126" s="321"/>
      <c r="AL126" s="321"/>
      <c r="AM126" s="321"/>
      <c r="AN126" s="321"/>
      <c r="AO126" s="321"/>
      <c r="AP126" s="427"/>
      <c r="AQ126" s="321"/>
      <c r="AR126" s="321"/>
      <c r="AS126" s="321"/>
      <c r="AT126" s="321"/>
      <c r="AU126" s="136">
        <f t="shared" si="24"/>
        <v>3.7106750028215174E-7</v>
      </c>
      <c r="AV126" s="136">
        <f t="shared" si="35"/>
        <v>-4.9500000000000224</v>
      </c>
      <c r="AW126" s="136">
        <f t="shared" si="25"/>
        <v>1.9066009031226007E-6</v>
      </c>
      <c r="AX126" s="136" t="e">
        <f t="shared" si="26"/>
        <v>#N/A</v>
      </c>
      <c r="AY126" s="136">
        <f t="shared" si="27"/>
        <v>-4.950010000000022</v>
      </c>
      <c r="AZ126" s="136">
        <f t="shared" si="28"/>
        <v>-4.9499900000000228</v>
      </c>
      <c r="BA126" s="136">
        <f t="shared" si="29"/>
        <v>1.9236101840414306E-2</v>
      </c>
      <c r="BB126" s="136">
        <f t="shared" si="30"/>
        <v>1.9236248428856857E-2</v>
      </c>
      <c r="BC126" s="136" t="e">
        <f t="shared" si="31"/>
        <v>#N/A</v>
      </c>
      <c r="BD126" s="136">
        <f t="shared" si="36"/>
        <v>1.9066009031226007E-6</v>
      </c>
      <c r="BE126" s="136">
        <f t="shared" si="32"/>
        <v>-9.9809339909687732E-4</v>
      </c>
      <c r="BF126" s="136" t="e">
        <f t="shared" si="33"/>
        <v>#N/A</v>
      </c>
      <c r="BG126" s="136" t="e">
        <f t="shared" si="34"/>
        <v>#N/A</v>
      </c>
    </row>
    <row r="127" spans="2:59" ht="11.25" customHeight="1">
      <c r="B127" s="321"/>
      <c r="C127" s="321"/>
      <c r="D127" s="321"/>
      <c r="E127" s="321"/>
      <c r="F127" s="321"/>
      <c r="G127" s="321"/>
      <c r="H127" s="321"/>
      <c r="I127" s="321"/>
      <c r="J127" s="321"/>
      <c r="K127" s="321"/>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427"/>
      <c r="AQ127" s="321"/>
      <c r="AR127" s="321"/>
      <c r="AS127" s="321"/>
      <c r="AT127" s="321"/>
      <c r="AU127" s="136">
        <f t="shared" si="24"/>
        <v>3.9061279355490086E-7</v>
      </c>
      <c r="AV127" s="136">
        <f t="shared" si="35"/>
        <v>-4.9400000000000226</v>
      </c>
      <c r="AW127" s="136">
        <f t="shared" si="25"/>
        <v>2.0032523299482683E-6</v>
      </c>
      <c r="AX127" s="136" t="e">
        <f t="shared" si="26"/>
        <v>#N/A</v>
      </c>
      <c r="AY127" s="136">
        <f t="shared" si="27"/>
        <v>-4.9400100000000222</v>
      </c>
      <c r="AZ127" s="136">
        <f t="shared" si="28"/>
        <v>-4.939990000000023</v>
      </c>
      <c r="BA127" s="136">
        <f t="shared" si="29"/>
        <v>1.9309601494301009E-2</v>
      </c>
      <c r="BB127" s="136">
        <f t="shared" si="30"/>
        <v>1.9309748907129123E-2</v>
      </c>
      <c r="BC127" s="136" t="e">
        <f t="shared" si="31"/>
        <v>#N/A</v>
      </c>
      <c r="BD127" s="136">
        <f t="shared" si="36"/>
        <v>2.0032523299482683E-6</v>
      </c>
      <c r="BE127" s="136">
        <f t="shared" si="32"/>
        <v>-9.9799674767005165E-4</v>
      </c>
      <c r="BF127" s="136" t="e">
        <f t="shared" si="33"/>
        <v>#N/A</v>
      </c>
      <c r="BG127" s="136" t="e">
        <f t="shared" si="34"/>
        <v>#N/A</v>
      </c>
    </row>
    <row r="128" spans="2:59" ht="11.25" customHeight="1">
      <c r="B128" s="321"/>
      <c r="C128" s="321"/>
      <c r="D128" s="321"/>
      <c r="E128" s="321"/>
      <c r="F128" s="321"/>
      <c r="G128" s="321"/>
      <c r="H128" s="321"/>
      <c r="I128" s="321"/>
      <c r="J128" s="321"/>
      <c r="K128" s="321"/>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427"/>
      <c r="AQ128" s="321"/>
      <c r="AR128" s="321"/>
      <c r="AS128" s="321"/>
      <c r="AT128" s="321"/>
      <c r="AU128" s="136">
        <f t="shared" si="24"/>
        <v>4.1114816218268402E-7</v>
      </c>
      <c r="AV128" s="136">
        <f t="shared" si="35"/>
        <v>-4.9300000000000228</v>
      </c>
      <c r="AW128" s="136">
        <f t="shared" si="25"/>
        <v>2.1045928431828902E-6</v>
      </c>
      <c r="AX128" s="136" t="e">
        <f t="shared" si="26"/>
        <v>#N/A</v>
      </c>
      <c r="AY128" s="136">
        <f t="shared" si="27"/>
        <v>-4.9300100000000224</v>
      </c>
      <c r="AZ128" s="136">
        <f t="shared" si="28"/>
        <v>-4.9299900000000232</v>
      </c>
      <c r="BA128" s="136">
        <f t="shared" si="29"/>
        <v>1.9383514852011514E-2</v>
      </c>
      <c r="BB128" s="136">
        <f t="shared" si="30"/>
        <v>1.9383663095290563E-2</v>
      </c>
      <c r="BC128" s="136" t="e">
        <f t="shared" si="31"/>
        <v>#N/A</v>
      </c>
      <c r="BD128" s="136">
        <f t="shared" si="36"/>
        <v>2.1045928431828902E-6</v>
      </c>
      <c r="BE128" s="136">
        <f t="shared" si="32"/>
        <v>-9.978954071568171E-4</v>
      </c>
      <c r="BF128" s="136" t="e">
        <f t="shared" si="33"/>
        <v>#N/A</v>
      </c>
      <c r="BG128" s="136" t="e">
        <f t="shared" si="34"/>
        <v>#N/A</v>
      </c>
    </row>
    <row r="129" spans="2:59" ht="11.25" customHeight="1">
      <c r="B129" s="321"/>
      <c r="C129" s="321"/>
      <c r="D129" s="321"/>
      <c r="E129" s="321"/>
      <c r="F129" s="321"/>
      <c r="G129" s="321"/>
      <c r="H129" s="321"/>
      <c r="I129" s="321"/>
      <c r="J129" s="321"/>
      <c r="K129" s="321"/>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427"/>
      <c r="AQ129" s="321"/>
      <c r="AR129" s="321"/>
      <c r="AS129" s="321"/>
      <c r="AT129" s="321"/>
      <c r="AU129" s="136">
        <f t="shared" si="24"/>
        <v>4.3272096639235258E-7</v>
      </c>
      <c r="AV129" s="136">
        <f t="shared" si="35"/>
        <v>-4.920000000000023</v>
      </c>
      <c r="AW129" s="136">
        <f t="shared" si="25"/>
        <v>2.2108388745681696E-6</v>
      </c>
      <c r="AX129" s="136" t="e">
        <f t="shared" si="26"/>
        <v>#N/A</v>
      </c>
      <c r="AY129" s="136">
        <f t="shared" si="27"/>
        <v>-4.9200100000000226</v>
      </c>
      <c r="AZ129" s="136">
        <f t="shared" si="28"/>
        <v>-4.9199900000000234</v>
      </c>
      <c r="BA129" s="136">
        <f t="shared" si="29"/>
        <v>1.9457844959840445E-2</v>
      </c>
      <c r="BB129" s="136">
        <f t="shared" si="30"/>
        <v>1.9457994039690417E-2</v>
      </c>
      <c r="BC129" s="136" t="e">
        <f t="shared" si="31"/>
        <v>#N/A</v>
      </c>
      <c r="BD129" s="136">
        <f t="shared" si="36"/>
        <v>2.2108388745681696E-6</v>
      </c>
      <c r="BE129" s="136">
        <f t="shared" si="32"/>
        <v>-9.977891611254318E-4</v>
      </c>
      <c r="BF129" s="136" t="e">
        <f t="shared" si="33"/>
        <v>#N/A</v>
      </c>
      <c r="BG129" s="136" t="e">
        <f t="shared" si="34"/>
        <v>#N/A</v>
      </c>
    </row>
    <row r="130" spans="2:59" ht="11.25" customHeight="1">
      <c r="B130" s="321"/>
      <c r="C130" s="321"/>
      <c r="D130" s="321"/>
      <c r="E130" s="321"/>
      <c r="F130" s="321"/>
      <c r="G130" s="321"/>
      <c r="H130" s="321"/>
      <c r="I130" s="321"/>
      <c r="J130" s="321"/>
      <c r="K130" s="321"/>
      <c r="L130" s="321"/>
      <c r="M130" s="321"/>
      <c r="N130" s="321"/>
      <c r="O130" s="321"/>
      <c r="P130" s="321"/>
      <c r="Q130" s="321"/>
      <c r="R130" s="321"/>
      <c r="S130" s="321"/>
      <c r="T130" s="321"/>
      <c r="U130" s="321"/>
      <c r="V130" s="321"/>
      <c r="W130" s="321"/>
      <c r="X130" s="321"/>
      <c r="Y130" s="321"/>
      <c r="Z130" s="321"/>
      <c r="AA130" s="321"/>
      <c r="AB130" s="321"/>
      <c r="AC130" s="321"/>
      <c r="AD130" s="321"/>
      <c r="AE130" s="321"/>
      <c r="AF130" s="321"/>
      <c r="AG130" s="321"/>
      <c r="AH130" s="321"/>
      <c r="AI130" s="321"/>
      <c r="AJ130" s="321"/>
      <c r="AK130" s="321"/>
      <c r="AL130" s="321"/>
      <c r="AM130" s="321"/>
      <c r="AN130" s="321"/>
      <c r="AO130" s="321"/>
      <c r="AP130" s="427"/>
      <c r="AQ130" s="321"/>
      <c r="AR130" s="321"/>
      <c r="AS130" s="321"/>
      <c r="AT130" s="321"/>
      <c r="AU130" s="136">
        <f t="shared" si="24"/>
        <v>4.5538233428565889E-7</v>
      </c>
      <c r="AV130" s="136">
        <f t="shared" si="35"/>
        <v>-4.9100000000000232</v>
      </c>
      <c r="AW130" s="136">
        <f t="shared" si="25"/>
        <v>2.3222162845977327E-6</v>
      </c>
      <c r="AX130" s="136" t="e">
        <f t="shared" si="26"/>
        <v>#N/A</v>
      </c>
      <c r="AY130" s="136">
        <f t="shared" si="27"/>
        <v>-4.9100100000000229</v>
      </c>
      <c r="AZ130" s="136">
        <f t="shared" si="28"/>
        <v>-4.9099900000000236</v>
      </c>
      <c r="BA130" s="136">
        <f t="shared" si="29"/>
        <v>1.9532594891552815E-2</v>
      </c>
      <c r="BB130" s="136">
        <f t="shared" si="30"/>
        <v>1.9532744814149006E-2</v>
      </c>
      <c r="BC130" s="136" t="e">
        <f t="shared" si="31"/>
        <v>#N/A</v>
      </c>
      <c r="BD130" s="136">
        <f t="shared" si="36"/>
        <v>2.3222162845977327E-6</v>
      </c>
      <c r="BE130" s="136">
        <f t="shared" si="32"/>
        <v>-9.9767778371540224E-4</v>
      </c>
      <c r="BF130" s="136" t="e">
        <f t="shared" si="33"/>
        <v>#N/A</v>
      </c>
      <c r="BG130" s="136" t="e">
        <f t="shared" si="34"/>
        <v>#N/A</v>
      </c>
    </row>
    <row r="131" spans="2:59" ht="11.25" customHeight="1">
      <c r="B131" s="321"/>
      <c r="C131" s="321"/>
      <c r="D131" s="321"/>
      <c r="E131" s="321"/>
      <c r="F131" s="321"/>
      <c r="G131" s="321"/>
      <c r="H131" s="321"/>
      <c r="I131" s="321"/>
      <c r="J131" s="321"/>
      <c r="K131" s="321"/>
      <c r="L131" s="321"/>
      <c r="M131" s="321"/>
      <c r="N131" s="321"/>
      <c r="O131" s="321"/>
      <c r="P131" s="321"/>
      <c r="Q131" s="321"/>
      <c r="R131" s="321"/>
      <c r="S131" s="321"/>
      <c r="T131" s="321"/>
      <c r="U131" s="321"/>
      <c r="V131" s="321"/>
      <c r="W131" s="321"/>
      <c r="X131" s="321"/>
      <c r="Y131" s="321"/>
      <c r="Z131" s="321"/>
      <c r="AA131" s="321"/>
      <c r="AB131" s="321"/>
      <c r="AC131" s="321"/>
      <c r="AD131" s="321"/>
      <c r="AE131" s="321"/>
      <c r="AF131" s="321"/>
      <c r="AG131" s="321"/>
      <c r="AH131" s="321"/>
      <c r="AI131" s="321"/>
      <c r="AJ131" s="321"/>
      <c r="AK131" s="321"/>
      <c r="AL131" s="321"/>
      <c r="AM131" s="321"/>
      <c r="AN131" s="321"/>
      <c r="AO131" s="321"/>
      <c r="AP131" s="427"/>
      <c r="AQ131" s="321"/>
      <c r="AR131" s="321"/>
      <c r="AS131" s="321"/>
      <c r="AT131" s="321"/>
      <c r="AU131" s="136">
        <f t="shared" si="24"/>
        <v>4.7918345313924249E-7</v>
      </c>
      <c r="AV131" s="136">
        <f t="shared" si="35"/>
        <v>-4.9000000000000234</v>
      </c>
      <c r="AW131" s="136">
        <f t="shared" si="25"/>
        <v>2.438960745893079E-6</v>
      </c>
      <c r="AX131" s="136" t="e">
        <f t="shared" si="26"/>
        <v>#N/A</v>
      </c>
      <c r="AY131" s="136">
        <f t="shared" si="27"/>
        <v>-4.9000100000000231</v>
      </c>
      <c r="AZ131" s="136">
        <f t="shared" si="28"/>
        <v>-4.8999900000000238</v>
      </c>
      <c r="BA131" s="136">
        <f t="shared" si="29"/>
        <v>1.9607767748674808E-2</v>
      </c>
      <c r="BB131" s="136">
        <f t="shared" si="30"/>
        <v>1.9607918520248242E-2</v>
      </c>
      <c r="BC131" s="136" t="e">
        <f t="shared" si="31"/>
        <v>#N/A</v>
      </c>
      <c r="BD131" s="136">
        <f t="shared" si="36"/>
        <v>2.438960745893079E-6</v>
      </c>
      <c r="BE131" s="136">
        <f t="shared" si="32"/>
        <v>-9.9756103925410702E-4</v>
      </c>
      <c r="BF131" s="136" t="e">
        <f t="shared" si="33"/>
        <v>#N/A</v>
      </c>
      <c r="BG131" s="136" t="e">
        <f t="shared" si="34"/>
        <v>#N/A</v>
      </c>
    </row>
    <row r="132" spans="2:59" ht="11.25" customHeight="1">
      <c r="B132" s="321"/>
      <c r="C132" s="321"/>
      <c r="D132" s="321"/>
      <c r="E132" s="321"/>
      <c r="F132" s="321"/>
      <c r="G132" s="321"/>
      <c r="H132" s="321"/>
      <c r="I132" s="321"/>
      <c r="J132" s="321"/>
      <c r="K132" s="321"/>
      <c r="L132" s="321"/>
      <c r="M132" s="321"/>
      <c r="N132" s="321"/>
      <c r="O132" s="321"/>
      <c r="P132" s="321"/>
      <c r="Q132" s="321"/>
      <c r="R132" s="321"/>
      <c r="S132" s="321"/>
      <c r="T132" s="321"/>
      <c r="U132" s="321"/>
      <c r="V132" s="321"/>
      <c r="W132" s="321"/>
      <c r="X132" s="321"/>
      <c r="Y132" s="321"/>
      <c r="Z132" s="321"/>
      <c r="AA132" s="321"/>
      <c r="AB132" s="321"/>
      <c r="AC132" s="321"/>
      <c r="AD132" s="321"/>
      <c r="AE132" s="321"/>
      <c r="AF132" s="321"/>
      <c r="AG132" s="321"/>
      <c r="AH132" s="321"/>
      <c r="AI132" s="321"/>
      <c r="AJ132" s="321"/>
      <c r="AK132" s="321"/>
      <c r="AL132" s="321"/>
      <c r="AM132" s="321"/>
      <c r="AN132" s="321"/>
      <c r="AO132" s="321"/>
      <c r="AP132" s="427"/>
      <c r="AQ132" s="321"/>
      <c r="AR132" s="321"/>
      <c r="AS132" s="321"/>
      <c r="AT132" s="321"/>
      <c r="AU132" s="136">
        <f t="shared" si="24"/>
        <v>5.0417991004358953E-7</v>
      </c>
      <c r="AV132" s="136">
        <f t="shared" si="35"/>
        <v>-4.8900000000000237</v>
      </c>
      <c r="AW132" s="136">
        <f t="shared" si="25"/>
        <v>2.5613181408842436E-6</v>
      </c>
      <c r="AX132" s="136" t="e">
        <f t="shared" si="26"/>
        <v>#N/A</v>
      </c>
      <c r="AY132" s="136">
        <f t="shared" si="27"/>
        <v>-4.8900100000000233</v>
      </c>
      <c r="AZ132" s="136">
        <f t="shared" si="28"/>
        <v>-4.889990000000024</v>
      </c>
      <c r="BA132" s="136">
        <f t="shared" si="29"/>
        <v>1.9683366660787661E-2</v>
      </c>
      <c r="BB132" s="136">
        <f t="shared" si="30"/>
        <v>1.9683518287625823E-2</v>
      </c>
      <c r="BC132" s="136" t="e">
        <f t="shared" si="31"/>
        <v>#N/A</v>
      </c>
      <c r="BD132" s="136">
        <f t="shared" si="36"/>
        <v>2.5613181408842436E-6</v>
      </c>
      <c r="BE132" s="136">
        <f t="shared" si="32"/>
        <v>-9.9743868185911584E-4</v>
      </c>
      <c r="BF132" s="136" t="e">
        <f t="shared" si="33"/>
        <v>#N/A</v>
      </c>
      <c r="BG132" s="136" t="e">
        <f t="shared" si="34"/>
        <v>#N/A</v>
      </c>
    </row>
    <row r="133" spans="2:59" ht="11.25" customHeight="1">
      <c r="B133" s="321"/>
      <c r="C133" s="321"/>
      <c r="D133" s="321"/>
      <c r="E133" s="321"/>
      <c r="F133" s="321"/>
      <c r="G133" s="321"/>
      <c r="H133" s="321"/>
      <c r="I133" s="321"/>
      <c r="J133" s="321"/>
      <c r="K133" s="321"/>
      <c r="L133" s="321"/>
      <c r="M133" s="321"/>
      <c r="N133" s="321"/>
      <c r="O133" s="321"/>
      <c r="P133" s="321"/>
      <c r="Q133" s="321"/>
      <c r="R133" s="321"/>
      <c r="S133" s="321"/>
      <c r="T133" s="321"/>
      <c r="U133" s="321"/>
      <c r="V133" s="321"/>
      <c r="W133" s="321"/>
      <c r="X133" s="321"/>
      <c r="Y133" s="321"/>
      <c r="Z133" s="321"/>
      <c r="AA133" s="321"/>
      <c r="AB133" s="321"/>
      <c r="AC133" s="321"/>
      <c r="AD133" s="321"/>
      <c r="AE133" s="321"/>
      <c r="AF133" s="321"/>
      <c r="AG133" s="321"/>
      <c r="AH133" s="321"/>
      <c r="AI133" s="321"/>
      <c r="AJ133" s="321"/>
      <c r="AK133" s="321"/>
      <c r="AL133" s="321"/>
      <c r="AM133" s="321"/>
      <c r="AN133" s="321"/>
      <c r="AO133" s="321"/>
      <c r="AP133" s="427"/>
      <c r="AQ133" s="321"/>
      <c r="AR133" s="321"/>
      <c r="AS133" s="321"/>
      <c r="AT133" s="321"/>
      <c r="AU133" s="136">
        <f t="shared" si="24"/>
        <v>5.3042933456648456E-7</v>
      </c>
      <c r="AV133" s="136">
        <f t="shared" si="35"/>
        <v>-4.8800000000000239</v>
      </c>
      <c r="AW133" s="136">
        <f t="shared" si="25"/>
        <v>2.6895449742712074E-6</v>
      </c>
      <c r="AX133" s="136" t="e">
        <f t="shared" si="26"/>
        <v>#N/A</v>
      </c>
      <c r="AY133" s="136">
        <f t="shared" si="27"/>
        <v>-4.8800100000000235</v>
      </c>
      <c r="AZ133" s="136">
        <f t="shared" si="28"/>
        <v>-4.8799900000000243</v>
      </c>
      <c r="BA133" s="136">
        <f t="shared" si="29"/>
        <v>1.9759394785825449E-2</v>
      </c>
      <c r="BB133" s="136">
        <f t="shared" si="30"/>
        <v>1.9759547274272822E-2</v>
      </c>
      <c r="BC133" s="136" t="e">
        <f t="shared" si="31"/>
        <v>#N/A</v>
      </c>
      <c r="BD133" s="136">
        <f t="shared" si="36"/>
        <v>2.6895449742712074E-6</v>
      </c>
      <c r="BE133" s="136">
        <f t="shared" si="32"/>
        <v>-9.9731045502572885E-4</v>
      </c>
      <c r="BF133" s="136" t="e">
        <f t="shared" si="33"/>
        <v>#N/A</v>
      </c>
      <c r="BG133" s="136" t="e">
        <f t="shared" si="34"/>
        <v>#N/A</v>
      </c>
    </row>
    <row r="134" spans="2:59" ht="11.25" customHeight="1">
      <c r="B134" s="321"/>
      <c r="C134" s="321"/>
      <c r="D134" s="321"/>
      <c r="E134" s="321"/>
      <c r="F134" s="321"/>
      <c r="G134" s="321"/>
      <c r="H134" s="321"/>
      <c r="I134" s="321"/>
      <c r="J134" s="321"/>
      <c r="K134" s="321"/>
      <c r="L134" s="321"/>
      <c r="M134" s="321"/>
      <c r="N134" s="321"/>
      <c r="O134" s="321"/>
      <c r="P134" s="321"/>
      <c r="Q134" s="321"/>
      <c r="R134" s="321"/>
      <c r="S134" s="321"/>
      <c r="T134" s="321"/>
      <c r="U134" s="321"/>
      <c r="V134" s="321"/>
      <c r="W134" s="321"/>
      <c r="X134" s="321"/>
      <c r="Y134" s="321"/>
      <c r="Z134" s="321"/>
      <c r="AA134" s="321"/>
      <c r="AB134" s="321"/>
      <c r="AC134" s="321"/>
      <c r="AD134" s="321"/>
      <c r="AE134" s="321"/>
      <c r="AF134" s="321"/>
      <c r="AG134" s="321"/>
      <c r="AH134" s="321"/>
      <c r="AI134" s="321"/>
      <c r="AJ134" s="321"/>
      <c r="AK134" s="321"/>
      <c r="AL134" s="321"/>
      <c r="AM134" s="321"/>
      <c r="AN134" s="321"/>
      <c r="AO134" s="321"/>
      <c r="AP134" s="427"/>
      <c r="AQ134" s="321"/>
      <c r="AR134" s="321"/>
      <c r="AS134" s="321"/>
      <c r="AT134" s="321"/>
      <c r="AU134" s="136">
        <f t="shared" si="24"/>
        <v>5.5799123832578346E-7</v>
      </c>
      <c r="AV134" s="136">
        <f t="shared" si="35"/>
        <v>-4.8700000000000241</v>
      </c>
      <c r="AW134" s="136">
        <f t="shared" si="25"/>
        <v>2.8239088007554944E-6</v>
      </c>
      <c r="AX134" s="136" t="e">
        <f t="shared" si="26"/>
        <v>#N/A</v>
      </c>
      <c r="AY134" s="136">
        <f t="shared" si="27"/>
        <v>-4.8700100000000237</v>
      </c>
      <c r="AZ134" s="136">
        <f t="shared" si="28"/>
        <v>-4.8699900000000245</v>
      </c>
      <c r="BA134" s="136">
        <f t="shared" si="29"/>
        <v>1.9835855310376259E-2</v>
      </c>
      <c r="BB134" s="136">
        <f t="shared" si="30"/>
        <v>1.9836008666834937E-2</v>
      </c>
      <c r="BC134" s="136" t="e">
        <f t="shared" si="31"/>
        <v>#N/A</v>
      </c>
      <c r="BD134" s="136">
        <f t="shared" si="36"/>
        <v>2.8239088007554944E-6</v>
      </c>
      <c r="BE134" s="136">
        <f t="shared" si="32"/>
        <v>-9.9717609119924456E-4</v>
      </c>
      <c r="BF134" s="136" t="e">
        <f t="shared" si="33"/>
        <v>#N/A</v>
      </c>
      <c r="BG134" s="136" t="e">
        <f t="shared" si="34"/>
        <v>#N/A</v>
      </c>
    </row>
    <row r="135" spans="2:59" ht="11.25" customHeight="1">
      <c r="B135" s="321"/>
      <c r="C135" s="321"/>
      <c r="D135" s="321"/>
      <c r="E135" s="321"/>
      <c r="F135" s="321"/>
      <c r="G135" s="321"/>
      <c r="H135" s="321"/>
      <c r="I135" s="321"/>
      <c r="J135" s="321"/>
      <c r="K135" s="321"/>
      <c r="L135" s="321"/>
      <c r="M135" s="321"/>
      <c r="N135" s="321"/>
      <c r="O135" s="321"/>
      <c r="P135" s="321"/>
      <c r="Q135" s="321"/>
      <c r="R135" s="321"/>
      <c r="S135" s="321"/>
      <c r="T135" s="321"/>
      <c r="U135" s="321"/>
      <c r="V135" s="321"/>
      <c r="W135" s="321"/>
      <c r="X135" s="321"/>
      <c r="Y135" s="321"/>
      <c r="Z135" s="321"/>
      <c r="AA135" s="321"/>
      <c r="AB135" s="321"/>
      <c r="AC135" s="321"/>
      <c r="AD135" s="321"/>
      <c r="AE135" s="321"/>
      <c r="AF135" s="321"/>
      <c r="AG135" s="321"/>
      <c r="AH135" s="321"/>
      <c r="AI135" s="321"/>
      <c r="AJ135" s="321"/>
      <c r="AK135" s="321"/>
      <c r="AL135" s="321"/>
      <c r="AM135" s="321"/>
      <c r="AN135" s="321"/>
      <c r="AO135" s="321"/>
      <c r="AP135" s="427"/>
      <c r="AQ135" s="321"/>
      <c r="AR135" s="321"/>
      <c r="AS135" s="321"/>
      <c r="AT135" s="321"/>
      <c r="AU135" s="136">
        <f t="shared" si="24"/>
        <v>5.8692884841171633E-7</v>
      </c>
      <c r="AV135" s="136">
        <f t="shared" si="35"/>
        <v>-4.8600000000000243</v>
      </c>
      <c r="AW135" s="136">
        <f t="shared" si="25"/>
        <v>2.9646886685449248E-6</v>
      </c>
      <c r="AX135" s="136" t="e">
        <f t="shared" si="26"/>
        <v>#N/A</v>
      </c>
      <c r="AY135" s="136">
        <f t="shared" si="27"/>
        <v>-4.8600100000000239</v>
      </c>
      <c r="AZ135" s="136">
        <f t="shared" si="28"/>
        <v>-4.8599900000000247</v>
      </c>
      <c r="BA135" s="136">
        <f t="shared" si="29"/>
        <v>1.9912751449987057E-2</v>
      </c>
      <c r="BB135" s="136">
        <f t="shared" si="30"/>
        <v>1.9912905680917348E-2</v>
      </c>
      <c r="BC135" s="136" t="e">
        <f t="shared" si="31"/>
        <v>#N/A</v>
      </c>
      <c r="BD135" s="136">
        <f t="shared" si="36"/>
        <v>2.9646886685449248E-6</v>
      </c>
      <c r="BE135" s="136">
        <f t="shared" si="32"/>
        <v>-9.9703531133145504E-4</v>
      </c>
      <c r="BF135" s="136" t="e">
        <f t="shared" si="33"/>
        <v>#N/A</v>
      </c>
      <c r="BG135" s="136" t="e">
        <f t="shared" si="34"/>
        <v>#N/A</v>
      </c>
    </row>
    <row r="136" spans="2:59" ht="11.25" customHeight="1">
      <c r="B136" s="321"/>
      <c r="C136" s="321"/>
      <c r="D136" s="321"/>
      <c r="E136" s="321"/>
      <c r="F136" s="321"/>
      <c r="G136" s="321"/>
      <c r="H136" s="321"/>
      <c r="I136" s="321"/>
      <c r="J136" s="321"/>
      <c r="K136" s="321"/>
      <c r="L136" s="321"/>
      <c r="M136" s="321"/>
      <c r="N136" s="321"/>
      <c r="O136" s="321"/>
      <c r="P136" s="321"/>
      <c r="Q136" s="321"/>
      <c r="R136" s="321"/>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427"/>
      <c r="AQ136" s="321"/>
      <c r="AR136" s="321"/>
      <c r="AS136" s="321"/>
      <c r="AT136" s="321"/>
      <c r="AU136" s="136">
        <f t="shared" si="24"/>
        <v>6.1730750100519316E-7</v>
      </c>
      <c r="AV136" s="136">
        <f t="shared" si="35"/>
        <v>-4.8500000000000245</v>
      </c>
      <c r="AW136" s="136">
        <f t="shared" si="25"/>
        <v>3.1121755791485684E-6</v>
      </c>
      <c r="AX136" s="136" t="e">
        <f t="shared" si="26"/>
        <v>#N/A</v>
      </c>
      <c r="AY136" s="136">
        <f t="shared" si="27"/>
        <v>-4.8500100000000241</v>
      </c>
      <c r="AZ136" s="136">
        <f t="shared" si="28"/>
        <v>-4.8499900000000249</v>
      </c>
      <c r="BA136" s="136">
        <f t="shared" si="29"/>
        <v>1.9990086449472196E-2</v>
      </c>
      <c r="BB136" s="136">
        <f t="shared" si="30"/>
        <v>1.9990241561393274E-2</v>
      </c>
      <c r="BC136" s="136" t="e">
        <f t="shared" si="31"/>
        <v>#N/A</v>
      </c>
      <c r="BD136" s="136">
        <f t="shared" si="36"/>
        <v>3.1121755791485684E-6</v>
      </c>
      <c r="BE136" s="136">
        <f t="shared" si="32"/>
        <v>-9.9688782442085137E-4</v>
      </c>
      <c r="BF136" s="136" t="e">
        <f t="shared" si="33"/>
        <v>#N/A</v>
      </c>
      <c r="BG136" s="136" t="e">
        <f t="shared" si="34"/>
        <v>#N/A</v>
      </c>
    </row>
    <row r="137" spans="2:59" ht="11.25" customHeight="1">
      <c r="B137" s="321"/>
      <c r="C137" s="321"/>
      <c r="D137" s="321"/>
      <c r="E137" s="321"/>
      <c r="F137" s="321"/>
      <c r="G137" s="321"/>
      <c r="H137" s="321"/>
      <c r="I137" s="321"/>
      <c r="J137" s="321"/>
      <c r="K137" s="321"/>
      <c r="L137" s="321"/>
      <c r="M137" s="321"/>
      <c r="N137" s="321"/>
      <c r="O137" s="321"/>
      <c r="P137" s="321"/>
      <c r="Q137" s="321"/>
      <c r="R137" s="321"/>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427"/>
      <c r="AQ137" s="321"/>
      <c r="AR137" s="321"/>
      <c r="AS137" s="321"/>
      <c r="AT137" s="321"/>
      <c r="AU137" s="136">
        <f t="shared" si="24"/>
        <v>6.4919571696187006E-7</v>
      </c>
      <c r="AV137" s="136">
        <f t="shared" si="35"/>
        <v>-4.8400000000000247</v>
      </c>
      <c r="AW137" s="136">
        <f t="shared" si="25"/>
        <v>3.26667296399288E-6</v>
      </c>
      <c r="AX137" s="136" t="e">
        <f t="shared" si="26"/>
        <v>#N/A</v>
      </c>
      <c r="AY137" s="136">
        <f t="shared" si="27"/>
        <v>-4.8400100000000243</v>
      </c>
      <c r="AZ137" s="136">
        <f t="shared" si="28"/>
        <v>-4.8399900000000251</v>
      </c>
      <c r="BA137" s="136">
        <f t="shared" si="29"/>
        <v>2.0067863583225806E-2</v>
      </c>
      <c r="BB137" s="136">
        <f t="shared" si="30"/>
        <v>2.0068019582716288E-2</v>
      </c>
      <c r="BC137" s="136" t="e">
        <f t="shared" si="31"/>
        <v>#N/A</v>
      </c>
      <c r="BD137" s="136">
        <f t="shared" si="36"/>
        <v>3.26667296399288E-6</v>
      </c>
      <c r="BE137" s="136">
        <f t="shared" si="32"/>
        <v>-9.9673332703600708E-4</v>
      </c>
      <c r="BF137" s="136" t="e">
        <f t="shared" si="33"/>
        <v>#N/A</v>
      </c>
      <c r="BG137" s="136" t="e">
        <f t="shared" si="34"/>
        <v>#N/A</v>
      </c>
    </row>
    <row r="138" spans="2:59" ht="11.25" customHeight="1">
      <c r="B138" s="321"/>
      <c r="C138" s="321"/>
      <c r="D138" s="321"/>
      <c r="E138" s="321"/>
      <c r="F138" s="321"/>
      <c r="G138" s="321"/>
      <c r="H138" s="321"/>
      <c r="I138" s="321"/>
      <c r="J138" s="321"/>
      <c r="K138" s="321"/>
      <c r="L138" s="321"/>
      <c r="M138" s="321"/>
      <c r="N138" s="321"/>
      <c r="O138" s="321"/>
      <c r="P138" s="321"/>
      <c r="Q138" s="321"/>
      <c r="R138" s="321"/>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427"/>
      <c r="AQ138" s="321"/>
      <c r="AR138" s="321"/>
      <c r="AS138" s="321"/>
      <c r="AT138" s="321"/>
      <c r="AU138" s="136">
        <f t="shared" si="24"/>
        <v>6.8266524233528969E-7</v>
      </c>
      <c r="AV138" s="136">
        <f t="shared" si="35"/>
        <v>-4.8300000000000249</v>
      </c>
      <c r="AW138" s="136">
        <f t="shared" si="25"/>
        <v>3.4284971784046243E-6</v>
      </c>
      <c r="AX138" s="136" t="e">
        <f t="shared" si="26"/>
        <v>#N/A</v>
      </c>
      <c r="AY138" s="136">
        <f t="shared" si="27"/>
        <v>-4.8300100000000246</v>
      </c>
      <c r="AZ138" s="136">
        <f t="shared" si="28"/>
        <v>-4.8299900000000253</v>
      </c>
      <c r="BA138" s="136">
        <f t="shared" si="29"/>
        <v>2.0146086155537726E-2</v>
      </c>
      <c r="BB138" s="136">
        <f t="shared" si="30"/>
        <v>2.0146243049236373E-2</v>
      </c>
      <c r="BC138" s="136" t="e">
        <f t="shared" si="31"/>
        <v>#N/A</v>
      </c>
      <c r="BD138" s="136">
        <f t="shared" si="36"/>
        <v>3.4284971784046243E-6</v>
      </c>
      <c r="BE138" s="136">
        <f t="shared" si="32"/>
        <v>-9.9657150282159547E-4</v>
      </c>
      <c r="BF138" s="136" t="e">
        <f t="shared" si="33"/>
        <v>#N/A</v>
      </c>
      <c r="BG138" s="136" t="e">
        <f t="shared" si="34"/>
        <v>#N/A</v>
      </c>
    </row>
    <row r="139" spans="2:59" ht="11.25" customHeight="1">
      <c r="B139" s="321"/>
      <c r="C139" s="321"/>
      <c r="D139" s="321"/>
      <c r="E139" s="321"/>
      <c r="F139" s="321"/>
      <c r="G139" s="321"/>
      <c r="H139" s="321"/>
      <c r="I139" s="321"/>
      <c r="J139" s="321"/>
      <c r="K139" s="321"/>
      <c r="L139" s="321"/>
      <c r="M139" s="321"/>
      <c r="N139" s="321"/>
      <c r="O139" s="321"/>
      <c r="P139" s="321"/>
      <c r="Q139" s="321"/>
      <c r="R139" s="321"/>
      <c r="S139" s="321"/>
      <c r="T139" s="321"/>
      <c r="U139" s="321"/>
      <c r="V139" s="321"/>
      <c r="W139" s="321"/>
      <c r="X139" s="321"/>
      <c r="Y139" s="321"/>
      <c r="Z139" s="321"/>
      <c r="AA139" s="321"/>
      <c r="AB139" s="321"/>
      <c r="AC139" s="321"/>
      <c r="AD139" s="321"/>
      <c r="AE139" s="321"/>
      <c r="AF139" s="321"/>
      <c r="AG139" s="321"/>
      <c r="AH139" s="321"/>
      <c r="AI139" s="321"/>
      <c r="AJ139" s="321"/>
      <c r="AK139" s="321"/>
      <c r="AL139" s="321"/>
      <c r="AM139" s="321"/>
      <c r="AN139" s="321"/>
      <c r="AO139" s="321"/>
      <c r="AP139" s="427"/>
      <c r="AQ139" s="321"/>
      <c r="AR139" s="321"/>
      <c r="AS139" s="321"/>
      <c r="AT139" s="321"/>
      <c r="AU139" s="136">
        <f t="shared" si="24"/>
        <v>7.17791006077384E-7</v>
      </c>
      <c r="AV139" s="136">
        <f t="shared" si="35"/>
        <v>-4.8200000000000252</v>
      </c>
      <c r="AW139" s="136">
        <f t="shared" si="25"/>
        <v>3.5979780135208121E-6</v>
      </c>
      <c r="AX139" s="136" t="e">
        <f t="shared" si="26"/>
        <v>#N/A</v>
      </c>
      <c r="AY139" s="136">
        <f t="shared" si="27"/>
        <v>-4.8200100000000248</v>
      </c>
      <c r="AZ139" s="136">
        <f t="shared" si="28"/>
        <v>-4.8199900000000255</v>
      </c>
      <c r="BA139" s="136">
        <f t="shared" si="29"/>
        <v>2.0224757500913498E-2</v>
      </c>
      <c r="BB139" s="136">
        <f t="shared" si="30"/>
        <v>2.022491529551983E-2</v>
      </c>
      <c r="BC139" s="136" t="e">
        <f t="shared" si="31"/>
        <v>#N/A</v>
      </c>
      <c r="BD139" s="136">
        <f t="shared" si="36"/>
        <v>3.5979780135208121E-6</v>
      </c>
      <c r="BE139" s="136">
        <f t="shared" si="32"/>
        <v>-9.9640202198647923E-4</v>
      </c>
      <c r="BF139" s="136" t="e">
        <f t="shared" si="33"/>
        <v>#N/A</v>
      </c>
      <c r="BG139" s="136" t="e">
        <f t="shared" si="34"/>
        <v>#N/A</v>
      </c>
    </row>
    <row r="140" spans="2:59" ht="11.25" customHeight="1">
      <c r="B140" s="321"/>
      <c r="C140" s="321"/>
      <c r="D140" s="321"/>
      <c r="E140" s="321"/>
      <c r="F140" s="321"/>
      <c r="G140" s="321"/>
      <c r="H140" s="321"/>
      <c r="I140" s="321"/>
      <c r="J140" s="321"/>
      <c r="K140" s="321"/>
      <c r="L140" s="321"/>
      <c r="M140" s="321"/>
      <c r="N140" s="321"/>
      <c r="O140" s="321"/>
      <c r="P140" s="321"/>
      <c r="Q140" s="321"/>
      <c r="R140" s="321"/>
      <c r="S140" s="321"/>
      <c r="T140" s="321"/>
      <c r="U140" s="321"/>
      <c r="V140" s="321"/>
      <c r="W140" s="321"/>
      <c r="X140" s="321"/>
      <c r="Y140" s="321"/>
      <c r="Z140" s="321"/>
      <c r="AA140" s="321"/>
      <c r="AB140" s="321"/>
      <c r="AC140" s="321"/>
      <c r="AD140" s="321"/>
      <c r="AE140" s="321"/>
      <c r="AF140" s="321"/>
      <c r="AG140" s="321"/>
      <c r="AH140" s="321"/>
      <c r="AI140" s="321"/>
      <c r="AJ140" s="321"/>
      <c r="AK140" s="321"/>
      <c r="AL140" s="321"/>
      <c r="AM140" s="321"/>
      <c r="AN140" s="321"/>
      <c r="AO140" s="321"/>
      <c r="AP140" s="427"/>
      <c r="AQ140" s="321"/>
      <c r="AR140" s="321"/>
      <c r="AS140" s="321"/>
      <c r="AT140" s="321"/>
      <c r="AU140" s="136">
        <f t="shared" si="24"/>
        <v>7.5465168913879666E-7</v>
      </c>
      <c r="AV140" s="136">
        <f t="shared" si="35"/>
        <v>-4.8100000000000254</v>
      </c>
      <c r="AW140" s="136">
        <f t="shared" si="25"/>
        <v>3.7754592267008785E-6</v>
      </c>
      <c r="AX140" s="136" t="e">
        <f t="shared" si="26"/>
        <v>#N/A</v>
      </c>
      <c r="AY140" s="136">
        <f t="shared" si="27"/>
        <v>-4.810010000000025</v>
      </c>
      <c r="AZ140" s="136">
        <f t="shared" si="28"/>
        <v>-4.8099900000000257</v>
      </c>
      <c r="BA140" s="136">
        <f t="shared" si="29"/>
        <v>2.0303880984398157E-2</v>
      </c>
      <c r="BB140" s="136">
        <f t="shared" si="30"/>
        <v>2.0304039686673055E-2</v>
      </c>
      <c r="BC140" s="136" t="e">
        <f t="shared" si="31"/>
        <v>#N/A</v>
      </c>
      <c r="BD140" s="136">
        <f t="shared" si="36"/>
        <v>3.7754592267008785E-6</v>
      </c>
      <c r="BE140" s="136">
        <f t="shared" si="32"/>
        <v>-9.9622454077329917E-4</v>
      </c>
      <c r="BF140" s="136" t="e">
        <f t="shared" si="33"/>
        <v>#N/A</v>
      </c>
      <c r="BG140" s="136" t="e">
        <f t="shared" si="34"/>
        <v>#N/A</v>
      </c>
    </row>
    <row r="141" spans="2:59" ht="11.25" customHeight="1">
      <c r="B141" s="321"/>
      <c r="C141" s="321"/>
      <c r="D141" s="321"/>
      <c r="E141" s="321"/>
      <c r="F141" s="321"/>
      <c r="G141" s="321"/>
      <c r="H141" s="321"/>
      <c r="I141" s="321"/>
      <c r="J141" s="321"/>
      <c r="K141" s="321"/>
      <c r="L141" s="321"/>
      <c r="M141" s="321"/>
      <c r="N141" s="321"/>
      <c r="O141" s="321"/>
      <c r="P141" s="321"/>
      <c r="Q141" s="321"/>
      <c r="R141" s="321"/>
      <c r="S141" s="321"/>
      <c r="T141" s="321"/>
      <c r="U141" s="321"/>
      <c r="V141" s="321"/>
      <c r="W141" s="321"/>
      <c r="X141" s="321"/>
      <c r="Y141" s="321"/>
      <c r="Z141" s="321"/>
      <c r="AA141" s="321"/>
      <c r="AB141" s="321"/>
      <c r="AC141" s="321"/>
      <c r="AD141" s="321"/>
      <c r="AE141" s="321"/>
      <c r="AF141" s="321"/>
      <c r="AG141" s="321"/>
      <c r="AH141" s="321"/>
      <c r="AI141" s="321"/>
      <c r="AJ141" s="321"/>
      <c r="AK141" s="321"/>
      <c r="AL141" s="321"/>
      <c r="AM141" s="321"/>
      <c r="AN141" s="321"/>
      <c r="AO141" s="321"/>
      <c r="AP141" s="427"/>
      <c r="AQ141" s="321"/>
      <c r="AR141" s="321"/>
      <c r="AS141" s="321"/>
      <c r="AT141" s="321"/>
      <c r="AU141" s="136">
        <f t="shared" si="24"/>
        <v>7.9332813851529238E-7</v>
      </c>
      <c r="AV141" s="136">
        <f t="shared" si="35"/>
        <v>-4.8000000000000256</v>
      </c>
      <c r="AW141" s="136">
        <f t="shared" si="25"/>
        <v>3.96129909103159E-6</v>
      </c>
      <c r="AX141" s="136" t="e">
        <f t="shared" si="26"/>
        <v>#N/A</v>
      </c>
      <c r="AY141" s="136">
        <f t="shared" si="27"/>
        <v>-4.8000100000000252</v>
      </c>
      <c r="AZ141" s="136">
        <f t="shared" si="28"/>
        <v>-4.799990000000026</v>
      </c>
      <c r="BA141" s="136">
        <f t="shared" si="29"/>
        <v>2.0383460001903855E-2</v>
      </c>
      <c r="BB141" s="136">
        <f t="shared" si="30"/>
        <v>2.0383619618670315E-2</v>
      </c>
      <c r="BC141" s="136" t="e">
        <f t="shared" si="31"/>
        <v>#N/A</v>
      </c>
      <c r="BD141" s="136">
        <f t="shared" si="36"/>
        <v>3.96129909103159E-6</v>
      </c>
      <c r="BE141" s="136">
        <f t="shared" si="32"/>
        <v>-9.9603870090896832E-4</v>
      </c>
      <c r="BF141" s="136" t="e">
        <f t="shared" si="33"/>
        <v>#N/A</v>
      </c>
      <c r="BG141" s="136" t="e">
        <f t="shared" si="34"/>
        <v>#N/A</v>
      </c>
    </row>
    <row r="142" spans="2:59" ht="11.25" customHeight="1">
      <c r="B142" s="321"/>
      <c r="C142" s="321"/>
      <c r="D142" s="321"/>
      <c r="E142" s="321"/>
      <c r="F142" s="321"/>
      <c r="G142" s="321"/>
      <c r="H142" s="321"/>
      <c r="I142" s="321"/>
      <c r="J142" s="321"/>
      <c r="K142" s="321"/>
      <c r="L142" s="321"/>
      <c r="M142" s="321"/>
      <c r="N142" s="321"/>
      <c r="O142" s="321"/>
      <c r="P142" s="321"/>
      <c r="Q142" s="321"/>
      <c r="R142" s="321"/>
      <c r="S142" s="321"/>
      <c r="T142" s="321"/>
      <c r="U142" s="321"/>
      <c r="V142" s="321"/>
      <c r="W142" s="321"/>
      <c r="X142" s="321"/>
      <c r="Y142" s="321"/>
      <c r="Z142" s="321"/>
      <c r="AA142" s="321"/>
      <c r="AB142" s="321"/>
      <c r="AC142" s="321"/>
      <c r="AD142" s="321"/>
      <c r="AE142" s="321"/>
      <c r="AF142" s="321"/>
      <c r="AG142" s="321"/>
      <c r="AH142" s="321"/>
      <c r="AI142" s="321"/>
      <c r="AJ142" s="321"/>
      <c r="AK142" s="321"/>
      <c r="AL142" s="321"/>
      <c r="AM142" s="321"/>
      <c r="AN142" s="321"/>
      <c r="AO142" s="321"/>
      <c r="AP142" s="427"/>
      <c r="AQ142" s="321"/>
      <c r="AR142" s="321"/>
      <c r="AS142" s="321"/>
      <c r="AT142" s="321"/>
      <c r="AU142" s="136">
        <f t="shared" si="24"/>
        <v>8.3390680694073183E-7</v>
      </c>
      <c r="AV142" s="136">
        <f t="shared" si="35"/>
        <v>-4.7900000000000258</v>
      </c>
      <c r="AW142" s="136">
        <f t="shared" si="25"/>
        <v>4.1558709645306835E-6</v>
      </c>
      <c r="AX142" s="136" t="e">
        <f t="shared" si="26"/>
        <v>#N/A</v>
      </c>
      <c r="AY142" s="136">
        <f t="shared" si="27"/>
        <v>-4.7900100000000254</v>
      </c>
      <c r="AZ142" s="136">
        <f t="shared" si="28"/>
        <v>-4.7899900000000262</v>
      </c>
      <c r="BA142" s="136">
        <f t="shared" si="29"/>
        <v>2.0463497980541746E-2</v>
      </c>
      <c r="BB142" s="136">
        <f t="shared" si="30"/>
        <v>2.0463658518685465E-2</v>
      </c>
      <c r="BC142" s="136" t="e">
        <f t="shared" si="31"/>
        <v>#N/A</v>
      </c>
      <c r="BD142" s="136">
        <f t="shared" si="36"/>
        <v>4.1558709645306835E-6</v>
      </c>
      <c r="BE142" s="136">
        <f t="shared" si="32"/>
        <v>-9.9584412903546944E-4</v>
      </c>
      <c r="BF142" s="136" t="e">
        <f t="shared" si="33"/>
        <v>#N/A</v>
      </c>
      <c r="BG142" s="136" t="e">
        <f t="shared" si="34"/>
        <v>#N/A</v>
      </c>
    </row>
    <row r="143" spans="2:59" ht="11.25" customHeight="1">
      <c r="B143" s="321"/>
      <c r="C143" s="321"/>
      <c r="D143" s="321"/>
      <c r="E143" s="321"/>
      <c r="F143" s="321"/>
      <c r="G143" s="321"/>
      <c r="H143" s="321"/>
      <c r="I143" s="321"/>
      <c r="J143" s="321"/>
      <c r="K143" s="321"/>
      <c r="L143" s="321"/>
      <c r="M143" s="321"/>
      <c r="N143" s="321"/>
      <c r="O143" s="321"/>
      <c r="P143" s="321"/>
      <c r="Q143" s="321"/>
      <c r="R143" s="321"/>
      <c r="S143" s="321"/>
      <c r="T143" s="321"/>
      <c r="U143" s="321"/>
      <c r="V143" s="321"/>
      <c r="W143" s="321"/>
      <c r="X143" s="321"/>
      <c r="Y143" s="321"/>
      <c r="Z143" s="321"/>
      <c r="AA143" s="321"/>
      <c r="AB143" s="321"/>
      <c r="AC143" s="321"/>
      <c r="AD143" s="321"/>
      <c r="AE143" s="321"/>
      <c r="AF143" s="321"/>
      <c r="AG143" s="321"/>
      <c r="AH143" s="321"/>
      <c r="AI143" s="321"/>
      <c r="AJ143" s="321"/>
      <c r="AK143" s="321"/>
      <c r="AL143" s="321"/>
      <c r="AM143" s="321"/>
      <c r="AN143" s="321"/>
      <c r="AO143" s="321"/>
      <c r="AP143" s="427"/>
      <c r="AQ143" s="321"/>
      <c r="AR143" s="321"/>
      <c r="AS143" s="321"/>
      <c r="AT143" s="321"/>
      <c r="AU143" s="136">
        <f t="shared" si="24"/>
        <v>8.7647597246665043E-7</v>
      </c>
      <c r="AV143" s="136">
        <f t="shared" si="35"/>
        <v>-4.780000000000026</v>
      </c>
      <c r="AW143" s="136">
        <f t="shared" si="25"/>
        <v>4.3595638796710937E-6</v>
      </c>
      <c r="AX143" s="136" t="e">
        <f t="shared" si="26"/>
        <v>#N/A</v>
      </c>
      <c r="AY143" s="136">
        <f t="shared" si="27"/>
        <v>-4.7800100000000256</v>
      </c>
      <c r="AZ143" s="136">
        <f t="shared" si="28"/>
        <v>-4.7799900000000264</v>
      </c>
      <c r="BA143" s="136">
        <f t="shared" si="29"/>
        <v>2.0543998378957627E-2</v>
      </c>
      <c r="BB143" s="136">
        <f t="shared" si="30"/>
        <v>2.0544159845427713E-2</v>
      </c>
      <c r="BC143" s="136" t="e">
        <f t="shared" si="31"/>
        <v>#N/A</v>
      </c>
      <c r="BD143" s="136">
        <f t="shared" si="36"/>
        <v>4.3595638796710937E-6</v>
      </c>
      <c r="BE143" s="136">
        <f t="shared" si="32"/>
        <v>-9.9564043612032898E-4</v>
      </c>
      <c r="BF143" s="136" t="e">
        <f t="shared" si="33"/>
        <v>#N/A</v>
      </c>
      <c r="BG143" s="136" t="e">
        <f t="shared" si="34"/>
        <v>#N/A</v>
      </c>
    </row>
    <row r="144" spans="2:59" ht="11.25" customHeight="1">
      <c r="B144" s="321"/>
      <c r="C144" s="321"/>
      <c r="D144" s="321"/>
      <c r="E144" s="321"/>
      <c r="F144" s="321"/>
      <c r="G144" s="321"/>
      <c r="H144" s="321"/>
      <c r="I144" s="321"/>
      <c r="J144" s="321"/>
      <c r="K144" s="321"/>
      <c r="L144" s="321"/>
      <c r="M144" s="321"/>
      <c r="N144" s="321"/>
      <c r="O144" s="321"/>
      <c r="P144" s="321"/>
      <c r="Q144" s="321"/>
      <c r="R144" s="321"/>
      <c r="S144" s="321"/>
      <c r="T144" s="321"/>
      <c r="U144" s="321"/>
      <c r="V144" s="321"/>
      <c r="W144" s="321"/>
      <c r="X144" s="321"/>
      <c r="Y144" s="321"/>
      <c r="Z144" s="321"/>
      <c r="AA144" s="321"/>
      <c r="AB144" s="321"/>
      <c r="AC144" s="321"/>
      <c r="AD144" s="321"/>
      <c r="AE144" s="321"/>
      <c r="AF144" s="321"/>
      <c r="AG144" s="321"/>
      <c r="AH144" s="321"/>
      <c r="AI144" s="321"/>
      <c r="AJ144" s="321"/>
      <c r="AK144" s="321"/>
      <c r="AL144" s="321"/>
      <c r="AM144" s="321"/>
      <c r="AN144" s="321"/>
      <c r="AO144" s="321"/>
      <c r="AP144" s="427"/>
      <c r="AQ144" s="321"/>
      <c r="AR144" s="321"/>
      <c r="AS144" s="321"/>
      <c r="AT144" s="321"/>
      <c r="AU144" s="136">
        <f t="shared" si="24"/>
        <v>9.2112955929479767E-7</v>
      </c>
      <c r="AV144" s="136">
        <f t="shared" si="35"/>
        <v>-4.7700000000000262</v>
      </c>
      <c r="AW144" s="136">
        <f t="shared" si="25"/>
        <v>4.5727831538635669E-6</v>
      </c>
      <c r="AX144" s="136" t="e">
        <f t="shared" si="26"/>
        <v>#N/A</v>
      </c>
      <c r="AY144" s="136">
        <f t="shared" si="27"/>
        <v>-4.7700100000000258</v>
      </c>
      <c r="AZ144" s="136">
        <f t="shared" si="28"/>
        <v>-4.7699900000000266</v>
      </c>
      <c r="BA144" s="136">
        <f t="shared" si="29"/>
        <v>2.0624964687671832E-2</v>
      </c>
      <c r="BB144" s="136">
        <f t="shared" si="30"/>
        <v>2.0625127089481509E-2</v>
      </c>
      <c r="BC144" s="136" t="e">
        <f t="shared" si="31"/>
        <v>#N/A</v>
      </c>
      <c r="BD144" s="136">
        <f t="shared" si="36"/>
        <v>4.5727831538635669E-6</v>
      </c>
      <c r="BE144" s="136">
        <f t="shared" si="32"/>
        <v>-9.9542721684613643E-4</v>
      </c>
      <c r="BF144" s="136" t="e">
        <f t="shared" si="33"/>
        <v>#N/A</v>
      </c>
      <c r="BG144" s="136" t="e">
        <f t="shared" si="34"/>
        <v>#N/A</v>
      </c>
    </row>
    <row r="145" spans="2:59" ht="11.25" customHeight="1">
      <c r="B145" s="321"/>
      <c r="C145" s="321"/>
      <c r="D145" s="321"/>
      <c r="E145" s="321"/>
      <c r="F145" s="321"/>
      <c r="G145" s="321"/>
      <c r="H145" s="321"/>
      <c r="I145" s="321"/>
      <c r="J145" s="321"/>
      <c r="K145" s="321"/>
      <c r="L145" s="321"/>
      <c r="M145" s="321"/>
      <c r="N145" s="321"/>
      <c r="O145" s="321"/>
      <c r="P145" s="321"/>
      <c r="Q145" s="321"/>
      <c r="R145" s="321"/>
      <c r="S145" s="321"/>
      <c r="T145" s="321"/>
      <c r="U145" s="321"/>
      <c r="V145" s="321"/>
      <c r="W145" s="321"/>
      <c r="X145" s="321"/>
      <c r="Y145" s="321"/>
      <c r="Z145" s="321"/>
      <c r="AA145" s="321"/>
      <c r="AB145" s="321"/>
      <c r="AC145" s="321"/>
      <c r="AD145" s="321"/>
      <c r="AE145" s="321"/>
      <c r="AF145" s="321"/>
      <c r="AG145" s="321"/>
      <c r="AH145" s="321"/>
      <c r="AI145" s="321"/>
      <c r="AJ145" s="321"/>
      <c r="AK145" s="321"/>
      <c r="AL145" s="321"/>
      <c r="AM145" s="321"/>
      <c r="AN145" s="321"/>
      <c r="AO145" s="321"/>
      <c r="AP145" s="427"/>
      <c r="AQ145" s="321"/>
      <c r="AR145" s="321"/>
      <c r="AS145" s="321"/>
      <c r="AT145" s="321"/>
      <c r="AU145" s="136">
        <f t="shared" si="24"/>
        <v>9.679646917337692E-7</v>
      </c>
      <c r="AV145" s="136">
        <f t="shared" si="35"/>
        <v>-4.7600000000000264</v>
      </c>
      <c r="AW145" s="136">
        <f t="shared" si="25"/>
        <v>4.7959510215519161E-6</v>
      </c>
      <c r="AX145" s="136" t="e">
        <f t="shared" si="26"/>
        <v>#N/A</v>
      </c>
      <c r="AY145" s="136">
        <f t="shared" si="27"/>
        <v>-4.7600100000000261</v>
      </c>
      <c r="AZ145" s="136">
        <f t="shared" si="28"/>
        <v>-4.7599900000000268</v>
      </c>
      <c r="BA145" s="136">
        <f t="shared" si="29"/>
        <v>2.0706400429423292E-2</v>
      </c>
      <c r="BB145" s="136">
        <f t="shared" si="30"/>
        <v>2.0706563773650547E-2</v>
      </c>
      <c r="BC145" s="136" t="e">
        <f t="shared" si="31"/>
        <v>#N/A</v>
      </c>
      <c r="BD145" s="136">
        <f t="shared" si="36"/>
        <v>4.7959510215519161E-6</v>
      </c>
      <c r="BE145" s="136">
        <f t="shared" si="32"/>
        <v>-9.95204048978448E-4</v>
      </c>
      <c r="BF145" s="136" t="e">
        <f t="shared" si="33"/>
        <v>#N/A</v>
      </c>
      <c r="BG145" s="136" t="e">
        <f t="shared" si="34"/>
        <v>#N/A</v>
      </c>
    </row>
    <row r="146" spans="2:59" ht="11.25" customHeight="1">
      <c r="B146" s="321"/>
      <c r="C146" s="321"/>
      <c r="D146" s="321"/>
      <c r="E146" s="321"/>
      <c r="F146" s="321"/>
      <c r="G146" s="321"/>
      <c r="H146" s="321"/>
      <c r="I146" s="321"/>
      <c r="J146" s="321"/>
      <c r="K146" s="321"/>
      <c r="L146" s="321"/>
      <c r="M146" s="321"/>
      <c r="N146" s="321"/>
      <c r="O146" s="321"/>
      <c r="P146" s="321"/>
      <c r="Q146" s="321"/>
      <c r="R146" s="321"/>
      <c r="S146" s="321"/>
      <c r="T146" s="321"/>
      <c r="U146" s="321"/>
      <c r="V146" s="321"/>
      <c r="W146" s="321"/>
      <c r="X146" s="321"/>
      <c r="Y146" s="321"/>
      <c r="Z146" s="321"/>
      <c r="AA146" s="321"/>
      <c r="AB146" s="321"/>
      <c r="AC146" s="321"/>
      <c r="AD146" s="321"/>
      <c r="AE146" s="321"/>
      <c r="AF146" s="321"/>
      <c r="AG146" s="321"/>
      <c r="AH146" s="321"/>
      <c r="AI146" s="321"/>
      <c r="AJ146" s="321"/>
      <c r="AK146" s="321"/>
      <c r="AL146" s="321"/>
      <c r="AM146" s="321"/>
      <c r="AN146" s="321"/>
      <c r="AO146" s="321"/>
      <c r="AP146" s="427"/>
      <c r="AQ146" s="321"/>
      <c r="AR146" s="321"/>
      <c r="AS146" s="321"/>
      <c r="AT146" s="321"/>
      <c r="AU146" s="136">
        <f t="shared" si="24"/>
        <v>1.017083252063955E-6</v>
      </c>
      <c r="AV146" s="136">
        <f t="shared" si="35"/>
        <v>-4.7500000000000266</v>
      </c>
      <c r="AW146" s="136">
        <f t="shared" si="25"/>
        <v>5.0295072885918101E-6</v>
      </c>
      <c r="AX146" s="136" t="e">
        <f t="shared" si="26"/>
        <v>#N/A</v>
      </c>
      <c r="AY146" s="136">
        <f t="shared" si="27"/>
        <v>-4.7500100000000263</v>
      </c>
      <c r="AZ146" s="136">
        <f t="shared" si="28"/>
        <v>-4.749990000000027</v>
      </c>
      <c r="BA146" s="136">
        <f t="shared" si="29"/>
        <v>2.0788309159517755E-2</v>
      </c>
      <c r="BB146" s="136">
        <f t="shared" si="30"/>
        <v>2.0788473453306065E-2</v>
      </c>
      <c r="BC146" s="136" t="e">
        <f t="shared" si="31"/>
        <v>#N/A</v>
      </c>
      <c r="BD146" s="136">
        <f t="shared" si="36"/>
        <v>5.0295072885918101E-6</v>
      </c>
      <c r="BE146" s="136">
        <f t="shared" si="32"/>
        <v>-9.9497049271140832E-4</v>
      </c>
      <c r="BF146" s="136" t="e">
        <f t="shared" si="33"/>
        <v>#N/A</v>
      </c>
      <c r="BG146" s="136" t="e">
        <f t="shared" si="34"/>
        <v>#N/A</v>
      </c>
    </row>
    <row r="147" spans="2:59" ht="11.25" customHeight="1">
      <c r="B147" s="321"/>
      <c r="C147" s="321"/>
      <c r="D147" s="321"/>
      <c r="E147" s="321"/>
      <c r="F147" s="321"/>
      <c r="G147" s="321"/>
      <c r="H147" s="321"/>
      <c r="I147" s="321"/>
      <c r="J147" s="321"/>
      <c r="K147" s="321"/>
      <c r="L147" s="321"/>
      <c r="M147" s="321"/>
      <c r="N147" s="321"/>
      <c r="O147" s="321"/>
      <c r="P147" s="321"/>
      <c r="Q147" s="321"/>
      <c r="R147" s="321"/>
      <c r="S147" s="321"/>
      <c r="T147" s="321"/>
      <c r="U147" s="321"/>
      <c r="V147" s="321"/>
      <c r="W147" s="321"/>
      <c r="X147" s="321"/>
      <c r="Y147" s="321"/>
      <c r="Z147" s="321"/>
      <c r="AA147" s="321"/>
      <c r="AB147" s="321"/>
      <c r="AC147" s="321"/>
      <c r="AD147" s="321"/>
      <c r="AE147" s="321"/>
      <c r="AF147" s="321"/>
      <c r="AG147" s="321"/>
      <c r="AH147" s="321"/>
      <c r="AI147" s="321"/>
      <c r="AJ147" s="321"/>
      <c r="AK147" s="321"/>
      <c r="AL147" s="321"/>
      <c r="AM147" s="321"/>
      <c r="AN147" s="321"/>
      <c r="AO147" s="321"/>
      <c r="AP147" s="427"/>
      <c r="AQ147" s="321"/>
      <c r="AR147" s="321"/>
      <c r="AS147" s="321"/>
      <c r="AT147" s="321"/>
      <c r="AU147" s="136">
        <f t="shared" si="24"/>
        <v>1.0685909692664808E-6</v>
      </c>
      <c r="AV147" s="136">
        <f t="shared" si="35"/>
        <v>-4.7400000000000269</v>
      </c>
      <c r="AW147" s="136">
        <f t="shared" si="25"/>
        <v>5.2739100096006385E-6</v>
      </c>
      <c r="AX147" s="136" t="e">
        <f t="shared" si="26"/>
        <v>#N/A</v>
      </c>
      <c r="AY147" s="136">
        <f t="shared" si="27"/>
        <v>-4.7400100000000265</v>
      </c>
      <c r="AZ147" s="136">
        <f t="shared" si="28"/>
        <v>-4.7399900000000272</v>
      </c>
      <c r="BA147" s="136">
        <f t="shared" si="29"/>
        <v>2.087069446618026E-2</v>
      </c>
      <c r="BB147" s="136">
        <f t="shared" si="30"/>
        <v>2.0870859716739288E-2</v>
      </c>
      <c r="BC147" s="136" t="e">
        <f t="shared" si="31"/>
        <v>#N/A</v>
      </c>
      <c r="BD147" s="136">
        <f t="shared" si="36"/>
        <v>5.2739100096006385E-6</v>
      </c>
      <c r="BE147" s="136">
        <f t="shared" si="32"/>
        <v>-9.9472608999039928E-4</v>
      </c>
      <c r="BF147" s="136" t="e">
        <f t="shared" si="33"/>
        <v>#N/A</v>
      </c>
      <c r="BG147" s="136" t="e">
        <f t="shared" si="34"/>
        <v>#N/A</v>
      </c>
    </row>
    <row r="148" spans="2:59" ht="11.25" customHeight="1">
      <c r="B148" s="321"/>
      <c r="C148" s="321"/>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1"/>
      <c r="AK148" s="321"/>
      <c r="AL148" s="321"/>
      <c r="AM148" s="321"/>
      <c r="AN148" s="321"/>
      <c r="AO148" s="321"/>
      <c r="AP148" s="427"/>
      <c r="AQ148" s="321"/>
      <c r="AR148" s="321"/>
      <c r="AS148" s="321"/>
      <c r="AT148" s="321"/>
      <c r="AU148" s="136">
        <f t="shared" si="24"/>
        <v>1.1225991545238401E-6</v>
      </c>
      <c r="AV148" s="136">
        <f t="shared" si="35"/>
        <v>-4.7300000000000271</v>
      </c>
      <c r="AW148" s="136">
        <f t="shared" si="25"/>
        <v>5.5296361889833535E-6</v>
      </c>
      <c r="AX148" s="136" t="e">
        <f t="shared" si="26"/>
        <v>#N/A</v>
      </c>
      <c r="AY148" s="136">
        <f t="shared" si="27"/>
        <v>-4.7300100000000267</v>
      </c>
      <c r="AZ148" s="136">
        <f t="shared" si="28"/>
        <v>-4.7299900000000275</v>
      </c>
      <c r="BA148" s="136">
        <f t="shared" si="29"/>
        <v>2.0953559970912E-2</v>
      </c>
      <c r="BB148" s="136">
        <f t="shared" si="30"/>
        <v>2.0953726185518353E-2</v>
      </c>
      <c r="BC148" s="136" t="e">
        <f t="shared" si="31"/>
        <v>#N/A</v>
      </c>
      <c r="BD148" s="136">
        <f t="shared" si="36"/>
        <v>5.5296361889833535E-6</v>
      </c>
      <c r="BE148" s="136">
        <f t="shared" si="32"/>
        <v>-9.9447036381101659E-4</v>
      </c>
      <c r="BF148" s="136" t="e">
        <f t="shared" si="33"/>
        <v>#N/A</v>
      </c>
      <c r="BG148" s="136" t="e">
        <f t="shared" si="34"/>
        <v>#N/A</v>
      </c>
    </row>
    <row r="149" spans="2:59" ht="11.25" customHeight="1">
      <c r="B149" s="321"/>
      <c r="C149" s="321"/>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1"/>
      <c r="AK149" s="321"/>
      <c r="AL149" s="321"/>
      <c r="AM149" s="321"/>
      <c r="AN149" s="321"/>
      <c r="AO149" s="321"/>
      <c r="AP149" s="427"/>
      <c r="AQ149" s="321"/>
      <c r="AR149" s="321"/>
      <c r="AS149" s="321"/>
      <c r="AT149" s="321"/>
      <c r="AU149" s="136">
        <f t="shared" ref="AU149:AU212" si="37">NORMDIST(AV149,$AV$17,$AV$18,TRUE)</f>
        <v>1.1792233247653883E-6</v>
      </c>
      <c r="AV149" s="136">
        <f t="shared" si="35"/>
        <v>-4.7200000000000273</v>
      </c>
      <c r="AW149" s="136">
        <f t="shared" ref="AW149:AW212" si="38">IF($AV$13=1,NORMDIST(AV149,$AV$17,$AV$18,FALSE),NA())</f>
        <v>5.797182506356534E-6</v>
      </c>
      <c r="AX149" s="136" t="e">
        <f t="shared" ref="AX149:AX212" si="39">IF($AV$13=3,NORMDIST(AV149,$AV$17,$AV$18,FALSE),NA())</f>
        <v>#N/A</v>
      </c>
      <c r="AY149" s="136">
        <f t="shared" ref="AY149:AY212" si="40">AV149-$AY$19</f>
        <v>-4.7200100000000269</v>
      </c>
      <c r="AZ149" s="136">
        <f t="shared" ref="AZ149:AZ212" si="41">AV149+$AY$19</f>
        <v>-4.7199900000000277</v>
      </c>
      <c r="BA149" s="136">
        <f t="shared" ref="BA149:BA212" si="42">IF(AY149&lt;0,TDIST(-AY149,$AV$14,1),1-TDIST(AY149,$AV$14,1))</f>
        <v>2.1036909328851557E-2</v>
      </c>
      <c r="BB149" s="136">
        <f t="shared" ref="BB149:BB212" si="43">IF(AZ149&lt;0,TDIST(-AZ149,$AV$14,1),1-TDIST(AZ149,$AV$14,1))</f>
        <v>2.1037076514849432E-2</v>
      </c>
      <c r="BC149" s="136" t="e">
        <f t="shared" ref="BC149:BC212" si="44">IF($AV$13&gt;1,(BB149-BA149)/(2*$AY$19),NA())</f>
        <v>#N/A</v>
      </c>
      <c r="BD149" s="136">
        <f t="shared" si="36"/>
        <v>5.797182506356534E-6</v>
      </c>
      <c r="BE149" s="136">
        <f t="shared" ref="BE149:BE212" si="45">IF(ISNUMBER(BD149),BD149-$BE$19,NA())</f>
        <v>-9.9420281749364355E-4</v>
      </c>
      <c r="BF149" s="136" t="e">
        <f t="shared" ref="BF149:BF212" si="46">IF($AV$15=1,IF(AV149&gt;=$BF$19,BC149,NA()),IF($AV$15=2,IF(ABS(AV149)&gt;=$BF$19,BC149,NA()),NA()))</f>
        <v>#N/A</v>
      </c>
      <c r="BG149" s="136" t="e">
        <f t="shared" ref="BG149:BG212" si="47">IF(ISNUMBER(BF149),BF149-$BG$19,NA())</f>
        <v>#N/A</v>
      </c>
    </row>
    <row r="150" spans="2:59" ht="11.25" customHeight="1">
      <c r="B150" s="321"/>
      <c r="C150" s="321"/>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1"/>
      <c r="AK150" s="321"/>
      <c r="AL150" s="321"/>
      <c r="AM150" s="321"/>
      <c r="AN150" s="321"/>
      <c r="AO150" s="321"/>
      <c r="AP150" s="427"/>
      <c r="AQ150" s="321"/>
      <c r="AR150" s="321"/>
      <c r="AS150" s="321"/>
      <c r="AT150" s="321"/>
      <c r="AU150" s="136">
        <f t="shared" si="37"/>
        <v>1.2385839566197987E-6</v>
      </c>
      <c r="AV150" s="136">
        <f t="shared" ref="AV150:AV213" si="48">AV149+$AY$10</f>
        <v>-4.7100000000000275</v>
      </c>
      <c r="AW150" s="136">
        <f t="shared" si="38"/>
        <v>6.0770660671103265E-6</v>
      </c>
      <c r="AX150" s="136" t="e">
        <f t="shared" si="39"/>
        <v>#N/A</v>
      </c>
      <c r="AY150" s="136">
        <f t="shared" si="40"/>
        <v>-4.7100100000000271</v>
      </c>
      <c r="AZ150" s="136">
        <f t="shared" si="41"/>
        <v>-4.7099900000000279</v>
      </c>
      <c r="BA150" s="136">
        <f t="shared" si="42"/>
        <v>2.1120746229140501E-2</v>
      </c>
      <c r="BB150" s="136">
        <f t="shared" si="43"/>
        <v>2.1120914393942532E-2</v>
      </c>
      <c r="BC150" s="136" t="e">
        <f t="shared" si="44"/>
        <v>#N/A</v>
      </c>
      <c r="BD150" s="136">
        <f t="shared" ref="BD150:BD213" si="49">IF($AV$15=1,IF(OR(AND(AV150&gt;=$BD$19,$AS$5&gt;=0),AND(AV150&lt;=$BD$19,$AS$5&lt;0)),AW150,NA()),IF($AV$15=2,IF(ABS(AV150)&gt;=$BD$18,AW150,NA()),NA()))</f>
        <v>6.0770660671103265E-6</v>
      </c>
      <c r="BE150" s="136">
        <f t="shared" si="45"/>
        <v>-9.9392293393288974E-4</v>
      </c>
      <c r="BF150" s="136" t="e">
        <f t="shared" si="46"/>
        <v>#N/A</v>
      </c>
      <c r="BG150" s="136" t="e">
        <f t="shared" si="47"/>
        <v>#N/A</v>
      </c>
    </row>
    <row r="151" spans="2:59" ht="11.25" customHeight="1">
      <c r="B151" s="321"/>
      <c r="C151" s="321"/>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1"/>
      <c r="AK151" s="321"/>
      <c r="AL151" s="321"/>
      <c r="AM151" s="321"/>
      <c r="AN151" s="321"/>
      <c r="AO151" s="321"/>
      <c r="AP151" s="427"/>
      <c r="AQ151" s="321"/>
      <c r="AR151" s="321"/>
      <c r="AS151" s="321"/>
      <c r="AT151" s="321"/>
      <c r="AU151" s="136">
        <f t="shared" si="37"/>
        <v>1.3008074228881839E-6</v>
      </c>
      <c r="AV151" s="136">
        <f t="shared" si="48"/>
        <v>-4.7000000000000277</v>
      </c>
      <c r="AW151" s="136">
        <f t="shared" si="38"/>
        <v>6.369825178866275E-6</v>
      </c>
      <c r="AX151" s="136" t="e">
        <f t="shared" si="39"/>
        <v>#N/A</v>
      </c>
      <c r="AY151" s="136">
        <f t="shared" si="40"/>
        <v>-4.7000100000000273</v>
      </c>
      <c r="AZ151" s="136">
        <f t="shared" si="41"/>
        <v>-4.6999900000000281</v>
      </c>
      <c r="BA151" s="136">
        <f t="shared" si="42"/>
        <v>2.1205074395293649E-2</v>
      </c>
      <c r="BB151" s="136">
        <f t="shared" si="43"/>
        <v>2.1205243546381543E-2</v>
      </c>
      <c r="BC151" s="136" t="e">
        <f t="shared" si="44"/>
        <v>#N/A</v>
      </c>
      <c r="BD151" s="136">
        <f t="shared" si="49"/>
        <v>6.369825178866275E-6</v>
      </c>
      <c r="BE151" s="136">
        <f t="shared" si="45"/>
        <v>-9.9363017482113382E-4</v>
      </c>
      <c r="BF151" s="136" t="e">
        <f t="shared" si="46"/>
        <v>#N/A</v>
      </c>
      <c r="BG151" s="136" t="e">
        <f t="shared" si="47"/>
        <v>#N/A</v>
      </c>
    </row>
    <row r="152" spans="2:59" ht="11.25" customHeight="1">
      <c r="B152" s="321"/>
      <c r="C152" s="321"/>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1"/>
      <c r="AK152" s="321"/>
      <c r="AL152" s="321"/>
      <c r="AM152" s="321"/>
      <c r="AN152" s="321"/>
      <c r="AO152" s="321"/>
      <c r="AP152" s="427"/>
      <c r="AQ152" s="321"/>
      <c r="AR152" s="321"/>
      <c r="AS152" s="321"/>
      <c r="AT152" s="321"/>
      <c r="AU152" s="136">
        <f t="shared" si="37"/>
        <v>1.3660253285197044E-6</v>
      </c>
      <c r="AV152" s="136">
        <f t="shared" si="48"/>
        <v>-4.6900000000000279</v>
      </c>
      <c r="AW152" s="136">
        <f t="shared" si="38"/>
        <v>6.6760201546065952E-6</v>
      </c>
      <c r="AX152" s="136" t="e">
        <f t="shared" si="39"/>
        <v>#N/A</v>
      </c>
      <c r="AY152" s="136">
        <f t="shared" si="40"/>
        <v>-4.6900100000000275</v>
      </c>
      <c r="AZ152" s="136">
        <f t="shared" si="41"/>
        <v>-4.6899900000000283</v>
      </c>
      <c r="BA152" s="136">
        <f t="shared" si="42"/>
        <v>2.1289897585573741E-2</v>
      </c>
      <c r="BB152" s="136">
        <f t="shared" si="43"/>
        <v>2.1290067730499095E-2</v>
      </c>
      <c r="BC152" s="136" t="e">
        <f t="shared" si="44"/>
        <v>#N/A</v>
      </c>
      <c r="BD152" s="136">
        <f t="shared" si="49"/>
        <v>6.6760201546065952E-6</v>
      </c>
      <c r="BE152" s="136">
        <f t="shared" si="45"/>
        <v>-9.9332397984539336E-4</v>
      </c>
      <c r="BF152" s="136" t="e">
        <f t="shared" si="46"/>
        <v>#N/A</v>
      </c>
      <c r="BG152" s="136" t="e">
        <f t="shared" si="47"/>
        <v>#N/A</v>
      </c>
    </row>
    <row r="153" spans="2:59" ht="11.25" customHeight="1">
      <c r="B153" s="321"/>
      <c r="C153" s="321"/>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1"/>
      <c r="AK153" s="321"/>
      <c r="AL153" s="321"/>
      <c r="AM153" s="321"/>
      <c r="AN153" s="321"/>
      <c r="AO153" s="321"/>
      <c r="AP153" s="427"/>
      <c r="AQ153" s="321"/>
      <c r="AR153" s="321"/>
      <c r="AS153" s="321"/>
      <c r="AT153" s="321"/>
      <c r="AU153" s="136">
        <f t="shared" si="37"/>
        <v>1.434374663267235E-6</v>
      </c>
      <c r="AV153" s="136">
        <f t="shared" si="48"/>
        <v>-4.6800000000000281</v>
      </c>
      <c r="AW153" s="136">
        <f t="shared" si="38"/>
        <v>6.9962341432694716E-6</v>
      </c>
      <c r="AX153" s="136" t="e">
        <f t="shared" si="39"/>
        <v>#N/A</v>
      </c>
      <c r="AY153" s="136">
        <f t="shared" si="40"/>
        <v>-4.6800100000000278</v>
      </c>
      <c r="AZ153" s="136">
        <f t="shared" si="41"/>
        <v>-4.6799900000000285</v>
      </c>
      <c r="BA153" s="136">
        <f t="shared" si="42"/>
        <v>2.1375219593370801E-2</v>
      </c>
      <c r="BB153" s="136">
        <f t="shared" si="43"/>
        <v>2.1375390739755838E-2</v>
      </c>
      <c r="BC153" s="136" t="e">
        <f t="shared" si="44"/>
        <v>#N/A</v>
      </c>
      <c r="BD153" s="136">
        <f t="shared" si="49"/>
        <v>6.9962341432694716E-6</v>
      </c>
      <c r="BE153" s="136">
        <f t="shared" si="45"/>
        <v>-9.9300376585673058E-4</v>
      </c>
      <c r="BF153" s="136" t="e">
        <f t="shared" si="46"/>
        <v>#N/A</v>
      </c>
      <c r="BG153" s="136" t="e">
        <f t="shared" si="47"/>
        <v>#N/A</v>
      </c>
    </row>
    <row r="154" spans="2:59" ht="11.25" customHeight="1">
      <c r="B154" s="321"/>
      <c r="C154" s="321"/>
      <c r="D154" s="321"/>
      <c r="E154" s="321"/>
      <c r="F154" s="321"/>
      <c r="G154" s="321"/>
      <c r="H154" s="321"/>
      <c r="I154" s="321"/>
      <c r="J154" s="321"/>
      <c r="K154" s="321"/>
      <c r="L154" s="321"/>
      <c r="M154" s="321"/>
      <c r="N154" s="321"/>
      <c r="O154" s="321"/>
      <c r="P154" s="321"/>
      <c r="Q154" s="321"/>
      <c r="R154" s="321"/>
      <c r="S154" s="321"/>
      <c r="T154" s="321"/>
      <c r="U154" s="321"/>
      <c r="V154" s="321"/>
      <c r="W154" s="321"/>
      <c r="X154" s="321"/>
      <c r="Y154" s="321"/>
      <c r="Z154" s="321"/>
      <c r="AA154" s="321"/>
      <c r="AB154" s="321"/>
      <c r="AC154" s="321"/>
      <c r="AD154" s="321"/>
      <c r="AE154" s="321"/>
      <c r="AF154" s="321"/>
      <c r="AG154" s="321"/>
      <c r="AH154" s="321"/>
      <c r="AI154" s="321"/>
      <c r="AJ154" s="321"/>
      <c r="AK154" s="321"/>
      <c r="AL154" s="321"/>
      <c r="AM154" s="321"/>
      <c r="AN154" s="321"/>
      <c r="AO154" s="321"/>
      <c r="AP154" s="427"/>
      <c r="AQ154" s="321"/>
      <c r="AR154" s="321"/>
      <c r="AS154" s="321"/>
      <c r="AT154" s="321"/>
      <c r="AU154" s="136">
        <f t="shared" si="37"/>
        <v>1.5059986977483675E-6</v>
      </c>
      <c r="AV154" s="136">
        <f t="shared" si="48"/>
        <v>-4.6700000000000284</v>
      </c>
      <c r="AW154" s="136">
        <f t="shared" si="38"/>
        <v>7.3310739886229666E-6</v>
      </c>
      <c r="AX154" s="136" t="e">
        <f t="shared" si="39"/>
        <v>#N/A</v>
      </c>
      <c r="AY154" s="136">
        <f t="shared" si="40"/>
        <v>-4.670010000000028</v>
      </c>
      <c r="AZ154" s="136">
        <f t="shared" si="41"/>
        <v>-4.6699900000000287</v>
      </c>
      <c r="BA154" s="136">
        <f t="shared" si="42"/>
        <v>2.14610442475862E-2</v>
      </c>
      <c r="BB154" s="136">
        <f t="shared" si="43"/>
        <v>2.1461216403124577E-2</v>
      </c>
      <c r="BC154" s="136" t="e">
        <f t="shared" si="44"/>
        <v>#N/A</v>
      </c>
      <c r="BD154" s="136">
        <f t="shared" si="49"/>
        <v>7.3310739886229666E-6</v>
      </c>
      <c r="BE154" s="136">
        <f t="shared" si="45"/>
        <v>-9.9266892601137711E-4</v>
      </c>
      <c r="BF154" s="136" t="e">
        <f t="shared" si="46"/>
        <v>#N/A</v>
      </c>
      <c r="BG154" s="136" t="e">
        <f t="shared" si="47"/>
        <v>#N/A</v>
      </c>
    </row>
    <row r="155" spans="2:59" ht="11.25" customHeight="1">
      <c r="B155" s="321"/>
      <c r="C155" s="321"/>
      <c r="D155" s="321"/>
      <c r="E155" s="321"/>
      <c r="F155" s="321"/>
      <c r="G155" s="321"/>
      <c r="H155" s="321"/>
      <c r="I155" s="321"/>
      <c r="J155" s="321"/>
      <c r="K155" s="321"/>
      <c r="L155" s="321"/>
      <c r="M155" s="321"/>
      <c r="N155" s="321"/>
      <c r="O155" s="321"/>
      <c r="P155" s="321"/>
      <c r="Q155" s="321"/>
      <c r="R155" s="321"/>
      <c r="S155" s="321"/>
      <c r="T155" s="321"/>
      <c r="U155" s="321"/>
      <c r="V155" s="321"/>
      <c r="W155" s="321"/>
      <c r="X155" s="321"/>
      <c r="Y155" s="321"/>
      <c r="Z155" s="321"/>
      <c r="AA155" s="321"/>
      <c r="AB155" s="321"/>
      <c r="AC155" s="321"/>
      <c r="AD155" s="321"/>
      <c r="AE155" s="321"/>
      <c r="AF155" s="321"/>
      <c r="AG155" s="321"/>
      <c r="AH155" s="321"/>
      <c r="AI155" s="321"/>
      <c r="AJ155" s="321"/>
      <c r="AK155" s="321"/>
      <c r="AL155" s="321"/>
      <c r="AM155" s="321"/>
      <c r="AN155" s="321"/>
      <c r="AO155" s="321"/>
      <c r="AP155" s="427"/>
      <c r="AQ155" s="321"/>
      <c r="AR155" s="321"/>
      <c r="AS155" s="321"/>
      <c r="AT155" s="321"/>
      <c r="AU155" s="136">
        <f t="shared" si="37"/>
        <v>1.5810469959909312E-6</v>
      </c>
      <c r="AV155" s="136">
        <f t="shared" si="48"/>
        <v>-4.6600000000000286</v>
      </c>
      <c r="AW155" s="136">
        <f t="shared" si="38"/>
        <v>7.6811711172494457E-6</v>
      </c>
      <c r="AX155" s="136" t="e">
        <f t="shared" si="39"/>
        <v>#N/A</v>
      </c>
      <c r="AY155" s="136">
        <f t="shared" si="40"/>
        <v>-4.6600100000000282</v>
      </c>
      <c r="AZ155" s="136">
        <f t="shared" si="41"/>
        <v>-4.6599900000000289</v>
      </c>
      <c r="BA155" s="136">
        <f t="shared" si="42"/>
        <v>2.1547375413021527E-2</v>
      </c>
      <c r="BB155" s="136">
        <f t="shared" si="43"/>
        <v>2.1547548585479068E-2</v>
      </c>
      <c r="BC155" s="136" t="e">
        <f t="shared" si="44"/>
        <v>#N/A</v>
      </c>
      <c r="BD155" s="136">
        <f t="shared" si="49"/>
        <v>7.6811711172494457E-6</v>
      </c>
      <c r="BE155" s="136">
        <f t="shared" si="45"/>
        <v>-9.9231882888275048E-4</v>
      </c>
      <c r="BF155" s="136" t="e">
        <f t="shared" si="46"/>
        <v>#N/A</v>
      </c>
      <c r="BG155" s="136" t="e">
        <f t="shared" si="47"/>
        <v>#N/A</v>
      </c>
    </row>
    <row r="156" spans="2:59" ht="11.25" customHeight="1">
      <c r="B156" s="321"/>
      <c r="C156" s="321"/>
      <c r="D156" s="321"/>
      <c r="E156" s="321"/>
      <c r="F156" s="321"/>
      <c r="G156" s="321"/>
      <c r="H156" s="321"/>
      <c r="I156" s="321"/>
      <c r="J156" s="321"/>
      <c r="K156" s="321"/>
      <c r="L156" s="321"/>
      <c r="M156" s="321"/>
      <c r="N156" s="321"/>
      <c r="O156" s="321"/>
      <c r="P156" s="321"/>
      <c r="Q156" s="321"/>
      <c r="R156" s="321"/>
      <c r="S156" s="321"/>
      <c r="T156" s="321"/>
      <c r="U156" s="321"/>
      <c r="V156" s="321"/>
      <c r="W156" s="321"/>
      <c r="X156" s="321"/>
      <c r="Y156" s="321"/>
      <c r="Z156" s="321"/>
      <c r="AA156" s="321"/>
      <c r="AB156" s="321"/>
      <c r="AC156" s="321"/>
      <c r="AD156" s="321"/>
      <c r="AE156" s="321"/>
      <c r="AF156" s="321"/>
      <c r="AG156" s="321"/>
      <c r="AH156" s="321"/>
      <c r="AI156" s="321"/>
      <c r="AJ156" s="321"/>
      <c r="AK156" s="321"/>
      <c r="AL156" s="321"/>
      <c r="AM156" s="321"/>
      <c r="AN156" s="321"/>
      <c r="AO156" s="321"/>
      <c r="AP156" s="427"/>
      <c r="AQ156" s="321"/>
      <c r="AR156" s="321"/>
      <c r="AS156" s="321"/>
      <c r="AT156" s="321"/>
      <c r="AU156" s="136">
        <f t="shared" si="37"/>
        <v>1.6596751990505254E-6</v>
      </c>
      <c r="AV156" s="136">
        <f t="shared" si="48"/>
        <v>-4.6500000000000288</v>
      </c>
      <c r="AW156" s="136">
        <f t="shared" si="38"/>
        <v>8.0471824564912195E-6</v>
      </c>
      <c r="AX156" s="136" t="e">
        <f t="shared" si="39"/>
        <v>#N/A</v>
      </c>
      <c r="AY156" s="136">
        <f t="shared" si="40"/>
        <v>-4.6500100000000284</v>
      </c>
      <c r="AZ156" s="136">
        <f t="shared" si="41"/>
        <v>-4.6499900000000292</v>
      </c>
      <c r="BA156" s="136">
        <f t="shared" si="42"/>
        <v>2.1634216990772122E-2</v>
      </c>
      <c r="BB156" s="136">
        <f t="shared" si="43"/>
        <v>2.163439118798767E-2</v>
      </c>
      <c r="BC156" s="136" t="e">
        <f t="shared" si="44"/>
        <v>#N/A</v>
      </c>
      <c r="BD156" s="136">
        <f t="shared" si="49"/>
        <v>8.0471824564912195E-6</v>
      </c>
      <c r="BE156" s="136">
        <f t="shared" si="45"/>
        <v>-9.9195281754350874E-4</v>
      </c>
      <c r="BF156" s="136" t="e">
        <f t="shared" si="46"/>
        <v>#N/A</v>
      </c>
      <c r="BG156" s="136" t="e">
        <f t="shared" si="47"/>
        <v>#N/A</v>
      </c>
    </row>
    <row r="157" spans="2:59" ht="11.25" customHeight="1">
      <c r="B157" s="321"/>
      <c r="C157" s="321"/>
      <c r="D157" s="321"/>
      <c r="E157" s="321"/>
      <c r="F157" s="321"/>
      <c r="G157" s="321"/>
      <c r="H157" s="321"/>
      <c r="I157" s="321"/>
      <c r="J157" s="321"/>
      <c r="K157" s="321"/>
      <c r="L157" s="321"/>
      <c r="M157" s="321"/>
      <c r="N157" s="321"/>
      <c r="O157" s="321"/>
      <c r="P157" s="321"/>
      <c r="Q157" s="321"/>
      <c r="R157" s="321"/>
      <c r="S157" s="321"/>
      <c r="T157" s="321"/>
      <c r="U157" s="321"/>
      <c r="V157" s="321"/>
      <c r="W157" s="321"/>
      <c r="X157" s="321"/>
      <c r="Y157" s="321"/>
      <c r="Z157" s="321"/>
      <c r="AA157" s="321"/>
      <c r="AB157" s="321"/>
      <c r="AC157" s="321"/>
      <c r="AD157" s="321"/>
      <c r="AE157" s="321"/>
      <c r="AF157" s="321"/>
      <c r="AG157" s="321"/>
      <c r="AH157" s="321"/>
      <c r="AI157" s="321"/>
      <c r="AJ157" s="321"/>
      <c r="AK157" s="321"/>
      <c r="AL157" s="321"/>
      <c r="AM157" s="321"/>
      <c r="AN157" s="321"/>
      <c r="AO157" s="321"/>
      <c r="AP157" s="427"/>
      <c r="AQ157" s="321"/>
      <c r="AR157" s="321"/>
      <c r="AS157" s="321"/>
      <c r="AT157" s="321"/>
      <c r="AU157" s="136">
        <f t="shared" si="37"/>
        <v>1.7420459392791798E-6</v>
      </c>
      <c r="AV157" s="136">
        <f t="shared" si="48"/>
        <v>-4.640000000000029</v>
      </c>
      <c r="AW157" s="136">
        <f t="shared" si="38"/>
        <v>8.4297913832276333E-6</v>
      </c>
      <c r="AX157" s="136" t="e">
        <f t="shared" si="39"/>
        <v>#N/A</v>
      </c>
      <c r="AY157" s="136">
        <f t="shared" si="40"/>
        <v>-4.6400100000000286</v>
      </c>
      <c r="AZ157" s="136">
        <f t="shared" si="41"/>
        <v>-4.6399900000000294</v>
      </c>
      <c r="BA157" s="136">
        <f t="shared" si="42"/>
        <v>2.1721572918625712E-2</v>
      </c>
      <c r="BB157" s="136">
        <f t="shared" si="43"/>
        <v>2.1721748148511862E-2</v>
      </c>
      <c r="BC157" s="136" t="e">
        <f t="shared" si="44"/>
        <v>#N/A</v>
      </c>
      <c r="BD157" s="136">
        <f t="shared" si="49"/>
        <v>8.4297913832276333E-6</v>
      </c>
      <c r="BE157" s="136">
        <f t="shared" si="45"/>
        <v>-9.9157020861677229E-4</v>
      </c>
      <c r="BF157" s="136" t="e">
        <f t="shared" si="46"/>
        <v>#N/A</v>
      </c>
      <c r="BG157" s="136" t="e">
        <f t="shared" si="47"/>
        <v>#N/A</v>
      </c>
    </row>
    <row r="158" spans="2:59" ht="11.25" customHeight="1">
      <c r="B158" s="321"/>
      <c r="C158" s="321"/>
      <c r="D158" s="321"/>
      <c r="E158" s="321"/>
      <c r="F158" s="321"/>
      <c r="G158" s="321"/>
      <c r="H158" s="321"/>
      <c r="I158" s="321"/>
      <c r="J158" s="321"/>
      <c r="K158" s="321"/>
      <c r="L158" s="321"/>
      <c r="M158" s="321"/>
      <c r="N158" s="321"/>
      <c r="O158" s="321"/>
      <c r="P158" s="321"/>
      <c r="Q158" s="321"/>
      <c r="R158" s="321"/>
      <c r="S158" s="321"/>
      <c r="T158" s="321"/>
      <c r="U158" s="321"/>
      <c r="V158" s="321"/>
      <c r="W158" s="321"/>
      <c r="X158" s="321"/>
      <c r="Y158" s="321"/>
      <c r="Z158" s="321"/>
      <c r="AA158" s="321"/>
      <c r="AB158" s="321"/>
      <c r="AC158" s="321"/>
      <c r="AD158" s="321"/>
      <c r="AE158" s="321"/>
      <c r="AF158" s="321"/>
      <c r="AG158" s="321"/>
      <c r="AH158" s="321"/>
      <c r="AI158" s="321"/>
      <c r="AJ158" s="321"/>
      <c r="AK158" s="321"/>
      <c r="AL158" s="321"/>
      <c r="AM158" s="321"/>
      <c r="AN158" s="321"/>
      <c r="AO158" s="321"/>
      <c r="AP158" s="427"/>
      <c r="AQ158" s="321"/>
      <c r="AR158" s="321"/>
      <c r="AS158" s="321"/>
      <c r="AT158" s="321"/>
      <c r="AU158" s="136">
        <f t="shared" si="37"/>
        <v>1.8283286842279978E-6</v>
      </c>
      <c r="AV158" s="136">
        <f t="shared" si="48"/>
        <v>-4.6300000000000292</v>
      </c>
      <c r="AW158" s="136">
        <f t="shared" si="38"/>
        <v>8.8297087043728882E-6</v>
      </c>
      <c r="AX158" s="136" t="e">
        <f t="shared" si="39"/>
        <v>#N/A</v>
      </c>
      <c r="AY158" s="136">
        <f t="shared" si="40"/>
        <v>-4.6300100000000288</v>
      </c>
      <c r="AZ158" s="136">
        <f t="shared" si="41"/>
        <v>-4.6299900000000296</v>
      </c>
      <c r="BA158" s="136">
        <f t="shared" si="42"/>
        <v>2.1809447171465775E-2</v>
      </c>
      <c r="BB158" s="136">
        <f t="shared" si="43"/>
        <v>2.1809623442009752E-2</v>
      </c>
      <c r="BC158" s="136" t="e">
        <f t="shared" si="44"/>
        <v>#N/A</v>
      </c>
      <c r="BD158" s="136">
        <f t="shared" si="49"/>
        <v>8.8297087043728882E-6</v>
      </c>
      <c r="BE158" s="136">
        <f t="shared" si="45"/>
        <v>-9.9117029129562714E-4</v>
      </c>
      <c r="BF158" s="136" t="e">
        <f t="shared" si="46"/>
        <v>#N/A</v>
      </c>
      <c r="BG158" s="136" t="e">
        <f t="shared" si="47"/>
        <v>#N/A</v>
      </c>
    </row>
    <row r="159" spans="2:59" ht="11.25" customHeight="1">
      <c r="B159" s="321"/>
      <c r="C159" s="321"/>
      <c r="D159" s="321"/>
      <c r="E159" s="321"/>
      <c r="F159" s="321"/>
      <c r="G159" s="321"/>
      <c r="H159" s="321"/>
      <c r="I159" s="321"/>
      <c r="J159" s="321"/>
      <c r="K159" s="321"/>
      <c r="L159" s="321"/>
      <c r="M159" s="321"/>
      <c r="N159" s="321"/>
      <c r="O159" s="321"/>
      <c r="P159" s="321"/>
      <c r="Q159" s="321"/>
      <c r="R159" s="321"/>
      <c r="S159" s="321"/>
      <c r="T159" s="321"/>
      <c r="U159" s="321"/>
      <c r="V159" s="321"/>
      <c r="W159" s="321"/>
      <c r="X159" s="321"/>
      <c r="Y159" s="321"/>
      <c r="Z159" s="321"/>
      <c r="AA159" s="321"/>
      <c r="AB159" s="321"/>
      <c r="AC159" s="321"/>
      <c r="AD159" s="321"/>
      <c r="AE159" s="321"/>
      <c r="AF159" s="321"/>
      <c r="AG159" s="321"/>
      <c r="AH159" s="321"/>
      <c r="AI159" s="321"/>
      <c r="AJ159" s="321"/>
      <c r="AK159" s="321"/>
      <c r="AL159" s="321"/>
      <c r="AM159" s="321"/>
      <c r="AN159" s="321"/>
      <c r="AO159" s="321"/>
      <c r="AP159" s="427"/>
      <c r="AQ159" s="321"/>
      <c r="AR159" s="321"/>
      <c r="AS159" s="321"/>
      <c r="AT159" s="321"/>
      <c r="AU159" s="136">
        <f t="shared" si="37"/>
        <v>1.9187002309184464E-6</v>
      </c>
      <c r="AV159" s="136">
        <f t="shared" si="48"/>
        <v>-4.6200000000000294</v>
      </c>
      <c r="AW159" s="136">
        <f t="shared" si="38"/>
        <v>9.2476736700043681E-6</v>
      </c>
      <c r="AX159" s="136" t="e">
        <f t="shared" si="39"/>
        <v>#N/A</v>
      </c>
      <c r="AY159" s="136">
        <f t="shared" si="40"/>
        <v>-4.620010000000029</v>
      </c>
      <c r="AZ159" s="136">
        <f t="shared" si="41"/>
        <v>-4.6199900000000298</v>
      </c>
      <c r="BA159" s="136">
        <f t="shared" si="42"/>
        <v>2.1897843761680129E-2</v>
      </c>
      <c r="BB159" s="136">
        <f t="shared" si="43"/>
        <v>2.189802108094455E-2</v>
      </c>
      <c r="BC159" s="136" t="e">
        <f t="shared" si="44"/>
        <v>#N/A</v>
      </c>
      <c r="BD159" s="136">
        <f t="shared" si="49"/>
        <v>9.2476736700043681E-6</v>
      </c>
      <c r="BE159" s="136">
        <f t="shared" si="45"/>
        <v>-9.907523263299957E-4</v>
      </c>
      <c r="BF159" s="136" t="e">
        <f t="shared" si="46"/>
        <v>#N/A</v>
      </c>
      <c r="BG159" s="136" t="e">
        <f t="shared" si="47"/>
        <v>#N/A</v>
      </c>
    </row>
    <row r="160" spans="2:59" ht="11.25" customHeight="1">
      <c r="B160" s="321"/>
      <c r="C160" s="321"/>
      <c r="D160" s="321"/>
      <c r="E160" s="321"/>
      <c r="F160" s="321"/>
      <c r="G160" s="321"/>
      <c r="H160" s="321"/>
      <c r="I160" s="321"/>
      <c r="J160" s="321"/>
      <c r="K160" s="321"/>
      <c r="L160" s="321"/>
      <c r="M160" s="321"/>
      <c r="N160" s="321"/>
      <c r="O160" s="321"/>
      <c r="P160" s="321"/>
      <c r="Q160" s="321"/>
      <c r="R160" s="321"/>
      <c r="S160" s="321"/>
      <c r="T160" s="321"/>
      <c r="U160" s="321"/>
      <c r="V160" s="321"/>
      <c r="W160" s="321"/>
      <c r="X160" s="321"/>
      <c r="Y160" s="321"/>
      <c r="Z160" s="321"/>
      <c r="AA160" s="321"/>
      <c r="AB160" s="321"/>
      <c r="AC160" s="321"/>
      <c r="AD160" s="321"/>
      <c r="AE160" s="321"/>
      <c r="AF160" s="321"/>
      <c r="AG160" s="321"/>
      <c r="AH160" s="321"/>
      <c r="AI160" s="321"/>
      <c r="AJ160" s="321"/>
      <c r="AK160" s="321"/>
      <c r="AL160" s="321"/>
      <c r="AM160" s="321"/>
      <c r="AN160" s="321"/>
      <c r="AO160" s="321"/>
      <c r="AP160" s="427"/>
      <c r="AQ160" s="321"/>
      <c r="AR160" s="321"/>
      <c r="AS160" s="321"/>
      <c r="AT160" s="321"/>
      <c r="AU160" s="136">
        <f t="shared" si="37"/>
        <v>2.0133449112336166E-6</v>
      </c>
      <c r="AV160" s="136">
        <f t="shared" si="48"/>
        <v>-4.6100000000000296</v>
      </c>
      <c r="AW160" s="136">
        <f t="shared" si="38"/>
        <v>9.6844550200501275E-6</v>
      </c>
      <c r="AX160" s="136" t="e">
        <f t="shared" si="39"/>
        <v>#N/A</v>
      </c>
      <c r="AY160" s="136">
        <f t="shared" si="40"/>
        <v>-4.6100100000000293</v>
      </c>
      <c r="AZ160" s="136">
        <f t="shared" si="41"/>
        <v>-4.60999000000003</v>
      </c>
      <c r="BA160" s="136">
        <f t="shared" si="42"/>
        <v>2.1986766739574472E-2</v>
      </c>
      <c r="BB160" s="136">
        <f t="shared" si="43"/>
        <v>2.1986945115698198E-2</v>
      </c>
      <c r="BC160" s="136" t="e">
        <f t="shared" si="44"/>
        <v>#N/A</v>
      </c>
      <c r="BD160" s="136">
        <f t="shared" si="49"/>
        <v>9.6844550200501275E-6</v>
      </c>
      <c r="BE160" s="136">
        <f t="shared" si="45"/>
        <v>-9.9031554497994992E-4</v>
      </c>
      <c r="BF160" s="136" t="e">
        <f t="shared" si="46"/>
        <v>#N/A</v>
      </c>
      <c r="BG160" s="136" t="e">
        <f t="shared" si="47"/>
        <v>#N/A</v>
      </c>
    </row>
    <row r="161" spans="2:59" ht="11.25" customHeight="1">
      <c r="B161" s="321"/>
      <c r="C161" s="321"/>
      <c r="D161" s="321"/>
      <c r="E161" s="321"/>
      <c r="F161" s="321"/>
      <c r="G161" s="321"/>
      <c r="H161" s="321"/>
      <c r="I161" s="321"/>
      <c r="J161" s="321"/>
      <c r="K161" s="321"/>
      <c r="L161" s="321"/>
      <c r="M161" s="321"/>
      <c r="N161" s="321"/>
      <c r="O161" s="321"/>
      <c r="P161" s="321"/>
      <c r="Q161" s="321"/>
      <c r="R161" s="321"/>
      <c r="S161" s="321"/>
      <c r="T161" s="321"/>
      <c r="U161" s="321"/>
      <c r="V161" s="321"/>
      <c r="W161" s="321"/>
      <c r="X161" s="321"/>
      <c r="Y161" s="321"/>
      <c r="Z161" s="321"/>
      <c r="AA161" s="321"/>
      <c r="AB161" s="321"/>
      <c r="AC161" s="321"/>
      <c r="AD161" s="321"/>
      <c r="AE161" s="321"/>
      <c r="AF161" s="321"/>
      <c r="AG161" s="321"/>
      <c r="AH161" s="321"/>
      <c r="AI161" s="321"/>
      <c r="AJ161" s="321"/>
      <c r="AK161" s="321"/>
      <c r="AL161" s="321"/>
      <c r="AM161" s="321"/>
      <c r="AN161" s="321"/>
      <c r="AO161" s="321"/>
      <c r="AP161" s="427"/>
      <c r="AQ161" s="321"/>
      <c r="AR161" s="321"/>
      <c r="AS161" s="321"/>
      <c r="AT161" s="321"/>
      <c r="AU161" s="136">
        <f t="shared" si="37"/>
        <v>2.1124547477935351E-6</v>
      </c>
      <c r="AV161" s="136">
        <f t="shared" si="48"/>
        <v>-4.6000000000000298</v>
      </c>
      <c r="AW161" s="136">
        <f t="shared" si="38"/>
        <v>1.0140852065485354E-5</v>
      </c>
      <c r="AX161" s="136" t="e">
        <f t="shared" si="39"/>
        <v>#N/A</v>
      </c>
      <c r="AY161" s="136">
        <f t="shared" si="40"/>
        <v>-4.6000100000000295</v>
      </c>
      <c r="AZ161" s="136">
        <f t="shared" si="41"/>
        <v>-4.5999900000000302</v>
      </c>
      <c r="BA161" s="136">
        <f t="shared" si="42"/>
        <v>2.2076220193791105E-2</v>
      </c>
      <c r="BB161" s="136">
        <f t="shared" si="43"/>
        <v>2.2076399634990175E-2</v>
      </c>
      <c r="BC161" s="136" t="e">
        <f t="shared" si="44"/>
        <v>#N/A</v>
      </c>
      <c r="BD161" s="136">
        <f t="shared" si="49"/>
        <v>1.0140852065485354E-5</v>
      </c>
      <c r="BE161" s="136">
        <f t="shared" si="45"/>
        <v>-9.8985914793451473E-4</v>
      </c>
      <c r="BF161" s="136" t="e">
        <f t="shared" si="46"/>
        <v>#N/A</v>
      </c>
      <c r="BG161" s="136" t="e">
        <f t="shared" si="47"/>
        <v>#N/A</v>
      </c>
    </row>
    <row r="162" spans="2:59" ht="11.25" customHeight="1">
      <c r="B162" s="321"/>
      <c r="C162" s="321"/>
      <c r="D162" s="321"/>
      <c r="E162" s="321"/>
      <c r="F162" s="321"/>
      <c r="G162" s="321"/>
      <c r="H162" s="321"/>
      <c r="I162" s="321"/>
      <c r="J162" s="321"/>
      <c r="K162" s="321"/>
      <c r="L162" s="321"/>
      <c r="M162" s="321"/>
      <c r="N162" s="321"/>
      <c r="O162" s="321"/>
      <c r="P162" s="321"/>
      <c r="Q162" s="321"/>
      <c r="R162" s="321"/>
      <c r="S162" s="321"/>
      <c r="T162" s="321"/>
      <c r="U162" s="321"/>
      <c r="V162" s="321"/>
      <c r="W162" s="321"/>
      <c r="X162" s="321"/>
      <c r="Y162" s="321"/>
      <c r="Z162" s="321"/>
      <c r="AA162" s="321"/>
      <c r="AB162" s="321"/>
      <c r="AC162" s="321"/>
      <c r="AD162" s="321"/>
      <c r="AE162" s="321"/>
      <c r="AF162" s="321"/>
      <c r="AG162" s="321"/>
      <c r="AH162" s="321"/>
      <c r="AI162" s="321"/>
      <c r="AJ162" s="321"/>
      <c r="AK162" s="321"/>
      <c r="AL162" s="321"/>
      <c r="AM162" s="321"/>
      <c r="AN162" s="321"/>
      <c r="AO162" s="321"/>
      <c r="AP162" s="427"/>
      <c r="AQ162" s="321"/>
      <c r="AR162" s="321"/>
      <c r="AS162" s="321"/>
      <c r="AT162" s="321"/>
      <c r="AU162" s="136">
        <f t="shared" si="37"/>
        <v>2.2162300781225497E-6</v>
      </c>
      <c r="AV162" s="136">
        <f t="shared" si="48"/>
        <v>-4.5900000000000301</v>
      </c>
      <c r="AW162" s="136">
        <f t="shared" si="38"/>
        <v>1.0617695805006919E-5</v>
      </c>
      <c r="AX162" s="136" t="e">
        <f t="shared" si="39"/>
        <v>#N/A</v>
      </c>
      <c r="AY162" s="136">
        <f t="shared" si="40"/>
        <v>-4.5900100000000297</v>
      </c>
      <c r="AZ162" s="136">
        <f t="shared" si="41"/>
        <v>-4.5899900000000304</v>
      </c>
      <c r="BA162" s="136">
        <f t="shared" si="42"/>
        <v>2.2166208251733023E-2</v>
      </c>
      <c r="BB162" s="136">
        <f t="shared" si="43"/>
        <v>2.216638876630132E-2</v>
      </c>
      <c r="BC162" s="136" t="e">
        <f t="shared" si="44"/>
        <v>#N/A</v>
      </c>
      <c r="BD162" s="136">
        <f t="shared" si="49"/>
        <v>1.0617695805006919E-5</v>
      </c>
      <c r="BE162" s="136">
        <f t="shared" si="45"/>
        <v>-9.89382304194993E-4</v>
      </c>
      <c r="BF162" s="136" t="e">
        <f t="shared" si="46"/>
        <v>#N/A</v>
      </c>
      <c r="BG162" s="136" t="e">
        <f t="shared" si="47"/>
        <v>#N/A</v>
      </c>
    </row>
    <row r="163" spans="2:59" ht="11.25" customHeight="1">
      <c r="B163" s="321"/>
      <c r="C163" s="321"/>
      <c r="D163" s="321"/>
      <c r="E163" s="321"/>
      <c r="F163" s="321"/>
      <c r="G163" s="321"/>
      <c r="H163" s="321"/>
      <c r="I163" s="321"/>
      <c r="J163" s="321"/>
      <c r="K163" s="321"/>
      <c r="L163" s="321"/>
      <c r="M163" s="321"/>
      <c r="N163" s="321"/>
      <c r="O163" s="321"/>
      <c r="P163" s="321"/>
      <c r="Q163" s="321"/>
      <c r="R163" s="321"/>
      <c r="S163" s="321"/>
      <c r="T163" s="321"/>
      <c r="U163" s="321"/>
      <c r="V163" s="321"/>
      <c r="W163" s="321"/>
      <c r="X163" s="321"/>
      <c r="Y163" s="321"/>
      <c r="Z163" s="321"/>
      <c r="AA163" s="321"/>
      <c r="AB163" s="321"/>
      <c r="AC163" s="321"/>
      <c r="AD163" s="321"/>
      <c r="AE163" s="321"/>
      <c r="AF163" s="321"/>
      <c r="AG163" s="321"/>
      <c r="AH163" s="321"/>
      <c r="AI163" s="321"/>
      <c r="AJ163" s="321"/>
      <c r="AK163" s="321"/>
      <c r="AL163" s="321"/>
      <c r="AM163" s="321"/>
      <c r="AN163" s="321"/>
      <c r="AO163" s="321"/>
      <c r="AP163" s="427"/>
      <c r="AQ163" s="321"/>
      <c r="AR163" s="321"/>
      <c r="AS163" s="321"/>
      <c r="AT163" s="321"/>
      <c r="AU163" s="136">
        <f t="shared" si="37"/>
        <v>2.3248796439112596E-6</v>
      </c>
      <c r="AV163" s="136">
        <f t="shared" si="48"/>
        <v>-4.5800000000000303</v>
      </c>
      <c r="AW163" s="136">
        <f t="shared" si="38"/>
        <v>1.1115850078176247E-5</v>
      </c>
      <c r="AX163" s="136" t="e">
        <f t="shared" si="39"/>
        <v>#N/A</v>
      </c>
      <c r="AY163" s="136">
        <f t="shared" si="40"/>
        <v>-4.5800100000000299</v>
      </c>
      <c r="AZ163" s="136">
        <f t="shared" si="41"/>
        <v>-4.5799900000000306</v>
      </c>
      <c r="BA163" s="136">
        <f t="shared" si="42"/>
        <v>2.2256735079993081E-2</v>
      </c>
      <c r="BB163" s="136">
        <f t="shared" si="43"/>
        <v>2.2256916676303369E-2</v>
      </c>
      <c r="BC163" s="136" t="e">
        <f t="shared" si="44"/>
        <v>#N/A</v>
      </c>
      <c r="BD163" s="136">
        <f t="shared" si="49"/>
        <v>1.1115850078176247E-5</v>
      </c>
      <c r="BE163" s="136">
        <f t="shared" si="45"/>
        <v>-9.8888414992182386E-4</v>
      </c>
      <c r="BF163" s="136" t="e">
        <f t="shared" si="46"/>
        <v>#N/A</v>
      </c>
      <c r="BG163" s="136" t="e">
        <f t="shared" si="47"/>
        <v>#N/A</v>
      </c>
    </row>
    <row r="164" spans="2:59" ht="11.25" customHeight="1">
      <c r="B164" s="321"/>
      <c r="C164" s="321"/>
      <c r="D164" s="321"/>
      <c r="E164" s="321"/>
      <c r="F164" s="321"/>
      <c r="G164" s="321"/>
      <c r="H164" s="321"/>
      <c r="I164" s="321"/>
      <c r="J164" s="321"/>
      <c r="K164" s="321"/>
      <c r="L164" s="321"/>
      <c r="M164" s="321"/>
      <c r="N164" s="321"/>
      <c r="O164" s="321"/>
      <c r="P164" s="321"/>
      <c r="Q164" s="321"/>
      <c r="R164" s="321"/>
      <c r="S164" s="321"/>
      <c r="T164" s="321"/>
      <c r="U164" s="321"/>
      <c r="V164" s="321"/>
      <c r="W164" s="321"/>
      <c r="X164" s="321"/>
      <c r="Y164" s="321"/>
      <c r="Z164" s="321"/>
      <c r="AA164" s="321"/>
      <c r="AB164" s="321"/>
      <c r="AC164" s="321"/>
      <c r="AD164" s="321"/>
      <c r="AE164" s="321"/>
      <c r="AF164" s="321"/>
      <c r="AG164" s="321"/>
      <c r="AH164" s="321"/>
      <c r="AI164" s="321"/>
      <c r="AJ164" s="321"/>
      <c r="AK164" s="321"/>
      <c r="AL164" s="321"/>
      <c r="AM164" s="321"/>
      <c r="AN164" s="321"/>
      <c r="AO164" s="321"/>
      <c r="AP164" s="427"/>
      <c r="AQ164" s="321"/>
      <c r="AR164" s="321"/>
      <c r="AS164" s="321"/>
      <c r="AT164" s="321"/>
      <c r="AU164" s="136">
        <f t="shared" si="37"/>
        <v>2.4386210435434208E-6</v>
      </c>
      <c r="AV164" s="136">
        <f t="shared" si="48"/>
        <v>-4.5700000000000305</v>
      </c>
      <c r="AW164" s="136">
        <f t="shared" si="38"/>
        <v>1.1636212756041055E-5</v>
      </c>
      <c r="AX164" s="136" t="e">
        <f t="shared" si="39"/>
        <v>#N/A</v>
      </c>
      <c r="AY164" s="136">
        <f t="shared" si="40"/>
        <v>-4.5700100000000301</v>
      </c>
      <c r="AZ164" s="136">
        <f t="shared" si="41"/>
        <v>-4.5699900000000309</v>
      </c>
      <c r="BA164" s="136">
        <f t="shared" si="42"/>
        <v>2.2347804884788686E-2</v>
      </c>
      <c r="BB164" s="136">
        <f t="shared" si="43"/>
        <v>2.234798757129338E-2</v>
      </c>
      <c r="BC164" s="136" t="e">
        <f t="shared" si="44"/>
        <v>#N/A</v>
      </c>
      <c r="BD164" s="136">
        <f t="shared" si="49"/>
        <v>1.1636212756041055E-5</v>
      </c>
      <c r="BE164" s="136">
        <f t="shared" si="45"/>
        <v>-9.8836378724395896E-4</v>
      </c>
      <c r="BF164" s="136" t="e">
        <f t="shared" si="46"/>
        <v>#N/A</v>
      </c>
      <c r="BG164" s="136" t="e">
        <f t="shared" si="47"/>
        <v>#N/A</v>
      </c>
    </row>
    <row r="165" spans="2:59" ht="11.25" customHeight="1">
      <c r="B165" s="321"/>
      <c r="C165" s="321"/>
      <c r="D165" s="321"/>
      <c r="E165" s="321"/>
      <c r="F165" s="321"/>
      <c r="G165" s="321"/>
      <c r="H165" s="321"/>
      <c r="I165" s="321"/>
      <c r="J165" s="321"/>
      <c r="K165" s="321"/>
      <c r="L165" s="321"/>
      <c r="M165" s="321"/>
      <c r="N165" s="321"/>
      <c r="O165" s="321"/>
      <c r="P165" s="321"/>
      <c r="Q165" s="321"/>
      <c r="R165" s="321"/>
      <c r="S165" s="321"/>
      <c r="T165" s="321"/>
      <c r="U165" s="321"/>
      <c r="V165" s="321"/>
      <c r="W165" s="321"/>
      <c r="X165" s="321"/>
      <c r="Y165" s="321"/>
      <c r="Z165" s="321"/>
      <c r="AA165" s="321"/>
      <c r="AB165" s="321"/>
      <c r="AC165" s="321"/>
      <c r="AD165" s="321"/>
      <c r="AE165" s="321"/>
      <c r="AF165" s="321"/>
      <c r="AG165" s="321"/>
      <c r="AH165" s="321"/>
      <c r="AI165" s="321"/>
      <c r="AJ165" s="321"/>
      <c r="AK165" s="321"/>
      <c r="AL165" s="321"/>
      <c r="AM165" s="321"/>
      <c r="AN165" s="321"/>
      <c r="AO165" s="321"/>
      <c r="AP165" s="427"/>
      <c r="AQ165" s="321"/>
      <c r="AR165" s="321"/>
      <c r="AS165" s="321"/>
      <c r="AT165" s="321"/>
      <c r="AU165" s="136">
        <f t="shared" si="37"/>
        <v>2.5576810460670174E-6</v>
      </c>
      <c r="AV165" s="136">
        <f t="shared" si="48"/>
        <v>-4.5600000000000307</v>
      </c>
      <c r="AW165" s="136">
        <f t="shared" si="38"/>
        <v>1.2179716970266988E-5</v>
      </c>
      <c r="AX165" s="136" t="e">
        <f t="shared" si="39"/>
        <v>#N/A</v>
      </c>
      <c r="AY165" s="136">
        <f t="shared" si="40"/>
        <v>-4.5600100000000303</v>
      </c>
      <c r="AZ165" s="136">
        <f t="shared" si="41"/>
        <v>-4.5599900000000311</v>
      </c>
      <c r="BA165" s="136">
        <f t="shared" si="42"/>
        <v>2.2439421912401943E-2</v>
      </c>
      <c r="BB165" s="136">
        <f t="shared" si="43"/>
        <v>2.2439605697634066E-2</v>
      </c>
      <c r="BC165" s="136" t="e">
        <f t="shared" si="44"/>
        <v>#N/A</v>
      </c>
      <c r="BD165" s="136">
        <f t="shared" si="49"/>
        <v>1.2179716970266988E-5</v>
      </c>
      <c r="BE165" s="136">
        <f t="shared" si="45"/>
        <v>-9.8782028302973304E-4</v>
      </c>
      <c r="BF165" s="136" t="e">
        <f t="shared" si="46"/>
        <v>#N/A</v>
      </c>
      <c r="BG165" s="136" t="e">
        <f t="shared" si="47"/>
        <v>#N/A</v>
      </c>
    </row>
    <row r="166" spans="2:59" ht="11.25" customHeight="1">
      <c r="B166" s="321"/>
      <c r="C166" s="321"/>
      <c r="D166" s="321"/>
      <c r="E166" s="321"/>
      <c r="F166" s="321"/>
      <c r="G166" s="321"/>
      <c r="H166" s="321"/>
      <c r="I166" s="321"/>
      <c r="J166" s="321"/>
      <c r="K166" s="321"/>
      <c r="L166" s="321"/>
      <c r="M166" s="321"/>
      <c r="N166" s="321"/>
      <c r="O166" s="321"/>
      <c r="P166" s="321"/>
      <c r="Q166" s="321"/>
      <c r="R166" s="321"/>
      <c r="S166" s="321"/>
      <c r="T166" s="321"/>
      <c r="U166" s="321"/>
      <c r="V166" s="321"/>
      <c r="W166" s="321"/>
      <c r="X166" s="321"/>
      <c r="Y166" s="321"/>
      <c r="Z166" s="321"/>
      <c r="AA166" s="321"/>
      <c r="AB166" s="321"/>
      <c r="AC166" s="321"/>
      <c r="AD166" s="321"/>
      <c r="AE166" s="321"/>
      <c r="AF166" s="321"/>
      <c r="AG166" s="321"/>
      <c r="AH166" s="321"/>
      <c r="AI166" s="321"/>
      <c r="AJ166" s="321"/>
      <c r="AK166" s="321"/>
      <c r="AL166" s="321"/>
      <c r="AM166" s="321"/>
      <c r="AN166" s="321"/>
      <c r="AO166" s="321"/>
      <c r="AP166" s="427"/>
      <c r="AQ166" s="321"/>
      <c r="AR166" s="321"/>
      <c r="AS166" s="321"/>
      <c r="AT166" s="321"/>
      <c r="AU166" s="136">
        <f t="shared" si="37"/>
        <v>2.6822957674976777E-6</v>
      </c>
      <c r="AV166" s="136">
        <f t="shared" si="48"/>
        <v>-4.5500000000000309</v>
      </c>
      <c r="AW166" s="136">
        <f t="shared" si="38"/>
        <v>1.274733238183165E-5</v>
      </c>
      <c r="AX166" s="136" t="e">
        <f t="shared" si="39"/>
        <v>#N/A</v>
      </c>
      <c r="AY166" s="136">
        <f t="shared" si="40"/>
        <v>-4.5500100000000305</v>
      </c>
      <c r="AZ166" s="136">
        <f t="shared" si="41"/>
        <v>-4.5499900000000313</v>
      </c>
      <c r="BA166" s="136">
        <f t="shared" si="42"/>
        <v>2.2531590449625272E-2</v>
      </c>
      <c r="BB166" s="136">
        <f t="shared" si="43"/>
        <v>2.2531775342199287E-2</v>
      </c>
      <c r="BC166" s="136" t="e">
        <f t="shared" si="44"/>
        <v>#N/A</v>
      </c>
      <c r="BD166" s="136">
        <f t="shared" si="49"/>
        <v>1.274733238183165E-5</v>
      </c>
      <c r="BE166" s="136">
        <f t="shared" si="45"/>
        <v>-9.8725266761816831E-4</v>
      </c>
      <c r="BF166" s="136" t="e">
        <f t="shared" si="46"/>
        <v>#N/A</v>
      </c>
      <c r="BG166" s="136" t="e">
        <f t="shared" si="47"/>
        <v>#N/A</v>
      </c>
    </row>
    <row r="167" spans="2:59" ht="11.25" customHeight="1">
      <c r="B167" s="321"/>
      <c r="C167" s="321"/>
      <c r="D167" s="321"/>
      <c r="E167" s="321"/>
      <c r="F167" s="321"/>
      <c r="G167" s="321"/>
      <c r="H167" s="321"/>
      <c r="I167" s="321"/>
      <c r="J167" s="321"/>
      <c r="K167" s="321"/>
      <c r="L167" s="321"/>
      <c r="M167" s="321"/>
      <c r="N167" s="321"/>
      <c r="O167" s="321"/>
      <c r="P167" s="321"/>
      <c r="Q167" s="321"/>
      <c r="R167" s="321"/>
      <c r="S167" s="321"/>
      <c r="T167" s="321"/>
      <c r="U167" s="321"/>
      <c r="V167" s="321"/>
      <c r="W167" s="321"/>
      <c r="X167" s="321"/>
      <c r="Y167" s="321"/>
      <c r="Z167" s="321"/>
      <c r="AA167" s="321"/>
      <c r="AB167" s="321"/>
      <c r="AC167" s="321"/>
      <c r="AD167" s="321"/>
      <c r="AE167" s="321"/>
      <c r="AF167" s="321"/>
      <c r="AG167" s="321"/>
      <c r="AH167" s="321"/>
      <c r="AI167" s="321"/>
      <c r="AJ167" s="321"/>
      <c r="AK167" s="321"/>
      <c r="AL167" s="321"/>
      <c r="AM167" s="321"/>
      <c r="AN167" s="321"/>
      <c r="AO167" s="321"/>
      <c r="AP167" s="427"/>
      <c r="AQ167" s="321"/>
      <c r="AR167" s="321"/>
      <c r="AS167" s="321"/>
      <c r="AT167" s="321"/>
      <c r="AU167" s="136">
        <f t="shared" si="37"/>
        <v>2.8127114002352016E-6</v>
      </c>
      <c r="AV167" s="136">
        <f t="shared" si="48"/>
        <v>-4.5400000000000311</v>
      </c>
      <c r="AW167" s="136">
        <f t="shared" si="38"/>
        <v>1.3340066490353941E-5</v>
      </c>
      <c r="AX167" s="136" t="e">
        <f t="shared" si="39"/>
        <v>#N/A</v>
      </c>
      <c r="AY167" s="136">
        <f t="shared" si="40"/>
        <v>-4.5400100000000307</v>
      </c>
      <c r="AZ167" s="136">
        <f t="shared" si="41"/>
        <v>-4.5399900000000315</v>
      </c>
      <c r="BA167" s="136">
        <f t="shared" si="42"/>
        <v>2.2624314824212639E-2</v>
      </c>
      <c r="BB167" s="136">
        <f t="shared" si="43"/>
        <v>2.2624500832825419E-2</v>
      </c>
      <c r="BC167" s="136" t="e">
        <f t="shared" si="44"/>
        <v>#N/A</v>
      </c>
      <c r="BD167" s="136">
        <f t="shared" si="49"/>
        <v>1.3340066490353941E-5</v>
      </c>
      <c r="BE167" s="136">
        <f t="shared" si="45"/>
        <v>-9.8665993350964608E-4</v>
      </c>
      <c r="BF167" s="136" t="e">
        <f t="shared" si="46"/>
        <v>#N/A</v>
      </c>
      <c r="BG167" s="136" t="e">
        <f t="shared" si="47"/>
        <v>#N/A</v>
      </c>
    </row>
    <row r="168" spans="2:59" ht="11.25" customHeight="1">
      <c r="B168" s="321"/>
      <c r="C168" s="321"/>
      <c r="D168" s="321"/>
      <c r="E168" s="321"/>
      <c r="F168" s="321"/>
      <c r="G168" s="321"/>
      <c r="H168" s="321"/>
      <c r="I168" s="321"/>
      <c r="J168" s="321"/>
      <c r="K168" s="321"/>
      <c r="L168" s="321"/>
      <c r="M168" s="321"/>
      <c r="N168" s="321"/>
      <c r="O168" s="321"/>
      <c r="P168" s="321"/>
      <c r="Q168" s="321"/>
      <c r="R168" s="321"/>
      <c r="S168" s="321"/>
      <c r="T168" s="321"/>
      <c r="U168" s="321"/>
      <c r="V168" s="321"/>
      <c r="W168" s="321"/>
      <c r="X168" s="321"/>
      <c r="Y168" s="321"/>
      <c r="Z168" s="321"/>
      <c r="AA168" s="321"/>
      <c r="AB168" s="321"/>
      <c r="AC168" s="321"/>
      <c r="AD168" s="321"/>
      <c r="AE168" s="321"/>
      <c r="AF168" s="321"/>
      <c r="AG168" s="321"/>
      <c r="AH168" s="321"/>
      <c r="AI168" s="321"/>
      <c r="AJ168" s="321"/>
      <c r="AK168" s="321"/>
      <c r="AL168" s="321"/>
      <c r="AM168" s="321"/>
      <c r="AN168" s="321"/>
      <c r="AO168" s="321"/>
      <c r="AP168" s="427"/>
      <c r="AQ168" s="321"/>
      <c r="AR168" s="321"/>
      <c r="AS168" s="321"/>
      <c r="AT168" s="321"/>
      <c r="AU168" s="136">
        <f t="shared" si="37"/>
        <v>2.9491843537288176E-6</v>
      </c>
      <c r="AV168" s="136">
        <f t="shared" si="48"/>
        <v>-4.5300000000000313</v>
      </c>
      <c r="AW168" s="136">
        <f t="shared" si="38"/>
        <v>1.3958965985152786E-5</v>
      </c>
      <c r="AX168" s="136" t="e">
        <f t="shared" si="39"/>
        <v>#N/A</v>
      </c>
      <c r="AY168" s="136">
        <f t="shared" si="40"/>
        <v>-4.530010000000031</v>
      </c>
      <c r="AZ168" s="136">
        <f t="shared" si="41"/>
        <v>-4.5299900000000317</v>
      </c>
      <c r="BA168" s="136">
        <f t="shared" si="42"/>
        <v>2.2717599405336485E-2</v>
      </c>
      <c r="BB168" s="136">
        <f t="shared" si="43"/>
        <v>2.2717786538768169E-2</v>
      </c>
      <c r="BC168" s="136" t="e">
        <f t="shared" si="44"/>
        <v>#N/A</v>
      </c>
      <c r="BD168" s="136">
        <f t="shared" si="49"/>
        <v>1.3958965985152786E-5</v>
      </c>
      <c r="BE168" s="136">
        <f t="shared" si="45"/>
        <v>-9.8604103401484715E-4</v>
      </c>
      <c r="BF168" s="136" t="e">
        <f t="shared" si="46"/>
        <v>#N/A</v>
      </c>
      <c r="BG168" s="136" t="e">
        <f t="shared" si="47"/>
        <v>#N/A</v>
      </c>
    </row>
    <row r="169" spans="2:59" ht="11.25" customHeight="1">
      <c r="B169" s="321"/>
      <c r="C169" s="321"/>
      <c r="D169" s="321"/>
      <c r="E169" s="321"/>
      <c r="F169" s="321"/>
      <c r="G169" s="321"/>
      <c r="H169" s="321"/>
      <c r="I169" s="321"/>
      <c r="J169" s="321"/>
      <c r="K169" s="321"/>
      <c r="L169" s="321"/>
      <c r="M169" s="321"/>
      <c r="N169" s="321"/>
      <c r="O169" s="321"/>
      <c r="P169" s="321"/>
      <c r="Q169" s="321"/>
      <c r="R169" s="321"/>
      <c r="S169" s="321"/>
      <c r="T169" s="321"/>
      <c r="U169" s="321"/>
      <c r="V169" s="321"/>
      <c r="W169" s="321"/>
      <c r="X169" s="321"/>
      <c r="Y169" s="321"/>
      <c r="Z169" s="321"/>
      <c r="AA169" s="321"/>
      <c r="AB169" s="321"/>
      <c r="AC169" s="321"/>
      <c r="AD169" s="321"/>
      <c r="AE169" s="321"/>
      <c r="AF169" s="321"/>
      <c r="AG169" s="321"/>
      <c r="AH169" s="321"/>
      <c r="AI169" s="321"/>
      <c r="AJ169" s="321"/>
      <c r="AK169" s="321"/>
      <c r="AL169" s="321"/>
      <c r="AM169" s="321"/>
      <c r="AN169" s="321"/>
      <c r="AO169" s="321"/>
      <c r="AP169" s="427"/>
      <c r="AQ169" s="321"/>
      <c r="AR169" s="321"/>
      <c r="AS169" s="321"/>
      <c r="AT169" s="321"/>
      <c r="AU169" s="136">
        <f t="shared" si="37"/>
        <v>3.0919815484642399E-6</v>
      </c>
      <c r="AV169" s="136">
        <f t="shared" si="48"/>
        <v>-4.5200000000000315</v>
      </c>
      <c r="AW169" s="136">
        <f t="shared" si="38"/>
        <v>1.4605118139150813E-5</v>
      </c>
      <c r="AX169" s="136" t="e">
        <f t="shared" si="39"/>
        <v>#N/A</v>
      </c>
      <c r="AY169" s="136">
        <f t="shared" si="40"/>
        <v>-4.5200100000000312</v>
      </c>
      <c r="AZ169" s="136">
        <f t="shared" si="41"/>
        <v>-4.5199900000000319</v>
      </c>
      <c r="BA169" s="136">
        <f t="shared" si="42"/>
        <v>2.2811448607825954E-2</v>
      </c>
      <c r="BB169" s="136">
        <f t="shared" si="43"/>
        <v>2.2811636874941154E-2</v>
      </c>
      <c r="BC169" s="136" t="e">
        <f t="shared" si="44"/>
        <v>#N/A</v>
      </c>
      <c r="BD169" s="136">
        <f t="shared" si="49"/>
        <v>1.4605118139150813E-5</v>
      </c>
      <c r="BE169" s="136">
        <f t="shared" si="45"/>
        <v>-9.8539488186084922E-4</v>
      </c>
      <c r="BF169" s="136" t="e">
        <f t="shared" si="46"/>
        <v>#N/A</v>
      </c>
      <c r="BG169" s="136" t="e">
        <f t="shared" si="47"/>
        <v>#N/A</v>
      </c>
    </row>
    <row r="170" spans="2:59" ht="11.25" customHeight="1">
      <c r="B170" s="321"/>
      <c r="C170" s="321"/>
      <c r="D170" s="321"/>
      <c r="E170" s="321"/>
      <c r="F170" s="321"/>
      <c r="G170" s="321"/>
      <c r="H170" s="321"/>
      <c r="I170" s="321"/>
      <c r="J170" s="321"/>
      <c r="K170" s="321"/>
      <c r="L170" s="321"/>
      <c r="M170" s="321"/>
      <c r="N170" s="321"/>
      <c r="O170" s="321"/>
      <c r="P170" s="321"/>
      <c r="Q170" s="321"/>
      <c r="R170" s="321"/>
      <c r="S170" s="321"/>
      <c r="T170" s="321"/>
      <c r="U170" s="321"/>
      <c r="V170" s="321"/>
      <c r="W170" s="321"/>
      <c r="X170" s="321"/>
      <c r="Y170" s="321"/>
      <c r="Z170" s="321"/>
      <c r="AA170" s="321"/>
      <c r="AB170" s="321"/>
      <c r="AC170" s="321"/>
      <c r="AD170" s="321"/>
      <c r="AE170" s="321"/>
      <c r="AF170" s="321"/>
      <c r="AG170" s="321"/>
      <c r="AH170" s="321"/>
      <c r="AI170" s="321"/>
      <c r="AJ170" s="321"/>
      <c r="AK170" s="321"/>
      <c r="AL170" s="321"/>
      <c r="AM170" s="321"/>
      <c r="AN170" s="321"/>
      <c r="AO170" s="321"/>
      <c r="AP170" s="427"/>
      <c r="AQ170" s="321"/>
      <c r="AR170" s="321"/>
      <c r="AS170" s="321"/>
      <c r="AT170" s="321"/>
      <c r="AU170" s="136">
        <f t="shared" si="37"/>
        <v>3.2413813275677938E-6</v>
      </c>
      <c r="AV170" s="136">
        <f t="shared" si="48"/>
        <v>-4.5100000000000318</v>
      </c>
      <c r="AW170" s="136">
        <f t="shared" si="38"/>
        <v>1.5279652246759421E-5</v>
      </c>
      <c r="AX170" s="136" t="e">
        <f t="shared" si="39"/>
        <v>#N/A</v>
      </c>
      <c r="AY170" s="136">
        <f t="shared" si="40"/>
        <v>-4.5100100000000314</v>
      </c>
      <c r="AZ170" s="136">
        <f t="shared" si="41"/>
        <v>-4.5099900000000321</v>
      </c>
      <c r="BA170" s="136">
        <f t="shared" si="42"/>
        <v>2.2905866877646484E-2</v>
      </c>
      <c r="BB170" s="136">
        <f t="shared" si="43"/>
        <v>2.2906056287394554E-2</v>
      </c>
      <c r="BC170" s="136" t="e">
        <f t="shared" si="44"/>
        <v>#N/A</v>
      </c>
      <c r="BD170" s="136">
        <f t="shared" si="49"/>
        <v>1.5279652246759421E-5</v>
      </c>
      <c r="BE170" s="136">
        <f t="shared" si="45"/>
        <v>-9.8472034775324061E-4</v>
      </c>
      <c r="BF170" s="136" t="e">
        <f t="shared" si="46"/>
        <v>#N/A</v>
      </c>
      <c r="BG170" s="136" t="e">
        <f t="shared" si="47"/>
        <v>#N/A</v>
      </c>
    </row>
    <row r="171" spans="2:59" ht="11.25" customHeight="1">
      <c r="B171" s="321"/>
      <c r="C171" s="321"/>
      <c r="D171" s="321"/>
      <c r="E171" s="321"/>
      <c r="F171" s="321"/>
      <c r="G171" s="321"/>
      <c r="H171" s="321"/>
      <c r="I171" s="321"/>
      <c r="J171" s="321"/>
      <c r="K171" s="321"/>
      <c r="L171" s="321"/>
      <c r="M171" s="321"/>
      <c r="N171" s="321"/>
      <c r="O171" s="321"/>
      <c r="P171" s="321"/>
      <c r="Q171" s="321"/>
      <c r="R171" s="321"/>
      <c r="S171" s="321"/>
      <c r="T171" s="321"/>
      <c r="U171" s="321"/>
      <c r="V171" s="321"/>
      <c r="W171" s="321"/>
      <c r="X171" s="321"/>
      <c r="Y171" s="321"/>
      <c r="Z171" s="321"/>
      <c r="AA171" s="321"/>
      <c r="AB171" s="321"/>
      <c r="AC171" s="321"/>
      <c r="AD171" s="321"/>
      <c r="AE171" s="321"/>
      <c r="AF171" s="321"/>
      <c r="AG171" s="321"/>
      <c r="AH171" s="321"/>
      <c r="AI171" s="321"/>
      <c r="AJ171" s="321"/>
      <c r="AK171" s="321"/>
      <c r="AL171" s="321"/>
      <c r="AM171" s="321"/>
      <c r="AN171" s="321"/>
      <c r="AO171" s="321"/>
      <c r="AP171" s="427"/>
      <c r="AQ171" s="321"/>
      <c r="AR171" s="321"/>
      <c r="AS171" s="321"/>
      <c r="AT171" s="321"/>
      <c r="AU171" s="136">
        <f t="shared" si="37"/>
        <v>3.3976731589335785E-6</v>
      </c>
      <c r="AV171" s="136">
        <f t="shared" si="48"/>
        <v>-4.500000000000032</v>
      </c>
      <c r="AW171" s="136">
        <f t="shared" si="38"/>
        <v>1.5983741106903174E-5</v>
      </c>
      <c r="AX171" s="136" t="e">
        <f t="shared" si="39"/>
        <v>#N/A</v>
      </c>
      <c r="AY171" s="136">
        <f t="shared" si="40"/>
        <v>-4.5000100000000316</v>
      </c>
      <c r="AZ171" s="136">
        <f t="shared" si="41"/>
        <v>-4.4999900000000324</v>
      </c>
      <c r="BA171" s="136">
        <f t="shared" si="42"/>
        <v>2.3000858714691288E-2</v>
      </c>
      <c r="BB171" s="136">
        <f t="shared" si="43"/>
        <v>2.3001049276107889E-2</v>
      </c>
      <c r="BC171" s="136" t="e">
        <f t="shared" si="44"/>
        <v>#N/A</v>
      </c>
      <c r="BD171" s="136">
        <f t="shared" si="49"/>
        <v>1.5983741106903174E-5</v>
      </c>
      <c r="BE171" s="136">
        <f t="shared" si="45"/>
        <v>-9.8401625889309695E-4</v>
      </c>
      <c r="BF171" s="136" t="e">
        <f t="shared" si="46"/>
        <v>#N/A</v>
      </c>
      <c r="BG171" s="136" t="e">
        <f t="shared" si="47"/>
        <v>#N/A</v>
      </c>
    </row>
    <row r="172" spans="2:59" ht="11.25" customHeight="1">
      <c r="B172" s="321"/>
      <c r="C172" s="321"/>
      <c r="D172" s="321"/>
      <c r="E172" s="321"/>
      <c r="F172" s="321"/>
      <c r="G172" s="321"/>
      <c r="H172" s="321"/>
      <c r="I172" s="321"/>
      <c r="J172" s="321"/>
      <c r="K172" s="321"/>
      <c r="L172" s="321"/>
      <c r="M172" s="321"/>
      <c r="N172" s="321"/>
      <c r="O172" s="321"/>
      <c r="P172" s="321"/>
      <c r="Q172" s="321"/>
      <c r="R172" s="321"/>
      <c r="S172" s="321"/>
      <c r="T172" s="321"/>
      <c r="U172" s="321"/>
      <c r="V172" s="321"/>
      <c r="W172" s="321"/>
      <c r="X172" s="321"/>
      <c r="Y172" s="321"/>
      <c r="Z172" s="321"/>
      <c r="AA172" s="321"/>
      <c r="AB172" s="321"/>
      <c r="AC172" s="321"/>
      <c r="AD172" s="321"/>
      <c r="AE172" s="321"/>
      <c r="AF172" s="321"/>
      <c r="AG172" s="321"/>
      <c r="AH172" s="321"/>
      <c r="AI172" s="321"/>
      <c r="AJ172" s="321"/>
      <c r="AK172" s="321"/>
      <c r="AL172" s="321"/>
      <c r="AM172" s="321"/>
      <c r="AN172" s="321"/>
      <c r="AO172" s="321"/>
      <c r="AP172" s="427"/>
      <c r="AQ172" s="321"/>
      <c r="AR172" s="321"/>
      <c r="AS172" s="321"/>
      <c r="AT172" s="321"/>
      <c r="AU172" s="136">
        <f t="shared" si="37"/>
        <v>3.5611586874928491E-6</v>
      </c>
      <c r="AV172" s="136">
        <f t="shared" si="48"/>
        <v>-4.4900000000000322</v>
      </c>
      <c r="AW172" s="136">
        <f t="shared" si="38"/>
        <v>1.6718602552362692E-5</v>
      </c>
      <c r="AX172" s="136" t="e">
        <f t="shared" si="39"/>
        <v>#N/A</v>
      </c>
      <c r="AY172" s="136">
        <f t="shared" si="40"/>
        <v>-4.4900100000000318</v>
      </c>
      <c r="AZ172" s="136">
        <f t="shared" si="41"/>
        <v>-4.4899900000000326</v>
      </c>
      <c r="BA172" s="136">
        <f t="shared" si="42"/>
        <v>2.3096428658492308E-2</v>
      </c>
      <c r="BB172" s="136">
        <f t="shared" si="43"/>
        <v>2.3096620380700237E-2</v>
      </c>
      <c r="BC172" s="136" t="e">
        <f t="shared" si="44"/>
        <v>#N/A</v>
      </c>
      <c r="BD172" s="136">
        <f t="shared" si="49"/>
        <v>1.6718602552362692E-5</v>
      </c>
      <c r="BE172" s="136">
        <f t="shared" si="45"/>
        <v>-9.8328139744763743E-4</v>
      </c>
      <c r="BF172" s="136" t="e">
        <f t="shared" si="46"/>
        <v>#N/A</v>
      </c>
      <c r="BG172" s="136" t="e">
        <f t="shared" si="47"/>
        <v>#N/A</v>
      </c>
    </row>
    <row r="173" spans="2:59" ht="11.25" customHeight="1">
      <c r="B173" s="321"/>
      <c r="C173" s="321"/>
      <c r="D173" s="321"/>
      <c r="E173" s="321"/>
      <c r="F173" s="321"/>
      <c r="G173" s="321"/>
      <c r="H173" s="321"/>
      <c r="I173" s="321"/>
      <c r="J173" s="321"/>
      <c r="K173" s="321"/>
      <c r="L173" s="321"/>
      <c r="M173" s="321"/>
      <c r="N173" s="321"/>
      <c r="O173" s="321"/>
      <c r="P173" s="321"/>
      <c r="Q173" s="321"/>
      <c r="R173" s="321"/>
      <c r="S173" s="321"/>
      <c r="T173" s="321"/>
      <c r="U173" s="321"/>
      <c r="V173" s="321"/>
      <c r="W173" s="321"/>
      <c r="X173" s="321"/>
      <c r="Y173" s="321"/>
      <c r="Z173" s="321"/>
      <c r="AA173" s="321"/>
      <c r="AB173" s="321"/>
      <c r="AC173" s="321"/>
      <c r="AD173" s="321"/>
      <c r="AE173" s="321"/>
      <c r="AF173" s="321"/>
      <c r="AG173" s="321"/>
      <c r="AH173" s="321"/>
      <c r="AI173" s="321"/>
      <c r="AJ173" s="321"/>
      <c r="AK173" s="321"/>
      <c r="AL173" s="321"/>
      <c r="AM173" s="321"/>
      <c r="AN173" s="321"/>
      <c r="AO173" s="321"/>
      <c r="AP173" s="427"/>
      <c r="AQ173" s="321"/>
      <c r="AR173" s="321"/>
      <c r="AS173" s="321"/>
      <c r="AT173" s="321"/>
      <c r="AU173" s="136">
        <f t="shared" si="37"/>
        <v>3.7321519733568564E-6</v>
      </c>
      <c r="AV173" s="136">
        <f t="shared" si="48"/>
        <v>-4.4800000000000324</v>
      </c>
      <c r="AW173" s="136">
        <f t="shared" si="38"/>
        <v>1.7485501026636618E-5</v>
      </c>
      <c r="AX173" s="136" t="e">
        <f t="shared" si="39"/>
        <v>#N/A</v>
      </c>
      <c r="AY173" s="136">
        <f t="shared" si="40"/>
        <v>-4.480010000000032</v>
      </c>
      <c r="AZ173" s="136">
        <f t="shared" si="41"/>
        <v>-4.4799900000000328</v>
      </c>
      <c r="BA173" s="136">
        <f t="shared" si="42"/>
        <v>2.3192581292372588E-2</v>
      </c>
      <c r="BB173" s="136">
        <f t="shared" si="43"/>
        <v>2.3192774184582696E-2</v>
      </c>
      <c r="BC173" s="136" t="e">
        <f t="shared" si="44"/>
        <v>#N/A</v>
      </c>
      <c r="BD173" s="136">
        <f t="shared" si="49"/>
        <v>1.7485501026636618E-5</v>
      </c>
      <c r="BE173" s="136">
        <f t="shared" si="45"/>
        <v>-9.8251449897336337E-4</v>
      </c>
      <c r="BF173" s="136" t="e">
        <f t="shared" si="46"/>
        <v>#N/A</v>
      </c>
      <c r="BG173" s="136" t="e">
        <f t="shared" si="47"/>
        <v>#N/A</v>
      </c>
    </row>
    <row r="174" spans="2:59" ht="11.25" customHeight="1">
      <c r="B174" s="321"/>
      <c r="C174" s="321"/>
      <c r="D174" s="321"/>
      <c r="E174" s="321"/>
      <c r="F174" s="321"/>
      <c r="G174" s="321"/>
      <c r="H174" s="321"/>
      <c r="I174" s="321"/>
      <c r="J174" s="321"/>
      <c r="K174" s="321"/>
      <c r="L174" s="321"/>
      <c r="M174" s="321"/>
      <c r="N174" s="321"/>
      <c r="O174" s="321"/>
      <c r="P174" s="321"/>
      <c r="Q174" s="321"/>
      <c r="R174" s="321"/>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427"/>
      <c r="AQ174" s="321"/>
      <c r="AR174" s="321"/>
      <c r="AS174" s="321"/>
      <c r="AT174" s="321"/>
      <c r="AU174" s="136">
        <f t="shared" si="37"/>
        <v>3.9109798901648674E-6</v>
      </c>
      <c r="AV174" s="136">
        <f t="shared" si="48"/>
        <v>-4.4700000000000326</v>
      </c>
      <c r="AW174" s="136">
        <f t="shared" si="38"/>
        <v>1.828574920954468E-5</v>
      </c>
      <c r="AX174" s="136" t="e">
        <f t="shared" si="39"/>
        <v>#N/A</v>
      </c>
      <c r="AY174" s="136">
        <f t="shared" si="40"/>
        <v>-4.4700100000000322</v>
      </c>
      <c r="AZ174" s="136">
        <f t="shared" si="41"/>
        <v>-4.469990000000033</v>
      </c>
      <c r="BA174" s="136">
        <f t="shared" si="42"/>
        <v>2.3289321243938888E-2</v>
      </c>
      <c r="BB174" s="136">
        <f t="shared" si="43"/>
        <v>2.3289515315451075E-2</v>
      </c>
      <c r="BC174" s="136" t="e">
        <f t="shared" si="44"/>
        <v>#N/A</v>
      </c>
      <c r="BD174" s="136">
        <f t="shared" si="49"/>
        <v>1.828574920954468E-5</v>
      </c>
      <c r="BE174" s="136">
        <f t="shared" si="45"/>
        <v>-9.8171425079045531E-4</v>
      </c>
      <c r="BF174" s="136" t="e">
        <f t="shared" si="46"/>
        <v>#N/A</v>
      </c>
      <c r="BG174" s="136" t="e">
        <f t="shared" si="47"/>
        <v>#N/A</v>
      </c>
    </row>
    <row r="175" spans="2:59" ht="11.25" customHeight="1">
      <c r="B175" s="321"/>
      <c r="C175" s="321"/>
      <c r="D175" s="321"/>
      <c r="E175" s="321"/>
      <c r="F175" s="321"/>
      <c r="G175" s="321"/>
      <c r="H175" s="321"/>
      <c r="I175" s="321"/>
      <c r="J175" s="321"/>
      <c r="K175" s="321"/>
      <c r="L175" s="321"/>
      <c r="M175" s="321"/>
      <c r="N175" s="321"/>
      <c r="O175" s="321"/>
      <c r="P175" s="321"/>
      <c r="Q175" s="321"/>
      <c r="R175" s="321"/>
      <c r="S175" s="321"/>
      <c r="T175" s="321"/>
      <c r="U175" s="321"/>
      <c r="V175" s="321"/>
      <c r="W175" s="321"/>
      <c r="X175" s="321"/>
      <c r="Y175" s="321"/>
      <c r="Z175" s="321"/>
      <c r="AA175" s="321"/>
      <c r="AB175" s="321"/>
      <c r="AC175" s="321"/>
      <c r="AD175" s="321"/>
      <c r="AE175" s="321"/>
      <c r="AF175" s="321"/>
      <c r="AG175" s="321"/>
      <c r="AH175" s="321"/>
      <c r="AI175" s="321"/>
      <c r="AJ175" s="321"/>
      <c r="AK175" s="321"/>
      <c r="AL175" s="321"/>
      <c r="AM175" s="321"/>
      <c r="AN175" s="321"/>
      <c r="AO175" s="321"/>
      <c r="AP175" s="427"/>
      <c r="AQ175" s="321"/>
      <c r="AR175" s="321"/>
      <c r="AS175" s="321"/>
      <c r="AT175" s="321"/>
      <c r="AU175" s="136">
        <f t="shared" si="37"/>
        <v>4.0979826714249157E-6</v>
      </c>
      <c r="AV175" s="136">
        <f t="shared" si="48"/>
        <v>-4.4600000000000328</v>
      </c>
      <c r="AW175" s="136">
        <f t="shared" si="38"/>
        <v>1.9120709692814949E-5</v>
      </c>
      <c r="AX175" s="136" t="e">
        <f t="shared" si="39"/>
        <v>#N/A</v>
      </c>
      <c r="AY175" s="136">
        <f t="shared" si="40"/>
        <v>-4.4600100000000324</v>
      </c>
      <c r="AZ175" s="136">
        <f t="shared" si="41"/>
        <v>-4.4599900000000332</v>
      </c>
      <c r="BA175" s="136">
        <f t="shared" si="42"/>
        <v>2.33866531855806E-2</v>
      </c>
      <c r="BB175" s="136">
        <f t="shared" si="43"/>
        <v>2.3386848445784883E-2</v>
      </c>
      <c r="BC175" s="136" t="e">
        <f t="shared" si="44"/>
        <v>#N/A</v>
      </c>
      <c r="BD175" s="136">
        <f t="shared" si="49"/>
        <v>1.9120709692814949E-5</v>
      </c>
      <c r="BE175" s="136">
        <f t="shared" si="45"/>
        <v>-9.8087929030718501E-4</v>
      </c>
      <c r="BF175" s="136" t="e">
        <f t="shared" si="46"/>
        <v>#N/A</v>
      </c>
      <c r="BG175" s="136" t="e">
        <f t="shared" si="47"/>
        <v>#N/A</v>
      </c>
    </row>
    <row r="176" spans="2:59" ht="11.25" customHeight="1">
      <c r="B176" s="321"/>
      <c r="C176" s="321"/>
      <c r="D176" s="321"/>
      <c r="E176" s="321"/>
      <c r="F176" s="321"/>
      <c r="G176" s="321"/>
      <c r="H176" s="321"/>
      <c r="I176" s="321"/>
      <c r="J176" s="321"/>
      <c r="K176" s="321"/>
      <c r="L176" s="321"/>
      <c r="M176" s="321"/>
      <c r="N176" s="321"/>
      <c r="O176" s="321"/>
      <c r="P176" s="321"/>
      <c r="Q176" s="321"/>
      <c r="R176" s="321"/>
      <c r="S176" s="321"/>
      <c r="T176" s="321"/>
      <c r="U176" s="321"/>
      <c r="V176" s="321"/>
      <c r="W176" s="321"/>
      <c r="X176" s="321"/>
      <c r="Y176" s="321"/>
      <c r="Z176" s="321"/>
      <c r="AA176" s="321"/>
      <c r="AB176" s="321"/>
      <c r="AC176" s="321"/>
      <c r="AD176" s="321"/>
      <c r="AE176" s="321"/>
      <c r="AF176" s="321"/>
      <c r="AG176" s="321"/>
      <c r="AH176" s="321"/>
      <c r="AI176" s="321"/>
      <c r="AJ176" s="321"/>
      <c r="AK176" s="321"/>
      <c r="AL176" s="321"/>
      <c r="AM176" s="321"/>
      <c r="AN176" s="321"/>
      <c r="AO176" s="321"/>
      <c r="AP176" s="427"/>
      <c r="AQ176" s="321"/>
      <c r="AR176" s="321"/>
      <c r="AS176" s="321"/>
      <c r="AT176" s="321"/>
      <c r="AU176" s="136">
        <f t="shared" si="37"/>
        <v>4.293514486053418E-6</v>
      </c>
      <c r="AV176" s="136">
        <f t="shared" si="48"/>
        <v>-4.450000000000033</v>
      </c>
      <c r="AW176" s="136">
        <f t="shared" si="38"/>
        <v>1.9991796706919877E-5</v>
      </c>
      <c r="AX176" s="136" t="e">
        <f t="shared" si="39"/>
        <v>#N/A</v>
      </c>
      <c r="AY176" s="136">
        <f t="shared" si="40"/>
        <v>-4.4500100000000327</v>
      </c>
      <c r="AZ176" s="136">
        <f t="shared" si="41"/>
        <v>-4.4499900000000334</v>
      </c>
      <c r="BA176" s="136">
        <f t="shared" si="42"/>
        <v>2.3484581834975118E-2</v>
      </c>
      <c r="BB176" s="136">
        <f t="shared" si="43"/>
        <v>2.3484778293352555E-2</v>
      </c>
      <c r="BC176" s="136" t="e">
        <f t="shared" si="44"/>
        <v>#N/A</v>
      </c>
      <c r="BD176" s="136">
        <f t="shared" si="49"/>
        <v>1.9991796706919877E-5</v>
      </c>
      <c r="BE176" s="136">
        <f t="shared" si="45"/>
        <v>-9.8000820329308016E-4</v>
      </c>
      <c r="BF176" s="136" t="e">
        <f t="shared" si="46"/>
        <v>#N/A</v>
      </c>
      <c r="BG176" s="136" t="e">
        <f t="shared" si="47"/>
        <v>#N/A</v>
      </c>
    </row>
    <row r="177" spans="2:59" ht="11.25" customHeight="1">
      <c r="B177" s="321"/>
      <c r="C177" s="321"/>
      <c r="D177" s="321"/>
      <c r="E177" s="321"/>
      <c r="F177" s="321"/>
      <c r="G177" s="321"/>
      <c r="H177" s="321"/>
      <c r="I177" s="321"/>
      <c r="J177" s="321"/>
      <c r="K177" s="321"/>
      <c r="L177" s="321"/>
      <c r="M177" s="321"/>
      <c r="N177" s="321"/>
      <c r="O177" s="321"/>
      <c r="P177" s="321"/>
      <c r="Q177" s="321"/>
      <c r="R177" s="321"/>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427"/>
      <c r="AQ177" s="321"/>
      <c r="AR177" s="321"/>
      <c r="AS177" s="321"/>
      <c r="AT177" s="321"/>
      <c r="AU177" s="136">
        <f t="shared" si="37"/>
        <v>4.4979438904579894E-6</v>
      </c>
      <c r="AV177" s="136">
        <f t="shared" si="48"/>
        <v>-4.4400000000000333</v>
      </c>
      <c r="AW177" s="136">
        <f t="shared" si="38"/>
        <v>2.0900477900447358E-5</v>
      </c>
      <c r="AX177" s="136" t="e">
        <f t="shared" si="39"/>
        <v>#N/A</v>
      </c>
      <c r="AY177" s="136">
        <f t="shared" si="40"/>
        <v>-4.4400100000000329</v>
      </c>
      <c r="AZ177" s="136">
        <f t="shared" si="41"/>
        <v>-4.4399900000000336</v>
      </c>
      <c r="BA177" s="136">
        <f t="shared" si="42"/>
        <v>2.3583111955599468E-2</v>
      </c>
      <c r="BB177" s="136">
        <f t="shared" si="43"/>
        <v>2.3583309621723267E-2</v>
      </c>
      <c r="BC177" s="136" t="e">
        <f t="shared" si="44"/>
        <v>#N/A</v>
      </c>
      <c r="BD177" s="136">
        <f t="shared" si="49"/>
        <v>2.0900477900447358E-5</v>
      </c>
      <c r="BE177" s="136">
        <f t="shared" si="45"/>
        <v>-9.790995220995526E-4</v>
      </c>
      <c r="BF177" s="136" t="e">
        <f t="shared" si="46"/>
        <v>#N/A</v>
      </c>
      <c r="BG177" s="136" t="e">
        <f t="shared" si="47"/>
        <v>#N/A</v>
      </c>
    </row>
    <row r="178" spans="2:59" ht="11.25" customHeight="1">
      <c r="B178" s="321"/>
      <c r="C178" s="321"/>
      <c r="D178" s="321"/>
      <c r="E178" s="321"/>
      <c r="F178" s="321"/>
      <c r="G178" s="321"/>
      <c r="H178" s="321"/>
      <c r="I178" s="321"/>
      <c r="J178" s="321"/>
      <c r="K178" s="321"/>
      <c r="L178" s="321"/>
      <c r="M178" s="321"/>
      <c r="N178" s="321"/>
      <c r="O178" s="321"/>
      <c r="P178" s="321"/>
      <c r="Q178" s="321"/>
      <c r="R178" s="321"/>
      <c r="S178" s="321"/>
      <c r="T178" s="321"/>
      <c r="U178" s="321"/>
      <c r="V178" s="321"/>
      <c r="W178" s="321"/>
      <c r="X178" s="321"/>
      <c r="Y178" s="321"/>
      <c r="Z178" s="321"/>
      <c r="AA178" s="321"/>
      <c r="AB178" s="321"/>
      <c r="AC178" s="321"/>
      <c r="AD178" s="321"/>
      <c r="AE178" s="321"/>
      <c r="AF178" s="321"/>
      <c r="AG178" s="321"/>
      <c r="AH178" s="321"/>
      <c r="AI178" s="321"/>
      <c r="AJ178" s="321"/>
      <c r="AK178" s="321"/>
      <c r="AL178" s="321"/>
      <c r="AM178" s="321"/>
      <c r="AN178" s="321"/>
      <c r="AO178" s="321"/>
      <c r="AP178" s="427"/>
      <c r="AQ178" s="321"/>
      <c r="AR178" s="321"/>
      <c r="AS178" s="321"/>
      <c r="AT178" s="321"/>
      <c r="AU178" s="136">
        <f t="shared" si="37"/>
        <v>4.7116544289460549E-6</v>
      </c>
      <c r="AV178" s="136">
        <f t="shared" si="48"/>
        <v>-4.4300000000000335</v>
      </c>
      <c r="AW178" s="136">
        <f t="shared" si="38"/>
        <v>2.1848276173313207E-5</v>
      </c>
      <c r="AX178" s="136" t="e">
        <f t="shared" si="39"/>
        <v>#N/A</v>
      </c>
      <c r="AY178" s="136">
        <f t="shared" si="40"/>
        <v>-4.4300100000000331</v>
      </c>
      <c r="AZ178" s="136">
        <f t="shared" si="41"/>
        <v>-4.4299900000000338</v>
      </c>
      <c r="BA178" s="136">
        <f t="shared" si="42"/>
        <v>2.3682248357248577E-2</v>
      </c>
      <c r="BB178" s="136">
        <f t="shared" si="43"/>
        <v>2.3682447240785071E-2</v>
      </c>
      <c r="BC178" s="136" t="e">
        <f t="shared" si="44"/>
        <v>#N/A</v>
      </c>
      <c r="BD178" s="136">
        <f t="shared" si="49"/>
        <v>2.1848276173313207E-5</v>
      </c>
      <c r="BE178" s="136">
        <f t="shared" si="45"/>
        <v>-9.7815172382668676E-4</v>
      </c>
      <c r="BF178" s="136" t="e">
        <f t="shared" si="46"/>
        <v>#N/A</v>
      </c>
      <c r="BG178" s="136" t="e">
        <f t="shared" si="47"/>
        <v>#N/A</v>
      </c>
    </row>
    <row r="179" spans="2:59" ht="11.25" customHeight="1">
      <c r="B179" s="321"/>
      <c r="C179" s="321"/>
      <c r="D179" s="321"/>
      <c r="E179" s="321"/>
      <c r="F179" s="321"/>
      <c r="G179" s="321"/>
      <c r="H179" s="321"/>
      <c r="I179" s="321"/>
      <c r="J179" s="321"/>
      <c r="K179" s="321"/>
      <c r="L179" s="321"/>
      <c r="M179" s="321"/>
      <c r="N179" s="321"/>
      <c r="O179" s="321"/>
      <c r="P179" s="321"/>
      <c r="Q179" s="321"/>
      <c r="R179" s="321"/>
      <c r="S179" s="321"/>
      <c r="T179" s="321"/>
      <c r="U179" s="321"/>
      <c r="V179" s="321"/>
      <c r="W179" s="321"/>
      <c r="X179" s="321"/>
      <c r="Y179" s="321"/>
      <c r="Z179" s="321"/>
      <c r="AA179" s="321"/>
      <c r="AB179" s="321"/>
      <c r="AC179" s="321"/>
      <c r="AD179" s="321"/>
      <c r="AE179" s="321"/>
      <c r="AF179" s="321"/>
      <c r="AG179" s="321"/>
      <c r="AH179" s="321"/>
      <c r="AI179" s="321"/>
      <c r="AJ179" s="321"/>
      <c r="AK179" s="321"/>
      <c r="AL179" s="321"/>
      <c r="AM179" s="321"/>
      <c r="AN179" s="321"/>
      <c r="AO179" s="321"/>
      <c r="AP179" s="427"/>
      <c r="AQ179" s="321"/>
      <c r="AR179" s="321"/>
      <c r="AS179" s="321"/>
      <c r="AT179" s="321"/>
      <c r="AU179" s="136">
        <f t="shared" si="37"/>
        <v>4.935045057719023E-6</v>
      </c>
      <c r="AV179" s="136">
        <f t="shared" si="48"/>
        <v>-4.4200000000000337</v>
      </c>
      <c r="AW179" s="136">
        <f t="shared" si="38"/>
        <v>2.2836771565143512E-5</v>
      </c>
      <c r="AX179" s="136" t="e">
        <f t="shared" si="39"/>
        <v>#N/A</v>
      </c>
      <c r="AY179" s="136">
        <f t="shared" si="40"/>
        <v>-4.4200100000000333</v>
      </c>
      <c r="AZ179" s="136">
        <f t="shared" si="41"/>
        <v>-4.4199900000000341</v>
      </c>
      <c r="BA179" s="136">
        <f t="shared" si="42"/>
        <v>2.3781995896560118E-2</v>
      </c>
      <c r="BB179" s="136">
        <f t="shared" si="43"/>
        <v>2.3782196007269864E-2</v>
      </c>
      <c r="BC179" s="136" t="e">
        <f t="shared" si="44"/>
        <v>#N/A</v>
      </c>
      <c r="BD179" s="136">
        <f t="shared" si="49"/>
        <v>2.2836771565143512E-5</v>
      </c>
      <c r="BE179" s="136">
        <f t="shared" si="45"/>
        <v>-9.7716322843485661E-4</v>
      </c>
      <c r="BF179" s="136" t="e">
        <f t="shared" si="46"/>
        <v>#N/A</v>
      </c>
      <c r="BG179" s="136" t="e">
        <f t="shared" si="47"/>
        <v>#N/A</v>
      </c>
    </row>
    <row r="180" spans="2:59" ht="11.25" customHeight="1">
      <c r="B180" s="321"/>
      <c r="C180" s="321"/>
      <c r="D180" s="321"/>
      <c r="E180" s="321"/>
      <c r="F180" s="321"/>
      <c r="G180" s="321"/>
      <c r="H180" s="321"/>
      <c r="I180" s="321"/>
      <c r="J180" s="321"/>
      <c r="K180" s="321"/>
      <c r="L180" s="321"/>
      <c r="M180" s="321"/>
      <c r="N180" s="321"/>
      <c r="O180" s="321"/>
      <c r="P180" s="321"/>
      <c r="Q180" s="321"/>
      <c r="R180" s="321"/>
      <c r="S180" s="321"/>
      <c r="T180" s="321"/>
      <c r="U180" s="321"/>
      <c r="V180" s="321"/>
      <c r="W180" s="321"/>
      <c r="X180" s="321"/>
      <c r="Y180" s="321"/>
      <c r="Z180" s="321"/>
      <c r="AA180" s="321"/>
      <c r="AB180" s="321"/>
      <c r="AC180" s="321"/>
      <c r="AD180" s="321"/>
      <c r="AE180" s="321"/>
      <c r="AF180" s="321"/>
      <c r="AG180" s="321"/>
      <c r="AH180" s="321"/>
      <c r="AI180" s="321"/>
      <c r="AJ180" s="321"/>
      <c r="AK180" s="321"/>
      <c r="AL180" s="321"/>
      <c r="AM180" s="321"/>
      <c r="AN180" s="321"/>
      <c r="AO180" s="321"/>
      <c r="AP180" s="427"/>
      <c r="AQ180" s="321"/>
      <c r="AR180" s="321"/>
      <c r="AS180" s="321"/>
      <c r="AT180" s="321"/>
      <c r="AU180" s="136">
        <f t="shared" si="37"/>
        <v>5.1685309424565062E-6</v>
      </c>
      <c r="AV180" s="136">
        <f t="shared" si="48"/>
        <v>-4.4100000000000339</v>
      </c>
      <c r="AW180" s="136">
        <f t="shared" si="38"/>
        <v>2.3867603200176034E-5</v>
      </c>
      <c r="AX180" s="136" t="e">
        <f t="shared" si="39"/>
        <v>#N/A</v>
      </c>
      <c r="AY180" s="136">
        <f t="shared" si="40"/>
        <v>-4.4100100000000335</v>
      </c>
      <c r="AZ180" s="136">
        <f t="shared" si="41"/>
        <v>-4.4099900000000343</v>
      </c>
      <c r="BA180" s="136">
        <f t="shared" si="42"/>
        <v>2.3882359477546015E-2</v>
      </c>
      <c r="BB180" s="136">
        <f t="shared" si="43"/>
        <v>2.3882560825284883E-2</v>
      </c>
      <c r="BC180" s="136" t="e">
        <f t="shared" si="44"/>
        <v>#N/A</v>
      </c>
      <c r="BD180" s="136">
        <f t="shared" si="49"/>
        <v>2.3867603200176034E-5</v>
      </c>
      <c r="BE180" s="136">
        <f t="shared" si="45"/>
        <v>-9.7613239679982401E-4</v>
      </c>
      <c r="BF180" s="136" t="e">
        <f t="shared" si="46"/>
        <v>#N/A</v>
      </c>
      <c r="BG180" s="136" t="e">
        <f t="shared" si="47"/>
        <v>#N/A</v>
      </c>
    </row>
    <row r="181" spans="2:59" ht="11.25" customHeight="1">
      <c r="B181" s="321"/>
      <c r="C181" s="321"/>
      <c r="D181" s="321"/>
      <c r="E181" s="321"/>
      <c r="F181" s="321"/>
      <c r="G181" s="321"/>
      <c r="H181" s="321"/>
      <c r="I181" s="321"/>
      <c r="J181" s="321"/>
      <c r="K181" s="321"/>
      <c r="L181" s="321"/>
      <c r="M181" s="321"/>
      <c r="N181" s="321"/>
      <c r="O181" s="321"/>
      <c r="P181" s="321"/>
      <c r="Q181" s="321"/>
      <c r="R181" s="321"/>
      <c r="S181" s="321"/>
      <c r="T181" s="321"/>
      <c r="U181" s="321"/>
      <c r="V181" s="321"/>
      <c r="W181" s="321"/>
      <c r="X181" s="321"/>
      <c r="Y181" s="321"/>
      <c r="Z181" s="321"/>
      <c r="AA181" s="321"/>
      <c r="AB181" s="321"/>
      <c r="AC181" s="321"/>
      <c r="AD181" s="321"/>
      <c r="AE181" s="321"/>
      <c r="AF181" s="321"/>
      <c r="AG181" s="321"/>
      <c r="AH181" s="321"/>
      <c r="AI181" s="321"/>
      <c r="AJ181" s="321"/>
      <c r="AK181" s="321"/>
      <c r="AL181" s="321"/>
      <c r="AM181" s="321"/>
      <c r="AN181" s="321"/>
      <c r="AO181" s="321"/>
      <c r="AP181" s="427"/>
      <c r="AQ181" s="321"/>
      <c r="AR181" s="321"/>
      <c r="AS181" s="321"/>
      <c r="AT181" s="321"/>
      <c r="AU181" s="136">
        <f t="shared" si="37"/>
        <v>5.4125438915253454E-6</v>
      </c>
      <c r="AV181" s="136">
        <f t="shared" si="48"/>
        <v>-4.4000000000000341</v>
      </c>
      <c r="AW181" s="136">
        <f t="shared" si="38"/>
        <v>2.4942471290049805E-5</v>
      </c>
      <c r="AX181" s="136" t="e">
        <f t="shared" si="39"/>
        <v>#N/A</v>
      </c>
      <c r="AY181" s="136">
        <f t="shared" si="40"/>
        <v>-4.4000100000000337</v>
      </c>
      <c r="AZ181" s="136">
        <f t="shared" si="41"/>
        <v>-4.3999900000000345</v>
      </c>
      <c r="BA181" s="136">
        <f t="shared" si="42"/>
        <v>2.3983344052130821E-2</v>
      </c>
      <c r="BB181" s="136">
        <f t="shared" si="43"/>
        <v>2.3983546646851036E-2</v>
      </c>
      <c r="BC181" s="136" t="e">
        <f t="shared" si="44"/>
        <v>#N/A</v>
      </c>
      <c r="BD181" s="136">
        <f t="shared" si="49"/>
        <v>2.4942471290049805E-5</v>
      </c>
      <c r="BE181" s="136">
        <f t="shared" si="45"/>
        <v>-9.7505752870995026E-4</v>
      </c>
      <c r="BF181" s="136" t="e">
        <f t="shared" si="46"/>
        <v>#N/A</v>
      </c>
      <c r="BG181" s="136" t="e">
        <f t="shared" si="47"/>
        <v>#N/A</v>
      </c>
    </row>
    <row r="182" spans="2:59" ht="11.25" customHeight="1">
      <c r="B182" s="321"/>
      <c r="C182" s="321"/>
      <c r="D182" s="321"/>
      <c r="E182" s="321"/>
      <c r="F182" s="321"/>
      <c r="G182" s="321"/>
      <c r="H182" s="321"/>
      <c r="I182" s="321"/>
      <c r="J182" s="321"/>
      <c r="K182" s="321"/>
      <c r="L182" s="321"/>
      <c r="M182" s="321"/>
      <c r="N182" s="321"/>
      <c r="O182" s="321"/>
      <c r="P182" s="321"/>
      <c r="Q182" s="321"/>
      <c r="R182" s="321"/>
      <c r="S182" s="321"/>
      <c r="T182" s="321"/>
      <c r="U182" s="321"/>
      <c r="V182" s="321"/>
      <c r="W182" s="321"/>
      <c r="X182" s="321"/>
      <c r="Y182" s="321"/>
      <c r="Z182" s="321"/>
      <c r="AA182" s="321"/>
      <c r="AB182" s="321"/>
      <c r="AC182" s="321"/>
      <c r="AD182" s="321"/>
      <c r="AE182" s="321"/>
      <c r="AF182" s="321"/>
      <c r="AG182" s="321"/>
      <c r="AH182" s="321"/>
      <c r="AI182" s="321"/>
      <c r="AJ182" s="321"/>
      <c r="AK182" s="321"/>
      <c r="AL182" s="321"/>
      <c r="AM182" s="321"/>
      <c r="AN182" s="321"/>
      <c r="AO182" s="321"/>
      <c r="AP182" s="427"/>
      <c r="AQ182" s="321"/>
      <c r="AR182" s="321"/>
      <c r="AS182" s="321"/>
      <c r="AT182" s="321"/>
      <c r="AU182" s="136">
        <f t="shared" si="37"/>
        <v>5.6675330759592413E-6</v>
      </c>
      <c r="AV182" s="136">
        <f t="shared" si="48"/>
        <v>-4.3900000000000343</v>
      </c>
      <c r="AW182" s="136">
        <f t="shared" si="38"/>
        <v>2.6063139195874405E-5</v>
      </c>
      <c r="AX182" s="136" t="e">
        <f t="shared" si="39"/>
        <v>#N/A</v>
      </c>
      <c r="AY182" s="136">
        <f t="shared" si="40"/>
        <v>-4.3900100000000339</v>
      </c>
      <c r="AZ182" s="136">
        <f t="shared" si="41"/>
        <v>-4.3899900000000347</v>
      </c>
      <c r="BA182" s="136">
        <f t="shared" si="42"/>
        <v>2.4084954620696951E-2</v>
      </c>
      <c r="BB182" s="136">
        <f t="shared" si="43"/>
        <v>2.4085158472448177E-2</v>
      </c>
      <c r="BC182" s="136" t="e">
        <f t="shared" si="44"/>
        <v>#N/A</v>
      </c>
      <c r="BD182" s="136">
        <f t="shared" si="49"/>
        <v>2.6063139195874405E-5</v>
      </c>
      <c r="BE182" s="136">
        <f t="shared" si="45"/>
        <v>-9.7393686080412558E-4</v>
      </c>
      <c r="BF182" s="136" t="e">
        <f t="shared" si="46"/>
        <v>#N/A</v>
      </c>
      <c r="BG182" s="136" t="e">
        <f t="shared" si="47"/>
        <v>#N/A</v>
      </c>
    </row>
    <row r="183" spans="2:59" ht="11.25" customHeight="1">
      <c r="B183" s="321"/>
      <c r="C183" s="321"/>
      <c r="D183" s="321"/>
      <c r="E183" s="321"/>
      <c r="F183" s="321"/>
      <c r="G183" s="321"/>
      <c r="H183" s="321"/>
      <c r="I183" s="321"/>
      <c r="J183" s="321"/>
      <c r="K183" s="321"/>
      <c r="L183" s="321"/>
      <c r="M183" s="321"/>
      <c r="N183" s="321"/>
      <c r="O183" s="321"/>
      <c r="P183" s="321"/>
      <c r="Q183" s="321"/>
      <c r="R183" s="321"/>
      <c r="S183" s="321"/>
      <c r="T183" s="321"/>
      <c r="U183" s="321"/>
      <c r="V183" s="321"/>
      <c r="W183" s="321"/>
      <c r="X183" s="321"/>
      <c r="Y183" s="321"/>
      <c r="Z183" s="321"/>
      <c r="AA183" s="321"/>
      <c r="AB183" s="321"/>
      <c r="AC183" s="321"/>
      <c r="AD183" s="321"/>
      <c r="AE183" s="321"/>
      <c r="AF183" s="321"/>
      <c r="AG183" s="321"/>
      <c r="AH183" s="321"/>
      <c r="AI183" s="321"/>
      <c r="AJ183" s="321"/>
      <c r="AK183" s="321"/>
      <c r="AL183" s="321"/>
      <c r="AM183" s="321"/>
      <c r="AN183" s="321"/>
      <c r="AO183" s="321"/>
      <c r="AP183" s="427"/>
      <c r="AQ183" s="321"/>
      <c r="AR183" s="321"/>
      <c r="AS183" s="321"/>
      <c r="AT183" s="321"/>
      <c r="AU183" s="136">
        <f t="shared" si="37"/>
        <v>5.9339654663315144E-6</v>
      </c>
      <c r="AV183" s="136">
        <f t="shared" si="48"/>
        <v>-4.3800000000000345</v>
      </c>
      <c r="AW183" s="136">
        <f t="shared" si="38"/>
        <v>2.7231435550988492E-5</v>
      </c>
      <c r="AX183" s="136" t="e">
        <f t="shared" si="39"/>
        <v>#N/A</v>
      </c>
      <c r="AY183" s="136">
        <f t="shared" si="40"/>
        <v>-4.3800100000000342</v>
      </c>
      <c r="AZ183" s="136">
        <f t="shared" si="41"/>
        <v>-4.3799900000000349</v>
      </c>
      <c r="BA183" s="136">
        <f t="shared" si="42"/>
        <v>2.4187196232636866E-2</v>
      </c>
      <c r="BB183" s="136">
        <f t="shared" si="43"/>
        <v>2.4187401351567384E-2</v>
      </c>
      <c r="BC183" s="136" t="e">
        <f t="shared" si="44"/>
        <v>#N/A</v>
      </c>
      <c r="BD183" s="136">
        <f t="shared" si="49"/>
        <v>2.7231435550988492E-5</v>
      </c>
      <c r="BE183" s="136">
        <f t="shared" si="45"/>
        <v>-9.7276856444901156E-4</v>
      </c>
      <c r="BF183" s="136" t="e">
        <f t="shared" si="46"/>
        <v>#N/A</v>
      </c>
      <c r="BG183" s="136" t="e">
        <f t="shared" si="47"/>
        <v>#N/A</v>
      </c>
    </row>
    <row r="184" spans="2:59" ht="11.25" customHeight="1">
      <c r="B184" s="321"/>
      <c r="C184" s="321"/>
      <c r="D184" s="321"/>
      <c r="E184" s="321"/>
      <c r="F184" s="321"/>
      <c r="G184" s="321"/>
      <c r="H184" s="321"/>
      <c r="I184" s="321"/>
      <c r="J184" s="321"/>
      <c r="K184" s="321"/>
      <c r="L184" s="321"/>
      <c r="M184" s="321"/>
      <c r="N184" s="321"/>
      <c r="O184" s="321"/>
      <c r="P184" s="321"/>
      <c r="Q184" s="321"/>
      <c r="R184" s="321"/>
      <c r="S184" s="321"/>
      <c r="T184" s="321"/>
      <c r="U184" s="321"/>
      <c r="V184" s="321"/>
      <c r="W184" s="321"/>
      <c r="X184" s="321"/>
      <c r="Y184" s="321"/>
      <c r="Z184" s="321"/>
      <c r="AA184" s="321"/>
      <c r="AB184" s="321"/>
      <c r="AC184" s="321"/>
      <c r="AD184" s="321"/>
      <c r="AE184" s="321"/>
      <c r="AF184" s="321"/>
      <c r="AG184" s="321"/>
      <c r="AH184" s="321"/>
      <c r="AI184" s="321"/>
      <c r="AJ184" s="321"/>
      <c r="AK184" s="321"/>
      <c r="AL184" s="321"/>
      <c r="AM184" s="321"/>
      <c r="AN184" s="321"/>
      <c r="AO184" s="321"/>
      <c r="AP184" s="427"/>
      <c r="AQ184" s="321"/>
      <c r="AR184" s="321"/>
      <c r="AS184" s="321"/>
      <c r="AT184" s="321"/>
      <c r="AU184" s="136">
        <f t="shared" si="37"/>
        <v>6.2123268274039134E-6</v>
      </c>
      <c r="AV184" s="136">
        <f t="shared" si="48"/>
        <v>-4.3700000000000347</v>
      </c>
      <c r="AW184" s="136">
        <f t="shared" si="38"/>
        <v>2.8449256445840005E-5</v>
      </c>
      <c r="AX184" s="136" t="e">
        <f t="shared" si="39"/>
        <v>#N/A</v>
      </c>
      <c r="AY184" s="136">
        <f t="shared" si="40"/>
        <v>-4.3700100000000344</v>
      </c>
      <c r="AZ184" s="136">
        <f t="shared" si="41"/>
        <v>-4.3699900000000351</v>
      </c>
      <c r="BA184" s="136">
        <f t="shared" si="42"/>
        <v>2.4290073986912398E-2</v>
      </c>
      <c r="BB184" s="136">
        <f t="shared" si="43"/>
        <v>2.4290280383270167E-2</v>
      </c>
      <c r="BC184" s="136" t="e">
        <f t="shared" si="44"/>
        <v>#N/A</v>
      </c>
      <c r="BD184" s="136">
        <f t="shared" si="49"/>
        <v>2.8449256445840005E-5</v>
      </c>
      <c r="BE184" s="136">
        <f t="shared" si="45"/>
        <v>-9.7155074355416004E-4</v>
      </c>
      <c r="BF184" s="136" t="e">
        <f t="shared" si="46"/>
        <v>#N/A</v>
      </c>
      <c r="BG184" s="136" t="e">
        <f t="shared" si="47"/>
        <v>#N/A</v>
      </c>
    </row>
    <row r="185" spans="2:59" ht="11.25" customHeight="1">
      <c r="B185" s="321"/>
      <c r="C185" s="321"/>
      <c r="D185" s="321"/>
      <c r="E185" s="321"/>
      <c r="F185" s="321"/>
      <c r="G185" s="321"/>
      <c r="H185" s="321"/>
      <c r="I185" s="321"/>
      <c r="J185" s="321"/>
      <c r="K185" s="321"/>
      <c r="L185" s="321"/>
      <c r="M185" s="321"/>
      <c r="N185" s="321"/>
      <c r="O185" s="321"/>
      <c r="P185" s="321"/>
      <c r="Q185" s="321"/>
      <c r="R185" s="321"/>
      <c r="S185" s="321"/>
      <c r="T185" s="321"/>
      <c r="U185" s="321"/>
      <c r="V185" s="321"/>
      <c r="W185" s="321"/>
      <c r="X185" s="321"/>
      <c r="Y185" s="321"/>
      <c r="Z185" s="321"/>
      <c r="AA185" s="321"/>
      <c r="AB185" s="321"/>
      <c r="AC185" s="321"/>
      <c r="AD185" s="321"/>
      <c r="AE185" s="321"/>
      <c r="AF185" s="321"/>
      <c r="AG185" s="321"/>
      <c r="AH185" s="321"/>
      <c r="AI185" s="321"/>
      <c r="AJ185" s="321"/>
      <c r="AK185" s="321"/>
      <c r="AL185" s="321"/>
      <c r="AM185" s="321"/>
      <c r="AN185" s="321"/>
      <c r="AO185" s="321"/>
      <c r="AP185" s="427"/>
      <c r="AQ185" s="321"/>
      <c r="AR185" s="321"/>
      <c r="AS185" s="321"/>
      <c r="AT185" s="321"/>
      <c r="AU185" s="136">
        <f t="shared" si="37"/>
        <v>6.5031222192812876E-6</v>
      </c>
      <c r="AV185" s="136">
        <f t="shared" si="48"/>
        <v>-4.360000000000035</v>
      </c>
      <c r="AW185" s="136">
        <f t="shared" si="38"/>
        <v>2.9718567676437706E-5</v>
      </c>
      <c r="AX185" s="136" t="e">
        <f t="shared" si="39"/>
        <v>#N/A</v>
      </c>
      <c r="AY185" s="136">
        <f t="shared" si="40"/>
        <v>-4.3600100000000346</v>
      </c>
      <c r="AZ185" s="136">
        <f t="shared" si="41"/>
        <v>-4.3599900000000353</v>
      </c>
      <c r="BA185" s="136">
        <f t="shared" si="42"/>
        <v>2.4393593032621261E-2</v>
      </c>
      <c r="BB185" s="136">
        <f t="shared" si="43"/>
        <v>2.4393800716755124E-2</v>
      </c>
      <c r="BC185" s="136" t="e">
        <f t="shared" si="44"/>
        <v>#N/A</v>
      </c>
      <c r="BD185" s="136">
        <f t="shared" si="49"/>
        <v>2.9718567676437706E-5</v>
      </c>
      <c r="BE185" s="136">
        <f t="shared" si="45"/>
        <v>-9.7028143232356229E-4</v>
      </c>
      <c r="BF185" s="136" t="e">
        <f t="shared" si="46"/>
        <v>#N/A</v>
      </c>
      <c r="BG185" s="136" t="e">
        <f t="shared" si="47"/>
        <v>#N/A</v>
      </c>
    </row>
    <row r="186" spans="2:59" ht="11.25" customHeight="1">
      <c r="B186" s="321"/>
      <c r="C186" s="321"/>
      <c r="D186" s="321"/>
      <c r="E186" s="321"/>
      <c r="F186" s="321"/>
      <c r="G186" s="321"/>
      <c r="H186" s="321"/>
      <c r="I186" s="321"/>
      <c r="J186" s="321"/>
      <c r="K186" s="321"/>
      <c r="L186" s="321"/>
      <c r="M186" s="321"/>
      <c r="N186" s="321"/>
      <c r="O186" s="321"/>
      <c r="P186" s="321"/>
      <c r="Q186" s="321"/>
      <c r="R186" s="321"/>
      <c r="S186" s="321"/>
      <c r="T186" s="321"/>
      <c r="U186" s="321"/>
      <c r="V186" s="321"/>
      <c r="W186" s="321"/>
      <c r="X186" s="321"/>
      <c r="Y186" s="321"/>
      <c r="Z186" s="321"/>
      <c r="AA186" s="321"/>
      <c r="AB186" s="321"/>
      <c r="AC186" s="321"/>
      <c r="AD186" s="321"/>
      <c r="AE186" s="321"/>
      <c r="AF186" s="321"/>
      <c r="AG186" s="321"/>
      <c r="AH186" s="321"/>
      <c r="AI186" s="321"/>
      <c r="AJ186" s="321"/>
      <c r="AK186" s="321"/>
      <c r="AL186" s="321"/>
      <c r="AM186" s="321"/>
      <c r="AN186" s="321"/>
      <c r="AO186" s="321"/>
      <c r="AP186" s="427"/>
      <c r="AQ186" s="321"/>
      <c r="AR186" s="321"/>
      <c r="AS186" s="321"/>
      <c r="AT186" s="321"/>
      <c r="AU186" s="136">
        <f t="shared" si="37"/>
        <v>6.806876589937616E-6</v>
      </c>
      <c r="AV186" s="136">
        <f t="shared" si="48"/>
        <v>-4.3500000000000352</v>
      </c>
      <c r="AW186" s="136">
        <f t="shared" si="38"/>
        <v>3.1041407057845469E-5</v>
      </c>
      <c r="AX186" s="136" t="e">
        <f t="shared" si="39"/>
        <v>#N/A</v>
      </c>
      <c r="AY186" s="136">
        <f t="shared" si="40"/>
        <v>-4.3500100000000348</v>
      </c>
      <c r="AZ186" s="136">
        <f t="shared" si="41"/>
        <v>-4.3499900000000356</v>
      </c>
      <c r="BA186" s="136">
        <f t="shared" si="42"/>
        <v>2.4497758569570822E-2</v>
      </c>
      <c r="BB186" s="136">
        <f t="shared" si="43"/>
        <v>2.4497967551931565E-2</v>
      </c>
      <c r="BC186" s="136" t="e">
        <f t="shared" si="44"/>
        <v>#N/A</v>
      </c>
      <c r="BD186" s="136">
        <f t="shared" si="49"/>
        <v>3.1041407057845469E-5</v>
      </c>
      <c r="BE186" s="136">
        <f t="shared" si="45"/>
        <v>-9.6895859294215459E-4</v>
      </c>
      <c r="BF186" s="136" t="e">
        <f t="shared" si="46"/>
        <v>#N/A</v>
      </c>
      <c r="BG186" s="136" t="e">
        <f t="shared" si="47"/>
        <v>#N/A</v>
      </c>
    </row>
    <row r="187" spans="2:59" ht="11.25" customHeight="1">
      <c r="B187" s="321"/>
      <c r="C187" s="321"/>
      <c r="D187" s="321"/>
      <c r="E187" s="321"/>
      <c r="F187" s="321"/>
      <c r="G187" s="321"/>
      <c r="H187" s="321"/>
      <c r="I187" s="321"/>
      <c r="J187" s="321"/>
      <c r="K187" s="321"/>
      <c r="L187" s="321"/>
      <c r="M187" s="321"/>
      <c r="N187" s="321"/>
      <c r="O187" s="321"/>
      <c r="P187" s="321"/>
      <c r="Q187" s="321"/>
      <c r="R187" s="321"/>
      <c r="S187" s="321"/>
      <c r="T187" s="321"/>
      <c r="U187" s="321"/>
      <c r="V187" s="321"/>
      <c r="W187" s="321"/>
      <c r="X187" s="321"/>
      <c r="Y187" s="321"/>
      <c r="Z187" s="321"/>
      <c r="AA187" s="321"/>
      <c r="AB187" s="321"/>
      <c r="AC187" s="321"/>
      <c r="AD187" s="321"/>
      <c r="AE187" s="321"/>
      <c r="AF187" s="321"/>
      <c r="AG187" s="321"/>
      <c r="AH187" s="321"/>
      <c r="AI187" s="321"/>
      <c r="AJ187" s="321"/>
      <c r="AK187" s="321"/>
      <c r="AL187" s="321"/>
      <c r="AM187" s="321"/>
      <c r="AN187" s="321"/>
      <c r="AO187" s="321"/>
      <c r="AP187" s="427"/>
      <c r="AQ187" s="321"/>
      <c r="AR187" s="321"/>
      <c r="AS187" s="321"/>
      <c r="AT187" s="321"/>
      <c r="AU187" s="136">
        <f t="shared" si="37"/>
        <v>7.124135797953457E-6</v>
      </c>
      <c r="AV187" s="136">
        <f t="shared" si="48"/>
        <v>-4.3400000000000354</v>
      </c>
      <c r="AW187" s="136">
        <f t="shared" si="38"/>
        <v>3.2419886804208763E-5</v>
      </c>
      <c r="AX187" s="136" t="e">
        <f t="shared" si="39"/>
        <v>#N/A</v>
      </c>
      <c r="AY187" s="136">
        <f t="shared" si="40"/>
        <v>-4.340010000000035</v>
      </c>
      <c r="AZ187" s="136">
        <f t="shared" si="41"/>
        <v>-4.3399900000000358</v>
      </c>
      <c r="BA187" s="136">
        <f t="shared" si="42"/>
        <v>2.4602575848859227E-2</v>
      </c>
      <c r="BB187" s="136">
        <f t="shared" si="43"/>
        <v>2.4602786140000828E-2</v>
      </c>
      <c r="BC187" s="136" t="e">
        <f t="shared" si="44"/>
        <v>#N/A</v>
      </c>
      <c r="BD187" s="136">
        <f t="shared" si="49"/>
        <v>3.2419886804208763E-5</v>
      </c>
      <c r="BE187" s="136">
        <f t="shared" si="45"/>
        <v>-9.6758011319579128E-4</v>
      </c>
      <c r="BF187" s="136" t="e">
        <f t="shared" si="46"/>
        <v>#N/A</v>
      </c>
      <c r="BG187" s="136" t="e">
        <f t="shared" si="47"/>
        <v>#N/A</v>
      </c>
    </row>
    <row r="188" spans="2:59" ht="11.25" customHeight="1">
      <c r="B188" s="321"/>
      <c r="C188" s="321"/>
      <c r="D188" s="321"/>
      <c r="E188" s="321"/>
      <c r="F188" s="321"/>
      <c r="G188" s="321"/>
      <c r="H188" s="321"/>
      <c r="I188" s="321"/>
      <c r="J188" s="321"/>
      <c r="K188" s="321"/>
      <c r="L188" s="321"/>
      <c r="M188" s="321"/>
      <c r="N188" s="321"/>
      <c r="O188" s="321"/>
      <c r="P188" s="321"/>
      <c r="Q188" s="321"/>
      <c r="R188" s="321"/>
      <c r="S188" s="321"/>
      <c r="T188" s="321"/>
      <c r="U188" s="321"/>
      <c r="V188" s="321"/>
      <c r="W188" s="321"/>
      <c r="X188" s="321"/>
      <c r="Y188" s="321"/>
      <c r="Z188" s="321"/>
      <c r="AA188" s="321"/>
      <c r="AB188" s="321"/>
      <c r="AC188" s="321"/>
      <c r="AD188" s="321"/>
      <c r="AE188" s="321"/>
      <c r="AF188" s="321"/>
      <c r="AG188" s="321"/>
      <c r="AH188" s="321"/>
      <c r="AI188" s="321"/>
      <c r="AJ188" s="321"/>
      <c r="AK188" s="321"/>
      <c r="AL188" s="321"/>
      <c r="AM188" s="321"/>
      <c r="AN188" s="321"/>
      <c r="AO188" s="321"/>
      <c r="AP188" s="427"/>
      <c r="AQ188" s="321"/>
      <c r="AR188" s="321"/>
      <c r="AS188" s="321"/>
      <c r="AT188" s="321"/>
      <c r="AU188" s="136">
        <f t="shared" si="37"/>
        <v>7.4554670769222398E-6</v>
      </c>
      <c r="AV188" s="136">
        <f t="shared" si="48"/>
        <v>-4.3300000000000356</v>
      </c>
      <c r="AW188" s="136">
        <f t="shared" si="38"/>
        <v>3.385619597682265E-5</v>
      </c>
      <c r="AX188" s="136" t="e">
        <f t="shared" si="39"/>
        <v>#N/A</v>
      </c>
      <c r="AY188" s="136">
        <f t="shared" si="40"/>
        <v>-4.3300100000000352</v>
      </c>
      <c r="AZ188" s="136">
        <f t="shared" si="41"/>
        <v>-4.329990000000036</v>
      </c>
      <c r="BA188" s="136">
        <f t="shared" si="42"/>
        <v>2.4708050173464113E-2</v>
      </c>
      <c r="BB188" s="136">
        <f t="shared" si="43"/>
        <v>2.4708261784044932E-2</v>
      </c>
      <c r="BC188" s="136" t="e">
        <f t="shared" si="44"/>
        <v>#N/A</v>
      </c>
      <c r="BD188" s="136">
        <f t="shared" si="49"/>
        <v>3.385619597682265E-5</v>
      </c>
      <c r="BE188" s="136">
        <f t="shared" si="45"/>
        <v>-9.6614380402317739E-4</v>
      </c>
      <c r="BF188" s="136" t="e">
        <f t="shared" si="46"/>
        <v>#N/A</v>
      </c>
      <c r="BG188" s="136" t="e">
        <f t="shared" si="47"/>
        <v>#N/A</v>
      </c>
    </row>
    <row r="189" spans="2:59" ht="11.25" customHeight="1">
      <c r="B189" s="321"/>
      <c r="C189" s="321"/>
      <c r="D189" s="321"/>
      <c r="E189" s="321"/>
      <c r="F189" s="321"/>
      <c r="G189" s="321"/>
      <c r="H189" s="321"/>
      <c r="I189" s="321"/>
      <c r="J189" s="321"/>
      <c r="K189" s="321"/>
      <c r="L189" s="321"/>
      <c r="M189" s="321"/>
      <c r="N189" s="321"/>
      <c r="O189" s="321"/>
      <c r="P189" s="321"/>
      <c r="Q189" s="321"/>
      <c r="R189" s="321"/>
      <c r="S189" s="321"/>
      <c r="T189" s="321"/>
      <c r="U189" s="321"/>
      <c r="V189" s="321"/>
      <c r="W189" s="321"/>
      <c r="X189" s="321"/>
      <c r="Y189" s="321"/>
      <c r="Z189" s="321"/>
      <c r="AA189" s="321"/>
      <c r="AB189" s="321"/>
      <c r="AC189" s="321"/>
      <c r="AD189" s="321"/>
      <c r="AE189" s="321"/>
      <c r="AF189" s="321"/>
      <c r="AG189" s="321"/>
      <c r="AH189" s="321"/>
      <c r="AI189" s="321"/>
      <c r="AJ189" s="321"/>
      <c r="AK189" s="321"/>
      <c r="AL189" s="321"/>
      <c r="AM189" s="321"/>
      <c r="AN189" s="321"/>
      <c r="AO189" s="321"/>
      <c r="AP189" s="427"/>
      <c r="AQ189" s="321"/>
      <c r="AR189" s="321"/>
      <c r="AS189" s="321"/>
      <c r="AT189" s="321"/>
      <c r="AU189" s="136">
        <f t="shared" si="37"/>
        <v>7.8014600574105586E-6</v>
      </c>
      <c r="AV189" s="136">
        <f t="shared" si="48"/>
        <v>-4.3200000000000358</v>
      </c>
      <c r="AW189" s="136">
        <f t="shared" si="38"/>
        <v>3.5352603001767628E-5</v>
      </c>
      <c r="AX189" s="136" t="e">
        <f t="shared" si="39"/>
        <v>#N/A</v>
      </c>
      <c r="AY189" s="136">
        <f t="shared" si="40"/>
        <v>-4.3200100000000354</v>
      </c>
      <c r="AZ189" s="136">
        <f t="shared" si="41"/>
        <v>-4.3199900000000362</v>
      </c>
      <c r="BA189" s="136">
        <f t="shared" si="42"/>
        <v>2.4814186898838846E-2</v>
      </c>
      <c r="BB189" s="136">
        <f t="shared" si="43"/>
        <v>2.4814399839622744E-2</v>
      </c>
      <c r="BC189" s="136" t="e">
        <f t="shared" si="44"/>
        <v>#N/A</v>
      </c>
      <c r="BD189" s="136">
        <f t="shared" si="49"/>
        <v>3.5352603001767628E-5</v>
      </c>
      <c r="BE189" s="136">
        <f t="shared" si="45"/>
        <v>-9.6464739699823237E-4</v>
      </c>
      <c r="BF189" s="136" t="e">
        <f t="shared" si="46"/>
        <v>#N/A</v>
      </c>
      <c r="BG189" s="136" t="e">
        <f t="shared" si="47"/>
        <v>#N/A</v>
      </c>
    </row>
    <row r="190" spans="2:59" ht="11.25" customHeight="1">
      <c r="B190" s="321"/>
      <c r="C190" s="321"/>
      <c r="D190" s="321"/>
      <c r="E190" s="321"/>
      <c r="F190" s="321"/>
      <c r="G190" s="321"/>
      <c r="H190" s="321"/>
      <c r="I190" s="321"/>
      <c r="J190" s="321"/>
      <c r="K190" s="321"/>
      <c r="L190" s="321"/>
      <c r="M190" s="321"/>
      <c r="N190" s="321"/>
      <c r="O190" s="321"/>
      <c r="P190" s="321"/>
      <c r="Q190" s="321"/>
      <c r="R190" s="321"/>
      <c r="S190" s="321"/>
      <c r="T190" s="321"/>
      <c r="U190" s="321"/>
      <c r="V190" s="321"/>
      <c r="W190" s="321"/>
      <c r="X190" s="321"/>
      <c r="Y190" s="321"/>
      <c r="Z190" s="321"/>
      <c r="AA190" s="321"/>
      <c r="AB190" s="321"/>
      <c r="AC190" s="321"/>
      <c r="AD190" s="321"/>
      <c r="AE190" s="321"/>
      <c r="AF190" s="321"/>
      <c r="AG190" s="321"/>
      <c r="AH190" s="321"/>
      <c r="AI190" s="321"/>
      <c r="AJ190" s="321"/>
      <c r="AK190" s="321"/>
      <c r="AL190" s="321"/>
      <c r="AM190" s="321"/>
      <c r="AN190" s="321"/>
      <c r="AO190" s="321"/>
      <c r="AP190" s="427"/>
      <c r="AQ190" s="321"/>
      <c r="AR190" s="321"/>
      <c r="AS190" s="321"/>
      <c r="AT190" s="321"/>
      <c r="AU190" s="136">
        <f t="shared" si="37"/>
        <v>8.1627272727757827E-6</v>
      </c>
      <c r="AV190" s="136">
        <f t="shared" si="48"/>
        <v>-4.310000000000036</v>
      </c>
      <c r="AW190" s="136">
        <f t="shared" si="38"/>
        <v>3.6911458258660422E-5</v>
      </c>
      <c r="AX190" s="136" t="e">
        <f t="shared" si="39"/>
        <v>#N/A</v>
      </c>
      <c r="AY190" s="136">
        <f t="shared" si="40"/>
        <v>-4.3100100000000356</v>
      </c>
      <c r="AZ190" s="136">
        <f t="shared" si="41"/>
        <v>-4.3099900000000364</v>
      </c>
      <c r="BA190" s="136">
        <f t="shared" si="42"/>
        <v>2.4920991433516445E-2</v>
      </c>
      <c r="BB190" s="136">
        <f t="shared" si="43"/>
        <v>2.4921205715374126E-2</v>
      </c>
      <c r="BC190" s="136" t="e">
        <f t="shared" si="44"/>
        <v>#N/A</v>
      </c>
      <c r="BD190" s="136">
        <f t="shared" si="49"/>
        <v>3.6911458258660422E-5</v>
      </c>
      <c r="BE190" s="136">
        <f t="shared" si="45"/>
        <v>-9.6308854174133958E-4</v>
      </c>
      <c r="BF190" s="136" t="e">
        <f t="shared" si="46"/>
        <v>#N/A</v>
      </c>
      <c r="BG190" s="136" t="e">
        <f t="shared" si="47"/>
        <v>#N/A</v>
      </c>
    </row>
    <row r="191" spans="2:59" ht="11.25" customHeight="1">
      <c r="B191" s="321"/>
      <c r="C191" s="321"/>
      <c r="D191" s="321"/>
      <c r="E191" s="321"/>
      <c r="F191" s="321"/>
      <c r="G191" s="321"/>
      <c r="H191" s="321"/>
      <c r="I191" s="321"/>
      <c r="J191" s="321"/>
      <c r="K191" s="321"/>
      <c r="L191" s="321"/>
      <c r="M191" s="321"/>
      <c r="N191" s="321"/>
      <c r="O191" s="321"/>
      <c r="P191" s="321"/>
      <c r="Q191" s="321"/>
      <c r="R191" s="321"/>
      <c r="S191" s="321"/>
      <c r="T191" s="321"/>
      <c r="U191" s="321"/>
      <c r="V191" s="321"/>
      <c r="W191" s="321"/>
      <c r="X191" s="321"/>
      <c r="Y191" s="321"/>
      <c r="Z191" s="321"/>
      <c r="AA191" s="321"/>
      <c r="AB191" s="321"/>
      <c r="AC191" s="321"/>
      <c r="AD191" s="321"/>
      <c r="AE191" s="321"/>
      <c r="AF191" s="321"/>
      <c r="AG191" s="321"/>
      <c r="AH191" s="321"/>
      <c r="AI191" s="321"/>
      <c r="AJ191" s="321"/>
      <c r="AK191" s="321"/>
      <c r="AL191" s="321"/>
      <c r="AM191" s="321"/>
      <c r="AN191" s="321"/>
      <c r="AO191" s="321"/>
      <c r="AP191" s="427"/>
      <c r="AQ191" s="321"/>
      <c r="AR191" s="321"/>
      <c r="AS191" s="321"/>
      <c r="AT191" s="321"/>
      <c r="AU191" s="136">
        <f t="shared" si="37"/>
        <v>8.5399054718937606E-6</v>
      </c>
      <c r="AV191" s="136">
        <f t="shared" si="48"/>
        <v>-4.3000000000000362</v>
      </c>
      <c r="AW191" s="136">
        <f t="shared" si="38"/>
        <v>3.8535196742081105E-5</v>
      </c>
      <c r="AX191" s="136" t="e">
        <f t="shared" si="39"/>
        <v>#N/A</v>
      </c>
      <c r="AY191" s="136">
        <f t="shared" si="40"/>
        <v>-4.3000100000000359</v>
      </c>
      <c r="AZ191" s="136">
        <f t="shared" si="41"/>
        <v>-4.2999900000000366</v>
      </c>
      <c r="BA191" s="136">
        <f t="shared" si="42"/>
        <v>2.5028469239721463E-2</v>
      </c>
      <c r="BB191" s="136">
        <f t="shared" si="43"/>
        <v>2.5028684873631541E-2</v>
      </c>
      <c r="BC191" s="136" t="e">
        <f t="shared" si="44"/>
        <v>#N/A</v>
      </c>
      <c r="BD191" s="136">
        <f t="shared" si="49"/>
        <v>3.8535196742081105E-5</v>
      </c>
      <c r="BE191" s="136">
        <f t="shared" si="45"/>
        <v>-9.6146480325791893E-4</v>
      </c>
      <c r="BF191" s="136" t="e">
        <f t="shared" si="46"/>
        <v>#N/A</v>
      </c>
      <c r="BG191" s="136" t="e">
        <f t="shared" si="47"/>
        <v>#N/A</v>
      </c>
    </row>
    <row r="192" spans="2:59" ht="11.25" customHeight="1">
      <c r="B192" s="321"/>
      <c r="C192" s="321"/>
      <c r="D192" s="321"/>
      <c r="E192" s="321"/>
      <c r="F192" s="321"/>
      <c r="G192" s="321"/>
      <c r="H192" s="321"/>
      <c r="I192" s="321"/>
      <c r="J192" s="321"/>
      <c r="K192" s="321"/>
      <c r="L192" s="321"/>
      <c r="M192" s="321"/>
      <c r="N192" s="321"/>
      <c r="O192" s="321"/>
      <c r="P192" s="321"/>
      <c r="Q192" s="321"/>
      <c r="R192" s="321"/>
      <c r="S192" s="321"/>
      <c r="T192" s="321"/>
      <c r="U192" s="321"/>
      <c r="V192" s="321"/>
      <c r="W192" s="321"/>
      <c r="X192" s="321"/>
      <c r="Y192" s="321"/>
      <c r="Z192" s="321"/>
      <c r="AA192" s="321"/>
      <c r="AB192" s="321"/>
      <c r="AC192" s="321"/>
      <c r="AD192" s="321"/>
      <c r="AE192" s="321"/>
      <c r="AF192" s="321"/>
      <c r="AG192" s="321"/>
      <c r="AH192" s="321"/>
      <c r="AI192" s="321"/>
      <c r="AJ192" s="321"/>
      <c r="AK192" s="321"/>
      <c r="AL192" s="321"/>
      <c r="AM192" s="321"/>
      <c r="AN192" s="321"/>
      <c r="AO192" s="321"/>
      <c r="AP192" s="427"/>
      <c r="AQ192" s="321"/>
      <c r="AR192" s="321"/>
      <c r="AS192" s="321"/>
      <c r="AT192" s="321"/>
      <c r="AU192" s="136">
        <f t="shared" si="37"/>
        <v>8.933655917919836E-6</v>
      </c>
      <c r="AV192" s="136">
        <f t="shared" si="48"/>
        <v>-4.2900000000000365</v>
      </c>
      <c r="AW192" s="136">
        <f t="shared" si="38"/>
        <v>4.0226340797258676E-5</v>
      </c>
      <c r="AX192" s="136" t="e">
        <f t="shared" si="39"/>
        <v>#N/A</v>
      </c>
      <c r="AY192" s="136">
        <f t="shared" si="40"/>
        <v>-4.2900100000000361</v>
      </c>
      <c r="AZ192" s="136">
        <f t="shared" si="41"/>
        <v>-4.2899900000000368</v>
      </c>
      <c r="BA192" s="136">
        <f t="shared" si="42"/>
        <v>2.5136625833989568E-2</v>
      </c>
      <c r="BB192" s="136">
        <f t="shared" si="43"/>
        <v>2.5136842831039972E-2</v>
      </c>
      <c r="BC192" s="136" t="e">
        <f t="shared" si="44"/>
        <v>#N/A</v>
      </c>
      <c r="BD192" s="136">
        <f t="shared" si="49"/>
        <v>4.0226340797258676E-5</v>
      </c>
      <c r="BE192" s="136">
        <f t="shared" si="45"/>
        <v>-9.5977365920274136E-4</v>
      </c>
      <c r="BF192" s="136" t="e">
        <f t="shared" si="46"/>
        <v>#N/A</v>
      </c>
      <c r="BG192" s="136" t="e">
        <f t="shared" si="47"/>
        <v>#N/A</v>
      </c>
    </row>
    <row r="193" spans="2:59" ht="11.25" customHeight="1">
      <c r="B193" s="321"/>
      <c r="C193" s="321"/>
      <c r="D193" s="321"/>
      <c r="E193" s="321"/>
      <c r="F193" s="321"/>
      <c r="G193" s="321"/>
      <c r="H193" s="321"/>
      <c r="I193" s="321"/>
      <c r="J193" s="321"/>
      <c r="K193" s="321"/>
      <c r="L193" s="321"/>
      <c r="M193" s="321"/>
      <c r="N193" s="321"/>
      <c r="O193" s="321"/>
      <c r="P193" s="321"/>
      <c r="Q193" s="321"/>
      <c r="R193" s="321"/>
      <c r="S193" s="321"/>
      <c r="T193" s="321"/>
      <c r="U193" s="321"/>
      <c r="V193" s="321"/>
      <c r="W193" s="321"/>
      <c r="X193" s="321"/>
      <c r="Y193" s="321"/>
      <c r="Z193" s="321"/>
      <c r="AA193" s="321"/>
      <c r="AB193" s="321"/>
      <c r="AC193" s="321"/>
      <c r="AD193" s="321"/>
      <c r="AE193" s="321"/>
      <c r="AF193" s="321"/>
      <c r="AG193" s="321"/>
      <c r="AH193" s="321"/>
      <c r="AI193" s="321"/>
      <c r="AJ193" s="321"/>
      <c r="AK193" s="321"/>
      <c r="AL193" s="321"/>
      <c r="AM193" s="321"/>
      <c r="AN193" s="321"/>
      <c r="AO193" s="321"/>
      <c r="AP193" s="427"/>
      <c r="AQ193" s="321"/>
      <c r="AR193" s="321"/>
      <c r="AS193" s="321"/>
      <c r="AT193" s="321"/>
      <c r="AU193" s="136">
        <f t="shared" si="37"/>
        <v>9.3446656765916458E-6</v>
      </c>
      <c r="AV193" s="136">
        <f t="shared" si="48"/>
        <v>-4.2800000000000367</v>
      </c>
      <c r="AW193" s="136">
        <f t="shared" si="38"/>
        <v>4.1987502931610749E-5</v>
      </c>
      <c r="AX193" s="136" t="e">
        <f t="shared" si="39"/>
        <v>#N/A</v>
      </c>
      <c r="AY193" s="136">
        <f t="shared" si="40"/>
        <v>-4.2800100000000363</v>
      </c>
      <c r="AZ193" s="136">
        <f t="shared" si="41"/>
        <v>-4.279990000000037</v>
      </c>
      <c r="BA193" s="136">
        <f t="shared" si="42"/>
        <v>2.5245466787795354E-2</v>
      </c>
      <c r="BB193" s="136">
        <f t="shared" si="43"/>
        <v>2.5245685159184513E-2</v>
      </c>
      <c r="BC193" s="136" t="e">
        <f t="shared" si="44"/>
        <v>#N/A</v>
      </c>
      <c r="BD193" s="136">
        <f t="shared" si="49"/>
        <v>4.1987502931610749E-5</v>
      </c>
      <c r="BE193" s="136">
        <f t="shared" si="45"/>
        <v>-9.5801249706838933E-4</v>
      </c>
      <c r="BF193" s="136" t="e">
        <f t="shared" si="46"/>
        <v>#N/A</v>
      </c>
      <c r="BG193" s="136" t="e">
        <f t="shared" si="47"/>
        <v>#N/A</v>
      </c>
    </row>
    <row r="194" spans="2:59" ht="11.25" customHeight="1">
      <c r="B194" s="321"/>
      <c r="C194" s="321"/>
      <c r="D194" s="321"/>
      <c r="E194" s="321"/>
      <c r="F194" s="321"/>
      <c r="G194" s="321"/>
      <c r="H194" s="321"/>
      <c r="I194" s="321"/>
      <c r="J194" s="321"/>
      <c r="K194" s="321"/>
      <c r="L194" s="321"/>
      <c r="M194" s="321"/>
      <c r="N194" s="321"/>
      <c r="O194" s="321"/>
      <c r="P194" s="321"/>
      <c r="Q194" s="321"/>
      <c r="R194" s="321"/>
      <c r="S194" s="321"/>
      <c r="T194" s="321"/>
      <c r="U194" s="321"/>
      <c r="V194" s="321"/>
      <c r="W194" s="321"/>
      <c r="X194" s="321"/>
      <c r="Y194" s="321"/>
      <c r="Z194" s="321"/>
      <c r="AA194" s="321"/>
      <c r="AB194" s="321"/>
      <c r="AC194" s="321"/>
      <c r="AD194" s="321"/>
      <c r="AE194" s="321"/>
      <c r="AF194" s="321"/>
      <c r="AG194" s="321"/>
      <c r="AH194" s="321"/>
      <c r="AI194" s="321"/>
      <c r="AJ194" s="321"/>
      <c r="AK194" s="321"/>
      <c r="AL194" s="321"/>
      <c r="AM194" s="321"/>
      <c r="AN194" s="321"/>
      <c r="AO194" s="321"/>
      <c r="AP194" s="427"/>
      <c r="AQ194" s="321"/>
      <c r="AR194" s="321"/>
      <c r="AS194" s="321"/>
      <c r="AT194" s="321"/>
      <c r="AU194" s="136">
        <f t="shared" si="37"/>
        <v>9.7736483775090477E-6</v>
      </c>
      <c r="AV194" s="136">
        <f t="shared" si="48"/>
        <v>-4.2700000000000369</v>
      </c>
      <c r="AW194" s="136">
        <f t="shared" si="38"/>
        <v>4.3821388703751186E-5</v>
      </c>
      <c r="AX194" s="136" t="e">
        <f t="shared" si="39"/>
        <v>#N/A</v>
      </c>
      <c r="AY194" s="136">
        <f t="shared" si="40"/>
        <v>-4.2700100000000365</v>
      </c>
      <c r="AZ194" s="136">
        <f t="shared" si="41"/>
        <v>-4.2699900000000373</v>
      </c>
      <c r="BA194" s="136">
        <f t="shared" si="42"/>
        <v>2.5354997728188226E-2</v>
      </c>
      <c r="BB194" s="136">
        <f t="shared" si="43"/>
        <v>2.5355217485226327E-2</v>
      </c>
      <c r="BC194" s="136" t="e">
        <f t="shared" si="44"/>
        <v>#N/A</v>
      </c>
      <c r="BD194" s="136">
        <f t="shared" si="49"/>
        <v>4.3821388703751186E-5</v>
      </c>
      <c r="BE194" s="136">
        <f t="shared" si="45"/>
        <v>-9.5617861129624888E-4</v>
      </c>
      <c r="BF194" s="136" t="e">
        <f t="shared" si="46"/>
        <v>#N/A</v>
      </c>
      <c r="BG194" s="136" t="e">
        <f t="shared" si="47"/>
        <v>#N/A</v>
      </c>
    </row>
    <row r="195" spans="2:59" ht="11.25" customHeight="1">
      <c r="B195" s="321"/>
      <c r="C195" s="321"/>
      <c r="D195" s="321"/>
      <c r="E195" s="321"/>
      <c r="F195" s="321"/>
      <c r="G195" s="321"/>
      <c r="H195" s="321"/>
      <c r="I195" s="321"/>
      <c r="J195" s="321"/>
      <c r="K195" s="321"/>
      <c r="L195" s="321"/>
      <c r="M195" s="321"/>
      <c r="N195" s="321"/>
      <c r="O195" s="321"/>
      <c r="P195" s="321"/>
      <c r="Q195" s="321"/>
      <c r="R195" s="321"/>
      <c r="S195" s="321"/>
      <c r="T195" s="321"/>
      <c r="U195" s="321"/>
      <c r="V195" s="321"/>
      <c r="W195" s="321"/>
      <c r="X195" s="321"/>
      <c r="Y195" s="321"/>
      <c r="Z195" s="321"/>
      <c r="AA195" s="321"/>
      <c r="AB195" s="321"/>
      <c r="AC195" s="321"/>
      <c r="AD195" s="321"/>
      <c r="AE195" s="321"/>
      <c r="AF195" s="321"/>
      <c r="AG195" s="321"/>
      <c r="AH195" s="321"/>
      <c r="AI195" s="321"/>
      <c r="AJ195" s="321"/>
      <c r="AK195" s="321"/>
      <c r="AL195" s="321"/>
      <c r="AM195" s="321"/>
      <c r="AN195" s="321"/>
      <c r="AO195" s="321"/>
      <c r="AP195" s="427"/>
      <c r="AQ195" s="321"/>
      <c r="AR195" s="321"/>
      <c r="AS195" s="321"/>
      <c r="AT195" s="321"/>
      <c r="AU195" s="136">
        <f t="shared" si="37"/>
        <v>1.0221345191352427E-5</v>
      </c>
      <c r="AV195" s="136">
        <f t="shared" si="48"/>
        <v>-4.2600000000000371</v>
      </c>
      <c r="AW195" s="136">
        <f t="shared" si="38"/>
        <v>4.5730799691593995E-5</v>
      </c>
      <c r="AX195" s="136" t="e">
        <f t="shared" si="39"/>
        <v>#N/A</v>
      </c>
      <c r="AY195" s="136">
        <f t="shared" si="40"/>
        <v>-4.2600100000000367</v>
      </c>
      <c r="AZ195" s="136">
        <f t="shared" si="41"/>
        <v>-4.2599900000000375</v>
      </c>
      <c r="BA195" s="136">
        <f t="shared" si="42"/>
        <v>2.5465224338436499E-2</v>
      </c>
      <c r="BB195" s="136">
        <f t="shared" si="43"/>
        <v>2.5465445492546871E-2</v>
      </c>
      <c r="BC195" s="136" t="e">
        <f t="shared" si="44"/>
        <v>#N/A</v>
      </c>
      <c r="BD195" s="136">
        <f t="shared" si="49"/>
        <v>4.5730799691593995E-5</v>
      </c>
      <c r="BE195" s="136">
        <f t="shared" si="45"/>
        <v>-9.5426920030840603E-4</v>
      </c>
      <c r="BF195" s="136" t="e">
        <f t="shared" si="46"/>
        <v>#N/A</v>
      </c>
      <c r="BG195" s="136" t="e">
        <f t="shared" si="47"/>
        <v>#N/A</v>
      </c>
    </row>
    <row r="196" spans="2:59" ht="11.25" customHeight="1">
      <c r="B196" s="321"/>
      <c r="C196" s="321"/>
      <c r="D196" s="321"/>
      <c r="E196" s="321"/>
      <c r="F196" s="321"/>
      <c r="G196" s="321"/>
      <c r="H196" s="321"/>
      <c r="I196" s="321"/>
      <c r="J196" s="321"/>
      <c r="K196" s="321"/>
      <c r="L196" s="321"/>
      <c r="M196" s="321"/>
      <c r="N196" s="321"/>
      <c r="O196" s="321"/>
      <c r="P196" s="321"/>
      <c r="Q196" s="321"/>
      <c r="R196" s="321"/>
      <c r="S196" s="321"/>
      <c r="T196" s="321"/>
      <c r="U196" s="321"/>
      <c r="V196" s="321"/>
      <c r="W196" s="321"/>
      <c r="X196" s="321"/>
      <c r="Y196" s="321"/>
      <c r="Z196" s="321"/>
      <c r="AA196" s="321"/>
      <c r="AB196" s="321"/>
      <c r="AC196" s="321"/>
      <c r="AD196" s="321"/>
      <c r="AE196" s="321"/>
      <c r="AF196" s="321"/>
      <c r="AG196" s="321"/>
      <c r="AH196" s="321"/>
      <c r="AI196" s="321"/>
      <c r="AJ196" s="321"/>
      <c r="AK196" s="321"/>
      <c r="AL196" s="321"/>
      <c r="AM196" s="321"/>
      <c r="AN196" s="321"/>
      <c r="AO196" s="321"/>
      <c r="AP196" s="427"/>
      <c r="AQ196" s="321"/>
      <c r="AR196" s="321"/>
      <c r="AS196" s="321"/>
      <c r="AT196" s="321"/>
      <c r="AU196" s="136">
        <f t="shared" si="37"/>
        <v>1.068852578145485E-5</v>
      </c>
      <c r="AV196" s="136">
        <f t="shared" si="48"/>
        <v>-4.2500000000000373</v>
      </c>
      <c r="AW196" s="136">
        <f t="shared" si="38"/>
        <v>4.7718636541197396E-5</v>
      </c>
      <c r="AX196" s="136" t="e">
        <f t="shared" si="39"/>
        <v>#N/A</v>
      </c>
      <c r="AY196" s="136">
        <f t="shared" si="40"/>
        <v>-4.2500100000000369</v>
      </c>
      <c r="AZ196" s="136">
        <f t="shared" si="41"/>
        <v>-4.2499900000000377</v>
      </c>
      <c r="BA196" s="136">
        <f t="shared" si="42"/>
        <v>2.557615235868E-2</v>
      </c>
      <c r="BB196" s="136">
        <f t="shared" si="43"/>
        <v>2.557637492140033E-2</v>
      </c>
      <c r="BC196" s="136" t="e">
        <f t="shared" si="44"/>
        <v>#N/A</v>
      </c>
      <c r="BD196" s="136">
        <f t="shared" si="49"/>
        <v>4.7718636541197396E-5</v>
      </c>
      <c r="BE196" s="136">
        <f t="shared" si="45"/>
        <v>-9.5228136345880258E-4</v>
      </c>
      <c r="BF196" s="136" t="e">
        <f t="shared" si="46"/>
        <v>#N/A</v>
      </c>
      <c r="BG196" s="136" t="e">
        <f t="shared" si="47"/>
        <v>#N/A</v>
      </c>
    </row>
    <row r="197" spans="2:59" ht="11.25" customHeight="1">
      <c r="B197" s="321"/>
      <c r="C197" s="321"/>
      <c r="D197" s="321"/>
      <c r="E197" s="321"/>
      <c r="F197" s="321"/>
      <c r="G197" s="321"/>
      <c r="H197" s="321"/>
      <c r="I197" s="321"/>
      <c r="J197" s="321"/>
      <c r="K197" s="321"/>
      <c r="L197" s="321"/>
      <c r="M197" s="321"/>
      <c r="N197" s="321"/>
      <c r="O197" s="321"/>
      <c r="P197" s="321"/>
      <c r="Q197" s="321"/>
      <c r="R197" s="321"/>
      <c r="S197" s="321"/>
      <c r="T197" s="321"/>
      <c r="U197" s="321"/>
      <c r="V197" s="321"/>
      <c r="W197" s="321"/>
      <c r="X197" s="321"/>
      <c r="Y197" s="321"/>
      <c r="Z197" s="321"/>
      <c r="AA197" s="321"/>
      <c r="AB197" s="321"/>
      <c r="AC197" s="321"/>
      <c r="AD197" s="321"/>
      <c r="AE197" s="321"/>
      <c r="AF197" s="321"/>
      <c r="AG197" s="321"/>
      <c r="AH197" s="321"/>
      <c r="AI197" s="321"/>
      <c r="AJ197" s="321"/>
      <c r="AK197" s="321"/>
      <c r="AL197" s="321"/>
      <c r="AM197" s="321"/>
      <c r="AN197" s="321"/>
      <c r="AO197" s="321"/>
      <c r="AP197" s="427"/>
      <c r="AQ197" s="321"/>
      <c r="AR197" s="321"/>
      <c r="AS197" s="321"/>
      <c r="AT197" s="321"/>
      <c r="AU197" s="136">
        <f t="shared" si="37"/>
        <v>1.1175989340861392E-5</v>
      </c>
      <c r="AV197" s="136">
        <f t="shared" si="48"/>
        <v>-4.2400000000000375</v>
      </c>
      <c r="AW197" s="136">
        <f t="shared" si="38"/>
        <v>4.9787902098004209E-5</v>
      </c>
      <c r="AX197" s="136" t="e">
        <f t="shared" si="39"/>
        <v>#N/A</v>
      </c>
      <c r="AY197" s="136">
        <f t="shared" si="40"/>
        <v>-4.2400100000000371</v>
      </c>
      <c r="AZ197" s="136">
        <f t="shared" si="41"/>
        <v>-4.2399900000000379</v>
      </c>
      <c r="BA197" s="136">
        <f t="shared" si="42"/>
        <v>2.568778758659105E-2</v>
      </c>
      <c r="BB197" s="136">
        <f t="shared" si="43"/>
        <v>2.5688011569574787E-2</v>
      </c>
      <c r="BC197" s="136" t="e">
        <f t="shared" si="44"/>
        <v>#N/A</v>
      </c>
      <c r="BD197" s="136">
        <f t="shared" si="49"/>
        <v>4.9787902098004209E-5</v>
      </c>
      <c r="BE197" s="136">
        <f t="shared" si="45"/>
        <v>-9.5021209790199584E-4</v>
      </c>
      <c r="BF197" s="136" t="e">
        <f t="shared" si="46"/>
        <v>#N/A</v>
      </c>
      <c r="BG197" s="136" t="e">
        <f t="shared" si="47"/>
        <v>#N/A</v>
      </c>
    </row>
    <row r="198" spans="2:59" ht="11.25" customHeight="1">
      <c r="B198" s="321"/>
      <c r="C198" s="321"/>
      <c r="D198" s="321"/>
      <c r="E198" s="321"/>
      <c r="F198" s="321"/>
      <c r="G198" s="321"/>
      <c r="H198" s="321"/>
      <c r="I198" s="321"/>
      <c r="J198" s="321"/>
      <c r="K198" s="321"/>
      <c r="L198" s="321"/>
      <c r="M198" s="321"/>
      <c r="N198" s="321"/>
      <c r="O198" s="321"/>
      <c r="P198" s="321"/>
      <c r="Q198" s="321"/>
      <c r="R198" s="321"/>
      <c r="S198" s="321"/>
      <c r="T198" s="321"/>
      <c r="U198" s="321"/>
      <c r="V198" s="321"/>
      <c r="W198" s="321"/>
      <c r="X198" s="321"/>
      <c r="Y198" s="321"/>
      <c r="Z198" s="321"/>
      <c r="AA198" s="321"/>
      <c r="AB198" s="321"/>
      <c r="AC198" s="321"/>
      <c r="AD198" s="321"/>
      <c r="AE198" s="321"/>
      <c r="AF198" s="321"/>
      <c r="AG198" s="321"/>
      <c r="AH198" s="321"/>
      <c r="AI198" s="321"/>
      <c r="AJ198" s="321"/>
      <c r="AK198" s="321"/>
      <c r="AL198" s="321"/>
      <c r="AM198" s="321"/>
      <c r="AN198" s="321"/>
      <c r="AO198" s="321"/>
      <c r="AP198" s="427"/>
      <c r="AQ198" s="321"/>
      <c r="AR198" s="321"/>
      <c r="AS198" s="321"/>
      <c r="AT198" s="321"/>
      <c r="AU198" s="136">
        <f t="shared" si="37"/>
        <v>1.1684565601188801E-5</v>
      </c>
      <c r="AV198" s="136">
        <f t="shared" si="48"/>
        <v>-4.2300000000000377</v>
      </c>
      <c r="AW198" s="136">
        <f t="shared" si="38"/>
        <v>5.1941704622151557E-5</v>
      </c>
      <c r="AX198" s="136" t="e">
        <f t="shared" si="39"/>
        <v>#N/A</v>
      </c>
      <c r="AY198" s="136">
        <f t="shared" si="40"/>
        <v>-4.2300100000000374</v>
      </c>
      <c r="AZ198" s="136">
        <f t="shared" si="41"/>
        <v>-4.2299900000000381</v>
      </c>
      <c r="BA198" s="136">
        <f t="shared" si="42"/>
        <v>2.580013587804416E-2</v>
      </c>
      <c r="BB198" s="136">
        <f t="shared" si="43"/>
        <v>2.5800361293061826E-2</v>
      </c>
      <c r="BC198" s="136" t="e">
        <f t="shared" si="44"/>
        <v>#N/A</v>
      </c>
      <c r="BD198" s="136">
        <f t="shared" si="49"/>
        <v>5.1941704622151557E-5</v>
      </c>
      <c r="BE198" s="136">
        <f t="shared" si="45"/>
        <v>-9.4805829537784848E-4</v>
      </c>
      <c r="BF198" s="136" t="e">
        <f t="shared" si="46"/>
        <v>#N/A</v>
      </c>
      <c r="BG198" s="136" t="e">
        <f t="shared" si="47"/>
        <v>#N/A</v>
      </c>
    </row>
    <row r="199" spans="2:59" ht="11.25" customHeight="1">
      <c r="B199" s="321"/>
      <c r="C199" s="321"/>
      <c r="D199" s="321"/>
      <c r="E199" s="321"/>
      <c r="F199" s="321"/>
      <c r="G199" s="321"/>
      <c r="H199" s="321"/>
      <c r="I199" s="321"/>
      <c r="J199" s="321"/>
      <c r="K199" s="321"/>
      <c r="L199" s="321"/>
      <c r="M199" s="321"/>
      <c r="N199" s="321"/>
      <c r="O199" s="321"/>
      <c r="P199" s="321"/>
      <c r="Q199" s="321"/>
      <c r="R199" s="321"/>
      <c r="S199" s="321"/>
      <c r="T199" s="321"/>
      <c r="U199" s="321"/>
      <c r="V199" s="321"/>
      <c r="W199" s="321"/>
      <c r="X199" s="321"/>
      <c r="Y199" s="321"/>
      <c r="Z199" s="321"/>
      <c r="AA199" s="321"/>
      <c r="AB199" s="321"/>
      <c r="AC199" s="321"/>
      <c r="AD199" s="321"/>
      <c r="AE199" s="321"/>
      <c r="AF199" s="321"/>
      <c r="AG199" s="321"/>
      <c r="AH199" s="321"/>
      <c r="AI199" s="321"/>
      <c r="AJ199" s="321"/>
      <c r="AK199" s="321"/>
      <c r="AL199" s="321"/>
      <c r="AM199" s="321"/>
      <c r="AN199" s="321"/>
      <c r="AO199" s="321"/>
      <c r="AP199" s="427"/>
      <c r="AQ199" s="321"/>
      <c r="AR199" s="321"/>
      <c r="AS199" s="321"/>
      <c r="AT199" s="321"/>
      <c r="AU199" s="136">
        <f t="shared" si="37"/>
        <v>1.2215115915759078E-5</v>
      </c>
      <c r="AV199" s="136">
        <f t="shared" si="48"/>
        <v>-4.2200000000000379</v>
      </c>
      <c r="AW199" s="136">
        <f t="shared" si="38"/>
        <v>5.4183261089531471E-5</v>
      </c>
      <c r="AX199" s="136" t="e">
        <f t="shared" si="39"/>
        <v>#N/A</v>
      </c>
      <c r="AY199" s="136">
        <f t="shared" si="40"/>
        <v>-4.2200100000000376</v>
      </c>
      <c r="AZ199" s="136">
        <f t="shared" si="41"/>
        <v>-4.2199900000000383</v>
      </c>
      <c r="BA199" s="136">
        <f t="shared" si="42"/>
        <v>2.591320314779438E-2</v>
      </c>
      <c r="BB199" s="136">
        <f t="shared" si="43"/>
        <v>2.5913430006734964E-2</v>
      </c>
      <c r="BC199" s="136" t="e">
        <f t="shared" si="44"/>
        <v>#N/A</v>
      </c>
      <c r="BD199" s="136">
        <f t="shared" si="49"/>
        <v>5.4183261089531471E-5</v>
      </c>
      <c r="BE199" s="136">
        <f t="shared" si="45"/>
        <v>-9.4581673891046855E-4</v>
      </c>
      <c r="BF199" s="136" t="e">
        <f t="shared" si="46"/>
        <v>#N/A</v>
      </c>
      <c r="BG199" s="136" t="e">
        <f t="shared" si="47"/>
        <v>#N/A</v>
      </c>
    </row>
    <row r="200" spans="2:59" ht="11.25" customHeight="1">
      <c r="B200" s="321"/>
      <c r="C200" s="321"/>
      <c r="D200" s="321"/>
      <c r="E200" s="321"/>
      <c r="F200" s="321"/>
      <c r="G200" s="321"/>
      <c r="H200" s="321"/>
      <c r="I200" s="321"/>
      <c r="J200" s="321"/>
      <c r="K200" s="321"/>
      <c r="L200" s="321"/>
      <c r="M200" s="321"/>
      <c r="N200" s="321"/>
      <c r="O200" s="321"/>
      <c r="P200" s="321"/>
      <c r="Q200" s="321"/>
      <c r="R200" s="321"/>
      <c r="S200" s="321"/>
      <c r="T200" s="321"/>
      <c r="U200" s="321"/>
      <c r="V200" s="321"/>
      <c r="W200" s="321"/>
      <c r="X200" s="321"/>
      <c r="Y200" s="321"/>
      <c r="Z200" s="321"/>
      <c r="AA200" s="321"/>
      <c r="AB200" s="321"/>
      <c r="AC200" s="321"/>
      <c r="AD200" s="321"/>
      <c r="AE200" s="321"/>
      <c r="AF200" s="321"/>
      <c r="AG200" s="321"/>
      <c r="AH200" s="321"/>
      <c r="AI200" s="321"/>
      <c r="AJ200" s="321"/>
      <c r="AK200" s="321"/>
      <c r="AL200" s="321"/>
      <c r="AM200" s="321"/>
      <c r="AN200" s="321"/>
      <c r="AO200" s="321"/>
      <c r="AP200" s="427"/>
      <c r="AQ200" s="321"/>
      <c r="AR200" s="321"/>
      <c r="AS200" s="321"/>
      <c r="AT200" s="321"/>
      <c r="AU200" s="136">
        <f t="shared" si="37"/>
        <v>1.276853441156689E-5</v>
      </c>
      <c r="AV200" s="136">
        <f t="shared" si="48"/>
        <v>-4.2100000000000382</v>
      </c>
      <c r="AW200" s="136">
        <f t="shared" si="38"/>
        <v>5.6515900580298361E-5</v>
      </c>
      <c r="AX200" s="136" t="e">
        <f t="shared" si="39"/>
        <v>#N/A</v>
      </c>
      <c r="AY200" s="136">
        <f t="shared" si="40"/>
        <v>-4.2100100000000378</v>
      </c>
      <c r="AZ200" s="136">
        <f t="shared" si="41"/>
        <v>-4.2099900000000385</v>
      </c>
      <c r="BA200" s="136">
        <f t="shared" si="42"/>
        <v>2.6026995370164674E-2</v>
      </c>
      <c r="BB200" s="136">
        <f t="shared" si="43"/>
        <v>2.6027223685036936E-2</v>
      </c>
      <c r="BC200" s="136" t="e">
        <f t="shared" si="44"/>
        <v>#N/A</v>
      </c>
      <c r="BD200" s="136">
        <f t="shared" si="49"/>
        <v>5.6515900580298361E-5</v>
      </c>
      <c r="BE200" s="136">
        <f t="shared" si="45"/>
        <v>-9.4348409941970171E-4</v>
      </c>
      <c r="BF200" s="136" t="e">
        <f t="shared" si="46"/>
        <v>#N/A</v>
      </c>
      <c r="BG200" s="136" t="e">
        <f t="shared" si="47"/>
        <v>#N/A</v>
      </c>
    </row>
    <row r="201" spans="2:59" ht="11.25" customHeight="1">
      <c r="B201" s="321"/>
      <c r="C201" s="321"/>
      <c r="D201" s="321"/>
      <c r="E201" s="321"/>
      <c r="F201" s="321"/>
      <c r="G201" s="321"/>
      <c r="H201" s="321"/>
      <c r="I201" s="321"/>
      <c r="J201" s="321"/>
      <c r="K201" s="321"/>
      <c r="L201" s="321"/>
      <c r="M201" s="321"/>
      <c r="N201" s="321"/>
      <c r="O201" s="321"/>
      <c r="P201" s="321"/>
      <c r="Q201" s="321"/>
      <c r="R201" s="321"/>
      <c r="S201" s="321"/>
      <c r="T201" s="321"/>
      <c r="U201" s="321"/>
      <c r="V201" s="321"/>
      <c r="W201" s="321"/>
      <c r="X201" s="321"/>
      <c r="Y201" s="321"/>
      <c r="Z201" s="321"/>
      <c r="AA201" s="321"/>
      <c r="AB201" s="321"/>
      <c r="AC201" s="321"/>
      <c r="AD201" s="321"/>
      <c r="AE201" s="321"/>
      <c r="AF201" s="321"/>
      <c r="AG201" s="321"/>
      <c r="AH201" s="321"/>
      <c r="AI201" s="321"/>
      <c r="AJ201" s="321"/>
      <c r="AK201" s="321"/>
      <c r="AL201" s="321"/>
      <c r="AM201" s="321"/>
      <c r="AN201" s="321"/>
      <c r="AO201" s="321"/>
      <c r="AP201" s="427"/>
      <c r="AQ201" s="321"/>
      <c r="AR201" s="321"/>
      <c r="AS201" s="321"/>
      <c r="AT201" s="321"/>
      <c r="AU201" s="136">
        <f t="shared" si="37"/>
        <v>1.3345749012461106E-5</v>
      </c>
      <c r="AV201" s="136">
        <f t="shared" si="48"/>
        <v>-4.2000000000000384</v>
      </c>
      <c r="AW201" s="136">
        <f t="shared" si="38"/>
        <v>5.8943067756530321E-5</v>
      </c>
      <c r="AX201" s="136" t="e">
        <f t="shared" si="39"/>
        <v>#N/A</v>
      </c>
      <c r="AY201" s="136">
        <f t="shared" si="40"/>
        <v>-4.200010000000038</v>
      </c>
      <c r="AZ201" s="136">
        <f t="shared" si="41"/>
        <v>-4.1999900000000387</v>
      </c>
      <c r="BA201" s="136">
        <f t="shared" si="42"/>
        <v>2.6141518579742007E-2</v>
      </c>
      <c r="BB201" s="136">
        <f t="shared" si="43"/>
        <v>2.6141748362676007E-2</v>
      </c>
      <c r="BC201" s="136" t="e">
        <f t="shared" si="44"/>
        <v>#N/A</v>
      </c>
      <c r="BD201" s="136">
        <f t="shared" si="49"/>
        <v>5.8943067756530321E-5</v>
      </c>
      <c r="BE201" s="136">
        <f t="shared" si="45"/>
        <v>-9.4105693224346971E-4</v>
      </c>
      <c r="BF201" s="136" t="e">
        <f t="shared" si="46"/>
        <v>#N/A</v>
      </c>
      <c r="BG201" s="136" t="e">
        <f t="shared" si="47"/>
        <v>#N/A</v>
      </c>
    </row>
    <row r="202" spans="2:59" ht="11.25" customHeight="1">
      <c r="B202" s="321"/>
      <c r="C202" s="321"/>
      <c r="D202" s="321"/>
      <c r="E202" s="321"/>
      <c r="F202" s="321"/>
      <c r="G202" s="321"/>
      <c r="H202" s="321"/>
      <c r="I202" s="321"/>
      <c r="J202" s="321"/>
      <c r="K202" s="321"/>
      <c r="L202" s="321"/>
      <c r="M202" s="321"/>
      <c r="N202" s="321"/>
      <c r="O202" s="321"/>
      <c r="P202" s="321"/>
      <c r="Q202" s="321"/>
      <c r="R202" s="321"/>
      <c r="S202" s="321"/>
      <c r="T202" s="321"/>
      <c r="U202" s="321"/>
      <c r="V202" s="321"/>
      <c r="W202" s="321"/>
      <c r="X202" s="321"/>
      <c r="Y202" s="321"/>
      <c r="Z202" s="321"/>
      <c r="AA202" s="321"/>
      <c r="AB202" s="321"/>
      <c r="AC202" s="321"/>
      <c r="AD202" s="321"/>
      <c r="AE202" s="321"/>
      <c r="AF202" s="321"/>
      <c r="AG202" s="321"/>
      <c r="AH202" s="321"/>
      <c r="AI202" s="321"/>
      <c r="AJ202" s="321"/>
      <c r="AK202" s="321"/>
      <c r="AL202" s="321"/>
      <c r="AM202" s="321"/>
      <c r="AN202" s="321"/>
      <c r="AO202" s="321"/>
      <c r="AP202" s="427"/>
      <c r="AQ202" s="321"/>
      <c r="AR202" s="321"/>
      <c r="AS202" s="321"/>
      <c r="AT202" s="321"/>
      <c r="AU202" s="136">
        <f t="shared" si="37"/>
        <v>1.3947722730112133E-5</v>
      </c>
      <c r="AV202" s="136">
        <f t="shared" si="48"/>
        <v>-4.1900000000000386</v>
      </c>
      <c r="AW202" s="136">
        <f t="shared" si="38"/>
        <v>6.1468326430759378E-5</v>
      </c>
      <c r="AX202" s="136" t="e">
        <f t="shared" si="39"/>
        <v>#N/A</v>
      </c>
      <c r="AY202" s="136">
        <f t="shared" si="40"/>
        <v>-4.1900100000000382</v>
      </c>
      <c r="AZ202" s="136">
        <f t="shared" si="41"/>
        <v>-4.189990000000039</v>
      </c>
      <c r="BA202" s="136">
        <f t="shared" si="42"/>
        <v>2.6256778872082897E-2</v>
      </c>
      <c r="BB202" s="136">
        <f t="shared" si="43"/>
        <v>2.6257010135331302E-2</v>
      </c>
      <c r="BC202" s="136" t="e">
        <f t="shared" si="44"/>
        <v>#N/A</v>
      </c>
      <c r="BD202" s="136">
        <f t="shared" si="49"/>
        <v>6.1468326430759378E-5</v>
      </c>
      <c r="BE202" s="136">
        <f t="shared" si="45"/>
        <v>-9.3853167356924068E-4</v>
      </c>
      <c r="BF202" s="136" t="e">
        <f t="shared" si="46"/>
        <v>#N/A</v>
      </c>
      <c r="BG202" s="136" t="e">
        <f t="shared" si="47"/>
        <v>#N/A</v>
      </c>
    </row>
    <row r="203" spans="2:59" ht="11.25" customHeight="1">
      <c r="B203" s="321"/>
      <c r="C203" s="321"/>
      <c r="D203" s="321"/>
      <c r="E203" s="321"/>
      <c r="F203" s="321"/>
      <c r="G203" s="321"/>
      <c r="H203" s="321"/>
      <c r="I203" s="321"/>
      <c r="J203" s="321"/>
      <c r="K203" s="321"/>
      <c r="L203" s="321"/>
      <c r="M203" s="321"/>
      <c r="N203" s="321"/>
      <c r="O203" s="321"/>
      <c r="P203" s="321"/>
      <c r="Q203" s="321"/>
      <c r="R203" s="321"/>
      <c r="S203" s="321"/>
      <c r="T203" s="321"/>
      <c r="U203" s="321"/>
      <c r="V203" s="321"/>
      <c r="W203" s="321"/>
      <c r="X203" s="321"/>
      <c r="Y203" s="321"/>
      <c r="Z203" s="321"/>
      <c r="AA203" s="321"/>
      <c r="AB203" s="321"/>
      <c r="AC203" s="321"/>
      <c r="AD203" s="321"/>
      <c r="AE203" s="321"/>
      <c r="AF203" s="321"/>
      <c r="AG203" s="321"/>
      <c r="AH203" s="321"/>
      <c r="AI203" s="321"/>
      <c r="AJ203" s="321"/>
      <c r="AK203" s="321"/>
      <c r="AL203" s="321"/>
      <c r="AM203" s="321"/>
      <c r="AN203" s="321"/>
      <c r="AO203" s="321"/>
      <c r="AP203" s="427"/>
      <c r="AQ203" s="321"/>
      <c r="AR203" s="321"/>
      <c r="AS203" s="321"/>
      <c r="AT203" s="321"/>
      <c r="AU203" s="136">
        <f t="shared" si="37"/>
        <v>1.4575454799770071E-5</v>
      </c>
      <c r="AV203" s="136">
        <f t="shared" si="48"/>
        <v>-4.1800000000000388</v>
      </c>
      <c r="AW203" s="136">
        <f t="shared" si="38"/>
        <v>6.4095363227095606E-5</v>
      </c>
      <c r="AX203" s="136" t="e">
        <f t="shared" si="39"/>
        <v>#N/A</v>
      </c>
      <c r="AY203" s="136">
        <f t="shared" si="40"/>
        <v>-4.1800100000000384</v>
      </c>
      <c r="AZ203" s="136">
        <f t="shared" si="41"/>
        <v>-4.1799900000000392</v>
      </c>
      <c r="BA203" s="136">
        <f t="shared" si="42"/>
        <v>2.6372782404427971E-2</v>
      </c>
      <c r="BB203" s="136">
        <f t="shared" si="43"/>
        <v>2.6373015160367528E-2</v>
      </c>
      <c r="BC203" s="136" t="e">
        <f t="shared" si="44"/>
        <v>#N/A</v>
      </c>
      <c r="BD203" s="136">
        <f t="shared" si="49"/>
        <v>6.4095363227095606E-5</v>
      </c>
      <c r="BE203" s="136">
        <f t="shared" si="45"/>
        <v>-9.3590463677290436E-4</v>
      </c>
      <c r="BF203" s="136" t="e">
        <f t="shared" si="46"/>
        <v>#N/A</v>
      </c>
      <c r="BG203" s="136" t="e">
        <f t="shared" si="47"/>
        <v>#N/A</v>
      </c>
    </row>
    <row r="204" spans="2:59" ht="11.25" customHeight="1">
      <c r="B204" s="321"/>
      <c r="C204" s="321"/>
      <c r="D204" s="321"/>
      <c r="E204" s="321"/>
      <c r="F204" s="321"/>
      <c r="G204" s="321"/>
      <c r="H204" s="321"/>
      <c r="I204" s="321"/>
      <c r="J204" s="321"/>
      <c r="K204" s="321"/>
      <c r="L204" s="321"/>
      <c r="M204" s="321"/>
      <c r="N204" s="321"/>
      <c r="O204" s="321"/>
      <c r="P204" s="321"/>
      <c r="Q204" s="321"/>
      <c r="R204" s="321"/>
      <c r="S204" s="321"/>
      <c r="T204" s="321"/>
      <c r="U204" s="321"/>
      <c r="V204" s="321"/>
      <c r="W204" s="321"/>
      <c r="X204" s="321"/>
      <c r="Y204" s="321"/>
      <c r="Z204" s="321"/>
      <c r="AA204" s="321"/>
      <c r="AB204" s="321"/>
      <c r="AC204" s="321"/>
      <c r="AD204" s="321"/>
      <c r="AE204" s="321"/>
      <c r="AF204" s="321"/>
      <c r="AG204" s="321"/>
      <c r="AH204" s="321"/>
      <c r="AI204" s="321"/>
      <c r="AJ204" s="321"/>
      <c r="AK204" s="321"/>
      <c r="AL204" s="321"/>
      <c r="AM204" s="321"/>
      <c r="AN204" s="321"/>
      <c r="AO204" s="321"/>
      <c r="AP204" s="427"/>
      <c r="AQ204" s="321"/>
      <c r="AR204" s="321"/>
      <c r="AS204" s="321"/>
      <c r="AT204" s="321"/>
      <c r="AU204" s="136">
        <f t="shared" si="37"/>
        <v>1.5229981956244032E-5</v>
      </c>
      <c r="AV204" s="136">
        <f t="shared" si="48"/>
        <v>-4.170000000000039</v>
      </c>
      <c r="AW204" s="136">
        <f t="shared" si="38"/>
        <v>6.6827991336679686E-5</v>
      </c>
      <c r="AX204" s="136" t="e">
        <f t="shared" si="39"/>
        <v>#N/A</v>
      </c>
      <c r="AY204" s="136">
        <f t="shared" si="40"/>
        <v>-4.1700100000000386</v>
      </c>
      <c r="AZ204" s="136">
        <f t="shared" si="41"/>
        <v>-4.1699900000000394</v>
      </c>
      <c r="BA204" s="136">
        <f t="shared" si="42"/>
        <v>2.6489535396425932E-2</v>
      </c>
      <c r="BB204" s="136">
        <f t="shared" si="43"/>
        <v>2.6489769657558993E-2</v>
      </c>
      <c r="BC204" s="136" t="e">
        <f t="shared" si="44"/>
        <v>#N/A</v>
      </c>
      <c r="BD204" s="136">
        <f t="shared" si="49"/>
        <v>6.6827991336679686E-5</v>
      </c>
      <c r="BE204" s="136">
        <f t="shared" si="45"/>
        <v>-9.3317200866332029E-4</v>
      </c>
      <c r="BF204" s="136" t="e">
        <f t="shared" si="46"/>
        <v>#N/A</v>
      </c>
      <c r="BG204" s="136" t="e">
        <f t="shared" si="47"/>
        <v>#N/A</v>
      </c>
    </row>
    <row r="205" spans="2:59" ht="11.25" customHeight="1">
      <c r="B205" s="321"/>
      <c r="C205" s="321"/>
      <c r="D205" s="321"/>
      <c r="E205" s="321"/>
      <c r="F205" s="321"/>
      <c r="G205" s="321"/>
      <c r="H205" s="321"/>
      <c r="I205" s="321"/>
      <c r="J205" s="321"/>
      <c r="K205" s="321"/>
      <c r="L205" s="321"/>
      <c r="M205" s="321"/>
      <c r="N205" s="321"/>
      <c r="O205" s="321"/>
      <c r="P205" s="321"/>
      <c r="Q205" s="321"/>
      <c r="R205" s="321"/>
      <c r="S205" s="321"/>
      <c r="T205" s="321"/>
      <c r="U205" s="321"/>
      <c r="V205" s="321"/>
      <c r="W205" s="321"/>
      <c r="X205" s="321"/>
      <c r="Y205" s="321"/>
      <c r="Z205" s="321"/>
      <c r="AA205" s="321"/>
      <c r="AB205" s="321"/>
      <c r="AC205" s="321"/>
      <c r="AD205" s="321"/>
      <c r="AE205" s="321"/>
      <c r="AF205" s="321"/>
      <c r="AG205" s="321"/>
      <c r="AH205" s="321"/>
      <c r="AI205" s="321"/>
      <c r="AJ205" s="321"/>
      <c r="AK205" s="321"/>
      <c r="AL205" s="321"/>
      <c r="AM205" s="321"/>
      <c r="AN205" s="321"/>
      <c r="AO205" s="321"/>
      <c r="AP205" s="427"/>
      <c r="AQ205" s="321"/>
      <c r="AR205" s="321"/>
      <c r="AS205" s="321"/>
      <c r="AT205" s="321"/>
      <c r="AU205" s="136">
        <f t="shared" si="37"/>
        <v>1.5912379726867876E-5</v>
      </c>
      <c r="AV205" s="136">
        <f t="shared" si="48"/>
        <v>-4.1600000000000392</v>
      </c>
      <c r="AW205" s="136">
        <f t="shared" si="38"/>
        <v>6.9670154369203051E-5</v>
      </c>
      <c r="AX205" s="136" t="e">
        <f t="shared" si="39"/>
        <v>#N/A</v>
      </c>
      <c r="AY205" s="136">
        <f t="shared" si="40"/>
        <v>-4.1600100000000388</v>
      </c>
      <c r="AZ205" s="136">
        <f t="shared" si="41"/>
        <v>-4.1599900000000396</v>
      </c>
      <c r="BA205" s="136">
        <f t="shared" si="42"/>
        <v>2.660704413086722E-2</v>
      </c>
      <c r="BB205" s="136">
        <f t="shared" si="43"/>
        <v>2.66072799098231E-2</v>
      </c>
      <c r="BC205" s="136" t="e">
        <f t="shared" si="44"/>
        <v>#N/A</v>
      </c>
      <c r="BD205" s="136">
        <f t="shared" si="49"/>
        <v>6.9670154369203051E-5</v>
      </c>
      <c r="BE205" s="136">
        <f t="shared" si="45"/>
        <v>-9.3032984563079697E-4</v>
      </c>
      <c r="BF205" s="136" t="e">
        <f t="shared" si="46"/>
        <v>#N/A</v>
      </c>
      <c r="BG205" s="136" t="e">
        <f t="shared" si="47"/>
        <v>#N/A</v>
      </c>
    </row>
    <row r="206" spans="2:59" ht="11.25" customHeight="1">
      <c r="B206" s="321"/>
      <c r="C206" s="321"/>
      <c r="D206" s="321"/>
      <c r="E206" s="321"/>
      <c r="F206" s="321"/>
      <c r="G206" s="321"/>
      <c r="H206" s="321"/>
      <c r="I206" s="321"/>
      <c r="J206" s="321"/>
      <c r="K206" s="321"/>
      <c r="L206" s="321"/>
      <c r="M206" s="321"/>
      <c r="N206" s="321"/>
      <c r="O206" s="321"/>
      <c r="P206" s="321"/>
      <c r="Q206" s="321"/>
      <c r="R206" s="321"/>
      <c r="S206" s="321"/>
      <c r="T206" s="321"/>
      <c r="U206" s="321"/>
      <c r="V206" s="321"/>
      <c r="W206" s="321"/>
      <c r="X206" s="321"/>
      <c r="Y206" s="321"/>
      <c r="Z206" s="321"/>
      <c r="AA206" s="321"/>
      <c r="AB206" s="321"/>
      <c r="AC206" s="321"/>
      <c r="AD206" s="321"/>
      <c r="AE206" s="321"/>
      <c r="AF206" s="321"/>
      <c r="AG206" s="321"/>
      <c r="AH206" s="321"/>
      <c r="AI206" s="321"/>
      <c r="AJ206" s="321"/>
      <c r="AK206" s="321"/>
      <c r="AL206" s="321"/>
      <c r="AM206" s="321"/>
      <c r="AN206" s="321"/>
      <c r="AO206" s="321"/>
      <c r="AP206" s="427"/>
      <c r="AQ206" s="321"/>
      <c r="AR206" s="321"/>
      <c r="AS206" s="321"/>
      <c r="AT206" s="321"/>
      <c r="AU206" s="136">
        <f t="shared" si="37"/>
        <v>1.6623763737788622E-5</v>
      </c>
      <c r="AV206" s="136">
        <f t="shared" si="48"/>
        <v>-4.1500000000000394</v>
      </c>
      <c r="AW206" s="136">
        <f t="shared" si="38"/>
        <v>7.2625930302240587E-5</v>
      </c>
      <c r="AX206" s="136" t="e">
        <f t="shared" si="39"/>
        <v>#N/A</v>
      </c>
      <c r="AY206" s="136">
        <f t="shared" si="40"/>
        <v>-4.1500100000000391</v>
      </c>
      <c r="AZ206" s="136">
        <f t="shared" si="41"/>
        <v>-4.1499900000000398</v>
      </c>
      <c r="BA206" s="136">
        <f t="shared" si="42"/>
        <v>2.6725314954427058E-2</v>
      </c>
      <c r="BB206" s="136">
        <f t="shared" si="43"/>
        <v>2.6725552263963673E-2</v>
      </c>
      <c r="BC206" s="136" t="e">
        <f t="shared" si="44"/>
        <v>#N/A</v>
      </c>
      <c r="BD206" s="136">
        <f t="shared" si="49"/>
        <v>7.2625930302240587E-5</v>
      </c>
      <c r="BE206" s="136">
        <f t="shared" si="45"/>
        <v>-9.2737406969775941E-4</v>
      </c>
      <c r="BF206" s="136" t="e">
        <f t="shared" si="46"/>
        <v>#N/A</v>
      </c>
      <c r="BG206" s="136" t="e">
        <f t="shared" si="47"/>
        <v>#N/A</v>
      </c>
    </row>
    <row r="207" spans="2:59" ht="11.25" customHeight="1">
      <c r="B207" s="321"/>
      <c r="C207" s="321"/>
      <c r="D207" s="321"/>
      <c r="E207" s="321"/>
      <c r="F207" s="321"/>
      <c r="G207" s="321"/>
      <c r="H207" s="321"/>
      <c r="I207" s="321"/>
      <c r="J207" s="321"/>
      <c r="K207" s="321"/>
      <c r="L207" s="321"/>
      <c r="M207" s="321"/>
      <c r="N207" s="321"/>
      <c r="O207" s="321"/>
      <c r="P207" s="321"/>
      <c r="Q207" s="321"/>
      <c r="R207" s="321"/>
      <c r="S207" s="321"/>
      <c r="T207" s="321"/>
      <c r="U207" s="321"/>
      <c r="V207" s="321"/>
      <c r="W207" s="321"/>
      <c r="X207" s="321"/>
      <c r="Y207" s="321"/>
      <c r="Z207" s="321"/>
      <c r="AA207" s="321"/>
      <c r="AB207" s="321"/>
      <c r="AC207" s="321"/>
      <c r="AD207" s="321"/>
      <c r="AE207" s="321"/>
      <c r="AF207" s="321"/>
      <c r="AG207" s="321"/>
      <c r="AH207" s="321"/>
      <c r="AI207" s="321"/>
      <c r="AJ207" s="321"/>
      <c r="AK207" s="321"/>
      <c r="AL207" s="321"/>
      <c r="AM207" s="321"/>
      <c r="AN207" s="321"/>
      <c r="AO207" s="321"/>
      <c r="AP207" s="427"/>
      <c r="AQ207" s="321"/>
      <c r="AR207" s="321"/>
      <c r="AS207" s="321"/>
      <c r="AT207" s="321"/>
      <c r="AU207" s="136">
        <f t="shared" si="37"/>
        <v>1.736529107243534E-5</v>
      </c>
      <c r="AV207" s="136">
        <f t="shared" si="48"/>
        <v>-4.1400000000000396</v>
      </c>
      <c r="AW207" s="136">
        <f t="shared" si="38"/>
        <v>7.5699535530148704E-5</v>
      </c>
      <c r="AX207" s="136" t="e">
        <f t="shared" si="39"/>
        <v>#N/A</v>
      </c>
      <c r="AY207" s="136">
        <f t="shared" si="40"/>
        <v>-4.1400100000000393</v>
      </c>
      <c r="AZ207" s="136">
        <f t="shared" si="41"/>
        <v>-4.13999000000004</v>
      </c>
      <c r="BA207" s="136">
        <f t="shared" si="42"/>
        <v>2.6844354278418567E-2</v>
      </c>
      <c r="BB207" s="136">
        <f t="shared" si="43"/>
        <v>2.6844593131423764E-2</v>
      </c>
      <c r="BC207" s="136" t="e">
        <f t="shared" si="44"/>
        <v>#N/A</v>
      </c>
      <c r="BD207" s="136">
        <f t="shared" si="49"/>
        <v>7.5699535530148704E-5</v>
      </c>
      <c r="BE207" s="136">
        <f t="shared" si="45"/>
        <v>-9.2430046446985133E-4</v>
      </c>
      <c r="BF207" s="136" t="e">
        <f t="shared" si="46"/>
        <v>#N/A</v>
      </c>
      <c r="BG207" s="136" t="e">
        <f t="shared" si="47"/>
        <v>#N/A</v>
      </c>
    </row>
    <row r="208" spans="2:59" ht="11.25" customHeight="1">
      <c r="B208" s="321"/>
      <c r="C208" s="321"/>
      <c r="D208" s="321"/>
      <c r="E208" s="321"/>
      <c r="F208" s="321"/>
      <c r="G208" s="321"/>
      <c r="H208" s="321"/>
      <c r="I208" s="321"/>
      <c r="J208" s="321"/>
      <c r="K208" s="321"/>
      <c r="L208" s="321"/>
      <c r="M208" s="321"/>
      <c r="N208" s="321"/>
      <c r="O208" s="321"/>
      <c r="P208" s="321"/>
      <c r="Q208" s="321"/>
      <c r="R208" s="321"/>
      <c r="S208" s="321"/>
      <c r="T208" s="321"/>
      <c r="U208" s="321"/>
      <c r="V208" s="321"/>
      <c r="W208" s="321"/>
      <c r="X208" s="321"/>
      <c r="Y208" s="321"/>
      <c r="Z208" s="321"/>
      <c r="AA208" s="321"/>
      <c r="AB208" s="321"/>
      <c r="AC208" s="321"/>
      <c r="AD208" s="321"/>
      <c r="AE208" s="321"/>
      <c r="AF208" s="321"/>
      <c r="AG208" s="321"/>
      <c r="AH208" s="321"/>
      <c r="AI208" s="321"/>
      <c r="AJ208" s="321"/>
      <c r="AK208" s="321"/>
      <c r="AL208" s="321"/>
      <c r="AM208" s="321"/>
      <c r="AN208" s="321"/>
      <c r="AO208" s="321"/>
      <c r="AP208" s="427"/>
      <c r="AQ208" s="321"/>
      <c r="AR208" s="321"/>
      <c r="AS208" s="321"/>
      <c r="AT208" s="321"/>
      <c r="AU208" s="136">
        <f t="shared" si="37"/>
        <v>1.8138161721914514E-5</v>
      </c>
      <c r="AV208" s="136">
        <f t="shared" si="48"/>
        <v>-4.1300000000000399</v>
      </c>
      <c r="AW208" s="136">
        <f t="shared" si="38"/>
        <v>7.889532901428005E-5</v>
      </c>
      <c r="AX208" s="136" t="e">
        <f t="shared" si="39"/>
        <v>#N/A</v>
      </c>
      <c r="AY208" s="136">
        <f t="shared" si="40"/>
        <v>-4.1300100000000395</v>
      </c>
      <c r="AZ208" s="136">
        <f t="shared" si="41"/>
        <v>-4.1299900000000402</v>
      </c>
      <c r="BA208" s="136">
        <f t="shared" si="42"/>
        <v>2.6964168579555522E-2</v>
      </c>
      <c r="BB208" s="136">
        <f t="shared" si="43"/>
        <v>2.6964408989048807E-2</v>
      </c>
      <c r="BC208" s="136" t="e">
        <f t="shared" si="44"/>
        <v>#N/A</v>
      </c>
      <c r="BD208" s="136">
        <f t="shared" si="49"/>
        <v>7.889532901428005E-5</v>
      </c>
      <c r="BE208" s="136">
        <f t="shared" si="45"/>
        <v>-9.2110467098571996E-4</v>
      </c>
      <c r="BF208" s="136" t="e">
        <f t="shared" si="46"/>
        <v>#N/A</v>
      </c>
      <c r="BG208" s="136" t="e">
        <f t="shared" si="47"/>
        <v>#N/A</v>
      </c>
    </row>
    <row r="209" spans="2:59" ht="11.25" customHeight="1">
      <c r="B209" s="321"/>
      <c r="C209" s="321"/>
      <c r="D209" s="321"/>
      <c r="E209" s="321"/>
      <c r="F209" s="321"/>
      <c r="G209" s="321"/>
      <c r="H209" s="321"/>
      <c r="I209" s="321"/>
      <c r="J209" s="321"/>
      <c r="K209" s="321"/>
      <c r="L209" s="321"/>
      <c r="M209" s="321"/>
      <c r="N209" s="321"/>
      <c r="O209" s="321"/>
      <c r="P209" s="321"/>
      <c r="Q209" s="321"/>
      <c r="R209" s="321"/>
      <c r="S209" s="321"/>
      <c r="T209" s="321"/>
      <c r="U209" s="321"/>
      <c r="V209" s="321"/>
      <c r="W209" s="321"/>
      <c r="X209" s="321"/>
      <c r="Y209" s="321"/>
      <c r="Z209" s="321"/>
      <c r="AA209" s="321"/>
      <c r="AB209" s="321"/>
      <c r="AC209" s="321"/>
      <c r="AD209" s="321"/>
      <c r="AE209" s="321"/>
      <c r="AF209" s="321"/>
      <c r="AG209" s="321"/>
      <c r="AH209" s="321"/>
      <c r="AI209" s="321"/>
      <c r="AJ209" s="321"/>
      <c r="AK209" s="321"/>
      <c r="AL209" s="321"/>
      <c r="AM209" s="321"/>
      <c r="AN209" s="321"/>
      <c r="AO209" s="321"/>
      <c r="AP209" s="427"/>
      <c r="AQ209" s="321"/>
      <c r="AR209" s="321"/>
      <c r="AS209" s="321"/>
      <c r="AT209" s="321"/>
      <c r="AU209" s="136">
        <f t="shared" si="37"/>
        <v>1.8943619954803204E-5</v>
      </c>
      <c r="AV209" s="136">
        <f t="shared" si="48"/>
        <v>-4.1200000000000401</v>
      </c>
      <c r="AW209" s="136">
        <f t="shared" si="38"/>
        <v>8.221781653627241E-5</v>
      </c>
      <c r="AX209" s="136" t="e">
        <f t="shared" si="39"/>
        <v>#N/A</v>
      </c>
      <c r="AY209" s="136">
        <f t="shared" si="40"/>
        <v>-4.1200100000000397</v>
      </c>
      <c r="AZ209" s="136">
        <f t="shared" si="41"/>
        <v>-4.1199900000000405</v>
      </c>
      <c r="BA209" s="136">
        <f t="shared" si="42"/>
        <v>2.7084764400725471E-2</v>
      </c>
      <c r="BB209" s="136">
        <f t="shared" si="43"/>
        <v>2.7085006379859417E-2</v>
      </c>
      <c r="BC209" s="136" t="e">
        <f t="shared" si="44"/>
        <v>#N/A</v>
      </c>
      <c r="BD209" s="136">
        <f t="shared" si="49"/>
        <v>8.221781653627241E-5</v>
      </c>
      <c r="BE209" s="136">
        <f t="shared" si="45"/>
        <v>-9.1778218346372762E-4</v>
      </c>
      <c r="BF209" s="136" t="e">
        <f t="shared" si="46"/>
        <v>#N/A</v>
      </c>
      <c r="BG209" s="136" t="e">
        <f t="shared" si="47"/>
        <v>#N/A</v>
      </c>
    </row>
    <row r="210" spans="2:59" ht="11.25" customHeight="1">
      <c r="B210" s="321"/>
      <c r="C210" s="321"/>
      <c r="D210" s="321"/>
      <c r="E210" s="321"/>
      <c r="F210" s="321"/>
      <c r="G210" s="321"/>
      <c r="H210" s="321"/>
      <c r="I210" s="321"/>
      <c r="J210" s="321"/>
      <c r="K210" s="321"/>
      <c r="L210" s="321"/>
      <c r="M210" s="321"/>
      <c r="N210" s="321"/>
      <c r="O210" s="321"/>
      <c r="P210" s="321"/>
      <c r="Q210" s="321"/>
      <c r="R210" s="321"/>
      <c r="S210" s="321"/>
      <c r="T210" s="321"/>
      <c r="U210" s="321"/>
      <c r="V210" s="321"/>
      <c r="W210" s="321"/>
      <c r="X210" s="321"/>
      <c r="Y210" s="321"/>
      <c r="Z210" s="321"/>
      <c r="AA210" s="321"/>
      <c r="AB210" s="321"/>
      <c r="AC210" s="321"/>
      <c r="AD210" s="321"/>
      <c r="AE210" s="321"/>
      <c r="AF210" s="321"/>
      <c r="AG210" s="321"/>
      <c r="AH210" s="321"/>
      <c r="AI210" s="321"/>
      <c r="AJ210" s="321"/>
      <c r="AK210" s="321"/>
      <c r="AL210" s="321"/>
      <c r="AM210" s="321"/>
      <c r="AN210" s="321"/>
      <c r="AO210" s="321"/>
      <c r="AP210" s="427"/>
      <c r="AQ210" s="321"/>
      <c r="AR210" s="321"/>
      <c r="AS210" s="321"/>
      <c r="AT210" s="321"/>
      <c r="AU210" s="136">
        <f t="shared" si="37"/>
        <v>1.97829558790108E-5</v>
      </c>
      <c r="AV210" s="136">
        <f t="shared" si="48"/>
        <v>-4.1100000000000403</v>
      </c>
      <c r="AW210" s="136">
        <f t="shared" si="38"/>
        <v>8.5671655056167851E-5</v>
      </c>
      <c r="AX210" s="136" t="e">
        <f t="shared" si="39"/>
        <v>#N/A</v>
      </c>
      <c r="AY210" s="136">
        <f t="shared" si="40"/>
        <v>-4.1100100000000399</v>
      </c>
      <c r="AZ210" s="136">
        <f t="shared" si="41"/>
        <v>-4.1099900000000407</v>
      </c>
      <c r="BA210" s="136">
        <f t="shared" si="42"/>
        <v>2.7206148351772767E-2</v>
      </c>
      <c r="BB210" s="136">
        <f t="shared" si="43"/>
        <v>2.7206391913834713E-2</v>
      </c>
      <c r="BC210" s="136" t="e">
        <f t="shared" si="44"/>
        <v>#N/A</v>
      </c>
      <c r="BD210" s="136">
        <f t="shared" si="49"/>
        <v>8.5671655056167851E-5</v>
      </c>
      <c r="BE210" s="136">
        <f t="shared" si="45"/>
        <v>-9.1432834494383213E-4</v>
      </c>
      <c r="BF210" s="136" t="e">
        <f t="shared" si="46"/>
        <v>#N/A</v>
      </c>
      <c r="BG210" s="136" t="e">
        <f t="shared" si="47"/>
        <v>#N/A</v>
      </c>
    </row>
    <row r="211" spans="2:59" ht="11.25" customHeight="1">
      <c r="B211" s="321"/>
      <c r="C211" s="321"/>
      <c r="D211" s="321"/>
      <c r="E211" s="321"/>
      <c r="F211" s="321"/>
      <c r="G211" s="321"/>
      <c r="H211" s="321"/>
      <c r="I211" s="321"/>
      <c r="J211" s="321"/>
      <c r="K211" s="321"/>
      <c r="L211" s="321"/>
      <c r="M211" s="321"/>
      <c r="N211" s="321"/>
      <c r="O211" s="321"/>
      <c r="P211" s="321"/>
      <c r="Q211" s="321"/>
      <c r="R211" s="321"/>
      <c r="S211" s="321"/>
      <c r="T211" s="321"/>
      <c r="U211" s="321"/>
      <c r="V211" s="321"/>
      <c r="W211" s="321"/>
      <c r="X211" s="321"/>
      <c r="Y211" s="321"/>
      <c r="Z211" s="321"/>
      <c r="AA211" s="321"/>
      <c r="AB211" s="321"/>
      <c r="AC211" s="321"/>
      <c r="AD211" s="321"/>
      <c r="AE211" s="321"/>
      <c r="AF211" s="321"/>
      <c r="AG211" s="321"/>
      <c r="AH211" s="321"/>
      <c r="AI211" s="321"/>
      <c r="AJ211" s="321"/>
      <c r="AK211" s="321"/>
      <c r="AL211" s="321"/>
      <c r="AM211" s="321"/>
      <c r="AN211" s="321"/>
      <c r="AO211" s="321"/>
      <c r="AP211" s="427"/>
      <c r="AQ211" s="321"/>
      <c r="AR211" s="321"/>
      <c r="AS211" s="321"/>
      <c r="AT211" s="321"/>
      <c r="AU211" s="136">
        <f t="shared" si="37"/>
        <v>2.0657506919485868E-5</v>
      </c>
      <c r="AV211" s="136">
        <f t="shared" si="48"/>
        <v>-4.1000000000000405</v>
      </c>
      <c r="AW211" s="136">
        <f t="shared" si="38"/>
        <v>8.9261657177118006E-5</v>
      </c>
      <c r="AX211" s="136" t="e">
        <f t="shared" si="39"/>
        <v>#N/A</v>
      </c>
      <c r="AY211" s="136">
        <f t="shared" si="40"/>
        <v>-4.1000100000000401</v>
      </c>
      <c r="AZ211" s="136">
        <f t="shared" si="41"/>
        <v>-4.0999900000000409</v>
      </c>
      <c r="BA211" s="136">
        <f t="shared" si="42"/>
        <v>2.7328327110292306E-2</v>
      </c>
      <c r="BB211" s="136">
        <f t="shared" si="43"/>
        <v>2.7328572268705852E-2</v>
      </c>
      <c r="BC211" s="136" t="e">
        <f t="shared" si="44"/>
        <v>#N/A</v>
      </c>
      <c r="BD211" s="136">
        <f t="shared" si="49"/>
        <v>8.9261657177118006E-5</v>
      </c>
      <c r="BE211" s="136">
        <f t="shared" si="45"/>
        <v>-9.1073834282288197E-4</v>
      </c>
      <c r="BF211" s="136" t="e">
        <f t="shared" si="46"/>
        <v>#N/A</v>
      </c>
      <c r="BG211" s="136" t="e">
        <f t="shared" si="47"/>
        <v>#N/A</v>
      </c>
    </row>
    <row r="212" spans="2:59" ht="11.25" customHeight="1">
      <c r="B212" s="321"/>
      <c r="C212" s="321"/>
      <c r="D212" s="321"/>
      <c r="E212" s="321"/>
      <c r="F212" s="321"/>
      <c r="G212" s="321"/>
      <c r="H212" s="321"/>
      <c r="I212" s="321"/>
      <c r="J212" s="321"/>
      <c r="K212" s="321"/>
      <c r="L212" s="321"/>
      <c r="M212" s="321"/>
      <c r="N212" s="321"/>
      <c r="O212" s="321"/>
      <c r="P212" s="321"/>
      <c r="Q212" s="321"/>
      <c r="R212" s="321"/>
      <c r="S212" s="321"/>
      <c r="T212" s="321"/>
      <c r="U212" s="321"/>
      <c r="V212" s="321"/>
      <c r="W212" s="321"/>
      <c r="X212" s="321"/>
      <c r="Y212" s="321"/>
      <c r="Z212" s="321"/>
      <c r="AA212" s="321"/>
      <c r="AB212" s="321"/>
      <c r="AC212" s="321"/>
      <c r="AD212" s="321"/>
      <c r="AE212" s="321"/>
      <c r="AF212" s="321"/>
      <c r="AG212" s="321"/>
      <c r="AH212" s="321"/>
      <c r="AI212" s="321"/>
      <c r="AJ212" s="321"/>
      <c r="AK212" s="321"/>
      <c r="AL212" s="321"/>
      <c r="AM212" s="321"/>
      <c r="AN212" s="321"/>
      <c r="AO212" s="321"/>
      <c r="AP212" s="427"/>
      <c r="AQ212" s="321"/>
      <c r="AR212" s="321"/>
      <c r="AS212" s="321"/>
      <c r="AT212" s="321"/>
      <c r="AU212" s="136">
        <f t="shared" si="37"/>
        <v>2.1568659459347828E-5</v>
      </c>
      <c r="AV212" s="136">
        <f t="shared" si="48"/>
        <v>-4.0900000000000407</v>
      </c>
      <c r="AW212" s="136">
        <f t="shared" si="38"/>
        <v>9.2992795718430362E-5</v>
      </c>
      <c r="AX212" s="136" t="e">
        <f t="shared" si="39"/>
        <v>#N/A</v>
      </c>
      <c r="AY212" s="136">
        <f t="shared" si="40"/>
        <v>-4.0900100000000403</v>
      </c>
      <c r="AZ212" s="136">
        <f t="shared" si="41"/>
        <v>-4.0899900000000411</v>
      </c>
      <c r="BA212" s="136">
        <f t="shared" si="42"/>
        <v>2.7451307422433444E-2</v>
      </c>
      <c r="BB212" s="136">
        <f t="shared" si="43"/>
        <v>2.7451554190760126E-2</v>
      </c>
      <c r="BC212" s="136" t="e">
        <f t="shared" si="44"/>
        <v>#N/A</v>
      </c>
      <c r="BD212" s="136">
        <f t="shared" si="49"/>
        <v>9.2992795718430362E-5</v>
      </c>
      <c r="BE212" s="136">
        <f t="shared" si="45"/>
        <v>-9.0700720428156967E-4</v>
      </c>
      <c r="BF212" s="136" t="e">
        <f t="shared" si="46"/>
        <v>#N/A</v>
      </c>
      <c r="BG212" s="136" t="e">
        <f t="shared" si="47"/>
        <v>#N/A</v>
      </c>
    </row>
    <row r="213" spans="2:59" ht="11.25" customHeight="1">
      <c r="B213" s="321"/>
      <c r="C213" s="321"/>
      <c r="D213" s="321"/>
      <c r="E213" s="321"/>
      <c r="F213" s="321"/>
      <c r="G213" s="321"/>
      <c r="H213" s="321"/>
      <c r="I213" s="321"/>
      <c r="J213" s="321"/>
      <c r="K213" s="321"/>
      <c r="L213" s="321"/>
      <c r="M213" s="321"/>
      <c r="N213" s="321"/>
      <c r="O213" s="321"/>
      <c r="P213" s="321"/>
      <c r="Q213" s="321"/>
      <c r="R213" s="321"/>
      <c r="S213" s="321"/>
      <c r="T213" s="321"/>
      <c r="U213" s="321"/>
      <c r="V213" s="321"/>
      <c r="W213" s="321"/>
      <c r="X213" s="321"/>
      <c r="Y213" s="321"/>
      <c r="Z213" s="321"/>
      <c r="AA213" s="321"/>
      <c r="AB213" s="321"/>
      <c r="AC213" s="321"/>
      <c r="AD213" s="321"/>
      <c r="AE213" s="321"/>
      <c r="AF213" s="321"/>
      <c r="AG213" s="321"/>
      <c r="AH213" s="321"/>
      <c r="AI213" s="321"/>
      <c r="AJ213" s="321"/>
      <c r="AK213" s="321"/>
      <c r="AL213" s="321"/>
      <c r="AM213" s="321"/>
      <c r="AN213" s="321"/>
      <c r="AO213" s="321"/>
      <c r="AP213" s="427"/>
      <c r="AQ213" s="321"/>
      <c r="AR213" s="321"/>
      <c r="AS213" s="321"/>
      <c r="AT213" s="321"/>
      <c r="AU213" s="136">
        <f t="shared" ref="AU213:AU276" si="50">NORMDIST(AV213,$AV$17,$AV$18,TRUE)</f>
        <v>2.2517850387204774E-5</v>
      </c>
      <c r="AV213" s="136">
        <f t="shared" si="48"/>
        <v>-4.0800000000000409</v>
      </c>
      <c r="AW213" s="136">
        <f t="shared" ref="AW213:AW276" si="51">IF($AV$13=1,NORMDIST(AV213,$AV$17,$AV$18,FALSE),NA())</f>
        <v>9.6870208398703079E-5</v>
      </c>
      <c r="AX213" s="136" t="e">
        <f t="shared" ref="AX213:AX276" si="52">IF($AV$13=3,NORMDIST(AV213,$AV$17,$AV$18,FALSE),NA())</f>
        <v>#N/A</v>
      </c>
      <c r="AY213" s="136">
        <f t="shared" ref="AY213:AY276" si="53">AV213-$AY$19</f>
        <v>-4.0800100000000405</v>
      </c>
      <c r="AZ213" s="136">
        <f t="shared" ref="AZ213:AZ276" si="54">AV213+$AY$19</f>
        <v>-4.0799900000000413</v>
      </c>
      <c r="BA213" s="136">
        <f t="shared" ref="BA213:BA276" si="55">IF(AY213&lt;0,TDIST(-AY213,$AV$14,1),1-TDIST(AY213,$AV$14,1))</f>
        <v>2.7575096103714766E-2</v>
      </c>
      <c r="BB213" s="136">
        <f t="shared" ref="BB213:BB276" si="56">IF(AZ213&lt;0,TDIST(-AZ213,$AV$14,1),1-TDIST(AZ213,$AV$14,1))</f>
        <v>2.757534449565565E-2</v>
      </c>
      <c r="BC213" s="136" t="e">
        <f t="shared" ref="BC213:BC276" si="57">IF($AV$13&gt;1,(BB213-BA213)/(2*$AY$19),NA())</f>
        <v>#N/A</v>
      </c>
      <c r="BD213" s="136">
        <f t="shared" si="49"/>
        <v>9.6870208398703079E-5</v>
      </c>
      <c r="BE213" s="136">
        <f t="shared" ref="BE213:BE276" si="58">IF(ISNUMBER(BD213),BD213-$BE$19,NA())</f>
        <v>-9.031297916012969E-4</v>
      </c>
      <c r="BF213" s="136" t="e">
        <f t="shared" ref="BF213:BF276" si="59">IF($AV$15=1,IF(AV213&gt;=$BF$19,BC213,NA()),IF($AV$15=2,IF(ABS(AV213)&gt;=$BF$19,BC213,NA()),NA()))</f>
        <v>#N/A</v>
      </c>
      <c r="BG213" s="136" t="e">
        <f t="shared" ref="BG213:BG276" si="60">IF(ISNUMBER(BF213),BF213-$BG$19,NA())</f>
        <v>#N/A</v>
      </c>
    </row>
    <row r="214" spans="2:59" ht="11.25" customHeight="1">
      <c r="B214" s="321"/>
      <c r="C214" s="321"/>
      <c r="D214" s="321"/>
      <c r="E214" s="321"/>
      <c r="F214" s="321"/>
      <c r="G214" s="321"/>
      <c r="H214" s="321"/>
      <c r="I214" s="321"/>
      <c r="J214" s="321"/>
      <c r="K214" s="321"/>
      <c r="L214" s="321"/>
      <c r="M214" s="321"/>
      <c r="N214" s="321"/>
      <c r="O214" s="321"/>
      <c r="P214" s="321"/>
      <c r="Q214" s="321"/>
      <c r="R214" s="321"/>
      <c r="S214" s="321"/>
      <c r="T214" s="321"/>
      <c r="U214" s="321"/>
      <c r="V214" s="321"/>
      <c r="W214" s="321"/>
      <c r="X214" s="321"/>
      <c r="Y214" s="321"/>
      <c r="Z214" s="321"/>
      <c r="AA214" s="321"/>
      <c r="AB214" s="321"/>
      <c r="AC214" s="321"/>
      <c r="AD214" s="321"/>
      <c r="AE214" s="321"/>
      <c r="AF214" s="321"/>
      <c r="AG214" s="321"/>
      <c r="AH214" s="321"/>
      <c r="AI214" s="321"/>
      <c r="AJ214" s="321"/>
      <c r="AK214" s="321"/>
      <c r="AL214" s="321"/>
      <c r="AM214" s="321"/>
      <c r="AN214" s="321"/>
      <c r="AO214" s="321"/>
      <c r="AP214" s="427"/>
      <c r="AQ214" s="321"/>
      <c r="AR214" s="321"/>
      <c r="AS214" s="321"/>
      <c r="AT214" s="321"/>
      <c r="AU214" s="136">
        <f t="shared" si="50"/>
        <v>2.3506568873843392E-5</v>
      </c>
      <c r="AV214" s="136">
        <f t="shared" ref="AV214:AV277" si="61">AV213+$AY$10</f>
        <v>-4.0700000000000411</v>
      </c>
      <c r="AW214" s="136">
        <f t="shared" si="51"/>
        <v>1.0089920263079756E-4</v>
      </c>
      <c r="AX214" s="136" t="e">
        <f t="shared" si="52"/>
        <v>#N/A</v>
      </c>
      <c r="AY214" s="136">
        <f t="shared" si="53"/>
        <v>-4.0700100000000408</v>
      </c>
      <c r="AZ214" s="136">
        <f t="shared" si="54"/>
        <v>-4.0699900000000415</v>
      </c>
      <c r="BA214" s="136">
        <f t="shared" si="55"/>
        <v>2.769970003984961E-2</v>
      </c>
      <c r="BB214" s="136">
        <f t="shared" si="56"/>
        <v>2.7699950069247057E-2</v>
      </c>
      <c r="BC214" s="136" t="e">
        <f t="shared" si="57"/>
        <v>#N/A</v>
      </c>
      <c r="BD214" s="136">
        <f t="shared" ref="BD214:BD277" si="62">IF($AV$15=1,IF(OR(AND(AV214&gt;=$BD$19,$AS$5&gt;=0),AND(AV214&lt;=$BD$19,$AS$5&lt;0)),AW214,NA()),IF($AV$15=2,IF(ABS(AV214)&gt;=$BD$18,AW214,NA()),NA()))</f>
        <v>1.0089920263079756E-4</v>
      </c>
      <c r="BE214" s="136">
        <f t="shared" si="58"/>
        <v>-8.9910079736920247E-4</v>
      </c>
      <c r="BF214" s="136" t="e">
        <f t="shared" si="59"/>
        <v>#N/A</v>
      </c>
      <c r="BG214" s="136" t="e">
        <f t="shared" si="60"/>
        <v>#N/A</v>
      </c>
    </row>
    <row r="215" spans="2:59" ht="11.25" customHeight="1">
      <c r="B215" s="321"/>
      <c r="C215" s="321"/>
      <c r="D215" s="321"/>
      <c r="E215" s="321"/>
      <c r="F215" s="321"/>
      <c r="G215" s="321"/>
      <c r="H215" s="321"/>
      <c r="I215" s="321"/>
      <c r="J215" s="321"/>
      <c r="K215" s="321"/>
      <c r="L215" s="321"/>
      <c r="M215" s="321"/>
      <c r="N215" s="321"/>
      <c r="O215" s="321"/>
      <c r="P215" s="321"/>
      <c r="Q215" s="321"/>
      <c r="R215" s="321"/>
      <c r="S215" s="321"/>
      <c r="T215" s="321"/>
      <c r="U215" s="321"/>
      <c r="V215" s="321"/>
      <c r="W215" s="321"/>
      <c r="X215" s="321"/>
      <c r="Y215" s="321"/>
      <c r="Z215" s="321"/>
      <c r="AA215" s="321"/>
      <c r="AB215" s="321"/>
      <c r="AC215" s="321"/>
      <c r="AD215" s="321"/>
      <c r="AE215" s="321"/>
      <c r="AF215" s="321"/>
      <c r="AG215" s="321"/>
      <c r="AH215" s="321"/>
      <c r="AI215" s="321"/>
      <c r="AJ215" s="321"/>
      <c r="AK215" s="321"/>
      <c r="AL215" s="321"/>
      <c r="AM215" s="321"/>
      <c r="AN215" s="321"/>
      <c r="AO215" s="321"/>
      <c r="AP215" s="427"/>
      <c r="AQ215" s="321"/>
      <c r="AR215" s="321"/>
      <c r="AS215" s="321"/>
      <c r="AT215" s="321"/>
      <c r="AU215" s="136">
        <f t="shared" si="50"/>
        <v>2.4536357968618638E-5</v>
      </c>
      <c r="AV215" s="136">
        <f t="shared" si="61"/>
        <v>-4.0600000000000414</v>
      </c>
      <c r="AW215" s="136">
        <f t="shared" si="51"/>
        <v>1.0508526043038254E-4</v>
      </c>
      <c r="AX215" s="136" t="e">
        <f t="shared" si="52"/>
        <v>#N/A</v>
      </c>
      <c r="AY215" s="136">
        <f t="shared" si="53"/>
        <v>-4.060010000000041</v>
      </c>
      <c r="AZ215" s="136">
        <f t="shared" si="54"/>
        <v>-4.0599900000000417</v>
      </c>
      <c r="BA215" s="136">
        <f t="shared" si="55"/>
        <v>2.7825126187582584E-2</v>
      </c>
      <c r="BB215" s="136">
        <f t="shared" si="56"/>
        <v>2.7825377868421795E-2</v>
      </c>
      <c r="BC215" s="136" t="e">
        <f t="shared" si="57"/>
        <v>#N/A</v>
      </c>
      <c r="BD215" s="136">
        <f t="shared" si="62"/>
        <v>1.0508526043038254E-4</v>
      </c>
      <c r="BE215" s="136">
        <f t="shared" si="58"/>
        <v>-8.9491473956961748E-4</v>
      </c>
      <c r="BF215" s="136" t="e">
        <f t="shared" si="59"/>
        <v>#N/A</v>
      </c>
      <c r="BG215" s="136" t="e">
        <f t="shared" si="60"/>
        <v>#N/A</v>
      </c>
    </row>
    <row r="216" spans="2:59" ht="11.25" customHeight="1">
      <c r="B216" s="321"/>
      <c r="C216" s="321"/>
      <c r="D216" s="321"/>
      <c r="E216" s="321"/>
      <c r="F216" s="321"/>
      <c r="G216" s="321"/>
      <c r="H216" s="321"/>
      <c r="I216" s="321"/>
      <c r="J216" s="321"/>
      <c r="K216" s="321"/>
      <c r="L216" s="321"/>
      <c r="M216" s="321"/>
      <c r="N216" s="321"/>
      <c r="O216" s="321"/>
      <c r="P216" s="321"/>
      <c r="Q216" s="321"/>
      <c r="R216" s="321"/>
      <c r="S216" s="321"/>
      <c r="T216" s="321"/>
      <c r="U216" s="321"/>
      <c r="V216" s="321"/>
      <c r="W216" s="321"/>
      <c r="X216" s="321"/>
      <c r="Y216" s="321"/>
      <c r="Z216" s="321"/>
      <c r="AA216" s="321"/>
      <c r="AB216" s="321"/>
      <c r="AC216" s="321"/>
      <c r="AD216" s="321"/>
      <c r="AE216" s="321"/>
      <c r="AF216" s="321"/>
      <c r="AG216" s="321"/>
      <c r="AH216" s="321"/>
      <c r="AI216" s="321"/>
      <c r="AJ216" s="321"/>
      <c r="AK216" s="321"/>
      <c r="AL216" s="321"/>
      <c r="AM216" s="321"/>
      <c r="AN216" s="321"/>
      <c r="AO216" s="321"/>
      <c r="AP216" s="427"/>
      <c r="AQ216" s="321"/>
      <c r="AR216" s="321"/>
      <c r="AS216" s="321"/>
      <c r="AT216" s="321"/>
      <c r="AU216" s="136">
        <f t="shared" si="50"/>
        <v>2.5608816473732254E-5</v>
      </c>
      <c r="AV216" s="136">
        <f t="shared" si="61"/>
        <v>-4.0500000000000416</v>
      </c>
      <c r="AW216" s="136">
        <f t="shared" si="51"/>
        <v>1.0943404343978207E-4</v>
      </c>
      <c r="AX216" s="136" t="e">
        <f t="shared" si="52"/>
        <v>#N/A</v>
      </c>
      <c r="AY216" s="136">
        <f t="shared" si="53"/>
        <v>-4.0500100000000412</v>
      </c>
      <c r="AZ216" s="136">
        <f t="shared" si="54"/>
        <v>-4.0499900000000419</v>
      </c>
      <c r="BA216" s="136">
        <f t="shared" si="55"/>
        <v>2.7951381575537202E-2</v>
      </c>
      <c r="BB216" s="136">
        <f t="shared" si="56"/>
        <v>2.7951634921948045E-2</v>
      </c>
      <c r="BC216" s="136" t="e">
        <f t="shared" si="57"/>
        <v>#N/A</v>
      </c>
      <c r="BD216" s="136">
        <f t="shared" si="62"/>
        <v>1.0943404343978207E-4</v>
      </c>
      <c r="BE216" s="136">
        <f t="shared" si="58"/>
        <v>-8.9056595656021793E-4</v>
      </c>
      <c r="BF216" s="136" t="e">
        <f t="shared" si="59"/>
        <v>#N/A</v>
      </c>
      <c r="BG216" s="136" t="e">
        <f t="shared" si="60"/>
        <v>#N/A</v>
      </c>
    </row>
    <row r="217" spans="2:59" ht="11.25" customHeight="1">
      <c r="B217" s="321"/>
      <c r="C217" s="321"/>
      <c r="D217" s="321"/>
      <c r="E217" s="321"/>
      <c r="F217" s="321"/>
      <c r="G217" s="321"/>
      <c r="H217" s="321"/>
      <c r="I217" s="321"/>
      <c r="J217" s="321"/>
      <c r="K217" s="321"/>
      <c r="L217" s="321"/>
      <c r="M217" s="321"/>
      <c r="N217" s="321"/>
      <c r="O217" s="321"/>
      <c r="P217" s="321"/>
      <c r="Q217" s="321"/>
      <c r="R217" s="321"/>
      <c r="S217" s="321"/>
      <c r="T217" s="321"/>
      <c r="U217" s="321"/>
      <c r="V217" s="321"/>
      <c r="W217" s="321"/>
      <c r="X217" s="321"/>
      <c r="Y217" s="321"/>
      <c r="Z217" s="321"/>
      <c r="AA217" s="321"/>
      <c r="AB217" s="321"/>
      <c r="AC217" s="321"/>
      <c r="AD217" s="321"/>
      <c r="AE217" s="321"/>
      <c r="AF217" s="321"/>
      <c r="AG217" s="321"/>
      <c r="AH217" s="321"/>
      <c r="AI217" s="321"/>
      <c r="AJ217" s="321"/>
      <c r="AK217" s="321"/>
      <c r="AL217" s="321"/>
      <c r="AM217" s="321"/>
      <c r="AN217" s="321"/>
      <c r="AO217" s="321"/>
      <c r="AP217" s="427"/>
      <c r="AQ217" s="321"/>
      <c r="AR217" s="321"/>
      <c r="AS217" s="321"/>
      <c r="AT217" s="321"/>
      <c r="AU217" s="136">
        <f t="shared" si="50"/>
        <v>2.6725600715371556E-5</v>
      </c>
      <c r="AV217" s="136">
        <f t="shared" si="61"/>
        <v>-4.0400000000000418</v>
      </c>
      <c r="AW217" s="136">
        <f t="shared" si="51"/>
        <v>1.1395139806884536E-4</v>
      </c>
      <c r="AX217" s="136" t="e">
        <f t="shared" si="52"/>
        <v>#N/A</v>
      </c>
      <c r="AY217" s="136">
        <f t="shared" si="53"/>
        <v>-4.0400100000000414</v>
      </c>
      <c r="AZ217" s="136">
        <f t="shared" si="54"/>
        <v>-4.0399900000000422</v>
      </c>
      <c r="BA217" s="136">
        <f t="shared" si="55"/>
        <v>2.8078473305074795E-2</v>
      </c>
      <c r="BB217" s="136">
        <f t="shared" si="56"/>
        <v>2.807872833133342E-2</v>
      </c>
      <c r="BC217" s="136" t="e">
        <f t="shared" si="57"/>
        <v>#N/A</v>
      </c>
      <c r="BD217" s="136">
        <f t="shared" si="62"/>
        <v>1.1395139806884536E-4</v>
      </c>
      <c r="BE217" s="136">
        <f t="shared" si="58"/>
        <v>-8.8604860193115462E-4</v>
      </c>
      <c r="BF217" s="136" t="e">
        <f t="shared" si="59"/>
        <v>#N/A</v>
      </c>
      <c r="BG217" s="136" t="e">
        <f t="shared" si="60"/>
        <v>#N/A</v>
      </c>
    </row>
    <row r="218" spans="2:59" ht="11.25" customHeight="1">
      <c r="B218" s="321"/>
      <c r="C218" s="321"/>
      <c r="D218" s="321"/>
      <c r="E218" s="321"/>
      <c r="F218" s="321"/>
      <c r="G218" s="321"/>
      <c r="H218" s="321"/>
      <c r="I218" s="321"/>
      <c r="J218" s="321"/>
      <c r="K218" s="321"/>
      <c r="L218" s="321"/>
      <c r="M218" s="321"/>
      <c r="N218" s="321"/>
      <c r="O218" s="321"/>
      <c r="P218" s="321"/>
      <c r="Q218" s="321"/>
      <c r="R218" s="321"/>
      <c r="S218" s="321"/>
      <c r="T218" s="321"/>
      <c r="U218" s="321"/>
      <c r="V218" s="321"/>
      <c r="W218" s="321"/>
      <c r="X218" s="321"/>
      <c r="Y218" s="321"/>
      <c r="Z218" s="321"/>
      <c r="AA218" s="321"/>
      <c r="AB218" s="321"/>
      <c r="AC218" s="321"/>
      <c r="AD218" s="321"/>
      <c r="AE218" s="321"/>
      <c r="AF218" s="321"/>
      <c r="AG218" s="321"/>
      <c r="AH218" s="321"/>
      <c r="AI218" s="321"/>
      <c r="AJ218" s="321"/>
      <c r="AK218" s="321"/>
      <c r="AL218" s="321"/>
      <c r="AM218" s="321"/>
      <c r="AN218" s="321"/>
      <c r="AO218" s="321"/>
      <c r="AP218" s="427"/>
      <c r="AQ218" s="321"/>
      <c r="AR218" s="321"/>
      <c r="AS218" s="321"/>
      <c r="AT218" s="321"/>
      <c r="AU218" s="136">
        <f t="shared" si="50"/>
        <v>2.7888426447075787E-5</v>
      </c>
      <c r="AV218" s="136">
        <f t="shared" si="61"/>
        <v>-4.030000000000042</v>
      </c>
      <c r="AW218" s="136">
        <f t="shared" si="51"/>
        <v>1.1864336075454596E-4</v>
      </c>
      <c r="AX218" s="136" t="e">
        <f t="shared" si="52"/>
        <v>#N/A</v>
      </c>
      <c r="AY218" s="136">
        <f t="shared" si="53"/>
        <v>-4.0300100000000416</v>
      </c>
      <c r="AZ218" s="136">
        <f t="shared" si="54"/>
        <v>-4.0299900000000424</v>
      </c>
      <c r="BA218" s="136">
        <f t="shared" si="55"/>
        <v>2.8206408551164779E-2</v>
      </c>
      <c r="BB218" s="136">
        <f t="shared" si="56"/>
        <v>2.8206665271695484E-2</v>
      </c>
      <c r="BC218" s="136" t="e">
        <f t="shared" si="57"/>
        <v>#N/A</v>
      </c>
      <c r="BD218" s="136">
        <f t="shared" si="62"/>
        <v>1.1864336075454596E-4</v>
      </c>
      <c r="BE218" s="136">
        <f t="shared" si="58"/>
        <v>-8.8135663924545412E-4</v>
      </c>
      <c r="BF218" s="136" t="e">
        <f t="shared" si="59"/>
        <v>#N/A</v>
      </c>
      <c r="BG218" s="136" t="e">
        <f t="shared" si="60"/>
        <v>#N/A</v>
      </c>
    </row>
    <row r="219" spans="2:59" ht="11.25" customHeight="1">
      <c r="B219" s="321"/>
      <c r="C219" s="321"/>
      <c r="D219" s="321"/>
      <c r="E219" s="321"/>
      <c r="F219" s="321"/>
      <c r="G219" s="321"/>
      <c r="H219" s="321"/>
      <c r="I219" s="321"/>
      <c r="J219" s="321"/>
      <c r="K219" s="321"/>
      <c r="L219" s="321"/>
      <c r="M219" s="321"/>
      <c r="N219" s="321"/>
      <c r="O219" s="321"/>
      <c r="P219" s="321"/>
      <c r="Q219" s="321"/>
      <c r="R219" s="321"/>
      <c r="S219" s="321"/>
      <c r="T219" s="321"/>
      <c r="U219" s="321"/>
      <c r="V219" s="321"/>
      <c r="W219" s="321"/>
      <c r="X219" s="321"/>
      <c r="Y219" s="321"/>
      <c r="Z219" s="321"/>
      <c r="AA219" s="321"/>
      <c r="AB219" s="321"/>
      <c r="AC219" s="321"/>
      <c r="AD219" s="321"/>
      <c r="AE219" s="321"/>
      <c r="AF219" s="321"/>
      <c r="AG219" s="321"/>
      <c r="AH219" s="321"/>
      <c r="AI219" s="321"/>
      <c r="AJ219" s="321"/>
      <c r="AK219" s="321"/>
      <c r="AL219" s="321"/>
      <c r="AM219" s="321"/>
      <c r="AN219" s="321"/>
      <c r="AO219" s="321"/>
      <c r="AP219" s="427"/>
      <c r="AQ219" s="321"/>
      <c r="AR219" s="321"/>
      <c r="AS219" s="321"/>
      <c r="AT219" s="321"/>
      <c r="AU219" s="136">
        <f t="shared" si="50"/>
        <v>2.9099070710358887E-5</v>
      </c>
      <c r="AV219" s="136">
        <f t="shared" si="61"/>
        <v>-4.0200000000000422</v>
      </c>
      <c r="AW219" s="136">
        <f t="shared" si="51"/>
        <v>1.2351616334100237E-4</v>
      </c>
      <c r="AX219" s="136" t="e">
        <f t="shared" si="52"/>
        <v>#N/A</v>
      </c>
      <c r="AY219" s="136">
        <f t="shared" si="53"/>
        <v>-4.0200100000000418</v>
      </c>
      <c r="AZ219" s="136">
        <f t="shared" si="54"/>
        <v>-4.0199900000000426</v>
      </c>
      <c r="BA219" s="136">
        <f t="shared" si="55"/>
        <v>2.8335194563266747E-2</v>
      </c>
      <c r="BB219" s="136">
        <f t="shared" si="56"/>
        <v>2.8335452992643704E-2</v>
      </c>
      <c r="BC219" s="136" t="e">
        <f t="shared" si="57"/>
        <v>#N/A</v>
      </c>
      <c r="BD219" s="136">
        <f t="shared" si="62"/>
        <v>1.2351616334100237E-4</v>
      </c>
      <c r="BE219" s="136">
        <f t="shared" si="58"/>
        <v>-8.7648383665899767E-4</v>
      </c>
      <c r="BF219" s="136" t="e">
        <f t="shared" si="59"/>
        <v>#N/A</v>
      </c>
      <c r="BG219" s="136" t="e">
        <f t="shared" si="60"/>
        <v>#N/A</v>
      </c>
    </row>
    <row r="220" spans="2:59" ht="11.25" customHeight="1">
      <c r="B220" s="321"/>
      <c r="C220" s="321"/>
      <c r="D220" s="321"/>
      <c r="E220" s="321"/>
      <c r="F220" s="321"/>
      <c r="G220" s="321"/>
      <c r="H220" s="321"/>
      <c r="I220" s="321"/>
      <c r="J220" s="321"/>
      <c r="K220" s="321"/>
      <c r="L220" s="321"/>
      <c r="M220" s="321"/>
      <c r="N220" s="321"/>
      <c r="O220" s="321"/>
      <c r="P220" s="321"/>
      <c r="Q220" s="321"/>
      <c r="R220" s="321"/>
      <c r="S220" s="321"/>
      <c r="T220" s="321"/>
      <c r="U220" s="321"/>
      <c r="V220" s="321"/>
      <c r="W220" s="321"/>
      <c r="X220" s="321"/>
      <c r="Y220" s="321"/>
      <c r="Z220" s="321"/>
      <c r="AA220" s="321"/>
      <c r="AB220" s="321"/>
      <c r="AC220" s="321"/>
      <c r="AD220" s="321"/>
      <c r="AE220" s="321"/>
      <c r="AF220" s="321"/>
      <c r="AG220" s="321"/>
      <c r="AH220" s="321"/>
      <c r="AI220" s="321"/>
      <c r="AJ220" s="321"/>
      <c r="AK220" s="321"/>
      <c r="AL220" s="321"/>
      <c r="AM220" s="321"/>
      <c r="AN220" s="321"/>
      <c r="AO220" s="321"/>
      <c r="AP220" s="427"/>
      <c r="AQ220" s="321"/>
      <c r="AR220" s="321"/>
      <c r="AS220" s="321"/>
      <c r="AT220" s="321"/>
      <c r="AU220" s="136">
        <f t="shared" si="50"/>
        <v>3.0359373927035804E-5</v>
      </c>
      <c r="AV220" s="136">
        <f t="shared" si="61"/>
        <v>-4.0100000000000424</v>
      </c>
      <c r="AW220" s="136">
        <f t="shared" si="51"/>
        <v>1.2857623858159912E-4</v>
      </c>
      <c r="AX220" s="136" t="e">
        <f t="shared" si="52"/>
        <v>#N/A</v>
      </c>
      <c r="AY220" s="136">
        <f t="shared" si="53"/>
        <v>-4.010010000000042</v>
      </c>
      <c r="AZ220" s="136">
        <f t="shared" si="54"/>
        <v>-4.0099900000000428</v>
      </c>
      <c r="BA220" s="136">
        <f t="shared" si="55"/>
        <v>2.8464838666224131E-2</v>
      </c>
      <c r="BB220" s="136">
        <f t="shared" si="56"/>
        <v>2.8465098819173165E-2</v>
      </c>
      <c r="BC220" s="136" t="e">
        <f t="shared" si="57"/>
        <v>#N/A</v>
      </c>
      <c r="BD220" s="136">
        <f t="shared" si="62"/>
        <v>1.2857623858159912E-4</v>
      </c>
      <c r="BE220" s="136">
        <f t="shared" si="58"/>
        <v>-8.7142376141840085E-4</v>
      </c>
      <c r="BF220" s="136" t="e">
        <f t="shared" si="59"/>
        <v>#N/A</v>
      </c>
      <c r="BG220" s="136" t="e">
        <f t="shared" si="60"/>
        <v>#N/A</v>
      </c>
    </row>
    <row r="221" spans="2:59" ht="11.25" customHeight="1">
      <c r="B221" s="321"/>
      <c r="C221" s="321"/>
      <c r="D221" s="321"/>
      <c r="E221" s="321"/>
      <c r="F221" s="321"/>
      <c r="G221" s="321"/>
      <c r="H221" s="321"/>
      <c r="I221" s="321"/>
      <c r="J221" s="321"/>
      <c r="K221" s="321"/>
      <c r="L221" s="321"/>
      <c r="M221" s="321"/>
      <c r="N221" s="321"/>
      <c r="O221" s="321"/>
      <c r="P221" s="321"/>
      <c r="Q221" s="321"/>
      <c r="R221" s="321"/>
      <c r="S221" s="321"/>
      <c r="T221" s="321"/>
      <c r="U221" s="321"/>
      <c r="V221" s="321"/>
      <c r="W221" s="321"/>
      <c r="X221" s="321"/>
      <c r="Y221" s="321"/>
      <c r="Z221" s="321"/>
      <c r="AA221" s="321"/>
      <c r="AB221" s="321"/>
      <c r="AC221" s="321"/>
      <c r="AD221" s="321"/>
      <c r="AE221" s="321"/>
      <c r="AF221" s="321"/>
      <c r="AG221" s="321"/>
      <c r="AH221" s="321"/>
      <c r="AI221" s="321"/>
      <c r="AJ221" s="321"/>
      <c r="AK221" s="321"/>
      <c r="AL221" s="321"/>
      <c r="AM221" s="321"/>
      <c r="AN221" s="321"/>
      <c r="AO221" s="321"/>
      <c r="AP221" s="427"/>
      <c r="AQ221" s="321"/>
      <c r="AR221" s="321"/>
      <c r="AS221" s="321"/>
      <c r="AT221" s="321"/>
      <c r="AU221" s="136">
        <f t="shared" si="50"/>
        <v>3.1671241833342023E-5</v>
      </c>
      <c r="AV221" s="136">
        <f t="shared" si="61"/>
        <v>-4.0000000000000426</v>
      </c>
      <c r="AW221" s="136">
        <f t="shared" si="51"/>
        <v>1.3383022576486252E-4</v>
      </c>
      <c r="AX221" s="136" t="e">
        <f t="shared" si="52"/>
        <v>#N/A</v>
      </c>
      <c r="AY221" s="136">
        <f t="shared" si="53"/>
        <v>-4.0000100000000423</v>
      </c>
      <c r="AZ221" s="136">
        <f t="shared" si="54"/>
        <v>-3.9999900000000426</v>
      </c>
      <c r="BA221" s="136">
        <f t="shared" si="55"/>
        <v>2.859534826116996E-2</v>
      </c>
      <c r="BB221" s="136">
        <f t="shared" si="56"/>
        <v>2.8595610152570377E-2</v>
      </c>
      <c r="BC221" s="136" t="e">
        <f t="shared" si="57"/>
        <v>#N/A</v>
      </c>
      <c r="BD221" s="136">
        <f t="shared" si="62"/>
        <v>1.3383022576486252E-4</v>
      </c>
      <c r="BE221" s="136">
        <f t="shared" si="58"/>
        <v>-8.6616977423513756E-4</v>
      </c>
      <c r="BF221" s="136" t="e">
        <f t="shared" si="59"/>
        <v>#N/A</v>
      </c>
      <c r="BG221" s="136" t="e">
        <f t="shared" si="60"/>
        <v>#N/A</v>
      </c>
    </row>
    <row r="222" spans="2:59" ht="11.25" customHeight="1">
      <c r="B222" s="321"/>
      <c r="C222" s="321"/>
      <c r="D222" s="321"/>
      <c r="E222" s="321"/>
      <c r="F222" s="321"/>
      <c r="G222" s="321"/>
      <c r="H222" s="321"/>
      <c r="I222" s="321"/>
      <c r="J222" s="321"/>
      <c r="K222" s="321"/>
      <c r="L222" s="321"/>
      <c r="M222" s="321"/>
      <c r="N222" s="321"/>
      <c r="O222" s="321"/>
      <c r="P222" s="321"/>
      <c r="Q222" s="321"/>
      <c r="R222" s="321"/>
      <c r="S222" s="321"/>
      <c r="T222" s="321"/>
      <c r="U222" s="321"/>
      <c r="V222" s="321"/>
      <c r="W222" s="321"/>
      <c r="X222" s="321"/>
      <c r="Y222" s="321"/>
      <c r="Z222" s="321"/>
      <c r="AA222" s="321"/>
      <c r="AB222" s="321"/>
      <c r="AC222" s="321"/>
      <c r="AD222" s="321"/>
      <c r="AE222" s="321"/>
      <c r="AF222" s="321"/>
      <c r="AG222" s="321"/>
      <c r="AH222" s="321"/>
      <c r="AI222" s="321"/>
      <c r="AJ222" s="321"/>
      <c r="AK222" s="321"/>
      <c r="AL222" s="321"/>
      <c r="AM222" s="321"/>
      <c r="AN222" s="321"/>
      <c r="AO222" s="321"/>
      <c r="AP222" s="427"/>
      <c r="AQ222" s="321"/>
      <c r="AR222" s="321"/>
      <c r="AS222" s="321"/>
      <c r="AT222" s="321"/>
      <c r="AU222" s="136">
        <f t="shared" si="50"/>
        <v>3.3036647628326143E-5</v>
      </c>
      <c r="AV222" s="136">
        <f t="shared" si="61"/>
        <v>-3.9900000000000428</v>
      </c>
      <c r="AW222" s="136">
        <f t="shared" si="51"/>
        <v>1.3928497646573614E-4</v>
      </c>
      <c r="AX222" s="136" t="e">
        <f t="shared" si="52"/>
        <v>#N/A</v>
      </c>
      <c r="AY222" s="136">
        <f t="shared" si="53"/>
        <v>-3.9900100000000429</v>
      </c>
      <c r="AZ222" s="136">
        <f t="shared" si="54"/>
        <v>-3.9899900000000428</v>
      </c>
      <c r="BA222" s="136">
        <f t="shared" si="55"/>
        <v>2.8726730826444558E-2</v>
      </c>
      <c r="BB222" s="136">
        <f t="shared" si="56"/>
        <v>2.872699447133106E-2</v>
      </c>
      <c r="BC222" s="136" t="e">
        <f t="shared" si="57"/>
        <v>#N/A</v>
      </c>
      <c r="BD222" s="136">
        <f t="shared" si="62"/>
        <v>1.3928497646573614E-4</v>
      </c>
      <c r="BE222" s="136">
        <f t="shared" si="58"/>
        <v>-8.6071502353426391E-4</v>
      </c>
      <c r="BF222" s="136" t="e">
        <f t="shared" si="59"/>
        <v>#N/A</v>
      </c>
      <c r="BG222" s="136" t="e">
        <f t="shared" si="60"/>
        <v>#N/A</v>
      </c>
    </row>
    <row r="223" spans="2:59" ht="11.25" customHeight="1">
      <c r="B223" s="321"/>
      <c r="C223" s="321"/>
      <c r="D223" s="321"/>
      <c r="E223" s="321"/>
      <c r="F223" s="321"/>
      <c r="G223" s="321"/>
      <c r="H223" s="321"/>
      <c r="I223" s="321"/>
      <c r="J223" s="321"/>
      <c r="K223" s="321"/>
      <c r="L223" s="321"/>
      <c r="M223" s="321"/>
      <c r="N223" s="321"/>
      <c r="O223" s="321"/>
      <c r="P223" s="321"/>
      <c r="Q223" s="321"/>
      <c r="R223" s="321"/>
      <c r="S223" s="321"/>
      <c r="T223" s="321"/>
      <c r="U223" s="321"/>
      <c r="V223" s="321"/>
      <c r="W223" s="321"/>
      <c r="X223" s="321"/>
      <c r="Y223" s="321"/>
      <c r="Z223" s="321"/>
      <c r="AA223" s="321"/>
      <c r="AB223" s="321"/>
      <c r="AC223" s="321"/>
      <c r="AD223" s="321"/>
      <c r="AE223" s="321"/>
      <c r="AF223" s="321"/>
      <c r="AG223" s="321"/>
      <c r="AH223" s="321"/>
      <c r="AI223" s="321"/>
      <c r="AJ223" s="321"/>
      <c r="AK223" s="321"/>
      <c r="AL223" s="321"/>
      <c r="AM223" s="321"/>
      <c r="AN223" s="321"/>
      <c r="AO223" s="321"/>
      <c r="AP223" s="427"/>
      <c r="AQ223" s="321"/>
      <c r="AR223" s="321"/>
      <c r="AS223" s="321"/>
      <c r="AT223" s="321"/>
      <c r="AU223" s="136">
        <f t="shared" si="50"/>
        <v>3.4457634118689739E-5</v>
      </c>
      <c r="AV223" s="136">
        <f t="shared" si="61"/>
        <v>-3.9800000000000431</v>
      </c>
      <c r="AW223" s="136">
        <f t="shared" si="51"/>
        <v>1.4494756042386617E-4</v>
      </c>
      <c r="AX223" s="136" t="e">
        <f t="shared" si="52"/>
        <v>#N/A</v>
      </c>
      <c r="AY223" s="136">
        <f t="shared" si="53"/>
        <v>-3.9800100000000431</v>
      </c>
      <c r="AZ223" s="136">
        <f t="shared" si="54"/>
        <v>-3.979990000000043</v>
      </c>
      <c r="BA223" s="136">
        <f t="shared" si="55"/>
        <v>2.8858993918525817E-2</v>
      </c>
      <c r="BB223" s="136">
        <f t="shared" si="56"/>
        <v>2.8859259332090183E-2</v>
      </c>
      <c r="BC223" s="136" t="e">
        <f t="shared" si="57"/>
        <v>#N/A</v>
      </c>
      <c r="BD223" s="136">
        <f t="shared" si="62"/>
        <v>1.4494756042386617E-4</v>
      </c>
      <c r="BE223" s="136">
        <f t="shared" si="58"/>
        <v>-8.5505243957613387E-4</v>
      </c>
      <c r="BF223" s="136" t="e">
        <f t="shared" si="59"/>
        <v>#N/A</v>
      </c>
      <c r="BG223" s="136" t="e">
        <f t="shared" si="60"/>
        <v>#N/A</v>
      </c>
    </row>
    <row r="224" spans="2:59" ht="11.25" customHeight="1">
      <c r="B224" s="321"/>
      <c r="C224" s="321"/>
      <c r="D224" s="321"/>
      <c r="E224" s="321"/>
      <c r="F224" s="321"/>
      <c r="G224" s="321"/>
      <c r="H224" s="321"/>
      <c r="I224" s="321"/>
      <c r="J224" s="321"/>
      <c r="K224" s="321"/>
      <c r="L224" s="321"/>
      <c r="M224" s="321"/>
      <c r="N224" s="321"/>
      <c r="O224" s="321"/>
      <c r="P224" s="321"/>
      <c r="Q224" s="321"/>
      <c r="R224" s="321"/>
      <c r="S224" s="321"/>
      <c r="T224" s="321"/>
      <c r="U224" s="321"/>
      <c r="V224" s="321"/>
      <c r="W224" s="321"/>
      <c r="X224" s="321"/>
      <c r="Y224" s="321"/>
      <c r="Z224" s="321"/>
      <c r="AA224" s="321"/>
      <c r="AB224" s="321"/>
      <c r="AC224" s="321"/>
      <c r="AD224" s="321"/>
      <c r="AE224" s="321"/>
      <c r="AF224" s="321"/>
      <c r="AG224" s="321"/>
      <c r="AH224" s="321"/>
      <c r="AI224" s="321"/>
      <c r="AJ224" s="321"/>
      <c r="AK224" s="321"/>
      <c r="AL224" s="321"/>
      <c r="AM224" s="321"/>
      <c r="AN224" s="321"/>
      <c r="AO224" s="321"/>
      <c r="AP224" s="427"/>
      <c r="AQ224" s="321"/>
      <c r="AR224" s="321"/>
      <c r="AS224" s="321"/>
      <c r="AT224" s="321"/>
      <c r="AU224" s="136">
        <f t="shared" si="50"/>
        <v>3.5936315906370808E-5</v>
      </c>
      <c r="AV224" s="136">
        <f t="shared" si="61"/>
        <v>-3.9700000000000433</v>
      </c>
      <c r="AW224" s="136">
        <f t="shared" si="51"/>
        <v>1.5082527155049191E-4</v>
      </c>
      <c r="AX224" s="136" t="e">
        <f t="shared" si="52"/>
        <v>#N/A</v>
      </c>
      <c r="AY224" s="136">
        <f t="shared" si="53"/>
        <v>-3.9700100000000433</v>
      </c>
      <c r="AZ224" s="136">
        <f t="shared" si="54"/>
        <v>-3.9699900000000432</v>
      </c>
      <c r="BA224" s="136">
        <f t="shared" si="55"/>
        <v>2.8992145172971519E-2</v>
      </c>
      <c r="BB224" s="136">
        <f t="shared" si="56"/>
        <v>2.8992412370564841E-2</v>
      </c>
      <c r="BC224" s="136" t="e">
        <f t="shared" si="57"/>
        <v>#N/A</v>
      </c>
      <c r="BD224" s="136">
        <f t="shared" si="62"/>
        <v>1.5082527155049191E-4</v>
      </c>
      <c r="BE224" s="136">
        <f t="shared" si="58"/>
        <v>-8.4917472844950814E-4</v>
      </c>
      <c r="BF224" s="136" t="e">
        <f t="shared" si="59"/>
        <v>#N/A</v>
      </c>
      <c r="BG224" s="136" t="e">
        <f t="shared" si="60"/>
        <v>#N/A</v>
      </c>
    </row>
    <row r="225" spans="2:59" ht="11.25" customHeight="1">
      <c r="B225" s="321"/>
      <c r="C225" s="321"/>
      <c r="D225" s="321"/>
      <c r="E225" s="321"/>
      <c r="F225" s="321"/>
      <c r="G225" s="321"/>
      <c r="H225" s="321"/>
      <c r="I225" s="321"/>
      <c r="J225" s="321"/>
      <c r="K225" s="321"/>
      <c r="L225" s="321"/>
      <c r="M225" s="321"/>
      <c r="N225" s="321"/>
      <c r="O225" s="321"/>
      <c r="P225" s="321"/>
      <c r="Q225" s="321"/>
      <c r="R225" s="321"/>
      <c r="S225" s="321"/>
      <c r="T225" s="321"/>
      <c r="U225" s="321"/>
      <c r="V225" s="321"/>
      <c r="W225" s="321"/>
      <c r="X225" s="321"/>
      <c r="Y225" s="321"/>
      <c r="Z225" s="321"/>
      <c r="AA225" s="321"/>
      <c r="AB225" s="321"/>
      <c r="AC225" s="321"/>
      <c r="AD225" s="321"/>
      <c r="AE225" s="321"/>
      <c r="AF225" s="321"/>
      <c r="AG225" s="321"/>
      <c r="AH225" s="321"/>
      <c r="AI225" s="321"/>
      <c r="AJ225" s="321"/>
      <c r="AK225" s="321"/>
      <c r="AL225" s="321"/>
      <c r="AM225" s="321"/>
      <c r="AN225" s="321"/>
      <c r="AO225" s="321"/>
      <c r="AP225" s="427"/>
      <c r="AQ225" s="321"/>
      <c r="AR225" s="321"/>
      <c r="AS225" s="321"/>
      <c r="AT225" s="321"/>
      <c r="AU225" s="136">
        <f t="shared" si="50"/>
        <v>3.7474881691257345E-5</v>
      </c>
      <c r="AV225" s="136">
        <f t="shared" si="61"/>
        <v>-3.9600000000000435</v>
      </c>
      <c r="AW225" s="136">
        <f t="shared" si="51"/>
        <v>1.5692563406550521E-4</v>
      </c>
      <c r="AX225" s="136" t="e">
        <f t="shared" si="52"/>
        <v>#N/A</v>
      </c>
      <c r="AY225" s="136">
        <f t="shared" si="53"/>
        <v>-3.9600100000000436</v>
      </c>
      <c r="AZ225" s="136">
        <f t="shared" si="54"/>
        <v>-3.9599900000000434</v>
      </c>
      <c r="BA225" s="136">
        <f t="shared" si="55"/>
        <v>2.9126192305374863E-2</v>
      </c>
      <c r="BB225" s="136">
        <f t="shared" si="56"/>
        <v>2.9126461302509111E-2</v>
      </c>
      <c r="BC225" s="136" t="e">
        <f t="shared" si="57"/>
        <v>#N/A</v>
      </c>
      <c r="BD225" s="136">
        <f t="shared" si="62"/>
        <v>1.5692563406550521E-4</v>
      </c>
      <c r="BE225" s="136">
        <f t="shared" si="58"/>
        <v>-8.4307436593449481E-4</v>
      </c>
      <c r="BF225" s="136" t="e">
        <f t="shared" si="59"/>
        <v>#N/A</v>
      </c>
      <c r="BG225" s="136" t="e">
        <f t="shared" si="60"/>
        <v>#N/A</v>
      </c>
    </row>
    <row r="226" spans="2:59" ht="11.25" customHeight="1">
      <c r="B226" s="321"/>
      <c r="C226" s="321"/>
      <c r="D226" s="321"/>
      <c r="E226" s="321"/>
      <c r="F226" s="321"/>
      <c r="G226" s="321"/>
      <c r="H226" s="321"/>
      <c r="I226" s="321"/>
      <c r="J226" s="321"/>
      <c r="K226" s="321"/>
      <c r="L226" s="321"/>
      <c r="M226" s="321"/>
      <c r="N226" s="321"/>
      <c r="O226" s="321"/>
      <c r="P226" s="321"/>
      <c r="Q226" s="321"/>
      <c r="R226" s="321"/>
      <c r="S226" s="321"/>
      <c r="T226" s="321"/>
      <c r="U226" s="321"/>
      <c r="V226" s="321"/>
      <c r="W226" s="321"/>
      <c r="X226" s="321"/>
      <c r="Y226" s="321"/>
      <c r="Z226" s="321"/>
      <c r="AA226" s="321"/>
      <c r="AB226" s="321"/>
      <c r="AC226" s="321"/>
      <c r="AD226" s="321"/>
      <c r="AE226" s="321"/>
      <c r="AF226" s="321"/>
      <c r="AG226" s="321"/>
      <c r="AH226" s="321"/>
      <c r="AI226" s="321"/>
      <c r="AJ226" s="321"/>
      <c r="AK226" s="321"/>
      <c r="AL226" s="321"/>
      <c r="AM226" s="321"/>
      <c r="AN226" s="321"/>
      <c r="AO226" s="321"/>
      <c r="AP226" s="427"/>
      <c r="AQ226" s="321"/>
      <c r="AR226" s="321"/>
      <c r="AS226" s="321"/>
      <c r="AT226" s="321"/>
      <c r="AU226" s="136">
        <f t="shared" si="50"/>
        <v>3.9075596598214801E-5</v>
      </c>
      <c r="AV226" s="136">
        <f t="shared" si="61"/>
        <v>-3.9500000000000437</v>
      </c>
      <c r="AW226" s="136">
        <f t="shared" si="51"/>
        <v>1.6325640876621385E-4</v>
      </c>
      <c r="AX226" s="136" t="e">
        <f t="shared" si="52"/>
        <v>#N/A</v>
      </c>
      <c r="AY226" s="136">
        <f t="shared" si="53"/>
        <v>-3.9500100000000438</v>
      </c>
      <c r="AZ226" s="136">
        <f t="shared" si="54"/>
        <v>-3.9499900000000436</v>
      </c>
      <c r="BA226" s="136">
        <f t="shared" si="55"/>
        <v>2.9261143112332216E-2</v>
      </c>
      <c r="BB226" s="136">
        <f t="shared" si="56"/>
        <v>2.9261413924682438E-2</v>
      </c>
      <c r="BC226" s="136" t="e">
        <f t="shared" si="57"/>
        <v>#N/A</v>
      </c>
      <c r="BD226" s="136">
        <f t="shared" si="62"/>
        <v>1.6325640876621385E-4</v>
      </c>
      <c r="BE226" s="136">
        <f t="shared" si="58"/>
        <v>-8.3674359123378614E-4</v>
      </c>
      <c r="BF226" s="136" t="e">
        <f t="shared" si="59"/>
        <v>#N/A</v>
      </c>
      <c r="BG226" s="136" t="e">
        <f t="shared" si="60"/>
        <v>#N/A</v>
      </c>
    </row>
    <row r="227" spans="2:59" ht="11.25" customHeight="1">
      <c r="B227" s="321"/>
      <c r="C227" s="321"/>
      <c r="D227" s="321"/>
      <c r="E227" s="321"/>
      <c r="F227" s="321"/>
      <c r="G227" s="321"/>
      <c r="H227" s="321"/>
      <c r="I227" s="321"/>
      <c r="J227" s="321"/>
      <c r="K227" s="321"/>
      <c r="L227" s="321"/>
      <c r="M227" s="321"/>
      <c r="N227" s="321"/>
      <c r="O227" s="321"/>
      <c r="P227" s="321"/>
      <c r="Q227" s="321"/>
      <c r="R227" s="321"/>
      <c r="S227" s="321"/>
      <c r="T227" s="321"/>
      <c r="U227" s="321"/>
      <c r="V227" s="321"/>
      <c r="W227" s="321"/>
      <c r="X227" s="321"/>
      <c r="Y227" s="321"/>
      <c r="Z227" s="321"/>
      <c r="AA227" s="321"/>
      <c r="AB227" s="321"/>
      <c r="AC227" s="321"/>
      <c r="AD227" s="321"/>
      <c r="AE227" s="321"/>
      <c r="AF227" s="321"/>
      <c r="AG227" s="321"/>
      <c r="AH227" s="321"/>
      <c r="AI227" s="321"/>
      <c r="AJ227" s="321"/>
      <c r="AK227" s="321"/>
      <c r="AL227" s="321"/>
      <c r="AM227" s="321"/>
      <c r="AN227" s="321"/>
      <c r="AO227" s="321"/>
      <c r="AP227" s="427"/>
      <c r="AQ227" s="321"/>
      <c r="AR227" s="321"/>
      <c r="AS227" s="321"/>
      <c r="AT227" s="321"/>
      <c r="AU227" s="136">
        <f t="shared" si="50"/>
        <v>4.0740804561067989E-5</v>
      </c>
      <c r="AV227" s="136">
        <f t="shared" si="61"/>
        <v>-3.9400000000000439</v>
      </c>
      <c r="AW227" s="136">
        <f t="shared" si="51"/>
        <v>1.6982559942931415E-4</v>
      </c>
      <c r="AX227" s="136" t="e">
        <f t="shared" si="52"/>
        <v>#N/A</v>
      </c>
      <c r="AY227" s="136">
        <f t="shared" si="53"/>
        <v>-3.940010000000044</v>
      </c>
      <c r="AZ227" s="136">
        <f t="shared" si="54"/>
        <v>-3.9399900000000438</v>
      </c>
      <c r="BA227" s="136">
        <f t="shared" si="55"/>
        <v>2.9397005472424402E-2</v>
      </c>
      <c r="BB227" s="136">
        <f t="shared" si="56"/>
        <v>2.9397278115830521E-2</v>
      </c>
      <c r="BC227" s="136" t="e">
        <f t="shared" si="57"/>
        <v>#N/A</v>
      </c>
      <c r="BD227" s="136">
        <f t="shared" si="62"/>
        <v>1.6982559942931415E-4</v>
      </c>
      <c r="BE227" s="136">
        <f t="shared" si="58"/>
        <v>-8.3017440057068593E-4</v>
      </c>
      <c r="BF227" s="136" t="e">
        <f t="shared" si="59"/>
        <v>#N/A</v>
      </c>
      <c r="BG227" s="136" t="e">
        <f t="shared" si="60"/>
        <v>#N/A</v>
      </c>
    </row>
    <row r="228" spans="2:59" ht="11.25" customHeight="1">
      <c r="B228" s="321"/>
      <c r="C228" s="321"/>
      <c r="D228" s="321"/>
      <c r="E228" s="321"/>
      <c r="F228" s="321"/>
      <c r="G228" s="321"/>
      <c r="H228" s="321"/>
      <c r="I228" s="321"/>
      <c r="J228" s="321"/>
      <c r="K228" s="321"/>
      <c r="L228" s="321"/>
      <c r="M228" s="321"/>
      <c r="N228" s="321"/>
      <c r="O228" s="321"/>
      <c r="P228" s="321"/>
      <c r="Q228" s="321"/>
      <c r="R228" s="321"/>
      <c r="S228" s="321"/>
      <c r="T228" s="321"/>
      <c r="U228" s="321"/>
      <c r="V228" s="321"/>
      <c r="W228" s="321"/>
      <c r="X228" s="321"/>
      <c r="Y228" s="321"/>
      <c r="Z228" s="321"/>
      <c r="AA228" s="321"/>
      <c r="AB228" s="321"/>
      <c r="AC228" s="321"/>
      <c r="AD228" s="321"/>
      <c r="AE228" s="321"/>
      <c r="AF228" s="321"/>
      <c r="AG228" s="321"/>
      <c r="AH228" s="321"/>
      <c r="AI228" s="321"/>
      <c r="AJ228" s="321"/>
      <c r="AK228" s="321"/>
      <c r="AL228" s="321"/>
      <c r="AM228" s="321"/>
      <c r="AN228" s="321"/>
      <c r="AO228" s="321"/>
      <c r="AP228" s="427"/>
      <c r="AQ228" s="321"/>
      <c r="AR228" s="321"/>
      <c r="AS228" s="321"/>
      <c r="AT228" s="321"/>
      <c r="AU228" s="136">
        <f t="shared" si="50"/>
        <v>4.2472930786296992E-5</v>
      </c>
      <c r="AV228" s="136">
        <f t="shared" si="61"/>
        <v>-3.9300000000000441</v>
      </c>
      <c r="AW228" s="136">
        <f t="shared" si="51"/>
        <v>1.7664145934754029E-4</v>
      </c>
      <c r="AX228" s="136" t="e">
        <f t="shared" si="52"/>
        <v>#N/A</v>
      </c>
      <c r="AY228" s="136">
        <f t="shared" si="53"/>
        <v>-3.9300100000000442</v>
      </c>
      <c r="AZ228" s="136">
        <f t="shared" si="54"/>
        <v>-3.9299900000000441</v>
      </c>
      <c r="BA228" s="136">
        <f t="shared" si="55"/>
        <v>2.9533787347210818E-2</v>
      </c>
      <c r="BB228" s="136">
        <f t="shared" si="56"/>
        <v>2.9534061837679815E-2</v>
      </c>
      <c r="BC228" s="136" t="e">
        <f t="shared" si="57"/>
        <v>#N/A</v>
      </c>
      <c r="BD228" s="136">
        <f t="shared" si="62"/>
        <v>1.7664145934754029E-4</v>
      </c>
      <c r="BE228" s="136">
        <f t="shared" si="58"/>
        <v>-8.2335854065245971E-4</v>
      </c>
      <c r="BF228" s="136" t="e">
        <f t="shared" si="59"/>
        <v>#N/A</v>
      </c>
      <c r="BG228" s="136" t="e">
        <f t="shared" si="60"/>
        <v>#N/A</v>
      </c>
    </row>
    <row r="229" spans="2:59" ht="11.25" customHeight="1">
      <c r="B229" s="321"/>
      <c r="C229" s="321"/>
      <c r="D229" s="321"/>
      <c r="E229" s="321"/>
      <c r="F229" s="321"/>
      <c r="G229" s="321"/>
      <c r="H229" s="321"/>
      <c r="I229" s="321"/>
      <c r="J229" s="321"/>
      <c r="K229" s="321"/>
      <c r="L229" s="321"/>
      <c r="M229" s="321"/>
      <c r="N229" s="321"/>
      <c r="O229" s="321"/>
      <c r="P229" s="321"/>
      <c r="Q229" s="321"/>
      <c r="R229" s="321"/>
      <c r="S229" s="321"/>
      <c r="T229" s="321"/>
      <c r="U229" s="321"/>
      <c r="V229" s="321"/>
      <c r="W229" s="321"/>
      <c r="X229" s="321"/>
      <c r="Y229" s="321"/>
      <c r="Z229" s="321"/>
      <c r="AA229" s="321"/>
      <c r="AB229" s="321"/>
      <c r="AC229" s="321"/>
      <c r="AD229" s="321"/>
      <c r="AE229" s="321"/>
      <c r="AF229" s="321"/>
      <c r="AG229" s="321"/>
      <c r="AH229" s="321"/>
      <c r="AI229" s="321"/>
      <c r="AJ229" s="321"/>
      <c r="AK229" s="321"/>
      <c r="AL229" s="321"/>
      <c r="AM229" s="321"/>
      <c r="AN229" s="321"/>
      <c r="AO229" s="321"/>
      <c r="AP229" s="427"/>
      <c r="AQ229" s="321"/>
      <c r="AR229" s="321"/>
      <c r="AS229" s="321"/>
      <c r="AT229" s="321"/>
      <c r="AU229" s="136">
        <f t="shared" si="50"/>
        <v>4.427448431421066E-5</v>
      </c>
      <c r="AV229" s="136">
        <f t="shared" si="61"/>
        <v>-3.9200000000000443</v>
      </c>
      <c r="AW229" s="136">
        <f t="shared" si="51"/>
        <v>1.837124980024251E-4</v>
      </c>
      <c r="AX229" s="136" t="e">
        <f t="shared" si="52"/>
        <v>#N/A</v>
      </c>
      <c r="AY229" s="136">
        <f t="shared" si="53"/>
        <v>-3.9200100000000444</v>
      </c>
      <c r="AZ229" s="136">
        <f t="shared" si="54"/>
        <v>-3.9199900000000443</v>
      </c>
      <c r="BA229" s="136">
        <f t="shared" si="55"/>
        <v>2.9671496782237242E-2</v>
      </c>
      <c r="BB229" s="136">
        <f t="shared" si="56"/>
        <v>2.9671773135945018E-2</v>
      </c>
      <c r="BC229" s="136" t="e">
        <f t="shared" si="57"/>
        <v>#N/A</v>
      </c>
      <c r="BD229" s="136">
        <f t="shared" si="62"/>
        <v>1.837124980024251E-4</v>
      </c>
      <c r="BE229" s="136">
        <f t="shared" si="58"/>
        <v>-8.1628750199757498E-4</v>
      </c>
      <c r="BF229" s="136" t="e">
        <f t="shared" si="59"/>
        <v>#N/A</v>
      </c>
      <c r="BG229" s="136" t="e">
        <f t="shared" si="60"/>
        <v>#N/A</v>
      </c>
    </row>
    <row r="230" spans="2:59" ht="11.25" customHeight="1">
      <c r="B230" s="321"/>
      <c r="C230" s="321"/>
      <c r="D230" s="321"/>
      <c r="E230" s="321"/>
      <c r="F230" s="321"/>
      <c r="G230" s="321"/>
      <c r="H230" s="321"/>
      <c r="I230" s="321"/>
      <c r="J230" s="321"/>
      <c r="K230" s="321"/>
      <c r="L230" s="321"/>
      <c r="M230" s="321"/>
      <c r="N230" s="321"/>
      <c r="O230" s="321"/>
      <c r="P230" s="321"/>
      <c r="Q230" s="321"/>
      <c r="R230" s="321"/>
      <c r="S230" s="321"/>
      <c r="T230" s="321"/>
      <c r="U230" s="321"/>
      <c r="V230" s="321"/>
      <c r="W230" s="321"/>
      <c r="X230" s="321"/>
      <c r="Y230" s="321"/>
      <c r="Z230" s="321"/>
      <c r="AA230" s="321"/>
      <c r="AB230" s="321"/>
      <c r="AC230" s="321"/>
      <c r="AD230" s="321"/>
      <c r="AE230" s="321"/>
      <c r="AF230" s="321"/>
      <c r="AG230" s="321"/>
      <c r="AH230" s="321"/>
      <c r="AI230" s="321"/>
      <c r="AJ230" s="321"/>
      <c r="AK230" s="321"/>
      <c r="AL230" s="321"/>
      <c r="AM230" s="321"/>
      <c r="AN230" s="321"/>
      <c r="AO230" s="321"/>
      <c r="AP230" s="427"/>
      <c r="AQ230" s="321"/>
      <c r="AR230" s="321"/>
      <c r="AS230" s="321"/>
      <c r="AT230" s="321"/>
      <c r="AU230" s="136">
        <f t="shared" si="50"/>
        <v>4.6148060560469162E-5</v>
      </c>
      <c r="AV230" s="136">
        <f t="shared" si="61"/>
        <v>-3.9100000000000446</v>
      </c>
      <c r="AW230" s="136">
        <f t="shared" si="51"/>
        <v>1.9104748787456449E-4</v>
      </c>
      <c r="AX230" s="136" t="e">
        <f t="shared" si="52"/>
        <v>#N/A</v>
      </c>
      <c r="AY230" s="136">
        <f t="shared" si="53"/>
        <v>-3.9100100000000446</v>
      </c>
      <c r="AZ230" s="136">
        <f t="shared" si="54"/>
        <v>-3.9099900000000445</v>
      </c>
      <c r="BA230" s="136">
        <f t="shared" si="55"/>
        <v>2.981014190805693E-2</v>
      </c>
      <c r="BB230" s="136">
        <f t="shared" si="56"/>
        <v>2.981042014135046E-2</v>
      </c>
      <c r="BC230" s="136" t="e">
        <f t="shared" si="57"/>
        <v>#N/A</v>
      </c>
      <c r="BD230" s="136">
        <f t="shared" si="62"/>
        <v>1.9104748787456449E-4</v>
      </c>
      <c r="BE230" s="136">
        <f t="shared" si="58"/>
        <v>-8.0895251212543553E-4</v>
      </c>
      <c r="BF230" s="136" t="e">
        <f t="shared" si="59"/>
        <v>#N/A</v>
      </c>
      <c r="BG230" s="136" t="e">
        <f t="shared" si="60"/>
        <v>#N/A</v>
      </c>
    </row>
    <row r="231" spans="2:59" ht="11.25" customHeight="1">
      <c r="B231" s="321"/>
      <c r="C231" s="321"/>
      <c r="D231" s="321"/>
      <c r="E231" s="321"/>
      <c r="F231" s="321"/>
      <c r="G231" s="321"/>
      <c r="H231" s="321"/>
      <c r="I231" s="321"/>
      <c r="J231" s="321"/>
      <c r="K231" s="321"/>
      <c r="L231" s="321"/>
      <c r="M231" s="321"/>
      <c r="N231" s="321"/>
      <c r="O231" s="321"/>
      <c r="P231" s="321"/>
      <c r="Q231" s="321"/>
      <c r="R231" s="321"/>
      <c r="S231" s="321"/>
      <c r="T231" s="321"/>
      <c r="U231" s="321"/>
      <c r="V231" s="321"/>
      <c r="W231" s="321"/>
      <c r="X231" s="321"/>
      <c r="Y231" s="321"/>
      <c r="Z231" s="321"/>
      <c r="AA231" s="321"/>
      <c r="AB231" s="321"/>
      <c r="AC231" s="321"/>
      <c r="AD231" s="321"/>
      <c r="AE231" s="321"/>
      <c r="AF231" s="321"/>
      <c r="AG231" s="321"/>
      <c r="AH231" s="321"/>
      <c r="AI231" s="321"/>
      <c r="AJ231" s="321"/>
      <c r="AK231" s="321"/>
      <c r="AL231" s="321"/>
      <c r="AM231" s="321"/>
      <c r="AN231" s="321"/>
      <c r="AO231" s="321"/>
      <c r="AP231" s="427"/>
      <c r="AQ231" s="321"/>
      <c r="AR231" s="321"/>
      <c r="AS231" s="321"/>
      <c r="AT231" s="321"/>
      <c r="AU231" s="136">
        <f t="shared" si="50"/>
        <v>4.8096344019143977E-5</v>
      </c>
      <c r="AV231" s="136">
        <f t="shared" si="61"/>
        <v>-3.9000000000000448</v>
      </c>
      <c r="AW231" s="136">
        <f t="shared" si="51"/>
        <v>1.9865547139273792E-4</v>
      </c>
      <c r="AX231" s="136" t="e">
        <f t="shared" si="52"/>
        <v>#N/A</v>
      </c>
      <c r="AY231" s="136">
        <f t="shared" si="53"/>
        <v>-3.9000100000000448</v>
      </c>
      <c r="AZ231" s="136">
        <f t="shared" si="54"/>
        <v>-3.8999900000000447</v>
      </c>
      <c r="BA231" s="136">
        <f t="shared" si="55"/>
        <v>2.9949730941265774E-2</v>
      </c>
      <c r="BB231" s="136">
        <f t="shared" si="56"/>
        <v>2.9950011070665156E-2</v>
      </c>
      <c r="BC231" s="136" t="e">
        <f t="shared" si="57"/>
        <v>#N/A</v>
      </c>
      <c r="BD231" s="136">
        <f t="shared" si="62"/>
        <v>1.9865547139273792E-4</v>
      </c>
      <c r="BE231" s="136">
        <f t="shared" si="58"/>
        <v>-8.0134452860726208E-4</v>
      </c>
      <c r="BF231" s="136" t="e">
        <f t="shared" si="59"/>
        <v>#N/A</v>
      </c>
      <c r="BG231" s="136" t="e">
        <f t="shared" si="60"/>
        <v>#N/A</v>
      </c>
    </row>
    <row r="232" spans="2:59" ht="11.25" customHeight="1">
      <c r="B232" s="321"/>
      <c r="C232" s="321"/>
      <c r="D232" s="321"/>
      <c r="E232" s="321"/>
      <c r="F232" s="321"/>
      <c r="G232" s="321"/>
      <c r="H232" s="321"/>
      <c r="I232" s="321"/>
      <c r="J232" s="321"/>
      <c r="K232" s="321"/>
      <c r="L232" s="321"/>
      <c r="M232" s="321"/>
      <c r="N232" s="321"/>
      <c r="O232" s="321"/>
      <c r="P232" s="321"/>
      <c r="Q232" s="321"/>
      <c r="R232" s="321"/>
      <c r="S232" s="321"/>
      <c r="T232" s="321"/>
      <c r="U232" s="321"/>
      <c r="V232" s="321"/>
      <c r="W232" s="321"/>
      <c r="X232" s="321"/>
      <c r="Y232" s="321"/>
      <c r="Z232" s="321"/>
      <c r="AA232" s="321"/>
      <c r="AB232" s="321"/>
      <c r="AC232" s="321"/>
      <c r="AD232" s="321"/>
      <c r="AE232" s="321"/>
      <c r="AF232" s="321"/>
      <c r="AG232" s="321"/>
      <c r="AH232" s="321"/>
      <c r="AI232" s="321"/>
      <c r="AJ232" s="321"/>
      <c r="AK232" s="321"/>
      <c r="AL232" s="321"/>
      <c r="AM232" s="321"/>
      <c r="AN232" s="321"/>
      <c r="AO232" s="321"/>
      <c r="AP232" s="427"/>
      <c r="AQ232" s="321"/>
      <c r="AR232" s="321"/>
      <c r="AS232" s="321"/>
      <c r="AT232" s="321"/>
      <c r="AU232" s="136">
        <f t="shared" si="50"/>
        <v>5.0122110995642899E-5</v>
      </c>
      <c r="AV232" s="136">
        <f t="shared" si="61"/>
        <v>-3.890000000000045</v>
      </c>
      <c r="AW232" s="136">
        <f t="shared" si="51"/>
        <v>2.0654576802318949E-4</v>
      </c>
      <c r="AX232" s="136" t="e">
        <f t="shared" si="52"/>
        <v>#N/A</v>
      </c>
      <c r="AY232" s="136">
        <f t="shared" si="53"/>
        <v>-3.890010000000045</v>
      </c>
      <c r="AZ232" s="136">
        <f t="shared" si="54"/>
        <v>-3.8899900000000449</v>
      </c>
      <c r="BA232" s="136">
        <f t="shared" si="55"/>
        <v>3.0090272185551211E-2</v>
      </c>
      <c r="BB232" s="136">
        <f t="shared" si="56"/>
        <v>3.0090554227751802E-2</v>
      </c>
      <c r="BC232" s="136" t="e">
        <f t="shared" si="57"/>
        <v>#N/A</v>
      </c>
      <c r="BD232" s="136">
        <f t="shared" si="62"/>
        <v>2.0654576802318949E-4</v>
      </c>
      <c r="BE232" s="136">
        <f t="shared" si="58"/>
        <v>-7.9345423197681056E-4</v>
      </c>
      <c r="BF232" s="136" t="e">
        <f t="shared" si="59"/>
        <v>#N/A</v>
      </c>
      <c r="BG232" s="136" t="e">
        <f t="shared" si="60"/>
        <v>#N/A</v>
      </c>
    </row>
    <row r="233" spans="2:59" ht="11.25" customHeight="1">
      <c r="B233" s="321"/>
      <c r="C233" s="321"/>
      <c r="D233" s="321"/>
      <c r="E233" s="321"/>
      <c r="F233" s="321"/>
      <c r="G233" s="321"/>
      <c r="H233" s="321"/>
      <c r="I233" s="321"/>
      <c r="J233" s="321"/>
      <c r="K233" s="321"/>
      <c r="L233" s="321"/>
      <c r="M233" s="321"/>
      <c r="N233" s="321"/>
      <c r="O233" s="321"/>
      <c r="P233" s="321"/>
      <c r="Q233" s="321"/>
      <c r="R233" s="321"/>
      <c r="S233" s="321"/>
      <c r="T233" s="321"/>
      <c r="U233" s="321"/>
      <c r="V233" s="321"/>
      <c r="W233" s="321"/>
      <c r="X233" s="321"/>
      <c r="Y233" s="321"/>
      <c r="Z233" s="321"/>
      <c r="AA233" s="321"/>
      <c r="AB233" s="321"/>
      <c r="AC233" s="321"/>
      <c r="AD233" s="321"/>
      <c r="AE233" s="321"/>
      <c r="AF233" s="321"/>
      <c r="AG233" s="321"/>
      <c r="AH233" s="321"/>
      <c r="AI233" s="321"/>
      <c r="AJ233" s="321"/>
      <c r="AK233" s="321"/>
      <c r="AL233" s="321"/>
      <c r="AM233" s="321"/>
      <c r="AN233" s="321"/>
      <c r="AO233" s="321"/>
      <c r="AP233" s="427"/>
      <c r="AQ233" s="321"/>
      <c r="AR233" s="321"/>
      <c r="AS233" s="321"/>
      <c r="AT233" s="321"/>
      <c r="AU233" s="136">
        <f t="shared" si="50"/>
        <v>5.2228232403694896E-5</v>
      </c>
      <c r="AV233" s="136">
        <f t="shared" si="61"/>
        <v>-3.8800000000000452</v>
      </c>
      <c r="AW233" s="136">
        <f t="shared" si="51"/>
        <v>2.1472798150032926E-4</v>
      </c>
      <c r="AX233" s="136" t="e">
        <f t="shared" si="52"/>
        <v>#N/A</v>
      </c>
      <c r="AY233" s="136">
        <f t="shared" si="53"/>
        <v>-3.8800100000000453</v>
      </c>
      <c r="AZ233" s="136">
        <f t="shared" si="54"/>
        <v>-3.8799900000000451</v>
      </c>
      <c r="BA233" s="136">
        <f t="shared" si="55"/>
        <v>3.0231774032755527E-2</v>
      </c>
      <c r="BB233" s="136">
        <f t="shared" si="56"/>
        <v>3.0232058004630094E-2</v>
      </c>
      <c r="BC233" s="136" t="e">
        <f t="shared" si="57"/>
        <v>#N/A</v>
      </c>
      <c r="BD233" s="136">
        <f t="shared" si="62"/>
        <v>2.1472798150032926E-4</v>
      </c>
      <c r="BE233" s="136">
        <f t="shared" si="58"/>
        <v>-7.8527201849967082E-4</v>
      </c>
      <c r="BF233" s="136" t="e">
        <f t="shared" si="59"/>
        <v>#N/A</v>
      </c>
      <c r="BG233" s="136" t="e">
        <f t="shared" si="60"/>
        <v>#N/A</v>
      </c>
    </row>
    <row r="234" spans="2:59" ht="11.25" customHeight="1">
      <c r="B234" s="321"/>
      <c r="C234" s="321"/>
      <c r="D234" s="321"/>
      <c r="E234" s="321"/>
      <c r="F234" s="321"/>
      <c r="G234" s="321"/>
      <c r="H234" s="321"/>
      <c r="I234" s="321"/>
      <c r="J234" s="321"/>
      <c r="K234" s="321"/>
      <c r="L234" s="321"/>
      <c r="M234" s="321"/>
      <c r="N234" s="321"/>
      <c r="O234" s="321"/>
      <c r="P234" s="321"/>
      <c r="Q234" s="321"/>
      <c r="R234" s="321"/>
      <c r="S234" s="321"/>
      <c r="T234" s="321"/>
      <c r="U234" s="321"/>
      <c r="V234" s="321"/>
      <c r="W234" s="321"/>
      <c r="X234" s="321"/>
      <c r="Y234" s="321"/>
      <c r="Z234" s="321"/>
      <c r="AA234" s="321"/>
      <c r="AB234" s="321"/>
      <c r="AC234" s="321"/>
      <c r="AD234" s="321"/>
      <c r="AE234" s="321"/>
      <c r="AF234" s="321"/>
      <c r="AG234" s="321"/>
      <c r="AH234" s="321"/>
      <c r="AI234" s="321"/>
      <c r="AJ234" s="321"/>
      <c r="AK234" s="321"/>
      <c r="AL234" s="321"/>
      <c r="AM234" s="321"/>
      <c r="AN234" s="321"/>
      <c r="AO234" s="321"/>
      <c r="AP234" s="427"/>
      <c r="AQ234" s="321"/>
      <c r="AR234" s="321"/>
      <c r="AS234" s="321"/>
      <c r="AT234" s="321"/>
      <c r="AU234" s="136">
        <f t="shared" si="50"/>
        <v>5.4417676637052992E-5</v>
      </c>
      <c r="AV234" s="136">
        <f t="shared" si="61"/>
        <v>-3.8700000000000454</v>
      </c>
      <c r="AW234" s="136">
        <f t="shared" si="51"/>
        <v>2.2321200720006276E-4</v>
      </c>
      <c r="AX234" s="136" t="e">
        <f t="shared" si="52"/>
        <v>#N/A</v>
      </c>
      <c r="AY234" s="136">
        <f t="shared" si="53"/>
        <v>-3.8700100000000455</v>
      </c>
      <c r="AZ234" s="136">
        <f t="shared" si="54"/>
        <v>-3.8699900000000453</v>
      </c>
      <c r="BA234" s="136">
        <f t="shared" si="55"/>
        <v>3.0374244963953363E-2</v>
      </c>
      <c r="BB234" s="136">
        <f t="shared" si="56"/>
        <v>3.0374530882554176E-2</v>
      </c>
      <c r="BC234" s="136" t="e">
        <f t="shared" si="57"/>
        <v>#N/A</v>
      </c>
      <c r="BD234" s="136">
        <f t="shared" si="62"/>
        <v>2.2321200720006276E-4</v>
      </c>
      <c r="BE234" s="136">
        <f t="shared" si="58"/>
        <v>-7.7678799279993723E-4</v>
      </c>
      <c r="BF234" s="136" t="e">
        <f t="shared" si="59"/>
        <v>#N/A</v>
      </c>
      <c r="BG234" s="136" t="e">
        <f t="shared" si="60"/>
        <v>#N/A</v>
      </c>
    </row>
    <row r="235" spans="2:59" ht="11.25" customHeight="1">
      <c r="B235" s="321"/>
      <c r="C235" s="321"/>
      <c r="D235" s="321"/>
      <c r="E235" s="321"/>
      <c r="F235" s="321"/>
      <c r="G235" s="321"/>
      <c r="H235" s="321"/>
      <c r="I235" s="321"/>
      <c r="J235" s="321"/>
      <c r="K235" s="321"/>
      <c r="L235" s="321"/>
      <c r="M235" s="321"/>
      <c r="N235" s="321"/>
      <c r="O235" s="321"/>
      <c r="P235" s="321"/>
      <c r="Q235" s="321"/>
      <c r="R235" s="321"/>
      <c r="S235" s="321"/>
      <c r="T235" s="321"/>
      <c r="U235" s="321"/>
      <c r="V235" s="321"/>
      <c r="W235" s="321"/>
      <c r="X235" s="321"/>
      <c r="Y235" s="321"/>
      <c r="Z235" s="321"/>
      <c r="AA235" s="321"/>
      <c r="AB235" s="321"/>
      <c r="AC235" s="321"/>
      <c r="AD235" s="321"/>
      <c r="AE235" s="321"/>
      <c r="AF235" s="321"/>
      <c r="AG235" s="321"/>
      <c r="AH235" s="321"/>
      <c r="AI235" s="321"/>
      <c r="AJ235" s="321"/>
      <c r="AK235" s="321"/>
      <c r="AL235" s="321"/>
      <c r="AM235" s="321"/>
      <c r="AN235" s="321"/>
      <c r="AO235" s="321"/>
      <c r="AP235" s="427"/>
      <c r="AQ235" s="321"/>
      <c r="AR235" s="321"/>
      <c r="AS235" s="321"/>
      <c r="AT235" s="321"/>
      <c r="AU235" s="136">
        <f t="shared" si="50"/>
        <v>5.6693512537453472E-5</v>
      </c>
      <c r="AV235" s="136">
        <f t="shared" si="61"/>
        <v>-3.8600000000000456</v>
      </c>
      <c r="AW235" s="136">
        <f t="shared" si="51"/>
        <v>2.3200803965690134E-4</v>
      </c>
      <c r="AX235" s="136" t="e">
        <f t="shared" si="52"/>
        <v>#N/A</v>
      </c>
      <c r="AY235" s="136">
        <f t="shared" si="53"/>
        <v>-3.8600100000000457</v>
      </c>
      <c r="AZ235" s="136">
        <f t="shared" si="54"/>
        <v>-3.8599900000000456</v>
      </c>
      <c r="BA235" s="136">
        <f t="shared" si="55"/>
        <v>3.051769355054389E-2</v>
      </c>
      <c r="BB235" s="136">
        <f t="shared" si="56"/>
        <v>3.0517981433104985E-2</v>
      </c>
      <c r="BC235" s="136" t="e">
        <f t="shared" si="57"/>
        <v>#N/A</v>
      </c>
      <c r="BD235" s="136">
        <f t="shared" si="62"/>
        <v>2.3200803965690134E-4</v>
      </c>
      <c r="BE235" s="136">
        <f t="shared" si="58"/>
        <v>-7.6799196034309865E-4</v>
      </c>
      <c r="BF235" s="136" t="e">
        <f t="shared" si="59"/>
        <v>#N/A</v>
      </c>
      <c r="BG235" s="136" t="e">
        <f t="shared" si="60"/>
        <v>#N/A</v>
      </c>
    </row>
    <row r="236" spans="2:59" ht="11.25" customHeight="1">
      <c r="B236" s="321"/>
      <c r="C236" s="321"/>
      <c r="D236" s="321"/>
      <c r="E236" s="321"/>
      <c r="F236" s="321"/>
      <c r="G236" s="321"/>
      <c r="H236" s="321"/>
      <c r="I236" s="321"/>
      <c r="J236" s="321"/>
      <c r="K236" s="321"/>
      <c r="L236" s="321"/>
      <c r="M236" s="321"/>
      <c r="N236" s="321"/>
      <c r="O236" s="321"/>
      <c r="P236" s="321"/>
      <c r="Q236" s="321"/>
      <c r="R236" s="321"/>
      <c r="S236" s="321"/>
      <c r="T236" s="321"/>
      <c r="U236" s="321"/>
      <c r="V236" s="321"/>
      <c r="W236" s="321"/>
      <c r="X236" s="321"/>
      <c r="Y236" s="321"/>
      <c r="Z236" s="321"/>
      <c r="AA236" s="321"/>
      <c r="AB236" s="321"/>
      <c r="AC236" s="321"/>
      <c r="AD236" s="321"/>
      <c r="AE236" s="321"/>
      <c r="AF236" s="321"/>
      <c r="AG236" s="321"/>
      <c r="AH236" s="321"/>
      <c r="AI236" s="321"/>
      <c r="AJ236" s="321"/>
      <c r="AK236" s="321"/>
      <c r="AL236" s="321"/>
      <c r="AM236" s="321"/>
      <c r="AN236" s="321"/>
      <c r="AO236" s="321"/>
      <c r="AP236" s="427"/>
      <c r="AQ236" s="321"/>
      <c r="AR236" s="321"/>
      <c r="AS236" s="321"/>
      <c r="AT236" s="321"/>
      <c r="AU236" s="136">
        <f t="shared" si="50"/>
        <v>5.9058912420306697E-5</v>
      </c>
      <c r="AV236" s="136">
        <f t="shared" si="61"/>
        <v>-3.8500000000000458</v>
      </c>
      <c r="AW236" s="136">
        <f t="shared" si="51"/>
        <v>2.4112658022595082E-4</v>
      </c>
      <c r="AX236" s="136" t="e">
        <f t="shared" si="52"/>
        <v>#N/A</v>
      </c>
      <c r="AY236" s="136">
        <f t="shared" si="53"/>
        <v>-3.8500100000000459</v>
      </c>
      <c r="AZ236" s="136">
        <f t="shared" si="54"/>
        <v>-3.8499900000000458</v>
      </c>
      <c r="BA236" s="136">
        <f t="shared" si="55"/>
        <v>3.0662128455357911E-2</v>
      </c>
      <c r="BB236" s="136">
        <f t="shared" si="56"/>
        <v>3.0662418319297301E-2</v>
      </c>
      <c r="BC236" s="136" t="e">
        <f t="shared" si="57"/>
        <v>#N/A</v>
      </c>
      <c r="BD236" s="136">
        <f t="shared" si="62"/>
        <v>2.4112658022595082E-4</v>
      </c>
      <c r="BE236" s="136">
        <f t="shared" si="58"/>
        <v>-7.5887341977404926E-4</v>
      </c>
      <c r="BF236" s="136" t="e">
        <f t="shared" si="59"/>
        <v>#N/A</v>
      </c>
      <c r="BG236" s="136" t="e">
        <f t="shared" si="60"/>
        <v>#N/A</v>
      </c>
    </row>
    <row r="237" spans="2:59" ht="11.25" customHeight="1">
      <c r="B237" s="321"/>
      <c r="C237" s="321"/>
      <c r="D237" s="321"/>
      <c r="E237" s="321"/>
      <c r="F237" s="321"/>
      <c r="G237" s="321"/>
      <c r="H237" s="321"/>
      <c r="I237" s="321"/>
      <c r="J237" s="321"/>
      <c r="K237" s="321"/>
      <c r="L237" s="321"/>
      <c r="M237" s="321"/>
      <c r="N237" s="321"/>
      <c r="O237" s="321"/>
      <c r="P237" s="321"/>
      <c r="Q237" s="321"/>
      <c r="R237" s="321"/>
      <c r="S237" s="321"/>
      <c r="T237" s="321"/>
      <c r="U237" s="321"/>
      <c r="V237" s="321"/>
      <c r="W237" s="321"/>
      <c r="X237" s="321"/>
      <c r="Y237" s="321"/>
      <c r="Z237" s="321"/>
      <c r="AA237" s="321"/>
      <c r="AB237" s="321"/>
      <c r="AC237" s="321"/>
      <c r="AD237" s="321"/>
      <c r="AE237" s="321"/>
      <c r="AF237" s="321"/>
      <c r="AG237" s="321"/>
      <c r="AH237" s="321"/>
      <c r="AI237" s="321"/>
      <c r="AJ237" s="321"/>
      <c r="AK237" s="321"/>
      <c r="AL237" s="321"/>
      <c r="AM237" s="321"/>
      <c r="AN237" s="321"/>
      <c r="AO237" s="321"/>
      <c r="AP237" s="427"/>
      <c r="AQ237" s="321"/>
      <c r="AR237" s="321"/>
      <c r="AS237" s="321"/>
      <c r="AT237" s="321"/>
      <c r="AU237" s="136">
        <f t="shared" si="50"/>
        <v>6.1517155179990901E-5</v>
      </c>
      <c r="AV237" s="136">
        <f t="shared" si="61"/>
        <v>-3.840000000000046</v>
      </c>
      <c r="AW237" s="136">
        <f t="shared" si="51"/>
        <v>2.5057844489081646E-4</v>
      </c>
      <c r="AX237" s="136" t="e">
        <f t="shared" si="52"/>
        <v>#N/A</v>
      </c>
      <c r="AY237" s="136">
        <f t="shared" si="53"/>
        <v>-3.8400100000000461</v>
      </c>
      <c r="AZ237" s="136">
        <f t="shared" si="54"/>
        <v>-3.839990000000046</v>
      </c>
      <c r="BA237" s="136">
        <f t="shared" si="55"/>
        <v>3.0807558433779667E-2</v>
      </c>
      <c r="BB237" s="136">
        <f t="shared" si="56"/>
        <v>3.0807850296701626E-2</v>
      </c>
      <c r="BC237" s="136" t="e">
        <f t="shared" si="57"/>
        <v>#N/A</v>
      </c>
      <c r="BD237" s="136">
        <f t="shared" si="62"/>
        <v>2.5057844489081646E-4</v>
      </c>
      <c r="BE237" s="136">
        <f t="shared" si="58"/>
        <v>-7.4942155510918356E-4</v>
      </c>
      <c r="BF237" s="136" t="e">
        <f t="shared" si="59"/>
        <v>#N/A</v>
      </c>
      <c r="BG237" s="136" t="e">
        <f t="shared" si="60"/>
        <v>#N/A</v>
      </c>
    </row>
    <row r="238" spans="2:59" ht="11.25" customHeight="1">
      <c r="B238" s="321"/>
      <c r="C238" s="321"/>
      <c r="D238" s="321"/>
      <c r="E238" s="321"/>
      <c r="F238" s="321"/>
      <c r="G238" s="321"/>
      <c r="H238" s="321"/>
      <c r="I238" s="321"/>
      <c r="J238" s="321"/>
      <c r="K238" s="321"/>
      <c r="L238" s="321"/>
      <c r="M238" s="321"/>
      <c r="N238" s="321"/>
      <c r="O238" s="321"/>
      <c r="P238" s="321"/>
      <c r="Q238" s="321"/>
      <c r="R238" s="321"/>
      <c r="S238" s="321"/>
      <c r="T238" s="321"/>
      <c r="U238" s="321"/>
      <c r="V238" s="321"/>
      <c r="W238" s="321"/>
      <c r="X238" s="321"/>
      <c r="Y238" s="321"/>
      <c r="Z238" s="321"/>
      <c r="AA238" s="321"/>
      <c r="AB238" s="321"/>
      <c r="AC238" s="321"/>
      <c r="AD238" s="321"/>
      <c r="AE238" s="321"/>
      <c r="AF238" s="321"/>
      <c r="AG238" s="321"/>
      <c r="AH238" s="321"/>
      <c r="AI238" s="321"/>
      <c r="AJ238" s="321"/>
      <c r="AK238" s="321"/>
      <c r="AL238" s="321"/>
      <c r="AM238" s="321"/>
      <c r="AN238" s="321"/>
      <c r="AO238" s="321"/>
      <c r="AP238" s="427"/>
      <c r="AQ238" s="321"/>
      <c r="AR238" s="321"/>
      <c r="AS238" s="321"/>
      <c r="AT238" s="321"/>
      <c r="AU238" s="136">
        <f t="shared" si="50"/>
        <v>6.407162949062517E-5</v>
      </c>
      <c r="AV238" s="136">
        <f t="shared" si="61"/>
        <v>-3.8300000000000463</v>
      </c>
      <c r="AW238" s="136">
        <f t="shared" si="51"/>
        <v>2.6037477221839639E-4</v>
      </c>
      <c r="AX238" s="136" t="e">
        <f t="shared" si="52"/>
        <v>#N/A</v>
      </c>
      <c r="AY238" s="136">
        <f t="shared" si="53"/>
        <v>-3.8300100000000463</v>
      </c>
      <c r="AZ238" s="136">
        <f t="shared" si="54"/>
        <v>-3.8299900000000462</v>
      </c>
      <c r="BA238" s="136">
        <f t="shared" si="55"/>
        <v>3.0953992334884273E-2</v>
      </c>
      <c r="BB238" s="136">
        <f t="shared" si="56"/>
        <v>3.09542862145816E-2</v>
      </c>
      <c r="BC238" s="136" t="e">
        <f t="shared" si="57"/>
        <v>#N/A</v>
      </c>
      <c r="BD238" s="136">
        <f t="shared" si="62"/>
        <v>2.6037477221839639E-4</v>
      </c>
      <c r="BE238" s="136">
        <f t="shared" si="58"/>
        <v>-7.3962522778160363E-4</v>
      </c>
      <c r="BF238" s="136" t="e">
        <f t="shared" si="59"/>
        <v>#N/A</v>
      </c>
      <c r="BG238" s="136" t="e">
        <f t="shared" si="60"/>
        <v>#N/A</v>
      </c>
    </row>
    <row r="239" spans="2:59" ht="11.25" customHeight="1">
      <c r="B239" s="321"/>
      <c r="C239" s="321"/>
      <c r="D239" s="321"/>
      <c r="E239" s="321"/>
      <c r="F239" s="321"/>
      <c r="G239" s="321"/>
      <c r="H239" s="321"/>
      <c r="I239" s="321"/>
      <c r="J239" s="321"/>
      <c r="K239" s="321"/>
      <c r="L239" s="321"/>
      <c r="M239" s="321"/>
      <c r="N239" s="321"/>
      <c r="O239" s="321"/>
      <c r="P239" s="321"/>
      <c r="Q239" s="321"/>
      <c r="R239" s="321"/>
      <c r="S239" s="321"/>
      <c r="T239" s="321"/>
      <c r="U239" s="321"/>
      <c r="V239" s="321"/>
      <c r="W239" s="321"/>
      <c r="X239" s="321"/>
      <c r="Y239" s="321"/>
      <c r="Z239" s="321"/>
      <c r="AA239" s="321"/>
      <c r="AB239" s="321"/>
      <c r="AC239" s="321"/>
      <c r="AD239" s="321"/>
      <c r="AE239" s="321"/>
      <c r="AF239" s="321"/>
      <c r="AG239" s="321"/>
      <c r="AH239" s="321"/>
      <c r="AI239" s="321"/>
      <c r="AJ239" s="321"/>
      <c r="AK239" s="321"/>
      <c r="AL239" s="321"/>
      <c r="AM239" s="321"/>
      <c r="AN239" s="321"/>
      <c r="AO239" s="321"/>
      <c r="AP239" s="427"/>
      <c r="AQ239" s="321"/>
      <c r="AR239" s="321"/>
      <c r="AS239" s="321"/>
      <c r="AT239" s="321"/>
      <c r="AU239" s="136">
        <f t="shared" si="50"/>
        <v>6.672583702682644E-5</v>
      </c>
      <c r="AV239" s="136">
        <f t="shared" si="61"/>
        <v>-3.8200000000000465</v>
      </c>
      <c r="AW239" s="136">
        <f t="shared" si="51"/>
        <v>2.7052703146147292E-4</v>
      </c>
      <c r="AX239" s="136" t="e">
        <f t="shared" si="52"/>
        <v>#N/A</v>
      </c>
      <c r="AY239" s="136">
        <f t="shared" si="53"/>
        <v>-3.8200100000000465</v>
      </c>
      <c r="AZ239" s="136">
        <f t="shared" si="54"/>
        <v>-3.8199900000000464</v>
      </c>
      <c r="BA239" s="136">
        <f t="shared" si="55"/>
        <v>3.110143910259032E-2</v>
      </c>
      <c r="BB239" s="136">
        <f t="shared" si="56"/>
        <v>3.110173501704664E-2</v>
      </c>
      <c r="BC239" s="136" t="e">
        <f t="shared" si="57"/>
        <v>#N/A</v>
      </c>
      <c r="BD239" s="136">
        <f t="shared" si="62"/>
        <v>2.7052703146147292E-4</v>
      </c>
      <c r="BE239" s="136">
        <f t="shared" si="58"/>
        <v>-7.2947296853852705E-4</v>
      </c>
      <c r="BF239" s="136" t="e">
        <f t="shared" si="59"/>
        <v>#N/A</v>
      </c>
      <c r="BG239" s="136" t="e">
        <f t="shared" si="60"/>
        <v>#N/A</v>
      </c>
    </row>
    <row r="240" spans="2:59" ht="11.25" customHeight="1">
      <c r="B240" s="321"/>
      <c r="C240" s="321"/>
      <c r="D240" s="321"/>
      <c r="E240" s="321"/>
      <c r="F240" s="321"/>
      <c r="G240" s="321"/>
      <c r="H240" s="321"/>
      <c r="I240" s="321"/>
      <c r="J240" s="321"/>
      <c r="K240" s="321"/>
      <c r="L240" s="321"/>
      <c r="M240" s="321"/>
      <c r="N240" s="321"/>
      <c r="O240" s="321"/>
      <c r="P240" s="321"/>
      <c r="Q240" s="321"/>
      <c r="R240" s="321"/>
      <c r="S240" s="321"/>
      <c r="T240" s="321"/>
      <c r="U240" s="321"/>
      <c r="V240" s="321"/>
      <c r="W240" s="321"/>
      <c r="X240" s="321"/>
      <c r="Y240" s="321"/>
      <c r="Z240" s="321"/>
      <c r="AA240" s="321"/>
      <c r="AB240" s="321"/>
      <c r="AC240" s="321"/>
      <c r="AD240" s="321"/>
      <c r="AE240" s="321"/>
      <c r="AF240" s="321"/>
      <c r="AG240" s="321"/>
      <c r="AH240" s="321"/>
      <c r="AI240" s="321"/>
      <c r="AJ240" s="321"/>
      <c r="AK240" s="321"/>
      <c r="AL240" s="321"/>
      <c r="AM240" s="321"/>
      <c r="AN240" s="321"/>
      <c r="AO240" s="321"/>
      <c r="AP240" s="427"/>
      <c r="AQ240" s="321"/>
      <c r="AR240" s="321"/>
      <c r="AS240" s="321"/>
      <c r="AT240" s="321"/>
      <c r="AU240" s="136">
        <f t="shared" si="50"/>
        <v>6.9483395876757115E-5</v>
      </c>
      <c r="AV240" s="136">
        <f t="shared" si="61"/>
        <v>-3.8100000000000467</v>
      </c>
      <c r="AW240" s="136">
        <f t="shared" si="51"/>
        <v>2.8104703080993634E-4</v>
      </c>
      <c r="AX240" s="136" t="e">
        <f t="shared" si="52"/>
        <v>#N/A</v>
      </c>
      <c r="AY240" s="136">
        <f t="shared" si="53"/>
        <v>-3.8100100000000467</v>
      </c>
      <c r="AZ240" s="136">
        <f t="shared" si="54"/>
        <v>-3.8099900000000466</v>
      </c>
      <c r="BA240" s="136">
        <f t="shared" si="55"/>
        <v>3.1249907776828262E-2</v>
      </c>
      <c r="BB240" s="136">
        <f t="shared" si="56"/>
        <v>3.1250205744220459E-2</v>
      </c>
      <c r="BC240" s="136" t="e">
        <f t="shared" si="57"/>
        <v>#N/A</v>
      </c>
      <c r="BD240" s="136">
        <f t="shared" si="62"/>
        <v>2.8104703080993634E-4</v>
      </c>
      <c r="BE240" s="136">
        <f t="shared" si="58"/>
        <v>-7.1895296919006362E-4</v>
      </c>
      <c r="BF240" s="136" t="e">
        <f t="shared" si="59"/>
        <v>#N/A</v>
      </c>
      <c r="BG240" s="136" t="e">
        <f t="shared" si="60"/>
        <v>#N/A</v>
      </c>
    </row>
    <row r="241" spans="2:59" ht="11.25" customHeight="1">
      <c r="B241" s="321"/>
      <c r="C241" s="321"/>
      <c r="D241" s="321"/>
      <c r="E241" s="321"/>
      <c r="F241" s="321"/>
      <c r="G241" s="321"/>
      <c r="H241" s="321"/>
      <c r="I241" s="321"/>
      <c r="J241" s="321"/>
      <c r="K241" s="321"/>
      <c r="L241" s="321"/>
      <c r="M241" s="321"/>
      <c r="N241" s="321"/>
      <c r="O241" s="321"/>
      <c r="P241" s="321"/>
      <c r="Q241" s="321"/>
      <c r="R241" s="321"/>
      <c r="S241" s="321"/>
      <c r="T241" s="321"/>
      <c r="U241" s="321"/>
      <c r="V241" s="321"/>
      <c r="W241" s="321"/>
      <c r="X241" s="321"/>
      <c r="Y241" s="321"/>
      <c r="Z241" s="321"/>
      <c r="AA241" s="321"/>
      <c r="AB241" s="321"/>
      <c r="AC241" s="321"/>
      <c r="AD241" s="321"/>
      <c r="AE241" s="321"/>
      <c r="AF241" s="321"/>
      <c r="AG241" s="321"/>
      <c r="AH241" s="321"/>
      <c r="AI241" s="321"/>
      <c r="AJ241" s="321"/>
      <c r="AK241" s="321"/>
      <c r="AL241" s="321"/>
      <c r="AM241" s="321"/>
      <c r="AN241" s="321"/>
      <c r="AO241" s="321"/>
      <c r="AP241" s="427"/>
      <c r="AQ241" s="321"/>
      <c r="AR241" s="321"/>
      <c r="AS241" s="321"/>
      <c r="AT241" s="321"/>
      <c r="AU241" s="136">
        <f t="shared" si="50"/>
        <v>7.234804392375338E-5</v>
      </c>
      <c r="AV241" s="136">
        <f t="shared" si="61"/>
        <v>-3.8000000000000469</v>
      </c>
      <c r="AW241" s="136">
        <f t="shared" si="51"/>
        <v>2.9194692579140812E-4</v>
      </c>
      <c r="AX241" s="136" t="e">
        <f t="shared" si="52"/>
        <v>#N/A</v>
      </c>
      <c r="AY241" s="136">
        <f t="shared" si="53"/>
        <v>-3.800010000000047</v>
      </c>
      <c r="AZ241" s="136">
        <f t="shared" si="54"/>
        <v>-3.7999900000000468</v>
      </c>
      <c r="BA241" s="136">
        <f t="shared" si="55"/>
        <v>3.1399407494724738E-2</v>
      </c>
      <c r="BB241" s="136">
        <f t="shared" si="56"/>
        <v>3.139970753342522E-2</v>
      </c>
      <c r="BC241" s="136" t="e">
        <f t="shared" si="57"/>
        <v>#N/A</v>
      </c>
      <c r="BD241" s="136">
        <f t="shared" si="62"/>
        <v>2.9194692579140812E-4</v>
      </c>
      <c r="BE241" s="136">
        <f t="shared" si="58"/>
        <v>-7.080530742085919E-4</v>
      </c>
      <c r="BF241" s="136" t="e">
        <f t="shared" si="59"/>
        <v>#N/A</v>
      </c>
      <c r="BG241" s="136" t="e">
        <f t="shared" si="60"/>
        <v>#N/A</v>
      </c>
    </row>
    <row r="242" spans="2:59" ht="11.25" customHeight="1">
      <c r="B242" s="321"/>
      <c r="C242" s="321"/>
      <c r="D242" s="321"/>
      <c r="E242" s="321"/>
      <c r="F242" s="321"/>
      <c r="G242" s="321"/>
      <c r="H242" s="321"/>
      <c r="I242" s="321"/>
      <c r="J242" s="321"/>
      <c r="K242" s="321"/>
      <c r="L242" s="321"/>
      <c r="M242" s="321"/>
      <c r="N242" s="321"/>
      <c r="O242" s="321"/>
      <c r="P242" s="321"/>
      <c r="Q242" s="321"/>
      <c r="R242" s="321"/>
      <c r="S242" s="321"/>
      <c r="T242" s="321"/>
      <c r="U242" s="321"/>
      <c r="V242" s="321"/>
      <c r="W242" s="321"/>
      <c r="X242" s="321"/>
      <c r="Y242" s="321"/>
      <c r="Z242" s="321"/>
      <c r="AA242" s="321"/>
      <c r="AB242" s="321"/>
      <c r="AC242" s="321"/>
      <c r="AD242" s="321"/>
      <c r="AE242" s="321"/>
      <c r="AF242" s="321"/>
      <c r="AG242" s="321"/>
      <c r="AH242" s="321"/>
      <c r="AI242" s="321"/>
      <c r="AJ242" s="321"/>
      <c r="AK242" s="321"/>
      <c r="AL242" s="321"/>
      <c r="AM242" s="321"/>
      <c r="AN242" s="321"/>
      <c r="AO242" s="321"/>
      <c r="AP242" s="427"/>
      <c r="AQ242" s="321"/>
      <c r="AR242" s="321"/>
      <c r="AS242" s="321"/>
      <c r="AT242" s="321"/>
      <c r="AU242" s="136">
        <f t="shared" si="50"/>
        <v>7.5323642377167488E-5</v>
      </c>
      <c r="AV242" s="136">
        <f t="shared" si="61"/>
        <v>-3.7900000000000471</v>
      </c>
      <c r="AW242" s="136">
        <f t="shared" si="51"/>
        <v>3.0323922782195001E-4</v>
      </c>
      <c r="AX242" s="136" t="e">
        <f t="shared" si="52"/>
        <v>#N/A</v>
      </c>
      <c r="AY242" s="136">
        <f t="shared" si="53"/>
        <v>-3.7900100000000472</v>
      </c>
      <c r="AZ242" s="136">
        <f t="shared" si="54"/>
        <v>-3.789990000000047</v>
      </c>
      <c r="BA242" s="136">
        <f t="shared" si="55"/>
        <v>3.1549947491802934E-2</v>
      </c>
      <c r="BB242" s="136">
        <f t="shared" si="56"/>
        <v>3.1550249620382199E-2</v>
      </c>
      <c r="BC242" s="136" t="e">
        <f t="shared" si="57"/>
        <v>#N/A</v>
      </c>
      <c r="BD242" s="136">
        <f t="shared" si="62"/>
        <v>3.0323922782195001E-4</v>
      </c>
      <c r="BE242" s="136">
        <f t="shared" si="58"/>
        <v>-6.9676077217805006E-4</v>
      </c>
      <c r="BF242" s="136" t="e">
        <f t="shared" si="59"/>
        <v>#N/A</v>
      </c>
      <c r="BG242" s="136" t="e">
        <f t="shared" si="60"/>
        <v>#N/A</v>
      </c>
    </row>
    <row r="243" spans="2:59" ht="11.25" customHeight="1">
      <c r="B243" s="321"/>
      <c r="C243" s="321"/>
      <c r="D243" s="321"/>
      <c r="E243" s="321"/>
      <c r="F243" s="321"/>
      <c r="G243" s="321"/>
      <c r="H243" s="321"/>
      <c r="I243" s="321"/>
      <c r="J243" s="321"/>
      <c r="K243" s="321"/>
      <c r="L243" s="321"/>
      <c r="M243" s="321"/>
      <c r="N243" s="321"/>
      <c r="O243" s="321"/>
      <c r="P243" s="321"/>
      <c r="Q243" s="321"/>
      <c r="R243" s="321"/>
      <c r="S243" s="321"/>
      <c r="T243" s="321"/>
      <c r="U243" s="321"/>
      <c r="V243" s="321"/>
      <c r="W243" s="321"/>
      <c r="X243" s="321"/>
      <c r="Y243" s="321"/>
      <c r="Z243" s="321"/>
      <c r="AA243" s="321"/>
      <c r="AB243" s="321"/>
      <c r="AC243" s="321"/>
      <c r="AD243" s="321"/>
      <c r="AE243" s="321"/>
      <c r="AF243" s="321"/>
      <c r="AG243" s="321"/>
      <c r="AH243" s="321"/>
      <c r="AI243" s="321"/>
      <c r="AJ243" s="321"/>
      <c r="AK243" s="321"/>
      <c r="AL243" s="321"/>
      <c r="AM243" s="321"/>
      <c r="AN243" s="321"/>
      <c r="AO243" s="321"/>
      <c r="AP243" s="427"/>
      <c r="AQ243" s="321"/>
      <c r="AR243" s="321"/>
      <c r="AS243" s="321"/>
      <c r="AT243" s="321"/>
      <c r="AU243" s="136">
        <f t="shared" si="50"/>
        <v>7.8414179386809835E-5</v>
      </c>
      <c r="AV243" s="136">
        <f t="shared" si="61"/>
        <v>-3.7800000000000473</v>
      </c>
      <c r="AW243" s="136">
        <f t="shared" si="51"/>
        <v>3.1493681290746528E-4</v>
      </c>
      <c r="AX243" s="136" t="e">
        <f t="shared" si="52"/>
        <v>#N/A</v>
      </c>
      <c r="AY243" s="136">
        <f t="shared" si="53"/>
        <v>-3.7800100000000474</v>
      </c>
      <c r="AZ243" s="136">
        <f t="shared" si="54"/>
        <v>-3.7799900000000473</v>
      </c>
      <c r="BA243" s="136">
        <f t="shared" si="55"/>
        <v>3.1701537103199486E-2</v>
      </c>
      <c r="BB243" s="136">
        <f t="shared" si="56"/>
        <v>3.1701841340428416E-2</v>
      </c>
      <c r="BC243" s="136" t="e">
        <f t="shared" si="57"/>
        <v>#N/A</v>
      </c>
      <c r="BD243" s="136">
        <f t="shared" si="62"/>
        <v>3.1493681290746528E-4</v>
      </c>
      <c r="BE243" s="136">
        <f t="shared" si="58"/>
        <v>-6.8506318709253469E-4</v>
      </c>
      <c r="BF243" s="136" t="e">
        <f t="shared" si="59"/>
        <v>#N/A</v>
      </c>
      <c r="BG243" s="136" t="e">
        <f t="shared" si="60"/>
        <v>#N/A</v>
      </c>
    </row>
    <row r="244" spans="2:59" ht="11.25" customHeight="1">
      <c r="B244" s="321"/>
      <c r="C244" s="321"/>
      <c r="D244" s="321"/>
      <c r="E244" s="321"/>
      <c r="F244" s="321"/>
      <c r="G244" s="321"/>
      <c r="H244" s="321"/>
      <c r="I244" s="321"/>
      <c r="J244" s="321"/>
      <c r="K244" s="321"/>
      <c r="L244" s="321"/>
      <c r="M244" s="321"/>
      <c r="N244" s="321"/>
      <c r="O244" s="321"/>
      <c r="P244" s="321"/>
      <c r="Q244" s="321"/>
      <c r="R244" s="321"/>
      <c r="S244" s="321"/>
      <c r="T244" s="321"/>
      <c r="U244" s="321"/>
      <c r="V244" s="321"/>
      <c r="W244" s="321"/>
      <c r="X244" s="321"/>
      <c r="Y244" s="321"/>
      <c r="Z244" s="321"/>
      <c r="AA244" s="321"/>
      <c r="AB244" s="321"/>
      <c r="AC244" s="321"/>
      <c r="AD244" s="321"/>
      <c r="AE244" s="321"/>
      <c r="AF244" s="321"/>
      <c r="AG244" s="321"/>
      <c r="AH244" s="321"/>
      <c r="AI244" s="321"/>
      <c r="AJ244" s="321"/>
      <c r="AK244" s="321"/>
      <c r="AL244" s="321"/>
      <c r="AM244" s="321"/>
      <c r="AN244" s="321"/>
      <c r="AO244" s="321"/>
      <c r="AP244" s="427"/>
      <c r="AQ244" s="321"/>
      <c r="AR244" s="321"/>
      <c r="AS244" s="321"/>
      <c r="AT244" s="321"/>
      <c r="AU244" s="136">
        <f t="shared" si="50"/>
        <v>8.1623773703354274E-5</v>
      </c>
      <c r="AV244" s="136">
        <f t="shared" si="61"/>
        <v>-3.7700000000000475</v>
      </c>
      <c r="AW244" s="136">
        <f t="shared" si="51"/>
        <v>3.2705293049631627E-4</v>
      </c>
      <c r="AX244" s="136" t="e">
        <f t="shared" si="52"/>
        <v>#N/A</v>
      </c>
      <c r="AY244" s="136">
        <f t="shared" si="53"/>
        <v>-3.7700100000000476</v>
      </c>
      <c r="AZ244" s="136">
        <f t="shared" si="54"/>
        <v>-3.7699900000000475</v>
      </c>
      <c r="BA244" s="136">
        <f t="shared" si="55"/>
        <v>3.1854185764897777E-2</v>
      </c>
      <c r="BB244" s="136">
        <f t="shared" si="56"/>
        <v>3.1854492129750236E-2</v>
      </c>
      <c r="BC244" s="136" t="e">
        <f t="shared" si="57"/>
        <v>#N/A</v>
      </c>
      <c r="BD244" s="136">
        <f t="shared" si="62"/>
        <v>3.2705293049631627E-4</v>
      </c>
      <c r="BE244" s="136">
        <f t="shared" si="58"/>
        <v>-6.7294706950368375E-4</v>
      </c>
      <c r="BF244" s="136" t="e">
        <f t="shared" si="59"/>
        <v>#N/A</v>
      </c>
      <c r="BG244" s="136" t="e">
        <f t="shared" si="60"/>
        <v>#N/A</v>
      </c>
    </row>
    <row r="245" spans="2:59" ht="11.25" customHeight="1">
      <c r="B245" s="321"/>
      <c r="C245" s="321"/>
      <c r="D245" s="321"/>
      <c r="E245" s="321"/>
      <c r="F245" s="321"/>
      <c r="G245" s="321"/>
      <c r="H245" s="321"/>
      <c r="I245" s="321"/>
      <c r="J245" s="321"/>
      <c r="K245" s="321"/>
      <c r="L245" s="321"/>
      <c r="M245" s="321"/>
      <c r="N245" s="321"/>
      <c r="O245" s="321"/>
      <c r="P245" s="321"/>
      <c r="Q245" s="321"/>
      <c r="R245" s="321"/>
      <c r="S245" s="321"/>
      <c r="T245" s="321"/>
      <c r="U245" s="321"/>
      <c r="V245" s="321"/>
      <c r="W245" s="321"/>
      <c r="X245" s="321"/>
      <c r="Y245" s="321"/>
      <c r="Z245" s="321"/>
      <c r="AA245" s="321"/>
      <c r="AB245" s="321"/>
      <c r="AC245" s="321"/>
      <c r="AD245" s="321"/>
      <c r="AE245" s="321"/>
      <c r="AF245" s="321"/>
      <c r="AG245" s="321"/>
      <c r="AH245" s="321"/>
      <c r="AI245" s="321"/>
      <c r="AJ245" s="321"/>
      <c r="AK245" s="321"/>
      <c r="AL245" s="321"/>
      <c r="AM245" s="321"/>
      <c r="AN245" s="321"/>
      <c r="AO245" s="321"/>
      <c r="AP245" s="427"/>
      <c r="AQ245" s="321"/>
      <c r="AR245" s="321"/>
      <c r="AS245" s="321"/>
      <c r="AT245" s="321"/>
      <c r="AU245" s="136">
        <f t="shared" si="50"/>
        <v>8.4956678496284077E-5</v>
      </c>
      <c r="AV245" s="136">
        <f t="shared" si="61"/>
        <v>-3.7600000000000477</v>
      </c>
      <c r="AW245" s="136">
        <f t="shared" si="51"/>
        <v>3.3960121248359352E-4</v>
      </c>
      <c r="AX245" s="136" t="e">
        <f t="shared" si="52"/>
        <v>#N/A</v>
      </c>
      <c r="AY245" s="136">
        <f t="shared" si="53"/>
        <v>-3.7600100000000478</v>
      </c>
      <c r="AZ245" s="136">
        <f t="shared" si="54"/>
        <v>-3.7599900000000477</v>
      </c>
      <c r="BA245" s="136">
        <f t="shared" si="55"/>
        <v>3.200790301497821E-2</v>
      </c>
      <c r="BB245" s="136">
        <f t="shared" si="56"/>
        <v>3.2008211526633468E-2</v>
      </c>
      <c r="BC245" s="136" t="e">
        <f t="shared" si="57"/>
        <v>#N/A</v>
      </c>
      <c r="BD245" s="136">
        <f t="shared" si="62"/>
        <v>3.3960121248359352E-4</v>
      </c>
      <c r="BE245" s="136">
        <f t="shared" si="58"/>
        <v>-6.6039878751640644E-4</v>
      </c>
      <c r="BF245" s="136" t="e">
        <f t="shared" si="59"/>
        <v>#N/A</v>
      </c>
      <c r="BG245" s="136" t="e">
        <f t="shared" si="60"/>
        <v>#N/A</v>
      </c>
    </row>
    <row r="246" spans="2:59" ht="11.25" customHeight="1">
      <c r="B246" s="321"/>
      <c r="C246" s="321"/>
      <c r="D246" s="321"/>
      <c r="E246" s="321"/>
      <c r="F246" s="321"/>
      <c r="G246" s="321"/>
      <c r="H246" s="321"/>
      <c r="I246" s="321"/>
      <c r="J246" s="321"/>
      <c r="K246" s="321"/>
      <c r="L246" s="321"/>
      <c r="M246" s="321"/>
      <c r="N246" s="321"/>
      <c r="O246" s="321"/>
      <c r="P246" s="321"/>
      <c r="Q246" s="321"/>
      <c r="R246" s="321"/>
      <c r="S246" s="321"/>
      <c r="T246" s="321"/>
      <c r="U246" s="321"/>
      <c r="V246" s="321"/>
      <c r="W246" s="321"/>
      <c r="X246" s="321"/>
      <c r="Y246" s="321"/>
      <c r="Z246" s="321"/>
      <c r="AA246" s="321"/>
      <c r="AB246" s="321"/>
      <c r="AC246" s="321"/>
      <c r="AD246" s="321"/>
      <c r="AE246" s="321"/>
      <c r="AF246" s="321"/>
      <c r="AG246" s="321"/>
      <c r="AH246" s="321"/>
      <c r="AI246" s="321"/>
      <c r="AJ246" s="321"/>
      <c r="AK246" s="321"/>
      <c r="AL246" s="321"/>
      <c r="AM246" s="321"/>
      <c r="AN246" s="321"/>
      <c r="AO246" s="321"/>
      <c r="AP246" s="427"/>
      <c r="AQ246" s="321"/>
      <c r="AR246" s="321"/>
      <c r="AS246" s="321"/>
      <c r="AT246" s="321"/>
      <c r="AU246" s="136">
        <f t="shared" si="50"/>
        <v>8.8417285197595064E-5</v>
      </c>
      <c r="AV246" s="136">
        <f t="shared" si="61"/>
        <v>-3.750000000000048</v>
      </c>
      <c r="AW246" s="136">
        <f t="shared" si="51"/>
        <v>3.5259568236738209E-4</v>
      </c>
      <c r="AX246" s="136" t="e">
        <f t="shared" si="52"/>
        <v>#N/A</v>
      </c>
      <c r="AY246" s="136">
        <f t="shared" si="53"/>
        <v>-3.750010000000048</v>
      </c>
      <c r="AZ246" s="136">
        <f t="shared" si="54"/>
        <v>-3.7499900000000479</v>
      </c>
      <c r="BA246" s="136">
        <f t="shared" si="55"/>
        <v>3.2162698494885553E-2</v>
      </c>
      <c r="BB246" s="136">
        <f t="shared" si="56"/>
        <v>3.2163009172730954E-2</v>
      </c>
      <c r="BC246" s="136" t="e">
        <f t="shared" si="57"/>
        <v>#N/A</v>
      </c>
      <c r="BD246" s="136">
        <f t="shared" si="62"/>
        <v>3.5259568236738209E-4</v>
      </c>
      <c r="BE246" s="136">
        <f t="shared" si="58"/>
        <v>-6.4740431763261799E-4</v>
      </c>
      <c r="BF246" s="136" t="e">
        <f t="shared" si="59"/>
        <v>#N/A</v>
      </c>
      <c r="BG246" s="136" t="e">
        <f t="shared" si="60"/>
        <v>#N/A</v>
      </c>
    </row>
    <row r="247" spans="2:59" ht="11.25" customHeight="1">
      <c r="B247" s="321"/>
      <c r="C247" s="321"/>
      <c r="D247" s="321"/>
      <c r="E247" s="321"/>
      <c r="F247" s="321"/>
      <c r="G247" s="321"/>
      <c r="H247" s="321"/>
      <c r="I247" s="321"/>
      <c r="J247" s="321"/>
      <c r="K247" s="321"/>
      <c r="L247" s="321"/>
      <c r="M247" s="321"/>
      <c r="N247" s="321"/>
      <c r="O247" s="321"/>
      <c r="P247" s="321"/>
      <c r="Q247" s="321"/>
      <c r="R247" s="321"/>
      <c r="S247" s="321"/>
      <c r="T247" s="321"/>
      <c r="U247" s="321"/>
      <c r="V247" s="321"/>
      <c r="W247" s="321"/>
      <c r="X247" s="321"/>
      <c r="Y247" s="321"/>
      <c r="Z247" s="321"/>
      <c r="AA247" s="321"/>
      <c r="AB247" s="321"/>
      <c r="AC247" s="321"/>
      <c r="AD247" s="321"/>
      <c r="AE247" s="321"/>
      <c r="AF247" s="321"/>
      <c r="AG247" s="321"/>
      <c r="AH247" s="321"/>
      <c r="AI247" s="321"/>
      <c r="AJ247" s="321"/>
      <c r="AK247" s="321"/>
      <c r="AL247" s="321"/>
      <c r="AM247" s="321"/>
      <c r="AN247" s="321"/>
      <c r="AO247" s="321"/>
      <c r="AP247" s="427"/>
      <c r="AQ247" s="321"/>
      <c r="AR247" s="321"/>
      <c r="AS247" s="321"/>
      <c r="AT247" s="321"/>
      <c r="AU247" s="136">
        <f t="shared" si="50"/>
        <v>9.2010127474173586E-5</v>
      </c>
      <c r="AV247" s="136">
        <f t="shared" si="61"/>
        <v>-3.7400000000000482</v>
      </c>
      <c r="AW247" s="136">
        <f t="shared" si="51"/>
        <v>3.6605076455726925E-4</v>
      </c>
      <c r="AX247" s="136" t="e">
        <f t="shared" si="52"/>
        <v>#N/A</v>
      </c>
      <c r="AY247" s="136">
        <f t="shared" si="53"/>
        <v>-3.7400100000000482</v>
      </c>
      <c r="AZ247" s="136">
        <f t="shared" si="54"/>
        <v>-3.7399900000000481</v>
      </c>
      <c r="BA247" s="136">
        <f t="shared" si="55"/>
        <v>3.2318581950713646E-2</v>
      </c>
      <c r="BB247" s="136">
        <f t="shared" si="56"/>
        <v>3.2318894814347111E-2</v>
      </c>
      <c r="BC247" s="136" t="e">
        <f t="shared" si="57"/>
        <v>#N/A</v>
      </c>
      <c r="BD247" s="136">
        <f t="shared" si="62"/>
        <v>3.6605076455726925E-4</v>
      </c>
      <c r="BE247" s="136">
        <f t="shared" si="58"/>
        <v>-6.3394923544273082E-4</v>
      </c>
      <c r="BF247" s="136" t="e">
        <f t="shared" si="59"/>
        <v>#N/A</v>
      </c>
      <c r="BG247" s="136" t="e">
        <f t="shared" si="60"/>
        <v>#N/A</v>
      </c>
    </row>
    <row r="248" spans="2:59" ht="11.25" customHeight="1">
      <c r="B248" s="321"/>
      <c r="C248" s="321"/>
      <c r="D248" s="321"/>
      <c r="E248" s="321"/>
      <c r="F248" s="321"/>
      <c r="G248" s="321"/>
      <c r="H248" s="321"/>
      <c r="I248" s="321"/>
      <c r="J248" s="321"/>
      <c r="K248" s="321"/>
      <c r="L248" s="321"/>
      <c r="M248" s="321"/>
      <c r="N248" s="321"/>
      <c r="O248" s="321"/>
      <c r="P248" s="321"/>
      <c r="Q248" s="321"/>
      <c r="R248" s="321"/>
      <c r="S248" s="321"/>
      <c r="T248" s="321"/>
      <c r="U248" s="321"/>
      <c r="V248" s="321"/>
      <c r="W248" s="321"/>
      <c r="X248" s="321"/>
      <c r="Y248" s="321"/>
      <c r="Z248" s="321"/>
      <c r="AA248" s="321"/>
      <c r="AB248" s="321"/>
      <c r="AC248" s="321"/>
      <c r="AD248" s="321"/>
      <c r="AE248" s="321"/>
      <c r="AF248" s="321"/>
      <c r="AG248" s="321"/>
      <c r="AH248" s="321"/>
      <c r="AI248" s="321"/>
      <c r="AJ248" s="321"/>
      <c r="AK248" s="321"/>
      <c r="AL248" s="321"/>
      <c r="AM248" s="321"/>
      <c r="AN248" s="321"/>
      <c r="AO248" s="321"/>
      <c r="AP248" s="427"/>
      <c r="AQ248" s="321"/>
      <c r="AR248" s="321"/>
      <c r="AS248" s="321"/>
      <c r="AT248" s="321"/>
      <c r="AU248" s="136">
        <f t="shared" si="50"/>
        <v>9.5739885271006742E-5</v>
      </c>
      <c r="AV248" s="136">
        <f t="shared" si="61"/>
        <v>-3.7300000000000484</v>
      </c>
      <c r="AW248" s="136">
        <f t="shared" si="51"/>
        <v>3.7998129383525289E-4</v>
      </c>
      <c r="AX248" s="136" t="e">
        <f t="shared" si="52"/>
        <v>#N/A</v>
      </c>
      <c r="AY248" s="136">
        <f t="shared" si="53"/>
        <v>-3.7300100000000485</v>
      </c>
      <c r="AZ248" s="136">
        <f t="shared" si="54"/>
        <v>-3.7299900000000483</v>
      </c>
      <c r="BA248" s="136">
        <f t="shared" si="55"/>
        <v>3.2475563234507565E-2</v>
      </c>
      <c r="BB248" s="136">
        <f t="shared" si="56"/>
        <v>3.2475878303740227E-2</v>
      </c>
      <c r="BC248" s="136" t="e">
        <f t="shared" si="57"/>
        <v>#N/A</v>
      </c>
      <c r="BD248" s="136">
        <f t="shared" si="62"/>
        <v>3.7998129383525289E-4</v>
      </c>
      <c r="BE248" s="136">
        <f t="shared" si="58"/>
        <v>-6.2001870616474708E-4</v>
      </c>
      <c r="BF248" s="136" t="e">
        <f t="shared" si="59"/>
        <v>#N/A</v>
      </c>
      <c r="BG248" s="136" t="e">
        <f t="shared" si="60"/>
        <v>#N/A</v>
      </c>
    </row>
    <row r="249" spans="2:59" ht="11.25" customHeight="1">
      <c r="B249" s="321"/>
      <c r="C249" s="321"/>
      <c r="D249" s="321"/>
      <c r="E249" s="321"/>
      <c r="F249" s="321"/>
      <c r="G249" s="321"/>
      <c r="H249" s="321"/>
      <c r="I249" s="321"/>
      <c r="J249" s="321"/>
      <c r="K249" s="321"/>
      <c r="L249" s="321"/>
      <c r="M249" s="321"/>
      <c r="N249" s="321"/>
      <c r="O249" s="321"/>
      <c r="P249" s="321"/>
      <c r="Q249" s="321"/>
      <c r="R249" s="321"/>
      <c r="S249" s="321"/>
      <c r="T249" s="321"/>
      <c r="U249" s="321"/>
      <c r="V249" s="321"/>
      <c r="W249" s="321"/>
      <c r="X249" s="321"/>
      <c r="Y249" s="321"/>
      <c r="Z249" s="321"/>
      <c r="AA249" s="321"/>
      <c r="AB249" s="321"/>
      <c r="AC249" s="321"/>
      <c r="AD249" s="321"/>
      <c r="AE249" s="321"/>
      <c r="AF249" s="321"/>
      <c r="AG249" s="321"/>
      <c r="AH249" s="321"/>
      <c r="AI249" s="321"/>
      <c r="AJ249" s="321"/>
      <c r="AK249" s="321"/>
      <c r="AL249" s="321"/>
      <c r="AM249" s="321"/>
      <c r="AN249" s="321"/>
      <c r="AO249" s="321"/>
      <c r="AP249" s="427"/>
      <c r="AQ249" s="321"/>
      <c r="AR249" s="321"/>
      <c r="AS249" s="321"/>
      <c r="AT249" s="321"/>
      <c r="AU249" s="136">
        <f t="shared" si="50"/>
        <v>9.9611388974185644E-5</v>
      </c>
      <c r="AV249" s="136">
        <f t="shared" si="61"/>
        <v>-3.7200000000000486</v>
      </c>
      <c r="AW249" s="136">
        <f t="shared" si="51"/>
        <v>3.9440252496908504E-4</v>
      </c>
      <c r="AX249" s="136" t="e">
        <f t="shared" si="52"/>
        <v>#N/A</v>
      </c>
      <c r="AY249" s="136">
        <f t="shared" si="53"/>
        <v>-3.7200100000000487</v>
      </c>
      <c r="AZ249" s="136">
        <f t="shared" si="54"/>
        <v>-3.7199900000000485</v>
      </c>
      <c r="BA249" s="136">
        <f t="shared" si="55"/>
        <v>3.2633652305583849E-2</v>
      </c>
      <c r="BB249" s="136">
        <f t="shared" si="56"/>
        <v>3.2633969600442701E-2</v>
      </c>
      <c r="BC249" s="136" t="e">
        <f t="shared" si="57"/>
        <v>#N/A</v>
      </c>
      <c r="BD249" s="136">
        <f t="shared" si="62"/>
        <v>3.9440252496908504E-4</v>
      </c>
      <c r="BE249" s="136">
        <f t="shared" si="58"/>
        <v>-6.0559747503091503E-4</v>
      </c>
      <c r="BF249" s="136" t="e">
        <f t="shared" si="59"/>
        <v>#N/A</v>
      </c>
      <c r="BG249" s="136" t="e">
        <f t="shared" si="60"/>
        <v>#N/A</v>
      </c>
    </row>
    <row r="250" spans="2:59" ht="11.25" customHeight="1">
      <c r="B250" s="321"/>
      <c r="C250" s="321"/>
      <c r="D250" s="321"/>
      <c r="E250" s="321"/>
      <c r="F250" s="321"/>
      <c r="G250" s="321"/>
      <c r="H250" s="321"/>
      <c r="I250" s="321"/>
      <c r="J250" s="321"/>
      <c r="K250" s="321"/>
      <c r="L250" s="321"/>
      <c r="M250" s="321"/>
      <c r="N250" s="321"/>
      <c r="O250" s="321"/>
      <c r="P250" s="321"/>
      <c r="Q250" s="321"/>
      <c r="R250" s="321"/>
      <c r="S250" s="321"/>
      <c r="T250" s="321"/>
      <c r="U250" s="321"/>
      <c r="V250" s="321"/>
      <c r="W250" s="321"/>
      <c r="X250" s="321"/>
      <c r="Y250" s="321"/>
      <c r="Z250" s="321"/>
      <c r="AA250" s="321"/>
      <c r="AB250" s="321"/>
      <c r="AC250" s="321"/>
      <c r="AD250" s="321"/>
      <c r="AE250" s="321"/>
      <c r="AF250" s="321"/>
      <c r="AG250" s="321"/>
      <c r="AH250" s="321"/>
      <c r="AI250" s="321"/>
      <c r="AJ250" s="321"/>
      <c r="AK250" s="321"/>
      <c r="AL250" s="321"/>
      <c r="AM250" s="321"/>
      <c r="AN250" s="321"/>
      <c r="AO250" s="321"/>
      <c r="AP250" s="427"/>
      <c r="AQ250" s="321"/>
      <c r="AR250" s="321"/>
      <c r="AS250" s="321"/>
      <c r="AT250" s="321"/>
      <c r="AU250" s="136">
        <f t="shared" si="50"/>
        <v>1.0362962367671535E-4</v>
      </c>
      <c r="AV250" s="136">
        <f t="shared" si="61"/>
        <v>-3.7100000000000488</v>
      </c>
      <c r="AW250" s="136">
        <f t="shared" si="51"/>
        <v>4.0933014247800456E-4</v>
      </c>
      <c r="AX250" s="136" t="e">
        <f t="shared" si="52"/>
        <v>#N/A</v>
      </c>
      <c r="AY250" s="136">
        <f t="shared" si="53"/>
        <v>-3.7100100000000489</v>
      </c>
      <c r="AZ250" s="136">
        <f t="shared" si="54"/>
        <v>-3.7099900000000487</v>
      </c>
      <c r="BA250" s="136">
        <f t="shared" si="55"/>
        <v>3.2792859231868574E-2</v>
      </c>
      <c r="BB250" s="136">
        <f t="shared" si="56"/>
        <v>3.279317877259922E-2</v>
      </c>
      <c r="BC250" s="136" t="e">
        <f t="shared" si="57"/>
        <v>#N/A</v>
      </c>
      <c r="BD250" s="136">
        <f t="shared" si="62"/>
        <v>4.0933014247800456E-4</v>
      </c>
      <c r="BE250" s="136">
        <f t="shared" si="58"/>
        <v>-5.9066985752199552E-4</v>
      </c>
      <c r="BF250" s="136" t="e">
        <f t="shared" si="59"/>
        <v>#N/A</v>
      </c>
      <c r="BG250" s="136" t="e">
        <f t="shared" si="60"/>
        <v>#N/A</v>
      </c>
    </row>
    <row r="251" spans="2:59" ht="11.25" customHeight="1">
      <c r="B251" s="321"/>
      <c r="C251" s="321"/>
      <c r="D251" s="321"/>
      <c r="E251" s="321"/>
      <c r="F251" s="321"/>
      <c r="G251" s="321"/>
      <c r="H251" s="321"/>
      <c r="I251" s="321"/>
      <c r="J251" s="321"/>
      <c r="K251" s="321"/>
      <c r="L251" s="321"/>
      <c r="M251" s="321"/>
      <c r="N251" s="321"/>
      <c r="O251" s="321"/>
      <c r="P251" s="321"/>
      <c r="Q251" s="321"/>
      <c r="R251" s="321"/>
      <c r="S251" s="321"/>
      <c r="T251" s="321"/>
      <c r="U251" s="321"/>
      <c r="V251" s="321"/>
      <c r="W251" s="321"/>
      <c r="X251" s="321"/>
      <c r="Y251" s="321"/>
      <c r="Z251" s="321"/>
      <c r="AA251" s="321"/>
      <c r="AB251" s="321"/>
      <c r="AC251" s="321"/>
      <c r="AD251" s="321"/>
      <c r="AE251" s="321"/>
      <c r="AF251" s="321"/>
      <c r="AG251" s="321"/>
      <c r="AH251" s="321"/>
      <c r="AI251" s="321"/>
      <c r="AJ251" s="321"/>
      <c r="AK251" s="321"/>
      <c r="AL251" s="321"/>
      <c r="AM251" s="321"/>
      <c r="AN251" s="321"/>
      <c r="AO251" s="321"/>
      <c r="AP251" s="427"/>
      <c r="AQ251" s="321"/>
      <c r="AR251" s="321"/>
      <c r="AS251" s="321"/>
      <c r="AT251" s="321"/>
      <c r="AU251" s="136">
        <f t="shared" si="50"/>
        <v>1.0779973347707639E-4</v>
      </c>
      <c r="AV251" s="136">
        <f t="shared" si="61"/>
        <v>-3.700000000000049</v>
      </c>
      <c r="AW251" s="136">
        <f t="shared" si="51"/>
        <v>4.247802705506744E-4</v>
      </c>
      <c r="AX251" s="136" t="e">
        <f t="shared" si="52"/>
        <v>#N/A</v>
      </c>
      <c r="AY251" s="136">
        <f t="shared" si="53"/>
        <v>-3.7000100000000491</v>
      </c>
      <c r="AZ251" s="136">
        <f t="shared" si="54"/>
        <v>-3.699990000000049</v>
      </c>
      <c r="BA251" s="136">
        <f t="shared" si="55"/>
        <v>3.2953194191254018E-2</v>
      </c>
      <c r="BB251" s="136">
        <f t="shared" si="56"/>
        <v>3.2953515998323302E-2</v>
      </c>
      <c r="BC251" s="136" t="e">
        <f t="shared" si="57"/>
        <v>#N/A</v>
      </c>
      <c r="BD251" s="136">
        <f t="shared" si="62"/>
        <v>4.247802705506744E-4</v>
      </c>
      <c r="BE251" s="136">
        <f t="shared" si="58"/>
        <v>-5.7521972944932567E-4</v>
      </c>
      <c r="BF251" s="136" t="e">
        <f t="shared" si="59"/>
        <v>#N/A</v>
      </c>
      <c r="BG251" s="136" t="e">
        <f t="shared" si="60"/>
        <v>#N/A</v>
      </c>
    </row>
    <row r="252" spans="2:59" ht="11.25" customHeight="1">
      <c r="B252" s="321"/>
      <c r="C252" s="321"/>
      <c r="D252" s="321"/>
      <c r="E252" s="321"/>
      <c r="F252" s="321"/>
      <c r="G252" s="321"/>
      <c r="H252" s="321"/>
      <c r="I252" s="321"/>
      <c r="J252" s="321"/>
      <c r="K252" s="321"/>
      <c r="L252" s="321"/>
      <c r="M252" s="321"/>
      <c r="N252" s="321"/>
      <c r="O252" s="321"/>
      <c r="P252" s="321"/>
      <c r="Q252" s="321"/>
      <c r="R252" s="321"/>
      <c r="S252" s="321"/>
      <c r="T252" s="321"/>
      <c r="U252" s="321"/>
      <c r="V252" s="321"/>
      <c r="W252" s="321"/>
      <c r="X252" s="321"/>
      <c r="Y252" s="321"/>
      <c r="Z252" s="321"/>
      <c r="AA252" s="321"/>
      <c r="AB252" s="321"/>
      <c r="AC252" s="321"/>
      <c r="AD252" s="321"/>
      <c r="AE252" s="321"/>
      <c r="AF252" s="321"/>
      <c r="AG252" s="321"/>
      <c r="AH252" s="321"/>
      <c r="AI252" s="321"/>
      <c r="AJ252" s="321"/>
      <c r="AK252" s="321"/>
      <c r="AL252" s="321"/>
      <c r="AM252" s="321"/>
      <c r="AN252" s="321"/>
      <c r="AO252" s="321"/>
      <c r="AP252" s="427"/>
      <c r="AQ252" s="321"/>
      <c r="AR252" s="321"/>
      <c r="AS252" s="321"/>
      <c r="AT252" s="321"/>
      <c r="AU252" s="136">
        <f t="shared" si="50"/>
        <v>1.1212702598506485E-4</v>
      </c>
      <c r="AV252" s="136">
        <f t="shared" si="61"/>
        <v>-3.6900000000000492</v>
      </c>
      <c r="AW252" s="136">
        <f t="shared" si="51"/>
        <v>4.4076948311505218E-4</v>
      </c>
      <c r="AX252" s="136" t="e">
        <f t="shared" si="52"/>
        <v>#N/A</v>
      </c>
      <c r="AY252" s="136">
        <f t="shared" si="53"/>
        <v>-3.6900100000000493</v>
      </c>
      <c r="AZ252" s="136">
        <f t="shared" si="54"/>
        <v>-3.6899900000000492</v>
      </c>
      <c r="BA252" s="136">
        <f t="shared" si="55"/>
        <v>3.3114667472973688E-2</v>
      </c>
      <c r="BB252" s="136">
        <f t="shared" si="56"/>
        <v>3.3114991567072621E-2</v>
      </c>
      <c r="BC252" s="136" t="e">
        <f t="shared" si="57"/>
        <v>#N/A</v>
      </c>
      <c r="BD252" s="136">
        <f t="shared" si="62"/>
        <v>4.4076948311505218E-4</v>
      </c>
      <c r="BE252" s="136">
        <f t="shared" si="58"/>
        <v>-5.5923051688494779E-4</v>
      </c>
      <c r="BF252" s="136" t="e">
        <f t="shared" si="59"/>
        <v>#N/A</v>
      </c>
      <c r="BG252" s="136" t="e">
        <f t="shared" si="60"/>
        <v>#N/A</v>
      </c>
    </row>
    <row r="253" spans="2:59" ht="11.25" customHeight="1">
      <c r="B253" s="321"/>
      <c r="C253" s="321"/>
      <c r="D253" s="321"/>
      <c r="E253" s="321"/>
      <c r="F253" s="321"/>
      <c r="G253" s="321"/>
      <c r="H253" s="321"/>
      <c r="I253" s="321"/>
      <c r="J253" s="321"/>
      <c r="K253" s="321"/>
      <c r="L253" s="321"/>
      <c r="M253" s="321"/>
      <c r="N253" s="321"/>
      <c r="O253" s="321"/>
      <c r="P253" s="321"/>
      <c r="Q253" s="321"/>
      <c r="R253" s="321"/>
      <c r="S253" s="321"/>
      <c r="T253" s="321"/>
      <c r="U253" s="321"/>
      <c r="V253" s="321"/>
      <c r="W253" s="321"/>
      <c r="X253" s="321"/>
      <c r="Y253" s="321"/>
      <c r="Z253" s="321"/>
      <c r="AA253" s="321"/>
      <c r="AB253" s="321"/>
      <c r="AC253" s="321"/>
      <c r="AD253" s="321"/>
      <c r="AE253" s="321"/>
      <c r="AF253" s="321"/>
      <c r="AG253" s="321"/>
      <c r="AH253" s="321"/>
      <c r="AI253" s="321"/>
      <c r="AJ253" s="321"/>
      <c r="AK253" s="321"/>
      <c r="AL253" s="321"/>
      <c r="AM253" s="321"/>
      <c r="AN253" s="321"/>
      <c r="AO253" s="321"/>
      <c r="AP253" s="427"/>
      <c r="AQ253" s="321"/>
      <c r="AR253" s="321"/>
      <c r="AS253" s="321"/>
      <c r="AT253" s="321"/>
      <c r="AU253" s="136">
        <f t="shared" si="50"/>
        <v>1.1661697681519811E-4</v>
      </c>
      <c r="AV253" s="136">
        <f t="shared" si="61"/>
        <v>-3.6800000000000495</v>
      </c>
      <c r="AW253" s="136">
        <f t="shared" si="51"/>
        <v>4.5731481405977348E-4</v>
      </c>
      <c r="AX253" s="136" t="e">
        <f t="shared" si="52"/>
        <v>#N/A</v>
      </c>
      <c r="AY253" s="136">
        <f t="shared" si="53"/>
        <v>-3.6800100000000495</v>
      </c>
      <c r="AZ253" s="136">
        <f t="shared" si="54"/>
        <v>-3.6799900000000494</v>
      </c>
      <c r="BA253" s="136">
        <f t="shared" si="55"/>
        <v>3.3277289478996649E-2</v>
      </c>
      <c r="BB253" s="136">
        <f t="shared" si="56"/>
        <v>3.3277615881043061E-2</v>
      </c>
      <c r="BC253" s="136" t="e">
        <f t="shared" si="57"/>
        <v>#N/A</v>
      </c>
      <c r="BD253" s="136">
        <f t="shared" si="62"/>
        <v>4.5731481405977348E-4</v>
      </c>
      <c r="BE253" s="136">
        <f t="shared" si="58"/>
        <v>-5.4268518594022654E-4</v>
      </c>
      <c r="BF253" s="136" t="e">
        <f t="shared" si="59"/>
        <v>#N/A</v>
      </c>
      <c r="BG253" s="136" t="e">
        <f t="shared" si="60"/>
        <v>#N/A</v>
      </c>
    </row>
    <row r="254" spans="2:59" ht="11.25" customHeight="1">
      <c r="B254" s="321"/>
      <c r="C254" s="321"/>
      <c r="D254" s="321"/>
      <c r="E254" s="321"/>
      <c r="F254" s="321"/>
      <c r="G254" s="321"/>
      <c r="H254" s="321"/>
      <c r="I254" s="321"/>
      <c r="J254" s="321"/>
      <c r="K254" s="321"/>
      <c r="L254" s="321"/>
      <c r="M254" s="321"/>
      <c r="N254" s="321"/>
      <c r="O254" s="321"/>
      <c r="P254" s="321"/>
      <c r="Q254" s="321"/>
      <c r="R254" s="321"/>
      <c r="S254" s="321"/>
      <c r="T254" s="321"/>
      <c r="U254" s="321"/>
      <c r="V254" s="321"/>
      <c r="W254" s="321"/>
      <c r="X254" s="321"/>
      <c r="Y254" s="321"/>
      <c r="Z254" s="321"/>
      <c r="AA254" s="321"/>
      <c r="AB254" s="321"/>
      <c r="AC254" s="321"/>
      <c r="AD254" s="321"/>
      <c r="AE254" s="321"/>
      <c r="AF254" s="321"/>
      <c r="AG254" s="321"/>
      <c r="AH254" s="321"/>
      <c r="AI254" s="321"/>
      <c r="AJ254" s="321"/>
      <c r="AK254" s="321"/>
      <c r="AL254" s="321"/>
      <c r="AM254" s="321"/>
      <c r="AN254" s="321"/>
      <c r="AO254" s="321"/>
      <c r="AP254" s="427"/>
      <c r="AQ254" s="321"/>
      <c r="AR254" s="321"/>
      <c r="AS254" s="321"/>
      <c r="AT254" s="321"/>
      <c r="AU254" s="136">
        <f t="shared" si="50"/>
        <v>1.2127523428429043E-4</v>
      </c>
      <c r="AV254" s="136">
        <f t="shared" si="61"/>
        <v>-3.6700000000000497</v>
      </c>
      <c r="AW254" s="136">
        <f t="shared" si="51"/>
        <v>4.7443376760653423E-4</v>
      </c>
      <c r="AX254" s="136" t="e">
        <f t="shared" si="52"/>
        <v>#N/A</v>
      </c>
      <c r="AY254" s="136">
        <f t="shared" si="53"/>
        <v>-3.6700100000000497</v>
      </c>
      <c r="AZ254" s="136">
        <f t="shared" si="54"/>
        <v>-3.6699900000000496</v>
      </c>
      <c r="BA254" s="136">
        <f t="shared" si="55"/>
        <v>3.3441070725440475E-2</v>
      </c>
      <c r="BB254" s="136">
        <f t="shared" si="56"/>
        <v>3.3441399456581936E-2</v>
      </c>
      <c r="BC254" s="136" t="e">
        <f t="shared" si="57"/>
        <v>#N/A</v>
      </c>
      <c r="BD254" s="136">
        <f t="shared" si="62"/>
        <v>4.7443376760653423E-4</v>
      </c>
      <c r="BE254" s="136">
        <f t="shared" si="58"/>
        <v>-5.2556623239346579E-4</v>
      </c>
      <c r="BF254" s="136" t="e">
        <f t="shared" si="59"/>
        <v>#N/A</v>
      </c>
      <c r="BG254" s="136" t="e">
        <f t="shared" si="60"/>
        <v>#N/A</v>
      </c>
    </row>
    <row r="255" spans="2:59" ht="11.25" customHeight="1">
      <c r="B255" s="321"/>
      <c r="C255" s="321"/>
      <c r="D255" s="321"/>
      <c r="E255" s="321"/>
      <c r="F255" s="321"/>
      <c r="G255" s="321"/>
      <c r="H255" s="321"/>
      <c r="I255" s="321"/>
      <c r="J255" s="321"/>
      <c r="K255" s="321"/>
      <c r="L255" s="321"/>
      <c r="M255" s="321"/>
      <c r="N255" s="321"/>
      <c r="O255" s="321"/>
      <c r="P255" s="321"/>
      <c r="Q255" s="321"/>
      <c r="R255" s="321"/>
      <c r="S255" s="321"/>
      <c r="T255" s="321"/>
      <c r="U255" s="321"/>
      <c r="V255" s="321"/>
      <c r="W255" s="321"/>
      <c r="X255" s="321"/>
      <c r="Y255" s="321"/>
      <c r="Z255" s="321"/>
      <c r="AA255" s="321"/>
      <c r="AB255" s="321"/>
      <c r="AC255" s="321"/>
      <c r="AD255" s="321"/>
      <c r="AE255" s="321"/>
      <c r="AF255" s="321"/>
      <c r="AG255" s="321"/>
      <c r="AH255" s="321"/>
      <c r="AI255" s="321"/>
      <c r="AJ255" s="321"/>
      <c r="AK255" s="321"/>
      <c r="AL255" s="321"/>
      <c r="AM255" s="321"/>
      <c r="AN255" s="321"/>
      <c r="AO255" s="321"/>
      <c r="AP255" s="427"/>
      <c r="AQ255" s="321"/>
      <c r="AR255" s="321"/>
      <c r="AS255" s="321"/>
      <c r="AT255" s="321"/>
      <c r="AU255" s="136">
        <f t="shared" si="50"/>
        <v>1.2610762413900467E-4</v>
      </c>
      <c r="AV255" s="136">
        <f t="shared" si="61"/>
        <v>-3.6600000000000499</v>
      </c>
      <c r="AW255" s="136">
        <f t="shared" si="51"/>
        <v>4.9214432883280346E-4</v>
      </c>
      <c r="AX255" s="136" t="e">
        <f t="shared" si="52"/>
        <v>#N/A</v>
      </c>
      <c r="AY255" s="136">
        <f t="shared" si="53"/>
        <v>-3.6600100000000499</v>
      </c>
      <c r="AZ255" s="136">
        <f t="shared" si="54"/>
        <v>-3.6599900000000498</v>
      </c>
      <c r="BA255" s="136">
        <f t="shared" si="55"/>
        <v>3.3606021844004165E-2</v>
      </c>
      <c r="BB255" s="136">
        <f t="shared" si="56"/>
        <v>3.3606352925620836E-2</v>
      </c>
      <c r="BC255" s="136" t="e">
        <f t="shared" si="57"/>
        <v>#N/A</v>
      </c>
      <c r="BD255" s="136">
        <f t="shared" si="62"/>
        <v>4.9214432883280346E-4</v>
      </c>
      <c r="BE255" s="136">
        <f t="shared" si="58"/>
        <v>-5.0785567116719656E-4</v>
      </c>
      <c r="BF255" s="136" t="e">
        <f t="shared" si="59"/>
        <v>#N/A</v>
      </c>
      <c r="BG255" s="136" t="e">
        <f t="shared" si="60"/>
        <v>#N/A</v>
      </c>
    </row>
    <row r="256" spans="2:59" ht="11.25" customHeight="1">
      <c r="B256" s="321"/>
      <c r="C256" s="321"/>
      <c r="D256" s="321"/>
      <c r="E256" s="321"/>
      <c r="F256" s="321"/>
      <c r="G256" s="321"/>
      <c r="H256" s="321"/>
      <c r="I256" s="321"/>
      <c r="J256" s="321"/>
      <c r="K256" s="321"/>
      <c r="L256" s="321"/>
      <c r="M256" s="321"/>
      <c r="N256" s="321"/>
      <c r="O256" s="321"/>
      <c r="P256" s="321"/>
      <c r="Q256" s="321"/>
      <c r="R256" s="321"/>
      <c r="S256" s="321"/>
      <c r="T256" s="321"/>
      <c r="U256" s="321"/>
      <c r="V256" s="321"/>
      <c r="W256" s="321"/>
      <c r="X256" s="321"/>
      <c r="Y256" s="321"/>
      <c r="Z256" s="321"/>
      <c r="AA256" s="321"/>
      <c r="AB256" s="321"/>
      <c r="AC256" s="321"/>
      <c r="AD256" s="321"/>
      <c r="AE256" s="321"/>
      <c r="AF256" s="321"/>
      <c r="AG256" s="321"/>
      <c r="AH256" s="321"/>
      <c r="AI256" s="321"/>
      <c r="AJ256" s="321"/>
      <c r="AK256" s="321"/>
      <c r="AL256" s="321"/>
      <c r="AM256" s="321"/>
      <c r="AN256" s="321"/>
      <c r="AO256" s="321"/>
      <c r="AP256" s="427"/>
      <c r="AQ256" s="321"/>
      <c r="AR256" s="321"/>
      <c r="AS256" s="321"/>
      <c r="AT256" s="321"/>
      <c r="AU256" s="136">
        <f t="shared" si="50"/>
        <v>1.3112015441985037E-4</v>
      </c>
      <c r="AV256" s="136">
        <f t="shared" si="61"/>
        <v>-3.6500000000000501</v>
      </c>
      <c r="AW256" s="136">
        <f t="shared" si="51"/>
        <v>5.1046497434409214E-4</v>
      </c>
      <c r="AX256" s="136" t="e">
        <f t="shared" si="52"/>
        <v>#N/A</v>
      </c>
      <c r="AY256" s="136">
        <f t="shared" si="53"/>
        <v>-3.6500100000000502</v>
      </c>
      <c r="AZ256" s="136">
        <f t="shared" si="54"/>
        <v>-3.64999000000005</v>
      </c>
      <c r="BA256" s="136">
        <f t="shared" si="55"/>
        <v>3.3772153583420395E-2</v>
      </c>
      <c r="BB256" s="136">
        <f t="shared" si="56"/>
        <v>3.3772487037127957E-2</v>
      </c>
      <c r="BC256" s="136" t="e">
        <f t="shared" si="57"/>
        <v>#N/A</v>
      </c>
      <c r="BD256" s="136">
        <f t="shared" si="62"/>
        <v>5.1046497434409214E-4</v>
      </c>
      <c r="BE256" s="136">
        <f t="shared" si="58"/>
        <v>-4.8953502565590788E-4</v>
      </c>
      <c r="BF256" s="136" t="e">
        <f t="shared" si="59"/>
        <v>#N/A</v>
      </c>
      <c r="BG256" s="136" t="e">
        <f t="shared" si="60"/>
        <v>#N/A</v>
      </c>
    </row>
    <row r="257" spans="2:59" ht="11.25" customHeight="1">
      <c r="B257" s="321"/>
      <c r="C257" s="321"/>
      <c r="D257" s="321"/>
      <c r="E257" s="321"/>
      <c r="F257" s="321"/>
      <c r="G257" s="321"/>
      <c r="H257" s="321"/>
      <c r="I257" s="321"/>
      <c r="J257" s="321"/>
      <c r="K257" s="321"/>
      <c r="L257" s="321"/>
      <c r="M257" s="321"/>
      <c r="N257" s="321"/>
      <c r="O257" s="321"/>
      <c r="P257" s="321"/>
      <c r="Q257" s="321"/>
      <c r="R257" s="321"/>
      <c r="S257" s="321"/>
      <c r="T257" s="321"/>
      <c r="U257" s="321"/>
      <c r="V257" s="321"/>
      <c r="W257" s="321"/>
      <c r="X257" s="321"/>
      <c r="Y257" s="321"/>
      <c r="Z257" s="321"/>
      <c r="AA257" s="321"/>
      <c r="AB257" s="321"/>
      <c r="AC257" s="321"/>
      <c r="AD257" s="321"/>
      <c r="AE257" s="321"/>
      <c r="AF257" s="321"/>
      <c r="AG257" s="321"/>
      <c r="AH257" s="321"/>
      <c r="AI257" s="321"/>
      <c r="AJ257" s="321"/>
      <c r="AK257" s="321"/>
      <c r="AL257" s="321"/>
      <c r="AM257" s="321"/>
      <c r="AN257" s="321"/>
      <c r="AO257" s="321"/>
      <c r="AP257" s="427"/>
      <c r="AQ257" s="321"/>
      <c r="AR257" s="321"/>
      <c r="AS257" s="321"/>
      <c r="AT257" s="321"/>
      <c r="AU257" s="136">
        <f t="shared" si="50"/>
        <v>1.363190204459741E-4</v>
      </c>
      <c r="AV257" s="136">
        <f t="shared" si="61"/>
        <v>-3.6400000000000503</v>
      </c>
      <c r="AW257" s="136">
        <f t="shared" si="51"/>
        <v>5.2941468309483772E-4</v>
      </c>
      <c r="AX257" s="136" t="e">
        <f t="shared" si="52"/>
        <v>#N/A</v>
      </c>
      <c r="AY257" s="136">
        <f t="shared" si="53"/>
        <v>-3.6400100000000504</v>
      </c>
      <c r="AZ257" s="136">
        <f t="shared" si="54"/>
        <v>-3.6399900000000502</v>
      </c>
      <c r="BA257" s="136">
        <f t="shared" si="55"/>
        <v>3.3939476810927967E-2</v>
      </c>
      <c r="BB257" s="136">
        <f t="shared" si="56"/>
        <v>3.393981265858069E-2</v>
      </c>
      <c r="BC257" s="136" t="e">
        <f t="shared" si="57"/>
        <v>#N/A</v>
      </c>
      <c r="BD257" s="136">
        <f t="shared" si="62"/>
        <v>5.2941468309483772E-4</v>
      </c>
      <c r="BE257" s="136">
        <f t="shared" si="58"/>
        <v>-4.705853169051623E-4</v>
      </c>
      <c r="BF257" s="136" t="e">
        <f t="shared" si="59"/>
        <v>#N/A</v>
      </c>
      <c r="BG257" s="136" t="e">
        <f t="shared" si="60"/>
        <v>#N/A</v>
      </c>
    </row>
    <row r="258" spans="2:59" ht="11.25" customHeight="1">
      <c r="B258" s="321"/>
      <c r="C258" s="321"/>
      <c r="D258" s="321"/>
      <c r="E258" s="321"/>
      <c r="F258" s="321"/>
      <c r="G258" s="321"/>
      <c r="H258" s="321"/>
      <c r="I258" s="321"/>
      <c r="J258" s="321"/>
      <c r="K258" s="321"/>
      <c r="L258" s="321"/>
      <c r="M258" s="321"/>
      <c r="N258" s="321"/>
      <c r="O258" s="321"/>
      <c r="P258" s="321"/>
      <c r="Q258" s="321"/>
      <c r="R258" s="321"/>
      <c r="S258" s="321"/>
      <c r="T258" s="321"/>
      <c r="U258" s="321"/>
      <c r="V258" s="321"/>
      <c r="W258" s="321"/>
      <c r="X258" s="321"/>
      <c r="Y258" s="321"/>
      <c r="Z258" s="321"/>
      <c r="AA258" s="321"/>
      <c r="AB258" s="321"/>
      <c r="AC258" s="321"/>
      <c r="AD258" s="321"/>
      <c r="AE258" s="321"/>
      <c r="AF258" s="321"/>
      <c r="AG258" s="321"/>
      <c r="AH258" s="321"/>
      <c r="AI258" s="321"/>
      <c r="AJ258" s="321"/>
      <c r="AK258" s="321"/>
      <c r="AL258" s="321"/>
      <c r="AM258" s="321"/>
      <c r="AN258" s="321"/>
      <c r="AO258" s="321"/>
      <c r="AP258" s="427"/>
      <c r="AQ258" s="321"/>
      <c r="AR258" s="321"/>
      <c r="AS258" s="321"/>
      <c r="AT258" s="321"/>
      <c r="AU258" s="136">
        <f t="shared" si="50"/>
        <v>1.4171060987555606E-4</v>
      </c>
      <c r="AV258" s="136">
        <f t="shared" si="61"/>
        <v>-3.6300000000000505</v>
      </c>
      <c r="AW258" s="136">
        <f t="shared" si="51"/>
        <v>5.4901294735685766E-4</v>
      </c>
      <c r="AX258" s="136" t="e">
        <f t="shared" si="52"/>
        <v>#N/A</v>
      </c>
      <c r="AY258" s="136">
        <f t="shared" si="53"/>
        <v>-3.6300100000000506</v>
      </c>
      <c r="AZ258" s="136">
        <f t="shared" si="54"/>
        <v>-3.6299900000000505</v>
      </c>
      <c r="BA258" s="136">
        <f t="shared" si="55"/>
        <v>3.4108002513764585E-2</v>
      </c>
      <c r="BB258" s="136">
        <f t="shared" si="56"/>
        <v>3.4108340777458182E-2</v>
      </c>
      <c r="BC258" s="136" t="e">
        <f t="shared" si="57"/>
        <v>#N/A</v>
      </c>
      <c r="BD258" s="136">
        <f t="shared" si="62"/>
        <v>5.4901294735685766E-4</v>
      </c>
      <c r="BE258" s="136">
        <f t="shared" si="58"/>
        <v>-4.5098705264314237E-4</v>
      </c>
      <c r="BF258" s="136" t="e">
        <f t="shared" si="59"/>
        <v>#N/A</v>
      </c>
      <c r="BG258" s="136" t="e">
        <f t="shared" si="60"/>
        <v>#N/A</v>
      </c>
    </row>
    <row r="259" spans="2:59" ht="11.25" customHeight="1">
      <c r="B259" s="321"/>
      <c r="C259" s="321"/>
      <c r="D259" s="321"/>
      <c r="E259" s="321"/>
      <c r="F259" s="321"/>
      <c r="G259" s="321"/>
      <c r="H259" s="321"/>
      <c r="I259" s="321"/>
      <c r="J259" s="321"/>
      <c r="K259" s="321"/>
      <c r="L259" s="321"/>
      <c r="M259" s="321"/>
      <c r="N259" s="321"/>
      <c r="O259" s="321"/>
      <c r="P259" s="321"/>
      <c r="Q259" s="321"/>
      <c r="R259" s="321"/>
      <c r="S259" s="321"/>
      <c r="T259" s="321"/>
      <c r="U259" s="321"/>
      <c r="V259" s="321"/>
      <c r="W259" s="321"/>
      <c r="X259" s="321"/>
      <c r="Y259" s="321"/>
      <c r="Z259" s="321"/>
      <c r="AA259" s="321"/>
      <c r="AB259" s="321"/>
      <c r="AC259" s="321"/>
      <c r="AD259" s="321"/>
      <c r="AE259" s="321"/>
      <c r="AF259" s="321"/>
      <c r="AG259" s="321"/>
      <c r="AH259" s="321"/>
      <c r="AI259" s="321"/>
      <c r="AJ259" s="321"/>
      <c r="AK259" s="321"/>
      <c r="AL259" s="321"/>
      <c r="AM259" s="321"/>
      <c r="AN259" s="321"/>
      <c r="AO259" s="321"/>
      <c r="AP259" s="427"/>
      <c r="AQ259" s="321"/>
      <c r="AR259" s="321"/>
      <c r="AS259" s="321"/>
      <c r="AT259" s="321"/>
      <c r="AU259" s="136">
        <f t="shared" si="50"/>
        <v>1.4730150790609464E-4</v>
      </c>
      <c r="AV259" s="136">
        <f t="shared" si="61"/>
        <v>-3.6200000000000507</v>
      </c>
      <c r="AW259" s="136">
        <f t="shared" si="51"/>
        <v>5.6927978383414788E-4</v>
      </c>
      <c r="AX259" s="136" t="e">
        <f t="shared" si="52"/>
        <v>#N/A</v>
      </c>
      <c r="AY259" s="136">
        <f t="shared" si="53"/>
        <v>-3.6200100000000508</v>
      </c>
      <c r="AZ259" s="136">
        <f t="shared" si="54"/>
        <v>-3.6199900000000507</v>
      </c>
      <c r="BA259" s="136">
        <f t="shared" si="55"/>
        <v>3.427774180068005E-2</v>
      </c>
      <c r="BB259" s="136">
        <f t="shared" si="56"/>
        <v>3.4278082502754804E-2</v>
      </c>
      <c r="BC259" s="136" t="e">
        <f t="shared" si="57"/>
        <v>#N/A</v>
      </c>
      <c r="BD259" s="136">
        <f t="shared" si="62"/>
        <v>5.6927978383414788E-4</v>
      </c>
      <c r="BE259" s="136">
        <f t="shared" si="58"/>
        <v>-4.3072021616585214E-4</v>
      </c>
      <c r="BF259" s="136" t="e">
        <f t="shared" si="59"/>
        <v>#N/A</v>
      </c>
      <c r="BG259" s="136" t="e">
        <f t="shared" si="60"/>
        <v>#N/A</v>
      </c>
    </row>
    <row r="260" spans="2:59" ht="11.25" customHeight="1">
      <c r="B260" s="321"/>
      <c r="C260" s="321"/>
      <c r="D260" s="321"/>
      <c r="E260" s="321"/>
      <c r="F260" s="321"/>
      <c r="G260" s="321"/>
      <c r="H260" s="321"/>
      <c r="I260" s="321"/>
      <c r="J260" s="321"/>
      <c r="K260" s="321"/>
      <c r="L260" s="321"/>
      <c r="M260" s="321"/>
      <c r="N260" s="321"/>
      <c r="O260" s="321"/>
      <c r="P260" s="321"/>
      <c r="Q260" s="321"/>
      <c r="R260" s="321"/>
      <c r="S260" s="321"/>
      <c r="T260" s="321"/>
      <c r="U260" s="321"/>
      <c r="V260" s="321"/>
      <c r="W260" s="321"/>
      <c r="X260" s="321"/>
      <c r="Y260" s="321"/>
      <c r="Z260" s="321"/>
      <c r="AA260" s="321"/>
      <c r="AB260" s="321"/>
      <c r="AC260" s="321"/>
      <c r="AD260" s="321"/>
      <c r="AE260" s="321"/>
      <c r="AF260" s="321"/>
      <c r="AG260" s="321"/>
      <c r="AH260" s="321"/>
      <c r="AI260" s="321"/>
      <c r="AJ260" s="321"/>
      <c r="AK260" s="321"/>
      <c r="AL260" s="321"/>
      <c r="AM260" s="321"/>
      <c r="AN260" s="321"/>
      <c r="AO260" s="321"/>
      <c r="AP260" s="427"/>
      <c r="AQ260" s="321"/>
      <c r="AR260" s="321"/>
      <c r="AS260" s="321"/>
      <c r="AT260" s="321"/>
      <c r="AU260" s="136">
        <f t="shared" si="50"/>
        <v>1.5309850257427815E-4</v>
      </c>
      <c r="AV260" s="136">
        <f t="shared" si="61"/>
        <v>-3.6100000000000509</v>
      </c>
      <c r="AW260" s="136">
        <f t="shared" si="51"/>
        <v>5.9023574492267697E-4</v>
      </c>
      <c r="AX260" s="136" t="e">
        <f t="shared" si="52"/>
        <v>#N/A</v>
      </c>
      <c r="AY260" s="136">
        <f t="shared" si="53"/>
        <v>-3.610010000000051</v>
      </c>
      <c r="AZ260" s="136">
        <f t="shared" si="54"/>
        <v>-3.6099900000000509</v>
      </c>
      <c r="BA260" s="136">
        <f t="shared" si="55"/>
        <v>3.4448705903470538E-2</v>
      </c>
      <c r="BB260" s="136">
        <f t="shared" si="56"/>
        <v>3.4449049066514331E-2</v>
      </c>
      <c r="BC260" s="136" t="e">
        <f t="shared" si="57"/>
        <v>#N/A</v>
      </c>
      <c r="BD260" s="136">
        <f t="shared" si="62"/>
        <v>5.9023574492267697E-4</v>
      </c>
      <c r="BE260" s="136">
        <f t="shared" si="58"/>
        <v>-4.0976425507732305E-4</v>
      </c>
      <c r="BF260" s="136" t="e">
        <f t="shared" si="59"/>
        <v>#N/A</v>
      </c>
      <c r="BG260" s="136" t="e">
        <f t="shared" si="60"/>
        <v>#N/A</v>
      </c>
    </row>
    <row r="261" spans="2:59" ht="11.25" customHeight="1">
      <c r="B261" s="321"/>
      <c r="C261" s="321"/>
      <c r="D261" s="321"/>
      <c r="E261" s="321"/>
      <c r="F261" s="321"/>
      <c r="G261" s="321"/>
      <c r="H261" s="321"/>
      <c r="I261" s="321"/>
      <c r="J261" s="321"/>
      <c r="K261" s="321"/>
      <c r="L261" s="321"/>
      <c r="M261" s="321"/>
      <c r="N261" s="321"/>
      <c r="O261" s="321"/>
      <c r="P261" s="321"/>
      <c r="Q261" s="321"/>
      <c r="R261" s="321"/>
      <c r="S261" s="321"/>
      <c r="T261" s="321"/>
      <c r="U261" s="321"/>
      <c r="V261" s="321"/>
      <c r="W261" s="321"/>
      <c r="X261" s="321"/>
      <c r="Y261" s="321"/>
      <c r="Z261" s="321"/>
      <c r="AA261" s="321"/>
      <c r="AB261" s="321"/>
      <c r="AC261" s="321"/>
      <c r="AD261" s="321"/>
      <c r="AE261" s="321"/>
      <c r="AF261" s="321"/>
      <c r="AG261" s="321"/>
      <c r="AH261" s="321"/>
      <c r="AI261" s="321"/>
      <c r="AJ261" s="321"/>
      <c r="AK261" s="321"/>
      <c r="AL261" s="321"/>
      <c r="AM261" s="321"/>
      <c r="AN261" s="321"/>
      <c r="AO261" s="321"/>
      <c r="AP261" s="427"/>
      <c r="AQ261" s="321"/>
      <c r="AR261" s="321"/>
      <c r="AS261" s="321"/>
      <c r="AT261" s="321"/>
      <c r="AU261" s="136">
        <f t="shared" si="50"/>
        <v>1.5910859015833001E-4</v>
      </c>
      <c r="AV261" s="136">
        <f t="shared" si="61"/>
        <v>-3.6000000000000512</v>
      </c>
      <c r="AW261" s="136">
        <f t="shared" si="51"/>
        <v>6.1190193011365936E-4</v>
      </c>
      <c r="AX261" s="136" t="e">
        <f t="shared" si="52"/>
        <v>#N/A</v>
      </c>
      <c r="AY261" s="136">
        <f t="shared" si="53"/>
        <v>-3.6000100000000512</v>
      </c>
      <c r="AZ261" s="136">
        <f t="shared" si="54"/>
        <v>-3.5999900000000511</v>
      </c>
      <c r="BA261" s="136">
        <f t="shared" si="55"/>
        <v>3.4620906178533861E-2</v>
      </c>
      <c r="BB261" s="136">
        <f t="shared" si="56"/>
        <v>3.4621251825385412E-2</v>
      </c>
      <c r="BC261" s="136" t="e">
        <f t="shared" si="57"/>
        <v>#N/A</v>
      </c>
      <c r="BD261" s="136">
        <f t="shared" si="62"/>
        <v>6.1190193011365936E-4</v>
      </c>
      <c r="BE261" s="136">
        <f t="shared" si="58"/>
        <v>-3.8809806988634066E-4</v>
      </c>
      <c r="BF261" s="136" t="e">
        <f t="shared" si="59"/>
        <v>#N/A</v>
      </c>
      <c r="BG261" s="136" t="e">
        <f t="shared" si="60"/>
        <v>#N/A</v>
      </c>
    </row>
    <row r="262" spans="2:59" ht="11.25" customHeight="1">
      <c r="B262" s="321"/>
      <c r="C262" s="321"/>
      <c r="D262" s="321"/>
      <c r="E262" s="321"/>
      <c r="F262" s="321"/>
      <c r="G262" s="321"/>
      <c r="H262" s="321"/>
      <c r="I262" s="321"/>
      <c r="J262" s="321"/>
      <c r="K262" s="321"/>
      <c r="L262" s="321"/>
      <c r="M262" s="321"/>
      <c r="N262" s="321"/>
      <c r="O262" s="321"/>
      <c r="P262" s="321"/>
      <c r="Q262" s="321"/>
      <c r="R262" s="321"/>
      <c r="S262" s="321"/>
      <c r="T262" s="321"/>
      <c r="U262" s="321"/>
      <c r="V262" s="321"/>
      <c r="W262" s="321"/>
      <c r="X262" s="321"/>
      <c r="Y262" s="321"/>
      <c r="Z262" s="321"/>
      <c r="AA262" s="321"/>
      <c r="AB262" s="321"/>
      <c r="AC262" s="321"/>
      <c r="AD262" s="321"/>
      <c r="AE262" s="321"/>
      <c r="AF262" s="321"/>
      <c r="AG262" s="321"/>
      <c r="AH262" s="321"/>
      <c r="AI262" s="321"/>
      <c r="AJ262" s="321"/>
      <c r="AK262" s="321"/>
      <c r="AL262" s="321"/>
      <c r="AM262" s="321"/>
      <c r="AN262" s="321"/>
      <c r="AO262" s="321"/>
      <c r="AP262" s="427"/>
      <c r="AQ262" s="321"/>
      <c r="AR262" s="321"/>
      <c r="AS262" s="321"/>
      <c r="AT262" s="321"/>
      <c r="AU262" s="136">
        <f t="shared" si="50"/>
        <v>1.65338980719687E-4</v>
      </c>
      <c r="AV262" s="136">
        <f t="shared" si="61"/>
        <v>-3.5900000000000514</v>
      </c>
      <c r="AW262" s="136">
        <f t="shared" si="51"/>
        <v>6.3429999753864029E-4</v>
      </c>
      <c r="AX262" s="136" t="e">
        <f t="shared" si="52"/>
        <v>#N/A</v>
      </c>
      <c r="AY262" s="136">
        <f t="shared" si="53"/>
        <v>-3.5900100000000514</v>
      </c>
      <c r="AZ262" s="136">
        <f t="shared" si="54"/>
        <v>-3.5899900000000513</v>
      </c>
      <c r="BA262" s="136">
        <f t="shared" si="55"/>
        <v>3.47943541084463E-2</v>
      </c>
      <c r="BB262" s="136">
        <f t="shared" si="56"/>
        <v>3.4794702262198267E-2</v>
      </c>
      <c r="BC262" s="136" t="e">
        <f t="shared" si="57"/>
        <v>#N/A</v>
      </c>
      <c r="BD262" s="136">
        <f t="shared" si="62"/>
        <v>6.3429999753864029E-4</v>
      </c>
      <c r="BE262" s="136">
        <f t="shared" si="58"/>
        <v>-3.6570000246135973E-4</v>
      </c>
      <c r="BF262" s="136" t="e">
        <f t="shared" si="59"/>
        <v>#N/A</v>
      </c>
      <c r="BG262" s="136" t="e">
        <f t="shared" si="60"/>
        <v>#N/A</v>
      </c>
    </row>
    <row r="263" spans="2:59" ht="11.25" customHeight="1">
      <c r="B263" s="321"/>
      <c r="C263" s="321"/>
      <c r="D263" s="321"/>
      <c r="E263" s="321"/>
      <c r="F263" s="321"/>
      <c r="G263" s="321"/>
      <c r="H263" s="321"/>
      <c r="I263" s="321"/>
      <c r="J263" s="321"/>
      <c r="K263" s="321"/>
      <c r="L263" s="321"/>
      <c r="M263" s="321"/>
      <c r="N263" s="321"/>
      <c r="O263" s="321"/>
      <c r="P263" s="321"/>
      <c r="Q263" s="321"/>
      <c r="R263" s="321"/>
      <c r="S263" s="321"/>
      <c r="T263" s="321"/>
      <c r="U263" s="321"/>
      <c r="V263" s="321"/>
      <c r="W263" s="321"/>
      <c r="X263" s="321"/>
      <c r="Y263" s="321"/>
      <c r="Z263" s="321"/>
      <c r="AA263" s="321"/>
      <c r="AB263" s="321"/>
      <c r="AC263" s="321"/>
      <c r="AD263" s="321"/>
      <c r="AE263" s="321"/>
      <c r="AF263" s="321"/>
      <c r="AG263" s="321"/>
      <c r="AH263" s="321"/>
      <c r="AI263" s="321"/>
      <c r="AJ263" s="321"/>
      <c r="AK263" s="321"/>
      <c r="AL263" s="321"/>
      <c r="AM263" s="321"/>
      <c r="AN263" s="321"/>
      <c r="AO263" s="321"/>
      <c r="AP263" s="427"/>
      <c r="AQ263" s="321"/>
      <c r="AR263" s="321"/>
      <c r="AS263" s="321"/>
      <c r="AT263" s="321"/>
      <c r="AU263" s="136">
        <f t="shared" si="50"/>
        <v>1.7179710374470858E-4</v>
      </c>
      <c r="AV263" s="136">
        <f t="shared" si="61"/>
        <v>-3.5800000000000516</v>
      </c>
      <c r="AW263" s="136">
        <f t="shared" si="51"/>
        <v>6.5745217565455491E-4</v>
      </c>
      <c r="AX263" s="136" t="e">
        <f t="shared" si="52"/>
        <v>#N/A</v>
      </c>
      <c r="AY263" s="136">
        <f t="shared" si="53"/>
        <v>-3.5800100000000517</v>
      </c>
      <c r="AZ263" s="136">
        <f t="shared" si="54"/>
        <v>-3.5799900000000515</v>
      </c>
      <c r="BA263" s="136">
        <f t="shared" si="55"/>
        <v>3.4969061303561387E-2</v>
      </c>
      <c r="BB263" s="136">
        <f t="shared" si="56"/>
        <v>3.4969411987563599E-2</v>
      </c>
      <c r="BC263" s="136" t="e">
        <f t="shared" si="57"/>
        <v>#N/A</v>
      </c>
      <c r="BD263" s="136">
        <f t="shared" si="62"/>
        <v>6.5745217565455491E-4</v>
      </c>
      <c r="BE263" s="136">
        <f t="shared" si="58"/>
        <v>-3.4254782434544511E-4</v>
      </c>
      <c r="BF263" s="136" t="e">
        <f t="shared" si="59"/>
        <v>#N/A</v>
      </c>
      <c r="BG263" s="136" t="e">
        <f t="shared" si="60"/>
        <v>#N/A</v>
      </c>
    </row>
    <row r="264" spans="2:59" ht="11.25" customHeight="1">
      <c r="B264" s="321"/>
      <c r="C264" s="321"/>
      <c r="D264" s="321"/>
      <c r="E264" s="321"/>
      <c r="F264" s="321"/>
      <c r="G264" s="321"/>
      <c r="H264" s="321"/>
      <c r="I264" s="321"/>
      <c r="J264" s="321"/>
      <c r="K264" s="321"/>
      <c r="L264" s="321"/>
      <c r="M264" s="321"/>
      <c r="N264" s="321"/>
      <c r="O264" s="321"/>
      <c r="P264" s="321"/>
      <c r="Q264" s="321"/>
      <c r="R264" s="321"/>
      <c r="S264" s="321"/>
      <c r="T264" s="321"/>
      <c r="U264" s="321"/>
      <c r="V264" s="321"/>
      <c r="W264" s="321"/>
      <c r="X264" s="321"/>
      <c r="Y264" s="321"/>
      <c r="Z264" s="321"/>
      <c r="AA264" s="321"/>
      <c r="AB264" s="321"/>
      <c r="AC264" s="321"/>
      <c r="AD264" s="321"/>
      <c r="AE264" s="321"/>
      <c r="AF264" s="321"/>
      <c r="AG264" s="321"/>
      <c r="AH264" s="321"/>
      <c r="AI264" s="321"/>
      <c r="AJ264" s="321"/>
      <c r="AK264" s="321"/>
      <c r="AL264" s="321"/>
      <c r="AM264" s="321"/>
      <c r="AN264" s="321"/>
      <c r="AO264" s="321"/>
      <c r="AP264" s="427"/>
      <c r="AQ264" s="321"/>
      <c r="AR264" s="321"/>
      <c r="AS264" s="321"/>
      <c r="AT264" s="321"/>
      <c r="AU264" s="136">
        <f t="shared" si="50"/>
        <v>1.7849061390451393E-4</v>
      </c>
      <c r="AV264" s="136">
        <f t="shared" si="61"/>
        <v>-3.5700000000000518</v>
      </c>
      <c r="AW264" s="136">
        <f t="shared" si="51"/>
        <v>6.8138127506676559E-4</v>
      </c>
      <c r="AX264" s="136" t="e">
        <f t="shared" si="52"/>
        <v>#N/A</v>
      </c>
      <c r="AY264" s="136">
        <f t="shared" si="53"/>
        <v>-3.5700100000000519</v>
      </c>
      <c r="AZ264" s="136">
        <f t="shared" si="54"/>
        <v>-3.5699900000000517</v>
      </c>
      <c r="BA264" s="136">
        <f t="shared" si="55"/>
        <v>3.5145039503630543E-2</v>
      </c>
      <c r="BB264" s="136">
        <f t="shared" si="56"/>
        <v>3.5145392741493239E-2</v>
      </c>
      <c r="BC264" s="136" t="e">
        <f t="shared" si="57"/>
        <v>#N/A</v>
      </c>
      <c r="BD264" s="136">
        <f t="shared" si="62"/>
        <v>6.8138127506676559E-4</v>
      </c>
      <c r="BE264" s="136">
        <f t="shared" si="58"/>
        <v>-3.1861872493323443E-4</v>
      </c>
      <c r="BF264" s="136" t="e">
        <f t="shared" si="59"/>
        <v>#N/A</v>
      </c>
      <c r="BG264" s="136" t="e">
        <f t="shared" si="60"/>
        <v>#N/A</v>
      </c>
    </row>
    <row r="265" spans="2:59" ht="11.25" customHeight="1">
      <c r="B265" s="321"/>
      <c r="C265" s="321"/>
      <c r="D265" s="321"/>
      <c r="E265" s="321"/>
      <c r="F265" s="321"/>
      <c r="G265" s="321"/>
      <c r="H265" s="321"/>
      <c r="I265" s="321"/>
      <c r="J265" s="321"/>
      <c r="K265" s="321"/>
      <c r="L265" s="321"/>
      <c r="M265" s="321"/>
      <c r="N265" s="321"/>
      <c r="O265" s="321"/>
      <c r="P265" s="321"/>
      <c r="Q265" s="321"/>
      <c r="R265" s="321"/>
      <c r="S265" s="321"/>
      <c r="T265" s="321"/>
      <c r="U265" s="321"/>
      <c r="V265" s="321"/>
      <c r="W265" s="321"/>
      <c r="X265" s="321"/>
      <c r="Y265" s="321"/>
      <c r="Z265" s="321"/>
      <c r="AA265" s="321"/>
      <c r="AB265" s="321"/>
      <c r="AC265" s="321"/>
      <c r="AD265" s="321"/>
      <c r="AE265" s="321"/>
      <c r="AF265" s="321"/>
      <c r="AG265" s="321"/>
      <c r="AH265" s="321"/>
      <c r="AI265" s="321"/>
      <c r="AJ265" s="321"/>
      <c r="AK265" s="321"/>
      <c r="AL265" s="321"/>
      <c r="AM265" s="321"/>
      <c r="AN265" s="321"/>
      <c r="AO265" s="321"/>
      <c r="AP265" s="427"/>
      <c r="AQ265" s="321"/>
      <c r="AR265" s="321"/>
      <c r="AS265" s="321"/>
      <c r="AT265" s="321"/>
      <c r="AU265" s="136">
        <f t="shared" si="50"/>
        <v>1.8542739693239163E-4</v>
      </c>
      <c r="AV265" s="136">
        <f t="shared" si="61"/>
        <v>-3.560000000000052</v>
      </c>
      <c r="AW265" s="136">
        <f t="shared" si="51"/>
        <v>7.0611070048790566E-4</v>
      </c>
      <c r="AX265" s="136" t="e">
        <f t="shared" si="52"/>
        <v>#N/A</v>
      </c>
      <c r="AY265" s="136">
        <f t="shared" si="53"/>
        <v>-3.5600100000000521</v>
      </c>
      <c r="AZ265" s="136">
        <f t="shared" si="54"/>
        <v>-3.5599900000000519</v>
      </c>
      <c r="BA265" s="136">
        <f t="shared" si="55"/>
        <v>3.5322300579446284E-2</v>
      </c>
      <c r="BB265" s="136">
        <f t="shared" si="56"/>
        <v>3.5322656395043464E-2</v>
      </c>
      <c r="BC265" s="136" t="e">
        <f t="shared" si="57"/>
        <v>#N/A</v>
      </c>
      <c r="BD265" s="136">
        <f t="shared" si="62"/>
        <v>7.0611070048790566E-4</v>
      </c>
      <c r="BE265" s="136">
        <f t="shared" si="58"/>
        <v>-2.9388929951209436E-4</v>
      </c>
      <c r="BF265" s="136" t="e">
        <f t="shared" si="59"/>
        <v>#N/A</v>
      </c>
      <c r="BG265" s="136" t="e">
        <f t="shared" si="60"/>
        <v>#N/A</v>
      </c>
    </row>
    <row r="266" spans="2:59" ht="11.25" customHeight="1">
      <c r="B266" s="321"/>
      <c r="C266" s="321"/>
      <c r="D266" s="321"/>
      <c r="E266" s="321"/>
      <c r="F266" s="321"/>
      <c r="G266" s="321"/>
      <c r="H266" s="321"/>
      <c r="I266" s="321"/>
      <c r="J266" s="321"/>
      <c r="K266" s="321"/>
      <c r="L266" s="321"/>
      <c r="M266" s="321"/>
      <c r="N266" s="321"/>
      <c r="O266" s="321"/>
      <c r="P266" s="321"/>
      <c r="Q266" s="321"/>
      <c r="R266" s="321"/>
      <c r="S266" s="321"/>
      <c r="T266" s="321"/>
      <c r="U266" s="321"/>
      <c r="V266" s="321"/>
      <c r="W266" s="321"/>
      <c r="X266" s="321"/>
      <c r="Y266" s="321"/>
      <c r="Z266" s="321"/>
      <c r="AA266" s="321"/>
      <c r="AB266" s="321"/>
      <c r="AC266" s="321"/>
      <c r="AD266" s="321"/>
      <c r="AE266" s="321"/>
      <c r="AF266" s="321"/>
      <c r="AG266" s="321"/>
      <c r="AH266" s="321"/>
      <c r="AI266" s="321"/>
      <c r="AJ266" s="321"/>
      <c r="AK266" s="321"/>
      <c r="AL266" s="321"/>
      <c r="AM266" s="321"/>
      <c r="AN266" s="321"/>
      <c r="AO266" s="321"/>
      <c r="AP266" s="427"/>
      <c r="AQ266" s="321"/>
      <c r="AR266" s="321"/>
      <c r="AS266" s="321"/>
      <c r="AT266" s="321"/>
      <c r="AU266" s="136">
        <f t="shared" si="50"/>
        <v>1.9261557563510223E-4</v>
      </c>
      <c r="AV266" s="136">
        <f t="shared" si="61"/>
        <v>-3.5500000000000522</v>
      </c>
      <c r="AW266" s="136">
        <f t="shared" si="51"/>
        <v>7.3166446283017494E-4</v>
      </c>
      <c r="AX266" s="136" t="e">
        <f t="shared" si="52"/>
        <v>#N/A</v>
      </c>
      <c r="AY266" s="136">
        <f t="shared" si="53"/>
        <v>-3.5500100000000523</v>
      </c>
      <c r="AZ266" s="136">
        <f t="shared" si="54"/>
        <v>-3.5499900000000522</v>
      </c>
      <c r="BA266" s="136">
        <f t="shared" si="55"/>
        <v>3.5500856534508164E-2</v>
      </c>
      <c r="BB266" s="136">
        <f t="shared" si="56"/>
        <v>3.5501214951980942E-2</v>
      </c>
      <c r="BC266" s="136" t="e">
        <f t="shared" si="57"/>
        <v>#N/A</v>
      </c>
      <c r="BD266" s="136">
        <f t="shared" si="62"/>
        <v>7.3166446283017494E-4</v>
      </c>
      <c r="BE266" s="136">
        <f t="shared" si="58"/>
        <v>-2.6833553716982509E-4</v>
      </c>
      <c r="BF266" s="136" t="e">
        <f t="shared" si="59"/>
        <v>#N/A</v>
      </c>
      <c r="BG266" s="136" t="e">
        <f t="shared" si="60"/>
        <v>#N/A</v>
      </c>
    </row>
    <row r="267" spans="2:59" ht="11.25" customHeight="1">
      <c r="B267" s="321"/>
      <c r="C267" s="321"/>
      <c r="D267" s="321"/>
      <c r="E267" s="321"/>
      <c r="F267" s="321"/>
      <c r="G267" s="321"/>
      <c r="H267" s="321"/>
      <c r="I267" s="321"/>
      <c r="J267" s="321"/>
      <c r="K267" s="321"/>
      <c r="L267" s="321"/>
      <c r="M267" s="321"/>
      <c r="N267" s="321"/>
      <c r="O267" s="321"/>
      <c r="P267" s="321"/>
      <c r="Q267" s="321"/>
      <c r="R267" s="321"/>
      <c r="S267" s="321"/>
      <c r="T267" s="321"/>
      <c r="U267" s="321"/>
      <c r="V267" s="321"/>
      <c r="W267" s="321"/>
      <c r="X267" s="321"/>
      <c r="Y267" s="321"/>
      <c r="Z267" s="321"/>
      <c r="AA267" s="321"/>
      <c r="AB267" s="321"/>
      <c r="AC267" s="321"/>
      <c r="AD267" s="321"/>
      <c r="AE267" s="321"/>
      <c r="AF267" s="321"/>
      <c r="AG267" s="321"/>
      <c r="AH267" s="321"/>
      <c r="AI267" s="321"/>
      <c r="AJ267" s="321"/>
      <c r="AK267" s="321"/>
      <c r="AL267" s="321"/>
      <c r="AM267" s="321"/>
      <c r="AN267" s="321"/>
      <c r="AO267" s="321"/>
      <c r="AP267" s="427"/>
      <c r="AQ267" s="321"/>
      <c r="AR267" s="321"/>
      <c r="AS267" s="321"/>
      <c r="AT267" s="321"/>
      <c r="AU267" s="136">
        <f t="shared" si="50"/>
        <v>2.0006351600787564E-4</v>
      </c>
      <c r="AV267" s="136">
        <f t="shared" si="61"/>
        <v>-3.5400000000000524</v>
      </c>
      <c r="AW267" s="136">
        <f t="shared" si="51"/>
        <v>7.5806719142857012E-4</v>
      </c>
      <c r="AX267" s="136" t="e">
        <f t="shared" si="52"/>
        <v>#N/A</v>
      </c>
      <c r="AY267" s="136">
        <f t="shared" si="53"/>
        <v>-3.5400100000000525</v>
      </c>
      <c r="AZ267" s="136">
        <f t="shared" si="54"/>
        <v>-3.5399900000000524</v>
      </c>
      <c r="BA267" s="136">
        <f t="shared" si="55"/>
        <v>3.5680719506711728E-2</v>
      </c>
      <c r="BB267" s="136">
        <f t="shared" si="56"/>
        <v>3.5681080550471658E-2</v>
      </c>
      <c r="BC267" s="136" t="e">
        <f t="shared" si="57"/>
        <v>#N/A</v>
      </c>
      <c r="BD267" s="136">
        <f t="shared" si="62"/>
        <v>7.5806719142857012E-4</v>
      </c>
      <c r="BE267" s="136">
        <f t="shared" si="58"/>
        <v>-2.419328085714299E-4</v>
      </c>
      <c r="BF267" s="136" t="e">
        <f t="shared" si="59"/>
        <v>#N/A</v>
      </c>
      <c r="BG267" s="136" t="e">
        <f t="shared" si="60"/>
        <v>#N/A</v>
      </c>
    </row>
    <row r="268" spans="2:59" ht="11.25" customHeight="1">
      <c r="B268" s="321"/>
      <c r="C268" s="321"/>
      <c r="D268" s="321"/>
      <c r="E268" s="321"/>
      <c r="F268" s="321"/>
      <c r="G268" s="321"/>
      <c r="H268" s="321"/>
      <c r="I268" s="321"/>
      <c r="J268" s="321"/>
      <c r="K268" s="321"/>
      <c r="L268" s="321"/>
      <c r="M268" s="321"/>
      <c r="N268" s="321"/>
      <c r="O268" s="321"/>
      <c r="P268" s="321"/>
      <c r="Q268" s="321"/>
      <c r="R268" s="321"/>
      <c r="S268" s="321"/>
      <c r="T268" s="321"/>
      <c r="U268" s="321"/>
      <c r="V268" s="321"/>
      <c r="W268" s="321"/>
      <c r="X268" s="321"/>
      <c r="Y268" s="321"/>
      <c r="Z268" s="321"/>
      <c r="AA268" s="321"/>
      <c r="AB268" s="321"/>
      <c r="AC268" s="321"/>
      <c r="AD268" s="321"/>
      <c r="AE268" s="321"/>
      <c r="AF268" s="321"/>
      <c r="AG268" s="321"/>
      <c r="AH268" s="321"/>
      <c r="AI268" s="321"/>
      <c r="AJ268" s="321"/>
      <c r="AK268" s="321"/>
      <c r="AL268" s="321"/>
      <c r="AM268" s="321"/>
      <c r="AN268" s="321"/>
      <c r="AO268" s="321"/>
      <c r="AP268" s="427"/>
      <c r="AQ268" s="321"/>
      <c r="AR268" s="321"/>
      <c r="AS268" s="321"/>
      <c r="AT268" s="321"/>
      <c r="AU268" s="136">
        <f t="shared" si="50"/>
        <v>2.07779833481192E-4</v>
      </c>
      <c r="AV268" s="136">
        <f t="shared" si="61"/>
        <v>-3.5300000000000527</v>
      </c>
      <c r="AW268" s="136">
        <f t="shared" si="51"/>
        <v>7.8534414639232328E-4</v>
      </c>
      <c r="AX268" s="136" t="e">
        <f t="shared" si="52"/>
        <v>#N/A</v>
      </c>
      <c r="AY268" s="136">
        <f t="shared" si="53"/>
        <v>-3.5300100000000527</v>
      </c>
      <c r="AZ268" s="136">
        <f t="shared" si="54"/>
        <v>-3.5299900000000526</v>
      </c>
      <c r="BA268" s="136">
        <f t="shared" si="55"/>
        <v>3.5861901770061003E-2</v>
      </c>
      <c r="BB268" s="136">
        <f t="shared" si="56"/>
        <v>3.5862265464793673E-2</v>
      </c>
      <c r="BC268" s="136" t="e">
        <f t="shared" si="57"/>
        <v>#N/A</v>
      </c>
      <c r="BD268" s="136">
        <f t="shared" si="62"/>
        <v>7.8534414639232328E-4</v>
      </c>
      <c r="BE268" s="136">
        <f t="shared" si="58"/>
        <v>-2.1465585360767674E-4</v>
      </c>
      <c r="BF268" s="136" t="e">
        <f t="shared" si="59"/>
        <v>#N/A</v>
      </c>
      <c r="BG268" s="136" t="e">
        <f t="shared" si="60"/>
        <v>#N/A</v>
      </c>
    </row>
    <row r="269" spans="2:59" ht="11.25" customHeight="1">
      <c r="B269" s="321"/>
      <c r="C269" s="321"/>
      <c r="D269" s="321"/>
      <c r="E269" s="321"/>
      <c r="F269" s="321"/>
      <c r="G269" s="321"/>
      <c r="H269" s="321"/>
      <c r="I269" s="321"/>
      <c r="J269" s="321"/>
      <c r="K269" s="321"/>
      <c r="L269" s="321"/>
      <c r="M269" s="321"/>
      <c r="N269" s="321"/>
      <c r="O269" s="321"/>
      <c r="P269" s="321"/>
      <c r="Q269" s="321"/>
      <c r="R269" s="321"/>
      <c r="S269" s="321"/>
      <c r="T269" s="321"/>
      <c r="U269" s="321"/>
      <c r="V269" s="321"/>
      <c r="W269" s="321"/>
      <c r="X269" s="321"/>
      <c r="Y269" s="321"/>
      <c r="Z269" s="321"/>
      <c r="AA269" s="321"/>
      <c r="AB269" s="321"/>
      <c r="AC269" s="321"/>
      <c r="AD269" s="321"/>
      <c r="AE269" s="321"/>
      <c r="AF269" s="321"/>
      <c r="AG269" s="321"/>
      <c r="AH269" s="321"/>
      <c r="AI269" s="321"/>
      <c r="AJ269" s="321"/>
      <c r="AK269" s="321"/>
      <c r="AL269" s="321"/>
      <c r="AM269" s="321"/>
      <c r="AN269" s="321"/>
      <c r="AO269" s="321"/>
      <c r="AP269" s="427"/>
      <c r="AQ269" s="321"/>
      <c r="AR269" s="321"/>
      <c r="AS269" s="321"/>
      <c r="AT269" s="321"/>
      <c r="AU269" s="136">
        <f t="shared" si="50"/>
        <v>2.1577339929446104E-4</v>
      </c>
      <c r="AV269" s="136">
        <f t="shared" si="61"/>
        <v>-3.5200000000000529</v>
      </c>
      <c r="AW269" s="136">
        <f t="shared" si="51"/>
        <v>8.1352123108165662E-4</v>
      </c>
      <c r="AX269" s="136" t="e">
        <f t="shared" si="52"/>
        <v>#N/A</v>
      </c>
      <c r="AY269" s="136">
        <f t="shared" si="53"/>
        <v>-3.5200100000000529</v>
      </c>
      <c r="AZ269" s="136">
        <f t="shared" si="54"/>
        <v>-3.5199900000000528</v>
      </c>
      <c r="BA269" s="136">
        <f t="shared" si="55"/>
        <v>3.6044415736404538E-2</v>
      </c>
      <c r="BB269" s="136">
        <f t="shared" si="56"/>
        <v>3.604478210707291E-2</v>
      </c>
      <c r="BC269" s="136" t="e">
        <f t="shared" si="57"/>
        <v>#N/A</v>
      </c>
      <c r="BD269" s="136">
        <f t="shared" si="62"/>
        <v>8.1352123108165662E-4</v>
      </c>
      <c r="BE269" s="136">
        <f t="shared" si="58"/>
        <v>-1.864787689183434E-4</v>
      </c>
      <c r="BF269" s="136" t="e">
        <f t="shared" si="59"/>
        <v>#N/A</v>
      </c>
      <c r="BG269" s="136" t="e">
        <f t="shared" si="60"/>
        <v>#N/A</v>
      </c>
    </row>
    <row r="270" spans="2:59" ht="11.25" customHeight="1">
      <c r="B270" s="321"/>
      <c r="C270" s="321"/>
      <c r="D270" s="321"/>
      <c r="E270" s="321"/>
      <c r="F270" s="321"/>
      <c r="G270" s="321"/>
      <c r="H270" s="321"/>
      <c r="I270" s="321"/>
      <c r="J270" s="321"/>
      <c r="K270" s="321"/>
      <c r="L270" s="321"/>
      <c r="M270" s="321"/>
      <c r="N270" s="321"/>
      <c r="O270" s="321"/>
      <c r="P270" s="321"/>
      <c r="Q270" s="321"/>
      <c r="R270" s="321"/>
      <c r="S270" s="321"/>
      <c r="T270" s="321"/>
      <c r="U270" s="321"/>
      <c r="V270" s="321"/>
      <c r="W270" s="321"/>
      <c r="X270" s="321"/>
      <c r="Y270" s="321"/>
      <c r="Z270" s="321"/>
      <c r="AA270" s="321"/>
      <c r="AB270" s="321"/>
      <c r="AC270" s="321"/>
      <c r="AD270" s="321"/>
      <c r="AE270" s="321"/>
      <c r="AF270" s="321"/>
      <c r="AG270" s="321"/>
      <c r="AH270" s="321"/>
      <c r="AI270" s="321"/>
      <c r="AJ270" s="321"/>
      <c r="AK270" s="321"/>
      <c r="AL270" s="321"/>
      <c r="AM270" s="321"/>
      <c r="AN270" s="321"/>
      <c r="AO270" s="321"/>
      <c r="AP270" s="427"/>
      <c r="AQ270" s="321"/>
      <c r="AR270" s="321"/>
      <c r="AS270" s="321"/>
      <c r="AT270" s="321"/>
      <c r="AU270" s="136">
        <f t="shared" si="50"/>
        <v>2.2405334699016066E-4</v>
      </c>
      <c r="AV270" s="136">
        <f t="shared" si="61"/>
        <v>-3.5100000000000531</v>
      </c>
      <c r="AW270" s="136">
        <f t="shared" si="51"/>
        <v>8.426250047067446E-4</v>
      </c>
      <c r="AX270" s="136" t="e">
        <f t="shared" si="52"/>
        <v>#N/A</v>
      </c>
      <c r="AY270" s="136">
        <f t="shared" si="53"/>
        <v>-3.5100100000000531</v>
      </c>
      <c r="AZ270" s="136">
        <f t="shared" si="54"/>
        <v>-3.509990000000053</v>
      </c>
      <c r="BA270" s="136">
        <f t="shared" si="55"/>
        <v>3.6228273957195752E-2</v>
      </c>
      <c r="BB270" s="136">
        <f t="shared" si="56"/>
        <v>3.6228643029043828E-2</v>
      </c>
      <c r="BC270" s="136" t="e">
        <f t="shared" si="57"/>
        <v>#N/A</v>
      </c>
      <c r="BD270" s="136">
        <f t="shared" si="62"/>
        <v>8.426250047067446E-4</v>
      </c>
      <c r="BE270" s="136">
        <f t="shared" si="58"/>
        <v>-1.5737499529325542E-4</v>
      </c>
      <c r="BF270" s="136" t="e">
        <f t="shared" si="59"/>
        <v>#N/A</v>
      </c>
      <c r="BG270" s="136" t="e">
        <f t="shared" si="60"/>
        <v>#N/A</v>
      </c>
    </row>
    <row r="271" spans="2:59" ht="11.25" customHeight="1">
      <c r="B271" s="321"/>
      <c r="C271" s="321"/>
      <c r="D271" s="321"/>
      <c r="E271" s="321"/>
      <c r="F271" s="321"/>
      <c r="G271" s="321"/>
      <c r="H271" s="321"/>
      <c r="I271" s="321"/>
      <c r="J271" s="321"/>
      <c r="K271" s="321"/>
      <c r="L271" s="321"/>
      <c r="M271" s="321"/>
      <c r="N271" s="321"/>
      <c r="O271" s="321"/>
      <c r="P271" s="321"/>
      <c r="Q271" s="321"/>
      <c r="R271" s="321"/>
      <c r="S271" s="321"/>
      <c r="T271" s="321"/>
      <c r="U271" s="321"/>
      <c r="V271" s="321"/>
      <c r="W271" s="321"/>
      <c r="X271" s="321"/>
      <c r="Y271" s="321"/>
      <c r="Z271" s="321"/>
      <c r="AA271" s="321"/>
      <c r="AB271" s="321"/>
      <c r="AC271" s="321"/>
      <c r="AD271" s="321"/>
      <c r="AE271" s="321"/>
      <c r="AF271" s="321"/>
      <c r="AG271" s="321"/>
      <c r="AH271" s="321"/>
      <c r="AI271" s="321"/>
      <c r="AJ271" s="321"/>
      <c r="AK271" s="321"/>
      <c r="AL271" s="321"/>
      <c r="AM271" s="321"/>
      <c r="AN271" s="321"/>
      <c r="AO271" s="321"/>
      <c r="AP271" s="427"/>
      <c r="AQ271" s="321"/>
      <c r="AR271" s="321"/>
      <c r="AS271" s="321"/>
      <c r="AT271" s="321"/>
      <c r="AU271" s="136">
        <f t="shared" si="50"/>
        <v>2.3262907903520702E-4</v>
      </c>
      <c r="AV271" s="136">
        <f t="shared" si="61"/>
        <v>-3.5000000000000533</v>
      </c>
      <c r="AW271" s="136">
        <f t="shared" si="51"/>
        <v>8.726826950455972E-4</v>
      </c>
      <c r="AX271" s="136" t="e">
        <f t="shared" si="52"/>
        <v>#N/A</v>
      </c>
      <c r="AY271" s="136">
        <f t="shared" si="53"/>
        <v>-3.5000100000000534</v>
      </c>
      <c r="AZ271" s="136">
        <f t="shared" si="54"/>
        <v>-3.4999900000000532</v>
      </c>
      <c r="BA271" s="136">
        <f t="shared" si="55"/>
        <v>3.6413489125277469E-2</v>
      </c>
      <c r="BB271" s="136">
        <f t="shared" si="56"/>
        <v>3.6413860923833787E-2</v>
      </c>
      <c r="BC271" s="136" t="e">
        <f t="shared" si="57"/>
        <v>#N/A</v>
      </c>
      <c r="BD271" s="136">
        <f t="shared" si="62"/>
        <v>8.726826950455972E-4</v>
      </c>
      <c r="BE271" s="136">
        <f t="shared" si="58"/>
        <v>-1.2731730495440282E-4</v>
      </c>
      <c r="BF271" s="136" t="e">
        <f t="shared" si="59"/>
        <v>#N/A</v>
      </c>
      <c r="BG271" s="136" t="e">
        <f t="shared" si="60"/>
        <v>#N/A</v>
      </c>
    </row>
    <row r="272" spans="2:59" ht="11.25" customHeight="1">
      <c r="B272" s="321"/>
      <c r="C272" s="321"/>
      <c r="D272" s="321"/>
      <c r="E272" s="321"/>
      <c r="F272" s="321"/>
      <c r="G272" s="321"/>
      <c r="H272" s="321"/>
      <c r="I272" s="321"/>
      <c r="J272" s="321"/>
      <c r="K272" s="321"/>
      <c r="L272" s="321"/>
      <c r="M272" s="321"/>
      <c r="N272" s="321"/>
      <c r="O272" s="321"/>
      <c r="P272" s="321"/>
      <c r="Q272" s="321"/>
      <c r="R272" s="321"/>
      <c r="S272" s="321"/>
      <c r="T272" s="321"/>
      <c r="U272" s="321"/>
      <c r="V272" s="321"/>
      <c r="W272" s="321"/>
      <c r="X272" s="321"/>
      <c r="Y272" s="321"/>
      <c r="Z272" s="321"/>
      <c r="AA272" s="321"/>
      <c r="AB272" s="321"/>
      <c r="AC272" s="321"/>
      <c r="AD272" s="321"/>
      <c r="AE272" s="321"/>
      <c r="AF272" s="321"/>
      <c r="AG272" s="321"/>
      <c r="AH272" s="321"/>
      <c r="AI272" s="321"/>
      <c r="AJ272" s="321"/>
      <c r="AK272" s="321"/>
      <c r="AL272" s="321"/>
      <c r="AM272" s="321"/>
      <c r="AN272" s="321"/>
      <c r="AO272" s="321"/>
      <c r="AP272" s="427"/>
      <c r="AQ272" s="321"/>
      <c r="AR272" s="321"/>
      <c r="AS272" s="321"/>
      <c r="AT272" s="321"/>
      <c r="AU272" s="136">
        <f t="shared" si="50"/>
        <v>2.4151027356755783E-4</v>
      </c>
      <c r="AV272" s="136">
        <f t="shared" si="61"/>
        <v>-3.4900000000000535</v>
      </c>
      <c r="AW272" s="136">
        <f t="shared" si="51"/>
        <v>9.0372221127735578E-4</v>
      </c>
      <c r="AX272" s="136" t="e">
        <f t="shared" si="52"/>
        <v>#N/A</v>
      </c>
      <c r="AY272" s="136">
        <f t="shared" si="53"/>
        <v>-3.4900100000000536</v>
      </c>
      <c r="AZ272" s="136">
        <f t="shared" si="54"/>
        <v>-3.4899900000000534</v>
      </c>
      <c r="BA272" s="136">
        <f t="shared" si="55"/>
        <v>3.6600074076691379E-2</v>
      </c>
      <c r="BB272" s="136">
        <f t="shared" si="56"/>
        <v>3.6600448627772779E-2</v>
      </c>
      <c r="BC272" s="136" t="e">
        <f t="shared" si="57"/>
        <v>#N/A</v>
      </c>
      <c r="BD272" s="136">
        <f t="shared" si="62"/>
        <v>9.0372221127735578E-4</v>
      </c>
      <c r="BE272" s="136">
        <f t="shared" si="58"/>
        <v>-9.6277788722644243E-5</v>
      </c>
      <c r="BF272" s="136" t="e">
        <f t="shared" si="59"/>
        <v>#N/A</v>
      </c>
      <c r="BG272" s="136" t="e">
        <f t="shared" si="60"/>
        <v>#N/A</v>
      </c>
    </row>
    <row r="273" spans="2:59" ht="11.25" customHeight="1">
      <c r="B273" s="321"/>
      <c r="C273" s="321"/>
      <c r="D273" s="321"/>
      <c r="E273" s="321"/>
      <c r="F273" s="321"/>
      <c r="G273" s="321"/>
      <c r="H273" s="321"/>
      <c r="I273" s="321"/>
      <c r="J273" s="321"/>
      <c r="K273" s="321"/>
      <c r="L273" s="321"/>
      <c r="M273" s="321"/>
      <c r="N273" s="321"/>
      <c r="O273" s="321"/>
      <c r="P273" s="321"/>
      <c r="Q273" s="321"/>
      <c r="R273" s="321"/>
      <c r="S273" s="321"/>
      <c r="T273" s="321"/>
      <c r="U273" s="321"/>
      <c r="V273" s="321"/>
      <c r="W273" s="321"/>
      <c r="X273" s="321"/>
      <c r="Y273" s="321"/>
      <c r="Z273" s="321"/>
      <c r="AA273" s="321"/>
      <c r="AB273" s="321"/>
      <c r="AC273" s="321"/>
      <c r="AD273" s="321"/>
      <c r="AE273" s="321"/>
      <c r="AF273" s="321"/>
      <c r="AG273" s="321"/>
      <c r="AH273" s="321"/>
      <c r="AI273" s="321"/>
      <c r="AJ273" s="321"/>
      <c r="AK273" s="321"/>
      <c r="AL273" s="321"/>
      <c r="AM273" s="321"/>
      <c r="AN273" s="321"/>
      <c r="AO273" s="321"/>
      <c r="AP273" s="427"/>
      <c r="AQ273" s="321"/>
      <c r="AR273" s="321"/>
      <c r="AS273" s="321"/>
      <c r="AT273" s="321"/>
      <c r="AU273" s="136">
        <f t="shared" si="50"/>
        <v>2.5070689127970613E-4</v>
      </c>
      <c r="AV273" s="136">
        <f t="shared" si="61"/>
        <v>-3.4800000000000537</v>
      </c>
      <c r="AW273" s="136">
        <f t="shared" si="51"/>
        <v>9.35772156927305E-4</v>
      </c>
      <c r="AX273" s="136" t="e">
        <f t="shared" si="52"/>
        <v>#N/A</v>
      </c>
      <c r="AY273" s="136">
        <f t="shared" si="53"/>
        <v>-3.4800100000000538</v>
      </c>
      <c r="AZ273" s="136">
        <f t="shared" si="54"/>
        <v>-3.4799900000000537</v>
      </c>
      <c r="BA273" s="136">
        <f t="shared" si="55"/>
        <v>3.6788041792512639E-2</v>
      </c>
      <c r="BB273" s="136">
        <f t="shared" si="56"/>
        <v>3.67884191222278E-2</v>
      </c>
      <c r="BC273" s="136" t="e">
        <f t="shared" si="57"/>
        <v>#N/A</v>
      </c>
      <c r="BD273" s="136">
        <f t="shared" si="62"/>
        <v>9.35772156927305E-4</v>
      </c>
      <c r="BE273" s="136">
        <f t="shared" si="58"/>
        <v>-6.4227843072695023E-5</v>
      </c>
      <c r="BF273" s="136" t="e">
        <f t="shared" si="59"/>
        <v>#N/A</v>
      </c>
      <c r="BG273" s="136" t="e">
        <f t="shared" si="60"/>
        <v>#N/A</v>
      </c>
    </row>
    <row r="274" spans="2:59" ht="11.25" customHeight="1">
      <c r="B274" s="321"/>
      <c r="C274" s="321"/>
      <c r="D274" s="321"/>
      <c r="E274" s="321"/>
      <c r="F274" s="321"/>
      <c r="G274" s="321"/>
      <c r="H274" s="321"/>
      <c r="I274" s="321"/>
      <c r="J274" s="321"/>
      <c r="K274" s="321"/>
      <c r="L274" s="321"/>
      <c r="M274" s="321"/>
      <c r="N274" s="321"/>
      <c r="O274" s="321"/>
      <c r="P274" s="321"/>
      <c r="Q274" s="321"/>
      <c r="R274" s="321"/>
      <c r="S274" s="321"/>
      <c r="T274" s="321"/>
      <c r="U274" s="321"/>
      <c r="V274" s="321"/>
      <c r="W274" s="321"/>
      <c r="X274" s="321"/>
      <c r="Y274" s="321"/>
      <c r="Z274" s="321"/>
      <c r="AA274" s="321"/>
      <c r="AB274" s="321"/>
      <c r="AC274" s="321"/>
      <c r="AD274" s="321"/>
      <c r="AE274" s="321"/>
      <c r="AF274" s="321"/>
      <c r="AG274" s="321"/>
      <c r="AH274" s="321"/>
      <c r="AI274" s="321"/>
      <c r="AJ274" s="321"/>
      <c r="AK274" s="321"/>
      <c r="AL274" s="321"/>
      <c r="AM274" s="321"/>
      <c r="AN274" s="321"/>
      <c r="AO274" s="321"/>
      <c r="AP274" s="427"/>
      <c r="AQ274" s="321"/>
      <c r="AR274" s="321"/>
      <c r="AS274" s="321"/>
      <c r="AT274" s="321"/>
      <c r="AU274" s="136">
        <f t="shared" si="50"/>
        <v>2.6022918242762927E-4</v>
      </c>
      <c r="AV274" s="136">
        <f t="shared" si="61"/>
        <v>-3.4700000000000539</v>
      </c>
      <c r="AW274" s="136">
        <f t="shared" si="51"/>
        <v>9.6886184291966506E-4</v>
      </c>
      <c r="AX274" s="136" t="e">
        <f t="shared" si="52"/>
        <v>#N/A</v>
      </c>
      <c r="AY274" s="136">
        <f t="shared" si="53"/>
        <v>-3.470010000000054</v>
      </c>
      <c r="AZ274" s="136">
        <f t="shared" si="54"/>
        <v>-3.4699900000000539</v>
      </c>
      <c r="BA274" s="136">
        <f t="shared" si="55"/>
        <v>3.6977405400709776E-2</v>
      </c>
      <c r="BB274" s="136">
        <f t="shared" si="56"/>
        <v>3.6977785535463055E-2</v>
      </c>
      <c r="BC274" s="136" t="e">
        <f t="shared" si="57"/>
        <v>#N/A</v>
      </c>
      <c r="BD274" s="136">
        <f t="shared" si="62"/>
        <v>9.6886184291966506E-4</v>
      </c>
      <c r="BE274" s="136">
        <f t="shared" si="58"/>
        <v>-3.1138157080334958E-5</v>
      </c>
      <c r="BF274" s="136" t="e">
        <f t="shared" si="59"/>
        <v>#N/A</v>
      </c>
      <c r="BG274" s="136" t="e">
        <f t="shared" si="60"/>
        <v>#N/A</v>
      </c>
    </row>
    <row r="275" spans="2:59" ht="11.25" customHeight="1">
      <c r="B275" s="321"/>
      <c r="C275" s="321"/>
      <c r="D275" s="321"/>
      <c r="E275" s="321"/>
      <c r="F275" s="321"/>
      <c r="G275" s="321"/>
      <c r="H275" s="321"/>
      <c r="I275" s="321"/>
      <c r="J275" s="321"/>
      <c r="K275" s="321"/>
      <c r="L275" s="321"/>
      <c r="M275" s="321"/>
      <c r="N275" s="321"/>
      <c r="O275" s="321"/>
      <c r="P275" s="321"/>
      <c r="Q275" s="321"/>
      <c r="R275" s="321"/>
      <c r="S275" s="321"/>
      <c r="T275" s="321"/>
      <c r="U275" s="321"/>
      <c r="V275" s="321"/>
      <c r="W275" s="321"/>
      <c r="X275" s="321"/>
      <c r="Y275" s="321"/>
      <c r="Z275" s="321"/>
      <c r="AA275" s="321"/>
      <c r="AB275" s="321"/>
      <c r="AC275" s="321"/>
      <c r="AD275" s="321"/>
      <c r="AE275" s="321"/>
      <c r="AF275" s="321"/>
      <c r="AG275" s="321"/>
      <c r="AH275" s="321"/>
      <c r="AI275" s="321"/>
      <c r="AJ275" s="321"/>
      <c r="AK275" s="321"/>
      <c r="AL275" s="321"/>
      <c r="AM275" s="321"/>
      <c r="AN275" s="321"/>
      <c r="AO275" s="321"/>
      <c r="AP275" s="427"/>
      <c r="AQ275" s="321"/>
      <c r="AR275" s="321"/>
      <c r="AS275" s="321"/>
      <c r="AT275" s="321"/>
      <c r="AU275" s="136">
        <f t="shared" si="50"/>
        <v>2.7008769396208443E-4</v>
      </c>
      <c r="AV275" s="136">
        <f t="shared" si="61"/>
        <v>-3.4600000000000541</v>
      </c>
      <c r="AW275" s="136">
        <f t="shared" si="51"/>
        <v>1.0030213007340494E-3</v>
      </c>
      <c r="AX275" s="136" t="e">
        <f t="shared" si="52"/>
        <v>#N/A</v>
      </c>
      <c r="AY275" s="136">
        <f t="shared" si="53"/>
        <v>-3.4600100000000542</v>
      </c>
      <c r="AZ275" s="136">
        <f t="shared" si="54"/>
        <v>-3.4599900000000541</v>
      </c>
      <c r="BA275" s="136">
        <f t="shared" si="55"/>
        <v>3.7168178178030607E-2</v>
      </c>
      <c r="BB275" s="136">
        <f t="shared" si="56"/>
        <v>3.716856114452588E-2</v>
      </c>
      <c r="BC275" s="136" t="e">
        <f t="shared" si="57"/>
        <v>#N/A</v>
      </c>
      <c r="BD275" s="136">
        <f t="shared" si="62"/>
        <v>1.0030213007340494E-3</v>
      </c>
      <c r="BE275" s="136">
        <f t="shared" si="58"/>
        <v>3.0213007340493953E-6</v>
      </c>
      <c r="BF275" s="136" t="e">
        <f t="shared" si="59"/>
        <v>#N/A</v>
      </c>
      <c r="BG275" s="136" t="e">
        <f t="shared" si="60"/>
        <v>#N/A</v>
      </c>
    </row>
    <row r="276" spans="2:59" ht="11.25" customHeight="1">
      <c r="B276" s="321"/>
      <c r="C276" s="321"/>
      <c r="D276" s="321"/>
      <c r="E276" s="321"/>
      <c r="F276" s="321"/>
      <c r="G276" s="321"/>
      <c r="H276" s="321"/>
      <c r="I276" s="321"/>
      <c r="J276" s="321"/>
      <c r="K276" s="321"/>
      <c r="L276" s="321"/>
      <c r="M276" s="321"/>
      <c r="N276" s="321"/>
      <c r="O276" s="321"/>
      <c r="P276" s="321"/>
      <c r="Q276" s="321"/>
      <c r="R276" s="321"/>
      <c r="S276" s="321"/>
      <c r="T276" s="321"/>
      <c r="U276" s="321"/>
      <c r="V276" s="321"/>
      <c r="W276" s="321"/>
      <c r="X276" s="321"/>
      <c r="Y276" s="321"/>
      <c r="Z276" s="321"/>
      <c r="AA276" s="321"/>
      <c r="AB276" s="321"/>
      <c r="AC276" s="321"/>
      <c r="AD276" s="321"/>
      <c r="AE276" s="321"/>
      <c r="AF276" s="321"/>
      <c r="AG276" s="321"/>
      <c r="AH276" s="321"/>
      <c r="AI276" s="321"/>
      <c r="AJ276" s="321"/>
      <c r="AK276" s="321"/>
      <c r="AL276" s="321"/>
      <c r="AM276" s="321"/>
      <c r="AN276" s="321"/>
      <c r="AO276" s="321"/>
      <c r="AP276" s="427"/>
      <c r="AQ276" s="321"/>
      <c r="AR276" s="321"/>
      <c r="AS276" s="321"/>
      <c r="AT276" s="321"/>
      <c r="AU276" s="136">
        <f t="shared" si="50"/>
        <v>2.8029327681566851E-4</v>
      </c>
      <c r="AV276" s="136">
        <f t="shared" si="61"/>
        <v>-3.4500000000000544</v>
      </c>
      <c r="AW276" s="136">
        <f t="shared" si="51"/>
        <v>1.0382812956612165E-3</v>
      </c>
      <c r="AX276" s="136" t="e">
        <f t="shared" si="52"/>
        <v>#N/A</v>
      </c>
      <c r="AY276" s="136">
        <f t="shared" si="53"/>
        <v>-3.4500100000000544</v>
      </c>
      <c r="AZ276" s="136">
        <f t="shared" si="54"/>
        <v>-3.4499900000000543</v>
      </c>
      <c r="BA276" s="136">
        <f t="shared" si="55"/>
        <v>3.7360373551914336E-2</v>
      </c>
      <c r="BB276" s="136">
        <f t="shared" si="56"/>
        <v>3.7360759377158763E-2</v>
      </c>
      <c r="BC276" s="136" t="e">
        <f t="shared" si="57"/>
        <v>#N/A</v>
      </c>
      <c r="BD276" s="136">
        <f t="shared" si="62"/>
        <v>1.0382812956612165E-3</v>
      </c>
      <c r="BE276" s="136">
        <f t="shared" si="58"/>
        <v>3.8281295661216465E-5</v>
      </c>
      <c r="BF276" s="136" t="e">
        <f t="shared" si="59"/>
        <v>#N/A</v>
      </c>
      <c r="BG276" s="136" t="e">
        <f t="shared" si="60"/>
        <v>#N/A</v>
      </c>
    </row>
    <row r="277" spans="2:59" ht="11.25" customHeight="1">
      <c r="B277" s="321"/>
      <c r="C277" s="321"/>
      <c r="D277" s="321"/>
      <c r="E277" s="321"/>
      <c r="F277" s="321"/>
      <c r="G277" s="321"/>
      <c r="H277" s="321"/>
      <c r="I277" s="321"/>
      <c r="J277" s="321"/>
      <c r="K277" s="321"/>
      <c r="L277" s="321"/>
      <c r="M277" s="321"/>
      <c r="N277" s="321"/>
      <c r="O277" s="321"/>
      <c r="P277" s="321"/>
      <c r="Q277" s="321"/>
      <c r="R277" s="321"/>
      <c r="S277" s="321"/>
      <c r="T277" s="321"/>
      <c r="U277" s="321"/>
      <c r="V277" s="321"/>
      <c r="W277" s="321"/>
      <c r="X277" s="321"/>
      <c r="Y277" s="321"/>
      <c r="Z277" s="321"/>
      <c r="AA277" s="321"/>
      <c r="AB277" s="321"/>
      <c r="AC277" s="321"/>
      <c r="AD277" s="321"/>
      <c r="AE277" s="321"/>
      <c r="AF277" s="321"/>
      <c r="AG277" s="321"/>
      <c r="AH277" s="321"/>
      <c r="AI277" s="321"/>
      <c r="AJ277" s="321"/>
      <c r="AK277" s="321"/>
      <c r="AL277" s="321"/>
      <c r="AM277" s="321"/>
      <c r="AN277" s="321"/>
      <c r="AO277" s="321"/>
      <c r="AP277" s="427"/>
      <c r="AQ277" s="321"/>
      <c r="AR277" s="321"/>
      <c r="AS277" s="321"/>
      <c r="AT277" s="321"/>
      <c r="AU277" s="136">
        <f t="shared" ref="AU277:AU340" si="63">NORMDIST(AV277,$AV$17,$AV$18,TRUE)</f>
        <v>2.9085709329046416E-4</v>
      </c>
      <c r="AV277" s="136">
        <f t="shared" si="61"/>
        <v>-3.4400000000000546</v>
      </c>
      <c r="AW277" s="136">
        <f t="shared" ref="AW277:AW340" si="64">IF($AV$13=1,NORMDIST(AV277,$AV$17,$AV$18,FALSE),NA())</f>
        <v>1.0746733401535333E-3</v>
      </c>
      <c r="AX277" s="136" t="e">
        <f t="shared" ref="AX277:AX340" si="65">IF($AV$13=3,NORMDIST(AV277,$AV$17,$AV$18,FALSE),NA())</f>
        <v>#N/A</v>
      </c>
      <c r="AY277" s="136">
        <f t="shared" ref="AY277:AY340" si="66">AV277-$AY$19</f>
        <v>-3.4400100000000546</v>
      </c>
      <c r="AZ277" s="136">
        <f t="shared" ref="AZ277:AZ340" si="67">AV277+$AY$19</f>
        <v>-3.4399900000000545</v>
      </c>
      <c r="BA277" s="136">
        <f t="shared" ref="BA277:BA340" si="68">IF(AY277&lt;0,TDIST(-AY277,$AV$14,1),1-TDIST(AY277,$AV$14,1))</f>
        <v>3.7554005102430218E-2</v>
      </c>
      <c r="BB277" s="136">
        <f t="shared" ref="BB277:BB340" si="69">IF(AZ277&lt;0,TDIST(-AZ277,$AV$14,1),1-TDIST(AZ277,$AV$14,1))</f>
        <v>3.7554393813738172E-2</v>
      </c>
      <c r="BC277" s="136" t="e">
        <f t="shared" ref="BC277:BC340" si="70">IF($AV$13&gt;1,(BB277-BA277)/(2*$AY$19),NA())</f>
        <v>#N/A</v>
      </c>
      <c r="BD277" s="136">
        <f t="shared" si="62"/>
        <v>1.0746733401535333E-3</v>
      </c>
      <c r="BE277" s="136">
        <f t="shared" ref="BE277:BE340" si="71">IF(ISNUMBER(BD277),BD277-$BE$19,NA())</f>
        <v>7.4673340153533305E-5</v>
      </c>
      <c r="BF277" s="136" t="e">
        <f t="shared" ref="BF277:BF340" si="72">IF($AV$15=1,IF(AV277&gt;=$BF$19,BC277,NA()),IF($AV$15=2,IF(ABS(AV277)&gt;=$BF$19,BC277,NA()),NA()))</f>
        <v>#N/A</v>
      </c>
      <c r="BG277" s="136" t="e">
        <f t="shared" ref="BG277:BG340" si="73">IF(ISNUMBER(BF277),BF277-$BG$19,NA())</f>
        <v>#N/A</v>
      </c>
    </row>
    <row r="278" spans="2:59" ht="11.25" customHeight="1">
      <c r="B278" s="321"/>
      <c r="C278" s="321"/>
      <c r="D278" s="321"/>
      <c r="E278" s="321"/>
      <c r="F278" s="321"/>
      <c r="G278" s="321"/>
      <c r="H278" s="321"/>
      <c r="I278" s="321"/>
      <c r="J278" s="321"/>
      <c r="K278" s="321"/>
      <c r="L278" s="321"/>
      <c r="M278" s="321"/>
      <c r="N278" s="321"/>
      <c r="O278" s="321"/>
      <c r="P278" s="321"/>
      <c r="Q278" s="321"/>
      <c r="R278" s="321"/>
      <c r="S278" s="321"/>
      <c r="T278" s="321"/>
      <c r="U278" s="321"/>
      <c r="V278" s="321"/>
      <c r="W278" s="321"/>
      <c r="X278" s="321"/>
      <c r="Y278" s="321"/>
      <c r="Z278" s="321"/>
      <c r="AA278" s="321"/>
      <c r="AB278" s="321"/>
      <c r="AC278" s="321"/>
      <c r="AD278" s="321"/>
      <c r="AE278" s="321"/>
      <c r="AF278" s="321"/>
      <c r="AG278" s="321"/>
      <c r="AH278" s="321"/>
      <c r="AI278" s="321"/>
      <c r="AJ278" s="321"/>
      <c r="AK278" s="321"/>
      <c r="AL278" s="321"/>
      <c r="AM278" s="321"/>
      <c r="AN278" s="321"/>
      <c r="AO278" s="321"/>
      <c r="AP278" s="427"/>
      <c r="AQ278" s="321"/>
      <c r="AR278" s="321"/>
      <c r="AS278" s="321"/>
      <c r="AT278" s="321"/>
      <c r="AU278" s="136">
        <f t="shared" si="63"/>
        <v>3.0179062460877759E-4</v>
      </c>
      <c r="AV278" s="136">
        <f t="shared" ref="AV278:AV341" si="74">AV277+$AY$10</f>
        <v>-3.4300000000000548</v>
      </c>
      <c r="AW278" s="136">
        <f t="shared" si="64"/>
        <v>1.1122297072653563E-3</v>
      </c>
      <c r="AX278" s="136" t="e">
        <f t="shared" si="65"/>
        <v>#N/A</v>
      </c>
      <c r="AY278" s="136">
        <f t="shared" si="66"/>
        <v>-3.4300100000000548</v>
      </c>
      <c r="AZ278" s="136">
        <f t="shared" si="67"/>
        <v>-3.4299900000000547</v>
      </c>
      <c r="BA278" s="136">
        <f t="shared" si="68"/>
        <v>3.7749086564243091E-2</v>
      </c>
      <c r="BB278" s="136">
        <f t="shared" si="69"/>
        <v>3.7749478189240161E-2</v>
      </c>
      <c r="BC278" s="136" t="e">
        <f t="shared" si="70"/>
        <v>#N/A</v>
      </c>
      <c r="BD278" s="136">
        <f t="shared" ref="BD278:BD341" si="75">IF($AV$15=1,IF(OR(AND(AV278&gt;=$BD$19,$AS$5&gt;=0),AND(AV278&lt;=$BD$19,$AS$5&lt;0)),AW278,NA()),IF($AV$15=2,IF(ABS(AV278)&gt;=$BD$18,AW278,NA()),NA()))</f>
        <v>1.1122297072653563E-3</v>
      </c>
      <c r="BE278" s="136">
        <f t="shared" si="71"/>
        <v>1.1222970726535624E-4</v>
      </c>
      <c r="BF278" s="136" t="e">
        <f t="shared" si="72"/>
        <v>#N/A</v>
      </c>
      <c r="BG278" s="136" t="e">
        <f t="shared" si="73"/>
        <v>#N/A</v>
      </c>
    </row>
    <row r="279" spans="2:59" ht="11.25" customHeight="1">
      <c r="B279" s="321"/>
      <c r="C279" s="321"/>
      <c r="D279" s="321"/>
      <c r="E279" s="321"/>
      <c r="F279" s="321"/>
      <c r="G279" s="321"/>
      <c r="H279" s="321"/>
      <c r="I279" s="321"/>
      <c r="J279" s="321"/>
      <c r="K279" s="321"/>
      <c r="L279" s="321"/>
      <c r="M279" s="321"/>
      <c r="N279" s="321"/>
      <c r="O279" s="321"/>
      <c r="P279" s="321"/>
      <c r="Q279" s="321"/>
      <c r="R279" s="321"/>
      <c r="S279" s="321"/>
      <c r="T279" s="321"/>
      <c r="U279" s="321"/>
      <c r="V279" s="321"/>
      <c r="W279" s="321"/>
      <c r="X279" s="321"/>
      <c r="Y279" s="321"/>
      <c r="Z279" s="321"/>
      <c r="AA279" s="321"/>
      <c r="AB279" s="321"/>
      <c r="AC279" s="321"/>
      <c r="AD279" s="321"/>
      <c r="AE279" s="321"/>
      <c r="AF279" s="321"/>
      <c r="AG279" s="321"/>
      <c r="AH279" s="321"/>
      <c r="AI279" s="321"/>
      <c r="AJ279" s="321"/>
      <c r="AK279" s="321"/>
      <c r="AL279" s="321"/>
      <c r="AM279" s="321"/>
      <c r="AN279" s="321"/>
      <c r="AO279" s="321"/>
      <c r="AP279" s="427"/>
      <c r="AQ279" s="321"/>
      <c r="AR279" s="321"/>
      <c r="AS279" s="321"/>
      <c r="AT279" s="321"/>
      <c r="AU279" s="136">
        <f t="shared" si="63"/>
        <v>3.1310567857967264E-4</v>
      </c>
      <c r="AV279" s="136">
        <f t="shared" si="74"/>
        <v>-3.420000000000055</v>
      </c>
      <c r="AW279" s="136">
        <f t="shared" si="64"/>
        <v>1.1509834441782675E-3</v>
      </c>
      <c r="AX279" s="136" t="e">
        <f t="shared" si="65"/>
        <v>#N/A</v>
      </c>
      <c r="AY279" s="136">
        <f t="shared" si="66"/>
        <v>-3.4200100000000551</v>
      </c>
      <c r="AZ279" s="136">
        <f t="shared" si="67"/>
        <v>-3.4199900000000549</v>
      </c>
      <c r="BA279" s="136">
        <f t="shared" si="68"/>
        <v>3.7945631828606462E-2</v>
      </c>
      <c r="BB279" s="136">
        <f t="shared" si="69"/>
        <v>3.7946026395233361E-2</v>
      </c>
      <c r="BC279" s="136" t="e">
        <f t="shared" si="70"/>
        <v>#N/A</v>
      </c>
      <c r="BD279" s="136">
        <f t="shared" si="75"/>
        <v>1.1509834441782675E-3</v>
      </c>
      <c r="BE279" s="136">
        <f t="shared" si="71"/>
        <v>1.5098344417826745E-4</v>
      </c>
      <c r="BF279" s="136" t="e">
        <f t="shared" si="72"/>
        <v>#N/A</v>
      </c>
      <c r="BG279" s="136" t="e">
        <f t="shared" si="73"/>
        <v>#N/A</v>
      </c>
    </row>
    <row r="280" spans="2:59" ht="11.25" customHeight="1">
      <c r="B280" s="321"/>
      <c r="C280" s="321"/>
      <c r="D280" s="321"/>
      <c r="E280" s="321"/>
      <c r="F280" s="321"/>
      <c r="G280" s="321"/>
      <c r="H280" s="321"/>
      <c r="I280" s="321"/>
      <c r="J280" s="321"/>
      <c r="K280" s="321"/>
      <c r="L280" s="321"/>
      <c r="M280" s="321"/>
      <c r="N280" s="321"/>
      <c r="O280" s="321"/>
      <c r="P280" s="321"/>
      <c r="Q280" s="321"/>
      <c r="R280" s="321"/>
      <c r="S280" s="321"/>
      <c r="T280" s="321"/>
      <c r="U280" s="321"/>
      <c r="V280" s="321"/>
      <c r="W280" s="321"/>
      <c r="X280" s="321"/>
      <c r="Y280" s="321"/>
      <c r="Z280" s="321"/>
      <c r="AA280" s="321"/>
      <c r="AB280" s="321"/>
      <c r="AC280" s="321"/>
      <c r="AD280" s="321"/>
      <c r="AE280" s="321"/>
      <c r="AF280" s="321"/>
      <c r="AG280" s="321"/>
      <c r="AH280" s="321"/>
      <c r="AI280" s="321"/>
      <c r="AJ280" s="321"/>
      <c r="AK280" s="321"/>
      <c r="AL280" s="321"/>
      <c r="AM280" s="321"/>
      <c r="AN280" s="321"/>
      <c r="AO280" s="321"/>
      <c r="AP280" s="427"/>
      <c r="AQ280" s="321"/>
      <c r="AR280" s="321"/>
      <c r="AS280" s="321"/>
      <c r="AT280" s="321"/>
      <c r="AU280" s="136">
        <f t="shared" si="63"/>
        <v>3.2481439741827156E-4</v>
      </c>
      <c r="AV280" s="136">
        <f t="shared" si="74"/>
        <v>-3.4100000000000552</v>
      </c>
      <c r="AW280" s="136">
        <f t="shared" si="64"/>
        <v>1.1909683858058932E-3</v>
      </c>
      <c r="AX280" s="136" t="e">
        <f t="shared" si="65"/>
        <v>#N/A</v>
      </c>
      <c r="AY280" s="136">
        <f t="shared" si="66"/>
        <v>-3.4100100000000553</v>
      </c>
      <c r="AZ280" s="136">
        <f t="shared" si="67"/>
        <v>-3.4099900000000551</v>
      </c>
      <c r="BA280" s="136">
        <f t="shared" si="68"/>
        <v>3.8143654945383E-2</v>
      </c>
      <c r="BB280" s="136">
        <f t="shared" si="69"/>
        <v>3.8144052481899789E-2</v>
      </c>
      <c r="BC280" s="136" t="e">
        <f t="shared" si="70"/>
        <v>#N/A</v>
      </c>
      <c r="BD280" s="136">
        <f t="shared" si="75"/>
        <v>1.1909683858058932E-3</v>
      </c>
      <c r="BE280" s="136">
        <f t="shared" si="71"/>
        <v>1.9096838580589322E-4</v>
      </c>
      <c r="BF280" s="136" t="e">
        <f t="shared" si="72"/>
        <v>#N/A</v>
      </c>
      <c r="BG280" s="136" t="e">
        <f t="shared" si="73"/>
        <v>#N/A</v>
      </c>
    </row>
    <row r="281" spans="2:59" ht="11.25" customHeight="1">
      <c r="B281" s="321"/>
      <c r="C281" s="321"/>
      <c r="D281" s="321"/>
      <c r="E281" s="321"/>
      <c r="F281" s="321"/>
      <c r="G281" s="321"/>
      <c r="H281" s="321"/>
      <c r="I281" s="321"/>
      <c r="J281" s="321"/>
      <c r="K281" s="321"/>
      <c r="L281" s="321"/>
      <c r="M281" s="321"/>
      <c r="N281" s="321"/>
      <c r="O281" s="321"/>
      <c r="P281" s="321"/>
      <c r="Q281" s="321"/>
      <c r="R281" s="321"/>
      <c r="S281" s="321"/>
      <c r="T281" s="321"/>
      <c r="U281" s="321"/>
      <c r="V281" s="321"/>
      <c r="W281" s="321"/>
      <c r="X281" s="321"/>
      <c r="Y281" s="321"/>
      <c r="Z281" s="321"/>
      <c r="AA281" s="321"/>
      <c r="AB281" s="321"/>
      <c r="AC281" s="321"/>
      <c r="AD281" s="321"/>
      <c r="AE281" s="321"/>
      <c r="AF281" s="321"/>
      <c r="AG281" s="321"/>
      <c r="AH281" s="321"/>
      <c r="AI281" s="321"/>
      <c r="AJ281" s="321"/>
      <c r="AK281" s="321"/>
      <c r="AL281" s="321"/>
      <c r="AM281" s="321"/>
      <c r="AN281" s="321"/>
      <c r="AO281" s="321"/>
      <c r="AP281" s="427"/>
      <c r="AQ281" s="321"/>
      <c r="AR281" s="321"/>
      <c r="AS281" s="321"/>
      <c r="AT281" s="321"/>
      <c r="AU281" s="136">
        <f t="shared" si="63"/>
        <v>3.3692926567607806E-4</v>
      </c>
      <c r="AV281" s="136">
        <f t="shared" si="74"/>
        <v>-3.4000000000000554</v>
      </c>
      <c r="AW281" s="136">
        <f t="shared" si="64"/>
        <v>1.2322191684727864E-3</v>
      </c>
      <c r="AX281" s="136" t="e">
        <f t="shared" si="65"/>
        <v>#N/A</v>
      </c>
      <c r="AY281" s="136">
        <f t="shared" si="66"/>
        <v>-3.4000100000000555</v>
      </c>
      <c r="AZ281" s="136">
        <f t="shared" si="67"/>
        <v>-3.3999900000000554</v>
      </c>
      <c r="BA281" s="136">
        <f t="shared" si="68"/>
        <v>3.834317012509357E-2</v>
      </c>
      <c r="BB281" s="136">
        <f t="shared" si="69"/>
        <v>3.8343570660083627E-2</v>
      </c>
      <c r="BC281" s="136" t="e">
        <f t="shared" si="70"/>
        <v>#N/A</v>
      </c>
      <c r="BD281" s="136">
        <f t="shared" si="75"/>
        <v>1.2322191684727864E-3</v>
      </c>
      <c r="BE281" s="136">
        <f t="shared" si="71"/>
        <v>2.3221916847278637E-4</v>
      </c>
      <c r="BF281" s="136" t="e">
        <f t="shared" si="72"/>
        <v>#N/A</v>
      </c>
      <c r="BG281" s="136" t="e">
        <f t="shared" si="73"/>
        <v>#N/A</v>
      </c>
    </row>
    <row r="282" spans="2:59" ht="11.25" customHeight="1">
      <c r="B282" s="321"/>
      <c r="C282" s="321"/>
      <c r="D282" s="321"/>
      <c r="E282" s="321"/>
      <c r="F282" s="321"/>
      <c r="G282" s="321"/>
      <c r="H282" s="321"/>
      <c r="I282" s="321"/>
      <c r="J282" s="321"/>
      <c r="K282" s="321"/>
      <c r="L282" s="321"/>
      <c r="M282" s="321"/>
      <c r="N282" s="321"/>
      <c r="O282" s="321"/>
      <c r="P282" s="321"/>
      <c r="Q282" s="321"/>
      <c r="R282" s="321"/>
      <c r="S282" s="321"/>
      <c r="T282" s="321"/>
      <c r="U282" s="321"/>
      <c r="V282" s="321"/>
      <c r="W282" s="321"/>
      <c r="X282" s="321"/>
      <c r="Y282" s="321"/>
      <c r="Z282" s="321"/>
      <c r="AA282" s="321"/>
      <c r="AB282" s="321"/>
      <c r="AC282" s="321"/>
      <c r="AD282" s="321"/>
      <c r="AE282" s="321"/>
      <c r="AF282" s="321"/>
      <c r="AG282" s="321"/>
      <c r="AH282" s="321"/>
      <c r="AI282" s="321"/>
      <c r="AJ282" s="321"/>
      <c r="AK282" s="321"/>
      <c r="AL282" s="321"/>
      <c r="AM282" s="321"/>
      <c r="AN282" s="321"/>
      <c r="AO282" s="321"/>
      <c r="AP282" s="427"/>
      <c r="AQ282" s="321"/>
      <c r="AR282" s="321"/>
      <c r="AS282" s="321"/>
      <c r="AT282" s="321"/>
      <c r="AU282" s="136">
        <f t="shared" si="63"/>
        <v>3.4946311833783383E-4</v>
      </c>
      <c r="AV282" s="136">
        <f t="shared" si="74"/>
        <v>-3.3900000000000556</v>
      </c>
      <c r="AW282" s="136">
        <f t="shared" si="64"/>
        <v>1.2747712436615925E-3</v>
      </c>
      <c r="AX282" s="136" t="e">
        <f t="shared" si="65"/>
        <v>#N/A</v>
      </c>
      <c r="AY282" s="136">
        <f t="shared" si="66"/>
        <v>-3.3900100000000557</v>
      </c>
      <c r="AZ282" s="136">
        <f t="shared" si="67"/>
        <v>-3.3899900000000556</v>
      </c>
      <c r="BA282" s="136">
        <f t="shared" si="68"/>
        <v>3.854419174099432E-2</v>
      </c>
      <c r="BB282" s="136">
        <f t="shared" si="69"/>
        <v>3.8544595303368623E-2</v>
      </c>
      <c r="BC282" s="136" t="e">
        <f t="shared" si="70"/>
        <v>#N/A</v>
      </c>
      <c r="BD282" s="136">
        <f t="shared" si="75"/>
        <v>1.2747712436615925E-3</v>
      </c>
      <c r="BE282" s="136">
        <f t="shared" si="71"/>
        <v>2.7477124366159246E-4</v>
      </c>
      <c r="BF282" s="136" t="e">
        <f t="shared" si="72"/>
        <v>#N/A</v>
      </c>
      <c r="BG282" s="136" t="e">
        <f t="shared" si="73"/>
        <v>#N/A</v>
      </c>
    </row>
    <row r="283" spans="2:59" ht="11.25" customHeight="1">
      <c r="B283" s="321"/>
      <c r="C283" s="321"/>
      <c r="D283" s="321"/>
      <c r="E283" s="321"/>
      <c r="F283" s="321"/>
      <c r="G283" s="321"/>
      <c r="H283" s="321"/>
      <c r="I283" s="321"/>
      <c r="J283" s="321"/>
      <c r="K283" s="321"/>
      <c r="L283" s="321"/>
      <c r="M283" s="321"/>
      <c r="N283" s="321"/>
      <c r="O283" s="321"/>
      <c r="P283" s="321"/>
      <c r="Q283" s="321"/>
      <c r="R283" s="321"/>
      <c r="S283" s="321"/>
      <c r="T283" s="321"/>
      <c r="U283" s="321"/>
      <c r="V283" s="321"/>
      <c r="W283" s="321"/>
      <c r="X283" s="321"/>
      <c r="Y283" s="321"/>
      <c r="Z283" s="321"/>
      <c r="AA283" s="321"/>
      <c r="AB283" s="321"/>
      <c r="AC283" s="321"/>
      <c r="AD283" s="321"/>
      <c r="AE283" s="321"/>
      <c r="AF283" s="321"/>
      <c r="AG283" s="321"/>
      <c r="AH283" s="321"/>
      <c r="AI283" s="321"/>
      <c r="AJ283" s="321"/>
      <c r="AK283" s="321"/>
      <c r="AL283" s="321"/>
      <c r="AM283" s="321"/>
      <c r="AN283" s="321"/>
      <c r="AO283" s="321"/>
      <c r="AP283" s="427"/>
      <c r="AQ283" s="321"/>
      <c r="AR283" s="321"/>
      <c r="AS283" s="321"/>
      <c r="AT283" s="321"/>
      <c r="AU283" s="136">
        <f t="shared" si="63"/>
        <v>3.6242914903306112E-4</v>
      </c>
      <c r="AV283" s="136">
        <f t="shared" si="74"/>
        <v>-3.3800000000000558</v>
      </c>
      <c r="AW283" s="136">
        <f t="shared" si="64"/>
        <v>1.3186608918224925E-3</v>
      </c>
      <c r="AX283" s="136" t="e">
        <f t="shared" si="65"/>
        <v>#N/A</v>
      </c>
      <c r="AY283" s="136">
        <f t="shared" si="66"/>
        <v>-3.3800100000000559</v>
      </c>
      <c r="AZ283" s="136">
        <f t="shared" si="67"/>
        <v>-3.3799900000000558</v>
      </c>
      <c r="BA283" s="136">
        <f t="shared" si="68"/>
        <v>3.8746734331183044E-2</v>
      </c>
      <c r="BB283" s="136">
        <f t="shared" si="69"/>
        <v>3.8747140950184403E-2</v>
      </c>
      <c r="BC283" s="136" t="e">
        <f t="shared" si="70"/>
        <v>#N/A</v>
      </c>
      <c r="BD283" s="136">
        <f t="shared" si="75"/>
        <v>1.3186608918224925E-3</v>
      </c>
      <c r="BE283" s="136">
        <f t="shared" si="71"/>
        <v>3.186608918224925E-4</v>
      </c>
      <c r="BF283" s="136" t="e">
        <f t="shared" si="72"/>
        <v>#N/A</v>
      </c>
      <c r="BG283" s="136" t="e">
        <f t="shared" si="73"/>
        <v>#N/A</v>
      </c>
    </row>
    <row r="284" spans="2:59" ht="11.25" customHeight="1">
      <c r="B284" s="321"/>
      <c r="C284" s="321"/>
      <c r="D284" s="321"/>
      <c r="E284" s="321"/>
      <c r="F284" s="321"/>
      <c r="G284" s="321"/>
      <c r="H284" s="321"/>
      <c r="I284" s="321"/>
      <c r="J284" s="321"/>
      <c r="K284" s="321"/>
      <c r="L284" s="321"/>
      <c r="M284" s="321"/>
      <c r="N284" s="321"/>
      <c r="O284" s="321"/>
      <c r="P284" s="321"/>
      <c r="Q284" s="321"/>
      <c r="R284" s="321"/>
      <c r="S284" s="321"/>
      <c r="T284" s="321"/>
      <c r="U284" s="321"/>
      <c r="V284" s="321"/>
      <c r="W284" s="321"/>
      <c r="X284" s="321"/>
      <c r="Y284" s="321"/>
      <c r="Z284" s="321"/>
      <c r="AA284" s="321"/>
      <c r="AB284" s="321"/>
      <c r="AC284" s="321"/>
      <c r="AD284" s="321"/>
      <c r="AE284" s="321"/>
      <c r="AF284" s="321"/>
      <c r="AG284" s="321"/>
      <c r="AH284" s="321"/>
      <c r="AI284" s="321"/>
      <c r="AJ284" s="321"/>
      <c r="AK284" s="321"/>
      <c r="AL284" s="321"/>
      <c r="AM284" s="321"/>
      <c r="AN284" s="321"/>
      <c r="AO284" s="321"/>
      <c r="AP284" s="427"/>
      <c r="AQ284" s="321"/>
      <c r="AR284" s="321"/>
      <c r="AS284" s="321"/>
      <c r="AT284" s="321"/>
      <c r="AU284" s="136">
        <f t="shared" si="63"/>
        <v>3.7584091839981681E-4</v>
      </c>
      <c r="AV284" s="136">
        <f t="shared" si="74"/>
        <v>-3.3700000000000561</v>
      </c>
      <c r="AW284" s="136">
        <f t="shared" si="64"/>
        <v>1.3639252362386465E-3</v>
      </c>
      <c r="AX284" s="136" t="e">
        <f t="shared" si="65"/>
        <v>#N/A</v>
      </c>
      <c r="AY284" s="136">
        <f t="shared" si="66"/>
        <v>-3.3700100000000561</v>
      </c>
      <c r="AZ284" s="136">
        <f t="shared" si="67"/>
        <v>-3.369990000000056</v>
      </c>
      <c r="BA284" s="136">
        <f t="shared" si="68"/>
        <v>3.8950812600734699E-2</v>
      </c>
      <c r="BB284" s="136">
        <f t="shared" si="69"/>
        <v>3.8951222305941981E-2</v>
      </c>
      <c r="BC284" s="136" t="e">
        <f t="shared" si="70"/>
        <v>#N/A</v>
      </c>
      <c r="BD284" s="136">
        <f t="shared" si="75"/>
        <v>1.3639252362386465E-3</v>
      </c>
      <c r="BE284" s="136">
        <f t="shared" si="71"/>
        <v>3.6392523623864645E-4</v>
      </c>
      <c r="BF284" s="136" t="e">
        <f t="shared" si="72"/>
        <v>#N/A</v>
      </c>
      <c r="BG284" s="136" t="e">
        <f t="shared" si="73"/>
        <v>#N/A</v>
      </c>
    </row>
    <row r="285" spans="2:59" ht="11.25" customHeight="1">
      <c r="B285" s="321"/>
      <c r="C285" s="321"/>
      <c r="D285" s="321"/>
      <c r="E285" s="321"/>
      <c r="F285" s="321"/>
      <c r="G285" s="321"/>
      <c r="H285" s="321"/>
      <c r="I285" s="321"/>
      <c r="J285" s="321"/>
      <c r="K285" s="321"/>
      <c r="L285" s="321"/>
      <c r="M285" s="321"/>
      <c r="N285" s="321"/>
      <c r="O285" s="321"/>
      <c r="P285" s="321"/>
      <c r="Q285" s="321"/>
      <c r="R285" s="321"/>
      <c r="S285" s="321"/>
      <c r="T285" s="321"/>
      <c r="U285" s="321"/>
      <c r="V285" s="321"/>
      <c r="W285" s="321"/>
      <c r="X285" s="321"/>
      <c r="Y285" s="321"/>
      <c r="Z285" s="321"/>
      <c r="AA285" s="321"/>
      <c r="AB285" s="321"/>
      <c r="AC285" s="321"/>
      <c r="AD285" s="321"/>
      <c r="AE285" s="321"/>
      <c r="AF285" s="321"/>
      <c r="AG285" s="321"/>
      <c r="AH285" s="321"/>
      <c r="AI285" s="321"/>
      <c r="AJ285" s="321"/>
      <c r="AK285" s="321"/>
      <c r="AL285" s="321"/>
      <c r="AM285" s="321"/>
      <c r="AN285" s="321"/>
      <c r="AO285" s="321"/>
      <c r="AP285" s="427"/>
      <c r="AQ285" s="321"/>
      <c r="AR285" s="321"/>
      <c r="AS285" s="321"/>
      <c r="AT285" s="321"/>
      <c r="AU285" s="136">
        <f t="shared" si="63"/>
        <v>3.8971236258222852E-4</v>
      </c>
      <c r="AV285" s="136">
        <f t="shared" si="74"/>
        <v>-3.3600000000000563</v>
      </c>
      <c r="AW285" s="136">
        <f t="shared" si="64"/>
        <v>1.4106022569411168E-3</v>
      </c>
      <c r="AX285" s="136" t="e">
        <f t="shared" si="65"/>
        <v>#N/A</v>
      </c>
      <c r="AY285" s="136">
        <f t="shared" si="66"/>
        <v>-3.3600100000000563</v>
      </c>
      <c r="AZ285" s="136">
        <f t="shared" si="67"/>
        <v>-3.3599900000000562</v>
      </c>
      <c r="BA285" s="136">
        <f t="shared" si="68"/>
        <v>3.915644142386656E-2</v>
      </c>
      <c r="BB285" s="136">
        <f t="shared" si="69"/>
        <v>3.9156854245199213E-2</v>
      </c>
      <c r="BC285" s="136" t="e">
        <f t="shared" si="70"/>
        <v>#N/A</v>
      </c>
      <c r="BD285" s="136">
        <f t="shared" si="75"/>
        <v>1.4106022569411168E-3</v>
      </c>
      <c r="BE285" s="136">
        <f t="shared" si="71"/>
        <v>4.1060225694111675E-4</v>
      </c>
      <c r="BF285" s="136" t="e">
        <f t="shared" si="72"/>
        <v>#N/A</v>
      </c>
      <c r="BG285" s="136" t="e">
        <f t="shared" si="73"/>
        <v>#N/A</v>
      </c>
    </row>
    <row r="286" spans="2:59" ht="11.25" customHeight="1">
      <c r="B286" s="321"/>
      <c r="C286" s="321"/>
      <c r="D286" s="321"/>
      <c r="E286" s="321"/>
      <c r="F286" s="321"/>
      <c r="G286" s="321"/>
      <c r="H286" s="321"/>
      <c r="I286" s="321"/>
      <c r="J286" s="321"/>
      <c r="K286" s="321"/>
      <c r="L286" s="321"/>
      <c r="M286" s="321"/>
      <c r="N286" s="321"/>
      <c r="O286" s="321"/>
      <c r="P286" s="321"/>
      <c r="Q286" s="321"/>
      <c r="R286" s="321"/>
      <c r="S286" s="321"/>
      <c r="T286" s="321"/>
      <c r="U286" s="321"/>
      <c r="V286" s="321"/>
      <c r="W286" s="321"/>
      <c r="X286" s="321"/>
      <c r="Y286" s="321"/>
      <c r="Z286" s="321"/>
      <c r="AA286" s="321"/>
      <c r="AB286" s="321"/>
      <c r="AC286" s="321"/>
      <c r="AD286" s="321"/>
      <c r="AE286" s="321"/>
      <c r="AF286" s="321"/>
      <c r="AG286" s="321"/>
      <c r="AH286" s="321"/>
      <c r="AI286" s="321"/>
      <c r="AJ286" s="321"/>
      <c r="AK286" s="321"/>
      <c r="AL286" s="321"/>
      <c r="AM286" s="321"/>
      <c r="AN286" s="321"/>
      <c r="AO286" s="321"/>
      <c r="AP286" s="427"/>
      <c r="AQ286" s="321"/>
      <c r="AR286" s="321"/>
      <c r="AS286" s="321"/>
      <c r="AT286" s="321"/>
      <c r="AU286" s="136">
        <f t="shared" si="63"/>
        <v>4.0405780186381079E-4</v>
      </c>
      <c r="AV286" s="136">
        <f t="shared" si="74"/>
        <v>-3.3500000000000565</v>
      </c>
      <c r="AW286" s="136">
        <f t="shared" si="64"/>
        <v>1.4587308046664698E-3</v>
      </c>
      <c r="AX286" s="136" t="e">
        <f t="shared" si="65"/>
        <v>#N/A</v>
      </c>
      <c r="AY286" s="136">
        <f t="shared" si="66"/>
        <v>-3.3500100000000566</v>
      </c>
      <c r="AZ286" s="136">
        <f t="shared" si="67"/>
        <v>-3.3499900000000564</v>
      </c>
      <c r="BA286" s="136">
        <f t="shared" si="68"/>
        <v>3.9363635846133879E-2</v>
      </c>
      <c r="BB286" s="136">
        <f t="shared" si="69"/>
        <v>3.9364051813856119E-2</v>
      </c>
      <c r="BC286" s="136" t="e">
        <f t="shared" si="70"/>
        <v>#N/A</v>
      </c>
      <c r="BD286" s="136">
        <f t="shared" si="75"/>
        <v>1.4587308046664698E-3</v>
      </c>
      <c r="BE286" s="136">
        <f t="shared" si="71"/>
        <v>4.5873080466646982E-4</v>
      </c>
      <c r="BF286" s="136" t="e">
        <f t="shared" si="72"/>
        <v>#N/A</v>
      </c>
      <c r="BG286" s="136" t="e">
        <f t="shared" si="73"/>
        <v>#N/A</v>
      </c>
    </row>
    <row r="287" spans="2:59" ht="11.25" customHeight="1">
      <c r="B287" s="321"/>
      <c r="C287" s="321"/>
      <c r="D287" s="321"/>
      <c r="E287" s="321"/>
      <c r="F287" s="321"/>
      <c r="G287" s="321"/>
      <c r="H287" s="321"/>
      <c r="I287" s="321"/>
      <c r="J287" s="321"/>
      <c r="K287" s="321"/>
      <c r="L287" s="321"/>
      <c r="M287" s="321"/>
      <c r="N287" s="321"/>
      <c r="O287" s="321"/>
      <c r="P287" s="321"/>
      <c r="Q287" s="321"/>
      <c r="R287" s="321"/>
      <c r="S287" s="321"/>
      <c r="T287" s="321"/>
      <c r="U287" s="321"/>
      <c r="V287" s="321"/>
      <c r="W287" s="321"/>
      <c r="X287" s="321"/>
      <c r="Y287" s="321"/>
      <c r="Z287" s="321"/>
      <c r="AA287" s="321"/>
      <c r="AB287" s="321"/>
      <c r="AC287" s="321"/>
      <c r="AD287" s="321"/>
      <c r="AE287" s="321"/>
      <c r="AF287" s="321"/>
      <c r="AG287" s="321"/>
      <c r="AH287" s="321"/>
      <c r="AI287" s="321"/>
      <c r="AJ287" s="321"/>
      <c r="AK287" s="321"/>
      <c r="AL287" s="321"/>
      <c r="AM287" s="321"/>
      <c r="AN287" s="321"/>
      <c r="AO287" s="321"/>
      <c r="AP287" s="427"/>
      <c r="AQ287" s="321"/>
      <c r="AR287" s="321"/>
      <c r="AS287" s="321"/>
      <c r="AT287" s="321"/>
      <c r="AU287" s="136">
        <f t="shared" si="63"/>
        <v>4.1889194945032848E-4</v>
      </c>
      <c r="AV287" s="136">
        <f t="shared" si="74"/>
        <v>-3.3400000000000567</v>
      </c>
      <c r="AW287" s="136">
        <f t="shared" si="64"/>
        <v>1.5083506148500219E-3</v>
      </c>
      <c r="AX287" s="136" t="e">
        <f t="shared" si="65"/>
        <v>#N/A</v>
      </c>
      <c r="AY287" s="136">
        <f t="shared" si="66"/>
        <v>-3.3400100000000568</v>
      </c>
      <c r="AZ287" s="136">
        <f t="shared" si="67"/>
        <v>-3.3399900000000566</v>
      </c>
      <c r="BA287" s="136">
        <f t="shared" si="68"/>
        <v>3.9572411086655643E-2</v>
      </c>
      <c r="BB287" s="136">
        <f t="shared" si="69"/>
        <v>3.9572830231381105E-2</v>
      </c>
      <c r="BC287" s="136" t="e">
        <f t="shared" si="70"/>
        <v>#N/A</v>
      </c>
      <c r="BD287" s="136">
        <f t="shared" si="75"/>
        <v>1.5083506148500219E-3</v>
      </c>
      <c r="BE287" s="136">
        <f t="shared" si="71"/>
        <v>5.0835061485002189E-4</v>
      </c>
      <c r="BF287" s="136" t="e">
        <f t="shared" si="72"/>
        <v>#N/A</v>
      </c>
      <c r="BG287" s="136" t="e">
        <f t="shared" si="73"/>
        <v>#N/A</v>
      </c>
    </row>
    <row r="288" spans="2:59" ht="11.25" customHeight="1">
      <c r="B288" s="321"/>
      <c r="C288" s="321"/>
      <c r="D288" s="321"/>
      <c r="E288" s="321"/>
      <c r="F288" s="321"/>
      <c r="G288" s="321"/>
      <c r="H288" s="321"/>
      <c r="I288" s="321"/>
      <c r="J288" s="321"/>
      <c r="K288" s="321"/>
      <c r="L288" s="321"/>
      <c r="M288" s="321"/>
      <c r="N288" s="321"/>
      <c r="O288" s="321"/>
      <c r="P288" s="321"/>
      <c r="Q288" s="321"/>
      <c r="R288" s="321"/>
      <c r="S288" s="321"/>
      <c r="T288" s="321"/>
      <c r="U288" s="321"/>
      <c r="V288" s="321"/>
      <c r="W288" s="321"/>
      <c r="X288" s="321"/>
      <c r="Y288" s="321"/>
      <c r="Z288" s="321"/>
      <c r="AA288" s="321"/>
      <c r="AB288" s="321"/>
      <c r="AC288" s="321"/>
      <c r="AD288" s="321"/>
      <c r="AE288" s="321"/>
      <c r="AF288" s="321"/>
      <c r="AG288" s="321"/>
      <c r="AH288" s="321"/>
      <c r="AI288" s="321"/>
      <c r="AJ288" s="321"/>
      <c r="AK288" s="321"/>
      <c r="AL288" s="321"/>
      <c r="AM288" s="321"/>
      <c r="AN288" s="321"/>
      <c r="AO288" s="321"/>
      <c r="AP288" s="427"/>
      <c r="AQ288" s="321"/>
      <c r="AR288" s="321"/>
      <c r="AS288" s="321"/>
      <c r="AT288" s="321"/>
      <c r="AU288" s="136">
        <f t="shared" si="63"/>
        <v>4.3422992038144592E-4</v>
      </c>
      <c r="AV288" s="136">
        <f t="shared" si="74"/>
        <v>-3.3300000000000569</v>
      </c>
      <c r="AW288" s="136">
        <f t="shared" si="64"/>
        <v>1.5595023216473964E-3</v>
      </c>
      <c r="AX288" s="136" t="e">
        <f t="shared" si="65"/>
        <v>#N/A</v>
      </c>
      <c r="AY288" s="136">
        <f t="shared" si="66"/>
        <v>-3.330010000000057</v>
      </c>
      <c r="AZ288" s="136">
        <f t="shared" si="67"/>
        <v>-3.3299900000000568</v>
      </c>
      <c r="BA288" s="136">
        <f t="shared" si="68"/>
        <v>3.9782782540371597E-2</v>
      </c>
      <c r="BB288" s="136">
        <f t="shared" si="69"/>
        <v>3.9783204893067907E-2</v>
      </c>
      <c r="BC288" s="136" t="e">
        <f t="shared" si="70"/>
        <v>#N/A</v>
      </c>
      <c r="BD288" s="136">
        <f t="shared" si="75"/>
        <v>1.5595023216473964E-3</v>
      </c>
      <c r="BE288" s="136">
        <f t="shared" si="71"/>
        <v>5.5950232164739635E-4</v>
      </c>
      <c r="BF288" s="136" t="e">
        <f t="shared" si="72"/>
        <v>#N/A</v>
      </c>
      <c r="BG288" s="136" t="e">
        <f t="shared" si="73"/>
        <v>#N/A</v>
      </c>
    </row>
    <row r="289" spans="2:59" ht="11.25" customHeight="1">
      <c r="B289" s="321"/>
      <c r="C289" s="321"/>
      <c r="D289" s="321"/>
      <c r="E289" s="321"/>
      <c r="F289" s="321"/>
      <c r="G289" s="321"/>
      <c r="H289" s="321"/>
      <c r="I289" s="321"/>
      <c r="J289" s="321"/>
      <c r="K289" s="321"/>
      <c r="L289" s="321"/>
      <c r="M289" s="321"/>
      <c r="N289" s="321"/>
      <c r="O289" s="321"/>
      <c r="P289" s="321"/>
      <c r="Q289" s="321"/>
      <c r="R289" s="321"/>
      <c r="S289" s="321"/>
      <c r="T289" s="321"/>
      <c r="U289" s="321"/>
      <c r="V289" s="321"/>
      <c r="W289" s="321"/>
      <c r="X289" s="321"/>
      <c r="Y289" s="321"/>
      <c r="Z289" s="321"/>
      <c r="AA289" s="321"/>
      <c r="AB289" s="321"/>
      <c r="AC289" s="321"/>
      <c r="AD289" s="321"/>
      <c r="AE289" s="321"/>
      <c r="AF289" s="321"/>
      <c r="AG289" s="321"/>
      <c r="AH289" s="321"/>
      <c r="AI289" s="321"/>
      <c r="AJ289" s="321"/>
      <c r="AK289" s="321"/>
      <c r="AL289" s="321"/>
      <c r="AM289" s="321"/>
      <c r="AN289" s="321"/>
      <c r="AO289" s="321"/>
      <c r="AP289" s="427"/>
      <c r="AQ289" s="321"/>
      <c r="AR289" s="321"/>
      <c r="AS289" s="321"/>
      <c r="AT289" s="321"/>
      <c r="AU289" s="136">
        <f t="shared" si="63"/>
        <v>4.5008724059147909E-4</v>
      </c>
      <c r="AV289" s="136">
        <f t="shared" si="74"/>
        <v>-3.3200000000000571</v>
      </c>
      <c r="AW289" s="136">
        <f t="shared" si="64"/>
        <v>1.612227471976818E-3</v>
      </c>
      <c r="AX289" s="136" t="e">
        <f t="shared" si="65"/>
        <v>#N/A</v>
      </c>
      <c r="AY289" s="136">
        <f t="shared" si="66"/>
        <v>-3.3200100000000572</v>
      </c>
      <c r="AZ289" s="136">
        <f t="shared" si="67"/>
        <v>-3.3199900000000571</v>
      </c>
      <c r="BA289" s="136">
        <f t="shared" si="68"/>
        <v>3.9994765780330725E-2</v>
      </c>
      <c r="BB289" s="136">
        <f t="shared" si="69"/>
        <v>3.9995191372323984E-2</v>
      </c>
      <c r="BC289" s="136" t="e">
        <f t="shared" si="70"/>
        <v>#N/A</v>
      </c>
      <c r="BD289" s="136">
        <f t="shared" si="75"/>
        <v>1.612227471976818E-3</v>
      </c>
      <c r="BE289" s="136">
        <f t="shared" si="71"/>
        <v>6.12227471976818E-4</v>
      </c>
      <c r="BF289" s="136" t="e">
        <f t="shared" si="72"/>
        <v>#N/A</v>
      </c>
      <c r="BG289" s="136" t="e">
        <f t="shared" si="73"/>
        <v>#N/A</v>
      </c>
    </row>
    <row r="290" spans="2:59" ht="11.25" customHeight="1">
      <c r="B290" s="321"/>
      <c r="C290" s="321"/>
      <c r="D290" s="321"/>
      <c r="E290" s="321"/>
      <c r="F290" s="321"/>
      <c r="G290" s="321"/>
      <c r="H290" s="321"/>
      <c r="I290" s="321"/>
      <c r="J290" s="321"/>
      <c r="K290" s="321"/>
      <c r="L290" s="321"/>
      <c r="M290" s="321"/>
      <c r="N290" s="321"/>
      <c r="O290" s="321"/>
      <c r="P290" s="321"/>
      <c r="Q290" s="321"/>
      <c r="R290" s="321"/>
      <c r="S290" s="321"/>
      <c r="T290" s="321"/>
      <c r="U290" s="321"/>
      <c r="V290" s="321"/>
      <c r="W290" s="321"/>
      <c r="X290" s="321"/>
      <c r="Y290" s="321"/>
      <c r="Z290" s="321"/>
      <c r="AA290" s="321"/>
      <c r="AB290" s="321"/>
      <c r="AC290" s="321"/>
      <c r="AD290" s="321"/>
      <c r="AE290" s="321"/>
      <c r="AF290" s="321"/>
      <c r="AG290" s="321"/>
      <c r="AH290" s="321"/>
      <c r="AI290" s="321"/>
      <c r="AJ290" s="321"/>
      <c r="AK290" s="321"/>
      <c r="AL290" s="321"/>
      <c r="AM290" s="321"/>
      <c r="AN290" s="321"/>
      <c r="AO290" s="321"/>
      <c r="AP290" s="427"/>
      <c r="AQ290" s="321"/>
      <c r="AR290" s="321"/>
      <c r="AS290" s="321"/>
      <c r="AT290" s="321"/>
      <c r="AU290" s="136">
        <f t="shared" si="63"/>
        <v>4.6647985610670517E-4</v>
      </c>
      <c r="AV290" s="136">
        <f t="shared" si="74"/>
        <v>-3.3100000000000573</v>
      </c>
      <c r="AW290" s="136">
        <f t="shared" si="64"/>
        <v>1.6665685395742642E-3</v>
      </c>
      <c r="AX290" s="136" t="e">
        <f t="shared" si="65"/>
        <v>#N/A</v>
      </c>
      <c r="AY290" s="136">
        <f t="shared" si="66"/>
        <v>-3.3100100000000574</v>
      </c>
      <c r="AZ290" s="136">
        <f t="shared" si="67"/>
        <v>-3.3099900000000573</v>
      </c>
      <c r="BA290" s="136">
        <f t="shared" si="68"/>
        <v>4.0208376560011527E-2</v>
      </c>
      <c r="BB290" s="136">
        <f t="shared" si="69"/>
        <v>4.0208805422991031E-2</v>
      </c>
      <c r="BC290" s="136" t="e">
        <f t="shared" si="70"/>
        <v>#N/A</v>
      </c>
      <c r="BD290" s="136">
        <f t="shared" si="75"/>
        <v>1.6665685395742642E-3</v>
      </c>
      <c r="BE290" s="136">
        <f t="shared" si="71"/>
        <v>6.6656853957426415E-4</v>
      </c>
      <c r="BF290" s="136" t="e">
        <f t="shared" si="72"/>
        <v>#N/A</v>
      </c>
      <c r="BG290" s="136" t="e">
        <f t="shared" si="73"/>
        <v>#N/A</v>
      </c>
    </row>
    <row r="291" spans="2:59" ht="11.25" customHeight="1">
      <c r="B291" s="321"/>
      <c r="C291" s="321"/>
      <c r="D291" s="321"/>
      <c r="E291" s="321"/>
      <c r="F291" s="321"/>
      <c r="G291" s="321"/>
      <c r="H291" s="321"/>
      <c r="I291" s="321"/>
      <c r="J291" s="321"/>
      <c r="K291" s="321"/>
      <c r="L291" s="321"/>
      <c r="M291" s="321"/>
      <c r="N291" s="321"/>
      <c r="O291" s="321"/>
      <c r="P291" s="321"/>
      <c r="Q291" s="321"/>
      <c r="R291" s="321"/>
      <c r="S291" s="321"/>
      <c r="T291" s="321"/>
      <c r="U291" s="321"/>
      <c r="V291" s="321"/>
      <c r="W291" s="321"/>
      <c r="X291" s="321"/>
      <c r="Y291" s="321"/>
      <c r="Z291" s="321"/>
      <c r="AA291" s="321"/>
      <c r="AB291" s="321"/>
      <c r="AC291" s="321"/>
      <c r="AD291" s="321"/>
      <c r="AE291" s="321"/>
      <c r="AF291" s="321"/>
      <c r="AG291" s="321"/>
      <c r="AH291" s="321"/>
      <c r="AI291" s="321"/>
      <c r="AJ291" s="321"/>
      <c r="AK291" s="321"/>
      <c r="AL291" s="321"/>
      <c r="AM291" s="321"/>
      <c r="AN291" s="321"/>
      <c r="AO291" s="321"/>
      <c r="AP291" s="427"/>
      <c r="AQ291" s="321"/>
      <c r="AR291" s="321"/>
      <c r="AS291" s="321"/>
      <c r="AT291" s="321"/>
      <c r="AU291" s="136">
        <f t="shared" si="63"/>
        <v>4.8342414238389253E-4</v>
      </c>
      <c r="AV291" s="136">
        <f t="shared" si="74"/>
        <v>-3.3000000000000576</v>
      </c>
      <c r="AW291" s="136">
        <f t="shared" si="64"/>
        <v>1.7225689390533523E-3</v>
      </c>
      <c r="AX291" s="136" t="e">
        <f t="shared" si="65"/>
        <v>#N/A</v>
      </c>
      <c r="AY291" s="136">
        <f t="shared" si="66"/>
        <v>-3.3000100000000576</v>
      </c>
      <c r="AZ291" s="136">
        <f t="shared" si="67"/>
        <v>-3.2999900000000575</v>
      </c>
      <c r="BA291" s="136">
        <f t="shared" si="68"/>
        <v>4.0423630815674377E-2</v>
      </c>
      <c r="BB291" s="136">
        <f t="shared" si="69"/>
        <v>4.0424062981697366E-2</v>
      </c>
      <c r="BC291" s="136" t="e">
        <f t="shared" si="70"/>
        <v>#N/A</v>
      </c>
      <c r="BD291" s="136">
        <f t="shared" si="75"/>
        <v>1.7225689390533523E-3</v>
      </c>
      <c r="BE291" s="136">
        <f t="shared" si="71"/>
        <v>7.2256893905335226E-4</v>
      </c>
      <c r="BF291" s="136" t="e">
        <f t="shared" si="72"/>
        <v>#N/A</v>
      </c>
      <c r="BG291" s="136" t="e">
        <f t="shared" si="73"/>
        <v>#N/A</v>
      </c>
    </row>
    <row r="292" spans="2:59" ht="11.25" customHeight="1">
      <c r="B292" s="321"/>
      <c r="C292" s="321"/>
      <c r="D292" s="321"/>
      <c r="E292" s="321"/>
      <c r="F292" s="321"/>
      <c r="G292" s="321"/>
      <c r="H292" s="321"/>
      <c r="I292" s="321"/>
      <c r="J292" s="321"/>
      <c r="K292" s="321"/>
      <c r="L292" s="321"/>
      <c r="M292" s="321"/>
      <c r="N292" s="321"/>
      <c r="O292" s="321"/>
      <c r="P292" s="321"/>
      <c r="Q292" s="321"/>
      <c r="R292" s="321"/>
      <c r="S292" s="321"/>
      <c r="T292" s="321"/>
      <c r="U292" s="321"/>
      <c r="V292" s="321"/>
      <c r="W292" s="321"/>
      <c r="X292" s="321"/>
      <c r="Y292" s="321"/>
      <c r="Z292" s="321"/>
      <c r="AA292" s="321"/>
      <c r="AB292" s="321"/>
      <c r="AC292" s="321"/>
      <c r="AD292" s="321"/>
      <c r="AE292" s="321"/>
      <c r="AF292" s="321"/>
      <c r="AG292" s="321"/>
      <c r="AH292" s="321"/>
      <c r="AI292" s="321"/>
      <c r="AJ292" s="321"/>
      <c r="AK292" s="321"/>
      <c r="AL292" s="321"/>
      <c r="AM292" s="321"/>
      <c r="AN292" s="321"/>
      <c r="AO292" s="321"/>
      <c r="AP292" s="427"/>
      <c r="AQ292" s="321"/>
      <c r="AR292" s="321"/>
      <c r="AS292" s="321"/>
      <c r="AT292" s="321"/>
      <c r="AU292" s="136">
        <f t="shared" si="63"/>
        <v>5.0093691378527705E-4</v>
      </c>
      <c r="AV292" s="136">
        <f t="shared" si="74"/>
        <v>-3.2900000000000578</v>
      </c>
      <c r="AW292" s="136">
        <f t="shared" si="64"/>
        <v>1.7802730399615401E-3</v>
      </c>
      <c r="AX292" s="136" t="e">
        <f t="shared" si="65"/>
        <v>#N/A</v>
      </c>
      <c r="AY292" s="136">
        <f t="shared" si="66"/>
        <v>-3.2900100000000578</v>
      </c>
      <c r="AZ292" s="136">
        <f t="shared" si="67"/>
        <v>-3.2899900000000577</v>
      </c>
      <c r="BA292" s="136">
        <f t="shared" si="68"/>
        <v>4.0640544668747038E-2</v>
      </c>
      <c r="BB292" s="136">
        <f t="shared" si="69"/>
        <v>4.0640980170243569E-2</v>
      </c>
      <c r="BC292" s="136" t="e">
        <f t="shared" si="70"/>
        <v>#N/A</v>
      </c>
      <c r="BD292" s="136">
        <f t="shared" si="75"/>
        <v>1.7802730399615401E-3</v>
      </c>
      <c r="BE292" s="136">
        <f t="shared" si="71"/>
        <v>7.802730399615401E-4</v>
      </c>
      <c r="BF292" s="136" t="e">
        <f t="shared" si="72"/>
        <v>#N/A</v>
      </c>
      <c r="BG292" s="136" t="e">
        <f t="shared" si="73"/>
        <v>#N/A</v>
      </c>
    </row>
    <row r="293" spans="2:59" ht="11.25" customHeight="1">
      <c r="B293" s="321"/>
      <c r="C293" s="321"/>
      <c r="D293" s="321"/>
      <c r="E293" s="321"/>
      <c r="F293" s="321"/>
      <c r="G293" s="321"/>
      <c r="H293" s="321"/>
      <c r="I293" s="321"/>
      <c r="J293" s="321"/>
      <c r="K293" s="321"/>
      <c r="L293" s="321"/>
      <c r="M293" s="321"/>
      <c r="N293" s="321"/>
      <c r="O293" s="321"/>
      <c r="P293" s="321"/>
      <c r="Q293" s="321"/>
      <c r="R293" s="321"/>
      <c r="S293" s="321"/>
      <c r="T293" s="321"/>
      <c r="U293" s="321"/>
      <c r="V293" s="321"/>
      <c r="W293" s="321"/>
      <c r="X293" s="321"/>
      <c r="Y293" s="321"/>
      <c r="Z293" s="321"/>
      <c r="AA293" s="321"/>
      <c r="AB293" s="321"/>
      <c r="AC293" s="321"/>
      <c r="AD293" s="321"/>
      <c r="AE293" s="321"/>
      <c r="AF293" s="321"/>
      <c r="AG293" s="321"/>
      <c r="AH293" s="321"/>
      <c r="AI293" s="321"/>
      <c r="AJ293" s="321"/>
      <c r="AK293" s="321"/>
      <c r="AL293" s="321"/>
      <c r="AM293" s="321"/>
      <c r="AN293" s="321"/>
      <c r="AO293" s="321"/>
      <c r="AP293" s="427"/>
      <c r="AQ293" s="321"/>
      <c r="AR293" s="321"/>
      <c r="AS293" s="321"/>
      <c r="AT293" s="321"/>
      <c r="AU293" s="136">
        <f t="shared" si="63"/>
        <v>5.1903543320674927E-4</v>
      </c>
      <c r="AV293" s="136">
        <f t="shared" si="74"/>
        <v>-3.280000000000058</v>
      </c>
      <c r="AW293" s="136">
        <f t="shared" si="64"/>
        <v>1.8397261808239293E-3</v>
      </c>
      <c r="AX293" s="136" t="e">
        <f t="shared" si="65"/>
        <v>#N/A</v>
      </c>
      <c r="AY293" s="136">
        <f t="shared" si="66"/>
        <v>-3.280010000000058</v>
      </c>
      <c r="AZ293" s="136">
        <f t="shared" si="67"/>
        <v>-3.2799900000000579</v>
      </c>
      <c r="BA293" s="136">
        <f t="shared" si="68"/>
        <v>4.0859134428243099E-2</v>
      </c>
      <c r="BB293" s="136">
        <f t="shared" si="69"/>
        <v>4.0859573298020778E-2</v>
      </c>
      <c r="BC293" s="136" t="e">
        <f t="shared" si="70"/>
        <v>#N/A</v>
      </c>
      <c r="BD293" s="136">
        <f t="shared" si="75"/>
        <v>1.8397261808239293E-3</v>
      </c>
      <c r="BE293" s="136">
        <f t="shared" si="71"/>
        <v>8.3972618082392924E-4</v>
      </c>
      <c r="BF293" s="136" t="e">
        <f t="shared" si="72"/>
        <v>#N/A</v>
      </c>
      <c r="BG293" s="136" t="e">
        <f t="shared" si="73"/>
        <v>#N/A</v>
      </c>
    </row>
    <row r="294" spans="2:59" ht="11.25" customHeight="1">
      <c r="B294" s="321"/>
      <c r="C294" s="321"/>
      <c r="D294" s="321"/>
      <c r="E294" s="321"/>
      <c r="F294" s="321"/>
      <c r="G294" s="321"/>
      <c r="H294" s="321"/>
      <c r="I294" s="321"/>
      <c r="J294" s="321"/>
      <c r="K294" s="321"/>
      <c r="L294" s="321"/>
      <c r="M294" s="321"/>
      <c r="N294" s="321"/>
      <c r="O294" s="321"/>
      <c r="P294" s="321"/>
      <c r="Q294" s="321"/>
      <c r="R294" s="321"/>
      <c r="S294" s="321"/>
      <c r="T294" s="321"/>
      <c r="U294" s="321"/>
      <c r="V294" s="321"/>
      <c r="W294" s="321"/>
      <c r="X294" s="321"/>
      <c r="Y294" s="321"/>
      <c r="Z294" s="321"/>
      <c r="AA294" s="321"/>
      <c r="AB294" s="321"/>
      <c r="AC294" s="321"/>
      <c r="AD294" s="321"/>
      <c r="AE294" s="321"/>
      <c r="AF294" s="321"/>
      <c r="AG294" s="321"/>
      <c r="AH294" s="321"/>
      <c r="AI294" s="321"/>
      <c r="AJ294" s="321"/>
      <c r="AK294" s="321"/>
      <c r="AL294" s="321"/>
      <c r="AM294" s="321"/>
      <c r="AN294" s="321"/>
      <c r="AO294" s="321"/>
      <c r="AP294" s="427"/>
      <c r="AQ294" s="321"/>
      <c r="AR294" s="321"/>
      <c r="AS294" s="321"/>
      <c r="AT294" s="321"/>
      <c r="AU294" s="136">
        <f t="shared" si="63"/>
        <v>5.3773742182960937E-4</v>
      </c>
      <c r="AV294" s="136">
        <f t="shared" si="74"/>
        <v>-3.2700000000000582</v>
      </c>
      <c r="AW294" s="136">
        <f t="shared" si="64"/>
        <v>1.9009746831657188E-3</v>
      </c>
      <c r="AX294" s="136" t="e">
        <f t="shared" si="65"/>
        <v>#N/A</v>
      </c>
      <c r="AY294" s="136">
        <f t="shared" si="66"/>
        <v>-3.2700100000000583</v>
      </c>
      <c r="AZ294" s="136">
        <f t="shared" si="67"/>
        <v>-3.2699900000000581</v>
      </c>
      <c r="BA294" s="136">
        <f t="shared" si="68"/>
        <v>4.1079416593214076E-2</v>
      </c>
      <c r="BB294" s="136">
        <f t="shared" si="69"/>
        <v>4.1079858864463061E-2</v>
      </c>
      <c r="BC294" s="136" t="e">
        <f t="shared" si="70"/>
        <v>#N/A</v>
      </c>
      <c r="BD294" s="136">
        <f t="shared" si="75"/>
        <v>1.9009746831657188E-3</v>
      </c>
      <c r="BE294" s="136">
        <f t="shared" si="71"/>
        <v>9.0097468316571879E-4</v>
      </c>
      <c r="BF294" s="136" t="e">
        <f t="shared" si="72"/>
        <v>#N/A</v>
      </c>
      <c r="BG294" s="136" t="e">
        <f t="shared" si="73"/>
        <v>#N/A</v>
      </c>
    </row>
    <row r="295" spans="2:59" ht="11.25" customHeight="1">
      <c r="B295" s="321"/>
      <c r="C295" s="321"/>
      <c r="D295" s="321"/>
      <c r="E295" s="321"/>
      <c r="F295" s="321"/>
      <c r="G295" s="321"/>
      <c r="H295" s="321"/>
      <c r="I295" s="321"/>
      <c r="J295" s="321"/>
      <c r="K295" s="321"/>
      <c r="L295" s="321"/>
      <c r="M295" s="321"/>
      <c r="N295" s="321"/>
      <c r="O295" s="321"/>
      <c r="P295" s="321"/>
      <c r="Q295" s="321"/>
      <c r="R295" s="321"/>
      <c r="S295" s="321"/>
      <c r="T295" s="321"/>
      <c r="U295" s="321"/>
      <c r="V295" s="321"/>
      <c r="W295" s="321"/>
      <c r="X295" s="321"/>
      <c r="Y295" s="321"/>
      <c r="Z295" s="321"/>
      <c r="AA295" s="321"/>
      <c r="AB295" s="321"/>
      <c r="AC295" s="321"/>
      <c r="AD295" s="321"/>
      <c r="AE295" s="321"/>
      <c r="AF295" s="321"/>
      <c r="AG295" s="321"/>
      <c r="AH295" s="321"/>
      <c r="AI295" s="321"/>
      <c r="AJ295" s="321"/>
      <c r="AK295" s="321"/>
      <c r="AL295" s="321"/>
      <c r="AM295" s="321"/>
      <c r="AN295" s="321"/>
      <c r="AO295" s="321"/>
      <c r="AP295" s="427"/>
      <c r="AQ295" s="321"/>
      <c r="AR295" s="321"/>
      <c r="AS295" s="321"/>
      <c r="AT295" s="321"/>
      <c r="AU295" s="136">
        <f t="shared" si="63"/>
        <v>5.5706106902486674E-4</v>
      </c>
      <c r="AV295" s="136">
        <f t="shared" si="74"/>
        <v>-3.2600000000000584</v>
      </c>
      <c r="AW295" s="136">
        <f t="shared" si="64"/>
        <v>1.9640658655040006E-3</v>
      </c>
      <c r="AX295" s="136" t="e">
        <f t="shared" si="65"/>
        <v>#N/A</v>
      </c>
      <c r="AY295" s="136">
        <f t="shared" si="66"/>
        <v>-3.2600100000000585</v>
      </c>
      <c r="AZ295" s="136">
        <f t="shared" si="67"/>
        <v>-3.2599900000000583</v>
      </c>
      <c r="BA295" s="136">
        <f t="shared" si="68"/>
        <v>4.1301407855235762E-2</v>
      </c>
      <c r="BB295" s="136">
        <f t="shared" si="69"/>
        <v>4.1301853561533819E-2</v>
      </c>
      <c r="BC295" s="136" t="e">
        <f t="shared" si="70"/>
        <v>#N/A</v>
      </c>
      <c r="BD295" s="136">
        <f t="shared" si="75"/>
        <v>1.9640658655040006E-3</v>
      </c>
      <c r="BE295" s="136">
        <f t="shared" si="71"/>
        <v>9.6406586550400056E-4</v>
      </c>
      <c r="BF295" s="136" t="e">
        <f t="shared" si="72"/>
        <v>#N/A</v>
      </c>
      <c r="BG295" s="136" t="e">
        <f t="shared" si="73"/>
        <v>#N/A</v>
      </c>
    </row>
    <row r="296" spans="2:59" ht="11.25" customHeight="1">
      <c r="B296" s="321"/>
      <c r="C296" s="321"/>
      <c r="D296" s="321"/>
      <c r="E296" s="321"/>
      <c r="F296" s="321"/>
      <c r="G296" s="321"/>
      <c r="H296" s="321"/>
      <c r="I296" s="321"/>
      <c r="J296" s="321"/>
      <c r="K296" s="321"/>
      <c r="L296" s="321"/>
      <c r="M296" s="321"/>
      <c r="N296" s="321"/>
      <c r="O296" s="321"/>
      <c r="P296" s="321"/>
      <c r="Q296" s="321"/>
      <c r="R296" s="321"/>
      <c r="S296" s="321"/>
      <c r="T296" s="321"/>
      <c r="U296" s="321"/>
      <c r="V296" s="321"/>
      <c r="W296" s="321"/>
      <c r="X296" s="321"/>
      <c r="Y296" s="321"/>
      <c r="Z296" s="321"/>
      <c r="AA296" s="321"/>
      <c r="AB296" s="321"/>
      <c r="AC296" s="321"/>
      <c r="AD296" s="321"/>
      <c r="AE296" s="321"/>
      <c r="AF296" s="321"/>
      <c r="AG296" s="321"/>
      <c r="AH296" s="321"/>
      <c r="AI296" s="321"/>
      <c r="AJ296" s="321"/>
      <c r="AK296" s="321"/>
      <c r="AL296" s="321"/>
      <c r="AM296" s="321"/>
      <c r="AN296" s="321"/>
      <c r="AO296" s="321"/>
      <c r="AP296" s="427"/>
      <c r="AQ296" s="321"/>
      <c r="AR296" s="321"/>
      <c r="AS296" s="321"/>
      <c r="AT296" s="321"/>
      <c r="AU296" s="136">
        <f t="shared" si="63"/>
        <v>5.7702504239032226E-4</v>
      </c>
      <c r="AV296" s="136">
        <f t="shared" si="74"/>
        <v>-3.2500000000000586</v>
      </c>
      <c r="AW296" s="136">
        <f t="shared" si="64"/>
        <v>2.0290480572993821E-3</v>
      </c>
      <c r="AX296" s="136" t="e">
        <f t="shared" si="65"/>
        <v>#N/A</v>
      </c>
      <c r="AY296" s="136">
        <f t="shared" si="66"/>
        <v>-3.2500100000000587</v>
      </c>
      <c r="AZ296" s="136">
        <f t="shared" si="67"/>
        <v>-3.2499900000000586</v>
      </c>
      <c r="BA296" s="136">
        <f t="shared" si="68"/>
        <v>4.1525125100929067E-2</v>
      </c>
      <c r="BB296" s="136">
        <f t="shared" si="69"/>
        <v>4.1525574276246528E-2</v>
      </c>
      <c r="BC296" s="136" t="e">
        <f t="shared" si="70"/>
        <v>#N/A</v>
      </c>
      <c r="BD296" s="136">
        <f t="shared" si="75"/>
        <v>2.0290480572993821E-3</v>
      </c>
      <c r="BE296" s="136">
        <f t="shared" si="71"/>
        <v>1.0290480572993821E-3</v>
      </c>
      <c r="BF296" s="136" t="e">
        <f t="shared" si="72"/>
        <v>#N/A</v>
      </c>
      <c r="BG296" s="136" t="e">
        <f t="shared" si="73"/>
        <v>#N/A</v>
      </c>
    </row>
    <row r="297" spans="2:59" ht="11.25" customHeight="1">
      <c r="B297" s="321"/>
      <c r="C297" s="321"/>
      <c r="D297" s="321"/>
      <c r="E297" s="321"/>
      <c r="F297" s="321"/>
      <c r="G297" s="321"/>
      <c r="H297" s="321"/>
      <c r="I297" s="321"/>
      <c r="J297" s="321"/>
      <c r="K297" s="321"/>
      <c r="L297" s="321"/>
      <c r="M297" s="321"/>
      <c r="N297" s="321"/>
      <c r="O297" s="321"/>
      <c r="P297" s="321"/>
      <c r="Q297" s="321"/>
      <c r="R297" s="321"/>
      <c r="S297" s="321"/>
      <c r="T297" s="321"/>
      <c r="U297" s="321"/>
      <c r="V297" s="321"/>
      <c r="W297" s="321"/>
      <c r="X297" s="321"/>
      <c r="Y297" s="321"/>
      <c r="Z297" s="321"/>
      <c r="AA297" s="321"/>
      <c r="AB297" s="321"/>
      <c r="AC297" s="321"/>
      <c r="AD297" s="321"/>
      <c r="AE297" s="321"/>
      <c r="AF297" s="321"/>
      <c r="AG297" s="321"/>
      <c r="AH297" s="321"/>
      <c r="AI297" s="321"/>
      <c r="AJ297" s="321"/>
      <c r="AK297" s="321"/>
      <c r="AL297" s="321"/>
      <c r="AM297" s="321"/>
      <c r="AN297" s="321"/>
      <c r="AO297" s="321"/>
      <c r="AP297" s="427"/>
      <c r="AQ297" s="321"/>
      <c r="AR297" s="321"/>
      <c r="AS297" s="321"/>
      <c r="AT297" s="321"/>
      <c r="AU297" s="136">
        <f t="shared" si="63"/>
        <v>5.9764849793386698E-4</v>
      </c>
      <c r="AV297" s="136">
        <f t="shared" si="74"/>
        <v>-3.2400000000000588</v>
      </c>
      <c r="AW297" s="136">
        <f t="shared" si="64"/>
        <v>2.095970612857545E-3</v>
      </c>
      <c r="AX297" s="136" t="e">
        <f t="shared" si="65"/>
        <v>#N/A</v>
      </c>
      <c r="AY297" s="136">
        <f t="shared" si="66"/>
        <v>-3.2400100000000589</v>
      </c>
      <c r="AZ297" s="136">
        <f t="shared" si="67"/>
        <v>-3.2399900000000588</v>
      </c>
      <c r="BA297" s="136">
        <f t="shared" si="68"/>
        <v>4.175058541451572E-2</v>
      </c>
      <c r="BB297" s="136">
        <f t="shared" si="69"/>
        <v>4.1751038093220817E-2</v>
      </c>
      <c r="BC297" s="136" t="e">
        <f t="shared" si="70"/>
        <v>#N/A</v>
      </c>
      <c r="BD297" s="136">
        <f t="shared" si="75"/>
        <v>2.095970612857545E-3</v>
      </c>
      <c r="BE297" s="136">
        <f t="shared" si="71"/>
        <v>1.095970612857545E-3</v>
      </c>
      <c r="BF297" s="136" t="e">
        <f t="shared" si="72"/>
        <v>#N/A</v>
      </c>
      <c r="BG297" s="136" t="e">
        <f t="shared" si="73"/>
        <v>#N/A</v>
      </c>
    </row>
    <row r="298" spans="2:59" ht="11.25" customHeight="1">
      <c r="B298" s="321"/>
      <c r="C298" s="321"/>
      <c r="D298" s="321"/>
      <c r="E298" s="321"/>
      <c r="F298" s="321"/>
      <c r="G298" s="321"/>
      <c r="H298" s="321"/>
      <c r="I298" s="321"/>
      <c r="J298" s="321"/>
      <c r="K298" s="321"/>
      <c r="L298" s="321"/>
      <c r="M298" s="321"/>
      <c r="N298" s="321"/>
      <c r="O298" s="321"/>
      <c r="P298" s="321"/>
      <c r="Q298" s="321"/>
      <c r="R298" s="321"/>
      <c r="S298" s="321"/>
      <c r="T298" s="321"/>
      <c r="U298" s="321"/>
      <c r="V298" s="321"/>
      <c r="W298" s="321"/>
      <c r="X298" s="321"/>
      <c r="Y298" s="321"/>
      <c r="Z298" s="321"/>
      <c r="AA298" s="321"/>
      <c r="AB298" s="321"/>
      <c r="AC298" s="321"/>
      <c r="AD298" s="321"/>
      <c r="AE298" s="321"/>
      <c r="AF298" s="321"/>
      <c r="AG298" s="321"/>
      <c r="AH298" s="321"/>
      <c r="AI298" s="321"/>
      <c r="AJ298" s="321"/>
      <c r="AK298" s="321"/>
      <c r="AL298" s="321"/>
      <c r="AM298" s="321"/>
      <c r="AN298" s="321"/>
      <c r="AO298" s="321"/>
      <c r="AP298" s="427"/>
      <c r="AQ298" s="321"/>
      <c r="AR298" s="321"/>
      <c r="AS298" s="321"/>
      <c r="AT298" s="321"/>
      <c r="AU298" s="136">
        <f t="shared" si="63"/>
        <v>6.1895109038712093E-4</v>
      </c>
      <c r="AV298" s="136">
        <f t="shared" si="74"/>
        <v>-3.230000000000059</v>
      </c>
      <c r="AW298" s="136">
        <f t="shared" si="64"/>
        <v>2.1648839251706487E-3</v>
      </c>
      <c r="AX298" s="136" t="e">
        <f t="shared" si="65"/>
        <v>#N/A</v>
      </c>
      <c r="AY298" s="136">
        <f t="shared" si="66"/>
        <v>-3.2300100000000591</v>
      </c>
      <c r="AZ298" s="136">
        <f t="shared" si="67"/>
        <v>-3.229990000000059</v>
      </c>
      <c r="BA298" s="136">
        <f t="shared" si="68"/>
        <v>4.1977806080410171E-2</v>
      </c>
      <c r="BB298" s="136">
        <f t="shared" si="69"/>
        <v>4.197826229727402E-2</v>
      </c>
      <c r="BC298" s="136" t="e">
        <f t="shared" si="70"/>
        <v>#N/A</v>
      </c>
      <c r="BD298" s="136">
        <f t="shared" si="75"/>
        <v>2.1648839251706487E-3</v>
      </c>
      <c r="BE298" s="136">
        <f t="shared" si="71"/>
        <v>1.1648839251706487E-3</v>
      </c>
      <c r="BF298" s="136" t="e">
        <f t="shared" si="72"/>
        <v>#N/A</v>
      </c>
      <c r="BG298" s="136" t="e">
        <f t="shared" si="73"/>
        <v>#N/A</v>
      </c>
    </row>
    <row r="299" spans="2:59" ht="11.25" customHeight="1">
      <c r="B299" s="321"/>
      <c r="C299" s="321"/>
      <c r="D299" s="321"/>
      <c r="E299" s="321"/>
      <c r="F299" s="321"/>
      <c r="G299" s="321"/>
      <c r="H299" s="321"/>
      <c r="I299" s="321"/>
      <c r="J299" s="321"/>
      <c r="K299" s="321"/>
      <c r="L299" s="321"/>
      <c r="M299" s="321"/>
      <c r="N299" s="321"/>
      <c r="O299" s="321"/>
      <c r="P299" s="321"/>
      <c r="Q299" s="321"/>
      <c r="R299" s="321"/>
      <c r="S299" s="321"/>
      <c r="T299" s="321"/>
      <c r="U299" s="321"/>
      <c r="V299" s="321"/>
      <c r="W299" s="321"/>
      <c r="X299" s="321"/>
      <c r="Y299" s="321"/>
      <c r="Z299" s="321"/>
      <c r="AA299" s="321"/>
      <c r="AB299" s="321"/>
      <c r="AC299" s="321"/>
      <c r="AD299" s="321"/>
      <c r="AE299" s="321"/>
      <c r="AF299" s="321"/>
      <c r="AG299" s="321"/>
      <c r="AH299" s="321"/>
      <c r="AI299" s="321"/>
      <c r="AJ299" s="321"/>
      <c r="AK299" s="321"/>
      <c r="AL299" s="321"/>
      <c r="AM299" s="321"/>
      <c r="AN299" s="321"/>
      <c r="AO299" s="321"/>
      <c r="AP299" s="427"/>
      <c r="AQ299" s="321"/>
      <c r="AR299" s="321"/>
      <c r="AS299" s="321"/>
      <c r="AT299" s="321"/>
      <c r="AU299" s="136">
        <f t="shared" si="63"/>
        <v>6.4095298366018127E-4</v>
      </c>
      <c r="AV299" s="136">
        <f t="shared" si="74"/>
        <v>-3.2200000000000593</v>
      </c>
      <c r="AW299" s="136">
        <f t="shared" si="64"/>
        <v>2.2358394396881131E-3</v>
      </c>
      <c r="AX299" s="136" t="e">
        <f t="shared" si="65"/>
        <v>#N/A</v>
      </c>
      <c r="AY299" s="136">
        <f t="shared" si="66"/>
        <v>-3.2200100000000593</v>
      </c>
      <c r="AZ299" s="136">
        <f t="shared" si="67"/>
        <v>-3.2199900000000592</v>
      </c>
      <c r="BA299" s="136">
        <f t="shared" si="68"/>
        <v>4.2206804585846448E-2</v>
      </c>
      <c r="BB299" s="136">
        <f t="shared" si="69"/>
        <v>4.2207264376048541E-2</v>
      </c>
      <c r="BC299" s="136" t="e">
        <f t="shared" si="70"/>
        <v>#N/A</v>
      </c>
      <c r="BD299" s="136">
        <f t="shared" si="75"/>
        <v>2.2358394396881131E-3</v>
      </c>
      <c r="BE299" s="136">
        <f t="shared" si="71"/>
        <v>1.235839439688113E-3</v>
      </c>
      <c r="BF299" s="136" t="e">
        <f t="shared" si="72"/>
        <v>#N/A</v>
      </c>
      <c r="BG299" s="136" t="e">
        <f t="shared" si="73"/>
        <v>#N/A</v>
      </c>
    </row>
    <row r="300" spans="2:59" ht="11.25" customHeight="1">
      <c r="B300" s="321"/>
      <c r="C300" s="321"/>
      <c r="D300" s="321"/>
      <c r="E300" s="321"/>
      <c r="F300" s="321"/>
      <c r="G300" s="321"/>
      <c r="H300" s="321"/>
      <c r="I300" s="321"/>
      <c r="J300" s="321"/>
      <c r="K300" s="321"/>
      <c r="L300" s="321"/>
      <c r="M300" s="321"/>
      <c r="N300" s="321"/>
      <c r="O300" s="321"/>
      <c r="P300" s="321"/>
      <c r="Q300" s="321"/>
      <c r="R300" s="321"/>
      <c r="S300" s="321"/>
      <c r="T300" s="321"/>
      <c r="U300" s="321"/>
      <c r="V300" s="321"/>
      <c r="W300" s="321"/>
      <c r="X300" s="321"/>
      <c r="Y300" s="321"/>
      <c r="Z300" s="321"/>
      <c r="AA300" s="321"/>
      <c r="AB300" s="321"/>
      <c r="AC300" s="321"/>
      <c r="AD300" s="321"/>
      <c r="AE300" s="321"/>
      <c r="AF300" s="321"/>
      <c r="AG300" s="321"/>
      <c r="AH300" s="321"/>
      <c r="AI300" s="321"/>
      <c r="AJ300" s="321"/>
      <c r="AK300" s="321"/>
      <c r="AL300" s="321"/>
      <c r="AM300" s="321"/>
      <c r="AN300" s="321"/>
      <c r="AO300" s="321"/>
      <c r="AP300" s="427"/>
      <c r="AQ300" s="321"/>
      <c r="AR300" s="321"/>
      <c r="AS300" s="321"/>
      <c r="AT300" s="321"/>
      <c r="AU300" s="136">
        <f t="shared" si="63"/>
        <v>6.6367486143981136E-4</v>
      </c>
      <c r="AV300" s="136">
        <f t="shared" si="74"/>
        <v>-3.2100000000000595</v>
      </c>
      <c r="AW300" s="136">
        <f t="shared" si="64"/>
        <v>2.3088896680060543E-3</v>
      </c>
      <c r="AX300" s="136" t="e">
        <f t="shared" si="65"/>
        <v>#N/A</v>
      </c>
      <c r="AY300" s="136">
        <f t="shared" si="66"/>
        <v>-3.2100100000000595</v>
      </c>
      <c r="AZ300" s="136">
        <f t="shared" si="67"/>
        <v>-3.2099900000000594</v>
      </c>
      <c r="BA300" s="136">
        <f t="shared" si="68"/>
        <v>4.2437598623542586E-2</v>
      </c>
      <c r="BB300" s="136">
        <f t="shared" si="69"/>
        <v>4.2438062022676054E-2</v>
      </c>
      <c r="BC300" s="136" t="e">
        <f t="shared" si="70"/>
        <v>#N/A</v>
      </c>
      <c r="BD300" s="136">
        <f t="shared" si="75"/>
        <v>2.3088896680060543E-3</v>
      </c>
      <c r="BE300" s="136">
        <f t="shared" si="71"/>
        <v>1.3088896680060543E-3</v>
      </c>
      <c r="BF300" s="136" t="e">
        <f t="shared" si="72"/>
        <v>#N/A</v>
      </c>
      <c r="BG300" s="136" t="e">
        <f t="shared" si="73"/>
        <v>#N/A</v>
      </c>
    </row>
    <row r="301" spans="2:59" ht="11.25" customHeight="1">
      <c r="B301" s="321"/>
      <c r="C301" s="321"/>
      <c r="D301" s="321"/>
      <c r="E301" s="321"/>
      <c r="F301" s="321"/>
      <c r="G301" s="321"/>
      <c r="H301" s="321"/>
      <c r="I301" s="321"/>
      <c r="J301" s="321"/>
      <c r="K301" s="321"/>
      <c r="L301" s="321"/>
      <c r="M301" s="321"/>
      <c r="N301" s="321"/>
      <c r="O301" s="321"/>
      <c r="P301" s="321"/>
      <c r="Q301" s="321"/>
      <c r="R301" s="321"/>
      <c r="S301" s="321"/>
      <c r="T301" s="321"/>
      <c r="U301" s="321"/>
      <c r="V301" s="321"/>
      <c r="W301" s="321"/>
      <c r="X301" s="321"/>
      <c r="Y301" s="321"/>
      <c r="Z301" s="321"/>
      <c r="AA301" s="321"/>
      <c r="AB301" s="321"/>
      <c r="AC301" s="321"/>
      <c r="AD301" s="321"/>
      <c r="AE301" s="321"/>
      <c r="AF301" s="321"/>
      <c r="AG301" s="321"/>
      <c r="AH301" s="321"/>
      <c r="AI301" s="321"/>
      <c r="AJ301" s="321"/>
      <c r="AK301" s="321"/>
      <c r="AL301" s="321"/>
      <c r="AM301" s="321"/>
      <c r="AN301" s="321"/>
      <c r="AO301" s="321"/>
      <c r="AP301" s="427"/>
      <c r="AQ301" s="321"/>
      <c r="AR301" s="321"/>
      <c r="AS301" s="321"/>
      <c r="AT301" s="321"/>
      <c r="AU301" s="136">
        <f t="shared" si="63"/>
        <v>6.8713793791563837E-4</v>
      </c>
      <c r="AV301" s="136">
        <f t="shared" si="74"/>
        <v>-3.2000000000000597</v>
      </c>
      <c r="AW301" s="136">
        <f t="shared" si="64"/>
        <v>2.3840882014643868E-3</v>
      </c>
      <c r="AX301" s="136" t="e">
        <f t="shared" si="65"/>
        <v>#N/A</v>
      </c>
      <c r="AY301" s="136">
        <f t="shared" si="66"/>
        <v>-3.2000100000000598</v>
      </c>
      <c r="AZ301" s="136">
        <f t="shared" si="67"/>
        <v>-3.1999900000000596</v>
      </c>
      <c r="BA301" s="136">
        <f t="shared" si="68"/>
        <v>4.2670206094401322E-2</v>
      </c>
      <c r="BB301" s="136">
        <f t="shared" si="69"/>
        <v>4.2670673138478367E-2</v>
      </c>
      <c r="BC301" s="136" t="e">
        <f t="shared" si="70"/>
        <v>#N/A</v>
      </c>
      <c r="BD301" s="136">
        <f t="shared" si="75"/>
        <v>2.3840882014643868E-3</v>
      </c>
      <c r="BE301" s="136">
        <f t="shared" si="71"/>
        <v>1.3840882014643867E-3</v>
      </c>
      <c r="BF301" s="136" t="e">
        <f t="shared" si="72"/>
        <v>#N/A</v>
      </c>
      <c r="BG301" s="136" t="e">
        <f t="shared" si="73"/>
        <v>#N/A</v>
      </c>
    </row>
    <row r="302" spans="2:59" ht="11.25" customHeight="1">
      <c r="B302" s="321"/>
      <c r="C302" s="321"/>
      <c r="D302" s="321"/>
      <c r="E302" s="321"/>
      <c r="F302" s="321"/>
      <c r="G302" s="321"/>
      <c r="H302" s="321"/>
      <c r="I302" s="321"/>
      <c r="J302" s="321"/>
      <c r="K302" s="321"/>
      <c r="L302" s="321"/>
      <c r="M302" s="321"/>
      <c r="N302" s="321"/>
      <c r="O302" s="321"/>
      <c r="P302" s="321"/>
      <c r="Q302" s="321"/>
      <c r="R302" s="321"/>
      <c r="S302" s="321"/>
      <c r="T302" s="321"/>
      <c r="U302" s="321"/>
      <c r="V302" s="321"/>
      <c r="W302" s="321"/>
      <c r="X302" s="321"/>
      <c r="Y302" s="321"/>
      <c r="Z302" s="321"/>
      <c r="AA302" s="321"/>
      <c r="AB302" s="321"/>
      <c r="AC302" s="321"/>
      <c r="AD302" s="321"/>
      <c r="AE302" s="321"/>
      <c r="AF302" s="321"/>
      <c r="AG302" s="321"/>
      <c r="AH302" s="321"/>
      <c r="AI302" s="321"/>
      <c r="AJ302" s="321"/>
      <c r="AK302" s="321"/>
      <c r="AL302" s="321"/>
      <c r="AM302" s="321"/>
      <c r="AN302" s="321"/>
      <c r="AO302" s="321"/>
      <c r="AP302" s="427"/>
      <c r="AQ302" s="321"/>
      <c r="AR302" s="321"/>
      <c r="AS302" s="321"/>
      <c r="AT302" s="321"/>
      <c r="AU302" s="136">
        <f t="shared" si="63"/>
        <v>7.1136396864512896E-4</v>
      </c>
      <c r="AV302" s="136">
        <f t="shared" si="74"/>
        <v>-3.1900000000000599</v>
      </c>
      <c r="AW302" s="136">
        <f t="shared" si="64"/>
        <v>2.4614897246402301E-3</v>
      </c>
      <c r="AX302" s="136" t="e">
        <f t="shared" si="65"/>
        <v>#N/A</v>
      </c>
      <c r="AY302" s="136">
        <f t="shared" si="66"/>
        <v>-3.19001000000006</v>
      </c>
      <c r="AZ302" s="136">
        <f t="shared" si="67"/>
        <v>-3.1899900000000598</v>
      </c>
      <c r="BA302" s="136">
        <f t="shared" si="68"/>
        <v>4.2904645110248406E-2</v>
      </c>
      <c r="BB302" s="136">
        <f t="shared" si="69"/>
        <v>4.290511583570595E-2</v>
      </c>
      <c r="BC302" s="136" t="e">
        <f t="shared" si="70"/>
        <v>#N/A</v>
      </c>
      <c r="BD302" s="136">
        <f t="shared" si="75"/>
        <v>2.4614897246402301E-3</v>
      </c>
      <c r="BE302" s="136">
        <f t="shared" si="71"/>
        <v>1.46148972464023E-3</v>
      </c>
      <c r="BF302" s="136" t="e">
        <f t="shared" si="72"/>
        <v>#N/A</v>
      </c>
      <c r="BG302" s="136" t="e">
        <f t="shared" si="73"/>
        <v>#N/A</v>
      </c>
    </row>
    <row r="303" spans="2:59" ht="11.25" customHeight="1">
      <c r="B303" s="321"/>
      <c r="C303" s="321"/>
      <c r="D303" s="321"/>
      <c r="E303" s="321"/>
      <c r="F303" s="321"/>
      <c r="G303" s="321"/>
      <c r="H303" s="321"/>
      <c r="I303" s="321"/>
      <c r="J303" s="321"/>
      <c r="K303" s="321"/>
      <c r="L303" s="321"/>
      <c r="M303" s="321"/>
      <c r="N303" s="321"/>
      <c r="O303" s="321"/>
      <c r="P303" s="321"/>
      <c r="Q303" s="321"/>
      <c r="R303" s="321"/>
      <c r="S303" s="321"/>
      <c r="T303" s="321"/>
      <c r="U303" s="321"/>
      <c r="V303" s="321"/>
      <c r="W303" s="321"/>
      <c r="X303" s="321"/>
      <c r="Y303" s="321"/>
      <c r="Z303" s="321"/>
      <c r="AA303" s="321"/>
      <c r="AB303" s="321"/>
      <c r="AC303" s="321"/>
      <c r="AD303" s="321"/>
      <c r="AE303" s="321"/>
      <c r="AF303" s="321"/>
      <c r="AG303" s="321"/>
      <c r="AH303" s="321"/>
      <c r="AI303" s="321"/>
      <c r="AJ303" s="321"/>
      <c r="AK303" s="321"/>
      <c r="AL303" s="321"/>
      <c r="AM303" s="321"/>
      <c r="AN303" s="321"/>
      <c r="AO303" s="321"/>
      <c r="AP303" s="427"/>
      <c r="AQ303" s="321"/>
      <c r="AR303" s="321"/>
      <c r="AS303" s="321"/>
      <c r="AT303" s="321"/>
      <c r="AU303" s="136">
        <f t="shared" si="63"/>
        <v>7.3637526155378996E-4</v>
      </c>
      <c r="AV303" s="136">
        <f t="shared" si="74"/>
        <v>-3.1800000000000601</v>
      </c>
      <c r="AW303" s="136">
        <f t="shared" si="64"/>
        <v>2.5411500287260357E-3</v>
      </c>
      <c r="AX303" s="136" t="e">
        <f t="shared" si="65"/>
        <v>#N/A</v>
      </c>
      <c r="AY303" s="136">
        <f t="shared" si="66"/>
        <v>-3.1800100000000602</v>
      </c>
      <c r="AZ303" s="136">
        <f t="shared" si="67"/>
        <v>-3.17999000000006</v>
      </c>
      <c r="BA303" s="136">
        <f t="shared" si="68"/>
        <v>4.3140933996609364E-2</v>
      </c>
      <c r="BB303" s="136">
        <f t="shared" si="69"/>
        <v>4.3141408440314409E-2</v>
      </c>
      <c r="BC303" s="136" t="e">
        <f t="shared" si="70"/>
        <v>#N/A</v>
      </c>
      <c r="BD303" s="136">
        <f t="shared" si="75"/>
        <v>2.5411500287260357E-3</v>
      </c>
      <c r="BE303" s="136">
        <f t="shared" si="71"/>
        <v>1.5411500287260357E-3</v>
      </c>
      <c r="BF303" s="136" t="e">
        <f t="shared" si="72"/>
        <v>#N/A</v>
      </c>
      <c r="BG303" s="136" t="e">
        <f t="shared" si="73"/>
        <v>#N/A</v>
      </c>
    </row>
    <row r="304" spans="2:59" ht="11.25" customHeight="1">
      <c r="B304" s="321"/>
      <c r="C304" s="321"/>
      <c r="D304" s="321"/>
      <c r="E304" s="321"/>
      <c r="F304" s="321"/>
      <c r="G304" s="321"/>
      <c r="H304" s="321"/>
      <c r="I304" s="321"/>
      <c r="J304" s="321"/>
      <c r="K304" s="321"/>
      <c r="L304" s="321"/>
      <c r="M304" s="321"/>
      <c r="N304" s="321"/>
      <c r="O304" s="321"/>
      <c r="P304" s="321"/>
      <c r="Q304" s="321"/>
      <c r="R304" s="321"/>
      <c r="S304" s="321"/>
      <c r="T304" s="321"/>
      <c r="U304" s="321"/>
      <c r="V304" s="321"/>
      <c r="W304" s="321"/>
      <c r="X304" s="321"/>
      <c r="Y304" s="321"/>
      <c r="Z304" s="321"/>
      <c r="AA304" s="321"/>
      <c r="AB304" s="321"/>
      <c r="AC304" s="321"/>
      <c r="AD304" s="321"/>
      <c r="AE304" s="321"/>
      <c r="AF304" s="321"/>
      <c r="AG304" s="321"/>
      <c r="AH304" s="321"/>
      <c r="AI304" s="321"/>
      <c r="AJ304" s="321"/>
      <c r="AK304" s="321"/>
      <c r="AL304" s="321"/>
      <c r="AM304" s="321"/>
      <c r="AN304" s="321"/>
      <c r="AO304" s="321"/>
      <c r="AP304" s="427"/>
      <c r="AQ304" s="321"/>
      <c r="AR304" s="321"/>
      <c r="AS304" s="321"/>
      <c r="AT304" s="321"/>
      <c r="AU304" s="136">
        <f t="shared" si="63"/>
        <v>7.6219468806670854E-4</v>
      </c>
      <c r="AV304" s="136">
        <f t="shared" si="74"/>
        <v>-3.1700000000000603</v>
      </c>
      <c r="AW304" s="136">
        <f t="shared" si="64"/>
        <v>2.6231260247805235E-3</v>
      </c>
      <c r="AX304" s="136" t="e">
        <f t="shared" si="65"/>
        <v>#N/A</v>
      </c>
      <c r="AY304" s="136">
        <f t="shared" si="66"/>
        <v>-3.1700100000000604</v>
      </c>
      <c r="AZ304" s="136">
        <f t="shared" si="67"/>
        <v>-3.1699900000000603</v>
      </c>
      <c r="BA304" s="136">
        <f t="shared" si="68"/>
        <v>4.337909129552403E-2</v>
      </c>
      <c r="BB304" s="136">
        <f t="shared" si="69"/>
        <v>4.337956949477953E-2</v>
      </c>
      <c r="BC304" s="136" t="e">
        <f t="shared" si="70"/>
        <v>#N/A</v>
      </c>
      <c r="BD304" s="136">
        <f t="shared" si="75"/>
        <v>2.6231260247805235E-3</v>
      </c>
      <c r="BE304" s="136">
        <f t="shared" si="71"/>
        <v>1.6231260247805235E-3</v>
      </c>
      <c r="BF304" s="136" t="e">
        <f t="shared" si="72"/>
        <v>#N/A</v>
      </c>
      <c r="BG304" s="136" t="e">
        <f t="shared" si="73"/>
        <v>#N/A</v>
      </c>
    </row>
    <row r="305" spans="2:59" ht="11.25" customHeight="1">
      <c r="B305" s="321"/>
      <c r="C305" s="321"/>
      <c r="D305" s="321"/>
      <c r="E305" s="321"/>
      <c r="F305" s="321"/>
      <c r="G305" s="321"/>
      <c r="H305" s="321"/>
      <c r="I305" s="321"/>
      <c r="J305" s="321"/>
      <c r="K305" s="321"/>
      <c r="L305" s="321"/>
      <c r="M305" s="321"/>
      <c r="N305" s="321"/>
      <c r="O305" s="321"/>
      <c r="P305" s="321"/>
      <c r="Q305" s="321"/>
      <c r="R305" s="321"/>
      <c r="S305" s="321"/>
      <c r="T305" s="321"/>
      <c r="U305" s="321"/>
      <c r="V305" s="321"/>
      <c r="W305" s="321"/>
      <c r="X305" s="321"/>
      <c r="Y305" s="321"/>
      <c r="Z305" s="321"/>
      <c r="AA305" s="321"/>
      <c r="AB305" s="321"/>
      <c r="AC305" s="321"/>
      <c r="AD305" s="321"/>
      <c r="AE305" s="321"/>
      <c r="AF305" s="321"/>
      <c r="AG305" s="321"/>
      <c r="AH305" s="321"/>
      <c r="AI305" s="321"/>
      <c r="AJ305" s="321"/>
      <c r="AK305" s="321"/>
      <c r="AL305" s="321"/>
      <c r="AM305" s="321"/>
      <c r="AN305" s="321"/>
      <c r="AO305" s="321"/>
      <c r="AP305" s="427"/>
      <c r="AQ305" s="321"/>
      <c r="AR305" s="321"/>
      <c r="AS305" s="321"/>
      <c r="AT305" s="321"/>
      <c r="AU305" s="136">
        <f t="shared" si="63"/>
        <v>7.8884569437609464E-4</v>
      </c>
      <c r="AV305" s="136">
        <f t="shared" si="74"/>
        <v>-3.1600000000000605</v>
      </c>
      <c r="AW305" s="136">
        <f t="shared" si="64"/>
        <v>2.7074757568401851E-3</v>
      </c>
      <c r="AX305" s="136" t="e">
        <f t="shared" si="65"/>
        <v>#N/A</v>
      </c>
      <c r="AY305" s="136">
        <f t="shared" si="66"/>
        <v>-3.1600100000000606</v>
      </c>
      <c r="AZ305" s="136">
        <f t="shared" si="67"/>
        <v>-3.1599900000000605</v>
      </c>
      <c r="BA305" s="136">
        <f t="shared" si="68"/>
        <v>4.3619135768400687E-2</v>
      </c>
      <c r="BB305" s="136">
        <f t="shared" si="69"/>
        <v>4.361961776095117E-2</v>
      </c>
      <c r="BC305" s="136" t="e">
        <f t="shared" si="70"/>
        <v>#N/A</v>
      </c>
      <c r="BD305" s="136">
        <f t="shared" si="75"/>
        <v>2.7074757568401851E-3</v>
      </c>
      <c r="BE305" s="136">
        <f t="shared" si="71"/>
        <v>1.7074757568401851E-3</v>
      </c>
      <c r="BF305" s="136" t="e">
        <f t="shared" si="72"/>
        <v>#N/A</v>
      </c>
      <c r="BG305" s="136" t="e">
        <f t="shared" si="73"/>
        <v>#N/A</v>
      </c>
    </row>
    <row r="306" spans="2:59" ht="11.25" customHeight="1">
      <c r="B306" s="321"/>
      <c r="C306" s="321"/>
      <c r="D306" s="321"/>
      <c r="E306" s="321"/>
      <c r="F306" s="321"/>
      <c r="G306" s="321"/>
      <c r="H306" s="321"/>
      <c r="I306" s="321"/>
      <c r="J306" s="321"/>
      <c r="K306" s="321"/>
      <c r="L306" s="321"/>
      <c r="M306" s="321"/>
      <c r="N306" s="321"/>
      <c r="O306" s="321"/>
      <c r="P306" s="321"/>
      <c r="Q306" s="321"/>
      <c r="R306" s="321"/>
      <c r="S306" s="321"/>
      <c r="T306" s="321"/>
      <c r="U306" s="321"/>
      <c r="V306" s="321"/>
      <c r="W306" s="321"/>
      <c r="X306" s="321"/>
      <c r="Y306" s="321"/>
      <c r="Z306" s="321"/>
      <c r="AA306" s="321"/>
      <c r="AB306" s="321"/>
      <c r="AC306" s="321"/>
      <c r="AD306" s="321"/>
      <c r="AE306" s="321"/>
      <c r="AF306" s="321"/>
      <c r="AG306" s="321"/>
      <c r="AH306" s="321"/>
      <c r="AI306" s="321"/>
      <c r="AJ306" s="321"/>
      <c r="AK306" s="321"/>
      <c r="AL306" s="321"/>
      <c r="AM306" s="321"/>
      <c r="AN306" s="321"/>
      <c r="AO306" s="321"/>
      <c r="AP306" s="427"/>
      <c r="AQ306" s="321"/>
      <c r="AR306" s="321"/>
      <c r="AS306" s="321"/>
      <c r="AT306" s="321"/>
      <c r="AU306" s="136">
        <f t="shared" si="63"/>
        <v>8.1635231282861653E-4</v>
      </c>
      <c r="AV306" s="136">
        <f t="shared" si="74"/>
        <v>-3.1500000000000608</v>
      </c>
      <c r="AW306" s="136">
        <f t="shared" si="64"/>
        <v>2.7942584148789107E-3</v>
      </c>
      <c r="AX306" s="136" t="e">
        <f t="shared" si="65"/>
        <v>#N/A</v>
      </c>
      <c r="AY306" s="136">
        <f t="shared" si="66"/>
        <v>-3.1500100000000608</v>
      </c>
      <c r="AZ306" s="136">
        <f t="shared" si="67"/>
        <v>-3.1499900000000607</v>
      </c>
      <c r="BA306" s="136">
        <f t="shared" si="68"/>
        <v>4.3861086398909274E-2</v>
      </c>
      <c r="BB306" s="136">
        <f t="shared" si="69"/>
        <v>4.3861572222946746E-2</v>
      </c>
      <c r="BC306" s="136" t="e">
        <f t="shared" si="70"/>
        <v>#N/A</v>
      </c>
      <c r="BD306" s="136">
        <f t="shared" si="75"/>
        <v>2.7942584148789107E-3</v>
      </c>
      <c r="BE306" s="136">
        <f t="shared" si="71"/>
        <v>1.7942584148789107E-3</v>
      </c>
      <c r="BF306" s="136" t="e">
        <f t="shared" si="72"/>
        <v>#N/A</v>
      </c>
      <c r="BG306" s="136" t="e">
        <f t="shared" si="73"/>
        <v>#N/A</v>
      </c>
    </row>
    <row r="307" spans="2:59" ht="11.25" customHeight="1">
      <c r="B307" s="321"/>
      <c r="C307" s="321"/>
      <c r="D307" s="321"/>
      <c r="E307" s="321"/>
      <c r="F307" s="321"/>
      <c r="G307" s="321"/>
      <c r="H307" s="321"/>
      <c r="I307" s="321"/>
      <c r="J307" s="321"/>
      <c r="K307" s="321"/>
      <c r="L307" s="321"/>
      <c r="M307" s="321"/>
      <c r="N307" s="321"/>
      <c r="O307" s="321"/>
      <c r="P307" s="321"/>
      <c r="Q307" s="321"/>
      <c r="R307" s="321"/>
      <c r="S307" s="321"/>
      <c r="T307" s="321"/>
      <c r="U307" s="321"/>
      <c r="V307" s="321"/>
      <c r="W307" s="321"/>
      <c r="X307" s="321"/>
      <c r="Y307" s="321"/>
      <c r="Z307" s="321"/>
      <c r="AA307" s="321"/>
      <c r="AB307" s="321"/>
      <c r="AC307" s="321"/>
      <c r="AD307" s="321"/>
      <c r="AE307" s="321"/>
      <c r="AF307" s="321"/>
      <c r="AG307" s="321"/>
      <c r="AH307" s="321"/>
      <c r="AI307" s="321"/>
      <c r="AJ307" s="321"/>
      <c r="AK307" s="321"/>
      <c r="AL307" s="321"/>
      <c r="AM307" s="321"/>
      <c r="AN307" s="321"/>
      <c r="AO307" s="321"/>
      <c r="AP307" s="427"/>
      <c r="AQ307" s="321"/>
      <c r="AR307" s="321"/>
      <c r="AS307" s="321"/>
      <c r="AT307" s="321"/>
      <c r="AU307" s="136">
        <f t="shared" si="63"/>
        <v>8.4473917345850857E-4</v>
      </c>
      <c r="AV307" s="136">
        <f t="shared" si="74"/>
        <v>-3.140000000000061</v>
      </c>
      <c r="AW307" s="136">
        <f t="shared" si="64"/>
        <v>2.883534347602888E-3</v>
      </c>
      <c r="AX307" s="136" t="e">
        <f t="shared" si="65"/>
        <v>#N/A</v>
      </c>
      <c r="AY307" s="136">
        <f t="shared" si="66"/>
        <v>-3.140010000000061</v>
      </c>
      <c r="AZ307" s="136">
        <f t="shared" si="67"/>
        <v>-3.1399900000000609</v>
      </c>
      <c r="BA307" s="136">
        <f t="shared" si="68"/>
        <v>4.4104962395915076E-2</v>
      </c>
      <c r="BB307" s="136">
        <f t="shared" si="69"/>
        <v>4.4105452090084901E-2</v>
      </c>
      <c r="BC307" s="136" t="e">
        <f t="shared" si="70"/>
        <v>#N/A</v>
      </c>
      <c r="BD307" s="136">
        <f t="shared" si="75"/>
        <v>2.883534347602888E-3</v>
      </c>
      <c r="BE307" s="136">
        <f t="shared" si="71"/>
        <v>1.883534347602888E-3</v>
      </c>
      <c r="BF307" s="136" t="e">
        <f t="shared" si="72"/>
        <v>#N/A</v>
      </c>
      <c r="BG307" s="136" t="e">
        <f t="shared" si="73"/>
        <v>#N/A</v>
      </c>
    </row>
    <row r="308" spans="2:59" ht="11.25" customHeight="1">
      <c r="B308" s="321"/>
      <c r="C308" s="321"/>
      <c r="D308" s="321"/>
      <c r="E308" s="321"/>
      <c r="F308" s="321"/>
      <c r="G308" s="321"/>
      <c r="H308" s="321"/>
      <c r="I308" s="321"/>
      <c r="J308" s="321"/>
      <c r="K308" s="321"/>
      <c r="L308" s="321"/>
      <c r="M308" s="321"/>
      <c r="N308" s="321"/>
      <c r="O308" s="321"/>
      <c r="P308" s="321"/>
      <c r="Q308" s="321"/>
      <c r="R308" s="321"/>
      <c r="S308" s="321"/>
      <c r="T308" s="321"/>
      <c r="U308" s="321"/>
      <c r="V308" s="321"/>
      <c r="W308" s="321"/>
      <c r="X308" s="321"/>
      <c r="Y308" s="321"/>
      <c r="Z308" s="321"/>
      <c r="AA308" s="321"/>
      <c r="AB308" s="321"/>
      <c r="AC308" s="321"/>
      <c r="AD308" s="321"/>
      <c r="AE308" s="321"/>
      <c r="AF308" s="321"/>
      <c r="AG308" s="321"/>
      <c r="AH308" s="321"/>
      <c r="AI308" s="321"/>
      <c r="AJ308" s="321"/>
      <c r="AK308" s="321"/>
      <c r="AL308" s="321"/>
      <c r="AM308" s="321"/>
      <c r="AN308" s="321"/>
      <c r="AO308" s="321"/>
      <c r="AP308" s="427"/>
      <c r="AQ308" s="321"/>
      <c r="AR308" s="321"/>
      <c r="AS308" s="321"/>
      <c r="AT308" s="321"/>
      <c r="AU308" s="136">
        <f t="shared" si="63"/>
        <v>8.7403151563103521E-4</v>
      </c>
      <c r="AV308" s="136">
        <f t="shared" si="74"/>
        <v>-3.1300000000000612</v>
      </c>
      <c r="AW308" s="136">
        <f t="shared" si="64"/>
        <v>2.9753650750676823E-3</v>
      </c>
      <c r="AX308" s="136" t="e">
        <f t="shared" si="65"/>
        <v>#N/A</v>
      </c>
      <c r="AY308" s="136">
        <f t="shared" si="66"/>
        <v>-3.1300100000000612</v>
      </c>
      <c r="AZ308" s="136">
        <f t="shared" si="67"/>
        <v>-3.1299900000000611</v>
      </c>
      <c r="BA308" s="136">
        <f t="shared" si="68"/>
        <v>4.4350783196452644E-2</v>
      </c>
      <c r="BB308" s="136">
        <f t="shared" si="69"/>
        <v>4.4351276799859486E-2</v>
      </c>
      <c r="BC308" s="136" t="e">
        <f t="shared" si="70"/>
        <v>#N/A</v>
      </c>
      <c r="BD308" s="136">
        <f t="shared" si="75"/>
        <v>2.9753650750676823E-3</v>
      </c>
      <c r="BE308" s="136">
        <f t="shared" si="71"/>
        <v>1.9753650750676823E-3</v>
      </c>
      <c r="BF308" s="136" t="e">
        <f t="shared" si="72"/>
        <v>#N/A</v>
      </c>
      <c r="BG308" s="136" t="e">
        <f t="shared" si="73"/>
        <v>#N/A</v>
      </c>
    </row>
    <row r="309" spans="2:59" ht="11.25" customHeight="1">
      <c r="B309" s="321"/>
      <c r="C309" s="321"/>
      <c r="D309" s="321"/>
      <c r="E309" s="321"/>
      <c r="F309" s="321"/>
      <c r="G309" s="321"/>
      <c r="H309" s="321"/>
      <c r="I309" s="321"/>
      <c r="J309" s="321"/>
      <c r="K309" s="321"/>
      <c r="L309" s="321"/>
      <c r="M309" s="321"/>
      <c r="N309" s="321"/>
      <c r="O309" s="321"/>
      <c r="P309" s="321"/>
      <c r="Q309" s="321"/>
      <c r="R309" s="321"/>
      <c r="S309" s="321"/>
      <c r="T309" s="321"/>
      <c r="U309" s="321"/>
      <c r="V309" s="321"/>
      <c r="W309" s="321"/>
      <c r="X309" s="321"/>
      <c r="Y309" s="321"/>
      <c r="Z309" s="321"/>
      <c r="AA309" s="321"/>
      <c r="AB309" s="321"/>
      <c r="AC309" s="321"/>
      <c r="AD309" s="321"/>
      <c r="AE309" s="321"/>
      <c r="AF309" s="321"/>
      <c r="AG309" s="321"/>
      <c r="AH309" s="321"/>
      <c r="AI309" s="321"/>
      <c r="AJ309" s="321"/>
      <c r="AK309" s="321"/>
      <c r="AL309" s="321"/>
      <c r="AM309" s="321"/>
      <c r="AN309" s="321"/>
      <c r="AO309" s="321"/>
      <c r="AP309" s="427"/>
      <c r="AQ309" s="321"/>
      <c r="AR309" s="321"/>
      <c r="AS309" s="321"/>
      <c r="AT309" s="321"/>
      <c r="AU309" s="136">
        <f t="shared" si="63"/>
        <v>9.0425519982173519E-4</v>
      </c>
      <c r="AV309" s="136">
        <f t="shared" si="74"/>
        <v>-3.1200000000000614</v>
      </c>
      <c r="AW309" s="136">
        <f t="shared" si="64"/>
        <v>3.069813301104154E-3</v>
      </c>
      <c r="AX309" s="136" t="e">
        <f t="shared" si="65"/>
        <v>#N/A</v>
      </c>
      <c r="AY309" s="136">
        <f t="shared" si="66"/>
        <v>-3.1200100000000615</v>
      </c>
      <c r="AZ309" s="136">
        <f t="shared" si="67"/>
        <v>-3.1199900000000613</v>
      </c>
      <c r="BA309" s="136">
        <f t="shared" si="68"/>
        <v>4.4598568468740822E-2</v>
      </c>
      <c r="BB309" s="136">
        <f t="shared" si="69"/>
        <v>4.4599066020954863E-2</v>
      </c>
      <c r="BC309" s="136" t="e">
        <f t="shared" si="70"/>
        <v>#N/A</v>
      </c>
      <c r="BD309" s="136">
        <f t="shared" si="75"/>
        <v>3.069813301104154E-3</v>
      </c>
      <c r="BE309" s="136">
        <f t="shared" si="71"/>
        <v>2.069813301104154E-3</v>
      </c>
      <c r="BF309" s="136" t="e">
        <f t="shared" si="72"/>
        <v>#N/A</v>
      </c>
      <c r="BG309" s="136" t="e">
        <f t="shared" si="73"/>
        <v>#N/A</v>
      </c>
    </row>
    <row r="310" spans="2:59" ht="11.25" customHeight="1">
      <c r="B310" s="321"/>
      <c r="C310" s="321"/>
      <c r="D310" s="321"/>
      <c r="E310" s="321"/>
      <c r="F310" s="321"/>
      <c r="G310" s="321"/>
      <c r="H310" s="321"/>
      <c r="I310" s="321"/>
      <c r="J310" s="321"/>
      <c r="K310" s="321"/>
      <c r="L310" s="321"/>
      <c r="M310" s="321"/>
      <c r="N310" s="321"/>
      <c r="O310" s="321"/>
      <c r="P310" s="321"/>
      <c r="Q310" s="321"/>
      <c r="R310" s="321"/>
      <c r="S310" s="321"/>
      <c r="T310" s="321"/>
      <c r="U310" s="321"/>
      <c r="V310" s="321"/>
      <c r="W310" s="321"/>
      <c r="X310" s="321"/>
      <c r="Y310" s="321"/>
      <c r="Z310" s="321"/>
      <c r="AA310" s="321"/>
      <c r="AB310" s="321"/>
      <c r="AC310" s="321"/>
      <c r="AD310" s="321"/>
      <c r="AE310" s="321"/>
      <c r="AF310" s="321"/>
      <c r="AG310" s="321"/>
      <c r="AH310" s="321"/>
      <c r="AI310" s="321"/>
      <c r="AJ310" s="321"/>
      <c r="AK310" s="321"/>
      <c r="AL310" s="321"/>
      <c r="AM310" s="321"/>
      <c r="AN310" s="321"/>
      <c r="AO310" s="321"/>
      <c r="AP310" s="427"/>
      <c r="AQ310" s="321"/>
      <c r="AR310" s="321"/>
      <c r="AS310" s="321"/>
      <c r="AT310" s="321"/>
      <c r="AU310" s="136">
        <f t="shared" si="63"/>
        <v>9.3543671951401564E-4</v>
      </c>
      <c r="AV310" s="136">
        <f t="shared" si="74"/>
        <v>-3.1100000000000616</v>
      </c>
      <c r="AW310" s="136">
        <f t="shared" si="64"/>
        <v>3.1669429255394704E-3</v>
      </c>
      <c r="AX310" s="136" t="e">
        <f t="shared" si="65"/>
        <v>#N/A</v>
      </c>
      <c r="AY310" s="136">
        <f t="shared" si="66"/>
        <v>-3.1100100000000617</v>
      </c>
      <c r="AZ310" s="136">
        <f t="shared" si="67"/>
        <v>-3.1099900000000615</v>
      </c>
      <c r="BA310" s="136">
        <f t="shared" si="68"/>
        <v>4.484833811523975E-2</v>
      </c>
      <c r="BB310" s="136">
        <f t="shared" si="69"/>
        <v>4.484883965630266E-2</v>
      </c>
      <c r="BC310" s="136" t="e">
        <f t="shared" si="70"/>
        <v>#N/A</v>
      </c>
      <c r="BD310" s="136">
        <f t="shared" si="75"/>
        <v>3.1669429255394704E-3</v>
      </c>
      <c r="BE310" s="136">
        <f t="shared" si="71"/>
        <v>2.1669429255394704E-3</v>
      </c>
      <c r="BF310" s="136" t="e">
        <f t="shared" si="72"/>
        <v>#N/A</v>
      </c>
      <c r="BG310" s="136" t="e">
        <f t="shared" si="73"/>
        <v>#N/A</v>
      </c>
    </row>
    <row r="311" spans="2:59" ht="11.25" customHeight="1">
      <c r="B311" s="321"/>
      <c r="C311" s="321"/>
      <c r="D311" s="321"/>
      <c r="E311" s="321"/>
      <c r="F311" s="321"/>
      <c r="G311" s="321"/>
      <c r="H311" s="321"/>
      <c r="I311" s="321"/>
      <c r="J311" s="321"/>
      <c r="K311" s="321"/>
      <c r="L311" s="321"/>
      <c r="M311" s="321"/>
      <c r="N311" s="321"/>
      <c r="O311" s="321"/>
      <c r="P311" s="321"/>
      <c r="Q311" s="321"/>
      <c r="R311" s="321"/>
      <c r="S311" s="321"/>
      <c r="T311" s="321"/>
      <c r="U311" s="321"/>
      <c r="V311" s="321"/>
      <c r="W311" s="321"/>
      <c r="X311" s="321"/>
      <c r="Y311" s="321"/>
      <c r="Z311" s="321"/>
      <c r="AA311" s="321"/>
      <c r="AB311" s="321"/>
      <c r="AC311" s="321"/>
      <c r="AD311" s="321"/>
      <c r="AE311" s="321"/>
      <c r="AF311" s="321"/>
      <c r="AG311" s="321"/>
      <c r="AH311" s="321"/>
      <c r="AI311" s="321"/>
      <c r="AJ311" s="321"/>
      <c r="AK311" s="321"/>
      <c r="AL311" s="321"/>
      <c r="AM311" s="321"/>
      <c r="AN311" s="321"/>
      <c r="AO311" s="321"/>
      <c r="AP311" s="427"/>
      <c r="AQ311" s="321"/>
      <c r="AR311" s="321"/>
      <c r="AS311" s="321"/>
      <c r="AT311" s="321"/>
      <c r="AU311" s="136">
        <f t="shared" si="63"/>
        <v>9.6760321321798237E-4</v>
      </c>
      <c r="AV311" s="136">
        <f t="shared" si="74"/>
        <v>-3.1000000000000618</v>
      </c>
      <c r="AW311" s="136">
        <f t="shared" si="64"/>
        <v>3.2668190561992946E-3</v>
      </c>
      <c r="AX311" s="136" t="e">
        <f t="shared" si="65"/>
        <v>#N/A</v>
      </c>
      <c r="AY311" s="136">
        <f t="shared" si="66"/>
        <v>-3.1000100000000619</v>
      </c>
      <c r="AZ311" s="136">
        <f t="shared" si="67"/>
        <v>-3.0999900000000618</v>
      </c>
      <c r="BA311" s="136">
        <f t="shared" si="68"/>
        <v>4.5100112275749581E-2</v>
      </c>
      <c r="BB311" s="136">
        <f t="shared" si="69"/>
        <v>4.5100617846180836E-2</v>
      </c>
      <c r="BC311" s="136" t="e">
        <f t="shared" si="70"/>
        <v>#N/A</v>
      </c>
      <c r="BD311" s="136">
        <f t="shared" si="75"/>
        <v>3.2668190561992946E-3</v>
      </c>
      <c r="BE311" s="136">
        <f t="shared" si="71"/>
        <v>2.2668190561992946E-3</v>
      </c>
      <c r="BF311" s="136" t="e">
        <f t="shared" si="72"/>
        <v>#N/A</v>
      </c>
      <c r="BG311" s="136" t="e">
        <f t="shared" si="73"/>
        <v>#N/A</v>
      </c>
    </row>
    <row r="312" spans="2:59" ht="11.25" customHeight="1">
      <c r="B312" s="321"/>
      <c r="C312" s="321"/>
      <c r="D312" s="321"/>
      <c r="E312" s="321"/>
      <c r="F312" s="321"/>
      <c r="G312" s="321"/>
      <c r="H312" s="321"/>
      <c r="I312" s="321"/>
      <c r="J312" s="321"/>
      <c r="K312" s="321"/>
      <c r="L312" s="321"/>
      <c r="M312" s="321"/>
      <c r="N312" s="321"/>
      <c r="O312" s="321"/>
      <c r="P312" s="321"/>
      <c r="Q312" s="321"/>
      <c r="R312" s="321"/>
      <c r="S312" s="321"/>
      <c r="T312" s="321"/>
      <c r="U312" s="321"/>
      <c r="V312" s="321"/>
      <c r="W312" s="321"/>
      <c r="X312" s="321"/>
      <c r="Y312" s="321"/>
      <c r="Z312" s="321"/>
      <c r="AA312" s="321"/>
      <c r="AB312" s="321"/>
      <c r="AC312" s="321"/>
      <c r="AD312" s="321"/>
      <c r="AE312" s="321"/>
      <c r="AF312" s="321"/>
      <c r="AG312" s="321"/>
      <c r="AH312" s="321"/>
      <c r="AI312" s="321"/>
      <c r="AJ312" s="321"/>
      <c r="AK312" s="321"/>
      <c r="AL312" s="321"/>
      <c r="AM312" s="321"/>
      <c r="AN312" s="321"/>
      <c r="AO312" s="321"/>
      <c r="AP312" s="427"/>
      <c r="AQ312" s="321"/>
      <c r="AR312" s="321"/>
      <c r="AS312" s="321"/>
      <c r="AT312" s="321"/>
      <c r="AU312" s="136">
        <f t="shared" si="63"/>
        <v>1.0007824766131712E-3</v>
      </c>
      <c r="AV312" s="136">
        <f t="shared" si="74"/>
        <v>-3.090000000000062</v>
      </c>
      <c r="AW312" s="136">
        <f t="shared" si="64"/>
        <v>3.3695080206768342E-3</v>
      </c>
      <c r="AX312" s="136" t="e">
        <f t="shared" si="65"/>
        <v>#N/A</v>
      </c>
      <c r="AY312" s="136">
        <f t="shared" si="66"/>
        <v>-3.0900100000000621</v>
      </c>
      <c r="AZ312" s="136">
        <f t="shared" si="67"/>
        <v>-3.089990000000062</v>
      </c>
      <c r="BA312" s="136">
        <f t="shared" si="68"/>
        <v>4.5353911330552228E-2</v>
      </c>
      <c r="BB312" s="136">
        <f t="shared" si="69"/>
        <v>4.5354420971355516E-2</v>
      </c>
      <c r="BC312" s="136" t="e">
        <f t="shared" si="70"/>
        <v>#N/A</v>
      </c>
      <c r="BD312" s="136">
        <f t="shared" si="75"/>
        <v>3.3695080206768342E-3</v>
      </c>
      <c r="BE312" s="136">
        <f t="shared" si="71"/>
        <v>2.3695080206768341E-3</v>
      </c>
      <c r="BF312" s="136" t="e">
        <f t="shared" si="72"/>
        <v>#N/A</v>
      </c>
      <c r="BG312" s="136" t="e">
        <f t="shared" si="73"/>
        <v>#N/A</v>
      </c>
    </row>
    <row r="313" spans="2:59" ht="11.25" customHeight="1">
      <c r="B313" s="321"/>
      <c r="C313" s="321"/>
      <c r="D313" s="321"/>
      <c r="E313" s="321"/>
      <c r="F313" s="321"/>
      <c r="G313" s="321"/>
      <c r="H313" s="321"/>
      <c r="I313" s="321"/>
      <c r="J313" s="321"/>
      <c r="K313" s="321"/>
      <c r="L313" s="321"/>
      <c r="M313" s="321"/>
      <c r="N313" s="321"/>
      <c r="O313" s="321"/>
      <c r="P313" s="321"/>
      <c r="Q313" s="321"/>
      <c r="R313" s="321"/>
      <c r="S313" s="321"/>
      <c r="T313" s="321"/>
      <c r="U313" s="321"/>
      <c r="V313" s="321"/>
      <c r="W313" s="321"/>
      <c r="X313" s="321"/>
      <c r="Y313" s="321"/>
      <c r="Z313" s="321"/>
      <c r="AA313" s="321"/>
      <c r="AB313" s="321"/>
      <c r="AC313" s="321"/>
      <c r="AD313" s="321"/>
      <c r="AE313" s="321"/>
      <c r="AF313" s="321"/>
      <c r="AG313" s="321"/>
      <c r="AH313" s="321"/>
      <c r="AI313" s="321"/>
      <c r="AJ313" s="321"/>
      <c r="AK313" s="321"/>
      <c r="AL313" s="321"/>
      <c r="AM313" s="321"/>
      <c r="AN313" s="321"/>
      <c r="AO313" s="321"/>
      <c r="AP313" s="427"/>
      <c r="AQ313" s="321"/>
      <c r="AR313" s="321"/>
      <c r="AS313" s="321"/>
      <c r="AT313" s="321"/>
      <c r="AU313" s="136">
        <f t="shared" si="63"/>
        <v>1.0350029748019685E-3</v>
      </c>
      <c r="AV313" s="136">
        <f t="shared" si="74"/>
        <v>-3.0800000000000622</v>
      </c>
      <c r="AW313" s="136">
        <f t="shared" si="64"/>
        <v>3.4750773778542709E-3</v>
      </c>
      <c r="AX313" s="136" t="e">
        <f t="shared" si="65"/>
        <v>#N/A</v>
      </c>
      <c r="AY313" s="136">
        <f t="shared" si="66"/>
        <v>-3.0800100000000623</v>
      </c>
      <c r="AZ313" s="136">
        <f t="shared" si="67"/>
        <v>-3.0799900000000622</v>
      </c>
      <c r="BA313" s="136">
        <f t="shared" si="68"/>
        <v>4.5609755903596234E-2</v>
      </c>
      <c r="BB313" s="136">
        <f t="shared" si="69"/>
        <v>4.5610269656265766E-2</v>
      </c>
      <c r="BC313" s="136" t="e">
        <f t="shared" si="70"/>
        <v>#N/A</v>
      </c>
      <c r="BD313" s="136">
        <f t="shared" si="75"/>
        <v>3.4750773778542709E-3</v>
      </c>
      <c r="BE313" s="136">
        <f t="shared" si="71"/>
        <v>2.4750773778542709E-3</v>
      </c>
      <c r="BF313" s="136" t="e">
        <f t="shared" si="72"/>
        <v>#N/A</v>
      </c>
      <c r="BG313" s="136" t="e">
        <f t="shared" si="73"/>
        <v>#N/A</v>
      </c>
    </row>
    <row r="314" spans="2:59" ht="11.25" customHeight="1">
      <c r="B314" s="321"/>
      <c r="C314" s="321"/>
      <c r="D314" s="321"/>
      <c r="E314" s="321"/>
      <c r="F314" s="321"/>
      <c r="G314" s="321"/>
      <c r="H314" s="321"/>
      <c r="I314" s="321"/>
      <c r="J314" s="321"/>
      <c r="K314" s="321"/>
      <c r="L314" s="321"/>
      <c r="M314" s="321"/>
      <c r="N314" s="321"/>
      <c r="O314" s="321"/>
      <c r="P314" s="321"/>
      <c r="Q314" s="321"/>
      <c r="R314" s="321"/>
      <c r="S314" s="321"/>
      <c r="T314" s="321"/>
      <c r="U314" s="321"/>
      <c r="V314" s="321"/>
      <c r="W314" s="321"/>
      <c r="X314" s="321"/>
      <c r="Y314" s="321"/>
      <c r="Z314" s="321"/>
      <c r="AA314" s="321"/>
      <c r="AB314" s="321"/>
      <c r="AC314" s="321"/>
      <c r="AD314" s="321"/>
      <c r="AE314" s="321"/>
      <c r="AF314" s="321"/>
      <c r="AG314" s="321"/>
      <c r="AH314" s="321"/>
      <c r="AI314" s="321"/>
      <c r="AJ314" s="321"/>
      <c r="AK314" s="321"/>
      <c r="AL314" s="321"/>
      <c r="AM314" s="321"/>
      <c r="AN314" s="321"/>
      <c r="AO314" s="321"/>
      <c r="AP314" s="427"/>
      <c r="AQ314" s="321"/>
      <c r="AR314" s="321"/>
      <c r="AS314" s="321"/>
      <c r="AT314" s="321"/>
      <c r="AU314" s="136">
        <f t="shared" si="63"/>
        <v>1.0702938546789387E-3</v>
      </c>
      <c r="AV314" s="136">
        <f t="shared" si="74"/>
        <v>-3.0700000000000625</v>
      </c>
      <c r="AW314" s="136">
        <f t="shared" si="64"/>
        <v>3.5835959291616736E-3</v>
      </c>
      <c r="AX314" s="136" t="e">
        <f t="shared" si="65"/>
        <v>#N/A</v>
      </c>
      <c r="AY314" s="136">
        <f t="shared" si="66"/>
        <v>-3.0700100000000625</v>
      </c>
      <c r="AZ314" s="136">
        <f t="shared" si="67"/>
        <v>-3.0699900000000624</v>
      </c>
      <c r="BA314" s="136">
        <f t="shared" si="68"/>
        <v>4.5867666865725513E-2</v>
      </c>
      <c r="BB314" s="136">
        <f t="shared" si="69"/>
        <v>4.5868184772252525E-2</v>
      </c>
      <c r="BC314" s="136" t="e">
        <f t="shared" si="70"/>
        <v>#N/A</v>
      </c>
      <c r="BD314" s="136">
        <f t="shared" si="75"/>
        <v>3.5835959291616736E-3</v>
      </c>
      <c r="BE314" s="136">
        <f t="shared" si="71"/>
        <v>2.5835959291616735E-3</v>
      </c>
      <c r="BF314" s="136" t="e">
        <f t="shared" si="72"/>
        <v>#N/A</v>
      </c>
      <c r="BG314" s="136" t="e">
        <f t="shared" si="73"/>
        <v>#N/A</v>
      </c>
    </row>
    <row r="315" spans="2:59" ht="11.25" customHeight="1">
      <c r="B315" s="321"/>
      <c r="C315" s="321"/>
      <c r="D315" s="321"/>
      <c r="E315" s="321"/>
      <c r="F315" s="321"/>
      <c r="G315" s="321"/>
      <c r="H315" s="321"/>
      <c r="I315" s="321"/>
      <c r="J315" s="321"/>
      <c r="K315" s="321"/>
      <c r="L315" s="321"/>
      <c r="M315" s="321"/>
      <c r="N315" s="321"/>
      <c r="O315" s="321"/>
      <c r="P315" s="321"/>
      <c r="Q315" s="321"/>
      <c r="R315" s="321"/>
      <c r="S315" s="321"/>
      <c r="T315" s="321"/>
      <c r="U315" s="321"/>
      <c r="V315" s="321"/>
      <c r="W315" s="321"/>
      <c r="X315" s="321"/>
      <c r="Y315" s="321"/>
      <c r="Z315" s="321"/>
      <c r="AA315" s="321"/>
      <c r="AB315" s="321"/>
      <c r="AC315" s="321"/>
      <c r="AD315" s="321"/>
      <c r="AE315" s="321"/>
      <c r="AF315" s="321"/>
      <c r="AG315" s="321"/>
      <c r="AH315" s="321"/>
      <c r="AI315" s="321"/>
      <c r="AJ315" s="321"/>
      <c r="AK315" s="321"/>
      <c r="AL315" s="321"/>
      <c r="AM315" s="321"/>
      <c r="AN315" s="321"/>
      <c r="AO315" s="321"/>
      <c r="AP315" s="427"/>
      <c r="AQ315" s="321"/>
      <c r="AR315" s="321"/>
      <c r="AS315" s="321"/>
      <c r="AT315" s="321"/>
      <c r="AU315" s="136">
        <f t="shared" si="63"/>
        <v>1.1066849574092874E-3</v>
      </c>
      <c r="AV315" s="136">
        <f t="shared" si="74"/>
        <v>-3.0600000000000627</v>
      </c>
      <c r="AW315" s="136">
        <f t="shared" si="64"/>
        <v>3.6951337295583254E-3</v>
      </c>
      <c r="AX315" s="136" t="e">
        <f t="shared" si="65"/>
        <v>#N/A</v>
      </c>
      <c r="AY315" s="136">
        <f t="shared" si="66"/>
        <v>-3.0600100000000627</v>
      </c>
      <c r="AZ315" s="136">
        <f t="shared" si="67"/>
        <v>-3.0599900000000626</v>
      </c>
      <c r="BA315" s="136">
        <f t="shared" si="68"/>
        <v>4.6127665337952456E-2</v>
      </c>
      <c r="BB315" s="136">
        <f t="shared" si="69"/>
        <v>4.61281874408319E-2</v>
      </c>
      <c r="BC315" s="136" t="e">
        <f t="shared" si="70"/>
        <v>#N/A</v>
      </c>
      <c r="BD315" s="136">
        <f t="shared" si="75"/>
        <v>3.6951337295583254E-3</v>
      </c>
      <c r="BE315" s="136">
        <f t="shared" si="71"/>
        <v>2.6951337295583254E-3</v>
      </c>
      <c r="BF315" s="136" t="e">
        <f t="shared" si="72"/>
        <v>#N/A</v>
      </c>
      <c r="BG315" s="136" t="e">
        <f t="shared" si="73"/>
        <v>#N/A</v>
      </c>
    </row>
    <row r="316" spans="2:59" ht="11.25" customHeight="1">
      <c r="B316" s="321"/>
      <c r="C316" s="321"/>
      <c r="D316" s="321"/>
      <c r="E316" s="321"/>
      <c r="F316" s="321"/>
      <c r="G316" s="321"/>
      <c r="H316" s="321"/>
      <c r="I316" s="321"/>
      <c r="J316" s="321"/>
      <c r="K316" s="321"/>
      <c r="L316" s="321"/>
      <c r="M316" s="321"/>
      <c r="N316" s="321"/>
      <c r="O316" s="321"/>
      <c r="P316" s="321"/>
      <c r="Q316" s="321"/>
      <c r="R316" s="321"/>
      <c r="S316" s="321"/>
      <c r="T316" s="321"/>
      <c r="U316" s="321"/>
      <c r="V316" s="321"/>
      <c r="W316" s="321"/>
      <c r="X316" s="321"/>
      <c r="Y316" s="321"/>
      <c r="Z316" s="321"/>
      <c r="AA316" s="321"/>
      <c r="AB316" s="321"/>
      <c r="AC316" s="321"/>
      <c r="AD316" s="321"/>
      <c r="AE316" s="321"/>
      <c r="AF316" s="321"/>
      <c r="AG316" s="321"/>
      <c r="AH316" s="321"/>
      <c r="AI316" s="321"/>
      <c r="AJ316" s="321"/>
      <c r="AK316" s="321"/>
      <c r="AL316" s="321"/>
      <c r="AM316" s="321"/>
      <c r="AN316" s="321"/>
      <c r="AO316" s="321"/>
      <c r="AP316" s="427"/>
      <c r="AQ316" s="321"/>
      <c r="AR316" s="321"/>
      <c r="AS316" s="321"/>
      <c r="AT316" s="321"/>
      <c r="AU316" s="136">
        <f t="shared" si="63"/>
        <v>1.144206831022121E-3</v>
      </c>
      <c r="AV316" s="136">
        <f t="shared" si="74"/>
        <v>-3.0500000000000629</v>
      </c>
      <c r="AW316" s="136">
        <f t="shared" si="64"/>
        <v>3.8097620982210758E-3</v>
      </c>
      <c r="AX316" s="136" t="e">
        <f t="shared" si="65"/>
        <v>#N/A</v>
      </c>
      <c r="AY316" s="136">
        <f t="shared" si="66"/>
        <v>-3.0500100000000629</v>
      </c>
      <c r="AZ316" s="136">
        <f t="shared" si="67"/>
        <v>-3.0499900000000628</v>
      </c>
      <c r="BA316" s="136">
        <f t="shared" si="68"/>
        <v>4.6389772694776073E-2</v>
      </c>
      <c r="BB316" s="136">
        <f t="shared" si="69"/>
        <v>4.6390299037013097E-2</v>
      </c>
      <c r="BC316" s="136" t="e">
        <f t="shared" si="70"/>
        <v>#N/A</v>
      </c>
      <c r="BD316" s="136">
        <f t="shared" si="75"/>
        <v>3.8097620982210758E-3</v>
      </c>
      <c r="BE316" s="136">
        <f t="shared" si="71"/>
        <v>2.8097620982210757E-3</v>
      </c>
      <c r="BF316" s="136" t="e">
        <f t="shared" si="72"/>
        <v>#N/A</v>
      </c>
      <c r="BG316" s="136" t="e">
        <f t="shared" si="73"/>
        <v>#N/A</v>
      </c>
    </row>
    <row r="317" spans="2:59" ht="11.25" customHeight="1">
      <c r="B317" s="321"/>
      <c r="C317" s="321"/>
      <c r="D317" s="321"/>
      <c r="E317" s="321"/>
      <c r="F317" s="321"/>
      <c r="G317" s="321"/>
      <c r="H317" s="321"/>
      <c r="I317" s="321"/>
      <c r="J317" s="321"/>
      <c r="K317" s="321"/>
      <c r="L317" s="321"/>
      <c r="M317" s="321"/>
      <c r="N317" s="321"/>
      <c r="O317" s="321"/>
      <c r="P317" s="321"/>
      <c r="Q317" s="321"/>
      <c r="R317" s="321"/>
      <c r="S317" s="321"/>
      <c r="T317" s="321"/>
      <c r="U317" s="321"/>
      <c r="V317" s="321"/>
      <c r="W317" s="321"/>
      <c r="X317" s="321"/>
      <c r="Y317" s="321"/>
      <c r="Z317" s="321"/>
      <c r="AA317" s="321"/>
      <c r="AB317" s="321"/>
      <c r="AC317" s="321"/>
      <c r="AD317" s="321"/>
      <c r="AE317" s="321"/>
      <c r="AF317" s="321"/>
      <c r="AG317" s="321"/>
      <c r="AH317" s="321"/>
      <c r="AI317" s="321"/>
      <c r="AJ317" s="321"/>
      <c r="AK317" s="321"/>
      <c r="AL317" s="321"/>
      <c r="AM317" s="321"/>
      <c r="AN317" s="321"/>
      <c r="AO317" s="321"/>
      <c r="AP317" s="427"/>
      <c r="AQ317" s="321"/>
      <c r="AR317" s="321"/>
      <c r="AS317" s="321"/>
      <c r="AT317" s="321"/>
      <c r="AU317" s="136">
        <f t="shared" si="63"/>
        <v>1.1828907431041813E-3</v>
      </c>
      <c r="AV317" s="136">
        <f t="shared" si="74"/>
        <v>-3.0400000000000631</v>
      </c>
      <c r="AW317" s="136">
        <f t="shared" si="64"/>
        <v>3.9275536289240251E-3</v>
      </c>
      <c r="AX317" s="136" t="e">
        <f t="shared" si="65"/>
        <v>#N/A</v>
      </c>
      <c r="AY317" s="136">
        <f t="shared" si="66"/>
        <v>-3.0400100000000632</v>
      </c>
      <c r="AZ317" s="136">
        <f t="shared" si="67"/>
        <v>-3.039990000000063</v>
      </c>
      <c r="BA317" s="136">
        <f t="shared" si="68"/>
        <v>4.6654010567545104E-2</v>
      </c>
      <c r="BB317" s="136">
        <f t="shared" si="69"/>
        <v>4.6654541192662068E-2</v>
      </c>
      <c r="BC317" s="136" t="e">
        <f t="shared" si="70"/>
        <v>#N/A</v>
      </c>
      <c r="BD317" s="136">
        <f t="shared" si="75"/>
        <v>3.9275536289240251E-3</v>
      </c>
      <c r="BE317" s="136">
        <f t="shared" si="71"/>
        <v>2.9275536289240251E-3</v>
      </c>
      <c r="BF317" s="136" t="e">
        <f t="shared" si="72"/>
        <v>#N/A</v>
      </c>
      <c r="BG317" s="136" t="e">
        <f t="shared" si="73"/>
        <v>#N/A</v>
      </c>
    </row>
    <row r="318" spans="2:59" ht="11.25" customHeight="1">
      <c r="B318" s="321"/>
      <c r="C318" s="321"/>
      <c r="D318" s="321"/>
      <c r="E318" s="321"/>
      <c r="F318" s="321"/>
      <c r="G318" s="321"/>
      <c r="H318" s="321"/>
      <c r="I318" s="321"/>
      <c r="J318" s="321"/>
      <c r="K318" s="321"/>
      <c r="L318" s="321"/>
      <c r="M318" s="321"/>
      <c r="N318" s="321"/>
      <c r="O318" s="321"/>
      <c r="P318" s="321"/>
      <c r="Q318" s="321"/>
      <c r="R318" s="321"/>
      <c r="S318" s="321"/>
      <c r="T318" s="321"/>
      <c r="U318" s="321"/>
      <c r="V318" s="321"/>
      <c r="W318" s="321"/>
      <c r="X318" s="321"/>
      <c r="Y318" s="321"/>
      <c r="Z318" s="321"/>
      <c r="AA318" s="321"/>
      <c r="AB318" s="321"/>
      <c r="AC318" s="321"/>
      <c r="AD318" s="321"/>
      <c r="AE318" s="321"/>
      <c r="AF318" s="321"/>
      <c r="AG318" s="321"/>
      <c r="AH318" s="321"/>
      <c r="AI318" s="321"/>
      <c r="AJ318" s="321"/>
      <c r="AK318" s="321"/>
      <c r="AL318" s="321"/>
      <c r="AM318" s="321"/>
      <c r="AN318" s="321"/>
      <c r="AO318" s="321"/>
      <c r="AP318" s="427"/>
      <c r="AQ318" s="321"/>
      <c r="AR318" s="321"/>
      <c r="AS318" s="321"/>
      <c r="AT318" s="321"/>
      <c r="AU318" s="136">
        <f t="shared" si="63"/>
        <v>1.2227686935920579E-3</v>
      </c>
      <c r="AV318" s="136">
        <f t="shared" si="74"/>
        <v>-3.0300000000000633</v>
      </c>
      <c r="AW318" s="136">
        <f t="shared" si="64"/>
        <v>4.0485822000936519E-3</v>
      </c>
      <c r="AX318" s="136" t="e">
        <f t="shared" si="65"/>
        <v>#N/A</v>
      </c>
      <c r="AY318" s="136">
        <f t="shared" si="66"/>
        <v>-3.0300100000000634</v>
      </c>
      <c r="AZ318" s="136">
        <f t="shared" si="67"/>
        <v>-3.0299900000000632</v>
      </c>
      <c r="BA318" s="136">
        <f t="shared" si="68"/>
        <v>4.6920400847868138E-2</v>
      </c>
      <c r="BB318" s="136">
        <f t="shared" si="69"/>
        <v>4.6920935799911377E-2</v>
      </c>
      <c r="BC318" s="136" t="e">
        <f t="shared" si="70"/>
        <v>#N/A</v>
      </c>
      <c r="BD318" s="136">
        <f t="shared" si="75"/>
        <v>4.0485822000936519E-3</v>
      </c>
      <c r="BE318" s="136">
        <f t="shared" si="71"/>
        <v>3.0485822000936519E-3</v>
      </c>
      <c r="BF318" s="136" t="e">
        <f t="shared" si="72"/>
        <v>#N/A</v>
      </c>
      <c r="BG318" s="136" t="e">
        <f t="shared" si="73"/>
        <v>#N/A</v>
      </c>
    </row>
    <row r="319" spans="2:59" ht="11.25" customHeight="1">
      <c r="B319" s="321"/>
      <c r="C319" s="321"/>
      <c r="D319" s="321"/>
      <c r="E319" s="321"/>
      <c r="F319" s="321"/>
      <c r="G319" s="321"/>
      <c r="H319" s="321"/>
      <c r="I319" s="321"/>
      <c r="J319" s="321"/>
      <c r="K319" s="321"/>
      <c r="L319" s="321"/>
      <c r="M319" s="321"/>
      <c r="N319" s="321"/>
      <c r="O319" s="321"/>
      <c r="P319" s="321"/>
      <c r="Q319" s="321"/>
      <c r="R319" s="321"/>
      <c r="S319" s="321"/>
      <c r="T319" s="321"/>
      <c r="U319" s="321"/>
      <c r="V319" s="321"/>
      <c r="W319" s="321"/>
      <c r="X319" s="321"/>
      <c r="Y319" s="321"/>
      <c r="Z319" s="321"/>
      <c r="AA319" s="321"/>
      <c r="AB319" s="321"/>
      <c r="AC319" s="321"/>
      <c r="AD319" s="321"/>
      <c r="AE319" s="321"/>
      <c r="AF319" s="321"/>
      <c r="AG319" s="321"/>
      <c r="AH319" s="321"/>
      <c r="AI319" s="321"/>
      <c r="AJ319" s="321"/>
      <c r="AK319" s="321"/>
      <c r="AL319" s="321"/>
      <c r="AM319" s="321"/>
      <c r="AN319" s="321"/>
      <c r="AO319" s="321"/>
      <c r="AP319" s="427"/>
      <c r="AQ319" s="321"/>
      <c r="AR319" s="321"/>
      <c r="AS319" s="321"/>
      <c r="AT319" s="321"/>
      <c r="AU319" s="136">
        <f t="shared" si="63"/>
        <v>1.2638734276719799E-3</v>
      </c>
      <c r="AV319" s="136">
        <f t="shared" si="74"/>
        <v>-3.0200000000000635</v>
      </c>
      <c r="AW319" s="136">
        <f t="shared" si="64"/>
        <v>4.1729229845231608E-3</v>
      </c>
      <c r="AX319" s="136" t="e">
        <f t="shared" si="65"/>
        <v>#N/A</v>
      </c>
      <c r="AY319" s="136">
        <f t="shared" si="66"/>
        <v>-3.0200100000000636</v>
      </c>
      <c r="AZ319" s="136">
        <f t="shared" si="67"/>
        <v>-3.0199900000000635</v>
      </c>
      <c r="BA319" s="136">
        <f t="shared" si="68"/>
        <v>4.7188965691069479E-2</v>
      </c>
      <c r="BB319" s="136">
        <f t="shared" si="69"/>
        <v>4.718950501461619E-2</v>
      </c>
      <c r="BC319" s="136" t="e">
        <f t="shared" si="70"/>
        <v>#N/A</v>
      </c>
      <c r="BD319" s="136">
        <f t="shared" si="75"/>
        <v>4.1729229845231608E-3</v>
      </c>
      <c r="BE319" s="136">
        <f t="shared" si="71"/>
        <v>3.1729229845231608E-3</v>
      </c>
      <c r="BF319" s="136" t="e">
        <f t="shared" si="72"/>
        <v>#N/A</v>
      </c>
      <c r="BG319" s="136" t="e">
        <f t="shared" si="73"/>
        <v>#N/A</v>
      </c>
    </row>
    <row r="320" spans="2:59" ht="11.25" customHeight="1">
      <c r="B320" s="321"/>
      <c r="C320" s="321"/>
      <c r="D320" s="321"/>
      <c r="E320" s="321"/>
      <c r="F320" s="321"/>
      <c r="G320" s="321"/>
      <c r="H320" s="321"/>
      <c r="I320" s="321"/>
      <c r="J320" s="321"/>
      <c r="K320" s="321"/>
      <c r="L320" s="321"/>
      <c r="M320" s="321"/>
      <c r="N320" s="321"/>
      <c r="O320" s="321"/>
      <c r="P320" s="321"/>
      <c r="Q320" s="321"/>
      <c r="R320" s="321"/>
      <c r="S320" s="321"/>
      <c r="T320" s="321"/>
      <c r="U320" s="321"/>
      <c r="V320" s="321"/>
      <c r="W320" s="321"/>
      <c r="X320" s="321"/>
      <c r="Y320" s="321"/>
      <c r="Z320" s="321"/>
      <c r="AA320" s="321"/>
      <c r="AB320" s="321"/>
      <c r="AC320" s="321"/>
      <c r="AD320" s="321"/>
      <c r="AE320" s="321"/>
      <c r="AF320" s="321"/>
      <c r="AG320" s="321"/>
      <c r="AH320" s="321"/>
      <c r="AI320" s="321"/>
      <c r="AJ320" s="321"/>
      <c r="AK320" s="321"/>
      <c r="AL320" s="321"/>
      <c r="AM320" s="321"/>
      <c r="AN320" s="321"/>
      <c r="AO320" s="321"/>
      <c r="AP320" s="427"/>
      <c r="AQ320" s="321"/>
      <c r="AR320" s="321"/>
      <c r="AS320" s="321"/>
      <c r="AT320" s="321"/>
      <c r="AU320" s="136">
        <f t="shared" si="63"/>
        <v>1.3062384487688705E-3</v>
      </c>
      <c r="AV320" s="136">
        <f t="shared" si="74"/>
        <v>-3.0100000000000637</v>
      </c>
      <c r="AW320" s="136">
        <f t="shared" si="64"/>
        <v>4.3006524587296206E-3</v>
      </c>
      <c r="AX320" s="136" t="e">
        <f t="shared" si="65"/>
        <v>#N/A</v>
      </c>
      <c r="AY320" s="136">
        <f t="shared" si="66"/>
        <v>-3.0100100000000638</v>
      </c>
      <c r="AZ320" s="136">
        <f t="shared" si="67"/>
        <v>-3.0099900000000637</v>
      </c>
      <c r="BA320" s="136">
        <f t="shared" si="68"/>
        <v>4.7459727519692733E-2</v>
      </c>
      <c r="BB320" s="136">
        <f t="shared" si="69"/>
        <v>4.7460271259858126E-2</v>
      </c>
      <c r="BC320" s="136" t="e">
        <f t="shared" si="70"/>
        <v>#N/A</v>
      </c>
      <c r="BD320" s="136">
        <f t="shared" si="75"/>
        <v>4.3006524587296206E-3</v>
      </c>
      <c r="BE320" s="136">
        <f t="shared" si="71"/>
        <v>3.3006524587296205E-3</v>
      </c>
      <c r="BF320" s="136" t="e">
        <f t="shared" si="72"/>
        <v>#N/A</v>
      </c>
      <c r="BG320" s="136" t="e">
        <f t="shared" si="73"/>
        <v>#N/A</v>
      </c>
    </row>
    <row r="321" spans="2:59" ht="11.25" customHeight="1">
      <c r="B321" s="321"/>
      <c r="C321" s="321"/>
      <c r="D321" s="321"/>
      <c r="E321" s="321"/>
      <c r="F321" s="321"/>
      <c r="G321" s="321"/>
      <c r="H321" s="321"/>
      <c r="I321" s="321"/>
      <c r="J321" s="321"/>
      <c r="K321" s="321"/>
      <c r="L321" s="321"/>
      <c r="M321" s="321"/>
      <c r="N321" s="321"/>
      <c r="O321" s="321"/>
      <c r="P321" s="321"/>
      <c r="Q321" s="321"/>
      <c r="R321" s="321"/>
      <c r="S321" s="321"/>
      <c r="T321" s="321"/>
      <c r="U321" s="321"/>
      <c r="V321" s="321"/>
      <c r="W321" s="321"/>
      <c r="X321" s="321"/>
      <c r="Y321" s="321"/>
      <c r="Z321" s="321"/>
      <c r="AA321" s="321"/>
      <c r="AB321" s="321"/>
      <c r="AC321" s="321"/>
      <c r="AD321" s="321"/>
      <c r="AE321" s="321"/>
      <c r="AF321" s="321"/>
      <c r="AG321" s="321"/>
      <c r="AH321" s="321"/>
      <c r="AI321" s="321"/>
      <c r="AJ321" s="321"/>
      <c r="AK321" s="321"/>
      <c r="AL321" s="321"/>
      <c r="AM321" s="321"/>
      <c r="AN321" s="321"/>
      <c r="AO321" s="321"/>
      <c r="AP321" s="427"/>
      <c r="AQ321" s="321"/>
      <c r="AR321" s="321"/>
      <c r="AS321" s="321"/>
      <c r="AT321" s="321"/>
      <c r="AU321" s="136">
        <f t="shared" si="63"/>
        <v>1.3498980316297704E-3</v>
      </c>
      <c r="AV321" s="136">
        <f t="shared" si="74"/>
        <v>-3.0000000000000639</v>
      </c>
      <c r="AW321" s="136">
        <f t="shared" si="64"/>
        <v>4.4318484119371566E-3</v>
      </c>
      <c r="AX321" s="136" t="e">
        <f t="shared" si="65"/>
        <v>#N/A</v>
      </c>
      <c r="AY321" s="136">
        <f t="shared" si="66"/>
        <v>-3.000010000000064</v>
      </c>
      <c r="AZ321" s="136">
        <f t="shared" si="67"/>
        <v>-2.9999900000000639</v>
      </c>
      <c r="BA321" s="136">
        <f t="shared" si="68"/>
        <v>4.773270902705188E-2</v>
      </c>
      <c r="BB321" s="136">
        <f t="shared" si="69"/>
        <v>4.7733257229496312E-2</v>
      </c>
      <c r="BC321" s="136" t="e">
        <f t="shared" si="70"/>
        <v>#N/A</v>
      </c>
      <c r="BD321" s="136">
        <f t="shared" si="75"/>
        <v>4.4318484119371566E-3</v>
      </c>
      <c r="BE321" s="136">
        <f t="shared" si="71"/>
        <v>3.4318484119371566E-3</v>
      </c>
      <c r="BF321" s="136" t="e">
        <f t="shared" si="72"/>
        <v>#N/A</v>
      </c>
      <c r="BG321" s="136" t="e">
        <f t="shared" si="73"/>
        <v>#N/A</v>
      </c>
    </row>
    <row r="322" spans="2:59" ht="11.25" customHeight="1">
      <c r="B322" s="321"/>
      <c r="C322" s="321"/>
      <c r="D322" s="321"/>
      <c r="E322" s="321"/>
      <c r="F322" s="321"/>
      <c r="G322" s="321"/>
      <c r="H322" s="321"/>
      <c r="I322" s="321"/>
      <c r="J322" s="321"/>
      <c r="K322" s="321"/>
      <c r="L322" s="321"/>
      <c r="M322" s="321"/>
      <c r="N322" s="321"/>
      <c r="O322" s="321"/>
      <c r="P322" s="321"/>
      <c r="Q322" s="321"/>
      <c r="R322" s="321"/>
      <c r="S322" s="321"/>
      <c r="T322" s="321"/>
      <c r="U322" s="321"/>
      <c r="V322" s="321"/>
      <c r="W322" s="321"/>
      <c r="X322" s="321"/>
      <c r="Y322" s="321"/>
      <c r="Z322" s="321"/>
      <c r="AA322" s="321"/>
      <c r="AB322" s="321"/>
      <c r="AC322" s="321"/>
      <c r="AD322" s="321"/>
      <c r="AE322" s="321"/>
      <c r="AF322" s="321"/>
      <c r="AG322" s="321"/>
      <c r="AH322" s="321"/>
      <c r="AI322" s="321"/>
      <c r="AJ322" s="321"/>
      <c r="AK322" s="321"/>
      <c r="AL322" s="321"/>
      <c r="AM322" s="321"/>
      <c r="AN322" s="321"/>
      <c r="AO322" s="321"/>
      <c r="AP322" s="427"/>
      <c r="AQ322" s="321"/>
      <c r="AR322" s="321"/>
      <c r="AS322" s="321"/>
      <c r="AT322" s="321"/>
      <c r="AU322" s="136">
        <f t="shared" si="63"/>
        <v>1.3948872354917485E-3</v>
      </c>
      <c r="AV322" s="136">
        <f t="shared" si="74"/>
        <v>-2.9900000000000642</v>
      </c>
      <c r="AW322" s="136">
        <f t="shared" si="64"/>
        <v>4.5665899546692718E-3</v>
      </c>
      <c r="AX322" s="136" t="e">
        <f t="shared" si="65"/>
        <v>#N/A</v>
      </c>
      <c r="AY322" s="136">
        <f t="shared" si="66"/>
        <v>-2.9900100000000642</v>
      </c>
      <c r="AZ322" s="136">
        <f t="shared" si="67"/>
        <v>-2.9899900000000641</v>
      </c>
      <c r="BA322" s="136">
        <f t="shared" si="68"/>
        <v>4.8007933180831061E-2</v>
      </c>
      <c r="BB322" s="136">
        <f t="shared" si="69"/>
        <v>4.800848589176724E-2</v>
      </c>
      <c r="BC322" s="136" t="e">
        <f t="shared" si="70"/>
        <v>#N/A</v>
      </c>
      <c r="BD322" s="136">
        <f t="shared" si="75"/>
        <v>4.5665899546692718E-3</v>
      </c>
      <c r="BE322" s="136">
        <f t="shared" si="71"/>
        <v>3.5665899546692718E-3</v>
      </c>
      <c r="BF322" s="136" t="e">
        <f t="shared" si="72"/>
        <v>#N/A</v>
      </c>
      <c r="BG322" s="136" t="e">
        <f t="shared" si="73"/>
        <v>#N/A</v>
      </c>
    </row>
    <row r="323" spans="2:59" ht="11.25" customHeight="1">
      <c r="B323" s="321"/>
      <c r="C323" s="321"/>
      <c r="D323" s="321"/>
      <c r="E323" s="321"/>
      <c r="F323" s="321"/>
      <c r="G323" s="321"/>
      <c r="H323" s="321"/>
      <c r="I323" s="321"/>
      <c r="J323" s="321"/>
      <c r="K323" s="321"/>
      <c r="L323" s="321"/>
      <c r="M323" s="321"/>
      <c r="N323" s="321"/>
      <c r="O323" s="321"/>
      <c r="P323" s="321"/>
      <c r="Q323" s="321"/>
      <c r="R323" s="321"/>
      <c r="S323" s="321"/>
      <c r="T323" s="321"/>
      <c r="U323" s="321"/>
      <c r="V323" s="321"/>
      <c r="W323" s="321"/>
      <c r="X323" s="321"/>
      <c r="Y323" s="321"/>
      <c r="Z323" s="321"/>
      <c r="AA323" s="321"/>
      <c r="AB323" s="321"/>
      <c r="AC323" s="321"/>
      <c r="AD323" s="321"/>
      <c r="AE323" s="321"/>
      <c r="AF323" s="321"/>
      <c r="AG323" s="321"/>
      <c r="AH323" s="321"/>
      <c r="AI323" s="321"/>
      <c r="AJ323" s="321"/>
      <c r="AK323" s="321"/>
      <c r="AL323" s="321"/>
      <c r="AM323" s="321"/>
      <c r="AN323" s="321"/>
      <c r="AO323" s="321"/>
      <c r="AP323" s="427"/>
      <c r="AQ323" s="321"/>
      <c r="AR323" s="321"/>
      <c r="AS323" s="321"/>
      <c r="AT323" s="321"/>
      <c r="AU323" s="136">
        <f t="shared" si="63"/>
        <v>1.4412419173395197E-3</v>
      </c>
      <c r="AV323" s="136">
        <f t="shared" si="74"/>
        <v>-2.9800000000000644</v>
      </c>
      <c r="AW323" s="136">
        <f t="shared" si="64"/>
        <v>4.7049575269330762E-3</v>
      </c>
      <c r="AX323" s="136" t="e">
        <f t="shared" si="65"/>
        <v>#N/A</v>
      </c>
      <c r="AY323" s="136">
        <f t="shared" si="66"/>
        <v>-2.9800100000000644</v>
      </c>
      <c r="AZ323" s="136">
        <f t="shared" si="67"/>
        <v>-2.9799900000000643</v>
      </c>
      <c r="BA323" s="136">
        <f t="shared" si="68"/>
        <v>4.8285423226732842E-2</v>
      </c>
      <c r="BB323" s="136">
        <f t="shared" si="69"/>
        <v>4.8285980492933235E-2</v>
      </c>
      <c r="BC323" s="136" t="e">
        <f t="shared" si="70"/>
        <v>#N/A</v>
      </c>
      <c r="BD323" s="136">
        <f t="shared" si="75"/>
        <v>4.7049575269330762E-3</v>
      </c>
      <c r="BE323" s="136">
        <f t="shared" si="71"/>
        <v>3.7049575269330762E-3</v>
      </c>
      <c r="BF323" s="136" t="e">
        <f t="shared" si="72"/>
        <v>#N/A</v>
      </c>
      <c r="BG323" s="136" t="e">
        <f t="shared" si="73"/>
        <v>#N/A</v>
      </c>
    </row>
    <row r="324" spans="2:59" ht="11.25" customHeight="1">
      <c r="B324" s="321"/>
      <c r="C324" s="321"/>
      <c r="D324" s="321"/>
      <c r="E324" s="321"/>
      <c r="F324" s="321"/>
      <c r="G324" s="321"/>
      <c r="H324" s="321"/>
      <c r="I324" s="321"/>
      <c r="J324" s="321"/>
      <c r="K324" s="321"/>
      <c r="L324" s="321"/>
      <c r="M324" s="321"/>
      <c r="N324" s="321"/>
      <c r="O324" s="321"/>
      <c r="P324" s="321"/>
      <c r="Q324" s="321"/>
      <c r="R324" s="321"/>
      <c r="S324" s="321"/>
      <c r="T324" s="321"/>
      <c r="U324" s="321"/>
      <c r="V324" s="321"/>
      <c r="W324" s="321"/>
      <c r="X324" s="321"/>
      <c r="Y324" s="321"/>
      <c r="Z324" s="321"/>
      <c r="AA324" s="321"/>
      <c r="AB324" s="321"/>
      <c r="AC324" s="321"/>
      <c r="AD324" s="321"/>
      <c r="AE324" s="321"/>
      <c r="AF324" s="321"/>
      <c r="AG324" s="321"/>
      <c r="AH324" s="321"/>
      <c r="AI324" s="321"/>
      <c r="AJ324" s="321"/>
      <c r="AK324" s="321"/>
      <c r="AL324" s="321"/>
      <c r="AM324" s="321"/>
      <c r="AN324" s="321"/>
      <c r="AO324" s="321"/>
      <c r="AP324" s="427"/>
      <c r="AQ324" s="321"/>
      <c r="AR324" s="321"/>
      <c r="AS324" s="321"/>
      <c r="AT324" s="321"/>
      <c r="AU324" s="136">
        <f t="shared" si="63"/>
        <v>1.4889987452372244E-3</v>
      </c>
      <c r="AV324" s="136">
        <f t="shared" si="74"/>
        <v>-2.9700000000000646</v>
      </c>
      <c r="AW324" s="136">
        <f t="shared" si="64"/>
        <v>4.8470329059780186E-3</v>
      </c>
      <c r="AX324" s="136" t="e">
        <f t="shared" si="65"/>
        <v>#N/A</v>
      </c>
      <c r="AY324" s="136">
        <f t="shared" si="66"/>
        <v>-2.9700100000000647</v>
      </c>
      <c r="AZ324" s="136">
        <f t="shared" si="67"/>
        <v>-2.9699900000000645</v>
      </c>
      <c r="BA324" s="136">
        <f t="shared" si="68"/>
        <v>4.8565202692176603E-2</v>
      </c>
      <c r="BB324" s="136">
        <f t="shared" si="69"/>
        <v>4.8565764560980787E-2</v>
      </c>
      <c r="BC324" s="136" t="e">
        <f t="shared" si="70"/>
        <v>#N/A</v>
      </c>
      <c r="BD324" s="136">
        <f t="shared" si="75"/>
        <v>4.8470329059780186E-3</v>
      </c>
      <c r="BE324" s="136">
        <f t="shared" si="71"/>
        <v>3.8470329059780185E-3</v>
      </c>
      <c r="BF324" s="136" t="e">
        <f t="shared" si="72"/>
        <v>#N/A</v>
      </c>
      <c r="BG324" s="136" t="e">
        <f t="shared" si="73"/>
        <v>#N/A</v>
      </c>
    </row>
    <row r="325" spans="2:59" ht="11.25" customHeight="1">
      <c r="B325" s="321"/>
      <c r="C325" s="321"/>
      <c r="D325" s="321"/>
      <c r="E325" s="321"/>
      <c r="F325" s="321"/>
      <c r="G325" s="321"/>
      <c r="H325" s="321"/>
      <c r="I325" s="321"/>
      <c r="J325" s="321"/>
      <c r="K325" s="321"/>
      <c r="L325" s="321"/>
      <c r="M325" s="321"/>
      <c r="N325" s="321"/>
      <c r="O325" s="321"/>
      <c r="P325" s="321"/>
      <c r="Q325" s="321"/>
      <c r="R325" s="321"/>
      <c r="S325" s="321"/>
      <c r="T325" s="321"/>
      <c r="U325" s="321"/>
      <c r="V325" s="321"/>
      <c r="W325" s="321"/>
      <c r="X325" s="321"/>
      <c r="Y325" s="321"/>
      <c r="Z325" s="321"/>
      <c r="AA325" s="321"/>
      <c r="AB325" s="321"/>
      <c r="AC325" s="321"/>
      <c r="AD325" s="321"/>
      <c r="AE325" s="321"/>
      <c r="AF325" s="321"/>
      <c r="AG325" s="321"/>
      <c r="AH325" s="321"/>
      <c r="AI325" s="321"/>
      <c r="AJ325" s="321"/>
      <c r="AK325" s="321"/>
      <c r="AL325" s="321"/>
      <c r="AM325" s="321"/>
      <c r="AN325" s="321"/>
      <c r="AO325" s="321"/>
      <c r="AP325" s="427"/>
      <c r="AQ325" s="321"/>
      <c r="AR325" s="321"/>
      <c r="AS325" s="321"/>
      <c r="AT325" s="321"/>
      <c r="AU325" s="136">
        <f t="shared" si="63"/>
        <v>1.538195211737925E-3</v>
      </c>
      <c r="AV325" s="136">
        <f t="shared" si="74"/>
        <v>-2.9600000000000648</v>
      </c>
      <c r="AW325" s="136">
        <f t="shared" si="64"/>
        <v>4.992899213611417E-3</v>
      </c>
      <c r="AX325" s="136" t="e">
        <f t="shared" si="65"/>
        <v>#N/A</v>
      </c>
      <c r="AY325" s="136">
        <f t="shared" si="66"/>
        <v>-2.9600100000000649</v>
      </c>
      <c r="AZ325" s="136">
        <f t="shared" si="67"/>
        <v>-2.9599900000000647</v>
      </c>
      <c r="BA325" s="136">
        <f t="shared" si="68"/>
        <v>4.8847295390046425E-2</v>
      </c>
      <c r="BB325" s="136">
        <f t="shared" si="69"/>
        <v>4.8847861909368746E-2</v>
      </c>
      <c r="BC325" s="136" t="e">
        <f t="shared" si="70"/>
        <v>#N/A</v>
      </c>
      <c r="BD325" s="136">
        <f t="shared" si="75"/>
        <v>4.992899213611417E-3</v>
      </c>
      <c r="BE325" s="136">
        <f t="shared" si="71"/>
        <v>3.992899213611417E-3</v>
      </c>
      <c r="BF325" s="136" t="e">
        <f t="shared" si="72"/>
        <v>#N/A</v>
      </c>
      <c r="BG325" s="136" t="e">
        <f t="shared" si="73"/>
        <v>#N/A</v>
      </c>
    </row>
    <row r="326" spans="2:59" ht="11.25" customHeight="1">
      <c r="B326" s="321"/>
      <c r="C326" s="321"/>
      <c r="D326" s="321"/>
      <c r="E326" s="321"/>
      <c r="F326" s="321"/>
      <c r="G326" s="321"/>
      <c r="H326" s="321"/>
      <c r="I326" s="321"/>
      <c r="J326" s="321"/>
      <c r="K326" s="321"/>
      <c r="L326" s="321"/>
      <c r="M326" s="321"/>
      <c r="N326" s="321"/>
      <c r="O326" s="321"/>
      <c r="P326" s="321"/>
      <c r="Q326" s="321"/>
      <c r="R326" s="321"/>
      <c r="S326" s="321"/>
      <c r="T326" s="321"/>
      <c r="U326" s="321"/>
      <c r="V326" s="321"/>
      <c r="W326" s="321"/>
      <c r="X326" s="321"/>
      <c r="Y326" s="321"/>
      <c r="Z326" s="321"/>
      <c r="AA326" s="321"/>
      <c r="AB326" s="321"/>
      <c r="AC326" s="321"/>
      <c r="AD326" s="321"/>
      <c r="AE326" s="321"/>
      <c r="AF326" s="321"/>
      <c r="AG326" s="321"/>
      <c r="AH326" s="321"/>
      <c r="AI326" s="321"/>
      <c r="AJ326" s="321"/>
      <c r="AK326" s="321"/>
      <c r="AL326" s="321"/>
      <c r="AM326" s="321"/>
      <c r="AN326" s="321"/>
      <c r="AO326" s="321"/>
      <c r="AP326" s="427"/>
      <c r="AQ326" s="321"/>
      <c r="AR326" s="321"/>
      <c r="AS326" s="321"/>
      <c r="AT326" s="321"/>
      <c r="AU326" s="136">
        <f t="shared" si="63"/>
        <v>1.5888696473642661E-3</v>
      </c>
      <c r="AV326" s="136">
        <f t="shared" si="74"/>
        <v>-2.950000000000065</v>
      </c>
      <c r="AW326" s="136">
        <f t="shared" si="64"/>
        <v>5.1426409230529513E-3</v>
      </c>
      <c r="AX326" s="136" t="e">
        <f t="shared" si="65"/>
        <v>#N/A</v>
      </c>
      <c r="AY326" s="136">
        <f t="shared" si="66"/>
        <v>-2.9500100000000651</v>
      </c>
      <c r="AZ326" s="136">
        <f t="shared" si="67"/>
        <v>-2.9499900000000649</v>
      </c>
      <c r="BA326" s="136">
        <f t="shared" si="68"/>
        <v>4.9131725422490148E-2</v>
      </c>
      <c r="BB326" s="136">
        <f t="shared" si="69"/>
        <v>4.9132296640827307E-2</v>
      </c>
      <c r="BC326" s="136" t="e">
        <f t="shared" si="70"/>
        <v>#N/A</v>
      </c>
      <c r="BD326" s="136">
        <f t="shared" si="75"/>
        <v>5.1426409230529513E-3</v>
      </c>
      <c r="BE326" s="136">
        <f t="shared" si="71"/>
        <v>4.1426409230529513E-3</v>
      </c>
      <c r="BF326" s="136" t="e">
        <f t="shared" si="72"/>
        <v>#N/A</v>
      </c>
      <c r="BG326" s="136" t="e">
        <f t="shared" si="73"/>
        <v>#N/A</v>
      </c>
    </row>
    <row r="327" spans="2:59" ht="11.25" customHeight="1">
      <c r="B327" s="321"/>
      <c r="C327" s="321"/>
      <c r="D327" s="321"/>
      <c r="E327" s="321"/>
      <c r="F327" s="321"/>
      <c r="G327" s="321"/>
      <c r="H327" s="321"/>
      <c r="I327" s="321"/>
      <c r="J327" s="321"/>
      <c r="K327" s="321"/>
      <c r="L327" s="321"/>
      <c r="M327" s="321"/>
      <c r="N327" s="321"/>
      <c r="O327" s="321"/>
      <c r="P327" s="321"/>
      <c r="Q327" s="321"/>
      <c r="R327" s="321"/>
      <c r="S327" s="321"/>
      <c r="T327" s="321"/>
      <c r="U327" s="321"/>
      <c r="V327" s="321"/>
      <c r="W327" s="321"/>
      <c r="X327" s="321"/>
      <c r="Y327" s="321"/>
      <c r="Z327" s="321"/>
      <c r="AA327" s="321"/>
      <c r="AB327" s="321"/>
      <c r="AC327" s="321"/>
      <c r="AD327" s="321"/>
      <c r="AE327" s="321"/>
      <c r="AF327" s="321"/>
      <c r="AG327" s="321"/>
      <c r="AH327" s="321"/>
      <c r="AI327" s="321"/>
      <c r="AJ327" s="321"/>
      <c r="AK327" s="321"/>
      <c r="AL327" s="321"/>
      <c r="AM327" s="321"/>
      <c r="AN327" s="321"/>
      <c r="AO327" s="321"/>
      <c r="AP327" s="427"/>
      <c r="AQ327" s="321"/>
      <c r="AR327" s="321"/>
      <c r="AS327" s="321"/>
      <c r="AT327" s="321"/>
      <c r="AU327" s="136">
        <f t="shared" si="63"/>
        <v>1.6410612341568598E-3</v>
      </c>
      <c r="AV327" s="136">
        <f t="shared" si="74"/>
        <v>-2.9400000000000652</v>
      </c>
      <c r="AW327" s="136">
        <f t="shared" si="64"/>
        <v>5.2963438653100027E-3</v>
      </c>
      <c r="AX327" s="136" t="e">
        <f t="shared" si="65"/>
        <v>#N/A</v>
      </c>
      <c r="AY327" s="136">
        <f t="shared" si="66"/>
        <v>-2.9400100000000653</v>
      </c>
      <c r="AZ327" s="136">
        <f t="shared" si="67"/>
        <v>-2.9399900000000652</v>
      </c>
      <c r="BA327" s="136">
        <f t="shared" si="68"/>
        <v>4.9418517184769611E-2</v>
      </c>
      <c r="BB327" s="136">
        <f t="shared" si="69"/>
        <v>4.9419093151208467E-2</v>
      </c>
      <c r="BC327" s="136" t="e">
        <f t="shared" si="70"/>
        <v>#N/A</v>
      </c>
      <c r="BD327" s="136">
        <f t="shared" si="75"/>
        <v>5.2963438653100027E-3</v>
      </c>
      <c r="BE327" s="136">
        <f t="shared" si="71"/>
        <v>4.2963438653100027E-3</v>
      </c>
      <c r="BF327" s="136" t="e">
        <f t="shared" si="72"/>
        <v>#N/A</v>
      </c>
      <c r="BG327" s="136" t="e">
        <f t="shared" si="73"/>
        <v>#N/A</v>
      </c>
    </row>
    <row r="328" spans="2:59" ht="11.25" customHeight="1">
      <c r="B328" s="321"/>
      <c r="C328" s="321"/>
      <c r="D328" s="321"/>
      <c r="E328" s="321"/>
      <c r="F328" s="321"/>
      <c r="G328" s="321"/>
      <c r="H328" s="321"/>
      <c r="I328" s="321"/>
      <c r="J328" s="321"/>
      <c r="K328" s="321"/>
      <c r="L328" s="321"/>
      <c r="M328" s="321"/>
      <c r="N328" s="321"/>
      <c r="O328" s="321"/>
      <c r="P328" s="321"/>
      <c r="Q328" s="321"/>
      <c r="R328" s="321"/>
      <c r="S328" s="321"/>
      <c r="T328" s="321"/>
      <c r="U328" s="321"/>
      <c r="V328" s="321"/>
      <c r="W328" s="321"/>
      <c r="X328" s="321"/>
      <c r="Y328" s="321"/>
      <c r="Z328" s="321"/>
      <c r="AA328" s="321"/>
      <c r="AB328" s="321"/>
      <c r="AC328" s="321"/>
      <c r="AD328" s="321"/>
      <c r="AE328" s="321"/>
      <c r="AF328" s="321"/>
      <c r="AG328" s="321"/>
      <c r="AH328" s="321"/>
      <c r="AI328" s="321"/>
      <c r="AJ328" s="321"/>
      <c r="AK328" s="321"/>
      <c r="AL328" s="321"/>
      <c r="AM328" s="321"/>
      <c r="AN328" s="321"/>
      <c r="AO328" s="321"/>
      <c r="AP328" s="427"/>
      <c r="AQ328" s="321"/>
      <c r="AR328" s="321"/>
      <c r="AS328" s="321"/>
      <c r="AT328" s="321"/>
      <c r="AU328" s="136">
        <f t="shared" si="63"/>
        <v>1.6948100192765159E-3</v>
      </c>
      <c r="AV328" s="136">
        <f t="shared" si="74"/>
        <v>-2.9300000000000654</v>
      </c>
      <c r="AW328" s="136">
        <f t="shared" si="64"/>
        <v>5.4540952350555037E-3</v>
      </c>
      <c r="AX328" s="136" t="e">
        <f t="shared" si="65"/>
        <v>#N/A</v>
      </c>
      <c r="AY328" s="136">
        <f t="shared" si="66"/>
        <v>-2.9300100000000655</v>
      </c>
      <c r="AZ328" s="136">
        <f t="shared" si="67"/>
        <v>-2.9299900000000654</v>
      </c>
      <c r="BA328" s="136">
        <f t="shared" si="68"/>
        <v>4.9707695369162787E-2</v>
      </c>
      <c r="BB328" s="136">
        <f t="shared" si="69"/>
        <v>4.9708276133388081E-2</v>
      </c>
      <c r="BC328" s="136" t="e">
        <f t="shared" si="70"/>
        <v>#N/A</v>
      </c>
      <c r="BD328" s="136">
        <f t="shared" si="75"/>
        <v>5.4540952350555037E-3</v>
      </c>
      <c r="BE328" s="136">
        <f t="shared" si="71"/>
        <v>4.4540952350555036E-3</v>
      </c>
      <c r="BF328" s="136" t="e">
        <f t="shared" si="72"/>
        <v>#N/A</v>
      </c>
      <c r="BG328" s="136" t="e">
        <f t="shared" si="73"/>
        <v>#N/A</v>
      </c>
    </row>
    <row r="329" spans="2:59" ht="11.25" customHeight="1">
      <c r="B329" s="321"/>
      <c r="C329" s="321"/>
      <c r="D329" s="321"/>
      <c r="E329" s="321"/>
      <c r="F329" s="321"/>
      <c r="G329" s="321"/>
      <c r="H329" s="321"/>
      <c r="I329" s="321"/>
      <c r="J329" s="321"/>
      <c r="K329" s="321"/>
      <c r="L329" s="321"/>
      <c r="M329" s="321"/>
      <c r="N329" s="321"/>
      <c r="O329" s="321"/>
      <c r="P329" s="321"/>
      <c r="Q329" s="321"/>
      <c r="R329" s="321"/>
      <c r="S329" s="321"/>
      <c r="T329" s="321"/>
      <c r="U329" s="321"/>
      <c r="V329" s="321"/>
      <c r="W329" s="321"/>
      <c r="X329" s="321"/>
      <c r="Y329" s="321"/>
      <c r="Z329" s="321"/>
      <c r="AA329" s="321"/>
      <c r="AB329" s="321"/>
      <c r="AC329" s="321"/>
      <c r="AD329" s="321"/>
      <c r="AE329" s="321"/>
      <c r="AF329" s="321"/>
      <c r="AG329" s="321"/>
      <c r="AH329" s="321"/>
      <c r="AI329" s="321"/>
      <c r="AJ329" s="321"/>
      <c r="AK329" s="321"/>
      <c r="AL329" s="321"/>
      <c r="AM329" s="321"/>
      <c r="AN329" s="321"/>
      <c r="AO329" s="321"/>
      <c r="AP329" s="427"/>
      <c r="AQ329" s="321"/>
      <c r="AR329" s="321"/>
      <c r="AS329" s="321"/>
      <c r="AT329" s="321"/>
      <c r="AU329" s="136">
        <f t="shared" si="63"/>
        <v>1.7501569286757501E-3</v>
      </c>
      <c r="AV329" s="136">
        <f t="shared" si="74"/>
        <v>-2.9200000000000657</v>
      </c>
      <c r="AW329" s="136">
        <f t="shared" si="64"/>
        <v>5.61598359598989E-3</v>
      </c>
      <c r="AX329" s="136" t="e">
        <f t="shared" si="65"/>
        <v>#N/A</v>
      </c>
      <c r="AY329" s="136">
        <f t="shared" si="66"/>
        <v>-2.9200100000000657</v>
      </c>
      <c r="AZ329" s="136">
        <f t="shared" si="67"/>
        <v>-2.9199900000000656</v>
      </c>
      <c r="BA329" s="136">
        <f t="shared" si="68"/>
        <v>4.9999284968918208E-2</v>
      </c>
      <c r="BB329" s="136">
        <f t="shared" si="69"/>
        <v>4.9999870581220733E-2</v>
      </c>
      <c r="BC329" s="136" t="e">
        <f t="shared" si="70"/>
        <v>#N/A</v>
      </c>
      <c r="BD329" s="136">
        <f t="shared" si="75"/>
        <v>5.61598359598989E-3</v>
      </c>
      <c r="BE329" s="136">
        <f t="shared" si="71"/>
        <v>4.61598359598989E-3</v>
      </c>
      <c r="BF329" s="136" t="e">
        <f t="shared" si="72"/>
        <v>#N/A</v>
      </c>
      <c r="BG329" s="136" t="e">
        <f t="shared" si="73"/>
        <v>#N/A</v>
      </c>
    </row>
    <row r="330" spans="2:59" ht="11.25" customHeight="1">
      <c r="B330" s="321"/>
      <c r="C330" s="321"/>
      <c r="D330" s="321"/>
      <c r="E330" s="321"/>
      <c r="F330" s="321"/>
      <c r="G330" s="321"/>
      <c r="H330" s="321"/>
      <c r="I330" s="321"/>
      <c r="J330" s="321"/>
      <c r="K330" s="321"/>
      <c r="L330" s="321"/>
      <c r="M330" s="321"/>
      <c r="N330" s="321"/>
      <c r="O330" s="321"/>
      <c r="P330" s="321"/>
      <c r="Q330" s="321"/>
      <c r="R330" s="321"/>
      <c r="S330" s="321"/>
      <c r="T330" s="321"/>
      <c r="U330" s="321"/>
      <c r="V330" s="321"/>
      <c r="W330" s="321"/>
      <c r="X330" s="321"/>
      <c r="Y330" s="321"/>
      <c r="Z330" s="321"/>
      <c r="AA330" s="321"/>
      <c r="AB330" s="321"/>
      <c r="AC330" s="321"/>
      <c r="AD330" s="321"/>
      <c r="AE330" s="321"/>
      <c r="AF330" s="321"/>
      <c r="AG330" s="321"/>
      <c r="AH330" s="321"/>
      <c r="AI330" s="321"/>
      <c r="AJ330" s="321"/>
      <c r="AK330" s="321"/>
      <c r="AL330" s="321"/>
      <c r="AM330" s="321"/>
      <c r="AN330" s="321"/>
      <c r="AO330" s="321"/>
      <c r="AP330" s="427"/>
      <c r="AQ330" s="321"/>
      <c r="AR330" s="321"/>
      <c r="AS330" s="321"/>
      <c r="AT330" s="321"/>
      <c r="AU330" s="136">
        <f t="shared" si="63"/>
        <v>1.807143780806264E-3</v>
      </c>
      <c r="AV330" s="136">
        <f t="shared" si="74"/>
        <v>-2.9100000000000659</v>
      </c>
      <c r="AW330" s="136">
        <f t="shared" si="64"/>
        <v>5.782098885668367E-3</v>
      </c>
      <c r="AX330" s="136" t="e">
        <f t="shared" si="65"/>
        <v>#N/A</v>
      </c>
      <c r="AY330" s="136">
        <f t="shared" si="66"/>
        <v>-2.9100100000000659</v>
      </c>
      <c r="AZ330" s="136">
        <f t="shared" si="67"/>
        <v>-2.9099900000000658</v>
      </c>
      <c r="BA330" s="136">
        <f t="shared" si="68"/>
        <v>5.0293311282263019E-2</v>
      </c>
      <c r="BB330" s="136">
        <f t="shared" si="69"/>
        <v>5.0293901793547501E-2</v>
      </c>
      <c r="BC330" s="136" t="e">
        <f t="shared" si="70"/>
        <v>#N/A</v>
      </c>
      <c r="BD330" s="136">
        <f t="shared" si="75"/>
        <v>5.782098885668367E-3</v>
      </c>
      <c r="BE330" s="136">
        <f t="shared" si="71"/>
        <v>4.782098885668367E-3</v>
      </c>
      <c r="BF330" s="136" t="e">
        <f t="shared" si="72"/>
        <v>#N/A</v>
      </c>
      <c r="BG330" s="136" t="e">
        <f t="shared" si="73"/>
        <v>#N/A</v>
      </c>
    </row>
    <row r="331" spans="2:59" ht="11.25" customHeight="1">
      <c r="B331" s="321"/>
      <c r="C331" s="321"/>
      <c r="D331" s="321"/>
      <c r="E331" s="321"/>
      <c r="F331" s="321"/>
      <c r="G331" s="321"/>
      <c r="H331" s="321"/>
      <c r="I331" s="321"/>
      <c r="J331" s="321"/>
      <c r="K331" s="321"/>
      <c r="L331" s="321"/>
      <c r="M331" s="321"/>
      <c r="N331" s="321"/>
      <c r="O331" s="321"/>
      <c r="P331" s="321"/>
      <c r="Q331" s="321"/>
      <c r="R331" s="321"/>
      <c r="S331" s="321"/>
      <c r="T331" s="321"/>
      <c r="U331" s="321"/>
      <c r="V331" s="321"/>
      <c r="W331" s="321"/>
      <c r="X331" s="321"/>
      <c r="Y331" s="321"/>
      <c r="Z331" s="321"/>
      <c r="AA331" s="321"/>
      <c r="AB331" s="321"/>
      <c r="AC331" s="321"/>
      <c r="AD331" s="321"/>
      <c r="AE331" s="321"/>
      <c r="AF331" s="321"/>
      <c r="AG331" s="321"/>
      <c r="AH331" s="321"/>
      <c r="AI331" s="321"/>
      <c r="AJ331" s="321"/>
      <c r="AK331" s="321"/>
      <c r="AL331" s="321"/>
      <c r="AM331" s="321"/>
      <c r="AN331" s="321"/>
      <c r="AO331" s="321"/>
      <c r="AP331" s="427"/>
      <c r="AQ331" s="321"/>
      <c r="AR331" s="321"/>
      <c r="AS331" s="321"/>
      <c r="AT331" s="321"/>
      <c r="AU331" s="136">
        <f t="shared" si="63"/>
        <v>1.8658133003836008E-3</v>
      </c>
      <c r="AV331" s="136">
        <f t="shared" si="74"/>
        <v>-2.9000000000000661</v>
      </c>
      <c r="AW331" s="136">
        <f t="shared" si="64"/>
        <v>5.9525324197747115E-3</v>
      </c>
      <c r="AX331" s="136" t="e">
        <f t="shared" si="65"/>
        <v>#N/A</v>
      </c>
      <c r="AY331" s="136">
        <f t="shared" si="66"/>
        <v>-2.9000100000000661</v>
      </c>
      <c r="AZ331" s="136">
        <f t="shared" si="67"/>
        <v>-2.899990000000066</v>
      </c>
      <c r="BA331" s="136">
        <f t="shared" si="68"/>
        <v>5.0589799916464076E-2</v>
      </c>
      <c r="BB331" s="136">
        <f t="shared" si="69"/>
        <v>5.0590395378257477E-2</v>
      </c>
      <c r="BC331" s="136" t="e">
        <f t="shared" si="70"/>
        <v>#N/A</v>
      </c>
      <c r="BD331" s="136">
        <f t="shared" si="75"/>
        <v>5.9525324197747115E-3</v>
      </c>
      <c r="BE331" s="136">
        <f t="shared" si="71"/>
        <v>4.9525324197747115E-3</v>
      </c>
      <c r="BF331" s="136" t="e">
        <f t="shared" si="72"/>
        <v>#N/A</v>
      </c>
      <c r="BG331" s="136" t="e">
        <f t="shared" si="73"/>
        <v>#N/A</v>
      </c>
    </row>
    <row r="332" spans="2:59" ht="11.25" customHeight="1">
      <c r="B332" s="321"/>
      <c r="C332" s="321"/>
      <c r="D332" s="321"/>
      <c r="E332" s="321"/>
      <c r="F332" s="321"/>
      <c r="G332" s="321"/>
      <c r="H332" s="321"/>
      <c r="I332" s="321"/>
      <c r="J332" s="321"/>
      <c r="K332" s="321"/>
      <c r="L332" s="321"/>
      <c r="M332" s="321"/>
      <c r="N332" s="321"/>
      <c r="O332" s="321"/>
      <c r="P332" s="321"/>
      <c r="Q332" s="321"/>
      <c r="R332" s="321"/>
      <c r="S332" s="321"/>
      <c r="T332" s="321"/>
      <c r="U332" s="321"/>
      <c r="V332" s="321"/>
      <c r="W332" s="321"/>
      <c r="X332" s="321"/>
      <c r="Y332" s="321"/>
      <c r="Z332" s="321"/>
      <c r="AA332" s="321"/>
      <c r="AB332" s="321"/>
      <c r="AC332" s="321"/>
      <c r="AD332" s="321"/>
      <c r="AE332" s="321"/>
      <c r="AF332" s="321"/>
      <c r="AG332" s="321"/>
      <c r="AH332" s="321"/>
      <c r="AI332" s="321"/>
      <c r="AJ332" s="321"/>
      <c r="AK332" s="321"/>
      <c r="AL332" s="321"/>
      <c r="AM332" s="321"/>
      <c r="AN332" s="321"/>
      <c r="AO332" s="321"/>
      <c r="AP332" s="427"/>
      <c r="AQ332" s="321"/>
      <c r="AR332" s="321"/>
      <c r="AS332" s="321"/>
      <c r="AT332" s="321"/>
      <c r="AU332" s="136">
        <f t="shared" si="63"/>
        <v>1.9262091321875507E-3</v>
      </c>
      <c r="AV332" s="136">
        <f t="shared" si="74"/>
        <v>-2.8900000000000663</v>
      </c>
      <c r="AW332" s="136">
        <f t="shared" si="64"/>
        <v>6.1273768958225111E-3</v>
      </c>
      <c r="AX332" s="136" t="e">
        <f t="shared" si="65"/>
        <v>#N/A</v>
      </c>
      <c r="AY332" s="136">
        <f t="shared" si="66"/>
        <v>-2.8900100000000664</v>
      </c>
      <c r="AZ332" s="136">
        <f t="shared" si="67"/>
        <v>-2.8899900000000662</v>
      </c>
      <c r="BA332" s="136">
        <f t="shared" si="68"/>
        <v>5.0888776791943806E-2</v>
      </c>
      <c r="BB332" s="136">
        <f t="shared" si="69"/>
        <v>5.0889377256403516E-2</v>
      </c>
      <c r="BC332" s="136" t="e">
        <f t="shared" si="70"/>
        <v>#N/A</v>
      </c>
      <c r="BD332" s="136">
        <f t="shared" si="75"/>
        <v>6.1273768958225111E-3</v>
      </c>
      <c r="BE332" s="136">
        <f t="shared" si="71"/>
        <v>5.1273768958225111E-3</v>
      </c>
      <c r="BF332" s="136" t="e">
        <f t="shared" si="72"/>
        <v>#N/A</v>
      </c>
      <c r="BG332" s="136" t="e">
        <f t="shared" si="73"/>
        <v>#N/A</v>
      </c>
    </row>
    <row r="333" spans="2:59" ht="11.25" customHeight="1">
      <c r="B333" s="321"/>
      <c r="C333" s="321"/>
      <c r="D333" s="321"/>
      <c r="E333" s="321"/>
      <c r="F333" s="321"/>
      <c r="G333" s="321"/>
      <c r="H333" s="321"/>
      <c r="I333" s="321"/>
      <c r="J333" s="321"/>
      <c r="K333" s="321"/>
      <c r="L333" s="321"/>
      <c r="M333" s="321"/>
      <c r="N333" s="321"/>
      <c r="O333" s="321"/>
      <c r="P333" s="321"/>
      <c r="Q333" s="321"/>
      <c r="R333" s="321"/>
      <c r="S333" s="321"/>
      <c r="T333" s="321"/>
      <c r="U333" s="321"/>
      <c r="V333" s="321"/>
      <c r="W333" s="321"/>
      <c r="X333" s="321"/>
      <c r="Y333" s="321"/>
      <c r="Z333" s="321"/>
      <c r="AA333" s="321"/>
      <c r="AB333" s="321"/>
      <c r="AC333" s="321"/>
      <c r="AD333" s="321"/>
      <c r="AE333" s="321"/>
      <c r="AF333" s="321"/>
      <c r="AG333" s="321"/>
      <c r="AH333" s="321"/>
      <c r="AI333" s="321"/>
      <c r="AJ333" s="321"/>
      <c r="AK333" s="321"/>
      <c r="AL333" s="321"/>
      <c r="AM333" s="321"/>
      <c r="AN333" s="321"/>
      <c r="AO333" s="321"/>
      <c r="AP333" s="427"/>
      <c r="AQ333" s="321"/>
      <c r="AR333" s="321"/>
      <c r="AS333" s="321"/>
      <c r="AT333" s="321"/>
      <c r="AU333" s="136">
        <f t="shared" si="63"/>
        <v>1.9883758548937536E-3</v>
      </c>
      <c r="AV333" s="136">
        <f t="shared" si="74"/>
        <v>-2.8800000000000665</v>
      </c>
      <c r="AW333" s="136">
        <f t="shared" si="64"/>
        <v>6.3067263962647167E-3</v>
      </c>
      <c r="AX333" s="136" t="e">
        <f t="shared" si="65"/>
        <v>#N/A</v>
      </c>
      <c r="AY333" s="136">
        <f t="shared" si="66"/>
        <v>-2.8800100000000666</v>
      </c>
      <c r="AZ333" s="136">
        <f t="shared" si="67"/>
        <v>-2.8799900000000664</v>
      </c>
      <c r="BA333" s="136">
        <f t="shared" si="68"/>
        <v>5.1190268146450897E-2</v>
      </c>
      <c r="BB333" s="136">
        <f t="shared" si="69"/>
        <v>5.119087366637317E-2</v>
      </c>
      <c r="BC333" s="136" t="e">
        <f t="shared" si="70"/>
        <v>#N/A</v>
      </c>
      <c r="BD333" s="136">
        <f t="shared" si="75"/>
        <v>6.3067263962647167E-3</v>
      </c>
      <c r="BE333" s="136">
        <f t="shared" si="71"/>
        <v>5.3067263962647167E-3</v>
      </c>
      <c r="BF333" s="136" t="e">
        <f t="shared" si="72"/>
        <v>#N/A</v>
      </c>
      <c r="BG333" s="136" t="e">
        <f t="shared" si="73"/>
        <v>#N/A</v>
      </c>
    </row>
    <row r="334" spans="2:59" ht="11.25" customHeight="1">
      <c r="B334" s="321"/>
      <c r="C334" s="321"/>
      <c r="D334" s="321"/>
      <c r="E334" s="321"/>
      <c r="F334" s="321"/>
      <c r="G334" s="321"/>
      <c r="H334" s="321"/>
      <c r="I334" s="321"/>
      <c r="J334" s="321"/>
      <c r="K334" s="321"/>
      <c r="L334" s="321"/>
      <c r="M334" s="321"/>
      <c r="N334" s="321"/>
      <c r="O334" s="321"/>
      <c r="P334" s="321"/>
      <c r="Q334" s="321"/>
      <c r="R334" s="321"/>
      <c r="S334" s="321"/>
      <c r="T334" s="321"/>
      <c r="U334" s="321"/>
      <c r="V334" s="321"/>
      <c r="W334" s="321"/>
      <c r="X334" s="321"/>
      <c r="Y334" s="321"/>
      <c r="Z334" s="321"/>
      <c r="AA334" s="321"/>
      <c r="AB334" s="321"/>
      <c r="AC334" s="321"/>
      <c r="AD334" s="321"/>
      <c r="AE334" s="321"/>
      <c r="AF334" s="321"/>
      <c r="AG334" s="321"/>
      <c r="AH334" s="321"/>
      <c r="AI334" s="321"/>
      <c r="AJ334" s="321"/>
      <c r="AK334" s="321"/>
      <c r="AL334" s="321"/>
      <c r="AM334" s="321"/>
      <c r="AN334" s="321"/>
      <c r="AO334" s="321"/>
      <c r="AP334" s="427"/>
      <c r="AQ334" s="321"/>
      <c r="AR334" s="321"/>
      <c r="AS334" s="321"/>
      <c r="AT334" s="321"/>
      <c r="AU334" s="136">
        <f t="shared" si="63"/>
        <v>2.0523589949390519E-3</v>
      </c>
      <c r="AV334" s="136">
        <f t="shared" si="74"/>
        <v>-2.8700000000000667</v>
      </c>
      <c r="AW334" s="136">
        <f t="shared" si="64"/>
        <v>6.4906763909921231E-3</v>
      </c>
      <c r="AX334" s="136" t="e">
        <f t="shared" si="65"/>
        <v>#N/A</v>
      </c>
      <c r="AY334" s="136">
        <f t="shared" si="66"/>
        <v>-2.8700100000000668</v>
      </c>
      <c r="AZ334" s="136">
        <f t="shared" si="67"/>
        <v>-2.8699900000000667</v>
      </c>
      <c r="BA334" s="136">
        <f t="shared" si="68"/>
        <v>5.1494300539286116E-2</v>
      </c>
      <c r="BB334" s="136">
        <f t="shared" si="69"/>
        <v>5.1494911168114652E-2</v>
      </c>
      <c r="BC334" s="136" t="e">
        <f t="shared" si="70"/>
        <v>#N/A</v>
      </c>
      <c r="BD334" s="136">
        <f t="shared" si="75"/>
        <v>6.4906763909921231E-3</v>
      </c>
      <c r="BE334" s="136">
        <f t="shared" si="71"/>
        <v>5.4906763909921231E-3</v>
      </c>
      <c r="BF334" s="136" t="e">
        <f t="shared" si="72"/>
        <v>#N/A</v>
      </c>
      <c r="BG334" s="136" t="e">
        <f t="shared" si="73"/>
        <v>#N/A</v>
      </c>
    </row>
    <row r="335" spans="2:59" ht="11.25" customHeight="1">
      <c r="B335" s="321"/>
      <c r="C335" s="321"/>
      <c r="D335" s="321"/>
      <c r="E335" s="321"/>
      <c r="F335" s="321"/>
      <c r="G335" s="321"/>
      <c r="H335" s="321"/>
      <c r="I335" s="321"/>
      <c r="J335" s="321"/>
      <c r="K335" s="321"/>
      <c r="L335" s="321"/>
      <c r="M335" s="321"/>
      <c r="N335" s="321"/>
      <c r="O335" s="321"/>
      <c r="P335" s="321"/>
      <c r="Q335" s="321"/>
      <c r="R335" s="321"/>
      <c r="S335" s="321"/>
      <c r="T335" s="321"/>
      <c r="U335" s="321"/>
      <c r="V335" s="321"/>
      <c r="W335" s="321"/>
      <c r="X335" s="321"/>
      <c r="Y335" s="321"/>
      <c r="Z335" s="321"/>
      <c r="AA335" s="321"/>
      <c r="AB335" s="321"/>
      <c r="AC335" s="321"/>
      <c r="AD335" s="321"/>
      <c r="AE335" s="321"/>
      <c r="AF335" s="321"/>
      <c r="AG335" s="321"/>
      <c r="AH335" s="321"/>
      <c r="AI335" s="321"/>
      <c r="AJ335" s="321"/>
      <c r="AK335" s="321"/>
      <c r="AL335" s="321"/>
      <c r="AM335" s="321"/>
      <c r="AN335" s="321"/>
      <c r="AO335" s="321"/>
      <c r="AP335" s="427"/>
      <c r="AQ335" s="321"/>
      <c r="AR335" s="321"/>
      <c r="AS335" s="321"/>
      <c r="AT335" s="321"/>
      <c r="AU335" s="136">
        <f t="shared" si="63"/>
        <v>2.1182050404038311E-3</v>
      </c>
      <c r="AV335" s="136">
        <f t="shared" si="74"/>
        <v>-2.8600000000000669</v>
      </c>
      <c r="AW335" s="136">
        <f t="shared" si="64"/>
        <v>6.6793237392013391E-3</v>
      </c>
      <c r="AX335" s="136" t="e">
        <f t="shared" si="65"/>
        <v>#N/A</v>
      </c>
      <c r="AY335" s="136">
        <f t="shared" si="66"/>
        <v>-2.860010000000067</v>
      </c>
      <c r="AZ335" s="136">
        <f t="shared" si="67"/>
        <v>-2.8599900000000669</v>
      </c>
      <c r="BA335" s="136">
        <f t="shared" si="68"/>
        <v>5.1800900855584794E-2</v>
      </c>
      <c r="BB335" s="136">
        <f t="shared" si="69"/>
        <v>5.1801516647419193E-2</v>
      </c>
      <c r="BC335" s="136" t="e">
        <f t="shared" si="70"/>
        <v>#N/A</v>
      </c>
      <c r="BD335" s="136">
        <f t="shared" si="75"/>
        <v>6.6793237392013391E-3</v>
      </c>
      <c r="BE335" s="136">
        <f t="shared" si="71"/>
        <v>5.679323739201339E-3</v>
      </c>
      <c r="BF335" s="136" t="e">
        <f t="shared" si="72"/>
        <v>#N/A</v>
      </c>
      <c r="BG335" s="136" t="e">
        <f t="shared" si="73"/>
        <v>#N/A</v>
      </c>
    </row>
    <row r="336" spans="2:59" ht="11.25" customHeight="1">
      <c r="B336" s="321"/>
      <c r="C336" s="321"/>
      <c r="D336" s="321"/>
      <c r="E336" s="321"/>
      <c r="F336" s="321"/>
      <c r="G336" s="321"/>
      <c r="H336" s="321"/>
      <c r="I336" s="321"/>
      <c r="J336" s="321"/>
      <c r="K336" s="321"/>
      <c r="L336" s="321"/>
      <c r="M336" s="321"/>
      <c r="N336" s="321"/>
      <c r="O336" s="321"/>
      <c r="P336" s="321"/>
      <c r="Q336" s="321"/>
      <c r="R336" s="321"/>
      <c r="S336" s="321"/>
      <c r="T336" s="321"/>
      <c r="U336" s="321"/>
      <c r="V336" s="321"/>
      <c r="W336" s="321"/>
      <c r="X336" s="321"/>
      <c r="Y336" s="321"/>
      <c r="Z336" s="321"/>
      <c r="AA336" s="321"/>
      <c r="AB336" s="321"/>
      <c r="AC336" s="321"/>
      <c r="AD336" s="321"/>
      <c r="AE336" s="321"/>
      <c r="AF336" s="321"/>
      <c r="AG336" s="321"/>
      <c r="AH336" s="321"/>
      <c r="AI336" s="321"/>
      <c r="AJ336" s="321"/>
      <c r="AK336" s="321"/>
      <c r="AL336" s="321"/>
      <c r="AM336" s="321"/>
      <c r="AN336" s="321"/>
      <c r="AO336" s="321"/>
      <c r="AP336" s="427"/>
      <c r="AQ336" s="321"/>
      <c r="AR336" s="321"/>
      <c r="AS336" s="321"/>
      <c r="AT336" s="321"/>
      <c r="AU336" s="136">
        <f t="shared" si="63"/>
        <v>2.1859614549131212E-3</v>
      </c>
      <c r="AV336" s="136">
        <f t="shared" si="74"/>
        <v>-2.8500000000000671</v>
      </c>
      <c r="AW336" s="136">
        <f t="shared" si="64"/>
        <v>6.872766690612658E-3</v>
      </c>
      <c r="AX336" s="136" t="e">
        <f t="shared" si="65"/>
        <v>#N/A</v>
      </c>
      <c r="AY336" s="136">
        <f t="shared" si="66"/>
        <v>-2.8500100000000672</v>
      </c>
      <c r="AZ336" s="136">
        <f t="shared" si="67"/>
        <v>-2.8499900000000671</v>
      </c>
      <c r="BA336" s="136">
        <f t="shared" si="68"/>
        <v>5.2110096310655392E-2</v>
      </c>
      <c r="BB336" s="136">
        <f t="shared" si="69"/>
        <v>5.2110717320260055E-2</v>
      </c>
      <c r="BC336" s="136" t="e">
        <f t="shared" si="70"/>
        <v>#N/A</v>
      </c>
      <c r="BD336" s="136">
        <f t="shared" si="75"/>
        <v>6.872766690612658E-3</v>
      </c>
      <c r="BE336" s="136">
        <f t="shared" si="71"/>
        <v>5.872766690612658E-3</v>
      </c>
      <c r="BF336" s="136" t="e">
        <f t="shared" si="72"/>
        <v>#N/A</v>
      </c>
      <c r="BG336" s="136" t="e">
        <f t="shared" si="73"/>
        <v>#N/A</v>
      </c>
    </row>
    <row r="337" spans="2:59" ht="11.25" customHeight="1">
      <c r="B337" s="321"/>
      <c r="C337" s="321"/>
      <c r="D337" s="321"/>
      <c r="E337" s="321"/>
      <c r="F337" s="321"/>
      <c r="G337" s="321"/>
      <c r="H337" s="321"/>
      <c r="I337" s="321"/>
      <c r="J337" s="321"/>
      <c r="K337" s="321"/>
      <c r="L337" s="321"/>
      <c r="M337" s="321"/>
      <c r="N337" s="321"/>
      <c r="O337" s="321"/>
      <c r="P337" s="321"/>
      <c r="Q337" s="321"/>
      <c r="R337" s="321"/>
      <c r="S337" s="321"/>
      <c r="T337" s="321"/>
      <c r="U337" s="321"/>
      <c r="V337" s="321"/>
      <c r="W337" s="321"/>
      <c r="X337" s="321"/>
      <c r="Y337" s="321"/>
      <c r="Z337" s="321"/>
      <c r="AA337" s="321"/>
      <c r="AB337" s="321"/>
      <c r="AC337" s="321"/>
      <c r="AD337" s="321"/>
      <c r="AE337" s="321"/>
      <c r="AF337" s="321"/>
      <c r="AG337" s="321"/>
      <c r="AH337" s="321"/>
      <c r="AI337" s="321"/>
      <c r="AJ337" s="321"/>
      <c r="AK337" s="321"/>
      <c r="AL337" s="321"/>
      <c r="AM337" s="321"/>
      <c r="AN337" s="321"/>
      <c r="AO337" s="321"/>
      <c r="AP337" s="427"/>
      <c r="AQ337" s="321"/>
      <c r="AR337" s="321"/>
      <c r="AS337" s="321"/>
      <c r="AT337" s="321"/>
      <c r="AU337" s="136">
        <f t="shared" si="63"/>
        <v>2.255676691541586E-3</v>
      </c>
      <c r="AV337" s="136">
        <f t="shared" si="74"/>
        <v>-2.8400000000000674</v>
      </c>
      <c r="AW337" s="136">
        <f t="shared" si="64"/>
        <v>7.0711048860180982E-3</v>
      </c>
      <c r="AX337" s="136" t="e">
        <f t="shared" si="65"/>
        <v>#N/A</v>
      </c>
      <c r="AY337" s="136">
        <f t="shared" si="66"/>
        <v>-2.8400100000000674</v>
      </c>
      <c r="AZ337" s="136">
        <f t="shared" si="67"/>
        <v>-2.8399900000000673</v>
      </c>
      <c r="BA337" s="136">
        <f t="shared" si="68"/>
        <v>5.2421914454375884E-2</v>
      </c>
      <c r="BB337" s="136">
        <f t="shared" si="69"/>
        <v>5.2422540737188779E-2</v>
      </c>
      <c r="BC337" s="136" t="e">
        <f t="shared" si="70"/>
        <v>#N/A</v>
      </c>
      <c r="BD337" s="136">
        <f t="shared" si="75"/>
        <v>7.0711048860180982E-3</v>
      </c>
      <c r="BE337" s="136">
        <f t="shared" si="71"/>
        <v>6.0711048860180982E-3</v>
      </c>
      <c r="BF337" s="136" t="e">
        <f t="shared" si="72"/>
        <v>#N/A</v>
      </c>
      <c r="BG337" s="136" t="e">
        <f t="shared" si="73"/>
        <v>#N/A</v>
      </c>
    </row>
    <row r="338" spans="2:59" ht="11.25" customHeight="1">
      <c r="B338" s="321"/>
      <c r="C338" s="321"/>
      <c r="D338" s="321"/>
      <c r="E338" s="321"/>
      <c r="F338" s="321"/>
      <c r="G338" s="321"/>
      <c r="H338" s="321"/>
      <c r="I338" s="321"/>
      <c r="J338" s="321"/>
      <c r="K338" s="321"/>
      <c r="L338" s="321"/>
      <c r="M338" s="321"/>
      <c r="N338" s="321"/>
      <c r="O338" s="321"/>
      <c r="P338" s="321"/>
      <c r="Q338" s="321"/>
      <c r="R338" s="321"/>
      <c r="S338" s="321"/>
      <c r="T338" s="321"/>
      <c r="U338" s="321"/>
      <c r="V338" s="321"/>
      <c r="W338" s="321"/>
      <c r="X338" s="321"/>
      <c r="Y338" s="321"/>
      <c r="Z338" s="321"/>
      <c r="AA338" s="321"/>
      <c r="AB338" s="321"/>
      <c r="AC338" s="321"/>
      <c r="AD338" s="321"/>
      <c r="AE338" s="321"/>
      <c r="AF338" s="321"/>
      <c r="AG338" s="321"/>
      <c r="AH338" s="321"/>
      <c r="AI338" s="321"/>
      <c r="AJ338" s="321"/>
      <c r="AK338" s="321"/>
      <c r="AL338" s="321"/>
      <c r="AM338" s="321"/>
      <c r="AN338" s="321"/>
      <c r="AO338" s="321"/>
      <c r="AP338" s="427"/>
      <c r="AQ338" s="321"/>
      <c r="AR338" s="321"/>
      <c r="AS338" s="321"/>
      <c r="AT338" s="321"/>
      <c r="AU338" s="136">
        <f t="shared" si="63"/>
        <v>2.3274002067308341E-3</v>
      </c>
      <c r="AV338" s="136">
        <f t="shared" si="74"/>
        <v>-2.8300000000000676</v>
      </c>
      <c r="AW338" s="136">
        <f t="shared" si="64"/>
        <v>7.2744393571398279E-3</v>
      </c>
      <c r="AX338" s="136" t="e">
        <f t="shared" si="65"/>
        <v>#N/A</v>
      </c>
      <c r="AY338" s="136">
        <f t="shared" si="66"/>
        <v>-2.8300100000000676</v>
      </c>
      <c r="AZ338" s="136">
        <f t="shared" si="67"/>
        <v>-2.8299900000000675</v>
      </c>
      <c r="BA338" s="136">
        <f t="shared" si="68"/>
        <v>5.273638317564764E-2</v>
      </c>
      <c r="BB338" s="136">
        <f t="shared" si="69"/>
        <v>5.2737014787789256E-2</v>
      </c>
      <c r="BC338" s="136" t="e">
        <f t="shared" si="70"/>
        <v>#N/A</v>
      </c>
      <c r="BD338" s="136">
        <f t="shared" si="75"/>
        <v>7.2744393571398279E-3</v>
      </c>
      <c r="BE338" s="136">
        <f t="shared" si="71"/>
        <v>6.2744393571398278E-3</v>
      </c>
      <c r="BF338" s="136" t="e">
        <f t="shared" si="72"/>
        <v>#N/A</v>
      </c>
      <c r="BG338" s="136" t="e">
        <f t="shared" si="73"/>
        <v>#N/A</v>
      </c>
    </row>
    <row r="339" spans="2:59" ht="11.25" customHeight="1">
      <c r="B339" s="321"/>
      <c r="C339" s="321"/>
      <c r="D339" s="321"/>
      <c r="E339" s="321"/>
      <c r="F339" s="321"/>
      <c r="G339" s="321"/>
      <c r="H339" s="321"/>
      <c r="I339" s="321"/>
      <c r="J339" s="321"/>
      <c r="K339" s="321"/>
      <c r="L339" s="321"/>
      <c r="M339" s="321"/>
      <c r="N339" s="321"/>
      <c r="O339" s="321"/>
      <c r="P339" s="321"/>
      <c r="Q339" s="321"/>
      <c r="R339" s="321"/>
      <c r="S339" s="321"/>
      <c r="T339" s="321"/>
      <c r="U339" s="321"/>
      <c r="V339" s="321"/>
      <c r="W339" s="321"/>
      <c r="X339" s="321"/>
      <c r="Y339" s="321"/>
      <c r="Z339" s="321"/>
      <c r="AA339" s="321"/>
      <c r="AB339" s="321"/>
      <c r="AC339" s="321"/>
      <c r="AD339" s="321"/>
      <c r="AE339" s="321"/>
      <c r="AF339" s="321"/>
      <c r="AG339" s="321"/>
      <c r="AH339" s="321"/>
      <c r="AI339" s="321"/>
      <c r="AJ339" s="321"/>
      <c r="AK339" s="321"/>
      <c r="AL339" s="321"/>
      <c r="AM339" s="321"/>
      <c r="AN339" s="321"/>
      <c r="AO339" s="321"/>
      <c r="AP339" s="427"/>
      <c r="AQ339" s="321"/>
      <c r="AR339" s="321"/>
      <c r="AS339" s="321"/>
      <c r="AT339" s="321"/>
      <c r="AU339" s="136">
        <f t="shared" si="63"/>
        <v>2.4011824741887455E-3</v>
      </c>
      <c r="AV339" s="136">
        <f t="shared" si="74"/>
        <v>-2.8200000000000678</v>
      </c>
      <c r="AW339" s="136">
        <f t="shared" si="64"/>
        <v>7.4828725257791275E-3</v>
      </c>
      <c r="AX339" s="136" t="e">
        <f t="shared" si="65"/>
        <v>#N/A</v>
      </c>
      <c r="AY339" s="136">
        <f t="shared" si="66"/>
        <v>-2.8200100000000679</v>
      </c>
      <c r="AZ339" s="136">
        <f t="shared" si="67"/>
        <v>-2.8199900000000677</v>
      </c>
      <c r="BA339" s="136">
        <f t="shared" si="68"/>
        <v>5.3053530706907902E-2</v>
      </c>
      <c r="BB339" s="136">
        <f t="shared" si="69"/>
        <v>5.3054167705190412E-2</v>
      </c>
      <c r="BC339" s="136" t="e">
        <f t="shared" si="70"/>
        <v>#N/A</v>
      </c>
      <c r="BD339" s="136">
        <f t="shared" si="75"/>
        <v>7.4828725257791275E-3</v>
      </c>
      <c r="BE339" s="136">
        <f t="shared" si="71"/>
        <v>6.4828725257791275E-3</v>
      </c>
      <c r="BF339" s="136" t="e">
        <f t="shared" si="72"/>
        <v>#N/A</v>
      </c>
      <c r="BG339" s="136" t="e">
        <f t="shared" si="73"/>
        <v>#N/A</v>
      </c>
    </row>
    <row r="340" spans="2:59" ht="11.25" customHeight="1">
      <c r="B340" s="321"/>
      <c r="C340" s="321"/>
      <c r="D340" s="321"/>
      <c r="E340" s="321"/>
      <c r="F340" s="321"/>
      <c r="G340" s="321"/>
      <c r="H340" s="321"/>
      <c r="I340" s="321"/>
      <c r="J340" s="321"/>
      <c r="K340" s="321"/>
      <c r="L340" s="321"/>
      <c r="M340" s="321"/>
      <c r="N340" s="321"/>
      <c r="O340" s="321"/>
      <c r="P340" s="321"/>
      <c r="Q340" s="321"/>
      <c r="R340" s="321"/>
      <c r="S340" s="321"/>
      <c r="T340" s="321"/>
      <c r="U340" s="321"/>
      <c r="V340" s="321"/>
      <c r="W340" s="321"/>
      <c r="X340" s="321"/>
      <c r="Y340" s="321"/>
      <c r="Z340" s="321"/>
      <c r="AA340" s="321"/>
      <c r="AB340" s="321"/>
      <c r="AC340" s="321"/>
      <c r="AD340" s="321"/>
      <c r="AE340" s="321"/>
      <c r="AF340" s="321"/>
      <c r="AG340" s="321"/>
      <c r="AH340" s="321"/>
      <c r="AI340" s="321"/>
      <c r="AJ340" s="321"/>
      <c r="AK340" s="321"/>
      <c r="AL340" s="321"/>
      <c r="AM340" s="321"/>
      <c r="AN340" s="321"/>
      <c r="AO340" s="321"/>
      <c r="AP340" s="427"/>
      <c r="AQ340" s="321"/>
      <c r="AR340" s="321"/>
      <c r="AS340" s="321"/>
      <c r="AT340" s="321"/>
      <c r="AU340" s="136">
        <f t="shared" si="63"/>
        <v>2.4770749987852447E-3</v>
      </c>
      <c r="AV340" s="136">
        <f t="shared" si="74"/>
        <v>-2.810000000000068</v>
      </c>
      <c r="AW340" s="136">
        <f t="shared" si="64"/>
        <v>7.6965082022358508E-3</v>
      </c>
      <c r="AX340" s="136" t="e">
        <f t="shared" si="65"/>
        <v>#N/A</v>
      </c>
      <c r="AY340" s="136">
        <f t="shared" si="66"/>
        <v>-2.8100100000000681</v>
      </c>
      <c r="AZ340" s="136">
        <f t="shared" si="67"/>
        <v>-2.8099900000000679</v>
      </c>
      <c r="BA340" s="136">
        <f t="shared" si="68"/>
        <v>5.3373385628701406E-2</v>
      </c>
      <c r="BB340" s="136">
        <f t="shared" si="69"/>
        <v>5.3374028070637743E-2</v>
      </c>
      <c r="BC340" s="136" t="e">
        <f t="shared" si="70"/>
        <v>#N/A</v>
      </c>
      <c r="BD340" s="136">
        <f t="shared" si="75"/>
        <v>7.6965082022358508E-3</v>
      </c>
      <c r="BE340" s="136">
        <f t="shared" si="71"/>
        <v>6.6965082022358508E-3</v>
      </c>
      <c r="BF340" s="136" t="e">
        <f t="shared" si="72"/>
        <v>#N/A</v>
      </c>
      <c r="BG340" s="136" t="e">
        <f t="shared" si="73"/>
        <v>#N/A</v>
      </c>
    </row>
    <row r="341" spans="2:59" ht="11.25" customHeight="1">
      <c r="B341" s="321"/>
      <c r="C341" s="321"/>
      <c r="D341" s="321"/>
      <c r="E341" s="321"/>
      <c r="F341" s="321"/>
      <c r="G341" s="321"/>
      <c r="H341" s="321"/>
      <c r="I341" s="321"/>
      <c r="J341" s="321"/>
      <c r="K341" s="321"/>
      <c r="L341" s="321"/>
      <c r="M341" s="321"/>
      <c r="N341" s="321"/>
      <c r="O341" s="321"/>
      <c r="P341" s="321"/>
      <c r="Q341" s="321"/>
      <c r="R341" s="321"/>
      <c r="S341" s="321"/>
      <c r="T341" s="321"/>
      <c r="U341" s="321"/>
      <c r="V341" s="321"/>
      <c r="W341" s="321"/>
      <c r="X341" s="321"/>
      <c r="Y341" s="321"/>
      <c r="Z341" s="321"/>
      <c r="AA341" s="321"/>
      <c r="AB341" s="321"/>
      <c r="AC341" s="321"/>
      <c r="AD341" s="321"/>
      <c r="AE341" s="321"/>
      <c r="AF341" s="321"/>
      <c r="AG341" s="321"/>
      <c r="AH341" s="321"/>
      <c r="AI341" s="321"/>
      <c r="AJ341" s="321"/>
      <c r="AK341" s="321"/>
      <c r="AL341" s="321"/>
      <c r="AM341" s="321"/>
      <c r="AN341" s="321"/>
      <c r="AO341" s="321"/>
      <c r="AP341" s="427"/>
      <c r="AQ341" s="321"/>
      <c r="AR341" s="321"/>
      <c r="AS341" s="321"/>
      <c r="AT341" s="321"/>
      <c r="AU341" s="136">
        <f t="shared" ref="AU341:AU404" si="76">NORMDIST(AV341,$AV$17,$AV$18,TRUE)</f>
        <v>2.5551303304274242E-3</v>
      </c>
      <c r="AV341" s="136">
        <f t="shared" si="74"/>
        <v>-2.8000000000000682</v>
      </c>
      <c r="AW341" s="136">
        <f t="shared" ref="AW341:AW404" si="77">IF($AV$13=1,NORMDIST(AV341,$AV$17,$AV$18,FALSE),NA())</f>
        <v>7.9154515829784507E-3</v>
      </c>
      <c r="AX341" s="136" t="e">
        <f t="shared" ref="AX341:AX404" si="78">IF($AV$13=3,NORMDIST(AV341,$AV$17,$AV$18,FALSE),NA())</f>
        <v>#N/A</v>
      </c>
      <c r="AY341" s="136">
        <f t="shared" ref="AY341:AY404" si="79">AV341-$AY$19</f>
        <v>-2.8000100000000683</v>
      </c>
      <c r="AZ341" s="136">
        <f t="shared" ref="AZ341:AZ404" si="80">AV341+$AY$19</f>
        <v>-2.7999900000000681</v>
      </c>
      <c r="BA341" s="136">
        <f t="shared" ref="BA341:BA404" si="81">IF(AY341&lt;0,TDIST(-AY341,$AV$14,1),1-TDIST(AY341,$AV$14,1))</f>
        <v>5.3695976874311283E-2</v>
      </c>
      <c r="BB341" s="136">
        <f t="shared" ref="BB341:BB404" si="82">IF(AZ341&lt;0,TDIST(-AZ341,$AV$14,1),1-TDIST(AZ341,$AV$14,1))</f>
        <v>5.3696624818124664E-2</v>
      </c>
      <c r="BC341" s="136" t="e">
        <f t="shared" ref="BC341:BC404" si="83">IF($AV$13&gt;1,(BB341-BA341)/(2*$AY$19),NA())</f>
        <v>#N/A</v>
      </c>
      <c r="BD341" s="136">
        <f t="shared" si="75"/>
        <v>7.9154515829784507E-3</v>
      </c>
      <c r="BE341" s="136">
        <f t="shared" ref="BE341:BE404" si="84">IF(ISNUMBER(BD341),BD341-$BE$19,NA())</f>
        <v>6.9154515829784506E-3</v>
      </c>
      <c r="BF341" s="136" t="e">
        <f t="shared" ref="BF341:BF404" si="85">IF($AV$15=1,IF(AV341&gt;=$BF$19,BC341,NA()),IF($AV$15=2,IF(ABS(AV341)&gt;=$BF$19,BC341,NA()),NA()))</f>
        <v>#N/A</v>
      </c>
      <c r="BG341" s="136" t="e">
        <f t="shared" ref="BG341:BG404" si="86">IF(ISNUMBER(BF341),BF341-$BG$19,NA())</f>
        <v>#N/A</v>
      </c>
    </row>
    <row r="342" spans="2:59" ht="11.25" customHeight="1">
      <c r="B342" s="321"/>
      <c r="C342" s="321"/>
      <c r="D342" s="321"/>
      <c r="E342" s="321"/>
      <c r="F342" s="321"/>
      <c r="G342" s="321"/>
      <c r="H342" s="321"/>
      <c r="I342" s="321"/>
      <c r="J342" s="321"/>
      <c r="K342" s="321"/>
      <c r="L342" s="321"/>
      <c r="M342" s="321"/>
      <c r="N342" s="321"/>
      <c r="O342" s="321"/>
      <c r="P342" s="321"/>
      <c r="Q342" s="321"/>
      <c r="R342" s="321"/>
      <c r="S342" s="321"/>
      <c r="T342" s="321"/>
      <c r="U342" s="321"/>
      <c r="V342" s="321"/>
      <c r="W342" s="321"/>
      <c r="X342" s="321"/>
      <c r="Y342" s="321"/>
      <c r="Z342" s="321"/>
      <c r="AA342" s="321"/>
      <c r="AB342" s="321"/>
      <c r="AC342" s="321"/>
      <c r="AD342" s="321"/>
      <c r="AE342" s="321"/>
      <c r="AF342" s="321"/>
      <c r="AG342" s="321"/>
      <c r="AH342" s="321"/>
      <c r="AI342" s="321"/>
      <c r="AJ342" s="321"/>
      <c r="AK342" s="321"/>
      <c r="AL342" s="321"/>
      <c r="AM342" s="321"/>
      <c r="AN342" s="321"/>
      <c r="AO342" s="321"/>
      <c r="AP342" s="427"/>
      <c r="AQ342" s="321"/>
      <c r="AR342" s="321"/>
      <c r="AS342" s="321"/>
      <c r="AT342" s="321"/>
      <c r="AU342" s="136">
        <f t="shared" si="76"/>
        <v>2.6354020779042475E-3</v>
      </c>
      <c r="AV342" s="136">
        <f t="shared" ref="AV342:AV405" si="87">AV341+$AY$10</f>
        <v>-2.7900000000000684</v>
      </c>
      <c r="AW342" s="136">
        <f t="shared" si="77"/>
        <v>8.1398092475444689E-3</v>
      </c>
      <c r="AX342" s="136" t="e">
        <f t="shared" si="78"/>
        <v>#N/A</v>
      </c>
      <c r="AY342" s="136">
        <f t="shared" si="79"/>
        <v>-2.7900100000000685</v>
      </c>
      <c r="AZ342" s="136">
        <f t="shared" si="80"/>
        <v>-2.7899900000000684</v>
      </c>
      <c r="BA342" s="136">
        <f t="shared" si="81"/>
        <v>5.402133373445088E-2</v>
      </c>
      <c r="BB342" s="136">
        <f t="shared" si="82"/>
        <v>5.4021987239083968E-2</v>
      </c>
      <c r="BC342" s="136" t="e">
        <f t="shared" si="83"/>
        <v>#N/A</v>
      </c>
      <c r="BD342" s="136">
        <f t="shared" ref="BD342:BD405" si="88">IF($AV$15=1,IF(OR(AND(AV342&gt;=$BD$19,$AS$5&gt;=0),AND(AV342&lt;=$BD$19,$AS$5&lt;0)),AW342,NA()),IF($AV$15=2,IF(ABS(AV342)&gt;=$BD$18,AW342,NA()),NA()))</f>
        <v>8.1398092475444689E-3</v>
      </c>
      <c r="BE342" s="136">
        <f t="shared" si="84"/>
        <v>7.1398092475444689E-3</v>
      </c>
      <c r="BF342" s="136" t="e">
        <f t="shared" si="85"/>
        <v>#N/A</v>
      </c>
      <c r="BG342" s="136" t="e">
        <f t="shared" si="86"/>
        <v>#N/A</v>
      </c>
    </row>
    <row r="343" spans="2:59" ht="11.25" customHeight="1">
      <c r="B343" s="321"/>
      <c r="C343" s="321"/>
      <c r="D343" s="321"/>
      <c r="E343" s="321"/>
      <c r="F343" s="321"/>
      <c r="G343" s="321"/>
      <c r="H343" s="321"/>
      <c r="I343" s="321"/>
      <c r="J343" s="321"/>
      <c r="K343" s="321"/>
      <c r="L343" s="321"/>
      <c r="M343" s="321"/>
      <c r="N343" s="321"/>
      <c r="O343" s="321"/>
      <c r="P343" s="321"/>
      <c r="Q343" s="321"/>
      <c r="R343" s="321"/>
      <c r="S343" s="321"/>
      <c r="T343" s="321"/>
      <c r="U343" s="321"/>
      <c r="V343" s="321"/>
      <c r="W343" s="321"/>
      <c r="X343" s="321"/>
      <c r="Y343" s="321"/>
      <c r="Z343" s="321"/>
      <c r="AA343" s="321"/>
      <c r="AB343" s="321"/>
      <c r="AC343" s="321"/>
      <c r="AD343" s="321"/>
      <c r="AE343" s="321"/>
      <c r="AF343" s="321"/>
      <c r="AG343" s="321"/>
      <c r="AH343" s="321"/>
      <c r="AI343" s="321"/>
      <c r="AJ343" s="321"/>
      <c r="AK343" s="321"/>
      <c r="AL343" s="321"/>
      <c r="AM343" s="321"/>
      <c r="AN343" s="321"/>
      <c r="AO343" s="321"/>
      <c r="AP343" s="427"/>
      <c r="AQ343" s="321"/>
      <c r="AR343" s="321"/>
      <c r="AS343" s="321"/>
      <c r="AT343" s="321"/>
      <c r="AU343" s="136">
        <f t="shared" si="76"/>
        <v>2.7179449227007213E-3</v>
      </c>
      <c r="AV343" s="136">
        <f t="shared" si="87"/>
        <v>-2.7800000000000686</v>
      </c>
      <c r="AW343" s="136">
        <f t="shared" si="77"/>
        <v>8.3696891546514302E-3</v>
      </c>
      <c r="AX343" s="136" t="e">
        <f t="shared" si="78"/>
        <v>#N/A</v>
      </c>
      <c r="AY343" s="136">
        <f t="shared" si="79"/>
        <v>-2.7800100000000687</v>
      </c>
      <c r="AZ343" s="136">
        <f t="shared" si="80"/>
        <v>-2.7799900000000686</v>
      </c>
      <c r="BA343" s="136">
        <f t="shared" si="81"/>
        <v>5.4349485862015538E-2</v>
      </c>
      <c r="BB343" s="136">
        <f t="shared" si="82"/>
        <v>5.4350144987140261E-2</v>
      </c>
      <c r="BC343" s="136" t="e">
        <f t="shared" si="83"/>
        <v>#N/A</v>
      </c>
      <c r="BD343" s="136">
        <f t="shared" si="88"/>
        <v>8.3696891546514302E-3</v>
      </c>
      <c r="BE343" s="136">
        <f t="shared" si="84"/>
        <v>7.3696891546514301E-3</v>
      </c>
      <c r="BF343" s="136" t="e">
        <f t="shared" si="85"/>
        <v>#N/A</v>
      </c>
      <c r="BG343" s="136" t="e">
        <f t="shared" si="86"/>
        <v>#N/A</v>
      </c>
    </row>
    <row r="344" spans="2:59" ht="11.25" customHeight="1">
      <c r="B344" s="321"/>
      <c r="C344" s="321"/>
      <c r="D344" s="321"/>
      <c r="E344" s="321"/>
      <c r="F344" s="321"/>
      <c r="G344" s="321"/>
      <c r="H344" s="321"/>
      <c r="I344" s="321"/>
      <c r="J344" s="321"/>
      <c r="K344" s="321"/>
      <c r="L344" s="321"/>
      <c r="M344" s="321"/>
      <c r="N344" s="321"/>
      <c r="O344" s="321"/>
      <c r="P344" s="321"/>
      <c r="Q344" s="321"/>
      <c r="R344" s="321"/>
      <c r="S344" s="321"/>
      <c r="T344" s="321"/>
      <c r="U344" s="321"/>
      <c r="V344" s="321"/>
      <c r="W344" s="321"/>
      <c r="X344" s="321"/>
      <c r="Y344" s="321"/>
      <c r="Z344" s="321"/>
      <c r="AA344" s="321"/>
      <c r="AB344" s="321"/>
      <c r="AC344" s="321"/>
      <c r="AD344" s="321"/>
      <c r="AE344" s="321"/>
      <c r="AF344" s="321"/>
      <c r="AG344" s="321"/>
      <c r="AH344" s="321"/>
      <c r="AI344" s="321"/>
      <c r="AJ344" s="321"/>
      <c r="AK344" s="321"/>
      <c r="AL344" s="321"/>
      <c r="AM344" s="321"/>
      <c r="AN344" s="321"/>
      <c r="AO344" s="321"/>
      <c r="AP344" s="427"/>
      <c r="AQ344" s="321"/>
      <c r="AR344" s="321"/>
      <c r="AS344" s="321"/>
      <c r="AT344" s="321"/>
      <c r="AU344" s="136">
        <f t="shared" si="76"/>
        <v>2.8028146327643277E-3</v>
      </c>
      <c r="AV344" s="136">
        <f t="shared" si="87"/>
        <v>-2.7700000000000689</v>
      </c>
      <c r="AW344" s="136">
        <f t="shared" si="77"/>
        <v>8.6052006374980321E-3</v>
      </c>
      <c r="AX344" s="136" t="e">
        <f t="shared" si="78"/>
        <v>#N/A</v>
      </c>
      <c r="AY344" s="136">
        <f t="shared" si="79"/>
        <v>-2.7700100000000689</v>
      </c>
      <c r="AZ344" s="136">
        <f t="shared" si="80"/>
        <v>-2.7699900000000688</v>
      </c>
      <c r="BA344" s="136">
        <f t="shared" si="81"/>
        <v>5.4680463276896206E-2</v>
      </c>
      <c r="BB344" s="136">
        <f t="shared" si="82"/>
        <v>5.4681128082923337E-2</v>
      </c>
      <c r="BC344" s="136" t="e">
        <f t="shared" si="83"/>
        <v>#N/A</v>
      </c>
      <c r="BD344" s="136">
        <f t="shared" si="88"/>
        <v>8.6052006374980321E-3</v>
      </c>
      <c r="BE344" s="136">
        <f t="shared" si="84"/>
        <v>7.6052006374980321E-3</v>
      </c>
      <c r="BF344" s="136" t="e">
        <f t="shared" si="85"/>
        <v>#N/A</v>
      </c>
      <c r="BG344" s="136" t="e">
        <f t="shared" si="86"/>
        <v>#N/A</v>
      </c>
    </row>
    <row r="345" spans="2:59" ht="11.25" customHeight="1">
      <c r="B345" s="321"/>
      <c r="C345" s="321"/>
      <c r="D345" s="321"/>
      <c r="E345" s="321"/>
      <c r="F345" s="321"/>
      <c r="G345" s="321"/>
      <c r="H345" s="321"/>
      <c r="I345" s="321"/>
      <c r="J345" s="321"/>
      <c r="K345" s="321"/>
      <c r="L345" s="321"/>
      <c r="M345" s="321"/>
      <c r="N345" s="321"/>
      <c r="O345" s="321"/>
      <c r="P345" s="321"/>
      <c r="Q345" s="321"/>
      <c r="R345" s="321"/>
      <c r="S345" s="321"/>
      <c r="T345" s="321"/>
      <c r="U345" s="321"/>
      <c r="V345" s="321"/>
      <c r="W345" s="321"/>
      <c r="X345" s="321"/>
      <c r="Y345" s="321"/>
      <c r="Z345" s="321"/>
      <c r="AA345" s="321"/>
      <c r="AB345" s="321"/>
      <c r="AC345" s="321"/>
      <c r="AD345" s="321"/>
      <c r="AE345" s="321"/>
      <c r="AF345" s="321"/>
      <c r="AG345" s="321"/>
      <c r="AH345" s="321"/>
      <c r="AI345" s="321"/>
      <c r="AJ345" s="321"/>
      <c r="AK345" s="321"/>
      <c r="AL345" s="321"/>
      <c r="AM345" s="321"/>
      <c r="AN345" s="321"/>
      <c r="AO345" s="321"/>
      <c r="AP345" s="427"/>
      <c r="AQ345" s="321"/>
      <c r="AR345" s="321"/>
      <c r="AS345" s="321"/>
      <c r="AT345" s="321"/>
      <c r="AU345" s="136">
        <f t="shared" si="76"/>
        <v>2.8900680762256048E-3</v>
      </c>
      <c r="AV345" s="136">
        <f t="shared" si="87"/>
        <v>-2.7600000000000691</v>
      </c>
      <c r="AW345" s="136">
        <f t="shared" si="77"/>
        <v>8.8464543982355367E-3</v>
      </c>
      <c r="AX345" s="136" t="e">
        <f t="shared" si="78"/>
        <v>#N/A</v>
      </c>
      <c r="AY345" s="136">
        <f t="shared" si="79"/>
        <v>-2.7600100000000691</v>
      </c>
      <c r="AZ345" s="136">
        <f t="shared" si="80"/>
        <v>-2.759990000000069</v>
      </c>
      <c r="BA345" s="136">
        <f t="shared" si="81"/>
        <v>5.5014296370855094E-2</v>
      </c>
      <c r="BB345" s="136">
        <f t="shared" si="82"/>
        <v>5.5014966918944024E-2</v>
      </c>
      <c r="BC345" s="136" t="e">
        <f t="shared" si="83"/>
        <v>#N/A</v>
      </c>
      <c r="BD345" s="136">
        <f t="shared" si="88"/>
        <v>8.8464543982355367E-3</v>
      </c>
      <c r="BE345" s="136">
        <f t="shared" si="84"/>
        <v>7.8464543982355375E-3</v>
      </c>
      <c r="BF345" s="136" t="e">
        <f t="shared" si="85"/>
        <v>#N/A</v>
      </c>
      <c r="BG345" s="136" t="e">
        <f t="shared" si="86"/>
        <v>#N/A</v>
      </c>
    </row>
    <row r="346" spans="2:59" ht="11.25" customHeight="1">
      <c r="B346" s="321"/>
      <c r="C346" s="321"/>
      <c r="D346" s="321"/>
      <c r="E346" s="321"/>
      <c r="F346" s="321"/>
      <c r="G346" s="321"/>
      <c r="H346" s="321"/>
      <c r="I346" s="321"/>
      <c r="J346" s="321"/>
      <c r="K346" s="321"/>
      <c r="L346" s="321"/>
      <c r="M346" s="321"/>
      <c r="N346" s="321"/>
      <c r="O346" s="321"/>
      <c r="P346" s="321"/>
      <c r="Q346" s="321"/>
      <c r="R346" s="321"/>
      <c r="S346" s="321"/>
      <c r="T346" s="321"/>
      <c r="U346" s="321"/>
      <c r="V346" s="321"/>
      <c r="W346" s="321"/>
      <c r="X346" s="321"/>
      <c r="Y346" s="321"/>
      <c r="Z346" s="321"/>
      <c r="AA346" s="321"/>
      <c r="AB346" s="321"/>
      <c r="AC346" s="321"/>
      <c r="AD346" s="321"/>
      <c r="AE346" s="321"/>
      <c r="AF346" s="321"/>
      <c r="AG346" s="321"/>
      <c r="AH346" s="321"/>
      <c r="AI346" s="321"/>
      <c r="AJ346" s="321"/>
      <c r="AK346" s="321"/>
      <c r="AL346" s="321"/>
      <c r="AM346" s="321"/>
      <c r="AN346" s="321"/>
      <c r="AO346" s="321"/>
      <c r="AP346" s="427"/>
      <c r="AQ346" s="321"/>
      <c r="AR346" s="321"/>
      <c r="AS346" s="321"/>
      <c r="AT346" s="321"/>
      <c r="AU346" s="136">
        <f t="shared" si="76"/>
        <v>2.9797632350538894E-3</v>
      </c>
      <c r="AV346" s="136">
        <f t="shared" si="87"/>
        <v>-2.7500000000000693</v>
      </c>
      <c r="AW346" s="136">
        <f t="shared" si="77"/>
        <v>9.0935625015893199E-3</v>
      </c>
      <c r="AX346" s="136" t="e">
        <f t="shared" si="78"/>
        <v>#N/A</v>
      </c>
      <c r="AY346" s="136">
        <f t="shared" si="79"/>
        <v>-2.7500100000000693</v>
      </c>
      <c r="AZ346" s="136">
        <f t="shared" si="80"/>
        <v>-2.7499900000000692</v>
      </c>
      <c r="BA346" s="136">
        <f t="shared" si="81"/>
        <v>5.5351015912463428E-2</v>
      </c>
      <c r="BB346" s="136">
        <f t="shared" si="82"/>
        <v>5.5351692264532272E-2</v>
      </c>
      <c r="BC346" s="136" t="e">
        <f t="shared" si="83"/>
        <v>#N/A</v>
      </c>
      <c r="BD346" s="136">
        <f t="shared" si="88"/>
        <v>9.0935625015893199E-3</v>
      </c>
      <c r="BE346" s="136">
        <f t="shared" si="84"/>
        <v>8.0935625015893208E-3</v>
      </c>
      <c r="BF346" s="136" t="e">
        <f t="shared" si="85"/>
        <v>#N/A</v>
      </c>
      <c r="BG346" s="136" t="e">
        <f t="shared" si="86"/>
        <v>#N/A</v>
      </c>
    </row>
    <row r="347" spans="2:59" ht="11.25" customHeight="1">
      <c r="B347" s="321"/>
      <c r="C347" s="321"/>
      <c r="D347" s="321"/>
      <c r="E347" s="321"/>
      <c r="F347" s="321"/>
      <c r="G347" s="321"/>
      <c r="H347" s="321"/>
      <c r="I347" s="321"/>
      <c r="J347" s="321"/>
      <c r="K347" s="321"/>
      <c r="L347" s="321"/>
      <c r="M347" s="321"/>
      <c r="N347" s="321"/>
      <c r="O347" s="321"/>
      <c r="P347" s="321"/>
      <c r="Q347" s="321"/>
      <c r="R347" s="321"/>
      <c r="S347" s="321"/>
      <c r="T347" s="321"/>
      <c r="U347" s="321"/>
      <c r="V347" s="321"/>
      <c r="W347" s="321"/>
      <c r="X347" s="321"/>
      <c r="Y347" s="321"/>
      <c r="Z347" s="321"/>
      <c r="AA347" s="321"/>
      <c r="AB347" s="321"/>
      <c r="AC347" s="321"/>
      <c r="AD347" s="321"/>
      <c r="AE347" s="321"/>
      <c r="AF347" s="321"/>
      <c r="AG347" s="321"/>
      <c r="AH347" s="321"/>
      <c r="AI347" s="321"/>
      <c r="AJ347" s="321"/>
      <c r="AK347" s="321"/>
      <c r="AL347" s="321"/>
      <c r="AM347" s="321"/>
      <c r="AN347" s="321"/>
      <c r="AO347" s="321"/>
      <c r="AP347" s="427"/>
      <c r="AQ347" s="321"/>
      <c r="AR347" s="321"/>
      <c r="AS347" s="321"/>
      <c r="AT347" s="321"/>
      <c r="AU347" s="136">
        <f t="shared" si="76"/>
        <v>3.0719592186496669E-3</v>
      </c>
      <c r="AV347" s="136">
        <f t="shared" si="87"/>
        <v>-2.7400000000000695</v>
      </c>
      <c r="AW347" s="136">
        <f t="shared" si="77"/>
        <v>9.3466383676105054E-3</v>
      </c>
      <c r="AX347" s="136" t="e">
        <f t="shared" si="78"/>
        <v>#N/A</v>
      </c>
      <c r="AY347" s="136">
        <f t="shared" si="79"/>
        <v>-2.7400100000000696</v>
      </c>
      <c r="AZ347" s="136">
        <f t="shared" si="80"/>
        <v>-2.7399900000000694</v>
      </c>
      <c r="BA347" s="136">
        <f t="shared" si="81"/>
        <v>5.5690653052102627E-2</v>
      </c>
      <c r="BB347" s="136">
        <f t="shared" si="82"/>
        <v>5.5691335270837999E-2</v>
      </c>
      <c r="BC347" s="136" t="e">
        <f t="shared" si="83"/>
        <v>#N/A</v>
      </c>
      <c r="BD347" s="136">
        <f t="shared" si="88"/>
        <v>9.3466383676105054E-3</v>
      </c>
      <c r="BE347" s="136">
        <f t="shared" si="84"/>
        <v>8.3466383676105045E-3</v>
      </c>
      <c r="BF347" s="136" t="e">
        <f t="shared" si="85"/>
        <v>#N/A</v>
      </c>
      <c r="BG347" s="136" t="e">
        <f t="shared" si="86"/>
        <v>#N/A</v>
      </c>
    </row>
    <row r="348" spans="2:59" ht="11.25" customHeight="1">
      <c r="B348" s="321"/>
      <c r="C348" s="321"/>
      <c r="D348" s="321"/>
      <c r="E348" s="321"/>
      <c r="F348" s="321"/>
      <c r="G348" s="321"/>
      <c r="H348" s="321"/>
      <c r="I348" s="321"/>
      <c r="J348" s="321"/>
      <c r="K348" s="321"/>
      <c r="L348" s="321"/>
      <c r="M348" s="321"/>
      <c r="N348" s="321"/>
      <c r="O348" s="321"/>
      <c r="P348" s="321"/>
      <c r="Q348" s="321"/>
      <c r="R348" s="321"/>
      <c r="S348" s="321"/>
      <c r="T348" s="321"/>
      <c r="U348" s="321"/>
      <c r="V348" s="321"/>
      <c r="W348" s="321"/>
      <c r="X348" s="321"/>
      <c r="Y348" s="321"/>
      <c r="Z348" s="321"/>
      <c r="AA348" s="321"/>
      <c r="AB348" s="321"/>
      <c r="AC348" s="321"/>
      <c r="AD348" s="321"/>
      <c r="AE348" s="321"/>
      <c r="AF348" s="321"/>
      <c r="AG348" s="321"/>
      <c r="AH348" s="321"/>
      <c r="AI348" s="321"/>
      <c r="AJ348" s="321"/>
      <c r="AK348" s="321"/>
      <c r="AL348" s="321"/>
      <c r="AM348" s="321"/>
      <c r="AN348" s="321"/>
      <c r="AO348" s="321"/>
      <c r="AP348" s="427"/>
      <c r="AQ348" s="321"/>
      <c r="AR348" s="321"/>
      <c r="AS348" s="321"/>
      <c r="AT348" s="321"/>
      <c r="AU348" s="136">
        <f t="shared" si="76"/>
        <v>3.1667162773569846E-3</v>
      </c>
      <c r="AV348" s="136">
        <f t="shared" si="87"/>
        <v>-2.7300000000000697</v>
      </c>
      <c r="AW348" s="136">
        <f t="shared" si="77"/>
        <v>9.6057967635377554E-3</v>
      </c>
      <c r="AX348" s="136" t="e">
        <f t="shared" si="78"/>
        <v>#N/A</v>
      </c>
      <c r="AY348" s="136">
        <f t="shared" si="79"/>
        <v>-2.7300100000000698</v>
      </c>
      <c r="AZ348" s="136">
        <f t="shared" si="80"/>
        <v>-2.7299900000000696</v>
      </c>
      <c r="BA348" s="136">
        <f t="shared" si="81"/>
        <v>5.6033239327028653E-2</v>
      </c>
      <c r="BB348" s="136">
        <f t="shared" si="82"/>
        <v>5.6033927475896229E-2</v>
      </c>
      <c r="BC348" s="136" t="e">
        <f t="shared" si="83"/>
        <v>#N/A</v>
      </c>
      <c r="BD348" s="136">
        <f t="shared" si="88"/>
        <v>9.6057967635377554E-3</v>
      </c>
      <c r="BE348" s="136">
        <f t="shared" si="84"/>
        <v>8.6057967635377562E-3</v>
      </c>
      <c r="BF348" s="136" t="e">
        <f t="shared" si="85"/>
        <v>#N/A</v>
      </c>
      <c r="BG348" s="136" t="e">
        <f t="shared" si="86"/>
        <v>#N/A</v>
      </c>
    </row>
    <row r="349" spans="2:59" ht="11.25" customHeight="1">
      <c r="B349" s="321"/>
      <c r="C349" s="321"/>
      <c r="D349" s="321"/>
      <c r="E349" s="321"/>
      <c r="F349" s="321"/>
      <c r="G349" s="321"/>
      <c r="H349" s="321"/>
      <c r="I349" s="321"/>
      <c r="J349" s="321"/>
      <c r="K349" s="321"/>
      <c r="L349" s="321"/>
      <c r="M349" s="321"/>
      <c r="N349" s="321"/>
      <c r="O349" s="321"/>
      <c r="P349" s="321"/>
      <c r="Q349" s="321"/>
      <c r="R349" s="321"/>
      <c r="S349" s="321"/>
      <c r="T349" s="321"/>
      <c r="U349" s="321"/>
      <c r="V349" s="321"/>
      <c r="W349" s="321"/>
      <c r="X349" s="321"/>
      <c r="Y349" s="321"/>
      <c r="Z349" s="321"/>
      <c r="AA349" s="321"/>
      <c r="AB349" s="321"/>
      <c r="AC349" s="321"/>
      <c r="AD349" s="321"/>
      <c r="AE349" s="321"/>
      <c r="AF349" s="321"/>
      <c r="AG349" s="321"/>
      <c r="AH349" s="321"/>
      <c r="AI349" s="321"/>
      <c r="AJ349" s="321"/>
      <c r="AK349" s="321"/>
      <c r="AL349" s="321"/>
      <c r="AM349" s="321"/>
      <c r="AN349" s="321"/>
      <c r="AO349" s="321"/>
      <c r="AP349" s="427"/>
      <c r="AQ349" s="321"/>
      <c r="AR349" s="321"/>
      <c r="AS349" s="321"/>
      <c r="AT349" s="321"/>
      <c r="AU349" s="136">
        <f t="shared" si="76"/>
        <v>3.2640958158904887E-3</v>
      </c>
      <c r="AV349" s="136">
        <f t="shared" si="87"/>
        <v>-2.7200000000000699</v>
      </c>
      <c r="AW349" s="136">
        <f t="shared" si="77"/>
        <v>9.8711537947492583E-3</v>
      </c>
      <c r="AX349" s="136" t="e">
        <f t="shared" si="78"/>
        <v>#N/A</v>
      </c>
      <c r="AY349" s="136">
        <f t="shared" si="79"/>
        <v>-2.72001000000007</v>
      </c>
      <c r="AZ349" s="136">
        <f t="shared" si="80"/>
        <v>-2.7199900000000699</v>
      </c>
      <c r="BA349" s="136">
        <f t="shared" si="81"/>
        <v>5.6378806666500997E-2</v>
      </c>
      <c r="BB349" s="136">
        <f t="shared" si="82"/>
        <v>5.6379500809755491E-2</v>
      </c>
      <c r="BC349" s="136" t="e">
        <f t="shared" si="83"/>
        <v>#N/A</v>
      </c>
      <c r="BD349" s="136">
        <f t="shared" si="88"/>
        <v>9.8711537947492583E-3</v>
      </c>
      <c r="BE349" s="136">
        <f t="shared" si="84"/>
        <v>8.8711537947492591E-3</v>
      </c>
      <c r="BF349" s="136" t="e">
        <f t="shared" si="85"/>
        <v>#N/A</v>
      </c>
      <c r="BG349" s="136" t="e">
        <f t="shared" si="86"/>
        <v>#N/A</v>
      </c>
    </row>
    <row r="350" spans="2:59" ht="11.25" customHeight="1">
      <c r="B350" s="321"/>
      <c r="C350" s="321"/>
      <c r="D350" s="321"/>
      <c r="E350" s="321"/>
      <c r="F350" s="321"/>
      <c r="G350" s="321"/>
      <c r="H350" s="321"/>
      <c r="I350" s="321"/>
      <c r="J350" s="321"/>
      <c r="K350" s="321"/>
      <c r="L350" s="321"/>
      <c r="M350" s="321"/>
      <c r="N350" s="321"/>
      <c r="O350" s="321"/>
      <c r="P350" s="321"/>
      <c r="Q350" s="321"/>
      <c r="R350" s="321"/>
      <c r="S350" s="321"/>
      <c r="T350" s="321"/>
      <c r="U350" s="321"/>
      <c r="V350" s="321"/>
      <c r="W350" s="321"/>
      <c r="X350" s="321"/>
      <c r="Y350" s="321"/>
      <c r="Z350" s="321"/>
      <c r="AA350" s="321"/>
      <c r="AB350" s="321"/>
      <c r="AC350" s="321"/>
      <c r="AD350" s="321"/>
      <c r="AE350" s="321"/>
      <c r="AF350" s="321"/>
      <c r="AG350" s="321"/>
      <c r="AH350" s="321"/>
      <c r="AI350" s="321"/>
      <c r="AJ350" s="321"/>
      <c r="AK350" s="321"/>
      <c r="AL350" s="321"/>
      <c r="AM350" s="321"/>
      <c r="AN350" s="321"/>
      <c r="AO350" s="321"/>
      <c r="AP350" s="427"/>
      <c r="AQ350" s="321"/>
      <c r="AR350" s="321"/>
      <c r="AS350" s="321"/>
      <c r="AT350" s="321"/>
      <c r="AU350" s="136">
        <f t="shared" si="76"/>
        <v>3.3641604066683151E-3</v>
      </c>
      <c r="AV350" s="136">
        <f t="shared" si="87"/>
        <v>-2.7100000000000701</v>
      </c>
      <c r="AW350" s="136">
        <f t="shared" si="77"/>
        <v>1.0142826894785148E-2</v>
      </c>
      <c r="AX350" s="136" t="e">
        <f t="shared" si="78"/>
        <v>#N/A</v>
      </c>
      <c r="AY350" s="136">
        <f t="shared" si="79"/>
        <v>-2.7100100000000702</v>
      </c>
      <c r="AZ350" s="136">
        <f t="shared" si="80"/>
        <v>-2.7099900000000701</v>
      </c>
      <c r="BA350" s="136">
        <f t="shared" si="81"/>
        <v>5.6727387396975859E-2</v>
      </c>
      <c r="BB350" s="136">
        <f t="shared" si="82"/>
        <v>5.6728087599671718E-2</v>
      </c>
      <c r="BC350" s="136" t="e">
        <f t="shared" si="83"/>
        <v>#N/A</v>
      </c>
      <c r="BD350" s="136">
        <f t="shared" si="88"/>
        <v>1.0142826894785148E-2</v>
      </c>
      <c r="BE350" s="136">
        <f t="shared" si="84"/>
        <v>9.1428268947851485E-3</v>
      </c>
      <c r="BF350" s="136" t="e">
        <f t="shared" si="85"/>
        <v>#N/A</v>
      </c>
      <c r="BG350" s="136" t="e">
        <f t="shared" si="86"/>
        <v>#N/A</v>
      </c>
    </row>
    <row r="351" spans="2:59" ht="11.25" customHeight="1">
      <c r="B351" s="321"/>
      <c r="C351" s="321"/>
      <c r="D351" s="321"/>
      <c r="E351" s="321"/>
      <c r="F351" s="321"/>
      <c r="G351" s="321"/>
      <c r="H351" s="321"/>
      <c r="I351" s="321"/>
      <c r="J351" s="321"/>
      <c r="K351" s="321"/>
      <c r="L351" s="321"/>
      <c r="M351" s="321"/>
      <c r="N351" s="321"/>
      <c r="O351" s="321"/>
      <c r="P351" s="321"/>
      <c r="Q351" s="321"/>
      <c r="R351" s="321"/>
      <c r="S351" s="321"/>
      <c r="T351" s="321"/>
      <c r="U351" s="321"/>
      <c r="V351" s="321"/>
      <c r="W351" s="321"/>
      <c r="X351" s="321"/>
      <c r="Y351" s="321"/>
      <c r="Z351" s="321"/>
      <c r="AA351" s="321"/>
      <c r="AB351" s="321"/>
      <c r="AC351" s="321"/>
      <c r="AD351" s="321"/>
      <c r="AE351" s="321"/>
      <c r="AF351" s="321"/>
      <c r="AG351" s="321"/>
      <c r="AH351" s="321"/>
      <c r="AI351" s="321"/>
      <c r="AJ351" s="321"/>
      <c r="AK351" s="321"/>
      <c r="AL351" s="321"/>
      <c r="AM351" s="321"/>
      <c r="AN351" s="321"/>
      <c r="AO351" s="321"/>
      <c r="AP351" s="427"/>
      <c r="AQ351" s="321"/>
      <c r="AR351" s="321"/>
      <c r="AS351" s="321"/>
      <c r="AT351" s="321"/>
      <c r="AU351" s="136">
        <f t="shared" si="76"/>
        <v>3.4669738030399522E-3</v>
      </c>
      <c r="AV351" s="136">
        <f t="shared" si="87"/>
        <v>-2.7000000000000703</v>
      </c>
      <c r="AW351" s="136">
        <f t="shared" si="77"/>
        <v>1.0420934814420612E-2</v>
      </c>
      <c r="AX351" s="136" t="e">
        <f t="shared" si="78"/>
        <v>#N/A</v>
      </c>
      <c r="AY351" s="136">
        <f t="shared" si="79"/>
        <v>-2.7000100000000704</v>
      </c>
      <c r="AZ351" s="136">
        <f t="shared" si="80"/>
        <v>-2.6999900000000703</v>
      </c>
      <c r="BA351" s="136">
        <f t="shared" si="81"/>
        <v>5.7079014247364779E-2</v>
      </c>
      <c r="BB351" s="136">
        <f t="shared" si="82"/>
        <v>5.7079720575366574E-2</v>
      </c>
      <c r="BC351" s="136" t="e">
        <f t="shared" si="83"/>
        <v>#N/A</v>
      </c>
      <c r="BD351" s="136">
        <f t="shared" si="88"/>
        <v>1.0420934814420612E-2</v>
      </c>
      <c r="BE351" s="136">
        <f t="shared" si="84"/>
        <v>9.4209348144206131E-3</v>
      </c>
      <c r="BF351" s="136" t="e">
        <f t="shared" si="85"/>
        <v>#N/A</v>
      </c>
      <c r="BG351" s="136" t="e">
        <f t="shared" si="86"/>
        <v>#N/A</v>
      </c>
    </row>
    <row r="352" spans="2:59" ht="11.25" customHeight="1">
      <c r="B352" s="321"/>
      <c r="C352" s="321"/>
      <c r="D352" s="321"/>
      <c r="E352" s="321"/>
      <c r="F352" s="321"/>
      <c r="G352" s="321"/>
      <c r="H352" s="321"/>
      <c r="I352" s="321"/>
      <c r="J352" s="321"/>
      <c r="K352" s="321"/>
      <c r="L352" s="321"/>
      <c r="M352" s="321"/>
      <c r="N352" s="321"/>
      <c r="O352" s="321"/>
      <c r="P352" s="321"/>
      <c r="Q352" s="321"/>
      <c r="R352" s="321"/>
      <c r="S352" s="321"/>
      <c r="T352" s="321"/>
      <c r="U352" s="321"/>
      <c r="V352" s="321"/>
      <c r="W352" s="321"/>
      <c r="X352" s="321"/>
      <c r="Y352" s="321"/>
      <c r="Z352" s="321"/>
      <c r="AA352" s="321"/>
      <c r="AB352" s="321"/>
      <c r="AC352" s="321"/>
      <c r="AD352" s="321"/>
      <c r="AE352" s="321"/>
      <c r="AF352" s="321"/>
      <c r="AG352" s="321"/>
      <c r="AH352" s="321"/>
      <c r="AI352" s="321"/>
      <c r="AJ352" s="321"/>
      <c r="AK352" s="321"/>
      <c r="AL352" s="321"/>
      <c r="AM352" s="321"/>
      <c r="AN352" s="321"/>
      <c r="AO352" s="321"/>
      <c r="AP352" s="427"/>
      <c r="AQ352" s="321"/>
      <c r="AR352" s="321"/>
      <c r="AS352" s="321"/>
      <c r="AT352" s="321"/>
      <c r="AU352" s="136">
        <f t="shared" si="76"/>
        <v>3.5726009523988633E-3</v>
      </c>
      <c r="AV352" s="136">
        <f t="shared" si="87"/>
        <v>-2.6900000000000706</v>
      </c>
      <c r="AW352" s="136">
        <f t="shared" si="77"/>
        <v>1.0705597609770152E-2</v>
      </c>
      <c r="AX352" s="136" t="e">
        <f t="shared" si="78"/>
        <v>#N/A</v>
      </c>
      <c r="AY352" s="136">
        <f t="shared" si="79"/>
        <v>-2.6900100000000706</v>
      </c>
      <c r="AZ352" s="136">
        <f t="shared" si="80"/>
        <v>-2.6899900000000705</v>
      </c>
      <c r="BA352" s="136">
        <f t="shared" si="81"/>
        <v>5.7433720354358807E-2</v>
      </c>
      <c r="BB352" s="136">
        <f t="shared" si="82"/>
        <v>5.7434432874352133E-2</v>
      </c>
      <c r="BC352" s="136" t="e">
        <f t="shared" si="83"/>
        <v>#N/A</v>
      </c>
      <c r="BD352" s="136">
        <f t="shared" si="88"/>
        <v>1.0705597609770152E-2</v>
      </c>
      <c r="BE352" s="136">
        <f t="shared" si="84"/>
        <v>9.7055976097701509E-3</v>
      </c>
      <c r="BF352" s="136" t="e">
        <f t="shared" si="85"/>
        <v>#N/A</v>
      </c>
      <c r="BG352" s="136" t="e">
        <f t="shared" si="86"/>
        <v>#N/A</v>
      </c>
    </row>
    <row r="353" spans="2:59" ht="11.25" customHeight="1">
      <c r="B353" s="321"/>
      <c r="C353" s="321"/>
      <c r="D353" s="321"/>
      <c r="E353" s="321"/>
      <c r="F353" s="321"/>
      <c r="G353" s="321"/>
      <c r="H353" s="321"/>
      <c r="I353" s="321"/>
      <c r="J353" s="321"/>
      <c r="K353" s="321"/>
      <c r="L353" s="321"/>
      <c r="M353" s="321"/>
      <c r="N353" s="321"/>
      <c r="O353" s="321"/>
      <c r="P353" s="321"/>
      <c r="Q353" s="321"/>
      <c r="R353" s="321"/>
      <c r="S353" s="321"/>
      <c r="T353" s="321"/>
      <c r="U353" s="321"/>
      <c r="V353" s="321"/>
      <c r="W353" s="321"/>
      <c r="X353" s="321"/>
      <c r="Y353" s="321"/>
      <c r="Z353" s="321"/>
      <c r="AA353" s="321"/>
      <c r="AB353" s="321"/>
      <c r="AC353" s="321"/>
      <c r="AD353" s="321"/>
      <c r="AE353" s="321"/>
      <c r="AF353" s="321"/>
      <c r="AG353" s="321"/>
      <c r="AH353" s="321"/>
      <c r="AI353" s="321"/>
      <c r="AJ353" s="321"/>
      <c r="AK353" s="321"/>
      <c r="AL353" s="321"/>
      <c r="AM353" s="321"/>
      <c r="AN353" s="321"/>
      <c r="AO353" s="321"/>
      <c r="AP353" s="427"/>
      <c r="AQ353" s="321"/>
      <c r="AR353" s="321"/>
      <c r="AS353" s="321"/>
      <c r="AT353" s="321"/>
      <c r="AU353" s="136">
        <f t="shared" si="76"/>
        <v>3.6811080091740944E-3</v>
      </c>
      <c r="AV353" s="136">
        <f t="shared" si="87"/>
        <v>-2.6800000000000708</v>
      </c>
      <c r="AW353" s="136">
        <f t="shared" si="77"/>
        <v>1.099693662940349E-2</v>
      </c>
      <c r="AX353" s="136" t="e">
        <f t="shared" si="78"/>
        <v>#N/A</v>
      </c>
      <c r="AY353" s="136">
        <f t="shared" si="79"/>
        <v>-2.6800100000000708</v>
      </c>
      <c r="AZ353" s="136">
        <f t="shared" si="80"/>
        <v>-2.6799900000000707</v>
      </c>
      <c r="BA353" s="136">
        <f t="shared" si="81"/>
        <v>5.7791539267818749E-2</v>
      </c>
      <c r="BB353" s="136">
        <f t="shared" si="82"/>
        <v>5.7792258047320973E-2</v>
      </c>
      <c r="BC353" s="136" t="e">
        <f t="shared" si="83"/>
        <v>#N/A</v>
      </c>
      <c r="BD353" s="136">
        <f t="shared" si="88"/>
        <v>1.099693662940349E-2</v>
      </c>
      <c r="BE353" s="136">
        <f t="shared" si="84"/>
        <v>9.9969366294034891E-3</v>
      </c>
      <c r="BF353" s="136" t="e">
        <f t="shared" si="85"/>
        <v>#N/A</v>
      </c>
      <c r="BG353" s="136" t="e">
        <f t="shared" si="86"/>
        <v>#N/A</v>
      </c>
    </row>
    <row r="354" spans="2:59" ht="11.25" customHeight="1">
      <c r="B354" s="321"/>
      <c r="C354" s="321"/>
      <c r="D354" s="321"/>
      <c r="E354" s="321"/>
      <c r="F354" s="321"/>
      <c r="G354" s="321"/>
      <c r="H354" s="321"/>
      <c r="I354" s="321"/>
      <c r="J354" s="321"/>
      <c r="K354" s="321"/>
      <c r="L354" s="321"/>
      <c r="M354" s="321"/>
      <c r="N354" s="321"/>
      <c r="O354" s="321"/>
      <c r="P354" s="321"/>
      <c r="Q354" s="321"/>
      <c r="R354" s="321"/>
      <c r="S354" s="321"/>
      <c r="T354" s="321"/>
      <c r="U354" s="321"/>
      <c r="V354" s="321"/>
      <c r="W354" s="321"/>
      <c r="X354" s="321"/>
      <c r="Y354" s="321"/>
      <c r="Z354" s="321"/>
      <c r="AA354" s="321"/>
      <c r="AB354" s="321"/>
      <c r="AC354" s="321"/>
      <c r="AD354" s="321"/>
      <c r="AE354" s="321"/>
      <c r="AF354" s="321"/>
      <c r="AG354" s="321"/>
      <c r="AH354" s="321"/>
      <c r="AI354" s="321"/>
      <c r="AJ354" s="321"/>
      <c r="AK354" s="321"/>
      <c r="AL354" s="321"/>
      <c r="AM354" s="321"/>
      <c r="AN354" s="321"/>
      <c r="AO354" s="321"/>
      <c r="AP354" s="427"/>
      <c r="AQ354" s="321"/>
      <c r="AR354" s="321"/>
      <c r="AS354" s="321"/>
      <c r="AT354" s="321"/>
      <c r="AU354" s="136">
        <f t="shared" si="76"/>
        <v>3.7925623476846582E-3</v>
      </c>
      <c r="AV354" s="136">
        <f t="shared" si="87"/>
        <v>-2.670000000000071</v>
      </c>
      <c r="AW354" s="136">
        <f t="shared" si="77"/>
        <v>1.1295074500453993E-2</v>
      </c>
      <c r="AX354" s="136" t="e">
        <f t="shared" si="78"/>
        <v>#N/A</v>
      </c>
      <c r="AY354" s="136">
        <f t="shared" si="79"/>
        <v>-2.670010000000071</v>
      </c>
      <c r="AZ354" s="136">
        <f t="shared" si="80"/>
        <v>-2.6699900000000709</v>
      </c>
      <c r="BA354" s="136">
        <f t="shared" si="81"/>
        <v>5.8152504956232434E-2</v>
      </c>
      <c r="BB354" s="136">
        <f t="shared" si="82"/>
        <v>5.8153230063603761E-2</v>
      </c>
      <c r="BC354" s="136" t="e">
        <f t="shared" si="83"/>
        <v>#N/A</v>
      </c>
      <c r="BD354" s="136">
        <f t="shared" si="88"/>
        <v>1.1295074500453993E-2</v>
      </c>
      <c r="BE354" s="136">
        <f t="shared" si="84"/>
        <v>1.0295074500453992E-2</v>
      </c>
      <c r="BF354" s="136" t="e">
        <f t="shared" si="85"/>
        <v>#N/A</v>
      </c>
      <c r="BG354" s="136" t="e">
        <f t="shared" si="86"/>
        <v>#N/A</v>
      </c>
    </row>
    <row r="355" spans="2:59" ht="11.25" customHeight="1">
      <c r="B355" s="321"/>
      <c r="C355" s="321"/>
      <c r="D355" s="321"/>
      <c r="E355" s="321"/>
      <c r="F355" s="321"/>
      <c r="G355" s="321"/>
      <c r="H355" s="321"/>
      <c r="I355" s="321"/>
      <c r="J355" s="321"/>
      <c r="K355" s="321"/>
      <c r="L355" s="321"/>
      <c r="M355" s="321"/>
      <c r="N355" s="321"/>
      <c r="O355" s="321"/>
      <c r="P355" s="321"/>
      <c r="Q355" s="321"/>
      <c r="R355" s="321"/>
      <c r="S355" s="321"/>
      <c r="T355" s="321"/>
      <c r="U355" s="321"/>
      <c r="V355" s="321"/>
      <c r="W355" s="321"/>
      <c r="X355" s="321"/>
      <c r="Y355" s="321"/>
      <c r="Z355" s="321"/>
      <c r="AA355" s="321"/>
      <c r="AB355" s="321"/>
      <c r="AC355" s="321"/>
      <c r="AD355" s="321"/>
      <c r="AE355" s="321"/>
      <c r="AF355" s="321"/>
      <c r="AG355" s="321"/>
      <c r="AH355" s="321"/>
      <c r="AI355" s="321"/>
      <c r="AJ355" s="321"/>
      <c r="AK355" s="321"/>
      <c r="AL355" s="321"/>
      <c r="AM355" s="321"/>
      <c r="AN355" s="321"/>
      <c r="AO355" s="321"/>
      <c r="AP355" s="427"/>
      <c r="AQ355" s="321"/>
      <c r="AR355" s="321"/>
      <c r="AS355" s="321"/>
      <c r="AT355" s="321"/>
      <c r="AU355" s="136">
        <f t="shared" si="76"/>
        <v>3.9070325748518098E-3</v>
      </c>
      <c r="AV355" s="136">
        <f t="shared" si="87"/>
        <v>-2.6600000000000712</v>
      </c>
      <c r="AW355" s="136">
        <f t="shared" si="77"/>
        <v>1.1600135113700366E-2</v>
      </c>
      <c r="AX355" s="136" t="e">
        <f t="shared" si="78"/>
        <v>#N/A</v>
      </c>
      <c r="AY355" s="136">
        <f t="shared" si="79"/>
        <v>-2.6600100000000713</v>
      </c>
      <c r="AZ355" s="136">
        <f t="shared" si="80"/>
        <v>-2.6599900000000711</v>
      </c>
      <c r="BA355" s="136">
        <f t="shared" si="81"/>
        <v>5.8516651812238842E-2</v>
      </c>
      <c r="BB355" s="136">
        <f t="shared" si="82"/>
        <v>5.8517383316693102E-2</v>
      </c>
      <c r="BC355" s="136" t="e">
        <f t="shared" si="83"/>
        <v>#N/A</v>
      </c>
      <c r="BD355" s="136">
        <f t="shared" si="88"/>
        <v>1.1600135113700366E-2</v>
      </c>
      <c r="BE355" s="136">
        <f t="shared" si="84"/>
        <v>1.0600135113700365E-2</v>
      </c>
      <c r="BF355" s="136" t="e">
        <f t="shared" si="85"/>
        <v>#N/A</v>
      </c>
      <c r="BG355" s="136" t="e">
        <f t="shared" si="86"/>
        <v>#N/A</v>
      </c>
    </row>
    <row r="356" spans="2:59" ht="11.25" customHeight="1">
      <c r="B356" s="321"/>
      <c r="C356" s="321"/>
      <c r="D356" s="321"/>
      <c r="E356" s="321"/>
      <c r="F356" s="321"/>
      <c r="G356" s="321"/>
      <c r="H356" s="321"/>
      <c r="I356" s="321"/>
      <c r="J356" s="321"/>
      <c r="K356" s="321"/>
      <c r="L356" s="321"/>
      <c r="M356" s="321"/>
      <c r="N356" s="321"/>
      <c r="O356" s="321"/>
      <c r="P356" s="321"/>
      <c r="Q356" s="321"/>
      <c r="R356" s="321"/>
      <c r="S356" s="321"/>
      <c r="T356" s="321"/>
      <c r="U356" s="321"/>
      <c r="V356" s="321"/>
      <c r="W356" s="321"/>
      <c r="X356" s="321"/>
      <c r="Y356" s="321"/>
      <c r="Z356" s="321"/>
      <c r="AA356" s="321"/>
      <c r="AB356" s="321"/>
      <c r="AC356" s="321"/>
      <c r="AD356" s="321"/>
      <c r="AE356" s="321"/>
      <c r="AF356" s="321"/>
      <c r="AG356" s="321"/>
      <c r="AH356" s="321"/>
      <c r="AI356" s="321"/>
      <c r="AJ356" s="321"/>
      <c r="AK356" s="321"/>
      <c r="AL356" s="321"/>
      <c r="AM356" s="321"/>
      <c r="AN356" s="321"/>
      <c r="AO356" s="321"/>
      <c r="AP356" s="427"/>
      <c r="AQ356" s="321"/>
      <c r="AR356" s="321"/>
      <c r="AS356" s="321"/>
      <c r="AT356" s="321"/>
      <c r="AU356" s="136">
        <f t="shared" si="76"/>
        <v>4.0245885427576678E-3</v>
      </c>
      <c r="AV356" s="136">
        <f t="shared" si="87"/>
        <v>-2.6500000000000714</v>
      </c>
      <c r="AW356" s="136">
        <f t="shared" si="77"/>
        <v>1.1912243607602924E-2</v>
      </c>
      <c r="AX356" s="136" t="e">
        <f t="shared" si="78"/>
        <v>#N/A</v>
      </c>
      <c r="AY356" s="136">
        <f t="shared" si="79"/>
        <v>-2.6500100000000715</v>
      </c>
      <c r="AZ356" s="136">
        <f t="shared" si="80"/>
        <v>-2.6499900000000713</v>
      </c>
      <c r="BA356" s="136">
        <f t="shared" si="81"/>
        <v>5.8884014658219457E-2</v>
      </c>
      <c r="BB356" s="136">
        <f t="shared" si="82"/>
        <v>5.8884752629835953E-2</v>
      </c>
      <c r="BC356" s="136" t="e">
        <f t="shared" si="83"/>
        <v>#N/A</v>
      </c>
      <c r="BD356" s="136">
        <f t="shared" si="88"/>
        <v>1.1912243607602924E-2</v>
      </c>
      <c r="BE356" s="136">
        <f t="shared" si="84"/>
        <v>1.0912243607602925E-2</v>
      </c>
      <c r="BF356" s="136" t="e">
        <f t="shared" si="85"/>
        <v>#N/A</v>
      </c>
      <c r="BG356" s="136" t="e">
        <f t="shared" si="86"/>
        <v>#N/A</v>
      </c>
    </row>
    <row r="357" spans="2:59" ht="11.25" customHeight="1">
      <c r="B357" s="321"/>
      <c r="C357" s="321"/>
      <c r="D357" s="321"/>
      <c r="E357" s="321"/>
      <c r="F357" s="321"/>
      <c r="G357" s="321"/>
      <c r="H357" s="321"/>
      <c r="I357" s="321"/>
      <c r="J357" s="321"/>
      <c r="K357" s="321"/>
      <c r="L357" s="321"/>
      <c r="M357" s="321"/>
      <c r="N357" s="321"/>
      <c r="O357" s="321"/>
      <c r="P357" s="321"/>
      <c r="Q357" s="321"/>
      <c r="R357" s="321"/>
      <c r="S357" s="321"/>
      <c r="T357" s="321"/>
      <c r="U357" s="321"/>
      <c r="V357" s="321"/>
      <c r="W357" s="321"/>
      <c r="X357" s="321"/>
      <c r="Y357" s="321"/>
      <c r="Z357" s="321"/>
      <c r="AA357" s="321"/>
      <c r="AB357" s="321"/>
      <c r="AC357" s="321"/>
      <c r="AD357" s="321"/>
      <c r="AE357" s="321"/>
      <c r="AF357" s="321"/>
      <c r="AG357" s="321"/>
      <c r="AH357" s="321"/>
      <c r="AI357" s="321"/>
      <c r="AJ357" s="321"/>
      <c r="AK357" s="321"/>
      <c r="AL357" s="321"/>
      <c r="AM357" s="321"/>
      <c r="AN357" s="321"/>
      <c r="AO357" s="321"/>
      <c r="AP357" s="427"/>
      <c r="AQ357" s="321"/>
      <c r="AR357" s="321"/>
      <c r="AS357" s="321"/>
      <c r="AT357" s="321"/>
      <c r="AU357" s="136">
        <f t="shared" si="76"/>
        <v>4.1453013610350808E-3</v>
      </c>
      <c r="AV357" s="136">
        <f t="shared" si="87"/>
        <v>-2.6400000000000716</v>
      </c>
      <c r="AW357" s="136">
        <f t="shared" si="77"/>
        <v>1.2231526351275661E-2</v>
      </c>
      <c r="AX357" s="136" t="e">
        <f t="shared" si="78"/>
        <v>#N/A</v>
      </c>
      <c r="AY357" s="136">
        <f t="shared" si="79"/>
        <v>-2.6400100000000717</v>
      </c>
      <c r="AZ357" s="136">
        <f t="shared" si="80"/>
        <v>-2.6399900000000716</v>
      </c>
      <c r="BA357" s="136">
        <f t="shared" si="81"/>
        <v>5.9254628751958492E-2</v>
      </c>
      <c r="BB357" s="136">
        <f t="shared" si="82"/>
        <v>5.9255373261692779E-2</v>
      </c>
      <c r="BC357" s="136" t="e">
        <f t="shared" si="83"/>
        <v>#N/A</v>
      </c>
      <c r="BD357" s="136">
        <f t="shared" si="88"/>
        <v>1.2231526351275661E-2</v>
      </c>
      <c r="BE357" s="136">
        <f t="shared" si="84"/>
        <v>1.123152635127566E-2</v>
      </c>
      <c r="BF357" s="136" t="e">
        <f t="shared" si="85"/>
        <v>#N/A</v>
      </c>
      <c r="BG357" s="136" t="e">
        <f t="shared" si="86"/>
        <v>#N/A</v>
      </c>
    </row>
    <row r="358" spans="2:59" ht="11.25" customHeight="1">
      <c r="B358" s="321"/>
      <c r="C358" s="321"/>
      <c r="D358" s="321"/>
      <c r="E358" s="321"/>
      <c r="F358" s="321"/>
      <c r="G358" s="321"/>
      <c r="H358" s="321"/>
      <c r="I358" s="321"/>
      <c r="J358" s="321"/>
      <c r="K358" s="321"/>
      <c r="L358" s="321"/>
      <c r="M358" s="321"/>
      <c r="N358" s="321"/>
      <c r="O358" s="321"/>
      <c r="P358" s="321"/>
      <c r="Q358" s="321"/>
      <c r="R358" s="321"/>
      <c r="S358" s="321"/>
      <c r="T358" s="321"/>
      <c r="U358" s="321"/>
      <c r="V358" s="321"/>
      <c r="W358" s="321"/>
      <c r="X358" s="321"/>
      <c r="Y358" s="321"/>
      <c r="Z358" s="321"/>
      <c r="AA358" s="321"/>
      <c r="AB358" s="321"/>
      <c r="AC358" s="321"/>
      <c r="AD358" s="321"/>
      <c r="AE358" s="321"/>
      <c r="AF358" s="321"/>
      <c r="AG358" s="321"/>
      <c r="AH358" s="321"/>
      <c r="AI358" s="321"/>
      <c r="AJ358" s="321"/>
      <c r="AK358" s="321"/>
      <c r="AL358" s="321"/>
      <c r="AM358" s="321"/>
      <c r="AN358" s="321"/>
      <c r="AO358" s="321"/>
      <c r="AP358" s="427"/>
      <c r="AQ358" s="321"/>
      <c r="AR358" s="321"/>
      <c r="AS358" s="321"/>
      <c r="AT358" s="321"/>
      <c r="AU358" s="136">
        <f t="shared" si="76"/>
        <v>4.2692434090882969E-3</v>
      </c>
      <c r="AV358" s="136">
        <f t="shared" si="87"/>
        <v>-2.6300000000000718</v>
      </c>
      <c r="AW358" s="136">
        <f t="shared" si="77"/>
        <v>1.2558110926375834E-2</v>
      </c>
      <c r="AX358" s="136" t="e">
        <f t="shared" si="78"/>
        <v>#N/A</v>
      </c>
      <c r="AY358" s="136">
        <f t="shared" si="79"/>
        <v>-2.6300100000000719</v>
      </c>
      <c r="AZ358" s="136">
        <f t="shared" si="80"/>
        <v>-2.6299900000000718</v>
      </c>
      <c r="BA358" s="136">
        <f t="shared" si="81"/>
        <v>5.9628529792370641E-2</v>
      </c>
      <c r="BB358" s="136">
        <f t="shared" si="82"/>
        <v>5.9629280912066457E-2</v>
      </c>
      <c r="BC358" s="136" t="e">
        <f t="shared" si="83"/>
        <v>#N/A</v>
      </c>
      <c r="BD358" s="136">
        <f t="shared" si="88"/>
        <v>1.2558110926375834E-2</v>
      </c>
      <c r="BE358" s="136">
        <f t="shared" si="84"/>
        <v>1.1558110926375834E-2</v>
      </c>
      <c r="BF358" s="136" t="e">
        <f t="shared" si="85"/>
        <v>#N/A</v>
      </c>
      <c r="BG358" s="136" t="e">
        <f t="shared" si="86"/>
        <v>#N/A</v>
      </c>
    </row>
    <row r="359" spans="2:59" ht="11.25" customHeight="1">
      <c r="B359" s="321"/>
      <c r="C359" s="321"/>
      <c r="D359" s="321"/>
      <c r="E359" s="321"/>
      <c r="F359" s="321"/>
      <c r="G359" s="321"/>
      <c r="H359" s="321"/>
      <c r="I359" s="321"/>
      <c r="J359" s="321"/>
      <c r="K359" s="321"/>
      <c r="L359" s="321"/>
      <c r="M359" s="321"/>
      <c r="N359" s="321"/>
      <c r="O359" s="321"/>
      <c r="P359" s="321"/>
      <c r="Q359" s="321"/>
      <c r="R359" s="321"/>
      <c r="S359" s="321"/>
      <c r="T359" s="321"/>
      <c r="U359" s="321"/>
      <c r="V359" s="321"/>
      <c r="W359" s="321"/>
      <c r="X359" s="321"/>
      <c r="Y359" s="321"/>
      <c r="Z359" s="321"/>
      <c r="AA359" s="321"/>
      <c r="AB359" s="321"/>
      <c r="AC359" s="321"/>
      <c r="AD359" s="321"/>
      <c r="AE359" s="321"/>
      <c r="AF359" s="321"/>
      <c r="AG359" s="321"/>
      <c r="AH359" s="321"/>
      <c r="AI359" s="321"/>
      <c r="AJ359" s="321"/>
      <c r="AK359" s="321"/>
      <c r="AL359" s="321"/>
      <c r="AM359" s="321"/>
      <c r="AN359" s="321"/>
      <c r="AO359" s="321"/>
      <c r="AP359" s="427"/>
      <c r="AQ359" s="321"/>
      <c r="AR359" s="321"/>
      <c r="AS359" s="321"/>
      <c r="AT359" s="321"/>
      <c r="AU359" s="136">
        <f t="shared" si="76"/>
        <v>4.39648834812012E-3</v>
      </c>
      <c r="AV359" s="136">
        <f t="shared" si="87"/>
        <v>-2.620000000000072</v>
      </c>
      <c r="AW359" s="136">
        <f t="shared" si="77"/>
        <v>1.2892126107892874E-2</v>
      </c>
      <c r="AX359" s="136" t="e">
        <f t="shared" si="78"/>
        <v>#N/A</v>
      </c>
      <c r="AY359" s="136">
        <f t="shared" si="79"/>
        <v>-2.6200100000000721</v>
      </c>
      <c r="AZ359" s="136">
        <f t="shared" si="80"/>
        <v>-2.619990000000072</v>
      </c>
      <c r="BA359" s="136">
        <f t="shared" si="81"/>
        <v>6.0005753925298277E-2</v>
      </c>
      <c r="BB359" s="136">
        <f t="shared" si="82"/>
        <v>6.0006511727699031E-2</v>
      </c>
      <c r="BC359" s="136" t="e">
        <f t="shared" si="83"/>
        <v>#N/A</v>
      </c>
      <c r="BD359" s="136">
        <f t="shared" si="88"/>
        <v>1.2892126107892874E-2</v>
      </c>
      <c r="BE359" s="136">
        <f t="shared" si="84"/>
        <v>1.1892126107892875E-2</v>
      </c>
      <c r="BF359" s="136" t="e">
        <f t="shared" si="85"/>
        <v>#N/A</v>
      </c>
      <c r="BG359" s="136" t="e">
        <f t="shared" si="86"/>
        <v>#N/A</v>
      </c>
    </row>
    <row r="360" spans="2:59" ht="11.25" customHeight="1">
      <c r="B360" s="321"/>
      <c r="C360" s="321"/>
      <c r="D360" s="321"/>
      <c r="E360" s="321"/>
      <c r="F360" s="321"/>
      <c r="G360" s="321"/>
      <c r="H360" s="321"/>
      <c r="I360" s="321"/>
      <c r="J360" s="321"/>
      <c r="K360" s="321"/>
      <c r="L360" s="321"/>
      <c r="M360" s="321"/>
      <c r="N360" s="321"/>
      <c r="O360" s="321"/>
      <c r="P360" s="321"/>
      <c r="Q360" s="321"/>
      <c r="R360" s="321"/>
      <c r="S360" s="321"/>
      <c r="T360" s="321"/>
      <c r="U360" s="321"/>
      <c r="V360" s="321"/>
      <c r="W360" s="321"/>
      <c r="X360" s="321"/>
      <c r="Y360" s="321"/>
      <c r="Z360" s="321"/>
      <c r="AA360" s="321"/>
      <c r="AB360" s="321"/>
      <c r="AC360" s="321"/>
      <c r="AD360" s="321"/>
      <c r="AE360" s="321"/>
      <c r="AF360" s="321"/>
      <c r="AG360" s="321"/>
      <c r="AH360" s="321"/>
      <c r="AI360" s="321"/>
      <c r="AJ360" s="321"/>
      <c r="AK360" s="321"/>
      <c r="AL360" s="321"/>
      <c r="AM360" s="321"/>
      <c r="AN360" s="321"/>
      <c r="AO360" s="321"/>
      <c r="AP360" s="427"/>
      <c r="AQ360" s="321"/>
      <c r="AR360" s="321"/>
      <c r="AS360" s="321"/>
      <c r="AT360" s="321"/>
      <c r="AU360" s="136">
        <f t="shared" si="76"/>
        <v>4.5271111329663327E-3</v>
      </c>
      <c r="AV360" s="136">
        <f t="shared" si="87"/>
        <v>-2.6100000000000723</v>
      </c>
      <c r="AW360" s="136">
        <f t="shared" si="77"/>
        <v>1.3233701843818868E-2</v>
      </c>
      <c r="AX360" s="136" t="e">
        <f t="shared" si="78"/>
        <v>#N/A</v>
      </c>
      <c r="AY360" s="136">
        <f t="shared" si="79"/>
        <v>-2.6100100000000723</v>
      </c>
      <c r="AZ360" s="136">
        <f t="shared" si="80"/>
        <v>-2.6099900000000722</v>
      </c>
      <c r="BA360" s="136">
        <f t="shared" si="81"/>
        <v>6.0386337749377482E-2</v>
      </c>
      <c r="BB360" s="136">
        <f t="shared" si="82"/>
        <v>6.038710230813811E-2</v>
      </c>
      <c r="BC360" s="136" t="e">
        <f t="shared" si="83"/>
        <v>#N/A</v>
      </c>
      <c r="BD360" s="136">
        <f t="shared" si="88"/>
        <v>1.3233701843818868E-2</v>
      </c>
      <c r="BE360" s="136">
        <f t="shared" si="84"/>
        <v>1.2233701843818869E-2</v>
      </c>
      <c r="BF360" s="136" t="e">
        <f t="shared" si="85"/>
        <v>#N/A</v>
      </c>
      <c r="BG360" s="136" t="e">
        <f t="shared" si="86"/>
        <v>#N/A</v>
      </c>
    </row>
    <row r="361" spans="2:59" ht="11.25" customHeight="1">
      <c r="B361" s="321"/>
      <c r="C361" s="321"/>
      <c r="D361" s="321"/>
      <c r="E361" s="321"/>
      <c r="F361" s="321"/>
      <c r="G361" s="321"/>
      <c r="H361" s="321"/>
      <c r="I361" s="321"/>
      <c r="J361" s="321"/>
      <c r="K361" s="321"/>
      <c r="L361" s="321"/>
      <c r="M361" s="321"/>
      <c r="N361" s="321"/>
      <c r="O361" s="321"/>
      <c r="P361" s="321"/>
      <c r="Q361" s="321"/>
      <c r="R361" s="321"/>
      <c r="S361" s="321"/>
      <c r="T361" s="321"/>
      <c r="U361" s="321"/>
      <c r="V361" s="321"/>
      <c r="W361" s="321"/>
      <c r="X361" s="321"/>
      <c r="Y361" s="321"/>
      <c r="Z361" s="321"/>
      <c r="AA361" s="321"/>
      <c r="AB361" s="321"/>
      <c r="AC361" s="321"/>
      <c r="AD361" s="321"/>
      <c r="AE361" s="321"/>
      <c r="AF361" s="321"/>
      <c r="AG361" s="321"/>
      <c r="AH361" s="321"/>
      <c r="AI361" s="321"/>
      <c r="AJ361" s="321"/>
      <c r="AK361" s="321"/>
      <c r="AL361" s="321"/>
      <c r="AM361" s="321"/>
      <c r="AN361" s="321"/>
      <c r="AO361" s="321"/>
      <c r="AP361" s="427"/>
      <c r="AQ361" s="321"/>
      <c r="AR361" s="321"/>
      <c r="AS361" s="321"/>
      <c r="AT361" s="321"/>
      <c r="AU361" s="136">
        <f t="shared" si="76"/>
        <v>4.6611880237176218E-3</v>
      </c>
      <c r="AV361" s="136">
        <f t="shared" si="87"/>
        <v>-2.6000000000000725</v>
      </c>
      <c r="AW361" s="136">
        <f t="shared" si="77"/>
        <v>1.3582969233683054E-2</v>
      </c>
      <c r="AX361" s="136" t="e">
        <f t="shared" si="78"/>
        <v>#N/A</v>
      </c>
      <c r="AY361" s="136">
        <f t="shared" si="79"/>
        <v>-2.6000100000000725</v>
      </c>
      <c r="AZ361" s="136">
        <f t="shared" si="80"/>
        <v>-2.5999900000000724</v>
      </c>
      <c r="BA361" s="136">
        <f t="shared" si="81"/>
        <v>6.0770318321974069E-2</v>
      </c>
      <c r="BB361" s="136">
        <f t="shared" si="82"/>
        <v>6.0771089711672971E-2</v>
      </c>
      <c r="BC361" s="136" t="e">
        <f t="shared" si="83"/>
        <v>#N/A</v>
      </c>
      <c r="BD361" s="136">
        <f t="shared" si="88"/>
        <v>1.3582969233683054E-2</v>
      </c>
      <c r="BE361" s="136">
        <f t="shared" si="84"/>
        <v>1.2582969233683055E-2</v>
      </c>
      <c r="BF361" s="136" t="e">
        <f t="shared" si="85"/>
        <v>#N/A</v>
      </c>
      <c r="BG361" s="136" t="e">
        <f t="shared" si="86"/>
        <v>#N/A</v>
      </c>
    </row>
    <row r="362" spans="2:59" ht="11.25" customHeight="1">
      <c r="B362" s="321"/>
      <c r="C362" s="321"/>
      <c r="D362" s="321"/>
      <c r="E362" s="321"/>
      <c r="F362" s="321"/>
      <c r="G362" s="321"/>
      <c r="H362" s="321"/>
      <c r="I362" s="321"/>
      <c r="J362" s="321"/>
      <c r="K362" s="321"/>
      <c r="L362" s="321"/>
      <c r="M362" s="321"/>
      <c r="N362" s="321"/>
      <c r="O362" s="321"/>
      <c r="P362" s="321"/>
      <c r="Q362" s="321"/>
      <c r="R362" s="321"/>
      <c r="S362" s="321"/>
      <c r="T362" s="321"/>
      <c r="U362" s="321"/>
      <c r="V362" s="321"/>
      <c r="W362" s="321"/>
      <c r="X362" s="321"/>
      <c r="Y362" s="321"/>
      <c r="Z362" s="321"/>
      <c r="AA362" s="321"/>
      <c r="AB362" s="321"/>
      <c r="AC362" s="321"/>
      <c r="AD362" s="321"/>
      <c r="AE362" s="321"/>
      <c r="AF362" s="321"/>
      <c r="AG362" s="321"/>
      <c r="AH362" s="321"/>
      <c r="AI362" s="321"/>
      <c r="AJ362" s="321"/>
      <c r="AK362" s="321"/>
      <c r="AL362" s="321"/>
      <c r="AM362" s="321"/>
      <c r="AN362" s="321"/>
      <c r="AO362" s="321"/>
      <c r="AP362" s="427"/>
      <c r="AQ362" s="321"/>
      <c r="AR362" s="321"/>
      <c r="AS362" s="321"/>
      <c r="AT362" s="321"/>
      <c r="AU362" s="136">
        <f t="shared" si="76"/>
        <v>4.7987965971253432E-3</v>
      </c>
      <c r="AV362" s="136">
        <f t="shared" si="87"/>
        <v>-2.5900000000000727</v>
      </c>
      <c r="AW362" s="136">
        <f t="shared" si="77"/>
        <v>1.394006050593319E-2</v>
      </c>
      <c r="AX362" s="136" t="e">
        <f t="shared" si="78"/>
        <v>#N/A</v>
      </c>
      <c r="AY362" s="136">
        <f t="shared" si="79"/>
        <v>-2.5900100000000728</v>
      </c>
      <c r="AZ362" s="136">
        <f t="shared" si="80"/>
        <v>-2.5899900000000726</v>
      </c>
      <c r="BA362" s="136">
        <f t="shared" si="81"/>
        <v>6.1157733165188952E-2</v>
      </c>
      <c r="BB362" s="136">
        <f t="shared" si="82"/>
        <v>6.115851146134002E-2</v>
      </c>
      <c r="BC362" s="136" t="e">
        <f t="shared" si="83"/>
        <v>#N/A</v>
      </c>
      <c r="BD362" s="136">
        <f t="shared" si="88"/>
        <v>1.394006050593319E-2</v>
      </c>
      <c r="BE362" s="136">
        <f t="shared" si="84"/>
        <v>1.2940060505933191E-2</v>
      </c>
      <c r="BF362" s="136" t="e">
        <f t="shared" si="85"/>
        <v>#N/A</v>
      </c>
      <c r="BG362" s="136" t="e">
        <f t="shared" si="86"/>
        <v>#N/A</v>
      </c>
    </row>
    <row r="363" spans="2:59" ht="11.25" customHeight="1">
      <c r="B363" s="321"/>
      <c r="C363" s="321"/>
      <c r="D363" s="321"/>
      <c r="E363" s="321"/>
      <c r="F363" s="321"/>
      <c r="G363" s="321"/>
      <c r="H363" s="321"/>
      <c r="I363" s="321"/>
      <c r="J363" s="321"/>
      <c r="K363" s="321"/>
      <c r="L363" s="321"/>
      <c r="M363" s="321"/>
      <c r="N363" s="321"/>
      <c r="O363" s="321"/>
      <c r="P363" s="321"/>
      <c r="Q363" s="321"/>
      <c r="R363" s="321"/>
      <c r="S363" s="321"/>
      <c r="T363" s="321"/>
      <c r="U363" s="321"/>
      <c r="V363" s="321"/>
      <c r="W363" s="321"/>
      <c r="X363" s="321"/>
      <c r="Y363" s="321"/>
      <c r="Z363" s="321"/>
      <c r="AA363" s="321"/>
      <c r="AB363" s="321"/>
      <c r="AC363" s="321"/>
      <c r="AD363" s="321"/>
      <c r="AE363" s="321"/>
      <c r="AF363" s="321"/>
      <c r="AG363" s="321"/>
      <c r="AH363" s="321"/>
      <c r="AI363" s="321"/>
      <c r="AJ363" s="321"/>
      <c r="AK363" s="321"/>
      <c r="AL363" s="321"/>
      <c r="AM363" s="321"/>
      <c r="AN363" s="321"/>
      <c r="AO363" s="321"/>
      <c r="AP363" s="427"/>
      <c r="AQ363" s="321"/>
      <c r="AR363" s="321"/>
      <c r="AS363" s="321"/>
      <c r="AT363" s="321"/>
      <c r="AU363" s="136">
        <f t="shared" si="76"/>
        <v>4.9400157577695891E-3</v>
      </c>
      <c r="AV363" s="136">
        <f t="shared" si="87"/>
        <v>-2.5800000000000729</v>
      </c>
      <c r="AW363" s="136">
        <f t="shared" si="77"/>
        <v>1.4305108994147001E-2</v>
      </c>
      <c r="AX363" s="136" t="e">
        <f t="shared" si="78"/>
        <v>#N/A</v>
      </c>
      <c r="AY363" s="136">
        <f t="shared" si="79"/>
        <v>-2.580010000000073</v>
      </c>
      <c r="AZ363" s="136">
        <f t="shared" si="80"/>
        <v>-2.5799900000000728</v>
      </c>
      <c r="BA363" s="136">
        <f t="shared" si="81"/>
        <v>6.1548620271934217E-2</v>
      </c>
      <c r="BB363" s="136">
        <f t="shared" si="82"/>
        <v>6.1549405550999137E-2</v>
      </c>
      <c r="BC363" s="136" t="e">
        <f t="shared" si="83"/>
        <v>#N/A</v>
      </c>
      <c r="BD363" s="136">
        <f t="shared" si="88"/>
        <v>1.4305108994147001E-2</v>
      </c>
      <c r="BE363" s="136">
        <f t="shared" si="84"/>
        <v>1.3305108994147E-2</v>
      </c>
      <c r="BF363" s="136" t="e">
        <f t="shared" si="85"/>
        <v>#N/A</v>
      </c>
      <c r="BG363" s="136" t="e">
        <f t="shared" si="86"/>
        <v>#N/A</v>
      </c>
    </row>
    <row r="364" spans="2:59" ht="11.25" customHeight="1">
      <c r="B364" s="321"/>
      <c r="C364" s="321"/>
      <c r="D364" s="321"/>
      <c r="E364" s="321"/>
      <c r="F364" s="321"/>
      <c r="G364" s="321"/>
      <c r="H364" s="321"/>
      <c r="I364" s="321"/>
      <c r="J364" s="321"/>
      <c r="K364" s="321"/>
      <c r="L364" s="321"/>
      <c r="M364" s="321"/>
      <c r="N364" s="321"/>
      <c r="O364" s="321"/>
      <c r="P364" s="321"/>
      <c r="Q364" s="321"/>
      <c r="R364" s="321"/>
      <c r="S364" s="321"/>
      <c r="T364" s="321"/>
      <c r="U364" s="321"/>
      <c r="V364" s="321"/>
      <c r="W364" s="321"/>
      <c r="X364" s="321"/>
      <c r="Y364" s="321"/>
      <c r="Z364" s="321"/>
      <c r="AA364" s="321"/>
      <c r="AB364" s="321"/>
      <c r="AC364" s="321"/>
      <c r="AD364" s="321"/>
      <c r="AE364" s="321"/>
      <c r="AF364" s="321"/>
      <c r="AG364" s="321"/>
      <c r="AH364" s="321"/>
      <c r="AI364" s="321"/>
      <c r="AJ364" s="321"/>
      <c r="AK364" s="321"/>
      <c r="AL364" s="321"/>
      <c r="AM364" s="321"/>
      <c r="AN364" s="321"/>
      <c r="AO364" s="321"/>
      <c r="AP364" s="427"/>
      <c r="AQ364" s="321"/>
      <c r="AR364" s="321"/>
      <c r="AS364" s="321"/>
      <c r="AT364" s="321"/>
      <c r="AU364" s="136">
        <f t="shared" si="76"/>
        <v>5.084925748989777E-3</v>
      </c>
      <c r="AV364" s="136">
        <f t="shared" si="87"/>
        <v>-2.5700000000000731</v>
      </c>
      <c r="AW364" s="136">
        <f t="shared" si="77"/>
        <v>1.4678249112057279E-2</v>
      </c>
      <c r="AX364" s="136" t="e">
        <f t="shared" si="78"/>
        <v>#N/A</v>
      </c>
      <c r="AY364" s="136">
        <f t="shared" si="79"/>
        <v>-2.5700100000000732</v>
      </c>
      <c r="AZ364" s="136">
        <f t="shared" si="80"/>
        <v>-2.569990000000073</v>
      </c>
      <c r="BA364" s="136">
        <f t="shared" si="81"/>
        <v>6.1943018112079543E-2</v>
      </c>
      <c r="BB364" s="136">
        <f t="shared" si="82"/>
        <v>6.1943810451480168E-2</v>
      </c>
      <c r="BC364" s="136" t="e">
        <f t="shared" si="83"/>
        <v>#N/A</v>
      </c>
      <c r="BD364" s="136">
        <f t="shared" si="88"/>
        <v>1.4678249112057279E-2</v>
      </c>
      <c r="BE364" s="136">
        <f t="shared" si="84"/>
        <v>1.367824911205728E-2</v>
      </c>
      <c r="BF364" s="136" t="e">
        <f t="shared" si="85"/>
        <v>#N/A</v>
      </c>
      <c r="BG364" s="136" t="e">
        <f t="shared" si="86"/>
        <v>#N/A</v>
      </c>
    </row>
    <row r="365" spans="2:59" ht="11.25" customHeight="1">
      <c r="B365" s="321"/>
      <c r="C365" s="321"/>
      <c r="D365" s="321"/>
      <c r="E365" s="321"/>
      <c r="F365" s="321"/>
      <c r="G365" s="321"/>
      <c r="H365" s="321"/>
      <c r="I365" s="321"/>
      <c r="J365" s="321"/>
      <c r="K365" s="321"/>
      <c r="L365" s="321"/>
      <c r="M365" s="321"/>
      <c r="N365" s="321"/>
      <c r="O365" s="321"/>
      <c r="P365" s="321"/>
      <c r="Q365" s="321"/>
      <c r="R365" s="321"/>
      <c r="S365" s="321"/>
      <c r="T365" s="321"/>
      <c r="U365" s="321"/>
      <c r="V365" s="321"/>
      <c r="W365" s="321"/>
      <c r="X365" s="321"/>
      <c r="Y365" s="321"/>
      <c r="Z365" s="321"/>
      <c r="AA365" s="321"/>
      <c r="AB365" s="321"/>
      <c r="AC365" s="321"/>
      <c r="AD365" s="321"/>
      <c r="AE365" s="321"/>
      <c r="AF365" s="321"/>
      <c r="AG365" s="321"/>
      <c r="AH365" s="321"/>
      <c r="AI365" s="321"/>
      <c r="AJ365" s="321"/>
      <c r="AK365" s="321"/>
      <c r="AL365" s="321"/>
      <c r="AM365" s="321"/>
      <c r="AN365" s="321"/>
      <c r="AO365" s="321"/>
      <c r="AP365" s="427"/>
      <c r="AQ365" s="321"/>
      <c r="AR365" s="321"/>
      <c r="AS365" s="321"/>
      <c r="AT365" s="321"/>
      <c r="AU365" s="136">
        <f t="shared" si="76"/>
        <v>5.2336081635546705E-3</v>
      </c>
      <c r="AV365" s="136">
        <f t="shared" si="87"/>
        <v>-2.5600000000000733</v>
      </c>
      <c r="AW365" s="136">
        <f t="shared" si="77"/>
        <v>1.5059616327374627E-2</v>
      </c>
      <c r="AX365" s="136" t="e">
        <f t="shared" si="78"/>
        <v>#N/A</v>
      </c>
      <c r="AY365" s="136">
        <f t="shared" si="79"/>
        <v>-2.5600100000000734</v>
      </c>
      <c r="AZ365" s="136">
        <f t="shared" si="80"/>
        <v>-2.5599900000000733</v>
      </c>
      <c r="BA365" s="136">
        <f t="shared" si="81"/>
        <v>6.2340965638669477E-2</v>
      </c>
      <c r="BB365" s="136">
        <f t="shared" si="82"/>
        <v>6.2341765116800098E-2</v>
      </c>
      <c r="BC365" s="136" t="e">
        <f t="shared" si="83"/>
        <v>#N/A</v>
      </c>
      <c r="BD365" s="136">
        <f t="shared" si="88"/>
        <v>1.5059616327374627E-2</v>
      </c>
      <c r="BE365" s="136">
        <f t="shared" si="84"/>
        <v>1.4059616327374628E-2</v>
      </c>
      <c r="BF365" s="136" t="e">
        <f t="shared" si="85"/>
        <v>#N/A</v>
      </c>
      <c r="BG365" s="136" t="e">
        <f t="shared" si="86"/>
        <v>#N/A</v>
      </c>
    </row>
    <row r="366" spans="2:59" ht="11.25" customHeight="1">
      <c r="B366" s="321"/>
      <c r="C366" s="321"/>
      <c r="D366" s="321"/>
      <c r="E366" s="321"/>
      <c r="F366" s="321"/>
      <c r="G366" s="321"/>
      <c r="H366" s="321"/>
      <c r="I366" s="321"/>
      <c r="J366" s="321"/>
      <c r="K366" s="321"/>
      <c r="L366" s="321"/>
      <c r="M366" s="321"/>
      <c r="N366" s="321"/>
      <c r="O366" s="321"/>
      <c r="P366" s="321"/>
      <c r="Q366" s="321"/>
      <c r="R366" s="321"/>
      <c r="S366" s="321"/>
      <c r="T366" s="321"/>
      <c r="U366" s="321"/>
      <c r="V366" s="321"/>
      <c r="W366" s="321"/>
      <c r="X366" s="321"/>
      <c r="Y366" s="321"/>
      <c r="Z366" s="321"/>
      <c r="AA366" s="321"/>
      <c r="AB366" s="321"/>
      <c r="AC366" s="321"/>
      <c r="AD366" s="321"/>
      <c r="AE366" s="321"/>
      <c r="AF366" s="321"/>
      <c r="AG366" s="321"/>
      <c r="AH366" s="321"/>
      <c r="AI366" s="321"/>
      <c r="AJ366" s="321"/>
      <c r="AK366" s="321"/>
      <c r="AL366" s="321"/>
      <c r="AM366" s="321"/>
      <c r="AN366" s="321"/>
      <c r="AO366" s="321"/>
      <c r="AP366" s="427"/>
      <c r="AQ366" s="321"/>
      <c r="AR366" s="321"/>
      <c r="AS366" s="321"/>
      <c r="AT366" s="321"/>
      <c r="AU366" s="136">
        <f t="shared" si="76"/>
        <v>5.3861459540655021E-3</v>
      </c>
      <c r="AV366" s="136">
        <f t="shared" si="87"/>
        <v>-2.5500000000000735</v>
      </c>
      <c r="AW366" s="136">
        <f t="shared" si="77"/>
        <v>1.544934713439227E-2</v>
      </c>
      <c r="AX366" s="136" t="e">
        <f t="shared" si="78"/>
        <v>#N/A</v>
      </c>
      <c r="AY366" s="136">
        <f t="shared" si="79"/>
        <v>-2.5500100000000736</v>
      </c>
      <c r="AZ366" s="136">
        <f t="shared" si="80"/>
        <v>-2.5499900000000735</v>
      </c>
      <c r="BA366" s="136">
        <f t="shared" si="81"/>
        <v>6.2742502294211508E-2</v>
      </c>
      <c r="BB366" s="136">
        <f t="shared" si="82"/>
        <v>6.2743308990451982E-2</v>
      </c>
      <c r="BC366" s="136" t="e">
        <f t="shared" si="83"/>
        <v>#N/A</v>
      </c>
      <c r="BD366" s="136">
        <f t="shared" si="88"/>
        <v>1.544934713439227E-2</v>
      </c>
      <c r="BE366" s="136">
        <f t="shared" si="84"/>
        <v>1.4449347134392269E-2</v>
      </c>
      <c r="BF366" s="136" t="e">
        <f t="shared" si="85"/>
        <v>#N/A</v>
      </c>
      <c r="BG366" s="136" t="e">
        <f t="shared" si="86"/>
        <v>#N/A</v>
      </c>
    </row>
    <row r="367" spans="2:59" ht="11.25" customHeight="1">
      <c r="B367" s="321"/>
      <c r="C367" s="321"/>
      <c r="D367" s="321"/>
      <c r="E367" s="321"/>
      <c r="F367" s="321"/>
      <c r="G367" s="321"/>
      <c r="H367" s="321"/>
      <c r="I367" s="321"/>
      <c r="J367" s="321"/>
      <c r="K367" s="321"/>
      <c r="L367" s="321"/>
      <c r="M367" s="321"/>
      <c r="N367" s="321"/>
      <c r="O367" s="321"/>
      <c r="P367" s="321"/>
      <c r="Q367" s="321"/>
      <c r="R367" s="321"/>
      <c r="S367" s="321"/>
      <c r="T367" s="321"/>
      <c r="U367" s="321"/>
      <c r="V367" s="321"/>
      <c r="W367" s="321"/>
      <c r="X367" s="321"/>
      <c r="Y367" s="321"/>
      <c r="Z367" s="321"/>
      <c r="AA367" s="321"/>
      <c r="AB367" s="321"/>
      <c r="AC367" s="321"/>
      <c r="AD367" s="321"/>
      <c r="AE367" s="321"/>
      <c r="AF367" s="321"/>
      <c r="AG367" s="321"/>
      <c r="AH367" s="321"/>
      <c r="AI367" s="321"/>
      <c r="AJ367" s="321"/>
      <c r="AK367" s="321"/>
      <c r="AL367" s="321"/>
      <c r="AM367" s="321"/>
      <c r="AN367" s="321"/>
      <c r="AO367" s="321"/>
      <c r="AP367" s="427"/>
      <c r="AQ367" s="321"/>
      <c r="AR367" s="321"/>
      <c r="AS367" s="321"/>
      <c r="AT367" s="321"/>
      <c r="AU367" s="136">
        <f t="shared" si="76"/>
        <v>5.5426234430813182E-3</v>
      </c>
      <c r="AV367" s="136">
        <f t="shared" si="87"/>
        <v>-2.5400000000000738</v>
      </c>
      <c r="AW367" s="136">
        <f t="shared" si="77"/>
        <v>1.5847579025357845E-2</v>
      </c>
      <c r="AX367" s="136" t="e">
        <f t="shared" si="78"/>
        <v>#N/A</v>
      </c>
      <c r="AY367" s="136">
        <f t="shared" si="79"/>
        <v>-2.5400100000000738</v>
      </c>
      <c r="AZ367" s="136">
        <f t="shared" si="80"/>
        <v>-2.5399900000000737</v>
      </c>
      <c r="BA367" s="136">
        <f t="shared" si="81"/>
        <v>6.3147668017035807E-2</v>
      </c>
      <c r="BB367" s="136">
        <f t="shared" si="82"/>
        <v>6.3148482011763762E-2</v>
      </c>
      <c r="BC367" s="136" t="e">
        <f t="shared" si="83"/>
        <v>#N/A</v>
      </c>
      <c r="BD367" s="136">
        <f t="shared" si="88"/>
        <v>1.5847579025357845E-2</v>
      </c>
      <c r="BE367" s="136">
        <f t="shared" si="84"/>
        <v>1.4847579025357844E-2</v>
      </c>
      <c r="BF367" s="136" t="e">
        <f t="shared" si="85"/>
        <v>#N/A</v>
      </c>
      <c r="BG367" s="136" t="e">
        <f t="shared" si="86"/>
        <v>#N/A</v>
      </c>
    </row>
    <row r="368" spans="2:59" ht="11.25" customHeight="1">
      <c r="B368" s="321"/>
      <c r="C368" s="321"/>
      <c r="D368" s="321"/>
      <c r="E368" s="321"/>
      <c r="F368" s="321"/>
      <c r="G368" s="321"/>
      <c r="H368" s="321"/>
      <c r="I368" s="321"/>
      <c r="J368" s="321"/>
      <c r="K368" s="321"/>
      <c r="L368" s="321"/>
      <c r="M368" s="321"/>
      <c r="N368" s="321"/>
      <c r="O368" s="321"/>
      <c r="P368" s="321"/>
      <c r="Q368" s="321"/>
      <c r="R368" s="321"/>
      <c r="S368" s="321"/>
      <c r="T368" s="321"/>
      <c r="U368" s="321"/>
      <c r="V368" s="321"/>
      <c r="W368" s="321"/>
      <c r="X368" s="321"/>
      <c r="Y368" s="321"/>
      <c r="Z368" s="321"/>
      <c r="AA368" s="321"/>
      <c r="AB368" s="321"/>
      <c r="AC368" s="321"/>
      <c r="AD368" s="321"/>
      <c r="AE368" s="321"/>
      <c r="AF368" s="321"/>
      <c r="AG368" s="321"/>
      <c r="AH368" s="321"/>
      <c r="AI368" s="321"/>
      <c r="AJ368" s="321"/>
      <c r="AK368" s="321"/>
      <c r="AL368" s="321"/>
      <c r="AM368" s="321"/>
      <c r="AN368" s="321"/>
      <c r="AO368" s="321"/>
      <c r="AP368" s="427"/>
      <c r="AQ368" s="321"/>
      <c r="AR368" s="321"/>
      <c r="AS368" s="321"/>
      <c r="AT368" s="321"/>
      <c r="AU368" s="136">
        <f t="shared" si="76"/>
        <v>5.7031263329495596E-3</v>
      </c>
      <c r="AV368" s="136">
        <f t="shared" si="87"/>
        <v>-2.530000000000074</v>
      </c>
      <c r="AW368" s="136">
        <f t="shared" si="77"/>
        <v>1.625445046059746E-2</v>
      </c>
      <c r="AX368" s="136" t="e">
        <f t="shared" si="78"/>
        <v>#N/A</v>
      </c>
      <c r="AY368" s="136">
        <f t="shared" si="79"/>
        <v>-2.530010000000074</v>
      </c>
      <c r="AZ368" s="136">
        <f t="shared" si="80"/>
        <v>-2.5299900000000739</v>
      </c>
      <c r="BA368" s="136">
        <f t="shared" si="81"/>
        <v>6.355650324772584E-2</v>
      </c>
      <c r="BB368" s="136">
        <f t="shared" si="82"/>
        <v>6.3557324622330075E-2</v>
      </c>
      <c r="BC368" s="136" t="e">
        <f t="shared" si="83"/>
        <v>#N/A</v>
      </c>
      <c r="BD368" s="136">
        <f t="shared" si="88"/>
        <v>1.625445046059746E-2</v>
      </c>
      <c r="BE368" s="136">
        <f t="shared" si="84"/>
        <v>1.5254450460597459E-2</v>
      </c>
      <c r="BF368" s="136" t="e">
        <f t="shared" si="85"/>
        <v>#N/A</v>
      </c>
      <c r="BG368" s="136" t="e">
        <f t="shared" si="86"/>
        <v>#N/A</v>
      </c>
    </row>
    <row r="369" spans="2:59" ht="11.25" customHeight="1">
      <c r="B369" s="321"/>
      <c r="C369" s="321"/>
      <c r="D369" s="321"/>
      <c r="E369" s="321"/>
      <c r="F369" s="321"/>
      <c r="G369" s="321"/>
      <c r="H369" s="321"/>
      <c r="I369" s="321"/>
      <c r="J369" s="321"/>
      <c r="K369" s="321"/>
      <c r="L369" s="321"/>
      <c r="M369" s="321"/>
      <c r="N369" s="321"/>
      <c r="O369" s="321"/>
      <c r="P369" s="321"/>
      <c r="Q369" s="321"/>
      <c r="R369" s="321"/>
      <c r="S369" s="321"/>
      <c r="T369" s="321"/>
      <c r="U369" s="321"/>
      <c r="V369" s="321"/>
      <c r="W369" s="321"/>
      <c r="X369" s="321"/>
      <c r="Y369" s="321"/>
      <c r="Z369" s="321"/>
      <c r="AA369" s="321"/>
      <c r="AB369" s="321"/>
      <c r="AC369" s="321"/>
      <c r="AD369" s="321"/>
      <c r="AE369" s="321"/>
      <c r="AF369" s="321"/>
      <c r="AG369" s="321"/>
      <c r="AH369" s="321"/>
      <c r="AI369" s="321"/>
      <c r="AJ369" s="321"/>
      <c r="AK369" s="321"/>
      <c r="AL369" s="321"/>
      <c r="AM369" s="321"/>
      <c r="AN369" s="321"/>
      <c r="AO369" s="321"/>
      <c r="AP369" s="427"/>
      <c r="AQ369" s="321"/>
      <c r="AR369" s="321"/>
      <c r="AS369" s="321"/>
      <c r="AT369" s="321"/>
      <c r="AU369" s="136">
        <f t="shared" si="76"/>
        <v>5.8677417153311096E-3</v>
      </c>
      <c r="AV369" s="136">
        <f t="shared" si="87"/>
        <v>-2.5200000000000742</v>
      </c>
      <c r="AW369" s="136">
        <f t="shared" si="77"/>
        <v>1.6670100837377945E-2</v>
      </c>
      <c r="AX369" s="136" t="e">
        <f t="shared" si="78"/>
        <v>#N/A</v>
      </c>
      <c r="AY369" s="136">
        <f t="shared" si="79"/>
        <v>-2.5200100000000742</v>
      </c>
      <c r="AZ369" s="136">
        <f t="shared" si="80"/>
        <v>-2.5199900000000741</v>
      </c>
      <c r="BA369" s="136">
        <f t="shared" si="81"/>
        <v>6.3969048935621095E-2</v>
      </c>
      <c r="BB369" s="136">
        <f t="shared" si="82"/>
        <v>6.3969877772514491E-2</v>
      </c>
      <c r="BC369" s="136" t="e">
        <f t="shared" si="83"/>
        <v>#N/A</v>
      </c>
      <c r="BD369" s="136">
        <f t="shared" si="88"/>
        <v>1.6670100837377945E-2</v>
      </c>
      <c r="BE369" s="136">
        <f t="shared" si="84"/>
        <v>1.5670100837377944E-2</v>
      </c>
      <c r="BF369" s="136" t="e">
        <f t="shared" si="85"/>
        <v>#N/A</v>
      </c>
      <c r="BG369" s="136" t="e">
        <f t="shared" si="86"/>
        <v>#N/A</v>
      </c>
    </row>
    <row r="370" spans="2:59" ht="11.25" customHeight="1">
      <c r="B370" s="321"/>
      <c r="C370" s="321"/>
      <c r="D370" s="321"/>
      <c r="E370" s="321"/>
      <c r="F370" s="321"/>
      <c r="G370" s="321"/>
      <c r="H370" s="321"/>
      <c r="I370" s="321"/>
      <c r="J370" s="321"/>
      <c r="K370" s="321"/>
      <c r="L370" s="321"/>
      <c r="M370" s="321"/>
      <c r="N370" s="321"/>
      <c r="O370" s="321"/>
      <c r="P370" s="321"/>
      <c r="Q370" s="321"/>
      <c r="R370" s="321"/>
      <c r="S370" s="321"/>
      <c r="T370" s="321"/>
      <c r="U370" s="321"/>
      <c r="V370" s="321"/>
      <c r="W370" s="321"/>
      <c r="X370" s="321"/>
      <c r="Y370" s="321"/>
      <c r="Z370" s="321"/>
      <c r="AA370" s="321"/>
      <c r="AB370" s="321"/>
      <c r="AC370" s="321"/>
      <c r="AD370" s="321"/>
      <c r="AE370" s="321"/>
      <c r="AF370" s="321"/>
      <c r="AG370" s="321"/>
      <c r="AH370" s="321"/>
      <c r="AI370" s="321"/>
      <c r="AJ370" s="321"/>
      <c r="AK370" s="321"/>
      <c r="AL370" s="321"/>
      <c r="AM370" s="321"/>
      <c r="AN370" s="321"/>
      <c r="AO370" s="321"/>
      <c r="AP370" s="427"/>
      <c r="AQ370" s="321"/>
      <c r="AR370" s="321"/>
      <c r="AS370" s="321"/>
      <c r="AT370" s="321"/>
      <c r="AU370" s="136">
        <f t="shared" si="76"/>
        <v>6.0365580804113694E-3</v>
      </c>
      <c r="AV370" s="136">
        <f t="shared" si="87"/>
        <v>-2.5100000000000744</v>
      </c>
      <c r="AW370" s="136">
        <f t="shared" si="77"/>
        <v>1.7094670457493747E-2</v>
      </c>
      <c r="AX370" s="136" t="e">
        <f t="shared" si="78"/>
        <v>#N/A</v>
      </c>
      <c r="AY370" s="136">
        <f t="shared" si="79"/>
        <v>-2.5100100000000745</v>
      </c>
      <c r="AZ370" s="136">
        <f t="shared" si="80"/>
        <v>-2.5099900000000743</v>
      </c>
      <c r="BA370" s="136">
        <f t="shared" si="81"/>
        <v>6.4385346545390978E-2</v>
      </c>
      <c r="BB370" s="136">
        <f t="shared" si="82"/>
        <v>6.4386182928023616E-2</v>
      </c>
      <c r="BC370" s="136" t="e">
        <f t="shared" si="83"/>
        <v>#N/A</v>
      </c>
      <c r="BD370" s="136">
        <f t="shared" si="88"/>
        <v>1.7094670457493747E-2</v>
      </c>
      <c r="BE370" s="136">
        <f t="shared" si="84"/>
        <v>1.6094670457493746E-2</v>
      </c>
      <c r="BF370" s="136" t="e">
        <f t="shared" si="85"/>
        <v>#N/A</v>
      </c>
      <c r="BG370" s="136" t="e">
        <f t="shared" si="86"/>
        <v>#N/A</v>
      </c>
    </row>
    <row r="371" spans="2:59" ht="11.25" customHeight="1">
      <c r="B371" s="321"/>
      <c r="C371" s="321"/>
      <c r="D371" s="321"/>
      <c r="E371" s="321"/>
      <c r="F371" s="321"/>
      <c r="G371" s="321"/>
      <c r="H371" s="321"/>
      <c r="I371" s="321"/>
      <c r="J371" s="321"/>
      <c r="K371" s="321"/>
      <c r="L371" s="321"/>
      <c r="M371" s="321"/>
      <c r="N371" s="321"/>
      <c r="O371" s="321"/>
      <c r="P371" s="321"/>
      <c r="Q371" s="321"/>
      <c r="R371" s="321"/>
      <c r="S371" s="321"/>
      <c r="T371" s="321"/>
      <c r="U371" s="321"/>
      <c r="V371" s="321"/>
      <c r="W371" s="321"/>
      <c r="X371" s="321"/>
      <c r="Y371" s="321"/>
      <c r="Z371" s="321"/>
      <c r="AA371" s="321"/>
      <c r="AB371" s="321"/>
      <c r="AC371" s="321"/>
      <c r="AD371" s="321"/>
      <c r="AE371" s="321"/>
      <c r="AF371" s="321"/>
      <c r="AG371" s="321"/>
      <c r="AH371" s="321"/>
      <c r="AI371" s="321"/>
      <c r="AJ371" s="321"/>
      <c r="AK371" s="321"/>
      <c r="AL371" s="321"/>
      <c r="AM371" s="321"/>
      <c r="AN371" s="321"/>
      <c r="AO371" s="321"/>
      <c r="AP371" s="427"/>
      <c r="AQ371" s="321"/>
      <c r="AR371" s="321"/>
      <c r="AS371" s="321"/>
      <c r="AT371" s="321"/>
      <c r="AU371" s="136">
        <f t="shared" si="76"/>
        <v>6.2096653257748269E-3</v>
      </c>
      <c r="AV371" s="136">
        <f t="shared" si="87"/>
        <v>-2.5000000000000746</v>
      </c>
      <c r="AW371" s="136">
        <f t="shared" si="77"/>
        <v>1.7528300493565269E-2</v>
      </c>
      <c r="AX371" s="136" t="e">
        <f t="shared" si="78"/>
        <v>#N/A</v>
      </c>
      <c r="AY371" s="136">
        <f t="shared" si="79"/>
        <v>-2.5000100000000747</v>
      </c>
      <c r="AZ371" s="136">
        <f t="shared" si="80"/>
        <v>-2.4999900000000745</v>
      </c>
      <c r="BA371" s="136">
        <f t="shared" si="81"/>
        <v>6.4805438063680915E-2</v>
      </c>
      <c r="BB371" s="136">
        <f t="shared" si="82"/>
        <v>6.4806282076553534E-2</v>
      </c>
      <c r="BC371" s="136" t="e">
        <f t="shared" si="83"/>
        <v>#N/A</v>
      </c>
      <c r="BD371" s="136">
        <f t="shared" si="88"/>
        <v>1.7528300493565269E-2</v>
      </c>
      <c r="BE371" s="136">
        <f t="shared" si="84"/>
        <v>1.6528300493565268E-2</v>
      </c>
      <c r="BF371" s="136" t="e">
        <f t="shared" si="85"/>
        <v>#N/A</v>
      </c>
      <c r="BG371" s="136" t="e">
        <f t="shared" si="86"/>
        <v>#N/A</v>
      </c>
    </row>
    <row r="372" spans="2:59" ht="11.25" customHeight="1">
      <c r="B372" s="321"/>
      <c r="C372" s="321"/>
      <c r="D372" s="321"/>
      <c r="E372" s="321"/>
      <c r="F372" s="321"/>
      <c r="G372" s="321"/>
      <c r="H372" s="321"/>
      <c r="I372" s="321"/>
      <c r="J372" s="321"/>
      <c r="K372" s="321"/>
      <c r="L372" s="321"/>
      <c r="M372" s="321"/>
      <c r="N372" s="321"/>
      <c r="O372" s="321"/>
      <c r="P372" s="321"/>
      <c r="Q372" s="321"/>
      <c r="R372" s="321"/>
      <c r="S372" s="321"/>
      <c r="T372" s="321"/>
      <c r="U372" s="321"/>
      <c r="V372" s="321"/>
      <c r="W372" s="321"/>
      <c r="X372" s="321"/>
      <c r="Y372" s="321"/>
      <c r="Z372" s="321"/>
      <c r="AA372" s="321"/>
      <c r="AB372" s="321"/>
      <c r="AC372" s="321"/>
      <c r="AD372" s="321"/>
      <c r="AE372" s="321"/>
      <c r="AF372" s="321"/>
      <c r="AG372" s="321"/>
      <c r="AH372" s="321"/>
      <c r="AI372" s="321"/>
      <c r="AJ372" s="321"/>
      <c r="AK372" s="321"/>
      <c r="AL372" s="321"/>
      <c r="AM372" s="321"/>
      <c r="AN372" s="321"/>
      <c r="AO372" s="321"/>
      <c r="AP372" s="427"/>
      <c r="AQ372" s="321"/>
      <c r="AR372" s="321"/>
      <c r="AS372" s="321"/>
      <c r="AT372" s="321"/>
      <c r="AU372" s="136">
        <f t="shared" si="76"/>
        <v>6.3871547649421156E-3</v>
      </c>
      <c r="AV372" s="136">
        <f t="shared" si="87"/>
        <v>-2.4900000000000748</v>
      </c>
      <c r="AW372" s="136">
        <f t="shared" si="77"/>
        <v>1.7971132954036285E-2</v>
      </c>
      <c r="AX372" s="136" t="e">
        <f t="shared" si="78"/>
        <v>#N/A</v>
      </c>
      <c r="AY372" s="136">
        <f t="shared" si="79"/>
        <v>-2.4900100000000749</v>
      </c>
      <c r="AZ372" s="136">
        <f t="shared" si="80"/>
        <v>-2.4899900000000748</v>
      </c>
      <c r="BA372" s="136">
        <f t="shared" si="81"/>
        <v>6.5229366005829709E-2</v>
      </c>
      <c r="BB372" s="136">
        <f t="shared" si="82"/>
        <v>6.5230217734507448E-2</v>
      </c>
      <c r="BC372" s="136" t="e">
        <f t="shared" si="83"/>
        <v>#N/A</v>
      </c>
      <c r="BD372" s="136">
        <f t="shared" si="88"/>
        <v>1.7971132954036285E-2</v>
      </c>
      <c r="BE372" s="136">
        <f t="shared" si="84"/>
        <v>1.6971132954036284E-2</v>
      </c>
      <c r="BF372" s="136" t="e">
        <f t="shared" si="85"/>
        <v>#N/A</v>
      </c>
      <c r="BG372" s="136" t="e">
        <f t="shared" si="86"/>
        <v>#N/A</v>
      </c>
    </row>
    <row r="373" spans="2:59" ht="11.25" customHeight="1">
      <c r="B373" s="321"/>
      <c r="C373" s="321"/>
      <c r="D373" s="321"/>
      <c r="E373" s="321"/>
      <c r="F373" s="321"/>
      <c r="G373" s="321"/>
      <c r="H373" s="321"/>
      <c r="I373" s="321"/>
      <c r="J373" s="321"/>
      <c r="K373" s="321"/>
      <c r="L373" s="321"/>
      <c r="M373" s="321"/>
      <c r="N373" s="321"/>
      <c r="O373" s="321"/>
      <c r="P373" s="321"/>
      <c r="Q373" s="321"/>
      <c r="R373" s="321"/>
      <c r="S373" s="321"/>
      <c r="T373" s="321"/>
      <c r="U373" s="321"/>
      <c r="V373" s="321"/>
      <c r="W373" s="321"/>
      <c r="X373" s="321"/>
      <c r="Y373" s="321"/>
      <c r="Z373" s="321"/>
      <c r="AA373" s="321"/>
      <c r="AB373" s="321"/>
      <c r="AC373" s="321"/>
      <c r="AD373" s="321"/>
      <c r="AE373" s="321"/>
      <c r="AF373" s="321"/>
      <c r="AG373" s="321"/>
      <c r="AH373" s="321"/>
      <c r="AI373" s="321"/>
      <c r="AJ373" s="321"/>
      <c r="AK373" s="321"/>
      <c r="AL373" s="321"/>
      <c r="AM373" s="321"/>
      <c r="AN373" s="321"/>
      <c r="AO373" s="321"/>
      <c r="AP373" s="427"/>
      <c r="AQ373" s="321"/>
      <c r="AR373" s="321"/>
      <c r="AS373" s="321"/>
      <c r="AT373" s="321"/>
      <c r="AU373" s="136">
        <f t="shared" si="76"/>
        <v>6.5691191355453649E-3</v>
      </c>
      <c r="AV373" s="136">
        <f t="shared" si="87"/>
        <v>-2.480000000000075</v>
      </c>
      <c r="AW373" s="136">
        <f t="shared" si="77"/>
        <v>1.8423310646858617E-2</v>
      </c>
      <c r="AX373" s="136" t="e">
        <f t="shared" si="78"/>
        <v>#N/A</v>
      </c>
      <c r="AY373" s="136">
        <f t="shared" si="79"/>
        <v>-2.4800100000000751</v>
      </c>
      <c r="AZ373" s="136">
        <f t="shared" si="80"/>
        <v>-2.479990000000075</v>
      </c>
      <c r="BA373" s="136">
        <f t="shared" si="81"/>
        <v>6.565717342265931E-2</v>
      </c>
      <c r="BB373" s="136">
        <f t="shared" si="82"/>
        <v>6.5658032953784778E-2</v>
      </c>
      <c r="BC373" s="136" t="e">
        <f t="shared" si="83"/>
        <v>#N/A</v>
      </c>
      <c r="BD373" s="136">
        <f t="shared" si="88"/>
        <v>1.8423310646858617E-2</v>
      </c>
      <c r="BE373" s="136">
        <f t="shared" si="84"/>
        <v>1.7423310646858616E-2</v>
      </c>
      <c r="BF373" s="136" t="e">
        <f t="shared" si="85"/>
        <v>#N/A</v>
      </c>
      <c r="BG373" s="136" t="e">
        <f t="shared" si="86"/>
        <v>#N/A</v>
      </c>
    </row>
    <row r="374" spans="2:59" ht="11.25" customHeight="1">
      <c r="B374" s="321"/>
      <c r="C374" s="321"/>
      <c r="D374" s="321"/>
      <c r="E374" s="321"/>
      <c r="F374" s="321"/>
      <c r="G374" s="321"/>
      <c r="H374" s="321"/>
      <c r="I374" s="321"/>
      <c r="J374" s="321"/>
      <c r="K374" s="321"/>
      <c r="L374" s="321"/>
      <c r="M374" s="321"/>
      <c r="N374" s="321"/>
      <c r="O374" s="321"/>
      <c r="P374" s="321"/>
      <c r="Q374" s="321"/>
      <c r="R374" s="321"/>
      <c r="S374" s="321"/>
      <c r="T374" s="321"/>
      <c r="U374" s="321"/>
      <c r="V374" s="321"/>
      <c r="W374" s="321"/>
      <c r="X374" s="321"/>
      <c r="Y374" s="321"/>
      <c r="Z374" s="321"/>
      <c r="AA374" s="321"/>
      <c r="AB374" s="321"/>
      <c r="AC374" s="321"/>
      <c r="AD374" s="321"/>
      <c r="AE374" s="321"/>
      <c r="AF374" s="321"/>
      <c r="AG374" s="321"/>
      <c r="AH374" s="321"/>
      <c r="AI374" s="321"/>
      <c r="AJ374" s="321"/>
      <c r="AK374" s="321"/>
      <c r="AL374" s="321"/>
      <c r="AM374" s="321"/>
      <c r="AN374" s="321"/>
      <c r="AO374" s="321"/>
      <c r="AP374" s="427"/>
      <c r="AQ374" s="321"/>
      <c r="AR374" s="321"/>
      <c r="AS374" s="321"/>
      <c r="AT374" s="321"/>
      <c r="AU374" s="136">
        <f t="shared" si="76"/>
        <v>6.7556526071391731E-3</v>
      </c>
      <c r="AV374" s="136">
        <f t="shared" si="87"/>
        <v>-2.4700000000000752</v>
      </c>
      <c r="AW374" s="136">
        <f t="shared" si="77"/>
        <v>1.8884977141852662E-2</v>
      </c>
      <c r="AX374" s="136" t="e">
        <f t="shared" si="78"/>
        <v>#N/A</v>
      </c>
      <c r="AY374" s="136">
        <f t="shared" si="79"/>
        <v>-2.4700100000000753</v>
      </c>
      <c r="AZ374" s="136">
        <f t="shared" si="80"/>
        <v>-2.4699900000000752</v>
      </c>
      <c r="BA374" s="136">
        <f t="shared" si="81"/>
        <v>6.6088903907335655E-2</v>
      </c>
      <c r="BB374" s="136">
        <f t="shared" si="82"/>
        <v>6.6089771328643326E-2</v>
      </c>
      <c r="BC374" s="136" t="e">
        <f t="shared" si="83"/>
        <v>#N/A</v>
      </c>
      <c r="BD374" s="136">
        <f t="shared" si="88"/>
        <v>1.8884977141852662E-2</v>
      </c>
      <c r="BE374" s="136">
        <f t="shared" si="84"/>
        <v>1.7884977141852661E-2</v>
      </c>
      <c r="BF374" s="136" t="e">
        <f t="shared" si="85"/>
        <v>#N/A</v>
      </c>
      <c r="BG374" s="136" t="e">
        <f t="shared" si="86"/>
        <v>#N/A</v>
      </c>
    </row>
    <row r="375" spans="2:59" ht="11.25" customHeight="1">
      <c r="B375" s="321"/>
      <c r="C375" s="321"/>
      <c r="D375" s="321"/>
      <c r="E375" s="321"/>
      <c r="F375" s="321"/>
      <c r="G375" s="321"/>
      <c r="H375" s="321"/>
      <c r="I375" s="321"/>
      <c r="J375" s="321"/>
      <c r="K375" s="321"/>
      <c r="L375" s="321"/>
      <c r="M375" s="321"/>
      <c r="N375" s="321"/>
      <c r="O375" s="321"/>
      <c r="P375" s="321"/>
      <c r="Q375" s="321"/>
      <c r="R375" s="321"/>
      <c r="S375" s="321"/>
      <c r="T375" s="321"/>
      <c r="U375" s="321"/>
      <c r="V375" s="321"/>
      <c r="W375" s="321"/>
      <c r="X375" s="321"/>
      <c r="Y375" s="321"/>
      <c r="Z375" s="321"/>
      <c r="AA375" s="321"/>
      <c r="AB375" s="321"/>
      <c r="AC375" s="321"/>
      <c r="AD375" s="321"/>
      <c r="AE375" s="321"/>
      <c r="AF375" s="321"/>
      <c r="AG375" s="321"/>
      <c r="AH375" s="321"/>
      <c r="AI375" s="321"/>
      <c r="AJ375" s="321"/>
      <c r="AK375" s="321"/>
      <c r="AL375" s="321"/>
      <c r="AM375" s="321"/>
      <c r="AN375" s="321"/>
      <c r="AO375" s="321"/>
      <c r="AP375" s="427"/>
      <c r="AQ375" s="321"/>
      <c r="AR375" s="321"/>
      <c r="AS375" s="321"/>
      <c r="AT375" s="321"/>
      <c r="AU375" s="136">
        <f t="shared" si="76"/>
        <v>6.9468507886225606E-3</v>
      </c>
      <c r="AV375" s="136">
        <f t="shared" si="87"/>
        <v>-2.4600000000000755</v>
      </c>
      <c r="AW375" s="136">
        <f t="shared" si="77"/>
        <v>1.9356276731733367E-2</v>
      </c>
      <c r="AX375" s="136" t="e">
        <f t="shared" si="78"/>
        <v>#N/A</v>
      </c>
      <c r="AY375" s="136">
        <f t="shared" si="79"/>
        <v>-2.4600100000000755</v>
      </c>
      <c r="AZ375" s="136">
        <f t="shared" si="80"/>
        <v>-2.4599900000000754</v>
      </c>
      <c r="BA375" s="136">
        <f t="shared" si="81"/>
        <v>6.65246016023016E-2</v>
      </c>
      <c r="BB375" s="136">
        <f t="shared" si="82"/>
        <v>6.6525477002631325E-2</v>
      </c>
      <c r="BC375" s="136" t="e">
        <f t="shared" si="83"/>
        <v>#N/A</v>
      </c>
      <c r="BD375" s="136">
        <f t="shared" si="88"/>
        <v>1.9356276731733367E-2</v>
      </c>
      <c r="BE375" s="136">
        <f t="shared" si="84"/>
        <v>1.8356276731733366E-2</v>
      </c>
      <c r="BF375" s="136" t="e">
        <f t="shared" si="85"/>
        <v>#N/A</v>
      </c>
      <c r="BG375" s="136" t="e">
        <f t="shared" si="86"/>
        <v>#N/A</v>
      </c>
    </row>
    <row r="376" spans="2:59" ht="11.25" customHeight="1">
      <c r="B376" s="321"/>
      <c r="C376" s="321"/>
      <c r="D376" s="321"/>
      <c r="E376" s="321"/>
      <c r="F376" s="321"/>
      <c r="G376" s="321"/>
      <c r="H376" s="321"/>
      <c r="I376" s="321"/>
      <c r="J376" s="321"/>
      <c r="K376" s="321"/>
      <c r="L376" s="321"/>
      <c r="M376" s="321"/>
      <c r="N376" s="321"/>
      <c r="O376" s="321"/>
      <c r="P376" s="321"/>
      <c r="Q376" s="321"/>
      <c r="R376" s="321"/>
      <c r="S376" s="321"/>
      <c r="T376" s="321"/>
      <c r="U376" s="321"/>
      <c r="V376" s="321"/>
      <c r="W376" s="321"/>
      <c r="X376" s="321"/>
      <c r="Y376" s="321"/>
      <c r="Z376" s="321"/>
      <c r="AA376" s="321"/>
      <c r="AB376" s="321"/>
      <c r="AC376" s="321"/>
      <c r="AD376" s="321"/>
      <c r="AE376" s="321"/>
      <c r="AF376" s="321"/>
      <c r="AG376" s="321"/>
      <c r="AH376" s="321"/>
      <c r="AI376" s="321"/>
      <c r="AJ376" s="321"/>
      <c r="AK376" s="321"/>
      <c r="AL376" s="321"/>
      <c r="AM376" s="321"/>
      <c r="AN376" s="321"/>
      <c r="AO376" s="321"/>
      <c r="AP376" s="427"/>
      <c r="AQ376" s="321"/>
      <c r="AR376" s="321"/>
      <c r="AS376" s="321"/>
      <c r="AT376" s="321"/>
      <c r="AU376" s="136">
        <f t="shared" si="76"/>
        <v>7.142810735270011E-3</v>
      </c>
      <c r="AV376" s="136">
        <f t="shared" si="87"/>
        <v>-2.4500000000000757</v>
      </c>
      <c r="AW376" s="136">
        <f t="shared" si="77"/>
        <v>1.9837354391791646E-2</v>
      </c>
      <c r="AX376" s="136" t="e">
        <f t="shared" si="78"/>
        <v>#N/A</v>
      </c>
      <c r="AY376" s="136">
        <f t="shared" si="79"/>
        <v>-2.4500100000000757</v>
      </c>
      <c r="AZ376" s="136">
        <f t="shared" si="80"/>
        <v>-2.4499900000000756</v>
      </c>
      <c r="BA376" s="136">
        <f t="shared" si="81"/>
        <v>6.6964311206281033E-2</v>
      </c>
      <c r="BB376" s="136">
        <f t="shared" si="82"/>
        <v>6.6965194675592449E-2</v>
      </c>
      <c r="BC376" s="136" t="e">
        <f t="shared" si="83"/>
        <v>#N/A</v>
      </c>
      <c r="BD376" s="136">
        <f t="shared" si="88"/>
        <v>1.9837354391791646E-2</v>
      </c>
      <c r="BE376" s="136">
        <f t="shared" si="84"/>
        <v>1.8837354391791645E-2</v>
      </c>
      <c r="BF376" s="136" t="e">
        <f t="shared" si="85"/>
        <v>#N/A</v>
      </c>
      <c r="BG376" s="136" t="e">
        <f t="shared" si="86"/>
        <v>#N/A</v>
      </c>
    </row>
    <row r="377" spans="2:59" ht="11.25" customHeight="1">
      <c r="B377" s="321"/>
      <c r="C377" s="321"/>
      <c r="D377" s="321"/>
      <c r="E377" s="321"/>
      <c r="F377" s="321"/>
      <c r="G377" s="321"/>
      <c r="H377" s="321"/>
      <c r="I377" s="321"/>
      <c r="J377" s="321"/>
      <c r="K377" s="321"/>
      <c r="L377" s="321"/>
      <c r="M377" s="321"/>
      <c r="N377" s="321"/>
      <c r="O377" s="321"/>
      <c r="P377" s="321"/>
      <c r="Q377" s="321"/>
      <c r="R377" s="321"/>
      <c r="S377" s="321"/>
      <c r="T377" s="321"/>
      <c r="U377" s="321"/>
      <c r="V377" s="321"/>
      <c r="W377" s="321"/>
      <c r="X377" s="321"/>
      <c r="Y377" s="321"/>
      <c r="Z377" s="321"/>
      <c r="AA377" s="321"/>
      <c r="AB377" s="321"/>
      <c r="AC377" s="321"/>
      <c r="AD377" s="321"/>
      <c r="AE377" s="321"/>
      <c r="AF377" s="321"/>
      <c r="AG377" s="321"/>
      <c r="AH377" s="321"/>
      <c r="AI377" s="321"/>
      <c r="AJ377" s="321"/>
      <c r="AK377" s="321"/>
      <c r="AL377" s="321"/>
      <c r="AM377" s="321"/>
      <c r="AN377" s="321"/>
      <c r="AO377" s="321"/>
      <c r="AP377" s="427"/>
      <c r="AQ377" s="321"/>
      <c r="AR377" s="321"/>
      <c r="AS377" s="321"/>
      <c r="AT377" s="321"/>
      <c r="AU377" s="136">
        <f t="shared" si="76"/>
        <v>7.343630955346736E-3</v>
      </c>
      <c r="AV377" s="136">
        <f t="shared" si="87"/>
        <v>-2.4400000000000759</v>
      </c>
      <c r="AW377" s="136">
        <f t="shared" si="77"/>
        <v>2.032835573822207E-2</v>
      </c>
      <c r="AX377" s="136" t="e">
        <f t="shared" si="78"/>
        <v>#N/A</v>
      </c>
      <c r="AY377" s="136">
        <f t="shared" si="79"/>
        <v>-2.440010000000076</v>
      </c>
      <c r="AZ377" s="136">
        <f t="shared" si="80"/>
        <v>-2.4399900000000758</v>
      </c>
      <c r="BA377" s="136">
        <f t="shared" si="81"/>
        <v>6.7408077981354703E-2</v>
      </c>
      <c r="BB377" s="136">
        <f t="shared" si="82"/>
        <v>6.7408969610741123E-2</v>
      </c>
      <c r="BC377" s="136" t="e">
        <f t="shared" si="83"/>
        <v>#N/A</v>
      </c>
      <c r="BD377" s="136">
        <f t="shared" si="88"/>
        <v>2.032835573822207E-2</v>
      </c>
      <c r="BE377" s="136">
        <f t="shared" si="84"/>
        <v>1.9328355738222069E-2</v>
      </c>
      <c r="BF377" s="136" t="e">
        <f t="shared" si="85"/>
        <v>#N/A</v>
      </c>
      <c r="BG377" s="136" t="e">
        <f t="shared" si="86"/>
        <v>#N/A</v>
      </c>
    </row>
    <row r="378" spans="2:59" ht="11.25" customHeight="1">
      <c r="B378" s="321"/>
      <c r="C378" s="321"/>
      <c r="D378" s="321"/>
      <c r="E378" s="321"/>
      <c r="F378" s="321"/>
      <c r="G378" s="321"/>
      <c r="H378" s="321"/>
      <c r="I378" s="321"/>
      <c r="J378" s="321"/>
      <c r="K378" s="321"/>
      <c r="L378" s="321"/>
      <c r="M378" s="321"/>
      <c r="N378" s="321"/>
      <c r="O378" s="321"/>
      <c r="P378" s="321"/>
      <c r="Q378" s="321"/>
      <c r="R378" s="321"/>
      <c r="S378" s="321"/>
      <c r="T378" s="321"/>
      <c r="U378" s="321"/>
      <c r="V378" s="321"/>
      <c r="W378" s="321"/>
      <c r="X378" s="321"/>
      <c r="Y378" s="321"/>
      <c r="Z378" s="321"/>
      <c r="AA378" s="321"/>
      <c r="AB378" s="321"/>
      <c r="AC378" s="321"/>
      <c r="AD378" s="321"/>
      <c r="AE378" s="321"/>
      <c r="AF378" s="321"/>
      <c r="AG378" s="321"/>
      <c r="AH378" s="321"/>
      <c r="AI378" s="321"/>
      <c r="AJ378" s="321"/>
      <c r="AK378" s="321"/>
      <c r="AL378" s="321"/>
      <c r="AM378" s="321"/>
      <c r="AN378" s="321"/>
      <c r="AO378" s="321"/>
      <c r="AP378" s="427"/>
      <c r="AQ378" s="321"/>
      <c r="AR378" s="321"/>
      <c r="AS378" s="321"/>
      <c r="AT378" s="321"/>
      <c r="AU378" s="136">
        <f t="shared" si="76"/>
        <v>7.5494114163074943E-3</v>
      </c>
      <c r="AV378" s="136">
        <f t="shared" si="87"/>
        <v>-2.4300000000000761</v>
      </c>
      <c r="AW378" s="136">
        <f t="shared" si="77"/>
        <v>2.0829426985088335E-2</v>
      </c>
      <c r="AX378" s="136" t="e">
        <f t="shared" si="78"/>
        <v>#N/A</v>
      </c>
      <c r="AY378" s="136">
        <f t="shared" si="79"/>
        <v>-2.4300100000000762</v>
      </c>
      <c r="AZ378" s="136">
        <f t="shared" si="80"/>
        <v>-2.429990000000076</v>
      </c>
      <c r="BA378" s="136">
        <f t="shared" si="81"/>
        <v>6.7855947760106491E-2</v>
      </c>
      <c r="BB378" s="136">
        <f t="shared" si="82"/>
        <v>6.7856847641809645E-2</v>
      </c>
      <c r="BC378" s="136" t="e">
        <f t="shared" si="83"/>
        <v>#N/A</v>
      </c>
      <c r="BD378" s="136">
        <f t="shared" si="88"/>
        <v>2.0829426985088335E-2</v>
      </c>
      <c r="BE378" s="136">
        <f t="shared" si="84"/>
        <v>1.9829426985088335E-2</v>
      </c>
      <c r="BF378" s="136" t="e">
        <f t="shared" si="85"/>
        <v>#N/A</v>
      </c>
      <c r="BG378" s="136" t="e">
        <f t="shared" si="86"/>
        <v>#N/A</v>
      </c>
    </row>
    <row r="379" spans="2:59" ht="11.25" customHeight="1">
      <c r="B379" s="321"/>
      <c r="C379" s="321"/>
      <c r="D379" s="321"/>
      <c r="E379" s="321"/>
      <c r="F379" s="321"/>
      <c r="G379" s="321"/>
      <c r="H379" s="321"/>
      <c r="I379" s="321"/>
      <c r="J379" s="321"/>
      <c r="K379" s="321"/>
      <c r="L379" s="321"/>
      <c r="M379" s="321"/>
      <c r="N379" s="321"/>
      <c r="O379" s="321"/>
      <c r="P379" s="321"/>
      <c r="Q379" s="321"/>
      <c r="R379" s="321"/>
      <c r="S379" s="321"/>
      <c r="T379" s="321"/>
      <c r="U379" s="321"/>
      <c r="V379" s="321"/>
      <c r="W379" s="321"/>
      <c r="X379" s="321"/>
      <c r="Y379" s="321"/>
      <c r="Z379" s="321"/>
      <c r="AA379" s="321"/>
      <c r="AB379" s="321"/>
      <c r="AC379" s="321"/>
      <c r="AD379" s="321"/>
      <c r="AE379" s="321"/>
      <c r="AF379" s="321"/>
      <c r="AG379" s="321"/>
      <c r="AH379" s="321"/>
      <c r="AI379" s="321"/>
      <c r="AJ379" s="321"/>
      <c r="AK379" s="321"/>
      <c r="AL379" s="321"/>
      <c r="AM379" s="321"/>
      <c r="AN379" s="321"/>
      <c r="AO379" s="321"/>
      <c r="AP379" s="427"/>
      <c r="AQ379" s="321"/>
      <c r="AR379" s="321"/>
      <c r="AS379" s="321"/>
      <c r="AT379" s="321"/>
      <c r="AU379" s="136">
        <f t="shared" si="76"/>
        <v>7.7602535505518766E-3</v>
      </c>
      <c r="AV379" s="136">
        <f t="shared" si="87"/>
        <v>-2.4200000000000763</v>
      </c>
      <c r="AW379" s="136">
        <f t="shared" si="77"/>
        <v>2.1340714899918838E-2</v>
      </c>
      <c r="AX379" s="136" t="e">
        <f t="shared" si="78"/>
        <v>#N/A</v>
      </c>
      <c r="AY379" s="136">
        <f t="shared" si="79"/>
        <v>-2.4200100000000764</v>
      </c>
      <c r="AZ379" s="136">
        <f t="shared" si="80"/>
        <v>-2.4199900000000762</v>
      </c>
      <c r="BA379" s="136">
        <f t="shared" si="81"/>
        <v>6.8307966952841109E-2</v>
      </c>
      <c r="BB379" s="136">
        <f t="shared" si="82"/>
        <v>6.8308875180265349E-2</v>
      </c>
      <c r="BC379" s="136" t="e">
        <f t="shared" si="83"/>
        <v>#N/A</v>
      </c>
      <c r="BD379" s="136">
        <f t="shared" si="88"/>
        <v>2.1340714899918838E-2</v>
      </c>
      <c r="BE379" s="136">
        <f t="shared" si="84"/>
        <v>2.0340714899918837E-2</v>
      </c>
      <c r="BF379" s="136" t="e">
        <f t="shared" si="85"/>
        <v>#N/A</v>
      </c>
      <c r="BG379" s="136" t="e">
        <f t="shared" si="86"/>
        <v>#N/A</v>
      </c>
    </row>
    <row r="380" spans="2:59" ht="11.25" customHeight="1">
      <c r="B380" s="321"/>
      <c r="C380" s="321"/>
      <c r="D380" s="321"/>
      <c r="E380" s="321"/>
      <c r="F380" s="321"/>
      <c r="G380" s="321"/>
      <c r="H380" s="321"/>
      <c r="I380" s="321"/>
      <c r="J380" s="321"/>
      <c r="K380" s="321"/>
      <c r="L380" s="321"/>
      <c r="M380" s="321"/>
      <c r="N380" s="321"/>
      <c r="O380" s="321"/>
      <c r="P380" s="321"/>
      <c r="Q380" s="321"/>
      <c r="R380" s="321"/>
      <c r="S380" s="321"/>
      <c r="T380" s="321"/>
      <c r="U380" s="321"/>
      <c r="V380" s="321"/>
      <c r="W380" s="321"/>
      <c r="X380" s="321"/>
      <c r="Y380" s="321"/>
      <c r="Z380" s="321"/>
      <c r="AA380" s="321"/>
      <c r="AB380" s="321"/>
      <c r="AC380" s="321"/>
      <c r="AD380" s="321"/>
      <c r="AE380" s="321"/>
      <c r="AF380" s="321"/>
      <c r="AG380" s="321"/>
      <c r="AH380" s="321"/>
      <c r="AI380" s="321"/>
      <c r="AJ380" s="321"/>
      <c r="AK380" s="321"/>
      <c r="AL380" s="321"/>
      <c r="AM380" s="321"/>
      <c r="AN380" s="321"/>
      <c r="AO380" s="321"/>
      <c r="AP380" s="427"/>
      <c r="AQ380" s="321"/>
      <c r="AR380" s="321"/>
      <c r="AS380" s="321"/>
      <c r="AT380" s="321"/>
      <c r="AU380" s="136">
        <f t="shared" si="76"/>
        <v>7.9762602607320598E-3</v>
      </c>
      <c r="AV380" s="136">
        <f t="shared" si="87"/>
        <v>-2.4100000000000765</v>
      </c>
      <c r="AW380" s="136">
        <f t="shared" si="77"/>
        <v>2.1862366757925352E-2</v>
      </c>
      <c r="AX380" s="136" t="e">
        <f t="shared" si="78"/>
        <v>#N/A</v>
      </c>
      <c r="AY380" s="136">
        <f t="shared" si="79"/>
        <v>-2.4100100000000766</v>
      </c>
      <c r="AZ380" s="136">
        <f t="shared" si="80"/>
        <v>-2.4099900000000765</v>
      </c>
      <c r="BA380" s="136">
        <f t="shared" si="81"/>
        <v>6.8764182554871683E-2</v>
      </c>
      <c r="BB380" s="136">
        <f t="shared" si="82"/>
        <v>6.8765099222598686E-2</v>
      </c>
      <c r="BC380" s="136" t="e">
        <f t="shared" si="83"/>
        <v>#N/A</v>
      </c>
      <c r="BD380" s="136">
        <f t="shared" si="88"/>
        <v>2.1862366757925352E-2</v>
      </c>
      <c r="BE380" s="136">
        <f t="shared" si="84"/>
        <v>2.0862366757925351E-2</v>
      </c>
      <c r="BF380" s="136" t="e">
        <f t="shared" si="85"/>
        <v>#N/A</v>
      </c>
      <c r="BG380" s="136" t="e">
        <f t="shared" si="86"/>
        <v>#N/A</v>
      </c>
    </row>
    <row r="381" spans="2:59" ht="11.25" customHeight="1">
      <c r="B381" s="321"/>
      <c r="C381" s="321"/>
      <c r="D381" s="321"/>
      <c r="E381" s="321"/>
      <c r="F381" s="321"/>
      <c r="G381" s="321"/>
      <c r="H381" s="321"/>
      <c r="I381" s="321"/>
      <c r="J381" s="321"/>
      <c r="K381" s="321"/>
      <c r="L381" s="321"/>
      <c r="M381" s="321"/>
      <c r="N381" s="321"/>
      <c r="O381" s="321"/>
      <c r="P381" s="321"/>
      <c r="Q381" s="321"/>
      <c r="R381" s="321"/>
      <c r="S381" s="321"/>
      <c r="T381" s="321"/>
      <c r="U381" s="321"/>
      <c r="V381" s="321"/>
      <c r="W381" s="321"/>
      <c r="X381" s="321"/>
      <c r="Y381" s="321"/>
      <c r="Z381" s="321"/>
      <c r="AA381" s="321"/>
      <c r="AB381" s="321"/>
      <c r="AC381" s="321"/>
      <c r="AD381" s="321"/>
      <c r="AE381" s="321"/>
      <c r="AF381" s="321"/>
      <c r="AG381" s="321"/>
      <c r="AH381" s="321"/>
      <c r="AI381" s="321"/>
      <c r="AJ381" s="321"/>
      <c r="AK381" s="321"/>
      <c r="AL381" s="321"/>
      <c r="AM381" s="321"/>
      <c r="AN381" s="321"/>
      <c r="AO381" s="321"/>
      <c r="AP381" s="427"/>
      <c r="AQ381" s="321"/>
      <c r="AR381" s="321"/>
      <c r="AS381" s="321"/>
      <c r="AT381" s="321"/>
      <c r="AU381" s="136">
        <f t="shared" si="76"/>
        <v>8.1975359245944901E-3</v>
      </c>
      <c r="AV381" s="136">
        <f t="shared" si="87"/>
        <v>-2.4000000000000767</v>
      </c>
      <c r="AW381" s="136">
        <f t="shared" si="77"/>
        <v>2.2394530294838771E-2</v>
      </c>
      <c r="AX381" s="136" t="e">
        <f t="shared" si="78"/>
        <v>#N/A</v>
      </c>
      <c r="AY381" s="136">
        <f t="shared" si="79"/>
        <v>-2.4000100000000768</v>
      </c>
      <c r="AZ381" s="136">
        <f t="shared" si="80"/>
        <v>-2.3999900000000767</v>
      </c>
      <c r="BA381" s="136">
        <f t="shared" si="81"/>
        <v>6.922464215387758E-2</v>
      </c>
      <c r="BB381" s="136">
        <f t="shared" si="82"/>
        <v>6.922556735768122E-2</v>
      </c>
      <c r="BC381" s="136" t="e">
        <f t="shared" si="83"/>
        <v>#N/A</v>
      </c>
      <c r="BD381" s="136">
        <f t="shared" si="88"/>
        <v>2.2394530294838771E-2</v>
      </c>
      <c r="BE381" s="136">
        <f t="shared" si="84"/>
        <v>2.139453029483877E-2</v>
      </c>
      <c r="BF381" s="136" t="e">
        <f t="shared" si="85"/>
        <v>#N/A</v>
      </c>
      <c r="BG381" s="136" t="e">
        <f t="shared" si="86"/>
        <v>#N/A</v>
      </c>
    </row>
    <row r="382" spans="2:59" ht="11.25" customHeight="1">
      <c r="B382" s="321"/>
      <c r="C382" s="321"/>
      <c r="D382" s="321"/>
      <c r="E382" s="321"/>
      <c r="F382" s="321"/>
      <c r="G382" s="321"/>
      <c r="H382" s="321"/>
      <c r="I382" s="321"/>
      <c r="J382" s="321"/>
      <c r="K382" s="321"/>
      <c r="L382" s="321"/>
      <c r="M382" s="321"/>
      <c r="N382" s="321"/>
      <c r="O382" s="321"/>
      <c r="P382" s="321"/>
      <c r="Q382" s="321"/>
      <c r="R382" s="321"/>
      <c r="S382" s="321"/>
      <c r="T382" s="321"/>
      <c r="U382" s="321"/>
      <c r="V382" s="321"/>
      <c r="W382" s="321"/>
      <c r="X382" s="321"/>
      <c r="Y382" s="321"/>
      <c r="Z382" s="321"/>
      <c r="AA382" s="321"/>
      <c r="AB382" s="321"/>
      <c r="AC382" s="321"/>
      <c r="AD382" s="321"/>
      <c r="AE382" s="321"/>
      <c r="AF382" s="321"/>
      <c r="AG382" s="321"/>
      <c r="AH382" s="321"/>
      <c r="AI382" s="321"/>
      <c r="AJ382" s="321"/>
      <c r="AK382" s="321"/>
      <c r="AL382" s="321"/>
      <c r="AM382" s="321"/>
      <c r="AN382" s="321"/>
      <c r="AO382" s="321"/>
      <c r="AP382" s="427"/>
      <c r="AQ382" s="321"/>
      <c r="AR382" s="321"/>
      <c r="AS382" s="321"/>
      <c r="AT382" s="321"/>
      <c r="AU382" s="136">
        <f t="shared" si="76"/>
        <v>8.424186399343947E-3</v>
      </c>
      <c r="AV382" s="136">
        <f t="shared" si="87"/>
        <v>-2.390000000000077</v>
      </c>
      <c r="AW382" s="136">
        <f t="shared" si="77"/>
        <v>2.2937353658356474E-2</v>
      </c>
      <c r="AX382" s="136" t="e">
        <f t="shared" si="78"/>
        <v>#N/A</v>
      </c>
      <c r="AY382" s="136">
        <f t="shared" si="79"/>
        <v>-2.390010000000077</v>
      </c>
      <c r="AZ382" s="136">
        <f t="shared" si="80"/>
        <v>-2.3899900000000769</v>
      </c>
      <c r="BA382" s="136">
        <f t="shared" si="81"/>
        <v>6.9689393937331715E-2</v>
      </c>
      <c r="BB382" s="136">
        <f t="shared" si="82"/>
        <v>6.9690327774192845E-2</v>
      </c>
      <c r="BC382" s="136" t="e">
        <f t="shared" si="83"/>
        <v>#N/A</v>
      </c>
      <c r="BD382" s="136">
        <f t="shared" si="88"/>
        <v>2.2937353658356474E-2</v>
      </c>
      <c r="BE382" s="136">
        <f t="shared" si="84"/>
        <v>2.1937353658356473E-2</v>
      </c>
      <c r="BF382" s="136" t="e">
        <f t="shared" si="85"/>
        <v>#N/A</v>
      </c>
      <c r="BG382" s="136" t="e">
        <f t="shared" si="86"/>
        <v>#N/A</v>
      </c>
    </row>
    <row r="383" spans="2:59" ht="11.25" customHeight="1">
      <c r="B383" s="321"/>
      <c r="C383" s="321"/>
      <c r="D383" s="321"/>
      <c r="E383" s="321"/>
      <c r="F383" s="321"/>
      <c r="G383" s="321"/>
      <c r="H383" s="321"/>
      <c r="I383" s="321"/>
      <c r="J383" s="321"/>
      <c r="K383" s="321"/>
      <c r="L383" s="321"/>
      <c r="M383" s="321"/>
      <c r="N383" s="321"/>
      <c r="O383" s="321"/>
      <c r="P383" s="321"/>
      <c r="Q383" s="321"/>
      <c r="R383" s="321"/>
      <c r="S383" s="321"/>
      <c r="T383" s="321"/>
      <c r="U383" s="321"/>
      <c r="V383" s="321"/>
      <c r="W383" s="321"/>
      <c r="X383" s="321"/>
      <c r="Y383" s="321"/>
      <c r="Z383" s="321"/>
      <c r="AA383" s="321"/>
      <c r="AB383" s="321"/>
      <c r="AC383" s="321"/>
      <c r="AD383" s="321"/>
      <c r="AE383" s="321"/>
      <c r="AF383" s="321"/>
      <c r="AG383" s="321"/>
      <c r="AH383" s="321"/>
      <c r="AI383" s="321"/>
      <c r="AJ383" s="321"/>
      <c r="AK383" s="321"/>
      <c r="AL383" s="321"/>
      <c r="AM383" s="321"/>
      <c r="AN383" s="321"/>
      <c r="AO383" s="321"/>
      <c r="AP383" s="427"/>
      <c r="AQ383" s="321"/>
      <c r="AR383" s="321"/>
      <c r="AS383" s="321"/>
      <c r="AT383" s="321"/>
      <c r="AU383" s="136">
        <f t="shared" si="76"/>
        <v>8.6563190255147804E-3</v>
      </c>
      <c r="AV383" s="136">
        <f t="shared" si="87"/>
        <v>-2.3800000000000772</v>
      </c>
      <c r="AW383" s="136">
        <f t="shared" si="77"/>
        <v>2.3490985358197044E-2</v>
      </c>
      <c r="AX383" s="136" t="e">
        <f t="shared" si="78"/>
        <v>#N/A</v>
      </c>
      <c r="AY383" s="136">
        <f t="shared" si="79"/>
        <v>-2.3800100000000772</v>
      </c>
      <c r="AZ383" s="136">
        <f t="shared" si="80"/>
        <v>-2.3799900000000771</v>
      </c>
      <c r="BA383" s="136">
        <f t="shared" si="81"/>
        <v>7.0158486699996636E-2</v>
      </c>
      <c r="BB383" s="136">
        <f t="shared" si="82"/>
        <v>7.0159429268118412E-2</v>
      </c>
      <c r="BC383" s="136" t="e">
        <f t="shared" si="83"/>
        <v>#N/A</v>
      </c>
      <c r="BD383" s="136">
        <f t="shared" si="88"/>
        <v>2.3490985358197044E-2</v>
      </c>
      <c r="BE383" s="136">
        <f t="shared" si="84"/>
        <v>2.2490985358197043E-2</v>
      </c>
      <c r="BF383" s="136" t="e">
        <f t="shared" si="85"/>
        <v>#N/A</v>
      </c>
      <c r="BG383" s="136" t="e">
        <f t="shared" si="86"/>
        <v>#N/A</v>
      </c>
    </row>
    <row r="384" spans="2:59" ht="11.25" customHeight="1">
      <c r="B384" s="321"/>
      <c r="C384" s="321"/>
      <c r="D384" s="321"/>
      <c r="E384" s="321"/>
      <c r="F384" s="321"/>
      <c r="G384" s="321"/>
      <c r="H384" s="321"/>
      <c r="I384" s="321"/>
      <c r="J384" s="321"/>
      <c r="K384" s="321"/>
      <c r="L384" s="321"/>
      <c r="M384" s="321"/>
      <c r="N384" s="321"/>
      <c r="O384" s="321"/>
      <c r="P384" s="321"/>
      <c r="Q384" s="321"/>
      <c r="R384" s="321"/>
      <c r="S384" s="321"/>
      <c r="T384" s="321"/>
      <c r="U384" s="321"/>
      <c r="V384" s="321"/>
      <c r="W384" s="321"/>
      <c r="X384" s="321"/>
      <c r="Y384" s="321"/>
      <c r="Z384" s="321"/>
      <c r="AA384" s="321"/>
      <c r="AB384" s="321"/>
      <c r="AC384" s="321"/>
      <c r="AD384" s="321"/>
      <c r="AE384" s="321"/>
      <c r="AF384" s="321"/>
      <c r="AG384" s="321"/>
      <c r="AH384" s="321"/>
      <c r="AI384" s="321"/>
      <c r="AJ384" s="321"/>
      <c r="AK384" s="321"/>
      <c r="AL384" s="321"/>
      <c r="AM384" s="321"/>
      <c r="AN384" s="321"/>
      <c r="AO384" s="321"/>
      <c r="AP384" s="427"/>
      <c r="AQ384" s="321"/>
      <c r="AR384" s="321"/>
      <c r="AS384" s="321"/>
      <c r="AT384" s="321"/>
      <c r="AU384" s="136">
        <f t="shared" si="76"/>
        <v>8.8940426303351083E-3</v>
      </c>
      <c r="AV384" s="136">
        <f t="shared" si="87"/>
        <v>-2.3700000000000774</v>
      </c>
      <c r="AW384" s="136">
        <f t="shared" si="77"/>
        <v>2.4055574214758554E-2</v>
      </c>
      <c r="AX384" s="136" t="e">
        <f t="shared" si="78"/>
        <v>#N/A</v>
      </c>
      <c r="AY384" s="136">
        <f t="shared" si="79"/>
        <v>-2.3700100000000774</v>
      </c>
      <c r="AZ384" s="136">
        <f t="shared" si="80"/>
        <v>-2.3699900000000773</v>
      </c>
      <c r="BA384" s="136">
        <f t="shared" si="81"/>
        <v>7.0631969851489534E-2</v>
      </c>
      <c r="BB384" s="136">
        <f t="shared" si="82"/>
        <v>7.0632921250312342E-2</v>
      </c>
      <c r="BC384" s="136" t="e">
        <f t="shared" si="83"/>
        <v>#N/A</v>
      </c>
      <c r="BD384" s="136">
        <f t="shared" si="88"/>
        <v>2.4055574214758554E-2</v>
      </c>
      <c r="BE384" s="136">
        <f t="shared" si="84"/>
        <v>2.3055574214758554E-2</v>
      </c>
      <c r="BF384" s="136" t="e">
        <f t="shared" si="85"/>
        <v>#N/A</v>
      </c>
      <c r="BG384" s="136" t="e">
        <f t="shared" si="86"/>
        <v>#N/A</v>
      </c>
    </row>
    <row r="385" spans="2:59" ht="11.25" customHeight="1">
      <c r="B385" s="321"/>
      <c r="C385" s="321"/>
      <c r="D385" s="321"/>
      <c r="E385" s="321"/>
      <c r="F385" s="321"/>
      <c r="G385" s="321"/>
      <c r="H385" s="321"/>
      <c r="I385" s="321"/>
      <c r="J385" s="321"/>
      <c r="K385" s="321"/>
      <c r="L385" s="321"/>
      <c r="M385" s="321"/>
      <c r="N385" s="321"/>
      <c r="O385" s="321"/>
      <c r="P385" s="321"/>
      <c r="Q385" s="321"/>
      <c r="R385" s="321"/>
      <c r="S385" s="321"/>
      <c r="T385" s="321"/>
      <c r="U385" s="321"/>
      <c r="V385" s="321"/>
      <c r="W385" s="321"/>
      <c r="X385" s="321"/>
      <c r="Y385" s="321"/>
      <c r="Z385" s="321"/>
      <c r="AA385" s="321"/>
      <c r="AB385" s="321"/>
      <c r="AC385" s="321"/>
      <c r="AD385" s="321"/>
      <c r="AE385" s="321"/>
      <c r="AF385" s="321"/>
      <c r="AG385" s="321"/>
      <c r="AH385" s="321"/>
      <c r="AI385" s="321"/>
      <c r="AJ385" s="321"/>
      <c r="AK385" s="321"/>
      <c r="AL385" s="321"/>
      <c r="AM385" s="321"/>
      <c r="AN385" s="321"/>
      <c r="AO385" s="321"/>
      <c r="AP385" s="427"/>
      <c r="AQ385" s="321"/>
      <c r="AR385" s="321"/>
      <c r="AS385" s="321"/>
      <c r="AT385" s="321"/>
      <c r="AU385" s="136">
        <f t="shared" si="76"/>
        <v>9.1374675305708752E-3</v>
      </c>
      <c r="AV385" s="136">
        <f t="shared" si="87"/>
        <v>-2.3600000000000776</v>
      </c>
      <c r="AW385" s="136">
        <f t="shared" si="77"/>
        <v>2.4631269306377986E-2</v>
      </c>
      <c r="AX385" s="136" t="e">
        <f t="shared" si="78"/>
        <v>#N/A</v>
      </c>
      <c r="AY385" s="136">
        <f t="shared" si="79"/>
        <v>-2.3600100000000777</v>
      </c>
      <c r="AZ385" s="136">
        <f t="shared" si="80"/>
        <v>-2.3599900000000775</v>
      </c>
      <c r="BA385" s="136">
        <f t="shared" si="81"/>
        <v>7.1109893423914036E-2</v>
      </c>
      <c r="BB385" s="136">
        <f t="shared" si="82"/>
        <v>7.1110853754131023E-2</v>
      </c>
      <c r="BC385" s="136" t="e">
        <f t="shared" si="83"/>
        <v>#N/A</v>
      </c>
      <c r="BD385" s="136">
        <f t="shared" si="88"/>
        <v>2.4631269306377986E-2</v>
      </c>
      <c r="BE385" s="136">
        <f t="shared" si="84"/>
        <v>2.3631269306377985E-2</v>
      </c>
      <c r="BF385" s="136" t="e">
        <f t="shared" si="85"/>
        <v>#N/A</v>
      </c>
      <c r="BG385" s="136" t="e">
        <f t="shared" si="86"/>
        <v>#N/A</v>
      </c>
    </row>
    <row r="386" spans="2:59" ht="11.25" customHeight="1">
      <c r="B386" s="321"/>
      <c r="C386" s="321"/>
      <c r="D386" s="321"/>
      <c r="E386" s="321"/>
      <c r="F386" s="321"/>
      <c r="G386" s="321"/>
      <c r="H386" s="321"/>
      <c r="I386" s="321"/>
      <c r="J386" s="321"/>
      <c r="K386" s="321"/>
      <c r="L386" s="321"/>
      <c r="M386" s="321"/>
      <c r="N386" s="321"/>
      <c r="O386" s="321"/>
      <c r="P386" s="321"/>
      <c r="Q386" s="321"/>
      <c r="R386" s="321"/>
      <c r="S386" s="321"/>
      <c r="T386" s="321"/>
      <c r="U386" s="321"/>
      <c r="V386" s="321"/>
      <c r="W386" s="321"/>
      <c r="X386" s="321"/>
      <c r="Y386" s="321"/>
      <c r="Z386" s="321"/>
      <c r="AA386" s="321"/>
      <c r="AB386" s="321"/>
      <c r="AC386" s="321"/>
      <c r="AD386" s="321"/>
      <c r="AE386" s="321"/>
      <c r="AF386" s="321"/>
      <c r="AG386" s="321"/>
      <c r="AH386" s="321"/>
      <c r="AI386" s="321"/>
      <c r="AJ386" s="321"/>
      <c r="AK386" s="321"/>
      <c r="AL386" s="321"/>
      <c r="AM386" s="321"/>
      <c r="AN386" s="321"/>
      <c r="AO386" s="321"/>
      <c r="AP386" s="427"/>
      <c r="AQ386" s="321"/>
      <c r="AR386" s="321"/>
      <c r="AS386" s="321"/>
      <c r="AT386" s="321"/>
      <c r="AU386" s="136">
        <f t="shared" si="76"/>
        <v>9.3867055348366701E-3</v>
      </c>
      <c r="AV386" s="136">
        <f t="shared" si="87"/>
        <v>-2.3500000000000778</v>
      </c>
      <c r="AW386" s="136">
        <f t="shared" si="77"/>
        <v>2.5218219915189771E-2</v>
      </c>
      <c r="AX386" s="136" t="e">
        <f t="shared" si="78"/>
        <v>#N/A</v>
      </c>
      <c r="AY386" s="136">
        <f t="shared" si="79"/>
        <v>-2.3500100000000779</v>
      </c>
      <c r="AZ386" s="136">
        <f t="shared" si="80"/>
        <v>-2.3499900000000777</v>
      </c>
      <c r="BA386" s="136">
        <f t="shared" si="81"/>
        <v>7.1592308079559797E-2</v>
      </c>
      <c r="BB386" s="136">
        <f t="shared" si="82"/>
        <v>7.1593277443132097E-2</v>
      </c>
      <c r="BC386" s="136" t="e">
        <f t="shared" si="83"/>
        <v>#N/A</v>
      </c>
      <c r="BD386" s="136">
        <f t="shared" si="88"/>
        <v>2.5218219915189771E-2</v>
      </c>
      <c r="BE386" s="136">
        <f t="shared" si="84"/>
        <v>2.421821991518977E-2</v>
      </c>
      <c r="BF386" s="136" t="e">
        <f t="shared" si="85"/>
        <v>#N/A</v>
      </c>
      <c r="BG386" s="136" t="e">
        <f t="shared" si="86"/>
        <v>#N/A</v>
      </c>
    </row>
    <row r="387" spans="2:59" ht="11.25" customHeight="1">
      <c r="B387" s="321"/>
      <c r="C387" s="321"/>
      <c r="D387" s="321"/>
      <c r="E387" s="321"/>
      <c r="F387" s="321"/>
      <c r="G387" s="321"/>
      <c r="H387" s="321"/>
      <c r="I387" s="321"/>
      <c r="J387" s="321"/>
      <c r="K387" s="321"/>
      <c r="L387" s="321"/>
      <c r="M387" s="321"/>
      <c r="N387" s="321"/>
      <c r="O387" s="321"/>
      <c r="P387" s="321"/>
      <c r="Q387" s="321"/>
      <c r="R387" s="321"/>
      <c r="S387" s="321"/>
      <c r="T387" s="321"/>
      <c r="U387" s="321"/>
      <c r="V387" s="321"/>
      <c r="W387" s="321"/>
      <c r="X387" s="321"/>
      <c r="Y387" s="321"/>
      <c r="Z387" s="321"/>
      <c r="AA387" s="321"/>
      <c r="AB387" s="321"/>
      <c r="AC387" s="321"/>
      <c r="AD387" s="321"/>
      <c r="AE387" s="321"/>
      <c r="AF387" s="321"/>
      <c r="AG387" s="321"/>
      <c r="AH387" s="321"/>
      <c r="AI387" s="321"/>
      <c r="AJ387" s="321"/>
      <c r="AK387" s="321"/>
      <c r="AL387" s="321"/>
      <c r="AM387" s="321"/>
      <c r="AN387" s="321"/>
      <c r="AO387" s="321"/>
      <c r="AP387" s="427"/>
      <c r="AQ387" s="321"/>
      <c r="AR387" s="321"/>
      <c r="AS387" s="321"/>
      <c r="AT387" s="321"/>
      <c r="AU387" s="136">
        <f t="shared" si="76"/>
        <v>9.6418699453564294E-3</v>
      </c>
      <c r="AV387" s="136">
        <f t="shared" si="87"/>
        <v>-2.340000000000078</v>
      </c>
      <c r="AW387" s="136">
        <f t="shared" si="77"/>
        <v>2.5816575471582965E-2</v>
      </c>
      <c r="AX387" s="136" t="e">
        <f t="shared" si="78"/>
        <v>#N/A</v>
      </c>
      <c r="AY387" s="136">
        <f t="shared" si="79"/>
        <v>-2.3400100000000781</v>
      </c>
      <c r="AZ387" s="136">
        <f t="shared" si="80"/>
        <v>-2.339990000000078</v>
      </c>
      <c r="BA387" s="136">
        <f t="shared" si="81"/>
        <v>7.207926511866751E-2</v>
      </c>
      <c r="BB387" s="136">
        <f t="shared" si="82"/>
        <v>7.2080243618840106E-2</v>
      </c>
      <c r="BC387" s="136" t="e">
        <f t="shared" si="83"/>
        <v>#N/A</v>
      </c>
      <c r="BD387" s="136">
        <f t="shared" si="88"/>
        <v>2.5816575471582965E-2</v>
      </c>
      <c r="BE387" s="136">
        <f t="shared" si="84"/>
        <v>2.4816575471582964E-2</v>
      </c>
      <c r="BF387" s="136" t="e">
        <f t="shared" si="85"/>
        <v>#N/A</v>
      </c>
      <c r="BG387" s="136" t="e">
        <f t="shared" si="86"/>
        <v>#N/A</v>
      </c>
    </row>
    <row r="388" spans="2:59" ht="11.25" customHeight="1">
      <c r="B388" s="321"/>
      <c r="C388" s="321"/>
      <c r="D388" s="321"/>
      <c r="E388" s="321"/>
      <c r="F388" s="321"/>
      <c r="G388" s="321"/>
      <c r="H388" s="321"/>
      <c r="I388" s="321"/>
      <c r="J388" s="321"/>
      <c r="K388" s="321"/>
      <c r="L388" s="321"/>
      <c r="M388" s="321"/>
      <c r="N388" s="321"/>
      <c r="O388" s="321"/>
      <c r="P388" s="321"/>
      <c r="Q388" s="321"/>
      <c r="R388" s="321"/>
      <c r="S388" s="321"/>
      <c r="T388" s="321"/>
      <c r="U388" s="321"/>
      <c r="V388" s="321"/>
      <c r="W388" s="321"/>
      <c r="X388" s="321"/>
      <c r="Y388" s="321"/>
      <c r="Z388" s="321"/>
      <c r="AA388" s="321"/>
      <c r="AB388" s="321"/>
      <c r="AC388" s="321"/>
      <c r="AD388" s="321"/>
      <c r="AE388" s="321"/>
      <c r="AF388" s="321"/>
      <c r="AG388" s="321"/>
      <c r="AH388" s="321"/>
      <c r="AI388" s="321"/>
      <c r="AJ388" s="321"/>
      <c r="AK388" s="321"/>
      <c r="AL388" s="321"/>
      <c r="AM388" s="321"/>
      <c r="AN388" s="321"/>
      <c r="AO388" s="321"/>
      <c r="AP388" s="427"/>
      <c r="AQ388" s="321"/>
      <c r="AR388" s="321"/>
      <c r="AS388" s="321"/>
      <c r="AT388" s="321"/>
      <c r="AU388" s="136">
        <f t="shared" si="76"/>
        <v>9.9030755591622555E-3</v>
      </c>
      <c r="AV388" s="136">
        <f t="shared" si="87"/>
        <v>-2.3300000000000782</v>
      </c>
      <c r="AW388" s="136">
        <f t="shared" si="77"/>
        <v>2.6426485497256909E-2</v>
      </c>
      <c r="AX388" s="136" t="e">
        <f t="shared" si="78"/>
        <v>#N/A</v>
      </c>
      <c r="AY388" s="136">
        <f t="shared" si="79"/>
        <v>-2.3300100000000783</v>
      </c>
      <c r="AZ388" s="136">
        <f t="shared" si="80"/>
        <v>-2.3299900000000782</v>
      </c>
      <c r="BA388" s="136">
        <f t="shared" si="81"/>
        <v>7.2570816487259382E-2</v>
      </c>
      <c r="BB388" s="136">
        <f t="shared" si="82"/>
        <v>7.2571804228576578E-2</v>
      </c>
      <c r="BC388" s="136" t="e">
        <f t="shared" si="83"/>
        <v>#N/A</v>
      </c>
      <c r="BD388" s="136">
        <f t="shared" si="88"/>
        <v>2.6426485497256909E-2</v>
      </c>
      <c r="BE388" s="136">
        <f t="shared" si="84"/>
        <v>2.5426485497256908E-2</v>
      </c>
      <c r="BF388" s="136" t="e">
        <f t="shared" si="85"/>
        <v>#N/A</v>
      </c>
      <c r="BG388" s="136" t="e">
        <f t="shared" si="86"/>
        <v>#N/A</v>
      </c>
    </row>
    <row r="389" spans="2:59" ht="11.25" customHeight="1">
      <c r="B389" s="321"/>
      <c r="C389" s="321"/>
      <c r="D389" s="321"/>
      <c r="E389" s="321"/>
      <c r="F389" s="321"/>
      <c r="G389" s="321"/>
      <c r="H389" s="321"/>
      <c r="I389" s="321"/>
      <c r="J389" s="321"/>
      <c r="K389" s="321"/>
      <c r="L389" s="321"/>
      <c r="M389" s="321"/>
      <c r="N389" s="321"/>
      <c r="O389" s="321"/>
      <c r="P389" s="321"/>
      <c r="Q389" s="321"/>
      <c r="R389" s="321"/>
      <c r="S389" s="321"/>
      <c r="T389" s="321"/>
      <c r="U389" s="321"/>
      <c r="V389" s="321"/>
      <c r="W389" s="321"/>
      <c r="X389" s="321"/>
      <c r="Y389" s="321"/>
      <c r="Z389" s="321"/>
      <c r="AA389" s="321"/>
      <c r="AB389" s="321"/>
      <c r="AC389" s="321"/>
      <c r="AD389" s="321"/>
      <c r="AE389" s="321"/>
      <c r="AF389" s="321"/>
      <c r="AG389" s="321"/>
      <c r="AH389" s="321"/>
      <c r="AI389" s="321"/>
      <c r="AJ389" s="321"/>
      <c r="AK389" s="321"/>
      <c r="AL389" s="321"/>
      <c r="AM389" s="321"/>
      <c r="AN389" s="321"/>
      <c r="AO389" s="321"/>
      <c r="AP389" s="427"/>
      <c r="AQ389" s="321"/>
      <c r="AR389" s="321"/>
      <c r="AS389" s="321"/>
      <c r="AT389" s="321"/>
      <c r="AU389" s="136">
        <f t="shared" si="76"/>
        <v>1.0170438668717585E-2</v>
      </c>
      <c r="AV389" s="136">
        <f t="shared" si="87"/>
        <v>-2.3200000000000784</v>
      </c>
      <c r="AW389" s="136">
        <f t="shared" si="77"/>
        <v>2.7048099546876859E-2</v>
      </c>
      <c r="AX389" s="136" t="e">
        <f t="shared" si="78"/>
        <v>#N/A</v>
      </c>
      <c r="AY389" s="136">
        <f t="shared" si="79"/>
        <v>-2.3200100000000785</v>
      </c>
      <c r="AZ389" s="136">
        <f t="shared" si="80"/>
        <v>-2.3199900000000784</v>
      </c>
      <c r="BA389" s="136">
        <f t="shared" si="81"/>
        <v>7.3067014785033635E-2</v>
      </c>
      <c r="BB389" s="136">
        <f t="shared" si="82"/>
        <v>7.3068011873355196E-2</v>
      </c>
      <c r="BC389" s="136" t="e">
        <f t="shared" si="83"/>
        <v>#N/A</v>
      </c>
      <c r="BD389" s="136">
        <f t="shared" si="88"/>
        <v>2.7048099546876859E-2</v>
      </c>
      <c r="BE389" s="136">
        <f t="shared" si="84"/>
        <v>2.6048099546876858E-2</v>
      </c>
      <c r="BF389" s="136" t="e">
        <f t="shared" si="85"/>
        <v>#N/A</v>
      </c>
      <c r="BG389" s="136" t="e">
        <f t="shared" si="86"/>
        <v>#N/A</v>
      </c>
    </row>
    <row r="390" spans="2:59" ht="11.25" customHeight="1">
      <c r="B390" s="321"/>
      <c r="C390" s="321"/>
      <c r="D390" s="321"/>
      <c r="E390" s="321"/>
      <c r="F390" s="321"/>
      <c r="G390" s="321"/>
      <c r="H390" s="321"/>
      <c r="I390" s="321"/>
      <c r="J390" s="321"/>
      <c r="K390" s="321"/>
      <c r="L390" s="321"/>
      <c r="M390" s="321"/>
      <c r="N390" s="321"/>
      <c r="O390" s="321"/>
      <c r="P390" s="321"/>
      <c r="Q390" s="321"/>
      <c r="R390" s="321"/>
      <c r="S390" s="321"/>
      <c r="T390" s="321"/>
      <c r="U390" s="321"/>
      <c r="V390" s="321"/>
      <c r="W390" s="321"/>
      <c r="X390" s="321"/>
      <c r="Y390" s="321"/>
      <c r="Z390" s="321"/>
      <c r="AA390" s="321"/>
      <c r="AB390" s="321"/>
      <c r="AC390" s="321"/>
      <c r="AD390" s="321"/>
      <c r="AE390" s="321"/>
      <c r="AF390" s="321"/>
      <c r="AG390" s="321"/>
      <c r="AH390" s="321"/>
      <c r="AI390" s="321"/>
      <c r="AJ390" s="321"/>
      <c r="AK390" s="321"/>
      <c r="AL390" s="321"/>
      <c r="AM390" s="321"/>
      <c r="AN390" s="321"/>
      <c r="AO390" s="321"/>
      <c r="AP390" s="427"/>
      <c r="AQ390" s="321"/>
      <c r="AR390" s="321"/>
      <c r="AS390" s="321"/>
      <c r="AT390" s="321"/>
      <c r="AU390" s="136">
        <f t="shared" si="76"/>
        <v>1.0444077061948942E-2</v>
      </c>
      <c r="AV390" s="136">
        <f t="shared" si="87"/>
        <v>-2.3100000000000787</v>
      </c>
      <c r="AW390" s="136">
        <f t="shared" si="77"/>
        <v>2.7681567148331542E-2</v>
      </c>
      <c r="AX390" s="136" t="e">
        <f t="shared" si="78"/>
        <v>#N/A</v>
      </c>
      <c r="AY390" s="136">
        <f t="shared" si="79"/>
        <v>-2.3100100000000787</v>
      </c>
      <c r="AZ390" s="136">
        <f t="shared" si="80"/>
        <v>-2.3099900000000786</v>
      </c>
      <c r="BA390" s="136">
        <f t="shared" si="81"/>
        <v>7.3567913273322225E-2</v>
      </c>
      <c r="BB390" s="136">
        <f t="shared" si="82"/>
        <v>7.3568919815839143E-2</v>
      </c>
      <c r="BC390" s="136" t="e">
        <f t="shared" si="83"/>
        <v>#N/A</v>
      </c>
      <c r="BD390" s="136">
        <f t="shared" si="88"/>
        <v>2.7681567148331542E-2</v>
      </c>
      <c r="BE390" s="136">
        <f t="shared" si="84"/>
        <v>2.6681567148331541E-2</v>
      </c>
      <c r="BF390" s="136" t="e">
        <f t="shared" si="85"/>
        <v>#N/A</v>
      </c>
      <c r="BG390" s="136" t="e">
        <f t="shared" si="86"/>
        <v>#N/A</v>
      </c>
    </row>
    <row r="391" spans="2:59" ht="11.25" customHeight="1">
      <c r="B391" s="321"/>
      <c r="C391" s="321"/>
      <c r="D391" s="321"/>
      <c r="E391" s="321"/>
      <c r="F391" s="321"/>
      <c r="G391" s="321"/>
      <c r="H391" s="321"/>
      <c r="I391" s="321"/>
      <c r="J391" s="321"/>
      <c r="K391" s="321"/>
      <c r="L391" s="321"/>
      <c r="M391" s="321"/>
      <c r="N391" s="321"/>
      <c r="O391" s="321"/>
      <c r="P391" s="321"/>
      <c r="Q391" s="321"/>
      <c r="R391" s="321"/>
      <c r="S391" s="321"/>
      <c r="T391" s="321"/>
      <c r="U391" s="321"/>
      <c r="V391" s="321"/>
      <c r="W391" s="321"/>
      <c r="X391" s="321"/>
      <c r="Y391" s="321"/>
      <c r="Z391" s="321"/>
      <c r="AA391" s="321"/>
      <c r="AB391" s="321"/>
      <c r="AC391" s="321"/>
      <c r="AD391" s="321"/>
      <c r="AE391" s="321"/>
      <c r="AF391" s="321"/>
      <c r="AG391" s="321"/>
      <c r="AH391" s="321"/>
      <c r="AI391" s="321"/>
      <c r="AJ391" s="321"/>
      <c r="AK391" s="321"/>
      <c r="AL391" s="321"/>
      <c r="AM391" s="321"/>
      <c r="AN391" s="321"/>
      <c r="AO391" s="321"/>
      <c r="AP391" s="427"/>
      <c r="AQ391" s="321"/>
      <c r="AR391" s="321"/>
      <c r="AS391" s="321"/>
      <c r="AT391" s="321"/>
      <c r="AU391" s="136">
        <f t="shared" si="76"/>
        <v>1.0724110021673505E-2</v>
      </c>
      <c r="AV391" s="136">
        <f t="shared" si="87"/>
        <v>-2.3000000000000789</v>
      </c>
      <c r="AW391" s="136">
        <f t="shared" si="77"/>
        <v>2.8327037741596041E-2</v>
      </c>
      <c r="AX391" s="136" t="e">
        <f t="shared" si="78"/>
        <v>#N/A</v>
      </c>
      <c r="AY391" s="136">
        <f t="shared" si="79"/>
        <v>-2.3000100000000789</v>
      </c>
      <c r="AZ391" s="136">
        <f t="shared" si="80"/>
        <v>-2.2999900000000788</v>
      </c>
      <c r="BA391" s="136">
        <f t="shared" si="81"/>
        <v>7.4073565883110079E-2</v>
      </c>
      <c r="BB391" s="136">
        <f t="shared" si="82"/>
        <v>7.4074581988360699E-2</v>
      </c>
      <c r="BC391" s="136" t="e">
        <f t="shared" si="83"/>
        <v>#N/A</v>
      </c>
      <c r="BD391" s="136">
        <f t="shared" si="88"/>
        <v>2.8327037741596041E-2</v>
      </c>
      <c r="BE391" s="136">
        <f t="shared" si="84"/>
        <v>2.732703774159604E-2</v>
      </c>
      <c r="BF391" s="136" t="e">
        <f t="shared" si="85"/>
        <v>#N/A</v>
      </c>
      <c r="BG391" s="136" t="e">
        <f t="shared" si="86"/>
        <v>#N/A</v>
      </c>
    </row>
    <row r="392" spans="2:59" ht="11.25" customHeight="1">
      <c r="B392" s="321"/>
      <c r="C392" s="321"/>
      <c r="D392" s="321"/>
      <c r="E392" s="321"/>
      <c r="F392" s="321"/>
      <c r="G392" s="321"/>
      <c r="H392" s="321"/>
      <c r="I392" s="321"/>
      <c r="J392" s="321"/>
      <c r="K392" s="321"/>
      <c r="L392" s="321"/>
      <c r="M392" s="321"/>
      <c r="N392" s="321"/>
      <c r="O392" s="321"/>
      <c r="P392" s="321"/>
      <c r="Q392" s="321"/>
      <c r="R392" s="321"/>
      <c r="S392" s="321"/>
      <c r="T392" s="321"/>
      <c r="U392" s="321"/>
      <c r="V392" s="321"/>
      <c r="W392" s="321"/>
      <c r="X392" s="321"/>
      <c r="Y392" s="321"/>
      <c r="Z392" s="321"/>
      <c r="AA392" s="321"/>
      <c r="AB392" s="321"/>
      <c r="AC392" s="321"/>
      <c r="AD392" s="321"/>
      <c r="AE392" s="321"/>
      <c r="AF392" s="321"/>
      <c r="AG392" s="321"/>
      <c r="AH392" s="321"/>
      <c r="AI392" s="321"/>
      <c r="AJ392" s="321"/>
      <c r="AK392" s="321"/>
      <c r="AL392" s="321"/>
      <c r="AM392" s="321"/>
      <c r="AN392" s="321"/>
      <c r="AO392" s="321"/>
      <c r="AP392" s="427"/>
      <c r="AQ392" s="321"/>
      <c r="AR392" s="321"/>
      <c r="AS392" s="321"/>
      <c r="AT392" s="321"/>
      <c r="AU392" s="136">
        <f t="shared" si="76"/>
        <v>1.1010658324409173E-2</v>
      </c>
      <c r="AV392" s="136">
        <f t="shared" si="87"/>
        <v>-2.2900000000000791</v>
      </c>
      <c r="AW392" s="136">
        <f t="shared" si="77"/>
        <v>2.8984660616204173E-2</v>
      </c>
      <c r="AX392" s="136" t="e">
        <f t="shared" si="78"/>
        <v>#N/A</v>
      </c>
      <c r="AY392" s="136">
        <f t="shared" si="79"/>
        <v>-2.2900100000000791</v>
      </c>
      <c r="AZ392" s="136">
        <f t="shared" si="80"/>
        <v>-2.289990000000079</v>
      </c>
      <c r="BA392" s="136">
        <f t="shared" si="81"/>
        <v>7.4584027223115232E-2</v>
      </c>
      <c r="BB392" s="136">
        <f t="shared" si="82"/>
        <v>7.4585053001001406E-2</v>
      </c>
      <c r="BC392" s="136" t="e">
        <f t="shared" si="83"/>
        <v>#N/A</v>
      </c>
      <c r="BD392" s="136">
        <f t="shared" si="88"/>
        <v>2.8984660616204173E-2</v>
      </c>
      <c r="BE392" s="136">
        <f t="shared" si="84"/>
        <v>2.7984660616204173E-2</v>
      </c>
      <c r="BF392" s="136" t="e">
        <f t="shared" si="85"/>
        <v>#N/A</v>
      </c>
      <c r="BG392" s="136" t="e">
        <f t="shared" si="86"/>
        <v>#N/A</v>
      </c>
    </row>
    <row r="393" spans="2:59" ht="11.25" customHeight="1">
      <c r="B393" s="321"/>
      <c r="C393" s="321"/>
      <c r="D393" s="321"/>
      <c r="E393" s="321"/>
      <c r="F393" s="321"/>
      <c r="G393" s="321"/>
      <c r="H393" s="321"/>
      <c r="I393" s="321"/>
      <c r="J393" s="321"/>
      <c r="K393" s="321"/>
      <c r="L393" s="321"/>
      <c r="M393" s="321"/>
      <c r="N393" s="321"/>
      <c r="O393" s="321"/>
      <c r="P393" s="321"/>
      <c r="Q393" s="321"/>
      <c r="R393" s="321"/>
      <c r="S393" s="321"/>
      <c r="T393" s="321"/>
      <c r="U393" s="321"/>
      <c r="V393" s="321"/>
      <c r="W393" s="321"/>
      <c r="X393" s="321"/>
      <c r="Y393" s="321"/>
      <c r="Z393" s="321"/>
      <c r="AA393" s="321"/>
      <c r="AB393" s="321"/>
      <c r="AC393" s="321"/>
      <c r="AD393" s="321"/>
      <c r="AE393" s="321"/>
      <c r="AF393" s="321"/>
      <c r="AG393" s="321"/>
      <c r="AH393" s="321"/>
      <c r="AI393" s="321"/>
      <c r="AJ393" s="321"/>
      <c r="AK393" s="321"/>
      <c r="AL393" s="321"/>
      <c r="AM393" s="321"/>
      <c r="AN393" s="321"/>
      <c r="AO393" s="321"/>
      <c r="AP393" s="427"/>
      <c r="AQ393" s="321"/>
      <c r="AR393" s="321"/>
      <c r="AS393" s="321"/>
      <c r="AT393" s="321"/>
      <c r="AU393" s="136">
        <f t="shared" si="76"/>
        <v>1.1303844238550353E-2</v>
      </c>
      <c r="AV393" s="136">
        <f t="shared" si="87"/>
        <v>-2.2800000000000793</v>
      </c>
      <c r="AW393" s="136">
        <f t="shared" si="77"/>
        <v>2.9654584847335904E-2</v>
      </c>
      <c r="AX393" s="136" t="e">
        <f t="shared" si="78"/>
        <v>#N/A</v>
      </c>
      <c r="AY393" s="136">
        <f t="shared" si="79"/>
        <v>-2.2800100000000794</v>
      </c>
      <c r="AZ393" s="136">
        <f t="shared" si="80"/>
        <v>-2.2799900000000792</v>
      </c>
      <c r="BA393" s="136">
        <f t="shared" si="81"/>
        <v>7.509935274033179E-2</v>
      </c>
      <c r="BB393" s="136">
        <f t="shared" si="82"/>
        <v>7.5100388302155943E-2</v>
      </c>
      <c r="BC393" s="136" t="e">
        <f t="shared" si="83"/>
        <v>#N/A</v>
      </c>
      <c r="BD393" s="136">
        <f t="shared" si="88"/>
        <v>2.9654584847335904E-2</v>
      </c>
      <c r="BE393" s="136">
        <f t="shared" si="84"/>
        <v>2.8654584847335903E-2</v>
      </c>
      <c r="BF393" s="136" t="e">
        <f t="shared" si="85"/>
        <v>#N/A</v>
      </c>
      <c r="BG393" s="136" t="e">
        <f t="shared" si="86"/>
        <v>#N/A</v>
      </c>
    </row>
    <row r="394" spans="2:59" ht="11.25" customHeight="1">
      <c r="B394" s="321"/>
      <c r="C394" s="321"/>
      <c r="D394" s="321"/>
      <c r="E394" s="321"/>
      <c r="F394" s="321"/>
      <c r="G394" s="321"/>
      <c r="H394" s="321"/>
      <c r="I394" s="321"/>
      <c r="J394" s="321"/>
      <c r="K394" s="321"/>
      <c r="L394" s="321"/>
      <c r="M394" s="321"/>
      <c r="N394" s="321"/>
      <c r="O394" s="321"/>
      <c r="P394" s="321"/>
      <c r="Q394" s="321"/>
      <c r="R394" s="321"/>
      <c r="S394" s="321"/>
      <c r="T394" s="321"/>
      <c r="U394" s="321"/>
      <c r="V394" s="321"/>
      <c r="W394" s="321"/>
      <c r="X394" s="321"/>
      <c r="Y394" s="321"/>
      <c r="Z394" s="321"/>
      <c r="AA394" s="321"/>
      <c r="AB394" s="321"/>
      <c r="AC394" s="321"/>
      <c r="AD394" s="321"/>
      <c r="AE394" s="321"/>
      <c r="AF394" s="321"/>
      <c r="AG394" s="321"/>
      <c r="AH394" s="321"/>
      <c r="AI394" s="321"/>
      <c r="AJ394" s="321"/>
      <c r="AK394" s="321"/>
      <c r="AL394" s="321"/>
      <c r="AM394" s="321"/>
      <c r="AN394" s="321"/>
      <c r="AO394" s="321"/>
      <c r="AP394" s="427"/>
      <c r="AQ394" s="321"/>
      <c r="AR394" s="321"/>
      <c r="AS394" s="321"/>
      <c r="AT394" s="321"/>
      <c r="AU394" s="136">
        <f t="shared" si="76"/>
        <v>1.1603791521901163E-2</v>
      </c>
      <c r="AV394" s="136">
        <f t="shared" si="87"/>
        <v>-2.2700000000000795</v>
      </c>
      <c r="AW394" s="136">
        <f t="shared" si="77"/>
        <v>3.033695923052615E-2</v>
      </c>
      <c r="AX394" s="136" t="e">
        <f t="shared" si="78"/>
        <v>#N/A</v>
      </c>
      <c r="AY394" s="136">
        <f t="shared" si="79"/>
        <v>-2.2700100000000796</v>
      </c>
      <c r="AZ394" s="136">
        <f t="shared" si="80"/>
        <v>-2.2699900000000794</v>
      </c>
      <c r="BA394" s="136">
        <f t="shared" si="81"/>
        <v>7.5619598129186782E-2</v>
      </c>
      <c r="BB394" s="136">
        <f t="shared" si="82"/>
        <v>7.5620643587608172E-2</v>
      </c>
      <c r="BC394" s="136" t="e">
        <f t="shared" si="83"/>
        <v>#N/A</v>
      </c>
      <c r="BD394" s="136">
        <f t="shared" si="88"/>
        <v>3.033695923052615E-2</v>
      </c>
      <c r="BE394" s="136">
        <f t="shared" si="84"/>
        <v>2.933695923052615E-2</v>
      </c>
      <c r="BF394" s="136" t="e">
        <f t="shared" si="85"/>
        <v>#N/A</v>
      </c>
      <c r="BG394" s="136" t="e">
        <f t="shared" si="86"/>
        <v>#N/A</v>
      </c>
    </row>
    <row r="395" spans="2:59" ht="11.25" customHeight="1">
      <c r="B395" s="321"/>
      <c r="C395" s="321"/>
      <c r="D395" s="321"/>
      <c r="E395" s="321"/>
      <c r="F395" s="321"/>
      <c r="G395" s="321"/>
      <c r="H395" s="321"/>
      <c r="I395" s="321"/>
      <c r="J395" s="321"/>
      <c r="K395" s="321"/>
      <c r="L395" s="321"/>
      <c r="M395" s="321"/>
      <c r="N395" s="321"/>
      <c r="O395" s="321"/>
      <c r="P395" s="321"/>
      <c r="Q395" s="321"/>
      <c r="R395" s="321"/>
      <c r="S395" s="321"/>
      <c r="T395" s="321"/>
      <c r="U395" s="321"/>
      <c r="V395" s="321"/>
      <c r="W395" s="321"/>
      <c r="X395" s="321"/>
      <c r="Y395" s="321"/>
      <c r="Z395" s="321"/>
      <c r="AA395" s="321"/>
      <c r="AB395" s="321"/>
      <c r="AC395" s="321"/>
      <c r="AD395" s="321"/>
      <c r="AE395" s="321"/>
      <c r="AF395" s="321"/>
      <c r="AG395" s="321"/>
      <c r="AH395" s="321"/>
      <c r="AI395" s="321"/>
      <c r="AJ395" s="321"/>
      <c r="AK395" s="321"/>
      <c r="AL395" s="321"/>
      <c r="AM395" s="321"/>
      <c r="AN395" s="321"/>
      <c r="AO395" s="321"/>
      <c r="AP395" s="427"/>
      <c r="AQ395" s="321"/>
      <c r="AR395" s="321"/>
      <c r="AS395" s="321"/>
      <c r="AT395" s="321"/>
      <c r="AU395" s="136">
        <f t="shared" si="76"/>
        <v>1.1910625418544485E-2</v>
      </c>
      <c r="AV395" s="136">
        <f t="shared" si="87"/>
        <v>-2.2600000000000797</v>
      </c>
      <c r="AW395" s="136">
        <f t="shared" si="77"/>
        <v>3.103193221500266E-2</v>
      </c>
      <c r="AX395" s="136" t="e">
        <f t="shared" si="78"/>
        <v>#N/A</v>
      </c>
      <c r="AY395" s="136">
        <f t="shared" si="79"/>
        <v>-2.2600100000000798</v>
      </c>
      <c r="AZ395" s="136">
        <f t="shared" si="80"/>
        <v>-2.2599900000000797</v>
      </c>
      <c r="BA395" s="136">
        <f t="shared" si="81"/>
        <v>7.6144820223259427E-2</v>
      </c>
      <c r="BB395" s="136">
        <f t="shared" si="82"/>
        <v>7.6145875692369455E-2</v>
      </c>
      <c r="BC395" s="136" t="e">
        <f t="shared" si="83"/>
        <v>#N/A</v>
      </c>
      <c r="BD395" s="136">
        <f t="shared" si="88"/>
        <v>3.103193221500266E-2</v>
      </c>
      <c r="BE395" s="136">
        <f t="shared" si="84"/>
        <v>3.0031932215002659E-2</v>
      </c>
      <c r="BF395" s="136" t="e">
        <f t="shared" si="85"/>
        <v>#N/A</v>
      </c>
      <c r="BG395" s="136" t="e">
        <f t="shared" si="86"/>
        <v>#N/A</v>
      </c>
    </row>
    <row r="396" spans="2:59" ht="11.25" customHeight="1">
      <c r="B396" s="321"/>
      <c r="C396" s="321"/>
      <c r="D396" s="321"/>
      <c r="E396" s="321"/>
      <c r="F396" s="321"/>
      <c r="G396" s="321"/>
      <c r="H396" s="321"/>
      <c r="I396" s="321"/>
      <c r="J396" s="321"/>
      <c r="K396" s="321"/>
      <c r="L396" s="321"/>
      <c r="M396" s="321"/>
      <c r="N396" s="321"/>
      <c r="O396" s="321"/>
      <c r="P396" s="321"/>
      <c r="Q396" s="321"/>
      <c r="R396" s="321"/>
      <c r="S396" s="321"/>
      <c r="T396" s="321"/>
      <c r="U396" s="321"/>
      <c r="V396" s="321"/>
      <c r="W396" s="321"/>
      <c r="X396" s="321"/>
      <c r="Y396" s="321"/>
      <c r="Z396" s="321"/>
      <c r="AA396" s="321"/>
      <c r="AB396" s="321"/>
      <c r="AC396" s="321"/>
      <c r="AD396" s="321"/>
      <c r="AE396" s="321"/>
      <c r="AF396" s="321"/>
      <c r="AG396" s="321"/>
      <c r="AH396" s="321"/>
      <c r="AI396" s="321"/>
      <c r="AJ396" s="321"/>
      <c r="AK396" s="321"/>
      <c r="AL396" s="321"/>
      <c r="AM396" s="321"/>
      <c r="AN396" s="321"/>
      <c r="AO396" s="321"/>
      <c r="AP396" s="427"/>
      <c r="AQ396" s="321"/>
      <c r="AR396" s="321"/>
      <c r="AS396" s="321"/>
      <c r="AT396" s="321"/>
      <c r="AU396" s="136">
        <f t="shared" si="76"/>
        <v>1.2224472655042007E-2</v>
      </c>
      <c r="AV396" s="136">
        <f t="shared" si="87"/>
        <v>-2.2500000000000799</v>
      </c>
      <c r="AW396" s="136">
        <f t="shared" si="77"/>
        <v>3.1739651835661707E-2</v>
      </c>
      <c r="AX396" s="136" t="e">
        <f t="shared" si="78"/>
        <v>#N/A</v>
      </c>
      <c r="AY396" s="136">
        <f t="shared" si="79"/>
        <v>-2.25001000000008</v>
      </c>
      <c r="AZ396" s="136">
        <f t="shared" si="80"/>
        <v>-2.2499900000000799</v>
      </c>
      <c r="BA396" s="136">
        <f t="shared" si="81"/>
        <v>7.6675076424217697E-2</v>
      </c>
      <c r="BB396" s="136">
        <f t="shared" si="82"/>
        <v>7.6676142019537416E-2</v>
      </c>
      <c r="BC396" s="136" t="e">
        <f t="shared" si="83"/>
        <v>#N/A</v>
      </c>
      <c r="BD396" s="136">
        <f t="shared" si="88"/>
        <v>3.1739651835661707E-2</v>
      </c>
      <c r="BE396" s="136">
        <f t="shared" si="84"/>
        <v>3.0739651835661706E-2</v>
      </c>
      <c r="BF396" s="136" t="e">
        <f t="shared" si="85"/>
        <v>#N/A</v>
      </c>
      <c r="BG396" s="136" t="e">
        <f t="shared" si="86"/>
        <v>#N/A</v>
      </c>
    </row>
    <row r="397" spans="2:59" ht="11.25" customHeight="1">
      <c r="B397" s="321"/>
      <c r="C397" s="321"/>
      <c r="D397" s="321"/>
      <c r="E397" s="321"/>
      <c r="F397" s="321"/>
      <c r="G397" s="321"/>
      <c r="H397" s="321"/>
      <c r="I397" s="321"/>
      <c r="J397" s="321"/>
      <c r="K397" s="321"/>
      <c r="L397" s="321"/>
      <c r="M397" s="321"/>
      <c r="N397" s="321"/>
      <c r="O397" s="321"/>
      <c r="P397" s="321"/>
      <c r="Q397" s="321"/>
      <c r="R397" s="321"/>
      <c r="S397" s="321"/>
      <c r="T397" s="321"/>
      <c r="U397" s="321"/>
      <c r="V397" s="321"/>
      <c r="W397" s="321"/>
      <c r="X397" s="321"/>
      <c r="Y397" s="321"/>
      <c r="Z397" s="321"/>
      <c r="AA397" s="321"/>
      <c r="AB397" s="321"/>
      <c r="AC397" s="321"/>
      <c r="AD397" s="321"/>
      <c r="AE397" s="321"/>
      <c r="AF397" s="321"/>
      <c r="AG397" s="321"/>
      <c r="AH397" s="321"/>
      <c r="AI397" s="321"/>
      <c r="AJ397" s="321"/>
      <c r="AK397" s="321"/>
      <c r="AL397" s="321"/>
      <c r="AM397" s="321"/>
      <c r="AN397" s="321"/>
      <c r="AO397" s="321"/>
      <c r="AP397" s="427"/>
      <c r="AQ397" s="321"/>
      <c r="AR397" s="321"/>
      <c r="AS397" s="321"/>
      <c r="AT397" s="321"/>
      <c r="AU397" s="136">
        <f t="shared" si="76"/>
        <v>1.2545461435943928E-2</v>
      </c>
      <c r="AV397" s="136">
        <f t="shared" si="87"/>
        <v>-2.2400000000000801</v>
      </c>
      <c r="AW397" s="136">
        <f t="shared" si="77"/>
        <v>3.246026564369163E-2</v>
      </c>
      <c r="AX397" s="136" t="e">
        <f t="shared" si="78"/>
        <v>#N/A</v>
      </c>
      <c r="AY397" s="136">
        <f t="shared" si="79"/>
        <v>-2.2400100000000802</v>
      </c>
      <c r="AZ397" s="136">
        <f t="shared" si="80"/>
        <v>-2.2399900000000801</v>
      </c>
      <c r="BA397" s="136">
        <f t="shared" si="81"/>
        <v>7.7210424852722906E-2</v>
      </c>
      <c r="BB397" s="136">
        <f t="shared" si="82"/>
        <v>7.7211500691219542E-2</v>
      </c>
      <c r="BC397" s="136" t="e">
        <f t="shared" si="83"/>
        <v>#N/A</v>
      </c>
      <c r="BD397" s="136">
        <f t="shared" si="88"/>
        <v>3.246026564369163E-2</v>
      </c>
      <c r="BE397" s="136">
        <f t="shared" si="84"/>
        <v>3.1460265643691629E-2</v>
      </c>
      <c r="BF397" s="136" t="e">
        <f t="shared" si="85"/>
        <v>#N/A</v>
      </c>
      <c r="BG397" s="136" t="e">
        <f t="shared" si="86"/>
        <v>#N/A</v>
      </c>
    </row>
    <row r="398" spans="2:59" ht="11.25" customHeight="1">
      <c r="B398" s="321"/>
      <c r="C398" s="321"/>
      <c r="D398" s="321"/>
      <c r="E398" s="321"/>
      <c r="F398" s="321"/>
      <c r="G398" s="321"/>
      <c r="H398" s="321"/>
      <c r="I398" s="321"/>
      <c r="J398" s="321"/>
      <c r="K398" s="321"/>
      <c r="L398" s="321"/>
      <c r="M398" s="321"/>
      <c r="N398" s="321"/>
      <c r="O398" s="321"/>
      <c r="P398" s="321"/>
      <c r="Q398" s="321"/>
      <c r="R398" s="321"/>
      <c r="S398" s="321"/>
      <c r="T398" s="321"/>
      <c r="U398" s="321"/>
      <c r="V398" s="321"/>
      <c r="W398" s="321"/>
      <c r="X398" s="321"/>
      <c r="Y398" s="321"/>
      <c r="Z398" s="321"/>
      <c r="AA398" s="321"/>
      <c r="AB398" s="321"/>
      <c r="AC398" s="321"/>
      <c r="AD398" s="321"/>
      <c r="AE398" s="321"/>
      <c r="AF398" s="321"/>
      <c r="AG398" s="321"/>
      <c r="AH398" s="321"/>
      <c r="AI398" s="321"/>
      <c r="AJ398" s="321"/>
      <c r="AK398" s="321"/>
      <c r="AL398" s="321"/>
      <c r="AM398" s="321"/>
      <c r="AN398" s="321"/>
      <c r="AO398" s="321"/>
      <c r="AP398" s="427"/>
      <c r="AQ398" s="321"/>
      <c r="AR398" s="321"/>
      <c r="AS398" s="321"/>
      <c r="AT398" s="321"/>
      <c r="AU398" s="136">
        <f t="shared" si="76"/>
        <v>1.2873721438599217E-2</v>
      </c>
      <c r="AV398" s="136">
        <f t="shared" si="87"/>
        <v>-2.2300000000000804</v>
      </c>
      <c r="AW398" s="136">
        <f t="shared" si="77"/>
        <v>3.3193920635855176E-2</v>
      </c>
      <c r="AX398" s="136" t="e">
        <f t="shared" si="78"/>
        <v>#N/A</v>
      </c>
      <c r="AY398" s="136">
        <f t="shared" si="79"/>
        <v>-2.2300100000000804</v>
      </c>
      <c r="AZ398" s="136">
        <f t="shared" si="80"/>
        <v>-2.2299900000000803</v>
      </c>
      <c r="BA398" s="136">
        <f t="shared" si="81"/>
        <v>7.7750924356839363E-2</v>
      </c>
      <c r="BB398" s="136">
        <f t="shared" si="82"/>
        <v>7.7752010556943668E-2</v>
      </c>
      <c r="BC398" s="136" t="e">
        <f t="shared" si="83"/>
        <v>#N/A</v>
      </c>
      <c r="BD398" s="136">
        <f t="shared" si="88"/>
        <v>3.3193920635855176E-2</v>
      </c>
      <c r="BE398" s="136">
        <f t="shared" si="84"/>
        <v>3.2193920635855175E-2</v>
      </c>
      <c r="BF398" s="136" t="e">
        <f t="shared" si="85"/>
        <v>#N/A</v>
      </c>
      <c r="BG398" s="136" t="e">
        <f t="shared" si="86"/>
        <v>#N/A</v>
      </c>
    </row>
    <row r="399" spans="2:59" ht="11.25" customHeight="1">
      <c r="B399" s="321"/>
      <c r="C399" s="321"/>
      <c r="D399" s="321"/>
      <c r="E399" s="321"/>
      <c r="F399" s="321"/>
      <c r="G399" s="321"/>
      <c r="H399" s="321"/>
      <c r="I399" s="321"/>
      <c r="J399" s="321"/>
      <c r="K399" s="321"/>
      <c r="L399" s="321"/>
      <c r="M399" s="321"/>
      <c r="N399" s="321"/>
      <c r="O399" s="321"/>
      <c r="P399" s="321"/>
      <c r="Q399" s="321"/>
      <c r="R399" s="321"/>
      <c r="S399" s="321"/>
      <c r="T399" s="321"/>
      <c r="U399" s="321"/>
      <c r="V399" s="321"/>
      <c r="W399" s="321"/>
      <c r="X399" s="321"/>
      <c r="Y399" s="321"/>
      <c r="Z399" s="321"/>
      <c r="AA399" s="321"/>
      <c r="AB399" s="321"/>
      <c r="AC399" s="321"/>
      <c r="AD399" s="321"/>
      <c r="AE399" s="321"/>
      <c r="AF399" s="321"/>
      <c r="AG399" s="321"/>
      <c r="AH399" s="321"/>
      <c r="AI399" s="321"/>
      <c r="AJ399" s="321"/>
      <c r="AK399" s="321"/>
      <c r="AL399" s="321"/>
      <c r="AM399" s="321"/>
      <c r="AN399" s="321"/>
      <c r="AO399" s="321"/>
      <c r="AP399" s="427"/>
      <c r="AQ399" s="321"/>
      <c r="AR399" s="321"/>
      <c r="AS399" s="321"/>
      <c r="AT399" s="321"/>
      <c r="AU399" s="136">
        <f t="shared" si="76"/>
        <v>1.3209383807253561E-2</v>
      </c>
      <c r="AV399" s="136">
        <f t="shared" si="87"/>
        <v>-2.2200000000000806</v>
      </c>
      <c r="AW399" s="136">
        <f t="shared" si="77"/>
        <v>3.3940763182443115E-2</v>
      </c>
      <c r="AX399" s="136" t="e">
        <f t="shared" si="78"/>
        <v>#N/A</v>
      </c>
      <c r="AY399" s="136">
        <f t="shared" si="79"/>
        <v>-2.2200100000000806</v>
      </c>
      <c r="AZ399" s="136">
        <f t="shared" si="80"/>
        <v>-2.2199900000000805</v>
      </c>
      <c r="BA399" s="136">
        <f t="shared" si="81"/>
        <v>7.8296634520493819E-2</v>
      </c>
      <c r="BB399" s="136">
        <f t="shared" si="82"/>
        <v>7.8297731202116527E-2</v>
      </c>
      <c r="BC399" s="136" t="e">
        <f t="shared" si="83"/>
        <v>#N/A</v>
      </c>
      <c r="BD399" s="136">
        <f t="shared" si="88"/>
        <v>3.3940763182443115E-2</v>
      </c>
      <c r="BE399" s="136">
        <f t="shared" si="84"/>
        <v>3.2940763182443114E-2</v>
      </c>
      <c r="BF399" s="136" t="e">
        <f t="shared" si="85"/>
        <v>#N/A</v>
      </c>
      <c r="BG399" s="136" t="e">
        <f t="shared" si="86"/>
        <v>#N/A</v>
      </c>
    </row>
    <row r="400" spans="2:59" ht="11.25" customHeight="1">
      <c r="B400" s="321"/>
      <c r="C400" s="321"/>
      <c r="D400" s="321"/>
      <c r="E400" s="321"/>
      <c r="F400" s="321"/>
      <c r="G400" s="321"/>
      <c r="H400" s="321"/>
      <c r="I400" s="321"/>
      <c r="J400" s="321"/>
      <c r="K400" s="321"/>
      <c r="L400" s="321"/>
      <c r="M400" s="321"/>
      <c r="N400" s="321"/>
      <c r="O400" s="321"/>
      <c r="P400" s="321"/>
      <c r="Q400" s="321"/>
      <c r="R400" s="321"/>
      <c r="S400" s="321"/>
      <c r="T400" s="321"/>
      <c r="U400" s="321"/>
      <c r="V400" s="321"/>
      <c r="W400" s="321"/>
      <c r="X400" s="321"/>
      <c r="Y400" s="321"/>
      <c r="Z400" s="321"/>
      <c r="AA400" s="321"/>
      <c r="AB400" s="321"/>
      <c r="AC400" s="321"/>
      <c r="AD400" s="321"/>
      <c r="AE400" s="321"/>
      <c r="AF400" s="321"/>
      <c r="AG400" s="321"/>
      <c r="AH400" s="321"/>
      <c r="AI400" s="321"/>
      <c r="AJ400" s="321"/>
      <c r="AK400" s="321"/>
      <c r="AL400" s="321"/>
      <c r="AM400" s="321"/>
      <c r="AN400" s="321"/>
      <c r="AO400" s="321"/>
      <c r="AP400" s="427"/>
      <c r="AQ400" s="321"/>
      <c r="AR400" s="321"/>
      <c r="AS400" s="321"/>
      <c r="AT400" s="321"/>
      <c r="AU400" s="136">
        <f t="shared" si="76"/>
        <v>1.3552581146417109E-2</v>
      </c>
      <c r="AV400" s="136">
        <f t="shared" si="87"/>
        <v>-2.2100000000000808</v>
      </c>
      <c r="AW400" s="136">
        <f t="shared" si="77"/>
        <v>3.4700938953912623E-2</v>
      </c>
      <c r="AX400" s="136" t="e">
        <f t="shared" si="78"/>
        <v>#N/A</v>
      </c>
      <c r="AY400" s="136">
        <f t="shared" si="79"/>
        <v>-2.2100100000000809</v>
      </c>
      <c r="AZ400" s="136">
        <f t="shared" si="80"/>
        <v>-2.2099900000000807</v>
      </c>
      <c r="BA400" s="136">
        <f t="shared" si="81"/>
        <v>7.8847615671979829E-2</v>
      </c>
      <c r="BB400" s="136">
        <f t="shared" si="82"/>
        <v>7.8848722956529158E-2</v>
      </c>
      <c r="BC400" s="136" t="e">
        <f t="shared" si="83"/>
        <v>#N/A</v>
      </c>
      <c r="BD400" s="136">
        <f t="shared" si="88"/>
        <v>3.4700938953912623E-2</v>
      </c>
      <c r="BE400" s="136">
        <f t="shared" si="84"/>
        <v>3.3700938953912622E-2</v>
      </c>
      <c r="BF400" s="136" t="e">
        <f t="shared" si="85"/>
        <v>#N/A</v>
      </c>
      <c r="BG400" s="136" t="e">
        <f t="shared" si="86"/>
        <v>#N/A</v>
      </c>
    </row>
    <row r="401" spans="2:59" ht="11.25" customHeight="1">
      <c r="B401" s="321"/>
      <c r="C401" s="321"/>
      <c r="D401" s="321"/>
      <c r="E401" s="321"/>
      <c r="F401" s="321"/>
      <c r="G401" s="321"/>
      <c r="H401" s="321"/>
      <c r="I401" s="321"/>
      <c r="J401" s="321"/>
      <c r="K401" s="321"/>
      <c r="L401" s="321"/>
      <c r="M401" s="321"/>
      <c r="N401" s="321"/>
      <c r="O401" s="321"/>
      <c r="P401" s="321"/>
      <c r="Q401" s="321"/>
      <c r="R401" s="321"/>
      <c r="S401" s="321"/>
      <c r="T401" s="321"/>
      <c r="U401" s="321"/>
      <c r="V401" s="321"/>
      <c r="W401" s="321"/>
      <c r="X401" s="321"/>
      <c r="Y401" s="321"/>
      <c r="Z401" s="321"/>
      <c r="AA401" s="321"/>
      <c r="AB401" s="321"/>
      <c r="AC401" s="321"/>
      <c r="AD401" s="321"/>
      <c r="AE401" s="321"/>
      <c r="AF401" s="321"/>
      <c r="AG401" s="321"/>
      <c r="AH401" s="321"/>
      <c r="AI401" s="321"/>
      <c r="AJ401" s="321"/>
      <c r="AK401" s="321"/>
      <c r="AL401" s="321"/>
      <c r="AM401" s="321"/>
      <c r="AN401" s="321"/>
      <c r="AO401" s="321"/>
      <c r="AP401" s="427"/>
      <c r="AQ401" s="321"/>
      <c r="AR401" s="321"/>
      <c r="AS401" s="321"/>
      <c r="AT401" s="321"/>
      <c r="AU401" s="136">
        <f t="shared" si="76"/>
        <v>1.3903447513495815E-2</v>
      </c>
      <c r="AV401" s="136">
        <f t="shared" si="87"/>
        <v>-2.200000000000081</v>
      </c>
      <c r="AW401" s="136">
        <f t="shared" si="77"/>
        <v>3.5474592846225117E-2</v>
      </c>
      <c r="AX401" s="136" t="e">
        <f t="shared" si="78"/>
        <v>#N/A</v>
      </c>
      <c r="AY401" s="136">
        <f t="shared" si="79"/>
        <v>-2.2000100000000811</v>
      </c>
      <c r="AZ401" s="136">
        <f t="shared" si="80"/>
        <v>-2.1999900000000809</v>
      </c>
      <c r="BA401" s="136">
        <f t="shared" si="81"/>
        <v>7.9403928892506886E-2</v>
      </c>
      <c r="BB401" s="136">
        <f t="shared" si="82"/>
        <v>7.9405046902905424E-2</v>
      </c>
      <c r="BC401" s="136" t="e">
        <f t="shared" si="83"/>
        <v>#N/A</v>
      </c>
      <c r="BD401" s="136">
        <f t="shared" si="88"/>
        <v>3.5474592846225117E-2</v>
      </c>
      <c r="BE401" s="136">
        <f t="shared" si="84"/>
        <v>3.4474592846225116E-2</v>
      </c>
      <c r="BF401" s="136" t="e">
        <f t="shared" si="85"/>
        <v>#N/A</v>
      </c>
      <c r="BG401" s="136" t="e">
        <f t="shared" si="86"/>
        <v>#N/A</v>
      </c>
    </row>
    <row r="402" spans="2:59" ht="11.25" customHeight="1">
      <c r="B402" s="321"/>
      <c r="C402" s="321"/>
      <c r="D402" s="321"/>
      <c r="E402" s="321"/>
      <c r="F402" s="321"/>
      <c r="G402" s="321"/>
      <c r="H402" s="321"/>
      <c r="I402" s="321"/>
      <c r="J402" s="321"/>
      <c r="K402" s="321"/>
      <c r="L402" s="321"/>
      <c r="M402" s="321"/>
      <c r="N402" s="321"/>
      <c r="O402" s="321"/>
      <c r="P402" s="321"/>
      <c r="Q402" s="321"/>
      <c r="R402" s="321"/>
      <c r="S402" s="321"/>
      <c r="T402" s="321"/>
      <c r="U402" s="321"/>
      <c r="V402" s="321"/>
      <c r="W402" s="321"/>
      <c r="X402" s="321"/>
      <c r="Y402" s="321"/>
      <c r="Z402" s="321"/>
      <c r="AA402" s="321"/>
      <c r="AB402" s="321"/>
      <c r="AC402" s="321"/>
      <c r="AD402" s="321"/>
      <c r="AE402" s="321"/>
      <c r="AF402" s="321"/>
      <c r="AG402" s="321"/>
      <c r="AH402" s="321"/>
      <c r="AI402" s="321"/>
      <c r="AJ402" s="321"/>
      <c r="AK402" s="321"/>
      <c r="AL402" s="321"/>
      <c r="AM402" s="321"/>
      <c r="AN402" s="321"/>
      <c r="AO402" s="321"/>
      <c r="AP402" s="427"/>
      <c r="AQ402" s="321"/>
      <c r="AR402" s="321"/>
      <c r="AS402" s="321"/>
      <c r="AT402" s="321"/>
      <c r="AU402" s="136">
        <f t="shared" si="76"/>
        <v>1.4262118410665825E-2</v>
      </c>
      <c r="AV402" s="136">
        <f t="shared" si="87"/>
        <v>-2.1900000000000812</v>
      </c>
      <c r="AW402" s="136">
        <f t="shared" si="77"/>
        <v>3.6261868904899776E-2</v>
      </c>
      <c r="AX402" s="136" t="e">
        <f t="shared" si="78"/>
        <v>#N/A</v>
      </c>
      <c r="AY402" s="136">
        <f t="shared" si="79"/>
        <v>-2.1900100000000813</v>
      </c>
      <c r="AZ402" s="136">
        <f t="shared" si="80"/>
        <v>-2.1899900000000811</v>
      </c>
      <c r="BA402" s="136">
        <f t="shared" si="81"/>
        <v>7.9965636024790052E-2</v>
      </c>
      <c r="BB402" s="136">
        <f t="shared" si="82"/>
        <v>7.9966764885492148E-2</v>
      </c>
      <c r="BC402" s="136" t="e">
        <f t="shared" si="83"/>
        <v>#N/A</v>
      </c>
      <c r="BD402" s="136">
        <f t="shared" si="88"/>
        <v>3.6261868904899776E-2</v>
      </c>
      <c r="BE402" s="136">
        <f t="shared" si="84"/>
        <v>3.5261868904899775E-2</v>
      </c>
      <c r="BF402" s="136" t="e">
        <f t="shared" si="85"/>
        <v>#N/A</v>
      </c>
      <c r="BG402" s="136" t="e">
        <f t="shared" si="86"/>
        <v>#N/A</v>
      </c>
    </row>
    <row r="403" spans="2:59" ht="11.25" customHeight="1">
      <c r="B403" s="321"/>
      <c r="C403" s="321"/>
      <c r="D403" s="321"/>
      <c r="E403" s="321"/>
      <c r="F403" s="321"/>
      <c r="G403" s="321"/>
      <c r="H403" s="321"/>
      <c r="I403" s="321"/>
      <c r="J403" s="321"/>
      <c r="K403" s="321"/>
      <c r="L403" s="321"/>
      <c r="M403" s="321"/>
      <c r="N403" s="321"/>
      <c r="O403" s="321"/>
      <c r="P403" s="321"/>
      <c r="Q403" s="321"/>
      <c r="R403" s="321"/>
      <c r="S403" s="321"/>
      <c r="T403" s="321"/>
      <c r="U403" s="321"/>
      <c r="V403" s="321"/>
      <c r="W403" s="321"/>
      <c r="X403" s="321"/>
      <c r="Y403" s="321"/>
      <c r="Z403" s="321"/>
      <c r="AA403" s="321"/>
      <c r="AB403" s="321"/>
      <c r="AC403" s="321"/>
      <c r="AD403" s="321"/>
      <c r="AE403" s="321"/>
      <c r="AF403" s="321"/>
      <c r="AG403" s="321"/>
      <c r="AH403" s="321"/>
      <c r="AI403" s="321"/>
      <c r="AJ403" s="321"/>
      <c r="AK403" s="321"/>
      <c r="AL403" s="321"/>
      <c r="AM403" s="321"/>
      <c r="AN403" s="321"/>
      <c r="AO403" s="321"/>
      <c r="AP403" s="427"/>
      <c r="AQ403" s="321"/>
      <c r="AR403" s="321"/>
      <c r="AS403" s="321"/>
      <c r="AT403" s="321"/>
      <c r="AU403" s="136">
        <f t="shared" si="76"/>
        <v>1.4628730775986032E-2</v>
      </c>
      <c r="AV403" s="136">
        <f t="shared" si="87"/>
        <v>-2.1800000000000814</v>
      </c>
      <c r="AW403" s="136">
        <f t="shared" si="77"/>
        <v>3.7062910247799903E-2</v>
      </c>
      <c r="AX403" s="136" t="e">
        <f t="shared" si="78"/>
        <v>#N/A</v>
      </c>
      <c r="AY403" s="136">
        <f t="shared" si="79"/>
        <v>-2.1800100000000815</v>
      </c>
      <c r="AZ403" s="136">
        <f t="shared" si="80"/>
        <v>-2.1799900000000814</v>
      </c>
      <c r="BA403" s="136">
        <f t="shared" si="81"/>
        <v>8.0532799681678646E-2</v>
      </c>
      <c r="BB403" s="136">
        <f t="shared" si="82"/>
        <v>8.0533939518687286E-2</v>
      </c>
      <c r="BC403" s="136" t="e">
        <f t="shared" si="83"/>
        <v>#N/A</v>
      </c>
      <c r="BD403" s="136">
        <f t="shared" si="88"/>
        <v>3.7062910247799903E-2</v>
      </c>
      <c r="BE403" s="136">
        <f t="shared" si="84"/>
        <v>3.6062910247799902E-2</v>
      </c>
      <c r="BF403" s="136" t="e">
        <f t="shared" si="85"/>
        <v>#N/A</v>
      </c>
      <c r="BG403" s="136" t="e">
        <f t="shared" si="86"/>
        <v>#N/A</v>
      </c>
    </row>
    <row r="404" spans="2:59" ht="11.25" customHeight="1">
      <c r="B404" s="321"/>
      <c r="C404" s="321"/>
      <c r="D404" s="321"/>
      <c r="E404" s="321"/>
      <c r="F404" s="321"/>
      <c r="G404" s="321"/>
      <c r="H404" s="321"/>
      <c r="I404" s="321"/>
      <c r="J404" s="321"/>
      <c r="K404" s="321"/>
      <c r="L404" s="321"/>
      <c r="M404" s="321"/>
      <c r="N404" s="321"/>
      <c r="O404" s="321"/>
      <c r="P404" s="321"/>
      <c r="Q404" s="321"/>
      <c r="R404" s="321"/>
      <c r="S404" s="321"/>
      <c r="T404" s="321"/>
      <c r="U404" s="321"/>
      <c r="V404" s="321"/>
      <c r="W404" s="321"/>
      <c r="X404" s="321"/>
      <c r="Y404" s="321"/>
      <c r="Z404" s="321"/>
      <c r="AA404" s="321"/>
      <c r="AB404" s="321"/>
      <c r="AC404" s="321"/>
      <c r="AD404" s="321"/>
      <c r="AE404" s="321"/>
      <c r="AF404" s="321"/>
      <c r="AG404" s="321"/>
      <c r="AH404" s="321"/>
      <c r="AI404" s="321"/>
      <c r="AJ404" s="321"/>
      <c r="AK404" s="321"/>
      <c r="AL404" s="321"/>
      <c r="AM404" s="321"/>
      <c r="AN404" s="321"/>
      <c r="AO404" s="321"/>
      <c r="AP404" s="427"/>
      <c r="AQ404" s="321"/>
      <c r="AR404" s="321"/>
      <c r="AS404" s="321"/>
      <c r="AT404" s="321"/>
      <c r="AU404" s="136">
        <f t="shared" si="76"/>
        <v>1.5003422973729252E-2</v>
      </c>
      <c r="AV404" s="136">
        <f t="shared" si="87"/>
        <v>-2.1700000000000816</v>
      </c>
      <c r="AW404" s="136">
        <f t="shared" si="77"/>
        <v>3.7877858986670759E-2</v>
      </c>
      <c r="AX404" s="136" t="e">
        <f t="shared" si="78"/>
        <v>#N/A</v>
      </c>
      <c r="AY404" s="136">
        <f t="shared" si="79"/>
        <v>-2.1700100000000817</v>
      </c>
      <c r="AZ404" s="136">
        <f t="shared" si="80"/>
        <v>-2.1699900000000816</v>
      </c>
      <c r="BA404" s="136">
        <f t="shared" si="81"/>
        <v>8.1105483254820018E-2</v>
      </c>
      <c r="BB404" s="136">
        <f t="shared" si="82"/>
        <v>8.1106634195704685E-2</v>
      </c>
      <c r="BC404" s="136" t="e">
        <f t="shared" si="83"/>
        <v>#N/A</v>
      </c>
      <c r="BD404" s="136">
        <f t="shared" si="88"/>
        <v>3.7877858986670759E-2</v>
      </c>
      <c r="BE404" s="136">
        <f t="shared" si="84"/>
        <v>3.6877858986670758E-2</v>
      </c>
      <c r="BF404" s="136" t="e">
        <f t="shared" si="85"/>
        <v>#N/A</v>
      </c>
      <c r="BG404" s="136" t="e">
        <f t="shared" si="86"/>
        <v>#N/A</v>
      </c>
    </row>
    <row r="405" spans="2:59" ht="11.25" customHeight="1">
      <c r="B405" s="321"/>
      <c r="C405" s="321"/>
      <c r="D405" s="321"/>
      <c r="E405" s="321"/>
      <c r="F405" s="321"/>
      <c r="G405" s="321"/>
      <c r="H405" s="321"/>
      <c r="I405" s="321"/>
      <c r="J405" s="321"/>
      <c r="K405" s="321"/>
      <c r="L405" s="321"/>
      <c r="M405" s="321"/>
      <c r="N405" s="321"/>
      <c r="O405" s="321"/>
      <c r="P405" s="321"/>
      <c r="Q405" s="321"/>
      <c r="R405" s="321"/>
      <c r="S405" s="321"/>
      <c r="T405" s="321"/>
      <c r="U405" s="321"/>
      <c r="V405" s="321"/>
      <c r="W405" s="321"/>
      <c r="X405" s="321"/>
      <c r="Y405" s="321"/>
      <c r="Z405" s="321"/>
      <c r="AA405" s="321"/>
      <c r="AB405" s="321"/>
      <c r="AC405" s="321"/>
      <c r="AD405" s="321"/>
      <c r="AE405" s="321"/>
      <c r="AF405" s="321"/>
      <c r="AG405" s="321"/>
      <c r="AH405" s="321"/>
      <c r="AI405" s="321"/>
      <c r="AJ405" s="321"/>
      <c r="AK405" s="321"/>
      <c r="AL405" s="321"/>
      <c r="AM405" s="321"/>
      <c r="AN405" s="321"/>
      <c r="AO405" s="321"/>
      <c r="AP405" s="427"/>
      <c r="AQ405" s="321"/>
      <c r="AR405" s="321"/>
      <c r="AS405" s="321"/>
      <c r="AT405" s="321"/>
      <c r="AU405" s="136">
        <f t="shared" ref="AU405:AU468" si="89">NORMDIST(AV405,$AV$17,$AV$18,TRUE)</f>
        <v>1.5386334783922373E-2</v>
      </c>
      <c r="AV405" s="136">
        <f t="shared" si="87"/>
        <v>-2.1600000000000819</v>
      </c>
      <c r="AW405" s="136">
        <f t="shared" ref="AW405:AW468" si="90">IF($AV$13=1,NORMDIST(AV405,$AV$17,$AV$18,FALSE),NA())</f>
        <v>3.8706856147448766E-2</v>
      </c>
      <c r="AX405" s="136" t="e">
        <f t="shared" ref="AX405:AX468" si="91">IF($AV$13=3,NORMDIST(AV405,$AV$17,$AV$18,FALSE),NA())</f>
        <v>#N/A</v>
      </c>
      <c r="AY405" s="136">
        <f t="shared" ref="AY405:AY468" si="92">AV405-$AY$19</f>
        <v>-2.1600100000000819</v>
      </c>
      <c r="AZ405" s="136">
        <f t="shared" ref="AZ405:AZ468" si="93">AV405+$AY$19</f>
        <v>-2.1599900000000818</v>
      </c>
      <c r="BA405" s="136">
        <f t="shared" ref="BA405:BA468" si="94">IF(AY405&lt;0,TDIST(-AY405,$AV$14,1),1-TDIST(AY405,$AV$14,1))</f>
        <v>8.168375092335653E-2</v>
      </c>
      <c r="BB405" s="136">
        <f t="shared" ref="BB405:BB468" si="95">IF(AZ405&lt;0,TDIST(-AZ405,$AV$14,1),1-TDIST(AZ405,$AV$14,1))</f>
        <v>8.1684913097270453E-2</v>
      </c>
      <c r="BC405" s="136" t="e">
        <f t="shared" ref="BC405:BC468" si="96">IF($AV$13&gt;1,(BB405-BA405)/(2*$AY$19),NA())</f>
        <v>#N/A</v>
      </c>
      <c r="BD405" s="136">
        <f t="shared" si="88"/>
        <v>3.8706856147448766E-2</v>
      </c>
      <c r="BE405" s="136">
        <f t="shared" ref="BE405:BE468" si="97">IF(ISNUMBER(BD405),BD405-$BE$19,NA())</f>
        <v>3.7706856147448765E-2</v>
      </c>
      <c r="BF405" s="136" t="e">
        <f t="shared" ref="BF405:BF468" si="98">IF($AV$15=1,IF(AV405&gt;=$BF$19,BC405,NA()),IF($AV$15=2,IF(ABS(AV405)&gt;=$BF$19,BC405,NA()),NA()))</f>
        <v>#N/A</v>
      </c>
      <c r="BG405" s="136" t="e">
        <f t="shared" ref="BG405:BG468" si="99">IF(ISNUMBER(BF405),BF405-$BG$19,NA())</f>
        <v>#N/A</v>
      </c>
    </row>
    <row r="406" spans="2:59" ht="11.25" customHeight="1">
      <c r="B406" s="321"/>
      <c r="C406" s="321"/>
      <c r="D406" s="321"/>
      <c r="E406" s="321"/>
      <c r="F406" s="321"/>
      <c r="G406" s="321"/>
      <c r="H406" s="321"/>
      <c r="I406" s="321"/>
      <c r="J406" s="321"/>
      <c r="K406" s="321"/>
      <c r="L406" s="321"/>
      <c r="M406" s="321"/>
      <c r="N406" s="321"/>
      <c r="O406" s="321"/>
      <c r="P406" s="321"/>
      <c r="Q406" s="321"/>
      <c r="R406" s="321"/>
      <c r="S406" s="321"/>
      <c r="T406" s="321"/>
      <c r="U406" s="321"/>
      <c r="V406" s="321"/>
      <c r="W406" s="321"/>
      <c r="X406" s="321"/>
      <c r="Y406" s="321"/>
      <c r="Z406" s="321"/>
      <c r="AA406" s="321"/>
      <c r="AB406" s="321"/>
      <c r="AC406" s="321"/>
      <c r="AD406" s="321"/>
      <c r="AE406" s="321"/>
      <c r="AF406" s="321"/>
      <c r="AG406" s="321"/>
      <c r="AH406" s="321"/>
      <c r="AI406" s="321"/>
      <c r="AJ406" s="321"/>
      <c r="AK406" s="321"/>
      <c r="AL406" s="321"/>
      <c r="AM406" s="321"/>
      <c r="AN406" s="321"/>
      <c r="AO406" s="321"/>
      <c r="AP406" s="427"/>
      <c r="AQ406" s="321"/>
      <c r="AR406" s="321"/>
      <c r="AS406" s="321"/>
      <c r="AT406" s="321"/>
      <c r="AU406" s="136">
        <f t="shared" si="89"/>
        <v>1.5777607391087134E-2</v>
      </c>
      <c r="AV406" s="136">
        <f t="shared" ref="AV406:AV469" si="100">AV405+$AY$10</f>
        <v>-2.1500000000000821</v>
      </c>
      <c r="AW406" s="136">
        <f t="shared" si="90"/>
        <v>3.9550041589363226E-2</v>
      </c>
      <c r="AX406" s="136" t="e">
        <f t="shared" si="91"/>
        <v>#N/A</v>
      </c>
      <c r="AY406" s="136">
        <f t="shared" si="92"/>
        <v>-2.1500100000000821</v>
      </c>
      <c r="AZ406" s="136">
        <f t="shared" si="93"/>
        <v>-2.149990000000082</v>
      </c>
      <c r="BA406" s="136">
        <f t="shared" si="94"/>
        <v>8.226766766265188E-2</v>
      </c>
      <c r="BB406" s="136">
        <f t="shared" si="95"/>
        <v>8.2268841200349385E-2</v>
      </c>
      <c r="BC406" s="136" t="e">
        <f t="shared" si="96"/>
        <v>#N/A</v>
      </c>
      <c r="BD406" s="136">
        <f t="shared" ref="BD406:BD469" si="101">IF($AV$15=1,IF(OR(AND(AV406&gt;=$BD$19,$AS$5&gt;=0),AND(AV406&lt;=$BD$19,$AS$5&lt;0)),AW406,NA()),IF($AV$15=2,IF(ABS(AV406)&gt;=$BD$18,AW406,NA()),NA()))</f>
        <v>3.9550041589363226E-2</v>
      </c>
      <c r="BE406" s="136">
        <f t="shared" si="97"/>
        <v>3.8550041589363225E-2</v>
      </c>
      <c r="BF406" s="136" t="e">
        <f t="shared" si="98"/>
        <v>#N/A</v>
      </c>
      <c r="BG406" s="136" t="e">
        <f t="shared" si="99"/>
        <v>#N/A</v>
      </c>
    </row>
    <row r="407" spans="2:59" ht="11.25" customHeight="1">
      <c r="B407" s="321"/>
      <c r="C407" s="321"/>
      <c r="D407" s="321"/>
      <c r="E407" s="321"/>
      <c r="F407" s="321"/>
      <c r="G407" s="321"/>
      <c r="H407" s="321"/>
      <c r="I407" s="321"/>
      <c r="J407" s="321"/>
      <c r="K407" s="321"/>
      <c r="L407" s="321"/>
      <c r="M407" s="321"/>
      <c r="N407" s="321"/>
      <c r="O407" s="321"/>
      <c r="P407" s="321"/>
      <c r="Q407" s="321"/>
      <c r="R407" s="321"/>
      <c r="S407" s="321"/>
      <c r="T407" s="321"/>
      <c r="U407" s="321"/>
      <c r="V407" s="321"/>
      <c r="W407" s="321"/>
      <c r="X407" s="321"/>
      <c r="Y407" s="321"/>
      <c r="Z407" s="321"/>
      <c r="AA407" s="321"/>
      <c r="AB407" s="321"/>
      <c r="AC407" s="321"/>
      <c r="AD407" s="321"/>
      <c r="AE407" s="321"/>
      <c r="AF407" s="321"/>
      <c r="AG407" s="321"/>
      <c r="AH407" s="321"/>
      <c r="AI407" s="321"/>
      <c r="AJ407" s="321"/>
      <c r="AK407" s="321"/>
      <c r="AL407" s="321"/>
      <c r="AM407" s="321"/>
      <c r="AN407" s="321"/>
      <c r="AO407" s="321"/>
      <c r="AP407" s="427"/>
      <c r="AQ407" s="321"/>
      <c r="AR407" s="321"/>
      <c r="AS407" s="321"/>
      <c r="AT407" s="321"/>
      <c r="AU407" s="136">
        <f t="shared" si="89"/>
        <v>1.617738337216279E-2</v>
      </c>
      <c r="AV407" s="136">
        <f t="shared" si="100"/>
        <v>-2.1400000000000823</v>
      </c>
      <c r="AW407" s="136">
        <f t="shared" si="90"/>
        <v>4.0407553922853195E-2</v>
      </c>
      <c r="AX407" s="136" t="e">
        <f t="shared" si="91"/>
        <v>#N/A</v>
      </c>
      <c r="AY407" s="136">
        <f t="shared" si="92"/>
        <v>-2.1400100000000823</v>
      </c>
      <c r="AZ407" s="136">
        <f t="shared" si="93"/>
        <v>-2.1399900000000822</v>
      </c>
      <c r="BA407" s="136">
        <f t="shared" si="94"/>
        <v>8.2857299253043096E-2</v>
      </c>
      <c r="BB407" s="136">
        <f t="shared" si="95"/>
        <v>8.2858484286897405E-2</v>
      </c>
      <c r="BC407" s="136" t="e">
        <f t="shared" si="96"/>
        <v>#N/A</v>
      </c>
      <c r="BD407" s="136">
        <f t="shared" si="101"/>
        <v>4.0407553922853195E-2</v>
      </c>
      <c r="BE407" s="136">
        <f t="shared" si="97"/>
        <v>3.9407553922853195E-2</v>
      </c>
      <c r="BF407" s="136" t="e">
        <f t="shared" si="98"/>
        <v>#N/A</v>
      </c>
      <c r="BG407" s="136" t="e">
        <f t="shared" si="99"/>
        <v>#N/A</v>
      </c>
    </row>
    <row r="408" spans="2:59" ht="11.25" customHeight="1">
      <c r="B408" s="321"/>
      <c r="C408" s="321"/>
      <c r="D408" s="321"/>
      <c r="E408" s="321"/>
      <c r="F408" s="321"/>
      <c r="G408" s="321"/>
      <c r="H408" s="321"/>
      <c r="I408" s="321"/>
      <c r="J408" s="321"/>
      <c r="K408" s="321"/>
      <c r="L408" s="321"/>
      <c r="M408" s="321"/>
      <c r="N408" s="321"/>
      <c r="O408" s="321"/>
      <c r="P408" s="321"/>
      <c r="Q408" s="321"/>
      <c r="R408" s="321"/>
      <c r="S408" s="321"/>
      <c r="T408" s="321"/>
      <c r="U408" s="321"/>
      <c r="V408" s="321"/>
      <c r="W408" s="321"/>
      <c r="X408" s="321"/>
      <c r="Y408" s="321"/>
      <c r="Z408" s="321"/>
      <c r="AA408" s="321"/>
      <c r="AB408" s="321"/>
      <c r="AC408" s="321"/>
      <c r="AD408" s="321"/>
      <c r="AE408" s="321"/>
      <c r="AF408" s="321"/>
      <c r="AG408" s="321"/>
      <c r="AH408" s="321"/>
      <c r="AI408" s="321"/>
      <c r="AJ408" s="321"/>
      <c r="AK408" s="321"/>
      <c r="AL408" s="321"/>
      <c r="AM408" s="321"/>
      <c r="AN408" s="321"/>
      <c r="AO408" s="321"/>
      <c r="AP408" s="427"/>
      <c r="AQ408" s="321"/>
      <c r="AR408" s="321"/>
      <c r="AS408" s="321"/>
      <c r="AT408" s="321"/>
      <c r="AU408" s="136">
        <f t="shared" si="89"/>
        <v>1.6585806683601767E-2</v>
      </c>
      <c r="AV408" s="136">
        <f t="shared" si="100"/>
        <v>-2.1300000000000825</v>
      </c>
      <c r="AW408" s="136">
        <f t="shared" si="90"/>
        <v>4.1279530426323152E-2</v>
      </c>
      <c r="AX408" s="136" t="e">
        <f t="shared" si="91"/>
        <v>#N/A</v>
      </c>
      <c r="AY408" s="136">
        <f t="shared" si="92"/>
        <v>-2.1300100000000826</v>
      </c>
      <c r="AZ408" s="136">
        <f t="shared" si="93"/>
        <v>-2.1299900000000824</v>
      </c>
      <c r="BA408" s="136">
        <f t="shared" si="94"/>
        <v>8.3452712288616088E-2</v>
      </c>
      <c r="BB408" s="136">
        <f t="shared" si="95"/>
        <v>8.3453908952636532E-2</v>
      </c>
      <c r="BC408" s="136" t="e">
        <f t="shared" si="96"/>
        <v>#N/A</v>
      </c>
      <c r="BD408" s="136">
        <f t="shared" si="101"/>
        <v>4.1279530426323152E-2</v>
      </c>
      <c r="BE408" s="136">
        <f t="shared" si="97"/>
        <v>4.0279530426323151E-2</v>
      </c>
      <c r="BF408" s="136" t="e">
        <f t="shared" si="98"/>
        <v>#N/A</v>
      </c>
      <c r="BG408" s="136" t="e">
        <f t="shared" si="99"/>
        <v>#N/A</v>
      </c>
    </row>
    <row r="409" spans="2:59" ht="11.25" customHeight="1">
      <c r="B409" s="321"/>
      <c r="C409" s="321"/>
      <c r="D409" s="321"/>
      <c r="E409" s="321"/>
      <c r="F409" s="321"/>
      <c r="G409" s="321"/>
      <c r="H409" s="321"/>
      <c r="I409" s="321"/>
      <c r="J409" s="321"/>
      <c r="K409" s="321"/>
      <c r="L409" s="321"/>
      <c r="M409" s="321"/>
      <c r="N409" s="321"/>
      <c r="O409" s="321"/>
      <c r="P409" s="321"/>
      <c r="Q409" s="321"/>
      <c r="R409" s="321"/>
      <c r="S409" s="321"/>
      <c r="T409" s="321"/>
      <c r="U409" s="321"/>
      <c r="V409" s="321"/>
      <c r="W409" s="321"/>
      <c r="X409" s="321"/>
      <c r="Y409" s="321"/>
      <c r="Z409" s="321"/>
      <c r="AA409" s="321"/>
      <c r="AB409" s="321"/>
      <c r="AC409" s="321"/>
      <c r="AD409" s="321"/>
      <c r="AE409" s="321"/>
      <c r="AF409" s="321"/>
      <c r="AG409" s="321"/>
      <c r="AH409" s="321"/>
      <c r="AI409" s="321"/>
      <c r="AJ409" s="321"/>
      <c r="AK409" s="321"/>
      <c r="AL409" s="321"/>
      <c r="AM409" s="321"/>
      <c r="AN409" s="321"/>
      <c r="AO409" s="321"/>
      <c r="AP409" s="427"/>
      <c r="AQ409" s="321"/>
      <c r="AR409" s="321"/>
      <c r="AS409" s="321"/>
      <c r="AT409" s="321"/>
      <c r="AU409" s="136">
        <f t="shared" si="89"/>
        <v>1.7003022647629318E-2</v>
      </c>
      <c r="AV409" s="136">
        <f t="shared" si="100"/>
        <v>-2.1200000000000827</v>
      </c>
      <c r="AW409" s="136">
        <f t="shared" si="90"/>
        <v>4.2166106961762928E-2</v>
      </c>
      <c r="AX409" s="136" t="e">
        <f t="shared" si="91"/>
        <v>#N/A</v>
      </c>
      <c r="AY409" s="136">
        <f t="shared" si="92"/>
        <v>-2.1200100000000828</v>
      </c>
      <c r="AZ409" s="136">
        <f t="shared" si="93"/>
        <v>-2.1199900000000826</v>
      </c>
      <c r="BA409" s="136">
        <f t="shared" si="94"/>
        <v>8.405397418599847E-2</v>
      </c>
      <c r="BB409" s="136">
        <f t="shared" si="95"/>
        <v>8.4055182615848503E-2</v>
      </c>
      <c r="BC409" s="136" t="e">
        <f t="shared" si="96"/>
        <v>#N/A</v>
      </c>
      <c r="BD409" s="136">
        <f t="shared" si="101"/>
        <v>4.2166106961762928E-2</v>
      </c>
      <c r="BE409" s="136">
        <f t="shared" si="97"/>
        <v>4.1166106961762927E-2</v>
      </c>
      <c r="BF409" s="136" t="e">
        <f t="shared" si="98"/>
        <v>#N/A</v>
      </c>
      <c r="BG409" s="136" t="e">
        <f t="shared" si="99"/>
        <v>#N/A</v>
      </c>
    </row>
    <row r="410" spans="2:59" ht="11.25" customHeight="1">
      <c r="B410" s="321"/>
      <c r="C410" s="321"/>
      <c r="D410" s="321"/>
      <c r="E410" s="321"/>
      <c r="F410" s="321"/>
      <c r="G410" s="321"/>
      <c r="H410" s="321"/>
      <c r="I410" s="321"/>
      <c r="J410" s="321"/>
      <c r="K410" s="321"/>
      <c r="L410" s="321"/>
      <c r="M410" s="321"/>
      <c r="N410" s="321"/>
      <c r="O410" s="321"/>
      <c r="P410" s="321"/>
      <c r="Q410" s="321"/>
      <c r="R410" s="321"/>
      <c r="S410" s="321"/>
      <c r="T410" s="321"/>
      <c r="U410" s="321"/>
      <c r="V410" s="321"/>
      <c r="W410" s="321"/>
      <c r="X410" s="321"/>
      <c r="Y410" s="321"/>
      <c r="Z410" s="321"/>
      <c r="AA410" s="321"/>
      <c r="AB410" s="321"/>
      <c r="AC410" s="321"/>
      <c r="AD410" s="321"/>
      <c r="AE410" s="321"/>
      <c r="AF410" s="321"/>
      <c r="AG410" s="321"/>
      <c r="AH410" s="321"/>
      <c r="AI410" s="321"/>
      <c r="AJ410" s="321"/>
      <c r="AK410" s="321"/>
      <c r="AL410" s="321"/>
      <c r="AM410" s="321"/>
      <c r="AN410" s="321"/>
      <c r="AO410" s="321"/>
      <c r="AP410" s="427"/>
      <c r="AQ410" s="321"/>
      <c r="AR410" s="321"/>
      <c r="AS410" s="321"/>
      <c r="AT410" s="321"/>
      <c r="AU410" s="136">
        <f t="shared" si="89"/>
        <v>1.7429177937653528E-2</v>
      </c>
      <c r="AV410" s="136">
        <f t="shared" si="100"/>
        <v>-2.1100000000000829</v>
      </c>
      <c r="AW410" s="136">
        <f t="shared" si="90"/>
        <v>4.3067417889258199E-2</v>
      </c>
      <c r="AX410" s="136" t="e">
        <f t="shared" si="91"/>
        <v>#N/A</v>
      </c>
      <c r="AY410" s="136">
        <f t="shared" si="92"/>
        <v>-2.110010000000083</v>
      </c>
      <c r="AZ410" s="136">
        <f t="shared" si="93"/>
        <v>-2.1099900000000829</v>
      </c>
      <c r="BA410" s="136">
        <f t="shared" si="94"/>
        <v>8.4661153193168956E-2</v>
      </c>
      <c r="BB410" s="136">
        <f t="shared" si="95"/>
        <v>8.466237352618329E-2</v>
      </c>
      <c r="BC410" s="136" t="e">
        <f t="shared" si="96"/>
        <v>#N/A</v>
      </c>
      <c r="BD410" s="136">
        <f t="shared" si="101"/>
        <v>4.3067417889258199E-2</v>
      </c>
      <c r="BE410" s="136">
        <f t="shared" si="97"/>
        <v>4.2067417889258198E-2</v>
      </c>
      <c r="BF410" s="136" t="e">
        <f t="shared" si="98"/>
        <v>#N/A</v>
      </c>
      <c r="BG410" s="136" t="e">
        <f t="shared" si="99"/>
        <v>#N/A</v>
      </c>
    </row>
    <row r="411" spans="2:59" ht="11.25" customHeight="1">
      <c r="B411" s="321"/>
      <c r="C411" s="321"/>
      <c r="D411" s="321"/>
      <c r="E411" s="321"/>
      <c r="F411" s="321"/>
      <c r="G411" s="321"/>
      <c r="H411" s="321"/>
      <c r="I411" s="321"/>
      <c r="J411" s="321"/>
      <c r="K411" s="321"/>
      <c r="L411" s="321"/>
      <c r="M411" s="321"/>
      <c r="N411" s="321"/>
      <c r="O411" s="321"/>
      <c r="P411" s="321"/>
      <c r="Q411" s="321"/>
      <c r="R411" s="321"/>
      <c r="S411" s="321"/>
      <c r="T411" s="321"/>
      <c r="U411" s="321"/>
      <c r="V411" s="321"/>
      <c r="W411" s="321"/>
      <c r="X411" s="321"/>
      <c r="Y411" s="321"/>
      <c r="Z411" s="321"/>
      <c r="AA411" s="321"/>
      <c r="AB411" s="321"/>
      <c r="AC411" s="321"/>
      <c r="AD411" s="321"/>
      <c r="AE411" s="321"/>
      <c r="AF411" s="321"/>
      <c r="AG411" s="321"/>
      <c r="AH411" s="321"/>
      <c r="AI411" s="321"/>
      <c r="AJ411" s="321"/>
      <c r="AK411" s="321"/>
      <c r="AL411" s="321"/>
      <c r="AM411" s="321"/>
      <c r="AN411" s="321"/>
      <c r="AO411" s="321"/>
      <c r="AP411" s="427"/>
      <c r="AQ411" s="321"/>
      <c r="AR411" s="321"/>
      <c r="AS411" s="321"/>
      <c r="AT411" s="321"/>
      <c r="AU411" s="136">
        <f t="shared" si="89"/>
        <v>1.7864420562812899E-2</v>
      </c>
      <c r="AV411" s="136">
        <f t="shared" si="100"/>
        <v>-2.1000000000000831</v>
      </c>
      <c r="AW411" s="136">
        <f t="shared" si="90"/>
        <v>4.3983595980419517E-2</v>
      </c>
      <c r="AX411" s="136" t="e">
        <f t="shared" si="91"/>
        <v>#N/A</v>
      </c>
      <c r="AY411" s="136">
        <f t="shared" si="92"/>
        <v>-2.1000100000000832</v>
      </c>
      <c r="AZ411" s="136">
        <f t="shared" si="93"/>
        <v>-2.0999900000000831</v>
      </c>
      <c r="BA411" s="136">
        <f t="shared" si="94"/>
        <v>8.5274318398275817E-2</v>
      </c>
      <c r="BB411" s="136">
        <f t="shared" si="95"/>
        <v>8.5275550773478551E-2</v>
      </c>
      <c r="BC411" s="136" t="e">
        <f t="shared" si="96"/>
        <v>#N/A</v>
      </c>
      <c r="BD411" s="136">
        <f t="shared" si="101"/>
        <v>4.3983595980419517E-2</v>
      </c>
      <c r="BE411" s="136">
        <f t="shared" si="97"/>
        <v>4.2983595980419516E-2</v>
      </c>
      <c r="BF411" s="136" t="e">
        <f t="shared" si="98"/>
        <v>#N/A</v>
      </c>
      <c r="BG411" s="136" t="e">
        <f t="shared" si="99"/>
        <v>#N/A</v>
      </c>
    </row>
    <row r="412" spans="2:59" ht="11.25" customHeight="1">
      <c r="B412" s="321"/>
      <c r="C412" s="321"/>
      <c r="D412" s="321"/>
      <c r="E412" s="321"/>
      <c r="F412" s="321"/>
      <c r="G412" s="321"/>
      <c r="H412" s="321"/>
      <c r="I412" s="321"/>
      <c r="J412" s="321"/>
      <c r="K412" s="321"/>
      <c r="L412" s="321"/>
      <c r="M412" s="321"/>
      <c r="N412" s="321"/>
      <c r="O412" s="321"/>
      <c r="P412" s="321"/>
      <c r="Q412" s="321"/>
      <c r="R412" s="321"/>
      <c r="S412" s="321"/>
      <c r="T412" s="321"/>
      <c r="U412" s="321"/>
      <c r="V412" s="321"/>
      <c r="W412" s="321"/>
      <c r="X412" s="321"/>
      <c r="Y412" s="321"/>
      <c r="Z412" s="321"/>
      <c r="AA412" s="321"/>
      <c r="AB412" s="321"/>
      <c r="AC412" s="321"/>
      <c r="AD412" s="321"/>
      <c r="AE412" s="321"/>
      <c r="AF412" s="321"/>
      <c r="AG412" s="321"/>
      <c r="AH412" s="321"/>
      <c r="AI412" s="321"/>
      <c r="AJ412" s="321"/>
      <c r="AK412" s="321"/>
      <c r="AL412" s="321"/>
      <c r="AM412" s="321"/>
      <c r="AN412" s="321"/>
      <c r="AO412" s="321"/>
      <c r="AP412" s="427"/>
      <c r="AQ412" s="321"/>
      <c r="AR412" s="321"/>
      <c r="AS412" s="321"/>
      <c r="AT412" s="321"/>
      <c r="AU412" s="136">
        <f t="shared" si="89"/>
        <v>1.830889985165518E-2</v>
      </c>
      <c r="AV412" s="136">
        <f t="shared" si="100"/>
        <v>-2.0900000000000833</v>
      </c>
      <c r="AW412" s="136">
        <f t="shared" si="90"/>
        <v>4.4914772330759252E-2</v>
      </c>
      <c r="AX412" s="136" t="e">
        <f t="shared" si="91"/>
        <v>#N/A</v>
      </c>
      <c r="AY412" s="136">
        <f t="shared" si="92"/>
        <v>-2.0900100000000834</v>
      </c>
      <c r="AZ412" s="136">
        <f t="shared" si="93"/>
        <v>-2.0899900000000833</v>
      </c>
      <c r="BA412" s="136">
        <f t="shared" si="94"/>
        <v>8.5893539738462948E-2</v>
      </c>
      <c r="BB412" s="136">
        <f t="shared" si="95"/>
        <v>8.589478429658505E-2</v>
      </c>
      <c r="BC412" s="136" t="e">
        <f t="shared" si="96"/>
        <v>#N/A</v>
      </c>
      <c r="BD412" s="136">
        <f t="shared" si="101"/>
        <v>4.4914772330759252E-2</v>
      </c>
      <c r="BE412" s="136">
        <f t="shared" si="97"/>
        <v>4.3914772330759251E-2</v>
      </c>
      <c r="BF412" s="136" t="e">
        <f t="shared" si="98"/>
        <v>#N/A</v>
      </c>
      <c r="BG412" s="136" t="e">
        <f t="shared" si="99"/>
        <v>#N/A</v>
      </c>
    </row>
    <row r="413" spans="2:59" ht="11.25" customHeight="1">
      <c r="B413" s="321"/>
      <c r="C413" s="321"/>
      <c r="D413" s="321"/>
      <c r="E413" s="321"/>
      <c r="F413" s="321"/>
      <c r="G413" s="321"/>
      <c r="H413" s="321"/>
      <c r="I413" s="321"/>
      <c r="J413" s="321"/>
      <c r="K413" s="321"/>
      <c r="L413" s="321"/>
      <c r="M413" s="321"/>
      <c r="N413" s="321"/>
      <c r="O413" s="321"/>
      <c r="P413" s="321"/>
      <c r="Q413" s="321"/>
      <c r="R413" s="321"/>
      <c r="S413" s="321"/>
      <c r="T413" s="321"/>
      <c r="U413" s="321"/>
      <c r="V413" s="321"/>
      <c r="W413" s="321"/>
      <c r="X413" s="321"/>
      <c r="Y413" s="321"/>
      <c r="Z413" s="321"/>
      <c r="AA413" s="321"/>
      <c r="AB413" s="321"/>
      <c r="AC413" s="321"/>
      <c r="AD413" s="321"/>
      <c r="AE413" s="321"/>
      <c r="AF413" s="321"/>
      <c r="AG413" s="321"/>
      <c r="AH413" s="321"/>
      <c r="AI413" s="321"/>
      <c r="AJ413" s="321"/>
      <c r="AK413" s="321"/>
      <c r="AL413" s="321"/>
      <c r="AM413" s="321"/>
      <c r="AN413" s="321"/>
      <c r="AO413" s="321"/>
      <c r="AP413" s="427"/>
      <c r="AQ413" s="321"/>
      <c r="AR413" s="321"/>
      <c r="AS413" s="321"/>
      <c r="AT413" s="321"/>
      <c r="AU413" s="136">
        <f t="shared" si="89"/>
        <v>1.8762766434934131E-2</v>
      </c>
      <c r="AV413" s="136">
        <f t="shared" si="100"/>
        <v>-2.0800000000000836</v>
      </c>
      <c r="AW413" s="136">
        <f t="shared" si="90"/>
        <v>4.5861076271046915E-2</v>
      </c>
      <c r="AX413" s="136" t="e">
        <f t="shared" si="91"/>
        <v>#N/A</v>
      </c>
      <c r="AY413" s="136">
        <f t="shared" si="92"/>
        <v>-2.0800100000000836</v>
      </c>
      <c r="AZ413" s="136">
        <f t="shared" si="93"/>
        <v>-2.0799900000000835</v>
      </c>
      <c r="BA413" s="136">
        <f t="shared" si="94"/>
        <v>8.6518888008696906E-2</v>
      </c>
      <c r="BB413" s="136">
        <f t="shared" si="95"/>
        <v>8.6520144892193632E-2</v>
      </c>
      <c r="BC413" s="136" t="e">
        <f t="shared" si="96"/>
        <v>#N/A</v>
      </c>
      <c r="BD413" s="136">
        <f t="shared" si="101"/>
        <v>4.5861076271046915E-2</v>
      </c>
      <c r="BE413" s="136">
        <f t="shared" si="97"/>
        <v>4.4861076271046914E-2</v>
      </c>
      <c r="BF413" s="136" t="e">
        <f t="shared" si="98"/>
        <v>#N/A</v>
      </c>
      <c r="BG413" s="136" t="e">
        <f t="shared" si="99"/>
        <v>#N/A</v>
      </c>
    </row>
    <row r="414" spans="2:59" ht="11.25" customHeight="1">
      <c r="B414" s="321"/>
      <c r="C414" s="321"/>
      <c r="D414" s="321"/>
      <c r="E414" s="321"/>
      <c r="F414" s="321"/>
      <c r="G414" s="321"/>
      <c r="H414" s="321"/>
      <c r="I414" s="321"/>
      <c r="J414" s="321"/>
      <c r="K414" s="321"/>
      <c r="L414" s="321"/>
      <c r="M414" s="321"/>
      <c r="N414" s="321"/>
      <c r="O414" s="321"/>
      <c r="P414" s="321"/>
      <c r="Q414" s="321"/>
      <c r="R414" s="321"/>
      <c r="S414" s="321"/>
      <c r="T414" s="321"/>
      <c r="U414" s="321"/>
      <c r="V414" s="321"/>
      <c r="W414" s="321"/>
      <c r="X414" s="321"/>
      <c r="Y414" s="321"/>
      <c r="Z414" s="321"/>
      <c r="AA414" s="321"/>
      <c r="AB414" s="321"/>
      <c r="AC414" s="321"/>
      <c r="AD414" s="321"/>
      <c r="AE414" s="321"/>
      <c r="AF414" s="321"/>
      <c r="AG414" s="321"/>
      <c r="AH414" s="321"/>
      <c r="AI414" s="321"/>
      <c r="AJ414" s="321"/>
      <c r="AK414" s="321"/>
      <c r="AL414" s="321"/>
      <c r="AM414" s="321"/>
      <c r="AN414" s="321"/>
      <c r="AO414" s="321"/>
      <c r="AP414" s="427"/>
      <c r="AQ414" s="321"/>
      <c r="AR414" s="321"/>
      <c r="AS414" s="321"/>
      <c r="AT414" s="321"/>
      <c r="AU414" s="136">
        <f t="shared" si="89"/>
        <v>1.9226172227513438E-2</v>
      </c>
      <c r="AV414" s="136">
        <f t="shared" si="100"/>
        <v>-2.0700000000000838</v>
      </c>
      <c r="AW414" s="136">
        <f t="shared" si="90"/>
        <v>4.682263527767503E-2</v>
      </c>
      <c r="AX414" s="136" t="e">
        <f t="shared" si="91"/>
        <v>#N/A</v>
      </c>
      <c r="AY414" s="136">
        <f t="shared" si="92"/>
        <v>-2.0700100000000838</v>
      </c>
      <c r="AZ414" s="136">
        <f t="shared" si="93"/>
        <v>-2.0699900000000837</v>
      </c>
      <c r="BA414" s="136">
        <f t="shared" si="94"/>
        <v>8.7150434870590737E-2</v>
      </c>
      <c r="BB414" s="136">
        <f t="shared" si="95"/>
        <v>8.7151704223659712E-2</v>
      </c>
      <c r="BC414" s="136" t="e">
        <f t="shared" si="96"/>
        <v>#N/A</v>
      </c>
      <c r="BD414" s="136">
        <f t="shared" si="101"/>
        <v>4.682263527767503E-2</v>
      </c>
      <c r="BE414" s="136">
        <f t="shared" si="97"/>
        <v>4.5822635277675029E-2</v>
      </c>
      <c r="BF414" s="136" t="e">
        <f t="shared" si="98"/>
        <v>#N/A</v>
      </c>
      <c r="BG414" s="136" t="e">
        <f t="shared" si="99"/>
        <v>#N/A</v>
      </c>
    </row>
    <row r="415" spans="2:59" ht="11.25" customHeight="1">
      <c r="B415" s="321"/>
      <c r="C415" s="321"/>
      <c r="D415" s="321"/>
      <c r="E415" s="321"/>
      <c r="F415" s="321"/>
      <c r="G415" s="321"/>
      <c r="H415" s="321"/>
      <c r="I415" s="321"/>
      <c r="J415" s="321"/>
      <c r="K415" s="321"/>
      <c r="L415" s="321"/>
      <c r="M415" s="321"/>
      <c r="N415" s="321"/>
      <c r="O415" s="321"/>
      <c r="P415" s="321"/>
      <c r="Q415" s="321"/>
      <c r="R415" s="321"/>
      <c r="S415" s="321"/>
      <c r="T415" s="321"/>
      <c r="U415" s="321"/>
      <c r="V415" s="321"/>
      <c r="W415" s="321"/>
      <c r="X415" s="321"/>
      <c r="Y415" s="321"/>
      <c r="Z415" s="321"/>
      <c r="AA415" s="321"/>
      <c r="AB415" s="321"/>
      <c r="AC415" s="321"/>
      <c r="AD415" s="321"/>
      <c r="AE415" s="321"/>
      <c r="AF415" s="321"/>
      <c r="AG415" s="321"/>
      <c r="AH415" s="321"/>
      <c r="AI415" s="321"/>
      <c r="AJ415" s="321"/>
      <c r="AK415" s="321"/>
      <c r="AL415" s="321"/>
      <c r="AM415" s="321"/>
      <c r="AN415" s="321"/>
      <c r="AO415" s="321"/>
      <c r="AP415" s="427"/>
      <c r="AQ415" s="321"/>
      <c r="AR415" s="321"/>
      <c r="AS415" s="321"/>
      <c r="AT415" s="321"/>
      <c r="AU415" s="136">
        <f t="shared" si="89"/>
        <v>1.9699270409372804E-2</v>
      </c>
      <c r="AV415" s="136">
        <f t="shared" si="100"/>
        <v>-2.060000000000084</v>
      </c>
      <c r="AW415" s="136">
        <f t="shared" si="90"/>
        <v>4.7799574882068749E-2</v>
      </c>
      <c r="AX415" s="136" t="e">
        <f t="shared" si="91"/>
        <v>#N/A</v>
      </c>
      <c r="AY415" s="136">
        <f t="shared" si="92"/>
        <v>-2.0600100000000841</v>
      </c>
      <c r="AZ415" s="136">
        <f t="shared" si="93"/>
        <v>-2.0599900000000839</v>
      </c>
      <c r="BA415" s="136">
        <f t="shared" si="94"/>
        <v>8.7788252861220495E-2</v>
      </c>
      <c r="BB415" s="136">
        <f t="shared" si="95"/>
        <v>8.7789534829818855E-2</v>
      </c>
      <c r="BC415" s="136" t="e">
        <f t="shared" si="96"/>
        <v>#N/A</v>
      </c>
      <c r="BD415" s="136">
        <f t="shared" si="101"/>
        <v>4.7799574882068749E-2</v>
      </c>
      <c r="BE415" s="136">
        <f t="shared" si="97"/>
        <v>4.6799574882068748E-2</v>
      </c>
      <c r="BF415" s="136" t="e">
        <f t="shared" si="98"/>
        <v>#N/A</v>
      </c>
      <c r="BG415" s="136" t="e">
        <f t="shared" si="99"/>
        <v>#N/A</v>
      </c>
    </row>
    <row r="416" spans="2:59" ht="11.25" customHeight="1">
      <c r="B416" s="321"/>
      <c r="C416" s="321"/>
      <c r="D416" s="321"/>
      <c r="E416" s="321"/>
      <c r="F416" s="321"/>
      <c r="G416" s="321"/>
      <c r="H416" s="321"/>
      <c r="I416" s="321"/>
      <c r="J416" s="321"/>
      <c r="K416" s="321"/>
      <c r="L416" s="321"/>
      <c r="M416" s="321"/>
      <c r="N416" s="321"/>
      <c r="O416" s="321"/>
      <c r="P416" s="321"/>
      <c r="Q416" s="321"/>
      <c r="R416" s="321"/>
      <c r="S416" s="321"/>
      <c r="T416" s="321"/>
      <c r="U416" s="321"/>
      <c r="V416" s="321"/>
      <c r="W416" s="321"/>
      <c r="X416" s="321"/>
      <c r="Y416" s="321"/>
      <c r="Z416" s="321"/>
      <c r="AA416" s="321"/>
      <c r="AB416" s="321"/>
      <c r="AC416" s="321"/>
      <c r="AD416" s="321"/>
      <c r="AE416" s="321"/>
      <c r="AF416" s="321"/>
      <c r="AG416" s="321"/>
      <c r="AH416" s="321"/>
      <c r="AI416" s="321"/>
      <c r="AJ416" s="321"/>
      <c r="AK416" s="321"/>
      <c r="AL416" s="321"/>
      <c r="AM416" s="321"/>
      <c r="AN416" s="321"/>
      <c r="AO416" s="321"/>
      <c r="AP416" s="427"/>
      <c r="AQ416" s="321"/>
      <c r="AR416" s="321"/>
      <c r="AS416" s="321"/>
      <c r="AT416" s="321"/>
      <c r="AU416" s="136">
        <f t="shared" si="89"/>
        <v>2.018221540570031E-2</v>
      </c>
      <c r="AV416" s="136">
        <f t="shared" si="100"/>
        <v>-2.0500000000000842</v>
      </c>
      <c r="AW416" s="136">
        <f t="shared" si="90"/>
        <v>4.8792018579174326E-2</v>
      </c>
      <c r="AX416" s="136" t="e">
        <f t="shared" si="91"/>
        <v>#N/A</v>
      </c>
      <c r="AY416" s="136">
        <f t="shared" si="92"/>
        <v>-2.0500100000000843</v>
      </c>
      <c r="AZ416" s="136">
        <f t="shared" si="93"/>
        <v>-2.0499900000000841</v>
      </c>
      <c r="BA416" s="136">
        <f t="shared" si="94"/>
        <v>8.843241540192695E-2</v>
      </c>
      <c r="BB416" s="136">
        <f t="shared" si="95"/>
        <v>8.8433710133789326E-2</v>
      </c>
      <c r="BC416" s="136" t="e">
        <f t="shared" si="96"/>
        <v>#N/A</v>
      </c>
      <c r="BD416" s="136">
        <f t="shared" si="101"/>
        <v>4.8792018579174326E-2</v>
      </c>
      <c r="BE416" s="136">
        <f t="shared" si="97"/>
        <v>4.7792018579174325E-2</v>
      </c>
      <c r="BF416" s="136" t="e">
        <f t="shared" si="98"/>
        <v>#N/A</v>
      </c>
      <c r="BG416" s="136" t="e">
        <f t="shared" si="99"/>
        <v>#N/A</v>
      </c>
    </row>
    <row r="417" spans="2:59" ht="11.25" customHeight="1">
      <c r="B417" s="321"/>
      <c r="C417" s="321"/>
      <c r="D417" s="321"/>
      <c r="E417" s="321"/>
      <c r="F417" s="321"/>
      <c r="G417" s="321"/>
      <c r="H417" s="321"/>
      <c r="I417" s="321"/>
      <c r="J417" s="321"/>
      <c r="K417" s="321"/>
      <c r="L417" s="321"/>
      <c r="M417" s="321"/>
      <c r="N417" s="321"/>
      <c r="O417" s="321"/>
      <c r="P417" s="321"/>
      <c r="Q417" s="321"/>
      <c r="R417" s="321"/>
      <c r="S417" s="321"/>
      <c r="T417" s="321"/>
      <c r="U417" s="321"/>
      <c r="V417" s="321"/>
      <c r="W417" s="321"/>
      <c r="X417" s="321"/>
      <c r="Y417" s="321"/>
      <c r="Z417" s="321"/>
      <c r="AA417" s="321"/>
      <c r="AB417" s="321"/>
      <c r="AC417" s="321"/>
      <c r="AD417" s="321"/>
      <c r="AE417" s="321"/>
      <c r="AF417" s="321"/>
      <c r="AG417" s="321"/>
      <c r="AH417" s="321"/>
      <c r="AI417" s="321"/>
      <c r="AJ417" s="321"/>
      <c r="AK417" s="321"/>
      <c r="AL417" s="321"/>
      <c r="AM417" s="321"/>
      <c r="AN417" s="321"/>
      <c r="AO417" s="321"/>
      <c r="AP417" s="427"/>
      <c r="AQ417" s="321"/>
      <c r="AR417" s="321"/>
      <c r="AS417" s="321"/>
      <c r="AT417" s="321"/>
      <c r="AU417" s="136">
        <f t="shared" si="89"/>
        <v>2.0675162866065744E-2</v>
      </c>
      <c r="AV417" s="136">
        <f t="shared" si="100"/>
        <v>-2.0400000000000844</v>
      </c>
      <c r="AW417" s="136">
        <f t="shared" si="90"/>
        <v>4.9800087735062185E-2</v>
      </c>
      <c r="AX417" s="136" t="e">
        <f t="shared" si="91"/>
        <v>#N/A</v>
      </c>
      <c r="AY417" s="136">
        <f t="shared" si="92"/>
        <v>-2.0400100000000845</v>
      </c>
      <c r="AZ417" s="136">
        <f t="shared" si="93"/>
        <v>-2.0399900000000843</v>
      </c>
      <c r="BA417" s="136">
        <f t="shared" si="94"/>
        <v>8.9082996807099205E-2</v>
      </c>
      <c r="BB417" s="136">
        <f t="shared" si="95"/>
        <v>8.9084304451755095E-2</v>
      </c>
      <c r="BC417" s="136" t="e">
        <f t="shared" si="96"/>
        <v>#N/A</v>
      </c>
      <c r="BD417" s="136">
        <f t="shared" si="101"/>
        <v>4.9800087735062185E-2</v>
      </c>
      <c r="BE417" s="136">
        <f t="shared" si="97"/>
        <v>4.8800087735062184E-2</v>
      </c>
      <c r="BF417" s="136" t="e">
        <f t="shared" si="98"/>
        <v>#N/A</v>
      </c>
      <c r="BG417" s="136" t="e">
        <f t="shared" si="99"/>
        <v>#N/A</v>
      </c>
    </row>
    <row r="418" spans="2:59" ht="11.25" customHeight="1">
      <c r="B418" s="321"/>
      <c r="C418" s="321"/>
      <c r="D418" s="321"/>
      <c r="E418" s="321"/>
      <c r="F418" s="321"/>
      <c r="G418" s="321"/>
      <c r="H418" s="321"/>
      <c r="I418" s="321"/>
      <c r="J418" s="321"/>
      <c r="K418" s="321"/>
      <c r="L418" s="321"/>
      <c r="M418" s="321"/>
      <c r="N418" s="321"/>
      <c r="O418" s="321"/>
      <c r="P418" s="321"/>
      <c r="Q418" s="321"/>
      <c r="R418" s="321"/>
      <c r="S418" s="321"/>
      <c r="T418" s="321"/>
      <c r="U418" s="321"/>
      <c r="V418" s="321"/>
      <c r="W418" s="321"/>
      <c r="X418" s="321"/>
      <c r="Y418" s="321"/>
      <c r="Z418" s="321"/>
      <c r="AA418" s="321"/>
      <c r="AB418" s="321"/>
      <c r="AC418" s="321"/>
      <c r="AD418" s="321"/>
      <c r="AE418" s="321"/>
      <c r="AF418" s="321"/>
      <c r="AG418" s="321"/>
      <c r="AH418" s="321"/>
      <c r="AI418" s="321"/>
      <c r="AJ418" s="321"/>
      <c r="AK418" s="321"/>
      <c r="AL418" s="321"/>
      <c r="AM418" s="321"/>
      <c r="AN418" s="321"/>
      <c r="AO418" s="321"/>
      <c r="AP418" s="427"/>
      <c r="AQ418" s="321"/>
      <c r="AR418" s="321"/>
      <c r="AS418" s="321"/>
      <c r="AT418" s="321"/>
      <c r="AU418" s="136">
        <f t="shared" si="89"/>
        <v>2.1178269642668113E-2</v>
      </c>
      <c r="AV418" s="136">
        <f t="shared" si="100"/>
        <v>-2.0300000000000846</v>
      </c>
      <c r="AW418" s="136">
        <f t="shared" si="90"/>
        <v>5.082390149368244E-2</v>
      </c>
      <c r="AX418" s="136" t="e">
        <f t="shared" si="91"/>
        <v>#N/A</v>
      </c>
      <c r="AY418" s="136">
        <f t="shared" si="92"/>
        <v>-2.0300100000000847</v>
      </c>
      <c r="AZ418" s="136">
        <f t="shared" si="93"/>
        <v>-2.0299900000000846</v>
      </c>
      <c r="BA418" s="136">
        <f t="shared" si="94"/>
        <v>8.9740072292932765E-2</v>
      </c>
      <c r="BB418" s="136">
        <f t="shared" si="95"/>
        <v>8.974139300172404E-2</v>
      </c>
      <c r="BC418" s="136" t="e">
        <f t="shared" si="96"/>
        <v>#N/A</v>
      </c>
      <c r="BD418" s="136">
        <f t="shared" si="101"/>
        <v>5.082390149368244E-2</v>
      </c>
      <c r="BE418" s="136">
        <f t="shared" si="97"/>
        <v>4.9823901493682439E-2</v>
      </c>
      <c r="BF418" s="136" t="e">
        <f t="shared" si="98"/>
        <v>#N/A</v>
      </c>
      <c r="BG418" s="136" t="e">
        <f t="shared" si="99"/>
        <v>#N/A</v>
      </c>
    </row>
    <row r="419" spans="2:59" ht="11.25" customHeight="1">
      <c r="B419" s="321"/>
      <c r="C419" s="321"/>
      <c r="D419" s="321"/>
      <c r="E419" s="321"/>
      <c r="F419" s="321"/>
      <c r="G419" s="321"/>
      <c r="H419" s="321"/>
      <c r="I419" s="321"/>
      <c r="J419" s="321"/>
      <c r="K419" s="321"/>
      <c r="L419" s="321"/>
      <c r="M419" s="321"/>
      <c r="N419" s="321"/>
      <c r="O419" s="321"/>
      <c r="P419" s="321"/>
      <c r="Q419" s="321"/>
      <c r="R419" s="321"/>
      <c r="S419" s="321"/>
      <c r="T419" s="321"/>
      <c r="U419" s="321"/>
      <c r="V419" s="321"/>
      <c r="W419" s="321"/>
      <c r="X419" s="321"/>
      <c r="Y419" s="321"/>
      <c r="Z419" s="321"/>
      <c r="AA419" s="321"/>
      <c r="AB419" s="321"/>
      <c r="AC419" s="321"/>
      <c r="AD419" s="321"/>
      <c r="AE419" s="321"/>
      <c r="AF419" s="321"/>
      <c r="AG419" s="321"/>
      <c r="AH419" s="321"/>
      <c r="AI419" s="321"/>
      <c r="AJ419" s="321"/>
      <c r="AK419" s="321"/>
      <c r="AL419" s="321"/>
      <c r="AM419" s="321"/>
      <c r="AN419" s="321"/>
      <c r="AO419" s="321"/>
      <c r="AP419" s="427"/>
      <c r="AQ419" s="321"/>
      <c r="AR419" s="321"/>
      <c r="AS419" s="321"/>
      <c r="AT419" s="321"/>
      <c r="AU419" s="136">
        <f t="shared" si="89"/>
        <v>2.1691693767642573E-2</v>
      </c>
      <c r="AV419" s="136">
        <f t="shared" si="100"/>
        <v>-2.0200000000000848</v>
      </c>
      <c r="AW419" s="136">
        <f t="shared" si="90"/>
        <v>5.186357668281167E-2</v>
      </c>
      <c r="AX419" s="136" t="e">
        <f t="shared" si="91"/>
        <v>#N/A</v>
      </c>
      <c r="AY419" s="136">
        <f t="shared" si="92"/>
        <v>-2.0200100000000849</v>
      </c>
      <c r="AZ419" s="136">
        <f t="shared" si="93"/>
        <v>-2.0199900000000848</v>
      </c>
      <c r="BA419" s="136">
        <f t="shared" si="94"/>
        <v>9.0403717986157053E-2</v>
      </c>
      <c r="BB419" s="136">
        <f t="shared" si="95"/>
        <v>9.0405051912255285E-2</v>
      </c>
      <c r="BC419" s="136" t="e">
        <f t="shared" si="96"/>
        <v>#N/A</v>
      </c>
      <c r="BD419" s="136">
        <f t="shared" si="101"/>
        <v>5.186357668281167E-2</v>
      </c>
      <c r="BE419" s="136">
        <f t="shared" si="97"/>
        <v>5.0863576682811669E-2</v>
      </c>
      <c r="BF419" s="136" t="e">
        <f t="shared" si="98"/>
        <v>#N/A</v>
      </c>
      <c r="BG419" s="136" t="e">
        <f t="shared" si="99"/>
        <v>#N/A</v>
      </c>
    </row>
    <row r="420" spans="2:59" ht="11.25" customHeight="1">
      <c r="B420" s="321"/>
      <c r="C420" s="321"/>
      <c r="D420" s="321"/>
      <c r="E420" s="321"/>
      <c r="F420" s="321"/>
      <c r="G420" s="321"/>
      <c r="H420" s="321"/>
      <c r="I420" s="321"/>
      <c r="J420" s="321"/>
      <c r="K420" s="321"/>
      <c r="L420" s="321"/>
      <c r="M420" s="321"/>
      <c r="N420" s="321"/>
      <c r="O420" s="321"/>
      <c r="P420" s="321"/>
      <c r="Q420" s="321"/>
      <c r="R420" s="321"/>
      <c r="S420" s="321"/>
      <c r="T420" s="321"/>
      <c r="U420" s="321"/>
      <c r="V420" s="321"/>
      <c r="W420" s="321"/>
      <c r="X420" s="321"/>
      <c r="Y420" s="321"/>
      <c r="Z420" s="321"/>
      <c r="AA420" s="321"/>
      <c r="AB420" s="321"/>
      <c r="AC420" s="321"/>
      <c r="AD420" s="321"/>
      <c r="AE420" s="321"/>
      <c r="AF420" s="321"/>
      <c r="AG420" s="321"/>
      <c r="AH420" s="321"/>
      <c r="AI420" s="321"/>
      <c r="AJ420" s="321"/>
      <c r="AK420" s="321"/>
      <c r="AL420" s="321"/>
      <c r="AM420" s="321"/>
      <c r="AN420" s="321"/>
      <c r="AO420" s="321"/>
      <c r="AP420" s="427"/>
      <c r="AQ420" s="321"/>
      <c r="AR420" s="321"/>
      <c r="AS420" s="321"/>
      <c r="AT420" s="321"/>
      <c r="AU420" s="136">
        <f t="shared" si="89"/>
        <v>2.2215594429427221E-2</v>
      </c>
      <c r="AV420" s="136">
        <f t="shared" si="100"/>
        <v>-2.0100000000000851</v>
      </c>
      <c r="AW420" s="136">
        <f t="shared" si="90"/>
        <v>5.2919227719231236E-2</v>
      </c>
      <c r="AX420" s="136" t="e">
        <f t="shared" si="91"/>
        <v>#N/A</v>
      </c>
      <c r="AY420" s="136">
        <f t="shared" si="92"/>
        <v>-2.0100100000000851</v>
      </c>
      <c r="AZ420" s="136">
        <f t="shared" si="93"/>
        <v>-2.009990000000085</v>
      </c>
      <c r="BA420" s="136">
        <f t="shared" si="94"/>
        <v>9.1074010932724811E-2</v>
      </c>
      <c r="BB420" s="136">
        <f t="shared" si="95"/>
        <v>9.1075358231148748E-2</v>
      </c>
      <c r="BC420" s="136" t="e">
        <f t="shared" si="96"/>
        <v>#N/A</v>
      </c>
      <c r="BD420" s="136">
        <f t="shared" si="101"/>
        <v>5.2919227719231236E-2</v>
      </c>
      <c r="BE420" s="136">
        <f t="shared" si="97"/>
        <v>5.1919227719231235E-2</v>
      </c>
      <c r="BF420" s="136" t="e">
        <f t="shared" si="98"/>
        <v>#N/A</v>
      </c>
      <c r="BG420" s="136" t="e">
        <f t="shared" si="99"/>
        <v>#N/A</v>
      </c>
    </row>
    <row r="421" spans="2:59" ht="11.25" customHeight="1">
      <c r="B421" s="321"/>
      <c r="C421" s="321"/>
      <c r="D421" s="321"/>
      <c r="E421" s="321"/>
      <c r="F421" s="321"/>
      <c r="G421" s="321"/>
      <c r="H421" s="321"/>
      <c r="I421" s="321"/>
      <c r="J421" s="321"/>
      <c r="K421" s="321"/>
      <c r="L421" s="321"/>
      <c r="M421" s="321"/>
      <c r="N421" s="321"/>
      <c r="O421" s="321"/>
      <c r="P421" s="321"/>
      <c r="Q421" s="321"/>
      <c r="R421" s="321"/>
      <c r="S421" s="321"/>
      <c r="T421" s="321"/>
      <c r="U421" s="321"/>
      <c r="V421" s="321"/>
      <c r="W421" s="321"/>
      <c r="X421" s="321"/>
      <c r="Y421" s="321"/>
      <c r="Z421" s="321"/>
      <c r="AA421" s="321"/>
      <c r="AB421" s="321"/>
      <c r="AC421" s="321"/>
      <c r="AD421" s="321"/>
      <c r="AE421" s="321"/>
      <c r="AF421" s="321"/>
      <c r="AG421" s="321"/>
      <c r="AH421" s="321"/>
      <c r="AI421" s="321"/>
      <c r="AJ421" s="321"/>
      <c r="AK421" s="321"/>
      <c r="AL421" s="321"/>
      <c r="AM421" s="321"/>
      <c r="AN421" s="321"/>
      <c r="AO421" s="321"/>
      <c r="AP421" s="427"/>
      <c r="AQ421" s="321"/>
      <c r="AR421" s="321"/>
      <c r="AS421" s="321"/>
      <c r="AT421" s="321"/>
      <c r="AU421" s="136">
        <f t="shared" si="89"/>
        <v>2.2750131948174657E-2</v>
      </c>
      <c r="AV421" s="136">
        <f t="shared" si="100"/>
        <v>-2.0000000000000853</v>
      </c>
      <c r="AW421" s="136">
        <f t="shared" si="90"/>
        <v>5.3990966513178841E-2</v>
      </c>
      <c r="AX421" s="136" t="e">
        <f t="shared" si="91"/>
        <v>#N/A</v>
      </c>
      <c r="AY421" s="136">
        <f t="shared" si="92"/>
        <v>-2.0000100000000853</v>
      </c>
      <c r="AZ421" s="136">
        <f t="shared" si="93"/>
        <v>-1.9999900000000852</v>
      </c>
      <c r="BA421" s="136">
        <f t="shared" si="94"/>
        <v>9.1751029106457646E-2</v>
      </c>
      <c r="BB421" s="136">
        <f t="shared" si="95"/>
        <v>9.1752389934090406E-2</v>
      </c>
      <c r="BC421" s="136" t="e">
        <f t="shared" si="96"/>
        <v>#N/A</v>
      </c>
      <c r="BD421" s="136">
        <f t="shared" si="101"/>
        <v>5.3990966513178841E-2</v>
      </c>
      <c r="BE421" s="136">
        <f t="shared" si="97"/>
        <v>5.299096651317884E-2</v>
      </c>
      <c r="BF421" s="136" t="e">
        <f t="shared" si="98"/>
        <v>#N/A</v>
      </c>
      <c r="BG421" s="136" t="e">
        <f t="shared" si="99"/>
        <v>#N/A</v>
      </c>
    </row>
    <row r="422" spans="2:59" ht="11.25" customHeight="1">
      <c r="B422" s="321"/>
      <c r="C422" s="321"/>
      <c r="D422" s="321"/>
      <c r="E422" s="321"/>
      <c r="F422" s="321"/>
      <c r="G422" s="321"/>
      <c r="H422" s="321"/>
      <c r="I422" s="321"/>
      <c r="J422" s="321"/>
      <c r="K422" s="321"/>
      <c r="L422" s="321"/>
      <c r="M422" s="321"/>
      <c r="N422" s="321"/>
      <c r="O422" s="321"/>
      <c r="P422" s="321"/>
      <c r="Q422" s="321"/>
      <c r="R422" s="321"/>
      <c r="S422" s="321"/>
      <c r="T422" s="321"/>
      <c r="U422" s="321"/>
      <c r="V422" s="321"/>
      <c r="W422" s="321"/>
      <c r="X422" s="321"/>
      <c r="Y422" s="321"/>
      <c r="Z422" s="321"/>
      <c r="AA422" s="321"/>
      <c r="AB422" s="321"/>
      <c r="AC422" s="321"/>
      <c r="AD422" s="321"/>
      <c r="AE422" s="321"/>
      <c r="AF422" s="321"/>
      <c r="AG422" s="321"/>
      <c r="AH422" s="321"/>
      <c r="AI422" s="321"/>
      <c r="AJ422" s="321"/>
      <c r="AK422" s="321"/>
      <c r="AL422" s="321"/>
      <c r="AM422" s="321"/>
      <c r="AN422" s="321"/>
      <c r="AO422" s="321"/>
      <c r="AP422" s="427"/>
      <c r="AQ422" s="321"/>
      <c r="AR422" s="321"/>
      <c r="AS422" s="321"/>
      <c r="AT422" s="321"/>
      <c r="AU422" s="136">
        <f t="shared" si="89"/>
        <v>2.3295467750207188E-2</v>
      </c>
      <c r="AV422" s="136">
        <f t="shared" si="100"/>
        <v>-1.9900000000000853</v>
      </c>
      <c r="AW422" s="136">
        <f t="shared" si="90"/>
        <v>5.5078902372116413E-2</v>
      </c>
      <c r="AX422" s="136" t="e">
        <f t="shared" si="91"/>
        <v>#N/A</v>
      </c>
      <c r="AY422" s="136">
        <f t="shared" si="92"/>
        <v>-1.9900100000000853</v>
      </c>
      <c r="AZ422" s="136">
        <f t="shared" si="93"/>
        <v>-1.9899900000000852</v>
      </c>
      <c r="BA422" s="136">
        <f t="shared" si="94"/>
        <v>9.2434851417640171E-2</v>
      </c>
      <c r="BB422" s="136">
        <f t="shared" si="95"/>
        <v>9.2436225933246435E-2</v>
      </c>
      <c r="BC422" s="136" t="e">
        <f t="shared" si="96"/>
        <v>#N/A</v>
      </c>
      <c r="BD422" s="136">
        <f t="shared" si="101"/>
        <v>5.5078902372116413E-2</v>
      </c>
      <c r="BE422" s="136">
        <f t="shared" si="97"/>
        <v>5.4078902372116412E-2</v>
      </c>
      <c r="BF422" s="136" t="e">
        <f t="shared" si="98"/>
        <v>#N/A</v>
      </c>
      <c r="BG422" s="136" t="e">
        <f t="shared" si="99"/>
        <v>#N/A</v>
      </c>
    </row>
    <row r="423" spans="2:59" ht="11.25" customHeight="1">
      <c r="B423" s="321"/>
      <c r="C423" s="321"/>
      <c r="D423" s="321"/>
      <c r="E423" s="321"/>
      <c r="F423" s="321"/>
      <c r="G423" s="321"/>
      <c r="H423" s="321"/>
      <c r="I423" s="321"/>
      <c r="J423" s="321"/>
      <c r="K423" s="321"/>
      <c r="L423" s="321"/>
      <c r="M423" s="321"/>
      <c r="N423" s="321"/>
      <c r="O423" s="321"/>
      <c r="P423" s="321"/>
      <c r="Q423" s="321"/>
      <c r="R423" s="321"/>
      <c r="S423" s="321"/>
      <c r="T423" s="321"/>
      <c r="U423" s="321"/>
      <c r="V423" s="321"/>
      <c r="W423" s="321"/>
      <c r="X423" s="321"/>
      <c r="Y423" s="321"/>
      <c r="Z423" s="321"/>
      <c r="AA423" s="321"/>
      <c r="AB423" s="321"/>
      <c r="AC423" s="321"/>
      <c r="AD423" s="321"/>
      <c r="AE423" s="321"/>
      <c r="AF423" s="321"/>
      <c r="AG423" s="321"/>
      <c r="AH423" s="321"/>
      <c r="AI423" s="321"/>
      <c r="AJ423" s="321"/>
      <c r="AK423" s="321"/>
      <c r="AL423" s="321"/>
      <c r="AM423" s="321"/>
      <c r="AN423" s="321"/>
      <c r="AO423" s="321"/>
      <c r="AP423" s="427"/>
      <c r="AQ423" s="321"/>
      <c r="AR423" s="321"/>
      <c r="AS423" s="321"/>
      <c r="AT423" s="321"/>
      <c r="AU423" s="136">
        <f t="shared" si="89"/>
        <v>2.3851764341503712E-2</v>
      </c>
      <c r="AV423" s="136">
        <f t="shared" si="100"/>
        <v>-1.9800000000000852</v>
      </c>
      <c r="AW423" s="136">
        <f t="shared" si="90"/>
        <v>5.6183141903858549E-2</v>
      </c>
      <c r="AX423" s="136" t="e">
        <f t="shared" si="91"/>
        <v>#N/A</v>
      </c>
      <c r="AY423" s="136">
        <f t="shared" si="92"/>
        <v>-1.9800100000000853</v>
      </c>
      <c r="AZ423" s="136">
        <f t="shared" si="93"/>
        <v>-1.9799900000000852</v>
      </c>
      <c r="BA423" s="136">
        <f t="shared" si="94"/>
        <v>9.3125557721556021E-2</v>
      </c>
      <c r="BB423" s="136">
        <f t="shared" si="95"/>
        <v>9.3126946085798828E-2</v>
      </c>
      <c r="BC423" s="136" t="e">
        <f t="shared" si="96"/>
        <v>#N/A</v>
      </c>
      <c r="BD423" s="136">
        <f t="shared" si="101"/>
        <v>5.6183141903858549E-2</v>
      </c>
      <c r="BE423" s="136">
        <f t="shared" si="97"/>
        <v>5.5183141903858549E-2</v>
      </c>
      <c r="BF423" s="136" t="e">
        <f t="shared" si="98"/>
        <v>#N/A</v>
      </c>
      <c r="BG423" s="136" t="e">
        <f t="shared" si="99"/>
        <v>#N/A</v>
      </c>
    </row>
    <row r="424" spans="2:59" ht="11.25" customHeight="1">
      <c r="B424" s="321"/>
      <c r="C424" s="321"/>
      <c r="D424" s="321"/>
      <c r="E424" s="321"/>
      <c r="F424" s="321"/>
      <c r="G424" s="321"/>
      <c r="H424" s="321"/>
      <c r="I424" s="321"/>
      <c r="J424" s="321"/>
      <c r="K424" s="321"/>
      <c r="L424" s="321"/>
      <c r="M424" s="321"/>
      <c r="N424" s="321"/>
      <c r="O424" s="321"/>
      <c r="P424" s="321"/>
      <c r="Q424" s="321"/>
      <c r="R424" s="321"/>
      <c r="S424" s="321"/>
      <c r="T424" s="321"/>
      <c r="U424" s="321"/>
      <c r="V424" s="321"/>
      <c r="W424" s="321"/>
      <c r="X424" s="321"/>
      <c r="Y424" s="321"/>
      <c r="Z424" s="321"/>
      <c r="AA424" s="321"/>
      <c r="AB424" s="321"/>
      <c r="AC424" s="321"/>
      <c r="AD424" s="321"/>
      <c r="AE424" s="321"/>
      <c r="AF424" s="321"/>
      <c r="AG424" s="321"/>
      <c r="AH424" s="321"/>
      <c r="AI424" s="321"/>
      <c r="AJ424" s="321"/>
      <c r="AK424" s="321"/>
      <c r="AL424" s="321"/>
      <c r="AM424" s="321"/>
      <c r="AN424" s="321"/>
      <c r="AO424" s="321"/>
      <c r="AP424" s="427"/>
      <c r="AQ424" s="321"/>
      <c r="AR424" s="321"/>
      <c r="AS424" s="321"/>
      <c r="AT424" s="321"/>
      <c r="AU424" s="136">
        <f t="shared" si="89"/>
        <v>2.441918528021747E-2</v>
      </c>
      <c r="AV424" s="136">
        <f t="shared" si="100"/>
        <v>-1.9700000000000852</v>
      </c>
      <c r="AW424" s="136">
        <f t="shared" si="90"/>
        <v>5.73037889191075E-2</v>
      </c>
      <c r="AX424" s="136" t="e">
        <f t="shared" si="91"/>
        <v>#N/A</v>
      </c>
      <c r="AY424" s="136">
        <f t="shared" si="92"/>
        <v>-1.9700100000000853</v>
      </c>
      <c r="AZ424" s="136">
        <f t="shared" si="93"/>
        <v>-1.9699900000000852</v>
      </c>
      <c r="BA424" s="136">
        <f t="shared" si="94"/>
        <v>9.3823228826956553E-2</v>
      </c>
      <c r="BB424" s="136">
        <f t="shared" si="95"/>
        <v>9.3824631202414632E-2</v>
      </c>
      <c r="BC424" s="136" t="e">
        <f t="shared" si="96"/>
        <v>#N/A</v>
      </c>
      <c r="BD424" s="136">
        <f t="shared" si="101"/>
        <v>5.73037889191075E-2</v>
      </c>
      <c r="BE424" s="136">
        <f t="shared" si="97"/>
        <v>5.6303788919107499E-2</v>
      </c>
      <c r="BF424" s="136" t="e">
        <f t="shared" si="98"/>
        <v>#N/A</v>
      </c>
      <c r="BG424" s="136" t="e">
        <f t="shared" si="99"/>
        <v>#N/A</v>
      </c>
    </row>
    <row r="425" spans="2:59" ht="11.25" customHeight="1">
      <c r="B425" s="321"/>
      <c r="C425" s="321"/>
      <c r="D425" s="321"/>
      <c r="E425" s="321"/>
      <c r="F425" s="321"/>
      <c r="G425" s="321"/>
      <c r="H425" s="321"/>
      <c r="I425" s="321"/>
      <c r="J425" s="321"/>
      <c r="K425" s="321"/>
      <c r="L425" s="321"/>
      <c r="M425" s="321"/>
      <c r="N425" s="321"/>
      <c r="O425" s="321"/>
      <c r="P425" s="321"/>
      <c r="Q425" s="321"/>
      <c r="R425" s="321"/>
      <c r="S425" s="321"/>
      <c r="T425" s="321"/>
      <c r="U425" s="321"/>
      <c r="V425" s="321"/>
      <c r="W425" s="321"/>
      <c r="X425" s="321"/>
      <c r="Y425" s="321"/>
      <c r="Z425" s="321"/>
      <c r="AA425" s="321"/>
      <c r="AB425" s="321"/>
      <c r="AC425" s="321"/>
      <c r="AD425" s="321"/>
      <c r="AE425" s="321"/>
      <c r="AF425" s="321"/>
      <c r="AG425" s="321"/>
      <c r="AH425" s="321"/>
      <c r="AI425" s="321"/>
      <c r="AJ425" s="321"/>
      <c r="AK425" s="321"/>
      <c r="AL425" s="321"/>
      <c r="AM425" s="321"/>
      <c r="AN425" s="321"/>
      <c r="AO425" s="321"/>
      <c r="AP425" s="427"/>
      <c r="AQ425" s="321"/>
      <c r="AR425" s="321"/>
      <c r="AS425" s="321"/>
      <c r="AT425" s="321"/>
      <c r="AU425" s="136">
        <f t="shared" si="89"/>
        <v>2.4997895148215488E-2</v>
      </c>
      <c r="AV425" s="136">
        <f t="shared" si="100"/>
        <v>-1.9600000000000852</v>
      </c>
      <c r="AW425" s="136">
        <f t="shared" si="90"/>
        <v>5.8440944333441699E-2</v>
      </c>
      <c r="AX425" s="136" t="e">
        <f t="shared" si="91"/>
        <v>#N/A</v>
      </c>
      <c r="AY425" s="136">
        <f t="shared" si="92"/>
        <v>-1.9600100000000853</v>
      </c>
      <c r="AZ425" s="136">
        <f t="shared" si="93"/>
        <v>-1.9599900000000852</v>
      </c>
      <c r="BA425" s="136">
        <f t="shared" si="94"/>
        <v>9.4527946504457117E-2</v>
      </c>
      <c r="BB425" s="136">
        <f t="shared" si="95"/>
        <v>9.452936305564083E-2</v>
      </c>
      <c r="BC425" s="136" t="e">
        <f t="shared" si="96"/>
        <v>#N/A</v>
      </c>
      <c r="BD425" s="136" t="e">
        <f t="shared" si="101"/>
        <v>#N/A</v>
      </c>
      <c r="BE425" s="136" t="e">
        <f t="shared" si="97"/>
        <v>#N/A</v>
      </c>
      <c r="BF425" s="136" t="e">
        <f t="shared" si="98"/>
        <v>#N/A</v>
      </c>
      <c r="BG425" s="136" t="e">
        <f t="shared" si="99"/>
        <v>#N/A</v>
      </c>
    </row>
    <row r="426" spans="2:59" ht="11.25" customHeight="1">
      <c r="B426" s="321"/>
      <c r="C426" s="321"/>
      <c r="D426" s="321"/>
      <c r="E426" s="321"/>
      <c r="F426" s="321"/>
      <c r="G426" s="321"/>
      <c r="H426" s="321"/>
      <c r="I426" s="321"/>
      <c r="J426" s="321"/>
      <c r="K426" s="321"/>
      <c r="L426" s="321"/>
      <c r="M426" s="321"/>
      <c r="N426" s="321"/>
      <c r="O426" s="321"/>
      <c r="P426" s="321"/>
      <c r="Q426" s="321"/>
      <c r="R426" s="321"/>
      <c r="S426" s="321"/>
      <c r="T426" s="321"/>
      <c r="U426" s="321"/>
      <c r="V426" s="321"/>
      <c r="W426" s="321"/>
      <c r="X426" s="321"/>
      <c r="Y426" s="321"/>
      <c r="Z426" s="321"/>
      <c r="AA426" s="321"/>
      <c r="AB426" s="321"/>
      <c r="AC426" s="321"/>
      <c r="AD426" s="321"/>
      <c r="AE426" s="321"/>
      <c r="AF426" s="321"/>
      <c r="AG426" s="321"/>
      <c r="AH426" s="321"/>
      <c r="AI426" s="321"/>
      <c r="AJ426" s="321"/>
      <c r="AK426" s="321"/>
      <c r="AL426" s="321"/>
      <c r="AM426" s="321"/>
      <c r="AN426" s="321"/>
      <c r="AO426" s="321"/>
      <c r="AP426" s="427"/>
      <c r="AQ426" s="321"/>
      <c r="AR426" s="321"/>
      <c r="AS426" s="321"/>
      <c r="AT426" s="321"/>
      <c r="AU426" s="136">
        <f t="shared" si="89"/>
        <v>2.5588059521633677E-2</v>
      </c>
      <c r="AV426" s="136">
        <f t="shared" si="100"/>
        <v>-1.9500000000000852</v>
      </c>
      <c r="AW426" s="136">
        <f t="shared" si="90"/>
        <v>5.9594706068806159E-2</v>
      </c>
      <c r="AX426" s="136" t="e">
        <f t="shared" si="91"/>
        <v>#N/A</v>
      </c>
      <c r="AY426" s="136">
        <f t="shared" si="92"/>
        <v>-1.9500100000000853</v>
      </c>
      <c r="AZ426" s="136">
        <f t="shared" si="93"/>
        <v>-1.9499900000000852</v>
      </c>
      <c r="BA426" s="136">
        <f t="shared" si="94"/>
        <v>9.5239793494848374E-2</v>
      </c>
      <c r="BB426" s="136">
        <f t="shared" si="95"/>
        <v>9.5241224388216958E-2</v>
      </c>
      <c r="BC426" s="136" t="e">
        <f t="shared" si="96"/>
        <v>#N/A</v>
      </c>
      <c r="BD426" s="136" t="e">
        <f t="shared" si="101"/>
        <v>#N/A</v>
      </c>
      <c r="BE426" s="136" t="e">
        <f t="shared" si="97"/>
        <v>#N/A</v>
      </c>
      <c r="BF426" s="136" t="e">
        <f t="shared" si="98"/>
        <v>#N/A</v>
      </c>
      <c r="BG426" s="136" t="e">
        <f t="shared" si="99"/>
        <v>#N/A</v>
      </c>
    </row>
    <row r="427" spans="2:59" ht="11.25" customHeight="1">
      <c r="B427" s="321"/>
      <c r="C427" s="321"/>
      <c r="D427" s="321"/>
      <c r="E427" s="321"/>
      <c r="F427" s="321"/>
      <c r="G427" s="321"/>
      <c r="H427" s="321"/>
      <c r="I427" s="321"/>
      <c r="J427" s="321"/>
      <c r="K427" s="321"/>
      <c r="L427" s="321"/>
      <c r="M427" s="321"/>
      <c r="N427" s="321"/>
      <c r="O427" s="321"/>
      <c r="P427" s="321"/>
      <c r="Q427" s="321"/>
      <c r="R427" s="321"/>
      <c r="S427" s="321"/>
      <c r="T427" s="321"/>
      <c r="U427" s="321"/>
      <c r="V427" s="321"/>
      <c r="W427" s="321"/>
      <c r="X427" s="321"/>
      <c r="Y427" s="321"/>
      <c r="Z427" s="321"/>
      <c r="AA427" s="321"/>
      <c r="AB427" s="321"/>
      <c r="AC427" s="321"/>
      <c r="AD427" s="321"/>
      <c r="AE427" s="321"/>
      <c r="AF427" s="321"/>
      <c r="AG427" s="321"/>
      <c r="AH427" s="321"/>
      <c r="AI427" s="321"/>
      <c r="AJ427" s="321"/>
      <c r="AK427" s="321"/>
      <c r="AL427" s="321"/>
      <c r="AM427" s="321"/>
      <c r="AN427" s="321"/>
      <c r="AO427" s="321"/>
      <c r="AP427" s="427"/>
      <c r="AQ427" s="321"/>
      <c r="AR427" s="321"/>
      <c r="AS427" s="321"/>
      <c r="AT427" s="321"/>
      <c r="AU427" s="136">
        <f t="shared" si="89"/>
        <v>2.6189844940447404E-2</v>
      </c>
      <c r="AV427" s="136">
        <f t="shared" si="100"/>
        <v>-1.9400000000000852</v>
      </c>
      <c r="AW427" s="136">
        <f t="shared" si="90"/>
        <v>6.0765168954554728E-2</v>
      </c>
      <c r="AX427" s="136" t="e">
        <f t="shared" si="91"/>
        <v>#N/A</v>
      </c>
      <c r="AY427" s="136">
        <f t="shared" si="92"/>
        <v>-1.9400100000000853</v>
      </c>
      <c r="AZ427" s="136">
        <f t="shared" si="93"/>
        <v>-1.9399900000000851</v>
      </c>
      <c r="BA427" s="136">
        <f t="shared" si="94"/>
        <v>9.595885351731849E-2</v>
      </c>
      <c r="BB427" s="136">
        <f t="shared" si="95"/>
        <v>9.5960298921296122E-2</v>
      </c>
      <c r="BC427" s="136" t="e">
        <f t="shared" si="96"/>
        <v>#N/A</v>
      </c>
      <c r="BD427" s="136" t="e">
        <f t="shared" si="101"/>
        <v>#N/A</v>
      </c>
      <c r="BE427" s="136" t="e">
        <f t="shared" si="97"/>
        <v>#N/A</v>
      </c>
      <c r="BF427" s="136" t="e">
        <f t="shared" si="98"/>
        <v>#N/A</v>
      </c>
      <c r="BG427" s="136" t="e">
        <f t="shared" si="99"/>
        <v>#N/A</v>
      </c>
    </row>
    <row r="428" spans="2:59" ht="11.25" customHeight="1">
      <c r="B428" s="321"/>
      <c r="C428" s="321"/>
      <c r="D428" s="321"/>
      <c r="E428" s="321"/>
      <c r="F428" s="321"/>
      <c r="G428" s="321"/>
      <c r="H428" s="321"/>
      <c r="I428" s="321"/>
      <c r="J428" s="321"/>
      <c r="K428" s="321"/>
      <c r="L428" s="321"/>
      <c r="M428" s="321"/>
      <c r="N428" s="321"/>
      <c r="O428" s="321"/>
      <c r="P428" s="321"/>
      <c r="Q428" s="321"/>
      <c r="R428" s="321"/>
      <c r="S428" s="321"/>
      <c r="T428" s="321"/>
      <c r="U428" s="321"/>
      <c r="V428" s="321"/>
      <c r="W428" s="321"/>
      <c r="X428" s="321"/>
      <c r="Y428" s="321"/>
      <c r="Z428" s="321"/>
      <c r="AA428" s="321"/>
      <c r="AB428" s="321"/>
      <c r="AC428" s="321"/>
      <c r="AD428" s="321"/>
      <c r="AE428" s="321"/>
      <c r="AF428" s="321"/>
      <c r="AG428" s="321"/>
      <c r="AH428" s="321"/>
      <c r="AI428" s="321"/>
      <c r="AJ428" s="321"/>
      <c r="AK428" s="321"/>
      <c r="AL428" s="321"/>
      <c r="AM428" s="321"/>
      <c r="AN428" s="321"/>
      <c r="AO428" s="321"/>
      <c r="AP428" s="427"/>
      <c r="AQ428" s="321"/>
      <c r="AR428" s="321"/>
      <c r="AS428" s="321"/>
      <c r="AT428" s="321"/>
      <c r="AU428" s="136">
        <f t="shared" si="89"/>
        <v>2.6803418877049623E-2</v>
      </c>
      <c r="AV428" s="136">
        <f t="shared" si="100"/>
        <v>-1.9300000000000852</v>
      </c>
      <c r="AW428" s="136">
        <f t="shared" si="90"/>
        <v>6.1952424628094964E-2</v>
      </c>
      <c r="AX428" s="136" t="e">
        <f t="shared" si="91"/>
        <v>#N/A</v>
      </c>
      <c r="AY428" s="136">
        <f t="shared" si="92"/>
        <v>-1.9300100000000853</v>
      </c>
      <c r="AZ428" s="136">
        <f t="shared" si="93"/>
        <v>-1.9299900000000851</v>
      </c>
      <c r="BA428" s="136">
        <f t="shared" si="94"/>
        <v>9.6685211277573777E-2</v>
      </c>
      <c r="BB428" s="136">
        <f t="shared" si="95"/>
        <v>9.668667136256591E-2</v>
      </c>
      <c r="BC428" s="136" t="e">
        <f t="shared" si="96"/>
        <v>#N/A</v>
      </c>
      <c r="BD428" s="136" t="e">
        <f t="shared" si="101"/>
        <v>#N/A</v>
      </c>
      <c r="BE428" s="136" t="e">
        <f t="shared" si="97"/>
        <v>#N/A</v>
      </c>
      <c r="BF428" s="136" t="e">
        <f t="shared" si="98"/>
        <v>#N/A</v>
      </c>
      <c r="BG428" s="136" t="e">
        <f t="shared" si="99"/>
        <v>#N/A</v>
      </c>
    </row>
    <row r="429" spans="2:59" ht="11.25" customHeight="1">
      <c r="B429" s="321"/>
      <c r="C429" s="321"/>
      <c r="D429" s="321"/>
      <c r="E429" s="321"/>
      <c r="F429" s="321"/>
      <c r="G429" s="321"/>
      <c r="H429" s="321"/>
      <c r="I429" s="321"/>
      <c r="J429" s="321"/>
      <c r="K429" s="321"/>
      <c r="L429" s="321"/>
      <c r="M429" s="321"/>
      <c r="N429" s="321"/>
      <c r="O429" s="321"/>
      <c r="P429" s="321"/>
      <c r="Q429" s="321"/>
      <c r="R429" s="321"/>
      <c r="S429" s="321"/>
      <c r="T429" s="321"/>
      <c r="U429" s="321"/>
      <c r="V429" s="321"/>
      <c r="W429" s="321"/>
      <c r="X429" s="321"/>
      <c r="Y429" s="321"/>
      <c r="Z429" s="321"/>
      <c r="AA429" s="321"/>
      <c r="AB429" s="321"/>
      <c r="AC429" s="321"/>
      <c r="AD429" s="321"/>
      <c r="AE429" s="321"/>
      <c r="AF429" s="321"/>
      <c r="AG429" s="321"/>
      <c r="AH429" s="321"/>
      <c r="AI429" s="321"/>
      <c r="AJ429" s="321"/>
      <c r="AK429" s="321"/>
      <c r="AL429" s="321"/>
      <c r="AM429" s="321"/>
      <c r="AN429" s="321"/>
      <c r="AO429" s="321"/>
      <c r="AP429" s="427"/>
      <c r="AQ429" s="321"/>
      <c r="AR429" s="321"/>
      <c r="AS429" s="321"/>
      <c r="AT429" s="321"/>
      <c r="AU429" s="136">
        <f t="shared" si="89"/>
        <v>2.7428949703831362E-2</v>
      </c>
      <c r="AV429" s="136">
        <f t="shared" si="100"/>
        <v>-1.9200000000000852</v>
      </c>
      <c r="AW429" s="136">
        <f t="shared" si="90"/>
        <v>6.3156561435188302E-2</v>
      </c>
      <c r="AX429" s="136" t="e">
        <f t="shared" si="91"/>
        <v>#N/A</v>
      </c>
      <c r="AY429" s="136">
        <f t="shared" si="92"/>
        <v>-1.9200100000000853</v>
      </c>
      <c r="AZ429" s="136">
        <f t="shared" si="93"/>
        <v>-1.9199900000000851</v>
      </c>
      <c r="BA429" s="136">
        <f t="shared" si="94"/>
        <v>9.7418952475849641E-2</v>
      </c>
      <c r="BB429" s="136">
        <f t="shared" si="95"/>
        <v>9.7420427414258312E-2</v>
      </c>
      <c r="BC429" s="136" t="e">
        <f t="shared" si="96"/>
        <v>#N/A</v>
      </c>
      <c r="BD429" s="136" t="e">
        <f t="shared" si="101"/>
        <v>#N/A</v>
      </c>
      <c r="BE429" s="136" t="e">
        <f t="shared" si="97"/>
        <v>#N/A</v>
      </c>
      <c r="BF429" s="136" t="e">
        <f t="shared" si="98"/>
        <v>#N/A</v>
      </c>
      <c r="BG429" s="136" t="e">
        <f t="shared" si="99"/>
        <v>#N/A</v>
      </c>
    </row>
    <row r="430" spans="2:59" ht="11.25" customHeight="1">
      <c r="B430" s="321"/>
      <c r="C430" s="321"/>
      <c r="D430" s="321"/>
      <c r="E430" s="321"/>
      <c r="F430" s="321"/>
      <c r="G430" s="321"/>
      <c r="H430" s="321"/>
      <c r="I430" s="321"/>
      <c r="J430" s="321"/>
      <c r="K430" s="321"/>
      <c r="L430" s="321"/>
      <c r="M430" s="321"/>
      <c r="N430" s="321"/>
      <c r="O430" s="321"/>
      <c r="P430" s="321"/>
      <c r="Q430" s="321"/>
      <c r="R430" s="321"/>
      <c r="S430" s="321"/>
      <c r="T430" s="321"/>
      <c r="U430" s="321"/>
      <c r="V430" s="321"/>
      <c r="W430" s="321"/>
      <c r="X430" s="321"/>
      <c r="Y430" s="321"/>
      <c r="Z430" s="321"/>
      <c r="AA430" s="321"/>
      <c r="AB430" s="321"/>
      <c r="AC430" s="321"/>
      <c r="AD430" s="321"/>
      <c r="AE430" s="321"/>
      <c r="AF430" s="321"/>
      <c r="AG430" s="321"/>
      <c r="AH430" s="321"/>
      <c r="AI430" s="321"/>
      <c r="AJ430" s="321"/>
      <c r="AK430" s="321"/>
      <c r="AL430" s="321"/>
      <c r="AM430" s="321"/>
      <c r="AN430" s="321"/>
      <c r="AO430" s="321"/>
      <c r="AP430" s="427"/>
      <c r="AQ430" s="321"/>
      <c r="AR430" s="321"/>
      <c r="AS430" s="321"/>
      <c r="AT430" s="321"/>
      <c r="AU430" s="136">
        <f t="shared" si="89"/>
        <v>2.8066606659767235E-2</v>
      </c>
      <c r="AV430" s="136">
        <f t="shared" si="100"/>
        <v>-1.9100000000000852</v>
      </c>
      <c r="AW430" s="136">
        <f t="shared" si="90"/>
        <v>6.4377664329958867E-2</v>
      </c>
      <c r="AX430" s="136" t="e">
        <f t="shared" si="91"/>
        <v>#N/A</v>
      </c>
      <c r="AY430" s="136">
        <f t="shared" si="92"/>
        <v>-1.9100100000000853</v>
      </c>
      <c r="AZ430" s="136">
        <f t="shared" si="93"/>
        <v>-1.9099900000000851</v>
      </c>
      <c r="BA430" s="136">
        <f t="shared" si="94"/>
        <v>9.8160163814801693E-2</v>
      </c>
      <c r="BB430" s="136">
        <f t="shared" si="95"/>
        <v>9.816165378104201E-2</v>
      </c>
      <c r="BC430" s="136" t="e">
        <f t="shared" si="96"/>
        <v>#N/A</v>
      </c>
      <c r="BD430" s="136" t="e">
        <f t="shared" si="101"/>
        <v>#N/A</v>
      </c>
      <c r="BE430" s="136" t="e">
        <f t="shared" si="97"/>
        <v>#N/A</v>
      </c>
      <c r="BF430" s="136" t="e">
        <f t="shared" si="98"/>
        <v>#N/A</v>
      </c>
      <c r="BG430" s="136" t="e">
        <f t="shared" si="99"/>
        <v>#N/A</v>
      </c>
    </row>
    <row r="431" spans="2:59" ht="11.25" customHeight="1">
      <c r="B431" s="321"/>
      <c r="C431" s="321"/>
      <c r="D431" s="321"/>
      <c r="E431" s="321"/>
      <c r="F431" s="321"/>
      <c r="G431" s="321"/>
      <c r="H431" s="321"/>
      <c r="I431" s="321"/>
      <c r="J431" s="321"/>
      <c r="K431" s="321"/>
      <c r="L431" s="321"/>
      <c r="M431" s="321"/>
      <c r="N431" s="321"/>
      <c r="O431" s="321"/>
      <c r="P431" s="321"/>
      <c r="Q431" s="321"/>
      <c r="R431" s="321"/>
      <c r="S431" s="321"/>
      <c r="T431" s="321"/>
      <c r="U431" s="321"/>
      <c r="V431" s="321"/>
      <c r="W431" s="321"/>
      <c r="X431" s="321"/>
      <c r="Y431" s="321"/>
      <c r="Z431" s="321"/>
      <c r="AA431" s="321"/>
      <c r="AB431" s="321"/>
      <c r="AC431" s="321"/>
      <c r="AD431" s="321"/>
      <c r="AE431" s="321"/>
      <c r="AF431" s="321"/>
      <c r="AG431" s="321"/>
      <c r="AH431" s="321"/>
      <c r="AI431" s="321"/>
      <c r="AJ431" s="321"/>
      <c r="AK431" s="321"/>
      <c r="AL431" s="321"/>
      <c r="AM431" s="321"/>
      <c r="AN431" s="321"/>
      <c r="AO431" s="321"/>
      <c r="AP431" s="427"/>
      <c r="AQ431" s="321"/>
      <c r="AR431" s="321"/>
      <c r="AS431" s="321"/>
      <c r="AT431" s="321"/>
      <c r="AU431" s="136">
        <f t="shared" si="89"/>
        <v>2.8716559815996412E-2</v>
      </c>
      <c r="AV431" s="136">
        <f t="shared" si="100"/>
        <v>-1.9000000000000852</v>
      </c>
      <c r="AW431" s="136">
        <f t="shared" si="90"/>
        <v>6.5615814774665965E-2</v>
      </c>
      <c r="AX431" s="136" t="e">
        <f t="shared" si="91"/>
        <v>#N/A</v>
      </c>
      <c r="AY431" s="136">
        <f t="shared" si="92"/>
        <v>-1.9000100000000852</v>
      </c>
      <c r="AZ431" s="136">
        <f t="shared" si="93"/>
        <v>-1.8999900000000851</v>
      </c>
      <c r="BA431" s="136">
        <f t="shared" si="94"/>
        <v>9.890893300726758E-2</v>
      </c>
      <c r="BB431" s="136">
        <f t="shared" si="95"/>
        <v>9.8910438177782514E-2</v>
      </c>
      <c r="BC431" s="136" t="e">
        <f t="shared" si="96"/>
        <v>#N/A</v>
      </c>
      <c r="BD431" s="136" t="e">
        <f t="shared" si="101"/>
        <v>#N/A</v>
      </c>
      <c r="BE431" s="136" t="e">
        <f t="shared" si="97"/>
        <v>#N/A</v>
      </c>
      <c r="BF431" s="136" t="e">
        <f t="shared" si="98"/>
        <v>#N/A</v>
      </c>
      <c r="BG431" s="136" t="e">
        <f t="shared" si="99"/>
        <v>#N/A</v>
      </c>
    </row>
    <row r="432" spans="2:59" ht="11.25" customHeight="1">
      <c r="B432" s="321"/>
      <c r="C432" s="321"/>
      <c r="D432" s="321"/>
      <c r="E432" s="321"/>
      <c r="F432" s="321"/>
      <c r="G432" s="321"/>
      <c r="H432" s="321"/>
      <c r="I432" s="321"/>
      <c r="J432" s="321"/>
      <c r="K432" s="321"/>
      <c r="L432" s="321"/>
      <c r="M432" s="321"/>
      <c r="N432" s="321"/>
      <c r="O432" s="321"/>
      <c r="P432" s="321"/>
      <c r="Q432" s="321"/>
      <c r="R432" s="321"/>
      <c r="S432" s="321"/>
      <c r="T432" s="321"/>
      <c r="U432" s="321"/>
      <c r="V432" s="321"/>
      <c r="W432" s="321"/>
      <c r="X432" s="321"/>
      <c r="Y432" s="321"/>
      <c r="Z432" s="321"/>
      <c r="AA432" s="321"/>
      <c r="AB432" s="321"/>
      <c r="AC432" s="321"/>
      <c r="AD432" s="321"/>
      <c r="AE432" s="321"/>
      <c r="AF432" s="321"/>
      <c r="AG432" s="321"/>
      <c r="AH432" s="321"/>
      <c r="AI432" s="321"/>
      <c r="AJ432" s="321"/>
      <c r="AK432" s="321"/>
      <c r="AL432" s="321"/>
      <c r="AM432" s="321"/>
      <c r="AN432" s="321"/>
      <c r="AO432" s="321"/>
      <c r="AP432" s="427"/>
      <c r="AQ432" s="321"/>
      <c r="AR432" s="321"/>
      <c r="AS432" s="321"/>
      <c r="AT432" s="321"/>
      <c r="AU432" s="136">
        <f t="shared" si="89"/>
        <v>2.9378980040403735E-2</v>
      </c>
      <c r="AV432" s="136">
        <f t="shared" si="100"/>
        <v>-1.8900000000000852</v>
      </c>
      <c r="AW432" s="136">
        <f t="shared" si="90"/>
        <v>6.6871090639296388E-2</v>
      </c>
      <c r="AX432" s="136" t="e">
        <f t="shared" si="91"/>
        <v>#N/A</v>
      </c>
      <c r="AY432" s="136">
        <f t="shared" si="92"/>
        <v>-1.8900100000000852</v>
      </c>
      <c r="AZ432" s="136">
        <f t="shared" si="93"/>
        <v>-1.8899900000000851</v>
      </c>
      <c r="BA432" s="136">
        <f t="shared" si="94"/>
        <v>9.9665348783886998E-2</v>
      </c>
      <c r="BB432" s="136">
        <f t="shared" si="95"/>
        <v>9.9666869337162664E-2</v>
      </c>
      <c r="BC432" s="136" t="e">
        <f t="shared" si="96"/>
        <v>#N/A</v>
      </c>
      <c r="BD432" s="136" t="e">
        <f t="shared" si="101"/>
        <v>#N/A</v>
      </c>
      <c r="BE432" s="136" t="e">
        <f t="shared" si="97"/>
        <v>#N/A</v>
      </c>
      <c r="BF432" s="136" t="e">
        <f t="shared" si="98"/>
        <v>#N/A</v>
      </c>
      <c r="BG432" s="136" t="e">
        <f t="shared" si="99"/>
        <v>#N/A</v>
      </c>
    </row>
    <row r="433" spans="2:59" ht="11.25" customHeight="1">
      <c r="B433" s="321"/>
      <c r="C433" s="321"/>
      <c r="D433" s="321"/>
      <c r="E433" s="321"/>
      <c r="F433" s="321"/>
      <c r="G433" s="321"/>
      <c r="H433" s="321"/>
      <c r="I433" s="321"/>
      <c r="J433" s="321"/>
      <c r="K433" s="321"/>
      <c r="L433" s="321"/>
      <c r="M433" s="321"/>
      <c r="N433" s="321"/>
      <c r="O433" s="321"/>
      <c r="P433" s="321"/>
      <c r="Q433" s="321"/>
      <c r="R433" s="321"/>
      <c r="S433" s="321"/>
      <c r="T433" s="321"/>
      <c r="U433" s="321"/>
      <c r="V433" s="321"/>
      <c r="W433" s="321"/>
      <c r="X433" s="321"/>
      <c r="Y433" s="321"/>
      <c r="Z433" s="321"/>
      <c r="AA433" s="321"/>
      <c r="AB433" s="321"/>
      <c r="AC433" s="321"/>
      <c r="AD433" s="321"/>
      <c r="AE433" s="321"/>
      <c r="AF433" s="321"/>
      <c r="AG433" s="321"/>
      <c r="AH433" s="321"/>
      <c r="AI433" s="321"/>
      <c r="AJ433" s="321"/>
      <c r="AK433" s="321"/>
      <c r="AL433" s="321"/>
      <c r="AM433" s="321"/>
      <c r="AN433" s="321"/>
      <c r="AO433" s="321"/>
      <c r="AP433" s="427"/>
      <c r="AQ433" s="321"/>
      <c r="AR433" s="321"/>
      <c r="AS433" s="321"/>
      <c r="AT433" s="321"/>
      <c r="AU433" s="136">
        <f t="shared" si="89"/>
        <v>3.0054038961193852E-2</v>
      </c>
      <c r="AV433" s="136">
        <f t="shared" si="100"/>
        <v>-1.8800000000000852</v>
      </c>
      <c r="AW433" s="136">
        <f t="shared" si="90"/>
        <v>6.8143566101033642E-2</v>
      </c>
      <c r="AX433" s="136" t="e">
        <f t="shared" si="91"/>
        <v>#N/A</v>
      </c>
      <c r="AY433" s="136">
        <f t="shared" si="92"/>
        <v>-1.8800100000000852</v>
      </c>
      <c r="AZ433" s="136">
        <f t="shared" si="93"/>
        <v>-1.8799900000000851</v>
      </c>
      <c r="BA433" s="136">
        <f t="shared" si="94"/>
        <v>0.10042950090057065</v>
      </c>
      <c r="BB433" s="136">
        <f t="shared" si="95"/>
        <v>0.10043103701715116</v>
      </c>
      <c r="BC433" s="136" t="e">
        <f t="shared" si="96"/>
        <v>#N/A</v>
      </c>
      <c r="BD433" s="136" t="e">
        <f t="shared" si="101"/>
        <v>#N/A</v>
      </c>
      <c r="BE433" s="136" t="e">
        <f t="shared" si="97"/>
        <v>#N/A</v>
      </c>
      <c r="BF433" s="136" t="e">
        <f t="shared" si="98"/>
        <v>#N/A</v>
      </c>
      <c r="BG433" s="136" t="e">
        <f t="shared" si="99"/>
        <v>#N/A</v>
      </c>
    </row>
    <row r="434" spans="2:59" ht="11.25" customHeight="1">
      <c r="B434" s="321"/>
      <c r="C434" s="321"/>
      <c r="D434" s="321"/>
      <c r="E434" s="321"/>
      <c r="F434" s="321"/>
      <c r="G434" s="321"/>
      <c r="H434" s="321"/>
      <c r="I434" s="321"/>
      <c r="J434" s="321"/>
      <c r="K434" s="321"/>
      <c r="L434" s="321"/>
      <c r="M434" s="321"/>
      <c r="N434" s="321"/>
      <c r="O434" s="321"/>
      <c r="P434" s="321"/>
      <c r="Q434" s="321"/>
      <c r="R434" s="321"/>
      <c r="S434" s="321"/>
      <c r="T434" s="321"/>
      <c r="U434" s="321"/>
      <c r="V434" s="321"/>
      <c r="W434" s="321"/>
      <c r="X434" s="321"/>
      <c r="Y434" s="321"/>
      <c r="Z434" s="321"/>
      <c r="AA434" s="321"/>
      <c r="AB434" s="321"/>
      <c r="AC434" s="321"/>
      <c r="AD434" s="321"/>
      <c r="AE434" s="321"/>
      <c r="AF434" s="321"/>
      <c r="AG434" s="321"/>
      <c r="AH434" s="321"/>
      <c r="AI434" s="321"/>
      <c r="AJ434" s="321"/>
      <c r="AK434" s="321"/>
      <c r="AL434" s="321"/>
      <c r="AM434" s="321"/>
      <c r="AN434" s="321"/>
      <c r="AO434" s="321"/>
      <c r="AP434" s="427"/>
      <c r="AQ434" s="321"/>
      <c r="AR434" s="321"/>
      <c r="AS434" s="321"/>
      <c r="AT434" s="321"/>
      <c r="AU434" s="136">
        <f t="shared" si="89"/>
        <v>3.0741908929460049E-2</v>
      </c>
      <c r="AV434" s="136">
        <f t="shared" si="100"/>
        <v>-1.8700000000000851</v>
      </c>
      <c r="AW434" s="136">
        <f t="shared" si="90"/>
        <v>6.9433311543663126E-2</v>
      </c>
      <c r="AX434" s="136" t="e">
        <f t="shared" si="91"/>
        <v>#N/A</v>
      </c>
      <c r="AY434" s="136">
        <f t="shared" si="92"/>
        <v>-1.8700100000000852</v>
      </c>
      <c r="AZ434" s="136">
        <f t="shared" si="93"/>
        <v>-1.8699900000000851</v>
      </c>
      <c r="BA434" s="136">
        <f t="shared" si="94"/>
        <v>0.10120148014580582</v>
      </c>
      <c r="BB434" s="136">
        <f t="shared" si="95"/>
        <v>0.10120303200830755</v>
      </c>
      <c r="BC434" s="136" t="e">
        <f t="shared" si="96"/>
        <v>#N/A</v>
      </c>
      <c r="BD434" s="136" t="e">
        <f t="shared" si="101"/>
        <v>#N/A</v>
      </c>
      <c r="BE434" s="136" t="e">
        <f t="shared" si="97"/>
        <v>#N/A</v>
      </c>
      <c r="BF434" s="136" t="e">
        <f t="shared" si="98"/>
        <v>#N/A</v>
      </c>
      <c r="BG434" s="136" t="e">
        <f t="shared" si="99"/>
        <v>#N/A</v>
      </c>
    </row>
    <row r="435" spans="2:59" ht="11.25" customHeight="1">
      <c r="B435" s="321"/>
      <c r="C435" s="321"/>
      <c r="D435" s="321"/>
      <c r="E435" s="321"/>
      <c r="F435" s="321"/>
      <c r="G435" s="321"/>
      <c r="H435" s="321"/>
      <c r="I435" s="321"/>
      <c r="J435" s="321"/>
      <c r="K435" s="321"/>
      <c r="L435" s="321"/>
      <c r="M435" s="321"/>
      <c r="N435" s="321"/>
      <c r="O435" s="321"/>
      <c r="P435" s="321"/>
      <c r="Q435" s="321"/>
      <c r="R435" s="321"/>
      <c r="S435" s="321"/>
      <c r="T435" s="321"/>
      <c r="U435" s="321"/>
      <c r="V435" s="321"/>
      <c r="W435" s="321"/>
      <c r="X435" s="321"/>
      <c r="Y435" s="321"/>
      <c r="Z435" s="321"/>
      <c r="AA435" s="321"/>
      <c r="AB435" s="321"/>
      <c r="AC435" s="321"/>
      <c r="AD435" s="321"/>
      <c r="AE435" s="321"/>
      <c r="AF435" s="321"/>
      <c r="AG435" s="321"/>
      <c r="AH435" s="321"/>
      <c r="AI435" s="321"/>
      <c r="AJ435" s="321"/>
      <c r="AK435" s="321"/>
      <c r="AL435" s="321"/>
      <c r="AM435" s="321"/>
      <c r="AN435" s="321"/>
      <c r="AO435" s="321"/>
      <c r="AP435" s="427"/>
      <c r="AQ435" s="321"/>
      <c r="AR435" s="321"/>
      <c r="AS435" s="321"/>
      <c r="AT435" s="321"/>
      <c r="AU435" s="136">
        <f t="shared" si="89"/>
        <v>3.1442762980746553E-2</v>
      </c>
      <c r="AV435" s="136">
        <f t="shared" si="100"/>
        <v>-1.8600000000000851</v>
      </c>
      <c r="AW435" s="136">
        <f t="shared" si="90"/>
        <v>7.0740393456972181E-2</v>
      </c>
      <c r="AX435" s="136" t="e">
        <f t="shared" si="91"/>
        <v>#N/A</v>
      </c>
      <c r="AY435" s="136">
        <f t="shared" si="92"/>
        <v>-1.8600100000000852</v>
      </c>
      <c r="AZ435" s="136">
        <f t="shared" si="93"/>
        <v>-1.8599900000000851</v>
      </c>
      <c r="BA435" s="136">
        <f t="shared" si="94"/>
        <v>0.10198137834778595</v>
      </c>
      <c r="BB435" s="136">
        <f t="shared" si="95"/>
        <v>0.1019829461409117</v>
      </c>
      <c r="BC435" s="136" t="e">
        <f t="shared" si="96"/>
        <v>#N/A</v>
      </c>
      <c r="BD435" s="136" t="e">
        <f t="shared" si="101"/>
        <v>#N/A</v>
      </c>
      <c r="BE435" s="136" t="e">
        <f t="shared" si="97"/>
        <v>#N/A</v>
      </c>
      <c r="BF435" s="136" t="e">
        <f t="shared" si="98"/>
        <v>#N/A</v>
      </c>
      <c r="BG435" s="136" t="e">
        <f t="shared" si="99"/>
        <v>#N/A</v>
      </c>
    </row>
    <row r="436" spans="2:59" ht="11.25" customHeight="1">
      <c r="B436" s="321"/>
      <c r="C436" s="321"/>
      <c r="D436" s="321"/>
      <c r="E436" s="321"/>
      <c r="F436" s="321"/>
      <c r="G436" s="321"/>
      <c r="H436" s="321"/>
      <c r="I436" s="321"/>
      <c r="J436" s="321"/>
      <c r="K436" s="321"/>
      <c r="L436" s="321"/>
      <c r="M436" s="321"/>
      <c r="N436" s="321"/>
      <c r="O436" s="321"/>
      <c r="P436" s="321"/>
      <c r="Q436" s="321"/>
      <c r="R436" s="321"/>
      <c r="S436" s="321"/>
      <c r="T436" s="321"/>
      <c r="U436" s="321"/>
      <c r="V436" s="321"/>
      <c r="W436" s="321"/>
      <c r="X436" s="321"/>
      <c r="Y436" s="321"/>
      <c r="Z436" s="321"/>
      <c r="AA436" s="321"/>
      <c r="AB436" s="321"/>
      <c r="AC436" s="321"/>
      <c r="AD436" s="321"/>
      <c r="AE436" s="321"/>
      <c r="AF436" s="321"/>
      <c r="AG436" s="321"/>
      <c r="AH436" s="321"/>
      <c r="AI436" s="321"/>
      <c r="AJ436" s="321"/>
      <c r="AK436" s="321"/>
      <c r="AL436" s="321"/>
      <c r="AM436" s="321"/>
      <c r="AN436" s="321"/>
      <c r="AO436" s="321"/>
      <c r="AP436" s="427"/>
      <c r="AQ436" s="321"/>
      <c r="AR436" s="321"/>
      <c r="AS436" s="321"/>
      <c r="AT436" s="321"/>
      <c r="AU436" s="136">
        <f t="shared" si="89"/>
        <v>3.2156774795607523E-2</v>
      </c>
      <c r="AV436" s="136">
        <f t="shared" si="100"/>
        <v>-1.8500000000000851</v>
      </c>
      <c r="AW436" s="136">
        <f t="shared" si="90"/>
        <v>7.2064874336206633E-2</v>
      </c>
      <c r="AX436" s="136" t="e">
        <f t="shared" si="91"/>
        <v>#N/A</v>
      </c>
      <c r="AY436" s="136">
        <f t="shared" si="92"/>
        <v>-1.8500100000000852</v>
      </c>
      <c r="AZ436" s="136">
        <f t="shared" si="93"/>
        <v>-1.8499900000000851</v>
      </c>
      <c r="BA436" s="136">
        <f t="shared" si="94"/>
        <v>0.10276928838135262</v>
      </c>
      <c r="BB436" s="136">
        <f t="shared" si="95"/>
        <v>0.10277087229190536</v>
      </c>
      <c r="BC436" s="136" t="e">
        <f t="shared" si="96"/>
        <v>#N/A</v>
      </c>
      <c r="BD436" s="136" t="e">
        <f t="shared" si="101"/>
        <v>#N/A</v>
      </c>
      <c r="BE436" s="136" t="e">
        <f t="shared" si="97"/>
        <v>#N/A</v>
      </c>
      <c r="BF436" s="136" t="e">
        <f t="shared" si="98"/>
        <v>#N/A</v>
      </c>
      <c r="BG436" s="136" t="e">
        <f t="shared" si="99"/>
        <v>#N/A</v>
      </c>
    </row>
    <row r="437" spans="2:59" ht="11.25" customHeight="1">
      <c r="B437" s="321"/>
      <c r="C437" s="321"/>
      <c r="D437" s="321"/>
      <c r="E437" s="321"/>
      <c r="F437" s="321"/>
      <c r="G437" s="321"/>
      <c r="H437" s="321"/>
      <c r="I437" s="321"/>
      <c r="J437" s="321"/>
      <c r="K437" s="321"/>
      <c r="L437" s="321"/>
      <c r="M437" s="321"/>
      <c r="N437" s="321"/>
      <c r="O437" s="321"/>
      <c r="P437" s="321"/>
      <c r="Q437" s="321"/>
      <c r="R437" s="321"/>
      <c r="S437" s="321"/>
      <c r="T437" s="321"/>
      <c r="U437" s="321"/>
      <c r="V437" s="321"/>
      <c r="W437" s="321"/>
      <c r="X437" s="321"/>
      <c r="Y437" s="321"/>
      <c r="Z437" s="321"/>
      <c r="AA437" s="321"/>
      <c r="AB437" s="321"/>
      <c r="AC437" s="321"/>
      <c r="AD437" s="321"/>
      <c r="AE437" s="321"/>
      <c r="AF437" s="321"/>
      <c r="AG437" s="321"/>
      <c r="AH437" s="321"/>
      <c r="AI437" s="321"/>
      <c r="AJ437" s="321"/>
      <c r="AK437" s="321"/>
      <c r="AL437" s="321"/>
      <c r="AM437" s="321"/>
      <c r="AN437" s="321"/>
      <c r="AO437" s="321"/>
      <c r="AP437" s="427"/>
      <c r="AQ437" s="321"/>
      <c r="AR437" s="321"/>
      <c r="AS437" s="321"/>
      <c r="AT437" s="321"/>
      <c r="AU437" s="136">
        <f t="shared" si="89"/>
        <v>3.2884118659157524E-2</v>
      </c>
      <c r="AV437" s="136">
        <f t="shared" si="100"/>
        <v>-1.8400000000000851</v>
      </c>
      <c r="AW437" s="136">
        <f t="shared" si="90"/>
        <v>7.3406812581645386E-2</v>
      </c>
      <c r="AX437" s="136" t="e">
        <f t="shared" si="91"/>
        <v>#N/A</v>
      </c>
      <c r="AY437" s="136">
        <f t="shared" si="92"/>
        <v>-1.8400100000000852</v>
      </c>
      <c r="AZ437" s="136">
        <f t="shared" si="93"/>
        <v>-1.8399900000000851</v>
      </c>
      <c r="BA437" s="136">
        <f t="shared" si="94"/>
        <v>0.10356530417473647</v>
      </c>
      <c r="BB437" s="136">
        <f t="shared" si="95"/>
        <v>0.10356690439163266</v>
      </c>
      <c r="BC437" s="136" t="e">
        <f t="shared" si="96"/>
        <v>#N/A</v>
      </c>
      <c r="BD437" s="136" t="e">
        <f t="shared" si="101"/>
        <v>#N/A</v>
      </c>
      <c r="BE437" s="136" t="e">
        <f t="shared" si="97"/>
        <v>#N/A</v>
      </c>
      <c r="BF437" s="136" t="e">
        <f t="shared" si="98"/>
        <v>#N/A</v>
      </c>
      <c r="BG437" s="136" t="e">
        <f t="shared" si="99"/>
        <v>#N/A</v>
      </c>
    </row>
    <row r="438" spans="2:59" ht="11.25" customHeight="1">
      <c r="B438" s="321"/>
      <c r="C438" s="321"/>
      <c r="D438" s="321"/>
      <c r="E438" s="321"/>
      <c r="F438" s="321"/>
      <c r="G438" s="321"/>
      <c r="H438" s="321"/>
      <c r="I438" s="321"/>
      <c r="J438" s="321"/>
      <c r="K438" s="321"/>
      <c r="L438" s="321"/>
      <c r="M438" s="321"/>
      <c r="N438" s="321"/>
      <c r="O438" s="321"/>
      <c r="P438" s="321"/>
      <c r="Q438" s="321"/>
      <c r="R438" s="321"/>
      <c r="S438" s="321"/>
      <c r="T438" s="321"/>
      <c r="U438" s="321"/>
      <c r="V438" s="321"/>
      <c r="W438" s="321"/>
      <c r="X438" s="321"/>
      <c r="Y438" s="321"/>
      <c r="Z438" s="321"/>
      <c r="AA438" s="321"/>
      <c r="AB438" s="321"/>
      <c r="AC438" s="321"/>
      <c r="AD438" s="321"/>
      <c r="AE438" s="321"/>
      <c r="AF438" s="321"/>
      <c r="AG438" s="321"/>
      <c r="AH438" s="321"/>
      <c r="AI438" s="321"/>
      <c r="AJ438" s="321"/>
      <c r="AK438" s="321"/>
      <c r="AL438" s="321"/>
      <c r="AM438" s="321"/>
      <c r="AN438" s="321"/>
      <c r="AO438" s="321"/>
      <c r="AP438" s="427"/>
      <c r="AQ438" s="321"/>
      <c r="AR438" s="321"/>
      <c r="AS438" s="321"/>
      <c r="AT438" s="321"/>
      <c r="AU438" s="136">
        <f t="shared" si="89"/>
        <v>3.3624969419622008E-2</v>
      </c>
      <c r="AV438" s="136">
        <f t="shared" si="100"/>
        <v>-1.8300000000000851</v>
      </c>
      <c r="AW438" s="136">
        <f t="shared" si="90"/>
        <v>7.4766262398355945E-2</v>
      </c>
      <c r="AX438" s="136" t="e">
        <f t="shared" si="91"/>
        <v>#N/A</v>
      </c>
      <c r="AY438" s="136">
        <f t="shared" si="92"/>
        <v>-1.8300100000000852</v>
      </c>
      <c r="AZ438" s="136">
        <f t="shared" si="93"/>
        <v>-1.829990000000085</v>
      </c>
      <c r="BA438" s="136">
        <f t="shared" si="94"/>
        <v>0.10436952071608395</v>
      </c>
      <c r="BB438" s="136">
        <f t="shared" si="95"/>
        <v>0.10437113743036606</v>
      </c>
      <c r="BC438" s="136" t="e">
        <f t="shared" si="96"/>
        <v>#N/A</v>
      </c>
      <c r="BD438" s="136" t="e">
        <f t="shared" si="101"/>
        <v>#N/A</v>
      </c>
      <c r="BE438" s="136" t="e">
        <f t="shared" si="97"/>
        <v>#N/A</v>
      </c>
      <c r="BF438" s="136" t="e">
        <f t="shared" si="98"/>
        <v>#N/A</v>
      </c>
      <c r="BG438" s="136" t="e">
        <f t="shared" si="99"/>
        <v>#N/A</v>
      </c>
    </row>
    <row r="439" spans="2:59" ht="11.25" customHeight="1">
      <c r="B439" s="321"/>
      <c r="C439" s="321"/>
      <c r="D439" s="321"/>
      <c r="E439" s="321"/>
      <c r="F439" s="321"/>
      <c r="G439" s="321"/>
      <c r="H439" s="321"/>
      <c r="I439" s="321"/>
      <c r="J439" s="321"/>
      <c r="K439" s="321"/>
      <c r="L439" s="321"/>
      <c r="M439" s="321"/>
      <c r="N439" s="321"/>
      <c r="O439" s="321"/>
      <c r="P439" s="321"/>
      <c r="Q439" s="321"/>
      <c r="R439" s="321"/>
      <c r="S439" s="321"/>
      <c r="T439" s="321"/>
      <c r="U439" s="321"/>
      <c r="V439" s="321"/>
      <c r="W439" s="321"/>
      <c r="X439" s="321"/>
      <c r="Y439" s="321"/>
      <c r="Z439" s="321"/>
      <c r="AA439" s="321"/>
      <c r="AB439" s="321"/>
      <c r="AC439" s="321"/>
      <c r="AD439" s="321"/>
      <c r="AE439" s="321"/>
      <c r="AF439" s="321"/>
      <c r="AG439" s="321"/>
      <c r="AH439" s="321"/>
      <c r="AI439" s="321"/>
      <c r="AJ439" s="321"/>
      <c r="AK439" s="321"/>
      <c r="AL439" s="321"/>
      <c r="AM439" s="321"/>
      <c r="AN439" s="321"/>
      <c r="AO439" s="321"/>
      <c r="AP439" s="427"/>
      <c r="AQ439" s="321"/>
      <c r="AR439" s="321"/>
      <c r="AS439" s="321"/>
      <c r="AT439" s="321"/>
      <c r="AU439" s="136">
        <f t="shared" si="89"/>
        <v>3.4379502445883392E-2</v>
      </c>
      <c r="AV439" s="136">
        <f t="shared" si="100"/>
        <v>-1.8200000000000851</v>
      </c>
      <c r="AW439" s="136">
        <f t="shared" si="90"/>
        <v>7.6143273696195515E-2</v>
      </c>
      <c r="AX439" s="136" t="e">
        <f t="shared" si="91"/>
        <v>#N/A</v>
      </c>
      <c r="AY439" s="136">
        <f t="shared" si="92"/>
        <v>-1.8200100000000852</v>
      </c>
      <c r="AZ439" s="136">
        <f t="shared" si="93"/>
        <v>-1.819990000000085</v>
      </c>
      <c r="BA439" s="136">
        <f t="shared" si="94"/>
        <v>0.10518203405975501</v>
      </c>
      <c r="BB439" s="136">
        <f t="shared" si="95"/>
        <v>0.10518366746460428</v>
      </c>
      <c r="BC439" s="136" t="e">
        <f t="shared" si="96"/>
        <v>#N/A</v>
      </c>
      <c r="BD439" s="136" t="e">
        <f t="shared" si="101"/>
        <v>#N/A</v>
      </c>
      <c r="BE439" s="136" t="e">
        <f t="shared" si="97"/>
        <v>#N/A</v>
      </c>
      <c r="BF439" s="136" t="e">
        <f t="shared" si="98"/>
        <v>#N/A</v>
      </c>
      <c r="BG439" s="136" t="e">
        <f t="shared" si="99"/>
        <v>#N/A</v>
      </c>
    </row>
    <row r="440" spans="2:59" ht="11.25" customHeight="1">
      <c r="B440" s="321"/>
      <c r="C440" s="321"/>
      <c r="D440" s="321"/>
      <c r="E440" s="321"/>
      <c r="F440" s="321"/>
      <c r="G440" s="321"/>
      <c r="H440" s="321"/>
      <c r="I440" s="321"/>
      <c r="J440" s="321"/>
      <c r="K440" s="321"/>
      <c r="L440" s="321"/>
      <c r="M440" s="321"/>
      <c r="N440" s="321"/>
      <c r="O440" s="321"/>
      <c r="P440" s="321"/>
      <c r="Q440" s="321"/>
      <c r="R440" s="321"/>
      <c r="S440" s="321"/>
      <c r="T440" s="321"/>
      <c r="U440" s="321"/>
      <c r="V440" s="321"/>
      <c r="W440" s="321"/>
      <c r="X440" s="321"/>
      <c r="Y440" s="321"/>
      <c r="Z440" s="321"/>
      <c r="AA440" s="321"/>
      <c r="AB440" s="321"/>
      <c r="AC440" s="321"/>
      <c r="AD440" s="321"/>
      <c r="AE440" s="321"/>
      <c r="AF440" s="321"/>
      <c r="AG440" s="321"/>
      <c r="AH440" s="321"/>
      <c r="AI440" s="321"/>
      <c r="AJ440" s="321"/>
      <c r="AK440" s="321"/>
      <c r="AL440" s="321"/>
      <c r="AM440" s="321"/>
      <c r="AN440" s="321"/>
      <c r="AO440" s="321"/>
      <c r="AP440" s="427"/>
      <c r="AQ440" s="321"/>
      <c r="AR440" s="321"/>
      <c r="AS440" s="321"/>
      <c r="AT440" s="321"/>
      <c r="AU440" s="136">
        <f t="shared" si="89"/>
        <v>3.5147893584032142E-2</v>
      </c>
      <c r="AV440" s="136">
        <f t="shared" si="100"/>
        <v>-1.8100000000000851</v>
      </c>
      <c r="AW440" s="136">
        <f t="shared" si="90"/>
        <v>7.7537891990122038E-2</v>
      </c>
      <c r="AX440" s="136" t="e">
        <f t="shared" si="91"/>
        <v>#N/A</v>
      </c>
      <c r="AY440" s="136">
        <f t="shared" si="92"/>
        <v>-1.8100100000000852</v>
      </c>
      <c r="AZ440" s="136">
        <f t="shared" si="93"/>
        <v>-1.809990000000085</v>
      </c>
      <c r="BA440" s="136">
        <f t="shared" si="94"/>
        <v>0.10600294133237821</v>
      </c>
      <c r="BB440" s="136">
        <f t="shared" si="95"/>
        <v>0.10600459162312625</v>
      </c>
      <c r="BC440" s="136" t="e">
        <f t="shared" si="96"/>
        <v>#N/A</v>
      </c>
      <c r="BD440" s="136" t="e">
        <f t="shared" si="101"/>
        <v>#N/A</v>
      </c>
      <c r="BE440" s="136" t="e">
        <f t="shared" si="97"/>
        <v>#N/A</v>
      </c>
      <c r="BF440" s="136" t="e">
        <f t="shared" si="98"/>
        <v>#N/A</v>
      </c>
      <c r="BG440" s="136" t="e">
        <f t="shared" si="99"/>
        <v>#N/A</v>
      </c>
    </row>
    <row r="441" spans="2:59" ht="11.25" customHeight="1">
      <c r="B441" s="321"/>
      <c r="C441" s="321"/>
      <c r="D441" s="321"/>
      <c r="E441" s="321"/>
      <c r="F441" s="321"/>
      <c r="G441" s="321"/>
      <c r="H441" s="321"/>
      <c r="I441" s="321"/>
      <c r="J441" s="321"/>
      <c r="K441" s="321"/>
      <c r="L441" s="321"/>
      <c r="M441" s="321"/>
      <c r="N441" s="321"/>
      <c r="O441" s="321"/>
      <c r="P441" s="321"/>
      <c r="Q441" s="321"/>
      <c r="R441" s="321"/>
      <c r="S441" s="321"/>
      <c r="T441" s="321"/>
      <c r="U441" s="321"/>
      <c r="V441" s="321"/>
      <c r="W441" s="321"/>
      <c r="X441" s="321"/>
      <c r="Y441" s="321"/>
      <c r="Z441" s="321"/>
      <c r="AA441" s="321"/>
      <c r="AB441" s="321"/>
      <c r="AC441" s="321"/>
      <c r="AD441" s="321"/>
      <c r="AE441" s="321"/>
      <c r="AF441" s="321"/>
      <c r="AG441" s="321"/>
      <c r="AH441" s="321"/>
      <c r="AI441" s="321"/>
      <c r="AJ441" s="321"/>
      <c r="AK441" s="321"/>
      <c r="AL441" s="321"/>
      <c r="AM441" s="321"/>
      <c r="AN441" s="321"/>
      <c r="AO441" s="321"/>
      <c r="AP441" s="427"/>
      <c r="AQ441" s="321"/>
      <c r="AR441" s="321"/>
      <c r="AS441" s="321"/>
      <c r="AT441" s="321"/>
      <c r="AU441" s="136">
        <f t="shared" si="89"/>
        <v>3.5930319112919107E-2</v>
      </c>
      <c r="AV441" s="136">
        <f t="shared" si="100"/>
        <v>-1.8000000000000851</v>
      </c>
      <c r="AW441" s="136">
        <f t="shared" si="90"/>
        <v>7.8950158300882062E-2</v>
      </c>
      <c r="AX441" s="136" t="e">
        <f t="shared" si="91"/>
        <v>#N/A</v>
      </c>
      <c r="AY441" s="136">
        <f t="shared" si="92"/>
        <v>-1.8000100000000852</v>
      </c>
      <c r="AZ441" s="136">
        <f t="shared" si="93"/>
        <v>-1.799990000000085</v>
      </c>
      <c r="BA441" s="136">
        <f t="shared" si="94"/>
        <v>0.10683234073864786</v>
      </c>
      <c r="BB441" s="136">
        <f t="shared" si="95"/>
        <v>0.10683400811278794</v>
      </c>
      <c r="BC441" s="136" t="e">
        <f t="shared" si="96"/>
        <v>#N/A</v>
      </c>
      <c r="BD441" s="136" t="e">
        <f t="shared" si="101"/>
        <v>#N/A</v>
      </c>
      <c r="BE441" s="136" t="e">
        <f t="shared" si="97"/>
        <v>#N/A</v>
      </c>
      <c r="BF441" s="136" t="e">
        <f t="shared" si="98"/>
        <v>#N/A</v>
      </c>
      <c r="BG441" s="136" t="e">
        <f t="shared" si="99"/>
        <v>#N/A</v>
      </c>
    </row>
    <row r="442" spans="2:59" ht="11.25" customHeight="1">
      <c r="B442" s="321"/>
      <c r="C442" s="321"/>
      <c r="D442" s="321"/>
      <c r="E442" s="321"/>
      <c r="F442" s="321"/>
      <c r="G442" s="321"/>
      <c r="H442" s="321"/>
      <c r="I442" s="321"/>
      <c r="J442" s="321"/>
      <c r="K442" s="321"/>
      <c r="L442" s="321"/>
      <c r="M442" s="321"/>
      <c r="N442" s="321"/>
      <c r="O442" s="321"/>
      <c r="P442" s="321"/>
      <c r="Q442" s="321"/>
      <c r="R442" s="321"/>
      <c r="S442" s="321"/>
      <c r="T442" s="321"/>
      <c r="U442" s="321"/>
      <c r="V442" s="321"/>
      <c r="W442" s="321"/>
      <c r="X442" s="321"/>
      <c r="Y442" s="321"/>
      <c r="Z442" s="321"/>
      <c r="AA442" s="321"/>
      <c r="AB442" s="321"/>
      <c r="AC442" s="321"/>
      <c r="AD442" s="321"/>
      <c r="AE442" s="321"/>
      <c r="AF442" s="321"/>
      <c r="AG442" s="321"/>
      <c r="AH442" s="321"/>
      <c r="AI442" s="321"/>
      <c r="AJ442" s="321"/>
      <c r="AK442" s="321"/>
      <c r="AL442" s="321"/>
      <c r="AM442" s="321"/>
      <c r="AN442" s="321"/>
      <c r="AO442" s="321"/>
      <c r="AP442" s="427"/>
      <c r="AQ442" s="321"/>
      <c r="AR442" s="321"/>
      <c r="AS442" s="321"/>
      <c r="AT442" s="321"/>
      <c r="AU442" s="136">
        <f t="shared" si="89"/>
        <v>3.672695569871931E-2</v>
      </c>
      <c r="AV442" s="136">
        <f t="shared" si="100"/>
        <v>-1.7900000000000851</v>
      </c>
      <c r="AW442" s="136">
        <f t="shared" si="90"/>
        <v>8.0380109056141916E-2</v>
      </c>
      <c r="AX442" s="136" t="e">
        <f t="shared" si="91"/>
        <v>#N/A</v>
      </c>
      <c r="AY442" s="136">
        <f t="shared" si="92"/>
        <v>-1.7900100000000851</v>
      </c>
      <c r="AZ442" s="136">
        <f t="shared" si="93"/>
        <v>-1.789990000000085</v>
      </c>
      <c r="BA442" s="136">
        <f t="shared" si="94"/>
        <v>0.10767033156684658</v>
      </c>
      <c r="BB442" s="136">
        <f t="shared" si="95"/>
        <v>0.10767201622404456</v>
      </c>
      <c r="BC442" s="136" t="e">
        <f t="shared" si="96"/>
        <v>#N/A</v>
      </c>
      <c r="BD442" s="136" t="e">
        <f t="shared" si="101"/>
        <v>#N/A</v>
      </c>
      <c r="BE442" s="136" t="e">
        <f t="shared" si="97"/>
        <v>#N/A</v>
      </c>
      <c r="BF442" s="136" t="e">
        <f t="shared" si="98"/>
        <v>#N/A</v>
      </c>
      <c r="BG442" s="136" t="e">
        <f t="shared" si="99"/>
        <v>#N/A</v>
      </c>
    </row>
    <row r="443" spans="2:59" ht="11.25" customHeight="1">
      <c r="B443" s="321"/>
      <c r="C443" s="321"/>
      <c r="D443" s="321"/>
      <c r="E443" s="321"/>
      <c r="F443" s="321"/>
      <c r="G443" s="321"/>
      <c r="H443" s="321"/>
      <c r="I443" s="321"/>
      <c r="J443" s="321"/>
      <c r="K443" s="321"/>
      <c r="L443" s="321"/>
      <c r="M443" s="321"/>
      <c r="N443" s="321"/>
      <c r="O443" s="321"/>
      <c r="P443" s="321"/>
      <c r="Q443" s="321"/>
      <c r="R443" s="321"/>
      <c r="S443" s="321"/>
      <c r="T443" s="321"/>
      <c r="U443" s="321"/>
      <c r="V443" s="321"/>
      <c r="W443" s="321"/>
      <c r="X443" s="321"/>
      <c r="Y443" s="321"/>
      <c r="Z443" s="321"/>
      <c r="AA443" s="321"/>
      <c r="AB443" s="321"/>
      <c r="AC443" s="321"/>
      <c r="AD443" s="321"/>
      <c r="AE443" s="321"/>
      <c r="AF443" s="321"/>
      <c r="AG443" s="321"/>
      <c r="AH443" s="321"/>
      <c r="AI443" s="321"/>
      <c r="AJ443" s="321"/>
      <c r="AK443" s="321"/>
      <c r="AL443" s="321"/>
      <c r="AM443" s="321"/>
      <c r="AN443" s="321"/>
      <c r="AO443" s="321"/>
      <c r="AP443" s="427"/>
      <c r="AQ443" s="321"/>
      <c r="AR443" s="321"/>
      <c r="AS443" s="321"/>
      <c r="AT443" s="321"/>
      <c r="AU443" s="136">
        <f t="shared" si="89"/>
        <v>3.753798034851008E-2</v>
      </c>
      <c r="AV443" s="136">
        <f t="shared" si="100"/>
        <v>-1.7800000000000851</v>
      </c>
      <c r="AW443" s="136">
        <f t="shared" si="90"/>
        <v>8.1827775992130397E-2</v>
      </c>
      <c r="AX443" s="136" t="e">
        <f t="shared" si="91"/>
        <v>#N/A</v>
      </c>
      <c r="AY443" s="136">
        <f t="shared" si="92"/>
        <v>-1.7800100000000851</v>
      </c>
      <c r="AZ443" s="136">
        <f t="shared" si="93"/>
        <v>-1.779990000000085</v>
      </c>
      <c r="BA443" s="136">
        <f t="shared" si="94"/>
        <v>0.10851701419407901</v>
      </c>
      <c r="BB443" s="136">
        <f t="shared" si="95"/>
        <v>0.10851871633618342</v>
      </c>
      <c r="BC443" s="136" t="e">
        <f t="shared" si="96"/>
        <v>#N/A</v>
      </c>
      <c r="BD443" s="136" t="e">
        <f t="shared" si="101"/>
        <v>#N/A</v>
      </c>
      <c r="BE443" s="136" t="e">
        <f t="shared" si="97"/>
        <v>#N/A</v>
      </c>
      <c r="BF443" s="136" t="e">
        <f t="shared" si="98"/>
        <v>#N/A</v>
      </c>
      <c r="BG443" s="136" t="e">
        <f t="shared" si="99"/>
        <v>#N/A</v>
      </c>
    </row>
    <row r="444" spans="2:59" ht="11.25" customHeight="1">
      <c r="B444" s="321"/>
      <c r="C444" s="321"/>
      <c r="D444" s="321"/>
      <c r="E444" s="321"/>
      <c r="F444" s="321"/>
      <c r="G444" s="321"/>
      <c r="H444" s="321"/>
      <c r="I444" s="321"/>
      <c r="J444" s="321"/>
      <c r="K444" s="321"/>
      <c r="L444" s="321"/>
      <c r="M444" s="321"/>
      <c r="N444" s="321"/>
      <c r="O444" s="321"/>
      <c r="P444" s="321"/>
      <c r="Q444" s="321"/>
      <c r="R444" s="321"/>
      <c r="S444" s="321"/>
      <c r="T444" s="321"/>
      <c r="U444" s="321"/>
      <c r="V444" s="321"/>
      <c r="W444" s="321"/>
      <c r="X444" s="321"/>
      <c r="Y444" s="321"/>
      <c r="Z444" s="321"/>
      <c r="AA444" s="321"/>
      <c r="AB444" s="321"/>
      <c r="AC444" s="321"/>
      <c r="AD444" s="321"/>
      <c r="AE444" s="321"/>
      <c r="AF444" s="321"/>
      <c r="AG444" s="321"/>
      <c r="AH444" s="321"/>
      <c r="AI444" s="321"/>
      <c r="AJ444" s="321"/>
      <c r="AK444" s="321"/>
      <c r="AL444" s="321"/>
      <c r="AM444" s="321"/>
      <c r="AN444" s="321"/>
      <c r="AO444" s="321"/>
      <c r="AP444" s="427"/>
      <c r="AQ444" s="321"/>
      <c r="AR444" s="321"/>
      <c r="AS444" s="321"/>
      <c r="AT444" s="321"/>
      <c r="AU444" s="136">
        <f t="shared" si="89"/>
        <v>3.8363570362864308E-2</v>
      </c>
      <c r="AV444" s="136">
        <f t="shared" si="100"/>
        <v>-1.7700000000000851</v>
      </c>
      <c r="AW444" s="136">
        <f t="shared" si="90"/>
        <v>8.3293186055861917E-2</v>
      </c>
      <c r="AX444" s="136" t="e">
        <f t="shared" si="91"/>
        <v>#N/A</v>
      </c>
      <c r="AY444" s="136">
        <f t="shared" si="92"/>
        <v>-1.7700100000000851</v>
      </c>
      <c r="AZ444" s="136">
        <f t="shared" si="93"/>
        <v>-1.769990000000085</v>
      </c>
      <c r="BA444" s="136">
        <f t="shared" si="94"/>
        <v>0.10937249009119782</v>
      </c>
      <c r="BB444" s="136">
        <f t="shared" si="95"/>
        <v>0.10937420992224951</v>
      </c>
      <c r="BC444" s="136" t="e">
        <f t="shared" si="96"/>
        <v>#N/A</v>
      </c>
      <c r="BD444" s="136" t="e">
        <f t="shared" si="101"/>
        <v>#N/A</v>
      </c>
      <c r="BE444" s="136" t="e">
        <f t="shared" si="97"/>
        <v>#N/A</v>
      </c>
      <c r="BF444" s="136" t="e">
        <f t="shared" si="98"/>
        <v>#N/A</v>
      </c>
      <c r="BG444" s="136" t="e">
        <f t="shared" si="99"/>
        <v>#N/A</v>
      </c>
    </row>
    <row r="445" spans="2:59" ht="11.25" customHeight="1">
      <c r="B445" s="321"/>
      <c r="C445" s="321"/>
      <c r="D445" s="321"/>
      <c r="E445" s="321"/>
      <c r="F445" s="321"/>
      <c r="G445" s="321"/>
      <c r="H445" s="321"/>
      <c r="I445" s="321"/>
      <c r="J445" s="321"/>
      <c r="K445" s="321"/>
      <c r="L445" s="321"/>
      <c r="M445" s="321"/>
      <c r="N445" s="321"/>
      <c r="O445" s="321"/>
      <c r="P445" s="321"/>
      <c r="Q445" s="321"/>
      <c r="R445" s="321"/>
      <c r="S445" s="321"/>
      <c r="T445" s="321"/>
      <c r="U445" s="321"/>
      <c r="V445" s="321"/>
      <c r="W445" s="321"/>
      <c r="X445" s="321"/>
      <c r="Y445" s="321"/>
      <c r="Z445" s="321"/>
      <c r="AA445" s="321"/>
      <c r="AB445" s="321"/>
      <c r="AC445" s="321"/>
      <c r="AD445" s="321"/>
      <c r="AE445" s="321"/>
      <c r="AF445" s="321"/>
      <c r="AG445" s="321"/>
      <c r="AH445" s="321"/>
      <c r="AI445" s="321"/>
      <c r="AJ445" s="321"/>
      <c r="AK445" s="321"/>
      <c r="AL445" s="321"/>
      <c r="AM445" s="321"/>
      <c r="AN445" s="321"/>
      <c r="AO445" s="321"/>
      <c r="AP445" s="427"/>
      <c r="AQ445" s="321"/>
      <c r="AR445" s="321"/>
      <c r="AS445" s="321"/>
      <c r="AT445" s="321"/>
      <c r="AU445" s="136">
        <f t="shared" si="89"/>
        <v>3.9203903287475472E-2</v>
      </c>
      <c r="AV445" s="136">
        <f t="shared" si="100"/>
        <v>-1.7600000000000851</v>
      </c>
      <c r="AW445" s="136">
        <f t="shared" si="90"/>
        <v>8.4776361308009529E-2</v>
      </c>
      <c r="AX445" s="136" t="e">
        <f t="shared" si="91"/>
        <v>#N/A</v>
      </c>
      <c r="AY445" s="136">
        <f t="shared" si="92"/>
        <v>-1.7600100000000851</v>
      </c>
      <c r="AZ445" s="136">
        <f t="shared" si="93"/>
        <v>-1.759990000000085</v>
      </c>
      <c r="BA445" s="136">
        <f t="shared" si="94"/>
        <v>0.11023686182740629</v>
      </c>
      <c r="BB445" s="136">
        <f t="shared" si="95"/>
        <v>0.11023859955364713</v>
      </c>
      <c r="BC445" s="136" t="e">
        <f t="shared" si="96"/>
        <v>#N/A</v>
      </c>
      <c r="BD445" s="136" t="e">
        <f t="shared" si="101"/>
        <v>#N/A</v>
      </c>
      <c r="BE445" s="136" t="e">
        <f t="shared" si="97"/>
        <v>#N/A</v>
      </c>
      <c r="BF445" s="136" t="e">
        <f t="shared" si="98"/>
        <v>#N/A</v>
      </c>
      <c r="BG445" s="136" t="e">
        <f t="shared" si="99"/>
        <v>#N/A</v>
      </c>
    </row>
    <row r="446" spans="2:59" ht="11.25" customHeight="1">
      <c r="B446" s="321"/>
      <c r="C446" s="321"/>
      <c r="D446" s="321"/>
      <c r="E446" s="321"/>
      <c r="F446" s="321"/>
      <c r="G446" s="321"/>
      <c r="H446" s="321"/>
      <c r="I446" s="321"/>
      <c r="J446" s="321"/>
      <c r="K446" s="321"/>
      <c r="L446" s="321"/>
      <c r="M446" s="321"/>
      <c r="N446" s="321"/>
      <c r="O446" s="321"/>
      <c r="P446" s="321"/>
      <c r="Q446" s="321"/>
      <c r="R446" s="321"/>
      <c r="S446" s="321"/>
      <c r="T446" s="321"/>
      <c r="U446" s="321"/>
      <c r="V446" s="321"/>
      <c r="W446" s="321"/>
      <c r="X446" s="321"/>
      <c r="Y446" s="321"/>
      <c r="Z446" s="321"/>
      <c r="AA446" s="321"/>
      <c r="AB446" s="321"/>
      <c r="AC446" s="321"/>
      <c r="AD446" s="321"/>
      <c r="AE446" s="321"/>
      <c r="AF446" s="321"/>
      <c r="AG446" s="321"/>
      <c r="AH446" s="321"/>
      <c r="AI446" s="321"/>
      <c r="AJ446" s="321"/>
      <c r="AK446" s="321"/>
      <c r="AL446" s="321"/>
      <c r="AM446" s="321"/>
      <c r="AN446" s="321"/>
      <c r="AO446" s="321"/>
      <c r="AP446" s="427"/>
      <c r="AQ446" s="321"/>
      <c r="AR446" s="321"/>
      <c r="AS446" s="321"/>
      <c r="AT446" s="321"/>
      <c r="AU446" s="136">
        <f t="shared" si="89"/>
        <v>4.0059156863809786E-2</v>
      </c>
      <c r="AV446" s="136">
        <f t="shared" si="100"/>
        <v>-1.750000000000085</v>
      </c>
      <c r="AW446" s="136">
        <f t="shared" si="90"/>
        <v>8.6277318826498667E-2</v>
      </c>
      <c r="AX446" s="136" t="e">
        <f t="shared" si="91"/>
        <v>#N/A</v>
      </c>
      <c r="AY446" s="136">
        <f t="shared" si="92"/>
        <v>-1.7500100000000851</v>
      </c>
      <c r="AZ446" s="136">
        <f t="shared" si="93"/>
        <v>-1.749990000000085</v>
      </c>
      <c r="BA446" s="136">
        <f t="shared" si="94"/>
        <v>0.11111023307451798</v>
      </c>
      <c r="BB446" s="136">
        <f t="shared" si="95"/>
        <v>0.111111988904399</v>
      </c>
      <c r="BC446" s="136" t="e">
        <f t="shared" si="96"/>
        <v>#N/A</v>
      </c>
      <c r="BD446" s="136" t="e">
        <f t="shared" si="101"/>
        <v>#N/A</v>
      </c>
      <c r="BE446" s="136" t="e">
        <f t="shared" si="97"/>
        <v>#N/A</v>
      </c>
      <c r="BF446" s="136" t="e">
        <f t="shared" si="98"/>
        <v>#N/A</v>
      </c>
      <c r="BG446" s="136" t="e">
        <f t="shared" si="99"/>
        <v>#N/A</v>
      </c>
    </row>
    <row r="447" spans="2:59" ht="11.25" customHeight="1">
      <c r="B447" s="321"/>
      <c r="C447" s="321"/>
      <c r="D447" s="321"/>
      <c r="E447" s="321"/>
      <c r="F447" s="321"/>
      <c r="G447" s="321"/>
      <c r="H447" s="321"/>
      <c r="I447" s="321"/>
      <c r="J447" s="321"/>
      <c r="K447" s="321"/>
      <c r="L447" s="321"/>
      <c r="M447" s="321"/>
      <c r="N447" s="321"/>
      <c r="O447" s="321"/>
      <c r="P447" s="321"/>
      <c r="Q447" s="321"/>
      <c r="R447" s="321"/>
      <c r="S447" s="321"/>
      <c r="T447" s="321"/>
      <c r="U447" s="321"/>
      <c r="V447" s="321"/>
      <c r="W447" s="321"/>
      <c r="X447" s="321"/>
      <c r="Y447" s="321"/>
      <c r="Z447" s="321"/>
      <c r="AA447" s="321"/>
      <c r="AB447" s="321"/>
      <c r="AC447" s="321"/>
      <c r="AD447" s="321"/>
      <c r="AE447" s="321"/>
      <c r="AF447" s="321"/>
      <c r="AG447" s="321"/>
      <c r="AH447" s="321"/>
      <c r="AI447" s="321"/>
      <c r="AJ447" s="321"/>
      <c r="AK447" s="321"/>
      <c r="AL447" s="321"/>
      <c r="AM447" s="321"/>
      <c r="AN447" s="321"/>
      <c r="AO447" s="321"/>
      <c r="AP447" s="427"/>
      <c r="AQ447" s="321"/>
      <c r="AR447" s="321"/>
      <c r="AS447" s="321"/>
      <c r="AT447" s="321"/>
      <c r="AU447" s="136">
        <f t="shared" si="89"/>
        <v>4.0929508978799989E-2</v>
      </c>
      <c r="AV447" s="136">
        <f t="shared" si="100"/>
        <v>-1.740000000000085</v>
      </c>
      <c r="AW447" s="136">
        <f t="shared" si="90"/>
        <v>8.7796070610892632E-2</v>
      </c>
      <c r="AX447" s="136" t="e">
        <f t="shared" si="91"/>
        <v>#N/A</v>
      </c>
      <c r="AY447" s="136">
        <f t="shared" si="92"/>
        <v>-1.7400100000000851</v>
      </c>
      <c r="AZ447" s="136">
        <f t="shared" si="93"/>
        <v>-1.739990000000085</v>
      </c>
      <c r="BA447" s="136">
        <f t="shared" si="94"/>
        <v>0.1119927086108561</v>
      </c>
      <c r="BB447" s="136">
        <f t="shared" si="95"/>
        <v>0.11199448275504527</v>
      </c>
      <c r="BC447" s="136" t="e">
        <f t="shared" si="96"/>
        <v>#N/A</v>
      </c>
      <c r="BD447" s="136" t="e">
        <f t="shared" si="101"/>
        <v>#N/A</v>
      </c>
      <c r="BE447" s="136" t="e">
        <f t="shared" si="97"/>
        <v>#N/A</v>
      </c>
      <c r="BF447" s="136" t="e">
        <f t="shared" si="98"/>
        <v>#N/A</v>
      </c>
      <c r="BG447" s="136" t="e">
        <f t="shared" si="99"/>
        <v>#N/A</v>
      </c>
    </row>
    <row r="448" spans="2:59" ht="11.25" customHeight="1">
      <c r="B448" s="321"/>
      <c r="C448" s="321"/>
      <c r="D448" s="321"/>
      <c r="E448" s="321"/>
      <c r="F448" s="321"/>
      <c r="G448" s="321"/>
      <c r="H448" s="321"/>
      <c r="I448" s="321"/>
      <c r="J448" s="321"/>
      <c r="K448" s="321"/>
      <c r="L448" s="321"/>
      <c r="M448" s="321"/>
      <c r="N448" s="321"/>
      <c r="O448" s="321"/>
      <c r="P448" s="321"/>
      <c r="Q448" s="321"/>
      <c r="R448" s="321"/>
      <c r="S448" s="321"/>
      <c r="T448" s="321"/>
      <c r="U448" s="321"/>
      <c r="V448" s="321"/>
      <c r="W448" s="321"/>
      <c r="X448" s="321"/>
      <c r="Y448" s="321"/>
      <c r="Z448" s="321"/>
      <c r="AA448" s="321"/>
      <c r="AB448" s="321"/>
      <c r="AC448" s="321"/>
      <c r="AD448" s="321"/>
      <c r="AE448" s="321"/>
      <c r="AF448" s="321"/>
      <c r="AG448" s="321"/>
      <c r="AH448" s="321"/>
      <c r="AI448" s="321"/>
      <c r="AJ448" s="321"/>
      <c r="AK448" s="321"/>
      <c r="AL448" s="321"/>
      <c r="AM448" s="321"/>
      <c r="AN448" s="321"/>
      <c r="AO448" s="321"/>
      <c r="AP448" s="427"/>
      <c r="AQ448" s="321"/>
      <c r="AR448" s="321"/>
      <c r="AS448" s="321"/>
      <c r="AT448" s="321"/>
      <c r="AU448" s="136">
        <f t="shared" si="89"/>
        <v>4.181513761358735E-2</v>
      </c>
      <c r="AV448" s="136">
        <f t="shared" si="100"/>
        <v>-1.730000000000085</v>
      </c>
      <c r="AW448" s="136">
        <f t="shared" si="90"/>
        <v>8.9332623487641843E-2</v>
      </c>
      <c r="AX448" s="136" t="e">
        <f t="shared" si="91"/>
        <v>#N/A</v>
      </c>
      <c r="AY448" s="136">
        <f t="shared" si="92"/>
        <v>-1.7300100000000851</v>
      </c>
      <c r="AZ448" s="136">
        <f t="shared" si="93"/>
        <v>-1.729990000000085</v>
      </c>
      <c r="BA448" s="136">
        <f t="shared" si="94"/>
        <v>0.11288439432477257</v>
      </c>
      <c r="BB448" s="136">
        <f t="shared" si="95"/>
        <v>0.11288618699616083</v>
      </c>
      <c r="BC448" s="136" t="e">
        <f t="shared" si="96"/>
        <v>#N/A</v>
      </c>
      <c r="BD448" s="136" t="e">
        <f t="shared" si="101"/>
        <v>#N/A</v>
      </c>
      <c r="BE448" s="136" t="e">
        <f t="shared" si="97"/>
        <v>#N/A</v>
      </c>
      <c r="BF448" s="136" t="e">
        <f t="shared" si="98"/>
        <v>#N/A</v>
      </c>
      <c r="BG448" s="136" t="e">
        <f t="shared" si="99"/>
        <v>#N/A</v>
      </c>
    </row>
    <row r="449" spans="2:59" ht="11.25" customHeight="1">
      <c r="B449" s="321"/>
      <c r="C449" s="321"/>
      <c r="D449" s="321"/>
      <c r="E449" s="321"/>
      <c r="F449" s="321"/>
      <c r="G449" s="321"/>
      <c r="H449" s="321"/>
      <c r="I449" s="321"/>
      <c r="J449" s="321"/>
      <c r="K449" s="321"/>
      <c r="L449" s="321"/>
      <c r="M449" s="321"/>
      <c r="N449" s="321"/>
      <c r="O449" s="321"/>
      <c r="P449" s="321"/>
      <c r="Q449" s="321"/>
      <c r="R449" s="321"/>
      <c r="S449" s="321"/>
      <c r="T449" s="321"/>
      <c r="U449" s="321"/>
      <c r="V449" s="321"/>
      <c r="W449" s="321"/>
      <c r="X449" s="321"/>
      <c r="Y449" s="321"/>
      <c r="Z449" s="321"/>
      <c r="AA449" s="321"/>
      <c r="AB449" s="321"/>
      <c r="AC449" s="321"/>
      <c r="AD449" s="321"/>
      <c r="AE449" s="321"/>
      <c r="AF449" s="321"/>
      <c r="AG449" s="321"/>
      <c r="AH449" s="321"/>
      <c r="AI449" s="321"/>
      <c r="AJ449" s="321"/>
      <c r="AK449" s="321"/>
      <c r="AL449" s="321"/>
      <c r="AM449" s="321"/>
      <c r="AN449" s="321"/>
      <c r="AO449" s="321"/>
      <c r="AP449" s="427"/>
      <c r="AQ449" s="321"/>
      <c r="AR449" s="321"/>
      <c r="AS449" s="321"/>
      <c r="AT449" s="321"/>
      <c r="AU449" s="136">
        <f t="shared" si="89"/>
        <v>4.2716220791321202E-2</v>
      </c>
      <c r="AV449" s="136">
        <f t="shared" si="100"/>
        <v>-1.720000000000085</v>
      </c>
      <c r="AW449" s="136">
        <f t="shared" si="90"/>
        <v>9.0886979016269562E-2</v>
      </c>
      <c r="AX449" s="136" t="e">
        <f t="shared" si="91"/>
        <v>#N/A</v>
      </c>
      <c r="AY449" s="136">
        <f t="shared" si="92"/>
        <v>-1.7200100000000851</v>
      </c>
      <c r="AZ449" s="136">
        <f t="shared" si="93"/>
        <v>-1.719990000000085</v>
      </c>
      <c r="BA449" s="136">
        <f t="shared" si="94"/>
        <v>0.11378539721776687</v>
      </c>
      <c r="BB449" s="136">
        <f t="shared" si="95"/>
        <v>0.11378720863147446</v>
      </c>
      <c r="BC449" s="136" t="e">
        <f t="shared" si="96"/>
        <v>#N/A</v>
      </c>
      <c r="BD449" s="136" t="e">
        <f t="shared" si="101"/>
        <v>#N/A</v>
      </c>
      <c r="BE449" s="136" t="e">
        <f t="shared" si="97"/>
        <v>#N/A</v>
      </c>
      <c r="BF449" s="136" t="e">
        <f t="shared" si="98"/>
        <v>#N/A</v>
      </c>
      <c r="BG449" s="136" t="e">
        <f t="shared" si="99"/>
        <v>#N/A</v>
      </c>
    </row>
    <row r="450" spans="2:59" ht="11.25" customHeight="1">
      <c r="B450" s="321"/>
      <c r="C450" s="321"/>
      <c r="D450" s="321"/>
      <c r="E450" s="321"/>
      <c r="F450" s="321"/>
      <c r="G450" s="321"/>
      <c r="H450" s="321"/>
      <c r="I450" s="321"/>
      <c r="J450" s="321"/>
      <c r="K450" s="321"/>
      <c r="L450" s="321"/>
      <c r="M450" s="321"/>
      <c r="N450" s="321"/>
      <c r="O450" s="321"/>
      <c r="P450" s="321"/>
      <c r="Q450" s="321"/>
      <c r="R450" s="321"/>
      <c r="S450" s="321"/>
      <c r="T450" s="321"/>
      <c r="U450" s="321"/>
      <c r="V450" s="321"/>
      <c r="W450" s="321"/>
      <c r="X450" s="321"/>
      <c r="Y450" s="321"/>
      <c r="Z450" s="321"/>
      <c r="AA450" s="321"/>
      <c r="AB450" s="321"/>
      <c r="AC450" s="321"/>
      <c r="AD450" s="321"/>
      <c r="AE450" s="321"/>
      <c r="AF450" s="321"/>
      <c r="AG450" s="321"/>
      <c r="AH450" s="321"/>
      <c r="AI450" s="321"/>
      <c r="AJ450" s="321"/>
      <c r="AK450" s="321"/>
      <c r="AL450" s="321"/>
      <c r="AM450" s="321"/>
      <c r="AN450" s="321"/>
      <c r="AO450" s="321"/>
      <c r="AP450" s="427"/>
      <c r="AQ450" s="321"/>
      <c r="AR450" s="321"/>
      <c r="AS450" s="321"/>
      <c r="AT450" s="321"/>
      <c r="AU450" s="136">
        <f t="shared" si="89"/>
        <v>4.3632936524024002E-2</v>
      </c>
      <c r="AV450" s="136">
        <f t="shared" si="100"/>
        <v>-1.710000000000085</v>
      </c>
      <c r="AW450" s="136">
        <f t="shared" si="90"/>
        <v>9.2459133396567209E-2</v>
      </c>
      <c r="AX450" s="136" t="e">
        <f t="shared" si="91"/>
        <v>#N/A</v>
      </c>
      <c r="AY450" s="136">
        <f t="shared" si="92"/>
        <v>-1.7100100000000851</v>
      </c>
      <c r="AZ450" s="136">
        <f t="shared" si="93"/>
        <v>-1.7099900000000849</v>
      </c>
      <c r="BA450" s="136">
        <f t="shared" si="94"/>
        <v>0.11469582540718429</v>
      </c>
      <c r="BB450" s="136">
        <f t="shared" si="95"/>
        <v>0.11469765578056564</v>
      </c>
      <c r="BC450" s="136" t="e">
        <f t="shared" si="96"/>
        <v>#N/A</v>
      </c>
      <c r="BD450" s="136" t="e">
        <f t="shared" si="101"/>
        <v>#N/A</v>
      </c>
      <c r="BE450" s="136" t="e">
        <f t="shared" si="97"/>
        <v>#N/A</v>
      </c>
      <c r="BF450" s="136" t="e">
        <f t="shared" si="98"/>
        <v>#N/A</v>
      </c>
      <c r="BG450" s="136" t="e">
        <f t="shared" si="99"/>
        <v>#N/A</v>
      </c>
    </row>
    <row r="451" spans="2:59" ht="11.25" customHeight="1">
      <c r="B451" s="321"/>
      <c r="C451" s="321"/>
      <c r="D451" s="321"/>
      <c r="E451" s="321"/>
      <c r="F451" s="321"/>
      <c r="G451" s="321"/>
      <c r="H451" s="321"/>
      <c r="I451" s="321"/>
      <c r="J451" s="321"/>
      <c r="K451" s="321"/>
      <c r="L451" s="321"/>
      <c r="M451" s="321"/>
      <c r="N451" s="321"/>
      <c r="O451" s="321"/>
      <c r="P451" s="321"/>
      <c r="Q451" s="321"/>
      <c r="R451" s="321"/>
      <c r="S451" s="321"/>
      <c r="T451" s="321"/>
      <c r="U451" s="321"/>
      <c r="V451" s="321"/>
      <c r="W451" s="321"/>
      <c r="X451" s="321"/>
      <c r="Y451" s="321"/>
      <c r="Z451" s="321"/>
      <c r="AA451" s="321"/>
      <c r="AB451" s="321"/>
      <c r="AC451" s="321"/>
      <c r="AD451" s="321"/>
      <c r="AE451" s="321"/>
      <c r="AF451" s="321"/>
      <c r="AG451" s="321"/>
      <c r="AH451" s="321"/>
      <c r="AI451" s="321"/>
      <c r="AJ451" s="321"/>
      <c r="AK451" s="321"/>
      <c r="AL451" s="321"/>
      <c r="AM451" s="321"/>
      <c r="AN451" s="321"/>
      <c r="AO451" s="321"/>
      <c r="AP451" s="427"/>
      <c r="AQ451" s="321"/>
      <c r="AR451" s="321"/>
      <c r="AS451" s="321"/>
      <c r="AT451" s="321"/>
      <c r="AU451" s="136">
        <f t="shared" si="89"/>
        <v>4.4565462758535013E-2</v>
      </c>
      <c r="AV451" s="136">
        <f t="shared" si="100"/>
        <v>-1.700000000000085</v>
      </c>
      <c r="AW451" s="136">
        <f t="shared" si="90"/>
        <v>9.4049077376873333E-2</v>
      </c>
      <c r="AX451" s="136" t="e">
        <f t="shared" si="91"/>
        <v>#N/A</v>
      </c>
      <c r="AY451" s="136">
        <f t="shared" si="92"/>
        <v>-1.7000100000000851</v>
      </c>
      <c r="AZ451" s="136">
        <f t="shared" si="93"/>
        <v>-1.6999900000000849</v>
      </c>
      <c r="BA451" s="136">
        <f t="shared" si="94"/>
        <v>0.1156157881284722</v>
      </c>
      <c r="BB451" s="136">
        <f t="shared" si="95"/>
        <v>0.11561763768111988</v>
      </c>
      <c r="BC451" s="136" t="e">
        <f t="shared" si="96"/>
        <v>#N/A</v>
      </c>
      <c r="BD451" s="136" t="e">
        <f t="shared" si="101"/>
        <v>#N/A</v>
      </c>
      <c r="BE451" s="136" t="e">
        <f t="shared" si="97"/>
        <v>#N/A</v>
      </c>
      <c r="BF451" s="136" t="e">
        <f t="shared" si="98"/>
        <v>#N/A</v>
      </c>
      <c r="BG451" s="136" t="e">
        <f t="shared" si="99"/>
        <v>#N/A</v>
      </c>
    </row>
    <row r="452" spans="2:59" ht="11.25" customHeight="1">
      <c r="B452" s="321"/>
      <c r="C452" s="321"/>
      <c r="D452" s="321"/>
      <c r="E452" s="321"/>
      <c r="F452" s="321"/>
      <c r="G452" s="321"/>
      <c r="H452" s="321"/>
      <c r="I452" s="321"/>
      <c r="J452" s="321"/>
      <c r="K452" s="321"/>
      <c r="L452" s="321"/>
      <c r="M452" s="321"/>
      <c r="N452" s="321"/>
      <c r="O452" s="321"/>
      <c r="P452" s="321"/>
      <c r="Q452" s="321"/>
      <c r="R452" s="321"/>
      <c r="S452" s="321"/>
      <c r="T452" s="321"/>
      <c r="U452" s="321"/>
      <c r="V452" s="321"/>
      <c r="W452" s="321"/>
      <c r="X452" s="321"/>
      <c r="Y452" s="321"/>
      <c r="Z452" s="321"/>
      <c r="AA452" s="321"/>
      <c r="AB452" s="321"/>
      <c r="AC452" s="321"/>
      <c r="AD452" s="321"/>
      <c r="AE452" s="321"/>
      <c r="AF452" s="321"/>
      <c r="AG452" s="321"/>
      <c r="AH452" s="321"/>
      <c r="AI452" s="321"/>
      <c r="AJ452" s="321"/>
      <c r="AK452" s="321"/>
      <c r="AL452" s="321"/>
      <c r="AM452" s="321"/>
      <c r="AN452" s="321"/>
      <c r="AO452" s="321"/>
      <c r="AP452" s="427"/>
      <c r="AQ452" s="321"/>
      <c r="AR452" s="321"/>
      <c r="AS452" s="321"/>
      <c r="AT452" s="321"/>
      <c r="AU452" s="136">
        <f t="shared" si="89"/>
        <v>4.5513977321541832E-2</v>
      </c>
      <c r="AV452" s="136">
        <f t="shared" si="100"/>
        <v>-1.690000000000085</v>
      </c>
      <c r="AW452" s="136">
        <f t="shared" si="90"/>
        <v>9.5656796163510235E-2</v>
      </c>
      <c r="AX452" s="136" t="e">
        <f t="shared" si="91"/>
        <v>#N/A</v>
      </c>
      <c r="AY452" s="136">
        <f t="shared" si="92"/>
        <v>-1.6900100000000851</v>
      </c>
      <c r="AZ452" s="136">
        <f t="shared" si="93"/>
        <v>-1.6899900000000849</v>
      </c>
      <c r="BA452" s="136">
        <f t="shared" si="94"/>
        <v>0.11654539573697247</v>
      </c>
      <c r="BB452" s="136">
        <f t="shared" si="95"/>
        <v>0.11654726469072017</v>
      </c>
      <c r="BC452" s="136" t="e">
        <f t="shared" si="96"/>
        <v>#N/A</v>
      </c>
      <c r="BD452" s="136" t="e">
        <f t="shared" si="101"/>
        <v>#N/A</v>
      </c>
      <c r="BE452" s="136" t="e">
        <f t="shared" si="97"/>
        <v>#N/A</v>
      </c>
      <c r="BF452" s="136" t="e">
        <f t="shared" si="98"/>
        <v>#N/A</v>
      </c>
      <c r="BG452" s="136" t="e">
        <f t="shared" si="99"/>
        <v>#N/A</v>
      </c>
    </row>
    <row r="453" spans="2:59" ht="11.25" customHeight="1">
      <c r="B453" s="321"/>
      <c r="C453" s="321"/>
      <c r="D453" s="321"/>
      <c r="E453" s="321"/>
      <c r="F453" s="321"/>
      <c r="G453" s="321"/>
      <c r="H453" s="321"/>
      <c r="I453" s="321"/>
      <c r="J453" s="321"/>
      <c r="K453" s="321"/>
      <c r="L453" s="321"/>
      <c r="M453" s="321"/>
      <c r="N453" s="321"/>
      <c r="O453" s="321"/>
      <c r="P453" s="321"/>
      <c r="Q453" s="321"/>
      <c r="R453" s="321"/>
      <c r="S453" s="321"/>
      <c r="T453" s="321"/>
      <c r="U453" s="321"/>
      <c r="V453" s="321"/>
      <c r="W453" s="321"/>
      <c r="X453" s="321"/>
      <c r="Y453" s="321"/>
      <c r="Z453" s="321"/>
      <c r="AA453" s="321"/>
      <c r="AB453" s="321"/>
      <c r="AC453" s="321"/>
      <c r="AD453" s="321"/>
      <c r="AE453" s="321"/>
      <c r="AF453" s="321"/>
      <c r="AG453" s="321"/>
      <c r="AH453" s="321"/>
      <c r="AI453" s="321"/>
      <c r="AJ453" s="321"/>
      <c r="AK453" s="321"/>
      <c r="AL453" s="321"/>
      <c r="AM453" s="321"/>
      <c r="AN453" s="321"/>
      <c r="AO453" s="321"/>
      <c r="AP453" s="427"/>
      <c r="AQ453" s="321"/>
      <c r="AR453" s="321"/>
      <c r="AS453" s="321"/>
      <c r="AT453" s="321"/>
      <c r="AU453" s="136">
        <f t="shared" si="89"/>
        <v>4.6478657863711859E-2</v>
      </c>
      <c r="AV453" s="136">
        <f t="shared" si="100"/>
        <v>-1.680000000000085</v>
      </c>
      <c r="AW453" s="136">
        <f t="shared" si="90"/>
        <v>9.7282269331453591E-2</v>
      </c>
      <c r="AX453" s="136" t="e">
        <f t="shared" si="91"/>
        <v>#N/A</v>
      </c>
      <c r="AY453" s="136">
        <f t="shared" si="92"/>
        <v>-1.680010000000085</v>
      </c>
      <c r="AZ453" s="136">
        <f t="shared" si="93"/>
        <v>-1.6799900000000849</v>
      </c>
      <c r="BA453" s="136">
        <f t="shared" si="94"/>
        <v>0.11748475970922634</v>
      </c>
      <c r="BB453" s="136">
        <f t="shared" si="95"/>
        <v>0.11748664828815111</v>
      </c>
      <c r="BC453" s="136" t="e">
        <f t="shared" si="96"/>
        <v>#N/A</v>
      </c>
      <c r="BD453" s="136" t="e">
        <f t="shared" si="101"/>
        <v>#N/A</v>
      </c>
      <c r="BE453" s="136" t="e">
        <f t="shared" si="97"/>
        <v>#N/A</v>
      </c>
      <c r="BF453" s="136" t="e">
        <f t="shared" si="98"/>
        <v>#N/A</v>
      </c>
      <c r="BG453" s="136" t="e">
        <f t="shared" si="99"/>
        <v>#N/A</v>
      </c>
    </row>
    <row r="454" spans="2:59" ht="11.25" customHeight="1">
      <c r="B454" s="321"/>
      <c r="C454" s="321"/>
      <c r="D454" s="321"/>
      <c r="E454" s="321"/>
      <c r="F454" s="321"/>
      <c r="G454" s="321"/>
      <c r="H454" s="321"/>
      <c r="I454" s="321"/>
      <c r="J454" s="321"/>
      <c r="K454" s="321"/>
      <c r="L454" s="321"/>
      <c r="M454" s="321"/>
      <c r="N454" s="321"/>
      <c r="O454" s="321"/>
      <c r="P454" s="321"/>
      <c r="Q454" s="321"/>
      <c r="R454" s="321"/>
      <c r="S454" s="321"/>
      <c r="T454" s="321"/>
      <c r="U454" s="321"/>
      <c r="V454" s="321"/>
      <c r="W454" s="321"/>
      <c r="X454" s="321"/>
      <c r="Y454" s="321"/>
      <c r="Z454" s="321"/>
      <c r="AA454" s="321"/>
      <c r="AB454" s="321"/>
      <c r="AC454" s="321"/>
      <c r="AD454" s="321"/>
      <c r="AE454" s="321"/>
      <c r="AF454" s="321"/>
      <c r="AG454" s="321"/>
      <c r="AH454" s="321"/>
      <c r="AI454" s="321"/>
      <c r="AJ454" s="321"/>
      <c r="AK454" s="321"/>
      <c r="AL454" s="321"/>
      <c r="AM454" s="321"/>
      <c r="AN454" s="321"/>
      <c r="AO454" s="321"/>
      <c r="AP454" s="427"/>
      <c r="AQ454" s="321"/>
      <c r="AR454" s="321"/>
      <c r="AS454" s="321"/>
      <c r="AT454" s="321"/>
      <c r="AU454" s="136">
        <f t="shared" si="89"/>
        <v>4.7459681802938913E-2</v>
      </c>
      <c r="AV454" s="136">
        <f t="shared" si="100"/>
        <v>-1.670000000000085</v>
      </c>
      <c r="AW454" s="136">
        <f t="shared" si="90"/>
        <v>9.8925470736309667E-2</v>
      </c>
      <c r="AX454" s="136" t="e">
        <f t="shared" si="91"/>
        <v>#N/A</v>
      </c>
      <c r="AY454" s="136">
        <f t="shared" si="92"/>
        <v>-1.670010000000085</v>
      </c>
      <c r="AZ454" s="136">
        <f t="shared" si="93"/>
        <v>-1.6699900000000849</v>
      </c>
      <c r="BA454" s="136">
        <f t="shared" si="94"/>
        <v>0.11843399264376965</v>
      </c>
      <c r="BB454" s="136">
        <f t="shared" si="95"/>
        <v>0.11843590107419324</v>
      </c>
      <c r="BC454" s="136" t="e">
        <f t="shared" si="96"/>
        <v>#N/A</v>
      </c>
      <c r="BD454" s="136" t="e">
        <f t="shared" si="101"/>
        <v>#N/A</v>
      </c>
      <c r="BE454" s="136" t="e">
        <f t="shared" si="97"/>
        <v>#N/A</v>
      </c>
      <c r="BF454" s="136" t="e">
        <f t="shared" si="98"/>
        <v>#N/A</v>
      </c>
      <c r="BG454" s="136" t="e">
        <f t="shared" si="99"/>
        <v>#N/A</v>
      </c>
    </row>
    <row r="455" spans="2:59" ht="11.25" customHeight="1">
      <c r="B455" s="321"/>
      <c r="C455" s="321"/>
      <c r="D455" s="321"/>
      <c r="E455" s="321"/>
      <c r="F455" s="321"/>
      <c r="G455" s="321"/>
      <c r="H455" s="321"/>
      <c r="I455" s="321"/>
      <c r="J455" s="321"/>
      <c r="K455" s="321"/>
      <c r="L455" s="321"/>
      <c r="M455" s="321"/>
      <c r="N455" s="321"/>
      <c r="O455" s="321"/>
      <c r="P455" s="321"/>
      <c r="Q455" s="321"/>
      <c r="R455" s="321"/>
      <c r="S455" s="321"/>
      <c r="T455" s="321"/>
      <c r="U455" s="321"/>
      <c r="V455" s="321"/>
      <c r="W455" s="321"/>
      <c r="X455" s="321"/>
      <c r="Y455" s="321"/>
      <c r="Z455" s="321"/>
      <c r="AA455" s="321"/>
      <c r="AB455" s="321"/>
      <c r="AC455" s="321"/>
      <c r="AD455" s="321"/>
      <c r="AE455" s="321"/>
      <c r="AF455" s="321"/>
      <c r="AG455" s="321"/>
      <c r="AH455" s="321"/>
      <c r="AI455" s="321"/>
      <c r="AJ455" s="321"/>
      <c r="AK455" s="321"/>
      <c r="AL455" s="321"/>
      <c r="AM455" s="321"/>
      <c r="AN455" s="321"/>
      <c r="AO455" s="321"/>
      <c r="AP455" s="427"/>
      <c r="AQ455" s="321"/>
      <c r="AR455" s="321"/>
      <c r="AS455" s="321"/>
      <c r="AT455" s="321"/>
      <c r="AU455" s="136">
        <f t="shared" si="89"/>
        <v>4.8457226266714337E-2</v>
      </c>
      <c r="AV455" s="136">
        <f t="shared" si="100"/>
        <v>-1.660000000000085</v>
      </c>
      <c r="AW455" s="136">
        <f t="shared" si="90"/>
        <v>0.10058636842767636</v>
      </c>
      <c r="AX455" s="136" t="e">
        <f t="shared" si="91"/>
        <v>#N/A</v>
      </c>
      <c r="AY455" s="136">
        <f t="shared" si="92"/>
        <v>-1.660010000000085</v>
      </c>
      <c r="AZ455" s="136">
        <f t="shared" si="93"/>
        <v>-1.6599900000000849</v>
      </c>
      <c r="BA455" s="136">
        <f t="shared" si="94"/>
        <v>0.1193932082613941</v>
      </c>
      <c r="BB455" s="136">
        <f t="shared" si="95"/>
        <v>0.1193951367718824</v>
      </c>
      <c r="BC455" s="136" t="e">
        <f t="shared" si="96"/>
        <v>#N/A</v>
      </c>
      <c r="BD455" s="136" t="e">
        <f t="shared" si="101"/>
        <v>#N/A</v>
      </c>
      <c r="BE455" s="136" t="e">
        <f t="shared" si="97"/>
        <v>#N/A</v>
      </c>
      <c r="BF455" s="136" t="e">
        <f t="shared" si="98"/>
        <v>#N/A</v>
      </c>
      <c r="BG455" s="136" t="e">
        <f t="shared" si="99"/>
        <v>#N/A</v>
      </c>
    </row>
    <row r="456" spans="2:59" ht="11.25" customHeight="1">
      <c r="B456" s="321"/>
      <c r="C456" s="321"/>
      <c r="D456" s="321"/>
      <c r="E456" s="321"/>
      <c r="F456" s="321"/>
      <c r="G456" s="321"/>
      <c r="H456" s="321"/>
      <c r="I456" s="321"/>
      <c r="J456" s="321"/>
      <c r="K456" s="321"/>
      <c r="L456" s="321"/>
      <c r="M456" s="321"/>
      <c r="N456" s="321"/>
      <c r="O456" s="321"/>
      <c r="P456" s="321"/>
      <c r="Q456" s="321"/>
      <c r="R456" s="321"/>
      <c r="S456" s="321"/>
      <c r="T456" s="321"/>
      <c r="U456" s="321"/>
      <c r="V456" s="321"/>
      <c r="W456" s="321"/>
      <c r="X456" s="321"/>
      <c r="Y456" s="321"/>
      <c r="Z456" s="321"/>
      <c r="AA456" s="321"/>
      <c r="AB456" s="321"/>
      <c r="AC456" s="321"/>
      <c r="AD456" s="321"/>
      <c r="AE456" s="321"/>
      <c r="AF456" s="321"/>
      <c r="AG456" s="321"/>
      <c r="AH456" s="321"/>
      <c r="AI456" s="321"/>
      <c r="AJ456" s="321"/>
      <c r="AK456" s="321"/>
      <c r="AL456" s="321"/>
      <c r="AM456" s="321"/>
      <c r="AN456" s="321"/>
      <c r="AO456" s="321"/>
      <c r="AP456" s="427"/>
      <c r="AQ456" s="321"/>
      <c r="AR456" s="321"/>
      <c r="AS456" s="321"/>
      <c r="AT456" s="321"/>
      <c r="AU456" s="136">
        <f t="shared" si="89"/>
        <v>4.9471468033639443E-2</v>
      </c>
      <c r="AV456" s="136">
        <f t="shared" si="100"/>
        <v>-1.650000000000085</v>
      </c>
      <c r="AW456" s="136">
        <f t="shared" si="90"/>
        <v>0.10226492456396366</v>
      </c>
      <c r="AX456" s="136" t="e">
        <f t="shared" si="91"/>
        <v>#N/A</v>
      </c>
      <c r="AY456" s="136">
        <f t="shared" si="92"/>
        <v>-1.650010000000085</v>
      </c>
      <c r="AZ456" s="136">
        <f t="shared" si="93"/>
        <v>-1.6499900000000849</v>
      </c>
      <c r="BA456" s="136">
        <f t="shared" si="94"/>
        <v>0.12036252140484772</v>
      </c>
      <c r="BB456" s="136">
        <f t="shared" si="95"/>
        <v>0.12036447022620979</v>
      </c>
      <c r="BC456" s="136" t="e">
        <f t="shared" si="96"/>
        <v>#N/A</v>
      </c>
      <c r="BD456" s="136" t="e">
        <f t="shared" si="101"/>
        <v>#N/A</v>
      </c>
      <c r="BE456" s="136" t="e">
        <f t="shared" si="97"/>
        <v>#N/A</v>
      </c>
      <c r="BF456" s="136" t="e">
        <f t="shared" si="98"/>
        <v>#N/A</v>
      </c>
      <c r="BG456" s="136" t="e">
        <f t="shared" si="99"/>
        <v>#N/A</v>
      </c>
    </row>
    <row r="457" spans="2:59" ht="11.25" customHeight="1">
      <c r="B457" s="321"/>
      <c r="C457" s="321"/>
      <c r="D457" s="321"/>
      <c r="E457" s="321"/>
      <c r="F457" s="321"/>
      <c r="G457" s="321"/>
      <c r="H457" s="321"/>
      <c r="I457" s="321"/>
      <c r="AC457" s="321"/>
      <c r="AD457" s="321"/>
      <c r="AE457" s="321"/>
      <c r="AF457" s="321"/>
      <c r="AG457" s="321"/>
      <c r="AH457" s="321"/>
      <c r="AI457" s="321"/>
      <c r="AJ457" s="321"/>
      <c r="AK457" s="321"/>
      <c r="AL457" s="321"/>
      <c r="AM457" s="321"/>
      <c r="AN457" s="321"/>
      <c r="AO457" s="321"/>
      <c r="AP457" s="427"/>
      <c r="AQ457" s="321"/>
      <c r="AR457" s="321"/>
      <c r="AS457" s="321"/>
      <c r="AT457" s="321"/>
      <c r="AU457" s="136">
        <f t="shared" si="89"/>
        <v>5.0502583474095086E-2</v>
      </c>
      <c r="AV457" s="136">
        <f t="shared" si="100"/>
        <v>-1.6400000000000849</v>
      </c>
      <c r="AW457" s="136">
        <f t="shared" si="90"/>
        <v>0.10396109532874971</v>
      </c>
      <c r="AX457" s="136" t="e">
        <f t="shared" si="91"/>
        <v>#N/A</v>
      </c>
      <c r="AY457" s="136">
        <f t="shared" si="92"/>
        <v>-1.640010000000085</v>
      </c>
      <c r="AZ457" s="136">
        <f t="shared" si="93"/>
        <v>-1.6399900000000849</v>
      </c>
      <c r="BA457" s="136">
        <f t="shared" si="94"/>
        <v>0.12134204803795128</v>
      </c>
      <c r="BB457" s="136">
        <f t="shared" si="95"/>
        <v>0.12134401740323753</v>
      </c>
      <c r="BC457" s="136" t="e">
        <f t="shared" si="96"/>
        <v>#N/A</v>
      </c>
      <c r="BD457" s="136" t="e">
        <f t="shared" si="101"/>
        <v>#N/A</v>
      </c>
      <c r="BE457" s="136" t="e">
        <f t="shared" si="97"/>
        <v>#N/A</v>
      </c>
      <c r="BF457" s="136" t="e">
        <f t="shared" si="98"/>
        <v>#N/A</v>
      </c>
      <c r="BG457" s="136" t="e">
        <f t="shared" si="99"/>
        <v>#N/A</v>
      </c>
    </row>
    <row r="458" spans="2:59" ht="11.25" customHeight="1">
      <c r="B458" s="321"/>
      <c r="C458" s="321"/>
      <c r="D458" s="321"/>
      <c r="E458" s="321"/>
      <c r="F458" s="321"/>
      <c r="G458" s="321"/>
      <c r="H458" s="321"/>
      <c r="I458" s="321"/>
      <c r="AC458" s="321"/>
      <c r="AD458" s="321"/>
      <c r="AE458" s="321"/>
      <c r="AF458" s="321"/>
      <c r="AG458" s="321"/>
      <c r="AH458" s="321"/>
      <c r="AI458" s="321"/>
      <c r="AJ458" s="321"/>
      <c r="AK458" s="321"/>
      <c r="AL458" s="321"/>
      <c r="AM458" s="321"/>
      <c r="AN458" s="321"/>
      <c r="AO458" s="321"/>
      <c r="AP458" s="427"/>
      <c r="AQ458" s="321"/>
      <c r="AR458" s="321"/>
      <c r="AS458" s="321"/>
      <c r="AT458" s="321"/>
      <c r="AU458" s="136">
        <f t="shared" si="89"/>
        <v>5.1550748490080345E-2</v>
      </c>
      <c r="AV458" s="136">
        <f t="shared" si="100"/>
        <v>-1.6300000000000849</v>
      </c>
      <c r="AW458" s="136">
        <f t="shared" si="90"/>
        <v>0.10567483084874897</v>
      </c>
      <c r="AX458" s="136" t="e">
        <f t="shared" si="91"/>
        <v>#N/A</v>
      </c>
      <c r="AY458" s="136">
        <f t="shared" si="92"/>
        <v>-1.630010000000085</v>
      </c>
      <c r="AZ458" s="136">
        <f t="shared" si="93"/>
        <v>-1.6299900000000849</v>
      </c>
      <c r="BA458" s="136">
        <f t="shared" si="94"/>
        <v>0.12233190524410294</v>
      </c>
      <c r="BB458" s="136">
        <f t="shared" si="95"/>
        <v>0.12233389538860033</v>
      </c>
      <c r="BC458" s="136" t="e">
        <f t="shared" si="96"/>
        <v>#N/A</v>
      </c>
      <c r="BD458" s="136" t="e">
        <f t="shared" si="101"/>
        <v>#N/A</v>
      </c>
      <c r="BE458" s="136" t="e">
        <f t="shared" si="97"/>
        <v>#N/A</v>
      </c>
      <c r="BF458" s="136" t="e">
        <f t="shared" si="98"/>
        <v>#N/A</v>
      </c>
      <c r="BG458" s="136" t="e">
        <f t="shared" si="99"/>
        <v>#N/A</v>
      </c>
    </row>
    <row r="459" spans="2:59" ht="11.25" customHeight="1">
      <c r="AP459" s="427"/>
      <c r="AQ459" s="321"/>
      <c r="AR459" s="321"/>
      <c r="AS459" s="321"/>
      <c r="AT459" s="321"/>
      <c r="AU459" s="136">
        <f t="shared" si="89"/>
        <v>5.2616138454242956E-2</v>
      </c>
      <c r="AV459" s="136">
        <f t="shared" si="100"/>
        <v>-1.6200000000000849</v>
      </c>
      <c r="AW459" s="136">
        <f t="shared" si="90"/>
        <v>0.10740607511346904</v>
      </c>
      <c r="AX459" s="136" t="e">
        <f t="shared" si="91"/>
        <v>#N/A</v>
      </c>
      <c r="AY459" s="136">
        <f t="shared" si="92"/>
        <v>-1.620010000000085</v>
      </c>
      <c r="AZ459" s="136">
        <f t="shared" si="93"/>
        <v>-1.6199900000000849</v>
      </c>
      <c r="BA459" s="136">
        <f t="shared" si="94"/>
        <v>0.12333221122414284</v>
      </c>
      <c r="BB459" s="136">
        <f t="shared" si="95"/>
        <v>0.12333422238537121</v>
      </c>
      <c r="BC459" s="136" t="e">
        <f t="shared" si="96"/>
        <v>#N/A</v>
      </c>
      <c r="BD459" s="136" t="e">
        <f t="shared" si="101"/>
        <v>#N/A</v>
      </c>
      <c r="BE459" s="136" t="e">
        <f t="shared" si="97"/>
        <v>#N/A</v>
      </c>
      <c r="BF459" s="136" t="e">
        <f t="shared" si="98"/>
        <v>#N/A</v>
      </c>
      <c r="BG459" s="136" t="e">
        <f t="shared" si="99"/>
        <v>#N/A</v>
      </c>
    </row>
    <row r="460" spans="2:59" ht="11.25" customHeight="1">
      <c r="AP460" s="427"/>
      <c r="AQ460" s="321"/>
      <c r="AR460" s="321"/>
      <c r="AS460" s="321"/>
      <c r="AT460" s="321"/>
      <c r="AU460" s="136">
        <f t="shared" si="89"/>
        <v>5.3698928148110503E-2</v>
      </c>
      <c r="AV460" s="136">
        <f t="shared" si="100"/>
        <v>-1.6100000000000849</v>
      </c>
      <c r="AW460" s="136">
        <f t="shared" si="90"/>
        <v>0.10915476589663244</v>
      </c>
      <c r="AX460" s="136" t="e">
        <f t="shared" si="91"/>
        <v>#N/A</v>
      </c>
      <c r="AY460" s="136">
        <f t="shared" si="92"/>
        <v>-1.610010000000085</v>
      </c>
      <c r="AZ460" s="136">
        <f t="shared" si="93"/>
        <v>-1.6099900000000849</v>
      </c>
      <c r="BA460" s="136">
        <f t="shared" si="94"/>
        <v>0.12434308529355224</v>
      </c>
      <c r="BB460" s="136">
        <f t="shared" si="95"/>
        <v>0.12434511771125697</v>
      </c>
      <c r="BC460" s="136" t="e">
        <f t="shared" si="96"/>
        <v>#N/A</v>
      </c>
      <c r="BD460" s="136" t="e">
        <f t="shared" si="101"/>
        <v>#N/A</v>
      </c>
      <c r="BE460" s="136" t="e">
        <f t="shared" si="97"/>
        <v>#N/A</v>
      </c>
      <c r="BF460" s="136" t="e">
        <f t="shared" si="98"/>
        <v>#N/A</v>
      </c>
      <c r="BG460" s="136" t="e">
        <f t="shared" si="99"/>
        <v>#N/A</v>
      </c>
    </row>
    <row r="461" spans="2:59" ht="11.25" customHeight="1">
      <c r="AP461" s="427"/>
      <c r="AQ461" s="321"/>
      <c r="AR461" s="321"/>
      <c r="AS461" s="321"/>
      <c r="AT461" s="321"/>
      <c r="AU461" s="136">
        <f t="shared" si="89"/>
        <v>5.4799291699548558E-2</v>
      </c>
      <c r="AV461" s="136">
        <f t="shared" si="100"/>
        <v>-1.6000000000000849</v>
      </c>
      <c r="AW461" s="136">
        <f t="shared" si="90"/>
        <v>0.11092083467944047</v>
      </c>
      <c r="AX461" s="136" t="e">
        <f t="shared" si="91"/>
        <v>#N/A</v>
      </c>
      <c r="AY461" s="136">
        <f t="shared" si="92"/>
        <v>-1.600010000000085</v>
      </c>
      <c r="AZ461" s="136">
        <f t="shared" si="93"/>
        <v>-1.5999900000000848</v>
      </c>
      <c r="BA461" s="136">
        <f t="shared" si="94"/>
        <v>0.12536464787895477</v>
      </c>
      <c r="BB461" s="136">
        <f t="shared" si="95"/>
        <v>0.12536670179509993</v>
      </c>
      <c r="BC461" s="136" t="e">
        <f t="shared" si="96"/>
        <v>#N/A</v>
      </c>
      <c r="BD461" s="136" t="e">
        <f t="shared" si="101"/>
        <v>#N/A</v>
      </c>
      <c r="BE461" s="136" t="e">
        <f t="shared" si="97"/>
        <v>#N/A</v>
      </c>
      <c r="BF461" s="136" t="e">
        <f t="shared" si="98"/>
        <v>#N/A</v>
      </c>
      <c r="BG461" s="136" t="e">
        <f t="shared" si="99"/>
        <v>#N/A</v>
      </c>
    </row>
    <row r="462" spans="2:59" ht="11.25" customHeight="1">
      <c r="AU462" s="136">
        <f t="shared" si="89"/>
        <v>5.591740251945998E-2</v>
      </c>
      <c r="AV462" s="136">
        <f t="shared" si="100"/>
        <v>-1.5900000000000849</v>
      </c>
      <c r="AW462" s="136">
        <f t="shared" si="90"/>
        <v>0.11270420657575535</v>
      </c>
      <c r="AX462" s="136" t="e">
        <f t="shared" si="91"/>
        <v>#N/A</v>
      </c>
      <c r="AY462" s="136">
        <f t="shared" si="92"/>
        <v>-1.590010000000085</v>
      </c>
      <c r="AZ462" s="136">
        <f t="shared" si="93"/>
        <v>-1.5899900000000848</v>
      </c>
      <c r="BA462" s="136">
        <f t="shared" si="94"/>
        <v>0.12639702051389307</v>
      </c>
      <c r="BB462" s="136">
        <f t="shared" si="95"/>
        <v>0.12639909617265169</v>
      </c>
      <c r="BC462" s="136" t="e">
        <f t="shared" si="96"/>
        <v>#N/A</v>
      </c>
      <c r="BD462" s="136" t="e">
        <f t="shared" si="101"/>
        <v>#N/A</v>
      </c>
      <c r="BE462" s="136" t="e">
        <f t="shared" si="97"/>
        <v>#N/A</v>
      </c>
      <c r="BF462" s="136" t="e">
        <f t="shared" si="98"/>
        <v>#N/A</v>
      </c>
      <c r="BG462" s="136" t="e">
        <f t="shared" si="99"/>
        <v>#N/A</v>
      </c>
    </row>
    <row r="463" spans="2:59" ht="11.25" customHeight="1">
      <c r="AU463" s="136">
        <f t="shared" si="89"/>
        <v>5.7053433237744478E-2</v>
      </c>
      <c r="AV463" s="136">
        <f t="shared" si="100"/>
        <v>-1.5800000000000849</v>
      </c>
      <c r="AW463" s="136">
        <f t="shared" si="90"/>
        <v>0.11450480025927701</v>
      </c>
      <c r="AX463" s="136" t="e">
        <f t="shared" si="91"/>
        <v>#N/A</v>
      </c>
      <c r="AY463" s="136">
        <f t="shared" si="92"/>
        <v>-1.580010000000085</v>
      </c>
      <c r="AZ463" s="136">
        <f t="shared" si="93"/>
        <v>-1.5799900000000848</v>
      </c>
      <c r="BA463" s="136">
        <f t="shared" si="94"/>
        <v>0.12744032583384854</v>
      </c>
      <c r="BB463" s="136">
        <f t="shared" si="95"/>
        <v>0.12744242348159207</v>
      </c>
      <c r="BC463" s="136" t="e">
        <f t="shared" si="96"/>
        <v>#N/A</v>
      </c>
      <c r="BD463" s="136" t="e">
        <f t="shared" si="101"/>
        <v>#N/A</v>
      </c>
      <c r="BE463" s="136" t="e">
        <f t="shared" si="97"/>
        <v>#N/A</v>
      </c>
      <c r="BF463" s="136" t="e">
        <f t="shared" si="98"/>
        <v>#N/A</v>
      </c>
      <c r="BG463" s="136" t="e">
        <f t="shared" si="99"/>
        <v>#N/A</v>
      </c>
    </row>
    <row r="464" spans="2:59" ht="11.25" customHeight="1">
      <c r="AU464" s="136">
        <f t="shared" si="89"/>
        <v>5.8207555638543074E-2</v>
      </c>
      <c r="AV464" s="136">
        <f t="shared" si="100"/>
        <v>-1.5700000000000849</v>
      </c>
      <c r="AW464" s="136">
        <f t="shared" si="90"/>
        <v>0.11632252789279157</v>
      </c>
      <c r="AX464" s="136" t="e">
        <f t="shared" si="91"/>
        <v>#N/A</v>
      </c>
      <c r="AY464" s="136">
        <f t="shared" si="92"/>
        <v>-1.5700100000000849</v>
      </c>
      <c r="AZ464" s="136">
        <f t="shared" si="93"/>
        <v>-1.5699900000000848</v>
      </c>
      <c r="BA464" s="136">
        <f t="shared" si="94"/>
        <v>0.12849468757047283</v>
      </c>
      <c r="BB464" s="136">
        <f t="shared" si="95"/>
        <v>0.12849680745575848</v>
      </c>
      <c r="BC464" s="136" t="e">
        <f t="shared" si="96"/>
        <v>#N/A</v>
      </c>
      <c r="BD464" s="136" t="e">
        <f t="shared" si="101"/>
        <v>#N/A</v>
      </c>
      <c r="BE464" s="136" t="e">
        <f t="shared" si="97"/>
        <v>#N/A</v>
      </c>
      <c r="BF464" s="136" t="e">
        <f t="shared" si="98"/>
        <v>#N/A</v>
      </c>
      <c r="BG464" s="136" t="e">
        <f t="shared" si="99"/>
        <v>#N/A</v>
      </c>
    </row>
    <row r="465" spans="47:59" ht="11.25" customHeight="1">
      <c r="AU465" s="136">
        <f t="shared" si="89"/>
        <v>5.9379940594783021E-2</v>
      </c>
      <c r="AV465" s="136">
        <f t="shared" si="100"/>
        <v>-1.5600000000000849</v>
      </c>
      <c r="AW465" s="136">
        <f t="shared" si="90"/>
        <v>0.11815729505956662</v>
      </c>
      <c r="AX465" s="136" t="e">
        <f t="shared" si="91"/>
        <v>#N/A</v>
      </c>
      <c r="AY465" s="136">
        <f t="shared" si="92"/>
        <v>-1.5600100000000849</v>
      </c>
      <c r="AZ465" s="136">
        <f t="shared" si="93"/>
        <v>-1.5599900000000848</v>
      </c>
      <c r="BA465" s="136">
        <f t="shared" si="94"/>
        <v>0.12956023054499946</v>
      </c>
      <c r="BB465" s="136">
        <f t="shared" si="95"/>
        <v>0.12956237291855666</v>
      </c>
      <c r="BC465" s="136" t="e">
        <f t="shared" si="96"/>
        <v>#N/A</v>
      </c>
      <c r="BD465" s="136" t="e">
        <f t="shared" si="101"/>
        <v>#N/A</v>
      </c>
      <c r="BE465" s="136" t="e">
        <f t="shared" si="97"/>
        <v>#N/A</v>
      </c>
      <c r="BF465" s="136" t="e">
        <f t="shared" si="98"/>
        <v>#N/A</v>
      </c>
      <c r="BG465" s="136" t="e">
        <f t="shared" si="99"/>
        <v>#N/A</v>
      </c>
    </row>
    <row r="466" spans="47:59" ht="11.25" customHeight="1">
      <c r="AU466" s="136">
        <f t="shared" si="89"/>
        <v>6.0570758002048697E-2</v>
      </c>
      <c r="AV466" s="136">
        <f t="shared" si="100"/>
        <v>-1.5500000000000849</v>
      </c>
      <c r="AW466" s="136">
        <f t="shared" si="90"/>
        <v>0.12000900069696979</v>
      </c>
      <c r="AX466" s="136" t="e">
        <f t="shared" si="91"/>
        <v>#N/A</v>
      </c>
      <c r="AY466" s="136">
        <f t="shared" si="92"/>
        <v>-1.5500100000000849</v>
      </c>
      <c r="AZ466" s="136">
        <f t="shared" si="93"/>
        <v>-1.5499900000000848</v>
      </c>
      <c r="BA466" s="136">
        <f t="shared" si="94"/>
        <v>0.1306370806608014</v>
      </c>
      <c r="BB466" s="136">
        <f t="shared" si="95"/>
        <v>0.13063924577551594</v>
      </c>
      <c r="BC466" s="136" t="e">
        <f t="shared" si="96"/>
        <v>#N/A</v>
      </c>
      <c r="BD466" s="136" t="e">
        <f t="shared" si="101"/>
        <v>#N/A</v>
      </c>
      <c r="BE466" s="136" t="e">
        <f t="shared" si="97"/>
        <v>#N/A</v>
      </c>
      <c r="BF466" s="136" t="e">
        <f t="shared" si="98"/>
        <v>#N/A</v>
      </c>
      <c r="BG466" s="136" t="e">
        <f t="shared" si="99"/>
        <v>#N/A</v>
      </c>
    </row>
    <row r="467" spans="47:59" ht="11.25" customHeight="1">
      <c r="AU467" s="136">
        <f t="shared" si="89"/>
        <v>6.1780176711801582E-2</v>
      </c>
      <c r="AV467" s="136">
        <f t="shared" si="100"/>
        <v>-1.5400000000000849</v>
      </c>
      <c r="AW467" s="136">
        <f t="shared" si="90"/>
        <v>0.12187753703238581</v>
      </c>
      <c r="AX467" s="136" t="e">
        <f t="shared" si="91"/>
        <v>#N/A</v>
      </c>
      <c r="AY467" s="136">
        <f t="shared" si="92"/>
        <v>-1.5400100000000849</v>
      </c>
      <c r="AZ467" s="136">
        <f t="shared" si="93"/>
        <v>-1.5399900000000848</v>
      </c>
      <c r="BA467" s="136">
        <f t="shared" si="94"/>
        <v>0.13172536585230621</v>
      </c>
      <c r="BB467" s="136">
        <f t="shared" si="95"/>
        <v>0.1317275539634028</v>
      </c>
      <c r="BC467" s="136" t="e">
        <f t="shared" si="96"/>
        <v>#N/A</v>
      </c>
      <c r="BD467" s="136" t="e">
        <f t="shared" si="101"/>
        <v>#N/A</v>
      </c>
      <c r="BE467" s="136" t="e">
        <f t="shared" si="97"/>
        <v>#N/A</v>
      </c>
      <c r="BF467" s="136" t="e">
        <f t="shared" si="98"/>
        <v>#N/A</v>
      </c>
      <c r="BG467" s="136" t="e">
        <f t="shared" si="99"/>
        <v>#N/A</v>
      </c>
    </row>
    <row r="468" spans="47:59" ht="11.25" customHeight="1">
      <c r="AU468" s="136">
        <f t="shared" si="89"/>
        <v>6.3008364463967959E-2</v>
      </c>
      <c r="AV468" s="136">
        <f t="shared" si="100"/>
        <v>-1.5300000000000848</v>
      </c>
      <c r="AW468" s="136">
        <f t="shared" si="90"/>
        <v>0.12376278952150704</v>
      </c>
      <c r="AX468" s="136" t="e">
        <f t="shared" si="91"/>
        <v>#N/A</v>
      </c>
      <c r="AY468" s="136">
        <f t="shared" si="92"/>
        <v>-1.5300100000000849</v>
      </c>
      <c r="AZ468" s="136">
        <f t="shared" si="93"/>
        <v>-1.5299900000000848</v>
      </c>
      <c r="BA468" s="136">
        <f t="shared" si="94"/>
        <v>0.13282521235269007</v>
      </c>
      <c r="BB468" s="136">
        <f t="shared" si="95"/>
        <v>0.13282742371713463</v>
      </c>
      <c r="BC468" s="136" t="e">
        <f t="shared" si="96"/>
        <v>#N/A</v>
      </c>
      <c r="BD468" s="136" t="e">
        <f t="shared" si="101"/>
        <v>#N/A</v>
      </c>
      <c r="BE468" s="136" t="e">
        <f t="shared" si="97"/>
        <v>#N/A</v>
      </c>
      <c r="BF468" s="136" t="e">
        <f t="shared" si="98"/>
        <v>#N/A</v>
      </c>
      <c r="BG468" s="136" t="e">
        <f t="shared" si="99"/>
        <v>#N/A</v>
      </c>
    </row>
    <row r="469" spans="47:59" ht="11.25" customHeight="1">
      <c r="AU469" s="136">
        <f t="shared" ref="AU469:AU532" si="102">NORMDIST(AV469,$AV$17,$AV$18,TRUE)</f>
        <v>6.4255487818925205E-2</v>
      </c>
      <c r="AV469" s="136">
        <f t="shared" si="100"/>
        <v>-1.5200000000000848</v>
      </c>
      <c r="AW469" s="136">
        <f t="shared" ref="AW469:AW532" si="103">IF($AV$13=1,NORMDIST(AV469,$AV$17,$AV$18,FALSE),NA())</f>
        <v>0.12566463678907192</v>
      </c>
      <c r="AX469" s="136" t="e">
        <f t="shared" ref="AX469:AX532" si="104">IF($AV$13=3,NORMDIST(AV469,$AV$17,$AV$18,FALSE),NA())</f>
        <v>#N/A</v>
      </c>
      <c r="AY469" s="136">
        <f t="shared" ref="AY469:AY532" si="105">AV469-$AY$19</f>
        <v>-1.5200100000000849</v>
      </c>
      <c r="AZ469" s="136">
        <f t="shared" ref="AZ469:AZ532" si="106">AV469+$AY$19</f>
        <v>-1.5199900000000848</v>
      </c>
      <c r="BA469" s="136">
        <f t="shared" ref="BA469:BA532" si="107">IF(AY469&lt;0,TDIST(-AY469,$AV$14,1),1-TDIST(AY469,$AV$14,1))</f>
        <v>0.1339367501215088</v>
      </c>
      <c r="BB469" s="136">
        <f t="shared" ref="BB469:BB532" si="108">IF(AZ469&lt;0,TDIST(-AZ469,$AV$14,1),1-TDIST(AZ469,$AV$14,1))</f>
        <v>0.13393898499854556</v>
      </c>
      <c r="BC469" s="136" t="e">
        <f t="shared" ref="BC469:BC532" si="109">IF($AV$13&gt;1,(BB469-BA469)/(2*$AY$19),NA())</f>
        <v>#N/A</v>
      </c>
      <c r="BD469" s="136" t="e">
        <f t="shared" si="101"/>
        <v>#N/A</v>
      </c>
      <c r="BE469" s="136" t="e">
        <f t="shared" ref="BE469:BE532" si="110">IF(ISNUMBER(BD469),BD469-$BE$19,NA())</f>
        <v>#N/A</v>
      </c>
      <c r="BF469" s="136" t="e">
        <f t="shared" ref="BF469:BF532" si="111">IF($AV$15=1,IF(AV469&gt;=$BF$19,BC469,NA()),IF($AV$15=2,IF(ABS(AV469)&gt;=$BF$19,BC469,NA()),NA()))</f>
        <v>#N/A</v>
      </c>
      <c r="BG469" s="136" t="e">
        <f t="shared" ref="BG469:BG532" si="112">IF(ISNUMBER(BF469),BF469-$BG$19,NA())</f>
        <v>#N/A</v>
      </c>
    </row>
    <row r="470" spans="47:59" ht="11.25" customHeight="1">
      <c r="AU470" s="136">
        <f t="shared" si="102"/>
        <v>6.552171208890567E-2</v>
      </c>
      <c r="AV470" s="136">
        <f t="shared" ref="AV470:AV533" si="113">AV469+$AY$10</f>
        <v>-1.5100000000000848</v>
      </c>
      <c r="AW470" s="136">
        <f t="shared" si="103"/>
        <v>0.12758295057212551</v>
      </c>
      <c r="AX470" s="136" t="e">
        <f t="shared" si="104"/>
        <v>#N/A</v>
      </c>
      <c r="AY470" s="136">
        <f t="shared" si="105"/>
        <v>-1.5100100000000849</v>
      </c>
      <c r="AZ470" s="136">
        <f t="shared" si="106"/>
        <v>-1.5099900000000848</v>
      </c>
      <c r="BA470" s="136">
        <f t="shared" si="107"/>
        <v>0.13506010929943268</v>
      </c>
      <c r="BB470" s="136">
        <f t="shared" si="108"/>
        <v>0.1350623679503801</v>
      </c>
      <c r="BC470" s="136" t="e">
        <f t="shared" si="109"/>
        <v>#N/A</v>
      </c>
      <c r="BD470" s="136" t="e">
        <f t="shared" ref="BD470:BD533" si="114">IF($AV$15=1,IF(OR(AND(AV470&gt;=$BD$19,$AS$5&gt;=0),AND(AV470&lt;=$BD$19,$AS$5&lt;0)),AW470,NA()),IF($AV$15=2,IF(ABS(AV470)&gt;=$BD$18,AW470,NA()),NA()))</f>
        <v>#N/A</v>
      </c>
      <c r="BE470" s="136" t="e">
        <f t="shared" si="110"/>
        <v>#N/A</v>
      </c>
      <c r="BF470" s="136" t="e">
        <f t="shared" si="111"/>
        <v>#N/A</v>
      </c>
      <c r="BG470" s="136" t="e">
        <f t="shared" si="112"/>
        <v>#N/A</v>
      </c>
    </row>
    <row r="471" spans="47:59" ht="11.25" customHeight="1">
      <c r="AU471" s="136">
        <f t="shared" si="102"/>
        <v>6.6807201268847094E-2</v>
      </c>
      <c r="AV471" s="136">
        <f t="shared" si="113"/>
        <v>-1.5000000000000848</v>
      </c>
      <c r="AW471" s="136">
        <f t="shared" si="103"/>
        <v>0.12951759566587526</v>
      </c>
      <c r="AX471" s="136" t="e">
        <f t="shared" si="104"/>
        <v>#N/A</v>
      </c>
      <c r="AY471" s="136">
        <f t="shared" si="105"/>
        <v>-1.5000100000000849</v>
      </c>
      <c r="AZ471" s="136">
        <f t="shared" si="106"/>
        <v>-1.4999900000000848</v>
      </c>
      <c r="BA471" s="136">
        <f t="shared" si="107"/>
        <v>0.13619542105821072</v>
      </c>
      <c r="BB471" s="136">
        <f t="shared" si="108"/>
        <v>0.1361977037464368</v>
      </c>
      <c r="BC471" s="136" t="e">
        <f t="shared" si="109"/>
        <v>#N/A</v>
      </c>
      <c r="BD471" s="136" t="e">
        <f t="shared" si="114"/>
        <v>#N/A</v>
      </c>
      <c r="BE471" s="136" t="e">
        <f t="shared" si="110"/>
        <v>#N/A</v>
      </c>
      <c r="BF471" s="136" t="e">
        <f t="shared" si="111"/>
        <v>#N/A</v>
      </c>
      <c r="BG471" s="136" t="e">
        <f t="shared" si="112"/>
        <v>#N/A</v>
      </c>
    </row>
    <row r="472" spans="47:59" ht="11.25" customHeight="1">
      <c r="AU472" s="136">
        <f t="shared" si="102"/>
        <v>6.8112117966714347E-2</v>
      </c>
      <c r="AV472" s="136">
        <f t="shared" si="113"/>
        <v>-1.4900000000000848</v>
      </c>
      <c r="AW472" s="136">
        <f t="shared" si="103"/>
        <v>0.13146842987221441</v>
      </c>
      <c r="AX472" s="136" t="e">
        <f t="shared" si="104"/>
        <v>#N/A</v>
      </c>
      <c r="AY472" s="136">
        <f t="shared" si="105"/>
        <v>-1.4900100000000849</v>
      </c>
      <c r="AZ472" s="136">
        <f t="shared" si="106"/>
        <v>-1.4899900000000847</v>
      </c>
      <c r="BA472" s="136">
        <f t="shared" si="107"/>
        <v>0.13734281758738365</v>
      </c>
      <c r="BB472" s="136">
        <f t="shared" si="108"/>
        <v>0.13734512457827797</v>
      </c>
      <c r="BC472" s="136" t="e">
        <f t="shared" si="109"/>
        <v>#N/A</v>
      </c>
      <c r="BD472" s="136" t="e">
        <f t="shared" si="114"/>
        <v>#N/A</v>
      </c>
      <c r="BE472" s="136" t="e">
        <f t="shared" si="110"/>
        <v>#N/A</v>
      </c>
      <c r="BF472" s="136" t="e">
        <f t="shared" si="111"/>
        <v>#N/A</v>
      </c>
      <c r="BG472" s="136" t="e">
        <f t="shared" si="112"/>
        <v>#N/A</v>
      </c>
    </row>
    <row r="473" spans="47:59" ht="11.25" customHeight="1">
      <c r="AU473" s="136">
        <f t="shared" si="102"/>
        <v>6.9436623333320346E-2</v>
      </c>
      <c r="AV473" s="136">
        <f t="shared" si="113"/>
        <v>-1.4800000000000848</v>
      </c>
      <c r="AW473" s="136">
        <f t="shared" si="103"/>
        <v>0.13343530395098555</v>
      </c>
      <c r="AX473" s="136" t="e">
        <f t="shared" si="104"/>
        <v>#N/A</v>
      </c>
      <c r="AY473" s="136">
        <f t="shared" si="105"/>
        <v>-1.4800100000000849</v>
      </c>
      <c r="AZ473" s="136">
        <f t="shared" si="106"/>
        <v>-1.4799900000000847</v>
      </c>
      <c r="BA473" s="136">
        <f t="shared" si="107"/>
        <v>0.13850243207988888</v>
      </c>
      <c r="BB473" s="136">
        <f t="shared" si="108"/>
        <v>0.13850476364083242</v>
      </c>
      <c r="BC473" s="136" t="e">
        <f t="shared" si="109"/>
        <v>#N/A</v>
      </c>
      <c r="BD473" s="136" t="e">
        <f t="shared" si="114"/>
        <v>#N/A</v>
      </c>
      <c r="BE473" s="136" t="e">
        <f t="shared" si="110"/>
        <v>#N/A</v>
      </c>
      <c r="BF473" s="136" t="e">
        <f t="shared" si="111"/>
        <v>#N/A</v>
      </c>
      <c r="BG473" s="136" t="e">
        <f t="shared" si="112"/>
        <v>#N/A</v>
      </c>
    </row>
    <row r="474" spans="47:59" ht="11.25" customHeight="1">
      <c r="AU474" s="136">
        <f t="shared" si="102"/>
        <v>7.0780876991674124E-2</v>
      </c>
      <c r="AV474" s="136">
        <f t="shared" si="113"/>
        <v>-1.4700000000000848</v>
      </c>
      <c r="AW474" s="136">
        <f t="shared" si="103"/>
        <v>0.13541806157405439</v>
      </c>
      <c r="AX474" s="136" t="e">
        <f t="shared" si="104"/>
        <v>#N/A</v>
      </c>
      <c r="AY474" s="136">
        <f t="shared" si="105"/>
        <v>-1.4700100000000849</v>
      </c>
      <c r="AZ474" s="136">
        <f t="shared" si="106"/>
        <v>-1.4699900000000847</v>
      </c>
      <c r="BA474" s="136">
        <f t="shared" si="107"/>
        <v>0.13967439871651657</v>
      </c>
      <c r="BB474" s="136">
        <f t="shared" si="108"/>
        <v>0.13967675511684977</v>
      </c>
      <c r="BC474" s="136" t="e">
        <f t="shared" si="109"/>
        <v>#N/A</v>
      </c>
      <c r="BD474" s="136" t="e">
        <f t="shared" si="114"/>
        <v>#N/A</v>
      </c>
      <c r="BE474" s="136" t="e">
        <f t="shared" si="110"/>
        <v>#N/A</v>
      </c>
      <c r="BF474" s="136" t="e">
        <f t="shared" si="111"/>
        <v>#N/A</v>
      </c>
      <c r="BG474" s="136" t="e">
        <f t="shared" si="112"/>
        <v>#N/A</v>
      </c>
    </row>
    <row r="475" spans="47:59" ht="11.25" customHeight="1">
      <c r="AU475" s="136">
        <f t="shared" si="102"/>
        <v>7.2145036965882148E-2</v>
      </c>
      <c r="AV475" s="136">
        <f t="shared" si="113"/>
        <v>-1.4600000000000848</v>
      </c>
      <c r="AW475" s="136">
        <f t="shared" si="103"/>
        <v>0.13741653928226474</v>
      </c>
      <c r="AX475" s="136" t="e">
        <f t="shared" si="104"/>
        <v>#N/A</v>
      </c>
      <c r="AY475" s="136">
        <f t="shared" si="105"/>
        <v>-1.4600100000000849</v>
      </c>
      <c r="AZ475" s="136">
        <f t="shared" si="106"/>
        <v>-1.4599900000000847</v>
      </c>
      <c r="BA475" s="136">
        <f t="shared" si="107"/>
        <v>0.1408588526491788</v>
      </c>
      <c r="BB475" s="136">
        <f t="shared" si="108"/>
        <v>0.14086123416016672</v>
      </c>
      <c r="BC475" s="136" t="e">
        <f t="shared" si="109"/>
        <v>#N/A</v>
      </c>
      <c r="BD475" s="136" t="e">
        <f t="shared" si="114"/>
        <v>#N/A</v>
      </c>
      <c r="BE475" s="136" t="e">
        <f t="shared" si="110"/>
        <v>#N/A</v>
      </c>
      <c r="BF475" s="136" t="e">
        <f t="shared" si="111"/>
        <v>#N/A</v>
      </c>
      <c r="BG475" s="136" t="e">
        <f t="shared" si="112"/>
        <v>#N/A</v>
      </c>
    </row>
    <row r="476" spans="47:59" ht="11.25" customHeight="1">
      <c r="AU476" s="136">
        <f t="shared" si="102"/>
        <v>7.3529259609636632E-2</v>
      </c>
      <c r="AV476" s="136">
        <f t="shared" si="113"/>
        <v>-1.4500000000000848</v>
      </c>
      <c r="AW476" s="136">
        <f t="shared" si="103"/>
        <v>0.1394305664453431</v>
      </c>
      <c r="AX476" s="136" t="e">
        <f t="shared" si="104"/>
        <v>#N/A</v>
      </c>
      <c r="AY476" s="136">
        <f t="shared" si="105"/>
        <v>-1.4500100000000848</v>
      </c>
      <c r="AZ476" s="136">
        <f t="shared" si="106"/>
        <v>-1.4499900000000847</v>
      </c>
      <c r="BA476" s="136">
        <f t="shared" si="107"/>
        <v>0.14205592998294753</v>
      </c>
      <c r="BB476" s="136">
        <f t="shared" si="108"/>
        <v>0.14205833687774275</v>
      </c>
      <c r="BC476" s="136" t="e">
        <f t="shared" si="109"/>
        <v>#N/A</v>
      </c>
      <c r="BD476" s="136" t="e">
        <f t="shared" si="114"/>
        <v>#N/A</v>
      </c>
      <c r="BE476" s="136" t="e">
        <f t="shared" si="110"/>
        <v>#N/A</v>
      </c>
      <c r="BF476" s="136" t="e">
        <f t="shared" si="111"/>
        <v>#N/A</v>
      </c>
      <c r="BG476" s="136" t="e">
        <f t="shared" si="112"/>
        <v>#N/A</v>
      </c>
    </row>
    <row r="477" spans="47:59" ht="11.25" customHeight="1">
      <c r="AU477" s="136">
        <f t="shared" si="102"/>
        <v>7.4933699534315168E-2</v>
      </c>
      <c r="AV477" s="136">
        <f t="shared" si="113"/>
        <v>-1.4400000000000848</v>
      </c>
      <c r="AW477" s="136">
        <f t="shared" si="103"/>
        <v>0.14145996522482149</v>
      </c>
      <c r="AX477" s="136" t="e">
        <f t="shared" si="104"/>
        <v>#N/A</v>
      </c>
      <c r="AY477" s="136">
        <f t="shared" si="105"/>
        <v>-1.4400100000000848</v>
      </c>
      <c r="AZ477" s="136">
        <f t="shared" si="106"/>
        <v>-1.4399900000000847</v>
      </c>
      <c r="BA477" s="136">
        <f t="shared" si="107"/>
        <v>0.14326576775681998</v>
      </c>
      <c r="BB477" s="136">
        <f t="shared" si="108"/>
        <v>0.14326820031042289</v>
      </c>
      <c r="BC477" s="136" t="e">
        <f t="shared" si="109"/>
        <v>#N/A</v>
      </c>
      <c r="BD477" s="136" t="e">
        <f t="shared" si="114"/>
        <v>#N/A</v>
      </c>
      <c r="BE477" s="136" t="e">
        <f t="shared" si="110"/>
        <v>#N/A</v>
      </c>
      <c r="BF477" s="136" t="e">
        <f t="shared" si="111"/>
        <v>#N/A</v>
      </c>
      <c r="BG477" s="136" t="e">
        <f t="shared" si="112"/>
        <v>#N/A</v>
      </c>
    </row>
    <row r="478" spans="47:59" ht="11.25" customHeight="1">
      <c r="AU478" s="136">
        <f t="shared" si="102"/>
        <v>7.6358509536726737E-2</v>
      </c>
      <c r="AV478" s="136">
        <f t="shared" si="113"/>
        <v>-1.4300000000000848</v>
      </c>
      <c r="AW478" s="136">
        <f t="shared" si="103"/>
        <v>0.14350455054004502</v>
      </c>
      <c r="AX478" s="136" t="e">
        <f t="shared" si="104"/>
        <v>#N/A</v>
      </c>
      <c r="AY478" s="136">
        <f t="shared" si="105"/>
        <v>-1.4300100000000848</v>
      </c>
      <c r="AZ478" s="136">
        <f t="shared" si="106"/>
        <v>-1.4299900000000847</v>
      </c>
      <c r="BA478" s="136">
        <f t="shared" si="107"/>
        <v>0.14448850392316964</v>
      </c>
      <c r="BB478" s="136">
        <f t="shared" si="108"/>
        <v>0.14449096241238554</v>
      </c>
      <c r="BC478" s="136" t="e">
        <f t="shared" si="109"/>
        <v>#N/A</v>
      </c>
      <c r="BD478" s="136" t="e">
        <f t="shared" si="114"/>
        <v>#N/A</v>
      </c>
      <c r="BE478" s="136" t="e">
        <f t="shared" si="110"/>
        <v>#N/A</v>
      </c>
      <c r="BF478" s="136" t="e">
        <f t="shared" si="111"/>
        <v>#N/A</v>
      </c>
      <c r="BG478" s="136" t="e">
        <f t="shared" si="112"/>
        <v>#N/A</v>
      </c>
    </row>
    <row r="479" spans="47:59" ht="11.25" customHeight="1">
      <c r="AU479" s="136">
        <f t="shared" si="102"/>
        <v>7.7803840526533996E-2</v>
      </c>
      <c r="AV479" s="136">
        <f t="shared" si="113"/>
        <v>-1.4200000000000847</v>
      </c>
      <c r="AW479" s="136">
        <f t="shared" si="103"/>
        <v>0.14556413003733007</v>
      </c>
      <c r="AX479" s="136" t="e">
        <f t="shared" si="104"/>
        <v>#N/A</v>
      </c>
      <c r="AY479" s="136">
        <f t="shared" si="105"/>
        <v>-1.4200100000000848</v>
      </c>
      <c r="AZ479" s="136">
        <f t="shared" si="106"/>
        <v>-1.4199900000000847</v>
      </c>
      <c r="BA479" s="136">
        <f t="shared" si="107"/>
        <v>0.14572427732583479</v>
      </c>
      <c r="BB479" s="136">
        <f t="shared" si="108"/>
        <v>0.14572676202922952</v>
      </c>
      <c r="BC479" s="136" t="e">
        <f t="shared" si="109"/>
        <v>#N/A</v>
      </c>
      <c r="BD479" s="136" t="e">
        <f t="shared" si="114"/>
        <v>#N/A</v>
      </c>
      <c r="BE479" s="136" t="e">
        <f t="shared" si="110"/>
        <v>#N/A</v>
      </c>
      <c r="BF479" s="136" t="e">
        <f t="shared" si="111"/>
        <v>#N/A</v>
      </c>
      <c r="BG479" s="136" t="e">
        <f t="shared" si="112"/>
        <v>#N/A</v>
      </c>
    </row>
    <row r="480" spans="47:59" ht="11.25" customHeight="1">
      <c r="AU480" s="136">
        <f t="shared" si="102"/>
        <v>7.9269841453379897E-2</v>
      </c>
      <c r="AV480" s="136">
        <f t="shared" si="113"/>
        <v>-1.4100000000000847</v>
      </c>
      <c r="AW480" s="136">
        <f t="shared" si="103"/>
        <v>0.14763850406233806</v>
      </c>
      <c r="AX480" s="136" t="e">
        <f t="shared" si="104"/>
        <v>#N/A</v>
      </c>
      <c r="AY480" s="136">
        <f t="shared" si="105"/>
        <v>-1.4100100000000848</v>
      </c>
      <c r="AZ480" s="136">
        <f t="shared" si="106"/>
        <v>-1.4099900000000847</v>
      </c>
      <c r="BA480" s="136">
        <f t="shared" si="107"/>
        <v>0.14697322767680551</v>
      </c>
      <c r="BB480" s="136">
        <f t="shared" si="108"/>
        <v>0.14697573887465634</v>
      </c>
      <c r="BC480" s="136" t="e">
        <f t="shared" si="109"/>
        <v>#N/A</v>
      </c>
      <c r="BD480" s="136" t="e">
        <f t="shared" si="114"/>
        <v>#N/A</v>
      </c>
      <c r="BE480" s="136" t="e">
        <f t="shared" si="110"/>
        <v>#N/A</v>
      </c>
      <c r="BF480" s="136" t="e">
        <f t="shared" si="111"/>
        <v>#N/A</v>
      </c>
      <c r="BG480" s="136" t="e">
        <f t="shared" si="112"/>
        <v>#N/A</v>
      </c>
    </row>
    <row r="481" spans="47:59" ht="11.25" customHeight="1">
      <c r="AU481" s="136">
        <f t="shared" si="102"/>
        <v>8.075665923375841E-2</v>
      </c>
      <c r="AV481" s="136">
        <f t="shared" si="113"/>
        <v>-1.4000000000000847</v>
      </c>
      <c r="AW481" s="136">
        <f t="shared" si="103"/>
        <v>0.14972746563572706</v>
      </c>
      <c r="AX481" s="136" t="e">
        <f t="shared" si="104"/>
        <v>#N/A</v>
      </c>
      <c r="AY481" s="136">
        <f t="shared" si="105"/>
        <v>-1.4000100000000848</v>
      </c>
      <c r="AZ481" s="136">
        <f t="shared" si="106"/>
        <v>-1.3999900000000847</v>
      </c>
      <c r="BA481" s="136">
        <f t="shared" si="107"/>
        <v>0.14823549553145757</v>
      </c>
      <c r="BB481" s="136">
        <f t="shared" si="108"/>
        <v>0.14823803350570336</v>
      </c>
      <c r="BC481" s="136" t="e">
        <f t="shared" si="109"/>
        <v>#N/A</v>
      </c>
      <c r="BD481" s="136" t="e">
        <f t="shared" si="114"/>
        <v>#N/A</v>
      </c>
      <c r="BE481" s="136" t="e">
        <f t="shared" si="110"/>
        <v>#N/A</v>
      </c>
      <c r="BF481" s="136" t="e">
        <f t="shared" si="111"/>
        <v>#N/A</v>
      </c>
      <c r="BG481" s="136" t="e">
        <f t="shared" si="112"/>
        <v>#N/A</v>
      </c>
    </row>
    <row r="482" spans="47:59" ht="11.25" customHeight="1">
      <c r="AU482" s="136">
        <f t="shared" si="102"/>
        <v>8.2264438677656204E-2</v>
      </c>
      <c r="AV482" s="136">
        <f t="shared" si="113"/>
        <v>-1.3900000000000847</v>
      </c>
      <c r="AW482" s="136">
        <f t="shared" si="103"/>
        <v>0.15183080043214375</v>
      </c>
      <c r="AX482" s="136" t="e">
        <f t="shared" si="104"/>
        <v>#N/A</v>
      </c>
      <c r="AY482" s="136">
        <f t="shared" si="105"/>
        <v>-1.3900100000000848</v>
      </c>
      <c r="AZ482" s="136">
        <f t="shared" si="106"/>
        <v>-1.3899900000000847</v>
      </c>
      <c r="BA482" s="136">
        <f t="shared" si="107"/>
        <v>0.14951122226229285</v>
      </c>
      <c r="BB482" s="136">
        <f t="shared" si="108"/>
        <v>0.1495137872964788</v>
      </c>
      <c r="BC482" s="136" t="e">
        <f t="shared" si="109"/>
        <v>#N/A</v>
      </c>
      <c r="BD482" s="136" t="e">
        <f t="shared" si="114"/>
        <v>#N/A</v>
      </c>
      <c r="BE482" s="136" t="e">
        <f t="shared" si="110"/>
        <v>#N/A</v>
      </c>
      <c r="BF482" s="136" t="e">
        <f t="shared" si="111"/>
        <v>#N/A</v>
      </c>
      <c r="BG482" s="136" t="e">
        <f t="shared" si="112"/>
        <v>#N/A</v>
      </c>
    </row>
    <row r="483" spans="47:59" ht="11.25" customHeight="1">
      <c r="AU483" s="136">
        <f t="shared" si="102"/>
        <v>8.3793322415001148E-2</v>
      </c>
      <c r="AV483" s="136">
        <f t="shared" si="113"/>
        <v>-1.3800000000000847</v>
      </c>
      <c r="AW483" s="136">
        <f t="shared" si="103"/>
        <v>0.15394828676261568</v>
      </c>
      <c r="AX483" s="136" t="e">
        <f t="shared" si="104"/>
        <v>#N/A</v>
      </c>
      <c r="AY483" s="136">
        <f t="shared" si="105"/>
        <v>-1.3800100000000848</v>
      </c>
      <c r="AZ483" s="136">
        <f t="shared" si="106"/>
        <v>-1.3799900000000846</v>
      </c>
      <c r="BA483" s="136">
        <f t="shared" si="107"/>
        <v>0.1508005500311333</v>
      </c>
      <c r="BB483" s="136">
        <f t="shared" si="108"/>
        <v>0.15080314241035456</v>
      </c>
      <c r="BC483" s="136" t="e">
        <f t="shared" si="109"/>
        <v>#N/A</v>
      </c>
      <c r="BD483" s="136" t="e">
        <f t="shared" si="114"/>
        <v>#N/A</v>
      </c>
      <c r="BE483" s="136" t="e">
        <f t="shared" si="110"/>
        <v>#N/A</v>
      </c>
      <c r="BF483" s="136" t="e">
        <f t="shared" si="111"/>
        <v>#N/A</v>
      </c>
      <c r="BG483" s="136" t="e">
        <f t="shared" si="112"/>
        <v>#N/A</v>
      </c>
    </row>
    <row r="484" spans="47:59" ht="11.25" customHeight="1">
      <c r="AU484" s="136">
        <f t="shared" si="102"/>
        <v>8.5343450821953826E-2</v>
      </c>
      <c r="AV484" s="136">
        <f t="shared" si="113"/>
        <v>-1.3700000000000847</v>
      </c>
      <c r="AW484" s="136">
        <f t="shared" si="103"/>
        <v>0.15607969556040271</v>
      </c>
      <c r="AX484" s="136" t="e">
        <f t="shared" si="104"/>
        <v>#N/A</v>
      </c>
      <c r="AY484" s="136">
        <f t="shared" si="105"/>
        <v>-1.3700100000000848</v>
      </c>
      <c r="AZ484" s="136">
        <f t="shared" si="106"/>
        <v>-1.3699900000000846</v>
      </c>
      <c r="BA484" s="136">
        <f t="shared" si="107"/>
        <v>0.15210362175972592</v>
      </c>
      <c r="BB484" s="136">
        <f t="shared" si="108"/>
        <v>0.15210624177056709</v>
      </c>
      <c r="BC484" s="136" t="e">
        <f t="shared" si="109"/>
        <v>#N/A</v>
      </c>
      <c r="BD484" s="136" t="e">
        <f t="shared" si="114"/>
        <v>#N/A</v>
      </c>
      <c r="BE484" s="136" t="e">
        <f t="shared" si="110"/>
        <v>#N/A</v>
      </c>
      <c r="BF484" s="136" t="e">
        <f t="shared" si="111"/>
        <v>#N/A</v>
      </c>
      <c r="BG484" s="136" t="e">
        <f t="shared" si="112"/>
        <v>#N/A</v>
      </c>
    </row>
    <row r="485" spans="47:59" ht="11.25" customHeight="1">
      <c r="AU485" s="136">
        <f t="shared" si="102"/>
        <v>8.691496194707149E-2</v>
      </c>
      <c r="AV485" s="136">
        <f t="shared" si="113"/>
        <v>-1.3600000000000847</v>
      </c>
      <c r="AW485" s="136">
        <f t="shared" si="103"/>
        <v>0.1582247903703648</v>
      </c>
      <c r="AX485" s="136" t="e">
        <f t="shared" si="104"/>
        <v>#N/A</v>
      </c>
      <c r="AY485" s="136">
        <f t="shared" si="105"/>
        <v>-1.3600100000000848</v>
      </c>
      <c r="AZ485" s="136">
        <f t="shared" si="106"/>
        <v>-1.3599900000000846</v>
      </c>
      <c r="BA485" s="136">
        <f t="shared" si="107"/>
        <v>0.15342058109870857</v>
      </c>
      <c r="BB485" s="136">
        <f t="shared" si="108"/>
        <v>0.15342322902917949</v>
      </c>
      <c r="BC485" s="136" t="e">
        <f t="shared" si="109"/>
        <v>#N/A</v>
      </c>
      <c r="BD485" s="136" t="e">
        <f t="shared" si="114"/>
        <v>#N/A</v>
      </c>
      <c r="BE485" s="136" t="e">
        <f t="shared" si="110"/>
        <v>#N/A</v>
      </c>
      <c r="BF485" s="136" t="e">
        <f t="shared" si="111"/>
        <v>#N/A</v>
      </c>
      <c r="BG485" s="136" t="e">
        <f t="shared" si="112"/>
        <v>#N/A</v>
      </c>
    </row>
    <row r="486" spans="47:59" ht="11.25" customHeight="1">
      <c r="AU486" s="136">
        <f t="shared" si="102"/>
        <v>8.8507991437388411E-2</v>
      </c>
      <c r="AV486" s="136">
        <f t="shared" si="113"/>
        <v>-1.3500000000000847</v>
      </c>
      <c r="AW486" s="136">
        <f t="shared" si="103"/>
        <v>0.16038332734190122</v>
      </c>
      <c r="AX486" s="136" t="e">
        <f t="shared" si="104"/>
        <v>#N/A</v>
      </c>
      <c r="AY486" s="136">
        <f t="shared" si="105"/>
        <v>-1.3500100000000848</v>
      </c>
      <c r="AZ486" s="136">
        <f t="shared" si="106"/>
        <v>-1.3499900000000846</v>
      </c>
      <c r="BA486" s="136">
        <f t="shared" si="107"/>
        <v>0.15475157239488571</v>
      </c>
      <c r="BB486" s="136">
        <f t="shared" si="108"/>
        <v>0.15475424853435485</v>
      </c>
      <c r="BC486" s="136" t="e">
        <f t="shared" si="109"/>
        <v>#N/A</v>
      </c>
      <c r="BD486" s="136" t="e">
        <f t="shared" si="114"/>
        <v>#N/A</v>
      </c>
      <c r="BE486" s="136" t="e">
        <f t="shared" si="110"/>
        <v>#N/A</v>
      </c>
      <c r="BF486" s="136" t="e">
        <f t="shared" si="111"/>
        <v>#N/A</v>
      </c>
      <c r="BG486" s="136" t="e">
        <f t="shared" si="112"/>
        <v>#N/A</v>
      </c>
    </row>
    <row r="487" spans="47:59" ht="11.25" customHeight="1">
      <c r="AU487" s="136">
        <f t="shared" si="102"/>
        <v>9.0122672464438724E-2</v>
      </c>
      <c r="AV487" s="136">
        <f t="shared" si="113"/>
        <v>-1.3400000000000847</v>
      </c>
      <c r="AW487" s="136">
        <f t="shared" si="103"/>
        <v>0.16255505522551567</v>
      </c>
      <c r="AX487" s="136" t="e">
        <f t="shared" si="104"/>
        <v>#N/A</v>
      </c>
      <c r="AY487" s="136">
        <f t="shared" si="105"/>
        <v>-1.3400100000000847</v>
      </c>
      <c r="AZ487" s="136">
        <f t="shared" si="106"/>
        <v>-1.3399900000000846</v>
      </c>
      <c r="BA487" s="136">
        <f t="shared" si="107"/>
        <v>0.1560967406567686</v>
      </c>
      <c r="BB487" s="136">
        <f t="shared" si="108"/>
        <v>0.15609944529589229</v>
      </c>
      <c r="BC487" s="136" t="e">
        <f t="shared" si="109"/>
        <v>#N/A</v>
      </c>
      <c r="BD487" s="136" t="e">
        <f t="shared" si="114"/>
        <v>#N/A</v>
      </c>
      <c r="BE487" s="136" t="e">
        <f t="shared" si="110"/>
        <v>#N/A</v>
      </c>
      <c r="BF487" s="136" t="e">
        <f t="shared" si="111"/>
        <v>#N/A</v>
      </c>
      <c r="BG487" s="136" t="e">
        <f t="shared" si="112"/>
        <v>#N/A</v>
      </c>
    </row>
    <row r="488" spans="47:59" ht="11.25" customHeight="1">
      <c r="AU488" s="136">
        <f t="shared" si="102"/>
        <v>9.1759135650266832E-2</v>
      </c>
      <c r="AV488" s="136">
        <f t="shared" si="113"/>
        <v>-1.3300000000000847</v>
      </c>
      <c r="AW488" s="136">
        <f t="shared" si="103"/>
        <v>0.16473971537305823</v>
      </c>
      <c r="AX488" s="136" t="e">
        <f t="shared" si="104"/>
        <v>#N/A</v>
      </c>
      <c r="AY488" s="136">
        <f t="shared" si="105"/>
        <v>-1.3300100000000847</v>
      </c>
      <c r="AZ488" s="136">
        <f t="shared" si="106"/>
        <v>-1.3299900000000846</v>
      </c>
      <c r="BA488" s="136">
        <f t="shared" si="107"/>
        <v>0.15745623151832738</v>
      </c>
      <c r="BB488" s="136">
        <f t="shared" si="108"/>
        <v>0.15745896494897485</v>
      </c>
      <c r="BC488" s="136" t="e">
        <f t="shared" si="109"/>
        <v>#N/A</v>
      </c>
      <c r="BD488" s="136" t="e">
        <f t="shared" si="114"/>
        <v>#N/A</v>
      </c>
      <c r="BE488" s="136" t="e">
        <f t="shared" si="110"/>
        <v>#N/A</v>
      </c>
      <c r="BF488" s="136" t="e">
        <f t="shared" si="111"/>
        <v>#N/A</v>
      </c>
      <c r="BG488" s="136" t="e">
        <f t="shared" si="112"/>
        <v>#N/A</v>
      </c>
    </row>
    <row r="489" spans="47:59" ht="11.25" customHeight="1">
      <c r="AU489" s="136">
        <f t="shared" si="102"/>
        <v>9.3417508993457687E-2</v>
      </c>
      <c r="AV489" s="136">
        <f t="shared" si="113"/>
        <v>-1.3200000000000847</v>
      </c>
      <c r="AW489" s="136">
        <f t="shared" si="103"/>
        <v>0.16693704174169516</v>
      </c>
      <c r="AX489" s="136" t="e">
        <f t="shared" si="104"/>
        <v>#N/A</v>
      </c>
      <c r="AY489" s="136">
        <f t="shared" si="105"/>
        <v>-1.3200100000000847</v>
      </c>
      <c r="AZ489" s="136">
        <f t="shared" si="106"/>
        <v>-1.3199900000000846</v>
      </c>
      <c r="BA489" s="136">
        <f t="shared" si="107"/>
        <v>0.15883019120090458</v>
      </c>
      <c r="BB489" s="136">
        <f t="shared" si="108"/>
        <v>0.15883295371608075</v>
      </c>
      <c r="BC489" s="136" t="e">
        <f t="shared" si="109"/>
        <v>#N/A</v>
      </c>
      <c r="BD489" s="136" t="e">
        <f t="shared" si="114"/>
        <v>#N/A</v>
      </c>
      <c r="BE489" s="136" t="e">
        <f t="shared" si="110"/>
        <v>#N/A</v>
      </c>
      <c r="BF489" s="136" t="e">
        <f t="shared" si="111"/>
        <v>#N/A</v>
      </c>
      <c r="BG489" s="136" t="e">
        <f t="shared" si="112"/>
        <v>#N/A</v>
      </c>
    </row>
    <row r="490" spans="47:59" ht="11.25" customHeight="1">
      <c r="AU490" s="136">
        <f t="shared" si="102"/>
        <v>9.5097917795224696E-2</v>
      </c>
      <c r="AV490" s="136">
        <f t="shared" si="113"/>
        <v>-1.3100000000000847</v>
      </c>
      <c r="AW490" s="136">
        <f t="shared" si="103"/>
        <v>0.16914676090165365</v>
      </c>
      <c r="AX490" s="136" t="e">
        <f t="shared" si="104"/>
        <v>#N/A</v>
      </c>
      <c r="AY490" s="136">
        <f t="shared" si="105"/>
        <v>-1.3100100000000847</v>
      </c>
      <c r="AZ490" s="136">
        <f t="shared" si="106"/>
        <v>-1.3099900000000846</v>
      </c>
      <c r="BA490" s="136">
        <f t="shared" si="107"/>
        <v>0.16021876647324093</v>
      </c>
      <c r="BB490" s="136">
        <f t="shared" si="108"/>
        <v>0.16022155836700411</v>
      </c>
      <c r="BC490" s="136" t="e">
        <f t="shared" si="109"/>
        <v>#N/A</v>
      </c>
      <c r="BD490" s="136" t="e">
        <f t="shared" si="114"/>
        <v>#N/A</v>
      </c>
      <c r="BE490" s="136" t="e">
        <f t="shared" si="110"/>
        <v>#N/A</v>
      </c>
      <c r="BF490" s="136" t="e">
        <f t="shared" si="111"/>
        <v>#N/A</v>
      </c>
      <c r="BG490" s="136" t="e">
        <f t="shared" si="112"/>
        <v>#N/A</v>
      </c>
    </row>
    <row r="491" spans="47:59" ht="11.25" customHeight="1">
      <c r="AU491" s="136">
        <f t="shared" si="102"/>
        <v>9.680048458559587E-2</v>
      </c>
      <c r="AV491" s="136">
        <f t="shared" si="113"/>
        <v>-1.3000000000000846</v>
      </c>
      <c r="AW491" s="136">
        <f t="shared" si="103"/>
        <v>0.17136859204778851</v>
      </c>
      <c r="AX491" s="136" t="e">
        <f t="shared" si="104"/>
        <v>#N/A</v>
      </c>
      <c r="AY491" s="136">
        <f t="shared" si="105"/>
        <v>-1.3000100000000847</v>
      </c>
      <c r="AZ491" s="136">
        <f t="shared" si="106"/>
        <v>-1.2999900000000846</v>
      </c>
      <c r="BA491" s="136">
        <f t="shared" si="107"/>
        <v>0.16162210460956147</v>
      </c>
      <c r="BB491" s="136">
        <f t="shared" si="108"/>
        <v>0.16162492617693752</v>
      </c>
      <c r="BC491" s="136" t="e">
        <f t="shared" si="109"/>
        <v>#N/A</v>
      </c>
      <c r="BD491" s="136" t="e">
        <f t="shared" si="114"/>
        <v>#N/A</v>
      </c>
      <c r="BE491" s="136" t="e">
        <f t="shared" si="110"/>
        <v>#N/A</v>
      </c>
      <c r="BF491" s="136" t="e">
        <f t="shared" si="111"/>
        <v>#N/A</v>
      </c>
      <c r="BG491" s="136" t="e">
        <f t="shared" si="112"/>
        <v>#N/A</v>
      </c>
    </row>
    <row r="492" spans="47:59" ht="11.25" customHeight="1">
      <c r="AU492" s="136">
        <f t="shared" si="102"/>
        <v>9.8525329049733212E-2</v>
      </c>
      <c r="AV492" s="136">
        <f t="shared" si="113"/>
        <v>-1.2900000000000846</v>
      </c>
      <c r="AW492" s="136">
        <f t="shared" si="103"/>
        <v>0.17360224701501403</v>
      </c>
      <c r="AX492" s="136" t="e">
        <f t="shared" si="104"/>
        <v>#N/A</v>
      </c>
      <c r="AY492" s="136">
        <f t="shared" si="105"/>
        <v>-1.2900100000000847</v>
      </c>
      <c r="AZ492" s="136">
        <f t="shared" si="106"/>
        <v>-1.2899900000000846</v>
      </c>
      <c r="BA492" s="136">
        <f t="shared" si="107"/>
        <v>0.16304035334566969</v>
      </c>
      <c r="BB492" s="136">
        <f t="shared" si="108"/>
        <v>0.16304320488256252</v>
      </c>
      <c r="BC492" s="136" t="e">
        <f t="shared" si="109"/>
        <v>#N/A</v>
      </c>
      <c r="BD492" s="136" t="e">
        <f t="shared" si="114"/>
        <v>#N/A</v>
      </c>
      <c r="BE492" s="136" t="e">
        <f t="shared" si="110"/>
        <v>#N/A</v>
      </c>
      <c r="BF492" s="136" t="e">
        <f t="shared" si="111"/>
        <v>#N/A</v>
      </c>
      <c r="BG492" s="136" t="e">
        <f t="shared" si="112"/>
        <v>#N/A</v>
      </c>
    </row>
    <row r="493" spans="47:59" ht="11.25" customHeight="1">
      <c r="AU493" s="136">
        <f t="shared" si="102"/>
        <v>0.10027256795442718</v>
      </c>
      <c r="AV493" s="136">
        <f t="shared" si="113"/>
        <v>-1.2800000000000846</v>
      </c>
      <c r="AW493" s="136">
        <f t="shared" si="103"/>
        <v>0.1758474302976433</v>
      </c>
      <c r="AX493" s="136" t="e">
        <f t="shared" si="104"/>
        <v>#N/A</v>
      </c>
      <c r="AY493" s="136">
        <f t="shared" si="105"/>
        <v>-1.2800100000000847</v>
      </c>
      <c r="AZ493" s="136">
        <f t="shared" si="106"/>
        <v>-1.2799900000000846</v>
      </c>
      <c r="BA493" s="136">
        <f t="shared" si="107"/>
        <v>0.164473660833</v>
      </c>
      <c r="BB493" s="136">
        <f t="shared" si="108"/>
        <v>0.1644765426360969</v>
      </c>
      <c r="BC493" s="136" t="e">
        <f t="shared" si="109"/>
        <v>#N/A</v>
      </c>
      <c r="BD493" s="136" t="e">
        <f t="shared" si="114"/>
        <v>#N/A</v>
      </c>
      <c r="BE493" s="136" t="e">
        <f t="shared" si="110"/>
        <v>#N/A</v>
      </c>
      <c r="BF493" s="136" t="e">
        <f t="shared" si="111"/>
        <v>#N/A</v>
      </c>
      <c r="BG493" s="136" t="e">
        <f t="shared" si="112"/>
        <v>#N/A</v>
      </c>
    </row>
    <row r="494" spans="47:59" ht="11.25" customHeight="1">
      <c r="AU494" s="136">
        <f t="shared" si="102"/>
        <v>0.10204231507480421</v>
      </c>
      <c r="AV494" s="136">
        <f t="shared" si="113"/>
        <v>-1.2700000000000846</v>
      </c>
      <c r="AW494" s="136">
        <f t="shared" si="103"/>
        <v>0.17810383907267441</v>
      </c>
      <c r="AX494" s="136" t="e">
        <f t="shared" si="104"/>
        <v>#N/A</v>
      </c>
      <c r="AY494" s="136">
        <f t="shared" si="105"/>
        <v>-1.2700100000000847</v>
      </c>
      <c r="AZ494" s="136">
        <f t="shared" si="106"/>
        <v>-1.2699900000000846</v>
      </c>
      <c r="BA494" s="136">
        <f t="shared" si="107"/>
        <v>0.16592217559057396</v>
      </c>
      <c r="BB494" s="136">
        <f t="shared" si="108"/>
        <v>0.16592508795724836</v>
      </c>
      <c r="BC494" s="136" t="e">
        <f t="shared" si="109"/>
        <v>#N/A</v>
      </c>
      <c r="BD494" s="136" t="e">
        <f t="shared" si="114"/>
        <v>#N/A</v>
      </c>
      <c r="BE494" s="136" t="e">
        <f t="shared" si="110"/>
        <v>#N/A</v>
      </c>
      <c r="BF494" s="136" t="e">
        <f t="shared" si="111"/>
        <v>#N/A</v>
      </c>
      <c r="BG494" s="136" t="e">
        <f t="shared" si="112"/>
        <v>#N/A</v>
      </c>
    </row>
    <row r="495" spans="47:59" ht="11.25" customHeight="1">
      <c r="AU495" s="136">
        <f t="shared" si="102"/>
        <v>0.10383468112128513</v>
      </c>
      <c r="AV495" s="136">
        <f t="shared" si="113"/>
        <v>-1.2600000000000846</v>
      </c>
      <c r="AW495" s="136">
        <f t="shared" si="103"/>
        <v>0.18037116322706107</v>
      </c>
      <c r="AX495" s="136" t="e">
        <f t="shared" si="104"/>
        <v>#N/A</v>
      </c>
      <c r="AY495" s="136">
        <f t="shared" si="105"/>
        <v>-1.2600100000000847</v>
      </c>
      <c r="AZ495" s="136">
        <f t="shared" si="106"/>
        <v>-1.2599900000000845</v>
      </c>
      <c r="BA495" s="136">
        <f t="shared" si="107"/>
        <v>0.16738604645481256</v>
      </c>
      <c r="BB495" s="136">
        <f t="shared" si="108"/>
        <v>0.16738898968302043</v>
      </c>
      <c r="BC495" s="136" t="e">
        <f t="shared" si="109"/>
        <v>#N/A</v>
      </c>
      <c r="BD495" s="136" t="e">
        <f t="shared" si="114"/>
        <v>#N/A</v>
      </c>
      <c r="BE495" s="136" t="e">
        <f t="shared" si="110"/>
        <v>#N/A</v>
      </c>
      <c r="BF495" s="136" t="e">
        <f t="shared" si="111"/>
        <v>#N/A</v>
      </c>
      <c r="BG495" s="136" t="e">
        <f t="shared" si="112"/>
        <v>#N/A</v>
      </c>
    </row>
    <row r="496" spans="47:59" ht="11.25" customHeight="1">
      <c r="AU496" s="136">
        <f t="shared" si="102"/>
        <v>0.10564977366683981</v>
      </c>
      <c r="AV496" s="136">
        <f t="shared" si="113"/>
        <v>-1.2500000000000846</v>
      </c>
      <c r="AW496" s="136">
        <f t="shared" si="103"/>
        <v>0.1826490853890026</v>
      </c>
      <c r="AX496" s="136" t="e">
        <f t="shared" si="104"/>
        <v>#N/A</v>
      </c>
      <c r="AY496" s="136">
        <f t="shared" si="105"/>
        <v>-1.2500100000000847</v>
      </c>
      <c r="AZ496" s="136">
        <f t="shared" si="106"/>
        <v>-1.2499900000000845</v>
      </c>
      <c r="BA496" s="136">
        <f t="shared" si="107"/>
        <v>0.1688654225271472</v>
      </c>
      <c r="BB496" s="136">
        <f t="shared" si="108"/>
        <v>0.16886839691532099</v>
      </c>
      <c r="BC496" s="136" t="e">
        <f t="shared" si="109"/>
        <v>#N/A</v>
      </c>
      <c r="BD496" s="136" t="e">
        <f t="shared" si="114"/>
        <v>#N/A</v>
      </c>
      <c r="BE496" s="136" t="e">
        <f t="shared" si="110"/>
        <v>#N/A</v>
      </c>
      <c r="BF496" s="136" t="e">
        <f t="shared" si="111"/>
        <v>#N/A</v>
      </c>
      <c r="BG496" s="136" t="e">
        <f t="shared" si="112"/>
        <v>#N/A</v>
      </c>
    </row>
    <row r="497" spans="47:59" ht="11.25" customHeight="1">
      <c r="AU497" s="136">
        <f t="shared" si="102"/>
        <v>0.10748769707457129</v>
      </c>
      <c r="AV497" s="136">
        <f t="shared" si="113"/>
        <v>-1.2400000000000846</v>
      </c>
      <c r="AW497" s="136">
        <f t="shared" si="103"/>
        <v>0.18493728096328588</v>
      </c>
      <c r="AX497" s="136" t="e">
        <f t="shared" si="104"/>
        <v>#N/A</v>
      </c>
      <c r="AY497" s="136">
        <f t="shared" si="105"/>
        <v>-1.2400100000000847</v>
      </c>
      <c r="AZ497" s="136">
        <f t="shared" si="106"/>
        <v>-1.2399900000000845</v>
      </c>
      <c r="BA497" s="136">
        <f t="shared" si="107"/>
        <v>0.17036045311938219</v>
      </c>
      <c r="BB497" s="136">
        <f t="shared" si="108"/>
        <v>0.17036345896631847</v>
      </c>
      <c r="BC497" s="136" t="e">
        <f t="shared" si="109"/>
        <v>#N/A</v>
      </c>
      <c r="BD497" s="136" t="e">
        <f t="shared" si="114"/>
        <v>#N/A</v>
      </c>
      <c r="BE497" s="136" t="e">
        <f t="shared" si="110"/>
        <v>#N/A</v>
      </c>
      <c r="BF497" s="136" t="e">
        <f t="shared" si="111"/>
        <v>#N/A</v>
      </c>
      <c r="BG497" s="136" t="e">
        <f t="shared" si="112"/>
        <v>#N/A</v>
      </c>
    </row>
    <row r="498" spans="47:59" ht="11.25" customHeight="1">
      <c r="AU498" s="136">
        <f t="shared" si="102"/>
        <v>0.10934855242567609</v>
      </c>
      <c r="AV498" s="136">
        <f t="shared" si="113"/>
        <v>-1.2300000000000846</v>
      </c>
      <c r="AW498" s="136">
        <f t="shared" si="103"/>
        <v>0.18723541817071004</v>
      </c>
      <c r="AX498" s="136" t="e">
        <f t="shared" si="104"/>
        <v>#N/A</v>
      </c>
      <c r="AY498" s="136">
        <f t="shared" si="105"/>
        <v>-1.2300100000000846</v>
      </c>
      <c r="AZ498" s="136">
        <f t="shared" si="106"/>
        <v>-1.2299900000000845</v>
      </c>
      <c r="BA498" s="136">
        <f t="shared" si="107"/>
        <v>0.17187128769675522</v>
      </c>
      <c r="BB498" s="136">
        <f t="shared" si="108"/>
        <v>0.17187432530149907</v>
      </c>
      <c r="BC498" s="136" t="e">
        <f t="shared" si="109"/>
        <v>#N/A</v>
      </c>
      <c r="BD498" s="136" t="e">
        <f t="shared" si="114"/>
        <v>#N/A</v>
      </c>
      <c r="BE498" s="136" t="e">
        <f t="shared" si="110"/>
        <v>#N/A</v>
      </c>
      <c r="BF498" s="136" t="e">
        <f t="shared" si="111"/>
        <v>#N/A</v>
      </c>
      <c r="BG498" s="136" t="e">
        <f t="shared" si="112"/>
        <v>#N/A</v>
      </c>
    </row>
    <row r="499" spans="47:59" ht="11.25" customHeight="1">
      <c r="AU499" s="136">
        <f t="shared" si="102"/>
        <v>0.11123243744781885</v>
      </c>
      <c r="AV499" s="136">
        <f t="shared" si="113"/>
        <v>-1.2200000000000846</v>
      </c>
      <c r="AW499" s="136">
        <f t="shared" si="103"/>
        <v>0.18954315809162064</v>
      </c>
      <c r="AX499" s="136" t="e">
        <f t="shared" si="104"/>
        <v>#N/A</v>
      </c>
      <c r="AY499" s="136">
        <f t="shared" si="105"/>
        <v>-1.2200100000000846</v>
      </c>
      <c r="AZ499" s="136">
        <f t="shared" si="106"/>
        <v>-1.2199900000000845</v>
      </c>
      <c r="BA499" s="136">
        <f t="shared" si="107"/>
        <v>0.17339807738573987</v>
      </c>
      <c r="BB499" s="136">
        <f t="shared" si="108"/>
        <v>0.17340114704788756</v>
      </c>
      <c r="BC499" s="136" t="e">
        <f t="shared" si="109"/>
        <v>#N/A</v>
      </c>
      <c r="BD499" s="136" t="e">
        <f t="shared" si="114"/>
        <v>#N/A</v>
      </c>
      <c r="BE499" s="136" t="e">
        <f t="shared" si="110"/>
        <v>#N/A</v>
      </c>
      <c r="BF499" s="136" t="e">
        <f t="shared" si="111"/>
        <v>#N/A</v>
      </c>
      <c r="BG499" s="136" t="e">
        <f t="shared" si="112"/>
        <v>#N/A</v>
      </c>
    </row>
    <row r="500" spans="47:59" ht="11.25" customHeight="1">
      <c r="AU500" s="136">
        <f t="shared" si="102"/>
        <v>0.11313944644396112</v>
      </c>
      <c r="AV500" s="136">
        <f t="shared" si="113"/>
        <v>-1.2100000000000846</v>
      </c>
      <c r="AW500" s="136">
        <f t="shared" si="103"/>
        <v>0.19186015471357973</v>
      </c>
      <c r="AX500" s="136" t="e">
        <f t="shared" si="104"/>
        <v>#N/A</v>
      </c>
      <c r="AY500" s="136">
        <f t="shared" si="105"/>
        <v>-1.2100100000000846</v>
      </c>
      <c r="AZ500" s="136">
        <f t="shared" si="106"/>
        <v>-1.2099900000000845</v>
      </c>
      <c r="BA500" s="136">
        <f t="shared" si="107"/>
        <v>0.17494096887187455</v>
      </c>
      <c r="BB500" s="136">
        <f t="shared" si="108"/>
        <v>0.17494407089024078</v>
      </c>
      <c r="BC500" s="136" t="e">
        <f t="shared" si="109"/>
        <v>#N/A</v>
      </c>
      <c r="BD500" s="136" t="e">
        <f t="shared" si="114"/>
        <v>#N/A</v>
      </c>
      <c r="BE500" s="136" t="e">
        <f t="shared" si="110"/>
        <v>#N/A</v>
      </c>
      <c r="BF500" s="136" t="e">
        <f t="shared" si="111"/>
        <v>#N/A</v>
      </c>
      <c r="BG500" s="136" t="e">
        <f t="shared" si="112"/>
        <v>#N/A</v>
      </c>
    </row>
    <row r="501" spans="47:59" ht="11.25" customHeight="1">
      <c r="AU501" s="136">
        <f t="shared" si="102"/>
        <v>0.1150696702216919</v>
      </c>
      <c r="AV501" s="136">
        <f t="shared" si="113"/>
        <v>-1.2000000000000846</v>
      </c>
      <c r="AW501" s="136">
        <f t="shared" si="103"/>
        <v>0.19418605498319322</v>
      </c>
      <c r="AX501" s="136" t="e">
        <f t="shared" si="104"/>
        <v>#N/A</v>
      </c>
      <c r="AY501" s="136">
        <f t="shared" si="105"/>
        <v>-1.2000100000000846</v>
      </c>
      <c r="AZ501" s="136">
        <f t="shared" si="106"/>
        <v>-1.1999900000000845</v>
      </c>
      <c r="BA501" s="136">
        <f t="shared" si="107"/>
        <v>0.17650011308953306</v>
      </c>
      <c r="BB501" s="136">
        <f t="shared" si="108"/>
        <v>0.17650324776317239</v>
      </c>
      <c r="BC501" s="136" t="e">
        <f t="shared" si="109"/>
        <v>#N/A</v>
      </c>
      <c r="BD501" s="136" t="e">
        <f t="shared" si="114"/>
        <v>#N/A</v>
      </c>
      <c r="BE501" s="136" t="e">
        <f t="shared" si="110"/>
        <v>#N/A</v>
      </c>
      <c r="BF501" s="136" t="e">
        <f t="shared" si="111"/>
        <v>#N/A</v>
      </c>
      <c r="BG501" s="136" t="e">
        <f t="shared" si="112"/>
        <v>#N/A</v>
      </c>
    </row>
    <row r="502" spans="47:59" ht="11.25" customHeight="1">
      <c r="AU502" s="136">
        <f t="shared" si="102"/>
        <v>0.1170231960230923</v>
      </c>
      <c r="AV502" s="136">
        <f t="shared" si="113"/>
        <v>-1.1900000000000845</v>
      </c>
      <c r="AW502" s="136">
        <f t="shared" si="103"/>
        <v>0.19652049886211673</v>
      </c>
      <c r="AX502" s="136" t="e">
        <f t="shared" si="104"/>
        <v>#N/A</v>
      </c>
      <c r="AY502" s="136">
        <f t="shared" si="105"/>
        <v>-1.1900100000000846</v>
      </c>
      <c r="AZ502" s="136">
        <f t="shared" si="106"/>
        <v>-1.1899900000000845</v>
      </c>
      <c r="BA502" s="136">
        <f t="shared" si="107"/>
        <v>0.17807565950599424</v>
      </c>
      <c r="BB502" s="136">
        <f t="shared" si="108"/>
        <v>0.17807882713369777</v>
      </c>
      <c r="BC502" s="136" t="e">
        <f t="shared" si="109"/>
        <v>#N/A</v>
      </c>
      <c r="BD502" s="136" t="e">
        <f t="shared" si="114"/>
        <v>#N/A</v>
      </c>
      <c r="BE502" s="136" t="e">
        <f t="shared" si="110"/>
        <v>#N/A</v>
      </c>
      <c r="BF502" s="136" t="e">
        <f t="shared" si="111"/>
        <v>#N/A</v>
      </c>
      <c r="BG502" s="136" t="e">
        <f t="shared" si="112"/>
        <v>#N/A</v>
      </c>
    </row>
    <row r="503" spans="47:59" ht="11.25" customHeight="1">
      <c r="AU503" s="136">
        <f t="shared" si="102"/>
        <v>0.11900010745518386</v>
      </c>
      <c r="AV503" s="136">
        <f t="shared" si="113"/>
        <v>-1.1800000000000845</v>
      </c>
      <c r="AW503" s="136">
        <f t="shared" si="103"/>
        <v>0.19886311938725604</v>
      </c>
      <c r="AX503" s="136" t="e">
        <f t="shared" si="104"/>
        <v>#N/A</v>
      </c>
      <c r="AY503" s="136">
        <f t="shared" si="105"/>
        <v>-1.1800100000000846</v>
      </c>
      <c r="AZ503" s="136">
        <f t="shared" si="106"/>
        <v>-1.1799900000000845</v>
      </c>
      <c r="BA503" s="136">
        <f t="shared" si="107"/>
        <v>0.17966775742184693</v>
      </c>
      <c r="BB503" s="136">
        <f t="shared" si="108"/>
        <v>0.17967095830200136</v>
      </c>
      <c r="BC503" s="136" t="e">
        <f t="shared" si="109"/>
        <v>#N/A</v>
      </c>
      <c r="BD503" s="136" t="e">
        <f t="shared" si="114"/>
        <v>#N/A</v>
      </c>
      <c r="BE503" s="136" t="e">
        <f t="shared" si="110"/>
        <v>#N/A</v>
      </c>
      <c r="BF503" s="136" t="e">
        <f t="shared" si="111"/>
        <v>#N/A</v>
      </c>
      <c r="BG503" s="136" t="e">
        <f t="shared" si="112"/>
        <v>#N/A</v>
      </c>
    </row>
    <row r="504" spans="47:59" ht="11.25" customHeight="1">
      <c r="AU504" s="136">
        <f t="shared" si="102"/>
        <v>0.1210004844210012</v>
      </c>
      <c r="AV504" s="136">
        <f t="shared" si="113"/>
        <v>-1.1700000000000845</v>
      </c>
      <c r="AW504" s="136">
        <f t="shared" si="103"/>
        <v>0.20121354273517744</v>
      </c>
      <c r="AX504" s="136" t="e">
        <f t="shared" si="104"/>
        <v>#N/A</v>
      </c>
      <c r="AY504" s="136">
        <f t="shared" si="105"/>
        <v>-1.1700100000000846</v>
      </c>
      <c r="AZ504" s="136">
        <f t="shared" si="106"/>
        <v>-1.1699900000000845</v>
      </c>
      <c r="BA504" s="136">
        <f t="shared" si="107"/>
        <v>0.18127655589931679</v>
      </c>
      <c r="BB504" s="136">
        <f t="shared" si="108"/>
        <v>0.18127979032975827</v>
      </c>
      <c r="BC504" s="136" t="e">
        <f t="shared" si="109"/>
        <v>#N/A</v>
      </c>
      <c r="BD504" s="136" t="e">
        <f t="shared" si="114"/>
        <v>#N/A</v>
      </c>
      <c r="BE504" s="136" t="e">
        <f t="shared" si="110"/>
        <v>#N/A</v>
      </c>
      <c r="BF504" s="136" t="e">
        <f t="shared" si="111"/>
        <v>#N/A</v>
      </c>
      <c r="BG504" s="136" t="e">
        <f t="shared" si="112"/>
        <v>#N/A</v>
      </c>
    </row>
    <row r="505" spans="47:59" ht="11.25" customHeight="1">
      <c r="AU505" s="136">
        <f t="shared" si="102"/>
        <v>0.12302440305132623</v>
      </c>
      <c r="AV505" s="136">
        <f t="shared" si="113"/>
        <v>-1.1600000000000845</v>
      </c>
      <c r="AW505" s="136">
        <f t="shared" si="103"/>
        <v>0.20357138829073942</v>
      </c>
      <c r="AX505" s="136" t="e">
        <f t="shared" si="104"/>
        <v>#N/A</v>
      </c>
      <c r="AY505" s="136">
        <f t="shared" si="105"/>
        <v>-1.1600100000000846</v>
      </c>
      <c r="AZ505" s="136">
        <f t="shared" si="106"/>
        <v>-1.1599900000000845</v>
      </c>
      <c r="BA505" s="136">
        <f t="shared" si="107"/>
        <v>0.18290220368796556</v>
      </c>
      <c r="BB505" s="136">
        <f t="shared" si="108"/>
        <v>0.18290547196582907</v>
      </c>
      <c r="BC505" s="136" t="e">
        <f t="shared" si="109"/>
        <v>#N/A</v>
      </c>
      <c r="BD505" s="136" t="e">
        <f t="shared" si="114"/>
        <v>#N/A</v>
      </c>
      <c r="BE505" s="136" t="e">
        <f t="shared" si="110"/>
        <v>#N/A</v>
      </c>
      <c r="BF505" s="136" t="e">
        <f t="shared" si="111"/>
        <v>#N/A</v>
      </c>
      <c r="BG505" s="136" t="e">
        <f t="shared" si="112"/>
        <v>#N/A</v>
      </c>
    </row>
    <row r="506" spans="47:59" ht="11.25" customHeight="1">
      <c r="AU506" s="136">
        <f t="shared" si="102"/>
        <v>0.12507193563713281</v>
      </c>
      <c r="AV506" s="136">
        <f t="shared" si="113"/>
        <v>-1.1500000000000845</v>
      </c>
      <c r="AW506" s="136">
        <f t="shared" si="103"/>
        <v>0.20593626871995474</v>
      </c>
      <c r="AX506" s="136" t="e">
        <f t="shared" si="104"/>
        <v>#N/A</v>
      </c>
      <c r="AY506" s="136">
        <f t="shared" si="105"/>
        <v>-1.1500100000000846</v>
      </c>
      <c r="AZ506" s="136">
        <f t="shared" si="106"/>
        <v>-1.1499900000000844</v>
      </c>
      <c r="BA506" s="136">
        <f t="shared" si="107"/>
        <v>0.18454484914771785</v>
      </c>
      <c r="BB506" s="136">
        <f t="shared" si="108"/>
        <v>0.18454815156928012</v>
      </c>
      <c r="BC506" s="136" t="e">
        <f t="shared" si="109"/>
        <v>#N/A</v>
      </c>
      <c r="BD506" s="136" t="e">
        <f t="shared" si="114"/>
        <v>#N/A</v>
      </c>
      <c r="BE506" s="136" t="e">
        <f t="shared" si="110"/>
        <v>#N/A</v>
      </c>
      <c r="BF506" s="136" t="e">
        <f t="shared" si="111"/>
        <v>#N/A</v>
      </c>
      <c r="BG506" s="136" t="e">
        <f t="shared" si="112"/>
        <v>#N/A</v>
      </c>
    </row>
    <row r="507" spans="47:59" ht="11.25" customHeight="1">
      <c r="AU507" s="136">
        <f t="shared" si="102"/>
        <v>0.12714315056278069</v>
      </c>
      <c r="AV507" s="136">
        <f t="shared" si="113"/>
        <v>-1.1400000000000845</v>
      </c>
      <c r="AW507" s="136">
        <f t="shared" si="103"/>
        <v>0.20830779004708827</v>
      </c>
      <c r="AX507" s="136" t="e">
        <f t="shared" si="104"/>
        <v>#N/A</v>
      </c>
      <c r="AY507" s="136">
        <f t="shared" si="105"/>
        <v>-1.1400100000000846</v>
      </c>
      <c r="AZ507" s="136">
        <f t="shared" si="106"/>
        <v>-1.1399900000000844</v>
      </c>
      <c r="BA507" s="136">
        <f t="shared" si="107"/>
        <v>0.18620464016917387</v>
      </c>
      <c r="BB507" s="136">
        <f t="shared" si="108"/>
        <v>0.18620797702969094</v>
      </c>
      <c r="BC507" s="136" t="e">
        <f t="shared" si="109"/>
        <v>#N/A</v>
      </c>
      <c r="BD507" s="136" t="e">
        <f t="shared" si="114"/>
        <v>#N/A</v>
      </c>
      <c r="BE507" s="136" t="e">
        <f t="shared" si="110"/>
        <v>#N/A</v>
      </c>
      <c r="BF507" s="136" t="e">
        <f t="shared" si="111"/>
        <v>#N/A</v>
      </c>
      <c r="BG507" s="136" t="e">
        <f t="shared" si="112"/>
        <v>#N/A</v>
      </c>
    </row>
    <row r="508" spans="47:59" ht="11.25" customHeight="1">
      <c r="AU508" s="136">
        <f t="shared" si="102"/>
        <v>0.12923811223999992</v>
      </c>
      <c r="AV508" s="136">
        <f t="shared" si="113"/>
        <v>-1.1300000000000845</v>
      </c>
      <c r="AW508" s="136">
        <f t="shared" si="103"/>
        <v>0.21068555173599515</v>
      </c>
      <c r="AX508" s="136" t="e">
        <f t="shared" si="104"/>
        <v>#N/A</v>
      </c>
      <c r="AY508" s="136">
        <f t="shared" si="105"/>
        <v>-1.1300100000000846</v>
      </c>
      <c r="AZ508" s="136">
        <f t="shared" si="106"/>
        <v>-1.1299900000000844</v>
      </c>
      <c r="BA508" s="136">
        <f t="shared" si="107"/>
        <v>0.18788172409116649</v>
      </c>
      <c r="BB508" s="136">
        <f t="shared" si="108"/>
        <v>0.18788509568470652</v>
      </c>
      <c r="BC508" s="136" t="e">
        <f t="shared" si="109"/>
        <v>#N/A</v>
      </c>
      <c r="BD508" s="136" t="e">
        <f t="shared" si="114"/>
        <v>#N/A</v>
      </c>
      <c r="BE508" s="136" t="e">
        <f t="shared" si="110"/>
        <v>#N/A</v>
      </c>
      <c r="BF508" s="136" t="e">
        <f t="shared" si="111"/>
        <v>#N/A</v>
      </c>
      <c r="BG508" s="136" t="e">
        <f t="shared" si="112"/>
        <v>#N/A</v>
      </c>
    </row>
    <row r="509" spans="47:59" ht="11.25" customHeight="1">
      <c r="AU509" s="136">
        <f t="shared" si="102"/>
        <v>0.13135688104271259</v>
      </c>
      <c r="AV509" s="136">
        <f t="shared" si="113"/>
        <v>-1.1200000000000845</v>
      </c>
      <c r="AW509" s="136">
        <f t="shared" si="103"/>
        <v>0.21306914677569772</v>
      </c>
      <c r="AX509" s="136" t="e">
        <f t="shared" si="104"/>
        <v>#N/A</v>
      </c>
      <c r="AY509" s="136">
        <f t="shared" si="105"/>
        <v>-1.1200100000000845</v>
      </c>
      <c r="AZ509" s="136">
        <f t="shared" si="106"/>
        <v>-1.1199900000000844</v>
      </c>
      <c r="BA509" s="136">
        <f t="shared" si="107"/>
        <v>0.18957624761552716</v>
      </c>
      <c r="BB509" s="136">
        <f t="shared" si="108"/>
        <v>0.18957965423479739</v>
      </c>
      <c r="BC509" s="136" t="e">
        <f t="shared" si="109"/>
        <v>#N/A</v>
      </c>
      <c r="BD509" s="136" t="e">
        <f t="shared" si="114"/>
        <v>#N/A</v>
      </c>
      <c r="BE509" s="136" t="e">
        <f t="shared" si="110"/>
        <v>#N/A</v>
      </c>
      <c r="BF509" s="136" t="e">
        <f t="shared" si="111"/>
        <v>#N/A</v>
      </c>
      <c r="BG509" s="136" t="e">
        <f t="shared" si="112"/>
        <v>#N/A</v>
      </c>
    </row>
    <row r="510" spans="47:59" ht="11.25" customHeight="1">
      <c r="AU510" s="136">
        <f t="shared" si="102"/>
        <v>0.13349951324272902</v>
      </c>
      <c r="AV510" s="136">
        <f t="shared" si="113"/>
        <v>-1.1100000000000845</v>
      </c>
      <c r="AW510" s="136">
        <f t="shared" si="103"/>
        <v>0.21545816177019947</v>
      </c>
      <c r="AX510" s="136" t="e">
        <f t="shared" si="104"/>
        <v>#N/A</v>
      </c>
      <c r="AY510" s="136">
        <f t="shared" si="105"/>
        <v>-1.1100100000000845</v>
      </c>
      <c r="AZ510" s="136">
        <f t="shared" si="106"/>
        <v>-1.1099900000000844</v>
      </c>
      <c r="BA510" s="136">
        <f t="shared" si="107"/>
        <v>0.19128835671902206</v>
      </c>
      <c r="BB510" s="136">
        <f t="shared" si="108"/>
        <v>0.19129179865518919</v>
      </c>
      <c r="BC510" s="136" t="e">
        <f t="shared" si="109"/>
        <v>#N/A</v>
      </c>
      <c r="BD510" s="136" t="e">
        <f t="shared" si="114"/>
        <v>#N/A</v>
      </c>
      <c r="BE510" s="136" t="e">
        <f t="shared" si="110"/>
        <v>#N/A</v>
      </c>
      <c r="BF510" s="136" t="e">
        <f t="shared" si="111"/>
        <v>#N/A</v>
      </c>
      <c r="BG510" s="136" t="e">
        <f t="shared" si="112"/>
        <v>#N/A</v>
      </c>
    </row>
    <row r="511" spans="47:59" ht="11.25" customHeight="1">
      <c r="AU511" s="136">
        <f t="shared" si="102"/>
        <v>0.13566606094636435</v>
      </c>
      <c r="AV511" s="136">
        <f t="shared" si="113"/>
        <v>-1.1000000000000845</v>
      </c>
      <c r="AW511" s="136">
        <f t="shared" si="103"/>
        <v>0.21785217703253026</v>
      </c>
      <c r="AX511" s="136" t="e">
        <f t="shared" si="104"/>
        <v>#N/A</v>
      </c>
      <c r="AY511" s="136">
        <f t="shared" si="105"/>
        <v>-1.1000100000000845</v>
      </c>
      <c r="AZ511" s="136">
        <f t="shared" si="106"/>
        <v>-1.0999900000000844</v>
      </c>
      <c r="BA511" s="136">
        <f t="shared" si="107"/>
        <v>0.1930181965624248</v>
      </c>
      <c r="BB511" s="136">
        <f t="shared" si="108"/>
        <v>0.19302167410493026</v>
      </c>
      <c r="BC511" s="136" t="e">
        <f t="shared" si="109"/>
        <v>#N/A</v>
      </c>
      <c r="BD511" s="136" t="e">
        <f t="shared" si="114"/>
        <v>#N/A</v>
      </c>
      <c r="BE511" s="136" t="e">
        <f t="shared" si="110"/>
        <v>#N/A</v>
      </c>
      <c r="BF511" s="136" t="e">
        <f t="shared" si="111"/>
        <v>#N/A</v>
      </c>
      <c r="BG511" s="136" t="e">
        <f t="shared" si="112"/>
        <v>#N/A</v>
      </c>
    </row>
    <row r="512" spans="47:59" ht="11.25" customHeight="1">
      <c r="AU512" s="136">
        <f t="shared" si="102"/>
        <v>0.13785657203201684</v>
      </c>
      <c r="AV512" s="136">
        <f t="shared" si="113"/>
        <v>-1.0900000000000845</v>
      </c>
      <c r="AW512" s="136">
        <f t="shared" si="103"/>
        <v>0.22025076668301299</v>
      </c>
      <c r="AX512" s="136" t="e">
        <f t="shared" si="104"/>
        <v>#N/A</v>
      </c>
      <c r="AY512" s="136">
        <f t="shared" si="105"/>
        <v>-1.0900100000000845</v>
      </c>
      <c r="AZ512" s="136">
        <f t="shared" si="106"/>
        <v>-1.0899900000000844</v>
      </c>
      <c r="BA512" s="136">
        <f t="shared" si="107"/>
        <v>0.19476591139669502</v>
      </c>
      <c r="BB512" s="136">
        <f t="shared" si="108"/>
        <v>0.19476942483306514</v>
      </c>
      <c r="BC512" s="136" t="e">
        <f t="shared" si="109"/>
        <v>#N/A</v>
      </c>
      <c r="BD512" s="136" t="e">
        <f t="shared" si="114"/>
        <v>#N/A</v>
      </c>
      <c r="BE512" s="136" t="e">
        <f t="shared" si="110"/>
        <v>#N/A</v>
      </c>
      <c r="BF512" s="136" t="e">
        <f t="shared" si="111"/>
        <v>#N/A</v>
      </c>
      <c r="BG512" s="136" t="e">
        <f t="shared" si="112"/>
        <v>#N/A</v>
      </c>
    </row>
    <row r="513" spans="47:59" ht="11.25" customHeight="1">
      <c r="AU513" s="136">
        <f t="shared" si="102"/>
        <v>0.14007109008875029</v>
      </c>
      <c r="AV513" s="136">
        <f t="shared" si="113"/>
        <v>-1.0800000000000844</v>
      </c>
      <c r="AW513" s="136">
        <f t="shared" si="103"/>
        <v>0.22265349875174081</v>
      </c>
      <c r="AX513" s="136" t="e">
        <f t="shared" si="104"/>
        <v>#N/A</v>
      </c>
      <c r="AY513" s="136">
        <f t="shared" si="105"/>
        <v>-1.0800100000000845</v>
      </c>
      <c r="AZ513" s="136">
        <f t="shared" si="106"/>
        <v>-1.0799900000000844</v>
      </c>
      <c r="BA513" s="136">
        <f t="shared" si="107"/>
        <v>0.19653164446623383</v>
      </c>
      <c r="BB513" s="136">
        <f t="shared" si="108"/>
        <v>0.19653519408188247</v>
      </c>
      <c r="BC513" s="136" t="e">
        <f t="shared" si="109"/>
        <v>#N/A</v>
      </c>
      <c r="BD513" s="136" t="e">
        <f t="shared" si="114"/>
        <v>#N/A</v>
      </c>
      <c r="BE513" s="136" t="e">
        <f t="shared" si="110"/>
        <v>#N/A</v>
      </c>
      <c r="BF513" s="136" t="e">
        <f t="shared" si="111"/>
        <v>#N/A</v>
      </c>
      <c r="BG513" s="136" t="e">
        <f t="shared" si="112"/>
        <v>#N/A</v>
      </c>
    </row>
    <row r="514" spans="47:59" ht="11.25" customHeight="1">
      <c r="AU514" s="136">
        <f t="shared" si="102"/>
        <v>0.14230965435592025</v>
      </c>
      <c r="AV514" s="136">
        <f t="shared" si="113"/>
        <v>-1.0700000000000844</v>
      </c>
      <c r="AW514" s="136">
        <f t="shared" si="103"/>
        <v>0.22505993528524931</v>
      </c>
      <c r="AX514" s="136" t="e">
        <f t="shared" si="104"/>
        <v>#N/A</v>
      </c>
      <c r="AY514" s="136">
        <f t="shared" si="105"/>
        <v>-1.0700100000000845</v>
      </c>
      <c r="AZ514" s="136">
        <f t="shared" si="106"/>
        <v>-1.0699900000000844</v>
      </c>
      <c r="BA514" s="136">
        <f t="shared" si="107"/>
        <v>0.19831553790918999</v>
      </c>
      <c r="BB514" s="136">
        <f t="shared" si="108"/>
        <v>0.19831912398721724</v>
      </c>
      <c r="BC514" s="136" t="e">
        <f t="shared" si="109"/>
        <v>#N/A</v>
      </c>
      <c r="BD514" s="136" t="e">
        <f t="shared" si="114"/>
        <v>#N/A</v>
      </c>
      <c r="BE514" s="136" t="e">
        <f t="shared" si="110"/>
        <v>#N/A</v>
      </c>
      <c r="BF514" s="136" t="e">
        <f t="shared" si="111"/>
        <v>#N/A</v>
      </c>
      <c r="BG514" s="136" t="e">
        <f t="shared" si="112"/>
        <v>#N/A</v>
      </c>
    </row>
    <row r="515" spans="47:59" ht="11.25" customHeight="1">
      <c r="AU515" s="136">
        <f t="shared" si="102"/>
        <v>0.1445722996638904</v>
      </c>
      <c r="AV515" s="136">
        <f t="shared" si="113"/>
        <v>-1.0600000000000844</v>
      </c>
      <c r="AW515" s="136">
        <f t="shared" si="103"/>
        <v>0.22746963245736554</v>
      </c>
      <c r="AX515" s="136" t="e">
        <f t="shared" si="104"/>
        <v>#N/A</v>
      </c>
      <c r="AY515" s="136">
        <f t="shared" si="105"/>
        <v>-1.0600100000000845</v>
      </c>
      <c r="AZ515" s="136">
        <f t="shared" si="106"/>
        <v>-1.0599900000000844</v>
      </c>
      <c r="BA515" s="136">
        <f t="shared" si="107"/>
        <v>0.20011773265479466</v>
      </c>
      <c r="BB515" s="136">
        <f t="shared" si="108"/>
        <v>0.20012135547577709</v>
      </c>
      <c r="BC515" s="136" t="e">
        <f t="shared" si="109"/>
        <v>#N/A</v>
      </c>
      <c r="BD515" s="136" t="e">
        <f t="shared" si="114"/>
        <v>#N/A</v>
      </c>
      <c r="BE515" s="136" t="e">
        <f t="shared" si="110"/>
        <v>#N/A</v>
      </c>
      <c r="BF515" s="136" t="e">
        <f t="shared" si="111"/>
        <v>#N/A</v>
      </c>
      <c r="BG515" s="136" t="e">
        <f t="shared" si="112"/>
        <v>#N/A</v>
      </c>
    </row>
    <row r="516" spans="47:59" ht="11.25" customHeight="1">
      <c r="AU516" s="136">
        <f t="shared" si="102"/>
        <v>0.14685905637587648</v>
      </c>
      <c r="AV516" s="136">
        <f t="shared" si="113"/>
        <v>-1.0500000000000844</v>
      </c>
      <c r="AW516" s="136">
        <f t="shared" si="103"/>
        <v>0.22988214068421264</v>
      </c>
      <c r="AX516" s="136" t="e">
        <f t="shared" si="104"/>
        <v>#N/A</v>
      </c>
      <c r="AY516" s="136">
        <f t="shared" si="105"/>
        <v>-1.0500100000000845</v>
      </c>
      <c r="AZ516" s="136">
        <f t="shared" si="106"/>
        <v>-1.0499900000000844</v>
      </c>
      <c r="BA516" s="136">
        <f t="shared" si="107"/>
        <v>0.20193836831770445</v>
      </c>
      <c r="BB516" s="136">
        <f t="shared" si="108"/>
        <v>0.2019420281594822</v>
      </c>
      <c r="BC516" s="136" t="e">
        <f t="shared" si="109"/>
        <v>#N/A</v>
      </c>
      <c r="BD516" s="136" t="e">
        <f t="shared" si="114"/>
        <v>#N/A</v>
      </c>
      <c r="BE516" s="136" t="e">
        <f t="shared" si="110"/>
        <v>#N/A</v>
      </c>
      <c r="BF516" s="136" t="e">
        <f t="shared" si="111"/>
        <v>#N/A</v>
      </c>
      <c r="BG516" s="136" t="e">
        <f t="shared" si="112"/>
        <v>#N/A</v>
      </c>
    </row>
    <row r="517" spans="47:59" ht="11.25" customHeight="1">
      <c r="AU517" s="136">
        <f t="shared" si="102"/>
        <v>0.14916995033096181</v>
      </c>
      <c r="AV517" s="136">
        <f t="shared" si="113"/>
        <v>-1.0400000000000844</v>
      </c>
      <c r="AW517" s="136">
        <f t="shared" si="103"/>
        <v>0.23229700474334578</v>
      </c>
      <c r="AX517" s="136" t="e">
        <f t="shared" si="104"/>
        <v>#N/A</v>
      </c>
      <c r="AY517" s="136">
        <f t="shared" si="105"/>
        <v>-1.0400100000000845</v>
      </c>
      <c r="AZ517" s="136">
        <f t="shared" si="106"/>
        <v>-1.0399900000000843</v>
      </c>
      <c r="BA517" s="136">
        <f t="shared" si="107"/>
        <v>0.20377758308933913</v>
      </c>
      <c r="BB517" s="136">
        <f t="shared" si="108"/>
        <v>0.2037812802267947</v>
      </c>
      <c r="BC517" s="136" t="e">
        <f t="shared" si="109"/>
        <v>#N/A</v>
      </c>
      <c r="BD517" s="136" t="e">
        <f t="shared" si="114"/>
        <v>#N/A</v>
      </c>
      <c r="BE517" s="136" t="e">
        <f t="shared" si="110"/>
        <v>#N/A</v>
      </c>
      <c r="BF517" s="136" t="e">
        <f t="shared" si="111"/>
        <v>#N/A</v>
      </c>
      <c r="BG517" s="136" t="e">
        <f t="shared" si="112"/>
        <v>#N/A</v>
      </c>
    </row>
    <row r="518" spans="47:59" ht="11.25" customHeight="1">
      <c r="AU518" s="136">
        <f t="shared" si="102"/>
        <v>0.15150500278832379</v>
      </c>
      <c r="AV518" s="136">
        <f t="shared" si="113"/>
        <v>-1.0300000000000844</v>
      </c>
      <c r="AW518" s="136">
        <f t="shared" si="103"/>
        <v>0.23471376389699139</v>
      </c>
      <c r="AX518" s="136" t="e">
        <f t="shared" si="104"/>
        <v>#N/A</v>
      </c>
      <c r="AY518" s="136">
        <f t="shared" si="105"/>
        <v>-1.0300100000000845</v>
      </c>
      <c r="AZ518" s="136">
        <f t="shared" si="106"/>
        <v>-1.0299900000000843</v>
      </c>
      <c r="BA518" s="136">
        <f t="shared" si="107"/>
        <v>0.20563551362619914</v>
      </c>
      <c r="BB518" s="136">
        <f t="shared" si="108"/>
        <v>0.20563924833103131</v>
      </c>
      <c r="BC518" s="136" t="e">
        <f t="shared" si="109"/>
        <v>#N/A</v>
      </c>
      <c r="BD518" s="136" t="e">
        <f t="shared" si="114"/>
        <v>#N/A</v>
      </c>
      <c r="BE518" s="136" t="e">
        <f t="shared" si="110"/>
        <v>#N/A</v>
      </c>
      <c r="BF518" s="136" t="e">
        <f t="shared" si="111"/>
        <v>#N/A</v>
      </c>
      <c r="BG518" s="136" t="e">
        <f t="shared" si="112"/>
        <v>#N/A</v>
      </c>
    </row>
    <row r="519" spans="47:59" ht="11.25" customHeight="1">
      <c r="AU519" s="136">
        <f t="shared" si="102"/>
        <v>0.15386423037271491</v>
      </c>
      <c r="AV519" s="136">
        <f t="shared" si="113"/>
        <v>-1.0200000000000844</v>
      </c>
      <c r="AW519" s="136">
        <f t="shared" si="103"/>
        <v>0.23713195201935916</v>
      </c>
      <c r="AX519" s="136" t="e">
        <f t="shared" si="104"/>
        <v>#N/A</v>
      </c>
      <c r="AY519" s="136">
        <f t="shared" si="105"/>
        <v>-1.0200100000000845</v>
      </c>
      <c r="AZ519" s="136">
        <f t="shared" si="106"/>
        <v>-1.0199900000000843</v>
      </c>
      <c r="BA519" s="136">
        <f t="shared" si="107"/>
        <v>0.20751229493515994</v>
      </c>
      <c r="BB519" s="136">
        <f t="shared" si="108"/>
        <v>0.20751606747565138</v>
      </c>
      <c r="BC519" s="136" t="e">
        <f t="shared" si="109"/>
        <v>#N/A</v>
      </c>
      <c r="BD519" s="136" t="e">
        <f t="shared" si="114"/>
        <v>#N/A</v>
      </c>
      <c r="BE519" s="136" t="e">
        <f t="shared" si="110"/>
        <v>#N/A</v>
      </c>
      <c r="BF519" s="136" t="e">
        <f t="shared" si="111"/>
        <v>#N/A</v>
      </c>
      <c r="BG519" s="136" t="e">
        <f t="shared" si="112"/>
        <v>#N/A</v>
      </c>
    </row>
    <row r="520" spans="47:59" ht="11.25" customHeight="1">
      <c r="AU520" s="136">
        <f t="shared" si="102"/>
        <v>0.15624764502123445</v>
      </c>
      <c r="AV520" s="136">
        <f t="shared" si="113"/>
        <v>-1.0100000000000844</v>
      </c>
      <c r="AW520" s="136">
        <f t="shared" si="103"/>
        <v>0.23955109772799291</v>
      </c>
      <c r="AX520" s="136" t="e">
        <f t="shared" si="104"/>
        <v>#N/A</v>
      </c>
      <c r="AY520" s="136">
        <f t="shared" si="105"/>
        <v>-1.0100100000000845</v>
      </c>
      <c r="AZ520" s="136">
        <f t="shared" si="106"/>
        <v>-1.0099900000000843</v>
      </c>
      <c r="BA520" s="136">
        <f t="shared" si="107"/>
        <v>0.20940806025573461</v>
      </c>
      <c r="BB520" s="136">
        <f t="shared" si="108"/>
        <v>0.20941187089651325</v>
      </c>
      <c r="BC520" s="136" t="e">
        <f t="shared" si="109"/>
        <v>#N/A</v>
      </c>
      <c r="BD520" s="136" t="e">
        <f t="shared" si="114"/>
        <v>#N/A</v>
      </c>
      <c r="BE520" s="136" t="e">
        <f t="shared" si="110"/>
        <v>#N/A</v>
      </c>
      <c r="BF520" s="136" t="e">
        <f t="shared" si="111"/>
        <v>#N/A</v>
      </c>
      <c r="BG520" s="136" t="e">
        <f t="shared" si="112"/>
        <v>#N/A</v>
      </c>
    </row>
    <row r="521" spans="47:59" ht="11.25" customHeight="1">
      <c r="AU521" s="136">
        <f t="shared" si="102"/>
        <v>0.15865525393143665</v>
      </c>
      <c r="AV521" s="136">
        <f t="shared" si="113"/>
        <v>-1.0000000000000844</v>
      </c>
      <c r="AW521" s="136">
        <f t="shared" si="103"/>
        <v>0.24197072451912291</v>
      </c>
      <c r="AX521" s="136" t="e">
        <f t="shared" si="104"/>
        <v>#N/A</v>
      </c>
      <c r="AY521" s="136">
        <f t="shared" si="105"/>
        <v>-1.0000100000000844</v>
      </c>
      <c r="AZ521" s="136">
        <f t="shared" si="106"/>
        <v>-0.99999000000008442</v>
      </c>
      <c r="BA521" s="136">
        <f t="shared" si="107"/>
        <v>0.21132294093931053</v>
      </c>
      <c r="BB521" s="136">
        <f t="shared" si="108"/>
        <v>0.21132678994110476</v>
      </c>
      <c r="BC521" s="136" t="e">
        <f t="shared" si="109"/>
        <v>#N/A</v>
      </c>
      <c r="BD521" s="136" t="e">
        <f t="shared" si="114"/>
        <v>#N/A</v>
      </c>
      <c r="BE521" s="136" t="e">
        <f t="shared" si="110"/>
        <v>#N/A</v>
      </c>
      <c r="BF521" s="136" t="e">
        <f t="shared" si="111"/>
        <v>#N/A</v>
      </c>
      <c r="BG521" s="136" t="e">
        <f t="shared" si="112"/>
        <v>#N/A</v>
      </c>
    </row>
    <row r="522" spans="47:59" ht="11.25" customHeight="1">
      <c r="AU522" s="136">
        <f t="shared" si="102"/>
        <v>0.16108705951081037</v>
      </c>
      <c r="AV522" s="136">
        <f t="shared" si="113"/>
        <v>-0.99000000000008437</v>
      </c>
      <c r="AW522" s="136">
        <f t="shared" si="103"/>
        <v>0.24439035090697914</v>
      </c>
      <c r="AX522" s="136" t="e">
        <f t="shared" si="104"/>
        <v>#N/A</v>
      </c>
      <c r="AY522" s="136">
        <f t="shared" si="105"/>
        <v>-0.99001000000008432</v>
      </c>
      <c r="AZ522" s="136">
        <f t="shared" si="106"/>
        <v>-0.98999000000008441</v>
      </c>
      <c r="BA522" s="136">
        <f t="shared" si="107"/>
        <v>0.21325706632536434</v>
      </c>
      <c r="BB522" s="136">
        <f t="shared" si="108"/>
        <v>0.21326095394475314</v>
      </c>
      <c r="BC522" s="136" t="e">
        <f t="shared" si="109"/>
        <v>#N/A</v>
      </c>
      <c r="BD522" s="136" t="e">
        <f t="shared" si="114"/>
        <v>#N/A</v>
      </c>
      <c r="BE522" s="136" t="e">
        <f t="shared" si="110"/>
        <v>#N/A</v>
      </c>
      <c r="BF522" s="136" t="e">
        <f t="shared" si="111"/>
        <v>#N/A</v>
      </c>
      <c r="BG522" s="136" t="e">
        <f t="shared" si="112"/>
        <v>#N/A</v>
      </c>
    </row>
    <row r="523" spans="47:59" ht="11.25" customHeight="1">
      <c r="AU523" s="136">
        <f t="shared" si="102"/>
        <v>0.16354305932767166</v>
      </c>
      <c r="AV523" s="136">
        <f t="shared" si="113"/>
        <v>-0.98000000000008436</v>
      </c>
      <c r="AW523" s="136">
        <f t="shared" si="103"/>
        <v>0.24680949056702228</v>
      </c>
      <c r="AX523" s="136" t="e">
        <f t="shared" si="104"/>
        <v>#N/A</v>
      </c>
      <c r="AY523" s="136">
        <f t="shared" si="105"/>
        <v>-0.98001000000008431</v>
      </c>
      <c r="AZ523" s="136">
        <f t="shared" si="106"/>
        <v>-0.9799900000000844</v>
      </c>
      <c r="BA523" s="136">
        <f t="shared" si="107"/>
        <v>0.21521056361466817</v>
      </c>
      <c r="BB523" s="136">
        <f t="shared" si="108"/>
        <v>0.21521449010382371</v>
      </c>
      <c r="BC523" s="136" t="e">
        <f t="shared" si="109"/>
        <v>#N/A</v>
      </c>
      <c r="BD523" s="136" t="e">
        <f t="shared" si="114"/>
        <v>#N/A</v>
      </c>
      <c r="BE523" s="136" t="e">
        <f t="shared" si="110"/>
        <v>#N/A</v>
      </c>
      <c r="BF523" s="136" t="e">
        <f t="shared" si="111"/>
        <v>#N/A</v>
      </c>
      <c r="BG523" s="136" t="e">
        <f t="shared" si="112"/>
        <v>#N/A</v>
      </c>
    </row>
    <row r="524" spans="47:59" ht="11.25" customHeight="1">
      <c r="AU524" s="136">
        <f t="shared" si="102"/>
        <v>0.16602324606350849</v>
      </c>
      <c r="AV524" s="136">
        <f t="shared" si="113"/>
        <v>-0.97000000000008435</v>
      </c>
      <c r="AW524" s="136">
        <f t="shared" si="103"/>
        <v>0.24922765248304549</v>
      </c>
      <c r="AX524" s="136" t="e">
        <f t="shared" si="104"/>
        <v>#N/A</v>
      </c>
      <c r="AY524" s="136">
        <f t="shared" si="105"/>
        <v>-0.9700100000000843</v>
      </c>
      <c r="AZ524" s="136">
        <f t="shared" si="106"/>
        <v>-0.9699900000000844</v>
      </c>
      <c r="BA524" s="136">
        <f t="shared" si="107"/>
        <v>0.21718355773950221</v>
      </c>
      <c r="BB524" s="136">
        <f t="shared" si="108"/>
        <v>0.21718752334592761</v>
      </c>
      <c r="BC524" s="136" t="e">
        <f t="shared" si="109"/>
        <v>#N/A</v>
      </c>
      <c r="BD524" s="136" t="e">
        <f t="shared" si="114"/>
        <v>#N/A</v>
      </c>
      <c r="BE524" s="136" t="e">
        <f t="shared" si="110"/>
        <v>#N/A</v>
      </c>
      <c r="BF524" s="136" t="e">
        <f t="shared" si="111"/>
        <v>#N/A</v>
      </c>
      <c r="BG524" s="136" t="e">
        <f t="shared" si="112"/>
        <v>#N/A</v>
      </c>
    </row>
    <row r="525" spans="47:59" ht="11.25" customHeight="1">
      <c r="AU525" s="136">
        <f t="shared" si="102"/>
        <v>0.16852760746681672</v>
      </c>
      <c r="AV525" s="136">
        <f t="shared" si="113"/>
        <v>-0.96000000000008434</v>
      </c>
      <c r="AW525" s="136">
        <f t="shared" si="103"/>
        <v>0.25164434109809669</v>
      </c>
      <c r="AX525" s="136" t="e">
        <f t="shared" si="104"/>
        <v>#N/A</v>
      </c>
      <c r="AY525" s="136">
        <f t="shared" si="105"/>
        <v>-0.9600100000000843</v>
      </c>
      <c r="AZ525" s="136">
        <f t="shared" si="106"/>
        <v>-0.95999000000008439</v>
      </c>
      <c r="BA525" s="136">
        <f t="shared" si="107"/>
        <v>0.21917617123089977</v>
      </c>
      <c r="BB525" s="136">
        <f t="shared" si="108"/>
        <v>0.21918017619716107</v>
      </c>
      <c r="BC525" s="136" t="e">
        <f t="shared" si="109"/>
        <v>#N/A</v>
      </c>
      <c r="BD525" s="136" t="e">
        <f t="shared" si="114"/>
        <v>#N/A</v>
      </c>
      <c r="BE525" s="136" t="e">
        <f t="shared" si="110"/>
        <v>#N/A</v>
      </c>
      <c r="BF525" s="136" t="e">
        <f t="shared" si="111"/>
        <v>#N/A</v>
      </c>
      <c r="BG525" s="136" t="e">
        <f t="shared" si="112"/>
        <v>#N/A</v>
      </c>
    </row>
    <row r="526" spans="47:59" ht="11.25" customHeight="1">
      <c r="AU526" s="136">
        <f t="shared" si="102"/>
        <v>0.17105612630846045</v>
      </c>
      <c r="AV526" s="136">
        <f t="shared" si="113"/>
        <v>-0.95000000000008433</v>
      </c>
      <c r="AW526" s="136">
        <f t="shared" si="103"/>
        <v>0.2540590564691686</v>
      </c>
      <c r="AX526" s="136" t="e">
        <f t="shared" si="104"/>
        <v>#N/A</v>
      </c>
      <c r="AY526" s="136">
        <f t="shared" si="105"/>
        <v>-0.95001000000008429</v>
      </c>
      <c r="AZ526" s="136">
        <f t="shared" si="106"/>
        <v>-0.94999000000008438</v>
      </c>
      <c r="BA526" s="136">
        <f t="shared" si="107"/>
        <v>0.22118852408295087</v>
      </c>
      <c r="BB526" s="136">
        <f t="shared" si="108"/>
        <v>0.2211925686464018</v>
      </c>
      <c r="BC526" s="136" t="e">
        <f t="shared" si="109"/>
        <v>#N/A</v>
      </c>
      <c r="BD526" s="136" t="e">
        <f t="shared" si="114"/>
        <v>#N/A</v>
      </c>
      <c r="BE526" s="136" t="e">
        <f t="shared" si="110"/>
        <v>#N/A</v>
      </c>
      <c r="BF526" s="136" t="e">
        <f t="shared" si="111"/>
        <v>#N/A</v>
      </c>
      <c r="BG526" s="136" t="e">
        <f t="shared" si="112"/>
        <v>#N/A</v>
      </c>
    </row>
    <row r="527" spans="47:59" ht="11.25" customHeight="1">
      <c r="AU527" s="136">
        <f t="shared" si="102"/>
        <v>0.17360878033860305</v>
      </c>
      <c r="AV527" s="136">
        <f t="shared" si="113"/>
        <v>-0.94000000000008432</v>
      </c>
      <c r="AW527" s="136">
        <f t="shared" si="103"/>
        <v>0.25647129442559996</v>
      </c>
      <c r="AX527" s="136" t="e">
        <f t="shared" si="104"/>
        <v>#N/A</v>
      </c>
      <c r="AY527" s="136">
        <f t="shared" si="105"/>
        <v>-0.94001000000008428</v>
      </c>
      <c r="AZ527" s="136">
        <f t="shared" si="106"/>
        <v>-0.93999000000008437</v>
      </c>
      <c r="BA527" s="136">
        <f t="shared" si="107"/>
        <v>0.22322073361420103</v>
      </c>
      <c r="BB527" s="136">
        <f t="shared" si="108"/>
        <v>0.2232248180067038</v>
      </c>
      <c r="BC527" s="136" t="e">
        <f t="shared" si="109"/>
        <v>#N/A</v>
      </c>
      <c r="BD527" s="136" t="e">
        <f t="shared" si="114"/>
        <v>#N/A</v>
      </c>
      <c r="BE527" s="136" t="e">
        <f t="shared" si="110"/>
        <v>#N/A</v>
      </c>
      <c r="BF527" s="136" t="e">
        <f t="shared" si="111"/>
        <v>#N/A</v>
      </c>
      <c r="BG527" s="136" t="e">
        <f t="shared" si="112"/>
        <v>#N/A</v>
      </c>
    </row>
    <row r="528" spans="47:59" ht="11.25" customHeight="1">
      <c r="AU528" s="136">
        <f t="shared" si="102"/>
        <v>0.17618554224523619</v>
      </c>
      <c r="AV528" s="136">
        <f t="shared" si="113"/>
        <v>-0.93000000000008431</v>
      </c>
      <c r="AW528" s="136">
        <f t="shared" si="103"/>
        <v>0.25888054673112848</v>
      </c>
      <c r="AX528" s="136" t="e">
        <f t="shared" si="104"/>
        <v>#N/A</v>
      </c>
      <c r="AY528" s="136">
        <f t="shared" si="105"/>
        <v>-0.93001000000008427</v>
      </c>
      <c r="AZ528" s="136">
        <f t="shared" si="106"/>
        <v>-0.92999000000008436</v>
      </c>
      <c r="BA528" s="136">
        <f t="shared" si="107"/>
        <v>0.22527291432618868</v>
      </c>
      <c r="BB528" s="136">
        <f t="shared" si="108"/>
        <v>0.22527703877382771</v>
      </c>
      <c r="BC528" s="136" t="e">
        <f t="shared" si="109"/>
        <v>#N/A</v>
      </c>
      <c r="BD528" s="136" t="e">
        <f t="shared" si="114"/>
        <v>#N/A</v>
      </c>
      <c r="BE528" s="136" t="e">
        <f t="shared" si="110"/>
        <v>#N/A</v>
      </c>
      <c r="BF528" s="136" t="e">
        <f t="shared" si="111"/>
        <v>#N/A</v>
      </c>
      <c r="BG528" s="136" t="e">
        <f t="shared" si="112"/>
        <v>#N/A</v>
      </c>
    </row>
    <row r="529" spans="47:59" ht="11.25" customHeight="1">
      <c r="AU529" s="136">
        <f t="shared" si="102"/>
        <v>0.17878637961434962</v>
      </c>
      <c r="AV529" s="136">
        <f t="shared" si="113"/>
        <v>-0.92000000000008431</v>
      </c>
      <c r="AW529" s="136">
        <f t="shared" si="103"/>
        <v>0.26128630124953284</v>
      </c>
      <c r="AX529" s="136" t="e">
        <f t="shared" si="104"/>
        <v>#N/A</v>
      </c>
      <c r="AY529" s="136">
        <f t="shared" si="105"/>
        <v>-0.92001000000008426</v>
      </c>
      <c r="AZ529" s="136">
        <f t="shared" si="106"/>
        <v>-0.91999000000008435</v>
      </c>
      <c r="BA529" s="136">
        <f t="shared" si="107"/>
        <v>0.22734517775916641</v>
      </c>
      <c r="BB529" s="136">
        <f t="shared" si="108"/>
        <v>0.22734934248195715</v>
      </c>
      <c r="BC529" s="136" t="e">
        <f t="shared" si="109"/>
        <v>#N/A</v>
      </c>
      <c r="BD529" s="136" t="e">
        <f t="shared" si="114"/>
        <v>#N/A</v>
      </c>
      <c r="BE529" s="136" t="e">
        <f t="shared" si="110"/>
        <v>#N/A</v>
      </c>
      <c r="BF529" s="136" t="e">
        <f t="shared" si="111"/>
        <v>#N/A</v>
      </c>
      <c r="BG529" s="136" t="e">
        <f t="shared" si="112"/>
        <v>#N/A</v>
      </c>
    </row>
    <row r="530" spans="47:59" ht="11.25" customHeight="1">
      <c r="AU530" s="136">
        <f t="shared" si="102"/>
        <v>0.18141125489177501</v>
      </c>
      <c r="AV530" s="136">
        <f t="shared" si="113"/>
        <v>-0.9100000000000843</v>
      </c>
      <c r="AW530" s="136">
        <f t="shared" si="103"/>
        <v>0.26368804211379793</v>
      </c>
      <c r="AX530" s="136" t="e">
        <f t="shared" si="104"/>
        <v>#N/A</v>
      </c>
      <c r="AY530" s="136">
        <f t="shared" si="105"/>
        <v>-0.91001000000008425</v>
      </c>
      <c r="AZ530" s="136">
        <f t="shared" si="106"/>
        <v>-0.90999000000008434</v>
      </c>
      <c r="BA530" s="136">
        <f t="shared" si="107"/>
        <v>0.2294376323450672</v>
      </c>
      <c r="BB530" s="136">
        <f t="shared" si="108"/>
        <v>0.22944183755665931</v>
      </c>
      <c r="BC530" s="136" t="e">
        <f t="shared" si="109"/>
        <v>#N/A</v>
      </c>
      <c r="BD530" s="136" t="e">
        <f t="shared" si="114"/>
        <v>#N/A</v>
      </c>
      <c r="BE530" s="136" t="e">
        <f t="shared" si="110"/>
        <v>#N/A</v>
      </c>
      <c r="BF530" s="136" t="e">
        <f t="shared" si="111"/>
        <v>#N/A</v>
      </c>
      <c r="BG530" s="136" t="e">
        <f t="shared" si="112"/>
        <v>#N/A</v>
      </c>
    </row>
    <row r="531" spans="47:59" ht="11.25" customHeight="1">
      <c r="AU531" s="136">
        <f t="shared" si="102"/>
        <v>0.1840601253467371</v>
      </c>
      <c r="AV531" s="136">
        <f t="shared" si="113"/>
        <v>-0.90000000000008429</v>
      </c>
      <c r="AW531" s="136">
        <f t="shared" si="103"/>
        <v>0.26608524989873461</v>
      </c>
      <c r="AX531" s="136" t="e">
        <f t="shared" si="104"/>
        <v>#N/A</v>
      </c>
      <c r="AY531" s="136">
        <f t="shared" si="105"/>
        <v>-0.90001000000008424</v>
      </c>
      <c r="AZ531" s="136">
        <f t="shared" si="106"/>
        <v>-0.89999000000008433</v>
      </c>
      <c r="BA531" s="136">
        <f t="shared" si="107"/>
        <v>0.23155038325777511</v>
      </c>
      <c r="BB531" s="136">
        <f t="shared" si="108"/>
        <v>0.23155462916515029</v>
      </c>
      <c r="BC531" s="136" t="e">
        <f t="shared" si="109"/>
        <v>#N/A</v>
      </c>
      <c r="BD531" s="136" t="e">
        <f t="shared" si="114"/>
        <v>#N/A</v>
      </c>
      <c r="BE531" s="136" t="e">
        <f t="shared" si="110"/>
        <v>#N/A</v>
      </c>
      <c r="BF531" s="136" t="e">
        <f t="shared" si="111"/>
        <v>#N/A</v>
      </c>
      <c r="BG531" s="136" t="e">
        <f t="shared" si="112"/>
        <v>#N/A</v>
      </c>
    </row>
    <row r="532" spans="47:59" ht="11.25" customHeight="1">
      <c r="AU532" s="136">
        <f t="shared" si="102"/>
        <v>0.18673294303715005</v>
      </c>
      <c r="AV532" s="136">
        <f t="shared" si="113"/>
        <v>-0.89000000000008428</v>
      </c>
      <c r="AW532" s="136">
        <f t="shared" si="103"/>
        <v>0.26847740179698221</v>
      </c>
      <c r="AX532" s="136" t="e">
        <f t="shared" si="104"/>
        <v>#N/A</v>
      </c>
      <c r="AY532" s="136">
        <f t="shared" si="105"/>
        <v>-0.89001000000008423</v>
      </c>
      <c r="AZ532" s="136">
        <f t="shared" si="106"/>
        <v>-0.88999000000008432</v>
      </c>
      <c r="BA532" s="136">
        <f t="shared" si="107"/>
        <v>0.23368353226077426</v>
      </c>
      <c r="BB532" s="136">
        <f t="shared" si="108"/>
        <v>0.23368781906393932</v>
      </c>
      <c r="BC532" s="136" t="e">
        <f t="shared" si="109"/>
        <v>#N/A</v>
      </c>
      <c r="BD532" s="136" t="e">
        <f t="shared" si="114"/>
        <v>#N/A</v>
      </c>
      <c r="BE532" s="136" t="e">
        <f t="shared" si="110"/>
        <v>#N/A</v>
      </c>
      <c r="BF532" s="136" t="e">
        <f t="shared" si="111"/>
        <v>#N/A</v>
      </c>
      <c r="BG532" s="136" t="e">
        <f t="shared" si="112"/>
        <v>#N/A</v>
      </c>
    </row>
    <row r="533" spans="47:59" ht="11.25" customHeight="1">
      <c r="AU533" s="136">
        <f t="shared" ref="AU533:AU596" si="115">NORMDIST(AV533,$AV$17,$AV$18,TRUE)</f>
        <v>0.18942965477668938</v>
      </c>
      <c r="AV533" s="136">
        <f t="shared" si="113"/>
        <v>-0.88000000000008427</v>
      </c>
      <c r="AW533" s="136">
        <f t="shared" ref="AW533:AW596" si="116">IF($AV$13=1,NORMDIST(AV533,$AV$17,$AV$18,FALSE),NA())</f>
        <v>0.27086397179831789</v>
      </c>
      <c r="AX533" s="136" t="e">
        <f t="shared" ref="AX533:AX596" si="117">IF($AV$13=3,NORMDIST(AV533,$AV$17,$AV$18,FALSE),NA())</f>
        <v>#N/A</v>
      </c>
      <c r="AY533" s="136">
        <f t="shared" ref="AY533:AY596" si="118">AV533-$AY$19</f>
        <v>-0.88001000000008422</v>
      </c>
      <c r="AZ533" s="136">
        <f t="shared" ref="AZ533:AZ596" si="119">AV533+$AY$19</f>
        <v>-0.87999000000008432</v>
      </c>
      <c r="BA533" s="136">
        <f t="shared" ref="BA533:BA596" si="120">IF(AY533&lt;0,TDIST(-AY533,$AV$14,1),1-TDIST(AY533,$AV$14,1))</f>
        <v>0.23583717755225575</v>
      </c>
      <c r="BB533" s="136">
        <f t="shared" ref="BB533:BB596" si="121">IF(AZ533&lt;0,TDIST(-AZ533,$AV$14,1),1-TDIST(AZ533,$AV$14,1))</f>
        <v>0.23584150544392957</v>
      </c>
      <c r="BC533" s="136" t="e">
        <f t="shared" ref="BC533:BC596" si="122">IF($AV$13&gt;1,(BB533-BA533)/(2*$AY$19),NA())</f>
        <v>#N/A</v>
      </c>
      <c r="BD533" s="136" t="e">
        <f t="shared" si="114"/>
        <v>#N/A</v>
      </c>
      <c r="BE533" s="136" t="e">
        <f t="shared" ref="BE533:BE596" si="123">IF(ISNUMBER(BD533),BD533-$BE$19,NA())</f>
        <v>#N/A</v>
      </c>
      <c r="BF533" s="136" t="e">
        <f t="shared" ref="BF533:BF596" si="124">IF($AV$15=1,IF(AV533&gt;=$BF$19,BC533,NA()),IF($AV$15=2,IF(ABS(AV533)&gt;=$BF$19,BC533,NA()),NA()))</f>
        <v>#N/A</v>
      </c>
      <c r="BG533" s="136" t="e">
        <f t="shared" ref="BG533:BG596" si="125">IF(ISNUMBER(BF533),BF533-$BG$19,NA())</f>
        <v>#N/A</v>
      </c>
    </row>
    <row r="534" spans="47:59" ht="11.25" customHeight="1">
      <c r="AU534" s="136">
        <f t="shared" si="115"/>
        <v>0.19215020210367295</v>
      </c>
      <c r="AV534" s="136">
        <f t="shared" ref="AV534:AV597" si="126">AV533+$AY$10</f>
        <v>-0.87000000000008426</v>
      </c>
      <c r="AW534" s="136">
        <f t="shared" si="116"/>
        <v>0.27324443087219619</v>
      </c>
      <c r="AX534" s="136" t="e">
        <f t="shared" si="117"/>
        <v>#N/A</v>
      </c>
      <c r="AY534" s="136">
        <f t="shared" si="118"/>
        <v>-0.87001000000008422</v>
      </c>
      <c r="AZ534" s="136">
        <f t="shared" si="119"/>
        <v>-0.86999000000008431</v>
      </c>
      <c r="BA534" s="136">
        <f t="shared" si="120"/>
        <v>0.23801141360776945</v>
      </c>
      <c r="BB534" s="136">
        <f t="shared" si="121"/>
        <v>0.23801578277306662</v>
      </c>
      <c r="BC534" s="136" t="e">
        <f t="shared" si="122"/>
        <v>#N/A</v>
      </c>
      <c r="BD534" s="136" t="e">
        <f t="shared" ref="BD534:BD597" si="127">IF($AV$15=1,IF(OR(AND(AV534&gt;=$BD$19,$AS$5&gt;=0),AND(AV534&lt;=$BD$19,$AS$5&lt;0)),AW534,NA()),IF($AV$15=2,IF(ABS(AV534)&gt;=$BD$18,AW534,NA()),NA()))</f>
        <v>#N/A</v>
      </c>
      <c r="BE534" s="136" t="e">
        <f t="shared" si="123"/>
        <v>#N/A</v>
      </c>
      <c r="BF534" s="136" t="e">
        <f t="shared" si="124"/>
        <v>#N/A</v>
      </c>
      <c r="BG534" s="136" t="e">
        <f t="shared" si="125"/>
        <v>#N/A</v>
      </c>
    </row>
    <row r="535" spans="47:59" ht="11.25" customHeight="1">
      <c r="AU535" s="136">
        <f t="shared" si="115"/>
        <v>0.19489452125178519</v>
      </c>
      <c r="AV535" s="136">
        <f t="shared" si="126"/>
        <v>-0.86000000000008425</v>
      </c>
      <c r="AW535" s="136">
        <f t="shared" si="116"/>
        <v>0.27561824715343669</v>
      </c>
      <c r="AX535" s="136" t="e">
        <f t="shared" si="117"/>
        <v>#N/A</v>
      </c>
      <c r="AY535" s="136">
        <f t="shared" si="118"/>
        <v>-0.86001000000008421</v>
      </c>
      <c r="AZ535" s="136">
        <f t="shared" si="119"/>
        <v>-0.8599900000000843</v>
      </c>
      <c r="BA535" s="136">
        <f t="shared" si="120"/>
        <v>0.24020633102051764</v>
      </c>
      <c r="BB535" s="136">
        <f t="shared" si="121"/>
        <v>0.2402107416366267</v>
      </c>
      <c r="BC535" s="136" t="e">
        <f t="shared" si="122"/>
        <v>#N/A</v>
      </c>
      <c r="BD535" s="136" t="e">
        <f t="shared" si="127"/>
        <v>#N/A</v>
      </c>
      <c r="BE535" s="136" t="e">
        <f t="shared" si="123"/>
        <v>#N/A</v>
      </c>
      <c r="BF535" s="136" t="e">
        <f t="shared" si="124"/>
        <v>#N/A</v>
      </c>
      <c r="BG535" s="136" t="e">
        <f t="shared" si="125"/>
        <v>#N/A</v>
      </c>
    </row>
    <row r="536" spans="47:59" ht="11.25" customHeight="1">
      <c r="AU536" s="136">
        <f t="shared" si="115"/>
        <v>0.19766254312266895</v>
      </c>
      <c r="AV536" s="136">
        <f t="shared" si="126"/>
        <v>-0.85000000000008424</v>
      </c>
      <c r="AW536" s="136">
        <f t="shared" si="116"/>
        <v>0.27798488613097649</v>
      </c>
      <c r="AX536" s="136" t="e">
        <f t="shared" si="117"/>
        <v>#N/A</v>
      </c>
      <c r="AY536" s="136">
        <f t="shared" si="118"/>
        <v>-0.8500100000000842</v>
      </c>
      <c r="AZ536" s="136">
        <f t="shared" si="119"/>
        <v>-0.84999000000008429</v>
      </c>
      <c r="BA536" s="136">
        <f t="shared" si="120"/>
        <v>0.24242201633939686</v>
      </c>
      <c r="BB536" s="136">
        <f t="shared" si="121"/>
        <v>0.24242646857525385</v>
      </c>
      <c r="BC536" s="136" t="e">
        <f t="shared" si="122"/>
        <v>#N/A</v>
      </c>
      <c r="BD536" s="136" t="e">
        <f t="shared" si="127"/>
        <v>#N/A</v>
      </c>
      <c r="BE536" s="136" t="e">
        <f t="shared" si="123"/>
        <v>#N/A</v>
      </c>
      <c r="BF536" s="136" t="e">
        <f t="shared" si="124"/>
        <v>#N/A</v>
      </c>
      <c r="BG536" s="136" t="e">
        <f t="shared" si="125"/>
        <v>#N/A</v>
      </c>
    </row>
    <row r="537" spans="47:59" ht="11.25" customHeight="1">
      <c r="AU537" s="136">
        <f t="shared" si="115"/>
        <v>0.20045419326042602</v>
      </c>
      <c r="AV537" s="136">
        <f t="shared" si="126"/>
        <v>-0.84000000000008423</v>
      </c>
      <c r="AW537" s="136">
        <f t="shared" si="116"/>
        <v>0.28034381083960069</v>
      </c>
      <c r="AX537" s="136" t="e">
        <f t="shared" si="117"/>
        <v>#N/A</v>
      </c>
      <c r="AY537" s="136">
        <f t="shared" si="118"/>
        <v>-0.84001000000008419</v>
      </c>
      <c r="AZ537" s="136">
        <f t="shared" si="119"/>
        <v>-0.83999000000008428</v>
      </c>
      <c r="BA537" s="136">
        <f t="shared" si="120"/>
        <v>0.2446585519049021</v>
      </c>
      <c r="BB537" s="136">
        <f t="shared" si="121"/>
        <v>0.24466304592086013</v>
      </c>
      <c r="BC537" s="136" t="e">
        <f t="shared" si="122"/>
        <v>#N/A</v>
      </c>
      <c r="BD537" s="136" t="e">
        <f t="shared" si="127"/>
        <v>#N/A</v>
      </c>
      <c r="BE537" s="136" t="e">
        <f t="shared" si="123"/>
        <v>#N/A</v>
      </c>
      <c r="BF537" s="136" t="e">
        <f t="shared" si="124"/>
        <v>#N/A</v>
      </c>
      <c r="BG537" s="136" t="e">
        <f t="shared" si="125"/>
        <v>#N/A</v>
      </c>
    </row>
    <row r="538" spans="47:59" ht="11.25" customHeight="1">
      <c r="AU538" s="136">
        <f t="shared" si="115"/>
        <v>0.2032693918280446</v>
      </c>
      <c r="AV538" s="136">
        <f t="shared" si="126"/>
        <v>-0.83000000000008423</v>
      </c>
      <c r="AW538" s="136">
        <f t="shared" si="116"/>
        <v>0.28269448205456044</v>
      </c>
      <c r="AX538" s="136" t="e">
        <f t="shared" si="117"/>
        <v>#N/A</v>
      </c>
      <c r="AY538" s="136">
        <f t="shared" si="118"/>
        <v>-0.83001000000008418</v>
      </c>
      <c r="AZ538" s="136">
        <f t="shared" si="119"/>
        <v>-0.82999000000008427</v>
      </c>
      <c r="BA538" s="136">
        <f t="shared" si="120"/>
        <v>0.24691601568301563</v>
      </c>
      <c r="BB538" s="136">
        <f t="shared" si="121"/>
        <v>0.24692055163051158</v>
      </c>
      <c r="BC538" s="136" t="e">
        <f t="shared" si="122"/>
        <v>#N/A</v>
      </c>
      <c r="BD538" s="136" t="e">
        <f t="shared" si="127"/>
        <v>#N/A</v>
      </c>
      <c r="BE538" s="136" t="e">
        <f t="shared" si="123"/>
        <v>#N/A</v>
      </c>
      <c r="BF538" s="136" t="e">
        <f t="shared" si="124"/>
        <v>#N/A</v>
      </c>
      <c r="BG538" s="136" t="e">
        <f t="shared" si="125"/>
        <v>#N/A</v>
      </c>
    </row>
    <row r="539" spans="47:59" ht="11.25" customHeight="1">
      <c r="AU539" s="136">
        <f t="shared" si="115"/>
        <v>0.2061080535857891</v>
      </c>
      <c r="AV539" s="136">
        <f t="shared" si="126"/>
        <v>-0.82000000000008422</v>
      </c>
      <c r="AW539" s="136">
        <f t="shared" si="116"/>
        <v>0.28503635848898751</v>
      </c>
      <c r="AX539" s="136" t="e">
        <f t="shared" si="117"/>
        <v>#N/A</v>
      </c>
      <c r="AY539" s="136">
        <f t="shared" si="118"/>
        <v>-0.82001000000008417</v>
      </c>
      <c r="AZ539" s="136">
        <f t="shared" si="119"/>
        <v>-0.81999000000008426</v>
      </c>
      <c r="BA539" s="136">
        <f t="shared" si="120"/>
        <v>0.24919448109721737</v>
      </c>
      <c r="BB539" s="136">
        <f t="shared" si="121"/>
        <v>0.24919905911843343</v>
      </c>
      <c r="BC539" s="136" t="e">
        <f t="shared" si="122"/>
        <v>#N/A</v>
      </c>
      <c r="BD539" s="136" t="e">
        <f t="shared" si="127"/>
        <v>#N/A</v>
      </c>
      <c r="BE539" s="136" t="e">
        <f t="shared" si="123"/>
        <v>#N/A</v>
      </c>
      <c r="BF539" s="136" t="e">
        <f t="shared" si="124"/>
        <v>#N/A</v>
      </c>
      <c r="BG539" s="136" t="e">
        <f t="shared" si="125"/>
        <v>#N/A</v>
      </c>
    </row>
    <row r="540" spans="47:59" ht="11.25" customHeight="1">
      <c r="AU540" s="136">
        <f t="shared" si="115"/>
        <v>0.20897008787157734</v>
      </c>
      <c r="AV540" s="136">
        <f t="shared" si="126"/>
        <v>-0.81000000000008421</v>
      </c>
      <c r="AW540" s="136">
        <f t="shared" si="116"/>
        <v>0.28736889699400869</v>
      </c>
      <c r="AX540" s="136" t="e">
        <f t="shared" si="117"/>
        <v>#N/A</v>
      </c>
      <c r="AY540" s="136">
        <f t="shared" si="118"/>
        <v>-0.81001000000008416</v>
      </c>
      <c r="AZ540" s="136">
        <f t="shared" si="119"/>
        <v>-0.80999000000008425</v>
      </c>
      <c r="BA540" s="136">
        <f t="shared" si="120"/>
        <v>0.25149401685875772</v>
      </c>
      <c r="BB540" s="136">
        <f t="shared" si="121"/>
        <v>0.25149863708628034</v>
      </c>
      <c r="BC540" s="136" t="e">
        <f t="shared" si="122"/>
        <v>#N/A</v>
      </c>
      <c r="BD540" s="136" t="e">
        <f t="shared" si="127"/>
        <v>#N/A</v>
      </c>
      <c r="BE540" s="136" t="e">
        <f t="shared" si="123"/>
        <v>#N/A</v>
      </c>
      <c r="BF540" s="136" t="e">
        <f t="shared" si="124"/>
        <v>#N/A</v>
      </c>
      <c r="BG540" s="136" t="e">
        <f t="shared" si="125"/>
        <v>#N/A</v>
      </c>
    </row>
    <row r="541" spans="47:59" ht="11.25" customHeight="1">
      <c r="AU541" s="136">
        <f t="shared" si="115"/>
        <v>0.21185539858337243</v>
      </c>
      <c r="AV541" s="136">
        <f t="shared" si="126"/>
        <v>-0.8000000000000842</v>
      </c>
      <c r="AW541" s="136">
        <f t="shared" si="116"/>
        <v>0.28969155276146319</v>
      </c>
      <c r="AX541" s="136" t="e">
        <f t="shared" si="117"/>
        <v>#N/A</v>
      </c>
      <c r="AY541" s="136">
        <f t="shared" si="118"/>
        <v>-0.80001000000008415</v>
      </c>
      <c r="AZ541" s="136">
        <f t="shared" si="119"/>
        <v>-0.79999000000008424</v>
      </c>
      <c r="BA541" s="136">
        <f t="shared" si="120"/>
        <v>0.25381468679534697</v>
      </c>
      <c r="BB541" s="136">
        <f t="shared" si="121"/>
        <v>0.2538193493518231</v>
      </c>
      <c r="BC541" s="136" t="e">
        <f t="shared" si="122"/>
        <v>#N/A</v>
      </c>
      <c r="BD541" s="136" t="e">
        <f t="shared" si="127"/>
        <v>#N/A</v>
      </c>
      <c r="BE541" s="136" t="e">
        <f t="shared" si="123"/>
        <v>#N/A</v>
      </c>
      <c r="BF541" s="136" t="e">
        <f t="shared" si="124"/>
        <v>#N/A</v>
      </c>
      <c r="BG541" s="136" t="e">
        <f t="shared" si="125"/>
        <v>#N/A</v>
      </c>
    </row>
    <row r="542" spans="47:59" ht="11.25" customHeight="1">
      <c r="AU542" s="136">
        <f t="shared" si="115"/>
        <v>0.21476388416361247</v>
      </c>
      <c r="AV542" s="136">
        <f t="shared" si="126"/>
        <v>-0.79000000000008419</v>
      </c>
      <c r="AW542" s="136">
        <f t="shared" si="116"/>
        <v>0.29200377952912199</v>
      </c>
      <c r="AX542" s="136" t="e">
        <f t="shared" si="117"/>
        <v>#N/A</v>
      </c>
      <c r="AY542" s="136">
        <f t="shared" si="118"/>
        <v>-0.79001000000008414</v>
      </c>
      <c r="AZ542" s="136">
        <f t="shared" si="119"/>
        <v>-0.78999000000008424</v>
      </c>
      <c r="BA542" s="136">
        <f t="shared" si="120"/>
        <v>0.25615654967842427</v>
      </c>
      <c r="BB542" s="136">
        <f t="shared" si="121"/>
        <v>0.2561612546762142</v>
      </c>
      <c r="BC542" s="136" t="e">
        <f t="shared" si="122"/>
        <v>#N/A</v>
      </c>
      <c r="BD542" s="136" t="e">
        <f t="shared" si="127"/>
        <v>#N/A</v>
      </c>
      <c r="BE542" s="136" t="e">
        <f t="shared" si="123"/>
        <v>#N/A</v>
      </c>
      <c r="BF542" s="136" t="e">
        <f t="shared" si="124"/>
        <v>#N/A</v>
      </c>
      <c r="BG542" s="136" t="e">
        <f t="shared" si="125"/>
        <v>#N/A</v>
      </c>
    </row>
    <row r="543" spans="47:59" ht="11.25" customHeight="1">
      <c r="AU543" s="136">
        <f t="shared" si="115"/>
        <v>0.21769543758570853</v>
      </c>
      <c r="AV543" s="136">
        <f t="shared" si="126"/>
        <v>-0.78000000000008418</v>
      </c>
      <c r="AW543" s="136">
        <f t="shared" si="116"/>
        <v>0.29430502978830581</v>
      </c>
      <c r="AX543" s="136" t="e">
        <f t="shared" si="117"/>
        <v>#N/A</v>
      </c>
      <c r="AY543" s="136">
        <f t="shared" si="118"/>
        <v>-0.78001000000008414</v>
      </c>
      <c r="AZ543" s="136">
        <f t="shared" si="119"/>
        <v>-0.77999000000008423</v>
      </c>
      <c r="BA543" s="136">
        <f t="shared" si="120"/>
        <v>0.25851965904918162</v>
      </c>
      <c r="BB543" s="136">
        <f t="shared" si="121"/>
        <v>0.25852440659001008</v>
      </c>
      <c r="BC543" s="136" t="e">
        <f t="shared" si="122"/>
        <v>#N/A</v>
      </c>
      <c r="BD543" s="136" t="e">
        <f t="shared" si="127"/>
        <v>#N/A</v>
      </c>
      <c r="BE543" s="136" t="e">
        <f t="shared" si="123"/>
        <v>#N/A</v>
      </c>
      <c r="BF543" s="136" t="e">
        <f t="shared" si="124"/>
        <v>#N/A</v>
      </c>
      <c r="BG543" s="136" t="e">
        <f t="shared" si="125"/>
        <v>#N/A</v>
      </c>
    </row>
    <row r="544" spans="47:59" ht="11.25" customHeight="1">
      <c r="AU544" s="136">
        <f t="shared" si="115"/>
        <v>0.22064994634262458</v>
      </c>
      <c r="AV544" s="136">
        <f t="shared" si="126"/>
        <v>-0.77000000000008417</v>
      </c>
      <c r="AW544" s="136">
        <f t="shared" si="116"/>
        <v>0.29659475499379645</v>
      </c>
      <c r="AX544" s="136" t="e">
        <f t="shared" si="117"/>
        <v>#N/A</v>
      </c>
      <c r="AY544" s="136">
        <f t="shared" si="118"/>
        <v>-0.77001000000008413</v>
      </c>
      <c r="AZ544" s="136">
        <f t="shared" si="119"/>
        <v>-0.76999000000008422</v>
      </c>
      <c r="BA544" s="136">
        <f t="shared" si="120"/>
        <v>0.26090406304352465</v>
      </c>
      <c r="BB544" s="136">
        <f t="shared" si="121"/>
        <v>0.26090885321813001</v>
      </c>
      <c r="BC544" s="136" t="e">
        <f t="shared" si="122"/>
        <v>#N/A</v>
      </c>
      <c r="BD544" s="136" t="e">
        <f t="shared" si="127"/>
        <v>#N/A</v>
      </c>
      <c r="BE544" s="136" t="e">
        <f t="shared" si="123"/>
        <v>#N/A</v>
      </c>
      <c r="BF544" s="136" t="e">
        <f t="shared" si="124"/>
        <v>#N/A</v>
      </c>
      <c r="BG544" s="136" t="e">
        <f t="shared" si="125"/>
        <v>#N/A</v>
      </c>
    </row>
    <row r="545" spans="47:59" ht="11.25" customHeight="1">
      <c r="AU545" s="136">
        <f t="shared" si="115"/>
        <v>0.2236272924375744</v>
      </c>
      <c r="AV545" s="136">
        <f t="shared" si="126"/>
        <v>-0.76000000000008416</v>
      </c>
      <c r="AW545" s="136">
        <f t="shared" si="116"/>
        <v>0.2988724057759336</v>
      </c>
      <c r="AX545" s="136" t="e">
        <f t="shared" si="117"/>
        <v>#N/A</v>
      </c>
      <c r="AY545" s="136">
        <f t="shared" si="118"/>
        <v>-0.76001000000008412</v>
      </c>
      <c r="AZ545" s="136">
        <f t="shared" si="119"/>
        <v>-0.75999000000008421</v>
      </c>
      <c r="BA545" s="136">
        <f t="shared" si="120"/>
        <v>0.26330980421616745</v>
      </c>
      <c r="BB545" s="136">
        <f t="shared" si="121"/>
        <v>0.26331463710394848</v>
      </c>
      <c r="BC545" s="136" t="e">
        <f t="shared" si="122"/>
        <v>#N/A</v>
      </c>
      <c r="BD545" s="136" t="e">
        <f t="shared" si="127"/>
        <v>#N/A</v>
      </c>
      <c r="BE545" s="136" t="e">
        <f t="shared" si="123"/>
        <v>#N/A</v>
      </c>
      <c r="BF545" s="136" t="e">
        <f t="shared" si="124"/>
        <v>#N/A</v>
      </c>
      <c r="BG545" s="136" t="e">
        <f t="shared" si="125"/>
        <v>#N/A</v>
      </c>
    </row>
    <row r="546" spans="47:59" ht="11.25" customHeight="1">
      <c r="AU546" s="136">
        <f t="shared" si="115"/>
        <v>0.22662735237684295</v>
      </c>
      <c r="AV546" s="136">
        <f t="shared" si="126"/>
        <v>-0.75000000000008415</v>
      </c>
      <c r="AW546" s="136">
        <f t="shared" si="116"/>
        <v>0.30113743215478539</v>
      </c>
      <c r="AX546" s="136" t="e">
        <f t="shared" si="117"/>
        <v>#N/A</v>
      </c>
      <c r="AY546" s="136">
        <f t="shared" si="118"/>
        <v>-0.75001000000008411</v>
      </c>
      <c r="AZ546" s="136">
        <f t="shared" si="119"/>
        <v>-0.7499900000000842</v>
      </c>
      <c r="BA546" s="136">
        <f t="shared" si="120"/>
        <v>0.26573691936406518</v>
      </c>
      <c r="BB546" s="136">
        <f t="shared" si="121"/>
        <v>0.26574179503272854</v>
      </c>
      <c r="BC546" s="136" t="e">
        <f t="shared" si="122"/>
        <v>#N/A</v>
      </c>
      <c r="BD546" s="136" t="e">
        <f t="shared" si="127"/>
        <v>#N/A</v>
      </c>
      <c r="BE546" s="136" t="e">
        <f t="shared" si="123"/>
        <v>#N/A</v>
      </c>
      <c r="BF546" s="136" t="e">
        <f t="shared" si="124"/>
        <v>#N/A</v>
      </c>
      <c r="BG546" s="136" t="e">
        <f t="shared" si="125"/>
        <v>#N/A</v>
      </c>
    </row>
    <row r="547" spans="47:59" ht="11.25" customHeight="1">
      <c r="AU547" s="136">
        <f t="shared" si="115"/>
        <v>0.22964999716476497</v>
      </c>
      <c r="AV547" s="136">
        <f t="shared" si="126"/>
        <v>-0.74000000000008415</v>
      </c>
      <c r="AW547" s="136">
        <f t="shared" si="116"/>
        <v>0.30338928375628121</v>
      </c>
      <c r="AX547" s="136" t="e">
        <f t="shared" si="117"/>
        <v>#N/A</v>
      </c>
      <c r="AY547" s="136">
        <f t="shared" si="118"/>
        <v>-0.7400100000000841</v>
      </c>
      <c r="AZ547" s="136">
        <f t="shared" si="119"/>
        <v>-0.73999000000008419</v>
      </c>
      <c r="BA547" s="136">
        <f t="shared" si="120"/>
        <v>0.26818543934940153</v>
      </c>
      <c r="BB547" s="136">
        <f t="shared" si="121"/>
        <v>0.26819035785460626</v>
      </c>
      <c r="BC547" s="136" t="e">
        <f t="shared" si="122"/>
        <v>#N/A</v>
      </c>
      <c r="BD547" s="136" t="e">
        <f t="shared" si="127"/>
        <v>#N/A</v>
      </c>
      <c r="BE547" s="136" t="e">
        <f t="shared" si="123"/>
        <v>#N/A</v>
      </c>
      <c r="BF547" s="136" t="e">
        <f t="shared" si="124"/>
        <v>#N/A</v>
      </c>
      <c r="BG547" s="136" t="e">
        <f t="shared" si="125"/>
        <v>#N/A</v>
      </c>
    </row>
    <row r="548" spans="47:59" ht="11.25" customHeight="1">
      <c r="AU548" s="136">
        <f t="shared" si="115"/>
        <v>0.23269509230087171</v>
      </c>
      <c r="AV548" s="136">
        <f t="shared" si="126"/>
        <v>-0.73000000000008414</v>
      </c>
      <c r="AW548" s="136">
        <f t="shared" si="116"/>
        <v>0.30562741003019106</v>
      </c>
      <c r="AX548" s="136" t="e">
        <f t="shared" si="117"/>
        <v>#N/A</v>
      </c>
      <c r="AY548" s="136">
        <f t="shared" si="118"/>
        <v>-0.73001000000008409</v>
      </c>
      <c r="AZ548" s="136">
        <f t="shared" si="119"/>
        <v>-0.72999000000008418</v>
      </c>
      <c r="BA548" s="136">
        <f t="shared" si="120"/>
        <v>0.27065538892235708</v>
      </c>
      <c r="BB548" s="136">
        <f t="shared" si="121"/>
        <v>0.27066035030736102</v>
      </c>
      <c r="BC548" s="136" t="e">
        <f t="shared" si="122"/>
        <v>#N/A</v>
      </c>
      <c r="BD548" s="136" t="e">
        <f t="shared" si="127"/>
        <v>#N/A</v>
      </c>
      <c r="BE548" s="136" t="e">
        <f t="shared" si="123"/>
        <v>#N/A</v>
      </c>
      <c r="BF548" s="136" t="e">
        <f t="shared" si="124"/>
        <v>#N/A</v>
      </c>
      <c r="BG548" s="136" t="e">
        <f t="shared" si="125"/>
        <v>#N/A</v>
      </c>
    </row>
    <row r="549" spans="47:59" ht="11.25" customHeight="1">
      <c r="AU549" s="136">
        <f t="shared" si="115"/>
        <v>0.2357624977792252</v>
      </c>
      <c r="AV549" s="136">
        <f t="shared" si="126"/>
        <v>-0.72000000000008413</v>
      </c>
      <c r="AW549" s="136">
        <f t="shared" si="116"/>
        <v>0.30785126046983424</v>
      </c>
      <c r="AX549" s="136" t="e">
        <f t="shared" si="117"/>
        <v>#N/A</v>
      </c>
      <c r="AY549" s="136">
        <f t="shared" si="118"/>
        <v>-0.72001000000008408</v>
      </c>
      <c r="AZ549" s="136">
        <f t="shared" si="119"/>
        <v>-0.71999000000008417</v>
      </c>
      <c r="BA549" s="136">
        <f t="shared" si="120"/>
        <v>0.2731467865438969</v>
      </c>
      <c r="BB549" s="136">
        <f t="shared" si="121"/>
        <v>0.27315179083920171</v>
      </c>
      <c r="BC549" s="136" t="e">
        <f t="shared" si="122"/>
        <v>#N/A</v>
      </c>
      <c r="BD549" s="136" t="e">
        <f t="shared" si="127"/>
        <v>#N/A</v>
      </c>
      <c r="BE549" s="136" t="e">
        <f t="shared" si="123"/>
        <v>#N/A</v>
      </c>
      <c r="BF549" s="136" t="e">
        <f t="shared" si="124"/>
        <v>#N/A</v>
      </c>
      <c r="BG549" s="136" t="e">
        <f t="shared" si="125"/>
        <v>#N/A</v>
      </c>
    </row>
    <row r="550" spans="47:59" ht="11.25" customHeight="1">
      <c r="AU550" s="136">
        <f t="shared" si="115"/>
        <v>0.23885206808996062</v>
      </c>
      <c r="AV550" s="136">
        <f t="shared" si="126"/>
        <v>-0.71000000000008412</v>
      </c>
      <c r="AW550" s="136">
        <f t="shared" si="116"/>
        <v>0.31006028483339759</v>
      </c>
      <c r="AX550" s="136" t="e">
        <f t="shared" si="117"/>
        <v>#N/A</v>
      </c>
      <c r="AY550" s="136">
        <f t="shared" si="118"/>
        <v>-0.71001000000008407</v>
      </c>
      <c r="AZ550" s="136">
        <f t="shared" si="119"/>
        <v>-0.70999000000008416</v>
      </c>
      <c r="BA550" s="136">
        <f t="shared" si="120"/>
        <v>0.27565964420882405</v>
      </c>
      <c r="BB550" s="136">
        <f t="shared" si="121"/>
        <v>0.27566469143182215</v>
      </c>
      <c r="BC550" s="136" t="e">
        <f t="shared" si="122"/>
        <v>#N/A</v>
      </c>
      <c r="BD550" s="136" t="e">
        <f t="shared" si="127"/>
        <v>#N/A</v>
      </c>
      <c r="BE550" s="136" t="e">
        <f t="shared" si="123"/>
        <v>#N/A</v>
      </c>
      <c r="BF550" s="136" t="e">
        <f t="shared" si="124"/>
        <v>#N/A</v>
      </c>
      <c r="BG550" s="136" t="e">
        <f t="shared" si="125"/>
        <v>#N/A</v>
      </c>
    </row>
    <row r="551" spans="47:59" ht="11.25" customHeight="1">
      <c r="AU551" s="136">
        <f t="shared" si="115"/>
        <v>0.24196365222304672</v>
      </c>
      <c r="AV551" s="136">
        <f t="shared" si="126"/>
        <v>-0.70000000000008411</v>
      </c>
      <c r="AW551" s="136">
        <f t="shared" si="116"/>
        <v>0.31225393336674284</v>
      </c>
      <c r="AX551" s="136" t="e">
        <f t="shared" si="117"/>
        <v>#N/A</v>
      </c>
      <c r="AY551" s="136">
        <f t="shared" si="118"/>
        <v>-0.70001000000008406</v>
      </c>
      <c r="AZ551" s="136">
        <f t="shared" si="119"/>
        <v>-0.69999000000008416</v>
      </c>
      <c r="BA551" s="136">
        <f t="shared" si="120"/>
        <v>0.27819396726935952</v>
      </c>
      <c r="BB551" s="136">
        <f t="shared" si="121"/>
        <v>0.27819905742398188</v>
      </c>
      <c r="BC551" s="136" t="e">
        <f t="shared" si="122"/>
        <v>#N/A</v>
      </c>
      <c r="BD551" s="136" t="e">
        <f t="shared" si="127"/>
        <v>#N/A</v>
      </c>
      <c r="BE551" s="136" t="e">
        <f t="shared" si="123"/>
        <v>#N/A</v>
      </c>
      <c r="BF551" s="136" t="e">
        <f t="shared" si="124"/>
        <v>#N/A</v>
      </c>
      <c r="BG551" s="136" t="e">
        <f t="shared" si="125"/>
        <v>#N/A</v>
      </c>
    </row>
    <row r="552" spans="47:59" ht="11.25" customHeight="1">
      <c r="AU552" s="136">
        <f t="shared" si="115"/>
        <v>0.24509709367428301</v>
      </c>
      <c r="AV552" s="136">
        <f t="shared" si="126"/>
        <v>-0.6900000000000841</v>
      </c>
      <c r="AW552" s="136">
        <f t="shared" si="116"/>
        <v>0.31443165702757903</v>
      </c>
      <c r="AX552" s="136" t="e">
        <f t="shared" si="117"/>
        <v>#N/A</v>
      </c>
      <c r="AY552" s="136">
        <f t="shared" si="118"/>
        <v>-0.69001000000008406</v>
      </c>
      <c r="AZ552" s="136">
        <f t="shared" si="119"/>
        <v>-0.68999000000008415</v>
      </c>
      <c r="BA552" s="136">
        <f t="shared" si="120"/>
        <v>0.28074975425951509</v>
      </c>
      <c r="BB552" s="136">
        <f t="shared" si="121"/>
        <v>0.28075488733588094</v>
      </c>
      <c r="BC552" s="136" t="e">
        <f t="shared" si="122"/>
        <v>#N/A</v>
      </c>
      <c r="BD552" s="136" t="e">
        <f t="shared" si="127"/>
        <v>#N/A</v>
      </c>
      <c r="BE552" s="136" t="e">
        <f t="shared" si="123"/>
        <v>#N/A</v>
      </c>
      <c r="BF552" s="136" t="e">
        <f t="shared" si="124"/>
        <v>#N/A</v>
      </c>
      <c r="BG552" s="136" t="e">
        <f t="shared" si="125"/>
        <v>#N/A</v>
      </c>
    </row>
    <row r="553" spans="47:59" ht="11.25" customHeight="1">
      <c r="AU553" s="136">
        <f t="shared" si="115"/>
        <v>0.24825223045354394</v>
      </c>
      <c r="AV553" s="136">
        <f t="shared" si="126"/>
        <v>-0.68000000000008409</v>
      </c>
      <c r="AW553" s="136">
        <f t="shared" si="116"/>
        <v>0.31659290771087467</v>
      </c>
      <c r="AX553" s="136" t="e">
        <f t="shared" si="117"/>
        <v>#N/A</v>
      </c>
      <c r="AY553" s="136">
        <f t="shared" si="118"/>
        <v>-0.68001000000008405</v>
      </c>
      <c r="AZ553" s="136">
        <f t="shared" si="119"/>
        <v>-0.67999000000008414</v>
      </c>
      <c r="BA553" s="136">
        <f t="shared" si="120"/>
        <v>0.28332699672054196</v>
      </c>
      <c r="BB553" s="136">
        <f t="shared" si="121"/>
        <v>0.28333217269461086</v>
      </c>
      <c r="BC553" s="136" t="e">
        <f t="shared" si="122"/>
        <v>#N/A</v>
      </c>
      <c r="BD553" s="136" t="e">
        <f t="shared" si="127"/>
        <v>#N/A</v>
      </c>
      <c r="BE553" s="136" t="e">
        <f t="shared" si="123"/>
        <v>#N/A</v>
      </c>
      <c r="BF553" s="136" t="e">
        <f t="shared" si="124"/>
        <v>#N/A</v>
      </c>
      <c r="BG553" s="136" t="e">
        <f t="shared" si="125"/>
        <v>#N/A</v>
      </c>
    </row>
    <row r="554" spans="47:59" ht="11.25" customHeight="1">
      <c r="AU554" s="136">
        <f t="shared" si="115"/>
        <v>0.25142889509528332</v>
      </c>
      <c r="AV554" s="136">
        <f t="shared" si="126"/>
        <v>-0.67000000000008408</v>
      </c>
      <c r="AW554" s="136">
        <f t="shared" si="116"/>
        <v>0.31873713847538354</v>
      </c>
      <c r="AX554" s="136" t="e">
        <f t="shared" si="117"/>
        <v>#N/A</v>
      </c>
      <c r="AY554" s="136">
        <f t="shared" si="118"/>
        <v>-0.67001000000008404</v>
      </c>
      <c r="AZ554" s="136">
        <f t="shared" si="119"/>
        <v>-0.66999000000008413</v>
      </c>
      <c r="BA554" s="136">
        <f t="shared" si="120"/>
        <v>0.28592567902773913</v>
      </c>
      <c r="BB554" s="136">
        <f t="shared" si="121"/>
        <v>0.28593089786096659</v>
      </c>
      <c r="BC554" s="136" t="e">
        <f t="shared" si="122"/>
        <v>#N/A</v>
      </c>
      <c r="BD554" s="136" t="e">
        <f t="shared" si="127"/>
        <v>#N/A</v>
      </c>
      <c r="BE554" s="136" t="e">
        <f t="shared" si="123"/>
        <v>#N/A</v>
      </c>
      <c r="BF554" s="136" t="e">
        <f t="shared" si="124"/>
        <v>#N/A</v>
      </c>
      <c r="BG554" s="136" t="e">
        <f t="shared" si="125"/>
        <v>#N/A</v>
      </c>
    </row>
    <row r="555" spans="47:59" ht="11.25" customHeight="1">
      <c r="AU555" s="136">
        <f t="shared" si="115"/>
        <v>0.25462691467130916</v>
      </c>
      <c r="AV555" s="136">
        <f t="shared" si="126"/>
        <v>-0.66000000000008407</v>
      </c>
      <c r="AW555" s="136">
        <f t="shared" si="116"/>
        <v>0.32086380377115464</v>
      </c>
      <c r="AX555" s="136" t="e">
        <f t="shared" si="117"/>
        <v>#N/A</v>
      </c>
      <c r="AY555" s="136">
        <f t="shared" si="118"/>
        <v>-0.66001000000008403</v>
      </c>
      <c r="AZ555" s="136">
        <f t="shared" si="119"/>
        <v>-0.65999000000008412</v>
      </c>
      <c r="BA555" s="136">
        <f t="shared" si="120"/>
        <v>0.28854577821892702</v>
      </c>
      <c r="BB555" s="136">
        <f t="shared" si="121"/>
        <v>0.28855103985792263</v>
      </c>
      <c r="BC555" s="136" t="e">
        <f t="shared" si="122"/>
        <v>#N/A</v>
      </c>
      <c r="BD555" s="136" t="e">
        <f t="shared" si="127"/>
        <v>#N/A</v>
      </c>
      <c r="BE555" s="136" t="e">
        <f t="shared" si="123"/>
        <v>#N/A</v>
      </c>
      <c r="BF555" s="136" t="e">
        <f t="shared" si="124"/>
        <v>#N/A</v>
      </c>
      <c r="BG555" s="136" t="e">
        <f t="shared" si="125"/>
        <v>#N/A</v>
      </c>
    </row>
    <row r="556" spans="47:59" ht="11.25" customHeight="1">
      <c r="AU556" s="136">
        <f t="shared" si="115"/>
        <v>0.25784611080583764</v>
      </c>
      <c r="AV556" s="136">
        <f t="shared" si="126"/>
        <v>-0.65000000000008407</v>
      </c>
      <c r="AW556" s="136">
        <f t="shared" si="116"/>
        <v>0.32297235966789661</v>
      </c>
      <c r="AX556" s="136" t="e">
        <f t="shared" si="117"/>
        <v>#N/A</v>
      </c>
      <c r="AY556" s="136">
        <f t="shared" si="118"/>
        <v>-0.65001000000008402</v>
      </c>
      <c r="AZ556" s="136">
        <f t="shared" si="119"/>
        <v>-0.64999000000008411</v>
      </c>
      <c r="BA556" s="136">
        <f t="shared" si="120"/>
        <v>0.29118726382488813</v>
      </c>
      <c r="BB556" s="136">
        <f t="shared" si="121"/>
        <v>0.29119256820107914</v>
      </c>
      <c r="BC556" s="136" t="e">
        <f t="shared" si="122"/>
        <v>#N/A</v>
      </c>
      <c r="BD556" s="136" t="e">
        <f t="shared" si="127"/>
        <v>#N/A</v>
      </c>
      <c r="BE556" s="136" t="e">
        <f t="shared" si="123"/>
        <v>#N/A</v>
      </c>
      <c r="BF556" s="136" t="e">
        <f t="shared" si="124"/>
        <v>#N/A</v>
      </c>
      <c r="BG556" s="136" t="e">
        <f t="shared" si="125"/>
        <v>#N/A</v>
      </c>
    </row>
    <row r="557" spans="47:59" ht="11.25" customHeight="1">
      <c r="AU557" s="136">
        <f t="shared" si="115"/>
        <v>0.26108629969283426</v>
      </c>
      <c r="AV557" s="136">
        <f t="shared" si="126"/>
        <v>-0.64000000000008406</v>
      </c>
      <c r="AW557" s="136">
        <f t="shared" si="116"/>
        <v>0.32506226408406463</v>
      </c>
      <c r="AX557" s="136" t="e">
        <f t="shared" si="117"/>
        <v>#N/A</v>
      </c>
      <c r="AY557" s="136">
        <f t="shared" si="118"/>
        <v>-0.64001000000008401</v>
      </c>
      <c r="AZ557" s="136">
        <f t="shared" si="119"/>
        <v>-0.6399900000000841</v>
      </c>
      <c r="BA557" s="136">
        <f t="shared" si="120"/>
        <v>0.2938500977020988</v>
      </c>
      <c r="BB557" s="136">
        <f t="shared" si="121"/>
        <v>0.29385544473139802</v>
      </c>
      <c r="BC557" s="136" t="e">
        <f t="shared" si="122"/>
        <v>#N/A</v>
      </c>
      <c r="BD557" s="136" t="e">
        <f t="shared" si="127"/>
        <v>#N/A</v>
      </c>
      <c r="BE557" s="136" t="e">
        <f t="shared" si="123"/>
        <v>#N/A</v>
      </c>
      <c r="BF557" s="136" t="e">
        <f t="shared" si="124"/>
        <v>#N/A</v>
      </c>
      <c r="BG557" s="136" t="e">
        <f t="shared" si="125"/>
        <v>#N/A</v>
      </c>
    </row>
    <row r="558" spans="47:59" ht="11.25" customHeight="1">
      <c r="AU558" s="136">
        <f t="shared" si="115"/>
        <v>0.26434729211565011</v>
      </c>
      <c r="AV558" s="136">
        <f t="shared" si="126"/>
        <v>-0.63000000000008405</v>
      </c>
      <c r="AW558" s="136">
        <f t="shared" si="116"/>
        <v>0.32713297701653715</v>
      </c>
      <c r="AX558" s="136" t="e">
        <f t="shared" si="117"/>
        <v>#N/A</v>
      </c>
      <c r="AY558" s="136">
        <f t="shared" si="118"/>
        <v>-0.630010000000084</v>
      </c>
      <c r="AZ558" s="136">
        <f t="shared" si="119"/>
        <v>-0.62999000000008409</v>
      </c>
      <c r="BA558" s="136">
        <f t="shared" si="120"/>
        <v>0.29653423386807198</v>
      </c>
      <c r="BB558" s="136">
        <f t="shared" si="121"/>
        <v>0.29653962345055118</v>
      </c>
      <c r="BC558" s="136" t="e">
        <f t="shared" si="122"/>
        <v>#N/A</v>
      </c>
      <c r="BD558" s="136" t="e">
        <f t="shared" si="127"/>
        <v>#N/A</v>
      </c>
      <c r="BE558" s="136" t="e">
        <f t="shared" si="123"/>
        <v>#N/A</v>
      </c>
      <c r="BF558" s="136" t="e">
        <f t="shared" si="124"/>
        <v>#N/A</v>
      </c>
      <c r="BG558" s="136" t="e">
        <f t="shared" si="125"/>
        <v>#N/A</v>
      </c>
    </row>
    <row r="559" spans="47:59" ht="11.25" customHeight="1">
      <c r="AU559" s="136">
        <f t="shared" si="115"/>
        <v>0.26762889346895546</v>
      </c>
      <c r="AV559" s="136">
        <f t="shared" si="126"/>
        <v>-0.62000000000008404</v>
      </c>
      <c r="AW559" s="136">
        <f t="shared" si="116"/>
        <v>0.32918396077074757</v>
      </c>
      <c r="AX559" s="136" t="e">
        <f t="shared" si="117"/>
        <v>#N/A</v>
      </c>
      <c r="AY559" s="136">
        <f t="shared" si="118"/>
        <v>-0.62001000000008399</v>
      </c>
      <c r="AZ559" s="136">
        <f t="shared" si="119"/>
        <v>-0.61999000000008408</v>
      </c>
      <c r="BA559" s="136">
        <f t="shared" si="120"/>
        <v>0.29923961833965229</v>
      </c>
      <c r="BB559" s="136">
        <f t="shared" si="121"/>
        <v>0.29924505035922211</v>
      </c>
      <c r="BC559" s="136" t="e">
        <f t="shared" si="122"/>
        <v>#N/A</v>
      </c>
      <c r="BD559" s="136" t="e">
        <f t="shared" si="127"/>
        <v>#N/A</v>
      </c>
      <c r="BE559" s="136" t="e">
        <f t="shared" si="123"/>
        <v>#N/A</v>
      </c>
      <c r="BF559" s="136" t="e">
        <f t="shared" si="124"/>
        <v>#N/A</v>
      </c>
      <c r="BG559" s="136" t="e">
        <f t="shared" si="125"/>
        <v>#N/A</v>
      </c>
    </row>
    <row r="560" spans="47:59" ht="11.25" customHeight="1">
      <c r="AU560" s="136">
        <f t="shared" si="115"/>
        <v>0.27093090378297791</v>
      </c>
      <c r="AV560" s="136">
        <f t="shared" si="126"/>
        <v>-0.61000000000008403</v>
      </c>
      <c r="AW560" s="136">
        <f t="shared" si="116"/>
        <v>0.33121468019113592</v>
      </c>
      <c r="AX560" s="136" t="e">
        <f t="shared" si="117"/>
        <v>#N/A</v>
      </c>
      <c r="AY560" s="136">
        <f t="shared" si="118"/>
        <v>-0.61001000000008399</v>
      </c>
      <c r="AZ560" s="136">
        <f t="shared" si="119"/>
        <v>-0.60999000000008408</v>
      </c>
      <c r="BA560" s="136">
        <f t="shared" si="120"/>
        <v>0.30196618897459909</v>
      </c>
      <c r="BB560" s="136">
        <f t="shared" si="121"/>
        <v>0.30197166329869518</v>
      </c>
      <c r="BC560" s="136" t="e">
        <f t="shared" si="122"/>
        <v>#N/A</v>
      </c>
      <c r="BD560" s="136" t="e">
        <f t="shared" si="127"/>
        <v>#N/A</v>
      </c>
      <c r="BE560" s="136" t="e">
        <f t="shared" si="123"/>
        <v>#N/A</v>
      </c>
      <c r="BF560" s="136" t="e">
        <f t="shared" si="124"/>
        <v>#N/A</v>
      </c>
      <c r="BG560" s="136" t="e">
        <f t="shared" si="125"/>
        <v>#N/A</v>
      </c>
    </row>
    <row r="561" spans="47:59" ht="11.25" customHeight="1">
      <c r="AU561" s="136">
        <f t="shared" si="115"/>
        <v>0.27425311775004557</v>
      </c>
      <c r="AV561" s="136">
        <f t="shared" si="126"/>
        <v>-0.60000000000008402</v>
      </c>
      <c r="AW561" s="136">
        <f t="shared" si="116"/>
        <v>0.3332246028917828</v>
      </c>
      <c r="AX561" s="136" t="e">
        <f t="shared" si="117"/>
        <v>#N/A</v>
      </c>
      <c r="AY561" s="136">
        <f t="shared" si="118"/>
        <v>-0.60001000000008398</v>
      </c>
      <c r="AZ561" s="136">
        <f t="shared" si="119"/>
        <v>-0.59999000000008407</v>
      </c>
      <c r="BA561" s="136">
        <f t="shared" si="120"/>
        <v>0.30471387531681293</v>
      </c>
      <c r="BB561" s="136">
        <f t="shared" si="121"/>
        <v>0.3047193917960912</v>
      </c>
      <c r="BC561" s="136" t="e">
        <f t="shared" si="122"/>
        <v>#N/A</v>
      </c>
      <c r="BD561" s="136" t="e">
        <f t="shared" si="127"/>
        <v>#N/A</v>
      </c>
      <c r="BE561" s="136" t="e">
        <f t="shared" si="123"/>
        <v>#N/A</v>
      </c>
      <c r="BF561" s="136" t="e">
        <f t="shared" si="124"/>
        <v>#N/A</v>
      </c>
      <c r="BG561" s="136" t="e">
        <f t="shared" si="125"/>
        <v>#N/A</v>
      </c>
    </row>
    <row r="562" spans="47:59" ht="11.25" customHeight="1">
      <c r="AU562" s="136">
        <f t="shared" si="115"/>
        <v>0.27759532475343685</v>
      </c>
      <c r="AV562" s="136">
        <f t="shared" si="126"/>
        <v>-0.59000000000008401</v>
      </c>
      <c r="AW562" s="136">
        <f t="shared" si="116"/>
        <v>0.33521319948708944</v>
      </c>
      <c r="AX562" s="136" t="e">
        <f t="shared" si="117"/>
        <v>#N/A</v>
      </c>
      <c r="AY562" s="136">
        <f t="shared" si="118"/>
        <v>-0.59001000000008397</v>
      </c>
      <c r="AZ562" s="136">
        <f t="shared" si="119"/>
        <v>-0.58999000000008406</v>
      </c>
      <c r="BA562" s="136">
        <f t="shared" si="120"/>
        <v>0.30748259844555759</v>
      </c>
      <c r="BB562" s="136">
        <f t="shared" si="121"/>
        <v>0.30748815691359632</v>
      </c>
      <c r="BC562" s="136" t="e">
        <f t="shared" si="122"/>
        <v>#N/A</v>
      </c>
      <c r="BD562" s="136" t="e">
        <f t="shared" si="127"/>
        <v>#N/A</v>
      </c>
      <c r="BE562" s="136" t="e">
        <f t="shared" si="123"/>
        <v>#N/A</v>
      </c>
      <c r="BF562" s="136" t="e">
        <f t="shared" si="124"/>
        <v>#N/A</v>
      </c>
      <c r="BG562" s="136" t="e">
        <f t="shared" si="125"/>
        <v>#N/A</v>
      </c>
    </row>
    <row r="563" spans="47:59" ht="11.25" customHeight="1">
      <c r="AU563" s="136">
        <f t="shared" si="115"/>
        <v>0.28095730889853598</v>
      </c>
      <c r="AV563" s="136">
        <f t="shared" si="126"/>
        <v>-0.580000000000084</v>
      </c>
      <c r="AW563" s="136">
        <f t="shared" si="116"/>
        <v>0.3371799438223641</v>
      </c>
      <c r="AX563" s="136" t="e">
        <f t="shared" si="117"/>
        <v>#N/A</v>
      </c>
      <c r="AY563" s="136">
        <f t="shared" si="118"/>
        <v>-0.58001000000008396</v>
      </c>
      <c r="AZ563" s="136">
        <f t="shared" si="119"/>
        <v>-0.57999000000008405</v>
      </c>
      <c r="BA563" s="136">
        <f t="shared" si="120"/>
        <v>0.31027227082904252</v>
      </c>
      <c r="BB563" s="136">
        <f t="shared" si="121"/>
        <v>0.31027787110205451</v>
      </c>
      <c r="BC563" s="136" t="e">
        <f t="shared" si="122"/>
        <v>#N/A</v>
      </c>
      <c r="BD563" s="136" t="e">
        <f t="shared" si="127"/>
        <v>#N/A</v>
      </c>
      <c r="BE563" s="136" t="e">
        <f t="shared" si="123"/>
        <v>#N/A</v>
      </c>
      <c r="BF563" s="136" t="e">
        <f t="shared" si="124"/>
        <v>#N/A</v>
      </c>
      <c r="BG563" s="136" t="e">
        <f t="shared" si="125"/>
        <v>#N/A</v>
      </c>
    </row>
    <row r="564" spans="47:59" ht="11.25" customHeight="1">
      <c r="AU564" s="136">
        <f t="shared" si="115"/>
        <v>0.28433884904629569</v>
      </c>
      <c r="AV564" s="136">
        <f t="shared" si="126"/>
        <v>-0.570000000000084</v>
      </c>
      <c r="AW564" s="136">
        <f t="shared" si="116"/>
        <v>0.33912431320417591</v>
      </c>
      <c r="AX564" s="136" t="e">
        <f t="shared" si="117"/>
        <v>#N/A</v>
      </c>
      <c r="AY564" s="136">
        <f t="shared" si="118"/>
        <v>-0.57001000000008395</v>
      </c>
      <c r="AZ564" s="136">
        <f t="shared" si="119"/>
        <v>-0.56999000000008404</v>
      </c>
      <c r="BA564" s="136">
        <f t="shared" si="120"/>
        <v>0.31308279618273105</v>
      </c>
      <c r="BB564" s="136">
        <f t="shared" si="121"/>
        <v>0.31308843805928444</v>
      </c>
      <c r="BC564" s="136" t="e">
        <f t="shared" si="122"/>
        <v>#N/A</v>
      </c>
      <c r="BD564" s="136" t="e">
        <f t="shared" si="127"/>
        <v>#N/A</v>
      </c>
      <c r="BE564" s="136" t="e">
        <f t="shared" si="123"/>
        <v>#N/A</v>
      </c>
      <c r="BF564" s="136" t="e">
        <f t="shared" si="124"/>
        <v>#N/A</v>
      </c>
      <c r="BG564" s="136" t="e">
        <f t="shared" si="125"/>
        <v>#N/A</v>
      </c>
    </row>
    <row r="565" spans="47:59" ht="11.25" customHeight="1">
      <c r="AU565" s="136">
        <f t="shared" si="115"/>
        <v>0.2877397188489984</v>
      </c>
      <c r="AV565" s="136">
        <f t="shared" si="126"/>
        <v>-0.56000000000008399</v>
      </c>
      <c r="AW565" s="136">
        <f t="shared" si="116"/>
        <v>0.34104578863033647</v>
      </c>
      <c r="AX565" s="136" t="e">
        <f t="shared" si="117"/>
        <v>#N/A</v>
      </c>
      <c r="AY565" s="136">
        <f t="shared" si="118"/>
        <v>-0.56001000000008394</v>
      </c>
      <c r="AZ565" s="136">
        <f t="shared" si="119"/>
        <v>-0.55999000000008403</v>
      </c>
      <c r="BA565" s="136">
        <f t="shared" si="120"/>
        <v>0.31591406933274768</v>
      </c>
      <c r="BB565" s="136">
        <f t="shared" si="121"/>
        <v>0.31591975259349936</v>
      </c>
      <c r="BC565" s="136" t="e">
        <f t="shared" si="122"/>
        <v>#N/A</v>
      </c>
      <c r="BD565" s="136" t="e">
        <f t="shared" si="127"/>
        <v>#N/A</v>
      </c>
      <c r="BE565" s="136" t="e">
        <f t="shared" si="123"/>
        <v>#N/A</v>
      </c>
      <c r="BF565" s="136" t="e">
        <f t="shared" si="124"/>
        <v>#N/A</v>
      </c>
      <c r="BG565" s="136" t="e">
        <f t="shared" si="125"/>
        <v>#N/A</v>
      </c>
    </row>
    <row r="566" spans="47:59" ht="11.25" customHeight="1">
      <c r="AU566" s="136">
        <f t="shared" si="115"/>
        <v>0.2911596867883175</v>
      </c>
      <c r="AV566" s="136">
        <f t="shared" si="126"/>
        <v>-0.55000000000008398</v>
      </c>
      <c r="AW566" s="136">
        <f t="shared" si="116"/>
        <v>0.34294385501936803</v>
      </c>
      <c r="AX566" s="136" t="e">
        <f t="shared" si="117"/>
        <v>#N/A</v>
      </c>
      <c r="AY566" s="136">
        <f t="shared" si="118"/>
        <v>-0.55001000000008393</v>
      </c>
      <c r="AZ566" s="136">
        <f t="shared" si="119"/>
        <v>-0.54999000000008402</v>
      </c>
      <c r="BA566" s="136">
        <f t="shared" si="120"/>
        <v>0.31876597608476015</v>
      </c>
      <c r="BB566" s="136">
        <f t="shared" si="121"/>
        <v>0.31877170049219777</v>
      </c>
      <c r="BC566" s="136" t="e">
        <f t="shared" si="122"/>
        <v>#N/A</v>
      </c>
      <c r="BD566" s="136" t="e">
        <f t="shared" si="127"/>
        <v>#N/A</v>
      </c>
      <c r="BE566" s="136" t="e">
        <f t="shared" si="123"/>
        <v>#N/A</v>
      </c>
      <c r="BF566" s="136" t="e">
        <f t="shared" si="124"/>
        <v>#N/A</v>
      </c>
      <c r="BG566" s="136" t="e">
        <f t="shared" si="125"/>
        <v>#N/A</v>
      </c>
    </row>
    <row r="567" spans="47:59" ht="11.25" customHeight="1">
      <c r="AU567" s="136">
        <f t="shared" si="115"/>
        <v>0.29459851621566913</v>
      </c>
      <c r="AV567" s="136">
        <f t="shared" si="126"/>
        <v>-0.54000000000008397</v>
      </c>
      <c r="AW567" s="136">
        <f t="shared" si="116"/>
        <v>0.34481800143931768</v>
      </c>
      <c r="AX567" s="136" t="e">
        <f t="shared" si="117"/>
        <v>#N/A</v>
      </c>
      <c r="AY567" s="136">
        <f t="shared" si="118"/>
        <v>-0.54001000000008392</v>
      </c>
      <c r="AZ567" s="136">
        <f t="shared" si="119"/>
        <v>-0.53999000000008401</v>
      </c>
      <c r="BA567" s="136">
        <f t="shared" si="120"/>
        <v>0.32163839309871256</v>
      </c>
      <c r="BB567" s="136">
        <f t="shared" si="121"/>
        <v>0.32164415839691152</v>
      </c>
      <c r="BC567" s="136" t="e">
        <f t="shared" si="122"/>
        <v>#N/A</v>
      </c>
      <c r="BD567" s="136" t="e">
        <f t="shared" si="127"/>
        <v>#N/A</v>
      </c>
      <c r="BE567" s="136" t="e">
        <f t="shared" si="123"/>
        <v>#N/A</v>
      </c>
      <c r="BF567" s="136" t="e">
        <f t="shared" si="124"/>
        <v>#N/A</v>
      </c>
      <c r="BG567" s="136" t="e">
        <f t="shared" si="125"/>
        <v>#N/A</v>
      </c>
    </row>
    <row r="568" spans="47:59" ht="11.25" customHeight="1">
      <c r="AU568" s="136">
        <f t="shared" si="115"/>
        <v>0.29805596539484736</v>
      </c>
      <c r="AV568" s="136">
        <f t="shared" si="126"/>
        <v>-0.53000000000008396</v>
      </c>
      <c r="AW568" s="136">
        <f t="shared" si="116"/>
        <v>0.34666772133577617</v>
      </c>
      <c r="AX568" s="136" t="e">
        <f t="shared" si="117"/>
        <v>#N/A</v>
      </c>
      <c r="AY568" s="136">
        <f t="shared" si="118"/>
        <v>-0.53001000000008391</v>
      </c>
      <c r="AZ568" s="136">
        <f t="shared" si="119"/>
        <v>-0.52999000000008401</v>
      </c>
      <c r="BA568" s="136">
        <f t="shared" si="120"/>
        <v>0.32453118776979339</v>
      </c>
      <c r="BB568" s="136">
        <f t="shared" si="121"/>
        <v>0.32453699368418443</v>
      </c>
      <c r="BC568" s="136" t="e">
        <f t="shared" si="122"/>
        <v>#N/A</v>
      </c>
      <c r="BD568" s="136" t="e">
        <f t="shared" si="127"/>
        <v>#N/A</v>
      </c>
      <c r="BE568" s="136" t="e">
        <f t="shared" si="123"/>
        <v>#N/A</v>
      </c>
      <c r="BF568" s="136" t="e">
        <f t="shared" si="124"/>
        <v>#N/A</v>
      </c>
      <c r="BG568" s="136" t="e">
        <f t="shared" si="125"/>
        <v>#N/A</v>
      </c>
    </row>
    <row r="569" spans="47:59" ht="11.25" customHeight="1">
      <c r="AU569" s="136">
        <f t="shared" si="115"/>
        <v>0.30153178754693699</v>
      </c>
      <c r="AV569" s="136">
        <f t="shared" si="126"/>
        <v>-0.52000000000008395</v>
      </c>
      <c r="AW569" s="136">
        <f t="shared" si="116"/>
        <v>0.34849251275895926</v>
      </c>
      <c r="AX569" s="136" t="e">
        <f t="shared" si="117"/>
        <v>#N/A</v>
      </c>
      <c r="AY569" s="136">
        <f t="shared" si="118"/>
        <v>-0.52001000000008391</v>
      </c>
      <c r="AZ569" s="136">
        <f t="shared" si="119"/>
        <v>-0.519990000000084</v>
      </c>
      <c r="BA569" s="136">
        <f t="shared" si="120"/>
        <v>0.32744421811601609</v>
      </c>
      <c r="BB569" s="136">
        <f t="shared" si="121"/>
        <v>0.32745006435316759</v>
      </c>
      <c r="BC569" s="136" t="e">
        <f t="shared" si="122"/>
        <v>#N/A</v>
      </c>
      <c r="BD569" s="136" t="e">
        <f t="shared" si="127"/>
        <v>#N/A</v>
      </c>
      <c r="BE569" s="136" t="e">
        <f t="shared" si="123"/>
        <v>#N/A</v>
      </c>
      <c r="BF569" s="136" t="e">
        <f t="shared" si="124"/>
        <v>#N/A</v>
      </c>
      <c r="BG569" s="136" t="e">
        <f t="shared" si="125"/>
        <v>#N/A</v>
      </c>
    </row>
    <row r="570" spans="47:59" ht="11.25" customHeight="1">
      <c r="AU570" s="136">
        <f t="shared" si="115"/>
        <v>0.30502573089748997</v>
      </c>
      <c r="AV570" s="136">
        <f t="shared" si="126"/>
        <v>-0.51000000000008394</v>
      </c>
      <c r="AW570" s="136">
        <f t="shared" si="116"/>
        <v>0.35029187858971078</v>
      </c>
      <c r="AX570" s="136" t="e">
        <f t="shared" si="117"/>
        <v>#N/A</v>
      </c>
      <c r="AY570" s="136">
        <f t="shared" si="118"/>
        <v>-0.5100100000000839</v>
      </c>
      <c r="AZ570" s="136">
        <f t="shared" si="119"/>
        <v>-0.50999000000008399</v>
      </c>
      <c r="BA570" s="136">
        <f t="shared" si="120"/>
        <v>0.33037733267279479</v>
      </c>
      <c r="BB570" s="136">
        <f t="shared" si="121"/>
        <v>0.33038321892020928</v>
      </c>
      <c r="BC570" s="136" t="e">
        <f t="shared" si="122"/>
        <v>#N/A</v>
      </c>
      <c r="BD570" s="136" t="e">
        <f t="shared" si="127"/>
        <v>#N/A</v>
      </c>
      <c r="BE570" s="136" t="e">
        <f t="shared" si="123"/>
        <v>#N/A</v>
      </c>
      <c r="BF570" s="136" t="e">
        <f t="shared" si="124"/>
        <v>#N/A</v>
      </c>
      <c r="BG570" s="136" t="e">
        <f t="shared" si="125"/>
        <v>#N/A</v>
      </c>
    </row>
    <row r="571" spans="47:59" ht="11.25" customHeight="1">
      <c r="AU571" s="136">
        <f t="shared" si="115"/>
        <v>0.30853753872595746</v>
      </c>
      <c r="AV571" s="136">
        <f t="shared" si="126"/>
        <v>-0.50000000000008393</v>
      </c>
      <c r="AW571" s="136">
        <f t="shared" si="116"/>
        <v>0.3520653267642847</v>
      </c>
      <c r="AX571" s="136" t="e">
        <f t="shared" si="117"/>
        <v>#N/A</v>
      </c>
      <c r="AY571" s="136">
        <f t="shared" si="118"/>
        <v>-0.50001000000008389</v>
      </c>
      <c r="AZ571" s="136">
        <f t="shared" si="119"/>
        <v>-0.49999000000008392</v>
      </c>
      <c r="BA571" s="136">
        <f t="shared" si="120"/>
        <v>0.33333037039489521</v>
      </c>
      <c r="BB571" s="136">
        <f t="shared" si="121"/>
        <v>0.33333629632082051</v>
      </c>
      <c r="BC571" s="136" t="e">
        <f t="shared" si="122"/>
        <v>#N/A</v>
      </c>
      <c r="BD571" s="136" t="e">
        <f t="shared" si="127"/>
        <v>#N/A</v>
      </c>
      <c r="BE571" s="136" t="e">
        <f t="shared" si="123"/>
        <v>#N/A</v>
      </c>
      <c r="BF571" s="136" t="e">
        <f t="shared" si="124"/>
        <v>#N/A</v>
      </c>
      <c r="BG571" s="136" t="e">
        <f t="shared" si="125"/>
        <v>#N/A</v>
      </c>
    </row>
    <row r="572" spans="47:59" ht="11.25" customHeight="1">
      <c r="AU572" s="136">
        <f t="shared" si="115"/>
        <v>0.31206694941736091</v>
      </c>
      <c r="AV572" s="136">
        <f t="shared" si="126"/>
        <v>-0.49000000000008392</v>
      </c>
      <c r="AW572" s="136">
        <f t="shared" si="116"/>
        <v>0.35381237049776509</v>
      </c>
      <c r="AX572" s="136" t="e">
        <f t="shared" si="117"/>
        <v>#N/A</v>
      </c>
      <c r="AY572" s="136">
        <f t="shared" si="118"/>
        <v>-0.49001000000008393</v>
      </c>
      <c r="AZ572" s="136">
        <f t="shared" si="119"/>
        <v>-0.48999000000008391</v>
      </c>
      <c r="BA572" s="136">
        <f t="shared" si="120"/>
        <v>0.33630316056613779</v>
      </c>
      <c r="BB572" s="136">
        <f t="shared" si="121"/>
        <v>0.33630912581939509</v>
      </c>
      <c r="BC572" s="136" t="e">
        <f t="shared" si="122"/>
        <v>#N/A</v>
      </c>
      <c r="BD572" s="136" t="e">
        <f t="shared" si="127"/>
        <v>#N/A</v>
      </c>
      <c r="BE572" s="136" t="e">
        <f t="shared" si="123"/>
        <v>#N/A</v>
      </c>
      <c r="BF572" s="136" t="e">
        <f t="shared" si="124"/>
        <v>#N/A</v>
      </c>
      <c r="BG572" s="136" t="e">
        <f t="shared" si="125"/>
        <v>#N/A</v>
      </c>
    </row>
    <row r="573" spans="47:59" ht="11.25" customHeight="1">
      <c r="AU573" s="136">
        <f t="shared" si="115"/>
        <v>0.31561369651619275</v>
      </c>
      <c r="AV573" s="136">
        <f t="shared" si="126"/>
        <v>-0.48000000000008392</v>
      </c>
      <c r="AW573" s="136">
        <f t="shared" si="116"/>
        <v>0.35553252850598271</v>
      </c>
      <c r="AX573" s="136" t="e">
        <f t="shared" si="117"/>
        <v>#N/A</v>
      </c>
      <c r="AY573" s="136">
        <f t="shared" si="118"/>
        <v>-0.48001000000008393</v>
      </c>
      <c r="AZ573" s="136">
        <f t="shared" si="119"/>
        <v>-0.47999000000008391</v>
      </c>
      <c r="BA573" s="136">
        <f t="shared" si="120"/>
        <v>0.33929552271722596</v>
      </c>
      <c r="BB573" s="136">
        <f t="shared" si="121"/>
        <v>0.33930152692705334</v>
      </c>
      <c r="BC573" s="136" t="e">
        <f t="shared" si="122"/>
        <v>#N/A</v>
      </c>
      <c r="BD573" s="136" t="e">
        <f t="shared" si="127"/>
        <v>#N/A</v>
      </c>
      <c r="BE573" s="136" t="e">
        <f t="shared" si="123"/>
        <v>#N/A</v>
      </c>
      <c r="BF573" s="136" t="e">
        <f t="shared" si="124"/>
        <v>#N/A</v>
      </c>
      <c r="BG573" s="136" t="e">
        <f t="shared" si="125"/>
        <v>#N/A</v>
      </c>
    </row>
    <row r="574" spans="47:59" ht="11.25" customHeight="1">
      <c r="AU574" s="136">
        <f t="shared" si="115"/>
        <v>0.31917750878252582</v>
      </c>
      <c r="AV574" s="136">
        <f t="shared" si="126"/>
        <v>-0.47000000000008391</v>
      </c>
      <c r="AW574" s="136">
        <f t="shared" si="116"/>
        <v>0.35722532522578671</v>
      </c>
      <c r="AX574" s="136" t="e">
        <f t="shared" si="117"/>
        <v>#N/A</v>
      </c>
      <c r="AY574" s="136">
        <f t="shared" si="118"/>
        <v>-0.47001000000008392</v>
      </c>
      <c r="AZ574" s="136">
        <f t="shared" si="119"/>
        <v>-0.4699900000000839</v>
      </c>
      <c r="BA574" s="136">
        <f t="shared" si="120"/>
        <v>0.34230726655207211</v>
      </c>
      <c r="BB574" s="136">
        <f t="shared" si="121"/>
        <v>0.34231330932798593</v>
      </c>
      <c r="BC574" s="136" t="e">
        <f t="shared" si="122"/>
        <v>#N/A</v>
      </c>
      <c r="BD574" s="136" t="e">
        <f t="shared" si="127"/>
        <v>#N/A</v>
      </c>
      <c r="BE574" s="136" t="e">
        <f t="shared" si="123"/>
        <v>#N/A</v>
      </c>
      <c r="BF574" s="136" t="e">
        <f t="shared" si="124"/>
        <v>#N/A</v>
      </c>
      <c r="BG574" s="136" t="e">
        <f t="shared" si="125"/>
        <v>#N/A</v>
      </c>
    </row>
    <row r="575" spans="47:59" ht="11.25" customHeight="1">
      <c r="AU575" s="136">
        <f t="shared" si="115"/>
        <v>0.32275811025031764</v>
      </c>
      <c r="AV575" s="136">
        <f t="shared" si="126"/>
        <v>-0.4600000000000839</v>
      </c>
      <c r="AW575" s="136">
        <f t="shared" si="116"/>
        <v>0.35889029103353071</v>
      </c>
      <c r="AX575" s="136" t="e">
        <f t="shared" si="117"/>
        <v>#N/A</v>
      </c>
      <c r="AY575" s="136">
        <f t="shared" si="118"/>
        <v>-0.46001000000008391</v>
      </c>
      <c r="AZ575" s="136">
        <f t="shared" si="119"/>
        <v>-0.45999000000008389</v>
      </c>
      <c r="BA575" s="136">
        <f t="shared" si="120"/>
        <v>0.34533819188297954</v>
      </c>
      <c r="BB575" s="136">
        <f t="shared" si="121"/>
        <v>0.34534427281465441</v>
      </c>
      <c r="BC575" s="136" t="e">
        <f t="shared" si="122"/>
        <v>#N/A</v>
      </c>
      <c r="BD575" s="136" t="e">
        <f t="shared" si="127"/>
        <v>#N/A</v>
      </c>
      <c r="BE575" s="136" t="e">
        <f t="shared" si="123"/>
        <v>#N/A</v>
      </c>
      <c r="BF575" s="136" t="e">
        <f t="shared" si="124"/>
        <v>#N/A</v>
      </c>
      <c r="BG575" s="136" t="e">
        <f t="shared" si="125"/>
        <v>#N/A</v>
      </c>
    </row>
    <row r="576" spans="47:59" ht="11.25" customHeight="1">
      <c r="AU576" s="136">
        <f t="shared" si="115"/>
        <v>0.32635522028788977</v>
      </c>
      <c r="AV576" s="136">
        <f t="shared" si="126"/>
        <v>-0.45000000000008389</v>
      </c>
      <c r="AW576" s="136">
        <f t="shared" si="116"/>
        <v>0.36052696246163429</v>
      </c>
      <c r="AX576" s="136" t="e">
        <f t="shared" si="117"/>
        <v>#N/A</v>
      </c>
      <c r="AY576" s="136">
        <f t="shared" si="118"/>
        <v>-0.4500100000000839</v>
      </c>
      <c r="AZ576" s="136">
        <f t="shared" si="119"/>
        <v>-0.44999000000008388</v>
      </c>
      <c r="BA576" s="136">
        <f t="shared" si="120"/>
        <v>0.34838808857504222</v>
      </c>
      <c r="BB576" s="136">
        <f t="shared" si="121"/>
        <v>0.34839420723220871</v>
      </c>
      <c r="BC576" s="136" t="e">
        <f t="shared" si="122"/>
        <v>#N/A</v>
      </c>
      <c r="BD576" s="136" t="e">
        <f t="shared" si="127"/>
        <v>#N/A</v>
      </c>
      <c r="BE576" s="136" t="e">
        <f t="shared" si="123"/>
        <v>#N/A</v>
      </c>
      <c r="BF576" s="136" t="e">
        <f t="shared" si="124"/>
        <v>#N/A</v>
      </c>
      <c r="BG576" s="136" t="e">
        <f t="shared" si="125"/>
        <v>#N/A</v>
      </c>
    </row>
    <row r="577" spans="47:59" ht="11.25" customHeight="1">
      <c r="AU577" s="136">
        <f t="shared" si="115"/>
        <v>0.32996855366056332</v>
      </c>
      <c r="AV577" s="136">
        <f t="shared" si="126"/>
        <v>-0.44000000000008388</v>
      </c>
      <c r="AW577" s="136">
        <f t="shared" si="116"/>
        <v>0.36213488241307878</v>
      </c>
      <c r="AX577" s="136" t="e">
        <f t="shared" si="117"/>
        <v>#N/A</v>
      </c>
      <c r="AY577" s="136">
        <f t="shared" si="118"/>
        <v>-0.44001000000008389</v>
      </c>
      <c r="AZ577" s="136">
        <f t="shared" si="119"/>
        <v>-0.43999000000008387</v>
      </c>
      <c r="BA577" s="136">
        <f t="shared" si="120"/>
        <v>0.351456736500106</v>
      </c>
      <c r="BB577" s="136">
        <f t="shared" si="121"/>
        <v>0.35146289243246887</v>
      </c>
      <c r="BC577" s="136" t="e">
        <f t="shared" si="122"/>
        <v>#N/A</v>
      </c>
      <c r="BD577" s="136" t="e">
        <f t="shared" si="127"/>
        <v>#N/A</v>
      </c>
      <c r="BE577" s="136" t="e">
        <f t="shared" si="123"/>
        <v>#N/A</v>
      </c>
      <c r="BF577" s="136" t="e">
        <f t="shared" si="124"/>
        <v>#N/A</v>
      </c>
      <c r="BG577" s="136" t="e">
        <f t="shared" si="125"/>
        <v>#N/A</v>
      </c>
    </row>
    <row r="578" spans="47:59" ht="11.25" customHeight="1">
      <c r="AU578" s="136">
        <f t="shared" si="115"/>
        <v>0.3335978205954272</v>
      </c>
      <c r="AV578" s="136">
        <f t="shared" si="126"/>
        <v>-0.43000000000008387</v>
      </c>
      <c r="AW578" s="136">
        <f t="shared" si="116"/>
        <v>0.36371360037370026</v>
      </c>
      <c r="AX578" s="136" t="e">
        <f t="shared" si="117"/>
        <v>#N/A</v>
      </c>
      <c r="AY578" s="136">
        <f t="shared" si="118"/>
        <v>-0.43001000000008388</v>
      </c>
      <c r="AZ578" s="136">
        <f t="shared" si="119"/>
        <v>-0.42999000000008386</v>
      </c>
      <c r="BA578" s="136">
        <f t="shared" si="120"/>
        <v>0.35454390550063125</v>
      </c>
      <c r="BB578" s="136">
        <f t="shared" si="121"/>
        <v>0.3545500982378067</v>
      </c>
      <c r="BC578" s="136" t="e">
        <f t="shared" si="122"/>
        <v>#N/A</v>
      </c>
      <c r="BD578" s="136" t="e">
        <f t="shared" si="127"/>
        <v>#N/A</v>
      </c>
      <c r="BE578" s="136" t="e">
        <f t="shared" si="123"/>
        <v>#N/A</v>
      </c>
      <c r="BF578" s="136" t="e">
        <f t="shared" si="124"/>
        <v>#N/A</v>
      </c>
      <c r="BG578" s="136" t="e">
        <f t="shared" si="125"/>
        <v>#N/A</v>
      </c>
    </row>
    <row r="579" spans="47:59" ht="11.25" customHeight="1">
      <c r="AU579" s="136">
        <f t="shared" si="115"/>
        <v>0.33724272684821888</v>
      </c>
      <c r="AV579" s="136">
        <f t="shared" si="126"/>
        <v>-0.42000000000008386</v>
      </c>
      <c r="AW579" s="136">
        <f t="shared" si="116"/>
        <v>0.36526267262214096</v>
      </c>
      <c r="AX579" s="136" t="e">
        <f t="shared" si="117"/>
        <v>#N/A</v>
      </c>
      <c r="AY579" s="136">
        <f t="shared" si="118"/>
        <v>-0.42001000000008387</v>
      </c>
      <c r="AZ579" s="136">
        <f t="shared" si="119"/>
        <v>-0.41999000000008385</v>
      </c>
      <c r="BA579" s="136">
        <f t="shared" si="120"/>
        <v>0.35764935536378228</v>
      </c>
      <c r="BB579" s="136">
        <f t="shared" si="121"/>
        <v>0.35765558441525724</v>
      </c>
      <c r="BC579" s="136" t="e">
        <f t="shared" si="122"/>
        <v>#N/A</v>
      </c>
      <c r="BD579" s="136" t="e">
        <f t="shared" si="127"/>
        <v>#N/A</v>
      </c>
      <c r="BE579" s="136" t="e">
        <f t="shared" si="123"/>
        <v>#N/A</v>
      </c>
      <c r="BF579" s="136" t="e">
        <f t="shared" si="124"/>
        <v>#N/A</v>
      </c>
      <c r="BG579" s="136" t="e">
        <f t="shared" si="125"/>
        <v>#N/A</v>
      </c>
    </row>
    <row r="580" spans="47:59" ht="11.25" customHeight="1">
      <c r="AU580" s="136">
        <f t="shared" si="115"/>
        <v>0.34090297377229184</v>
      </c>
      <c r="AV580" s="136">
        <f t="shared" si="126"/>
        <v>-0.41000000000008385</v>
      </c>
      <c r="AW580" s="136">
        <f t="shared" si="116"/>
        <v>0.36678166243732346</v>
      </c>
      <c r="AX580" s="136" t="e">
        <f t="shared" si="117"/>
        <v>#N/A</v>
      </c>
      <c r="AY580" s="136">
        <f t="shared" si="118"/>
        <v>-0.41001000000008386</v>
      </c>
      <c r="AZ580" s="136">
        <f t="shared" si="119"/>
        <v>-0.40999000000008384</v>
      </c>
      <c r="BA580" s="136">
        <f t="shared" si="120"/>
        <v>0.36077283580606079</v>
      </c>
      <c r="BB580" s="136">
        <f t="shared" si="121"/>
        <v>0.36077910066117258</v>
      </c>
      <c r="BC580" s="136" t="e">
        <f t="shared" si="122"/>
        <v>#N/A</v>
      </c>
      <c r="BD580" s="136" t="e">
        <f t="shared" si="127"/>
        <v>#N/A</v>
      </c>
      <c r="BE580" s="136" t="e">
        <f t="shared" si="123"/>
        <v>#N/A</v>
      </c>
      <c r="BF580" s="136" t="e">
        <f t="shared" si="124"/>
        <v>#N/A</v>
      </c>
      <c r="BG580" s="136" t="e">
        <f t="shared" si="125"/>
        <v>#N/A</v>
      </c>
    </row>
    <row r="581" spans="47:59" ht="11.25" customHeight="1">
      <c r="AU581" s="136">
        <f t="shared" si="115"/>
        <v>0.34457825838964495</v>
      </c>
      <c r="AV581" s="136">
        <f t="shared" si="126"/>
        <v>-0.40000000000008384</v>
      </c>
      <c r="AW581" s="136">
        <f t="shared" si="116"/>
        <v>0.3682701403033109</v>
      </c>
      <c r="AX581" s="136" t="e">
        <f t="shared" si="117"/>
        <v>#N/A</v>
      </c>
      <c r="AY581" s="136">
        <f t="shared" si="118"/>
        <v>-0.40001000000008385</v>
      </c>
      <c r="AZ581" s="136">
        <f t="shared" si="119"/>
        <v>-0.39999000000008383</v>
      </c>
      <c r="BA581" s="136">
        <f t="shared" si="120"/>
        <v>0.36391408646878054</v>
      </c>
      <c r="BB581" s="136">
        <f t="shared" si="121"/>
        <v>0.36392038659671916</v>
      </c>
      <c r="BC581" s="136" t="e">
        <f t="shared" si="122"/>
        <v>#N/A</v>
      </c>
      <c r="BD581" s="136" t="e">
        <f t="shared" si="127"/>
        <v>#N/A</v>
      </c>
      <c r="BE581" s="136" t="e">
        <f t="shared" si="123"/>
        <v>#N/A</v>
      </c>
      <c r="BF581" s="136" t="e">
        <f t="shared" si="124"/>
        <v>#N/A</v>
      </c>
      <c r="BG581" s="136" t="e">
        <f t="shared" si="125"/>
        <v>#N/A</v>
      </c>
    </row>
    <row r="582" spans="47:59" ht="11.25" customHeight="1">
      <c r="AU582" s="136">
        <f t="shared" si="115"/>
        <v>0.34826827346398659</v>
      </c>
      <c r="AV582" s="136">
        <f t="shared" si="126"/>
        <v>-0.39000000000008384</v>
      </c>
      <c r="AW582" s="136">
        <f t="shared" si="116"/>
        <v>0.36972768411142021</v>
      </c>
      <c r="AX582" s="136" t="e">
        <f t="shared" si="117"/>
        <v>#N/A</v>
      </c>
      <c r="AY582" s="136">
        <f t="shared" si="118"/>
        <v>-0.39001000000008385</v>
      </c>
      <c r="AZ582" s="136">
        <f t="shared" si="119"/>
        <v>-0.38999000000008383</v>
      </c>
      <c r="BA582" s="136">
        <f t="shared" si="120"/>
        <v>0.36707283692467108</v>
      </c>
      <c r="BB582" s="136">
        <f t="shared" si="121"/>
        <v>0.36707917177450311</v>
      </c>
      <c r="BC582" s="136" t="e">
        <f t="shared" si="122"/>
        <v>#N/A</v>
      </c>
      <c r="BD582" s="136" t="e">
        <f t="shared" si="127"/>
        <v>#N/A</v>
      </c>
      <c r="BE582" s="136" t="e">
        <f t="shared" si="123"/>
        <v>#N/A</v>
      </c>
      <c r="BF582" s="136" t="e">
        <f t="shared" si="124"/>
        <v>#N/A</v>
      </c>
      <c r="BG582" s="136" t="e">
        <f t="shared" si="125"/>
        <v>#N/A</v>
      </c>
    </row>
    <row r="583" spans="47:59" ht="11.25" customHeight="1">
      <c r="AU583" s="136">
        <f t="shared" si="115"/>
        <v>0.35197270757580612</v>
      </c>
      <c r="AV583" s="136">
        <f t="shared" si="126"/>
        <v>-0.38000000000008383</v>
      </c>
      <c r="AW583" s="136">
        <f t="shared" si="116"/>
        <v>0.37115387935945415</v>
      </c>
      <c r="AX583" s="136" t="e">
        <f t="shared" si="117"/>
        <v>#N/A</v>
      </c>
      <c r="AY583" s="136">
        <f t="shared" si="118"/>
        <v>-0.38001000000008384</v>
      </c>
      <c r="AZ583" s="136">
        <f t="shared" si="119"/>
        <v>-0.37999000000008382</v>
      </c>
      <c r="BA583" s="136">
        <f t="shared" si="120"/>
        <v>0.37024880669587812</v>
      </c>
      <c r="BB583" s="136">
        <f t="shared" si="121"/>
        <v>0.37025517569659533</v>
      </c>
      <c r="BC583" s="136" t="e">
        <f t="shared" si="122"/>
        <v>#N/A</v>
      </c>
      <c r="BD583" s="136" t="e">
        <f t="shared" si="127"/>
        <v>#N/A</v>
      </c>
      <c r="BE583" s="136" t="e">
        <f t="shared" si="123"/>
        <v>#N/A</v>
      </c>
      <c r="BF583" s="136" t="e">
        <f t="shared" si="124"/>
        <v>#N/A</v>
      </c>
      <c r="BG583" s="136" t="e">
        <f t="shared" si="125"/>
        <v>#N/A</v>
      </c>
    </row>
    <row r="584" spans="47:59" ht="11.25" customHeight="1">
      <c r="AU584" s="136">
        <f t="shared" si="115"/>
        <v>0.35569124519942208</v>
      </c>
      <c r="AV584" s="136">
        <f t="shared" si="126"/>
        <v>-0.37000000000008382</v>
      </c>
      <c r="AW584" s="136">
        <f t="shared" si="116"/>
        <v>0.37254831934792182</v>
      </c>
      <c r="AX584" s="136" t="e">
        <f t="shared" si="117"/>
        <v>#N/A</v>
      </c>
      <c r="AY584" s="136">
        <f t="shared" si="118"/>
        <v>-0.37001000000008383</v>
      </c>
      <c r="AZ584" s="136">
        <f t="shared" si="119"/>
        <v>-0.36999000000008381</v>
      </c>
      <c r="BA584" s="136">
        <f t="shared" si="120"/>
        <v>0.37344170528361303</v>
      </c>
      <c r="BB584" s="136">
        <f t="shared" si="121"/>
        <v>0.3734481078442024</v>
      </c>
      <c r="BC584" s="136" t="e">
        <f t="shared" si="122"/>
        <v>#N/A</v>
      </c>
      <c r="BD584" s="136" t="e">
        <f t="shared" si="127"/>
        <v>#N/A</v>
      </c>
      <c r="BE584" s="136" t="e">
        <f t="shared" si="123"/>
        <v>#N/A</v>
      </c>
      <c r="BF584" s="136" t="e">
        <f t="shared" si="124"/>
        <v>#N/A</v>
      </c>
      <c r="BG584" s="136" t="e">
        <f t="shared" si="125"/>
        <v>#N/A</v>
      </c>
    </row>
    <row r="585" spans="47:59" ht="11.25" customHeight="1">
      <c r="AU585" s="136">
        <f t="shared" si="115"/>
        <v>0.3594235667819774</v>
      </c>
      <c r="AV585" s="136">
        <f t="shared" si="126"/>
        <v>-0.36000000000008381</v>
      </c>
      <c r="AW585" s="136">
        <f t="shared" si="116"/>
        <v>0.37391060537311704</v>
      </c>
      <c r="AX585" s="136" t="e">
        <f t="shared" si="117"/>
        <v>#N/A</v>
      </c>
      <c r="AY585" s="136">
        <f t="shared" si="118"/>
        <v>-0.36001000000008382</v>
      </c>
      <c r="AZ585" s="136">
        <f t="shared" si="119"/>
        <v>-0.3599900000000838</v>
      </c>
      <c r="BA585" s="136">
        <f t="shared" si="120"/>
        <v>0.37665123220968166</v>
      </c>
      <c r="BB585" s="136">
        <f t="shared" si="121"/>
        <v>0.37665766771922154</v>
      </c>
      <c r="BC585" s="136" t="e">
        <f t="shared" si="122"/>
        <v>#N/A</v>
      </c>
      <c r="BD585" s="136" t="e">
        <f t="shared" si="127"/>
        <v>#N/A</v>
      </c>
      <c r="BE585" s="136" t="e">
        <f t="shared" si="123"/>
        <v>#N/A</v>
      </c>
      <c r="BF585" s="136" t="e">
        <f t="shared" si="124"/>
        <v>#N/A</v>
      </c>
      <c r="BG585" s="136" t="e">
        <f t="shared" si="125"/>
        <v>#N/A</v>
      </c>
    </row>
    <row r="586" spans="47:59" ht="11.25" customHeight="1">
      <c r="AU586" s="136">
        <f t="shared" si="115"/>
        <v>0.36316934882434948</v>
      </c>
      <c r="AV586" s="136">
        <f t="shared" si="126"/>
        <v>-0.3500000000000838</v>
      </c>
      <c r="AW586" s="136">
        <f t="shared" si="116"/>
        <v>0.37524034691692681</v>
      </c>
      <c r="AX586" s="136" t="e">
        <f t="shared" si="117"/>
        <v>#N/A</v>
      </c>
      <c r="AY586" s="136">
        <f t="shared" si="118"/>
        <v>-0.35001000000008381</v>
      </c>
      <c r="AZ586" s="136">
        <f t="shared" si="119"/>
        <v>-0.34999000000008379</v>
      </c>
      <c r="BA586" s="136">
        <f t="shared" si="120"/>
        <v>0.37987707707010615</v>
      </c>
      <c r="BB586" s="136">
        <f t="shared" si="121"/>
        <v>0.37988354489788478</v>
      </c>
      <c r="BC586" s="136" t="e">
        <f t="shared" si="122"/>
        <v>#N/A</v>
      </c>
      <c r="BD586" s="136" t="e">
        <f t="shared" si="127"/>
        <v>#N/A</v>
      </c>
      <c r="BE586" s="136" t="e">
        <f t="shared" si="123"/>
        <v>#N/A</v>
      </c>
      <c r="BF586" s="136" t="e">
        <f t="shared" si="124"/>
        <v>#N/A</v>
      </c>
      <c r="BG586" s="136" t="e">
        <f t="shared" si="125"/>
        <v>#N/A</v>
      </c>
    </row>
    <row r="587" spans="47:59" ht="11.25" customHeight="1">
      <c r="AU587" s="136">
        <f t="shared" si="115"/>
        <v>0.3669282639639404</v>
      </c>
      <c r="AV587" s="136">
        <f t="shared" si="126"/>
        <v>-0.34000000000008379</v>
      </c>
      <c r="AW587" s="136">
        <f t="shared" si="116"/>
        <v>0.37653716183324315</v>
      </c>
      <c r="AX587" s="136" t="e">
        <f t="shared" si="117"/>
        <v>#N/A</v>
      </c>
      <c r="AY587" s="136">
        <f t="shared" si="118"/>
        <v>-0.3400100000000838</v>
      </c>
      <c r="AZ587" s="136">
        <f t="shared" si="119"/>
        <v>-0.33999000000008378</v>
      </c>
      <c r="BA587" s="136">
        <f t="shared" si="120"/>
        <v>0.38311891960102679</v>
      </c>
      <c r="BB587" s="136">
        <f t="shared" si="121"/>
        <v>0.38312541909668696</v>
      </c>
      <c r="BC587" s="136" t="e">
        <f t="shared" si="122"/>
        <v>#N/A</v>
      </c>
      <c r="BD587" s="136" t="e">
        <f t="shared" si="127"/>
        <v>#N/A</v>
      </c>
      <c r="BE587" s="136" t="e">
        <f t="shared" si="123"/>
        <v>#N/A</v>
      </c>
      <c r="BF587" s="136" t="e">
        <f t="shared" si="124"/>
        <v>#N/A</v>
      </c>
      <c r="BG587" s="136" t="e">
        <f t="shared" si="125"/>
        <v>#N/A</v>
      </c>
    </row>
    <row r="588" spans="47:59" ht="11.25" customHeight="1">
      <c r="AU588" s="136">
        <f t="shared" si="115"/>
        <v>0.37069998105931479</v>
      </c>
      <c r="AV588" s="136">
        <f t="shared" si="126"/>
        <v>-0.33000000000008378</v>
      </c>
      <c r="AW588" s="136">
        <f t="shared" si="116"/>
        <v>0.37780067653085408</v>
      </c>
      <c r="AX588" s="136" t="e">
        <f t="shared" si="117"/>
        <v>#N/A</v>
      </c>
      <c r="AY588" s="136">
        <f t="shared" si="118"/>
        <v>-0.33001000000008379</v>
      </c>
      <c r="AZ588" s="136">
        <f t="shared" si="119"/>
        <v>-0.32999000000008377</v>
      </c>
      <c r="BA588" s="136">
        <f t="shared" si="120"/>
        <v>0.38637642975705327</v>
      </c>
      <c r="BB588" s="136">
        <f t="shared" si="121"/>
        <v>0.38638296025076169</v>
      </c>
      <c r="BC588" s="136" t="e">
        <f t="shared" si="122"/>
        <v>#N/A</v>
      </c>
      <c r="BD588" s="136" t="e">
        <f t="shared" si="127"/>
        <v>#N/A</v>
      </c>
      <c r="BE588" s="136" t="e">
        <f t="shared" si="123"/>
        <v>#N/A</v>
      </c>
      <c r="BF588" s="136" t="e">
        <f t="shared" si="124"/>
        <v>#N/A</v>
      </c>
      <c r="BG588" s="136" t="e">
        <f t="shared" si="125"/>
        <v>#N/A</v>
      </c>
    </row>
    <row r="589" spans="47:59" ht="11.25" customHeight="1">
      <c r="AU589" s="136">
        <f t="shared" si="115"/>
        <v>0.37448416527664818</v>
      </c>
      <c r="AV589" s="136">
        <f t="shared" si="126"/>
        <v>-0.32000000000008377</v>
      </c>
      <c r="AW589" s="136">
        <f t="shared" si="116"/>
        <v>0.3790305261526915</v>
      </c>
      <c r="AX589" s="136" t="e">
        <f t="shared" si="117"/>
        <v>#N/A</v>
      </c>
      <c r="AY589" s="136">
        <f t="shared" si="118"/>
        <v>-0.32001000000008378</v>
      </c>
      <c r="AZ589" s="136">
        <f t="shared" si="119"/>
        <v>-0.31999000000008376</v>
      </c>
      <c r="BA589" s="136">
        <f t="shared" si="120"/>
        <v>0.38964926780220643</v>
      </c>
      <c r="BB589" s="136">
        <f t="shared" si="121"/>
        <v>0.38965582860484899</v>
      </c>
      <c r="BC589" s="136" t="e">
        <f t="shared" si="122"/>
        <v>#N/A</v>
      </c>
      <c r="BD589" s="136" t="e">
        <f t="shared" si="127"/>
        <v>#N/A</v>
      </c>
      <c r="BE589" s="136" t="e">
        <f t="shared" si="123"/>
        <v>#N/A</v>
      </c>
      <c r="BF589" s="136" t="e">
        <f t="shared" si="124"/>
        <v>#N/A</v>
      </c>
      <c r="BG589" s="136" t="e">
        <f t="shared" si="125"/>
        <v>#N/A</v>
      </c>
    </row>
    <row r="590" spans="47:59" ht="11.25" customHeight="1">
      <c r="AU590" s="136">
        <f t="shared" si="115"/>
        <v>0.37828047817794885</v>
      </c>
      <c r="AV590" s="136">
        <f t="shared" si="126"/>
        <v>-0.31000000000008376</v>
      </c>
      <c r="AW590" s="136">
        <f t="shared" si="116"/>
        <v>0.380226354751315</v>
      </c>
      <c r="AX590" s="136" t="e">
        <f t="shared" si="117"/>
        <v>#N/A</v>
      </c>
      <c r="AY590" s="136">
        <f t="shared" si="118"/>
        <v>-0.31001000000008377</v>
      </c>
      <c r="AZ590" s="136">
        <f t="shared" si="119"/>
        <v>-0.30999000000008375</v>
      </c>
      <c r="BA590" s="136">
        <f t="shared" si="120"/>
        <v>0.39293708441357</v>
      </c>
      <c r="BB590" s="136">
        <f t="shared" si="121"/>
        <v>0.39294367481696985</v>
      </c>
      <c r="BC590" s="136" t="e">
        <f t="shared" si="122"/>
        <v>#N/A</v>
      </c>
      <c r="BD590" s="136" t="e">
        <f t="shared" si="127"/>
        <v>#N/A</v>
      </c>
      <c r="BE590" s="136" t="e">
        <f t="shared" si="123"/>
        <v>#N/A</v>
      </c>
      <c r="BF590" s="136" t="e">
        <f t="shared" si="124"/>
        <v>#N/A</v>
      </c>
      <c r="BG590" s="136" t="e">
        <f t="shared" si="125"/>
        <v>#N/A</v>
      </c>
    </row>
    <row r="591" spans="47:59" ht="11.25" customHeight="1">
      <c r="AU591" s="136">
        <f t="shared" si="115"/>
        <v>0.38208857781101546</v>
      </c>
      <c r="AV591" s="136">
        <f t="shared" si="126"/>
        <v>-0.30000000000008376</v>
      </c>
      <c r="AW591" s="136">
        <f t="shared" si="116"/>
        <v>0.38138781546051448</v>
      </c>
      <c r="AX591" s="136" t="e">
        <f t="shared" si="117"/>
        <v>#N/A</v>
      </c>
      <c r="AY591" s="136">
        <f t="shared" si="118"/>
        <v>-0.30001000000008377</v>
      </c>
      <c r="AZ591" s="136">
        <f t="shared" si="119"/>
        <v>-0.29999000000008375</v>
      </c>
      <c r="BA591" s="136">
        <f t="shared" si="120"/>
        <v>0.39623952079773883</v>
      </c>
      <c r="BB591" s="136">
        <f t="shared" si="121"/>
        <v>0.3962461400749045</v>
      </c>
      <c r="BC591" s="136" t="e">
        <f t="shared" si="122"/>
        <v>#N/A</v>
      </c>
      <c r="BD591" s="136" t="e">
        <f t="shared" si="127"/>
        <v>#N/A</v>
      </c>
      <c r="BE591" s="136" t="e">
        <f t="shared" si="123"/>
        <v>#N/A</v>
      </c>
      <c r="BF591" s="136" t="e">
        <f t="shared" si="124"/>
        <v>#N/A</v>
      </c>
      <c r="BG591" s="136" t="e">
        <f t="shared" si="125"/>
        <v>#N/A</v>
      </c>
    </row>
    <row r="592" spans="47:59" ht="11.25" customHeight="1">
      <c r="AU592" s="136">
        <f t="shared" si="115"/>
        <v>0.38590811880109066</v>
      </c>
      <c r="AV592" s="136">
        <f t="shared" si="126"/>
        <v>-0.29000000000008375</v>
      </c>
      <c r="AW592" s="136">
        <f t="shared" si="116"/>
        <v>0.38251457066291467</v>
      </c>
      <c r="AX592" s="136" t="e">
        <f t="shared" si="117"/>
        <v>#N/A</v>
      </c>
      <c r="AY592" s="136">
        <f t="shared" si="118"/>
        <v>-0.29001000000008376</v>
      </c>
      <c r="AZ592" s="136">
        <f t="shared" si="119"/>
        <v>-0.28999000000008374</v>
      </c>
      <c r="BA592" s="136">
        <f t="shared" si="120"/>
        <v>0.39955620882013487</v>
      </c>
      <c r="BB592" s="136">
        <f t="shared" si="121"/>
        <v>0.39956285622553001</v>
      </c>
      <c r="BC592" s="136" t="e">
        <f t="shared" si="122"/>
        <v>#N/A</v>
      </c>
      <c r="BD592" s="136" t="e">
        <f t="shared" si="127"/>
        <v>#N/A</v>
      </c>
      <c r="BE592" s="136" t="e">
        <f t="shared" si="123"/>
        <v>#N/A</v>
      </c>
      <c r="BF592" s="136" t="e">
        <f t="shared" si="124"/>
        <v>#N/A</v>
      </c>
      <c r="BG592" s="136" t="e">
        <f t="shared" si="125"/>
        <v>#N/A</v>
      </c>
    </row>
    <row r="593" spans="47:59" ht="11.25" customHeight="1">
      <c r="AU593" s="136">
        <f t="shared" si="115"/>
        <v>0.38973875244417067</v>
      </c>
      <c r="AV593" s="136">
        <f t="shared" si="126"/>
        <v>-0.28000000000008374</v>
      </c>
      <c r="AW593" s="136">
        <f t="shared" si="116"/>
        <v>0.38360629215346953</v>
      </c>
      <c r="AX593" s="136" t="e">
        <f t="shared" si="117"/>
        <v>#N/A</v>
      </c>
      <c r="AY593" s="136">
        <f t="shared" si="118"/>
        <v>-0.28001000000008375</v>
      </c>
      <c r="AZ593" s="136">
        <f t="shared" si="119"/>
        <v>-0.27999000000008373</v>
      </c>
      <c r="BA593" s="136">
        <f t="shared" si="120"/>
        <v>0.4028867711472186</v>
      </c>
      <c r="BB593" s="136">
        <f t="shared" si="121"/>
        <v>0.40289344591706039</v>
      </c>
      <c r="BC593" s="136" t="e">
        <f t="shared" si="122"/>
        <v>#N/A</v>
      </c>
      <c r="BD593" s="136" t="e">
        <f t="shared" si="127"/>
        <v>#N/A</v>
      </c>
      <c r="BE593" s="136" t="e">
        <f t="shared" si="123"/>
        <v>#N/A</v>
      </c>
      <c r="BF593" s="136" t="e">
        <f t="shared" si="124"/>
        <v>#N/A</v>
      </c>
      <c r="BG593" s="136" t="e">
        <f t="shared" si="125"/>
        <v>#N/A</v>
      </c>
    </row>
    <row r="594" spans="47:59" ht="11.25" customHeight="1">
      <c r="AU594" s="136">
        <f t="shared" si="115"/>
        <v>0.39358012680192833</v>
      </c>
      <c r="AV594" s="136">
        <f t="shared" si="126"/>
        <v>-0.27000000000008373</v>
      </c>
      <c r="AW594" s="136">
        <f t="shared" si="116"/>
        <v>0.38466266129873405</v>
      </c>
      <c r="AX594" s="136" t="e">
        <f t="shared" si="117"/>
        <v>#N/A</v>
      </c>
      <c r="AY594" s="136">
        <f t="shared" si="118"/>
        <v>-0.27001000000008374</v>
      </c>
      <c r="AZ594" s="136">
        <f t="shared" si="119"/>
        <v>-0.26999000000008372</v>
      </c>
      <c r="BA594" s="136">
        <f t="shared" si="120"/>
        <v>0.40623082140160904</v>
      </c>
      <c r="BB594" s="136">
        <f t="shared" si="121"/>
        <v>0.406237522754191</v>
      </c>
      <c r="BC594" s="136" t="e">
        <f t="shared" si="122"/>
        <v>#N/A</v>
      </c>
      <c r="BD594" s="136" t="e">
        <f t="shared" si="127"/>
        <v>#N/A</v>
      </c>
      <c r="BE594" s="136" t="e">
        <f t="shared" si="123"/>
        <v>#N/A</v>
      </c>
      <c r="BF594" s="136" t="e">
        <f t="shared" si="124"/>
        <v>#N/A</v>
      </c>
      <c r="BG594" s="136" t="e">
        <f t="shared" si="125"/>
        <v>#N/A</v>
      </c>
    </row>
    <row r="595" spans="47:59" ht="11.25" customHeight="1">
      <c r="AU595" s="136">
        <f t="shared" si="115"/>
        <v>0.39743188679820718</v>
      </c>
      <c r="AV595" s="136">
        <f t="shared" si="126"/>
        <v>-0.26000000000008372</v>
      </c>
      <c r="AW595" s="136">
        <f t="shared" si="116"/>
        <v>0.38568336919180762</v>
      </c>
      <c r="AX595" s="136" t="e">
        <f t="shared" si="117"/>
        <v>#N/A</v>
      </c>
      <c r="AY595" s="136">
        <f t="shared" si="118"/>
        <v>-0.26001000000008373</v>
      </c>
      <c r="AZ595" s="136">
        <f t="shared" si="119"/>
        <v>-0.25999000000008371</v>
      </c>
      <c r="BA595" s="136">
        <f t="shared" si="120"/>
        <v>0.40958796433008476</v>
      </c>
      <c r="BB595" s="136">
        <f t="shared" si="121"/>
        <v>0.40959469146612537</v>
      </c>
      <c r="BC595" s="136" t="e">
        <f t="shared" si="122"/>
        <v>#N/A</v>
      </c>
      <c r="BD595" s="136" t="e">
        <f t="shared" si="127"/>
        <v>#N/A</v>
      </c>
      <c r="BE595" s="136" t="e">
        <f t="shared" si="123"/>
        <v>#N/A</v>
      </c>
      <c r="BF595" s="136" t="e">
        <f t="shared" si="124"/>
        <v>#N/A</v>
      </c>
      <c r="BG595" s="136" t="e">
        <f t="shared" si="125"/>
        <v>#N/A</v>
      </c>
    </row>
    <row r="596" spans="47:59" ht="11.25" customHeight="1">
      <c r="AU596" s="136">
        <f t="shared" si="115"/>
        <v>0.40129367431704388</v>
      </c>
      <c r="AV596" s="136">
        <f t="shared" si="126"/>
        <v>-0.25000000000008371</v>
      </c>
      <c r="AW596" s="136">
        <f t="shared" si="116"/>
        <v>0.38666811680284108</v>
      </c>
      <c r="AX596" s="136" t="e">
        <f t="shared" si="117"/>
        <v>#N/A</v>
      </c>
      <c r="AY596" s="136">
        <f t="shared" si="118"/>
        <v>-0.25001000000008372</v>
      </c>
      <c r="AZ596" s="136">
        <f t="shared" si="119"/>
        <v>-0.2499900000000837</v>
      </c>
      <c r="BA596" s="136">
        <f t="shared" si="120"/>
        <v>0.41295779598441457</v>
      </c>
      <c r="BB596" s="136">
        <f t="shared" si="121"/>
        <v>0.41296454808743277</v>
      </c>
      <c r="BC596" s="136" t="e">
        <f t="shared" si="122"/>
        <v>#N/A</v>
      </c>
      <c r="BD596" s="136" t="e">
        <f t="shared" si="127"/>
        <v>#N/A</v>
      </c>
      <c r="BE596" s="136" t="e">
        <f t="shared" si="123"/>
        <v>#N/A</v>
      </c>
      <c r="BF596" s="136" t="e">
        <f t="shared" si="124"/>
        <v>#N/A</v>
      </c>
      <c r="BG596" s="136" t="e">
        <f t="shared" si="125"/>
        <v>#N/A</v>
      </c>
    </row>
    <row r="597" spans="47:59" ht="11.25" customHeight="1">
      <c r="AU597" s="136">
        <f t="shared" ref="AU597:AU660" si="128">NORMDIST(AV597,$AV$17,$AV$18,TRUE)</f>
        <v>0.40516512830217166</v>
      </c>
      <c r="AV597" s="136">
        <f t="shared" si="126"/>
        <v>-0.2400000000000837</v>
      </c>
      <c r="AW597" s="136">
        <f t="shared" ref="AW597:AW660" si="129">IF($AV$13=1,NORMDIST(AV597,$AV$17,$AV$18,FALSE),NA())</f>
        <v>0.38761661512500634</v>
      </c>
      <c r="AX597" s="136" t="e">
        <f t="shared" ref="AX597:AX660" si="130">IF($AV$13=3,NORMDIST(AV597,$AV$17,$AV$18,FALSE),NA())</f>
        <v>#N/A</v>
      </c>
      <c r="AY597" s="136">
        <f t="shared" ref="AY597:AY660" si="131">AV597-$AY$19</f>
        <v>-0.24001000000008371</v>
      </c>
      <c r="AZ597" s="136">
        <f t="shared" ref="AZ597:AZ660" si="132">AV597+$AY$19</f>
        <v>-0.23999000000008369</v>
      </c>
      <c r="BA597" s="136">
        <f t="shared" ref="BA597:BA660" si="133">IF(AY597&lt;0,TDIST(-AY597,$AV$14,1),1-TDIST(AY597,$AV$14,1))</f>
        <v>0.41633990391493381</v>
      </c>
      <c r="BB597" s="136">
        <f t="shared" ref="BB597:BB660" si="134">IF(AZ597&lt;0,TDIST(-AZ597,$AV$14,1),1-TDIST(AZ597,$AV$14,1))</f>
        <v>0.41634668015164711</v>
      </c>
      <c r="BC597" s="136" t="e">
        <f t="shared" ref="BC597:BC660" si="135">IF($AV$13&gt;1,(BB597-BA597)/(2*$AY$19),NA())</f>
        <v>#N/A</v>
      </c>
      <c r="BD597" s="136" t="e">
        <f t="shared" si="127"/>
        <v>#N/A</v>
      </c>
      <c r="BE597" s="136" t="e">
        <f t="shared" ref="BE597:BE660" si="136">IF(ISNUMBER(BD597),BD597-$BE$19,NA())</f>
        <v>#N/A</v>
      </c>
      <c r="BF597" s="136" t="e">
        <f t="shared" ref="BF597:BF660" si="137">IF($AV$15=1,IF(AV597&gt;=$BF$19,BC597,NA()),IF($AV$15=2,IF(ABS(AV597)&gt;=$BF$19,BC597,NA()),NA()))</f>
        <v>#N/A</v>
      </c>
      <c r="BG597" s="136" t="e">
        <f t="shared" ref="BG597:BG660" si="138">IF(ISNUMBER(BF597),BF597-$BG$19,NA())</f>
        <v>#N/A</v>
      </c>
    </row>
    <row r="598" spans="47:59" ht="11.25" customHeight="1">
      <c r="AU598" s="136">
        <f t="shared" si="128"/>
        <v>0.40904588485796167</v>
      </c>
      <c r="AV598" s="136">
        <f t="shared" ref="AV598:AV661" si="139">AV597+$AY$10</f>
        <v>-0.23000000000008369</v>
      </c>
      <c r="AW598" s="136">
        <f t="shared" si="129"/>
        <v>0.3885285853158284</v>
      </c>
      <c r="AX598" s="136" t="e">
        <f t="shared" si="130"/>
        <v>#N/A</v>
      </c>
      <c r="AY598" s="136">
        <f t="shared" si="131"/>
        <v>-0.2300100000000837</v>
      </c>
      <c r="AZ598" s="136">
        <f t="shared" si="132"/>
        <v>-0.22999000000008368</v>
      </c>
      <c r="BA598" s="136">
        <f t="shared" si="133"/>
        <v>0.41973386737674495</v>
      </c>
      <c r="BB598" s="136">
        <f t="shared" si="134"/>
        <v>0.41974066689749662</v>
      </c>
      <c r="BC598" s="136" t="e">
        <f t="shared" si="135"/>
        <v>#N/A</v>
      </c>
      <c r="BD598" s="136" t="e">
        <f t="shared" ref="BD598:BD661" si="140">IF($AV$15=1,IF(OR(AND(AV598&gt;=$BD$19,$AS$5&gt;=0),AND(AV598&lt;=$BD$19,$AS$5&lt;0)),AW598,NA()),IF($AV$15=2,IF(ABS(AV598)&gt;=$BD$18,AW598,NA()),NA()))</f>
        <v>#N/A</v>
      </c>
      <c r="BE598" s="136" t="e">
        <f t="shared" si="136"/>
        <v>#N/A</v>
      </c>
      <c r="BF598" s="136" t="e">
        <f t="shared" si="137"/>
        <v>#N/A</v>
      </c>
      <c r="BG598" s="136" t="e">
        <f t="shared" si="138"/>
        <v>#N/A</v>
      </c>
    </row>
    <row r="599" spans="47:59" ht="11.25" customHeight="1">
      <c r="AU599" s="136">
        <f t="shared" si="128"/>
        <v>0.41293557735175279</v>
      </c>
      <c r="AV599" s="136">
        <f t="shared" si="139"/>
        <v>-0.22000000000008368</v>
      </c>
      <c r="AW599" s="136">
        <f t="shared" si="129"/>
        <v>0.3894037588337832</v>
      </c>
      <c r="AX599" s="136" t="e">
        <f t="shared" si="130"/>
        <v>#N/A</v>
      </c>
      <c r="AY599" s="136">
        <f t="shared" si="131"/>
        <v>-0.22001000000008369</v>
      </c>
      <c r="AZ599" s="136">
        <f t="shared" si="132"/>
        <v>-0.21999000000008367</v>
      </c>
      <c r="BA599" s="136">
        <f t="shared" si="133"/>
        <v>0.4231392575484047</v>
      </c>
      <c r="BB599" s="136">
        <f t="shared" si="134"/>
        <v>0.4231460794876109</v>
      </c>
      <c r="BC599" s="136" t="e">
        <f t="shared" si="135"/>
        <v>#N/A</v>
      </c>
      <c r="BD599" s="136" t="e">
        <f t="shared" si="140"/>
        <v>#N/A</v>
      </c>
      <c r="BE599" s="136" t="e">
        <f t="shared" si="136"/>
        <v>#N/A</v>
      </c>
      <c r="BF599" s="136" t="e">
        <f t="shared" si="137"/>
        <v>#N/A</v>
      </c>
      <c r="BG599" s="136" t="e">
        <f t="shared" si="138"/>
        <v>#N/A</v>
      </c>
    </row>
    <row r="600" spans="47:59" ht="11.25" customHeight="1">
      <c r="AU600" s="136">
        <f t="shared" si="128"/>
        <v>0.41683383651752504</v>
      </c>
      <c r="AV600" s="136">
        <f t="shared" si="139"/>
        <v>-0.21000000000008368</v>
      </c>
      <c r="AW600" s="136">
        <f t="shared" si="129"/>
        <v>0.3902418775700674</v>
      </c>
      <c r="AX600" s="136" t="e">
        <f t="shared" si="130"/>
        <v>#N/A</v>
      </c>
      <c r="AY600" s="136">
        <f t="shared" si="131"/>
        <v>-0.21001000000008369</v>
      </c>
      <c r="AZ600" s="136">
        <f t="shared" si="132"/>
        <v>-0.20999000000008367</v>
      </c>
      <c r="BA600" s="136">
        <f t="shared" si="133"/>
        <v>0.42655563776290628</v>
      </c>
      <c r="BB600" s="136">
        <f t="shared" si="134"/>
        <v>0.42656248123953255</v>
      </c>
      <c r="BC600" s="136" t="e">
        <f t="shared" si="135"/>
        <v>#N/A</v>
      </c>
      <c r="BD600" s="136" t="e">
        <f t="shared" si="140"/>
        <v>#N/A</v>
      </c>
      <c r="BE600" s="136" t="e">
        <f t="shared" si="136"/>
        <v>#N/A</v>
      </c>
      <c r="BF600" s="136" t="e">
        <f t="shared" si="137"/>
        <v>#N/A</v>
      </c>
      <c r="BG600" s="136" t="e">
        <f t="shared" si="138"/>
        <v>#N/A</v>
      </c>
    </row>
    <row r="601" spans="47:59" ht="11.25" customHeight="1">
      <c r="AU601" s="136">
        <f t="shared" si="128"/>
        <v>0.42074029056086426</v>
      </c>
      <c r="AV601" s="136">
        <f t="shared" si="139"/>
        <v>-0.20000000000008367</v>
      </c>
      <c r="AW601" s="136">
        <f t="shared" si="129"/>
        <v>0.39104269397544933</v>
      </c>
      <c r="AX601" s="136" t="e">
        <f t="shared" si="130"/>
        <v>#N/A</v>
      </c>
      <c r="AY601" s="136">
        <f t="shared" si="131"/>
        <v>-0.20001000000008368</v>
      </c>
      <c r="AZ601" s="136">
        <f t="shared" si="132"/>
        <v>-0.19999000000008366</v>
      </c>
      <c r="BA601" s="136">
        <f t="shared" si="133"/>
        <v>0.42998256375075272</v>
      </c>
      <c r="BB601" s="136">
        <f t="shared" si="134"/>
        <v>0.42998942786881111</v>
      </c>
      <c r="BC601" s="136" t="e">
        <f t="shared" si="135"/>
        <v>#N/A</v>
      </c>
      <c r="BD601" s="136" t="e">
        <f t="shared" si="140"/>
        <v>#N/A</v>
      </c>
      <c r="BE601" s="136" t="e">
        <f t="shared" si="136"/>
        <v>#N/A</v>
      </c>
      <c r="BF601" s="136" t="e">
        <f t="shared" si="137"/>
        <v>#N/A</v>
      </c>
      <c r="BG601" s="136" t="e">
        <f t="shared" si="138"/>
        <v>#N/A</v>
      </c>
    </row>
    <row r="602" spans="47:59" ht="11.25" customHeight="1">
      <c r="AU602" s="136">
        <f t="shared" si="128"/>
        <v>0.42465456526517176</v>
      </c>
      <c r="AV602" s="136">
        <f t="shared" si="139"/>
        <v>-0.19000000000008366</v>
      </c>
      <c r="AW602" s="136">
        <f t="shared" si="129"/>
        <v>0.3918059711821148</v>
      </c>
      <c r="AX602" s="136" t="e">
        <f t="shared" si="130"/>
        <v>#N/A</v>
      </c>
      <c r="AY602" s="136">
        <f t="shared" si="131"/>
        <v>-0.19001000000008367</v>
      </c>
      <c r="AZ602" s="136">
        <f t="shared" si="132"/>
        <v>-0.18999000000008365</v>
      </c>
      <c r="BA602" s="136">
        <f t="shared" si="133"/>
        <v>0.43341958389487506</v>
      </c>
      <c r="BB602" s="136">
        <f t="shared" si="134"/>
        <v>0.433426467743945</v>
      </c>
      <c r="BC602" s="136" t="e">
        <f t="shared" si="135"/>
        <v>#N/A</v>
      </c>
      <c r="BD602" s="136" t="e">
        <f t="shared" si="140"/>
        <v>#N/A</v>
      </c>
      <c r="BE602" s="136" t="e">
        <f t="shared" si="136"/>
        <v>#N/A</v>
      </c>
      <c r="BF602" s="136" t="e">
        <f t="shared" si="137"/>
        <v>#N/A</v>
      </c>
      <c r="BG602" s="136" t="e">
        <f t="shared" si="138"/>
        <v>#N/A</v>
      </c>
    </row>
    <row r="603" spans="47:59" ht="11.25" customHeight="1">
      <c r="AU603" s="136">
        <f t="shared" si="128"/>
        <v>0.42857628409906645</v>
      </c>
      <c r="AV603" s="136">
        <f t="shared" si="139"/>
        <v>-0.18000000000008365</v>
      </c>
      <c r="AW603" s="136">
        <f t="shared" si="129"/>
        <v>0.39253148312042296</v>
      </c>
      <c r="AX603" s="136" t="e">
        <f t="shared" si="130"/>
        <v>#N/A</v>
      </c>
      <c r="AY603" s="136">
        <f t="shared" si="131"/>
        <v>-0.18001000000008366</v>
      </c>
      <c r="AZ603" s="136">
        <f t="shared" si="132"/>
        <v>-0.17999000000008364</v>
      </c>
      <c r="BA603" s="136">
        <f t="shared" si="133"/>
        <v>0.43686623949711745</v>
      </c>
      <c r="BB603" s="136">
        <f t="shared" si="134"/>
        <v>0.43687314215289125</v>
      </c>
      <c r="BC603" s="136" t="e">
        <f t="shared" si="135"/>
        <v>#N/A</v>
      </c>
      <c r="BD603" s="136" t="e">
        <f t="shared" si="140"/>
        <v>#N/A</v>
      </c>
      <c r="BE603" s="136" t="e">
        <f t="shared" si="136"/>
        <v>#N/A</v>
      </c>
      <c r="BF603" s="136" t="e">
        <f t="shared" si="137"/>
        <v>#N/A</v>
      </c>
      <c r="BG603" s="136" t="e">
        <f t="shared" si="138"/>
        <v>#N/A</v>
      </c>
    </row>
    <row r="604" spans="47:59" ht="11.25" customHeight="1">
      <c r="AU604" s="136">
        <f t="shared" si="128"/>
        <v>0.43250506832492874</v>
      </c>
      <c r="AV604" s="136">
        <f t="shared" si="139"/>
        <v>-0.17000000000008364</v>
      </c>
      <c r="AW604" s="136">
        <f t="shared" si="129"/>
        <v>0.39321901463049158</v>
      </c>
      <c r="AX604" s="136" t="e">
        <f t="shared" si="130"/>
        <v>#N/A</v>
      </c>
      <c r="AY604" s="136">
        <f t="shared" si="131"/>
        <v>-0.17001000000008365</v>
      </c>
      <c r="AZ604" s="136">
        <f t="shared" si="132"/>
        <v>-0.16999000000008363</v>
      </c>
      <c r="BA604" s="136">
        <f t="shared" si="133"/>
        <v>0.44032206505598553</v>
      </c>
      <c r="BB604" s="136">
        <f t="shared" si="134"/>
        <v>0.44032898558083472</v>
      </c>
      <c r="BC604" s="136" t="e">
        <f t="shared" si="135"/>
        <v>#N/A</v>
      </c>
      <c r="BD604" s="136" t="e">
        <f t="shared" si="140"/>
        <v>#N/A</v>
      </c>
      <c r="BE604" s="136" t="e">
        <f t="shared" si="136"/>
        <v>#N/A</v>
      </c>
      <c r="BF604" s="136" t="e">
        <f t="shared" si="137"/>
        <v>#N/A</v>
      </c>
      <c r="BG604" s="136" t="e">
        <f t="shared" si="138"/>
        <v>#N/A</v>
      </c>
    </row>
    <row r="605" spans="47:59" ht="11.25" customHeight="1">
      <c r="AU605" s="136">
        <f t="shared" si="128"/>
        <v>0.43644053710853425</v>
      </c>
      <c r="AV605" s="136">
        <f t="shared" si="139"/>
        <v>-0.16000000000008363</v>
      </c>
      <c r="AW605" s="136">
        <f t="shared" si="129"/>
        <v>0.3938683615685355</v>
      </c>
      <c r="AX605" s="136" t="e">
        <f t="shared" si="130"/>
        <v>#N/A</v>
      </c>
      <c r="AY605" s="136">
        <f t="shared" si="131"/>
        <v>-0.16001000000008364</v>
      </c>
      <c r="AZ605" s="136">
        <f t="shared" si="132"/>
        <v>-0.15999000000008362</v>
      </c>
      <c r="BA605" s="136">
        <f t="shared" si="133"/>
        <v>0.44378658855531383</v>
      </c>
      <c r="BB605" s="136">
        <f t="shared" si="134"/>
        <v>0.44379352599887673</v>
      </c>
      <c r="BC605" s="136" t="e">
        <f t="shared" si="135"/>
        <v>#N/A</v>
      </c>
      <c r="BD605" s="136" t="e">
        <f t="shared" si="140"/>
        <v>#N/A</v>
      </c>
      <c r="BE605" s="136" t="e">
        <f t="shared" si="136"/>
        <v>#N/A</v>
      </c>
      <c r="BF605" s="136" t="e">
        <f t="shared" si="137"/>
        <v>#N/A</v>
      </c>
      <c r="BG605" s="136" t="e">
        <f t="shared" si="138"/>
        <v>#N/A</v>
      </c>
    </row>
    <row r="606" spans="47:59" ht="11.25" customHeight="1">
      <c r="AU606" s="136">
        <f t="shared" si="128"/>
        <v>0.44038230762972452</v>
      </c>
      <c r="AV606" s="136">
        <f t="shared" si="139"/>
        <v>-0.15000000000008362</v>
      </c>
      <c r="AW606" s="136">
        <f t="shared" si="129"/>
        <v>0.3944793309078839</v>
      </c>
      <c r="AX606" s="136" t="e">
        <f t="shared" si="130"/>
        <v>#N/A</v>
      </c>
      <c r="AY606" s="136">
        <f t="shared" si="131"/>
        <v>-0.15001000000008363</v>
      </c>
      <c r="AZ606" s="136">
        <f t="shared" si="132"/>
        <v>-0.14999000000008361</v>
      </c>
      <c r="BA606" s="136">
        <f t="shared" si="133"/>
        <v>0.44725933176348875</v>
      </c>
      <c r="BB606" s="136">
        <f t="shared" si="134"/>
        <v>0.44726628516327993</v>
      </c>
      <c r="BC606" s="136" t="e">
        <f t="shared" si="135"/>
        <v>#N/A</v>
      </c>
      <c r="BD606" s="136" t="e">
        <f t="shared" si="140"/>
        <v>#N/A</v>
      </c>
      <c r="BE606" s="136" t="e">
        <f t="shared" si="136"/>
        <v>#N/A</v>
      </c>
      <c r="BF606" s="136" t="e">
        <f t="shared" si="137"/>
        <v>#N/A</v>
      </c>
      <c r="BG606" s="136" t="e">
        <f t="shared" si="138"/>
        <v>#N/A</v>
      </c>
    </row>
    <row r="607" spans="47:59" ht="11.25" customHeight="1">
      <c r="AU607" s="136">
        <f t="shared" si="128"/>
        <v>0.44432999519406058</v>
      </c>
      <c r="AV607" s="136">
        <f t="shared" si="139"/>
        <v>-0.14000000000008361</v>
      </c>
      <c r="AW607" s="136">
        <f t="shared" si="129"/>
        <v>0.39505174083460659</v>
      </c>
      <c r="AX607" s="136" t="e">
        <f t="shared" si="130"/>
        <v>#N/A</v>
      </c>
      <c r="AY607" s="136">
        <f t="shared" si="131"/>
        <v>-0.14001000000008362</v>
      </c>
      <c r="AZ607" s="136">
        <f t="shared" si="132"/>
        <v>-0.1399900000000836</v>
      </c>
      <c r="BA607" s="136">
        <f t="shared" si="133"/>
        <v>0.45073981054282425</v>
      </c>
      <c r="BB607" s="136">
        <f t="shared" si="134"/>
        <v>0.4507467789248617</v>
      </c>
      <c r="BC607" s="136" t="e">
        <f t="shared" si="135"/>
        <v>#N/A</v>
      </c>
      <c r="BD607" s="136" t="e">
        <f t="shared" si="140"/>
        <v>#N/A</v>
      </c>
      <c r="BE607" s="136" t="e">
        <f t="shared" si="136"/>
        <v>#N/A</v>
      </c>
      <c r="BF607" s="136" t="e">
        <f t="shared" si="137"/>
        <v>#N/A</v>
      </c>
      <c r="BG607" s="136" t="e">
        <f t="shared" si="138"/>
        <v>#N/A</v>
      </c>
    </row>
    <row r="608" spans="47:59" ht="11.25" customHeight="1">
      <c r="AU608" s="136">
        <f t="shared" si="128"/>
        <v>0.44828321334540577</v>
      </c>
      <c r="AV608" s="136">
        <f t="shared" si="139"/>
        <v>-0.1300000000000836</v>
      </c>
      <c r="AW608" s="136">
        <f t="shared" si="129"/>
        <v>0.39558542083768305</v>
      </c>
      <c r="AX608" s="136" t="e">
        <f t="shared" si="130"/>
        <v>#N/A</v>
      </c>
      <c r="AY608" s="136">
        <f t="shared" si="131"/>
        <v>-0.13001000000008361</v>
      </c>
      <c r="AZ608" s="136">
        <f t="shared" si="132"/>
        <v>-0.12999000000008359</v>
      </c>
      <c r="BA608" s="136">
        <f t="shared" si="133"/>
        <v>0.4542275351686586</v>
      </c>
      <c r="BB608" s="136">
        <f t="shared" si="134"/>
        <v>0.45423451754811278</v>
      </c>
      <c r="BC608" s="136" t="e">
        <f t="shared" si="135"/>
        <v>#N/A</v>
      </c>
      <c r="BD608" s="136" t="e">
        <f t="shared" si="140"/>
        <v>#N/A</v>
      </c>
      <c r="BE608" s="136" t="e">
        <f t="shared" si="136"/>
        <v>#N/A</v>
      </c>
      <c r="BF608" s="136" t="e">
        <f t="shared" si="137"/>
        <v>#N/A</v>
      </c>
      <c r="BG608" s="136" t="e">
        <f t="shared" si="138"/>
        <v>#N/A</v>
      </c>
    </row>
    <row r="609" spans="47:59" ht="11.25" customHeight="1">
      <c r="AU609" s="136">
        <f t="shared" si="128"/>
        <v>0.45224157397938303</v>
      </c>
      <c r="AV609" s="136">
        <f t="shared" si="139"/>
        <v>-0.12000000000008361</v>
      </c>
      <c r="AW609" s="136">
        <f t="shared" si="129"/>
        <v>0.39608021179365205</v>
      </c>
      <c r="AX609" s="136" t="e">
        <f t="shared" si="130"/>
        <v>#N/A</v>
      </c>
      <c r="AY609" s="136">
        <f t="shared" si="131"/>
        <v>-0.12001000000008361</v>
      </c>
      <c r="AZ609" s="136">
        <f t="shared" si="132"/>
        <v>-0.11999000000008361</v>
      </c>
      <c r="BA609" s="136">
        <f t="shared" si="133"/>
        <v>0.45772201065772228</v>
      </c>
      <c r="BB609" s="136">
        <f t="shared" si="134"/>
        <v>0.45772900603958189</v>
      </c>
      <c r="BC609" s="136" t="e">
        <f t="shared" si="135"/>
        <v>#N/A</v>
      </c>
      <c r="BD609" s="136" t="e">
        <f t="shared" si="140"/>
        <v>#N/A</v>
      </c>
      <c r="BE609" s="136" t="e">
        <f t="shared" si="136"/>
        <v>#N/A</v>
      </c>
      <c r="BF609" s="136" t="e">
        <f t="shared" si="137"/>
        <v>#N/A</v>
      </c>
      <c r="BG609" s="136" t="e">
        <f t="shared" si="138"/>
        <v>#N/A</v>
      </c>
    </row>
    <row r="610" spans="47:59" ht="11.25" customHeight="1">
      <c r="AU610" s="136">
        <f t="shared" si="128"/>
        <v>0.45620468745765008</v>
      </c>
      <c r="AV610" s="136">
        <f t="shared" si="139"/>
        <v>-0.11000000000008361</v>
      </c>
      <c r="AW610" s="136">
        <f t="shared" si="129"/>
        <v>0.39653596604568209</v>
      </c>
      <c r="AX610" s="136" t="e">
        <f t="shared" si="130"/>
        <v>#N/A</v>
      </c>
      <c r="AY610" s="136">
        <f t="shared" si="131"/>
        <v>-0.11001000000008361</v>
      </c>
      <c r="AZ610" s="136">
        <f t="shared" si="132"/>
        <v>-0.10999000000008362</v>
      </c>
      <c r="BA610" s="136">
        <f t="shared" si="133"/>
        <v>0.46122273710528949</v>
      </c>
      <c r="BB610" s="136">
        <f t="shared" si="134"/>
        <v>0.46122974448504311</v>
      </c>
      <c r="BC610" s="136" t="e">
        <f t="shared" si="135"/>
        <v>#N/A</v>
      </c>
      <c r="BD610" s="136" t="e">
        <f t="shared" si="140"/>
        <v>#N/A</v>
      </c>
      <c r="BE610" s="136" t="e">
        <f t="shared" si="136"/>
        <v>#N/A</v>
      </c>
      <c r="BF610" s="136" t="e">
        <f t="shared" si="137"/>
        <v>#N/A</v>
      </c>
      <c r="BG610" s="136" t="e">
        <f t="shared" si="138"/>
        <v>#N/A</v>
      </c>
    </row>
    <row r="611" spans="47:59" ht="11.25" customHeight="1">
      <c r="AU611" s="136">
        <f t="shared" si="128"/>
        <v>0.46017216272293782</v>
      </c>
      <c r="AV611" s="136">
        <f t="shared" si="139"/>
        <v>-0.10000000000008362</v>
      </c>
      <c r="AW611" s="136">
        <f t="shared" si="129"/>
        <v>0.39695254747700842</v>
      </c>
      <c r="AX611" s="136" t="e">
        <f t="shared" si="130"/>
        <v>#N/A</v>
      </c>
      <c r="AY611" s="136">
        <f t="shared" si="131"/>
        <v>-0.10001000000008362</v>
      </c>
      <c r="AZ611" s="136">
        <f t="shared" si="132"/>
        <v>-9.9990000000083623E-2</v>
      </c>
      <c r="BA611" s="136">
        <f t="shared" si="133"/>
        <v>0.4647292100305967</v>
      </c>
      <c r="BB611" s="136">
        <f t="shared" si="134"/>
        <v>0.46473622839493228</v>
      </c>
      <c r="BC611" s="136" t="e">
        <f t="shared" si="135"/>
        <v>#N/A</v>
      </c>
      <c r="BD611" s="136" t="e">
        <f t="shared" si="140"/>
        <v>#N/A</v>
      </c>
      <c r="BE611" s="136" t="e">
        <f t="shared" si="136"/>
        <v>#N/A</v>
      </c>
      <c r="BF611" s="136" t="e">
        <f t="shared" si="137"/>
        <v>#N/A</v>
      </c>
      <c r="BG611" s="136" t="e">
        <f t="shared" si="138"/>
        <v>#N/A</v>
      </c>
    </row>
    <row r="612" spans="47:59" ht="11.25" customHeight="1">
      <c r="AU612" s="136">
        <f t="shared" si="128"/>
        <v>0.46414360741479466</v>
      </c>
      <c r="AV612" s="136">
        <f t="shared" si="139"/>
        <v>-9.0000000000083624E-2</v>
      </c>
      <c r="AW612" s="136">
        <f t="shared" si="129"/>
        <v>0.39732983157868529</v>
      </c>
      <c r="AX612" s="136" t="e">
        <f t="shared" si="130"/>
        <v>#N/A</v>
      </c>
      <c r="AY612" s="136">
        <f t="shared" si="131"/>
        <v>-9.001000000008362E-2</v>
      </c>
      <c r="AZ612" s="136">
        <f t="shared" si="132"/>
        <v>-8.9990000000083628E-2</v>
      </c>
      <c r="BA612" s="136">
        <f t="shared" si="133"/>
        <v>0.46824092073000534</v>
      </c>
      <c r="BB612" s="136">
        <f t="shared" si="134"/>
        <v>0.46824794905752481</v>
      </c>
      <c r="BC612" s="136" t="e">
        <f t="shared" si="135"/>
        <v>#N/A</v>
      </c>
      <c r="BD612" s="136" t="e">
        <f t="shared" si="140"/>
        <v>#N/A</v>
      </c>
      <c r="BE612" s="136" t="e">
        <f t="shared" si="136"/>
        <v>#N/A</v>
      </c>
      <c r="BF612" s="136" t="e">
        <f t="shared" si="137"/>
        <v>#N/A</v>
      </c>
      <c r="BG612" s="136" t="e">
        <f t="shared" si="138"/>
        <v>#N/A</v>
      </c>
    </row>
    <row r="613" spans="47:59" ht="11.25" customHeight="1">
      <c r="AU613" s="136">
        <f t="shared" si="128"/>
        <v>0.46811862798597936</v>
      </c>
      <c r="AV613" s="136">
        <f t="shared" si="139"/>
        <v>-8.0000000000083629E-2</v>
      </c>
      <c r="AW613" s="136">
        <f t="shared" si="129"/>
        <v>0.39766770551160618</v>
      </c>
      <c r="AX613" s="136" t="e">
        <f t="shared" si="130"/>
        <v>#N/A</v>
      </c>
      <c r="AY613" s="136">
        <f t="shared" si="131"/>
        <v>-8.0010000000083625E-2</v>
      </c>
      <c r="AZ613" s="136">
        <f t="shared" si="132"/>
        <v>-7.9990000000083633E-2</v>
      </c>
      <c r="BA613" s="136">
        <f t="shared" si="133"/>
        <v>0.47175735663734286</v>
      </c>
      <c r="BB613" s="136">
        <f t="shared" si="134"/>
        <v>0.47176439389928826</v>
      </c>
      <c r="BC613" s="136" t="e">
        <f t="shared" si="135"/>
        <v>#N/A</v>
      </c>
      <c r="BD613" s="136" t="e">
        <f t="shared" si="140"/>
        <v>#N/A</v>
      </c>
      <c r="BE613" s="136" t="e">
        <f t="shared" si="136"/>
        <v>#N/A</v>
      </c>
      <c r="BF613" s="136" t="e">
        <f t="shared" si="137"/>
        <v>#N/A</v>
      </c>
      <c r="BG613" s="136" t="e">
        <f t="shared" si="138"/>
        <v>#N/A</v>
      </c>
    </row>
    <row r="614" spans="47:59" ht="11.25" customHeight="1">
      <c r="AU614" s="136">
        <f t="shared" si="128"/>
        <v>0.47209682981944567</v>
      </c>
      <c r="AV614" s="136">
        <f t="shared" si="139"/>
        <v>-7.0000000000083634E-2</v>
      </c>
      <c r="AW614" s="136">
        <f t="shared" si="129"/>
        <v>0.39796606816274865</v>
      </c>
      <c r="AX614" s="136" t="e">
        <f t="shared" si="130"/>
        <v>#N/A</v>
      </c>
      <c r="AY614" s="136">
        <f t="shared" si="131"/>
        <v>-7.001000000008363E-2</v>
      </c>
      <c r="AZ614" s="136">
        <f t="shared" si="132"/>
        <v>-6.9990000000083638E-2</v>
      </c>
      <c r="BA614" s="136">
        <f t="shared" si="133"/>
        <v>0.47527800169084244</v>
      </c>
      <c r="BB614" s="136">
        <f t="shared" si="134"/>
        <v>0.47528504685183454</v>
      </c>
      <c r="BC614" s="136" t="e">
        <f t="shared" si="135"/>
        <v>#N/A</v>
      </c>
      <c r="BD614" s="136" t="e">
        <f t="shared" si="140"/>
        <v>#N/A</v>
      </c>
      <c r="BE614" s="136" t="e">
        <f t="shared" si="136"/>
        <v>#N/A</v>
      </c>
      <c r="BF614" s="136" t="e">
        <f t="shared" si="137"/>
        <v>#N/A</v>
      </c>
      <c r="BG614" s="136" t="e">
        <f t="shared" si="138"/>
        <v>#N/A</v>
      </c>
    </row>
    <row r="615" spans="47:59" ht="11.25" customHeight="1">
      <c r="AU615" s="136">
        <f t="shared" si="128"/>
        <v>0.47607781734585986</v>
      </c>
      <c r="AV615" s="136">
        <f t="shared" si="139"/>
        <v>-6.0000000000083632E-2</v>
      </c>
      <c r="AW615" s="136">
        <f t="shared" si="129"/>
        <v>0.39822483019560484</v>
      </c>
      <c r="AX615" s="136" t="e">
        <f t="shared" si="130"/>
        <v>#N/A</v>
      </c>
      <c r="AY615" s="136">
        <f t="shared" si="131"/>
        <v>-6.0010000000083635E-2</v>
      </c>
      <c r="AZ615" s="136">
        <f t="shared" si="132"/>
        <v>-5.9990000000083629E-2</v>
      </c>
      <c r="BA615" s="136">
        <f t="shared" si="133"/>
        <v>0.47880233670607625</v>
      </c>
      <c r="BB615" s="136">
        <f t="shared" si="134"/>
        <v>0.47880938872487144</v>
      </c>
      <c r="BC615" s="136" t="e">
        <f t="shared" si="135"/>
        <v>#N/A</v>
      </c>
      <c r="BD615" s="136" t="e">
        <f t="shared" si="140"/>
        <v>#N/A</v>
      </c>
      <c r="BE615" s="136" t="e">
        <f t="shared" si="136"/>
        <v>#N/A</v>
      </c>
      <c r="BF615" s="136" t="e">
        <f t="shared" si="137"/>
        <v>#N/A</v>
      </c>
      <c r="BG615" s="136" t="e">
        <f t="shared" si="138"/>
        <v>#N/A</v>
      </c>
    </row>
    <row r="616" spans="47:59" ht="11.25" customHeight="1">
      <c r="AU616" s="136">
        <f t="shared" si="128"/>
        <v>0.48006119416159421</v>
      </c>
      <c r="AV616" s="136">
        <f t="shared" si="139"/>
        <v>-5.000000000008363E-2</v>
      </c>
      <c r="AW616" s="136">
        <f t="shared" si="129"/>
        <v>0.39844391409476232</v>
      </c>
      <c r="AX616" s="136" t="e">
        <f t="shared" si="130"/>
        <v>#N/A</v>
      </c>
      <c r="AY616" s="136">
        <f t="shared" si="131"/>
        <v>-5.0010000000083633E-2</v>
      </c>
      <c r="AZ616" s="136">
        <f t="shared" si="132"/>
        <v>-4.9990000000083627E-2</v>
      </c>
      <c r="BA616" s="136">
        <f t="shared" si="133"/>
        <v>0.48232983975428556</v>
      </c>
      <c r="BB616" s="136">
        <f t="shared" si="134"/>
        <v>0.4823368975845313</v>
      </c>
      <c r="BC616" s="136" t="e">
        <f t="shared" si="135"/>
        <v>#N/A</v>
      </c>
      <c r="BD616" s="136" t="e">
        <f t="shared" si="140"/>
        <v>#N/A</v>
      </c>
      <c r="BE616" s="136" t="e">
        <f t="shared" si="136"/>
        <v>#N/A</v>
      </c>
      <c r="BF616" s="136" t="e">
        <f t="shared" si="137"/>
        <v>#N/A</v>
      </c>
      <c r="BG616" s="136" t="e">
        <f t="shared" si="138"/>
        <v>#N/A</v>
      </c>
    </row>
    <row r="617" spans="47:59" ht="11.25" customHeight="1">
      <c r="AU617" s="136">
        <f t="shared" si="128"/>
        <v>0.4840465631471359</v>
      </c>
      <c r="AV617" s="136">
        <f t="shared" si="139"/>
        <v>-4.0000000000083628E-2</v>
      </c>
      <c r="AW617" s="136">
        <f t="shared" si="129"/>
        <v>0.39862325420460365</v>
      </c>
      <c r="AX617" s="136" t="e">
        <f t="shared" si="130"/>
        <v>#N/A</v>
      </c>
      <c r="AY617" s="136">
        <f t="shared" si="131"/>
        <v>-4.0010000000083631E-2</v>
      </c>
      <c r="AZ617" s="136">
        <f t="shared" si="132"/>
        <v>-3.9990000000083625E-2</v>
      </c>
      <c r="BA617" s="136">
        <f t="shared" si="133"/>
        <v>0.48585998654543833</v>
      </c>
      <c r="BB617" s="136">
        <f t="shared" si="134"/>
        <v>0.48586704913644507</v>
      </c>
      <c r="BC617" s="136" t="e">
        <f t="shared" si="135"/>
        <v>#N/A</v>
      </c>
      <c r="BD617" s="136" t="e">
        <f t="shared" si="140"/>
        <v>#N/A</v>
      </c>
      <c r="BE617" s="136" t="e">
        <f t="shared" si="136"/>
        <v>#N/A</v>
      </c>
      <c r="BF617" s="136" t="e">
        <f t="shared" si="137"/>
        <v>#N/A</v>
      </c>
      <c r="BG617" s="136" t="e">
        <f t="shared" si="138"/>
        <v>#N/A</v>
      </c>
    </row>
    <row r="618" spans="47:59" ht="11.25" customHeight="1">
      <c r="AU618" s="136">
        <f t="shared" si="128"/>
        <v>0.48803352658585397</v>
      </c>
      <c r="AV618" s="136">
        <f t="shared" si="139"/>
        <v>-3.0000000000083626E-2</v>
      </c>
      <c r="AW618" s="136">
        <f t="shared" si="129"/>
        <v>0.39876279676209864</v>
      </c>
      <c r="AX618" s="136" t="e">
        <f t="shared" si="130"/>
        <v>#N/A</v>
      </c>
      <c r="AY618" s="136">
        <f t="shared" si="131"/>
        <v>-3.0010000000083626E-2</v>
      </c>
      <c r="AZ618" s="136">
        <f t="shared" si="132"/>
        <v>-2.9990000000083627E-2</v>
      </c>
      <c r="BA618" s="136">
        <f t="shared" si="133"/>
        <v>0.48939225081538829</v>
      </c>
      <c r="BB618" s="136">
        <f t="shared" si="134"/>
        <v>0.48939931711291079</v>
      </c>
      <c r="BC618" s="136" t="e">
        <f t="shared" si="135"/>
        <v>#N/A</v>
      </c>
      <c r="BD618" s="136" t="e">
        <f t="shared" si="140"/>
        <v>#N/A</v>
      </c>
      <c r="BE618" s="136" t="e">
        <f t="shared" si="136"/>
        <v>#N/A</v>
      </c>
      <c r="BF618" s="136" t="e">
        <f t="shared" si="137"/>
        <v>#N/A</v>
      </c>
      <c r="BG618" s="136" t="e">
        <f t="shared" si="138"/>
        <v>#N/A</v>
      </c>
    </row>
    <row r="619" spans="47:59" ht="11.25" customHeight="1">
      <c r="AU619" s="136">
        <f t="shared" si="128"/>
        <v>0.49202168628306464</v>
      </c>
      <c r="AV619" s="136">
        <f t="shared" si="139"/>
        <v>-2.0000000000083624E-2</v>
      </c>
      <c r="AW619" s="136">
        <f t="shared" si="129"/>
        <v>0.3988624999236654</v>
      </c>
      <c r="AX619" s="136" t="e">
        <f t="shared" si="130"/>
        <v>#N/A</v>
      </c>
      <c r="AY619" s="136">
        <f t="shared" si="131"/>
        <v>-2.0010000000083624E-2</v>
      </c>
      <c r="AZ619" s="136">
        <f t="shared" si="132"/>
        <v>-1.9990000000083625E-2</v>
      </c>
      <c r="BA619" s="136">
        <f t="shared" si="133"/>
        <v>0.49292610471647991</v>
      </c>
      <c r="BB619" s="136">
        <f t="shared" si="134"/>
        <v>0.49293317366350098</v>
      </c>
      <c r="BC619" s="136" t="e">
        <f t="shared" si="135"/>
        <v>#N/A</v>
      </c>
      <c r="BD619" s="136" t="e">
        <f t="shared" si="140"/>
        <v>#N/A</v>
      </c>
      <c r="BE619" s="136" t="e">
        <f t="shared" si="136"/>
        <v>#N/A</v>
      </c>
      <c r="BF619" s="136" t="e">
        <f t="shared" si="137"/>
        <v>#N/A</v>
      </c>
      <c r="BG619" s="136" t="e">
        <f t="shared" si="138"/>
        <v>#N/A</v>
      </c>
    </row>
    <row r="620" spans="47:59" ht="11.25" customHeight="1">
      <c r="AU620" s="136">
        <f t="shared" si="128"/>
        <v>0.49601064368533498</v>
      </c>
      <c r="AV620" s="136">
        <f t="shared" si="139"/>
        <v>-1.0000000000083624E-2</v>
      </c>
      <c r="AW620" s="136">
        <f t="shared" si="129"/>
        <v>0.39892233378608177</v>
      </c>
      <c r="AX620" s="136" t="e">
        <f t="shared" si="130"/>
        <v>#N/A</v>
      </c>
      <c r="AY620" s="136">
        <f t="shared" si="131"/>
        <v>-1.0010000000083624E-2</v>
      </c>
      <c r="AZ620" s="136">
        <f t="shared" si="132"/>
        <v>-9.9900000000836247E-3</v>
      </c>
      <c r="BA620" s="136">
        <f t="shared" si="133"/>
        <v>0.49646101921089147</v>
      </c>
      <c r="BB620" s="136">
        <f t="shared" si="134"/>
        <v>0.49646808974840045</v>
      </c>
      <c r="BC620" s="136" t="e">
        <f t="shared" si="135"/>
        <v>#N/A</v>
      </c>
      <c r="BD620" s="136" t="e">
        <f t="shared" si="140"/>
        <v>#N/A</v>
      </c>
      <c r="BE620" s="136" t="e">
        <f t="shared" si="136"/>
        <v>#N/A</v>
      </c>
      <c r="BF620" s="136" t="e">
        <f t="shared" si="137"/>
        <v>#N/A</v>
      </c>
      <c r="BG620" s="136" t="e">
        <f t="shared" si="138"/>
        <v>#N/A</v>
      </c>
    </row>
    <row r="621" spans="47:59" ht="11.25" customHeight="1">
      <c r="AU621" s="136">
        <f t="shared" si="128"/>
        <v>0.49999999999996669</v>
      </c>
      <c r="AV621" s="136">
        <f t="shared" si="139"/>
        <v>-8.3624079882937963E-14</v>
      </c>
      <c r="AW621" s="136">
        <f t="shared" si="129"/>
        <v>0.39894228040143265</v>
      </c>
      <c r="AX621" s="136" t="e">
        <f t="shared" si="130"/>
        <v>#N/A</v>
      </c>
      <c r="AY621" s="136">
        <f t="shared" si="131"/>
        <v>-1.0000000083624081E-5</v>
      </c>
      <c r="AZ621" s="136">
        <f t="shared" si="132"/>
        <v>9.9999999163759209E-6</v>
      </c>
      <c r="BA621" s="136">
        <f t="shared" si="133"/>
        <v>0.49999646446594809</v>
      </c>
      <c r="BB621" s="136">
        <f t="shared" si="134"/>
        <v>0.50000353553405197</v>
      </c>
      <c r="BC621" s="136" t="e">
        <f t="shared" si="135"/>
        <v>#N/A</v>
      </c>
      <c r="BD621" s="136" t="e">
        <f t="shared" si="140"/>
        <v>#N/A</v>
      </c>
      <c r="BE621" s="136" t="e">
        <f t="shared" si="136"/>
        <v>#N/A</v>
      </c>
      <c r="BF621" s="136" t="e">
        <f t="shared" si="137"/>
        <v>#N/A</v>
      </c>
      <c r="BG621" s="136" t="e">
        <f t="shared" si="138"/>
        <v>#N/A</v>
      </c>
    </row>
    <row r="622" spans="47:59" ht="11.25" customHeight="1">
      <c r="AU622" s="136">
        <f t="shared" si="128"/>
        <v>0.50398935631459829</v>
      </c>
      <c r="AV622" s="136">
        <f t="shared" si="139"/>
        <v>9.9999999999163761E-3</v>
      </c>
      <c r="AW622" s="136">
        <f t="shared" si="129"/>
        <v>0.39892233378608244</v>
      </c>
      <c r="AX622" s="136" t="e">
        <f t="shared" si="130"/>
        <v>#N/A</v>
      </c>
      <c r="AY622" s="136">
        <f t="shared" si="131"/>
        <v>9.9899999999163765E-3</v>
      </c>
      <c r="AZ622" s="136">
        <f t="shared" si="132"/>
        <v>1.0009999999916376E-2</v>
      </c>
      <c r="BA622" s="136">
        <f t="shared" si="133"/>
        <v>0.50353191025153665</v>
      </c>
      <c r="BB622" s="136">
        <f t="shared" si="134"/>
        <v>0.5035389807890458</v>
      </c>
      <c r="BC622" s="136" t="e">
        <f t="shared" si="135"/>
        <v>#N/A</v>
      </c>
      <c r="BD622" s="136" t="e">
        <f t="shared" si="140"/>
        <v>#N/A</v>
      </c>
      <c r="BE622" s="136" t="e">
        <f t="shared" si="136"/>
        <v>#N/A</v>
      </c>
      <c r="BF622" s="136" t="e">
        <f t="shared" si="137"/>
        <v>#N/A</v>
      </c>
      <c r="BG622" s="136" t="e">
        <f t="shared" si="138"/>
        <v>#N/A</v>
      </c>
    </row>
    <row r="623" spans="47:59" ht="11.25" customHeight="1">
      <c r="AU623" s="136">
        <f t="shared" si="128"/>
        <v>0.50797831371686863</v>
      </c>
      <c r="AV623" s="136">
        <f t="shared" si="139"/>
        <v>1.9999999999916376E-2</v>
      </c>
      <c r="AW623" s="136">
        <f t="shared" si="129"/>
        <v>0.39886249992366674</v>
      </c>
      <c r="AX623" s="136" t="e">
        <f t="shared" si="130"/>
        <v>#N/A</v>
      </c>
      <c r="AY623" s="136">
        <f t="shared" si="131"/>
        <v>1.9989999999916377E-2</v>
      </c>
      <c r="AZ623" s="136">
        <f t="shared" si="132"/>
        <v>2.0009999999916376E-2</v>
      </c>
      <c r="BA623" s="136">
        <f t="shared" si="133"/>
        <v>0.50706682633644007</v>
      </c>
      <c r="BB623" s="136">
        <f t="shared" si="134"/>
        <v>0.50707389528346125</v>
      </c>
      <c r="BC623" s="136" t="e">
        <f t="shared" si="135"/>
        <v>#N/A</v>
      </c>
      <c r="BD623" s="136" t="e">
        <f t="shared" si="140"/>
        <v>#N/A</v>
      </c>
      <c r="BE623" s="136" t="e">
        <f t="shared" si="136"/>
        <v>#N/A</v>
      </c>
      <c r="BF623" s="136" t="e">
        <f t="shared" si="137"/>
        <v>#N/A</v>
      </c>
      <c r="BG623" s="136" t="e">
        <f t="shared" si="138"/>
        <v>#N/A</v>
      </c>
    </row>
    <row r="624" spans="47:59" ht="11.25" customHeight="1">
      <c r="AU624" s="136">
        <f t="shared" si="128"/>
        <v>0.5119664734140793</v>
      </c>
      <c r="AV624" s="136">
        <f t="shared" si="139"/>
        <v>2.9999999999916378E-2</v>
      </c>
      <c r="AW624" s="136">
        <f t="shared" si="129"/>
        <v>0.39876279676210064</v>
      </c>
      <c r="AX624" s="136" t="e">
        <f t="shared" si="130"/>
        <v>#N/A</v>
      </c>
      <c r="AY624" s="136">
        <f t="shared" si="131"/>
        <v>2.9989999999916379E-2</v>
      </c>
      <c r="AZ624" s="136">
        <f t="shared" si="132"/>
        <v>3.0009999999916378E-2</v>
      </c>
      <c r="BA624" s="136">
        <f t="shared" si="133"/>
        <v>0.51060068288702898</v>
      </c>
      <c r="BB624" s="136">
        <f t="shared" si="134"/>
        <v>0.5106077491845542</v>
      </c>
      <c r="BC624" s="136" t="e">
        <f t="shared" si="135"/>
        <v>#N/A</v>
      </c>
      <c r="BD624" s="136" t="e">
        <f t="shared" si="140"/>
        <v>#N/A</v>
      </c>
      <c r="BE624" s="136" t="e">
        <f t="shared" si="136"/>
        <v>#N/A</v>
      </c>
      <c r="BF624" s="136" t="e">
        <f t="shared" si="137"/>
        <v>#N/A</v>
      </c>
      <c r="BG624" s="136" t="e">
        <f t="shared" si="138"/>
        <v>#N/A</v>
      </c>
    </row>
    <row r="625" spans="47:59" ht="11.25" customHeight="1">
      <c r="AU625" s="136">
        <f t="shared" si="128"/>
        <v>0.51595343685279738</v>
      </c>
      <c r="AV625" s="136">
        <f t="shared" si="139"/>
        <v>3.999999999991638E-2</v>
      </c>
      <c r="AW625" s="136">
        <f t="shared" si="129"/>
        <v>0.39862325420460631</v>
      </c>
      <c r="AX625" s="136" t="e">
        <f t="shared" si="130"/>
        <v>#N/A</v>
      </c>
      <c r="AY625" s="136">
        <f t="shared" si="131"/>
        <v>3.9989999999916377E-2</v>
      </c>
      <c r="AZ625" s="136">
        <f t="shared" si="132"/>
        <v>4.0009999999916383E-2</v>
      </c>
      <c r="BA625" s="136">
        <f t="shared" si="133"/>
        <v>0.51413295086349597</v>
      </c>
      <c r="BB625" s="136">
        <f t="shared" si="134"/>
        <v>0.51414001345450278</v>
      </c>
      <c r="BC625" s="136" t="e">
        <f t="shared" si="135"/>
        <v>#N/A</v>
      </c>
      <c r="BD625" s="136" t="e">
        <f t="shared" si="140"/>
        <v>#N/A</v>
      </c>
      <c r="BE625" s="136" t="e">
        <f t="shared" si="136"/>
        <v>#N/A</v>
      </c>
      <c r="BF625" s="136" t="e">
        <f t="shared" si="137"/>
        <v>#N/A</v>
      </c>
      <c r="BG625" s="136" t="e">
        <f t="shared" si="138"/>
        <v>#N/A</v>
      </c>
    </row>
    <row r="626" spans="47:59" ht="11.25" customHeight="1">
      <c r="AU626" s="136">
        <f t="shared" si="128"/>
        <v>0.51993880583833918</v>
      </c>
      <c r="AV626" s="136">
        <f t="shared" si="139"/>
        <v>4.9999999999916382E-2</v>
      </c>
      <c r="AW626" s="136">
        <f t="shared" si="129"/>
        <v>0.39844391409476565</v>
      </c>
      <c r="AX626" s="136" t="e">
        <f t="shared" si="130"/>
        <v>#N/A</v>
      </c>
      <c r="AY626" s="136">
        <f t="shared" si="131"/>
        <v>4.9989999999916379E-2</v>
      </c>
      <c r="AZ626" s="136">
        <f t="shared" si="132"/>
        <v>5.0009999999916385E-2</v>
      </c>
      <c r="BA626" s="136">
        <f t="shared" si="133"/>
        <v>0.51766310241541125</v>
      </c>
      <c r="BB626" s="136">
        <f t="shared" si="134"/>
        <v>0.51767016024565549</v>
      </c>
      <c r="BC626" s="136" t="e">
        <f t="shared" si="135"/>
        <v>#N/A</v>
      </c>
      <c r="BD626" s="136" t="e">
        <f t="shared" si="140"/>
        <v>#N/A</v>
      </c>
      <c r="BE626" s="136" t="e">
        <f t="shared" si="136"/>
        <v>#N/A</v>
      </c>
      <c r="BF626" s="136" t="e">
        <f t="shared" si="137"/>
        <v>#N/A</v>
      </c>
      <c r="BG626" s="136" t="e">
        <f t="shared" si="138"/>
        <v>#N/A</v>
      </c>
    </row>
    <row r="627" spans="47:59" ht="11.25" customHeight="1">
      <c r="AU627" s="136">
        <f t="shared" si="128"/>
        <v>0.52392218265407353</v>
      </c>
      <c r="AV627" s="136">
        <f t="shared" si="139"/>
        <v>5.9999999999916384E-2</v>
      </c>
      <c r="AW627" s="136">
        <f t="shared" si="129"/>
        <v>0.39822483019560889</v>
      </c>
      <c r="AX627" s="136" t="e">
        <f t="shared" si="130"/>
        <v>#N/A</v>
      </c>
      <c r="AY627" s="136">
        <f t="shared" si="131"/>
        <v>5.9989999999916381E-2</v>
      </c>
      <c r="AZ627" s="136">
        <f t="shared" si="132"/>
        <v>6.0009999999916387E-2</v>
      </c>
      <c r="BA627" s="136">
        <f t="shared" si="133"/>
        <v>0.5211906112750696</v>
      </c>
      <c r="BB627" s="136">
        <f t="shared" si="134"/>
        <v>0.52119766329386485</v>
      </c>
      <c r="BC627" s="136" t="e">
        <f t="shared" si="135"/>
        <v>#N/A</v>
      </c>
      <c r="BD627" s="136" t="e">
        <f t="shared" si="140"/>
        <v>#N/A</v>
      </c>
      <c r="BE627" s="136" t="e">
        <f t="shared" si="136"/>
        <v>#N/A</v>
      </c>
      <c r="BF627" s="136" t="e">
        <f t="shared" si="137"/>
        <v>#N/A</v>
      </c>
      <c r="BG627" s="136" t="e">
        <f t="shared" si="138"/>
        <v>#N/A</v>
      </c>
    </row>
    <row r="628" spans="47:59" ht="11.25" customHeight="1">
      <c r="AU628" s="136">
        <f t="shared" si="128"/>
        <v>0.52790317018048782</v>
      </c>
      <c r="AV628" s="136">
        <f t="shared" si="139"/>
        <v>6.9999999999916379E-2</v>
      </c>
      <c r="AW628" s="136">
        <f t="shared" si="129"/>
        <v>0.39796606816275332</v>
      </c>
      <c r="AX628" s="136" t="e">
        <f t="shared" si="130"/>
        <v>#N/A</v>
      </c>
      <c r="AY628" s="136">
        <f t="shared" si="131"/>
        <v>6.9989999999916383E-2</v>
      </c>
      <c r="AZ628" s="136">
        <f t="shared" si="132"/>
        <v>7.0009999999916375E-2</v>
      </c>
      <c r="BA628" s="136">
        <f t="shared" si="133"/>
        <v>0.5247149531481059</v>
      </c>
      <c r="BB628" s="136">
        <f t="shared" si="134"/>
        <v>0.5247219983090986</v>
      </c>
      <c r="BC628" s="136" t="e">
        <f t="shared" si="135"/>
        <v>#N/A</v>
      </c>
      <c r="BD628" s="136" t="e">
        <f t="shared" si="140"/>
        <v>#N/A</v>
      </c>
      <c r="BE628" s="136" t="e">
        <f t="shared" si="136"/>
        <v>#N/A</v>
      </c>
      <c r="BF628" s="136" t="e">
        <f t="shared" si="137"/>
        <v>#N/A</v>
      </c>
      <c r="BG628" s="136" t="e">
        <f t="shared" si="138"/>
        <v>#N/A</v>
      </c>
    </row>
    <row r="629" spans="47:59" ht="11.25" customHeight="1">
      <c r="AU629" s="136">
        <f t="shared" si="128"/>
        <v>0.53188137201395413</v>
      </c>
      <c r="AV629" s="136">
        <f t="shared" si="139"/>
        <v>7.9999999999916374E-2</v>
      </c>
      <c r="AW629" s="136">
        <f t="shared" si="129"/>
        <v>0.39766770551161151</v>
      </c>
      <c r="AX629" s="136" t="e">
        <f t="shared" si="130"/>
        <v>#N/A</v>
      </c>
      <c r="AY629" s="136">
        <f t="shared" si="131"/>
        <v>7.9989999999916378E-2</v>
      </c>
      <c r="AZ629" s="136">
        <f t="shared" si="132"/>
        <v>8.000999999991637E-2</v>
      </c>
      <c r="BA629" s="136">
        <f t="shared" si="133"/>
        <v>0.52823560610065323</v>
      </c>
      <c r="BB629" s="136">
        <f t="shared" si="134"/>
        <v>0.52824264336259774</v>
      </c>
      <c r="BC629" s="136" t="e">
        <f t="shared" si="135"/>
        <v>#N/A</v>
      </c>
      <c r="BD629" s="136" t="e">
        <f t="shared" si="140"/>
        <v>#N/A</v>
      </c>
      <c r="BE629" s="136" t="e">
        <f t="shared" si="136"/>
        <v>#N/A</v>
      </c>
      <c r="BF629" s="136" t="e">
        <f t="shared" si="137"/>
        <v>#N/A</v>
      </c>
      <c r="BG629" s="136" t="e">
        <f t="shared" si="138"/>
        <v>#N/A</v>
      </c>
    </row>
    <row r="630" spans="47:59" ht="11.25" customHeight="1">
      <c r="AU630" s="136">
        <f t="shared" si="128"/>
        <v>0.53585639258513884</v>
      </c>
      <c r="AV630" s="136">
        <f t="shared" si="139"/>
        <v>8.9999999999916369E-2</v>
      </c>
      <c r="AW630" s="136">
        <f t="shared" si="129"/>
        <v>0.39732983157869128</v>
      </c>
      <c r="AX630" s="136" t="e">
        <f t="shared" si="130"/>
        <v>#N/A</v>
      </c>
      <c r="AY630" s="136">
        <f t="shared" si="131"/>
        <v>8.9989999999916373E-2</v>
      </c>
      <c r="AZ630" s="136">
        <f t="shared" si="132"/>
        <v>9.0009999999916365E-2</v>
      </c>
      <c r="BA630" s="136">
        <f t="shared" si="133"/>
        <v>0.53175205094241618</v>
      </c>
      <c r="BB630" s="136">
        <f t="shared" si="134"/>
        <v>0.5317590792699356</v>
      </c>
      <c r="BC630" s="136" t="e">
        <f t="shared" si="135"/>
        <v>#N/A</v>
      </c>
      <c r="BD630" s="136" t="e">
        <f t="shared" si="140"/>
        <v>#N/A</v>
      </c>
      <c r="BE630" s="136" t="e">
        <f t="shared" si="136"/>
        <v>#N/A</v>
      </c>
      <c r="BF630" s="136" t="e">
        <f t="shared" si="137"/>
        <v>#N/A</v>
      </c>
      <c r="BG630" s="136" t="e">
        <f t="shared" si="138"/>
        <v>#N/A</v>
      </c>
    </row>
    <row r="631" spans="47:59" ht="11.25" customHeight="1">
      <c r="AU631" s="136">
        <f t="shared" si="128"/>
        <v>0.53982783727699579</v>
      </c>
      <c r="AV631" s="136">
        <f t="shared" si="139"/>
        <v>9.9999999999916364E-2</v>
      </c>
      <c r="AW631" s="136">
        <f t="shared" si="129"/>
        <v>0.39695254747701508</v>
      </c>
      <c r="AX631" s="136" t="e">
        <f t="shared" si="130"/>
        <v>#N/A</v>
      </c>
      <c r="AY631" s="136">
        <f t="shared" si="131"/>
        <v>9.9989999999916368E-2</v>
      </c>
      <c r="AZ631" s="136">
        <f t="shared" si="132"/>
        <v>0.10000999999991636</v>
      </c>
      <c r="BA631" s="136">
        <f t="shared" si="133"/>
        <v>0.53526377160500871</v>
      </c>
      <c r="BB631" s="136">
        <f t="shared" si="134"/>
        <v>0.53527078996934474</v>
      </c>
      <c r="BC631" s="136" t="e">
        <f t="shared" si="135"/>
        <v>#N/A</v>
      </c>
      <c r="BD631" s="136" t="e">
        <f t="shared" si="140"/>
        <v>#N/A</v>
      </c>
      <c r="BE631" s="136" t="e">
        <f t="shared" si="136"/>
        <v>#N/A</v>
      </c>
      <c r="BF631" s="136" t="e">
        <f t="shared" si="137"/>
        <v>#N/A</v>
      </c>
      <c r="BG631" s="136" t="e">
        <f t="shared" si="138"/>
        <v>#N/A</v>
      </c>
    </row>
    <row r="632" spans="47:59" ht="11.25" customHeight="1">
      <c r="AU632" s="136">
        <f t="shared" si="128"/>
        <v>0.54379531254228364</v>
      </c>
      <c r="AV632" s="136">
        <f t="shared" si="139"/>
        <v>0.10999999999991636</v>
      </c>
      <c r="AW632" s="136">
        <f t="shared" si="129"/>
        <v>0.39653596604568941</v>
      </c>
      <c r="AX632" s="136" t="e">
        <f t="shared" si="130"/>
        <v>#N/A</v>
      </c>
      <c r="AY632" s="136">
        <f t="shared" si="131"/>
        <v>0.10998999999991636</v>
      </c>
      <c r="AZ632" s="136">
        <f t="shared" si="132"/>
        <v>0.11000999999991636</v>
      </c>
      <c r="BA632" s="136">
        <f t="shared" si="133"/>
        <v>0.53877025551489821</v>
      </c>
      <c r="BB632" s="136">
        <f t="shared" si="134"/>
        <v>0.53877726289465178</v>
      </c>
      <c r="BC632" s="136" t="e">
        <f t="shared" si="135"/>
        <v>#N/A</v>
      </c>
      <c r="BD632" s="136" t="e">
        <f t="shared" si="140"/>
        <v>#N/A</v>
      </c>
      <c r="BE632" s="136" t="e">
        <f t="shared" si="136"/>
        <v>#N/A</v>
      </c>
      <c r="BF632" s="136" t="e">
        <f t="shared" si="137"/>
        <v>#N/A</v>
      </c>
      <c r="BG632" s="136" t="e">
        <f t="shared" si="138"/>
        <v>#N/A</v>
      </c>
    </row>
    <row r="633" spans="47:59" ht="11.25" customHeight="1">
      <c r="AU633" s="136">
        <f t="shared" si="128"/>
        <v>0.54775842602055069</v>
      </c>
      <c r="AV633" s="136">
        <f t="shared" si="139"/>
        <v>0.11999999999991635</v>
      </c>
      <c r="AW633" s="136">
        <f t="shared" si="129"/>
        <v>0.39608021179365999</v>
      </c>
      <c r="AX633" s="136" t="e">
        <f t="shared" si="130"/>
        <v>#N/A</v>
      </c>
      <c r="AY633" s="136">
        <f t="shared" si="131"/>
        <v>0.11998999999991636</v>
      </c>
      <c r="AZ633" s="136">
        <f t="shared" si="132"/>
        <v>0.12000999999991635</v>
      </c>
      <c r="BA633" s="136">
        <f t="shared" si="133"/>
        <v>0.54227099396035972</v>
      </c>
      <c r="BB633" s="136">
        <f t="shared" si="134"/>
        <v>0.54227798934221894</v>
      </c>
      <c r="BC633" s="136" t="e">
        <f t="shared" si="135"/>
        <v>#N/A</v>
      </c>
      <c r="BD633" s="136" t="e">
        <f t="shared" si="140"/>
        <v>#N/A</v>
      </c>
      <c r="BE633" s="136" t="e">
        <f t="shared" si="136"/>
        <v>#N/A</v>
      </c>
      <c r="BF633" s="136" t="e">
        <f t="shared" si="137"/>
        <v>#N/A</v>
      </c>
      <c r="BG633" s="136" t="e">
        <f t="shared" si="138"/>
        <v>#N/A</v>
      </c>
    </row>
    <row r="634" spans="47:59" ht="11.25" customHeight="1">
      <c r="AU634" s="136">
        <f t="shared" si="128"/>
        <v>0.55171678665452806</v>
      </c>
      <c r="AV634" s="136">
        <f t="shared" si="139"/>
        <v>0.12999999999991635</v>
      </c>
      <c r="AW634" s="136">
        <f t="shared" si="129"/>
        <v>0.39558542083769166</v>
      </c>
      <c r="AX634" s="136" t="e">
        <f t="shared" si="130"/>
        <v>#N/A</v>
      </c>
      <c r="AY634" s="136">
        <f t="shared" si="131"/>
        <v>0.12998999999991634</v>
      </c>
      <c r="AZ634" s="136">
        <f t="shared" si="132"/>
        <v>0.13000999999991636</v>
      </c>
      <c r="BA634" s="136">
        <f t="shared" si="133"/>
        <v>0.54576548245182899</v>
      </c>
      <c r="BB634" s="136">
        <f t="shared" si="134"/>
        <v>0.54577246483128294</v>
      </c>
      <c r="BC634" s="136" t="e">
        <f t="shared" si="135"/>
        <v>#N/A</v>
      </c>
      <c r="BD634" s="136" t="e">
        <f t="shared" si="140"/>
        <v>#N/A</v>
      </c>
      <c r="BE634" s="136" t="e">
        <f t="shared" si="136"/>
        <v>#N/A</v>
      </c>
      <c r="BF634" s="136" t="e">
        <f t="shared" si="137"/>
        <v>#N/A</v>
      </c>
      <c r="BG634" s="136" t="e">
        <f t="shared" si="138"/>
        <v>#N/A</v>
      </c>
    </row>
    <row r="635" spans="47:59" ht="11.25" customHeight="1">
      <c r="AU635" s="136">
        <f t="shared" si="128"/>
        <v>0.55567000480587336</v>
      </c>
      <c r="AV635" s="136">
        <f t="shared" si="139"/>
        <v>0.13999999999991636</v>
      </c>
      <c r="AW635" s="136">
        <f t="shared" si="129"/>
        <v>0.39505174083461586</v>
      </c>
      <c r="AX635" s="136" t="e">
        <f t="shared" si="130"/>
        <v>#N/A</v>
      </c>
      <c r="AY635" s="136">
        <f t="shared" si="131"/>
        <v>0.13998999999991635</v>
      </c>
      <c r="AZ635" s="136">
        <f t="shared" si="132"/>
        <v>0.14000999999991637</v>
      </c>
      <c r="BA635" s="136">
        <f t="shared" si="133"/>
        <v>0.54925322107508046</v>
      </c>
      <c r="BB635" s="136">
        <f t="shared" si="134"/>
        <v>0.54926018945711741</v>
      </c>
      <c r="BC635" s="136" t="e">
        <f t="shared" si="135"/>
        <v>#N/A</v>
      </c>
      <c r="BD635" s="136" t="e">
        <f t="shared" si="140"/>
        <v>#N/A</v>
      </c>
      <c r="BE635" s="136" t="e">
        <f t="shared" si="136"/>
        <v>#N/A</v>
      </c>
      <c r="BF635" s="136" t="e">
        <f t="shared" si="137"/>
        <v>#N/A</v>
      </c>
      <c r="BG635" s="136" t="e">
        <f t="shared" si="138"/>
        <v>#N/A</v>
      </c>
    </row>
    <row r="636" spans="47:59" ht="11.25" customHeight="1">
      <c r="AU636" s="136">
        <f t="shared" si="128"/>
        <v>0.55961769237020953</v>
      </c>
      <c r="AV636" s="136">
        <f t="shared" si="139"/>
        <v>0.14999999999991637</v>
      </c>
      <c r="AW636" s="136">
        <f t="shared" si="129"/>
        <v>0.39447933090789378</v>
      </c>
      <c r="AX636" s="136" t="e">
        <f t="shared" si="130"/>
        <v>#N/A</v>
      </c>
      <c r="AY636" s="136">
        <f t="shared" si="131"/>
        <v>0.14998999999991636</v>
      </c>
      <c r="AZ636" s="136">
        <f t="shared" si="132"/>
        <v>0.15000999999991638</v>
      </c>
      <c r="BA636" s="136">
        <f t="shared" si="133"/>
        <v>0.55273371483666245</v>
      </c>
      <c r="BB636" s="136">
        <f t="shared" si="134"/>
        <v>0.55274066823645307</v>
      </c>
      <c r="BC636" s="136" t="e">
        <f t="shared" si="135"/>
        <v>#N/A</v>
      </c>
      <c r="BD636" s="136" t="e">
        <f t="shared" si="140"/>
        <v>#N/A</v>
      </c>
      <c r="BE636" s="136" t="e">
        <f t="shared" si="136"/>
        <v>#N/A</v>
      </c>
      <c r="BF636" s="136" t="e">
        <f t="shared" si="137"/>
        <v>#N/A</v>
      </c>
      <c r="BG636" s="136" t="e">
        <f t="shared" si="138"/>
        <v>#N/A</v>
      </c>
    </row>
    <row r="637" spans="47:59" ht="11.25" customHeight="1">
      <c r="AU637" s="136">
        <f t="shared" si="128"/>
        <v>0.56355946289139991</v>
      </c>
      <c r="AV637" s="136">
        <f t="shared" si="139"/>
        <v>0.15999999999991638</v>
      </c>
      <c r="AW637" s="136">
        <f t="shared" si="129"/>
        <v>0.39386836156854604</v>
      </c>
      <c r="AX637" s="136" t="e">
        <f t="shared" si="130"/>
        <v>#N/A</v>
      </c>
      <c r="AY637" s="136">
        <f t="shared" si="131"/>
        <v>0.15998999999991637</v>
      </c>
      <c r="AZ637" s="136">
        <f t="shared" si="132"/>
        <v>0.16000999999991639</v>
      </c>
      <c r="BA637" s="136">
        <f t="shared" si="133"/>
        <v>0.55620647400106504</v>
      </c>
      <c r="BB637" s="136">
        <f t="shared" si="134"/>
        <v>0.55621341144462844</v>
      </c>
      <c r="BC637" s="136" t="e">
        <f t="shared" si="135"/>
        <v>#N/A</v>
      </c>
      <c r="BD637" s="136" t="e">
        <f t="shared" si="140"/>
        <v>#N/A</v>
      </c>
      <c r="BE637" s="136" t="e">
        <f t="shared" si="136"/>
        <v>#N/A</v>
      </c>
      <c r="BF637" s="136" t="e">
        <f t="shared" si="137"/>
        <v>#N/A</v>
      </c>
      <c r="BG637" s="136" t="e">
        <f t="shared" si="138"/>
        <v>#N/A</v>
      </c>
    </row>
    <row r="638" spans="47:59" ht="11.25" customHeight="1">
      <c r="AU638" s="136">
        <f t="shared" si="128"/>
        <v>0.56749493167500553</v>
      </c>
      <c r="AV638" s="136">
        <f t="shared" si="139"/>
        <v>0.16999999999991638</v>
      </c>
      <c r="AW638" s="136">
        <f t="shared" si="129"/>
        <v>0.39321901463050274</v>
      </c>
      <c r="AX638" s="136" t="e">
        <f t="shared" si="130"/>
        <v>#N/A</v>
      </c>
      <c r="AY638" s="136">
        <f t="shared" si="131"/>
        <v>0.16998999999991637</v>
      </c>
      <c r="AZ638" s="136">
        <f t="shared" si="132"/>
        <v>0.17000999999991639</v>
      </c>
      <c r="BA638" s="136">
        <f t="shared" si="133"/>
        <v>0.55967101441910727</v>
      </c>
      <c r="BB638" s="136">
        <f t="shared" si="134"/>
        <v>0.55967793494395657</v>
      </c>
      <c r="BC638" s="136" t="e">
        <f t="shared" si="135"/>
        <v>#N/A</v>
      </c>
      <c r="BD638" s="136" t="e">
        <f t="shared" si="140"/>
        <v>#N/A</v>
      </c>
      <c r="BE638" s="136" t="e">
        <f t="shared" si="136"/>
        <v>#N/A</v>
      </c>
      <c r="BF638" s="136" t="e">
        <f t="shared" si="137"/>
        <v>#N/A</v>
      </c>
      <c r="BG638" s="136" t="e">
        <f t="shared" si="138"/>
        <v>#N/A</v>
      </c>
    </row>
    <row r="639" spans="47:59" ht="11.25" customHeight="1">
      <c r="AU639" s="136">
        <f t="shared" si="128"/>
        <v>0.57142371590086793</v>
      </c>
      <c r="AV639" s="136">
        <f t="shared" si="139"/>
        <v>0.17999999999991639</v>
      </c>
      <c r="AW639" s="136">
        <f t="shared" si="129"/>
        <v>0.39253148312043479</v>
      </c>
      <c r="AX639" s="136" t="e">
        <f t="shared" si="130"/>
        <v>#N/A</v>
      </c>
      <c r="AY639" s="136">
        <f t="shared" si="131"/>
        <v>0.17998999999991638</v>
      </c>
      <c r="AZ639" s="136">
        <f t="shared" si="132"/>
        <v>0.1800099999999164</v>
      </c>
      <c r="BA639" s="136">
        <f t="shared" si="133"/>
        <v>0.56312685784705074</v>
      </c>
      <c r="BB639" s="136">
        <f t="shared" si="134"/>
        <v>0.56313376050282493</v>
      </c>
      <c r="BC639" s="136" t="e">
        <f t="shared" si="135"/>
        <v>#N/A</v>
      </c>
      <c r="BD639" s="136" t="e">
        <f t="shared" si="140"/>
        <v>#N/A</v>
      </c>
      <c r="BE639" s="136" t="e">
        <f t="shared" si="136"/>
        <v>#N/A</v>
      </c>
      <c r="BF639" s="136" t="e">
        <f t="shared" si="137"/>
        <v>#N/A</v>
      </c>
      <c r="BG639" s="136" t="e">
        <f t="shared" si="138"/>
        <v>#N/A</v>
      </c>
    </row>
    <row r="640" spans="47:59" ht="11.25" customHeight="1">
      <c r="AU640" s="136">
        <f t="shared" si="128"/>
        <v>0.57534543473476263</v>
      </c>
      <c r="AV640" s="136">
        <f t="shared" si="139"/>
        <v>0.1899999999999164</v>
      </c>
      <c r="AW640" s="136">
        <f t="shared" si="129"/>
        <v>0.39180597118212723</v>
      </c>
      <c r="AX640" s="136" t="e">
        <f t="shared" si="130"/>
        <v>#N/A</v>
      </c>
      <c r="AY640" s="136">
        <f t="shared" si="131"/>
        <v>0.18998999999991639</v>
      </c>
      <c r="AZ640" s="136">
        <f t="shared" si="132"/>
        <v>0.19000999999991641</v>
      </c>
      <c r="BA640" s="136">
        <f t="shared" si="133"/>
        <v>0.56657353225599749</v>
      </c>
      <c r="BB640" s="136">
        <f t="shared" si="134"/>
        <v>0.56658041610506737</v>
      </c>
      <c r="BC640" s="136" t="e">
        <f t="shared" si="135"/>
        <v>#N/A</v>
      </c>
      <c r="BD640" s="136" t="e">
        <f t="shared" si="140"/>
        <v>#N/A</v>
      </c>
      <c r="BE640" s="136" t="e">
        <f t="shared" si="136"/>
        <v>#N/A</v>
      </c>
      <c r="BF640" s="136" t="e">
        <f t="shared" si="137"/>
        <v>#N/A</v>
      </c>
      <c r="BG640" s="136" t="e">
        <f t="shared" si="138"/>
        <v>#N/A</v>
      </c>
    </row>
    <row r="641" spans="47:59" ht="11.25" customHeight="1">
      <c r="AU641" s="136">
        <f t="shared" si="128"/>
        <v>0.57925970943907035</v>
      </c>
      <c r="AV641" s="136">
        <f t="shared" si="139"/>
        <v>0.19999999999991641</v>
      </c>
      <c r="AW641" s="136">
        <f t="shared" si="129"/>
        <v>0.39104269397546237</v>
      </c>
      <c r="AX641" s="136" t="e">
        <f t="shared" si="130"/>
        <v>#N/A</v>
      </c>
      <c r="AY641" s="136">
        <f t="shared" si="131"/>
        <v>0.1999899999999164</v>
      </c>
      <c r="AZ641" s="136">
        <f t="shared" si="132"/>
        <v>0.20000999999991642</v>
      </c>
      <c r="BA641" s="136">
        <f t="shared" si="133"/>
        <v>0.57001057213113171</v>
      </c>
      <c r="BB641" s="136">
        <f t="shared" si="134"/>
        <v>0.57001743624918977</v>
      </c>
      <c r="BC641" s="136" t="e">
        <f t="shared" si="135"/>
        <v>#N/A</v>
      </c>
      <c r="BD641" s="136" t="e">
        <f t="shared" si="140"/>
        <v>#N/A</v>
      </c>
      <c r="BE641" s="136" t="e">
        <f t="shared" si="136"/>
        <v>#N/A</v>
      </c>
      <c r="BF641" s="136" t="e">
        <f t="shared" si="137"/>
        <v>#N/A</v>
      </c>
      <c r="BG641" s="136" t="e">
        <f t="shared" si="138"/>
        <v>#N/A</v>
      </c>
    </row>
    <row r="642" spans="47:59" ht="11.25" customHeight="1">
      <c r="AU642" s="136">
        <f t="shared" si="128"/>
        <v>0.58316616348240968</v>
      </c>
      <c r="AV642" s="136">
        <f t="shared" si="139"/>
        <v>0.20999999999991642</v>
      </c>
      <c r="AW642" s="136">
        <f t="shared" si="129"/>
        <v>0.39024187757008105</v>
      </c>
      <c r="AX642" s="136" t="e">
        <f t="shared" si="130"/>
        <v>#N/A</v>
      </c>
      <c r="AY642" s="136">
        <f t="shared" si="131"/>
        <v>0.20998999999991641</v>
      </c>
      <c r="AZ642" s="136">
        <f t="shared" si="132"/>
        <v>0.21000999999991643</v>
      </c>
      <c r="BA642" s="136">
        <f t="shared" si="133"/>
        <v>0.57343751876041016</v>
      </c>
      <c r="BB642" s="136">
        <f t="shared" si="134"/>
        <v>0.57344436223703654</v>
      </c>
      <c r="BC642" s="136" t="e">
        <f t="shared" si="135"/>
        <v>#N/A</v>
      </c>
      <c r="BD642" s="136" t="e">
        <f t="shared" si="140"/>
        <v>#N/A</v>
      </c>
      <c r="BE642" s="136" t="e">
        <f t="shared" si="136"/>
        <v>#N/A</v>
      </c>
      <c r="BF642" s="136" t="e">
        <f t="shared" si="137"/>
        <v>#N/A</v>
      </c>
      <c r="BG642" s="136" t="e">
        <f t="shared" si="138"/>
        <v>#N/A</v>
      </c>
    </row>
    <row r="643" spans="47:59" ht="11.25" customHeight="1">
      <c r="AU643" s="136">
        <f t="shared" si="128"/>
        <v>0.58706442264818204</v>
      </c>
      <c r="AV643" s="136">
        <f t="shared" si="139"/>
        <v>0.21999999999991643</v>
      </c>
      <c r="AW643" s="136">
        <f t="shared" si="129"/>
        <v>0.38940375883379758</v>
      </c>
      <c r="AX643" s="136" t="e">
        <f t="shared" si="130"/>
        <v>#N/A</v>
      </c>
      <c r="AY643" s="136">
        <f t="shared" si="131"/>
        <v>0.21998999999991642</v>
      </c>
      <c r="AZ643" s="136">
        <f t="shared" si="132"/>
        <v>0.22000999999991644</v>
      </c>
      <c r="BA643" s="136">
        <f t="shared" si="133"/>
        <v>0.57685392051233197</v>
      </c>
      <c r="BB643" s="136">
        <f t="shared" si="134"/>
        <v>0.57686074245153807</v>
      </c>
      <c r="BC643" s="136" t="e">
        <f t="shared" si="135"/>
        <v>#N/A</v>
      </c>
      <c r="BD643" s="136" t="e">
        <f t="shared" si="140"/>
        <v>#N/A</v>
      </c>
      <c r="BE643" s="136" t="e">
        <f t="shared" si="136"/>
        <v>#N/A</v>
      </c>
      <c r="BF643" s="136" t="e">
        <f t="shared" si="137"/>
        <v>#N/A</v>
      </c>
      <c r="BG643" s="136" t="e">
        <f t="shared" si="138"/>
        <v>#N/A</v>
      </c>
    </row>
    <row r="644" spans="47:59" ht="11.25" customHeight="1">
      <c r="AU644" s="136">
        <f t="shared" si="128"/>
        <v>0.59095411514197338</v>
      </c>
      <c r="AV644" s="136">
        <f t="shared" si="139"/>
        <v>0.22999999999991644</v>
      </c>
      <c r="AW644" s="136">
        <f t="shared" si="129"/>
        <v>0.38852858531584333</v>
      </c>
      <c r="AX644" s="136" t="e">
        <f t="shared" si="130"/>
        <v>#N/A</v>
      </c>
      <c r="AY644" s="136">
        <f t="shared" si="131"/>
        <v>0.22998999999991643</v>
      </c>
      <c r="AZ644" s="136">
        <f t="shared" si="132"/>
        <v>0.23000999999991645</v>
      </c>
      <c r="BA644" s="136">
        <f t="shared" si="133"/>
        <v>0.58025933310244671</v>
      </c>
      <c r="BB644" s="136">
        <f t="shared" si="134"/>
        <v>0.58026613262319815</v>
      </c>
      <c r="BC644" s="136" t="e">
        <f t="shared" si="135"/>
        <v>#N/A</v>
      </c>
      <c r="BD644" s="136" t="e">
        <f t="shared" si="140"/>
        <v>#N/A</v>
      </c>
      <c r="BE644" s="136" t="e">
        <f t="shared" si="136"/>
        <v>#N/A</v>
      </c>
      <c r="BF644" s="136" t="e">
        <f t="shared" si="137"/>
        <v>#N/A</v>
      </c>
      <c r="BG644" s="136" t="e">
        <f t="shared" si="138"/>
        <v>#N/A</v>
      </c>
    </row>
    <row r="645" spans="47:59" ht="11.25" customHeight="1">
      <c r="AU645" s="136">
        <f t="shared" si="128"/>
        <v>0.5948348716977635</v>
      </c>
      <c r="AV645" s="136">
        <f t="shared" si="139"/>
        <v>0.23999999999991645</v>
      </c>
      <c r="AW645" s="136">
        <f t="shared" si="129"/>
        <v>0.38761661512502188</v>
      </c>
      <c r="AX645" s="136" t="e">
        <f t="shared" si="130"/>
        <v>#N/A</v>
      </c>
      <c r="AY645" s="136">
        <f t="shared" si="131"/>
        <v>0.23998999999991644</v>
      </c>
      <c r="AZ645" s="136">
        <f t="shared" si="132"/>
        <v>0.24000999999991646</v>
      </c>
      <c r="BA645" s="136">
        <f t="shared" si="133"/>
        <v>0.58365331984829605</v>
      </c>
      <c r="BB645" s="136">
        <f t="shared" si="134"/>
        <v>0.58366009608500979</v>
      </c>
      <c r="BC645" s="136" t="e">
        <f t="shared" si="135"/>
        <v>#N/A</v>
      </c>
      <c r="BD645" s="136" t="e">
        <f t="shared" si="140"/>
        <v>#N/A</v>
      </c>
      <c r="BE645" s="136" t="e">
        <f t="shared" si="136"/>
        <v>#N/A</v>
      </c>
      <c r="BF645" s="136" t="e">
        <f t="shared" si="137"/>
        <v>#N/A</v>
      </c>
      <c r="BG645" s="136" t="e">
        <f t="shared" si="138"/>
        <v>#N/A</v>
      </c>
    </row>
    <row r="646" spans="47:59" ht="11.25" customHeight="1">
      <c r="AU646" s="136">
        <f t="shared" si="128"/>
        <v>0.59870632568289139</v>
      </c>
      <c r="AV646" s="136">
        <f t="shared" si="139"/>
        <v>0.24999999999991646</v>
      </c>
      <c r="AW646" s="136">
        <f t="shared" si="129"/>
        <v>0.38666811680285723</v>
      </c>
      <c r="AX646" s="136" t="e">
        <f t="shared" si="130"/>
        <v>#N/A</v>
      </c>
      <c r="AY646" s="136">
        <f t="shared" si="131"/>
        <v>0.24998999999991645</v>
      </c>
      <c r="AZ646" s="136">
        <f t="shared" si="132"/>
        <v>0.25000999999991647</v>
      </c>
      <c r="BA646" s="136">
        <f t="shared" si="133"/>
        <v>0.5870354519125105</v>
      </c>
      <c r="BB646" s="136">
        <f t="shared" si="134"/>
        <v>0.58704220401552876</v>
      </c>
      <c r="BC646" s="136" t="e">
        <f t="shared" si="135"/>
        <v>#N/A</v>
      </c>
      <c r="BD646" s="136" t="e">
        <f t="shared" si="140"/>
        <v>#N/A</v>
      </c>
      <c r="BE646" s="136" t="e">
        <f t="shared" si="136"/>
        <v>#N/A</v>
      </c>
      <c r="BF646" s="136" t="e">
        <f t="shared" si="137"/>
        <v>#N/A</v>
      </c>
      <c r="BG646" s="136" t="e">
        <f t="shared" si="138"/>
        <v>#N/A</v>
      </c>
    </row>
    <row r="647" spans="47:59" ht="11.25" customHeight="1">
      <c r="AU647" s="136">
        <f t="shared" si="128"/>
        <v>0.60256811320172832</v>
      </c>
      <c r="AV647" s="136">
        <f t="shared" si="139"/>
        <v>0.25999999999991646</v>
      </c>
      <c r="AW647" s="136">
        <f t="shared" si="129"/>
        <v>0.38568336919182444</v>
      </c>
      <c r="AX647" s="136" t="e">
        <f t="shared" si="130"/>
        <v>#N/A</v>
      </c>
      <c r="AY647" s="136">
        <f t="shared" si="131"/>
        <v>0.25998999999991645</v>
      </c>
      <c r="AZ647" s="136">
        <f t="shared" si="132"/>
        <v>0.26000999999991647</v>
      </c>
      <c r="BA647" s="136">
        <f t="shared" si="133"/>
        <v>0.59040530853381834</v>
      </c>
      <c r="BB647" s="136">
        <f t="shared" si="134"/>
        <v>0.59041203566985911</v>
      </c>
      <c r="BC647" s="136" t="e">
        <f t="shared" si="135"/>
        <v>#N/A</v>
      </c>
      <c r="BD647" s="136" t="e">
        <f t="shared" si="140"/>
        <v>#N/A</v>
      </c>
      <c r="BE647" s="136" t="e">
        <f t="shared" si="136"/>
        <v>#N/A</v>
      </c>
      <c r="BF647" s="136" t="e">
        <f t="shared" si="137"/>
        <v>#N/A</v>
      </c>
      <c r="BG647" s="136" t="e">
        <f t="shared" si="138"/>
        <v>#N/A</v>
      </c>
    </row>
    <row r="648" spans="47:59" ht="11.25" customHeight="1">
      <c r="AU648" s="136">
        <f t="shared" si="128"/>
        <v>0.60641987319800739</v>
      </c>
      <c r="AV648" s="136">
        <f t="shared" si="139"/>
        <v>0.26999999999991647</v>
      </c>
      <c r="AW648" s="136">
        <f t="shared" si="129"/>
        <v>0.38466266129875143</v>
      </c>
      <c r="AX648" s="136" t="e">
        <f t="shared" si="130"/>
        <v>#N/A</v>
      </c>
      <c r="AY648" s="136">
        <f t="shared" si="131"/>
        <v>0.26998999999991646</v>
      </c>
      <c r="AZ648" s="136">
        <f t="shared" si="132"/>
        <v>0.27000999999991648</v>
      </c>
      <c r="BA648" s="136">
        <f t="shared" si="133"/>
        <v>0.59376247724575304</v>
      </c>
      <c r="BB648" s="136">
        <f t="shared" si="134"/>
        <v>0.593769178598335</v>
      </c>
      <c r="BC648" s="136" t="e">
        <f t="shared" si="135"/>
        <v>#N/A</v>
      </c>
      <c r="BD648" s="136" t="e">
        <f t="shared" si="140"/>
        <v>#N/A</v>
      </c>
      <c r="BE648" s="136" t="e">
        <f t="shared" si="136"/>
        <v>#N/A</v>
      </c>
      <c r="BF648" s="136" t="e">
        <f t="shared" si="137"/>
        <v>#N/A</v>
      </c>
      <c r="BG648" s="136" t="e">
        <f t="shared" si="138"/>
        <v>#N/A</v>
      </c>
    </row>
    <row r="649" spans="47:59" ht="11.25" customHeight="1">
      <c r="AU649" s="136">
        <f t="shared" si="128"/>
        <v>0.61026124755576516</v>
      </c>
      <c r="AV649" s="136">
        <f t="shared" si="139"/>
        <v>0.27999999999991648</v>
      </c>
      <c r="AW649" s="136">
        <f t="shared" si="129"/>
        <v>0.38360629215348746</v>
      </c>
      <c r="AX649" s="136" t="e">
        <f t="shared" si="130"/>
        <v>#N/A</v>
      </c>
      <c r="AY649" s="136">
        <f t="shared" si="131"/>
        <v>0.27998999999991647</v>
      </c>
      <c r="AZ649" s="136">
        <f t="shared" si="132"/>
        <v>0.28000999999991649</v>
      </c>
      <c r="BA649" s="136">
        <f t="shared" si="133"/>
        <v>0.59710655408288371</v>
      </c>
      <c r="BB649" s="136">
        <f t="shared" si="134"/>
        <v>0.59711322885272566</v>
      </c>
      <c r="BC649" s="136" t="e">
        <f t="shared" si="135"/>
        <v>#N/A</v>
      </c>
      <c r="BD649" s="136" t="e">
        <f t="shared" si="140"/>
        <v>#N/A</v>
      </c>
      <c r="BE649" s="136" t="e">
        <f t="shared" si="136"/>
        <v>#N/A</v>
      </c>
      <c r="BF649" s="136" t="e">
        <f t="shared" si="137"/>
        <v>#N/A</v>
      </c>
      <c r="BG649" s="136" t="e">
        <f t="shared" si="138"/>
        <v>#N/A</v>
      </c>
    </row>
    <row r="650" spans="47:59" ht="11.25" customHeight="1">
      <c r="AU650" s="136">
        <f t="shared" si="128"/>
        <v>0.61409188119884539</v>
      </c>
      <c r="AV650" s="136">
        <f t="shared" si="139"/>
        <v>0.28999999999991649</v>
      </c>
      <c r="AW650" s="136">
        <f t="shared" si="129"/>
        <v>0.38251457066293326</v>
      </c>
      <c r="AX650" s="136" t="e">
        <f t="shared" si="130"/>
        <v>#N/A</v>
      </c>
      <c r="AY650" s="136">
        <f t="shared" si="131"/>
        <v>0.28998999999991648</v>
      </c>
      <c r="AZ650" s="136">
        <f t="shared" si="132"/>
        <v>0.2900099999999165</v>
      </c>
      <c r="BA650" s="136">
        <f t="shared" si="133"/>
        <v>0.60043714377441459</v>
      </c>
      <c r="BB650" s="136">
        <f t="shared" si="134"/>
        <v>0.60044379117980973</v>
      </c>
      <c r="BC650" s="136" t="e">
        <f t="shared" si="135"/>
        <v>#N/A</v>
      </c>
      <c r="BD650" s="136" t="e">
        <f t="shared" si="140"/>
        <v>#N/A</v>
      </c>
      <c r="BE650" s="136" t="e">
        <f t="shared" si="136"/>
        <v>#N/A</v>
      </c>
      <c r="BF650" s="136" t="e">
        <f t="shared" si="137"/>
        <v>#N/A</v>
      </c>
      <c r="BG650" s="136" t="e">
        <f t="shared" si="138"/>
        <v>#N/A</v>
      </c>
    </row>
    <row r="651" spans="47:59" ht="11.25" customHeight="1">
      <c r="AU651" s="136">
        <f t="shared" si="128"/>
        <v>0.61791142218892081</v>
      </c>
      <c r="AV651" s="136">
        <f t="shared" si="139"/>
        <v>0.2999999999999165</v>
      </c>
      <c r="AW651" s="136">
        <f t="shared" si="129"/>
        <v>0.38138781546053357</v>
      </c>
      <c r="AX651" s="136" t="e">
        <f t="shared" si="130"/>
        <v>#N/A</v>
      </c>
      <c r="AY651" s="136">
        <f t="shared" si="131"/>
        <v>0.29998999999991649</v>
      </c>
      <c r="AZ651" s="136">
        <f t="shared" si="132"/>
        <v>0.30000999999991651</v>
      </c>
      <c r="BA651" s="136">
        <f t="shared" si="133"/>
        <v>0.60375385992504016</v>
      </c>
      <c r="BB651" s="136">
        <f t="shared" si="134"/>
        <v>0.60376047920220577</v>
      </c>
      <c r="BC651" s="136" t="e">
        <f t="shared" si="135"/>
        <v>#N/A</v>
      </c>
      <c r="BD651" s="136" t="e">
        <f t="shared" si="140"/>
        <v>#N/A</v>
      </c>
      <c r="BE651" s="136" t="e">
        <f t="shared" si="136"/>
        <v>#N/A</v>
      </c>
      <c r="BF651" s="136" t="e">
        <f t="shared" si="137"/>
        <v>#N/A</v>
      </c>
      <c r="BG651" s="136" t="e">
        <f t="shared" si="138"/>
        <v>#N/A</v>
      </c>
    </row>
    <row r="652" spans="47:59" ht="11.25" customHeight="1">
      <c r="AU652" s="136">
        <f t="shared" si="128"/>
        <v>0.62171952182198753</v>
      </c>
      <c r="AV652" s="136">
        <f t="shared" si="139"/>
        <v>0.30999999999991651</v>
      </c>
      <c r="AW652" s="136">
        <f t="shared" si="129"/>
        <v>0.38022635475133471</v>
      </c>
      <c r="AX652" s="136" t="e">
        <f t="shared" si="130"/>
        <v>#N/A</v>
      </c>
      <c r="AY652" s="136">
        <f t="shared" si="131"/>
        <v>0.3099899999999165</v>
      </c>
      <c r="AZ652" s="136">
        <f t="shared" si="132"/>
        <v>0.31000999999991652</v>
      </c>
      <c r="BA652" s="136">
        <f t="shared" si="133"/>
        <v>0.60705632518297503</v>
      </c>
      <c r="BB652" s="136">
        <f t="shared" si="134"/>
        <v>0.60706291558637504</v>
      </c>
      <c r="BC652" s="136" t="e">
        <f t="shared" si="135"/>
        <v>#N/A</v>
      </c>
      <c r="BD652" s="136" t="e">
        <f t="shared" si="140"/>
        <v>#N/A</v>
      </c>
      <c r="BE652" s="136" t="e">
        <f t="shared" si="136"/>
        <v>#N/A</v>
      </c>
      <c r="BF652" s="136" t="e">
        <f t="shared" si="137"/>
        <v>#N/A</v>
      </c>
      <c r="BG652" s="136" t="e">
        <f t="shared" si="138"/>
        <v>#N/A</v>
      </c>
    </row>
    <row r="653" spans="47:59" ht="11.25" customHeight="1">
      <c r="AU653" s="136">
        <f t="shared" si="128"/>
        <v>0.62551583472328842</v>
      </c>
      <c r="AV653" s="136">
        <f t="shared" si="139"/>
        <v>0.31999999999991652</v>
      </c>
      <c r="AW653" s="136">
        <f t="shared" si="129"/>
        <v>0.37903052615271177</v>
      </c>
      <c r="AX653" s="136" t="e">
        <f t="shared" si="130"/>
        <v>#N/A</v>
      </c>
      <c r="AY653" s="136">
        <f t="shared" si="131"/>
        <v>0.31998999999991651</v>
      </c>
      <c r="AZ653" s="136">
        <f t="shared" si="132"/>
        <v>0.32000999999991653</v>
      </c>
      <c r="BA653" s="136">
        <f t="shared" si="133"/>
        <v>0.61034417139509622</v>
      </c>
      <c r="BB653" s="136">
        <f t="shared" si="134"/>
        <v>0.61035073219773861</v>
      </c>
      <c r="BC653" s="136" t="e">
        <f t="shared" si="135"/>
        <v>#N/A</v>
      </c>
      <c r="BD653" s="136" t="e">
        <f t="shared" si="140"/>
        <v>#N/A</v>
      </c>
      <c r="BE653" s="136" t="e">
        <f t="shared" si="136"/>
        <v>#N/A</v>
      </c>
      <c r="BF653" s="136" t="e">
        <f t="shared" si="137"/>
        <v>#N/A</v>
      </c>
      <c r="BG653" s="136" t="e">
        <f t="shared" si="138"/>
        <v>#N/A</v>
      </c>
    </row>
    <row r="654" spans="47:59" ht="11.25" customHeight="1">
      <c r="AU654" s="136">
        <f t="shared" si="128"/>
        <v>0.62930001894062193</v>
      </c>
      <c r="AV654" s="136">
        <f t="shared" si="139"/>
        <v>0.32999999999991653</v>
      </c>
      <c r="AW654" s="136">
        <f t="shared" si="129"/>
        <v>0.37780067653087496</v>
      </c>
      <c r="AX654" s="136" t="e">
        <f t="shared" si="130"/>
        <v>#N/A</v>
      </c>
      <c r="AY654" s="136">
        <f t="shared" si="131"/>
        <v>0.32998999999991652</v>
      </c>
      <c r="AZ654" s="136">
        <f t="shared" si="132"/>
        <v>0.33000999999991654</v>
      </c>
      <c r="BA654" s="136">
        <f t="shared" si="133"/>
        <v>0.61361703974918358</v>
      </c>
      <c r="BB654" s="136">
        <f t="shared" si="134"/>
        <v>0.61362357024289216</v>
      </c>
      <c r="BC654" s="136" t="e">
        <f t="shared" si="135"/>
        <v>#N/A</v>
      </c>
      <c r="BD654" s="136" t="e">
        <f t="shared" si="140"/>
        <v>#N/A</v>
      </c>
      <c r="BE654" s="136" t="e">
        <f t="shared" si="136"/>
        <v>#N/A</v>
      </c>
      <c r="BF654" s="136" t="e">
        <f t="shared" si="137"/>
        <v>#N/A</v>
      </c>
      <c r="BG654" s="136" t="e">
        <f t="shared" si="138"/>
        <v>#N/A</v>
      </c>
    </row>
    <row r="655" spans="47:59" ht="11.25" customHeight="1">
      <c r="AU655" s="136">
        <f t="shared" si="128"/>
        <v>0.63307173603599665</v>
      </c>
      <c r="AV655" s="136">
        <f t="shared" si="139"/>
        <v>0.33999999999991654</v>
      </c>
      <c r="AW655" s="136">
        <f t="shared" si="129"/>
        <v>0.37653716183326458</v>
      </c>
      <c r="AX655" s="136" t="e">
        <f t="shared" si="130"/>
        <v>#N/A</v>
      </c>
      <c r="AY655" s="136">
        <f t="shared" si="131"/>
        <v>0.33998999999991653</v>
      </c>
      <c r="AZ655" s="136">
        <f t="shared" si="132"/>
        <v>0.34000999999991655</v>
      </c>
      <c r="BA655" s="136">
        <f t="shared" si="133"/>
        <v>0.61687458090325875</v>
      </c>
      <c r="BB655" s="136">
        <f t="shared" si="134"/>
        <v>0.61688108039891887</v>
      </c>
      <c r="BC655" s="136" t="e">
        <f t="shared" si="135"/>
        <v>#N/A</v>
      </c>
      <c r="BD655" s="136" t="e">
        <f t="shared" si="140"/>
        <v>#N/A</v>
      </c>
      <c r="BE655" s="136" t="e">
        <f t="shared" si="136"/>
        <v>#N/A</v>
      </c>
      <c r="BF655" s="136" t="e">
        <f t="shared" si="137"/>
        <v>#N/A</v>
      </c>
      <c r="BG655" s="136" t="e">
        <f t="shared" si="138"/>
        <v>#N/A</v>
      </c>
    </row>
    <row r="656" spans="47:59" ht="11.25" customHeight="1">
      <c r="AU656" s="136">
        <f t="shared" si="128"/>
        <v>0.63683065117558768</v>
      </c>
      <c r="AV656" s="136">
        <f t="shared" si="139"/>
        <v>0.34999999999991654</v>
      </c>
      <c r="AW656" s="136">
        <f t="shared" si="129"/>
        <v>0.3752403469169488</v>
      </c>
      <c r="AX656" s="136" t="e">
        <f t="shared" si="130"/>
        <v>#N/A</v>
      </c>
      <c r="AY656" s="136">
        <f t="shared" si="131"/>
        <v>0.34998999999991653</v>
      </c>
      <c r="AZ656" s="136">
        <f t="shared" si="132"/>
        <v>0.35000999999991655</v>
      </c>
      <c r="BA656" s="136">
        <f t="shared" si="133"/>
        <v>0.62011645510206126</v>
      </c>
      <c r="BB656" s="136">
        <f t="shared" si="134"/>
        <v>0.62012292292983973</v>
      </c>
      <c r="BC656" s="136" t="e">
        <f t="shared" si="135"/>
        <v>#N/A</v>
      </c>
      <c r="BD656" s="136" t="e">
        <f t="shared" si="140"/>
        <v>#N/A</v>
      </c>
      <c r="BE656" s="136" t="e">
        <f t="shared" si="136"/>
        <v>#N/A</v>
      </c>
      <c r="BF656" s="136" t="e">
        <f t="shared" si="137"/>
        <v>#N/A</v>
      </c>
      <c r="BG656" s="136" t="e">
        <f t="shared" si="138"/>
        <v>#N/A</v>
      </c>
    </row>
    <row r="657" spans="47:59" ht="11.25" customHeight="1">
      <c r="AU657" s="136">
        <f t="shared" si="128"/>
        <v>0.64057643321795998</v>
      </c>
      <c r="AV657" s="136">
        <f t="shared" si="139"/>
        <v>0.35999999999991655</v>
      </c>
      <c r="AW657" s="136">
        <f t="shared" si="129"/>
        <v>0.37391060537313958</v>
      </c>
      <c r="AX657" s="136" t="e">
        <f t="shared" si="130"/>
        <v>#N/A</v>
      </c>
      <c r="AY657" s="136">
        <f t="shared" si="131"/>
        <v>0.35998999999991654</v>
      </c>
      <c r="AZ657" s="136">
        <f t="shared" si="132"/>
        <v>0.36000999999991656</v>
      </c>
      <c r="BA657" s="136">
        <f t="shared" si="133"/>
        <v>0.62334233228072466</v>
      </c>
      <c r="BB657" s="136">
        <f t="shared" si="134"/>
        <v>0.62334876779026427</v>
      </c>
      <c r="BC657" s="136" t="e">
        <f t="shared" si="135"/>
        <v>#N/A</v>
      </c>
      <c r="BD657" s="136" t="e">
        <f t="shared" si="140"/>
        <v>#N/A</v>
      </c>
      <c r="BE657" s="136" t="e">
        <f t="shared" si="136"/>
        <v>#N/A</v>
      </c>
      <c r="BF657" s="136" t="e">
        <f t="shared" si="137"/>
        <v>#N/A</v>
      </c>
      <c r="BG657" s="136" t="e">
        <f t="shared" si="138"/>
        <v>#N/A</v>
      </c>
    </row>
    <row r="658" spans="47:59" ht="11.25" customHeight="1">
      <c r="AU658" s="136">
        <f t="shared" si="128"/>
        <v>0.64430875480051575</v>
      </c>
      <c r="AV658" s="136">
        <f t="shared" si="139"/>
        <v>0.36999999999991656</v>
      </c>
      <c r="AW658" s="136">
        <f t="shared" si="129"/>
        <v>0.37254831934794486</v>
      </c>
      <c r="AX658" s="136" t="e">
        <f t="shared" si="130"/>
        <v>#N/A</v>
      </c>
      <c r="AY658" s="136">
        <f t="shared" si="131"/>
        <v>0.36998999999991655</v>
      </c>
      <c r="AZ658" s="136">
        <f t="shared" si="132"/>
        <v>0.37000999999991657</v>
      </c>
      <c r="BA658" s="136">
        <f t="shared" si="133"/>
        <v>0.62655189215574392</v>
      </c>
      <c r="BB658" s="136">
        <f t="shared" si="134"/>
        <v>0.62655829471633351</v>
      </c>
      <c r="BC658" s="136" t="e">
        <f t="shared" si="135"/>
        <v>#N/A</v>
      </c>
      <c r="BD658" s="136" t="e">
        <f t="shared" si="140"/>
        <v>#N/A</v>
      </c>
      <c r="BE658" s="136" t="e">
        <f t="shared" si="136"/>
        <v>#N/A</v>
      </c>
      <c r="BF658" s="136" t="e">
        <f t="shared" si="137"/>
        <v>#N/A</v>
      </c>
      <c r="BG658" s="136" t="e">
        <f t="shared" si="138"/>
        <v>#N/A</v>
      </c>
    </row>
    <row r="659" spans="47:59" ht="11.25" customHeight="1">
      <c r="AU659" s="136">
        <f t="shared" si="128"/>
        <v>0.64802729242413182</v>
      </c>
      <c r="AV659" s="136">
        <f t="shared" si="139"/>
        <v>0.37999999999991657</v>
      </c>
      <c r="AW659" s="136">
        <f t="shared" si="129"/>
        <v>0.37115387935947775</v>
      </c>
      <c r="AX659" s="136" t="e">
        <f t="shared" si="130"/>
        <v>#N/A</v>
      </c>
      <c r="AY659" s="136">
        <f t="shared" si="131"/>
        <v>0.37998999999991656</v>
      </c>
      <c r="AZ659" s="136">
        <f t="shared" si="132"/>
        <v>0.38000999999991658</v>
      </c>
      <c r="BA659" s="136">
        <f t="shared" si="133"/>
        <v>0.62974482430335144</v>
      </c>
      <c r="BB659" s="136">
        <f t="shared" si="134"/>
        <v>0.62975119330406859</v>
      </c>
      <c r="BC659" s="136" t="e">
        <f t="shared" si="135"/>
        <v>#N/A</v>
      </c>
      <c r="BD659" s="136" t="e">
        <f t="shared" si="140"/>
        <v>#N/A</v>
      </c>
      <c r="BE659" s="136" t="e">
        <f t="shared" si="136"/>
        <v>#N/A</v>
      </c>
      <c r="BF659" s="136" t="e">
        <f t="shared" si="137"/>
        <v>#N/A</v>
      </c>
      <c r="BG659" s="136" t="e">
        <f t="shared" si="138"/>
        <v>#N/A</v>
      </c>
    </row>
    <row r="660" spans="47:59" ht="11.25" customHeight="1">
      <c r="AU660" s="136">
        <f t="shared" si="128"/>
        <v>0.65173172653595157</v>
      </c>
      <c r="AV660" s="136">
        <f t="shared" si="139"/>
        <v>0.38999999999991658</v>
      </c>
      <c r="AW660" s="136">
        <f t="shared" si="129"/>
        <v>0.3697276841114443</v>
      </c>
      <c r="AX660" s="136" t="e">
        <f t="shared" si="130"/>
        <v>#N/A</v>
      </c>
      <c r="AY660" s="136">
        <f t="shared" si="131"/>
        <v>0.38998999999991657</v>
      </c>
      <c r="AZ660" s="136">
        <f t="shared" si="132"/>
        <v>0.39000999999991659</v>
      </c>
      <c r="BA660" s="136">
        <f t="shared" si="133"/>
        <v>0.63292082822544382</v>
      </c>
      <c r="BB660" s="136">
        <f t="shared" si="134"/>
        <v>0.63292716307527597</v>
      </c>
      <c r="BC660" s="136" t="e">
        <f t="shared" si="135"/>
        <v>#N/A</v>
      </c>
      <c r="BD660" s="136" t="e">
        <f t="shared" si="140"/>
        <v>#N/A</v>
      </c>
      <c r="BE660" s="136" t="e">
        <f t="shared" si="136"/>
        <v>#N/A</v>
      </c>
      <c r="BF660" s="136" t="e">
        <f t="shared" si="137"/>
        <v>#N/A</v>
      </c>
      <c r="BG660" s="136" t="e">
        <f t="shared" si="138"/>
        <v>#N/A</v>
      </c>
    </row>
    <row r="661" spans="47:59" ht="11.25" customHeight="1">
      <c r="AU661" s="136">
        <f t="shared" ref="AU661:AU724" si="141">NORMDIST(AV661,$AV$17,$AV$18,TRUE)</f>
        <v>0.65542174161029343</v>
      </c>
      <c r="AV661" s="136">
        <f t="shared" si="139"/>
        <v>0.39999999999991659</v>
      </c>
      <c r="AW661" s="136">
        <f t="shared" ref="AW661:AW724" si="142">IF($AV$13=1,NORMDIST(AV661,$AV$17,$AV$18,FALSE),NA())</f>
        <v>0.3682701403033356</v>
      </c>
      <c r="AX661" s="136" t="e">
        <f t="shared" ref="AX661:AX724" si="143">IF($AV$13=3,NORMDIST(AV661,$AV$17,$AV$18,FALSE),NA())</f>
        <v>#N/A</v>
      </c>
      <c r="AY661" s="136">
        <f t="shared" ref="AY661:AY724" si="144">AV661-$AY$19</f>
        <v>0.39998999999991658</v>
      </c>
      <c r="AZ661" s="136">
        <f t="shared" ref="AZ661:AZ724" si="145">AV661+$AY$19</f>
        <v>0.4000099999999166</v>
      </c>
      <c r="BA661" s="136">
        <f t="shared" ref="BA661:BA724" si="146">IF(AY661&lt;0,TDIST(-AY661,$AV$14,1),1-TDIST(AY661,$AV$14,1))</f>
        <v>0.63607961340322827</v>
      </c>
      <c r="BB661" s="136">
        <f t="shared" ref="BB661:BB724" si="147">IF(AZ661&lt;0,TDIST(-AZ661,$AV$14,1),1-TDIST(AZ661,$AV$14,1))</f>
        <v>0.63608591353116672</v>
      </c>
      <c r="BC661" s="136" t="e">
        <f t="shared" ref="BC661:BC724" si="148">IF($AV$13&gt;1,(BB661-BA661)/(2*$AY$19),NA())</f>
        <v>#N/A</v>
      </c>
      <c r="BD661" s="136" t="e">
        <f t="shared" si="140"/>
        <v>#N/A</v>
      </c>
      <c r="BE661" s="136" t="e">
        <f t="shared" ref="BE661:BE724" si="149">IF(ISNUMBER(BD661),BD661-$BE$19,NA())</f>
        <v>#N/A</v>
      </c>
      <c r="BF661" s="136" t="e">
        <f t="shared" ref="BF661:BF724" si="150">IF($AV$15=1,IF(AV661&gt;=$BF$19,BC661,NA()),IF($AV$15=2,IF(ABS(AV661)&gt;=$BF$19,BC661,NA()),NA()))</f>
        <v>#N/A</v>
      </c>
      <c r="BG661" s="136" t="e">
        <f t="shared" ref="BG661:BG724" si="151">IF(ISNUMBER(BF661),BF661-$BG$19,NA())</f>
        <v>#N/A</v>
      </c>
    </row>
    <row r="662" spans="47:59" ht="11.25" customHeight="1">
      <c r="AU662" s="136">
        <f t="shared" si="141"/>
        <v>0.65909702622764677</v>
      </c>
      <c r="AV662" s="136">
        <f t="shared" ref="AV662:AV725" si="152">AV661+$AY$10</f>
        <v>0.4099999999999166</v>
      </c>
      <c r="AW662" s="136">
        <f t="shared" si="142"/>
        <v>0.36678166243734861</v>
      </c>
      <c r="AX662" s="136" t="e">
        <f t="shared" si="143"/>
        <v>#N/A</v>
      </c>
      <c r="AY662" s="136">
        <f t="shared" si="144"/>
        <v>0.40998999999991659</v>
      </c>
      <c r="AZ662" s="136">
        <f t="shared" si="145"/>
        <v>0.41000999999991661</v>
      </c>
      <c r="BA662" s="136">
        <f t="shared" si="146"/>
        <v>0.63922089933877502</v>
      </c>
      <c r="BB662" s="136">
        <f t="shared" si="147"/>
        <v>0.63922716419388681</v>
      </c>
      <c r="BC662" s="136" t="e">
        <f t="shared" si="148"/>
        <v>#N/A</v>
      </c>
      <c r="BD662" s="136" t="e">
        <f t="shared" ref="BD662:BD725" si="153">IF($AV$15=1,IF(OR(AND(AV662&gt;=$BD$19,$AS$5&gt;=0),AND(AV662&lt;=$BD$19,$AS$5&lt;0)),AW662,NA()),IF($AV$15=2,IF(ABS(AV662)&gt;=$BD$18,AW662,NA()),NA()))</f>
        <v>#N/A</v>
      </c>
      <c r="BE662" s="136" t="e">
        <f t="shared" si="149"/>
        <v>#N/A</v>
      </c>
      <c r="BF662" s="136" t="e">
        <f t="shared" si="150"/>
        <v>#N/A</v>
      </c>
      <c r="BG662" s="136" t="e">
        <f t="shared" si="151"/>
        <v>#N/A</v>
      </c>
    </row>
    <row r="663" spans="47:59" ht="11.25" customHeight="1">
      <c r="AU663" s="136">
        <f t="shared" si="141"/>
        <v>0.66275727315171995</v>
      </c>
      <c r="AV663" s="136">
        <f t="shared" si="152"/>
        <v>0.41999999999991661</v>
      </c>
      <c r="AW663" s="136">
        <f t="shared" si="142"/>
        <v>0.36526267262216666</v>
      </c>
      <c r="AX663" s="136" t="e">
        <f t="shared" si="143"/>
        <v>#N/A</v>
      </c>
      <c r="AY663" s="136">
        <f t="shared" si="144"/>
        <v>0.4199899999999166</v>
      </c>
      <c r="AZ663" s="136">
        <f t="shared" si="145"/>
        <v>0.42000999999991662</v>
      </c>
      <c r="BA663" s="136">
        <f t="shared" si="146"/>
        <v>0.64234441558469069</v>
      </c>
      <c r="BB663" s="136">
        <f t="shared" si="147"/>
        <v>0.64235064463616576</v>
      </c>
      <c r="BC663" s="136" t="e">
        <f t="shared" si="148"/>
        <v>#N/A</v>
      </c>
      <c r="BD663" s="136" t="e">
        <f t="shared" si="153"/>
        <v>#N/A</v>
      </c>
      <c r="BE663" s="136" t="e">
        <f t="shared" si="149"/>
        <v>#N/A</v>
      </c>
      <c r="BF663" s="136" t="e">
        <f t="shared" si="150"/>
        <v>#N/A</v>
      </c>
      <c r="BG663" s="136" t="e">
        <f t="shared" si="151"/>
        <v>#N/A</v>
      </c>
    </row>
    <row r="664" spans="47:59" ht="11.25" customHeight="1">
      <c r="AU664" s="136">
        <f t="shared" si="141"/>
        <v>0.66640217940451196</v>
      </c>
      <c r="AV664" s="136">
        <f t="shared" si="152"/>
        <v>0.42999999999991662</v>
      </c>
      <c r="AW664" s="136">
        <f t="shared" si="142"/>
        <v>0.36371360037372641</v>
      </c>
      <c r="AX664" s="136" t="e">
        <f t="shared" si="143"/>
        <v>#N/A</v>
      </c>
      <c r="AY664" s="136">
        <f t="shared" si="144"/>
        <v>0.42998999999991661</v>
      </c>
      <c r="AZ664" s="136">
        <f t="shared" si="145"/>
        <v>0.43000999999991663</v>
      </c>
      <c r="BA664" s="136">
        <f t="shared" si="146"/>
        <v>0.64544990176214145</v>
      </c>
      <c r="BB664" s="136">
        <f t="shared" si="147"/>
        <v>0.64545609449931707</v>
      </c>
      <c r="BC664" s="136" t="e">
        <f t="shared" si="148"/>
        <v>#N/A</v>
      </c>
      <c r="BD664" s="136" t="e">
        <f t="shared" si="153"/>
        <v>#N/A</v>
      </c>
      <c r="BE664" s="136" t="e">
        <f t="shared" si="149"/>
        <v>#N/A</v>
      </c>
      <c r="BF664" s="136" t="e">
        <f t="shared" si="150"/>
        <v>#N/A</v>
      </c>
      <c r="BG664" s="136" t="e">
        <f t="shared" si="151"/>
        <v>#N/A</v>
      </c>
    </row>
    <row r="665" spans="47:59" ht="11.25" customHeight="1">
      <c r="AU665" s="136">
        <f t="shared" si="141"/>
        <v>0.67003144633937606</v>
      </c>
      <c r="AV665" s="136">
        <f t="shared" si="152"/>
        <v>0.43999999999991662</v>
      </c>
      <c r="AW665" s="136">
        <f t="shared" si="142"/>
        <v>0.36213488241310549</v>
      </c>
      <c r="AX665" s="136" t="e">
        <f t="shared" si="143"/>
        <v>#N/A</v>
      </c>
      <c r="AY665" s="136">
        <f t="shared" si="144"/>
        <v>0.43998999999991661</v>
      </c>
      <c r="AZ665" s="136">
        <f t="shared" si="145"/>
        <v>0.44000999999991663</v>
      </c>
      <c r="BA665" s="136">
        <f t="shared" si="146"/>
        <v>0.64853710756747962</v>
      </c>
      <c r="BB665" s="136">
        <f t="shared" si="147"/>
        <v>0.64854326349984248</v>
      </c>
      <c r="BC665" s="136" t="e">
        <f t="shared" si="148"/>
        <v>#N/A</v>
      </c>
      <c r="BD665" s="136" t="e">
        <f t="shared" si="153"/>
        <v>#N/A</v>
      </c>
      <c r="BE665" s="136" t="e">
        <f t="shared" si="149"/>
        <v>#N/A</v>
      </c>
      <c r="BF665" s="136" t="e">
        <f t="shared" si="150"/>
        <v>#N/A</v>
      </c>
      <c r="BG665" s="136" t="e">
        <f t="shared" si="151"/>
        <v>#N/A</v>
      </c>
    </row>
    <row r="666" spans="47:59" ht="11.25" customHeight="1">
      <c r="AU666" s="136">
        <f t="shared" si="141"/>
        <v>0.67364477971204995</v>
      </c>
      <c r="AV666" s="136">
        <f t="shared" si="152"/>
        <v>0.44999999999991663</v>
      </c>
      <c r="AW666" s="136">
        <f t="shared" si="142"/>
        <v>0.36052696246166144</v>
      </c>
      <c r="AX666" s="136" t="e">
        <f t="shared" si="143"/>
        <v>#N/A</v>
      </c>
      <c r="AY666" s="136">
        <f t="shared" si="144"/>
        <v>0.44998999999991662</v>
      </c>
      <c r="AZ666" s="136">
        <f t="shared" si="145"/>
        <v>0.45000999999991664</v>
      </c>
      <c r="BA666" s="136">
        <f t="shared" si="146"/>
        <v>0.65160579276774011</v>
      </c>
      <c r="BB666" s="136">
        <f t="shared" si="147"/>
        <v>0.6516119114249066</v>
      </c>
      <c r="BC666" s="136" t="e">
        <f t="shared" si="148"/>
        <v>#N/A</v>
      </c>
      <c r="BD666" s="136" t="e">
        <f t="shared" si="153"/>
        <v>#N/A</v>
      </c>
      <c r="BE666" s="136" t="e">
        <f t="shared" si="149"/>
        <v>#N/A</v>
      </c>
      <c r="BF666" s="136" t="e">
        <f t="shared" si="150"/>
        <v>#N/A</v>
      </c>
      <c r="BG666" s="136" t="e">
        <f t="shared" si="151"/>
        <v>#N/A</v>
      </c>
    </row>
    <row r="667" spans="47:59" ht="11.25" customHeight="1">
      <c r="AU667" s="136">
        <f t="shared" si="141"/>
        <v>0.67724188974962241</v>
      </c>
      <c r="AV667" s="136">
        <f t="shared" si="152"/>
        <v>0.45999999999991664</v>
      </c>
      <c r="AW667" s="136">
        <f t="shared" si="142"/>
        <v>0.35889029103355835</v>
      </c>
      <c r="AX667" s="136" t="e">
        <f t="shared" si="143"/>
        <v>#N/A</v>
      </c>
      <c r="AY667" s="136">
        <f t="shared" si="144"/>
        <v>0.45998999999991663</v>
      </c>
      <c r="AZ667" s="136">
        <f t="shared" si="145"/>
        <v>0.46000999999991665</v>
      </c>
      <c r="BA667" s="136">
        <f t="shared" si="146"/>
        <v>0.65465572718529486</v>
      </c>
      <c r="BB667" s="136">
        <f t="shared" si="147"/>
        <v>0.65466180811696972</v>
      </c>
      <c r="BC667" s="136" t="e">
        <f t="shared" si="148"/>
        <v>#N/A</v>
      </c>
      <c r="BD667" s="136" t="e">
        <f t="shared" si="153"/>
        <v>#N/A</v>
      </c>
      <c r="BE667" s="136" t="e">
        <f t="shared" si="149"/>
        <v>#N/A</v>
      </c>
      <c r="BF667" s="136" t="e">
        <f t="shared" si="150"/>
        <v>#N/A</v>
      </c>
      <c r="BG667" s="136" t="e">
        <f t="shared" si="151"/>
        <v>#N/A</v>
      </c>
    </row>
    <row r="668" spans="47:59" ht="11.25" customHeight="1">
      <c r="AU668" s="136">
        <f t="shared" si="141"/>
        <v>0.68082249121741434</v>
      </c>
      <c r="AV668" s="136">
        <f t="shared" si="152"/>
        <v>0.46999999999991665</v>
      </c>
      <c r="AW668" s="136">
        <f t="shared" si="142"/>
        <v>0.35722532522581474</v>
      </c>
      <c r="AX668" s="136" t="e">
        <f t="shared" si="143"/>
        <v>#N/A</v>
      </c>
      <c r="AY668" s="136">
        <f t="shared" si="144"/>
        <v>0.46998999999991664</v>
      </c>
      <c r="AZ668" s="136">
        <f t="shared" si="145"/>
        <v>0.47000999999991666</v>
      </c>
      <c r="BA668" s="136">
        <f t="shared" si="146"/>
        <v>0.65768669067196361</v>
      </c>
      <c r="BB668" s="136">
        <f t="shared" si="147"/>
        <v>0.65769273344787738</v>
      </c>
      <c r="BC668" s="136" t="e">
        <f t="shared" si="148"/>
        <v>#N/A</v>
      </c>
      <c r="BD668" s="136" t="e">
        <f t="shared" si="153"/>
        <v>#N/A</v>
      </c>
      <c r="BE668" s="136" t="e">
        <f t="shared" si="149"/>
        <v>#N/A</v>
      </c>
      <c r="BF668" s="136" t="e">
        <f t="shared" si="150"/>
        <v>#N/A</v>
      </c>
      <c r="BG668" s="136" t="e">
        <f t="shared" si="151"/>
        <v>#N/A</v>
      </c>
    </row>
    <row r="669" spans="47:59" ht="11.25" customHeight="1">
      <c r="AU669" s="136">
        <f t="shared" si="141"/>
        <v>0.68438630348374774</v>
      </c>
      <c r="AV669" s="136">
        <f t="shared" si="152"/>
        <v>0.47999999999991666</v>
      </c>
      <c r="AW669" s="136">
        <f t="shared" si="142"/>
        <v>0.3555325285060113</v>
      </c>
      <c r="AX669" s="136" t="e">
        <f t="shared" si="143"/>
        <v>#N/A</v>
      </c>
      <c r="AY669" s="136">
        <f t="shared" si="144"/>
        <v>0.47998999999991665</v>
      </c>
      <c r="AZ669" s="136">
        <f t="shared" si="145"/>
        <v>0.48000999999991667</v>
      </c>
      <c r="BA669" s="136">
        <f t="shared" si="146"/>
        <v>0.66069847307289653</v>
      </c>
      <c r="BB669" s="136">
        <f t="shared" si="147"/>
        <v>0.66070447728272375</v>
      </c>
      <c r="BC669" s="136" t="e">
        <f t="shared" si="148"/>
        <v>#N/A</v>
      </c>
      <c r="BD669" s="136" t="e">
        <f t="shared" si="153"/>
        <v>#N/A</v>
      </c>
      <c r="BE669" s="136" t="e">
        <f t="shared" si="149"/>
        <v>#N/A</v>
      </c>
      <c r="BF669" s="136" t="e">
        <f t="shared" si="150"/>
        <v>#N/A</v>
      </c>
      <c r="BG669" s="136" t="e">
        <f t="shared" si="151"/>
        <v>#N/A</v>
      </c>
    </row>
    <row r="670" spans="47:59" ht="11.25" customHeight="1">
      <c r="AU670" s="136">
        <f t="shared" si="141"/>
        <v>0.68793305058257992</v>
      </c>
      <c r="AV670" s="136">
        <f t="shared" si="152"/>
        <v>0.48999999999991667</v>
      </c>
      <c r="AW670" s="136">
        <f t="shared" si="142"/>
        <v>0.35381237049779407</v>
      </c>
      <c r="AX670" s="136" t="e">
        <f t="shared" si="143"/>
        <v>#N/A</v>
      </c>
      <c r="AY670" s="136">
        <f t="shared" si="144"/>
        <v>0.48998999999991666</v>
      </c>
      <c r="AZ670" s="136">
        <f t="shared" si="145"/>
        <v>0.49000999999991668</v>
      </c>
      <c r="BA670" s="136">
        <f t="shared" si="146"/>
        <v>0.66369087418055506</v>
      </c>
      <c r="BB670" s="136">
        <f t="shared" si="147"/>
        <v>0.6636968394338123</v>
      </c>
      <c r="BC670" s="136" t="e">
        <f t="shared" si="148"/>
        <v>#N/A</v>
      </c>
      <c r="BD670" s="136" t="e">
        <f t="shared" si="153"/>
        <v>#N/A</v>
      </c>
      <c r="BE670" s="136" t="e">
        <f t="shared" si="149"/>
        <v>#N/A</v>
      </c>
      <c r="BF670" s="136" t="e">
        <f t="shared" si="150"/>
        <v>#N/A</v>
      </c>
      <c r="BG670" s="136" t="e">
        <f t="shared" si="151"/>
        <v>#N/A</v>
      </c>
    </row>
    <row r="671" spans="47:59" ht="11.25" customHeight="1">
      <c r="AU671" s="136">
        <f t="shared" si="141"/>
        <v>0.6914624612739837</v>
      </c>
      <c r="AV671" s="136">
        <f t="shared" si="152"/>
        <v>0.49999999999991668</v>
      </c>
      <c r="AW671" s="136">
        <f t="shared" si="142"/>
        <v>0.35206532676431412</v>
      </c>
      <c r="AX671" s="136" t="e">
        <f t="shared" si="143"/>
        <v>#N/A</v>
      </c>
      <c r="AY671" s="136">
        <f t="shared" si="144"/>
        <v>0.49998999999991667</v>
      </c>
      <c r="AZ671" s="136">
        <f t="shared" si="145"/>
        <v>0.50000999999991669</v>
      </c>
      <c r="BA671" s="136">
        <f t="shared" si="146"/>
        <v>0.66666370367912986</v>
      </c>
      <c r="BB671" s="136">
        <f t="shared" si="147"/>
        <v>0.66666962960505516</v>
      </c>
      <c r="BC671" s="136" t="e">
        <f t="shared" si="148"/>
        <v>#N/A</v>
      </c>
      <c r="BD671" s="136" t="e">
        <f t="shared" si="153"/>
        <v>#N/A</v>
      </c>
      <c r="BE671" s="136" t="e">
        <f t="shared" si="149"/>
        <v>#N/A</v>
      </c>
      <c r="BF671" s="136" t="e">
        <f t="shared" si="150"/>
        <v>#N/A</v>
      </c>
      <c r="BG671" s="136" t="e">
        <f t="shared" si="151"/>
        <v>#N/A</v>
      </c>
    </row>
    <row r="672" spans="47:59" ht="11.25" customHeight="1">
      <c r="AU672" s="136">
        <f t="shared" si="141"/>
        <v>0.69497426910245141</v>
      </c>
      <c r="AV672" s="136">
        <f t="shared" si="152"/>
        <v>0.50999999999991663</v>
      </c>
      <c r="AW672" s="136">
        <f t="shared" si="142"/>
        <v>0.35029187858974065</v>
      </c>
      <c r="AX672" s="136" t="e">
        <f t="shared" si="143"/>
        <v>#N/A</v>
      </c>
      <c r="AY672" s="136">
        <f t="shared" si="144"/>
        <v>0.50998999999991668</v>
      </c>
      <c r="AZ672" s="136">
        <f t="shared" si="145"/>
        <v>0.51000999999991659</v>
      </c>
      <c r="BA672" s="136">
        <f t="shared" si="146"/>
        <v>0.66961678107974154</v>
      </c>
      <c r="BB672" s="136">
        <f t="shared" si="147"/>
        <v>0.66962266732715592</v>
      </c>
      <c r="BC672" s="136" t="e">
        <f t="shared" si="148"/>
        <v>#N/A</v>
      </c>
      <c r="BD672" s="136" t="e">
        <f t="shared" si="153"/>
        <v>#N/A</v>
      </c>
      <c r="BE672" s="136" t="e">
        <f t="shared" si="149"/>
        <v>#N/A</v>
      </c>
      <c r="BF672" s="136" t="e">
        <f t="shared" si="150"/>
        <v>#N/A</v>
      </c>
      <c r="BG672" s="136" t="e">
        <f t="shared" si="151"/>
        <v>#N/A</v>
      </c>
    </row>
    <row r="673" spans="47:59" ht="11.25" customHeight="1">
      <c r="AU673" s="136">
        <f t="shared" si="141"/>
        <v>0.69846821245300472</v>
      </c>
      <c r="AV673" s="136">
        <f t="shared" si="152"/>
        <v>0.51999999999991664</v>
      </c>
      <c r="AW673" s="136">
        <f t="shared" si="142"/>
        <v>0.34849251275898957</v>
      </c>
      <c r="AX673" s="136" t="e">
        <f t="shared" si="143"/>
        <v>#N/A</v>
      </c>
      <c r="AY673" s="136">
        <f t="shared" si="144"/>
        <v>0.51998999999991669</v>
      </c>
      <c r="AZ673" s="136">
        <f t="shared" si="145"/>
        <v>0.52000999999991659</v>
      </c>
      <c r="BA673" s="136">
        <f t="shared" si="146"/>
        <v>0.67254993564678356</v>
      </c>
      <c r="BB673" s="136">
        <f t="shared" si="147"/>
        <v>0.67255578188393494</v>
      </c>
      <c r="BC673" s="136" t="e">
        <f t="shared" si="148"/>
        <v>#N/A</v>
      </c>
      <c r="BD673" s="136" t="e">
        <f t="shared" si="153"/>
        <v>#N/A</v>
      </c>
      <c r="BE673" s="136" t="e">
        <f t="shared" si="149"/>
        <v>#N/A</v>
      </c>
      <c r="BF673" s="136" t="e">
        <f t="shared" si="150"/>
        <v>#N/A</v>
      </c>
      <c r="BG673" s="136" t="e">
        <f t="shared" si="151"/>
        <v>#N/A</v>
      </c>
    </row>
    <row r="674" spans="47:59" ht="11.25" customHeight="1">
      <c r="AU674" s="136">
        <f t="shared" si="141"/>
        <v>0.70194403460509469</v>
      </c>
      <c r="AV674" s="136">
        <f t="shared" si="152"/>
        <v>0.52999999999991665</v>
      </c>
      <c r="AW674" s="136">
        <f t="shared" si="142"/>
        <v>0.34666772133580692</v>
      </c>
      <c r="AX674" s="136" t="e">
        <f t="shared" si="143"/>
        <v>#N/A</v>
      </c>
      <c r="AY674" s="136">
        <f t="shared" si="144"/>
        <v>0.52998999999991669</v>
      </c>
      <c r="AZ674" s="136">
        <f t="shared" si="145"/>
        <v>0.5300099999999166</v>
      </c>
      <c r="BA674" s="136">
        <f t="shared" si="146"/>
        <v>0.67546300631576695</v>
      </c>
      <c r="BB674" s="136">
        <f t="shared" si="147"/>
        <v>0.67546881223015798</v>
      </c>
      <c r="BC674" s="136" t="e">
        <f t="shared" si="148"/>
        <v>#N/A</v>
      </c>
      <c r="BD674" s="136" t="e">
        <f t="shared" si="153"/>
        <v>#N/A</v>
      </c>
      <c r="BE674" s="136" t="e">
        <f t="shared" si="149"/>
        <v>#N/A</v>
      </c>
      <c r="BF674" s="136" t="e">
        <f t="shared" si="150"/>
        <v>#N/A</v>
      </c>
      <c r="BG674" s="136" t="e">
        <f t="shared" si="151"/>
        <v>#N/A</v>
      </c>
    </row>
    <row r="675" spans="47:59" ht="11.25" customHeight="1">
      <c r="AU675" s="136">
        <f t="shared" si="141"/>
        <v>0.70540148378427314</v>
      </c>
      <c r="AV675" s="136">
        <f t="shared" si="152"/>
        <v>0.53999999999991666</v>
      </c>
      <c r="AW675" s="136">
        <f t="shared" si="142"/>
        <v>0.34481800143934888</v>
      </c>
      <c r="AX675" s="136" t="e">
        <f t="shared" si="143"/>
        <v>#N/A</v>
      </c>
      <c r="AY675" s="136">
        <f t="shared" si="144"/>
        <v>0.5399899999999167</v>
      </c>
      <c r="AZ675" s="136">
        <f t="shared" si="145"/>
        <v>0.54000999999991661</v>
      </c>
      <c r="BA675" s="136">
        <f t="shared" si="146"/>
        <v>0.6783558416030403</v>
      </c>
      <c r="BB675" s="136">
        <f t="shared" si="147"/>
        <v>0.67836160690123914</v>
      </c>
      <c r="BC675" s="136" t="e">
        <f t="shared" si="148"/>
        <v>#N/A</v>
      </c>
      <c r="BD675" s="136" t="e">
        <f t="shared" si="153"/>
        <v>#N/A</v>
      </c>
      <c r="BE675" s="136" t="e">
        <f t="shared" si="149"/>
        <v>#N/A</v>
      </c>
      <c r="BF675" s="136" t="e">
        <f t="shared" si="150"/>
        <v>#N/A</v>
      </c>
      <c r="BG675" s="136" t="e">
        <f t="shared" si="151"/>
        <v>#N/A</v>
      </c>
    </row>
    <row r="676" spans="47:59" ht="11.25" customHeight="1">
      <c r="AU676" s="136">
        <f t="shared" si="141"/>
        <v>0.70884031321162511</v>
      </c>
      <c r="AV676" s="136">
        <f t="shared" si="152"/>
        <v>0.54999999999991667</v>
      </c>
      <c r="AW676" s="136">
        <f t="shared" si="142"/>
        <v>0.34294385501939961</v>
      </c>
      <c r="AX676" s="136" t="e">
        <f t="shared" si="143"/>
        <v>#N/A</v>
      </c>
      <c r="AY676" s="136">
        <f t="shared" si="144"/>
        <v>0.54998999999991671</v>
      </c>
      <c r="AZ676" s="136">
        <f t="shared" si="145"/>
        <v>0.55000999999991662</v>
      </c>
      <c r="BA676" s="136">
        <f t="shared" si="146"/>
        <v>0.68122829950775443</v>
      </c>
      <c r="BB676" s="136">
        <f t="shared" si="147"/>
        <v>0.68123402391519194</v>
      </c>
      <c r="BC676" s="136" t="e">
        <f t="shared" si="148"/>
        <v>#N/A</v>
      </c>
      <c r="BD676" s="136" t="e">
        <f t="shared" si="153"/>
        <v>#N/A</v>
      </c>
      <c r="BE676" s="136" t="e">
        <f t="shared" si="149"/>
        <v>#N/A</v>
      </c>
      <c r="BF676" s="136" t="e">
        <f t="shared" si="150"/>
        <v>#N/A</v>
      </c>
      <c r="BG676" s="136" t="e">
        <f t="shared" si="151"/>
        <v>#N/A</v>
      </c>
    </row>
    <row r="677" spans="47:59" ht="11.25" customHeight="1">
      <c r="AU677" s="136">
        <f t="shared" si="141"/>
        <v>0.71226028115094453</v>
      </c>
      <c r="AV677" s="136">
        <f t="shared" si="152"/>
        <v>0.55999999999991668</v>
      </c>
      <c r="AW677" s="136">
        <f t="shared" si="142"/>
        <v>0.34104578863036844</v>
      </c>
      <c r="AX677" s="136" t="e">
        <f t="shared" si="143"/>
        <v>#N/A</v>
      </c>
      <c r="AY677" s="136">
        <f t="shared" si="144"/>
        <v>0.55998999999991672</v>
      </c>
      <c r="AZ677" s="136">
        <f t="shared" si="145"/>
        <v>0.56000999999991663</v>
      </c>
      <c r="BA677" s="136">
        <f t="shared" si="146"/>
        <v>0.68408024740645312</v>
      </c>
      <c r="BB677" s="136">
        <f t="shared" si="147"/>
        <v>0.6840859306672048</v>
      </c>
      <c r="BC677" s="136" t="e">
        <f t="shared" si="148"/>
        <v>#N/A</v>
      </c>
      <c r="BD677" s="136" t="e">
        <f t="shared" si="153"/>
        <v>#N/A</v>
      </c>
      <c r="BE677" s="136" t="e">
        <f t="shared" si="149"/>
        <v>#N/A</v>
      </c>
      <c r="BF677" s="136" t="e">
        <f t="shared" si="150"/>
        <v>#N/A</v>
      </c>
      <c r="BG677" s="136" t="e">
        <f t="shared" si="151"/>
        <v>#N/A</v>
      </c>
    </row>
    <row r="678" spans="47:59" ht="11.25" customHeight="1">
      <c r="AU678" s="136">
        <f t="shared" si="141"/>
        <v>0.71566115095364746</v>
      </c>
      <c r="AV678" s="136">
        <f t="shared" si="152"/>
        <v>0.56999999999991668</v>
      </c>
      <c r="AW678" s="136">
        <f t="shared" si="142"/>
        <v>0.33912431320420822</v>
      </c>
      <c r="AX678" s="136" t="e">
        <f t="shared" si="143"/>
        <v>#N/A</v>
      </c>
      <c r="AY678" s="136">
        <f t="shared" si="144"/>
        <v>0.56998999999991673</v>
      </c>
      <c r="AZ678" s="136">
        <f t="shared" si="145"/>
        <v>0.57000999999991664</v>
      </c>
      <c r="BA678" s="136">
        <f t="shared" si="146"/>
        <v>0.68691156194066827</v>
      </c>
      <c r="BB678" s="136">
        <f t="shared" si="147"/>
        <v>0.68691720381722177</v>
      </c>
      <c r="BC678" s="136" t="e">
        <f t="shared" si="148"/>
        <v>#N/A</v>
      </c>
      <c r="BD678" s="136" t="e">
        <f t="shared" si="153"/>
        <v>#N/A</v>
      </c>
      <c r="BE678" s="136" t="e">
        <f t="shared" si="149"/>
        <v>#N/A</v>
      </c>
      <c r="BF678" s="136" t="e">
        <f t="shared" si="150"/>
        <v>#N/A</v>
      </c>
      <c r="BG678" s="136" t="e">
        <f t="shared" si="151"/>
        <v>#N/A</v>
      </c>
    </row>
    <row r="679" spans="47:59" ht="11.25" customHeight="1">
      <c r="AU679" s="136">
        <f t="shared" si="141"/>
        <v>0.71904269110140762</v>
      </c>
      <c r="AV679" s="136">
        <f t="shared" si="152"/>
        <v>0.57999999999991669</v>
      </c>
      <c r="AW679" s="136">
        <f t="shared" si="142"/>
        <v>0.3371799438223968</v>
      </c>
      <c r="AX679" s="136" t="e">
        <f t="shared" si="143"/>
        <v>#N/A</v>
      </c>
      <c r="AY679" s="136">
        <f t="shared" si="144"/>
        <v>0.57998999999991674</v>
      </c>
      <c r="AZ679" s="136">
        <f t="shared" si="145"/>
        <v>0.58000999999991665</v>
      </c>
      <c r="BA679" s="136">
        <f t="shared" si="146"/>
        <v>0.68972212889789875</v>
      </c>
      <c r="BB679" s="136">
        <f t="shared" si="147"/>
        <v>0.68972772917091063</v>
      </c>
      <c r="BC679" s="136" t="e">
        <f t="shared" si="148"/>
        <v>#N/A</v>
      </c>
      <c r="BD679" s="136" t="e">
        <f t="shared" si="153"/>
        <v>#N/A</v>
      </c>
      <c r="BE679" s="136" t="e">
        <f t="shared" si="149"/>
        <v>#N/A</v>
      </c>
      <c r="BF679" s="136" t="e">
        <f t="shared" si="150"/>
        <v>#N/A</v>
      </c>
      <c r="BG679" s="136" t="e">
        <f t="shared" si="151"/>
        <v>#N/A</v>
      </c>
    </row>
    <row r="680" spans="47:59" ht="11.25" customHeight="1">
      <c r="AU680" s="136">
        <f t="shared" si="141"/>
        <v>0.72240467524650709</v>
      </c>
      <c r="AV680" s="136">
        <f t="shared" si="152"/>
        <v>0.5899999999999167</v>
      </c>
      <c r="AW680" s="136">
        <f t="shared" si="142"/>
        <v>0.33521319948712253</v>
      </c>
      <c r="AX680" s="136" t="e">
        <f t="shared" si="143"/>
        <v>#N/A</v>
      </c>
      <c r="AY680" s="136">
        <f t="shared" si="144"/>
        <v>0.58998999999991675</v>
      </c>
      <c r="AZ680" s="136">
        <f t="shared" si="145"/>
        <v>0.59000999999991666</v>
      </c>
      <c r="BA680" s="136">
        <f t="shared" si="146"/>
        <v>0.69251184308635705</v>
      </c>
      <c r="BB680" s="136">
        <f t="shared" si="147"/>
        <v>0.69251740155439601</v>
      </c>
      <c r="BC680" s="136" t="e">
        <f t="shared" si="148"/>
        <v>#N/A</v>
      </c>
      <c r="BD680" s="136" t="e">
        <f t="shared" si="153"/>
        <v>#N/A</v>
      </c>
      <c r="BE680" s="136" t="e">
        <f t="shared" si="149"/>
        <v>#N/A</v>
      </c>
      <c r="BF680" s="136" t="e">
        <f t="shared" si="150"/>
        <v>#N/A</v>
      </c>
      <c r="BG680" s="136" t="e">
        <f t="shared" si="151"/>
        <v>#N/A</v>
      </c>
    </row>
    <row r="681" spans="47:59" ht="11.25" customHeight="1">
      <c r="AU681" s="136">
        <f t="shared" si="141"/>
        <v>0.72574688224989869</v>
      </c>
      <c r="AV681" s="136">
        <f t="shared" si="152"/>
        <v>0.59999999999991671</v>
      </c>
      <c r="AW681" s="136">
        <f t="shared" si="142"/>
        <v>0.33322460289181627</v>
      </c>
      <c r="AX681" s="136" t="e">
        <f t="shared" si="143"/>
        <v>#N/A</v>
      </c>
      <c r="AY681" s="136">
        <f t="shared" si="144"/>
        <v>0.59998999999991676</v>
      </c>
      <c r="AZ681" s="136">
        <f t="shared" si="145"/>
        <v>0.60000999999991667</v>
      </c>
      <c r="BA681" s="136">
        <f t="shared" si="146"/>
        <v>0.69528060820386273</v>
      </c>
      <c r="BB681" s="136">
        <f t="shared" si="147"/>
        <v>0.69528612468314099</v>
      </c>
      <c r="BC681" s="136" t="e">
        <f t="shared" si="148"/>
        <v>#N/A</v>
      </c>
      <c r="BD681" s="136" t="e">
        <f t="shared" si="153"/>
        <v>#N/A</v>
      </c>
      <c r="BE681" s="136" t="e">
        <f t="shared" si="149"/>
        <v>#N/A</v>
      </c>
      <c r="BF681" s="136" t="e">
        <f t="shared" si="150"/>
        <v>#N/A</v>
      </c>
      <c r="BG681" s="136" t="e">
        <f t="shared" si="151"/>
        <v>#N/A</v>
      </c>
    </row>
    <row r="682" spans="47:59" ht="11.25" customHeight="1">
      <c r="AU682" s="136">
        <f t="shared" si="141"/>
        <v>0.72906909621696669</v>
      </c>
      <c r="AV682" s="136">
        <f t="shared" si="152"/>
        <v>0.60999999999991672</v>
      </c>
      <c r="AW682" s="136">
        <f t="shared" si="142"/>
        <v>0.33121468019116973</v>
      </c>
      <c r="AX682" s="136" t="e">
        <f t="shared" si="143"/>
        <v>#N/A</v>
      </c>
      <c r="AY682" s="136">
        <f t="shared" si="144"/>
        <v>0.60998999999991677</v>
      </c>
      <c r="AZ682" s="136">
        <f t="shared" si="145"/>
        <v>0.61000999999991667</v>
      </c>
      <c r="BA682" s="136">
        <f t="shared" si="146"/>
        <v>0.69802833670125908</v>
      </c>
      <c r="BB682" s="136">
        <f t="shared" si="147"/>
        <v>0.69803381102535522</v>
      </c>
      <c r="BC682" s="136" t="e">
        <f t="shared" si="148"/>
        <v>#N/A</v>
      </c>
      <c r="BD682" s="136" t="e">
        <f t="shared" si="153"/>
        <v>#N/A</v>
      </c>
      <c r="BE682" s="136" t="e">
        <f t="shared" si="149"/>
        <v>#N/A</v>
      </c>
      <c r="BF682" s="136" t="e">
        <f t="shared" si="150"/>
        <v>#N/A</v>
      </c>
      <c r="BG682" s="136" t="e">
        <f t="shared" si="151"/>
        <v>#N/A</v>
      </c>
    </row>
    <row r="683" spans="47:59" ht="11.25" customHeight="1">
      <c r="AU683" s="136">
        <f t="shared" si="141"/>
        <v>0.73237110653098947</v>
      </c>
      <c r="AV683" s="136">
        <f t="shared" si="152"/>
        <v>0.61999999999991673</v>
      </c>
      <c r="AW683" s="136">
        <f t="shared" si="142"/>
        <v>0.32918396077078177</v>
      </c>
      <c r="AX683" s="136" t="e">
        <f t="shared" si="143"/>
        <v>#N/A</v>
      </c>
      <c r="AY683" s="136">
        <f t="shared" si="144"/>
        <v>0.61998999999991677</v>
      </c>
      <c r="AZ683" s="136">
        <f t="shared" si="145"/>
        <v>0.62000999999991668</v>
      </c>
      <c r="BA683" s="136">
        <f t="shared" si="146"/>
        <v>0.70075494964073259</v>
      </c>
      <c r="BB683" s="136">
        <f t="shared" si="147"/>
        <v>0.70076038166030208</v>
      </c>
      <c r="BC683" s="136" t="e">
        <f t="shared" si="148"/>
        <v>#N/A</v>
      </c>
      <c r="BD683" s="136" t="e">
        <f t="shared" si="153"/>
        <v>#N/A</v>
      </c>
      <c r="BE683" s="136" t="e">
        <f t="shared" si="149"/>
        <v>#N/A</v>
      </c>
      <c r="BF683" s="136" t="e">
        <f t="shared" si="150"/>
        <v>#N/A</v>
      </c>
      <c r="BG683" s="136" t="e">
        <f t="shared" si="151"/>
        <v>#N/A</v>
      </c>
    </row>
    <row r="684" spans="47:59" ht="11.25" customHeight="1">
      <c r="AU684" s="136">
        <f t="shared" si="141"/>
        <v>0.73565270788429515</v>
      </c>
      <c r="AV684" s="136">
        <f t="shared" si="152"/>
        <v>0.62999999999991674</v>
      </c>
      <c r="AW684" s="136">
        <f t="shared" si="142"/>
        <v>0.32713297701657157</v>
      </c>
      <c r="AX684" s="136" t="e">
        <f t="shared" si="143"/>
        <v>#N/A</v>
      </c>
      <c r="AY684" s="136">
        <f t="shared" si="144"/>
        <v>0.62998999999991678</v>
      </c>
      <c r="AZ684" s="136">
        <f t="shared" si="145"/>
        <v>0.63000999999991669</v>
      </c>
      <c r="BA684" s="136">
        <f t="shared" si="146"/>
        <v>0.70346037654940363</v>
      </c>
      <c r="BB684" s="136">
        <f t="shared" si="147"/>
        <v>0.70346576613188283</v>
      </c>
      <c r="BC684" s="136" t="e">
        <f t="shared" si="148"/>
        <v>#N/A</v>
      </c>
      <c r="BD684" s="136" t="e">
        <f t="shared" si="153"/>
        <v>#N/A</v>
      </c>
      <c r="BE684" s="136" t="e">
        <f t="shared" si="149"/>
        <v>#N/A</v>
      </c>
      <c r="BF684" s="136" t="e">
        <f t="shared" si="150"/>
        <v>#N/A</v>
      </c>
      <c r="BG684" s="136" t="e">
        <f t="shared" si="151"/>
        <v>#N/A</v>
      </c>
    </row>
    <row r="685" spans="47:59" ht="11.25" customHeight="1">
      <c r="AU685" s="136">
        <f t="shared" si="141"/>
        <v>0.73891370030711134</v>
      </c>
      <c r="AV685" s="136">
        <f t="shared" si="152"/>
        <v>0.63999999999991675</v>
      </c>
      <c r="AW685" s="136">
        <f t="shared" si="142"/>
        <v>0.32506226408409944</v>
      </c>
      <c r="AX685" s="136" t="e">
        <f t="shared" si="143"/>
        <v>#N/A</v>
      </c>
      <c r="AY685" s="136">
        <f t="shared" si="144"/>
        <v>0.63998999999991679</v>
      </c>
      <c r="AZ685" s="136">
        <f t="shared" si="145"/>
        <v>0.6400099999999167</v>
      </c>
      <c r="BA685" s="136">
        <f t="shared" si="146"/>
        <v>0.70614455526855713</v>
      </c>
      <c r="BB685" s="136">
        <f t="shared" si="147"/>
        <v>0.70614990229785657</v>
      </c>
      <c r="BC685" s="136" t="e">
        <f t="shared" si="148"/>
        <v>#N/A</v>
      </c>
      <c r="BD685" s="136" t="e">
        <f t="shared" si="153"/>
        <v>#N/A</v>
      </c>
      <c r="BE685" s="136" t="e">
        <f t="shared" si="149"/>
        <v>#N/A</v>
      </c>
      <c r="BF685" s="136" t="e">
        <f t="shared" si="150"/>
        <v>#N/A</v>
      </c>
      <c r="BG685" s="136" t="e">
        <f t="shared" si="151"/>
        <v>#N/A</v>
      </c>
    </row>
    <row r="686" spans="47:59" ht="11.25" customHeight="1">
      <c r="AU686" s="136">
        <f t="shared" si="141"/>
        <v>0.74215388919410841</v>
      </c>
      <c r="AV686" s="136">
        <f t="shared" si="152"/>
        <v>0.64999999999991676</v>
      </c>
      <c r="AW686" s="136">
        <f t="shared" si="142"/>
        <v>0.32297235966793175</v>
      </c>
      <c r="AX686" s="136" t="e">
        <f t="shared" si="143"/>
        <v>#N/A</v>
      </c>
      <c r="AY686" s="136">
        <f t="shared" si="144"/>
        <v>0.6499899999999168</v>
      </c>
      <c r="AZ686" s="136">
        <f t="shared" si="145"/>
        <v>0.65000999999991671</v>
      </c>
      <c r="BA686" s="136">
        <f t="shared" si="146"/>
        <v>0.7088074317988764</v>
      </c>
      <c r="BB686" s="136">
        <f t="shared" si="147"/>
        <v>0.70881273617506746</v>
      </c>
      <c r="BC686" s="136" t="e">
        <f t="shared" si="148"/>
        <v>#N/A</v>
      </c>
      <c r="BD686" s="136" t="e">
        <f t="shared" si="153"/>
        <v>#N/A</v>
      </c>
      <c r="BE686" s="136" t="e">
        <f t="shared" si="149"/>
        <v>#N/A</v>
      </c>
      <c r="BF686" s="136" t="e">
        <f t="shared" si="150"/>
        <v>#N/A</v>
      </c>
      <c r="BG686" s="136" t="e">
        <f t="shared" si="151"/>
        <v>#N/A</v>
      </c>
    </row>
    <row r="687" spans="47:59" ht="11.25" customHeight="1">
      <c r="AU687" s="136">
        <f t="shared" si="141"/>
        <v>0.74537308532863711</v>
      </c>
      <c r="AV687" s="136">
        <f t="shared" si="152"/>
        <v>0.65999999999991676</v>
      </c>
      <c r="AW687" s="136">
        <f t="shared" si="142"/>
        <v>0.32086380377119011</v>
      </c>
      <c r="AX687" s="136" t="e">
        <f t="shared" si="143"/>
        <v>#N/A</v>
      </c>
      <c r="AY687" s="136">
        <f t="shared" si="144"/>
        <v>0.65998999999991681</v>
      </c>
      <c r="AZ687" s="136">
        <f t="shared" si="145"/>
        <v>0.66000999999991672</v>
      </c>
      <c r="BA687" s="136">
        <f t="shared" si="146"/>
        <v>0.71144896014203352</v>
      </c>
      <c r="BB687" s="136">
        <f t="shared" si="147"/>
        <v>0.71145422178102913</v>
      </c>
      <c r="BC687" s="136" t="e">
        <f t="shared" si="148"/>
        <v>#N/A</v>
      </c>
      <c r="BD687" s="136" t="e">
        <f t="shared" si="153"/>
        <v>#N/A</v>
      </c>
      <c r="BE687" s="136" t="e">
        <f t="shared" si="149"/>
        <v>#N/A</v>
      </c>
      <c r="BF687" s="136" t="e">
        <f t="shared" si="150"/>
        <v>#N/A</v>
      </c>
      <c r="BG687" s="136" t="e">
        <f t="shared" si="151"/>
        <v>#N/A</v>
      </c>
    </row>
    <row r="688" spans="47:59" ht="11.25" customHeight="1">
      <c r="AU688" s="136">
        <f t="shared" si="141"/>
        <v>0.74857110490466328</v>
      </c>
      <c r="AV688" s="136">
        <f t="shared" si="152"/>
        <v>0.66999999999991677</v>
      </c>
      <c r="AW688" s="136">
        <f t="shared" si="142"/>
        <v>0.31873713847541929</v>
      </c>
      <c r="AX688" s="136" t="e">
        <f t="shared" si="143"/>
        <v>#N/A</v>
      </c>
      <c r="AY688" s="136">
        <f t="shared" si="144"/>
        <v>0.66998999999991682</v>
      </c>
      <c r="AZ688" s="136">
        <f t="shared" si="145"/>
        <v>0.67000999999991673</v>
      </c>
      <c r="BA688" s="136">
        <f t="shared" si="146"/>
        <v>0.71406910213898978</v>
      </c>
      <c r="BB688" s="136">
        <f t="shared" si="147"/>
        <v>0.71407432097221724</v>
      </c>
      <c r="BC688" s="136" t="e">
        <f t="shared" si="148"/>
        <v>#N/A</v>
      </c>
      <c r="BD688" s="136" t="e">
        <f t="shared" si="153"/>
        <v>#N/A</v>
      </c>
      <c r="BE688" s="136" t="e">
        <f t="shared" si="149"/>
        <v>#N/A</v>
      </c>
      <c r="BF688" s="136" t="e">
        <f t="shared" si="150"/>
        <v>#N/A</v>
      </c>
      <c r="BG688" s="136" t="e">
        <f t="shared" si="151"/>
        <v>#N/A</v>
      </c>
    </row>
    <row r="689" spans="47:59" ht="11.25" customHeight="1">
      <c r="AU689" s="136">
        <f t="shared" si="141"/>
        <v>0.7517477695464031</v>
      </c>
      <c r="AV689" s="136">
        <f t="shared" si="152"/>
        <v>0.67999999999991678</v>
      </c>
      <c r="AW689" s="136">
        <f t="shared" si="142"/>
        <v>0.31659290771091064</v>
      </c>
      <c r="AX689" s="136" t="e">
        <f t="shared" si="143"/>
        <v>#N/A</v>
      </c>
      <c r="AY689" s="136">
        <f t="shared" si="144"/>
        <v>0.67998999999991683</v>
      </c>
      <c r="AZ689" s="136">
        <f t="shared" si="145"/>
        <v>0.68000999999991674</v>
      </c>
      <c r="BA689" s="136">
        <f t="shared" si="146"/>
        <v>0.71666782730534584</v>
      </c>
      <c r="BB689" s="136">
        <f t="shared" si="147"/>
        <v>0.71667300327941486</v>
      </c>
      <c r="BC689" s="136" t="e">
        <f t="shared" si="148"/>
        <v>#N/A</v>
      </c>
      <c r="BD689" s="136" t="e">
        <f t="shared" si="153"/>
        <v>#N/A</v>
      </c>
      <c r="BE689" s="136" t="e">
        <f t="shared" si="149"/>
        <v>#N/A</v>
      </c>
      <c r="BF689" s="136" t="e">
        <f t="shared" si="150"/>
        <v>#N/A</v>
      </c>
      <c r="BG689" s="136" t="e">
        <f t="shared" si="151"/>
        <v>#N/A</v>
      </c>
    </row>
    <row r="690" spans="47:59" ht="11.25" customHeight="1">
      <c r="AU690" s="136">
        <f t="shared" si="141"/>
        <v>0.75490290632566437</v>
      </c>
      <c r="AV690" s="136">
        <f t="shared" si="152"/>
        <v>0.68999999999991679</v>
      </c>
      <c r="AW690" s="136">
        <f t="shared" si="142"/>
        <v>0.31443165702761533</v>
      </c>
      <c r="AX690" s="136" t="e">
        <f t="shared" si="143"/>
        <v>#N/A</v>
      </c>
      <c r="AY690" s="136">
        <f t="shared" si="144"/>
        <v>0.68998999999991684</v>
      </c>
      <c r="AZ690" s="136">
        <f t="shared" si="145"/>
        <v>0.69000999999991675</v>
      </c>
      <c r="BA690" s="136">
        <f t="shared" si="146"/>
        <v>0.71924511266407609</v>
      </c>
      <c r="BB690" s="136">
        <f t="shared" si="147"/>
        <v>0.71925024574044194</v>
      </c>
      <c r="BC690" s="136" t="e">
        <f t="shared" si="148"/>
        <v>#N/A</v>
      </c>
      <c r="BD690" s="136" t="e">
        <f t="shared" si="153"/>
        <v>#N/A</v>
      </c>
      <c r="BE690" s="136" t="e">
        <f t="shared" si="149"/>
        <v>#N/A</v>
      </c>
      <c r="BF690" s="136" t="e">
        <f t="shared" si="150"/>
        <v>#N/A</v>
      </c>
      <c r="BG690" s="136" t="e">
        <f t="shared" si="151"/>
        <v>#N/A</v>
      </c>
    </row>
    <row r="691" spans="47:59" ht="11.25" customHeight="1">
      <c r="AU691" s="136">
        <f t="shared" si="141"/>
        <v>0.75803634777690099</v>
      </c>
      <c r="AV691" s="136">
        <f t="shared" si="152"/>
        <v>0.6999999999999168</v>
      </c>
      <c r="AW691" s="136">
        <f t="shared" si="142"/>
        <v>0.31225393336677942</v>
      </c>
      <c r="AX691" s="136" t="e">
        <f t="shared" si="143"/>
        <v>#N/A</v>
      </c>
      <c r="AY691" s="136">
        <f t="shared" si="144"/>
        <v>0.69998999999991685</v>
      </c>
      <c r="AZ691" s="136">
        <f t="shared" si="145"/>
        <v>0.70000999999991675</v>
      </c>
      <c r="BA691" s="136">
        <f t="shared" si="146"/>
        <v>0.72180094257597571</v>
      </c>
      <c r="BB691" s="136">
        <f t="shared" si="147"/>
        <v>0.72180603273059796</v>
      </c>
      <c r="BC691" s="136" t="e">
        <f t="shared" si="148"/>
        <v>#N/A</v>
      </c>
      <c r="BD691" s="136" t="e">
        <f t="shared" si="153"/>
        <v>#N/A</v>
      </c>
      <c r="BE691" s="136" t="e">
        <f t="shared" si="149"/>
        <v>#N/A</v>
      </c>
      <c r="BF691" s="136" t="e">
        <f t="shared" si="150"/>
        <v>#N/A</v>
      </c>
      <c r="BG691" s="136" t="e">
        <f t="shared" si="151"/>
        <v>#N/A</v>
      </c>
    </row>
    <row r="692" spans="47:59" ht="11.25" customHeight="1">
      <c r="AU692" s="136">
        <f t="shared" si="141"/>
        <v>0.76114793190998753</v>
      </c>
      <c r="AV692" s="136">
        <f t="shared" si="152"/>
        <v>0.70999999999991681</v>
      </c>
      <c r="AW692" s="136">
        <f t="shared" si="142"/>
        <v>0.3100602848334344</v>
      </c>
      <c r="AX692" s="136" t="e">
        <f t="shared" si="143"/>
        <v>#N/A</v>
      </c>
      <c r="AY692" s="136">
        <f t="shared" si="144"/>
        <v>0.70998999999991685</v>
      </c>
      <c r="AZ692" s="136">
        <f t="shared" si="145"/>
        <v>0.71000999999991676</v>
      </c>
      <c r="BA692" s="136">
        <f t="shared" si="146"/>
        <v>0.72433530856813566</v>
      </c>
      <c r="BB692" s="136">
        <f t="shared" si="147"/>
        <v>0.72434035579113365</v>
      </c>
      <c r="BC692" s="136" t="e">
        <f t="shared" si="148"/>
        <v>#N/A</v>
      </c>
      <c r="BD692" s="136" t="e">
        <f t="shared" si="153"/>
        <v>#N/A</v>
      </c>
      <c r="BE692" s="136" t="e">
        <f t="shared" si="149"/>
        <v>#N/A</v>
      </c>
      <c r="BF692" s="136" t="e">
        <f t="shared" si="150"/>
        <v>#N/A</v>
      </c>
      <c r="BG692" s="136" t="e">
        <f t="shared" si="151"/>
        <v>#N/A</v>
      </c>
    </row>
    <row r="693" spans="47:59" ht="11.25" customHeight="1">
      <c r="AU693" s="136">
        <f t="shared" si="141"/>
        <v>0.76423750222072317</v>
      </c>
      <c r="AV693" s="136">
        <f t="shared" si="152"/>
        <v>0.71999999999991682</v>
      </c>
      <c r="AW693" s="136">
        <f t="shared" si="142"/>
        <v>0.30785126046987132</v>
      </c>
      <c r="AX693" s="136" t="e">
        <f t="shared" si="143"/>
        <v>#N/A</v>
      </c>
      <c r="AY693" s="136">
        <f t="shared" si="144"/>
        <v>0.71998999999991686</v>
      </c>
      <c r="AZ693" s="136">
        <f t="shared" si="145"/>
        <v>0.72000999999991677</v>
      </c>
      <c r="BA693" s="136">
        <f t="shared" si="146"/>
        <v>0.72684820916075643</v>
      </c>
      <c r="BB693" s="136">
        <f t="shared" si="147"/>
        <v>0.72685321345606124</v>
      </c>
      <c r="BC693" s="136" t="e">
        <f t="shared" si="148"/>
        <v>#N/A</v>
      </c>
      <c r="BD693" s="136" t="e">
        <f t="shared" si="153"/>
        <v>#N/A</v>
      </c>
      <c r="BE693" s="136" t="e">
        <f t="shared" si="149"/>
        <v>#N/A</v>
      </c>
      <c r="BF693" s="136" t="e">
        <f t="shared" si="150"/>
        <v>#N/A</v>
      </c>
      <c r="BG693" s="136" t="e">
        <f t="shared" si="151"/>
        <v>#N/A</v>
      </c>
    </row>
    <row r="694" spans="47:59" ht="11.25" customHeight="1">
      <c r="AU694" s="136">
        <f t="shared" si="141"/>
        <v>0.767304907699077</v>
      </c>
      <c r="AV694" s="136">
        <f t="shared" si="152"/>
        <v>0.72999999999991683</v>
      </c>
      <c r="AW694" s="136">
        <f t="shared" si="142"/>
        <v>0.30562741003022842</v>
      </c>
      <c r="AX694" s="136" t="e">
        <f t="shared" si="143"/>
        <v>#N/A</v>
      </c>
      <c r="AY694" s="136">
        <f t="shared" si="144"/>
        <v>0.72998999999991687</v>
      </c>
      <c r="AZ694" s="136">
        <f t="shared" si="145"/>
        <v>0.73000999999991678</v>
      </c>
      <c r="BA694" s="136">
        <f t="shared" si="146"/>
        <v>0.72933964969259746</v>
      </c>
      <c r="BB694" s="136">
        <f t="shared" si="147"/>
        <v>0.7293446110776014</v>
      </c>
      <c r="BC694" s="136" t="e">
        <f t="shared" si="148"/>
        <v>#N/A</v>
      </c>
      <c r="BD694" s="136" t="e">
        <f t="shared" si="153"/>
        <v>#N/A</v>
      </c>
      <c r="BE694" s="136" t="e">
        <f t="shared" si="149"/>
        <v>#N/A</v>
      </c>
      <c r="BF694" s="136" t="e">
        <f t="shared" si="150"/>
        <v>#N/A</v>
      </c>
      <c r="BG694" s="136" t="e">
        <f t="shared" si="151"/>
        <v>#N/A</v>
      </c>
    </row>
    <row r="695" spans="47:59" ht="11.25" customHeight="1">
      <c r="AU695" s="136">
        <f t="shared" si="141"/>
        <v>0.77035000283518418</v>
      </c>
      <c r="AV695" s="136">
        <f t="shared" si="152"/>
        <v>0.73999999999991684</v>
      </c>
      <c r="AW695" s="136">
        <f t="shared" si="142"/>
        <v>0.30338928375631874</v>
      </c>
      <c r="AX695" s="136" t="e">
        <f t="shared" si="143"/>
        <v>#N/A</v>
      </c>
      <c r="AY695" s="136">
        <f t="shared" si="144"/>
        <v>0.73998999999991688</v>
      </c>
      <c r="AZ695" s="136">
        <f t="shared" si="145"/>
        <v>0.74000999999991679</v>
      </c>
      <c r="BA695" s="136">
        <f t="shared" si="146"/>
        <v>0.73180964214535249</v>
      </c>
      <c r="BB695" s="136">
        <f t="shared" si="147"/>
        <v>0.73181456065055739</v>
      </c>
      <c r="BC695" s="136" t="e">
        <f t="shared" si="148"/>
        <v>#N/A</v>
      </c>
      <c r="BD695" s="136" t="e">
        <f t="shared" si="153"/>
        <v>#N/A</v>
      </c>
      <c r="BE695" s="136" t="e">
        <f t="shared" si="149"/>
        <v>#N/A</v>
      </c>
      <c r="BF695" s="136" t="e">
        <f t="shared" si="150"/>
        <v>#N/A</v>
      </c>
      <c r="BG695" s="136" t="e">
        <f t="shared" si="151"/>
        <v>#N/A</v>
      </c>
    </row>
    <row r="696" spans="47:59" ht="11.25" customHeight="1">
      <c r="AU696" s="136">
        <f t="shared" si="141"/>
        <v>0.77337264762310665</v>
      </c>
      <c r="AV696" s="136">
        <f t="shared" si="152"/>
        <v>0.74999999999991684</v>
      </c>
      <c r="AW696" s="136">
        <f t="shared" si="142"/>
        <v>0.30113743215482319</v>
      </c>
      <c r="AX696" s="136" t="e">
        <f t="shared" si="143"/>
        <v>#N/A</v>
      </c>
      <c r="AY696" s="136">
        <f t="shared" si="144"/>
        <v>0.74998999999991689</v>
      </c>
      <c r="AZ696" s="136">
        <f t="shared" si="145"/>
        <v>0.7500099999999168</v>
      </c>
      <c r="BA696" s="136">
        <f t="shared" si="146"/>
        <v>0.7342582049672306</v>
      </c>
      <c r="BB696" s="136">
        <f t="shared" si="147"/>
        <v>0.73426308063589407</v>
      </c>
      <c r="BC696" s="136" t="e">
        <f t="shared" si="148"/>
        <v>#N/A</v>
      </c>
      <c r="BD696" s="136" t="e">
        <f t="shared" si="153"/>
        <v>#N/A</v>
      </c>
      <c r="BE696" s="136" t="e">
        <f t="shared" si="149"/>
        <v>#N/A</v>
      </c>
      <c r="BF696" s="136" t="e">
        <f t="shared" si="150"/>
        <v>#N/A</v>
      </c>
      <c r="BG696" s="136" t="e">
        <f t="shared" si="151"/>
        <v>#N/A</v>
      </c>
    </row>
    <row r="697" spans="47:59" ht="11.25" customHeight="1">
      <c r="AU697" s="136">
        <f t="shared" si="141"/>
        <v>0.77637270756237564</v>
      </c>
      <c r="AV697" s="136">
        <f t="shared" si="152"/>
        <v>0.75999999999991685</v>
      </c>
      <c r="AW697" s="136">
        <f t="shared" si="142"/>
        <v>0.29887240577597163</v>
      </c>
      <c r="AX697" s="136" t="e">
        <f t="shared" si="143"/>
        <v>#N/A</v>
      </c>
      <c r="AY697" s="136">
        <f t="shared" si="144"/>
        <v>0.7599899999999169</v>
      </c>
      <c r="AZ697" s="136">
        <f t="shared" si="145"/>
        <v>0.76000999999991681</v>
      </c>
      <c r="BA697" s="136">
        <f t="shared" si="146"/>
        <v>0.73668536289601105</v>
      </c>
      <c r="BB697" s="136">
        <f t="shared" si="147"/>
        <v>0.73669019578379213</v>
      </c>
      <c r="BC697" s="136" t="e">
        <f t="shared" si="148"/>
        <v>#N/A</v>
      </c>
      <c r="BD697" s="136" t="e">
        <f t="shared" si="153"/>
        <v>#N/A</v>
      </c>
      <c r="BE697" s="136" t="e">
        <f t="shared" si="149"/>
        <v>#N/A</v>
      </c>
      <c r="BF697" s="136" t="e">
        <f t="shared" si="150"/>
        <v>#N/A</v>
      </c>
      <c r="BG697" s="136" t="e">
        <f t="shared" si="151"/>
        <v>#N/A</v>
      </c>
    </row>
    <row r="698" spans="47:59" ht="11.25" customHeight="1">
      <c r="AU698" s="136">
        <f t="shared" si="141"/>
        <v>0.77935005365732568</v>
      </c>
      <c r="AV698" s="136">
        <f t="shared" si="152"/>
        <v>0.76999999999991686</v>
      </c>
      <c r="AW698" s="136">
        <f t="shared" si="142"/>
        <v>0.2965947549938347</v>
      </c>
      <c r="AX698" s="136" t="e">
        <f t="shared" si="143"/>
        <v>#N/A</v>
      </c>
      <c r="AY698" s="136">
        <f t="shared" si="144"/>
        <v>0.76998999999991691</v>
      </c>
      <c r="AZ698" s="136">
        <f t="shared" si="145"/>
        <v>0.77000999999991682</v>
      </c>
      <c r="BA698" s="136">
        <f t="shared" si="146"/>
        <v>0.73909114678183008</v>
      </c>
      <c r="BB698" s="136">
        <f t="shared" si="147"/>
        <v>0.73909593695643516</v>
      </c>
      <c r="BC698" s="136" t="e">
        <f t="shared" si="148"/>
        <v>#N/A</v>
      </c>
      <c r="BD698" s="136" t="e">
        <f t="shared" si="153"/>
        <v>#N/A</v>
      </c>
      <c r="BE698" s="136" t="e">
        <f t="shared" si="149"/>
        <v>#N/A</v>
      </c>
      <c r="BF698" s="136" t="e">
        <f t="shared" si="150"/>
        <v>#N/A</v>
      </c>
      <c r="BG698" s="136" t="e">
        <f t="shared" si="151"/>
        <v>#N/A</v>
      </c>
    </row>
    <row r="699" spans="47:59" ht="11.25" customHeight="1">
      <c r="AU699" s="136">
        <f t="shared" si="141"/>
        <v>0.7823045624142424</v>
      </c>
      <c r="AV699" s="136">
        <f t="shared" si="152"/>
        <v>0.77999999999991687</v>
      </c>
      <c r="AW699" s="136">
        <f t="shared" si="142"/>
        <v>0.29430502978834416</v>
      </c>
      <c r="AX699" s="136" t="e">
        <f t="shared" si="143"/>
        <v>#N/A</v>
      </c>
      <c r="AY699" s="136">
        <f t="shared" si="144"/>
        <v>0.77998999999991692</v>
      </c>
      <c r="AZ699" s="136">
        <f t="shared" si="145"/>
        <v>0.78000999999991683</v>
      </c>
      <c r="BA699" s="136">
        <f t="shared" si="146"/>
        <v>0.74147559340995028</v>
      </c>
      <c r="BB699" s="136">
        <f t="shared" si="147"/>
        <v>0.74148034095077864</v>
      </c>
      <c r="BC699" s="136" t="e">
        <f t="shared" si="148"/>
        <v>#N/A</v>
      </c>
      <c r="BD699" s="136" t="e">
        <f t="shared" si="153"/>
        <v>#N/A</v>
      </c>
      <c r="BE699" s="136" t="e">
        <f t="shared" si="149"/>
        <v>#N/A</v>
      </c>
      <c r="BF699" s="136" t="e">
        <f t="shared" si="150"/>
        <v>#N/A</v>
      </c>
      <c r="BG699" s="136" t="e">
        <f t="shared" si="151"/>
        <v>#N/A</v>
      </c>
    </row>
    <row r="700" spans="47:59" ht="11.25" customHeight="1">
      <c r="AU700" s="136">
        <f t="shared" si="141"/>
        <v>0.78523611583633857</v>
      </c>
      <c r="AV700" s="136">
        <f t="shared" si="152"/>
        <v>0.78999999999991688</v>
      </c>
      <c r="AW700" s="136">
        <f t="shared" si="142"/>
        <v>0.29200377952916062</v>
      </c>
      <c r="AX700" s="136" t="e">
        <f t="shared" si="143"/>
        <v>#N/A</v>
      </c>
      <c r="AY700" s="136">
        <f t="shared" si="144"/>
        <v>0.78998999999991693</v>
      </c>
      <c r="AZ700" s="136">
        <f t="shared" si="145"/>
        <v>0.79000999999991683</v>
      </c>
      <c r="BA700" s="136">
        <f t="shared" si="146"/>
        <v>0.7438387453237465</v>
      </c>
      <c r="BB700" s="136">
        <f t="shared" si="147"/>
        <v>0.74384345032153631</v>
      </c>
      <c r="BC700" s="136" t="e">
        <f t="shared" si="148"/>
        <v>#N/A</v>
      </c>
      <c r="BD700" s="136" t="e">
        <f t="shared" si="153"/>
        <v>#N/A</v>
      </c>
      <c r="BE700" s="136" t="e">
        <f t="shared" si="149"/>
        <v>#N/A</v>
      </c>
      <c r="BF700" s="136" t="e">
        <f t="shared" si="150"/>
        <v>#N/A</v>
      </c>
      <c r="BG700" s="136" t="e">
        <f t="shared" si="151"/>
        <v>#N/A</v>
      </c>
    </row>
    <row r="701" spans="47:59" ht="11.25" customHeight="1">
      <c r="AU701" s="136">
        <f t="shared" si="141"/>
        <v>0.78814460141657916</v>
      </c>
      <c r="AV701" s="136">
        <f t="shared" si="152"/>
        <v>0.79999999999991689</v>
      </c>
      <c r="AW701" s="136">
        <f t="shared" si="142"/>
        <v>0.28969155276150199</v>
      </c>
      <c r="AX701" s="136" t="e">
        <f t="shared" si="143"/>
        <v>#N/A</v>
      </c>
      <c r="AY701" s="136">
        <f t="shared" si="144"/>
        <v>0.79998999999991693</v>
      </c>
      <c r="AZ701" s="136">
        <f t="shared" si="145"/>
        <v>0.80000999999991684</v>
      </c>
      <c r="BA701" s="136">
        <f t="shared" si="146"/>
        <v>0.74618065064813788</v>
      </c>
      <c r="BB701" s="136">
        <f t="shared" si="147"/>
        <v>0.74618531320461412</v>
      </c>
      <c r="BC701" s="136" t="e">
        <f t="shared" si="148"/>
        <v>#N/A</v>
      </c>
      <c r="BD701" s="136" t="e">
        <f t="shared" si="153"/>
        <v>#N/A</v>
      </c>
      <c r="BE701" s="136" t="e">
        <f t="shared" si="149"/>
        <v>#N/A</v>
      </c>
      <c r="BF701" s="136" t="e">
        <f t="shared" si="150"/>
        <v>#N/A</v>
      </c>
      <c r="BG701" s="136" t="e">
        <f t="shared" si="151"/>
        <v>#N/A</v>
      </c>
    </row>
    <row r="702" spans="47:59" ht="11.25" customHeight="1">
      <c r="AU702" s="136">
        <f t="shared" si="141"/>
        <v>0.79102991212837459</v>
      </c>
      <c r="AV702" s="136">
        <f t="shared" si="152"/>
        <v>0.8099999999999169</v>
      </c>
      <c r="AW702" s="136">
        <f t="shared" si="142"/>
        <v>0.28736889699404761</v>
      </c>
      <c r="AX702" s="136" t="e">
        <f t="shared" si="143"/>
        <v>#N/A</v>
      </c>
      <c r="AY702" s="136">
        <f t="shared" si="144"/>
        <v>0.80998999999991694</v>
      </c>
      <c r="AZ702" s="136">
        <f t="shared" si="145"/>
        <v>0.81000999999991685</v>
      </c>
      <c r="BA702" s="136">
        <f t="shared" si="146"/>
        <v>0.74850136291368097</v>
      </c>
      <c r="BB702" s="136">
        <f t="shared" si="147"/>
        <v>0.74850598314120365</v>
      </c>
      <c r="BC702" s="136" t="e">
        <f t="shared" si="148"/>
        <v>#N/A</v>
      </c>
      <c r="BD702" s="136" t="e">
        <f t="shared" si="153"/>
        <v>#N/A</v>
      </c>
      <c r="BE702" s="136" t="e">
        <f t="shared" si="149"/>
        <v>#N/A</v>
      </c>
      <c r="BF702" s="136" t="e">
        <f t="shared" si="150"/>
        <v>#N/A</v>
      </c>
      <c r="BG702" s="136" t="e">
        <f t="shared" si="151"/>
        <v>#N/A</v>
      </c>
    </row>
    <row r="703" spans="47:59" ht="11.25" customHeight="1">
      <c r="AU703" s="136">
        <f t="shared" si="141"/>
        <v>0.79389194641416316</v>
      </c>
      <c r="AV703" s="136">
        <f t="shared" si="152"/>
        <v>0.81999999999991691</v>
      </c>
      <c r="AW703" s="136">
        <f t="shared" si="142"/>
        <v>0.28503635848902659</v>
      </c>
      <c r="AX703" s="136" t="e">
        <f t="shared" si="143"/>
        <v>#N/A</v>
      </c>
      <c r="AY703" s="136">
        <f t="shared" si="144"/>
        <v>0.81998999999991695</v>
      </c>
      <c r="AZ703" s="136">
        <f t="shared" si="145"/>
        <v>0.82000999999991686</v>
      </c>
      <c r="BA703" s="136">
        <f t="shared" si="146"/>
        <v>0.75080094088152838</v>
      </c>
      <c r="BB703" s="136">
        <f t="shared" si="147"/>
        <v>0.75080551890274427</v>
      </c>
      <c r="BC703" s="136" t="e">
        <f t="shared" si="148"/>
        <v>#N/A</v>
      </c>
      <c r="BD703" s="136" t="e">
        <f t="shared" si="153"/>
        <v>#N/A</v>
      </c>
      <c r="BE703" s="136" t="e">
        <f t="shared" si="149"/>
        <v>#N/A</v>
      </c>
      <c r="BF703" s="136" t="e">
        <f t="shared" si="150"/>
        <v>#N/A</v>
      </c>
      <c r="BG703" s="136" t="e">
        <f t="shared" si="151"/>
        <v>#N/A</v>
      </c>
    </row>
    <row r="704" spans="47:59" ht="11.25" customHeight="1">
      <c r="AU704" s="136">
        <f t="shared" si="141"/>
        <v>0.79673060817190811</v>
      </c>
      <c r="AV704" s="136">
        <f t="shared" si="152"/>
        <v>0.82999999999991692</v>
      </c>
      <c r="AW704" s="136">
        <f t="shared" si="142"/>
        <v>0.28269448205459968</v>
      </c>
      <c r="AX704" s="136" t="e">
        <f t="shared" si="143"/>
        <v>#N/A</v>
      </c>
      <c r="AY704" s="136">
        <f t="shared" si="144"/>
        <v>0.82998999999991696</v>
      </c>
      <c r="AZ704" s="136">
        <f t="shared" si="145"/>
        <v>0.83000999999991687</v>
      </c>
      <c r="BA704" s="136">
        <f t="shared" si="146"/>
        <v>0.75307944836945051</v>
      </c>
      <c r="BB704" s="136">
        <f t="shared" si="147"/>
        <v>0.75308398431694645</v>
      </c>
      <c r="BC704" s="136" t="e">
        <f t="shared" si="148"/>
        <v>#N/A</v>
      </c>
      <c r="BD704" s="136" t="e">
        <f t="shared" si="153"/>
        <v>#N/A</v>
      </c>
      <c r="BE704" s="136" t="e">
        <f t="shared" si="149"/>
        <v>#N/A</v>
      </c>
      <c r="BF704" s="136" t="e">
        <f t="shared" si="150"/>
        <v>#N/A</v>
      </c>
      <c r="BG704" s="136" t="e">
        <f t="shared" si="151"/>
        <v>#N/A</v>
      </c>
    </row>
    <row r="705" spans="47:59" ht="11.25" customHeight="1">
      <c r="AU705" s="136">
        <f t="shared" si="141"/>
        <v>0.79954580673952713</v>
      </c>
      <c r="AV705" s="136">
        <f t="shared" si="152"/>
        <v>0.83999999999991692</v>
      </c>
      <c r="AW705" s="136">
        <f t="shared" si="142"/>
        <v>0.28034381083964011</v>
      </c>
      <c r="AX705" s="136" t="e">
        <f t="shared" si="143"/>
        <v>#N/A</v>
      </c>
      <c r="AY705" s="136">
        <f t="shared" si="144"/>
        <v>0.83998999999991697</v>
      </c>
      <c r="AZ705" s="136">
        <f t="shared" si="145"/>
        <v>0.84000999999991688</v>
      </c>
      <c r="BA705" s="136">
        <f t="shared" si="146"/>
        <v>0.75533695407910217</v>
      </c>
      <c r="BB705" s="136">
        <f t="shared" si="147"/>
        <v>0.75534144809506021</v>
      </c>
      <c r="BC705" s="136" t="e">
        <f t="shared" si="148"/>
        <v>#N/A</v>
      </c>
      <c r="BD705" s="136" t="e">
        <f t="shared" si="153"/>
        <v>#N/A</v>
      </c>
      <c r="BE705" s="136" t="e">
        <f t="shared" si="149"/>
        <v>#N/A</v>
      </c>
      <c r="BF705" s="136" t="e">
        <f t="shared" si="150"/>
        <v>#N/A</v>
      </c>
      <c r="BG705" s="136" t="e">
        <f t="shared" si="151"/>
        <v>#N/A</v>
      </c>
    </row>
    <row r="706" spans="47:59" ht="11.25" customHeight="1">
      <c r="AU706" s="136">
        <f t="shared" si="141"/>
        <v>0.80233745687728453</v>
      </c>
      <c r="AV706" s="136">
        <f t="shared" si="152"/>
        <v>0.84999999999991693</v>
      </c>
      <c r="AW706" s="136">
        <f t="shared" si="142"/>
        <v>0.27798488613101607</v>
      </c>
      <c r="AX706" s="136" t="e">
        <f t="shared" si="143"/>
        <v>#N/A</v>
      </c>
      <c r="AY706" s="136">
        <f t="shared" si="144"/>
        <v>0.84998999999991698</v>
      </c>
      <c r="AZ706" s="136">
        <f t="shared" si="145"/>
        <v>0.85000999999991689</v>
      </c>
      <c r="BA706" s="136">
        <f t="shared" si="146"/>
        <v>0.75757353142470896</v>
      </c>
      <c r="BB706" s="136">
        <f t="shared" si="147"/>
        <v>0.75757798366056583</v>
      </c>
      <c r="BC706" s="136" t="e">
        <f t="shared" si="148"/>
        <v>#N/A</v>
      </c>
      <c r="BD706" s="136" t="e">
        <f t="shared" si="153"/>
        <v>#N/A</v>
      </c>
      <c r="BE706" s="136" t="e">
        <f t="shared" si="149"/>
        <v>#N/A</v>
      </c>
      <c r="BF706" s="136" t="e">
        <f t="shared" si="150"/>
        <v>#N/A</v>
      </c>
      <c r="BG706" s="136" t="e">
        <f t="shared" si="151"/>
        <v>#N/A</v>
      </c>
    </row>
    <row r="707" spans="47:59" ht="11.25" customHeight="1">
      <c r="AU707" s="136">
        <f t="shared" si="141"/>
        <v>0.80510547874816862</v>
      </c>
      <c r="AV707" s="136">
        <f t="shared" si="152"/>
        <v>0.85999999999991694</v>
      </c>
      <c r="AW707" s="136">
        <f t="shared" si="142"/>
        <v>0.27561824715347633</v>
      </c>
      <c r="AX707" s="136" t="e">
        <f t="shared" si="143"/>
        <v>#N/A</v>
      </c>
      <c r="AY707" s="136">
        <f t="shared" si="144"/>
        <v>0.85998999999991699</v>
      </c>
      <c r="AZ707" s="136">
        <f t="shared" si="145"/>
        <v>0.8600099999999169</v>
      </c>
      <c r="BA707" s="136">
        <f t="shared" si="146"/>
        <v>0.75978925836333655</v>
      </c>
      <c r="BB707" s="136">
        <f t="shared" si="147"/>
        <v>0.75979366897944556</v>
      </c>
      <c r="BC707" s="136" t="e">
        <f t="shared" si="148"/>
        <v>#N/A</v>
      </c>
      <c r="BD707" s="136" t="e">
        <f t="shared" si="153"/>
        <v>#N/A</v>
      </c>
      <c r="BE707" s="136" t="e">
        <f t="shared" si="149"/>
        <v>#N/A</v>
      </c>
      <c r="BF707" s="136" t="e">
        <f t="shared" si="150"/>
        <v>#N/A</v>
      </c>
      <c r="BG707" s="136" t="e">
        <f t="shared" si="151"/>
        <v>#N/A</v>
      </c>
    </row>
    <row r="708" spans="47:59" ht="11.25" customHeight="1">
      <c r="AU708" s="136">
        <f t="shared" si="141"/>
        <v>0.8078497978962812</v>
      </c>
      <c r="AV708" s="136">
        <f t="shared" si="152"/>
        <v>0.86999999999991695</v>
      </c>
      <c r="AW708" s="136">
        <f t="shared" si="142"/>
        <v>0.27324443087223593</v>
      </c>
      <c r="AX708" s="136" t="e">
        <f t="shared" si="143"/>
        <v>#N/A</v>
      </c>
      <c r="AY708" s="136">
        <f t="shared" si="144"/>
        <v>0.869989999999917</v>
      </c>
      <c r="AZ708" s="136">
        <f t="shared" si="145"/>
        <v>0.87000999999991691</v>
      </c>
      <c r="BA708" s="136">
        <f t="shared" si="146"/>
        <v>0.76198421722689691</v>
      </c>
      <c r="BB708" s="136">
        <f t="shared" si="147"/>
        <v>0.76198858639219413</v>
      </c>
      <c r="BC708" s="136" t="e">
        <f t="shared" si="148"/>
        <v>#N/A</v>
      </c>
      <c r="BD708" s="136" t="e">
        <f t="shared" si="153"/>
        <v>#N/A</v>
      </c>
      <c r="BE708" s="136" t="e">
        <f t="shared" si="149"/>
        <v>#N/A</v>
      </c>
      <c r="BF708" s="136" t="e">
        <f t="shared" si="150"/>
        <v>#N/A</v>
      </c>
      <c r="BG708" s="136" t="e">
        <f t="shared" si="151"/>
        <v>#N/A</v>
      </c>
    </row>
    <row r="709" spans="47:59" ht="11.25" customHeight="1">
      <c r="AU709" s="136">
        <f t="shared" si="141"/>
        <v>0.81057034522326543</v>
      </c>
      <c r="AV709" s="136">
        <f t="shared" si="152"/>
        <v>0.87999999999991696</v>
      </c>
      <c r="AW709" s="136">
        <f t="shared" si="142"/>
        <v>0.27086397179835775</v>
      </c>
      <c r="AX709" s="136" t="e">
        <f t="shared" si="143"/>
        <v>#N/A</v>
      </c>
      <c r="AY709" s="136">
        <f t="shared" si="144"/>
        <v>0.87998999999991701</v>
      </c>
      <c r="AZ709" s="136">
        <f t="shared" si="145"/>
        <v>0.88000999999991691</v>
      </c>
      <c r="BA709" s="136">
        <f t="shared" si="146"/>
        <v>0.76415849455603424</v>
      </c>
      <c r="BB709" s="136">
        <f t="shared" si="147"/>
        <v>0.76416282244770806</v>
      </c>
      <c r="BC709" s="136" t="e">
        <f t="shared" si="148"/>
        <v>#N/A</v>
      </c>
      <c r="BD709" s="136" t="e">
        <f t="shared" si="153"/>
        <v>#N/A</v>
      </c>
      <c r="BE709" s="136" t="e">
        <f t="shared" si="149"/>
        <v>#N/A</v>
      </c>
      <c r="BF709" s="136" t="e">
        <f t="shared" si="150"/>
        <v>#N/A</v>
      </c>
      <c r="BG709" s="136" t="e">
        <f t="shared" si="151"/>
        <v>#N/A</v>
      </c>
    </row>
    <row r="710" spans="47:59" ht="11.25" customHeight="1">
      <c r="AU710" s="136">
        <f t="shared" si="141"/>
        <v>0.81326705696280499</v>
      </c>
      <c r="AV710" s="136">
        <f t="shared" si="152"/>
        <v>0.88999999999991697</v>
      </c>
      <c r="AW710" s="136">
        <f t="shared" si="142"/>
        <v>0.26847740179702217</v>
      </c>
      <c r="AX710" s="136" t="e">
        <f t="shared" si="143"/>
        <v>#N/A</v>
      </c>
      <c r="AY710" s="136">
        <f t="shared" si="144"/>
        <v>0.88998999999991701</v>
      </c>
      <c r="AZ710" s="136">
        <f t="shared" si="145"/>
        <v>0.89000999999991692</v>
      </c>
      <c r="BA710" s="136">
        <f t="shared" si="146"/>
        <v>0.76631218093602493</v>
      </c>
      <c r="BB710" s="136">
        <f t="shared" si="147"/>
        <v>0.76631646773918993</v>
      </c>
      <c r="BC710" s="136" t="e">
        <f t="shared" si="148"/>
        <v>#N/A</v>
      </c>
      <c r="BD710" s="136" t="e">
        <f t="shared" si="153"/>
        <v>#N/A</v>
      </c>
      <c r="BE710" s="136" t="e">
        <f t="shared" si="149"/>
        <v>#N/A</v>
      </c>
      <c r="BF710" s="136" t="e">
        <f t="shared" si="150"/>
        <v>#N/A</v>
      </c>
      <c r="BG710" s="136" t="e">
        <f t="shared" si="151"/>
        <v>#N/A</v>
      </c>
    </row>
    <row r="711" spans="47:59" ht="11.25" customHeight="1">
      <c r="AU711" s="136">
        <f t="shared" si="141"/>
        <v>0.81593987465321838</v>
      </c>
      <c r="AV711" s="136">
        <f t="shared" si="152"/>
        <v>0.89999999999991698</v>
      </c>
      <c r="AW711" s="136">
        <f t="shared" si="142"/>
        <v>0.26608524989877469</v>
      </c>
      <c r="AX711" s="136" t="e">
        <f t="shared" si="143"/>
        <v>#N/A</v>
      </c>
      <c r="AY711" s="136">
        <f t="shared" si="144"/>
        <v>0.89998999999991702</v>
      </c>
      <c r="AZ711" s="136">
        <f t="shared" si="145"/>
        <v>0.90000999999991693</v>
      </c>
      <c r="BA711" s="136">
        <f t="shared" si="146"/>
        <v>0.76844537083481423</v>
      </c>
      <c r="BB711" s="136">
        <f t="shared" si="147"/>
        <v>0.76844961674218937</v>
      </c>
      <c r="BC711" s="136" t="e">
        <f t="shared" si="148"/>
        <v>#N/A</v>
      </c>
      <c r="BD711" s="136" t="e">
        <f t="shared" si="153"/>
        <v>#N/A</v>
      </c>
      <c r="BE711" s="136" t="e">
        <f t="shared" si="149"/>
        <v>#N/A</v>
      </c>
      <c r="BF711" s="136" t="e">
        <f t="shared" si="150"/>
        <v>#N/A</v>
      </c>
      <c r="BG711" s="136" t="e">
        <f t="shared" si="151"/>
        <v>#N/A</v>
      </c>
    </row>
    <row r="712" spans="47:59" ht="11.25" customHeight="1">
      <c r="AU712" s="136">
        <f t="shared" si="141"/>
        <v>0.8185887451081808</v>
      </c>
      <c r="AV712" s="136">
        <f t="shared" si="152"/>
        <v>0.90999999999991699</v>
      </c>
      <c r="AW712" s="136">
        <f t="shared" si="142"/>
        <v>0.26368804211383806</v>
      </c>
      <c r="AX712" s="136" t="e">
        <f t="shared" si="143"/>
        <v>#N/A</v>
      </c>
      <c r="AY712" s="136">
        <f t="shared" si="144"/>
        <v>0.90998999999991703</v>
      </c>
      <c r="AZ712" s="136">
        <f t="shared" si="145"/>
        <v>0.91000999999991694</v>
      </c>
      <c r="BA712" s="136">
        <f t="shared" si="146"/>
        <v>0.77055816244330555</v>
      </c>
      <c r="BB712" s="136">
        <f t="shared" si="147"/>
        <v>0.7705623676548975</v>
      </c>
      <c r="BC712" s="136" t="e">
        <f t="shared" si="148"/>
        <v>#N/A</v>
      </c>
      <c r="BD712" s="136" t="e">
        <f t="shared" si="153"/>
        <v>#N/A</v>
      </c>
      <c r="BE712" s="136" t="e">
        <f t="shared" si="149"/>
        <v>#N/A</v>
      </c>
      <c r="BF712" s="136" t="e">
        <f t="shared" si="150"/>
        <v>#N/A</v>
      </c>
      <c r="BG712" s="136" t="e">
        <f t="shared" si="151"/>
        <v>#N/A</v>
      </c>
    </row>
    <row r="713" spans="47:59" ht="11.25" customHeight="1">
      <c r="AU713" s="136">
        <f t="shared" si="141"/>
        <v>0.82121362038560664</v>
      </c>
      <c r="AV713" s="136">
        <f t="shared" si="152"/>
        <v>0.919999999999917</v>
      </c>
      <c r="AW713" s="136">
        <f t="shared" si="142"/>
        <v>0.26128630124957303</v>
      </c>
      <c r="AX713" s="136" t="e">
        <f t="shared" si="143"/>
        <v>#N/A</v>
      </c>
      <c r="AY713" s="136">
        <f t="shared" si="144"/>
        <v>0.91998999999991704</v>
      </c>
      <c r="AZ713" s="136">
        <f t="shared" si="145"/>
        <v>0.92000999999991695</v>
      </c>
      <c r="BA713" s="136">
        <f t="shared" si="146"/>
        <v>0.77265065751800788</v>
      </c>
      <c r="BB713" s="136">
        <f t="shared" si="147"/>
        <v>0.77265482224079873</v>
      </c>
      <c r="BC713" s="136" t="e">
        <f t="shared" si="148"/>
        <v>#N/A</v>
      </c>
      <c r="BD713" s="136" t="e">
        <f t="shared" si="153"/>
        <v>#N/A</v>
      </c>
      <c r="BE713" s="136" t="e">
        <f t="shared" si="149"/>
        <v>#N/A</v>
      </c>
      <c r="BF713" s="136" t="e">
        <f t="shared" si="150"/>
        <v>#N/A</v>
      </c>
      <c r="BG713" s="136" t="e">
        <f t="shared" si="151"/>
        <v>#N/A</v>
      </c>
    </row>
    <row r="714" spans="47:59" ht="11.25" customHeight="1">
      <c r="AU714" s="136">
        <f t="shared" si="141"/>
        <v>0.82381445775472062</v>
      </c>
      <c r="AV714" s="136">
        <f t="shared" si="152"/>
        <v>0.929999999999917</v>
      </c>
      <c r="AW714" s="136">
        <f t="shared" si="142"/>
        <v>0.25888054673116878</v>
      </c>
      <c r="AX714" s="136" t="e">
        <f t="shared" si="143"/>
        <v>#N/A</v>
      </c>
      <c r="AY714" s="136">
        <f t="shared" si="144"/>
        <v>0.92998999999991705</v>
      </c>
      <c r="AZ714" s="136">
        <f t="shared" si="145"/>
        <v>0.93000999999991696</v>
      </c>
      <c r="BA714" s="136">
        <f t="shared" si="146"/>
        <v>0.77472296122613771</v>
      </c>
      <c r="BB714" s="136">
        <f t="shared" si="147"/>
        <v>0.77472708567377691</v>
      </c>
      <c r="BC714" s="136" t="e">
        <f t="shared" si="148"/>
        <v>#N/A</v>
      </c>
      <c r="BD714" s="136" t="e">
        <f t="shared" si="153"/>
        <v>#N/A</v>
      </c>
      <c r="BE714" s="136" t="e">
        <f t="shared" si="149"/>
        <v>#N/A</v>
      </c>
      <c r="BF714" s="136" t="e">
        <f t="shared" si="150"/>
        <v>#N/A</v>
      </c>
      <c r="BG714" s="136" t="e">
        <f t="shared" si="151"/>
        <v>#N/A</v>
      </c>
    </row>
    <row r="715" spans="47:59" ht="11.25" customHeight="1">
      <c r="AU715" s="136">
        <f t="shared" si="141"/>
        <v>0.82639121966135398</v>
      </c>
      <c r="AV715" s="136">
        <f t="shared" si="152"/>
        <v>0.93999999999991701</v>
      </c>
      <c r="AW715" s="136">
        <f t="shared" si="142"/>
        <v>0.25647129442564032</v>
      </c>
      <c r="AX715" s="136" t="e">
        <f t="shared" si="143"/>
        <v>#N/A</v>
      </c>
      <c r="AY715" s="136">
        <f t="shared" si="144"/>
        <v>0.93998999999991706</v>
      </c>
      <c r="AZ715" s="136">
        <f t="shared" si="145"/>
        <v>0.94000999999991697</v>
      </c>
      <c r="BA715" s="136">
        <f t="shared" si="146"/>
        <v>0.7767751819932619</v>
      </c>
      <c r="BB715" s="136">
        <f t="shared" si="147"/>
        <v>0.77677926638576478</v>
      </c>
      <c r="BC715" s="136" t="e">
        <f t="shared" si="148"/>
        <v>#N/A</v>
      </c>
      <c r="BD715" s="136" t="e">
        <f t="shared" si="153"/>
        <v>#N/A</v>
      </c>
      <c r="BE715" s="136" t="e">
        <f t="shared" si="149"/>
        <v>#N/A</v>
      </c>
      <c r="BF715" s="136" t="e">
        <f t="shared" si="150"/>
        <v>#N/A</v>
      </c>
      <c r="BG715" s="136" t="e">
        <f t="shared" si="151"/>
        <v>#N/A</v>
      </c>
    </row>
    <row r="716" spans="47:59" ht="11.25" customHeight="1">
      <c r="AU716" s="136">
        <f t="shared" si="141"/>
        <v>0.82894387369149702</v>
      </c>
      <c r="AV716" s="136">
        <f t="shared" si="152"/>
        <v>0.94999999999991702</v>
      </c>
      <c r="AW716" s="136">
        <f t="shared" si="142"/>
        <v>0.25405905646920901</v>
      </c>
      <c r="AX716" s="136" t="e">
        <f t="shared" si="143"/>
        <v>#N/A</v>
      </c>
      <c r="AY716" s="136">
        <f t="shared" si="144"/>
        <v>0.94998999999991707</v>
      </c>
      <c r="AZ716" s="136">
        <f t="shared" si="145"/>
        <v>0.95000999999991698</v>
      </c>
      <c r="BA716" s="136">
        <f t="shared" si="146"/>
        <v>0.77880743135356434</v>
      </c>
      <c r="BB716" s="136">
        <f t="shared" si="147"/>
        <v>0.77881147591701549</v>
      </c>
      <c r="BC716" s="136" t="e">
        <f t="shared" si="148"/>
        <v>#N/A</v>
      </c>
      <c r="BD716" s="136" t="e">
        <f t="shared" si="153"/>
        <v>#N/A</v>
      </c>
      <c r="BE716" s="136" t="e">
        <f t="shared" si="149"/>
        <v>#N/A</v>
      </c>
      <c r="BF716" s="136" t="e">
        <f t="shared" si="150"/>
        <v>#N/A</v>
      </c>
      <c r="BG716" s="136" t="e">
        <f t="shared" si="151"/>
        <v>#N/A</v>
      </c>
    </row>
    <row r="717" spans="47:59" ht="11.25" customHeight="1">
      <c r="AU717" s="136">
        <f t="shared" si="141"/>
        <v>0.83147239253314131</v>
      </c>
      <c r="AV717" s="136">
        <f t="shared" si="152"/>
        <v>0.95999999999991703</v>
      </c>
      <c r="AW717" s="136">
        <f t="shared" si="142"/>
        <v>0.2516443410981371</v>
      </c>
      <c r="AX717" s="136" t="e">
        <f t="shared" si="143"/>
        <v>#N/A</v>
      </c>
      <c r="AY717" s="136">
        <f t="shared" si="144"/>
        <v>0.95998999999991708</v>
      </c>
      <c r="AZ717" s="136">
        <f t="shared" si="145"/>
        <v>0.96000999999991699</v>
      </c>
      <c r="BA717" s="136">
        <f t="shared" si="146"/>
        <v>0.78081982380280546</v>
      </c>
      <c r="BB717" s="136">
        <f t="shared" si="147"/>
        <v>0.78082382876906675</v>
      </c>
      <c r="BC717" s="136" t="e">
        <f t="shared" si="148"/>
        <v>#N/A</v>
      </c>
      <c r="BD717" s="136" t="e">
        <f t="shared" si="153"/>
        <v>#N/A</v>
      </c>
      <c r="BE717" s="136" t="e">
        <f t="shared" si="149"/>
        <v>#N/A</v>
      </c>
      <c r="BF717" s="136" t="e">
        <f t="shared" si="150"/>
        <v>#N/A</v>
      </c>
      <c r="BG717" s="136" t="e">
        <f t="shared" si="151"/>
        <v>#N/A</v>
      </c>
    </row>
    <row r="718" spans="47:59" ht="11.25" customHeight="1">
      <c r="AU718" s="136">
        <f t="shared" si="141"/>
        <v>0.83397675393644977</v>
      </c>
      <c r="AV718" s="136">
        <f t="shared" si="152"/>
        <v>0.96999999999991704</v>
      </c>
      <c r="AW718" s="136">
        <f t="shared" si="142"/>
        <v>0.24922765248308593</v>
      </c>
      <c r="AX718" s="136" t="e">
        <f t="shared" si="143"/>
        <v>#N/A</v>
      </c>
      <c r="AY718" s="136">
        <f t="shared" si="144"/>
        <v>0.96998999999991709</v>
      </c>
      <c r="AZ718" s="136">
        <f t="shared" si="145"/>
        <v>0.97000999999991699</v>
      </c>
      <c r="BA718" s="136">
        <f t="shared" si="146"/>
        <v>0.78281247665403908</v>
      </c>
      <c r="BB718" s="136">
        <f t="shared" si="147"/>
        <v>0.78281644226046465</v>
      </c>
      <c r="BC718" s="136" t="e">
        <f t="shared" si="148"/>
        <v>#N/A</v>
      </c>
      <c r="BD718" s="136" t="e">
        <f t="shared" si="153"/>
        <v>#N/A</v>
      </c>
      <c r="BE718" s="136" t="e">
        <f t="shared" si="149"/>
        <v>#N/A</v>
      </c>
      <c r="BF718" s="136" t="e">
        <f t="shared" si="150"/>
        <v>#N/A</v>
      </c>
      <c r="BG718" s="136" t="e">
        <f t="shared" si="151"/>
        <v>#N/A</v>
      </c>
    </row>
    <row r="719" spans="47:59" ht="11.25" customHeight="1">
      <c r="AU719" s="136">
        <f t="shared" si="141"/>
        <v>0.83645694067228715</v>
      </c>
      <c r="AV719" s="136">
        <f t="shared" si="152"/>
        <v>0.97999999999991705</v>
      </c>
      <c r="AW719" s="136">
        <f t="shared" si="142"/>
        <v>0.24680949056706275</v>
      </c>
      <c r="AX719" s="136" t="e">
        <f t="shared" si="143"/>
        <v>#N/A</v>
      </c>
      <c r="AY719" s="136">
        <f t="shared" si="144"/>
        <v>0.97998999999991709</v>
      </c>
      <c r="AZ719" s="136">
        <f t="shared" si="145"/>
        <v>0.980009999999917</v>
      </c>
      <c r="BA719" s="136">
        <f t="shared" si="146"/>
        <v>0.78478550989614337</v>
      </c>
      <c r="BB719" s="136">
        <f t="shared" si="147"/>
        <v>0.78478943638529897</v>
      </c>
      <c r="BC719" s="136" t="e">
        <f t="shared" si="148"/>
        <v>#N/A</v>
      </c>
      <c r="BD719" s="136" t="e">
        <f t="shared" si="153"/>
        <v>#N/A</v>
      </c>
      <c r="BE719" s="136" t="e">
        <f t="shared" si="149"/>
        <v>#N/A</v>
      </c>
      <c r="BF719" s="136" t="e">
        <f t="shared" si="150"/>
        <v>#N/A</v>
      </c>
      <c r="BG719" s="136" t="e">
        <f t="shared" si="151"/>
        <v>#N/A</v>
      </c>
    </row>
    <row r="720" spans="47:59" ht="11.25" customHeight="1">
      <c r="AU720" s="136">
        <f t="shared" si="141"/>
        <v>0.83891294048914866</v>
      </c>
      <c r="AV720" s="136">
        <f t="shared" si="152"/>
        <v>0.98999999999991706</v>
      </c>
      <c r="AW720" s="136">
        <f t="shared" si="142"/>
        <v>0.2443903509070196</v>
      </c>
      <c r="AX720" s="136" t="e">
        <f t="shared" si="143"/>
        <v>#N/A</v>
      </c>
      <c r="AY720" s="136">
        <f t="shared" si="144"/>
        <v>0.9899899999999171</v>
      </c>
      <c r="AZ720" s="136">
        <f t="shared" si="145"/>
        <v>0.99000999999991701</v>
      </c>
      <c r="BA720" s="136">
        <f t="shared" si="146"/>
        <v>0.78673904605521439</v>
      </c>
      <c r="BB720" s="136">
        <f t="shared" si="147"/>
        <v>0.78674293367460313</v>
      </c>
      <c r="BC720" s="136" t="e">
        <f t="shared" si="148"/>
        <v>#N/A</v>
      </c>
      <c r="BD720" s="136" t="e">
        <f t="shared" si="153"/>
        <v>#N/A</v>
      </c>
      <c r="BE720" s="136" t="e">
        <f t="shared" si="149"/>
        <v>#N/A</v>
      </c>
      <c r="BF720" s="136" t="e">
        <f t="shared" si="150"/>
        <v>#N/A</v>
      </c>
      <c r="BG720" s="136" t="e">
        <f t="shared" si="151"/>
        <v>#N/A</v>
      </c>
    </row>
    <row r="721" spans="47:59" ht="11.25" customHeight="1">
      <c r="AU721" s="136">
        <f t="shared" si="141"/>
        <v>0.84134474606852283</v>
      </c>
      <c r="AV721" s="136">
        <f t="shared" si="152"/>
        <v>0.99999999999991707</v>
      </c>
      <c r="AW721" s="136">
        <f t="shared" si="142"/>
        <v>0.2419707245191634</v>
      </c>
      <c r="AX721" s="136" t="e">
        <f t="shared" si="143"/>
        <v>#N/A</v>
      </c>
      <c r="AY721" s="136">
        <f t="shared" si="144"/>
        <v>0.99998999999991711</v>
      </c>
      <c r="AZ721" s="136">
        <f t="shared" si="145"/>
        <v>1.000009999999917</v>
      </c>
      <c r="BA721" s="136">
        <f t="shared" si="146"/>
        <v>0.78867321005886293</v>
      </c>
      <c r="BB721" s="136">
        <f t="shared" si="147"/>
        <v>0.78867705906065733</v>
      </c>
      <c r="BC721" s="136" t="e">
        <f t="shared" si="148"/>
        <v>#N/A</v>
      </c>
      <c r="BD721" s="136" t="e">
        <f t="shared" si="153"/>
        <v>#N/A</v>
      </c>
      <c r="BE721" s="136" t="e">
        <f t="shared" si="149"/>
        <v>#N/A</v>
      </c>
      <c r="BF721" s="136" t="e">
        <f t="shared" si="150"/>
        <v>#N/A</v>
      </c>
      <c r="BG721" s="136" t="e">
        <f t="shared" si="151"/>
        <v>#N/A</v>
      </c>
    </row>
    <row r="722" spans="47:59" ht="11.25" customHeight="1">
      <c r="AU722" s="136">
        <f t="shared" si="141"/>
        <v>0.84375235497872547</v>
      </c>
      <c r="AV722" s="136">
        <f t="shared" si="152"/>
        <v>1.009999999999917</v>
      </c>
      <c r="AW722" s="136">
        <f t="shared" si="142"/>
        <v>0.23955109772803343</v>
      </c>
      <c r="AX722" s="136" t="e">
        <f t="shared" si="143"/>
        <v>#N/A</v>
      </c>
      <c r="AY722" s="136">
        <f t="shared" si="144"/>
        <v>1.0099899999999169</v>
      </c>
      <c r="AZ722" s="136">
        <f t="shared" si="145"/>
        <v>1.010009999999917</v>
      </c>
      <c r="BA722" s="136">
        <f t="shared" si="146"/>
        <v>0.79058812910345488</v>
      </c>
      <c r="BB722" s="136">
        <f t="shared" si="147"/>
        <v>0.79059193974423347</v>
      </c>
      <c r="BC722" s="136" t="e">
        <f t="shared" si="148"/>
        <v>#N/A</v>
      </c>
      <c r="BD722" s="136" t="e">
        <f t="shared" si="153"/>
        <v>#N/A</v>
      </c>
      <c r="BE722" s="136" t="e">
        <f t="shared" si="149"/>
        <v>#N/A</v>
      </c>
      <c r="BF722" s="136" t="e">
        <f t="shared" si="150"/>
        <v>#N/A</v>
      </c>
      <c r="BG722" s="136" t="e">
        <f t="shared" si="151"/>
        <v>#N/A</v>
      </c>
    </row>
    <row r="723" spans="47:59" ht="11.25" customHeight="1">
      <c r="AU723" s="136">
        <f t="shared" si="141"/>
        <v>0.84613576962724535</v>
      </c>
      <c r="AV723" s="136">
        <f t="shared" si="152"/>
        <v>1.019999999999917</v>
      </c>
      <c r="AW723" s="136">
        <f t="shared" si="142"/>
        <v>0.23713195201939963</v>
      </c>
      <c r="AX723" s="136" t="e">
        <f t="shared" si="143"/>
        <v>#N/A</v>
      </c>
      <c r="AY723" s="136">
        <f t="shared" si="144"/>
        <v>1.0199899999999169</v>
      </c>
      <c r="AZ723" s="136">
        <f t="shared" si="145"/>
        <v>1.020009999999917</v>
      </c>
      <c r="BA723" s="136">
        <f t="shared" si="146"/>
        <v>0.79248393252431704</v>
      </c>
      <c r="BB723" s="136">
        <f t="shared" si="147"/>
        <v>0.79248770506480848</v>
      </c>
      <c r="BC723" s="136" t="e">
        <f t="shared" si="148"/>
        <v>#N/A</v>
      </c>
      <c r="BD723" s="136" t="e">
        <f t="shared" si="153"/>
        <v>#N/A</v>
      </c>
      <c r="BE723" s="136" t="e">
        <f t="shared" si="149"/>
        <v>#N/A</v>
      </c>
      <c r="BF723" s="136" t="e">
        <f t="shared" si="150"/>
        <v>#N/A</v>
      </c>
      <c r="BG723" s="136" t="e">
        <f t="shared" si="151"/>
        <v>#N/A</v>
      </c>
    </row>
    <row r="724" spans="47:59" ht="11.25" customHeight="1">
      <c r="AU724" s="136">
        <f t="shared" si="141"/>
        <v>0.8484949972116369</v>
      </c>
      <c r="AV724" s="136">
        <f t="shared" si="152"/>
        <v>1.029999999999917</v>
      </c>
      <c r="AW724" s="136">
        <f t="shared" si="142"/>
        <v>0.23471376389703186</v>
      </c>
      <c r="AX724" s="136" t="e">
        <f t="shared" si="143"/>
        <v>#N/A</v>
      </c>
      <c r="AY724" s="136">
        <f t="shared" si="144"/>
        <v>1.0299899999999169</v>
      </c>
      <c r="AZ724" s="136">
        <f t="shared" si="145"/>
        <v>1.030009999999917</v>
      </c>
      <c r="BA724" s="136">
        <f t="shared" si="146"/>
        <v>0.79436075166893738</v>
      </c>
      <c r="BB724" s="136">
        <f t="shared" si="147"/>
        <v>0.79436448637376966</v>
      </c>
      <c r="BC724" s="136" t="e">
        <f t="shared" si="148"/>
        <v>#N/A</v>
      </c>
      <c r="BD724" s="136" t="e">
        <f t="shared" si="153"/>
        <v>#N/A</v>
      </c>
      <c r="BE724" s="136" t="e">
        <f t="shared" si="149"/>
        <v>#N/A</v>
      </c>
      <c r="BF724" s="136" t="e">
        <f t="shared" si="150"/>
        <v>#N/A</v>
      </c>
      <c r="BG724" s="136" t="e">
        <f t="shared" si="151"/>
        <v>#N/A</v>
      </c>
    </row>
    <row r="725" spans="47:59" ht="11.25" customHeight="1">
      <c r="AU725" s="136">
        <f t="shared" ref="AU725:AU788" si="154">NORMDIST(AV725,$AV$17,$AV$18,TRUE)</f>
        <v>0.85083004966899933</v>
      </c>
      <c r="AV725" s="136">
        <f t="shared" si="152"/>
        <v>1.039999999999917</v>
      </c>
      <c r="AW725" s="136">
        <f t="shared" ref="AW725:AW788" si="155">IF($AV$13=1,NORMDIST(AV725,$AV$17,$AV$18,FALSE),NA())</f>
        <v>0.23229700474338622</v>
      </c>
      <c r="AX725" s="136" t="e">
        <f t="shared" ref="AX725:AX788" si="156">IF($AV$13=3,NORMDIST(AV725,$AV$17,$AV$18,FALSE),NA())</f>
        <v>#N/A</v>
      </c>
      <c r="AY725" s="136">
        <f t="shared" ref="AY725:AY788" si="157">AV725-$AY$19</f>
        <v>1.0399899999999169</v>
      </c>
      <c r="AZ725" s="136">
        <f t="shared" ref="AZ725:AZ788" si="158">AV725+$AY$19</f>
        <v>1.0400099999999171</v>
      </c>
      <c r="BA725" s="136">
        <f t="shared" ref="BA725:BA788" si="159">IF(AY725&lt;0,TDIST(-AY725,$AV$14,1),1-TDIST(AY725,$AV$14,1))</f>
        <v>0.79621871977317427</v>
      </c>
      <c r="BB725" s="136">
        <f t="shared" ref="BB725:BB788" si="160">IF(AZ725&lt;0,TDIST(-AZ725,$AV$14,1),1-TDIST(AZ725,$AV$14,1))</f>
        <v>0.79622241691062978</v>
      </c>
      <c r="BC725" s="136" t="e">
        <f t="shared" ref="BC725:BC788" si="161">IF($AV$13&gt;1,(BB725-BA725)/(2*$AY$19),NA())</f>
        <v>#N/A</v>
      </c>
      <c r="BD725" s="136" t="e">
        <f t="shared" si="153"/>
        <v>#N/A</v>
      </c>
      <c r="BE725" s="136" t="e">
        <f t="shared" ref="BE725:BE788" si="162">IF(ISNUMBER(BD725),BD725-$BE$19,NA())</f>
        <v>#N/A</v>
      </c>
      <c r="BF725" s="136" t="e">
        <f t="shared" ref="BF725:BF788" si="163">IF($AV$15=1,IF(AV725&gt;=$BF$19,BC725,NA()),IF($AV$15=2,IF(ABS(AV725)&gt;=$BF$19,BC725,NA()),NA()))</f>
        <v>#N/A</v>
      </c>
      <c r="BG725" s="136" t="e">
        <f t="shared" ref="BG725:BG788" si="164">IF(ISNUMBER(BF725),BF725-$BG$19,NA())</f>
        <v>#N/A</v>
      </c>
    </row>
    <row r="726" spans="47:59" ht="11.25" customHeight="1">
      <c r="AU726" s="136">
        <f t="shared" si="154"/>
        <v>0.85314094362408499</v>
      </c>
      <c r="AV726" s="136">
        <f t="shared" ref="AV726:AV789" si="165">AV725+$AY$10</f>
        <v>1.049999999999917</v>
      </c>
      <c r="AW726" s="136">
        <f t="shared" si="155"/>
        <v>0.22988214068425303</v>
      </c>
      <c r="AX726" s="136" t="e">
        <f t="shared" si="156"/>
        <v>#N/A</v>
      </c>
      <c r="AY726" s="136">
        <f t="shared" si="157"/>
        <v>1.0499899999999169</v>
      </c>
      <c r="AZ726" s="136">
        <f t="shared" si="158"/>
        <v>1.0500099999999171</v>
      </c>
      <c r="BA726" s="136">
        <f t="shared" si="159"/>
        <v>0.79805797184048699</v>
      </c>
      <c r="BB726" s="136">
        <f t="shared" si="160"/>
        <v>0.79806163168226463</v>
      </c>
      <c r="BC726" s="136" t="e">
        <f t="shared" si="161"/>
        <v>#N/A</v>
      </c>
      <c r="BD726" s="136" t="e">
        <f t="shared" ref="BD726:BD789" si="166">IF($AV$15=1,IF(OR(AND(AV726&gt;=$BD$19,$AS$5&gt;=0),AND(AV726&lt;=$BD$19,$AS$5&lt;0)),AW726,NA()),IF($AV$15=2,IF(ABS(AV726)&gt;=$BD$18,AW726,NA()),NA()))</f>
        <v>#N/A</v>
      </c>
      <c r="BE726" s="136" t="e">
        <f t="shared" si="162"/>
        <v>#N/A</v>
      </c>
      <c r="BF726" s="136" t="e">
        <f t="shared" si="163"/>
        <v>#N/A</v>
      </c>
      <c r="BG726" s="136" t="e">
        <f t="shared" si="164"/>
        <v>#N/A</v>
      </c>
    </row>
    <row r="727" spans="47:59" ht="11.25" customHeight="1">
      <c r="AU727" s="136">
        <f t="shared" si="154"/>
        <v>0.85542770033607141</v>
      </c>
      <c r="AV727" s="136">
        <f t="shared" si="165"/>
        <v>1.059999999999917</v>
      </c>
      <c r="AW727" s="136">
        <f t="shared" si="155"/>
        <v>0.2274696324574059</v>
      </c>
      <c r="AX727" s="136" t="e">
        <f t="shared" si="156"/>
        <v>#N/A</v>
      </c>
      <c r="AY727" s="136">
        <f t="shared" si="157"/>
        <v>1.0599899999999169</v>
      </c>
      <c r="AZ727" s="136">
        <f t="shared" si="158"/>
        <v>1.0600099999999171</v>
      </c>
      <c r="BA727" s="136">
        <f t="shared" si="159"/>
        <v>0.79987864452419255</v>
      </c>
      <c r="BB727" s="136">
        <f t="shared" si="160"/>
        <v>0.79988226734517487</v>
      </c>
      <c r="BC727" s="136" t="e">
        <f t="shared" si="161"/>
        <v>#N/A</v>
      </c>
      <c r="BD727" s="136" t="e">
        <f t="shared" si="166"/>
        <v>#N/A</v>
      </c>
      <c r="BE727" s="136" t="e">
        <f t="shared" si="162"/>
        <v>#N/A</v>
      </c>
      <c r="BF727" s="136" t="e">
        <f t="shared" si="163"/>
        <v>#N/A</v>
      </c>
      <c r="BG727" s="136" t="e">
        <f t="shared" si="164"/>
        <v>#N/A</v>
      </c>
    </row>
    <row r="728" spans="47:59" ht="11.25" customHeight="1">
      <c r="AU728" s="136">
        <f t="shared" si="154"/>
        <v>0.85769034564404212</v>
      </c>
      <c r="AV728" s="136">
        <f t="shared" si="165"/>
        <v>1.069999999999917</v>
      </c>
      <c r="AW728" s="136">
        <f t="shared" si="155"/>
        <v>0.22505993528528961</v>
      </c>
      <c r="AX728" s="136" t="e">
        <f t="shared" si="156"/>
        <v>#N/A</v>
      </c>
      <c r="AY728" s="136">
        <f t="shared" si="157"/>
        <v>1.069989999999917</v>
      </c>
      <c r="AZ728" s="136">
        <f t="shared" si="158"/>
        <v>1.0700099999999171</v>
      </c>
      <c r="BA728" s="136">
        <f t="shared" si="159"/>
        <v>0.80168087601275295</v>
      </c>
      <c r="BB728" s="136">
        <f t="shared" si="160"/>
        <v>0.80168446209077993</v>
      </c>
      <c r="BC728" s="136" t="e">
        <f t="shared" si="161"/>
        <v>#N/A</v>
      </c>
      <c r="BD728" s="136" t="e">
        <f t="shared" si="166"/>
        <v>#N/A</v>
      </c>
      <c r="BE728" s="136" t="e">
        <f t="shared" si="162"/>
        <v>#N/A</v>
      </c>
      <c r="BF728" s="136" t="e">
        <f t="shared" si="163"/>
        <v>#N/A</v>
      </c>
      <c r="BG728" s="136" t="e">
        <f t="shared" si="164"/>
        <v>#N/A</v>
      </c>
    </row>
    <row r="729" spans="47:59" ht="11.25" customHeight="1">
      <c r="AU729" s="136">
        <f t="shared" si="154"/>
        <v>0.8599289099112124</v>
      </c>
      <c r="AV729" s="136">
        <f t="shared" si="165"/>
        <v>1.079999999999917</v>
      </c>
      <c r="AW729" s="136">
        <f t="shared" si="155"/>
        <v>0.22265349875178109</v>
      </c>
      <c r="AX729" s="136" t="e">
        <f t="shared" si="156"/>
        <v>#N/A</v>
      </c>
      <c r="AY729" s="136">
        <f t="shared" si="157"/>
        <v>1.079989999999917</v>
      </c>
      <c r="AZ729" s="136">
        <f t="shared" si="158"/>
        <v>1.0800099999999171</v>
      </c>
      <c r="BA729" s="136">
        <f t="shared" si="159"/>
        <v>0.80346480591808778</v>
      </c>
      <c r="BB729" s="136">
        <f t="shared" si="160"/>
        <v>0.80346835553373652</v>
      </c>
      <c r="BC729" s="136" t="e">
        <f t="shared" si="161"/>
        <v>#N/A</v>
      </c>
      <c r="BD729" s="136" t="e">
        <f t="shared" si="166"/>
        <v>#N/A</v>
      </c>
      <c r="BE729" s="136" t="e">
        <f t="shared" si="162"/>
        <v>#N/A</v>
      </c>
      <c r="BF729" s="136" t="e">
        <f t="shared" si="163"/>
        <v>#N/A</v>
      </c>
      <c r="BG729" s="136" t="e">
        <f t="shared" si="164"/>
        <v>#N/A</v>
      </c>
    </row>
    <row r="730" spans="47:59" ht="11.25" customHeight="1">
      <c r="AU730" s="136">
        <f t="shared" si="154"/>
        <v>0.86214342796794619</v>
      </c>
      <c r="AV730" s="136">
        <f t="shared" si="165"/>
        <v>1.089999999999917</v>
      </c>
      <c r="AW730" s="136">
        <f t="shared" si="155"/>
        <v>0.22025076668305316</v>
      </c>
      <c r="AX730" s="136" t="e">
        <f t="shared" si="156"/>
        <v>#N/A</v>
      </c>
      <c r="AY730" s="136">
        <f t="shared" si="157"/>
        <v>1.089989999999917</v>
      </c>
      <c r="AZ730" s="136">
        <f t="shared" si="158"/>
        <v>1.0900099999999171</v>
      </c>
      <c r="BA730" s="136">
        <f t="shared" si="159"/>
        <v>0.80523057516690555</v>
      </c>
      <c r="BB730" s="136">
        <f t="shared" si="160"/>
        <v>0.80523408860327561</v>
      </c>
      <c r="BC730" s="136" t="e">
        <f t="shared" si="161"/>
        <v>#N/A</v>
      </c>
      <c r="BD730" s="136" t="e">
        <f t="shared" si="166"/>
        <v>#N/A</v>
      </c>
      <c r="BE730" s="136" t="e">
        <f t="shared" si="162"/>
        <v>#N/A</v>
      </c>
      <c r="BF730" s="136" t="e">
        <f t="shared" si="163"/>
        <v>#N/A</v>
      </c>
      <c r="BG730" s="136" t="e">
        <f t="shared" si="164"/>
        <v>#N/A</v>
      </c>
    </row>
    <row r="731" spans="47:59" ht="11.25" customHeight="1">
      <c r="AU731" s="136">
        <f t="shared" si="154"/>
        <v>0.86433393905359923</v>
      </c>
      <c r="AV731" s="136">
        <f t="shared" si="165"/>
        <v>1.099999999999917</v>
      </c>
      <c r="AW731" s="136">
        <f t="shared" si="155"/>
        <v>0.2178521770325704</v>
      </c>
      <c r="AX731" s="136" t="e">
        <f t="shared" si="156"/>
        <v>#N/A</v>
      </c>
      <c r="AY731" s="136">
        <f t="shared" si="157"/>
        <v>1.099989999999917</v>
      </c>
      <c r="AZ731" s="136">
        <f t="shared" si="158"/>
        <v>1.1000099999999171</v>
      </c>
      <c r="BA731" s="136">
        <f t="shared" si="159"/>
        <v>0.80697832589504059</v>
      </c>
      <c r="BB731" s="136">
        <f t="shared" si="160"/>
        <v>0.806981803437546</v>
      </c>
      <c r="BC731" s="136" t="e">
        <f t="shared" si="161"/>
        <v>#N/A</v>
      </c>
      <c r="BD731" s="136" t="e">
        <f t="shared" si="166"/>
        <v>#N/A</v>
      </c>
      <c r="BE731" s="136" t="e">
        <f t="shared" si="162"/>
        <v>#N/A</v>
      </c>
      <c r="BF731" s="136" t="e">
        <f t="shared" si="163"/>
        <v>#N/A</v>
      </c>
      <c r="BG731" s="136" t="e">
        <f t="shared" si="164"/>
        <v>#N/A</v>
      </c>
    </row>
    <row r="732" spans="47:59" ht="11.25" customHeight="1">
      <c r="AU732" s="136">
        <f t="shared" si="154"/>
        <v>0.86650048675723501</v>
      </c>
      <c r="AV732" s="136">
        <f t="shared" si="165"/>
        <v>1.1099999999999171</v>
      </c>
      <c r="AW732" s="136">
        <f t="shared" si="155"/>
        <v>0.21545816177023949</v>
      </c>
      <c r="AX732" s="136" t="e">
        <f t="shared" si="156"/>
        <v>#N/A</v>
      </c>
      <c r="AY732" s="136">
        <f t="shared" si="157"/>
        <v>1.109989999999917</v>
      </c>
      <c r="AZ732" s="136">
        <f t="shared" si="158"/>
        <v>1.1100099999999171</v>
      </c>
      <c r="BA732" s="136">
        <f t="shared" si="159"/>
        <v>0.80870820134478216</v>
      </c>
      <c r="BB732" s="136">
        <f t="shared" si="160"/>
        <v>0.80871164328094924</v>
      </c>
      <c r="BC732" s="136" t="e">
        <f t="shared" si="161"/>
        <v>#N/A</v>
      </c>
      <c r="BD732" s="136" t="e">
        <f t="shared" si="166"/>
        <v>#N/A</v>
      </c>
      <c r="BE732" s="136" t="e">
        <f t="shared" si="162"/>
        <v>#N/A</v>
      </c>
      <c r="BF732" s="136" t="e">
        <f t="shared" si="163"/>
        <v>#N/A</v>
      </c>
      <c r="BG732" s="136" t="e">
        <f t="shared" si="164"/>
        <v>#N/A</v>
      </c>
    </row>
    <row r="733" spans="47:59" ht="11.25" customHeight="1">
      <c r="AU733" s="136">
        <f t="shared" si="154"/>
        <v>0.86864311895725166</v>
      </c>
      <c r="AV733" s="136">
        <f t="shared" si="165"/>
        <v>1.1199999999999171</v>
      </c>
      <c r="AW733" s="136">
        <f t="shared" si="155"/>
        <v>0.21306914677573766</v>
      </c>
      <c r="AX733" s="136" t="e">
        <f t="shared" si="156"/>
        <v>#N/A</v>
      </c>
      <c r="AY733" s="136">
        <f t="shared" si="157"/>
        <v>1.119989999999917</v>
      </c>
      <c r="AZ733" s="136">
        <f t="shared" si="158"/>
        <v>1.1200099999999171</v>
      </c>
      <c r="BA733" s="136">
        <f t="shared" si="159"/>
        <v>0.81042034576517397</v>
      </c>
      <c r="BB733" s="136">
        <f t="shared" si="160"/>
        <v>0.81042375238444431</v>
      </c>
      <c r="BC733" s="136" t="e">
        <f t="shared" si="161"/>
        <v>#N/A</v>
      </c>
      <c r="BD733" s="136" t="e">
        <f t="shared" si="166"/>
        <v>#N/A</v>
      </c>
      <c r="BE733" s="136" t="e">
        <f t="shared" si="162"/>
        <v>#N/A</v>
      </c>
      <c r="BF733" s="136" t="e">
        <f t="shared" si="163"/>
        <v>#N/A</v>
      </c>
      <c r="BG733" s="136" t="e">
        <f t="shared" si="164"/>
        <v>#N/A</v>
      </c>
    </row>
    <row r="734" spans="47:59" ht="11.25" customHeight="1">
      <c r="AU734" s="136">
        <f t="shared" si="154"/>
        <v>0.87076188775996477</v>
      </c>
      <c r="AV734" s="136">
        <f t="shared" si="165"/>
        <v>1.1299999999999171</v>
      </c>
      <c r="AW734" s="136">
        <f t="shared" si="155"/>
        <v>0.21068555173603501</v>
      </c>
      <c r="AX734" s="136" t="e">
        <f t="shared" si="156"/>
        <v>#N/A</v>
      </c>
      <c r="AY734" s="136">
        <f t="shared" si="157"/>
        <v>1.129989999999917</v>
      </c>
      <c r="AZ734" s="136">
        <f t="shared" si="158"/>
        <v>1.1300099999999171</v>
      </c>
      <c r="BA734" s="136">
        <f t="shared" si="159"/>
        <v>0.81211490431526512</v>
      </c>
      <c r="BB734" s="136">
        <f t="shared" si="160"/>
        <v>0.81211827590880536</v>
      </c>
      <c r="BC734" s="136" t="e">
        <f t="shared" si="161"/>
        <v>#N/A</v>
      </c>
      <c r="BD734" s="136" t="e">
        <f t="shared" si="166"/>
        <v>#N/A</v>
      </c>
      <c r="BE734" s="136" t="e">
        <f t="shared" si="162"/>
        <v>#N/A</v>
      </c>
      <c r="BF734" s="136" t="e">
        <f t="shared" si="163"/>
        <v>#N/A</v>
      </c>
      <c r="BG734" s="136" t="e">
        <f t="shared" si="164"/>
        <v>#N/A</v>
      </c>
    </row>
    <row r="735" spans="47:59" ht="11.25" customHeight="1">
      <c r="AU735" s="136">
        <f t="shared" si="154"/>
        <v>0.87285684943718445</v>
      </c>
      <c r="AV735" s="136">
        <f t="shared" si="165"/>
        <v>1.1399999999999171</v>
      </c>
      <c r="AW735" s="136">
        <f t="shared" si="155"/>
        <v>0.20830779004712804</v>
      </c>
      <c r="AX735" s="136" t="e">
        <f t="shared" si="156"/>
        <v>#N/A</v>
      </c>
      <c r="AY735" s="136">
        <f t="shared" si="157"/>
        <v>1.139989999999917</v>
      </c>
      <c r="AZ735" s="136">
        <f t="shared" si="158"/>
        <v>1.1400099999999171</v>
      </c>
      <c r="BA735" s="136">
        <f t="shared" si="159"/>
        <v>0.81379202297028108</v>
      </c>
      <c r="BB735" s="136">
        <f t="shared" si="160"/>
        <v>0.81379535983079831</v>
      </c>
      <c r="BC735" s="136" t="e">
        <f t="shared" si="161"/>
        <v>#N/A</v>
      </c>
      <c r="BD735" s="136" t="e">
        <f t="shared" si="166"/>
        <v>#N/A</v>
      </c>
      <c r="BE735" s="136" t="e">
        <f t="shared" si="162"/>
        <v>#N/A</v>
      </c>
      <c r="BF735" s="136" t="e">
        <f t="shared" si="163"/>
        <v>#N/A</v>
      </c>
      <c r="BG735" s="136" t="e">
        <f t="shared" si="164"/>
        <v>#N/A</v>
      </c>
    </row>
    <row r="736" spans="47:59" ht="11.25" customHeight="1">
      <c r="AU736" s="136">
        <f t="shared" si="154"/>
        <v>0.87492806436283255</v>
      </c>
      <c r="AV736" s="136">
        <f t="shared" si="165"/>
        <v>1.1499999999999171</v>
      </c>
      <c r="AW736" s="136">
        <f t="shared" si="155"/>
        <v>0.20593626871999438</v>
      </c>
      <c r="AX736" s="136" t="e">
        <f t="shared" si="156"/>
        <v>#N/A</v>
      </c>
      <c r="AY736" s="136">
        <f t="shared" si="157"/>
        <v>1.149989999999917</v>
      </c>
      <c r="AZ736" s="136">
        <f t="shared" si="158"/>
        <v>1.1500099999999172</v>
      </c>
      <c r="BA736" s="136">
        <f t="shared" si="159"/>
        <v>0.81545184843069229</v>
      </c>
      <c r="BB736" s="136">
        <f t="shared" si="160"/>
        <v>0.81545515085225428</v>
      </c>
      <c r="BC736" s="136" t="e">
        <f t="shared" si="161"/>
        <v>#N/A</v>
      </c>
      <c r="BD736" s="136" t="e">
        <f t="shared" si="166"/>
        <v>#N/A</v>
      </c>
      <c r="BE736" s="136" t="e">
        <f t="shared" si="162"/>
        <v>#N/A</v>
      </c>
      <c r="BF736" s="136" t="e">
        <f t="shared" si="163"/>
        <v>#N/A</v>
      </c>
      <c r="BG736" s="136" t="e">
        <f t="shared" si="164"/>
        <v>#N/A</v>
      </c>
    </row>
    <row r="737" spans="47:59" ht="11.25" customHeight="1">
      <c r="AU737" s="136">
        <f t="shared" si="154"/>
        <v>0.87697559694863958</v>
      </c>
      <c r="AV737" s="136">
        <f t="shared" si="165"/>
        <v>1.1599999999999171</v>
      </c>
      <c r="AW737" s="136">
        <f t="shared" si="155"/>
        <v>0.20357138829077898</v>
      </c>
      <c r="AX737" s="136" t="e">
        <f t="shared" si="156"/>
        <v>#N/A</v>
      </c>
      <c r="AY737" s="136">
        <f t="shared" si="157"/>
        <v>1.159989999999917</v>
      </c>
      <c r="AZ737" s="136">
        <f t="shared" si="158"/>
        <v>1.1600099999999172</v>
      </c>
      <c r="BA737" s="136">
        <f t="shared" si="159"/>
        <v>0.81709452803414351</v>
      </c>
      <c r="BB737" s="136">
        <f t="shared" si="160"/>
        <v>0.81709779631200719</v>
      </c>
      <c r="BC737" s="136" t="e">
        <f t="shared" si="161"/>
        <v>#N/A</v>
      </c>
      <c r="BD737" s="136" t="e">
        <f t="shared" si="166"/>
        <v>#N/A</v>
      </c>
      <c r="BE737" s="136" t="e">
        <f t="shared" si="162"/>
        <v>#N/A</v>
      </c>
      <c r="BF737" s="136" t="e">
        <f t="shared" si="163"/>
        <v>#N/A</v>
      </c>
      <c r="BG737" s="136" t="e">
        <f t="shared" si="164"/>
        <v>#N/A</v>
      </c>
    </row>
    <row r="738" spans="47:59" ht="11.25" customHeight="1">
      <c r="AU738" s="136">
        <f t="shared" si="154"/>
        <v>0.87899951557896494</v>
      </c>
      <c r="AV738" s="136">
        <f t="shared" si="165"/>
        <v>1.1699999999999171</v>
      </c>
      <c r="AW738" s="136">
        <f t="shared" si="155"/>
        <v>0.20121354273521685</v>
      </c>
      <c r="AX738" s="136" t="e">
        <f t="shared" si="156"/>
        <v>#N/A</v>
      </c>
      <c r="AY738" s="136">
        <f t="shared" si="157"/>
        <v>1.169989999999917</v>
      </c>
      <c r="AZ738" s="136">
        <f t="shared" si="158"/>
        <v>1.1700099999999172</v>
      </c>
      <c r="BA738" s="136">
        <f t="shared" si="159"/>
        <v>0.81872020967021464</v>
      </c>
      <c r="BB738" s="136">
        <f t="shared" si="160"/>
        <v>0.81872344410065601</v>
      </c>
      <c r="BC738" s="136" t="e">
        <f t="shared" si="161"/>
        <v>#N/A</v>
      </c>
      <c r="BD738" s="136" t="e">
        <f t="shared" si="166"/>
        <v>#N/A</v>
      </c>
      <c r="BE738" s="136" t="e">
        <f t="shared" si="162"/>
        <v>#N/A</v>
      </c>
      <c r="BF738" s="136" t="e">
        <f t="shared" si="163"/>
        <v>#N/A</v>
      </c>
      <c r="BG738" s="136" t="e">
        <f t="shared" si="164"/>
        <v>#N/A</v>
      </c>
    </row>
    <row r="739" spans="47:59" ht="11.25" customHeight="1">
      <c r="AU739" s="136">
        <f t="shared" si="154"/>
        <v>0.88099989254478284</v>
      </c>
      <c r="AV739" s="136">
        <f t="shared" si="165"/>
        <v>1.1799999999999171</v>
      </c>
      <c r="AW739" s="136">
        <f t="shared" si="155"/>
        <v>0.19886311938729531</v>
      </c>
      <c r="AX739" s="136" t="e">
        <f t="shared" si="156"/>
        <v>#N/A</v>
      </c>
      <c r="AY739" s="136">
        <f t="shared" si="157"/>
        <v>1.179989999999917</v>
      </c>
      <c r="AZ739" s="136">
        <f t="shared" si="158"/>
        <v>1.1800099999999172</v>
      </c>
      <c r="BA739" s="136">
        <f t="shared" si="159"/>
        <v>0.82032904169797183</v>
      </c>
      <c r="BB739" s="136">
        <f t="shared" si="160"/>
        <v>0.82033224257812631</v>
      </c>
      <c r="BC739" s="136" t="e">
        <f t="shared" si="161"/>
        <v>#N/A</v>
      </c>
      <c r="BD739" s="136" t="e">
        <f t="shared" si="166"/>
        <v>#N/A</v>
      </c>
      <c r="BE739" s="136" t="e">
        <f t="shared" si="162"/>
        <v>#N/A</v>
      </c>
      <c r="BF739" s="136" t="e">
        <f t="shared" si="163"/>
        <v>#N/A</v>
      </c>
      <c r="BG739" s="136" t="e">
        <f t="shared" si="164"/>
        <v>#N/A</v>
      </c>
    </row>
    <row r="740" spans="47:59" ht="11.25" customHeight="1">
      <c r="AU740" s="136">
        <f t="shared" si="154"/>
        <v>0.88297680397687495</v>
      </c>
      <c r="AV740" s="136">
        <f t="shared" si="165"/>
        <v>1.1899999999999171</v>
      </c>
      <c r="AW740" s="136">
        <f t="shared" si="155"/>
        <v>0.19652049886215589</v>
      </c>
      <c r="AX740" s="136" t="e">
        <f t="shared" si="156"/>
        <v>#N/A</v>
      </c>
      <c r="AY740" s="136">
        <f t="shared" si="157"/>
        <v>1.1899899999999171</v>
      </c>
      <c r="AZ740" s="136">
        <f t="shared" si="158"/>
        <v>1.1900099999999172</v>
      </c>
      <c r="BA740" s="136">
        <f t="shared" si="159"/>
        <v>0.82192117286627564</v>
      </c>
      <c r="BB740" s="136">
        <f t="shared" si="160"/>
        <v>0.82192434049397922</v>
      </c>
      <c r="BC740" s="136" t="e">
        <f t="shared" si="161"/>
        <v>#N/A</v>
      </c>
      <c r="BD740" s="136" t="e">
        <f t="shared" si="166"/>
        <v>#N/A</v>
      </c>
      <c r="BE740" s="136" t="e">
        <f t="shared" si="162"/>
        <v>#N/A</v>
      </c>
      <c r="BF740" s="136" t="e">
        <f t="shared" si="163"/>
        <v>#N/A</v>
      </c>
      <c r="BG740" s="136" t="e">
        <f t="shared" si="164"/>
        <v>#N/A</v>
      </c>
    </row>
    <row r="741" spans="47:59" ht="11.25" customHeight="1">
      <c r="AU741" s="136">
        <f t="shared" si="154"/>
        <v>0.88493032977827557</v>
      </c>
      <c r="AV741" s="136">
        <f t="shared" si="165"/>
        <v>1.1999999999999171</v>
      </c>
      <c r="AW741" s="136">
        <f t="shared" si="155"/>
        <v>0.19418605498323221</v>
      </c>
      <c r="AX741" s="136" t="e">
        <f t="shared" si="156"/>
        <v>#N/A</v>
      </c>
      <c r="AY741" s="136">
        <f t="shared" si="157"/>
        <v>1.1999899999999171</v>
      </c>
      <c r="AZ741" s="136">
        <f t="shared" si="158"/>
        <v>1.2000099999999172</v>
      </c>
      <c r="BA741" s="136">
        <f t="shared" si="159"/>
        <v>0.82349675223680152</v>
      </c>
      <c r="BB741" s="136">
        <f t="shared" si="160"/>
        <v>0.82349988691044085</v>
      </c>
      <c r="BC741" s="136" t="e">
        <f t="shared" si="161"/>
        <v>#N/A</v>
      </c>
      <c r="BD741" s="136" t="e">
        <f t="shared" si="166"/>
        <v>#N/A</v>
      </c>
      <c r="BE741" s="136" t="e">
        <f t="shared" si="162"/>
        <v>#N/A</v>
      </c>
      <c r="BF741" s="136" t="e">
        <f t="shared" si="163"/>
        <v>#N/A</v>
      </c>
      <c r="BG741" s="136" t="e">
        <f t="shared" si="164"/>
        <v>#N/A</v>
      </c>
    </row>
    <row r="742" spans="47:59" ht="11.25" customHeight="1">
      <c r="AU742" s="136">
        <f t="shared" si="154"/>
        <v>0.88686055355600679</v>
      </c>
      <c r="AV742" s="136">
        <f t="shared" si="165"/>
        <v>1.2099999999999171</v>
      </c>
      <c r="AW742" s="136">
        <f t="shared" si="155"/>
        <v>0.19186015471361859</v>
      </c>
      <c r="AX742" s="136" t="e">
        <f t="shared" si="156"/>
        <v>#N/A</v>
      </c>
      <c r="AY742" s="136">
        <f t="shared" si="157"/>
        <v>1.2099899999999171</v>
      </c>
      <c r="AZ742" s="136">
        <f t="shared" si="158"/>
        <v>1.2100099999999172</v>
      </c>
      <c r="BA742" s="136">
        <f t="shared" si="159"/>
        <v>0.82505592910973324</v>
      </c>
      <c r="BB742" s="136">
        <f t="shared" si="160"/>
        <v>0.82505903112809964</v>
      </c>
      <c r="BC742" s="136" t="e">
        <f t="shared" si="161"/>
        <v>#N/A</v>
      </c>
      <c r="BD742" s="136" t="e">
        <f t="shared" si="166"/>
        <v>#N/A</v>
      </c>
      <c r="BE742" s="136" t="e">
        <f t="shared" si="162"/>
        <v>#N/A</v>
      </c>
      <c r="BF742" s="136" t="e">
        <f t="shared" si="163"/>
        <v>#N/A</v>
      </c>
      <c r="BG742" s="136" t="e">
        <f t="shared" si="164"/>
        <v>#N/A</v>
      </c>
    </row>
    <row r="743" spans="47:59" ht="11.25" customHeight="1">
      <c r="AU743" s="136">
        <f t="shared" si="154"/>
        <v>0.8887675625521495</v>
      </c>
      <c r="AV743" s="136">
        <f t="shared" si="165"/>
        <v>1.2199999999999172</v>
      </c>
      <c r="AW743" s="136">
        <f t="shared" si="155"/>
        <v>0.18954315809165936</v>
      </c>
      <c r="AX743" s="136" t="e">
        <f t="shared" si="156"/>
        <v>#N/A</v>
      </c>
      <c r="AY743" s="136">
        <f t="shared" si="157"/>
        <v>1.2199899999999171</v>
      </c>
      <c r="AZ743" s="136">
        <f t="shared" si="158"/>
        <v>1.2200099999999172</v>
      </c>
      <c r="BA743" s="136">
        <f t="shared" si="159"/>
        <v>0.8265988529520869</v>
      </c>
      <c r="BB743" s="136">
        <f t="shared" si="160"/>
        <v>0.82660192261423449</v>
      </c>
      <c r="BC743" s="136" t="e">
        <f t="shared" si="161"/>
        <v>#N/A</v>
      </c>
      <c r="BD743" s="136" t="e">
        <f t="shared" si="166"/>
        <v>#N/A</v>
      </c>
      <c r="BE743" s="136" t="e">
        <f t="shared" si="162"/>
        <v>#N/A</v>
      </c>
      <c r="BF743" s="136" t="e">
        <f t="shared" si="163"/>
        <v>#N/A</v>
      </c>
      <c r="BG743" s="136" t="e">
        <f t="shared" si="164"/>
        <v>#N/A</v>
      </c>
    </row>
    <row r="744" spans="47:59" ht="11.25" customHeight="1">
      <c r="AU744" s="136">
        <f t="shared" si="154"/>
        <v>0.8906514475742926</v>
      </c>
      <c r="AV744" s="136">
        <f t="shared" si="165"/>
        <v>1.2299999999999172</v>
      </c>
      <c r="AW744" s="136">
        <f t="shared" si="155"/>
        <v>0.18723541817074857</v>
      </c>
      <c r="AX744" s="136" t="e">
        <f t="shared" si="156"/>
        <v>#N/A</v>
      </c>
      <c r="AY744" s="136">
        <f t="shared" si="157"/>
        <v>1.2299899999999171</v>
      </c>
      <c r="AZ744" s="136">
        <f t="shared" si="158"/>
        <v>1.2300099999999172</v>
      </c>
      <c r="BA744" s="136">
        <f t="shared" si="159"/>
        <v>0.82812567469847542</v>
      </c>
      <c r="BB744" s="136">
        <f t="shared" si="160"/>
        <v>0.82812871230321938</v>
      </c>
      <c r="BC744" s="136" t="e">
        <f t="shared" si="161"/>
        <v>#N/A</v>
      </c>
      <c r="BD744" s="136" t="e">
        <f t="shared" si="166"/>
        <v>#N/A</v>
      </c>
      <c r="BE744" s="136" t="e">
        <f t="shared" si="162"/>
        <v>#N/A</v>
      </c>
      <c r="BF744" s="136" t="e">
        <f t="shared" si="163"/>
        <v>#N/A</v>
      </c>
      <c r="BG744" s="136" t="e">
        <f t="shared" si="164"/>
        <v>#N/A</v>
      </c>
    </row>
    <row r="745" spans="47:59" ht="11.25" customHeight="1">
      <c r="AU745" s="136">
        <f t="shared" si="154"/>
        <v>0.89251230292539785</v>
      </c>
      <c r="AV745" s="136">
        <f t="shared" si="165"/>
        <v>1.2399999999999172</v>
      </c>
      <c r="AW745" s="136">
        <f t="shared" si="155"/>
        <v>0.18493728096332426</v>
      </c>
      <c r="AX745" s="136" t="e">
        <f t="shared" si="156"/>
        <v>#N/A</v>
      </c>
      <c r="AY745" s="136">
        <f t="shared" si="157"/>
        <v>1.2399899999999171</v>
      </c>
      <c r="AZ745" s="136">
        <f t="shared" si="158"/>
        <v>1.2400099999999172</v>
      </c>
      <c r="BA745" s="136">
        <f t="shared" si="159"/>
        <v>0.82963654103365625</v>
      </c>
      <c r="BB745" s="136">
        <f t="shared" si="160"/>
        <v>0.8296395468805926</v>
      </c>
      <c r="BC745" s="136" t="e">
        <f t="shared" si="161"/>
        <v>#N/A</v>
      </c>
      <c r="BD745" s="136" t="e">
        <f t="shared" si="166"/>
        <v>#N/A</v>
      </c>
      <c r="BE745" s="136" t="e">
        <f t="shared" si="162"/>
        <v>#N/A</v>
      </c>
      <c r="BF745" s="136" t="e">
        <f t="shared" si="163"/>
        <v>#N/A</v>
      </c>
      <c r="BG745" s="136" t="e">
        <f t="shared" si="164"/>
        <v>#N/A</v>
      </c>
    </row>
    <row r="746" spans="47:59" ht="11.25" customHeight="1">
      <c r="AU746" s="136">
        <f t="shared" si="154"/>
        <v>0.89435022633312944</v>
      </c>
      <c r="AV746" s="136">
        <f t="shared" si="165"/>
        <v>1.2499999999999172</v>
      </c>
      <c r="AW746" s="136">
        <f t="shared" si="155"/>
        <v>0.18264908538904079</v>
      </c>
      <c r="AX746" s="136" t="e">
        <f t="shared" si="156"/>
        <v>#N/A</v>
      </c>
      <c r="AY746" s="136">
        <f t="shared" si="157"/>
        <v>1.2499899999999171</v>
      </c>
      <c r="AZ746" s="136">
        <f t="shared" si="158"/>
        <v>1.2500099999999172</v>
      </c>
      <c r="BA746" s="136">
        <f t="shared" si="159"/>
        <v>0.83113160308465406</v>
      </c>
      <c r="BB746" s="136">
        <f t="shared" si="160"/>
        <v>0.83113457747282782</v>
      </c>
      <c r="BC746" s="136" t="e">
        <f t="shared" si="161"/>
        <v>#N/A</v>
      </c>
      <c r="BD746" s="136" t="e">
        <f t="shared" si="166"/>
        <v>#N/A</v>
      </c>
      <c r="BE746" s="136" t="e">
        <f t="shared" si="162"/>
        <v>#N/A</v>
      </c>
      <c r="BF746" s="136" t="e">
        <f t="shared" si="163"/>
        <v>#N/A</v>
      </c>
      <c r="BG746" s="136" t="e">
        <f t="shared" si="164"/>
        <v>#N/A</v>
      </c>
    </row>
    <row r="747" spans="47:59" ht="11.25" customHeight="1">
      <c r="AU747" s="136">
        <f t="shared" si="154"/>
        <v>0.89616531887868467</v>
      </c>
      <c r="AV747" s="136">
        <f t="shared" si="165"/>
        <v>1.2599999999999172</v>
      </c>
      <c r="AW747" s="136">
        <f t="shared" si="155"/>
        <v>0.18037116322709912</v>
      </c>
      <c r="AX747" s="136" t="e">
        <f t="shared" si="156"/>
        <v>#N/A</v>
      </c>
      <c r="AY747" s="136">
        <f t="shared" si="157"/>
        <v>1.2599899999999171</v>
      </c>
      <c r="AZ747" s="136">
        <f t="shared" si="158"/>
        <v>1.2600099999999173</v>
      </c>
      <c r="BA747" s="136">
        <f t="shared" si="159"/>
        <v>0.83261101031695484</v>
      </c>
      <c r="BB747" s="136">
        <f t="shared" si="160"/>
        <v>0.83261395354516277</v>
      </c>
      <c r="BC747" s="136" t="e">
        <f t="shared" si="161"/>
        <v>#N/A</v>
      </c>
      <c r="BD747" s="136" t="e">
        <f t="shared" si="166"/>
        <v>#N/A</v>
      </c>
      <c r="BE747" s="136" t="e">
        <f t="shared" si="162"/>
        <v>#N/A</v>
      </c>
      <c r="BF747" s="136" t="e">
        <f t="shared" si="163"/>
        <v>#N/A</v>
      </c>
      <c r="BG747" s="136" t="e">
        <f t="shared" si="164"/>
        <v>#N/A</v>
      </c>
    </row>
    <row r="748" spans="47:59" ht="11.25" customHeight="1">
      <c r="AU748" s="136">
        <f t="shared" si="154"/>
        <v>0.89795768492516603</v>
      </c>
      <c r="AV748" s="136">
        <f t="shared" si="165"/>
        <v>1.2699999999999172</v>
      </c>
      <c r="AW748" s="136">
        <f t="shared" si="155"/>
        <v>0.17810383907271227</v>
      </c>
      <c r="AX748" s="136" t="e">
        <f t="shared" si="156"/>
        <v>#N/A</v>
      </c>
      <c r="AY748" s="136">
        <f t="shared" si="157"/>
        <v>1.2699899999999171</v>
      </c>
      <c r="AZ748" s="136">
        <f t="shared" si="158"/>
        <v>1.2700099999999173</v>
      </c>
      <c r="BA748" s="136">
        <f t="shared" si="159"/>
        <v>0.83407491204272721</v>
      </c>
      <c r="BB748" s="136">
        <f t="shared" si="160"/>
        <v>0.8340778244094017</v>
      </c>
      <c r="BC748" s="136" t="e">
        <f t="shared" si="161"/>
        <v>#N/A</v>
      </c>
      <c r="BD748" s="136" t="e">
        <f t="shared" si="166"/>
        <v>#N/A</v>
      </c>
      <c r="BE748" s="136" t="e">
        <f t="shared" si="162"/>
        <v>#N/A</v>
      </c>
      <c r="BF748" s="136" t="e">
        <f t="shared" si="163"/>
        <v>#N/A</v>
      </c>
      <c r="BG748" s="136" t="e">
        <f t="shared" si="164"/>
        <v>#N/A</v>
      </c>
    </row>
    <row r="749" spans="47:59" ht="11.25" customHeight="1">
      <c r="AU749" s="136">
        <f t="shared" si="154"/>
        <v>0.89972743204554328</v>
      </c>
      <c r="AV749" s="136">
        <f t="shared" si="165"/>
        <v>1.2799999999999172</v>
      </c>
      <c r="AW749" s="136">
        <f t="shared" si="155"/>
        <v>0.17584743029768099</v>
      </c>
      <c r="AX749" s="136" t="e">
        <f t="shared" si="156"/>
        <v>#N/A</v>
      </c>
      <c r="AY749" s="136">
        <f t="shared" si="157"/>
        <v>1.2799899999999171</v>
      </c>
      <c r="AZ749" s="136">
        <f t="shared" si="158"/>
        <v>1.2800099999999173</v>
      </c>
      <c r="BA749" s="136">
        <f t="shared" si="159"/>
        <v>0.83552345736387901</v>
      </c>
      <c r="BB749" s="136">
        <f t="shared" si="160"/>
        <v>0.83552633916697594</v>
      </c>
      <c r="BC749" s="136" t="e">
        <f t="shared" si="161"/>
        <v>#N/A</v>
      </c>
      <c r="BD749" s="136" t="e">
        <f t="shared" si="166"/>
        <v>#N/A</v>
      </c>
      <c r="BE749" s="136" t="e">
        <f t="shared" si="162"/>
        <v>#N/A</v>
      </c>
      <c r="BF749" s="136" t="e">
        <f t="shared" si="163"/>
        <v>#N/A</v>
      </c>
      <c r="BG749" s="136" t="e">
        <f t="shared" si="164"/>
        <v>#N/A</v>
      </c>
    </row>
    <row r="750" spans="47:59" ht="11.25" customHeight="1">
      <c r="AU750" s="136">
        <f t="shared" si="154"/>
        <v>0.90147467095023792</v>
      </c>
      <c r="AV750" s="136">
        <f t="shared" si="165"/>
        <v>1.2899999999999172</v>
      </c>
      <c r="AW750" s="136">
        <f t="shared" si="155"/>
        <v>0.1736022470150515</v>
      </c>
      <c r="AX750" s="136" t="e">
        <f t="shared" si="156"/>
        <v>#N/A</v>
      </c>
      <c r="AY750" s="136">
        <f t="shared" si="157"/>
        <v>1.2899899999999171</v>
      </c>
      <c r="AZ750" s="136">
        <f t="shared" si="158"/>
        <v>1.2900099999999173</v>
      </c>
      <c r="BA750" s="136">
        <f t="shared" si="159"/>
        <v>0.83695679511741372</v>
      </c>
      <c r="BB750" s="136">
        <f t="shared" si="160"/>
        <v>0.83695964665430655</v>
      </c>
      <c r="BC750" s="136" t="e">
        <f t="shared" si="161"/>
        <v>#N/A</v>
      </c>
      <c r="BD750" s="136" t="e">
        <f t="shared" si="166"/>
        <v>#N/A</v>
      </c>
      <c r="BE750" s="136" t="e">
        <f t="shared" si="162"/>
        <v>#N/A</v>
      </c>
      <c r="BF750" s="136" t="e">
        <f t="shared" si="163"/>
        <v>#N/A</v>
      </c>
      <c r="BG750" s="136" t="e">
        <f t="shared" si="164"/>
        <v>#N/A</v>
      </c>
    </row>
    <row r="751" spans="47:59" ht="11.25" customHeight="1">
      <c r="AU751" s="136">
        <f t="shared" si="154"/>
        <v>0.90319951541437549</v>
      </c>
      <c r="AV751" s="136">
        <f t="shared" si="165"/>
        <v>1.2999999999999172</v>
      </c>
      <c r="AW751" s="136">
        <f t="shared" si="155"/>
        <v>0.17136859204782579</v>
      </c>
      <c r="AX751" s="136" t="e">
        <f t="shared" si="156"/>
        <v>#N/A</v>
      </c>
      <c r="AY751" s="136">
        <f t="shared" si="157"/>
        <v>1.2999899999999172</v>
      </c>
      <c r="AZ751" s="136">
        <f t="shared" si="158"/>
        <v>1.3000099999999173</v>
      </c>
      <c r="BA751" s="136">
        <f t="shared" si="159"/>
        <v>0.83837507382303877</v>
      </c>
      <c r="BB751" s="136">
        <f t="shared" si="160"/>
        <v>0.83837789539041485</v>
      </c>
      <c r="BC751" s="136" t="e">
        <f t="shared" si="161"/>
        <v>#N/A</v>
      </c>
      <c r="BD751" s="136" t="e">
        <f t="shared" si="166"/>
        <v>#N/A</v>
      </c>
      <c r="BE751" s="136" t="e">
        <f t="shared" si="162"/>
        <v>#N/A</v>
      </c>
      <c r="BF751" s="136" t="e">
        <f t="shared" si="163"/>
        <v>#N/A</v>
      </c>
      <c r="BG751" s="136" t="e">
        <f t="shared" si="164"/>
        <v>#N/A</v>
      </c>
    </row>
    <row r="752" spans="47:59" ht="11.25" customHeight="1">
      <c r="AU752" s="136">
        <f t="shared" si="154"/>
        <v>0.90490208220474699</v>
      </c>
      <c r="AV752" s="136">
        <f t="shared" si="165"/>
        <v>1.3099999999999172</v>
      </c>
      <c r="AW752" s="136">
        <f t="shared" si="155"/>
        <v>0.16914676090169073</v>
      </c>
      <c r="AX752" s="136" t="e">
        <f t="shared" si="156"/>
        <v>#N/A</v>
      </c>
      <c r="AY752" s="136">
        <f t="shared" si="157"/>
        <v>1.3099899999999172</v>
      </c>
      <c r="AZ752" s="136">
        <f t="shared" si="158"/>
        <v>1.3100099999999173</v>
      </c>
      <c r="BA752" s="136">
        <f t="shared" si="159"/>
        <v>0.83977844163297255</v>
      </c>
      <c r="BB752" s="136">
        <f t="shared" si="160"/>
        <v>0.83978123352673562</v>
      </c>
      <c r="BC752" s="136" t="e">
        <f t="shared" si="161"/>
        <v>#N/A</v>
      </c>
      <c r="BD752" s="136" t="e">
        <f t="shared" si="166"/>
        <v>#N/A</v>
      </c>
      <c r="BE752" s="136" t="e">
        <f t="shared" si="162"/>
        <v>#N/A</v>
      </c>
      <c r="BF752" s="136" t="e">
        <f t="shared" si="163"/>
        <v>#N/A</v>
      </c>
      <c r="BG752" s="136" t="e">
        <f t="shared" si="164"/>
        <v>#N/A</v>
      </c>
    </row>
    <row r="753" spans="47:59" ht="11.25" customHeight="1">
      <c r="AU753" s="136">
        <f t="shared" si="154"/>
        <v>0.90658249100651433</v>
      </c>
      <c r="AV753" s="136">
        <f t="shared" si="165"/>
        <v>1.3199999999999172</v>
      </c>
      <c r="AW753" s="136">
        <f t="shared" si="155"/>
        <v>0.16693704174173205</v>
      </c>
      <c r="AX753" s="136" t="e">
        <f t="shared" si="156"/>
        <v>#N/A</v>
      </c>
      <c r="AY753" s="136">
        <f t="shared" si="157"/>
        <v>1.3199899999999172</v>
      </c>
      <c r="AZ753" s="136">
        <f t="shared" si="158"/>
        <v>1.3200099999999173</v>
      </c>
      <c r="BA753" s="136">
        <f t="shared" si="159"/>
        <v>0.84116704628389616</v>
      </c>
      <c r="BB753" s="136">
        <f t="shared" si="160"/>
        <v>0.84116980879907222</v>
      </c>
      <c r="BC753" s="136" t="e">
        <f t="shared" si="161"/>
        <v>#N/A</v>
      </c>
      <c r="BD753" s="136" t="e">
        <f t="shared" si="166"/>
        <v>#N/A</v>
      </c>
      <c r="BE753" s="136" t="e">
        <f t="shared" si="162"/>
        <v>#N/A</v>
      </c>
      <c r="BF753" s="136" t="e">
        <f t="shared" si="163"/>
        <v>#N/A</v>
      </c>
      <c r="BG753" s="136" t="e">
        <f t="shared" si="164"/>
        <v>#N/A</v>
      </c>
    </row>
    <row r="754" spans="47:59" ht="11.25" customHeight="1">
      <c r="AU754" s="136">
        <f t="shared" si="154"/>
        <v>0.90824086434970552</v>
      </c>
      <c r="AV754" s="136">
        <f t="shared" si="165"/>
        <v>1.3299999999999172</v>
      </c>
      <c r="AW754" s="136">
        <f t="shared" si="155"/>
        <v>0.16473971537309495</v>
      </c>
      <c r="AX754" s="136" t="e">
        <f t="shared" si="156"/>
        <v>#N/A</v>
      </c>
      <c r="AY754" s="136">
        <f t="shared" si="157"/>
        <v>1.3299899999999172</v>
      </c>
      <c r="AZ754" s="136">
        <f t="shared" si="158"/>
        <v>1.3300099999999173</v>
      </c>
      <c r="BA754" s="136">
        <f t="shared" si="159"/>
        <v>0.84254103505100231</v>
      </c>
      <c r="BB754" s="136">
        <f t="shared" si="160"/>
        <v>0.84254376848164969</v>
      </c>
      <c r="BC754" s="136" t="e">
        <f t="shared" si="161"/>
        <v>#N/A</v>
      </c>
      <c r="BD754" s="136" t="e">
        <f t="shared" si="166"/>
        <v>#N/A</v>
      </c>
      <c r="BE754" s="136" t="e">
        <f t="shared" si="162"/>
        <v>#N/A</v>
      </c>
      <c r="BF754" s="136" t="e">
        <f t="shared" si="163"/>
        <v>#N/A</v>
      </c>
      <c r="BG754" s="136" t="e">
        <f t="shared" si="164"/>
        <v>#N/A</v>
      </c>
    </row>
    <row r="755" spans="47:59" ht="11.25" customHeight="1">
      <c r="AU755" s="136">
        <f t="shared" si="154"/>
        <v>0.90987732753553408</v>
      </c>
      <c r="AV755" s="136">
        <f t="shared" si="165"/>
        <v>1.3399999999999173</v>
      </c>
      <c r="AW755" s="136">
        <f t="shared" si="155"/>
        <v>0.16255505522555216</v>
      </c>
      <c r="AX755" s="136" t="e">
        <f t="shared" si="156"/>
        <v>#N/A</v>
      </c>
      <c r="AY755" s="136">
        <f t="shared" si="157"/>
        <v>1.3399899999999172</v>
      </c>
      <c r="AZ755" s="136">
        <f t="shared" si="158"/>
        <v>1.3400099999999173</v>
      </c>
      <c r="BA755" s="136">
        <f t="shared" si="159"/>
        <v>0.84390055470408509</v>
      </c>
      <c r="BB755" s="136">
        <f t="shared" si="160"/>
        <v>0.84390325934320864</v>
      </c>
      <c r="BC755" s="136" t="e">
        <f t="shared" si="161"/>
        <v>#N/A</v>
      </c>
      <c r="BD755" s="136" t="e">
        <f t="shared" si="166"/>
        <v>#N/A</v>
      </c>
      <c r="BE755" s="136" t="e">
        <f t="shared" si="162"/>
        <v>#N/A</v>
      </c>
      <c r="BF755" s="136" t="e">
        <f t="shared" si="163"/>
        <v>#N/A</v>
      </c>
      <c r="BG755" s="136" t="e">
        <f t="shared" si="164"/>
        <v>#N/A</v>
      </c>
    </row>
    <row r="756" spans="47:59" ht="11.25" customHeight="1">
      <c r="AU756" s="136">
        <f t="shared" si="154"/>
        <v>0.91149200856258461</v>
      </c>
      <c r="AV756" s="136">
        <f t="shared" si="165"/>
        <v>1.3499999999999173</v>
      </c>
      <c r="AW756" s="136">
        <f t="shared" si="155"/>
        <v>0.1603833273419375</v>
      </c>
      <c r="AX756" s="136" t="e">
        <f t="shared" si="156"/>
        <v>#N/A</v>
      </c>
      <c r="AY756" s="136">
        <f t="shared" si="157"/>
        <v>1.3499899999999172</v>
      </c>
      <c r="AZ756" s="136">
        <f t="shared" si="158"/>
        <v>1.3500099999999173</v>
      </c>
      <c r="BA756" s="136">
        <f t="shared" si="159"/>
        <v>0.84524575146562275</v>
      </c>
      <c r="BB756" s="136">
        <f t="shared" si="160"/>
        <v>0.845248427605092</v>
      </c>
      <c r="BC756" s="136" t="e">
        <f t="shared" si="161"/>
        <v>#N/A</v>
      </c>
      <c r="BD756" s="136" t="e">
        <f t="shared" si="166"/>
        <v>#N/A</v>
      </c>
      <c r="BE756" s="136" t="e">
        <f t="shared" si="162"/>
        <v>#N/A</v>
      </c>
      <c r="BF756" s="136" t="e">
        <f t="shared" si="163"/>
        <v>#N/A</v>
      </c>
      <c r="BG756" s="136" t="e">
        <f t="shared" si="164"/>
        <v>#N/A</v>
      </c>
    </row>
    <row r="757" spans="47:59" ht="11.25" customHeight="1">
      <c r="AU757" s="136">
        <f t="shared" si="154"/>
        <v>0.91308503805290187</v>
      </c>
      <c r="AV757" s="136">
        <f t="shared" si="165"/>
        <v>1.3599999999999173</v>
      </c>
      <c r="AW757" s="136">
        <f t="shared" si="155"/>
        <v>0.15822479037040083</v>
      </c>
      <c r="AX757" s="136" t="e">
        <f t="shared" si="156"/>
        <v>#N/A</v>
      </c>
      <c r="AY757" s="136">
        <f t="shared" si="157"/>
        <v>1.3599899999999172</v>
      </c>
      <c r="AZ757" s="136">
        <f t="shared" si="158"/>
        <v>1.3600099999999173</v>
      </c>
      <c r="BA757" s="136">
        <f t="shared" si="159"/>
        <v>0.84657677097079831</v>
      </c>
      <c r="BB757" s="136">
        <f t="shared" si="160"/>
        <v>0.84657941890126942</v>
      </c>
      <c r="BC757" s="136" t="e">
        <f t="shared" si="161"/>
        <v>#N/A</v>
      </c>
      <c r="BD757" s="136" t="e">
        <f t="shared" si="166"/>
        <v>#N/A</v>
      </c>
      <c r="BE757" s="136" t="e">
        <f t="shared" si="162"/>
        <v>#N/A</v>
      </c>
      <c r="BF757" s="136" t="e">
        <f t="shared" si="163"/>
        <v>#N/A</v>
      </c>
      <c r="BG757" s="136" t="e">
        <f t="shared" si="164"/>
        <v>#N/A</v>
      </c>
    </row>
    <row r="758" spans="47:59" ht="11.25" customHeight="1">
      <c r="AU758" s="136">
        <f t="shared" si="154"/>
        <v>0.91465654917802008</v>
      </c>
      <c r="AV758" s="136">
        <f t="shared" si="165"/>
        <v>1.3699999999999173</v>
      </c>
      <c r="AW758" s="136">
        <f t="shared" si="155"/>
        <v>0.15607969556043855</v>
      </c>
      <c r="AX758" s="136" t="e">
        <f t="shared" si="156"/>
        <v>#N/A</v>
      </c>
      <c r="AY758" s="136">
        <f t="shared" si="157"/>
        <v>1.3699899999999172</v>
      </c>
      <c r="AZ758" s="136">
        <f t="shared" si="158"/>
        <v>1.3700099999999173</v>
      </c>
      <c r="BA758" s="136">
        <f t="shared" si="159"/>
        <v>0.84789375822941104</v>
      </c>
      <c r="BB758" s="136">
        <f t="shared" si="160"/>
        <v>0.8478963782402521</v>
      </c>
      <c r="BC758" s="136" t="e">
        <f t="shared" si="161"/>
        <v>#N/A</v>
      </c>
      <c r="BD758" s="136" t="e">
        <f t="shared" si="166"/>
        <v>#N/A</v>
      </c>
      <c r="BE758" s="136" t="e">
        <f t="shared" si="162"/>
        <v>#N/A</v>
      </c>
      <c r="BF758" s="136" t="e">
        <f t="shared" si="163"/>
        <v>#N/A</v>
      </c>
      <c r="BG758" s="136" t="e">
        <f t="shared" si="164"/>
        <v>#N/A</v>
      </c>
    </row>
    <row r="759" spans="47:59" ht="11.25" customHeight="1">
      <c r="AU759" s="136">
        <f t="shared" si="154"/>
        <v>0.91620667758497309</v>
      </c>
      <c r="AV759" s="136">
        <f t="shared" si="165"/>
        <v>1.3799999999999173</v>
      </c>
      <c r="AW759" s="136">
        <f t="shared" si="155"/>
        <v>0.15394828676265124</v>
      </c>
      <c r="AX759" s="136" t="e">
        <f t="shared" si="156"/>
        <v>#N/A</v>
      </c>
      <c r="AY759" s="136">
        <f t="shared" si="157"/>
        <v>1.3799899999999172</v>
      </c>
      <c r="AZ759" s="136">
        <f t="shared" si="158"/>
        <v>1.3800099999999174</v>
      </c>
      <c r="BA759" s="136">
        <f t="shared" si="159"/>
        <v>0.84919685758962382</v>
      </c>
      <c r="BB759" s="136">
        <f t="shared" si="160"/>
        <v>0.849199449968845</v>
      </c>
      <c r="BC759" s="136" t="e">
        <f t="shared" si="161"/>
        <v>#N/A</v>
      </c>
      <c r="BD759" s="136" t="e">
        <f t="shared" si="166"/>
        <v>#N/A</v>
      </c>
      <c r="BE759" s="136" t="e">
        <f t="shared" si="162"/>
        <v>#N/A</v>
      </c>
      <c r="BF759" s="136" t="e">
        <f t="shared" si="163"/>
        <v>#N/A</v>
      </c>
      <c r="BG759" s="136" t="e">
        <f t="shared" si="164"/>
        <v>#N/A</v>
      </c>
    </row>
    <row r="760" spans="47:59" ht="11.25" customHeight="1">
      <c r="AU760" s="136">
        <f t="shared" si="154"/>
        <v>0.91773556132231848</v>
      </c>
      <c r="AV760" s="136">
        <f t="shared" si="165"/>
        <v>1.3899999999999173</v>
      </c>
      <c r="AW760" s="136">
        <f t="shared" si="155"/>
        <v>0.15183080043217911</v>
      </c>
      <c r="AX760" s="136" t="e">
        <f t="shared" si="156"/>
        <v>#N/A</v>
      </c>
      <c r="AY760" s="136">
        <f t="shared" si="157"/>
        <v>1.3899899999999172</v>
      </c>
      <c r="AZ760" s="136">
        <f t="shared" si="158"/>
        <v>1.3900099999999174</v>
      </c>
      <c r="BA760" s="136">
        <f t="shared" si="159"/>
        <v>0.85048621270349978</v>
      </c>
      <c r="BB760" s="136">
        <f t="shared" si="160"/>
        <v>0.85048877773768572</v>
      </c>
      <c r="BC760" s="136" t="e">
        <f t="shared" si="161"/>
        <v>#N/A</v>
      </c>
      <c r="BD760" s="136" t="e">
        <f t="shared" si="166"/>
        <v>#N/A</v>
      </c>
      <c r="BE760" s="136" t="e">
        <f t="shared" si="162"/>
        <v>#N/A</v>
      </c>
      <c r="BF760" s="136" t="e">
        <f t="shared" si="163"/>
        <v>#N/A</v>
      </c>
      <c r="BG760" s="136" t="e">
        <f t="shared" si="164"/>
        <v>#N/A</v>
      </c>
    </row>
    <row r="761" spans="47:59" ht="11.25" customHeight="1">
      <c r="AU761" s="136">
        <f t="shared" si="154"/>
        <v>0.9192433407662165</v>
      </c>
      <c r="AV761" s="136">
        <f t="shared" si="165"/>
        <v>1.3999999999999173</v>
      </c>
      <c r="AW761" s="136">
        <f t="shared" si="155"/>
        <v>0.14972746563576217</v>
      </c>
      <c r="AX761" s="136" t="e">
        <f t="shared" si="156"/>
        <v>#N/A</v>
      </c>
      <c r="AY761" s="136">
        <f t="shared" si="157"/>
        <v>1.3999899999999172</v>
      </c>
      <c r="AZ761" s="136">
        <f t="shared" si="158"/>
        <v>1.4000099999999174</v>
      </c>
      <c r="BA761" s="136">
        <f t="shared" si="159"/>
        <v>0.85176196649427538</v>
      </c>
      <c r="BB761" s="136">
        <f t="shared" si="160"/>
        <v>0.85176450446852114</v>
      </c>
      <c r="BC761" s="136" t="e">
        <f t="shared" si="161"/>
        <v>#N/A</v>
      </c>
      <c r="BD761" s="136" t="e">
        <f t="shared" si="166"/>
        <v>#N/A</v>
      </c>
      <c r="BE761" s="136" t="e">
        <f t="shared" si="162"/>
        <v>#N/A</v>
      </c>
      <c r="BF761" s="136" t="e">
        <f t="shared" si="163"/>
        <v>#N/A</v>
      </c>
      <c r="BG761" s="136" t="e">
        <f t="shared" si="164"/>
        <v>#N/A</v>
      </c>
    </row>
    <row r="762" spans="47:59" ht="11.25" customHeight="1">
      <c r="AU762" s="136">
        <f t="shared" si="154"/>
        <v>0.92073015854659535</v>
      </c>
      <c r="AV762" s="136">
        <f t="shared" si="165"/>
        <v>1.4099999999999173</v>
      </c>
      <c r="AW762" s="136">
        <f t="shared" si="155"/>
        <v>0.14763850406237292</v>
      </c>
      <c r="AX762" s="136" t="e">
        <f t="shared" si="156"/>
        <v>#N/A</v>
      </c>
      <c r="AY762" s="136">
        <f t="shared" si="157"/>
        <v>1.4099899999999173</v>
      </c>
      <c r="AZ762" s="136">
        <f t="shared" si="158"/>
        <v>1.4100099999999174</v>
      </c>
      <c r="BA762" s="136">
        <f t="shared" si="159"/>
        <v>0.85302426112532259</v>
      </c>
      <c r="BB762" s="136">
        <f t="shared" si="160"/>
        <v>0.85302677232317348</v>
      </c>
      <c r="BC762" s="136" t="e">
        <f t="shared" si="161"/>
        <v>#N/A</v>
      </c>
      <c r="BD762" s="136" t="e">
        <f t="shared" si="166"/>
        <v>#N/A</v>
      </c>
      <c r="BE762" s="136" t="e">
        <f t="shared" si="162"/>
        <v>#N/A</v>
      </c>
      <c r="BF762" s="136" t="e">
        <f t="shared" si="163"/>
        <v>#N/A</v>
      </c>
      <c r="BG762" s="136" t="e">
        <f t="shared" si="164"/>
        <v>#N/A</v>
      </c>
    </row>
    <row r="763" spans="47:59" ht="11.25" customHeight="1">
      <c r="AU763" s="136">
        <f t="shared" si="154"/>
        <v>0.92219615947344158</v>
      </c>
      <c r="AV763" s="136">
        <f t="shared" si="165"/>
        <v>1.4199999999999173</v>
      </c>
      <c r="AW763" s="136">
        <f t="shared" si="155"/>
        <v>0.14556413003736468</v>
      </c>
      <c r="AX763" s="136" t="e">
        <f t="shared" si="156"/>
        <v>#N/A</v>
      </c>
      <c r="AY763" s="136">
        <f t="shared" si="157"/>
        <v>1.4199899999999173</v>
      </c>
      <c r="AZ763" s="136">
        <f t="shared" si="158"/>
        <v>1.4200099999999174</v>
      </c>
      <c r="BA763" s="136">
        <f t="shared" si="159"/>
        <v>0.85427323797074972</v>
      </c>
      <c r="BB763" s="136">
        <f t="shared" si="160"/>
        <v>0.85427572267414442</v>
      </c>
      <c r="BC763" s="136" t="e">
        <f t="shared" si="161"/>
        <v>#N/A</v>
      </c>
      <c r="BD763" s="136" t="e">
        <f t="shared" si="166"/>
        <v>#N/A</v>
      </c>
      <c r="BE763" s="136" t="e">
        <f t="shared" si="162"/>
        <v>#N/A</v>
      </c>
      <c r="BF763" s="136" t="e">
        <f t="shared" si="163"/>
        <v>#N/A</v>
      </c>
      <c r="BG763" s="136" t="e">
        <f t="shared" si="164"/>
        <v>#N/A</v>
      </c>
    </row>
    <row r="764" spans="47:59" ht="11.25" customHeight="1">
      <c r="AU764" s="136">
        <f t="shared" si="154"/>
        <v>0.92364149046324906</v>
      </c>
      <c r="AV764" s="136">
        <f t="shared" si="165"/>
        <v>1.4299999999999173</v>
      </c>
      <c r="AW764" s="136">
        <f t="shared" si="155"/>
        <v>0.14350455054007935</v>
      </c>
      <c r="AX764" s="136" t="e">
        <f t="shared" si="156"/>
        <v>#N/A</v>
      </c>
      <c r="AY764" s="136">
        <f t="shared" si="157"/>
        <v>1.4299899999999173</v>
      </c>
      <c r="AZ764" s="136">
        <f t="shared" si="158"/>
        <v>1.4300099999999174</v>
      </c>
      <c r="BA764" s="136">
        <f t="shared" si="159"/>
        <v>0.855509037587594</v>
      </c>
      <c r="BB764" s="136">
        <f t="shared" si="160"/>
        <v>0.85551149607680976</v>
      </c>
      <c r="BC764" s="136" t="e">
        <f t="shared" si="161"/>
        <v>#N/A</v>
      </c>
      <c r="BD764" s="136" t="e">
        <f t="shared" si="166"/>
        <v>#N/A</v>
      </c>
      <c r="BE764" s="136" t="e">
        <f t="shared" si="162"/>
        <v>#N/A</v>
      </c>
      <c r="BF764" s="136" t="e">
        <f t="shared" si="163"/>
        <v>#N/A</v>
      </c>
      <c r="BG764" s="136" t="e">
        <f t="shared" si="164"/>
        <v>#N/A</v>
      </c>
    </row>
    <row r="765" spans="47:59" ht="11.25" customHeight="1">
      <c r="AU765" s="136">
        <f t="shared" si="154"/>
        <v>0.92506630046566118</v>
      </c>
      <c r="AV765" s="136">
        <f t="shared" si="165"/>
        <v>1.4399999999999173</v>
      </c>
      <c r="AW765" s="136">
        <f t="shared" si="155"/>
        <v>0.14145996522485563</v>
      </c>
      <c r="AX765" s="136" t="e">
        <f t="shared" si="156"/>
        <v>#N/A</v>
      </c>
      <c r="AY765" s="136">
        <f t="shared" si="157"/>
        <v>1.4399899999999173</v>
      </c>
      <c r="AZ765" s="136">
        <f t="shared" si="158"/>
        <v>1.4400099999999174</v>
      </c>
      <c r="BA765" s="136">
        <f t="shared" si="159"/>
        <v>0.85673179968955671</v>
      </c>
      <c r="BB765" s="136">
        <f t="shared" si="160"/>
        <v>0.85673423224315959</v>
      </c>
      <c r="BC765" s="136" t="e">
        <f t="shared" si="161"/>
        <v>#N/A</v>
      </c>
      <c r="BD765" s="136" t="e">
        <f t="shared" si="166"/>
        <v>#N/A</v>
      </c>
      <c r="BE765" s="136" t="e">
        <f t="shared" si="162"/>
        <v>#N/A</v>
      </c>
      <c r="BF765" s="136" t="e">
        <f t="shared" si="163"/>
        <v>#N/A</v>
      </c>
      <c r="BG765" s="136" t="e">
        <f t="shared" si="164"/>
        <v>#N/A</v>
      </c>
    </row>
    <row r="766" spans="47:59" ht="11.25" customHeight="1">
      <c r="AU766" s="136">
        <f t="shared" si="154"/>
        <v>0.92647074039034005</v>
      </c>
      <c r="AV766" s="136">
        <f t="shared" si="165"/>
        <v>1.4499999999999174</v>
      </c>
      <c r="AW766" s="136">
        <f t="shared" si="155"/>
        <v>0.13943056644537696</v>
      </c>
      <c r="AX766" s="136" t="e">
        <f t="shared" si="156"/>
        <v>#N/A</v>
      </c>
      <c r="AY766" s="136">
        <f t="shared" si="157"/>
        <v>1.4499899999999173</v>
      </c>
      <c r="AZ766" s="136">
        <f t="shared" si="158"/>
        <v>1.4500099999999174</v>
      </c>
      <c r="BA766" s="136">
        <f t="shared" si="159"/>
        <v>0.85794166312223707</v>
      </c>
      <c r="BB766" s="136">
        <f t="shared" si="160"/>
        <v>0.85794407001703243</v>
      </c>
      <c r="BC766" s="136" t="e">
        <f t="shared" si="161"/>
        <v>#N/A</v>
      </c>
      <c r="BD766" s="136" t="e">
        <f t="shared" si="166"/>
        <v>#N/A</v>
      </c>
      <c r="BE766" s="136" t="e">
        <f t="shared" si="162"/>
        <v>#N/A</v>
      </c>
      <c r="BF766" s="136" t="e">
        <f t="shared" si="163"/>
        <v>#N/A</v>
      </c>
      <c r="BG766" s="136" t="e">
        <f t="shared" si="164"/>
        <v>#N/A</v>
      </c>
    </row>
    <row r="767" spans="47:59" ht="11.25" customHeight="1">
      <c r="AU767" s="136">
        <f t="shared" si="154"/>
        <v>0.92785496303409487</v>
      </c>
      <c r="AV767" s="136">
        <f t="shared" si="165"/>
        <v>1.4599999999999174</v>
      </c>
      <c r="AW767" s="136">
        <f t="shared" si="155"/>
        <v>0.13741653928229833</v>
      </c>
      <c r="AX767" s="136" t="e">
        <f t="shared" si="156"/>
        <v>#N/A</v>
      </c>
      <c r="AY767" s="136">
        <f t="shared" si="157"/>
        <v>1.4599899999999173</v>
      </c>
      <c r="AZ767" s="136">
        <f t="shared" si="158"/>
        <v>1.4600099999999174</v>
      </c>
      <c r="BA767" s="136">
        <f t="shared" si="159"/>
        <v>0.8591387658398133</v>
      </c>
      <c r="BB767" s="136">
        <f t="shared" si="160"/>
        <v>0.85914114735080127</v>
      </c>
      <c r="BC767" s="136" t="e">
        <f t="shared" si="161"/>
        <v>#N/A</v>
      </c>
      <c r="BD767" s="136" t="e">
        <f t="shared" si="166"/>
        <v>#N/A</v>
      </c>
      <c r="BE767" s="136" t="e">
        <f t="shared" si="162"/>
        <v>#N/A</v>
      </c>
      <c r="BF767" s="136" t="e">
        <f t="shared" si="163"/>
        <v>#N/A</v>
      </c>
      <c r="BG767" s="136" t="e">
        <f t="shared" si="164"/>
        <v>#N/A</v>
      </c>
    </row>
    <row r="768" spans="47:59" ht="11.25" customHeight="1">
      <c r="AU768" s="136">
        <f t="shared" si="154"/>
        <v>0.92921912300830323</v>
      </c>
      <c r="AV768" s="136">
        <f t="shared" si="165"/>
        <v>1.4699999999999174</v>
      </c>
      <c r="AW768" s="136">
        <f t="shared" si="155"/>
        <v>0.13541806157408773</v>
      </c>
      <c r="AX768" s="136" t="e">
        <f t="shared" si="156"/>
        <v>#N/A</v>
      </c>
      <c r="AY768" s="136">
        <f t="shared" si="157"/>
        <v>1.4699899999999173</v>
      </c>
      <c r="AZ768" s="136">
        <f t="shared" si="158"/>
        <v>1.4700099999999174</v>
      </c>
      <c r="BA768" s="136">
        <f t="shared" si="159"/>
        <v>0.8603232448831305</v>
      </c>
      <c r="BB768" s="136">
        <f t="shared" si="160"/>
        <v>0.86032560128346358</v>
      </c>
      <c r="BC768" s="136" t="e">
        <f t="shared" si="161"/>
        <v>#N/A</v>
      </c>
      <c r="BD768" s="136" t="e">
        <f t="shared" si="166"/>
        <v>#N/A</v>
      </c>
      <c r="BE768" s="136" t="e">
        <f t="shared" si="162"/>
        <v>#N/A</v>
      </c>
      <c r="BF768" s="136" t="e">
        <f t="shared" si="163"/>
        <v>#N/A</v>
      </c>
      <c r="BG768" s="136" t="e">
        <f t="shared" si="164"/>
        <v>#N/A</v>
      </c>
    </row>
    <row r="769" spans="47:59" ht="11.25" customHeight="1">
      <c r="AU769" s="136">
        <f t="shared" si="154"/>
        <v>0.93056337666665734</v>
      </c>
      <c r="AV769" s="136">
        <f t="shared" si="165"/>
        <v>1.4799999999999174</v>
      </c>
      <c r="AW769" s="136">
        <f t="shared" si="155"/>
        <v>0.13343530395101857</v>
      </c>
      <c r="AX769" s="136" t="e">
        <f t="shared" si="156"/>
        <v>#N/A</v>
      </c>
      <c r="AY769" s="136">
        <f t="shared" si="157"/>
        <v>1.4799899999999173</v>
      </c>
      <c r="AZ769" s="136">
        <f t="shared" si="158"/>
        <v>1.4800099999999174</v>
      </c>
      <c r="BA769" s="136">
        <f t="shared" si="159"/>
        <v>0.86149523635914815</v>
      </c>
      <c r="BB769" s="136">
        <f t="shared" si="160"/>
        <v>0.86149756792009158</v>
      </c>
      <c r="BC769" s="136" t="e">
        <f t="shared" si="161"/>
        <v>#N/A</v>
      </c>
      <c r="BD769" s="136" t="e">
        <f t="shared" si="166"/>
        <v>#N/A</v>
      </c>
      <c r="BE769" s="136" t="e">
        <f t="shared" si="162"/>
        <v>#N/A</v>
      </c>
      <c r="BF769" s="136" t="e">
        <f t="shared" si="163"/>
        <v>#N/A</v>
      </c>
      <c r="BG769" s="136" t="e">
        <f t="shared" si="164"/>
        <v>#N/A</v>
      </c>
    </row>
    <row r="770" spans="47:59" ht="11.25" customHeight="1">
      <c r="AU770" s="136">
        <f t="shared" si="154"/>
        <v>0.93188788203326378</v>
      </c>
      <c r="AV770" s="136">
        <f t="shared" si="165"/>
        <v>1.4899999999999174</v>
      </c>
      <c r="AW770" s="136">
        <f t="shared" si="155"/>
        <v>0.13146842987224719</v>
      </c>
      <c r="AX770" s="136" t="e">
        <f t="shared" si="156"/>
        <v>#N/A</v>
      </c>
      <c r="AY770" s="136">
        <f t="shared" si="157"/>
        <v>1.4899899999999173</v>
      </c>
      <c r="AZ770" s="136">
        <f t="shared" si="158"/>
        <v>1.4900099999999175</v>
      </c>
      <c r="BA770" s="136">
        <f t="shared" si="159"/>
        <v>0.86265487542170272</v>
      </c>
      <c r="BB770" s="136">
        <f t="shared" si="160"/>
        <v>0.86265718241259692</v>
      </c>
      <c r="BC770" s="136" t="e">
        <f t="shared" si="161"/>
        <v>#N/A</v>
      </c>
      <c r="BD770" s="136" t="e">
        <f t="shared" si="166"/>
        <v>#N/A</v>
      </c>
      <c r="BE770" s="136" t="e">
        <f t="shared" si="162"/>
        <v>#N/A</v>
      </c>
      <c r="BF770" s="136" t="e">
        <f t="shared" si="163"/>
        <v>#N/A</v>
      </c>
      <c r="BG770" s="136" t="e">
        <f t="shared" si="164"/>
        <v>#N/A</v>
      </c>
    </row>
    <row r="771" spans="47:59" ht="11.25" customHeight="1">
      <c r="AU771" s="136">
        <f t="shared" si="154"/>
        <v>0.93319279873113115</v>
      </c>
      <c r="AV771" s="136">
        <f t="shared" si="165"/>
        <v>1.4999999999999174</v>
      </c>
      <c r="AW771" s="136">
        <f t="shared" si="155"/>
        <v>0.12951759566590776</v>
      </c>
      <c r="AX771" s="136" t="e">
        <f t="shared" si="156"/>
        <v>#N/A</v>
      </c>
      <c r="AY771" s="136">
        <f t="shared" si="157"/>
        <v>1.4999899999999173</v>
      </c>
      <c r="AZ771" s="136">
        <f t="shared" si="158"/>
        <v>1.5000099999999175</v>
      </c>
      <c r="BA771" s="136">
        <f t="shared" si="159"/>
        <v>0.8638022962535441</v>
      </c>
      <c r="BB771" s="136">
        <f t="shared" si="160"/>
        <v>0.86380457894177021</v>
      </c>
      <c r="BC771" s="136" t="e">
        <f t="shared" si="161"/>
        <v>#N/A</v>
      </c>
      <c r="BD771" s="136" t="e">
        <f t="shared" si="166"/>
        <v>#N/A</v>
      </c>
      <c r="BE771" s="136" t="e">
        <f t="shared" si="162"/>
        <v>#N/A</v>
      </c>
      <c r="BF771" s="136" t="e">
        <f t="shared" si="163"/>
        <v>#N/A</v>
      </c>
      <c r="BG771" s="136" t="e">
        <f t="shared" si="164"/>
        <v>#N/A</v>
      </c>
    </row>
    <row r="772" spans="47:59" ht="11.25" customHeight="1">
      <c r="AU772" s="136">
        <f t="shared" si="154"/>
        <v>0.9344782879110729</v>
      </c>
      <c r="AV772" s="136">
        <f t="shared" si="165"/>
        <v>1.5099999999999174</v>
      </c>
      <c r="AW772" s="136">
        <f t="shared" si="155"/>
        <v>0.12758295057215777</v>
      </c>
      <c r="AX772" s="136" t="e">
        <f t="shared" si="156"/>
        <v>#N/A</v>
      </c>
      <c r="AY772" s="136">
        <f t="shared" si="157"/>
        <v>1.5099899999999173</v>
      </c>
      <c r="AZ772" s="136">
        <f t="shared" si="158"/>
        <v>1.5100099999999175</v>
      </c>
      <c r="BA772" s="136">
        <f t="shared" si="159"/>
        <v>0.86493763204960095</v>
      </c>
      <c r="BB772" s="136">
        <f t="shared" si="160"/>
        <v>0.86493989070054844</v>
      </c>
      <c r="BC772" s="136" t="e">
        <f t="shared" si="161"/>
        <v>#N/A</v>
      </c>
      <c r="BD772" s="136" t="e">
        <f t="shared" si="166"/>
        <v>#N/A</v>
      </c>
      <c r="BE772" s="136" t="e">
        <f t="shared" si="162"/>
        <v>#N/A</v>
      </c>
      <c r="BF772" s="136" t="e">
        <f t="shared" si="163"/>
        <v>#N/A</v>
      </c>
      <c r="BG772" s="136" t="e">
        <f t="shared" si="164"/>
        <v>#N/A</v>
      </c>
    </row>
    <row r="773" spans="47:59" ht="11.25" customHeight="1">
      <c r="AU773" s="136">
        <f t="shared" si="154"/>
        <v>0.9357445121810537</v>
      </c>
      <c r="AV773" s="136">
        <f t="shared" si="165"/>
        <v>1.5199999999999174</v>
      </c>
      <c r="AW773" s="136">
        <f t="shared" si="155"/>
        <v>0.12566463678910389</v>
      </c>
      <c r="AX773" s="136" t="e">
        <f t="shared" si="156"/>
        <v>#N/A</v>
      </c>
      <c r="AY773" s="136">
        <f t="shared" si="157"/>
        <v>1.5199899999999174</v>
      </c>
      <c r="AZ773" s="136">
        <f t="shared" si="158"/>
        <v>1.5200099999999175</v>
      </c>
      <c r="BA773" s="136">
        <f t="shared" si="159"/>
        <v>0.86606101500143573</v>
      </c>
      <c r="BB773" s="136">
        <f t="shared" si="160"/>
        <v>0.8660632498784725</v>
      </c>
      <c r="BC773" s="136" t="e">
        <f t="shared" si="161"/>
        <v>#N/A</v>
      </c>
      <c r="BD773" s="136" t="e">
        <f t="shared" si="166"/>
        <v>#N/A</v>
      </c>
      <c r="BE773" s="136" t="e">
        <f t="shared" si="162"/>
        <v>#N/A</v>
      </c>
      <c r="BF773" s="136" t="e">
        <f t="shared" si="163"/>
        <v>#N/A</v>
      </c>
      <c r="BG773" s="136" t="e">
        <f t="shared" si="164"/>
        <v>#N/A</v>
      </c>
    </row>
    <row r="774" spans="47:59" ht="11.25" customHeight="1">
      <c r="AU774" s="136">
        <f t="shared" si="154"/>
        <v>0.93699163553601139</v>
      </c>
      <c r="AV774" s="136">
        <f t="shared" si="165"/>
        <v>1.5299999999999174</v>
      </c>
      <c r="AW774" s="136">
        <f t="shared" si="155"/>
        <v>0.12376278952153875</v>
      </c>
      <c r="AX774" s="136" t="e">
        <f t="shared" si="156"/>
        <v>#N/A</v>
      </c>
      <c r="AY774" s="136">
        <f t="shared" si="157"/>
        <v>1.5299899999999174</v>
      </c>
      <c r="AZ774" s="136">
        <f t="shared" si="158"/>
        <v>1.5300099999999175</v>
      </c>
      <c r="BA774" s="136">
        <f t="shared" si="159"/>
        <v>0.86717257628284683</v>
      </c>
      <c r="BB774" s="136">
        <f t="shared" si="160"/>
        <v>0.86717478764729139</v>
      </c>
      <c r="BC774" s="136" t="e">
        <f t="shared" si="161"/>
        <v>#N/A</v>
      </c>
      <c r="BD774" s="136" t="e">
        <f t="shared" si="166"/>
        <v>#N/A</v>
      </c>
      <c r="BE774" s="136" t="e">
        <f t="shared" si="162"/>
        <v>#N/A</v>
      </c>
      <c r="BF774" s="136" t="e">
        <f t="shared" si="163"/>
        <v>#N/A</v>
      </c>
      <c r="BG774" s="136" t="e">
        <f t="shared" si="164"/>
        <v>#N/A</v>
      </c>
    </row>
    <row r="775" spans="47:59" ht="11.25" customHeight="1">
      <c r="AU775" s="136">
        <f t="shared" si="154"/>
        <v>0.9382198232881781</v>
      </c>
      <c r="AV775" s="136">
        <f t="shared" si="165"/>
        <v>1.5399999999999174</v>
      </c>
      <c r="AW775" s="136">
        <f t="shared" si="155"/>
        <v>0.12187753703241724</v>
      </c>
      <c r="AX775" s="136" t="e">
        <f t="shared" si="156"/>
        <v>#N/A</v>
      </c>
      <c r="AY775" s="136">
        <f t="shared" si="157"/>
        <v>1.5399899999999174</v>
      </c>
      <c r="AZ775" s="136">
        <f t="shared" si="158"/>
        <v>1.5400099999999175</v>
      </c>
      <c r="BA775" s="136">
        <f t="shared" si="159"/>
        <v>0.86827244603657883</v>
      </c>
      <c r="BB775" s="136">
        <f t="shared" si="160"/>
        <v>0.86827463414767547</v>
      </c>
      <c r="BC775" s="136" t="e">
        <f t="shared" si="161"/>
        <v>#N/A</v>
      </c>
      <c r="BD775" s="136" t="e">
        <f t="shared" si="166"/>
        <v>#N/A</v>
      </c>
      <c r="BE775" s="136" t="e">
        <f t="shared" si="162"/>
        <v>#N/A</v>
      </c>
      <c r="BF775" s="136" t="e">
        <f t="shared" si="163"/>
        <v>#N/A</v>
      </c>
      <c r="BG775" s="136" t="e">
        <f t="shared" si="164"/>
        <v>#N/A</v>
      </c>
    </row>
    <row r="776" spans="47:59" ht="11.25" customHeight="1">
      <c r="AU776" s="136">
        <f t="shared" si="154"/>
        <v>0.9394292419979311</v>
      </c>
      <c r="AV776" s="136">
        <f t="shared" si="165"/>
        <v>1.5499999999999174</v>
      </c>
      <c r="AW776" s="136">
        <f t="shared" si="155"/>
        <v>0.12000900069700093</v>
      </c>
      <c r="AX776" s="136" t="e">
        <f t="shared" si="156"/>
        <v>#N/A</v>
      </c>
      <c r="AY776" s="136">
        <f t="shared" si="157"/>
        <v>1.5499899999999174</v>
      </c>
      <c r="AZ776" s="136">
        <f t="shared" si="158"/>
        <v>1.5500099999999175</v>
      </c>
      <c r="BA776" s="136">
        <f t="shared" si="159"/>
        <v>0.86936075422446601</v>
      </c>
      <c r="BB776" s="136">
        <f t="shared" si="160"/>
        <v>0.86936291933918042</v>
      </c>
      <c r="BC776" s="136" t="e">
        <f t="shared" si="161"/>
        <v>#N/A</v>
      </c>
      <c r="BD776" s="136" t="e">
        <f t="shared" si="166"/>
        <v>#N/A</v>
      </c>
      <c r="BE776" s="136" t="e">
        <f t="shared" si="162"/>
        <v>#N/A</v>
      </c>
      <c r="BF776" s="136" t="e">
        <f t="shared" si="163"/>
        <v>#N/A</v>
      </c>
      <c r="BG776" s="136" t="e">
        <f t="shared" si="164"/>
        <v>#N/A</v>
      </c>
    </row>
    <row r="777" spans="47:59" ht="11.25" customHeight="1">
      <c r="AU777" s="136">
        <f t="shared" si="154"/>
        <v>0.94062005940519722</v>
      </c>
      <c r="AV777" s="136">
        <f t="shared" si="165"/>
        <v>1.5599999999999175</v>
      </c>
      <c r="AW777" s="136">
        <f t="shared" si="155"/>
        <v>0.11815729505959748</v>
      </c>
      <c r="AX777" s="136" t="e">
        <f t="shared" si="156"/>
        <v>#N/A</v>
      </c>
      <c r="AY777" s="136">
        <f t="shared" si="157"/>
        <v>1.5599899999999174</v>
      </c>
      <c r="AZ777" s="136">
        <f t="shared" si="158"/>
        <v>1.5600099999999175</v>
      </c>
      <c r="BA777" s="136">
        <f t="shared" si="159"/>
        <v>0.87043762708142536</v>
      </c>
      <c r="BB777" s="136">
        <f t="shared" si="160"/>
        <v>0.87043976945498269</v>
      </c>
      <c r="BC777" s="136" t="e">
        <f t="shared" si="161"/>
        <v>#N/A</v>
      </c>
      <c r="BD777" s="136" t="e">
        <f t="shared" si="166"/>
        <v>#N/A</v>
      </c>
      <c r="BE777" s="136" t="e">
        <f t="shared" si="162"/>
        <v>#N/A</v>
      </c>
      <c r="BF777" s="136" t="e">
        <f t="shared" si="163"/>
        <v>#N/A</v>
      </c>
      <c r="BG777" s="136" t="e">
        <f t="shared" si="164"/>
        <v>#N/A</v>
      </c>
    </row>
    <row r="778" spans="47:59" ht="11.25" customHeight="1">
      <c r="AU778" s="136">
        <f t="shared" si="154"/>
        <v>0.94179244436143739</v>
      </c>
      <c r="AV778" s="136">
        <f t="shared" si="165"/>
        <v>1.5699999999999175</v>
      </c>
      <c r="AW778" s="136">
        <f t="shared" si="155"/>
        <v>0.11632252789282216</v>
      </c>
      <c r="AX778" s="136" t="e">
        <f t="shared" si="156"/>
        <v>#N/A</v>
      </c>
      <c r="AY778" s="136">
        <f t="shared" si="157"/>
        <v>1.5699899999999174</v>
      </c>
      <c r="AZ778" s="136">
        <f t="shared" si="158"/>
        <v>1.5700099999999175</v>
      </c>
      <c r="BA778" s="136">
        <f t="shared" si="159"/>
        <v>0.8715031925442237</v>
      </c>
      <c r="BB778" s="136">
        <f t="shared" si="160"/>
        <v>0.87150531242950946</v>
      </c>
      <c r="BC778" s="136" t="e">
        <f t="shared" si="161"/>
        <v>#N/A</v>
      </c>
      <c r="BD778" s="136" t="e">
        <f t="shared" si="166"/>
        <v>#N/A</v>
      </c>
      <c r="BE778" s="136" t="e">
        <f t="shared" si="162"/>
        <v>#N/A</v>
      </c>
      <c r="BF778" s="136" t="e">
        <f t="shared" si="163"/>
        <v>#N/A</v>
      </c>
      <c r="BG778" s="136" t="e">
        <f t="shared" si="164"/>
        <v>#N/A</v>
      </c>
    </row>
    <row r="779" spans="47:59" ht="11.25" customHeight="1">
      <c r="AU779" s="136">
        <f t="shared" si="154"/>
        <v>0.94294656676223632</v>
      </c>
      <c r="AV779" s="136">
        <f t="shared" si="165"/>
        <v>1.5799999999999175</v>
      </c>
      <c r="AW779" s="136">
        <f t="shared" si="155"/>
        <v>0.11450480025930729</v>
      </c>
      <c r="AX779" s="136" t="e">
        <f t="shared" si="156"/>
        <v>#N/A</v>
      </c>
      <c r="AY779" s="136">
        <f t="shared" si="157"/>
        <v>1.5799899999999174</v>
      </c>
      <c r="AZ779" s="136">
        <f t="shared" si="158"/>
        <v>1.5800099999999175</v>
      </c>
      <c r="BA779" s="136">
        <f t="shared" si="159"/>
        <v>0.87255757651839039</v>
      </c>
      <c r="BB779" s="136">
        <f t="shared" si="160"/>
        <v>0.87255967416613389</v>
      </c>
      <c r="BC779" s="136" t="e">
        <f t="shared" si="161"/>
        <v>#N/A</v>
      </c>
      <c r="BD779" s="136" t="e">
        <f t="shared" si="166"/>
        <v>#N/A</v>
      </c>
      <c r="BE779" s="136" t="e">
        <f t="shared" si="162"/>
        <v>#N/A</v>
      </c>
      <c r="BF779" s="136" t="e">
        <f t="shared" si="163"/>
        <v>#N/A</v>
      </c>
      <c r="BG779" s="136" t="e">
        <f t="shared" si="164"/>
        <v>#N/A</v>
      </c>
    </row>
    <row r="780" spans="47:59" ht="11.25" customHeight="1">
      <c r="AU780" s="136">
        <f t="shared" si="154"/>
        <v>0.94408259748052126</v>
      </c>
      <c r="AV780" s="136">
        <f t="shared" si="165"/>
        <v>1.5899999999999175</v>
      </c>
      <c r="AW780" s="136">
        <f t="shared" si="155"/>
        <v>0.11270420657578534</v>
      </c>
      <c r="AX780" s="136" t="e">
        <f t="shared" si="156"/>
        <v>#N/A</v>
      </c>
      <c r="AY780" s="136">
        <f t="shared" si="157"/>
        <v>1.5899899999999174</v>
      </c>
      <c r="AZ780" s="136">
        <f t="shared" si="158"/>
        <v>1.5900099999999175</v>
      </c>
      <c r="BA780" s="136">
        <f t="shared" si="159"/>
        <v>0.87360090382733102</v>
      </c>
      <c r="BB780" s="136">
        <f t="shared" si="160"/>
        <v>0.87360297948608956</v>
      </c>
      <c r="BC780" s="136" t="e">
        <f t="shared" si="161"/>
        <v>#N/A</v>
      </c>
      <c r="BD780" s="136" t="e">
        <f t="shared" si="166"/>
        <v>#N/A</v>
      </c>
      <c r="BE780" s="136" t="e">
        <f t="shared" si="162"/>
        <v>#N/A</v>
      </c>
      <c r="BF780" s="136" t="e">
        <f t="shared" si="163"/>
        <v>#N/A</v>
      </c>
      <c r="BG780" s="136" t="e">
        <f t="shared" si="164"/>
        <v>#N/A</v>
      </c>
    </row>
    <row r="781" spans="47:59" ht="11.25" customHeight="1">
      <c r="AU781" s="136">
        <f t="shared" si="154"/>
        <v>0.94520070830043279</v>
      </c>
      <c r="AV781" s="136">
        <f t="shared" si="165"/>
        <v>1.5999999999999175</v>
      </c>
      <c r="AW781" s="136">
        <f t="shared" si="155"/>
        <v>0.11092083467947021</v>
      </c>
      <c r="AX781" s="136" t="e">
        <f t="shared" si="156"/>
        <v>#N/A</v>
      </c>
      <c r="AY781" s="136">
        <f t="shared" si="157"/>
        <v>1.5999899999999174</v>
      </c>
      <c r="AZ781" s="136">
        <f t="shared" si="158"/>
        <v>1.6000099999999176</v>
      </c>
      <c r="BA781" s="136">
        <f t="shared" si="159"/>
        <v>0.87463329820488289</v>
      </c>
      <c r="BB781" s="136">
        <f t="shared" si="160"/>
        <v>0.87463535212102816</v>
      </c>
      <c r="BC781" s="136" t="e">
        <f t="shared" si="161"/>
        <v>#N/A</v>
      </c>
      <c r="BD781" s="136" t="e">
        <f t="shared" si="166"/>
        <v>#N/A</v>
      </c>
      <c r="BE781" s="136" t="e">
        <f t="shared" si="162"/>
        <v>#N/A</v>
      </c>
      <c r="BF781" s="136" t="e">
        <f t="shared" si="163"/>
        <v>#N/A</v>
      </c>
      <c r="BG781" s="136" t="e">
        <f t="shared" si="164"/>
        <v>#N/A</v>
      </c>
    </row>
    <row r="782" spans="47:59" ht="11.25" customHeight="1">
      <c r="AU782" s="136">
        <f t="shared" si="154"/>
        <v>0.94630107185187118</v>
      </c>
      <c r="AV782" s="136">
        <f t="shared" si="165"/>
        <v>1.6099999999999175</v>
      </c>
      <c r="AW782" s="136">
        <f t="shared" si="155"/>
        <v>0.10915476589666187</v>
      </c>
      <c r="AX782" s="136" t="e">
        <f t="shared" si="156"/>
        <v>#N/A</v>
      </c>
      <c r="AY782" s="136">
        <f t="shared" si="157"/>
        <v>1.6099899999999174</v>
      </c>
      <c r="AZ782" s="136">
        <f t="shared" si="158"/>
        <v>1.6100099999999176</v>
      </c>
      <c r="BA782" s="136">
        <f t="shared" si="159"/>
        <v>0.8756548822887259</v>
      </c>
      <c r="BB782" s="136">
        <f t="shared" si="160"/>
        <v>0.87565691470643081</v>
      </c>
      <c r="BC782" s="136" t="e">
        <f t="shared" si="161"/>
        <v>#N/A</v>
      </c>
      <c r="BD782" s="136" t="e">
        <f t="shared" si="166"/>
        <v>#N/A</v>
      </c>
      <c r="BE782" s="136" t="e">
        <f t="shared" si="162"/>
        <v>#N/A</v>
      </c>
      <c r="BF782" s="136" t="e">
        <f t="shared" si="163"/>
        <v>#N/A</v>
      </c>
      <c r="BG782" s="136" t="e">
        <f t="shared" si="164"/>
        <v>#N/A</v>
      </c>
    </row>
    <row r="783" spans="47:59" ht="11.25" customHeight="1">
      <c r="AU783" s="136">
        <f t="shared" si="154"/>
        <v>0.94738386154573906</v>
      </c>
      <c r="AV783" s="136">
        <f t="shared" si="165"/>
        <v>1.6199999999999175</v>
      </c>
      <c r="AW783" s="136">
        <f t="shared" si="155"/>
        <v>0.10740607511349817</v>
      </c>
      <c r="AX783" s="136" t="e">
        <f t="shared" si="156"/>
        <v>#N/A</v>
      </c>
      <c r="AY783" s="136">
        <f t="shared" si="157"/>
        <v>1.6199899999999174</v>
      </c>
      <c r="AZ783" s="136">
        <f t="shared" si="158"/>
        <v>1.6200099999999176</v>
      </c>
      <c r="BA783" s="136">
        <f t="shared" si="159"/>
        <v>0.87666577761461195</v>
      </c>
      <c r="BB783" s="136">
        <f t="shared" si="160"/>
        <v>0.8766677887758404</v>
      </c>
      <c r="BC783" s="136" t="e">
        <f t="shared" si="161"/>
        <v>#N/A</v>
      </c>
      <c r="BD783" s="136" t="e">
        <f t="shared" si="166"/>
        <v>#N/A</v>
      </c>
      <c r="BE783" s="136" t="e">
        <f t="shared" si="162"/>
        <v>#N/A</v>
      </c>
      <c r="BF783" s="136" t="e">
        <f t="shared" si="163"/>
        <v>#N/A</v>
      </c>
      <c r="BG783" s="136" t="e">
        <f t="shared" si="164"/>
        <v>#N/A</v>
      </c>
    </row>
    <row r="784" spans="47:59" ht="11.25" customHeight="1">
      <c r="AU784" s="136">
        <f t="shared" si="154"/>
        <v>0.94844925150990189</v>
      </c>
      <c r="AV784" s="136">
        <f t="shared" si="165"/>
        <v>1.6299999999999175</v>
      </c>
      <c r="AW784" s="136">
        <f t="shared" si="155"/>
        <v>0.10567483084877781</v>
      </c>
      <c r="AX784" s="136" t="e">
        <f t="shared" si="156"/>
        <v>#N/A</v>
      </c>
      <c r="AY784" s="136">
        <f t="shared" si="157"/>
        <v>1.6299899999999174</v>
      </c>
      <c r="AZ784" s="136">
        <f t="shared" si="158"/>
        <v>1.6300099999999176</v>
      </c>
      <c r="BA784" s="136">
        <f t="shared" si="159"/>
        <v>0.87766610461138295</v>
      </c>
      <c r="BB784" s="136">
        <f t="shared" si="160"/>
        <v>0.87766809475588037</v>
      </c>
      <c r="BC784" s="136" t="e">
        <f t="shared" si="161"/>
        <v>#N/A</v>
      </c>
      <c r="BD784" s="136" t="e">
        <f t="shared" si="166"/>
        <v>#N/A</v>
      </c>
      <c r="BE784" s="136" t="e">
        <f t="shared" si="162"/>
        <v>#N/A</v>
      </c>
      <c r="BF784" s="136" t="e">
        <f t="shared" si="163"/>
        <v>#N/A</v>
      </c>
      <c r="BG784" s="136" t="e">
        <f t="shared" si="164"/>
        <v>#N/A</v>
      </c>
    </row>
    <row r="785" spans="47:59" ht="11.25" customHeight="1">
      <c r="AU785" s="136">
        <f t="shared" si="154"/>
        <v>0.94949741652588748</v>
      </c>
      <c r="AV785" s="136">
        <f t="shared" si="165"/>
        <v>1.6399999999999175</v>
      </c>
      <c r="AW785" s="136">
        <f t="shared" si="155"/>
        <v>0.10396109532877824</v>
      </c>
      <c r="AX785" s="136" t="e">
        <f t="shared" si="156"/>
        <v>#N/A</v>
      </c>
      <c r="AY785" s="136">
        <f t="shared" si="157"/>
        <v>1.6399899999999175</v>
      </c>
      <c r="AZ785" s="136">
        <f t="shared" si="158"/>
        <v>1.6400099999999176</v>
      </c>
      <c r="BA785" s="136">
        <f t="shared" si="159"/>
        <v>0.87865598259674604</v>
      </c>
      <c r="BB785" s="136">
        <f t="shared" si="160"/>
        <v>0.87865795196203222</v>
      </c>
      <c r="BC785" s="136" t="e">
        <f t="shared" si="161"/>
        <v>#N/A</v>
      </c>
      <c r="BD785" s="136" t="e">
        <f t="shared" si="166"/>
        <v>#N/A</v>
      </c>
      <c r="BE785" s="136" t="e">
        <f t="shared" si="162"/>
        <v>#N/A</v>
      </c>
      <c r="BF785" s="136" t="e">
        <f t="shared" si="163"/>
        <v>#N/A</v>
      </c>
      <c r="BG785" s="136" t="e">
        <f t="shared" si="164"/>
        <v>#N/A</v>
      </c>
    </row>
    <row r="786" spans="47:59" ht="11.25" customHeight="1">
      <c r="AU786" s="136">
        <f t="shared" si="154"/>
        <v>0.95052853196634346</v>
      </c>
      <c r="AV786" s="136">
        <f t="shared" si="165"/>
        <v>1.6499999999999175</v>
      </c>
      <c r="AW786" s="136">
        <f t="shared" si="155"/>
        <v>0.1022649245639919</v>
      </c>
      <c r="AX786" s="136" t="e">
        <f t="shared" si="156"/>
        <v>#N/A</v>
      </c>
      <c r="AY786" s="136">
        <f t="shared" si="157"/>
        <v>1.6499899999999175</v>
      </c>
      <c r="AZ786" s="136">
        <f t="shared" si="158"/>
        <v>1.6500099999999176</v>
      </c>
      <c r="BA786" s="136">
        <f t="shared" si="159"/>
        <v>0.87963552977377391</v>
      </c>
      <c r="BB786" s="136">
        <f t="shared" si="160"/>
        <v>0.87963747859513608</v>
      </c>
      <c r="BC786" s="136" t="e">
        <f t="shared" si="161"/>
        <v>#N/A</v>
      </c>
      <c r="BD786" s="136" t="e">
        <f t="shared" si="166"/>
        <v>#N/A</v>
      </c>
      <c r="BE786" s="136" t="e">
        <f t="shared" si="162"/>
        <v>#N/A</v>
      </c>
      <c r="BF786" s="136" t="e">
        <f t="shared" si="163"/>
        <v>#N/A</v>
      </c>
      <c r="BG786" s="136" t="e">
        <f t="shared" si="164"/>
        <v>#N/A</v>
      </c>
    </row>
    <row r="787" spans="47:59" ht="11.25" customHeight="1">
      <c r="AU787" s="136">
        <f t="shared" si="154"/>
        <v>0.9515427737332689</v>
      </c>
      <c r="AV787" s="136">
        <f t="shared" si="165"/>
        <v>1.6599999999999175</v>
      </c>
      <c r="AW787" s="136">
        <f t="shared" si="155"/>
        <v>0.10058636842770431</v>
      </c>
      <c r="AX787" s="136" t="e">
        <f t="shared" si="156"/>
        <v>#N/A</v>
      </c>
      <c r="AY787" s="136">
        <f t="shared" si="157"/>
        <v>1.6599899999999175</v>
      </c>
      <c r="AZ787" s="136">
        <f t="shared" si="158"/>
        <v>1.6600099999999176</v>
      </c>
      <c r="BA787" s="136">
        <f t="shared" si="159"/>
        <v>0.8806048632281015</v>
      </c>
      <c r="BB787" s="136">
        <f t="shared" si="160"/>
        <v>0.88060679173858969</v>
      </c>
      <c r="BC787" s="136" t="e">
        <f t="shared" si="161"/>
        <v>#N/A</v>
      </c>
      <c r="BD787" s="136" t="e">
        <f t="shared" si="166"/>
        <v>#N/A</v>
      </c>
      <c r="BE787" s="136" t="e">
        <f t="shared" si="162"/>
        <v>#N/A</v>
      </c>
      <c r="BF787" s="136" t="e">
        <f t="shared" si="163"/>
        <v>#N/A</v>
      </c>
      <c r="BG787" s="136" t="e">
        <f t="shared" si="164"/>
        <v>#N/A</v>
      </c>
    </row>
    <row r="788" spans="47:59" ht="11.25" customHeight="1">
      <c r="AU788" s="136">
        <f t="shared" si="154"/>
        <v>0.95254031819704454</v>
      </c>
      <c r="AV788" s="136">
        <f t="shared" si="165"/>
        <v>1.6699999999999176</v>
      </c>
      <c r="AW788" s="136">
        <f t="shared" si="155"/>
        <v>9.8925470736337326E-2</v>
      </c>
      <c r="AX788" s="136" t="e">
        <f t="shared" si="156"/>
        <v>#N/A</v>
      </c>
      <c r="AY788" s="136">
        <f t="shared" si="157"/>
        <v>1.6699899999999175</v>
      </c>
      <c r="AZ788" s="136">
        <f t="shared" si="158"/>
        <v>1.6700099999999176</v>
      </c>
      <c r="BA788" s="136">
        <f t="shared" si="159"/>
        <v>0.8815640989257908</v>
      </c>
      <c r="BB788" s="136">
        <f t="shared" si="160"/>
        <v>0.88156600735621438</v>
      </c>
      <c r="BC788" s="136" t="e">
        <f t="shared" si="161"/>
        <v>#N/A</v>
      </c>
      <c r="BD788" s="136" t="e">
        <f t="shared" si="166"/>
        <v>#N/A</v>
      </c>
      <c r="BE788" s="136" t="e">
        <f t="shared" si="162"/>
        <v>#N/A</v>
      </c>
      <c r="BF788" s="136" t="e">
        <f t="shared" si="163"/>
        <v>#N/A</v>
      </c>
      <c r="BG788" s="136" t="e">
        <f t="shared" si="164"/>
        <v>#N/A</v>
      </c>
    </row>
    <row r="789" spans="47:59" ht="11.25" customHeight="1">
      <c r="AU789" s="136">
        <f t="shared" ref="AU789:AU852" si="167">NORMDIST(AV789,$AV$17,$AV$18,TRUE)</f>
        <v>0.95352134213627182</v>
      </c>
      <c r="AV789" s="136">
        <f t="shared" si="165"/>
        <v>1.6799999999999176</v>
      </c>
      <c r="AW789" s="136">
        <f t="shared" ref="AW789:AW852" si="168">IF($AV$13=1,NORMDIST(AV789,$AV$17,$AV$18,FALSE),NA())</f>
        <v>9.7282269331480972E-2</v>
      </c>
      <c r="AX789" s="136" t="e">
        <f t="shared" ref="AX789:AX852" si="169">IF($AV$13=3,NORMDIST(AV789,$AV$17,$AV$18,FALSE),NA())</f>
        <v>#N/A</v>
      </c>
      <c r="AY789" s="136">
        <f t="shared" ref="AY789:AY852" si="170">AV789-$AY$19</f>
        <v>1.6799899999999175</v>
      </c>
      <c r="AZ789" s="136">
        <f t="shared" ref="AZ789:AZ852" si="171">AV789+$AY$19</f>
        <v>1.6800099999999176</v>
      </c>
      <c r="BA789" s="136">
        <f t="shared" ref="BA789:BA852" si="172">IF(AY789&lt;0,TDIST(-AY789,$AV$14,1),1-TDIST(AY789,$AV$14,1))</f>
        <v>0.8825133517118332</v>
      </c>
      <c r="BB789" s="136">
        <f t="shared" ref="BB789:BB852" si="173">IF(AZ789&lt;0,TDIST(-AZ789,$AV$14,1),1-TDIST(AZ789,$AV$14,1))</f>
        <v>0.8825152402907579</v>
      </c>
      <c r="BC789" s="136" t="e">
        <f t="shared" ref="BC789:BC852" si="174">IF($AV$13&gt;1,(BB789-BA789)/(2*$AY$19),NA())</f>
        <v>#N/A</v>
      </c>
      <c r="BD789" s="136" t="e">
        <f t="shared" si="166"/>
        <v>#N/A</v>
      </c>
      <c r="BE789" s="136" t="e">
        <f t="shared" ref="BE789:BE852" si="175">IF(ISNUMBER(BD789),BD789-$BE$19,NA())</f>
        <v>#N/A</v>
      </c>
      <c r="BF789" s="136" t="e">
        <f t="shared" ref="BF789:BF852" si="176">IF($AV$15=1,IF(AV789&gt;=$BF$19,BC789,NA()),IF($AV$15=2,IF(ABS(AV789)&gt;=$BF$19,BC789,NA()),NA()))</f>
        <v>#N/A</v>
      </c>
      <c r="BG789" s="136" t="e">
        <f t="shared" ref="BG789:BG852" si="177">IF(ISNUMBER(BF789),BF789-$BG$19,NA())</f>
        <v>#N/A</v>
      </c>
    </row>
    <row r="790" spans="47:59" ht="11.25" customHeight="1">
      <c r="AU790" s="136">
        <f t="shared" si="167"/>
        <v>0.95448602267844218</v>
      </c>
      <c r="AV790" s="136">
        <f t="shared" ref="AV790:AV853" si="178">AV789+$AY$10</f>
        <v>1.6899999999999176</v>
      </c>
      <c r="AW790" s="136">
        <f t="shared" si="168"/>
        <v>9.5656796163537325E-2</v>
      </c>
      <c r="AX790" s="136" t="e">
        <f t="shared" si="169"/>
        <v>#N/A</v>
      </c>
      <c r="AY790" s="136">
        <f t="shared" si="170"/>
        <v>1.6899899999999175</v>
      </c>
      <c r="AZ790" s="136">
        <f t="shared" si="171"/>
        <v>1.6900099999999176</v>
      </c>
      <c r="BA790" s="136">
        <f t="shared" si="172"/>
        <v>0.88345273530926416</v>
      </c>
      <c r="BB790" s="136">
        <f t="shared" si="173"/>
        <v>0.88345460426301181</v>
      </c>
      <c r="BC790" s="136" t="e">
        <f t="shared" si="174"/>
        <v>#N/A</v>
      </c>
      <c r="BD790" s="136" t="e">
        <f t="shared" ref="BD790:BD853" si="179">IF($AV$15=1,IF(OR(AND(AV790&gt;=$BD$19,$AS$5&gt;=0),AND(AV790&lt;=$BD$19,$AS$5&lt;0)),AW790,NA()),IF($AV$15=2,IF(ABS(AV790)&gt;=$BD$18,AW790,NA()),NA()))</f>
        <v>#N/A</v>
      </c>
      <c r="BE790" s="136" t="e">
        <f t="shared" si="175"/>
        <v>#N/A</v>
      </c>
      <c r="BF790" s="136" t="e">
        <f t="shared" si="176"/>
        <v>#N/A</v>
      </c>
      <c r="BG790" s="136" t="e">
        <f t="shared" si="177"/>
        <v>#N/A</v>
      </c>
    </row>
    <row r="791" spans="47:59" ht="11.25" customHeight="1">
      <c r="AU791" s="136">
        <f t="shared" si="167"/>
        <v>0.95543453724144911</v>
      </c>
      <c r="AV791" s="136">
        <f t="shared" si="178"/>
        <v>1.6999999999999176</v>
      </c>
      <c r="AW791" s="136">
        <f t="shared" si="168"/>
        <v>9.4049077376900089E-2</v>
      </c>
      <c r="AX791" s="136" t="e">
        <f t="shared" si="169"/>
        <v>#N/A</v>
      </c>
      <c r="AY791" s="136">
        <f t="shared" si="170"/>
        <v>1.6999899999999175</v>
      </c>
      <c r="AZ791" s="136">
        <f t="shared" si="171"/>
        <v>1.7000099999999176</v>
      </c>
      <c r="BA791" s="136">
        <f t="shared" si="172"/>
        <v>0.88438236231886458</v>
      </c>
      <c r="BB791" s="136">
        <f t="shared" si="173"/>
        <v>0.88438421187151228</v>
      </c>
      <c r="BC791" s="136" t="e">
        <f t="shared" si="174"/>
        <v>#N/A</v>
      </c>
      <c r="BD791" s="136" t="e">
        <f t="shared" si="179"/>
        <v>#N/A</v>
      </c>
      <c r="BE791" s="136" t="e">
        <f t="shared" si="175"/>
        <v>#N/A</v>
      </c>
      <c r="BF791" s="136" t="e">
        <f t="shared" si="176"/>
        <v>#N/A</v>
      </c>
      <c r="BG791" s="136" t="e">
        <f t="shared" si="177"/>
        <v>#N/A</v>
      </c>
    </row>
    <row r="792" spans="47:59" ht="11.25" customHeight="1">
      <c r="AU792" s="136">
        <f t="shared" si="167"/>
        <v>0.95636706347596045</v>
      </c>
      <c r="AV792" s="136">
        <f t="shared" si="178"/>
        <v>1.7099999999999176</v>
      </c>
      <c r="AW792" s="136">
        <f t="shared" si="168"/>
        <v>9.2459133396593673E-2</v>
      </c>
      <c r="AX792" s="136" t="e">
        <f t="shared" si="169"/>
        <v>#N/A</v>
      </c>
      <c r="AY792" s="136">
        <f t="shared" si="170"/>
        <v>1.7099899999999175</v>
      </c>
      <c r="AZ792" s="136">
        <f t="shared" si="171"/>
        <v>1.7100099999999177</v>
      </c>
      <c r="BA792" s="136">
        <f t="shared" si="172"/>
        <v>0.885302344219419</v>
      </c>
      <c r="BB792" s="136">
        <f t="shared" si="173"/>
        <v>0.88530417459280042</v>
      </c>
      <c r="BC792" s="136" t="e">
        <f t="shared" si="174"/>
        <v>#N/A</v>
      </c>
      <c r="BD792" s="136" t="e">
        <f t="shared" si="179"/>
        <v>#N/A</v>
      </c>
      <c r="BE792" s="136" t="e">
        <f t="shared" si="175"/>
        <v>#N/A</v>
      </c>
      <c r="BF792" s="136" t="e">
        <f t="shared" si="176"/>
        <v>#N/A</v>
      </c>
      <c r="BG792" s="136" t="e">
        <f t="shared" si="177"/>
        <v>#N/A</v>
      </c>
    </row>
    <row r="793" spans="47:59" ht="11.25" customHeight="1">
      <c r="AU793" s="136">
        <f t="shared" si="167"/>
        <v>0.95728377920866348</v>
      </c>
      <c r="AV793" s="136">
        <f t="shared" si="178"/>
        <v>1.7199999999999176</v>
      </c>
      <c r="AW793" s="136">
        <f t="shared" si="168"/>
        <v>9.0886979016295735E-2</v>
      </c>
      <c r="AX793" s="136" t="e">
        <f t="shared" si="169"/>
        <v>#N/A</v>
      </c>
      <c r="AY793" s="136">
        <f t="shared" si="170"/>
        <v>1.7199899999999175</v>
      </c>
      <c r="AZ793" s="136">
        <f t="shared" si="171"/>
        <v>1.7200099999999177</v>
      </c>
      <c r="BA793" s="136">
        <f t="shared" si="172"/>
        <v>0.88621279136851039</v>
      </c>
      <c r="BB793" s="136">
        <f t="shared" si="173"/>
        <v>0.88621460278221798</v>
      </c>
      <c r="BC793" s="136" t="e">
        <f t="shared" si="174"/>
        <v>#N/A</v>
      </c>
      <c r="BD793" s="136" t="e">
        <f t="shared" si="179"/>
        <v>#N/A</v>
      </c>
      <c r="BE793" s="136" t="e">
        <f t="shared" si="175"/>
        <v>#N/A</v>
      </c>
      <c r="BF793" s="136" t="e">
        <f t="shared" si="176"/>
        <v>#N/A</v>
      </c>
      <c r="BG793" s="136" t="e">
        <f t="shared" si="177"/>
        <v>#N/A</v>
      </c>
    </row>
    <row r="794" spans="47:59" ht="11.25" customHeight="1">
      <c r="AU794" s="136">
        <f t="shared" si="167"/>
        <v>0.95818486238639755</v>
      </c>
      <c r="AV794" s="136">
        <f t="shared" si="178"/>
        <v>1.7299999999999176</v>
      </c>
      <c r="AW794" s="136">
        <f t="shared" si="168"/>
        <v>8.9332623487667712E-2</v>
      </c>
      <c r="AX794" s="136" t="e">
        <f t="shared" si="169"/>
        <v>#N/A</v>
      </c>
      <c r="AY794" s="136">
        <f t="shared" si="170"/>
        <v>1.7299899999999175</v>
      </c>
      <c r="AZ794" s="136">
        <f t="shared" si="171"/>
        <v>1.7300099999999177</v>
      </c>
      <c r="BA794" s="136">
        <f t="shared" si="172"/>
        <v>0.88711381300382408</v>
      </c>
      <c r="BB794" s="136">
        <f t="shared" si="173"/>
        <v>0.88711560567521242</v>
      </c>
      <c r="BC794" s="136" t="e">
        <f t="shared" si="174"/>
        <v>#N/A</v>
      </c>
      <c r="BD794" s="136" t="e">
        <f t="shared" si="179"/>
        <v>#N/A</v>
      </c>
      <c r="BE794" s="136" t="e">
        <f t="shared" si="175"/>
        <v>#N/A</v>
      </c>
      <c r="BF794" s="136" t="e">
        <f t="shared" si="176"/>
        <v>#N/A</v>
      </c>
      <c r="BG794" s="136" t="e">
        <f t="shared" si="177"/>
        <v>#N/A</v>
      </c>
    </row>
    <row r="795" spans="47:59" ht="11.25" customHeight="1">
      <c r="AU795" s="136">
        <f t="shared" si="167"/>
        <v>0.95907049102118525</v>
      </c>
      <c r="AV795" s="136">
        <f t="shared" si="178"/>
        <v>1.7399999999999176</v>
      </c>
      <c r="AW795" s="136">
        <f t="shared" si="168"/>
        <v>8.7796070610918209E-2</v>
      </c>
      <c r="AX795" s="136" t="e">
        <f t="shared" si="169"/>
        <v>#N/A</v>
      </c>
      <c r="AY795" s="136">
        <f t="shared" si="170"/>
        <v>1.7399899999999175</v>
      </c>
      <c r="AZ795" s="136">
        <f t="shared" si="171"/>
        <v>1.7400099999999177</v>
      </c>
      <c r="BA795" s="136">
        <f t="shared" si="172"/>
        <v>0.88800551724493992</v>
      </c>
      <c r="BB795" s="136">
        <f t="shared" si="173"/>
        <v>0.88800729138912904</v>
      </c>
      <c r="BC795" s="136" t="e">
        <f t="shared" si="174"/>
        <v>#N/A</v>
      </c>
      <c r="BD795" s="136" t="e">
        <f t="shared" si="179"/>
        <v>#N/A</v>
      </c>
      <c r="BE795" s="136" t="e">
        <f t="shared" si="175"/>
        <v>#N/A</v>
      </c>
      <c r="BF795" s="136" t="e">
        <f t="shared" si="176"/>
        <v>#N/A</v>
      </c>
      <c r="BG795" s="136" t="e">
        <f t="shared" si="177"/>
        <v>#N/A</v>
      </c>
    </row>
    <row r="796" spans="47:59" ht="11.25" customHeight="1">
      <c r="AU796" s="136">
        <f t="shared" si="167"/>
        <v>0.95994084313617589</v>
      </c>
      <c r="AV796" s="136">
        <f t="shared" si="178"/>
        <v>1.7499999999999176</v>
      </c>
      <c r="AW796" s="136">
        <f t="shared" si="168"/>
        <v>8.6277318826523938E-2</v>
      </c>
      <c r="AX796" s="136" t="e">
        <f t="shared" si="169"/>
        <v>#N/A</v>
      </c>
      <c r="AY796" s="136">
        <f t="shared" si="170"/>
        <v>1.7499899999999176</v>
      </c>
      <c r="AZ796" s="136">
        <f t="shared" si="171"/>
        <v>1.7500099999999177</v>
      </c>
      <c r="BA796" s="136">
        <f t="shared" si="172"/>
        <v>0.88888801109558624</v>
      </c>
      <c r="BB796" s="136">
        <f t="shared" si="173"/>
        <v>0.88888976692546739</v>
      </c>
      <c r="BC796" s="136" t="e">
        <f t="shared" si="174"/>
        <v>#N/A</v>
      </c>
      <c r="BD796" s="136" t="e">
        <f t="shared" si="179"/>
        <v>#N/A</v>
      </c>
      <c r="BE796" s="136" t="e">
        <f t="shared" si="175"/>
        <v>#N/A</v>
      </c>
      <c r="BF796" s="136" t="e">
        <f t="shared" si="176"/>
        <v>#N/A</v>
      </c>
      <c r="BG796" s="136" t="e">
        <f t="shared" si="177"/>
        <v>#N/A</v>
      </c>
    </row>
    <row r="797" spans="47:59" ht="11.25" customHeight="1">
      <c r="AU797" s="136">
        <f t="shared" si="167"/>
        <v>0.96079609671251043</v>
      </c>
      <c r="AV797" s="136">
        <f t="shared" si="178"/>
        <v>1.7599999999999176</v>
      </c>
      <c r="AW797" s="136">
        <f t="shared" si="168"/>
        <v>8.4776361308034509E-2</v>
      </c>
      <c r="AX797" s="136" t="e">
        <f t="shared" si="169"/>
        <v>#N/A</v>
      </c>
      <c r="AY797" s="136">
        <f t="shared" si="170"/>
        <v>1.7599899999999176</v>
      </c>
      <c r="AZ797" s="136">
        <f t="shared" si="171"/>
        <v>1.7600099999999177</v>
      </c>
      <c r="BA797" s="136">
        <f t="shared" si="172"/>
        <v>0.88976140044633834</v>
      </c>
      <c r="BB797" s="136">
        <f t="shared" si="173"/>
        <v>0.88976313817257924</v>
      </c>
      <c r="BC797" s="136" t="e">
        <f t="shared" si="174"/>
        <v>#N/A</v>
      </c>
      <c r="BD797" s="136" t="e">
        <f t="shared" si="179"/>
        <v>#N/A</v>
      </c>
      <c r="BE797" s="136" t="e">
        <f t="shared" si="175"/>
        <v>#N/A</v>
      </c>
      <c r="BF797" s="136" t="e">
        <f t="shared" si="176"/>
        <v>#N/A</v>
      </c>
      <c r="BG797" s="136" t="e">
        <f t="shared" si="177"/>
        <v>#N/A</v>
      </c>
    </row>
    <row r="798" spans="47:59" ht="11.25" customHeight="1">
      <c r="AU798" s="136">
        <f t="shared" si="167"/>
        <v>0.96163642963712181</v>
      </c>
      <c r="AV798" s="136">
        <f t="shared" si="178"/>
        <v>1.7699999999999176</v>
      </c>
      <c r="AW798" s="136">
        <f t="shared" si="168"/>
        <v>8.3293186055886592E-2</v>
      </c>
      <c r="AX798" s="136" t="e">
        <f t="shared" si="169"/>
        <v>#N/A</v>
      </c>
      <c r="AY798" s="136">
        <f t="shared" si="170"/>
        <v>1.7699899999999176</v>
      </c>
      <c r="AZ798" s="136">
        <f t="shared" si="171"/>
        <v>1.7700099999999177</v>
      </c>
      <c r="BA798" s="136">
        <f t="shared" si="172"/>
        <v>0.89062579007773612</v>
      </c>
      <c r="BB798" s="136">
        <f t="shared" si="173"/>
        <v>0.89062750990878781</v>
      </c>
      <c r="BC798" s="136" t="e">
        <f t="shared" si="174"/>
        <v>#N/A</v>
      </c>
      <c r="BD798" s="136" t="e">
        <f t="shared" si="179"/>
        <v>#N/A</v>
      </c>
      <c r="BE798" s="136" t="e">
        <f t="shared" si="175"/>
        <v>#N/A</v>
      </c>
      <c r="BF798" s="136" t="e">
        <f t="shared" si="176"/>
        <v>#N/A</v>
      </c>
      <c r="BG798" s="136" t="e">
        <f t="shared" si="177"/>
        <v>#N/A</v>
      </c>
    </row>
    <row r="799" spans="47:59" ht="11.25" customHeight="1">
      <c r="AU799" s="136">
        <f t="shared" si="167"/>
        <v>0.96246201965147649</v>
      </c>
      <c r="AV799" s="136">
        <f t="shared" si="178"/>
        <v>1.7799999999999176</v>
      </c>
      <c r="AW799" s="136">
        <f t="shared" si="168"/>
        <v>8.1827775992154794E-2</v>
      </c>
      <c r="AX799" s="136" t="e">
        <f t="shared" si="169"/>
        <v>#N/A</v>
      </c>
      <c r="AY799" s="136">
        <f t="shared" si="170"/>
        <v>1.7799899999999176</v>
      </c>
      <c r="AZ799" s="136">
        <f t="shared" si="171"/>
        <v>1.7800099999999177</v>
      </c>
      <c r="BA799" s="136">
        <f t="shared" si="172"/>
        <v>0.8914812836638023</v>
      </c>
      <c r="BB799" s="136">
        <f t="shared" si="173"/>
        <v>0.89148298580590679</v>
      </c>
      <c r="BC799" s="136" t="e">
        <f t="shared" si="174"/>
        <v>#N/A</v>
      </c>
      <c r="BD799" s="136" t="e">
        <f t="shared" si="179"/>
        <v>#N/A</v>
      </c>
      <c r="BE799" s="136" t="e">
        <f t="shared" si="175"/>
        <v>#N/A</v>
      </c>
      <c r="BF799" s="136" t="e">
        <f t="shared" si="176"/>
        <v>#N/A</v>
      </c>
      <c r="BG799" s="136" t="e">
        <f t="shared" si="177"/>
        <v>#N/A</v>
      </c>
    </row>
    <row r="800" spans="47:59" ht="11.25" customHeight="1">
      <c r="AU800" s="136">
        <f t="shared" si="167"/>
        <v>0.96327304430126715</v>
      </c>
      <c r="AV800" s="136">
        <f t="shared" si="178"/>
        <v>1.7899999999999177</v>
      </c>
      <c r="AW800" s="136">
        <f t="shared" si="168"/>
        <v>8.0380109056166008E-2</v>
      </c>
      <c r="AX800" s="136" t="e">
        <f t="shared" si="169"/>
        <v>#N/A</v>
      </c>
      <c r="AY800" s="136">
        <f t="shared" si="170"/>
        <v>1.7899899999999176</v>
      </c>
      <c r="AZ800" s="136">
        <f t="shared" si="171"/>
        <v>1.7900099999999177</v>
      </c>
      <c r="BA800" s="136">
        <f t="shared" si="172"/>
        <v>0.89232798377594136</v>
      </c>
      <c r="BB800" s="136">
        <f t="shared" si="173"/>
        <v>0.89232966843313932</v>
      </c>
      <c r="BC800" s="136" t="e">
        <f t="shared" si="174"/>
        <v>#N/A</v>
      </c>
      <c r="BD800" s="136" t="e">
        <f t="shared" si="179"/>
        <v>#N/A</v>
      </c>
      <c r="BE800" s="136" t="e">
        <f t="shared" si="175"/>
        <v>#N/A</v>
      </c>
      <c r="BF800" s="136" t="e">
        <f t="shared" si="176"/>
        <v>#N/A</v>
      </c>
      <c r="BG800" s="136" t="e">
        <f t="shared" si="177"/>
        <v>#N/A</v>
      </c>
    </row>
    <row r="801" spans="47:59" ht="11.25" customHeight="1">
      <c r="AU801" s="136">
        <f t="shared" si="167"/>
        <v>0.96406968088706768</v>
      </c>
      <c r="AV801" s="136">
        <f t="shared" si="178"/>
        <v>1.7999999999999177</v>
      </c>
      <c r="AW801" s="136">
        <f t="shared" si="168"/>
        <v>7.8950158300905848E-2</v>
      </c>
      <c r="AX801" s="136" t="e">
        <f t="shared" si="169"/>
        <v>#N/A</v>
      </c>
      <c r="AY801" s="136">
        <f t="shared" si="170"/>
        <v>1.7999899999999176</v>
      </c>
      <c r="AZ801" s="136">
        <f t="shared" si="171"/>
        <v>1.8000099999999177</v>
      </c>
      <c r="BA801" s="136">
        <f t="shared" si="172"/>
        <v>0.89316599188719814</v>
      </c>
      <c r="BB801" s="136">
        <f t="shared" si="173"/>
        <v>0.89316765926133812</v>
      </c>
      <c r="BC801" s="136" t="e">
        <f t="shared" si="174"/>
        <v>#N/A</v>
      </c>
      <c r="BD801" s="136" t="e">
        <f t="shared" si="179"/>
        <v>#N/A</v>
      </c>
      <c r="BE801" s="136" t="e">
        <f t="shared" si="175"/>
        <v>#N/A</v>
      </c>
      <c r="BF801" s="136" t="e">
        <f t="shared" si="176"/>
        <v>#N/A</v>
      </c>
      <c r="BG801" s="136" t="e">
        <f t="shared" si="177"/>
        <v>#N/A</v>
      </c>
    </row>
    <row r="802" spans="47:59" ht="11.25" customHeight="1">
      <c r="AU802" s="136">
        <f t="shared" si="167"/>
        <v>0.96485210641595476</v>
      </c>
      <c r="AV802" s="136">
        <f t="shared" si="178"/>
        <v>1.8099999999999177</v>
      </c>
      <c r="AW802" s="136">
        <f t="shared" si="168"/>
        <v>7.7537891990145533E-2</v>
      </c>
      <c r="AX802" s="136" t="e">
        <f t="shared" si="169"/>
        <v>#N/A</v>
      </c>
      <c r="AY802" s="136">
        <f t="shared" si="170"/>
        <v>1.8099899999999176</v>
      </c>
      <c r="AZ802" s="136">
        <f t="shared" si="171"/>
        <v>1.8100099999999177</v>
      </c>
      <c r="BA802" s="136">
        <f t="shared" si="172"/>
        <v>0.89399540837685998</v>
      </c>
      <c r="BB802" s="136">
        <f t="shared" si="173"/>
        <v>0.89399705866760792</v>
      </c>
      <c r="BC802" s="136" t="e">
        <f t="shared" si="174"/>
        <v>#N/A</v>
      </c>
      <c r="BD802" s="136" t="e">
        <f t="shared" si="179"/>
        <v>#N/A</v>
      </c>
      <c r="BE802" s="136" t="e">
        <f t="shared" si="175"/>
        <v>#N/A</v>
      </c>
      <c r="BF802" s="136" t="e">
        <f t="shared" si="176"/>
        <v>#N/A</v>
      </c>
      <c r="BG802" s="136" t="e">
        <f t="shared" si="177"/>
        <v>#N/A</v>
      </c>
    </row>
    <row r="803" spans="47:59" ht="11.25" customHeight="1">
      <c r="AU803" s="136">
        <f t="shared" si="167"/>
        <v>0.96562049755410373</v>
      </c>
      <c r="AV803" s="136">
        <f t="shared" si="178"/>
        <v>1.8199999999999177</v>
      </c>
      <c r="AW803" s="136">
        <f t="shared" si="168"/>
        <v>7.6143273696218705E-2</v>
      </c>
      <c r="AX803" s="136" t="e">
        <f t="shared" si="169"/>
        <v>#N/A</v>
      </c>
      <c r="AY803" s="136">
        <f t="shared" si="170"/>
        <v>1.8199899999999176</v>
      </c>
      <c r="AZ803" s="136">
        <f t="shared" si="171"/>
        <v>1.8200099999999177</v>
      </c>
      <c r="BA803" s="136">
        <f t="shared" si="172"/>
        <v>0.89481633253538206</v>
      </c>
      <c r="BB803" s="136">
        <f t="shared" si="173"/>
        <v>0.89481796594023133</v>
      </c>
      <c r="BC803" s="136" t="e">
        <f t="shared" si="174"/>
        <v>#N/A</v>
      </c>
      <c r="BD803" s="136" t="e">
        <f t="shared" si="179"/>
        <v>#N/A</v>
      </c>
      <c r="BE803" s="136" t="e">
        <f t="shared" si="175"/>
        <v>#N/A</v>
      </c>
      <c r="BF803" s="136" t="e">
        <f t="shared" si="176"/>
        <v>#N/A</v>
      </c>
      <c r="BG803" s="136" t="e">
        <f t="shared" si="177"/>
        <v>#N/A</v>
      </c>
    </row>
    <row r="804" spans="47:59" ht="11.25" customHeight="1">
      <c r="AU804" s="136">
        <f t="shared" si="167"/>
        <v>0.96637503058036556</v>
      </c>
      <c r="AV804" s="136">
        <f t="shared" si="178"/>
        <v>1.8299999999999177</v>
      </c>
      <c r="AW804" s="136">
        <f t="shared" si="168"/>
        <v>7.4766262398378858E-2</v>
      </c>
      <c r="AX804" s="136" t="e">
        <f t="shared" si="169"/>
        <v>#N/A</v>
      </c>
      <c r="AY804" s="136">
        <f t="shared" si="170"/>
        <v>1.8299899999999176</v>
      </c>
      <c r="AZ804" s="136">
        <f t="shared" si="171"/>
        <v>1.8300099999999178</v>
      </c>
      <c r="BA804" s="136">
        <f t="shared" si="172"/>
        <v>0.89562886256962038</v>
      </c>
      <c r="BB804" s="136">
        <f t="shared" si="173"/>
        <v>0.89563047928390249</v>
      </c>
      <c r="BC804" s="136" t="e">
        <f t="shared" si="174"/>
        <v>#N/A</v>
      </c>
      <c r="BD804" s="136" t="e">
        <f t="shared" si="179"/>
        <v>#N/A</v>
      </c>
      <c r="BE804" s="136" t="e">
        <f t="shared" si="175"/>
        <v>#N/A</v>
      </c>
      <c r="BF804" s="136" t="e">
        <f t="shared" si="176"/>
        <v>#N/A</v>
      </c>
      <c r="BG804" s="136" t="e">
        <f t="shared" si="177"/>
        <v>#N/A</v>
      </c>
    </row>
    <row r="805" spans="47:59" ht="11.25" customHeight="1">
      <c r="AU805" s="136">
        <f t="shared" si="167"/>
        <v>0.96711588134083004</v>
      </c>
      <c r="AV805" s="136">
        <f t="shared" si="178"/>
        <v>1.8399999999999177</v>
      </c>
      <c r="AW805" s="136">
        <f t="shared" si="168"/>
        <v>7.3406812581667993E-2</v>
      </c>
      <c r="AX805" s="136" t="e">
        <f t="shared" si="169"/>
        <v>#N/A</v>
      </c>
      <c r="AY805" s="136">
        <f t="shared" si="170"/>
        <v>1.8399899999999176</v>
      </c>
      <c r="AZ805" s="136">
        <f t="shared" si="171"/>
        <v>1.8400099999999178</v>
      </c>
      <c r="BA805" s="136">
        <f t="shared" si="172"/>
        <v>0.89643309560835394</v>
      </c>
      <c r="BB805" s="136">
        <f t="shared" si="173"/>
        <v>0.89643469582525015</v>
      </c>
      <c r="BC805" s="136" t="e">
        <f t="shared" si="174"/>
        <v>#N/A</v>
      </c>
      <c r="BD805" s="136" t="e">
        <f t="shared" si="179"/>
        <v>#N/A</v>
      </c>
      <c r="BE805" s="136" t="e">
        <f t="shared" si="175"/>
        <v>#N/A</v>
      </c>
      <c r="BF805" s="136" t="e">
        <f t="shared" si="176"/>
        <v>#N/A</v>
      </c>
      <c r="BG805" s="136" t="e">
        <f t="shared" si="177"/>
        <v>#N/A</v>
      </c>
    </row>
    <row r="806" spans="47:59" ht="11.25" customHeight="1">
      <c r="AU806" s="136">
        <f t="shared" si="167"/>
        <v>0.96784322520438049</v>
      </c>
      <c r="AV806" s="136">
        <f t="shared" si="178"/>
        <v>1.8499999999999177</v>
      </c>
      <c r="AW806" s="136">
        <f t="shared" si="168"/>
        <v>7.2064874336228948E-2</v>
      </c>
      <c r="AX806" s="136" t="e">
        <f t="shared" si="169"/>
        <v>#N/A</v>
      </c>
      <c r="AY806" s="136">
        <f t="shared" si="170"/>
        <v>1.8499899999999176</v>
      </c>
      <c r="AZ806" s="136">
        <f t="shared" si="171"/>
        <v>1.8500099999999178</v>
      </c>
      <c r="BA806" s="136">
        <f t="shared" si="172"/>
        <v>0.89722912770808139</v>
      </c>
      <c r="BB806" s="136">
        <f t="shared" si="173"/>
        <v>0.89723071161863421</v>
      </c>
      <c r="BC806" s="136" t="e">
        <f t="shared" si="174"/>
        <v>#N/A</v>
      </c>
      <c r="BD806" s="136" t="e">
        <f t="shared" si="179"/>
        <v>#N/A</v>
      </c>
      <c r="BE806" s="136" t="e">
        <f t="shared" si="175"/>
        <v>#N/A</v>
      </c>
      <c r="BF806" s="136" t="e">
        <f t="shared" si="176"/>
        <v>#N/A</v>
      </c>
      <c r="BG806" s="136" t="e">
        <f t="shared" si="177"/>
        <v>#N/A</v>
      </c>
    </row>
    <row r="807" spans="47:59" ht="11.25" customHeight="1">
      <c r="AU807" s="136">
        <f t="shared" si="167"/>
        <v>0.96855723701924168</v>
      </c>
      <c r="AV807" s="136">
        <f t="shared" si="178"/>
        <v>1.8599999999999177</v>
      </c>
      <c r="AW807" s="136">
        <f t="shared" si="168"/>
        <v>7.0740393456994191E-2</v>
      </c>
      <c r="AX807" s="136" t="e">
        <f t="shared" si="169"/>
        <v>#N/A</v>
      </c>
      <c r="AY807" s="136">
        <f t="shared" si="170"/>
        <v>1.8599899999999177</v>
      </c>
      <c r="AZ807" s="136">
        <f t="shared" si="171"/>
        <v>1.8600099999999178</v>
      </c>
      <c r="BA807" s="136">
        <f t="shared" si="172"/>
        <v>0.89801705385907515</v>
      </c>
      <c r="BB807" s="136">
        <f t="shared" si="173"/>
        <v>0.89801862165220092</v>
      </c>
      <c r="BC807" s="136" t="e">
        <f t="shared" si="174"/>
        <v>#N/A</v>
      </c>
      <c r="BD807" s="136" t="e">
        <f t="shared" si="179"/>
        <v>#N/A</v>
      </c>
      <c r="BE807" s="136" t="e">
        <f t="shared" si="175"/>
        <v>#N/A</v>
      </c>
      <c r="BF807" s="136" t="e">
        <f t="shared" si="176"/>
        <v>#N/A</v>
      </c>
      <c r="BG807" s="136" t="e">
        <f t="shared" si="177"/>
        <v>#N/A</v>
      </c>
    </row>
    <row r="808" spans="47:59" ht="11.25" customHeight="1">
      <c r="AU808" s="136">
        <f t="shared" si="167"/>
        <v>0.96925809107052818</v>
      </c>
      <c r="AV808" s="136">
        <f t="shared" si="178"/>
        <v>1.8699999999999177</v>
      </c>
      <c r="AW808" s="136">
        <f t="shared" si="168"/>
        <v>6.9433311543684872E-2</v>
      </c>
      <c r="AX808" s="136" t="e">
        <f t="shared" si="169"/>
        <v>#N/A</v>
      </c>
      <c r="AY808" s="136">
        <f t="shared" si="170"/>
        <v>1.8699899999999177</v>
      </c>
      <c r="AZ808" s="136">
        <f t="shared" si="171"/>
        <v>1.8700099999999178</v>
      </c>
      <c r="BA808" s="136">
        <f t="shared" si="172"/>
        <v>0.89879696799167941</v>
      </c>
      <c r="BB808" s="136">
        <f t="shared" si="173"/>
        <v>0.89879851985418124</v>
      </c>
      <c r="BC808" s="136" t="e">
        <f t="shared" si="174"/>
        <v>#N/A</v>
      </c>
      <c r="BD808" s="136" t="e">
        <f t="shared" si="179"/>
        <v>#N/A</v>
      </c>
      <c r="BE808" s="136" t="e">
        <f t="shared" si="175"/>
        <v>#N/A</v>
      </c>
      <c r="BF808" s="136" t="e">
        <f t="shared" si="176"/>
        <v>#N/A</v>
      </c>
      <c r="BG808" s="136" t="e">
        <f t="shared" si="177"/>
        <v>#N/A</v>
      </c>
    </row>
    <row r="809" spans="47:59" ht="11.25" customHeight="1">
      <c r="AU809" s="136">
        <f t="shared" si="167"/>
        <v>0.9699459610387946</v>
      </c>
      <c r="AV809" s="136">
        <f t="shared" si="178"/>
        <v>1.8799999999999177</v>
      </c>
      <c r="AW809" s="136">
        <f t="shared" si="168"/>
        <v>6.8143566101055111E-2</v>
      </c>
      <c r="AX809" s="136" t="e">
        <f t="shared" si="169"/>
        <v>#N/A</v>
      </c>
      <c r="AY809" s="136">
        <f t="shared" si="170"/>
        <v>1.8799899999999177</v>
      </c>
      <c r="AZ809" s="136">
        <f t="shared" si="171"/>
        <v>1.8800099999999178</v>
      </c>
      <c r="BA809" s="136">
        <f t="shared" si="172"/>
        <v>0.89956896298283595</v>
      </c>
      <c r="BB809" s="136">
        <f t="shared" si="173"/>
        <v>0.89957049909941644</v>
      </c>
      <c r="BC809" s="136" t="e">
        <f t="shared" si="174"/>
        <v>#N/A</v>
      </c>
      <c r="BD809" s="136" t="e">
        <f t="shared" si="179"/>
        <v>#N/A</v>
      </c>
      <c r="BE809" s="136" t="e">
        <f t="shared" si="175"/>
        <v>#N/A</v>
      </c>
      <c r="BF809" s="136" t="e">
        <f t="shared" si="176"/>
        <v>#N/A</v>
      </c>
      <c r="BG809" s="136" t="e">
        <f t="shared" si="177"/>
        <v>#N/A</v>
      </c>
    </row>
    <row r="810" spans="47:59" ht="11.25" customHeight="1">
      <c r="AU810" s="136">
        <f t="shared" si="167"/>
        <v>0.97062101995958505</v>
      </c>
      <c r="AV810" s="136">
        <f t="shared" si="178"/>
        <v>1.8899999999999177</v>
      </c>
      <c r="AW810" s="136">
        <f t="shared" si="168"/>
        <v>6.6871090639317537E-2</v>
      </c>
      <c r="AX810" s="136" t="e">
        <f t="shared" si="169"/>
        <v>#N/A</v>
      </c>
      <c r="AY810" s="136">
        <f t="shared" si="170"/>
        <v>1.8899899999999177</v>
      </c>
      <c r="AZ810" s="136">
        <f t="shared" si="171"/>
        <v>1.8900099999999178</v>
      </c>
      <c r="BA810" s="136">
        <f t="shared" si="172"/>
        <v>0.90033313066282461</v>
      </c>
      <c r="BB810" s="136">
        <f t="shared" si="173"/>
        <v>0.90033465121610035</v>
      </c>
      <c r="BC810" s="136" t="e">
        <f t="shared" si="174"/>
        <v>#N/A</v>
      </c>
      <c r="BD810" s="136" t="e">
        <f t="shared" si="179"/>
        <v>#N/A</v>
      </c>
      <c r="BE810" s="136" t="e">
        <f t="shared" si="175"/>
        <v>#N/A</v>
      </c>
      <c r="BF810" s="136" t="e">
        <f t="shared" si="176"/>
        <v>#N/A</v>
      </c>
      <c r="BG810" s="136" t="e">
        <f t="shared" si="177"/>
        <v>#N/A</v>
      </c>
    </row>
    <row r="811" spans="47:59" ht="11.25" customHeight="1">
      <c r="AU811" s="136">
        <f t="shared" si="167"/>
        <v>0.97128344018399271</v>
      </c>
      <c r="AV811" s="136">
        <f t="shared" si="178"/>
        <v>1.8999999999999178</v>
      </c>
      <c r="AW811" s="136">
        <f t="shared" si="168"/>
        <v>6.5615814774686837E-2</v>
      </c>
      <c r="AX811" s="136" t="e">
        <f t="shared" si="169"/>
        <v>#N/A</v>
      </c>
      <c r="AY811" s="136">
        <f t="shared" si="170"/>
        <v>1.8999899999999177</v>
      </c>
      <c r="AZ811" s="136">
        <f t="shared" si="171"/>
        <v>1.9000099999999178</v>
      </c>
      <c r="BA811" s="136">
        <f t="shared" si="172"/>
        <v>0.90108956182220479</v>
      </c>
      <c r="BB811" s="136">
        <f t="shared" si="173"/>
        <v>0.90109106699271979</v>
      </c>
      <c r="BC811" s="136" t="e">
        <f t="shared" si="174"/>
        <v>#N/A</v>
      </c>
      <c r="BD811" s="136" t="e">
        <f t="shared" si="179"/>
        <v>#N/A</v>
      </c>
      <c r="BE811" s="136" t="e">
        <f t="shared" si="175"/>
        <v>#N/A</v>
      </c>
      <c r="BF811" s="136" t="e">
        <f t="shared" si="176"/>
        <v>#N/A</v>
      </c>
      <c r="BG811" s="136" t="e">
        <f t="shared" si="177"/>
        <v>#N/A</v>
      </c>
    </row>
    <row r="812" spans="47:59" ht="11.25" customHeight="1">
      <c r="AU812" s="136">
        <f t="shared" si="167"/>
        <v>0.97193339334022211</v>
      </c>
      <c r="AV812" s="136">
        <f t="shared" si="178"/>
        <v>1.9099999999999178</v>
      </c>
      <c r="AW812" s="136">
        <f t="shared" si="168"/>
        <v>6.4377664329979448E-2</v>
      </c>
      <c r="AX812" s="136" t="e">
        <f t="shared" si="169"/>
        <v>#N/A</v>
      </c>
      <c r="AY812" s="136">
        <f t="shared" si="170"/>
        <v>1.9099899999999177</v>
      </c>
      <c r="AZ812" s="136">
        <f t="shared" si="171"/>
        <v>1.9100099999999178</v>
      </c>
      <c r="BA812" s="136">
        <f t="shared" si="172"/>
        <v>0.90183834621894554</v>
      </c>
      <c r="BB812" s="136">
        <f t="shared" si="173"/>
        <v>0.90183983618518571</v>
      </c>
      <c r="BC812" s="136" t="e">
        <f t="shared" si="174"/>
        <v>#N/A</v>
      </c>
      <c r="BD812" s="136" t="e">
        <f t="shared" si="179"/>
        <v>#N/A</v>
      </c>
      <c r="BE812" s="136" t="e">
        <f t="shared" si="175"/>
        <v>#N/A</v>
      </c>
      <c r="BF812" s="136" t="e">
        <f t="shared" si="176"/>
        <v>#N/A</v>
      </c>
      <c r="BG812" s="136" t="e">
        <f t="shared" si="177"/>
        <v>#N/A</v>
      </c>
    </row>
    <row r="813" spans="47:59" ht="11.25" customHeight="1">
      <c r="AU813" s="136">
        <f t="shared" si="167"/>
        <v>0.97257105029615787</v>
      </c>
      <c r="AV813" s="136">
        <f t="shared" si="178"/>
        <v>1.9199999999999178</v>
      </c>
      <c r="AW813" s="136">
        <f t="shared" si="168"/>
        <v>6.3156561435208605E-2</v>
      </c>
      <c r="AX813" s="136" t="e">
        <f t="shared" si="169"/>
        <v>#N/A</v>
      </c>
      <c r="AY813" s="136">
        <f t="shared" si="170"/>
        <v>1.9199899999999177</v>
      </c>
      <c r="AZ813" s="136">
        <f t="shared" si="171"/>
        <v>1.9200099999999178</v>
      </c>
      <c r="BA813" s="136">
        <f t="shared" si="172"/>
        <v>0.9025795725857293</v>
      </c>
      <c r="BB813" s="136">
        <f t="shared" si="173"/>
        <v>0.90258104752413804</v>
      </c>
      <c r="BC813" s="136" t="e">
        <f t="shared" si="174"/>
        <v>#N/A</v>
      </c>
      <c r="BD813" s="136" t="e">
        <f t="shared" si="179"/>
        <v>#N/A</v>
      </c>
      <c r="BE813" s="136" t="e">
        <f t="shared" si="175"/>
        <v>#N/A</v>
      </c>
      <c r="BF813" s="136" t="e">
        <f t="shared" si="176"/>
        <v>#N/A</v>
      </c>
      <c r="BG813" s="136" t="e">
        <f t="shared" si="177"/>
        <v>#N/A</v>
      </c>
    </row>
    <row r="814" spans="47:59" ht="11.25" customHeight="1">
      <c r="AU814" s="136">
        <f t="shared" si="167"/>
        <v>0.97319658112293994</v>
      </c>
      <c r="AV814" s="136">
        <f t="shared" si="178"/>
        <v>1.9299999999999178</v>
      </c>
      <c r="AW814" s="136">
        <f t="shared" si="168"/>
        <v>6.1952424628114976E-2</v>
      </c>
      <c r="AX814" s="136" t="e">
        <f t="shared" si="169"/>
        <v>#N/A</v>
      </c>
      <c r="AY814" s="136">
        <f t="shared" si="170"/>
        <v>1.9299899999999177</v>
      </c>
      <c r="AZ814" s="136">
        <f t="shared" si="171"/>
        <v>1.9300099999999178</v>
      </c>
      <c r="BA814" s="136">
        <f t="shared" si="172"/>
        <v>0.90331332863742186</v>
      </c>
      <c r="BB814" s="136">
        <f t="shared" si="173"/>
        <v>0.903314788722414</v>
      </c>
      <c r="BC814" s="136" t="e">
        <f t="shared" si="174"/>
        <v>#N/A</v>
      </c>
      <c r="BD814" s="136" t="e">
        <f t="shared" si="179"/>
        <v>#N/A</v>
      </c>
      <c r="BE814" s="136" t="e">
        <f t="shared" si="175"/>
        <v>#N/A</v>
      </c>
      <c r="BF814" s="136" t="e">
        <f t="shared" si="176"/>
        <v>#N/A</v>
      </c>
      <c r="BG814" s="136" t="e">
        <f t="shared" si="177"/>
        <v>#N/A</v>
      </c>
    </row>
    <row r="815" spans="47:59" ht="11.25" customHeight="1">
      <c r="AU815" s="136">
        <f t="shared" si="167"/>
        <v>0.97381015505954227</v>
      </c>
      <c r="AV815" s="136">
        <f t="shared" si="178"/>
        <v>1.9399999999999178</v>
      </c>
      <c r="AW815" s="136">
        <f t="shared" si="168"/>
        <v>6.0765168954574462E-2</v>
      </c>
      <c r="AX815" s="136" t="e">
        <f t="shared" si="169"/>
        <v>#N/A</v>
      </c>
      <c r="AY815" s="136">
        <f t="shared" si="170"/>
        <v>1.9399899999999177</v>
      </c>
      <c r="AZ815" s="136">
        <f t="shared" si="171"/>
        <v>1.9400099999999179</v>
      </c>
      <c r="BA815" s="136">
        <f t="shared" si="172"/>
        <v>0.90403970107869169</v>
      </c>
      <c r="BB815" s="136">
        <f t="shared" si="173"/>
        <v>0.90404114648266931</v>
      </c>
      <c r="BC815" s="136" t="e">
        <f t="shared" si="174"/>
        <v>#N/A</v>
      </c>
      <c r="BD815" s="136" t="e">
        <f t="shared" si="179"/>
        <v>#N/A</v>
      </c>
      <c r="BE815" s="136" t="e">
        <f t="shared" si="175"/>
        <v>#N/A</v>
      </c>
      <c r="BF815" s="136" t="e">
        <f t="shared" si="176"/>
        <v>#N/A</v>
      </c>
      <c r="BG815" s="136" t="e">
        <f t="shared" si="177"/>
        <v>#N/A</v>
      </c>
    </row>
    <row r="816" spans="47:59" ht="11.25" customHeight="1">
      <c r="AU816" s="136">
        <f t="shared" si="167"/>
        <v>0.97441194047835644</v>
      </c>
      <c r="AV816" s="136">
        <f t="shared" si="178"/>
        <v>1.9499999999999178</v>
      </c>
      <c r="AW816" s="136">
        <f t="shared" si="168"/>
        <v>5.9594706068825609E-2</v>
      </c>
      <c r="AX816" s="136" t="e">
        <f t="shared" si="169"/>
        <v>#N/A</v>
      </c>
      <c r="AY816" s="136">
        <f t="shared" si="170"/>
        <v>1.9499899999999177</v>
      </c>
      <c r="AZ816" s="136">
        <f t="shared" si="171"/>
        <v>1.9500099999999179</v>
      </c>
      <c r="BA816" s="136">
        <f t="shared" si="172"/>
        <v>0.90475877561177109</v>
      </c>
      <c r="BB816" s="136">
        <f t="shared" si="173"/>
        <v>0.90476020650513966</v>
      </c>
      <c r="BC816" s="136" t="e">
        <f t="shared" si="174"/>
        <v>#N/A</v>
      </c>
      <c r="BD816" s="136" t="e">
        <f t="shared" si="179"/>
        <v>#N/A</v>
      </c>
      <c r="BE816" s="136" t="e">
        <f t="shared" si="175"/>
        <v>#N/A</v>
      </c>
      <c r="BF816" s="136" t="e">
        <f t="shared" si="176"/>
        <v>#N/A</v>
      </c>
      <c r="BG816" s="136" t="e">
        <f t="shared" si="177"/>
        <v>#N/A</v>
      </c>
    </row>
    <row r="817" spans="47:59" ht="11.25" customHeight="1">
      <c r="AU817" s="136">
        <f t="shared" si="167"/>
        <v>0.97500210485177463</v>
      </c>
      <c r="AV817" s="136">
        <f t="shared" si="178"/>
        <v>1.9599999999999178</v>
      </c>
      <c r="AW817" s="136">
        <f t="shared" si="168"/>
        <v>5.8440944333460879E-2</v>
      </c>
      <c r="AX817" s="136" t="e">
        <f t="shared" si="169"/>
        <v>#N/A</v>
      </c>
      <c r="AY817" s="136">
        <f t="shared" si="170"/>
        <v>1.9599899999999177</v>
      </c>
      <c r="AZ817" s="136">
        <f t="shared" si="171"/>
        <v>1.9600099999999179</v>
      </c>
      <c r="BA817" s="136">
        <f t="shared" si="172"/>
        <v>0.90547063694434737</v>
      </c>
      <c r="BB817" s="136">
        <f t="shared" si="173"/>
        <v>0.90547205349553106</v>
      </c>
      <c r="BC817" s="136" t="e">
        <f t="shared" si="174"/>
        <v>#N/A</v>
      </c>
      <c r="BD817" s="136" t="e">
        <f t="shared" si="179"/>
        <v>#N/A</v>
      </c>
      <c r="BE817" s="136" t="e">
        <f t="shared" si="175"/>
        <v>#N/A</v>
      </c>
      <c r="BF817" s="136" t="e">
        <f t="shared" si="176"/>
        <v>#N/A</v>
      </c>
      <c r="BG817" s="136" t="e">
        <f t="shared" si="177"/>
        <v>#N/A</v>
      </c>
    </row>
    <row r="818" spans="47:59" ht="11.25" customHeight="1">
      <c r="AU818" s="136">
        <f t="shared" si="167"/>
        <v>0.97558081471977265</v>
      </c>
      <c r="AV818" s="136">
        <f t="shared" si="178"/>
        <v>1.9699999999999178</v>
      </c>
      <c r="AW818" s="136">
        <f t="shared" si="168"/>
        <v>5.7303788919126401E-2</v>
      </c>
      <c r="AX818" s="136" t="e">
        <f t="shared" si="169"/>
        <v>#N/A</v>
      </c>
      <c r="AY818" s="136">
        <f t="shared" si="170"/>
        <v>1.9699899999999178</v>
      </c>
      <c r="AZ818" s="136">
        <f t="shared" si="171"/>
        <v>1.9700099999999179</v>
      </c>
      <c r="BA818" s="136">
        <f t="shared" si="172"/>
        <v>0.90617536879757365</v>
      </c>
      <c r="BB818" s="136">
        <f t="shared" si="173"/>
        <v>0.90617677117303175</v>
      </c>
      <c r="BC818" s="136" t="e">
        <f t="shared" si="174"/>
        <v>#N/A</v>
      </c>
      <c r="BD818" s="136">
        <f t="shared" si="179"/>
        <v>5.7303788919126401E-2</v>
      </c>
      <c r="BE818" s="136">
        <f t="shared" si="175"/>
        <v>5.63037889191264E-2</v>
      </c>
      <c r="BF818" s="136" t="e">
        <f t="shared" si="176"/>
        <v>#N/A</v>
      </c>
      <c r="BG818" s="136" t="e">
        <f t="shared" si="177"/>
        <v>#N/A</v>
      </c>
    </row>
    <row r="819" spans="47:59" ht="11.25" customHeight="1">
      <c r="AU819" s="136">
        <f t="shared" si="167"/>
        <v>0.97614823565848685</v>
      </c>
      <c r="AV819" s="136">
        <f t="shared" si="178"/>
        <v>1.9799999999999178</v>
      </c>
      <c r="AW819" s="136">
        <f t="shared" si="168"/>
        <v>5.6183141903877167E-2</v>
      </c>
      <c r="AX819" s="136" t="e">
        <f t="shared" si="169"/>
        <v>#N/A</v>
      </c>
      <c r="AY819" s="136">
        <f t="shared" si="170"/>
        <v>1.9799899999999178</v>
      </c>
      <c r="AZ819" s="136">
        <f t="shared" si="171"/>
        <v>1.9800099999999179</v>
      </c>
      <c r="BA819" s="136">
        <f t="shared" si="172"/>
        <v>0.9068730539141896</v>
      </c>
      <c r="BB819" s="136">
        <f t="shared" si="173"/>
        <v>0.90687444227843239</v>
      </c>
      <c r="BC819" s="136" t="e">
        <f t="shared" si="174"/>
        <v>#N/A</v>
      </c>
      <c r="BD819" s="136">
        <f t="shared" si="179"/>
        <v>5.6183141903877167E-2</v>
      </c>
      <c r="BE819" s="136">
        <f t="shared" si="175"/>
        <v>5.5183141903877166E-2</v>
      </c>
      <c r="BF819" s="136" t="e">
        <f t="shared" si="176"/>
        <v>#N/A</v>
      </c>
      <c r="BG819" s="136" t="e">
        <f t="shared" si="177"/>
        <v>#N/A</v>
      </c>
    </row>
    <row r="820" spans="47:59" ht="11.25" customHeight="1">
      <c r="AU820" s="136">
        <f t="shared" si="167"/>
        <v>0.97670453224978371</v>
      </c>
      <c r="AV820" s="136">
        <f t="shared" si="178"/>
        <v>1.9899999999999178</v>
      </c>
      <c r="AW820" s="136">
        <f t="shared" si="168"/>
        <v>5.5078902372134773E-2</v>
      </c>
      <c r="AX820" s="136" t="e">
        <f t="shared" si="169"/>
        <v>#N/A</v>
      </c>
      <c r="AY820" s="136">
        <f t="shared" si="170"/>
        <v>1.9899899999999178</v>
      </c>
      <c r="AZ820" s="136">
        <f t="shared" si="171"/>
        <v>1.9900099999999179</v>
      </c>
      <c r="BA820" s="136">
        <f t="shared" si="172"/>
        <v>0.90756377406674205</v>
      </c>
      <c r="BB820" s="136">
        <f t="shared" si="173"/>
        <v>0.90756514858234827</v>
      </c>
      <c r="BC820" s="136" t="e">
        <f t="shared" si="174"/>
        <v>#N/A</v>
      </c>
      <c r="BD820" s="136">
        <f t="shared" si="179"/>
        <v>5.5078902372134773E-2</v>
      </c>
      <c r="BE820" s="136">
        <f t="shared" si="175"/>
        <v>5.4078902372134773E-2</v>
      </c>
      <c r="BF820" s="136" t="e">
        <f t="shared" si="176"/>
        <v>#N/A</v>
      </c>
      <c r="BG820" s="136" t="e">
        <f t="shared" si="177"/>
        <v>#N/A</v>
      </c>
    </row>
    <row r="821" spans="47:59" ht="11.25" customHeight="1">
      <c r="AU821" s="136">
        <f t="shared" si="167"/>
        <v>0.97724986805181646</v>
      </c>
      <c r="AV821" s="136">
        <f t="shared" si="178"/>
        <v>1.9999999999999178</v>
      </c>
      <c r="AW821" s="136">
        <f t="shared" si="168"/>
        <v>5.3990966513196924E-2</v>
      </c>
      <c r="AX821" s="136" t="e">
        <f t="shared" si="169"/>
        <v>#N/A</v>
      </c>
      <c r="AY821" s="136">
        <f t="shared" si="170"/>
        <v>1.9999899999999178</v>
      </c>
      <c r="AZ821" s="136">
        <f t="shared" si="171"/>
        <v>2.0000099999999179</v>
      </c>
      <c r="BA821" s="136">
        <f t="shared" si="172"/>
        <v>0.90824761006589816</v>
      </c>
      <c r="BB821" s="136">
        <f t="shared" si="173"/>
        <v>0.90824897089353096</v>
      </c>
      <c r="BC821" s="136" t="e">
        <f t="shared" si="174"/>
        <v>#N/A</v>
      </c>
      <c r="BD821" s="136">
        <f t="shared" si="179"/>
        <v>5.3990966513196924E-2</v>
      </c>
      <c r="BE821" s="136">
        <f t="shared" si="175"/>
        <v>5.2990966513196923E-2</v>
      </c>
      <c r="BF821" s="136" t="e">
        <f t="shared" si="176"/>
        <v>#N/A</v>
      </c>
      <c r="BG821" s="136" t="e">
        <f t="shared" si="177"/>
        <v>#N/A</v>
      </c>
    </row>
    <row r="822" spans="47:59" ht="11.25" customHeight="1">
      <c r="AU822" s="136">
        <f t="shared" si="167"/>
        <v>0.97778440557056401</v>
      </c>
      <c r="AV822" s="136">
        <f t="shared" si="178"/>
        <v>2.0099999999999176</v>
      </c>
      <c r="AW822" s="136">
        <f t="shared" si="168"/>
        <v>5.2919227719249042E-2</v>
      </c>
      <c r="AX822" s="136" t="e">
        <f t="shared" si="169"/>
        <v>#N/A</v>
      </c>
      <c r="AY822" s="136">
        <f t="shared" si="170"/>
        <v>2.0099899999999176</v>
      </c>
      <c r="AZ822" s="136">
        <f t="shared" si="171"/>
        <v>2.0100099999999177</v>
      </c>
      <c r="BA822" s="136">
        <f t="shared" si="172"/>
        <v>0.90892464176883991</v>
      </c>
      <c r="BB822" s="136">
        <f t="shared" si="173"/>
        <v>0.90892598906726385</v>
      </c>
      <c r="BC822" s="136" t="e">
        <f t="shared" si="174"/>
        <v>#N/A</v>
      </c>
      <c r="BD822" s="136">
        <f t="shared" si="179"/>
        <v>5.2919227719249042E-2</v>
      </c>
      <c r="BE822" s="136">
        <f t="shared" si="175"/>
        <v>5.1919227719249041E-2</v>
      </c>
      <c r="BF822" s="136" t="e">
        <f t="shared" si="176"/>
        <v>#N/A</v>
      </c>
      <c r="BG822" s="136" t="e">
        <f t="shared" si="177"/>
        <v>#N/A</v>
      </c>
    </row>
    <row r="823" spans="47:59" ht="11.25" customHeight="1">
      <c r="AU823" s="136">
        <f t="shared" si="167"/>
        <v>0.97830830623234888</v>
      </c>
      <c r="AV823" s="136">
        <f t="shared" si="178"/>
        <v>2.0199999999999174</v>
      </c>
      <c r="AW823" s="136">
        <f t="shared" si="168"/>
        <v>5.1863576682829218E-2</v>
      </c>
      <c r="AX823" s="136" t="e">
        <f t="shared" si="169"/>
        <v>#N/A</v>
      </c>
      <c r="AY823" s="136">
        <f t="shared" si="170"/>
        <v>2.0199899999999174</v>
      </c>
      <c r="AZ823" s="136">
        <f t="shared" si="171"/>
        <v>2.0200099999999175</v>
      </c>
      <c r="BA823" s="136">
        <f t="shared" si="172"/>
        <v>0.90959494808773356</v>
      </c>
      <c r="BB823" s="136">
        <f t="shared" si="173"/>
        <v>0.9095962820138318</v>
      </c>
      <c r="BC823" s="136" t="e">
        <f t="shared" si="174"/>
        <v>#N/A</v>
      </c>
      <c r="BD823" s="136">
        <f t="shared" si="179"/>
        <v>5.1863576682829218E-2</v>
      </c>
      <c r="BE823" s="136">
        <f t="shared" si="175"/>
        <v>5.0863576682829217E-2</v>
      </c>
      <c r="BF823" s="136" t="e">
        <f t="shared" si="176"/>
        <v>#N/A</v>
      </c>
      <c r="BG823" s="136" t="e">
        <f t="shared" si="177"/>
        <v>#N/A</v>
      </c>
    </row>
    <row r="824" spans="47:59" ht="11.25" customHeight="1">
      <c r="AU824" s="136">
        <f t="shared" si="167"/>
        <v>0.97882173035732345</v>
      </c>
      <c r="AV824" s="136">
        <f t="shared" si="178"/>
        <v>2.0299999999999172</v>
      </c>
      <c r="AW824" s="136">
        <f t="shared" si="168"/>
        <v>5.0823901493699704E-2</v>
      </c>
      <c r="AX824" s="136" t="e">
        <f t="shared" si="169"/>
        <v>#N/A</v>
      </c>
      <c r="AY824" s="136">
        <f t="shared" si="170"/>
        <v>2.0299899999999171</v>
      </c>
      <c r="AZ824" s="136">
        <f t="shared" si="171"/>
        <v>2.0300099999999173</v>
      </c>
      <c r="BA824" s="136">
        <f t="shared" si="172"/>
        <v>0.910258606998265</v>
      </c>
      <c r="BB824" s="136">
        <f t="shared" si="173"/>
        <v>0.91025992770705622</v>
      </c>
      <c r="BC824" s="136" t="e">
        <f t="shared" si="174"/>
        <v>#N/A</v>
      </c>
      <c r="BD824" s="136">
        <f t="shared" si="179"/>
        <v>5.0823901493699704E-2</v>
      </c>
      <c r="BE824" s="136">
        <f t="shared" si="175"/>
        <v>4.9823901493699703E-2</v>
      </c>
      <c r="BF824" s="136" t="e">
        <f t="shared" si="176"/>
        <v>#N/A</v>
      </c>
      <c r="BG824" s="136" t="e">
        <f t="shared" si="177"/>
        <v>#N/A</v>
      </c>
    </row>
    <row r="825" spans="47:59" ht="11.25" customHeight="1">
      <c r="AU825" s="136">
        <f t="shared" si="167"/>
        <v>0.9793248371339256</v>
      </c>
      <c r="AV825" s="136">
        <f t="shared" si="178"/>
        <v>2.039999999999917</v>
      </c>
      <c r="AW825" s="136">
        <f t="shared" si="168"/>
        <v>4.9800087735079192E-2</v>
      </c>
      <c r="AX825" s="136" t="e">
        <f t="shared" si="169"/>
        <v>#N/A</v>
      </c>
      <c r="AY825" s="136">
        <f t="shared" si="170"/>
        <v>2.0399899999999169</v>
      </c>
      <c r="AZ825" s="136">
        <f t="shared" si="171"/>
        <v>2.0400099999999171</v>
      </c>
      <c r="BA825" s="136">
        <f t="shared" si="172"/>
        <v>0.91091569554823404</v>
      </c>
      <c r="BB825" s="136">
        <f t="shared" si="173"/>
        <v>0.91091700319288993</v>
      </c>
      <c r="BC825" s="136" t="e">
        <f t="shared" si="174"/>
        <v>#N/A</v>
      </c>
      <c r="BD825" s="136">
        <f t="shared" si="179"/>
        <v>4.9800087735079192E-2</v>
      </c>
      <c r="BE825" s="136">
        <f t="shared" si="175"/>
        <v>4.8800087735079191E-2</v>
      </c>
      <c r="BF825" s="136" t="e">
        <f t="shared" si="176"/>
        <v>#N/A</v>
      </c>
      <c r="BG825" s="136" t="e">
        <f t="shared" si="177"/>
        <v>#N/A</v>
      </c>
    </row>
    <row r="826" spans="47:59" ht="11.25" customHeight="1">
      <c r="AU826" s="136">
        <f t="shared" si="167"/>
        <v>0.97981778459429147</v>
      </c>
      <c r="AV826" s="136">
        <f t="shared" si="178"/>
        <v>2.0499999999999168</v>
      </c>
      <c r="AW826" s="136">
        <f t="shared" si="168"/>
        <v>4.8792018579191083E-2</v>
      </c>
      <c r="AX826" s="136" t="e">
        <f t="shared" si="169"/>
        <v>#N/A</v>
      </c>
      <c r="AY826" s="136">
        <f t="shared" si="170"/>
        <v>2.0499899999999167</v>
      </c>
      <c r="AZ826" s="136">
        <f t="shared" si="171"/>
        <v>2.0500099999999168</v>
      </c>
      <c r="BA826" s="136">
        <f t="shared" si="172"/>
        <v>0.91156628986619981</v>
      </c>
      <c r="BB826" s="136">
        <f t="shared" si="173"/>
        <v>0.9115675845980622</v>
      </c>
      <c r="BC826" s="136" t="e">
        <f t="shared" si="174"/>
        <v>#N/A</v>
      </c>
      <c r="BD826" s="136">
        <f t="shared" si="179"/>
        <v>4.8792018579191083E-2</v>
      </c>
      <c r="BE826" s="136">
        <f t="shared" si="175"/>
        <v>4.7792018579191083E-2</v>
      </c>
      <c r="BF826" s="136" t="e">
        <f t="shared" si="176"/>
        <v>#N/A</v>
      </c>
      <c r="BG826" s="136" t="e">
        <f t="shared" si="177"/>
        <v>#N/A</v>
      </c>
    </row>
    <row r="827" spans="47:59" ht="11.25" customHeight="1">
      <c r="AU827" s="136">
        <f t="shared" si="167"/>
        <v>0.9803007295906192</v>
      </c>
      <c r="AV827" s="136">
        <f t="shared" si="178"/>
        <v>2.0599999999999166</v>
      </c>
      <c r="AW827" s="136">
        <f t="shared" si="168"/>
        <v>4.7799574882085243E-2</v>
      </c>
      <c r="AX827" s="136" t="e">
        <f t="shared" si="169"/>
        <v>#N/A</v>
      </c>
      <c r="AY827" s="136">
        <f t="shared" si="170"/>
        <v>2.0599899999999165</v>
      </c>
      <c r="AZ827" s="136">
        <f t="shared" si="171"/>
        <v>2.0600099999999166</v>
      </c>
      <c r="BA827" s="136">
        <f t="shared" si="172"/>
        <v>0.91221046517017035</v>
      </c>
      <c r="BB827" s="136">
        <f t="shared" si="173"/>
        <v>0.91221174713876874</v>
      </c>
      <c r="BC827" s="136" t="e">
        <f t="shared" si="174"/>
        <v>#N/A</v>
      </c>
      <c r="BD827" s="136">
        <f t="shared" si="179"/>
        <v>4.7799574882085243E-2</v>
      </c>
      <c r="BE827" s="136">
        <f t="shared" si="175"/>
        <v>4.6799574882085242E-2</v>
      </c>
      <c r="BF827" s="136" t="e">
        <f t="shared" si="176"/>
        <v>#N/A</v>
      </c>
      <c r="BG827" s="136" t="e">
        <f t="shared" si="177"/>
        <v>#N/A</v>
      </c>
    </row>
    <row r="828" spans="47:59" ht="11.25" customHeight="1">
      <c r="AU828" s="136">
        <f t="shared" si="167"/>
        <v>0.98077382777247868</v>
      </c>
      <c r="AV828" s="136">
        <f t="shared" si="178"/>
        <v>2.0699999999999164</v>
      </c>
      <c r="AW828" s="136">
        <f t="shared" si="168"/>
        <v>4.6822635277691246E-2</v>
      </c>
      <c r="AX828" s="136" t="e">
        <f t="shared" si="169"/>
        <v>#N/A</v>
      </c>
      <c r="AY828" s="136">
        <f t="shared" si="170"/>
        <v>2.0699899999999163</v>
      </c>
      <c r="AZ828" s="136">
        <f t="shared" si="171"/>
        <v>2.0700099999999164</v>
      </c>
      <c r="BA828" s="136">
        <f t="shared" si="172"/>
        <v>0.91284829577632964</v>
      </c>
      <c r="BB828" s="136">
        <f t="shared" si="173"/>
        <v>0.91284956512939863</v>
      </c>
      <c r="BC828" s="136" t="e">
        <f t="shared" si="174"/>
        <v>#N/A</v>
      </c>
      <c r="BD828" s="136">
        <f t="shared" si="179"/>
        <v>4.6822635277691246E-2</v>
      </c>
      <c r="BE828" s="136">
        <f t="shared" si="175"/>
        <v>4.5822635277691245E-2</v>
      </c>
      <c r="BF828" s="136" t="e">
        <f t="shared" si="176"/>
        <v>#N/A</v>
      </c>
      <c r="BG828" s="136" t="e">
        <f t="shared" si="177"/>
        <v>#N/A</v>
      </c>
    </row>
    <row r="829" spans="47:59" ht="11.25" customHeight="1">
      <c r="AU829" s="136">
        <f t="shared" si="167"/>
        <v>0.98123723356505832</v>
      </c>
      <c r="AV829" s="136">
        <f t="shared" si="178"/>
        <v>2.0799999999999161</v>
      </c>
      <c r="AW829" s="136">
        <f t="shared" si="168"/>
        <v>4.5861076271062881E-2</v>
      </c>
      <c r="AX829" s="136" t="e">
        <f t="shared" si="169"/>
        <v>#N/A</v>
      </c>
      <c r="AY829" s="136">
        <f t="shared" si="170"/>
        <v>2.0799899999999161</v>
      </c>
      <c r="AZ829" s="136">
        <f t="shared" si="171"/>
        <v>2.0800099999999162</v>
      </c>
      <c r="BA829" s="136">
        <f t="shared" si="172"/>
        <v>0.91347985510779584</v>
      </c>
      <c r="BB829" s="136">
        <f t="shared" si="173"/>
        <v>0.91348111199129256</v>
      </c>
      <c r="BC829" s="136" t="e">
        <f t="shared" si="174"/>
        <v>#N/A</v>
      </c>
      <c r="BD829" s="136">
        <f t="shared" si="179"/>
        <v>4.5861076271062881E-2</v>
      </c>
      <c r="BE829" s="136">
        <f t="shared" si="175"/>
        <v>4.486107627106288E-2</v>
      </c>
      <c r="BF829" s="136" t="e">
        <f t="shared" si="176"/>
        <v>#N/A</v>
      </c>
      <c r="BG829" s="136" t="e">
        <f t="shared" si="177"/>
        <v>#N/A</v>
      </c>
    </row>
    <row r="830" spans="47:59" ht="11.25" customHeight="1">
      <c r="AU830" s="136">
        <f t="shared" si="167"/>
        <v>0.98169110014833727</v>
      </c>
      <c r="AV830" s="136">
        <f t="shared" si="178"/>
        <v>2.0899999999999159</v>
      </c>
      <c r="AW830" s="136">
        <f t="shared" si="168"/>
        <v>4.4914772330774969E-2</v>
      </c>
      <c r="AX830" s="136" t="e">
        <f t="shared" si="169"/>
        <v>#N/A</v>
      </c>
      <c r="AY830" s="136">
        <f t="shared" si="170"/>
        <v>2.0899899999999159</v>
      </c>
      <c r="AZ830" s="136">
        <f t="shared" si="171"/>
        <v>2.090009999999916</v>
      </c>
      <c r="BA830" s="136">
        <f t="shared" si="172"/>
        <v>0.91410521570340453</v>
      </c>
      <c r="BB830" s="136">
        <f t="shared" si="173"/>
        <v>0.91410646026152664</v>
      </c>
      <c r="BC830" s="136" t="e">
        <f t="shared" si="174"/>
        <v>#N/A</v>
      </c>
      <c r="BD830" s="136">
        <f t="shared" si="179"/>
        <v>4.4914772330774969E-2</v>
      </c>
      <c r="BE830" s="136">
        <f t="shared" si="175"/>
        <v>4.3914772330774968E-2</v>
      </c>
      <c r="BF830" s="136" t="e">
        <f t="shared" si="176"/>
        <v>#N/A</v>
      </c>
      <c r="BG830" s="136" t="e">
        <f t="shared" si="177"/>
        <v>#N/A</v>
      </c>
    </row>
    <row r="831" spans="47:59" ht="11.25" customHeight="1">
      <c r="AU831" s="136">
        <f t="shared" si="167"/>
        <v>0.98213557943717955</v>
      </c>
      <c r="AV831" s="136">
        <f t="shared" si="178"/>
        <v>2.0999999999999157</v>
      </c>
      <c r="AW831" s="136">
        <f t="shared" si="168"/>
        <v>4.3983595980434984E-2</v>
      </c>
      <c r="AX831" s="136" t="e">
        <f t="shared" si="169"/>
        <v>#N/A</v>
      </c>
      <c r="AY831" s="136">
        <f t="shared" si="170"/>
        <v>2.0999899999999156</v>
      </c>
      <c r="AZ831" s="136">
        <f t="shared" si="171"/>
        <v>2.1000099999999158</v>
      </c>
      <c r="BA831" s="136">
        <f t="shared" si="172"/>
        <v>0.91472444922651108</v>
      </c>
      <c r="BB831" s="136">
        <f t="shared" si="173"/>
        <v>0.91472568160171386</v>
      </c>
      <c r="BC831" s="136" t="e">
        <f t="shared" si="174"/>
        <v>#N/A</v>
      </c>
      <c r="BD831" s="136">
        <f t="shared" si="179"/>
        <v>4.3983595980434984E-2</v>
      </c>
      <c r="BE831" s="136">
        <f t="shared" si="175"/>
        <v>4.2983595980434983E-2</v>
      </c>
      <c r="BF831" s="136" t="e">
        <f t="shared" si="176"/>
        <v>#N/A</v>
      </c>
      <c r="BG831" s="136" t="e">
        <f t="shared" si="177"/>
        <v>#N/A</v>
      </c>
    </row>
    <row r="832" spans="47:59" ht="11.25" customHeight="1">
      <c r="AU832" s="136">
        <f t="shared" si="167"/>
        <v>0.98257082206233937</v>
      </c>
      <c r="AV832" s="136">
        <f t="shared" si="178"/>
        <v>2.1099999999999155</v>
      </c>
      <c r="AW832" s="136">
        <f t="shared" si="168"/>
        <v>4.3067417889273402E-2</v>
      </c>
      <c r="AX832" s="136" t="e">
        <f t="shared" si="169"/>
        <v>#N/A</v>
      </c>
      <c r="AY832" s="136">
        <f t="shared" si="170"/>
        <v>2.1099899999999154</v>
      </c>
      <c r="AZ832" s="136">
        <f t="shared" si="171"/>
        <v>2.1100099999999156</v>
      </c>
      <c r="BA832" s="136">
        <f t="shared" si="172"/>
        <v>0.91533762647380645</v>
      </c>
      <c r="BB832" s="136">
        <f t="shared" si="173"/>
        <v>0.91533884680682087</v>
      </c>
      <c r="BC832" s="136" t="e">
        <f t="shared" si="174"/>
        <v>#N/A</v>
      </c>
      <c r="BD832" s="136">
        <f t="shared" si="179"/>
        <v>4.3067417889273402E-2</v>
      </c>
      <c r="BE832" s="136">
        <f t="shared" si="175"/>
        <v>4.2067417889273401E-2</v>
      </c>
      <c r="BF832" s="136" t="e">
        <f t="shared" si="176"/>
        <v>#N/A</v>
      </c>
      <c r="BG832" s="136" t="e">
        <f t="shared" si="177"/>
        <v>#N/A</v>
      </c>
    </row>
    <row r="833" spans="47:59" ht="11.25" customHeight="1">
      <c r="AU833" s="136">
        <f t="shared" si="167"/>
        <v>0.98299697735236347</v>
      </c>
      <c r="AV833" s="136">
        <f t="shared" si="178"/>
        <v>2.1199999999999153</v>
      </c>
      <c r="AW833" s="136">
        <f t="shared" si="168"/>
        <v>4.2166106961777888E-2</v>
      </c>
      <c r="AX833" s="136" t="e">
        <f t="shared" si="169"/>
        <v>#N/A</v>
      </c>
      <c r="AY833" s="136">
        <f t="shared" si="170"/>
        <v>2.1199899999999152</v>
      </c>
      <c r="AZ833" s="136">
        <f t="shared" si="171"/>
        <v>2.1200099999999154</v>
      </c>
      <c r="BA833" s="136">
        <f t="shared" si="172"/>
        <v>0.91594481738414146</v>
      </c>
      <c r="BB833" s="136">
        <f t="shared" si="173"/>
        <v>0.91594602581399143</v>
      </c>
      <c r="BC833" s="136" t="e">
        <f t="shared" si="174"/>
        <v>#N/A</v>
      </c>
      <c r="BD833" s="136">
        <f t="shared" si="179"/>
        <v>4.2166106961777888E-2</v>
      </c>
      <c r="BE833" s="136">
        <f t="shared" si="175"/>
        <v>4.1166106961777887E-2</v>
      </c>
      <c r="BF833" s="136" t="e">
        <f t="shared" si="176"/>
        <v>#N/A</v>
      </c>
      <c r="BG833" s="136" t="e">
        <f t="shared" si="177"/>
        <v>#N/A</v>
      </c>
    </row>
    <row r="834" spans="47:59" ht="11.25" customHeight="1">
      <c r="AU834" s="136">
        <f t="shared" si="167"/>
        <v>0.98341419331639146</v>
      </c>
      <c r="AV834" s="136">
        <f t="shared" si="178"/>
        <v>2.1299999999999151</v>
      </c>
      <c r="AW834" s="136">
        <f t="shared" si="168"/>
        <v>4.127953042633787E-2</v>
      </c>
      <c r="AX834" s="136" t="e">
        <f t="shared" si="169"/>
        <v>#N/A</v>
      </c>
      <c r="AY834" s="136">
        <f t="shared" si="170"/>
        <v>2.129989999999915</v>
      </c>
      <c r="AZ834" s="136">
        <f t="shared" si="171"/>
        <v>2.1300099999999151</v>
      </c>
      <c r="BA834" s="136">
        <f t="shared" si="172"/>
        <v>0.91654609104735352</v>
      </c>
      <c r="BB834" s="136">
        <f t="shared" si="173"/>
        <v>0.91654728771137395</v>
      </c>
      <c r="BC834" s="136" t="e">
        <f t="shared" si="174"/>
        <v>#N/A</v>
      </c>
      <c r="BD834" s="136">
        <f t="shared" si="179"/>
        <v>4.127953042633787E-2</v>
      </c>
      <c r="BE834" s="136">
        <f t="shared" si="175"/>
        <v>4.0279530426337869E-2</v>
      </c>
      <c r="BF834" s="136" t="e">
        <f t="shared" si="176"/>
        <v>#N/A</v>
      </c>
      <c r="BG834" s="136" t="e">
        <f t="shared" si="177"/>
        <v>#N/A</v>
      </c>
    </row>
    <row r="835" spans="47:59" ht="11.25" customHeight="1">
      <c r="AU835" s="136">
        <f t="shared" si="167"/>
        <v>0.98382261662783033</v>
      </c>
      <c r="AV835" s="136">
        <f t="shared" si="178"/>
        <v>2.1399999999999149</v>
      </c>
      <c r="AW835" s="136">
        <f t="shared" si="168"/>
        <v>4.0407553922867663E-2</v>
      </c>
      <c r="AX835" s="136" t="e">
        <f t="shared" si="169"/>
        <v>#N/A</v>
      </c>
      <c r="AY835" s="136">
        <f t="shared" si="170"/>
        <v>2.1399899999999148</v>
      </c>
      <c r="AZ835" s="136">
        <f t="shared" si="171"/>
        <v>2.1400099999999149</v>
      </c>
      <c r="BA835" s="136">
        <f t="shared" si="172"/>
        <v>0.91714151571309266</v>
      </c>
      <c r="BB835" s="136">
        <f t="shared" si="173"/>
        <v>0.91714270074694693</v>
      </c>
      <c r="BC835" s="136" t="e">
        <f t="shared" si="174"/>
        <v>#N/A</v>
      </c>
      <c r="BD835" s="136">
        <f t="shared" si="179"/>
        <v>4.0407553922867663E-2</v>
      </c>
      <c r="BE835" s="136">
        <f t="shared" si="175"/>
        <v>3.9407553922867662E-2</v>
      </c>
      <c r="BF835" s="136" t="e">
        <f t="shared" si="176"/>
        <v>#N/A</v>
      </c>
      <c r="BG835" s="136" t="e">
        <f t="shared" si="177"/>
        <v>#N/A</v>
      </c>
    </row>
    <row r="836" spans="47:59" ht="11.25" customHeight="1">
      <c r="AU836" s="136">
        <f t="shared" si="167"/>
        <v>0.98422239260890598</v>
      </c>
      <c r="AV836" s="136">
        <f t="shared" si="178"/>
        <v>2.1499999999999146</v>
      </c>
      <c r="AW836" s="136">
        <f t="shared" si="168"/>
        <v>3.9550041589377471E-2</v>
      </c>
      <c r="AX836" s="136" t="e">
        <f t="shared" si="169"/>
        <v>#N/A</v>
      </c>
      <c r="AY836" s="136">
        <f t="shared" si="170"/>
        <v>2.1499899999999146</v>
      </c>
      <c r="AZ836" s="136">
        <f t="shared" si="171"/>
        <v>2.1500099999999147</v>
      </c>
      <c r="BA836" s="136">
        <f t="shared" si="172"/>
        <v>0.91773115879964084</v>
      </c>
      <c r="BB836" s="136">
        <f t="shared" si="173"/>
        <v>0.91773233233733831</v>
      </c>
      <c r="BC836" s="136" t="e">
        <f t="shared" si="174"/>
        <v>#N/A</v>
      </c>
      <c r="BD836" s="136">
        <f t="shared" si="179"/>
        <v>3.9550041589377471E-2</v>
      </c>
      <c r="BE836" s="136">
        <f t="shared" si="175"/>
        <v>3.8550041589377471E-2</v>
      </c>
      <c r="BF836" s="136" t="e">
        <f t="shared" si="176"/>
        <v>#N/A</v>
      </c>
      <c r="BG836" s="136" t="e">
        <f t="shared" si="177"/>
        <v>#N/A</v>
      </c>
    </row>
    <row r="837" spans="47:59" ht="11.25" customHeight="1">
      <c r="AU837" s="136">
        <f t="shared" si="167"/>
        <v>0.98461366521607108</v>
      </c>
      <c r="AV837" s="136">
        <f t="shared" si="178"/>
        <v>2.1599999999999144</v>
      </c>
      <c r="AW837" s="136">
        <f t="shared" si="168"/>
        <v>3.8706856147462769E-2</v>
      </c>
      <c r="AX837" s="136" t="e">
        <f t="shared" si="169"/>
        <v>#N/A</v>
      </c>
      <c r="AY837" s="136">
        <f t="shared" si="170"/>
        <v>2.1599899999999144</v>
      </c>
      <c r="AZ837" s="136">
        <f t="shared" si="171"/>
        <v>2.1600099999999145</v>
      </c>
      <c r="BA837" s="136">
        <f t="shared" si="172"/>
        <v>0.9183150869027199</v>
      </c>
      <c r="BB837" s="136">
        <f t="shared" si="173"/>
        <v>0.91831624907663367</v>
      </c>
      <c r="BC837" s="136" t="e">
        <f t="shared" si="174"/>
        <v>#N/A</v>
      </c>
      <c r="BD837" s="136">
        <f t="shared" si="179"/>
        <v>3.8706856147462769E-2</v>
      </c>
      <c r="BE837" s="136">
        <f t="shared" si="175"/>
        <v>3.7706856147462768E-2</v>
      </c>
      <c r="BF837" s="136" t="e">
        <f t="shared" si="176"/>
        <v>#N/A</v>
      </c>
      <c r="BG837" s="136" t="e">
        <f t="shared" si="177"/>
        <v>#N/A</v>
      </c>
    </row>
    <row r="838" spans="47:59" ht="11.25" customHeight="1">
      <c r="AU838" s="136">
        <f t="shared" si="167"/>
        <v>0.98499657702626453</v>
      </c>
      <c r="AV838" s="136">
        <f t="shared" si="178"/>
        <v>2.1699999999999142</v>
      </c>
      <c r="AW838" s="136">
        <f t="shared" si="168"/>
        <v>3.7877858986684526E-2</v>
      </c>
      <c r="AX838" s="136" t="e">
        <f t="shared" si="169"/>
        <v>#N/A</v>
      </c>
      <c r="AY838" s="136">
        <f t="shared" si="170"/>
        <v>2.1699899999999142</v>
      </c>
      <c r="AZ838" s="136">
        <f t="shared" si="171"/>
        <v>2.1700099999999143</v>
      </c>
      <c r="BA838" s="136">
        <f t="shared" si="172"/>
        <v>0.91889336580428571</v>
      </c>
      <c r="BB838" s="136">
        <f t="shared" si="173"/>
        <v>0.91889451674517031</v>
      </c>
      <c r="BC838" s="136" t="e">
        <f t="shared" si="174"/>
        <v>#N/A</v>
      </c>
      <c r="BD838" s="136">
        <f t="shared" si="179"/>
        <v>3.7877858986684526E-2</v>
      </c>
      <c r="BE838" s="136">
        <f t="shared" si="175"/>
        <v>3.6877858986684525E-2</v>
      </c>
      <c r="BF838" s="136" t="e">
        <f t="shared" si="176"/>
        <v>#N/A</v>
      </c>
      <c r="BG838" s="136" t="e">
        <f t="shared" si="177"/>
        <v>#N/A</v>
      </c>
    </row>
    <row r="839" spans="47:59" ht="11.25" customHeight="1">
      <c r="AU839" s="136">
        <f t="shared" si="167"/>
        <v>0.98537126922400775</v>
      </c>
      <c r="AV839" s="136">
        <f t="shared" si="178"/>
        <v>2.179999999999914</v>
      </c>
      <c r="AW839" s="136">
        <f t="shared" si="168"/>
        <v>3.7062910247813427E-2</v>
      </c>
      <c r="AX839" s="136" t="e">
        <f t="shared" si="169"/>
        <v>#N/A</v>
      </c>
      <c r="AY839" s="136">
        <f t="shared" si="170"/>
        <v>2.1799899999999139</v>
      </c>
      <c r="AZ839" s="136">
        <f t="shared" si="171"/>
        <v>2.1800099999999141</v>
      </c>
      <c r="BA839" s="136">
        <f t="shared" si="172"/>
        <v>0.91946606048130319</v>
      </c>
      <c r="BB839" s="136">
        <f t="shared" si="173"/>
        <v>0.91946720031831175</v>
      </c>
      <c r="BC839" s="136" t="e">
        <f t="shared" si="174"/>
        <v>#N/A</v>
      </c>
      <c r="BD839" s="136">
        <f t="shared" si="179"/>
        <v>3.7062910247813427E-2</v>
      </c>
      <c r="BE839" s="136">
        <f t="shared" si="175"/>
        <v>3.6062910247813426E-2</v>
      </c>
      <c r="BF839" s="136" t="e">
        <f t="shared" si="176"/>
        <v>#N/A</v>
      </c>
      <c r="BG839" s="136" t="e">
        <f t="shared" si="177"/>
        <v>#N/A</v>
      </c>
    </row>
    <row r="840" spans="47:59" ht="11.25" customHeight="1">
      <c r="AU840" s="136">
        <f t="shared" si="167"/>
        <v>0.98573788158932807</v>
      </c>
      <c r="AV840" s="136">
        <f t="shared" si="178"/>
        <v>2.1899999999999138</v>
      </c>
      <c r="AW840" s="136">
        <f t="shared" si="168"/>
        <v>3.6261868904913064E-2</v>
      </c>
      <c r="AX840" s="136" t="e">
        <f t="shared" si="169"/>
        <v>#N/A</v>
      </c>
      <c r="AY840" s="136">
        <f t="shared" si="170"/>
        <v>2.1899899999999137</v>
      </c>
      <c r="AZ840" s="136">
        <f t="shared" si="171"/>
        <v>2.1900099999999139</v>
      </c>
      <c r="BA840" s="136">
        <f t="shared" si="172"/>
        <v>0.92003323511449842</v>
      </c>
      <c r="BB840" s="136">
        <f t="shared" si="173"/>
        <v>0.92003436397520044</v>
      </c>
      <c r="BC840" s="136" t="e">
        <f t="shared" si="174"/>
        <v>#N/A</v>
      </c>
      <c r="BD840" s="136">
        <f t="shared" si="179"/>
        <v>3.6261868904913064E-2</v>
      </c>
      <c r="BE840" s="136">
        <f t="shared" si="175"/>
        <v>3.5261868904913063E-2</v>
      </c>
      <c r="BF840" s="136" t="e">
        <f t="shared" si="176"/>
        <v>#N/A</v>
      </c>
      <c r="BG840" s="136" t="e">
        <f t="shared" si="177"/>
        <v>#N/A</v>
      </c>
    </row>
    <row r="841" spans="47:59" ht="11.25" customHeight="1">
      <c r="AU841" s="136">
        <f t="shared" si="167"/>
        <v>0.98609655248649819</v>
      </c>
      <c r="AV841" s="136">
        <f t="shared" si="178"/>
        <v>2.1999999999999136</v>
      </c>
      <c r="AW841" s="136">
        <f t="shared" si="168"/>
        <v>3.5474592846238176E-2</v>
      </c>
      <c r="AX841" s="136" t="e">
        <f t="shared" si="169"/>
        <v>#N/A</v>
      </c>
      <c r="AY841" s="136">
        <f t="shared" si="170"/>
        <v>2.1999899999999135</v>
      </c>
      <c r="AZ841" s="136">
        <f t="shared" si="171"/>
        <v>2.2000099999999136</v>
      </c>
      <c r="BA841" s="136">
        <f t="shared" si="172"/>
        <v>0.92059495309708517</v>
      </c>
      <c r="BB841" s="136">
        <f t="shared" si="173"/>
        <v>0.92059607110748376</v>
      </c>
      <c r="BC841" s="136" t="e">
        <f t="shared" si="174"/>
        <v>#N/A</v>
      </c>
      <c r="BD841" s="136">
        <f t="shared" si="179"/>
        <v>3.5474592846238176E-2</v>
      </c>
      <c r="BE841" s="136">
        <f t="shared" si="175"/>
        <v>3.4474592846238175E-2</v>
      </c>
      <c r="BF841" s="136" t="e">
        <f t="shared" si="176"/>
        <v>#N/A</v>
      </c>
      <c r="BG841" s="136" t="e">
        <f t="shared" si="177"/>
        <v>#N/A</v>
      </c>
    </row>
    <row r="842" spans="47:59" ht="11.25" customHeight="1">
      <c r="AU842" s="136">
        <f t="shared" si="167"/>
        <v>0.98644741885357701</v>
      </c>
      <c r="AV842" s="136">
        <f t="shared" si="178"/>
        <v>2.2099999999999134</v>
      </c>
      <c r="AW842" s="136">
        <f t="shared" si="168"/>
        <v>3.470093895392546E-2</v>
      </c>
      <c r="AX842" s="136" t="e">
        <f t="shared" si="169"/>
        <v>#N/A</v>
      </c>
      <c r="AY842" s="136">
        <f t="shared" si="170"/>
        <v>2.2099899999999133</v>
      </c>
      <c r="AZ842" s="136">
        <f t="shared" si="171"/>
        <v>2.2100099999999134</v>
      </c>
      <c r="BA842" s="136">
        <f t="shared" si="172"/>
        <v>0.92115127704346156</v>
      </c>
      <c r="BB842" s="136">
        <f t="shared" si="173"/>
        <v>0.92115238432801094</v>
      </c>
      <c r="BC842" s="136" t="e">
        <f t="shared" si="174"/>
        <v>#N/A</v>
      </c>
      <c r="BD842" s="136">
        <f t="shared" si="179"/>
        <v>3.470093895392546E-2</v>
      </c>
      <c r="BE842" s="136">
        <f t="shared" si="175"/>
        <v>3.3700938953925459E-2</v>
      </c>
      <c r="BF842" s="136" t="e">
        <f t="shared" si="176"/>
        <v>#N/A</v>
      </c>
      <c r="BG842" s="136" t="e">
        <f t="shared" si="177"/>
        <v>#N/A</v>
      </c>
    </row>
    <row r="843" spans="47:59" ht="11.25" customHeight="1">
      <c r="AU843" s="136">
        <f t="shared" si="167"/>
        <v>0.98679061619274089</v>
      </c>
      <c r="AV843" s="136">
        <f t="shared" si="178"/>
        <v>2.2199999999999132</v>
      </c>
      <c r="AW843" s="136">
        <f t="shared" si="168"/>
        <v>3.3940763182455737E-2</v>
      </c>
      <c r="AX843" s="136" t="e">
        <f t="shared" si="169"/>
        <v>#N/A</v>
      </c>
      <c r="AY843" s="136">
        <f t="shared" si="170"/>
        <v>2.2199899999999131</v>
      </c>
      <c r="AZ843" s="136">
        <f t="shared" si="171"/>
        <v>2.2200099999999132</v>
      </c>
      <c r="BA843" s="136">
        <f t="shared" si="172"/>
        <v>0.92170226879787431</v>
      </c>
      <c r="BB843" s="136">
        <f t="shared" si="173"/>
        <v>0.92170336547949705</v>
      </c>
      <c r="BC843" s="136" t="e">
        <f t="shared" si="174"/>
        <v>#N/A</v>
      </c>
      <c r="BD843" s="136">
        <f t="shared" si="179"/>
        <v>3.3940763182455737E-2</v>
      </c>
      <c r="BE843" s="136">
        <f t="shared" si="175"/>
        <v>3.2940763182455736E-2</v>
      </c>
      <c r="BF843" s="136" t="e">
        <f t="shared" si="176"/>
        <v>#N/A</v>
      </c>
      <c r="BG843" s="136" t="e">
        <f t="shared" si="177"/>
        <v>#N/A</v>
      </c>
    </row>
    <row r="844" spans="47:59" ht="11.25" customHeight="1">
      <c r="AU844" s="136">
        <f t="shared" si="167"/>
        <v>0.98712627856139512</v>
      </c>
      <c r="AV844" s="136">
        <f t="shared" si="178"/>
        <v>2.2299999999999129</v>
      </c>
      <c r="AW844" s="136">
        <f t="shared" si="168"/>
        <v>3.3193920635867555E-2</v>
      </c>
      <c r="AX844" s="136" t="e">
        <f t="shared" si="169"/>
        <v>#N/A</v>
      </c>
      <c r="AY844" s="136">
        <f t="shared" si="170"/>
        <v>2.2299899999999129</v>
      </c>
      <c r="AZ844" s="136">
        <f t="shared" si="171"/>
        <v>2.230009999999913</v>
      </c>
      <c r="BA844" s="136">
        <f t="shared" si="172"/>
        <v>0.92224798944304731</v>
      </c>
      <c r="BB844" s="136">
        <f t="shared" si="173"/>
        <v>0.92224907564315151</v>
      </c>
      <c r="BC844" s="136" t="e">
        <f t="shared" si="174"/>
        <v>#N/A</v>
      </c>
      <c r="BD844" s="136">
        <f t="shared" si="179"/>
        <v>3.3193920635867555E-2</v>
      </c>
      <c r="BE844" s="136">
        <f t="shared" si="175"/>
        <v>3.2193920635867554E-2</v>
      </c>
      <c r="BF844" s="136" t="e">
        <f t="shared" si="176"/>
        <v>#N/A</v>
      </c>
      <c r="BG844" s="136" t="e">
        <f t="shared" si="177"/>
        <v>#N/A</v>
      </c>
    </row>
    <row r="845" spans="47:59" ht="11.25" customHeight="1">
      <c r="AU845" s="136">
        <f t="shared" si="167"/>
        <v>0.98745453856405052</v>
      </c>
      <c r="AV845" s="136">
        <f t="shared" si="178"/>
        <v>2.2399999999999127</v>
      </c>
      <c r="AW845" s="136">
        <f t="shared" si="168"/>
        <v>3.2460265643703794E-2</v>
      </c>
      <c r="AX845" s="136" t="e">
        <f t="shared" si="169"/>
        <v>#N/A</v>
      </c>
      <c r="AY845" s="136">
        <f t="shared" si="170"/>
        <v>2.2399899999999127</v>
      </c>
      <c r="AZ845" s="136">
        <f t="shared" si="171"/>
        <v>2.2400099999999128</v>
      </c>
      <c r="BA845" s="136">
        <f t="shared" si="172"/>
        <v>0.92278849930877149</v>
      </c>
      <c r="BB845" s="136">
        <f t="shared" si="173"/>
        <v>0.92278957514726812</v>
      </c>
      <c r="BC845" s="136" t="e">
        <f t="shared" si="174"/>
        <v>#N/A</v>
      </c>
      <c r="BD845" s="136">
        <f t="shared" si="179"/>
        <v>3.2460265643703794E-2</v>
      </c>
      <c r="BE845" s="136">
        <f t="shared" si="175"/>
        <v>3.1460265643703793E-2</v>
      </c>
      <c r="BF845" s="136" t="e">
        <f t="shared" si="176"/>
        <v>#N/A</v>
      </c>
      <c r="BG845" s="136" t="e">
        <f t="shared" si="177"/>
        <v>#N/A</v>
      </c>
    </row>
    <row r="846" spans="47:59" ht="11.25" customHeight="1">
      <c r="AU846" s="136">
        <f t="shared" si="167"/>
        <v>0.98777552734495255</v>
      </c>
      <c r="AV846" s="136">
        <f t="shared" si="178"/>
        <v>2.2499999999999125</v>
      </c>
      <c r="AW846" s="136">
        <f t="shared" si="168"/>
        <v>3.1739651835673663E-2</v>
      </c>
      <c r="AX846" s="136" t="e">
        <f t="shared" si="169"/>
        <v>#N/A</v>
      </c>
      <c r="AY846" s="136">
        <f t="shared" si="170"/>
        <v>2.2499899999999124</v>
      </c>
      <c r="AZ846" s="136">
        <f t="shared" si="171"/>
        <v>2.2500099999999126</v>
      </c>
      <c r="BA846" s="136">
        <f t="shared" si="172"/>
        <v>0.92332385798045369</v>
      </c>
      <c r="BB846" s="136">
        <f t="shared" si="173"/>
        <v>0.92332492357577334</v>
      </c>
      <c r="BC846" s="136" t="e">
        <f t="shared" si="174"/>
        <v>#N/A</v>
      </c>
      <c r="BD846" s="136">
        <f t="shared" si="179"/>
        <v>3.1739651835673663E-2</v>
      </c>
      <c r="BE846" s="136">
        <f t="shared" si="175"/>
        <v>3.0739651835673662E-2</v>
      </c>
      <c r="BF846" s="136" t="e">
        <f t="shared" si="176"/>
        <v>#N/A</v>
      </c>
      <c r="BG846" s="136" t="e">
        <f t="shared" si="177"/>
        <v>#N/A</v>
      </c>
    </row>
    <row r="847" spans="47:59" ht="11.25" customHeight="1">
      <c r="AU847" s="136">
        <f t="shared" si="167"/>
        <v>0.9880893745814503</v>
      </c>
      <c r="AV847" s="136">
        <f t="shared" si="178"/>
        <v>2.2599999999999123</v>
      </c>
      <c r="AW847" s="136">
        <f t="shared" si="168"/>
        <v>3.10319322150144E-2</v>
      </c>
      <c r="AX847" s="136" t="e">
        <f t="shared" si="169"/>
        <v>#N/A</v>
      </c>
      <c r="AY847" s="136">
        <f t="shared" si="170"/>
        <v>2.2599899999999122</v>
      </c>
      <c r="AZ847" s="136">
        <f t="shared" si="171"/>
        <v>2.2600099999999124</v>
      </c>
      <c r="BA847" s="136">
        <f t="shared" si="172"/>
        <v>0.9238541243076217</v>
      </c>
      <c r="BB847" s="136">
        <f t="shared" si="173"/>
        <v>0.92385517977673182</v>
      </c>
      <c r="BC847" s="136" t="e">
        <f t="shared" si="174"/>
        <v>#N/A</v>
      </c>
      <c r="BD847" s="136">
        <f t="shared" si="179"/>
        <v>3.10319322150144E-2</v>
      </c>
      <c r="BE847" s="136">
        <f t="shared" si="175"/>
        <v>3.0031932215014399E-2</v>
      </c>
      <c r="BF847" s="136" t="e">
        <f t="shared" si="176"/>
        <v>#N/A</v>
      </c>
      <c r="BG847" s="136" t="e">
        <f t="shared" si="177"/>
        <v>#N/A</v>
      </c>
    </row>
    <row r="848" spans="47:59" ht="11.25" customHeight="1">
      <c r="AU848" s="136">
        <f t="shared" si="167"/>
        <v>0.98839620847809373</v>
      </c>
      <c r="AV848" s="136">
        <f t="shared" si="178"/>
        <v>2.2699999999999121</v>
      </c>
      <c r="AW848" s="136">
        <f t="shared" si="168"/>
        <v>3.0336959230537683E-2</v>
      </c>
      <c r="AX848" s="136" t="e">
        <f t="shared" si="169"/>
        <v>#N/A</v>
      </c>
      <c r="AY848" s="136">
        <f t="shared" si="170"/>
        <v>2.269989999999912</v>
      </c>
      <c r="AZ848" s="136">
        <f t="shared" si="171"/>
        <v>2.2700099999999122</v>
      </c>
      <c r="BA848" s="136">
        <f t="shared" si="172"/>
        <v>0.924379356412383</v>
      </c>
      <c r="BB848" s="136">
        <f t="shared" si="173"/>
        <v>0.92438040187080439</v>
      </c>
      <c r="BC848" s="136" t="e">
        <f t="shared" si="174"/>
        <v>#N/A</v>
      </c>
      <c r="BD848" s="136">
        <f t="shared" si="179"/>
        <v>3.0336959230537683E-2</v>
      </c>
      <c r="BE848" s="136">
        <f t="shared" si="175"/>
        <v>2.9336959230537682E-2</v>
      </c>
      <c r="BF848" s="136" t="e">
        <f t="shared" si="176"/>
        <v>#N/A</v>
      </c>
      <c r="BG848" s="136" t="e">
        <f t="shared" si="177"/>
        <v>#N/A</v>
      </c>
    </row>
    <row r="849" spans="47:59" ht="11.25" customHeight="1">
      <c r="AU849" s="136">
        <f t="shared" si="167"/>
        <v>0.98869615576144465</v>
      </c>
      <c r="AV849" s="136">
        <f t="shared" si="178"/>
        <v>2.2799999999999119</v>
      </c>
      <c r="AW849" s="136">
        <f t="shared" si="168"/>
        <v>2.9654584847347225E-2</v>
      </c>
      <c r="AX849" s="136" t="e">
        <f t="shared" si="169"/>
        <v>#N/A</v>
      </c>
      <c r="AY849" s="136">
        <f t="shared" si="170"/>
        <v>2.2799899999999118</v>
      </c>
      <c r="AZ849" s="136">
        <f t="shared" si="171"/>
        <v>2.2800099999999119</v>
      </c>
      <c r="BA849" s="136">
        <f t="shared" si="172"/>
        <v>0.92489961169783541</v>
      </c>
      <c r="BB849" s="136">
        <f t="shared" si="173"/>
        <v>0.92490064725965959</v>
      </c>
      <c r="BC849" s="136" t="e">
        <f t="shared" si="174"/>
        <v>#N/A</v>
      </c>
      <c r="BD849" s="136">
        <f t="shared" si="179"/>
        <v>2.9654584847347225E-2</v>
      </c>
      <c r="BE849" s="136">
        <f t="shared" si="175"/>
        <v>2.8654584847347224E-2</v>
      </c>
      <c r="BF849" s="136" t="e">
        <f t="shared" si="176"/>
        <v>#N/A</v>
      </c>
      <c r="BG849" s="136" t="e">
        <f t="shared" si="177"/>
        <v>#N/A</v>
      </c>
    </row>
    <row r="850" spans="47:59" ht="11.25" customHeight="1">
      <c r="AU850" s="136">
        <f t="shared" si="167"/>
        <v>0.98898934167558594</v>
      </c>
      <c r="AV850" s="136">
        <f t="shared" si="178"/>
        <v>2.2899999999999117</v>
      </c>
      <c r="AW850" s="136">
        <f t="shared" si="168"/>
        <v>2.8984660616215279E-2</v>
      </c>
      <c r="AX850" s="136" t="e">
        <f t="shared" si="169"/>
        <v>#N/A</v>
      </c>
      <c r="AY850" s="136">
        <f t="shared" si="170"/>
        <v>2.2899899999999116</v>
      </c>
      <c r="AZ850" s="136">
        <f t="shared" si="171"/>
        <v>2.2900099999999117</v>
      </c>
      <c r="BA850" s="136">
        <f t="shared" si="172"/>
        <v>0.92541494699898996</v>
      </c>
      <c r="BB850" s="136">
        <f t="shared" si="173"/>
        <v>0.92541597277687626</v>
      </c>
      <c r="BC850" s="136" t="e">
        <f t="shared" si="174"/>
        <v>#N/A</v>
      </c>
      <c r="BD850" s="136">
        <f t="shared" si="179"/>
        <v>2.8984660616215279E-2</v>
      </c>
      <c r="BE850" s="136">
        <f t="shared" si="175"/>
        <v>2.7984660616215278E-2</v>
      </c>
      <c r="BF850" s="136" t="e">
        <f t="shared" si="176"/>
        <v>#N/A</v>
      </c>
      <c r="BG850" s="136" t="e">
        <f t="shared" si="177"/>
        <v>#N/A</v>
      </c>
    </row>
    <row r="851" spans="47:59" ht="11.25" customHeight="1">
      <c r="AU851" s="136">
        <f t="shared" si="167"/>
        <v>0.98927588997832161</v>
      </c>
      <c r="AV851" s="136">
        <f t="shared" si="178"/>
        <v>2.2999999999999114</v>
      </c>
      <c r="AW851" s="136">
        <f t="shared" si="168"/>
        <v>2.8327037741606942E-2</v>
      </c>
      <c r="AX851" s="136" t="e">
        <f t="shared" si="169"/>
        <v>#N/A</v>
      </c>
      <c r="AY851" s="136">
        <f t="shared" si="170"/>
        <v>2.2999899999999114</v>
      </c>
      <c r="AZ851" s="136">
        <f t="shared" si="171"/>
        <v>2.3000099999999115</v>
      </c>
      <c r="BA851" s="136">
        <f t="shared" si="172"/>
        <v>0.92592541801163086</v>
      </c>
      <c r="BB851" s="136">
        <f t="shared" si="173"/>
        <v>0.92592643411688136</v>
      </c>
      <c r="BC851" s="136" t="e">
        <f t="shared" si="174"/>
        <v>#N/A</v>
      </c>
      <c r="BD851" s="136">
        <f t="shared" si="179"/>
        <v>2.8327037741606942E-2</v>
      </c>
      <c r="BE851" s="136">
        <f t="shared" si="175"/>
        <v>2.7327037741606941E-2</v>
      </c>
      <c r="BF851" s="136" t="e">
        <f t="shared" si="176"/>
        <v>#N/A</v>
      </c>
      <c r="BG851" s="136" t="e">
        <f t="shared" si="177"/>
        <v>#N/A</v>
      </c>
    </row>
    <row r="852" spans="47:59" ht="11.25" customHeight="1">
      <c r="AU852" s="136">
        <f t="shared" si="167"/>
        <v>0.98955592293804651</v>
      </c>
      <c r="AV852" s="136">
        <f t="shared" si="178"/>
        <v>2.3099999999999112</v>
      </c>
      <c r="AW852" s="136">
        <f t="shared" si="168"/>
        <v>2.7681567148342249E-2</v>
      </c>
      <c r="AX852" s="136" t="e">
        <f t="shared" si="169"/>
        <v>#N/A</v>
      </c>
      <c r="AY852" s="136">
        <f t="shared" si="170"/>
        <v>2.3099899999999112</v>
      </c>
      <c r="AZ852" s="136">
        <f t="shared" si="171"/>
        <v>2.3100099999999113</v>
      </c>
      <c r="BA852" s="136">
        <f t="shared" si="172"/>
        <v>0.92643108018415243</v>
      </c>
      <c r="BB852" s="136">
        <f t="shared" si="173"/>
        <v>0.92643208672666932</v>
      </c>
      <c r="BC852" s="136" t="e">
        <f t="shared" si="174"/>
        <v>#N/A</v>
      </c>
      <c r="BD852" s="136">
        <f t="shared" si="179"/>
        <v>2.7681567148342249E-2</v>
      </c>
      <c r="BE852" s="136">
        <f t="shared" si="175"/>
        <v>2.6681567148342248E-2</v>
      </c>
      <c r="BF852" s="136" t="e">
        <f t="shared" si="176"/>
        <v>#N/A</v>
      </c>
      <c r="BG852" s="136" t="e">
        <f t="shared" si="177"/>
        <v>#N/A</v>
      </c>
    </row>
    <row r="853" spans="47:59" ht="11.25" customHeight="1">
      <c r="AU853" s="136">
        <f t="shared" ref="AU853:AU916" si="180">NORMDIST(AV853,$AV$17,$AV$18,TRUE)</f>
        <v>0.98982956133127797</v>
      </c>
      <c r="AV853" s="136">
        <f t="shared" si="178"/>
        <v>2.319999999999911</v>
      </c>
      <c r="AW853" s="136">
        <f t="shared" ref="AW853:AW916" si="181">IF($AV$13=1,NORMDIST(AV853,$AV$17,$AV$18,FALSE),NA())</f>
        <v>2.7048099546887354E-2</v>
      </c>
      <c r="AX853" s="136" t="e">
        <f t="shared" ref="AX853:AX916" si="182">IF($AV$13=3,NORMDIST(AV853,$AV$17,$AV$18,FALSE),NA())</f>
        <v>#N/A</v>
      </c>
      <c r="AY853" s="136">
        <f t="shared" ref="AY853:AY916" si="183">AV853-$AY$19</f>
        <v>2.319989999999911</v>
      </c>
      <c r="AZ853" s="136">
        <f t="shared" ref="AZ853:AZ916" si="184">AV853+$AY$19</f>
        <v>2.3200099999999111</v>
      </c>
      <c r="BA853" s="136">
        <f t="shared" ref="BA853:BA916" si="185">IF(AY853&lt;0,TDIST(-AY853,$AV$14,1),1-TDIST(AY853,$AV$14,1))</f>
        <v>0.92693198812663646</v>
      </c>
      <c r="BB853" s="136">
        <f t="shared" ref="BB853:BB916" si="186">IF(AZ853&lt;0,TDIST(-AZ853,$AV$14,1),1-TDIST(AZ853,$AV$14,1))</f>
        <v>0.92693298521495804</v>
      </c>
      <c r="BC853" s="136" t="e">
        <f t="shared" ref="BC853:BC916" si="187">IF($AV$13&gt;1,(BB853-BA853)/(2*$AY$19),NA())</f>
        <v>#N/A</v>
      </c>
      <c r="BD853" s="136">
        <f t="shared" si="179"/>
        <v>2.7048099546887354E-2</v>
      </c>
      <c r="BE853" s="136">
        <f t="shared" ref="BE853:BE916" si="188">IF(ISNUMBER(BD853),BD853-$BE$19,NA())</f>
        <v>2.6048099546887353E-2</v>
      </c>
      <c r="BF853" s="136" t="e">
        <f t="shared" ref="BF853:BF916" si="189">IF($AV$15=1,IF(AV853&gt;=$BF$19,BC853,NA()),IF($AV$15=2,IF(ABS(AV853)&gt;=$BF$19,BC853,NA()),NA()))</f>
        <v>#N/A</v>
      </c>
      <c r="BG853" s="136" t="e">
        <f t="shared" ref="BG853:BG916" si="190">IF(ISNUMBER(BF853),BF853-$BG$19,NA())</f>
        <v>#N/A</v>
      </c>
    </row>
    <row r="854" spans="47:59" ht="11.25" customHeight="1">
      <c r="AU854" s="136">
        <f t="shared" si="180"/>
        <v>0.9900969244408333</v>
      </c>
      <c r="AV854" s="136">
        <f t="shared" ref="AV854:AV917" si="191">AV853+$AY$10</f>
        <v>2.3299999999999108</v>
      </c>
      <c r="AW854" s="136">
        <f t="shared" si="181"/>
        <v>2.642648549726722E-2</v>
      </c>
      <c r="AX854" s="136" t="e">
        <f t="shared" si="182"/>
        <v>#N/A</v>
      </c>
      <c r="AY854" s="136">
        <f t="shared" si="183"/>
        <v>2.3299899999999107</v>
      </c>
      <c r="AZ854" s="136">
        <f t="shared" si="184"/>
        <v>2.3300099999999109</v>
      </c>
      <c r="BA854" s="136">
        <f t="shared" si="185"/>
        <v>0.92742819577141511</v>
      </c>
      <c r="BB854" s="136">
        <f t="shared" si="186"/>
        <v>0.9274291835127324</v>
      </c>
      <c r="BC854" s="136" t="e">
        <f t="shared" si="187"/>
        <v>#N/A</v>
      </c>
      <c r="BD854" s="136">
        <f t="shared" ref="BD854:BD917" si="192">IF($AV$15=1,IF(OR(AND(AV854&gt;=$BD$19,$AS$5&gt;=0),AND(AV854&lt;=$BD$19,$AS$5&lt;0)),AW854,NA()),IF($AV$15=2,IF(ABS(AV854)&gt;=$BD$18,AW854,NA()),NA()))</f>
        <v>2.642648549726722E-2</v>
      </c>
      <c r="BE854" s="136">
        <f t="shared" si="188"/>
        <v>2.5426485497267219E-2</v>
      </c>
      <c r="BF854" s="136" t="e">
        <f t="shared" si="189"/>
        <v>#N/A</v>
      </c>
      <c r="BG854" s="136" t="e">
        <f t="shared" si="190"/>
        <v>#N/A</v>
      </c>
    </row>
    <row r="855" spans="47:59" ht="11.25" customHeight="1">
      <c r="AU855" s="136">
        <f t="shared" si="180"/>
        <v>0.99035813005463924</v>
      </c>
      <c r="AV855" s="136">
        <f t="shared" si="191"/>
        <v>2.3399999999999106</v>
      </c>
      <c r="AW855" s="136">
        <f t="shared" si="181"/>
        <v>2.5816575471593078E-2</v>
      </c>
      <c r="AX855" s="136" t="e">
        <f t="shared" si="182"/>
        <v>#N/A</v>
      </c>
      <c r="AY855" s="136">
        <f t="shared" si="183"/>
        <v>2.3399899999999105</v>
      </c>
      <c r="AZ855" s="136">
        <f t="shared" si="184"/>
        <v>2.3400099999999107</v>
      </c>
      <c r="BA855" s="136">
        <f t="shared" si="185"/>
        <v>0.92791975638115165</v>
      </c>
      <c r="BB855" s="136">
        <f t="shared" si="186"/>
        <v>0.92792073488132432</v>
      </c>
      <c r="BC855" s="136" t="e">
        <f t="shared" si="187"/>
        <v>#N/A</v>
      </c>
      <c r="BD855" s="136">
        <f t="shared" si="192"/>
        <v>2.5816575471593078E-2</v>
      </c>
      <c r="BE855" s="136">
        <f t="shared" si="188"/>
        <v>2.4816575471593078E-2</v>
      </c>
      <c r="BF855" s="136" t="e">
        <f t="shared" si="189"/>
        <v>#N/A</v>
      </c>
      <c r="BG855" s="136" t="e">
        <f t="shared" si="190"/>
        <v>#N/A</v>
      </c>
    </row>
    <row r="856" spans="47:59" ht="11.25" customHeight="1">
      <c r="AU856" s="136">
        <f t="shared" si="180"/>
        <v>0.99061329446515911</v>
      </c>
      <c r="AV856" s="136">
        <f t="shared" si="191"/>
        <v>2.3499999999999104</v>
      </c>
      <c r="AW856" s="136">
        <f t="shared" si="181"/>
        <v>2.5218219915199701E-2</v>
      </c>
      <c r="AX856" s="136" t="e">
        <f t="shared" si="182"/>
        <v>#N/A</v>
      </c>
      <c r="AY856" s="136">
        <f t="shared" si="183"/>
        <v>2.3499899999999103</v>
      </c>
      <c r="AZ856" s="136">
        <f t="shared" si="184"/>
        <v>2.3500099999999104</v>
      </c>
      <c r="BA856" s="136">
        <f t="shared" si="185"/>
        <v>0.92840672255685974</v>
      </c>
      <c r="BB856" s="136">
        <f t="shared" si="186"/>
        <v>0.92840769192043204</v>
      </c>
      <c r="BC856" s="136" t="e">
        <f t="shared" si="187"/>
        <v>#N/A</v>
      </c>
      <c r="BD856" s="136">
        <f t="shared" si="192"/>
        <v>2.5218219915199701E-2</v>
      </c>
      <c r="BE856" s="136">
        <f t="shared" si="188"/>
        <v>2.42182199151997E-2</v>
      </c>
      <c r="BF856" s="136" t="e">
        <f t="shared" si="189"/>
        <v>#N/A</v>
      </c>
      <c r="BG856" s="136" t="e">
        <f t="shared" si="190"/>
        <v>#N/A</v>
      </c>
    </row>
    <row r="857" spans="47:59" ht="11.25" customHeight="1">
      <c r="AU857" s="136">
        <f t="shared" si="180"/>
        <v>0.99086253246942491</v>
      </c>
      <c r="AV857" s="136">
        <f t="shared" si="191"/>
        <v>2.3599999999999102</v>
      </c>
      <c r="AW857" s="136">
        <f t="shared" si="181"/>
        <v>2.4631269306387722E-2</v>
      </c>
      <c r="AX857" s="136" t="e">
        <f t="shared" si="182"/>
        <v>#N/A</v>
      </c>
      <c r="AY857" s="136">
        <f t="shared" si="183"/>
        <v>2.3599899999999101</v>
      </c>
      <c r="AZ857" s="136">
        <f t="shared" si="184"/>
        <v>2.3600099999999102</v>
      </c>
      <c r="BA857" s="136">
        <f t="shared" si="185"/>
        <v>0.92888914624586094</v>
      </c>
      <c r="BB857" s="136">
        <f t="shared" si="186"/>
        <v>0.92889010657607796</v>
      </c>
      <c r="BC857" s="136" t="e">
        <f t="shared" si="187"/>
        <v>#N/A</v>
      </c>
      <c r="BD857" s="136">
        <f t="shared" si="192"/>
        <v>2.4631269306387722E-2</v>
      </c>
      <c r="BE857" s="136">
        <f t="shared" si="188"/>
        <v>2.3631269306387721E-2</v>
      </c>
      <c r="BF857" s="136" t="e">
        <f t="shared" si="189"/>
        <v>#N/A</v>
      </c>
      <c r="BG857" s="136" t="e">
        <f t="shared" si="190"/>
        <v>#N/A</v>
      </c>
    </row>
    <row r="858" spans="47:59" ht="11.25" customHeight="1">
      <c r="AU858" s="136">
        <f t="shared" si="180"/>
        <v>0.99110595736966101</v>
      </c>
      <c r="AV858" s="136">
        <f t="shared" si="191"/>
        <v>2.36999999999991</v>
      </c>
      <c r="AW858" s="136">
        <f t="shared" si="181"/>
        <v>2.4055574214768106E-2</v>
      </c>
      <c r="AX858" s="136" t="e">
        <f t="shared" si="182"/>
        <v>#N/A</v>
      </c>
      <c r="AY858" s="136">
        <f t="shared" si="183"/>
        <v>2.3699899999999099</v>
      </c>
      <c r="AZ858" s="136">
        <f t="shared" si="184"/>
        <v>2.37000999999991</v>
      </c>
      <c r="BA858" s="136">
        <f t="shared" si="185"/>
        <v>0.92936707874967972</v>
      </c>
      <c r="BB858" s="136">
        <f t="shared" si="186"/>
        <v>0.92936803014850256</v>
      </c>
      <c r="BC858" s="136" t="e">
        <f t="shared" si="187"/>
        <v>#N/A</v>
      </c>
      <c r="BD858" s="136">
        <f t="shared" si="192"/>
        <v>2.4055574214768106E-2</v>
      </c>
      <c r="BE858" s="136">
        <f t="shared" si="188"/>
        <v>2.3055574214768105E-2</v>
      </c>
      <c r="BF858" s="136" t="e">
        <f t="shared" si="189"/>
        <v>#N/A</v>
      </c>
      <c r="BG858" s="136" t="e">
        <f t="shared" si="190"/>
        <v>#N/A</v>
      </c>
    </row>
    <row r="859" spans="47:59" ht="11.25" customHeight="1">
      <c r="AU859" s="136">
        <f t="shared" si="180"/>
        <v>0.99134368097448133</v>
      </c>
      <c r="AV859" s="136">
        <f t="shared" si="191"/>
        <v>2.3799999999999097</v>
      </c>
      <c r="AW859" s="136">
        <f t="shared" si="181"/>
        <v>2.3490985358206401E-2</v>
      </c>
      <c r="AX859" s="136" t="e">
        <f t="shared" si="182"/>
        <v>#N/A</v>
      </c>
      <c r="AY859" s="136">
        <f t="shared" si="183"/>
        <v>2.3799899999999097</v>
      </c>
      <c r="AZ859" s="136">
        <f t="shared" si="184"/>
        <v>2.3800099999999098</v>
      </c>
      <c r="BA859" s="136">
        <f t="shared" si="185"/>
        <v>0.92984057073187365</v>
      </c>
      <c r="BB859" s="136">
        <f t="shared" si="186"/>
        <v>0.92984151329999543</v>
      </c>
      <c r="BC859" s="136" t="e">
        <f t="shared" si="187"/>
        <v>#N/A</v>
      </c>
      <c r="BD859" s="136">
        <f t="shared" si="192"/>
        <v>2.3490985358206401E-2</v>
      </c>
      <c r="BE859" s="136">
        <f t="shared" si="188"/>
        <v>2.24909853582064E-2</v>
      </c>
      <c r="BF859" s="136" t="e">
        <f t="shared" si="189"/>
        <v>#N/A</v>
      </c>
      <c r="BG859" s="136" t="e">
        <f t="shared" si="190"/>
        <v>#N/A</v>
      </c>
    </row>
    <row r="860" spans="47:59" ht="11.25" customHeight="1">
      <c r="AU860" s="136">
        <f t="shared" si="180"/>
        <v>0.99157581360065228</v>
      </c>
      <c r="AV860" s="136">
        <f t="shared" si="191"/>
        <v>2.3899999999999095</v>
      </c>
      <c r="AW860" s="136">
        <f t="shared" si="181"/>
        <v>2.2937353658365651E-2</v>
      </c>
      <c r="AX860" s="136" t="e">
        <f t="shared" si="182"/>
        <v>#N/A</v>
      </c>
      <c r="AY860" s="136">
        <f t="shared" si="183"/>
        <v>2.3899899999999095</v>
      </c>
      <c r="AZ860" s="136">
        <f t="shared" si="184"/>
        <v>2.3900099999999096</v>
      </c>
      <c r="BA860" s="136">
        <f t="shared" si="185"/>
        <v>0.9303096722257993</v>
      </c>
      <c r="BB860" s="136">
        <f t="shared" si="186"/>
        <v>0.93031060606266047</v>
      </c>
      <c r="BC860" s="136" t="e">
        <f t="shared" si="187"/>
        <v>#N/A</v>
      </c>
      <c r="BD860" s="136">
        <f t="shared" si="192"/>
        <v>2.2937353658365651E-2</v>
      </c>
      <c r="BE860" s="136">
        <f t="shared" si="188"/>
        <v>2.193735365836565E-2</v>
      </c>
      <c r="BF860" s="136" t="e">
        <f t="shared" si="189"/>
        <v>#N/A</v>
      </c>
      <c r="BG860" s="136" t="e">
        <f t="shared" si="190"/>
        <v>#N/A</v>
      </c>
    </row>
    <row r="861" spans="47:59" ht="11.25" customHeight="1">
      <c r="AU861" s="136">
        <f t="shared" si="180"/>
        <v>0.99180246407540185</v>
      </c>
      <c r="AV861" s="136">
        <f t="shared" si="191"/>
        <v>2.3999999999999093</v>
      </c>
      <c r="AW861" s="136">
        <f t="shared" si="181"/>
        <v>2.239453029484777E-2</v>
      </c>
      <c r="AX861" s="136" t="e">
        <f t="shared" si="182"/>
        <v>#N/A</v>
      </c>
      <c r="AY861" s="136">
        <f t="shared" si="183"/>
        <v>2.3999899999999093</v>
      </c>
      <c r="AZ861" s="136">
        <f t="shared" si="184"/>
        <v>2.4000099999999094</v>
      </c>
      <c r="BA861" s="136">
        <f t="shared" si="185"/>
        <v>0.93077443264231108</v>
      </c>
      <c r="BB861" s="136">
        <f t="shared" si="186"/>
        <v>0.93077535784611465</v>
      </c>
      <c r="BC861" s="136" t="e">
        <f t="shared" si="187"/>
        <v>#N/A</v>
      </c>
      <c r="BD861" s="136">
        <f t="shared" si="192"/>
        <v>2.239453029484777E-2</v>
      </c>
      <c r="BE861" s="136">
        <f t="shared" si="188"/>
        <v>2.139453029484777E-2</v>
      </c>
      <c r="BF861" s="136" t="e">
        <f t="shared" si="189"/>
        <v>#N/A</v>
      </c>
      <c r="BG861" s="136" t="e">
        <f t="shared" si="190"/>
        <v>#N/A</v>
      </c>
    </row>
    <row r="862" spans="47:59" ht="11.25" customHeight="1">
      <c r="AU862" s="136">
        <f t="shared" si="180"/>
        <v>0.99202373973926439</v>
      </c>
      <c r="AV862" s="136">
        <f t="shared" si="191"/>
        <v>2.4099999999999091</v>
      </c>
      <c r="AW862" s="136">
        <f t="shared" si="181"/>
        <v>2.1862366757934178E-2</v>
      </c>
      <c r="AX862" s="136" t="e">
        <f t="shared" si="182"/>
        <v>#N/A</v>
      </c>
      <c r="AY862" s="136">
        <f t="shared" si="183"/>
        <v>2.409989999999909</v>
      </c>
      <c r="AZ862" s="136">
        <f t="shared" si="184"/>
        <v>2.4100099999999092</v>
      </c>
      <c r="BA862" s="136">
        <f t="shared" si="185"/>
        <v>0.93123490077739368</v>
      </c>
      <c r="BB862" s="136">
        <f t="shared" si="186"/>
        <v>0.93123581744512063</v>
      </c>
      <c r="BC862" s="136" t="e">
        <f t="shared" si="187"/>
        <v>#N/A</v>
      </c>
      <c r="BD862" s="136">
        <f t="shared" si="192"/>
        <v>2.1862366757934178E-2</v>
      </c>
      <c r="BE862" s="136">
        <f t="shared" si="188"/>
        <v>2.0862366757934177E-2</v>
      </c>
      <c r="BF862" s="136" t="e">
        <f t="shared" si="189"/>
        <v>#N/A</v>
      </c>
      <c r="BG862" s="136" t="e">
        <f t="shared" si="190"/>
        <v>#N/A</v>
      </c>
    </row>
    <row r="863" spans="47:59" ht="11.25" customHeight="1">
      <c r="AU863" s="136">
        <f t="shared" si="180"/>
        <v>0.99223974644944435</v>
      </c>
      <c r="AV863" s="136">
        <f t="shared" si="191"/>
        <v>2.4199999999999089</v>
      </c>
      <c r="AW863" s="136">
        <f t="shared" si="181"/>
        <v>2.134071489992748E-2</v>
      </c>
      <c r="AX863" s="136" t="e">
        <f t="shared" si="182"/>
        <v>#N/A</v>
      </c>
      <c r="AY863" s="136">
        <f t="shared" si="183"/>
        <v>2.4199899999999088</v>
      </c>
      <c r="AZ863" s="136">
        <f t="shared" si="184"/>
        <v>2.420009999999909</v>
      </c>
      <c r="BA863" s="136">
        <f t="shared" si="185"/>
        <v>0.93169112481972705</v>
      </c>
      <c r="BB863" s="136">
        <f t="shared" si="186"/>
        <v>0.93169203304715131</v>
      </c>
      <c r="BC863" s="136" t="e">
        <f t="shared" si="187"/>
        <v>#N/A</v>
      </c>
      <c r="BD863" s="136">
        <f t="shared" si="192"/>
        <v>2.134071489992748E-2</v>
      </c>
      <c r="BE863" s="136">
        <f t="shared" si="188"/>
        <v>2.0340714899927479E-2</v>
      </c>
      <c r="BF863" s="136" t="e">
        <f t="shared" si="189"/>
        <v>#N/A</v>
      </c>
      <c r="BG863" s="136" t="e">
        <f t="shared" si="190"/>
        <v>#N/A</v>
      </c>
    </row>
    <row r="864" spans="47:59" ht="11.25" customHeight="1">
      <c r="AU864" s="136">
        <f t="shared" si="180"/>
        <v>0.99245058858368884</v>
      </c>
      <c r="AV864" s="136">
        <f t="shared" si="191"/>
        <v>2.4299999999999087</v>
      </c>
      <c r="AW864" s="136">
        <f t="shared" si="181"/>
        <v>2.0829426985096808E-2</v>
      </c>
      <c r="AX864" s="136" t="e">
        <f t="shared" si="182"/>
        <v>#N/A</v>
      </c>
      <c r="AY864" s="136">
        <f t="shared" si="183"/>
        <v>2.4299899999999086</v>
      </c>
      <c r="AZ864" s="136">
        <f t="shared" si="184"/>
        <v>2.4300099999999087</v>
      </c>
      <c r="BA864" s="136">
        <f t="shared" si="185"/>
        <v>0.93214315235818279</v>
      </c>
      <c r="BB864" s="136">
        <f t="shared" si="186"/>
        <v>0.93214405223988595</v>
      </c>
      <c r="BC864" s="136" t="e">
        <f t="shared" si="187"/>
        <v>#N/A</v>
      </c>
      <c r="BD864" s="136">
        <f t="shared" si="192"/>
        <v>2.0829426985096808E-2</v>
      </c>
      <c r="BE864" s="136">
        <f t="shared" si="188"/>
        <v>1.9829426985096807E-2</v>
      </c>
      <c r="BF864" s="136" t="e">
        <f t="shared" si="189"/>
        <v>#N/A</v>
      </c>
      <c r="BG864" s="136" t="e">
        <f t="shared" si="190"/>
        <v>#N/A</v>
      </c>
    </row>
    <row r="865" spans="47:59" ht="11.25" customHeight="1">
      <c r="AU865" s="136">
        <f t="shared" si="180"/>
        <v>0.99265636904464982</v>
      </c>
      <c r="AV865" s="136">
        <f t="shared" si="191"/>
        <v>2.4399999999999085</v>
      </c>
      <c r="AW865" s="136">
        <f t="shared" si="181"/>
        <v>2.0328355738230375E-2</v>
      </c>
      <c r="AX865" s="136" t="e">
        <f t="shared" si="182"/>
        <v>#N/A</v>
      </c>
      <c r="AY865" s="136">
        <f t="shared" si="183"/>
        <v>2.4399899999999084</v>
      </c>
      <c r="AZ865" s="136">
        <f t="shared" si="184"/>
        <v>2.4400099999999085</v>
      </c>
      <c r="BA865" s="136">
        <f t="shared" si="185"/>
        <v>0.9325910303892514</v>
      </c>
      <c r="BB865" s="136">
        <f t="shared" si="186"/>
        <v>0.93259192201863783</v>
      </c>
      <c r="BC865" s="136" t="e">
        <f t="shared" si="187"/>
        <v>#N/A</v>
      </c>
      <c r="BD865" s="136">
        <f t="shared" si="192"/>
        <v>2.0328355738230375E-2</v>
      </c>
      <c r="BE865" s="136">
        <f t="shared" si="188"/>
        <v>1.9328355738230375E-2</v>
      </c>
      <c r="BF865" s="136" t="e">
        <f t="shared" si="189"/>
        <v>#N/A</v>
      </c>
      <c r="BG865" s="136" t="e">
        <f t="shared" si="190"/>
        <v>#N/A</v>
      </c>
    </row>
    <row r="866" spans="47:59" ht="11.25" customHeight="1">
      <c r="AU866" s="136">
        <f t="shared" si="180"/>
        <v>0.99285718926472688</v>
      </c>
      <c r="AV866" s="136">
        <f t="shared" si="191"/>
        <v>2.4499999999999083</v>
      </c>
      <c r="AW866" s="136">
        <f t="shared" si="181"/>
        <v>1.9837354391799782E-2</v>
      </c>
      <c r="AX866" s="136" t="e">
        <f t="shared" si="182"/>
        <v>#N/A</v>
      </c>
      <c r="AY866" s="136">
        <f t="shared" si="183"/>
        <v>2.4499899999999082</v>
      </c>
      <c r="AZ866" s="136">
        <f t="shared" si="184"/>
        <v>2.4500099999999083</v>
      </c>
      <c r="BA866" s="136">
        <f t="shared" si="185"/>
        <v>0.9330348053244002</v>
      </c>
      <c r="BB866" s="136">
        <f t="shared" si="186"/>
        <v>0.93303568879371157</v>
      </c>
      <c r="BC866" s="136" t="e">
        <f t="shared" si="187"/>
        <v>#N/A</v>
      </c>
      <c r="BD866" s="136">
        <f t="shared" si="192"/>
        <v>1.9837354391799782E-2</v>
      </c>
      <c r="BE866" s="136">
        <f t="shared" si="188"/>
        <v>1.8837354391799781E-2</v>
      </c>
      <c r="BF866" s="136" t="e">
        <f t="shared" si="189"/>
        <v>#N/A</v>
      </c>
      <c r="BG866" s="136" t="e">
        <f t="shared" si="190"/>
        <v>#N/A</v>
      </c>
    </row>
    <row r="867" spans="47:59" ht="11.25" customHeight="1">
      <c r="AU867" s="136">
        <f t="shared" si="180"/>
        <v>0.99305314921137389</v>
      </c>
      <c r="AV867" s="136">
        <f t="shared" si="191"/>
        <v>2.459999999999908</v>
      </c>
      <c r="AW867" s="136">
        <f t="shared" si="181"/>
        <v>1.9356276731741336E-2</v>
      </c>
      <c r="AX867" s="136" t="e">
        <f t="shared" si="182"/>
        <v>#N/A</v>
      </c>
      <c r="AY867" s="136">
        <f t="shared" si="183"/>
        <v>2.459989999999908</v>
      </c>
      <c r="AZ867" s="136">
        <f t="shared" si="184"/>
        <v>2.4600099999999081</v>
      </c>
      <c r="BA867" s="136">
        <f t="shared" si="185"/>
        <v>0.93347452299736133</v>
      </c>
      <c r="BB867" s="136">
        <f t="shared" si="186"/>
        <v>0.93347539839769111</v>
      </c>
      <c r="BC867" s="136" t="e">
        <f t="shared" si="187"/>
        <v>#N/A</v>
      </c>
      <c r="BD867" s="136">
        <f t="shared" si="192"/>
        <v>1.9356276731741336E-2</v>
      </c>
      <c r="BE867" s="136">
        <f t="shared" si="188"/>
        <v>1.8356276731741335E-2</v>
      </c>
      <c r="BF867" s="136" t="e">
        <f t="shared" si="189"/>
        <v>#N/A</v>
      </c>
      <c r="BG867" s="136" t="e">
        <f t="shared" si="190"/>
        <v>#N/A</v>
      </c>
    </row>
    <row r="868" spans="47:59" ht="11.25" customHeight="1">
      <c r="AU868" s="136">
        <f t="shared" si="180"/>
        <v>0.99324434739285772</v>
      </c>
      <c r="AV868" s="136">
        <f t="shared" si="191"/>
        <v>2.4699999999999078</v>
      </c>
      <c r="AW868" s="136">
        <f t="shared" si="181"/>
        <v>1.8884977141860469E-2</v>
      </c>
      <c r="AX868" s="136" t="e">
        <f t="shared" si="182"/>
        <v>#N/A</v>
      </c>
      <c r="AY868" s="136">
        <f t="shared" si="183"/>
        <v>2.4699899999999078</v>
      </c>
      <c r="AZ868" s="136">
        <f t="shared" si="184"/>
        <v>2.4700099999999079</v>
      </c>
      <c r="BA868" s="136">
        <f t="shared" si="185"/>
        <v>0.93391022867134943</v>
      </c>
      <c r="BB868" s="136">
        <f t="shared" si="186"/>
        <v>0.9339110960926571</v>
      </c>
      <c r="BC868" s="136" t="e">
        <f t="shared" si="187"/>
        <v>#N/A</v>
      </c>
      <c r="BD868" s="136">
        <f t="shared" si="192"/>
        <v>1.8884977141860469E-2</v>
      </c>
      <c r="BE868" s="136">
        <f t="shared" si="188"/>
        <v>1.7884977141860468E-2</v>
      </c>
      <c r="BF868" s="136" t="e">
        <f t="shared" si="189"/>
        <v>#N/A</v>
      </c>
      <c r="BG868" s="136" t="e">
        <f t="shared" si="190"/>
        <v>#N/A</v>
      </c>
    </row>
    <row r="869" spans="47:59" ht="11.25" customHeight="1">
      <c r="AU869" s="136">
        <f t="shared" si="180"/>
        <v>0.99343088086445164</v>
      </c>
      <c r="AV869" s="136">
        <f t="shared" si="191"/>
        <v>2.4799999999999076</v>
      </c>
      <c r="AW869" s="136">
        <f t="shared" si="181"/>
        <v>1.8423310646866267E-2</v>
      </c>
      <c r="AX869" s="136" t="e">
        <f t="shared" si="182"/>
        <v>#N/A</v>
      </c>
      <c r="AY869" s="136">
        <f t="shared" si="183"/>
        <v>2.4799899999999075</v>
      </c>
      <c r="AZ869" s="136">
        <f t="shared" si="184"/>
        <v>2.4800099999999077</v>
      </c>
      <c r="BA869" s="136">
        <f t="shared" si="185"/>
        <v>0.93434196704620798</v>
      </c>
      <c r="BB869" s="136">
        <f t="shared" si="186"/>
        <v>0.93434282657733347</v>
      </c>
      <c r="BC869" s="136" t="e">
        <f t="shared" si="187"/>
        <v>#N/A</v>
      </c>
      <c r="BD869" s="136">
        <f t="shared" si="192"/>
        <v>1.8423310646866267E-2</v>
      </c>
      <c r="BE869" s="136">
        <f t="shared" si="188"/>
        <v>1.7423310646866266E-2</v>
      </c>
      <c r="BF869" s="136" t="e">
        <f t="shared" si="189"/>
        <v>#N/A</v>
      </c>
      <c r="BG869" s="136" t="e">
        <f t="shared" si="190"/>
        <v>#N/A</v>
      </c>
    </row>
    <row r="870" spans="47:59" ht="11.25" customHeight="1">
      <c r="AU870" s="136">
        <f t="shared" si="180"/>
        <v>0.99361284523505489</v>
      </c>
      <c r="AV870" s="136">
        <f t="shared" si="191"/>
        <v>2.4899999999999074</v>
      </c>
      <c r="AW870" s="136">
        <f t="shared" si="181"/>
        <v>1.7971132954043779E-2</v>
      </c>
      <c r="AX870" s="136" t="e">
        <f t="shared" si="182"/>
        <v>#N/A</v>
      </c>
      <c r="AY870" s="136">
        <f t="shared" si="183"/>
        <v>2.4899899999999073</v>
      </c>
      <c r="AZ870" s="136">
        <f t="shared" si="184"/>
        <v>2.4900099999999075</v>
      </c>
      <c r="BA870" s="136">
        <f t="shared" si="185"/>
        <v>0.93476978226548546</v>
      </c>
      <c r="BB870" s="136">
        <f t="shared" si="186"/>
        <v>0.93477063399416316</v>
      </c>
      <c r="BC870" s="136" t="e">
        <f t="shared" si="187"/>
        <v>#N/A</v>
      </c>
      <c r="BD870" s="136">
        <f t="shared" si="192"/>
        <v>1.7971132954043779E-2</v>
      </c>
      <c r="BE870" s="136">
        <f t="shared" si="188"/>
        <v>1.6971132954043778E-2</v>
      </c>
      <c r="BF870" s="136" t="e">
        <f t="shared" si="189"/>
        <v>#N/A</v>
      </c>
      <c r="BG870" s="136" t="e">
        <f t="shared" si="190"/>
        <v>#N/A</v>
      </c>
    </row>
    <row r="871" spans="47:59" ht="11.25" customHeight="1">
      <c r="AU871" s="136">
        <f t="shared" si="180"/>
        <v>0.99379033467422229</v>
      </c>
      <c r="AV871" s="136">
        <f t="shared" si="191"/>
        <v>2.4999999999999072</v>
      </c>
      <c r="AW871" s="136">
        <f t="shared" si="181"/>
        <v>1.75283004935726E-2</v>
      </c>
      <c r="AX871" s="136" t="e">
        <f t="shared" si="182"/>
        <v>#N/A</v>
      </c>
      <c r="AY871" s="136">
        <f t="shared" si="183"/>
        <v>2.4999899999999071</v>
      </c>
      <c r="AZ871" s="136">
        <f t="shared" si="184"/>
        <v>2.5000099999999073</v>
      </c>
      <c r="BA871" s="136">
        <f t="shared" si="185"/>
        <v>0.9351937179234393</v>
      </c>
      <c r="BB871" s="136">
        <f t="shared" si="186"/>
        <v>0.93519456193631201</v>
      </c>
      <c r="BC871" s="136" t="e">
        <f t="shared" si="187"/>
        <v>#N/A</v>
      </c>
      <c r="BD871" s="136">
        <f t="shared" si="192"/>
        <v>1.75283004935726E-2</v>
      </c>
      <c r="BE871" s="136">
        <f t="shared" si="188"/>
        <v>1.6528300493572599E-2</v>
      </c>
      <c r="BF871" s="136" t="e">
        <f t="shared" si="189"/>
        <v>#N/A</v>
      </c>
      <c r="BG871" s="136" t="e">
        <f t="shared" si="190"/>
        <v>#N/A</v>
      </c>
    </row>
    <row r="872" spans="47:59" ht="11.25" customHeight="1">
      <c r="AU872" s="136">
        <f t="shared" si="180"/>
        <v>0.99396344191958552</v>
      </c>
      <c r="AV872" s="136">
        <f t="shared" si="191"/>
        <v>2.509999999999907</v>
      </c>
      <c r="AW872" s="136">
        <f t="shared" si="181"/>
        <v>1.7094670457500929E-2</v>
      </c>
      <c r="AX872" s="136" t="e">
        <f t="shared" si="182"/>
        <v>#N/A</v>
      </c>
      <c r="AY872" s="136">
        <f t="shared" si="183"/>
        <v>2.5099899999999069</v>
      </c>
      <c r="AZ872" s="136">
        <f t="shared" si="184"/>
        <v>2.510009999999907</v>
      </c>
      <c r="BA872" s="136">
        <f t="shared" si="185"/>
        <v>0.93561381707196944</v>
      </c>
      <c r="BB872" s="136">
        <f t="shared" si="186"/>
        <v>0.93561465345460204</v>
      </c>
      <c r="BC872" s="136" t="e">
        <f t="shared" si="187"/>
        <v>#N/A</v>
      </c>
      <c r="BD872" s="136">
        <f t="shared" si="192"/>
        <v>1.7094670457500929E-2</v>
      </c>
      <c r="BE872" s="136">
        <f t="shared" si="188"/>
        <v>1.6094670457500928E-2</v>
      </c>
      <c r="BF872" s="136" t="e">
        <f t="shared" si="189"/>
        <v>#N/A</v>
      </c>
      <c r="BG872" s="136" t="e">
        <f t="shared" si="190"/>
        <v>#N/A</v>
      </c>
    </row>
    <row r="873" spans="47:59" ht="11.25" customHeight="1">
      <c r="AU873" s="136">
        <f t="shared" si="180"/>
        <v>0.99413225828466578</v>
      </c>
      <c r="AV873" s="136">
        <f t="shared" si="191"/>
        <v>2.5199999999999068</v>
      </c>
      <c r="AW873" s="136">
        <f t="shared" si="181"/>
        <v>1.6670100837384981E-2</v>
      </c>
      <c r="AX873" s="136" t="e">
        <f t="shared" si="182"/>
        <v>#N/A</v>
      </c>
      <c r="AY873" s="136">
        <f t="shared" si="183"/>
        <v>2.5199899999999067</v>
      </c>
      <c r="AZ873" s="136">
        <f t="shared" si="184"/>
        <v>2.5200099999999068</v>
      </c>
      <c r="BA873" s="136">
        <f t="shared" si="185"/>
        <v>0.93603012222747861</v>
      </c>
      <c r="BB873" s="136">
        <f t="shared" si="186"/>
        <v>0.93603095106437195</v>
      </c>
      <c r="BC873" s="136" t="e">
        <f t="shared" si="187"/>
        <v>#N/A</v>
      </c>
      <c r="BD873" s="136">
        <f t="shared" si="192"/>
        <v>1.6670100837384981E-2</v>
      </c>
      <c r="BE873" s="136">
        <f t="shared" si="188"/>
        <v>1.567010083738498E-2</v>
      </c>
      <c r="BF873" s="136" t="e">
        <f t="shared" si="189"/>
        <v>#N/A</v>
      </c>
      <c r="BG873" s="136" t="e">
        <f t="shared" si="190"/>
        <v>#N/A</v>
      </c>
    </row>
    <row r="874" spans="47:59" ht="11.25" customHeight="1">
      <c r="AU874" s="136">
        <f t="shared" si="180"/>
        <v>0.99429687366704778</v>
      </c>
      <c r="AV874" s="136">
        <f t="shared" si="191"/>
        <v>2.5299999999999065</v>
      </c>
      <c r="AW874" s="136">
        <f t="shared" si="181"/>
        <v>1.6254450460604336E-2</v>
      </c>
      <c r="AX874" s="136" t="e">
        <f t="shared" si="182"/>
        <v>#N/A</v>
      </c>
      <c r="AY874" s="136">
        <f t="shared" si="183"/>
        <v>2.5299899999999065</v>
      </c>
      <c r="AZ874" s="136">
        <f t="shared" si="184"/>
        <v>2.5300099999999066</v>
      </c>
      <c r="BA874" s="136">
        <f t="shared" si="185"/>
        <v>0.93644267537766301</v>
      </c>
      <c r="BB874" s="136">
        <f t="shared" si="186"/>
        <v>0.93644349675226723</v>
      </c>
      <c r="BC874" s="136" t="e">
        <f t="shared" si="187"/>
        <v>#N/A</v>
      </c>
      <c r="BD874" s="136">
        <f t="shared" si="192"/>
        <v>1.6254450460604336E-2</v>
      </c>
      <c r="BE874" s="136">
        <f t="shared" si="188"/>
        <v>1.5254450460604335E-2</v>
      </c>
      <c r="BF874" s="136" t="e">
        <f t="shared" si="189"/>
        <v>#N/A</v>
      </c>
      <c r="BG874" s="136" t="e">
        <f t="shared" si="190"/>
        <v>#N/A</v>
      </c>
    </row>
    <row r="875" spans="47:59" ht="11.25" customHeight="1">
      <c r="AU875" s="136">
        <f t="shared" si="180"/>
        <v>0.99445737655691602</v>
      </c>
      <c r="AV875" s="136">
        <f t="shared" si="191"/>
        <v>2.5399999999999063</v>
      </c>
      <c r="AW875" s="136">
        <f t="shared" si="181"/>
        <v>1.5847579025364586E-2</v>
      </c>
      <c r="AX875" s="136" t="e">
        <f t="shared" si="182"/>
        <v>#N/A</v>
      </c>
      <c r="AY875" s="136">
        <f t="shared" si="183"/>
        <v>2.5399899999999063</v>
      </c>
      <c r="AZ875" s="136">
        <f t="shared" si="184"/>
        <v>2.5400099999999064</v>
      </c>
      <c r="BA875" s="136">
        <f t="shared" si="185"/>
        <v>0.93685151798822941</v>
      </c>
      <c r="BB875" s="136">
        <f t="shared" si="186"/>
        <v>0.93685233198295736</v>
      </c>
      <c r="BC875" s="136" t="e">
        <f t="shared" si="187"/>
        <v>#N/A</v>
      </c>
      <c r="BD875" s="136">
        <f t="shared" si="192"/>
        <v>1.5847579025364586E-2</v>
      </c>
      <c r="BE875" s="136">
        <f t="shared" si="188"/>
        <v>1.4847579025364585E-2</v>
      </c>
      <c r="BF875" s="136" t="e">
        <f t="shared" si="189"/>
        <v>#N/A</v>
      </c>
      <c r="BG875" s="136" t="e">
        <f t="shared" si="190"/>
        <v>#N/A</v>
      </c>
    </row>
    <row r="876" spans="47:59" ht="11.25" customHeight="1">
      <c r="AU876" s="136">
        <f t="shared" si="180"/>
        <v>0.99461385404593194</v>
      </c>
      <c r="AV876" s="136">
        <f t="shared" si="191"/>
        <v>2.5499999999999061</v>
      </c>
      <c r="AW876" s="136">
        <f t="shared" si="181"/>
        <v>1.5449347134398869E-2</v>
      </c>
      <c r="AX876" s="136" t="e">
        <f t="shared" si="182"/>
        <v>#N/A</v>
      </c>
      <c r="AY876" s="136">
        <f t="shared" si="183"/>
        <v>2.5499899999999061</v>
      </c>
      <c r="AZ876" s="136">
        <f t="shared" si="184"/>
        <v>2.5500099999999062</v>
      </c>
      <c r="BA876" s="136">
        <f t="shared" si="185"/>
        <v>0.93725669100954123</v>
      </c>
      <c r="BB876" s="136">
        <f t="shared" si="186"/>
        <v>0.93725749770578171</v>
      </c>
      <c r="BC876" s="136" t="e">
        <f t="shared" si="187"/>
        <v>#N/A</v>
      </c>
      <c r="BD876" s="136">
        <f t="shared" si="192"/>
        <v>1.5449347134398869E-2</v>
      </c>
      <c r="BE876" s="136">
        <f t="shared" si="188"/>
        <v>1.4449347134398868E-2</v>
      </c>
      <c r="BF876" s="136" t="e">
        <f t="shared" si="189"/>
        <v>#N/A</v>
      </c>
      <c r="BG876" s="136" t="e">
        <f t="shared" si="190"/>
        <v>#N/A</v>
      </c>
    </row>
    <row r="877" spans="47:59" ht="11.25" customHeight="1">
      <c r="AU877" s="136">
        <f t="shared" si="180"/>
        <v>0.99476639183644278</v>
      </c>
      <c r="AV877" s="136">
        <f t="shared" si="191"/>
        <v>2.5599999999999059</v>
      </c>
      <c r="AW877" s="136">
        <f t="shared" si="181"/>
        <v>1.5059616327381078E-2</v>
      </c>
      <c r="AX877" s="136" t="e">
        <f t="shared" si="182"/>
        <v>#N/A</v>
      </c>
      <c r="AY877" s="136">
        <f t="shared" si="183"/>
        <v>2.5599899999999058</v>
      </c>
      <c r="AZ877" s="136">
        <f t="shared" si="184"/>
        <v>2.560009999999906</v>
      </c>
      <c r="BA877" s="136">
        <f t="shared" si="185"/>
        <v>0.93765823488319311</v>
      </c>
      <c r="BB877" s="136">
        <f t="shared" si="186"/>
        <v>0.93765903436132381</v>
      </c>
      <c r="BC877" s="136" t="e">
        <f t="shared" si="187"/>
        <v>#N/A</v>
      </c>
      <c r="BD877" s="136">
        <f t="shared" si="192"/>
        <v>1.5059616327381078E-2</v>
      </c>
      <c r="BE877" s="136">
        <f t="shared" si="188"/>
        <v>1.4059616327381078E-2</v>
      </c>
      <c r="BF877" s="136" t="e">
        <f t="shared" si="189"/>
        <v>#N/A</v>
      </c>
      <c r="BG877" s="136" t="e">
        <f t="shared" si="190"/>
        <v>#N/A</v>
      </c>
    </row>
    <row r="878" spans="47:59" ht="11.25" customHeight="1">
      <c r="AU878" s="136">
        <f t="shared" si="180"/>
        <v>0.99491507425100767</v>
      </c>
      <c r="AV878" s="136">
        <f t="shared" si="191"/>
        <v>2.5699999999999057</v>
      </c>
      <c r="AW878" s="136">
        <f t="shared" si="181"/>
        <v>1.4678249112063594E-2</v>
      </c>
      <c r="AX878" s="136" t="e">
        <f t="shared" si="182"/>
        <v>#N/A</v>
      </c>
      <c r="AY878" s="136">
        <f t="shared" si="183"/>
        <v>2.5699899999999056</v>
      </c>
      <c r="AZ878" s="136">
        <f t="shared" si="184"/>
        <v>2.5700099999999058</v>
      </c>
      <c r="BA878" s="136">
        <f t="shared" si="185"/>
        <v>0.93805618954851322</v>
      </c>
      <c r="BB878" s="136">
        <f t="shared" si="186"/>
        <v>0.93805698188791387</v>
      </c>
      <c r="BC878" s="136" t="e">
        <f t="shared" si="187"/>
        <v>#N/A</v>
      </c>
      <c r="BD878" s="136">
        <f t="shared" si="192"/>
        <v>1.4678249112063594E-2</v>
      </c>
      <c r="BE878" s="136">
        <f t="shared" si="188"/>
        <v>1.3678249112063594E-2</v>
      </c>
      <c r="BF878" s="136" t="e">
        <f t="shared" si="189"/>
        <v>#N/A</v>
      </c>
      <c r="BG878" s="136" t="e">
        <f t="shared" si="190"/>
        <v>#N/A</v>
      </c>
    </row>
    <row r="879" spans="47:59" ht="11.25" customHeight="1">
      <c r="AU879" s="136">
        <f t="shared" si="180"/>
        <v>0.99505998424222775</v>
      </c>
      <c r="AV879" s="136">
        <f t="shared" si="191"/>
        <v>2.5799999999999055</v>
      </c>
      <c r="AW879" s="136">
        <f t="shared" si="181"/>
        <v>1.4305108994153182E-2</v>
      </c>
      <c r="AX879" s="136" t="e">
        <f t="shared" si="182"/>
        <v>#N/A</v>
      </c>
      <c r="AY879" s="136">
        <f t="shared" si="183"/>
        <v>2.5799899999999054</v>
      </c>
      <c r="AZ879" s="136">
        <f t="shared" si="184"/>
        <v>2.5800099999999055</v>
      </c>
      <c r="BA879" s="136">
        <f t="shared" si="185"/>
        <v>0.93845059444899426</v>
      </c>
      <c r="BB879" s="136">
        <f t="shared" si="186"/>
        <v>0.93845137972805925</v>
      </c>
      <c r="BC879" s="136" t="e">
        <f t="shared" si="187"/>
        <v>#N/A</v>
      </c>
      <c r="BD879" s="136">
        <f t="shared" si="192"/>
        <v>1.4305108994153182E-2</v>
      </c>
      <c r="BE879" s="136">
        <f t="shared" si="188"/>
        <v>1.3305108994153183E-2</v>
      </c>
      <c r="BF879" s="136" t="e">
        <f t="shared" si="189"/>
        <v>#N/A</v>
      </c>
      <c r="BG879" s="136" t="e">
        <f t="shared" si="190"/>
        <v>#N/A</v>
      </c>
    </row>
    <row r="880" spans="47:59" ht="11.25" customHeight="1">
      <c r="AU880" s="136">
        <f t="shared" si="180"/>
        <v>0.99520120340287233</v>
      </c>
      <c r="AV880" s="136">
        <f t="shared" si="191"/>
        <v>2.5899999999999053</v>
      </c>
      <c r="AW880" s="136">
        <f t="shared" si="181"/>
        <v>1.3940060505939234E-2</v>
      </c>
      <c r="AX880" s="136" t="e">
        <f t="shared" si="182"/>
        <v>#N/A</v>
      </c>
      <c r="AY880" s="136">
        <f t="shared" si="183"/>
        <v>2.5899899999999052</v>
      </c>
      <c r="AZ880" s="136">
        <f t="shared" si="184"/>
        <v>2.5900099999999053</v>
      </c>
      <c r="BA880" s="136">
        <f t="shared" si="185"/>
        <v>0.93884148853865346</v>
      </c>
      <c r="BB880" s="136">
        <f t="shared" si="186"/>
        <v>0.93884226683480454</v>
      </c>
      <c r="BC880" s="136" t="e">
        <f t="shared" si="187"/>
        <v>#N/A</v>
      </c>
      <c r="BD880" s="136">
        <f t="shared" si="192"/>
        <v>1.3940060505939234E-2</v>
      </c>
      <c r="BE880" s="136">
        <f t="shared" si="188"/>
        <v>1.2940060505939235E-2</v>
      </c>
      <c r="BF880" s="136" t="e">
        <f t="shared" si="189"/>
        <v>#N/A</v>
      </c>
      <c r="BG880" s="136" t="e">
        <f t="shared" si="190"/>
        <v>#N/A</v>
      </c>
    </row>
    <row r="881" spans="47:59" ht="11.25" customHeight="1">
      <c r="AU881" s="136">
        <f t="shared" si="180"/>
        <v>0.99533881197627982</v>
      </c>
      <c r="AV881" s="136">
        <f t="shared" si="191"/>
        <v>2.5999999999999051</v>
      </c>
      <c r="AW881" s="136">
        <f t="shared" si="181"/>
        <v>1.3582969233688973E-2</v>
      </c>
      <c r="AX881" s="136" t="e">
        <f t="shared" si="182"/>
        <v>#N/A</v>
      </c>
      <c r="AY881" s="136">
        <f t="shared" si="183"/>
        <v>2.599989999999905</v>
      </c>
      <c r="AZ881" s="136">
        <f t="shared" si="184"/>
        <v>2.6000099999999051</v>
      </c>
      <c r="BA881" s="136">
        <f t="shared" si="185"/>
        <v>0.93922891028832056</v>
      </c>
      <c r="BB881" s="136">
        <f t="shared" si="186"/>
        <v>0.93922968167801946</v>
      </c>
      <c r="BC881" s="136" t="e">
        <f t="shared" si="187"/>
        <v>#N/A</v>
      </c>
      <c r="BD881" s="136">
        <f t="shared" si="192"/>
        <v>1.3582969233688973E-2</v>
      </c>
      <c r="BE881" s="136">
        <f t="shared" si="188"/>
        <v>1.2582969233688974E-2</v>
      </c>
      <c r="BF881" s="136" t="e">
        <f t="shared" si="189"/>
        <v>#N/A</v>
      </c>
      <c r="BG881" s="136" t="e">
        <f t="shared" si="190"/>
        <v>#N/A</v>
      </c>
    </row>
    <row r="882" spans="47:59" ht="11.25" customHeight="1">
      <c r="AU882" s="136">
        <f t="shared" si="180"/>
        <v>0.99547288886703167</v>
      </c>
      <c r="AV882" s="136">
        <f t="shared" si="191"/>
        <v>2.6099999999999048</v>
      </c>
      <c r="AW882" s="136">
        <f t="shared" si="181"/>
        <v>1.323370184382465E-2</v>
      </c>
      <c r="AX882" s="136" t="e">
        <f t="shared" si="182"/>
        <v>#N/A</v>
      </c>
      <c r="AY882" s="136">
        <f t="shared" si="183"/>
        <v>2.6099899999999048</v>
      </c>
      <c r="AZ882" s="136">
        <f t="shared" si="184"/>
        <v>2.6100099999999049</v>
      </c>
      <c r="BA882" s="136">
        <f t="shared" si="185"/>
        <v>0.93961289769185541</v>
      </c>
      <c r="BB882" s="136">
        <f t="shared" si="186"/>
        <v>0.93961366225061604</v>
      </c>
      <c r="BC882" s="136" t="e">
        <f t="shared" si="187"/>
        <v>#N/A</v>
      </c>
      <c r="BD882" s="136">
        <f t="shared" si="192"/>
        <v>1.323370184382465E-2</v>
      </c>
      <c r="BE882" s="136">
        <f t="shared" si="188"/>
        <v>1.2233701843824649E-2</v>
      </c>
      <c r="BF882" s="136" t="e">
        <f t="shared" si="189"/>
        <v>#N/A</v>
      </c>
      <c r="BG882" s="136" t="e">
        <f t="shared" si="190"/>
        <v>#N/A</v>
      </c>
    </row>
    <row r="883" spans="47:59" ht="11.25" customHeight="1">
      <c r="AU883" s="136">
        <f t="shared" si="180"/>
        <v>0.99560351165187766</v>
      </c>
      <c r="AV883" s="136">
        <f t="shared" si="191"/>
        <v>2.6199999999999046</v>
      </c>
      <c r="AW883" s="136">
        <f t="shared" si="181"/>
        <v>1.2892126107898527E-2</v>
      </c>
      <c r="AX883" s="136" t="e">
        <f t="shared" si="182"/>
        <v>#N/A</v>
      </c>
      <c r="AY883" s="136">
        <f t="shared" si="183"/>
        <v>2.6199899999999046</v>
      </c>
      <c r="AZ883" s="136">
        <f t="shared" si="184"/>
        <v>2.6200099999999047</v>
      </c>
      <c r="BA883" s="136">
        <f t="shared" si="185"/>
        <v>0.93999348827229456</v>
      </c>
      <c r="BB883" s="136">
        <f t="shared" si="186"/>
        <v>0.93999424607469539</v>
      </c>
      <c r="BC883" s="136" t="e">
        <f t="shared" si="187"/>
        <v>#N/A</v>
      </c>
      <c r="BD883" s="136">
        <f t="shared" si="192"/>
        <v>1.2892126107898527E-2</v>
      </c>
      <c r="BE883" s="136">
        <f t="shared" si="188"/>
        <v>1.1892126107898526E-2</v>
      </c>
      <c r="BF883" s="136" t="e">
        <f t="shared" si="189"/>
        <v>#N/A</v>
      </c>
      <c r="BG883" s="136" t="e">
        <f t="shared" si="190"/>
        <v>#N/A</v>
      </c>
    </row>
    <row r="884" spans="47:59" ht="11.25" customHeight="1">
      <c r="AU884" s="136">
        <f t="shared" si="180"/>
        <v>0.99573075659090937</v>
      </c>
      <c r="AV884" s="136">
        <f t="shared" si="191"/>
        <v>2.6299999999999044</v>
      </c>
      <c r="AW884" s="136">
        <f t="shared" si="181"/>
        <v>1.255811092638136E-2</v>
      </c>
      <c r="AX884" s="136" t="e">
        <f t="shared" si="182"/>
        <v>#N/A</v>
      </c>
      <c r="AY884" s="136">
        <f t="shared" si="183"/>
        <v>2.6299899999999043</v>
      </c>
      <c r="AZ884" s="136">
        <f t="shared" si="184"/>
        <v>2.6300099999999045</v>
      </c>
      <c r="BA884" s="136">
        <f t="shared" si="185"/>
        <v>0.94037071908792724</v>
      </c>
      <c r="BB884" s="136">
        <f t="shared" si="186"/>
        <v>0.94037147020762302</v>
      </c>
      <c r="BC884" s="136" t="e">
        <f t="shared" si="187"/>
        <v>#N/A</v>
      </c>
      <c r="BD884" s="136">
        <f t="shared" si="192"/>
        <v>1.255811092638136E-2</v>
      </c>
      <c r="BE884" s="136">
        <f t="shared" si="188"/>
        <v>1.155811092638136E-2</v>
      </c>
      <c r="BF884" s="136" t="e">
        <f t="shared" si="189"/>
        <v>#N/A</v>
      </c>
      <c r="BG884" s="136" t="e">
        <f t="shared" si="190"/>
        <v>#N/A</v>
      </c>
    </row>
    <row r="885" spans="47:59" ht="11.25" customHeight="1">
      <c r="AU885" s="136">
        <f t="shared" si="180"/>
        <v>0.99585469863896292</v>
      </c>
      <c r="AV885" s="136">
        <f t="shared" si="191"/>
        <v>2.6399999999999042</v>
      </c>
      <c r="AW885" s="136">
        <f t="shared" si="181"/>
        <v>1.2231526351281066E-2</v>
      </c>
      <c r="AX885" s="136" t="e">
        <f t="shared" si="182"/>
        <v>#N/A</v>
      </c>
      <c r="AY885" s="136">
        <f t="shared" si="183"/>
        <v>2.6399899999999041</v>
      </c>
      <c r="AZ885" s="136">
        <f t="shared" si="184"/>
        <v>2.6400099999999043</v>
      </c>
      <c r="BA885" s="136">
        <f t="shared" si="185"/>
        <v>0.94074462673830095</v>
      </c>
      <c r="BB885" s="136">
        <f t="shared" si="186"/>
        <v>0.94074537124803526</v>
      </c>
      <c r="BC885" s="136" t="e">
        <f t="shared" si="187"/>
        <v>#N/A</v>
      </c>
      <c r="BD885" s="136">
        <f t="shared" si="192"/>
        <v>1.2231526351281066E-2</v>
      </c>
      <c r="BE885" s="136">
        <f t="shared" si="188"/>
        <v>1.1231526351281065E-2</v>
      </c>
      <c r="BF885" s="136" t="e">
        <f t="shared" si="189"/>
        <v>#N/A</v>
      </c>
      <c r="BG885" s="136" t="e">
        <f t="shared" si="190"/>
        <v>#N/A</v>
      </c>
    </row>
    <row r="886" spans="47:59" ht="11.25" customHeight="1">
      <c r="AU886" s="136">
        <f t="shared" si="180"/>
        <v>0.99597541145724033</v>
      </c>
      <c r="AV886" s="136">
        <f t="shared" si="191"/>
        <v>2.649999999999904</v>
      </c>
      <c r="AW886" s="136">
        <f t="shared" si="181"/>
        <v>1.1912243607608208E-2</v>
      </c>
      <c r="AX886" s="136" t="e">
        <f t="shared" si="182"/>
        <v>#N/A</v>
      </c>
      <c r="AY886" s="136">
        <f t="shared" si="183"/>
        <v>2.6499899999999039</v>
      </c>
      <c r="AZ886" s="136">
        <f t="shared" si="184"/>
        <v>2.6500099999999041</v>
      </c>
      <c r="BA886" s="136">
        <f t="shared" si="185"/>
        <v>0.94111524737015784</v>
      </c>
      <c r="BB886" s="136">
        <f t="shared" si="186"/>
        <v>0.94111598534177432</v>
      </c>
      <c r="BC886" s="136" t="e">
        <f t="shared" si="187"/>
        <v>#N/A</v>
      </c>
      <c r="BD886" s="136">
        <f t="shared" si="192"/>
        <v>1.1912243607608208E-2</v>
      </c>
      <c r="BE886" s="136">
        <f t="shared" si="188"/>
        <v>1.0912243607608209E-2</v>
      </c>
      <c r="BF886" s="136" t="e">
        <f t="shared" si="189"/>
        <v>#N/A</v>
      </c>
      <c r="BG886" s="136" t="e">
        <f t="shared" si="190"/>
        <v>#N/A</v>
      </c>
    </row>
    <row r="887" spans="47:59" ht="11.25" customHeight="1">
      <c r="AU887" s="136">
        <f t="shared" si="180"/>
        <v>0.99609296742514619</v>
      </c>
      <c r="AV887" s="136">
        <f t="shared" si="191"/>
        <v>2.6599999999999038</v>
      </c>
      <c r="AW887" s="136">
        <f t="shared" si="181"/>
        <v>1.1600135113705532E-2</v>
      </c>
      <c r="AX887" s="136" t="e">
        <f t="shared" si="182"/>
        <v>#N/A</v>
      </c>
      <c r="AY887" s="136">
        <f t="shared" si="183"/>
        <v>2.6599899999999037</v>
      </c>
      <c r="AZ887" s="136">
        <f t="shared" si="184"/>
        <v>2.6600099999999038</v>
      </c>
      <c r="BA887" s="136">
        <f t="shared" si="185"/>
        <v>0.9414826166833008</v>
      </c>
      <c r="BB887" s="136">
        <f t="shared" si="186"/>
        <v>0.94148334818775503</v>
      </c>
      <c r="BC887" s="136" t="e">
        <f t="shared" si="187"/>
        <v>#N/A</v>
      </c>
      <c r="BD887" s="136">
        <f t="shared" si="192"/>
        <v>1.1600135113705532E-2</v>
      </c>
      <c r="BE887" s="136">
        <f t="shared" si="188"/>
        <v>1.0600135113705531E-2</v>
      </c>
      <c r="BF887" s="136" t="e">
        <f t="shared" si="189"/>
        <v>#N/A</v>
      </c>
      <c r="BG887" s="136" t="e">
        <f t="shared" si="190"/>
        <v>#N/A</v>
      </c>
    </row>
    <row r="888" spans="47:59" ht="11.25" customHeight="1">
      <c r="AU888" s="136">
        <f t="shared" si="180"/>
        <v>0.99620743765231334</v>
      </c>
      <c r="AV888" s="136">
        <f t="shared" si="191"/>
        <v>2.6699999999999036</v>
      </c>
      <c r="AW888" s="136">
        <f t="shared" si="181"/>
        <v>1.1295074500459043E-2</v>
      </c>
      <c r="AX888" s="136" t="e">
        <f t="shared" si="182"/>
        <v>#N/A</v>
      </c>
      <c r="AY888" s="136">
        <f t="shared" si="183"/>
        <v>2.6699899999999035</v>
      </c>
      <c r="AZ888" s="136">
        <f t="shared" si="184"/>
        <v>2.6700099999999036</v>
      </c>
      <c r="BA888" s="136">
        <f t="shared" si="185"/>
        <v>0.94184676993639016</v>
      </c>
      <c r="BB888" s="136">
        <f t="shared" si="186"/>
        <v>0.94184749504376142</v>
      </c>
      <c r="BC888" s="136" t="e">
        <f t="shared" si="187"/>
        <v>#N/A</v>
      </c>
      <c r="BD888" s="136">
        <f t="shared" si="192"/>
        <v>1.1295074500459043E-2</v>
      </c>
      <c r="BE888" s="136">
        <f t="shared" si="188"/>
        <v>1.0295074500459044E-2</v>
      </c>
      <c r="BF888" s="136" t="e">
        <f t="shared" si="189"/>
        <v>#N/A</v>
      </c>
      <c r="BG888" s="136" t="e">
        <f t="shared" si="190"/>
        <v>#N/A</v>
      </c>
    </row>
    <row r="889" spans="47:59" ht="11.25" customHeight="1">
      <c r="AU889" s="136">
        <f t="shared" si="180"/>
        <v>0.99631889199082391</v>
      </c>
      <c r="AV889" s="136">
        <f t="shared" si="191"/>
        <v>2.6799999999999033</v>
      </c>
      <c r="AW889" s="136">
        <f t="shared" si="181"/>
        <v>1.0996936629408427E-2</v>
      </c>
      <c r="AX889" s="136" t="e">
        <f t="shared" si="182"/>
        <v>#N/A</v>
      </c>
      <c r="AY889" s="136">
        <f t="shared" si="183"/>
        <v>2.6799899999999033</v>
      </c>
      <c r="AZ889" s="136">
        <f t="shared" si="184"/>
        <v>2.6800099999999034</v>
      </c>
      <c r="BA889" s="136">
        <f t="shared" si="185"/>
        <v>0.94220774195267298</v>
      </c>
      <c r="BB889" s="136">
        <f t="shared" si="186"/>
        <v>0.94220846073217523</v>
      </c>
      <c r="BC889" s="136" t="e">
        <f t="shared" si="187"/>
        <v>#N/A</v>
      </c>
      <c r="BD889" s="136">
        <f t="shared" si="192"/>
        <v>1.0996936629408427E-2</v>
      </c>
      <c r="BE889" s="136">
        <f t="shared" si="188"/>
        <v>9.9969366294084261E-3</v>
      </c>
      <c r="BF889" s="136" t="e">
        <f t="shared" si="189"/>
        <v>#N/A</v>
      </c>
      <c r="BG889" s="136" t="e">
        <f t="shared" si="190"/>
        <v>#N/A</v>
      </c>
    </row>
    <row r="890" spans="47:59" ht="11.25" customHeight="1">
      <c r="AU890" s="136">
        <f t="shared" si="180"/>
        <v>0.99642739904759936</v>
      </c>
      <c r="AV890" s="136">
        <f t="shared" si="191"/>
        <v>2.6899999999999031</v>
      </c>
      <c r="AW890" s="136">
        <f t="shared" si="181"/>
        <v>1.0705597609774973E-2</v>
      </c>
      <c r="AX890" s="136" t="e">
        <f t="shared" si="182"/>
        <v>#N/A</v>
      </c>
      <c r="AY890" s="136">
        <f t="shared" si="183"/>
        <v>2.6899899999999031</v>
      </c>
      <c r="AZ890" s="136">
        <f t="shared" si="184"/>
        <v>2.6900099999999032</v>
      </c>
      <c r="BA890" s="136">
        <f t="shared" si="185"/>
        <v>0.94256556712564188</v>
      </c>
      <c r="BB890" s="136">
        <f t="shared" si="186"/>
        <v>0.94256627964563522</v>
      </c>
      <c r="BC890" s="136" t="e">
        <f t="shared" si="187"/>
        <v>#N/A</v>
      </c>
      <c r="BD890" s="136">
        <f t="shared" si="192"/>
        <v>1.0705597609774973E-2</v>
      </c>
      <c r="BE890" s="136">
        <f t="shared" si="188"/>
        <v>9.7055976097749734E-3</v>
      </c>
      <c r="BF890" s="136" t="e">
        <f t="shared" si="189"/>
        <v>#N/A</v>
      </c>
      <c r="BG890" s="136" t="e">
        <f t="shared" si="190"/>
        <v>#N/A</v>
      </c>
    </row>
    <row r="891" spans="47:59" ht="11.25" customHeight="1">
      <c r="AU891" s="136">
        <f t="shared" si="180"/>
        <v>0.99653302619695838</v>
      </c>
      <c r="AV891" s="136">
        <f t="shared" si="191"/>
        <v>2.6999999999999029</v>
      </c>
      <c r="AW891" s="136">
        <f t="shared" si="181"/>
        <v>1.0420934814425324E-2</v>
      </c>
      <c r="AX891" s="136" t="e">
        <f t="shared" si="182"/>
        <v>#N/A</v>
      </c>
      <c r="AY891" s="136">
        <f t="shared" si="183"/>
        <v>2.6999899999999029</v>
      </c>
      <c r="AZ891" s="136">
        <f t="shared" si="184"/>
        <v>2.700009999999903</v>
      </c>
      <c r="BA891" s="136">
        <f t="shared" si="185"/>
        <v>0.94292027942462753</v>
      </c>
      <c r="BB891" s="136">
        <f t="shared" si="186"/>
        <v>0.94292098575262928</v>
      </c>
      <c r="BC891" s="136" t="e">
        <f t="shared" si="187"/>
        <v>#N/A</v>
      </c>
      <c r="BD891" s="136">
        <f t="shared" si="192"/>
        <v>1.0420934814425324E-2</v>
      </c>
      <c r="BE891" s="136">
        <f t="shared" si="188"/>
        <v>9.4209348144253247E-3</v>
      </c>
      <c r="BF891" s="136" t="e">
        <f t="shared" si="189"/>
        <v>#N/A</v>
      </c>
      <c r="BG891" s="136" t="e">
        <f t="shared" si="190"/>
        <v>#N/A</v>
      </c>
    </row>
    <row r="892" spans="47:59" ht="11.25" customHeight="1">
      <c r="AU892" s="136">
        <f t="shared" si="180"/>
        <v>0.99663583959332991</v>
      </c>
      <c r="AV892" s="136">
        <f t="shared" si="191"/>
        <v>2.7099999999999027</v>
      </c>
      <c r="AW892" s="136">
        <f t="shared" si="181"/>
        <v>1.0142826894789752E-2</v>
      </c>
      <c r="AX892" s="136" t="e">
        <f t="shared" si="182"/>
        <v>#N/A</v>
      </c>
      <c r="AY892" s="136">
        <f t="shared" si="183"/>
        <v>2.7099899999999026</v>
      </c>
      <c r="AZ892" s="136">
        <f t="shared" si="184"/>
        <v>2.7100099999999028</v>
      </c>
      <c r="BA892" s="136">
        <f t="shared" si="185"/>
        <v>0.94327191240032238</v>
      </c>
      <c r="BB892" s="136">
        <f t="shared" si="186"/>
        <v>0.94327261260301831</v>
      </c>
      <c r="BC892" s="136" t="e">
        <f t="shared" si="187"/>
        <v>#N/A</v>
      </c>
      <c r="BD892" s="136">
        <f t="shared" si="192"/>
        <v>1.0142826894789752E-2</v>
      </c>
      <c r="BE892" s="136">
        <f t="shared" si="188"/>
        <v>9.1428268947897524E-3</v>
      </c>
      <c r="BF892" s="136" t="e">
        <f t="shared" si="189"/>
        <v>#N/A</v>
      </c>
      <c r="BG892" s="136" t="e">
        <f t="shared" si="190"/>
        <v>#N/A</v>
      </c>
    </row>
    <row r="893" spans="47:59" ht="11.25" customHeight="1">
      <c r="AU893" s="136">
        <f t="shared" si="180"/>
        <v>0.99673590418410785</v>
      </c>
      <c r="AV893" s="136">
        <f t="shared" si="191"/>
        <v>2.7199999999999025</v>
      </c>
      <c r="AW893" s="136">
        <f t="shared" si="181"/>
        <v>9.8711537947537547E-3</v>
      </c>
      <c r="AX893" s="136" t="e">
        <f t="shared" si="182"/>
        <v>#N/A</v>
      </c>
      <c r="AY893" s="136">
        <f t="shared" si="183"/>
        <v>2.7199899999999024</v>
      </c>
      <c r="AZ893" s="136">
        <f t="shared" si="184"/>
        <v>2.7200099999999026</v>
      </c>
      <c r="BA893" s="136">
        <f t="shared" si="185"/>
        <v>0.94362049919023872</v>
      </c>
      <c r="BB893" s="136">
        <f t="shared" si="186"/>
        <v>0.94362119333349326</v>
      </c>
      <c r="BC893" s="136" t="e">
        <f t="shared" si="187"/>
        <v>#N/A</v>
      </c>
      <c r="BD893" s="136">
        <f t="shared" si="192"/>
        <v>9.8711537947537547E-3</v>
      </c>
      <c r="BE893" s="136">
        <f t="shared" si="188"/>
        <v>8.8711537947537555E-3</v>
      </c>
      <c r="BF893" s="136" t="e">
        <f t="shared" si="189"/>
        <v>#N/A</v>
      </c>
      <c r="BG893" s="136" t="e">
        <f t="shared" si="190"/>
        <v>#N/A</v>
      </c>
    </row>
    <row r="894" spans="47:59" ht="11.25" customHeight="1">
      <c r="AU894" s="136">
        <f t="shared" si="180"/>
        <v>0.99683328372264124</v>
      </c>
      <c r="AV894" s="136">
        <f t="shared" si="191"/>
        <v>2.7299999999999023</v>
      </c>
      <c r="AW894" s="136">
        <f t="shared" si="181"/>
        <v>9.605796763542146E-3</v>
      </c>
      <c r="AX894" s="136" t="e">
        <f t="shared" si="182"/>
        <v>#N/A</v>
      </c>
      <c r="AY894" s="136">
        <f t="shared" si="183"/>
        <v>2.7299899999999022</v>
      </c>
      <c r="AZ894" s="136">
        <f t="shared" si="184"/>
        <v>2.7300099999999023</v>
      </c>
      <c r="BA894" s="136">
        <f t="shared" si="185"/>
        <v>0.94396607252409803</v>
      </c>
      <c r="BB894" s="136">
        <f t="shared" si="186"/>
        <v>0.94396676067296559</v>
      </c>
      <c r="BC894" s="136" t="e">
        <f t="shared" si="187"/>
        <v>#N/A</v>
      </c>
      <c r="BD894" s="136">
        <f t="shared" si="192"/>
        <v>9.605796763542146E-3</v>
      </c>
      <c r="BE894" s="136">
        <f t="shared" si="188"/>
        <v>8.6057967635421451E-3</v>
      </c>
      <c r="BF894" s="136" t="e">
        <f t="shared" si="189"/>
        <v>#N/A</v>
      </c>
      <c r="BG894" s="136" t="e">
        <f t="shared" si="190"/>
        <v>#N/A</v>
      </c>
    </row>
    <row r="895" spans="47:59" ht="11.25" customHeight="1">
      <c r="AU895" s="136">
        <f t="shared" si="180"/>
        <v>0.99692804078134822</v>
      </c>
      <c r="AV895" s="136">
        <f t="shared" si="191"/>
        <v>2.7399999999999021</v>
      </c>
      <c r="AW895" s="136">
        <f t="shared" si="181"/>
        <v>9.3466383676147919E-3</v>
      </c>
      <c r="AX895" s="136" t="e">
        <f t="shared" si="182"/>
        <v>#N/A</v>
      </c>
      <c r="AY895" s="136">
        <f t="shared" si="183"/>
        <v>2.739989999999902</v>
      </c>
      <c r="AZ895" s="136">
        <f t="shared" si="184"/>
        <v>2.7400099999999021</v>
      </c>
      <c r="BA895" s="136">
        <f t="shared" si="185"/>
        <v>0.9443086647291562</v>
      </c>
      <c r="BB895" s="136">
        <f t="shared" si="186"/>
        <v>0.9443093469478917</v>
      </c>
      <c r="BC895" s="136" t="e">
        <f t="shared" si="187"/>
        <v>#N/A</v>
      </c>
      <c r="BD895" s="136">
        <f t="shared" si="192"/>
        <v>9.3466383676147919E-3</v>
      </c>
      <c r="BE895" s="136">
        <f t="shared" si="188"/>
        <v>8.3466383676147927E-3</v>
      </c>
      <c r="BF895" s="136" t="e">
        <f t="shared" si="189"/>
        <v>#N/A</v>
      </c>
      <c r="BG895" s="136" t="e">
        <f t="shared" si="190"/>
        <v>#N/A</v>
      </c>
    </row>
    <row r="896" spans="47:59" ht="11.25" customHeight="1">
      <c r="AU896" s="136">
        <f t="shared" si="180"/>
        <v>0.99702023676494456</v>
      </c>
      <c r="AV896" s="136">
        <f t="shared" si="191"/>
        <v>2.7499999999999019</v>
      </c>
      <c r="AW896" s="136">
        <f t="shared" si="181"/>
        <v>9.0935625015935075E-3</v>
      </c>
      <c r="AX896" s="136" t="e">
        <f t="shared" si="182"/>
        <v>#N/A</v>
      </c>
      <c r="AY896" s="136">
        <f t="shared" si="183"/>
        <v>2.7499899999999018</v>
      </c>
      <c r="AZ896" s="136">
        <f t="shared" si="184"/>
        <v>2.7500099999999019</v>
      </c>
      <c r="BA896" s="136">
        <f t="shared" si="185"/>
        <v>0.94464830773546205</v>
      </c>
      <c r="BB896" s="136">
        <f t="shared" si="186"/>
        <v>0.94464898408753095</v>
      </c>
      <c r="BC896" s="136" t="e">
        <f t="shared" si="187"/>
        <v>#N/A</v>
      </c>
      <c r="BD896" s="136">
        <f t="shared" si="192"/>
        <v>9.0935625015935075E-3</v>
      </c>
      <c r="BE896" s="136">
        <f t="shared" si="188"/>
        <v>8.0935625015935084E-3</v>
      </c>
      <c r="BF896" s="136" t="e">
        <f t="shared" si="189"/>
        <v>#N/A</v>
      </c>
      <c r="BG896" s="136" t="e">
        <f t="shared" si="190"/>
        <v>#N/A</v>
      </c>
    </row>
    <row r="897" spans="47:59" ht="11.25" customHeight="1">
      <c r="AU897" s="136">
        <f t="shared" si="180"/>
        <v>0.99710993192377284</v>
      </c>
      <c r="AV897" s="136">
        <f t="shared" si="191"/>
        <v>2.7599999999999016</v>
      </c>
      <c r="AW897" s="136">
        <f t="shared" si="181"/>
        <v>8.8464543982396272E-3</v>
      </c>
      <c r="AX897" s="136" t="e">
        <f t="shared" si="182"/>
        <v>#N/A</v>
      </c>
      <c r="AY897" s="136">
        <f t="shared" si="183"/>
        <v>2.7599899999999016</v>
      </c>
      <c r="AZ897" s="136">
        <f t="shared" si="184"/>
        <v>2.7600099999999017</v>
      </c>
      <c r="BA897" s="136">
        <f t="shared" si="185"/>
        <v>0.94498503308105031</v>
      </c>
      <c r="BB897" s="136">
        <f t="shared" si="186"/>
        <v>0.94498570362913925</v>
      </c>
      <c r="BC897" s="136" t="e">
        <f t="shared" si="187"/>
        <v>#N/A</v>
      </c>
      <c r="BD897" s="136">
        <f t="shared" si="192"/>
        <v>8.8464543982396272E-3</v>
      </c>
      <c r="BE897" s="136">
        <f t="shared" si="188"/>
        <v>7.846454398239628E-3</v>
      </c>
      <c r="BF897" s="136" t="e">
        <f t="shared" si="189"/>
        <v>#N/A</v>
      </c>
      <c r="BG897" s="136" t="e">
        <f t="shared" si="190"/>
        <v>#N/A</v>
      </c>
    </row>
    <row r="898" spans="47:59" ht="11.25" customHeight="1">
      <c r="AU898" s="136">
        <f t="shared" si="180"/>
        <v>0.99719718536723401</v>
      </c>
      <c r="AV898" s="136">
        <f t="shared" si="191"/>
        <v>2.7699999999999014</v>
      </c>
      <c r="AW898" s="136">
        <f t="shared" si="181"/>
        <v>8.605200637502022E-3</v>
      </c>
      <c r="AX898" s="136" t="e">
        <f t="shared" si="182"/>
        <v>#N/A</v>
      </c>
      <c r="AY898" s="136">
        <f t="shared" si="183"/>
        <v>2.7699899999999014</v>
      </c>
      <c r="AZ898" s="136">
        <f t="shared" si="184"/>
        <v>2.7700099999999015</v>
      </c>
      <c r="BA898" s="136">
        <f t="shared" si="185"/>
        <v>0.94531887191707109</v>
      </c>
      <c r="BB898" s="136">
        <f t="shared" si="186"/>
        <v>0.94531953672309821</v>
      </c>
      <c r="BC898" s="136" t="e">
        <f t="shared" si="187"/>
        <v>#N/A</v>
      </c>
      <c r="BD898" s="136">
        <f t="shared" si="192"/>
        <v>8.605200637502022E-3</v>
      </c>
      <c r="BE898" s="136">
        <f t="shared" si="188"/>
        <v>7.605200637502022E-3</v>
      </c>
      <c r="BF898" s="136" t="e">
        <f t="shared" si="189"/>
        <v>#N/A</v>
      </c>
      <c r="BG898" s="136" t="e">
        <f t="shared" si="190"/>
        <v>#N/A</v>
      </c>
    </row>
    <row r="899" spans="47:59" ht="11.25" customHeight="1">
      <c r="AU899" s="136">
        <f t="shared" si="180"/>
        <v>0.99728205507729784</v>
      </c>
      <c r="AV899" s="136">
        <f t="shared" si="191"/>
        <v>2.7799999999999012</v>
      </c>
      <c r="AW899" s="136">
        <f t="shared" si="181"/>
        <v>8.3696891546553263E-3</v>
      </c>
      <c r="AX899" s="136" t="e">
        <f t="shared" si="182"/>
        <v>#N/A</v>
      </c>
      <c r="AY899" s="136">
        <f t="shared" si="183"/>
        <v>2.7799899999999012</v>
      </c>
      <c r="AZ899" s="136">
        <f t="shared" si="184"/>
        <v>2.7800099999999013</v>
      </c>
      <c r="BA899" s="136">
        <f t="shared" si="185"/>
        <v>0.94564985501285426</v>
      </c>
      <c r="BB899" s="136">
        <f t="shared" si="186"/>
        <v>0.94565051413797896</v>
      </c>
      <c r="BC899" s="136" t="e">
        <f t="shared" si="187"/>
        <v>#N/A</v>
      </c>
      <c r="BD899" s="136">
        <f t="shared" si="192"/>
        <v>8.3696891546553263E-3</v>
      </c>
      <c r="BE899" s="136">
        <f t="shared" si="188"/>
        <v>7.3696891546553263E-3</v>
      </c>
      <c r="BF899" s="136" t="e">
        <f t="shared" si="189"/>
        <v>#N/A</v>
      </c>
      <c r="BG899" s="136" t="e">
        <f t="shared" si="190"/>
        <v>#N/A</v>
      </c>
    </row>
    <row r="900" spans="47:59" ht="11.25" customHeight="1">
      <c r="AU900" s="136">
        <f t="shared" si="180"/>
        <v>0.99736459792209442</v>
      </c>
      <c r="AV900" s="136">
        <f t="shared" si="191"/>
        <v>2.789999999999901</v>
      </c>
      <c r="AW900" s="136">
        <f t="shared" si="181"/>
        <v>8.1398092475482679E-3</v>
      </c>
      <c r="AX900" s="136" t="e">
        <f t="shared" si="182"/>
        <v>#N/A</v>
      </c>
      <c r="AY900" s="136">
        <f t="shared" si="183"/>
        <v>2.7899899999999009</v>
      </c>
      <c r="AZ900" s="136">
        <f t="shared" si="184"/>
        <v>2.7900099999999011</v>
      </c>
      <c r="BA900" s="136">
        <f t="shared" si="185"/>
        <v>0.94597801276091054</v>
      </c>
      <c r="BB900" s="136">
        <f t="shared" si="186"/>
        <v>0.94597866626554361</v>
      </c>
      <c r="BC900" s="136" t="e">
        <f t="shared" si="187"/>
        <v>#N/A</v>
      </c>
      <c r="BD900" s="136">
        <f t="shared" si="192"/>
        <v>8.1398092475482679E-3</v>
      </c>
      <c r="BE900" s="136">
        <f t="shared" si="188"/>
        <v>7.1398092475482679E-3</v>
      </c>
      <c r="BF900" s="136" t="e">
        <f t="shared" si="189"/>
        <v>#N/A</v>
      </c>
      <c r="BG900" s="136" t="e">
        <f t="shared" si="190"/>
        <v>#N/A</v>
      </c>
    </row>
    <row r="901" spans="47:59" ht="11.25" customHeight="1">
      <c r="AU901" s="136">
        <f t="shared" si="180"/>
        <v>0.99744486966957124</v>
      </c>
      <c r="AV901" s="136">
        <f t="shared" si="191"/>
        <v>2.7999999999999008</v>
      </c>
      <c r="AW901" s="136">
        <f t="shared" si="181"/>
        <v>7.9154515829821595E-3</v>
      </c>
      <c r="AX901" s="136" t="e">
        <f t="shared" si="182"/>
        <v>#N/A</v>
      </c>
      <c r="AY901" s="136">
        <f t="shared" si="183"/>
        <v>2.7999899999999007</v>
      </c>
      <c r="AZ901" s="136">
        <f t="shared" si="184"/>
        <v>2.8000099999999009</v>
      </c>
      <c r="BA901" s="136">
        <f t="shared" si="185"/>
        <v>0.94630337518186991</v>
      </c>
      <c r="BB901" s="136">
        <f t="shared" si="186"/>
        <v>0.94630402312568318</v>
      </c>
      <c r="BC901" s="136" t="e">
        <f t="shared" si="187"/>
        <v>#N/A</v>
      </c>
      <c r="BD901" s="136">
        <f t="shared" si="192"/>
        <v>7.9154515829821595E-3</v>
      </c>
      <c r="BE901" s="136">
        <f t="shared" si="188"/>
        <v>6.9154515829821595E-3</v>
      </c>
      <c r="BF901" s="136" t="e">
        <f t="shared" si="189"/>
        <v>#N/A</v>
      </c>
      <c r="BG901" s="136" t="e">
        <f t="shared" si="190"/>
        <v>#N/A</v>
      </c>
    </row>
    <row r="902" spans="47:59" ht="11.25" customHeight="1">
      <c r="AU902" s="136">
        <f t="shared" si="180"/>
        <v>0.99752292500121353</v>
      </c>
      <c r="AV902" s="136">
        <f t="shared" si="191"/>
        <v>2.8099999999999006</v>
      </c>
      <c r="AW902" s="136">
        <f t="shared" si="181"/>
        <v>7.6965082022394738E-3</v>
      </c>
      <c r="AX902" s="136" t="e">
        <f t="shared" si="182"/>
        <v>#N/A</v>
      </c>
      <c r="AY902" s="136">
        <f t="shared" si="183"/>
        <v>2.8099899999999005</v>
      </c>
      <c r="AZ902" s="136">
        <f t="shared" si="184"/>
        <v>2.8100099999999006</v>
      </c>
      <c r="BA902" s="136">
        <f t="shared" si="185"/>
        <v>0.94662597192935694</v>
      </c>
      <c r="BB902" s="136">
        <f t="shared" si="186"/>
        <v>0.94662661437129325</v>
      </c>
      <c r="BC902" s="136" t="e">
        <f t="shared" si="187"/>
        <v>#N/A</v>
      </c>
      <c r="BD902" s="136">
        <f t="shared" si="192"/>
        <v>7.6965082022394738E-3</v>
      </c>
      <c r="BE902" s="136">
        <f t="shared" si="188"/>
        <v>6.6965082022394738E-3</v>
      </c>
      <c r="BF902" s="136" t="e">
        <f t="shared" si="189"/>
        <v>#N/A</v>
      </c>
      <c r="BG902" s="136" t="e">
        <f t="shared" si="190"/>
        <v>#N/A</v>
      </c>
    </row>
    <row r="903" spans="47:59" ht="11.25" customHeight="1">
      <c r="AU903" s="136">
        <f t="shared" si="180"/>
        <v>0.99759881752580992</v>
      </c>
      <c r="AV903" s="136">
        <f t="shared" si="191"/>
        <v>2.8199999999999004</v>
      </c>
      <c r="AW903" s="136">
        <f t="shared" si="181"/>
        <v>7.4828725257826629E-3</v>
      </c>
      <c r="AX903" s="136" t="e">
        <f t="shared" si="182"/>
        <v>#N/A</v>
      </c>
      <c r="AY903" s="136">
        <f t="shared" si="183"/>
        <v>2.8199899999999003</v>
      </c>
      <c r="AZ903" s="136">
        <f t="shared" si="184"/>
        <v>2.8200099999999004</v>
      </c>
      <c r="BA903" s="136">
        <f t="shared" si="185"/>
        <v>0.94694583229480422</v>
      </c>
      <c r="BB903" s="136">
        <f t="shared" si="186"/>
        <v>0.94694646929308679</v>
      </c>
      <c r="BC903" s="136" t="e">
        <f t="shared" si="187"/>
        <v>#N/A</v>
      </c>
      <c r="BD903" s="136">
        <f t="shared" si="192"/>
        <v>7.4828725257826629E-3</v>
      </c>
      <c r="BE903" s="136">
        <f t="shared" si="188"/>
        <v>6.4828725257826628E-3</v>
      </c>
      <c r="BF903" s="136" t="e">
        <f t="shared" si="189"/>
        <v>#N/A</v>
      </c>
      <c r="BG903" s="136" t="e">
        <f t="shared" si="190"/>
        <v>#N/A</v>
      </c>
    </row>
    <row r="904" spans="47:59" ht="11.25" customHeight="1">
      <c r="AU904" s="136">
        <f t="shared" si="180"/>
        <v>0.9976725997932675</v>
      </c>
      <c r="AV904" s="136">
        <f t="shared" si="191"/>
        <v>2.8299999999999002</v>
      </c>
      <c r="AW904" s="136">
        <f t="shared" si="181"/>
        <v>7.2744393571432713E-3</v>
      </c>
      <c r="AX904" s="136" t="e">
        <f t="shared" si="182"/>
        <v>#N/A</v>
      </c>
      <c r="AY904" s="136">
        <f t="shared" si="183"/>
        <v>2.8299899999999001</v>
      </c>
      <c r="AZ904" s="136">
        <f t="shared" si="184"/>
        <v>2.8300099999999002</v>
      </c>
      <c r="BA904" s="136">
        <f t="shared" si="185"/>
        <v>0.94726298521220542</v>
      </c>
      <c r="BB904" s="136">
        <f t="shared" si="186"/>
        <v>0.94726361682434701</v>
      </c>
      <c r="BC904" s="136" t="e">
        <f t="shared" si="187"/>
        <v>#N/A</v>
      </c>
      <c r="BD904" s="136">
        <f t="shared" si="192"/>
        <v>7.2744393571432713E-3</v>
      </c>
      <c r="BE904" s="136">
        <f t="shared" si="188"/>
        <v>6.2744393571432713E-3</v>
      </c>
      <c r="BF904" s="136" t="e">
        <f t="shared" si="189"/>
        <v>#N/A</v>
      </c>
      <c r="BG904" s="136" t="e">
        <f t="shared" si="190"/>
        <v>#N/A</v>
      </c>
    </row>
    <row r="905" spans="47:59" ht="11.25" customHeight="1">
      <c r="AU905" s="136">
        <f t="shared" si="180"/>
        <v>0.99774432330845686</v>
      </c>
      <c r="AV905" s="136">
        <f t="shared" si="191"/>
        <v>2.8399999999998999</v>
      </c>
      <c r="AW905" s="136">
        <f t="shared" si="181"/>
        <v>7.0711048860214575E-3</v>
      </c>
      <c r="AX905" s="136" t="e">
        <f t="shared" si="182"/>
        <v>#N/A</v>
      </c>
      <c r="AY905" s="136">
        <f t="shared" si="183"/>
        <v>2.8399899999998999</v>
      </c>
      <c r="AZ905" s="136">
        <f t="shared" si="184"/>
        <v>2.8400099999999</v>
      </c>
      <c r="BA905" s="136">
        <f t="shared" si="185"/>
        <v>0.94757745926280601</v>
      </c>
      <c r="BB905" s="136">
        <f t="shared" si="186"/>
        <v>0.94757808554561884</v>
      </c>
      <c r="BC905" s="136" t="e">
        <f t="shared" si="187"/>
        <v>#N/A</v>
      </c>
      <c r="BD905" s="136">
        <f t="shared" si="192"/>
        <v>7.0711048860214575E-3</v>
      </c>
      <c r="BE905" s="136">
        <f t="shared" si="188"/>
        <v>6.0711048860214575E-3</v>
      </c>
      <c r="BF905" s="136" t="e">
        <f t="shared" si="189"/>
        <v>#N/A</v>
      </c>
      <c r="BG905" s="136" t="e">
        <f t="shared" si="190"/>
        <v>#N/A</v>
      </c>
    </row>
    <row r="906" spans="47:59" ht="11.25" customHeight="1">
      <c r="AU906" s="136">
        <f t="shared" si="180"/>
        <v>0.99781403854508588</v>
      </c>
      <c r="AV906" s="136">
        <f t="shared" si="191"/>
        <v>2.8499999999998997</v>
      </c>
      <c r="AW906" s="136">
        <f t="shared" si="181"/>
        <v>6.8727666906159349E-3</v>
      </c>
      <c r="AX906" s="136" t="e">
        <f t="shared" si="182"/>
        <v>#N/A</v>
      </c>
      <c r="AY906" s="136">
        <f t="shared" si="183"/>
        <v>2.8499899999998997</v>
      </c>
      <c r="AZ906" s="136">
        <f t="shared" si="184"/>
        <v>2.8500099999998998</v>
      </c>
      <c r="BA906" s="136">
        <f t="shared" si="185"/>
        <v>0.94788928267973471</v>
      </c>
      <c r="BB906" s="136">
        <f t="shared" si="186"/>
        <v>0.94788990368933945</v>
      </c>
      <c r="BC906" s="136" t="e">
        <f t="shared" si="187"/>
        <v>#N/A</v>
      </c>
      <c r="BD906" s="136">
        <f t="shared" si="192"/>
        <v>6.8727666906159349E-3</v>
      </c>
      <c r="BE906" s="136">
        <f t="shared" si="188"/>
        <v>5.8727666906159348E-3</v>
      </c>
      <c r="BF906" s="136" t="e">
        <f t="shared" si="189"/>
        <v>#N/A</v>
      </c>
      <c r="BG906" s="136" t="e">
        <f t="shared" si="190"/>
        <v>#N/A</v>
      </c>
    </row>
    <row r="907" spans="47:59" ht="11.25" customHeight="1">
      <c r="AU907" s="136">
        <f t="shared" si="180"/>
        <v>0.99788179495959495</v>
      </c>
      <c r="AV907" s="136">
        <f t="shared" si="191"/>
        <v>2.8599999999998995</v>
      </c>
      <c r="AW907" s="136">
        <f t="shared" si="181"/>
        <v>6.6793237392045362E-3</v>
      </c>
      <c r="AX907" s="136" t="e">
        <f t="shared" si="182"/>
        <v>#N/A</v>
      </c>
      <c r="AY907" s="136">
        <f t="shared" si="183"/>
        <v>2.8599899999998994</v>
      </c>
      <c r="AZ907" s="136">
        <f t="shared" si="184"/>
        <v>2.8600099999998996</v>
      </c>
      <c r="BA907" s="136">
        <f t="shared" si="185"/>
        <v>0.94819848335257562</v>
      </c>
      <c r="BB907" s="136">
        <f t="shared" si="186"/>
        <v>0.94819909914441003</v>
      </c>
      <c r="BC907" s="136" t="e">
        <f t="shared" si="187"/>
        <v>#N/A</v>
      </c>
      <c r="BD907" s="136">
        <f t="shared" si="192"/>
        <v>6.6793237392045362E-3</v>
      </c>
      <c r="BE907" s="136">
        <f t="shared" si="188"/>
        <v>5.6793237392045361E-3</v>
      </c>
      <c r="BF907" s="136" t="e">
        <f t="shared" si="189"/>
        <v>#N/A</v>
      </c>
      <c r="BG907" s="136" t="e">
        <f t="shared" si="190"/>
        <v>#N/A</v>
      </c>
    </row>
    <row r="908" spans="47:59" ht="11.25" customHeight="1">
      <c r="AU908" s="136">
        <f t="shared" si="180"/>
        <v>0.99794764100505984</v>
      </c>
      <c r="AV908" s="136">
        <f t="shared" si="191"/>
        <v>2.8699999999998993</v>
      </c>
      <c r="AW908" s="136">
        <f t="shared" si="181"/>
        <v>6.4906763909952422E-3</v>
      </c>
      <c r="AX908" s="136" t="e">
        <f t="shared" si="182"/>
        <v>#N/A</v>
      </c>
      <c r="AY908" s="136">
        <f t="shared" si="183"/>
        <v>2.8699899999998992</v>
      </c>
      <c r="AZ908" s="136">
        <f t="shared" si="184"/>
        <v>2.8700099999998994</v>
      </c>
      <c r="BA908" s="136">
        <f t="shared" si="185"/>
        <v>0.94850508883188023</v>
      </c>
      <c r="BB908" s="136">
        <f t="shared" si="186"/>
        <v>0.94850569946070873</v>
      </c>
      <c r="BC908" s="136" t="e">
        <f t="shared" si="187"/>
        <v>#N/A</v>
      </c>
      <c r="BD908" s="136">
        <f t="shared" si="192"/>
        <v>6.4906763909952422E-3</v>
      </c>
      <c r="BE908" s="136">
        <f t="shared" si="188"/>
        <v>5.4906763909952421E-3</v>
      </c>
      <c r="BF908" s="136" t="e">
        <f t="shared" si="189"/>
        <v>#N/A</v>
      </c>
      <c r="BG908" s="136" t="e">
        <f t="shared" si="190"/>
        <v>#N/A</v>
      </c>
    </row>
    <row r="909" spans="47:59" ht="11.25" customHeight="1">
      <c r="AU909" s="136">
        <f t="shared" si="180"/>
        <v>0.9980116241451048</v>
      </c>
      <c r="AV909" s="136">
        <f t="shared" si="191"/>
        <v>2.8799999999998991</v>
      </c>
      <c r="AW909" s="136">
        <f t="shared" si="181"/>
        <v>6.3067263962677585E-3</v>
      </c>
      <c r="AX909" s="136" t="e">
        <f t="shared" si="182"/>
        <v>#N/A</v>
      </c>
      <c r="AY909" s="136">
        <f t="shared" si="183"/>
        <v>2.879989999999899</v>
      </c>
      <c r="AZ909" s="136">
        <f t="shared" si="184"/>
        <v>2.8800099999998992</v>
      </c>
      <c r="BA909" s="136">
        <f t="shared" si="185"/>
        <v>0.9488091263336218</v>
      </c>
      <c r="BB909" s="136">
        <f t="shared" si="186"/>
        <v>0.948809731853544</v>
      </c>
      <c r="BC909" s="136" t="e">
        <f t="shared" si="187"/>
        <v>#N/A</v>
      </c>
      <c r="BD909" s="136">
        <f t="shared" si="192"/>
        <v>6.3067263962677585E-3</v>
      </c>
      <c r="BE909" s="136">
        <f t="shared" si="188"/>
        <v>5.3067263962677585E-3</v>
      </c>
      <c r="BF909" s="136" t="e">
        <f t="shared" si="189"/>
        <v>#N/A</v>
      </c>
      <c r="BG909" s="136" t="e">
        <f t="shared" si="190"/>
        <v>#N/A</v>
      </c>
    </row>
    <row r="910" spans="47:59" ht="11.25" customHeight="1">
      <c r="AU910" s="136">
        <f t="shared" si="180"/>
        <v>0.99807379086781134</v>
      </c>
      <c r="AV910" s="136">
        <f t="shared" si="191"/>
        <v>2.8899999999998989</v>
      </c>
      <c r="AW910" s="136">
        <f t="shared" si="181"/>
        <v>6.1273768958254766E-3</v>
      </c>
      <c r="AX910" s="136" t="e">
        <f t="shared" si="182"/>
        <v>#N/A</v>
      </c>
      <c r="AY910" s="136">
        <f t="shared" si="183"/>
        <v>2.8899899999998988</v>
      </c>
      <c r="AZ910" s="136">
        <f t="shared" si="184"/>
        <v>2.8900099999998989</v>
      </c>
      <c r="BA910" s="136">
        <f t="shared" si="185"/>
        <v>0.94911062274359148</v>
      </c>
      <c r="BB910" s="136">
        <f t="shared" si="186"/>
        <v>0.94911122320805119</v>
      </c>
      <c r="BC910" s="136" t="e">
        <f t="shared" si="187"/>
        <v>#N/A</v>
      </c>
      <c r="BD910" s="136">
        <f t="shared" si="192"/>
        <v>6.1273768958254766E-3</v>
      </c>
      <c r="BE910" s="136">
        <f t="shared" si="188"/>
        <v>5.1273768958254766E-3</v>
      </c>
      <c r="BF910" s="136" t="e">
        <f t="shared" si="189"/>
        <v>#N/A</v>
      </c>
      <c r="BG910" s="136" t="e">
        <f t="shared" si="190"/>
        <v>#N/A</v>
      </c>
    </row>
    <row r="911" spans="47:59" ht="11.25" customHeight="1">
      <c r="AU911" s="136">
        <f t="shared" si="180"/>
        <v>0.9981341866996154</v>
      </c>
      <c r="AV911" s="136">
        <f t="shared" si="191"/>
        <v>2.8999999999998987</v>
      </c>
      <c r="AW911" s="136">
        <f t="shared" si="181"/>
        <v>5.9525324197776033E-3</v>
      </c>
      <c r="AX911" s="136" t="e">
        <f t="shared" si="182"/>
        <v>#N/A</v>
      </c>
      <c r="AY911" s="136">
        <f t="shared" si="183"/>
        <v>2.8999899999998986</v>
      </c>
      <c r="AZ911" s="136">
        <f t="shared" si="184"/>
        <v>2.9000099999998987</v>
      </c>
      <c r="BA911" s="136">
        <f t="shared" si="185"/>
        <v>0.94940960462173751</v>
      </c>
      <c r="BB911" s="136">
        <f t="shared" si="186"/>
        <v>0.94941020008353094</v>
      </c>
      <c r="BC911" s="136" t="e">
        <f t="shared" si="187"/>
        <v>#N/A</v>
      </c>
      <c r="BD911" s="136">
        <f t="shared" si="192"/>
        <v>5.9525324197776033E-3</v>
      </c>
      <c r="BE911" s="136">
        <f t="shared" si="188"/>
        <v>4.9525324197776032E-3</v>
      </c>
      <c r="BF911" s="136" t="e">
        <f t="shared" si="189"/>
        <v>#N/A</v>
      </c>
      <c r="BG911" s="136" t="e">
        <f t="shared" si="190"/>
        <v>#N/A</v>
      </c>
    </row>
    <row r="912" spans="47:59" ht="11.25" customHeight="1">
      <c r="AU912" s="136">
        <f t="shared" si="180"/>
        <v>0.99819285621919329</v>
      </c>
      <c r="AV912" s="136">
        <f t="shared" si="191"/>
        <v>2.9099999999998984</v>
      </c>
      <c r="AW912" s="136">
        <f t="shared" si="181"/>
        <v>5.7820988856711868E-3</v>
      </c>
      <c r="AX912" s="136" t="e">
        <f t="shared" si="182"/>
        <v>#N/A</v>
      </c>
      <c r="AY912" s="136">
        <f t="shared" si="183"/>
        <v>2.9099899999998984</v>
      </c>
      <c r="AZ912" s="136">
        <f t="shared" si="184"/>
        <v>2.9100099999998985</v>
      </c>
      <c r="BA912" s="136">
        <f t="shared" si="185"/>
        <v>0.94970609820644758</v>
      </c>
      <c r="BB912" s="136">
        <f t="shared" si="186"/>
        <v>0.94970668871773201</v>
      </c>
      <c r="BC912" s="136" t="e">
        <f t="shared" si="187"/>
        <v>#N/A</v>
      </c>
      <c r="BD912" s="136">
        <f t="shared" si="192"/>
        <v>5.7820988856711868E-3</v>
      </c>
      <c r="BE912" s="136">
        <f t="shared" si="188"/>
        <v>4.7820988856711868E-3</v>
      </c>
      <c r="BF912" s="136" t="e">
        <f t="shared" si="189"/>
        <v>#N/A</v>
      </c>
      <c r="BG912" s="136" t="e">
        <f t="shared" si="190"/>
        <v>#N/A</v>
      </c>
    </row>
    <row r="913" spans="47:59" ht="11.25" customHeight="1">
      <c r="AU913" s="136">
        <f t="shared" si="180"/>
        <v>0.99824984307132369</v>
      </c>
      <c r="AV913" s="136">
        <f t="shared" si="191"/>
        <v>2.9199999999998982</v>
      </c>
      <c r="AW913" s="136">
        <f t="shared" si="181"/>
        <v>5.6159835959926335E-3</v>
      </c>
      <c r="AX913" s="136" t="e">
        <f t="shared" si="182"/>
        <v>#N/A</v>
      </c>
      <c r="AY913" s="136">
        <f t="shared" si="183"/>
        <v>2.9199899999998982</v>
      </c>
      <c r="AZ913" s="136">
        <f t="shared" si="184"/>
        <v>2.9200099999998983</v>
      </c>
      <c r="BA913" s="136">
        <f t="shared" si="185"/>
        <v>0.95000012941877432</v>
      </c>
      <c r="BB913" s="136">
        <f t="shared" si="186"/>
        <v>0.95000071503107686</v>
      </c>
      <c r="BC913" s="136" t="e">
        <f t="shared" si="187"/>
        <v>#N/A</v>
      </c>
      <c r="BD913" s="136">
        <f t="shared" si="192"/>
        <v>5.6159835959926335E-3</v>
      </c>
      <c r="BE913" s="136">
        <f t="shared" si="188"/>
        <v>4.6159835959926334E-3</v>
      </c>
      <c r="BF913" s="136" t="e">
        <f t="shared" si="189"/>
        <v>#N/A</v>
      </c>
      <c r="BG913" s="136" t="e">
        <f t="shared" si="190"/>
        <v>#N/A</v>
      </c>
    </row>
    <row r="914" spans="47:59" ht="11.25" customHeight="1">
      <c r="AU914" s="136">
        <f t="shared" si="180"/>
        <v>0.99830518998072215</v>
      </c>
      <c r="AV914" s="136">
        <f t="shared" si="191"/>
        <v>2.929999999999898</v>
      </c>
      <c r="AW914" s="136">
        <f t="shared" si="181"/>
        <v>5.4540952350581777E-3</v>
      </c>
      <c r="AX914" s="136" t="e">
        <f t="shared" si="182"/>
        <v>#N/A</v>
      </c>
      <c r="AY914" s="136">
        <f t="shared" si="183"/>
        <v>2.929989999999898</v>
      </c>
      <c r="AZ914" s="136">
        <f t="shared" si="184"/>
        <v>2.9300099999998981</v>
      </c>
      <c r="BA914" s="136">
        <f t="shared" si="185"/>
        <v>0.95029172386660699</v>
      </c>
      <c r="BB914" s="136">
        <f t="shared" si="186"/>
        <v>0.95029230463083236</v>
      </c>
      <c r="BC914" s="136" t="e">
        <f t="shared" si="187"/>
        <v>#N/A</v>
      </c>
      <c r="BD914" s="136">
        <f t="shared" si="192"/>
        <v>5.4540952350581777E-3</v>
      </c>
      <c r="BE914" s="136">
        <f t="shared" si="188"/>
        <v>4.4540952350581777E-3</v>
      </c>
      <c r="BF914" s="136" t="e">
        <f t="shared" si="189"/>
        <v>#N/A</v>
      </c>
      <c r="BG914" s="136" t="e">
        <f t="shared" si="190"/>
        <v>#N/A</v>
      </c>
    </row>
    <row r="915" spans="47:59" ht="11.25" customHeight="1">
      <c r="AU915" s="136">
        <f t="shared" si="180"/>
        <v>0.99835893876584259</v>
      </c>
      <c r="AV915" s="136">
        <f t="shared" si="191"/>
        <v>2.9399999999998978</v>
      </c>
      <c r="AW915" s="136">
        <f t="shared" si="181"/>
        <v>5.2963438653126091E-3</v>
      </c>
      <c r="AX915" s="136" t="e">
        <f t="shared" si="182"/>
        <v>#N/A</v>
      </c>
      <c r="AY915" s="136">
        <f t="shared" si="183"/>
        <v>2.9399899999998977</v>
      </c>
      <c r="AZ915" s="136">
        <f t="shared" si="184"/>
        <v>2.9400099999998979</v>
      </c>
      <c r="BA915" s="136">
        <f t="shared" si="185"/>
        <v>0.95058090684878671</v>
      </c>
      <c r="BB915" s="136">
        <f t="shared" si="186"/>
        <v>0.95058148281522559</v>
      </c>
      <c r="BC915" s="136" t="e">
        <f t="shared" si="187"/>
        <v>#N/A</v>
      </c>
      <c r="BD915" s="136">
        <f t="shared" si="192"/>
        <v>5.2963438653126091E-3</v>
      </c>
      <c r="BE915" s="136">
        <f t="shared" si="188"/>
        <v>4.2963438653126091E-3</v>
      </c>
      <c r="BF915" s="136" t="e">
        <f t="shared" si="189"/>
        <v>#N/A</v>
      </c>
      <c r="BG915" s="136" t="e">
        <f t="shared" si="190"/>
        <v>#N/A</v>
      </c>
    </row>
    <row r="916" spans="47:59" ht="11.25" customHeight="1">
      <c r="AU916" s="136">
        <f t="shared" si="180"/>
        <v>0.99841113035263429</v>
      </c>
      <c r="AV916" s="136">
        <f t="shared" si="191"/>
        <v>2.9499999999998976</v>
      </c>
      <c r="AW916" s="136">
        <f t="shared" si="181"/>
        <v>5.1426409230554918E-3</v>
      </c>
      <c r="AX916" s="136" t="e">
        <f t="shared" si="182"/>
        <v>#N/A</v>
      </c>
      <c r="AY916" s="136">
        <f t="shared" si="183"/>
        <v>2.9499899999998975</v>
      </c>
      <c r="AZ916" s="136">
        <f t="shared" si="184"/>
        <v>2.9500099999998977</v>
      </c>
      <c r="BA916" s="136">
        <f t="shared" si="185"/>
        <v>0.95086770335916793</v>
      </c>
      <c r="BB916" s="136">
        <f t="shared" si="186"/>
        <v>0.95086827457750511</v>
      </c>
      <c r="BC916" s="136" t="e">
        <f t="shared" si="187"/>
        <v>#N/A</v>
      </c>
      <c r="BD916" s="136">
        <f t="shared" si="192"/>
        <v>5.1426409230554918E-3</v>
      </c>
      <c r="BE916" s="136">
        <f t="shared" si="188"/>
        <v>4.1426409230554918E-3</v>
      </c>
      <c r="BF916" s="136" t="e">
        <f t="shared" si="189"/>
        <v>#N/A</v>
      </c>
      <c r="BG916" s="136" t="e">
        <f t="shared" si="190"/>
        <v>#N/A</v>
      </c>
    </row>
    <row r="917" spans="47:59" ht="11.25" customHeight="1">
      <c r="AU917" s="136">
        <f t="shared" ref="AU917:AU980" si="193">NORMDIST(AV917,$AV$17,$AV$18,TRUE)</f>
        <v>0.99846180478826141</v>
      </c>
      <c r="AV917" s="136">
        <f t="shared" si="191"/>
        <v>2.9599999999998974</v>
      </c>
      <c r="AW917" s="136">
        <f t="shared" ref="AW917:AW980" si="194">IF($AV$13=1,NORMDIST(AV917,$AV$17,$AV$18,FALSE),NA())</f>
        <v>4.9928992136138916E-3</v>
      </c>
      <c r="AX917" s="136" t="e">
        <f t="shared" ref="AX917:AX980" si="195">IF($AV$13=3,NORMDIST(AV917,$AV$17,$AV$18,FALSE),NA())</f>
        <v>#N/A</v>
      </c>
      <c r="AY917" s="136">
        <f t="shared" ref="AY917:AY980" si="196">AV917-$AY$19</f>
        <v>2.9599899999998973</v>
      </c>
      <c r="AZ917" s="136">
        <f t="shared" ref="AZ917:AZ980" si="197">AV917+$AY$19</f>
        <v>2.9600099999998974</v>
      </c>
      <c r="BA917" s="136">
        <f t="shared" ref="BA917:BA980" si="198">IF(AY917&lt;0,TDIST(-AY917,$AV$14,1),1-TDIST(AY917,$AV$14,1))</f>
        <v>0.95115213809062649</v>
      </c>
      <c r="BB917" s="136">
        <f t="shared" ref="BB917:BB980" si="199">IF(AZ917&lt;0,TDIST(-AZ917,$AV$14,1),1-TDIST(AZ917,$AV$14,1))</f>
        <v>0.95115270460994883</v>
      </c>
      <c r="BC917" s="136" t="e">
        <f t="shared" ref="BC917:BC980" si="200">IF($AV$13&gt;1,(BB917-BA917)/(2*$AY$19),NA())</f>
        <v>#N/A</v>
      </c>
      <c r="BD917" s="136">
        <f t="shared" si="192"/>
        <v>4.9928992136138916E-3</v>
      </c>
      <c r="BE917" s="136">
        <f t="shared" ref="BE917:BE980" si="201">IF(ISNUMBER(BD917),BD917-$BE$19,NA())</f>
        <v>3.9928992136138916E-3</v>
      </c>
      <c r="BF917" s="136" t="e">
        <f t="shared" ref="BF917:BF980" si="202">IF($AV$15=1,IF(AV917&gt;=$BF$19,BC917,NA()),IF($AV$15=2,IF(ABS(AV917)&gt;=$BF$19,BC917,NA()),NA()))</f>
        <v>#N/A</v>
      </c>
      <c r="BG917" s="136" t="e">
        <f t="shared" ref="BG917:BG980" si="203">IF(ISNUMBER(BF917),BF917-$BG$19,NA())</f>
        <v>#N/A</v>
      </c>
    </row>
    <row r="918" spans="47:59" ht="11.25" customHeight="1">
      <c r="AU918" s="136">
        <f t="shared" si="193"/>
        <v>0.998511001254762</v>
      </c>
      <c r="AV918" s="136">
        <f t="shared" ref="AV918:AV981" si="204">AV917+$AY$10</f>
        <v>2.9699999999998972</v>
      </c>
      <c r="AW918" s="136">
        <f t="shared" si="194"/>
        <v>4.8470329059804289E-3</v>
      </c>
      <c r="AX918" s="136" t="e">
        <f t="shared" si="195"/>
        <v>#N/A</v>
      </c>
      <c r="AY918" s="136">
        <f t="shared" si="196"/>
        <v>2.9699899999998971</v>
      </c>
      <c r="AZ918" s="136">
        <f t="shared" si="197"/>
        <v>2.9700099999998972</v>
      </c>
      <c r="BA918" s="136">
        <f t="shared" si="198"/>
        <v>0.95143423543901451</v>
      </c>
      <c r="BB918" s="136">
        <f t="shared" si="199"/>
        <v>0.95143479730781866</v>
      </c>
      <c r="BC918" s="136" t="e">
        <f t="shared" si="200"/>
        <v>#N/A</v>
      </c>
      <c r="BD918" s="136">
        <f t="shared" ref="BD918:BD981" si="205">IF($AV$15=1,IF(OR(AND(AV918&gt;=$BD$19,$AS$5&gt;=0),AND(AV918&lt;=$BD$19,$AS$5&lt;0)),AW918,NA()),IF($AV$15=2,IF(ABS(AV918)&gt;=$BD$18,AW918,NA()),NA()))</f>
        <v>4.8470329059804289E-3</v>
      </c>
      <c r="BE918" s="136">
        <f t="shared" si="201"/>
        <v>3.8470329059804289E-3</v>
      </c>
      <c r="BF918" s="136" t="e">
        <f t="shared" si="202"/>
        <v>#N/A</v>
      </c>
      <c r="BG918" s="136" t="e">
        <f t="shared" si="203"/>
        <v>#N/A</v>
      </c>
    </row>
    <row r="919" spans="47:59" ht="11.25" customHeight="1">
      <c r="AU919" s="136">
        <f t="shared" si="193"/>
        <v>0.99855875808265959</v>
      </c>
      <c r="AV919" s="136">
        <f t="shared" si="204"/>
        <v>2.979999999999897</v>
      </c>
      <c r="AW919" s="136">
        <f t="shared" si="194"/>
        <v>4.704957526935425E-3</v>
      </c>
      <c r="AX919" s="136" t="e">
        <f t="shared" si="195"/>
        <v>#N/A</v>
      </c>
      <c r="AY919" s="136">
        <f t="shared" si="196"/>
        <v>2.9799899999998969</v>
      </c>
      <c r="AZ919" s="136">
        <f t="shared" si="197"/>
        <v>2.980009999999897</v>
      </c>
      <c r="BA919" s="136">
        <f t="shared" si="198"/>
        <v>0.95171401950706214</v>
      </c>
      <c r="BB919" s="136">
        <f t="shared" si="199"/>
        <v>0.95171457677326243</v>
      </c>
      <c r="BC919" s="136" t="e">
        <f t="shared" si="200"/>
        <v>#N/A</v>
      </c>
      <c r="BD919" s="136">
        <f t="shared" si="205"/>
        <v>4.704957526935425E-3</v>
      </c>
      <c r="BE919" s="136">
        <f t="shared" si="201"/>
        <v>3.704957526935425E-3</v>
      </c>
      <c r="BF919" s="136" t="e">
        <f t="shared" si="202"/>
        <v>#N/A</v>
      </c>
      <c r="BG919" s="136" t="e">
        <f t="shared" si="203"/>
        <v>#N/A</v>
      </c>
    </row>
    <row r="920" spans="47:59" ht="11.25" customHeight="1">
      <c r="AU920" s="136">
        <f t="shared" si="193"/>
        <v>0.99860511276450714</v>
      </c>
      <c r="AV920" s="136">
        <f t="shared" si="204"/>
        <v>2.9899999999998967</v>
      </c>
      <c r="AW920" s="136">
        <f t="shared" si="194"/>
        <v>4.5665899546715556E-3</v>
      </c>
      <c r="AX920" s="136" t="e">
        <f t="shared" si="195"/>
        <v>#N/A</v>
      </c>
      <c r="AY920" s="136">
        <f t="shared" si="196"/>
        <v>2.9899899999998967</v>
      </c>
      <c r="AZ920" s="136">
        <f t="shared" si="197"/>
        <v>2.9900099999998968</v>
      </c>
      <c r="BA920" s="136">
        <f t="shared" si="198"/>
        <v>0.95199151410822813</v>
      </c>
      <c r="BB920" s="136">
        <f t="shared" si="199"/>
        <v>0.95199206681916437</v>
      </c>
      <c r="BC920" s="136" t="e">
        <f t="shared" si="200"/>
        <v>#N/A</v>
      </c>
      <c r="BD920" s="136">
        <f t="shared" si="205"/>
        <v>4.5665899546715556E-3</v>
      </c>
      <c r="BE920" s="136">
        <f t="shared" si="201"/>
        <v>3.5665899546715556E-3</v>
      </c>
      <c r="BF920" s="136" t="e">
        <f t="shared" si="202"/>
        <v>#N/A</v>
      </c>
      <c r="BG920" s="136" t="e">
        <f t="shared" si="203"/>
        <v>#N/A</v>
      </c>
    </row>
    <row r="921" spans="47:59" ht="11.25" customHeight="1">
      <c r="AU921" s="136">
        <f t="shared" si="193"/>
        <v>0.99865010196836945</v>
      </c>
      <c r="AV921" s="136">
        <f t="shared" si="204"/>
        <v>2.9999999999998965</v>
      </c>
      <c r="AW921" s="136">
        <f t="shared" si="194"/>
        <v>4.4318484119393849E-3</v>
      </c>
      <c r="AX921" s="136" t="e">
        <f t="shared" si="195"/>
        <v>#N/A</v>
      </c>
      <c r="AY921" s="136">
        <f t="shared" si="196"/>
        <v>2.9999899999998965</v>
      </c>
      <c r="AZ921" s="136">
        <f t="shared" si="197"/>
        <v>3.0000099999998966</v>
      </c>
      <c r="BA921" s="136">
        <f t="shared" si="198"/>
        <v>0.95226674277049905</v>
      </c>
      <c r="BB921" s="136">
        <f t="shared" si="199"/>
        <v>0.95226729097294349</v>
      </c>
      <c r="BC921" s="136" t="e">
        <f t="shared" si="200"/>
        <v>#N/A</v>
      </c>
      <c r="BD921" s="136">
        <f t="shared" si="205"/>
        <v>4.4318484119393849E-3</v>
      </c>
      <c r="BE921" s="136">
        <f t="shared" si="201"/>
        <v>3.4318484119393849E-3</v>
      </c>
      <c r="BF921" s="136" t="e">
        <f t="shared" si="202"/>
        <v>#N/A</v>
      </c>
      <c r="BG921" s="136" t="e">
        <f t="shared" si="203"/>
        <v>#N/A</v>
      </c>
    </row>
    <row r="922" spans="47:59" ht="11.25" customHeight="1">
      <c r="AU922" s="136">
        <f t="shared" si="193"/>
        <v>0.99869376155122991</v>
      </c>
      <c r="AV922" s="136">
        <f t="shared" si="204"/>
        <v>3.0099999999998963</v>
      </c>
      <c r="AW922" s="136">
        <f t="shared" si="194"/>
        <v>4.3006524587317898E-3</v>
      </c>
      <c r="AX922" s="136" t="e">
        <f t="shared" si="195"/>
        <v>#N/A</v>
      </c>
      <c r="AY922" s="136">
        <f t="shared" si="196"/>
        <v>3.0099899999998962</v>
      </c>
      <c r="AZ922" s="136">
        <f t="shared" si="197"/>
        <v>3.0100099999998964</v>
      </c>
      <c r="BA922" s="136">
        <f t="shared" si="198"/>
        <v>0.95253972874013737</v>
      </c>
      <c r="BB922" s="136">
        <f t="shared" si="199"/>
        <v>0.95254027248030271</v>
      </c>
      <c r="BC922" s="136" t="e">
        <f t="shared" si="200"/>
        <v>#N/A</v>
      </c>
      <c r="BD922" s="136">
        <f t="shared" si="205"/>
        <v>4.3006524587317898E-3</v>
      </c>
      <c r="BE922" s="136">
        <f t="shared" si="201"/>
        <v>3.3006524587317898E-3</v>
      </c>
      <c r="BF922" s="136" t="e">
        <f t="shared" si="202"/>
        <v>#N/A</v>
      </c>
      <c r="BG922" s="136" t="e">
        <f t="shared" si="203"/>
        <v>#N/A</v>
      </c>
    </row>
    <row r="923" spans="47:59" ht="11.25" customHeight="1">
      <c r="AU923" s="136">
        <f t="shared" si="193"/>
        <v>0.99873612657232713</v>
      </c>
      <c r="AV923" s="136">
        <f t="shared" si="204"/>
        <v>3.0199999999998961</v>
      </c>
      <c r="AW923" s="136">
        <f t="shared" si="194"/>
        <v>4.1729229845252694E-3</v>
      </c>
      <c r="AX923" s="136" t="e">
        <f t="shared" si="195"/>
        <v>#N/A</v>
      </c>
      <c r="AY923" s="136">
        <f t="shared" si="196"/>
        <v>3.019989999999896</v>
      </c>
      <c r="AZ923" s="136">
        <f t="shared" si="197"/>
        <v>3.0200099999998962</v>
      </c>
      <c r="BA923" s="136">
        <f t="shared" si="198"/>
        <v>0.95281049498537929</v>
      </c>
      <c r="BB923" s="136">
        <f t="shared" si="199"/>
        <v>0.952811034308926</v>
      </c>
      <c r="BC923" s="136" t="e">
        <f t="shared" si="200"/>
        <v>#N/A</v>
      </c>
      <c r="BD923" s="136">
        <f t="shared" si="205"/>
        <v>4.1729229845252694E-3</v>
      </c>
      <c r="BE923" s="136">
        <f t="shared" si="201"/>
        <v>3.1729229845252694E-3</v>
      </c>
      <c r="BF923" s="136" t="e">
        <f t="shared" si="202"/>
        <v>#N/A</v>
      </c>
      <c r="BG923" s="136" t="e">
        <f t="shared" si="203"/>
        <v>#N/A</v>
      </c>
    </row>
    <row r="924" spans="47:59" ht="11.25" customHeight="1">
      <c r="AU924" s="136">
        <f t="shared" si="193"/>
        <v>0.99877723130640739</v>
      </c>
      <c r="AV924" s="136">
        <f t="shared" si="204"/>
        <v>3.0299999999998959</v>
      </c>
      <c r="AW924" s="136">
        <f t="shared" si="194"/>
        <v>4.0485822000957059E-3</v>
      </c>
      <c r="AX924" s="136" t="e">
        <f t="shared" si="195"/>
        <v>#N/A</v>
      </c>
      <c r="AY924" s="136">
        <f t="shared" si="196"/>
        <v>3.0299899999998958</v>
      </c>
      <c r="AZ924" s="136">
        <f t="shared" si="197"/>
        <v>3.030009999999896</v>
      </c>
      <c r="BA924" s="136">
        <f t="shared" si="198"/>
        <v>0.95307906420008415</v>
      </c>
      <c r="BB924" s="136">
        <f t="shared" si="199"/>
        <v>0.95307959915212737</v>
      </c>
      <c r="BC924" s="136" t="e">
        <f t="shared" si="200"/>
        <v>#N/A</v>
      </c>
      <c r="BD924" s="136">
        <f t="shared" si="205"/>
        <v>4.0485822000957059E-3</v>
      </c>
      <c r="BE924" s="136">
        <f t="shared" si="201"/>
        <v>3.0485822000957058E-3</v>
      </c>
      <c r="BF924" s="136" t="e">
        <f t="shared" si="202"/>
        <v>#N/A</v>
      </c>
      <c r="BG924" s="136" t="e">
        <f t="shared" si="203"/>
        <v>#N/A</v>
      </c>
    </row>
    <row r="925" spans="47:59" ht="11.25" customHeight="1">
      <c r="AU925" s="136">
        <f t="shared" si="193"/>
        <v>0.99881710925689526</v>
      </c>
      <c r="AV925" s="136">
        <f t="shared" si="204"/>
        <v>3.0399999999998957</v>
      </c>
      <c r="AW925" s="136">
        <f t="shared" si="194"/>
        <v>3.9275536289260244E-3</v>
      </c>
      <c r="AX925" s="136" t="e">
        <f t="shared" si="195"/>
        <v>#N/A</v>
      </c>
      <c r="AY925" s="136">
        <f t="shared" si="196"/>
        <v>3.0399899999998956</v>
      </c>
      <c r="AZ925" s="136">
        <f t="shared" si="197"/>
        <v>3.0400099999998957</v>
      </c>
      <c r="BA925" s="136">
        <f t="shared" si="198"/>
        <v>0.95334545880733346</v>
      </c>
      <c r="BB925" s="136">
        <f t="shared" si="199"/>
        <v>0.95334598943245041</v>
      </c>
      <c r="BC925" s="136" t="e">
        <f t="shared" si="200"/>
        <v>#N/A</v>
      </c>
      <c r="BD925" s="136">
        <f t="shared" si="205"/>
        <v>3.9275536289260244E-3</v>
      </c>
      <c r="BE925" s="136">
        <f t="shared" si="201"/>
        <v>2.9275536289260244E-3</v>
      </c>
      <c r="BF925" s="136" t="e">
        <f t="shared" si="202"/>
        <v>#N/A</v>
      </c>
      <c r="BG925" s="136" t="e">
        <f t="shared" si="203"/>
        <v>#N/A</v>
      </c>
    </row>
    <row r="926" spans="47:59" ht="11.25" customHeight="1">
      <c r="AU926" s="136">
        <f t="shared" si="193"/>
        <v>0.99885579316897721</v>
      </c>
      <c r="AV926" s="136">
        <f t="shared" si="204"/>
        <v>3.0499999999998955</v>
      </c>
      <c r="AW926" s="136">
        <f t="shared" si="194"/>
        <v>3.8097620982230208E-3</v>
      </c>
      <c r="AX926" s="136" t="e">
        <f t="shared" si="195"/>
        <v>#N/A</v>
      </c>
      <c r="AY926" s="136">
        <f t="shared" si="196"/>
        <v>3.0499899999998954</v>
      </c>
      <c r="AZ926" s="136">
        <f t="shared" si="197"/>
        <v>3.0500099999998955</v>
      </c>
      <c r="BA926" s="136">
        <f t="shared" si="198"/>
        <v>0.95360970096298248</v>
      </c>
      <c r="BB926" s="136">
        <f t="shared" si="199"/>
        <v>0.95361022730521949</v>
      </c>
      <c r="BC926" s="136" t="e">
        <f t="shared" si="200"/>
        <v>#N/A</v>
      </c>
      <c r="BD926" s="136">
        <f t="shared" si="205"/>
        <v>3.8097620982230208E-3</v>
      </c>
      <c r="BE926" s="136">
        <f t="shared" si="201"/>
        <v>2.8097620982230208E-3</v>
      </c>
      <c r="BF926" s="136" t="e">
        <f t="shared" si="202"/>
        <v>#N/A</v>
      </c>
      <c r="BG926" s="136" t="e">
        <f t="shared" si="203"/>
        <v>#N/A</v>
      </c>
    </row>
    <row r="927" spans="47:59" ht="11.25" customHeight="1">
      <c r="AU927" s="136">
        <f t="shared" si="193"/>
        <v>0.99889331504259049</v>
      </c>
      <c r="AV927" s="136">
        <f t="shared" si="204"/>
        <v>3.0599999999998952</v>
      </c>
      <c r="AW927" s="136">
        <f t="shared" si="194"/>
        <v>3.6951337295602188E-3</v>
      </c>
      <c r="AX927" s="136" t="e">
        <f t="shared" si="195"/>
        <v>#N/A</v>
      </c>
      <c r="AY927" s="136">
        <f t="shared" si="196"/>
        <v>3.0599899999998952</v>
      </c>
      <c r="AZ927" s="136">
        <f t="shared" si="197"/>
        <v>3.0600099999998953</v>
      </c>
      <c r="BA927" s="136">
        <f t="shared" si="198"/>
        <v>0.95387181255916376</v>
      </c>
      <c r="BB927" s="136">
        <f t="shared" si="199"/>
        <v>0.95387233466204313</v>
      </c>
      <c r="BC927" s="136" t="e">
        <f t="shared" si="200"/>
        <v>#N/A</v>
      </c>
      <c r="BD927" s="136">
        <f t="shared" si="205"/>
        <v>3.6951337295602188E-3</v>
      </c>
      <c r="BE927" s="136">
        <f t="shared" si="201"/>
        <v>2.6951337295602188E-3</v>
      </c>
      <c r="BF927" s="136" t="e">
        <f t="shared" si="202"/>
        <v>#N/A</v>
      </c>
      <c r="BG927" s="136" t="e">
        <f t="shared" si="203"/>
        <v>#N/A</v>
      </c>
    </row>
    <row r="928" spans="47:59" ht="11.25" customHeight="1">
      <c r="AU928" s="136">
        <f t="shared" si="193"/>
        <v>0.99892970614532062</v>
      </c>
      <c r="AV928" s="136">
        <f t="shared" si="204"/>
        <v>3.069999999999895</v>
      </c>
      <c r="AW928" s="136">
        <f t="shared" si="194"/>
        <v>3.5835959291635132E-3</v>
      </c>
      <c r="AX928" s="136" t="e">
        <f t="shared" si="195"/>
        <v>#N/A</v>
      </c>
      <c r="AY928" s="136">
        <f t="shared" si="196"/>
        <v>3.069989999999895</v>
      </c>
      <c r="AZ928" s="136">
        <f t="shared" si="197"/>
        <v>3.0700099999998951</v>
      </c>
      <c r="BA928" s="136">
        <f t="shared" si="198"/>
        <v>0.95413181522774315</v>
      </c>
      <c r="BB928" s="136">
        <f t="shared" si="199"/>
        <v>0.95413233313427015</v>
      </c>
      <c r="BC928" s="136" t="e">
        <f t="shared" si="200"/>
        <v>#N/A</v>
      </c>
      <c r="BD928" s="136">
        <f t="shared" si="205"/>
        <v>3.5835959291635132E-3</v>
      </c>
      <c r="BE928" s="136">
        <f t="shared" si="201"/>
        <v>2.5835959291635132E-3</v>
      </c>
      <c r="BF928" s="136" t="e">
        <f t="shared" si="202"/>
        <v>#N/A</v>
      </c>
      <c r="BG928" s="136" t="e">
        <f t="shared" si="203"/>
        <v>#N/A</v>
      </c>
    </row>
    <row r="929" spans="47:59" ht="11.25" customHeight="1">
      <c r="AU929" s="136">
        <f t="shared" si="193"/>
        <v>0.99896499702519748</v>
      </c>
      <c r="AV929" s="136">
        <f t="shared" si="204"/>
        <v>3.0799999999998948</v>
      </c>
      <c r="AW929" s="136">
        <f t="shared" si="194"/>
        <v>3.4750773778560637E-3</v>
      </c>
      <c r="AX929" s="136" t="e">
        <f t="shared" si="195"/>
        <v>#N/A</v>
      </c>
      <c r="AY929" s="136">
        <f t="shared" si="196"/>
        <v>3.0799899999998948</v>
      </c>
      <c r="AZ929" s="136">
        <f t="shared" si="197"/>
        <v>3.0800099999998949</v>
      </c>
      <c r="BA929" s="136">
        <f t="shared" si="198"/>
        <v>0.95438973034372998</v>
      </c>
      <c r="BB929" s="136">
        <f t="shared" si="199"/>
        <v>0.9543902440963995</v>
      </c>
      <c r="BC929" s="136" t="e">
        <f t="shared" si="200"/>
        <v>#N/A</v>
      </c>
      <c r="BD929" s="136">
        <f t="shared" si="205"/>
        <v>3.4750773778560637E-3</v>
      </c>
      <c r="BE929" s="136">
        <f t="shared" si="201"/>
        <v>2.4750773778560637E-3</v>
      </c>
      <c r="BF929" s="136" t="e">
        <f t="shared" si="202"/>
        <v>#N/A</v>
      </c>
      <c r="BG929" s="136" t="e">
        <f t="shared" si="203"/>
        <v>#N/A</v>
      </c>
    </row>
    <row r="930" spans="47:59" ht="11.25" customHeight="1">
      <c r="AU930" s="136">
        <f t="shared" si="193"/>
        <v>0.99899921752338572</v>
      </c>
      <c r="AV930" s="136">
        <f t="shared" si="204"/>
        <v>3.0899999999998946</v>
      </c>
      <c r="AW930" s="136">
        <f t="shared" si="194"/>
        <v>3.3695080206785789E-3</v>
      </c>
      <c r="AX930" s="136" t="e">
        <f t="shared" si="195"/>
        <v>#N/A</v>
      </c>
      <c r="AY930" s="136">
        <f t="shared" si="196"/>
        <v>3.0899899999998945</v>
      </c>
      <c r="AZ930" s="136">
        <f t="shared" si="197"/>
        <v>3.0900099999998947</v>
      </c>
      <c r="BA930" s="136">
        <f t="shared" si="198"/>
        <v>0.95464557902864022</v>
      </c>
      <c r="BB930" s="136">
        <f t="shared" si="199"/>
        <v>0.95464608866944345</v>
      </c>
      <c r="BC930" s="136" t="e">
        <f t="shared" si="200"/>
        <v>#N/A</v>
      </c>
      <c r="BD930" s="136">
        <f t="shared" si="205"/>
        <v>3.3695080206785789E-3</v>
      </c>
      <c r="BE930" s="136">
        <f t="shared" si="201"/>
        <v>2.3695080206785788E-3</v>
      </c>
      <c r="BF930" s="136" t="e">
        <f t="shared" si="202"/>
        <v>#N/A</v>
      </c>
      <c r="BG930" s="136" t="e">
        <f t="shared" si="203"/>
        <v>#N/A</v>
      </c>
    </row>
    <row r="931" spans="47:59" ht="11.25" customHeight="1">
      <c r="AU931" s="136">
        <f t="shared" si="193"/>
        <v>0.9990323967867818</v>
      </c>
      <c r="AV931" s="136">
        <f t="shared" si="204"/>
        <v>3.0999999999998944</v>
      </c>
      <c r="AW931" s="136">
        <f t="shared" si="194"/>
        <v>3.2668190562009885E-3</v>
      </c>
      <c r="AX931" s="136" t="e">
        <f t="shared" si="195"/>
        <v>#N/A</v>
      </c>
      <c r="AY931" s="136">
        <f t="shared" si="196"/>
        <v>3.0999899999998943</v>
      </c>
      <c r="AZ931" s="136">
        <f t="shared" si="197"/>
        <v>3.1000099999998945</v>
      </c>
      <c r="BA931" s="136">
        <f t="shared" si="198"/>
        <v>0.95489938215381487</v>
      </c>
      <c r="BB931" s="136">
        <f t="shared" si="199"/>
        <v>0.95489988772424617</v>
      </c>
      <c r="BC931" s="136" t="e">
        <f t="shared" si="200"/>
        <v>#N/A</v>
      </c>
      <c r="BD931" s="136">
        <f t="shared" si="205"/>
        <v>3.2668190562009885E-3</v>
      </c>
      <c r="BE931" s="136">
        <f t="shared" si="201"/>
        <v>2.2668190562009885E-3</v>
      </c>
      <c r="BF931" s="136" t="e">
        <f t="shared" si="202"/>
        <v>#N/A</v>
      </c>
      <c r="BG931" s="136" t="e">
        <f t="shared" si="203"/>
        <v>#N/A</v>
      </c>
    </row>
    <row r="932" spans="47:59" ht="11.25" customHeight="1">
      <c r="AU932" s="136">
        <f t="shared" si="193"/>
        <v>0.99906456328048532</v>
      </c>
      <c r="AV932" s="136">
        <f t="shared" si="204"/>
        <v>3.1099999999998942</v>
      </c>
      <c r="AW932" s="136">
        <f t="shared" si="194"/>
        <v>3.166942925541121E-3</v>
      </c>
      <c r="AX932" s="136" t="e">
        <f t="shared" si="195"/>
        <v>#N/A</v>
      </c>
      <c r="AY932" s="136">
        <f t="shared" si="196"/>
        <v>3.1099899999998941</v>
      </c>
      <c r="AZ932" s="136">
        <f t="shared" si="197"/>
        <v>3.1100099999998942</v>
      </c>
      <c r="BA932" s="136">
        <f t="shared" si="198"/>
        <v>0.95515116034369318</v>
      </c>
      <c r="BB932" s="136">
        <f t="shared" si="199"/>
        <v>0.95515166188475609</v>
      </c>
      <c r="BC932" s="136" t="e">
        <f t="shared" si="200"/>
        <v>#N/A</v>
      </c>
      <c r="BD932" s="136">
        <f t="shared" si="205"/>
        <v>3.166942925541121E-3</v>
      </c>
      <c r="BE932" s="136">
        <f t="shared" si="201"/>
        <v>2.166942925541121E-3</v>
      </c>
      <c r="BF932" s="136" t="e">
        <f t="shared" si="202"/>
        <v>#N/A</v>
      </c>
      <c r="BG932" s="136" t="e">
        <f t="shared" si="203"/>
        <v>#N/A</v>
      </c>
    </row>
    <row r="933" spans="47:59" ht="11.25" customHeight="1">
      <c r="AU933" s="136">
        <f t="shared" si="193"/>
        <v>0.9990957448001776</v>
      </c>
      <c r="AV933" s="136">
        <f t="shared" si="204"/>
        <v>3.119999999999894</v>
      </c>
      <c r="AW933" s="136">
        <f t="shared" si="194"/>
        <v>3.0698133011057569E-3</v>
      </c>
      <c r="AX933" s="136" t="e">
        <f t="shared" si="195"/>
        <v>#N/A</v>
      </c>
      <c r="AY933" s="136">
        <f t="shared" si="196"/>
        <v>3.1199899999998939</v>
      </c>
      <c r="AZ933" s="136">
        <f t="shared" si="197"/>
        <v>3.120009999999894</v>
      </c>
      <c r="BA933" s="136">
        <f t="shared" si="198"/>
        <v>0.95540093397904102</v>
      </c>
      <c r="BB933" s="136">
        <f t="shared" si="199"/>
        <v>0.95540143153125501</v>
      </c>
      <c r="BC933" s="136" t="e">
        <f t="shared" si="200"/>
        <v>#N/A</v>
      </c>
      <c r="BD933" s="136">
        <f t="shared" si="205"/>
        <v>3.0698133011057569E-3</v>
      </c>
      <c r="BE933" s="136">
        <f t="shared" si="201"/>
        <v>2.0698133011057569E-3</v>
      </c>
      <c r="BF933" s="136" t="e">
        <f t="shared" si="202"/>
        <v>#N/A</v>
      </c>
      <c r="BG933" s="136" t="e">
        <f t="shared" si="203"/>
        <v>#N/A</v>
      </c>
    </row>
    <row r="934" spans="47:59" ht="11.25" customHeight="1">
      <c r="AU934" s="136">
        <f t="shared" si="193"/>
        <v>0.99912596848436785</v>
      </c>
      <c r="AV934" s="136">
        <f t="shared" si="204"/>
        <v>3.1299999999998938</v>
      </c>
      <c r="AW934" s="136">
        <f t="shared" si="194"/>
        <v>2.9753650750692414E-3</v>
      </c>
      <c r="AX934" s="136" t="e">
        <f t="shared" si="195"/>
        <v>#N/A</v>
      </c>
      <c r="AY934" s="136">
        <f t="shared" si="196"/>
        <v>3.1299899999998937</v>
      </c>
      <c r="AZ934" s="136">
        <f t="shared" si="197"/>
        <v>3.1300099999998938</v>
      </c>
      <c r="BA934" s="136">
        <f t="shared" si="198"/>
        <v>0.95564872320013639</v>
      </c>
      <c r="BB934" s="136">
        <f t="shared" si="199"/>
        <v>0.9556492168035432</v>
      </c>
      <c r="BC934" s="136" t="e">
        <f t="shared" si="200"/>
        <v>#N/A</v>
      </c>
      <c r="BD934" s="136">
        <f t="shared" si="205"/>
        <v>2.9753650750692414E-3</v>
      </c>
      <c r="BE934" s="136">
        <f t="shared" si="201"/>
        <v>1.9753650750692414E-3</v>
      </c>
      <c r="BF934" s="136" t="e">
        <f t="shared" si="202"/>
        <v>#N/A</v>
      </c>
      <c r="BG934" s="136" t="e">
        <f t="shared" si="203"/>
        <v>#N/A</v>
      </c>
    </row>
    <row r="935" spans="47:59" ht="11.25" customHeight="1">
      <c r="AU935" s="136">
        <f t="shared" si="193"/>
        <v>0.99915526082654149</v>
      </c>
      <c r="AV935" s="136">
        <f t="shared" si="204"/>
        <v>3.1399999999998935</v>
      </c>
      <c r="AW935" s="136">
        <f t="shared" si="194"/>
        <v>2.8835343476044041E-3</v>
      </c>
      <c r="AX935" s="136" t="e">
        <f t="shared" si="195"/>
        <v>#N/A</v>
      </c>
      <c r="AY935" s="136">
        <f t="shared" si="196"/>
        <v>3.1399899999998935</v>
      </c>
      <c r="AZ935" s="136">
        <f t="shared" si="197"/>
        <v>3.1400099999998936</v>
      </c>
      <c r="BA935" s="136">
        <f t="shared" si="198"/>
        <v>0.95589454790991102</v>
      </c>
      <c r="BB935" s="136">
        <f t="shared" si="199"/>
        <v>0.95589503760408079</v>
      </c>
      <c r="BC935" s="136" t="e">
        <f t="shared" si="200"/>
        <v>#N/A</v>
      </c>
      <c r="BD935" s="136">
        <f t="shared" si="205"/>
        <v>2.8835343476044041E-3</v>
      </c>
      <c r="BE935" s="136">
        <f t="shared" si="201"/>
        <v>1.8835343476044041E-3</v>
      </c>
      <c r="BF935" s="136" t="e">
        <f t="shared" si="202"/>
        <v>#N/A</v>
      </c>
      <c r="BG935" s="136" t="e">
        <f t="shared" si="203"/>
        <v>#N/A</v>
      </c>
    </row>
    <row r="936" spans="47:59" ht="11.25" customHeight="1">
      <c r="AU936" s="136">
        <f t="shared" si="193"/>
        <v>0.99918364768717149</v>
      </c>
      <c r="AV936" s="136">
        <f t="shared" si="204"/>
        <v>3.1499999999998933</v>
      </c>
      <c r="AW936" s="136">
        <f t="shared" si="194"/>
        <v>2.7942584148803848E-3</v>
      </c>
      <c r="AX936" s="136" t="e">
        <f t="shared" si="195"/>
        <v>#N/A</v>
      </c>
      <c r="AY936" s="136">
        <f t="shared" si="196"/>
        <v>3.1499899999998933</v>
      </c>
      <c r="AZ936" s="136">
        <f t="shared" si="197"/>
        <v>3.1500099999998934</v>
      </c>
      <c r="BA936" s="136">
        <f t="shared" si="198"/>
        <v>0.95613842777704916</v>
      </c>
      <c r="BB936" s="136">
        <f t="shared" si="199"/>
        <v>0.95613891360108672</v>
      </c>
      <c r="BC936" s="136" t="e">
        <f t="shared" si="200"/>
        <v>#N/A</v>
      </c>
      <c r="BD936" s="136">
        <f t="shared" si="205"/>
        <v>2.7942584148803848E-3</v>
      </c>
      <c r="BE936" s="136">
        <f t="shared" si="201"/>
        <v>1.7942584148803848E-3</v>
      </c>
      <c r="BF936" s="136" t="e">
        <f t="shared" si="202"/>
        <v>#N/A</v>
      </c>
      <c r="BG936" s="136" t="e">
        <f t="shared" si="203"/>
        <v>#N/A</v>
      </c>
    </row>
    <row r="937" spans="47:59" ht="11.25" customHeight="1">
      <c r="AU937" s="136">
        <f t="shared" si="193"/>
        <v>0.99921115430562391</v>
      </c>
      <c r="AV937" s="136">
        <f t="shared" si="204"/>
        <v>3.1599999999998931</v>
      </c>
      <c r="AW937" s="136">
        <f t="shared" si="194"/>
        <v>2.7074757568416158E-3</v>
      </c>
      <c r="AX937" s="136" t="e">
        <f t="shared" si="195"/>
        <v>#N/A</v>
      </c>
      <c r="AY937" s="136">
        <f t="shared" si="196"/>
        <v>3.1599899999998931</v>
      </c>
      <c r="AZ937" s="136">
        <f t="shared" si="197"/>
        <v>3.1600099999998932</v>
      </c>
      <c r="BA937" s="136">
        <f t="shared" si="198"/>
        <v>0.95638038223904487</v>
      </c>
      <c r="BB937" s="136">
        <f t="shared" si="199"/>
        <v>0.9563808642315953</v>
      </c>
      <c r="BC937" s="136" t="e">
        <f t="shared" si="200"/>
        <v>#N/A</v>
      </c>
      <c r="BD937" s="136">
        <f t="shared" si="205"/>
        <v>2.7074757568416158E-3</v>
      </c>
      <c r="BE937" s="136">
        <f t="shared" si="201"/>
        <v>1.7074757568416158E-3</v>
      </c>
      <c r="BF937" s="136" t="e">
        <f t="shared" si="202"/>
        <v>#N/A</v>
      </c>
      <c r="BG937" s="136" t="e">
        <f t="shared" si="203"/>
        <v>#N/A</v>
      </c>
    </row>
    <row r="938" spans="47:59" ht="11.25" customHeight="1">
      <c r="AU938" s="136">
        <f t="shared" si="193"/>
        <v>0.99923780531193263</v>
      </c>
      <c r="AV938" s="136">
        <f t="shared" si="204"/>
        <v>3.1699999999998929</v>
      </c>
      <c r="AW938" s="136">
        <f t="shared" si="194"/>
        <v>2.6231260247819139E-3</v>
      </c>
      <c r="AX938" s="136" t="e">
        <f t="shared" si="195"/>
        <v>#N/A</v>
      </c>
      <c r="AY938" s="136">
        <f t="shared" si="196"/>
        <v>3.1699899999998928</v>
      </c>
      <c r="AZ938" s="136">
        <f t="shared" si="197"/>
        <v>3.170009999999893</v>
      </c>
      <c r="BA938" s="136">
        <f t="shared" si="198"/>
        <v>0.9566204305052165</v>
      </c>
      <c r="BB938" s="136">
        <f t="shared" si="199"/>
        <v>0.95662090870447192</v>
      </c>
      <c r="BC938" s="136" t="e">
        <f t="shared" si="200"/>
        <v>#N/A</v>
      </c>
      <c r="BD938" s="136">
        <f t="shared" si="205"/>
        <v>2.6231260247819139E-3</v>
      </c>
      <c r="BE938" s="136">
        <f t="shared" si="201"/>
        <v>1.6231260247819138E-3</v>
      </c>
      <c r="BF938" s="136" t="e">
        <f t="shared" si="202"/>
        <v>#N/A</v>
      </c>
      <c r="BG938" s="136" t="e">
        <f t="shared" si="203"/>
        <v>#N/A</v>
      </c>
    </row>
    <row r="939" spans="47:59" ht="11.25" customHeight="1">
      <c r="AU939" s="136">
        <f t="shared" si="193"/>
        <v>0.99926362473844588</v>
      </c>
      <c r="AV939" s="136">
        <f t="shared" si="204"/>
        <v>3.1799999999998927</v>
      </c>
      <c r="AW939" s="136">
        <f t="shared" si="194"/>
        <v>2.5411500287273901E-3</v>
      </c>
      <c r="AX939" s="136" t="e">
        <f t="shared" si="195"/>
        <v>#N/A</v>
      </c>
      <c r="AY939" s="136">
        <f t="shared" si="196"/>
        <v>3.1799899999998926</v>
      </c>
      <c r="AZ939" s="136">
        <f t="shared" si="197"/>
        <v>3.1800099999998928</v>
      </c>
      <c r="BA939" s="136">
        <f t="shared" si="198"/>
        <v>0.95685859155968167</v>
      </c>
      <c r="BB939" s="136">
        <f t="shared" si="199"/>
        <v>0.95685906600338666</v>
      </c>
      <c r="BC939" s="136" t="e">
        <f t="shared" si="200"/>
        <v>#N/A</v>
      </c>
      <c r="BD939" s="136">
        <f t="shared" si="205"/>
        <v>2.5411500287273901E-3</v>
      </c>
      <c r="BE939" s="136">
        <f t="shared" si="201"/>
        <v>1.5411500287273901E-3</v>
      </c>
      <c r="BF939" s="136" t="e">
        <f t="shared" si="202"/>
        <v>#N/A</v>
      </c>
      <c r="BG939" s="136" t="e">
        <f t="shared" si="203"/>
        <v>#N/A</v>
      </c>
    </row>
    <row r="940" spans="47:59" ht="11.25" customHeight="1">
      <c r="AU940" s="136">
        <f t="shared" si="193"/>
        <v>0.99928863603135398</v>
      </c>
      <c r="AV940" s="136">
        <f t="shared" si="204"/>
        <v>3.1899999999998925</v>
      </c>
      <c r="AW940" s="136">
        <f t="shared" si="194"/>
        <v>2.4614897246415441E-3</v>
      </c>
      <c r="AX940" s="136" t="e">
        <f t="shared" si="195"/>
        <v>#N/A</v>
      </c>
      <c r="AY940" s="136">
        <f t="shared" si="196"/>
        <v>3.1899899999998924</v>
      </c>
      <c r="AZ940" s="136">
        <f t="shared" si="197"/>
        <v>3.1900099999998925</v>
      </c>
      <c r="BA940" s="136">
        <f t="shared" si="198"/>
        <v>0.95709488416429012</v>
      </c>
      <c r="BB940" s="136">
        <f t="shared" si="199"/>
        <v>0.95709535488974762</v>
      </c>
      <c r="BC940" s="136" t="e">
        <f t="shared" si="200"/>
        <v>#N/A</v>
      </c>
      <c r="BD940" s="136">
        <f t="shared" si="205"/>
        <v>2.4614897246415441E-3</v>
      </c>
      <c r="BE940" s="136">
        <f t="shared" si="201"/>
        <v>1.4614897246415441E-3</v>
      </c>
      <c r="BF940" s="136" t="e">
        <f t="shared" si="202"/>
        <v>#N/A</v>
      </c>
      <c r="BG940" s="136" t="e">
        <f t="shared" si="203"/>
        <v>#N/A</v>
      </c>
    </row>
    <row r="941" spans="47:59" ht="11.25" customHeight="1">
      <c r="AU941" s="136">
        <f t="shared" si="193"/>
        <v>0.9993128620620837</v>
      </c>
      <c r="AV941" s="136">
        <f t="shared" si="204"/>
        <v>3.1999999999998923</v>
      </c>
      <c r="AW941" s="136">
        <f t="shared" si="194"/>
        <v>2.3840882014656635E-3</v>
      </c>
      <c r="AX941" s="136" t="e">
        <f t="shared" si="195"/>
        <v>#N/A</v>
      </c>
      <c r="AY941" s="136">
        <f t="shared" si="196"/>
        <v>3.1999899999998922</v>
      </c>
      <c r="AZ941" s="136">
        <f t="shared" si="197"/>
        <v>3.2000099999998923</v>
      </c>
      <c r="BA941" s="136">
        <f t="shared" si="198"/>
        <v>0.95732932686151773</v>
      </c>
      <c r="BB941" s="136">
        <f t="shared" si="199"/>
        <v>0.95732979390559481</v>
      </c>
      <c r="BC941" s="136" t="e">
        <f t="shared" si="200"/>
        <v>#N/A</v>
      </c>
      <c r="BD941" s="136">
        <f t="shared" si="205"/>
        <v>2.3840882014656635E-3</v>
      </c>
      <c r="BE941" s="136">
        <f t="shared" si="201"/>
        <v>1.3840882014656635E-3</v>
      </c>
      <c r="BF941" s="136" t="e">
        <f t="shared" si="202"/>
        <v>#N/A</v>
      </c>
      <c r="BG941" s="136" t="e">
        <f t="shared" si="203"/>
        <v>#N/A</v>
      </c>
    </row>
    <row r="942" spans="47:59" ht="11.25" customHeight="1">
      <c r="AU942" s="136">
        <f t="shared" si="193"/>
        <v>0.99933632513855986</v>
      </c>
      <c r="AV942" s="136">
        <f t="shared" si="204"/>
        <v>3.2099999999998921</v>
      </c>
      <c r="AW942" s="136">
        <f t="shared" si="194"/>
        <v>2.308889668007295E-3</v>
      </c>
      <c r="AX942" s="136" t="e">
        <f t="shared" si="195"/>
        <v>#N/A</v>
      </c>
      <c r="AY942" s="136">
        <f t="shared" si="196"/>
        <v>3.209989999999892</v>
      </c>
      <c r="AZ942" s="136">
        <f t="shared" si="197"/>
        <v>3.2100099999998921</v>
      </c>
      <c r="BA942" s="136">
        <f t="shared" si="198"/>
        <v>0.95756193797732003</v>
      </c>
      <c r="BB942" s="136">
        <f t="shared" si="199"/>
        <v>0.95756240137645354</v>
      </c>
      <c r="BC942" s="136" t="e">
        <f t="shared" si="200"/>
        <v>#N/A</v>
      </c>
      <c r="BD942" s="136">
        <f t="shared" si="205"/>
        <v>2.308889668007295E-3</v>
      </c>
      <c r="BE942" s="136">
        <f t="shared" si="201"/>
        <v>1.308889668007295E-3</v>
      </c>
      <c r="BF942" s="136" t="e">
        <f t="shared" si="202"/>
        <v>#N/A</v>
      </c>
      <c r="BG942" s="136" t="e">
        <f t="shared" si="203"/>
        <v>#N/A</v>
      </c>
    </row>
    <row r="943" spans="47:59" ht="11.25" customHeight="1">
      <c r="AU943" s="136">
        <f t="shared" si="193"/>
        <v>0.99935904701633971</v>
      </c>
      <c r="AV943" s="136">
        <f t="shared" si="204"/>
        <v>3.2199999999998918</v>
      </c>
      <c r="AW943" s="136">
        <f t="shared" si="194"/>
        <v>2.2358394396893183E-3</v>
      </c>
      <c r="AX943" s="136" t="e">
        <f t="shared" si="195"/>
        <v>#N/A</v>
      </c>
      <c r="AY943" s="136">
        <f t="shared" si="196"/>
        <v>3.2199899999998918</v>
      </c>
      <c r="AZ943" s="136">
        <f t="shared" si="197"/>
        <v>3.2200099999998919</v>
      </c>
      <c r="BA943" s="136">
        <f t="shared" si="198"/>
        <v>0.95779273562394762</v>
      </c>
      <c r="BB943" s="136">
        <f t="shared" si="199"/>
        <v>0.95779319541414965</v>
      </c>
      <c r="BC943" s="136" t="e">
        <f t="shared" si="200"/>
        <v>#N/A</v>
      </c>
      <c r="BD943" s="136">
        <f t="shared" si="205"/>
        <v>2.2358394396893183E-3</v>
      </c>
      <c r="BE943" s="136">
        <f t="shared" si="201"/>
        <v>1.2358394396893182E-3</v>
      </c>
      <c r="BF943" s="136" t="e">
        <f t="shared" si="202"/>
        <v>#N/A</v>
      </c>
      <c r="BG943" s="136" t="e">
        <f t="shared" si="203"/>
        <v>#N/A</v>
      </c>
    </row>
    <row r="944" spans="47:59" ht="11.25" customHeight="1">
      <c r="AU944" s="136">
        <f t="shared" si="193"/>
        <v>0.99938104890961266</v>
      </c>
      <c r="AV944" s="136">
        <f t="shared" si="204"/>
        <v>3.2299999999998916</v>
      </c>
      <c r="AW944" s="136">
        <f t="shared" si="194"/>
        <v>2.1648839251718196E-3</v>
      </c>
      <c r="AX944" s="136" t="e">
        <f t="shared" si="195"/>
        <v>#N/A</v>
      </c>
      <c r="AY944" s="136">
        <f t="shared" si="196"/>
        <v>3.2299899999998916</v>
      </c>
      <c r="AZ944" s="136">
        <f t="shared" si="197"/>
        <v>3.2300099999998917</v>
      </c>
      <c r="BA944" s="136">
        <f t="shared" si="198"/>
        <v>0.95802173770272214</v>
      </c>
      <c r="BB944" s="136">
        <f t="shared" si="199"/>
        <v>0.95802219391958598</v>
      </c>
      <c r="BC944" s="136" t="e">
        <f t="shared" si="200"/>
        <v>#N/A</v>
      </c>
      <c r="BD944" s="136">
        <f t="shared" si="205"/>
        <v>2.1648839251718196E-3</v>
      </c>
      <c r="BE944" s="136">
        <f t="shared" si="201"/>
        <v>1.1648839251718196E-3</v>
      </c>
      <c r="BF944" s="136" t="e">
        <f t="shared" si="202"/>
        <v>#N/A</v>
      </c>
      <c r="BG944" s="136" t="e">
        <f t="shared" si="203"/>
        <v>#N/A</v>
      </c>
    </row>
    <row r="945" spans="47:59" ht="11.25" customHeight="1">
      <c r="AU945" s="136">
        <f t="shared" si="193"/>
        <v>0.99940235150206491</v>
      </c>
      <c r="AV945" s="136">
        <f t="shared" si="204"/>
        <v>3.2399999999998914</v>
      </c>
      <c r="AW945" s="136">
        <f t="shared" si="194"/>
        <v>2.0959706128586804E-3</v>
      </c>
      <c r="AX945" s="136" t="e">
        <f t="shared" si="195"/>
        <v>#N/A</v>
      </c>
      <c r="AY945" s="136">
        <f t="shared" si="196"/>
        <v>3.2399899999998913</v>
      </c>
      <c r="AZ945" s="136">
        <f t="shared" si="197"/>
        <v>3.2400099999998915</v>
      </c>
      <c r="BA945" s="136">
        <f t="shared" si="198"/>
        <v>0.95824896190677533</v>
      </c>
      <c r="BB945" s="136">
        <f t="shared" si="199"/>
        <v>0.95824941458548041</v>
      </c>
      <c r="BC945" s="136" t="e">
        <f t="shared" si="200"/>
        <v>#N/A</v>
      </c>
      <c r="BD945" s="136">
        <f t="shared" si="205"/>
        <v>2.0959706128586804E-3</v>
      </c>
      <c r="BE945" s="136">
        <f t="shared" si="201"/>
        <v>1.0959706128586804E-3</v>
      </c>
      <c r="BF945" s="136" t="e">
        <f t="shared" si="202"/>
        <v>#N/A</v>
      </c>
      <c r="BG945" s="136" t="e">
        <f t="shared" si="203"/>
        <v>#N/A</v>
      </c>
    </row>
    <row r="946" spans="47:59" ht="11.25" customHeight="1">
      <c r="AU946" s="136">
        <f t="shared" si="193"/>
        <v>0.99942297495760957</v>
      </c>
      <c r="AV946" s="136">
        <f t="shared" si="204"/>
        <v>3.2499999999998912</v>
      </c>
      <c r="AW946" s="136">
        <f t="shared" si="194"/>
        <v>2.029048057300485E-3</v>
      </c>
      <c r="AX946" s="136" t="e">
        <f t="shared" si="195"/>
        <v>#N/A</v>
      </c>
      <c r="AY946" s="136">
        <f t="shared" si="196"/>
        <v>3.2499899999998911</v>
      </c>
      <c r="AZ946" s="136">
        <f t="shared" si="197"/>
        <v>3.2500099999998913</v>
      </c>
      <c r="BA946" s="136">
        <f t="shared" si="198"/>
        <v>0.95847442572374975</v>
      </c>
      <c r="BB946" s="136">
        <f t="shared" si="199"/>
        <v>0.95847487489906724</v>
      </c>
      <c r="BC946" s="136" t="e">
        <f t="shared" si="200"/>
        <v>#N/A</v>
      </c>
      <c r="BD946" s="136">
        <f t="shared" si="205"/>
        <v>2.029048057300485E-3</v>
      </c>
      <c r="BE946" s="136">
        <f t="shared" si="201"/>
        <v>1.029048057300485E-3</v>
      </c>
      <c r="BF946" s="136" t="e">
        <f t="shared" si="202"/>
        <v>#N/A</v>
      </c>
      <c r="BG946" s="136" t="e">
        <f t="shared" si="203"/>
        <v>#N/A</v>
      </c>
    </row>
    <row r="947" spans="47:59" ht="11.25" customHeight="1">
      <c r="AU947" s="136">
        <f t="shared" si="193"/>
        <v>0.99944293893097513</v>
      </c>
      <c r="AV947" s="136">
        <f t="shared" si="204"/>
        <v>3.259999999999891</v>
      </c>
      <c r="AW947" s="136">
        <f t="shared" si="194"/>
        <v>1.9640658655050735E-3</v>
      </c>
      <c r="AX947" s="136" t="e">
        <f t="shared" si="195"/>
        <v>#N/A</v>
      </c>
      <c r="AY947" s="136">
        <f t="shared" si="196"/>
        <v>3.2599899999998909</v>
      </c>
      <c r="AZ947" s="136">
        <f t="shared" si="197"/>
        <v>3.2600099999998911</v>
      </c>
      <c r="BA947" s="136">
        <f t="shared" si="198"/>
        <v>0.95869814643846252</v>
      </c>
      <c r="BB947" s="136">
        <f t="shared" si="199"/>
        <v>0.9586985921447605</v>
      </c>
      <c r="BC947" s="136" t="e">
        <f t="shared" si="200"/>
        <v>#N/A</v>
      </c>
      <c r="BD947" s="136">
        <f t="shared" si="205"/>
        <v>1.9640658655050735E-3</v>
      </c>
      <c r="BE947" s="136">
        <f t="shared" si="201"/>
        <v>9.6406586550507349E-4</v>
      </c>
      <c r="BF947" s="136" t="e">
        <f t="shared" si="202"/>
        <v>#N/A</v>
      </c>
      <c r="BG947" s="136" t="e">
        <f t="shared" si="203"/>
        <v>#N/A</v>
      </c>
    </row>
    <row r="948" spans="47:59" ht="11.25" customHeight="1">
      <c r="AU948" s="136">
        <f t="shared" si="193"/>
        <v>0.99946226257817106</v>
      </c>
      <c r="AV948" s="136">
        <f t="shared" si="204"/>
        <v>3.2699999999998908</v>
      </c>
      <c r="AW948" s="136">
        <f t="shared" si="194"/>
        <v>1.900974683166759E-3</v>
      </c>
      <c r="AX948" s="136" t="e">
        <f t="shared" si="195"/>
        <v>#N/A</v>
      </c>
      <c r="AY948" s="136">
        <f t="shared" si="196"/>
        <v>3.2699899999998907</v>
      </c>
      <c r="AZ948" s="136">
        <f t="shared" si="197"/>
        <v>3.2700099999998908</v>
      </c>
      <c r="BA948" s="136">
        <f t="shared" si="198"/>
        <v>0.95892014113553325</v>
      </c>
      <c r="BB948" s="136">
        <f t="shared" si="199"/>
        <v>0.95892058340678221</v>
      </c>
      <c r="BC948" s="136" t="e">
        <f t="shared" si="200"/>
        <v>#N/A</v>
      </c>
      <c r="BD948" s="136">
        <f t="shared" si="205"/>
        <v>1.900974683166759E-3</v>
      </c>
      <c r="BE948" s="136">
        <f t="shared" si="201"/>
        <v>9.0097468316675897E-4</v>
      </c>
      <c r="BF948" s="136" t="e">
        <f t="shared" si="202"/>
        <v>#N/A</v>
      </c>
      <c r="BG948" s="136" t="e">
        <f t="shared" si="203"/>
        <v>#N/A</v>
      </c>
    </row>
    <row r="949" spans="47:59" ht="11.25" customHeight="1">
      <c r="AU949" s="136">
        <f t="shared" si="193"/>
        <v>0.99948096456679247</v>
      </c>
      <c r="AV949" s="136">
        <f t="shared" si="204"/>
        <v>3.2799999999998906</v>
      </c>
      <c r="AW949" s="136">
        <f t="shared" si="194"/>
        <v>1.8397261808249393E-3</v>
      </c>
      <c r="AX949" s="136" t="e">
        <f t="shared" si="195"/>
        <v>#N/A</v>
      </c>
      <c r="AY949" s="136">
        <f t="shared" si="196"/>
        <v>3.2799899999998905</v>
      </c>
      <c r="AZ949" s="136">
        <f t="shared" si="197"/>
        <v>3.2800099999998906</v>
      </c>
      <c r="BA949" s="136">
        <f t="shared" si="198"/>
        <v>0.95914042670197552</v>
      </c>
      <c r="BB949" s="136">
        <f t="shared" si="199"/>
        <v>0.95914086557175326</v>
      </c>
      <c r="BC949" s="136" t="e">
        <f t="shared" si="200"/>
        <v>#N/A</v>
      </c>
      <c r="BD949" s="136">
        <f t="shared" si="205"/>
        <v>1.8397261808249393E-3</v>
      </c>
      <c r="BE949" s="136">
        <f t="shared" si="201"/>
        <v>8.3972618082493928E-4</v>
      </c>
      <c r="BF949" s="136" t="e">
        <f t="shared" si="202"/>
        <v>#N/A</v>
      </c>
      <c r="BG949" s="136" t="e">
        <f t="shared" si="203"/>
        <v>#N/A</v>
      </c>
    </row>
    <row r="950" spans="47:59" ht="11.25" customHeight="1">
      <c r="AU950" s="136">
        <f t="shared" si="193"/>
        <v>0.99949906308621417</v>
      </c>
      <c r="AV950" s="136">
        <f t="shared" si="204"/>
        <v>3.2899999999998903</v>
      </c>
      <c r="AW950" s="136">
        <f t="shared" si="194"/>
        <v>1.7802730399625202E-3</v>
      </c>
      <c r="AX950" s="136" t="e">
        <f t="shared" si="195"/>
        <v>#N/A</v>
      </c>
      <c r="AY950" s="136">
        <f t="shared" si="196"/>
        <v>3.2899899999998903</v>
      </c>
      <c r="AZ950" s="136">
        <f t="shared" si="197"/>
        <v>3.2900099999998904</v>
      </c>
      <c r="BA950" s="136">
        <f t="shared" si="198"/>
        <v>0.9593590198297528</v>
      </c>
      <c r="BB950" s="136">
        <f t="shared" si="199"/>
        <v>0.95935945533124933</v>
      </c>
      <c r="BC950" s="136" t="e">
        <f t="shared" si="200"/>
        <v>#N/A</v>
      </c>
      <c r="BD950" s="136">
        <f t="shared" si="205"/>
        <v>1.7802730399625202E-3</v>
      </c>
      <c r="BE950" s="136">
        <f t="shared" si="201"/>
        <v>7.8027303996252022E-4</v>
      </c>
      <c r="BF950" s="136" t="e">
        <f t="shared" si="202"/>
        <v>#N/A</v>
      </c>
      <c r="BG950" s="136" t="e">
        <f t="shared" si="203"/>
        <v>#N/A</v>
      </c>
    </row>
    <row r="951" spans="47:59" ht="11.25" customHeight="1">
      <c r="AU951" s="136">
        <f t="shared" si="193"/>
        <v>0.99951657585761644</v>
      </c>
      <c r="AV951" s="136">
        <f t="shared" si="204"/>
        <v>3.2999999999998901</v>
      </c>
      <c r="AW951" s="136">
        <f t="shared" si="194"/>
        <v>1.7225689390543051E-3</v>
      </c>
      <c r="AX951" s="136" t="e">
        <f t="shared" si="195"/>
        <v>#N/A</v>
      </c>
      <c r="AY951" s="136">
        <f t="shared" si="196"/>
        <v>3.2999899999998901</v>
      </c>
      <c r="AZ951" s="136">
        <f t="shared" si="197"/>
        <v>3.3000099999998902</v>
      </c>
      <c r="BA951" s="136">
        <f t="shared" si="198"/>
        <v>0.95957593701829902</v>
      </c>
      <c r="BB951" s="136">
        <f t="shared" si="199"/>
        <v>0.95957636918432199</v>
      </c>
      <c r="BC951" s="136" t="e">
        <f t="shared" si="200"/>
        <v>#N/A</v>
      </c>
      <c r="BD951" s="136">
        <f t="shared" si="205"/>
        <v>1.7225689390543051E-3</v>
      </c>
      <c r="BE951" s="136">
        <f t="shared" si="201"/>
        <v>7.2256893905430506E-4</v>
      </c>
      <c r="BF951" s="136" t="e">
        <f t="shared" si="202"/>
        <v>#N/A</v>
      </c>
      <c r="BG951" s="136" t="e">
        <f t="shared" si="203"/>
        <v>#N/A</v>
      </c>
    </row>
    <row r="952" spans="47:59" ht="11.25" customHeight="1">
      <c r="AU952" s="136">
        <f t="shared" si="193"/>
        <v>0.99953352014389185</v>
      </c>
      <c r="AV952" s="136">
        <f t="shared" si="204"/>
        <v>3.3099999999998899</v>
      </c>
      <c r="AW952" s="136">
        <f t="shared" si="194"/>
        <v>1.6665685395751881E-3</v>
      </c>
      <c r="AX952" s="136" t="e">
        <f t="shared" si="195"/>
        <v>#N/A</v>
      </c>
      <c r="AY952" s="136">
        <f t="shared" si="196"/>
        <v>3.3099899999998899</v>
      </c>
      <c r="AZ952" s="136">
        <f t="shared" si="197"/>
        <v>3.31000999999989</v>
      </c>
      <c r="BA952" s="136">
        <f t="shared" si="198"/>
        <v>0.95979119457700535</v>
      </c>
      <c r="BB952" s="136">
        <f t="shared" si="199"/>
        <v>0.95979162343998492</v>
      </c>
      <c r="BC952" s="136" t="e">
        <f t="shared" si="200"/>
        <v>#N/A</v>
      </c>
      <c r="BD952" s="136">
        <f t="shared" si="205"/>
        <v>1.6665685395751881E-3</v>
      </c>
      <c r="BE952" s="136">
        <f t="shared" si="201"/>
        <v>6.6656853957518811E-4</v>
      </c>
      <c r="BF952" s="136" t="e">
        <f t="shared" si="202"/>
        <v>#N/A</v>
      </c>
      <c r="BG952" s="136" t="e">
        <f t="shared" si="203"/>
        <v>#N/A</v>
      </c>
    </row>
    <row r="953" spans="47:59" ht="11.25" customHeight="1">
      <c r="AU953" s="136">
        <f t="shared" si="193"/>
        <v>0.99954991275940863</v>
      </c>
      <c r="AV953" s="136">
        <f t="shared" si="204"/>
        <v>3.3199999999998897</v>
      </c>
      <c r="AW953" s="136">
        <f t="shared" si="194"/>
        <v>1.6122274719777142E-3</v>
      </c>
      <c r="AX953" s="136" t="e">
        <f t="shared" si="195"/>
        <v>#N/A</v>
      </c>
      <c r="AY953" s="136">
        <f t="shared" si="196"/>
        <v>3.3199899999998896</v>
      </c>
      <c r="AZ953" s="136">
        <f t="shared" si="197"/>
        <v>3.3200099999998898</v>
      </c>
      <c r="BA953" s="136">
        <f t="shared" si="198"/>
        <v>0.96000480862767246</v>
      </c>
      <c r="BB953" s="136">
        <f t="shared" si="199"/>
        <v>0.96000523421966566</v>
      </c>
      <c r="BC953" s="136" t="e">
        <f t="shared" si="200"/>
        <v>#N/A</v>
      </c>
      <c r="BD953" s="136">
        <f t="shared" si="205"/>
        <v>1.6122274719777142E-3</v>
      </c>
      <c r="BE953" s="136">
        <f t="shared" si="201"/>
        <v>6.122274719777142E-4</v>
      </c>
      <c r="BF953" s="136" t="e">
        <f t="shared" si="202"/>
        <v>#N/A</v>
      </c>
      <c r="BG953" s="136" t="e">
        <f t="shared" si="203"/>
        <v>#N/A</v>
      </c>
    </row>
    <row r="954" spans="47:59" ht="11.25" customHeight="1">
      <c r="AU954" s="136">
        <f t="shared" si="193"/>
        <v>0.99956577007961955</v>
      </c>
      <c r="AV954" s="136">
        <f t="shared" si="204"/>
        <v>3.3299999999998895</v>
      </c>
      <c r="AW954" s="136">
        <f t="shared" si="194"/>
        <v>1.5595023216482663E-3</v>
      </c>
      <c r="AX954" s="136" t="e">
        <f t="shared" si="195"/>
        <v>#N/A</v>
      </c>
      <c r="AY954" s="136">
        <f t="shared" si="196"/>
        <v>3.3299899999998894</v>
      </c>
      <c r="AZ954" s="136">
        <f t="shared" si="197"/>
        <v>3.3300099999998896</v>
      </c>
      <c r="BA954" s="136">
        <f t="shared" si="198"/>
        <v>0.96021679510692859</v>
      </c>
      <c r="BB954" s="136">
        <f t="shared" si="199"/>
        <v>0.96021721745962485</v>
      </c>
      <c r="BC954" s="136" t="e">
        <f t="shared" si="200"/>
        <v>#N/A</v>
      </c>
      <c r="BD954" s="136">
        <f t="shared" si="205"/>
        <v>1.5595023216482663E-3</v>
      </c>
      <c r="BE954" s="136">
        <f t="shared" si="201"/>
        <v>5.5950232164826631E-4</v>
      </c>
      <c r="BF954" s="136" t="e">
        <f t="shared" si="202"/>
        <v>#N/A</v>
      </c>
      <c r="BG954" s="136" t="e">
        <f t="shared" si="203"/>
        <v>#N/A</v>
      </c>
    </row>
    <row r="955" spans="47:59" ht="11.25" customHeight="1">
      <c r="AU955" s="136">
        <f t="shared" si="193"/>
        <v>0.99958110805054967</v>
      </c>
      <c r="AV955" s="136">
        <f t="shared" si="204"/>
        <v>3.3399999999998893</v>
      </c>
      <c r="AW955" s="136">
        <f t="shared" si="194"/>
        <v>1.5083506148508643E-3</v>
      </c>
      <c r="AX955" s="136" t="e">
        <f t="shared" si="195"/>
        <v>#N/A</v>
      </c>
      <c r="AY955" s="136">
        <f t="shared" si="196"/>
        <v>3.3399899999998892</v>
      </c>
      <c r="AZ955" s="136">
        <f t="shared" si="197"/>
        <v>3.3400099999998893</v>
      </c>
      <c r="BA955" s="136">
        <f t="shared" si="198"/>
        <v>0.96042716976861542</v>
      </c>
      <c r="BB955" s="136">
        <f t="shared" si="199"/>
        <v>0.9604275889133409</v>
      </c>
      <c r="BC955" s="136" t="e">
        <f t="shared" si="200"/>
        <v>#N/A</v>
      </c>
      <c r="BD955" s="136">
        <f t="shared" si="205"/>
        <v>1.5083506148508643E-3</v>
      </c>
      <c r="BE955" s="136">
        <f t="shared" si="201"/>
        <v>5.0835061485086431E-4</v>
      </c>
      <c r="BF955" s="136" t="e">
        <f t="shared" si="202"/>
        <v>#N/A</v>
      </c>
      <c r="BG955" s="136" t="e">
        <f t="shared" si="203"/>
        <v>#N/A</v>
      </c>
    </row>
    <row r="956" spans="47:59" ht="11.25" customHeight="1">
      <c r="AU956" s="136">
        <f t="shared" si="193"/>
        <v>0.99959594219813475</v>
      </c>
      <c r="AV956" s="136">
        <f t="shared" si="204"/>
        <v>3.3499999999998891</v>
      </c>
      <c r="AW956" s="136">
        <f t="shared" si="194"/>
        <v>1.4587308046672873E-3</v>
      </c>
      <c r="AX956" s="136" t="e">
        <f t="shared" si="195"/>
        <v>#N/A</v>
      </c>
      <c r="AY956" s="136">
        <f t="shared" si="196"/>
        <v>3.349989999999889</v>
      </c>
      <c r="AZ956" s="136">
        <f t="shared" si="197"/>
        <v>3.3500099999998891</v>
      </c>
      <c r="BA956" s="136">
        <f t="shared" si="198"/>
        <v>0.9606359481861404</v>
      </c>
      <c r="BB956" s="136">
        <f t="shared" si="199"/>
        <v>0.96063636415386267</v>
      </c>
      <c r="BC956" s="136" t="e">
        <f t="shared" si="200"/>
        <v>#N/A</v>
      </c>
      <c r="BD956" s="136">
        <f t="shared" si="205"/>
        <v>1.4587308046672873E-3</v>
      </c>
      <c r="BE956" s="136">
        <f t="shared" si="201"/>
        <v>4.587308046672873E-4</v>
      </c>
      <c r="BF956" s="136" t="e">
        <f t="shared" si="202"/>
        <v>#N/A</v>
      </c>
      <c r="BG956" s="136" t="e">
        <f t="shared" si="203"/>
        <v>#N/A</v>
      </c>
    </row>
    <row r="957" spans="47:59" ht="11.25" customHeight="1">
      <c r="AU957" s="136">
        <f t="shared" si="193"/>
        <v>0.99961028763741822</v>
      </c>
      <c r="AV957" s="136">
        <f t="shared" si="204"/>
        <v>3.3599999999998889</v>
      </c>
      <c r="AW957" s="136">
        <f t="shared" si="194"/>
        <v>1.4106022569419111E-3</v>
      </c>
      <c r="AX957" s="136" t="e">
        <f t="shared" si="195"/>
        <v>#N/A</v>
      </c>
      <c r="AY957" s="136">
        <f t="shared" si="196"/>
        <v>3.3599899999998888</v>
      </c>
      <c r="AZ957" s="136">
        <f t="shared" si="197"/>
        <v>3.3600099999998889</v>
      </c>
      <c r="BA957" s="136">
        <f t="shared" si="198"/>
        <v>0.96084314575479735</v>
      </c>
      <c r="BB957" s="136">
        <f t="shared" si="199"/>
        <v>0.96084355857613002</v>
      </c>
      <c r="BC957" s="136" t="e">
        <f t="shared" si="200"/>
        <v>#N/A</v>
      </c>
      <c r="BD957" s="136">
        <f t="shared" si="205"/>
        <v>1.4106022569419111E-3</v>
      </c>
      <c r="BE957" s="136">
        <f t="shared" si="201"/>
        <v>4.1060225694191104E-4</v>
      </c>
      <c r="BF957" s="136" t="e">
        <f t="shared" si="202"/>
        <v>#N/A</v>
      </c>
      <c r="BG957" s="136" t="e">
        <f t="shared" si="203"/>
        <v>#N/A</v>
      </c>
    </row>
    <row r="958" spans="47:59" ht="11.25" customHeight="1">
      <c r="AU958" s="136">
        <f t="shared" si="193"/>
        <v>0.99962415908159996</v>
      </c>
      <c r="AV958" s="136">
        <f t="shared" si="204"/>
        <v>3.3699999999998886</v>
      </c>
      <c r="AW958" s="136">
        <f t="shared" si="194"/>
        <v>1.3639252362394158E-3</v>
      </c>
      <c r="AX958" s="136" t="e">
        <f t="shared" si="195"/>
        <v>#N/A</v>
      </c>
      <c r="AY958" s="136">
        <f t="shared" si="196"/>
        <v>3.3699899999998886</v>
      </c>
      <c r="AZ958" s="136">
        <f t="shared" si="197"/>
        <v>3.3700099999998887</v>
      </c>
      <c r="BA958" s="136">
        <f t="shared" si="198"/>
        <v>0.96104877769405461</v>
      </c>
      <c r="BB958" s="136">
        <f t="shared" si="199"/>
        <v>0.96104918739926193</v>
      </c>
      <c r="BC958" s="136" t="e">
        <f t="shared" si="200"/>
        <v>#N/A</v>
      </c>
      <c r="BD958" s="136">
        <f t="shared" si="205"/>
        <v>1.3639252362394158E-3</v>
      </c>
      <c r="BE958" s="136">
        <f t="shared" si="201"/>
        <v>3.639252362394158E-4</v>
      </c>
      <c r="BF958" s="136" t="e">
        <f t="shared" si="202"/>
        <v>#N/A</v>
      </c>
      <c r="BG958" s="136" t="e">
        <f t="shared" si="203"/>
        <v>#N/A</v>
      </c>
    </row>
    <row r="959" spans="47:59" ht="11.25" customHeight="1">
      <c r="AU959" s="136">
        <f t="shared" si="193"/>
        <v>0.99963757085096694</v>
      </c>
      <c r="AV959" s="136">
        <f t="shared" si="204"/>
        <v>3.3799999999998884</v>
      </c>
      <c r="AW959" s="136">
        <f t="shared" si="194"/>
        <v>1.3186608918232387E-3</v>
      </c>
      <c r="AX959" s="136" t="e">
        <f t="shared" si="195"/>
        <v>#N/A</v>
      </c>
      <c r="AY959" s="136">
        <f t="shared" si="196"/>
        <v>3.3799899999998884</v>
      </c>
      <c r="AZ959" s="136">
        <f t="shared" si="197"/>
        <v>3.3800099999998885</v>
      </c>
      <c r="BA959" s="136">
        <f t="shared" si="198"/>
        <v>0.96125285904981217</v>
      </c>
      <c r="BB959" s="136">
        <f t="shared" si="199"/>
        <v>0.96125326566881353</v>
      </c>
      <c r="BC959" s="136" t="e">
        <f t="shared" si="200"/>
        <v>#N/A</v>
      </c>
      <c r="BD959" s="136">
        <f t="shared" si="205"/>
        <v>1.3186608918232387E-3</v>
      </c>
      <c r="BE959" s="136">
        <f t="shared" si="201"/>
        <v>3.1866089182323865E-4</v>
      </c>
      <c r="BF959" s="136" t="e">
        <f t="shared" si="202"/>
        <v>#N/A</v>
      </c>
      <c r="BG959" s="136" t="e">
        <f t="shared" si="203"/>
        <v>#N/A</v>
      </c>
    </row>
    <row r="960" spans="47:59" ht="11.25" customHeight="1">
      <c r="AU960" s="136">
        <f t="shared" si="193"/>
        <v>0.9996505368816625</v>
      </c>
      <c r="AV960" s="136">
        <f t="shared" si="204"/>
        <v>3.3899999999998882</v>
      </c>
      <c r="AW960" s="136">
        <f t="shared" si="194"/>
        <v>1.2747712436623161E-3</v>
      </c>
      <c r="AX960" s="136" t="e">
        <f t="shared" si="195"/>
        <v>#N/A</v>
      </c>
      <c r="AY960" s="136">
        <f t="shared" si="196"/>
        <v>3.3899899999998881</v>
      </c>
      <c r="AZ960" s="136">
        <f t="shared" si="197"/>
        <v>3.3900099999998883</v>
      </c>
      <c r="BA960" s="136">
        <f t="shared" si="198"/>
        <v>0.96145540469662805</v>
      </c>
      <c r="BB960" s="136">
        <f t="shared" si="199"/>
        <v>0.96145580825900234</v>
      </c>
      <c r="BC960" s="136" t="e">
        <f t="shared" si="200"/>
        <v>#N/A</v>
      </c>
      <c r="BD960" s="136">
        <f t="shared" si="205"/>
        <v>1.2747712436623161E-3</v>
      </c>
      <c r="BE960" s="136">
        <f t="shared" si="201"/>
        <v>2.7477124366231606E-4</v>
      </c>
      <c r="BF960" s="136" t="e">
        <f t="shared" si="202"/>
        <v>#N/A</v>
      </c>
      <c r="BG960" s="136" t="e">
        <f t="shared" si="203"/>
        <v>#N/A</v>
      </c>
    </row>
    <row r="961" spans="47:59" ht="11.25" customHeight="1">
      <c r="AU961" s="136">
        <f t="shared" si="193"/>
        <v>0.99966307073432237</v>
      </c>
      <c r="AV961" s="136">
        <f t="shared" si="204"/>
        <v>3.399999999999888</v>
      </c>
      <c r="AW961" s="136">
        <f t="shared" si="194"/>
        <v>1.2322191684734881E-3</v>
      </c>
      <c r="AX961" s="136" t="e">
        <f t="shared" si="195"/>
        <v>#N/A</v>
      </c>
      <c r="AY961" s="136">
        <f t="shared" si="196"/>
        <v>3.3999899999998879</v>
      </c>
      <c r="AZ961" s="136">
        <f t="shared" si="197"/>
        <v>3.4000099999998881</v>
      </c>
      <c r="BA961" s="136">
        <f t="shared" si="198"/>
        <v>0.96165642933991302</v>
      </c>
      <c r="BB961" s="136">
        <f t="shared" si="199"/>
        <v>0.96165682987490309</v>
      </c>
      <c r="BC961" s="136" t="e">
        <f t="shared" si="200"/>
        <v>#N/A</v>
      </c>
      <c r="BD961" s="136">
        <f t="shared" si="205"/>
        <v>1.2322191684734881E-3</v>
      </c>
      <c r="BE961" s="136">
        <f t="shared" si="201"/>
        <v>2.3221916847348807E-4</v>
      </c>
      <c r="BF961" s="136" t="e">
        <f t="shared" si="202"/>
        <v>#N/A</v>
      </c>
      <c r="BG961" s="136" t="e">
        <f t="shared" si="203"/>
        <v>#N/A</v>
      </c>
    </row>
    <row r="962" spans="47:59" ht="11.25" customHeight="1">
      <c r="AU962" s="136">
        <f t="shared" si="193"/>
        <v>0.99967518560258117</v>
      </c>
      <c r="AV962" s="136">
        <f t="shared" si="204"/>
        <v>3.4099999999998878</v>
      </c>
      <c r="AW962" s="136">
        <f t="shared" si="194"/>
        <v>1.1909683858065737E-3</v>
      </c>
      <c r="AX962" s="136" t="e">
        <f t="shared" si="195"/>
        <v>#N/A</v>
      </c>
      <c r="AY962" s="136">
        <f t="shared" si="196"/>
        <v>3.4099899999998877</v>
      </c>
      <c r="AZ962" s="136">
        <f t="shared" si="197"/>
        <v>3.4100099999998879</v>
      </c>
      <c r="BA962" s="136">
        <f t="shared" si="198"/>
        <v>0.96185594751809689</v>
      </c>
      <c r="BB962" s="136">
        <f t="shared" si="199"/>
        <v>0.9618563450546137</v>
      </c>
      <c r="BC962" s="136" t="e">
        <f t="shared" si="200"/>
        <v>#N/A</v>
      </c>
      <c r="BD962" s="136">
        <f t="shared" si="205"/>
        <v>1.1909683858065737E-3</v>
      </c>
      <c r="BE962" s="136">
        <f t="shared" si="201"/>
        <v>1.9096838580657366E-4</v>
      </c>
      <c r="BF962" s="136" t="e">
        <f t="shared" si="202"/>
        <v>#N/A</v>
      </c>
      <c r="BG962" s="136" t="e">
        <f t="shared" si="203"/>
        <v>#N/A</v>
      </c>
    </row>
    <row r="963" spans="47:59" ht="11.25" customHeight="1">
      <c r="AU963" s="136">
        <f t="shared" si="193"/>
        <v>0.99968689432141855</v>
      </c>
      <c r="AV963" s="136">
        <f t="shared" si="204"/>
        <v>3.4199999999998876</v>
      </c>
      <c r="AW963" s="136">
        <f t="shared" si="194"/>
        <v>1.150983444178926E-3</v>
      </c>
      <c r="AX963" s="136" t="e">
        <f t="shared" si="195"/>
        <v>#N/A</v>
      </c>
      <c r="AY963" s="136">
        <f t="shared" si="196"/>
        <v>3.4199899999998875</v>
      </c>
      <c r="AZ963" s="136">
        <f t="shared" si="197"/>
        <v>3.4200099999998876</v>
      </c>
      <c r="BA963" s="136">
        <f t="shared" si="198"/>
        <v>0.9620539736047633</v>
      </c>
      <c r="BB963" s="136">
        <f t="shared" si="199"/>
        <v>0.96205436817139023</v>
      </c>
      <c r="BC963" s="136" t="e">
        <f t="shared" si="200"/>
        <v>#N/A</v>
      </c>
      <c r="BD963" s="136">
        <f t="shared" si="205"/>
        <v>1.150983444178926E-3</v>
      </c>
      <c r="BE963" s="136">
        <f t="shared" si="201"/>
        <v>1.50983444178926E-4</v>
      </c>
      <c r="BF963" s="136" t="e">
        <f t="shared" si="202"/>
        <v>#N/A</v>
      </c>
      <c r="BG963" s="136" t="e">
        <f t="shared" si="203"/>
        <v>#N/A</v>
      </c>
    </row>
    <row r="964" spans="47:59" ht="11.25" customHeight="1">
      <c r="AU964" s="136">
        <f t="shared" si="193"/>
        <v>0.99969820937539122</v>
      </c>
      <c r="AV964" s="136">
        <f t="shared" si="204"/>
        <v>3.4299999999998874</v>
      </c>
      <c r="AW964" s="136">
        <f t="shared" si="194"/>
        <v>1.1122297072659944E-3</v>
      </c>
      <c r="AX964" s="136" t="e">
        <f t="shared" si="195"/>
        <v>#N/A</v>
      </c>
      <c r="AY964" s="136">
        <f t="shared" si="196"/>
        <v>3.4299899999998873</v>
      </c>
      <c r="AZ964" s="136">
        <f t="shared" si="197"/>
        <v>3.4300099999998874</v>
      </c>
      <c r="BA964" s="136">
        <f t="shared" si="198"/>
        <v>0.96225052181075654</v>
      </c>
      <c r="BB964" s="136">
        <f t="shared" si="199"/>
        <v>0.96225091343575364</v>
      </c>
      <c r="BC964" s="136" t="e">
        <f t="shared" si="200"/>
        <v>#N/A</v>
      </c>
      <c r="BD964" s="136">
        <f t="shared" si="205"/>
        <v>1.1122297072659944E-3</v>
      </c>
      <c r="BE964" s="136">
        <f t="shared" si="201"/>
        <v>1.122297072659944E-4</v>
      </c>
      <c r="BF964" s="136" t="e">
        <f t="shared" si="202"/>
        <v>#N/A</v>
      </c>
      <c r="BG964" s="136" t="e">
        <f t="shared" si="203"/>
        <v>#N/A</v>
      </c>
    </row>
    <row r="965" spans="47:59" ht="11.25" customHeight="1">
      <c r="AU965" s="136">
        <f t="shared" si="193"/>
        <v>0.99970914290670876</v>
      </c>
      <c r="AV965" s="136">
        <f t="shared" si="204"/>
        <v>3.4399999999998871</v>
      </c>
      <c r="AW965" s="136">
        <f t="shared" si="194"/>
        <v>1.0746733401541518E-3</v>
      </c>
      <c r="AX965" s="136" t="e">
        <f t="shared" si="195"/>
        <v>#N/A</v>
      </c>
      <c r="AY965" s="136">
        <f t="shared" si="196"/>
        <v>3.4399899999998871</v>
      </c>
      <c r="AZ965" s="136">
        <f t="shared" si="197"/>
        <v>3.4400099999998872</v>
      </c>
      <c r="BA965" s="136">
        <f t="shared" si="198"/>
        <v>0.96244560618625852</v>
      </c>
      <c r="BB965" s="136">
        <f t="shared" si="199"/>
        <v>0.96244599489756655</v>
      </c>
      <c r="BC965" s="136" t="e">
        <f t="shared" si="200"/>
        <v>#N/A</v>
      </c>
      <c r="BD965" s="136">
        <f t="shared" si="205"/>
        <v>1.0746733401541518E-3</v>
      </c>
      <c r="BE965" s="136">
        <f t="shared" si="201"/>
        <v>7.4673340154151734E-5</v>
      </c>
      <c r="BF965" s="136" t="e">
        <f t="shared" si="202"/>
        <v>#N/A</v>
      </c>
      <c r="BG965" s="136" t="e">
        <f t="shared" si="203"/>
        <v>#N/A</v>
      </c>
    </row>
    <row r="966" spans="47:59" ht="11.25" customHeight="1">
      <c r="AU966" s="136">
        <f t="shared" si="193"/>
        <v>0.99971970672318211</v>
      </c>
      <c r="AV966" s="136">
        <f t="shared" si="204"/>
        <v>3.4499999999998869</v>
      </c>
      <c r="AW966" s="136">
        <f t="shared" si="194"/>
        <v>1.038281295661816E-3</v>
      </c>
      <c r="AX966" s="136" t="e">
        <f t="shared" si="195"/>
        <v>#N/A</v>
      </c>
      <c r="AY966" s="136">
        <f t="shared" si="196"/>
        <v>3.4499899999998869</v>
      </c>
      <c r="AZ966" s="136">
        <f t="shared" si="197"/>
        <v>3.450009999999887</v>
      </c>
      <c r="BA966" s="136">
        <f t="shared" si="198"/>
        <v>0.96263924062283801</v>
      </c>
      <c r="BB966" s="136">
        <f t="shared" si="199"/>
        <v>0.96263962644808243</v>
      </c>
      <c r="BC966" s="136" t="e">
        <f t="shared" si="200"/>
        <v>#N/A</v>
      </c>
      <c r="BD966" s="136">
        <f t="shared" si="205"/>
        <v>1.038281295661816E-3</v>
      </c>
      <c r="BE966" s="136">
        <f t="shared" si="201"/>
        <v>3.8281295661816029E-5</v>
      </c>
      <c r="BF966" s="136" t="e">
        <f t="shared" si="202"/>
        <v>#N/A</v>
      </c>
      <c r="BG966" s="136" t="e">
        <f t="shared" si="203"/>
        <v>#N/A</v>
      </c>
    </row>
    <row r="967" spans="47:59" ht="11.25" customHeight="1">
      <c r="AU967" s="136">
        <f t="shared" si="193"/>
        <v>0.99972991230603681</v>
      </c>
      <c r="AV967" s="136">
        <f t="shared" si="204"/>
        <v>3.4599999999998867</v>
      </c>
      <c r="AW967" s="136">
        <f t="shared" si="194"/>
        <v>1.0030213007346312E-3</v>
      </c>
      <c r="AX967" s="136" t="e">
        <f t="shared" si="195"/>
        <v>#N/A</v>
      </c>
      <c r="AY967" s="136">
        <f t="shared" si="196"/>
        <v>3.4599899999998867</v>
      </c>
      <c r="AZ967" s="136">
        <f t="shared" si="197"/>
        <v>3.4600099999998868</v>
      </c>
      <c r="BA967" s="136">
        <f t="shared" si="198"/>
        <v>0.96283143885547096</v>
      </c>
      <c r="BB967" s="136">
        <f t="shared" si="199"/>
        <v>0.96283182182196614</v>
      </c>
      <c r="BC967" s="136" t="e">
        <f t="shared" si="200"/>
        <v>#N/A</v>
      </c>
      <c r="BD967" s="136">
        <f t="shared" si="205"/>
        <v>1.0030213007346312E-3</v>
      </c>
      <c r="BE967" s="136">
        <f t="shared" si="201"/>
        <v>3.0213007346311781E-6</v>
      </c>
      <c r="BF967" s="136" t="e">
        <f t="shared" si="202"/>
        <v>#N/A</v>
      </c>
      <c r="BG967" s="136" t="e">
        <f t="shared" si="203"/>
        <v>#N/A</v>
      </c>
    </row>
    <row r="968" spans="47:59" ht="11.25" customHeight="1">
      <c r="AU968" s="136">
        <f t="shared" si="193"/>
        <v>0.99973977081757326</v>
      </c>
      <c r="AV968" s="136">
        <f t="shared" si="204"/>
        <v>3.4699999999998865</v>
      </c>
      <c r="AW968" s="136">
        <f t="shared" si="194"/>
        <v>9.6886184292022787E-4</v>
      </c>
      <c r="AX968" s="136" t="e">
        <f t="shared" si="195"/>
        <v>#N/A</v>
      </c>
      <c r="AY968" s="136">
        <f t="shared" si="196"/>
        <v>3.4699899999998864</v>
      </c>
      <c r="AZ968" s="136">
        <f t="shared" si="197"/>
        <v>3.4700099999998866</v>
      </c>
      <c r="BA968" s="136">
        <f t="shared" si="198"/>
        <v>0.96302221446453373</v>
      </c>
      <c r="BB968" s="136">
        <f t="shared" si="199"/>
        <v>0.96302259459928707</v>
      </c>
      <c r="BC968" s="136" t="e">
        <f t="shared" si="200"/>
        <v>#N/A</v>
      </c>
      <c r="BD968" s="136">
        <f t="shared" si="205"/>
        <v>9.6886184292022787E-4</v>
      </c>
      <c r="BE968" s="136">
        <f t="shared" si="201"/>
        <v>-3.1138157079772149E-5</v>
      </c>
      <c r="BF968" s="136" t="e">
        <f t="shared" si="202"/>
        <v>#N/A</v>
      </c>
      <c r="BG968" s="136" t="e">
        <f t="shared" si="203"/>
        <v>#N/A</v>
      </c>
    </row>
    <row r="969" spans="47:59" ht="11.25" customHeight="1">
      <c r="AU969" s="136">
        <f t="shared" si="193"/>
        <v>0.99974929310871863</v>
      </c>
      <c r="AV969" s="136">
        <f t="shared" si="204"/>
        <v>3.4799999999998863</v>
      </c>
      <c r="AW969" s="136">
        <f t="shared" si="194"/>
        <v>9.3577215692785024E-4</v>
      </c>
      <c r="AX969" s="136" t="e">
        <f t="shared" si="195"/>
        <v>#N/A</v>
      </c>
      <c r="AY969" s="136">
        <f t="shared" si="196"/>
        <v>3.4799899999998862</v>
      </c>
      <c r="AZ969" s="136">
        <f t="shared" si="197"/>
        <v>3.4800099999998864</v>
      </c>
      <c r="BA969" s="136">
        <f t="shared" si="198"/>
        <v>0.96321158087776904</v>
      </c>
      <c r="BB969" s="136">
        <f t="shared" si="199"/>
        <v>0.96321195820748418</v>
      </c>
      <c r="BC969" s="136" t="e">
        <f t="shared" si="200"/>
        <v>#N/A</v>
      </c>
      <c r="BD969" s="136">
        <f t="shared" si="205"/>
        <v>9.3577215692785024E-4</v>
      </c>
      <c r="BE969" s="136">
        <f t="shared" si="201"/>
        <v>-6.4227843072149778E-5</v>
      </c>
      <c r="BF969" s="136" t="e">
        <f t="shared" si="202"/>
        <v>#N/A</v>
      </c>
      <c r="BG969" s="136" t="e">
        <f t="shared" si="203"/>
        <v>#N/A</v>
      </c>
    </row>
    <row r="970" spans="47:59" ht="11.25" customHeight="1">
      <c r="AU970" s="136">
        <f t="shared" si="193"/>
        <v>0.99975848972643122</v>
      </c>
      <c r="AV970" s="136">
        <f t="shared" si="204"/>
        <v>3.4899999999998861</v>
      </c>
      <c r="AW970" s="136">
        <f t="shared" si="194"/>
        <v>9.03722211277884E-4</v>
      </c>
      <c r="AX970" s="136" t="e">
        <f t="shared" si="195"/>
        <v>#N/A</v>
      </c>
      <c r="AY970" s="136">
        <f t="shared" si="196"/>
        <v>3.489989999999886</v>
      </c>
      <c r="AZ970" s="136">
        <f t="shared" si="197"/>
        <v>3.4900099999998861</v>
      </c>
      <c r="BA970" s="136">
        <f t="shared" si="198"/>
        <v>0.96339955137222411</v>
      </c>
      <c r="BB970" s="136">
        <f t="shared" si="199"/>
        <v>0.96339992592330548</v>
      </c>
      <c r="BC970" s="136" t="e">
        <f t="shared" si="200"/>
        <v>#N/A</v>
      </c>
      <c r="BD970" s="136">
        <f t="shared" si="205"/>
        <v>9.03722211277884E-4</v>
      </c>
      <c r="BE970" s="136">
        <f t="shared" si="201"/>
        <v>-9.627778872211602E-5</v>
      </c>
      <c r="BF970" s="136" t="e">
        <f t="shared" si="202"/>
        <v>#N/A</v>
      </c>
      <c r="BG970" s="136" t="e">
        <f t="shared" si="203"/>
        <v>#N/A</v>
      </c>
    </row>
    <row r="971" spans="47:59" ht="11.25" customHeight="1">
      <c r="AU971" s="136">
        <f t="shared" si="193"/>
        <v>0.99976737092096524</v>
      </c>
      <c r="AV971" s="136">
        <f t="shared" si="204"/>
        <v>3.4999999999998859</v>
      </c>
      <c r="AW971" s="136">
        <f t="shared" si="194"/>
        <v>8.7268269504610883E-4</v>
      </c>
      <c r="AX971" s="136" t="e">
        <f t="shared" si="195"/>
        <v>#N/A</v>
      </c>
      <c r="AY971" s="136">
        <f t="shared" si="196"/>
        <v>3.4999899999998858</v>
      </c>
      <c r="AZ971" s="136">
        <f t="shared" si="197"/>
        <v>3.5000099999998859</v>
      </c>
      <c r="BA971" s="136">
        <f t="shared" si="198"/>
        <v>0.96358613907616308</v>
      </c>
      <c r="BB971" s="136">
        <f t="shared" si="199"/>
        <v>0.96358651087471947</v>
      </c>
      <c r="BC971" s="136" t="e">
        <f t="shared" si="200"/>
        <v>#N/A</v>
      </c>
      <c r="BD971" s="136">
        <f t="shared" si="205"/>
        <v>8.7268269504610883E-4</v>
      </c>
      <c r="BE971" s="136">
        <f t="shared" si="201"/>
        <v>-1.2731730495389119E-4</v>
      </c>
      <c r="BF971" s="136" t="e">
        <f t="shared" si="202"/>
        <v>#N/A</v>
      </c>
      <c r="BG971" s="136" t="e">
        <f t="shared" si="203"/>
        <v>#N/A</v>
      </c>
    </row>
    <row r="972" spans="47:59" ht="11.25" customHeight="1">
      <c r="AU972" s="136">
        <f t="shared" si="193"/>
        <v>0.99977594665300784</v>
      </c>
      <c r="AV972" s="136">
        <f t="shared" si="204"/>
        <v>3.5099999999998857</v>
      </c>
      <c r="AW972" s="136">
        <f t="shared" si="194"/>
        <v>8.4262500470724019E-4</v>
      </c>
      <c r="AX972" s="136" t="e">
        <f t="shared" si="195"/>
        <v>#N/A</v>
      </c>
      <c r="AY972" s="136">
        <f t="shared" si="196"/>
        <v>3.5099899999998856</v>
      </c>
      <c r="AZ972" s="136">
        <f t="shared" si="197"/>
        <v>3.5100099999998857</v>
      </c>
      <c r="BA972" s="136">
        <f t="shared" si="198"/>
        <v>0.96377135697095306</v>
      </c>
      <c r="BB972" s="136">
        <f t="shared" si="199"/>
        <v>0.96377172604280115</v>
      </c>
      <c r="BC972" s="136" t="e">
        <f t="shared" si="200"/>
        <v>#N/A</v>
      </c>
      <c r="BD972" s="136">
        <f t="shared" si="205"/>
        <v>8.4262500470724019E-4</v>
      </c>
      <c r="BE972" s="136">
        <f t="shared" si="201"/>
        <v>-1.5737499529275983E-4</v>
      </c>
      <c r="BF972" s="136" t="e">
        <f t="shared" si="202"/>
        <v>#N/A</v>
      </c>
      <c r="BG972" s="136" t="e">
        <f t="shared" si="203"/>
        <v>#N/A</v>
      </c>
    </row>
    <row r="973" spans="47:59" ht="11.25" customHeight="1">
      <c r="AU973" s="136">
        <f t="shared" si="193"/>
        <v>0.99978422660070532</v>
      </c>
      <c r="AV973" s="136">
        <f t="shared" si="204"/>
        <v>3.5199999999998854</v>
      </c>
      <c r="AW973" s="136">
        <f t="shared" si="194"/>
        <v>8.1352123108213638E-4</v>
      </c>
      <c r="AX973" s="136" t="e">
        <f t="shared" si="195"/>
        <v>#N/A</v>
      </c>
      <c r="AY973" s="136">
        <f t="shared" si="196"/>
        <v>3.5199899999998854</v>
      </c>
      <c r="AZ973" s="136">
        <f t="shared" si="197"/>
        <v>3.5200099999998855</v>
      </c>
      <c r="BA973" s="136">
        <f t="shared" si="198"/>
        <v>0.96395521789292404</v>
      </c>
      <c r="BB973" s="136">
        <f t="shared" si="199"/>
        <v>0.9639555842635924</v>
      </c>
      <c r="BC973" s="136" t="e">
        <f t="shared" si="200"/>
        <v>#N/A</v>
      </c>
      <c r="BD973" s="136">
        <f t="shared" si="205"/>
        <v>8.1352123108213638E-4</v>
      </c>
      <c r="BE973" s="136">
        <f t="shared" si="201"/>
        <v>-1.8647876891786364E-4</v>
      </c>
      <c r="BF973" s="136" t="e">
        <f t="shared" si="202"/>
        <v>#N/A</v>
      </c>
      <c r="BG973" s="136" t="e">
        <f t="shared" si="203"/>
        <v>#N/A</v>
      </c>
    </row>
    <row r="974" spans="47:59" ht="11.25" customHeight="1">
      <c r="AU974" s="136">
        <f t="shared" si="193"/>
        <v>0.99979222016652036</v>
      </c>
      <c r="AV974" s="136">
        <f t="shared" si="204"/>
        <v>3.5299999999998852</v>
      </c>
      <c r="AW974" s="136">
        <f t="shared" si="194"/>
        <v>7.853441463927871E-4</v>
      </c>
      <c r="AX974" s="136" t="e">
        <f t="shared" si="195"/>
        <v>#N/A</v>
      </c>
      <c r="AY974" s="136">
        <f t="shared" si="196"/>
        <v>3.5299899999998852</v>
      </c>
      <c r="AZ974" s="136">
        <f t="shared" si="197"/>
        <v>3.5300099999998853</v>
      </c>
      <c r="BA974" s="136">
        <f t="shared" si="198"/>
        <v>0.96413773453520335</v>
      </c>
      <c r="BB974" s="136">
        <f t="shared" si="199"/>
        <v>0.96413809822993601</v>
      </c>
      <c r="BC974" s="136" t="e">
        <f t="shared" si="200"/>
        <v>#N/A</v>
      </c>
      <c r="BD974" s="136">
        <f t="shared" si="205"/>
        <v>7.853441463927871E-4</v>
      </c>
      <c r="BE974" s="136">
        <f t="shared" si="201"/>
        <v>-2.1465585360721292E-4</v>
      </c>
      <c r="BF974" s="136" t="e">
        <f t="shared" si="202"/>
        <v>#N/A</v>
      </c>
      <c r="BG974" s="136" t="e">
        <f t="shared" si="203"/>
        <v>#N/A</v>
      </c>
    </row>
    <row r="975" spans="47:59" ht="11.25" customHeight="1">
      <c r="AU975" s="136">
        <f t="shared" si="193"/>
        <v>0.99979993648399257</v>
      </c>
      <c r="AV975" s="136">
        <f t="shared" si="204"/>
        <v>3.539999999999885</v>
      </c>
      <c r="AW975" s="136">
        <f t="shared" si="194"/>
        <v>7.5806719142901919E-4</v>
      </c>
      <c r="AX975" s="136" t="e">
        <f t="shared" si="195"/>
        <v>#N/A</v>
      </c>
      <c r="AY975" s="136">
        <f t="shared" si="196"/>
        <v>3.539989999999885</v>
      </c>
      <c r="AZ975" s="136">
        <f t="shared" si="197"/>
        <v>3.5400099999998851</v>
      </c>
      <c r="BA975" s="136">
        <f t="shared" si="198"/>
        <v>0.9643189194495253</v>
      </c>
      <c r="BB975" s="136">
        <f t="shared" si="199"/>
        <v>0.9643192804932853</v>
      </c>
      <c r="BC975" s="136" t="e">
        <f t="shared" si="200"/>
        <v>#N/A</v>
      </c>
      <c r="BD975" s="136">
        <f t="shared" si="205"/>
        <v>7.5806719142901919E-4</v>
      </c>
      <c r="BE975" s="136">
        <f t="shared" si="201"/>
        <v>-2.4193280857098083E-4</v>
      </c>
      <c r="BF975" s="136" t="e">
        <f t="shared" si="202"/>
        <v>#N/A</v>
      </c>
      <c r="BG975" s="136" t="e">
        <f t="shared" si="203"/>
        <v>#N/A</v>
      </c>
    </row>
    <row r="976" spans="47:59" ht="11.25" customHeight="1">
      <c r="AU976" s="136">
        <f t="shared" si="193"/>
        <v>0.99980738442436423</v>
      </c>
      <c r="AV976" s="136">
        <f t="shared" si="204"/>
        <v>3.5499999999998848</v>
      </c>
      <c r="AW976" s="136">
        <f t="shared" si="194"/>
        <v>7.316644628306097E-4</v>
      </c>
      <c r="AX976" s="136" t="e">
        <f t="shared" si="195"/>
        <v>#N/A</v>
      </c>
      <c r="AY976" s="136">
        <f t="shared" si="196"/>
        <v>3.5499899999998847</v>
      </c>
      <c r="AZ976" s="136">
        <f t="shared" si="197"/>
        <v>3.5500099999998849</v>
      </c>
      <c r="BA976" s="136">
        <f t="shared" si="198"/>
        <v>0.96449878504801612</v>
      </c>
      <c r="BB976" s="136">
        <f t="shared" si="199"/>
        <v>0.96449914346548882</v>
      </c>
      <c r="BC976" s="136" t="e">
        <f t="shared" si="200"/>
        <v>#N/A</v>
      </c>
      <c r="BD976" s="136">
        <f t="shared" si="205"/>
        <v>7.316644628306097E-4</v>
      </c>
      <c r="BE976" s="136">
        <f t="shared" si="201"/>
        <v>-2.6833553716939032E-4</v>
      </c>
      <c r="BF976" s="136" t="e">
        <f t="shared" si="202"/>
        <v>#N/A</v>
      </c>
      <c r="BG976" s="136" t="e">
        <f t="shared" si="203"/>
        <v>#N/A</v>
      </c>
    </row>
    <row r="977" spans="47:59" ht="11.25" customHeight="1">
      <c r="AU977" s="136">
        <f t="shared" si="193"/>
        <v>0.99981457260306783</v>
      </c>
      <c r="AV977" s="136">
        <f t="shared" si="204"/>
        <v>3.5599999999998846</v>
      </c>
      <c r="AW977" s="136">
        <f t="shared" si="194"/>
        <v>7.0611070048832655E-4</v>
      </c>
      <c r="AX977" s="136" t="e">
        <f t="shared" si="195"/>
        <v>#N/A</v>
      </c>
      <c r="AY977" s="136">
        <f t="shared" si="196"/>
        <v>3.5599899999998845</v>
      </c>
      <c r="AZ977" s="136">
        <f t="shared" si="197"/>
        <v>3.5600099999998847</v>
      </c>
      <c r="BA977" s="136">
        <f t="shared" si="198"/>
        <v>0.96467734360495361</v>
      </c>
      <c r="BB977" s="136">
        <f t="shared" si="199"/>
        <v>0.9646776994205507</v>
      </c>
      <c r="BC977" s="136" t="e">
        <f t="shared" si="200"/>
        <v>#N/A</v>
      </c>
      <c r="BD977" s="136">
        <f t="shared" si="205"/>
        <v>7.0611070048832655E-4</v>
      </c>
      <c r="BE977" s="136">
        <f t="shared" si="201"/>
        <v>-2.9388929951167347E-4</v>
      </c>
      <c r="BF977" s="136" t="e">
        <f t="shared" si="202"/>
        <v>#N/A</v>
      </c>
      <c r="BG977" s="136" t="e">
        <f t="shared" si="203"/>
        <v>#N/A</v>
      </c>
    </row>
    <row r="978" spans="47:59" ht="11.25" customHeight="1">
      <c r="AU978" s="136">
        <f t="shared" si="193"/>
        <v>0.99982150938609415</v>
      </c>
      <c r="AV978" s="136">
        <f t="shared" si="204"/>
        <v>3.5699999999998844</v>
      </c>
      <c r="AW978" s="136">
        <f t="shared" si="194"/>
        <v>6.8138127506717282E-4</v>
      </c>
      <c r="AX978" s="136" t="e">
        <f t="shared" si="195"/>
        <v>#N/A</v>
      </c>
      <c r="AY978" s="136">
        <f t="shared" si="196"/>
        <v>3.5699899999998843</v>
      </c>
      <c r="AZ978" s="136">
        <f t="shared" si="197"/>
        <v>3.5700099999998844</v>
      </c>
      <c r="BA978" s="136">
        <f t="shared" si="198"/>
        <v>0.9648546072585038</v>
      </c>
      <c r="BB978" s="136">
        <f t="shared" si="199"/>
        <v>0.96485496049636654</v>
      </c>
      <c r="BC978" s="136" t="e">
        <f t="shared" si="200"/>
        <v>#N/A</v>
      </c>
      <c r="BD978" s="136">
        <f t="shared" si="205"/>
        <v>6.8138127506717282E-4</v>
      </c>
      <c r="BE978" s="136">
        <f t="shared" si="201"/>
        <v>-3.1861872493282721E-4</v>
      </c>
      <c r="BF978" s="136" t="e">
        <f t="shared" si="202"/>
        <v>#N/A</v>
      </c>
      <c r="BG978" s="136" t="e">
        <f t="shared" si="203"/>
        <v>#N/A</v>
      </c>
    </row>
    <row r="979" spans="47:59" ht="11.25" customHeight="1">
      <c r="AU979" s="136">
        <f t="shared" si="193"/>
        <v>0.99982820289625507</v>
      </c>
      <c r="AV979" s="136">
        <f t="shared" si="204"/>
        <v>3.5799999999998842</v>
      </c>
      <c r="AW979" s="136">
        <f t="shared" si="194"/>
        <v>6.5745217565494902E-4</v>
      </c>
      <c r="AX979" s="136" t="e">
        <f t="shared" si="195"/>
        <v>#N/A</v>
      </c>
      <c r="AY979" s="136">
        <f t="shared" si="196"/>
        <v>3.5799899999998841</v>
      </c>
      <c r="AZ979" s="136">
        <f t="shared" si="197"/>
        <v>3.5800099999998842</v>
      </c>
      <c r="BA979" s="136">
        <f t="shared" si="198"/>
        <v>0.96503058801243347</v>
      </c>
      <c r="BB979" s="136">
        <f t="shared" si="199"/>
        <v>0.96503093869643564</v>
      </c>
      <c r="BC979" s="136" t="e">
        <f t="shared" si="200"/>
        <v>#N/A</v>
      </c>
      <c r="BD979" s="136">
        <f t="shared" si="205"/>
        <v>6.5745217565494902E-4</v>
      </c>
      <c r="BE979" s="136">
        <f t="shared" si="201"/>
        <v>-3.42547824345051E-4</v>
      </c>
      <c r="BF979" s="136" t="e">
        <f t="shared" si="202"/>
        <v>#N/A</v>
      </c>
      <c r="BG979" s="136" t="e">
        <f t="shared" si="203"/>
        <v>#N/A</v>
      </c>
    </row>
    <row r="980" spans="47:59" ht="11.25" customHeight="1">
      <c r="AU980" s="136">
        <f t="shared" si="193"/>
        <v>0.99983466101928009</v>
      </c>
      <c r="AV980" s="136">
        <f t="shared" si="204"/>
        <v>3.589999999999884</v>
      </c>
      <c r="AW980" s="136">
        <f t="shared" si="194"/>
        <v>6.3429999753902172E-4</v>
      </c>
      <c r="AX980" s="136" t="e">
        <f t="shared" si="195"/>
        <v>#N/A</v>
      </c>
      <c r="AY980" s="136">
        <f t="shared" si="196"/>
        <v>3.5899899999998839</v>
      </c>
      <c r="AZ980" s="136">
        <f t="shared" si="197"/>
        <v>3.590009999999884</v>
      </c>
      <c r="BA980" s="136">
        <f t="shared" si="198"/>
        <v>0.96520529773779884</v>
      </c>
      <c r="BB980" s="136">
        <f t="shared" si="199"/>
        <v>0.96520564589155078</v>
      </c>
      <c r="BC980" s="136" t="e">
        <f t="shared" si="200"/>
        <v>#N/A</v>
      </c>
      <c r="BD980" s="136">
        <f t="shared" si="205"/>
        <v>6.3429999753902172E-4</v>
      </c>
      <c r="BE980" s="136">
        <f t="shared" si="201"/>
        <v>-3.6570000246097831E-4</v>
      </c>
      <c r="BF980" s="136" t="e">
        <f t="shared" si="202"/>
        <v>#N/A</v>
      </c>
      <c r="BG980" s="136" t="e">
        <f t="shared" si="203"/>
        <v>#N/A</v>
      </c>
    </row>
    <row r="981" spans="47:59" ht="11.25" customHeight="1">
      <c r="AU981" s="136">
        <f t="shared" ref="AU981:AU1044" si="206">NORMDIST(AV981,$AV$17,$AV$18,TRUE)</f>
        <v>0.99984089140984356</v>
      </c>
      <c r="AV981" s="136">
        <f t="shared" si="204"/>
        <v>3.5999999999998837</v>
      </c>
      <c r="AW981" s="136">
        <f t="shared" ref="AW981:AW1044" si="207">IF($AV$13=1,NORMDIST(AV981,$AV$17,$AV$18,FALSE),NA())</f>
        <v>6.1190193011402842E-4</v>
      </c>
      <c r="AX981" s="136" t="e">
        <f t="shared" ref="AX981:AX1044" si="208">IF($AV$13=3,NORMDIST(AV981,$AV$17,$AV$18,FALSE),NA())</f>
        <v>#N/A</v>
      </c>
      <c r="AY981" s="136">
        <f t="shared" ref="AY981:AY1044" si="209">AV981-$AY$19</f>
        <v>3.5999899999998837</v>
      </c>
      <c r="AZ981" s="136">
        <f t="shared" ref="AZ981:AZ1044" si="210">AV981+$AY$19</f>
        <v>3.6000099999998838</v>
      </c>
      <c r="BA981" s="136">
        <f t="shared" ref="BA981:BA1044" si="211">IF(AY981&lt;0,TDIST(-AY981,$AV$14,1),1-TDIST(AY981,$AV$14,1))</f>
        <v>0.96537874817461167</v>
      </c>
      <c r="BB981" s="136">
        <f t="shared" ref="BB981:BB1044" si="212">IF(AZ981&lt;0,TDIST(-AZ981,$AV$14,1),1-TDIST(AZ981,$AV$14,1))</f>
        <v>0.96537909382146325</v>
      </c>
      <c r="BC981" s="136" t="e">
        <f t="shared" ref="BC981:BC1044" si="213">IF($AV$13&gt;1,(BB981-BA981)/(2*$AY$19),NA())</f>
        <v>#N/A</v>
      </c>
      <c r="BD981" s="136">
        <f t="shared" si="205"/>
        <v>6.1190193011402842E-4</v>
      </c>
      <c r="BE981" s="136">
        <f t="shared" ref="BE981:BE1044" si="214">IF(ISNUMBER(BD981),BD981-$BE$19,NA())</f>
        <v>-3.880980698859716E-4</v>
      </c>
      <c r="BF981" s="136" t="e">
        <f t="shared" ref="BF981:BF1044" si="215">IF($AV$15=1,IF(AV981&gt;=$BF$19,BC981,NA()),IF($AV$15=2,IF(ABS(AV981)&gt;=$BF$19,BC981,NA()),NA()))</f>
        <v>#N/A</v>
      </c>
      <c r="BG981" s="136" t="e">
        <f t="shared" ref="BG981:BG1044" si="216">IF(ISNUMBER(BF981),BF981-$BG$19,NA())</f>
        <v>#N/A</v>
      </c>
    </row>
    <row r="982" spans="47:59" ht="11.25" customHeight="1">
      <c r="AU982" s="136">
        <f t="shared" si="206"/>
        <v>0.99984690149742672</v>
      </c>
      <c r="AV982" s="136">
        <f t="shared" ref="AV982:AV1045" si="217">AV981+$AY$10</f>
        <v>3.6099999999998835</v>
      </c>
      <c r="AW982" s="136">
        <f t="shared" si="207"/>
        <v>5.9023574492303346E-4</v>
      </c>
      <c r="AX982" s="136" t="e">
        <f t="shared" si="208"/>
        <v>#N/A</v>
      </c>
      <c r="AY982" s="136">
        <f t="shared" si="209"/>
        <v>3.6099899999998835</v>
      </c>
      <c r="AZ982" s="136">
        <f t="shared" si="210"/>
        <v>3.6100099999998836</v>
      </c>
      <c r="BA982" s="136">
        <f t="shared" si="211"/>
        <v>0.96555095093348275</v>
      </c>
      <c r="BB982" s="136">
        <f t="shared" si="212"/>
        <v>0.96555129409652662</v>
      </c>
      <c r="BC982" s="136" t="e">
        <f t="shared" si="213"/>
        <v>#N/A</v>
      </c>
      <c r="BD982" s="136">
        <f t="shared" ref="BD982:BD1045" si="218">IF($AV$15=1,IF(OR(AND(AV982&gt;=$BD$19,$AS$5&gt;=0),AND(AV982&lt;=$BD$19,$AS$5&lt;0)),AW982,NA()),IF($AV$15=2,IF(ABS(AV982)&gt;=$BD$18,AW982,NA()),NA()))</f>
        <v>5.9023574492303346E-4</v>
      </c>
      <c r="BE982" s="136">
        <f t="shared" si="214"/>
        <v>-4.0976425507696656E-4</v>
      </c>
      <c r="BF982" s="136" t="e">
        <f t="shared" si="215"/>
        <v>#N/A</v>
      </c>
      <c r="BG982" s="136" t="e">
        <f t="shared" si="216"/>
        <v>#N/A</v>
      </c>
    </row>
    <row r="983" spans="47:59" ht="11.25" customHeight="1">
      <c r="AU983" s="136">
        <f t="shared" si="206"/>
        <v>0.9998526984920918</v>
      </c>
      <c r="AV983" s="136">
        <f t="shared" si="217"/>
        <v>3.6199999999998833</v>
      </c>
      <c r="AW983" s="136">
        <f t="shared" si="207"/>
        <v>5.692797838344932E-4</v>
      </c>
      <c r="AX983" s="136" t="e">
        <f t="shared" si="208"/>
        <v>#N/A</v>
      </c>
      <c r="AY983" s="136">
        <f t="shared" si="209"/>
        <v>3.6199899999998832</v>
      </c>
      <c r="AZ983" s="136">
        <f t="shared" si="210"/>
        <v>3.6200099999998834</v>
      </c>
      <c r="BA983" s="136">
        <f t="shared" si="211"/>
        <v>0.96572191749724234</v>
      </c>
      <c r="BB983" s="136">
        <f t="shared" si="212"/>
        <v>0.96572225819931712</v>
      </c>
      <c r="BC983" s="136" t="e">
        <f t="shared" si="213"/>
        <v>#N/A</v>
      </c>
      <c r="BD983" s="136">
        <f t="shared" si="218"/>
        <v>5.692797838344932E-4</v>
      </c>
      <c r="BE983" s="136">
        <f t="shared" si="214"/>
        <v>-4.3072021616550682E-4</v>
      </c>
      <c r="BF983" s="136" t="e">
        <f t="shared" si="215"/>
        <v>#N/A</v>
      </c>
      <c r="BG983" s="136" t="e">
        <f t="shared" si="216"/>
        <v>#N/A</v>
      </c>
    </row>
    <row r="984" spans="47:59" ht="11.25" customHeight="1">
      <c r="AU984" s="136">
        <f t="shared" si="206"/>
        <v>0.99985828939012467</v>
      </c>
      <c r="AV984" s="136">
        <f t="shared" si="217"/>
        <v>3.6299999999998831</v>
      </c>
      <c r="AW984" s="136">
        <f t="shared" si="207"/>
        <v>5.490129473571917E-4</v>
      </c>
      <c r="AX984" s="136" t="e">
        <f t="shared" si="208"/>
        <v>#N/A</v>
      </c>
      <c r="AY984" s="136">
        <f t="shared" si="209"/>
        <v>3.629989999999883</v>
      </c>
      <c r="AZ984" s="136">
        <f t="shared" si="210"/>
        <v>3.6300099999998832</v>
      </c>
      <c r="BA984" s="136">
        <f t="shared" si="211"/>
        <v>0.96589165922253906</v>
      </c>
      <c r="BB984" s="136">
        <f t="shared" si="212"/>
        <v>0.96589199748623256</v>
      </c>
      <c r="BC984" s="136" t="e">
        <f t="shared" si="213"/>
        <v>#N/A</v>
      </c>
      <c r="BD984" s="136">
        <f t="shared" si="218"/>
        <v>5.490129473571917E-4</v>
      </c>
      <c r="BE984" s="136">
        <f t="shared" si="214"/>
        <v>-4.5098705264280832E-4</v>
      </c>
      <c r="BF984" s="136" t="e">
        <f t="shared" si="215"/>
        <v>#N/A</v>
      </c>
      <c r="BG984" s="136" t="e">
        <f t="shared" si="216"/>
        <v>#N/A</v>
      </c>
    </row>
    <row r="985" spans="47:59" ht="11.25" customHeight="1">
      <c r="AU985" s="136">
        <f t="shared" si="206"/>
        <v>0.99986368097955447</v>
      </c>
      <c r="AV985" s="136">
        <f t="shared" si="217"/>
        <v>3.6399999999998829</v>
      </c>
      <c r="AW985" s="136">
        <f t="shared" si="207"/>
        <v>5.2941468309516038E-4</v>
      </c>
      <c r="AX985" s="136" t="e">
        <f t="shared" si="208"/>
        <v>#N/A</v>
      </c>
      <c r="AY985" s="136">
        <f t="shared" si="209"/>
        <v>3.6399899999998828</v>
      </c>
      <c r="AZ985" s="136">
        <f t="shared" si="210"/>
        <v>3.640009999999883</v>
      </c>
      <c r="BA985" s="136">
        <f t="shared" si="211"/>
        <v>0.96606018734141652</v>
      </c>
      <c r="BB985" s="136">
        <f t="shared" si="212"/>
        <v>0.96606052318906921</v>
      </c>
      <c r="BC985" s="136" t="e">
        <f t="shared" si="213"/>
        <v>#N/A</v>
      </c>
      <c r="BD985" s="136">
        <f t="shared" si="218"/>
        <v>5.2941468309516038E-4</v>
      </c>
      <c r="BE985" s="136">
        <f t="shared" si="214"/>
        <v>-4.7058531690483965E-4</v>
      </c>
      <c r="BF985" s="136" t="e">
        <f t="shared" si="215"/>
        <v>#N/A</v>
      </c>
      <c r="BG985" s="136" t="e">
        <f t="shared" si="216"/>
        <v>#N/A</v>
      </c>
    </row>
    <row r="986" spans="47:59" ht="11.25" customHeight="1">
      <c r="AU986" s="136">
        <f t="shared" si="206"/>
        <v>0.99986887984557882</v>
      </c>
      <c r="AV986" s="136">
        <f t="shared" si="217"/>
        <v>3.6499999999998827</v>
      </c>
      <c r="AW986" s="136">
        <f t="shared" si="207"/>
        <v>5.1046497434440407E-4</v>
      </c>
      <c r="AX986" s="136" t="e">
        <f t="shared" si="208"/>
        <v>#N/A</v>
      </c>
      <c r="AY986" s="136">
        <f t="shared" si="209"/>
        <v>3.6499899999998826</v>
      </c>
      <c r="AZ986" s="136">
        <f t="shared" si="210"/>
        <v>3.6500099999998827</v>
      </c>
      <c r="BA986" s="136">
        <f t="shared" si="211"/>
        <v>0.96622751296286924</v>
      </c>
      <c r="BB986" s="136">
        <f t="shared" si="212"/>
        <v>0.96622784641657689</v>
      </c>
      <c r="BC986" s="136" t="e">
        <f t="shared" si="213"/>
        <v>#N/A</v>
      </c>
      <c r="BD986" s="136">
        <f t="shared" si="218"/>
        <v>5.1046497434440407E-4</v>
      </c>
      <c r="BE986" s="136">
        <f t="shared" si="214"/>
        <v>-4.8953502565559596E-4</v>
      </c>
      <c r="BF986" s="136" t="e">
        <f t="shared" si="215"/>
        <v>#N/A</v>
      </c>
      <c r="BG986" s="136" t="e">
        <f t="shared" si="216"/>
        <v>#N/A</v>
      </c>
    </row>
    <row r="987" spans="47:59" ht="11.25" customHeight="1">
      <c r="AU987" s="136">
        <f t="shared" si="206"/>
        <v>0.99987389237586144</v>
      </c>
      <c r="AV987" s="136">
        <f t="shared" si="217"/>
        <v>3.6599999999998825</v>
      </c>
      <c r="AW987" s="136">
        <f t="shared" si="207"/>
        <v>4.9214432883310508E-4</v>
      </c>
      <c r="AX987" s="136" t="e">
        <f t="shared" si="208"/>
        <v>#N/A</v>
      </c>
      <c r="AY987" s="136">
        <f t="shared" si="209"/>
        <v>3.6599899999998824</v>
      </c>
      <c r="AZ987" s="136">
        <f t="shared" si="210"/>
        <v>3.6600099999998825</v>
      </c>
      <c r="BA987" s="136">
        <f t="shared" si="211"/>
        <v>0.96639364707437636</v>
      </c>
      <c r="BB987" s="136">
        <f t="shared" si="212"/>
        <v>0.96639397815599304</v>
      </c>
      <c r="BC987" s="136" t="e">
        <f t="shared" si="213"/>
        <v>#N/A</v>
      </c>
      <c r="BD987" s="136">
        <f t="shared" si="218"/>
        <v>4.9214432883310508E-4</v>
      </c>
      <c r="BE987" s="136">
        <f t="shared" si="214"/>
        <v>-5.0785567116689494E-4</v>
      </c>
      <c r="BF987" s="136" t="e">
        <f t="shared" si="215"/>
        <v>#N/A</v>
      </c>
      <c r="BG987" s="136" t="e">
        <f t="shared" si="216"/>
        <v>#N/A</v>
      </c>
    </row>
    <row r="988" spans="47:59" ht="11.25" customHeight="1">
      <c r="AU988" s="136">
        <f t="shared" si="206"/>
        <v>0.99987872476571238</v>
      </c>
      <c r="AV988" s="136">
        <f t="shared" si="217"/>
        <v>3.6699999999998822</v>
      </c>
      <c r="AW988" s="136">
        <f t="shared" si="207"/>
        <v>4.744337676068254E-4</v>
      </c>
      <c r="AX988" s="136" t="e">
        <f t="shared" si="208"/>
        <v>#N/A</v>
      </c>
      <c r="AY988" s="136">
        <f t="shared" si="209"/>
        <v>3.6699899999998822</v>
      </c>
      <c r="AZ988" s="136">
        <f t="shared" si="210"/>
        <v>3.6700099999998823</v>
      </c>
      <c r="BA988" s="136">
        <f t="shared" si="211"/>
        <v>0.96655860054341536</v>
      </c>
      <c r="BB988" s="136">
        <f t="shared" si="212"/>
        <v>0.96655892927455678</v>
      </c>
      <c r="BC988" s="136" t="e">
        <f t="shared" si="213"/>
        <v>#N/A</v>
      </c>
      <c r="BD988" s="136">
        <f t="shared" si="218"/>
        <v>4.744337676068254E-4</v>
      </c>
      <c r="BE988" s="136">
        <f t="shared" si="214"/>
        <v>-5.2556623239317468E-4</v>
      </c>
      <c r="BF988" s="136" t="e">
        <f t="shared" si="215"/>
        <v>#N/A</v>
      </c>
      <c r="BG988" s="136" t="e">
        <f t="shared" si="216"/>
        <v>#N/A</v>
      </c>
    </row>
    <row r="989" spans="47:59" ht="11.25" customHeight="1">
      <c r="AU989" s="136">
        <f t="shared" si="206"/>
        <v>0.99988338302318214</v>
      </c>
      <c r="AV989" s="136">
        <f t="shared" si="217"/>
        <v>3.679999999999882</v>
      </c>
      <c r="AW989" s="136">
        <f t="shared" si="207"/>
        <v>4.5731481406005532E-4</v>
      </c>
      <c r="AX989" s="136" t="e">
        <f t="shared" si="208"/>
        <v>#N/A</v>
      </c>
      <c r="AY989" s="136">
        <f t="shared" si="209"/>
        <v>3.679989999999882</v>
      </c>
      <c r="AZ989" s="136">
        <f t="shared" si="210"/>
        <v>3.6800099999998821</v>
      </c>
      <c r="BA989" s="136">
        <f t="shared" si="211"/>
        <v>0.96672238411895417</v>
      </c>
      <c r="BB989" s="136">
        <f t="shared" si="212"/>
        <v>0.96672271052100067</v>
      </c>
      <c r="BC989" s="136" t="e">
        <f t="shared" si="213"/>
        <v>#N/A</v>
      </c>
      <c r="BD989" s="136">
        <f t="shared" si="218"/>
        <v>4.5731481406005532E-4</v>
      </c>
      <c r="BE989" s="136">
        <f t="shared" si="214"/>
        <v>-5.4268518593994465E-4</v>
      </c>
      <c r="BF989" s="136" t="e">
        <f t="shared" si="215"/>
        <v>#N/A</v>
      </c>
      <c r="BG989" s="136" t="e">
        <f t="shared" si="216"/>
        <v>#N/A</v>
      </c>
    </row>
    <row r="990" spans="47:59" ht="11.25" customHeight="1">
      <c r="AU990" s="136">
        <f t="shared" si="206"/>
        <v>0.99988787297401627</v>
      </c>
      <c r="AV990" s="136">
        <f t="shared" si="217"/>
        <v>3.6899999999998818</v>
      </c>
      <c r="AW990" s="136">
        <f t="shared" si="207"/>
        <v>4.4076948311532469E-4</v>
      </c>
      <c r="AX990" s="136" t="e">
        <f t="shared" si="208"/>
        <v>#N/A</v>
      </c>
      <c r="AY990" s="136">
        <f t="shared" si="209"/>
        <v>3.6899899999998818</v>
      </c>
      <c r="AZ990" s="136">
        <f t="shared" si="210"/>
        <v>3.6900099999998819</v>
      </c>
      <c r="BA990" s="136">
        <f t="shared" si="211"/>
        <v>0.96688500843292469</v>
      </c>
      <c r="BB990" s="136">
        <f t="shared" si="212"/>
        <v>0.96688533252702358</v>
      </c>
      <c r="BC990" s="136" t="e">
        <f t="shared" si="213"/>
        <v>#N/A</v>
      </c>
      <c r="BD990" s="136">
        <f t="shared" si="218"/>
        <v>4.4076948311532469E-4</v>
      </c>
      <c r="BE990" s="136">
        <f t="shared" si="214"/>
        <v>-5.5923051688467533E-4</v>
      </c>
      <c r="BF990" s="136" t="e">
        <f t="shared" si="215"/>
        <v>#N/A</v>
      </c>
      <c r="BG990" s="136" t="e">
        <f t="shared" si="216"/>
        <v>#N/A</v>
      </c>
    </row>
    <row r="991" spans="47:59" ht="11.25" customHeight="1">
      <c r="AU991" s="136">
        <f t="shared" si="206"/>
        <v>0.99989220026652181</v>
      </c>
      <c r="AV991" s="136">
        <f t="shared" si="217"/>
        <v>3.6999999999998816</v>
      </c>
      <c r="AW991" s="136">
        <f t="shared" si="207"/>
        <v>4.247802705509377E-4</v>
      </c>
      <c r="AX991" s="136" t="e">
        <f t="shared" si="208"/>
        <v>#N/A</v>
      </c>
      <c r="AY991" s="136">
        <f t="shared" si="209"/>
        <v>3.6999899999998815</v>
      </c>
      <c r="AZ991" s="136">
        <f t="shared" si="210"/>
        <v>3.7000099999998817</v>
      </c>
      <c r="BA991" s="136">
        <f t="shared" si="211"/>
        <v>0.96704648400167403</v>
      </c>
      <c r="BB991" s="136">
        <f t="shared" si="212"/>
        <v>0.96704680580874336</v>
      </c>
      <c r="BC991" s="136" t="e">
        <f t="shared" si="213"/>
        <v>#N/A</v>
      </c>
      <c r="BD991" s="136">
        <f t="shared" si="218"/>
        <v>4.247802705509377E-4</v>
      </c>
      <c r="BE991" s="136">
        <f t="shared" si="214"/>
        <v>-5.7521972944906232E-4</v>
      </c>
      <c r="BF991" s="136" t="e">
        <f t="shared" si="215"/>
        <v>#N/A</v>
      </c>
      <c r="BG991" s="136" t="e">
        <f t="shared" si="216"/>
        <v>#N/A</v>
      </c>
    </row>
    <row r="992" spans="47:59" ht="11.25" customHeight="1">
      <c r="AU992" s="136">
        <f t="shared" si="206"/>
        <v>0.99989637037632595</v>
      </c>
      <c r="AV992" s="136">
        <f t="shared" si="217"/>
        <v>3.7099999999998814</v>
      </c>
      <c r="AW992" s="136">
        <f t="shared" si="207"/>
        <v>4.0933014247825875E-4</v>
      </c>
      <c r="AX992" s="136" t="e">
        <f t="shared" si="208"/>
        <v>#N/A</v>
      </c>
      <c r="AY992" s="136">
        <f t="shared" si="209"/>
        <v>3.7099899999998813</v>
      </c>
      <c r="AZ992" s="136">
        <f t="shared" si="210"/>
        <v>3.7100099999998815</v>
      </c>
      <c r="BA992" s="136">
        <f t="shared" si="211"/>
        <v>0.96720682122739809</v>
      </c>
      <c r="BB992" s="136">
        <f t="shared" si="212"/>
        <v>0.96720714076812875</v>
      </c>
      <c r="BC992" s="136" t="e">
        <f t="shared" si="213"/>
        <v>#N/A</v>
      </c>
      <c r="BD992" s="136">
        <f t="shared" si="218"/>
        <v>4.0933014247825875E-4</v>
      </c>
      <c r="BE992" s="136">
        <f t="shared" si="214"/>
        <v>-5.9066985752174127E-4</v>
      </c>
      <c r="BF992" s="136" t="e">
        <f t="shared" si="215"/>
        <v>#N/A</v>
      </c>
      <c r="BG992" s="136" t="e">
        <f t="shared" si="216"/>
        <v>#N/A</v>
      </c>
    </row>
    <row r="993" spans="47:59" ht="11.25" customHeight="1">
      <c r="AU993" s="136">
        <f t="shared" si="206"/>
        <v>0.99990038861102382</v>
      </c>
      <c r="AV993" s="136">
        <f t="shared" si="217"/>
        <v>3.7199999999998812</v>
      </c>
      <c r="AW993" s="136">
        <f t="shared" si="207"/>
        <v>3.94402524969331E-4</v>
      </c>
      <c r="AX993" s="136" t="e">
        <f t="shared" si="208"/>
        <v>#N/A</v>
      </c>
      <c r="AY993" s="136">
        <f t="shared" si="209"/>
        <v>3.7199899999998811</v>
      </c>
      <c r="AZ993" s="136">
        <f t="shared" si="210"/>
        <v>3.7200099999998812</v>
      </c>
      <c r="BA993" s="136">
        <f t="shared" si="211"/>
        <v>0.9673660303995546</v>
      </c>
      <c r="BB993" s="136">
        <f t="shared" si="212"/>
        <v>0.96736634769441343</v>
      </c>
      <c r="BC993" s="136" t="e">
        <f t="shared" si="213"/>
        <v>#N/A</v>
      </c>
      <c r="BD993" s="136">
        <f t="shared" si="218"/>
        <v>3.94402524969331E-4</v>
      </c>
      <c r="BE993" s="136">
        <f t="shared" si="214"/>
        <v>-6.0559747503066903E-4</v>
      </c>
      <c r="BF993" s="136" t="e">
        <f t="shared" si="215"/>
        <v>#N/A</v>
      </c>
      <c r="BG993" s="136" t="e">
        <f t="shared" si="216"/>
        <v>#N/A</v>
      </c>
    </row>
    <row r="994" spans="47:59" ht="11.25" customHeight="1">
      <c r="AU994" s="136">
        <f t="shared" si="206"/>
        <v>0.99990426011473077</v>
      </c>
      <c r="AV994" s="136">
        <f t="shared" si="217"/>
        <v>3.729999999999881</v>
      </c>
      <c r="AW994" s="136">
        <f t="shared" si="207"/>
        <v>3.7998129383549017E-4</v>
      </c>
      <c r="AX994" s="136" t="e">
        <f t="shared" si="208"/>
        <v>#N/A</v>
      </c>
      <c r="AY994" s="136">
        <f t="shared" si="209"/>
        <v>3.7299899999998809</v>
      </c>
      <c r="AZ994" s="136">
        <f t="shared" si="210"/>
        <v>3.730009999999881</v>
      </c>
      <c r="BA994" s="136">
        <f t="shared" si="211"/>
        <v>0.96752412169625712</v>
      </c>
      <c r="BB994" s="136">
        <f t="shared" si="212"/>
        <v>0.96752443676548983</v>
      </c>
      <c r="BC994" s="136" t="e">
        <f t="shared" si="213"/>
        <v>#N/A</v>
      </c>
      <c r="BD994" s="136">
        <f t="shared" si="218"/>
        <v>3.7998129383549017E-4</v>
      </c>
      <c r="BE994" s="136">
        <f t="shared" si="214"/>
        <v>-6.2001870616450985E-4</v>
      </c>
      <c r="BF994" s="136" t="e">
        <f t="shared" si="215"/>
        <v>#N/A</v>
      </c>
      <c r="BG994" s="136" t="e">
        <f t="shared" si="216"/>
        <v>#N/A</v>
      </c>
    </row>
    <row r="995" spans="47:59" ht="11.25" customHeight="1">
      <c r="AU995" s="136">
        <f t="shared" si="206"/>
        <v>0.99990798987252494</v>
      </c>
      <c r="AV995" s="136">
        <f t="shared" si="217"/>
        <v>3.7399999999998808</v>
      </c>
      <c r="AW995" s="136">
        <f t="shared" si="207"/>
        <v>3.6605076455749845E-4</v>
      </c>
      <c r="AX995" s="136" t="e">
        <f t="shared" si="208"/>
        <v>#N/A</v>
      </c>
      <c r="AY995" s="136">
        <f t="shared" si="209"/>
        <v>3.7399899999998807</v>
      </c>
      <c r="AZ995" s="136">
        <f t="shared" si="210"/>
        <v>3.7400099999998808</v>
      </c>
      <c r="BA995" s="136">
        <f t="shared" si="211"/>
        <v>0.96768110518565031</v>
      </c>
      <c r="BB995" s="136">
        <f t="shared" si="212"/>
        <v>0.96768141804928376</v>
      </c>
      <c r="BC995" s="136" t="e">
        <f t="shared" si="213"/>
        <v>#N/A</v>
      </c>
      <c r="BD995" s="136">
        <f t="shared" si="218"/>
        <v>3.6605076455749845E-4</v>
      </c>
      <c r="BE995" s="136">
        <f t="shared" si="214"/>
        <v>-6.3394923544250162E-4</v>
      </c>
      <c r="BF995" s="136" t="e">
        <f t="shared" si="215"/>
        <v>#N/A</v>
      </c>
      <c r="BG995" s="136" t="e">
        <f t="shared" si="216"/>
        <v>#N/A</v>
      </c>
    </row>
    <row r="996" spans="47:59" ht="11.25" customHeight="1">
      <c r="AU996" s="136">
        <f t="shared" si="206"/>
        <v>0.99991158271479708</v>
      </c>
      <c r="AV996" s="136">
        <f t="shared" si="217"/>
        <v>3.7499999999998805</v>
      </c>
      <c r="AW996" s="136">
        <f t="shared" si="207"/>
        <v>3.5259568236760321E-4</v>
      </c>
      <c r="AX996" s="136" t="e">
        <f t="shared" si="208"/>
        <v>#N/A</v>
      </c>
      <c r="AY996" s="136">
        <f t="shared" si="209"/>
        <v>3.7499899999998805</v>
      </c>
      <c r="AZ996" s="136">
        <f t="shared" si="210"/>
        <v>3.7500099999998806</v>
      </c>
      <c r="BA996" s="136">
        <f t="shared" si="211"/>
        <v>0.96783699082726649</v>
      </c>
      <c r="BB996" s="136">
        <f t="shared" si="212"/>
        <v>0.96783730150511182</v>
      </c>
      <c r="BC996" s="136" t="e">
        <f t="shared" si="213"/>
        <v>#N/A</v>
      </c>
      <c r="BD996" s="136">
        <f t="shared" si="218"/>
        <v>3.5259568236760321E-4</v>
      </c>
      <c r="BE996" s="136">
        <f t="shared" si="214"/>
        <v>-6.4740431763239681E-4</v>
      </c>
      <c r="BF996" s="136" t="e">
        <f t="shared" si="215"/>
        <v>#N/A</v>
      </c>
      <c r="BG996" s="136" t="e">
        <f t="shared" si="216"/>
        <v>#N/A</v>
      </c>
    </row>
    <row r="997" spans="47:59" ht="11.25" customHeight="1">
      <c r="AU997" s="136">
        <f t="shared" si="206"/>
        <v>0.99991504332150027</v>
      </c>
      <c r="AV997" s="136">
        <f t="shared" si="217"/>
        <v>3.7599999999998803</v>
      </c>
      <c r="AW997" s="136">
        <f t="shared" si="207"/>
        <v>3.3960121248380738E-4</v>
      </c>
      <c r="AX997" s="136" t="e">
        <f t="shared" si="208"/>
        <v>#N/A</v>
      </c>
      <c r="AY997" s="136">
        <f t="shared" si="209"/>
        <v>3.7599899999998803</v>
      </c>
      <c r="AZ997" s="136">
        <f t="shared" si="210"/>
        <v>3.7600099999998804</v>
      </c>
      <c r="BA997" s="136">
        <f t="shared" si="211"/>
        <v>0.96799178847336398</v>
      </c>
      <c r="BB997" s="136">
        <f t="shared" si="212"/>
        <v>0.9679920969850192</v>
      </c>
      <c r="BC997" s="136" t="e">
        <f t="shared" si="213"/>
        <v>#N/A</v>
      </c>
      <c r="BD997" s="136">
        <f t="shared" si="218"/>
        <v>3.3960121248380738E-4</v>
      </c>
      <c r="BE997" s="136">
        <f t="shared" si="214"/>
        <v>-6.6039878751619264E-4</v>
      </c>
      <c r="BF997" s="136" t="e">
        <f t="shared" si="215"/>
        <v>#N/A</v>
      </c>
      <c r="BG997" s="136" t="e">
        <f t="shared" si="216"/>
        <v>#N/A</v>
      </c>
    </row>
    <row r="998" spans="47:59" ht="11.25" customHeight="1">
      <c r="AU998" s="136">
        <f t="shared" si="206"/>
        <v>0.99991837622629587</v>
      </c>
      <c r="AV998" s="136">
        <f t="shared" si="217"/>
        <v>3.7699999999998801</v>
      </c>
      <c r="AW998" s="136">
        <f t="shared" si="207"/>
        <v>3.2705293049652281E-4</v>
      </c>
      <c r="AX998" s="136" t="e">
        <f t="shared" si="208"/>
        <v>#N/A</v>
      </c>
      <c r="AY998" s="136">
        <f t="shared" si="209"/>
        <v>3.76998999999988</v>
      </c>
      <c r="AZ998" s="136">
        <f t="shared" si="210"/>
        <v>3.7700099999998802</v>
      </c>
      <c r="BA998" s="136">
        <f t="shared" si="211"/>
        <v>0.96814550787024722</v>
      </c>
      <c r="BB998" s="136">
        <f t="shared" si="212"/>
        <v>0.9681458142350996</v>
      </c>
      <c r="BC998" s="136" t="e">
        <f t="shared" si="213"/>
        <v>#N/A</v>
      </c>
      <c r="BD998" s="136">
        <f t="shared" si="218"/>
        <v>3.2705293049652281E-4</v>
      </c>
      <c r="BE998" s="136">
        <f t="shared" si="214"/>
        <v>-6.7294706950347721E-4</v>
      </c>
      <c r="BF998" s="136" t="e">
        <f t="shared" si="215"/>
        <v>#N/A</v>
      </c>
      <c r="BG998" s="136" t="e">
        <f t="shared" si="216"/>
        <v>#N/A</v>
      </c>
    </row>
    <row r="999" spans="47:59" ht="11.25" customHeight="1">
      <c r="AU999" s="136">
        <f t="shared" si="206"/>
        <v>0.99992158582061696</v>
      </c>
      <c r="AV999" s="136">
        <f t="shared" si="217"/>
        <v>3.7799999999998799</v>
      </c>
      <c r="AW999" s="136">
        <f t="shared" si="207"/>
        <v>3.1493681290766472E-4</v>
      </c>
      <c r="AX999" s="136" t="e">
        <f t="shared" si="208"/>
        <v>#N/A</v>
      </c>
      <c r="AY999" s="136">
        <f t="shared" si="209"/>
        <v>3.7799899999998798</v>
      </c>
      <c r="AZ999" s="136">
        <f t="shared" si="210"/>
        <v>3.78000999999988</v>
      </c>
      <c r="BA999" s="136">
        <f t="shared" si="211"/>
        <v>0.96829815865956903</v>
      </c>
      <c r="BB999" s="136">
        <f t="shared" si="212"/>
        <v>0.96829846289679788</v>
      </c>
      <c r="BC999" s="136" t="e">
        <f t="shared" si="213"/>
        <v>#N/A</v>
      </c>
      <c r="BD999" s="136">
        <f t="shared" si="218"/>
        <v>3.1493681290766472E-4</v>
      </c>
      <c r="BE999" s="136">
        <f t="shared" si="214"/>
        <v>-6.850631870923353E-4</v>
      </c>
      <c r="BF999" s="136" t="e">
        <f t="shared" si="215"/>
        <v>#N/A</v>
      </c>
      <c r="BG999" s="136" t="e">
        <f t="shared" si="216"/>
        <v>#N/A</v>
      </c>
    </row>
    <row r="1000" spans="47:59" ht="11.25" customHeight="1">
      <c r="AU1000" s="136">
        <f t="shared" si="206"/>
        <v>0.99992467635761884</v>
      </c>
      <c r="AV1000" s="136">
        <f t="shared" si="217"/>
        <v>3.7899999999998797</v>
      </c>
      <c r="AW1000" s="136">
        <f t="shared" si="207"/>
        <v>3.0323922782214262E-4</v>
      </c>
      <c r="AX1000" s="136" t="e">
        <f t="shared" si="208"/>
        <v>#N/A</v>
      </c>
      <c r="AY1000" s="136">
        <f t="shared" si="209"/>
        <v>3.7899899999998796</v>
      </c>
      <c r="AZ1000" s="136">
        <f t="shared" si="210"/>
        <v>3.7900099999998798</v>
      </c>
      <c r="BA1000" s="136">
        <f t="shared" si="211"/>
        <v>0.96844975037961534</v>
      </c>
      <c r="BB1000" s="136">
        <f t="shared" si="212"/>
        <v>0.96845005250819449</v>
      </c>
      <c r="BC1000" s="136" t="e">
        <f t="shared" si="213"/>
        <v>#N/A</v>
      </c>
      <c r="BD1000" s="136">
        <f t="shared" si="218"/>
        <v>3.0323922782214262E-4</v>
      </c>
      <c r="BE1000" s="136">
        <f t="shared" si="214"/>
        <v>-6.967607721778574E-4</v>
      </c>
      <c r="BF1000" s="136" t="e">
        <f t="shared" si="215"/>
        <v>#N/A</v>
      </c>
      <c r="BG1000" s="136" t="e">
        <f t="shared" si="216"/>
        <v>#N/A</v>
      </c>
    </row>
    <row r="1001" spans="47:59" ht="11.25" customHeight="1">
      <c r="AU1001" s="136">
        <f t="shared" si="206"/>
        <v>0.99992765195607647</v>
      </c>
      <c r="AV1001" s="136">
        <f t="shared" si="217"/>
        <v>3.7999999999998795</v>
      </c>
      <c r="AW1001" s="136">
        <f t="shared" si="207"/>
        <v>2.9194692579159374E-4</v>
      </c>
      <c r="AX1001" s="136" t="e">
        <f t="shared" si="208"/>
        <v>#N/A</v>
      </c>
      <c r="AY1001" s="136">
        <f t="shared" si="209"/>
        <v>3.7999899999998794</v>
      </c>
      <c r="AZ1001" s="136">
        <f t="shared" si="210"/>
        <v>3.8000099999998795</v>
      </c>
      <c r="BA1001" s="136">
        <f t="shared" si="211"/>
        <v>0.96860029246657231</v>
      </c>
      <c r="BB1001" s="136">
        <f t="shared" si="212"/>
        <v>0.96860059250527275</v>
      </c>
      <c r="BC1001" s="136" t="e">
        <f t="shared" si="213"/>
        <v>#N/A</v>
      </c>
      <c r="BD1001" s="136">
        <f t="shared" si="218"/>
        <v>2.9194692579159374E-4</v>
      </c>
      <c r="BE1001" s="136">
        <f t="shared" si="214"/>
        <v>-7.0805307420840628E-4</v>
      </c>
      <c r="BF1001" s="136" t="e">
        <f t="shared" si="215"/>
        <v>#N/A</v>
      </c>
      <c r="BG1001" s="136" t="e">
        <f t="shared" si="216"/>
        <v>#N/A</v>
      </c>
    </row>
    <row r="1002" spans="47:59" ht="11.25" customHeight="1">
      <c r="AU1002" s="136">
        <f t="shared" si="206"/>
        <v>0.99993051660411925</v>
      </c>
      <c r="AV1002" s="136">
        <f t="shared" si="217"/>
        <v>3.8099999999998793</v>
      </c>
      <c r="AW1002" s="136">
        <f t="shared" si="207"/>
        <v>2.8104703081011562E-4</v>
      </c>
      <c r="AX1002" s="136" t="e">
        <f t="shared" si="208"/>
        <v>#N/A</v>
      </c>
      <c r="AY1002" s="136">
        <f t="shared" si="209"/>
        <v>3.8099899999998792</v>
      </c>
      <c r="AZ1002" s="136">
        <f t="shared" si="210"/>
        <v>3.8100099999998793</v>
      </c>
      <c r="BA1002" s="136">
        <f t="shared" si="211"/>
        <v>0.96874979425577701</v>
      </c>
      <c r="BB1002" s="136">
        <f t="shared" si="212"/>
        <v>0.96875009222316932</v>
      </c>
      <c r="BC1002" s="136" t="e">
        <f t="shared" si="213"/>
        <v>#N/A</v>
      </c>
      <c r="BD1002" s="136">
        <f t="shared" si="218"/>
        <v>2.8104703081011562E-4</v>
      </c>
      <c r="BE1002" s="136">
        <f t="shared" si="214"/>
        <v>-7.189529691898844E-4</v>
      </c>
      <c r="BF1002" s="136" t="e">
        <f t="shared" si="215"/>
        <v>#N/A</v>
      </c>
      <c r="BG1002" s="136" t="e">
        <f t="shared" si="216"/>
        <v>#N/A</v>
      </c>
    </row>
    <row r="1003" spans="47:59" ht="11.25" customHeight="1">
      <c r="AU1003" s="136">
        <f t="shared" si="206"/>
        <v>0.99993327416296829</v>
      </c>
      <c r="AV1003" s="136">
        <f t="shared" si="217"/>
        <v>3.819999999999879</v>
      </c>
      <c r="AW1003" s="136">
        <f t="shared" si="207"/>
        <v>2.705270314616459E-4</v>
      </c>
      <c r="AX1003" s="136" t="e">
        <f t="shared" si="208"/>
        <v>#N/A</v>
      </c>
      <c r="AY1003" s="136">
        <f t="shared" si="209"/>
        <v>3.819989999999879</v>
      </c>
      <c r="AZ1003" s="136">
        <f t="shared" si="210"/>
        <v>3.8200099999998791</v>
      </c>
      <c r="BA1003" s="136">
        <f t="shared" si="211"/>
        <v>0.96889826498295084</v>
      </c>
      <c r="BB1003" s="136">
        <f t="shared" si="212"/>
        <v>0.96889856089740722</v>
      </c>
      <c r="BC1003" s="136" t="e">
        <f t="shared" si="213"/>
        <v>#N/A</v>
      </c>
      <c r="BD1003" s="136">
        <f t="shared" si="218"/>
        <v>2.705270314616459E-4</v>
      </c>
      <c r="BE1003" s="136">
        <f t="shared" si="214"/>
        <v>-7.2947296853835412E-4</v>
      </c>
      <c r="BF1003" s="136" t="e">
        <f t="shared" si="215"/>
        <v>#N/A</v>
      </c>
      <c r="BG1003" s="136" t="e">
        <f t="shared" si="216"/>
        <v>#N/A</v>
      </c>
    </row>
    <row r="1004" spans="47:59" ht="11.25" customHeight="1">
      <c r="AU1004" s="136">
        <f t="shared" si="206"/>
        <v>0.99993592837051049</v>
      </c>
      <c r="AV1004" s="136">
        <f t="shared" si="217"/>
        <v>3.8299999999998788</v>
      </c>
      <c r="AW1004" s="136">
        <f t="shared" si="207"/>
        <v>2.6037477221856341E-4</v>
      </c>
      <c r="AX1004" s="136" t="e">
        <f t="shared" si="208"/>
        <v>#N/A</v>
      </c>
      <c r="AY1004" s="136">
        <f t="shared" si="209"/>
        <v>3.8299899999998788</v>
      </c>
      <c r="AZ1004" s="136">
        <f t="shared" si="210"/>
        <v>3.8300099999998789</v>
      </c>
      <c r="BA1004" s="136">
        <f t="shared" si="211"/>
        <v>0.96904571378541593</v>
      </c>
      <c r="BB1004" s="136">
        <f t="shared" si="212"/>
        <v>0.96904600766511328</v>
      </c>
      <c r="BC1004" s="136" t="e">
        <f t="shared" si="213"/>
        <v>#N/A</v>
      </c>
      <c r="BD1004" s="136">
        <f t="shared" si="218"/>
        <v>2.6037477221856341E-4</v>
      </c>
      <c r="BE1004" s="136">
        <f t="shared" si="214"/>
        <v>-7.3962522778143656E-4</v>
      </c>
      <c r="BF1004" s="136" t="e">
        <f t="shared" si="215"/>
        <v>#N/A</v>
      </c>
      <c r="BG1004" s="136" t="e">
        <f t="shared" si="216"/>
        <v>#N/A</v>
      </c>
    </row>
    <row r="1005" spans="47:59" ht="11.25" customHeight="1">
      <c r="AU1005" s="136">
        <f t="shared" si="206"/>
        <v>0.99993848284481379</v>
      </c>
      <c r="AV1005" s="136">
        <f t="shared" si="217"/>
        <v>3.8399999999998786</v>
      </c>
      <c r="AW1005" s="136">
        <f t="shared" si="207"/>
        <v>2.5057844489097757E-4</v>
      </c>
      <c r="AX1005" s="136" t="e">
        <f t="shared" si="208"/>
        <v>#N/A</v>
      </c>
      <c r="AY1005" s="136">
        <f t="shared" si="209"/>
        <v>3.8399899999998786</v>
      </c>
      <c r="AZ1005" s="136">
        <f t="shared" si="210"/>
        <v>3.8400099999998787</v>
      </c>
      <c r="BA1005" s="136">
        <f t="shared" si="211"/>
        <v>0.96919214970329592</v>
      </c>
      <c r="BB1005" s="136">
        <f t="shared" si="212"/>
        <v>0.96919244156621787</v>
      </c>
      <c r="BC1005" s="136" t="e">
        <f t="shared" si="213"/>
        <v>#N/A</v>
      </c>
      <c r="BD1005" s="136">
        <f t="shared" si="218"/>
        <v>2.5057844489097757E-4</v>
      </c>
      <c r="BE1005" s="136">
        <f t="shared" si="214"/>
        <v>-7.4942155510902245E-4</v>
      </c>
      <c r="BF1005" s="136" t="e">
        <f t="shared" si="215"/>
        <v>#N/A</v>
      </c>
      <c r="BG1005" s="136" t="e">
        <f t="shared" si="216"/>
        <v>#N/A</v>
      </c>
    </row>
    <row r="1006" spans="47:59" ht="11.25" customHeight="1">
      <c r="AU1006" s="136">
        <f t="shared" si="206"/>
        <v>0.99994094108758136</v>
      </c>
      <c r="AV1006" s="136">
        <f t="shared" si="217"/>
        <v>3.8499999999998784</v>
      </c>
      <c r="AW1006" s="136">
        <f t="shared" si="207"/>
        <v>2.4112658022610627E-4</v>
      </c>
      <c r="AX1006" s="136" t="e">
        <f t="shared" si="208"/>
        <v>#N/A</v>
      </c>
      <c r="AY1006" s="136">
        <f t="shared" si="209"/>
        <v>3.8499899999998783</v>
      </c>
      <c r="AZ1006" s="136">
        <f t="shared" si="210"/>
        <v>3.8500099999998785</v>
      </c>
      <c r="BA1006" s="136">
        <f t="shared" si="211"/>
        <v>0.96933758168070028</v>
      </c>
      <c r="BB1006" s="136">
        <f t="shared" si="212"/>
        <v>0.96933787154463968</v>
      </c>
      <c r="BC1006" s="136" t="e">
        <f t="shared" si="213"/>
        <v>#N/A</v>
      </c>
      <c r="BD1006" s="136">
        <f t="shared" si="218"/>
        <v>2.4112658022610627E-4</v>
      </c>
      <c r="BE1006" s="136">
        <f t="shared" si="214"/>
        <v>-7.5887341977389378E-4</v>
      </c>
      <c r="BF1006" s="136" t="e">
        <f t="shared" si="215"/>
        <v>#N/A</v>
      </c>
      <c r="BG1006" s="136" t="e">
        <f t="shared" si="216"/>
        <v>#N/A</v>
      </c>
    </row>
    <row r="1007" spans="47:59" ht="11.25" customHeight="1">
      <c r="AU1007" s="136">
        <f t="shared" si="206"/>
        <v>0.99994330648746232</v>
      </c>
      <c r="AV1007" s="136">
        <f t="shared" si="217"/>
        <v>3.8599999999998782</v>
      </c>
      <c r="AW1007" s="136">
        <f t="shared" si="207"/>
        <v>2.3200803965705134E-4</v>
      </c>
      <c r="AX1007" s="136" t="e">
        <f t="shared" si="208"/>
        <v>#N/A</v>
      </c>
      <c r="AY1007" s="136">
        <f t="shared" si="209"/>
        <v>3.8599899999998781</v>
      </c>
      <c r="AZ1007" s="136">
        <f t="shared" si="210"/>
        <v>3.8600099999998783</v>
      </c>
      <c r="BA1007" s="136">
        <f t="shared" si="211"/>
        <v>0.96948201856689264</v>
      </c>
      <c r="BB1007" s="136">
        <f t="shared" si="212"/>
        <v>0.96948230644945366</v>
      </c>
      <c r="BC1007" s="136" t="e">
        <f t="shared" si="213"/>
        <v>#N/A</v>
      </c>
      <c r="BD1007" s="136">
        <f t="shared" si="218"/>
        <v>2.3200803965705134E-4</v>
      </c>
      <c r="BE1007" s="136">
        <f t="shared" si="214"/>
        <v>-7.679919603429487E-4</v>
      </c>
      <c r="BF1007" s="136" t="e">
        <f t="shared" si="215"/>
        <v>#N/A</v>
      </c>
      <c r="BG1007" s="136" t="e">
        <f t="shared" si="216"/>
        <v>#N/A</v>
      </c>
    </row>
    <row r="1008" spans="47:59" ht="11.25" customHeight="1">
      <c r="AU1008" s="136">
        <f t="shared" si="206"/>
        <v>0.99994558232336495</v>
      </c>
      <c r="AV1008" s="136">
        <f t="shared" si="217"/>
        <v>3.869999999999878</v>
      </c>
      <c r="AW1008" s="136">
        <f t="shared" si="207"/>
        <v>2.232120072002075E-4</v>
      </c>
      <c r="AX1008" s="136" t="e">
        <f t="shared" si="208"/>
        <v>#N/A</v>
      </c>
      <c r="AY1008" s="136">
        <f t="shared" si="209"/>
        <v>3.8699899999998779</v>
      </c>
      <c r="AZ1008" s="136">
        <f t="shared" si="210"/>
        <v>3.870009999999878</v>
      </c>
      <c r="BA1008" s="136">
        <f t="shared" si="211"/>
        <v>0.96962546911744341</v>
      </c>
      <c r="BB1008" s="136">
        <f t="shared" si="212"/>
        <v>0.9696257550360442</v>
      </c>
      <c r="BC1008" s="136" t="e">
        <f t="shared" si="213"/>
        <v>#N/A</v>
      </c>
      <c r="BD1008" s="136">
        <f t="shared" si="218"/>
        <v>2.232120072002075E-4</v>
      </c>
      <c r="BE1008" s="136">
        <f t="shared" si="214"/>
        <v>-7.7678799279979249E-4</v>
      </c>
      <c r="BF1008" s="136" t="e">
        <f t="shared" si="215"/>
        <v>#N/A</v>
      </c>
      <c r="BG1008" s="136" t="e">
        <f t="shared" si="216"/>
        <v>#N/A</v>
      </c>
    </row>
    <row r="1009" spans="47:59" ht="11.25" customHeight="1">
      <c r="AU1009" s="136">
        <f t="shared" si="206"/>
        <v>0.99994777176760086</v>
      </c>
      <c r="AV1009" s="136">
        <f t="shared" si="217"/>
        <v>3.8799999999998778</v>
      </c>
      <c r="AW1009" s="136">
        <f t="shared" si="207"/>
        <v>2.1472798150046882E-4</v>
      </c>
      <c r="AX1009" s="136" t="e">
        <f t="shared" si="208"/>
        <v>#N/A</v>
      </c>
      <c r="AY1009" s="136">
        <f t="shared" si="209"/>
        <v>3.8799899999998777</v>
      </c>
      <c r="AZ1009" s="136">
        <f t="shared" si="210"/>
        <v>3.8800099999998778</v>
      </c>
      <c r="BA1009" s="136">
        <f t="shared" si="211"/>
        <v>0.96976794199536753</v>
      </c>
      <c r="BB1009" s="136">
        <f t="shared" si="212"/>
        <v>0.9697682259672421</v>
      </c>
      <c r="BC1009" s="136" t="e">
        <f t="shared" si="213"/>
        <v>#N/A</v>
      </c>
      <c r="BD1009" s="136">
        <f t="shared" si="218"/>
        <v>2.1472798150046882E-4</v>
      </c>
      <c r="BE1009" s="136">
        <f t="shared" si="214"/>
        <v>-7.8527201849953117E-4</v>
      </c>
      <c r="BF1009" s="136" t="e">
        <f t="shared" si="215"/>
        <v>#N/A</v>
      </c>
      <c r="BG1009" s="136" t="e">
        <f t="shared" si="216"/>
        <v>#N/A</v>
      </c>
    </row>
    <row r="1010" spans="47:59" ht="11.25" customHeight="1">
      <c r="AU1010" s="136">
        <f t="shared" si="206"/>
        <v>0.99994987788900458</v>
      </c>
      <c r="AV1010" s="136">
        <f t="shared" si="217"/>
        <v>3.8899999999998776</v>
      </c>
      <c r="AW1010" s="136">
        <f t="shared" si="207"/>
        <v>2.0654576802332398E-4</v>
      </c>
      <c r="AX1010" s="136" t="e">
        <f t="shared" si="208"/>
        <v>#N/A</v>
      </c>
      <c r="AY1010" s="136">
        <f t="shared" si="209"/>
        <v>3.8899899999998775</v>
      </c>
      <c r="AZ1010" s="136">
        <f t="shared" si="210"/>
        <v>3.8900099999998776</v>
      </c>
      <c r="BA1010" s="136">
        <f t="shared" si="211"/>
        <v>0.9699094457722458</v>
      </c>
      <c r="BB1010" s="136">
        <f t="shared" si="212"/>
        <v>0.9699097278144464</v>
      </c>
      <c r="BC1010" s="136" t="e">
        <f t="shared" si="213"/>
        <v>#N/A</v>
      </c>
      <c r="BD1010" s="136">
        <f t="shared" si="218"/>
        <v>2.0654576802332398E-4</v>
      </c>
      <c r="BE1010" s="136">
        <f t="shared" si="214"/>
        <v>-7.9345423197667601E-4</v>
      </c>
      <c r="BF1010" s="136" t="e">
        <f t="shared" si="215"/>
        <v>#N/A</v>
      </c>
      <c r="BG1010" s="136" t="e">
        <f t="shared" si="216"/>
        <v>#N/A</v>
      </c>
    </row>
    <row r="1011" spans="47:59" ht="11.25" customHeight="1">
      <c r="AU1011" s="136">
        <f t="shared" si="206"/>
        <v>0.99995190365597963</v>
      </c>
      <c r="AV1011" s="136">
        <f t="shared" si="217"/>
        <v>3.8999999999998773</v>
      </c>
      <c r="AW1011" s="136">
        <f t="shared" si="207"/>
        <v>1.9865547139286764E-4</v>
      </c>
      <c r="AX1011" s="136" t="e">
        <f t="shared" si="208"/>
        <v>#N/A</v>
      </c>
      <c r="AY1011" s="136">
        <f t="shared" si="209"/>
        <v>3.8999899999998773</v>
      </c>
      <c r="AZ1011" s="136">
        <f t="shared" si="210"/>
        <v>3.9000099999998774</v>
      </c>
      <c r="BA1011" s="136">
        <f t="shared" si="211"/>
        <v>0.97004998892933247</v>
      </c>
      <c r="BB1011" s="136">
        <f t="shared" si="212"/>
        <v>0.97005026905873193</v>
      </c>
      <c r="BC1011" s="136" t="e">
        <f t="shared" si="213"/>
        <v>#N/A</v>
      </c>
      <c r="BD1011" s="136">
        <f t="shared" si="218"/>
        <v>1.9865547139286764E-4</v>
      </c>
      <c r="BE1011" s="136">
        <f t="shared" si="214"/>
        <v>-8.0134452860713241E-4</v>
      </c>
      <c r="BF1011" s="136" t="e">
        <f t="shared" si="215"/>
        <v>#N/A</v>
      </c>
      <c r="BG1011" s="136" t="e">
        <f t="shared" si="216"/>
        <v>#N/A</v>
      </c>
    </row>
    <row r="1012" spans="47:59" ht="11.25" customHeight="1">
      <c r="AU1012" s="136">
        <f t="shared" si="206"/>
        <v>0.99995385193944442</v>
      </c>
      <c r="AV1012" s="136">
        <f t="shared" si="217"/>
        <v>3.9099999999998771</v>
      </c>
      <c r="AW1012" s="136">
        <f t="shared" si="207"/>
        <v>1.9104748787468953E-4</v>
      </c>
      <c r="AX1012" s="136" t="e">
        <f t="shared" si="208"/>
        <v>#N/A</v>
      </c>
      <c r="AY1012" s="136">
        <f t="shared" si="209"/>
        <v>3.9099899999998771</v>
      </c>
      <c r="AZ1012" s="136">
        <f t="shared" si="210"/>
        <v>3.9100099999998772</v>
      </c>
      <c r="BA1012" s="136">
        <f t="shared" si="211"/>
        <v>0.97018957985864718</v>
      </c>
      <c r="BB1012" s="136">
        <f t="shared" si="212"/>
        <v>0.97018985809194069</v>
      </c>
      <c r="BC1012" s="136" t="e">
        <f t="shared" si="213"/>
        <v>#N/A</v>
      </c>
      <c r="BD1012" s="136">
        <f t="shared" si="218"/>
        <v>1.9104748787468953E-4</v>
      </c>
      <c r="BE1012" s="136">
        <f t="shared" si="214"/>
        <v>-8.0895251212531052E-4</v>
      </c>
      <c r="BF1012" s="136" t="e">
        <f t="shared" si="215"/>
        <v>#N/A</v>
      </c>
      <c r="BG1012" s="136" t="e">
        <f t="shared" si="216"/>
        <v>#N/A</v>
      </c>
    </row>
    <row r="1013" spans="47:59" ht="11.25" customHeight="1">
      <c r="AU1013" s="136">
        <f t="shared" si="206"/>
        <v>0.99995572551568757</v>
      </c>
      <c r="AV1013" s="136">
        <f t="shared" si="217"/>
        <v>3.9199999999998769</v>
      </c>
      <c r="AW1013" s="136">
        <f t="shared" si="207"/>
        <v>1.8371249800254569E-4</v>
      </c>
      <c r="AX1013" s="136" t="e">
        <f t="shared" si="208"/>
        <v>#N/A</v>
      </c>
      <c r="AY1013" s="136">
        <f t="shared" si="209"/>
        <v>3.9199899999998769</v>
      </c>
      <c r="AZ1013" s="136">
        <f t="shared" si="210"/>
        <v>3.920009999999877</v>
      </c>
      <c r="BA1013" s="136">
        <f t="shared" si="211"/>
        <v>0.97032822686405262</v>
      </c>
      <c r="BB1013" s="136">
        <f t="shared" si="212"/>
        <v>0.97032850321776043</v>
      </c>
      <c r="BC1013" s="136" t="e">
        <f t="shared" si="213"/>
        <v>#N/A</v>
      </c>
      <c r="BD1013" s="136">
        <f t="shared" si="218"/>
        <v>1.8371249800254569E-4</v>
      </c>
      <c r="BE1013" s="136">
        <f t="shared" si="214"/>
        <v>-8.1628750199745431E-4</v>
      </c>
      <c r="BF1013" s="136" t="e">
        <f t="shared" si="215"/>
        <v>#N/A</v>
      </c>
      <c r="BG1013" s="136" t="e">
        <f t="shared" si="216"/>
        <v>#N/A</v>
      </c>
    </row>
    <row r="1014" spans="47:59" ht="11.25" customHeight="1">
      <c r="AU1014" s="136">
        <f t="shared" si="206"/>
        <v>0.99995752706920638</v>
      </c>
      <c r="AV1014" s="136">
        <f t="shared" si="217"/>
        <v>3.9299999999998767</v>
      </c>
      <c r="AW1014" s="136">
        <f t="shared" si="207"/>
        <v>1.7664145934765657E-4</v>
      </c>
      <c r="AX1014" s="136" t="e">
        <f t="shared" si="208"/>
        <v>#N/A</v>
      </c>
      <c r="AY1014" s="136">
        <f t="shared" si="209"/>
        <v>3.9299899999998766</v>
      </c>
      <c r="AZ1014" s="136">
        <f t="shared" si="210"/>
        <v>3.9300099999998768</v>
      </c>
      <c r="BA1014" s="136">
        <f t="shared" si="211"/>
        <v>0.97046593816231785</v>
      </c>
      <c r="BB1014" s="136">
        <f t="shared" si="212"/>
        <v>0.97046621265278687</v>
      </c>
      <c r="BC1014" s="136" t="e">
        <f t="shared" si="213"/>
        <v>#N/A</v>
      </c>
      <c r="BD1014" s="136">
        <f t="shared" si="218"/>
        <v>1.7664145934765657E-4</v>
      </c>
      <c r="BE1014" s="136">
        <f t="shared" si="214"/>
        <v>-8.2335854065234348E-4</v>
      </c>
      <c r="BF1014" s="136" t="e">
        <f t="shared" si="215"/>
        <v>#N/A</v>
      </c>
      <c r="BG1014" s="136" t="e">
        <f t="shared" si="216"/>
        <v>#N/A</v>
      </c>
    </row>
    <row r="1015" spans="47:59" ht="11.25" customHeight="1">
      <c r="AU1015" s="136">
        <f t="shared" si="206"/>
        <v>0.99995925919544015</v>
      </c>
      <c r="AV1015" s="136">
        <f t="shared" si="217"/>
        <v>3.9399999999998765</v>
      </c>
      <c r="AW1015" s="136">
        <f t="shared" si="207"/>
        <v>1.6982559942942623E-4</v>
      </c>
      <c r="AX1015" s="136" t="e">
        <f t="shared" si="208"/>
        <v>#N/A</v>
      </c>
      <c r="AY1015" s="136">
        <f t="shared" si="209"/>
        <v>3.9399899999998764</v>
      </c>
      <c r="AZ1015" s="136">
        <f t="shared" si="210"/>
        <v>3.9400099999998766</v>
      </c>
      <c r="BA1015" s="136">
        <f t="shared" si="211"/>
        <v>0.97060272188416719</v>
      </c>
      <c r="BB1015" s="136">
        <f t="shared" si="212"/>
        <v>0.97060299452757326</v>
      </c>
      <c r="BC1015" s="136" t="e">
        <f t="shared" si="213"/>
        <v>#N/A</v>
      </c>
      <c r="BD1015" s="136">
        <f t="shared" si="218"/>
        <v>1.6982559942942623E-4</v>
      </c>
      <c r="BE1015" s="136">
        <f t="shared" si="214"/>
        <v>-8.3017440057057382E-4</v>
      </c>
      <c r="BF1015" s="136" t="e">
        <f t="shared" si="215"/>
        <v>#N/A</v>
      </c>
      <c r="BG1015" s="136" t="e">
        <f t="shared" si="216"/>
        <v>#N/A</v>
      </c>
    </row>
    <row r="1016" spans="47:59" ht="11.25" customHeight="1">
      <c r="AU1016" s="136">
        <f t="shared" si="206"/>
        <v>0.99996092440340578</v>
      </c>
      <c r="AV1016" s="136">
        <f t="shared" si="217"/>
        <v>3.9499999999998763</v>
      </c>
      <c r="AW1016" s="136">
        <f t="shared" si="207"/>
        <v>1.6325640876632187E-4</v>
      </c>
      <c r="AX1016" s="136" t="e">
        <f t="shared" si="208"/>
        <v>#N/A</v>
      </c>
      <c r="AY1016" s="136">
        <f t="shared" si="209"/>
        <v>3.9499899999998762</v>
      </c>
      <c r="AZ1016" s="136">
        <f t="shared" si="210"/>
        <v>3.9500099999998763</v>
      </c>
      <c r="BA1016" s="136">
        <f t="shared" si="211"/>
        <v>0.97073858607531527</v>
      </c>
      <c r="BB1016" s="136">
        <f t="shared" si="212"/>
        <v>0.97073885688766548</v>
      </c>
      <c r="BC1016" s="136" t="e">
        <f t="shared" si="213"/>
        <v>#N/A</v>
      </c>
      <c r="BD1016" s="136">
        <f t="shared" si="218"/>
        <v>1.6325640876632187E-4</v>
      </c>
      <c r="BE1016" s="136">
        <f t="shared" si="214"/>
        <v>-8.3674359123367815E-4</v>
      </c>
      <c r="BF1016" s="136" t="e">
        <f t="shared" si="215"/>
        <v>#N/A</v>
      </c>
      <c r="BG1016" s="136" t="e">
        <f t="shared" si="216"/>
        <v>#N/A</v>
      </c>
    </row>
    <row r="1017" spans="47:59" ht="11.25" customHeight="1">
      <c r="AU1017" s="136">
        <f t="shared" si="206"/>
        <v>0.99996252511830352</v>
      </c>
      <c r="AV1017" s="136">
        <f t="shared" si="217"/>
        <v>3.9599999999998761</v>
      </c>
      <c r="AW1017" s="136">
        <f t="shared" si="207"/>
        <v>1.5692563406560919E-4</v>
      </c>
      <c r="AX1017" s="136" t="e">
        <f t="shared" si="208"/>
        <v>#N/A</v>
      </c>
      <c r="AY1017" s="136">
        <f t="shared" si="209"/>
        <v>3.959989999999876</v>
      </c>
      <c r="AZ1017" s="136">
        <f t="shared" si="210"/>
        <v>3.9600099999998761</v>
      </c>
      <c r="BA1017" s="136">
        <f t="shared" si="211"/>
        <v>0.9708735386974886</v>
      </c>
      <c r="BB1017" s="136">
        <f t="shared" si="212"/>
        <v>0.97087380769462295</v>
      </c>
      <c r="BC1017" s="136" t="e">
        <f t="shared" si="213"/>
        <v>#N/A</v>
      </c>
      <c r="BD1017" s="136">
        <f t="shared" si="218"/>
        <v>1.5692563406560919E-4</v>
      </c>
      <c r="BE1017" s="136">
        <f t="shared" si="214"/>
        <v>-8.4307436593439083E-4</v>
      </c>
      <c r="BF1017" s="136" t="e">
        <f t="shared" si="215"/>
        <v>#N/A</v>
      </c>
      <c r="BG1017" s="136" t="e">
        <f t="shared" si="216"/>
        <v>#N/A</v>
      </c>
    </row>
    <row r="1018" spans="47:59" ht="11.25" customHeight="1">
      <c r="AU1018" s="136">
        <f t="shared" si="206"/>
        <v>0.99996406368409207</v>
      </c>
      <c r="AV1018" s="136">
        <f t="shared" si="217"/>
        <v>3.9699999999998759</v>
      </c>
      <c r="AW1018" s="136">
        <f t="shared" si="207"/>
        <v>1.5082527155059225E-4</v>
      </c>
      <c r="AX1018" s="136" t="e">
        <f t="shared" si="208"/>
        <v>#N/A</v>
      </c>
      <c r="AY1018" s="136">
        <f t="shared" si="209"/>
        <v>3.9699899999998758</v>
      </c>
      <c r="AZ1018" s="136">
        <f t="shared" si="210"/>
        <v>3.9700099999998759</v>
      </c>
      <c r="BA1018" s="136">
        <f t="shared" si="211"/>
        <v>0.97100758762943296</v>
      </c>
      <c r="BB1018" s="136">
        <f t="shared" si="212"/>
        <v>0.97100785482702623</v>
      </c>
      <c r="BC1018" s="136" t="e">
        <f t="shared" si="213"/>
        <v>#N/A</v>
      </c>
      <c r="BD1018" s="136">
        <f t="shared" si="218"/>
        <v>1.5082527155059225E-4</v>
      </c>
      <c r="BE1018" s="136">
        <f t="shared" si="214"/>
        <v>-8.4917472844940774E-4</v>
      </c>
      <c r="BF1018" s="136" t="e">
        <f t="shared" si="215"/>
        <v>#N/A</v>
      </c>
      <c r="BG1018" s="136" t="e">
        <f t="shared" si="216"/>
        <v>#N/A</v>
      </c>
    </row>
    <row r="1019" spans="47:59" ht="11.25" customHeight="1">
      <c r="AU1019" s="136">
        <f t="shared" si="206"/>
        <v>0.99996554236588264</v>
      </c>
      <c r="AV1019" s="136">
        <f t="shared" si="217"/>
        <v>3.9799999999998756</v>
      </c>
      <c r="AW1019" s="136">
        <f t="shared" si="207"/>
        <v>1.4494756042396286E-4</v>
      </c>
      <c r="AX1019" s="136" t="e">
        <f t="shared" si="208"/>
        <v>#N/A</v>
      </c>
      <c r="AY1019" s="136">
        <f t="shared" si="209"/>
        <v>3.9799899999998756</v>
      </c>
      <c r="AZ1019" s="136">
        <f t="shared" si="210"/>
        <v>3.9800099999998757</v>
      </c>
      <c r="BA1019" s="136">
        <f t="shared" si="211"/>
        <v>0.97114074066790756</v>
      </c>
      <c r="BB1019" s="136">
        <f t="shared" si="212"/>
        <v>0.97114100608147191</v>
      </c>
      <c r="BC1019" s="136" t="e">
        <f t="shared" si="213"/>
        <v>#N/A</v>
      </c>
      <c r="BD1019" s="136">
        <f t="shared" si="218"/>
        <v>1.4494756042396286E-4</v>
      </c>
      <c r="BE1019" s="136">
        <f t="shared" si="214"/>
        <v>-8.5505243957603716E-4</v>
      </c>
      <c r="BF1019" s="136" t="e">
        <f t="shared" si="215"/>
        <v>#N/A</v>
      </c>
      <c r="BG1019" s="136" t="e">
        <f t="shared" si="216"/>
        <v>#N/A</v>
      </c>
    </row>
    <row r="1020" spans="47:59" ht="11.25" customHeight="1">
      <c r="AU1020" s="136">
        <f t="shared" si="206"/>
        <v>0.99996696335237112</v>
      </c>
      <c r="AV1020" s="136">
        <f t="shared" si="217"/>
        <v>3.9899999999998754</v>
      </c>
      <c r="AW1020" s="136">
        <f t="shared" si="207"/>
        <v>1.3928497646582919E-4</v>
      </c>
      <c r="AX1020" s="136" t="e">
        <f t="shared" si="208"/>
        <v>#N/A</v>
      </c>
      <c r="AY1020" s="136">
        <f t="shared" si="209"/>
        <v>3.9899899999998754</v>
      </c>
      <c r="AZ1020" s="136">
        <f t="shared" si="210"/>
        <v>3.9900099999998755</v>
      </c>
      <c r="BA1020" s="136">
        <f t="shared" si="211"/>
        <v>0.97127300552866669</v>
      </c>
      <c r="BB1020" s="136">
        <f t="shared" si="212"/>
        <v>0.97127326917355317</v>
      </c>
      <c r="BC1020" s="136" t="e">
        <f t="shared" si="213"/>
        <v>#N/A</v>
      </c>
      <c r="BD1020" s="136">
        <f t="shared" si="218"/>
        <v>1.3928497646582919E-4</v>
      </c>
      <c r="BE1020" s="136">
        <f t="shared" si="214"/>
        <v>-8.6071502353417088E-4</v>
      </c>
      <c r="BF1020" s="136" t="e">
        <f t="shared" si="215"/>
        <v>#N/A</v>
      </c>
      <c r="BG1020" s="136" t="e">
        <f t="shared" si="216"/>
        <v>#N/A</v>
      </c>
    </row>
    <row r="1021" spans="47:59" ht="11.25" customHeight="1">
      <c r="AU1021" s="136">
        <f t="shared" si="206"/>
        <v>0.99996832875816688</v>
      </c>
      <c r="AV1021" s="136">
        <f t="shared" si="217"/>
        <v>3.9999999999998752</v>
      </c>
      <c r="AW1021" s="136">
        <f t="shared" si="207"/>
        <v>1.3383022576495215E-4</v>
      </c>
      <c r="AX1021" s="136" t="e">
        <f t="shared" si="208"/>
        <v>#N/A</v>
      </c>
      <c r="AY1021" s="136">
        <f t="shared" si="209"/>
        <v>3.9999899999998751</v>
      </c>
      <c r="AZ1021" s="136">
        <f t="shared" si="210"/>
        <v>4.0000099999998753</v>
      </c>
      <c r="BA1021" s="136">
        <f t="shared" si="211"/>
        <v>0.9714043898474275</v>
      </c>
      <c r="BB1021" s="136">
        <f t="shared" si="212"/>
        <v>0.97140465173882784</v>
      </c>
      <c r="BC1021" s="136" t="e">
        <f t="shared" si="213"/>
        <v>#N/A</v>
      </c>
      <c r="BD1021" s="136">
        <f t="shared" si="218"/>
        <v>1.3383022576495215E-4</v>
      </c>
      <c r="BE1021" s="136">
        <f t="shared" si="214"/>
        <v>-8.6616977423504789E-4</v>
      </c>
      <c r="BF1021" s="136" t="e">
        <f t="shared" si="215"/>
        <v>#N/A</v>
      </c>
      <c r="BG1021" s="136" t="e">
        <f t="shared" si="216"/>
        <v>#N/A</v>
      </c>
    </row>
    <row r="1022" spans="47:59" ht="11.25" customHeight="1">
      <c r="AU1022" s="136">
        <f t="shared" si="206"/>
        <v>0.99996964062607074</v>
      </c>
      <c r="AV1022" s="136">
        <f t="shared" si="217"/>
        <v>4.0099999999998754</v>
      </c>
      <c r="AW1022" s="136">
        <f t="shared" si="207"/>
        <v>1.2857623858168523E-4</v>
      </c>
      <c r="AX1022" s="136" t="e">
        <f t="shared" si="208"/>
        <v>#N/A</v>
      </c>
      <c r="AY1022" s="136">
        <f t="shared" si="209"/>
        <v>4.0099899999998758</v>
      </c>
      <c r="AZ1022" s="136">
        <f t="shared" si="210"/>
        <v>4.0100099999998751</v>
      </c>
      <c r="BA1022" s="136">
        <f t="shared" si="211"/>
        <v>0.97153490118082464</v>
      </c>
      <c r="BB1022" s="136">
        <f t="shared" si="212"/>
        <v>0.97153516133377371</v>
      </c>
      <c r="BC1022" s="136" t="e">
        <f t="shared" si="213"/>
        <v>#N/A</v>
      </c>
      <c r="BD1022" s="136">
        <f t="shared" si="218"/>
        <v>1.2857623858168523E-4</v>
      </c>
      <c r="BE1022" s="136">
        <f t="shared" si="214"/>
        <v>-8.7142376141831476E-4</v>
      </c>
      <c r="BF1022" s="136" t="e">
        <f t="shared" si="215"/>
        <v>#N/A</v>
      </c>
      <c r="BG1022" s="136" t="e">
        <f t="shared" si="216"/>
        <v>#N/A</v>
      </c>
    </row>
    <row r="1023" spans="47:59" ht="11.25" customHeight="1">
      <c r="AU1023" s="136">
        <f t="shared" si="206"/>
        <v>0.99997090092928409</v>
      </c>
      <c r="AV1023" s="136">
        <f t="shared" si="217"/>
        <v>4.0199999999998752</v>
      </c>
      <c r="AW1023" s="136">
        <f t="shared" si="207"/>
        <v>1.2351616334108531E-4</v>
      </c>
      <c r="AX1023" s="136" t="e">
        <f t="shared" si="208"/>
        <v>#N/A</v>
      </c>
      <c r="AY1023" s="136">
        <f t="shared" si="209"/>
        <v>4.0199899999998756</v>
      </c>
      <c r="AZ1023" s="136">
        <f t="shared" si="210"/>
        <v>4.0200099999998749</v>
      </c>
      <c r="BA1023" s="136">
        <f t="shared" si="211"/>
        <v>0.97166454700735416</v>
      </c>
      <c r="BB1023" s="136">
        <f t="shared" si="212"/>
        <v>0.97166480543673106</v>
      </c>
      <c r="BC1023" s="136" t="e">
        <f t="shared" si="213"/>
        <v>#N/A</v>
      </c>
      <c r="BD1023" s="136">
        <f t="shared" si="218"/>
        <v>1.2351616334108531E-4</v>
      </c>
      <c r="BE1023" s="136">
        <f t="shared" si="214"/>
        <v>-8.7648383665891473E-4</v>
      </c>
      <c r="BF1023" s="136" t="e">
        <f t="shared" si="215"/>
        <v>#N/A</v>
      </c>
      <c r="BG1023" s="136" t="e">
        <f t="shared" si="216"/>
        <v>#N/A</v>
      </c>
    </row>
    <row r="1024" spans="47:59" ht="11.25" customHeight="1">
      <c r="AU1024" s="136">
        <f t="shared" si="206"/>
        <v>0.99997211157355292</v>
      </c>
      <c r="AV1024" s="136">
        <f t="shared" si="217"/>
        <v>4.029999999999875</v>
      </c>
      <c r="AW1024" s="136">
        <f t="shared" si="207"/>
        <v>1.1864336075462582E-4</v>
      </c>
      <c r="AX1024" s="136" t="e">
        <f t="shared" si="208"/>
        <v>#N/A</v>
      </c>
      <c r="AY1024" s="136">
        <f t="shared" si="209"/>
        <v>4.0299899999998754</v>
      </c>
      <c r="AZ1024" s="136">
        <f t="shared" si="210"/>
        <v>4.0300099999998746</v>
      </c>
      <c r="BA1024" s="136">
        <f t="shared" si="211"/>
        <v>0.97179333472830232</v>
      </c>
      <c r="BB1024" s="136">
        <f t="shared" si="212"/>
        <v>0.97179359144883304</v>
      </c>
      <c r="BC1024" s="136" t="e">
        <f t="shared" si="213"/>
        <v>#N/A</v>
      </c>
      <c r="BD1024" s="136">
        <f t="shared" si="218"/>
        <v>1.1864336075462582E-4</v>
      </c>
      <c r="BE1024" s="136">
        <f t="shared" si="214"/>
        <v>-8.8135663924537421E-4</v>
      </c>
      <c r="BF1024" s="136" t="e">
        <f t="shared" si="215"/>
        <v>#N/A</v>
      </c>
      <c r="BG1024" s="136" t="e">
        <f t="shared" si="216"/>
        <v>#N/A</v>
      </c>
    </row>
    <row r="1025" spans="47:59" ht="11.25" customHeight="1">
      <c r="AU1025" s="136">
        <f t="shared" si="206"/>
        <v>0.99997327439927886</v>
      </c>
      <c r="AV1025" s="136">
        <f t="shared" si="217"/>
        <v>4.0399999999998748</v>
      </c>
      <c r="AW1025" s="136">
        <f t="shared" si="207"/>
        <v>1.1395139806892229E-4</v>
      </c>
      <c r="AX1025" s="136" t="e">
        <f t="shared" si="208"/>
        <v>#N/A</v>
      </c>
      <c r="AY1025" s="136">
        <f t="shared" si="209"/>
        <v>4.0399899999998752</v>
      </c>
      <c r="AZ1025" s="136">
        <f t="shared" si="210"/>
        <v>4.0400099999998744</v>
      </c>
      <c r="BA1025" s="136">
        <f t="shared" si="211"/>
        <v>0.97192127166866449</v>
      </c>
      <c r="BB1025" s="136">
        <f t="shared" si="212"/>
        <v>0.97192152669492304</v>
      </c>
      <c r="BC1025" s="136" t="e">
        <f t="shared" si="213"/>
        <v>#N/A</v>
      </c>
      <c r="BD1025" s="136">
        <f t="shared" si="218"/>
        <v>1.1395139806892229E-4</v>
      </c>
      <c r="BE1025" s="136">
        <f t="shared" si="214"/>
        <v>-8.8604860193107775E-4</v>
      </c>
      <c r="BF1025" s="136" t="e">
        <f t="shared" si="215"/>
        <v>#N/A</v>
      </c>
      <c r="BG1025" s="136" t="e">
        <f t="shared" si="216"/>
        <v>#N/A</v>
      </c>
    </row>
    <row r="1026" spans="47:59" ht="11.25" customHeight="1">
      <c r="AU1026" s="136">
        <f t="shared" si="206"/>
        <v>0.99997439118352494</v>
      </c>
      <c r="AV1026" s="136">
        <f t="shared" si="217"/>
        <v>4.0499999999998746</v>
      </c>
      <c r="AW1026" s="136">
        <f t="shared" si="207"/>
        <v>1.0943404343985613E-4</v>
      </c>
      <c r="AX1026" s="136" t="e">
        <f t="shared" si="208"/>
        <v>#N/A</v>
      </c>
      <c r="AY1026" s="136">
        <f t="shared" si="209"/>
        <v>4.049989999999875</v>
      </c>
      <c r="AZ1026" s="136">
        <f t="shared" si="210"/>
        <v>4.0500099999998742</v>
      </c>
      <c r="BA1026" s="136">
        <f t="shared" si="211"/>
        <v>0.97204836507804981</v>
      </c>
      <c r="BB1026" s="136">
        <f t="shared" si="212"/>
        <v>0.97204861842446066</v>
      </c>
      <c r="BC1026" s="136" t="e">
        <f t="shared" si="213"/>
        <v>#N/A</v>
      </c>
      <c r="BD1026" s="136">
        <f t="shared" si="218"/>
        <v>1.0943404343985613E-4</v>
      </c>
      <c r="BE1026" s="136">
        <f t="shared" si="214"/>
        <v>-8.9056595656014387E-4</v>
      </c>
      <c r="BF1026" s="136" t="e">
        <f t="shared" si="215"/>
        <v>#N/A</v>
      </c>
      <c r="BG1026" s="136" t="e">
        <f t="shared" si="216"/>
        <v>#N/A</v>
      </c>
    </row>
    <row r="1027" spans="47:59" ht="11.25" customHeight="1">
      <c r="AU1027" s="136">
        <f t="shared" si="206"/>
        <v>0.99997546364203416</v>
      </c>
      <c r="AV1027" s="136">
        <f t="shared" si="217"/>
        <v>4.0599999999998744</v>
      </c>
      <c r="AW1027" s="136">
        <f t="shared" si="207"/>
        <v>1.0508526043045386E-4</v>
      </c>
      <c r="AX1027" s="136" t="e">
        <f t="shared" si="208"/>
        <v>#N/A</v>
      </c>
      <c r="AY1027" s="136">
        <f t="shared" si="209"/>
        <v>4.0599899999998748</v>
      </c>
      <c r="AZ1027" s="136">
        <f t="shared" si="210"/>
        <v>4.060009999999874</v>
      </c>
      <c r="BA1027" s="136">
        <f t="shared" si="211"/>
        <v>0.97217462213157613</v>
      </c>
      <c r="BB1027" s="136">
        <f t="shared" si="212"/>
        <v>0.9721748738124153</v>
      </c>
      <c r="BC1027" s="136" t="e">
        <f t="shared" si="213"/>
        <v>#N/A</v>
      </c>
      <c r="BD1027" s="136">
        <f t="shared" si="218"/>
        <v>1.0508526043045386E-4</v>
      </c>
      <c r="BE1027" s="136">
        <f t="shared" si="214"/>
        <v>-8.9491473956954614E-4</v>
      </c>
      <c r="BF1027" s="136" t="e">
        <f t="shared" si="215"/>
        <v>#N/A</v>
      </c>
      <c r="BG1027" s="136" t="e">
        <f t="shared" si="216"/>
        <v>#N/A</v>
      </c>
    </row>
    <row r="1028" spans="47:59" ht="11.25" customHeight="1">
      <c r="AU1028" s="136">
        <f t="shared" si="206"/>
        <v>0.99997649343112682</v>
      </c>
      <c r="AV1028" s="136">
        <f t="shared" si="217"/>
        <v>4.0699999999998742</v>
      </c>
      <c r="AW1028" s="136">
        <f t="shared" si="207"/>
        <v>1.008992026308662E-4</v>
      </c>
      <c r="AX1028" s="136" t="e">
        <f t="shared" si="208"/>
        <v>#N/A</v>
      </c>
      <c r="AY1028" s="136">
        <f t="shared" si="209"/>
        <v>4.0699899999998745</v>
      </c>
      <c r="AZ1028" s="136">
        <f t="shared" si="210"/>
        <v>4.0700099999998738</v>
      </c>
      <c r="BA1028" s="136">
        <f t="shared" si="211"/>
        <v>0.97230004993075081</v>
      </c>
      <c r="BB1028" s="136">
        <f t="shared" si="212"/>
        <v>0.97230029996014833</v>
      </c>
      <c r="BC1028" s="136" t="e">
        <f t="shared" si="213"/>
        <v>#N/A</v>
      </c>
      <c r="BD1028" s="136">
        <f t="shared" si="218"/>
        <v>1.008992026308662E-4</v>
      </c>
      <c r="BE1028" s="136">
        <f t="shared" si="214"/>
        <v>-8.9910079736913384E-4</v>
      </c>
      <c r="BF1028" s="136" t="e">
        <f t="shared" si="215"/>
        <v>#N/A</v>
      </c>
      <c r="BG1028" s="136" t="e">
        <f t="shared" si="216"/>
        <v>#N/A</v>
      </c>
    </row>
    <row r="1029" spans="47:59" ht="11.25" customHeight="1">
      <c r="AU1029" s="136">
        <f t="shared" si="206"/>
        <v>0.99997748214960713</v>
      </c>
      <c r="AV1029" s="136">
        <f t="shared" si="217"/>
        <v>4.0799999999998739</v>
      </c>
      <c r="AW1029" s="136">
        <f t="shared" si="207"/>
        <v>9.6870208398768985E-5</v>
      </c>
      <c r="AX1029" s="136" t="e">
        <f t="shared" si="208"/>
        <v>#N/A</v>
      </c>
      <c r="AY1029" s="136">
        <f t="shared" si="209"/>
        <v>4.0799899999998743</v>
      </c>
      <c r="AZ1029" s="136">
        <f t="shared" si="210"/>
        <v>4.0800099999998736</v>
      </c>
      <c r="BA1029" s="136">
        <f t="shared" si="211"/>
        <v>0.97242465550434232</v>
      </c>
      <c r="BB1029" s="136">
        <f t="shared" si="212"/>
        <v>0.97242490389628322</v>
      </c>
      <c r="BC1029" s="136" t="e">
        <f t="shared" si="213"/>
        <v>#N/A</v>
      </c>
      <c r="BD1029" s="136">
        <f t="shared" si="218"/>
        <v>9.6870208398768985E-5</v>
      </c>
      <c r="BE1029" s="136">
        <f t="shared" si="214"/>
        <v>-9.0312979160123109E-4</v>
      </c>
      <c r="BF1029" s="136" t="e">
        <f t="shared" si="215"/>
        <v>#N/A</v>
      </c>
      <c r="BG1029" s="136" t="e">
        <f t="shared" si="216"/>
        <v>#N/A</v>
      </c>
    </row>
    <row r="1030" spans="47:59" ht="11.25" customHeight="1">
      <c r="AU1030" s="136">
        <f t="shared" si="206"/>
        <v>0.99997843134054809</v>
      </c>
      <c r="AV1030" s="136">
        <f t="shared" si="217"/>
        <v>4.0899999999998737</v>
      </c>
      <c r="AW1030" s="136">
        <f t="shared" si="207"/>
        <v>9.2992795718493788E-5</v>
      </c>
      <c r="AX1030" s="136" t="e">
        <f t="shared" si="208"/>
        <v>#N/A</v>
      </c>
      <c r="AY1030" s="136">
        <f t="shared" si="209"/>
        <v>4.0899899999998741</v>
      </c>
      <c r="AZ1030" s="136">
        <f t="shared" si="210"/>
        <v>4.0900099999998734</v>
      </c>
      <c r="BA1030" s="136">
        <f t="shared" si="211"/>
        <v>0.97254844580923783</v>
      </c>
      <c r="BB1030" s="136">
        <f t="shared" si="212"/>
        <v>0.97254869257756449</v>
      </c>
      <c r="BC1030" s="136" t="e">
        <f t="shared" si="213"/>
        <v>#N/A</v>
      </c>
      <c r="BD1030" s="136">
        <f t="shared" si="218"/>
        <v>9.2992795718493788E-5</v>
      </c>
      <c r="BE1030" s="136">
        <f t="shared" si="214"/>
        <v>-9.0700720428150625E-4</v>
      </c>
      <c r="BF1030" s="136" t="e">
        <f t="shared" si="215"/>
        <v>#N/A</v>
      </c>
      <c r="BG1030" s="136" t="e">
        <f t="shared" si="216"/>
        <v>#N/A</v>
      </c>
    </row>
    <row r="1031" spans="47:59" ht="11.25" customHeight="1">
      <c r="AU1031" s="136">
        <f t="shared" si="206"/>
        <v>0.9999793424930904</v>
      </c>
      <c r="AV1031" s="136">
        <f t="shared" si="217"/>
        <v>4.0999999999998735</v>
      </c>
      <c r="AW1031" s="136">
        <f t="shared" si="207"/>
        <v>8.926165717717921E-5</v>
      </c>
      <c r="AX1031" s="136" t="e">
        <f t="shared" si="208"/>
        <v>#N/A</v>
      </c>
      <c r="AY1031" s="136">
        <f t="shared" si="209"/>
        <v>4.0999899999998739</v>
      </c>
      <c r="AZ1031" s="136">
        <f t="shared" si="210"/>
        <v>4.1000099999998731</v>
      </c>
      <c r="BA1031" s="136">
        <f t="shared" si="211"/>
        <v>0.97267142773129212</v>
      </c>
      <c r="BB1031" s="136">
        <f t="shared" si="212"/>
        <v>0.97267167288970569</v>
      </c>
      <c r="BC1031" s="136" t="e">
        <f t="shared" si="213"/>
        <v>#N/A</v>
      </c>
      <c r="BD1031" s="136">
        <f t="shared" si="218"/>
        <v>8.926165717717921E-5</v>
      </c>
      <c r="BE1031" s="136">
        <f t="shared" si="214"/>
        <v>-9.1073834282282082E-4</v>
      </c>
      <c r="BF1031" s="136" t="e">
        <f t="shared" si="215"/>
        <v>#N/A</v>
      </c>
      <c r="BG1031" s="136" t="e">
        <f t="shared" si="216"/>
        <v>#N/A</v>
      </c>
    </row>
    <row r="1032" spans="47:59" ht="11.25" customHeight="1">
      <c r="AU1032" s="136">
        <f t="shared" si="206"/>
        <v>0.99998021704413143</v>
      </c>
      <c r="AV1032" s="136">
        <f t="shared" si="217"/>
        <v>4.1099999999998733</v>
      </c>
      <c r="AW1032" s="136">
        <f t="shared" si="207"/>
        <v>8.5671655056226601E-5</v>
      </c>
      <c r="AX1032" s="136" t="e">
        <f t="shared" si="208"/>
        <v>#N/A</v>
      </c>
      <c r="AY1032" s="136">
        <f t="shared" si="209"/>
        <v>4.1099899999998737</v>
      </c>
      <c r="AZ1032" s="136">
        <f t="shared" si="210"/>
        <v>4.1100099999998729</v>
      </c>
      <c r="BA1032" s="136">
        <f t="shared" si="211"/>
        <v>0.97279360808616322</v>
      </c>
      <c r="BB1032" s="136">
        <f t="shared" si="212"/>
        <v>0.97279385164822518</v>
      </c>
      <c r="BC1032" s="136" t="e">
        <f t="shared" si="213"/>
        <v>#N/A</v>
      </c>
      <c r="BD1032" s="136">
        <f t="shared" si="218"/>
        <v>8.5671655056226601E-5</v>
      </c>
      <c r="BE1032" s="136">
        <f t="shared" si="214"/>
        <v>-9.1432834494377347E-4</v>
      </c>
      <c r="BF1032" s="136" t="e">
        <f t="shared" si="215"/>
        <v>#N/A</v>
      </c>
      <c r="BG1032" s="136" t="e">
        <f t="shared" si="216"/>
        <v>#N/A</v>
      </c>
    </row>
    <row r="1033" spans="47:59" ht="11.25" customHeight="1">
      <c r="AU1033" s="136">
        <f t="shared" si="206"/>
        <v>0.99998105638003842</v>
      </c>
      <c r="AV1033" s="136">
        <f t="shared" si="217"/>
        <v>4.1199999999998731</v>
      </c>
      <c r="AW1033" s="136">
        <f t="shared" si="207"/>
        <v>8.2217816536328924E-5</v>
      </c>
      <c r="AX1033" s="136" t="e">
        <f t="shared" si="208"/>
        <v>#N/A</v>
      </c>
      <c r="AY1033" s="136">
        <f t="shared" si="209"/>
        <v>4.1199899999998735</v>
      </c>
      <c r="AZ1033" s="136">
        <f t="shared" si="210"/>
        <v>4.1200099999998727</v>
      </c>
      <c r="BA1033" s="136">
        <f t="shared" si="211"/>
        <v>0.97291499362013856</v>
      </c>
      <c r="BB1033" s="136">
        <f t="shared" si="212"/>
        <v>0.97291523559927251</v>
      </c>
      <c r="BC1033" s="136" t="e">
        <f t="shared" si="213"/>
        <v>#N/A</v>
      </c>
      <c r="BD1033" s="136">
        <f t="shared" si="218"/>
        <v>8.2217816536328924E-5</v>
      </c>
      <c r="BE1033" s="136">
        <f t="shared" si="214"/>
        <v>-9.1778218346367114E-4</v>
      </c>
      <c r="BF1033" s="136" t="e">
        <f t="shared" si="215"/>
        <v>#N/A</v>
      </c>
      <c r="BG1033" s="136" t="e">
        <f t="shared" si="216"/>
        <v>#N/A</v>
      </c>
    </row>
    <row r="1034" spans="47:59" ht="11.25" customHeight="1">
      <c r="AU1034" s="136">
        <f t="shared" si="206"/>
        <v>0.99998186183828286</v>
      </c>
      <c r="AV1034" s="136">
        <f t="shared" si="217"/>
        <v>4.1299999999998729</v>
      </c>
      <c r="AW1034" s="136">
        <f t="shared" si="207"/>
        <v>7.8895329014334423E-5</v>
      </c>
      <c r="AX1034" s="136" t="e">
        <f t="shared" si="208"/>
        <v>#N/A</v>
      </c>
      <c r="AY1034" s="136">
        <f t="shared" si="209"/>
        <v>4.1299899999998733</v>
      </c>
      <c r="AZ1034" s="136">
        <f t="shared" si="210"/>
        <v>4.1300099999998725</v>
      </c>
      <c r="BA1034" s="136">
        <f t="shared" si="211"/>
        <v>0.97303559101094916</v>
      </c>
      <c r="BB1034" s="136">
        <f t="shared" si="212"/>
        <v>0.97303583142044248</v>
      </c>
      <c r="BC1034" s="136" t="e">
        <f t="shared" si="213"/>
        <v>#N/A</v>
      </c>
      <c r="BD1034" s="136">
        <f t="shared" si="218"/>
        <v>7.8895329014334423E-5</v>
      </c>
      <c r="BE1034" s="136">
        <f t="shared" si="214"/>
        <v>-9.2110467098566564E-4</v>
      </c>
      <c r="BF1034" s="136" t="e">
        <f t="shared" si="215"/>
        <v>#N/A</v>
      </c>
      <c r="BG1034" s="136" t="e">
        <f t="shared" si="216"/>
        <v>#N/A</v>
      </c>
    </row>
    <row r="1035" spans="47:59" ht="11.25" customHeight="1">
      <c r="AU1035" s="136">
        <f t="shared" si="206"/>
        <v>0.9999826347089229</v>
      </c>
      <c r="AV1035" s="136">
        <f t="shared" si="217"/>
        <v>4.1399999999998727</v>
      </c>
      <c r="AW1035" s="136">
        <f t="shared" si="207"/>
        <v>7.5699535530201003E-5</v>
      </c>
      <c r="AX1035" s="136" t="e">
        <f t="shared" si="208"/>
        <v>#N/A</v>
      </c>
      <c r="AY1035" s="136">
        <f t="shared" si="209"/>
        <v>4.139989999999873</v>
      </c>
      <c r="AZ1035" s="136">
        <f t="shared" si="210"/>
        <v>4.1400099999998723</v>
      </c>
      <c r="BA1035" s="136">
        <f t="shared" si="211"/>
        <v>0.97315540686857427</v>
      </c>
      <c r="BB1035" s="136">
        <f t="shared" si="212"/>
        <v>0.97315564572157942</v>
      </c>
      <c r="BC1035" s="136" t="e">
        <f t="shared" si="213"/>
        <v>#N/A</v>
      </c>
      <c r="BD1035" s="136">
        <f t="shared" si="218"/>
        <v>7.5699535530201003E-5</v>
      </c>
      <c r="BE1035" s="136">
        <f t="shared" si="214"/>
        <v>-9.2430046446979907E-4</v>
      </c>
      <c r="BF1035" s="136" t="e">
        <f t="shared" si="215"/>
        <v>#N/A</v>
      </c>
      <c r="BG1035" s="136" t="e">
        <f t="shared" si="216"/>
        <v>#N/A</v>
      </c>
    </row>
    <row r="1036" spans="47:59" ht="11.25" customHeight="1">
      <c r="AU1036" s="136">
        <f t="shared" si="206"/>
        <v>0.99998337623625855</v>
      </c>
      <c r="AV1036" s="136">
        <f t="shared" si="217"/>
        <v>4.1499999999998725</v>
      </c>
      <c r="AW1036" s="136">
        <f t="shared" si="207"/>
        <v>7.2625930302290894E-5</v>
      </c>
      <c r="AX1036" s="136" t="e">
        <f t="shared" si="208"/>
        <v>#N/A</v>
      </c>
      <c r="AY1036" s="136">
        <f t="shared" si="209"/>
        <v>4.1499899999998728</v>
      </c>
      <c r="AZ1036" s="136">
        <f t="shared" si="210"/>
        <v>4.1500099999998721</v>
      </c>
      <c r="BA1036" s="136">
        <f t="shared" si="211"/>
        <v>0.97327444773603433</v>
      </c>
      <c r="BB1036" s="136">
        <f t="shared" si="212"/>
        <v>0.97327468504557091</v>
      </c>
      <c r="BC1036" s="136" t="e">
        <f t="shared" si="213"/>
        <v>#N/A</v>
      </c>
      <c r="BD1036" s="136">
        <f t="shared" si="218"/>
        <v>7.2625930302290894E-5</v>
      </c>
      <c r="BE1036" s="136">
        <f t="shared" si="214"/>
        <v>-9.273740696977091E-4</v>
      </c>
      <c r="BF1036" s="136" t="e">
        <f t="shared" si="215"/>
        <v>#N/A</v>
      </c>
      <c r="BG1036" s="136" t="e">
        <f t="shared" si="216"/>
        <v>#N/A</v>
      </c>
    </row>
    <row r="1037" spans="47:59" ht="11.25" customHeight="1">
      <c r="AU1037" s="136">
        <f t="shared" si="206"/>
        <v>0.99998408762028279</v>
      </c>
      <c r="AV1037" s="136">
        <f t="shared" si="217"/>
        <v>4.1599999999998722</v>
      </c>
      <c r="AW1037" s="136">
        <f t="shared" si="207"/>
        <v>6.9670154369251447E-5</v>
      </c>
      <c r="AX1037" s="136" t="e">
        <f t="shared" si="208"/>
        <v>#N/A</v>
      </c>
      <c r="AY1037" s="136">
        <f t="shared" si="209"/>
        <v>4.1599899999998726</v>
      </c>
      <c r="AZ1037" s="136">
        <f t="shared" si="210"/>
        <v>4.1600099999998719</v>
      </c>
      <c r="BA1037" s="136">
        <f t="shared" si="211"/>
        <v>0.97339272009017497</v>
      </c>
      <c r="BB1037" s="136">
        <f t="shared" si="212"/>
        <v>0.97339295586913077</v>
      </c>
      <c r="BC1037" s="136" t="e">
        <f t="shared" si="213"/>
        <v>#N/A</v>
      </c>
      <c r="BD1037" s="136">
        <f t="shared" si="218"/>
        <v>6.9670154369251447E-5</v>
      </c>
      <c r="BE1037" s="136">
        <f t="shared" si="214"/>
        <v>-9.3032984563074861E-4</v>
      </c>
      <c r="BF1037" s="136" t="e">
        <f t="shared" si="215"/>
        <v>#N/A</v>
      </c>
      <c r="BG1037" s="136" t="e">
        <f t="shared" si="216"/>
        <v>#N/A</v>
      </c>
    </row>
    <row r="1038" spans="47:59" ht="11.25" customHeight="1">
      <c r="AU1038" s="136">
        <f t="shared" si="206"/>
        <v>0.99998477001804331</v>
      </c>
      <c r="AV1038" s="136">
        <f t="shared" si="217"/>
        <v>4.169999999999872</v>
      </c>
      <c r="AW1038" s="136">
        <f t="shared" si="207"/>
        <v>6.6827991336726225E-5</v>
      </c>
      <c r="AX1038" s="136" t="e">
        <f t="shared" si="208"/>
        <v>#N/A</v>
      </c>
      <c r="AY1038" s="136">
        <f t="shared" si="209"/>
        <v>4.1699899999998724</v>
      </c>
      <c r="AZ1038" s="136">
        <f t="shared" si="210"/>
        <v>4.1700099999998717</v>
      </c>
      <c r="BA1038" s="136">
        <f t="shared" si="211"/>
        <v>0.97351023034243911</v>
      </c>
      <c r="BB1038" s="136">
        <f t="shared" si="212"/>
        <v>0.97351046460357216</v>
      </c>
      <c r="BC1038" s="136" t="e">
        <f t="shared" si="213"/>
        <v>#N/A</v>
      </c>
      <c r="BD1038" s="136">
        <f t="shared" si="218"/>
        <v>6.6827991336726225E-5</v>
      </c>
      <c r="BE1038" s="136">
        <f t="shared" si="214"/>
        <v>-9.3317200866327378E-4</v>
      </c>
      <c r="BF1038" s="136" t="e">
        <f t="shared" si="215"/>
        <v>#N/A</v>
      </c>
      <c r="BG1038" s="136" t="e">
        <f t="shared" si="216"/>
        <v>#N/A</v>
      </c>
    </row>
    <row r="1039" spans="47:59" ht="11.25" customHeight="1">
      <c r="AU1039" s="136">
        <f t="shared" si="206"/>
        <v>0.99998542454521344</v>
      </c>
      <c r="AV1039" s="136">
        <f t="shared" si="217"/>
        <v>4.1799999999998718</v>
      </c>
      <c r="AW1039" s="136">
        <f t="shared" si="207"/>
        <v>6.4095363227140357E-5</v>
      </c>
      <c r="AX1039" s="136" t="e">
        <f t="shared" si="208"/>
        <v>#N/A</v>
      </c>
      <c r="AY1039" s="136">
        <f t="shared" si="209"/>
        <v>4.1799899999998722</v>
      </c>
      <c r="AZ1039" s="136">
        <f t="shared" si="210"/>
        <v>4.1800099999998714</v>
      </c>
      <c r="BA1039" s="136">
        <f t="shared" si="211"/>
        <v>0.9736269848396305</v>
      </c>
      <c r="BB1039" s="136">
        <f t="shared" si="212"/>
        <v>0.97362721759557003</v>
      </c>
      <c r="BC1039" s="136" t="e">
        <f t="shared" si="213"/>
        <v>#N/A</v>
      </c>
      <c r="BD1039" s="136">
        <f t="shared" si="218"/>
        <v>6.4095363227140357E-5</v>
      </c>
      <c r="BE1039" s="136">
        <f t="shared" si="214"/>
        <v>-9.3590463677285969E-4</v>
      </c>
      <c r="BF1039" s="136" t="e">
        <f t="shared" si="215"/>
        <v>#N/A</v>
      </c>
      <c r="BG1039" s="136" t="e">
        <f t="shared" si="216"/>
        <v>#N/A</v>
      </c>
    </row>
    <row r="1040" spans="47:59" ht="11.25" customHeight="1">
      <c r="AU1040" s="136">
        <f t="shared" si="206"/>
        <v>0.99998605227726123</v>
      </c>
      <c r="AV1040" s="136">
        <f t="shared" si="217"/>
        <v>4.1899999999998716</v>
      </c>
      <c r="AW1040" s="136">
        <f t="shared" si="207"/>
        <v>6.1468326430802394E-5</v>
      </c>
      <c r="AX1040" s="136" t="e">
        <f t="shared" si="208"/>
        <v>#N/A</v>
      </c>
      <c r="AY1040" s="136">
        <f t="shared" si="209"/>
        <v>4.189989999999872</v>
      </c>
      <c r="AZ1040" s="136">
        <f t="shared" si="210"/>
        <v>4.1900099999998712</v>
      </c>
      <c r="BA1040" s="136">
        <f t="shared" si="211"/>
        <v>0.97374298986466679</v>
      </c>
      <c r="BB1040" s="136">
        <f t="shared" si="212"/>
        <v>0.97374322112791512</v>
      </c>
      <c r="BC1040" s="136" t="e">
        <f t="shared" si="213"/>
        <v>#N/A</v>
      </c>
      <c r="BD1040" s="136">
        <f t="shared" si="218"/>
        <v>6.1468326430802394E-5</v>
      </c>
      <c r="BE1040" s="136">
        <f t="shared" si="214"/>
        <v>-9.3853167356919764E-4</v>
      </c>
      <c r="BF1040" s="136" t="e">
        <f t="shared" si="215"/>
        <v>#N/A</v>
      </c>
      <c r="BG1040" s="136" t="e">
        <f t="shared" si="216"/>
        <v>#N/A</v>
      </c>
    </row>
    <row r="1041" spans="47:59" ht="11.25" customHeight="1">
      <c r="AU1041" s="136">
        <f t="shared" si="206"/>
        <v>0.99998665425097366</v>
      </c>
      <c r="AV1041" s="136">
        <f t="shared" si="217"/>
        <v>4.1999999999998714</v>
      </c>
      <c r="AW1041" s="136">
        <f t="shared" si="207"/>
        <v>5.8943067756571676E-5</v>
      </c>
      <c r="AX1041" s="136" t="e">
        <f t="shared" si="208"/>
        <v>#N/A</v>
      </c>
      <c r="AY1041" s="136">
        <f t="shared" si="209"/>
        <v>4.1999899999998718</v>
      </c>
      <c r="AZ1041" s="136">
        <f t="shared" si="210"/>
        <v>4.200009999999871</v>
      </c>
      <c r="BA1041" s="136">
        <f t="shared" si="211"/>
        <v>0.97385825163732209</v>
      </c>
      <c r="BB1041" s="136">
        <f t="shared" si="212"/>
        <v>0.97385848142025611</v>
      </c>
      <c r="BC1041" s="136" t="e">
        <f t="shared" si="213"/>
        <v>#N/A</v>
      </c>
      <c r="BD1041" s="136">
        <f t="shared" si="218"/>
        <v>5.8943067756571676E-5</v>
      </c>
      <c r="BE1041" s="136">
        <f t="shared" si="214"/>
        <v>-9.410569322434283E-4</v>
      </c>
      <c r="BF1041" s="136" t="e">
        <f t="shared" si="215"/>
        <v>#N/A</v>
      </c>
      <c r="BG1041" s="136" t="e">
        <f t="shared" si="216"/>
        <v>#N/A</v>
      </c>
    </row>
    <row r="1042" spans="47:59" ht="11.25" customHeight="1">
      <c r="AU1042" s="136">
        <f t="shared" si="206"/>
        <v>0.99998723146557911</v>
      </c>
      <c r="AV1042" s="136">
        <f t="shared" si="217"/>
        <v>4.2099999999998712</v>
      </c>
      <c r="AW1042" s="136">
        <f t="shared" si="207"/>
        <v>5.6515900580338022E-5</v>
      </c>
      <c r="AX1042" s="136" t="e">
        <f t="shared" si="208"/>
        <v>#N/A</v>
      </c>
      <c r="AY1042" s="136">
        <f t="shared" si="209"/>
        <v>4.2099899999998716</v>
      </c>
      <c r="AZ1042" s="136">
        <f t="shared" si="210"/>
        <v>4.2100099999998708</v>
      </c>
      <c r="BA1042" s="136">
        <f t="shared" si="211"/>
        <v>0.97397277631496115</v>
      </c>
      <c r="BB1042" s="136">
        <f t="shared" si="212"/>
        <v>0.97397300462983338</v>
      </c>
      <c r="BC1042" s="136" t="e">
        <f t="shared" si="213"/>
        <v>#N/A</v>
      </c>
      <c r="BD1042" s="136">
        <f t="shared" si="218"/>
        <v>5.6515900580338022E-5</v>
      </c>
      <c r="BE1042" s="136">
        <f t="shared" si="214"/>
        <v>-9.4348409941966203E-4</v>
      </c>
      <c r="BF1042" s="136" t="e">
        <f t="shared" si="215"/>
        <v>#N/A</v>
      </c>
      <c r="BG1042" s="136" t="e">
        <f t="shared" si="216"/>
        <v>#N/A</v>
      </c>
    </row>
    <row r="1043" spans="47:59" ht="11.25" customHeight="1">
      <c r="AU1043" s="136">
        <f t="shared" si="206"/>
        <v>0.99998778488408058</v>
      </c>
      <c r="AV1043" s="136">
        <f t="shared" si="217"/>
        <v>4.219999999999871</v>
      </c>
      <c r="AW1043" s="136">
        <f t="shared" si="207"/>
        <v>5.4183261089569587E-5</v>
      </c>
      <c r="AX1043" s="136" t="e">
        <f t="shared" si="208"/>
        <v>#N/A</v>
      </c>
      <c r="AY1043" s="136">
        <f t="shared" si="209"/>
        <v>4.2199899999998713</v>
      </c>
      <c r="AZ1043" s="136">
        <f t="shared" si="210"/>
        <v>4.2200099999998706</v>
      </c>
      <c r="BA1043" s="136">
        <f t="shared" si="211"/>
        <v>0.97408656999326315</v>
      </c>
      <c r="BB1043" s="136">
        <f t="shared" si="212"/>
        <v>0.97408679685220367</v>
      </c>
      <c r="BC1043" s="136" t="e">
        <f t="shared" si="213"/>
        <v>#N/A</v>
      </c>
      <c r="BD1043" s="136">
        <f t="shared" si="218"/>
        <v>5.4183261089569587E-5</v>
      </c>
      <c r="BE1043" s="136">
        <f t="shared" si="214"/>
        <v>-9.4581673891043039E-4</v>
      </c>
      <c r="BF1043" s="136" t="e">
        <f t="shared" si="215"/>
        <v>#N/A</v>
      </c>
      <c r="BG1043" s="136" t="e">
        <f t="shared" si="216"/>
        <v>#N/A</v>
      </c>
    </row>
    <row r="1044" spans="47:59" ht="11.25" customHeight="1">
      <c r="AU1044" s="136">
        <f t="shared" si="206"/>
        <v>0.99998831543440336</v>
      </c>
      <c r="AV1044" s="136">
        <f t="shared" si="217"/>
        <v>4.2299999999998708</v>
      </c>
      <c r="AW1044" s="136">
        <f t="shared" si="207"/>
        <v>5.1941704622188277E-5</v>
      </c>
      <c r="AX1044" s="136" t="e">
        <f t="shared" si="208"/>
        <v>#N/A</v>
      </c>
      <c r="AY1044" s="136">
        <f t="shared" si="209"/>
        <v>4.2299899999998711</v>
      </c>
      <c r="AZ1044" s="136">
        <f t="shared" si="210"/>
        <v>4.2300099999998704</v>
      </c>
      <c r="BA1044" s="136">
        <f t="shared" si="211"/>
        <v>0.97419963870693627</v>
      </c>
      <c r="BB1044" s="136">
        <f t="shared" si="212"/>
        <v>0.97419986412195392</v>
      </c>
      <c r="BC1044" s="136" t="e">
        <f t="shared" si="213"/>
        <v>#N/A</v>
      </c>
      <c r="BD1044" s="136">
        <f t="shared" si="218"/>
        <v>5.1941704622188277E-5</v>
      </c>
      <c r="BE1044" s="136">
        <f t="shared" si="214"/>
        <v>-9.4805829537781172E-4</v>
      </c>
      <c r="BF1044" s="136" t="e">
        <f t="shared" si="215"/>
        <v>#N/A</v>
      </c>
      <c r="BG1044" s="136" t="e">
        <f t="shared" si="216"/>
        <v>#N/A</v>
      </c>
    </row>
    <row r="1045" spans="47:59" ht="11.25" customHeight="1">
      <c r="AU1045" s="136">
        <f t="shared" ref="AU1045:AU1108" si="219">NORMDIST(AV1045,$AV$17,$AV$18,TRUE)</f>
        <v>0.99998882401065781</v>
      </c>
      <c r="AV1045" s="136">
        <f t="shared" si="217"/>
        <v>4.2399999999998705</v>
      </c>
      <c r="AW1045" s="136">
        <f t="shared" ref="AW1045:AW1108" si="220">IF($AV$13=1,NORMDIST(AV1045,$AV$17,$AV$18,FALSE),NA())</f>
        <v>4.9787902098039493E-5</v>
      </c>
      <c r="AX1045" s="136" t="e">
        <f t="shared" ref="AX1045:AX1108" si="221">IF($AV$13=3,NORMDIST(AV1045,$AV$17,$AV$18,FALSE),NA())</f>
        <v>#N/A</v>
      </c>
      <c r="AY1045" s="136">
        <f t="shared" ref="AY1045:AY1108" si="222">AV1045-$AY$19</f>
        <v>4.2399899999998709</v>
      </c>
      <c r="AZ1045" s="136">
        <f t="shared" ref="AZ1045:AZ1108" si="223">AV1045+$AY$19</f>
        <v>4.2400099999998702</v>
      </c>
      <c r="BA1045" s="136">
        <f t="shared" ref="BA1045:BA1108" si="224">IF(AY1045&lt;0,TDIST(-AY1045,$AV$14,1),1-TDIST(AY1045,$AV$14,1))</f>
        <v>0.97431198843042333</v>
      </c>
      <c r="BB1045" s="136">
        <f t="shared" ref="BB1045:BB1108" si="225">IF(AZ1045&lt;0,TDIST(-AZ1045,$AV$14,1),1-TDIST(AZ1045,$AV$14,1))</f>
        <v>0.97431221241340704</v>
      </c>
      <c r="BC1045" s="136" t="e">
        <f t="shared" ref="BC1045:BC1108" si="226">IF($AV$13&gt;1,(BB1045-BA1045)/(2*$AY$19),NA())</f>
        <v>#N/A</v>
      </c>
      <c r="BD1045" s="136">
        <f t="shared" si="218"/>
        <v>4.9787902098039493E-5</v>
      </c>
      <c r="BE1045" s="136">
        <f t="shared" ref="BE1045:BE1108" si="227">IF(ISNUMBER(BD1045),BD1045-$BE$19,NA())</f>
        <v>-9.5021209790196049E-4</v>
      </c>
      <c r="BF1045" s="136" t="e">
        <f t="shared" ref="BF1045:BF1108" si="228">IF($AV$15=1,IF(AV1045&gt;=$BF$19,BC1045,NA()),IF($AV$15=2,IF(ABS(AV1045)&gt;=$BF$19,BC1045,NA()),NA()))</f>
        <v>#N/A</v>
      </c>
      <c r="BG1045" s="136" t="e">
        <f t="shared" ref="BG1045:BG1108" si="229">IF(ISNUMBER(BF1045),BF1045-$BG$19,NA())</f>
        <v>#N/A</v>
      </c>
    </row>
    <row r="1046" spans="47:59" ht="11.25" customHeight="1">
      <c r="AU1046" s="136">
        <f t="shared" si="219"/>
        <v>0.99998931147420822</v>
      </c>
      <c r="AV1046" s="136">
        <f t="shared" ref="AV1046:AV1109" si="230">AV1045+$AY$10</f>
        <v>4.2499999999998703</v>
      </c>
      <c r="AW1046" s="136">
        <f t="shared" si="220"/>
        <v>4.7718636541231217E-5</v>
      </c>
      <c r="AX1046" s="136" t="e">
        <f t="shared" si="221"/>
        <v>#N/A</v>
      </c>
      <c r="AY1046" s="136">
        <f t="shared" si="222"/>
        <v>4.2499899999998707</v>
      </c>
      <c r="AZ1046" s="136">
        <f t="shared" si="223"/>
        <v>4.2500099999998699</v>
      </c>
      <c r="BA1046" s="136">
        <f t="shared" si="224"/>
        <v>0.97442362507859781</v>
      </c>
      <c r="BB1046" s="136">
        <f t="shared" si="225"/>
        <v>0.97442384764131817</v>
      </c>
      <c r="BC1046" s="136" t="e">
        <f t="shared" si="226"/>
        <v>#N/A</v>
      </c>
      <c r="BD1046" s="136">
        <f t="shared" ref="BD1046:BD1109" si="231">IF($AV$15=1,IF(OR(AND(AV1046&gt;=$BD$19,$AS$5&gt;=0),AND(AV1046&lt;=$BD$19,$AS$5&lt;0)),AW1046,NA()),IF($AV$15=2,IF(ABS(AV1046)&gt;=$BD$18,AW1046,NA()),NA()))</f>
        <v>4.7718636541231217E-5</v>
      </c>
      <c r="BE1046" s="136">
        <f t="shared" si="227"/>
        <v>-9.5228136345876886E-4</v>
      </c>
      <c r="BF1046" s="136" t="e">
        <f t="shared" si="228"/>
        <v>#N/A</v>
      </c>
      <c r="BG1046" s="136" t="e">
        <f t="shared" si="229"/>
        <v>#N/A</v>
      </c>
    </row>
    <row r="1047" spans="47:59" ht="11.25" customHeight="1">
      <c r="AU1047" s="136">
        <f t="shared" si="219"/>
        <v>0.99998977865481109</v>
      </c>
      <c r="AV1047" s="136">
        <f t="shared" si="230"/>
        <v>4.2599999999998701</v>
      </c>
      <c r="AW1047" s="136">
        <f t="shared" si="220"/>
        <v>4.5730799691626576E-5</v>
      </c>
      <c r="AX1047" s="136" t="e">
        <f t="shared" si="221"/>
        <v>#N/A</v>
      </c>
      <c r="AY1047" s="136">
        <f t="shared" si="222"/>
        <v>4.2599899999998705</v>
      </c>
      <c r="AZ1047" s="136">
        <f t="shared" si="223"/>
        <v>4.2600099999998697</v>
      </c>
      <c r="BA1047" s="136">
        <f t="shared" si="224"/>
        <v>0.9745345545074513</v>
      </c>
      <c r="BB1047" s="136">
        <f t="shared" si="225"/>
        <v>0.97453477566156166</v>
      </c>
      <c r="BC1047" s="136" t="e">
        <f t="shared" si="226"/>
        <v>#N/A</v>
      </c>
      <c r="BD1047" s="136">
        <f t="shared" si="231"/>
        <v>4.5730799691626576E-5</v>
      </c>
      <c r="BE1047" s="136">
        <f t="shared" si="227"/>
        <v>-9.542692003083734E-4</v>
      </c>
      <c r="BF1047" s="136" t="e">
        <f t="shared" si="228"/>
        <v>#N/A</v>
      </c>
      <c r="BG1047" s="136" t="e">
        <f t="shared" si="229"/>
        <v>#N/A</v>
      </c>
    </row>
    <row r="1048" spans="47:59" ht="11.25" customHeight="1">
      <c r="AU1048" s="136">
        <f t="shared" si="219"/>
        <v>0.99999022635163382</v>
      </c>
      <c r="AV1048" s="136">
        <f t="shared" si="230"/>
        <v>4.2699999999998699</v>
      </c>
      <c r="AW1048" s="136">
        <f t="shared" si="220"/>
        <v>4.3821388703782397E-5</v>
      </c>
      <c r="AX1048" s="136" t="e">
        <f t="shared" si="221"/>
        <v>#N/A</v>
      </c>
      <c r="AY1048" s="136">
        <f t="shared" si="222"/>
        <v>4.2699899999998703</v>
      </c>
      <c r="AZ1048" s="136">
        <f t="shared" si="223"/>
        <v>4.2700099999998695</v>
      </c>
      <c r="BA1048" s="136">
        <f t="shared" si="224"/>
        <v>0.97464478251477182</v>
      </c>
      <c r="BB1048" s="136">
        <f t="shared" si="225"/>
        <v>0.97464500227180995</v>
      </c>
      <c r="BC1048" s="136" t="e">
        <f t="shared" si="226"/>
        <v>#N/A</v>
      </c>
      <c r="BD1048" s="136">
        <f t="shared" si="231"/>
        <v>4.3821388703782397E-5</v>
      </c>
      <c r="BE1048" s="136">
        <f t="shared" si="227"/>
        <v>-9.5617861129621766E-4</v>
      </c>
      <c r="BF1048" s="136" t="e">
        <f t="shared" si="228"/>
        <v>#N/A</v>
      </c>
      <c r="BG1048" s="136" t="e">
        <f t="shared" si="229"/>
        <v>#N/A</v>
      </c>
    </row>
    <row r="1049" spans="47:59" ht="11.25" customHeight="1">
      <c r="AU1049" s="136">
        <f t="shared" si="219"/>
        <v>0.99999065533432974</v>
      </c>
      <c r="AV1049" s="136">
        <f t="shared" si="230"/>
        <v>4.2799999999998697</v>
      </c>
      <c r="AW1049" s="136">
        <f t="shared" si="220"/>
        <v>4.1987502931640733E-5</v>
      </c>
      <c r="AX1049" s="136" t="e">
        <f t="shared" si="221"/>
        <v>#N/A</v>
      </c>
      <c r="AY1049" s="136">
        <f t="shared" si="222"/>
        <v>4.2799899999998701</v>
      </c>
      <c r="AZ1049" s="136">
        <f t="shared" si="223"/>
        <v>4.2800099999998693</v>
      </c>
      <c r="BA1049" s="136">
        <f t="shared" si="224"/>
        <v>0.97475431484081365</v>
      </c>
      <c r="BB1049" s="136">
        <f t="shared" si="225"/>
        <v>0.97475453321220284</v>
      </c>
      <c r="BC1049" s="136" t="e">
        <f t="shared" si="226"/>
        <v>#N/A</v>
      </c>
      <c r="BD1049" s="136">
        <f t="shared" si="231"/>
        <v>4.1987502931640733E-5</v>
      </c>
      <c r="BE1049" s="136">
        <f t="shared" si="227"/>
        <v>-9.5801249706835929E-4</v>
      </c>
      <c r="BF1049" s="136" t="e">
        <f t="shared" si="228"/>
        <v>#N/A</v>
      </c>
      <c r="BG1049" s="136" t="e">
        <f t="shared" si="229"/>
        <v>#N/A</v>
      </c>
    </row>
    <row r="1050" spans="47:59" ht="11.25" customHeight="1">
      <c r="AU1050" s="136">
        <f t="shared" si="219"/>
        <v>0.99999106634406132</v>
      </c>
      <c r="AV1050" s="136">
        <f t="shared" si="230"/>
        <v>4.2899999999998695</v>
      </c>
      <c r="AW1050" s="136">
        <f t="shared" si="220"/>
        <v>4.0226340797287469E-5</v>
      </c>
      <c r="AX1050" s="136" t="e">
        <f t="shared" si="221"/>
        <v>#N/A</v>
      </c>
      <c r="AY1050" s="136">
        <f t="shared" si="222"/>
        <v>4.2899899999998699</v>
      </c>
      <c r="AZ1050" s="136">
        <f t="shared" si="223"/>
        <v>4.2900099999998691</v>
      </c>
      <c r="BA1050" s="136">
        <f t="shared" si="224"/>
        <v>0.97486315716895822</v>
      </c>
      <c r="BB1050" s="136">
        <f t="shared" si="225"/>
        <v>0.97486337416600866</v>
      </c>
      <c r="BC1050" s="136" t="e">
        <f t="shared" si="226"/>
        <v>#N/A</v>
      </c>
      <c r="BD1050" s="136">
        <f t="shared" si="231"/>
        <v>4.0226340797287469E-5</v>
      </c>
      <c r="BE1050" s="136">
        <f t="shared" si="227"/>
        <v>-9.5977365920271252E-4</v>
      </c>
      <c r="BF1050" s="136" t="e">
        <f t="shared" si="228"/>
        <v>#N/A</v>
      </c>
      <c r="BG1050" s="136" t="e">
        <f t="shared" si="229"/>
        <v>#N/A</v>
      </c>
    </row>
    <row r="1051" spans="47:59" ht="11.25" customHeight="1">
      <c r="AU1051" s="136">
        <f t="shared" si="219"/>
        <v>0.99999146009450812</v>
      </c>
      <c r="AV1051" s="136">
        <f t="shared" si="230"/>
        <v>4.2999999999998693</v>
      </c>
      <c r="AW1051" s="136">
        <f t="shared" si="220"/>
        <v>3.8535196742108759E-5</v>
      </c>
      <c r="AX1051" s="136" t="e">
        <f t="shared" si="221"/>
        <v>#N/A</v>
      </c>
      <c r="AY1051" s="136">
        <f t="shared" si="222"/>
        <v>4.2999899999998696</v>
      </c>
      <c r="AZ1051" s="136">
        <f t="shared" si="223"/>
        <v>4.3000099999998689</v>
      </c>
      <c r="BA1051" s="136">
        <f t="shared" si="224"/>
        <v>0.9749713151263667</v>
      </c>
      <c r="BB1051" s="136">
        <f t="shared" si="225"/>
        <v>0.97497153076027676</v>
      </c>
      <c r="BC1051" s="136" t="e">
        <f t="shared" si="226"/>
        <v>#N/A</v>
      </c>
      <c r="BD1051" s="136">
        <f t="shared" si="231"/>
        <v>3.8535196742108759E-5</v>
      </c>
      <c r="BE1051" s="136">
        <f t="shared" si="227"/>
        <v>-9.6146480325789128E-4</v>
      </c>
      <c r="BF1051" s="136" t="e">
        <f t="shared" si="228"/>
        <v>#N/A</v>
      </c>
      <c r="BG1051" s="136" t="e">
        <f t="shared" si="229"/>
        <v>#N/A</v>
      </c>
    </row>
    <row r="1052" spans="47:59" ht="11.25" customHeight="1">
      <c r="AU1052" s="136">
        <f t="shared" si="219"/>
        <v>0.99999183727268126</v>
      </c>
      <c r="AV1052" s="136">
        <f t="shared" si="230"/>
        <v>4.309999999999869</v>
      </c>
      <c r="AW1052" s="136">
        <f t="shared" si="220"/>
        <v>3.6911458258686985E-5</v>
      </c>
      <c r="AX1052" s="136" t="e">
        <f t="shared" si="221"/>
        <v>#N/A</v>
      </c>
      <c r="AY1052" s="136">
        <f t="shared" si="222"/>
        <v>4.3099899999998694</v>
      </c>
      <c r="AZ1052" s="136">
        <f t="shared" si="223"/>
        <v>4.3100099999998687</v>
      </c>
      <c r="BA1052" s="136">
        <f t="shared" si="224"/>
        <v>0.97507879428462407</v>
      </c>
      <c r="BB1052" s="136">
        <f t="shared" si="225"/>
        <v>0.97507900856648178</v>
      </c>
      <c r="BC1052" s="136" t="e">
        <f t="shared" si="226"/>
        <v>#N/A</v>
      </c>
      <c r="BD1052" s="136">
        <f t="shared" si="231"/>
        <v>3.6911458258686985E-5</v>
      </c>
      <c r="BE1052" s="136">
        <f t="shared" si="227"/>
        <v>-9.6308854174131302E-4</v>
      </c>
      <c r="BF1052" s="136" t="e">
        <f t="shared" si="228"/>
        <v>#N/A</v>
      </c>
      <c r="BG1052" s="136" t="e">
        <f t="shared" si="229"/>
        <v>#N/A</v>
      </c>
    </row>
    <row r="1053" spans="47:59" ht="11.25" customHeight="1">
      <c r="AU1053" s="136">
        <f t="shared" si="219"/>
        <v>0.999992198539979</v>
      </c>
      <c r="AV1053" s="136">
        <f t="shared" si="230"/>
        <v>4.3199999999998688</v>
      </c>
      <c r="AW1053" s="136">
        <f t="shared" si="220"/>
        <v>3.535260300179312E-5</v>
      </c>
      <c r="AX1053" s="136" t="e">
        <f t="shared" si="221"/>
        <v>#N/A</v>
      </c>
      <c r="AY1053" s="136">
        <f t="shared" si="222"/>
        <v>4.3199899999998692</v>
      </c>
      <c r="AZ1053" s="136">
        <f t="shared" si="223"/>
        <v>4.3200099999998685</v>
      </c>
      <c r="BA1053" s="136">
        <f t="shared" si="224"/>
        <v>0.97518560016037548</v>
      </c>
      <c r="BB1053" s="136">
        <f t="shared" si="225"/>
        <v>0.97518581310115937</v>
      </c>
      <c r="BC1053" s="136" t="e">
        <f t="shared" si="226"/>
        <v>#N/A</v>
      </c>
      <c r="BD1053" s="136">
        <f t="shared" si="231"/>
        <v>3.535260300179312E-5</v>
      </c>
      <c r="BE1053" s="136">
        <f t="shared" si="227"/>
        <v>-9.6464739699820689E-4</v>
      </c>
      <c r="BF1053" s="136" t="e">
        <f t="shared" si="228"/>
        <v>#N/A</v>
      </c>
      <c r="BG1053" s="136" t="e">
        <f t="shared" si="229"/>
        <v>#N/A</v>
      </c>
    </row>
    <row r="1054" spans="47:59" ht="11.25" customHeight="1">
      <c r="AU1054" s="136">
        <f t="shared" si="219"/>
        <v>0.99999254453291297</v>
      </c>
      <c r="AV1054" s="136">
        <f t="shared" si="230"/>
        <v>4.3299999999998686</v>
      </c>
      <c r="AW1054" s="136">
        <f t="shared" si="220"/>
        <v>3.3856195976847125E-5</v>
      </c>
      <c r="AX1054" s="136" t="e">
        <f t="shared" si="221"/>
        <v>#N/A</v>
      </c>
      <c r="AY1054" s="136">
        <f t="shared" si="222"/>
        <v>4.329989999999869</v>
      </c>
      <c r="AZ1054" s="136">
        <f t="shared" si="223"/>
        <v>4.3300099999998682</v>
      </c>
      <c r="BA1054" s="136">
        <f t="shared" si="224"/>
        <v>0.97529173821595327</v>
      </c>
      <c r="BB1054" s="136">
        <f t="shared" si="225"/>
        <v>0.97529194982653411</v>
      </c>
      <c r="BC1054" s="136" t="e">
        <f t="shared" si="226"/>
        <v>#N/A</v>
      </c>
      <c r="BD1054" s="136">
        <f t="shared" si="231"/>
        <v>3.3856195976847125E-5</v>
      </c>
      <c r="BE1054" s="136">
        <f t="shared" si="227"/>
        <v>-9.6614380402315289E-4</v>
      </c>
      <c r="BF1054" s="136" t="e">
        <f t="shared" si="228"/>
        <v>#N/A</v>
      </c>
      <c r="BG1054" s="136" t="e">
        <f t="shared" si="229"/>
        <v>#N/A</v>
      </c>
    </row>
    <row r="1055" spans="47:59" ht="11.25" customHeight="1">
      <c r="AU1055" s="136">
        <f t="shared" si="219"/>
        <v>0.99999287586419017</v>
      </c>
      <c r="AV1055" s="136">
        <f t="shared" si="230"/>
        <v>4.3399999999998684</v>
      </c>
      <c r="AW1055" s="136">
        <f t="shared" si="220"/>
        <v>3.2419886804232257E-5</v>
      </c>
      <c r="AX1055" s="136" t="e">
        <f t="shared" si="221"/>
        <v>#N/A</v>
      </c>
      <c r="AY1055" s="136">
        <f t="shared" si="222"/>
        <v>4.3399899999998688</v>
      </c>
      <c r="AZ1055" s="136">
        <f t="shared" si="223"/>
        <v>4.340009999999868</v>
      </c>
      <c r="BA1055" s="136">
        <f t="shared" si="224"/>
        <v>0.97539721385999745</v>
      </c>
      <c r="BB1055" s="136">
        <f t="shared" si="225"/>
        <v>0.97539742415113906</v>
      </c>
      <c r="BC1055" s="136" t="e">
        <f t="shared" si="226"/>
        <v>#N/A</v>
      </c>
      <c r="BD1055" s="136">
        <f t="shared" si="231"/>
        <v>3.2419886804232257E-5</v>
      </c>
      <c r="BE1055" s="136">
        <f t="shared" si="227"/>
        <v>-9.6758011319576776E-4</v>
      </c>
      <c r="BF1055" s="136" t="e">
        <f t="shared" si="228"/>
        <v>#N/A</v>
      </c>
      <c r="BG1055" s="136" t="e">
        <f t="shared" si="229"/>
        <v>#N/A</v>
      </c>
    </row>
    <row r="1056" spans="47:59" ht="11.25" customHeight="1">
      <c r="AU1056" s="136">
        <f t="shared" si="219"/>
        <v>0.99999319312340651</v>
      </c>
      <c r="AV1056" s="136">
        <f t="shared" si="230"/>
        <v>4.3499999999998682</v>
      </c>
      <c r="AW1056" s="136">
        <f t="shared" si="220"/>
        <v>3.104140705786802E-5</v>
      </c>
      <c r="AX1056" s="136" t="e">
        <f t="shared" si="221"/>
        <v>#N/A</v>
      </c>
      <c r="AY1056" s="136">
        <f t="shared" si="222"/>
        <v>4.3499899999998686</v>
      </c>
      <c r="AZ1056" s="136">
        <f t="shared" si="223"/>
        <v>4.3500099999998678</v>
      </c>
      <c r="BA1056" s="136">
        <f t="shared" si="224"/>
        <v>0.97550203244806666</v>
      </c>
      <c r="BB1056" s="136">
        <f t="shared" si="225"/>
        <v>0.97550224143042741</v>
      </c>
      <c r="BC1056" s="136" t="e">
        <f t="shared" si="226"/>
        <v>#N/A</v>
      </c>
      <c r="BD1056" s="136">
        <f t="shared" si="231"/>
        <v>3.104140705786802E-5</v>
      </c>
      <c r="BE1056" s="136">
        <f t="shared" si="227"/>
        <v>-9.6895859294213204E-4</v>
      </c>
      <c r="BF1056" s="136" t="e">
        <f t="shared" si="228"/>
        <v>#N/A</v>
      </c>
      <c r="BG1056" s="136" t="e">
        <f t="shared" si="229"/>
        <v>#N/A</v>
      </c>
    </row>
    <row r="1057" spans="47:59" ht="11.25" customHeight="1">
      <c r="AU1057" s="136">
        <f t="shared" si="219"/>
        <v>0.99999349687778161</v>
      </c>
      <c r="AV1057" s="136">
        <f t="shared" si="230"/>
        <v>4.359999999999868</v>
      </c>
      <c r="AW1057" s="136">
        <f t="shared" si="220"/>
        <v>2.9718567676459353E-5</v>
      </c>
      <c r="AX1057" s="136" t="e">
        <f t="shared" si="221"/>
        <v>#N/A</v>
      </c>
      <c r="AY1057" s="136">
        <f t="shared" si="222"/>
        <v>4.3599899999998684</v>
      </c>
      <c r="AZ1057" s="136">
        <f t="shared" si="223"/>
        <v>4.3600099999998676</v>
      </c>
      <c r="BA1057" s="136">
        <f t="shared" si="224"/>
        <v>0.9756061992832431</v>
      </c>
      <c r="BB1057" s="136">
        <f t="shared" si="225"/>
        <v>0.97560640696737699</v>
      </c>
      <c r="BC1057" s="136" t="e">
        <f t="shared" si="226"/>
        <v>#N/A</v>
      </c>
      <c r="BD1057" s="136">
        <f t="shared" si="231"/>
        <v>2.9718567676459353E-5</v>
      </c>
      <c r="BE1057" s="136">
        <f t="shared" si="227"/>
        <v>-9.7028143232354071E-4</v>
      </c>
      <c r="BF1057" s="136" t="e">
        <f t="shared" si="228"/>
        <v>#N/A</v>
      </c>
      <c r="BG1057" s="136" t="e">
        <f t="shared" si="229"/>
        <v>#N/A</v>
      </c>
    </row>
    <row r="1058" spans="47:59" ht="11.25" customHeight="1">
      <c r="AU1058" s="136">
        <f t="shared" si="219"/>
        <v>0.99999378767316283</v>
      </c>
      <c r="AV1058" s="136">
        <f t="shared" si="230"/>
        <v>4.3699999999998678</v>
      </c>
      <c r="AW1058" s="136">
        <f t="shared" si="220"/>
        <v>2.8449256445860778E-5</v>
      </c>
      <c r="AX1058" s="136" t="e">
        <f t="shared" si="221"/>
        <v>#N/A</v>
      </c>
      <c r="AY1058" s="136">
        <f t="shared" si="222"/>
        <v>4.3699899999998681</v>
      </c>
      <c r="AZ1058" s="136">
        <f t="shared" si="223"/>
        <v>4.3700099999998674</v>
      </c>
      <c r="BA1058" s="136">
        <f t="shared" si="224"/>
        <v>0.97570971961672814</v>
      </c>
      <c r="BB1058" s="136">
        <f t="shared" si="225"/>
        <v>0.97570992601308593</v>
      </c>
      <c r="BC1058" s="136" t="e">
        <f t="shared" si="226"/>
        <v>#N/A</v>
      </c>
      <c r="BD1058" s="136">
        <f t="shared" si="231"/>
        <v>2.8449256445860778E-5</v>
      </c>
      <c r="BE1058" s="136">
        <f t="shared" si="227"/>
        <v>-9.7155074355413922E-4</v>
      </c>
      <c r="BF1058" s="136" t="e">
        <f t="shared" si="228"/>
        <v>#N/A</v>
      </c>
      <c r="BG1058" s="136" t="e">
        <f t="shared" si="229"/>
        <v>#N/A</v>
      </c>
    </row>
    <row r="1059" spans="47:59" ht="11.25" customHeight="1">
      <c r="AU1059" s="136">
        <f t="shared" si="219"/>
        <v>0.99999406603452723</v>
      </c>
      <c r="AV1059" s="136">
        <f t="shared" si="230"/>
        <v>4.3799999999998676</v>
      </c>
      <c r="AW1059" s="136">
        <f t="shared" si="220"/>
        <v>2.7231435551008424E-5</v>
      </c>
      <c r="AX1059" s="136" t="e">
        <f t="shared" si="221"/>
        <v>#N/A</v>
      </c>
      <c r="AY1059" s="136">
        <f t="shared" si="222"/>
        <v>4.3799899999998679</v>
      </c>
      <c r="AZ1059" s="136">
        <f t="shared" si="223"/>
        <v>4.3800099999998672</v>
      </c>
      <c r="BA1059" s="136">
        <f t="shared" si="224"/>
        <v>0.97581259864843095</v>
      </c>
      <c r="BB1059" s="136">
        <f t="shared" si="225"/>
        <v>0.97581280376736146</v>
      </c>
      <c r="BC1059" s="136" t="e">
        <f t="shared" si="226"/>
        <v>#N/A</v>
      </c>
      <c r="BD1059" s="136">
        <f t="shared" si="231"/>
        <v>2.7231435551008424E-5</v>
      </c>
      <c r="BE1059" s="136">
        <f t="shared" si="227"/>
        <v>-9.7276856444899161E-4</v>
      </c>
      <c r="BF1059" s="136" t="e">
        <f t="shared" si="228"/>
        <v>#N/A</v>
      </c>
      <c r="BG1059" s="136" t="e">
        <f t="shared" si="229"/>
        <v>#N/A</v>
      </c>
    </row>
    <row r="1060" spans="47:59" ht="11.25" customHeight="1">
      <c r="AU1060" s="136">
        <f t="shared" si="219"/>
        <v>0.99999433246692759</v>
      </c>
      <c r="AV1060" s="136">
        <f t="shared" si="230"/>
        <v>4.3899999999998673</v>
      </c>
      <c r="AW1060" s="136">
        <f t="shared" si="220"/>
        <v>2.606313919589348E-5</v>
      </c>
      <c r="AX1060" s="136" t="e">
        <f t="shared" si="221"/>
        <v>#N/A</v>
      </c>
      <c r="AY1060" s="136">
        <f t="shared" si="222"/>
        <v>4.3899899999998677</v>
      </c>
      <c r="AZ1060" s="136">
        <f t="shared" si="223"/>
        <v>4.390009999999867</v>
      </c>
      <c r="BA1060" s="136">
        <f t="shared" si="224"/>
        <v>0.97591484152755015</v>
      </c>
      <c r="BB1060" s="136">
        <f t="shared" si="225"/>
        <v>0.9759150453793014</v>
      </c>
      <c r="BC1060" s="136" t="e">
        <f t="shared" si="226"/>
        <v>#N/A</v>
      </c>
      <c r="BD1060" s="136">
        <f t="shared" si="231"/>
        <v>2.606313919589348E-5</v>
      </c>
      <c r="BE1060" s="136">
        <f t="shared" si="227"/>
        <v>-9.739368608041065E-4</v>
      </c>
      <c r="BF1060" s="136" t="e">
        <f t="shared" si="228"/>
        <v>#N/A</v>
      </c>
      <c r="BG1060" s="136" t="e">
        <f t="shared" si="229"/>
        <v>#N/A</v>
      </c>
    </row>
    <row r="1061" spans="47:59" ht="11.25" customHeight="1">
      <c r="AU1061" s="136">
        <f t="shared" si="219"/>
        <v>0.99999458745608449</v>
      </c>
      <c r="AV1061" s="136">
        <f t="shared" si="230"/>
        <v>4.3999999999998671</v>
      </c>
      <c r="AW1061" s="136">
        <f t="shared" si="220"/>
        <v>2.4942471290068152E-5</v>
      </c>
      <c r="AX1061" s="136" t="e">
        <f t="shared" si="221"/>
        <v>#N/A</v>
      </c>
      <c r="AY1061" s="136">
        <f t="shared" si="222"/>
        <v>4.3999899999998675</v>
      </c>
      <c r="AZ1061" s="136">
        <f t="shared" si="223"/>
        <v>4.4000099999998667</v>
      </c>
      <c r="BA1061" s="136">
        <f t="shared" si="224"/>
        <v>0.97601645335314724</v>
      </c>
      <c r="BB1061" s="136">
        <f t="shared" si="225"/>
        <v>0.97601665594786746</v>
      </c>
      <c r="BC1061" s="136" t="e">
        <f t="shared" si="226"/>
        <v>#N/A</v>
      </c>
      <c r="BD1061" s="136">
        <f t="shared" si="231"/>
        <v>2.4942471290068152E-5</v>
      </c>
      <c r="BE1061" s="136">
        <f t="shared" si="227"/>
        <v>-9.7505752870993183E-4</v>
      </c>
      <c r="BF1061" s="136" t="e">
        <f t="shared" si="228"/>
        <v>#N/A</v>
      </c>
      <c r="BG1061" s="136" t="e">
        <f t="shared" si="229"/>
        <v>#N/A</v>
      </c>
    </row>
    <row r="1062" spans="47:59" ht="11.25" customHeight="1">
      <c r="AU1062" s="136">
        <f t="shared" si="219"/>
        <v>0.99999483146902945</v>
      </c>
      <c r="AV1062" s="136">
        <f t="shared" si="230"/>
        <v>4.4099999999998669</v>
      </c>
      <c r="AW1062" s="136">
        <f t="shared" si="220"/>
        <v>2.3867603200193587E-5</v>
      </c>
      <c r="AX1062" s="136" t="e">
        <f t="shared" si="221"/>
        <v>#N/A</v>
      </c>
      <c r="AY1062" s="136">
        <f t="shared" si="222"/>
        <v>4.4099899999998673</v>
      </c>
      <c r="AZ1062" s="136">
        <f t="shared" si="223"/>
        <v>4.4100099999998665</v>
      </c>
      <c r="BA1062" s="136">
        <f t="shared" si="224"/>
        <v>0.97611743917471339</v>
      </c>
      <c r="BB1062" s="136">
        <f t="shared" si="225"/>
        <v>0.97611764052245231</v>
      </c>
      <c r="BC1062" s="136" t="e">
        <f t="shared" si="226"/>
        <v>#N/A</v>
      </c>
      <c r="BD1062" s="136">
        <f t="shared" si="231"/>
        <v>2.3867603200193587E-5</v>
      </c>
      <c r="BE1062" s="136">
        <f t="shared" si="227"/>
        <v>-9.7613239679980644E-4</v>
      </c>
      <c r="BF1062" s="136" t="e">
        <f t="shared" si="228"/>
        <v>#N/A</v>
      </c>
      <c r="BG1062" s="136" t="e">
        <f t="shared" si="229"/>
        <v>#N/A</v>
      </c>
    </row>
    <row r="1063" spans="47:59" ht="11.25" customHeight="1">
      <c r="AU1063" s="136">
        <f t="shared" si="219"/>
        <v>0.99999506495491475</v>
      </c>
      <c r="AV1063" s="136">
        <f t="shared" si="230"/>
        <v>4.4199999999998667</v>
      </c>
      <c r="AW1063" s="136">
        <f t="shared" si="220"/>
        <v>2.2836771565160385E-5</v>
      </c>
      <c r="AX1063" s="136" t="e">
        <f t="shared" si="221"/>
        <v>#N/A</v>
      </c>
      <c r="AY1063" s="136">
        <f t="shared" si="222"/>
        <v>4.4199899999998671</v>
      </c>
      <c r="AZ1063" s="136">
        <f t="shared" si="223"/>
        <v>4.4200099999998663</v>
      </c>
      <c r="BA1063" s="136">
        <f t="shared" si="224"/>
        <v>0.97621780399272851</v>
      </c>
      <c r="BB1063" s="136">
        <f t="shared" si="225"/>
        <v>0.97621800410343818</v>
      </c>
      <c r="BC1063" s="136" t="e">
        <f t="shared" si="226"/>
        <v>#N/A</v>
      </c>
      <c r="BD1063" s="136">
        <f t="shared" si="231"/>
        <v>2.2836771565160385E-5</v>
      </c>
      <c r="BE1063" s="136">
        <f t="shared" si="227"/>
        <v>-9.771632284348397E-4</v>
      </c>
      <c r="BF1063" s="136" t="e">
        <f t="shared" si="228"/>
        <v>#N/A</v>
      </c>
      <c r="BG1063" s="136" t="e">
        <f t="shared" si="229"/>
        <v>#N/A</v>
      </c>
    </row>
    <row r="1064" spans="47:59" ht="11.25" customHeight="1">
      <c r="AU1064" s="136">
        <f t="shared" si="219"/>
        <v>0.99999528834558649</v>
      </c>
      <c r="AV1064" s="136">
        <f t="shared" si="230"/>
        <v>4.4299999999998665</v>
      </c>
      <c r="AW1064" s="136">
        <f t="shared" si="220"/>
        <v>2.1848276173329351E-5</v>
      </c>
      <c r="AX1064" s="136" t="e">
        <f t="shared" si="221"/>
        <v>#N/A</v>
      </c>
      <c r="AY1064" s="136">
        <f t="shared" si="222"/>
        <v>4.4299899999998669</v>
      </c>
      <c r="AZ1064" s="136">
        <f t="shared" si="223"/>
        <v>4.4300099999998661</v>
      </c>
      <c r="BA1064" s="136">
        <f t="shared" si="224"/>
        <v>0.97631755275921328</v>
      </c>
      <c r="BB1064" s="136">
        <f t="shared" si="225"/>
        <v>0.9763177516427497</v>
      </c>
      <c r="BC1064" s="136" t="e">
        <f t="shared" si="226"/>
        <v>#N/A</v>
      </c>
      <c r="BD1064" s="136">
        <f t="shared" si="231"/>
        <v>2.1848276173329351E-5</v>
      </c>
      <c r="BE1064" s="136">
        <f t="shared" si="227"/>
        <v>-9.7815172382667071E-4</v>
      </c>
      <c r="BF1064" s="136" t="e">
        <f t="shared" si="228"/>
        <v>#N/A</v>
      </c>
      <c r="BG1064" s="136" t="e">
        <f t="shared" si="229"/>
        <v>#N/A</v>
      </c>
    </row>
    <row r="1065" spans="47:59" ht="11.25" customHeight="1">
      <c r="AU1065" s="136">
        <f t="shared" si="219"/>
        <v>0.99999550205611132</v>
      </c>
      <c r="AV1065" s="136">
        <f t="shared" si="230"/>
        <v>4.4399999999998663</v>
      </c>
      <c r="AW1065" s="136">
        <f t="shared" si="220"/>
        <v>2.0900477900462842E-5</v>
      </c>
      <c r="AX1065" s="136" t="e">
        <f t="shared" si="221"/>
        <v>#N/A</v>
      </c>
      <c r="AY1065" s="136">
        <f t="shared" si="222"/>
        <v>4.4399899999998667</v>
      </c>
      <c r="AZ1065" s="136">
        <f t="shared" si="223"/>
        <v>4.4400099999998659</v>
      </c>
      <c r="BA1065" s="136">
        <f t="shared" si="224"/>
        <v>0.97641669037827505</v>
      </c>
      <c r="BB1065" s="136">
        <f t="shared" si="225"/>
        <v>0.97641688804439886</v>
      </c>
      <c r="BC1065" s="136" t="e">
        <f t="shared" si="226"/>
        <v>#N/A</v>
      </c>
      <c r="BD1065" s="136">
        <f t="shared" si="231"/>
        <v>2.0900477900462842E-5</v>
      </c>
      <c r="BE1065" s="136">
        <f t="shared" si="227"/>
        <v>-9.790995220995372E-4</v>
      </c>
      <c r="BF1065" s="136" t="e">
        <f t="shared" si="228"/>
        <v>#N/A</v>
      </c>
      <c r="BG1065" s="136" t="e">
        <f t="shared" si="229"/>
        <v>#N/A</v>
      </c>
    </row>
    <row r="1066" spans="47:59" ht="11.25" customHeight="1">
      <c r="AU1066" s="136">
        <f t="shared" si="219"/>
        <v>0.99999570648552716</v>
      </c>
      <c r="AV1066" s="136">
        <f t="shared" si="230"/>
        <v>4.4499999999998661</v>
      </c>
      <c r="AW1066" s="136">
        <f t="shared" si="220"/>
        <v>1.9991796706934721E-5</v>
      </c>
      <c r="AX1066" s="136" t="e">
        <f t="shared" si="221"/>
        <v>#N/A</v>
      </c>
      <c r="AY1066" s="136">
        <f t="shared" si="222"/>
        <v>4.4499899999998664</v>
      </c>
      <c r="AZ1066" s="136">
        <f t="shared" si="223"/>
        <v>4.4500099999998657</v>
      </c>
      <c r="BA1066" s="136">
        <f t="shared" si="224"/>
        <v>0.97651522170664584</v>
      </c>
      <c r="BB1066" s="136">
        <f t="shared" si="225"/>
        <v>0.9765154181650233</v>
      </c>
      <c r="BC1066" s="136" t="e">
        <f t="shared" si="226"/>
        <v>#N/A</v>
      </c>
      <c r="BD1066" s="136">
        <f t="shared" si="231"/>
        <v>1.9991796706934721E-5</v>
      </c>
      <c r="BE1066" s="136">
        <f t="shared" si="227"/>
        <v>-9.800082032930652E-4</v>
      </c>
      <c r="BF1066" s="136" t="e">
        <f t="shared" si="228"/>
        <v>#N/A</v>
      </c>
      <c r="BG1066" s="136" t="e">
        <f t="shared" si="229"/>
        <v>#N/A</v>
      </c>
    </row>
    <row r="1067" spans="47:59" ht="11.25" customHeight="1">
      <c r="AU1067" s="136">
        <f t="shared" si="219"/>
        <v>0.99999590201733879</v>
      </c>
      <c r="AV1067" s="136">
        <f t="shared" si="230"/>
        <v>4.4599999999998658</v>
      </c>
      <c r="AW1067" s="136">
        <f t="shared" si="220"/>
        <v>1.9120709692829179E-5</v>
      </c>
      <c r="AX1067" s="136" t="e">
        <f t="shared" si="221"/>
        <v>#N/A</v>
      </c>
      <c r="AY1067" s="136">
        <f t="shared" si="222"/>
        <v>4.4599899999998662</v>
      </c>
      <c r="AZ1067" s="136">
        <f t="shared" si="223"/>
        <v>4.4600099999998655</v>
      </c>
      <c r="BA1067" s="136">
        <f t="shared" si="224"/>
        <v>0.97661315155421347</v>
      </c>
      <c r="BB1067" s="136">
        <f t="shared" si="225"/>
        <v>0.9766133468144178</v>
      </c>
      <c r="BC1067" s="136" t="e">
        <f t="shared" si="226"/>
        <v>#N/A</v>
      </c>
      <c r="BD1067" s="136">
        <f t="shared" si="231"/>
        <v>1.9120709692829179E-5</v>
      </c>
      <c r="BE1067" s="136">
        <f t="shared" si="227"/>
        <v>-9.8087929030717092E-4</v>
      </c>
      <c r="BF1067" s="136" t="e">
        <f t="shared" si="228"/>
        <v>#N/A</v>
      </c>
      <c r="BG1067" s="136" t="e">
        <f t="shared" si="229"/>
        <v>#N/A</v>
      </c>
    </row>
    <row r="1068" spans="47:59" ht="11.25" customHeight="1">
      <c r="AU1068" s="136">
        <f t="shared" si="219"/>
        <v>0.99999608902014614</v>
      </c>
      <c r="AV1068" s="136">
        <f t="shared" si="230"/>
        <v>4.4699999999998656</v>
      </c>
      <c r="AW1068" s="136">
        <f t="shared" si="220"/>
        <v>1.8285749209558354E-5</v>
      </c>
      <c r="AX1068" s="136" t="e">
        <f t="shared" si="221"/>
        <v>#N/A</v>
      </c>
      <c r="AY1068" s="136">
        <f t="shared" si="222"/>
        <v>4.469989999999866</v>
      </c>
      <c r="AZ1068" s="136">
        <f t="shared" si="223"/>
        <v>4.4700099999998653</v>
      </c>
      <c r="BA1068" s="136">
        <f t="shared" si="224"/>
        <v>0.97671048468454724</v>
      </c>
      <c r="BB1068" s="136">
        <f t="shared" si="225"/>
        <v>0.97671067875605955</v>
      </c>
      <c r="BC1068" s="136" t="e">
        <f t="shared" si="226"/>
        <v>#N/A</v>
      </c>
      <c r="BD1068" s="136">
        <f t="shared" si="231"/>
        <v>1.8285749209558354E-5</v>
      </c>
      <c r="BE1068" s="136">
        <f t="shared" si="227"/>
        <v>-9.8171425079044165E-4</v>
      </c>
      <c r="BF1068" s="136" t="e">
        <f t="shared" si="228"/>
        <v>#N/A</v>
      </c>
      <c r="BG1068" s="136" t="e">
        <f t="shared" si="229"/>
        <v>#N/A</v>
      </c>
    </row>
    <row r="1069" spans="47:59" ht="11.25" customHeight="1">
      <c r="AU1069" s="136">
        <f t="shared" si="219"/>
        <v>0.99999626784799867</v>
      </c>
      <c r="AV1069" s="136">
        <f t="shared" si="230"/>
        <v>4.4799999999998654</v>
      </c>
      <c r="AW1069" s="136">
        <f t="shared" si="220"/>
        <v>1.7485501026649693E-5</v>
      </c>
      <c r="AX1069" s="136" t="e">
        <f t="shared" si="221"/>
        <v>#N/A</v>
      </c>
      <c r="AY1069" s="136">
        <f t="shared" si="222"/>
        <v>4.4799899999998658</v>
      </c>
      <c r="AZ1069" s="136">
        <f t="shared" si="223"/>
        <v>4.480009999999865</v>
      </c>
      <c r="BA1069" s="136">
        <f t="shared" si="224"/>
        <v>0.97680722581541568</v>
      </c>
      <c r="BB1069" s="136">
        <f t="shared" si="225"/>
        <v>0.97680741870762577</v>
      </c>
      <c r="BC1069" s="136" t="e">
        <f t="shared" si="226"/>
        <v>#N/A</v>
      </c>
      <c r="BD1069" s="136">
        <f t="shared" si="231"/>
        <v>1.7485501026649693E-5</v>
      </c>
      <c r="BE1069" s="136">
        <f t="shared" si="227"/>
        <v>-9.8251449897335036E-4</v>
      </c>
      <c r="BF1069" s="136" t="e">
        <f t="shared" si="228"/>
        <v>#N/A</v>
      </c>
      <c r="BG1069" s="136" t="e">
        <f t="shared" si="229"/>
        <v>#N/A</v>
      </c>
    </row>
    <row r="1070" spans="47:59" ht="11.25" customHeight="1">
      <c r="AU1070" s="136">
        <f t="shared" si="219"/>
        <v>0.99999643884129008</v>
      </c>
      <c r="AV1070" s="136">
        <f t="shared" si="230"/>
        <v>4.4899999999998652</v>
      </c>
      <c r="AW1070" s="136">
        <f t="shared" si="220"/>
        <v>1.6718602552375225E-5</v>
      </c>
      <c r="AX1070" s="136" t="e">
        <f t="shared" si="221"/>
        <v>#N/A</v>
      </c>
      <c r="AY1070" s="136">
        <f t="shared" si="222"/>
        <v>4.4899899999998656</v>
      </c>
      <c r="AZ1070" s="136">
        <f t="shared" si="223"/>
        <v>4.4900099999998648</v>
      </c>
      <c r="BA1070" s="136">
        <f t="shared" si="224"/>
        <v>0.97690337961929818</v>
      </c>
      <c r="BB1070" s="136">
        <f t="shared" si="225"/>
        <v>0.97690357134150607</v>
      </c>
      <c r="BC1070" s="136" t="e">
        <f t="shared" si="226"/>
        <v>#N/A</v>
      </c>
      <c r="BD1070" s="136">
        <f t="shared" si="231"/>
        <v>1.6718602552375225E-5</v>
      </c>
      <c r="BE1070" s="136">
        <f t="shared" si="227"/>
        <v>-9.8328139744762485E-4</v>
      </c>
      <c r="BF1070" s="136" t="e">
        <f t="shared" si="228"/>
        <v>#N/A</v>
      </c>
      <c r="BG1070" s="136" t="e">
        <f t="shared" si="229"/>
        <v>#N/A</v>
      </c>
    </row>
    <row r="1071" spans="47:59" ht="11.25" customHeight="1">
      <c r="AU1071" s="136">
        <f t="shared" si="219"/>
        <v>0.9999966023268374</v>
      </c>
      <c r="AV1071" s="136">
        <f t="shared" si="230"/>
        <v>4.499999999999865</v>
      </c>
      <c r="AW1071" s="136">
        <f t="shared" si="220"/>
        <v>1.5983741106915185E-5</v>
      </c>
      <c r="AX1071" s="136" t="e">
        <f t="shared" si="221"/>
        <v>#N/A</v>
      </c>
      <c r="AY1071" s="136">
        <f t="shared" si="222"/>
        <v>4.4999899999998654</v>
      </c>
      <c r="AZ1071" s="136">
        <f t="shared" si="223"/>
        <v>4.5000099999998646</v>
      </c>
      <c r="BA1071" s="136">
        <f t="shared" si="224"/>
        <v>0.97699895072389054</v>
      </c>
      <c r="BB1071" s="136">
        <f t="shared" si="225"/>
        <v>0.97699914128530707</v>
      </c>
      <c r="BC1071" s="136" t="e">
        <f t="shared" si="226"/>
        <v>#N/A</v>
      </c>
      <c r="BD1071" s="136">
        <f t="shared" si="231"/>
        <v>1.5983741106915185E-5</v>
      </c>
      <c r="BE1071" s="136">
        <f t="shared" si="227"/>
        <v>-9.8401625889308481E-4</v>
      </c>
      <c r="BF1071" s="136" t="e">
        <f t="shared" si="228"/>
        <v>#N/A</v>
      </c>
      <c r="BG1071" s="136" t="e">
        <f t="shared" si="229"/>
        <v>#N/A</v>
      </c>
    </row>
    <row r="1072" spans="47:59" ht="11.25" customHeight="1">
      <c r="AU1072" s="136">
        <f t="shared" si="219"/>
        <v>0.99999675861868664</v>
      </c>
      <c r="AV1072" s="136">
        <f t="shared" si="230"/>
        <v>4.5099999999998648</v>
      </c>
      <c r="AW1072" s="136">
        <f t="shared" si="220"/>
        <v>1.5279652246770927E-5</v>
      </c>
      <c r="AX1072" s="136" t="e">
        <f t="shared" si="221"/>
        <v>#N/A</v>
      </c>
      <c r="AY1072" s="136">
        <f t="shared" si="222"/>
        <v>4.5099899999998652</v>
      </c>
      <c r="AZ1072" s="136">
        <f t="shared" si="223"/>
        <v>4.5100099999998644</v>
      </c>
      <c r="BA1072" s="136">
        <f t="shared" si="224"/>
        <v>0.97709394371260383</v>
      </c>
      <c r="BB1072" s="136">
        <f t="shared" si="225"/>
        <v>0.97709413312235194</v>
      </c>
      <c r="BC1072" s="136" t="e">
        <f t="shared" si="226"/>
        <v>#N/A</v>
      </c>
      <c r="BD1072" s="136">
        <f t="shared" si="231"/>
        <v>1.5279652246770927E-5</v>
      </c>
      <c r="BE1072" s="136">
        <f t="shared" si="227"/>
        <v>-9.8472034775322912E-4</v>
      </c>
      <c r="BF1072" s="136" t="e">
        <f t="shared" si="228"/>
        <v>#N/A</v>
      </c>
      <c r="BG1072" s="136" t="e">
        <f t="shared" si="229"/>
        <v>#N/A</v>
      </c>
    </row>
    <row r="1073" spans="47:59" ht="11.25" customHeight="1">
      <c r="AU1073" s="136">
        <f t="shared" si="219"/>
        <v>0.99999690801842789</v>
      </c>
      <c r="AV1073" s="136">
        <f t="shared" si="230"/>
        <v>4.5199999999998646</v>
      </c>
      <c r="AW1073" s="136">
        <f t="shared" si="220"/>
        <v>1.4605118139161839E-5</v>
      </c>
      <c r="AX1073" s="136" t="e">
        <f t="shared" si="221"/>
        <v>#N/A</v>
      </c>
      <c r="AY1073" s="136">
        <f t="shared" si="222"/>
        <v>4.5199899999998649</v>
      </c>
      <c r="AZ1073" s="136">
        <f t="shared" si="223"/>
        <v>4.5200099999998642</v>
      </c>
      <c r="BA1073" s="136">
        <f t="shared" si="224"/>
        <v>0.9771883631250573</v>
      </c>
      <c r="BB1073" s="136">
        <f t="shared" si="225"/>
        <v>0.97718855139217253</v>
      </c>
      <c r="BC1073" s="136" t="e">
        <f t="shared" si="226"/>
        <v>#N/A</v>
      </c>
      <c r="BD1073" s="136">
        <f t="shared" si="231"/>
        <v>1.4605118139161839E-5</v>
      </c>
      <c r="BE1073" s="136">
        <f t="shared" si="227"/>
        <v>-9.8539488186083816E-4</v>
      </c>
      <c r="BF1073" s="136" t="e">
        <f t="shared" si="228"/>
        <v>#N/A</v>
      </c>
      <c r="BG1073" s="136" t="e">
        <f t="shared" si="229"/>
        <v>#N/A</v>
      </c>
    </row>
    <row r="1074" spans="47:59" ht="11.25" customHeight="1">
      <c r="AU1074" s="136">
        <f t="shared" si="219"/>
        <v>0.99999705081566903</v>
      </c>
      <c r="AV1074" s="136">
        <f t="shared" si="230"/>
        <v>4.5299999999998644</v>
      </c>
      <c r="AW1074" s="136">
        <f t="shared" si="220"/>
        <v>1.3958965985163351E-5</v>
      </c>
      <c r="AX1074" s="136" t="e">
        <f t="shared" si="221"/>
        <v>#N/A</v>
      </c>
      <c r="AY1074" s="136">
        <f t="shared" si="222"/>
        <v>4.5299899999998647</v>
      </c>
      <c r="AZ1074" s="136">
        <f t="shared" si="223"/>
        <v>4.530009999999864</v>
      </c>
      <c r="BA1074" s="136">
        <f t="shared" si="224"/>
        <v>0.97728221346123023</v>
      </c>
      <c r="BB1074" s="136">
        <f t="shared" si="225"/>
        <v>0.97728240059466198</v>
      </c>
      <c r="BC1074" s="136" t="e">
        <f t="shared" si="226"/>
        <v>#N/A</v>
      </c>
      <c r="BD1074" s="136">
        <f t="shared" si="231"/>
        <v>1.3958965985163351E-5</v>
      </c>
      <c r="BE1074" s="136">
        <f t="shared" si="227"/>
        <v>-9.8604103401483674E-4</v>
      </c>
      <c r="BF1074" s="136" t="e">
        <f t="shared" si="228"/>
        <v>#N/A</v>
      </c>
      <c r="BG1074" s="136" t="e">
        <f t="shared" si="229"/>
        <v>#N/A</v>
      </c>
    </row>
    <row r="1075" spans="47:59" ht="11.25" customHeight="1">
      <c r="AU1075" s="136">
        <f t="shared" si="219"/>
        <v>0.99999718728850373</v>
      </c>
      <c r="AV1075" s="136">
        <f t="shared" si="230"/>
        <v>4.5399999999998641</v>
      </c>
      <c r="AW1075" s="136">
        <f t="shared" si="220"/>
        <v>1.3340066490364058E-5</v>
      </c>
      <c r="AX1075" s="136" t="e">
        <f t="shared" si="221"/>
        <v>#N/A</v>
      </c>
      <c r="AY1075" s="136">
        <f t="shared" si="222"/>
        <v>4.5399899999998645</v>
      </c>
      <c r="AZ1075" s="136">
        <f t="shared" si="223"/>
        <v>4.5400099999998638</v>
      </c>
      <c r="BA1075" s="136">
        <f t="shared" si="224"/>
        <v>0.97737549916717303</v>
      </c>
      <c r="BB1075" s="136">
        <f t="shared" si="225"/>
        <v>0.97737568517578577</v>
      </c>
      <c r="BC1075" s="136" t="e">
        <f t="shared" si="226"/>
        <v>#N/A</v>
      </c>
      <c r="BD1075" s="136">
        <f t="shared" si="231"/>
        <v>1.3340066490364058E-5</v>
      </c>
      <c r="BE1075" s="136">
        <f t="shared" si="227"/>
        <v>-9.8665993350963588E-4</v>
      </c>
      <c r="BF1075" s="136" t="e">
        <f t="shared" si="228"/>
        <v>#N/A</v>
      </c>
      <c r="BG1075" s="136" t="e">
        <f t="shared" si="229"/>
        <v>#N/A</v>
      </c>
    </row>
    <row r="1076" spans="47:59" ht="11.25" customHeight="1">
      <c r="AU1076" s="136">
        <f t="shared" si="219"/>
        <v>0.99999731770418532</v>
      </c>
      <c r="AV1076" s="136">
        <f t="shared" si="230"/>
        <v>4.5499999999998639</v>
      </c>
      <c r="AW1076" s="136">
        <f t="shared" si="220"/>
        <v>1.2747332381841341E-5</v>
      </c>
      <c r="AX1076" s="136" t="e">
        <f t="shared" si="221"/>
        <v>#N/A</v>
      </c>
      <c r="AY1076" s="136">
        <f t="shared" si="222"/>
        <v>4.5499899999998643</v>
      </c>
      <c r="AZ1076" s="136">
        <f t="shared" si="223"/>
        <v>4.5500099999998636</v>
      </c>
      <c r="BA1076" s="136">
        <f t="shared" si="224"/>
        <v>0.97746822465779915</v>
      </c>
      <c r="BB1076" s="136">
        <f t="shared" si="225"/>
        <v>0.97746840955037317</v>
      </c>
      <c r="BC1076" s="136" t="e">
        <f t="shared" si="226"/>
        <v>#N/A</v>
      </c>
      <c r="BD1076" s="136">
        <f t="shared" si="231"/>
        <v>1.2747332381841341E-5</v>
      </c>
      <c r="BE1076" s="136">
        <f t="shared" si="227"/>
        <v>-9.8725266761815877E-4</v>
      </c>
      <c r="BF1076" s="136" t="e">
        <f t="shared" si="228"/>
        <v>#N/A</v>
      </c>
      <c r="BG1076" s="136" t="e">
        <f t="shared" si="229"/>
        <v>#N/A</v>
      </c>
    </row>
    <row r="1077" spans="47:59" ht="11.25" customHeight="1">
      <c r="AU1077" s="136">
        <f t="shared" si="219"/>
        <v>0.99999744231892163</v>
      </c>
      <c r="AV1077" s="136">
        <f t="shared" si="230"/>
        <v>4.5599999999998637</v>
      </c>
      <c r="AW1077" s="136">
        <f t="shared" si="220"/>
        <v>1.2179716970276248E-5</v>
      </c>
      <c r="AX1077" s="136" t="e">
        <f t="shared" si="221"/>
        <v>#N/A</v>
      </c>
      <c r="AY1077" s="136">
        <f t="shared" si="222"/>
        <v>4.5599899999998641</v>
      </c>
      <c r="AZ1077" s="136">
        <f t="shared" si="223"/>
        <v>4.5600099999998633</v>
      </c>
      <c r="BA1077" s="136">
        <f t="shared" si="224"/>
        <v>0.97756039430236441</v>
      </c>
      <c r="BB1077" s="136">
        <f t="shared" si="225"/>
        <v>0.97756057808759655</v>
      </c>
      <c r="BC1077" s="136" t="e">
        <f t="shared" si="226"/>
        <v>#N/A</v>
      </c>
      <c r="BD1077" s="136">
        <f t="shared" si="231"/>
        <v>1.2179716970276248E-5</v>
      </c>
      <c r="BE1077" s="136">
        <f t="shared" si="227"/>
        <v>-9.8782028302972372E-4</v>
      </c>
      <c r="BF1077" s="136" t="e">
        <f t="shared" si="228"/>
        <v>#N/A</v>
      </c>
      <c r="BG1077" s="136" t="e">
        <f t="shared" si="229"/>
        <v>#N/A</v>
      </c>
    </row>
    <row r="1078" spans="47:59" ht="11.25" customHeight="1">
      <c r="AU1078" s="136">
        <f t="shared" si="219"/>
        <v>0.9999975613789126</v>
      </c>
      <c r="AV1078" s="136">
        <f t="shared" si="230"/>
        <v>4.5699999999998635</v>
      </c>
      <c r="AW1078" s="136">
        <f t="shared" si="220"/>
        <v>1.1636212756049942E-5</v>
      </c>
      <c r="AX1078" s="136" t="e">
        <f t="shared" si="221"/>
        <v>#N/A</v>
      </c>
      <c r="AY1078" s="136">
        <f t="shared" si="222"/>
        <v>4.5699899999998639</v>
      </c>
      <c r="AZ1078" s="136">
        <f t="shared" si="223"/>
        <v>4.5700099999998631</v>
      </c>
      <c r="BA1078" s="136">
        <f t="shared" si="224"/>
        <v>0.97765201242870514</v>
      </c>
      <c r="BB1078" s="136">
        <f t="shared" si="225"/>
        <v>0.97765219511520984</v>
      </c>
      <c r="BC1078" s="136" t="e">
        <f t="shared" si="226"/>
        <v>#N/A</v>
      </c>
      <c r="BD1078" s="136">
        <f t="shared" si="231"/>
        <v>1.1636212756049942E-5</v>
      </c>
      <c r="BE1078" s="136">
        <f t="shared" si="227"/>
        <v>-9.8836378724395007E-4</v>
      </c>
      <c r="BF1078" s="136" t="e">
        <f t="shared" si="228"/>
        <v>#N/A</v>
      </c>
      <c r="BG1078" s="136" t="e">
        <f t="shared" si="229"/>
        <v>#N/A</v>
      </c>
    </row>
    <row r="1079" spans="47:59" ht="11.25" customHeight="1">
      <c r="AU1079" s="136">
        <f t="shared" si="219"/>
        <v>0.9999976751202887</v>
      </c>
      <c r="AV1079" s="136">
        <f t="shared" si="230"/>
        <v>4.5799999999998633</v>
      </c>
      <c r="AW1079" s="136">
        <f t="shared" si="220"/>
        <v>1.1115850078184757E-5</v>
      </c>
      <c r="AX1079" s="136" t="e">
        <f t="shared" si="221"/>
        <v>#N/A</v>
      </c>
      <c r="AY1079" s="136">
        <f t="shared" si="222"/>
        <v>4.5799899999998637</v>
      </c>
      <c r="AZ1079" s="136">
        <f t="shared" si="223"/>
        <v>4.5800099999998629</v>
      </c>
      <c r="BA1079" s="136">
        <f t="shared" si="224"/>
        <v>0.97774308332369508</v>
      </c>
      <c r="BB1079" s="136">
        <f t="shared" si="225"/>
        <v>0.97774326492000541</v>
      </c>
      <c r="BC1079" s="136" t="e">
        <f t="shared" si="226"/>
        <v>#N/A</v>
      </c>
      <c r="BD1079" s="136">
        <f t="shared" si="231"/>
        <v>1.1115850078184757E-5</v>
      </c>
      <c r="BE1079" s="136">
        <f t="shared" si="227"/>
        <v>-9.8888414992181518E-4</v>
      </c>
      <c r="BF1079" s="136" t="e">
        <f t="shared" si="228"/>
        <v>#N/A</v>
      </c>
      <c r="BG1079" s="136" t="e">
        <f t="shared" si="229"/>
        <v>#N/A</v>
      </c>
    </row>
    <row r="1080" spans="47:59" ht="11.25" customHeight="1">
      <c r="AU1080" s="136">
        <f t="shared" si="219"/>
        <v>0.9999977837698959</v>
      </c>
      <c r="AV1080" s="136">
        <f t="shared" si="230"/>
        <v>4.5899999999998631</v>
      </c>
      <c r="AW1080" s="136">
        <f t="shared" si="220"/>
        <v>1.0617695805015047E-5</v>
      </c>
      <c r="AX1080" s="136" t="e">
        <f t="shared" si="221"/>
        <v>#N/A</v>
      </c>
      <c r="AY1080" s="136">
        <f t="shared" si="222"/>
        <v>4.5899899999998635</v>
      </c>
      <c r="AZ1080" s="136">
        <f t="shared" si="223"/>
        <v>4.5900099999998627</v>
      </c>
      <c r="BA1080" s="136">
        <f t="shared" si="224"/>
        <v>0.97783361123369716</v>
      </c>
      <c r="BB1080" s="136">
        <f t="shared" si="225"/>
        <v>0.97783379174826546</v>
      </c>
      <c r="BC1080" s="136" t="e">
        <f t="shared" si="226"/>
        <v>#N/A</v>
      </c>
      <c r="BD1080" s="136">
        <f t="shared" si="231"/>
        <v>1.0617695805015047E-5</v>
      </c>
      <c r="BE1080" s="136">
        <f t="shared" si="227"/>
        <v>-9.8938230419498498E-4</v>
      </c>
      <c r="BF1080" s="136" t="e">
        <f t="shared" si="228"/>
        <v>#N/A</v>
      </c>
      <c r="BG1080" s="136" t="e">
        <f t="shared" si="229"/>
        <v>#N/A</v>
      </c>
    </row>
    <row r="1081" spans="47:59" ht="11.25" customHeight="1">
      <c r="AU1081" s="136">
        <f t="shared" si="219"/>
        <v>0.99999788754526864</v>
      </c>
      <c r="AV1081" s="136">
        <f t="shared" si="230"/>
        <v>4.5999999999998629</v>
      </c>
      <c r="AW1081" s="136">
        <f t="shared" si="220"/>
        <v>1.0140852065493135E-5</v>
      </c>
      <c r="AX1081" s="136" t="e">
        <f t="shared" si="221"/>
        <v>#N/A</v>
      </c>
      <c r="AY1081" s="136">
        <f t="shared" si="222"/>
        <v>4.5999899999998632</v>
      </c>
      <c r="AZ1081" s="136">
        <f t="shared" si="223"/>
        <v>4.6000099999998625</v>
      </c>
      <c r="BA1081" s="136">
        <f t="shared" si="224"/>
        <v>0.97792360036500836</v>
      </c>
      <c r="BB1081" s="136">
        <f t="shared" si="225"/>
        <v>0.97792377980620737</v>
      </c>
      <c r="BC1081" s="136" t="e">
        <f t="shared" si="226"/>
        <v>#N/A</v>
      </c>
      <c r="BD1081" s="136">
        <f t="shared" si="231"/>
        <v>1.0140852065493135E-5</v>
      </c>
      <c r="BE1081" s="136">
        <f t="shared" si="227"/>
        <v>-9.8985914793450693E-4</v>
      </c>
      <c r="BF1081" s="136" t="e">
        <f t="shared" si="228"/>
        <v>#N/A</v>
      </c>
      <c r="BG1081" s="136" t="e">
        <f t="shared" si="229"/>
        <v>#N/A</v>
      </c>
    </row>
    <row r="1082" spans="47:59" ht="11.25" customHeight="1">
      <c r="AU1082" s="136">
        <f t="shared" si="219"/>
        <v>0.99999798665511064</v>
      </c>
      <c r="AV1082" s="136">
        <f t="shared" si="230"/>
        <v>4.6099999999998627</v>
      </c>
      <c r="AW1082" s="136">
        <f t="shared" si="220"/>
        <v>9.6844550200575763E-6</v>
      </c>
      <c r="AX1082" s="136" t="e">
        <f t="shared" si="221"/>
        <v>#N/A</v>
      </c>
      <c r="AY1082" s="136">
        <f t="shared" si="222"/>
        <v>4.609989999999863</v>
      </c>
      <c r="AZ1082" s="136">
        <f t="shared" si="223"/>
        <v>4.6100099999998623</v>
      </c>
      <c r="BA1082" s="136">
        <f t="shared" si="224"/>
        <v>0.97801305488430035</v>
      </c>
      <c r="BB1082" s="136">
        <f t="shared" si="225"/>
        <v>0.978013233260424</v>
      </c>
      <c r="BC1082" s="136" t="e">
        <f t="shared" si="226"/>
        <v>#N/A</v>
      </c>
      <c r="BD1082" s="136">
        <f t="shared" si="231"/>
        <v>9.6844550200575763E-6</v>
      </c>
      <c r="BE1082" s="136">
        <f t="shared" si="227"/>
        <v>-9.9031554497994254E-4</v>
      </c>
      <c r="BF1082" s="136" t="e">
        <f t="shared" si="228"/>
        <v>#N/A</v>
      </c>
      <c r="BG1082" s="136" t="e">
        <f t="shared" si="229"/>
        <v>#N/A</v>
      </c>
    </row>
    <row r="1083" spans="47:59" ht="11.25" customHeight="1">
      <c r="AU1083" s="136">
        <f t="shared" si="219"/>
        <v>0.99999808129977996</v>
      </c>
      <c r="AV1083" s="136">
        <f t="shared" si="230"/>
        <v>4.6199999999998624</v>
      </c>
      <c r="AW1083" s="136">
        <f t="shared" si="220"/>
        <v>9.2476736700114968E-6</v>
      </c>
      <c r="AX1083" s="136" t="e">
        <f t="shared" si="221"/>
        <v>#N/A</v>
      </c>
      <c r="AY1083" s="136">
        <f t="shared" si="222"/>
        <v>4.6199899999998628</v>
      </c>
      <c r="AZ1083" s="136">
        <f t="shared" si="223"/>
        <v>4.6200099999998621</v>
      </c>
      <c r="BA1083" s="136">
        <f t="shared" si="224"/>
        <v>0.97810197891905393</v>
      </c>
      <c r="BB1083" s="136">
        <f t="shared" si="225"/>
        <v>0.97810215623831842</v>
      </c>
      <c r="BC1083" s="136" t="e">
        <f t="shared" si="226"/>
        <v>#N/A</v>
      </c>
      <c r="BD1083" s="136">
        <f t="shared" si="231"/>
        <v>9.2476736700114968E-6</v>
      </c>
      <c r="BE1083" s="136">
        <f t="shared" si="227"/>
        <v>-9.9075232632998855E-4</v>
      </c>
      <c r="BF1083" s="136" t="e">
        <f t="shared" si="228"/>
        <v>#N/A</v>
      </c>
      <c r="BG1083" s="136" t="e">
        <f t="shared" si="229"/>
        <v>#N/A</v>
      </c>
    </row>
    <row r="1084" spans="47:59" ht="11.25" customHeight="1">
      <c r="AU1084" s="136">
        <f t="shared" si="219"/>
        <v>0.99999817167134231</v>
      </c>
      <c r="AV1084" s="136">
        <f t="shared" si="230"/>
        <v>4.6299999999998622</v>
      </c>
      <c r="AW1084" s="136">
        <f t="shared" si="220"/>
        <v>8.8297087043797102E-6</v>
      </c>
      <c r="AX1084" s="136" t="e">
        <f t="shared" si="221"/>
        <v>#N/A</v>
      </c>
      <c r="AY1084" s="136">
        <f t="shared" si="222"/>
        <v>4.6299899999998626</v>
      </c>
      <c r="AZ1084" s="136">
        <f t="shared" si="223"/>
        <v>4.6300099999998618</v>
      </c>
      <c r="BA1084" s="136">
        <f t="shared" si="224"/>
        <v>0.97819037655798879</v>
      </c>
      <c r="BB1084" s="136">
        <f t="shared" si="225"/>
        <v>0.97819055282853273</v>
      </c>
      <c r="BC1084" s="136" t="e">
        <f t="shared" si="226"/>
        <v>#N/A</v>
      </c>
      <c r="BD1084" s="136">
        <f t="shared" si="231"/>
        <v>8.8297087043797102E-6</v>
      </c>
      <c r="BE1084" s="136">
        <f t="shared" si="227"/>
        <v>-9.9117029129562021E-4</v>
      </c>
      <c r="BF1084" s="136" t="e">
        <f t="shared" si="228"/>
        <v>#N/A</v>
      </c>
      <c r="BG1084" s="136" t="e">
        <f t="shared" si="229"/>
        <v>#N/A</v>
      </c>
    </row>
    <row r="1085" spans="47:59" ht="11.25" customHeight="1">
      <c r="AU1085" s="136">
        <f t="shared" si="219"/>
        <v>0.99999825795409625</v>
      </c>
      <c r="AV1085" s="136">
        <f t="shared" si="230"/>
        <v>4.639999999999862</v>
      </c>
      <c r="AW1085" s="136">
        <f t="shared" si="220"/>
        <v>8.4297913832341605E-6</v>
      </c>
      <c r="AX1085" s="136" t="e">
        <f t="shared" si="221"/>
        <v>#N/A</v>
      </c>
      <c r="AY1085" s="136">
        <f t="shared" si="222"/>
        <v>4.6399899999998624</v>
      </c>
      <c r="AZ1085" s="136">
        <f t="shared" si="223"/>
        <v>4.6400099999998616</v>
      </c>
      <c r="BA1085" s="136">
        <f t="shared" si="224"/>
        <v>0.97827825185148665</v>
      </c>
      <c r="BB1085" s="136">
        <f t="shared" si="225"/>
        <v>0.9782784270813728</v>
      </c>
      <c r="BC1085" s="136" t="e">
        <f t="shared" si="226"/>
        <v>#N/A</v>
      </c>
      <c r="BD1085" s="136">
        <f t="shared" si="231"/>
        <v>8.4297913832341605E-6</v>
      </c>
      <c r="BE1085" s="136">
        <f t="shared" si="227"/>
        <v>-9.9157020861676578E-4</v>
      </c>
      <c r="BF1085" s="136" t="e">
        <f t="shared" si="228"/>
        <v>#N/A</v>
      </c>
      <c r="BG1085" s="136" t="e">
        <f t="shared" si="229"/>
        <v>#N/A</v>
      </c>
    </row>
    <row r="1086" spans="47:59" ht="11.25" customHeight="1">
      <c r="AU1086" s="136">
        <f t="shared" si="219"/>
        <v>0.99999834032482893</v>
      </c>
      <c r="AV1086" s="136">
        <f t="shared" si="230"/>
        <v>4.6499999999998618</v>
      </c>
      <c r="AW1086" s="136">
        <f t="shared" si="220"/>
        <v>8.0471824564974672E-6</v>
      </c>
      <c r="AX1086" s="136" t="e">
        <f t="shared" si="221"/>
        <v>#N/A</v>
      </c>
      <c r="AY1086" s="136">
        <f t="shared" si="222"/>
        <v>4.6499899999998622</v>
      </c>
      <c r="AZ1086" s="136">
        <f t="shared" si="223"/>
        <v>4.6500099999998614</v>
      </c>
      <c r="BA1086" s="136">
        <f t="shared" si="224"/>
        <v>0.97836560881201085</v>
      </c>
      <c r="BB1086" s="136">
        <f t="shared" si="225"/>
        <v>0.97836578300922639</v>
      </c>
      <c r="BC1086" s="136" t="e">
        <f t="shared" si="226"/>
        <v>#N/A</v>
      </c>
      <c r="BD1086" s="136">
        <f t="shared" si="231"/>
        <v>8.0471824564974672E-6</v>
      </c>
      <c r="BE1086" s="136">
        <f t="shared" si="227"/>
        <v>-9.9195281754350245E-4</v>
      </c>
      <c r="BF1086" s="136" t="e">
        <f t="shared" si="228"/>
        <v>#N/A</v>
      </c>
      <c r="BG1086" s="136" t="e">
        <f t="shared" si="229"/>
        <v>#N/A</v>
      </c>
    </row>
    <row r="1087" spans="47:59" ht="11.25" customHeight="1">
      <c r="AU1087" s="136">
        <f t="shared" si="219"/>
        <v>0.99999841895308139</v>
      </c>
      <c r="AV1087" s="136">
        <f t="shared" si="230"/>
        <v>4.6599999999998616</v>
      </c>
      <c r="AW1087" s="136">
        <f t="shared" si="220"/>
        <v>7.6811711172554206E-6</v>
      </c>
      <c r="AX1087" s="136" t="e">
        <f t="shared" si="221"/>
        <v>#N/A</v>
      </c>
      <c r="AY1087" s="136">
        <f t="shared" si="222"/>
        <v>4.659989999999862</v>
      </c>
      <c r="AZ1087" s="136">
        <f t="shared" si="223"/>
        <v>4.6600099999998612</v>
      </c>
      <c r="BA1087" s="136">
        <f t="shared" si="224"/>
        <v>0.97845245141451953</v>
      </c>
      <c r="BB1087" s="136">
        <f t="shared" si="225"/>
        <v>0.97845262458697702</v>
      </c>
      <c r="BC1087" s="136" t="e">
        <f t="shared" si="226"/>
        <v>#N/A</v>
      </c>
      <c r="BD1087" s="136">
        <f t="shared" si="231"/>
        <v>7.6811711172554206E-6</v>
      </c>
      <c r="BE1087" s="136">
        <f t="shared" si="227"/>
        <v>-9.9231882888274462E-4</v>
      </c>
      <c r="BF1087" s="136" t="e">
        <f t="shared" si="228"/>
        <v>#N/A</v>
      </c>
      <c r="BG1087" s="136" t="e">
        <f t="shared" si="229"/>
        <v>#N/A</v>
      </c>
    </row>
    <row r="1088" spans="47:59" ht="11.25" customHeight="1">
      <c r="AU1088" s="136">
        <f t="shared" si="219"/>
        <v>0.99999849400129981</v>
      </c>
      <c r="AV1088" s="136">
        <f t="shared" si="230"/>
        <v>4.6699999999998614</v>
      </c>
      <c r="AW1088" s="136">
        <f t="shared" si="220"/>
        <v>7.3310739886286849E-6</v>
      </c>
      <c r="AX1088" s="136" t="e">
        <f t="shared" si="221"/>
        <v>#N/A</v>
      </c>
      <c r="AY1088" s="136">
        <f t="shared" si="222"/>
        <v>4.6699899999998618</v>
      </c>
      <c r="AZ1088" s="136">
        <f t="shared" si="223"/>
        <v>4.670009999999861</v>
      </c>
      <c r="BA1088" s="136">
        <f t="shared" si="224"/>
        <v>0.97853878359687396</v>
      </c>
      <c r="BB1088" s="136">
        <f t="shared" si="225"/>
        <v>0.97853895575241234</v>
      </c>
      <c r="BC1088" s="136" t="e">
        <f t="shared" si="226"/>
        <v>#N/A</v>
      </c>
      <c r="BD1088" s="136">
        <f t="shared" si="231"/>
        <v>7.3310739886286849E-6</v>
      </c>
      <c r="BE1088" s="136">
        <f t="shared" si="227"/>
        <v>-9.9266892601137125E-4</v>
      </c>
      <c r="BF1088" s="136" t="e">
        <f t="shared" si="228"/>
        <v>#N/A</v>
      </c>
      <c r="BG1088" s="136" t="e">
        <f t="shared" si="229"/>
        <v>#N/A</v>
      </c>
    </row>
    <row r="1089" spans="47:59" ht="11.25" customHeight="1">
      <c r="AU1089" s="136">
        <f t="shared" si="219"/>
        <v>0.99999856562529132</v>
      </c>
      <c r="AV1089" s="136">
        <f t="shared" si="230"/>
        <v>4.6799999999998612</v>
      </c>
      <c r="AW1089" s="136">
        <f t="shared" si="220"/>
        <v>6.99623414327494E-6</v>
      </c>
      <c r="AX1089" s="136" t="e">
        <f t="shared" si="221"/>
        <v>#N/A</v>
      </c>
      <c r="AY1089" s="136">
        <f t="shared" si="222"/>
        <v>4.6799899999998615</v>
      </c>
      <c r="AZ1089" s="136">
        <f t="shared" si="223"/>
        <v>4.6800099999998608</v>
      </c>
      <c r="BA1089" s="136">
        <f t="shared" si="224"/>
        <v>0.97862460926024275</v>
      </c>
      <c r="BB1089" s="136">
        <f t="shared" si="225"/>
        <v>0.97862478040662781</v>
      </c>
      <c r="BC1089" s="136" t="e">
        <f t="shared" si="226"/>
        <v>#N/A</v>
      </c>
      <c r="BD1089" s="136">
        <f t="shared" si="231"/>
        <v>6.99623414327494E-6</v>
      </c>
      <c r="BE1089" s="136">
        <f t="shared" si="227"/>
        <v>-9.9300376585672516E-4</v>
      </c>
      <c r="BF1089" s="136" t="e">
        <f t="shared" si="228"/>
        <v>#N/A</v>
      </c>
      <c r="BG1089" s="136" t="e">
        <f t="shared" si="229"/>
        <v>#N/A</v>
      </c>
    </row>
    <row r="1090" spans="47:59" ht="11.25" customHeight="1">
      <c r="AU1090" s="136">
        <f t="shared" si="219"/>
        <v>0.99999863397465782</v>
      </c>
      <c r="AV1090" s="136">
        <f t="shared" si="230"/>
        <v>4.6899999999998609</v>
      </c>
      <c r="AW1090" s="136">
        <f t="shared" si="220"/>
        <v>6.6760201546118248E-6</v>
      </c>
      <c r="AX1090" s="136" t="e">
        <f t="shared" si="221"/>
        <v>#N/A</v>
      </c>
      <c r="AY1090" s="136">
        <f t="shared" si="222"/>
        <v>4.6899899999998613</v>
      </c>
      <c r="AZ1090" s="136">
        <f t="shared" si="223"/>
        <v>4.6900099999998606</v>
      </c>
      <c r="BA1090" s="136">
        <f t="shared" si="224"/>
        <v>0.97870993226949954</v>
      </c>
      <c r="BB1090" s="136">
        <f t="shared" si="225"/>
        <v>0.9787101024144248</v>
      </c>
      <c r="BC1090" s="136" t="e">
        <f t="shared" si="226"/>
        <v>#N/A</v>
      </c>
      <c r="BD1090" s="136">
        <f t="shared" si="231"/>
        <v>6.6760201546118248E-6</v>
      </c>
      <c r="BE1090" s="136">
        <f t="shared" si="227"/>
        <v>-9.9332397984538815E-4</v>
      </c>
      <c r="BF1090" s="136" t="e">
        <f t="shared" si="228"/>
        <v>#N/A</v>
      </c>
      <c r="BG1090" s="136" t="e">
        <f t="shared" si="229"/>
        <v>#N/A</v>
      </c>
    </row>
    <row r="1091" spans="47:59" ht="11.25" customHeight="1">
      <c r="AU1091" s="136">
        <f t="shared" si="219"/>
        <v>0.99999869919245044</v>
      </c>
      <c r="AV1091" s="136">
        <f t="shared" si="230"/>
        <v>4.6999999999998607</v>
      </c>
      <c r="AW1091" s="136">
        <f t="shared" si="220"/>
        <v>6.3698251788712641E-6</v>
      </c>
      <c r="AX1091" s="136" t="e">
        <f t="shared" si="221"/>
        <v>#N/A</v>
      </c>
      <c r="AY1091" s="136">
        <f t="shared" si="222"/>
        <v>4.6999899999998611</v>
      </c>
      <c r="AZ1091" s="136">
        <f t="shared" si="223"/>
        <v>4.7000099999998604</v>
      </c>
      <c r="BA1091" s="136">
        <f t="shared" si="224"/>
        <v>0.97879475645361702</v>
      </c>
      <c r="BB1091" s="136">
        <f t="shared" si="225"/>
        <v>0.97879492560470494</v>
      </c>
      <c r="BC1091" s="136" t="e">
        <f t="shared" si="226"/>
        <v>#N/A</v>
      </c>
      <c r="BD1091" s="136">
        <f t="shared" si="231"/>
        <v>6.3698251788712641E-6</v>
      </c>
      <c r="BE1091" s="136">
        <f t="shared" si="227"/>
        <v>-9.9363017482112883E-4</v>
      </c>
      <c r="BF1091" s="136" t="e">
        <f t="shared" si="228"/>
        <v>#N/A</v>
      </c>
      <c r="BG1091" s="136" t="e">
        <f t="shared" si="229"/>
        <v>#N/A</v>
      </c>
    </row>
    <row r="1092" spans="47:59" ht="11.25" customHeight="1">
      <c r="AU1092" s="136">
        <f t="shared" si="219"/>
        <v>0.99999876141594402</v>
      </c>
      <c r="AV1092" s="136">
        <f t="shared" si="230"/>
        <v>4.7099999999998605</v>
      </c>
      <c r="AW1092" s="136">
        <f t="shared" si="220"/>
        <v>6.0770660671151089E-6</v>
      </c>
      <c r="AX1092" s="136" t="e">
        <f t="shared" si="221"/>
        <v>#N/A</v>
      </c>
      <c r="AY1092" s="136">
        <f t="shared" si="222"/>
        <v>4.7099899999998609</v>
      </c>
      <c r="AZ1092" s="136">
        <f t="shared" si="223"/>
        <v>4.7100099999998601</v>
      </c>
      <c r="BA1092" s="136">
        <f t="shared" si="224"/>
        <v>0.97887908560605608</v>
      </c>
      <c r="BB1092" s="136">
        <f t="shared" si="225"/>
        <v>0.97887925377085805</v>
      </c>
      <c r="BC1092" s="136" t="e">
        <f t="shared" si="226"/>
        <v>#N/A</v>
      </c>
      <c r="BD1092" s="136">
        <f t="shared" si="231"/>
        <v>6.0770660671151089E-6</v>
      </c>
      <c r="BE1092" s="136">
        <f t="shared" si="227"/>
        <v>-9.9392293393288497E-4</v>
      </c>
      <c r="BF1092" s="136" t="e">
        <f t="shared" si="228"/>
        <v>#N/A</v>
      </c>
      <c r="BG1092" s="136" t="e">
        <f t="shared" si="229"/>
        <v>#N/A</v>
      </c>
    </row>
    <row r="1093" spans="47:59" ht="11.25" customHeight="1">
      <c r="AU1093" s="136">
        <f t="shared" si="219"/>
        <v>0.9999988207767343</v>
      </c>
      <c r="AV1093" s="136">
        <f t="shared" si="230"/>
        <v>4.7199999999998603</v>
      </c>
      <c r="AW1093" s="136">
        <f t="shared" si="220"/>
        <v>5.7971825063611071E-6</v>
      </c>
      <c r="AX1093" s="136" t="e">
        <f t="shared" si="221"/>
        <v>#N/A</v>
      </c>
      <c r="AY1093" s="136">
        <f t="shared" si="222"/>
        <v>4.7199899999998607</v>
      </c>
      <c r="AZ1093" s="136">
        <f t="shared" si="223"/>
        <v>4.7200099999998599</v>
      </c>
      <c r="BA1093" s="136">
        <f t="shared" si="224"/>
        <v>0.97896292348514913</v>
      </c>
      <c r="BB1093" s="136">
        <f t="shared" si="225"/>
        <v>0.97896309067114706</v>
      </c>
      <c r="BC1093" s="136" t="e">
        <f t="shared" si="226"/>
        <v>#N/A</v>
      </c>
      <c r="BD1093" s="136">
        <f t="shared" si="231"/>
        <v>5.7971825063611071E-6</v>
      </c>
      <c r="BE1093" s="136">
        <f t="shared" si="227"/>
        <v>-9.9420281749363899E-4</v>
      </c>
      <c r="BF1093" s="136" t="e">
        <f t="shared" si="228"/>
        <v>#N/A</v>
      </c>
      <c r="BG1093" s="136" t="e">
        <f t="shared" si="229"/>
        <v>#N/A</v>
      </c>
    </row>
    <row r="1094" spans="47:59" ht="11.25" customHeight="1">
      <c r="AU1094" s="136">
        <f t="shared" si="219"/>
        <v>0.9999988774009142</v>
      </c>
      <c r="AV1094" s="136">
        <f t="shared" si="230"/>
        <v>4.7299999999998601</v>
      </c>
      <c r="AW1094" s="136">
        <f t="shared" si="220"/>
        <v>5.5296361889877251E-6</v>
      </c>
      <c r="AX1094" s="136" t="e">
        <f t="shared" si="221"/>
        <v>#N/A</v>
      </c>
      <c r="AY1094" s="136">
        <f t="shared" si="222"/>
        <v>4.7299899999998605</v>
      </c>
      <c r="AZ1094" s="136">
        <f t="shared" si="223"/>
        <v>4.7300099999998597</v>
      </c>
      <c r="BA1094" s="136">
        <f t="shared" si="224"/>
        <v>0.97904627381448028</v>
      </c>
      <c r="BB1094" s="136">
        <f t="shared" si="225"/>
        <v>0.97904644002908658</v>
      </c>
      <c r="BC1094" s="136" t="e">
        <f t="shared" si="226"/>
        <v>#N/A</v>
      </c>
      <c r="BD1094" s="136">
        <f t="shared" si="231"/>
        <v>5.5296361889877251E-6</v>
      </c>
      <c r="BE1094" s="136">
        <f t="shared" si="227"/>
        <v>-9.9447036381101225E-4</v>
      </c>
      <c r="BF1094" s="136" t="e">
        <f t="shared" si="228"/>
        <v>#N/A</v>
      </c>
      <c r="BG1094" s="136" t="e">
        <f t="shared" si="229"/>
        <v>#N/A</v>
      </c>
    </row>
    <row r="1095" spans="47:59" ht="11.25" customHeight="1">
      <c r="AU1095" s="136">
        <f t="shared" si="219"/>
        <v>0.99999893140889595</v>
      </c>
      <c r="AV1095" s="136">
        <f t="shared" si="230"/>
        <v>4.7399999999998599</v>
      </c>
      <c r="AW1095" s="136">
        <f t="shared" si="220"/>
        <v>5.2739100096048067E-6</v>
      </c>
      <c r="AX1095" s="136" t="e">
        <f t="shared" si="221"/>
        <v>#N/A</v>
      </c>
      <c r="AY1095" s="136">
        <f t="shared" si="222"/>
        <v>4.7399899999998603</v>
      </c>
      <c r="AZ1095" s="136">
        <f t="shared" si="223"/>
        <v>4.7400099999998595</v>
      </c>
      <c r="BA1095" s="136">
        <f t="shared" si="224"/>
        <v>0.97912914028325937</v>
      </c>
      <c r="BB1095" s="136">
        <f t="shared" si="225"/>
        <v>0.97912930553381838</v>
      </c>
      <c r="BC1095" s="136" t="e">
        <f t="shared" si="226"/>
        <v>#N/A</v>
      </c>
      <c r="BD1095" s="136">
        <f t="shared" si="231"/>
        <v>5.2739100096048067E-6</v>
      </c>
      <c r="BE1095" s="136">
        <f t="shared" si="227"/>
        <v>-9.9472608999039516E-4</v>
      </c>
      <c r="BF1095" s="136" t="e">
        <f t="shared" si="228"/>
        <v>#N/A</v>
      </c>
      <c r="BG1095" s="136" t="e">
        <f t="shared" si="229"/>
        <v>#N/A</v>
      </c>
    </row>
    <row r="1096" spans="47:59" ht="11.25" customHeight="1">
      <c r="AU1096" s="136">
        <f t="shared" si="219"/>
        <v>0.99999898291664968</v>
      </c>
      <c r="AV1096" s="136">
        <f t="shared" si="230"/>
        <v>4.7499999999998597</v>
      </c>
      <c r="AW1096" s="136">
        <f t="shared" si="220"/>
        <v>5.0295072885957954E-6</v>
      </c>
      <c r="AX1096" s="136" t="e">
        <f t="shared" si="221"/>
        <v>#N/A</v>
      </c>
      <c r="AY1096" s="136">
        <f t="shared" si="222"/>
        <v>4.74998999999986</v>
      </c>
      <c r="AZ1096" s="136">
        <f t="shared" si="223"/>
        <v>4.7500099999998593</v>
      </c>
      <c r="BA1096" s="136">
        <f t="shared" si="224"/>
        <v>0.97921152654669252</v>
      </c>
      <c r="BB1096" s="136">
        <f t="shared" si="225"/>
        <v>0.97921169084048088</v>
      </c>
      <c r="BC1096" s="136" t="e">
        <f t="shared" si="226"/>
        <v>#N/A</v>
      </c>
      <c r="BD1096" s="136">
        <f t="shared" si="231"/>
        <v>5.0295072885957954E-6</v>
      </c>
      <c r="BE1096" s="136">
        <f t="shared" si="227"/>
        <v>-9.949704927114042E-4</v>
      </c>
      <c r="BF1096" s="136" t="e">
        <f t="shared" si="228"/>
        <v>#N/A</v>
      </c>
      <c r="BG1096" s="136" t="e">
        <f t="shared" si="229"/>
        <v>#N/A</v>
      </c>
    </row>
    <row r="1097" spans="47:59" ht="11.25" customHeight="1">
      <c r="AU1097" s="136">
        <f t="shared" si="219"/>
        <v>0.99999903203511509</v>
      </c>
      <c r="AV1097" s="136">
        <f t="shared" si="230"/>
        <v>4.7599999999998595</v>
      </c>
      <c r="AW1097" s="136">
        <f t="shared" si="220"/>
        <v>4.7959510215557243E-6</v>
      </c>
      <c r="AX1097" s="136" t="e">
        <f t="shared" si="221"/>
        <v>#N/A</v>
      </c>
      <c r="AY1097" s="136">
        <f t="shared" si="222"/>
        <v>4.7599899999998598</v>
      </c>
      <c r="AZ1097" s="136">
        <f t="shared" si="223"/>
        <v>4.7600099999998591</v>
      </c>
      <c r="BA1097" s="136">
        <f t="shared" si="224"/>
        <v>0.97929343622634812</v>
      </c>
      <c r="BB1097" s="136">
        <f t="shared" si="225"/>
        <v>0.97929359957057538</v>
      </c>
      <c r="BC1097" s="136" t="e">
        <f t="shared" si="226"/>
        <v>#N/A</v>
      </c>
      <c r="BD1097" s="136">
        <f t="shared" si="231"/>
        <v>4.7959510215557243E-6</v>
      </c>
      <c r="BE1097" s="136">
        <f t="shared" si="227"/>
        <v>-9.9520404897844431E-4</v>
      </c>
      <c r="BF1097" s="136" t="e">
        <f t="shared" si="228"/>
        <v>#N/A</v>
      </c>
      <c r="BG1097" s="136" t="e">
        <f t="shared" si="229"/>
        <v>#N/A</v>
      </c>
    </row>
    <row r="1098" spans="47:59" ht="11.25" customHeight="1">
      <c r="AU1098" s="136">
        <f t="shared" si="219"/>
        <v>0.99999907887027994</v>
      </c>
      <c r="AV1098" s="136">
        <f t="shared" si="230"/>
        <v>4.7699999999998592</v>
      </c>
      <c r="AW1098" s="136">
        <f t="shared" si="220"/>
        <v>4.5727831538672066E-6</v>
      </c>
      <c r="AX1098" s="136" t="e">
        <f t="shared" si="221"/>
        <v>#N/A</v>
      </c>
      <c r="AY1098" s="136">
        <f t="shared" si="222"/>
        <v>4.7699899999998596</v>
      </c>
      <c r="AZ1098" s="136">
        <f t="shared" si="223"/>
        <v>4.7700099999998589</v>
      </c>
      <c r="BA1098" s="136">
        <f t="shared" si="224"/>
        <v>0.97937487291051717</v>
      </c>
      <c r="BB1098" s="136">
        <f t="shared" si="225"/>
        <v>0.97937503531232684</v>
      </c>
      <c r="BC1098" s="136" t="e">
        <f t="shared" si="226"/>
        <v>#N/A</v>
      </c>
      <c r="BD1098" s="136">
        <f t="shared" si="231"/>
        <v>4.5727831538672066E-6</v>
      </c>
      <c r="BE1098" s="136">
        <f t="shared" si="227"/>
        <v>-9.9542721684613275E-4</v>
      </c>
      <c r="BF1098" s="136" t="e">
        <f t="shared" si="228"/>
        <v>#N/A</v>
      </c>
      <c r="BG1098" s="136" t="e">
        <f t="shared" si="229"/>
        <v>#N/A</v>
      </c>
    </row>
    <row r="1099" spans="47:59" ht="11.25" customHeight="1">
      <c r="AU1099" s="136">
        <f t="shared" si="219"/>
        <v>0.99999912352410758</v>
      </c>
      <c r="AV1099" s="136">
        <f t="shared" si="230"/>
        <v>4.779999999999859</v>
      </c>
      <c r="AW1099" s="136">
        <f t="shared" si="220"/>
        <v>4.3595638796745784E-6</v>
      </c>
      <c r="AX1099" s="136" t="e">
        <f t="shared" si="221"/>
        <v>#N/A</v>
      </c>
      <c r="AY1099" s="136">
        <f t="shared" si="222"/>
        <v>4.7799899999998594</v>
      </c>
      <c r="AZ1099" s="136">
        <f t="shared" si="223"/>
        <v>4.7800099999998586</v>
      </c>
      <c r="BA1099" s="136">
        <f t="shared" si="224"/>
        <v>0.97945584015457088</v>
      </c>
      <c r="BB1099" s="136">
        <f t="shared" si="225"/>
        <v>0.97945600162104107</v>
      </c>
      <c r="BC1099" s="136" t="e">
        <f t="shared" si="226"/>
        <v>#N/A</v>
      </c>
      <c r="BD1099" s="136">
        <f t="shared" si="231"/>
        <v>4.3595638796745784E-6</v>
      </c>
      <c r="BE1099" s="136">
        <f t="shared" si="227"/>
        <v>-9.9564043612032551E-4</v>
      </c>
      <c r="BF1099" s="136" t="e">
        <f t="shared" si="228"/>
        <v>#N/A</v>
      </c>
      <c r="BG1099" s="136" t="e">
        <f t="shared" si="229"/>
        <v>#N/A</v>
      </c>
    </row>
    <row r="1100" spans="47:59" ht="11.25" customHeight="1">
      <c r="AU1100" s="136">
        <f t="shared" si="219"/>
        <v>0.99999916609336426</v>
      </c>
      <c r="AV1100" s="136">
        <f t="shared" si="230"/>
        <v>4.7899999999998588</v>
      </c>
      <c r="AW1100" s="136">
        <f t="shared" si="220"/>
        <v>4.1558709645340056E-6</v>
      </c>
      <c r="AX1100" s="136" t="e">
        <f t="shared" si="221"/>
        <v>#N/A</v>
      </c>
      <c r="AY1100" s="136">
        <f t="shared" si="222"/>
        <v>4.7899899999998592</v>
      </c>
      <c r="AZ1100" s="136">
        <f t="shared" si="223"/>
        <v>4.7900099999998584</v>
      </c>
      <c r="BA1100" s="136">
        <f t="shared" si="224"/>
        <v>0.97953634148131319</v>
      </c>
      <c r="BB1100" s="136">
        <f t="shared" si="225"/>
        <v>0.97953650201945686</v>
      </c>
      <c r="BC1100" s="136" t="e">
        <f t="shared" si="226"/>
        <v>#N/A</v>
      </c>
      <c r="BD1100" s="136">
        <f t="shared" si="231"/>
        <v>4.1558709645340056E-6</v>
      </c>
      <c r="BE1100" s="136">
        <f t="shared" si="227"/>
        <v>-9.9584412903546598E-4</v>
      </c>
      <c r="BF1100" s="136" t="e">
        <f t="shared" si="228"/>
        <v>#N/A</v>
      </c>
      <c r="BG1100" s="136" t="e">
        <f t="shared" si="229"/>
        <v>#N/A</v>
      </c>
    </row>
    <row r="1101" spans="47:59" ht="11.25" customHeight="1">
      <c r="AU1101" s="136">
        <f t="shared" si="219"/>
        <v>0.9999992066718314</v>
      </c>
      <c r="AV1101" s="136">
        <f t="shared" si="230"/>
        <v>4.7999999999998586</v>
      </c>
      <c r="AW1101" s="136">
        <f t="shared" si="220"/>
        <v>3.9612990910347629E-6</v>
      </c>
      <c r="AX1101" s="136" t="e">
        <f t="shared" si="221"/>
        <v>#N/A</v>
      </c>
      <c r="AY1101" s="136">
        <f t="shared" si="222"/>
        <v>4.799989999999859</v>
      </c>
      <c r="AZ1101" s="136">
        <f t="shared" si="223"/>
        <v>4.8000099999998582</v>
      </c>
      <c r="BA1101" s="136">
        <f t="shared" si="224"/>
        <v>0.97961638038132837</v>
      </c>
      <c r="BB1101" s="136">
        <f t="shared" si="225"/>
        <v>0.97961653999809484</v>
      </c>
      <c r="BC1101" s="136" t="e">
        <f t="shared" si="226"/>
        <v>#N/A</v>
      </c>
      <c r="BD1101" s="136">
        <f t="shared" si="231"/>
        <v>3.9612990910347629E-6</v>
      </c>
      <c r="BE1101" s="136">
        <f t="shared" si="227"/>
        <v>-9.9603870090896529E-4</v>
      </c>
      <c r="BF1101" s="136" t="e">
        <f t="shared" si="228"/>
        <v>#N/A</v>
      </c>
      <c r="BG1101" s="136" t="e">
        <f t="shared" si="229"/>
        <v>#N/A</v>
      </c>
    </row>
    <row r="1102" spans="47:59" ht="11.25" customHeight="1">
      <c r="AU1102" s="136">
        <f t="shared" si="219"/>
        <v>0.9999992453484654</v>
      </c>
      <c r="AV1102" s="136">
        <f t="shared" si="230"/>
        <v>4.8099999999998584</v>
      </c>
      <c r="AW1102" s="136">
        <f t="shared" si="220"/>
        <v>3.7754592267039096E-6</v>
      </c>
      <c r="AX1102" s="136" t="e">
        <f t="shared" si="221"/>
        <v>#N/A</v>
      </c>
      <c r="AY1102" s="136">
        <f t="shared" si="222"/>
        <v>4.8099899999998588</v>
      </c>
      <c r="AZ1102" s="136">
        <f t="shared" si="223"/>
        <v>4.810009999999858</v>
      </c>
      <c r="BA1102" s="136">
        <f t="shared" si="224"/>
        <v>0.97969596031332562</v>
      </c>
      <c r="BB1102" s="136">
        <f t="shared" si="225"/>
        <v>0.9796961190156005</v>
      </c>
      <c r="BC1102" s="136" t="e">
        <f t="shared" si="226"/>
        <v>#N/A</v>
      </c>
      <c r="BD1102" s="136">
        <f t="shared" si="231"/>
        <v>3.7754592267039096E-6</v>
      </c>
      <c r="BE1102" s="136">
        <f t="shared" si="227"/>
        <v>-9.9622454077329613E-4</v>
      </c>
      <c r="BF1102" s="136" t="e">
        <f t="shared" si="228"/>
        <v>#N/A</v>
      </c>
      <c r="BG1102" s="136" t="e">
        <f t="shared" si="229"/>
        <v>#N/A</v>
      </c>
    </row>
    <row r="1103" spans="47:59" ht="11.25" customHeight="1">
      <c r="AU1103" s="136">
        <f t="shared" si="219"/>
        <v>0.99999928220882539</v>
      </c>
      <c r="AV1103" s="136">
        <f t="shared" si="230"/>
        <v>4.8199999999998582</v>
      </c>
      <c r="AW1103" s="136">
        <f t="shared" si="220"/>
        <v>3.5979780135237076E-6</v>
      </c>
      <c r="AX1103" s="136" t="e">
        <f t="shared" si="221"/>
        <v>#N/A</v>
      </c>
      <c r="AY1103" s="136">
        <f t="shared" si="222"/>
        <v>4.8199899999998586</v>
      </c>
      <c r="AZ1103" s="136">
        <f t="shared" si="223"/>
        <v>4.8200099999998578</v>
      </c>
      <c r="BA1103" s="136">
        <f t="shared" si="224"/>
        <v>0.97977508470447883</v>
      </c>
      <c r="BB1103" s="136">
        <f t="shared" si="225"/>
        <v>0.97977524249908521</v>
      </c>
      <c r="BC1103" s="136" t="e">
        <f t="shared" si="226"/>
        <v>#N/A</v>
      </c>
      <c r="BD1103" s="136">
        <f t="shared" si="231"/>
        <v>3.5979780135237076E-6</v>
      </c>
      <c r="BE1103" s="136">
        <f t="shared" si="227"/>
        <v>-9.9640202198647641E-4</v>
      </c>
      <c r="BF1103" s="136" t="e">
        <f t="shared" si="228"/>
        <v>#N/A</v>
      </c>
      <c r="BG1103" s="136" t="e">
        <f t="shared" si="229"/>
        <v>#N/A</v>
      </c>
    </row>
    <row r="1104" spans="47:59" ht="11.25" customHeight="1">
      <c r="AU1104" s="136">
        <f t="shared" si="219"/>
        <v>0.99999931733462755</v>
      </c>
      <c r="AV1104" s="136">
        <f t="shared" si="230"/>
        <v>4.829999999999858</v>
      </c>
      <c r="AW1104" s="136">
        <f t="shared" si="220"/>
        <v>3.4284971784073898E-6</v>
      </c>
      <c r="AX1104" s="136" t="e">
        <f t="shared" si="221"/>
        <v>#N/A</v>
      </c>
      <c r="AY1104" s="136">
        <f t="shared" si="222"/>
        <v>4.8299899999998583</v>
      </c>
      <c r="AZ1104" s="136">
        <f t="shared" si="223"/>
        <v>4.8300099999998576</v>
      </c>
      <c r="BA1104" s="136">
        <f t="shared" si="224"/>
        <v>0.97985375695076227</v>
      </c>
      <c r="BB1104" s="136">
        <f t="shared" si="225"/>
        <v>0.97985391384446097</v>
      </c>
      <c r="BC1104" s="136" t="e">
        <f t="shared" si="226"/>
        <v>#N/A</v>
      </c>
      <c r="BD1104" s="136">
        <f t="shared" si="231"/>
        <v>3.4284971784073898E-6</v>
      </c>
      <c r="BE1104" s="136">
        <f t="shared" si="227"/>
        <v>-9.9657150282159265E-4</v>
      </c>
      <c r="BF1104" s="136" t="e">
        <f t="shared" si="228"/>
        <v>#N/A</v>
      </c>
      <c r="BG1104" s="136" t="e">
        <f t="shared" si="229"/>
        <v>#N/A</v>
      </c>
    </row>
    <row r="1105" spans="47:59" ht="11.25" customHeight="1">
      <c r="AU1105" s="136">
        <f t="shared" si="219"/>
        <v>0.99999935080445168</v>
      </c>
      <c r="AV1105" s="136">
        <f t="shared" si="230"/>
        <v>4.8399999999998577</v>
      </c>
      <c r="AW1105" s="136">
        <f t="shared" si="220"/>
        <v>3.2666729639955198E-6</v>
      </c>
      <c r="AX1105" s="136" t="e">
        <f t="shared" si="221"/>
        <v>#N/A</v>
      </c>
      <c r="AY1105" s="136">
        <f t="shared" si="222"/>
        <v>4.8399899999998581</v>
      </c>
      <c r="AZ1105" s="136">
        <f t="shared" si="223"/>
        <v>4.8400099999998574</v>
      </c>
      <c r="BA1105" s="136">
        <f t="shared" si="224"/>
        <v>0.97993198041728236</v>
      </c>
      <c r="BB1105" s="136">
        <f t="shared" si="225"/>
        <v>0.9799321364167729</v>
      </c>
      <c r="BC1105" s="136" t="e">
        <f t="shared" si="226"/>
        <v>#N/A</v>
      </c>
      <c r="BD1105" s="136">
        <f t="shared" si="231"/>
        <v>3.2666729639955198E-6</v>
      </c>
      <c r="BE1105" s="136">
        <f t="shared" si="227"/>
        <v>-9.9673332703600448E-4</v>
      </c>
      <c r="BF1105" s="136" t="e">
        <f t="shared" si="228"/>
        <v>#N/A</v>
      </c>
      <c r="BG1105" s="136" t="e">
        <f t="shared" si="229"/>
        <v>#N/A</v>
      </c>
    </row>
    <row r="1106" spans="47:59" ht="11.25" customHeight="1">
      <c r="AU1106" s="136">
        <f t="shared" si="219"/>
        <v>0.99999938269242261</v>
      </c>
      <c r="AV1106" s="136">
        <f t="shared" si="230"/>
        <v>4.8499999999998575</v>
      </c>
      <c r="AW1106" s="136">
        <f t="shared" si="220"/>
        <v>3.1121755791510891E-6</v>
      </c>
      <c r="AX1106" s="136" t="e">
        <f t="shared" si="221"/>
        <v>#N/A</v>
      </c>
      <c r="AY1106" s="136">
        <f t="shared" si="222"/>
        <v>4.8499899999998579</v>
      </c>
      <c r="AZ1106" s="136">
        <f t="shared" si="223"/>
        <v>4.8500099999998572</v>
      </c>
      <c r="BA1106" s="136">
        <f t="shared" si="224"/>
        <v>0.98000975843860538</v>
      </c>
      <c r="BB1106" s="136">
        <f t="shared" si="225"/>
        <v>0.98000991355052647</v>
      </c>
      <c r="BC1106" s="136" t="e">
        <f t="shared" si="226"/>
        <v>#N/A</v>
      </c>
      <c r="BD1106" s="136">
        <f t="shared" si="231"/>
        <v>3.1121755791510891E-6</v>
      </c>
      <c r="BE1106" s="136">
        <f t="shared" si="227"/>
        <v>-9.9688782442084898E-4</v>
      </c>
      <c r="BF1106" s="136" t="e">
        <f t="shared" si="228"/>
        <v>#N/A</v>
      </c>
      <c r="BG1106" s="136" t="e">
        <f t="shared" si="229"/>
        <v>#N/A</v>
      </c>
    </row>
    <row r="1107" spans="47:59" ht="11.25" customHeight="1">
      <c r="AU1107" s="136">
        <f t="shared" si="219"/>
        <v>0.99999941307111639</v>
      </c>
      <c r="AV1107" s="136">
        <f t="shared" si="230"/>
        <v>4.8599999999998573</v>
      </c>
      <c r="AW1107" s="136">
        <f t="shared" si="220"/>
        <v>2.9646886685473312E-6</v>
      </c>
      <c r="AX1107" s="136" t="e">
        <f t="shared" si="221"/>
        <v>#N/A</v>
      </c>
      <c r="AY1107" s="136">
        <f t="shared" si="222"/>
        <v>4.8599899999998577</v>
      </c>
      <c r="AZ1107" s="136">
        <f t="shared" si="223"/>
        <v>4.8600099999998569</v>
      </c>
      <c r="BA1107" s="136">
        <f t="shared" si="224"/>
        <v>0.98008709431908136</v>
      </c>
      <c r="BB1107" s="136">
        <f t="shared" si="225"/>
        <v>0.98008724855001161</v>
      </c>
      <c r="BC1107" s="136" t="e">
        <f t="shared" si="226"/>
        <v>#N/A</v>
      </c>
      <c r="BD1107" s="136">
        <f t="shared" si="231"/>
        <v>2.9646886685473312E-6</v>
      </c>
      <c r="BE1107" s="136">
        <f t="shared" si="227"/>
        <v>-9.9703531133145265E-4</v>
      </c>
      <c r="BF1107" s="136" t="e">
        <f t="shared" si="228"/>
        <v>#N/A</v>
      </c>
      <c r="BG1107" s="136" t="e">
        <f t="shared" si="229"/>
        <v>#N/A</v>
      </c>
    </row>
    <row r="1108" spans="47:59" ht="11.25" customHeight="1">
      <c r="AU1108" s="136">
        <f t="shared" si="219"/>
        <v>0.99999944200860513</v>
      </c>
      <c r="AV1108" s="136">
        <f t="shared" si="230"/>
        <v>4.8699999999998571</v>
      </c>
      <c r="AW1108" s="136">
        <f t="shared" si="220"/>
        <v>2.8239088007577869E-6</v>
      </c>
      <c r="AX1108" s="136" t="e">
        <f t="shared" si="221"/>
        <v>#N/A</v>
      </c>
      <c r="AY1108" s="136">
        <f t="shared" si="222"/>
        <v>4.8699899999998575</v>
      </c>
      <c r="AZ1108" s="136">
        <f t="shared" si="223"/>
        <v>4.8700099999998567</v>
      </c>
      <c r="BA1108" s="136">
        <f t="shared" si="224"/>
        <v>0.98016399133316379</v>
      </c>
      <c r="BB1108" s="136">
        <f t="shared" si="225"/>
        <v>0.98016414468962243</v>
      </c>
      <c r="BC1108" s="136" t="e">
        <f t="shared" si="226"/>
        <v>#N/A</v>
      </c>
      <c r="BD1108" s="136">
        <f t="shared" si="231"/>
        <v>2.8239088007577869E-6</v>
      </c>
      <c r="BE1108" s="136">
        <f t="shared" si="227"/>
        <v>-9.9717609119924218E-4</v>
      </c>
      <c r="BF1108" s="136" t="e">
        <f t="shared" si="228"/>
        <v>#N/A</v>
      </c>
      <c r="BG1108" s="136" t="e">
        <f t="shared" si="229"/>
        <v>#N/A</v>
      </c>
    </row>
    <row r="1109" spans="47:59" ht="11.25" customHeight="1">
      <c r="AU1109" s="136">
        <f t="shared" ref="AU1109:AU1172" si="232">NORMDIST(AV1109,$AV$17,$AV$18,TRUE)</f>
        <v>0.99999946957044794</v>
      </c>
      <c r="AV1109" s="136">
        <f t="shared" si="230"/>
        <v>4.8799999999998569</v>
      </c>
      <c r="AW1109" s="136">
        <f t="shared" ref="AW1109:AW1172" si="233">IF($AV$13=1,NORMDIST(AV1109,$AV$17,$AV$18,FALSE),NA())</f>
        <v>2.6895449742734008E-6</v>
      </c>
      <c r="AX1109" s="136" t="e">
        <f t="shared" ref="AX1109:AX1172" si="234">IF($AV$13=3,NORMDIST(AV1109,$AV$17,$AV$18,FALSE),NA())</f>
        <v>#N/A</v>
      </c>
      <c r="AY1109" s="136">
        <f t="shared" ref="AY1109:AY1172" si="235">AV1109-$AY$19</f>
        <v>4.8799899999998573</v>
      </c>
      <c r="AZ1109" s="136">
        <f t="shared" ref="AZ1109:AZ1172" si="236">AV1109+$AY$19</f>
        <v>4.8800099999998565</v>
      </c>
      <c r="BA1109" s="136">
        <f t="shared" ref="BA1109:BA1172" si="237">IF(AY1109&lt;0,TDIST(-AY1109,$AV$14,1),1-TDIST(AY1109,$AV$14,1))</f>
        <v>0.98024045272572591</v>
      </c>
      <c r="BB1109" s="136">
        <f t="shared" ref="BB1109:BB1172" si="238">IF(AZ1109&lt;0,TDIST(-AZ1109,$AV$14,1),1-TDIST(AZ1109,$AV$14,1))</f>
        <v>0.98024060521417322</v>
      </c>
      <c r="BC1109" s="136" t="e">
        <f t="shared" ref="BC1109:BC1172" si="239">IF($AV$13&gt;1,(BB1109-BA1109)/(2*$AY$19),NA())</f>
        <v>#N/A</v>
      </c>
      <c r="BD1109" s="136">
        <f t="shared" si="231"/>
        <v>2.6895449742734008E-6</v>
      </c>
      <c r="BE1109" s="136">
        <f t="shared" ref="BE1109:BE1172" si="240">IF(ISNUMBER(BD1109),BD1109-$BE$19,NA())</f>
        <v>-9.9731045502572668E-4</v>
      </c>
      <c r="BF1109" s="136" t="e">
        <f t="shared" ref="BF1109:BF1172" si="241">IF($AV$15=1,IF(AV1109&gt;=$BF$19,BC1109,NA()),IF($AV$15=2,IF(ABS(AV1109)&gt;=$BF$19,BC1109,NA()),NA()))</f>
        <v>#N/A</v>
      </c>
      <c r="BG1109" s="136" t="e">
        <f t="shared" ref="BG1109:BG1172" si="242">IF(ISNUMBER(BF1109),BF1109-$BG$19,NA())</f>
        <v>#N/A</v>
      </c>
    </row>
    <row r="1110" spans="47:59" ht="11.25" customHeight="1">
      <c r="AU1110" s="136">
        <f t="shared" si="232"/>
        <v>0.99999949582014347</v>
      </c>
      <c r="AV1110" s="136">
        <f t="shared" ref="AV1110:AV1173" si="243">AV1109+$AY$10</f>
        <v>4.8899999999998567</v>
      </c>
      <c r="AW1110" s="136">
        <f t="shared" si="233"/>
        <v>2.561318140886332E-6</v>
      </c>
      <c r="AX1110" s="136" t="e">
        <f t="shared" si="234"/>
        <v>#N/A</v>
      </c>
      <c r="AY1110" s="136">
        <f t="shared" si="235"/>
        <v>4.8899899999998571</v>
      </c>
      <c r="AZ1110" s="136">
        <f t="shared" si="236"/>
        <v>4.8900099999998563</v>
      </c>
      <c r="BA1110" s="136">
        <f t="shared" si="237"/>
        <v>0.98031648171237296</v>
      </c>
      <c r="BB1110" s="136">
        <f t="shared" si="238"/>
        <v>0.98031663333921104</v>
      </c>
      <c r="BC1110" s="136" t="e">
        <f t="shared" si="239"/>
        <v>#N/A</v>
      </c>
      <c r="BD1110" s="136">
        <f t="shared" ref="BD1110:BD1173" si="244">IF($AV$15=1,IF(OR(AND(AV1110&gt;=$BD$19,$AS$5&gt;=0),AND(AV1110&lt;=$BD$19,$AS$5&lt;0)),AW1110,NA()),IF($AV$15=2,IF(ABS(AV1110)&gt;=$BD$18,AW1110,NA()),NA()))</f>
        <v>2.561318140886332E-6</v>
      </c>
      <c r="BE1110" s="136">
        <f t="shared" si="240"/>
        <v>-9.9743868185911367E-4</v>
      </c>
      <c r="BF1110" s="136" t="e">
        <f t="shared" si="241"/>
        <v>#N/A</v>
      </c>
      <c r="BG1110" s="136" t="e">
        <f t="shared" si="242"/>
        <v>#N/A</v>
      </c>
    </row>
    <row r="1111" spans="47:59" ht="11.25" customHeight="1">
      <c r="AU1111" s="136">
        <f t="shared" si="232"/>
        <v>0.99999952081643317</v>
      </c>
      <c r="AV1111" s="136">
        <f t="shared" si="243"/>
        <v>4.8999999999998565</v>
      </c>
      <c r="AW1111" s="136">
        <f t="shared" si="233"/>
        <v>2.4389607458950721E-6</v>
      </c>
      <c r="AX1111" s="136" t="e">
        <f t="shared" si="234"/>
        <v>#N/A</v>
      </c>
      <c r="AY1111" s="136">
        <f t="shared" si="235"/>
        <v>4.8999899999998568</v>
      </c>
      <c r="AZ1111" s="136">
        <f t="shared" si="236"/>
        <v>4.9000099999998561</v>
      </c>
      <c r="BA1111" s="136">
        <f t="shared" si="237"/>
        <v>0.98039208147975043</v>
      </c>
      <c r="BB1111" s="136">
        <f t="shared" si="238"/>
        <v>0.98039223225132399</v>
      </c>
      <c r="BC1111" s="136" t="e">
        <f t="shared" si="239"/>
        <v>#N/A</v>
      </c>
      <c r="BD1111" s="136">
        <f t="shared" si="244"/>
        <v>2.4389607458950721E-6</v>
      </c>
      <c r="BE1111" s="136">
        <f t="shared" si="240"/>
        <v>-9.9756103925410485E-4</v>
      </c>
      <c r="BF1111" s="136" t="e">
        <f t="shared" si="241"/>
        <v>#N/A</v>
      </c>
      <c r="BG1111" s="136" t="e">
        <f t="shared" si="242"/>
        <v>#N/A</v>
      </c>
    </row>
    <row r="1112" spans="47:59" ht="11.25" customHeight="1">
      <c r="AU1112" s="136">
        <f t="shared" si="232"/>
        <v>0.99999954461782203</v>
      </c>
      <c r="AV1112" s="136">
        <f t="shared" si="243"/>
        <v>4.9099999999998563</v>
      </c>
      <c r="AW1112" s="136">
        <f t="shared" si="233"/>
        <v>2.3222162845996347E-6</v>
      </c>
      <c r="AX1112" s="136" t="e">
        <f t="shared" si="234"/>
        <v>#N/A</v>
      </c>
      <c r="AY1112" s="136">
        <f t="shared" si="235"/>
        <v>4.9099899999998566</v>
      </c>
      <c r="AZ1112" s="136">
        <f t="shared" si="236"/>
        <v>4.9100099999998559</v>
      </c>
      <c r="BA1112" s="136">
        <f t="shared" si="237"/>
        <v>0.98046725518584976</v>
      </c>
      <c r="BB1112" s="136">
        <f t="shared" si="238"/>
        <v>0.98046740510844599</v>
      </c>
      <c r="BC1112" s="136" t="e">
        <f t="shared" si="239"/>
        <v>#N/A</v>
      </c>
      <c r="BD1112" s="136">
        <f t="shared" si="244"/>
        <v>2.3222162845996347E-6</v>
      </c>
      <c r="BE1112" s="136">
        <f t="shared" si="240"/>
        <v>-9.9767778371540028E-4</v>
      </c>
      <c r="BF1112" s="136" t="e">
        <f t="shared" si="241"/>
        <v>#N/A</v>
      </c>
      <c r="BG1112" s="136" t="e">
        <f t="shared" si="242"/>
        <v>#N/A</v>
      </c>
    </row>
    <row r="1113" spans="47:59" ht="11.25" customHeight="1">
      <c r="AU1113" s="136">
        <f t="shared" si="232"/>
        <v>0.99999956727869099</v>
      </c>
      <c r="AV1113" s="136">
        <f t="shared" si="243"/>
        <v>4.919999999999856</v>
      </c>
      <c r="AW1113" s="136">
        <f t="shared" si="233"/>
        <v>2.210838874569984E-6</v>
      </c>
      <c r="AX1113" s="136" t="e">
        <f t="shared" si="234"/>
        <v>#N/A</v>
      </c>
      <c r="AY1113" s="136">
        <f t="shared" si="235"/>
        <v>4.9199899999998564</v>
      </c>
      <c r="AZ1113" s="136">
        <f t="shared" si="236"/>
        <v>4.9200099999998557</v>
      </c>
      <c r="BA1113" s="136">
        <f t="shared" si="237"/>
        <v>0.98054200596030838</v>
      </c>
      <c r="BB1113" s="136">
        <f t="shared" si="238"/>
        <v>0.98054215504015829</v>
      </c>
      <c r="BC1113" s="136" t="e">
        <f t="shared" si="239"/>
        <v>#N/A</v>
      </c>
      <c r="BD1113" s="136">
        <f t="shared" si="244"/>
        <v>2.210838874569984E-6</v>
      </c>
      <c r="BE1113" s="136">
        <f t="shared" si="240"/>
        <v>-9.9778916112543007E-4</v>
      </c>
      <c r="BF1113" s="136" t="e">
        <f t="shared" si="241"/>
        <v>#N/A</v>
      </c>
      <c r="BG1113" s="136" t="e">
        <f t="shared" si="242"/>
        <v>#N/A</v>
      </c>
    </row>
    <row r="1114" spans="47:59" ht="11.25" customHeight="1">
      <c r="AU1114" s="136">
        <f t="shared" si="232"/>
        <v>0.99999958885177609</v>
      </c>
      <c r="AV1114" s="136">
        <f t="shared" si="243"/>
        <v>4.9299999999998558</v>
      </c>
      <c r="AW1114" s="136">
        <f t="shared" si="233"/>
        <v>2.1045928431846207E-6</v>
      </c>
      <c r="AX1114" s="136" t="e">
        <f t="shared" si="234"/>
        <v>#N/A</v>
      </c>
      <c r="AY1114" s="136">
        <f t="shared" si="235"/>
        <v>4.9299899999998562</v>
      </c>
      <c r="AZ1114" s="136">
        <f t="shared" si="236"/>
        <v>4.9300099999998555</v>
      </c>
      <c r="BA1114" s="136">
        <f t="shared" si="237"/>
        <v>0.98061633690470817</v>
      </c>
      <c r="BB1114" s="136">
        <f t="shared" si="238"/>
        <v>0.98061648514798727</v>
      </c>
      <c r="BC1114" s="136" t="e">
        <f t="shared" si="239"/>
        <v>#N/A</v>
      </c>
      <c r="BD1114" s="136">
        <f t="shared" si="244"/>
        <v>2.1045928431846207E-6</v>
      </c>
      <c r="BE1114" s="136">
        <f t="shared" si="240"/>
        <v>-9.9789540715681537E-4</v>
      </c>
      <c r="BF1114" s="136" t="e">
        <f t="shared" si="241"/>
        <v>#N/A</v>
      </c>
      <c r="BG1114" s="136" t="e">
        <f t="shared" si="242"/>
        <v>#N/A</v>
      </c>
    </row>
    <row r="1115" spans="47:59" ht="11.25" customHeight="1">
      <c r="AU1115" s="136">
        <f t="shared" si="232"/>
        <v>0.9999996093871113</v>
      </c>
      <c r="AV1115" s="136">
        <f t="shared" si="243"/>
        <v>4.9399999999998556</v>
      </c>
      <c r="AW1115" s="136">
        <f t="shared" si="233"/>
        <v>2.003252329949923E-6</v>
      </c>
      <c r="AX1115" s="136" t="e">
        <f t="shared" si="234"/>
        <v>#N/A</v>
      </c>
      <c r="AY1115" s="136">
        <f t="shared" si="235"/>
        <v>4.939989999999856</v>
      </c>
      <c r="AZ1115" s="136">
        <f t="shared" si="236"/>
        <v>4.9400099999998552</v>
      </c>
      <c r="BA1115" s="136">
        <f t="shared" si="237"/>
        <v>0.98069025109286967</v>
      </c>
      <c r="BB1115" s="136">
        <f t="shared" si="238"/>
        <v>0.98069039850569772</v>
      </c>
      <c r="BC1115" s="136" t="e">
        <f t="shared" si="239"/>
        <v>#N/A</v>
      </c>
      <c r="BD1115" s="136">
        <f t="shared" si="244"/>
        <v>2.003252329949923E-6</v>
      </c>
      <c r="BE1115" s="136">
        <f t="shared" si="240"/>
        <v>-9.9799674767005013E-4</v>
      </c>
      <c r="BF1115" s="136" t="e">
        <f t="shared" si="241"/>
        <v>#N/A</v>
      </c>
      <c r="BG1115" s="136" t="e">
        <f t="shared" si="242"/>
        <v>#N/A</v>
      </c>
    </row>
    <row r="1116" spans="47:59" ht="11.25" customHeight="1">
      <c r="AU1116" s="136">
        <f t="shared" si="232"/>
        <v>0.9999996289321299</v>
      </c>
      <c r="AV1116" s="136">
        <f t="shared" si="243"/>
        <v>4.9499999999998554</v>
      </c>
      <c r="AW1116" s="136">
        <f t="shared" si="233"/>
        <v>1.9066009031241753E-6</v>
      </c>
      <c r="AX1116" s="136" t="e">
        <f t="shared" si="234"/>
        <v>#N/A</v>
      </c>
      <c r="AY1116" s="136">
        <f t="shared" si="235"/>
        <v>4.9499899999998558</v>
      </c>
      <c r="AZ1116" s="136">
        <f t="shared" si="236"/>
        <v>4.950009999999855</v>
      </c>
      <c r="BA1116" s="136">
        <f t="shared" si="237"/>
        <v>0.98076375157114193</v>
      </c>
      <c r="BB1116" s="136">
        <f t="shared" si="238"/>
        <v>0.98076389815958454</v>
      </c>
      <c r="BC1116" s="136" t="e">
        <f t="shared" si="239"/>
        <v>#N/A</v>
      </c>
      <c r="BD1116" s="136">
        <f t="shared" si="244"/>
        <v>1.9066009031241753E-6</v>
      </c>
      <c r="BE1116" s="136">
        <f t="shared" si="240"/>
        <v>-9.980933990968758E-4</v>
      </c>
      <c r="BF1116" s="136" t="e">
        <f t="shared" si="241"/>
        <v>#N/A</v>
      </c>
      <c r="BG1116" s="136" t="e">
        <f t="shared" si="242"/>
        <v>#N/A</v>
      </c>
    </row>
    <row r="1117" spans="47:59" ht="11.25" customHeight="1">
      <c r="AU1117" s="136">
        <f t="shared" si="232"/>
        <v>0.99999964753393689</v>
      </c>
      <c r="AV1117" s="136">
        <f t="shared" si="243"/>
        <v>4.9599999999998552</v>
      </c>
      <c r="AW1117" s="136">
        <f t="shared" si="233"/>
        <v>1.8144311901833356E-6</v>
      </c>
      <c r="AX1117" s="136" t="e">
        <f t="shared" si="234"/>
        <v>#N/A</v>
      </c>
      <c r="AY1117" s="136">
        <f t="shared" si="235"/>
        <v>4.9599899999998556</v>
      </c>
      <c r="AZ1117" s="136">
        <f t="shared" si="236"/>
        <v>4.9600099999998548</v>
      </c>
      <c r="BA1117" s="136">
        <f t="shared" si="237"/>
        <v>0.98083684135869043</v>
      </c>
      <c r="BB1117" s="136">
        <f t="shared" si="238"/>
        <v>0.98083698712875866</v>
      </c>
      <c r="BC1117" s="136" t="e">
        <f t="shared" si="239"/>
        <v>#N/A</v>
      </c>
      <c r="BD1117" s="136">
        <f t="shared" si="244"/>
        <v>1.8144311901833356E-6</v>
      </c>
      <c r="BE1117" s="136">
        <f t="shared" si="240"/>
        <v>-9.981855688098167E-4</v>
      </c>
      <c r="BF1117" s="136" t="e">
        <f t="shared" si="241"/>
        <v>#N/A</v>
      </c>
      <c r="BG1117" s="136" t="e">
        <f t="shared" si="242"/>
        <v>#N/A</v>
      </c>
    </row>
    <row r="1118" spans="47:59" ht="11.25" customHeight="1">
      <c r="AU1118" s="136">
        <f t="shared" si="232"/>
        <v>0.99999966523534667</v>
      </c>
      <c r="AV1118" s="136">
        <f t="shared" si="243"/>
        <v>4.969999999999855</v>
      </c>
      <c r="AW1118" s="136">
        <f t="shared" si="233"/>
        <v>1.7265445216783154E-6</v>
      </c>
      <c r="AX1118" s="136" t="e">
        <f t="shared" si="234"/>
        <v>#N/A</v>
      </c>
      <c r="AY1118" s="136">
        <f t="shared" si="235"/>
        <v>4.9699899999998554</v>
      </c>
      <c r="AZ1118" s="136">
        <f t="shared" si="236"/>
        <v>4.9700099999998546</v>
      </c>
      <c r="BA1118" s="136">
        <f t="shared" si="237"/>
        <v>0.98090952344778037</v>
      </c>
      <c r="BB1118" s="136">
        <f t="shared" si="238"/>
        <v>0.98090966840543214</v>
      </c>
      <c r="BC1118" s="136" t="e">
        <f t="shared" si="239"/>
        <v>#N/A</v>
      </c>
      <c r="BD1118" s="136">
        <f t="shared" si="244"/>
        <v>1.7265445216783154E-6</v>
      </c>
      <c r="BE1118" s="136">
        <f t="shared" si="240"/>
        <v>-9.9827345547832177E-4</v>
      </c>
      <c r="BF1118" s="136" t="e">
        <f t="shared" si="241"/>
        <v>#N/A</v>
      </c>
      <c r="BG1118" s="136" t="e">
        <f t="shared" si="242"/>
        <v>#N/A</v>
      </c>
    </row>
    <row r="1119" spans="47:59" ht="11.25" customHeight="1">
      <c r="AU1119" s="136">
        <f t="shared" si="232"/>
        <v>0.99999968207861611</v>
      </c>
      <c r="AV1119" s="136">
        <f t="shared" si="243"/>
        <v>4.9799999999998548</v>
      </c>
      <c r="AW1119" s="136">
        <f t="shared" si="233"/>
        <v>1.6427505880462614E-6</v>
      </c>
      <c r="AX1119" s="136" t="e">
        <f t="shared" si="234"/>
        <v>#N/A</v>
      </c>
      <c r="AY1119" s="136">
        <f t="shared" si="235"/>
        <v>4.9799899999998551</v>
      </c>
      <c r="AZ1119" s="136">
        <f t="shared" si="236"/>
        <v>4.9800099999998544</v>
      </c>
      <c r="BA1119" s="136">
        <f t="shared" si="237"/>
        <v>0.98098180080405739</v>
      </c>
      <c r="BB1119" s="136">
        <f t="shared" si="238"/>
        <v>0.98098194495519742</v>
      </c>
      <c r="BC1119" s="136" t="e">
        <f t="shared" si="239"/>
        <v>#N/A</v>
      </c>
      <c r="BD1119" s="136">
        <f t="shared" si="244"/>
        <v>1.6427505880462614E-6</v>
      </c>
      <c r="BE1119" s="136">
        <f t="shared" si="240"/>
        <v>-9.9835724941195383E-4</v>
      </c>
      <c r="BF1119" s="136" t="e">
        <f t="shared" si="241"/>
        <v>#N/A</v>
      </c>
      <c r="BG1119" s="136" t="e">
        <f t="shared" si="242"/>
        <v>#N/A</v>
      </c>
    </row>
    <row r="1120" spans="47:59" ht="11.25" customHeight="1">
      <c r="AU1120" s="136">
        <f t="shared" si="232"/>
        <v>0.99999969810324973</v>
      </c>
      <c r="AV1120" s="136">
        <f t="shared" si="243"/>
        <v>4.9899999999998546</v>
      </c>
      <c r="AW1120" s="136">
        <f t="shared" si="233"/>
        <v>1.5628671089504256E-6</v>
      </c>
      <c r="AX1120" s="136" t="e">
        <f t="shared" si="234"/>
        <v>#N/A</v>
      </c>
      <c r="AY1120" s="136">
        <f t="shared" si="235"/>
        <v>4.9899899999998549</v>
      </c>
      <c r="AZ1120" s="136">
        <f t="shared" si="236"/>
        <v>4.9900099999998542</v>
      </c>
      <c r="BA1120" s="136">
        <f t="shared" si="237"/>
        <v>0.98105367636682428</v>
      </c>
      <c r="BB1120" s="136">
        <f t="shared" si="238"/>
        <v>0.98105381971730499</v>
      </c>
      <c r="BC1120" s="136" t="e">
        <f t="shared" si="239"/>
        <v>#N/A</v>
      </c>
      <c r="BD1120" s="136">
        <f t="shared" si="244"/>
        <v>1.5628671089504256E-6</v>
      </c>
      <c r="BE1120" s="136">
        <f t="shared" si="240"/>
        <v>-9.9843713289104953E-4</v>
      </c>
      <c r="BF1120" s="136" t="e">
        <f t="shared" si="241"/>
        <v>#N/A</v>
      </c>
      <c r="BG1120" s="136" t="e">
        <f t="shared" si="242"/>
        <v>#N/A</v>
      </c>
    </row>
    <row r="1121" spans="47:59" ht="11.25" customHeight="1">
      <c r="AU1121" s="136">
        <f t="shared" si="232"/>
        <v>0.99999971334826232</v>
      </c>
      <c r="AV1121" s="136">
        <f t="shared" si="243"/>
        <v>4.9999999999998543</v>
      </c>
      <c r="AW1121" s="136">
        <f t="shared" si="233"/>
        <v>1.4867195147353804E-6</v>
      </c>
      <c r="AX1121" s="136" t="e">
        <f t="shared" si="234"/>
        <v>#N/A</v>
      </c>
      <c r="AY1121" s="136">
        <f t="shared" si="235"/>
        <v>4.9999899999998547</v>
      </c>
      <c r="AZ1121" s="136">
        <f t="shared" si="236"/>
        <v>5.000009999999854</v>
      </c>
      <c r="BA1121" s="136">
        <f t="shared" si="237"/>
        <v>0.98112515304931502</v>
      </c>
      <c r="BB1121" s="136">
        <f t="shared" si="238"/>
        <v>0.981125295604937</v>
      </c>
      <c r="BC1121" s="136" t="e">
        <f t="shared" si="239"/>
        <v>#N/A</v>
      </c>
      <c r="BD1121" s="136">
        <f t="shared" si="244"/>
        <v>1.4867195147353804E-6</v>
      </c>
      <c r="BE1121" s="136">
        <f t="shared" si="240"/>
        <v>-9.9851328048526471E-4</v>
      </c>
      <c r="BF1121" s="136" t="e">
        <f t="shared" si="241"/>
        <v>#N/A</v>
      </c>
      <c r="BG1121" s="136" t="e">
        <f t="shared" si="242"/>
        <v>#N/A</v>
      </c>
    </row>
    <row r="1122" spans="47:59" ht="11.25" customHeight="1">
      <c r="AU1122" s="136">
        <f t="shared" si="232"/>
        <v>0.99999972784982272</v>
      </c>
      <c r="AV1122" s="136">
        <f t="shared" si="243"/>
        <v>5.0099999999998541</v>
      </c>
      <c r="AW1122" s="136">
        <f t="shared" si="233"/>
        <v>1.4141406395960358E-6</v>
      </c>
      <c r="AX1122" s="136" t="e">
        <f t="shared" si="234"/>
        <v>#N/A</v>
      </c>
      <c r="AY1122" s="136">
        <f t="shared" si="235"/>
        <v>5.0099899999998545</v>
      </c>
      <c r="AZ1122" s="136">
        <f t="shared" si="236"/>
        <v>5.0100099999998537</v>
      </c>
      <c r="BA1122" s="136">
        <f t="shared" si="237"/>
        <v>0.98119623373896558</v>
      </c>
      <c r="BB1122" s="136">
        <f t="shared" si="238"/>
        <v>0.98119637550547789</v>
      </c>
      <c r="BC1122" s="136" t="e">
        <f t="shared" si="239"/>
        <v>#N/A</v>
      </c>
      <c r="BD1122" s="136">
        <f t="shared" si="244"/>
        <v>1.4141406395960358E-6</v>
      </c>
      <c r="BE1122" s="136">
        <f t="shared" si="240"/>
        <v>-9.9858585936040399E-4</v>
      </c>
      <c r="BF1122" s="136" t="e">
        <f t="shared" si="241"/>
        <v>#N/A</v>
      </c>
      <c r="BG1122" s="136" t="e">
        <f t="shared" si="242"/>
        <v>#N/A</v>
      </c>
    </row>
    <row r="1123" spans="47:59" ht="11.25" customHeight="1">
      <c r="AU1123" s="136">
        <f t="shared" si="232"/>
        <v>0.99999974164260241</v>
      </c>
      <c r="AV1123" s="136">
        <f t="shared" si="243"/>
        <v>5.0199999999998539</v>
      </c>
      <c r="AW1123" s="136">
        <f t="shared" si="233"/>
        <v>1.3449704260704263E-6</v>
      </c>
      <c r="AX1123" s="136" t="e">
        <f t="shared" si="234"/>
        <v>#N/A</v>
      </c>
      <c r="AY1123" s="136">
        <f t="shared" si="235"/>
        <v>5.0199899999998543</v>
      </c>
      <c r="AZ1123" s="136">
        <f t="shared" si="236"/>
        <v>5.0200099999998535</v>
      </c>
      <c r="BA1123" s="136">
        <f t="shared" si="237"/>
        <v>0.98126692129768067</v>
      </c>
      <c r="BB1123" s="136">
        <f t="shared" si="238"/>
        <v>0.98126706228078187</v>
      </c>
      <c r="BC1123" s="136" t="e">
        <f t="shared" si="239"/>
        <v>#N/A</v>
      </c>
      <c r="BD1123" s="136">
        <f t="shared" si="244"/>
        <v>1.3449704260704263E-6</v>
      </c>
      <c r="BE1123" s="136">
        <f t="shared" si="240"/>
        <v>-9.9865502957392966E-4</v>
      </c>
      <c r="BF1123" s="136" t="e">
        <f t="shared" si="241"/>
        <v>#N/A</v>
      </c>
      <c r="BG1123" s="136" t="e">
        <f t="shared" si="242"/>
        <v>#N/A</v>
      </c>
    </row>
    <row r="1124" spans="47:59" ht="11.25" customHeight="1">
      <c r="AU1124" s="136">
        <f t="shared" si="232"/>
        <v>0.99999975476008196</v>
      </c>
      <c r="AV1124" s="136">
        <f t="shared" si="243"/>
        <v>5.0299999999998537</v>
      </c>
      <c r="AW1124" s="136">
        <f t="shared" si="233"/>
        <v>1.2790556404775167E-6</v>
      </c>
      <c r="AX1124" s="136" t="e">
        <f t="shared" si="234"/>
        <v>#N/A</v>
      </c>
      <c r="AY1124" s="136">
        <f t="shared" si="235"/>
        <v>5.0299899999998541</v>
      </c>
      <c r="AZ1124" s="136">
        <f t="shared" si="236"/>
        <v>5.0300099999998533</v>
      </c>
      <c r="BA1124" s="136">
        <f t="shared" si="237"/>
        <v>0.98133721856209877</v>
      </c>
      <c r="BB1124" s="136">
        <f t="shared" si="238"/>
        <v>0.98133735876743688</v>
      </c>
      <c r="BC1124" s="136" t="e">
        <f t="shared" si="239"/>
        <v>#N/A</v>
      </c>
      <c r="BD1124" s="136">
        <f t="shared" si="244"/>
        <v>1.2790556404775167E-6</v>
      </c>
      <c r="BE1124" s="136">
        <f t="shared" si="240"/>
        <v>-9.9872094435952247E-4</v>
      </c>
      <c r="BF1124" s="136" t="e">
        <f t="shared" si="241"/>
        <v>#N/A</v>
      </c>
      <c r="BG1124" s="136" t="e">
        <f t="shared" si="242"/>
        <v>#N/A</v>
      </c>
    </row>
    <row r="1125" spans="47:59" ht="11.25" customHeight="1">
      <c r="AU1125" s="136">
        <f t="shared" si="232"/>
        <v>0.99999976723407691</v>
      </c>
      <c r="AV1125" s="136">
        <f t="shared" si="243"/>
        <v>5.0399999999998535</v>
      </c>
      <c r="AW1125" s="136">
        <f t="shared" si="233"/>
        <v>1.2162495989322167E-6</v>
      </c>
      <c r="AX1125" s="136" t="e">
        <f t="shared" si="234"/>
        <v>#N/A</v>
      </c>
      <c r="AY1125" s="136">
        <f t="shared" si="235"/>
        <v>5.0399899999998539</v>
      </c>
      <c r="AZ1125" s="136">
        <f t="shared" si="236"/>
        <v>5.0400099999998531</v>
      </c>
      <c r="BA1125" s="136">
        <f t="shared" si="237"/>
        <v>0.98140712834385246</v>
      </c>
      <c r="BB1125" s="136">
        <f t="shared" si="238"/>
        <v>0.98140726777702603</v>
      </c>
      <c r="BC1125" s="136" t="e">
        <f t="shared" si="239"/>
        <v>#N/A</v>
      </c>
      <c r="BD1125" s="136">
        <f t="shared" si="244"/>
        <v>1.2162495989322167E-6</v>
      </c>
      <c r="BE1125" s="136">
        <f t="shared" si="240"/>
        <v>-9.9878375040106772E-4</v>
      </c>
      <c r="BF1125" s="136" t="e">
        <f t="shared" si="241"/>
        <v>#N/A</v>
      </c>
      <c r="BG1125" s="136" t="e">
        <f t="shared" si="242"/>
        <v>#N/A</v>
      </c>
    </row>
    <row r="1126" spans="47:59" ht="11.25" customHeight="1">
      <c r="AU1126" s="136">
        <f t="shared" si="232"/>
        <v>0.99999977909496773</v>
      </c>
      <c r="AV1126" s="136">
        <f t="shared" si="243"/>
        <v>5.0499999999998533</v>
      </c>
      <c r="AW1126" s="136">
        <f t="shared" si="233"/>
        <v>1.1564119035806376E-6</v>
      </c>
      <c r="AX1126" s="136" t="e">
        <f t="shared" si="234"/>
        <v>#N/A</v>
      </c>
      <c r="AY1126" s="136">
        <f t="shared" si="235"/>
        <v>5.0499899999998537</v>
      </c>
      <c r="AZ1126" s="136">
        <f t="shared" si="236"/>
        <v>5.0500099999998529</v>
      </c>
      <c r="BA1126" s="136">
        <f t="shared" si="237"/>
        <v>0.98147665342982737</v>
      </c>
      <c r="BB1126" s="136">
        <f t="shared" si="238"/>
        <v>0.98147679209638539</v>
      </c>
      <c r="BC1126" s="136" t="e">
        <f t="shared" si="239"/>
        <v>#N/A</v>
      </c>
      <c r="BD1126" s="136">
        <f t="shared" si="244"/>
        <v>1.1564119035806376E-6</v>
      </c>
      <c r="BE1126" s="136">
        <f t="shared" si="240"/>
        <v>-9.9884358809641935E-4</v>
      </c>
      <c r="BF1126" s="136" t="e">
        <f t="shared" si="241"/>
        <v>#N/A</v>
      </c>
      <c r="BG1126" s="136" t="e">
        <f t="shared" si="242"/>
        <v>#N/A</v>
      </c>
    </row>
    <row r="1127" spans="47:59" ht="11.25" customHeight="1">
      <c r="AU1127" s="136">
        <f t="shared" si="232"/>
        <v>0.99999979037176101</v>
      </c>
      <c r="AV1127" s="136">
        <f t="shared" si="243"/>
        <v>5.0599999999998531</v>
      </c>
      <c r="AW1127" s="136">
        <f t="shared" si="233"/>
        <v>1.0994081887090213E-6</v>
      </c>
      <c r="AX1127" s="136" t="e">
        <f t="shared" si="234"/>
        <v>#N/A</v>
      </c>
      <c r="AY1127" s="136">
        <f t="shared" si="235"/>
        <v>5.0599899999998534</v>
      </c>
      <c r="AZ1127" s="136">
        <f t="shared" si="236"/>
        <v>5.0600099999998527</v>
      </c>
      <c r="BA1127" s="136">
        <f t="shared" si="237"/>
        <v>0.98154579658241647</v>
      </c>
      <c r="BB1127" s="136">
        <f t="shared" si="238"/>
        <v>0.98154593448785932</v>
      </c>
      <c r="BC1127" s="136" t="e">
        <f t="shared" si="239"/>
        <v>#N/A</v>
      </c>
      <c r="BD1127" s="136">
        <f t="shared" si="244"/>
        <v>1.0994081887090213E-6</v>
      </c>
      <c r="BE1127" s="136">
        <f t="shared" si="240"/>
        <v>-9.9890059181129099E-4</v>
      </c>
      <c r="BF1127" s="136" t="e">
        <f t="shared" si="241"/>
        <v>#N/A</v>
      </c>
      <c r="BG1127" s="136" t="e">
        <f t="shared" si="242"/>
        <v>#N/A</v>
      </c>
    </row>
    <row r="1128" spans="47:59" ht="11.25" customHeight="1">
      <c r="AU1128" s="136">
        <f t="shared" si="232"/>
        <v>0.99999980109214892</v>
      </c>
      <c r="AV1128" s="136">
        <f t="shared" si="243"/>
        <v>5.0699999999998528</v>
      </c>
      <c r="AW1128" s="136">
        <f t="shared" si="233"/>
        <v>1.0451098763900991E-6</v>
      </c>
      <c r="AX1128" s="136" t="e">
        <f t="shared" si="234"/>
        <v>#N/A</v>
      </c>
      <c r="AY1128" s="136">
        <f t="shared" si="235"/>
        <v>5.0699899999998532</v>
      </c>
      <c r="AZ1128" s="136">
        <f t="shared" si="236"/>
        <v>5.0700099999998525</v>
      </c>
      <c r="BA1128" s="136">
        <f t="shared" si="237"/>
        <v>0.98161456053977247</v>
      </c>
      <c r="BB1128" s="136">
        <f t="shared" si="238"/>
        <v>0.98161469768955245</v>
      </c>
      <c r="BC1128" s="136" t="e">
        <f t="shared" si="239"/>
        <v>#N/A</v>
      </c>
      <c r="BD1128" s="136">
        <f t="shared" si="244"/>
        <v>1.0451098763900991E-6</v>
      </c>
      <c r="BE1128" s="136">
        <f t="shared" si="240"/>
        <v>-9.9895489012360983E-4</v>
      </c>
      <c r="BF1128" s="136" t="e">
        <f t="shared" si="241"/>
        <v>#N/A</v>
      </c>
      <c r="BG1128" s="136" t="e">
        <f t="shared" si="242"/>
        <v>#N/A</v>
      </c>
    </row>
    <row r="1129" spans="47:59" ht="11.25" customHeight="1">
      <c r="AU1129" s="136">
        <f t="shared" si="232"/>
        <v>0.99999981128256588</v>
      </c>
      <c r="AV1129" s="136">
        <f t="shared" si="243"/>
        <v>5.0799999999998526</v>
      </c>
      <c r="AW1129" s="136">
        <f t="shared" si="233"/>
        <v>9.9339394134065466E-7</v>
      </c>
      <c r="AX1129" s="136" t="e">
        <f t="shared" si="234"/>
        <v>#N/A</v>
      </c>
      <c r="AY1129" s="136">
        <f t="shared" si="235"/>
        <v>5.079989999999853</v>
      </c>
      <c r="AZ1129" s="136">
        <f t="shared" si="236"/>
        <v>5.0800099999998523</v>
      </c>
      <c r="BA1129" s="136">
        <f t="shared" si="237"/>
        <v>0.98168294801605716</v>
      </c>
      <c r="BB1129" s="136">
        <f t="shared" si="238"/>
        <v>0.98168308441557861</v>
      </c>
      <c r="BC1129" s="136" t="e">
        <f t="shared" si="239"/>
        <v>#N/A</v>
      </c>
      <c r="BD1129" s="136">
        <f t="shared" si="244"/>
        <v>9.9339394134065466E-7</v>
      </c>
      <c r="BE1129" s="136">
        <f t="shared" si="240"/>
        <v>-9.990066060586594E-4</v>
      </c>
      <c r="BF1129" s="136" t="e">
        <f t="shared" si="241"/>
        <v>#N/A</v>
      </c>
      <c r="BG1129" s="136" t="e">
        <f t="shared" si="242"/>
        <v>#N/A</v>
      </c>
    </row>
    <row r="1130" spans="47:59" ht="11.25" customHeight="1">
      <c r="AU1130" s="136">
        <f t="shared" si="232"/>
        <v>0.9999998209682428</v>
      </c>
      <c r="AV1130" s="136">
        <f t="shared" si="243"/>
        <v>5.0899999999998524</v>
      </c>
      <c r="AW1130" s="136">
        <f t="shared" si="233"/>
        <v>9.4414268467379505E-7</v>
      </c>
      <c r="AX1130" s="136" t="e">
        <f t="shared" si="234"/>
        <v>#N/A</v>
      </c>
      <c r="AY1130" s="136">
        <f t="shared" si="235"/>
        <v>5.0899899999998528</v>
      </c>
      <c r="AZ1130" s="136">
        <f t="shared" si="236"/>
        <v>5.090009999999852</v>
      </c>
      <c r="BA1130" s="136">
        <f t="shared" si="237"/>
        <v>0.98175096170168707</v>
      </c>
      <c r="BB1130" s="136">
        <f t="shared" si="238"/>
        <v>0.98175109735630728</v>
      </c>
      <c r="BC1130" s="136" t="e">
        <f t="shared" si="239"/>
        <v>#N/A</v>
      </c>
      <c r="BD1130" s="136">
        <f t="shared" si="244"/>
        <v>9.4414268467379505E-7</v>
      </c>
      <c r="BE1130" s="136">
        <f t="shared" si="240"/>
        <v>-9.9905585731532615E-4</v>
      </c>
      <c r="BF1130" s="136" t="e">
        <f t="shared" si="241"/>
        <v>#N/A</v>
      </c>
      <c r="BG1130" s="136" t="e">
        <f t="shared" si="242"/>
        <v>#N/A</v>
      </c>
    </row>
    <row r="1131" spans="47:59" ht="11.25" customHeight="1">
      <c r="AU1131" s="136">
        <f t="shared" si="232"/>
        <v>0.99999983017325933</v>
      </c>
      <c r="AV1131" s="136">
        <f t="shared" si="243"/>
        <v>5.0999999999998522</v>
      </c>
      <c r="AW1131" s="136">
        <f t="shared" si="233"/>
        <v>8.9724351623900935E-7</v>
      </c>
      <c r="AX1131" s="136" t="e">
        <f t="shared" si="234"/>
        <v>#N/A</v>
      </c>
      <c r="AY1131" s="136">
        <f t="shared" si="235"/>
        <v>5.0999899999998526</v>
      </c>
      <c r="AZ1131" s="136">
        <f t="shared" si="236"/>
        <v>5.1000099999998518</v>
      </c>
      <c r="BA1131" s="136">
        <f t="shared" si="237"/>
        <v>0.98181860426357737</v>
      </c>
      <c r="BB1131" s="136">
        <f t="shared" si="238"/>
        <v>0.98181873917860674</v>
      </c>
      <c r="BC1131" s="136" t="e">
        <f t="shared" si="239"/>
        <v>#N/A</v>
      </c>
      <c r="BD1131" s="136">
        <f t="shared" si="244"/>
        <v>8.9724351623900935E-7</v>
      </c>
      <c r="BE1131" s="136">
        <f t="shared" si="240"/>
        <v>-9.9910275648376103E-4</v>
      </c>
      <c r="BF1131" s="136" t="e">
        <f t="shared" si="241"/>
        <v>#N/A</v>
      </c>
      <c r="BG1131" s="136" t="e">
        <f t="shared" si="242"/>
        <v>#N/A</v>
      </c>
    </row>
    <row r="1132" spans="47:59" ht="11.25" customHeight="1">
      <c r="AU1132" s="136">
        <f t="shared" si="232"/>
        <v>0.99999983892059385</v>
      </c>
      <c r="AV1132" s="136">
        <f t="shared" si="243"/>
        <v>5.109999999999852</v>
      </c>
      <c r="AW1132" s="136">
        <f t="shared" si="233"/>
        <v>8.525887452524311E-7</v>
      </c>
      <c r="AX1132" s="136" t="e">
        <f t="shared" si="234"/>
        <v>#N/A</v>
      </c>
      <c r="AY1132" s="136">
        <f t="shared" si="235"/>
        <v>5.1099899999998524</v>
      </c>
      <c r="AZ1132" s="136">
        <f t="shared" si="236"/>
        <v>5.1100099999998516</v>
      </c>
      <c r="BA1132" s="136">
        <f t="shared" si="237"/>
        <v>0.98188587834538199</v>
      </c>
      <c r="BB1132" s="136">
        <f t="shared" si="238"/>
        <v>0.98188601252608465</v>
      </c>
      <c r="BC1132" s="136" t="e">
        <f t="shared" si="239"/>
        <v>#N/A</v>
      </c>
      <c r="BD1132" s="136">
        <f t="shared" si="244"/>
        <v>8.525887452524311E-7</v>
      </c>
      <c r="BE1132" s="136">
        <f t="shared" si="240"/>
        <v>-9.9914741125474763E-4</v>
      </c>
      <c r="BF1132" s="136" t="e">
        <f t="shared" si="241"/>
        <v>#N/A</v>
      </c>
      <c r="BG1132" s="136" t="e">
        <f t="shared" si="242"/>
        <v>#N/A</v>
      </c>
    </row>
    <row r="1133" spans="47:59" ht="11.25" customHeight="1">
      <c r="AU1133" s="136">
        <f t="shared" si="232"/>
        <v>0.99999984723217172</v>
      </c>
      <c r="AV1133" s="136">
        <f t="shared" si="243"/>
        <v>5.1199999999998518</v>
      </c>
      <c r="AW1133" s="136">
        <f t="shared" si="233"/>
        <v>8.1007537892875027E-7</v>
      </c>
      <c r="AX1133" s="136" t="e">
        <f t="shared" si="234"/>
        <v>#N/A</v>
      </c>
      <c r="AY1133" s="136">
        <f t="shared" si="235"/>
        <v>5.1199899999998522</v>
      </c>
      <c r="AZ1133" s="136">
        <f t="shared" si="236"/>
        <v>5.1200099999998514</v>
      </c>
      <c r="BA1133" s="136">
        <f t="shared" si="237"/>
        <v>0.98195278656773166</v>
      </c>
      <c r="BB1133" s="136">
        <f t="shared" si="238"/>
        <v>0.98195292001932599</v>
      </c>
      <c r="BC1133" s="136" t="e">
        <f t="shared" si="239"/>
        <v>#N/A</v>
      </c>
      <c r="BD1133" s="136">
        <f t="shared" si="244"/>
        <v>8.1007537892875027E-7</v>
      </c>
      <c r="BE1133" s="136">
        <f t="shared" si="240"/>
        <v>-9.9918992462107127E-4</v>
      </c>
      <c r="BF1133" s="136" t="e">
        <f t="shared" si="241"/>
        <v>#N/A</v>
      </c>
      <c r="BG1133" s="136" t="e">
        <f t="shared" si="242"/>
        <v>#N/A</v>
      </c>
    </row>
    <row r="1134" spans="47:59" ht="11.25" customHeight="1">
      <c r="AU1134" s="136">
        <f t="shared" si="232"/>
        <v>0.99999985512891065</v>
      </c>
      <c r="AV1134" s="136">
        <f t="shared" si="243"/>
        <v>5.1299999999998516</v>
      </c>
      <c r="AW1134" s="136">
        <f t="shared" si="233"/>
        <v>7.6960492883509941E-7</v>
      </c>
      <c r="AX1134" s="136" t="e">
        <f t="shared" si="234"/>
        <v>#N/A</v>
      </c>
      <c r="AY1134" s="136">
        <f t="shared" si="235"/>
        <v>5.1299899999998519</v>
      </c>
      <c r="AZ1134" s="136">
        <f t="shared" si="236"/>
        <v>5.1300099999998512</v>
      </c>
      <c r="BA1134" s="136">
        <f t="shared" si="237"/>
        <v>0.98201933152846854</v>
      </c>
      <c r="BB1134" s="136">
        <f t="shared" si="238"/>
        <v>0.98201946425612763</v>
      </c>
      <c r="BC1134" s="136" t="e">
        <f t="shared" si="239"/>
        <v>#N/A</v>
      </c>
      <c r="BD1134" s="136">
        <f t="shared" si="244"/>
        <v>7.6960492883509941E-7</v>
      </c>
      <c r="BE1134" s="136">
        <f t="shared" si="240"/>
        <v>-9.9923039507116484E-4</v>
      </c>
      <c r="BF1134" s="136" t="e">
        <f t="shared" si="241"/>
        <v>#N/A</v>
      </c>
      <c r="BG1134" s="136" t="e">
        <f t="shared" si="242"/>
        <v>#N/A</v>
      </c>
    </row>
    <row r="1135" spans="47:59" ht="11.25" customHeight="1">
      <c r="AU1135" s="136">
        <f t="shared" si="232"/>
        <v>0.99999986263076568</v>
      </c>
      <c r="AV1135" s="136">
        <f t="shared" si="243"/>
        <v>5.1399999999998514</v>
      </c>
      <c r="AW1135" s="136">
        <f t="shared" si="233"/>
        <v>7.3108322469590734E-7</v>
      </c>
      <c r="AX1135" s="136" t="e">
        <f t="shared" si="234"/>
        <v>#N/A</v>
      </c>
      <c r="AY1135" s="136">
        <f t="shared" si="235"/>
        <v>5.1399899999998517</v>
      </c>
      <c r="AZ1135" s="136">
        <f t="shared" si="236"/>
        <v>5.140009999999851</v>
      </c>
      <c r="BA1135" s="136">
        <f t="shared" si="237"/>
        <v>0.98208551580287862</v>
      </c>
      <c r="BB1135" s="136">
        <f t="shared" si="238"/>
        <v>0.98208564781173058</v>
      </c>
      <c r="BC1135" s="136" t="e">
        <f t="shared" si="239"/>
        <v>#N/A</v>
      </c>
      <c r="BD1135" s="136">
        <f t="shared" si="244"/>
        <v>7.3108322469590734E-7</v>
      </c>
      <c r="BE1135" s="136">
        <f t="shared" si="240"/>
        <v>-9.992689167753041E-4</v>
      </c>
      <c r="BF1135" s="136" t="e">
        <f t="shared" si="241"/>
        <v>#N/A</v>
      </c>
      <c r="BG1135" s="136" t="e">
        <f t="shared" si="242"/>
        <v>#N/A</v>
      </c>
    </row>
    <row r="1136" spans="47:59" ht="11.25" customHeight="1">
      <c r="AU1136" s="136">
        <f t="shared" si="232"/>
        <v>0.99999986975677047</v>
      </c>
      <c r="AV1136" s="136">
        <f t="shared" si="243"/>
        <v>5.1499999999998511</v>
      </c>
      <c r="AW1136" s="136">
        <f t="shared" si="233"/>
        <v>6.9442023538606788E-7</v>
      </c>
      <c r="AX1136" s="136" t="e">
        <f t="shared" si="234"/>
        <v>#N/A</v>
      </c>
      <c r="AY1136" s="136">
        <f t="shared" si="235"/>
        <v>5.1499899999998515</v>
      </c>
      <c r="AZ1136" s="136">
        <f t="shared" si="236"/>
        <v>5.1500099999998508</v>
      </c>
      <c r="BA1136" s="136">
        <f t="shared" si="237"/>
        <v>0.9821513419439214</v>
      </c>
      <c r="BB1136" s="136">
        <f t="shared" si="238"/>
        <v>0.98215147323904983</v>
      </c>
      <c r="BC1136" s="136" t="e">
        <f t="shared" si="239"/>
        <v>#N/A</v>
      </c>
      <c r="BD1136" s="136">
        <f t="shared" si="244"/>
        <v>6.9442023538606788E-7</v>
      </c>
      <c r="BE1136" s="136">
        <f t="shared" si="240"/>
        <v>-9.9930557976461395E-4</v>
      </c>
      <c r="BF1136" s="136" t="e">
        <f t="shared" si="241"/>
        <v>#N/A</v>
      </c>
      <c r="BG1136" s="136" t="e">
        <f t="shared" si="242"/>
        <v>#N/A</v>
      </c>
    </row>
    <row r="1137" spans="47:59" ht="11.25" customHeight="1">
      <c r="AU1137" s="136">
        <f t="shared" si="232"/>
        <v>0.99999987652507871</v>
      </c>
      <c r="AV1137" s="136">
        <f t="shared" si="243"/>
        <v>5.1599999999998509</v>
      </c>
      <c r="AW1137" s="136">
        <f t="shared" si="233"/>
        <v>6.5952989685802989E-7</v>
      </c>
      <c r="AX1137" s="136" t="e">
        <f t="shared" si="234"/>
        <v>#N/A</v>
      </c>
      <c r="AY1137" s="136">
        <f t="shared" si="235"/>
        <v>5.1599899999998513</v>
      </c>
      <c r="AZ1137" s="136">
        <f t="shared" si="236"/>
        <v>5.1600099999998505</v>
      </c>
      <c r="BA1137" s="136">
        <f t="shared" si="237"/>
        <v>0.98221681248245651</v>
      </c>
      <c r="BB1137" s="136">
        <f t="shared" si="238"/>
        <v>0.98221694306890117</v>
      </c>
      <c r="BC1137" s="136" t="e">
        <f t="shared" si="239"/>
        <v>#N/A</v>
      </c>
      <c r="BD1137" s="136">
        <f t="shared" si="244"/>
        <v>6.5952989685802989E-7</v>
      </c>
      <c r="BE1137" s="136">
        <f t="shared" si="240"/>
        <v>-9.99340470103142E-4</v>
      </c>
      <c r="BF1137" s="136" t="e">
        <f t="shared" si="241"/>
        <v>#N/A</v>
      </c>
      <c r="BG1137" s="136" t="e">
        <f t="shared" si="242"/>
        <v>#N/A</v>
      </c>
    </row>
    <row r="1138" spans="47:59" ht="11.25" customHeight="1">
      <c r="AU1138" s="136">
        <f t="shared" si="232"/>
        <v>0.99999988295300257</v>
      </c>
      <c r="AV1138" s="136">
        <f t="shared" si="243"/>
        <v>5.1699999999998507</v>
      </c>
      <c r="AW1138" s="136">
        <f t="shared" si="233"/>
        <v>6.2632994675637304E-7</v>
      </c>
      <c r="AX1138" s="136" t="e">
        <f t="shared" si="234"/>
        <v>#N/A</v>
      </c>
      <c r="AY1138" s="136">
        <f t="shared" si="235"/>
        <v>5.1699899999998511</v>
      </c>
      <c r="AZ1138" s="136">
        <f t="shared" si="236"/>
        <v>5.1700099999998503</v>
      </c>
      <c r="BA1138" s="136">
        <f t="shared" si="237"/>
        <v>0.98228192992746799</v>
      </c>
      <c r="BB1138" s="136">
        <f t="shared" si="238"/>
        <v>0.98228205981022509</v>
      </c>
      <c r="BC1138" s="136" t="e">
        <f t="shared" si="239"/>
        <v>#N/A</v>
      </c>
      <c r="BD1138" s="136">
        <f t="shared" si="244"/>
        <v>6.2632994675637304E-7</v>
      </c>
      <c r="BE1138" s="136">
        <f t="shared" si="240"/>
        <v>-9.9937367005324359E-4</v>
      </c>
      <c r="BF1138" s="136" t="e">
        <f t="shared" si="241"/>
        <v>#N/A</v>
      </c>
      <c r="BG1138" s="136" t="e">
        <f t="shared" si="242"/>
        <v>#N/A</v>
      </c>
    </row>
    <row r="1139" spans="47:59" ht="11.25" customHeight="1">
      <c r="AU1139" s="136">
        <f t="shared" si="232"/>
        <v>0.99999988905704984</v>
      </c>
      <c r="AV1139" s="136">
        <f t="shared" si="243"/>
        <v>5.1799999999998505</v>
      </c>
      <c r="AW1139" s="136">
        <f t="shared" si="233"/>
        <v>5.9474176548123583E-7</v>
      </c>
      <c r="AX1139" s="136" t="e">
        <f t="shared" si="234"/>
        <v>#N/A</v>
      </c>
      <c r="AY1139" s="136">
        <f t="shared" si="235"/>
        <v>5.1799899999998509</v>
      </c>
      <c r="AZ1139" s="136">
        <f t="shared" si="236"/>
        <v>5.1800099999998501</v>
      </c>
      <c r="BA1139" s="136">
        <f t="shared" si="237"/>
        <v>0.98234669676628616</v>
      </c>
      <c r="BB1139" s="136">
        <f t="shared" si="238"/>
        <v>0.98234682595030876</v>
      </c>
      <c r="BC1139" s="136" t="e">
        <f t="shared" si="239"/>
        <v>#N/A</v>
      </c>
      <c r="BD1139" s="136">
        <f t="shared" si="244"/>
        <v>5.9474176548123583E-7</v>
      </c>
      <c r="BE1139" s="136">
        <f t="shared" si="240"/>
        <v>-9.9940525823451871E-4</v>
      </c>
      <c r="BF1139" s="136" t="e">
        <f t="shared" si="241"/>
        <v>#N/A</v>
      </c>
      <c r="BG1139" s="136" t="e">
        <f t="shared" si="242"/>
        <v>#N/A</v>
      </c>
    </row>
    <row r="1140" spans="47:59" ht="11.25" customHeight="1">
      <c r="AU1140" s="136">
        <f t="shared" si="232"/>
        <v>0.9999998948529597</v>
      </c>
      <c r="AV1140" s="136">
        <f t="shared" si="243"/>
        <v>5.1899999999998503</v>
      </c>
      <c r="AW1140" s="136">
        <f t="shared" si="233"/>
        <v>5.6469022346951531E-7</v>
      </c>
      <c r="AX1140" s="136" t="e">
        <f t="shared" si="234"/>
        <v>#N/A</v>
      </c>
      <c r="AY1140" s="136">
        <f t="shared" si="235"/>
        <v>5.1899899999998507</v>
      </c>
      <c r="AZ1140" s="136">
        <f t="shared" si="236"/>
        <v>5.1900099999998499</v>
      </c>
      <c r="BA1140" s="136">
        <f t="shared" si="237"/>
        <v>0.98241111546480664</v>
      </c>
      <c r="BB1140" s="136">
        <f t="shared" si="238"/>
        <v>0.98241124395500523</v>
      </c>
      <c r="BC1140" s="136" t="e">
        <f t="shared" si="239"/>
        <v>#N/A</v>
      </c>
      <c r="BD1140" s="136">
        <f t="shared" si="244"/>
        <v>5.6469022346951531E-7</v>
      </c>
      <c r="BE1140" s="136">
        <f t="shared" si="240"/>
        <v>-9.9943530977653051E-4</v>
      </c>
      <c r="BF1140" s="136" t="e">
        <f t="shared" si="241"/>
        <v>#N/A</v>
      </c>
      <c r="BG1140" s="136" t="e">
        <f t="shared" si="242"/>
        <v>#N/A</v>
      </c>
    </row>
    <row r="1141" spans="47:59" ht="11.25" customHeight="1">
      <c r="AU1141" s="136">
        <f t="shared" si="232"/>
        <v>0.99999990035573683</v>
      </c>
      <c r="AV1141" s="136">
        <f t="shared" si="243"/>
        <v>5.1999999999998501</v>
      </c>
      <c r="AW1141" s="136">
        <f t="shared" si="233"/>
        <v>5.3610353447018042E-7</v>
      </c>
      <c r="AX1141" s="136" t="e">
        <f t="shared" si="234"/>
        <v>#N/A</v>
      </c>
      <c r="AY1141" s="136">
        <f t="shared" si="235"/>
        <v>5.1999899999998505</v>
      </c>
      <c r="AZ1141" s="136">
        <f t="shared" si="236"/>
        <v>5.2000099999998497</v>
      </c>
      <c r="BA1141" s="136">
        <f t="shared" si="237"/>
        <v>0.98247518846770687</v>
      </c>
      <c r="BB1141" s="136">
        <f t="shared" si="238"/>
        <v>0.98247531626894979</v>
      </c>
      <c r="BC1141" s="136" t="e">
        <f t="shared" si="239"/>
        <v>#N/A</v>
      </c>
      <c r="BD1141" s="136">
        <f t="shared" si="244"/>
        <v>5.3610353447018042E-7</v>
      </c>
      <c r="BE1141" s="136">
        <f t="shared" si="240"/>
        <v>-9.9946389646552976E-4</v>
      </c>
      <c r="BF1141" s="136" t="e">
        <f t="shared" si="241"/>
        <v>#N/A</v>
      </c>
      <c r="BG1141" s="136" t="e">
        <f t="shared" si="242"/>
        <v>#N/A</v>
      </c>
    </row>
    <row r="1142" spans="47:59" ht="11.25" customHeight="1">
      <c r="AU1142" s="136">
        <f t="shared" si="232"/>
        <v>0.99999990557968432</v>
      </c>
      <c r="AV1142" s="136">
        <f t="shared" si="243"/>
        <v>5.2099999999998499</v>
      </c>
      <c r="AW1142" s="136">
        <f t="shared" si="233"/>
        <v>5.0891311459716356E-7</v>
      </c>
      <c r="AX1142" s="136" t="e">
        <f t="shared" si="234"/>
        <v>#N/A</v>
      </c>
      <c r="AY1142" s="136">
        <f t="shared" si="235"/>
        <v>5.2099899999998502</v>
      </c>
      <c r="AZ1142" s="136">
        <f t="shared" si="236"/>
        <v>5.2100099999998495</v>
      </c>
      <c r="BA1142" s="136">
        <f t="shared" si="237"/>
        <v>0.98253891819866035</v>
      </c>
      <c r="BB1142" s="136">
        <f t="shared" si="238"/>
        <v>0.98253904531577396</v>
      </c>
      <c r="BC1142" s="136" t="e">
        <f t="shared" si="239"/>
        <v>#N/A</v>
      </c>
      <c r="BD1142" s="136">
        <f t="shared" si="244"/>
        <v>5.0891311459716356E-7</v>
      </c>
      <c r="BE1142" s="136">
        <f t="shared" si="240"/>
        <v>-9.9949108688540287E-4</v>
      </c>
      <c r="BF1142" s="136" t="e">
        <f t="shared" si="241"/>
        <v>#N/A</v>
      </c>
      <c r="BG1142" s="136" t="e">
        <f t="shared" si="242"/>
        <v>#N/A</v>
      </c>
    </row>
    <row r="1143" spans="47:59" ht="11.25" customHeight="1">
      <c r="AU1143" s="136">
        <f t="shared" si="232"/>
        <v>0.99999991053843462</v>
      </c>
      <c r="AV1143" s="136">
        <f t="shared" si="243"/>
        <v>5.2199999999998496</v>
      </c>
      <c r="AW1143" s="136">
        <f t="shared" si="233"/>
        <v>4.830534469503466E-7</v>
      </c>
      <c r="AX1143" s="136" t="e">
        <f t="shared" si="234"/>
        <v>#N/A</v>
      </c>
      <c r="AY1143" s="136">
        <f t="shared" si="235"/>
        <v>5.21998999999985</v>
      </c>
      <c r="AZ1143" s="136">
        <f t="shared" si="236"/>
        <v>5.2200099999998493</v>
      </c>
      <c r="BA1143" s="136">
        <f t="shared" si="237"/>
        <v>0.9826023070605483</v>
      </c>
      <c r="BB1143" s="136">
        <f t="shared" si="238"/>
        <v>0.98260243349831766</v>
      </c>
      <c r="BC1143" s="136" t="e">
        <f t="shared" si="239"/>
        <v>#N/A</v>
      </c>
      <c r="BD1143" s="136">
        <f t="shared" si="244"/>
        <v>4.830534469503466E-7</v>
      </c>
      <c r="BE1143" s="136">
        <f t="shared" si="240"/>
        <v>-9.9951694655304969E-4</v>
      </c>
      <c r="BF1143" s="136" t="e">
        <f t="shared" si="241"/>
        <v>#N/A</v>
      </c>
      <c r="BG1143" s="136" t="e">
        <f t="shared" si="242"/>
        <v>#N/A</v>
      </c>
    </row>
    <row r="1144" spans="47:59" ht="11.25" customHeight="1">
      <c r="AU1144" s="136">
        <f t="shared" si="232"/>
        <v>0.99999991524498011</v>
      </c>
      <c r="AV1144" s="136">
        <f t="shared" si="243"/>
        <v>5.2299999999998494</v>
      </c>
      <c r="AW1144" s="136">
        <f t="shared" si="233"/>
        <v>4.5846195160189523E-7</v>
      </c>
      <c r="AX1144" s="136" t="e">
        <f t="shared" si="234"/>
        <v>#N/A</v>
      </c>
      <c r="AY1144" s="136">
        <f t="shared" si="235"/>
        <v>5.2299899999998498</v>
      </c>
      <c r="AZ1144" s="136">
        <f t="shared" si="236"/>
        <v>5.2300099999998491</v>
      </c>
      <c r="BA1144" s="136">
        <f t="shared" si="237"/>
        <v>0.98266535743566863</v>
      </c>
      <c r="BB1144" s="136">
        <f t="shared" si="238"/>
        <v>0.98266548319883784</v>
      </c>
      <c r="BC1144" s="136" t="e">
        <f t="shared" si="239"/>
        <v>#N/A</v>
      </c>
      <c r="BD1144" s="136">
        <f t="shared" si="244"/>
        <v>4.5846195160189523E-7</v>
      </c>
      <c r="BE1144" s="136">
        <f t="shared" si="240"/>
        <v>-9.9954153804839821E-4</v>
      </c>
      <c r="BF1144" s="136" t="e">
        <f t="shared" si="241"/>
        <v>#N/A</v>
      </c>
      <c r="BG1144" s="136" t="e">
        <f t="shared" si="242"/>
        <v>#N/A</v>
      </c>
    </row>
    <row r="1145" spans="47:59" ht="11.25" customHeight="1">
      <c r="AU1145" s="136">
        <f t="shared" si="232"/>
        <v>0.99999991971170143</v>
      </c>
      <c r="AV1145" s="136">
        <f t="shared" si="243"/>
        <v>5.2399999999998492</v>
      </c>
      <c r="AW1145" s="136">
        <f t="shared" si="233"/>
        <v>4.350788607518555E-7</v>
      </c>
      <c r="AX1145" s="136" t="e">
        <f t="shared" si="234"/>
        <v>#N/A</v>
      </c>
      <c r="AY1145" s="136">
        <f t="shared" si="235"/>
        <v>5.2399899999998496</v>
      </c>
      <c r="AZ1145" s="136">
        <f t="shared" si="236"/>
        <v>5.2400099999998488</v>
      </c>
      <c r="BA1145" s="136">
        <f t="shared" si="237"/>
        <v>0.98272807168594312</v>
      </c>
      <c r="BB1145" s="136">
        <f t="shared" si="238"/>
        <v>0.98272819677921575</v>
      </c>
      <c r="BC1145" s="136" t="e">
        <f t="shared" si="239"/>
        <v>#N/A</v>
      </c>
      <c r="BD1145" s="136">
        <f t="shared" si="244"/>
        <v>4.350788607518555E-7</v>
      </c>
      <c r="BE1145" s="136">
        <f t="shared" si="240"/>
        <v>-9.9956492113924809E-4</v>
      </c>
      <c r="BF1145" s="136" t="e">
        <f t="shared" si="241"/>
        <v>#N/A</v>
      </c>
      <c r="BG1145" s="136" t="e">
        <f t="shared" si="242"/>
        <v>#N/A</v>
      </c>
    </row>
    <row r="1146" spans="47:59" ht="11.25" customHeight="1">
      <c r="AU1146" s="136">
        <f t="shared" si="232"/>
        <v>0.99999992395039483</v>
      </c>
      <c r="AV1146" s="136">
        <f t="shared" si="243"/>
        <v>5.249999999999849</v>
      </c>
      <c r="AW1146" s="136">
        <f t="shared" si="233"/>
        <v>4.128470988633269E-7</v>
      </c>
      <c r="AX1146" s="136" t="e">
        <f t="shared" si="234"/>
        <v>#N/A</v>
      </c>
      <c r="AY1146" s="136">
        <f t="shared" si="235"/>
        <v>5.2499899999998494</v>
      </c>
      <c r="AZ1146" s="136">
        <f t="shared" si="236"/>
        <v>5.2500099999998486</v>
      </c>
      <c r="BA1146" s="136">
        <f t="shared" si="237"/>
        <v>0.98279045215312155</v>
      </c>
      <c r="BB1146" s="136">
        <f t="shared" si="238"/>
        <v>0.98279057658116098</v>
      </c>
      <c r="BC1146" s="136" t="e">
        <f t="shared" si="239"/>
        <v>#N/A</v>
      </c>
      <c r="BD1146" s="136">
        <f t="shared" si="244"/>
        <v>4.128470988633269E-7</v>
      </c>
      <c r="BE1146" s="136">
        <f t="shared" si="240"/>
        <v>-9.9958715290113676E-4</v>
      </c>
      <c r="BF1146" s="136" t="e">
        <f t="shared" si="241"/>
        <v>#N/A</v>
      </c>
      <c r="BG1146" s="136" t="e">
        <f t="shared" si="242"/>
        <v>#N/A</v>
      </c>
    </row>
    <row r="1147" spans="47:59" ht="11.25" customHeight="1">
      <c r="AU1147" s="136">
        <f t="shared" si="232"/>
        <v>0.9999999279722992</v>
      </c>
      <c r="AV1147" s="136">
        <f t="shared" si="243"/>
        <v>5.2599999999998488</v>
      </c>
      <c r="AW1147" s="136">
        <f t="shared" si="233"/>
        <v>3.9171216759379263E-7</v>
      </c>
      <c r="AX1147" s="136" t="e">
        <f t="shared" si="234"/>
        <v>#N/A</v>
      </c>
      <c r="AY1147" s="136">
        <f t="shared" si="235"/>
        <v>5.2599899999998492</v>
      </c>
      <c r="AZ1147" s="136">
        <f t="shared" si="236"/>
        <v>5.2600099999998484</v>
      </c>
      <c r="BA1147" s="136">
        <f t="shared" si="237"/>
        <v>0.98285250115898415</v>
      </c>
      <c r="BB1147" s="136">
        <f t="shared" si="238"/>
        <v>0.98285262492641412</v>
      </c>
      <c r="BC1147" s="136" t="e">
        <f t="shared" si="239"/>
        <v>#N/A</v>
      </c>
      <c r="BD1147" s="136">
        <f t="shared" si="244"/>
        <v>3.9171216759379263E-7</v>
      </c>
      <c r="BE1147" s="136">
        <f t="shared" si="240"/>
        <v>-9.9960828783240627E-4</v>
      </c>
      <c r="BF1147" s="136" t="e">
        <f t="shared" si="241"/>
        <v>#N/A</v>
      </c>
      <c r="BG1147" s="136" t="e">
        <f t="shared" si="242"/>
        <v>#N/A</v>
      </c>
    </row>
    <row r="1148" spans="47:59" ht="11.25" customHeight="1">
      <c r="AU1148" s="136">
        <f t="shared" si="232"/>
        <v>0.99999993178812063</v>
      </c>
      <c r="AV1148" s="136">
        <f t="shared" si="243"/>
        <v>5.2699999999998486</v>
      </c>
      <c r="AW1148" s="136">
        <f t="shared" si="233"/>
        <v>3.716220353452463E-7</v>
      </c>
      <c r="AX1148" s="136" t="e">
        <f t="shared" si="234"/>
        <v>#N/A</v>
      </c>
      <c r="AY1148" s="136">
        <f t="shared" si="235"/>
        <v>5.269989999999849</v>
      </c>
      <c r="AZ1148" s="136">
        <f t="shared" si="236"/>
        <v>5.2700099999998482</v>
      </c>
      <c r="BA1148" s="136">
        <f t="shared" si="237"/>
        <v>0.98291422100554116</v>
      </c>
      <c r="BB1148" s="136">
        <f t="shared" si="238"/>
        <v>0.98291434411694611</v>
      </c>
      <c r="BC1148" s="136" t="e">
        <f t="shared" si="239"/>
        <v>#N/A</v>
      </c>
      <c r="BD1148" s="136">
        <f t="shared" si="244"/>
        <v>3.716220353452463E-7</v>
      </c>
      <c r="BE1148" s="136">
        <f t="shared" si="240"/>
        <v>-9.9962837796465482E-4</v>
      </c>
      <c r="BF1148" s="136" t="e">
        <f t="shared" si="241"/>
        <v>#N/A</v>
      </c>
      <c r="BG1148" s="136" t="e">
        <f t="shared" si="242"/>
        <v>#N/A</v>
      </c>
    </row>
    <row r="1149" spans="47:59" ht="11.25" customHeight="1">
      <c r="AU1149" s="136">
        <f t="shared" si="232"/>
        <v>0.99999993540805676</v>
      </c>
      <c r="AV1149" s="136">
        <f t="shared" si="243"/>
        <v>5.2799999999998484</v>
      </c>
      <c r="AW1149" s="136">
        <f t="shared" si="233"/>
        <v>3.5252703126168619E-7</v>
      </c>
      <c r="AX1149" s="136" t="e">
        <f t="shared" si="234"/>
        <v>#N/A</v>
      </c>
      <c r="AY1149" s="136">
        <f t="shared" si="235"/>
        <v>5.2799899999998487</v>
      </c>
      <c r="AZ1149" s="136">
        <f t="shared" si="236"/>
        <v>5.280009999999848</v>
      </c>
      <c r="BA1149" s="136">
        <f t="shared" si="237"/>
        <v>0.98297561397523059</v>
      </c>
      <c r="BB1149" s="136">
        <f t="shared" si="238"/>
        <v>0.98297573643515579</v>
      </c>
      <c r="BC1149" s="136" t="e">
        <f t="shared" si="239"/>
        <v>#N/A</v>
      </c>
      <c r="BD1149" s="136">
        <f t="shared" si="244"/>
        <v>3.5252703126168619E-7</v>
      </c>
      <c r="BE1149" s="136">
        <f t="shared" si="240"/>
        <v>-9.9964747296873839E-4</v>
      </c>
      <c r="BF1149" s="136" t="e">
        <f t="shared" si="241"/>
        <v>#N/A</v>
      </c>
      <c r="BG1149" s="136" t="e">
        <f t="shared" si="242"/>
        <v>#N/A</v>
      </c>
    </row>
    <row r="1150" spans="47:59" ht="11.25" customHeight="1">
      <c r="AU1150" s="136">
        <f t="shared" si="232"/>
        <v>0.99999993884182004</v>
      </c>
      <c r="AV1150" s="136">
        <f t="shared" si="243"/>
        <v>5.2899999999998482</v>
      </c>
      <c r="AW1150" s="136">
        <f t="shared" si="233"/>
        <v>3.3437974350824902E-7</v>
      </c>
      <c r="AX1150" s="136" t="e">
        <f t="shared" si="234"/>
        <v>#N/A</v>
      </c>
      <c r="AY1150" s="136">
        <f t="shared" si="235"/>
        <v>5.2899899999998485</v>
      </c>
      <c r="AZ1150" s="136">
        <f t="shared" si="236"/>
        <v>5.2900099999998478</v>
      </c>
      <c r="BA1150" s="136">
        <f t="shared" si="237"/>
        <v>0.98303668233111341</v>
      </c>
      <c r="BB1150" s="136">
        <f t="shared" si="238"/>
        <v>0.98303680414406569</v>
      </c>
      <c r="BC1150" s="136" t="e">
        <f t="shared" si="239"/>
        <v>#N/A</v>
      </c>
      <c r="BD1150" s="136">
        <f t="shared" si="244"/>
        <v>3.3437974350824902E-7</v>
      </c>
      <c r="BE1150" s="136">
        <f t="shared" si="240"/>
        <v>-9.9966562025649184E-4</v>
      </c>
      <c r="BF1150" s="136" t="e">
        <f t="shared" si="241"/>
        <v>#N/A</v>
      </c>
      <c r="BG1150" s="136" t="e">
        <f t="shared" si="242"/>
        <v>#N/A</v>
      </c>
    </row>
    <row r="1151" spans="47:59" ht="11.25" customHeight="1">
      <c r="AU1151" s="136">
        <f t="shared" si="232"/>
        <v>0.99999994209865961</v>
      </c>
      <c r="AV1151" s="136">
        <f t="shared" si="243"/>
        <v>5.2999999999998479</v>
      </c>
      <c r="AW1151" s="136">
        <f t="shared" si="233"/>
        <v>3.1713492167185329E-7</v>
      </c>
      <c r="AX1151" s="136" t="e">
        <f t="shared" si="234"/>
        <v>#N/A</v>
      </c>
      <c r="AY1151" s="136">
        <f t="shared" si="235"/>
        <v>5.2999899999998483</v>
      </c>
      <c r="AZ1151" s="136">
        <f t="shared" si="236"/>
        <v>5.3000099999998476</v>
      </c>
      <c r="BA1151" s="136">
        <f t="shared" si="237"/>
        <v>0.98309742831706648</v>
      </c>
      <c r="BB1151" s="136">
        <f t="shared" si="238"/>
        <v>0.98309754948751449</v>
      </c>
      <c r="BC1151" s="136" t="e">
        <f t="shared" si="239"/>
        <v>#N/A</v>
      </c>
      <c r="BD1151" s="136">
        <f t="shared" si="244"/>
        <v>3.1713492167185329E-7</v>
      </c>
      <c r="BE1151" s="136">
        <f t="shared" si="240"/>
        <v>-9.996828650783282E-4</v>
      </c>
      <c r="BF1151" s="136" t="e">
        <f t="shared" si="241"/>
        <v>#N/A</v>
      </c>
      <c r="BG1151" s="136" t="e">
        <f t="shared" si="242"/>
        <v>#N/A</v>
      </c>
    </row>
    <row r="1152" spans="47:59" ht="11.25" customHeight="1">
      <c r="AU1152" s="136">
        <f t="shared" si="232"/>
        <v>0.99999994518738256</v>
      </c>
      <c r="AV1152" s="136">
        <f t="shared" si="243"/>
        <v>5.3099999999998477</v>
      </c>
      <c r="AW1152" s="136">
        <f t="shared" si="233"/>
        <v>3.0074938312862632E-7</v>
      </c>
      <c r="AX1152" s="136" t="e">
        <f t="shared" si="234"/>
        <v>#N/A</v>
      </c>
      <c r="AY1152" s="136">
        <f t="shared" si="235"/>
        <v>5.3099899999998481</v>
      </c>
      <c r="AZ1152" s="136">
        <f t="shared" si="236"/>
        <v>5.3100099999998474</v>
      </c>
      <c r="BA1152" s="136">
        <f t="shared" si="237"/>
        <v>0.98315785415797363</v>
      </c>
      <c r="BB1152" s="136">
        <f t="shared" si="238"/>
        <v>0.98315797469034838</v>
      </c>
      <c r="BC1152" s="136" t="e">
        <f t="shared" si="239"/>
        <v>#N/A</v>
      </c>
      <c r="BD1152" s="136">
        <f t="shared" si="244"/>
        <v>3.0074938312862632E-7</v>
      </c>
      <c r="BE1152" s="136">
        <f t="shared" si="240"/>
        <v>-9.9969925061687138E-4</v>
      </c>
      <c r="BF1152" s="136" t="e">
        <f t="shared" si="241"/>
        <v>#N/A</v>
      </c>
      <c r="BG1152" s="136" t="e">
        <f t="shared" si="242"/>
        <v>#N/A</v>
      </c>
    </row>
    <row r="1153" spans="47:59" ht="11.25" customHeight="1">
      <c r="AU1153" s="136">
        <f t="shared" si="232"/>
        <v>0.99999994811637394</v>
      </c>
      <c r="AV1153" s="136">
        <f t="shared" si="243"/>
        <v>5.3199999999998475</v>
      </c>
      <c r="AW1153" s="136">
        <f t="shared" si="233"/>
        <v>2.8518192322862913E-7</v>
      </c>
      <c r="AX1153" s="136" t="e">
        <f t="shared" si="234"/>
        <v>#N/A</v>
      </c>
      <c r="AY1153" s="136">
        <f t="shared" si="235"/>
        <v>5.3199899999998479</v>
      </c>
      <c r="AZ1153" s="136">
        <f t="shared" si="236"/>
        <v>5.3200099999998471</v>
      </c>
      <c r="BA1153" s="136">
        <f t="shared" si="237"/>
        <v>0.98321796205991452</v>
      </c>
      <c r="BB1153" s="136">
        <f t="shared" si="238"/>
        <v>0.98321808195860938</v>
      </c>
      <c r="BC1153" s="136" t="e">
        <f t="shared" si="239"/>
        <v>#N/A</v>
      </c>
      <c r="BD1153" s="136">
        <f t="shared" si="244"/>
        <v>2.8518192322862913E-7</v>
      </c>
      <c r="BE1153" s="136">
        <f t="shared" si="240"/>
        <v>-9.9971481807677133E-4</v>
      </c>
      <c r="BF1153" s="136" t="e">
        <f t="shared" si="241"/>
        <v>#N/A</v>
      </c>
      <c r="BG1153" s="136" t="e">
        <f t="shared" si="242"/>
        <v>#N/A</v>
      </c>
    </row>
    <row r="1154" spans="47:59" ht="11.25" customHeight="1">
      <c r="AU1154" s="136">
        <f t="shared" si="232"/>
        <v>0.99999995089361671</v>
      </c>
      <c r="AV1154" s="136">
        <f t="shared" si="243"/>
        <v>5.3299999999998473</v>
      </c>
      <c r="AW1154" s="136">
        <f t="shared" si="233"/>
        <v>2.7039322915351301E-7</v>
      </c>
      <c r="AX1154" s="136" t="e">
        <f t="shared" si="234"/>
        <v>#N/A</v>
      </c>
      <c r="AY1154" s="136">
        <f t="shared" si="235"/>
        <v>5.3299899999998477</v>
      </c>
      <c r="AZ1154" s="136">
        <f t="shared" si="236"/>
        <v>5.3300099999998469</v>
      </c>
      <c r="BA1154" s="136">
        <f t="shared" si="237"/>
        <v>0.98327775421035091</v>
      </c>
      <c r="BB1154" s="136">
        <f t="shared" si="238"/>
        <v>0.98327787347972229</v>
      </c>
      <c r="BC1154" s="136" t="e">
        <f t="shared" si="239"/>
        <v>#N/A</v>
      </c>
      <c r="BD1154" s="136">
        <f t="shared" si="244"/>
        <v>2.7039322915351301E-7</v>
      </c>
      <c r="BE1154" s="136">
        <f t="shared" si="240"/>
        <v>-9.9972960677084644E-4</v>
      </c>
      <c r="BF1154" s="136" t="e">
        <f t="shared" si="241"/>
        <v>#N/A</v>
      </c>
      <c r="BG1154" s="136" t="e">
        <f t="shared" si="242"/>
        <v>#N/A</v>
      </c>
    </row>
    <row r="1155" spans="47:59" ht="11.25" customHeight="1">
      <c r="AU1155" s="136">
        <f t="shared" si="232"/>
        <v>0.99999995352670923</v>
      </c>
      <c r="AV1155" s="136">
        <f t="shared" si="243"/>
        <v>5.3399999999998471</v>
      </c>
      <c r="AW1155" s="136">
        <f t="shared" si="233"/>
        <v>2.563457973076683E-7</v>
      </c>
      <c r="AX1155" s="136" t="e">
        <f t="shared" si="234"/>
        <v>#N/A</v>
      </c>
      <c r="AY1155" s="136">
        <f t="shared" si="235"/>
        <v>5.3399899999998475</v>
      </c>
      <c r="AZ1155" s="136">
        <f t="shared" si="236"/>
        <v>5.3400099999998467</v>
      </c>
      <c r="BA1155" s="136">
        <f t="shared" si="237"/>
        <v>0.98333723277831142</v>
      </c>
      <c r="BB1155" s="136">
        <f t="shared" si="238"/>
        <v>0.98333735142267886</v>
      </c>
      <c r="BC1155" s="136" t="e">
        <f t="shared" si="239"/>
        <v>#N/A</v>
      </c>
      <c r="BD1155" s="136">
        <f t="shared" si="244"/>
        <v>2.563457973076683E-7</v>
      </c>
      <c r="BE1155" s="136">
        <f t="shared" si="240"/>
        <v>-9.9974365420269244E-4</v>
      </c>
      <c r="BF1155" s="136" t="e">
        <f t="shared" si="241"/>
        <v>#N/A</v>
      </c>
      <c r="BG1155" s="136" t="e">
        <f t="shared" si="242"/>
        <v>#N/A</v>
      </c>
    </row>
    <row r="1156" spans="47:59" ht="11.25" customHeight="1">
      <c r="AU1156" s="136">
        <f t="shared" si="232"/>
        <v>0.99999995602288405</v>
      </c>
      <c r="AV1156" s="136">
        <f t="shared" si="243"/>
        <v>5.3499999999998469</v>
      </c>
      <c r="AW1156" s="136">
        <f t="shared" si="233"/>
        <v>2.4300385410825208E-7</v>
      </c>
      <c r="AX1156" s="136" t="e">
        <f t="shared" si="234"/>
        <v>#N/A</v>
      </c>
      <c r="AY1156" s="136">
        <f t="shared" si="235"/>
        <v>5.3499899999998473</v>
      </c>
      <c r="AZ1156" s="136">
        <f t="shared" si="236"/>
        <v>5.3500099999998465</v>
      </c>
      <c r="BA1156" s="136">
        <f t="shared" si="237"/>
        <v>0.98339639991457339</v>
      </c>
      <c r="BB1156" s="136">
        <f t="shared" si="238"/>
        <v>0.98339651793822047</v>
      </c>
      <c r="BC1156" s="136" t="e">
        <f t="shared" si="239"/>
        <v>#N/A</v>
      </c>
      <c r="BD1156" s="136">
        <f t="shared" si="244"/>
        <v>2.4300385410825208E-7</v>
      </c>
      <c r="BE1156" s="136">
        <f t="shared" si="240"/>
        <v>-9.9975699614589177E-4</v>
      </c>
      <c r="BF1156" s="136" t="e">
        <f t="shared" si="241"/>
        <v>#N/A</v>
      </c>
      <c r="BG1156" s="136" t="e">
        <f t="shared" si="242"/>
        <v>#N/A</v>
      </c>
    </row>
    <row r="1157" spans="47:59" ht="11.25" customHeight="1">
      <c r="AU1157" s="136">
        <f t="shared" si="232"/>
        <v>0.999999958389024</v>
      </c>
      <c r="AV1157" s="136">
        <f t="shared" si="243"/>
        <v>5.3599999999998467</v>
      </c>
      <c r="AW1157" s="136">
        <f t="shared" si="233"/>
        <v>2.3033328004411047E-7</v>
      </c>
      <c r="AX1157" s="136" t="e">
        <f t="shared" si="234"/>
        <v>#N/A</v>
      </c>
      <c r="AY1157" s="136">
        <f t="shared" si="235"/>
        <v>5.359989999999847</v>
      </c>
      <c r="AZ1157" s="136">
        <f t="shared" si="236"/>
        <v>5.3600099999998463</v>
      </c>
      <c r="BA1157" s="136">
        <f t="shared" si="237"/>
        <v>0.98345525775184428</v>
      </c>
      <c r="BB1157" s="136">
        <f t="shared" si="238"/>
        <v>0.98345537515901837</v>
      </c>
      <c r="BC1157" s="136" t="e">
        <f t="shared" si="239"/>
        <v>#N/A</v>
      </c>
      <c r="BD1157" s="136">
        <f t="shared" si="244"/>
        <v>2.3033328004411047E-7</v>
      </c>
      <c r="BE1157" s="136">
        <f t="shared" si="240"/>
        <v>-9.997696667199559E-4</v>
      </c>
      <c r="BF1157" s="136" t="e">
        <f t="shared" si="241"/>
        <v>#N/A</v>
      </c>
      <c r="BG1157" s="136" t="e">
        <f t="shared" si="242"/>
        <v>#N/A</v>
      </c>
    </row>
    <row r="1158" spans="47:59" ht="11.25" customHeight="1">
      <c r="AU1158" s="136">
        <f t="shared" si="232"/>
        <v>0.99999996063167895</v>
      </c>
      <c r="AV1158" s="136">
        <f t="shared" si="243"/>
        <v>5.3699999999998465</v>
      </c>
      <c r="AW1158" s="136">
        <f t="shared" si="233"/>
        <v>2.1830153687815879E-7</v>
      </c>
      <c r="AX1158" s="136" t="e">
        <f t="shared" si="234"/>
        <v>#N/A</v>
      </c>
      <c r="AY1158" s="136">
        <f t="shared" si="235"/>
        <v>5.3699899999998468</v>
      </c>
      <c r="AZ1158" s="136">
        <f t="shared" si="236"/>
        <v>5.3700099999998461</v>
      </c>
      <c r="BA1158" s="136">
        <f t="shared" si="237"/>
        <v>0.98351380840493885</v>
      </c>
      <c r="BB1158" s="136">
        <f t="shared" si="238"/>
        <v>0.9835139251998517</v>
      </c>
      <c r="BC1158" s="136" t="e">
        <f t="shared" si="239"/>
        <v>#N/A</v>
      </c>
      <c r="BD1158" s="136">
        <f t="shared" si="244"/>
        <v>2.1830153687815879E-7</v>
      </c>
      <c r="BE1158" s="136">
        <f t="shared" si="240"/>
        <v>-9.9978169846312191E-4</v>
      </c>
      <c r="BF1158" s="136" t="e">
        <f t="shared" si="241"/>
        <v>#N/A</v>
      </c>
      <c r="BG1158" s="136" t="e">
        <f t="shared" si="242"/>
        <v>#N/A</v>
      </c>
    </row>
    <row r="1159" spans="47:59" ht="11.25" customHeight="1">
      <c r="AU1159" s="136">
        <f t="shared" si="232"/>
        <v>0.9999999627570807</v>
      </c>
      <c r="AV1159" s="136">
        <f t="shared" si="243"/>
        <v>5.3799999999998462</v>
      </c>
      <c r="AW1159" s="136">
        <f t="shared" si="233"/>
        <v>2.0687759787213633E-7</v>
      </c>
      <c r="AX1159" s="136" t="e">
        <f t="shared" si="234"/>
        <v>#N/A</v>
      </c>
      <c r="AY1159" s="136">
        <f t="shared" si="235"/>
        <v>5.3799899999998466</v>
      </c>
      <c r="AZ1159" s="136">
        <f t="shared" si="236"/>
        <v>5.3800099999998459</v>
      </c>
      <c r="BA1159" s="136">
        <f t="shared" si="237"/>
        <v>0.98357205397095593</v>
      </c>
      <c r="BB1159" s="136">
        <f t="shared" si="238"/>
        <v>0.9835721701577842</v>
      </c>
      <c r="BC1159" s="136" t="e">
        <f t="shared" si="239"/>
        <v>#N/A</v>
      </c>
      <c r="BD1159" s="136">
        <f t="shared" si="244"/>
        <v>2.0687759787213633E-7</v>
      </c>
      <c r="BE1159" s="136">
        <f t="shared" si="240"/>
        <v>-9.9979312240212784E-4</v>
      </c>
      <c r="BF1159" s="136" t="e">
        <f t="shared" si="241"/>
        <v>#N/A</v>
      </c>
      <c r="BG1159" s="136" t="e">
        <f t="shared" si="242"/>
        <v>#N/A</v>
      </c>
    </row>
    <row r="1160" spans="47:59" ht="11.25" customHeight="1">
      <c r="AU1160" s="136">
        <f t="shared" si="232"/>
        <v>0.99999996477115816</v>
      </c>
      <c r="AV1160" s="136">
        <f t="shared" si="243"/>
        <v>5.389999999999846</v>
      </c>
      <c r="AW1160" s="136">
        <f t="shared" si="233"/>
        <v>1.9603188091691979E-7</v>
      </c>
      <c r="AX1160" s="136" t="e">
        <f t="shared" si="234"/>
        <v>#N/A</v>
      </c>
      <c r="AY1160" s="136">
        <f t="shared" si="235"/>
        <v>5.3899899999998464</v>
      </c>
      <c r="AZ1160" s="136">
        <f t="shared" si="236"/>
        <v>5.3900099999998456</v>
      </c>
      <c r="BA1160" s="136">
        <f t="shared" si="237"/>
        <v>0.98362999652945315</v>
      </c>
      <c r="BB1160" s="136">
        <f t="shared" si="238"/>
        <v>0.98363011211233842</v>
      </c>
      <c r="BC1160" s="136" t="e">
        <f t="shared" si="239"/>
        <v>#N/A</v>
      </c>
      <c r="BD1160" s="136">
        <f t="shared" si="244"/>
        <v>1.9603188091691979E-7</v>
      </c>
      <c r="BE1160" s="136">
        <f t="shared" si="240"/>
        <v>-9.9980396811908301E-4</v>
      </c>
      <c r="BF1160" s="136" t="e">
        <f t="shared" si="241"/>
        <v>#N/A</v>
      </c>
      <c r="BG1160" s="136" t="e">
        <f t="shared" si="242"/>
        <v>#N/A</v>
      </c>
    </row>
    <row r="1161" spans="47:59" ht="11.25" customHeight="1">
      <c r="AU1161" s="136">
        <f t="shared" si="232"/>
        <v>0.99999996667955149</v>
      </c>
      <c r="AV1161" s="136">
        <f t="shared" si="243"/>
        <v>5.3999999999998458</v>
      </c>
      <c r="AW1161" s="136">
        <f t="shared" si="233"/>
        <v>1.85736184455684E-7</v>
      </c>
      <c r="AX1161" s="136" t="e">
        <f t="shared" si="234"/>
        <v>#N/A</v>
      </c>
      <c r="AY1161" s="136">
        <f t="shared" si="235"/>
        <v>5.3999899999998462</v>
      </c>
      <c r="AZ1161" s="136">
        <f t="shared" si="236"/>
        <v>5.4000099999998454</v>
      </c>
      <c r="BA1161" s="136">
        <f t="shared" si="237"/>
        <v>0.9836876381426185</v>
      </c>
      <c r="BB1161" s="136">
        <f t="shared" si="238"/>
        <v>0.98368775312566781</v>
      </c>
      <c r="BC1161" s="136" t="e">
        <f t="shared" si="239"/>
        <v>#N/A</v>
      </c>
      <c r="BD1161" s="136">
        <f t="shared" si="244"/>
        <v>1.85736184455684E-7</v>
      </c>
      <c r="BE1161" s="136">
        <f t="shared" si="240"/>
        <v>-9.9981426381554441E-4</v>
      </c>
      <c r="BF1161" s="136" t="e">
        <f t="shared" si="241"/>
        <v>#N/A</v>
      </c>
      <c r="BG1161" s="136" t="e">
        <f t="shared" si="242"/>
        <v>#N/A</v>
      </c>
    </row>
    <row r="1162" spans="47:59" ht="11.25" customHeight="1">
      <c r="AU1162" s="136">
        <f t="shared" si="232"/>
        <v>0.99999996848762551</v>
      </c>
      <c r="AV1162" s="136">
        <f t="shared" si="243"/>
        <v>5.4099999999998456</v>
      </c>
      <c r="AW1162" s="136">
        <f t="shared" si="233"/>
        <v>1.759636260911928E-7</v>
      </c>
      <c r="AX1162" s="136" t="e">
        <f t="shared" si="234"/>
        <v>#N/A</v>
      </c>
      <c r="AY1162" s="136">
        <f t="shared" si="235"/>
        <v>5.409989999999846</v>
      </c>
      <c r="AZ1162" s="136">
        <f t="shared" si="236"/>
        <v>5.4100099999998452</v>
      </c>
      <c r="BA1162" s="136">
        <f t="shared" si="237"/>
        <v>0.98374498085544138</v>
      </c>
      <c r="BB1162" s="136">
        <f t="shared" si="238"/>
        <v>0.9837450952427278</v>
      </c>
      <c r="BC1162" s="136" t="e">
        <f t="shared" si="239"/>
        <v>#N/A</v>
      </c>
      <c r="BD1162" s="136">
        <f t="shared" si="244"/>
        <v>1.759636260911928E-7</v>
      </c>
      <c r="BE1162" s="136">
        <f t="shared" si="240"/>
        <v>-9.9982403637390873E-4</v>
      </c>
      <c r="BF1162" s="136" t="e">
        <f t="shared" si="241"/>
        <v>#N/A</v>
      </c>
      <c r="BG1162" s="136" t="e">
        <f t="shared" si="242"/>
        <v>#N/A</v>
      </c>
    </row>
    <row r="1163" spans="47:59" ht="11.25" customHeight="1">
      <c r="AU1163" s="136">
        <f t="shared" si="232"/>
        <v>0.99999997020048226</v>
      </c>
      <c r="AV1163" s="136">
        <f t="shared" si="243"/>
        <v>5.4199999999998454</v>
      </c>
      <c r="AW1163" s="136">
        <f t="shared" si="233"/>
        <v>1.6668858377236801E-7</v>
      </c>
      <c r="AX1163" s="136" t="e">
        <f t="shared" si="234"/>
        <v>#N/A</v>
      </c>
      <c r="AY1163" s="136">
        <f t="shared" si="235"/>
        <v>5.4199899999998458</v>
      </c>
      <c r="AZ1163" s="136">
        <f t="shared" si="236"/>
        <v>5.420009999999845</v>
      </c>
      <c r="BA1163" s="136">
        <f t="shared" si="237"/>
        <v>0.98380202669588102</v>
      </c>
      <c r="BB1163" s="136">
        <f t="shared" si="238"/>
        <v>0.98380214049144332</v>
      </c>
      <c r="BC1163" s="136" t="e">
        <f t="shared" si="239"/>
        <v>#N/A</v>
      </c>
      <c r="BD1163" s="136">
        <f t="shared" si="244"/>
        <v>1.6668858377236801E-7</v>
      </c>
      <c r="BE1163" s="136">
        <f t="shared" si="240"/>
        <v>-9.9983331141622776E-4</v>
      </c>
      <c r="BF1163" s="136" t="e">
        <f t="shared" si="241"/>
        <v>#N/A</v>
      </c>
      <c r="BG1163" s="136" t="e">
        <f t="shared" si="242"/>
        <v>#N/A</v>
      </c>
    </row>
    <row r="1164" spans="47:59" ht="11.25" customHeight="1">
      <c r="AU1164" s="136">
        <f t="shared" si="232"/>
        <v>0.99999997182297407</v>
      </c>
      <c r="AV1164" s="136">
        <f t="shared" si="243"/>
        <v>5.4299999999998452</v>
      </c>
      <c r="AW1164" s="136">
        <f t="shared" si="233"/>
        <v>1.5788663945902299E-7</v>
      </c>
      <c r="AX1164" s="136" t="e">
        <f t="shared" si="234"/>
        <v>#N/A</v>
      </c>
      <c r="AY1164" s="136">
        <f t="shared" si="235"/>
        <v>5.4299899999998456</v>
      </c>
      <c r="AZ1164" s="136">
        <f t="shared" si="236"/>
        <v>5.4300099999998448</v>
      </c>
      <c r="BA1164" s="136">
        <f t="shared" si="237"/>
        <v>0.98385877767503294</v>
      </c>
      <c r="BB1164" s="136">
        <f t="shared" si="238"/>
        <v>0.98385889088287659</v>
      </c>
      <c r="BC1164" s="136" t="e">
        <f t="shared" si="239"/>
        <v>#N/A</v>
      </c>
      <c r="BD1164" s="136">
        <f t="shared" si="244"/>
        <v>1.5788663945902299E-7</v>
      </c>
      <c r="BE1164" s="136">
        <f t="shared" si="240"/>
        <v>-9.9984211336054092E-4</v>
      </c>
      <c r="BF1164" s="136" t="e">
        <f t="shared" si="241"/>
        <v>#N/A</v>
      </c>
      <c r="BG1164" s="136" t="e">
        <f t="shared" si="242"/>
        <v>#N/A</v>
      </c>
    </row>
    <row r="1165" spans="47:59" ht="11.25" customHeight="1">
      <c r="AU1165" s="136">
        <f t="shared" si="232"/>
        <v>0.99999997335971436</v>
      </c>
      <c r="AV1165" s="136">
        <f t="shared" si="243"/>
        <v>5.439999999999845</v>
      </c>
      <c r="AW1165" s="136">
        <f t="shared" si="233"/>
        <v>1.4953452516728561E-7</v>
      </c>
      <c r="AX1165" s="136" t="e">
        <f t="shared" si="234"/>
        <v>#N/A</v>
      </c>
      <c r="AY1165" s="136">
        <f t="shared" si="235"/>
        <v>5.4399899999998453</v>
      </c>
      <c r="AZ1165" s="136">
        <f t="shared" si="236"/>
        <v>5.4400099999998446</v>
      </c>
      <c r="BA1165" s="136">
        <f t="shared" si="237"/>
        <v>0.98391523578729378</v>
      </c>
      <c r="BB1165" s="136">
        <f t="shared" si="238"/>
        <v>0.98391534841139094</v>
      </c>
      <c r="BC1165" s="136" t="e">
        <f t="shared" si="239"/>
        <v>#N/A</v>
      </c>
      <c r="BD1165" s="136">
        <f t="shared" si="244"/>
        <v>1.4953452516728561E-7</v>
      </c>
      <c r="BE1165" s="136">
        <f t="shared" si="240"/>
        <v>-9.9985046547483277E-4</v>
      </c>
      <c r="BF1165" s="136" t="e">
        <f t="shared" si="241"/>
        <v>#N/A</v>
      </c>
      <c r="BG1165" s="136" t="e">
        <f t="shared" si="242"/>
        <v>#N/A</v>
      </c>
    </row>
    <row r="1166" spans="47:59" ht="11.25" customHeight="1">
      <c r="AU1166" s="136">
        <f t="shared" si="232"/>
        <v>0.99999997481508995</v>
      </c>
      <c r="AV1166" s="136">
        <f t="shared" si="243"/>
        <v>5.4499999999998447</v>
      </c>
      <c r="AW1166" s="136">
        <f t="shared" si="233"/>
        <v>1.4161007130173148E-7</v>
      </c>
      <c r="AX1166" s="136" t="e">
        <f t="shared" si="234"/>
        <v>#N/A</v>
      </c>
      <c r="AY1166" s="136">
        <f t="shared" si="235"/>
        <v>5.4499899999998451</v>
      </c>
      <c r="AZ1166" s="136">
        <f t="shared" si="236"/>
        <v>5.4500099999998444</v>
      </c>
      <c r="BA1166" s="136">
        <f t="shared" si="237"/>
        <v>0.98397140301052455</v>
      </c>
      <c r="BB1166" s="136">
        <f t="shared" si="238"/>
        <v>0.98397151505481451</v>
      </c>
      <c r="BC1166" s="136" t="e">
        <f t="shared" si="239"/>
        <v>#N/A</v>
      </c>
      <c r="BD1166" s="136">
        <f t="shared" si="244"/>
        <v>1.4161007130173148E-7</v>
      </c>
      <c r="BE1166" s="136">
        <f t="shared" si="240"/>
        <v>-9.9985838992869822E-4</v>
      </c>
      <c r="BF1166" s="136" t="e">
        <f t="shared" si="241"/>
        <v>#N/A</v>
      </c>
      <c r="BG1166" s="136" t="e">
        <f t="shared" si="242"/>
        <v>#N/A</v>
      </c>
    </row>
    <row r="1167" spans="47:59" ht="11.25" customHeight="1">
      <c r="AU1167" s="136">
        <f t="shared" si="232"/>
        <v>0.99999997619327086</v>
      </c>
      <c r="AV1167" s="136">
        <f t="shared" si="243"/>
        <v>5.4599999999998445</v>
      </c>
      <c r="AW1167" s="136">
        <f t="shared" si="233"/>
        <v>1.3409215718366112E-7</v>
      </c>
      <c r="AX1167" s="136" t="e">
        <f t="shared" si="234"/>
        <v>#N/A</v>
      </c>
      <c r="AY1167" s="136">
        <f t="shared" si="235"/>
        <v>5.4599899999998449</v>
      </c>
      <c r="AZ1167" s="136">
        <f t="shared" si="236"/>
        <v>5.4600099999998442</v>
      </c>
      <c r="BA1167" s="136">
        <f t="shared" si="237"/>
        <v>0.98402728130621131</v>
      </c>
      <c r="BB1167" s="136">
        <f t="shared" si="238"/>
        <v>0.98402739277460072</v>
      </c>
      <c r="BC1167" s="136" t="e">
        <f t="shared" si="239"/>
        <v>#N/A</v>
      </c>
      <c r="BD1167" s="136">
        <f t="shared" si="244"/>
        <v>1.3409215718366112E-7</v>
      </c>
      <c r="BE1167" s="136">
        <f t="shared" si="240"/>
        <v>-9.9986590784281629E-4</v>
      </c>
      <c r="BF1167" s="136" t="e">
        <f t="shared" si="241"/>
        <v>#N/A</v>
      </c>
      <c r="BG1167" s="136" t="e">
        <f t="shared" si="242"/>
        <v>#N/A</v>
      </c>
    </row>
    <row r="1168" spans="47:59" ht="11.25" customHeight="1">
      <c r="AU1168" s="136">
        <f t="shared" si="232"/>
        <v>0.999999977498221</v>
      </c>
      <c r="AV1168" s="136">
        <f t="shared" si="243"/>
        <v>5.4699999999998443</v>
      </c>
      <c r="AW1168" s="136">
        <f t="shared" si="233"/>
        <v>1.2696066368823708E-7</v>
      </c>
      <c r="AX1168" s="136" t="e">
        <f t="shared" si="234"/>
        <v>#N/A</v>
      </c>
      <c r="AY1168" s="136">
        <f t="shared" si="235"/>
        <v>5.4699899999998447</v>
      </c>
      <c r="AZ1168" s="136">
        <f t="shared" si="236"/>
        <v>5.4700099999998439</v>
      </c>
      <c r="BA1168" s="136">
        <f t="shared" si="237"/>
        <v>0.98408287261962502</v>
      </c>
      <c r="BB1168" s="136">
        <f t="shared" si="238"/>
        <v>0.98408298351598822</v>
      </c>
      <c r="BC1168" s="136" t="e">
        <f t="shared" si="239"/>
        <v>#N/A</v>
      </c>
      <c r="BD1168" s="136">
        <f t="shared" si="244"/>
        <v>1.2696066368823708E-7</v>
      </c>
      <c r="BE1168" s="136">
        <f t="shared" si="240"/>
        <v>-9.9987303933631185E-4</v>
      </c>
      <c r="BF1168" s="136" t="e">
        <f t="shared" si="241"/>
        <v>#N/A</v>
      </c>
      <c r="BG1168" s="136" t="e">
        <f t="shared" si="242"/>
        <v>#N/A</v>
      </c>
    </row>
    <row r="1169" spans="47:59" ht="11.25" customHeight="1">
      <c r="AU1169" s="136">
        <f t="shared" si="232"/>
        <v>0.99999997873370816</v>
      </c>
      <c r="AV1169" s="136">
        <f t="shared" si="243"/>
        <v>5.4799999999998441</v>
      </c>
      <c r="AW1169" s="136">
        <f t="shared" si="233"/>
        <v>1.2019642790638519E-7</v>
      </c>
      <c r="AX1169" s="136" t="e">
        <f t="shared" si="234"/>
        <v>#N/A</v>
      </c>
      <c r="AY1169" s="136">
        <f t="shared" si="235"/>
        <v>5.4799899999998445</v>
      </c>
      <c r="AZ1169" s="136">
        <f t="shared" si="236"/>
        <v>5.4800099999998437</v>
      </c>
      <c r="BA1169" s="136">
        <f t="shared" si="237"/>
        <v>0.98413817887997856</v>
      </c>
      <c r="BB1169" s="136">
        <f t="shared" si="238"/>
        <v>0.98413828920815805</v>
      </c>
      <c r="BC1169" s="136" t="e">
        <f t="shared" si="239"/>
        <v>#N/A</v>
      </c>
      <c r="BD1169" s="136">
        <f t="shared" si="244"/>
        <v>1.2019642790638519E-7</v>
      </c>
      <c r="BE1169" s="136">
        <f t="shared" si="240"/>
        <v>-9.9987980357209359E-4</v>
      </c>
      <c r="BF1169" s="136" t="e">
        <f t="shared" si="241"/>
        <v>#N/A</v>
      </c>
      <c r="BG1169" s="136" t="e">
        <f t="shared" si="242"/>
        <v>#N/A</v>
      </c>
    </row>
    <row r="1170" spans="47:59" ht="11.25" customHeight="1">
      <c r="AU1170" s="136">
        <f t="shared" si="232"/>
        <v>0.99999997990331291</v>
      </c>
      <c r="AV1170" s="136">
        <f t="shared" si="243"/>
        <v>5.4899999999998439</v>
      </c>
      <c r="AW1170" s="136">
        <f t="shared" si="233"/>
        <v>1.1378119975044371E-7</v>
      </c>
      <c r="AX1170" s="136" t="e">
        <f t="shared" si="234"/>
        <v>#N/A</v>
      </c>
      <c r="AY1170" s="136">
        <f t="shared" si="235"/>
        <v>5.4899899999998443</v>
      </c>
      <c r="AZ1170" s="136">
        <f t="shared" si="236"/>
        <v>5.4900099999998435</v>
      </c>
      <c r="BA1170" s="136">
        <f t="shared" si="237"/>
        <v>0.98419320200058302</v>
      </c>
      <c r="BB1170" s="136">
        <f t="shared" si="238"/>
        <v>0.98419331176438962</v>
      </c>
      <c r="BC1170" s="136" t="e">
        <f t="shared" si="239"/>
        <v>#N/A</v>
      </c>
      <c r="BD1170" s="136">
        <f t="shared" si="244"/>
        <v>1.1378119975044371E-7</v>
      </c>
      <c r="BE1170" s="136">
        <f t="shared" si="240"/>
        <v>-9.9988621880024958E-4</v>
      </c>
      <c r="BF1170" s="136" t="e">
        <f t="shared" si="241"/>
        <v>#N/A</v>
      </c>
      <c r="BG1170" s="136" t="e">
        <f t="shared" si="242"/>
        <v>#N/A</v>
      </c>
    </row>
    <row r="1171" spans="47:59" ht="11.25" customHeight="1">
      <c r="AU1171" s="136">
        <f t="shared" si="232"/>
        <v>0.99999998101043752</v>
      </c>
      <c r="AV1171" s="136">
        <f t="shared" si="243"/>
        <v>5.4999999999998437</v>
      </c>
      <c r="AW1171" s="136">
        <f t="shared" si="233"/>
        <v>1.0769760042552535E-7</v>
      </c>
      <c r="AX1171" s="136" t="e">
        <f t="shared" si="234"/>
        <v>#N/A</v>
      </c>
      <c r="AY1171" s="136">
        <f t="shared" si="235"/>
        <v>5.4999899999998441</v>
      </c>
      <c r="AZ1171" s="136">
        <f t="shared" si="236"/>
        <v>5.5000099999998433</v>
      </c>
      <c r="BA1171" s="136">
        <f t="shared" si="237"/>
        <v>0.98424794387900172</v>
      </c>
      <c r="BB1171" s="136">
        <f t="shared" si="238"/>
        <v>0.98424805308221486</v>
      </c>
      <c r="BC1171" s="136" t="e">
        <f t="shared" si="239"/>
        <v>#N/A</v>
      </c>
      <c r="BD1171" s="136">
        <f t="shared" si="244"/>
        <v>1.0769760042552535E-7</v>
      </c>
      <c r="BE1171" s="136">
        <f t="shared" si="240"/>
        <v>-9.998923023995744E-4</v>
      </c>
      <c r="BF1171" s="136" t="e">
        <f t="shared" si="241"/>
        <v>#N/A</v>
      </c>
      <c r="BG1171" s="136" t="e">
        <f t="shared" si="242"/>
        <v>#N/A</v>
      </c>
    </row>
    <row r="1172" spans="47:59" ht="11.25" customHeight="1">
      <c r="AU1172" s="136">
        <f t="shared" si="232"/>
        <v>0.99999998205831508</v>
      </c>
      <c r="AV1172" s="136">
        <f t="shared" si="243"/>
        <v>5.5099999999998435</v>
      </c>
      <c r="AW1172" s="136">
        <f t="shared" si="233"/>
        <v>1.0192908269144073E-7</v>
      </c>
      <c r="AX1172" s="136" t="e">
        <f t="shared" si="234"/>
        <v>#N/A</v>
      </c>
      <c r="AY1172" s="136">
        <f t="shared" si="235"/>
        <v>5.5099899999998438</v>
      </c>
      <c r="AZ1172" s="136">
        <f t="shared" si="236"/>
        <v>5.5100099999998431</v>
      </c>
      <c r="BA1172" s="136">
        <f t="shared" si="237"/>
        <v>0.98430240639720235</v>
      </c>
      <c r="BB1172" s="136">
        <f t="shared" si="238"/>
        <v>0.98430251504357036</v>
      </c>
      <c r="BC1172" s="136" t="e">
        <f t="shared" si="239"/>
        <v>#N/A</v>
      </c>
      <c r="BD1172" s="136">
        <f t="shared" si="244"/>
        <v>1.0192908269144073E-7</v>
      </c>
      <c r="BE1172" s="136">
        <f t="shared" si="240"/>
        <v>-9.9989807091730863E-4</v>
      </c>
      <c r="BF1172" s="136" t="e">
        <f t="shared" si="241"/>
        <v>#N/A</v>
      </c>
      <c r="BG1172" s="136" t="e">
        <f t="shared" si="242"/>
        <v>#N/A</v>
      </c>
    </row>
    <row r="1173" spans="47:59" ht="11.25" customHeight="1">
      <c r="AU1173" s="136">
        <f t="shared" ref="AU1173:AU1221" si="245">NORMDIST(AV1173,$AV$17,$AV$18,TRUE)</f>
        <v>0.99999998305001692</v>
      </c>
      <c r="AV1173" s="136">
        <f t="shared" si="243"/>
        <v>5.5199999999998433</v>
      </c>
      <c r="AW1173" s="136">
        <f t="shared" ref="AW1173:AW1221" si="246">IF($AV$13=1,NORMDIST(AV1173,$AV$17,$AV$18,FALSE),NA())</f>
        <v>9.6459892842817102E-8</v>
      </c>
      <c r="AX1173" s="136" t="e">
        <f t="shared" ref="AX1173:AX1221" si="247">IF($AV$13=3,NORMDIST(AV1173,$AV$17,$AV$18,FALSE),NA())</f>
        <v>#N/A</v>
      </c>
      <c r="AY1173" s="136">
        <f t="shared" ref="AY1173:AY1221" si="248">AV1173-$AY$19</f>
        <v>5.5199899999998436</v>
      </c>
      <c r="AZ1173" s="136">
        <f t="shared" ref="AZ1173:AZ1221" si="249">AV1173+$AY$19</f>
        <v>5.5200099999998429</v>
      </c>
      <c r="BA1173" s="136">
        <f t="shared" ref="BA1173:BA1221" si="250">IF(AY1173&lt;0,TDIST(-AY1173,$AV$14,1),1-TDIST(AY1173,$AV$14,1))</f>
        <v>0.98435659142170795</v>
      </c>
      <c r="BB1173" s="136">
        <f t="shared" ref="BB1173:BB1221" si="251">IF(AZ1173&lt;0,TDIST(-AZ1173,$AV$14,1),1-TDIST(AZ1173,$AV$14,1))</f>
        <v>0.98435669951494864</v>
      </c>
      <c r="BC1173" s="136" t="e">
        <f t="shared" ref="BC1173:BC1221" si="252">IF($AV$13&gt;1,(BB1173-BA1173)/(2*$AY$19),NA())</f>
        <v>#N/A</v>
      </c>
      <c r="BD1173" s="136">
        <f t="shared" si="244"/>
        <v>9.6459892842817102E-8</v>
      </c>
      <c r="BE1173" s="136">
        <f t="shared" ref="BE1173:BE1221" si="253">IF(ISNUMBER(BD1173),BD1173-$BE$19,NA())</f>
        <v>-9.9990354010715725E-4</v>
      </c>
      <c r="BF1173" s="136" t="e">
        <f t="shared" ref="BF1173:BF1221" si="254">IF($AV$15=1,IF(AV1173&gt;=$BF$19,BC1173,NA()),IF($AV$15=2,IF(ABS(AV1173)&gt;=$BF$19,BC1173,NA()),NA()))</f>
        <v>#N/A</v>
      </c>
      <c r="BG1173" s="136" t="e">
        <f t="shared" ref="BG1173:BG1221" si="255">IF(ISNUMBER(BF1173),BF1173-$BG$19,NA())</f>
        <v>#N/A</v>
      </c>
    </row>
    <row r="1174" spans="47:59" ht="11.25" customHeight="1">
      <c r="AU1174" s="136">
        <f t="shared" si="245"/>
        <v>0.99999998398846057</v>
      </c>
      <c r="AV1174" s="136">
        <f t="shared" ref="AV1174:AV1221" si="256">AV1173+$AY$10</f>
        <v>5.529999999999843</v>
      </c>
      <c r="AW1174" s="136">
        <f t="shared" si="246"/>
        <v>9.1275034337744203E-8</v>
      </c>
      <c r="AX1174" s="136" t="e">
        <f t="shared" si="247"/>
        <v>#N/A</v>
      </c>
      <c r="AY1174" s="136">
        <f t="shared" si="248"/>
        <v>5.5299899999998434</v>
      </c>
      <c r="AZ1174" s="136">
        <f t="shared" si="249"/>
        <v>5.5300099999998427</v>
      </c>
      <c r="BA1174" s="136">
        <f t="shared" si="250"/>
        <v>0.98441050080374604</v>
      </c>
      <c r="BB1174" s="136">
        <f t="shared" si="251"/>
        <v>0.98441060834754657</v>
      </c>
      <c r="BC1174" s="136" t="e">
        <f t="shared" si="252"/>
        <v>#N/A</v>
      </c>
      <c r="BD1174" s="136">
        <f t="shared" ref="BD1174:BD1221" si="257">IF($AV$15=1,IF(OR(AND(AV1174&gt;=$BD$19,$AS$5&gt;=0),AND(AV1174&lt;=$BD$19,$AS$5&lt;0)),AW1174,NA()),IF($AV$15=2,IF(ABS(AV1174)&gt;=$BD$18,AW1174,NA()),NA()))</f>
        <v>9.1275034337744203E-8</v>
      </c>
      <c r="BE1174" s="136">
        <f t="shared" si="253"/>
        <v>-9.9990872496566225E-4</v>
      </c>
      <c r="BF1174" s="136" t="e">
        <f t="shared" si="254"/>
        <v>#N/A</v>
      </c>
      <c r="BG1174" s="136" t="e">
        <f t="shared" si="255"/>
        <v>#N/A</v>
      </c>
    </row>
    <row r="1175" spans="47:59" ht="11.25" customHeight="1">
      <c r="AU1175" s="136">
        <f t="shared" si="245"/>
        <v>0.99999998487641761</v>
      </c>
      <c r="AV1175" s="136">
        <f t="shared" si="256"/>
        <v>5.5399999999998428</v>
      </c>
      <c r="AW1175" s="136">
        <f t="shared" si="246"/>
        <v>8.6360233007885042E-8</v>
      </c>
      <c r="AX1175" s="136" t="e">
        <f t="shared" si="247"/>
        <v>#N/A</v>
      </c>
      <c r="AY1175" s="136">
        <f t="shared" si="248"/>
        <v>5.5399899999998432</v>
      </c>
      <c r="AZ1175" s="136">
        <f t="shared" si="249"/>
        <v>5.5400099999998424</v>
      </c>
      <c r="BA1175" s="136">
        <f t="shared" si="250"/>
        <v>0.98446413637939578</v>
      </c>
      <c r="BB1175" s="136">
        <f t="shared" si="251"/>
        <v>0.98446424337741323</v>
      </c>
      <c r="BC1175" s="136" t="e">
        <f t="shared" si="252"/>
        <v>#N/A</v>
      </c>
      <c r="BD1175" s="136">
        <f t="shared" si="257"/>
        <v>8.6360233007885042E-8</v>
      </c>
      <c r="BE1175" s="136">
        <f t="shared" si="253"/>
        <v>-9.9991363976699205E-4</v>
      </c>
      <c r="BF1175" s="136" t="e">
        <f t="shared" si="254"/>
        <v>#N/A</v>
      </c>
      <c r="BG1175" s="136" t="e">
        <f t="shared" si="255"/>
        <v>#N/A</v>
      </c>
    </row>
    <row r="1176" spans="47:59" ht="11.25" customHeight="1">
      <c r="AU1176" s="136">
        <f t="shared" si="245"/>
        <v>0.99999998571652016</v>
      </c>
      <c r="AV1176" s="136">
        <f t="shared" si="256"/>
        <v>5.5499999999998426</v>
      </c>
      <c r="AW1176" s="136">
        <f t="shared" si="246"/>
        <v>8.1701903785503446E-8</v>
      </c>
      <c r="AX1176" s="136" t="e">
        <f t="shared" si="247"/>
        <v>#N/A</v>
      </c>
      <c r="AY1176" s="136">
        <f t="shared" si="248"/>
        <v>5.549989999999843</v>
      </c>
      <c r="AZ1176" s="136">
        <f t="shared" si="249"/>
        <v>5.5500099999998422</v>
      </c>
      <c r="BA1176" s="136">
        <f t="shared" si="250"/>
        <v>0.9845174999697337</v>
      </c>
      <c r="BB1176" s="136">
        <f t="shared" si="251"/>
        <v>0.98451760642559538</v>
      </c>
      <c r="BC1176" s="136" t="e">
        <f t="shared" si="252"/>
        <v>#N/A</v>
      </c>
      <c r="BD1176" s="136">
        <f t="shared" si="257"/>
        <v>8.1701903785503446E-8</v>
      </c>
      <c r="BE1176" s="136">
        <f t="shared" si="253"/>
        <v>-9.9991829809621441E-4</v>
      </c>
      <c r="BF1176" s="136" t="e">
        <f t="shared" si="254"/>
        <v>#N/A</v>
      </c>
      <c r="BG1176" s="136" t="e">
        <f t="shared" si="255"/>
        <v>#N/A</v>
      </c>
    </row>
    <row r="1177" spans="47:59" ht="11.25" customHeight="1">
      <c r="AU1177" s="136">
        <f t="shared" si="245"/>
        <v>0.99999998651126754</v>
      </c>
      <c r="AV1177" s="136">
        <f t="shared" si="256"/>
        <v>5.5599999999998424</v>
      </c>
      <c r="AW1177" s="136">
        <f t="shared" si="246"/>
        <v>7.7287118885296748E-8</v>
      </c>
      <c r="AX1177" s="136" t="e">
        <f t="shared" si="247"/>
        <v>#N/A</v>
      </c>
      <c r="AY1177" s="136">
        <f t="shared" si="248"/>
        <v>5.5599899999998428</v>
      </c>
      <c r="AZ1177" s="136">
        <f t="shared" si="249"/>
        <v>5.560009999999842</v>
      </c>
      <c r="BA1177" s="136">
        <f t="shared" si="250"/>
        <v>0.98457059338097841</v>
      </c>
      <c r="BB1177" s="136">
        <f t="shared" si="251"/>
        <v>0.98457069929828189</v>
      </c>
      <c r="BC1177" s="136" t="e">
        <f t="shared" si="252"/>
        <v>#N/A</v>
      </c>
      <c r="BD1177" s="136">
        <f t="shared" si="257"/>
        <v>7.7287118885296748E-8</v>
      </c>
      <c r="BE1177" s="136">
        <f t="shared" si="253"/>
        <v>-9.9992271288111469E-4</v>
      </c>
      <c r="BF1177" s="136" t="e">
        <f t="shared" si="254"/>
        <v>#N/A</v>
      </c>
      <c r="BG1177" s="136" t="e">
        <f t="shared" si="255"/>
        <v>#N/A</v>
      </c>
    </row>
    <row r="1178" spans="47:59" ht="11.25" customHeight="1">
      <c r="AU1178" s="136">
        <f t="shared" si="245"/>
        <v>0.99999998726303319</v>
      </c>
      <c r="AV1178" s="136">
        <f t="shared" si="256"/>
        <v>5.5699999999998422</v>
      </c>
      <c r="AW1178" s="136">
        <f t="shared" si="246"/>
        <v>7.3103577381273741E-8</v>
      </c>
      <c r="AX1178" s="136" t="e">
        <f t="shared" si="247"/>
        <v>#N/A</v>
      </c>
      <c r="AY1178" s="136">
        <f t="shared" si="248"/>
        <v>5.5699899999998426</v>
      </c>
      <c r="AZ1178" s="136">
        <f t="shared" si="249"/>
        <v>5.5700099999998418</v>
      </c>
      <c r="BA1178" s="136">
        <f t="shared" si="250"/>
        <v>0.98462341840463274</v>
      </c>
      <c r="BB1178" s="136">
        <f t="shared" si="251"/>
        <v>0.98462352378694618</v>
      </c>
      <c r="BC1178" s="136" t="e">
        <f t="shared" si="252"/>
        <v>#N/A</v>
      </c>
      <c r="BD1178" s="136">
        <f t="shared" si="257"/>
        <v>7.3103577381273741E-8</v>
      </c>
      <c r="BE1178" s="136">
        <f t="shared" si="253"/>
        <v>-9.999268964226188E-4</v>
      </c>
      <c r="BF1178" s="136" t="e">
        <f t="shared" si="254"/>
        <v>#N/A</v>
      </c>
      <c r="BG1178" s="136" t="e">
        <f t="shared" si="255"/>
        <v>#N/A</v>
      </c>
    </row>
    <row r="1179" spans="47:59" ht="11.25" customHeight="1">
      <c r="AU1179" s="136">
        <f t="shared" si="245"/>
        <v>0.99999998797407075</v>
      </c>
      <c r="AV1179" s="136">
        <f t="shared" si="256"/>
        <v>5.579999999999842</v>
      </c>
      <c r="AW1179" s="136">
        <f t="shared" si="246"/>
        <v>6.913957612118501E-8</v>
      </c>
      <c r="AX1179" s="136" t="e">
        <f t="shared" si="247"/>
        <v>#N/A</v>
      </c>
      <c r="AY1179" s="136">
        <f t="shared" si="248"/>
        <v>5.5799899999998424</v>
      </c>
      <c r="AZ1179" s="136">
        <f t="shared" si="249"/>
        <v>5.5800099999998416</v>
      </c>
      <c r="BA1179" s="136">
        <f t="shared" si="250"/>
        <v>0.98467597681762464</v>
      </c>
      <c r="BB1179" s="136">
        <f t="shared" si="251"/>
        <v>0.98467608166848763</v>
      </c>
      <c r="BC1179" s="136" t="e">
        <f t="shared" si="252"/>
        <v>#N/A</v>
      </c>
      <c r="BD1179" s="136">
        <f t="shared" si="257"/>
        <v>6.913957612118501E-8</v>
      </c>
      <c r="BE1179" s="136">
        <f t="shared" si="253"/>
        <v>-9.9993086042387885E-4</v>
      </c>
      <c r="BF1179" s="136" t="e">
        <f t="shared" si="254"/>
        <v>#N/A</v>
      </c>
      <c r="BG1179" s="136" t="e">
        <f t="shared" si="255"/>
        <v>#N/A</v>
      </c>
    </row>
    <row r="1180" spans="47:59" ht="11.25" customHeight="1">
      <c r="AU1180" s="136">
        <f t="shared" si="245"/>
        <v>0.9999999886465194</v>
      </c>
      <c r="AV1180" s="136">
        <f t="shared" si="256"/>
        <v>5.5899999999998418</v>
      </c>
      <c r="AW1180" s="136">
        <f t="shared" si="246"/>
        <v>6.5383981923209157E-8</v>
      </c>
      <c r="AX1180" s="136" t="e">
        <f t="shared" si="247"/>
        <v>#N/A</v>
      </c>
      <c r="AY1180" s="136">
        <f t="shared" si="248"/>
        <v>5.5899899999998421</v>
      </c>
      <c r="AZ1180" s="136">
        <f t="shared" si="249"/>
        <v>5.5900099999998414</v>
      </c>
      <c r="BA1180" s="136">
        <f t="shared" si="250"/>
        <v>0.98472827038244737</v>
      </c>
      <c r="BB1180" s="136">
        <f t="shared" si="251"/>
        <v>0.98472837470537056</v>
      </c>
      <c r="BC1180" s="136" t="e">
        <f t="shared" si="252"/>
        <v>#N/A</v>
      </c>
      <c r="BD1180" s="136">
        <f t="shared" si="257"/>
        <v>6.5383981923209157E-8</v>
      </c>
      <c r="BE1180" s="136">
        <f t="shared" si="253"/>
        <v>-9.9993461601807689E-4</v>
      </c>
      <c r="BF1180" s="136" t="e">
        <f t="shared" si="254"/>
        <v>#N/A</v>
      </c>
      <c r="BG1180" s="136" t="e">
        <f t="shared" si="255"/>
        <v>#N/A</v>
      </c>
    </row>
    <row r="1181" spans="47:59" ht="11.25" customHeight="1">
      <c r="AU1181" s="136">
        <f t="shared" si="245"/>
        <v>0.99999998928240974</v>
      </c>
      <c r="AV1181" s="136">
        <f t="shared" si="256"/>
        <v>5.5999999999998415</v>
      </c>
      <c r="AW1181" s="136">
        <f t="shared" si="246"/>
        <v>6.1826205001713246E-8</v>
      </c>
      <c r="AX1181" s="136" t="e">
        <f t="shared" si="247"/>
        <v>#N/A</v>
      </c>
      <c r="AY1181" s="136">
        <f t="shared" si="248"/>
        <v>5.5999899999998419</v>
      </c>
      <c r="AZ1181" s="136">
        <f t="shared" si="249"/>
        <v>5.6000099999998412</v>
      </c>
      <c r="BA1181" s="136">
        <f t="shared" si="250"/>
        <v>0.98478030084729695</v>
      </c>
      <c r="BB1181" s="136">
        <f t="shared" si="251"/>
        <v>0.98478040464576233</v>
      </c>
      <c r="BC1181" s="136" t="e">
        <f t="shared" si="252"/>
        <v>#N/A</v>
      </c>
      <c r="BD1181" s="136">
        <f t="shared" si="257"/>
        <v>6.1826205001713246E-8</v>
      </c>
      <c r="BE1181" s="136">
        <f t="shared" si="253"/>
        <v>-9.9993817379499827E-4</v>
      </c>
      <c r="BF1181" s="136" t="e">
        <f t="shared" si="254"/>
        <v>#N/A</v>
      </c>
      <c r="BG1181" s="136" t="e">
        <f t="shared" si="255"/>
        <v>#N/A</v>
      </c>
    </row>
    <row r="1182" spans="47:59" ht="11.25" customHeight="1">
      <c r="AU1182" s="136">
        <f t="shared" si="245"/>
        <v>0.99999998988366923</v>
      </c>
      <c r="AV1182" s="136">
        <f t="shared" si="256"/>
        <v>5.6099999999998413</v>
      </c>
      <c r="AW1182" s="136">
        <f t="shared" si="246"/>
        <v>5.8456173570952626E-8</v>
      </c>
      <c r="AX1182" s="136" t="e">
        <f t="shared" si="247"/>
        <v>#N/A</v>
      </c>
      <c r="AY1182" s="136">
        <f t="shared" si="248"/>
        <v>5.6099899999998417</v>
      </c>
      <c r="AZ1182" s="136">
        <f t="shared" si="249"/>
        <v>5.610009999999841</v>
      </c>
      <c r="BA1182" s="136">
        <f t="shared" si="250"/>
        <v>0.98483206994620842</v>
      </c>
      <c r="BB1182" s="136">
        <f t="shared" si="251"/>
        <v>0.98483217322367</v>
      </c>
      <c r="BC1182" s="136" t="e">
        <f t="shared" si="252"/>
        <v>#N/A</v>
      </c>
      <c r="BD1182" s="136">
        <f t="shared" si="257"/>
        <v>5.8456173570952626E-8</v>
      </c>
      <c r="BE1182" s="136">
        <f t="shared" si="253"/>
        <v>-9.9994154382642905E-4</v>
      </c>
      <c r="BF1182" s="136" t="e">
        <f t="shared" si="254"/>
        <v>#N/A</v>
      </c>
      <c r="BG1182" s="136" t="e">
        <f t="shared" si="255"/>
        <v>#N/A</v>
      </c>
    </row>
    <row r="1183" spans="47:59" ht="11.25" customHeight="1">
      <c r="AU1183" s="136">
        <f t="shared" si="245"/>
        <v>0.99999999045212706</v>
      </c>
      <c r="AV1183" s="136">
        <f t="shared" si="256"/>
        <v>5.6199999999998411</v>
      </c>
      <c r="AW1183" s="136">
        <f t="shared" si="246"/>
        <v>5.5264309577546524E-8</v>
      </c>
      <c r="AX1183" s="136" t="e">
        <f t="shared" si="247"/>
        <v>#N/A</v>
      </c>
      <c r="AY1183" s="136">
        <f t="shared" si="248"/>
        <v>5.6199899999998415</v>
      </c>
      <c r="AZ1183" s="136">
        <f t="shared" si="249"/>
        <v>5.6200099999998407</v>
      </c>
      <c r="BA1183" s="136">
        <f t="shared" si="250"/>
        <v>0.98488357939919169</v>
      </c>
      <c r="BB1183" s="136">
        <f t="shared" si="251"/>
        <v>0.98488368215907551</v>
      </c>
      <c r="BC1183" s="136" t="e">
        <f t="shared" si="252"/>
        <v>#N/A</v>
      </c>
      <c r="BD1183" s="136">
        <f t="shared" si="257"/>
        <v>5.5264309577546524E-8</v>
      </c>
      <c r="BE1183" s="136">
        <f t="shared" si="253"/>
        <v>-9.9994473569042243E-4</v>
      </c>
      <c r="BF1183" s="136" t="e">
        <f t="shared" si="254"/>
        <v>#N/A</v>
      </c>
      <c r="BG1183" s="136" t="e">
        <f t="shared" si="255"/>
        <v>#N/A</v>
      </c>
    </row>
    <row r="1184" spans="47:59" ht="11.25" customHeight="1">
      <c r="AU1184" s="136">
        <f t="shared" si="245"/>
        <v>0.99999999098951897</v>
      </c>
      <c r="AV1184" s="136">
        <f t="shared" si="256"/>
        <v>5.6299999999998409</v>
      </c>
      <c r="AW1184" s="136">
        <f t="shared" si="246"/>
        <v>5.2241505514471133E-8</v>
      </c>
      <c r="AX1184" s="136" t="e">
        <f t="shared" si="247"/>
        <v>#N/A</v>
      </c>
      <c r="AY1184" s="136">
        <f t="shared" si="248"/>
        <v>5.6299899999998413</v>
      </c>
      <c r="AZ1184" s="136">
        <f t="shared" si="249"/>
        <v>5.6300099999998405</v>
      </c>
      <c r="BA1184" s="136">
        <f t="shared" si="250"/>
        <v>0.984934830912364</v>
      </c>
      <c r="BB1184" s="136">
        <f t="shared" si="251"/>
        <v>0.98493493315806857</v>
      </c>
      <c r="BC1184" s="136" t="e">
        <f t="shared" si="252"/>
        <v>#N/A</v>
      </c>
      <c r="BD1184" s="136">
        <f t="shared" si="257"/>
        <v>5.2241505514471133E-8</v>
      </c>
      <c r="BE1184" s="136">
        <f t="shared" si="253"/>
        <v>-9.9994775849448548E-4</v>
      </c>
      <c r="BF1184" s="136" t="e">
        <f t="shared" si="254"/>
        <v>#N/A</v>
      </c>
      <c r="BG1184" s="136" t="e">
        <f t="shared" si="255"/>
        <v>#N/A</v>
      </c>
    </row>
    <row r="1185" spans="47:59" ht="11.25" customHeight="1">
      <c r="AU1185" s="136">
        <f t="shared" si="245"/>
        <v>0.99999999149749175</v>
      </c>
      <c r="AV1185" s="136">
        <f t="shared" si="256"/>
        <v>5.6399999999998407</v>
      </c>
      <c r="AW1185" s="136">
        <f t="shared" si="246"/>
        <v>4.937910227114878E-8</v>
      </c>
      <c r="AX1185" s="136" t="e">
        <f t="shared" si="247"/>
        <v>#N/A</v>
      </c>
      <c r="AY1185" s="136">
        <f t="shared" si="248"/>
        <v>5.6399899999998411</v>
      </c>
      <c r="AZ1185" s="136">
        <f t="shared" si="249"/>
        <v>5.6400099999998403</v>
      </c>
      <c r="BA1185" s="136">
        <f t="shared" si="250"/>
        <v>0.98498582617808284</v>
      </c>
      <c r="BB1185" s="136">
        <f t="shared" si="251"/>
        <v>0.98498592791297912</v>
      </c>
      <c r="BC1185" s="136" t="e">
        <f t="shared" si="252"/>
        <v>#N/A</v>
      </c>
      <c r="BD1185" s="136">
        <f t="shared" si="257"/>
        <v>4.937910227114878E-8</v>
      </c>
      <c r="BE1185" s="136">
        <f t="shared" si="253"/>
        <v>-9.9995062089772895E-4</v>
      </c>
      <c r="BF1185" s="136" t="e">
        <f t="shared" si="254"/>
        <v>#N/A</v>
      </c>
      <c r="BG1185" s="136" t="e">
        <f t="shared" si="255"/>
        <v>#N/A</v>
      </c>
    </row>
    <row r="1186" spans="47:59" ht="11.25" customHeight="1">
      <c r="AU1186" s="136">
        <f t="shared" si="245"/>
        <v>0.99999999197760814</v>
      </c>
      <c r="AV1186" s="136">
        <f t="shared" si="256"/>
        <v>5.6499999999998405</v>
      </c>
      <c r="AW1186" s="136">
        <f t="shared" si="246"/>
        <v>4.6668867975984667E-8</v>
      </c>
      <c r="AX1186" s="136" t="e">
        <f t="shared" si="247"/>
        <v>#N/A</v>
      </c>
      <c r="AY1186" s="136">
        <f t="shared" si="248"/>
        <v>5.6499899999998409</v>
      </c>
      <c r="AZ1186" s="136">
        <f t="shared" si="249"/>
        <v>5.6500099999998401</v>
      </c>
      <c r="BA1186" s="136">
        <f t="shared" si="250"/>
        <v>0.98503656687507612</v>
      </c>
      <c r="BB1186" s="136">
        <f t="shared" si="251"/>
        <v>0.98503666810250801</v>
      </c>
      <c r="BC1186" s="136" t="e">
        <f t="shared" si="252"/>
        <v>#N/A</v>
      </c>
      <c r="BD1186" s="136">
        <f t="shared" si="257"/>
        <v>4.6668867975984667E-8</v>
      </c>
      <c r="BE1186" s="136">
        <f t="shared" si="253"/>
        <v>-9.9995333113202397E-4</v>
      </c>
      <c r="BF1186" s="136" t="e">
        <f t="shared" si="254"/>
        <v>#N/A</v>
      </c>
      <c r="BG1186" s="136" t="e">
        <f t="shared" si="255"/>
        <v>#N/A</v>
      </c>
    </row>
    <row r="1187" spans="47:59" ht="11.25" customHeight="1">
      <c r="AU1187" s="136">
        <f t="shared" si="245"/>
        <v>0.99999999243135029</v>
      </c>
      <c r="AV1187" s="136">
        <f t="shared" si="256"/>
        <v>5.6599999999998403</v>
      </c>
      <c r="AW1187" s="136">
        <f t="shared" si="246"/>
        <v>4.4102977789413032E-8</v>
      </c>
      <c r="AX1187" s="136" t="e">
        <f t="shared" si="247"/>
        <v>#N/A</v>
      </c>
      <c r="AY1187" s="136">
        <f t="shared" si="248"/>
        <v>5.6599899999998406</v>
      </c>
      <c r="AZ1187" s="136">
        <f t="shared" si="249"/>
        <v>5.6600099999998399</v>
      </c>
      <c r="BA1187" s="136">
        <f t="shared" si="250"/>
        <v>0.9850870546685716</v>
      </c>
      <c r="BB1187" s="136">
        <f t="shared" si="251"/>
        <v>0.98508715539185598</v>
      </c>
      <c r="BC1187" s="136" t="e">
        <f t="shared" si="252"/>
        <v>#N/A</v>
      </c>
      <c r="BD1187" s="136">
        <f t="shared" si="257"/>
        <v>4.4102977789413032E-8</v>
      </c>
      <c r="BE1187" s="136">
        <f t="shared" si="253"/>
        <v>-9.9995589702221071E-4</v>
      </c>
      <c r="BF1187" s="136" t="e">
        <f t="shared" si="254"/>
        <v>#N/A</v>
      </c>
      <c r="BG1187" s="136" t="e">
        <f t="shared" si="255"/>
        <v>#N/A</v>
      </c>
    </row>
    <row r="1188" spans="47:59" ht="11.25" customHeight="1">
      <c r="AU1188" s="136">
        <f t="shared" si="245"/>
        <v>0.99999999286012398</v>
      </c>
      <c r="AV1188" s="136">
        <f t="shared" si="256"/>
        <v>5.6699999999998401</v>
      </c>
      <c r="AW1188" s="136">
        <f t="shared" si="246"/>
        <v>4.1673994607161255E-8</v>
      </c>
      <c r="AX1188" s="136" t="e">
        <f t="shared" si="247"/>
        <v>#N/A</v>
      </c>
      <c r="AY1188" s="136">
        <f t="shared" si="248"/>
        <v>5.6699899999998404</v>
      </c>
      <c r="AZ1188" s="136">
        <f t="shared" si="249"/>
        <v>5.6700099999998397</v>
      </c>
      <c r="BA1188" s="136">
        <f t="shared" si="250"/>
        <v>0.98513729121042426</v>
      </c>
      <c r="BB1188" s="136">
        <f t="shared" si="251"/>
        <v>0.98513739143285162</v>
      </c>
      <c r="BC1188" s="136" t="e">
        <f t="shared" si="252"/>
        <v>#N/A</v>
      </c>
      <c r="BD1188" s="136">
        <f t="shared" si="257"/>
        <v>4.1673994607161255E-8</v>
      </c>
      <c r="BE1188" s="136">
        <f t="shared" si="253"/>
        <v>-9.9995832600539283E-4</v>
      </c>
      <c r="BF1188" s="136" t="e">
        <f t="shared" si="254"/>
        <v>#N/A</v>
      </c>
      <c r="BG1188" s="136" t="e">
        <f t="shared" si="255"/>
        <v>#N/A</v>
      </c>
    </row>
    <row r="1189" spans="47:59" ht="11.25" customHeight="1">
      <c r="AU1189" s="136">
        <f t="shared" si="245"/>
        <v>0.9999999932652629</v>
      </c>
      <c r="AV1189" s="136">
        <f t="shared" si="256"/>
        <v>5.6799999999998398</v>
      </c>
      <c r="AW1189" s="136">
        <f t="shared" si="246"/>
        <v>3.9374850635034311E-8</v>
      </c>
      <c r="AX1189" s="136" t="e">
        <f t="shared" si="247"/>
        <v>#N/A</v>
      </c>
      <c r="AY1189" s="136">
        <f t="shared" si="248"/>
        <v>5.6799899999998402</v>
      </c>
      <c r="AZ1189" s="136">
        <f t="shared" si="249"/>
        <v>5.6800099999998395</v>
      </c>
      <c r="BA1189" s="136">
        <f t="shared" si="250"/>
        <v>0.98518727813924334</v>
      </c>
      <c r="BB1189" s="136">
        <f t="shared" si="251"/>
        <v>0.98518737786407784</v>
      </c>
      <c r="BC1189" s="136" t="e">
        <f t="shared" si="252"/>
        <v>#N/A</v>
      </c>
      <c r="BD1189" s="136">
        <f t="shared" si="257"/>
        <v>3.9374850635034311E-8</v>
      </c>
      <c r="BE1189" s="136">
        <f t="shared" si="253"/>
        <v>-9.9996062514936504E-4</v>
      </c>
      <c r="BF1189" s="136" t="e">
        <f t="shared" si="254"/>
        <v>#N/A</v>
      </c>
      <c r="BG1189" s="136" t="e">
        <f t="shared" si="255"/>
        <v>#N/A</v>
      </c>
    </row>
    <row r="1190" spans="47:59" ht="11.25" customHeight="1">
      <c r="AU1190" s="136">
        <f t="shared" si="245"/>
        <v>0.99999999364803138</v>
      </c>
      <c r="AV1190" s="136">
        <f t="shared" si="256"/>
        <v>5.6899999999998396</v>
      </c>
      <c r="AW1190" s="136">
        <f t="shared" si="246"/>
        <v>3.7198829798049994E-8</v>
      </c>
      <c r="AX1190" s="136" t="e">
        <f t="shared" si="247"/>
        <v>#N/A</v>
      </c>
      <c r="AY1190" s="136">
        <f t="shared" si="248"/>
        <v>5.68998999999984</v>
      </c>
      <c r="AZ1190" s="136">
        <f t="shared" si="249"/>
        <v>5.6900099999998393</v>
      </c>
      <c r="BA1190" s="136">
        <f t="shared" si="250"/>
        <v>0.98523701708051725</v>
      </c>
      <c r="BB1190" s="136">
        <f t="shared" si="251"/>
        <v>0.98523711631099664</v>
      </c>
      <c r="BC1190" s="136" t="e">
        <f t="shared" si="252"/>
        <v>#N/A</v>
      </c>
      <c r="BD1190" s="136">
        <f t="shared" si="257"/>
        <v>3.7198829798049994E-8</v>
      </c>
      <c r="BE1190" s="136">
        <f t="shared" si="253"/>
        <v>-9.9996280117020187E-4</v>
      </c>
      <c r="BF1190" s="136" t="e">
        <f t="shared" si="254"/>
        <v>#N/A</v>
      </c>
      <c r="BG1190" s="136" t="e">
        <f t="shared" si="255"/>
        <v>#N/A</v>
      </c>
    </row>
    <row r="1191" spans="47:59" ht="11.25" customHeight="1">
      <c r="AU1191" s="136">
        <f t="shared" si="245"/>
        <v>0.99999999400962858</v>
      </c>
      <c r="AV1191" s="136">
        <f t="shared" si="256"/>
        <v>5.6999999999998394</v>
      </c>
      <c r="AW1191" s="136">
        <f t="shared" si="246"/>
        <v>3.5139550948236541E-8</v>
      </c>
      <c r="AX1191" s="136" t="e">
        <f t="shared" si="247"/>
        <v>#N/A</v>
      </c>
      <c r="AY1191" s="136">
        <f t="shared" si="248"/>
        <v>5.6999899999998398</v>
      </c>
      <c r="AZ1191" s="136">
        <f t="shared" si="249"/>
        <v>5.700009999999839</v>
      </c>
      <c r="BA1191" s="136">
        <f t="shared" si="250"/>
        <v>0.9852865096467367</v>
      </c>
      <c r="BB1191" s="136">
        <f t="shared" si="251"/>
        <v>0.98528660838607307</v>
      </c>
      <c r="BC1191" s="136" t="e">
        <f t="shared" si="252"/>
        <v>#N/A</v>
      </c>
      <c r="BD1191" s="136">
        <f t="shared" si="257"/>
        <v>3.5139550948236541E-8</v>
      </c>
      <c r="BE1191" s="136">
        <f t="shared" si="253"/>
        <v>-9.9996486044905174E-4</v>
      </c>
      <c r="BF1191" s="136" t="e">
        <f t="shared" si="254"/>
        <v>#N/A</v>
      </c>
      <c r="BG1191" s="136" t="e">
        <f t="shared" si="255"/>
        <v>#N/A</v>
      </c>
    </row>
    <row r="1192" spans="47:59" ht="11.25" customHeight="1">
      <c r="AU1192" s="136">
        <f t="shared" si="245"/>
        <v>0.99999999435119136</v>
      </c>
      <c r="AV1192" s="136">
        <f t="shared" si="256"/>
        <v>5.7099999999998392</v>
      </c>
      <c r="AW1192" s="136">
        <f t="shared" si="246"/>
        <v>3.3190951836825919E-8</v>
      </c>
      <c r="AX1192" s="136" t="e">
        <f t="shared" si="247"/>
        <v>#N/A</v>
      </c>
      <c r="AY1192" s="136">
        <f t="shared" si="248"/>
        <v>5.7099899999998396</v>
      </c>
      <c r="AZ1192" s="136">
        <f t="shared" si="249"/>
        <v>5.7100099999998388</v>
      </c>
      <c r="BA1192" s="136">
        <f t="shared" si="250"/>
        <v>0.985335757437518</v>
      </c>
      <c r="BB1192" s="136">
        <f t="shared" si="251"/>
        <v>0.98533585568889781</v>
      </c>
      <c r="BC1192" s="136" t="e">
        <f t="shared" si="252"/>
        <v>#N/A</v>
      </c>
      <c r="BD1192" s="136">
        <f t="shared" si="257"/>
        <v>3.3190951836825919E-8</v>
      </c>
      <c r="BE1192" s="136">
        <f t="shared" si="253"/>
        <v>-9.9996680904816324E-4</v>
      </c>
      <c r="BF1192" s="136" t="e">
        <f t="shared" si="254"/>
        <v>#N/A</v>
      </c>
      <c r="BG1192" s="136" t="e">
        <f t="shared" si="255"/>
        <v>#N/A</v>
      </c>
    </row>
    <row r="1193" spans="47:59" ht="11.25" customHeight="1">
      <c r="AU1193" s="136">
        <f t="shared" si="245"/>
        <v>0.9999999946737973</v>
      </c>
      <c r="AV1193" s="136">
        <f t="shared" si="256"/>
        <v>5.719999999999839</v>
      </c>
      <c r="AW1193" s="136">
        <f t="shared" si="246"/>
        <v>3.1347273817948629E-8</v>
      </c>
      <c r="AX1193" s="136" t="e">
        <f t="shared" si="247"/>
        <v>#N/A</v>
      </c>
      <c r="AY1193" s="136">
        <f t="shared" si="248"/>
        <v>5.7199899999998394</v>
      </c>
      <c r="AZ1193" s="136">
        <f t="shared" si="249"/>
        <v>5.7200099999998386</v>
      </c>
      <c r="BA1193" s="136">
        <f t="shared" si="250"/>
        <v>0.98538476203972347</v>
      </c>
      <c r="BB1193" s="136">
        <f t="shared" si="251"/>
        <v>0.98538485980630763</v>
      </c>
      <c r="BC1193" s="136" t="e">
        <f t="shared" si="252"/>
        <v>#N/A</v>
      </c>
      <c r="BD1193" s="136">
        <f t="shared" si="257"/>
        <v>3.1347273817948629E-8</v>
      </c>
      <c r="BE1193" s="136">
        <f t="shared" si="253"/>
        <v>-9.9996865272618208E-4</v>
      </c>
      <c r="BF1193" s="136" t="e">
        <f t="shared" si="254"/>
        <v>#N/A</v>
      </c>
      <c r="BG1193" s="136" t="e">
        <f t="shared" si="255"/>
        <v>#N/A</v>
      </c>
    </row>
    <row r="1194" spans="47:59" ht="11.25" customHeight="1">
      <c r="AU1194" s="136">
        <f t="shared" si="245"/>
        <v>0.99999999497846825</v>
      </c>
      <c r="AV1194" s="136">
        <f t="shared" si="256"/>
        <v>5.7299999999998388</v>
      </c>
      <c r="AW1194" s="136">
        <f t="shared" si="246"/>
        <v>2.9603047252257389E-8</v>
      </c>
      <c r="AX1194" s="136" t="e">
        <f t="shared" si="247"/>
        <v>#N/A</v>
      </c>
      <c r="AY1194" s="136">
        <f t="shared" si="248"/>
        <v>5.7299899999998392</v>
      </c>
      <c r="AZ1194" s="136">
        <f t="shared" si="249"/>
        <v>5.7300099999998384</v>
      </c>
      <c r="BA1194" s="136">
        <f t="shared" si="250"/>
        <v>0.9854335250275813</v>
      </c>
      <c r="BB1194" s="136">
        <f t="shared" si="251"/>
        <v>0.98543362231250575</v>
      </c>
      <c r="BC1194" s="136" t="e">
        <f t="shared" si="252"/>
        <v>#N/A</v>
      </c>
      <c r="BD1194" s="136">
        <f t="shared" si="257"/>
        <v>2.9603047252257389E-8</v>
      </c>
      <c r="BE1194" s="136">
        <f t="shared" si="253"/>
        <v>-9.9997039695274778E-4</v>
      </c>
      <c r="BF1194" s="136" t="e">
        <f t="shared" si="254"/>
        <v>#N/A</v>
      </c>
      <c r="BG1194" s="136" t="e">
        <f t="shared" si="255"/>
        <v>#N/A</v>
      </c>
    </row>
    <row r="1195" spans="47:59" ht="11.25" customHeight="1">
      <c r="AU1195" s="136">
        <f t="shared" si="245"/>
        <v>0.99999999526617245</v>
      </c>
      <c r="AV1195" s="136">
        <f t="shared" si="256"/>
        <v>5.7399999999998386</v>
      </c>
      <c r="AW1195" s="136">
        <f t="shared" si="246"/>
        <v>2.7953077580180564E-8</v>
      </c>
      <c r="AX1195" s="136" t="e">
        <f t="shared" si="247"/>
        <v>#N/A</v>
      </c>
      <c r="AY1195" s="136">
        <f t="shared" si="248"/>
        <v>5.7399899999998389</v>
      </c>
      <c r="AZ1195" s="136">
        <f t="shared" si="249"/>
        <v>5.7400099999998382</v>
      </c>
      <c r="BA1195" s="136">
        <f t="shared" si="250"/>
        <v>0.98548204796280414</v>
      </c>
      <c r="BB1195" s="136">
        <f t="shared" si="251"/>
        <v>0.98548214476917995</v>
      </c>
      <c r="BC1195" s="136" t="e">
        <f t="shared" si="252"/>
        <v>#N/A</v>
      </c>
      <c r="BD1195" s="136">
        <f t="shared" si="257"/>
        <v>2.7953077580180564E-8</v>
      </c>
      <c r="BE1195" s="136">
        <f t="shared" si="253"/>
        <v>-9.9997204692241974E-4</v>
      </c>
      <c r="BF1195" s="136" t="e">
        <f t="shared" si="254"/>
        <v>#N/A</v>
      </c>
      <c r="BG1195" s="136" t="e">
        <f t="shared" si="255"/>
        <v>#N/A</v>
      </c>
    </row>
    <row r="1196" spans="47:59" ht="11.25" customHeight="1">
      <c r="AU1196" s="136">
        <f t="shared" si="245"/>
        <v>0.99999999553782759</v>
      </c>
      <c r="AV1196" s="136">
        <f t="shared" si="256"/>
        <v>5.7499999999998384</v>
      </c>
      <c r="AW1196" s="136">
        <f t="shared" si="246"/>
        <v>2.6392432035730299E-8</v>
      </c>
      <c r="AX1196" s="136" t="e">
        <f t="shared" si="247"/>
        <v>#N/A</v>
      </c>
      <c r="AY1196" s="136">
        <f t="shared" si="248"/>
        <v>5.7499899999998387</v>
      </c>
      <c r="AZ1196" s="136">
        <f t="shared" si="249"/>
        <v>5.750009999999838</v>
      </c>
      <c r="BA1196" s="136">
        <f t="shared" si="250"/>
        <v>0.98553033239470644</v>
      </c>
      <c r="BB1196" s="136">
        <f t="shared" si="251"/>
        <v>0.98553042872561969</v>
      </c>
      <c r="BC1196" s="136" t="e">
        <f t="shared" si="252"/>
        <v>#N/A</v>
      </c>
      <c r="BD1196" s="136">
        <f t="shared" si="257"/>
        <v>2.6392432035730299E-8</v>
      </c>
      <c r="BE1196" s="136">
        <f t="shared" si="253"/>
        <v>-9.9997360756796439E-4</v>
      </c>
      <c r="BF1196" s="136" t="e">
        <f t="shared" si="254"/>
        <v>#N/A</v>
      </c>
      <c r="BG1196" s="136" t="e">
        <f t="shared" si="255"/>
        <v>#N/A</v>
      </c>
    </row>
    <row r="1197" spans="47:59" ht="11.25" customHeight="1">
      <c r="AU1197" s="136">
        <f t="shared" si="245"/>
        <v>0.99999999579430321</v>
      </c>
      <c r="AV1197" s="136">
        <f t="shared" si="256"/>
        <v>5.7599999999998381</v>
      </c>
      <c r="AW1197" s="136">
        <f t="shared" si="246"/>
        <v>2.4916426972974176E-8</v>
      </c>
      <c r="AX1197" s="136" t="e">
        <f t="shared" si="247"/>
        <v>#N/A</v>
      </c>
      <c r="AY1197" s="136">
        <f t="shared" si="248"/>
        <v>5.7599899999998385</v>
      </c>
      <c r="AZ1197" s="136">
        <f t="shared" si="249"/>
        <v>5.7600099999998378</v>
      </c>
      <c r="BA1197" s="136">
        <f t="shared" si="250"/>
        <v>0.98557837986032004</v>
      </c>
      <c r="BB1197" s="136">
        <f t="shared" si="251"/>
        <v>0.98557847571883272</v>
      </c>
      <c r="BC1197" s="136" t="e">
        <f t="shared" si="252"/>
        <v>#N/A</v>
      </c>
      <c r="BD1197" s="136">
        <f t="shared" si="257"/>
        <v>2.4916426972974176E-8</v>
      </c>
      <c r="BE1197" s="136">
        <f t="shared" si="253"/>
        <v>-9.9997508357302714E-4</v>
      </c>
      <c r="BF1197" s="136" t="e">
        <f t="shared" si="254"/>
        <v>#N/A</v>
      </c>
      <c r="BG1197" s="136" t="e">
        <f t="shared" si="255"/>
        <v>#N/A</v>
      </c>
    </row>
    <row r="1198" spans="47:59" ht="11.25" customHeight="1">
      <c r="AU1198" s="136">
        <f t="shared" si="245"/>
        <v>0.99999999603642342</v>
      </c>
      <c r="AV1198" s="136">
        <f t="shared" si="256"/>
        <v>5.7699999999998379</v>
      </c>
      <c r="AW1198" s="136">
        <f t="shared" si="246"/>
        <v>2.3520615778412809E-8</v>
      </c>
      <c r="AX1198" s="136" t="e">
        <f t="shared" si="247"/>
        <v>#N/A</v>
      </c>
      <c r="AY1198" s="136">
        <f t="shared" si="248"/>
        <v>5.7699899999998383</v>
      </c>
      <c r="AZ1198" s="136">
        <f t="shared" si="249"/>
        <v>5.7700099999998375</v>
      </c>
      <c r="BA1198" s="136">
        <f t="shared" si="250"/>
        <v>0.98562619188450917</v>
      </c>
      <c r="BB1198" s="136">
        <f t="shared" si="251"/>
        <v>0.98562628727365875</v>
      </c>
      <c r="BC1198" s="136" t="e">
        <f t="shared" si="252"/>
        <v>#N/A</v>
      </c>
      <c r="BD1198" s="136">
        <f t="shared" si="257"/>
        <v>2.3520615778412809E-8</v>
      </c>
      <c r="BE1198" s="136">
        <f t="shared" si="253"/>
        <v>-9.9997647938422163E-4</v>
      </c>
      <c r="BF1198" s="136" t="e">
        <f t="shared" si="254"/>
        <v>#N/A</v>
      </c>
      <c r="BG1198" s="136" t="e">
        <f t="shared" si="255"/>
        <v>#N/A</v>
      </c>
    </row>
    <row r="1199" spans="47:59" ht="11.25" customHeight="1">
      <c r="AU1199" s="136">
        <f t="shared" si="245"/>
        <v>0.99999999626496872</v>
      </c>
      <c r="AV1199" s="136">
        <f t="shared" si="256"/>
        <v>5.7799999999998377</v>
      </c>
      <c r="AW1199" s="136">
        <f t="shared" si="246"/>
        <v>2.2200777343599831E-8</v>
      </c>
      <c r="AX1199" s="136" t="e">
        <f t="shared" si="247"/>
        <v>#N/A</v>
      </c>
      <c r="AY1199" s="136">
        <f t="shared" si="248"/>
        <v>5.7799899999998381</v>
      </c>
      <c r="AZ1199" s="136">
        <f t="shared" si="249"/>
        <v>5.7800099999998373</v>
      </c>
      <c r="BA1199" s="136">
        <f t="shared" si="250"/>
        <v>0.9856737699800836</v>
      </c>
      <c r="BB1199" s="136">
        <f t="shared" si="251"/>
        <v>0.98567386490288389</v>
      </c>
      <c r="BC1199" s="136" t="e">
        <f t="shared" si="252"/>
        <v>#N/A</v>
      </c>
      <c r="BD1199" s="136">
        <f t="shared" si="257"/>
        <v>2.2200777343599831E-8</v>
      </c>
      <c r="BE1199" s="136">
        <f t="shared" si="253"/>
        <v>-9.9997779922265636E-4</v>
      </c>
      <c r="BF1199" s="136" t="e">
        <f t="shared" si="254"/>
        <v>#N/A</v>
      </c>
      <c r="BG1199" s="136" t="e">
        <f t="shared" si="255"/>
        <v>#N/A</v>
      </c>
    </row>
    <row r="1200" spans="47:59" ht="11.25" customHeight="1">
      <c r="AU1200" s="136">
        <f t="shared" si="245"/>
        <v>0.99999999648067883</v>
      </c>
      <c r="AV1200" s="136">
        <f t="shared" si="256"/>
        <v>5.7899999999998375</v>
      </c>
      <c r="AW1200" s="136">
        <f t="shared" si="246"/>
        <v>2.0952905073396694E-8</v>
      </c>
      <c r="AX1200" s="136" t="e">
        <f t="shared" si="247"/>
        <v>#N/A</v>
      </c>
      <c r="AY1200" s="136">
        <f t="shared" si="248"/>
        <v>5.7899899999998379</v>
      </c>
      <c r="AZ1200" s="136">
        <f t="shared" si="249"/>
        <v>5.7900099999998371</v>
      </c>
      <c r="BA1200" s="136">
        <f t="shared" si="250"/>
        <v>0.98572111564791165</v>
      </c>
      <c r="BB1200" s="136">
        <f t="shared" si="251"/>
        <v>0.98572121010735236</v>
      </c>
      <c r="BC1200" s="136" t="e">
        <f t="shared" si="252"/>
        <v>#N/A</v>
      </c>
      <c r="BD1200" s="136">
        <f t="shared" si="257"/>
        <v>2.0952905073396694E-8</v>
      </c>
      <c r="BE1200" s="136">
        <f t="shared" si="253"/>
        <v>-9.9997904709492672E-4</v>
      </c>
      <c r="BF1200" s="136" t="e">
        <f t="shared" si="254"/>
        <v>#N/A</v>
      </c>
      <c r="BG1200" s="136" t="e">
        <f t="shared" si="255"/>
        <v>#N/A</v>
      </c>
    </row>
    <row r="1201" spans="47:59" ht="11.25" customHeight="1">
      <c r="AU1201" s="136">
        <f t="shared" si="245"/>
        <v>0.99999999668425399</v>
      </c>
      <c r="AV1201" s="136">
        <f t="shared" si="256"/>
        <v>5.7999999999998373</v>
      </c>
      <c r="AW1201" s="136">
        <f t="shared" si="246"/>
        <v>1.9773196406263356E-8</v>
      </c>
      <c r="AX1201" s="136" t="e">
        <f t="shared" si="247"/>
        <v>#N/A</v>
      </c>
      <c r="AY1201" s="136">
        <f t="shared" si="248"/>
        <v>5.7999899999998377</v>
      </c>
      <c r="AZ1201" s="136">
        <f t="shared" si="249"/>
        <v>5.8000099999998369</v>
      </c>
      <c r="BA1201" s="136">
        <f t="shared" si="250"/>
        <v>0.98576823037703032</v>
      </c>
      <c r="BB1201" s="136">
        <f t="shared" si="251"/>
        <v>0.98576832437607775</v>
      </c>
      <c r="BC1201" s="136" t="e">
        <f t="shared" si="252"/>
        <v>#N/A</v>
      </c>
      <c r="BD1201" s="136">
        <f t="shared" si="257"/>
        <v>1.9773196406263356E-8</v>
      </c>
      <c r="BE1201" s="136">
        <f t="shared" si="253"/>
        <v>-9.9998022680359384E-4</v>
      </c>
      <c r="BF1201" s="136" t="e">
        <f t="shared" si="254"/>
        <v>#N/A</v>
      </c>
      <c r="BG1201" s="136" t="e">
        <f t="shared" si="255"/>
        <v>#N/A</v>
      </c>
    </row>
    <row r="1202" spans="47:59" ht="11.25" customHeight="1">
      <c r="AU1202" s="136">
        <f t="shared" si="245"/>
        <v>0.99999999687635788</v>
      </c>
      <c r="AV1202" s="136">
        <f t="shared" si="256"/>
        <v>5.8099999999998371</v>
      </c>
      <c r="AW1202" s="136">
        <f t="shared" si="246"/>
        <v>1.8658042823963807E-8</v>
      </c>
      <c r="AX1202" s="136" t="e">
        <f t="shared" si="247"/>
        <v>#N/A</v>
      </c>
      <c r="AY1202" s="136">
        <f t="shared" si="248"/>
        <v>5.8099899999998375</v>
      </c>
      <c r="AZ1202" s="136">
        <f t="shared" si="249"/>
        <v>5.8100099999998367</v>
      </c>
      <c r="BA1202" s="136">
        <f t="shared" si="250"/>
        <v>0.98581511564475566</v>
      </c>
      <c r="BB1202" s="136">
        <f t="shared" si="251"/>
        <v>0.98581520918635279</v>
      </c>
      <c r="BC1202" s="136" t="e">
        <f t="shared" si="252"/>
        <v>#N/A</v>
      </c>
      <c r="BD1202" s="136">
        <f t="shared" si="257"/>
        <v>1.8658042823963807E-8</v>
      </c>
      <c r="BE1202" s="136">
        <f t="shared" si="253"/>
        <v>-9.9998134195717616E-4</v>
      </c>
      <c r="BF1202" s="136" t="e">
        <f t="shared" si="254"/>
        <v>#N/A</v>
      </c>
      <c r="BG1202" s="136" t="e">
        <f t="shared" si="255"/>
        <v>#N/A</v>
      </c>
    </row>
    <row r="1203" spans="47:59" ht="11.25" customHeight="1">
      <c r="AU1203" s="136">
        <f t="shared" si="245"/>
        <v>0.99999999705761866</v>
      </c>
      <c r="AV1203" s="136">
        <f t="shared" si="256"/>
        <v>5.8199999999998369</v>
      </c>
      <c r="AW1203" s="136">
        <f t="shared" si="246"/>
        <v>1.7604020329002542E-8</v>
      </c>
      <c r="AX1203" s="136" t="e">
        <f t="shared" si="247"/>
        <v>#N/A</v>
      </c>
      <c r="AY1203" s="136">
        <f t="shared" si="248"/>
        <v>5.8199899999998372</v>
      </c>
      <c r="AZ1203" s="136">
        <f t="shared" si="249"/>
        <v>5.8200099999998365</v>
      </c>
      <c r="BA1203" s="136">
        <f t="shared" si="250"/>
        <v>0.98586177291679167</v>
      </c>
      <c r="BB1203" s="136">
        <f t="shared" si="251"/>
        <v>0.98586186600385828</v>
      </c>
      <c r="BC1203" s="136" t="e">
        <f t="shared" si="252"/>
        <v>#N/A</v>
      </c>
      <c r="BD1203" s="136">
        <f t="shared" si="257"/>
        <v>1.7604020329002542E-8</v>
      </c>
      <c r="BE1203" s="136">
        <f t="shared" si="253"/>
        <v>-9.999823959796711E-4</v>
      </c>
      <c r="BF1203" s="136" t="e">
        <f t="shared" si="254"/>
        <v>#N/A</v>
      </c>
      <c r="BG1203" s="136" t="e">
        <f t="shared" si="255"/>
        <v>#N/A</v>
      </c>
    </row>
    <row r="1204" spans="47:59" ht="11.25" customHeight="1">
      <c r="AU1204" s="136">
        <f t="shared" si="245"/>
        <v>0.9999999972286312</v>
      </c>
      <c r="AV1204" s="136">
        <f t="shared" si="256"/>
        <v>5.8299999999998366</v>
      </c>
      <c r="AW1204" s="136">
        <f t="shared" si="246"/>
        <v>1.6607880369007856E-8</v>
      </c>
      <c r="AX1204" s="136" t="e">
        <f t="shared" si="247"/>
        <v>#N/A</v>
      </c>
      <c r="AY1204" s="136">
        <f t="shared" si="248"/>
        <v>5.829989999999837</v>
      </c>
      <c r="AZ1204" s="136">
        <f t="shared" si="249"/>
        <v>5.8300099999998363</v>
      </c>
      <c r="BA1204" s="136">
        <f t="shared" si="250"/>
        <v>0.98590820364733744</v>
      </c>
      <c r="BB1204" s="136">
        <f t="shared" si="251"/>
        <v>0.98590829628277066</v>
      </c>
      <c r="BC1204" s="136" t="e">
        <f t="shared" si="252"/>
        <v>#N/A</v>
      </c>
      <c r="BD1204" s="136">
        <f t="shared" si="257"/>
        <v>1.6607880369007856E-8</v>
      </c>
      <c r="BE1204" s="136">
        <f t="shared" si="253"/>
        <v>-9.9998339211963111E-4</v>
      </c>
      <c r="BF1204" s="136" t="e">
        <f t="shared" si="254"/>
        <v>#N/A</v>
      </c>
      <c r="BG1204" s="136" t="e">
        <f t="shared" si="255"/>
        <v>#N/A</v>
      </c>
    </row>
    <row r="1205" spans="47:59" ht="11.25" customHeight="1">
      <c r="AU1205" s="136">
        <f t="shared" si="245"/>
        <v>0.99999999738995893</v>
      </c>
      <c r="AV1205" s="136">
        <f t="shared" si="256"/>
        <v>5.8399999999998364</v>
      </c>
      <c r="AW1205" s="136">
        <f t="shared" si="246"/>
        <v>1.5666541188147484E-8</v>
      </c>
      <c r="AX1205" s="136" t="e">
        <f t="shared" si="247"/>
        <v>#N/A</v>
      </c>
      <c r="AY1205" s="136">
        <f t="shared" si="248"/>
        <v>5.8399899999998368</v>
      </c>
      <c r="AZ1205" s="136">
        <f t="shared" si="249"/>
        <v>5.8400099999998361</v>
      </c>
      <c r="BA1205" s="136">
        <f t="shared" si="250"/>
        <v>0.98595440927919409</v>
      </c>
      <c r="BB1205" s="136">
        <f t="shared" si="251"/>
        <v>0.98595450146586805</v>
      </c>
      <c r="BC1205" s="136" t="e">
        <f t="shared" si="252"/>
        <v>#N/A</v>
      </c>
      <c r="BD1205" s="136">
        <f t="shared" si="257"/>
        <v>1.5666541188147484E-8</v>
      </c>
      <c r="BE1205" s="136">
        <f t="shared" si="253"/>
        <v>-9.9998433345881198E-4</v>
      </c>
      <c r="BF1205" s="136" t="e">
        <f t="shared" si="254"/>
        <v>#N/A</v>
      </c>
      <c r="BG1205" s="136" t="e">
        <f t="shared" si="255"/>
        <v>#N/A</v>
      </c>
    </row>
    <row r="1206" spans="47:59" ht="11.25" customHeight="1">
      <c r="AU1206" s="136">
        <f t="shared" si="245"/>
        <v>0.99999999754213498</v>
      </c>
      <c r="AV1206" s="136">
        <f t="shared" si="256"/>
        <v>5.8499999999998362</v>
      </c>
      <c r="AW1206" s="136">
        <f t="shared" si="246"/>
        <v>1.4777079586494175E-8</v>
      </c>
      <c r="AX1206" s="136" t="e">
        <f t="shared" si="247"/>
        <v>#N/A</v>
      </c>
      <c r="AY1206" s="136">
        <f t="shared" si="248"/>
        <v>5.8499899999998366</v>
      </c>
      <c r="AZ1206" s="136">
        <f t="shared" si="249"/>
        <v>5.8500099999998358</v>
      </c>
      <c r="BA1206" s="136">
        <f t="shared" si="250"/>
        <v>0.98600039124386951</v>
      </c>
      <c r="BB1206" s="136">
        <f t="shared" si="251"/>
        <v>0.98600048298463594</v>
      </c>
      <c r="BC1206" s="136" t="e">
        <f t="shared" si="252"/>
        <v>#N/A</v>
      </c>
      <c r="BD1206" s="136">
        <f t="shared" si="257"/>
        <v>1.4777079586494175E-8</v>
      </c>
      <c r="BE1206" s="136">
        <f t="shared" si="253"/>
        <v>-9.9998522292041358E-4</v>
      </c>
      <c r="BF1206" s="136" t="e">
        <f t="shared" si="254"/>
        <v>#N/A</v>
      </c>
      <c r="BG1206" s="136" t="e">
        <f t="shared" si="255"/>
        <v>#N/A</v>
      </c>
    </row>
    <row r="1207" spans="47:59" ht="11.25" customHeight="1">
      <c r="AU1207" s="136">
        <f t="shared" si="245"/>
        <v>0.99999999768566417</v>
      </c>
      <c r="AV1207" s="136">
        <f t="shared" si="256"/>
        <v>5.859999999999836</v>
      </c>
      <c r="AW1207" s="136">
        <f t="shared" si="246"/>
        <v>1.3936723069060808E-8</v>
      </c>
      <c r="AX1207" s="136" t="e">
        <f t="shared" si="247"/>
        <v>#N/A</v>
      </c>
      <c r="AY1207" s="136">
        <f t="shared" si="248"/>
        <v>5.8599899999998364</v>
      </c>
      <c r="AZ1207" s="136">
        <f t="shared" si="249"/>
        <v>5.8600099999998356</v>
      </c>
      <c r="BA1207" s="136">
        <f t="shared" si="250"/>
        <v>0.98604615096168291</v>
      </c>
      <c r="BB1207" s="136">
        <f t="shared" si="251"/>
        <v>0.98604624225937132</v>
      </c>
      <c r="BC1207" s="136" t="e">
        <f t="shared" si="252"/>
        <v>#N/A</v>
      </c>
      <c r="BD1207" s="136">
        <f t="shared" si="257"/>
        <v>1.3936723069060808E-8</v>
      </c>
      <c r="BE1207" s="136">
        <f t="shared" si="253"/>
        <v>-9.9998606327693102E-4</v>
      </c>
      <c r="BF1207" s="136" t="e">
        <f t="shared" si="254"/>
        <v>#N/A</v>
      </c>
      <c r="BG1207" s="136" t="e">
        <f t="shared" si="255"/>
        <v>#N/A</v>
      </c>
    </row>
    <row r="1208" spans="47:59" ht="11.25" customHeight="1">
      <c r="AU1208" s="136">
        <f t="shared" si="245"/>
        <v>0.99999999782102433</v>
      </c>
      <c r="AV1208" s="136">
        <f t="shared" si="256"/>
        <v>5.8699999999998358</v>
      </c>
      <c r="AW1208" s="136">
        <f t="shared" si="246"/>
        <v>1.3142842366994842E-8</v>
      </c>
      <c r="AX1208" s="136" t="e">
        <f t="shared" si="247"/>
        <v>#N/A</v>
      </c>
      <c r="AY1208" s="136">
        <f t="shared" si="248"/>
        <v>5.8699899999998362</v>
      </c>
      <c r="AZ1208" s="136">
        <f t="shared" si="249"/>
        <v>5.8700099999998354</v>
      </c>
      <c r="BA1208" s="136">
        <f t="shared" si="250"/>
        <v>0.98609168984186779</v>
      </c>
      <c r="BB1208" s="136">
        <f t="shared" si="251"/>
        <v>0.98609178069928571</v>
      </c>
      <c r="BC1208" s="136" t="e">
        <f t="shared" si="252"/>
        <v>#N/A</v>
      </c>
      <c r="BD1208" s="136">
        <f t="shared" si="257"/>
        <v>1.3142842366994842E-8</v>
      </c>
      <c r="BE1208" s="136">
        <f t="shared" si="253"/>
        <v>-9.9998685715763308E-4</v>
      </c>
      <c r="BF1208" s="136" t="e">
        <f t="shared" si="254"/>
        <v>#N/A</v>
      </c>
      <c r="BG1208" s="136" t="e">
        <f t="shared" si="255"/>
        <v>#N/A</v>
      </c>
    </row>
    <row r="1209" spans="47:59" ht="11.25" customHeight="1">
      <c r="AU1209" s="136">
        <f t="shared" si="245"/>
        <v>0.99999999794866756</v>
      </c>
      <c r="AV1209" s="136">
        <f t="shared" si="256"/>
        <v>5.8799999999998356</v>
      </c>
      <c r="AW1209" s="136">
        <f t="shared" si="246"/>
        <v>1.2392944314162104E-8</v>
      </c>
      <c r="AX1209" s="136" t="e">
        <f t="shared" si="247"/>
        <v>#N/A</v>
      </c>
      <c r="AY1209" s="136">
        <f t="shared" si="248"/>
        <v>5.879989999999836</v>
      </c>
      <c r="AZ1209" s="136">
        <f t="shared" si="249"/>
        <v>5.8800099999998352</v>
      </c>
      <c r="BA1209" s="136">
        <f t="shared" si="250"/>
        <v>0.98613700928267434</v>
      </c>
      <c r="BB1209" s="136">
        <f t="shared" si="251"/>
        <v>0.9861370997026071</v>
      </c>
      <c r="BC1209" s="136" t="e">
        <f t="shared" si="252"/>
        <v>#N/A</v>
      </c>
      <c r="BD1209" s="136">
        <f t="shared" si="257"/>
        <v>1.2392944314162104E-8</v>
      </c>
      <c r="BE1209" s="136">
        <f t="shared" si="253"/>
        <v>-9.9998760705568581E-4</v>
      </c>
      <c r="BF1209" s="136" t="e">
        <f t="shared" si="254"/>
        <v>#N/A</v>
      </c>
      <c r="BG1209" s="136" t="e">
        <f t="shared" si="255"/>
        <v>#N/A</v>
      </c>
    </row>
    <row r="1210" spans="47:59" ht="11.25" customHeight="1">
      <c r="AU1210" s="136">
        <f t="shared" si="245"/>
        <v>0.99999999806902196</v>
      </c>
      <c r="AV1210" s="136">
        <f t="shared" si="256"/>
        <v>5.8899999999998354</v>
      </c>
      <c r="AW1210" s="136">
        <f t="shared" si="246"/>
        <v>1.1684665063061159E-8</v>
      </c>
      <c r="AX1210" s="136" t="e">
        <f t="shared" si="247"/>
        <v>#N/A</v>
      </c>
      <c r="AY1210" s="136">
        <f t="shared" si="248"/>
        <v>5.8899899999998357</v>
      </c>
      <c r="AZ1210" s="136">
        <f t="shared" si="249"/>
        <v>5.890009999999835</v>
      </c>
      <c r="BA1210" s="136">
        <f t="shared" si="250"/>
        <v>0.98618211067146944</v>
      </c>
      <c r="BB1210" s="136">
        <f t="shared" si="251"/>
        <v>0.98618220065668116</v>
      </c>
      <c r="BC1210" s="136" t="e">
        <f t="shared" si="252"/>
        <v>#N/A</v>
      </c>
      <c r="BD1210" s="136">
        <f t="shared" si="257"/>
        <v>1.1684665063061159E-8</v>
      </c>
      <c r="BE1210" s="136">
        <f t="shared" si="253"/>
        <v>-9.9998831533493703E-4</v>
      </c>
      <c r="BF1210" s="136" t="e">
        <f t="shared" si="254"/>
        <v>#N/A</v>
      </c>
      <c r="BG1210" s="136" t="e">
        <f t="shared" si="255"/>
        <v>#N/A</v>
      </c>
    </row>
    <row r="1211" spans="47:59" ht="11.25" customHeight="1">
      <c r="AU1211" s="136">
        <f t="shared" si="245"/>
        <v>0.99999999818249219</v>
      </c>
      <c r="AV1211" s="136">
        <f t="shared" si="256"/>
        <v>5.8999999999998352</v>
      </c>
      <c r="AW1211" s="136">
        <f t="shared" si="246"/>
        <v>1.101576362469303E-8</v>
      </c>
      <c r="AX1211" s="136" t="e">
        <f t="shared" si="247"/>
        <v>#N/A</v>
      </c>
      <c r="AY1211" s="136">
        <f t="shared" si="248"/>
        <v>5.8999899999998355</v>
      </c>
      <c r="AZ1211" s="136">
        <f t="shared" si="249"/>
        <v>5.9000099999998348</v>
      </c>
      <c r="BA1211" s="136">
        <f t="shared" si="250"/>
        <v>0.98622699538483749</v>
      </c>
      <c r="BB1211" s="136">
        <f t="shared" si="251"/>
        <v>0.98622708493807054</v>
      </c>
      <c r="BC1211" s="136" t="e">
        <f t="shared" si="252"/>
        <v>#N/A</v>
      </c>
      <c r="BD1211" s="136">
        <f t="shared" si="257"/>
        <v>1.101576362469303E-8</v>
      </c>
      <c r="BE1211" s="136">
        <f t="shared" si="253"/>
        <v>-9.9998898423637539E-4</v>
      </c>
      <c r="BF1211" s="136" t="e">
        <f t="shared" si="254"/>
        <v>#N/A</v>
      </c>
      <c r="BG1211" s="136" t="e">
        <f t="shared" si="255"/>
        <v>#N/A</v>
      </c>
    </row>
    <row r="1212" spans="47:59" ht="11.25" customHeight="1">
      <c r="AU1212" s="136">
        <f t="shared" si="245"/>
        <v>0.99999999828946129</v>
      </c>
      <c r="AV1212" s="136">
        <f t="shared" si="256"/>
        <v>5.9099999999998349</v>
      </c>
      <c r="AW1212" s="136">
        <f t="shared" si="246"/>
        <v>1.0384115717666471E-8</v>
      </c>
      <c r="AX1212" s="136" t="e">
        <f t="shared" si="247"/>
        <v>#N/A</v>
      </c>
      <c r="AY1212" s="136">
        <f t="shared" si="248"/>
        <v>5.9099899999998353</v>
      </c>
      <c r="AZ1212" s="136">
        <f t="shared" si="249"/>
        <v>5.9100099999998346</v>
      </c>
      <c r="BA1212" s="136">
        <f t="shared" si="250"/>
        <v>0.98627166478867878</v>
      </c>
      <c r="BB1212" s="136">
        <f t="shared" si="251"/>
        <v>0.98627175391265431</v>
      </c>
      <c r="BC1212" s="136" t="e">
        <f t="shared" si="252"/>
        <v>#N/A</v>
      </c>
      <c r="BD1212" s="136">
        <f t="shared" si="257"/>
        <v>1.0384115717666471E-8</v>
      </c>
      <c r="BE1212" s="136">
        <f t="shared" si="253"/>
        <v>-9.9998961588428233E-4</v>
      </c>
      <c r="BF1212" s="136" t="e">
        <f t="shared" si="254"/>
        <v>#N/A</v>
      </c>
      <c r="BG1212" s="136" t="e">
        <f t="shared" si="255"/>
        <v>#N/A</v>
      </c>
    </row>
    <row r="1213" spans="47:59" ht="11.25" customHeight="1">
      <c r="AU1213" s="136">
        <f t="shared" si="245"/>
        <v>0.99999999839029186</v>
      </c>
      <c r="AV1213" s="136">
        <f t="shared" si="256"/>
        <v>5.9199999999998347</v>
      </c>
      <c r="AW1213" s="136">
        <f t="shared" si="246"/>
        <v>9.7877079124507384E-9</v>
      </c>
      <c r="AX1213" s="136" t="e">
        <f t="shared" si="247"/>
        <v>#N/A</v>
      </c>
      <c r="AY1213" s="136">
        <f t="shared" si="248"/>
        <v>5.9199899999998351</v>
      </c>
      <c r="AZ1213" s="136">
        <f t="shared" si="249"/>
        <v>5.9200099999998343</v>
      </c>
      <c r="BA1213" s="136">
        <f t="shared" si="250"/>
        <v>0.98631612023830739</v>
      </c>
      <c r="BB1213" s="136">
        <f t="shared" si="251"/>
        <v>0.98631620893572547</v>
      </c>
      <c r="BC1213" s="136" t="e">
        <f t="shared" si="252"/>
        <v>#N/A</v>
      </c>
      <c r="BD1213" s="136">
        <f t="shared" si="257"/>
        <v>9.7877079124507384E-9</v>
      </c>
      <c r="BE1213" s="136">
        <f t="shared" si="253"/>
        <v>-9.9999021229208764E-4</v>
      </c>
      <c r="BF1213" s="136" t="e">
        <f t="shared" si="254"/>
        <v>#N/A</v>
      </c>
      <c r="BG1213" s="136" t="e">
        <f t="shared" si="255"/>
        <v>#N/A</v>
      </c>
    </row>
    <row r="1214" spans="47:59" ht="11.25" customHeight="1">
      <c r="AU1214" s="136">
        <f t="shared" si="245"/>
        <v>0.99999999848532661</v>
      </c>
      <c r="AV1214" s="136">
        <f t="shared" si="256"/>
        <v>5.9299999999998345</v>
      </c>
      <c r="AW1214" s="136">
        <f t="shared" si="246"/>
        <v>9.2246320572917634E-9</v>
      </c>
      <c r="AX1214" s="136" t="e">
        <f t="shared" si="247"/>
        <v>#N/A</v>
      </c>
      <c r="AY1214" s="136">
        <f t="shared" si="248"/>
        <v>5.9299899999998349</v>
      </c>
      <c r="AZ1214" s="136">
        <f t="shared" si="249"/>
        <v>5.9300099999998341</v>
      </c>
      <c r="BA1214" s="136">
        <f t="shared" si="250"/>
        <v>0.98636036307854769</v>
      </c>
      <c r="BB1214" s="136">
        <f t="shared" si="251"/>
        <v>0.9863604513520875</v>
      </c>
      <c r="BC1214" s="136" t="e">
        <f t="shared" si="252"/>
        <v>#N/A</v>
      </c>
      <c r="BD1214" s="136">
        <f t="shared" si="257"/>
        <v>9.2246320572917634E-9</v>
      </c>
      <c r="BE1214" s="136">
        <f t="shared" si="253"/>
        <v>-9.9999077536794267E-4</v>
      </c>
      <c r="BF1214" s="136" t="e">
        <f t="shared" si="254"/>
        <v>#N/A</v>
      </c>
      <c r="BG1214" s="136" t="e">
        <f t="shared" si="255"/>
        <v>#N/A</v>
      </c>
    </row>
    <row r="1215" spans="47:59" ht="11.25" customHeight="1">
      <c r="AU1215" s="136">
        <f t="shared" si="245"/>
        <v>0.99999999857488964</v>
      </c>
      <c r="AV1215" s="136">
        <f t="shared" si="256"/>
        <v>5.9399999999998343</v>
      </c>
      <c r="AW1215" s="136">
        <f t="shared" si="246"/>
        <v>8.6930799728887595E-9</v>
      </c>
      <c r="AX1215" s="136" t="e">
        <f t="shared" si="247"/>
        <v>#N/A</v>
      </c>
      <c r="AY1215" s="136">
        <f t="shared" si="248"/>
        <v>5.9399899999998347</v>
      </c>
      <c r="AZ1215" s="136">
        <f t="shared" si="249"/>
        <v>5.9400099999998339</v>
      </c>
      <c r="BA1215" s="136">
        <f t="shared" si="250"/>
        <v>0.98640439464383045</v>
      </c>
      <c r="BB1215" s="136">
        <f t="shared" si="251"/>
        <v>0.98640448249615054</v>
      </c>
      <c r="BC1215" s="136" t="e">
        <f t="shared" si="252"/>
        <v>#N/A</v>
      </c>
      <c r="BD1215" s="136">
        <f t="shared" si="257"/>
        <v>8.6930799728887595E-9</v>
      </c>
      <c r="BE1215" s="136">
        <f t="shared" si="253"/>
        <v>-9.9999130692002714E-4</v>
      </c>
      <c r="BF1215" s="136" t="e">
        <f t="shared" si="254"/>
        <v>#N/A</v>
      </c>
      <c r="BG1215" s="136" t="e">
        <f t="shared" si="255"/>
        <v>#N/A</v>
      </c>
    </row>
    <row r="1216" spans="47:59" ht="11.25" customHeight="1">
      <c r="AU1216" s="136">
        <f t="shared" si="245"/>
        <v>0.99999999865928757</v>
      </c>
      <c r="AV1216" s="136">
        <f t="shared" si="256"/>
        <v>5.9499999999998341</v>
      </c>
      <c r="AW1216" s="136">
        <f t="shared" si="246"/>
        <v>8.1913384034872618E-9</v>
      </c>
      <c r="AX1216" s="136" t="e">
        <f t="shared" si="247"/>
        <v>#N/A</v>
      </c>
      <c r="AY1216" s="136">
        <f t="shared" si="248"/>
        <v>5.9499899999998345</v>
      </c>
      <c r="AZ1216" s="136">
        <f t="shared" si="249"/>
        <v>5.9500099999998337</v>
      </c>
      <c r="BA1216" s="136">
        <f t="shared" si="250"/>
        <v>0.98644821625828727</v>
      </c>
      <c r="BB1216" s="136">
        <f t="shared" si="251"/>
        <v>0.98644830369202574</v>
      </c>
      <c r="BC1216" s="136" t="e">
        <f t="shared" si="252"/>
        <v>#N/A</v>
      </c>
      <c r="BD1216" s="136">
        <f t="shared" si="257"/>
        <v>8.1913384034872618E-9</v>
      </c>
      <c r="BE1216" s="136">
        <f t="shared" si="253"/>
        <v>-9.9999180866159644E-4</v>
      </c>
      <c r="BF1216" s="136" t="e">
        <f t="shared" si="254"/>
        <v>#N/A</v>
      </c>
      <c r="BG1216" s="136" t="e">
        <f t="shared" si="255"/>
        <v>#N/A</v>
      </c>
    </row>
    <row r="1217" spans="47:59" ht="11.25" customHeight="1">
      <c r="AU1217" s="136">
        <f t="shared" si="245"/>
        <v>0.99999999873881029</v>
      </c>
      <c r="AV1217" s="136">
        <f t="shared" si="256"/>
        <v>5.9599999999998339</v>
      </c>
      <c r="AW1217" s="136">
        <f t="shared" si="246"/>
        <v>7.7177842125781769E-9</v>
      </c>
      <c r="AX1217" s="136" t="e">
        <f t="shared" si="247"/>
        <v>#N/A</v>
      </c>
      <c r="AY1217" s="136">
        <f t="shared" si="248"/>
        <v>5.9599899999998343</v>
      </c>
      <c r="AZ1217" s="136">
        <f t="shared" si="249"/>
        <v>5.9600099999998335</v>
      </c>
      <c r="BA1217" s="136">
        <f t="shared" si="250"/>
        <v>0.98649182923584489</v>
      </c>
      <c r="BB1217" s="136">
        <f t="shared" si="251"/>
        <v>0.98649191625361932</v>
      </c>
      <c r="BC1217" s="136" t="e">
        <f t="shared" si="252"/>
        <v>#N/A</v>
      </c>
      <c r="BD1217" s="136">
        <f t="shared" si="257"/>
        <v>7.7177842125781769E-9</v>
      </c>
      <c r="BE1217" s="136">
        <f t="shared" si="253"/>
        <v>-9.9999228221578753E-4</v>
      </c>
      <c r="BF1217" s="136" t="e">
        <f t="shared" si="254"/>
        <v>#N/A</v>
      </c>
      <c r="BG1217" s="136" t="e">
        <f t="shared" si="255"/>
        <v>#N/A</v>
      </c>
    </row>
    <row r="1218" spans="47:59" ht="11.25" customHeight="1">
      <c r="AU1218" s="136">
        <f t="shared" si="245"/>
        <v>0.99999999881373203</v>
      </c>
      <c r="AV1218" s="136">
        <f t="shared" si="256"/>
        <v>5.9699999999998337</v>
      </c>
      <c r="AW1218" s="136">
        <f t="shared" si="246"/>
        <v>7.2708798119073129E-9</v>
      </c>
      <c r="AX1218" s="136" t="e">
        <f t="shared" si="247"/>
        <v>#N/A</v>
      </c>
      <c r="AY1218" s="136">
        <f t="shared" si="248"/>
        <v>5.969989999999834</v>
      </c>
      <c r="AZ1218" s="136">
        <f t="shared" si="249"/>
        <v>5.9700099999998333</v>
      </c>
      <c r="BA1218" s="136">
        <f t="shared" si="250"/>
        <v>0.98653523488031702</v>
      </c>
      <c r="BB1218" s="136">
        <f t="shared" si="251"/>
        <v>0.986535321484725</v>
      </c>
      <c r="BC1218" s="136" t="e">
        <f t="shared" si="252"/>
        <v>#N/A</v>
      </c>
      <c r="BD1218" s="136">
        <f t="shared" si="257"/>
        <v>7.2708798119073129E-9</v>
      </c>
      <c r="BE1218" s="136">
        <f t="shared" si="253"/>
        <v>-9.9999272912018817E-4</v>
      </c>
      <c r="BF1218" s="136" t="e">
        <f t="shared" si="254"/>
        <v>#N/A</v>
      </c>
      <c r="BG1218" s="136" t="e">
        <f t="shared" si="255"/>
        <v>#N/A</v>
      </c>
    </row>
    <row r="1219" spans="47:59" ht="11.25" customHeight="1">
      <c r="AU1219" s="136">
        <f t="shared" si="245"/>
        <v>0.9999999988843119</v>
      </c>
      <c r="AV1219" s="136">
        <f t="shared" si="256"/>
        <v>5.9799999999998334</v>
      </c>
      <c r="AW1219" s="136">
        <f t="shared" si="246"/>
        <v>6.8491688129925952E-9</v>
      </c>
      <c r="AX1219" s="136" t="e">
        <f t="shared" si="247"/>
        <v>#N/A</v>
      </c>
      <c r="AY1219" s="136">
        <f t="shared" si="248"/>
        <v>5.9799899999998338</v>
      </c>
      <c r="AZ1219" s="136">
        <f t="shared" si="249"/>
        <v>5.9800099999998331</v>
      </c>
      <c r="BA1219" s="136">
        <f t="shared" si="250"/>
        <v>0.98657843448549698</v>
      </c>
      <c r="BB1219" s="136">
        <f t="shared" si="251"/>
        <v>0.98657852067911611</v>
      </c>
      <c r="BC1219" s="136" t="e">
        <f t="shared" si="252"/>
        <v>#N/A</v>
      </c>
      <c r="BD1219" s="136">
        <f t="shared" si="257"/>
        <v>6.8491688129925952E-9</v>
      </c>
      <c r="BE1219" s="136">
        <f t="shared" si="253"/>
        <v>-9.9999315083118697E-4</v>
      </c>
      <c r="BF1219" s="136" t="e">
        <f t="shared" si="254"/>
        <v>#N/A</v>
      </c>
      <c r="BG1219" s="136" t="e">
        <f t="shared" si="255"/>
        <v>#N/A</v>
      </c>
    </row>
    <row r="1220" spans="47:59" ht="11.25" customHeight="1">
      <c r="AU1220" s="136">
        <f t="shared" si="245"/>
        <v>0.99999999895079483</v>
      </c>
      <c r="AV1220" s="136">
        <f t="shared" si="256"/>
        <v>5.9899999999998332</v>
      </c>
      <c r="AW1220" s="136">
        <f t="shared" si="246"/>
        <v>6.4512718908182141E-9</v>
      </c>
      <c r="AX1220" s="136" t="e">
        <f t="shared" si="247"/>
        <v>#N/A</v>
      </c>
      <c r="AY1220" s="136">
        <f t="shared" si="248"/>
        <v>5.9899899999998336</v>
      </c>
      <c r="AZ1220" s="136">
        <f t="shared" si="249"/>
        <v>5.9900099999998329</v>
      </c>
      <c r="BA1220" s="136">
        <f t="shared" si="250"/>
        <v>0.98662142933524832</v>
      </c>
      <c r="BB1220" s="136">
        <f t="shared" si="251"/>
        <v>0.98662151512063645</v>
      </c>
      <c r="BC1220" s="136" t="e">
        <f t="shared" si="252"/>
        <v>#N/A</v>
      </c>
      <c r="BD1220" s="136">
        <f t="shared" si="257"/>
        <v>6.4512718908182141E-9</v>
      </c>
      <c r="BE1220" s="136">
        <f t="shared" si="253"/>
        <v>-9.9999354872810919E-4</v>
      </c>
      <c r="BF1220" s="136" t="e">
        <f t="shared" si="254"/>
        <v>#N/A</v>
      </c>
      <c r="BG1220" s="136" t="e">
        <f t="shared" si="255"/>
        <v>#N/A</v>
      </c>
    </row>
    <row r="1221" spans="47:59" ht="11.25" customHeight="1">
      <c r="AU1221" s="136">
        <f t="shared" si="245"/>
        <v>0.9999999990134123</v>
      </c>
      <c r="AV1221" s="136">
        <f t="shared" si="256"/>
        <v>5.999999999999833</v>
      </c>
      <c r="AW1221" s="136">
        <f t="shared" si="246"/>
        <v>6.0758828498293717E-9</v>
      </c>
      <c r="AX1221" s="136" t="e">
        <f t="shared" si="247"/>
        <v>#N/A</v>
      </c>
      <c r="AY1221" s="136">
        <f t="shared" si="248"/>
        <v>5.9999899999998334</v>
      </c>
      <c r="AZ1221" s="136">
        <f t="shared" si="249"/>
        <v>6.0000099999998326</v>
      </c>
      <c r="BA1221" s="136">
        <f t="shared" si="250"/>
        <v>0.98666422070359461</v>
      </c>
      <c r="BB1221" s="136">
        <f t="shared" si="251"/>
        <v>0.98666430608328992</v>
      </c>
      <c r="BC1221" s="136" t="e">
        <f t="shared" si="252"/>
        <v>#N/A</v>
      </c>
      <c r="BD1221" s="136">
        <f t="shared" si="257"/>
        <v>6.0758828498293717E-9</v>
      </c>
      <c r="BE1221" s="136">
        <f t="shared" si="253"/>
        <v>-9.9999392411715023E-4</v>
      </c>
      <c r="BF1221" s="136" t="e">
        <f t="shared" si="254"/>
        <v>#N/A</v>
      </c>
      <c r="BG1221" s="136" t="e">
        <f t="shared" si="255"/>
        <v>#N/A</v>
      </c>
    </row>
  </sheetData>
  <sheetProtection sheet="1" objects="1" scenarios="1" selectLockedCells="1"/>
  <mergeCells count="1">
    <mergeCell ref="F19:G19"/>
  </mergeCells>
  <phoneticPr fontId="3" type="noConversion"/>
  <dataValidations count="4">
    <dataValidation type="decimal" allowBlank="1" showInputMessage="1" showErrorMessage="1" errorTitle="Mean" error="Must be a number" sqref="E19">
      <formula1>-10000000000</formula1>
      <formula2>10000000000</formula2>
    </dataValidation>
    <dataValidation type="decimal" operator="greaterThan" allowBlank="1" showInputMessage="1" showErrorMessage="1" errorTitle="Standard Deviation" error="Must be a positive number" sqref="E21">
      <formula1>0</formula1>
    </dataValidation>
    <dataValidation type="decimal" allowBlank="1" showErrorMessage="1" errorTitle="Population mean" error="Number, min 0, max 100" sqref="AV17">
      <formula1>0</formula1>
      <formula2>100</formula2>
    </dataValidation>
    <dataValidation type="decimal" allowBlank="1" showErrorMessage="1" errorTitle="Population standard deviation" error="Number, min 1, max 50" sqref="AV18">
      <formula1>1</formula1>
      <formula2>50</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sheetPr codeName="Sheet5"/>
  <dimension ref="A1:IU1221"/>
  <sheetViews>
    <sheetView showGridLines="0" showRowColHeaders="0" zoomScale="120" workbookViewId="0">
      <selection activeCell="M2" sqref="M2"/>
    </sheetView>
  </sheetViews>
  <sheetFormatPr defaultColWidth="8.85546875" defaultRowHeight="11.25" customHeight="1"/>
  <cols>
    <col min="1" max="1" width="0.7109375" style="7" customWidth="1"/>
    <col min="2" max="2" width="2.28515625" style="7" customWidth="1"/>
    <col min="3" max="3" width="6.140625" style="7" customWidth="1"/>
    <col min="4" max="4" width="3.28515625" style="7" customWidth="1"/>
    <col min="5" max="5" width="4.5703125" style="7" customWidth="1"/>
    <col min="6" max="6" width="4" style="7" customWidth="1"/>
    <col min="7" max="7" width="5.7109375" style="7" customWidth="1"/>
    <col min="8" max="8" width="2.140625" style="7" customWidth="1"/>
    <col min="9" max="9" width="5.85546875" style="7" customWidth="1"/>
    <col min="10" max="13" width="4.28515625" style="7" customWidth="1"/>
    <col min="14" max="14" width="4.28515625" style="45" customWidth="1"/>
    <col min="15" max="15" width="8.140625" style="7" customWidth="1"/>
    <col min="16" max="16" width="4.85546875" style="7" customWidth="1"/>
    <col min="17" max="17" width="6.5703125" style="7" customWidth="1"/>
    <col min="18" max="18" width="7" style="7" customWidth="1"/>
    <col min="19" max="19" width="10.42578125" style="7" customWidth="1"/>
    <col min="20" max="20" width="9.5703125" style="7" customWidth="1"/>
    <col min="21" max="21" width="7" style="7" customWidth="1"/>
    <col min="22" max="22" width="6.85546875" style="7" customWidth="1"/>
    <col min="23" max="23" width="7.7109375" style="7" customWidth="1"/>
    <col min="24" max="24" width="10" style="7" customWidth="1"/>
    <col min="25" max="25" width="8.28515625" style="7" customWidth="1"/>
    <col min="26" max="26" width="9.85546875" style="7" customWidth="1"/>
    <col min="27" max="27" width="9.42578125" style="7" customWidth="1"/>
    <col min="28" max="28" width="10" style="7" customWidth="1"/>
    <col min="29" max="29" width="7.140625" style="7" customWidth="1"/>
    <col min="30" max="30" width="3.85546875" style="7" customWidth="1"/>
    <col min="31" max="48" width="7.140625" style="7" customWidth="1"/>
    <col min="49" max="50" width="8.85546875" style="7" customWidth="1"/>
    <col min="51" max="51" width="9.7109375" style="7" bestFit="1" customWidth="1"/>
    <col min="52" max="60" width="8.85546875" style="7"/>
    <col min="61" max="61" width="10.42578125" style="7" bestFit="1" customWidth="1"/>
    <col min="62" max="62" width="8.85546875" style="7"/>
    <col min="63" max="63" width="10.42578125" style="7" bestFit="1" customWidth="1"/>
    <col min="64" max="16384" width="8.85546875" style="7"/>
  </cols>
  <sheetData>
    <row r="1" spans="1:255" ht="11.25" customHeight="1">
      <c r="A1" s="136"/>
      <c r="B1" s="136"/>
      <c r="C1" s="136"/>
      <c r="D1" s="43" t="s">
        <v>1041</v>
      </c>
      <c r="E1" s="136"/>
      <c r="F1" s="136"/>
      <c r="G1" s="136"/>
      <c r="H1" s="44"/>
      <c r="I1" s="44"/>
      <c r="J1" s="45">
        <f>($BA$14+$BA$16)/100000000</f>
        <v>6.97E-5</v>
      </c>
      <c r="K1" s="45">
        <f t="shared" ref="K1:AB1" si="0">$J$1</f>
        <v>6.97E-5</v>
      </c>
      <c r="L1" s="45">
        <f t="shared" si="0"/>
        <v>6.97E-5</v>
      </c>
      <c r="M1" s="45">
        <f t="shared" si="0"/>
        <v>6.97E-5</v>
      </c>
      <c r="N1" s="45">
        <f t="shared" si="0"/>
        <v>6.97E-5</v>
      </c>
      <c r="O1" s="45">
        <f t="shared" si="0"/>
        <v>6.97E-5</v>
      </c>
      <c r="P1" s="45">
        <f t="shared" si="0"/>
        <v>6.97E-5</v>
      </c>
      <c r="Q1" s="45">
        <f t="shared" si="0"/>
        <v>6.97E-5</v>
      </c>
      <c r="R1" s="45">
        <f t="shared" si="0"/>
        <v>6.97E-5</v>
      </c>
      <c r="S1" s="45">
        <f t="shared" si="0"/>
        <v>6.97E-5</v>
      </c>
      <c r="T1" s="45">
        <f t="shared" si="0"/>
        <v>6.97E-5</v>
      </c>
      <c r="U1" s="45">
        <f t="shared" si="0"/>
        <v>6.97E-5</v>
      </c>
      <c r="V1" s="45">
        <f t="shared" si="0"/>
        <v>6.97E-5</v>
      </c>
      <c r="W1" s="45">
        <f t="shared" si="0"/>
        <v>6.97E-5</v>
      </c>
      <c r="X1" s="45">
        <f t="shared" si="0"/>
        <v>6.97E-5</v>
      </c>
      <c r="Y1" s="45">
        <f t="shared" si="0"/>
        <v>6.97E-5</v>
      </c>
      <c r="Z1" s="45">
        <f t="shared" si="0"/>
        <v>6.97E-5</v>
      </c>
      <c r="AA1" s="45">
        <f t="shared" si="0"/>
        <v>6.97E-5</v>
      </c>
      <c r="AB1" s="45">
        <f t="shared" si="0"/>
        <v>6.97E-5</v>
      </c>
      <c r="AC1" s="46"/>
      <c r="AD1" s="46"/>
      <c r="AE1" s="46"/>
      <c r="AF1" s="46"/>
      <c r="AG1" s="46"/>
      <c r="AH1" s="46"/>
      <c r="AI1" s="46"/>
      <c r="AJ1" s="46"/>
      <c r="AK1" s="46"/>
      <c r="AL1" s="46"/>
      <c r="AM1" s="46"/>
      <c r="AN1" s="46"/>
      <c r="AO1" s="46"/>
      <c r="AP1" s="46"/>
      <c r="AQ1" s="46"/>
      <c r="AR1" s="46"/>
      <c r="AS1" s="46"/>
      <c r="AT1" s="46"/>
      <c r="AU1" s="46"/>
      <c r="AV1" s="46"/>
      <c r="AW1" s="47"/>
      <c r="AY1" s="7" t="s">
        <v>201</v>
      </c>
      <c r="AZ1" s="48" t="s">
        <v>968</v>
      </c>
      <c r="BA1" s="49">
        <f>1-NORMDIST(BN17,BA17,BA18,TRUE)</f>
        <v>2.4997895148220373E-2</v>
      </c>
      <c r="BB1" s="48" t="s">
        <v>969</v>
      </c>
      <c r="BC1" s="49">
        <f>IF(U29&gt;=0,TDIST(U29,BA14,1),1-TDIST(-U29,BA14,1))</f>
        <v>3.9218119743256181E-2</v>
      </c>
      <c r="BD1" s="47" t="s">
        <v>970</v>
      </c>
      <c r="BE1" s="459">
        <f>IF($BA$13=1,BA1,BC1)</f>
        <v>2.4997895148220373E-2</v>
      </c>
      <c r="BF1" s="50" t="s">
        <v>971</v>
      </c>
      <c r="BG1" s="51"/>
      <c r="BH1" s="50"/>
      <c r="BI1" s="52" t="s">
        <v>972</v>
      </c>
      <c r="BJ1" s="53" t="s">
        <v>973</v>
      </c>
    </row>
    <row r="2" spans="1:255" ht="11.25" customHeight="1">
      <c r="A2" s="136"/>
      <c r="B2" s="136"/>
      <c r="C2" s="136"/>
      <c r="D2" s="137" t="s">
        <v>102</v>
      </c>
      <c r="E2" s="136"/>
      <c r="F2" s="136"/>
      <c r="G2" s="136"/>
      <c r="H2" s="136"/>
      <c r="I2" s="136"/>
      <c r="J2" s="45">
        <f t="shared" ref="J2:J28" si="1">$J$1</f>
        <v>6.97E-5</v>
      </c>
      <c r="K2" s="4"/>
      <c r="N2" s="54"/>
      <c r="Z2" s="46"/>
      <c r="AA2" s="46"/>
      <c r="AB2" s="45">
        <f t="shared" ref="AB2:AB28" si="2">$J$1</f>
        <v>6.97E-5</v>
      </c>
      <c r="AC2" s="46"/>
      <c r="AD2" s="46"/>
      <c r="AE2" s="46"/>
      <c r="AF2" s="46"/>
      <c r="AG2" s="46"/>
      <c r="AH2" s="46"/>
      <c r="AI2" s="46"/>
      <c r="AJ2" s="46"/>
      <c r="AK2" s="46"/>
      <c r="AL2" s="46"/>
      <c r="AM2" s="46"/>
      <c r="AN2" s="46"/>
      <c r="AO2" s="46"/>
      <c r="AP2" s="46"/>
      <c r="AQ2" s="46"/>
      <c r="AR2" s="46"/>
      <c r="AS2" s="46"/>
      <c r="AT2" s="46"/>
      <c r="AU2" s="46"/>
      <c r="AV2" s="46"/>
      <c r="AY2" t="str">
        <f>IF(AND(BA15&lt;3,BA11),IF(BA13&gt;1,"Probabilities are areas under the red curve (t)","Probabilities are areas under the blue curve (Normal)"),"")</f>
        <v>Probabilities are areas under the blue curve (Normal)</v>
      </c>
      <c r="AZ2" s="47" t="s">
        <v>974</v>
      </c>
      <c r="BA2" s="7">
        <f>1-BA1</f>
        <v>0.97500210485177963</v>
      </c>
      <c r="BB2" s="47" t="s">
        <v>975</v>
      </c>
      <c r="BC2" s="7">
        <f>1-BC1</f>
        <v>0.96078188025674383</v>
      </c>
      <c r="BD2" s="47" t="s">
        <v>970</v>
      </c>
      <c r="BE2" s="459">
        <f>IF($BA$13=1,BA2,BC2)</f>
        <v>0.97500210485177963</v>
      </c>
      <c r="BF2" s="55" t="s">
        <v>976</v>
      </c>
      <c r="BG2" s="56">
        <v>0.435</v>
      </c>
      <c r="BH2" s="57" t="s">
        <v>977</v>
      </c>
      <c r="BI2" s="58" t="e">
        <f>IF($BA$15=1,NORMDIST(BC13,$BA$17,$BA$18,FALSE),NA())</f>
        <v>#N/A</v>
      </c>
      <c r="BJ2" s="59">
        <f>IF($BA$15=2,NORMDIST(BC14,$BA$17,$BA$18,FALSE),NA())</f>
        <v>5.8440944333451463E-2</v>
      </c>
    </row>
    <row r="3" spans="1:255" ht="11.25" customHeight="1">
      <c r="A3" s="136"/>
      <c r="B3" s="136"/>
      <c r="C3" s="136"/>
      <c r="D3" s="136" t="s">
        <v>198</v>
      </c>
      <c r="E3" s="136"/>
      <c r="F3" s="136"/>
      <c r="G3" s="136"/>
      <c r="H3" s="136"/>
      <c r="I3" s="136"/>
      <c r="J3" s="45">
        <f t="shared" si="1"/>
        <v>6.97E-5</v>
      </c>
      <c r="K3" s="462"/>
      <c r="L3" s="60"/>
      <c r="M3" s="60"/>
      <c r="N3" s="54"/>
      <c r="O3" s="60"/>
      <c r="V3" s="61"/>
      <c r="Z3" s="46"/>
      <c r="AA3" s="46"/>
      <c r="AB3" s="45">
        <f t="shared" si="2"/>
        <v>6.97E-5</v>
      </c>
      <c r="AC3" s="46"/>
      <c r="AD3" s="46"/>
      <c r="AE3" s="46"/>
      <c r="AF3" s="46"/>
      <c r="AG3" s="46"/>
      <c r="AH3" s="46"/>
      <c r="AI3" s="46"/>
      <c r="AJ3" s="46"/>
      <c r="AK3" s="46"/>
      <c r="AL3" s="46"/>
      <c r="AM3" s="46"/>
      <c r="AN3" s="46"/>
      <c r="AO3" s="46"/>
      <c r="AP3" s="46"/>
      <c r="AQ3" s="46"/>
      <c r="AR3" s="46"/>
      <c r="AS3" s="46"/>
      <c r="AT3" s="46"/>
      <c r="AU3" s="46"/>
      <c r="AV3" s="46"/>
      <c r="AY3" s="14"/>
      <c r="AZ3" s="48" t="s">
        <v>978</v>
      </c>
      <c r="BA3" s="49">
        <f>MIN(1,2*BA1)</f>
        <v>4.9995790296440745E-2</v>
      </c>
      <c r="BB3" s="48" t="s">
        <v>979</v>
      </c>
      <c r="BC3" s="49">
        <f>MIN(2*(1-BC1),2*BC1)</f>
        <v>7.8436239486512363E-2</v>
      </c>
      <c r="BD3" s="47" t="s">
        <v>970</v>
      </c>
      <c r="BE3" s="459">
        <f>IF($BA$13=1,BA3,BC3)</f>
        <v>4.9995790296440745E-2</v>
      </c>
      <c r="BF3" s="55" t="e">
        <f>IF(IF($BA$11,BA15=1),U29+BG2,NA())</f>
        <v>#N/A</v>
      </c>
      <c r="BG3" s="56">
        <v>0.02</v>
      </c>
      <c r="BH3" s="7" t="s">
        <v>980</v>
      </c>
    </row>
    <row r="4" spans="1:255" ht="11.25" customHeight="1">
      <c r="A4" s="136"/>
      <c r="B4" s="138"/>
      <c r="C4" s="136"/>
      <c r="D4" s="136"/>
      <c r="E4" s="138"/>
      <c r="F4" s="138"/>
      <c r="G4" s="136"/>
      <c r="H4" s="136"/>
      <c r="I4" s="136"/>
      <c r="J4" s="45">
        <f t="shared" si="1"/>
        <v>6.97E-5</v>
      </c>
      <c r="K4" s="463"/>
      <c r="L4" s="6"/>
      <c r="M4" s="6"/>
      <c r="N4" s="6"/>
      <c r="V4" s="14"/>
      <c r="Z4" s="46"/>
      <c r="AA4" s="46"/>
      <c r="AB4" s="45">
        <f t="shared" si="2"/>
        <v>6.97E-5</v>
      </c>
      <c r="AC4" s="46"/>
      <c r="AD4" s="46"/>
      <c r="AE4" s="46"/>
      <c r="AF4" s="46"/>
      <c r="AG4" s="46"/>
      <c r="AH4" s="46"/>
      <c r="AI4" s="46"/>
      <c r="AJ4" s="46"/>
      <c r="AK4" s="46"/>
      <c r="AL4" s="46"/>
      <c r="AM4" s="46"/>
      <c r="AN4" s="46"/>
      <c r="AO4" s="46"/>
      <c r="AP4" s="46"/>
      <c r="AQ4" s="46"/>
      <c r="AR4" s="46"/>
      <c r="AS4" s="46"/>
      <c r="AT4" s="46"/>
      <c r="AU4" s="46"/>
      <c r="AV4" s="46"/>
      <c r="AY4" s="14"/>
      <c r="AZ4" s="47" t="s">
        <v>981</v>
      </c>
      <c r="BA4" s="7">
        <f>1-BA3</f>
        <v>0.95000420970355925</v>
      </c>
      <c r="BB4" s="47" t="s">
        <v>982</v>
      </c>
      <c r="BC4" s="7">
        <f>1-BC3</f>
        <v>0.92156376051348765</v>
      </c>
      <c r="BD4" s="47" t="s">
        <v>970</v>
      </c>
      <c r="BE4" s="459">
        <f>IF($BA$13=1,BA4,BC4)</f>
        <v>0.95000420970355925</v>
      </c>
      <c r="BF4" s="62" t="e">
        <f>IF(IF($BA$11,BA15=1),U29-BG2,NA())</f>
        <v>#N/A</v>
      </c>
      <c r="BG4" s="63">
        <f>BG3</f>
        <v>0.02</v>
      </c>
      <c r="BI4" s="61" t="s">
        <v>983</v>
      </c>
      <c r="BJ4" s="61" t="s">
        <v>984</v>
      </c>
      <c r="BK4" s="61" t="s">
        <v>985</v>
      </c>
      <c r="BL4" s="61" t="s">
        <v>986</v>
      </c>
      <c r="BM4" s="64" t="s">
        <v>987</v>
      </c>
    </row>
    <row r="5" spans="1:255" ht="11.25" customHeight="1">
      <c r="A5" s="136"/>
      <c r="B5" s="138"/>
      <c r="C5" s="138"/>
      <c r="D5" s="138"/>
      <c r="E5" s="138"/>
      <c r="F5" s="138"/>
      <c r="G5" s="136"/>
      <c r="H5" s="136"/>
      <c r="I5" s="136"/>
      <c r="J5" s="45">
        <f t="shared" si="1"/>
        <v>6.97E-5</v>
      </c>
      <c r="K5" s="6"/>
      <c r="L5" s="6"/>
      <c r="M5" s="6"/>
      <c r="N5" s="6"/>
      <c r="V5" s="14"/>
      <c r="Z5" s="46"/>
      <c r="AA5" s="46"/>
      <c r="AB5" s="45">
        <f t="shared" si="2"/>
        <v>6.97E-5</v>
      </c>
      <c r="AC5" s="46"/>
      <c r="AD5" s="46"/>
      <c r="AE5" s="46"/>
      <c r="AF5" s="46"/>
      <c r="AG5" s="46"/>
      <c r="AH5" s="46"/>
      <c r="AI5" s="46"/>
      <c r="AJ5" s="46"/>
      <c r="AK5" s="46"/>
      <c r="AL5" s="46"/>
      <c r="AM5" s="46"/>
      <c r="AN5" s="46"/>
      <c r="AO5" s="46"/>
      <c r="AP5" s="46"/>
      <c r="AQ5" s="46"/>
      <c r="AR5" s="46"/>
      <c r="AS5" s="46"/>
      <c r="AT5" s="46"/>
      <c r="AU5" s="46"/>
      <c r="AV5" s="46"/>
      <c r="AY5" s="14"/>
      <c r="AZ5" s="50" t="s">
        <v>988</v>
      </c>
      <c r="BA5" s="51"/>
      <c r="BD5" s="47" t="s">
        <v>989</v>
      </c>
      <c r="BE5" s="459">
        <f>BE3*0.5</f>
        <v>2.4997895148220373E-2</v>
      </c>
      <c r="BH5" s="47" t="s">
        <v>972</v>
      </c>
      <c r="BI5" s="7" t="e">
        <f>IF($BA$15=1,BC13-$BD$19,NA())</f>
        <v>#N/A</v>
      </c>
      <c r="BJ5" s="7" t="e">
        <f>IF($BA$15=1,BC13+$BD$19,NA())</f>
        <v>#N/A</v>
      </c>
      <c r="BK5" s="7" t="e">
        <f>IF(BI5&lt;0,TDIST(-BI5,$BA$14,1),1-TDIST(BI5,$BA$14,1))</f>
        <v>#N/A</v>
      </c>
      <c r="BL5" s="7" t="e">
        <f>IF(BJ5&lt;0,TDIST(-BJ5,$BA$14,1),1-TDIST(BJ5,$BA$14,1))</f>
        <v>#N/A</v>
      </c>
      <c r="BM5" s="65" t="e">
        <f>IF($BA$13&gt;1,(BL5-BK5)/(2*$BD$19),NA())</f>
        <v>#N/A</v>
      </c>
    </row>
    <row r="6" spans="1:255" ht="11.25" customHeight="1">
      <c r="A6" s="136"/>
      <c r="B6" s="442">
        <v>1</v>
      </c>
      <c r="C6" s="139" t="s">
        <v>990</v>
      </c>
      <c r="D6" s="140"/>
      <c r="E6" s="140"/>
      <c r="F6" s="140"/>
      <c r="G6" s="141"/>
      <c r="H6" s="141"/>
      <c r="I6" s="142"/>
      <c r="J6" s="45">
        <f t="shared" si="1"/>
        <v>6.97E-5</v>
      </c>
      <c r="K6" s="6"/>
      <c r="L6" s="6"/>
      <c r="M6" s="6"/>
      <c r="N6" s="6"/>
      <c r="V6" s="14"/>
      <c r="Y6" s="14"/>
      <c r="Z6" s="46"/>
      <c r="AA6" s="46"/>
      <c r="AB6" s="45">
        <f t="shared" si="2"/>
        <v>6.97E-5</v>
      </c>
      <c r="AC6" s="46"/>
      <c r="AD6" s="46"/>
      <c r="AE6" s="46"/>
      <c r="AF6" s="46"/>
      <c r="AG6" s="46"/>
      <c r="AH6" s="46"/>
      <c r="AI6" s="46"/>
      <c r="AJ6" s="46"/>
      <c r="AK6" s="46"/>
      <c r="AL6" s="46"/>
      <c r="AM6" s="46"/>
      <c r="AN6" s="46"/>
      <c r="AO6" s="46"/>
      <c r="AP6" s="46"/>
      <c r="AQ6" s="46"/>
      <c r="AR6" s="46"/>
      <c r="AS6" s="46"/>
      <c r="AT6" s="46"/>
      <c r="AU6" s="46"/>
      <c r="AV6" s="46"/>
      <c r="AY6" s="14"/>
      <c r="AZ6" s="55">
        <f>IF(IF($BA$11,$BA$15=2),BC15-BG2,NA())</f>
        <v>-2.395</v>
      </c>
      <c r="BA6" s="56">
        <f>BG3</f>
        <v>0.02</v>
      </c>
      <c r="BB6" s="66"/>
      <c r="BC6" s="67" t="s">
        <v>991</v>
      </c>
      <c r="BD6" s="68" t="b">
        <v>1</v>
      </c>
      <c r="BE6" s="69" t="s">
        <v>992</v>
      </c>
      <c r="BF6" s="70"/>
      <c r="BG6" s="51"/>
      <c r="BH6" s="47" t="s">
        <v>973</v>
      </c>
      <c r="BI6" s="7">
        <f>IF($BA$15=2,BC14-$BD$19,NA())</f>
        <v>1.9599899999999999</v>
      </c>
      <c r="BJ6" s="7">
        <f>IF($BA$15=2,BC14+$BD$19,NA())</f>
        <v>1.96001</v>
      </c>
      <c r="BK6" s="7">
        <f>IF(BI6&lt;0,TDIST(-BI6,$BA$14,1),1-TDIST(BI6,$BA$14,1))</f>
        <v>0.9607812293042054</v>
      </c>
      <c r="BL6" s="7">
        <f>IF(BJ6&lt;0,TDIST(-BJ6,$BA$14,1),1-TDIST(BJ6,$BA$14,1))</f>
        <v>0.96078253119914292</v>
      </c>
      <c r="BM6" s="65" t="e">
        <f>IF($BA$13&gt;1,(BL6-BK6)/(2*$BD$19),NA())</f>
        <v>#N/A</v>
      </c>
    </row>
    <row r="7" spans="1:255" ht="11.25" customHeight="1">
      <c r="A7" s="136"/>
      <c r="B7" s="143"/>
      <c r="C7" s="144"/>
      <c r="D7" s="163" t="s">
        <v>737</v>
      </c>
      <c r="E7" s="144"/>
      <c r="F7" s="144"/>
      <c r="G7" s="144"/>
      <c r="H7" s="144"/>
      <c r="I7" s="145"/>
      <c r="J7" s="45">
        <f t="shared" si="1"/>
        <v>6.97E-5</v>
      </c>
      <c r="K7" s="6"/>
      <c r="L7" s="6"/>
      <c r="M7" s="6"/>
      <c r="N7" s="6"/>
      <c r="V7" s="14"/>
      <c r="Z7" s="46"/>
      <c r="AA7" s="54"/>
      <c r="AB7" s="45">
        <f t="shared" si="2"/>
        <v>6.97E-5</v>
      </c>
      <c r="AC7" s="46"/>
      <c r="AD7" s="46"/>
      <c r="AE7" s="46"/>
      <c r="AF7" s="46"/>
      <c r="AG7" s="46"/>
      <c r="AH7" s="46"/>
      <c r="AI7" s="46"/>
      <c r="AJ7" s="46"/>
      <c r="AK7" s="46"/>
      <c r="AL7" s="46"/>
      <c r="AM7" s="46"/>
      <c r="AN7" s="46"/>
      <c r="AO7" s="46"/>
      <c r="AP7" s="46"/>
      <c r="AQ7" s="46"/>
      <c r="AR7" s="46"/>
      <c r="AS7" s="46"/>
      <c r="AT7" s="46"/>
      <c r="AU7" s="46"/>
      <c r="AV7" s="46"/>
      <c r="AW7" s="47"/>
      <c r="AX7" s="14"/>
      <c r="AY7" s="14"/>
      <c r="AZ7" s="55">
        <f>IF(IF($BA$11,BA15=2),0,NA())</f>
        <v>0</v>
      </c>
      <c r="BA7" s="56">
        <v>0.05</v>
      </c>
      <c r="BB7" s="71"/>
      <c r="BC7" s="72" t="s">
        <v>993</v>
      </c>
      <c r="BD7" s="73" t="b">
        <v>1</v>
      </c>
      <c r="BE7" s="74">
        <f t="shared" ref="BE7:BE19" si="3">IF($BD$7,$BA$17+BG7*$BA$18,NA())</f>
        <v>-6</v>
      </c>
      <c r="BF7" s="66">
        <v>0</v>
      </c>
      <c r="BG7" s="51">
        <v>-6</v>
      </c>
      <c r="BI7" s="47" t="s">
        <v>994</v>
      </c>
      <c r="BJ7" s="7">
        <v>0.3</v>
      </c>
    </row>
    <row r="8" spans="1:255" ht="11.25" customHeight="1">
      <c r="A8" s="136"/>
      <c r="B8" s="143"/>
      <c r="C8" s="144"/>
      <c r="D8" s="144"/>
      <c r="E8" s="144"/>
      <c r="F8" s="144"/>
      <c r="G8" s="144"/>
      <c r="H8" s="144"/>
      <c r="I8" s="145"/>
      <c r="J8" s="45">
        <f t="shared" si="1"/>
        <v>6.97E-5</v>
      </c>
      <c r="K8" s="6"/>
      <c r="L8" s="6"/>
      <c r="M8" s="6"/>
      <c r="N8" s="6"/>
      <c r="V8" s="14"/>
      <c r="Y8" s="75"/>
      <c r="Z8" s="46"/>
      <c r="AA8" s="47"/>
      <c r="AB8" s="45">
        <f t="shared" si="2"/>
        <v>6.97E-5</v>
      </c>
      <c r="AX8" s="14"/>
      <c r="AY8" s="14"/>
      <c r="AZ8" s="55">
        <f>IF(IF($BA$11,$BA$15=2),BC14+BG2,NA())</f>
        <v>2.395</v>
      </c>
      <c r="BA8" s="56">
        <f>BA6</f>
        <v>0.02</v>
      </c>
      <c r="BC8" s="76" t="s">
        <v>995</v>
      </c>
      <c r="BD8" s="60">
        <v>1200</v>
      </c>
      <c r="BE8" s="77">
        <f t="shared" si="3"/>
        <v>-5</v>
      </c>
      <c r="BF8" s="8">
        <v>0</v>
      </c>
      <c r="BG8" s="56">
        <v>-5</v>
      </c>
      <c r="BH8" s="7" t="s">
        <v>996</v>
      </c>
      <c r="BI8" s="61" t="s">
        <v>997</v>
      </c>
      <c r="BJ8" s="61" t="s">
        <v>997</v>
      </c>
      <c r="BK8" s="61" t="s">
        <v>998</v>
      </c>
      <c r="BL8" s="61" t="s">
        <v>998</v>
      </c>
    </row>
    <row r="9" spans="1:255" ht="11.25" customHeight="1">
      <c r="A9" s="136"/>
      <c r="B9" s="143"/>
      <c r="C9" s="144"/>
      <c r="D9" s="163" t="s">
        <v>998</v>
      </c>
      <c r="E9" s="144"/>
      <c r="F9" s="144"/>
      <c r="G9" s="144"/>
      <c r="H9" s="144"/>
      <c r="I9" s="145"/>
      <c r="J9" s="45">
        <f t="shared" si="1"/>
        <v>6.97E-5</v>
      </c>
      <c r="K9" s="6"/>
      <c r="L9" s="6"/>
      <c r="M9" s="6"/>
      <c r="N9" s="6"/>
      <c r="V9" s="14"/>
      <c r="Z9" s="46"/>
      <c r="AA9" s="54"/>
      <c r="AB9" s="45">
        <f t="shared" si="2"/>
        <v>6.97E-5</v>
      </c>
      <c r="AZ9" s="55">
        <f>AZ8</f>
        <v>2.395</v>
      </c>
      <c r="BA9" s="56">
        <v>0.1</v>
      </c>
      <c r="BC9" s="76" t="s">
        <v>999</v>
      </c>
      <c r="BD9" s="60">
        <v>6</v>
      </c>
      <c r="BE9" s="77">
        <f t="shared" si="3"/>
        <v>-4</v>
      </c>
      <c r="BF9" s="8">
        <v>0</v>
      </c>
      <c r="BG9" s="56">
        <v>-4</v>
      </c>
      <c r="BH9" s="47" t="s">
        <v>972</v>
      </c>
      <c r="BI9" s="7" t="e">
        <f>IF(AND($BA$15=1,$BA$12,$BA$13=1),BN17+$BJ$7,NA())</f>
        <v>#N/A</v>
      </c>
      <c r="BJ9" s="7">
        <v>0.40799999999999997</v>
      </c>
      <c r="BK9" s="7" t="e">
        <f>IF(AND($BA$15=1,$BA$12,$BA$13&gt;1),U29+$BJ$7,NA())</f>
        <v>#N/A</v>
      </c>
      <c r="BL9" s="7">
        <f>BJ9</f>
        <v>0.40799999999999997</v>
      </c>
    </row>
    <row r="10" spans="1:255" ht="11.25" customHeight="1">
      <c r="A10" s="136"/>
      <c r="B10" s="143"/>
      <c r="C10" s="144"/>
      <c r="D10" s="144"/>
      <c r="E10" s="144"/>
      <c r="F10" s="78" t="s">
        <v>1000</v>
      </c>
      <c r="G10" s="164" t="str">
        <f>IF(BA13&gt;1,BA14,"")</f>
        <v/>
      </c>
      <c r="H10" s="144"/>
      <c r="I10" s="145"/>
      <c r="J10" s="45">
        <f t="shared" si="1"/>
        <v>6.97E-5</v>
      </c>
      <c r="K10" s="6"/>
      <c r="L10" s="6"/>
      <c r="M10" s="6"/>
      <c r="N10" s="6"/>
      <c r="O10" s="60"/>
      <c r="V10" s="14"/>
      <c r="Z10" s="46"/>
      <c r="AA10" s="54"/>
      <c r="AB10" s="45">
        <f t="shared" si="2"/>
        <v>6.97E-5</v>
      </c>
      <c r="AZ10" s="62">
        <f>AZ9</f>
        <v>2.395</v>
      </c>
      <c r="BA10" s="63">
        <v>0.13</v>
      </c>
      <c r="BC10" s="79" t="s">
        <v>1001</v>
      </c>
      <c r="BD10" s="8">
        <f>(BD9/BD8)*2</f>
        <v>0.01</v>
      </c>
      <c r="BE10" s="77">
        <f t="shared" si="3"/>
        <v>-3</v>
      </c>
      <c r="BF10" s="8">
        <v>0</v>
      </c>
      <c r="BG10" s="56">
        <v>-3</v>
      </c>
      <c r="BH10" s="47" t="s">
        <v>1002</v>
      </c>
      <c r="BI10" s="7" t="e">
        <f>IF(AND($BA$12,$BA$13=1),BC14+$BJ$7,NA())</f>
        <v>#N/A</v>
      </c>
      <c r="BJ10" s="7">
        <f>BJ9</f>
        <v>0.40799999999999997</v>
      </c>
      <c r="BK10" s="7" t="e">
        <f>IF(AND($BA$12,$BA$13&gt;1),BC14+$BJ$7,NA())</f>
        <v>#N/A</v>
      </c>
      <c r="BL10" s="7">
        <f>BL9</f>
        <v>0.40799999999999997</v>
      </c>
    </row>
    <row r="11" spans="1:255" ht="11.25" customHeight="1">
      <c r="A11" s="136"/>
      <c r="B11" s="143"/>
      <c r="C11" s="144"/>
      <c r="D11" s="163" t="s">
        <v>1199</v>
      </c>
      <c r="E11" s="144"/>
      <c r="F11" s="144"/>
      <c r="G11" s="144"/>
      <c r="H11" s="144"/>
      <c r="I11" s="145"/>
      <c r="J11" s="45">
        <f t="shared" si="1"/>
        <v>6.97E-5</v>
      </c>
      <c r="K11" s="6"/>
      <c r="L11" s="6"/>
      <c r="M11" s="6"/>
      <c r="N11" s="6"/>
      <c r="V11" s="14"/>
      <c r="Z11" s="46"/>
      <c r="AA11" s="54"/>
      <c r="AB11" s="45">
        <f t="shared" si="2"/>
        <v>6.97E-5</v>
      </c>
      <c r="AC11" s="46"/>
      <c r="AD11" s="46"/>
      <c r="AE11" s="46"/>
      <c r="AF11" s="46"/>
      <c r="AG11" s="46"/>
      <c r="AH11" s="46"/>
      <c r="AI11" s="46"/>
      <c r="AJ11" s="46"/>
      <c r="AK11" s="46"/>
      <c r="AL11" s="46"/>
      <c r="AM11" s="46"/>
      <c r="AN11" s="46"/>
      <c r="AO11" s="46"/>
      <c r="AP11" s="46"/>
      <c r="AQ11" s="46"/>
      <c r="AR11" s="46"/>
      <c r="AS11" s="46"/>
      <c r="AT11" s="46"/>
      <c r="AU11" s="46"/>
      <c r="AV11" s="46"/>
      <c r="AZ11" s="80" t="s">
        <v>1003</v>
      </c>
      <c r="BA11" s="3" t="b">
        <v>1</v>
      </c>
      <c r="BB11" s="60"/>
      <c r="BC11" s="60"/>
      <c r="BE11" s="77">
        <f t="shared" si="3"/>
        <v>-2</v>
      </c>
      <c r="BF11" s="8">
        <v>0</v>
      </c>
      <c r="BG11" s="56">
        <v>-2</v>
      </c>
      <c r="BI11" s="7" t="e">
        <f>IF(AND($BA$12,$BA$13=1),BC15-$BJ$7,NA())</f>
        <v>#N/A</v>
      </c>
      <c r="BJ11" s="7">
        <f>BJ9</f>
        <v>0.40799999999999997</v>
      </c>
      <c r="BK11" s="7" t="e">
        <f>IF(AND($BA$12,$BA$13&gt;1),BC15-$BJ$7,NA())</f>
        <v>#N/A</v>
      </c>
      <c r="BL11" s="7">
        <f>BL9</f>
        <v>0.40799999999999997</v>
      </c>
    </row>
    <row r="12" spans="1:255" ht="11.25" customHeight="1">
      <c r="A12" s="136"/>
      <c r="B12" s="143"/>
      <c r="C12" s="144"/>
      <c r="D12" s="144"/>
      <c r="E12" s="144"/>
      <c r="F12" s="144"/>
      <c r="G12" s="144"/>
      <c r="H12" s="144"/>
      <c r="I12" s="145"/>
      <c r="J12" s="45">
        <f t="shared" si="1"/>
        <v>6.97E-5</v>
      </c>
      <c r="K12" s="6"/>
      <c r="L12" s="6"/>
      <c r="M12" s="6"/>
      <c r="N12" s="6"/>
      <c r="V12" s="14"/>
      <c r="Z12" s="46"/>
      <c r="AA12" s="54"/>
      <c r="AB12" s="45">
        <f t="shared" si="2"/>
        <v>6.97E-5</v>
      </c>
      <c r="AC12" s="46"/>
      <c r="AD12" s="46"/>
      <c r="AE12" s="46"/>
      <c r="AF12" s="46"/>
      <c r="AG12" s="46"/>
      <c r="AH12" s="46"/>
      <c r="AI12" s="46"/>
      <c r="AJ12" s="46"/>
      <c r="AK12" s="46"/>
      <c r="AL12" s="46"/>
      <c r="AM12" s="46"/>
      <c r="AN12" s="46"/>
      <c r="AO12" s="46"/>
      <c r="AP12" s="46"/>
      <c r="AQ12" s="46"/>
      <c r="AR12" s="46"/>
      <c r="AS12" s="46"/>
      <c r="AT12" s="46"/>
      <c r="AU12" s="46"/>
      <c r="AV12" s="46"/>
      <c r="AZ12" s="80" t="s">
        <v>1004</v>
      </c>
      <c r="BA12" s="3" t="b">
        <v>0</v>
      </c>
      <c r="BB12" s="66"/>
      <c r="BC12" s="66" t="s">
        <v>1005</v>
      </c>
      <c r="BD12" s="66" t="s">
        <v>640</v>
      </c>
      <c r="BE12" s="77">
        <f t="shared" si="3"/>
        <v>-1</v>
      </c>
      <c r="BF12" s="8">
        <v>0</v>
      </c>
      <c r="BG12" s="56">
        <v>-1</v>
      </c>
      <c r="BH12" s="7" t="s">
        <v>1006</v>
      </c>
      <c r="BK12" s="6"/>
      <c r="BL12" s="6"/>
    </row>
    <row r="13" spans="1:255" ht="11.25" customHeight="1">
      <c r="A13" s="136"/>
      <c r="B13" s="433">
        <v>2</v>
      </c>
      <c r="C13" s="152" t="s">
        <v>1018</v>
      </c>
      <c r="D13" s="153"/>
      <c r="E13" s="153"/>
      <c r="F13" s="153"/>
      <c r="G13" s="153"/>
      <c r="H13" s="153"/>
      <c r="I13" s="154"/>
      <c r="J13" s="45">
        <f t="shared" si="1"/>
        <v>6.97E-5</v>
      </c>
      <c r="K13" s="6"/>
      <c r="L13" s="6"/>
      <c r="M13" s="6"/>
      <c r="N13" s="6"/>
      <c r="V13" s="14"/>
      <c r="Z13" s="46"/>
      <c r="AA13" s="54"/>
      <c r="AB13" s="45">
        <f t="shared" si="2"/>
        <v>6.97E-5</v>
      </c>
      <c r="AC13" s="46"/>
      <c r="AD13" s="46"/>
      <c r="AE13" s="46"/>
      <c r="AF13" s="46"/>
      <c r="AG13" s="46"/>
      <c r="AH13" s="46"/>
      <c r="AI13" s="46"/>
      <c r="AJ13" s="46"/>
      <c r="AK13" s="46"/>
      <c r="AL13" s="46"/>
      <c r="AM13" s="46"/>
      <c r="AN13" s="46"/>
      <c r="AO13" s="46"/>
      <c r="AP13" s="46"/>
      <c r="AQ13" s="46"/>
      <c r="AR13" s="46"/>
      <c r="AS13" s="46"/>
      <c r="AT13" s="46"/>
      <c r="AU13" s="46"/>
      <c r="AV13" s="46"/>
      <c r="AW13" s="14"/>
      <c r="AX13" s="14"/>
      <c r="AY13" s="14"/>
      <c r="AZ13" s="81" t="s">
        <v>1008</v>
      </c>
      <c r="BA13" s="10">
        <v>1</v>
      </c>
      <c r="BB13" s="82" t="s">
        <v>972</v>
      </c>
      <c r="BC13" s="14" t="e">
        <f>IF($BA$15=1,U29,NA())</f>
        <v>#N/A</v>
      </c>
      <c r="BD13" s="14">
        <v>0</v>
      </c>
      <c r="BE13" s="77">
        <f t="shared" si="3"/>
        <v>0</v>
      </c>
      <c r="BF13" s="14">
        <v>0</v>
      </c>
      <c r="BG13" s="56">
        <v>0</v>
      </c>
      <c r="BI13" s="7" t="s">
        <v>1009</v>
      </c>
      <c r="BK13" s="6"/>
      <c r="BL13" s="6"/>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row>
    <row r="14" spans="1:255" ht="11.25" customHeight="1">
      <c r="A14" s="136"/>
      <c r="B14" s="155"/>
      <c r="C14" s="156"/>
      <c r="D14" s="156" t="s">
        <v>1020</v>
      </c>
      <c r="E14" s="156"/>
      <c r="F14" s="157"/>
      <c r="G14" s="157"/>
      <c r="H14" s="156"/>
      <c r="I14" s="158"/>
      <c r="J14" s="45">
        <f t="shared" si="1"/>
        <v>6.97E-5</v>
      </c>
      <c r="K14" s="6"/>
      <c r="L14" s="6"/>
      <c r="M14" s="6"/>
      <c r="N14" s="6"/>
      <c r="O14" s="60"/>
      <c r="V14" s="14"/>
      <c r="Z14" s="46"/>
      <c r="AA14" s="54"/>
      <c r="AB14" s="45">
        <f t="shared" si="2"/>
        <v>6.97E-5</v>
      </c>
      <c r="AC14" s="46"/>
      <c r="AD14" s="46"/>
      <c r="AE14" s="46"/>
      <c r="AF14" s="46"/>
      <c r="AG14" s="46"/>
      <c r="AH14" s="46"/>
      <c r="AI14" s="46"/>
      <c r="AJ14" s="46"/>
      <c r="AK14" s="46"/>
      <c r="AL14" s="46"/>
      <c r="AM14" s="46"/>
      <c r="AN14" s="46"/>
      <c r="AO14" s="46"/>
      <c r="AP14" s="46"/>
      <c r="AQ14" s="46"/>
      <c r="AR14" s="46"/>
      <c r="AS14" s="46"/>
      <c r="AT14" s="46"/>
      <c r="AU14" s="46"/>
      <c r="AV14" s="46"/>
      <c r="AW14" s="14"/>
      <c r="AX14" s="14"/>
      <c r="AY14" s="14"/>
      <c r="AZ14" s="84" t="s">
        <v>1000</v>
      </c>
      <c r="BA14" s="5">
        <v>10</v>
      </c>
      <c r="BB14" s="84" t="s">
        <v>1002</v>
      </c>
      <c r="BC14" s="14">
        <f>IF($BA$15=2,BN17,NA())</f>
        <v>1.96</v>
      </c>
      <c r="BD14" s="14">
        <v>0</v>
      </c>
      <c r="BE14" s="77">
        <f t="shared" si="3"/>
        <v>1</v>
      </c>
      <c r="BF14" s="8">
        <v>0</v>
      </c>
      <c r="BG14" s="56">
        <v>1</v>
      </c>
      <c r="BH14" s="47" t="s">
        <v>1010</v>
      </c>
      <c r="BI14" s="7">
        <f>IF(BA15=1,IF(BA13=1,BA1,BC1),IF(BA13=1,BA3,BC3))</f>
        <v>4.9995790296440745E-2</v>
      </c>
      <c r="BJ14" s="61" t="s">
        <v>1011</v>
      </c>
      <c r="BK14" s="61" t="s">
        <v>1012</v>
      </c>
      <c r="BL14" s="85" t="s">
        <v>1013</v>
      </c>
      <c r="BM14" s="83" t="s">
        <v>1014</v>
      </c>
      <c r="BN14" s="83" t="s">
        <v>1015</v>
      </c>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6"/>
      <c r="CO14" s="86"/>
      <c r="CP14" s="86"/>
      <c r="CQ14" s="86"/>
      <c r="CR14" s="86"/>
      <c r="CS14" s="86"/>
      <c r="CT14" s="86"/>
      <c r="CU14" s="86"/>
      <c r="CV14" s="86"/>
      <c r="CW14" s="86"/>
      <c r="CX14" s="86"/>
      <c r="CY14" s="86"/>
      <c r="CZ14" s="86"/>
      <c r="DA14" s="86"/>
      <c r="DB14" s="86"/>
      <c r="DC14" s="86"/>
      <c r="DD14" s="86"/>
      <c r="DE14" s="86"/>
      <c r="DF14" s="86"/>
      <c r="DG14" s="86"/>
      <c r="DH14" s="86"/>
      <c r="DI14" s="86"/>
      <c r="DJ14" s="86"/>
      <c r="DK14" s="86"/>
      <c r="DL14" s="86"/>
      <c r="DM14" s="86"/>
      <c r="DN14" s="86"/>
      <c r="DO14" s="86"/>
      <c r="DP14" s="86"/>
      <c r="DQ14" s="86"/>
      <c r="DR14" s="86"/>
      <c r="DS14" s="86"/>
      <c r="DT14" s="86"/>
      <c r="DU14" s="86"/>
      <c r="DV14" s="86"/>
      <c r="DW14" s="86"/>
      <c r="DX14" s="86"/>
      <c r="DY14" s="86"/>
      <c r="DZ14" s="86"/>
      <c r="EA14" s="86"/>
      <c r="EB14" s="86"/>
      <c r="EC14" s="86"/>
      <c r="ED14" s="86"/>
      <c r="EE14" s="86"/>
      <c r="EF14" s="86"/>
      <c r="EG14" s="86"/>
      <c r="EH14" s="86"/>
      <c r="EI14" s="86"/>
      <c r="EJ14" s="86"/>
      <c r="EK14" s="86"/>
      <c r="EL14" s="86"/>
      <c r="EM14" s="86"/>
      <c r="EN14" s="86"/>
      <c r="EO14" s="86"/>
      <c r="EP14" s="86"/>
      <c r="EQ14" s="86"/>
      <c r="ER14" s="86"/>
      <c r="ES14" s="86"/>
      <c r="ET14" s="86"/>
      <c r="EU14" s="86"/>
      <c r="EV14" s="86"/>
      <c r="EW14" s="86"/>
      <c r="EX14" s="86"/>
      <c r="EY14" s="86"/>
      <c r="EZ14" s="86"/>
      <c r="FA14" s="86"/>
      <c r="FB14" s="86"/>
      <c r="FC14" s="86"/>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row>
    <row r="15" spans="1:255" ht="11.25" customHeight="1">
      <c r="A15" s="136"/>
      <c r="B15" s="155"/>
      <c r="C15" s="156"/>
      <c r="D15" s="156"/>
      <c r="E15" s="156"/>
      <c r="F15" s="156"/>
      <c r="G15" s="159"/>
      <c r="H15" s="159"/>
      <c r="I15" s="160"/>
      <c r="J15" s="45">
        <f t="shared" si="1"/>
        <v>6.97E-5</v>
      </c>
      <c r="K15" s="6"/>
      <c r="L15" s="6"/>
      <c r="M15" s="6"/>
      <c r="N15" s="6"/>
      <c r="O15" s="8"/>
      <c r="V15" s="14"/>
      <c r="Z15" s="46"/>
      <c r="AA15" s="46"/>
      <c r="AB15" s="45">
        <f t="shared" si="2"/>
        <v>6.97E-5</v>
      </c>
      <c r="AC15" s="46"/>
      <c r="AD15" s="46"/>
      <c r="AE15" s="46"/>
      <c r="AF15" s="46"/>
      <c r="AG15" s="46"/>
      <c r="AH15" s="46"/>
      <c r="AI15" s="46"/>
      <c r="AJ15" s="46"/>
      <c r="AK15" s="46"/>
      <c r="AL15" s="46"/>
      <c r="AM15" s="46"/>
      <c r="AN15" s="46"/>
      <c r="AO15" s="46"/>
      <c r="AP15" s="46"/>
      <c r="AQ15" s="46"/>
      <c r="AR15" s="46"/>
      <c r="AS15" s="46"/>
      <c r="AT15" s="46"/>
      <c r="AU15" s="46"/>
      <c r="AV15" s="46"/>
      <c r="AZ15" s="84" t="s">
        <v>1016</v>
      </c>
      <c r="BA15" s="87">
        <v>2</v>
      </c>
      <c r="BB15" s="62"/>
      <c r="BC15" s="88">
        <f>IF($BA$15=2,-BN17,NA())</f>
        <v>-1.96</v>
      </c>
      <c r="BD15" s="88">
        <v>0</v>
      </c>
      <c r="BE15" s="77">
        <f t="shared" si="3"/>
        <v>2</v>
      </c>
      <c r="BF15" s="8">
        <v>0</v>
      </c>
      <c r="BG15" s="56">
        <v>2</v>
      </c>
      <c r="BH15" s="47" t="s">
        <v>1017</v>
      </c>
      <c r="BI15" s="89">
        <f>ROUND(BI14,4)</f>
        <v>0.05</v>
      </c>
      <c r="BJ15" s="90">
        <f>NORMINV(1-BI15,BA17,BA18)</f>
        <v>1.6448536269514724</v>
      </c>
      <c r="BK15" s="7">
        <f>NORMINV(1-BI15/2,BA17,BA18)</f>
        <v>1.959963984540054</v>
      </c>
      <c r="BL15" s="7">
        <f>IF(BI15&lt;=0.5,TINV(2*BI15,BA14),-TINV(2*(1-BI15),BA14))</f>
        <v>1.8124611021972235</v>
      </c>
      <c r="BM15" s="14">
        <f>TINV(BI15,BA14)</f>
        <v>2.2281388424258681</v>
      </c>
      <c r="BN15" s="14">
        <f>IF(BA15=1,IF(BA13=1,BJ15,BL15),IF(BA13=1,BK15,BM15))</f>
        <v>1.959963984540054</v>
      </c>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row>
    <row r="16" spans="1:255" ht="11.25" customHeight="1">
      <c r="A16" s="136"/>
      <c r="B16" s="155"/>
      <c r="C16" s="156"/>
      <c r="D16" s="156" t="s">
        <v>1027</v>
      </c>
      <c r="E16" s="156"/>
      <c r="F16" s="156"/>
      <c r="G16" s="156"/>
      <c r="H16" s="156"/>
      <c r="I16" s="158"/>
      <c r="J16" s="45">
        <f t="shared" si="1"/>
        <v>6.97E-5</v>
      </c>
      <c r="K16" s="6"/>
      <c r="L16" s="6"/>
      <c r="M16" s="6"/>
      <c r="N16" s="6"/>
      <c r="O16" s="60"/>
      <c r="V16" s="14"/>
      <c r="Z16" s="46"/>
      <c r="AA16" s="46"/>
      <c r="AB16" s="45">
        <f t="shared" si="2"/>
        <v>6.97E-5</v>
      </c>
      <c r="AC16" s="46"/>
      <c r="AD16" s="46"/>
      <c r="AE16" s="46"/>
      <c r="AF16" s="46"/>
      <c r="AG16" s="46"/>
      <c r="AH16" s="46"/>
      <c r="AI16" s="46"/>
      <c r="AJ16" s="46"/>
      <c r="AK16" s="46"/>
      <c r="AL16" s="46"/>
      <c r="AM16" s="46"/>
      <c r="AN16" s="46"/>
      <c r="AO16" s="46"/>
      <c r="AP16" s="46"/>
      <c r="AQ16" s="46"/>
      <c r="AR16" s="46"/>
      <c r="AS16" s="46"/>
      <c r="AT16" s="46"/>
      <c r="AU16" s="46"/>
      <c r="AV16" s="46"/>
      <c r="AZ16" s="91" t="s">
        <v>1019</v>
      </c>
      <c r="BA16" s="9">
        <v>6960</v>
      </c>
      <c r="BB16" s="92" t="s">
        <v>1042</v>
      </c>
      <c r="BC16" s="93">
        <f>IF(BD6,BA17,NA())</f>
        <v>0</v>
      </c>
      <c r="BD16" s="93">
        <v>0</v>
      </c>
      <c r="BE16" s="77">
        <f t="shared" si="3"/>
        <v>3</v>
      </c>
      <c r="BF16" s="8">
        <v>0</v>
      </c>
      <c r="BG16" s="56">
        <v>3</v>
      </c>
      <c r="BI16" s="61" t="s">
        <v>1023</v>
      </c>
      <c r="BK16" s="61" t="s">
        <v>1023</v>
      </c>
      <c r="BL16" s="6"/>
    </row>
    <row r="17" spans="1:66" ht="11.25" customHeight="1">
      <c r="A17" s="136"/>
      <c r="B17" s="155"/>
      <c r="C17" s="156"/>
      <c r="D17" s="156"/>
      <c r="E17" s="156"/>
      <c r="F17" s="156"/>
      <c r="G17" s="156" t="s">
        <v>104</v>
      </c>
      <c r="H17" s="166"/>
      <c r="I17" s="158"/>
      <c r="J17" s="45">
        <f t="shared" si="1"/>
        <v>6.97E-5</v>
      </c>
      <c r="K17" s="6"/>
      <c r="L17" s="6"/>
      <c r="M17" s="6"/>
      <c r="N17" s="6"/>
      <c r="O17" s="60"/>
      <c r="V17" s="14"/>
      <c r="Z17" s="46"/>
      <c r="AA17" s="46"/>
      <c r="AB17" s="45">
        <f t="shared" si="2"/>
        <v>6.97E-5</v>
      </c>
      <c r="AC17" s="46"/>
      <c r="AD17" s="46"/>
      <c r="AE17" s="46"/>
      <c r="AF17" s="46"/>
      <c r="AG17" s="46"/>
      <c r="AH17" s="46"/>
      <c r="AI17" s="46"/>
      <c r="AJ17" s="46"/>
      <c r="AK17" s="46"/>
      <c r="AL17" s="46"/>
      <c r="AM17" s="46"/>
      <c r="AN17" s="46"/>
      <c r="AO17" s="46"/>
      <c r="AP17" s="46"/>
      <c r="AQ17" s="46"/>
      <c r="AR17" s="46"/>
      <c r="AS17" s="46"/>
      <c r="AT17" s="46"/>
      <c r="AU17" s="46"/>
      <c r="AV17" s="46"/>
      <c r="AZ17" s="94" t="s">
        <v>1021</v>
      </c>
      <c r="BA17" s="95">
        <v>0</v>
      </c>
      <c r="BC17" s="92" t="s">
        <v>1022</v>
      </c>
      <c r="BD17" s="93">
        <v>0.39894228040143265</v>
      </c>
      <c r="BE17" s="77">
        <f t="shared" si="3"/>
        <v>4</v>
      </c>
      <c r="BF17" s="8">
        <v>0</v>
      </c>
      <c r="BG17" s="56">
        <v>4</v>
      </c>
      <c r="BI17" s="7">
        <v>4.0000000000000001E-3</v>
      </c>
      <c r="BK17" s="7">
        <v>4.0000000000000001E-3</v>
      </c>
      <c r="BM17" s="47" t="s">
        <v>1200</v>
      </c>
      <c r="BN17" s="7">
        <f>ABS(BN18)</f>
        <v>1.96</v>
      </c>
    </row>
    <row r="18" spans="1:66" ht="11.25" customHeight="1">
      <c r="A18" s="136"/>
      <c r="B18" s="155"/>
      <c r="C18" s="156"/>
      <c r="D18" s="156" t="s">
        <v>1038</v>
      </c>
      <c r="E18" s="156"/>
      <c r="F18" s="156"/>
      <c r="G18" s="156"/>
      <c r="H18" s="156"/>
      <c r="I18" s="158"/>
      <c r="J18" s="45">
        <f t="shared" si="1"/>
        <v>6.97E-5</v>
      </c>
      <c r="K18" s="6"/>
      <c r="L18" s="6"/>
      <c r="M18" s="6"/>
      <c r="N18" s="6"/>
      <c r="V18" s="14"/>
      <c r="Z18" s="46"/>
      <c r="AA18" s="96"/>
      <c r="AB18" s="45">
        <f t="shared" si="2"/>
        <v>6.97E-5</v>
      </c>
      <c r="AC18" s="46"/>
      <c r="AD18" s="46"/>
      <c r="AE18" s="46"/>
      <c r="AF18" s="46"/>
      <c r="AG18" s="46"/>
      <c r="AH18" s="46"/>
      <c r="AI18" s="46"/>
      <c r="AJ18" s="46"/>
      <c r="AK18" s="46"/>
      <c r="AL18" s="46"/>
      <c r="AM18" s="46"/>
      <c r="AN18" s="46"/>
      <c r="AO18" s="46"/>
      <c r="AP18" s="46"/>
      <c r="AQ18" s="46"/>
      <c r="AR18" s="46"/>
      <c r="AS18" s="46"/>
      <c r="AT18" s="46"/>
      <c r="AU18" s="46"/>
      <c r="AV18" s="46"/>
      <c r="AZ18" s="94" t="s">
        <v>1024</v>
      </c>
      <c r="BA18" s="97">
        <v>1</v>
      </c>
      <c r="BC18" s="60"/>
      <c r="BD18" s="98" t="s">
        <v>1025</v>
      </c>
      <c r="BE18" s="77">
        <f t="shared" si="3"/>
        <v>5</v>
      </c>
      <c r="BF18" s="8">
        <v>0</v>
      </c>
      <c r="BG18" s="56">
        <v>5</v>
      </c>
      <c r="BI18" s="7">
        <f>BK18</f>
        <v>1.964</v>
      </c>
      <c r="BJ18" s="61" t="s">
        <v>1026</v>
      </c>
      <c r="BK18" s="7">
        <f>BN17+BK17</f>
        <v>1.964</v>
      </c>
      <c r="BL18" s="61" t="s">
        <v>1026</v>
      </c>
      <c r="BM18" s="47" t="s">
        <v>727</v>
      </c>
      <c r="BN18" s="7">
        <f>U29</f>
        <v>1.96</v>
      </c>
    </row>
    <row r="19" spans="1:66" ht="11.25" customHeight="1">
      <c r="A19" s="136"/>
      <c r="B19" s="155"/>
      <c r="C19" s="156"/>
      <c r="D19" s="156"/>
      <c r="E19" s="156"/>
      <c r="F19" s="156"/>
      <c r="G19" s="156"/>
      <c r="H19" s="156"/>
      <c r="I19" s="158"/>
      <c r="J19" s="45">
        <f t="shared" si="1"/>
        <v>6.97E-5</v>
      </c>
      <c r="K19" s="6"/>
      <c r="L19" s="6"/>
      <c r="M19" s="6"/>
      <c r="N19" s="6"/>
      <c r="V19" s="14"/>
      <c r="Z19" s="46"/>
      <c r="AA19" s="96"/>
      <c r="AB19" s="45">
        <f t="shared" si="2"/>
        <v>6.97E-5</v>
      </c>
      <c r="AC19" s="46"/>
      <c r="AD19" s="46"/>
      <c r="AE19" s="46"/>
      <c r="AF19" s="46"/>
      <c r="AG19" s="46"/>
      <c r="AH19" s="46"/>
      <c r="AI19" s="46"/>
      <c r="AJ19" s="46"/>
      <c r="AK19" s="46"/>
      <c r="AL19" s="46"/>
      <c r="AM19" s="46"/>
      <c r="AN19" s="46"/>
      <c r="AO19" s="46"/>
      <c r="AP19" s="46"/>
      <c r="AQ19" s="46"/>
      <c r="AR19" s="46"/>
      <c r="AS19" s="46"/>
      <c r="AT19" s="46"/>
      <c r="AU19" s="46"/>
      <c r="AV19" s="46"/>
      <c r="AZ19" s="92" t="s">
        <v>1028</v>
      </c>
      <c r="BA19" s="99">
        <v>0.41</v>
      </c>
      <c r="BB19" s="100" t="s">
        <v>1029</v>
      </c>
      <c r="BC19" s="101">
        <v>0.44</v>
      </c>
      <c r="BD19" s="55">
        <v>1.0000000000000001E-5</v>
      </c>
      <c r="BE19" s="102">
        <f t="shared" si="3"/>
        <v>6</v>
      </c>
      <c r="BF19" s="88">
        <v>0</v>
      </c>
      <c r="BG19" s="63">
        <v>6</v>
      </c>
      <c r="BI19" s="7">
        <f>U29+BI17</f>
        <v>1.964</v>
      </c>
      <c r="BJ19" s="7">
        <v>1E-3</v>
      </c>
      <c r="BK19" s="7">
        <f>U29+BK17</f>
        <v>1.964</v>
      </c>
      <c r="BL19" s="7">
        <v>1E-3</v>
      </c>
    </row>
    <row r="20" spans="1:66" ht="11.25" customHeight="1" thickBot="1">
      <c r="A20" s="136"/>
      <c r="B20" s="441">
        <v>3</v>
      </c>
      <c r="C20" s="146" t="s">
        <v>1007</v>
      </c>
      <c r="D20" s="147"/>
      <c r="E20" s="147"/>
      <c r="F20" s="147"/>
      <c r="G20" s="147"/>
      <c r="H20" s="147"/>
      <c r="I20" s="148"/>
      <c r="J20" s="45">
        <f t="shared" si="1"/>
        <v>6.97E-5</v>
      </c>
      <c r="K20" s="6"/>
      <c r="L20" s="6"/>
      <c r="M20" s="6"/>
      <c r="N20" s="6"/>
      <c r="V20" s="14"/>
      <c r="Z20" s="46"/>
      <c r="AA20" s="46"/>
      <c r="AB20" s="45">
        <f t="shared" si="2"/>
        <v>6.97E-5</v>
      </c>
      <c r="AC20" s="46"/>
      <c r="AD20" s="46"/>
      <c r="AE20" s="46"/>
      <c r="AF20" s="46"/>
      <c r="AG20" s="46"/>
      <c r="AH20" s="46"/>
      <c r="AI20" s="46"/>
      <c r="AJ20" s="46"/>
      <c r="AK20" s="46"/>
      <c r="AL20" s="46"/>
      <c r="AM20" s="46"/>
      <c r="AN20" s="46"/>
      <c r="AO20" s="46"/>
      <c r="AP20" s="46"/>
      <c r="AQ20" s="46"/>
      <c r="AR20" s="46"/>
      <c r="AS20" s="46"/>
      <c r="AT20" s="46"/>
      <c r="AU20" s="46"/>
      <c r="AV20" s="46"/>
      <c r="AW20" s="6"/>
      <c r="AX20" s="6"/>
      <c r="AY20" s="6"/>
      <c r="AZ20" s="103" t="s">
        <v>1030</v>
      </c>
      <c r="BA20" s="104" t="s">
        <v>639</v>
      </c>
      <c r="BB20" s="105" t="s">
        <v>977</v>
      </c>
      <c r="BC20" s="105" t="s">
        <v>1031</v>
      </c>
      <c r="BD20" s="106" t="s">
        <v>1032</v>
      </c>
      <c r="BE20" s="107" t="s">
        <v>1033</v>
      </c>
      <c r="BF20" s="107" t="s">
        <v>985</v>
      </c>
      <c r="BG20" s="107" t="s">
        <v>986</v>
      </c>
      <c r="BH20" s="107" t="s">
        <v>987</v>
      </c>
      <c r="BI20" s="108" t="s">
        <v>1034</v>
      </c>
      <c r="BJ20" s="108" t="s">
        <v>1035</v>
      </c>
      <c r="BK20" s="109" t="s">
        <v>1036</v>
      </c>
      <c r="BL20" s="109" t="s">
        <v>1037</v>
      </c>
    </row>
    <row r="21" spans="1:66" ht="11.25" customHeight="1">
      <c r="A21" s="136"/>
      <c r="B21" s="149"/>
      <c r="C21" s="150"/>
      <c r="D21" s="150" t="s">
        <v>101</v>
      </c>
      <c r="E21" s="150"/>
      <c r="F21" s="150"/>
      <c r="G21" s="165" t="s">
        <v>103</v>
      </c>
      <c r="H21" s="150"/>
      <c r="I21" s="151"/>
      <c r="J21" s="45">
        <f t="shared" si="1"/>
        <v>6.97E-5</v>
      </c>
      <c r="K21" s="6"/>
      <c r="L21" s="6"/>
      <c r="M21" s="6"/>
      <c r="N21" s="6"/>
      <c r="V21" s="14"/>
      <c r="Z21" s="46"/>
      <c r="AA21" s="46"/>
      <c r="AB21" s="45">
        <f t="shared" si="2"/>
        <v>6.97E-5</v>
      </c>
      <c r="AC21" s="46"/>
      <c r="AD21" s="46"/>
      <c r="AE21" s="46"/>
      <c r="AF21" s="46"/>
      <c r="AG21" s="46"/>
      <c r="AH21" s="46"/>
      <c r="AI21" s="46"/>
      <c r="AJ21" s="46"/>
      <c r="AK21" s="46"/>
      <c r="AL21" s="46"/>
      <c r="AM21" s="46"/>
      <c r="AN21" s="46"/>
      <c r="AO21" s="46"/>
      <c r="AP21" s="46"/>
      <c r="AQ21" s="46"/>
      <c r="AR21" s="46"/>
      <c r="AS21" s="46"/>
      <c r="AT21" s="46"/>
      <c r="AU21" s="46"/>
      <c r="AV21" s="46"/>
      <c r="AW21" s="6"/>
      <c r="AX21" s="6"/>
      <c r="AY21" s="6"/>
      <c r="AZ21" s="7">
        <f t="shared" ref="AZ21:AZ84" si="4">NORMDIST(BA21,$BA$17,$BA$18,TRUE)</f>
        <v>9.8658764503751384E-10</v>
      </c>
      <c r="BA21" s="7">
        <f>-BD9</f>
        <v>-6</v>
      </c>
      <c r="BB21" s="7">
        <f t="shared" ref="BB21:BB84" si="5">IF($BA$13=1,NORMDIST(BA21,$BA$17,$BA$18,FALSE),NA())</f>
        <v>6.0758828498232853E-9</v>
      </c>
      <c r="BC21" s="7" t="e">
        <f t="shared" ref="BC21:BC84" si="6">IF($BA$13=3,NORMDIST(BA21,$BA$17,$BA$18,FALSE),NA())</f>
        <v>#N/A</v>
      </c>
      <c r="BD21" s="7">
        <f t="shared" ref="BD21:BD84" si="7">BA21-$BD$19</f>
        <v>-6.0000099999999996</v>
      </c>
      <c r="BE21" s="7">
        <f t="shared" ref="BE21:BE84" si="8">BA21+$BD$19</f>
        <v>-5.9999900000000004</v>
      </c>
      <c r="BF21" s="7">
        <f t="shared" ref="BF21:BF84" si="9">IF(BD21&lt;0,TDIST(-BD21,$BA$14,1),1-TDIST(BD21,$BA$14,1))</f>
        <v>6.6053549327111006E-5</v>
      </c>
      <c r="BG21" s="7">
        <f t="shared" ref="BG21:BG84" si="10">IF(BE21&lt;0,TDIST(-BE21,$BA$14,1),1-TDIST(BE21,$BA$14,1))</f>
        <v>6.6055311029364363E-5</v>
      </c>
      <c r="BH21" s="7" t="e">
        <f t="shared" ref="BH21:BH84" si="11">IF($BA$13&gt;1,(BG21-BF21)/(2*$BD$19),NA())</f>
        <v>#N/A</v>
      </c>
      <c r="BI21" s="7">
        <f>IF($BA$15=1,IF(OR(AND(BA21&gt;=$BI$18,$BN$18&gt;=0),AND(BA21&lt;=-$BI$18,$BN$18&lt;0)),BB21,NA()),IF($BA$15=2,IF(ABS(BA21)&gt;=$BI$18,BB21,NA()),NA()))</f>
        <v>6.0758828498232853E-9</v>
      </c>
      <c r="BJ21" s="7">
        <f t="shared" ref="BJ21:BJ84" si="12">IF(ISNUMBER(BI21),BI21-$BJ$19,NA())</f>
        <v>-9.9999392411715023E-4</v>
      </c>
      <c r="BK21" s="7" t="e">
        <f>IF($BA$15=1,IF(OR(AND(BA21&gt;=$BK$18,$BN$18&gt;=0),AND(BA21&lt;=-$BK$18,$BN$18&lt;0)),BH21,NA()),IF($BA$15=2,IF(ABS(BA21)&gt;=$BK$18,BH21,NA()),NA()))</f>
        <v>#N/A</v>
      </c>
      <c r="BL21" s="7" t="e">
        <f t="shared" ref="BL21:BL84" si="13">IF(ISNUMBER(BK21),BK21-$BL$19,NA())</f>
        <v>#N/A</v>
      </c>
    </row>
    <row r="22" spans="1:66" ht="11.25" customHeight="1">
      <c r="A22" s="136"/>
      <c r="B22" s="450"/>
      <c r="C22" s="451"/>
      <c r="D22" s="451"/>
      <c r="E22" s="451"/>
      <c r="F22" s="451"/>
      <c r="G22" s="451"/>
      <c r="H22" s="451"/>
      <c r="I22" s="452"/>
      <c r="J22" s="45">
        <f t="shared" si="1"/>
        <v>6.97E-5</v>
      </c>
      <c r="K22" s="6"/>
      <c r="L22" s="6"/>
      <c r="M22" s="6"/>
      <c r="N22" s="6"/>
      <c r="O22" s="8"/>
      <c r="V22" s="14"/>
      <c r="Z22" s="46"/>
      <c r="AA22" s="46"/>
      <c r="AB22" s="45">
        <f t="shared" si="2"/>
        <v>6.97E-5</v>
      </c>
      <c r="AC22" s="46"/>
      <c r="AD22" s="46"/>
      <c r="AE22" s="46"/>
      <c r="AF22" s="46"/>
      <c r="AG22" s="46"/>
      <c r="AH22" s="46"/>
      <c r="AI22" s="46"/>
      <c r="AJ22" s="46"/>
      <c r="AK22" s="46"/>
      <c r="AL22" s="46"/>
      <c r="AM22" s="46"/>
      <c r="AN22" s="46"/>
      <c r="AO22" s="46"/>
      <c r="AP22" s="46"/>
      <c r="AQ22" s="46"/>
      <c r="AR22" s="46"/>
      <c r="AS22" s="46"/>
      <c r="AT22" s="46"/>
      <c r="AU22" s="46"/>
      <c r="AV22" s="46"/>
      <c r="AW22" s="6"/>
      <c r="AX22" s="6"/>
      <c r="AY22" s="6"/>
      <c r="AZ22" s="7">
        <f t="shared" si="4"/>
        <v>1.0492051878329494E-9</v>
      </c>
      <c r="BA22" s="7">
        <f t="shared" ref="BA22:BA85" si="14">BA21+$BD$10</f>
        <v>-5.99</v>
      </c>
      <c r="BB22" s="7">
        <f t="shared" si="5"/>
        <v>6.4512718908117505E-9</v>
      </c>
      <c r="BC22" s="7" t="e">
        <f t="shared" si="6"/>
        <v>#N/A</v>
      </c>
      <c r="BD22" s="7">
        <f t="shared" si="7"/>
        <v>-5.9900099999999998</v>
      </c>
      <c r="BE22" s="7">
        <f t="shared" si="8"/>
        <v>-5.9899900000000006</v>
      </c>
      <c r="BF22" s="7">
        <f t="shared" si="9"/>
        <v>6.6940739204650161E-5</v>
      </c>
      <c r="BG22" s="7">
        <f t="shared" si="10"/>
        <v>6.6942526377783738E-5</v>
      </c>
      <c r="BH22" s="7" t="e">
        <f t="shared" si="11"/>
        <v>#N/A</v>
      </c>
      <c r="BI22" s="7">
        <f t="shared" ref="BI22:BI85" si="15">IF($BA$15=1,IF(OR(AND(BA22&gt;=$BI$18,$BN$18&gt;=0),AND(BA22&lt;=-$BI$18,$BN$18&lt;0)),BB22,NA()),IF($BA$15=2,IF(ABS(BA22)&gt;=$BI$18,BB22,NA()),NA()))</f>
        <v>6.4512718908117505E-9</v>
      </c>
      <c r="BJ22" s="7">
        <f t="shared" si="12"/>
        <v>-9.9999354872810919E-4</v>
      </c>
      <c r="BK22" s="7" t="e">
        <f t="shared" ref="BK22:BK85" si="16">IF($BA$15=1,IF(OR(AND(BA22&gt;=$BK$18,$BN$18&gt;=0),AND(BA22&lt;=-$BK$18,$BN$18&lt;0)),BH22,NA()),IF($BA$15=2,IF(ABS(BA22)&gt;=$BK$18,BH22,NA()),NA()))</f>
        <v>#N/A</v>
      </c>
      <c r="BL22" s="7" t="e">
        <f t="shared" si="13"/>
        <v>#N/A</v>
      </c>
    </row>
    <row r="23" spans="1:66" ht="11.25" customHeight="1">
      <c r="A23" s="136"/>
      <c r="B23"/>
      <c r="C23"/>
      <c r="D23"/>
      <c r="E23"/>
      <c r="F23"/>
      <c r="G23"/>
      <c r="H23"/>
      <c r="I23"/>
      <c r="J23" s="45">
        <f t="shared" si="1"/>
        <v>6.97E-5</v>
      </c>
      <c r="K23" s="6"/>
      <c r="L23" s="6"/>
      <c r="M23" s="6"/>
      <c r="N23" s="6"/>
      <c r="V23" s="14"/>
      <c r="Z23" s="46"/>
      <c r="AA23" s="46"/>
      <c r="AB23" s="45">
        <f t="shared" si="2"/>
        <v>6.97E-5</v>
      </c>
      <c r="AC23" s="46"/>
      <c r="AD23" s="46"/>
      <c r="AE23" s="46"/>
      <c r="AF23" s="46"/>
      <c r="AG23" s="46"/>
      <c r="AH23" s="46"/>
      <c r="AI23" s="46"/>
      <c r="AJ23" s="46"/>
      <c r="AK23" s="46"/>
      <c r="AL23" s="46"/>
      <c r="AM23" s="46"/>
      <c r="AN23" s="46"/>
      <c r="AO23" s="46"/>
      <c r="AP23" s="46"/>
      <c r="AQ23" s="46"/>
      <c r="AR23" s="46"/>
      <c r="AS23" s="46"/>
      <c r="AT23" s="46"/>
      <c r="AU23" s="46"/>
      <c r="AV23" s="46"/>
      <c r="AW23" s="6"/>
      <c r="AX23" s="6"/>
      <c r="AY23" s="6"/>
      <c r="AZ23" s="7">
        <f t="shared" si="4"/>
        <v>1.1156881014169402E-9</v>
      </c>
      <c r="BA23" s="7">
        <f t="shared" si="14"/>
        <v>-5.98</v>
      </c>
      <c r="BB23" s="7">
        <f t="shared" si="5"/>
        <v>6.8491688129857578E-9</v>
      </c>
      <c r="BC23" s="7" t="e">
        <f t="shared" si="6"/>
        <v>#N/A</v>
      </c>
      <c r="BD23" s="7">
        <f t="shared" si="7"/>
        <v>-5.98001</v>
      </c>
      <c r="BE23" s="7">
        <f t="shared" si="8"/>
        <v>-5.9799900000000008</v>
      </c>
      <c r="BF23" s="7">
        <f t="shared" si="9"/>
        <v>6.7840762256405999E-5</v>
      </c>
      <c r="BG23" s="7">
        <f t="shared" si="10"/>
        <v>6.7842575293200073E-5</v>
      </c>
      <c r="BH23" s="7" t="e">
        <f t="shared" si="11"/>
        <v>#N/A</v>
      </c>
      <c r="BI23" s="7">
        <f t="shared" si="15"/>
        <v>6.8491688129857578E-9</v>
      </c>
      <c r="BJ23" s="7">
        <f t="shared" si="12"/>
        <v>-9.9999315083118697E-4</v>
      </c>
      <c r="BK23" s="7" t="e">
        <f t="shared" si="16"/>
        <v>#N/A</v>
      </c>
      <c r="BL23" s="7" t="e">
        <f t="shared" si="13"/>
        <v>#N/A</v>
      </c>
    </row>
    <row r="24" spans="1:66" ht="11.25" customHeight="1">
      <c r="A24" s="136"/>
      <c r="B24"/>
      <c r="C24"/>
      <c r="D24"/>
      <c r="E24"/>
      <c r="F24"/>
      <c r="G24"/>
      <c r="H24"/>
      <c r="I24"/>
      <c r="J24" s="45">
        <f t="shared" si="1"/>
        <v>6.97E-5</v>
      </c>
      <c r="K24" s="6"/>
      <c r="L24" s="6"/>
      <c r="M24" s="6"/>
      <c r="N24" s="6"/>
      <c r="Z24" s="46"/>
      <c r="AA24" s="46"/>
      <c r="AB24" s="45">
        <f t="shared" si="2"/>
        <v>6.97E-5</v>
      </c>
      <c r="AC24" s="46"/>
      <c r="AD24" s="46"/>
      <c r="AE24" s="46"/>
      <c r="AF24" s="46"/>
      <c r="AG24" s="46"/>
      <c r="AH24" s="46"/>
      <c r="AI24" s="46"/>
      <c r="AJ24" s="46"/>
      <c r="AK24" s="46"/>
      <c r="AL24" s="46"/>
      <c r="AM24" s="46"/>
      <c r="AN24" s="46"/>
      <c r="AO24" s="46"/>
      <c r="AP24" s="46"/>
      <c r="AQ24" s="46"/>
      <c r="AR24" s="46"/>
      <c r="AS24" s="46"/>
      <c r="AT24" s="46"/>
      <c r="AU24" s="46"/>
      <c r="AV24" s="46"/>
      <c r="AW24" s="6"/>
      <c r="AX24" s="6"/>
      <c r="AY24" s="6"/>
      <c r="AZ24" s="7">
        <f t="shared" si="4"/>
        <v>1.1862679362254752E-9</v>
      </c>
      <c r="BA24" s="7">
        <f t="shared" si="14"/>
        <v>-5.9700000000000006</v>
      </c>
      <c r="BB24" s="7">
        <f t="shared" si="5"/>
        <v>7.2708798119000543E-9</v>
      </c>
      <c r="BC24" s="7" t="e">
        <f t="shared" si="6"/>
        <v>#N/A</v>
      </c>
      <c r="BD24" s="7">
        <f t="shared" si="7"/>
        <v>-5.9700100000000003</v>
      </c>
      <c r="BE24" s="7">
        <f t="shared" si="8"/>
        <v>-5.969990000000001</v>
      </c>
      <c r="BF24" s="7">
        <f t="shared" si="9"/>
        <v>6.8753816465696806E-5</v>
      </c>
      <c r="BG24" s="7">
        <f t="shared" si="10"/>
        <v>6.8755655765335224E-5</v>
      </c>
      <c r="BH24" s="7" t="e">
        <f t="shared" si="11"/>
        <v>#N/A</v>
      </c>
      <c r="BI24" s="7">
        <f t="shared" si="15"/>
        <v>7.2708798119000543E-9</v>
      </c>
      <c r="BJ24" s="7">
        <f t="shared" si="12"/>
        <v>-9.9999272912018817E-4</v>
      </c>
      <c r="BK24" s="7" t="e">
        <f t="shared" si="16"/>
        <v>#N/A</v>
      </c>
      <c r="BL24" s="7" t="e">
        <f t="shared" si="13"/>
        <v>#N/A</v>
      </c>
    </row>
    <row r="25" spans="1:66" ht="11.25" customHeight="1">
      <c r="A25" s="136"/>
      <c r="B25"/>
      <c r="D25"/>
      <c r="E25"/>
      <c r="F25"/>
      <c r="G25"/>
      <c r="H25"/>
      <c r="I25"/>
      <c r="J25" s="45">
        <f t="shared" si="1"/>
        <v>6.97E-5</v>
      </c>
      <c r="K25" s="6"/>
      <c r="L25" s="6"/>
      <c r="M25" s="6"/>
      <c r="N25" s="6"/>
      <c r="Z25" s="46"/>
      <c r="AA25" s="46"/>
      <c r="AB25" s="45">
        <f t="shared" si="2"/>
        <v>6.97E-5</v>
      </c>
      <c r="AC25" s="46"/>
      <c r="AD25" s="46"/>
      <c r="AE25" s="46"/>
      <c r="AF25" s="46"/>
      <c r="AG25" s="46"/>
      <c r="AH25" s="46"/>
      <c r="AI25" s="46"/>
      <c r="AJ25" s="46"/>
      <c r="AK25" s="46"/>
      <c r="AL25" s="46"/>
      <c r="AM25" s="46"/>
      <c r="AN25" s="46"/>
      <c r="AO25" s="46"/>
      <c r="AP25" s="46"/>
      <c r="AQ25" s="46"/>
      <c r="AR25" s="46"/>
      <c r="AS25" s="46"/>
      <c r="AT25" s="46"/>
      <c r="AU25" s="46"/>
      <c r="AV25" s="46"/>
      <c r="AW25" s="6"/>
      <c r="AX25" s="6"/>
      <c r="AY25" s="6"/>
      <c r="AZ25" s="7">
        <f t="shared" si="4"/>
        <v>1.2611896671008135E-9</v>
      </c>
      <c r="BA25" s="7">
        <f t="shared" si="14"/>
        <v>-5.9600000000000009</v>
      </c>
      <c r="BB25" s="7">
        <f t="shared" si="5"/>
        <v>7.7177842125704726E-9</v>
      </c>
      <c r="BC25" s="7" t="e">
        <f t="shared" si="6"/>
        <v>#N/A</v>
      </c>
      <c r="BD25" s="7">
        <f t="shared" si="7"/>
        <v>-5.9600100000000005</v>
      </c>
      <c r="BE25" s="7">
        <f t="shared" si="8"/>
        <v>-5.9599900000000012</v>
      </c>
      <c r="BF25" s="7">
        <f t="shared" si="9"/>
        <v>6.9680103044835967E-5</v>
      </c>
      <c r="BG25" s="7">
        <f t="shared" si="10"/>
        <v>6.9681969013015579E-5</v>
      </c>
      <c r="BH25" s="7" t="e">
        <f t="shared" si="11"/>
        <v>#N/A</v>
      </c>
      <c r="BI25" s="7">
        <f t="shared" si="15"/>
        <v>7.7177842125704726E-9</v>
      </c>
      <c r="BJ25" s="7">
        <f t="shared" si="12"/>
        <v>-9.9999228221578753E-4</v>
      </c>
      <c r="BK25" s="7" t="e">
        <f t="shared" si="16"/>
        <v>#N/A</v>
      </c>
      <c r="BL25" s="7" t="e">
        <f t="shared" si="13"/>
        <v>#N/A</v>
      </c>
    </row>
    <row r="26" spans="1:66" ht="11.25" customHeight="1">
      <c r="A26" s="136"/>
      <c r="J26" s="45">
        <f t="shared" si="1"/>
        <v>6.97E-5</v>
      </c>
      <c r="K26" s="6"/>
      <c r="L26" s="6"/>
      <c r="M26" s="6"/>
      <c r="N26" s="6"/>
      <c r="Z26" s="46"/>
      <c r="AA26" s="46"/>
      <c r="AB26" s="45">
        <f t="shared" si="2"/>
        <v>6.97E-5</v>
      </c>
      <c r="AC26" s="46"/>
      <c r="AD26" s="46"/>
      <c r="AE26" s="46"/>
      <c r="AF26" s="46"/>
      <c r="AG26" s="46"/>
      <c r="AH26" s="46"/>
      <c r="AI26" s="46"/>
      <c r="AJ26" s="46"/>
      <c r="AK26" s="46"/>
      <c r="AL26" s="46"/>
      <c r="AM26" s="46"/>
      <c r="AN26" s="46"/>
      <c r="AO26" s="46"/>
      <c r="AP26" s="46"/>
      <c r="AQ26" s="46"/>
      <c r="AR26" s="46"/>
      <c r="AS26" s="46"/>
      <c r="AT26" s="46"/>
      <c r="AU26" s="46"/>
      <c r="AV26" s="46"/>
      <c r="AW26" s="6"/>
      <c r="AX26" s="6"/>
      <c r="AY26" s="6"/>
      <c r="AZ26" s="7">
        <f t="shared" si="4"/>
        <v>1.3407124440915626E-9</v>
      </c>
      <c r="BA26" s="7">
        <f t="shared" si="14"/>
        <v>-5.9500000000000011</v>
      </c>
      <c r="BB26" s="7">
        <f t="shared" si="5"/>
        <v>8.1913384034791439E-9</v>
      </c>
      <c r="BC26" s="7" t="e">
        <f t="shared" si="6"/>
        <v>#N/A</v>
      </c>
      <c r="BD26" s="7">
        <f t="shared" si="7"/>
        <v>-5.9500100000000007</v>
      </c>
      <c r="BE26" s="7">
        <f t="shared" si="8"/>
        <v>-5.9499900000000014</v>
      </c>
      <c r="BF26" s="7">
        <f t="shared" si="9"/>
        <v>7.0619826490340098E-5</v>
      </c>
      <c r="BG26" s="7">
        <f t="shared" si="10"/>
        <v>7.0621719539382084E-5</v>
      </c>
      <c r="BH26" s="7" t="e">
        <f t="shared" si="11"/>
        <v>#N/A</v>
      </c>
      <c r="BI26" s="7">
        <f t="shared" si="15"/>
        <v>8.1913384034791439E-9</v>
      </c>
      <c r="BJ26" s="7">
        <f t="shared" si="12"/>
        <v>-9.9999180866159644E-4</v>
      </c>
      <c r="BK26" s="7" t="e">
        <f t="shared" si="16"/>
        <v>#N/A</v>
      </c>
      <c r="BL26" s="7" t="e">
        <f t="shared" si="13"/>
        <v>#N/A</v>
      </c>
    </row>
    <row r="27" spans="1:66" ht="11.25" customHeight="1">
      <c r="J27" s="45">
        <f t="shared" si="1"/>
        <v>6.97E-5</v>
      </c>
      <c r="K27" s="6"/>
      <c r="L27" s="6"/>
      <c r="M27" s="6"/>
      <c r="N27" s="6"/>
      <c r="Z27" s="46"/>
      <c r="AA27" s="46"/>
      <c r="AB27" s="45">
        <f t="shared" si="2"/>
        <v>6.97E-5</v>
      </c>
      <c r="AC27" s="46"/>
      <c r="AD27" s="46"/>
      <c r="AE27" s="46"/>
      <c r="AF27" s="46"/>
      <c r="AG27" s="46"/>
      <c r="AH27" s="46"/>
      <c r="AI27" s="46"/>
      <c r="AJ27" s="46"/>
      <c r="AK27" s="46"/>
      <c r="AL27" s="46"/>
      <c r="AM27" s="46"/>
      <c r="AN27" s="46"/>
      <c r="AO27" s="46"/>
      <c r="AP27" s="46"/>
      <c r="AQ27" s="46"/>
      <c r="AR27" s="46"/>
      <c r="AS27" s="46"/>
      <c r="AT27" s="46"/>
      <c r="AU27" s="46"/>
      <c r="AV27" s="46"/>
      <c r="AW27" s="6"/>
      <c r="AX27" s="6"/>
      <c r="AY27" s="6"/>
      <c r="AZ27" s="7">
        <f t="shared" si="4"/>
        <v>1.4251103835962218E-9</v>
      </c>
      <c r="BA27" s="7">
        <f t="shared" si="14"/>
        <v>-5.9400000000000013</v>
      </c>
      <c r="BB27" s="7">
        <f t="shared" si="5"/>
        <v>8.693079972880142E-9</v>
      </c>
      <c r="BC27" s="7" t="e">
        <f t="shared" si="6"/>
        <v>#N/A</v>
      </c>
      <c r="BD27" s="7">
        <f t="shared" si="7"/>
        <v>-5.9400100000000009</v>
      </c>
      <c r="BE27" s="7">
        <f t="shared" si="8"/>
        <v>-5.9399900000000017</v>
      </c>
      <c r="BF27" s="7">
        <f t="shared" si="9"/>
        <v>7.1573194639119642E-5</v>
      </c>
      <c r="BG27" s="7">
        <f t="shared" si="10"/>
        <v>7.15751151880829E-5</v>
      </c>
      <c r="BH27" s="7" t="e">
        <f t="shared" si="11"/>
        <v>#N/A</v>
      </c>
      <c r="BI27" s="7">
        <f t="shared" si="15"/>
        <v>8.693079972880142E-9</v>
      </c>
      <c r="BJ27" s="7">
        <f t="shared" si="12"/>
        <v>-9.9999130692002714E-4</v>
      </c>
      <c r="BK27" s="7" t="e">
        <f t="shared" si="16"/>
        <v>#N/A</v>
      </c>
      <c r="BL27" s="7" t="e">
        <f t="shared" si="13"/>
        <v>#N/A</v>
      </c>
    </row>
    <row r="28" spans="1:66" ht="11.25" customHeight="1">
      <c r="J28" s="45">
        <f t="shared" si="1"/>
        <v>6.97E-5</v>
      </c>
      <c r="K28" s="45">
        <f t="shared" ref="K28:AA28" si="17">$J$1</f>
        <v>6.97E-5</v>
      </c>
      <c r="L28" s="45">
        <f t="shared" si="17"/>
        <v>6.97E-5</v>
      </c>
      <c r="M28" s="45">
        <f t="shared" si="17"/>
        <v>6.97E-5</v>
      </c>
      <c r="N28" s="45">
        <f t="shared" si="17"/>
        <v>6.97E-5</v>
      </c>
      <c r="O28" s="45">
        <f t="shared" si="17"/>
        <v>6.97E-5</v>
      </c>
      <c r="P28" s="45">
        <f t="shared" si="17"/>
        <v>6.97E-5</v>
      </c>
      <c r="Q28" s="45">
        <f t="shared" si="17"/>
        <v>6.97E-5</v>
      </c>
      <c r="R28" s="45">
        <f t="shared" si="17"/>
        <v>6.97E-5</v>
      </c>
      <c r="S28" s="45">
        <f t="shared" si="17"/>
        <v>6.97E-5</v>
      </c>
      <c r="T28" s="45">
        <f t="shared" si="17"/>
        <v>6.97E-5</v>
      </c>
      <c r="U28" s="45">
        <f t="shared" si="17"/>
        <v>6.97E-5</v>
      </c>
      <c r="V28" s="45">
        <f t="shared" si="17"/>
        <v>6.97E-5</v>
      </c>
      <c r="W28" s="45">
        <f t="shared" si="17"/>
        <v>6.97E-5</v>
      </c>
      <c r="X28" s="45">
        <f t="shared" si="17"/>
        <v>6.97E-5</v>
      </c>
      <c r="Y28" s="45">
        <f t="shared" si="17"/>
        <v>6.97E-5</v>
      </c>
      <c r="Z28" s="45">
        <f t="shared" si="17"/>
        <v>6.97E-5</v>
      </c>
      <c r="AA28" s="45">
        <f t="shared" si="17"/>
        <v>6.97E-5</v>
      </c>
      <c r="AB28" s="46">
        <f t="shared" si="2"/>
        <v>6.97E-5</v>
      </c>
      <c r="AC28" s="45"/>
      <c r="AD28" s="46"/>
      <c r="AE28" s="46"/>
      <c r="AF28" s="46"/>
      <c r="AG28" s="46"/>
      <c r="AH28" s="46"/>
      <c r="AI28" s="46"/>
      <c r="AJ28" s="46"/>
      <c r="AK28" s="46"/>
      <c r="AL28" s="46"/>
      <c r="AM28" s="46"/>
      <c r="AN28" s="46"/>
      <c r="AO28" s="46"/>
      <c r="AP28" s="46"/>
      <c r="AQ28" s="46"/>
      <c r="AR28" s="46"/>
      <c r="AS28" s="46"/>
      <c r="AT28" s="46"/>
      <c r="AU28" s="46"/>
      <c r="AV28" s="46"/>
      <c r="AZ28" s="7">
        <f t="shared" si="4"/>
        <v>1.5146734019222711E-9</v>
      </c>
      <c r="BA28" s="7">
        <f t="shared" si="14"/>
        <v>-5.9300000000000015</v>
      </c>
      <c r="BB28" s="7">
        <f t="shared" si="5"/>
        <v>9.2246320572826198E-9</v>
      </c>
      <c r="BC28" s="7" t="e">
        <f t="shared" si="6"/>
        <v>#N/A</v>
      </c>
      <c r="BD28" s="7">
        <f t="shared" si="7"/>
        <v>-5.9300100000000011</v>
      </c>
      <c r="BE28" s="7">
        <f t="shared" si="8"/>
        <v>-5.9299900000000019</v>
      </c>
      <c r="BF28" s="7">
        <f t="shared" si="9"/>
        <v>7.2540418725667156E-5</v>
      </c>
      <c r="BG28" s="7">
        <f t="shared" si="10"/>
        <v>7.2542367200463867E-5</v>
      </c>
      <c r="BH28" s="7" t="e">
        <f t="shared" si="11"/>
        <v>#N/A</v>
      </c>
      <c r="BI28" s="7">
        <f t="shared" si="15"/>
        <v>9.2246320572826198E-9</v>
      </c>
      <c r="BJ28" s="7">
        <f t="shared" si="12"/>
        <v>-9.9999077536794267E-4</v>
      </c>
      <c r="BK28" s="7" t="e">
        <f t="shared" si="16"/>
        <v>#N/A</v>
      </c>
      <c r="BL28" s="7" t="e">
        <f t="shared" si="13"/>
        <v>#N/A</v>
      </c>
    </row>
    <row r="29" spans="1:66" ht="11.25" customHeight="1">
      <c r="H29" s="456"/>
      <c r="I29" s="111"/>
      <c r="J29" s="110"/>
      <c r="K29" s="110"/>
      <c r="L29" s="110"/>
      <c r="M29" s="110"/>
      <c r="N29" s="110"/>
      <c r="O29" s="111"/>
      <c r="P29" s="111"/>
      <c r="Q29" s="111"/>
      <c r="R29" s="111"/>
      <c r="S29" s="443" t="s">
        <v>1198</v>
      </c>
      <c r="T29" s="112" t="s">
        <v>1043</v>
      </c>
      <c r="U29" s="454">
        <f>(BA16-5000)/1000</f>
        <v>1.96</v>
      </c>
      <c r="V29" s="111"/>
      <c r="W29" s="111"/>
      <c r="X29" s="111"/>
      <c r="Y29" s="111"/>
      <c r="Z29" s="113"/>
      <c r="AA29" s="113"/>
      <c r="AB29" s="455"/>
      <c r="AC29" s="113"/>
      <c r="AD29" s="457"/>
      <c r="AE29" s="46"/>
      <c r="AF29" s="46"/>
      <c r="AG29" s="46"/>
      <c r="AH29" s="46"/>
      <c r="AI29" s="46"/>
      <c r="AJ29" s="46"/>
      <c r="AK29" s="46"/>
      <c r="AL29" s="46"/>
      <c r="AM29" s="46"/>
      <c r="AN29" s="46"/>
      <c r="AO29" s="46"/>
      <c r="AP29" s="46"/>
      <c r="AQ29" s="46"/>
      <c r="AR29" s="46"/>
      <c r="AS29" s="46"/>
      <c r="AT29" s="46"/>
      <c r="AU29" s="46"/>
      <c r="AV29" s="46"/>
      <c r="AZ29" s="7">
        <f t="shared" si="4"/>
        <v>1.6097080934338383E-9</v>
      </c>
      <c r="BA29" s="7">
        <f t="shared" si="14"/>
        <v>-5.9200000000000017</v>
      </c>
      <c r="BB29" s="7">
        <f t="shared" si="5"/>
        <v>9.7877079124410719E-9</v>
      </c>
      <c r="BC29" s="7" t="e">
        <f t="shared" si="6"/>
        <v>#N/A</v>
      </c>
      <c r="BD29" s="7">
        <f t="shared" si="7"/>
        <v>-5.9200100000000013</v>
      </c>
      <c r="BE29" s="7">
        <f t="shared" si="8"/>
        <v>-5.9199900000000021</v>
      </c>
      <c r="BF29" s="7">
        <f t="shared" si="9"/>
        <v>7.3521713440264687E-5</v>
      </c>
      <c r="BG29" s="7">
        <f t="shared" si="10"/>
        <v>7.3523690273777584E-5</v>
      </c>
      <c r="BH29" s="7" t="e">
        <f t="shared" si="11"/>
        <v>#N/A</v>
      </c>
      <c r="BI29" s="7">
        <f t="shared" si="15"/>
        <v>9.7877079124410719E-9</v>
      </c>
      <c r="BJ29" s="7">
        <f t="shared" si="12"/>
        <v>-9.9999021229208764E-4</v>
      </c>
      <c r="BK29" s="7" t="e">
        <f t="shared" si="16"/>
        <v>#N/A</v>
      </c>
      <c r="BL29" s="7" t="e">
        <f t="shared" si="13"/>
        <v>#N/A</v>
      </c>
    </row>
    <row r="30" spans="1:66" ht="11.25" customHeight="1">
      <c r="H30" s="119"/>
      <c r="I30" s="116"/>
      <c r="J30" s="115"/>
      <c r="K30" s="115"/>
      <c r="L30" s="115"/>
      <c r="M30" s="115"/>
      <c r="N30" s="115"/>
      <c r="O30" s="116"/>
      <c r="P30" s="116"/>
      <c r="Q30" s="116"/>
      <c r="R30" s="116"/>
      <c r="S30" s="116"/>
      <c r="T30" s="116"/>
      <c r="U30" s="116"/>
      <c r="V30" s="116"/>
      <c r="W30" s="116"/>
      <c r="X30" s="116"/>
      <c r="Y30" s="116"/>
      <c r="Z30" s="117"/>
      <c r="AA30" s="117"/>
      <c r="AB30" s="117"/>
      <c r="AC30" s="117"/>
      <c r="AD30" s="118"/>
      <c r="AE30" s="46"/>
      <c r="AF30" s="46"/>
      <c r="AG30" s="46"/>
      <c r="AH30" s="46"/>
      <c r="AI30" s="46"/>
      <c r="AJ30" s="46"/>
      <c r="AK30" s="46"/>
      <c r="AL30" s="46"/>
      <c r="AM30" s="46"/>
      <c r="AN30" s="46"/>
      <c r="AO30" s="46"/>
      <c r="AP30" s="46"/>
      <c r="AQ30" s="46"/>
      <c r="AR30" s="46"/>
      <c r="AS30" s="46"/>
      <c r="AT30" s="46"/>
      <c r="AU30" s="46"/>
      <c r="AV30" s="46"/>
      <c r="AZ30" s="7">
        <f t="shared" si="4"/>
        <v>1.710538655566553E-9</v>
      </c>
      <c r="BA30" s="7">
        <f t="shared" si="14"/>
        <v>-5.9100000000000019</v>
      </c>
      <c r="BB30" s="7">
        <f t="shared" si="5"/>
        <v>1.0384115717656214E-8</v>
      </c>
      <c r="BC30" s="7" t="e">
        <f t="shared" si="6"/>
        <v>#N/A</v>
      </c>
      <c r="BD30" s="7">
        <f t="shared" si="7"/>
        <v>-5.9100100000000015</v>
      </c>
      <c r="BE30" s="7">
        <f t="shared" si="8"/>
        <v>-5.9099900000000023</v>
      </c>
      <c r="BF30" s="7">
        <f t="shared" si="9"/>
        <v>7.4517296988226348E-5</v>
      </c>
      <c r="BG30" s="7">
        <f t="shared" si="10"/>
        <v>7.4519302620428265E-5</v>
      </c>
      <c r="BH30" s="7" t="e">
        <f t="shared" si="11"/>
        <v>#N/A</v>
      </c>
      <c r="BI30" s="7">
        <f t="shared" si="15"/>
        <v>1.0384115717656214E-8</v>
      </c>
      <c r="BJ30" s="7">
        <f t="shared" si="12"/>
        <v>-9.9998961588428233E-4</v>
      </c>
      <c r="BK30" s="7" t="e">
        <f t="shared" si="16"/>
        <v>#N/A</v>
      </c>
      <c r="BL30" s="7" t="e">
        <f t="shared" si="13"/>
        <v>#N/A</v>
      </c>
    </row>
    <row r="31" spans="1:66" ht="11.25" customHeight="1">
      <c r="H31" s="119"/>
      <c r="I31" s="116"/>
      <c r="J31" s="115"/>
      <c r="K31" s="115"/>
      <c r="L31" s="115"/>
      <c r="M31" s="115"/>
      <c r="N31" s="115"/>
      <c r="O31" s="116"/>
      <c r="P31" s="116"/>
      <c r="Q31" s="116"/>
      <c r="R31" s="116"/>
      <c r="S31" s="116"/>
      <c r="T31" s="116"/>
      <c r="U31" s="116"/>
      <c r="V31" s="116"/>
      <c r="W31" s="116"/>
      <c r="X31" s="116"/>
      <c r="Y31" s="116"/>
      <c r="Z31" s="117"/>
      <c r="AA31" s="117"/>
      <c r="AB31" s="117"/>
      <c r="AC31" s="117"/>
      <c r="AD31" s="118"/>
      <c r="AE31" s="46"/>
      <c r="AF31" s="46"/>
      <c r="AG31" s="46"/>
      <c r="AH31" s="46"/>
      <c r="AI31" s="46"/>
      <c r="AJ31" s="46"/>
      <c r="AK31" s="46"/>
      <c r="AL31" s="46"/>
      <c r="AM31" s="46"/>
      <c r="AN31" s="46"/>
      <c r="AO31" s="46"/>
      <c r="AP31" s="46"/>
      <c r="AQ31" s="46"/>
      <c r="AR31" s="46"/>
      <c r="AS31" s="46"/>
      <c r="AT31" s="46"/>
      <c r="AU31" s="46"/>
      <c r="AV31" s="46"/>
      <c r="AZ31" s="7">
        <f t="shared" si="4"/>
        <v>1.8175078630989352E-9</v>
      </c>
      <c r="BA31" s="7">
        <f t="shared" si="14"/>
        <v>-5.9000000000000021</v>
      </c>
      <c r="BB31" s="7">
        <f t="shared" si="5"/>
        <v>1.1015763624682189E-8</v>
      </c>
      <c r="BC31" s="7" t="e">
        <f t="shared" si="6"/>
        <v>#N/A</v>
      </c>
      <c r="BD31" s="7">
        <f t="shared" si="7"/>
        <v>-5.9000100000000018</v>
      </c>
      <c r="BE31" s="7">
        <f t="shared" si="8"/>
        <v>-5.8999900000000025</v>
      </c>
      <c r="BF31" s="7">
        <f t="shared" si="9"/>
        <v>7.5527391150196282E-5</v>
      </c>
      <c r="BG31" s="7">
        <f t="shared" si="10"/>
        <v>7.5529426028271744E-5</v>
      </c>
      <c r="BH31" s="7" t="e">
        <f t="shared" si="11"/>
        <v>#N/A</v>
      </c>
      <c r="BI31" s="7">
        <f t="shared" si="15"/>
        <v>1.1015763624682189E-8</v>
      </c>
      <c r="BJ31" s="7">
        <f t="shared" si="12"/>
        <v>-9.9998898423637539E-4</v>
      </c>
      <c r="BK31" s="7" t="e">
        <f t="shared" si="16"/>
        <v>#N/A</v>
      </c>
      <c r="BL31" s="7" t="e">
        <f t="shared" si="13"/>
        <v>#N/A</v>
      </c>
    </row>
    <row r="32" spans="1:66" ht="11.25" customHeight="1">
      <c r="H32" s="119"/>
      <c r="I32" s="116"/>
      <c r="J32" s="115"/>
      <c r="K32" s="115"/>
      <c r="L32" s="115"/>
      <c r="M32" s="115"/>
      <c r="N32" s="115"/>
      <c r="O32" s="116"/>
      <c r="P32" s="116"/>
      <c r="Q32" s="116"/>
      <c r="R32" s="116"/>
      <c r="S32" s="116"/>
      <c r="T32" s="116"/>
      <c r="U32" s="116"/>
      <c r="V32" s="116"/>
      <c r="W32" s="116"/>
      <c r="X32" s="116"/>
      <c r="Y32" s="116"/>
      <c r="Z32" s="117"/>
      <c r="AA32" s="117"/>
      <c r="AB32" s="117"/>
      <c r="AC32" s="117"/>
      <c r="AD32" s="118"/>
      <c r="AE32" s="46"/>
      <c r="AF32" s="46"/>
      <c r="AG32" s="46"/>
      <c r="AH32" s="46"/>
      <c r="AI32" s="46"/>
      <c r="AJ32" s="46"/>
      <c r="AK32" s="46"/>
      <c r="AL32" s="46"/>
      <c r="AM32" s="46"/>
      <c r="AN32" s="46"/>
      <c r="AO32" s="46"/>
      <c r="AP32" s="46"/>
      <c r="AQ32" s="46"/>
      <c r="AR32" s="46"/>
      <c r="AS32" s="46"/>
      <c r="AT32" s="46"/>
      <c r="AU32" s="46"/>
      <c r="AV32" s="46"/>
      <c r="AZ32" s="7">
        <f t="shared" si="4"/>
        <v>1.9309780941847517E-9</v>
      </c>
      <c r="BA32" s="7">
        <f t="shared" si="14"/>
        <v>-5.8900000000000023</v>
      </c>
      <c r="BB32" s="7">
        <f t="shared" si="5"/>
        <v>1.1684665063049702E-8</v>
      </c>
      <c r="BC32" s="7" t="e">
        <f t="shared" si="6"/>
        <v>#N/A</v>
      </c>
      <c r="BD32" s="7">
        <f t="shared" si="7"/>
        <v>-5.890010000000002</v>
      </c>
      <c r="BE32" s="7">
        <f t="shared" si="8"/>
        <v>-5.8899900000000027</v>
      </c>
      <c r="BF32" s="7">
        <f t="shared" si="9"/>
        <v>7.6552221343521062E-5</v>
      </c>
      <c r="BG32" s="7">
        <f t="shared" si="10"/>
        <v>7.6554285921990483E-5</v>
      </c>
      <c r="BH32" s="7" t="e">
        <f t="shared" si="11"/>
        <v>#N/A</v>
      </c>
      <c r="BI32" s="7">
        <f t="shared" si="15"/>
        <v>1.1684665063049702E-8</v>
      </c>
      <c r="BJ32" s="7">
        <f t="shared" si="12"/>
        <v>-9.9998831533493703E-4</v>
      </c>
      <c r="BK32" s="7" t="e">
        <f t="shared" si="16"/>
        <v>#N/A</v>
      </c>
      <c r="BL32" s="7" t="e">
        <f t="shared" si="13"/>
        <v>#N/A</v>
      </c>
    </row>
    <row r="33" spans="1:64" ht="11.25" customHeight="1">
      <c r="B33" s="6"/>
      <c r="C33" s="6"/>
      <c r="D33" s="6"/>
      <c r="E33" s="6"/>
      <c r="F33" s="6"/>
      <c r="G33" s="6"/>
      <c r="H33" s="114"/>
      <c r="I33" s="115"/>
      <c r="J33" s="115"/>
      <c r="K33" s="115"/>
      <c r="L33" s="115"/>
      <c r="M33" s="115"/>
      <c r="N33" s="115"/>
      <c r="O33" s="116"/>
      <c r="P33" s="116"/>
      <c r="Q33" s="116"/>
      <c r="R33" s="116"/>
      <c r="S33" s="116"/>
      <c r="T33" s="116"/>
      <c r="U33" s="116"/>
      <c r="V33" s="116"/>
      <c r="W33" s="116"/>
      <c r="X33" s="116"/>
      <c r="Y33" s="116"/>
      <c r="Z33" s="117"/>
      <c r="AA33" s="117"/>
      <c r="AB33" s="117"/>
      <c r="AC33" s="117"/>
      <c r="AD33" s="118"/>
      <c r="AE33" s="46"/>
      <c r="AF33" s="46"/>
      <c r="AG33" s="46"/>
      <c r="AH33" s="46"/>
      <c r="AI33" s="46"/>
      <c r="AJ33" s="46"/>
      <c r="AK33" s="46"/>
      <c r="AL33" s="46"/>
      <c r="AM33" s="46"/>
      <c r="AN33" s="46"/>
      <c r="AO33" s="46"/>
      <c r="AP33" s="46"/>
      <c r="AQ33" s="46"/>
      <c r="AR33" s="46"/>
      <c r="AS33" s="46"/>
      <c r="AT33" s="46"/>
      <c r="AU33" s="46"/>
      <c r="AV33" s="46"/>
      <c r="AZ33" s="7">
        <f t="shared" si="4"/>
        <v>2.0513324107719853E-9</v>
      </c>
      <c r="BA33" s="7">
        <f t="shared" si="14"/>
        <v>-5.8800000000000026</v>
      </c>
      <c r="BB33" s="7">
        <f t="shared" si="5"/>
        <v>1.2392944314149906E-8</v>
      </c>
      <c r="BC33" s="7" t="e">
        <f t="shared" si="6"/>
        <v>#N/A</v>
      </c>
      <c r="BD33" s="7">
        <f t="shared" si="7"/>
        <v>-5.8800100000000022</v>
      </c>
      <c r="BE33" s="7">
        <f t="shared" si="8"/>
        <v>-5.8799900000000029</v>
      </c>
      <c r="BF33" s="7">
        <f t="shared" si="9"/>
        <v>7.7592016684717191E-5</v>
      </c>
      <c r="BG33" s="7">
        <f t="shared" si="10"/>
        <v>7.7594111425562356E-5</v>
      </c>
      <c r="BH33" s="7" t="e">
        <f t="shared" si="11"/>
        <v>#N/A</v>
      </c>
      <c r="BI33" s="7">
        <f t="shared" si="15"/>
        <v>1.2392944314149906E-8</v>
      </c>
      <c r="BJ33" s="7">
        <f t="shared" si="12"/>
        <v>-9.9998760705568581E-4</v>
      </c>
      <c r="BK33" s="7" t="e">
        <f t="shared" si="16"/>
        <v>#N/A</v>
      </c>
      <c r="BL33" s="7" t="e">
        <f t="shared" si="13"/>
        <v>#N/A</v>
      </c>
    </row>
    <row r="34" spans="1:64" ht="11.25" customHeight="1">
      <c r="B34" s="6"/>
      <c r="C34" s="6"/>
      <c r="D34" s="6"/>
      <c r="E34" s="6"/>
      <c r="F34" s="6"/>
      <c r="G34" s="6"/>
      <c r="H34" s="114"/>
      <c r="I34" s="116"/>
      <c r="J34" s="453" t="s">
        <v>1196</v>
      </c>
      <c r="K34" s="120" t="s">
        <v>1039</v>
      </c>
      <c r="L34" s="475"/>
      <c r="M34" s="121"/>
      <c r="N34" s="121"/>
      <c r="O34" s="122"/>
      <c r="P34" s="121"/>
      <c r="Q34" s="121"/>
      <c r="R34" s="123" t="s">
        <v>199</v>
      </c>
      <c r="S34" s="124">
        <f>IF(AND(BA11,BA15&lt;3),U29,"")</f>
        <v>1.96</v>
      </c>
      <c r="T34" s="116"/>
      <c r="U34" s="116"/>
      <c r="V34" s="116"/>
      <c r="W34" s="123" t="s">
        <v>1201</v>
      </c>
      <c r="X34" s="124">
        <f>IF(AND(BA11,BA15&lt;3),BI14,"")</f>
        <v>4.9995790296440745E-2</v>
      </c>
      <c r="Y34" s="116"/>
      <c r="Z34" s="116"/>
      <c r="AA34" s="125"/>
      <c r="AB34" s="125"/>
      <c r="AC34" s="117"/>
      <c r="AD34" s="118"/>
      <c r="AE34" s="46"/>
      <c r="AF34" s="46"/>
      <c r="AG34" s="46"/>
      <c r="AH34" s="46"/>
      <c r="AI34" s="46"/>
      <c r="AJ34" s="46"/>
      <c r="AK34" s="46"/>
      <c r="AL34" s="46"/>
      <c r="AM34" s="46"/>
      <c r="AN34" s="46"/>
      <c r="AO34" s="46"/>
      <c r="AP34" s="46"/>
      <c r="AQ34" s="46"/>
      <c r="AR34" s="46"/>
      <c r="AS34" s="46"/>
      <c r="AT34" s="46"/>
      <c r="AU34" s="46"/>
      <c r="AV34" s="46"/>
      <c r="AZ34" s="7">
        <f t="shared" si="4"/>
        <v>2.1789756961598882E-9</v>
      </c>
      <c r="BA34" s="7">
        <f t="shared" si="14"/>
        <v>-5.8700000000000028</v>
      </c>
      <c r="BB34" s="7">
        <f t="shared" si="5"/>
        <v>1.3142842366981953E-8</v>
      </c>
      <c r="BC34" s="7" t="e">
        <f t="shared" si="6"/>
        <v>#N/A</v>
      </c>
      <c r="BD34" s="7">
        <f t="shared" si="7"/>
        <v>-5.8700100000000024</v>
      </c>
      <c r="BE34" s="7">
        <f t="shared" si="8"/>
        <v>-5.8699900000000031</v>
      </c>
      <c r="BF34" s="7">
        <f t="shared" si="9"/>
        <v>7.8647010053051173E-5</v>
      </c>
      <c r="BG34" s="7">
        <f t="shared" si="10"/>
        <v>7.864913542584404E-5</v>
      </c>
      <c r="BH34" s="7" t="e">
        <f t="shared" si="11"/>
        <v>#N/A</v>
      </c>
      <c r="BI34" s="7">
        <f t="shared" si="15"/>
        <v>1.3142842366981953E-8</v>
      </c>
      <c r="BJ34" s="7">
        <f t="shared" si="12"/>
        <v>-9.9998685715763308E-4</v>
      </c>
      <c r="BK34" s="7" t="e">
        <f t="shared" si="16"/>
        <v>#N/A</v>
      </c>
      <c r="BL34" s="7" t="e">
        <f t="shared" si="13"/>
        <v>#N/A</v>
      </c>
    </row>
    <row r="35" spans="1:64" ht="11.25" customHeight="1">
      <c r="B35" s="6"/>
      <c r="C35" s="6"/>
      <c r="D35" s="6"/>
      <c r="E35" s="6"/>
      <c r="F35" s="6"/>
      <c r="G35" s="6"/>
      <c r="H35" s="114"/>
      <c r="I35" s="116"/>
      <c r="J35" s="115"/>
      <c r="K35" s="121"/>
      <c r="L35" s="121"/>
      <c r="M35" s="121"/>
      <c r="N35" s="121"/>
      <c r="O35" s="121"/>
      <c r="P35" s="121"/>
      <c r="Q35" s="121"/>
      <c r="R35" s="123" t="s">
        <v>1040</v>
      </c>
      <c r="S35" s="124">
        <f>IF(AND(BA11,BA15&lt;3),BN15,"")</f>
        <v>1.959963984540054</v>
      </c>
      <c r="T35" s="116"/>
      <c r="U35" s="116"/>
      <c r="V35" s="121"/>
      <c r="W35" s="123" t="s">
        <v>200</v>
      </c>
      <c r="X35" s="124">
        <f>IF(AND(BA11,BA15&lt;3),BI15,"")</f>
        <v>0.05</v>
      </c>
      <c r="Y35" s="116"/>
      <c r="Z35" s="116"/>
      <c r="AA35" s="125"/>
      <c r="AB35" s="125"/>
      <c r="AC35" s="117"/>
      <c r="AD35" s="118"/>
      <c r="AE35" s="46"/>
      <c r="AF35" s="46"/>
      <c r="AG35" s="46"/>
      <c r="AH35" s="46"/>
      <c r="AI35" s="46"/>
      <c r="AJ35" s="46"/>
      <c r="AK35" s="46"/>
      <c r="AL35" s="46"/>
      <c r="AM35" s="46"/>
      <c r="AN35" s="46"/>
      <c r="AO35" s="46"/>
      <c r="AP35" s="46"/>
      <c r="AQ35" s="46"/>
      <c r="AR35" s="46"/>
      <c r="AS35" s="46"/>
      <c r="AT35" s="46"/>
      <c r="AU35" s="46"/>
      <c r="AV35" s="46"/>
      <c r="AZ35" s="7">
        <f t="shared" si="4"/>
        <v>2.3143358525778178E-9</v>
      </c>
      <c r="BA35" s="7">
        <f t="shared" si="14"/>
        <v>-5.860000000000003</v>
      </c>
      <c r="BB35" s="7">
        <f t="shared" si="5"/>
        <v>1.3936723069047191E-8</v>
      </c>
      <c r="BC35" s="7" t="e">
        <f t="shared" si="6"/>
        <v>#N/A</v>
      </c>
      <c r="BD35" s="7">
        <f t="shared" si="7"/>
        <v>-5.8600100000000026</v>
      </c>
      <c r="BE35" s="7">
        <f t="shared" si="8"/>
        <v>-5.8599900000000034</v>
      </c>
      <c r="BF35" s="7">
        <f t="shared" si="9"/>
        <v>7.9717438155256024E-5</v>
      </c>
      <c r="BG35" s="7">
        <f t="shared" si="10"/>
        <v>7.9719594637289089E-5</v>
      </c>
      <c r="BH35" s="7" t="e">
        <f t="shared" si="11"/>
        <v>#N/A</v>
      </c>
      <c r="BI35" s="7">
        <f t="shared" si="15"/>
        <v>1.3936723069047191E-8</v>
      </c>
      <c r="BJ35" s="7">
        <f t="shared" si="12"/>
        <v>-9.9998606327693102E-4</v>
      </c>
      <c r="BK35" s="7" t="e">
        <f t="shared" si="16"/>
        <v>#N/A</v>
      </c>
      <c r="BL35" s="7" t="e">
        <f t="shared" si="13"/>
        <v>#N/A</v>
      </c>
    </row>
    <row r="36" spans="1:64" ht="11.25" customHeight="1">
      <c r="B36" s="6"/>
      <c r="C36" s="6"/>
      <c r="D36" s="6"/>
      <c r="E36" s="6"/>
      <c r="F36" s="6"/>
      <c r="G36" s="6"/>
      <c r="H36" s="458"/>
      <c r="I36" s="127"/>
      <c r="J36" s="127"/>
      <c r="K36" s="127"/>
      <c r="L36" s="127"/>
      <c r="M36" s="127"/>
      <c r="N36" s="127"/>
      <c r="O36" s="128"/>
      <c r="P36" s="128"/>
      <c r="Q36" s="128"/>
      <c r="R36" s="128"/>
      <c r="S36" s="128"/>
      <c r="T36" s="128"/>
      <c r="U36" s="128"/>
      <c r="V36" s="128"/>
      <c r="W36" s="128"/>
      <c r="X36" s="128"/>
      <c r="Y36" s="128"/>
      <c r="Z36" s="129"/>
      <c r="AA36" s="129"/>
      <c r="AB36" s="129"/>
      <c r="AC36" s="129"/>
      <c r="AD36" s="130"/>
      <c r="AE36" s="46"/>
      <c r="AF36" s="46"/>
      <c r="AG36" s="46"/>
      <c r="AH36" s="46"/>
      <c r="AI36" s="46"/>
      <c r="AJ36" s="46"/>
      <c r="AK36" s="46"/>
      <c r="AL36" s="46"/>
      <c r="AM36" s="46"/>
      <c r="AN36" s="46"/>
      <c r="AO36" s="46"/>
      <c r="AP36" s="46"/>
      <c r="AQ36" s="46"/>
      <c r="AR36" s="46"/>
      <c r="AS36" s="46"/>
      <c r="AT36" s="46"/>
      <c r="AU36" s="46"/>
      <c r="AV36" s="46"/>
      <c r="AZ36" s="7">
        <f t="shared" si="4"/>
        <v>2.4578650618072104E-9</v>
      </c>
      <c r="BA36" s="7">
        <f t="shared" si="14"/>
        <v>-5.8500000000000032</v>
      </c>
      <c r="BB36" s="7">
        <f t="shared" si="5"/>
        <v>1.4777079586479737E-8</v>
      </c>
      <c r="BC36" s="7" t="e">
        <f t="shared" si="6"/>
        <v>#N/A</v>
      </c>
      <c r="BD36" s="7">
        <f t="shared" si="7"/>
        <v>-5.8500100000000028</v>
      </c>
      <c r="BE36" s="7">
        <f t="shared" si="8"/>
        <v>-5.8499900000000036</v>
      </c>
      <c r="BF36" s="7">
        <f t="shared" si="9"/>
        <v>8.0803541591402861E-5</v>
      </c>
      <c r="BG36" s="7">
        <f t="shared" si="10"/>
        <v>8.0805729667821928E-5</v>
      </c>
      <c r="BH36" s="7" t="e">
        <f t="shared" si="11"/>
        <v>#N/A</v>
      </c>
      <c r="BI36" s="7">
        <f t="shared" si="15"/>
        <v>1.4777079586479737E-8</v>
      </c>
      <c r="BJ36" s="7">
        <f t="shared" si="12"/>
        <v>-9.9998522292041358E-4</v>
      </c>
      <c r="BK36" s="7" t="e">
        <f t="shared" si="16"/>
        <v>#N/A</v>
      </c>
      <c r="BL36" s="7" t="e">
        <f t="shared" si="13"/>
        <v>#N/A</v>
      </c>
    </row>
    <row r="37" spans="1:64" ht="11.25" customHeight="1">
      <c r="M37" s="8"/>
      <c r="N37" s="131"/>
      <c r="O37" s="8"/>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Z37" s="7">
        <f t="shared" si="4"/>
        <v>2.6100411120120076E-9</v>
      </c>
      <c r="BA37" s="7">
        <f t="shared" si="14"/>
        <v>-5.8400000000000034</v>
      </c>
      <c r="BB37" s="7">
        <f t="shared" si="5"/>
        <v>1.5666541188132235E-8</v>
      </c>
      <c r="BC37" s="7" t="e">
        <f t="shared" si="6"/>
        <v>#N/A</v>
      </c>
      <c r="BD37" s="7">
        <f t="shared" si="7"/>
        <v>-5.840010000000003</v>
      </c>
      <c r="BE37" s="7">
        <f t="shared" si="8"/>
        <v>-5.8399900000000038</v>
      </c>
      <c r="BF37" s="7">
        <f t="shared" si="9"/>
        <v>8.1905564921948463E-5</v>
      </c>
      <c r="BG37" s="7">
        <f t="shared" si="10"/>
        <v>8.1907785085888092E-5</v>
      </c>
      <c r="BH37" s="7" t="e">
        <f t="shared" si="11"/>
        <v>#N/A</v>
      </c>
      <c r="BI37" s="7">
        <f t="shared" si="15"/>
        <v>1.5666541188132235E-8</v>
      </c>
      <c r="BJ37" s="7">
        <f t="shared" si="12"/>
        <v>-9.9998433345881198E-4</v>
      </c>
      <c r="BK37" s="7" t="e">
        <f t="shared" si="16"/>
        <v>#N/A</v>
      </c>
      <c r="BL37" s="7" t="e">
        <f t="shared" si="13"/>
        <v>#N/A</v>
      </c>
    </row>
    <row r="38" spans="1:64" ht="11.25" customHeight="1">
      <c r="M38" s="8"/>
      <c r="N38" s="132"/>
      <c r="O38" s="8"/>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Z38" s="7">
        <f t="shared" si="4"/>
        <v>2.7713687940936262E-9</v>
      </c>
      <c r="BA38" s="7">
        <f t="shared" si="14"/>
        <v>-5.8300000000000036</v>
      </c>
      <c r="BB38" s="7">
        <f t="shared" si="5"/>
        <v>1.6607880368991689E-8</v>
      </c>
      <c r="BC38" s="7" t="e">
        <f t="shared" si="6"/>
        <v>#N/A</v>
      </c>
      <c r="BD38" s="7">
        <f t="shared" si="7"/>
        <v>-5.8300100000000032</v>
      </c>
      <c r="BE38" s="7">
        <f t="shared" si="8"/>
        <v>-5.829990000000004</v>
      </c>
      <c r="BF38" s="7">
        <f t="shared" si="9"/>
        <v>8.3023756735982438E-5</v>
      </c>
      <c r="BG38" s="7">
        <f t="shared" si="10"/>
        <v>8.3026009488703891E-5</v>
      </c>
      <c r="BH38" s="7" t="e">
        <f t="shared" si="11"/>
        <v>#N/A</v>
      </c>
      <c r="BI38" s="7">
        <f t="shared" si="15"/>
        <v>1.6607880368991689E-8</v>
      </c>
      <c r="BJ38" s="7">
        <f t="shared" si="12"/>
        <v>-9.9998339211963111E-4</v>
      </c>
      <c r="BK38" s="7" t="e">
        <f t="shared" si="16"/>
        <v>#N/A</v>
      </c>
      <c r="BL38" s="7" t="e">
        <f t="shared" si="13"/>
        <v>#N/A</v>
      </c>
    </row>
    <row r="39" spans="1:64" ht="11.25" customHeight="1">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Z39" s="7">
        <f t="shared" si="4"/>
        <v>2.9423813710432679E-9</v>
      </c>
      <c r="BA39" s="7">
        <f t="shared" si="14"/>
        <v>-5.8200000000000038</v>
      </c>
      <c r="BB39" s="7">
        <f t="shared" si="5"/>
        <v>1.7604020328985466E-8</v>
      </c>
      <c r="BC39" s="7" t="e">
        <f t="shared" si="6"/>
        <v>#N/A</v>
      </c>
      <c r="BD39" s="7">
        <f t="shared" si="7"/>
        <v>-5.8200100000000035</v>
      </c>
      <c r="BE39" s="7">
        <f t="shared" si="8"/>
        <v>-5.8199900000000042</v>
      </c>
      <c r="BF39" s="7">
        <f t="shared" si="9"/>
        <v>8.4158369720694438E-5</v>
      </c>
      <c r="BG39" s="7">
        <f t="shared" si="10"/>
        <v>8.4160655571725534E-5</v>
      </c>
      <c r="BH39" s="7" t="e">
        <f t="shared" si="11"/>
        <v>#N/A</v>
      </c>
      <c r="BI39" s="7">
        <f t="shared" si="15"/>
        <v>1.7604020328985466E-8</v>
      </c>
      <c r="BJ39" s="7">
        <f t="shared" si="12"/>
        <v>-9.999823959796711E-4</v>
      </c>
      <c r="BK39" s="7" t="e">
        <f t="shared" si="16"/>
        <v>#N/A</v>
      </c>
      <c r="BL39" s="7" t="e">
        <f t="shared" si="13"/>
        <v>#N/A</v>
      </c>
    </row>
    <row r="40" spans="1:64" ht="11.25" customHeight="1">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Z40" s="7">
        <f t="shared" si="4"/>
        <v>3.1236421239287999E-9</v>
      </c>
      <c r="BA40" s="7">
        <f t="shared" si="14"/>
        <v>-5.8100000000000041</v>
      </c>
      <c r="BB40" s="7">
        <f t="shared" si="5"/>
        <v>1.8658042823945709E-8</v>
      </c>
      <c r="BC40" s="7" t="e">
        <f t="shared" si="6"/>
        <v>#N/A</v>
      </c>
      <c r="BD40" s="7">
        <f t="shared" si="7"/>
        <v>-5.8100100000000037</v>
      </c>
      <c r="BE40" s="7">
        <f t="shared" si="8"/>
        <v>-5.8099900000000044</v>
      </c>
      <c r="BF40" s="7">
        <f t="shared" si="9"/>
        <v>8.5309660732083784E-5</v>
      </c>
      <c r="BG40" s="7">
        <f t="shared" si="10"/>
        <v>8.5311980199361399E-5</v>
      </c>
      <c r="BH40" s="7" t="e">
        <f t="shared" si="11"/>
        <v>#N/A</v>
      </c>
      <c r="BI40" s="7">
        <f t="shared" si="15"/>
        <v>1.8658042823945709E-8</v>
      </c>
      <c r="BJ40" s="7">
        <f t="shared" si="12"/>
        <v>-9.9998134195717616E-4</v>
      </c>
      <c r="BK40" s="7" t="e">
        <f t="shared" si="16"/>
        <v>#N/A</v>
      </c>
      <c r="BL40" s="7" t="e">
        <f t="shared" si="13"/>
        <v>#N/A</v>
      </c>
    </row>
    <row r="41" spans="1:64" ht="11.25" customHeight="1">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Z41" s="7">
        <f t="shared" si="4"/>
        <v>3.3157459783248225E-9</v>
      </c>
      <c r="BA41" s="7">
        <f t="shared" si="14"/>
        <v>-5.8000000000000043</v>
      </c>
      <c r="BB41" s="7">
        <f t="shared" si="5"/>
        <v>1.9773196406244176E-8</v>
      </c>
      <c r="BC41" s="7" t="e">
        <f t="shared" si="6"/>
        <v>#N/A</v>
      </c>
      <c r="BD41" s="7">
        <f t="shared" si="7"/>
        <v>-5.8000100000000039</v>
      </c>
      <c r="BE41" s="7">
        <f t="shared" si="8"/>
        <v>-5.7999900000000046</v>
      </c>
      <c r="BF41" s="7">
        <f t="shared" si="9"/>
        <v>8.6477890866935972E-5</v>
      </c>
      <c r="BG41" s="7">
        <f t="shared" si="10"/>
        <v>8.6480244476951838E-5</v>
      </c>
      <c r="BH41" s="7" t="e">
        <f t="shared" si="11"/>
        <v>#N/A</v>
      </c>
      <c r="BI41" s="7">
        <f t="shared" si="15"/>
        <v>1.9773196406244176E-8</v>
      </c>
      <c r="BJ41" s="7">
        <f t="shared" si="12"/>
        <v>-9.9998022680359384E-4</v>
      </c>
      <c r="BK41" s="7" t="e">
        <f t="shared" si="16"/>
        <v>#N/A</v>
      </c>
      <c r="BL41" s="7" t="e">
        <f t="shared" si="13"/>
        <v>#N/A</v>
      </c>
    </row>
    <row r="42" spans="1:64" ht="11.25" customHeight="1">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Z42" s="7">
        <f t="shared" si="4"/>
        <v>3.5193212151731503E-9</v>
      </c>
      <c r="BA42" s="7">
        <f t="shared" si="14"/>
        <v>-5.7900000000000045</v>
      </c>
      <c r="BB42" s="7">
        <f t="shared" si="5"/>
        <v>2.0952905073376448E-8</v>
      </c>
      <c r="BC42" s="7" t="e">
        <f t="shared" si="6"/>
        <v>#N/A</v>
      </c>
      <c r="BD42" s="7">
        <f t="shared" si="7"/>
        <v>-5.7900100000000041</v>
      </c>
      <c r="BE42" s="7">
        <f t="shared" si="8"/>
        <v>-5.7899900000000049</v>
      </c>
      <c r="BF42" s="7">
        <f t="shared" si="9"/>
        <v>8.766332553608621E-5</v>
      </c>
      <c r="BG42" s="7">
        <f t="shared" si="10"/>
        <v>8.766571382403426E-5</v>
      </c>
      <c r="BH42" s="7" t="e">
        <f t="shared" si="11"/>
        <v>#N/A</v>
      </c>
      <c r="BI42" s="7">
        <f t="shared" si="15"/>
        <v>2.0952905073376448E-8</v>
      </c>
      <c r="BJ42" s="7">
        <f t="shared" si="12"/>
        <v>-9.9997904709492672E-4</v>
      </c>
      <c r="BK42" s="7" t="e">
        <f t="shared" si="16"/>
        <v>#N/A</v>
      </c>
      <c r="BL42" s="7" t="e">
        <f t="shared" si="13"/>
        <v>#N/A</v>
      </c>
    </row>
    <row r="43" spans="1:64" ht="11.25" customHeight="1">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Z43" s="7">
        <f t="shared" si="4"/>
        <v>3.735031270248125E-9</v>
      </c>
      <c r="BA43" s="7">
        <f t="shared" si="14"/>
        <v>-5.7800000000000047</v>
      </c>
      <c r="BB43" s="7">
        <f t="shared" si="5"/>
        <v>2.2200777343578378E-8</v>
      </c>
      <c r="BC43" s="7" t="e">
        <f t="shared" si="6"/>
        <v>#N/A</v>
      </c>
      <c r="BD43" s="7">
        <f t="shared" si="7"/>
        <v>-5.7800100000000043</v>
      </c>
      <c r="BE43" s="7">
        <f t="shared" si="8"/>
        <v>-5.7799900000000051</v>
      </c>
      <c r="BF43" s="7">
        <f t="shared" si="9"/>
        <v>8.8866234538998546E-5</v>
      </c>
      <c r="BG43" s="7">
        <f t="shared" si="10"/>
        <v>8.8868658048925711E-5</v>
      </c>
      <c r="BH43" s="7" t="e">
        <f t="shared" si="11"/>
        <v>#N/A</v>
      </c>
      <c r="BI43" s="7">
        <f t="shared" si="15"/>
        <v>2.2200777343578378E-8</v>
      </c>
      <c r="BJ43" s="7">
        <f t="shared" si="12"/>
        <v>-9.9997779922265636E-4</v>
      </c>
      <c r="BK43" s="7" t="e">
        <f t="shared" si="16"/>
        <v>#N/A</v>
      </c>
      <c r="BL43" s="7" t="e">
        <f t="shared" si="13"/>
        <v>#N/A</v>
      </c>
    </row>
    <row r="44" spans="1:64" ht="11.25" customHeight="1">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Z44" s="7">
        <f t="shared" si="4"/>
        <v>3.9635766265958533E-9</v>
      </c>
      <c r="BA44" s="7">
        <f t="shared" si="14"/>
        <v>-5.7700000000000049</v>
      </c>
      <c r="BB44" s="7">
        <f t="shared" si="5"/>
        <v>2.3520615778390081E-8</v>
      </c>
      <c r="BC44" s="7" t="e">
        <f t="shared" si="6"/>
        <v>#N/A</v>
      </c>
      <c r="BD44" s="7">
        <f t="shared" si="7"/>
        <v>-5.7700100000000045</v>
      </c>
      <c r="BE44" s="7">
        <f t="shared" si="8"/>
        <v>-5.7699900000000053</v>
      </c>
      <c r="BF44" s="7">
        <f t="shared" si="9"/>
        <v>9.0086892139678719E-5</v>
      </c>
      <c r="BG44" s="7">
        <f t="shared" si="10"/>
        <v>9.0089351424638004E-5</v>
      </c>
      <c r="BH44" s="7" t="e">
        <f t="shared" si="11"/>
        <v>#N/A</v>
      </c>
      <c r="BI44" s="7">
        <f t="shared" si="15"/>
        <v>2.3520615778390081E-8</v>
      </c>
      <c r="BJ44" s="7">
        <f t="shared" si="12"/>
        <v>-9.9997647938422163E-4</v>
      </c>
      <c r="BK44" s="7" t="e">
        <f t="shared" si="16"/>
        <v>#N/A</v>
      </c>
      <c r="BL44" s="7" t="e">
        <f t="shared" si="13"/>
        <v>#N/A</v>
      </c>
    </row>
    <row r="45" spans="1:64" ht="11.25" customHeight="1">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Z45" s="7">
        <f t="shared" si="4"/>
        <v>4.2056968045200514E-9</v>
      </c>
      <c r="BA45" s="7">
        <f t="shared" si="14"/>
        <v>-5.7600000000000051</v>
      </c>
      <c r="BB45" s="7">
        <f t="shared" si="5"/>
        <v>2.4916426972950188E-8</v>
      </c>
      <c r="BC45" s="7" t="e">
        <f t="shared" si="6"/>
        <v>#N/A</v>
      </c>
      <c r="BD45" s="7">
        <f t="shared" si="7"/>
        <v>-5.7600100000000047</v>
      </c>
      <c r="BE45" s="7">
        <f t="shared" si="8"/>
        <v>-5.7599900000000055</v>
      </c>
      <c r="BF45" s="7">
        <f t="shared" si="9"/>
        <v>9.1325577143951348E-5</v>
      </c>
      <c r="BG45" s="7">
        <f t="shared" si="10"/>
        <v>9.1328072766157443E-5</v>
      </c>
      <c r="BH45" s="7" t="e">
        <f t="shared" si="11"/>
        <v>#N/A</v>
      </c>
      <c r="BI45" s="7">
        <f t="shared" si="15"/>
        <v>2.4916426972950188E-8</v>
      </c>
      <c r="BJ45" s="7">
        <f t="shared" si="12"/>
        <v>-9.9997508357302714E-4</v>
      </c>
      <c r="BK45" s="7" t="e">
        <f t="shared" si="16"/>
        <v>#N/A</v>
      </c>
      <c r="BL45" s="7" t="e">
        <f t="shared" si="13"/>
        <v>#N/A</v>
      </c>
    </row>
    <row r="46" spans="1:64" ht="11.25" customHeight="1">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Z46" s="7">
        <f t="shared" si="4"/>
        <v>4.4621724538994461E-9</v>
      </c>
      <c r="BA46" s="7">
        <f t="shared" si="14"/>
        <v>-5.7500000000000053</v>
      </c>
      <c r="BB46" s="7">
        <f t="shared" si="5"/>
        <v>2.6392432035704888E-8</v>
      </c>
      <c r="BC46" s="7" t="e">
        <f t="shared" si="6"/>
        <v>#N/A</v>
      </c>
      <c r="BD46" s="7">
        <f t="shared" si="7"/>
        <v>-5.750010000000005</v>
      </c>
      <c r="BE46" s="7">
        <f t="shared" si="8"/>
        <v>-5.7499900000000057</v>
      </c>
      <c r="BF46" s="7">
        <f t="shared" si="9"/>
        <v>9.2582572978121549E-5</v>
      </c>
      <c r="BG46" s="7">
        <f t="shared" si="10"/>
        <v>9.2585105509110274E-5</v>
      </c>
      <c r="BH46" s="7" t="e">
        <f t="shared" si="11"/>
        <v>#N/A</v>
      </c>
      <c r="BI46" s="7">
        <f t="shared" si="15"/>
        <v>2.6392432035704888E-8</v>
      </c>
      <c r="BJ46" s="7">
        <f t="shared" si="12"/>
        <v>-9.9997360756796439E-4</v>
      </c>
      <c r="BK46" s="7" t="e">
        <f t="shared" si="16"/>
        <v>#N/A</v>
      </c>
      <c r="BL46" s="7" t="e">
        <f t="shared" si="13"/>
        <v>#N/A</v>
      </c>
    </row>
    <row r="47" spans="1:64" ht="11.25" customHeight="1">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Z47" s="7">
        <f t="shared" si="4"/>
        <v>4.7338275538432085E-9</v>
      </c>
      <c r="BA47" s="7">
        <f t="shared" si="14"/>
        <v>-5.7400000000000055</v>
      </c>
      <c r="BB47" s="7">
        <f t="shared" si="5"/>
        <v>2.7953077580153754E-8</v>
      </c>
      <c r="BC47" s="7" t="e">
        <f t="shared" si="6"/>
        <v>#N/A</v>
      </c>
      <c r="BD47" s="7">
        <f t="shared" si="7"/>
        <v>-5.7400100000000052</v>
      </c>
      <c r="BE47" s="7">
        <f t="shared" si="8"/>
        <v>-5.7399900000000059</v>
      </c>
      <c r="BF47" s="7">
        <f t="shared" si="9"/>
        <v>9.3858167769050031E-5</v>
      </c>
      <c r="BG47" s="7">
        <f t="shared" si="10"/>
        <v>9.3860737789839123E-5</v>
      </c>
      <c r="BH47" s="7" t="e">
        <f t="shared" si="11"/>
        <v>#N/A</v>
      </c>
      <c r="BI47" s="7">
        <f t="shared" si="15"/>
        <v>2.7953077580153754E-8</v>
      </c>
      <c r="BJ47" s="7">
        <f t="shared" si="12"/>
        <v>-9.9997204692241996E-4</v>
      </c>
      <c r="BK47" s="7" t="e">
        <f t="shared" si="16"/>
        <v>#N/A</v>
      </c>
      <c r="BL47" s="7" t="e">
        <f t="shared" si="13"/>
        <v>#N/A</v>
      </c>
    </row>
    <row r="48" spans="1:64" ht="11.25" customHeight="1">
      <c r="A48" s="6"/>
      <c r="B48" s="6"/>
      <c r="C48" s="6"/>
      <c r="D48" s="6"/>
      <c r="E48" s="6"/>
      <c r="F48" s="6"/>
      <c r="G48" s="6"/>
      <c r="H48" s="6"/>
      <c r="I48" s="6"/>
      <c r="J48" s="6"/>
      <c r="K48" s="6"/>
      <c r="L48" s="6"/>
      <c r="M48" s="6"/>
      <c r="N48" s="6"/>
      <c r="O48" s="6"/>
      <c r="P48" s="6"/>
      <c r="Q48" s="6"/>
      <c r="AZ48" s="7">
        <f t="shared" si="4"/>
        <v>5.0215317249219037E-9</v>
      </c>
      <c r="BA48" s="7">
        <f t="shared" si="14"/>
        <v>-5.7300000000000058</v>
      </c>
      <c r="BB48" s="7">
        <f t="shared" si="5"/>
        <v>2.9603047252229099E-8</v>
      </c>
      <c r="BC48" s="7" t="e">
        <f t="shared" si="6"/>
        <v>#N/A</v>
      </c>
      <c r="BD48" s="7">
        <f t="shared" si="7"/>
        <v>-5.7300100000000054</v>
      </c>
      <c r="BE48" s="7">
        <f t="shared" si="8"/>
        <v>-5.7299900000000061</v>
      </c>
      <c r="BF48" s="7">
        <f t="shared" si="9"/>
        <v>9.5152654425665514E-5</v>
      </c>
      <c r="BG48" s="7">
        <f t="shared" si="10"/>
        <v>9.5155262526919955E-5</v>
      </c>
      <c r="BH48" s="7" t="e">
        <f t="shared" si="11"/>
        <v>#N/A</v>
      </c>
      <c r="BI48" s="7">
        <f t="shared" si="15"/>
        <v>2.9603047252229099E-8</v>
      </c>
      <c r="BJ48" s="7">
        <f t="shared" si="12"/>
        <v>-9.9997039695274778E-4</v>
      </c>
      <c r="BK48" s="7" t="e">
        <f t="shared" si="16"/>
        <v>#N/A</v>
      </c>
      <c r="BL48" s="7" t="e">
        <f t="shared" si="13"/>
        <v>#N/A</v>
      </c>
    </row>
    <row r="49" spans="1:64" ht="11.25" customHeight="1">
      <c r="A49" s="6"/>
      <c r="B49" s="6"/>
      <c r="C49" s="6"/>
      <c r="D49" s="6"/>
      <c r="E49" s="6"/>
      <c r="F49" s="6"/>
      <c r="G49" s="6"/>
      <c r="H49" s="6"/>
      <c r="I49" s="6"/>
      <c r="J49" s="6"/>
      <c r="K49" s="6"/>
      <c r="L49" s="6"/>
      <c r="M49" s="6"/>
      <c r="N49" s="6"/>
      <c r="O49" s="6"/>
      <c r="P49" s="6"/>
      <c r="Q49" s="6"/>
      <c r="AZ49" s="7">
        <f t="shared" si="4"/>
        <v>5.326202659452609E-9</v>
      </c>
      <c r="BA49" s="7">
        <f t="shared" si="14"/>
        <v>-5.720000000000006</v>
      </c>
      <c r="BB49" s="7">
        <f t="shared" si="5"/>
        <v>3.1347273817918672E-8</v>
      </c>
      <c r="BC49" s="7" t="e">
        <f t="shared" si="6"/>
        <v>#N/A</v>
      </c>
      <c r="BD49" s="7">
        <f t="shared" si="7"/>
        <v>-5.7200100000000056</v>
      </c>
      <c r="BE49" s="7">
        <f t="shared" si="8"/>
        <v>-5.7199900000000063</v>
      </c>
      <c r="BF49" s="7">
        <f t="shared" si="9"/>
        <v>9.6466330721942204E-5</v>
      </c>
      <c r="BG49" s="7">
        <f t="shared" si="10"/>
        <v>9.6468977504140794E-5</v>
      </c>
      <c r="BH49" s="7" t="e">
        <f t="shared" si="11"/>
        <v>#N/A</v>
      </c>
      <c r="BI49" s="7">
        <f t="shared" si="15"/>
        <v>3.1347273817918672E-8</v>
      </c>
      <c r="BJ49" s="7">
        <f t="shared" si="12"/>
        <v>-9.9996865272618208E-4</v>
      </c>
      <c r="BK49" s="7" t="e">
        <f t="shared" si="16"/>
        <v>#N/A</v>
      </c>
      <c r="BL49" s="7" t="e">
        <f t="shared" si="13"/>
        <v>#N/A</v>
      </c>
    </row>
    <row r="50" spans="1:64" ht="11.25" customHeight="1">
      <c r="A50" s="6"/>
      <c r="B50" s="6"/>
      <c r="C50" s="6"/>
      <c r="D50" s="6"/>
      <c r="E50" s="6"/>
      <c r="F50" s="6"/>
      <c r="G50" s="6"/>
      <c r="H50" s="6"/>
      <c r="I50" s="6"/>
      <c r="J50" s="6"/>
      <c r="K50" s="6"/>
      <c r="L50" s="6"/>
      <c r="M50" s="6"/>
      <c r="N50" s="6"/>
      <c r="O50" s="6"/>
      <c r="P50" s="6"/>
      <c r="Q50" s="6"/>
      <c r="AZ50" s="7">
        <f t="shared" si="4"/>
        <v>5.6488086755678095E-9</v>
      </c>
      <c r="BA50" s="7">
        <f t="shared" si="14"/>
        <v>-5.7100000000000062</v>
      </c>
      <c r="BB50" s="7">
        <f t="shared" si="5"/>
        <v>3.3190951836794195E-8</v>
      </c>
      <c r="BC50" s="7" t="e">
        <f t="shared" si="6"/>
        <v>#N/A</v>
      </c>
      <c r="BD50" s="7">
        <f t="shared" si="7"/>
        <v>-5.7100100000000058</v>
      </c>
      <c r="BE50" s="7">
        <f t="shared" si="8"/>
        <v>-5.7099900000000066</v>
      </c>
      <c r="BF50" s="7">
        <f t="shared" si="9"/>
        <v>9.779949938136855E-5</v>
      </c>
      <c r="BG50" s="7">
        <f t="shared" si="10"/>
        <v>9.7802185454974941E-5</v>
      </c>
      <c r="BH50" s="7" t="e">
        <f t="shared" si="11"/>
        <v>#N/A</v>
      </c>
      <c r="BI50" s="7">
        <f t="shared" si="15"/>
        <v>3.3190951836794195E-8</v>
      </c>
      <c r="BJ50" s="7">
        <f t="shared" si="12"/>
        <v>-9.9996680904816324E-4</v>
      </c>
      <c r="BK50" s="7" t="e">
        <f t="shared" si="16"/>
        <v>#N/A</v>
      </c>
      <c r="BL50" s="7" t="e">
        <f t="shared" si="13"/>
        <v>#N/A</v>
      </c>
    </row>
    <row r="51" spans="1:64" ht="11.25" customHeight="1">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7">
        <f t="shared" si="4"/>
        <v>5.9903714010600844E-9</v>
      </c>
      <c r="BA51" s="7">
        <f t="shared" si="14"/>
        <v>-5.7000000000000064</v>
      </c>
      <c r="BB51" s="7">
        <f t="shared" si="5"/>
        <v>3.513955094820309E-8</v>
      </c>
      <c r="BC51" s="7" t="e">
        <f t="shared" si="6"/>
        <v>#N/A</v>
      </c>
      <c r="BD51" s="7">
        <f t="shared" si="7"/>
        <v>-5.700010000000006</v>
      </c>
      <c r="BE51" s="7">
        <f t="shared" si="8"/>
        <v>-5.6999900000000068</v>
      </c>
      <c r="BF51" s="7">
        <f t="shared" si="9"/>
        <v>9.9152468162935829E-5</v>
      </c>
      <c r="BG51" s="7">
        <f t="shared" si="10"/>
        <v>9.9155194148571835E-5</v>
      </c>
      <c r="BH51" s="7" t="e">
        <f t="shared" si="11"/>
        <v>#N/A</v>
      </c>
      <c r="BI51" s="7">
        <f t="shared" si="15"/>
        <v>3.513955094820309E-8</v>
      </c>
      <c r="BJ51" s="7">
        <f t="shared" si="12"/>
        <v>-9.9996486044905174E-4</v>
      </c>
      <c r="BK51" s="7" t="e">
        <f t="shared" si="16"/>
        <v>#N/A</v>
      </c>
      <c r="BL51" s="7" t="e">
        <f t="shared" si="13"/>
        <v>#N/A</v>
      </c>
    </row>
    <row r="52" spans="1:64" ht="11.25" customHeight="1">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7">
        <f t="shared" si="4"/>
        <v>6.3519685932681828E-9</v>
      </c>
      <c r="BA52" s="7">
        <f t="shared" si="14"/>
        <v>-5.6900000000000066</v>
      </c>
      <c r="BB52" s="7">
        <f t="shared" si="5"/>
        <v>3.719882979801471E-8</v>
      </c>
      <c r="BC52" s="7" t="e">
        <f t="shared" si="6"/>
        <v>#N/A</v>
      </c>
      <c r="BD52" s="7">
        <f t="shared" si="7"/>
        <v>-5.6900100000000062</v>
      </c>
      <c r="BE52" s="7">
        <f t="shared" si="8"/>
        <v>-5.689990000000007</v>
      </c>
      <c r="BF52" s="7">
        <f t="shared" si="9"/>
        <v>1.0052554994867248E-4</v>
      </c>
      <c r="BG52" s="7">
        <f t="shared" si="10"/>
        <v>1.0052831647729469E-4</v>
      </c>
      <c r="BH52" s="7" t="e">
        <f t="shared" si="11"/>
        <v>#N/A</v>
      </c>
      <c r="BI52" s="7">
        <f t="shared" si="15"/>
        <v>3.719882979801471E-8</v>
      </c>
      <c r="BJ52" s="7">
        <f t="shared" si="12"/>
        <v>-9.9996280117020209E-4</v>
      </c>
      <c r="BK52" s="7" t="e">
        <f t="shared" si="16"/>
        <v>#N/A</v>
      </c>
      <c r="BL52" s="7" t="e">
        <f t="shared" si="13"/>
        <v>#N/A</v>
      </c>
    </row>
    <row r="53" spans="1:64" ht="11.25" customHeight="1">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7">
        <f t="shared" si="4"/>
        <v>6.7347371015533519E-9</v>
      </c>
      <c r="BA53" s="7">
        <f t="shared" si="14"/>
        <v>-5.6800000000000068</v>
      </c>
      <c r="BB53" s="7">
        <f t="shared" si="5"/>
        <v>3.9374850634996962E-8</v>
      </c>
      <c r="BC53" s="7" t="e">
        <f t="shared" si="6"/>
        <v>#N/A</v>
      </c>
      <c r="BD53" s="7">
        <f t="shared" si="7"/>
        <v>-5.6800100000000064</v>
      </c>
      <c r="BE53" s="7">
        <f t="shared" si="8"/>
        <v>-5.6799900000000072</v>
      </c>
      <c r="BF53" s="7">
        <f t="shared" si="9"/>
        <v>1.0191906283275525E-4</v>
      </c>
      <c r="BG53" s="7">
        <f t="shared" si="10"/>
        <v>1.0192187054583503E-4</v>
      </c>
      <c r="BH53" s="7" t="e">
        <f t="shared" si="11"/>
        <v>#N/A</v>
      </c>
      <c r="BI53" s="7">
        <f t="shared" si="15"/>
        <v>3.9374850634996962E-8</v>
      </c>
      <c r="BJ53" s="7">
        <f t="shared" si="12"/>
        <v>-9.9996062514936504E-4</v>
      </c>
      <c r="BK53" s="7" t="e">
        <f t="shared" si="16"/>
        <v>#N/A</v>
      </c>
      <c r="BL53" s="7" t="e">
        <f t="shared" si="13"/>
        <v>#N/A</v>
      </c>
    </row>
    <row r="54" spans="1:64" ht="11.25" customHeight="1">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7">
        <f t="shared" si="4"/>
        <v>7.1398759792138114E-9</v>
      </c>
      <c r="BA54" s="7">
        <f t="shared" si="14"/>
        <v>-5.670000000000007</v>
      </c>
      <c r="BB54" s="7">
        <f t="shared" si="5"/>
        <v>4.1673994607121722E-8</v>
      </c>
      <c r="BC54" s="7" t="e">
        <f t="shared" si="6"/>
        <v>#N/A</v>
      </c>
      <c r="BD54" s="7">
        <f t="shared" si="7"/>
        <v>-5.6700100000000067</v>
      </c>
      <c r="BE54" s="7">
        <f t="shared" si="8"/>
        <v>-5.6699900000000074</v>
      </c>
      <c r="BF54" s="7">
        <f t="shared" si="9"/>
        <v>1.033333302122251E-4</v>
      </c>
      <c r="BG54" s="7">
        <f t="shared" si="10"/>
        <v>1.0333617976193186E-4</v>
      </c>
      <c r="BH54" s="7" t="e">
        <f t="shared" si="11"/>
        <v>#N/A</v>
      </c>
      <c r="BI54" s="7">
        <f t="shared" si="15"/>
        <v>4.1673994607121722E-8</v>
      </c>
      <c r="BJ54" s="7">
        <f t="shared" si="12"/>
        <v>-9.9995832600539283E-4</v>
      </c>
      <c r="BK54" s="7" t="e">
        <f t="shared" si="16"/>
        <v>#N/A</v>
      </c>
      <c r="BL54" s="7" t="e">
        <f t="shared" si="13"/>
        <v>#N/A</v>
      </c>
    </row>
    <row r="55" spans="1:64" ht="11.25" customHeight="1">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7">
        <f t="shared" si="4"/>
        <v>7.5686497519926647E-9</v>
      </c>
      <c r="BA55" s="7">
        <f t="shared" si="14"/>
        <v>-5.6600000000000072</v>
      </c>
      <c r="BB55" s="7">
        <f t="shared" si="5"/>
        <v>4.4102977789371349E-8</v>
      </c>
      <c r="BC55" s="7" t="e">
        <f t="shared" si="6"/>
        <v>#N/A</v>
      </c>
      <c r="BD55" s="7">
        <f t="shared" si="7"/>
        <v>-5.6600100000000069</v>
      </c>
      <c r="BE55" s="7">
        <f t="shared" si="8"/>
        <v>-5.6599900000000076</v>
      </c>
      <c r="BF55" s="7">
        <f t="shared" si="9"/>
        <v>1.0476868087933686E-4</v>
      </c>
      <c r="BG55" s="7">
        <f t="shared" si="10"/>
        <v>1.0477157292872333E-4</v>
      </c>
      <c r="BH55" s="7" t="e">
        <f t="shared" si="11"/>
        <v>#N/A</v>
      </c>
      <c r="BI55" s="7">
        <f t="shared" si="15"/>
        <v>4.4102977789371349E-8</v>
      </c>
      <c r="BJ55" s="7">
        <f t="shared" si="12"/>
        <v>-9.9995589702221071E-4</v>
      </c>
      <c r="BK55" s="7" t="e">
        <f t="shared" si="16"/>
        <v>#N/A</v>
      </c>
      <c r="BL55" s="7" t="e">
        <f t="shared" si="13"/>
        <v>#N/A</v>
      </c>
    </row>
    <row r="56" spans="1:64" ht="11.25" customHeight="1">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7">
        <f t="shared" si="4"/>
        <v>8.0223918506579649E-9</v>
      </c>
      <c r="BA56" s="7">
        <f t="shared" si="14"/>
        <v>-5.6500000000000075</v>
      </c>
      <c r="BB56" s="7">
        <f t="shared" si="5"/>
        <v>4.6668867975940648E-8</v>
      </c>
      <c r="BC56" s="7" t="e">
        <f t="shared" si="6"/>
        <v>#N/A</v>
      </c>
      <c r="BD56" s="7">
        <f t="shared" si="7"/>
        <v>-5.6500100000000071</v>
      </c>
      <c r="BE56" s="7">
        <f t="shared" si="8"/>
        <v>-5.6499900000000078</v>
      </c>
      <c r="BF56" s="7">
        <f t="shared" si="9"/>
        <v>1.0622544911557347E-4</v>
      </c>
      <c r="BG56" s="7">
        <f t="shared" si="10"/>
        <v>1.0622838433876645E-4</v>
      </c>
      <c r="BH56" s="7" t="e">
        <f t="shared" si="11"/>
        <v>#N/A</v>
      </c>
      <c r="BI56" s="7">
        <f t="shared" si="15"/>
        <v>4.6668867975940648E-8</v>
      </c>
      <c r="BJ56" s="7">
        <f t="shared" si="12"/>
        <v>-9.9995333113202418E-4</v>
      </c>
      <c r="BK56" s="7" t="e">
        <f t="shared" si="16"/>
        <v>#N/A</v>
      </c>
      <c r="BL56" s="7" t="e">
        <f t="shared" si="13"/>
        <v>#N/A</v>
      </c>
    </row>
    <row r="57" spans="1:64" ht="11.25" customHeight="1">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7">
        <f t="shared" si="4"/>
        <v>8.5025082154689529E-9</v>
      </c>
      <c r="BA57" s="7">
        <f t="shared" si="14"/>
        <v>-5.6400000000000077</v>
      </c>
      <c r="BB57" s="7">
        <f t="shared" si="5"/>
        <v>4.9379102271102286E-8</v>
      </c>
      <c r="BC57" s="7" t="e">
        <f t="shared" si="6"/>
        <v>#N/A</v>
      </c>
      <c r="BD57" s="7">
        <f t="shared" si="7"/>
        <v>-5.6400100000000073</v>
      </c>
      <c r="BE57" s="7">
        <f t="shared" si="8"/>
        <v>-5.6399900000000081</v>
      </c>
      <c r="BF57" s="7">
        <f t="shared" si="9"/>
        <v>1.0770397478735509E-4</v>
      </c>
      <c r="BG57" s="7">
        <f t="shared" si="10"/>
        <v>1.077069538697483E-4</v>
      </c>
      <c r="BH57" s="7" t="e">
        <f t="shared" si="11"/>
        <v>#N/A</v>
      </c>
      <c r="BI57" s="7">
        <f t="shared" si="15"/>
        <v>4.9379102271102286E-8</v>
      </c>
      <c r="BJ57" s="7">
        <f t="shared" si="12"/>
        <v>-9.9995062089772895E-4</v>
      </c>
      <c r="BK57" s="7" t="e">
        <f t="shared" si="16"/>
        <v>#N/A</v>
      </c>
      <c r="BL57" s="7" t="e">
        <f t="shared" si="13"/>
        <v>#N/A</v>
      </c>
    </row>
    <row r="58" spans="1:64" ht="11.25" customHeight="1">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7">
        <f t="shared" si="4"/>
        <v>9.0104810806923625E-9</v>
      </c>
      <c r="BA58" s="7">
        <f t="shared" si="14"/>
        <v>-5.6300000000000079</v>
      </c>
      <c r="BB58" s="7">
        <f t="shared" si="5"/>
        <v>5.2241505514422051E-8</v>
      </c>
      <c r="BC58" s="7" t="e">
        <f t="shared" si="6"/>
        <v>#N/A</v>
      </c>
      <c r="BD58" s="7">
        <f t="shared" si="7"/>
        <v>-5.6300100000000075</v>
      </c>
      <c r="BE58" s="7">
        <f t="shared" si="8"/>
        <v>-5.6299900000000083</v>
      </c>
      <c r="BF58" s="7">
        <f t="shared" si="9"/>
        <v>1.0920460344347633E-4</v>
      </c>
      <c r="BG58" s="7">
        <f t="shared" si="10"/>
        <v>1.0920762708192741E-4</v>
      </c>
      <c r="BH58" s="7" t="e">
        <f t="shared" si="11"/>
        <v>#N/A</v>
      </c>
      <c r="BI58" s="7">
        <f t="shared" si="15"/>
        <v>5.2241505514422051E-8</v>
      </c>
      <c r="BJ58" s="7">
        <f t="shared" si="12"/>
        <v>-9.999477584944857E-4</v>
      </c>
      <c r="BK58" s="7" t="e">
        <f t="shared" si="16"/>
        <v>#N/A</v>
      </c>
      <c r="BL58" s="7" t="e">
        <f t="shared" si="13"/>
        <v>#N/A</v>
      </c>
    </row>
    <row r="59" spans="1:64" ht="11.25" customHeight="1">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7">
        <f t="shared" si="4"/>
        <v>9.5478729476969196E-9</v>
      </c>
      <c r="BA59" s="7">
        <f t="shared" si="14"/>
        <v>-5.6200000000000081</v>
      </c>
      <c r="BB59" s="7">
        <f t="shared" si="5"/>
        <v>5.5264309577494689E-8</v>
      </c>
      <c r="BC59" s="7" t="e">
        <f t="shared" si="6"/>
        <v>#N/A</v>
      </c>
      <c r="BD59" s="7">
        <f t="shared" si="7"/>
        <v>-5.6200100000000077</v>
      </c>
      <c r="BE59" s="7">
        <f t="shared" si="8"/>
        <v>-5.6199900000000085</v>
      </c>
      <c r="BF59" s="7">
        <f t="shared" si="9"/>
        <v>1.1072768641429973E-4</v>
      </c>
      <c r="BG59" s="7">
        <f t="shared" si="10"/>
        <v>1.1073075531732976E-4</v>
      </c>
      <c r="BH59" s="7" t="e">
        <f t="shared" si="11"/>
        <v>#N/A</v>
      </c>
      <c r="BI59" s="7">
        <f t="shared" si="15"/>
        <v>5.5264309577494689E-8</v>
      </c>
      <c r="BJ59" s="7">
        <f t="shared" si="12"/>
        <v>-9.9994473569042243E-4</v>
      </c>
      <c r="BK59" s="7" t="e">
        <f t="shared" si="16"/>
        <v>#N/A</v>
      </c>
      <c r="BL59" s="7" t="e">
        <f t="shared" si="13"/>
        <v>#N/A</v>
      </c>
    </row>
    <row r="60" spans="1:64" ht="11.25" customHeight="1">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7">
        <f t="shared" si="4"/>
        <v>1.0116330755533319E-8</v>
      </c>
      <c r="BA60" s="7">
        <f t="shared" si="14"/>
        <v>-5.6100000000000083</v>
      </c>
      <c r="BB60" s="7">
        <f t="shared" si="5"/>
        <v>5.8456173570897893E-8</v>
      </c>
      <c r="BC60" s="7" t="e">
        <f t="shared" si="6"/>
        <v>#N/A</v>
      </c>
      <c r="BD60" s="7">
        <f t="shared" si="7"/>
        <v>-5.6100100000000079</v>
      </c>
      <c r="BE60" s="7">
        <f t="shared" si="8"/>
        <v>-5.6099900000000087</v>
      </c>
      <c r="BF60" s="7">
        <f t="shared" si="9"/>
        <v>1.1227358091274189E-4</v>
      </c>
      <c r="BG60" s="7">
        <f t="shared" si="10"/>
        <v>1.122766958007395E-4</v>
      </c>
      <c r="BH60" s="7" t="e">
        <f t="shared" si="11"/>
        <v>#N/A</v>
      </c>
      <c r="BI60" s="7">
        <f t="shared" si="15"/>
        <v>5.8456173570897893E-8</v>
      </c>
      <c r="BJ60" s="7">
        <f t="shared" si="12"/>
        <v>-9.9994154382642905E-4</v>
      </c>
      <c r="BK60" s="7" t="e">
        <f t="shared" si="16"/>
        <v>#N/A</v>
      </c>
      <c r="BL60" s="7" t="e">
        <f t="shared" si="13"/>
        <v>#N/A</v>
      </c>
    </row>
    <row r="61" spans="1:64" ht="11.25" customHeight="1">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7">
        <f t="shared" si="4"/>
        <v>1.0717590258302018E-8</v>
      </c>
      <c r="BA61" s="7">
        <f t="shared" si="14"/>
        <v>-5.6000000000000085</v>
      </c>
      <c r="BB61" s="7">
        <f t="shared" si="5"/>
        <v>6.1826205001655489E-8</v>
      </c>
      <c r="BC61" s="7" t="e">
        <f t="shared" si="6"/>
        <v>#N/A</v>
      </c>
      <c r="BD61" s="7">
        <f t="shared" si="7"/>
        <v>-5.6000100000000081</v>
      </c>
      <c r="BE61" s="7">
        <f t="shared" si="8"/>
        <v>-5.5999900000000089</v>
      </c>
      <c r="BF61" s="7">
        <f t="shared" si="9"/>
        <v>1.1384265013708207E-4</v>
      </c>
      <c r="BG61" s="7">
        <f t="shared" si="10"/>
        <v>1.1384581174251067E-4</v>
      </c>
      <c r="BH61" s="7" t="e">
        <f t="shared" si="11"/>
        <v>#N/A</v>
      </c>
      <c r="BI61" s="7">
        <f t="shared" si="15"/>
        <v>6.1826205001655489E-8</v>
      </c>
      <c r="BJ61" s="7">
        <f t="shared" si="12"/>
        <v>-9.9993817379499827E-4</v>
      </c>
      <c r="BK61" s="7" t="e">
        <f t="shared" si="16"/>
        <v>#N/A</v>
      </c>
      <c r="BL61" s="7" t="e">
        <f t="shared" si="13"/>
        <v>#N/A</v>
      </c>
    </row>
    <row r="62" spans="1:64" ht="11.25" customHeight="1">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7">
        <f t="shared" si="4"/>
        <v>1.1353480619022411E-8</v>
      </c>
      <c r="BA62" s="7">
        <f t="shared" si="14"/>
        <v>-5.5900000000000087</v>
      </c>
      <c r="BB62" s="7">
        <f t="shared" si="5"/>
        <v>6.5383981923148184E-8</v>
      </c>
      <c r="BC62" s="7" t="e">
        <f t="shared" si="6"/>
        <v>#N/A</v>
      </c>
      <c r="BD62" s="7">
        <f t="shared" si="7"/>
        <v>-5.5900100000000084</v>
      </c>
      <c r="BE62" s="7">
        <f t="shared" si="8"/>
        <v>-5.5899900000000091</v>
      </c>
      <c r="BF62" s="7">
        <f t="shared" si="9"/>
        <v>1.154352633756297E-4</v>
      </c>
      <c r="BG62" s="7">
        <f t="shared" si="10"/>
        <v>1.1543847244323902E-4</v>
      </c>
      <c r="BH62" s="7" t="e">
        <f t="shared" si="11"/>
        <v>#N/A</v>
      </c>
      <c r="BI62" s="7">
        <f t="shared" si="15"/>
        <v>6.5383981923148184E-8</v>
      </c>
      <c r="BJ62" s="7">
        <f t="shared" si="12"/>
        <v>-9.9993461601807689E-4</v>
      </c>
      <c r="BK62" s="7" t="e">
        <f t="shared" si="16"/>
        <v>#N/A</v>
      </c>
      <c r="BL62" s="7" t="e">
        <f t="shared" si="13"/>
        <v>#N/A</v>
      </c>
    </row>
    <row r="63" spans="1:64" ht="11.25" customHeight="1">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7">
        <f t="shared" si="4"/>
        <v>1.2025929230144191E-8</v>
      </c>
      <c r="BA63" s="7">
        <f t="shared" si="14"/>
        <v>-5.580000000000009</v>
      </c>
      <c r="BB63" s="7">
        <f t="shared" si="5"/>
        <v>6.9139576121120543E-8</v>
      </c>
      <c r="BC63" s="7" t="e">
        <f t="shared" si="6"/>
        <v>#N/A</v>
      </c>
      <c r="BD63" s="7">
        <f t="shared" si="7"/>
        <v>-5.5800100000000086</v>
      </c>
      <c r="BE63" s="7">
        <f t="shared" si="8"/>
        <v>-5.5799900000000093</v>
      </c>
      <c r="BF63" s="7">
        <f t="shared" si="9"/>
        <v>1.1705179611328315E-4</v>
      </c>
      <c r="BG63" s="7">
        <f t="shared" si="10"/>
        <v>1.1705505340032447E-4</v>
      </c>
      <c r="BH63" s="7" t="e">
        <f t="shared" si="11"/>
        <v>#N/A</v>
      </c>
      <c r="BI63" s="7">
        <f t="shared" si="15"/>
        <v>6.9139576121120543E-8</v>
      </c>
      <c r="BJ63" s="7">
        <f t="shared" si="12"/>
        <v>-9.9993086042387885E-4</v>
      </c>
      <c r="BK63" s="7" t="e">
        <f t="shared" si="16"/>
        <v>#N/A</v>
      </c>
      <c r="BL63" s="7" t="e">
        <f t="shared" si="13"/>
        <v>#N/A</v>
      </c>
    </row>
    <row r="64" spans="1:64" ht="11.25" customHeight="1">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7">
        <f t="shared" si="4"/>
        <v>1.2736966771288147E-8</v>
      </c>
      <c r="BA64" s="7">
        <f t="shared" si="14"/>
        <v>-5.5700000000000092</v>
      </c>
      <c r="BB64" s="7">
        <f t="shared" si="5"/>
        <v>7.3103577381205687E-8</v>
      </c>
      <c r="BC64" s="7" t="e">
        <f t="shared" si="6"/>
        <v>#N/A</v>
      </c>
      <c r="BD64" s="7">
        <f t="shared" si="7"/>
        <v>-5.5700100000000088</v>
      </c>
      <c r="BE64" s="7">
        <f t="shared" si="8"/>
        <v>-5.5699900000000095</v>
      </c>
      <c r="BF64" s="7">
        <f t="shared" si="9"/>
        <v>1.1869263014001605E-4</v>
      </c>
      <c r="BG64" s="7">
        <f t="shared" si="10"/>
        <v>1.1869593641645993E-4</v>
      </c>
      <c r="BH64" s="7" t="e">
        <f t="shared" si="11"/>
        <v>#N/A</v>
      </c>
      <c r="BI64" s="7">
        <f t="shared" si="15"/>
        <v>7.3103577381205687E-8</v>
      </c>
      <c r="BJ64" s="7">
        <f t="shared" si="12"/>
        <v>-9.999268964226188E-4</v>
      </c>
      <c r="BK64" s="7" t="e">
        <f t="shared" si="16"/>
        <v>#N/A</v>
      </c>
      <c r="BL64" s="7" t="e">
        <f t="shared" si="13"/>
        <v>#N/A</v>
      </c>
    </row>
    <row r="65" spans="2:64" ht="11.25" customHeight="1">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7">
        <f t="shared" si="4"/>
        <v>1.3488732515265501E-8</v>
      </c>
      <c r="BA65" s="7">
        <f t="shared" si="14"/>
        <v>-5.5600000000000094</v>
      </c>
      <c r="BB65" s="7">
        <f t="shared" si="5"/>
        <v>7.7287118885224935E-8</v>
      </c>
      <c r="BC65" s="7" t="e">
        <f t="shared" si="6"/>
        <v>#N/A</v>
      </c>
      <c r="BD65" s="7">
        <f t="shared" si="7"/>
        <v>-5.560010000000009</v>
      </c>
      <c r="BE65" s="7">
        <f t="shared" si="8"/>
        <v>-5.5599900000000098</v>
      </c>
      <c r="BF65" s="7">
        <f t="shared" si="9"/>
        <v>1.2035815366132512E-4</v>
      </c>
      <c r="BG65" s="7">
        <f t="shared" si="10"/>
        <v>1.203615097100862E-4</v>
      </c>
      <c r="BH65" s="7" t="e">
        <f t="shared" si="11"/>
        <v>#N/A</v>
      </c>
      <c r="BI65" s="7">
        <f t="shared" si="15"/>
        <v>7.7287118885224935E-8</v>
      </c>
      <c r="BJ65" s="7">
        <f t="shared" si="12"/>
        <v>-9.9992271288111469E-4</v>
      </c>
      <c r="BK65" s="7" t="e">
        <f t="shared" si="16"/>
        <v>#N/A</v>
      </c>
      <c r="BL65" s="7" t="e">
        <f t="shared" si="13"/>
        <v>#N/A</v>
      </c>
    </row>
    <row r="66" spans="2:64" ht="11.25" customHeight="1">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7">
        <f t="shared" si="4"/>
        <v>1.4283479893908613E-8</v>
      </c>
      <c r="BA66" s="7">
        <f t="shared" si="14"/>
        <v>-5.5500000000000096</v>
      </c>
      <c r="BB66" s="7">
        <f t="shared" si="5"/>
        <v>8.1701903785427822E-8</v>
      </c>
      <c r="BC66" s="7" t="e">
        <f t="shared" si="6"/>
        <v>#N/A</v>
      </c>
      <c r="BD66" s="7">
        <f t="shared" si="7"/>
        <v>-5.5500100000000092</v>
      </c>
      <c r="BE66" s="7">
        <f t="shared" si="8"/>
        <v>-5.54999000000001</v>
      </c>
      <c r="BF66" s="7">
        <f t="shared" si="9"/>
        <v>1.2204876141067777E-4</v>
      </c>
      <c r="BG66" s="7">
        <f t="shared" si="10"/>
        <v>1.2205216802784036E-4</v>
      </c>
      <c r="BH66" s="7" t="e">
        <f t="shared" si="11"/>
        <v>#N/A</v>
      </c>
      <c r="BI66" s="7">
        <f t="shared" si="15"/>
        <v>8.1701903785427822E-8</v>
      </c>
      <c r="BJ66" s="7">
        <f t="shared" si="12"/>
        <v>-9.9991829809621463E-4</v>
      </c>
      <c r="BK66" s="7" t="e">
        <f t="shared" si="16"/>
        <v>#N/A</v>
      </c>
      <c r="BL66" s="7" t="e">
        <f t="shared" si="13"/>
        <v>#N/A</v>
      </c>
    </row>
    <row r="67" spans="2:64" ht="11.25" customHeight="1">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7">
        <f t="shared" si="4"/>
        <v>1.512358233574544E-8</v>
      </c>
      <c r="BA67" s="7">
        <f t="shared" si="14"/>
        <v>-5.5400000000000098</v>
      </c>
      <c r="BB67" s="7">
        <f t="shared" si="5"/>
        <v>8.6360233007805262E-8</v>
      </c>
      <c r="BC67" s="7" t="e">
        <f t="shared" si="6"/>
        <v>#N/A</v>
      </c>
      <c r="BD67" s="7">
        <f t="shared" si="7"/>
        <v>-5.5400100000000094</v>
      </c>
      <c r="BE67" s="7">
        <f t="shared" si="8"/>
        <v>-5.5399900000000102</v>
      </c>
      <c r="BF67" s="7">
        <f t="shared" si="9"/>
        <v>1.2376485476399597E-4</v>
      </c>
      <c r="BG67" s="7">
        <f t="shared" si="10"/>
        <v>1.237683127590451E-4</v>
      </c>
      <c r="BH67" s="7" t="e">
        <f t="shared" si="11"/>
        <v>#N/A</v>
      </c>
      <c r="BI67" s="7">
        <f t="shared" si="15"/>
        <v>8.6360233007805262E-8</v>
      </c>
      <c r="BJ67" s="7">
        <f t="shared" si="12"/>
        <v>-9.9991363976699226E-4</v>
      </c>
      <c r="BK67" s="7" t="e">
        <f t="shared" si="16"/>
        <v>#N/A</v>
      </c>
      <c r="BL67" s="7" t="e">
        <f t="shared" si="13"/>
        <v>#N/A</v>
      </c>
    </row>
    <row r="68" spans="2:64" ht="11.25" customHeight="1">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7">
        <f t="shared" si="4"/>
        <v>1.6011539388073899E-8</v>
      </c>
      <c r="BA68" s="7">
        <f t="shared" si="14"/>
        <v>-5.53000000000001</v>
      </c>
      <c r="BB68" s="7">
        <f t="shared" si="5"/>
        <v>9.1275034337659897E-8</v>
      </c>
      <c r="BC68" s="7" t="e">
        <f t="shared" si="6"/>
        <v>#N/A</v>
      </c>
      <c r="BD68" s="7">
        <f t="shared" si="7"/>
        <v>-5.5300100000000096</v>
      </c>
      <c r="BE68" s="7">
        <f t="shared" si="8"/>
        <v>-5.5299900000000104</v>
      </c>
      <c r="BF68" s="7">
        <f t="shared" si="9"/>
        <v>1.2550684185621237E-4</v>
      </c>
      <c r="BG68" s="7">
        <f t="shared" si="10"/>
        <v>1.2551035205226937E-4</v>
      </c>
      <c r="BH68" s="7" t="e">
        <f t="shared" si="11"/>
        <v>#N/A</v>
      </c>
      <c r="BI68" s="7">
        <f t="shared" si="15"/>
        <v>9.1275034337659897E-8</v>
      </c>
      <c r="BJ68" s="7">
        <f t="shared" si="12"/>
        <v>-9.9990872496566246E-4</v>
      </c>
      <c r="BK68" s="7" t="e">
        <f t="shared" si="16"/>
        <v>#N/A</v>
      </c>
      <c r="BL68" s="7" t="e">
        <f t="shared" si="13"/>
        <v>#N/A</v>
      </c>
    </row>
    <row r="69" spans="2:64" ht="11.25" customHeight="1">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7">
        <f t="shared" si="4"/>
        <v>1.6949983136532117E-8</v>
      </c>
      <c r="BA69" s="7">
        <f t="shared" si="14"/>
        <v>-5.5200000000000102</v>
      </c>
      <c r="BB69" s="7">
        <f t="shared" si="5"/>
        <v>9.6459892842728164E-8</v>
      </c>
      <c r="BC69" s="7" t="e">
        <f t="shared" si="6"/>
        <v>#N/A</v>
      </c>
      <c r="BD69" s="7">
        <f t="shared" si="7"/>
        <v>-5.5200100000000099</v>
      </c>
      <c r="BE69" s="7">
        <f t="shared" si="8"/>
        <v>-5.5199900000000106</v>
      </c>
      <c r="BF69" s="7">
        <f t="shared" si="9"/>
        <v>1.2727513769993874E-4</v>
      </c>
      <c r="BG69" s="7">
        <f t="shared" si="10"/>
        <v>1.2727870093400044E-4</v>
      </c>
      <c r="BH69" s="7" t="e">
        <f t="shared" si="11"/>
        <v>#N/A</v>
      </c>
      <c r="BI69" s="7">
        <f t="shared" si="15"/>
        <v>9.6459892842728164E-8</v>
      </c>
      <c r="BJ69" s="7">
        <f t="shared" si="12"/>
        <v>-9.9990354010715725E-4</v>
      </c>
      <c r="BK69" s="7" t="e">
        <f t="shared" si="16"/>
        <v>#N/A</v>
      </c>
      <c r="BL69" s="7" t="e">
        <f t="shared" si="13"/>
        <v>#N/A</v>
      </c>
    </row>
    <row r="70" spans="2:64" ht="11.25" customHeight="1">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7">
        <f t="shared" si="4"/>
        <v>1.7941684935826559E-8</v>
      </c>
      <c r="BA70" s="7">
        <f t="shared" si="14"/>
        <v>-5.5100000000000104</v>
      </c>
      <c r="BB70" s="7">
        <f t="shared" si="5"/>
        <v>1.0192908269134693E-7</v>
      </c>
      <c r="BC70" s="7" t="e">
        <f t="shared" si="6"/>
        <v>#N/A</v>
      </c>
      <c r="BD70" s="7">
        <f t="shared" si="7"/>
        <v>-5.5100100000000101</v>
      </c>
      <c r="BE70" s="7">
        <f t="shared" si="8"/>
        <v>-5.5099900000000108</v>
      </c>
      <c r="BF70" s="7">
        <f t="shared" si="9"/>
        <v>1.2907016430628525E-4</v>
      </c>
      <c r="BG70" s="7">
        <f t="shared" si="10"/>
        <v>1.2907378142946855E-4</v>
      </c>
      <c r="BH70" s="7" t="e">
        <f t="shared" si="11"/>
        <v>#N/A</v>
      </c>
      <c r="BI70" s="7">
        <f t="shared" si="15"/>
        <v>1.0192908269134693E-7</v>
      </c>
      <c r="BJ70" s="7">
        <f t="shared" si="12"/>
        <v>-9.9989807091730863E-4</v>
      </c>
      <c r="BK70" s="7" t="e">
        <f t="shared" si="16"/>
        <v>#N/A</v>
      </c>
      <c r="BL70" s="7" t="e">
        <f t="shared" si="13"/>
        <v>#N/A</v>
      </c>
    </row>
    <row r="71" spans="2:64" ht="11.25" customHeight="1">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7">
        <f t="shared" si="4"/>
        <v>1.8989562465865179E-8</v>
      </c>
      <c r="BA71" s="7">
        <f t="shared" si="14"/>
        <v>-5.5000000000000107</v>
      </c>
      <c r="BB71" s="7">
        <f t="shared" si="5"/>
        <v>1.0769760042542645E-7</v>
      </c>
      <c r="BC71" s="7" t="e">
        <f t="shared" si="6"/>
        <v>#N/A</v>
      </c>
      <c r="BD71" s="7">
        <f t="shared" si="7"/>
        <v>-5.5000100000000103</v>
      </c>
      <c r="BE71" s="7">
        <f t="shared" si="8"/>
        <v>-5.499990000000011</v>
      </c>
      <c r="BF71" s="7">
        <f t="shared" si="9"/>
        <v>1.3089235080787143E-4</v>
      </c>
      <c r="BG71" s="7">
        <f t="shared" si="10"/>
        <v>1.3089602268566062E-4</v>
      </c>
      <c r="BH71" s="7" t="e">
        <f t="shared" si="11"/>
        <v>#N/A</v>
      </c>
      <c r="BI71" s="7">
        <f t="shared" si="15"/>
        <v>1.0769760042542645E-7</v>
      </c>
      <c r="BJ71" s="7">
        <f t="shared" si="12"/>
        <v>-9.9989230239957462E-4</v>
      </c>
      <c r="BK71" s="7" t="e">
        <f t="shared" si="16"/>
        <v>#N/A</v>
      </c>
      <c r="BL71" s="7" t="e">
        <f t="shared" si="13"/>
        <v>#N/A</v>
      </c>
    </row>
    <row r="72" spans="2:64" ht="11.25" customHeight="1">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7">
        <f t="shared" si="4"/>
        <v>2.0096687128151725E-8</v>
      </c>
      <c r="BA72" s="7">
        <f t="shared" si="14"/>
        <v>-5.4900000000000109</v>
      </c>
      <c r="BB72" s="7">
        <f t="shared" si="5"/>
        <v>1.1378119975033922E-7</v>
      </c>
      <c r="BC72" s="7" t="e">
        <f t="shared" si="6"/>
        <v>#N/A</v>
      </c>
      <c r="BD72" s="7">
        <f t="shared" si="7"/>
        <v>-5.4900100000000105</v>
      </c>
      <c r="BE72" s="7">
        <f t="shared" si="8"/>
        <v>-5.4899900000000112</v>
      </c>
      <c r="BF72" s="7">
        <f t="shared" si="9"/>
        <v>1.3274213358406578E-4</v>
      </c>
      <c r="BG72" s="7">
        <f t="shared" si="10"/>
        <v>1.3274586109656594E-4</v>
      </c>
      <c r="BH72" s="7" t="e">
        <f t="shared" si="11"/>
        <v>#N/A</v>
      </c>
      <c r="BI72" s="7">
        <f t="shared" si="15"/>
        <v>1.1378119975033922E-7</v>
      </c>
      <c r="BJ72" s="7">
        <f t="shared" si="12"/>
        <v>-9.9988621880024958E-4</v>
      </c>
      <c r="BK72" s="7" t="e">
        <f t="shared" si="16"/>
        <v>#N/A</v>
      </c>
      <c r="BL72" s="7" t="e">
        <f t="shared" si="13"/>
        <v>#N/A</v>
      </c>
    </row>
    <row r="73" spans="2:64" ht="11.25" customHeight="1">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7">
        <f t="shared" si="4"/>
        <v>2.1266291797931969E-8</v>
      </c>
      <c r="BA73" s="7">
        <f t="shared" si="14"/>
        <v>-5.4800000000000111</v>
      </c>
      <c r="BB73" s="7">
        <f t="shared" si="5"/>
        <v>1.2019642790627524E-7</v>
      </c>
      <c r="BC73" s="7" t="e">
        <f t="shared" si="6"/>
        <v>#N/A</v>
      </c>
      <c r="BD73" s="7">
        <f t="shared" si="7"/>
        <v>-5.4800100000000107</v>
      </c>
      <c r="BE73" s="7">
        <f t="shared" si="8"/>
        <v>-5.4799900000000115</v>
      </c>
      <c r="BF73" s="7">
        <f t="shared" si="9"/>
        <v>1.3461995638850189E-4</v>
      </c>
      <c r="BG73" s="7">
        <f t="shared" si="10"/>
        <v>1.3462374043069544E-4</v>
      </c>
      <c r="BH73" s="7" t="e">
        <f t="shared" si="11"/>
        <v>#N/A</v>
      </c>
      <c r="BI73" s="7">
        <f t="shared" si="15"/>
        <v>1.2019642790627524E-7</v>
      </c>
      <c r="BJ73" s="7">
        <f t="shared" si="12"/>
        <v>-9.9987980357209381E-4</v>
      </c>
      <c r="BK73" s="7" t="e">
        <f t="shared" si="16"/>
        <v>#N/A</v>
      </c>
      <c r="BL73" s="7" t="e">
        <f t="shared" si="13"/>
        <v>#N/A</v>
      </c>
    </row>
    <row r="74" spans="2:64" ht="11.25" customHeight="1">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7">
        <f t="shared" si="4"/>
        <v>2.2501778948238708E-8</v>
      </c>
      <c r="BA74" s="7">
        <f t="shared" si="14"/>
        <v>-5.4700000000000113</v>
      </c>
      <c r="BB74" s="7">
        <f t="shared" si="5"/>
        <v>1.2696066368812117E-7</v>
      </c>
      <c r="BC74" s="7" t="e">
        <f t="shared" si="6"/>
        <v>#N/A</v>
      </c>
      <c r="BD74" s="7">
        <f t="shared" si="7"/>
        <v>-5.4700100000000109</v>
      </c>
      <c r="BE74" s="7">
        <f t="shared" si="8"/>
        <v>-5.4699900000000117</v>
      </c>
      <c r="BF74" s="7">
        <f t="shared" si="9"/>
        <v>1.3652627047890451E-4</v>
      </c>
      <c r="BG74" s="7">
        <f t="shared" si="10"/>
        <v>1.3653011196091406E-4</v>
      </c>
      <c r="BH74" s="7" t="e">
        <f t="shared" si="11"/>
        <v>#N/A</v>
      </c>
      <c r="BI74" s="7">
        <f t="shared" si="15"/>
        <v>1.2696066368812117E-7</v>
      </c>
      <c r="BJ74" s="7">
        <f t="shared" si="12"/>
        <v>-9.9987303933631185E-4</v>
      </c>
      <c r="BK74" s="7" t="e">
        <f t="shared" si="16"/>
        <v>#N/A</v>
      </c>
      <c r="BL74" s="7" t="e">
        <f t="shared" si="13"/>
        <v>#N/A</v>
      </c>
    </row>
    <row r="75" spans="2:64" ht="11.25" customHeight="1">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7">
        <f t="shared" si="4"/>
        <v>2.3806729162667637E-8</v>
      </c>
      <c r="BA75" s="7">
        <f t="shared" si="14"/>
        <v>-5.4600000000000115</v>
      </c>
      <c r="BB75" s="7">
        <f t="shared" si="5"/>
        <v>1.3409215718353893E-7</v>
      </c>
      <c r="BC75" s="7" t="e">
        <f t="shared" si="6"/>
        <v>#N/A</v>
      </c>
      <c r="BD75" s="7">
        <f t="shared" si="7"/>
        <v>-5.4600100000000111</v>
      </c>
      <c r="BE75" s="7">
        <f t="shared" si="8"/>
        <v>-5.4599900000000119</v>
      </c>
      <c r="BF75" s="7">
        <f t="shared" si="9"/>
        <v>1.3846153474927648E-4</v>
      </c>
      <c r="BG75" s="7">
        <f t="shared" si="10"/>
        <v>1.3846543459663114E-4</v>
      </c>
      <c r="BH75" s="7" t="e">
        <f t="shared" si="11"/>
        <v>#N/A</v>
      </c>
      <c r="BI75" s="7">
        <f t="shared" si="15"/>
        <v>1.3409215718353893E-7</v>
      </c>
      <c r="BJ75" s="7">
        <f t="shared" si="12"/>
        <v>-9.998659078428165E-4</v>
      </c>
      <c r="BK75" s="7" t="e">
        <f t="shared" si="16"/>
        <v>#N/A</v>
      </c>
      <c r="BL75" s="7" t="e">
        <f t="shared" si="13"/>
        <v>#N/A</v>
      </c>
    </row>
    <row r="76" spans="2:64" ht="11.25" customHeight="1">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7">
        <f t="shared" si="4"/>
        <v>2.5184910054425246E-8</v>
      </c>
      <c r="BA76" s="7">
        <f t="shared" si="14"/>
        <v>-5.4500000000000117</v>
      </c>
      <c r="BB76" s="7">
        <f t="shared" si="5"/>
        <v>1.4161007130160268E-7</v>
      </c>
      <c r="BC76" s="7" t="e">
        <f t="shared" si="6"/>
        <v>#N/A</v>
      </c>
      <c r="BD76" s="7">
        <f t="shared" si="7"/>
        <v>-5.4500100000000113</v>
      </c>
      <c r="BE76" s="7">
        <f t="shared" si="8"/>
        <v>-5.4499900000000121</v>
      </c>
      <c r="BF76" s="7">
        <f t="shared" si="9"/>
        <v>1.4042621586448517E-4</v>
      </c>
      <c r="BG76" s="7">
        <f t="shared" si="10"/>
        <v>1.404301750183922E-4</v>
      </c>
      <c r="BH76" s="7" t="e">
        <f t="shared" si="11"/>
        <v>#N/A</v>
      </c>
      <c r="BI76" s="7">
        <f t="shared" si="15"/>
        <v>1.4161007130160268E-7</v>
      </c>
      <c r="BJ76" s="7">
        <f t="shared" si="12"/>
        <v>-9.9985838992869844E-4</v>
      </c>
      <c r="BK76" s="7" t="e">
        <f t="shared" si="16"/>
        <v>#N/A</v>
      </c>
      <c r="BL76" s="7" t="e">
        <f t="shared" si="13"/>
        <v>#N/A</v>
      </c>
    </row>
    <row r="77" spans="2:64" ht="11.25" customHeight="1">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7">
        <f t="shared" si="4"/>
        <v>2.6640285609927902E-8</v>
      </c>
      <c r="BA77" s="7">
        <f t="shared" si="14"/>
        <v>-5.4400000000000119</v>
      </c>
      <c r="BB77" s="7">
        <f t="shared" si="5"/>
        <v>1.4953452516714987E-7</v>
      </c>
      <c r="BC77" s="7" t="e">
        <f t="shared" si="6"/>
        <v>#N/A</v>
      </c>
      <c r="BD77" s="7">
        <f t="shared" si="7"/>
        <v>-5.4400100000000116</v>
      </c>
      <c r="BE77" s="7">
        <f t="shared" si="8"/>
        <v>-5.4399900000000123</v>
      </c>
      <c r="BF77" s="7">
        <f t="shared" si="9"/>
        <v>1.4242078839729467E-4</v>
      </c>
      <c r="BG77" s="7">
        <f t="shared" si="10"/>
        <v>1.4242480781491659E-4</v>
      </c>
      <c r="BH77" s="7" t="e">
        <f t="shared" si="11"/>
        <v>#N/A</v>
      </c>
      <c r="BI77" s="7">
        <f t="shared" si="15"/>
        <v>1.4953452516714987E-7</v>
      </c>
      <c r="BJ77" s="7">
        <f t="shared" si="12"/>
        <v>-9.9985046547483277E-4</v>
      </c>
      <c r="BK77" s="7" t="e">
        <f t="shared" si="16"/>
        <v>#N/A</v>
      </c>
      <c r="BL77" s="7" t="e">
        <f t="shared" si="13"/>
        <v>#N/A</v>
      </c>
    </row>
    <row r="78" spans="2:64" ht="11.25" customHeight="1">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7">
        <f t="shared" si="4"/>
        <v>2.8177025975996744E-8</v>
      </c>
      <c r="BA78" s="7">
        <f t="shared" si="14"/>
        <v>-5.4300000000000122</v>
      </c>
      <c r="BB78" s="7">
        <f t="shared" si="5"/>
        <v>1.5788663945887994E-7</v>
      </c>
      <c r="BC78" s="7" t="e">
        <f t="shared" si="6"/>
        <v>#N/A</v>
      </c>
      <c r="BD78" s="7">
        <f t="shared" si="7"/>
        <v>-5.4300100000000118</v>
      </c>
      <c r="BE78" s="7">
        <f t="shared" si="8"/>
        <v>-5.4299900000000125</v>
      </c>
      <c r="BF78" s="7">
        <f t="shared" si="9"/>
        <v>1.4444573496788903E-4</v>
      </c>
      <c r="BG78" s="7">
        <f t="shared" si="10"/>
        <v>1.4444981562262399E-4</v>
      </c>
      <c r="BH78" s="7" t="e">
        <f t="shared" si="11"/>
        <v>#N/A</v>
      </c>
      <c r="BI78" s="7">
        <f t="shared" si="15"/>
        <v>1.5788663945887994E-7</v>
      </c>
      <c r="BJ78" s="7">
        <f t="shared" si="12"/>
        <v>-9.9984211336054114E-4</v>
      </c>
      <c r="BK78" s="7" t="e">
        <f t="shared" si="16"/>
        <v>#N/A</v>
      </c>
      <c r="BL78" s="7" t="e">
        <f t="shared" si="13"/>
        <v>#N/A</v>
      </c>
    </row>
    <row r="79" spans="2:64" ht="11.25" customHeight="1">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7">
        <f t="shared" si="4"/>
        <v>2.9799517710488934E-8</v>
      </c>
      <c r="BA79" s="7">
        <f t="shared" si="14"/>
        <v>-5.4200000000000124</v>
      </c>
      <c r="BB79" s="7">
        <f t="shared" si="5"/>
        <v>1.66688583772217E-7</v>
      </c>
      <c r="BC79" s="7" t="e">
        <f t="shared" si="6"/>
        <v>#N/A</v>
      </c>
      <c r="BD79" s="7">
        <f t="shared" si="7"/>
        <v>-5.420010000000012</v>
      </c>
      <c r="BE79" s="7">
        <f t="shared" si="8"/>
        <v>-5.4199900000000127</v>
      </c>
      <c r="BF79" s="7">
        <f t="shared" si="9"/>
        <v>1.4650154638593113E-4</v>
      </c>
      <c r="BG79" s="7">
        <f t="shared" si="10"/>
        <v>1.4650568926770062E-4</v>
      </c>
      <c r="BH79" s="7" t="e">
        <f t="shared" si="11"/>
        <v>#N/A</v>
      </c>
      <c r="BI79" s="7">
        <f t="shared" si="15"/>
        <v>1.66688583772217E-7</v>
      </c>
      <c r="BJ79" s="7">
        <f t="shared" si="12"/>
        <v>-9.9983331141622776E-4</v>
      </c>
      <c r="BK79" s="7" t="e">
        <f t="shared" si="16"/>
        <v>#N/A</v>
      </c>
      <c r="BL79" s="7" t="e">
        <f t="shared" si="13"/>
        <v>#N/A</v>
      </c>
    </row>
    <row r="80" spans="2:64" ht="11.25" customHeight="1">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7">
        <f t="shared" si="4"/>
        <v>3.1512374517030345E-8</v>
      </c>
      <c r="BA80" s="7">
        <f t="shared" si="14"/>
        <v>-5.4100000000000126</v>
      </c>
      <c r="BB80" s="7">
        <f t="shared" si="5"/>
        <v>1.7596362609103401E-7</v>
      </c>
      <c r="BC80" s="7" t="e">
        <f t="shared" si="6"/>
        <v>#N/A</v>
      </c>
      <c r="BD80" s="7">
        <f t="shared" si="7"/>
        <v>-5.4100100000000122</v>
      </c>
      <c r="BE80" s="7">
        <f t="shared" si="8"/>
        <v>-5.409990000000013</v>
      </c>
      <c r="BF80" s="7">
        <f t="shared" si="9"/>
        <v>1.4858872179520697E-4</v>
      </c>
      <c r="BG80" s="7">
        <f t="shared" si="10"/>
        <v>1.4859292791074752E-4</v>
      </c>
      <c r="BH80" s="7" t="e">
        <f t="shared" si="11"/>
        <v>#N/A</v>
      </c>
      <c r="BI80" s="7">
        <f t="shared" si="15"/>
        <v>1.7596362609103401E-7</v>
      </c>
      <c r="BJ80" s="7">
        <f t="shared" si="12"/>
        <v>-9.9982403637390894E-4</v>
      </c>
      <c r="BK80" s="7" t="e">
        <f t="shared" si="16"/>
        <v>#N/A</v>
      </c>
      <c r="BL80" s="7" t="e">
        <f t="shared" si="13"/>
        <v>#N/A</v>
      </c>
    </row>
    <row r="81" spans="2:64" ht="11.25" customHeight="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7">
        <f t="shared" si="4"/>
        <v>3.3320448485371644E-8</v>
      </c>
      <c r="BA81" s="7">
        <f t="shared" si="14"/>
        <v>-5.4000000000000128</v>
      </c>
      <c r="BB81" s="7">
        <f t="shared" si="5"/>
        <v>1.8573618445551639E-7</v>
      </c>
      <c r="BC81" s="7" t="e">
        <f t="shared" si="6"/>
        <v>#N/A</v>
      </c>
      <c r="BD81" s="7">
        <f t="shared" si="7"/>
        <v>-5.4000100000000124</v>
      </c>
      <c r="BE81" s="7">
        <f t="shared" si="8"/>
        <v>-5.3999900000000132</v>
      </c>
      <c r="BF81" s="7">
        <f t="shared" si="9"/>
        <v>1.5070776882090094E-4</v>
      </c>
      <c r="BG81" s="7">
        <f t="shared" si="10"/>
        <v>1.507120391940609E-4</v>
      </c>
      <c r="BH81" s="7" t="e">
        <f t="shared" si="11"/>
        <v>#N/A</v>
      </c>
      <c r="BI81" s="7">
        <f t="shared" si="15"/>
        <v>1.8573618445551639E-7</v>
      </c>
      <c r="BJ81" s="7">
        <f t="shared" si="12"/>
        <v>-9.9981426381554441E-4</v>
      </c>
      <c r="BK81" s="7" t="e">
        <f t="shared" si="16"/>
        <v>#N/A</v>
      </c>
      <c r="BL81" s="7" t="e">
        <f t="shared" si="13"/>
        <v>#N/A</v>
      </c>
    </row>
    <row r="82" spans="2:64" ht="11.25" customHeight="1">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7">
        <f t="shared" si="4"/>
        <v>3.5228841859780492E-8</v>
      </c>
      <c r="BA82" s="7">
        <f t="shared" si="14"/>
        <v>-5.390000000000013</v>
      </c>
      <c r="BB82" s="7">
        <f t="shared" si="5"/>
        <v>1.9603188091674326E-7</v>
      </c>
      <c r="BC82" s="7" t="e">
        <f t="shared" si="6"/>
        <v>#N/A</v>
      </c>
      <c r="BD82" s="7">
        <f t="shared" si="7"/>
        <v>-5.3900100000000126</v>
      </c>
      <c r="BE82" s="7">
        <f t="shared" si="8"/>
        <v>-5.3899900000000134</v>
      </c>
      <c r="BF82" s="7">
        <f t="shared" si="9"/>
        <v>1.5285920371955114E-4</v>
      </c>
      <c r="BG82" s="7">
        <f t="shared" si="10"/>
        <v>1.528635393915938E-4</v>
      </c>
      <c r="BH82" s="7" t="e">
        <f t="shared" si="11"/>
        <v>#N/A</v>
      </c>
      <c r="BI82" s="7">
        <f t="shared" si="15"/>
        <v>1.9603188091674326E-7</v>
      </c>
      <c r="BJ82" s="7">
        <f t="shared" si="12"/>
        <v>-9.9980396811908323E-4</v>
      </c>
      <c r="BK82" s="7" t="e">
        <f t="shared" si="16"/>
        <v>#N/A</v>
      </c>
      <c r="BL82" s="7" t="e">
        <f t="shared" si="13"/>
        <v>#N/A</v>
      </c>
    </row>
    <row r="83" spans="2:64" ht="11.25" customHeight="1">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7">
        <f t="shared" si="4"/>
        <v>3.7242919358802636E-8</v>
      </c>
      <c r="BA83" s="7">
        <f t="shared" si="14"/>
        <v>-5.3800000000000132</v>
      </c>
      <c r="BB83" s="7">
        <f t="shared" si="5"/>
        <v>2.0687759787195041E-7</v>
      </c>
      <c r="BC83" s="7" t="e">
        <f t="shared" si="6"/>
        <v>#N/A</v>
      </c>
      <c r="BD83" s="7">
        <f t="shared" si="7"/>
        <v>-5.3800100000000128</v>
      </c>
      <c r="BE83" s="7">
        <f t="shared" si="8"/>
        <v>-5.3799900000000136</v>
      </c>
      <c r="BF83" s="7">
        <f t="shared" si="9"/>
        <v>1.5504355153173397E-4</v>
      </c>
      <c r="BG83" s="7">
        <f t="shared" si="10"/>
        <v>1.5504795356164567E-4</v>
      </c>
      <c r="BH83" s="7" t="e">
        <f t="shared" si="11"/>
        <v>#N/A</v>
      </c>
      <c r="BI83" s="7">
        <f t="shared" si="15"/>
        <v>2.0687759787195041E-7</v>
      </c>
      <c r="BJ83" s="7">
        <f t="shared" si="12"/>
        <v>-9.9979312240212805E-4</v>
      </c>
      <c r="BK83" s="7" t="e">
        <f t="shared" si="16"/>
        <v>#N/A</v>
      </c>
      <c r="BL83" s="7" t="e">
        <f t="shared" si="13"/>
        <v>#N/A</v>
      </c>
    </row>
    <row r="84" spans="2:64" ht="11.25" customHeight="1">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7">
        <f t="shared" si="4"/>
        <v>3.9368321070683965E-8</v>
      </c>
      <c r="BA84" s="7">
        <f t="shared" si="14"/>
        <v>-5.3700000000000134</v>
      </c>
      <c r="BB84" s="7">
        <f t="shared" si="5"/>
        <v>2.1830153687796297E-7</v>
      </c>
      <c r="BC84" s="7" t="e">
        <f t="shared" si="6"/>
        <v>#N/A</v>
      </c>
      <c r="BD84" s="7">
        <f t="shared" si="7"/>
        <v>-5.3700100000000131</v>
      </c>
      <c r="BE84" s="7">
        <f t="shared" si="8"/>
        <v>-5.3699900000000138</v>
      </c>
      <c r="BF84" s="7">
        <f t="shared" si="9"/>
        <v>1.5726134623753168E-4</v>
      </c>
      <c r="BG84" s="7">
        <f t="shared" si="10"/>
        <v>1.5726581570233567E-4</v>
      </c>
      <c r="BH84" s="7" t="e">
        <f t="shared" si="11"/>
        <v>#N/A</v>
      </c>
      <c r="BI84" s="7">
        <f t="shared" si="15"/>
        <v>2.1830153687796297E-7</v>
      </c>
      <c r="BJ84" s="7">
        <f t="shared" si="12"/>
        <v>-9.9978169846312213E-4</v>
      </c>
      <c r="BK84" s="7" t="e">
        <f t="shared" si="16"/>
        <v>#N/A</v>
      </c>
      <c r="BL84" s="7" t="e">
        <f t="shared" si="13"/>
        <v>#N/A</v>
      </c>
    </row>
    <row r="85" spans="2:64" ht="11.25" customHeight="1">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7">
        <f t="shared" ref="AZ85:AZ148" si="18">NORMDIST(BA85,$BA$17,$BA$18,TRUE)</f>
        <v>4.1610975949737303E-8</v>
      </c>
      <c r="BA85" s="7">
        <f t="shared" si="14"/>
        <v>-5.3600000000000136</v>
      </c>
      <c r="BB85" s="7">
        <f t="shared" ref="BB85:BB148" si="19">IF($BA$13=1,NORMDIST(BA85,$BA$17,$BA$18,FALSE),NA())</f>
        <v>2.3033328004390427E-7</v>
      </c>
      <c r="BC85" s="7" t="e">
        <f t="shared" ref="BC85:BC148" si="20">IF($BA$13=3,NORMDIST(BA85,$BA$17,$BA$18,FALSE),NA())</f>
        <v>#N/A</v>
      </c>
      <c r="BD85" s="7">
        <f t="shared" ref="BD85:BD148" si="21">BA85-$BD$19</f>
        <v>-5.3600100000000133</v>
      </c>
      <c r="BE85" s="7">
        <f t="shared" ref="BE85:BE148" si="22">BA85+$BD$19</f>
        <v>-5.359990000000014</v>
      </c>
      <c r="BF85" s="7">
        <f t="shared" ref="BF85:BF148" si="23">IF(BD85&lt;0,TDIST(-BD85,$BA$14,1),1-TDIST(BD85,$BA$14,1))</f>
        <v>1.5951313091483059E-4</v>
      </c>
      <c r="BG85" s="7">
        <f t="shared" ref="BG85:BG148" si="24">IF(BE85&lt;0,TDIST(-BE85,$BA$14,1),1-TDIST(BE85,$BA$14,1))</f>
        <v>1.5951766890990527E-4</v>
      </c>
      <c r="BH85" s="7" t="e">
        <f t="shared" ref="BH85:BH148" si="25">IF($BA$13&gt;1,(BG85-BF85)/(2*$BD$19),NA())</f>
        <v>#N/A</v>
      </c>
      <c r="BI85" s="7">
        <f t="shared" si="15"/>
        <v>2.3033328004390427E-7</v>
      </c>
      <c r="BJ85" s="7">
        <f t="shared" ref="BJ85:BJ148" si="26">IF(ISNUMBER(BI85),BI85-$BJ$19,NA())</f>
        <v>-9.9976966671995612E-4</v>
      </c>
      <c r="BK85" s="7" t="e">
        <f t="shared" si="16"/>
        <v>#N/A</v>
      </c>
      <c r="BL85" s="7" t="e">
        <f t="shared" ref="BL85:BL148" si="27">IF(ISNUMBER(BK85),BK85-$BL$19,NA())</f>
        <v>#N/A</v>
      </c>
    </row>
    <row r="86" spans="2:64" ht="11.25" customHeight="1">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7">
        <f t="shared" si="18"/>
        <v>4.397711593996854E-8</v>
      </c>
      <c r="BA86" s="7">
        <f t="shared" ref="BA86:BA149" si="28">BA85+$BD$10</f>
        <v>-5.3500000000000139</v>
      </c>
      <c r="BB86" s="7">
        <f t="shared" si="19"/>
        <v>2.4300385410803492E-7</v>
      </c>
      <c r="BC86" s="7" t="e">
        <f t="shared" si="20"/>
        <v>#N/A</v>
      </c>
      <c r="BD86" s="7">
        <f t="shared" si="21"/>
        <v>-5.3500100000000135</v>
      </c>
      <c r="BE86" s="7">
        <f t="shared" si="22"/>
        <v>-5.3499900000000142</v>
      </c>
      <c r="BF86" s="7">
        <f t="shared" si="23"/>
        <v>1.617994579005009E-4</v>
      </c>
      <c r="BG86" s="7">
        <f t="shared" si="24"/>
        <v>1.6180406553990712E-4</v>
      </c>
      <c r="BH86" s="7" t="e">
        <f t="shared" si="25"/>
        <v>#N/A</v>
      </c>
      <c r="BI86" s="7">
        <f t="shared" ref="BI86:BI149" si="29">IF($BA$15=1,IF(OR(AND(BA86&gt;=$BI$18,$BN$18&gt;=0),AND(BA86&lt;=-$BI$18,$BN$18&lt;0)),BB86,NA()),IF($BA$15=2,IF(ABS(BA86)&gt;=$BI$18,BB86,NA()),NA()))</f>
        <v>2.4300385410803492E-7</v>
      </c>
      <c r="BJ86" s="7">
        <f t="shared" si="26"/>
        <v>-9.9975699614589198E-4</v>
      </c>
      <c r="BK86" s="7" t="e">
        <f t="shared" ref="BK86:BK149" si="30">IF($BA$15=1,IF(OR(AND(BA86&gt;=$BK$18,$BN$18&gt;=0),AND(BA86&lt;=-$BK$18,$BN$18&lt;0)),BH86,NA()),IF($BA$15=2,IF(ABS(BA86)&gt;=$BK$18,BH86,NA()),NA()))</f>
        <v>#N/A</v>
      </c>
      <c r="BL86" s="7" t="e">
        <f t="shared" si="27"/>
        <v>#N/A</v>
      </c>
    </row>
    <row r="87" spans="2:64" ht="11.25" customHeight="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7">
        <f t="shared" si="18"/>
        <v>4.6473290753342099E-8</v>
      </c>
      <c r="BA87" s="7">
        <f t="shared" si="28"/>
        <v>-5.3400000000000141</v>
      </c>
      <c r="BB87" s="7">
        <f t="shared" si="19"/>
        <v>2.563457973074397E-7</v>
      </c>
      <c r="BC87" s="7" t="e">
        <f t="shared" si="20"/>
        <v>#N/A</v>
      </c>
      <c r="BD87" s="7">
        <f t="shared" si="21"/>
        <v>-5.3400100000000137</v>
      </c>
      <c r="BE87" s="7">
        <f t="shared" si="22"/>
        <v>-5.3399900000000144</v>
      </c>
      <c r="BF87" s="7">
        <f t="shared" si="23"/>
        <v>1.6412088895452037E-4</v>
      </c>
      <c r="BG87" s="7">
        <f t="shared" si="24"/>
        <v>1.6412556737133139E-4</v>
      </c>
      <c r="BH87" s="7" t="e">
        <f t="shared" si="25"/>
        <v>#N/A</v>
      </c>
      <c r="BI87" s="7">
        <f t="shared" si="29"/>
        <v>2.563457973074397E-7</v>
      </c>
      <c r="BJ87" s="7">
        <f t="shared" si="26"/>
        <v>-9.9974365420269266E-4</v>
      </c>
      <c r="BK87" s="7" t="e">
        <f t="shared" si="30"/>
        <v>#N/A</v>
      </c>
      <c r="BL87" s="7" t="e">
        <f t="shared" si="27"/>
        <v>#N/A</v>
      </c>
    </row>
    <row r="88" spans="2:64" ht="11.25" customHeight="1">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7">
        <f t="shared" si="18"/>
        <v>4.9106383331176802E-8</v>
      </c>
      <c r="BA88" s="7">
        <f t="shared" si="28"/>
        <v>-5.3300000000000143</v>
      </c>
      <c r="BB88" s="7">
        <f t="shared" si="19"/>
        <v>2.7039322915327235E-7</v>
      </c>
      <c r="BC88" s="7" t="e">
        <f t="shared" si="20"/>
        <v>#N/A</v>
      </c>
      <c r="BD88" s="7">
        <f t="shared" si="21"/>
        <v>-5.3300100000000139</v>
      </c>
      <c r="BE88" s="7">
        <f t="shared" si="22"/>
        <v>-5.3299900000000147</v>
      </c>
      <c r="BF88" s="7">
        <f t="shared" si="23"/>
        <v>1.6647799542708478E-4</v>
      </c>
      <c r="BG88" s="7">
        <f t="shared" si="24"/>
        <v>1.6648274577372351E-4</v>
      </c>
      <c r="BH88" s="7" t="e">
        <f t="shared" si="25"/>
        <v>#N/A</v>
      </c>
      <c r="BI88" s="7">
        <f t="shared" si="29"/>
        <v>2.7039322915327235E-7</v>
      </c>
      <c r="BJ88" s="7">
        <f t="shared" si="26"/>
        <v>-9.9972960677084666E-4</v>
      </c>
      <c r="BK88" s="7" t="e">
        <f t="shared" si="30"/>
        <v>#N/A</v>
      </c>
      <c r="BL88" s="7" t="e">
        <f t="shared" si="27"/>
        <v>#N/A</v>
      </c>
    </row>
    <row r="89" spans="2:64" ht="11.25" customHeight="1">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7">
        <f t="shared" si="18"/>
        <v>5.1883626018305206E-8</v>
      </c>
      <c r="BA89" s="7">
        <f t="shared" si="28"/>
        <v>-5.3200000000000145</v>
      </c>
      <c r="BB89" s="7">
        <f t="shared" si="19"/>
        <v>2.8518192322837581E-7</v>
      </c>
      <c r="BC89" s="7" t="e">
        <f t="shared" si="20"/>
        <v>#N/A</v>
      </c>
      <c r="BD89" s="7">
        <f t="shared" si="21"/>
        <v>-5.3200100000000141</v>
      </c>
      <c r="BE89" s="7">
        <f t="shared" si="22"/>
        <v>-5.3199900000000149</v>
      </c>
      <c r="BF89" s="7">
        <f t="shared" si="23"/>
        <v>1.6887135842876918E-4</v>
      </c>
      <c r="BG89" s="7">
        <f t="shared" si="24"/>
        <v>1.6887618187735195E-4</v>
      </c>
      <c r="BH89" s="7" t="e">
        <f t="shared" si="25"/>
        <v>#N/A</v>
      </c>
      <c r="BI89" s="7">
        <f t="shared" si="29"/>
        <v>2.8518192322837581E-7</v>
      </c>
      <c r="BJ89" s="7">
        <f t="shared" si="26"/>
        <v>-9.9971481807677154E-4</v>
      </c>
      <c r="BK89" s="7" t="e">
        <f t="shared" si="30"/>
        <v>#N/A</v>
      </c>
      <c r="BL89" s="7" t="e">
        <f t="shared" si="27"/>
        <v>#N/A</v>
      </c>
    </row>
    <row r="90" spans="2:64" ht="11.25" customHeight="1">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7">
        <f t="shared" si="18"/>
        <v>5.4812617480825912E-8</v>
      </c>
      <c r="BA90" s="7">
        <f t="shared" si="28"/>
        <v>-5.3100000000000147</v>
      </c>
      <c r="BB90" s="7">
        <f t="shared" si="19"/>
        <v>3.0074938312835919E-7</v>
      </c>
      <c r="BC90" s="7" t="e">
        <f t="shared" si="20"/>
        <v>#N/A</v>
      </c>
      <c r="BD90" s="7">
        <f t="shared" si="21"/>
        <v>-5.3100100000000143</v>
      </c>
      <c r="BE90" s="7">
        <f t="shared" si="22"/>
        <v>-5.3099900000000151</v>
      </c>
      <c r="BF90" s="7">
        <f t="shared" si="23"/>
        <v>1.7130156900379108E-4</v>
      </c>
      <c r="BG90" s="7">
        <f t="shared" si="24"/>
        <v>1.7130646674647754E-4</v>
      </c>
      <c r="BH90" s="7" t="e">
        <f t="shared" si="25"/>
        <v>#N/A</v>
      </c>
      <c r="BI90" s="7">
        <f t="shared" si="29"/>
        <v>3.0074938312835919E-7</v>
      </c>
      <c r="BJ90" s="7">
        <f t="shared" si="26"/>
        <v>-9.996992506168716E-4</v>
      </c>
      <c r="BK90" s="7" t="e">
        <f t="shared" si="30"/>
        <v>#N/A</v>
      </c>
      <c r="BL90" s="7" t="e">
        <f t="shared" si="27"/>
        <v>#N/A</v>
      </c>
    </row>
    <row r="91" spans="2:64" ht="11.25" customHeight="1">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7">
        <f t="shared" si="18"/>
        <v>5.7901340399502791E-8</v>
      </c>
      <c r="BA91" s="7">
        <f t="shared" si="28"/>
        <v>-5.3000000000000149</v>
      </c>
      <c r="BB91" s="7">
        <f t="shared" si="19"/>
        <v>3.1713492167157213E-7</v>
      </c>
      <c r="BC91" s="7" t="e">
        <f t="shared" si="20"/>
        <v>#N/A</v>
      </c>
      <c r="BD91" s="7">
        <f t="shared" si="21"/>
        <v>-5.3000100000000145</v>
      </c>
      <c r="BE91" s="7">
        <f t="shared" si="22"/>
        <v>-5.2999900000000153</v>
      </c>
      <c r="BF91" s="7">
        <f t="shared" si="23"/>
        <v>1.7376922830643831E-4</v>
      </c>
      <c r="BG91" s="7">
        <f t="shared" si="24"/>
        <v>1.7377420155578662E-4</v>
      </c>
      <c r="BH91" s="7" t="e">
        <f t="shared" si="25"/>
        <v>#N/A</v>
      </c>
      <c r="BI91" s="7">
        <f t="shared" si="29"/>
        <v>3.1713492167157213E-7</v>
      </c>
      <c r="BJ91" s="7">
        <f t="shared" si="26"/>
        <v>-9.9968286507832842E-4</v>
      </c>
      <c r="BK91" s="7" t="e">
        <f t="shared" si="30"/>
        <v>#N/A</v>
      </c>
      <c r="BL91" s="7" t="e">
        <f t="shared" si="27"/>
        <v>#N/A</v>
      </c>
    </row>
    <row r="92" spans="2:64" ht="11.25" customHeight="1">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7">
        <f t="shared" si="18"/>
        <v>6.1158179972149109E-8</v>
      </c>
      <c r="BA92" s="7">
        <f t="shared" si="28"/>
        <v>-5.2900000000000151</v>
      </c>
      <c r="BB92" s="7">
        <f t="shared" si="19"/>
        <v>3.3437974350795325E-7</v>
      </c>
      <c r="BC92" s="7" t="e">
        <f t="shared" si="20"/>
        <v>#N/A</v>
      </c>
      <c r="BD92" s="7">
        <f t="shared" si="21"/>
        <v>-5.2900100000000148</v>
      </c>
      <c r="BE92" s="7">
        <f t="shared" si="22"/>
        <v>-5.2899900000000155</v>
      </c>
      <c r="BF92" s="7">
        <f t="shared" si="23"/>
        <v>1.7627494778071204E-4</v>
      </c>
      <c r="BG92" s="7">
        <f t="shared" si="24"/>
        <v>1.7627999777004256E-4</v>
      </c>
      <c r="BH92" s="7" t="e">
        <f t="shared" si="25"/>
        <v>#N/A</v>
      </c>
      <c r="BI92" s="7">
        <f t="shared" si="29"/>
        <v>3.3437974350795325E-7</v>
      </c>
      <c r="BJ92" s="7">
        <f t="shared" si="26"/>
        <v>-9.9966562025649206E-4</v>
      </c>
      <c r="BK92" s="7" t="e">
        <f t="shared" si="30"/>
        <v>#N/A</v>
      </c>
      <c r="BL92" s="7" t="e">
        <f t="shared" si="27"/>
        <v>#N/A</v>
      </c>
    </row>
    <row r="93" spans="2:64" ht="11.25" customHeight="1">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7">
        <f t="shared" si="18"/>
        <v>6.4591943259653177E-8</v>
      </c>
      <c r="BA93" s="7">
        <f t="shared" si="28"/>
        <v>-5.2800000000000153</v>
      </c>
      <c r="BB93" s="7">
        <f t="shared" si="19"/>
        <v>3.525270312613756E-7</v>
      </c>
      <c r="BC93" s="7" t="e">
        <f t="shared" si="20"/>
        <v>#N/A</v>
      </c>
      <c r="BD93" s="7">
        <f t="shared" si="21"/>
        <v>-5.280010000000015</v>
      </c>
      <c r="BE93" s="7">
        <f t="shared" si="22"/>
        <v>-5.2799900000000157</v>
      </c>
      <c r="BF93" s="7">
        <f t="shared" si="23"/>
        <v>1.7881934934325513E-4</v>
      </c>
      <c r="BG93" s="7">
        <f t="shared" si="24"/>
        <v>1.7882447732701822E-4</v>
      </c>
      <c r="BH93" s="7" t="e">
        <f t="shared" si="25"/>
        <v>#N/A</v>
      </c>
      <c r="BI93" s="7">
        <f t="shared" si="29"/>
        <v>3.525270312613756E-7</v>
      </c>
      <c r="BJ93" s="7">
        <f t="shared" si="26"/>
        <v>-9.996474729687386E-4</v>
      </c>
      <c r="BK93" s="7" t="e">
        <f t="shared" si="30"/>
        <v>#N/A</v>
      </c>
      <c r="BL93" s="7" t="e">
        <f t="shared" si="27"/>
        <v>#N/A</v>
      </c>
    </row>
    <row r="94" spans="2:64" ht="11.25" customHeight="1">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7">
        <f t="shared" si="18"/>
        <v>6.8211879411673762E-8</v>
      </c>
      <c r="BA94" s="7">
        <f t="shared" si="28"/>
        <v>-5.2700000000000156</v>
      </c>
      <c r="BB94" s="7">
        <f t="shared" si="19"/>
        <v>3.7162203534491956E-7</v>
      </c>
      <c r="BC94" s="7" t="e">
        <f t="shared" si="20"/>
        <v>#N/A</v>
      </c>
      <c r="BD94" s="7">
        <f t="shared" si="21"/>
        <v>-5.2700100000000152</v>
      </c>
      <c r="BE94" s="7">
        <f t="shared" si="22"/>
        <v>-5.2699900000000159</v>
      </c>
      <c r="BF94" s="7">
        <f t="shared" si="23"/>
        <v>1.8140306556961548E-4</v>
      </c>
      <c r="BG94" s="7">
        <f t="shared" si="24"/>
        <v>1.8140827282376909E-4</v>
      </c>
      <c r="BH94" s="7" t="e">
        <f t="shared" si="25"/>
        <v>#N/A</v>
      </c>
      <c r="BI94" s="7">
        <f t="shared" si="29"/>
        <v>3.7162203534491956E-7</v>
      </c>
      <c r="BJ94" s="7">
        <f t="shared" si="26"/>
        <v>-9.9962837796465503E-4</v>
      </c>
      <c r="BK94" s="7" t="e">
        <f t="shared" si="30"/>
        <v>#N/A</v>
      </c>
      <c r="BL94" s="7" t="e">
        <f t="shared" si="27"/>
        <v>#N/A</v>
      </c>
    </row>
    <row r="95" spans="2:64" ht="11.25" customHeight="1">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7">
        <f t="shared" si="18"/>
        <v>7.2027700809452939E-8</v>
      </c>
      <c r="BA95" s="7">
        <f t="shared" si="28"/>
        <v>-5.2600000000000158</v>
      </c>
      <c r="BB95" s="7">
        <f t="shared" si="19"/>
        <v>3.9171216759344815E-7</v>
      </c>
      <c r="BC95" s="7" t="e">
        <f t="shared" si="20"/>
        <v>#N/A</v>
      </c>
      <c r="BD95" s="7">
        <f t="shared" si="21"/>
        <v>-5.2600100000000154</v>
      </c>
      <c r="BE95" s="7">
        <f t="shared" si="22"/>
        <v>-5.2599900000000162</v>
      </c>
      <c r="BF95" s="7">
        <f t="shared" si="23"/>
        <v>1.8402673988391615E-4</v>
      </c>
      <c r="BG95" s="7">
        <f t="shared" si="24"/>
        <v>1.8403202770630732E-4</v>
      </c>
      <c r="BH95" s="7" t="e">
        <f t="shared" si="25"/>
        <v>#N/A</v>
      </c>
      <c r="BI95" s="7">
        <f t="shared" si="29"/>
        <v>3.9171216759344815E-7</v>
      </c>
      <c r="BJ95" s="7">
        <f t="shared" si="26"/>
        <v>-9.9960828783240648E-4</v>
      </c>
      <c r="BK95" s="7" t="e">
        <f t="shared" si="30"/>
        <v>#N/A</v>
      </c>
      <c r="BL95" s="7" t="e">
        <f t="shared" si="27"/>
        <v>#N/A</v>
      </c>
    </row>
    <row r="96" spans="2:64" ht="11.25" customHeight="1">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7">
        <f t="shared" si="18"/>
        <v>7.604960516466067E-8</v>
      </c>
      <c r="BA96" s="7">
        <f t="shared" si="28"/>
        <v>-5.250000000000016</v>
      </c>
      <c r="BB96" s="7">
        <f t="shared" si="19"/>
        <v>4.1284709886296532E-7</v>
      </c>
      <c r="BC96" s="7" t="e">
        <f t="shared" si="20"/>
        <v>#N/A</v>
      </c>
      <c r="BD96" s="7">
        <f t="shared" si="21"/>
        <v>-5.2500100000000156</v>
      </c>
      <c r="BE96" s="7">
        <f t="shared" si="22"/>
        <v>-5.2499900000000164</v>
      </c>
      <c r="BF96" s="7">
        <f t="shared" si="23"/>
        <v>1.8669102675198719E-4</v>
      </c>
      <c r="BG96" s="7">
        <f t="shared" si="24"/>
        <v>1.8669639646274244E-4</v>
      </c>
      <c r="BH96" s="7" t="e">
        <f t="shared" si="25"/>
        <v>#N/A</v>
      </c>
      <c r="BI96" s="7">
        <f t="shared" si="29"/>
        <v>4.1284709886296532E-7</v>
      </c>
      <c r="BJ96" s="7">
        <f t="shared" si="26"/>
        <v>-9.9958715290113698E-4</v>
      </c>
      <c r="BK96" s="7" t="e">
        <f t="shared" si="30"/>
        <v>#N/A</v>
      </c>
      <c r="BL96" s="7" t="e">
        <f t="shared" si="27"/>
        <v>#N/A</v>
      </c>
    </row>
    <row r="97" spans="2:64" ht="11.25" customHeight="1">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7">
        <f t="shared" si="18"/>
        <v>8.0288298614710676E-8</v>
      </c>
      <c r="BA97" s="7">
        <f t="shared" si="28"/>
        <v>-5.2400000000000162</v>
      </c>
      <c r="BB97" s="7">
        <f t="shared" si="19"/>
        <v>4.350788607514745E-7</v>
      </c>
      <c r="BC97" s="7" t="e">
        <f t="shared" si="20"/>
        <v>#N/A</v>
      </c>
      <c r="BD97" s="7">
        <f t="shared" si="21"/>
        <v>-5.2400100000000158</v>
      </c>
      <c r="BE97" s="7">
        <f t="shared" si="22"/>
        <v>-5.2399900000000166</v>
      </c>
      <c r="BF97" s="7">
        <f t="shared" si="23"/>
        <v>1.89396591878029E-4</v>
      </c>
      <c r="BG97" s="7">
        <f t="shared" si="24"/>
        <v>1.8940204481995084E-4</v>
      </c>
      <c r="BH97" s="7" t="e">
        <f t="shared" si="25"/>
        <v>#N/A</v>
      </c>
      <c r="BI97" s="7">
        <f t="shared" si="29"/>
        <v>4.350788607514745E-7</v>
      </c>
      <c r="BJ97" s="7">
        <f t="shared" si="26"/>
        <v>-9.9956492113924852E-4</v>
      </c>
      <c r="BK97" s="7" t="e">
        <f t="shared" si="30"/>
        <v>#N/A</v>
      </c>
      <c r="BL97" s="7" t="e">
        <f t="shared" si="27"/>
        <v>#N/A</v>
      </c>
    </row>
    <row r="98" spans="2:64" ht="11.25" customHeight="1">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7">
        <f t="shared" si="18"/>
        <v>8.4755019856556453E-8</v>
      </c>
      <c r="BA98" s="7">
        <f t="shared" si="28"/>
        <v>-5.2300000000000164</v>
      </c>
      <c r="BB98" s="7">
        <f t="shared" si="19"/>
        <v>4.5846195160149453E-7</v>
      </c>
      <c r="BC98" s="7" t="e">
        <f t="shared" si="20"/>
        <v>#N/A</v>
      </c>
      <c r="BD98" s="7">
        <f t="shared" si="21"/>
        <v>-5.230010000000016</v>
      </c>
      <c r="BE98" s="7">
        <f t="shared" si="22"/>
        <v>-5.2299900000000168</v>
      </c>
      <c r="BF98" s="7">
        <f t="shared" si="23"/>
        <v>1.9214411240486918E-4</v>
      </c>
      <c r="BG98" s="7">
        <f t="shared" si="24"/>
        <v>1.9214964994383979E-4</v>
      </c>
      <c r="BH98" s="7" t="e">
        <f t="shared" si="25"/>
        <v>#N/A</v>
      </c>
      <c r="BI98" s="7">
        <f t="shared" si="29"/>
        <v>4.5846195160149453E-7</v>
      </c>
      <c r="BJ98" s="7">
        <f t="shared" si="26"/>
        <v>-9.9954153804839843E-4</v>
      </c>
      <c r="BK98" s="7" t="e">
        <f t="shared" si="30"/>
        <v>#N/A</v>
      </c>
      <c r="BL98" s="7" t="e">
        <f t="shared" si="27"/>
        <v>#N/A</v>
      </c>
    </row>
    <row r="99" spans="2:64" ht="11.25" customHeight="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7">
        <f t="shared" si="18"/>
        <v>8.9461565362609545E-8</v>
      </c>
      <c r="BA99" s="7">
        <f t="shared" si="28"/>
        <v>-5.2200000000000166</v>
      </c>
      <c r="BB99" s="7">
        <f t="shared" si="19"/>
        <v>4.830534469499253E-7</v>
      </c>
      <c r="BC99" s="7" t="e">
        <f t="shared" si="20"/>
        <v>#N/A</v>
      </c>
      <c r="BD99" s="7">
        <f t="shared" si="21"/>
        <v>-5.2200100000000162</v>
      </c>
      <c r="BE99" s="7">
        <f t="shared" si="22"/>
        <v>-5.219990000000017</v>
      </c>
      <c r="BF99" s="7">
        <f t="shared" si="23"/>
        <v>1.9493427711787892E-4</v>
      </c>
      <c r="BG99" s="7">
        <f t="shared" si="24"/>
        <v>1.9493990064327408E-4</v>
      </c>
      <c r="BH99" s="7" t="e">
        <f t="shared" si="25"/>
        <v>#N/A</v>
      </c>
      <c r="BI99" s="7">
        <f t="shared" si="29"/>
        <v>4.830534469499253E-7</v>
      </c>
      <c r="BJ99" s="7">
        <f t="shared" si="26"/>
        <v>-9.9951694655305012E-4</v>
      </c>
      <c r="BK99" s="7" t="e">
        <f t="shared" si="30"/>
        <v>#N/A</v>
      </c>
      <c r="BL99" s="7" t="e">
        <f t="shared" si="27"/>
        <v>#N/A</v>
      </c>
    </row>
    <row r="100" spans="2:64" ht="11.25" customHeight="1">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7">
        <f t="shared" si="18"/>
        <v>9.4420315724103081E-8</v>
      </c>
      <c r="BA100" s="7">
        <f t="shared" si="28"/>
        <v>-5.2100000000000168</v>
      </c>
      <c r="BB100" s="7">
        <f t="shared" si="19"/>
        <v>5.0891311459672057E-7</v>
      </c>
      <c r="BC100" s="7" t="e">
        <f t="shared" si="20"/>
        <v>#N/A</v>
      </c>
      <c r="BD100" s="7">
        <f t="shared" si="21"/>
        <v>-5.2100100000000165</v>
      </c>
      <c r="BE100" s="7">
        <f t="shared" si="22"/>
        <v>-5.2099900000000172</v>
      </c>
      <c r="BF100" s="7">
        <f t="shared" si="23"/>
        <v>1.9776778665262369E-4</v>
      </c>
      <c r="BG100" s="7">
        <f t="shared" si="24"/>
        <v>1.9777349757772871E-4</v>
      </c>
      <c r="BH100" s="7" t="e">
        <f t="shared" si="25"/>
        <v>#N/A</v>
      </c>
      <c r="BI100" s="7">
        <f t="shared" si="29"/>
        <v>5.0891311459672057E-7</v>
      </c>
      <c r="BJ100" s="7">
        <f t="shared" si="26"/>
        <v>-9.9949108688540331E-4</v>
      </c>
      <c r="BK100" s="7" t="e">
        <f t="shared" si="30"/>
        <v>#N/A</v>
      </c>
      <c r="BL100" s="7" t="e">
        <f t="shared" si="27"/>
        <v>#N/A</v>
      </c>
    </row>
    <row r="101" spans="2:64" ht="11.25" customHeight="1">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7">
        <f t="shared" si="18"/>
        <v>9.9644263168976962E-8</v>
      </c>
      <c r="BA101" s="7">
        <f t="shared" si="28"/>
        <v>-5.2000000000000171</v>
      </c>
      <c r="BB101" s="7">
        <f t="shared" si="19"/>
        <v>5.3610353446971465E-7</v>
      </c>
      <c r="BC101" s="7" t="e">
        <f t="shared" si="20"/>
        <v>#N/A</v>
      </c>
      <c r="BD101" s="7">
        <f t="shared" si="21"/>
        <v>-5.2000100000000167</v>
      </c>
      <c r="BE101" s="7">
        <f t="shared" si="22"/>
        <v>-5.1999900000000174</v>
      </c>
      <c r="BF101" s="7">
        <f t="shared" si="23"/>
        <v>2.0064535370630364E-4</v>
      </c>
      <c r="BG101" s="7">
        <f t="shared" si="24"/>
        <v>2.0065115346874172E-4</v>
      </c>
      <c r="BH101" s="7" t="e">
        <f t="shared" si="25"/>
        <v>#N/A</v>
      </c>
      <c r="BI101" s="7">
        <f t="shared" si="29"/>
        <v>5.3610353446971465E-7</v>
      </c>
      <c r="BJ101" s="7">
        <f t="shared" si="26"/>
        <v>-9.9946389646553041E-4</v>
      </c>
      <c r="BK101" s="7" t="e">
        <f t="shared" si="30"/>
        <v>#N/A</v>
      </c>
      <c r="BL101" s="7" t="e">
        <f t="shared" si="27"/>
        <v>#N/A</v>
      </c>
    </row>
    <row r="102" spans="2:64" ht="11.25" customHeight="1">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7">
        <f t="shared" si="18"/>
        <v>1.0514704030314847E-7</v>
      </c>
      <c r="BA102" s="7">
        <f t="shared" si="28"/>
        <v>-5.1900000000000173</v>
      </c>
      <c r="BB102" s="7">
        <f t="shared" si="19"/>
        <v>5.6469022346902573E-7</v>
      </c>
      <c r="BC102" s="7" t="e">
        <f t="shared" si="20"/>
        <v>#N/A</v>
      </c>
      <c r="BD102" s="7">
        <f t="shared" si="21"/>
        <v>-5.1900100000000169</v>
      </c>
      <c r="BE102" s="7">
        <f t="shared" si="22"/>
        <v>-5.1899900000000176</v>
      </c>
      <c r="BF102" s="7">
        <f t="shared" si="23"/>
        <v>2.0356770325306888E-4</v>
      </c>
      <c r="BG102" s="7">
        <f t="shared" si="24"/>
        <v>2.0357359331523594E-4</v>
      </c>
      <c r="BH102" s="7" t="e">
        <f t="shared" si="25"/>
        <v>#N/A</v>
      </c>
      <c r="BI102" s="7">
        <f t="shared" si="29"/>
        <v>5.6469022346902573E-7</v>
      </c>
      <c r="BJ102" s="7">
        <f t="shared" si="26"/>
        <v>-9.9943530977653094E-4</v>
      </c>
      <c r="BK102" s="7" t="e">
        <f t="shared" si="30"/>
        <v>#N/A</v>
      </c>
      <c r="BL102" s="7" t="e">
        <f t="shared" si="27"/>
        <v>#N/A</v>
      </c>
    </row>
    <row r="103" spans="2:64" ht="11.25" customHeight="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7">
        <f t="shared" si="18"/>
        <v>1.1094295012591658E-7</v>
      </c>
      <c r="BA103" s="7">
        <f t="shared" si="28"/>
        <v>-5.1800000000000175</v>
      </c>
      <c r="BB103" s="7">
        <f t="shared" si="19"/>
        <v>5.9474176548072136E-7</v>
      </c>
      <c r="BC103" s="7" t="e">
        <f t="shared" si="20"/>
        <v>#N/A</v>
      </c>
      <c r="BD103" s="7">
        <f t="shared" si="21"/>
        <v>-5.1800100000000171</v>
      </c>
      <c r="BE103" s="7">
        <f t="shared" si="22"/>
        <v>-5.1799900000000179</v>
      </c>
      <c r="BF103" s="7">
        <f t="shared" si="23"/>
        <v>2.065355727632699E-4</v>
      </c>
      <c r="BG103" s="7">
        <f t="shared" si="24"/>
        <v>2.065415546127772E-4</v>
      </c>
      <c r="BH103" s="7" t="e">
        <f t="shared" si="25"/>
        <v>#N/A</v>
      </c>
      <c r="BI103" s="7">
        <f t="shared" si="29"/>
        <v>5.9474176548072136E-7</v>
      </c>
      <c r="BJ103" s="7">
        <f t="shared" si="26"/>
        <v>-9.9940525823451936E-4</v>
      </c>
      <c r="BK103" s="7" t="e">
        <f t="shared" si="30"/>
        <v>#N/A</v>
      </c>
      <c r="BL103" s="7" t="e">
        <f t="shared" si="27"/>
        <v>#N/A</v>
      </c>
    </row>
    <row r="104" spans="2:64" ht="11.25" customHeight="1">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7">
        <f t="shared" si="18"/>
        <v>1.1704699737216066E-7</v>
      </c>
      <c r="BA104" s="7">
        <f t="shared" si="28"/>
        <v>-5.1700000000000177</v>
      </c>
      <c r="BB104" s="7">
        <f t="shared" si="19"/>
        <v>6.2632994675583231E-7</v>
      </c>
      <c r="BC104" s="7" t="e">
        <f t="shared" si="20"/>
        <v>#N/A</v>
      </c>
      <c r="BD104" s="7">
        <f t="shared" si="21"/>
        <v>-5.1700100000000173</v>
      </c>
      <c r="BE104" s="7">
        <f t="shared" si="22"/>
        <v>-5.1699900000000181</v>
      </c>
      <c r="BF104" s="7">
        <f t="shared" si="23"/>
        <v>2.095497124267241E-4</v>
      </c>
      <c r="BG104" s="7">
        <f t="shared" si="24"/>
        <v>2.0955578757684678E-4</v>
      </c>
      <c r="BH104" s="7" t="e">
        <f t="shared" si="25"/>
        <v>#N/A</v>
      </c>
      <c r="BI104" s="7">
        <f t="shared" si="29"/>
        <v>6.2632994675583231E-7</v>
      </c>
      <c r="BJ104" s="7">
        <f t="shared" si="26"/>
        <v>-9.9937367005324424E-4</v>
      </c>
      <c r="BK104" s="7" t="e">
        <f t="shared" si="30"/>
        <v>#N/A</v>
      </c>
      <c r="BL104" s="7" t="e">
        <f t="shared" si="27"/>
        <v>#N/A</v>
      </c>
    </row>
    <row r="105" spans="2:64" ht="11.25" customHeight="1">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7">
        <f t="shared" si="18"/>
        <v>1.2347492123600057E-7</v>
      </c>
      <c r="BA105" s="7">
        <f t="shared" si="28"/>
        <v>-5.1600000000000179</v>
      </c>
      <c r="BB105" s="7">
        <f t="shared" si="19"/>
        <v>6.5952989685746175E-7</v>
      </c>
      <c r="BC105" s="7" t="e">
        <f t="shared" si="20"/>
        <v>#N/A</v>
      </c>
      <c r="BD105" s="7">
        <f t="shared" si="21"/>
        <v>-5.1600100000000175</v>
      </c>
      <c r="BE105" s="7">
        <f t="shared" si="22"/>
        <v>-5.1599900000000183</v>
      </c>
      <c r="BF105" s="7">
        <f t="shared" si="23"/>
        <v>2.1261088538006485E-4</v>
      </c>
      <c r="BG105" s="7">
        <f t="shared" si="24"/>
        <v>2.1261705537020258E-4</v>
      </c>
      <c r="BH105" s="7" t="e">
        <f t="shared" si="25"/>
        <v>#N/A</v>
      </c>
      <c r="BI105" s="7">
        <f t="shared" si="29"/>
        <v>6.5952989685746175E-7</v>
      </c>
      <c r="BJ105" s="7">
        <f t="shared" si="26"/>
        <v>-9.9934047010314265E-4</v>
      </c>
      <c r="BK105" s="7" t="e">
        <f t="shared" si="30"/>
        <v>#N/A</v>
      </c>
      <c r="BL105" s="7" t="e">
        <f t="shared" si="27"/>
        <v>#N/A</v>
      </c>
    </row>
    <row r="106" spans="2:64" ht="11.25" customHeight="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7">
        <f t="shared" si="18"/>
        <v>1.3024322953263623E-7</v>
      </c>
      <c r="BA106" s="7">
        <f t="shared" si="28"/>
        <v>-5.1500000000000181</v>
      </c>
      <c r="BB106" s="7">
        <f t="shared" si="19"/>
        <v>6.9442023538547093E-7</v>
      </c>
      <c r="BC106" s="7" t="e">
        <f t="shared" si="20"/>
        <v>#N/A</v>
      </c>
      <c r="BD106" s="7">
        <f t="shared" si="21"/>
        <v>-5.1500100000000177</v>
      </c>
      <c r="BE106" s="7">
        <f t="shared" si="22"/>
        <v>-5.1499900000000185</v>
      </c>
      <c r="BF106" s="7">
        <f t="shared" si="23"/>
        <v>2.1571986793825416E-4</v>
      </c>
      <c r="BG106" s="7">
        <f t="shared" si="24"/>
        <v>2.157261343343992E-4</v>
      </c>
      <c r="BH106" s="7" t="e">
        <f t="shared" si="25"/>
        <v>#N/A</v>
      </c>
      <c r="BI106" s="7">
        <f t="shared" si="29"/>
        <v>6.9442023538547093E-7</v>
      </c>
      <c r="BJ106" s="7">
        <f t="shared" si="26"/>
        <v>-9.993055797646146E-4</v>
      </c>
      <c r="BK106" s="7" t="e">
        <f t="shared" si="30"/>
        <v>#N/A</v>
      </c>
      <c r="BL106" s="7" t="e">
        <f t="shared" si="27"/>
        <v>#N/A</v>
      </c>
    </row>
    <row r="107" spans="2:64" ht="11.25" customHeight="1">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7">
        <f t="shared" si="18"/>
        <v>1.3736923435722227E-7</v>
      </c>
      <c r="BA107" s="7">
        <f t="shared" si="28"/>
        <v>-5.1400000000000183</v>
      </c>
      <c r="BB107" s="7">
        <f t="shared" si="19"/>
        <v>7.3108322469528001E-7</v>
      </c>
      <c r="BC107" s="7" t="e">
        <f t="shared" si="20"/>
        <v>#N/A</v>
      </c>
      <c r="BD107" s="7">
        <f t="shared" si="21"/>
        <v>-5.140010000000018</v>
      </c>
      <c r="BE107" s="7">
        <f t="shared" si="22"/>
        <v>-5.1399900000000187</v>
      </c>
      <c r="BF107" s="7">
        <f t="shared" si="23"/>
        <v>2.1887744983033596E-4</v>
      </c>
      <c r="BG107" s="7">
        <f t="shared" si="24"/>
        <v>2.1888381422554645E-4</v>
      </c>
      <c r="BH107" s="7" t="e">
        <f t="shared" si="25"/>
        <v>#N/A</v>
      </c>
      <c r="BI107" s="7">
        <f t="shared" si="29"/>
        <v>7.3108322469528001E-7</v>
      </c>
      <c r="BJ107" s="7">
        <f t="shared" si="26"/>
        <v>-9.9926891677530475E-4</v>
      </c>
      <c r="BK107" s="7" t="e">
        <f t="shared" si="30"/>
        <v>#N/A</v>
      </c>
      <c r="BL107" s="7" t="e">
        <f t="shared" si="27"/>
        <v>#N/A</v>
      </c>
    </row>
    <row r="108" spans="2:64" ht="11.25" customHeight="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7">
        <f t="shared" si="18"/>
        <v>1.4487108930182966E-7</v>
      </c>
      <c r="BA108" s="7">
        <f t="shared" si="28"/>
        <v>-5.1300000000000185</v>
      </c>
      <c r="BB108" s="7">
        <f t="shared" si="19"/>
        <v>7.6960492883444052E-7</v>
      </c>
      <c r="BC108" s="7" t="e">
        <f t="shared" si="20"/>
        <v>#N/A</v>
      </c>
      <c r="BD108" s="7">
        <f t="shared" si="21"/>
        <v>-5.1300100000000182</v>
      </c>
      <c r="BE108" s="7">
        <f t="shared" si="22"/>
        <v>-5.1299900000000189</v>
      </c>
      <c r="BF108" s="7">
        <f t="shared" si="23"/>
        <v>2.2208443443950425E-4</v>
      </c>
      <c r="BG108" s="7">
        <f t="shared" si="24"/>
        <v>2.22090898454391E-4</v>
      </c>
      <c r="BH108" s="7" t="e">
        <f t="shared" si="25"/>
        <v>#N/A</v>
      </c>
      <c r="BI108" s="7">
        <f t="shared" si="29"/>
        <v>7.6960492883444052E-7</v>
      </c>
      <c r="BJ108" s="7">
        <f t="shared" si="26"/>
        <v>-9.9923039507116549E-4</v>
      </c>
      <c r="BK108" s="7" t="e">
        <f t="shared" si="30"/>
        <v>#N/A</v>
      </c>
      <c r="BL108" s="7" t="e">
        <f t="shared" si="27"/>
        <v>#N/A</v>
      </c>
    </row>
    <row r="109" spans="2:64" ht="11.25" customHeight="1">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7">
        <f t="shared" si="18"/>
        <v>1.5276782829382331E-7</v>
      </c>
      <c r="BA109" s="7">
        <f t="shared" si="28"/>
        <v>-5.1200000000000188</v>
      </c>
      <c r="BB109" s="7">
        <f t="shared" si="19"/>
        <v>8.1007537892805665E-7</v>
      </c>
      <c r="BC109" s="7" t="e">
        <f t="shared" si="20"/>
        <v>#N/A</v>
      </c>
      <c r="BD109" s="7">
        <f t="shared" si="21"/>
        <v>-5.1200100000000184</v>
      </c>
      <c r="BE109" s="7">
        <f t="shared" si="22"/>
        <v>-5.1199900000000191</v>
      </c>
      <c r="BF109" s="7">
        <f t="shared" si="23"/>
        <v>2.2534163904756811E-4</v>
      </c>
      <c r="BG109" s="7">
        <f t="shared" si="24"/>
        <v>2.2534820433078745E-4</v>
      </c>
      <c r="BH109" s="7" t="e">
        <f t="shared" si="25"/>
        <v>#N/A</v>
      </c>
      <c r="BI109" s="7">
        <f t="shared" si="29"/>
        <v>8.1007537892805665E-7</v>
      </c>
      <c r="BJ109" s="7">
        <f t="shared" si="26"/>
        <v>-9.9918992462107192E-4</v>
      </c>
      <c r="BK109" s="7" t="e">
        <f t="shared" si="30"/>
        <v>#N/A</v>
      </c>
      <c r="BL109" s="7" t="e">
        <f t="shared" si="27"/>
        <v>#N/A</v>
      </c>
    </row>
    <row r="110" spans="2:64" ht="11.25" customHeight="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7">
        <f t="shared" si="18"/>
        <v>1.6107940612132373E-7</v>
      </c>
      <c r="BA110" s="7">
        <f t="shared" si="28"/>
        <v>-5.110000000000019</v>
      </c>
      <c r="BB110" s="7">
        <f t="shared" si="19"/>
        <v>8.5258874525170403E-7</v>
      </c>
      <c r="BC110" s="7" t="e">
        <f t="shared" si="20"/>
        <v>#N/A</v>
      </c>
      <c r="BD110" s="7">
        <f t="shared" si="21"/>
        <v>-5.1100100000000186</v>
      </c>
      <c r="BE110" s="7">
        <f t="shared" si="22"/>
        <v>-5.1099900000000194</v>
      </c>
      <c r="BF110" s="7">
        <f t="shared" si="23"/>
        <v>2.2864989508389796E-4</v>
      </c>
      <c r="BG110" s="7">
        <f t="shared" si="24"/>
        <v>2.2865656331265291E-4</v>
      </c>
      <c r="BH110" s="7" t="e">
        <f t="shared" si="25"/>
        <v>#N/A</v>
      </c>
      <c r="BI110" s="7">
        <f t="shared" si="29"/>
        <v>8.5258874525170403E-7</v>
      </c>
      <c r="BJ110" s="7">
        <f t="shared" si="26"/>
        <v>-9.9914741125474828E-4</v>
      </c>
      <c r="BK110" s="7" t="e">
        <f t="shared" si="30"/>
        <v>#N/A</v>
      </c>
      <c r="BL110" s="7" t="e">
        <f t="shared" si="27"/>
        <v>#N/A</v>
      </c>
    </row>
    <row r="111" spans="2:64" ht="11.25" customHeight="1">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7">
        <f t="shared" si="18"/>
        <v>1.698267407138684E-7</v>
      </c>
      <c r="BA111" s="7">
        <f t="shared" si="28"/>
        <v>-5.1000000000000192</v>
      </c>
      <c r="BB111" s="7">
        <f t="shared" si="19"/>
        <v>8.9724351623824438E-7</v>
      </c>
      <c r="BC111" s="7" t="e">
        <f t="shared" si="20"/>
        <v>#N/A</v>
      </c>
      <c r="BD111" s="7">
        <f t="shared" si="21"/>
        <v>-5.1000100000000188</v>
      </c>
      <c r="BE111" s="7">
        <f t="shared" si="22"/>
        <v>-5.0999900000000196</v>
      </c>
      <c r="BF111" s="7">
        <f t="shared" si="23"/>
        <v>2.3201004837892792E-4</v>
      </c>
      <c r="BG111" s="7">
        <f t="shared" si="24"/>
        <v>2.3201682125948108E-4</v>
      </c>
      <c r="BH111" s="7" t="e">
        <f t="shared" si="25"/>
        <v>#N/A</v>
      </c>
      <c r="BI111" s="7">
        <f t="shared" si="29"/>
        <v>8.9724351623824438E-7</v>
      </c>
      <c r="BJ111" s="7">
        <f t="shared" si="26"/>
        <v>-9.9910275648376168E-4</v>
      </c>
      <c r="BK111" s="7" t="e">
        <f t="shared" si="30"/>
        <v>#N/A</v>
      </c>
      <c r="BL111" s="7" t="e">
        <f t="shared" si="27"/>
        <v>#N/A</v>
      </c>
    </row>
    <row r="112" spans="2:64" ht="11.25" customHeight="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7">
        <f t="shared" si="18"/>
        <v>1.7903175724885746E-7</v>
      </c>
      <c r="BA112" s="7">
        <f t="shared" si="28"/>
        <v>-5.0900000000000194</v>
      </c>
      <c r="BB112" s="7">
        <f t="shared" si="19"/>
        <v>9.4414268467299333E-7</v>
      </c>
      <c r="BC112" s="7" t="e">
        <f t="shared" si="20"/>
        <v>#N/A</v>
      </c>
      <c r="BD112" s="7">
        <f t="shared" si="21"/>
        <v>-5.090010000000019</v>
      </c>
      <c r="BE112" s="7">
        <f t="shared" si="22"/>
        <v>-5.0899900000000198</v>
      </c>
      <c r="BF112" s="7">
        <f t="shared" si="23"/>
        <v>2.3542295942230682E-4</v>
      </c>
      <c r="BG112" s="7">
        <f t="shared" si="24"/>
        <v>2.3542983869050062E-4</v>
      </c>
      <c r="BH112" s="7" t="e">
        <f t="shared" si="25"/>
        <v>#N/A</v>
      </c>
      <c r="BI112" s="7">
        <f t="shared" si="29"/>
        <v>9.4414268467299333E-7</v>
      </c>
      <c r="BJ112" s="7">
        <f t="shared" si="26"/>
        <v>-9.9905585731532701E-4</v>
      </c>
      <c r="BK112" s="7" t="e">
        <f t="shared" si="30"/>
        <v>#N/A</v>
      </c>
      <c r="BL112" s="7" t="e">
        <f t="shared" si="27"/>
        <v>#N/A</v>
      </c>
    </row>
    <row r="113" spans="2:64" ht="11.25" customHeight="1">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7">
        <f t="shared" si="18"/>
        <v>1.8871743415699056E-7</v>
      </c>
      <c r="BA113" s="7">
        <f t="shared" si="28"/>
        <v>-5.0800000000000196</v>
      </c>
      <c r="BB113" s="7">
        <f t="shared" si="19"/>
        <v>9.9339394133981313E-7</v>
      </c>
      <c r="BC113" s="7" t="e">
        <f t="shared" si="20"/>
        <v>#N/A</v>
      </c>
      <c r="BD113" s="7">
        <f t="shared" si="21"/>
        <v>-5.0800100000000192</v>
      </c>
      <c r="BE113" s="7">
        <f t="shared" si="22"/>
        <v>-5.07999000000002</v>
      </c>
      <c r="BF113" s="7">
        <f t="shared" si="23"/>
        <v>2.3888950362577874E-4</v>
      </c>
      <c r="BG113" s="7">
        <f t="shared" si="24"/>
        <v>2.3889649104756676E-4</v>
      </c>
      <c r="BH113" s="7" t="e">
        <f t="shared" si="25"/>
        <v>#N/A</v>
      </c>
      <c r="BI113" s="7">
        <f t="shared" si="29"/>
        <v>9.9339394133981313E-7</v>
      </c>
      <c r="BJ113" s="7">
        <f t="shared" si="26"/>
        <v>-9.9900660605866027E-4</v>
      </c>
      <c r="BK113" s="7" t="e">
        <f t="shared" si="30"/>
        <v>#N/A</v>
      </c>
      <c r="BL113" s="7" t="e">
        <f t="shared" si="27"/>
        <v>#N/A</v>
      </c>
    </row>
    <row r="114" spans="2:64" ht="11.25" customHeight="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7">
        <f t="shared" si="18"/>
        <v>1.9890785110254156E-7</v>
      </c>
      <c r="BA114" s="7">
        <f t="shared" si="28"/>
        <v>-5.0700000000000198</v>
      </c>
      <c r="BB114" s="7">
        <f t="shared" si="19"/>
        <v>1.0451098763892137E-6</v>
      </c>
      <c r="BC114" s="7" t="e">
        <f t="shared" si="20"/>
        <v>#N/A</v>
      </c>
      <c r="BD114" s="7">
        <f t="shared" si="21"/>
        <v>-5.0700100000000194</v>
      </c>
      <c r="BE114" s="7">
        <f t="shared" si="22"/>
        <v>-5.0699900000000202</v>
      </c>
      <c r="BF114" s="7">
        <f t="shared" si="23"/>
        <v>2.4241057159087818E-4</v>
      </c>
      <c r="BG114" s="7">
        <f t="shared" si="24"/>
        <v>2.4241766896286626E-4</v>
      </c>
      <c r="BH114" s="7" t="e">
        <f t="shared" si="25"/>
        <v>#N/A</v>
      </c>
      <c r="BI114" s="7">
        <f t="shared" si="29"/>
        <v>1.0451098763892137E-6</v>
      </c>
      <c r="BJ114" s="7">
        <f t="shared" si="26"/>
        <v>-9.989548901236107E-4</v>
      </c>
      <c r="BK114" s="7" t="e">
        <f t="shared" si="30"/>
        <v>#N/A</v>
      </c>
      <c r="BL114" s="7" t="e">
        <f t="shared" si="27"/>
        <v>#N/A</v>
      </c>
    </row>
    <row r="115" spans="2:64" ht="11.25" customHeight="1">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7">
        <f t="shared" si="18"/>
        <v>2.096282390170869E-7</v>
      </c>
      <c r="BA115" s="7">
        <f t="shared" si="28"/>
        <v>-5.06000000000002</v>
      </c>
      <c r="BB115" s="7">
        <f t="shared" si="19"/>
        <v>1.0994081887080917E-6</v>
      </c>
      <c r="BC115" s="7" t="e">
        <f t="shared" si="20"/>
        <v>#N/A</v>
      </c>
      <c r="BD115" s="7">
        <f t="shared" si="21"/>
        <v>-5.0600100000000197</v>
      </c>
      <c r="BE115" s="7">
        <f t="shared" si="22"/>
        <v>-5.0599900000000204</v>
      </c>
      <c r="BF115" s="7">
        <f t="shared" si="23"/>
        <v>2.4598706938154112E-4</v>
      </c>
      <c r="BG115" s="7">
        <f t="shared" si="24"/>
        <v>2.4599427853153435E-4</v>
      </c>
      <c r="BH115" s="7" t="e">
        <f t="shared" si="25"/>
        <v>#N/A</v>
      </c>
      <c r="BI115" s="7">
        <f t="shared" si="29"/>
        <v>1.0994081887080917E-6</v>
      </c>
      <c r="BJ115" s="7">
        <f t="shared" si="26"/>
        <v>-9.9890059181129186E-4</v>
      </c>
      <c r="BK115" s="7" t="e">
        <f t="shared" si="30"/>
        <v>#N/A</v>
      </c>
      <c r="BL115" s="7" t="e">
        <f t="shared" si="27"/>
        <v>#N/A</v>
      </c>
    </row>
    <row r="116" spans="2:64" ht="11.25" customHeight="1">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7">
        <f t="shared" si="18"/>
        <v>2.2090503226813785E-7</v>
      </c>
      <c r="BA116" s="7">
        <f t="shared" si="28"/>
        <v>-5.0500000000000203</v>
      </c>
      <c r="BB116" s="7">
        <f t="shared" si="19"/>
        <v>1.156411903579664E-6</v>
      </c>
      <c r="BC116" s="7" t="e">
        <f t="shared" si="20"/>
        <v>#N/A</v>
      </c>
      <c r="BD116" s="7">
        <f t="shared" si="21"/>
        <v>-5.0500100000000199</v>
      </c>
      <c r="BE116" s="7">
        <f t="shared" si="22"/>
        <v>-5.0499900000000206</v>
      </c>
      <c r="BF116" s="7">
        <f t="shared" si="23"/>
        <v>2.4961991880170098E-4</v>
      </c>
      <c r="BG116" s="7">
        <f t="shared" si="24"/>
        <v>2.496272415892667E-4</v>
      </c>
      <c r="BH116" s="7" t="e">
        <f t="shared" si="25"/>
        <v>#N/A</v>
      </c>
      <c r="BI116" s="7">
        <f t="shared" si="29"/>
        <v>1.156411903579664E-6</v>
      </c>
      <c r="BJ116" s="7">
        <f t="shared" si="26"/>
        <v>-9.9884358809642043E-4</v>
      </c>
      <c r="BK116" s="7" t="e">
        <f t="shared" si="30"/>
        <v>#N/A</v>
      </c>
      <c r="BL116" s="7" t="e">
        <f t="shared" si="27"/>
        <v>#N/A</v>
      </c>
    </row>
    <row r="117" spans="2:64" ht="11.25" customHeight="1">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7">
        <f t="shared" si="18"/>
        <v>2.3276592304706091E-7</v>
      </c>
      <c r="BA117" s="7">
        <f t="shared" si="28"/>
        <v>-5.0400000000000205</v>
      </c>
      <c r="BB117" s="7">
        <f t="shared" si="19"/>
        <v>1.2162495989311927E-6</v>
      </c>
      <c r="BC117" s="7" t="e">
        <f t="shared" si="20"/>
        <v>#N/A</v>
      </c>
      <c r="BD117" s="7">
        <f t="shared" si="21"/>
        <v>-5.0400100000000201</v>
      </c>
      <c r="BE117" s="7">
        <f t="shared" si="22"/>
        <v>-5.0399900000000208</v>
      </c>
      <c r="BF117" s="7">
        <f t="shared" si="23"/>
        <v>2.5331005767798248E-4</v>
      </c>
      <c r="BG117" s="7">
        <f t="shared" si="24"/>
        <v>2.5331749599502069E-4</v>
      </c>
      <c r="BH117" s="7" t="e">
        <f t="shared" si="25"/>
        <v>#N/A</v>
      </c>
      <c r="BI117" s="7">
        <f t="shared" si="29"/>
        <v>1.2162495989311927E-6</v>
      </c>
      <c r="BJ117" s="7">
        <f t="shared" si="26"/>
        <v>-9.9878375040106881E-4</v>
      </c>
      <c r="BK117" s="7" t="e">
        <f t="shared" si="30"/>
        <v>#N/A</v>
      </c>
      <c r="BL117" s="7" t="e">
        <f t="shared" si="27"/>
        <v>#N/A</v>
      </c>
    </row>
    <row r="118" spans="2:64" ht="11.25" customHeight="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7">
        <f t="shared" si="18"/>
        <v>2.4523991806368498E-7</v>
      </c>
      <c r="BA118" s="7">
        <f t="shared" si="28"/>
        <v>-5.0300000000000207</v>
      </c>
      <c r="BB118" s="7">
        <f t="shared" si="19"/>
        <v>1.2790556404764422E-6</v>
      </c>
      <c r="BC118" s="7" t="e">
        <f t="shared" si="20"/>
        <v>#N/A</v>
      </c>
      <c r="BD118" s="7">
        <f t="shared" si="21"/>
        <v>-5.0300100000000203</v>
      </c>
      <c r="BE118" s="7">
        <f t="shared" si="22"/>
        <v>-5.0299900000000211</v>
      </c>
      <c r="BF118" s="7">
        <f t="shared" si="23"/>
        <v>2.570584401475767E-4</v>
      </c>
      <c r="BG118" s="7">
        <f t="shared" si="24"/>
        <v>2.5706599591889966E-4</v>
      </c>
      <c r="BH118" s="7" t="e">
        <f t="shared" si="25"/>
        <v>#N/A</v>
      </c>
      <c r="BI118" s="7">
        <f t="shared" si="29"/>
        <v>1.2790556404764422E-6</v>
      </c>
      <c r="BJ118" s="7">
        <f t="shared" si="26"/>
        <v>-9.9872094435952356E-4</v>
      </c>
      <c r="BK118" s="7" t="e">
        <f t="shared" si="30"/>
        <v>#N/A</v>
      </c>
      <c r="BL118" s="7" t="e">
        <f t="shared" si="27"/>
        <v>#N/A</v>
      </c>
    </row>
    <row r="119" spans="2:64" ht="11.25" customHeight="1">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7">
        <f t="shared" si="18"/>
        <v>2.5835739763812686E-7</v>
      </c>
      <c r="BA119" s="7">
        <f t="shared" si="28"/>
        <v>-5.0200000000000209</v>
      </c>
      <c r="BB119" s="7">
        <f t="shared" si="19"/>
        <v>1.344970426069301E-6</v>
      </c>
      <c r="BC119" s="7" t="e">
        <f t="shared" si="20"/>
        <v>#N/A</v>
      </c>
      <c r="BD119" s="7">
        <f t="shared" si="21"/>
        <v>-5.0200100000000205</v>
      </c>
      <c r="BE119" s="7">
        <f t="shared" si="22"/>
        <v>-5.0199900000000213</v>
      </c>
      <c r="BF119" s="7">
        <f t="shared" si="23"/>
        <v>2.6086603695139188E-4</v>
      </c>
      <c r="BG119" s="7">
        <f t="shared" si="24"/>
        <v>2.6087371213531828E-4</v>
      </c>
      <c r="BH119" s="7" t="e">
        <f t="shared" si="25"/>
        <v>#N/A</v>
      </c>
      <c r="BI119" s="7">
        <f t="shared" si="29"/>
        <v>1.344970426069301E-6</v>
      </c>
      <c r="BJ119" s="7">
        <f t="shared" si="26"/>
        <v>-9.9865502957393075E-4</v>
      </c>
      <c r="BK119" s="7" t="e">
        <f t="shared" si="30"/>
        <v>#N/A</v>
      </c>
      <c r="BL119" s="7" t="e">
        <f t="shared" si="27"/>
        <v>#N/A</v>
      </c>
    </row>
    <row r="120" spans="2:64" ht="11.25" customHeight="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7">
        <f t="shared" si="18"/>
        <v>2.721501772835614E-7</v>
      </c>
      <c r="BA120" s="7">
        <f t="shared" si="28"/>
        <v>-5.0100000000000211</v>
      </c>
      <c r="BB120" s="7">
        <f t="shared" si="19"/>
        <v>1.4141406395948527E-6</v>
      </c>
      <c r="BC120" s="7" t="e">
        <f t="shared" si="20"/>
        <v>#N/A</v>
      </c>
      <c r="BD120" s="7">
        <f t="shared" si="21"/>
        <v>-5.0100100000000207</v>
      </c>
      <c r="BE120" s="7">
        <f t="shared" si="22"/>
        <v>-5.0099900000000215</v>
      </c>
      <c r="BF120" s="7">
        <f t="shared" si="23"/>
        <v>2.6473383573258477E-4</v>
      </c>
      <c r="BG120" s="7">
        <f t="shared" si="24"/>
        <v>2.647416323215375E-4</v>
      </c>
      <c r="BH120" s="7" t="e">
        <f t="shared" si="25"/>
        <v>#N/A</v>
      </c>
      <c r="BI120" s="7">
        <f t="shared" si="29"/>
        <v>1.4141406395948527E-6</v>
      </c>
      <c r="BJ120" s="7">
        <f t="shared" si="26"/>
        <v>-9.9858585936040507E-4</v>
      </c>
      <c r="BK120" s="7" t="e">
        <f t="shared" si="30"/>
        <v>#N/A</v>
      </c>
      <c r="BL120" s="7" t="e">
        <f t="shared" si="27"/>
        <v>#N/A</v>
      </c>
    </row>
    <row r="121" spans="2:64" ht="11.25" customHeight="1">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7">
        <f t="shared" si="18"/>
        <v>2.8665157187698178E-7</v>
      </c>
      <c r="BA121" s="7">
        <f t="shared" si="28"/>
        <v>-5.0000000000000213</v>
      </c>
      <c r="BB121" s="7">
        <f t="shared" si="19"/>
        <v>1.4867195147341391E-6</v>
      </c>
      <c r="BC121" s="7" t="e">
        <f t="shared" si="20"/>
        <v>#N/A</v>
      </c>
      <c r="BD121" s="7">
        <f t="shared" si="21"/>
        <v>-5.0000100000000209</v>
      </c>
      <c r="BE121" s="7">
        <f t="shared" si="22"/>
        <v>-4.9999900000000217</v>
      </c>
      <c r="BF121" s="7">
        <f t="shared" si="23"/>
        <v>2.6866284134055926E-4</v>
      </c>
      <c r="BG121" s="7">
        <f t="shared" si="24"/>
        <v>2.6867076136168424E-4</v>
      </c>
      <c r="BH121" s="7" t="e">
        <f t="shared" si="25"/>
        <v>#N/A</v>
      </c>
      <c r="BI121" s="7">
        <f t="shared" si="29"/>
        <v>1.4867195147341391E-6</v>
      </c>
      <c r="BJ121" s="7">
        <f t="shared" si="26"/>
        <v>-9.9851328048526579E-4</v>
      </c>
      <c r="BK121" s="7" t="e">
        <f t="shared" si="30"/>
        <v>#N/A</v>
      </c>
      <c r="BL121" s="7" t="e">
        <f t="shared" si="27"/>
        <v>#N/A</v>
      </c>
    </row>
    <row r="122" spans="2:64" ht="11.25" customHeight="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7">
        <f t="shared" si="18"/>
        <v>3.0189628175136818E-7</v>
      </c>
      <c r="BA122" s="7">
        <f t="shared" si="28"/>
        <v>-4.9900000000000215</v>
      </c>
      <c r="BB122" s="7">
        <f t="shared" si="19"/>
        <v>1.5628671089491233E-6</v>
      </c>
      <c r="BC122" s="7" t="e">
        <f t="shared" si="20"/>
        <v>#N/A</v>
      </c>
      <c r="BD122" s="7">
        <f t="shared" si="21"/>
        <v>-4.9900100000000212</v>
      </c>
      <c r="BE122" s="7">
        <f t="shared" si="22"/>
        <v>-4.9899900000000219</v>
      </c>
      <c r="BF122" s="7">
        <f t="shared" si="23"/>
        <v>2.7265407614054742E-4</v>
      </c>
      <c r="BG122" s="7">
        <f t="shared" si="24"/>
        <v>2.7266212165633655E-4</v>
      </c>
      <c r="BH122" s="7" t="e">
        <f t="shared" si="25"/>
        <v>#N/A</v>
      </c>
      <c r="BI122" s="7">
        <f t="shared" si="29"/>
        <v>1.5628671089491233E-6</v>
      </c>
      <c r="BJ122" s="7">
        <f t="shared" si="26"/>
        <v>-9.9843713289105083E-4</v>
      </c>
      <c r="BK122" s="7" t="e">
        <f t="shared" si="30"/>
        <v>#N/A</v>
      </c>
      <c r="BL122" s="7" t="e">
        <f t="shared" si="27"/>
        <v>#N/A</v>
      </c>
    </row>
    <row r="123" spans="2:64" ht="11.25" customHeight="1">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7">
        <f t="shared" si="18"/>
        <v>3.1792132149099928E-7</v>
      </c>
      <c r="BA123" s="7">
        <f t="shared" si="28"/>
        <v>-4.9800000000000217</v>
      </c>
      <c r="BB123" s="7">
        <f t="shared" si="19"/>
        <v>1.642750588044896E-6</v>
      </c>
      <c r="BC123" s="7" t="e">
        <f t="shared" si="20"/>
        <v>#N/A</v>
      </c>
      <c r="BD123" s="7">
        <f t="shared" si="21"/>
        <v>-4.9800100000000214</v>
      </c>
      <c r="BE123" s="7">
        <f t="shared" si="22"/>
        <v>-4.9799900000000221</v>
      </c>
      <c r="BF123" s="7">
        <f t="shared" si="23"/>
        <v>2.7670858032886707E-4</v>
      </c>
      <c r="BG123" s="7">
        <f t="shared" si="24"/>
        <v>2.7671675343779293E-4</v>
      </c>
      <c r="BH123" s="7" t="e">
        <f t="shared" si="25"/>
        <v>#N/A</v>
      </c>
      <c r="BI123" s="7">
        <f t="shared" si="29"/>
        <v>1.642750588044896E-6</v>
      </c>
      <c r="BJ123" s="7">
        <f t="shared" si="26"/>
        <v>-9.9835724941195513E-4</v>
      </c>
      <c r="BK123" s="7" t="e">
        <f t="shared" si="30"/>
        <v>#N/A</v>
      </c>
      <c r="BL123" s="7" t="e">
        <f t="shared" si="27"/>
        <v>#N/A</v>
      </c>
    </row>
    <row r="124" spans="2:64" ht="11.25" customHeight="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7">
        <f t="shared" si="18"/>
        <v>3.3476451799518969E-7</v>
      </c>
      <c r="BA124" s="7">
        <f t="shared" si="28"/>
        <v>-4.970000000000022</v>
      </c>
      <c r="BB124" s="7">
        <f t="shared" si="19"/>
        <v>1.726544521676883E-6</v>
      </c>
      <c r="BC124" s="7" t="e">
        <f t="shared" si="20"/>
        <v>#N/A</v>
      </c>
      <c r="BD124" s="7">
        <f t="shared" si="21"/>
        <v>-4.9700100000000216</v>
      </c>
      <c r="BE124" s="7">
        <f t="shared" si="22"/>
        <v>-4.9699900000000223</v>
      </c>
      <c r="BF124" s="7">
        <f t="shared" si="23"/>
        <v>2.8082741225395492E-4</v>
      </c>
      <c r="BG124" s="7">
        <f t="shared" si="24"/>
        <v>2.8083571509112092E-4</v>
      </c>
      <c r="BH124" s="7" t="e">
        <f t="shared" si="25"/>
        <v>#N/A</v>
      </c>
      <c r="BI124" s="7">
        <f t="shared" si="29"/>
        <v>1.726544521676883E-6</v>
      </c>
      <c r="BJ124" s="7">
        <f t="shared" si="26"/>
        <v>-9.9827345547832307E-4</v>
      </c>
      <c r="BK124" s="7" t="e">
        <f t="shared" si="30"/>
        <v>#N/A</v>
      </c>
      <c r="BL124" s="7" t="e">
        <f t="shared" si="27"/>
        <v>#N/A</v>
      </c>
    </row>
    <row r="125" spans="2:64" ht="11.25" customHeight="1">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7">
        <f t="shared" si="18"/>
        <v>3.5246613627748502E-7</v>
      </c>
      <c r="BA125" s="7">
        <f t="shared" si="28"/>
        <v>-4.9600000000000222</v>
      </c>
      <c r="BB125" s="7">
        <f t="shared" si="19"/>
        <v>1.8144311901818304E-6</v>
      </c>
      <c r="BC125" s="7" t="e">
        <f t="shared" si="20"/>
        <v>#N/A</v>
      </c>
      <c r="BD125" s="7">
        <f t="shared" si="21"/>
        <v>-4.9600100000000218</v>
      </c>
      <c r="BE125" s="7">
        <f t="shared" si="22"/>
        <v>-4.9599900000000225</v>
      </c>
      <c r="BF125" s="7">
        <f t="shared" si="23"/>
        <v>2.8501164874329747E-4</v>
      </c>
      <c r="BG125" s="7">
        <f t="shared" si="24"/>
        <v>2.8502008348109571E-4</v>
      </c>
      <c r="BH125" s="7" t="e">
        <f t="shared" si="25"/>
        <v>#N/A</v>
      </c>
      <c r="BI125" s="7">
        <f t="shared" si="29"/>
        <v>1.8144311901818304E-6</v>
      </c>
      <c r="BJ125" s="7">
        <f t="shared" si="26"/>
        <v>-9.9818556880981821E-4</v>
      </c>
      <c r="BK125" s="7" t="e">
        <f t="shared" si="30"/>
        <v>#N/A</v>
      </c>
      <c r="BL125" s="7" t="e">
        <f t="shared" si="27"/>
        <v>#N/A</v>
      </c>
    </row>
    <row r="126" spans="2:64" ht="11.25" customHeight="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7">
        <f t="shared" si="18"/>
        <v>3.7106750028215174E-7</v>
      </c>
      <c r="BA126" s="7">
        <f t="shared" si="28"/>
        <v>-4.9500000000000224</v>
      </c>
      <c r="BB126" s="7">
        <f t="shared" si="19"/>
        <v>1.9066009031226007E-6</v>
      </c>
      <c r="BC126" s="7" t="e">
        <f t="shared" si="20"/>
        <v>#N/A</v>
      </c>
      <c r="BD126" s="7">
        <f t="shared" si="21"/>
        <v>-4.950010000000022</v>
      </c>
      <c r="BE126" s="7">
        <f t="shared" si="22"/>
        <v>-4.9499900000000228</v>
      </c>
      <c r="BF126" s="7">
        <f t="shared" si="23"/>
        <v>2.892623854363509E-4</v>
      </c>
      <c r="BG126" s="7">
        <f t="shared" si="24"/>
        <v>2.8927095428513637E-4</v>
      </c>
      <c r="BH126" s="7" t="e">
        <f t="shared" si="25"/>
        <v>#N/A</v>
      </c>
      <c r="BI126" s="7">
        <f t="shared" si="29"/>
        <v>1.9066009031226007E-6</v>
      </c>
      <c r="BJ126" s="7">
        <f t="shared" si="26"/>
        <v>-9.9809339909687732E-4</v>
      </c>
      <c r="BK126" s="7" t="e">
        <f t="shared" si="30"/>
        <v>#N/A</v>
      </c>
      <c r="BL126" s="7" t="e">
        <f t="shared" si="27"/>
        <v>#N/A</v>
      </c>
    </row>
    <row r="127" spans="2:64" ht="11.25" customHeight="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7">
        <f t="shared" si="18"/>
        <v>3.9061279355490086E-7</v>
      </c>
      <c r="BA127" s="7">
        <f t="shared" si="28"/>
        <v>-4.9400000000000226</v>
      </c>
      <c r="BB127" s="7">
        <f t="shared" si="19"/>
        <v>2.0032523299482683E-6</v>
      </c>
      <c r="BC127" s="7" t="e">
        <f t="shared" si="20"/>
        <v>#N/A</v>
      </c>
      <c r="BD127" s="7">
        <f t="shared" si="21"/>
        <v>-4.9400100000000222</v>
      </c>
      <c r="BE127" s="7">
        <f t="shared" si="22"/>
        <v>-4.939990000000023</v>
      </c>
      <c r="BF127" s="7">
        <f t="shared" si="23"/>
        <v>2.9358073712357327E-4</v>
      </c>
      <c r="BG127" s="7">
        <f t="shared" si="24"/>
        <v>2.935894423323452E-4</v>
      </c>
      <c r="BH127" s="7" t="e">
        <f t="shared" si="25"/>
        <v>#N/A</v>
      </c>
      <c r="BI127" s="7">
        <f t="shared" si="29"/>
        <v>2.0032523299482683E-6</v>
      </c>
      <c r="BJ127" s="7">
        <f t="shared" si="26"/>
        <v>-9.9799674767005165E-4</v>
      </c>
      <c r="BK127" s="7" t="e">
        <f t="shared" si="30"/>
        <v>#N/A</v>
      </c>
      <c r="BL127" s="7" t="e">
        <f t="shared" si="27"/>
        <v>#N/A</v>
      </c>
    </row>
    <row r="128" spans="2:64" ht="11.25" customHeight="1">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7">
        <f t="shared" si="18"/>
        <v>4.1114816218268402E-7</v>
      </c>
      <c r="BA128" s="7">
        <f t="shared" si="28"/>
        <v>-4.9300000000000228</v>
      </c>
      <c r="BB128" s="7">
        <f t="shared" si="19"/>
        <v>2.1045928431828902E-6</v>
      </c>
      <c r="BC128" s="7" t="e">
        <f t="shared" si="20"/>
        <v>#N/A</v>
      </c>
      <c r="BD128" s="7">
        <f t="shared" si="21"/>
        <v>-4.9300100000000224</v>
      </c>
      <c r="BE128" s="7">
        <f t="shared" si="22"/>
        <v>-4.9299900000000232</v>
      </c>
      <c r="BF128" s="7">
        <f t="shared" si="23"/>
        <v>2.979678380916686E-4</v>
      </c>
      <c r="BG128" s="7">
        <f t="shared" si="24"/>
        <v>2.9797668194877E-4</v>
      </c>
      <c r="BH128" s="7" t="e">
        <f t="shared" si="25"/>
        <v>#N/A</v>
      </c>
      <c r="BI128" s="7">
        <f t="shared" si="29"/>
        <v>2.1045928431828902E-6</v>
      </c>
      <c r="BJ128" s="7">
        <f t="shared" si="26"/>
        <v>-9.978954071568171E-4</v>
      </c>
      <c r="BK128" s="7" t="e">
        <f t="shared" si="30"/>
        <v>#N/A</v>
      </c>
      <c r="BL128" s="7" t="e">
        <f t="shared" si="27"/>
        <v>#N/A</v>
      </c>
    </row>
    <row r="129" spans="2:64" ht="11.25" customHeight="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7">
        <f t="shared" si="18"/>
        <v>4.3272096639235258E-7</v>
      </c>
      <c r="BA129" s="7">
        <f t="shared" si="28"/>
        <v>-4.920000000000023</v>
      </c>
      <c r="BB129" s="7">
        <f t="shared" si="19"/>
        <v>2.2108388745681696E-6</v>
      </c>
      <c r="BC129" s="7" t="e">
        <f t="shared" si="20"/>
        <v>#N/A</v>
      </c>
      <c r="BD129" s="7">
        <f t="shared" si="21"/>
        <v>-4.9200100000000226</v>
      </c>
      <c r="BE129" s="7">
        <f t="shared" si="22"/>
        <v>-4.9199900000000234</v>
      </c>
      <c r="BF129" s="7">
        <f t="shared" si="23"/>
        <v>3.0242484247517142E-4</v>
      </c>
      <c r="BG129" s="7">
        <f t="shared" si="24"/>
        <v>3.0243382730899693E-4</v>
      </c>
      <c r="BH129" s="7" t="e">
        <f t="shared" si="25"/>
        <v>#N/A</v>
      </c>
      <c r="BI129" s="7">
        <f t="shared" si="29"/>
        <v>2.2108388745681696E-6</v>
      </c>
      <c r="BJ129" s="7">
        <f t="shared" si="26"/>
        <v>-9.977891611254318E-4</v>
      </c>
      <c r="BK129" s="7" t="e">
        <f t="shared" si="30"/>
        <v>#N/A</v>
      </c>
      <c r="BL129" s="7" t="e">
        <f t="shared" si="27"/>
        <v>#N/A</v>
      </c>
    </row>
    <row r="130" spans="2:64" ht="11.25" customHeight="1">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7">
        <f t="shared" si="18"/>
        <v>4.5538233428565889E-7</v>
      </c>
      <c r="BA130" s="7">
        <f t="shared" si="28"/>
        <v>-4.9100000000000232</v>
      </c>
      <c r="BB130" s="7">
        <f t="shared" si="19"/>
        <v>2.3222162845977327E-6</v>
      </c>
      <c r="BC130" s="7" t="e">
        <f t="shared" si="20"/>
        <v>#N/A</v>
      </c>
      <c r="BD130" s="7">
        <f t="shared" si="21"/>
        <v>-4.9100100000000229</v>
      </c>
      <c r="BE130" s="7">
        <f t="shared" si="22"/>
        <v>-4.9099900000000236</v>
      </c>
      <c r="BF130" s="7">
        <f t="shared" si="23"/>
        <v>3.0695292461447438E-4</v>
      </c>
      <c r="BG130" s="7">
        <f t="shared" si="24"/>
        <v>3.0696205279419385E-4</v>
      </c>
      <c r="BH130" s="7" t="e">
        <f t="shared" si="25"/>
        <v>#N/A</v>
      </c>
      <c r="BI130" s="7">
        <f t="shared" si="29"/>
        <v>2.3222162845977327E-6</v>
      </c>
      <c r="BJ130" s="7">
        <f t="shared" si="26"/>
        <v>-9.9767778371540224E-4</v>
      </c>
      <c r="BK130" s="7" t="e">
        <f t="shared" si="30"/>
        <v>#N/A</v>
      </c>
      <c r="BL130" s="7" t="e">
        <f t="shared" si="27"/>
        <v>#N/A</v>
      </c>
    </row>
    <row r="131" spans="2:64" ht="11.25" customHeight="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7">
        <f t="shared" si="18"/>
        <v>4.7918345313924249E-7</v>
      </c>
      <c r="BA131" s="7">
        <f t="shared" si="28"/>
        <v>-4.9000000000000234</v>
      </c>
      <c r="BB131" s="7">
        <f t="shared" si="19"/>
        <v>2.438960745893079E-6</v>
      </c>
      <c r="BC131" s="7" t="e">
        <f t="shared" si="20"/>
        <v>#N/A</v>
      </c>
      <c r="BD131" s="7">
        <f t="shared" si="21"/>
        <v>-4.9000100000000231</v>
      </c>
      <c r="BE131" s="7">
        <f t="shared" si="22"/>
        <v>-4.8999900000000238</v>
      </c>
      <c r="BF131" s="7">
        <f t="shared" si="23"/>
        <v>3.1155327942042436E-4</v>
      </c>
      <c r="BG131" s="7">
        <f t="shared" si="24"/>
        <v>3.115625533567185E-4</v>
      </c>
      <c r="BH131" s="7" t="e">
        <f t="shared" si="25"/>
        <v>#N/A</v>
      </c>
      <c r="BI131" s="7">
        <f t="shared" si="29"/>
        <v>2.438960745893079E-6</v>
      </c>
      <c r="BJ131" s="7">
        <f t="shared" si="26"/>
        <v>-9.9756103925410702E-4</v>
      </c>
      <c r="BK131" s="7" t="e">
        <f t="shared" si="30"/>
        <v>#N/A</v>
      </c>
      <c r="BL131" s="7" t="e">
        <f t="shared" si="27"/>
        <v>#N/A</v>
      </c>
    </row>
    <row r="132" spans="2:64" ht="11.25" customHeight="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7">
        <f t="shared" si="18"/>
        <v>5.0417991004358953E-7</v>
      </c>
      <c r="BA132" s="7">
        <f t="shared" si="28"/>
        <v>-4.8900000000000237</v>
      </c>
      <c r="BB132" s="7">
        <f t="shared" si="19"/>
        <v>2.5613181408842436E-6</v>
      </c>
      <c r="BC132" s="7" t="e">
        <f t="shared" si="20"/>
        <v>#N/A</v>
      </c>
      <c r="BD132" s="7">
        <f t="shared" si="21"/>
        <v>-4.8900100000000233</v>
      </c>
      <c r="BE132" s="7">
        <f t="shared" si="22"/>
        <v>-4.889990000000024</v>
      </c>
      <c r="BF132" s="7">
        <f t="shared" si="23"/>
        <v>3.1622712274560733E-4</v>
      </c>
      <c r="BG132" s="7">
        <f t="shared" si="24"/>
        <v>3.1623654489141569E-4</v>
      </c>
      <c r="BH132" s="7" t="e">
        <f t="shared" si="25"/>
        <v>#N/A</v>
      </c>
      <c r="BI132" s="7">
        <f t="shared" si="29"/>
        <v>2.5613181408842436E-6</v>
      </c>
      <c r="BJ132" s="7">
        <f t="shared" si="26"/>
        <v>-9.9743868185911584E-4</v>
      </c>
      <c r="BK132" s="7" t="e">
        <f t="shared" si="30"/>
        <v>#N/A</v>
      </c>
      <c r="BL132" s="7" t="e">
        <f t="shared" si="27"/>
        <v>#N/A</v>
      </c>
    </row>
    <row r="133" spans="2:64" ht="11.25" customHeight="1">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7">
        <f t="shared" si="18"/>
        <v>5.3042933456648456E-7</v>
      </c>
      <c r="BA133" s="7">
        <f t="shared" si="28"/>
        <v>-4.8800000000000239</v>
      </c>
      <c r="BB133" s="7">
        <f t="shared" si="19"/>
        <v>2.6895449742712074E-6</v>
      </c>
      <c r="BC133" s="7" t="e">
        <f t="shared" si="20"/>
        <v>#N/A</v>
      </c>
      <c r="BD133" s="7">
        <f t="shared" si="21"/>
        <v>-4.8800100000000235</v>
      </c>
      <c r="BE133" s="7">
        <f t="shared" si="22"/>
        <v>-4.8799900000000243</v>
      </c>
      <c r="BF133" s="7">
        <f t="shared" si="23"/>
        <v>3.2097569176243784E-4</v>
      </c>
      <c r="BG133" s="7">
        <f t="shared" si="24"/>
        <v>3.2098526461372436E-4</v>
      </c>
      <c r="BH133" s="7" t="e">
        <f t="shared" si="25"/>
        <v>#N/A</v>
      </c>
      <c r="BI133" s="7">
        <f t="shared" si="29"/>
        <v>2.6895449742712074E-6</v>
      </c>
      <c r="BJ133" s="7">
        <f t="shared" si="26"/>
        <v>-9.9731045502572885E-4</v>
      </c>
      <c r="BK133" s="7" t="e">
        <f t="shared" si="30"/>
        <v>#N/A</v>
      </c>
      <c r="BL133" s="7" t="e">
        <f t="shared" si="27"/>
        <v>#N/A</v>
      </c>
    </row>
    <row r="134" spans="2:64" ht="11.25" customHeight="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7">
        <f t="shared" si="18"/>
        <v>5.5799123832578346E-7</v>
      </c>
      <c r="BA134" s="7">
        <f t="shared" si="28"/>
        <v>-4.8700000000000241</v>
      </c>
      <c r="BB134" s="7">
        <f t="shared" si="19"/>
        <v>2.8239088007554944E-6</v>
      </c>
      <c r="BC134" s="7" t="e">
        <f t="shared" si="20"/>
        <v>#N/A</v>
      </c>
      <c r="BD134" s="7">
        <f t="shared" si="21"/>
        <v>-4.8700100000000237</v>
      </c>
      <c r="BE134" s="7">
        <f t="shared" si="22"/>
        <v>-4.8699900000000245</v>
      </c>
      <c r="BF134" s="7">
        <f t="shared" si="23"/>
        <v>3.2580024534818958E-4</v>
      </c>
      <c r="BG134" s="7">
        <f t="shared" si="24"/>
        <v>3.2580997144471865E-4</v>
      </c>
      <c r="BH134" s="7" t="e">
        <f t="shared" si="25"/>
        <v>#N/A</v>
      </c>
      <c r="BI134" s="7">
        <f t="shared" si="29"/>
        <v>2.8239088007554944E-6</v>
      </c>
      <c r="BJ134" s="7">
        <f t="shared" si="26"/>
        <v>-9.9717609119924456E-4</v>
      </c>
      <c r="BK134" s="7" t="e">
        <f t="shared" si="30"/>
        <v>#N/A</v>
      </c>
      <c r="BL134" s="7" t="e">
        <f t="shared" si="27"/>
        <v>#N/A</v>
      </c>
    </row>
    <row r="135" spans="2:64" ht="11.25" customHeight="1">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7">
        <f t="shared" si="18"/>
        <v>5.8692884841171633E-7</v>
      </c>
      <c r="BA135" s="7">
        <f t="shared" si="28"/>
        <v>-4.8600000000000243</v>
      </c>
      <c r="BB135" s="7">
        <f t="shared" si="19"/>
        <v>2.9646886685449248E-6</v>
      </c>
      <c r="BC135" s="7" t="e">
        <f t="shared" si="20"/>
        <v>#N/A</v>
      </c>
      <c r="BD135" s="7">
        <f t="shared" si="21"/>
        <v>-4.8600100000000239</v>
      </c>
      <c r="BE135" s="7">
        <f t="shared" si="22"/>
        <v>-4.8599900000000247</v>
      </c>
      <c r="BF135" s="7">
        <f t="shared" si="23"/>
        <v>3.3070206447708176E-4</v>
      </c>
      <c r="BG135" s="7">
        <f t="shared" si="24"/>
        <v>3.3071194640320914E-4</v>
      </c>
      <c r="BH135" s="7" t="e">
        <f t="shared" si="25"/>
        <v>#N/A</v>
      </c>
      <c r="BI135" s="7">
        <f t="shared" si="29"/>
        <v>2.9646886685449248E-6</v>
      </c>
      <c r="BJ135" s="7">
        <f t="shared" si="26"/>
        <v>-9.9703531133145504E-4</v>
      </c>
      <c r="BK135" s="7" t="e">
        <f t="shared" si="30"/>
        <v>#N/A</v>
      </c>
      <c r="BL135" s="7" t="e">
        <f t="shared" si="27"/>
        <v>#N/A</v>
      </c>
    </row>
    <row r="136" spans="2:64" ht="11.25" customHeight="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7">
        <f t="shared" si="18"/>
        <v>6.1730750100519316E-7</v>
      </c>
      <c r="BA136" s="7">
        <f t="shared" si="28"/>
        <v>-4.8500000000000245</v>
      </c>
      <c r="BB136" s="7">
        <f t="shared" si="19"/>
        <v>3.1121755791485684E-6</v>
      </c>
      <c r="BC136" s="7" t="e">
        <f t="shared" si="20"/>
        <v>#N/A</v>
      </c>
      <c r="BD136" s="7">
        <f t="shared" si="21"/>
        <v>-4.8500100000000241</v>
      </c>
      <c r="BE136" s="7">
        <f t="shared" si="22"/>
        <v>-4.8499900000000249</v>
      </c>
      <c r="BF136" s="7">
        <f t="shared" si="23"/>
        <v>3.3568245261955828E-4</v>
      </c>
      <c r="BG136" s="7">
        <f t="shared" si="24"/>
        <v>3.3569249300503562E-4</v>
      </c>
      <c r="BH136" s="7" t="e">
        <f t="shared" si="25"/>
        <v>#N/A</v>
      </c>
      <c r="BI136" s="7">
        <f t="shared" si="29"/>
        <v>3.1121755791485684E-6</v>
      </c>
      <c r="BJ136" s="7">
        <f t="shared" si="26"/>
        <v>-9.9688782442085137E-4</v>
      </c>
      <c r="BK136" s="7" t="e">
        <f t="shared" si="30"/>
        <v>#N/A</v>
      </c>
      <c r="BL136" s="7" t="e">
        <f t="shared" si="27"/>
        <v>#N/A</v>
      </c>
    </row>
    <row r="137" spans="2:64" ht="11.25" customHeight="1">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7">
        <f t="shared" si="18"/>
        <v>6.4919571696187006E-7</v>
      </c>
      <c r="BA137" s="7">
        <f t="shared" si="28"/>
        <v>-4.8400000000000247</v>
      </c>
      <c r="BB137" s="7">
        <f t="shared" si="19"/>
        <v>3.26667296399288E-6</v>
      </c>
      <c r="BC137" s="7" t="e">
        <f t="shared" si="20"/>
        <v>#N/A</v>
      </c>
      <c r="BD137" s="7">
        <f t="shared" si="21"/>
        <v>-4.8400100000000243</v>
      </c>
      <c r="BE137" s="7">
        <f t="shared" si="22"/>
        <v>-4.8399900000000251</v>
      </c>
      <c r="BF137" s="7">
        <f t="shared" si="23"/>
        <v>3.4074273614888084E-4</v>
      </c>
      <c r="BG137" s="7">
        <f t="shared" si="24"/>
        <v>3.4075293766967963E-4</v>
      </c>
      <c r="BH137" s="7" t="e">
        <f t="shared" si="25"/>
        <v>#N/A</v>
      </c>
      <c r="BI137" s="7">
        <f t="shared" si="29"/>
        <v>3.26667296399288E-6</v>
      </c>
      <c r="BJ137" s="7">
        <f t="shared" si="26"/>
        <v>-9.9673332703600708E-4</v>
      </c>
      <c r="BK137" s="7" t="e">
        <f t="shared" si="30"/>
        <v>#N/A</v>
      </c>
      <c r="BL137" s="7" t="e">
        <f t="shared" si="27"/>
        <v>#N/A</v>
      </c>
    </row>
    <row r="138" spans="2:64" ht="11.25" customHeight="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7">
        <f t="shared" si="18"/>
        <v>6.8266524233528969E-7</v>
      </c>
      <c r="BA138" s="7">
        <f t="shared" si="28"/>
        <v>-4.8300000000000249</v>
      </c>
      <c r="BB138" s="7">
        <f t="shared" si="19"/>
        <v>3.4284971784046243E-6</v>
      </c>
      <c r="BC138" s="7" t="e">
        <f t="shared" si="20"/>
        <v>#N/A</v>
      </c>
      <c r="BD138" s="7">
        <f t="shared" si="21"/>
        <v>-4.8300100000000246</v>
      </c>
      <c r="BE138" s="7">
        <f t="shared" si="22"/>
        <v>-4.8299900000000253</v>
      </c>
      <c r="BF138" s="7">
        <f t="shared" si="23"/>
        <v>3.4588426475519175E-4</v>
      </c>
      <c r="BG138" s="7">
        <f t="shared" si="24"/>
        <v>3.4589463013433601E-4</v>
      </c>
      <c r="BH138" s="7" t="e">
        <f t="shared" si="25"/>
        <v>#N/A</v>
      </c>
      <c r="BI138" s="7">
        <f t="shared" si="29"/>
        <v>3.4284971784046243E-6</v>
      </c>
      <c r="BJ138" s="7">
        <f t="shared" si="26"/>
        <v>-9.9657150282159547E-4</v>
      </c>
      <c r="BK138" s="7" t="e">
        <f t="shared" si="30"/>
        <v>#N/A</v>
      </c>
      <c r="BL138" s="7" t="e">
        <f t="shared" si="27"/>
        <v>#N/A</v>
      </c>
    </row>
    <row r="139" spans="2:64" ht="11.25" customHeight="1">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7">
        <f t="shared" si="18"/>
        <v>7.17791006077384E-7</v>
      </c>
      <c r="BA139" s="7">
        <f t="shared" si="28"/>
        <v>-4.8200000000000252</v>
      </c>
      <c r="BB139" s="7">
        <f t="shared" si="19"/>
        <v>3.5979780135208121E-6</v>
      </c>
      <c r="BC139" s="7" t="e">
        <f t="shared" si="20"/>
        <v>#N/A</v>
      </c>
      <c r="BD139" s="7">
        <f t="shared" si="21"/>
        <v>-4.8200100000000248</v>
      </c>
      <c r="BE139" s="7">
        <f t="shared" si="22"/>
        <v>-4.8199900000000255</v>
      </c>
      <c r="BF139" s="7">
        <f t="shared" si="23"/>
        <v>3.5110841186714817E-4</v>
      </c>
      <c r="BG139" s="7">
        <f t="shared" si="24"/>
        <v>3.5111894387556683E-4</v>
      </c>
      <c r="BH139" s="7" t="e">
        <f t="shared" si="25"/>
        <v>#N/A</v>
      </c>
      <c r="BI139" s="7">
        <f t="shared" si="29"/>
        <v>3.5979780135208121E-6</v>
      </c>
      <c r="BJ139" s="7">
        <f t="shared" si="26"/>
        <v>-9.9640202198647923E-4</v>
      </c>
      <c r="BK139" s="7" t="e">
        <f t="shared" si="30"/>
        <v>#N/A</v>
      </c>
      <c r="BL139" s="7" t="e">
        <f t="shared" si="27"/>
        <v>#N/A</v>
      </c>
    </row>
    <row r="140" spans="2:64" ht="11.25" customHeight="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7">
        <f t="shared" si="18"/>
        <v>7.5465168913879666E-7</v>
      </c>
      <c r="BA140" s="7">
        <f t="shared" si="28"/>
        <v>-4.8100000000000254</v>
      </c>
      <c r="BB140" s="7">
        <f t="shared" si="19"/>
        <v>3.7754592267008785E-6</v>
      </c>
      <c r="BC140" s="7" t="e">
        <f t="shared" si="20"/>
        <v>#N/A</v>
      </c>
      <c r="BD140" s="7">
        <f t="shared" si="21"/>
        <v>-4.810010000000025</v>
      </c>
      <c r="BE140" s="7">
        <f t="shared" si="22"/>
        <v>-4.8099900000000257</v>
      </c>
      <c r="BF140" s="7">
        <f t="shared" si="23"/>
        <v>3.5641657508130237E-4</v>
      </c>
      <c r="BG140" s="7">
        <f t="shared" si="24"/>
        <v>3.5642727653869595E-4</v>
      </c>
      <c r="BH140" s="7" t="e">
        <f t="shared" si="25"/>
        <v>#N/A</v>
      </c>
      <c r="BI140" s="7">
        <f t="shared" si="29"/>
        <v>3.7754592267008785E-6</v>
      </c>
      <c r="BJ140" s="7">
        <f t="shared" si="26"/>
        <v>-9.9622454077329917E-4</v>
      </c>
      <c r="BK140" s="7" t="e">
        <f t="shared" si="30"/>
        <v>#N/A</v>
      </c>
      <c r="BL140" s="7" t="e">
        <f t="shared" si="27"/>
        <v>#N/A</v>
      </c>
    </row>
    <row r="141" spans="2:64" ht="11.25" customHeight="1">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7">
        <f t="shared" si="18"/>
        <v>7.9332813851529238E-7</v>
      </c>
      <c r="BA141" s="7">
        <f t="shared" si="28"/>
        <v>-4.8000000000000256</v>
      </c>
      <c r="BB141" s="7">
        <f t="shared" si="19"/>
        <v>3.96129909103159E-6</v>
      </c>
      <c r="BC141" s="7" t="e">
        <f t="shared" si="20"/>
        <v>#N/A</v>
      </c>
      <c r="BD141" s="7">
        <f t="shared" si="21"/>
        <v>-4.8000100000000252</v>
      </c>
      <c r="BE141" s="7">
        <f t="shared" si="22"/>
        <v>-4.799990000000026</v>
      </c>
      <c r="BF141" s="7">
        <f t="shared" si="23"/>
        <v>3.6181017659934117E-4</v>
      </c>
      <c r="BG141" s="7">
        <f t="shared" si="24"/>
        <v>3.6182105037506427E-4</v>
      </c>
      <c r="BH141" s="7" t="e">
        <f t="shared" si="25"/>
        <v>#N/A</v>
      </c>
      <c r="BI141" s="7">
        <f t="shared" si="29"/>
        <v>3.96129909103159E-6</v>
      </c>
      <c r="BJ141" s="7">
        <f t="shared" si="26"/>
        <v>-9.9603870090896832E-4</v>
      </c>
      <c r="BK141" s="7" t="e">
        <f t="shared" si="30"/>
        <v>#N/A</v>
      </c>
      <c r="BL141" s="7" t="e">
        <f t="shared" si="27"/>
        <v>#N/A</v>
      </c>
    </row>
    <row r="142" spans="2:64" ht="11.25" customHeight="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7">
        <f t="shared" si="18"/>
        <v>8.3390680694073183E-7</v>
      </c>
      <c r="BA142" s="7">
        <f t="shared" si="28"/>
        <v>-4.7900000000000258</v>
      </c>
      <c r="BB142" s="7">
        <f t="shared" si="19"/>
        <v>4.1558709645306835E-6</v>
      </c>
      <c r="BC142" s="7" t="e">
        <f t="shared" si="20"/>
        <v>#N/A</v>
      </c>
      <c r="BD142" s="7">
        <f t="shared" si="21"/>
        <v>-4.7900100000000254</v>
      </c>
      <c r="BE142" s="7">
        <f t="shared" si="22"/>
        <v>-4.7899900000000262</v>
      </c>
      <c r="BF142" s="7">
        <f t="shared" si="23"/>
        <v>3.6729066367334332E-4</v>
      </c>
      <c r="BG142" s="7">
        <f t="shared" si="24"/>
        <v>3.6730171268730191E-4</v>
      </c>
      <c r="BH142" s="7" t="e">
        <f t="shared" si="25"/>
        <v>#N/A</v>
      </c>
      <c r="BI142" s="7">
        <f t="shared" si="29"/>
        <v>4.1558709645306835E-6</v>
      </c>
      <c r="BJ142" s="7">
        <f t="shared" si="26"/>
        <v>-9.9584412903546944E-4</v>
      </c>
      <c r="BK142" s="7" t="e">
        <f t="shared" si="30"/>
        <v>#N/A</v>
      </c>
      <c r="BL142" s="7" t="e">
        <f t="shared" si="27"/>
        <v>#N/A</v>
      </c>
    </row>
    <row r="143" spans="2:64" ht="11.25" customHeight="1">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7">
        <f t="shared" si="18"/>
        <v>8.7647597246665043E-7</v>
      </c>
      <c r="BA143" s="7">
        <f t="shared" si="28"/>
        <v>-4.780000000000026</v>
      </c>
      <c r="BB143" s="7">
        <f t="shared" si="19"/>
        <v>4.3595638796710937E-6</v>
      </c>
      <c r="BC143" s="7" t="e">
        <f t="shared" si="20"/>
        <v>#N/A</v>
      </c>
      <c r="BD143" s="7">
        <f t="shared" si="21"/>
        <v>-4.7800100000000256</v>
      </c>
      <c r="BE143" s="7">
        <f t="shared" si="22"/>
        <v>-4.7799900000000264</v>
      </c>
      <c r="BF143" s="7">
        <f t="shared" si="23"/>
        <v>3.7285950905919266E-4</v>
      </c>
      <c r="BG143" s="7">
        <f t="shared" si="24"/>
        <v>3.7287073628276097E-4</v>
      </c>
      <c r="BH143" s="7" t="e">
        <f t="shared" si="25"/>
        <v>#N/A</v>
      </c>
      <c r="BI143" s="7">
        <f t="shared" si="29"/>
        <v>4.3595638796710937E-6</v>
      </c>
      <c r="BJ143" s="7">
        <f t="shared" si="26"/>
        <v>-9.9564043612032898E-4</v>
      </c>
      <c r="BK143" s="7" t="e">
        <f t="shared" si="30"/>
        <v>#N/A</v>
      </c>
      <c r="BL143" s="7" t="e">
        <f t="shared" si="27"/>
        <v>#N/A</v>
      </c>
    </row>
    <row r="144" spans="2:64" ht="11.25" customHeight="1">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7">
        <f t="shared" si="18"/>
        <v>9.2112955929479767E-7</v>
      </c>
      <c r="BA144" s="7">
        <f t="shared" si="28"/>
        <v>-4.7700000000000262</v>
      </c>
      <c r="BB144" s="7">
        <f t="shared" si="19"/>
        <v>4.5727831538635669E-6</v>
      </c>
      <c r="BC144" s="7" t="e">
        <f t="shared" si="20"/>
        <v>#N/A</v>
      </c>
      <c r="BD144" s="7">
        <f t="shared" si="21"/>
        <v>-4.7700100000000258</v>
      </c>
      <c r="BE144" s="7">
        <f t="shared" si="22"/>
        <v>-4.7699900000000266</v>
      </c>
      <c r="BF144" s="7">
        <f t="shared" si="23"/>
        <v>3.7851821147830329E-4</v>
      </c>
      <c r="BG144" s="7">
        <f t="shared" si="24"/>
        <v>3.7852961993525434E-4</v>
      </c>
      <c r="BH144" s="7" t="e">
        <f t="shared" si="25"/>
        <v>#N/A</v>
      </c>
      <c r="BI144" s="7">
        <f t="shared" si="29"/>
        <v>4.5727831538635669E-6</v>
      </c>
      <c r="BJ144" s="7">
        <f t="shared" si="26"/>
        <v>-9.9542721684613643E-4</v>
      </c>
      <c r="BK144" s="7" t="e">
        <f t="shared" si="30"/>
        <v>#N/A</v>
      </c>
      <c r="BL144" s="7" t="e">
        <f t="shared" si="27"/>
        <v>#N/A</v>
      </c>
    </row>
    <row r="145" spans="2:64" ht="11.25" customHeight="1">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7">
        <f t="shared" si="18"/>
        <v>9.679646917337692E-7</v>
      </c>
      <c r="BA145" s="7">
        <f t="shared" si="28"/>
        <v>-4.7600000000000264</v>
      </c>
      <c r="BB145" s="7">
        <f t="shared" si="19"/>
        <v>4.7959510215519161E-6</v>
      </c>
      <c r="BC145" s="7" t="e">
        <f t="shared" si="20"/>
        <v>#N/A</v>
      </c>
      <c r="BD145" s="7">
        <f t="shared" si="21"/>
        <v>-4.7600100000000261</v>
      </c>
      <c r="BE145" s="7">
        <f t="shared" si="22"/>
        <v>-4.7599900000000268</v>
      </c>
      <c r="BF145" s="7">
        <f t="shared" si="23"/>
        <v>3.8426829608779269E-4</v>
      </c>
      <c r="BG145" s="7">
        <f t="shared" si="24"/>
        <v>3.8427988885524858E-4</v>
      </c>
      <c r="BH145" s="7" t="e">
        <f t="shared" si="25"/>
        <v>#N/A</v>
      </c>
      <c r="BI145" s="7">
        <f t="shared" si="29"/>
        <v>4.7959510215519161E-6</v>
      </c>
      <c r="BJ145" s="7">
        <f t="shared" si="26"/>
        <v>-9.95204048978448E-4</v>
      </c>
      <c r="BK145" s="7" t="e">
        <f t="shared" si="30"/>
        <v>#N/A</v>
      </c>
      <c r="BL145" s="7" t="e">
        <f t="shared" si="27"/>
        <v>#N/A</v>
      </c>
    </row>
    <row r="146" spans="2:64" ht="11.25" customHeight="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7">
        <f t="shared" si="18"/>
        <v>1.017083252063955E-6</v>
      </c>
      <c r="BA146" s="7">
        <f t="shared" si="28"/>
        <v>-4.7500000000000266</v>
      </c>
      <c r="BB146" s="7">
        <f t="shared" si="19"/>
        <v>5.0295072885918101E-6</v>
      </c>
      <c r="BC146" s="7" t="e">
        <f t="shared" si="20"/>
        <v>#N/A</v>
      </c>
      <c r="BD146" s="7">
        <f t="shared" si="21"/>
        <v>-4.7500100000000263</v>
      </c>
      <c r="BE146" s="7">
        <f t="shared" si="22"/>
        <v>-4.749990000000027</v>
      </c>
      <c r="BF146" s="7">
        <f t="shared" si="23"/>
        <v>3.901113149592805E-4</v>
      </c>
      <c r="BG146" s="7">
        <f t="shared" si="24"/>
        <v>3.9012309516867527E-4</v>
      </c>
      <c r="BH146" s="7" t="e">
        <f t="shared" si="25"/>
        <v>#N/A</v>
      </c>
      <c r="BI146" s="7">
        <f t="shared" si="29"/>
        <v>5.0295072885918101E-6</v>
      </c>
      <c r="BJ146" s="7">
        <f t="shared" si="26"/>
        <v>-9.9497049271140832E-4</v>
      </c>
      <c r="BK146" s="7" t="e">
        <f t="shared" si="30"/>
        <v>#N/A</v>
      </c>
      <c r="BL146" s="7" t="e">
        <f t="shared" si="27"/>
        <v>#N/A</v>
      </c>
    </row>
    <row r="147" spans="2:64" ht="11.25" customHeight="1">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7">
        <f t="shared" si="18"/>
        <v>1.0685909692664808E-6</v>
      </c>
      <c r="BA147" s="7">
        <f t="shared" si="28"/>
        <v>-4.7400000000000269</v>
      </c>
      <c r="BB147" s="7">
        <f t="shared" si="19"/>
        <v>5.2739100096006385E-6</v>
      </c>
      <c r="BC147" s="7" t="e">
        <f t="shared" si="20"/>
        <v>#N/A</v>
      </c>
      <c r="BD147" s="7">
        <f t="shared" si="21"/>
        <v>-4.7400100000000265</v>
      </c>
      <c r="BE147" s="7">
        <f t="shared" si="22"/>
        <v>-4.7399900000000272</v>
      </c>
      <c r="BF147" s="7">
        <f t="shared" si="23"/>
        <v>3.9604884756644018E-4</v>
      </c>
      <c r="BG147" s="7">
        <f t="shared" si="24"/>
        <v>3.9606081840450969E-4</v>
      </c>
      <c r="BH147" s="7" t="e">
        <f t="shared" si="25"/>
        <v>#N/A</v>
      </c>
      <c r="BI147" s="7">
        <f t="shared" si="29"/>
        <v>5.2739100096006385E-6</v>
      </c>
      <c r="BJ147" s="7">
        <f t="shared" si="26"/>
        <v>-9.9472608999039928E-4</v>
      </c>
      <c r="BK147" s="7" t="e">
        <f t="shared" si="30"/>
        <v>#N/A</v>
      </c>
      <c r="BL147" s="7" t="e">
        <f t="shared" si="27"/>
        <v>#N/A</v>
      </c>
    </row>
    <row r="148" spans="2:64" ht="11.25" customHeight="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7">
        <f t="shared" si="18"/>
        <v>1.1225991545238401E-6</v>
      </c>
      <c r="BA148" s="7">
        <f t="shared" si="28"/>
        <v>-4.7300000000000271</v>
      </c>
      <c r="BB148" s="7">
        <f t="shared" si="19"/>
        <v>5.5296361889833535E-6</v>
      </c>
      <c r="BC148" s="7" t="e">
        <f t="shared" si="20"/>
        <v>#N/A</v>
      </c>
      <c r="BD148" s="7">
        <f t="shared" si="21"/>
        <v>-4.7300100000000267</v>
      </c>
      <c r="BE148" s="7">
        <f t="shared" si="22"/>
        <v>-4.7299900000000275</v>
      </c>
      <c r="BF148" s="7">
        <f t="shared" si="23"/>
        <v>4.0208250128148887E-4</v>
      </c>
      <c r="BG148" s="7">
        <f t="shared" si="24"/>
        <v>4.0209466599126992E-4</v>
      </c>
      <c r="BH148" s="7" t="e">
        <f t="shared" si="25"/>
        <v>#N/A</v>
      </c>
      <c r="BI148" s="7">
        <f t="shared" si="29"/>
        <v>5.5296361889833535E-6</v>
      </c>
      <c r="BJ148" s="7">
        <f t="shared" si="26"/>
        <v>-9.9447036381101659E-4</v>
      </c>
      <c r="BK148" s="7" t="e">
        <f t="shared" si="30"/>
        <v>#N/A</v>
      </c>
      <c r="BL148" s="7" t="e">
        <f t="shared" si="27"/>
        <v>#N/A</v>
      </c>
    </row>
    <row r="149" spans="2:64" ht="11.25" customHeight="1">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7">
        <f t="shared" ref="AZ149:AZ212" si="31">NORMDIST(BA149,$BA$17,$BA$18,TRUE)</f>
        <v>1.1792233247653883E-6</v>
      </c>
      <c r="BA149" s="7">
        <f t="shared" si="28"/>
        <v>-4.7200000000000273</v>
      </c>
      <c r="BB149" s="7">
        <f t="shared" ref="BB149:BB212" si="32">IF($BA$13=1,NORMDIST(BA149,$BA$17,$BA$18,FALSE),NA())</f>
        <v>5.797182506356534E-6</v>
      </c>
      <c r="BC149" s="7" t="e">
        <f t="shared" ref="BC149:BC212" si="33">IF($BA$13=3,NORMDIST(BA149,$BA$17,$BA$18,FALSE),NA())</f>
        <v>#N/A</v>
      </c>
      <c r="BD149" s="7">
        <f t="shared" ref="BD149:BD212" si="34">BA149-$BD$19</f>
        <v>-4.7200100000000269</v>
      </c>
      <c r="BE149" s="7">
        <f t="shared" ref="BE149:BE212" si="35">BA149+$BD$19</f>
        <v>-4.7199900000000277</v>
      </c>
      <c r="BF149" s="7">
        <f t="shared" ref="BF149:BF212" si="36">IF(BD149&lt;0,TDIST(-BD149,$BA$14,1),1-TDIST(BD149,$BA$14,1))</f>
        <v>4.0821391188075888E-4</v>
      </c>
      <c r="BG149" s="7">
        <f t="shared" ref="BG149:BG212" si="37">IF(BE149&lt;0,TDIST(-BE149,$BA$14,1),1-TDIST(BE149,$BA$14,1))</f>
        <v>4.0822627376260691E-4</v>
      </c>
      <c r="BH149" s="7" t="e">
        <f t="shared" ref="BH149:BH212" si="38">IF($BA$13&gt;1,(BG149-BF149)/(2*$BD$19),NA())</f>
        <v>#N/A</v>
      </c>
      <c r="BI149" s="7">
        <f t="shared" si="29"/>
        <v>5.797182506356534E-6</v>
      </c>
      <c r="BJ149" s="7">
        <f t="shared" ref="BJ149:BJ212" si="39">IF(ISNUMBER(BI149),BI149-$BJ$19,NA())</f>
        <v>-9.9420281749364355E-4</v>
      </c>
      <c r="BK149" s="7" t="e">
        <f t="shared" si="30"/>
        <v>#N/A</v>
      </c>
      <c r="BL149" s="7" t="e">
        <f t="shared" ref="BL149:BL212" si="40">IF(ISNUMBER(BK149),BK149-$BL$19,NA())</f>
        <v>#N/A</v>
      </c>
    </row>
    <row r="150" spans="2:64" ht="11.25" customHeight="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7">
        <f t="shared" si="31"/>
        <v>1.2385839566197987E-6</v>
      </c>
      <c r="BA150" s="7">
        <f t="shared" ref="BA150:BA213" si="41">BA149+$BD$10</f>
        <v>-4.7100000000000275</v>
      </c>
      <c r="BB150" s="7">
        <f t="shared" si="32"/>
        <v>6.0770660671103265E-6</v>
      </c>
      <c r="BC150" s="7" t="e">
        <f t="shared" si="33"/>
        <v>#N/A</v>
      </c>
      <c r="BD150" s="7">
        <f t="shared" si="34"/>
        <v>-4.7100100000000271</v>
      </c>
      <c r="BE150" s="7">
        <f t="shared" si="35"/>
        <v>-4.7099900000000279</v>
      </c>
      <c r="BF150" s="7">
        <f t="shared" si="36"/>
        <v>4.1444474405952372E-4</v>
      </c>
      <c r="BG150" s="7">
        <f t="shared" si="37"/>
        <v>4.1445730647215356E-4</v>
      </c>
      <c r="BH150" s="7" t="e">
        <f t="shared" si="38"/>
        <v>#N/A</v>
      </c>
      <c r="BI150" s="7">
        <f t="shared" ref="BI150:BI213" si="42">IF($BA$15=1,IF(OR(AND(BA150&gt;=$BI$18,$BN$18&gt;=0),AND(BA150&lt;=-$BI$18,$BN$18&lt;0)),BB150,NA()),IF($BA$15=2,IF(ABS(BA150)&gt;=$BI$18,BB150,NA()),NA()))</f>
        <v>6.0770660671103265E-6</v>
      </c>
      <c r="BJ150" s="7">
        <f t="shared" si="39"/>
        <v>-9.9392293393288974E-4</v>
      </c>
      <c r="BK150" s="7" t="e">
        <f t="shared" ref="BK150:BK213" si="43">IF($BA$15=1,IF(OR(AND(BA150&gt;=$BK$18,$BN$18&gt;=0),AND(BA150&lt;=-$BK$18,$BN$18&lt;0)),BH150,NA()),IF($BA$15=2,IF(ABS(BA150)&gt;=$BK$18,BH150,NA()),NA()))</f>
        <v>#N/A</v>
      </c>
      <c r="BL150" s="7" t="e">
        <f t="shared" si="40"/>
        <v>#N/A</v>
      </c>
    </row>
    <row r="151" spans="2:64" ht="11.25" customHeight="1">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7">
        <f t="shared" si="31"/>
        <v>1.3008074228881839E-6</v>
      </c>
      <c r="BA151" s="7">
        <f t="shared" si="41"/>
        <v>-4.7000000000000277</v>
      </c>
      <c r="BB151" s="7">
        <f t="shared" si="32"/>
        <v>6.369825178866275E-6</v>
      </c>
      <c r="BC151" s="7" t="e">
        <f t="shared" si="33"/>
        <v>#N/A</v>
      </c>
      <c r="BD151" s="7">
        <f t="shared" si="34"/>
        <v>-4.7000100000000273</v>
      </c>
      <c r="BE151" s="7">
        <f t="shared" si="35"/>
        <v>-4.6999900000000281</v>
      </c>
      <c r="BF151" s="7">
        <f t="shared" si="36"/>
        <v>4.2077669195623887E-4</v>
      </c>
      <c r="BG151" s="7">
        <f t="shared" si="37"/>
        <v>4.2078945831778691E-4</v>
      </c>
      <c r="BH151" s="7" t="e">
        <f t="shared" si="38"/>
        <v>#N/A</v>
      </c>
      <c r="BI151" s="7">
        <f t="shared" si="42"/>
        <v>6.369825178866275E-6</v>
      </c>
      <c r="BJ151" s="7">
        <f t="shared" si="39"/>
        <v>-9.9363017482113382E-4</v>
      </c>
      <c r="BK151" s="7" t="e">
        <f t="shared" si="43"/>
        <v>#N/A</v>
      </c>
      <c r="BL151" s="7" t="e">
        <f t="shared" si="40"/>
        <v>#N/A</v>
      </c>
    </row>
    <row r="152" spans="2:64" ht="11.25" customHeight="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7">
        <f t="shared" si="31"/>
        <v>1.3660253285197044E-6</v>
      </c>
      <c r="BA152" s="7">
        <f t="shared" si="41"/>
        <v>-4.6900000000000279</v>
      </c>
      <c r="BB152" s="7">
        <f t="shared" si="32"/>
        <v>6.6760201546065952E-6</v>
      </c>
      <c r="BC152" s="7" t="e">
        <f t="shared" si="33"/>
        <v>#N/A</v>
      </c>
      <c r="BD152" s="7">
        <f t="shared" si="34"/>
        <v>-4.6900100000000275</v>
      </c>
      <c r="BE152" s="7">
        <f t="shared" si="35"/>
        <v>-4.6899900000000283</v>
      </c>
      <c r="BF152" s="7">
        <f t="shared" si="36"/>
        <v>4.2721147968638321E-4</v>
      </c>
      <c r="BG152" s="7">
        <f t="shared" si="37"/>
        <v>4.2722445347547871E-4</v>
      </c>
      <c r="BH152" s="7" t="e">
        <f t="shared" si="38"/>
        <v>#N/A</v>
      </c>
      <c r="BI152" s="7">
        <f t="shared" si="42"/>
        <v>6.6760201546065952E-6</v>
      </c>
      <c r="BJ152" s="7">
        <f t="shared" si="39"/>
        <v>-9.9332397984539336E-4</v>
      </c>
      <c r="BK152" s="7" t="e">
        <f t="shared" si="43"/>
        <v>#N/A</v>
      </c>
      <c r="BL152" s="7" t="e">
        <f t="shared" si="40"/>
        <v>#N/A</v>
      </c>
    </row>
    <row r="153" spans="2:64" ht="11.25" customHeight="1">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7">
        <f t="shared" si="31"/>
        <v>1.434374663267235E-6</v>
      </c>
      <c r="BA153" s="7">
        <f t="shared" si="41"/>
        <v>-4.6800000000000281</v>
      </c>
      <c r="BB153" s="7">
        <f t="shared" si="32"/>
        <v>6.9962341432694716E-6</v>
      </c>
      <c r="BC153" s="7" t="e">
        <f t="shared" si="33"/>
        <v>#N/A</v>
      </c>
      <c r="BD153" s="7">
        <f t="shared" si="34"/>
        <v>-4.6800100000000278</v>
      </c>
      <c r="BE153" s="7">
        <f t="shared" si="35"/>
        <v>-4.6799900000000285</v>
      </c>
      <c r="BF153" s="7">
        <f t="shared" si="36"/>
        <v>4.3375086188605395E-4</v>
      </c>
      <c r="BG153" s="7">
        <f t="shared" si="37"/>
        <v>4.3376404664291837E-4</v>
      </c>
      <c r="BH153" s="7" t="e">
        <f t="shared" si="38"/>
        <v>#N/A</v>
      </c>
      <c r="BI153" s="7">
        <f t="shared" si="42"/>
        <v>6.9962341432694716E-6</v>
      </c>
      <c r="BJ153" s="7">
        <f t="shared" si="39"/>
        <v>-9.9300376585673058E-4</v>
      </c>
      <c r="BK153" s="7" t="e">
        <f t="shared" si="43"/>
        <v>#N/A</v>
      </c>
      <c r="BL153" s="7" t="e">
        <f t="shared" si="40"/>
        <v>#N/A</v>
      </c>
    </row>
    <row r="154" spans="2:64" ht="11.25" customHeight="1">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7">
        <f t="shared" si="31"/>
        <v>1.5059986977483675E-6</v>
      </c>
      <c r="BA154" s="7">
        <f t="shared" si="41"/>
        <v>-4.6700000000000284</v>
      </c>
      <c r="BB154" s="7">
        <f t="shared" si="32"/>
        <v>7.3310739886229666E-6</v>
      </c>
      <c r="BC154" s="7" t="e">
        <f t="shared" si="33"/>
        <v>#N/A</v>
      </c>
      <c r="BD154" s="7">
        <f t="shared" si="34"/>
        <v>-4.670010000000028</v>
      </c>
      <c r="BE154" s="7">
        <f t="shared" si="35"/>
        <v>-4.6699900000000287</v>
      </c>
      <c r="BF154" s="7">
        <f t="shared" si="36"/>
        <v>4.4039662426550243E-4</v>
      </c>
      <c r="BG154" s="7">
        <f t="shared" si="37"/>
        <v>4.4041002359306762E-4</v>
      </c>
      <c r="BH154" s="7" t="e">
        <f t="shared" si="38"/>
        <v>#N/A</v>
      </c>
      <c r="BI154" s="7">
        <f t="shared" si="42"/>
        <v>7.3310739886229666E-6</v>
      </c>
      <c r="BJ154" s="7">
        <f t="shared" si="39"/>
        <v>-9.9266892601137711E-4</v>
      </c>
      <c r="BK154" s="7" t="e">
        <f t="shared" si="43"/>
        <v>#N/A</v>
      </c>
      <c r="BL154" s="7" t="e">
        <f t="shared" si="40"/>
        <v>#N/A</v>
      </c>
    </row>
    <row r="155" spans="2:64" ht="11.25" customHeight="1">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7">
        <f t="shared" si="31"/>
        <v>1.5810469959909312E-6</v>
      </c>
      <c r="BA155" s="7">
        <f t="shared" si="41"/>
        <v>-4.6600000000000286</v>
      </c>
      <c r="BB155" s="7">
        <f t="shared" si="32"/>
        <v>7.6811711172494457E-6</v>
      </c>
      <c r="BC155" s="7" t="e">
        <f t="shared" si="33"/>
        <v>#N/A</v>
      </c>
      <c r="BD155" s="7">
        <f t="shared" si="34"/>
        <v>-4.6600100000000282</v>
      </c>
      <c r="BE155" s="7">
        <f t="shared" si="35"/>
        <v>-4.6599900000000289</v>
      </c>
      <c r="BF155" s="7">
        <f t="shared" si="36"/>
        <v>4.4715058417278583E-4</v>
      </c>
      <c r="BG155" s="7">
        <f t="shared" si="37"/>
        <v>4.4716420173783217E-4</v>
      </c>
      <c r="BH155" s="7" t="e">
        <f t="shared" si="38"/>
        <v>#N/A</v>
      </c>
      <c r="BI155" s="7">
        <f t="shared" si="42"/>
        <v>7.6811711172494457E-6</v>
      </c>
      <c r="BJ155" s="7">
        <f t="shared" si="39"/>
        <v>-9.9231882888275048E-4</v>
      </c>
      <c r="BK155" s="7" t="e">
        <f t="shared" si="43"/>
        <v>#N/A</v>
      </c>
      <c r="BL155" s="7" t="e">
        <f t="shared" si="40"/>
        <v>#N/A</v>
      </c>
    </row>
    <row r="156" spans="2:64" ht="11.25" customHeight="1">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7">
        <f t="shared" si="31"/>
        <v>1.6596751990505254E-6</v>
      </c>
      <c r="BA156" s="7">
        <f t="shared" si="41"/>
        <v>-4.6500000000000288</v>
      </c>
      <c r="BB156" s="7">
        <f t="shared" si="32"/>
        <v>8.0471824564912195E-6</v>
      </c>
      <c r="BC156" s="7" t="e">
        <f t="shared" si="33"/>
        <v>#N/A</v>
      </c>
      <c r="BD156" s="7">
        <f t="shared" si="34"/>
        <v>-4.6500100000000284</v>
      </c>
      <c r="BE156" s="7">
        <f t="shared" si="35"/>
        <v>-4.6499900000000292</v>
      </c>
      <c r="BF156" s="7">
        <f t="shared" si="36"/>
        <v>4.540145911677295E-4</v>
      </c>
      <c r="BG156" s="7">
        <f t="shared" si="37"/>
        <v>4.5402843070204162E-4</v>
      </c>
      <c r="BH156" s="7" t="e">
        <f t="shared" si="38"/>
        <v>#N/A</v>
      </c>
      <c r="BI156" s="7">
        <f t="shared" si="42"/>
        <v>8.0471824564912195E-6</v>
      </c>
      <c r="BJ156" s="7">
        <f t="shared" si="39"/>
        <v>-9.9195281754350874E-4</v>
      </c>
      <c r="BK156" s="7" t="e">
        <f t="shared" si="43"/>
        <v>#N/A</v>
      </c>
      <c r="BL156" s="7" t="e">
        <f t="shared" si="40"/>
        <v>#N/A</v>
      </c>
    </row>
    <row r="157" spans="2:64" ht="11.25" customHeight="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7">
        <f t="shared" si="31"/>
        <v>1.7420459392791798E-6</v>
      </c>
      <c r="BA157" s="7">
        <f t="shared" si="41"/>
        <v>-4.640000000000029</v>
      </c>
      <c r="BB157" s="7">
        <f t="shared" si="32"/>
        <v>8.4297913832276333E-6</v>
      </c>
      <c r="BC157" s="7" t="e">
        <f t="shared" si="33"/>
        <v>#N/A</v>
      </c>
      <c r="BD157" s="7">
        <f t="shared" si="34"/>
        <v>-4.6400100000000286</v>
      </c>
      <c r="BE157" s="7">
        <f t="shared" si="35"/>
        <v>-4.6399900000000294</v>
      </c>
      <c r="BF157" s="7">
        <f t="shared" si="36"/>
        <v>4.609905276063579E-4</v>
      </c>
      <c r="BG157" s="7">
        <f t="shared" si="37"/>
        <v>4.6100459290790527E-4</v>
      </c>
      <c r="BH157" s="7" t="e">
        <f t="shared" si="38"/>
        <v>#N/A</v>
      </c>
      <c r="BI157" s="7">
        <f t="shared" si="42"/>
        <v>8.4297913832276333E-6</v>
      </c>
      <c r="BJ157" s="7">
        <f t="shared" si="39"/>
        <v>-9.9157020861677229E-4</v>
      </c>
      <c r="BK157" s="7" t="e">
        <f t="shared" si="43"/>
        <v>#N/A</v>
      </c>
      <c r="BL157" s="7" t="e">
        <f t="shared" si="40"/>
        <v>#N/A</v>
      </c>
    </row>
    <row r="158" spans="2:64" ht="11.25" customHeight="1">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7">
        <f t="shared" si="31"/>
        <v>1.8283286842279978E-6</v>
      </c>
      <c r="BA158" s="7">
        <f t="shared" si="41"/>
        <v>-4.6300000000000292</v>
      </c>
      <c r="BB158" s="7">
        <f t="shared" si="32"/>
        <v>8.8297087043728882E-6</v>
      </c>
      <c r="BC158" s="7" t="e">
        <f t="shared" si="33"/>
        <v>#N/A</v>
      </c>
      <c r="BD158" s="7">
        <f t="shared" si="34"/>
        <v>-4.6300100000000288</v>
      </c>
      <c r="BE158" s="7">
        <f t="shared" si="35"/>
        <v>-4.6299900000000296</v>
      </c>
      <c r="BF158" s="7">
        <f t="shared" si="36"/>
        <v>4.6808030923600871E-4</v>
      </c>
      <c r="BG158" s="7">
        <f t="shared" si="37"/>
        <v>4.6809460417014768E-4</v>
      </c>
      <c r="BH158" s="7" t="e">
        <f t="shared" si="38"/>
        <v>#N/A</v>
      </c>
      <c r="BI158" s="7">
        <f t="shared" si="42"/>
        <v>8.8297087043728882E-6</v>
      </c>
      <c r="BJ158" s="7">
        <f t="shared" si="39"/>
        <v>-9.9117029129562714E-4</v>
      </c>
      <c r="BK158" s="7" t="e">
        <f t="shared" si="43"/>
        <v>#N/A</v>
      </c>
      <c r="BL158" s="7" t="e">
        <f t="shared" si="40"/>
        <v>#N/A</v>
      </c>
    </row>
    <row r="159" spans="2:64" ht="11.25" customHeight="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7">
        <f t="shared" si="31"/>
        <v>1.9187002309184464E-6</v>
      </c>
      <c r="BA159" s="7">
        <f t="shared" si="41"/>
        <v>-4.6200000000000294</v>
      </c>
      <c r="BB159" s="7">
        <f t="shared" si="32"/>
        <v>9.2476736700043681E-6</v>
      </c>
      <c r="BC159" s="7" t="e">
        <f t="shared" si="33"/>
        <v>#N/A</v>
      </c>
      <c r="BD159" s="7">
        <f t="shared" si="34"/>
        <v>-4.620010000000029</v>
      </c>
      <c r="BE159" s="7">
        <f t="shared" si="35"/>
        <v>-4.6199900000000298</v>
      </c>
      <c r="BF159" s="7">
        <f t="shared" si="36"/>
        <v>4.7528588580131385E-4</v>
      </c>
      <c r="BG159" s="7">
        <f t="shared" si="37"/>
        <v>4.7530041430200948E-4</v>
      </c>
      <c r="BH159" s="7" t="e">
        <f t="shared" si="38"/>
        <v>#N/A</v>
      </c>
      <c r="BI159" s="7">
        <f t="shared" si="42"/>
        <v>9.2476736700043681E-6</v>
      </c>
      <c r="BJ159" s="7">
        <f t="shared" si="39"/>
        <v>-9.907523263299957E-4</v>
      </c>
      <c r="BK159" s="7" t="e">
        <f t="shared" si="43"/>
        <v>#N/A</v>
      </c>
      <c r="BL159" s="7" t="e">
        <f t="shared" si="40"/>
        <v>#N/A</v>
      </c>
    </row>
    <row r="160" spans="2:64" ht="11.25" customHeight="1">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7">
        <f t="shared" si="31"/>
        <v>2.0133449112336166E-6</v>
      </c>
      <c r="BA160" s="7">
        <f t="shared" si="41"/>
        <v>-4.6100000000000296</v>
      </c>
      <c r="BB160" s="7">
        <f t="shared" si="32"/>
        <v>9.6844550200501275E-6</v>
      </c>
      <c r="BC160" s="7" t="e">
        <f t="shared" si="33"/>
        <v>#N/A</v>
      </c>
      <c r="BD160" s="7">
        <f t="shared" si="34"/>
        <v>-4.6100100000000293</v>
      </c>
      <c r="BE160" s="7">
        <f t="shared" si="35"/>
        <v>-4.60999000000003</v>
      </c>
      <c r="BF160" s="7">
        <f t="shared" si="36"/>
        <v>4.8260924166122798E-4</v>
      </c>
      <c r="BG160" s="7">
        <f t="shared" si="37"/>
        <v>4.8262400773230109E-4</v>
      </c>
      <c r="BH160" s="7" t="e">
        <f t="shared" si="38"/>
        <v>#N/A</v>
      </c>
      <c r="BI160" s="7">
        <f t="shared" si="42"/>
        <v>9.6844550200501275E-6</v>
      </c>
      <c r="BJ160" s="7">
        <f t="shared" si="39"/>
        <v>-9.9031554497994992E-4</v>
      </c>
      <c r="BK160" s="7" t="e">
        <f t="shared" si="43"/>
        <v>#N/A</v>
      </c>
      <c r="BL160" s="7" t="e">
        <f t="shared" si="40"/>
        <v>#N/A</v>
      </c>
    </row>
    <row r="161" spans="2:64" ht="11.25" customHeight="1">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7">
        <f t="shared" si="31"/>
        <v>2.1124547477935351E-6</v>
      </c>
      <c r="BA161" s="7">
        <f t="shared" si="41"/>
        <v>-4.6000000000000298</v>
      </c>
      <c r="BB161" s="7">
        <f t="shared" si="32"/>
        <v>1.0140852065485354E-5</v>
      </c>
      <c r="BC161" s="7" t="e">
        <f t="shared" si="33"/>
        <v>#N/A</v>
      </c>
      <c r="BD161" s="7">
        <f t="shared" si="34"/>
        <v>-4.6000100000000295</v>
      </c>
      <c r="BE161" s="7">
        <f t="shared" si="35"/>
        <v>-4.5999900000000302</v>
      </c>
      <c r="BF161" s="7">
        <f t="shared" si="36"/>
        <v>4.9005239641733314E-4</v>
      </c>
      <c r="BG161" s="7">
        <f t="shared" si="37"/>
        <v>4.9006740413372351E-4</v>
      </c>
      <c r="BH161" s="7" t="e">
        <f t="shared" si="38"/>
        <v>#N/A</v>
      </c>
      <c r="BI161" s="7">
        <f t="shared" si="42"/>
        <v>1.0140852065485354E-5</v>
      </c>
      <c r="BJ161" s="7">
        <f t="shared" si="39"/>
        <v>-9.8985914793451473E-4</v>
      </c>
      <c r="BK161" s="7" t="e">
        <f t="shared" si="43"/>
        <v>#N/A</v>
      </c>
      <c r="BL161" s="7" t="e">
        <f t="shared" si="40"/>
        <v>#N/A</v>
      </c>
    </row>
    <row r="162" spans="2:64" ht="11.25" customHeight="1">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7">
        <f t="shared" si="31"/>
        <v>2.2162300781225497E-6</v>
      </c>
      <c r="BA162" s="7">
        <f t="shared" si="41"/>
        <v>-4.5900000000000301</v>
      </c>
      <c r="BB162" s="7">
        <f t="shared" si="32"/>
        <v>1.0617695805006919E-5</v>
      </c>
      <c r="BC162" s="7" t="e">
        <f t="shared" si="33"/>
        <v>#N/A</v>
      </c>
      <c r="BD162" s="7">
        <f t="shared" si="34"/>
        <v>-4.5900100000000297</v>
      </c>
      <c r="BE162" s="7">
        <f t="shared" si="35"/>
        <v>-4.5899900000000304</v>
      </c>
      <c r="BF162" s="7">
        <f t="shared" si="36"/>
        <v>4.9761740555357933E-4</v>
      </c>
      <c r="BG162" s="7">
        <f t="shared" si="37"/>
        <v>4.9763265906264443E-4</v>
      </c>
      <c r="BH162" s="7" t="e">
        <f t="shared" si="38"/>
        <v>#N/A</v>
      </c>
      <c r="BI162" s="7">
        <f t="shared" si="42"/>
        <v>1.0617695805006919E-5</v>
      </c>
      <c r="BJ162" s="7">
        <f t="shared" si="39"/>
        <v>-9.89382304194993E-4</v>
      </c>
      <c r="BK162" s="7" t="e">
        <f t="shared" si="43"/>
        <v>#N/A</v>
      </c>
      <c r="BL162" s="7" t="e">
        <f t="shared" si="40"/>
        <v>#N/A</v>
      </c>
    </row>
    <row r="163" spans="2:64" ht="11.25" customHeight="1">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7">
        <f t="shared" si="31"/>
        <v>2.3248796439112596E-6</v>
      </c>
      <c r="BA163" s="7">
        <f t="shared" si="41"/>
        <v>-4.5800000000000303</v>
      </c>
      <c r="BB163" s="7">
        <f t="shared" si="32"/>
        <v>1.1115850078176247E-5</v>
      </c>
      <c r="BC163" s="7" t="e">
        <f t="shared" si="33"/>
        <v>#N/A</v>
      </c>
      <c r="BD163" s="7">
        <f t="shared" si="34"/>
        <v>-4.5800100000000299</v>
      </c>
      <c r="BE163" s="7">
        <f t="shared" si="35"/>
        <v>-4.5799900000000306</v>
      </c>
      <c r="BF163" s="7">
        <f t="shared" si="36"/>
        <v>5.0530636108770842E-4</v>
      </c>
      <c r="BG163" s="7">
        <f t="shared" si="37"/>
        <v>5.0532186461053181E-4</v>
      </c>
      <c r="BH163" s="7" t="e">
        <f t="shared" si="38"/>
        <v>#N/A</v>
      </c>
      <c r="BI163" s="7">
        <f t="shared" si="42"/>
        <v>1.1115850078176247E-5</v>
      </c>
      <c r="BJ163" s="7">
        <f t="shared" si="39"/>
        <v>-9.8888414992182386E-4</v>
      </c>
      <c r="BK163" s="7" t="e">
        <f t="shared" si="43"/>
        <v>#N/A</v>
      </c>
      <c r="BL163" s="7" t="e">
        <f t="shared" si="40"/>
        <v>#N/A</v>
      </c>
    </row>
    <row r="164" spans="2:64" ht="11.25" customHeight="1">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7">
        <f t="shared" si="31"/>
        <v>2.4386210435434208E-6</v>
      </c>
      <c r="BA164" s="7">
        <f t="shared" si="41"/>
        <v>-4.5700000000000305</v>
      </c>
      <c r="BB164" s="7">
        <f t="shared" si="32"/>
        <v>1.1636212756041055E-5</v>
      </c>
      <c r="BC164" s="7" t="e">
        <f t="shared" si="33"/>
        <v>#N/A</v>
      </c>
      <c r="BD164" s="7">
        <f t="shared" si="34"/>
        <v>-4.5700100000000301</v>
      </c>
      <c r="BE164" s="7">
        <f t="shared" si="35"/>
        <v>-4.5699900000000309</v>
      </c>
      <c r="BF164" s="7">
        <f t="shared" si="36"/>
        <v>5.1312139223453897E-4</v>
      </c>
      <c r="BG164" s="7">
        <f t="shared" si="37"/>
        <v>5.1313715006727056E-4</v>
      </c>
      <c r="BH164" s="7" t="e">
        <f t="shared" si="38"/>
        <v>#N/A</v>
      </c>
      <c r="BI164" s="7">
        <f t="shared" si="42"/>
        <v>1.1636212756041055E-5</v>
      </c>
      <c r="BJ164" s="7">
        <f t="shared" si="39"/>
        <v>-9.8836378724395896E-4</v>
      </c>
      <c r="BK164" s="7" t="e">
        <f t="shared" si="43"/>
        <v>#N/A</v>
      </c>
      <c r="BL164" s="7" t="e">
        <f t="shared" si="40"/>
        <v>#N/A</v>
      </c>
    </row>
    <row r="165" spans="2:64" ht="11.25" customHeight="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7">
        <f t="shared" si="31"/>
        <v>2.5576810460670174E-6</v>
      </c>
      <c r="BA165" s="7">
        <f t="shared" si="41"/>
        <v>-4.5600000000000307</v>
      </c>
      <c r="BB165" s="7">
        <f t="shared" si="32"/>
        <v>1.2179716970266988E-5</v>
      </c>
      <c r="BC165" s="7" t="e">
        <f t="shared" si="33"/>
        <v>#N/A</v>
      </c>
      <c r="BD165" s="7">
        <f t="shared" si="34"/>
        <v>-4.5600100000000303</v>
      </c>
      <c r="BE165" s="7">
        <f t="shared" si="35"/>
        <v>-4.5599900000000311</v>
      </c>
      <c r="BF165" s="7">
        <f t="shared" si="36"/>
        <v>5.2106466608133376E-4</v>
      </c>
      <c r="BG165" s="7">
        <f t="shared" si="37"/>
        <v>5.210806825965543E-4</v>
      </c>
      <c r="BH165" s="7" t="e">
        <f t="shared" si="38"/>
        <v>#N/A</v>
      </c>
      <c r="BI165" s="7">
        <f t="shared" si="42"/>
        <v>1.2179716970266988E-5</v>
      </c>
      <c r="BJ165" s="7">
        <f t="shared" si="39"/>
        <v>-9.8782028302973304E-4</v>
      </c>
      <c r="BK165" s="7" t="e">
        <f t="shared" si="43"/>
        <v>#N/A</v>
      </c>
      <c r="BL165" s="7" t="e">
        <f t="shared" si="40"/>
        <v>#N/A</v>
      </c>
    </row>
    <row r="166" spans="2:64" ht="11.25" customHeight="1">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7">
        <f t="shared" si="31"/>
        <v>2.6822957674976777E-6</v>
      </c>
      <c r="BA166" s="7">
        <f t="shared" si="41"/>
        <v>-4.5500000000000309</v>
      </c>
      <c r="BB166" s="7">
        <f t="shared" si="32"/>
        <v>1.274733238183165E-5</v>
      </c>
      <c r="BC166" s="7" t="e">
        <f t="shared" si="33"/>
        <v>#N/A</v>
      </c>
      <c r="BD166" s="7">
        <f t="shared" si="34"/>
        <v>-4.5500100000000305</v>
      </c>
      <c r="BE166" s="7">
        <f t="shared" si="35"/>
        <v>-4.5499900000000313</v>
      </c>
      <c r="BF166" s="7">
        <f t="shared" si="36"/>
        <v>5.2913838827547044E-4</v>
      </c>
      <c r="BG166" s="7">
        <f t="shared" si="37"/>
        <v>5.2915466792358026E-4</v>
      </c>
      <c r="BH166" s="7" t="e">
        <f t="shared" si="38"/>
        <v>#N/A</v>
      </c>
      <c r="BI166" s="7">
        <f t="shared" si="42"/>
        <v>1.274733238183165E-5</v>
      </c>
      <c r="BJ166" s="7">
        <f t="shared" si="39"/>
        <v>-9.8725266761816831E-4</v>
      </c>
      <c r="BK166" s="7" t="e">
        <f t="shared" si="43"/>
        <v>#N/A</v>
      </c>
      <c r="BL166" s="7" t="e">
        <f t="shared" si="40"/>
        <v>#N/A</v>
      </c>
    </row>
    <row r="167" spans="2:64" ht="11.25" customHeight="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7">
        <f t="shared" si="31"/>
        <v>2.8127114002352016E-6</v>
      </c>
      <c r="BA167" s="7">
        <f t="shared" si="41"/>
        <v>-4.5400000000000311</v>
      </c>
      <c r="BB167" s="7">
        <f t="shared" si="32"/>
        <v>1.3340066490353941E-5</v>
      </c>
      <c r="BC167" s="7" t="e">
        <f t="shared" si="33"/>
        <v>#N/A</v>
      </c>
      <c r="BD167" s="7">
        <f t="shared" si="34"/>
        <v>-4.5400100000000307</v>
      </c>
      <c r="BE167" s="7">
        <f t="shared" si="35"/>
        <v>-4.5399900000000315</v>
      </c>
      <c r="BF167" s="7">
        <f t="shared" si="36"/>
        <v>5.3734480372462834E-4</v>
      </c>
      <c r="BG167" s="7">
        <f t="shared" si="37"/>
        <v>5.3736135103525325E-4</v>
      </c>
      <c r="BH167" s="7" t="e">
        <f t="shared" si="38"/>
        <v>#N/A</v>
      </c>
      <c r="BI167" s="7">
        <f t="shared" si="42"/>
        <v>1.3340066490353941E-5</v>
      </c>
      <c r="BJ167" s="7">
        <f t="shared" si="39"/>
        <v>-9.8665993350964608E-4</v>
      </c>
      <c r="BK167" s="7" t="e">
        <f t="shared" si="43"/>
        <v>#N/A</v>
      </c>
      <c r="BL167" s="7" t="e">
        <f t="shared" si="40"/>
        <v>#N/A</v>
      </c>
    </row>
    <row r="168" spans="2:64" ht="11.25" customHeight="1">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7">
        <f t="shared" si="31"/>
        <v>2.9491843537288176E-6</v>
      </c>
      <c r="BA168" s="7">
        <f t="shared" si="41"/>
        <v>-4.5300000000000313</v>
      </c>
      <c r="BB168" s="7">
        <f t="shared" si="32"/>
        <v>1.3958965985152786E-5</v>
      </c>
      <c r="BC168" s="7" t="e">
        <f t="shared" si="33"/>
        <v>#N/A</v>
      </c>
      <c r="BD168" s="7">
        <f t="shared" si="34"/>
        <v>-4.530010000000031</v>
      </c>
      <c r="BE168" s="7">
        <f t="shared" si="35"/>
        <v>-4.5299900000000317</v>
      </c>
      <c r="BF168" s="7">
        <f t="shared" si="36"/>
        <v>5.4568619730970588E-4</v>
      </c>
      <c r="BG168" s="7">
        <f t="shared" si="37"/>
        <v>5.4570301689314522E-4</v>
      </c>
      <c r="BH168" s="7" t="e">
        <f t="shared" si="38"/>
        <v>#N/A</v>
      </c>
      <c r="BI168" s="7">
        <f t="shared" si="42"/>
        <v>1.3958965985152786E-5</v>
      </c>
      <c r="BJ168" s="7">
        <f t="shared" si="39"/>
        <v>-9.8604103401484715E-4</v>
      </c>
      <c r="BK168" s="7" t="e">
        <f t="shared" si="43"/>
        <v>#N/A</v>
      </c>
      <c r="BL168" s="7" t="e">
        <f t="shared" si="40"/>
        <v>#N/A</v>
      </c>
    </row>
    <row r="169" spans="2:64" ht="11.25" customHeight="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7">
        <f t="shared" si="31"/>
        <v>3.0919815484642399E-6</v>
      </c>
      <c r="BA169" s="7">
        <f t="shared" si="41"/>
        <v>-4.5200000000000315</v>
      </c>
      <c r="BB169" s="7">
        <f t="shared" si="32"/>
        <v>1.4605118139150813E-5</v>
      </c>
      <c r="BC169" s="7" t="e">
        <f t="shared" si="33"/>
        <v>#N/A</v>
      </c>
      <c r="BD169" s="7">
        <f t="shared" si="34"/>
        <v>-4.5200100000000312</v>
      </c>
      <c r="BE169" s="7">
        <f t="shared" si="35"/>
        <v>-4.5199900000000319</v>
      </c>
      <c r="BF169" s="7">
        <f t="shared" si="36"/>
        <v>5.5416489461071277E-4</v>
      </c>
      <c r="BG169" s="7">
        <f t="shared" si="37"/>
        <v>5.5418199115939929E-4</v>
      </c>
      <c r="BH169" s="7" t="e">
        <f t="shared" si="38"/>
        <v>#N/A</v>
      </c>
      <c r="BI169" s="7">
        <f t="shared" si="42"/>
        <v>1.4605118139150813E-5</v>
      </c>
      <c r="BJ169" s="7">
        <f t="shared" si="39"/>
        <v>-9.8539488186084922E-4</v>
      </c>
      <c r="BK169" s="7" t="e">
        <f t="shared" si="43"/>
        <v>#N/A</v>
      </c>
      <c r="BL169" s="7" t="e">
        <f t="shared" si="40"/>
        <v>#N/A</v>
      </c>
    </row>
    <row r="170" spans="2:64" ht="11.25" customHeight="1">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7">
        <f t="shared" si="31"/>
        <v>3.2413813275677938E-6</v>
      </c>
      <c r="BA170" s="7">
        <f t="shared" si="41"/>
        <v>-4.5100000000000318</v>
      </c>
      <c r="BB170" s="7">
        <f t="shared" si="32"/>
        <v>1.5279652246759421E-5</v>
      </c>
      <c r="BC170" s="7" t="e">
        <f t="shared" si="33"/>
        <v>#N/A</v>
      </c>
      <c r="BD170" s="7">
        <f t="shared" si="34"/>
        <v>-4.5100100000000314</v>
      </c>
      <c r="BE170" s="7">
        <f t="shared" si="35"/>
        <v>-4.5099900000000321</v>
      </c>
      <c r="BF170" s="7">
        <f t="shared" si="36"/>
        <v>5.6278326264585404E-4</v>
      </c>
      <c r="BG170" s="7">
        <f t="shared" si="37"/>
        <v>5.6280064093584587E-4</v>
      </c>
      <c r="BH170" s="7" t="e">
        <f t="shared" si="38"/>
        <v>#N/A</v>
      </c>
      <c r="BI170" s="7">
        <f t="shared" si="42"/>
        <v>1.5279652246759421E-5</v>
      </c>
      <c r="BJ170" s="7">
        <f t="shared" si="39"/>
        <v>-9.8472034775324061E-4</v>
      </c>
      <c r="BK170" s="7" t="e">
        <f t="shared" si="43"/>
        <v>#N/A</v>
      </c>
      <c r="BL170" s="7" t="e">
        <f t="shared" si="40"/>
        <v>#N/A</v>
      </c>
    </row>
    <row r="171" spans="2:64" ht="11.25" customHeight="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7">
        <f t="shared" si="31"/>
        <v>3.3976731589335785E-6</v>
      </c>
      <c r="BA171" s="7">
        <f t="shared" si="41"/>
        <v>-4.500000000000032</v>
      </c>
      <c r="BB171" s="7">
        <f t="shared" si="32"/>
        <v>1.5983741106903174E-5</v>
      </c>
      <c r="BC171" s="7" t="e">
        <f t="shared" si="33"/>
        <v>#N/A</v>
      </c>
      <c r="BD171" s="7">
        <f t="shared" si="34"/>
        <v>-4.5000100000000316</v>
      </c>
      <c r="BE171" s="7">
        <f t="shared" si="35"/>
        <v>-4.4999900000000324</v>
      </c>
      <c r="BF171" s="7">
        <f t="shared" si="36"/>
        <v>5.7154371062403898E-4</v>
      </c>
      <c r="BG171" s="7">
        <f t="shared" si="37"/>
        <v>5.7156137551653773E-4</v>
      </c>
      <c r="BH171" s="7" t="e">
        <f t="shared" si="38"/>
        <v>#N/A</v>
      </c>
      <c r="BI171" s="7">
        <f t="shared" si="42"/>
        <v>1.5983741106903174E-5</v>
      </c>
      <c r="BJ171" s="7">
        <f t="shared" si="39"/>
        <v>-9.8401625889309695E-4</v>
      </c>
      <c r="BK171" s="7" t="e">
        <f t="shared" si="43"/>
        <v>#N/A</v>
      </c>
      <c r="BL171" s="7" t="e">
        <f t="shared" si="40"/>
        <v>#N/A</v>
      </c>
    </row>
    <row r="172" spans="2:64" ht="11.25" customHeight="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7">
        <f t="shared" si="31"/>
        <v>3.5611586874928491E-6</v>
      </c>
      <c r="BA172" s="7">
        <f t="shared" si="41"/>
        <v>-4.4900000000000322</v>
      </c>
      <c r="BB172" s="7">
        <f t="shared" si="32"/>
        <v>1.6718602552362692E-5</v>
      </c>
      <c r="BC172" s="7" t="e">
        <f t="shared" si="33"/>
        <v>#N/A</v>
      </c>
      <c r="BD172" s="7">
        <f t="shared" si="34"/>
        <v>-4.4900100000000318</v>
      </c>
      <c r="BE172" s="7">
        <f t="shared" si="35"/>
        <v>-4.4899900000000326</v>
      </c>
      <c r="BF172" s="7">
        <f t="shared" si="36"/>
        <v>5.8044869071105358E-4</v>
      </c>
      <c r="BG172" s="7">
        <f t="shared" si="37"/>
        <v>5.8046664715395485E-4</v>
      </c>
      <c r="BH172" s="7" t="e">
        <f t="shared" si="38"/>
        <v>#N/A</v>
      </c>
      <c r="BI172" s="7">
        <f t="shared" si="42"/>
        <v>1.6718602552362692E-5</v>
      </c>
      <c r="BJ172" s="7">
        <f t="shared" si="39"/>
        <v>-9.8328139744763743E-4</v>
      </c>
      <c r="BK172" s="7" t="e">
        <f t="shared" si="43"/>
        <v>#N/A</v>
      </c>
      <c r="BL172" s="7" t="e">
        <f t="shared" si="40"/>
        <v>#N/A</v>
      </c>
    </row>
    <row r="173" spans="2:64" ht="11.25" customHeight="1">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7">
        <f t="shared" si="31"/>
        <v>3.7321519733568564E-6</v>
      </c>
      <c r="BA173" s="7">
        <f t="shared" si="41"/>
        <v>-4.4800000000000324</v>
      </c>
      <c r="BB173" s="7">
        <f t="shared" si="32"/>
        <v>1.7485501026636618E-5</v>
      </c>
      <c r="BC173" s="7" t="e">
        <f t="shared" si="33"/>
        <v>#N/A</v>
      </c>
      <c r="BD173" s="7">
        <f t="shared" si="34"/>
        <v>-4.480010000000032</v>
      </c>
      <c r="BE173" s="7">
        <f t="shared" si="35"/>
        <v>-4.4799900000000328</v>
      </c>
      <c r="BF173" s="7">
        <f t="shared" si="36"/>
        <v>5.8950069880964922E-4</v>
      </c>
      <c r="BG173" s="7">
        <f t="shared" si="37"/>
        <v>5.8951895183911016E-4</v>
      </c>
      <c r="BH173" s="7" t="e">
        <f t="shared" si="38"/>
        <v>#N/A</v>
      </c>
      <c r="BI173" s="7">
        <f t="shared" si="42"/>
        <v>1.7485501026636618E-5</v>
      </c>
      <c r="BJ173" s="7">
        <f t="shared" si="39"/>
        <v>-9.8251449897336337E-4</v>
      </c>
      <c r="BK173" s="7" t="e">
        <f t="shared" si="43"/>
        <v>#N/A</v>
      </c>
      <c r="BL173" s="7" t="e">
        <f t="shared" si="40"/>
        <v>#N/A</v>
      </c>
    </row>
    <row r="174" spans="2:64" ht="11.25" customHeight="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7">
        <f t="shared" si="31"/>
        <v>3.9109798901648674E-6</v>
      </c>
      <c r="BA174" s="7">
        <f t="shared" si="41"/>
        <v>-4.4700000000000326</v>
      </c>
      <c r="BB174" s="7">
        <f t="shared" si="32"/>
        <v>1.828574920954468E-5</v>
      </c>
      <c r="BC174" s="7" t="e">
        <f t="shared" si="33"/>
        <v>#N/A</v>
      </c>
      <c r="BD174" s="7">
        <f t="shared" si="34"/>
        <v>-4.4700100000000322</v>
      </c>
      <c r="BE174" s="7">
        <f t="shared" si="35"/>
        <v>-4.469990000000033</v>
      </c>
      <c r="BF174" s="7">
        <f t="shared" si="36"/>
        <v>5.9870227535376724E-4</v>
      </c>
      <c r="BG174" s="7">
        <f t="shared" si="37"/>
        <v>5.9872083009581529E-4</v>
      </c>
      <c r="BH174" s="7" t="e">
        <f t="shared" si="38"/>
        <v>#N/A</v>
      </c>
      <c r="BI174" s="7">
        <f t="shared" si="42"/>
        <v>1.828574920954468E-5</v>
      </c>
      <c r="BJ174" s="7">
        <f t="shared" si="39"/>
        <v>-9.8171425079045531E-4</v>
      </c>
      <c r="BK174" s="7" t="e">
        <f t="shared" si="43"/>
        <v>#N/A</v>
      </c>
      <c r="BL174" s="7" t="e">
        <f t="shared" si="40"/>
        <v>#N/A</v>
      </c>
    </row>
    <row r="175" spans="2:64" ht="11.25" customHeight="1">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7">
        <f t="shared" si="31"/>
        <v>4.0979826714249157E-6</v>
      </c>
      <c r="BA175" s="7">
        <f t="shared" si="41"/>
        <v>-4.4600000000000328</v>
      </c>
      <c r="BB175" s="7">
        <f t="shared" si="32"/>
        <v>1.9120709692814949E-5</v>
      </c>
      <c r="BC175" s="7" t="e">
        <f t="shared" si="33"/>
        <v>#N/A</v>
      </c>
      <c r="BD175" s="7">
        <f t="shared" si="34"/>
        <v>-4.4600100000000324</v>
      </c>
      <c r="BE175" s="7">
        <f t="shared" si="35"/>
        <v>-4.4599900000000332</v>
      </c>
      <c r="BF175" s="7">
        <f t="shared" si="36"/>
        <v>6.0805600611717582E-4</v>
      </c>
      <c r="BG175" s="7">
        <f t="shared" si="37"/>
        <v>6.0807486778933638E-4</v>
      </c>
      <c r="BH175" s="7" t="e">
        <f t="shared" si="38"/>
        <v>#N/A</v>
      </c>
      <c r="BI175" s="7">
        <f t="shared" si="42"/>
        <v>1.9120709692814949E-5</v>
      </c>
      <c r="BJ175" s="7">
        <f t="shared" si="39"/>
        <v>-9.8087929030718501E-4</v>
      </c>
      <c r="BK175" s="7" t="e">
        <f t="shared" si="43"/>
        <v>#N/A</v>
      </c>
      <c r="BL175" s="7" t="e">
        <f t="shared" si="40"/>
        <v>#N/A</v>
      </c>
    </row>
    <row r="176" spans="2:64" ht="11.25" customHeight="1">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7">
        <f t="shared" si="31"/>
        <v>4.293514486053418E-6</v>
      </c>
      <c r="BA176" s="7">
        <f t="shared" si="41"/>
        <v>-4.450000000000033</v>
      </c>
      <c r="BB176" s="7">
        <f t="shared" si="32"/>
        <v>1.9991796706919877E-5</v>
      </c>
      <c r="BC176" s="7" t="e">
        <f t="shared" si="33"/>
        <v>#N/A</v>
      </c>
      <c r="BD176" s="7">
        <f t="shared" si="34"/>
        <v>-4.4500100000000327</v>
      </c>
      <c r="BE176" s="7">
        <f t="shared" si="35"/>
        <v>-4.4499900000000334</v>
      </c>
      <c r="BF176" s="7">
        <f t="shared" si="36"/>
        <v>6.1756452303675521E-4</v>
      </c>
      <c r="BG176" s="7">
        <f t="shared" si="37"/>
        <v>6.175836969497155E-4</v>
      </c>
      <c r="BH176" s="7" t="e">
        <f t="shared" si="38"/>
        <v>#N/A</v>
      </c>
      <c r="BI176" s="7">
        <f t="shared" si="42"/>
        <v>1.9991796706919877E-5</v>
      </c>
      <c r="BJ176" s="7">
        <f t="shared" si="39"/>
        <v>-9.8000820329308016E-4</v>
      </c>
      <c r="BK176" s="7" t="e">
        <f t="shared" si="43"/>
        <v>#N/A</v>
      </c>
      <c r="BL176" s="7" t="e">
        <f t="shared" si="40"/>
        <v>#N/A</v>
      </c>
    </row>
    <row r="177" spans="2:64" ht="11.25" customHeight="1">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7">
        <f t="shared" si="31"/>
        <v>4.4979438904579894E-6</v>
      </c>
      <c r="BA177" s="7">
        <f t="shared" si="41"/>
        <v>-4.4400000000000333</v>
      </c>
      <c r="BB177" s="7">
        <f t="shared" si="32"/>
        <v>2.0900477900447358E-5</v>
      </c>
      <c r="BC177" s="7" t="e">
        <f t="shared" si="33"/>
        <v>#N/A</v>
      </c>
      <c r="BD177" s="7">
        <f t="shared" si="34"/>
        <v>-4.4400100000000329</v>
      </c>
      <c r="BE177" s="7">
        <f t="shared" si="35"/>
        <v>-4.4399900000000336</v>
      </c>
      <c r="BF177" s="7">
        <f t="shared" si="36"/>
        <v>6.272305050506866E-4</v>
      </c>
      <c r="BG177" s="7">
        <f t="shared" si="37"/>
        <v>6.2724999660998797E-4</v>
      </c>
      <c r="BH177" s="7" t="e">
        <f t="shared" si="38"/>
        <v>#N/A</v>
      </c>
      <c r="BI177" s="7">
        <f t="shared" si="42"/>
        <v>2.0900477900447358E-5</v>
      </c>
      <c r="BJ177" s="7">
        <f t="shared" si="39"/>
        <v>-9.790995220995526E-4</v>
      </c>
      <c r="BK177" s="7" t="e">
        <f t="shared" si="43"/>
        <v>#N/A</v>
      </c>
      <c r="BL177" s="7" t="e">
        <f t="shared" si="40"/>
        <v>#N/A</v>
      </c>
    </row>
    <row r="178" spans="2:64" ht="11.25" customHeight="1">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7">
        <f t="shared" si="31"/>
        <v>4.7116544289460549E-6</v>
      </c>
      <c r="BA178" s="7">
        <f t="shared" si="41"/>
        <v>-4.4300000000000335</v>
      </c>
      <c r="BB178" s="7">
        <f t="shared" si="32"/>
        <v>2.1848276173313207E-5</v>
      </c>
      <c r="BC178" s="7" t="e">
        <f t="shared" si="33"/>
        <v>#N/A</v>
      </c>
      <c r="BD178" s="7">
        <f t="shared" si="34"/>
        <v>-4.4300100000000331</v>
      </c>
      <c r="BE178" s="7">
        <f t="shared" si="35"/>
        <v>-4.4299900000000338</v>
      </c>
      <c r="BF178" s="7">
        <f t="shared" si="36"/>
        <v>6.370566789518277E-4</v>
      </c>
      <c r="BG178" s="7">
        <f t="shared" si="37"/>
        <v>6.3707649365958238E-4</v>
      </c>
      <c r="BH178" s="7" t="e">
        <f t="shared" si="38"/>
        <v>#N/A</v>
      </c>
      <c r="BI178" s="7">
        <f t="shared" si="42"/>
        <v>2.1848276173313207E-5</v>
      </c>
      <c r="BJ178" s="7">
        <f t="shared" si="39"/>
        <v>-9.7815172382668676E-4</v>
      </c>
      <c r="BK178" s="7" t="e">
        <f t="shared" si="43"/>
        <v>#N/A</v>
      </c>
      <c r="BL178" s="7" t="e">
        <f t="shared" si="40"/>
        <v>#N/A</v>
      </c>
    </row>
    <row r="179" spans="2:64" ht="11.25" customHeight="1">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7">
        <f t="shared" si="31"/>
        <v>4.935045057719023E-6</v>
      </c>
      <c r="BA179" s="7">
        <f t="shared" si="41"/>
        <v>-4.4200000000000337</v>
      </c>
      <c r="BB179" s="7">
        <f t="shared" si="32"/>
        <v>2.2836771565143512E-5</v>
      </c>
      <c r="BC179" s="7" t="e">
        <f t="shared" si="33"/>
        <v>#N/A</v>
      </c>
      <c r="BD179" s="7">
        <f t="shared" si="34"/>
        <v>-4.4200100000000333</v>
      </c>
      <c r="BE179" s="7">
        <f t="shared" si="35"/>
        <v>-4.4199900000000341</v>
      </c>
      <c r="BF179" s="7">
        <f t="shared" si="36"/>
        <v>6.4704582025650308E-4</v>
      </c>
      <c r="BG179" s="7">
        <f t="shared" si="37"/>
        <v>6.4706596371315382E-4</v>
      </c>
      <c r="BH179" s="7" t="e">
        <f t="shared" si="38"/>
        <v>#N/A</v>
      </c>
      <c r="BI179" s="7">
        <f t="shared" si="42"/>
        <v>2.2836771565143512E-5</v>
      </c>
      <c r="BJ179" s="7">
        <f t="shared" si="39"/>
        <v>-9.7716322843485661E-4</v>
      </c>
      <c r="BK179" s="7" t="e">
        <f t="shared" si="43"/>
        <v>#N/A</v>
      </c>
      <c r="BL179" s="7" t="e">
        <f t="shared" si="40"/>
        <v>#N/A</v>
      </c>
    </row>
    <row r="180" spans="2:64" ht="11.25" customHeight="1">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7">
        <f t="shared" si="31"/>
        <v>5.1685309424565062E-6</v>
      </c>
      <c r="BA180" s="7">
        <f t="shared" si="41"/>
        <v>-4.4100000000000339</v>
      </c>
      <c r="BB180" s="7">
        <f t="shared" si="32"/>
        <v>2.3867603200176034E-5</v>
      </c>
      <c r="BC180" s="7" t="e">
        <f t="shared" si="33"/>
        <v>#N/A</v>
      </c>
      <c r="BD180" s="7">
        <f t="shared" si="34"/>
        <v>-4.4100100000000335</v>
      </c>
      <c r="BE180" s="7">
        <f t="shared" si="35"/>
        <v>-4.4099900000000343</v>
      </c>
      <c r="BF180" s="7">
        <f t="shared" si="36"/>
        <v>6.5720075408901599E-4</v>
      </c>
      <c r="BG180" s="7">
        <f t="shared" si="37"/>
        <v>6.5722123199511858E-4</v>
      </c>
      <c r="BH180" s="7" t="e">
        <f t="shared" si="38"/>
        <v>#N/A</v>
      </c>
      <c r="BI180" s="7">
        <f t="shared" si="42"/>
        <v>2.3867603200176034E-5</v>
      </c>
      <c r="BJ180" s="7">
        <f t="shared" si="39"/>
        <v>-9.7613239679982401E-4</v>
      </c>
      <c r="BK180" s="7" t="e">
        <f t="shared" si="43"/>
        <v>#N/A</v>
      </c>
      <c r="BL180" s="7" t="e">
        <f t="shared" si="40"/>
        <v>#N/A</v>
      </c>
    </row>
    <row r="181" spans="2:64" ht="11.25" customHeight="1">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7">
        <f t="shared" si="31"/>
        <v>5.4125438915253454E-6</v>
      </c>
      <c r="BA181" s="7">
        <f t="shared" si="41"/>
        <v>-4.4000000000000341</v>
      </c>
      <c r="BB181" s="7">
        <f t="shared" si="32"/>
        <v>2.4942471290049805E-5</v>
      </c>
      <c r="BC181" s="7" t="e">
        <f t="shared" si="33"/>
        <v>#N/A</v>
      </c>
      <c r="BD181" s="7">
        <f t="shared" si="34"/>
        <v>-4.4000100000000337</v>
      </c>
      <c r="BE181" s="7">
        <f t="shared" si="35"/>
        <v>-4.3999900000000345</v>
      </c>
      <c r="BF181" s="7">
        <f t="shared" si="36"/>
        <v>6.6752435608213379E-4</v>
      </c>
      <c r="BG181" s="7">
        <f t="shared" si="37"/>
        <v>6.6754517424017358E-4</v>
      </c>
      <c r="BH181" s="7" t="e">
        <f t="shared" si="38"/>
        <v>#N/A</v>
      </c>
      <c r="BI181" s="7">
        <f t="shared" si="42"/>
        <v>2.4942471290049805E-5</v>
      </c>
      <c r="BJ181" s="7">
        <f t="shared" si="39"/>
        <v>-9.7505752870995026E-4</v>
      </c>
      <c r="BK181" s="7" t="e">
        <f t="shared" si="43"/>
        <v>#N/A</v>
      </c>
      <c r="BL181" s="7" t="e">
        <f t="shared" si="40"/>
        <v>#N/A</v>
      </c>
    </row>
    <row r="182" spans="2:64" ht="11.25" customHeight="1">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7">
        <f t="shared" si="31"/>
        <v>5.6675330759592413E-6</v>
      </c>
      <c r="BA182" s="7">
        <f t="shared" si="41"/>
        <v>-4.3900000000000343</v>
      </c>
      <c r="BB182" s="7">
        <f t="shared" si="32"/>
        <v>2.6063139195874405E-5</v>
      </c>
      <c r="BC182" s="7" t="e">
        <f t="shared" si="33"/>
        <v>#N/A</v>
      </c>
      <c r="BD182" s="7">
        <f t="shared" si="34"/>
        <v>-4.3900100000000339</v>
      </c>
      <c r="BE182" s="7">
        <f t="shared" si="35"/>
        <v>-4.3899900000000347</v>
      </c>
      <c r="BF182" s="7">
        <f t="shared" si="36"/>
        <v>6.7801955329383303E-4</v>
      </c>
      <c r="BG182" s="7">
        <f t="shared" si="37"/>
        <v>6.7804071761007464E-4</v>
      </c>
      <c r="BH182" s="7" t="e">
        <f t="shared" si="38"/>
        <v>#N/A</v>
      </c>
      <c r="BI182" s="7">
        <f t="shared" si="42"/>
        <v>2.6063139195874405E-5</v>
      </c>
      <c r="BJ182" s="7">
        <f t="shared" si="39"/>
        <v>-9.7393686080412558E-4</v>
      </c>
      <c r="BK182" s="7" t="e">
        <f t="shared" si="43"/>
        <v>#N/A</v>
      </c>
      <c r="BL182" s="7" t="e">
        <f t="shared" si="40"/>
        <v>#N/A</v>
      </c>
    </row>
    <row r="183" spans="2:64" ht="11.25" customHeight="1">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7">
        <f t="shared" si="31"/>
        <v>5.9339654663315144E-6</v>
      </c>
      <c r="BA183" s="7">
        <f t="shared" si="41"/>
        <v>-4.3800000000000345</v>
      </c>
      <c r="BB183" s="7">
        <f t="shared" si="32"/>
        <v>2.7231435550988492E-5</v>
      </c>
      <c r="BC183" s="7" t="e">
        <f t="shared" si="33"/>
        <v>#N/A</v>
      </c>
      <c r="BD183" s="7">
        <f t="shared" si="34"/>
        <v>-4.3800100000000342</v>
      </c>
      <c r="BE183" s="7">
        <f t="shared" si="35"/>
        <v>-4.3799900000000349</v>
      </c>
      <c r="BF183" s="7">
        <f t="shared" si="36"/>
        <v>6.8868932514057758E-4</v>
      </c>
      <c r="BG183" s="7">
        <f t="shared" si="37"/>
        <v>6.8871084162694959E-4</v>
      </c>
      <c r="BH183" s="7" t="e">
        <f t="shared" si="38"/>
        <v>#N/A</v>
      </c>
      <c r="BI183" s="7">
        <f t="shared" si="42"/>
        <v>2.7231435550988492E-5</v>
      </c>
      <c r="BJ183" s="7">
        <f t="shared" si="39"/>
        <v>-9.7276856444901156E-4</v>
      </c>
      <c r="BK183" s="7" t="e">
        <f t="shared" si="43"/>
        <v>#N/A</v>
      </c>
      <c r="BL183" s="7" t="e">
        <f t="shared" si="40"/>
        <v>#N/A</v>
      </c>
    </row>
    <row r="184" spans="2:64" ht="11.25" customHeight="1">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7">
        <f t="shared" si="31"/>
        <v>6.2123268274039134E-6</v>
      </c>
      <c r="BA184" s="7">
        <f t="shared" si="41"/>
        <v>-4.3700000000000347</v>
      </c>
      <c r="BB184" s="7">
        <f t="shared" si="32"/>
        <v>2.8449256445840005E-5</v>
      </c>
      <c r="BC184" s="7" t="e">
        <f t="shared" si="33"/>
        <v>#N/A</v>
      </c>
      <c r="BD184" s="7">
        <f t="shared" si="34"/>
        <v>-4.3700100000000344</v>
      </c>
      <c r="BE184" s="7">
        <f t="shared" si="35"/>
        <v>-4.3699900000000351</v>
      </c>
      <c r="BF184" s="7">
        <f t="shared" si="36"/>
        <v>6.9953670434742799E-4</v>
      </c>
      <c r="BG184" s="7">
        <f t="shared" si="37"/>
        <v>6.9955857912344102E-4</v>
      </c>
      <c r="BH184" s="7" t="e">
        <f t="shared" si="38"/>
        <v>#N/A</v>
      </c>
      <c r="BI184" s="7">
        <f t="shared" si="42"/>
        <v>2.8449256445840005E-5</v>
      </c>
      <c r="BJ184" s="7">
        <f t="shared" si="39"/>
        <v>-9.7155074355416004E-4</v>
      </c>
      <c r="BK184" s="7" t="e">
        <f t="shared" si="43"/>
        <v>#N/A</v>
      </c>
      <c r="BL184" s="7" t="e">
        <f t="shared" si="40"/>
        <v>#N/A</v>
      </c>
    </row>
    <row r="185" spans="2:64" ht="11.25" customHeight="1">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7">
        <f t="shared" si="31"/>
        <v>6.5031222192812876E-6</v>
      </c>
      <c r="BA185" s="7">
        <f t="shared" si="41"/>
        <v>-4.360000000000035</v>
      </c>
      <c r="BB185" s="7">
        <f t="shared" si="32"/>
        <v>2.9718567676437706E-5</v>
      </c>
      <c r="BC185" s="7" t="e">
        <f t="shared" si="33"/>
        <v>#N/A</v>
      </c>
      <c r="BD185" s="7">
        <f t="shared" si="34"/>
        <v>-4.3600100000000346</v>
      </c>
      <c r="BE185" s="7">
        <f t="shared" si="35"/>
        <v>-4.3599900000000353</v>
      </c>
      <c r="BF185" s="7">
        <f t="shared" si="36"/>
        <v>7.1056477791526834E-4</v>
      </c>
      <c r="BG185" s="7">
        <f t="shared" si="37"/>
        <v>7.1058701720996278E-4</v>
      </c>
      <c r="BH185" s="7" t="e">
        <f t="shared" si="38"/>
        <v>#N/A</v>
      </c>
      <c r="BI185" s="7">
        <f t="shared" si="42"/>
        <v>2.9718567676437706E-5</v>
      </c>
      <c r="BJ185" s="7">
        <f t="shared" si="39"/>
        <v>-9.7028143232356229E-4</v>
      </c>
      <c r="BK185" s="7" t="e">
        <f t="shared" si="43"/>
        <v>#N/A</v>
      </c>
      <c r="BL185" s="7" t="e">
        <f t="shared" si="40"/>
        <v>#N/A</v>
      </c>
    </row>
    <row r="186" spans="2:64" ht="11.25" customHeight="1">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7">
        <f t="shared" si="31"/>
        <v>6.806876589937616E-6</v>
      </c>
      <c r="BA186" s="7">
        <f t="shared" si="41"/>
        <v>-4.3500000000000352</v>
      </c>
      <c r="BB186" s="7">
        <f t="shared" si="32"/>
        <v>3.1041407057845469E-5</v>
      </c>
      <c r="BC186" s="7" t="e">
        <f t="shared" si="33"/>
        <v>#N/A</v>
      </c>
      <c r="BD186" s="7">
        <f t="shared" si="34"/>
        <v>-4.3500100000000348</v>
      </c>
      <c r="BE186" s="7">
        <f t="shared" si="35"/>
        <v>-4.3499900000000356</v>
      </c>
      <c r="BF186" s="7">
        <f t="shared" si="36"/>
        <v>7.217766881054482E-4</v>
      </c>
      <c r="BG186" s="7">
        <f t="shared" si="37"/>
        <v>7.2179929825938569E-4</v>
      </c>
      <c r="BH186" s="7" t="e">
        <f t="shared" si="38"/>
        <v>#N/A</v>
      </c>
      <c r="BI186" s="7">
        <f t="shared" si="42"/>
        <v>3.1041407057845469E-5</v>
      </c>
      <c r="BJ186" s="7">
        <f t="shared" si="39"/>
        <v>-9.6895859294215459E-4</v>
      </c>
      <c r="BK186" s="7" t="e">
        <f t="shared" si="43"/>
        <v>#N/A</v>
      </c>
      <c r="BL186" s="7" t="e">
        <f t="shared" si="40"/>
        <v>#N/A</v>
      </c>
    </row>
    <row r="187" spans="2:64" ht="11.25" customHeight="1">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7">
        <f t="shared" si="31"/>
        <v>7.124135797953457E-6</v>
      </c>
      <c r="BA187" s="7">
        <f t="shared" si="41"/>
        <v>-4.3400000000000354</v>
      </c>
      <c r="BB187" s="7">
        <f t="shared" si="32"/>
        <v>3.2419886804208763E-5</v>
      </c>
      <c r="BC187" s="7" t="e">
        <f t="shared" si="33"/>
        <v>#N/A</v>
      </c>
      <c r="BD187" s="7">
        <f t="shared" si="34"/>
        <v>-4.340010000000035</v>
      </c>
      <c r="BE187" s="7">
        <f t="shared" si="35"/>
        <v>-4.3399900000000358</v>
      </c>
      <c r="BF187" s="7">
        <f t="shared" si="36"/>
        <v>7.3317563344212815E-4</v>
      </c>
      <c r="BG187" s="7">
        <f t="shared" si="37"/>
        <v>7.3319862090941189E-4</v>
      </c>
      <c r="BH187" s="7" t="e">
        <f t="shared" si="38"/>
        <v>#N/A</v>
      </c>
      <c r="BI187" s="7">
        <f t="shared" si="42"/>
        <v>3.2419886804208763E-5</v>
      </c>
      <c r="BJ187" s="7">
        <f t="shared" si="39"/>
        <v>-9.6758011319579128E-4</v>
      </c>
      <c r="BK187" s="7" t="e">
        <f t="shared" si="43"/>
        <v>#N/A</v>
      </c>
      <c r="BL187" s="7" t="e">
        <f t="shared" si="40"/>
        <v>#N/A</v>
      </c>
    </row>
    <row r="188" spans="2:64" ht="11.25" customHeight="1">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7">
        <f t="shared" si="31"/>
        <v>7.4554670769222398E-6</v>
      </c>
      <c r="BA188" s="7">
        <f t="shared" si="41"/>
        <v>-4.3300000000000356</v>
      </c>
      <c r="BB188" s="7">
        <f t="shared" si="32"/>
        <v>3.385619597682265E-5</v>
      </c>
      <c r="BC188" s="7" t="e">
        <f t="shared" si="33"/>
        <v>#N/A</v>
      </c>
      <c r="BD188" s="7">
        <f t="shared" si="34"/>
        <v>-4.3300100000000352</v>
      </c>
      <c r="BE188" s="7">
        <f t="shared" si="35"/>
        <v>-4.329990000000036</v>
      </c>
      <c r="BF188" s="7">
        <f t="shared" si="36"/>
        <v>7.447648697326613E-4</v>
      </c>
      <c r="BG188" s="7">
        <f t="shared" si="37"/>
        <v>7.4478824108299376E-4</v>
      </c>
      <c r="BH188" s="7" t="e">
        <f t="shared" si="38"/>
        <v>#N/A</v>
      </c>
      <c r="BI188" s="7">
        <f t="shared" si="42"/>
        <v>3.385619597682265E-5</v>
      </c>
      <c r="BJ188" s="7">
        <f t="shared" si="39"/>
        <v>-9.6614380402317739E-4</v>
      </c>
      <c r="BK188" s="7" t="e">
        <f t="shared" si="43"/>
        <v>#N/A</v>
      </c>
      <c r="BL188" s="7" t="e">
        <f t="shared" si="40"/>
        <v>#N/A</v>
      </c>
    </row>
    <row r="189" spans="2:64" ht="11.25" customHeight="1">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7">
        <f t="shared" si="31"/>
        <v>7.8014600574105586E-6</v>
      </c>
      <c r="BA189" s="7">
        <f t="shared" si="41"/>
        <v>-4.3200000000000358</v>
      </c>
      <c r="BB189" s="7">
        <f t="shared" si="32"/>
        <v>3.5352603001767628E-5</v>
      </c>
      <c r="BC189" s="7" t="e">
        <f t="shared" si="33"/>
        <v>#N/A</v>
      </c>
      <c r="BD189" s="7">
        <f t="shared" si="34"/>
        <v>-4.3200100000000354</v>
      </c>
      <c r="BE189" s="7">
        <f t="shared" si="35"/>
        <v>-4.3199900000000362</v>
      </c>
      <c r="BF189" s="7">
        <f t="shared" si="36"/>
        <v>7.5654771110627748E-4</v>
      </c>
      <c r="BG189" s="7">
        <f t="shared" si="37"/>
        <v>7.5657147302706147E-4</v>
      </c>
      <c r="BH189" s="7" t="e">
        <f t="shared" si="38"/>
        <v>#N/A</v>
      </c>
      <c r="BI189" s="7">
        <f t="shared" si="42"/>
        <v>3.5352603001767628E-5</v>
      </c>
      <c r="BJ189" s="7">
        <f t="shared" si="39"/>
        <v>-9.6464739699823237E-4</v>
      </c>
      <c r="BK189" s="7" t="e">
        <f t="shared" si="43"/>
        <v>#N/A</v>
      </c>
      <c r="BL189" s="7" t="e">
        <f t="shared" si="40"/>
        <v>#N/A</v>
      </c>
    </row>
    <row r="190" spans="2:64" ht="11.25" customHeight="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7">
        <f t="shared" si="31"/>
        <v>8.1627272727757827E-6</v>
      </c>
      <c r="BA190" s="7">
        <f t="shared" si="41"/>
        <v>-4.310000000000036</v>
      </c>
      <c r="BB190" s="7">
        <f t="shared" si="32"/>
        <v>3.6911458258660422E-5</v>
      </c>
      <c r="BC190" s="7" t="e">
        <f t="shared" si="33"/>
        <v>#N/A</v>
      </c>
      <c r="BD190" s="7">
        <f t="shared" si="34"/>
        <v>-4.3100100000000356</v>
      </c>
      <c r="BE190" s="7">
        <f t="shared" si="35"/>
        <v>-4.3099900000000364</v>
      </c>
      <c r="BF190" s="7">
        <f t="shared" si="36"/>
        <v>7.6852753107144113E-4</v>
      </c>
      <c r="BG190" s="7">
        <f t="shared" si="37"/>
        <v>7.6855169036990547E-4</v>
      </c>
      <c r="BH190" s="7" t="e">
        <f t="shared" si="38"/>
        <v>#N/A</v>
      </c>
      <c r="BI190" s="7">
        <f t="shared" si="42"/>
        <v>3.6911458258660422E-5</v>
      </c>
      <c r="BJ190" s="7">
        <f t="shared" si="39"/>
        <v>-9.6308854174133958E-4</v>
      </c>
      <c r="BK190" s="7" t="e">
        <f t="shared" si="43"/>
        <v>#N/A</v>
      </c>
      <c r="BL190" s="7" t="e">
        <f t="shared" si="40"/>
        <v>#N/A</v>
      </c>
    </row>
    <row r="191" spans="2:64" ht="11.25" customHeight="1">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7">
        <f t="shared" si="31"/>
        <v>8.5399054718937606E-6</v>
      </c>
      <c r="BA191" s="7">
        <f t="shared" si="41"/>
        <v>-4.3000000000000362</v>
      </c>
      <c r="BB191" s="7">
        <f t="shared" si="32"/>
        <v>3.8535196742081105E-5</v>
      </c>
      <c r="BC191" s="7" t="e">
        <f t="shared" si="33"/>
        <v>#N/A</v>
      </c>
      <c r="BD191" s="7">
        <f t="shared" si="34"/>
        <v>-4.3000100000000359</v>
      </c>
      <c r="BE191" s="7">
        <f t="shared" si="35"/>
        <v>-4.2999900000000366</v>
      </c>
      <c r="BF191" s="7">
        <f t="shared" si="36"/>
        <v>7.8070776359213901E-4</v>
      </c>
      <c r="BG191" s="7">
        <f t="shared" si="37"/>
        <v>7.8073232719751975E-4</v>
      </c>
      <c r="BH191" s="7" t="e">
        <f t="shared" si="38"/>
        <v>#N/A</v>
      </c>
      <c r="BI191" s="7">
        <f t="shared" si="42"/>
        <v>3.8535196742081105E-5</v>
      </c>
      <c r="BJ191" s="7">
        <f t="shared" si="39"/>
        <v>-9.6146480325791893E-4</v>
      </c>
      <c r="BK191" s="7" t="e">
        <f t="shared" si="43"/>
        <v>#N/A</v>
      </c>
      <c r="BL191" s="7" t="e">
        <f t="shared" si="40"/>
        <v>#N/A</v>
      </c>
    </row>
    <row r="192" spans="2:64" ht="11.25" customHeight="1">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7">
        <f t="shared" si="31"/>
        <v>8.933655917919836E-6</v>
      </c>
      <c r="BA192" s="7">
        <f t="shared" si="41"/>
        <v>-4.2900000000000365</v>
      </c>
      <c r="BB192" s="7">
        <f t="shared" si="32"/>
        <v>4.0226340797258676E-5</v>
      </c>
      <c r="BC192" s="7" t="e">
        <f t="shared" si="33"/>
        <v>#N/A</v>
      </c>
      <c r="BD192" s="7">
        <f t="shared" si="34"/>
        <v>-4.2900100000000361</v>
      </c>
      <c r="BE192" s="7">
        <f t="shared" si="35"/>
        <v>-4.2899900000000368</v>
      </c>
      <c r="BF192" s="7">
        <f t="shared" si="36"/>
        <v>7.9309190418347907E-4</v>
      </c>
      <c r="BG192" s="7">
        <f t="shared" si="37"/>
        <v>7.9311687914922105E-4</v>
      </c>
      <c r="BH192" s="7" t="e">
        <f t="shared" si="38"/>
        <v>#N/A</v>
      </c>
      <c r="BI192" s="7">
        <f t="shared" si="42"/>
        <v>4.0226340797258676E-5</v>
      </c>
      <c r="BJ192" s="7">
        <f t="shared" si="39"/>
        <v>-9.5977365920274136E-4</v>
      </c>
      <c r="BK192" s="7" t="e">
        <f t="shared" si="43"/>
        <v>#N/A</v>
      </c>
      <c r="BL192" s="7" t="e">
        <f t="shared" si="40"/>
        <v>#N/A</v>
      </c>
    </row>
    <row r="193" spans="2:64" ht="11.25" customHeight="1">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7">
        <f t="shared" si="31"/>
        <v>9.3446656765916458E-6</v>
      </c>
      <c r="BA193" s="7">
        <f t="shared" si="41"/>
        <v>-4.2800000000000367</v>
      </c>
      <c r="BB193" s="7">
        <f t="shared" si="32"/>
        <v>4.1987502931610749E-5</v>
      </c>
      <c r="BC193" s="7" t="e">
        <f t="shared" si="33"/>
        <v>#N/A</v>
      </c>
      <c r="BD193" s="7">
        <f t="shared" si="34"/>
        <v>-4.2800100000000363</v>
      </c>
      <c r="BE193" s="7">
        <f t="shared" si="35"/>
        <v>-4.279990000000037</v>
      </c>
      <c r="BF193" s="7">
        <f t="shared" si="36"/>
        <v>8.0568351102688462E-4</v>
      </c>
      <c r="BG193" s="7">
        <f t="shared" si="37"/>
        <v>8.0570890453290011E-4</v>
      </c>
      <c r="BH193" s="7" t="e">
        <f t="shared" si="38"/>
        <v>#N/A</v>
      </c>
      <c r="BI193" s="7">
        <f t="shared" si="42"/>
        <v>4.1987502931610749E-5</v>
      </c>
      <c r="BJ193" s="7">
        <f t="shared" si="39"/>
        <v>-9.5801249706838933E-4</v>
      </c>
      <c r="BK193" s="7" t="e">
        <f t="shared" si="43"/>
        <v>#N/A</v>
      </c>
      <c r="BL193" s="7" t="e">
        <f t="shared" si="40"/>
        <v>#N/A</v>
      </c>
    </row>
    <row r="194" spans="2:64" ht="11.25" customHeight="1">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7">
        <f t="shared" si="31"/>
        <v>9.7736483775090477E-6</v>
      </c>
      <c r="BA194" s="7">
        <f t="shared" si="41"/>
        <v>-4.2700000000000369</v>
      </c>
      <c r="BB194" s="7">
        <f t="shared" si="32"/>
        <v>4.3821388703751186E-5</v>
      </c>
      <c r="BC194" s="7" t="e">
        <f t="shared" si="33"/>
        <v>#N/A</v>
      </c>
      <c r="BD194" s="7">
        <f t="shared" si="34"/>
        <v>-4.2700100000000365</v>
      </c>
      <c r="BE194" s="7">
        <f t="shared" si="35"/>
        <v>-4.2699900000000373</v>
      </c>
      <c r="BF194" s="7">
        <f t="shared" si="36"/>
        <v>8.1848620610524485E-4</v>
      </c>
      <c r="BG194" s="7">
        <f t="shared" si="37"/>
        <v>8.1851202546019621E-4</v>
      </c>
      <c r="BH194" s="7" t="e">
        <f t="shared" si="38"/>
        <v>#N/A</v>
      </c>
      <c r="BI194" s="7">
        <f t="shared" si="42"/>
        <v>4.3821388703751186E-5</v>
      </c>
      <c r="BJ194" s="7">
        <f t="shared" si="39"/>
        <v>-9.5617861129624888E-4</v>
      </c>
      <c r="BK194" s="7" t="e">
        <f t="shared" si="43"/>
        <v>#N/A</v>
      </c>
      <c r="BL194" s="7" t="e">
        <f t="shared" si="40"/>
        <v>#N/A</v>
      </c>
    </row>
    <row r="195" spans="2:64" ht="11.25" customHeight="1">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7">
        <f t="shared" si="31"/>
        <v>1.0221345191352427E-5</v>
      </c>
      <c r="BA195" s="7">
        <f t="shared" si="41"/>
        <v>-4.2600000000000371</v>
      </c>
      <c r="BB195" s="7">
        <f t="shared" si="32"/>
        <v>4.5730799691593995E-5</v>
      </c>
      <c r="BC195" s="7" t="e">
        <f t="shared" si="33"/>
        <v>#N/A</v>
      </c>
      <c r="BD195" s="7">
        <f t="shared" si="34"/>
        <v>-4.2600100000000367</v>
      </c>
      <c r="BE195" s="7">
        <f t="shared" si="35"/>
        <v>-4.2599900000000375</v>
      </c>
      <c r="BF195" s="7">
        <f t="shared" si="36"/>
        <v>8.3150367635835098E-4</v>
      </c>
      <c r="BG195" s="7">
        <f t="shared" si="37"/>
        <v>8.315299290019895E-4</v>
      </c>
      <c r="BH195" s="7" t="e">
        <f t="shared" si="38"/>
        <v>#N/A</v>
      </c>
      <c r="BI195" s="7">
        <f t="shared" si="42"/>
        <v>4.5730799691593995E-5</v>
      </c>
      <c r="BJ195" s="7">
        <f t="shared" si="39"/>
        <v>-9.5426920030840603E-4</v>
      </c>
      <c r="BK195" s="7" t="e">
        <f t="shared" si="43"/>
        <v>#N/A</v>
      </c>
      <c r="BL195" s="7" t="e">
        <f t="shared" si="40"/>
        <v>#N/A</v>
      </c>
    </row>
    <row r="196" spans="2:64" ht="11.25" customHeight="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7">
        <f t="shared" si="31"/>
        <v>1.068852578145485E-5</v>
      </c>
      <c r="BA196" s="7">
        <f t="shared" si="41"/>
        <v>-4.2500000000000373</v>
      </c>
      <c r="BB196" s="7">
        <f t="shared" si="32"/>
        <v>4.7718636541197396E-5</v>
      </c>
      <c r="BC196" s="7" t="e">
        <f t="shared" si="33"/>
        <v>#N/A</v>
      </c>
      <c r="BD196" s="7">
        <f t="shared" si="34"/>
        <v>-4.2500100000000369</v>
      </c>
      <c r="BE196" s="7">
        <f t="shared" si="35"/>
        <v>-4.2499900000000377</v>
      </c>
      <c r="BF196" s="7">
        <f t="shared" si="36"/>
        <v>8.447396748589586E-4</v>
      </c>
      <c r="BG196" s="7">
        <f t="shared" si="37"/>
        <v>8.4476636836448903E-4</v>
      </c>
      <c r="BH196" s="7" t="e">
        <f t="shared" si="38"/>
        <v>#N/A</v>
      </c>
      <c r="BI196" s="7">
        <f t="shared" si="42"/>
        <v>4.7718636541197396E-5</v>
      </c>
      <c r="BJ196" s="7">
        <f t="shared" si="39"/>
        <v>-9.5228136345880258E-4</v>
      </c>
      <c r="BK196" s="7" t="e">
        <f t="shared" si="43"/>
        <v>#N/A</v>
      </c>
      <c r="BL196" s="7" t="e">
        <f t="shared" si="40"/>
        <v>#N/A</v>
      </c>
    </row>
    <row r="197" spans="2:64" ht="11.25" customHeight="1">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7">
        <f t="shared" si="31"/>
        <v>1.1175989340861392E-5</v>
      </c>
      <c r="BA197" s="7">
        <f t="shared" si="41"/>
        <v>-4.2400000000000375</v>
      </c>
      <c r="BB197" s="7">
        <f t="shared" si="32"/>
        <v>4.9787902098004209E-5</v>
      </c>
      <c r="BC197" s="7" t="e">
        <f t="shared" si="33"/>
        <v>#N/A</v>
      </c>
      <c r="BD197" s="7">
        <f t="shared" si="34"/>
        <v>-4.2400100000000371</v>
      </c>
      <c r="BE197" s="7">
        <f t="shared" si="35"/>
        <v>-4.2399900000000379</v>
      </c>
      <c r="BF197" s="7">
        <f t="shared" si="36"/>
        <v>8.5819802200982464E-4</v>
      </c>
      <c r="BG197" s="7">
        <f t="shared" si="37"/>
        <v>8.5822516408633198E-4</v>
      </c>
      <c r="BH197" s="7" t="e">
        <f t="shared" si="38"/>
        <v>#N/A</v>
      </c>
      <c r="BI197" s="7">
        <f t="shared" si="42"/>
        <v>4.9787902098004209E-5</v>
      </c>
      <c r="BJ197" s="7">
        <f t="shared" si="39"/>
        <v>-9.5021209790199584E-4</v>
      </c>
      <c r="BK197" s="7" t="e">
        <f t="shared" si="43"/>
        <v>#N/A</v>
      </c>
      <c r="BL197" s="7" t="e">
        <f t="shared" si="40"/>
        <v>#N/A</v>
      </c>
    </row>
    <row r="198" spans="2:64" ht="11.25" customHeight="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7">
        <f t="shared" si="31"/>
        <v>1.1684565601188801E-5</v>
      </c>
      <c r="BA198" s="7">
        <f t="shared" si="41"/>
        <v>-4.2300000000000377</v>
      </c>
      <c r="BB198" s="7">
        <f t="shared" si="32"/>
        <v>5.1941704622151557E-5</v>
      </c>
      <c r="BC198" s="7" t="e">
        <f t="shared" si="33"/>
        <v>#N/A</v>
      </c>
      <c r="BD198" s="7">
        <f t="shared" si="34"/>
        <v>-4.2300100000000374</v>
      </c>
      <c r="BE198" s="7">
        <f t="shared" si="35"/>
        <v>-4.2299900000000381</v>
      </c>
      <c r="BF198" s="7">
        <f t="shared" si="36"/>
        <v>8.7188260676209352E-4</v>
      </c>
      <c r="BG198" s="7">
        <f t="shared" si="37"/>
        <v>8.7191020525698767E-4</v>
      </c>
      <c r="BH198" s="7" t="e">
        <f t="shared" si="38"/>
        <v>#N/A</v>
      </c>
      <c r="BI198" s="7">
        <f t="shared" si="42"/>
        <v>5.1941704622151557E-5</v>
      </c>
      <c r="BJ198" s="7">
        <f t="shared" si="39"/>
        <v>-9.4805829537784848E-4</v>
      </c>
      <c r="BK198" s="7" t="e">
        <f t="shared" si="43"/>
        <v>#N/A</v>
      </c>
      <c r="BL198" s="7" t="e">
        <f t="shared" si="40"/>
        <v>#N/A</v>
      </c>
    </row>
    <row r="199" spans="2:64" ht="11.25" customHeight="1">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7">
        <f t="shared" si="31"/>
        <v>1.2215115915759078E-5</v>
      </c>
      <c r="BA199" s="7">
        <f t="shared" si="41"/>
        <v>-4.2200000000000379</v>
      </c>
      <c r="BB199" s="7">
        <f t="shared" si="32"/>
        <v>5.4183261089531471E-5</v>
      </c>
      <c r="BC199" s="7" t="e">
        <f t="shared" si="33"/>
        <v>#N/A</v>
      </c>
      <c r="BD199" s="7">
        <f t="shared" si="34"/>
        <v>-4.2200100000000376</v>
      </c>
      <c r="BE199" s="7">
        <f t="shared" si="35"/>
        <v>-4.2199900000000383</v>
      </c>
      <c r="BF199" s="7">
        <f t="shared" si="36"/>
        <v>8.8579738785534335E-4</v>
      </c>
      <c r="BG199" s="7">
        <f t="shared" si="37"/>
        <v>8.8582545075687206E-4</v>
      </c>
      <c r="BH199" s="7" t="e">
        <f t="shared" si="38"/>
        <v>#N/A</v>
      </c>
      <c r="BI199" s="7">
        <f t="shared" si="42"/>
        <v>5.4183261089531471E-5</v>
      </c>
      <c r="BJ199" s="7">
        <f t="shared" si="39"/>
        <v>-9.4581673891046855E-4</v>
      </c>
      <c r="BK199" s="7" t="e">
        <f t="shared" si="43"/>
        <v>#N/A</v>
      </c>
      <c r="BL199" s="7" t="e">
        <f t="shared" si="40"/>
        <v>#N/A</v>
      </c>
    </row>
    <row r="200" spans="2:64" ht="11.25" customHeight="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7">
        <f t="shared" si="31"/>
        <v>1.276853441156689E-5</v>
      </c>
      <c r="BA200" s="7">
        <f t="shared" si="41"/>
        <v>-4.2100000000000382</v>
      </c>
      <c r="BB200" s="7">
        <f t="shared" si="32"/>
        <v>5.6515900580298361E-5</v>
      </c>
      <c r="BC200" s="7" t="e">
        <f t="shared" si="33"/>
        <v>#N/A</v>
      </c>
      <c r="BD200" s="7">
        <f t="shared" si="34"/>
        <v>-4.2100100000000378</v>
      </c>
      <c r="BE200" s="7">
        <f t="shared" si="35"/>
        <v>-4.2099900000000385</v>
      </c>
      <c r="BF200" s="7">
        <f t="shared" si="36"/>
        <v>8.9994639507971525E-4</v>
      </c>
      <c r="BG200" s="7">
        <f t="shared" si="37"/>
        <v>8.9997493051950704E-4</v>
      </c>
      <c r="BH200" s="7" t="e">
        <f t="shared" si="38"/>
        <v>#N/A</v>
      </c>
      <c r="BI200" s="7">
        <f t="shared" si="42"/>
        <v>5.6515900580298361E-5</v>
      </c>
      <c r="BJ200" s="7">
        <f t="shared" si="39"/>
        <v>-9.4348409941970171E-4</v>
      </c>
      <c r="BK200" s="7" t="e">
        <f t="shared" si="43"/>
        <v>#N/A</v>
      </c>
      <c r="BL200" s="7" t="e">
        <f t="shared" si="40"/>
        <v>#N/A</v>
      </c>
    </row>
    <row r="201" spans="2:64" ht="11.25" customHeight="1">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7">
        <f t="shared" si="31"/>
        <v>1.3345749012461106E-5</v>
      </c>
      <c r="BA201" s="7">
        <f t="shared" si="41"/>
        <v>-4.2000000000000384</v>
      </c>
      <c r="BB201" s="7">
        <f t="shared" si="32"/>
        <v>5.8943067756530321E-5</v>
      </c>
      <c r="BC201" s="7" t="e">
        <f t="shared" si="33"/>
        <v>#N/A</v>
      </c>
      <c r="BD201" s="7">
        <f t="shared" si="34"/>
        <v>-4.200010000000038</v>
      </c>
      <c r="BE201" s="7">
        <f t="shared" si="35"/>
        <v>-4.1999900000000387</v>
      </c>
      <c r="BF201" s="7">
        <f t="shared" si="36"/>
        <v>9.1433373056045331E-4</v>
      </c>
      <c r="BG201" s="7">
        <f t="shared" si="37"/>
        <v>9.1436274681611085E-4</v>
      </c>
      <c r="BH201" s="7" t="e">
        <f t="shared" si="38"/>
        <v>#N/A</v>
      </c>
      <c r="BI201" s="7">
        <f t="shared" si="42"/>
        <v>5.8943067756530321E-5</v>
      </c>
      <c r="BJ201" s="7">
        <f t="shared" si="39"/>
        <v>-9.4105693224346971E-4</v>
      </c>
      <c r="BK201" s="7" t="e">
        <f t="shared" si="43"/>
        <v>#N/A</v>
      </c>
      <c r="BL201" s="7" t="e">
        <f t="shared" si="40"/>
        <v>#N/A</v>
      </c>
    </row>
    <row r="202" spans="2:64" ht="11.25" customHeight="1">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7">
        <f t="shared" si="31"/>
        <v>1.3947722730112133E-5</v>
      </c>
      <c r="BA202" s="7">
        <f t="shared" si="41"/>
        <v>-4.1900000000000386</v>
      </c>
      <c r="BB202" s="7">
        <f t="shared" si="32"/>
        <v>6.1468326430759378E-5</v>
      </c>
      <c r="BC202" s="7" t="e">
        <f t="shared" si="33"/>
        <v>#N/A</v>
      </c>
      <c r="BD202" s="7">
        <f t="shared" si="34"/>
        <v>-4.1900100000000382</v>
      </c>
      <c r="BE202" s="7">
        <f t="shared" si="35"/>
        <v>-4.189990000000039</v>
      </c>
      <c r="BF202" s="7">
        <f t="shared" si="36"/>
        <v>9.28963570065236E-4</v>
      </c>
      <c r="BG202" s="7">
        <f t="shared" si="37"/>
        <v>9.2899307556296835E-4</v>
      </c>
      <c r="BH202" s="7" t="e">
        <f t="shared" si="38"/>
        <v>#N/A</v>
      </c>
      <c r="BI202" s="7">
        <f t="shared" si="42"/>
        <v>6.1468326430759378E-5</v>
      </c>
      <c r="BJ202" s="7">
        <f t="shared" si="39"/>
        <v>-9.3853167356924068E-4</v>
      </c>
      <c r="BK202" s="7" t="e">
        <f t="shared" si="43"/>
        <v>#N/A</v>
      </c>
      <c r="BL202" s="7" t="e">
        <f t="shared" si="40"/>
        <v>#N/A</v>
      </c>
    </row>
    <row r="203" spans="2:64" ht="11.25" customHeight="1">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7">
        <f t="shared" si="31"/>
        <v>1.4575454799770071E-5</v>
      </c>
      <c r="BA203" s="7">
        <f t="shared" si="41"/>
        <v>-4.1800000000000388</v>
      </c>
      <c r="BB203" s="7">
        <f t="shared" si="32"/>
        <v>6.4095363227095606E-5</v>
      </c>
      <c r="BC203" s="7" t="e">
        <f t="shared" si="33"/>
        <v>#N/A</v>
      </c>
      <c r="BD203" s="7">
        <f t="shared" si="34"/>
        <v>-4.1800100000000384</v>
      </c>
      <c r="BE203" s="7">
        <f t="shared" si="35"/>
        <v>-4.1799900000000392</v>
      </c>
      <c r="BF203" s="7">
        <f t="shared" si="36"/>
        <v>9.4384016433469889E-4</v>
      </c>
      <c r="BG203" s="7">
        <f t="shared" si="37"/>
        <v>9.4387016765201215E-4</v>
      </c>
      <c r="BH203" s="7" t="e">
        <f t="shared" si="38"/>
        <v>#N/A</v>
      </c>
      <c r="BI203" s="7">
        <f t="shared" si="42"/>
        <v>6.4095363227095606E-5</v>
      </c>
      <c r="BJ203" s="7">
        <f t="shared" si="39"/>
        <v>-9.3590463677290436E-4</v>
      </c>
      <c r="BK203" s="7" t="e">
        <f t="shared" si="43"/>
        <v>#N/A</v>
      </c>
      <c r="BL203" s="7" t="e">
        <f t="shared" si="40"/>
        <v>#N/A</v>
      </c>
    </row>
    <row r="204" spans="2:64" ht="11.25" customHeight="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7">
        <f t="shared" si="31"/>
        <v>1.5229981956244032E-5</v>
      </c>
      <c r="BA204" s="7">
        <f t="shared" si="41"/>
        <v>-4.170000000000039</v>
      </c>
      <c r="BB204" s="7">
        <f t="shared" si="32"/>
        <v>6.6827991336679686E-5</v>
      </c>
      <c r="BC204" s="7" t="e">
        <f t="shared" si="33"/>
        <v>#N/A</v>
      </c>
      <c r="BD204" s="7">
        <f t="shared" si="34"/>
        <v>-4.1700100000000386</v>
      </c>
      <c r="BE204" s="7">
        <f t="shared" si="35"/>
        <v>-4.1699900000000394</v>
      </c>
      <c r="BF204" s="7">
        <f t="shared" si="36"/>
        <v>9.5896784043651153E-4</v>
      </c>
      <c r="BG204" s="7">
        <f t="shared" si="37"/>
        <v>9.5899835030493672E-4</v>
      </c>
      <c r="BH204" s="7" t="e">
        <f t="shared" si="38"/>
        <v>#N/A</v>
      </c>
      <c r="BI204" s="7">
        <f t="shared" si="42"/>
        <v>6.6827991336679686E-5</v>
      </c>
      <c r="BJ204" s="7">
        <f t="shared" si="39"/>
        <v>-9.3317200866332029E-4</v>
      </c>
      <c r="BK204" s="7" t="e">
        <f t="shared" si="43"/>
        <v>#N/A</v>
      </c>
      <c r="BL204" s="7" t="e">
        <f t="shared" si="40"/>
        <v>#N/A</v>
      </c>
    </row>
    <row r="205" spans="2:64" ht="11.25" customHeight="1">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7">
        <f t="shared" si="31"/>
        <v>1.5912379726867876E-5</v>
      </c>
      <c r="BA205" s="7">
        <f t="shared" si="41"/>
        <v>-4.1600000000000392</v>
      </c>
      <c r="BB205" s="7">
        <f t="shared" si="32"/>
        <v>6.9670154369203051E-5</v>
      </c>
      <c r="BC205" s="7" t="e">
        <f t="shared" si="33"/>
        <v>#N/A</v>
      </c>
      <c r="BD205" s="7">
        <f t="shared" si="34"/>
        <v>-4.1600100000000388</v>
      </c>
      <c r="BE205" s="7">
        <f t="shared" si="35"/>
        <v>-4.1599900000000396</v>
      </c>
      <c r="BF205" s="7">
        <f t="shared" si="36"/>
        <v>9.7435100314339931E-4</v>
      </c>
      <c r="BG205" s="7">
        <f t="shared" si="37"/>
        <v>9.7438202845127734E-4</v>
      </c>
      <c r="BH205" s="7" t="e">
        <f t="shared" si="38"/>
        <v>#N/A</v>
      </c>
      <c r="BI205" s="7">
        <f t="shared" si="42"/>
        <v>6.9670154369203051E-5</v>
      </c>
      <c r="BJ205" s="7">
        <f t="shared" si="39"/>
        <v>-9.3032984563079697E-4</v>
      </c>
      <c r="BK205" s="7" t="e">
        <f t="shared" si="43"/>
        <v>#N/A</v>
      </c>
      <c r="BL205" s="7" t="e">
        <f t="shared" si="40"/>
        <v>#N/A</v>
      </c>
    </row>
    <row r="206" spans="2:64" ht="11.25" customHeight="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7">
        <f t="shared" si="31"/>
        <v>1.6623763737788622E-5</v>
      </c>
      <c r="BA206" s="7">
        <f t="shared" si="41"/>
        <v>-4.1500000000000394</v>
      </c>
      <c r="BB206" s="7">
        <f t="shared" si="32"/>
        <v>7.2625930302240587E-5</v>
      </c>
      <c r="BC206" s="7" t="e">
        <f t="shared" si="33"/>
        <v>#N/A</v>
      </c>
      <c r="BD206" s="7">
        <f t="shared" si="34"/>
        <v>-4.1500100000000391</v>
      </c>
      <c r="BE206" s="7">
        <f t="shared" si="35"/>
        <v>-4.1499900000000398</v>
      </c>
      <c r="BF206" s="7">
        <f t="shared" si="36"/>
        <v>9.8999413633553456E-4</v>
      </c>
      <c r="BG206" s="7">
        <f t="shared" si="37"/>
        <v>9.9002568613084166E-4</v>
      </c>
      <c r="BH206" s="7" t="e">
        <f t="shared" si="38"/>
        <v>#N/A</v>
      </c>
      <c r="BI206" s="7">
        <f t="shared" si="42"/>
        <v>7.2625930302240587E-5</v>
      </c>
      <c r="BJ206" s="7">
        <f t="shared" si="39"/>
        <v>-9.2737406969775941E-4</v>
      </c>
      <c r="BK206" s="7" t="e">
        <f t="shared" si="43"/>
        <v>#N/A</v>
      </c>
      <c r="BL206" s="7" t="e">
        <f t="shared" si="40"/>
        <v>#N/A</v>
      </c>
    </row>
    <row r="207" spans="2:64" ht="11.25" customHeight="1">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7">
        <f t="shared" si="31"/>
        <v>1.736529107243534E-5</v>
      </c>
      <c r="BA207" s="7">
        <f t="shared" si="41"/>
        <v>-4.1400000000000396</v>
      </c>
      <c r="BB207" s="7">
        <f t="shared" si="32"/>
        <v>7.5699535530148704E-5</v>
      </c>
      <c r="BC207" s="7" t="e">
        <f t="shared" si="33"/>
        <v>#N/A</v>
      </c>
      <c r="BD207" s="7">
        <f t="shared" si="34"/>
        <v>-4.1400100000000393</v>
      </c>
      <c r="BE207" s="7">
        <f t="shared" si="35"/>
        <v>-4.13999000000004</v>
      </c>
      <c r="BF207" s="7">
        <f t="shared" si="36"/>
        <v>1.0059018044276586E-3</v>
      </c>
      <c r="BG207" s="7">
        <f t="shared" si="37"/>
        <v>1.0059338879208862E-3</v>
      </c>
      <c r="BH207" s="7" t="e">
        <f t="shared" si="38"/>
        <v>#N/A</v>
      </c>
      <c r="BI207" s="7">
        <f t="shared" si="42"/>
        <v>7.5699535530148704E-5</v>
      </c>
      <c r="BJ207" s="7">
        <f t="shared" si="39"/>
        <v>-9.2430046446985133E-4</v>
      </c>
      <c r="BK207" s="7" t="e">
        <f t="shared" si="43"/>
        <v>#N/A</v>
      </c>
      <c r="BL207" s="7" t="e">
        <f t="shared" si="40"/>
        <v>#N/A</v>
      </c>
    </row>
    <row r="208" spans="2:64" ht="11.25" customHeight="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7">
        <f t="shared" si="31"/>
        <v>1.8138161721914514E-5</v>
      </c>
      <c r="BA208" s="7">
        <f t="shared" si="41"/>
        <v>-4.1300000000000399</v>
      </c>
      <c r="BB208" s="7">
        <f t="shared" si="32"/>
        <v>7.889532901428005E-5</v>
      </c>
      <c r="BC208" s="7" t="e">
        <f t="shared" si="33"/>
        <v>#N/A</v>
      </c>
      <c r="BD208" s="7">
        <f t="shared" si="34"/>
        <v>-4.1300100000000395</v>
      </c>
      <c r="BE208" s="7">
        <f t="shared" si="35"/>
        <v>-4.1299900000000402</v>
      </c>
      <c r="BF208" s="7">
        <f t="shared" si="36"/>
        <v>1.0220786538213643E-3</v>
      </c>
      <c r="BG208" s="7">
        <f t="shared" si="37"/>
        <v>1.0221112803884508E-3</v>
      </c>
      <c r="BH208" s="7" t="e">
        <f t="shared" si="38"/>
        <v>#N/A</v>
      </c>
      <c r="BI208" s="7">
        <f t="shared" si="42"/>
        <v>7.889532901428005E-5</v>
      </c>
      <c r="BJ208" s="7">
        <f t="shared" si="39"/>
        <v>-9.2110467098571996E-4</v>
      </c>
      <c r="BK208" s="7" t="e">
        <f t="shared" si="43"/>
        <v>#N/A</v>
      </c>
      <c r="BL208" s="7" t="e">
        <f t="shared" si="40"/>
        <v>#N/A</v>
      </c>
    </row>
    <row r="209" spans="2:64" ht="11.25" customHeight="1">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7">
        <f t="shared" si="31"/>
        <v>1.8943619954803204E-5</v>
      </c>
      <c r="BA209" s="7">
        <f t="shared" si="41"/>
        <v>-4.1200000000000401</v>
      </c>
      <c r="BB209" s="7">
        <f t="shared" si="32"/>
        <v>8.221781653627241E-5</v>
      </c>
      <c r="BC209" s="7" t="e">
        <f t="shared" si="33"/>
        <v>#N/A</v>
      </c>
      <c r="BD209" s="7">
        <f t="shared" si="34"/>
        <v>-4.1200100000000397</v>
      </c>
      <c r="BE209" s="7">
        <f t="shared" si="35"/>
        <v>-4.1199900000000405</v>
      </c>
      <c r="BF209" s="7">
        <f t="shared" si="36"/>
        <v>1.0385294143829534E-3</v>
      </c>
      <c r="BG209" s="7">
        <f t="shared" si="37"/>
        <v>1.0385625935682634E-3</v>
      </c>
      <c r="BH209" s="7" t="e">
        <f t="shared" si="38"/>
        <v>#N/A</v>
      </c>
      <c r="BI209" s="7">
        <f t="shared" si="42"/>
        <v>8.221781653627241E-5</v>
      </c>
      <c r="BJ209" s="7">
        <f t="shared" si="39"/>
        <v>-9.1778218346372762E-4</v>
      </c>
      <c r="BK209" s="7" t="e">
        <f t="shared" si="43"/>
        <v>#N/A</v>
      </c>
      <c r="BL209" s="7" t="e">
        <f t="shared" si="40"/>
        <v>#N/A</v>
      </c>
    </row>
    <row r="210" spans="2:64" ht="11.25" customHeight="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7">
        <f t="shared" si="31"/>
        <v>1.97829558790108E-5</v>
      </c>
      <c r="BA210" s="7">
        <f t="shared" si="41"/>
        <v>-4.1100000000000403</v>
      </c>
      <c r="BB210" s="7">
        <f t="shared" si="32"/>
        <v>8.5671655056167851E-5</v>
      </c>
      <c r="BC210" s="7" t="e">
        <f t="shared" si="33"/>
        <v>#N/A</v>
      </c>
      <c r="BD210" s="7">
        <f t="shared" si="34"/>
        <v>-4.1100100000000399</v>
      </c>
      <c r="BE210" s="7">
        <f t="shared" si="35"/>
        <v>-4.1099900000000407</v>
      </c>
      <c r="BF210" s="7">
        <f t="shared" si="36"/>
        <v>1.0552589009472707E-3</v>
      </c>
      <c r="BG210" s="7">
        <f t="shared" si="37"/>
        <v>1.0552926424666326E-3</v>
      </c>
      <c r="BH210" s="7" t="e">
        <f t="shared" si="38"/>
        <v>#N/A</v>
      </c>
      <c r="BI210" s="7">
        <f t="shared" si="42"/>
        <v>8.5671655056167851E-5</v>
      </c>
      <c r="BJ210" s="7">
        <f t="shared" si="39"/>
        <v>-9.1432834494383213E-4</v>
      </c>
      <c r="BK210" s="7" t="e">
        <f t="shared" si="43"/>
        <v>#N/A</v>
      </c>
      <c r="BL210" s="7" t="e">
        <f t="shared" si="40"/>
        <v>#N/A</v>
      </c>
    </row>
    <row r="211" spans="2:64" ht="11.25" customHeight="1">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7">
        <f t="shared" si="31"/>
        <v>2.0657506919485868E-5</v>
      </c>
      <c r="BA211" s="7">
        <f t="shared" si="41"/>
        <v>-4.1000000000000405</v>
      </c>
      <c r="BB211" s="7">
        <f t="shared" si="32"/>
        <v>8.9261657177118006E-5</v>
      </c>
      <c r="BC211" s="7" t="e">
        <f t="shared" si="33"/>
        <v>#N/A</v>
      </c>
      <c r="BD211" s="7">
        <f t="shared" si="34"/>
        <v>-4.1000100000000401</v>
      </c>
      <c r="BE211" s="7">
        <f t="shared" si="35"/>
        <v>-4.0999900000000409</v>
      </c>
      <c r="BF211" s="7">
        <f t="shared" si="36"/>
        <v>1.0722720148479568E-3</v>
      </c>
      <c r="BG211" s="7">
        <f t="shared" si="37"/>
        <v>1.0723063285917442E-3</v>
      </c>
      <c r="BH211" s="7" t="e">
        <f t="shared" si="38"/>
        <v>#N/A</v>
      </c>
      <c r="BI211" s="7">
        <f t="shared" si="42"/>
        <v>8.9261657177118006E-5</v>
      </c>
      <c r="BJ211" s="7">
        <f t="shared" si="39"/>
        <v>-9.1073834282288197E-4</v>
      </c>
      <c r="BK211" s="7" t="e">
        <f t="shared" si="43"/>
        <v>#N/A</v>
      </c>
      <c r="BL211" s="7" t="e">
        <f t="shared" si="40"/>
        <v>#N/A</v>
      </c>
    </row>
    <row r="212" spans="2:64" ht="11.25" customHeight="1">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7">
        <f t="shared" si="31"/>
        <v>2.1568659459347828E-5</v>
      </c>
      <c r="BA212" s="7">
        <f t="shared" si="41"/>
        <v>-4.0900000000000407</v>
      </c>
      <c r="BB212" s="7">
        <f t="shared" si="32"/>
        <v>9.2992795718430362E-5</v>
      </c>
      <c r="BC212" s="7" t="e">
        <f t="shared" si="33"/>
        <v>#N/A</v>
      </c>
      <c r="BD212" s="7">
        <f t="shared" si="34"/>
        <v>-4.0900100000000403</v>
      </c>
      <c r="BE212" s="7">
        <f t="shared" si="35"/>
        <v>-4.0899900000000411</v>
      </c>
      <c r="BF212" s="7">
        <f t="shared" si="36"/>
        <v>1.0895737454745264E-3</v>
      </c>
      <c r="BG212" s="7">
        <f t="shared" si="37"/>
        <v>1.0896086415108064E-3</v>
      </c>
      <c r="BH212" s="7" t="e">
        <f t="shared" si="38"/>
        <v>#N/A</v>
      </c>
      <c r="BI212" s="7">
        <f t="shared" si="42"/>
        <v>9.2992795718430362E-5</v>
      </c>
      <c r="BJ212" s="7">
        <f t="shared" si="39"/>
        <v>-9.0700720428156967E-4</v>
      </c>
      <c r="BK212" s="7" t="e">
        <f t="shared" si="43"/>
        <v>#N/A</v>
      </c>
      <c r="BL212" s="7" t="e">
        <f t="shared" si="40"/>
        <v>#N/A</v>
      </c>
    </row>
    <row r="213" spans="2:64" ht="11.25" customHeight="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7">
        <f t="shared" ref="AZ213:AZ276" si="44">NORMDIST(BA213,$BA$17,$BA$18,TRUE)</f>
        <v>2.2517850387204774E-5</v>
      </c>
      <c r="BA213" s="7">
        <f t="shared" si="41"/>
        <v>-4.0800000000000409</v>
      </c>
      <c r="BB213" s="7">
        <f t="shared" ref="BB213:BB276" si="45">IF($BA$13=1,NORMDIST(BA213,$BA$17,$BA$18,FALSE),NA())</f>
        <v>9.6870208398703079E-5</v>
      </c>
      <c r="BC213" s="7" t="e">
        <f t="shared" ref="BC213:BC276" si="46">IF($BA$13=3,NORMDIST(BA213,$BA$17,$BA$18,FALSE),NA())</f>
        <v>#N/A</v>
      </c>
      <c r="BD213" s="7">
        <f t="shared" ref="BD213:BD276" si="47">BA213-$BD$19</f>
        <v>-4.0800100000000405</v>
      </c>
      <c r="BE213" s="7">
        <f t="shared" ref="BE213:BE276" si="48">BA213+$BD$19</f>
        <v>-4.0799900000000413</v>
      </c>
      <c r="BF213" s="7">
        <f t="shared" ref="BF213:BF276" si="49">IF(BD213&lt;0,TDIST(-BD213,$BA$14,1),1-TDIST(BD213,$BA$14,1))</f>
        <v>1.107169171856737E-3</v>
      </c>
      <c r="BG213" s="7">
        <f t="shared" ref="BG213:BG276" si="50">IF(BE213&lt;0,TDIST(-BE213,$BA$14,1),1-TDIST(BE213,$BA$14,1))</f>
        <v>1.1072046604344618E-3</v>
      </c>
      <c r="BH213" s="7" t="e">
        <f t="shared" ref="BH213:BH276" si="51">IF($BA$13&gt;1,(BG213-BF213)/(2*$BD$19),NA())</f>
        <v>#N/A</v>
      </c>
      <c r="BI213" s="7">
        <f t="shared" si="42"/>
        <v>9.6870208398703079E-5</v>
      </c>
      <c r="BJ213" s="7">
        <f t="shared" ref="BJ213:BJ276" si="52">IF(ISNUMBER(BI213),BI213-$BJ$19,NA())</f>
        <v>-9.031297916012969E-4</v>
      </c>
      <c r="BK213" s="7" t="e">
        <f t="shared" si="43"/>
        <v>#N/A</v>
      </c>
      <c r="BL213" s="7" t="e">
        <f t="shared" ref="BL213:BL276" si="53">IF(ISNUMBER(BK213),BK213-$BL$19,NA())</f>
        <v>#N/A</v>
      </c>
    </row>
    <row r="214" spans="2:64" ht="11.25" customHeight="1">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7">
        <f t="shared" si="44"/>
        <v>2.3506568873843392E-5</v>
      </c>
      <c r="BA214" s="7">
        <f t="shared" ref="BA214:BA277" si="54">BA213+$BD$10</f>
        <v>-4.0700000000000411</v>
      </c>
      <c r="BB214" s="7">
        <f t="shared" si="45"/>
        <v>1.0089920263079756E-4</v>
      </c>
      <c r="BC214" s="7" t="e">
        <f t="shared" si="46"/>
        <v>#N/A</v>
      </c>
      <c r="BD214" s="7">
        <f t="shared" si="47"/>
        <v>-4.0700100000000408</v>
      </c>
      <c r="BE214" s="7">
        <f t="shared" si="48"/>
        <v>-4.0699900000000415</v>
      </c>
      <c r="BF214" s="7">
        <f t="shared" si="49"/>
        <v>1.1250634642766492E-3</v>
      </c>
      <c r="BG214" s="7">
        <f t="shared" si="50"/>
        <v>1.1250995558289103E-3</v>
      </c>
      <c r="BH214" s="7" t="e">
        <f t="shared" si="51"/>
        <v>#N/A</v>
      </c>
      <c r="BI214" s="7">
        <f t="shared" ref="BI214:BI277" si="55">IF($BA$15=1,IF(OR(AND(BA214&gt;=$BI$18,$BN$18&gt;=0),AND(BA214&lt;=-$BI$18,$BN$18&lt;0)),BB214,NA()),IF($BA$15=2,IF(ABS(BA214)&gt;=$BI$18,BB214,NA()),NA()))</f>
        <v>1.0089920263079756E-4</v>
      </c>
      <c r="BJ214" s="7">
        <f t="shared" si="52"/>
        <v>-8.9910079736920247E-4</v>
      </c>
      <c r="BK214" s="7" t="e">
        <f t="shared" ref="BK214:BK277" si="56">IF($BA$15=1,IF(OR(AND(BA214&gt;=$BK$18,$BN$18&gt;=0),AND(BA214&lt;=-$BK$18,$BN$18&lt;0)),BH214,NA()),IF($BA$15=2,IF(ABS(BA214)&gt;=$BK$18,BH214,NA()),NA()))</f>
        <v>#N/A</v>
      </c>
      <c r="BL214" s="7" t="e">
        <f t="shared" si="53"/>
        <v>#N/A</v>
      </c>
    </row>
    <row r="215" spans="2:64" ht="11.25" customHeight="1">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7">
        <f t="shared" si="44"/>
        <v>2.4536357968618638E-5</v>
      </c>
      <c r="BA215" s="7">
        <f t="shared" si="54"/>
        <v>-4.0600000000000414</v>
      </c>
      <c r="BB215" s="7">
        <f t="shared" si="45"/>
        <v>1.0508526043038254E-4</v>
      </c>
      <c r="BC215" s="7" t="e">
        <f t="shared" si="46"/>
        <v>#N/A</v>
      </c>
      <c r="BD215" s="7">
        <f t="shared" si="47"/>
        <v>-4.060010000000041</v>
      </c>
      <c r="BE215" s="7">
        <f t="shared" si="48"/>
        <v>-4.0599900000000417</v>
      </c>
      <c r="BF215" s="7">
        <f t="shared" si="49"/>
        <v>1.1432618859088634E-3</v>
      </c>
      <c r="BG215" s="7">
        <f t="shared" si="50"/>
        <v>1.143298591056198E-3</v>
      </c>
      <c r="BH215" s="7" t="e">
        <f t="shared" si="51"/>
        <v>#N/A</v>
      </c>
      <c r="BI215" s="7">
        <f t="shared" si="55"/>
        <v>1.0508526043038254E-4</v>
      </c>
      <c r="BJ215" s="7">
        <f t="shared" si="52"/>
        <v>-8.9491473956961748E-4</v>
      </c>
      <c r="BK215" s="7" t="e">
        <f t="shared" si="56"/>
        <v>#N/A</v>
      </c>
      <c r="BL215" s="7" t="e">
        <f t="shared" si="53"/>
        <v>#N/A</v>
      </c>
    </row>
    <row r="216" spans="2:64" ht="11.25" customHeight="1">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7">
        <f t="shared" si="44"/>
        <v>2.5608816473732254E-5</v>
      </c>
      <c r="BA216" s="7">
        <f t="shared" si="54"/>
        <v>-4.0500000000000416</v>
      </c>
      <c r="BB216" s="7">
        <f t="shared" si="45"/>
        <v>1.0943404343978207E-4</v>
      </c>
      <c r="BC216" s="7" t="e">
        <f t="shared" si="46"/>
        <v>#N/A</v>
      </c>
      <c r="BD216" s="7">
        <f t="shared" si="47"/>
        <v>-4.0500100000000412</v>
      </c>
      <c r="BE216" s="7">
        <f t="shared" si="48"/>
        <v>-4.0499900000000419</v>
      </c>
      <c r="BF216" s="7">
        <f t="shared" si="49"/>
        <v>1.1617697944893523E-3</v>
      </c>
      <c r="BG216" s="7">
        <f t="shared" si="50"/>
        <v>1.1618071240431138E-3</v>
      </c>
      <c r="BH216" s="7" t="e">
        <f t="shared" si="51"/>
        <v>#N/A</v>
      </c>
      <c r="BI216" s="7">
        <f t="shared" si="55"/>
        <v>1.0943404343978207E-4</v>
      </c>
      <c r="BJ216" s="7">
        <f t="shared" si="52"/>
        <v>-8.9056595656021793E-4</v>
      </c>
      <c r="BK216" s="7" t="e">
        <f t="shared" si="56"/>
        <v>#N/A</v>
      </c>
      <c r="BL216" s="7" t="e">
        <f t="shared" si="53"/>
        <v>#N/A</v>
      </c>
    </row>
    <row r="217" spans="2:64" ht="11.25" customHeight="1">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7">
        <f t="shared" si="44"/>
        <v>2.6725600715371556E-5</v>
      </c>
      <c r="BA217" s="7">
        <f t="shared" si="54"/>
        <v>-4.0400000000000418</v>
      </c>
      <c r="BB217" s="7">
        <f t="shared" si="45"/>
        <v>1.1395139806884536E-4</v>
      </c>
      <c r="BC217" s="7" t="e">
        <f t="shared" si="46"/>
        <v>#N/A</v>
      </c>
      <c r="BD217" s="7">
        <f t="shared" si="47"/>
        <v>-4.0400100000000414</v>
      </c>
      <c r="BE217" s="7">
        <f t="shared" si="48"/>
        <v>-4.0399900000000422</v>
      </c>
      <c r="BF217" s="7">
        <f t="shared" si="49"/>
        <v>1.1805926440133729E-3</v>
      </c>
      <c r="BG217" s="7">
        <f t="shared" si="50"/>
        <v>1.180630608979156E-3</v>
      </c>
      <c r="BH217" s="7" t="e">
        <f t="shared" si="51"/>
        <v>#N/A</v>
      </c>
      <c r="BI217" s="7">
        <f t="shared" si="55"/>
        <v>1.1395139806884536E-4</v>
      </c>
      <c r="BJ217" s="7">
        <f t="shared" si="52"/>
        <v>-8.8604860193115462E-4</v>
      </c>
      <c r="BK217" s="7" t="e">
        <f t="shared" si="56"/>
        <v>#N/A</v>
      </c>
      <c r="BL217" s="7" t="e">
        <f t="shared" si="53"/>
        <v>#N/A</v>
      </c>
    </row>
    <row r="218" spans="2:64" ht="11.25" customHeight="1">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7">
        <f t="shared" si="44"/>
        <v>2.7888426447075787E-5</v>
      </c>
      <c r="BA218" s="7">
        <f t="shared" si="54"/>
        <v>-4.030000000000042</v>
      </c>
      <c r="BB218" s="7">
        <f t="shared" si="45"/>
        <v>1.1864336075454596E-4</v>
      </c>
      <c r="BC218" s="7" t="e">
        <f t="shared" si="46"/>
        <v>#N/A</v>
      </c>
      <c r="BD218" s="7">
        <f t="shared" si="47"/>
        <v>-4.0300100000000416</v>
      </c>
      <c r="BE218" s="7">
        <f t="shared" si="48"/>
        <v>-4.0299900000000424</v>
      </c>
      <c r="BF218" s="7">
        <f t="shared" si="49"/>
        <v>1.1997359864628968E-3</v>
      </c>
      <c r="BG218" s="7">
        <f t="shared" si="50"/>
        <v>1.1997745980440156E-3</v>
      </c>
      <c r="BH218" s="7" t="e">
        <f t="shared" si="51"/>
        <v>#N/A</v>
      </c>
      <c r="BI218" s="7">
        <f t="shared" si="55"/>
        <v>1.1864336075454596E-4</v>
      </c>
      <c r="BJ218" s="7">
        <f t="shared" si="52"/>
        <v>-8.8135663924545412E-4</v>
      </c>
      <c r="BK218" s="7" t="e">
        <f t="shared" si="56"/>
        <v>#N/A</v>
      </c>
      <c r="BL218" s="7" t="e">
        <f t="shared" si="53"/>
        <v>#N/A</v>
      </c>
    </row>
    <row r="219" spans="2:64" ht="11.25" customHeight="1">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7">
        <f t="shared" si="44"/>
        <v>2.9099070710358887E-5</v>
      </c>
      <c r="BA219" s="7">
        <f t="shared" si="54"/>
        <v>-4.0200000000000422</v>
      </c>
      <c r="BB219" s="7">
        <f t="shared" si="45"/>
        <v>1.2351616334100237E-4</v>
      </c>
      <c r="BC219" s="7" t="e">
        <f t="shared" si="46"/>
        <v>#N/A</v>
      </c>
      <c r="BD219" s="7">
        <f t="shared" si="47"/>
        <v>-4.0200100000000418</v>
      </c>
      <c r="BE219" s="7">
        <f t="shared" si="48"/>
        <v>-4.0199900000000426</v>
      </c>
      <c r="BF219" s="7">
        <f t="shared" si="49"/>
        <v>1.2192054735640436E-3</v>
      </c>
      <c r="BG219" s="7">
        <f t="shared" si="50"/>
        <v>1.2192447431650854E-3</v>
      </c>
      <c r="BH219" s="7" t="e">
        <f t="shared" si="51"/>
        <v>#N/A</v>
      </c>
      <c r="BI219" s="7">
        <f t="shared" si="55"/>
        <v>1.2351616334100237E-4</v>
      </c>
      <c r="BJ219" s="7">
        <f t="shared" si="52"/>
        <v>-8.7648383665899767E-4</v>
      </c>
      <c r="BK219" s="7" t="e">
        <f t="shared" si="56"/>
        <v>#N/A</v>
      </c>
      <c r="BL219" s="7" t="e">
        <f t="shared" si="53"/>
        <v>#N/A</v>
      </c>
    </row>
    <row r="220" spans="2:64" ht="11.25" customHeight="1">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7">
        <f t="shared" si="44"/>
        <v>3.0359373927035804E-5</v>
      </c>
      <c r="BA220" s="7">
        <f t="shared" si="54"/>
        <v>-4.0100000000000424</v>
      </c>
      <c r="BB220" s="7">
        <f t="shared" si="45"/>
        <v>1.2857623858159912E-4</v>
      </c>
      <c r="BC220" s="7" t="e">
        <f t="shared" si="46"/>
        <v>#N/A</v>
      </c>
      <c r="BD220" s="7">
        <f t="shared" si="47"/>
        <v>-4.010010000000042</v>
      </c>
      <c r="BE220" s="7">
        <f t="shared" si="48"/>
        <v>-4.0099900000000428</v>
      </c>
      <c r="BF220" s="7">
        <f t="shared" si="49"/>
        <v>1.2390068585749897E-3</v>
      </c>
      <c r="BG220" s="7">
        <f t="shared" si="50"/>
        <v>1.2390467978054165E-3</v>
      </c>
      <c r="BH220" s="7" t="e">
        <f t="shared" si="51"/>
        <v>#N/A</v>
      </c>
      <c r="BI220" s="7">
        <f t="shared" si="55"/>
        <v>1.2857623858159912E-4</v>
      </c>
      <c r="BJ220" s="7">
        <f t="shared" si="52"/>
        <v>-8.7142376141840085E-4</v>
      </c>
      <c r="BK220" s="7" t="e">
        <f t="shared" si="56"/>
        <v>#N/A</v>
      </c>
      <c r="BL220" s="7" t="e">
        <f t="shared" si="53"/>
        <v>#N/A</v>
      </c>
    </row>
    <row r="221" spans="2:64" ht="11.25" customHeight="1">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7">
        <f t="shared" si="44"/>
        <v>3.1671241833342023E-5</v>
      </c>
      <c r="BA221" s="7">
        <f t="shared" si="54"/>
        <v>-4.0000000000000426</v>
      </c>
      <c r="BB221" s="7">
        <f t="shared" si="45"/>
        <v>1.3383022576486252E-4</v>
      </c>
      <c r="BC221" s="7" t="e">
        <f t="shared" si="46"/>
        <v>#N/A</v>
      </c>
      <c r="BD221" s="7">
        <f t="shared" si="47"/>
        <v>-4.0000100000000423</v>
      </c>
      <c r="BE221" s="7">
        <f t="shared" si="48"/>
        <v>-3.9999900000000426</v>
      </c>
      <c r="BF221" s="7">
        <f t="shared" si="49"/>
        <v>1.2591459981048175E-3</v>
      </c>
      <c r="BG221" s="7">
        <f t="shared" si="50"/>
        <v>1.2591866187826361E-3</v>
      </c>
      <c r="BH221" s="7" t="e">
        <f t="shared" si="51"/>
        <v>#N/A</v>
      </c>
      <c r="BI221" s="7">
        <f t="shared" si="55"/>
        <v>1.3383022576486252E-4</v>
      </c>
      <c r="BJ221" s="7">
        <f t="shared" si="52"/>
        <v>-8.6616977423513756E-4</v>
      </c>
      <c r="BK221" s="7" t="e">
        <f t="shared" si="56"/>
        <v>#N/A</v>
      </c>
      <c r="BL221" s="7" t="e">
        <f t="shared" si="53"/>
        <v>#N/A</v>
      </c>
    </row>
    <row r="222" spans="2:64" ht="11.25" customHeight="1">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7">
        <f t="shared" si="44"/>
        <v>3.3036647628326143E-5</v>
      </c>
      <c r="BA222" s="7">
        <f t="shared" si="54"/>
        <v>-3.9900000000000428</v>
      </c>
      <c r="BB222" s="7">
        <f t="shared" si="45"/>
        <v>1.3928497646573614E-4</v>
      </c>
      <c r="BC222" s="7" t="e">
        <f t="shared" si="46"/>
        <v>#N/A</v>
      </c>
      <c r="BD222" s="7">
        <f t="shared" si="47"/>
        <v>-3.9900100000000429</v>
      </c>
      <c r="BE222" s="7">
        <f t="shared" si="48"/>
        <v>-3.9899900000000428</v>
      </c>
      <c r="BF222" s="7">
        <f t="shared" si="49"/>
        <v>1.279628853963813E-3</v>
      </c>
      <c r="BG222" s="7">
        <f t="shared" si="50"/>
        <v>1.2796701681193131E-3</v>
      </c>
      <c r="BH222" s="7" t="e">
        <f t="shared" si="51"/>
        <v>#N/A</v>
      </c>
      <c r="BI222" s="7">
        <f t="shared" si="55"/>
        <v>1.3928497646573614E-4</v>
      </c>
      <c r="BJ222" s="7">
        <f t="shared" si="52"/>
        <v>-8.6071502353426391E-4</v>
      </c>
      <c r="BK222" s="7" t="e">
        <f t="shared" si="56"/>
        <v>#N/A</v>
      </c>
      <c r="BL222" s="7" t="e">
        <f t="shared" si="53"/>
        <v>#N/A</v>
      </c>
    </row>
    <row r="223" spans="2:64" ht="11.25" customHeight="1">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7">
        <f t="shared" si="44"/>
        <v>3.4457634118689739E-5</v>
      </c>
      <c r="BA223" s="7">
        <f t="shared" si="54"/>
        <v>-3.9800000000000431</v>
      </c>
      <c r="BB223" s="7">
        <f t="shared" si="45"/>
        <v>1.4494756042386617E-4</v>
      </c>
      <c r="BC223" s="7" t="e">
        <f t="shared" si="46"/>
        <v>#N/A</v>
      </c>
      <c r="BD223" s="7">
        <f t="shared" si="47"/>
        <v>-3.9800100000000431</v>
      </c>
      <c r="BE223" s="7">
        <f t="shared" si="48"/>
        <v>-3.979990000000043</v>
      </c>
      <c r="BF223" s="7">
        <f t="shared" si="49"/>
        <v>1.3004614950457049E-3</v>
      </c>
      <c r="BG223" s="7">
        <f t="shared" si="50"/>
        <v>1.300503514925243E-3</v>
      </c>
      <c r="BH223" s="7" t="e">
        <f t="shared" si="51"/>
        <v>#N/A</v>
      </c>
      <c r="BI223" s="7">
        <f t="shared" si="55"/>
        <v>1.4494756042386617E-4</v>
      </c>
      <c r="BJ223" s="7">
        <f t="shared" si="52"/>
        <v>-8.5505243957613387E-4</v>
      </c>
      <c r="BK223" s="7" t="e">
        <f t="shared" si="56"/>
        <v>#N/A</v>
      </c>
      <c r="BL223" s="7" t="e">
        <f t="shared" si="53"/>
        <v>#N/A</v>
      </c>
    </row>
    <row r="224" spans="2:64" ht="11.25" customHeight="1">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7">
        <f t="shared" si="44"/>
        <v>3.5936315906370808E-5</v>
      </c>
      <c r="BA224" s="7">
        <f t="shared" si="54"/>
        <v>-3.9700000000000433</v>
      </c>
      <c r="BB224" s="7">
        <f t="shared" si="45"/>
        <v>1.5082527155049191E-4</v>
      </c>
      <c r="BC224" s="7" t="e">
        <f t="shared" si="46"/>
        <v>#N/A</v>
      </c>
      <c r="BD224" s="7">
        <f t="shared" si="47"/>
        <v>-3.9700100000000433</v>
      </c>
      <c r="BE224" s="7">
        <f t="shared" si="48"/>
        <v>-3.9699900000000432</v>
      </c>
      <c r="BF224" s="7">
        <f t="shared" si="49"/>
        <v>1.3216500992422899E-3</v>
      </c>
      <c r="BG224" s="7">
        <f t="shared" si="50"/>
        <v>1.3216928373121629E-3</v>
      </c>
      <c r="BH224" s="7" t="e">
        <f t="shared" si="51"/>
        <v>#N/A</v>
      </c>
      <c r="BI224" s="7">
        <f t="shared" si="55"/>
        <v>1.5082527155049191E-4</v>
      </c>
      <c r="BJ224" s="7">
        <f t="shared" si="52"/>
        <v>-8.4917472844950814E-4</v>
      </c>
      <c r="BK224" s="7" t="e">
        <f t="shared" si="56"/>
        <v>#N/A</v>
      </c>
      <c r="BL224" s="7" t="e">
        <f t="shared" si="53"/>
        <v>#N/A</v>
      </c>
    </row>
    <row r="225" spans="2:64" ht="11.25" customHeight="1">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7">
        <f t="shared" si="44"/>
        <v>3.7474881691257345E-5</v>
      </c>
      <c r="BA225" s="7">
        <f t="shared" si="54"/>
        <v>-3.9600000000000435</v>
      </c>
      <c r="BB225" s="7">
        <f t="shared" si="45"/>
        <v>1.5692563406550521E-4</v>
      </c>
      <c r="BC225" s="7" t="e">
        <f t="shared" si="46"/>
        <v>#N/A</v>
      </c>
      <c r="BD225" s="7">
        <f t="shared" si="47"/>
        <v>-3.9600100000000436</v>
      </c>
      <c r="BE225" s="7">
        <f t="shared" si="48"/>
        <v>-3.9599900000000434</v>
      </c>
      <c r="BF225" s="7">
        <f t="shared" si="49"/>
        <v>1.3432009602196114E-3</v>
      </c>
      <c r="BG225" s="7">
        <f t="shared" si="50"/>
        <v>1.3432444291704632E-3</v>
      </c>
      <c r="BH225" s="7" t="e">
        <f t="shared" si="51"/>
        <v>#N/A</v>
      </c>
      <c r="BI225" s="7">
        <f t="shared" si="55"/>
        <v>1.5692563406550521E-4</v>
      </c>
      <c r="BJ225" s="7">
        <f t="shared" si="52"/>
        <v>-8.4307436593449481E-4</v>
      </c>
      <c r="BK225" s="7" t="e">
        <f t="shared" si="56"/>
        <v>#N/A</v>
      </c>
      <c r="BL225" s="7" t="e">
        <f t="shared" si="53"/>
        <v>#N/A</v>
      </c>
    </row>
    <row r="226" spans="2:64" ht="11.25" customHeight="1">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7">
        <f t="shared" si="44"/>
        <v>3.9075596598214801E-5</v>
      </c>
      <c r="BA226" s="7">
        <f t="shared" si="54"/>
        <v>-3.9500000000000437</v>
      </c>
      <c r="BB226" s="7">
        <f t="shared" si="45"/>
        <v>1.6325640876621385E-4</v>
      </c>
      <c r="BC226" s="7" t="e">
        <f t="shared" si="46"/>
        <v>#N/A</v>
      </c>
      <c r="BD226" s="7">
        <f t="shared" si="47"/>
        <v>-3.9500100000000438</v>
      </c>
      <c r="BE226" s="7">
        <f t="shared" si="48"/>
        <v>-3.9499900000000436</v>
      </c>
      <c r="BF226" s="7">
        <f t="shared" si="49"/>
        <v>1.3651204703324176E-3</v>
      </c>
      <c r="BG226" s="7">
        <f t="shared" si="50"/>
        <v>1.3651646830818132E-3</v>
      </c>
      <c r="BH226" s="7" t="e">
        <f t="shared" si="51"/>
        <v>#N/A</v>
      </c>
      <c r="BI226" s="7">
        <f t="shared" si="55"/>
        <v>1.6325640876621385E-4</v>
      </c>
      <c r="BJ226" s="7">
        <f t="shared" si="52"/>
        <v>-8.3674359123378614E-4</v>
      </c>
      <c r="BK226" s="7" t="e">
        <f t="shared" si="56"/>
        <v>#N/A</v>
      </c>
      <c r="BL226" s="7" t="e">
        <f t="shared" si="53"/>
        <v>#N/A</v>
      </c>
    </row>
    <row r="227" spans="2:64" ht="11.25" customHeight="1">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7">
        <f t="shared" si="44"/>
        <v>4.0740804561067989E-5</v>
      </c>
      <c r="BA227" s="7">
        <f t="shared" si="54"/>
        <v>-3.9400000000000439</v>
      </c>
      <c r="BB227" s="7">
        <f t="shared" si="45"/>
        <v>1.6982559942931415E-4</v>
      </c>
      <c r="BC227" s="7" t="e">
        <f t="shared" si="46"/>
        <v>#N/A</v>
      </c>
      <c r="BD227" s="7">
        <f t="shared" si="47"/>
        <v>-3.940010000000044</v>
      </c>
      <c r="BE227" s="7">
        <f t="shared" si="48"/>
        <v>-3.9399900000000438</v>
      </c>
      <c r="BF227" s="7">
        <f t="shared" si="49"/>
        <v>1.3874151508804112E-3</v>
      </c>
      <c r="BG227" s="7">
        <f t="shared" si="50"/>
        <v>1.3874601205782987E-3</v>
      </c>
      <c r="BH227" s="7" t="e">
        <f t="shared" si="51"/>
        <v>#N/A</v>
      </c>
      <c r="BI227" s="7">
        <f t="shared" si="55"/>
        <v>1.6982559942931415E-4</v>
      </c>
      <c r="BJ227" s="7">
        <f t="shared" si="52"/>
        <v>-8.3017440057068593E-4</v>
      </c>
      <c r="BK227" s="7" t="e">
        <f t="shared" si="56"/>
        <v>#N/A</v>
      </c>
      <c r="BL227" s="7" t="e">
        <f t="shared" si="53"/>
        <v>#N/A</v>
      </c>
    </row>
    <row r="228" spans="2:64" ht="11.25" customHeight="1">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7">
        <f t="shared" si="44"/>
        <v>4.2472930786296992E-5</v>
      </c>
      <c r="BA228" s="7">
        <f t="shared" si="54"/>
        <v>-3.9300000000000441</v>
      </c>
      <c r="BB228" s="7">
        <f t="shared" si="45"/>
        <v>1.7664145934754029E-4</v>
      </c>
      <c r="BC228" s="7" t="e">
        <f t="shared" si="46"/>
        <v>#N/A</v>
      </c>
      <c r="BD228" s="7">
        <f t="shared" si="47"/>
        <v>-3.9300100000000442</v>
      </c>
      <c r="BE228" s="7">
        <f t="shared" si="48"/>
        <v>-3.9299900000000441</v>
      </c>
      <c r="BF228" s="7">
        <f t="shared" si="49"/>
        <v>1.4100916355611879E-3</v>
      </c>
      <c r="BG228" s="7">
        <f t="shared" si="50"/>
        <v>1.4101373755935798E-3</v>
      </c>
      <c r="BH228" s="7" t="e">
        <f t="shared" si="51"/>
        <v>#N/A</v>
      </c>
      <c r="BI228" s="7">
        <f t="shared" si="55"/>
        <v>1.7664145934754029E-4</v>
      </c>
      <c r="BJ228" s="7">
        <f t="shared" si="52"/>
        <v>-8.2335854065245971E-4</v>
      </c>
      <c r="BK228" s="7" t="e">
        <f t="shared" si="56"/>
        <v>#N/A</v>
      </c>
      <c r="BL228" s="7" t="e">
        <f t="shared" si="53"/>
        <v>#N/A</v>
      </c>
    </row>
    <row r="229" spans="2:64" ht="11.25" customHeight="1">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7">
        <f t="shared" si="44"/>
        <v>4.427448431421066E-5</v>
      </c>
      <c r="BA229" s="7">
        <f t="shared" si="54"/>
        <v>-3.9200000000000443</v>
      </c>
      <c r="BB229" s="7">
        <f t="shared" si="45"/>
        <v>1.837124980024251E-4</v>
      </c>
      <c r="BC229" s="7" t="e">
        <f t="shared" si="46"/>
        <v>#N/A</v>
      </c>
      <c r="BD229" s="7">
        <f t="shared" si="47"/>
        <v>-3.9200100000000444</v>
      </c>
      <c r="BE229" s="7">
        <f t="shared" si="48"/>
        <v>-3.9199900000000443</v>
      </c>
      <c r="BF229" s="7">
        <f t="shared" si="49"/>
        <v>1.433156677147909E-3</v>
      </c>
      <c r="BG229" s="7">
        <f t="shared" si="50"/>
        <v>1.4332032011410702E-3</v>
      </c>
      <c r="BH229" s="7" t="e">
        <f t="shared" si="51"/>
        <v>#N/A</v>
      </c>
      <c r="BI229" s="7">
        <f t="shared" si="55"/>
        <v>1.837124980024251E-4</v>
      </c>
      <c r="BJ229" s="7">
        <f t="shared" si="52"/>
        <v>-8.1628750199757498E-4</v>
      </c>
      <c r="BK229" s="7" t="e">
        <f t="shared" si="56"/>
        <v>#N/A</v>
      </c>
      <c r="BL229" s="7" t="e">
        <f t="shared" si="53"/>
        <v>#N/A</v>
      </c>
    </row>
    <row r="230" spans="2:64" ht="11.25" customHeight="1">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7">
        <f t="shared" si="44"/>
        <v>4.6148060560469162E-5</v>
      </c>
      <c r="BA230" s="7">
        <f t="shared" si="54"/>
        <v>-3.9100000000000446</v>
      </c>
      <c r="BB230" s="7">
        <f t="shared" si="45"/>
        <v>1.9104748787456449E-4</v>
      </c>
      <c r="BC230" s="7" t="e">
        <f t="shared" si="46"/>
        <v>#N/A</v>
      </c>
      <c r="BD230" s="7">
        <f t="shared" si="47"/>
        <v>-3.9100100000000446</v>
      </c>
      <c r="BE230" s="7">
        <f t="shared" si="48"/>
        <v>-3.9099900000000445</v>
      </c>
      <c r="BF230" s="7">
        <f t="shared" si="49"/>
        <v>1.4566171496092734E-3</v>
      </c>
      <c r="BG230" s="7">
        <f t="shared" si="50"/>
        <v>1.4566644714340213E-3</v>
      </c>
      <c r="BH230" s="7" t="e">
        <f t="shared" si="51"/>
        <v>#N/A</v>
      </c>
      <c r="BI230" s="7">
        <f t="shared" si="55"/>
        <v>1.9104748787456449E-4</v>
      </c>
      <c r="BJ230" s="7">
        <f t="shared" si="52"/>
        <v>-8.0895251212543553E-4</v>
      </c>
      <c r="BK230" s="7" t="e">
        <f t="shared" si="56"/>
        <v>#N/A</v>
      </c>
      <c r="BL230" s="7" t="e">
        <f t="shared" si="53"/>
        <v>#N/A</v>
      </c>
    </row>
    <row r="231" spans="2:64" ht="11.25" customHeight="1">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7">
        <f t="shared" si="44"/>
        <v>4.8096344019143977E-5</v>
      </c>
      <c r="BA231" s="7">
        <f t="shared" si="54"/>
        <v>-3.9000000000000448</v>
      </c>
      <c r="BB231" s="7">
        <f t="shared" si="45"/>
        <v>1.9865547139273792E-4</v>
      </c>
      <c r="BC231" s="7" t="e">
        <f t="shared" si="46"/>
        <v>#N/A</v>
      </c>
      <c r="BD231" s="7">
        <f t="shared" si="47"/>
        <v>-3.9000100000000448</v>
      </c>
      <c r="BE231" s="7">
        <f t="shared" si="48"/>
        <v>-3.8999900000000447</v>
      </c>
      <c r="BF231" s="7">
        <f t="shared" si="49"/>
        <v>1.4804800502655584E-3</v>
      </c>
      <c r="BG231" s="7">
        <f t="shared" si="50"/>
        <v>1.4805281840415893E-3</v>
      </c>
      <c r="BH231" s="7" t="e">
        <f t="shared" si="51"/>
        <v>#N/A</v>
      </c>
      <c r="BI231" s="7">
        <f t="shared" si="55"/>
        <v>1.9865547139273792E-4</v>
      </c>
      <c r="BJ231" s="7">
        <f t="shared" si="52"/>
        <v>-8.0134452860726208E-4</v>
      </c>
      <c r="BK231" s="7" t="e">
        <f t="shared" si="56"/>
        <v>#N/A</v>
      </c>
      <c r="BL231" s="7" t="e">
        <f t="shared" si="53"/>
        <v>#N/A</v>
      </c>
    </row>
    <row r="232" spans="2:64" ht="11.25" customHeight="1">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7">
        <f t="shared" si="44"/>
        <v>5.0122110995642899E-5</v>
      </c>
      <c r="BA232" s="7">
        <f t="shared" si="54"/>
        <v>-3.890000000000045</v>
      </c>
      <c r="BB232" s="7">
        <f t="shared" si="45"/>
        <v>2.0654576802318949E-4</v>
      </c>
      <c r="BC232" s="7" t="e">
        <f t="shared" si="46"/>
        <v>#N/A</v>
      </c>
      <c r="BD232" s="7">
        <f t="shared" si="47"/>
        <v>-3.890010000000045</v>
      </c>
      <c r="BE232" s="7">
        <f t="shared" si="48"/>
        <v>-3.8899900000000449</v>
      </c>
      <c r="BF232" s="7">
        <f t="shared" si="49"/>
        <v>1.5047525019812591E-3</v>
      </c>
      <c r="BG232" s="7">
        <f t="shared" si="50"/>
        <v>1.5048014620815794E-3</v>
      </c>
      <c r="BH232" s="7" t="e">
        <f t="shared" si="51"/>
        <v>#N/A</v>
      </c>
      <c r="BI232" s="7">
        <f t="shared" si="55"/>
        <v>2.0654576802318949E-4</v>
      </c>
      <c r="BJ232" s="7">
        <f t="shared" si="52"/>
        <v>-7.9345423197681056E-4</v>
      </c>
      <c r="BK232" s="7" t="e">
        <f t="shared" si="56"/>
        <v>#N/A</v>
      </c>
      <c r="BL232" s="7" t="e">
        <f t="shared" si="53"/>
        <v>#N/A</v>
      </c>
    </row>
    <row r="233" spans="2:64" ht="11.25" customHeight="1">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7">
        <f t="shared" si="44"/>
        <v>5.2228232403694896E-5</v>
      </c>
      <c r="BA233" s="7">
        <f t="shared" si="54"/>
        <v>-3.8800000000000452</v>
      </c>
      <c r="BB233" s="7">
        <f t="shared" si="45"/>
        <v>2.1472798150032926E-4</v>
      </c>
      <c r="BC233" s="7" t="e">
        <f t="shared" si="46"/>
        <v>#N/A</v>
      </c>
      <c r="BD233" s="7">
        <f t="shared" si="47"/>
        <v>-3.8800100000000453</v>
      </c>
      <c r="BE233" s="7">
        <f t="shared" si="48"/>
        <v>-3.8799900000000451</v>
      </c>
      <c r="BF233" s="7">
        <f t="shared" si="49"/>
        <v>1.5294417553948919E-3</v>
      </c>
      <c r="BG233" s="7">
        <f t="shared" si="50"/>
        <v>1.5294915564503194E-3</v>
      </c>
      <c r="BH233" s="7" t="e">
        <f t="shared" si="51"/>
        <v>#N/A</v>
      </c>
      <c r="BI233" s="7">
        <f t="shared" si="55"/>
        <v>2.1472798150032926E-4</v>
      </c>
      <c r="BJ233" s="7">
        <f t="shared" si="52"/>
        <v>-7.8527201849967082E-4</v>
      </c>
      <c r="BK233" s="7" t="e">
        <f t="shared" si="56"/>
        <v>#N/A</v>
      </c>
      <c r="BL233" s="7" t="e">
        <f t="shared" si="53"/>
        <v>#N/A</v>
      </c>
    </row>
    <row r="234" spans="2:64" ht="11.25" customHeight="1">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7">
        <f t="shared" si="44"/>
        <v>5.4417676637052992E-5</v>
      </c>
      <c r="BA234" s="7">
        <f t="shared" si="54"/>
        <v>-3.8700000000000454</v>
      </c>
      <c r="BB234" s="7">
        <f t="shared" si="45"/>
        <v>2.2321200720006276E-4</v>
      </c>
      <c r="BC234" s="7" t="e">
        <f t="shared" si="46"/>
        <v>#N/A</v>
      </c>
      <c r="BD234" s="7">
        <f t="shared" si="47"/>
        <v>-3.8700100000000455</v>
      </c>
      <c r="BE234" s="7">
        <f t="shared" si="48"/>
        <v>-3.8699900000000453</v>
      </c>
      <c r="BF234" s="7">
        <f t="shared" si="49"/>
        <v>1.5545551911864944E-3</v>
      </c>
      <c r="BG234" s="7">
        <f t="shared" si="50"/>
        <v>1.5546058480902303E-3</v>
      </c>
      <c r="BH234" s="7" t="e">
        <f t="shared" si="51"/>
        <v>#N/A</v>
      </c>
      <c r="BI234" s="7">
        <f t="shared" si="55"/>
        <v>2.2321200720006276E-4</v>
      </c>
      <c r="BJ234" s="7">
        <f t="shared" si="52"/>
        <v>-7.7678799279993723E-4</v>
      </c>
      <c r="BK234" s="7" t="e">
        <f t="shared" si="56"/>
        <v>#N/A</v>
      </c>
      <c r="BL234" s="7" t="e">
        <f t="shared" si="53"/>
        <v>#N/A</v>
      </c>
    </row>
    <row r="235" spans="2:64" ht="11.25" customHeight="1">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7">
        <f t="shared" si="44"/>
        <v>5.6693512537453472E-5</v>
      </c>
      <c r="BA235" s="7">
        <f t="shared" si="54"/>
        <v>-3.8600000000000456</v>
      </c>
      <c r="BB235" s="7">
        <f t="shared" si="45"/>
        <v>2.3200803965690134E-4</v>
      </c>
      <c r="BC235" s="7" t="e">
        <f t="shared" si="46"/>
        <v>#N/A</v>
      </c>
      <c r="BD235" s="7">
        <f t="shared" si="47"/>
        <v>-3.8600100000000457</v>
      </c>
      <c r="BE235" s="7">
        <f t="shared" si="48"/>
        <v>-3.8599900000000456</v>
      </c>
      <c r="BF235" s="7">
        <f t="shared" si="49"/>
        <v>1.5801003223834236E-3</v>
      </c>
      <c r="BG235" s="7">
        <f t="shared" si="50"/>
        <v>1.580151850295691E-3</v>
      </c>
      <c r="BH235" s="7" t="e">
        <f t="shared" si="51"/>
        <v>#N/A</v>
      </c>
      <c r="BI235" s="7">
        <f t="shared" si="55"/>
        <v>2.3200803965690134E-4</v>
      </c>
      <c r="BJ235" s="7">
        <f t="shared" si="52"/>
        <v>-7.6799196034309865E-4</v>
      </c>
      <c r="BK235" s="7" t="e">
        <f t="shared" si="56"/>
        <v>#N/A</v>
      </c>
      <c r="BL235" s="7" t="e">
        <f t="shared" si="53"/>
        <v>#N/A</v>
      </c>
    </row>
    <row r="236" spans="2:64" ht="11.25" customHeight="1">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7">
        <f t="shared" si="44"/>
        <v>5.9058912420306697E-5</v>
      </c>
      <c r="BA236" s="7">
        <f t="shared" si="54"/>
        <v>-3.8500000000000458</v>
      </c>
      <c r="BB236" s="7">
        <f t="shared" si="45"/>
        <v>2.4112658022595082E-4</v>
      </c>
      <c r="BC236" s="7" t="e">
        <f t="shared" si="46"/>
        <v>#N/A</v>
      </c>
      <c r="BD236" s="7">
        <f t="shared" si="47"/>
        <v>-3.8500100000000459</v>
      </c>
      <c r="BE236" s="7">
        <f t="shared" si="48"/>
        <v>-3.8499900000000458</v>
      </c>
      <c r="BF236" s="7">
        <f t="shared" si="49"/>
        <v>1.6060847967049405E-3</v>
      </c>
      <c r="BG236" s="7">
        <f t="shared" si="50"/>
        <v>1.6061372110577287E-3</v>
      </c>
      <c r="BH236" s="7" t="e">
        <f t="shared" si="51"/>
        <v>#N/A</v>
      </c>
      <c r="BI236" s="7">
        <f t="shared" si="55"/>
        <v>2.4112658022595082E-4</v>
      </c>
      <c r="BJ236" s="7">
        <f t="shared" si="52"/>
        <v>-7.5887341977404926E-4</v>
      </c>
      <c r="BK236" s="7" t="e">
        <f t="shared" si="56"/>
        <v>#N/A</v>
      </c>
      <c r="BL236" s="7" t="e">
        <f t="shared" si="53"/>
        <v>#N/A</v>
      </c>
    </row>
    <row r="237" spans="2:64" ht="11.25" customHeight="1">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7">
        <f t="shared" si="44"/>
        <v>6.1517155179990901E-5</v>
      </c>
      <c r="BA237" s="7">
        <f t="shared" si="54"/>
        <v>-3.840000000000046</v>
      </c>
      <c r="BB237" s="7">
        <f t="shared" si="45"/>
        <v>2.5057844489081646E-4</v>
      </c>
      <c r="BC237" s="7" t="e">
        <f t="shared" si="46"/>
        <v>#N/A</v>
      </c>
      <c r="BD237" s="7">
        <f t="shared" si="47"/>
        <v>-3.8400100000000461</v>
      </c>
      <c r="BE237" s="7">
        <f t="shared" si="48"/>
        <v>-3.839990000000046</v>
      </c>
      <c r="BF237" s="7">
        <f t="shared" si="49"/>
        <v>1.6325163989462349E-3</v>
      </c>
      <c r="BG237" s="7">
        <f t="shared" si="50"/>
        <v>1.6325697154480994E-3</v>
      </c>
      <c r="BH237" s="7" t="e">
        <f t="shared" si="51"/>
        <v>#N/A</v>
      </c>
      <c r="BI237" s="7">
        <f t="shared" si="55"/>
        <v>2.5057844489081646E-4</v>
      </c>
      <c r="BJ237" s="7">
        <f t="shared" si="52"/>
        <v>-7.4942155510918356E-4</v>
      </c>
      <c r="BK237" s="7" t="e">
        <f t="shared" si="56"/>
        <v>#N/A</v>
      </c>
      <c r="BL237" s="7" t="e">
        <f t="shared" si="53"/>
        <v>#N/A</v>
      </c>
    </row>
    <row r="238" spans="2:64" ht="11.25" customHeight="1">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7">
        <f t="shared" si="44"/>
        <v>6.407162949062517E-5</v>
      </c>
      <c r="BA238" s="7">
        <f t="shared" si="54"/>
        <v>-3.8300000000000463</v>
      </c>
      <c r="BB238" s="7">
        <f t="shared" si="45"/>
        <v>2.6037477221839639E-4</v>
      </c>
      <c r="BC238" s="7" t="e">
        <f t="shared" si="46"/>
        <v>#N/A</v>
      </c>
      <c r="BD238" s="7">
        <f t="shared" si="47"/>
        <v>-3.8300100000000463</v>
      </c>
      <c r="BE238" s="7">
        <f t="shared" si="48"/>
        <v>-3.8299900000000462</v>
      </c>
      <c r="BF238" s="7">
        <f t="shared" si="49"/>
        <v>1.6594030534024195E-3</v>
      </c>
      <c r="BG238" s="7">
        <f t="shared" si="50"/>
        <v>1.6594572880433687E-3</v>
      </c>
      <c r="BH238" s="7" t="e">
        <f t="shared" si="51"/>
        <v>#N/A</v>
      </c>
      <c r="BI238" s="7">
        <f t="shared" si="55"/>
        <v>2.6037477221839639E-4</v>
      </c>
      <c r="BJ238" s="7">
        <f t="shared" si="52"/>
        <v>-7.3962522778160363E-4</v>
      </c>
      <c r="BK238" s="7" t="e">
        <f t="shared" si="56"/>
        <v>#N/A</v>
      </c>
      <c r="BL238" s="7" t="e">
        <f t="shared" si="53"/>
        <v>#N/A</v>
      </c>
    </row>
    <row r="239" spans="2:64" ht="11.25" customHeight="1">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7">
        <f t="shared" si="44"/>
        <v>6.672583702682644E-5</v>
      </c>
      <c r="BA239" s="7">
        <f t="shared" si="54"/>
        <v>-3.8200000000000465</v>
      </c>
      <c r="BB239" s="7">
        <f t="shared" si="45"/>
        <v>2.7052703146147292E-4</v>
      </c>
      <c r="BC239" s="7" t="e">
        <f t="shared" si="46"/>
        <v>#N/A</v>
      </c>
      <c r="BD239" s="7">
        <f t="shared" si="47"/>
        <v>-3.8200100000000465</v>
      </c>
      <c r="BE239" s="7">
        <f t="shared" si="48"/>
        <v>-3.8199900000000464</v>
      </c>
      <c r="BF239" s="7">
        <f t="shared" si="49"/>
        <v>1.6867528263330538E-3</v>
      </c>
      <c r="BG239" s="7">
        <f t="shared" si="50"/>
        <v>1.6868079953895232E-3</v>
      </c>
      <c r="BH239" s="7" t="e">
        <f t="shared" si="51"/>
        <v>#N/A</v>
      </c>
      <c r="BI239" s="7">
        <f t="shared" si="55"/>
        <v>2.7052703146147292E-4</v>
      </c>
      <c r="BJ239" s="7">
        <f t="shared" si="52"/>
        <v>-7.2947296853852705E-4</v>
      </c>
      <c r="BK239" s="7" t="e">
        <f t="shared" si="56"/>
        <v>#N/A</v>
      </c>
      <c r="BL239" s="7" t="e">
        <f t="shared" si="53"/>
        <v>#N/A</v>
      </c>
    </row>
    <row r="240" spans="2:64" ht="11.25" customHeight="1">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7">
        <f t="shared" si="44"/>
        <v>6.9483395876757115E-5</v>
      </c>
      <c r="BA240" s="7">
        <f t="shared" si="54"/>
        <v>-3.8100000000000467</v>
      </c>
      <c r="BB240" s="7">
        <f t="shared" si="45"/>
        <v>2.8104703080993634E-4</v>
      </c>
      <c r="BC240" s="7" t="e">
        <f t="shared" si="46"/>
        <v>#N/A</v>
      </c>
      <c r="BD240" s="7">
        <f t="shared" si="47"/>
        <v>-3.8100100000000467</v>
      </c>
      <c r="BE240" s="7">
        <f t="shared" si="48"/>
        <v>-3.8099900000000466</v>
      </c>
      <c r="BF240" s="7">
        <f t="shared" si="49"/>
        <v>1.7145739284678558E-3</v>
      </c>
      <c r="BG240" s="7">
        <f t="shared" si="50"/>
        <v>1.7146300485077603E-3</v>
      </c>
      <c r="BH240" s="7" t="e">
        <f t="shared" si="51"/>
        <v>#N/A</v>
      </c>
      <c r="BI240" s="7">
        <f t="shared" si="55"/>
        <v>2.8104703080993634E-4</v>
      </c>
      <c r="BJ240" s="7">
        <f t="shared" si="52"/>
        <v>-7.1895296919006362E-4</v>
      </c>
      <c r="BK240" s="7" t="e">
        <f t="shared" si="56"/>
        <v>#N/A</v>
      </c>
      <c r="BL240" s="7" t="e">
        <f t="shared" si="53"/>
        <v>#N/A</v>
      </c>
    </row>
    <row r="241" spans="2:64" ht="11.25" customHeight="1">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7">
        <f t="shared" si="44"/>
        <v>7.234804392375338E-5</v>
      </c>
      <c r="BA241" s="7">
        <f t="shared" si="54"/>
        <v>-3.8000000000000469</v>
      </c>
      <c r="BB241" s="7">
        <f t="shared" si="45"/>
        <v>2.9194692579140812E-4</v>
      </c>
      <c r="BC241" s="7" t="e">
        <f t="shared" si="46"/>
        <v>#N/A</v>
      </c>
      <c r="BD241" s="7">
        <f t="shared" si="47"/>
        <v>-3.800010000000047</v>
      </c>
      <c r="BE241" s="7">
        <f t="shared" si="48"/>
        <v>-3.7999900000000468</v>
      </c>
      <c r="BF241" s="7">
        <f t="shared" si="49"/>
        <v>1.7428747175540903E-3</v>
      </c>
      <c r="BG241" s="7">
        <f t="shared" si="50"/>
        <v>1.7429318054419621E-3</v>
      </c>
      <c r="BH241" s="7" t="e">
        <f t="shared" si="51"/>
        <v>#N/A</v>
      </c>
      <c r="BI241" s="7">
        <f t="shared" si="55"/>
        <v>2.9194692579140812E-4</v>
      </c>
      <c r="BJ241" s="7">
        <f t="shared" si="52"/>
        <v>-7.080530742085919E-4</v>
      </c>
      <c r="BK241" s="7" t="e">
        <f t="shared" si="56"/>
        <v>#N/A</v>
      </c>
      <c r="BL241" s="7" t="e">
        <f t="shared" si="53"/>
        <v>#N/A</v>
      </c>
    </row>
    <row r="242" spans="2:64" ht="11.25" customHeight="1">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7">
        <f t="shared" si="44"/>
        <v>7.5323642377167488E-5</v>
      </c>
      <c r="BA242" s="7">
        <f t="shared" si="54"/>
        <v>-3.7900000000000471</v>
      </c>
      <c r="BB242" s="7">
        <f t="shared" si="45"/>
        <v>3.0323922782195001E-4</v>
      </c>
      <c r="BC242" s="7" t="e">
        <f t="shared" si="46"/>
        <v>#N/A</v>
      </c>
      <c r="BD242" s="7">
        <f t="shared" si="47"/>
        <v>-3.7900100000000472</v>
      </c>
      <c r="BE242" s="7">
        <f t="shared" si="48"/>
        <v>-3.789990000000047</v>
      </c>
      <c r="BF242" s="7">
        <f t="shared" si="49"/>
        <v>1.7716637009463367E-3</v>
      </c>
      <c r="BG242" s="7">
        <f t="shared" si="50"/>
        <v>1.7717217738485451E-3</v>
      </c>
      <c r="BH242" s="7" t="e">
        <f t="shared" si="51"/>
        <v>#N/A</v>
      </c>
      <c r="BI242" s="7">
        <f t="shared" si="55"/>
        <v>3.0323922782195001E-4</v>
      </c>
      <c r="BJ242" s="7">
        <f t="shared" si="52"/>
        <v>-6.9676077217805006E-4</v>
      </c>
      <c r="BK242" s="7" t="e">
        <f t="shared" si="56"/>
        <v>#N/A</v>
      </c>
      <c r="BL242" s="7" t="e">
        <f t="shared" si="53"/>
        <v>#N/A</v>
      </c>
    </row>
    <row r="243" spans="2:64" ht="11.25" customHeight="1">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7">
        <f t="shared" si="44"/>
        <v>7.8414179386809835E-5</v>
      </c>
      <c r="BA243" s="7">
        <f t="shared" si="54"/>
        <v>-3.7800000000000473</v>
      </c>
      <c r="BB243" s="7">
        <f t="shared" si="45"/>
        <v>3.1493681290746528E-4</v>
      </c>
      <c r="BC243" s="7" t="e">
        <f t="shared" si="46"/>
        <v>#N/A</v>
      </c>
      <c r="BD243" s="7">
        <f t="shared" si="47"/>
        <v>-3.7800100000000474</v>
      </c>
      <c r="BE243" s="7">
        <f t="shared" si="48"/>
        <v>-3.7799900000000473</v>
      </c>
      <c r="BF243" s="7">
        <f t="shared" si="49"/>
        <v>1.8009495382391456E-3</v>
      </c>
      <c r="BG243" s="7">
        <f t="shared" si="50"/>
        <v>1.8010086136292045E-3</v>
      </c>
      <c r="BH243" s="7" t="e">
        <f t="shared" si="51"/>
        <v>#N/A</v>
      </c>
      <c r="BI243" s="7">
        <f t="shared" si="55"/>
        <v>3.1493681290746528E-4</v>
      </c>
      <c r="BJ243" s="7">
        <f t="shared" si="52"/>
        <v>-6.8506318709253469E-4</v>
      </c>
      <c r="BK243" s="7" t="e">
        <f t="shared" si="56"/>
        <v>#N/A</v>
      </c>
      <c r="BL243" s="7" t="e">
        <f t="shared" si="53"/>
        <v>#N/A</v>
      </c>
    </row>
    <row r="244" spans="2:64" ht="11.25" customHeight="1">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7">
        <f t="shared" si="44"/>
        <v>8.1623773703354274E-5</v>
      </c>
      <c r="BA244" s="7">
        <f t="shared" si="54"/>
        <v>-3.7700000000000475</v>
      </c>
      <c r="BB244" s="7">
        <f t="shared" si="45"/>
        <v>3.2705293049631627E-4</v>
      </c>
      <c r="BC244" s="7" t="e">
        <f t="shared" si="46"/>
        <v>#N/A</v>
      </c>
      <c r="BD244" s="7">
        <f t="shared" si="47"/>
        <v>-3.7700100000000476</v>
      </c>
      <c r="BE244" s="7">
        <f t="shared" si="48"/>
        <v>-3.7699900000000475</v>
      </c>
      <c r="BF244" s="7">
        <f t="shared" si="49"/>
        <v>1.8307410439432396E-3</v>
      </c>
      <c r="BG244" s="7">
        <f t="shared" si="50"/>
        <v>1.8308011396072107E-3</v>
      </c>
      <c r="BH244" s="7" t="e">
        <f t="shared" si="51"/>
        <v>#N/A</v>
      </c>
      <c r="BI244" s="7">
        <f t="shared" si="55"/>
        <v>3.2705293049631627E-4</v>
      </c>
      <c r="BJ244" s="7">
        <f t="shared" si="52"/>
        <v>-6.7294706950368375E-4</v>
      </c>
      <c r="BK244" s="7" t="e">
        <f t="shared" si="56"/>
        <v>#N/A</v>
      </c>
      <c r="BL244" s="7" t="e">
        <f t="shared" si="53"/>
        <v>#N/A</v>
      </c>
    </row>
    <row r="245" spans="2:64" ht="11.25" customHeight="1">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7">
        <f t="shared" si="44"/>
        <v>8.4956678496284077E-5</v>
      </c>
      <c r="BA245" s="7">
        <f t="shared" si="54"/>
        <v>-3.7600000000000477</v>
      </c>
      <c r="BB245" s="7">
        <f t="shared" si="45"/>
        <v>3.3960121248359352E-4</v>
      </c>
      <c r="BC245" s="7" t="e">
        <f t="shared" si="46"/>
        <v>#N/A</v>
      </c>
      <c r="BD245" s="7">
        <f t="shared" si="47"/>
        <v>-3.7600100000000478</v>
      </c>
      <c r="BE245" s="7">
        <f t="shared" si="48"/>
        <v>-3.7599900000000477</v>
      </c>
      <c r="BF245" s="7">
        <f t="shared" si="49"/>
        <v>1.8610471902058578E-3</v>
      </c>
      <c r="BG245" s="7">
        <f t="shared" si="50"/>
        <v>1.8611083242478267E-3</v>
      </c>
      <c r="BH245" s="7" t="e">
        <f t="shared" si="51"/>
        <v>#N/A</v>
      </c>
      <c r="BI245" s="7">
        <f t="shared" si="55"/>
        <v>3.3960121248359352E-4</v>
      </c>
      <c r="BJ245" s="7">
        <f t="shared" si="52"/>
        <v>-6.6039878751640644E-4</v>
      </c>
      <c r="BK245" s="7" t="e">
        <f t="shared" si="56"/>
        <v>#N/A</v>
      </c>
      <c r="BL245" s="7" t="e">
        <f t="shared" si="53"/>
        <v>#N/A</v>
      </c>
    </row>
    <row r="246" spans="2:64" ht="11.25" customHeight="1">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7">
        <f t="shared" si="44"/>
        <v>8.8417285197595064E-5</v>
      </c>
      <c r="BA246" s="7">
        <f t="shared" si="54"/>
        <v>-3.750000000000048</v>
      </c>
      <c r="BB246" s="7">
        <f t="shared" si="45"/>
        <v>3.5259568236738209E-4</v>
      </c>
      <c r="BC246" s="7" t="e">
        <f t="shared" si="46"/>
        <v>#N/A</v>
      </c>
      <c r="BD246" s="7">
        <f t="shared" si="47"/>
        <v>-3.750010000000048</v>
      </c>
      <c r="BE246" s="7">
        <f t="shared" si="48"/>
        <v>-3.7499900000000479</v>
      </c>
      <c r="BF246" s="7">
        <f t="shared" si="49"/>
        <v>1.8918771095758336E-3</v>
      </c>
      <c r="BG246" s="7">
        <f t="shared" si="50"/>
        <v>1.8919393004234915E-3</v>
      </c>
      <c r="BH246" s="7" t="e">
        <f t="shared" si="51"/>
        <v>#N/A</v>
      </c>
      <c r="BI246" s="7">
        <f t="shared" si="55"/>
        <v>3.5259568236738209E-4</v>
      </c>
      <c r="BJ246" s="7">
        <f t="shared" si="52"/>
        <v>-6.4740431763261799E-4</v>
      </c>
      <c r="BK246" s="7" t="e">
        <f t="shared" si="56"/>
        <v>#N/A</v>
      </c>
      <c r="BL246" s="7" t="e">
        <f t="shared" si="53"/>
        <v>#N/A</v>
      </c>
    </row>
    <row r="247" spans="2:64" ht="11.25" customHeight="1">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7">
        <f t="shared" si="44"/>
        <v>9.2010127474173586E-5</v>
      </c>
      <c r="BA247" s="7">
        <f t="shared" si="54"/>
        <v>-3.7400000000000482</v>
      </c>
      <c r="BB247" s="7">
        <f t="shared" si="45"/>
        <v>3.6605076455726925E-4</v>
      </c>
      <c r="BC247" s="7" t="e">
        <f t="shared" si="46"/>
        <v>#N/A</v>
      </c>
      <c r="BD247" s="7">
        <f t="shared" si="47"/>
        <v>-3.7400100000000482</v>
      </c>
      <c r="BE247" s="7">
        <f t="shared" si="48"/>
        <v>-3.7399900000000481</v>
      </c>
      <c r="BF247" s="7">
        <f t="shared" si="49"/>
        <v>1.9232400978140714E-3</v>
      </c>
      <c r="BG247" s="7">
        <f t="shared" si="50"/>
        <v>1.9233033642243845E-3</v>
      </c>
      <c r="BH247" s="7" t="e">
        <f t="shared" si="51"/>
        <v>#N/A</v>
      </c>
      <c r="BI247" s="7">
        <f t="shared" si="55"/>
        <v>3.6605076455726925E-4</v>
      </c>
      <c r="BJ247" s="7">
        <f t="shared" si="52"/>
        <v>-6.3394923544273082E-4</v>
      </c>
      <c r="BK247" s="7" t="e">
        <f t="shared" si="56"/>
        <v>#N/A</v>
      </c>
      <c r="BL247" s="7" t="e">
        <f t="shared" si="53"/>
        <v>#N/A</v>
      </c>
    </row>
    <row r="248" spans="2:64" ht="11.25" customHeight="1">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7">
        <f t="shared" si="44"/>
        <v>9.5739885271006742E-5</v>
      </c>
      <c r="BA248" s="7">
        <f t="shared" si="54"/>
        <v>-3.7300000000000484</v>
      </c>
      <c r="BB248" s="7">
        <f t="shared" si="45"/>
        <v>3.7998129383525289E-4</v>
      </c>
      <c r="BC248" s="7" t="e">
        <f t="shared" si="46"/>
        <v>#N/A</v>
      </c>
      <c r="BD248" s="7">
        <f t="shared" si="47"/>
        <v>-3.7300100000000485</v>
      </c>
      <c r="BE248" s="7">
        <f t="shared" si="48"/>
        <v>-3.7299900000000483</v>
      </c>
      <c r="BF248" s="7">
        <f t="shared" si="49"/>
        <v>1.9551456167499993E-3</v>
      </c>
      <c r="BG248" s="7">
        <f t="shared" si="50"/>
        <v>1.9552099778149547E-3</v>
      </c>
      <c r="BH248" s="7" t="e">
        <f t="shared" si="51"/>
        <v>#N/A</v>
      </c>
      <c r="BI248" s="7">
        <f t="shared" si="55"/>
        <v>3.7998129383525289E-4</v>
      </c>
      <c r="BJ248" s="7">
        <f t="shared" si="52"/>
        <v>-6.2001870616474708E-4</v>
      </c>
      <c r="BK248" s="7" t="e">
        <f t="shared" si="56"/>
        <v>#N/A</v>
      </c>
      <c r="BL248" s="7" t="e">
        <f t="shared" si="53"/>
        <v>#N/A</v>
      </c>
    </row>
    <row r="249" spans="2:64" ht="11.25" customHeight="1">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7">
        <f t="shared" si="44"/>
        <v>9.9611388974185644E-5</v>
      </c>
      <c r="BA249" s="7">
        <f t="shared" si="54"/>
        <v>-3.7200000000000486</v>
      </c>
      <c r="BB249" s="7">
        <f t="shared" si="45"/>
        <v>3.9440252496908504E-4</v>
      </c>
      <c r="BC249" s="7" t="e">
        <f t="shared" si="46"/>
        <v>#N/A</v>
      </c>
      <c r="BD249" s="7">
        <f t="shared" si="47"/>
        <v>-3.7200100000000487</v>
      </c>
      <c r="BE249" s="7">
        <f t="shared" si="48"/>
        <v>-3.7199900000000485</v>
      </c>
      <c r="BF249" s="7">
        <f t="shared" si="49"/>
        <v>1.9876032971846329E-3</v>
      </c>
      <c r="BG249" s="7">
        <f t="shared" si="50"/>
        <v>1.9876687723371085E-3</v>
      </c>
      <c r="BH249" s="7" t="e">
        <f t="shared" si="51"/>
        <v>#N/A</v>
      </c>
      <c r="BI249" s="7">
        <f t="shared" si="55"/>
        <v>3.9440252496908504E-4</v>
      </c>
      <c r="BJ249" s="7">
        <f t="shared" si="52"/>
        <v>-6.0559747503091503E-4</v>
      </c>
      <c r="BK249" s="7" t="e">
        <f t="shared" si="56"/>
        <v>#N/A</v>
      </c>
      <c r="BL249" s="7" t="e">
        <f t="shared" si="53"/>
        <v>#N/A</v>
      </c>
    </row>
    <row r="250" spans="2:64" ht="11.25" customHeight="1">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7">
        <f t="shared" si="44"/>
        <v>1.0362962367671535E-4</v>
      </c>
      <c r="BA250" s="7">
        <f t="shared" si="54"/>
        <v>-3.7100000000000488</v>
      </c>
      <c r="BB250" s="7">
        <f t="shared" si="45"/>
        <v>4.0933014247800456E-4</v>
      </c>
      <c r="BC250" s="7" t="e">
        <f t="shared" si="46"/>
        <v>#N/A</v>
      </c>
      <c r="BD250" s="7">
        <f t="shared" si="47"/>
        <v>-3.7100100000000489</v>
      </c>
      <c r="BE250" s="7">
        <f t="shared" si="48"/>
        <v>-3.7099900000000487</v>
      </c>
      <c r="BF250" s="7">
        <f t="shared" si="49"/>
        <v>2.0206229418409109E-3</v>
      </c>
      <c r="BG250" s="7">
        <f t="shared" si="50"/>
        <v>2.020689550860618E-3</v>
      </c>
      <c r="BH250" s="7" t="e">
        <f t="shared" si="51"/>
        <v>#N/A</v>
      </c>
      <c r="BI250" s="7">
        <f t="shared" si="55"/>
        <v>4.0933014247800456E-4</v>
      </c>
      <c r="BJ250" s="7">
        <f t="shared" si="52"/>
        <v>-5.9066985752199552E-4</v>
      </c>
      <c r="BK250" s="7" t="e">
        <f t="shared" si="56"/>
        <v>#N/A</v>
      </c>
      <c r="BL250" s="7" t="e">
        <f t="shared" si="53"/>
        <v>#N/A</v>
      </c>
    </row>
    <row r="251" spans="2:64" ht="11.25" customHeight="1">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7">
        <f t="shared" si="44"/>
        <v>1.0779973347707639E-4</v>
      </c>
      <c r="BA251" s="7">
        <f t="shared" si="54"/>
        <v>-3.700000000000049</v>
      </c>
      <c r="BB251" s="7">
        <f t="shared" si="45"/>
        <v>4.247802705506744E-4</v>
      </c>
      <c r="BC251" s="7" t="e">
        <f t="shared" si="46"/>
        <v>#N/A</v>
      </c>
      <c r="BD251" s="7">
        <f t="shared" si="47"/>
        <v>-3.7000100000000491</v>
      </c>
      <c r="BE251" s="7">
        <f t="shared" si="48"/>
        <v>-3.699990000000049</v>
      </c>
      <c r="BF251" s="7">
        <f t="shared" si="49"/>
        <v>2.0542145283618963E-3</v>
      </c>
      <c r="BG251" s="7">
        <f t="shared" si="50"/>
        <v>2.0542822913814187E-3</v>
      </c>
      <c r="BH251" s="7" t="e">
        <f t="shared" si="51"/>
        <v>#N/A</v>
      </c>
      <c r="BI251" s="7">
        <f t="shared" si="55"/>
        <v>4.247802705506744E-4</v>
      </c>
      <c r="BJ251" s="7">
        <f t="shared" si="52"/>
        <v>-5.7521972944932567E-4</v>
      </c>
      <c r="BK251" s="7" t="e">
        <f t="shared" si="56"/>
        <v>#N/A</v>
      </c>
      <c r="BL251" s="7" t="e">
        <f t="shared" si="53"/>
        <v>#N/A</v>
      </c>
    </row>
    <row r="252" spans="2:64" ht="11.25" customHeight="1">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7">
        <f t="shared" si="44"/>
        <v>1.1212702598506485E-4</v>
      </c>
      <c r="BA252" s="7">
        <f t="shared" si="54"/>
        <v>-3.6900000000000492</v>
      </c>
      <c r="BB252" s="7">
        <f t="shared" si="45"/>
        <v>4.4076948311505218E-4</v>
      </c>
      <c r="BC252" s="7" t="e">
        <f t="shared" si="46"/>
        <v>#N/A</v>
      </c>
      <c r="BD252" s="7">
        <f t="shared" si="47"/>
        <v>-3.6900100000000493</v>
      </c>
      <c r="BE252" s="7">
        <f t="shared" si="48"/>
        <v>-3.6899900000000492</v>
      </c>
      <c r="BF252" s="7">
        <f t="shared" si="49"/>
        <v>2.0883882123575006E-3</v>
      </c>
      <c r="BG252" s="7">
        <f t="shared" si="50"/>
        <v>2.0884571498684442E-3</v>
      </c>
      <c r="BH252" s="7" t="e">
        <f t="shared" si="51"/>
        <v>#N/A</v>
      </c>
      <c r="BI252" s="7">
        <f t="shared" si="55"/>
        <v>4.4076948311505218E-4</v>
      </c>
      <c r="BJ252" s="7">
        <f t="shared" si="52"/>
        <v>-5.5923051688494779E-4</v>
      </c>
      <c r="BK252" s="7" t="e">
        <f t="shared" si="56"/>
        <v>#N/A</v>
      </c>
      <c r="BL252" s="7" t="e">
        <f t="shared" si="53"/>
        <v>#N/A</v>
      </c>
    </row>
    <row r="253" spans="2:64" ht="11.25" customHeight="1">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7">
        <f t="shared" si="44"/>
        <v>1.1661697681519811E-4</v>
      </c>
      <c r="BA253" s="7">
        <f t="shared" si="54"/>
        <v>-3.6800000000000495</v>
      </c>
      <c r="BB253" s="7">
        <f t="shared" si="45"/>
        <v>4.5731481405977348E-4</v>
      </c>
      <c r="BC253" s="7" t="e">
        <f t="shared" si="46"/>
        <v>#N/A</v>
      </c>
      <c r="BD253" s="7">
        <f t="shared" si="47"/>
        <v>-3.6800100000000495</v>
      </c>
      <c r="BE253" s="7">
        <f t="shared" si="48"/>
        <v>-3.6799900000000494</v>
      </c>
      <c r="BF253" s="7">
        <f t="shared" si="49"/>
        <v>2.1231543305003679E-3</v>
      </c>
      <c r="BG253" s="7">
        <f t="shared" si="50"/>
        <v>2.1232244633595985E-3</v>
      </c>
      <c r="BH253" s="7" t="e">
        <f t="shared" si="51"/>
        <v>#N/A</v>
      </c>
      <c r="BI253" s="7">
        <f t="shared" si="55"/>
        <v>4.5731481405977348E-4</v>
      </c>
      <c r="BJ253" s="7">
        <f t="shared" si="52"/>
        <v>-5.4268518594022654E-4</v>
      </c>
      <c r="BK253" s="7" t="e">
        <f t="shared" si="56"/>
        <v>#N/A</v>
      </c>
      <c r="BL253" s="7" t="e">
        <f t="shared" si="53"/>
        <v>#N/A</v>
      </c>
    </row>
    <row r="254" spans="2:64" ht="11.25" customHeight="1">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7">
        <f t="shared" si="44"/>
        <v>1.2127523428429043E-4</v>
      </c>
      <c r="BA254" s="7">
        <f t="shared" si="54"/>
        <v>-3.6700000000000497</v>
      </c>
      <c r="BB254" s="7">
        <f t="shared" si="45"/>
        <v>4.7443376760653423E-4</v>
      </c>
      <c r="BC254" s="7" t="e">
        <f t="shared" si="46"/>
        <v>#N/A</v>
      </c>
      <c r="BD254" s="7">
        <f t="shared" si="47"/>
        <v>-3.6700100000000497</v>
      </c>
      <c r="BE254" s="7">
        <f t="shared" si="48"/>
        <v>-3.6699900000000496</v>
      </c>
      <c r="BF254" s="7">
        <f t="shared" si="49"/>
        <v>2.1585234036715834E-3</v>
      </c>
      <c r="BG254" s="7">
        <f t="shared" si="50"/>
        <v>2.1585947531075635E-3</v>
      </c>
      <c r="BH254" s="7" t="e">
        <f t="shared" si="51"/>
        <v>#N/A</v>
      </c>
      <c r="BI254" s="7">
        <f t="shared" si="55"/>
        <v>4.7443376760653423E-4</v>
      </c>
      <c r="BJ254" s="7">
        <f t="shared" si="52"/>
        <v>-5.2556623239346579E-4</v>
      </c>
      <c r="BK254" s="7" t="e">
        <f t="shared" si="56"/>
        <v>#N/A</v>
      </c>
      <c r="BL254" s="7" t="e">
        <f t="shared" si="53"/>
        <v>#N/A</v>
      </c>
    </row>
    <row r="255" spans="2:64" ht="11.25" customHeight="1">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7">
        <f t="shared" si="44"/>
        <v>1.2610762413900467E-4</v>
      </c>
      <c r="BA255" s="7">
        <f t="shared" si="54"/>
        <v>-3.6600000000000499</v>
      </c>
      <c r="BB255" s="7">
        <f t="shared" si="45"/>
        <v>4.9214432883280346E-4</v>
      </c>
      <c r="BC255" s="7" t="e">
        <f t="shared" si="46"/>
        <v>#N/A</v>
      </c>
      <c r="BD255" s="7">
        <f t="shared" si="47"/>
        <v>-3.6600100000000499</v>
      </c>
      <c r="BE255" s="7">
        <f t="shared" si="48"/>
        <v>-3.6599900000000498</v>
      </c>
      <c r="BF255" s="7">
        <f t="shared" si="49"/>
        <v>2.1945061401567921E-3</v>
      </c>
      <c r="BG255" s="7">
        <f t="shared" si="50"/>
        <v>2.1945787277760386E-3</v>
      </c>
      <c r="BH255" s="7" t="e">
        <f t="shared" si="51"/>
        <v>#N/A</v>
      </c>
      <c r="BI255" s="7">
        <f t="shared" si="55"/>
        <v>4.9214432883280346E-4</v>
      </c>
      <c r="BJ255" s="7">
        <f t="shared" si="52"/>
        <v>-5.0785567116719656E-4</v>
      </c>
      <c r="BK255" s="7" t="e">
        <f t="shared" si="56"/>
        <v>#N/A</v>
      </c>
      <c r="BL255" s="7" t="e">
        <f t="shared" si="53"/>
        <v>#N/A</v>
      </c>
    </row>
    <row r="256" spans="2:64" ht="11.25" customHeight="1">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7">
        <f t="shared" si="44"/>
        <v>1.3112015441985037E-4</v>
      </c>
      <c r="BA256" s="7">
        <f t="shared" si="54"/>
        <v>-3.6500000000000501</v>
      </c>
      <c r="BB256" s="7">
        <f t="shared" si="45"/>
        <v>5.1046497434409214E-4</v>
      </c>
      <c r="BC256" s="7" t="e">
        <f t="shared" si="46"/>
        <v>#N/A</v>
      </c>
      <c r="BD256" s="7">
        <f t="shared" si="47"/>
        <v>-3.6500100000000502</v>
      </c>
      <c r="BE256" s="7">
        <f t="shared" si="48"/>
        <v>-3.64999000000005</v>
      </c>
      <c r="BF256" s="7">
        <f t="shared" si="49"/>
        <v>2.2311134388934622E-3</v>
      </c>
      <c r="BG256" s="7">
        <f t="shared" si="50"/>
        <v>2.2311872866870794E-3</v>
      </c>
      <c r="BH256" s="7" t="e">
        <f t="shared" si="51"/>
        <v>#N/A</v>
      </c>
      <c r="BI256" s="7">
        <f t="shared" si="55"/>
        <v>5.1046497434409214E-4</v>
      </c>
      <c r="BJ256" s="7">
        <f t="shared" si="52"/>
        <v>-4.8953502565590788E-4</v>
      </c>
      <c r="BK256" s="7" t="e">
        <f t="shared" si="56"/>
        <v>#N/A</v>
      </c>
      <c r="BL256" s="7" t="e">
        <f t="shared" si="53"/>
        <v>#N/A</v>
      </c>
    </row>
    <row r="257" spans="2:64" ht="11.25" customHeight="1">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7">
        <f t="shared" si="44"/>
        <v>1.363190204459741E-4</v>
      </c>
      <c r="BA257" s="7">
        <f t="shared" si="54"/>
        <v>-3.6400000000000503</v>
      </c>
      <c r="BB257" s="7">
        <f t="shared" si="45"/>
        <v>5.2941468309483772E-4</v>
      </c>
      <c r="BC257" s="7" t="e">
        <f t="shared" si="46"/>
        <v>#N/A</v>
      </c>
      <c r="BD257" s="7">
        <f t="shared" si="47"/>
        <v>-3.6400100000000504</v>
      </c>
      <c r="BE257" s="7">
        <f t="shared" si="48"/>
        <v>-3.6399900000000502</v>
      </c>
      <c r="BF257" s="7">
        <f t="shared" si="49"/>
        <v>2.2683563927698787E-3</v>
      </c>
      <c r="BG257" s="7">
        <f t="shared" si="50"/>
        <v>2.2684315231202138E-3</v>
      </c>
      <c r="BH257" s="7" t="e">
        <f t="shared" si="51"/>
        <v>#N/A</v>
      </c>
      <c r="BI257" s="7">
        <f t="shared" si="55"/>
        <v>5.2941468309483772E-4</v>
      </c>
      <c r="BJ257" s="7">
        <f t="shared" si="52"/>
        <v>-4.705853169051623E-4</v>
      </c>
      <c r="BK257" s="7" t="e">
        <f t="shared" si="56"/>
        <v>#N/A</v>
      </c>
      <c r="BL257" s="7" t="e">
        <f t="shared" si="53"/>
        <v>#N/A</v>
      </c>
    </row>
    <row r="258" spans="2:64" ht="11.25" customHeight="1">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7">
        <f t="shared" si="44"/>
        <v>1.4171060987555606E-4</v>
      </c>
      <c r="BA258" s="7">
        <f t="shared" si="54"/>
        <v>-3.6300000000000505</v>
      </c>
      <c r="BB258" s="7">
        <f t="shared" si="45"/>
        <v>5.4901294735685766E-4</v>
      </c>
      <c r="BC258" s="7" t="e">
        <f t="shared" si="46"/>
        <v>#N/A</v>
      </c>
      <c r="BD258" s="7">
        <f t="shared" si="47"/>
        <v>-3.6300100000000506</v>
      </c>
      <c r="BE258" s="7">
        <f t="shared" si="48"/>
        <v>-3.6299900000000505</v>
      </c>
      <c r="BF258" s="7">
        <f t="shared" si="49"/>
        <v>2.3062462919765537E-3</v>
      </c>
      <c r="BG258" s="7">
        <f t="shared" si="50"/>
        <v>2.3063227276639573E-3</v>
      </c>
      <c r="BH258" s="7" t="e">
        <f t="shared" si="51"/>
        <v>#N/A</v>
      </c>
      <c r="BI258" s="7">
        <f t="shared" si="55"/>
        <v>5.4901294735685766E-4</v>
      </c>
      <c r="BJ258" s="7">
        <f t="shared" si="52"/>
        <v>-4.5098705264314237E-4</v>
      </c>
      <c r="BK258" s="7" t="e">
        <f t="shared" si="56"/>
        <v>#N/A</v>
      </c>
      <c r="BL258" s="7" t="e">
        <f t="shared" si="53"/>
        <v>#N/A</v>
      </c>
    </row>
    <row r="259" spans="2:64" ht="11.25" customHeight="1">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7">
        <f t="shared" si="44"/>
        <v>1.4730150790609464E-4</v>
      </c>
      <c r="BA259" s="7">
        <f t="shared" si="54"/>
        <v>-3.6200000000000507</v>
      </c>
      <c r="BB259" s="7">
        <f t="shared" si="45"/>
        <v>5.6927978383414788E-4</v>
      </c>
      <c r="BC259" s="7" t="e">
        <f t="shared" si="46"/>
        <v>#N/A</v>
      </c>
      <c r="BD259" s="7">
        <f t="shared" si="47"/>
        <v>-3.6200100000000508</v>
      </c>
      <c r="BE259" s="7">
        <f t="shared" si="48"/>
        <v>-3.6199900000000507</v>
      </c>
      <c r="BF259" s="7">
        <f t="shared" si="49"/>
        <v>2.344794627410701E-3</v>
      </c>
      <c r="BG259" s="7">
        <f t="shared" si="50"/>
        <v>2.3448723916203703E-3</v>
      </c>
      <c r="BH259" s="7" t="e">
        <f t="shared" si="51"/>
        <v>#N/A</v>
      </c>
      <c r="BI259" s="7">
        <f t="shared" si="55"/>
        <v>5.6927978383414788E-4</v>
      </c>
      <c r="BJ259" s="7">
        <f t="shared" si="52"/>
        <v>-4.3072021616585214E-4</v>
      </c>
      <c r="BK259" s="7" t="e">
        <f t="shared" si="56"/>
        <v>#N/A</v>
      </c>
      <c r="BL259" s="7" t="e">
        <f t="shared" si="53"/>
        <v>#N/A</v>
      </c>
    </row>
    <row r="260" spans="2:64" ht="11.25" customHeight="1">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7">
        <f t="shared" si="44"/>
        <v>1.5309850257427815E-4</v>
      </c>
      <c r="BA260" s="7">
        <f t="shared" si="54"/>
        <v>-3.6100000000000509</v>
      </c>
      <c r="BB260" s="7">
        <f t="shared" si="45"/>
        <v>5.9023574492267697E-4</v>
      </c>
      <c r="BC260" s="7" t="e">
        <f t="shared" si="46"/>
        <v>#N/A</v>
      </c>
      <c r="BD260" s="7">
        <f t="shared" si="47"/>
        <v>-3.610010000000051</v>
      </c>
      <c r="BE260" s="7">
        <f t="shared" si="48"/>
        <v>-3.6099900000000509</v>
      </c>
      <c r="BF260" s="7">
        <f t="shared" si="49"/>
        <v>2.3840130941344293E-3</v>
      </c>
      <c r="BG260" s="7">
        <f t="shared" si="50"/>
        <v>2.3840922104634084E-3</v>
      </c>
      <c r="BH260" s="7" t="e">
        <f t="shared" si="51"/>
        <v>#N/A</v>
      </c>
      <c r="BI260" s="7">
        <f t="shared" si="55"/>
        <v>5.9023574492267697E-4</v>
      </c>
      <c r="BJ260" s="7">
        <f t="shared" si="52"/>
        <v>-4.0976425507732305E-4</v>
      </c>
      <c r="BK260" s="7" t="e">
        <f t="shared" si="56"/>
        <v>#N/A</v>
      </c>
      <c r="BL260" s="7" t="e">
        <f t="shared" si="53"/>
        <v>#N/A</v>
      </c>
    </row>
    <row r="261" spans="2:64" ht="11.25" customHeight="1">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7">
        <f t="shared" si="44"/>
        <v>1.5910859015833001E-4</v>
      </c>
      <c r="BA261" s="7">
        <f t="shared" si="54"/>
        <v>-3.6000000000000512</v>
      </c>
      <c r="BB261" s="7">
        <f t="shared" si="45"/>
        <v>6.1190193011365936E-4</v>
      </c>
      <c r="BC261" s="7" t="e">
        <f t="shared" si="46"/>
        <v>#N/A</v>
      </c>
      <c r="BD261" s="7">
        <f t="shared" si="47"/>
        <v>-3.6000100000000512</v>
      </c>
      <c r="BE261" s="7">
        <f t="shared" si="48"/>
        <v>-3.5999900000000511</v>
      </c>
      <c r="BF261" s="7">
        <f t="shared" si="49"/>
        <v>2.4239135948873241E-3</v>
      </c>
      <c r="BG261" s="7">
        <f t="shared" si="50"/>
        <v>2.4239940873515588E-3</v>
      </c>
      <c r="BH261" s="7" t="e">
        <f t="shared" si="51"/>
        <v>#N/A</v>
      </c>
      <c r="BI261" s="7">
        <f t="shared" si="55"/>
        <v>6.1190193011365936E-4</v>
      </c>
      <c r="BJ261" s="7">
        <f t="shared" si="52"/>
        <v>-3.8809806988634066E-4</v>
      </c>
      <c r="BK261" s="7" t="e">
        <f t="shared" si="56"/>
        <v>#N/A</v>
      </c>
      <c r="BL261" s="7" t="e">
        <f t="shared" si="53"/>
        <v>#N/A</v>
      </c>
    </row>
    <row r="262" spans="2:64" ht="11.25" customHeight="1">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7">
        <f t="shared" si="44"/>
        <v>1.65338980719687E-4</v>
      </c>
      <c r="BA262" s="7">
        <f t="shared" si="54"/>
        <v>-3.5900000000000514</v>
      </c>
      <c r="BB262" s="7">
        <f t="shared" si="45"/>
        <v>6.3429999753864029E-4</v>
      </c>
      <c r="BC262" s="7" t="e">
        <f t="shared" si="46"/>
        <v>#N/A</v>
      </c>
      <c r="BD262" s="7">
        <f t="shared" si="47"/>
        <v>-3.5900100000000514</v>
      </c>
      <c r="BE262" s="7">
        <f t="shared" si="48"/>
        <v>-3.5899900000000513</v>
      </c>
      <c r="BF262" s="7">
        <f t="shared" si="49"/>
        <v>2.4645082436540863E-3</v>
      </c>
      <c r="BG262" s="7">
        <f t="shared" si="50"/>
        <v>2.4645901366956279E-3</v>
      </c>
      <c r="BH262" s="7" t="e">
        <f t="shared" si="51"/>
        <v>#N/A</v>
      </c>
      <c r="BI262" s="7">
        <f t="shared" si="55"/>
        <v>6.3429999753864029E-4</v>
      </c>
      <c r="BJ262" s="7">
        <f t="shared" si="52"/>
        <v>-3.6570000246135973E-4</v>
      </c>
      <c r="BK262" s="7" t="e">
        <f t="shared" si="56"/>
        <v>#N/A</v>
      </c>
      <c r="BL262" s="7" t="e">
        <f t="shared" si="53"/>
        <v>#N/A</v>
      </c>
    </row>
    <row r="263" spans="2:64" ht="11.25" customHeight="1">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7">
        <f t="shared" si="44"/>
        <v>1.7179710374470858E-4</v>
      </c>
      <c r="BA263" s="7">
        <f t="shared" si="54"/>
        <v>-3.5800000000000516</v>
      </c>
      <c r="BB263" s="7">
        <f t="shared" si="45"/>
        <v>6.5745217565455491E-4</v>
      </c>
      <c r="BC263" s="7" t="e">
        <f t="shared" si="46"/>
        <v>#N/A</v>
      </c>
      <c r="BD263" s="7">
        <f t="shared" si="47"/>
        <v>-3.5800100000000517</v>
      </c>
      <c r="BE263" s="7">
        <f t="shared" si="48"/>
        <v>-3.5799900000000515</v>
      </c>
      <c r="BF263" s="7">
        <f t="shared" si="49"/>
        <v>2.5058093692878506E-3</v>
      </c>
      <c r="BG263" s="7">
        <f t="shared" si="50"/>
        <v>2.5058926877821546E-3</v>
      </c>
      <c r="BH263" s="7" t="e">
        <f t="shared" si="51"/>
        <v>#N/A</v>
      </c>
      <c r="BI263" s="7">
        <f t="shared" si="55"/>
        <v>6.5745217565455491E-4</v>
      </c>
      <c r="BJ263" s="7">
        <f t="shared" si="52"/>
        <v>-3.4254782434544511E-4</v>
      </c>
      <c r="BK263" s="7" t="e">
        <f t="shared" si="56"/>
        <v>#N/A</v>
      </c>
      <c r="BL263" s="7" t="e">
        <f t="shared" si="53"/>
        <v>#N/A</v>
      </c>
    </row>
    <row r="264" spans="2:64" ht="11.25" customHeight="1">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7">
        <f t="shared" si="44"/>
        <v>1.7849061390451393E-4</v>
      </c>
      <c r="BA264" s="7">
        <f t="shared" si="54"/>
        <v>-3.5700000000000518</v>
      </c>
      <c r="BB264" s="7">
        <f t="shared" si="45"/>
        <v>6.8138127506676559E-4</v>
      </c>
      <c r="BC264" s="7" t="e">
        <f t="shared" si="46"/>
        <v>#N/A</v>
      </c>
      <c r="BD264" s="7">
        <f t="shared" si="47"/>
        <v>-3.5700100000000519</v>
      </c>
      <c r="BE264" s="7">
        <f t="shared" si="48"/>
        <v>-3.5699900000000517</v>
      </c>
      <c r="BF264" s="7">
        <f t="shared" si="49"/>
        <v>2.5478295191899121E-3</v>
      </c>
      <c r="BG264" s="7">
        <f t="shared" si="50"/>
        <v>2.5479142884532549E-3</v>
      </c>
      <c r="BH264" s="7" t="e">
        <f t="shared" si="51"/>
        <v>#N/A</v>
      </c>
      <c r="BI264" s="7">
        <f t="shared" si="55"/>
        <v>6.8138127506676559E-4</v>
      </c>
      <c r="BJ264" s="7">
        <f t="shared" si="52"/>
        <v>-3.1861872493323443E-4</v>
      </c>
      <c r="BK264" s="7" t="e">
        <f t="shared" si="56"/>
        <v>#N/A</v>
      </c>
      <c r="BL264" s="7" t="e">
        <f t="shared" si="53"/>
        <v>#N/A</v>
      </c>
    </row>
    <row r="265" spans="2:64" ht="11.25" customHeight="1">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7">
        <f t="shared" si="44"/>
        <v>1.8542739693239163E-4</v>
      </c>
      <c r="BA265" s="7">
        <f t="shared" si="54"/>
        <v>-3.560000000000052</v>
      </c>
      <c r="BB265" s="7">
        <f t="shared" si="45"/>
        <v>7.0611070048790566E-4</v>
      </c>
      <c r="BC265" s="7" t="e">
        <f t="shared" si="46"/>
        <v>#N/A</v>
      </c>
      <c r="BD265" s="7">
        <f t="shared" si="47"/>
        <v>-3.5600100000000521</v>
      </c>
      <c r="BE265" s="7">
        <f t="shared" si="48"/>
        <v>-3.5599900000000519</v>
      </c>
      <c r="BF265" s="7">
        <f t="shared" si="49"/>
        <v>2.5905814630464486E-3</v>
      </c>
      <c r="BG265" s="7">
        <f t="shared" si="50"/>
        <v>2.5906677088434566E-3</v>
      </c>
      <c r="BH265" s="7" t="e">
        <f t="shared" si="51"/>
        <v>#N/A</v>
      </c>
      <c r="BI265" s="7">
        <f t="shared" si="55"/>
        <v>7.0611070048790566E-4</v>
      </c>
      <c r="BJ265" s="7">
        <f t="shared" si="52"/>
        <v>-2.9388929951209436E-4</v>
      </c>
      <c r="BK265" s="7" t="e">
        <f t="shared" si="56"/>
        <v>#N/A</v>
      </c>
      <c r="BL265" s="7" t="e">
        <f t="shared" si="53"/>
        <v>#N/A</v>
      </c>
    </row>
    <row r="266" spans="2:64" ht="11.25" customHeight="1">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7">
        <f t="shared" si="44"/>
        <v>1.9261557563510223E-4</v>
      </c>
      <c r="BA266" s="7">
        <f t="shared" si="54"/>
        <v>-3.5500000000000522</v>
      </c>
      <c r="BB266" s="7">
        <f t="shared" si="45"/>
        <v>7.3166446283017494E-4</v>
      </c>
      <c r="BC266" s="7" t="e">
        <f t="shared" si="46"/>
        <v>#N/A</v>
      </c>
      <c r="BD266" s="7">
        <f t="shared" si="47"/>
        <v>-3.5500100000000523</v>
      </c>
      <c r="BE266" s="7">
        <f t="shared" si="48"/>
        <v>-3.5499900000000522</v>
      </c>
      <c r="BF266" s="7">
        <f t="shared" si="49"/>
        <v>2.6340781966229824E-3</v>
      </c>
      <c r="BG266" s="7">
        <f t="shared" si="50"/>
        <v>2.6341659451742873E-3</v>
      </c>
      <c r="BH266" s="7" t="e">
        <f t="shared" si="51"/>
        <v>#N/A</v>
      </c>
      <c r="BI266" s="7">
        <f t="shared" si="55"/>
        <v>7.3166446283017494E-4</v>
      </c>
      <c r="BJ266" s="7">
        <f t="shared" si="52"/>
        <v>-2.6833553716982509E-4</v>
      </c>
      <c r="BK266" s="7" t="e">
        <f t="shared" si="56"/>
        <v>#N/A</v>
      </c>
      <c r="BL266" s="7" t="e">
        <f t="shared" si="53"/>
        <v>#N/A</v>
      </c>
    </row>
    <row r="267" spans="2:64" ht="11.25" customHeight="1">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7">
        <f t="shared" si="44"/>
        <v>2.0006351600787564E-4</v>
      </c>
      <c r="BA267" s="7">
        <f t="shared" si="54"/>
        <v>-3.5400000000000524</v>
      </c>
      <c r="BB267" s="7">
        <f t="shared" si="45"/>
        <v>7.5806719142857012E-4</v>
      </c>
      <c r="BC267" s="7" t="e">
        <f t="shared" si="46"/>
        <v>#N/A</v>
      </c>
      <c r="BD267" s="7">
        <f t="shared" si="47"/>
        <v>-3.5400100000000525</v>
      </c>
      <c r="BE267" s="7">
        <f t="shared" si="48"/>
        <v>-3.5399900000000524</v>
      </c>
      <c r="BF267" s="7">
        <f t="shared" si="49"/>
        <v>2.6783329456171539E-3</v>
      </c>
      <c r="BG267" s="7">
        <f t="shared" si="50"/>
        <v>2.6784222236071464E-3</v>
      </c>
      <c r="BH267" s="7" t="e">
        <f t="shared" si="51"/>
        <v>#N/A</v>
      </c>
      <c r="BI267" s="7">
        <f t="shared" si="55"/>
        <v>7.5806719142857012E-4</v>
      </c>
      <c r="BJ267" s="7">
        <f t="shared" si="52"/>
        <v>-2.419328085714299E-4</v>
      </c>
      <c r="BK267" s="7" t="e">
        <f t="shared" si="56"/>
        <v>#N/A</v>
      </c>
      <c r="BL267" s="7" t="e">
        <f t="shared" si="53"/>
        <v>#N/A</v>
      </c>
    </row>
    <row r="268" spans="2:64" ht="11.25" customHeight="1">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7">
        <f t="shared" si="44"/>
        <v>2.07779833481192E-4</v>
      </c>
      <c r="BA268" s="7">
        <f t="shared" si="54"/>
        <v>-3.5300000000000527</v>
      </c>
      <c r="BB268" s="7">
        <f t="shared" si="45"/>
        <v>7.8534414639232328E-4</v>
      </c>
      <c r="BC268" s="7" t="e">
        <f t="shared" si="46"/>
        <v>#N/A</v>
      </c>
      <c r="BD268" s="7">
        <f t="shared" si="47"/>
        <v>-3.5300100000000527</v>
      </c>
      <c r="BE268" s="7">
        <f t="shared" si="48"/>
        <v>-3.5299900000000526</v>
      </c>
      <c r="BF268" s="7">
        <f t="shared" si="49"/>
        <v>2.723359169570571E-3</v>
      </c>
      <c r="BG268" s="7">
        <f t="shared" si="50"/>
        <v>2.7234500041552943E-3</v>
      </c>
      <c r="BH268" s="7" t="e">
        <f t="shared" si="51"/>
        <v>#N/A</v>
      </c>
      <c r="BI268" s="7">
        <f t="shared" si="55"/>
        <v>7.8534414639232328E-4</v>
      </c>
      <c r="BJ268" s="7">
        <f t="shared" si="52"/>
        <v>-2.1465585360767674E-4</v>
      </c>
      <c r="BK268" s="7" t="e">
        <f t="shared" si="56"/>
        <v>#N/A</v>
      </c>
      <c r="BL268" s="7" t="e">
        <f t="shared" si="53"/>
        <v>#N/A</v>
      </c>
    </row>
    <row r="269" spans="2:64" ht="11.25" customHeight="1">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7">
        <f t="shared" si="44"/>
        <v>2.1577339929446104E-4</v>
      </c>
      <c r="BA269" s="7">
        <f t="shared" si="54"/>
        <v>-3.5200000000000529</v>
      </c>
      <c r="BB269" s="7">
        <f t="shared" si="45"/>
        <v>8.1352123108165662E-4</v>
      </c>
      <c r="BC269" s="7" t="e">
        <f t="shared" si="46"/>
        <v>#N/A</v>
      </c>
      <c r="BD269" s="7">
        <f t="shared" si="47"/>
        <v>-3.5200100000000529</v>
      </c>
      <c r="BE269" s="7">
        <f t="shared" si="48"/>
        <v>-3.5199900000000528</v>
      </c>
      <c r="BF269" s="7">
        <f t="shared" si="49"/>
        <v>2.7691705658403117E-3</v>
      </c>
      <c r="BG269" s="7">
        <f t="shared" si="50"/>
        <v>2.7692629846554594E-3</v>
      </c>
      <c r="BH269" s="7" t="e">
        <f t="shared" si="51"/>
        <v>#N/A</v>
      </c>
      <c r="BI269" s="7">
        <f t="shared" si="55"/>
        <v>8.1352123108165662E-4</v>
      </c>
      <c r="BJ269" s="7">
        <f t="shared" si="52"/>
        <v>-1.864787689183434E-4</v>
      </c>
      <c r="BK269" s="7" t="e">
        <f t="shared" si="56"/>
        <v>#N/A</v>
      </c>
      <c r="BL269" s="7" t="e">
        <f t="shared" si="53"/>
        <v>#N/A</v>
      </c>
    </row>
    <row r="270" spans="2:64" ht="11.25" customHeight="1">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7">
        <f t="shared" si="44"/>
        <v>2.2405334699016066E-4</v>
      </c>
      <c r="BA270" s="7">
        <f t="shared" si="54"/>
        <v>-3.5100000000000531</v>
      </c>
      <c r="BB270" s="7">
        <f t="shared" si="45"/>
        <v>8.426250047067446E-4</v>
      </c>
      <c r="BC270" s="7" t="e">
        <f t="shared" si="46"/>
        <v>#N/A</v>
      </c>
      <c r="BD270" s="7">
        <f t="shared" si="47"/>
        <v>-3.5100100000000531</v>
      </c>
      <c r="BE270" s="7">
        <f t="shared" si="48"/>
        <v>-3.509990000000053</v>
      </c>
      <c r="BF270" s="7">
        <f t="shared" si="49"/>
        <v>2.8157810736307775E-3</v>
      </c>
      <c r="BG270" s="7">
        <f t="shared" si="50"/>
        <v>2.8158751047998093E-3</v>
      </c>
      <c r="BH270" s="7" t="e">
        <f t="shared" si="51"/>
        <v>#N/A</v>
      </c>
      <c r="BI270" s="7">
        <f t="shared" si="55"/>
        <v>8.426250047067446E-4</v>
      </c>
      <c r="BJ270" s="7">
        <f t="shared" si="52"/>
        <v>-1.5737499529325542E-4</v>
      </c>
      <c r="BK270" s="7" t="e">
        <f t="shared" si="56"/>
        <v>#N/A</v>
      </c>
      <c r="BL270" s="7" t="e">
        <f t="shared" si="53"/>
        <v>#N/A</v>
      </c>
    </row>
    <row r="271" spans="2:64" ht="11.25" customHeight="1">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7">
        <f t="shared" si="44"/>
        <v>2.3262907903520702E-4</v>
      </c>
      <c r="BA271" s="7">
        <f t="shared" si="54"/>
        <v>-3.5000000000000533</v>
      </c>
      <c r="BB271" s="7">
        <f t="shared" si="45"/>
        <v>8.726826950455972E-4</v>
      </c>
      <c r="BC271" s="7" t="e">
        <f t="shared" si="46"/>
        <v>#N/A</v>
      </c>
      <c r="BD271" s="7">
        <f t="shared" si="47"/>
        <v>-3.5000100000000534</v>
      </c>
      <c r="BE271" s="7">
        <f t="shared" si="48"/>
        <v>-3.4999900000000532</v>
      </c>
      <c r="BF271" s="7">
        <f t="shared" si="49"/>
        <v>2.8632048780865352E-3</v>
      </c>
      <c r="BG271" s="7">
        <f t="shared" si="50"/>
        <v>2.8633005502289441E-3</v>
      </c>
      <c r="BH271" s="7" t="e">
        <f t="shared" si="51"/>
        <v>#N/A</v>
      </c>
      <c r="BI271" s="7">
        <f t="shared" si="55"/>
        <v>8.726826950455972E-4</v>
      </c>
      <c r="BJ271" s="7">
        <f t="shared" si="52"/>
        <v>-1.2731730495440282E-4</v>
      </c>
      <c r="BK271" s="7" t="e">
        <f t="shared" si="56"/>
        <v>#N/A</v>
      </c>
      <c r="BL271" s="7" t="e">
        <f t="shared" si="53"/>
        <v>#N/A</v>
      </c>
    </row>
    <row r="272" spans="2:64" ht="11.25" customHeight="1">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7">
        <f t="shared" si="44"/>
        <v>2.4151027356755783E-4</v>
      </c>
      <c r="BA272" s="7">
        <f t="shared" si="54"/>
        <v>-3.4900000000000535</v>
      </c>
      <c r="BB272" s="7">
        <f t="shared" si="45"/>
        <v>9.0372221127735578E-4</v>
      </c>
      <c r="BC272" s="7" t="e">
        <f t="shared" si="46"/>
        <v>#N/A</v>
      </c>
      <c r="BD272" s="7">
        <f t="shared" si="47"/>
        <v>-3.4900100000000536</v>
      </c>
      <c r="BE272" s="7">
        <f t="shared" si="48"/>
        <v>-3.4899900000000534</v>
      </c>
      <c r="BF272" s="7">
        <f t="shared" si="49"/>
        <v>2.9114564144468633E-3</v>
      </c>
      <c r="BG272" s="7">
        <f t="shared" si="50"/>
        <v>2.9115537566865306E-3</v>
      </c>
      <c r="BH272" s="7" t="e">
        <f t="shared" si="51"/>
        <v>#N/A</v>
      </c>
      <c r="BI272" s="7">
        <f t="shared" si="55"/>
        <v>9.0372221127735578E-4</v>
      </c>
      <c r="BJ272" s="7">
        <f t="shared" si="52"/>
        <v>-9.6277788722644243E-5</v>
      </c>
      <c r="BK272" s="7" t="e">
        <f t="shared" si="56"/>
        <v>#N/A</v>
      </c>
      <c r="BL272" s="7" t="e">
        <f t="shared" si="53"/>
        <v>#N/A</v>
      </c>
    </row>
    <row r="273" spans="2:64" ht="11.25" customHeight="1">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7">
        <f t="shared" si="44"/>
        <v>2.5070689127970613E-4</v>
      </c>
      <c r="BA273" s="7">
        <f t="shared" si="54"/>
        <v>-3.4800000000000537</v>
      </c>
      <c r="BB273" s="7">
        <f t="shared" si="45"/>
        <v>9.35772156927305E-4</v>
      </c>
      <c r="BC273" s="7" t="e">
        <f t="shared" si="46"/>
        <v>#N/A</v>
      </c>
      <c r="BD273" s="7">
        <f t="shared" si="47"/>
        <v>-3.4800100000000538</v>
      </c>
      <c r="BE273" s="7">
        <f t="shared" si="48"/>
        <v>-3.4799900000000537</v>
      </c>
      <c r="BF273" s="7">
        <f t="shared" si="49"/>
        <v>2.9605503722625621E-3</v>
      </c>
      <c r="BG273" s="7">
        <f t="shared" si="50"/>
        <v>2.9606494142362569E-3</v>
      </c>
      <c r="BH273" s="7" t="e">
        <f t="shared" si="51"/>
        <v>#N/A</v>
      </c>
      <c r="BI273" s="7">
        <f t="shared" si="55"/>
        <v>9.35772156927305E-4</v>
      </c>
      <c r="BJ273" s="7">
        <f t="shared" si="52"/>
        <v>-6.4227843072695023E-5</v>
      </c>
      <c r="BK273" s="7" t="e">
        <f t="shared" si="56"/>
        <v>#N/A</v>
      </c>
      <c r="BL273" s="7" t="e">
        <f t="shared" si="53"/>
        <v>#N/A</v>
      </c>
    </row>
    <row r="274" spans="2:64" ht="11.25" customHeight="1">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7">
        <f t="shared" si="44"/>
        <v>2.6022918242762927E-4</v>
      </c>
      <c r="BA274" s="7">
        <f t="shared" si="54"/>
        <v>-3.4700000000000539</v>
      </c>
      <c r="BB274" s="7">
        <f t="shared" si="45"/>
        <v>9.6886184291966506E-4</v>
      </c>
      <c r="BC274" s="7" t="e">
        <f t="shared" si="46"/>
        <v>#N/A</v>
      </c>
      <c r="BD274" s="7">
        <f t="shared" si="47"/>
        <v>-3.470010000000054</v>
      </c>
      <c r="BE274" s="7">
        <f t="shared" si="48"/>
        <v>-3.4699900000000539</v>
      </c>
      <c r="BF274" s="7">
        <f t="shared" si="49"/>
        <v>3.0105016996757302E-3</v>
      </c>
      <c r="BG274" s="7">
        <f t="shared" si="50"/>
        <v>3.0106024715417443E-3</v>
      </c>
      <c r="BH274" s="7" t="e">
        <f t="shared" si="51"/>
        <v>#N/A</v>
      </c>
      <c r="BI274" s="7">
        <f t="shared" si="55"/>
        <v>9.6886184291966506E-4</v>
      </c>
      <c r="BJ274" s="7">
        <f t="shared" si="52"/>
        <v>-3.1138157080334958E-5</v>
      </c>
      <c r="BK274" s="7" t="e">
        <f t="shared" si="56"/>
        <v>#N/A</v>
      </c>
      <c r="BL274" s="7" t="e">
        <f t="shared" si="53"/>
        <v>#N/A</v>
      </c>
    </row>
    <row r="275" spans="2:64" ht="11.25" customHeight="1">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7">
        <f t="shared" si="44"/>
        <v>2.7008769396208443E-4</v>
      </c>
      <c r="BA275" s="7">
        <f t="shared" si="54"/>
        <v>-3.4600000000000541</v>
      </c>
      <c r="BB275" s="7">
        <f t="shared" si="45"/>
        <v>1.0030213007340494E-3</v>
      </c>
      <c r="BC275" s="7" t="e">
        <f t="shared" si="46"/>
        <v>#N/A</v>
      </c>
      <c r="BD275" s="7">
        <f t="shared" si="47"/>
        <v>-3.4600100000000542</v>
      </c>
      <c r="BE275" s="7">
        <f t="shared" si="48"/>
        <v>-3.4599900000000541</v>
      </c>
      <c r="BF275" s="7">
        <f t="shared" si="49"/>
        <v>3.0613256077631772E-3</v>
      </c>
      <c r="BG275" s="7">
        <f t="shared" si="50"/>
        <v>3.0614281402100646E-3</v>
      </c>
      <c r="BH275" s="7" t="e">
        <f t="shared" si="51"/>
        <v>#N/A</v>
      </c>
      <c r="BI275" s="7">
        <f t="shared" si="55"/>
        <v>1.0030213007340494E-3</v>
      </c>
      <c r="BJ275" s="7">
        <f t="shared" si="52"/>
        <v>3.0213007340493953E-6</v>
      </c>
      <c r="BK275" s="7" t="e">
        <f t="shared" si="56"/>
        <v>#N/A</v>
      </c>
      <c r="BL275" s="7" t="e">
        <f t="shared" si="53"/>
        <v>#N/A</v>
      </c>
    </row>
    <row r="276" spans="2:64" ht="11.25" customHeight="1">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7">
        <f t="shared" si="44"/>
        <v>2.8029327681566851E-4</v>
      </c>
      <c r="BA276" s="7">
        <f t="shared" si="54"/>
        <v>-3.4500000000000544</v>
      </c>
      <c r="BB276" s="7">
        <f t="shared" si="45"/>
        <v>1.0382812956612165E-3</v>
      </c>
      <c r="BC276" s="7" t="e">
        <f t="shared" si="46"/>
        <v>#N/A</v>
      </c>
      <c r="BD276" s="7">
        <f t="shared" si="47"/>
        <v>-3.4500100000000544</v>
      </c>
      <c r="BE276" s="7">
        <f t="shared" si="48"/>
        <v>-3.4499900000000543</v>
      </c>
      <c r="BF276" s="7">
        <f t="shared" si="49"/>
        <v>3.113037574944068E-3</v>
      </c>
      <c r="BG276" s="7">
        <f t="shared" si="50"/>
        <v>3.1131418991995228E-3</v>
      </c>
      <c r="BH276" s="7" t="e">
        <f t="shared" si="51"/>
        <v>#N/A</v>
      </c>
      <c r="BI276" s="7">
        <f t="shared" si="55"/>
        <v>1.0382812956612165E-3</v>
      </c>
      <c r="BJ276" s="7">
        <f t="shared" si="52"/>
        <v>3.8281295661216465E-5</v>
      </c>
      <c r="BK276" s="7" t="e">
        <f t="shared" si="56"/>
        <v>#N/A</v>
      </c>
      <c r="BL276" s="7" t="e">
        <f t="shared" si="53"/>
        <v>#N/A</v>
      </c>
    </row>
    <row r="277" spans="2:64" ht="11.25" customHeight="1">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7">
        <f t="shared" ref="AZ277:AZ340" si="57">NORMDIST(BA277,$BA$17,$BA$18,TRUE)</f>
        <v>2.9085709329046416E-4</v>
      </c>
      <c r="BA277" s="7">
        <f t="shared" si="54"/>
        <v>-3.4400000000000546</v>
      </c>
      <c r="BB277" s="7">
        <f t="shared" ref="BB277:BB340" si="58">IF($BA$13=1,NORMDIST(BA277,$BA$17,$BA$18,FALSE),NA())</f>
        <v>1.0746733401535333E-3</v>
      </c>
      <c r="BC277" s="7" t="e">
        <f t="shared" ref="BC277:BC340" si="59">IF($BA$13=3,NORMDIST(BA277,$BA$17,$BA$18,FALSE),NA())</f>
        <v>#N/A</v>
      </c>
      <c r="BD277" s="7">
        <f t="shared" ref="BD277:BD340" si="60">BA277-$BD$19</f>
        <v>-3.4400100000000546</v>
      </c>
      <c r="BE277" s="7">
        <f t="shared" ref="BE277:BE340" si="61">BA277+$BD$19</f>
        <v>-3.4399900000000545</v>
      </c>
      <c r="BF277" s="7">
        <f t="shared" ref="BF277:BF340" si="62">IF(BD277&lt;0,TDIST(-BD277,$BA$14,1),1-TDIST(BD277,$BA$14,1))</f>
        <v>3.1656533514524362E-3</v>
      </c>
      <c r="BG277" s="7">
        <f t="shared" ref="BG277:BG340" si="63">IF(BE277&lt;0,TDIST(-BE277,$BA$14,1),1-TDIST(BE277,$BA$14,1))</f>
        <v>3.1657594992923017E-3</v>
      </c>
      <c r="BH277" s="7" t="e">
        <f t="shared" ref="BH277:BH340" si="64">IF($BA$13&gt;1,(BG277-BF277)/(2*$BD$19),NA())</f>
        <v>#N/A</v>
      </c>
      <c r="BI277" s="7">
        <f t="shared" si="55"/>
        <v>1.0746733401535333E-3</v>
      </c>
      <c r="BJ277" s="7">
        <f t="shared" ref="BJ277:BJ340" si="65">IF(ISNUMBER(BI277),BI277-$BJ$19,NA())</f>
        <v>7.4673340153533305E-5</v>
      </c>
      <c r="BK277" s="7" t="e">
        <f t="shared" si="56"/>
        <v>#N/A</v>
      </c>
      <c r="BL277" s="7" t="e">
        <f t="shared" ref="BL277:BL340" si="66">IF(ISNUMBER(BK277),BK277-$BL$19,NA())</f>
        <v>#N/A</v>
      </c>
    </row>
    <row r="278" spans="2:64" ht="11.25" customHeight="1">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7">
        <f t="shared" si="57"/>
        <v>3.0179062460877759E-4</v>
      </c>
      <c r="BA278" s="7">
        <f t="shared" ref="BA278:BA341" si="67">BA277+$BD$10</f>
        <v>-3.4300000000000548</v>
      </c>
      <c r="BB278" s="7">
        <f t="shared" si="58"/>
        <v>1.1122297072653563E-3</v>
      </c>
      <c r="BC278" s="7" t="e">
        <f t="shared" si="59"/>
        <v>#N/A</v>
      </c>
      <c r="BD278" s="7">
        <f t="shared" si="60"/>
        <v>-3.4300100000000548</v>
      </c>
      <c r="BE278" s="7">
        <f t="shared" si="61"/>
        <v>-3.4299900000000547</v>
      </c>
      <c r="BF278" s="7">
        <f t="shared" si="62"/>
        <v>3.2191889638752227E-3</v>
      </c>
      <c r="BG278" s="7">
        <f t="shared" si="63"/>
        <v>3.2192969676326476E-3</v>
      </c>
      <c r="BH278" s="7" t="e">
        <f t="shared" si="64"/>
        <v>#N/A</v>
      </c>
      <c r="BI278" s="7">
        <f t="shared" ref="BI278:BI341" si="68">IF($BA$15=1,IF(OR(AND(BA278&gt;=$BI$18,$BN$18&gt;=0),AND(BA278&lt;=-$BI$18,$BN$18&lt;0)),BB278,NA()),IF($BA$15=2,IF(ABS(BA278)&gt;=$BI$18,BB278,NA()),NA()))</f>
        <v>1.1122297072653563E-3</v>
      </c>
      <c r="BJ278" s="7">
        <f t="shared" si="65"/>
        <v>1.1222970726535624E-4</v>
      </c>
      <c r="BK278" s="7" t="e">
        <f t="shared" ref="BK278:BK341" si="69">IF($BA$15=1,IF(OR(AND(BA278&gt;=$BK$18,$BN$18&gt;=0),AND(BA278&lt;=-$BK$18,$BN$18&lt;0)),BH278,NA()),IF($BA$15=2,IF(ABS(BA278)&gt;=$BK$18,BH278,NA()),NA()))</f>
        <v>#N/A</v>
      </c>
      <c r="BL278" s="7" t="e">
        <f t="shared" si="66"/>
        <v>#N/A</v>
      </c>
    </row>
    <row r="279" spans="2:64" ht="11.25" customHeight="1">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7">
        <f t="shared" si="57"/>
        <v>3.1310567857967264E-4</v>
      </c>
      <c r="BA279" s="7">
        <f t="shared" si="67"/>
        <v>-3.420000000000055</v>
      </c>
      <c r="BB279" s="7">
        <f t="shared" si="58"/>
        <v>1.1509834441782675E-3</v>
      </c>
      <c r="BC279" s="7" t="e">
        <f t="shared" si="59"/>
        <v>#N/A</v>
      </c>
      <c r="BD279" s="7">
        <f t="shared" si="60"/>
        <v>-3.4200100000000551</v>
      </c>
      <c r="BE279" s="7">
        <f t="shared" si="61"/>
        <v>-3.4199900000000549</v>
      </c>
      <c r="BF279" s="7">
        <f t="shared" si="62"/>
        <v>3.2736607197564917E-3</v>
      </c>
      <c r="BG279" s="7">
        <f t="shared" si="63"/>
        <v>3.2737706123311962E-3</v>
      </c>
      <c r="BH279" s="7" t="e">
        <f t="shared" si="64"/>
        <v>#N/A</v>
      </c>
      <c r="BI279" s="7">
        <f t="shared" si="68"/>
        <v>1.1509834441782675E-3</v>
      </c>
      <c r="BJ279" s="7">
        <f t="shared" si="65"/>
        <v>1.5098344417826745E-4</v>
      </c>
      <c r="BK279" s="7" t="e">
        <f t="shared" si="69"/>
        <v>#N/A</v>
      </c>
      <c r="BL279" s="7" t="e">
        <f t="shared" si="66"/>
        <v>#N/A</v>
      </c>
    </row>
    <row r="280" spans="2:64" ht="11.25" customHeight="1">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7">
        <f t="shared" si="57"/>
        <v>3.2481439741827156E-4</v>
      </c>
      <c r="BA280" s="7">
        <f t="shared" si="67"/>
        <v>-3.4100000000000552</v>
      </c>
      <c r="BB280" s="7">
        <f t="shared" si="58"/>
        <v>1.1909683858058932E-3</v>
      </c>
      <c r="BC280" s="7" t="e">
        <f t="shared" si="59"/>
        <v>#N/A</v>
      </c>
      <c r="BD280" s="7">
        <f t="shared" si="60"/>
        <v>-3.4100100000000553</v>
      </c>
      <c r="BE280" s="7">
        <f t="shared" si="61"/>
        <v>-3.4099900000000551</v>
      </c>
      <c r="BF280" s="7">
        <f t="shared" si="62"/>
        <v>3.3290852122683503E-3</v>
      </c>
      <c r="BG280" s="7">
        <f t="shared" si="63"/>
        <v>3.3291970271360403E-3</v>
      </c>
      <c r="BH280" s="7" t="e">
        <f t="shared" si="64"/>
        <v>#N/A</v>
      </c>
      <c r="BI280" s="7">
        <f t="shared" si="68"/>
        <v>1.1909683858058932E-3</v>
      </c>
      <c r="BJ280" s="7">
        <f t="shared" si="65"/>
        <v>1.9096838580589322E-4</v>
      </c>
      <c r="BK280" s="7" t="e">
        <f t="shared" si="69"/>
        <v>#N/A</v>
      </c>
      <c r="BL280" s="7" t="e">
        <f t="shared" si="66"/>
        <v>#N/A</v>
      </c>
    </row>
    <row r="281" spans="2:64" ht="11.25" customHeight="1">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7">
        <f t="shared" si="57"/>
        <v>3.3692926567607806E-4</v>
      </c>
      <c r="BA281" s="7">
        <f t="shared" si="67"/>
        <v>-3.4000000000000554</v>
      </c>
      <c r="BB281" s="7">
        <f t="shared" si="58"/>
        <v>1.2322191684727864E-3</v>
      </c>
      <c r="BC281" s="7" t="e">
        <f t="shared" si="59"/>
        <v>#N/A</v>
      </c>
      <c r="BD281" s="7">
        <f t="shared" si="60"/>
        <v>-3.4000100000000555</v>
      </c>
      <c r="BE281" s="7">
        <f t="shared" si="61"/>
        <v>-3.3999900000000554</v>
      </c>
      <c r="BF281" s="7">
        <f t="shared" si="62"/>
        <v>3.3854793249492796E-3</v>
      </c>
      <c r="BG281" s="7">
        <f t="shared" si="63"/>
        <v>3.385593096171177E-3</v>
      </c>
      <c r="BH281" s="7" t="e">
        <f t="shared" si="64"/>
        <v>#N/A</v>
      </c>
      <c r="BI281" s="7">
        <f t="shared" si="68"/>
        <v>1.2322191684727864E-3</v>
      </c>
      <c r="BJ281" s="7">
        <f t="shared" si="65"/>
        <v>2.3221916847278637E-4</v>
      </c>
      <c r="BK281" s="7" t="e">
        <f t="shared" si="69"/>
        <v>#N/A</v>
      </c>
      <c r="BL281" s="7" t="e">
        <f t="shared" si="66"/>
        <v>#N/A</v>
      </c>
    </row>
    <row r="282" spans="2:64" ht="11.25" customHeight="1">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7">
        <f t="shared" si="57"/>
        <v>3.4946311833783383E-4</v>
      </c>
      <c r="BA282" s="7">
        <f t="shared" si="67"/>
        <v>-3.3900000000000556</v>
      </c>
      <c r="BB282" s="7">
        <f t="shared" si="58"/>
        <v>1.2747712436615925E-3</v>
      </c>
      <c r="BC282" s="7" t="e">
        <f t="shared" si="59"/>
        <v>#N/A</v>
      </c>
      <c r="BD282" s="7">
        <f t="shared" si="60"/>
        <v>-3.3900100000000557</v>
      </c>
      <c r="BE282" s="7">
        <f t="shared" si="61"/>
        <v>-3.3899900000000556</v>
      </c>
      <c r="BF282" s="7">
        <f t="shared" si="62"/>
        <v>3.4428602365104465E-3</v>
      </c>
      <c r="BG282" s="7">
        <f t="shared" si="63"/>
        <v>3.4429759987429829E-3</v>
      </c>
      <c r="BH282" s="7" t="e">
        <f t="shared" si="64"/>
        <v>#N/A</v>
      </c>
      <c r="BI282" s="7">
        <f t="shared" si="68"/>
        <v>1.2747712436615925E-3</v>
      </c>
      <c r="BJ282" s="7">
        <f t="shared" si="65"/>
        <v>2.7477124366159246E-4</v>
      </c>
      <c r="BK282" s="7" t="e">
        <f t="shared" si="69"/>
        <v>#N/A</v>
      </c>
      <c r="BL282" s="7" t="e">
        <f t="shared" si="66"/>
        <v>#N/A</v>
      </c>
    </row>
    <row r="283" spans="2:64" ht="11.25" customHeight="1">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7">
        <f t="shared" si="57"/>
        <v>3.6242914903306112E-4</v>
      </c>
      <c r="BA283" s="7">
        <f t="shared" si="67"/>
        <v>-3.3800000000000558</v>
      </c>
      <c r="BB283" s="7">
        <f t="shared" si="58"/>
        <v>1.3186608918224925E-3</v>
      </c>
      <c r="BC283" s="7" t="e">
        <f t="shared" si="59"/>
        <v>#N/A</v>
      </c>
      <c r="BD283" s="7">
        <f t="shared" si="60"/>
        <v>-3.3800100000000559</v>
      </c>
      <c r="BE283" s="7">
        <f t="shared" si="61"/>
        <v>-3.3799900000000558</v>
      </c>
      <c r="BF283" s="7">
        <f t="shared" si="62"/>
        <v>3.5012454257105537E-3</v>
      </c>
      <c r="BG283" s="7">
        <f t="shared" si="63"/>
        <v>3.5013632142151911E-3</v>
      </c>
      <c r="BH283" s="7" t="e">
        <f t="shared" si="64"/>
        <v>#N/A</v>
      </c>
      <c r="BI283" s="7">
        <f t="shared" si="68"/>
        <v>1.3186608918224925E-3</v>
      </c>
      <c r="BJ283" s="7">
        <f t="shared" si="65"/>
        <v>3.186608918224925E-4</v>
      </c>
      <c r="BK283" s="7" t="e">
        <f t="shared" si="69"/>
        <v>#N/A</v>
      </c>
      <c r="BL283" s="7" t="e">
        <f t="shared" si="66"/>
        <v>#N/A</v>
      </c>
    </row>
    <row r="284" spans="2:64" ht="11.25" customHeight="1">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7">
        <f t="shared" si="57"/>
        <v>3.7584091839981681E-4</v>
      </c>
      <c r="BA284" s="7">
        <f t="shared" si="67"/>
        <v>-3.3700000000000561</v>
      </c>
      <c r="BB284" s="7">
        <f t="shared" si="58"/>
        <v>1.3639252362386465E-3</v>
      </c>
      <c r="BC284" s="7" t="e">
        <f t="shared" si="59"/>
        <v>#N/A</v>
      </c>
      <c r="BD284" s="7">
        <f t="shared" si="60"/>
        <v>-3.3700100000000561</v>
      </c>
      <c r="BE284" s="7">
        <f t="shared" si="61"/>
        <v>-3.369990000000056</v>
      </c>
      <c r="BF284" s="7">
        <f t="shared" si="62"/>
        <v>3.5606526762999072E-3</v>
      </c>
      <c r="BG284" s="7">
        <f t="shared" si="63"/>
        <v>3.5607725269530916E-3</v>
      </c>
      <c r="BH284" s="7" t="e">
        <f t="shared" si="64"/>
        <v>#N/A</v>
      </c>
      <c r="BI284" s="7">
        <f t="shared" si="68"/>
        <v>1.3639252362386465E-3</v>
      </c>
      <c r="BJ284" s="7">
        <f t="shared" si="65"/>
        <v>3.6392523623864645E-4</v>
      </c>
      <c r="BK284" s="7" t="e">
        <f t="shared" si="69"/>
        <v>#N/A</v>
      </c>
      <c r="BL284" s="7" t="e">
        <f t="shared" si="66"/>
        <v>#N/A</v>
      </c>
    </row>
    <row r="285" spans="2:64" ht="11.25" customHeight="1">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7">
        <f t="shared" si="57"/>
        <v>3.8971236258222852E-4</v>
      </c>
      <c r="BA285" s="7">
        <f t="shared" si="67"/>
        <v>-3.3600000000000563</v>
      </c>
      <c r="BB285" s="7">
        <f t="shared" si="58"/>
        <v>1.4106022569411168E-3</v>
      </c>
      <c r="BC285" s="7" t="e">
        <f t="shared" si="59"/>
        <v>#N/A</v>
      </c>
      <c r="BD285" s="7">
        <f t="shared" si="60"/>
        <v>-3.3600100000000563</v>
      </c>
      <c r="BE285" s="7">
        <f t="shared" si="61"/>
        <v>-3.3599900000000562</v>
      </c>
      <c r="BF285" s="7">
        <f t="shared" si="62"/>
        <v>3.6211000820341697E-3</v>
      </c>
      <c r="BG285" s="7">
        <f t="shared" si="63"/>
        <v>3.6212220313374169E-3</v>
      </c>
      <c r="BH285" s="7" t="e">
        <f t="shared" si="64"/>
        <v>#N/A</v>
      </c>
      <c r="BI285" s="7">
        <f t="shared" si="68"/>
        <v>1.4106022569411168E-3</v>
      </c>
      <c r="BJ285" s="7">
        <f t="shared" si="65"/>
        <v>4.1060225694111675E-4</v>
      </c>
      <c r="BK285" s="7" t="e">
        <f t="shared" si="69"/>
        <v>#N/A</v>
      </c>
      <c r="BL285" s="7" t="e">
        <f t="shared" si="66"/>
        <v>#N/A</v>
      </c>
    </row>
    <row r="286" spans="2:64" ht="11.25" customHeight="1">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7">
        <f t="shared" si="57"/>
        <v>4.0405780186381079E-4</v>
      </c>
      <c r="BA286" s="7">
        <f t="shared" si="67"/>
        <v>-3.3500000000000565</v>
      </c>
      <c r="BB286" s="7">
        <f t="shared" si="58"/>
        <v>1.4587308046664698E-3</v>
      </c>
      <c r="BC286" s="7" t="e">
        <f t="shared" si="59"/>
        <v>#N/A</v>
      </c>
      <c r="BD286" s="7">
        <f t="shared" si="60"/>
        <v>-3.3500100000000566</v>
      </c>
      <c r="BE286" s="7">
        <f t="shared" si="61"/>
        <v>-3.3499900000000564</v>
      </c>
      <c r="BF286" s="7">
        <f t="shared" si="62"/>
        <v>3.6826060517584488E-3</v>
      </c>
      <c r="BG286" s="7">
        <f t="shared" si="63"/>
        <v>3.6827301368486083E-3</v>
      </c>
      <c r="BH286" s="7" t="e">
        <f t="shared" si="64"/>
        <v>#N/A</v>
      </c>
      <c r="BI286" s="7">
        <f t="shared" si="68"/>
        <v>1.4587308046664698E-3</v>
      </c>
      <c r="BJ286" s="7">
        <f t="shared" si="65"/>
        <v>4.5873080466646982E-4</v>
      </c>
      <c r="BK286" s="7" t="e">
        <f t="shared" si="69"/>
        <v>#N/A</v>
      </c>
      <c r="BL286" s="7" t="e">
        <f t="shared" si="66"/>
        <v>#N/A</v>
      </c>
    </row>
    <row r="287" spans="2:64" ht="11.25" customHeight="1">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7">
        <f t="shared" si="57"/>
        <v>4.1889194945032848E-4</v>
      </c>
      <c r="BA287" s="7">
        <f t="shared" si="67"/>
        <v>-3.3400000000000567</v>
      </c>
      <c r="BB287" s="7">
        <f t="shared" si="58"/>
        <v>1.5083506148500219E-3</v>
      </c>
      <c r="BC287" s="7" t="e">
        <f t="shared" si="59"/>
        <v>#N/A</v>
      </c>
      <c r="BD287" s="7">
        <f t="shared" si="60"/>
        <v>-3.3400100000000568</v>
      </c>
      <c r="BE287" s="7">
        <f t="shared" si="61"/>
        <v>-3.3399900000000566</v>
      </c>
      <c r="BF287" s="7">
        <f t="shared" si="62"/>
        <v>3.745189314562252E-3</v>
      </c>
      <c r="BG287" s="7">
        <f t="shared" si="63"/>
        <v>3.7453155732218683E-3</v>
      </c>
      <c r="BH287" s="7" t="e">
        <f t="shared" si="64"/>
        <v>#N/A</v>
      </c>
      <c r="BI287" s="7">
        <f t="shared" si="68"/>
        <v>1.5083506148500219E-3</v>
      </c>
      <c r="BJ287" s="7">
        <f t="shared" si="65"/>
        <v>5.0835061485002189E-4</v>
      </c>
      <c r="BK287" s="7" t="e">
        <f t="shared" si="69"/>
        <v>#N/A</v>
      </c>
      <c r="BL287" s="7" t="e">
        <f t="shared" si="66"/>
        <v>#N/A</v>
      </c>
    </row>
    <row r="288" spans="2:64" ht="11.25" customHeight="1">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7">
        <f t="shared" si="57"/>
        <v>4.3422992038144592E-4</v>
      </c>
      <c r="BA288" s="7">
        <f t="shared" si="67"/>
        <v>-3.3300000000000569</v>
      </c>
      <c r="BB288" s="7">
        <f t="shared" si="58"/>
        <v>1.5595023216473964E-3</v>
      </c>
      <c r="BC288" s="7" t="e">
        <f t="shared" si="59"/>
        <v>#N/A</v>
      </c>
      <c r="BD288" s="7">
        <f t="shared" si="60"/>
        <v>-3.330010000000057</v>
      </c>
      <c r="BE288" s="7">
        <f t="shared" si="61"/>
        <v>-3.3299900000000568</v>
      </c>
      <c r="BF288" s="7">
        <f t="shared" si="62"/>
        <v>3.8088689250058267E-3</v>
      </c>
      <c r="BG288" s="7">
        <f t="shared" si="63"/>
        <v>3.8089973956736784E-3</v>
      </c>
      <c r="BH288" s="7" t="e">
        <f t="shared" si="64"/>
        <v>#N/A</v>
      </c>
      <c r="BI288" s="7">
        <f t="shared" si="68"/>
        <v>1.5595023216473964E-3</v>
      </c>
      <c r="BJ288" s="7">
        <f t="shared" si="65"/>
        <v>5.5950232164739635E-4</v>
      </c>
      <c r="BK288" s="7" t="e">
        <f t="shared" si="69"/>
        <v>#N/A</v>
      </c>
      <c r="BL288" s="7" t="e">
        <f t="shared" si="66"/>
        <v>#N/A</v>
      </c>
    </row>
    <row r="289" spans="2:64" ht="11.25" customHeight="1">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7">
        <f t="shared" si="57"/>
        <v>4.5008724059147909E-4</v>
      </c>
      <c r="BA289" s="7">
        <f t="shared" si="67"/>
        <v>-3.3200000000000571</v>
      </c>
      <c r="BB289" s="7">
        <f t="shared" si="58"/>
        <v>1.612227471976818E-3</v>
      </c>
      <c r="BC289" s="7" t="e">
        <f t="shared" si="59"/>
        <v>#N/A</v>
      </c>
      <c r="BD289" s="7">
        <f t="shared" si="60"/>
        <v>-3.3200100000000572</v>
      </c>
      <c r="BE289" s="7">
        <f t="shared" si="61"/>
        <v>-3.3199900000000571</v>
      </c>
      <c r="BF289" s="7">
        <f t="shared" si="62"/>
        <v>3.8736642684184717E-3</v>
      </c>
      <c r="BG289" s="7">
        <f t="shared" si="63"/>
        <v>3.8737949902002216E-3</v>
      </c>
      <c r="BH289" s="7" t="e">
        <f t="shared" si="64"/>
        <v>#N/A</v>
      </c>
      <c r="BI289" s="7">
        <f t="shared" si="68"/>
        <v>1.612227471976818E-3</v>
      </c>
      <c r="BJ289" s="7">
        <f t="shared" si="65"/>
        <v>6.12227471976818E-4</v>
      </c>
      <c r="BK289" s="7" t="e">
        <f t="shared" si="69"/>
        <v>#N/A</v>
      </c>
      <c r="BL289" s="7" t="e">
        <f t="shared" si="66"/>
        <v>#N/A</v>
      </c>
    </row>
    <row r="290" spans="2:64" ht="11.25" customHeight="1">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7">
        <f t="shared" si="57"/>
        <v>4.6647985610670517E-4</v>
      </c>
      <c r="BA290" s="7">
        <f t="shared" si="67"/>
        <v>-3.3100000000000573</v>
      </c>
      <c r="BB290" s="7">
        <f t="shared" si="58"/>
        <v>1.6665685395742642E-3</v>
      </c>
      <c r="BC290" s="7" t="e">
        <f t="shared" si="59"/>
        <v>#N/A</v>
      </c>
      <c r="BD290" s="7">
        <f t="shared" si="60"/>
        <v>-3.3100100000000574</v>
      </c>
      <c r="BE290" s="7">
        <f t="shared" si="61"/>
        <v>-3.3099900000000573</v>
      </c>
      <c r="BF290" s="7">
        <f t="shared" si="62"/>
        <v>3.9395950662692563E-3</v>
      </c>
      <c r="BG290" s="7">
        <f t="shared" si="63"/>
        <v>3.9397280789482897E-3</v>
      </c>
      <c r="BH290" s="7" t="e">
        <f t="shared" si="64"/>
        <v>#N/A</v>
      </c>
      <c r="BI290" s="7">
        <f t="shared" si="68"/>
        <v>1.6665685395742642E-3</v>
      </c>
      <c r="BJ290" s="7">
        <f t="shared" si="65"/>
        <v>6.6656853957426415E-4</v>
      </c>
      <c r="BK290" s="7" t="e">
        <f t="shared" si="69"/>
        <v>#N/A</v>
      </c>
      <c r="BL290" s="7" t="e">
        <f t="shared" si="66"/>
        <v>#N/A</v>
      </c>
    </row>
    <row r="291" spans="2:64" ht="11.25" customHeight="1">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7">
        <f t="shared" si="57"/>
        <v>4.8342414238389253E-4</v>
      </c>
      <c r="BA291" s="7">
        <f t="shared" si="67"/>
        <v>-3.3000000000000576</v>
      </c>
      <c r="BB291" s="7">
        <f t="shared" si="58"/>
        <v>1.7225689390533523E-3</v>
      </c>
      <c r="BC291" s="7" t="e">
        <f t="shared" si="59"/>
        <v>#N/A</v>
      </c>
      <c r="BD291" s="7">
        <f t="shared" si="60"/>
        <v>-3.3000100000000576</v>
      </c>
      <c r="BE291" s="7">
        <f t="shared" si="61"/>
        <v>-3.2999900000000575</v>
      </c>
      <c r="BF291" s="7">
        <f t="shared" si="62"/>
        <v>4.0066813816107705E-3</v>
      </c>
      <c r="BG291" s="7">
        <f t="shared" si="63"/>
        <v>4.0068167256591316E-3</v>
      </c>
      <c r="BH291" s="7" t="e">
        <f t="shared" si="64"/>
        <v>#N/A</v>
      </c>
      <c r="BI291" s="7">
        <f t="shared" si="68"/>
        <v>1.7225689390533523E-3</v>
      </c>
      <c r="BJ291" s="7">
        <f t="shared" si="65"/>
        <v>7.2256893905335226E-4</v>
      </c>
      <c r="BK291" s="7" t="e">
        <f t="shared" si="69"/>
        <v>#N/A</v>
      </c>
      <c r="BL291" s="7" t="e">
        <f t="shared" si="66"/>
        <v>#N/A</v>
      </c>
    </row>
    <row r="292" spans="2:64" ht="11.25" customHeight="1">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7">
        <f t="shared" si="57"/>
        <v>5.0093691378527705E-4</v>
      </c>
      <c r="BA292" s="7">
        <f t="shared" si="67"/>
        <v>-3.2900000000000578</v>
      </c>
      <c r="BB292" s="7">
        <f t="shared" si="58"/>
        <v>1.7802730399615401E-3</v>
      </c>
      <c r="BC292" s="7" t="e">
        <f t="shared" si="59"/>
        <v>#N/A</v>
      </c>
      <c r="BD292" s="7">
        <f t="shared" si="60"/>
        <v>-3.2900100000000578</v>
      </c>
      <c r="BE292" s="7">
        <f t="shared" si="61"/>
        <v>-3.2899900000000577</v>
      </c>
      <c r="BF292" s="7">
        <f t="shared" si="62"/>
        <v>4.0749436245962455E-3</v>
      </c>
      <c r="BG292" s="7">
        <f t="shared" si="63"/>
        <v>4.0750813411857588E-3</v>
      </c>
      <c r="BH292" s="7" t="e">
        <f t="shared" si="64"/>
        <v>#N/A</v>
      </c>
      <c r="BI292" s="7">
        <f t="shared" si="68"/>
        <v>1.7802730399615401E-3</v>
      </c>
      <c r="BJ292" s="7">
        <f t="shared" si="65"/>
        <v>7.802730399615401E-4</v>
      </c>
      <c r="BK292" s="7" t="e">
        <f t="shared" si="69"/>
        <v>#N/A</v>
      </c>
      <c r="BL292" s="7" t="e">
        <f t="shared" si="66"/>
        <v>#N/A</v>
      </c>
    </row>
    <row r="293" spans="2:64" ht="11.25" customHeight="1">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7">
        <f t="shared" si="57"/>
        <v>5.1903543320674927E-4</v>
      </c>
      <c r="BA293" s="7">
        <f t="shared" si="67"/>
        <v>-3.280000000000058</v>
      </c>
      <c r="BB293" s="7">
        <f t="shared" si="58"/>
        <v>1.8397261808239293E-3</v>
      </c>
      <c r="BC293" s="7" t="e">
        <f t="shared" si="59"/>
        <v>#N/A</v>
      </c>
      <c r="BD293" s="7">
        <f t="shared" si="60"/>
        <v>-3.280010000000058</v>
      </c>
      <c r="BE293" s="7">
        <f t="shared" si="61"/>
        <v>-3.2799900000000579</v>
      </c>
      <c r="BF293" s="7">
        <f t="shared" si="62"/>
        <v>4.1444025580706445E-3</v>
      </c>
      <c r="BG293" s="7">
        <f t="shared" si="63"/>
        <v>4.1445426890841745E-3</v>
      </c>
      <c r="BH293" s="7" t="e">
        <f t="shared" si="64"/>
        <v>#N/A</v>
      </c>
      <c r="BI293" s="7">
        <f t="shared" si="68"/>
        <v>1.8397261808239293E-3</v>
      </c>
      <c r="BJ293" s="7">
        <f t="shared" si="65"/>
        <v>8.3972618082392924E-4</v>
      </c>
      <c r="BK293" s="7" t="e">
        <f t="shared" si="69"/>
        <v>#N/A</v>
      </c>
      <c r="BL293" s="7" t="e">
        <f t="shared" si="66"/>
        <v>#N/A</v>
      </c>
    </row>
    <row r="294" spans="2:64" ht="11.25" customHeight="1">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7">
        <f t="shared" si="57"/>
        <v>5.3773742182960937E-4</v>
      </c>
      <c r="BA294" s="7">
        <f t="shared" si="67"/>
        <v>-3.2700000000000582</v>
      </c>
      <c r="BB294" s="7">
        <f t="shared" si="58"/>
        <v>1.9009746831657188E-3</v>
      </c>
      <c r="BC294" s="7" t="e">
        <f t="shared" si="59"/>
        <v>#N/A</v>
      </c>
      <c r="BD294" s="7">
        <f t="shared" si="60"/>
        <v>-3.2700100000000583</v>
      </c>
      <c r="BE294" s="7">
        <f t="shared" si="61"/>
        <v>-3.2699900000000581</v>
      </c>
      <c r="BF294" s="7">
        <f t="shared" si="62"/>
        <v>4.215079303236129E-3</v>
      </c>
      <c r="BG294" s="7">
        <f t="shared" si="63"/>
        <v>4.2152218912789845E-3</v>
      </c>
      <c r="BH294" s="7" t="e">
        <f t="shared" si="64"/>
        <v>#N/A</v>
      </c>
      <c r="BI294" s="7">
        <f t="shared" si="68"/>
        <v>1.9009746831657188E-3</v>
      </c>
      <c r="BJ294" s="7">
        <f t="shared" si="65"/>
        <v>9.0097468316571879E-4</v>
      </c>
      <c r="BK294" s="7" t="e">
        <f t="shared" si="69"/>
        <v>#N/A</v>
      </c>
      <c r="BL294" s="7" t="e">
        <f t="shared" si="66"/>
        <v>#N/A</v>
      </c>
    </row>
    <row r="295" spans="2:64" ht="11.25" customHeight="1">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7">
        <f t="shared" si="57"/>
        <v>5.5706106902486674E-4</v>
      </c>
      <c r="BA295" s="7">
        <f t="shared" si="67"/>
        <v>-3.2600000000000584</v>
      </c>
      <c r="BB295" s="7">
        <f t="shared" si="58"/>
        <v>1.9640658655040006E-3</v>
      </c>
      <c r="BC295" s="7" t="e">
        <f t="shared" si="59"/>
        <v>#N/A</v>
      </c>
      <c r="BD295" s="7">
        <f t="shared" si="60"/>
        <v>-3.2600100000000585</v>
      </c>
      <c r="BE295" s="7">
        <f t="shared" si="61"/>
        <v>-3.2599900000000583</v>
      </c>
      <c r="BF295" s="7">
        <f t="shared" si="62"/>
        <v>4.2869953453923346E-3</v>
      </c>
      <c r="BG295" s="7">
        <f t="shared" si="63"/>
        <v>4.2871404338038132E-3</v>
      </c>
      <c r="BH295" s="7" t="e">
        <f t="shared" si="64"/>
        <v>#N/A</v>
      </c>
      <c r="BI295" s="7">
        <f t="shared" si="68"/>
        <v>1.9640658655040006E-3</v>
      </c>
      <c r="BJ295" s="7">
        <f t="shared" si="65"/>
        <v>9.6406586550400056E-4</v>
      </c>
      <c r="BK295" s="7" t="e">
        <f t="shared" si="69"/>
        <v>#N/A</v>
      </c>
      <c r="BL295" s="7" t="e">
        <f t="shared" si="66"/>
        <v>#N/A</v>
      </c>
    </row>
    <row r="296" spans="2:64" ht="11.25" customHeight="1">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7">
        <f t="shared" si="57"/>
        <v>5.7702504239032226E-4</v>
      </c>
      <c r="BA296" s="7">
        <f t="shared" si="67"/>
        <v>-3.2500000000000586</v>
      </c>
      <c r="BB296" s="7">
        <f t="shared" si="58"/>
        <v>2.0290480572993821E-3</v>
      </c>
      <c r="BC296" s="7" t="e">
        <f t="shared" si="59"/>
        <v>#N/A</v>
      </c>
      <c r="BD296" s="7">
        <f t="shared" si="60"/>
        <v>-3.2500100000000587</v>
      </c>
      <c r="BE296" s="7">
        <f t="shared" si="61"/>
        <v>-3.2499900000000586</v>
      </c>
      <c r="BF296" s="7">
        <f t="shared" si="62"/>
        <v>4.3601725397518385E-3</v>
      </c>
      <c r="BG296" s="7">
        <f t="shared" si="63"/>
        <v>4.3603201726169476E-3</v>
      </c>
      <c r="BH296" s="7" t="e">
        <f t="shared" si="64"/>
        <v>#N/A</v>
      </c>
      <c r="BI296" s="7">
        <f t="shared" si="68"/>
        <v>2.0290480572993821E-3</v>
      </c>
      <c r="BJ296" s="7">
        <f t="shared" si="65"/>
        <v>1.0290480572993821E-3</v>
      </c>
      <c r="BK296" s="7" t="e">
        <f t="shared" si="69"/>
        <v>#N/A</v>
      </c>
      <c r="BL296" s="7" t="e">
        <f t="shared" si="66"/>
        <v>#N/A</v>
      </c>
    </row>
    <row r="297" spans="2:64" ht="11.25" customHeight="1">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7">
        <f t="shared" si="57"/>
        <v>5.9764849793386698E-4</v>
      </c>
      <c r="BA297" s="7">
        <f t="shared" si="67"/>
        <v>-3.2400000000000588</v>
      </c>
      <c r="BB297" s="7">
        <f t="shared" si="58"/>
        <v>2.095970612857545E-3</v>
      </c>
      <c r="BC297" s="7" t="e">
        <f t="shared" si="59"/>
        <v>#N/A</v>
      </c>
      <c r="BD297" s="7">
        <f t="shared" si="60"/>
        <v>-3.2400100000000589</v>
      </c>
      <c r="BE297" s="7">
        <f t="shared" si="61"/>
        <v>-3.2399900000000588</v>
      </c>
      <c r="BF297" s="7">
        <f t="shared" si="62"/>
        <v>4.4346331173313507E-3</v>
      </c>
      <c r="BG297" s="7">
        <f t="shared" si="63"/>
        <v>4.4347833394926487E-3</v>
      </c>
      <c r="BH297" s="7" t="e">
        <f t="shared" si="64"/>
        <v>#N/A</v>
      </c>
      <c r="BI297" s="7">
        <f t="shared" si="68"/>
        <v>2.095970612857545E-3</v>
      </c>
      <c r="BJ297" s="7">
        <f t="shared" si="65"/>
        <v>1.095970612857545E-3</v>
      </c>
      <c r="BK297" s="7" t="e">
        <f t="shared" si="69"/>
        <v>#N/A</v>
      </c>
      <c r="BL297" s="7" t="e">
        <f t="shared" si="66"/>
        <v>#N/A</v>
      </c>
    </row>
    <row r="298" spans="2:64" ht="11.25" customHeight="1">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7">
        <f t="shared" si="57"/>
        <v>6.1895109038712093E-4</v>
      </c>
      <c r="BA298" s="7">
        <f t="shared" si="67"/>
        <v>-3.230000000000059</v>
      </c>
      <c r="BB298" s="7">
        <f t="shared" si="58"/>
        <v>2.1648839251706487E-3</v>
      </c>
      <c r="BC298" s="7" t="e">
        <f t="shared" si="59"/>
        <v>#N/A</v>
      </c>
      <c r="BD298" s="7">
        <f t="shared" si="60"/>
        <v>-3.2300100000000591</v>
      </c>
      <c r="BE298" s="7">
        <f t="shared" si="61"/>
        <v>-3.229990000000059</v>
      </c>
      <c r="BF298" s="7">
        <f t="shared" si="62"/>
        <v>4.5103996909188039E-3</v>
      </c>
      <c r="BG298" s="7">
        <f t="shared" si="63"/>
        <v>4.5105525479884386E-3</v>
      </c>
      <c r="BH298" s="7" t="e">
        <f t="shared" si="64"/>
        <v>#N/A</v>
      </c>
      <c r="BI298" s="7">
        <f t="shared" si="68"/>
        <v>2.1648839251706487E-3</v>
      </c>
      <c r="BJ298" s="7">
        <f t="shared" si="65"/>
        <v>1.1648839251706487E-3</v>
      </c>
      <c r="BK298" s="7" t="e">
        <f t="shared" si="69"/>
        <v>#N/A</v>
      </c>
      <c r="BL298" s="7" t="e">
        <f t="shared" si="66"/>
        <v>#N/A</v>
      </c>
    </row>
    <row r="299" spans="2:64" ht="11.25" customHeight="1">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7">
        <f t="shared" si="57"/>
        <v>6.4095298366018127E-4</v>
      </c>
      <c r="BA299" s="7">
        <f t="shared" si="67"/>
        <v>-3.2200000000000593</v>
      </c>
      <c r="BB299" s="7">
        <f t="shared" si="58"/>
        <v>2.2358394396881131E-3</v>
      </c>
      <c r="BC299" s="7" t="e">
        <f t="shared" si="59"/>
        <v>#N/A</v>
      </c>
      <c r="BD299" s="7">
        <f t="shared" si="60"/>
        <v>-3.2200100000000593</v>
      </c>
      <c r="BE299" s="7">
        <f t="shared" si="61"/>
        <v>-3.2199900000000592</v>
      </c>
      <c r="BF299" s="7">
        <f t="shared" si="62"/>
        <v>4.5874952611169046E-3</v>
      </c>
      <c r="BG299" s="7">
        <f t="shared" si="63"/>
        <v>4.5876507994887482E-3</v>
      </c>
      <c r="BH299" s="7" t="e">
        <f t="shared" si="64"/>
        <v>#N/A</v>
      </c>
      <c r="BI299" s="7">
        <f t="shared" si="68"/>
        <v>2.2358394396881131E-3</v>
      </c>
      <c r="BJ299" s="7">
        <f t="shared" si="65"/>
        <v>1.235839439688113E-3</v>
      </c>
      <c r="BK299" s="7" t="e">
        <f t="shared" si="69"/>
        <v>#N/A</v>
      </c>
      <c r="BL299" s="7" t="e">
        <f t="shared" si="66"/>
        <v>#N/A</v>
      </c>
    </row>
    <row r="300" spans="2:64" ht="11.25" customHeight="1">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7">
        <f t="shared" si="57"/>
        <v>6.6367486143981136E-4</v>
      </c>
      <c r="BA300" s="7">
        <f t="shared" si="67"/>
        <v>-3.2100000000000595</v>
      </c>
      <c r="BB300" s="7">
        <f t="shared" si="58"/>
        <v>2.3088896680060543E-3</v>
      </c>
      <c r="BC300" s="7" t="e">
        <f t="shared" si="59"/>
        <v>#N/A</v>
      </c>
      <c r="BD300" s="7">
        <f t="shared" si="60"/>
        <v>-3.2100100000000595</v>
      </c>
      <c r="BE300" s="7">
        <f t="shared" si="61"/>
        <v>-3.2099900000000594</v>
      </c>
      <c r="BF300" s="7">
        <f t="shared" si="62"/>
        <v>4.6659432224633226E-3</v>
      </c>
      <c r="BG300" s="7">
        <f t="shared" si="63"/>
        <v>4.6661014893253005E-3</v>
      </c>
      <c r="BH300" s="7" t="e">
        <f t="shared" si="64"/>
        <v>#N/A</v>
      </c>
      <c r="BI300" s="7">
        <f t="shared" si="68"/>
        <v>2.3088896680060543E-3</v>
      </c>
      <c r="BJ300" s="7">
        <f t="shared" si="65"/>
        <v>1.3088896680060543E-3</v>
      </c>
      <c r="BK300" s="7" t="e">
        <f t="shared" si="69"/>
        <v>#N/A</v>
      </c>
      <c r="BL300" s="7" t="e">
        <f t="shared" si="66"/>
        <v>#N/A</v>
      </c>
    </row>
    <row r="301" spans="2:64" ht="11.25" customHeight="1">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7">
        <f t="shared" si="57"/>
        <v>6.8713793791563837E-4</v>
      </c>
      <c r="BA301" s="7">
        <f t="shared" si="67"/>
        <v>-3.2000000000000597</v>
      </c>
      <c r="BB301" s="7">
        <f t="shared" si="58"/>
        <v>2.3840882014643868E-3</v>
      </c>
      <c r="BC301" s="7" t="e">
        <f t="shared" si="59"/>
        <v>#N/A</v>
      </c>
      <c r="BD301" s="7">
        <f t="shared" si="60"/>
        <v>-3.2000100000000598</v>
      </c>
      <c r="BE301" s="7">
        <f t="shared" si="61"/>
        <v>-3.1999900000000596</v>
      </c>
      <c r="BF301" s="7">
        <f t="shared" si="62"/>
        <v>4.7457673696278957E-3</v>
      </c>
      <c r="BG301" s="7">
        <f t="shared" si="63"/>
        <v>4.7459284129744619E-3</v>
      </c>
      <c r="BH301" s="7" t="e">
        <f t="shared" si="64"/>
        <v>#N/A</v>
      </c>
      <c r="BI301" s="7">
        <f t="shared" si="68"/>
        <v>2.3840882014643868E-3</v>
      </c>
      <c r="BJ301" s="7">
        <f t="shared" si="65"/>
        <v>1.3840882014643867E-3</v>
      </c>
      <c r="BK301" s="7" t="e">
        <f t="shared" si="69"/>
        <v>#N/A</v>
      </c>
      <c r="BL301" s="7" t="e">
        <f t="shared" si="66"/>
        <v>#N/A</v>
      </c>
    </row>
    <row r="302" spans="2:64" ht="11.25" customHeight="1">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7">
        <f t="shared" si="57"/>
        <v>7.1136396864512896E-4</v>
      </c>
      <c r="BA302" s="7">
        <f t="shared" si="67"/>
        <v>-3.1900000000000599</v>
      </c>
      <c r="BB302" s="7">
        <f t="shared" si="58"/>
        <v>2.4614897246402301E-3</v>
      </c>
      <c r="BC302" s="7" t="e">
        <f t="shared" si="59"/>
        <v>#N/A</v>
      </c>
      <c r="BD302" s="7">
        <f t="shared" si="60"/>
        <v>-3.19001000000006</v>
      </c>
      <c r="BE302" s="7">
        <f t="shared" si="61"/>
        <v>-3.1899900000000598</v>
      </c>
      <c r="BF302" s="7">
        <f t="shared" si="62"/>
        <v>4.8269919036871512E-3</v>
      </c>
      <c r="BG302" s="7">
        <f t="shared" si="63"/>
        <v>4.8271557723319211E-3</v>
      </c>
      <c r="BH302" s="7" t="e">
        <f t="shared" si="64"/>
        <v>#N/A</v>
      </c>
      <c r="BI302" s="7">
        <f t="shared" si="68"/>
        <v>2.4614897246402301E-3</v>
      </c>
      <c r="BJ302" s="7">
        <f t="shared" si="65"/>
        <v>1.46148972464023E-3</v>
      </c>
      <c r="BK302" s="7" t="e">
        <f t="shared" si="69"/>
        <v>#N/A</v>
      </c>
      <c r="BL302" s="7" t="e">
        <f t="shared" si="66"/>
        <v>#N/A</v>
      </c>
    </row>
    <row r="303" spans="2:64" ht="11.25" customHeight="1">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7">
        <f t="shared" si="57"/>
        <v>7.3637526155378996E-4</v>
      </c>
      <c r="BA303" s="7">
        <f t="shared" si="67"/>
        <v>-3.1800000000000601</v>
      </c>
      <c r="BB303" s="7">
        <f t="shared" si="58"/>
        <v>2.5411500287260357E-3</v>
      </c>
      <c r="BC303" s="7" t="e">
        <f t="shared" si="59"/>
        <v>#N/A</v>
      </c>
      <c r="BD303" s="7">
        <f t="shared" si="60"/>
        <v>-3.1800100000000602</v>
      </c>
      <c r="BE303" s="7">
        <f t="shared" si="61"/>
        <v>-3.17999000000006</v>
      </c>
      <c r="BF303" s="7">
        <f t="shared" si="62"/>
        <v>4.9096414384763414E-3</v>
      </c>
      <c r="BG303" s="7">
        <f t="shared" si="63"/>
        <v>4.9098081820648535E-3</v>
      </c>
      <c r="BH303" s="7" t="e">
        <f t="shared" si="64"/>
        <v>#N/A</v>
      </c>
      <c r="BI303" s="7">
        <f t="shared" si="68"/>
        <v>2.5411500287260357E-3</v>
      </c>
      <c r="BJ303" s="7">
        <f t="shared" si="65"/>
        <v>1.5411500287260357E-3</v>
      </c>
      <c r="BK303" s="7" t="e">
        <f t="shared" si="69"/>
        <v>#N/A</v>
      </c>
      <c r="BL303" s="7" t="e">
        <f t="shared" si="66"/>
        <v>#N/A</v>
      </c>
    </row>
    <row r="304" spans="2:64" ht="11.25" customHeight="1">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7">
        <f t="shared" si="57"/>
        <v>7.6219468806670854E-4</v>
      </c>
      <c r="BA304" s="7">
        <f t="shared" si="67"/>
        <v>-3.1700000000000603</v>
      </c>
      <c r="BB304" s="7">
        <f t="shared" si="58"/>
        <v>2.6231260247805235E-3</v>
      </c>
      <c r="BC304" s="7" t="e">
        <f t="shared" si="59"/>
        <v>#N/A</v>
      </c>
      <c r="BD304" s="7">
        <f t="shared" si="60"/>
        <v>-3.1700100000000604</v>
      </c>
      <c r="BE304" s="7">
        <f t="shared" si="61"/>
        <v>-3.1699900000000603</v>
      </c>
      <c r="BF304" s="7">
        <f t="shared" si="62"/>
        <v>4.993741007019244E-3</v>
      </c>
      <c r="BG304" s="7">
        <f t="shared" si="63"/>
        <v>4.9939106760419141E-3</v>
      </c>
      <c r="BH304" s="7" t="e">
        <f t="shared" si="64"/>
        <v>#N/A</v>
      </c>
      <c r="BI304" s="7">
        <f t="shared" si="68"/>
        <v>2.6231260247805235E-3</v>
      </c>
      <c r="BJ304" s="7">
        <f t="shared" si="65"/>
        <v>1.6231260247805235E-3</v>
      </c>
      <c r="BK304" s="7" t="e">
        <f t="shared" si="69"/>
        <v>#N/A</v>
      </c>
      <c r="BL304" s="7" t="e">
        <f t="shared" si="66"/>
        <v>#N/A</v>
      </c>
    </row>
    <row r="305" spans="2:64" ht="11.25" customHeight="1">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7">
        <f t="shared" si="57"/>
        <v>7.8884569437609464E-4</v>
      </c>
      <c r="BA305" s="7">
        <f t="shared" si="67"/>
        <v>-3.1600000000000605</v>
      </c>
      <c r="BB305" s="7">
        <f t="shared" si="58"/>
        <v>2.7074757568401851E-3</v>
      </c>
      <c r="BC305" s="7" t="e">
        <f t="shared" si="59"/>
        <v>#N/A</v>
      </c>
      <c r="BD305" s="7">
        <f t="shared" si="60"/>
        <v>-3.1600100000000606</v>
      </c>
      <c r="BE305" s="7">
        <f t="shared" si="61"/>
        <v>-3.1599900000000605</v>
      </c>
      <c r="BF305" s="7">
        <f t="shared" si="62"/>
        <v>5.079316068035993E-3</v>
      </c>
      <c r="BG305" s="7">
        <f t="shared" si="63"/>
        <v>5.0794887138411893E-3</v>
      </c>
      <c r="BH305" s="7" t="e">
        <f t="shared" si="64"/>
        <v>#N/A</v>
      </c>
      <c r="BI305" s="7">
        <f t="shared" si="68"/>
        <v>2.7074757568401851E-3</v>
      </c>
      <c r="BJ305" s="7">
        <f t="shared" si="65"/>
        <v>1.7074757568401851E-3</v>
      </c>
      <c r="BK305" s="7" t="e">
        <f t="shared" si="69"/>
        <v>#N/A</v>
      </c>
      <c r="BL305" s="7" t="e">
        <f t="shared" si="66"/>
        <v>#N/A</v>
      </c>
    </row>
    <row r="306" spans="2:64" ht="11.25" customHeight="1">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7">
        <f t="shared" si="57"/>
        <v>8.1635231282861653E-4</v>
      </c>
      <c r="BA306" s="7">
        <f t="shared" si="67"/>
        <v>-3.1500000000000608</v>
      </c>
      <c r="BB306" s="7">
        <f t="shared" si="58"/>
        <v>2.7942584148789107E-3</v>
      </c>
      <c r="BC306" s="7" t="e">
        <f t="shared" si="59"/>
        <v>#N/A</v>
      </c>
      <c r="BD306" s="7">
        <f t="shared" si="60"/>
        <v>-3.1500100000000608</v>
      </c>
      <c r="BE306" s="7">
        <f t="shared" si="61"/>
        <v>-3.1499900000000607</v>
      </c>
      <c r="BF306" s="7">
        <f t="shared" si="62"/>
        <v>5.1663925125289556E-3</v>
      </c>
      <c r="BG306" s="7">
        <f t="shared" si="63"/>
        <v>5.1665681873362774E-3</v>
      </c>
      <c r="BH306" s="7" t="e">
        <f t="shared" si="64"/>
        <v>#N/A</v>
      </c>
      <c r="BI306" s="7">
        <f t="shared" si="68"/>
        <v>2.7942584148789107E-3</v>
      </c>
      <c r="BJ306" s="7">
        <f t="shared" si="65"/>
        <v>1.7942584148789107E-3</v>
      </c>
      <c r="BK306" s="7" t="e">
        <f t="shared" si="69"/>
        <v>#N/A</v>
      </c>
      <c r="BL306" s="7" t="e">
        <f t="shared" si="66"/>
        <v>#N/A</v>
      </c>
    </row>
    <row r="307" spans="2:64" ht="11.25" customHeight="1">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7">
        <f t="shared" si="57"/>
        <v>8.4473917345850857E-4</v>
      </c>
      <c r="BA307" s="7">
        <f t="shared" si="67"/>
        <v>-3.140000000000061</v>
      </c>
      <c r="BB307" s="7">
        <f t="shared" si="58"/>
        <v>2.883534347602888E-3</v>
      </c>
      <c r="BC307" s="7" t="e">
        <f t="shared" si="59"/>
        <v>#N/A</v>
      </c>
      <c r="BD307" s="7">
        <f t="shared" si="60"/>
        <v>-3.140010000000061</v>
      </c>
      <c r="BE307" s="7">
        <f t="shared" si="61"/>
        <v>-3.1399900000000609</v>
      </c>
      <c r="BF307" s="7">
        <f t="shared" si="62"/>
        <v>5.2549966704469831E-3</v>
      </c>
      <c r="BG307" s="7">
        <f t="shared" si="63"/>
        <v>5.2551754273606468E-3</v>
      </c>
      <c r="BH307" s="7" t="e">
        <f t="shared" si="64"/>
        <v>#N/A</v>
      </c>
      <c r="BI307" s="7">
        <f t="shared" si="68"/>
        <v>2.883534347602888E-3</v>
      </c>
      <c r="BJ307" s="7">
        <f t="shared" si="65"/>
        <v>1.883534347602888E-3</v>
      </c>
      <c r="BK307" s="7" t="e">
        <f t="shared" si="69"/>
        <v>#N/A</v>
      </c>
      <c r="BL307" s="7" t="e">
        <f t="shared" si="66"/>
        <v>#N/A</v>
      </c>
    </row>
    <row r="308" spans="2:64" ht="11.25" customHeight="1">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7">
        <f t="shared" si="57"/>
        <v>8.7403151563103521E-4</v>
      </c>
      <c r="BA308" s="7">
        <f t="shared" si="67"/>
        <v>-3.1300000000000612</v>
      </c>
      <c r="BB308" s="7">
        <f t="shared" si="58"/>
        <v>2.9753650750676823E-3</v>
      </c>
      <c r="BC308" s="7" t="e">
        <f t="shared" si="59"/>
        <v>#N/A</v>
      </c>
      <c r="BD308" s="7">
        <f t="shared" si="60"/>
        <v>-3.1300100000000612</v>
      </c>
      <c r="BE308" s="7">
        <f t="shared" si="61"/>
        <v>-3.1299900000000611</v>
      </c>
      <c r="BF308" s="7">
        <f t="shared" si="62"/>
        <v>5.3451553174279796E-3</v>
      </c>
      <c r="BG308" s="7">
        <f t="shared" si="63"/>
        <v>5.3453372104503996E-3</v>
      </c>
      <c r="BH308" s="7" t="e">
        <f t="shared" si="64"/>
        <v>#N/A</v>
      </c>
      <c r="BI308" s="7">
        <f t="shared" si="68"/>
        <v>2.9753650750676823E-3</v>
      </c>
      <c r="BJ308" s="7">
        <f t="shared" si="65"/>
        <v>1.9753650750676823E-3</v>
      </c>
      <c r="BK308" s="7" t="e">
        <f t="shared" si="69"/>
        <v>#N/A</v>
      </c>
      <c r="BL308" s="7" t="e">
        <f t="shared" si="66"/>
        <v>#N/A</v>
      </c>
    </row>
    <row r="309" spans="2:64" ht="11.25" customHeight="1">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7">
        <f t="shared" si="57"/>
        <v>9.0425519982173519E-4</v>
      </c>
      <c r="BA309" s="7">
        <f t="shared" si="67"/>
        <v>-3.1200000000000614</v>
      </c>
      <c r="BB309" s="7">
        <f t="shared" si="58"/>
        <v>3.069813301104154E-3</v>
      </c>
      <c r="BC309" s="7" t="e">
        <f t="shared" si="59"/>
        <v>#N/A</v>
      </c>
      <c r="BD309" s="7">
        <f t="shared" si="60"/>
        <v>-3.1200100000000615</v>
      </c>
      <c r="BE309" s="7">
        <f t="shared" si="61"/>
        <v>-3.1199900000000613</v>
      </c>
      <c r="BF309" s="7">
        <f t="shared" si="62"/>
        <v>5.4368956816199642E-3</v>
      </c>
      <c r="BG309" s="7">
        <f t="shared" si="63"/>
        <v>5.4370807656654325E-3</v>
      </c>
      <c r="BH309" s="7" t="e">
        <f t="shared" si="64"/>
        <v>#N/A</v>
      </c>
      <c r="BI309" s="7">
        <f t="shared" si="68"/>
        <v>3.069813301104154E-3</v>
      </c>
      <c r="BJ309" s="7">
        <f t="shared" si="65"/>
        <v>2.069813301104154E-3</v>
      </c>
      <c r="BK309" s="7" t="e">
        <f t="shared" si="69"/>
        <v>#N/A</v>
      </c>
      <c r="BL309" s="7" t="e">
        <f t="shared" si="66"/>
        <v>#N/A</v>
      </c>
    </row>
    <row r="310" spans="2:64" ht="11.25" customHeight="1">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7">
        <f t="shared" si="57"/>
        <v>9.3543671951401564E-4</v>
      </c>
      <c r="BA310" s="7">
        <f t="shared" si="67"/>
        <v>-3.1100000000000616</v>
      </c>
      <c r="BB310" s="7">
        <f t="shared" si="58"/>
        <v>3.1669429255394704E-3</v>
      </c>
      <c r="BC310" s="7" t="e">
        <f t="shared" si="59"/>
        <v>#N/A</v>
      </c>
      <c r="BD310" s="7">
        <f t="shared" si="60"/>
        <v>-3.1100100000000617</v>
      </c>
      <c r="BE310" s="7">
        <f t="shared" si="61"/>
        <v>-3.1099900000000615</v>
      </c>
      <c r="BF310" s="7">
        <f t="shared" si="62"/>
        <v>5.5302454505805274E-3</v>
      </c>
      <c r="BG310" s="7">
        <f t="shared" si="63"/>
        <v>5.5304337814891576E-3</v>
      </c>
      <c r="BH310" s="7" t="e">
        <f t="shared" si="64"/>
        <v>#N/A</v>
      </c>
      <c r="BI310" s="7">
        <f t="shared" si="68"/>
        <v>3.1669429255394704E-3</v>
      </c>
      <c r="BJ310" s="7">
        <f t="shared" si="65"/>
        <v>2.1669429255394704E-3</v>
      </c>
      <c r="BK310" s="7" t="e">
        <f t="shared" si="69"/>
        <v>#N/A</v>
      </c>
      <c r="BL310" s="7" t="e">
        <f t="shared" si="66"/>
        <v>#N/A</v>
      </c>
    </row>
    <row r="311" spans="2:64" ht="11.25" customHeight="1">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7">
        <f t="shared" si="57"/>
        <v>9.6760321321798237E-4</v>
      </c>
      <c r="BA311" s="7">
        <f t="shared" si="67"/>
        <v>-3.1000000000000618</v>
      </c>
      <c r="BB311" s="7">
        <f t="shared" si="58"/>
        <v>3.2668190561992946E-3</v>
      </c>
      <c r="BC311" s="7" t="e">
        <f t="shared" si="59"/>
        <v>#N/A</v>
      </c>
      <c r="BD311" s="7">
        <f t="shared" si="60"/>
        <v>-3.1000100000000619</v>
      </c>
      <c r="BE311" s="7">
        <f t="shared" si="61"/>
        <v>-3.0999900000000618</v>
      </c>
      <c r="BF311" s="7">
        <f t="shared" si="62"/>
        <v>5.6252327782549422E-3</v>
      </c>
      <c r="BG311" s="7">
        <f t="shared" si="63"/>
        <v>5.6254244128066426E-3</v>
      </c>
      <c r="BH311" s="7" t="e">
        <f t="shared" si="64"/>
        <v>#N/A</v>
      </c>
      <c r="BI311" s="7">
        <f t="shared" si="68"/>
        <v>3.2668190561992946E-3</v>
      </c>
      <c r="BJ311" s="7">
        <f t="shared" si="65"/>
        <v>2.2668190561992946E-3</v>
      </c>
      <c r="BK311" s="7" t="e">
        <f t="shared" si="69"/>
        <v>#N/A</v>
      </c>
      <c r="BL311" s="7" t="e">
        <f t="shared" si="66"/>
        <v>#N/A</v>
      </c>
    </row>
    <row r="312" spans="2:64" ht="11.25" customHeight="1">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7">
        <f t="shared" si="57"/>
        <v>1.0007824766131712E-3</v>
      </c>
      <c r="BA312" s="7">
        <f t="shared" si="67"/>
        <v>-3.090000000000062</v>
      </c>
      <c r="BB312" s="7">
        <f t="shared" si="58"/>
        <v>3.3695080206768342E-3</v>
      </c>
      <c r="BC312" s="7" t="e">
        <f t="shared" si="59"/>
        <v>#N/A</v>
      </c>
      <c r="BD312" s="7">
        <f t="shared" si="60"/>
        <v>-3.0900100000000621</v>
      </c>
      <c r="BE312" s="7">
        <f t="shared" si="61"/>
        <v>-3.089990000000062</v>
      </c>
      <c r="BF312" s="7">
        <f t="shared" si="62"/>
        <v>5.7218862920325238E-3</v>
      </c>
      <c r="BG312" s="7">
        <f t="shared" si="63"/>
        <v>5.7220812879612342E-3</v>
      </c>
      <c r="BH312" s="7" t="e">
        <f t="shared" si="64"/>
        <v>#N/A</v>
      </c>
      <c r="BI312" s="7">
        <f t="shared" si="68"/>
        <v>3.3695080206768342E-3</v>
      </c>
      <c r="BJ312" s="7">
        <f t="shared" si="65"/>
        <v>2.3695080206768341E-3</v>
      </c>
      <c r="BK312" s="7" t="e">
        <f t="shared" si="69"/>
        <v>#N/A</v>
      </c>
      <c r="BL312" s="7" t="e">
        <f t="shared" si="66"/>
        <v>#N/A</v>
      </c>
    </row>
    <row r="313" spans="2:64" ht="11.25" customHeight="1">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7">
        <f t="shared" si="57"/>
        <v>1.0350029748019685E-3</v>
      </c>
      <c r="BA313" s="7">
        <f t="shared" si="67"/>
        <v>-3.0800000000000622</v>
      </c>
      <c r="BB313" s="7">
        <f t="shared" si="58"/>
        <v>3.4750773778542709E-3</v>
      </c>
      <c r="BC313" s="7" t="e">
        <f t="shared" si="59"/>
        <v>#N/A</v>
      </c>
      <c r="BD313" s="7">
        <f t="shared" si="60"/>
        <v>-3.0800100000000623</v>
      </c>
      <c r="BE313" s="7">
        <f t="shared" si="61"/>
        <v>-3.0799900000000622</v>
      </c>
      <c r="BF313" s="7">
        <f t="shared" si="62"/>
        <v>5.8202350998814408E-3</v>
      </c>
      <c r="BG313" s="7">
        <f t="shared" si="63"/>
        <v>5.8204335158894283E-3</v>
      </c>
      <c r="BH313" s="7" t="e">
        <f t="shared" si="64"/>
        <v>#N/A</v>
      </c>
      <c r="BI313" s="7">
        <f t="shared" si="68"/>
        <v>3.4750773778542709E-3</v>
      </c>
      <c r="BJ313" s="7">
        <f t="shared" si="65"/>
        <v>2.4750773778542709E-3</v>
      </c>
      <c r="BK313" s="7" t="e">
        <f t="shared" si="69"/>
        <v>#N/A</v>
      </c>
      <c r="BL313" s="7" t="e">
        <f t="shared" si="66"/>
        <v>#N/A</v>
      </c>
    </row>
    <row r="314" spans="2:64" ht="11.25" customHeight="1">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7">
        <f t="shared" si="57"/>
        <v>1.0702938546789387E-3</v>
      </c>
      <c r="BA314" s="7">
        <f t="shared" si="67"/>
        <v>-3.0700000000000625</v>
      </c>
      <c r="BB314" s="7">
        <f t="shared" si="58"/>
        <v>3.5835959291616736E-3</v>
      </c>
      <c r="BC314" s="7" t="e">
        <f t="shared" si="59"/>
        <v>#N/A</v>
      </c>
      <c r="BD314" s="7">
        <f t="shared" si="60"/>
        <v>-3.0700100000000625</v>
      </c>
      <c r="BE314" s="7">
        <f t="shared" si="61"/>
        <v>-3.0699900000000624</v>
      </c>
      <c r="BF314" s="7">
        <f t="shared" si="62"/>
        <v>5.9203087975617501E-3</v>
      </c>
      <c r="BG314" s="7">
        <f t="shared" si="63"/>
        <v>5.9205106933341804E-3</v>
      </c>
      <c r="BH314" s="7" t="e">
        <f t="shared" si="64"/>
        <v>#N/A</v>
      </c>
      <c r="BI314" s="7">
        <f t="shared" si="68"/>
        <v>3.5835959291616736E-3</v>
      </c>
      <c r="BJ314" s="7">
        <f t="shared" si="65"/>
        <v>2.5835959291616735E-3</v>
      </c>
      <c r="BK314" s="7" t="e">
        <f t="shared" si="69"/>
        <v>#N/A</v>
      </c>
      <c r="BL314" s="7" t="e">
        <f t="shared" si="66"/>
        <v>#N/A</v>
      </c>
    </row>
    <row r="315" spans="2:64" ht="11.25" customHeight="1">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7">
        <f t="shared" si="57"/>
        <v>1.1066849574092874E-3</v>
      </c>
      <c r="BA315" s="7">
        <f t="shared" si="67"/>
        <v>-3.0600000000000627</v>
      </c>
      <c r="BB315" s="7">
        <f t="shared" si="58"/>
        <v>3.6951337295583254E-3</v>
      </c>
      <c r="BC315" s="7" t="e">
        <f t="shared" si="59"/>
        <v>#N/A</v>
      </c>
      <c r="BD315" s="7">
        <f t="shared" si="60"/>
        <v>-3.0600100000000627</v>
      </c>
      <c r="BE315" s="7">
        <f t="shared" si="61"/>
        <v>-3.0599900000000626</v>
      </c>
      <c r="BF315" s="7">
        <f t="shared" si="62"/>
        <v>6.0221374759165096E-3</v>
      </c>
      <c r="BG315" s="7">
        <f t="shared" si="63"/>
        <v>6.022342912136042E-3</v>
      </c>
      <c r="BH315" s="7" t="e">
        <f t="shared" si="64"/>
        <v>#N/A</v>
      </c>
      <c r="BI315" s="7">
        <f t="shared" si="68"/>
        <v>3.6951337295583254E-3</v>
      </c>
      <c r="BJ315" s="7">
        <f t="shared" si="65"/>
        <v>2.6951337295583254E-3</v>
      </c>
      <c r="BK315" s="7" t="e">
        <f t="shared" si="69"/>
        <v>#N/A</v>
      </c>
      <c r="BL315" s="7" t="e">
        <f t="shared" si="66"/>
        <v>#N/A</v>
      </c>
    </row>
    <row r="316" spans="2:64" ht="11.25" customHeight="1">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7">
        <f t="shared" si="57"/>
        <v>1.144206831022121E-3</v>
      </c>
      <c r="BA316" s="7">
        <f t="shared" si="67"/>
        <v>-3.0500000000000629</v>
      </c>
      <c r="BB316" s="7">
        <f t="shared" si="58"/>
        <v>3.8097620982210758E-3</v>
      </c>
      <c r="BC316" s="7" t="e">
        <f t="shared" si="59"/>
        <v>#N/A</v>
      </c>
      <c r="BD316" s="7">
        <f t="shared" si="60"/>
        <v>-3.0500100000000629</v>
      </c>
      <c r="BE316" s="7">
        <f t="shared" si="61"/>
        <v>-3.0499900000000628</v>
      </c>
      <c r="BF316" s="7">
        <f t="shared" si="62"/>
        <v>6.125751728240641E-3</v>
      </c>
      <c r="BG316" s="7">
        <f t="shared" si="63"/>
        <v>6.1259607666022953E-3</v>
      </c>
      <c r="BH316" s="7" t="e">
        <f t="shared" si="64"/>
        <v>#N/A</v>
      </c>
      <c r="BI316" s="7">
        <f t="shared" si="68"/>
        <v>3.8097620982210758E-3</v>
      </c>
      <c r="BJ316" s="7">
        <f t="shared" si="65"/>
        <v>2.8097620982210757E-3</v>
      </c>
      <c r="BK316" s="7" t="e">
        <f t="shared" si="69"/>
        <v>#N/A</v>
      </c>
      <c r="BL316" s="7" t="e">
        <f t="shared" si="66"/>
        <v>#N/A</v>
      </c>
    </row>
    <row r="317" spans="2:64" ht="11.25" customHeight="1">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7">
        <f t="shared" si="57"/>
        <v>1.1828907431041813E-3</v>
      </c>
      <c r="BA317" s="7">
        <f t="shared" si="67"/>
        <v>-3.0400000000000631</v>
      </c>
      <c r="BB317" s="7">
        <f t="shared" si="58"/>
        <v>3.9275536289240251E-3</v>
      </c>
      <c r="BC317" s="7" t="e">
        <f t="shared" si="59"/>
        <v>#N/A</v>
      </c>
      <c r="BD317" s="7">
        <f t="shared" si="60"/>
        <v>-3.0400100000000632</v>
      </c>
      <c r="BE317" s="7">
        <f t="shared" si="61"/>
        <v>-3.039990000000063</v>
      </c>
      <c r="BF317" s="7">
        <f t="shared" si="62"/>
        <v>6.2311826577275062E-3</v>
      </c>
      <c r="BG317" s="7">
        <f t="shared" si="63"/>
        <v>6.2313953609536123E-3</v>
      </c>
      <c r="BH317" s="7" t="e">
        <f t="shared" si="64"/>
        <v>#N/A</v>
      </c>
      <c r="BI317" s="7">
        <f t="shared" si="68"/>
        <v>3.9275536289240251E-3</v>
      </c>
      <c r="BJ317" s="7">
        <f t="shared" si="65"/>
        <v>2.9275536289240251E-3</v>
      </c>
      <c r="BK317" s="7" t="e">
        <f t="shared" si="69"/>
        <v>#N/A</v>
      </c>
      <c r="BL317" s="7" t="e">
        <f t="shared" si="66"/>
        <v>#N/A</v>
      </c>
    </row>
    <row r="318" spans="2:64" ht="11.25" customHeight="1">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7">
        <f t="shared" si="57"/>
        <v>1.2227686935920579E-3</v>
      </c>
      <c r="BA318" s="7">
        <f t="shared" si="67"/>
        <v>-3.0300000000000633</v>
      </c>
      <c r="BB318" s="7">
        <f t="shared" si="58"/>
        <v>4.0485822000936519E-3</v>
      </c>
      <c r="BC318" s="7" t="e">
        <f t="shared" si="59"/>
        <v>#N/A</v>
      </c>
      <c r="BD318" s="7">
        <f t="shared" si="60"/>
        <v>-3.0300100000000634</v>
      </c>
      <c r="BE318" s="7">
        <f t="shared" si="61"/>
        <v>-3.0299900000000632</v>
      </c>
      <c r="BF318" s="7">
        <f t="shared" si="62"/>
        <v>6.3384618849926773E-3</v>
      </c>
      <c r="BG318" s="7">
        <f t="shared" si="63"/>
        <v>6.3386783168479788E-3</v>
      </c>
      <c r="BH318" s="7" t="e">
        <f t="shared" si="64"/>
        <v>#N/A</v>
      </c>
      <c r="BI318" s="7">
        <f t="shared" si="68"/>
        <v>4.0485822000936519E-3</v>
      </c>
      <c r="BJ318" s="7">
        <f t="shared" si="65"/>
        <v>3.0485822000936519E-3</v>
      </c>
      <c r="BK318" s="7" t="e">
        <f t="shared" si="69"/>
        <v>#N/A</v>
      </c>
      <c r="BL318" s="7" t="e">
        <f t="shared" si="66"/>
        <v>#N/A</v>
      </c>
    </row>
    <row r="319" spans="2:64" ht="11.25" customHeight="1">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7">
        <f t="shared" si="57"/>
        <v>1.2638734276719799E-3</v>
      </c>
      <c r="BA319" s="7">
        <f t="shared" si="67"/>
        <v>-3.0200000000000635</v>
      </c>
      <c r="BB319" s="7">
        <f t="shared" si="58"/>
        <v>4.1729229845231608E-3</v>
      </c>
      <c r="BC319" s="7" t="e">
        <f t="shared" si="59"/>
        <v>#N/A</v>
      </c>
      <c r="BD319" s="7">
        <f t="shared" si="60"/>
        <v>-3.0200100000000636</v>
      </c>
      <c r="BE319" s="7">
        <f t="shared" si="61"/>
        <v>-3.0199900000000635</v>
      </c>
      <c r="BF319" s="7">
        <f t="shared" si="62"/>
        <v>6.4476215556746198E-3</v>
      </c>
      <c r="BG319" s="7">
        <f t="shared" si="63"/>
        <v>6.4478417809816033E-3</v>
      </c>
      <c r="BH319" s="7" t="e">
        <f t="shared" si="64"/>
        <v>#N/A</v>
      </c>
      <c r="BI319" s="7">
        <f t="shared" si="68"/>
        <v>4.1729229845231608E-3</v>
      </c>
      <c r="BJ319" s="7">
        <f t="shared" si="65"/>
        <v>3.1729229845231608E-3</v>
      </c>
      <c r="BK319" s="7" t="e">
        <f t="shared" si="69"/>
        <v>#N/A</v>
      </c>
      <c r="BL319" s="7" t="e">
        <f t="shared" si="66"/>
        <v>#N/A</v>
      </c>
    </row>
    <row r="320" spans="2:64" ht="11.25" customHeight="1">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7">
        <f t="shared" si="57"/>
        <v>1.3062384487688705E-3</v>
      </c>
      <c r="BA320" s="7">
        <f t="shared" si="67"/>
        <v>-3.0100000000000637</v>
      </c>
      <c r="BB320" s="7">
        <f t="shared" si="58"/>
        <v>4.3006524587296206E-3</v>
      </c>
      <c r="BC320" s="7" t="e">
        <f t="shared" si="59"/>
        <v>#N/A</v>
      </c>
      <c r="BD320" s="7">
        <f t="shared" si="60"/>
        <v>-3.0100100000000638</v>
      </c>
      <c r="BE320" s="7">
        <f t="shared" si="61"/>
        <v>-3.0099900000000637</v>
      </c>
      <c r="BF320" s="7">
        <f t="shared" si="62"/>
        <v>6.5586943481119372E-3</v>
      </c>
      <c r="BG320" s="7">
        <f t="shared" si="63"/>
        <v>6.5589184327662069E-3</v>
      </c>
      <c r="BH320" s="7" t="e">
        <f t="shared" si="64"/>
        <v>#N/A</v>
      </c>
      <c r="BI320" s="7">
        <f t="shared" si="68"/>
        <v>4.3006524587296206E-3</v>
      </c>
      <c r="BJ320" s="7">
        <f t="shared" si="65"/>
        <v>3.3006524587296205E-3</v>
      </c>
      <c r="BK320" s="7" t="e">
        <f t="shared" si="69"/>
        <v>#N/A</v>
      </c>
      <c r="BL320" s="7" t="e">
        <f t="shared" si="66"/>
        <v>#N/A</v>
      </c>
    </row>
    <row r="321" spans="2:64" ht="11.25" customHeight="1">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7">
        <f t="shared" si="57"/>
        <v>1.3498980316297704E-3</v>
      </c>
      <c r="BA321" s="7">
        <f t="shared" si="67"/>
        <v>-3.0000000000000639</v>
      </c>
      <c r="BB321" s="7">
        <f t="shared" si="58"/>
        <v>4.4318484119371566E-3</v>
      </c>
      <c r="BC321" s="7" t="e">
        <f t="shared" si="59"/>
        <v>#N/A</v>
      </c>
      <c r="BD321" s="7">
        <f t="shared" si="60"/>
        <v>-3.000010000000064</v>
      </c>
      <c r="BE321" s="7">
        <f t="shared" si="61"/>
        <v>-2.9999900000000639</v>
      </c>
      <c r="BF321" s="7">
        <f t="shared" si="62"/>
        <v>6.6717134810965776E-3</v>
      </c>
      <c r="BG321" s="7">
        <f t="shared" si="63"/>
        <v>6.6719414920824822E-3</v>
      </c>
      <c r="BH321" s="7" t="e">
        <f t="shared" si="64"/>
        <v>#N/A</v>
      </c>
      <c r="BI321" s="7">
        <f t="shared" si="68"/>
        <v>4.4318484119371566E-3</v>
      </c>
      <c r="BJ321" s="7">
        <f t="shared" si="65"/>
        <v>3.4318484119371566E-3</v>
      </c>
      <c r="BK321" s="7" t="e">
        <f t="shared" si="69"/>
        <v>#N/A</v>
      </c>
      <c r="BL321" s="7" t="e">
        <f t="shared" si="66"/>
        <v>#N/A</v>
      </c>
    </row>
    <row r="322" spans="2:64" ht="11.25" customHeight="1">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7">
        <f t="shared" si="57"/>
        <v>1.3948872354917485E-3</v>
      </c>
      <c r="BA322" s="7">
        <f t="shared" si="67"/>
        <v>-2.9900000000000642</v>
      </c>
      <c r="BB322" s="7">
        <f t="shared" si="58"/>
        <v>4.5665899546692718E-3</v>
      </c>
      <c r="BC322" s="7" t="e">
        <f t="shared" si="59"/>
        <v>#N/A</v>
      </c>
      <c r="BD322" s="7">
        <f t="shared" si="60"/>
        <v>-2.9900100000000642</v>
      </c>
      <c r="BE322" s="7">
        <f t="shared" si="61"/>
        <v>-2.9899900000000641</v>
      </c>
      <c r="BF322" s="7">
        <f t="shared" si="62"/>
        <v>6.7867127217026025E-3</v>
      </c>
      <c r="BG322" s="7">
        <f t="shared" si="63"/>
        <v>6.7869447271089274E-3</v>
      </c>
      <c r="BH322" s="7" t="e">
        <f t="shared" si="64"/>
        <v>#N/A</v>
      </c>
      <c r="BI322" s="7">
        <f t="shared" si="68"/>
        <v>4.5665899546692718E-3</v>
      </c>
      <c r="BJ322" s="7">
        <f t="shared" si="65"/>
        <v>3.5665899546692718E-3</v>
      </c>
      <c r="BK322" s="7" t="e">
        <f t="shared" si="69"/>
        <v>#N/A</v>
      </c>
      <c r="BL322" s="7" t="e">
        <f t="shared" si="66"/>
        <v>#N/A</v>
      </c>
    </row>
    <row r="323" spans="2:64" ht="11.25" customHeight="1">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7">
        <f t="shared" si="57"/>
        <v>1.4412419173395197E-3</v>
      </c>
      <c r="BA323" s="7">
        <f t="shared" si="67"/>
        <v>-2.9800000000000644</v>
      </c>
      <c r="BB323" s="7">
        <f t="shared" si="58"/>
        <v>4.7049575269330762E-3</v>
      </c>
      <c r="BC323" s="7" t="e">
        <f t="shared" si="59"/>
        <v>#N/A</v>
      </c>
      <c r="BD323" s="7">
        <f t="shared" si="60"/>
        <v>-2.9800100000000644</v>
      </c>
      <c r="BE323" s="7">
        <f t="shared" si="61"/>
        <v>-2.9799900000000643</v>
      </c>
      <c r="BF323" s="7">
        <f t="shared" si="62"/>
        <v>6.9037263931898477E-3</v>
      </c>
      <c r="BG323" s="7">
        <f t="shared" si="63"/>
        <v>6.9039624622257477E-3</v>
      </c>
      <c r="BH323" s="7" t="e">
        <f t="shared" si="64"/>
        <v>#N/A</v>
      </c>
      <c r="BI323" s="7">
        <f t="shared" si="68"/>
        <v>4.7049575269330762E-3</v>
      </c>
      <c r="BJ323" s="7">
        <f t="shared" si="65"/>
        <v>3.7049575269330762E-3</v>
      </c>
      <c r="BK323" s="7" t="e">
        <f t="shared" si="69"/>
        <v>#N/A</v>
      </c>
      <c r="BL323" s="7" t="e">
        <f t="shared" si="66"/>
        <v>#N/A</v>
      </c>
    </row>
    <row r="324" spans="2:64" ht="11.25" customHeight="1">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7">
        <f t="shared" si="57"/>
        <v>1.4889987452372244E-3</v>
      </c>
      <c r="BA324" s="7">
        <f t="shared" si="67"/>
        <v>-2.9700000000000646</v>
      </c>
      <c r="BB324" s="7">
        <f t="shared" si="58"/>
        <v>4.8470329059780186E-3</v>
      </c>
      <c r="BC324" s="7" t="e">
        <f t="shared" si="59"/>
        <v>#N/A</v>
      </c>
      <c r="BD324" s="7">
        <f t="shared" si="60"/>
        <v>-2.9700100000000647</v>
      </c>
      <c r="BE324" s="7">
        <f t="shared" si="61"/>
        <v>-2.9699900000000645</v>
      </c>
      <c r="BF324" s="7">
        <f t="shared" si="62"/>
        <v>7.0227893829819255E-3</v>
      </c>
      <c r="BG324" s="7">
        <f t="shared" si="63"/>
        <v>7.0230295859929071E-3</v>
      </c>
      <c r="BH324" s="7" t="e">
        <f t="shared" si="64"/>
        <v>#N/A</v>
      </c>
      <c r="BI324" s="7">
        <f t="shared" si="68"/>
        <v>4.8470329059780186E-3</v>
      </c>
      <c r="BJ324" s="7">
        <f t="shared" si="65"/>
        <v>3.8470329059780185E-3</v>
      </c>
      <c r="BK324" s="7" t="e">
        <f t="shared" si="69"/>
        <v>#N/A</v>
      </c>
      <c r="BL324" s="7" t="e">
        <f t="shared" si="66"/>
        <v>#N/A</v>
      </c>
    </row>
    <row r="325" spans="2:64" ht="11.25" customHeight="1">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7">
        <f t="shared" si="57"/>
        <v>1.538195211737925E-3</v>
      </c>
      <c r="BA325" s="7">
        <f t="shared" si="67"/>
        <v>-2.9600000000000648</v>
      </c>
      <c r="BB325" s="7">
        <f t="shared" si="58"/>
        <v>4.992899213611417E-3</v>
      </c>
      <c r="BC325" s="7" t="e">
        <f t="shared" si="59"/>
        <v>#N/A</v>
      </c>
      <c r="BD325" s="7">
        <f t="shared" si="60"/>
        <v>-2.9600100000000649</v>
      </c>
      <c r="BE325" s="7">
        <f t="shared" si="61"/>
        <v>-2.9599900000000647</v>
      </c>
      <c r="BF325" s="7">
        <f t="shared" si="62"/>
        <v>7.1439371507177659E-3</v>
      </c>
      <c r="BG325" s="7">
        <f t="shared" si="63"/>
        <v>7.144181559201877E-3</v>
      </c>
      <c r="BH325" s="7" t="e">
        <f t="shared" si="64"/>
        <v>#N/A</v>
      </c>
      <c r="BI325" s="7">
        <f t="shared" si="68"/>
        <v>4.992899213611417E-3</v>
      </c>
      <c r="BJ325" s="7">
        <f t="shared" si="65"/>
        <v>3.992899213611417E-3</v>
      </c>
      <c r="BK325" s="7" t="e">
        <f t="shared" si="69"/>
        <v>#N/A</v>
      </c>
      <c r="BL325" s="7" t="e">
        <f t="shared" si="66"/>
        <v>#N/A</v>
      </c>
    </row>
    <row r="326" spans="2:64" ht="11.25" customHeight="1">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7">
        <f t="shared" si="57"/>
        <v>1.5888696473642661E-3</v>
      </c>
      <c r="BA326" s="7">
        <f t="shared" si="67"/>
        <v>-2.950000000000065</v>
      </c>
      <c r="BB326" s="7">
        <f t="shared" si="58"/>
        <v>5.1426409230529513E-3</v>
      </c>
      <c r="BC326" s="7" t="e">
        <f t="shared" si="59"/>
        <v>#N/A</v>
      </c>
      <c r="BD326" s="7">
        <f t="shared" si="60"/>
        <v>-2.9500100000000651</v>
      </c>
      <c r="BE326" s="7">
        <f t="shared" si="61"/>
        <v>-2.9499900000000649</v>
      </c>
      <c r="BF326" s="7">
        <f t="shared" si="62"/>
        <v>7.2672057363759686E-3</v>
      </c>
      <c r="BG326" s="7">
        <f t="shared" si="63"/>
        <v>7.2674544230001458E-3</v>
      </c>
      <c r="BH326" s="7" t="e">
        <f t="shared" si="64"/>
        <v>#N/A</v>
      </c>
      <c r="BI326" s="7">
        <f t="shared" si="68"/>
        <v>5.1426409230529513E-3</v>
      </c>
      <c r="BJ326" s="7">
        <f t="shared" si="65"/>
        <v>4.1426409230529513E-3</v>
      </c>
      <c r="BK326" s="7" t="e">
        <f t="shared" si="69"/>
        <v>#N/A</v>
      </c>
      <c r="BL326" s="7" t="e">
        <f t="shared" si="66"/>
        <v>#N/A</v>
      </c>
    </row>
    <row r="327" spans="2:64" ht="11.25" customHeight="1">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7">
        <f t="shared" si="57"/>
        <v>1.6410612341568598E-3</v>
      </c>
      <c r="BA327" s="7">
        <f t="shared" si="67"/>
        <v>-2.9400000000000652</v>
      </c>
      <c r="BB327" s="7">
        <f t="shared" si="58"/>
        <v>5.2963438653100027E-3</v>
      </c>
      <c r="BC327" s="7" t="e">
        <f t="shared" si="59"/>
        <v>#N/A</v>
      </c>
      <c r="BD327" s="7">
        <f t="shared" si="60"/>
        <v>-2.9400100000000653</v>
      </c>
      <c r="BE327" s="7">
        <f t="shared" si="61"/>
        <v>-2.9399900000000652</v>
      </c>
      <c r="BF327" s="7">
        <f t="shared" si="62"/>
        <v>7.3926317684712469E-3</v>
      </c>
      <c r="BG327" s="7">
        <f t="shared" si="63"/>
        <v>7.3928848070877462E-3</v>
      </c>
      <c r="BH327" s="7" t="e">
        <f t="shared" si="64"/>
        <v>#N/A</v>
      </c>
      <c r="BI327" s="7">
        <f t="shared" si="68"/>
        <v>5.2963438653100027E-3</v>
      </c>
      <c r="BJ327" s="7">
        <f t="shared" si="65"/>
        <v>4.2963438653100027E-3</v>
      </c>
      <c r="BK327" s="7" t="e">
        <f t="shared" si="69"/>
        <v>#N/A</v>
      </c>
      <c r="BL327" s="7" t="e">
        <f t="shared" si="66"/>
        <v>#N/A</v>
      </c>
    </row>
    <row r="328" spans="2:64" ht="11.25" customHeight="1">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7">
        <f t="shared" si="57"/>
        <v>1.6948100192765159E-3</v>
      </c>
      <c r="BA328" s="7">
        <f t="shared" si="67"/>
        <v>-2.9300000000000654</v>
      </c>
      <c r="BB328" s="7">
        <f t="shared" si="58"/>
        <v>5.4540952350555037E-3</v>
      </c>
      <c r="BC328" s="7" t="e">
        <f t="shared" si="59"/>
        <v>#N/A</v>
      </c>
      <c r="BD328" s="7">
        <f t="shared" si="60"/>
        <v>-2.9300100000000655</v>
      </c>
      <c r="BE328" s="7">
        <f t="shared" si="61"/>
        <v>-2.9299900000000654</v>
      </c>
      <c r="BF328" s="7">
        <f t="shared" si="62"/>
        <v>7.520252472321777E-3</v>
      </c>
      <c r="BG328" s="7">
        <f t="shared" si="63"/>
        <v>7.5205099379847982E-3</v>
      </c>
      <c r="BH328" s="7" t="e">
        <f t="shared" si="64"/>
        <v>#N/A</v>
      </c>
      <c r="BI328" s="7">
        <f t="shared" si="68"/>
        <v>5.4540952350555037E-3</v>
      </c>
      <c r="BJ328" s="7">
        <f t="shared" si="65"/>
        <v>4.4540952350555036E-3</v>
      </c>
      <c r="BK328" s="7" t="e">
        <f t="shared" si="69"/>
        <v>#N/A</v>
      </c>
      <c r="BL328" s="7" t="e">
        <f t="shared" si="66"/>
        <v>#N/A</v>
      </c>
    </row>
    <row r="329" spans="2:64" ht="11.25" customHeight="1">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7">
        <f t="shared" si="57"/>
        <v>1.7501569286757501E-3</v>
      </c>
      <c r="BA329" s="7">
        <f t="shared" si="67"/>
        <v>-2.9200000000000657</v>
      </c>
      <c r="BB329" s="7">
        <f t="shared" si="58"/>
        <v>5.61598359598989E-3</v>
      </c>
      <c r="BC329" s="7" t="e">
        <f t="shared" si="59"/>
        <v>#N/A</v>
      </c>
      <c r="BD329" s="7">
        <f t="shared" si="60"/>
        <v>-2.9200100000000657</v>
      </c>
      <c r="BE329" s="7">
        <f t="shared" si="61"/>
        <v>-2.9199900000000656</v>
      </c>
      <c r="BF329" s="7">
        <f t="shared" si="62"/>
        <v>7.6501056783868553E-3</v>
      </c>
      <c r="BG329" s="7">
        <f t="shared" si="63"/>
        <v>7.6503676473692814E-3</v>
      </c>
      <c r="BH329" s="7" t="e">
        <f t="shared" si="64"/>
        <v>#N/A</v>
      </c>
      <c r="BI329" s="7">
        <f t="shared" si="68"/>
        <v>5.61598359598989E-3</v>
      </c>
      <c r="BJ329" s="7">
        <f t="shared" si="65"/>
        <v>4.61598359598989E-3</v>
      </c>
      <c r="BK329" s="7" t="e">
        <f t="shared" si="69"/>
        <v>#N/A</v>
      </c>
      <c r="BL329" s="7" t="e">
        <f t="shared" si="66"/>
        <v>#N/A</v>
      </c>
    </row>
    <row r="330" spans="2:64" ht="11.25" customHeight="1">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7">
        <f t="shared" si="57"/>
        <v>1.807143780806264E-3</v>
      </c>
      <c r="BA330" s="7">
        <f t="shared" si="67"/>
        <v>-2.9100000000000659</v>
      </c>
      <c r="BB330" s="7">
        <f t="shared" si="58"/>
        <v>5.782098885668367E-3</v>
      </c>
      <c r="BC330" s="7" t="e">
        <f t="shared" si="59"/>
        <v>#N/A</v>
      </c>
      <c r="BD330" s="7">
        <f t="shared" si="60"/>
        <v>-2.9100100000000659</v>
      </c>
      <c r="BE330" s="7">
        <f t="shared" si="61"/>
        <v>-2.9099900000000658</v>
      </c>
      <c r="BF330" s="7">
        <f t="shared" si="62"/>
        <v>7.7822298306734639E-3</v>
      </c>
      <c r="BG330" s="7">
        <f t="shared" si="63"/>
        <v>7.7824963804837277E-3</v>
      </c>
      <c r="BH330" s="7" t="e">
        <f t="shared" si="64"/>
        <v>#N/A</v>
      </c>
      <c r="BI330" s="7">
        <f t="shared" si="68"/>
        <v>5.782098885668367E-3</v>
      </c>
      <c r="BJ330" s="7">
        <f t="shared" si="65"/>
        <v>4.782098885668367E-3</v>
      </c>
      <c r="BK330" s="7" t="e">
        <f t="shared" si="69"/>
        <v>#N/A</v>
      </c>
      <c r="BL330" s="7" t="e">
        <f t="shared" si="66"/>
        <v>#N/A</v>
      </c>
    </row>
    <row r="331" spans="2:64" ht="11.25" customHeight="1">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7">
        <f t="shared" si="57"/>
        <v>1.8658133003836008E-3</v>
      </c>
      <c r="BA331" s="7">
        <f t="shared" si="67"/>
        <v>-2.9000000000000661</v>
      </c>
      <c r="BB331" s="7">
        <f t="shared" si="58"/>
        <v>5.9525324197747115E-3</v>
      </c>
      <c r="BC331" s="7" t="e">
        <f t="shared" si="59"/>
        <v>#N/A</v>
      </c>
      <c r="BD331" s="7">
        <f t="shared" si="60"/>
        <v>-2.9000100000000661</v>
      </c>
      <c r="BE331" s="7">
        <f t="shared" si="61"/>
        <v>-2.899990000000066</v>
      </c>
      <c r="BF331" s="7">
        <f t="shared" si="62"/>
        <v>7.9166639952109284E-3</v>
      </c>
      <c r="BG331" s="7">
        <f t="shared" si="63"/>
        <v>7.9169352046100719E-3</v>
      </c>
      <c r="BH331" s="7" t="e">
        <f t="shared" si="64"/>
        <v>#N/A</v>
      </c>
      <c r="BI331" s="7">
        <f t="shared" si="68"/>
        <v>5.9525324197747115E-3</v>
      </c>
      <c r="BJ331" s="7">
        <f t="shared" si="65"/>
        <v>4.9525324197747115E-3</v>
      </c>
      <c r="BK331" s="7" t="e">
        <f t="shared" si="69"/>
        <v>#N/A</v>
      </c>
      <c r="BL331" s="7" t="e">
        <f t="shared" si="66"/>
        <v>#N/A</v>
      </c>
    </row>
    <row r="332" spans="2:64" ht="11.25" customHeight="1">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7">
        <f t="shared" si="57"/>
        <v>1.9262091321875507E-3</v>
      </c>
      <c r="BA332" s="7">
        <f t="shared" si="67"/>
        <v>-2.8900000000000663</v>
      </c>
      <c r="BB332" s="7">
        <f t="shared" si="58"/>
        <v>6.1273768958225111E-3</v>
      </c>
      <c r="BC332" s="7" t="e">
        <f t="shared" si="59"/>
        <v>#N/A</v>
      </c>
      <c r="BD332" s="7">
        <f t="shared" si="60"/>
        <v>-2.8900100000000664</v>
      </c>
      <c r="BE332" s="7">
        <f t="shared" si="61"/>
        <v>-2.8899900000000662</v>
      </c>
      <c r="BF332" s="7">
        <f t="shared" si="62"/>
        <v>8.0534478685922225E-3</v>
      </c>
      <c r="BG332" s="7">
        <f t="shared" si="63"/>
        <v>8.0537238176109846E-3</v>
      </c>
      <c r="BH332" s="7" t="e">
        <f t="shared" si="64"/>
        <v>#N/A</v>
      </c>
      <c r="BI332" s="7">
        <f t="shared" si="68"/>
        <v>6.1273768958225111E-3</v>
      </c>
      <c r="BJ332" s="7">
        <f t="shared" si="65"/>
        <v>5.1273768958225111E-3</v>
      </c>
      <c r="BK332" s="7" t="e">
        <f t="shared" si="69"/>
        <v>#N/A</v>
      </c>
      <c r="BL332" s="7" t="e">
        <f t="shared" si="66"/>
        <v>#N/A</v>
      </c>
    </row>
    <row r="333" spans="2:64" ht="11.25" customHeight="1">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7">
        <f t="shared" si="57"/>
        <v>1.9883758548937536E-3</v>
      </c>
      <c r="BA333" s="7">
        <f t="shared" si="67"/>
        <v>-2.8800000000000665</v>
      </c>
      <c r="BB333" s="7">
        <f t="shared" si="58"/>
        <v>6.3067263962647167E-3</v>
      </c>
      <c r="BC333" s="7" t="e">
        <f t="shared" si="59"/>
        <v>#N/A</v>
      </c>
      <c r="BD333" s="7">
        <f t="shared" si="60"/>
        <v>-2.8800100000000666</v>
      </c>
      <c r="BE333" s="7">
        <f t="shared" si="61"/>
        <v>-2.8799900000000664</v>
      </c>
      <c r="BF333" s="7">
        <f t="shared" si="62"/>
        <v>8.1926217865808185E-3</v>
      </c>
      <c r="BG333" s="7">
        <f t="shared" si="63"/>
        <v>8.192902556536966E-3</v>
      </c>
      <c r="BH333" s="7" t="e">
        <f t="shared" si="64"/>
        <v>#N/A</v>
      </c>
      <c r="BI333" s="7">
        <f t="shared" si="68"/>
        <v>6.3067263962647167E-3</v>
      </c>
      <c r="BJ333" s="7">
        <f t="shared" si="65"/>
        <v>5.3067263962647167E-3</v>
      </c>
      <c r="BK333" s="7" t="e">
        <f t="shared" si="69"/>
        <v>#N/A</v>
      </c>
      <c r="BL333" s="7" t="e">
        <f t="shared" si="66"/>
        <v>#N/A</v>
      </c>
    </row>
    <row r="334" spans="2:64" ht="11.25" customHeight="1">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7">
        <f t="shared" si="57"/>
        <v>2.0523589949390519E-3</v>
      </c>
      <c r="BA334" s="7">
        <f t="shared" si="67"/>
        <v>-2.8700000000000667</v>
      </c>
      <c r="BB334" s="7">
        <f t="shared" si="58"/>
        <v>6.4906763909921231E-3</v>
      </c>
      <c r="BC334" s="7" t="e">
        <f t="shared" si="59"/>
        <v>#N/A</v>
      </c>
      <c r="BD334" s="7">
        <f t="shared" si="60"/>
        <v>-2.8700100000000668</v>
      </c>
      <c r="BE334" s="7">
        <f t="shared" si="61"/>
        <v>-2.8699900000000667</v>
      </c>
      <c r="BF334" s="7">
        <f t="shared" si="62"/>
        <v>8.3342267327815751E-3</v>
      </c>
      <c r="BG334" s="7">
        <f t="shared" si="63"/>
        <v>8.3345124062972932E-3</v>
      </c>
      <c r="BH334" s="7" t="e">
        <f t="shared" si="64"/>
        <v>#N/A</v>
      </c>
      <c r="BI334" s="7">
        <f t="shared" si="68"/>
        <v>6.4906763909921231E-3</v>
      </c>
      <c r="BJ334" s="7">
        <f t="shared" si="65"/>
        <v>5.4906763909921231E-3</v>
      </c>
      <c r="BK334" s="7" t="e">
        <f t="shared" si="69"/>
        <v>#N/A</v>
      </c>
      <c r="BL334" s="7" t="e">
        <f t="shared" si="66"/>
        <v>#N/A</v>
      </c>
    </row>
    <row r="335" spans="2:64" ht="11.25" customHeight="1">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7">
        <f t="shared" si="57"/>
        <v>2.1182050404038311E-3</v>
      </c>
      <c r="BA335" s="7">
        <f t="shared" si="67"/>
        <v>-2.8600000000000669</v>
      </c>
      <c r="BB335" s="7">
        <f t="shared" si="58"/>
        <v>6.6793237392013391E-3</v>
      </c>
      <c r="BC335" s="7" t="e">
        <f t="shared" si="59"/>
        <v>#N/A</v>
      </c>
      <c r="BD335" s="7">
        <f t="shared" si="60"/>
        <v>-2.860010000000067</v>
      </c>
      <c r="BE335" s="7">
        <f t="shared" si="61"/>
        <v>-2.8599900000000669</v>
      </c>
      <c r="BF335" s="7">
        <f t="shared" si="62"/>
        <v>8.4783043473745153E-3</v>
      </c>
      <c r="BG335" s="7">
        <f t="shared" si="63"/>
        <v>8.478595008393916E-3</v>
      </c>
      <c r="BH335" s="7" t="e">
        <f t="shared" si="64"/>
        <v>#N/A</v>
      </c>
      <c r="BI335" s="7">
        <f t="shared" si="68"/>
        <v>6.6793237392013391E-3</v>
      </c>
      <c r="BJ335" s="7">
        <f t="shared" si="65"/>
        <v>5.679323739201339E-3</v>
      </c>
      <c r="BK335" s="7" t="e">
        <f t="shared" si="69"/>
        <v>#N/A</v>
      </c>
      <c r="BL335" s="7" t="e">
        <f t="shared" si="66"/>
        <v>#N/A</v>
      </c>
    </row>
    <row r="336" spans="2:64" ht="11.25" customHeight="1">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7">
        <f t="shared" si="57"/>
        <v>2.1859614549131212E-3</v>
      </c>
      <c r="BA336" s="7">
        <f t="shared" si="67"/>
        <v>-2.8500000000000671</v>
      </c>
      <c r="BB336" s="7">
        <f t="shared" si="58"/>
        <v>6.872766690612658E-3</v>
      </c>
      <c r="BC336" s="7" t="e">
        <f t="shared" si="59"/>
        <v>#N/A</v>
      </c>
      <c r="BD336" s="7">
        <f t="shared" si="60"/>
        <v>-2.8500100000000672</v>
      </c>
      <c r="BE336" s="7">
        <f t="shared" si="61"/>
        <v>-2.8499900000000671</v>
      </c>
      <c r="BF336" s="7">
        <f t="shared" si="62"/>
        <v>8.6248969359094783E-3</v>
      </c>
      <c r="BG336" s="7">
        <f t="shared" si="63"/>
        <v>8.6251926697162688E-3</v>
      </c>
      <c r="BH336" s="7" t="e">
        <f t="shared" si="64"/>
        <v>#N/A</v>
      </c>
      <c r="BI336" s="7">
        <f t="shared" si="68"/>
        <v>6.872766690612658E-3</v>
      </c>
      <c r="BJ336" s="7">
        <f t="shared" si="65"/>
        <v>5.872766690612658E-3</v>
      </c>
      <c r="BK336" s="7" t="e">
        <f t="shared" si="69"/>
        <v>#N/A</v>
      </c>
      <c r="BL336" s="7" t="e">
        <f t="shared" si="66"/>
        <v>#N/A</v>
      </c>
    </row>
    <row r="337" spans="2:64" ht="11.25" customHeight="1">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7">
        <f t="shared" si="57"/>
        <v>2.255676691541586E-3</v>
      </c>
      <c r="BA337" s="7">
        <f t="shared" si="67"/>
        <v>-2.8400000000000674</v>
      </c>
      <c r="BB337" s="7">
        <f t="shared" si="58"/>
        <v>7.0711048860180982E-3</v>
      </c>
      <c r="BC337" s="7" t="e">
        <f t="shared" si="59"/>
        <v>#N/A</v>
      </c>
      <c r="BD337" s="7">
        <f t="shared" si="60"/>
        <v>-2.8400100000000674</v>
      </c>
      <c r="BE337" s="7">
        <f t="shared" si="61"/>
        <v>-2.8399900000000673</v>
      </c>
      <c r="BF337" s="7">
        <f t="shared" si="62"/>
        <v>8.7740474781605061E-3</v>
      </c>
      <c r="BG337" s="7">
        <f t="shared" si="63"/>
        <v>8.7743483713957696E-3</v>
      </c>
      <c r="BH337" s="7" t="e">
        <f t="shared" si="64"/>
        <v>#N/A</v>
      </c>
      <c r="BI337" s="7">
        <f t="shared" si="68"/>
        <v>7.0711048860180982E-3</v>
      </c>
      <c r="BJ337" s="7">
        <f t="shared" si="65"/>
        <v>6.0711048860180982E-3</v>
      </c>
      <c r="BK337" s="7" t="e">
        <f t="shared" si="69"/>
        <v>#N/A</v>
      </c>
      <c r="BL337" s="7" t="e">
        <f t="shared" si="66"/>
        <v>#N/A</v>
      </c>
    </row>
    <row r="338" spans="2:64" ht="11.25" customHeight="1">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7">
        <f t="shared" si="57"/>
        <v>2.3274002067308341E-3</v>
      </c>
      <c r="BA338" s="7">
        <f t="shared" si="67"/>
        <v>-2.8300000000000676</v>
      </c>
      <c r="BB338" s="7">
        <f t="shared" si="58"/>
        <v>7.2744393571398279E-3</v>
      </c>
      <c r="BC338" s="7" t="e">
        <f t="shared" si="59"/>
        <v>#N/A</v>
      </c>
      <c r="BD338" s="7">
        <f t="shared" si="60"/>
        <v>-2.8300100000000676</v>
      </c>
      <c r="BE338" s="7">
        <f t="shared" si="61"/>
        <v>-2.8299900000000675</v>
      </c>
      <c r="BF338" s="7">
        <f t="shared" si="62"/>
        <v>8.9257996370380611E-3</v>
      </c>
      <c r="BG338" s="7">
        <f t="shared" si="63"/>
        <v>8.9261057777180949E-3</v>
      </c>
      <c r="BH338" s="7" t="e">
        <f t="shared" si="64"/>
        <v>#N/A</v>
      </c>
      <c r="BI338" s="7">
        <f t="shared" si="68"/>
        <v>7.2744393571398279E-3</v>
      </c>
      <c r="BJ338" s="7">
        <f t="shared" si="65"/>
        <v>6.2744393571398278E-3</v>
      </c>
      <c r="BK338" s="7" t="e">
        <f t="shared" si="69"/>
        <v>#N/A</v>
      </c>
      <c r="BL338" s="7" t="e">
        <f t="shared" si="66"/>
        <v>#N/A</v>
      </c>
    </row>
    <row r="339" spans="2:64" ht="11.25" customHeight="1">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7">
        <f t="shared" si="57"/>
        <v>2.4011824741887455E-3</v>
      </c>
      <c r="BA339" s="7">
        <f t="shared" si="67"/>
        <v>-2.8200000000000678</v>
      </c>
      <c r="BB339" s="7">
        <f t="shared" si="58"/>
        <v>7.4828725257791275E-3</v>
      </c>
      <c r="BC339" s="7" t="e">
        <f t="shared" si="59"/>
        <v>#N/A</v>
      </c>
      <c r="BD339" s="7">
        <f t="shared" si="60"/>
        <v>-2.8200100000000679</v>
      </c>
      <c r="BE339" s="7">
        <f t="shared" si="61"/>
        <v>-2.8199900000000677</v>
      </c>
      <c r="BF339" s="7">
        <f t="shared" si="62"/>
        <v>9.0801977675571115E-3</v>
      </c>
      <c r="BG339" s="7">
        <f t="shared" si="63"/>
        <v>9.080509245091458E-3</v>
      </c>
      <c r="BH339" s="7" t="e">
        <f t="shared" si="64"/>
        <v>#N/A</v>
      </c>
      <c r="BI339" s="7">
        <f t="shared" si="68"/>
        <v>7.4828725257791275E-3</v>
      </c>
      <c r="BJ339" s="7">
        <f t="shared" si="65"/>
        <v>6.4828725257791275E-3</v>
      </c>
      <c r="BK339" s="7" t="e">
        <f t="shared" si="69"/>
        <v>#N/A</v>
      </c>
      <c r="BL339" s="7" t="e">
        <f t="shared" si="66"/>
        <v>#N/A</v>
      </c>
    </row>
    <row r="340" spans="2:64" ht="11.25" customHeight="1">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7">
        <f t="shared" si="57"/>
        <v>2.4770749987852447E-3</v>
      </c>
      <c r="BA340" s="7">
        <f t="shared" si="67"/>
        <v>-2.810000000000068</v>
      </c>
      <c r="BB340" s="7">
        <f t="shared" si="58"/>
        <v>7.6965082022358508E-3</v>
      </c>
      <c r="BC340" s="7" t="e">
        <f t="shared" si="59"/>
        <v>#N/A</v>
      </c>
      <c r="BD340" s="7">
        <f t="shared" si="60"/>
        <v>-2.8100100000000681</v>
      </c>
      <c r="BE340" s="7">
        <f t="shared" si="61"/>
        <v>-2.8099900000000679</v>
      </c>
      <c r="BF340" s="7">
        <f t="shared" si="62"/>
        <v>9.2372869258595287E-3</v>
      </c>
      <c r="BG340" s="7">
        <f t="shared" si="63"/>
        <v>9.2376038310690526E-3</v>
      </c>
      <c r="BH340" s="7" t="e">
        <f t="shared" si="64"/>
        <v>#N/A</v>
      </c>
      <c r="BI340" s="7">
        <f t="shared" si="68"/>
        <v>7.6965082022358508E-3</v>
      </c>
      <c r="BJ340" s="7">
        <f t="shared" si="65"/>
        <v>6.6965082022358508E-3</v>
      </c>
      <c r="BK340" s="7" t="e">
        <f t="shared" si="69"/>
        <v>#N/A</v>
      </c>
      <c r="BL340" s="7" t="e">
        <f t="shared" si="66"/>
        <v>#N/A</v>
      </c>
    </row>
    <row r="341" spans="2:64" ht="11.25" customHeight="1">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7">
        <f t="shared" ref="AZ341:AZ404" si="70">NORMDIST(BA341,$BA$17,$BA$18,TRUE)</f>
        <v>2.5551303304274242E-3</v>
      </c>
      <c r="BA341" s="7">
        <f t="shared" si="67"/>
        <v>-2.8000000000000682</v>
      </c>
      <c r="BB341" s="7">
        <f t="shared" ref="BB341:BB404" si="71">IF($BA$13=1,NORMDIST(BA341,$BA$17,$BA$18,FALSE),NA())</f>
        <v>7.9154515829784507E-3</v>
      </c>
      <c r="BC341" s="7" t="e">
        <f t="shared" ref="BC341:BC404" si="72">IF($BA$13=3,NORMDIST(BA341,$BA$17,$BA$18,FALSE),NA())</f>
        <v>#N/A</v>
      </c>
      <c r="BD341" s="7">
        <f t="shared" ref="BD341:BD404" si="73">BA341-$BD$19</f>
        <v>-2.8000100000000683</v>
      </c>
      <c r="BE341" s="7">
        <f t="shared" ref="BE341:BE404" si="74">BA341+$BD$19</f>
        <v>-2.7999900000000681</v>
      </c>
      <c r="BF341" s="7">
        <f t="shared" ref="BF341:BF404" si="75">IF(BD341&lt;0,TDIST(-BD341,$BA$14,1),1-TDIST(BD341,$BA$14,1))</f>
        <v>9.3971128782885313E-3</v>
      </c>
      <c r="BG341" s="7">
        <f t="shared" ref="BG341:BG404" si="76">IF(BE341&lt;0,TDIST(-BE341,$BA$14,1),1-TDIST(BE341,$BA$14,1))</f>
        <v>9.3974353034236794E-3</v>
      </c>
      <c r="BH341" s="7" t="e">
        <f t="shared" ref="BH341:BH404" si="77">IF($BA$13&gt;1,(BG341-BF341)/(2*$BD$19),NA())</f>
        <v>#N/A</v>
      </c>
      <c r="BI341" s="7">
        <f t="shared" si="68"/>
        <v>7.9154515829784507E-3</v>
      </c>
      <c r="BJ341" s="7">
        <f t="shared" ref="BJ341:BJ404" si="78">IF(ISNUMBER(BI341),BI341-$BJ$19,NA())</f>
        <v>6.9154515829784506E-3</v>
      </c>
      <c r="BK341" s="7" t="e">
        <f t="shared" si="69"/>
        <v>#N/A</v>
      </c>
      <c r="BL341" s="7" t="e">
        <f t="shared" ref="BL341:BL404" si="79">IF(ISNUMBER(BK341),BK341-$BL$19,NA())</f>
        <v>#N/A</v>
      </c>
    </row>
    <row r="342" spans="2:64" ht="11.25" customHeight="1">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7">
        <f t="shared" si="70"/>
        <v>2.6354020779042475E-3</v>
      </c>
      <c r="BA342" s="7">
        <f t="shared" ref="BA342:BA405" si="80">BA341+$BD$10</f>
        <v>-2.7900000000000684</v>
      </c>
      <c r="BB342" s="7">
        <f t="shared" si="71"/>
        <v>8.1398092475444689E-3</v>
      </c>
      <c r="BC342" s="7" t="e">
        <f t="shared" si="72"/>
        <v>#N/A</v>
      </c>
      <c r="BD342" s="7">
        <f t="shared" si="73"/>
        <v>-2.7900100000000685</v>
      </c>
      <c r="BE342" s="7">
        <f t="shared" si="74"/>
        <v>-2.7899900000000684</v>
      </c>
      <c r="BF342" s="7">
        <f t="shared" si="75"/>
        <v>9.5597221105131764E-3</v>
      </c>
      <c r="BG342" s="7">
        <f t="shared" si="76"/>
        <v>9.5600501492721385E-3</v>
      </c>
      <c r="BH342" s="7" t="e">
        <f t="shared" si="77"/>
        <v>#N/A</v>
      </c>
      <c r="BI342" s="7">
        <f t="shared" ref="BI342:BI405" si="81">IF($BA$15=1,IF(OR(AND(BA342&gt;=$BI$18,$BN$18&gt;=0),AND(BA342&lt;=-$BI$18,$BN$18&lt;0)),BB342,NA()),IF($BA$15=2,IF(ABS(BA342)&gt;=$BI$18,BB342,NA()),NA()))</f>
        <v>8.1398092475444689E-3</v>
      </c>
      <c r="BJ342" s="7">
        <f t="shared" si="78"/>
        <v>7.1398092475444689E-3</v>
      </c>
      <c r="BK342" s="7" t="e">
        <f t="shared" ref="BK342:BK405" si="82">IF($BA$15=1,IF(OR(AND(BA342&gt;=$BK$18,$BN$18&gt;=0),AND(BA342&lt;=-$BK$18,$BN$18&lt;0)),BH342,NA()),IF($BA$15=2,IF(ABS(BA342)&gt;=$BK$18,BH342,NA()),NA()))</f>
        <v>#N/A</v>
      </c>
      <c r="BL342" s="7" t="e">
        <f t="shared" si="79"/>
        <v>#N/A</v>
      </c>
    </row>
    <row r="343" spans="2:64" ht="11.25" customHeight="1">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7">
        <f t="shared" si="70"/>
        <v>2.7179449227007213E-3</v>
      </c>
      <c r="BA343" s="7">
        <f t="shared" si="80"/>
        <v>-2.7800000000000686</v>
      </c>
      <c r="BB343" s="7">
        <f t="shared" si="71"/>
        <v>8.3696891546514302E-3</v>
      </c>
      <c r="BC343" s="7" t="e">
        <f t="shared" si="72"/>
        <v>#N/A</v>
      </c>
      <c r="BD343" s="7">
        <f t="shared" si="73"/>
        <v>-2.7800100000000687</v>
      </c>
      <c r="BE343" s="7">
        <f t="shared" si="74"/>
        <v>-2.7799900000000686</v>
      </c>
      <c r="BF343" s="7">
        <f t="shared" si="75"/>
        <v>9.7251619457037926E-3</v>
      </c>
      <c r="BG343" s="7">
        <f t="shared" si="76"/>
        <v>9.7254956932660858E-3</v>
      </c>
      <c r="BH343" s="7" t="e">
        <f t="shared" si="77"/>
        <v>#N/A</v>
      </c>
      <c r="BI343" s="7">
        <f t="shared" si="81"/>
        <v>8.3696891546514302E-3</v>
      </c>
      <c r="BJ343" s="7">
        <f t="shared" si="78"/>
        <v>7.3696891546514301E-3</v>
      </c>
      <c r="BK343" s="7" t="e">
        <f t="shared" si="82"/>
        <v>#N/A</v>
      </c>
      <c r="BL343" s="7" t="e">
        <f t="shared" si="79"/>
        <v>#N/A</v>
      </c>
    </row>
    <row r="344" spans="2:64" ht="11.25" customHeight="1">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7">
        <f t="shared" si="70"/>
        <v>2.8028146327643277E-3</v>
      </c>
      <c r="BA344" s="7">
        <f t="shared" si="80"/>
        <v>-2.7700000000000689</v>
      </c>
      <c r="BB344" s="7">
        <f t="shared" si="71"/>
        <v>8.6052006374980321E-3</v>
      </c>
      <c r="BC344" s="7" t="e">
        <f t="shared" si="72"/>
        <v>#N/A</v>
      </c>
      <c r="BD344" s="7">
        <f t="shared" si="73"/>
        <v>-2.7700100000000689</v>
      </c>
      <c r="BE344" s="7">
        <f t="shared" si="74"/>
        <v>-2.7699900000000688</v>
      </c>
      <c r="BF344" s="7">
        <f t="shared" si="75"/>
        <v>9.8934801255368236E-3</v>
      </c>
      <c r="BG344" s="7">
        <f t="shared" si="76"/>
        <v>9.8938196785376097E-3</v>
      </c>
      <c r="BH344" s="7" t="e">
        <f t="shared" si="77"/>
        <v>#N/A</v>
      </c>
      <c r="BI344" s="7">
        <f t="shared" si="81"/>
        <v>8.6052006374980321E-3</v>
      </c>
      <c r="BJ344" s="7">
        <f t="shared" si="78"/>
        <v>7.6052006374980321E-3</v>
      </c>
      <c r="BK344" s="7" t="e">
        <f t="shared" si="82"/>
        <v>#N/A</v>
      </c>
      <c r="BL344" s="7" t="e">
        <f t="shared" si="79"/>
        <v>#N/A</v>
      </c>
    </row>
    <row r="345" spans="2:64" ht="11.25" customHeight="1">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7">
        <f t="shared" si="70"/>
        <v>2.8900680762256048E-3</v>
      </c>
      <c r="BA345" s="7">
        <f t="shared" si="80"/>
        <v>-2.7600000000000691</v>
      </c>
      <c r="BB345" s="7">
        <f t="shared" si="71"/>
        <v>8.8464543982355367E-3</v>
      </c>
      <c r="BC345" s="7" t="e">
        <f t="shared" si="72"/>
        <v>#N/A</v>
      </c>
      <c r="BD345" s="7">
        <f t="shared" si="73"/>
        <v>-2.7600100000000691</v>
      </c>
      <c r="BE345" s="7">
        <f t="shared" si="74"/>
        <v>-2.759990000000069</v>
      </c>
      <c r="BF345" s="7">
        <f t="shared" si="75"/>
        <v>1.0064725450646361E-2</v>
      </c>
      <c r="BG345" s="7">
        <f t="shared" si="76"/>
        <v>1.0065070907238124E-2</v>
      </c>
      <c r="BH345" s="7" t="e">
        <f t="shared" si="77"/>
        <v>#N/A</v>
      </c>
      <c r="BI345" s="7">
        <f t="shared" si="81"/>
        <v>8.8464543982355367E-3</v>
      </c>
      <c r="BJ345" s="7">
        <f t="shared" si="78"/>
        <v>7.8464543982355375E-3</v>
      </c>
      <c r="BK345" s="7" t="e">
        <f t="shared" si="82"/>
        <v>#N/A</v>
      </c>
      <c r="BL345" s="7" t="e">
        <f t="shared" si="79"/>
        <v>#N/A</v>
      </c>
    </row>
    <row r="346" spans="2:64" ht="11.25" customHeight="1">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7">
        <f t="shared" si="70"/>
        <v>2.9797632350538894E-3</v>
      </c>
      <c r="BA346" s="7">
        <f t="shared" si="80"/>
        <v>-2.7500000000000693</v>
      </c>
      <c r="BB346" s="7">
        <f t="shared" si="71"/>
        <v>9.0935625015893199E-3</v>
      </c>
      <c r="BC346" s="7" t="e">
        <f t="shared" si="72"/>
        <v>#N/A</v>
      </c>
      <c r="BD346" s="7">
        <f t="shared" si="73"/>
        <v>-2.7500100000000693</v>
      </c>
      <c r="BE346" s="7">
        <f t="shared" si="74"/>
        <v>-2.7499900000000692</v>
      </c>
      <c r="BF346" s="7">
        <f t="shared" si="75"/>
        <v>1.0238947376213416E-2</v>
      </c>
      <c r="BG346" s="7">
        <f t="shared" si="76"/>
        <v>1.0239298836070583E-2</v>
      </c>
      <c r="BH346" s="7" t="e">
        <f t="shared" si="77"/>
        <v>#N/A</v>
      </c>
      <c r="BI346" s="7">
        <f t="shared" si="81"/>
        <v>9.0935625015893199E-3</v>
      </c>
      <c r="BJ346" s="7">
        <f t="shared" si="78"/>
        <v>8.0935625015893208E-3</v>
      </c>
      <c r="BK346" s="7" t="e">
        <f t="shared" si="82"/>
        <v>#N/A</v>
      </c>
      <c r="BL346" s="7" t="e">
        <f t="shared" si="79"/>
        <v>#N/A</v>
      </c>
    </row>
    <row r="347" spans="2:64" ht="11.25" customHeight="1">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7">
        <f t="shared" si="70"/>
        <v>3.0719592186496669E-3</v>
      </c>
      <c r="BA347" s="7">
        <f t="shared" si="80"/>
        <v>-2.7400000000000695</v>
      </c>
      <c r="BB347" s="7">
        <f t="shared" si="71"/>
        <v>9.3466383676105054E-3</v>
      </c>
      <c r="BC347" s="7" t="e">
        <f t="shared" si="72"/>
        <v>#N/A</v>
      </c>
      <c r="BD347" s="7">
        <f t="shared" si="73"/>
        <v>-2.7400100000000696</v>
      </c>
      <c r="BE347" s="7">
        <f t="shared" si="74"/>
        <v>-2.7399900000000694</v>
      </c>
      <c r="BF347" s="7">
        <f t="shared" si="75"/>
        <v>1.041619612304007E-2</v>
      </c>
      <c r="BG347" s="7">
        <f t="shared" si="76"/>
        <v>1.0416553687377648E-2</v>
      </c>
      <c r="BH347" s="7" t="e">
        <f t="shared" si="77"/>
        <v>#N/A</v>
      </c>
      <c r="BI347" s="7">
        <f t="shared" si="81"/>
        <v>9.3466383676105054E-3</v>
      </c>
      <c r="BJ347" s="7">
        <f t="shared" si="78"/>
        <v>8.3466383676105045E-3</v>
      </c>
      <c r="BK347" s="7" t="e">
        <f t="shared" si="82"/>
        <v>#N/A</v>
      </c>
      <c r="BL347" s="7" t="e">
        <f t="shared" si="79"/>
        <v>#N/A</v>
      </c>
    </row>
    <row r="348" spans="2:64" ht="11.25" customHeight="1">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7">
        <f t="shared" si="70"/>
        <v>3.1667162773569846E-3</v>
      </c>
      <c r="BA348" s="7">
        <f t="shared" si="80"/>
        <v>-2.7300000000000697</v>
      </c>
      <c r="BB348" s="7">
        <f t="shared" si="71"/>
        <v>9.6057967635377554E-3</v>
      </c>
      <c r="BC348" s="7" t="e">
        <f t="shared" si="72"/>
        <v>#N/A</v>
      </c>
      <c r="BD348" s="7">
        <f t="shared" si="73"/>
        <v>-2.7300100000000698</v>
      </c>
      <c r="BE348" s="7">
        <f t="shared" si="74"/>
        <v>-2.7299900000000696</v>
      </c>
      <c r="BF348" s="7">
        <f t="shared" si="75"/>
        <v>1.0596522686924199E-2</v>
      </c>
      <c r="BG348" s="7">
        <f t="shared" si="76"/>
        <v>1.0596886458516626E-2</v>
      </c>
      <c r="BH348" s="7" t="e">
        <f t="shared" si="77"/>
        <v>#N/A</v>
      </c>
      <c r="BI348" s="7">
        <f t="shared" si="81"/>
        <v>9.6057967635377554E-3</v>
      </c>
      <c r="BJ348" s="7">
        <f t="shared" si="78"/>
        <v>8.6057967635377562E-3</v>
      </c>
      <c r="BK348" s="7" t="e">
        <f t="shared" si="82"/>
        <v>#N/A</v>
      </c>
      <c r="BL348" s="7" t="e">
        <f t="shared" si="79"/>
        <v>#N/A</v>
      </c>
    </row>
    <row r="349" spans="2:64" ht="11.25" customHeight="1">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7">
        <f t="shared" si="70"/>
        <v>3.2640958158904887E-3</v>
      </c>
      <c r="BA349" s="7">
        <f t="shared" si="80"/>
        <v>-2.7200000000000699</v>
      </c>
      <c r="BB349" s="7">
        <f t="shared" si="71"/>
        <v>9.8711537947492583E-3</v>
      </c>
      <c r="BC349" s="7" t="e">
        <f t="shared" si="72"/>
        <v>#N/A</v>
      </c>
      <c r="BD349" s="7">
        <f t="shared" si="73"/>
        <v>-2.72001000000007</v>
      </c>
      <c r="BE349" s="7">
        <f t="shared" si="74"/>
        <v>-2.7199900000000699</v>
      </c>
      <c r="BF349" s="7">
        <f t="shared" si="75"/>
        <v>1.0779978848066534E-2</v>
      </c>
      <c r="BG349" s="7">
        <f t="shared" si="76"/>
        <v>1.0780348931266451E-2</v>
      </c>
      <c r="BH349" s="7" t="e">
        <f t="shared" si="77"/>
        <v>#N/A</v>
      </c>
      <c r="BI349" s="7">
        <f t="shared" si="81"/>
        <v>9.8711537947492583E-3</v>
      </c>
      <c r="BJ349" s="7">
        <f t="shared" si="78"/>
        <v>8.8711537947492591E-3</v>
      </c>
      <c r="BK349" s="7" t="e">
        <f t="shared" si="82"/>
        <v>#N/A</v>
      </c>
      <c r="BL349" s="7" t="e">
        <f t="shared" si="79"/>
        <v>#N/A</v>
      </c>
    </row>
    <row r="350" spans="2:64" ht="11.25" customHeight="1">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7">
        <f t="shared" si="70"/>
        <v>3.3641604066683151E-3</v>
      </c>
      <c r="BA350" s="7">
        <f t="shared" si="80"/>
        <v>-2.7100000000000701</v>
      </c>
      <c r="BB350" s="7">
        <f t="shared" si="71"/>
        <v>1.0142826894785148E-2</v>
      </c>
      <c r="BC350" s="7" t="e">
        <f t="shared" si="72"/>
        <v>#N/A</v>
      </c>
      <c r="BD350" s="7">
        <f t="shared" si="73"/>
        <v>-2.7100100000000702</v>
      </c>
      <c r="BE350" s="7">
        <f t="shared" si="74"/>
        <v>-2.7099900000000701</v>
      </c>
      <c r="BF350" s="7">
        <f t="shared" si="75"/>
        <v>1.0966617180506979E-2</v>
      </c>
      <c r="BG350" s="7">
        <f t="shared" si="76"/>
        <v>1.0966993681264265E-2</v>
      </c>
      <c r="BH350" s="7" t="e">
        <f t="shared" si="77"/>
        <v>#N/A</v>
      </c>
      <c r="BI350" s="7">
        <f t="shared" si="81"/>
        <v>1.0142826894785148E-2</v>
      </c>
      <c r="BJ350" s="7">
        <f t="shared" si="78"/>
        <v>9.1428268947851485E-3</v>
      </c>
      <c r="BK350" s="7" t="e">
        <f t="shared" si="82"/>
        <v>#N/A</v>
      </c>
      <c r="BL350" s="7" t="e">
        <f t="shared" si="79"/>
        <v>#N/A</v>
      </c>
    </row>
    <row r="351" spans="2:64" ht="11.25" customHeight="1">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7">
        <f t="shared" si="70"/>
        <v>3.4669738030399522E-3</v>
      </c>
      <c r="BA351" s="7">
        <f t="shared" si="80"/>
        <v>-2.7000000000000703</v>
      </c>
      <c r="BB351" s="7">
        <f t="shared" si="71"/>
        <v>1.0420934814420612E-2</v>
      </c>
      <c r="BC351" s="7" t="e">
        <f t="shared" si="72"/>
        <v>#N/A</v>
      </c>
      <c r="BD351" s="7">
        <f t="shared" si="73"/>
        <v>-2.7000100000000704</v>
      </c>
      <c r="BE351" s="7">
        <f t="shared" si="74"/>
        <v>-2.6999900000000703</v>
      </c>
      <c r="BF351" s="7">
        <f t="shared" si="75"/>
        <v>1.115649106158711E-2</v>
      </c>
      <c r="BG351" s="7">
        <f t="shared" si="76"/>
        <v>1.1156874087467669E-2</v>
      </c>
      <c r="BH351" s="7" t="e">
        <f t="shared" si="77"/>
        <v>#N/A</v>
      </c>
      <c r="BI351" s="7">
        <f t="shared" si="81"/>
        <v>1.0420934814420612E-2</v>
      </c>
      <c r="BJ351" s="7">
        <f t="shared" si="78"/>
        <v>9.4209348144206131E-3</v>
      </c>
      <c r="BK351" s="7" t="e">
        <f t="shared" si="82"/>
        <v>#N/A</v>
      </c>
      <c r="BL351" s="7" t="e">
        <f t="shared" si="79"/>
        <v>#N/A</v>
      </c>
    </row>
    <row r="352" spans="2:64" ht="11.25" customHeight="1">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7">
        <f t="shared" si="70"/>
        <v>3.5726009523988633E-3</v>
      </c>
      <c r="BA352" s="7">
        <f t="shared" si="80"/>
        <v>-2.6900000000000706</v>
      </c>
      <c r="BB352" s="7">
        <f t="shared" si="71"/>
        <v>1.0705597609770152E-2</v>
      </c>
      <c r="BC352" s="7" t="e">
        <f t="shared" si="72"/>
        <v>#N/A</v>
      </c>
      <c r="BD352" s="7">
        <f t="shared" si="73"/>
        <v>-2.6900100000000706</v>
      </c>
      <c r="BE352" s="7">
        <f t="shared" si="74"/>
        <v>-2.6899900000000705</v>
      </c>
      <c r="BF352" s="7">
        <f t="shared" si="75"/>
        <v>1.1349654681435393E-2</v>
      </c>
      <c r="BG352" s="7">
        <f t="shared" si="76"/>
        <v>1.1350044341640244E-2</v>
      </c>
      <c r="BH352" s="7" t="e">
        <f t="shared" si="77"/>
        <v>#N/A</v>
      </c>
      <c r="BI352" s="7">
        <f t="shared" si="81"/>
        <v>1.0705597609770152E-2</v>
      </c>
      <c r="BJ352" s="7">
        <f t="shared" si="78"/>
        <v>9.7055976097701509E-3</v>
      </c>
      <c r="BK352" s="7" t="e">
        <f t="shared" si="82"/>
        <v>#N/A</v>
      </c>
      <c r="BL352" s="7" t="e">
        <f t="shared" si="79"/>
        <v>#N/A</v>
      </c>
    </row>
    <row r="353" spans="2:64" ht="11.25" customHeight="1">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7">
        <f t="shared" si="70"/>
        <v>3.6811080091740944E-3</v>
      </c>
      <c r="BA353" s="7">
        <f t="shared" si="80"/>
        <v>-2.6800000000000708</v>
      </c>
      <c r="BB353" s="7">
        <f t="shared" si="71"/>
        <v>1.099693662940349E-2</v>
      </c>
      <c r="BC353" s="7" t="e">
        <f t="shared" si="72"/>
        <v>#N/A</v>
      </c>
      <c r="BD353" s="7">
        <f t="shared" si="73"/>
        <v>-2.6800100000000708</v>
      </c>
      <c r="BE353" s="7">
        <f t="shared" si="74"/>
        <v>-2.6799900000000707</v>
      </c>
      <c r="BF353" s="7">
        <f t="shared" si="75"/>
        <v>1.1546163052471943E-2</v>
      </c>
      <c r="BG353" s="7">
        <f t="shared" si="76"/>
        <v>1.1546559457856254E-2</v>
      </c>
      <c r="BH353" s="7" t="e">
        <f t="shared" si="77"/>
        <v>#N/A</v>
      </c>
      <c r="BI353" s="7">
        <f t="shared" si="81"/>
        <v>1.099693662940349E-2</v>
      </c>
      <c r="BJ353" s="7">
        <f t="shared" si="78"/>
        <v>9.9969366294034891E-3</v>
      </c>
      <c r="BK353" s="7" t="e">
        <f t="shared" si="82"/>
        <v>#N/A</v>
      </c>
      <c r="BL353" s="7" t="e">
        <f t="shared" si="79"/>
        <v>#N/A</v>
      </c>
    </row>
    <row r="354" spans="2:64" ht="11.25" customHeight="1">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7">
        <f t="shared" si="70"/>
        <v>3.7925623476846582E-3</v>
      </c>
      <c r="BA354" s="7">
        <f t="shared" si="80"/>
        <v>-2.670000000000071</v>
      </c>
      <c r="BB354" s="7">
        <f t="shared" si="71"/>
        <v>1.1295074500453993E-2</v>
      </c>
      <c r="BC354" s="7" t="e">
        <f t="shared" si="72"/>
        <v>#N/A</v>
      </c>
      <c r="BD354" s="7">
        <f t="shared" si="73"/>
        <v>-2.670010000000071</v>
      </c>
      <c r="BE354" s="7">
        <f t="shared" si="74"/>
        <v>-2.6699900000000709</v>
      </c>
      <c r="BF354" s="7">
        <f t="shared" si="75"/>
        <v>1.1746072018929316E-2</v>
      </c>
      <c r="BG354" s="7">
        <f t="shared" si="76"/>
        <v>1.1746475282021334E-2</v>
      </c>
      <c r="BH354" s="7" t="e">
        <f t="shared" si="77"/>
        <v>#N/A</v>
      </c>
      <c r="BI354" s="7">
        <f t="shared" si="81"/>
        <v>1.1295074500453993E-2</v>
      </c>
      <c r="BJ354" s="7">
        <f t="shared" si="78"/>
        <v>1.0295074500453992E-2</v>
      </c>
      <c r="BK354" s="7" t="e">
        <f t="shared" si="82"/>
        <v>#N/A</v>
      </c>
      <c r="BL354" s="7" t="e">
        <f t="shared" si="79"/>
        <v>#N/A</v>
      </c>
    </row>
    <row r="355" spans="2:64" ht="11.25" customHeight="1">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7">
        <f t="shared" si="70"/>
        <v>3.9070325748518098E-3</v>
      </c>
      <c r="BA355" s="7">
        <f t="shared" si="80"/>
        <v>-2.6600000000000712</v>
      </c>
      <c r="BB355" s="7">
        <f t="shared" si="71"/>
        <v>1.1600135113700366E-2</v>
      </c>
      <c r="BC355" s="7" t="e">
        <f t="shared" si="72"/>
        <v>#N/A</v>
      </c>
      <c r="BD355" s="7">
        <f t="shared" si="73"/>
        <v>-2.6600100000000713</v>
      </c>
      <c r="BE355" s="7">
        <f t="shared" si="74"/>
        <v>-2.6599900000000711</v>
      </c>
      <c r="BF355" s="7">
        <f t="shared" si="75"/>
        <v>1.1949438266385124E-2</v>
      </c>
      <c r="BG355" s="7">
        <f t="shared" si="76"/>
        <v>1.1949848501405468E-2</v>
      </c>
      <c r="BH355" s="7" t="e">
        <f t="shared" si="77"/>
        <v>#N/A</v>
      </c>
      <c r="BI355" s="7">
        <f t="shared" si="81"/>
        <v>1.1600135113700366E-2</v>
      </c>
      <c r="BJ355" s="7">
        <f t="shared" si="78"/>
        <v>1.0600135113700365E-2</v>
      </c>
      <c r="BK355" s="7" t="e">
        <f t="shared" si="82"/>
        <v>#N/A</v>
      </c>
      <c r="BL355" s="7" t="e">
        <f t="shared" si="79"/>
        <v>#N/A</v>
      </c>
    </row>
    <row r="356" spans="2:64" ht="11.25" customHeight="1">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7">
        <f t="shared" si="70"/>
        <v>4.0245885427576678E-3</v>
      </c>
      <c r="BA356" s="7">
        <f t="shared" si="80"/>
        <v>-2.6500000000000714</v>
      </c>
      <c r="BB356" s="7">
        <f t="shared" si="71"/>
        <v>1.1912243607602924E-2</v>
      </c>
      <c r="BC356" s="7" t="e">
        <f t="shared" si="72"/>
        <v>#N/A</v>
      </c>
      <c r="BD356" s="7">
        <f t="shared" si="73"/>
        <v>-2.6500100000000715</v>
      </c>
      <c r="BE356" s="7">
        <f t="shared" si="74"/>
        <v>-2.6499900000000713</v>
      </c>
      <c r="BF356" s="7">
        <f t="shared" si="75"/>
        <v>1.2156319331303681E-2</v>
      </c>
      <c r="BG356" s="7">
        <f t="shared" si="76"/>
        <v>1.2156736654184267E-2</v>
      </c>
      <c r="BH356" s="7" t="e">
        <f t="shared" si="77"/>
        <v>#N/A</v>
      </c>
      <c r="BI356" s="7">
        <f t="shared" si="81"/>
        <v>1.1912243607602924E-2</v>
      </c>
      <c r="BJ356" s="7">
        <f t="shared" si="78"/>
        <v>1.0912243607602925E-2</v>
      </c>
      <c r="BK356" s="7" t="e">
        <f t="shared" si="82"/>
        <v>#N/A</v>
      </c>
      <c r="BL356" s="7" t="e">
        <f t="shared" si="79"/>
        <v>#N/A</v>
      </c>
    </row>
    <row r="357" spans="2:64" ht="11.25" customHeight="1">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7">
        <f t="shared" si="70"/>
        <v>4.1453013610350808E-3</v>
      </c>
      <c r="BA357" s="7">
        <f t="shared" si="80"/>
        <v>-2.6400000000000716</v>
      </c>
      <c r="BB357" s="7">
        <f t="shared" si="71"/>
        <v>1.2231526351275661E-2</v>
      </c>
      <c r="BC357" s="7" t="e">
        <f t="shared" si="72"/>
        <v>#N/A</v>
      </c>
      <c r="BD357" s="7">
        <f t="shared" si="73"/>
        <v>-2.6400100000000717</v>
      </c>
      <c r="BE357" s="7">
        <f t="shared" si="74"/>
        <v>-2.6399900000000716</v>
      </c>
      <c r="BF357" s="7">
        <f t="shared" si="75"/>
        <v>1.2366773610581713E-2</v>
      </c>
      <c r="BG357" s="7">
        <f t="shared" si="76"/>
        <v>1.2367198138984794E-2</v>
      </c>
      <c r="BH357" s="7" t="e">
        <f t="shared" si="77"/>
        <v>#N/A</v>
      </c>
      <c r="BI357" s="7">
        <f t="shared" si="81"/>
        <v>1.2231526351275661E-2</v>
      </c>
      <c r="BJ357" s="7">
        <f t="shared" si="78"/>
        <v>1.123152635127566E-2</v>
      </c>
      <c r="BK357" s="7" t="e">
        <f t="shared" si="82"/>
        <v>#N/A</v>
      </c>
      <c r="BL357" s="7" t="e">
        <f t="shared" si="79"/>
        <v>#N/A</v>
      </c>
    </row>
    <row r="358" spans="2:64" ht="11.25" customHeight="1">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7">
        <f t="shared" si="70"/>
        <v>4.2692434090882969E-3</v>
      </c>
      <c r="BA358" s="7">
        <f t="shared" si="80"/>
        <v>-2.6300000000000718</v>
      </c>
      <c r="BB358" s="7">
        <f t="shared" si="71"/>
        <v>1.2558110926375834E-2</v>
      </c>
      <c r="BC358" s="7" t="e">
        <f t="shared" si="72"/>
        <v>#N/A</v>
      </c>
      <c r="BD358" s="7">
        <f t="shared" si="73"/>
        <v>-2.6300100000000719</v>
      </c>
      <c r="BE358" s="7">
        <f t="shared" si="74"/>
        <v>-2.6299900000000718</v>
      </c>
      <c r="BF358" s="7">
        <f t="shared" si="75"/>
        <v>1.2580860371094311E-2</v>
      </c>
      <c r="BG358" s="7">
        <f t="shared" si="76"/>
        <v>1.2581292224431833E-2</v>
      </c>
      <c r="BH358" s="7" t="e">
        <f t="shared" si="77"/>
        <v>#N/A</v>
      </c>
      <c r="BI358" s="7">
        <f t="shared" si="81"/>
        <v>1.2558110926375834E-2</v>
      </c>
      <c r="BJ358" s="7">
        <f t="shared" si="78"/>
        <v>1.1558110926375834E-2</v>
      </c>
      <c r="BK358" s="7" t="e">
        <f t="shared" si="82"/>
        <v>#N/A</v>
      </c>
      <c r="BL358" s="7" t="e">
        <f t="shared" si="79"/>
        <v>#N/A</v>
      </c>
    </row>
    <row r="359" spans="2:64" ht="11.25" customHeight="1">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7">
        <f t="shared" si="70"/>
        <v>4.39648834812012E-3</v>
      </c>
      <c r="BA359" s="7">
        <f t="shared" si="80"/>
        <v>-2.620000000000072</v>
      </c>
      <c r="BB359" s="7">
        <f t="shared" si="71"/>
        <v>1.2892126107892874E-2</v>
      </c>
      <c r="BC359" s="7" t="e">
        <f t="shared" si="72"/>
        <v>#N/A</v>
      </c>
      <c r="BD359" s="7">
        <f t="shared" si="73"/>
        <v>-2.6200100000000721</v>
      </c>
      <c r="BE359" s="7">
        <f t="shared" si="74"/>
        <v>-2.619990000000072</v>
      </c>
      <c r="BF359" s="7">
        <f t="shared" si="75"/>
        <v>1.2798639759237559E-2</v>
      </c>
      <c r="BG359" s="7">
        <f t="shared" si="76"/>
        <v>1.2799079058689915E-2</v>
      </c>
      <c r="BH359" s="7" t="e">
        <f t="shared" si="77"/>
        <v>#N/A</v>
      </c>
      <c r="BI359" s="7">
        <f t="shared" si="81"/>
        <v>1.2892126107892874E-2</v>
      </c>
      <c r="BJ359" s="7">
        <f t="shared" si="78"/>
        <v>1.1892126107892875E-2</v>
      </c>
      <c r="BK359" s="7" t="e">
        <f t="shared" si="82"/>
        <v>#N/A</v>
      </c>
      <c r="BL359" s="7" t="e">
        <f t="shared" si="79"/>
        <v>#N/A</v>
      </c>
    </row>
    <row r="360" spans="2:64" ht="11.25" customHeight="1">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7">
        <f t="shared" si="70"/>
        <v>4.5271111329663327E-3</v>
      </c>
      <c r="BA360" s="7">
        <f t="shared" si="80"/>
        <v>-2.6100000000000723</v>
      </c>
      <c r="BB360" s="7">
        <f t="shared" si="71"/>
        <v>1.3233701843818868E-2</v>
      </c>
      <c r="BC360" s="7" t="e">
        <f t="shared" si="72"/>
        <v>#N/A</v>
      </c>
      <c r="BD360" s="7">
        <f t="shared" si="73"/>
        <v>-2.6100100000000723</v>
      </c>
      <c r="BE360" s="7">
        <f t="shared" si="74"/>
        <v>-2.6099900000000722</v>
      </c>
      <c r="BF360" s="7">
        <f t="shared" si="75"/>
        <v>1.3020172810462135E-2</v>
      </c>
      <c r="BG360" s="7">
        <f t="shared" si="76"/>
        <v>1.3020619678997425E-2</v>
      </c>
      <c r="BH360" s="7" t="e">
        <f t="shared" si="77"/>
        <v>#N/A</v>
      </c>
      <c r="BI360" s="7">
        <f t="shared" si="81"/>
        <v>1.3233701843818868E-2</v>
      </c>
      <c r="BJ360" s="7">
        <f t="shared" si="78"/>
        <v>1.2233701843818869E-2</v>
      </c>
      <c r="BK360" s="7" t="e">
        <f t="shared" si="82"/>
        <v>#N/A</v>
      </c>
      <c r="BL360" s="7" t="e">
        <f t="shared" si="79"/>
        <v>#N/A</v>
      </c>
    </row>
    <row r="361" spans="2:64" ht="11.25" customHeight="1">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7">
        <f t="shared" si="70"/>
        <v>4.6611880237176218E-3</v>
      </c>
      <c r="BA361" s="7">
        <f t="shared" si="80"/>
        <v>-2.6000000000000725</v>
      </c>
      <c r="BB361" s="7">
        <f t="shared" si="71"/>
        <v>1.3582969233683054E-2</v>
      </c>
      <c r="BC361" s="7" t="e">
        <f t="shared" si="72"/>
        <v>#N/A</v>
      </c>
      <c r="BD361" s="7">
        <f t="shared" si="73"/>
        <v>-2.6000100000000725</v>
      </c>
      <c r="BE361" s="7">
        <f t="shared" si="74"/>
        <v>-2.5999900000000724</v>
      </c>
      <c r="BF361" s="7">
        <f t="shared" si="75"/>
        <v>1.3245521458794641E-2</v>
      </c>
      <c r="BG361" s="7">
        <f t="shared" si="76"/>
        <v>1.3245976021187666E-2</v>
      </c>
      <c r="BH361" s="7" t="e">
        <f t="shared" si="77"/>
        <v>#N/A</v>
      </c>
      <c r="BI361" s="7">
        <f t="shared" si="81"/>
        <v>1.3582969233683054E-2</v>
      </c>
      <c r="BJ361" s="7">
        <f t="shared" si="78"/>
        <v>1.2582969233683055E-2</v>
      </c>
      <c r="BK361" s="7" t="e">
        <f t="shared" si="82"/>
        <v>#N/A</v>
      </c>
      <c r="BL361" s="7" t="e">
        <f t="shared" si="79"/>
        <v>#N/A</v>
      </c>
    </row>
    <row r="362" spans="2:64" ht="11.25" customHeight="1">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7">
        <f t="shared" si="70"/>
        <v>4.7987965971253432E-3</v>
      </c>
      <c r="BA362" s="7">
        <f t="shared" si="80"/>
        <v>-2.5900000000000727</v>
      </c>
      <c r="BB362" s="7">
        <f t="shared" si="71"/>
        <v>1.394006050593319E-2</v>
      </c>
      <c r="BC362" s="7" t="e">
        <f t="shared" si="72"/>
        <v>#N/A</v>
      </c>
      <c r="BD362" s="7">
        <f t="shared" si="73"/>
        <v>-2.5900100000000728</v>
      </c>
      <c r="BE362" s="7">
        <f t="shared" si="74"/>
        <v>-2.5899900000000726</v>
      </c>
      <c r="BF362" s="7">
        <f t="shared" si="75"/>
        <v>1.3474748546340986E-2</v>
      </c>
      <c r="BG362" s="7">
        <f t="shared" si="76"/>
        <v>1.3475210929192216E-2</v>
      </c>
      <c r="BH362" s="7" t="e">
        <f t="shared" si="77"/>
        <v>#N/A</v>
      </c>
      <c r="BI362" s="7">
        <f t="shared" si="81"/>
        <v>1.394006050593319E-2</v>
      </c>
      <c r="BJ362" s="7">
        <f t="shared" si="78"/>
        <v>1.2940060505933191E-2</v>
      </c>
      <c r="BK362" s="7" t="e">
        <f t="shared" si="82"/>
        <v>#N/A</v>
      </c>
      <c r="BL362" s="7" t="e">
        <f t="shared" si="79"/>
        <v>#N/A</v>
      </c>
    </row>
    <row r="363" spans="2:64" ht="11.25" customHeight="1">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7">
        <f t="shared" si="70"/>
        <v>4.9400157577695891E-3</v>
      </c>
      <c r="BA363" s="7">
        <f t="shared" si="80"/>
        <v>-2.5800000000000729</v>
      </c>
      <c r="BB363" s="7">
        <f t="shared" si="71"/>
        <v>1.4305108994147001E-2</v>
      </c>
      <c r="BC363" s="7" t="e">
        <f t="shared" si="72"/>
        <v>#N/A</v>
      </c>
      <c r="BD363" s="7">
        <f t="shared" si="73"/>
        <v>-2.580010000000073</v>
      </c>
      <c r="BE363" s="7">
        <f t="shared" si="74"/>
        <v>-2.5799900000000728</v>
      </c>
      <c r="BF363" s="7">
        <f t="shared" si="75"/>
        <v>1.370791783276748E-2</v>
      </c>
      <c r="BG363" s="7">
        <f t="shared" si="76"/>
        <v>1.3708388164521901E-2</v>
      </c>
      <c r="BH363" s="7" t="e">
        <f t="shared" si="77"/>
        <v>#N/A</v>
      </c>
      <c r="BI363" s="7">
        <f t="shared" si="81"/>
        <v>1.4305108994147001E-2</v>
      </c>
      <c r="BJ363" s="7">
        <f t="shared" si="78"/>
        <v>1.3305108994147E-2</v>
      </c>
      <c r="BK363" s="7" t="e">
        <f t="shared" si="82"/>
        <v>#N/A</v>
      </c>
      <c r="BL363" s="7" t="e">
        <f t="shared" si="79"/>
        <v>#N/A</v>
      </c>
    </row>
    <row r="364" spans="2:64" ht="11.25" customHeight="1">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7">
        <f t="shared" si="70"/>
        <v>5.084925748989777E-3</v>
      </c>
      <c r="BA364" s="7">
        <f t="shared" si="80"/>
        <v>-2.5700000000000731</v>
      </c>
      <c r="BB364" s="7">
        <f t="shared" si="71"/>
        <v>1.4678249112057279E-2</v>
      </c>
      <c r="BC364" s="7" t="e">
        <f t="shared" si="72"/>
        <v>#N/A</v>
      </c>
      <c r="BD364" s="7">
        <f t="shared" si="73"/>
        <v>-2.5700100000000732</v>
      </c>
      <c r="BE364" s="7">
        <f t="shared" si="74"/>
        <v>-2.569990000000073</v>
      </c>
      <c r="BF364" s="7">
        <f t="shared" si="75"/>
        <v>1.3945094004754091E-2</v>
      </c>
      <c r="BG364" s="7">
        <f t="shared" si="76"/>
        <v>1.3945572415720309E-2</v>
      </c>
      <c r="BH364" s="7" t="e">
        <f t="shared" si="77"/>
        <v>#N/A</v>
      </c>
      <c r="BI364" s="7">
        <f t="shared" si="81"/>
        <v>1.4678249112057279E-2</v>
      </c>
      <c r="BJ364" s="7">
        <f t="shared" si="78"/>
        <v>1.367824911205728E-2</v>
      </c>
      <c r="BK364" s="7" t="e">
        <f t="shared" si="82"/>
        <v>#N/A</v>
      </c>
      <c r="BL364" s="7" t="e">
        <f t="shared" si="79"/>
        <v>#N/A</v>
      </c>
    </row>
    <row r="365" spans="2:64" ht="11.25" customHeight="1">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7">
        <f t="shared" si="70"/>
        <v>5.2336081635546705E-3</v>
      </c>
      <c r="BA365" s="7">
        <f t="shared" si="80"/>
        <v>-2.5600000000000733</v>
      </c>
      <c r="BB365" s="7">
        <f t="shared" si="71"/>
        <v>1.5059616327374627E-2</v>
      </c>
      <c r="BC365" s="7" t="e">
        <f t="shared" si="72"/>
        <v>#N/A</v>
      </c>
      <c r="BD365" s="7">
        <f t="shared" si="73"/>
        <v>-2.5600100000000734</v>
      </c>
      <c r="BE365" s="7">
        <f t="shared" si="74"/>
        <v>-2.5599900000000733</v>
      </c>
      <c r="BF365" s="7">
        <f t="shared" si="75"/>
        <v>1.418634268541546E-2</v>
      </c>
      <c r="BG365" s="7">
        <f t="shared" si="76"/>
        <v>1.4186829307784254E-2</v>
      </c>
      <c r="BH365" s="7" t="e">
        <f t="shared" si="77"/>
        <v>#N/A</v>
      </c>
      <c r="BI365" s="7">
        <f t="shared" si="81"/>
        <v>1.5059616327374627E-2</v>
      </c>
      <c r="BJ365" s="7">
        <f t="shared" si="78"/>
        <v>1.4059616327374628E-2</v>
      </c>
      <c r="BK365" s="7" t="e">
        <f t="shared" si="82"/>
        <v>#N/A</v>
      </c>
      <c r="BL365" s="7" t="e">
        <f t="shared" si="79"/>
        <v>#N/A</v>
      </c>
    </row>
    <row r="366" spans="2:64" ht="11.25" customHeight="1">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7">
        <f t="shared" si="70"/>
        <v>5.3861459540655021E-3</v>
      </c>
      <c r="BA366" s="7">
        <f t="shared" si="80"/>
        <v>-2.5500000000000735</v>
      </c>
      <c r="BB366" s="7">
        <f t="shared" si="71"/>
        <v>1.544934713439227E-2</v>
      </c>
      <c r="BC366" s="7" t="e">
        <f t="shared" si="72"/>
        <v>#N/A</v>
      </c>
      <c r="BD366" s="7">
        <f t="shared" si="73"/>
        <v>-2.5500100000000736</v>
      </c>
      <c r="BE366" s="7">
        <f t="shared" si="74"/>
        <v>-2.5499900000000735</v>
      </c>
      <c r="BF366" s="7">
        <f t="shared" si="75"/>
        <v>1.4431730443683269E-2</v>
      </c>
      <c r="BG366" s="7">
        <f t="shared" si="76"/>
        <v>1.4432225411546479E-2</v>
      </c>
      <c r="BH366" s="7" t="e">
        <f t="shared" si="77"/>
        <v>#N/A</v>
      </c>
      <c r="BI366" s="7">
        <f t="shared" si="81"/>
        <v>1.544934713439227E-2</v>
      </c>
      <c r="BJ366" s="7">
        <f t="shared" si="78"/>
        <v>1.4449347134392269E-2</v>
      </c>
      <c r="BK366" s="7" t="e">
        <f t="shared" si="82"/>
        <v>#N/A</v>
      </c>
      <c r="BL366" s="7" t="e">
        <f t="shared" si="79"/>
        <v>#N/A</v>
      </c>
    </row>
    <row r="367" spans="2:64" ht="11.25" customHeight="1">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7">
        <f t="shared" si="70"/>
        <v>5.5426234430813182E-3</v>
      </c>
      <c r="BA367" s="7">
        <f t="shared" si="80"/>
        <v>-2.5400000000000738</v>
      </c>
      <c r="BB367" s="7">
        <f t="shared" si="71"/>
        <v>1.5847579025357845E-2</v>
      </c>
      <c r="BC367" s="7" t="e">
        <f t="shared" si="72"/>
        <v>#N/A</v>
      </c>
      <c r="BD367" s="7">
        <f t="shared" si="73"/>
        <v>-2.5400100000000738</v>
      </c>
      <c r="BE367" s="7">
        <f t="shared" si="74"/>
        <v>-2.5399900000000737</v>
      </c>
      <c r="BF367" s="7">
        <f t="shared" si="75"/>
        <v>1.4681324803645184E-2</v>
      </c>
      <c r="BG367" s="7">
        <f t="shared" si="76"/>
        <v>1.4681828253014274E-2</v>
      </c>
      <c r="BH367" s="7" t="e">
        <f t="shared" si="77"/>
        <v>#N/A</v>
      </c>
      <c r="BI367" s="7">
        <f t="shared" si="81"/>
        <v>1.5847579025357845E-2</v>
      </c>
      <c r="BJ367" s="7">
        <f t="shared" si="78"/>
        <v>1.4847579025357844E-2</v>
      </c>
      <c r="BK367" s="7" t="e">
        <f t="shared" si="82"/>
        <v>#N/A</v>
      </c>
      <c r="BL367" s="7" t="e">
        <f t="shared" si="79"/>
        <v>#N/A</v>
      </c>
    </row>
    <row r="368" spans="2:64" ht="11.25" customHeight="1">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7">
        <f t="shared" si="70"/>
        <v>5.7031263329495596E-3</v>
      </c>
      <c r="BA368" s="7">
        <f t="shared" si="80"/>
        <v>-2.530000000000074</v>
      </c>
      <c r="BB368" s="7">
        <f t="shared" si="71"/>
        <v>1.625445046059746E-2</v>
      </c>
      <c r="BC368" s="7" t="e">
        <f t="shared" si="72"/>
        <v>#N/A</v>
      </c>
      <c r="BD368" s="7">
        <f t="shared" si="73"/>
        <v>-2.530010000000074</v>
      </c>
      <c r="BE368" s="7">
        <f t="shared" si="74"/>
        <v>-2.5299900000000739</v>
      </c>
      <c r="BF368" s="7">
        <f t="shared" si="75"/>
        <v>1.4935194253834331E-2</v>
      </c>
      <c r="BG368" s="7">
        <f t="shared" si="76"/>
        <v>1.4935706322658907E-2</v>
      </c>
      <c r="BH368" s="7" t="e">
        <f t="shared" si="77"/>
        <v>#N/A</v>
      </c>
      <c r="BI368" s="7">
        <f t="shared" si="81"/>
        <v>1.625445046059746E-2</v>
      </c>
      <c r="BJ368" s="7">
        <f t="shared" si="78"/>
        <v>1.5254450460597459E-2</v>
      </c>
      <c r="BK368" s="7" t="e">
        <f t="shared" si="82"/>
        <v>#N/A</v>
      </c>
      <c r="BL368" s="7" t="e">
        <f t="shared" si="79"/>
        <v>#N/A</v>
      </c>
    </row>
    <row r="369" spans="2:64" ht="11.25" customHeight="1">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7">
        <f t="shared" si="70"/>
        <v>5.8677417153311096E-3</v>
      </c>
      <c r="BA369" s="7">
        <f t="shared" si="80"/>
        <v>-2.5200000000000742</v>
      </c>
      <c r="BB369" s="7">
        <f t="shared" si="71"/>
        <v>1.6670100837377945E-2</v>
      </c>
      <c r="BC369" s="7" t="e">
        <f t="shared" si="72"/>
        <v>#N/A</v>
      </c>
      <c r="BD369" s="7">
        <f t="shared" si="73"/>
        <v>-2.5200100000000742</v>
      </c>
      <c r="BE369" s="7">
        <f t="shared" si="74"/>
        <v>-2.5199900000000741</v>
      </c>
      <c r="BF369" s="7">
        <f t="shared" si="75"/>
        <v>1.519340825646332E-2</v>
      </c>
      <c r="BG369" s="7">
        <f t="shared" si="76"/>
        <v>1.5193929084649602E-2</v>
      </c>
      <c r="BH369" s="7" t="e">
        <f t="shared" si="77"/>
        <v>#N/A</v>
      </c>
      <c r="BI369" s="7">
        <f t="shared" si="81"/>
        <v>1.6670100837377945E-2</v>
      </c>
      <c r="BJ369" s="7">
        <f t="shared" si="78"/>
        <v>1.5670100837377944E-2</v>
      </c>
      <c r="BK369" s="7" t="e">
        <f t="shared" si="82"/>
        <v>#N/A</v>
      </c>
      <c r="BL369" s="7" t="e">
        <f t="shared" si="79"/>
        <v>#N/A</v>
      </c>
    </row>
    <row r="370" spans="2:64" ht="11.25" customHeight="1">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7">
        <f t="shared" si="70"/>
        <v>6.0365580804113694E-3</v>
      </c>
      <c r="BA370" s="7">
        <f t="shared" si="80"/>
        <v>-2.5100000000000744</v>
      </c>
      <c r="BB370" s="7">
        <f t="shared" si="71"/>
        <v>1.7094670457493747E-2</v>
      </c>
      <c r="BC370" s="7" t="e">
        <f t="shared" si="72"/>
        <v>#N/A</v>
      </c>
      <c r="BD370" s="7">
        <f t="shared" si="73"/>
        <v>-2.5100100000000745</v>
      </c>
      <c r="BE370" s="7">
        <f t="shared" si="74"/>
        <v>-2.5099900000000743</v>
      </c>
      <c r="BF370" s="7">
        <f t="shared" si="75"/>
        <v>1.5456037256596861E-2</v>
      </c>
      <c r="BG370" s="7">
        <f t="shared" si="76"/>
        <v>1.5456566986025894E-2</v>
      </c>
      <c r="BH370" s="7" t="e">
        <f t="shared" si="77"/>
        <v>#N/A</v>
      </c>
      <c r="BI370" s="7">
        <f t="shared" si="81"/>
        <v>1.7094670457493747E-2</v>
      </c>
      <c r="BJ370" s="7">
        <f t="shared" si="78"/>
        <v>1.6094670457493746E-2</v>
      </c>
      <c r="BK370" s="7" t="e">
        <f t="shared" si="82"/>
        <v>#N/A</v>
      </c>
      <c r="BL370" s="7" t="e">
        <f t="shared" si="79"/>
        <v>#N/A</v>
      </c>
    </row>
    <row r="371" spans="2:64" ht="11.25" customHeight="1">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7">
        <f t="shared" si="70"/>
        <v>6.2096653257748269E-3</v>
      </c>
      <c r="BA371" s="7">
        <f t="shared" si="80"/>
        <v>-2.5000000000000746</v>
      </c>
      <c r="BB371" s="7">
        <f t="shared" si="71"/>
        <v>1.7528300493565269E-2</v>
      </c>
      <c r="BC371" s="7" t="e">
        <f t="shared" si="72"/>
        <v>#N/A</v>
      </c>
      <c r="BD371" s="7">
        <f t="shared" si="73"/>
        <v>-2.5000100000000747</v>
      </c>
      <c r="BE371" s="7">
        <f t="shared" si="74"/>
        <v>-2.4999900000000745</v>
      </c>
      <c r="BF371" s="7">
        <f t="shared" si="75"/>
        <v>1.5723152691256827E-2</v>
      </c>
      <c r="BG371" s="7">
        <f t="shared" si="76"/>
        <v>1.5723691465802624E-2</v>
      </c>
      <c r="BH371" s="7" t="e">
        <f t="shared" si="77"/>
        <v>#N/A</v>
      </c>
      <c r="BI371" s="7">
        <f t="shared" si="81"/>
        <v>1.7528300493565269E-2</v>
      </c>
      <c r="BJ371" s="7">
        <f t="shared" si="78"/>
        <v>1.6528300493565268E-2</v>
      </c>
      <c r="BK371" s="7" t="e">
        <f t="shared" si="82"/>
        <v>#N/A</v>
      </c>
      <c r="BL371" s="7" t="e">
        <f t="shared" si="79"/>
        <v>#N/A</v>
      </c>
    </row>
    <row r="372" spans="2:64" ht="11.25" customHeight="1">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7">
        <f t="shared" si="70"/>
        <v>6.3871547649421156E-3</v>
      </c>
      <c r="BA372" s="7">
        <f t="shared" si="80"/>
        <v>-2.4900000000000748</v>
      </c>
      <c r="BB372" s="7">
        <f t="shared" si="71"/>
        <v>1.7971132954036285E-2</v>
      </c>
      <c r="BC372" s="7" t="e">
        <f t="shared" si="72"/>
        <v>#N/A</v>
      </c>
      <c r="BD372" s="7">
        <f t="shared" si="73"/>
        <v>-2.4900100000000749</v>
      </c>
      <c r="BE372" s="7">
        <f t="shared" si="74"/>
        <v>-2.4899900000000748</v>
      </c>
      <c r="BF372" s="7">
        <f t="shared" si="75"/>
        <v>1.5994826998452623E-2</v>
      </c>
      <c r="BG372" s="7">
        <f t="shared" si="76"/>
        <v>1.5995374964000216E-2</v>
      </c>
      <c r="BH372" s="7" t="e">
        <f t="shared" si="77"/>
        <v>#N/A</v>
      </c>
      <c r="BI372" s="7">
        <f t="shared" si="81"/>
        <v>1.7971132954036285E-2</v>
      </c>
      <c r="BJ372" s="7">
        <f t="shared" si="78"/>
        <v>1.6971132954036284E-2</v>
      </c>
      <c r="BK372" s="7" t="e">
        <f t="shared" si="82"/>
        <v>#N/A</v>
      </c>
      <c r="BL372" s="7" t="e">
        <f t="shared" si="79"/>
        <v>#N/A</v>
      </c>
    </row>
    <row r="373" spans="2:64" ht="11.25" customHeight="1">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7">
        <f t="shared" si="70"/>
        <v>6.5691191355453649E-3</v>
      </c>
      <c r="BA373" s="7">
        <f t="shared" si="80"/>
        <v>-2.480000000000075</v>
      </c>
      <c r="BB373" s="7">
        <f t="shared" si="71"/>
        <v>1.8423310646858617E-2</v>
      </c>
      <c r="BC373" s="7" t="e">
        <f t="shared" si="72"/>
        <v>#N/A</v>
      </c>
      <c r="BD373" s="7">
        <f t="shared" si="73"/>
        <v>-2.4800100000000751</v>
      </c>
      <c r="BE373" s="7">
        <f t="shared" si="74"/>
        <v>-2.479990000000075</v>
      </c>
      <c r="BF373" s="7">
        <f t="shared" si="75"/>
        <v>1.6271133626131376E-2</v>
      </c>
      <c r="BG373" s="7">
        <f t="shared" si="76"/>
        <v>1.6271690930594558E-2</v>
      </c>
      <c r="BH373" s="7" t="e">
        <f t="shared" si="77"/>
        <v>#N/A</v>
      </c>
      <c r="BI373" s="7">
        <f t="shared" si="81"/>
        <v>1.8423310646858617E-2</v>
      </c>
      <c r="BJ373" s="7">
        <f t="shared" si="78"/>
        <v>1.7423310646858616E-2</v>
      </c>
      <c r="BK373" s="7" t="e">
        <f t="shared" si="82"/>
        <v>#N/A</v>
      </c>
      <c r="BL373" s="7" t="e">
        <f t="shared" si="79"/>
        <v>#N/A</v>
      </c>
    </row>
    <row r="374" spans="2:64" ht="11.25" customHeight="1">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7">
        <f t="shared" si="70"/>
        <v>6.7556526071391731E-3</v>
      </c>
      <c r="BA374" s="7">
        <f t="shared" si="80"/>
        <v>-2.4700000000000752</v>
      </c>
      <c r="BB374" s="7">
        <f t="shared" si="71"/>
        <v>1.8884977141852662E-2</v>
      </c>
      <c r="BC374" s="7" t="e">
        <f t="shared" si="72"/>
        <v>#N/A</v>
      </c>
      <c r="BD374" s="7">
        <f t="shared" si="73"/>
        <v>-2.4700100000000753</v>
      </c>
      <c r="BE374" s="7">
        <f t="shared" si="74"/>
        <v>-2.4699900000000752</v>
      </c>
      <c r="BF374" s="7">
        <f t="shared" si="75"/>
        <v>1.6552147041039841E-2</v>
      </c>
      <c r="BG374" s="7">
        <f t="shared" si="76"/>
        <v>1.6552713834378799E-2</v>
      </c>
      <c r="BH374" s="7" t="e">
        <f t="shared" si="77"/>
        <v>#N/A</v>
      </c>
      <c r="BI374" s="7">
        <f t="shared" si="81"/>
        <v>1.8884977141852662E-2</v>
      </c>
      <c r="BJ374" s="7">
        <f t="shared" si="78"/>
        <v>1.7884977141852661E-2</v>
      </c>
      <c r="BK374" s="7" t="e">
        <f t="shared" si="82"/>
        <v>#N/A</v>
      </c>
      <c r="BL374" s="7" t="e">
        <f t="shared" si="79"/>
        <v>#N/A</v>
      </c>
    </row>
    <row r="375" spans="2:64" ht="11.25" customHeight="1">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7">
        <f t="shared" si="70"/>
        <v>6.9468507886225606E-3</v>
      </c>
      <c r="BA375" s="7">
        <f t="shared" si="80"/>
        <v>-2.4600000000000755</v>
      </c>
      <c r="BB375" s="7">
        <f t="shared" si="71"/>
        <v>1.9356276731733367E-2</v>
      </c>
      <c r="BC375" s="7" t="e">
        <f t="shared" si="72"/>
        <v>#N/A</v>
      </c>
      <c r="BD375" s="7">
        <f t="shared" si="73"/>
        <v>-2.4600100000000755</v>
      </c>
      <c r="BE375" s="7">
        <f t="shared" si="74"/>
        <v>-2.4599900000000754</v>
      </c>
      <c r="BF375" s="7">
        <f t="shared" si="75"/>
        <v>1.6837942737491847E-2</v>
      </c>
      <c r="BG375" s="7">
        <f t="shared" si="76"/>
        <v>1.683851917173064E-2</v>
      </c>
      <c r="BH375" s="7" t="e">
        <f t="shared" si="77"/>
        <v>#N/A</v>
      </c>
      <c r="BI375" s="7">
        <f t="shared" si="81"/>
        <v>1.9356276731733367E-2</v>
      </c>
      <c r="BJ375" s="7">
        <f t="shared" si="78"/>
        <v>1.8356276731733366E-2</v>
      </c>
      <c r="BK375" s="7" t="e">
        <f t="shared" si="82"/>
        <v>#N/A</v>
      </c>
      <c r="BL375" s="7" t="e">
        <f t="shared" si="79"/>
        <v>#N/A</v>
      </c>
    </row>
    <row r="376" spans="2:64" ht="11.25" customHeight="1">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7">
        <f t="shared" si="70"/>
        <v>7.142810735270011E-3</v>
      </c>
      <c r="BA376" s="7">
        <f t="shared" si="80"/>
        <v>-2.4500000000000757</v>
      </c>
      <c r="BB376" s="7">
        <f t="shared" si="71"/>
        <v>1.9837354391791646E-2</v>
      </c>
      <c r="BC376" s="7" t="e">
        <f t="shared" si="72"/>
        <v>#N/A</v>
      </c>
      <c r="BD376" s="7">
        <f t="shared" si="73"/>
        <v>-2.4500100000000757</v>
      </c>
      <c r="BE376" s="7">
        <f t="shared" si="74"/>
        <v>-2.4499900000000756</v>
      </c>
      <c r="BF376" s="7">
        <f t="shared" si="75"/>
        <v>1.712859724603363E-2</v>
      </c>
      <c r="BG376" s="7">
        <f t="shared" si="76"/>
        <v>1.7129183475277424E-2</v>
      </c>
      <c r="BH376" s="7" t="e">
        <f t="shared" si="77"/>
        <v>#N/A</v>
      </c>
      <c r="BI376" s="7">
        <f t="shared" si="81"/>
        <v>1.9837354391791646E-2</v>
      </c>
      <c r="BJ376" s="7">
        <f t="shared" si="78"/>
        <v>1.8837354391791645E-2</v>
      </c>
      <c r="BK376" s="7" t="e">
        <f t="shared" si="82"/>
        <v>#N/A</v>
      </c>
      <c r="BL376" s="7" t="e">
        <f t="shared" si="79"/>
        <v>#N/A</v>
      </c>
    </row>
    <row r="377" spans="2:64" ht="11.25" customHeight="1">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7">
        <f t="shared" si="70"/>
        <v>7.343630955346736E-3</v>
      </c>
      <c r="BA377" s="7">
        <f t="shared" si="80"/>
        <v>-2.4400000000000759</v>
      </c>
      <c r="BB377" s="7">
        <f t="shared" si="71"/>
        <v>2.032835573822207E-2</v>
      </c>
      <c r="BC377" s="7" t="e">
        <f t="shared" si="72"/>
        <v>#N/A</v>
      </c>
      <c r="BD377" s="7">
        <f t="shared" si="73"/>
        <v>-2.440010000000076</v>
      </c>
      <c r="BE377" s="7">
        <f t="shared" si="74"/>
        <v>-2.4399900000000758</v>
      </c>
      <c r="BF377" s="7">
        <f t="shared" si="75"/>
        <v>1.7424188141999926E-2</v>
      </c>
      <c r="BG377" s="7">
        <f t="shared" si="76"/>
        <v>1.7424784322451908E-2</v>
      </c>
      <c r="BH377" s="7" t="e">
        <f t="shared" si="77"/>
        <v>#N/A</v>
      </c>
      <c r="BI377" s="7">
        <f t="shared" si="81"/>
        <v>2.032835573822207E-2</v>
      </c>
      <c r="BJ377" s="7">
        <f t="shared" si="78"/>
        <v>1.9328355738222069E-2</v>
      </c>
      <c r="BK377" s="7" t="e">
        <f t="shared" si="82"/>
        <v>#N/A</v>
      </c>
      <c r="BL377" s="7" t="e">
        <f t="shared" si="79"/>
        <v>#N/A</v>
      </c>
    </row>
    <row r="378" spans="2:64" ht="11.25" customHeight="1">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7">
        <f t="shared" si="70"/>
        <v>7.5494114163074943E-3</v>
      </c>
      <c r="BA378" s="7">
        <f t="shared" si="80"/>
        <v>-2.4300000000000761</v>
      </c>
      <c r="BB378" s="7">
        <f t="shared" si="71"/>
        <v>2.0829426985088335E-2</v>
      </c>
      <c r="BC378" s="7" t="e">
        <f t="shared" si="72"/>
        <v>#N/A</v>
      </c>
      <c r="BD378" s="7">
        <f t="shared" si="73"/>
        <v>-2.4300100000000762</v>
      </c>
      <c r="BE378" s="7">
        <f t="shared" si="74"/>
        <v>-2.429990000000076</v>
      </c>
      <c r="BF378" s="7">
        <f t="shared" si="75"/>
        <v>1.7724794053952699E-2</v>
      </c>
      <c r="BG378" s="7">
        <f t="shared" si="76"/>
        <v>1.7725400343930921E-2</v>
      </c>
      <c r="BH378" s="7" t="e">
        <f t="shared" si="77"/>
        <v>#N/A</v>
      </c>
      <c r="BI378" s="7">
        <f t="shared" si="81"/>
        <v>2.0829426985088335E-2</v>
      </c>
      <c r="BJ378" s="7">
        <f t="shared" si="78"/>
        <v>1.9829426985088335E-2</v>
      </c>
      <c r="BK378" s="7" t="e">
        <f t="shared" si="82"/>
        <v>#N/A</v>
      </c>
      <c r="BL378" s="7" t="e">
        <f t="shared" si="79"/>
        <v>#N/A</v>
      </c>
    </row>
    <row r="379" spans="2:64" ht="11.25" customHeight="1">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7">
        <f t="shared" si="70"/>
        <v>7.7602535505518766E-3</v>
      </c>
      <c r="BA379" s="7">
        <f t="shared" si="80"/>
        <v>-2.4200000000000763</v>
      </c>
      <c r="BB379" s="7">
        <f t="shared" si="71"/>
        <v>2.1340714899918838E-2</v>
      </c>
      <c r="BC379" s="7" t="e">
        <f t="shared" si="72"/>
        <v>#N/A</v>
      </c>
      <c r="BD379" s="7">
        <f t="shared" si="73"/>
        <v>-2.4200100000000764</v>
      </c>
      <c r="BE379" s="7">
        <f t="shared" si="74"/>
        <v>-2.4199900000000762</v>
      </c>
      <c r="BF379" s="7">
        <f t="shared" si="75"/>
        <v>1.8030494671995235E-2</v>
      </c>
      <c r="BG379" s="7">
        <f t="shared" si="76"/>
        <v>1.803111123194906E-2</v>
      </c>
      <c r="BH379" s="7" t="e">
        <f t="shared" si="77"/>
        <v>#N/A</v>
      </c>
      <c r="BI379" s="7">
        <f t="shared" si="81"/>
        <v>2.1340714899918838E-2</v>
      </c>
      <c r="BJ379" s="7">
        <f t="shared" si="78"/>
        <v>2.0340714899918837E-2</v>
      </c>
      <c r="BK379" s="7" t="e">
        <f t="shared" si="82"/>
        <v>#N/A</v>
      </c>
      <c r="BL379" s="7" t="e">
        <f t="shared" si="79"/>
        <v>#N/A</v>
      </c>
    </row>
    <row r="380" spans="2:64" ht="11.25" customHeight="1">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7">
        <f t="shared" si="70"/>
        <v>7.9762602607320598E-3</v>
      </c>
      <c r="BA380" s="7">
        <f t="shared" si="80"/>
        <v>-2.4100000000000765</v>
      </c>
      <c r="BB380" s="7">
        <f t="shared" si="71"/>
        <v>2.1862366757925352E-2</v>
      </c>
      <c r="BC380" s="7" t="e">
        <f t="shared" si="72"/>
        <v>#N/A</v>
      </c>
      <c r="BD380" s="7">
        <f t="shared" si="73"/>
        <v>-2.4100100000000766</v>
      </c>
      <c r="BE380" s="7">
        <f t="shared" si="74"/>
        <v>-2.4099900000000765</v>
      </c>
      <c r="BF380" s="7">
        <f t="shared" si="75"/>
        <v>1.8341370755953129E-2</v>
      </c>
      <c r="BG380" s="7">
        <f t="shared" si="76"/>
        <v>1.8341997748479465E-2</v>
      </c>
      <c r="BH380" s="7" t="e">
        <f t="shared" si="77"/>
        <v>#N/A</v>
      </c>
      <c r="BI380" s="7">
        <f t="shared" si="81"/>
        <v>2.1862366757925352E-2</v>
      </c>
      <c r="BJ380" s="7">
        <f t="shared" si="78"/>
        <v>2.0862366757925351E-2</v>
      </c>
      <c r="BK380" s="7" t="e">
        <f t="shared" si="82"/>
        <v>#N/A</v>
      </c>
      <c r="BL380" s="7" t="e">
        <f t="shared" si="79"/>
        <v>#N/A</v>
      </c>
    </row>
    <row r="381" spans="2:64" ht="11.25" customHeight="1">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7">
        <f t="shared" si="70"/>
        <v>8.1975359245944901E-3</v>
      </c>
      <c r="BA381" s="7">
        <f t="shared" si="80"/>
        <v>-2.4000000000000767</v>
      </c>
      <c r="BB381" s="7">
        <f t="shared" si="71"/>
        <v>2.2394530294838771E-2</v>
      </c>
      <c r="BC381" s="7" t="e">
        <f t="shared" si="72"/>
        <v>#N/A</v>
      </c>
      <c r="BD381" s="7">
        <f t="shared" si="73"/>
        <v>-2.4000100000000768</v>
      </c>
      <c r="BE381" s="7">
        <f t="shared" si="74"/>
        <v>-2.3999900000000767</v>
      </c>
      <c r="BF381" s="7">
        <f t="shared" si="75"/>
        <v>1.865750414341414E-2</v>
      </c>
      <c r="BG381" s="7">
        <f t="shared" si="76"/>
        <v>1.865814173327341E-2</v>
      </c>
      <c r="BH381" s="7" t="e">
        <f t="shared" si="77"/>
        <v>#N/A</v>
      </c>
      <c r="BI381" s="7">
        <f t="shared" si="81"/>
        <v>2.2394530294838771E-2</v>
      </c>
      <c r="BJ381" s="7">
        <f t="shared" si="78"/>
        <v>2.139453029483877E-2</v>
      </c>
      <c r="BK381" s="7" t="e">
        <f t="shared" si="82"/>
        <v>#N/A</v>
      </c>
      <c r="BL381" s="7" t="e">
        <f t="shared" si="79"/>
        <v>#N/A</v>
      </c>
    </row>
    <row r="382" spans="2:64" ht="11.25" customHeight="1">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7">
        <f t="shared" si="70"/>
        <v>8.424186399343947E-3</v>
      </c>
      <c r="BA382" s="7">
        <f t="shared" si="80"/>
        <v>-2.390000000000077</v>
      </c>
      <c r="BB382" s="7">
        <f t="shared" si="71"/>
        <v>2.2937353658356474E-2</v>
      </c>
      <c r="BC382" s="7" t="e">
        <f t="shared" si="72"/>
        <v>#N/A</v>
      </c>
      <c r="BD382" s="7">
        <f t="shared" si="73"/>
        <v>-2.390010000000077</v>
      </c>
      <c r="BE382" s="7">
        <f t="shared" si="74"/>
        <v>-2.3899900000000769</v>
      </c>
      <c r="BF382" s="7">
        <f t="shared" si="75"/>
        <v>1.8978977757618372E-2</v>
      </c>
      <c r="BG382" s="7">
        <f t="shared" si="76"/>
        <v>1.8979626111750039E-2</v>
      </c>
      <c r="BH382" s="7" t="e">
        <f t="shared" si="77"/>
        <v>#N/A</v>
      </c>
      <c r="BI382" s="7">
        <f t="shared" si="81"/>
        <v>2.2937353658356474E-2</v>
      </c>
      <c r="BJ382" s="7">
        <f t="shared" si="78"/>
        <v>2.1937353658356473E-2</v>
      </c>
      <c r="BK382" s="7" t="e">
        <f t="shared" si="82"/>
        <v>#N/A</v>
      </c>
      <c r="BL382" s="7" t="e">
        <f t="shared" si="79"/>
        <v>#N/A</v>
      </c>
    </row>
    <row r="383" spans="2:64" ht="11.25" customHeight="1">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7">
        <f t="shared" si="70"/>
        <v>8.6563190255147804E-3</v>
      </c>
      <c r="BA383" s="7">
        <f t="shared" si="80"/>
        <v>-2.3800000000000772</v>
      </c>
      <c r="BB383" s="7">
        <f t="shared" si="71"/>
        <v>2.3490985358197044E-2</v>
      </c>
      <c r="BC383" s="7" t="e">
        <f t="shared" si="72"/>
        <v>#N/A</v>
      </c>
      <c r="BD383" s="7">
        <f t="shared" si="73"/>
        <v>-2.3800100000000772</v>
      </c>
      <c r="BE383" s="7">
        <f t="shared" si="74"/>
        <v>-2.3799900000000771</v>
      </c>
      <c r="BF383" s="7">
        <f t="shared" si="75"/>
        <v>1.9305875615190028E-2</v>
      </c>
      <c r="BG383" s="7">
        <f t="shared" si="76"/>
        <v>1.930653490272799E-2</v>
      </c>
      <c r="BH383" s="7" t="e">
        <f t="shared" si="77"/>
        <v>#N/A</v>
      </c>
      <c r="BI383" s="7">
        <f t="shared" si="81"/>
        <v>2.3490985358197044E-2</v>
      </c>
      <c r="BJ383" s="7">
        <f t="shared" si="78"/>
        <v>2.2490985358197043E-2</v>
      </c>
      <c r="BK383" s="7" t="e">
        <f t="shared" si="82"/>
        <v>#N/A</v>
      </c>
      <c r="BL383" s="7" t="e">
        <f t="shared" si="79"/>
        <v>#N/A</v>
      </c>
    </row>
    <row r="384" spans="2:64" ht="11.25" customHeight="1">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7">
        <f t="shared" si="70"/>
        <v>8.8940426303351083E-3</v>
      </c>
      <c r="BA384" s="7">
        <f t="shared" si="80"/>
        <v>-2.3700000000000774</v>
      </c>
      <c r="BB384" s="7">
        <f t="shared" si="71"/>
        <v>2.4055574214758554E-2</v>
      </c>
      <c r="BC384" s="7" t="e">
        <f t="shared" si="72"/>
        <v>#N/A</v>
      </c>
      <c r="BD384" s="7">
        <f t="shared" si="73"/>
        <v>-2.3700100000000774</v>
      </c>
      <c r="BE384" s="7">
        <f t="shared" si="74"/>
        <v>-2.3699900000000773</v>
      </c>
      <c r="BF384" s="7">
        <f t="shared" si="75"/>
        <v>1.9638282833701982E-2</v>
      </c>
      <c r="BG384" s="7">
        <f t="shared" si="76"/>
        <v>1.9638953225989575E-2</v>
      </c>
      <c r="BH384" s="7" t="e">
        <f t="shared" si="77"/>
        <v>#N/A</v>
      </c>
      <c r="BI384" s="7">
        <f t="shared" si="81"/>
        <v>2.4055574214758554E-2</v>
      </c>
      <c r="BJ384" s="7">
        <f t="shared" si="78"/>
        <v>2.3055574214758554E-2</v>
      </c>
      <c r="BK384" s="7" t="e">
        <f t="shared" si="82"/>
        <v>#N/A</v>
      </c>
      <c r="BL384" s="7" t="e">
        <f t="shared" si="79"/>
        <v>#N/A</v>
      </c>
    </row>
    <row r="385" spans="2:64" ht="11.25" customHeight="1">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7">
        <f t="shared" si="70"/>
        <v>9.1374675305708752E-3</v>
      </c>
      <c r="BA385" s="7">
        <f t="shared" si="80"/>
        <v>-2.3600000000000776</v>
      </c>
      <c r="BB385" s="7">
        <f t="shared" si="71"/>
        <v>2.4631269306377986E-2</v>
      </c>
      <c r="BC385" s="7" t="e">
        <f t="shared" si="72"/>
        <v>#N/A</v>
      </c>
      <c r="BD385" s="7">
        <f t="shared" si="73"/>
        <v>-2.3600100000000777</v>
      </c>
      <c r="BE385" s="7">
        <f t="shared" si="74"/>
        <v>-2.3599900000000775</v>
      </c>
      <c r="BF385" s="7">
        <f t="shared" si="75"/>
        <v>1.9976285639064267E-2</v>
      </c>
      <c r="BG385" s="7">
        <f t="shared" si="76"/>
        <v>1.9976967309668615E-2</v>
      </c>
      <c r="BH385" s="7" t="e">
        <f t="shared" si="77"/>
        <v>#N/A</v>
      </c>
      <c r="BI385" s="7">
        <f t="shared" si="81"/>
        <v>2.4631269306377986E-2</v>
      </c>
      <c r="BJ385" s="7">
        <f t="shared" si="78"/>
        <v>2.3631269306377985E-2</v>
      </c>
      <c r="BK385" s="7" t="e">
        <f t="shared" si="82"/>
        <v>#N/A</v>
      </c>
      <c r="BL385" s="7" t="e">
        <f t="shared" si="79"/>
        <v>#N/A</v>
      </c>
    </row>
    <row r="386" spans="2:64" ht="11.25" customHeight="1">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7">
        <f t="shared" si="70"/>
        <v>9.3867055348366701E-3</v>
      </c>
      <c r="BA386" s="7">
        <f t="shared" si="80"/>
        <v>-2.3500000000000778</v>
      </c>
      <c r="BB386" s="7">
        <f t="shared" si="71"/>
        <v>2.5218219915189771E-2</v>
      </c>
      <c r="BC386" s="7" t="e">
        <f t="shared" si="72"/>
        <v>#N/A</v>
      </c>
      <c r="BD386" s="7">
        <f t="shared" si="73"/>
        <v>-2.3500100000000779</v>
      </c>
      <c r="BE386" s="7">
        <f t="shared" si="74"/>
        <v>-2.3499900000000777</v>
      </c>
      <c r="BF386" s="7">
        <f t="shared" si="75"/>
        <v>2.0319971372726401E-2</v>
      </c>
      <c r="BG386" s="7">
        <f t="shared" si="76"/>
        <v>2.032066449745297E-2</v>
      </c>
      <c r="BH386" s="7" t="e">
        <f t="shared" si="77"/>
        <v>#N/A</v>
      </c>
      <c r="BI386" s="7">
        <f t="shared" si="81"/>
        <v>2.5218219915189771E-2</v>
      </c>
      <c r="BJ386" s="7">
        <f t="shared" si="78"/>
        <v>2.421821991518977E-2</v>
      </c>
      <c r="BK386" s="7" t="e">
        <f t="shared" si="82"/>
        <v>#N/A</v>
      </c>
      <c r="BL386" s="7" t="e">
        <f t="shared" si="79"/>
        <v>#N/A</v>
      </c>
    </row>
    <row r="387" spans="2:64" ht="11.25" customHeight="1">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7">
        <f t="shared" si="70"/>
        <v>9.6418699453564294E-3</v>
      </c>
      <c r="BA387" s="7">
        <f t="shared" si="80"/>
        <v>-2.340000000000078</v>
      </c>
      <c r="BB387" s="7">
        <f t="shared" si="71"/>
        <v>2.5816575471582965E-2</v>
      </c>
      <c r="BC387" s="7" t="e">
        <f t="shared" si="72"/>
        <v>#N/A</v>
      </c>
      <c r="BD387" s="7">
        <f t="shared" si="73"/>
        <v>-2.3400100000000781</v>
      </c>
      <c r="BE387" s="7">
        <f t="shared" si="74"/>
        <v>-2.339990000000078</v>
      </c>
      <c r="BF387" s="7">
        <f t="shared" si="75"/>
        <v>2.0669428498685163E-2</v>
      </c>
      <c r="BG387" s="7">
        <f t="shared" si="76"/>
        <v>2.0670133255591309E-2</v>
      </c>
      <c r="BH387" s="7" t="e">
        <f t="shared" si="77"/>
        <v>#N/A</v>
      </c>
      <c r="BI387" s="7">
        <f t="shared" si="81"/>
        <v>2.5816575471582965E-2</v>
      </c>
      <c r="BJ387" s="7">
        <f t="shared" si="78"/>
        <v>2.4816575471582964E-2</v>
      </c>
      <c r="BK387" s="7" t="e">
        <f t="shared" si="82"/>
        <v>#N/A</v>
      </c>
      <c r="BL387" s="7" t="e">
        <f t="shared" si="79"/>
        <v>#N/A</v>
      </c>
    </row>
    <row r="388" spans="2:64" ht="11.25" customHeight="1">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7">
        <f t="shared" si="70"/>
        <v>9.9030755591622555E-3</v>
      </c>
      <c r="BA388" s="7">
        <f t="shared" si="80"/>
        <v>-2.3300000000000782</v>
      </c>
      <c r="BB388" s="7">
        <f t="shared" si="71"/>
        <v>2.6426485497256909E-2</v>
      </c>
      <c r="BC388" s="7" t="e">
        <f t="shared" si="72"/>
        <v>#N/A</v>
      </c>
      <c r="BD388" s="7">
        <f t="shared" si="73"/>
        <v>-2.3300100000000783</v>
      </c>
      <c r="BE388" s="7">
        <f t="shared" si="74"/>
        <v>-2.3299900000000782</v>
      </c>
      <c r="BF388" s="7">
        <f t="shared" si="75"/>
        <v>2.1024746610286939E-2</v>
      </c>
      <c r="BG388" s="7">
        <f t="shared" si="76"/>
        <v>2.1025463179695367E-2</v>
      </c>
      <c r="BH388" s="7" t="e">
        <f t="shared" si="77"/>
        <v>#N/A</v>
      </c>
      <c r="BI388" s="7">
        <f t="shared" si="81"/>
        <v>2.6426485497256909E-2</v>
      </c>
      <c r="BJ388" s="7">
        <f t="shared" si="78"/>
        <v>2.5426485497256908E-2</v>
      </c>
      <c r="BK388" s="7" t="e">
        <f t="shared" si="82"/>
        <v>#N/A</v>
      </c>
      <c r="BL388" s="7" t="e">
        <f t="shared" si="79"/>
        <v>#N/A</v>
      </c>
    </row>
    <row r="389" spans="2:64" ht="11.25" customHeight="1">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7">
        <f t="shared" si="70"/>
        <v>1.0170438668717585E-2</v>
      </c>
      <c r="BA389" s="7">
        <f t="shared" si="80"/>
        <v>-2.3200000000000784</v>
      </c>
      <c r="BB389" s="7">
        <f t="shared" si="71"/>
        <v>2.7048099546876859E-2</v>
      </c>
      <c r="BC389" s="7" t="e">
        <f t="shared" si="72"/>
        <v>#N/A</v>
      </c>
      <c r="BD389" s="7">
        <f t="shared" si="73"/>
        <v>-2.3200100000000785</v>
      </c>
      <c r="BE389" s="7">
        <f t="shared" si="74"/>
        <v>-2.3199900000000784</v>
      </c>
      <c r="BF389" s="7">
        <f t="shared" si="75"/>
        <v>2.1386016436815571E-2</v>
      </c>
      <c r="BG389" s="7">
        <f t="shared" si="76"/>
        <v>2.1386745001327416E-2</v>
      </c>
      <c r="BH389" s="7" t="e">
        <f t="shared" si="77"/>
        <v>#N/A</v>
      </c>
      <c r="BI389" s="7">
        <f t="shared" si="81"/>
        <v>2.7048099546876859E-2</v>
      </c>
      <c r="BJ389" s="7">
        <f t="shared" si="78"/>
        <v>2.6048099546876858E-2</v>
      </c>
      <c r="BK389" s="7" t="e">
        <f t="shared" si="82"/>
        <v>#N/A</v>
      </c>
      <c r="BL389" s="7" t="e">
        <f t="shared" si="79"/>
        <v>#N/A</v>
      </c>
    </row>
    <row r="390" spans="2:64" ht="11.25" customHeight="1">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7">
        <f t="shared" si="70"/>
        <v>1.0444077061948942E-2</v>
      </c>
      <c r="BA390" s="7">
        <f t="shared" si="80"/>
        <v>-2.3100000000000787</v>
      </c>
      <c r="BB390" s="7">
        <f t="shared" si="71"/>
        <v>2.7681567148331542E-2</v>
      </c>
      <c r="BC390" s="7" t="e">
        <f t="shared" si="72"/>
        <v>#N/A</v>
      </c>
      <c r="BD390" s="7">
        <f t="shared" si="73"/>
        <v>-2.3100100000000787</v>
      </c>
      <c r="BE390" s="7">
        <f t="shared" si="74"/>
        <v>-2.3099900000000786</v>
      </c>
      <c r="BF390" s="7">
        <f t="shared" si="75"/>
        <v>2.1753329849855049E-2</v>
      </c>
      <c r="BG390" s="7">
        <f t="shared" si="76"/>
        <v>2.1754070594362126E-2</v>
      </c>
      <c r="BH390" s="7" t="e">
        <f t="shared" si="77"/>
        <v>#N/A</v>
      </c>
      <c r="BI390" s="7">
        <f t="shared" si="81"/>
        <v>2.7681567148331542E-2</v>
      </c>
      <c r="BJ390" s="7">
        <f t="shared" si="78"/>
        <v>2.6681567148331541E-2</v>
      </c>
      <c r="BK390" s="7" t="e">
        <f t="shared" si="82"/>
        <v>#N/A</v>
      </c>
      <c r="BL390" s="7" t="e">
        <f t="shared" si="79"/>
        <v>#N/A</v>
      </c>
    </row>
    <row r="391" spans="2:64" ht="11.25" customHeight="1">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7">
        <f t="shared" si="70"/>
        <v>1.0724110021673505E-2</v>
      </c>
      <c r="BA391" s="7">
        <f t="shared" si="80"/>
        <v>-2.3000000000000789</v>
      </c>
      <c r="BB391" s="7">
        <f t="shared" si="71"/>
        <v>2.8327037741596041E-2</v>
      </c>
      <c r="BC391" s="7" t="e">
        <f t="shared" si="72"/>
        <v>#N/A</v>
      </c>
      <c r="BD391" s="7">
        <f t="shared" si="73"/>
        <v>-2.3000100000000789</v>
      </c>
      <c r="BE391" s="7">
        <f t="shared" si="74"/>
        <v>-2.2999900000000788</v>
      </c>
      <c r="BF391" s="7">
        <f t="shared" si="75"/>
        <v>2.212677986941659E-2</v>
      </c>
      <c r="BG391" s="7">
        <f t="shared" si="76"/>
        <v>2.2127532981113692E-2</v>
      </c>
      <c r="BH391" s="7" t="e">
        <f t="shared" si="77"/>
        <v>#N/A</v>
      </c>
      <c r="BI391" s="7">
        <f t="shared" si="81"/>
        <v>2.8327037741596041E-2</v>
      </c>
      <c r="BJ391" s="7">
        <f t="shared" si="78"/>
        <v>2.732703774159604E-2</v>
      </c>
      <c r="BK391" s="7" t="e">
        <f t="shared" si="82"/>
        <v>#N/A</v>
      </c>
      <c r="BL391" s="7" t="e">
        <f t="shared" si="79"/>
        <v>#N/A</v>
      </c>
    </row>
    <row r="392" spans="2:64" ht="11.25" customHeight="1">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7">
        <f t="shared" si="70"/>
        <v>1.1010658324409173E-2</v>
      </c>
      <c r="BA392" s="7">
        <f t="shared" si="80"/>
        <v>-2.2900000000000791</v>
      </c>
      <c r="BB392" s="7">
        <f t="shared" si="71"/>
        <v>2.8984660616204173E-2</v>
      </c>
      <c r="BC392" s="7" t="e">
        <f t="shared" si="72"/>
        <v>#N/A</v>
      </c>
      <c r="BD392" s="7">
        <f t="shared" si="73"/>
        <v>-2.2900100000000791</v>
      </c>
      <c r="BE392" s="7">
        <f t="shared" si="74"/>
        <v>-2.289990000000079</v>
      </c>
      <c r="BF392" s="7">
        <f t="shared" si="75"/>
        <v>2.2506460669820028E-2</v>
      </c>
      <c r="BG392" s="7">
        <f t="shared" si="76"/>
        <v>2.2507226338216158E-2</v>
      </c>
      <c r="BH392" s="7" t="e">
        <f t="shared" si="77"/>
        <v>#N/A</v>
      </c>
      <c r="BI392" s="7">
        <f t="shared" si="81"/>
        <v>2.8984660616204173E-2</v>
      </c>
      <c r="BJ392" s="7">
        <f t="shared" si="78"/>
        <v>2.7984660616204173E-2</v>
      </c>
      <c r="BK392" s="7" t="e">
        <f t="shared" si="82"/>
        <v>#N/A</v>
      </c>
      <c r="BL392" s="7" t="e">
        <f t="shared" si="79"/>
        <v>#N/A</v>
      </c>
    </row>
    <row r="393" spans="2:64" ht="11.25" customHeight="1">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7">
        <f t="shared" si="70"/>
        <v>1.1303844238550353E-2</v>
      </c>
      <c r="BA393" s="7">
        <f t="shared" si="80"/>
        <v>-2.2800000000000793</v>
      </c>
      <c r="BB393" s="7">
        <f t="shared" si="71"/>
        <v>2.9654584847335904E-2</v>
      </c>
      <c r="BC393" s="7" t="e">
        <f t="shared" si="72"/>
        <v>#N/A</v>
      </c>
      <c r="BD393" s="7">
        <f t="shared" si="73"/>
        <v>-2.2800100000000794</v>
      </c>
      <c r="BE393" s="7">
        <f t="shared" si="74"/>
        <v>-2.2799900000000792</v>
      </c>
      <c r="BF393" s="7">
        <f t="shared" si="75"/>
        <v>2.2892467585317818E-2</v>
      </c>
      <c r="BG393" s="7">
        <f t="shared" si="76"/>
        <v>2.2893246002247365E-2</v>
      </c>
      <c r="BH393" s="7" t="e">
        <f t="shared" si="77"/>
        <v>#N/A</v>
      </c>
      <c r="BI393" s="7">
        <f t="shared" si="81"/>
        <v>2.9654584847335904E-2</v>
      </c>
      <c r="BJ393" s="7">
        <f t="shared" si="78"/>
        <v>2.8654584847335903E-2</v>
      </c>
      <c r="BK393" s="7" t="e">
        <f t="shared" si="82"/>
        <v>#N/A</v>
      </c>
      <c r="BL393" s="7" t="e">
        <f t="shared" si="79"/>
        <v>#N/A</v>
      </c>
    </row>
    <row r="394" spans="2:64" ht="11.25" customHeight="1">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7">
        <f t="shared" si="70"/>
        <v>1.1603791521901163E-2</v>
      </c>
      <c r="BA394" s="7">
        <f t="shared" si="80"/>
        <v>-2.2700000000000795</v>
      </c>
      <c r="BB394" s="7">
        <f t="shared" si="71"/>
        <v>3.033695923052615E-2</v>
      </c>
      <c r="BC394" s="7" t="e">
        <f t="shared" si="72"/>
        <v>#N/A</v>
      </c>
      <c r="BD394" s="7">
        <f t="shared" si="73"/>
        <v>-2.2700100000000796</v>
      </c>
      <c r="BE394" s="7">
        <f t="shared" si="74"/>
        <v>-2.2699900000000794</v>
      </c>
      <c r="BF394" s="7">
        <f t="shared" si="75"/>
        <v>2.3284897115451599E-2</v>
      </c>
      <c r="BG394" s="7">
        <f t="shared" si="76"/>
        <v>2.3285688475084738E-2</v>
      </c>
      <c r="BH394" s="7" t="e">
        <f t="shared" si="77"/>
        <v>#N/A</v>
      </c>
      <c r="BI394" s="7">
        <f t="shared" si="81"/>
        <v>3.033695923052615E-2</v>
      </c>
      <c r="BJ394" s="7">
        <f t="shared" si="78"/>
        <v>2.933695923052615E-2</v>
      </c>
      <c r="BK394" s="7" t="e">
        <f t="shared" si="82"/>
        <v>#N/A</v>
      </c>
      <c r="BL394" s="7" t="e">
        <f t="shared" si="79"/>
        <v>#N/A</v>
      </c>
    </row>
    <row r="395" spans="2:64" ht="11.25" customHeight="1">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7">
        <f t="shared" si="70"/>
        <v>1.1910625418544485E-2</v>
      </c>
      <c r="BA395" s="7">
        <f t="shared" si="80"/>
        <v>-2.2600000000000797</v>
      </c>
      <c r="BB395" s="7">
        <f t="shared" si="71"/>
        <v>3.103193221500266E-2</v>
      </c>
      <c r="BC395" s="7" t="e">
        <f t="shared" si="72"/>
        <v>#N/A</v>
      </c>
      <c r="BD395" s="7">
        <f t="shared" si="73"/>
        <v>-2.2600100000000798</v>
      </c>
      <c r="BE395" s="7">
        <f t="shared" si="74"/>
        <v>-2.2599900000000797</v>
      </c>
      <c r="BF395" s="7">
        <f t="shared" si="75"/>
        <v>2.3683846930129156E-2</v>
      </c>
      <c r="BG395" s="7">
        <f t="shared" si="76"/>
        <v>2.3684651428981667E-2</v>
      </c>
      <c r="BH395" s="7" t="e">
        <f t="shared" si="77"/>
        <v>#N/A</v>
      </c>
      <c r="BI395" s="7">
        <f t="shared" si="81"/>
        <v>3.103193221500266E-2</v>
      </c>
      <c r="BJ395" s="7">
        <f t="shared" si="78"/>
        <v>3.0031932215002659E-2</v>
      </c>
      <c r="BK395" s="7" t="e">
        <f t="shared" si="82"/>
        <v>#N/A</v>
      </c>
      <c r="BL395" s="7" t="e">
        <f t="shared" si="79"/>
        <v>#N/A</v>
      </c>
    </row>
    <row r="396" spans="2:64" ht="11.25" customHeight="1">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7">
        <f t="shared" si="70"/>
        <v>1.2224472655042007E-2</v>
      </c>
      <c r="BA396" s="7">
        <f t="shared" si="80"/>
        <v>-2.2500000000000799</v>
      </c>
      <c r="BB396" s="7">
        <f t="shared" si="71"/>
        <v>3.1739651835661707E-2</v>
      </c>
      <c r="BC396" s="7" t="e">
        <f t="shared" si="72"/>
        <v>#N/A</v>
      </c>
      <c r="BD396" s="7">
        <f t="shared" si="73"/>
        <v>-2.25001000000008</v>
      </c>
      <c r="BE396" s="7">
        <f t="shared" si="74"/>
        <v>-2.2499900000000799</v>
      </c>
      <c r="BF396" s="7">
        <f t="shared" si="75"/>
        <v>2.408941587441088E-2</v>
      </c>
      <c r="BG396" s="7">
        <f t="shared" si="76"/>
        <v>2.4090233711353368E-2</v>
      </c>
      <c r="BH396" s="7" t="e">
        <f t="shared" si="77"/>
        <v>#N/A</v>
      </c>
      <c r="BI396" s="7">
        <f t="shared" si="81"/>
        <v>3.1739651835661707E-2</v>
      </c>
      <c r="BJ396" s="7">
        <f t="shared" si="78"/>
        <v>3.0739651835661706E-2</v>
      </c>
      <c r="BK396" s="7" t="e">
        <f t="shared" si="82"/>
        <v>#N/A</v>
      </c>
      <c r="BL396" s="7" t="e">
        <f t="shared" si="79"/>
        <v>#N/A</v>
      </c>
    </row>
    <row r="397" spans="2:64" ht="11.25" customHeight="1">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7">
        <f t="shared" si="70"/>
        <v>1.2545461435943928E-2</v>
      </c>
      <c r="BA397" s="7">
        <f t="shared" si="80"/>
        <v>-2.2400000000000801</v>
      </c>
      <c r="BB397" s="7">
        <f t="shared" si="71"/>
        <v>3.246026564369163E-2</v>
      </c>
      <c r="BC397" s="7" t="e">
        <f t="shared" si="72"/>
        <v>#N/A</v>
      </c>
      <c r="BD397" s="7">
        <f t="shared" si="73"/>
        <v>-2.2400100000000802</v>
      </c>
      <c r="BE397" s="7">
        <f t="shared" si="74"/>
        <v>-2.2399900000000801</v>
      </c>
      <c r="BF397" s="7">
        <f t="shared" si="75"/>
        <v>2.4501703972993609E-2</v>
      </c>
      <c r="BG397" s="7">
        <f t="shared" si="76"/>
        <v>2.450253534926039E-2</v>
      </c>
      <c r="BH397" s="7" t="e">
        <f t="shared" si="77"/>
        <v>#N/A</v>
      </c>
      <c r="BI397" s="7">
        <f t="shared" si="81"/>
        <v>3.246026564369163E-2</v>
      </c>
      <c r="BJ397" s="7">
        <f t="shared" si="78"/>
        <v>3.1460265643691629E-2</v>
      </c>
      <c r="BK397" s="7" t="e">
        <f t="shared" si="82"/>
        <v>#N/A</v>
      </c>
      <c r="BL397" s="7" t="e">
        <f t="shared" si="79"/>
        <v>#N/A</v>
      </c>
    </row>
    <row r="398" spans="2:64" ht="11.25" customHeight="1">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7">
        <f t="shared" si="70"/>
        <v>1.2873721438599217E-2</v>
      </c>
      <c r="BA398" s="7">
        <f t="shared" si="80"/>
        <v>-2.2300000000000804</v>
      </c>
      <c r="BB398" s="7">
        <f t="shared" si="71"/>
        <v>3.3193920635855176E-2</v>
      </c>
      <c r="BC398" s="7" t="e">
        <f t="shared" si="72"/>
        <v>#N/A</v>
      </c>
      <c r="BD398" s="7">
        <f t="shared" si="73"/>
        <v>-2.2300100000000804</v>
      </c>
      <c r="BE398" s="7">
        <f t="shared" si="74"/>
        <v>-2.2299900000000803</v>
      </c>
      <c r="BF398" s="7">
        <f t="shared" si="75"/>
        <v>2.49208124343804E-2</v>
      </c>
      <c r="BG398" s="7">
        <f t="shared" si="76"/>
        <v>2.4921657553577288E-2</v>
      </c>
      <c r="BH398" s="7" t="e">
        <f t="shared" si="77"/>
        <v>#N/A</v>
      </c>
      <c r="BI398" s="7">
        <f t="shared" si="81"/>
        <v>3.3193920635855176E-2</v>
      </c>
      <c r="BJ398" s="7">
        <f t="shared" si="78"/>
        <v>3.2193920635855175E-2</v>
      </c>
      <c r="BK398" s="7" t="e">
        <f t="shared" si="82"/>
        <v>#N/A</v>
      </c>
      <c r="BL398" s="7" t="e">
        <f t="shared" si="79"/>
        <v>#N/A</v>
      </c>
    </row>
    <row r="399" spans="2:64" ht="11.25" customHeight="1">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7">
        <f t="shared" si="70"/>
        <v>1.3209383807253561E-2</v>
      </c>
      <c r="BA399" s="7">
        <f t="shared" si="80"/>
        <v>-2.2200000000000806</v>
      </c>
      <c r="BB399" s="7">
        <f t="shared" si="71"/>
        <v>3.3940763182443115E-2</v>
      </c>
      <c r="BC399" s="7" t="e">
        <f t="shared" si="72"/>
        <v>#N/A</v>
      </c>
      <c r="BD399" s="7">
        <f t="shared" si="73"/>
        <v>-2.2200100000000806</v>
      </c>
      <c r="BE399" s="7">
        <f t="shared" si="74"/>
        <v>-2.2199900000000805</v>
      </c>
      <c r="BF399" s="7">
        <f t="shared" si="75"/>
        <v>2.5346843654723606E-2</v>
      </c>
      <c r="BG399" s="7">
        <f t="shared" si="76"/>
        <v>2.5347702722835225E-2</v>
      </c>
      <c r="BH399" s="7" t="e">
        <f t="shared" si="77"/>
        <v>#N/A</v>
      </c>
      <c r="BI399" s="7">
        <f t="shared" si="81"/>
        <v>3.3940763182443115E-2</v>
      </c>
      <c r="BJ399" s="7">
        <f t="shared" si="78"/>
        <v>3.2940763182443114E-2</v>
      </c>
      <c r="BK399" s="7" t="e">
        <f t="shared" si="82"/>
        <v>#N/A</v>
      </c>
      <c r="BL399" s="7" t="e">
        <f t="shared" si="79"/>
        <v>#N/A</v>
      </c>
    </row>
    <row r="400" spans="2:64" ht="11.25" customHeight="1">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7">
        <f t="shared" si="70"/>
        <v>1.3552581146417109E-2</v>
      </c>
      <c r="BA400" s="7">
        <f t="shared" si="80"/>
        <v>-2.2100000000000808</v>
      </c>
      <c r="BB400" s="7">
        <f t="shared" si="71"/>
        <v>3.4700938953912623E-2</v>
      </c>
      <c r="BC400" s="7" t="e">
        <f t="shared" si="72"/>
        <v>#N/A</v>
      </c>
      <c r="BD400" s="7">
        <f t="shared" si="73"/>
        <v>-2.2100100000000809</v>
      </c>
      <c r="BE400" s="7">
        <f t="shared" si="74"/>
        <v>-2.2099900000000807</v>
      </c>
      <c r="BF400" s="7">
        <f t="shared" si="75"/>
        <v>2.57799012213288E-2</v>
      </c>
      <c r="BG400" s="7">
        <f t="shared" si="76"/>
        <v>2.5780774446725562E-2</v>
      </c>
      <c r="BH400" s="7" t="e">
        <f t="shared" si="77"/>
        <v>#N/A</v>
      </c>
      <c r="BI400" s="7">
        <f t="shared" si="81"/>
        <v>3.4700938953912623E-2</v>
      </c>
      <c r="BJ400" s="7">
        <f t="shared" si="78"/>
        <v>3.3700938953912622E-2</v>
      </c>
      <c r="BK400" s="7" t="e">
        <f t="shared" si="82"/>
        <v>#N/A</v>
      </c>
      <c r="BL400" s="7" t="e">
        <f t="shared" si="79"/>
        <v>#N/A</v>
      </c>
    </row>
    <row r="401" spans="2:64" ht="11.25" customHeight="1">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c r="AO401" s="6"/>
      <c r="AP401" s="6"/>
      <c r="AQ401" s="6"/>
      <c r="AR401" s="6"/>
      <c r="AS401" s="6"/>
      <c r="AT401" s="6"/>
      <c r="AU401" s="6"/>
      <c r="AV401" s="6"/>
      <c r="AW401" s="6"/>
      <c r="AX401" s="6"/>
      <c r="AY401" s="6"/>
      <c r="AZ401" s="7">
        <f t="shared" si="70"/>
        <v>1.3903447513495815E-2</v>
      </c>
      <c r="BA401" s="7">
        <f t="shared" si="80"/>
        <v>-2.200000000000081</v>
      </c>
      <c r="BB401" s="7">
        <f t="shared" si="71"/>
        <v>3.5474592846225117E-2</v>
      </c>
      <c r="BC401" s="7" t="e">
        <f t="shared" si="72"/>
        <v>#N/A</v>
      </c>
      <c r="BD401" s="7">
        <f t="shared" si="73"/>
        <v>-2.2000100000000811</v>
      </c>
      <c r="BE401" s="7">
        <f t="shared" si="74"/>
        <v>-2.1999900000000809</v>
      </c>
      <c r="BF401" s="7">
        <f t="shared" si="75"/>
        <v>2.6220089915808358E-2</v>
      </c>
      <c r="BG401" s="7">
        <f t="shared" si="76"/>
        <v>2.6220977509252019E-2</v>
      </c>
      <c r="BH401" s="7" t="e">
        <f t="shared" si="77"/>
        <v>#N/A</v>
      </c>
      <c r="BI401" s="7">
        <f t="shared" si="81"/>
        <v>3.5474592846225117E-2</v>
      </c>
      <c r="BJ401" s="7">
        <f t="shared" si="78"/>
        <v>3.4474592846225116E-2</v>
      </c>
      <c r="BK401" s="7" t="e">
        <f t="shared" si="82"/>
        <v>#N/A</v>
      </c>
      <c r="BL401" s="7" t="e">
        <f t="shared" si="79"/>
        <v>#N/A</v>
      </c>
    </row>
    <row r="402" spans="2:64" ht="11.25" customHeight="1">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7">
        <f t="shared" si="70"/>
        <v>1.4262118410665825E-2</v>
      </c>
      <c r="BA402" s="7">
        <f t="shared" si="80"/>
        <v>-2.1900000000000812</v>
      </c>
      <c r="BB402" s="7">
        <f t="shared" si="71"/>
        <v>3.6261868904899776E-2</v>
      </c>
      <c r="BC402" s="7" t="e">
        <f t="shared" si="72"/>
        <v>#N/A</v>
      </c>
      <c r="BD402" s="7">
        <f t="shared" si="73"/>
        <v>-2.1900100000000813</v>
      </c>
      <c r="BE402" s="7">
        <f t="shared" si="74"/>
        <v>-2.1899900000000811</v>
      </c>
      <c r="BF402" s="7">
        <f t="shared" si="75"/>
        <v>2.6667515716869324E-2</v>
      </c>
      <c r="BG402" s="7">
        <f t="shared" si="76"/>
        <v>2.666841789151856E-2</v>
      </c>
      <c r="BH402" s="7" t="e">
        <f t="shared" si="77"/>
        <v>#N/A</v>
      </c>
      <c r="BI402" s="7">
        <f t="shared" si="81"/>
        <v>3.6261868904899776E-2</v>
      </c>
      <c r="BJ402" s="7">
        <f t="shared" si="78"/>
        <v>3.5261868904899775E-2</v>
      </c>
      <c r="BK402" s="7" t="e">
        <f t="shared" si="82"/>
        <v>#N/A</v>
      </c>
      <c r="BL402" s="7" t="e">
        <f t="shared" si="79"/>
        <v>#N/A</v>
      </c>
    </row>
    <row r="403" spans="2:64" ht="11.25" customHeight="1">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c r="AO403" s="6"/>
      <c r="AP403" s="6"/>
      <c r="AQ403" s="6"/>
      <c r="AR403" s="6"/>
      <c r="AS403" s="6"/>
      <c r="AT403" s="6"/>
      <c r="AU403" s="6"/>
      <c r="AV403" s="6"/>
      <c r="AW403" s="6"/>
      <c r="AX403" s="6"/>
      <c r="AY403" s="6"/>
      <c r="AZ403" s="7">
        <f t="shared" si="70"/>
        <v>1.4628730775986032E-2</v>
      </c>
      <c r="BA403" s="7">
        <f t="shared" si="80"/>
        <v>-2.1800000000000814</v>
      </c>
      <c r="BB403" s="7">
        <f t="shared" si="71"/>
        <v>3.7062910247799903E-2</v>
      </c>
      <c r="BC403" s="7" t="e">
        <f t="shared" si="72"/>
        <v>#N/A</v>
      </c>
      <c r="BD403" s="7">
        <f t="shared" si="73"/>
        <v>-2.1800100000000815</v>
      </c>
      <c r="BE403" s="7">
        <f t="shared" si="74"/>
        <v>-2.1799900000000814</v>
      </c>
      <c r="BF403" s="7">
        <f t="shared" si="75"/>
        <v>2.7122286370146985E-2</v>
      </c>
      <c r="BG403" s="7">
        <f t="shared" si="76"/>
        <v>2.7123203341658721E-2</v>
      </c>
      <c r="BH403" s="7" t="e">
        <f t="shared" si="77"/>
        <v>#N/A</v>
      </c>
      <c r="BI403" s="7">
        <f t="shared" si="81"/>
        <v>3.7062910247799903E-2</v>
      </c>
      <c r="BJ403" s="7">
        <f t="shared" si="78"/>
        <v>3.6062910247799902E-2</v>
      </c>
      <c r="BK403" s="7" t="e">
        <f t="shared" si="82"/>
        <v>#N/A</v>
      </c>
      <c r="BL403" s="7" t="e">
        <f t="shared" si="79"/>
        <v>#N/A</v>
      </c>
    </row>
    <row r="404" spans="2:64" ht="11.25" customHeight="1">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7">
        <f t="shared" si="70"/>
        <v>1.5003422973729252E-2</v>
      </c>
      <c r="BA404" s="7">
        <f t="shared" si="80"/>
        <v>-2.1700000000000816</v>
      </c>
      <c r="BB404" s="7">
        <f t="shared" si="71"/>
        <v>3.7877858986670759E-2</v>
      </c>
      <c r="BC404" s="7" t="e">
        <f t="shared" si="72"/>
        <v>#N/A</v>
      </c>
      <c r="BD404" s="7">
        <f t="shared" si="73"/>
        <v>-2.1700100000000817</v>
      </c>
      <c r="BE404" s="7">
        <f t="shared" si="74"/>
        <v>-2.1699900000000816</v>
      </c>
      <c r="BF404" s="7">
        <f t="shared" si="75"/>
        <v>2.758450917129111E-2</v>
      </c>
      <c r="BG404" s="7">
        <f t="shared" si="76"/>
        <v>2.7585441157541486E-2</v>
      </c>
      <c r="BH404" s="7" t="e">
        <f t="shared" si="77"/>
        <v>#N/A</v>
      </c>
      <c r="BI404" s="7">
        <f t="shared" si="81"/>
        <v>3.7877858986670759E-2</v>
      </c>
      <c r="BJ404" s="7">
        <f t="shared" si="78"/>
        <v>3.6877858986670758E-2</v>
      </c>
      <c r="BK404" s="7" t="e">
        <f t="shared" si="82"/>
        <v>#N/A</v>
      </c>
      <c r="BL404" s="7" t="e">
        <f t="shared" si="79"/>
        <v>#N/A</v>
      </c>
    </row>
    <row r="405" spans="2:64" ht="11.25" customHeight="1">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c r="AO405" s="6"/>
      <c r="AP405" s="6"/>
      <c r="AQ405" s="6"/>
      <c r="AR405" s="6"/>
      <c r="AS405" s="6"/>
      <c r="AT405" s="6"/>
      <c r="AU405" s="6"/>
      <c r="AV405" s="6"/>
      <c r="AW405" s="6"/>
      <c r="AX405" s="6"/>
      <c r="AY405" s="6"/>
      <c r="AZ405" s="7">
        <f t="shared" ref="AZ405:AZ468" si="83">NORMDIST(BA405,$BA$17,$BA$18,TRUE)</f>
        <v>1.5386334783922373E-2</v>
      </c>
      <c r="BA405" s="7">
        <f t="shared" si="80"/>
        <v>-2.1600000000000819</v>
      </c>
      <c r="BB405" s="7">
        <f t="shared" ref="BB405:BB468" si="84">IF($BA$13=1,NORMDIST(BA405,$BA$17,$BA$18,FALSE),NA())</f>
        <v>3.8706856147448766E-2</v>
      </c>
      <c r="BC405" s="7" t="e">
        <f t="shared" ref="BC405:BC468" si="85">IF($BA$13=3,NORMDIST(BA405,$BA$17,$BA$18,FALSE),NA())</f>
        <v>#N/A</v>
      </c>
      <c r="BD405" s="7">
        <f t="shared" ref="BD405:BD468" si="86">BA405-$BD$19</f>
        <v>-2.1600100000000819</v>
      </c>
      <c r="BE405" s="7">
        <f t="shared" ref="BE405:BE468" si="87">BA405+$BD$19</f>
        <v>-2.1599900000000818</v>
      </c>
      <c r="BF405" s="7">
        <f t="shared" ref="BF405:BF468" si="88">IF(BD405&lt;0,TDIST(-BD405,$BA$14,1),1-TDIST(BD405,$BA$14,1))</f>
        <v>2.8054294224472254E-2</v>
      </c>
      <c r="BG405" s="7">
        <f t="shared" ref="BG405:BG468" si="89">IF(BE405&lt;0,TDIST(-BE405,$BA$14,1),1-TDIST(BE405,$BA$14,1))</f>
        <v>2.8055241445834322E-2</v>
      </c>
      <c r="BH405" s="7" t="e">
        <f t="shared" ref="BH405:BH468" si="90">IF($BA$13&gt;1,(BG405-BF405)/(2*$BD$19),NA())</f>
        <v>#N/A</v>
      </c>
      <c r="BI405" s="7">
        <f t="shared" si="81"/>
        <v>3.8706856147448766E-2</v>
      </c>
      <c r="BJ405" s="7">
        <f t="shared" ref="BJ405:BJ468" si="91">IF(ISNUMBER(BI405),BI405-$BJ$19,NA())</f>
        <v>3.7706856147448765E-2</v>
      </c>
      <c r="BK405" s="7" t="e">
        <f t="shared" si="82"/>
        <v>#N/A</v>
      </c>
      <c r="BL405" s="7" t="e">
        <f t="shared" ref="BL405:BL468" si="92">IF(ISNUMBER(BK405),BK405-$BL$19,NA())</f>
        <v>#N/A</v>
      </c>
    </row>
    <row r="406" spans="2:64" ht="11.25" customHeight="1">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7">
        <f t="shared" si="83"/>
        <v>1.5777607391087134E-2</v>
      </c>
      <c r="BA406" s="7">
        <f t="shared" ref="BA406:BA469" si="93">BA405+$BD$10</f>
        <v>-2.1500000000000821</v>
      </c>
      <c r="BB406" s="7">
        <f t="shared" si="84"/>
        <v>3.9550041589363226E-2</v>
      </c>
      <c r="BC406" s="7" t="e">
        <f t="shared" si="85"/>
        <v>#N/A</v>
      </c>
      <c r="BD406" s="7">
        <f t="shared" si="86"/>
        <v>-2.1500100000000821</v>
      </c>
      <c r="BE406" s="7">
        <f t="shared" si="87"/>
        <v>-2.149990000000082</v>
      </c>
      <c r="BF406" s="7">
        <f t="shared" si="88"/>
        <v>2.8531752317347985E-2</v>
      </c>
      <c r="BG406" s="7">
        <f t="shared" si="89"/>
        <v>2.8532714996604459E-2</v>
      </c>
      <c r="BH406" s="7" t="e">
        <f t="shared" si="90"/>
        <v>#N/A</v>
      </c>
      <c r="BI406" s="7">
        <f t="shared" ref="BI406:BI469" si="94">IF($BA$15=1,IF(OR(AND(BA406&gt;=$BI$18,$BN$18&gt;=0),AND(BA406&lt;=-$BI$18,$BN$18&lt;0)),BB406,NA()),IF($BA$15=2,IF(ABS(BA406)&gt;=$BI$18,BB406,NA()),NA()))</f>
        <v>3.9550041589363226E-2</v>
      </c>
      <c r="BJ406" s="7">
        <f t="shared" si="91"/>
        <v>3.8550041589363225E-2</v>
      </c>
      <c r="BK406" s="7" t="e">
        <f t="shared" ref="BK406:BK469" si="95">IF($BA$15=1,IF(OR(AND(BA406&gt;=$BK$18,$BN$18&gt;=0),AND(BA406&lt;=-$BK$18,$BN$18&lt;0)),BH406,NA()),IF($BA$15=2,IF(ABS(BA406)&gt;=$BK$18,BH406,NA()),NA()))</f>
        <v>#N/A</v>
      </c>
      <c r="BL406" s="7" t="e">
        <f t="shared" si="92"/>
        <v>#N/A</v>
      </c>
    </row>
    <row r="407" spans="2:64" ht="11.25" customHeight="1">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c r="AO407" s="6"/>
      <c r="AP407" s="6"/>
      <c r="AQ407" s="6"/>
      <c r="AR407" s="6"/>
      <c r="AS407" s="6"/>
      <c r="AT407" s="6"/>
      <c r="AU407" s="6"/>
      <c r="AV407" s="6"/>
      <c r="AW407" s="6"/>
      <c r="AX407" s="6"/>
      <c r="AY407" s="6"/>
      <c r="AZ407" s="7">
        <f t="shared" si="83"/>
        <v>1.617738337216279E-2</v>
      </c>
      <c r="BA407" s="7">
        <f t="shared" si="93"/>
        <v>-2.1400000000000823</v>
      </c>
      <c r="BB407" s="7">
        <f t="shared" si="84"/>
        <v>4.0407553922853195E-2</v>
      </c>
      <c r="BC407" s="7" t="e">
        <f t="shared" si="85"/>
        <v>#N/A</v>
      </c>
      <c r="BD407" s="7">
        <f t="shared" si="86"/>
        <v>-2.1400100000000823</v>
      </c>
      <c r="BE407" s="7">
        <f t="shared" si="87"/>
        <v>-2.1399900000000822</v>
      </c>
      <c r="BF407" s="7">
        <f t="shared" si="88"/>
        <v>2.9016995442729666E-2</v>
      </c>
      <c r="BG407" s="7">
        <f t="shared" si="89"/>
        <v>2.9017973805073934E-2</v>
      </c>
      <c r="BH407" s="7" t="e">
        <f t="shared" si="90"/>
        <v>#N/A</v>
      </c>
      <c r="BI407" s="7">
        <f t="shared" si="94"/>
        <v>4.0407553922853195E-2</v>
      </c>
      <c r="BJ407" s="7">
        <f t="shared" si="91"/>
        <v>3.9407553922853195E-2</v>
      </c>
      <c r="BK407" s="7" t="e">
        <f t="shared" si="95"/>
        <v>#N/A</v>
      </c>
      <c r="BL407" s="7" t="e">
        <f t="shared" si="92"/>
        <v>#N/A</v>
      </c>
    </row>
    <row r="408" spans="2:64" ht="11.25" customHeight="1">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7">
        <f t="shared" si="83"/>
        <v>1.6585806683601767E-2</v>
      </c>
      <c r="BA408" s="7">
        <f t="shared" si="93"/>
        <v>-2.1300000000000825</v>
      </c>
      <c r="BB408" s="7">
        <f t="shared" si="84"/>
        <v>4.1279530426323152E-2</v>
      </c>
      <c r="BC408" s="7" t="e">
        <f t="shared" si="85"/>
        <v>#N/A</v>
      </c>
      <c r="BD408" s="7">
        <f t="shared" si="86"/>
        <v>-2.1300100000000826</v>
      </c>
      <c r="BE408" s="7">
        <f t="shared" si="87"/>
        <v>-2.1299900000000824</v>
      </c>
      <c r="BF408" s="7">
        <f t="shared" si="88"/>
        <v>2.9510136798910052E-2</v>
      </c>
      <c r="BG408" s="7">
        <f t="shared" si="89"/>
        <v>2.9511131071946656E-2</v>
      </c>
      <c r="BH408" s="7" t="e">
        <f t="shared" si="90"/>
        <v>#N/A</v>
      </c>
      <c r="BI408" s="7">
        <f t="shared" si="94"/>
        <v>4.1279530426323152E-2</v>
      </c>
      <c r="BJ408" s="7">
        <f t="shared" si="91"/>
        <v>4.0279530426323151E-2</v>
      </c>
      <c r="BK408" s="7" t="e">
        <f t="shared" si="95"/>
        <v>#N/A</v>
      </c>
      <c r="BL408" s="7" t="e">
        <f t="shared" si="92"/>
        <v>#N/A</v>
      </c>
    </row>
    <row r="409" spans="2:64" ht="11.25" customHeight="1">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c r="AO409" s="6"/>
      <c r="AP409" s="6"/>
      <c r="AQ409" s="6"/>
      <c r="AR409" s="6"/>
      <c r="AS409" s="6"/>
      <c r="AT409" s="6"/>
      <c r="AU409" s="6"/>
      <c r="AV409" s="6"/>
      <c r="AW409" s="6"/>
      <c r="AX409" s="6"/>
      <c r="AY409" s="6"/>
      <c r="AZ409" s="7">
        <f t="shared" si="83"/>
        <v>1.7003022647629318E-2</v>
      </c>
      <c r="BA409" s="7">
        <f t="shared" si="93"/>
        <v>-2.1200000000000827</v>
      </c>
      <c r="BB409" s="7">
        <f t="shared" si="84"/>
        <v>4.2166106961762928E-2</v>
      </c>
      <c r="BC409" s="7" t="e">
        <f t="shared" si="85"/>
        <v>#N/A</v>
      </c>
      <c r="BD409" s="7">
        <f t="shared" si="86"/>
        <v>-2.1200100000000828</v>
      </c>
      <c r="BE409" s="7">
        <f t="shared" si="87"/>
        <v>-2.1199900000000826</v>
      </c>
      <c r="BF409" s="7">
        <f t="shared" si="88"/>
        <v>3.0011290789532297E-2</v>
      </c>
      <c r="BG409" s="7">
        <f t="shared" si="89"/>
        <v>3.0012301203275978E-2</v>
      </c>
      <c r="BH409" s="7" t="e">
        <f t="shared" si="90"/>
        <v>#N/A</v>
      </c>
      <c r="BI409" s="7">
        <f t="shared" si="94"/>
        <v>4.2166106961762928E-2</v>
      </c>
      <c r="BJ409" s="7">
        <f t="shared" si="91"/>
        <v>4.1166106961762927E-2</v>
      </c>
      <c r="BK409" s="7" t="e">
        <f t="shared" si="95"/>
        <v>#N/A</v>
      </c>
      <c r="BL409" s="7" t="e">
        <f t="shared" si="92"/>
        <v>#N/A</v>
      </c>
    </row>
    <row r="410" spans="2:64" ht="11.25" customHeight="1">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7">
        <f t="shared" si="83"/>
        <v>1.7429177937653528E-2</v>
      </c>
      <c r="BA410" s="7">
        <f t="shared" si="93"/>
        <v>-2.1100000000000829</v>
      </c>
      <c r="BB410" s="7">
        <f t="shared" si="84"/>
        <v>4.3067417889258199E-2</v>
      </c>
      <c r="BC410" s="7" t="e">
        <f t="shared" si="85"/>
        <v>#N/A</v>
      </c>
      <c r="BD410" s="7">
        <f t="shared" si="86"/>
        <v>-2.110010000000083</v>
      </c>
      <c r="BE410" s="7">
        <f t="shared" si="87"/>
        <v>-2.1099900000000829</v>
      </c>
      <c r="BF410" s="7">
        <f t="shared" si="88"/>
        <v>3.0520573022984981E-2</v>
      </c>
      <c r="BG410" s="7">
        <f t="shared" si="89"/>
        <v>3.0521599809859006E-2</v>
      </c>
      <c r="BH410" s="7" t="e">
        <f t="shared" si="90"/>
        <v>#N/A</v>
      </c>
      <c r="BI410" s="7">
        <f t="shared" si="94"/>
        <v>4.3067417889258199E-2</v>
      </c>
      <c r="BJ410" s="7">
        <f t="shared" si="91"/>
        <v>4.2067417889258198E-2</v>
      </c>
      <c r="BK410" s="7" t="e">
        <f t="shared" si="95"/>
        <v>#N/A</v>
      </c>
      <c r="BL410" s="7" t="e">
        <f t="shared" si="92"/>
        <v>#N/A</v>
      </c>
    </row>
    <row r="411" spans="2:64" ht="11.25" customHeight="1">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c r="AO411" s="6"/>
      <c r="AP411" s="6"/>
      <c r="AQ411" s="6"/>
      <c r="AR411" s="6"/>
      <c r="AS411" s="6"/>
      <c r="AT411" s="6"/>
      <c r="AU411" s="6"/>
      <c r="AV411" s="6"/>
      <c r="AW411" s="6"/>
      <c r="AX411" s="6"/>
      <c r="AY411" s="6"/>
      <c r="AZ411" s="7">
        <f t="shared" si="83"/>
        <v>1.7864420562812899E-2</v>
      </c>
      <c r="BA411" s="7">
        <f t="shared" si="93"/>
        <v>-2.1000000000000831</v>
      </c>
      <c r="BB411" s="7">
        <f t="shared" si="84"/>
        <v>4.3983595980419517E-2</v>
      </c>
      <c r="BC411" s="7" t="e">
        <f t="shared" si="85"/>
        <v>#N/A</v>
      </c>
      <c r="BD411" s="7">
        <f t="shared" si="86"/>
        <v>-2.1000100000000832</v>
      </c>
      <c r="BE411" s="7">
        <f t="shared" si="87"/>
        <v>-2.0999900000000831</v>
      </c>
      <c r="BF411" s="7">
        <f t="shared" si="88"/>
        <v>3.1038100311309973E-2</v>
      </c>
      <c r="BG411" s="7">
        <f t="shared" si="89"/>
        <v>3.1039143706143579E-2</v>
      </c>
      <c r="BH411" s="7" t="e">
        <f t="shared" si="90"/>
        <v>#N/A</v>
      </c>
      <c r="BI411" s="7">
        <f t="shared" si="94"/>
        <v>4.3983595980419517E-2</v>
      </c>
      <c r="BJ411" s="7">
        <f t="shared" si="91"/>
        <v>4.2983595980419516E-2</v>
      </c>
      <c r="BK411" s="7" t="e">
        <f t="shared" si="95"/>
        <v>#N/A</v>
      </c>
      <c r="BL411" s="7" t="e">
        <f t="shared" si="92"/>
        <v>#N/A</v>
      </c>
    </row>
    <row r="412" spans="2:64" ht="11.25" customHeight="1">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7">
        <f t="shared" si="83"/>
        <v>1.830889985165518E-2</v>
      </c>
      <c r="BA412" s="7">
        <f t="shared" si="93"/>
        <v>-2.0900000000000833</v>
      </c>
      <c r="BB412" s="7">
        <f t="shared" si="84"/>
        <v>4.4914772330759252E-2</v>
      </c>
      <c r="BC412" s="7" t="e">
        <f t="shared" si="85"/>
        <v>#N/A</v>
      </c>
      <c r="BD412" s="7">
        <f t="shared" si="86"/>
        <v>-2.0900100000000834</v>
      </c>
      <c r="BE412" s="7">
        <f t="shared" si="87"/>
        <v>-2.0899900000000833</v>
      </c>
      <c r="BF412" s="7">
        <f t="shared" si="88"/>
        <v>3.1563990668608093E-2</v>
      </c>
      <c r="BG412" s="7">
        <f t="shared" si="89"/>
        <v>3.1565050908632472E-2</v>
      </c>
      <c r="BH412" s="7" t="e">
        <f t="shared" si="90"/>
        <v>#N/A</v>
      </c>
      <c r="BI412" s="7">
        <f t="shared" si="94"/>
        <v>4.4914772330759252E-2</v>
      </c>
      <c r="BJ412" s="7">
        <f t="shared" si="91"/>
        <v>4.3914772330759251E-2</v>
      </c>
      <c r="BK412" s="7" t="e">
        <f t="shared" si="95"/>
        <v>#N/A</v>
      </c>
      <c r="BL412" s="7" t="e">
        <f t="shared" si="92"/>
        <v>#N/A</v>
      </c>
    </row>
    <row r="413" spans="2:64" ht="11.25" customHeight="1">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c r="AO413" s="6"/>
      <c r="AP413" s="6"/>
      <c r="AQ413" s="6"/>
      <c r="AR413" s="6"/>
      <c r="AS413" s="6"/>
      <c r="AT413" s="6"/>
      <c r="AU413" s="6"/>
      <c r="AV413" s="6"/>
      <c r="AW413" s="6"/>
      <c r="AX413" s="6"/>
      <c r="AY413" s="6"/>
      <c r="AZ413" s="7">
        <f t="shared" si="83"/>
        <v>1.8762766434934131E-2</v>
      </c>
      <c r="BA413" s="7">
        <f t="shared" si="93"/>
        <v>-2.0800000000000836</v>
      </c>
      <c r="BB413" s="7">
        <f t="shared" si="84"/>
        <v>4.5861076271046915E-2</v>
      </c>
      <c r="BC413" s="7" t="e">
        <f t="shared" si="85"/>
        <v>#N/A</v>
      </c>
      <c r="BD413" s="7">
        <f t="shared" si="86"/>
        <v>-2.0800100000000836</v>
      </c>
      <c r="BE413" s="7">
        <f t="shared" si="87"/>
        <v>-2.0799900000000835</v>
      </c>
      <c r="BF413" s="7">
        <f t="shared" si="88"/>
        <v>3.2098363308926778E-2</v>
      </c>
      <c r="BG413" s="7">
        <f t="shared" si="89"/>
        <v>3.2099440633770786E-2</v>
      </c>
      <c r="BH413" s="7" t="e">
        <f t="shared" si="90"/>
        <v>#N/A</v>
      </c>
      <c r="BI413" s="7">
        <f t="shared" si="94"/>
        <v>4.5861076271046915E-2</v>
      </c>
      <c r="BJ413" s="7">
        <f t="shared" si="91"/>
        <v>4.4861076271046914E-2</v>
      </c>
      <c r="BK413" s="7" t="e">
        <f t="shared" si="95"/>
        <v>#N/A</v>
      </c>
      <c r="BL413" s="7" t="e">
        <f t="shared" si="92"/>
        <v>#N/A</v>
      </c>
    </row>
    <row r="414" spans="2:64" ht="11.25" customHeight="1">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7">
        <f t="shared" si="83"/>
        <v>1.9226172227513438E-2</v>
      </c>
      <c r="BA414" s="7">
        <f t="shared" si="93"/>
        <v>-2.0700000000000838</v>
      </c>
      <c r="BB414" s="7">
        <f t="shared" si="84"/>
        <v>4.682263527767503E-2</v>
      </c>
      <c r="BC414" s="7" t="e">
        <f t="shared" si="85"/>
        <v>#N/A</v>
      </c>
      <c r="BD414" s="7">
        <f t="shared" si="86"/>
        <v>-2.0700100000000838</v>
      </c>
      <c r="BE414" s="7">
        <f t="shared" si="87"/>
        <v>-2.0699900000000837</v>
      </c>
      <c r="BF414" s="7">
        <f t="shared" si="88"/>
        <v>3.264133864361643E-2</v>
      </c>
      <c r="BG414" s="7">
        <f t="shared" si="89"/>
        <v>3.2642433295300394E-2</v>
      </c>
      <c r="BH414" s="7" t="e">
        <f t="shared" si="90"/>
        <v>#N/A</v>
      </c>
      <c r="BI414" s="7">
        <f t="shared" si="94"/>
        <v>4.682263527767503E-2</v>
      </c>
      <c r="BJ414" s="7">
        <f t="shared" si="91"/>
        <v>4.5822635277675029E-2</v>
      </c>
      <c r="BK414" s="7" t="e">
        <f t="shared" si="95"/>
        <v>#N/A</v>
      </c>
      <c r="BL414" s="7" t="e">
        <f t="shared" si="92"/>
        <v>#N/A</v>
      </c>
    </row>
    <row r="415" spans="2:64" ht="11.25" customHeight="1">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c r="AO415" s="6"/>
      <c r="AP415" s="6"/>
      <c r="AQ415" s="6"/>
      <c r="AR415" s="6"/>
      <c r="AS415" s="6"/>
      <c r="AT415" s="6"/>
      <c r="AU415" s="6"/>
      <c r="AV415" s="6"/>
      <c r="AW415" s="6"/>
      <c r="AX415" s="6"/>
      <c r="AY415" s="6"/>
      <c r="AZ415" s="7">
        <f t="shared" si="83"/>
        <v>1.9699270409372804E-2</v>
      </c>
      <c r="BA415" s="7">
        <f t="shared" si="93"/>
        <v>-2.060000000000084</v>
      </c>
      <c r="BB415" s="7">
        <f t="shared" si="84"/>
        <v>4.7799574882068749E-2</v>
      </c>
      <c r="BC415" s="7" t="e">
        <f t="shared" si="85"/>
        <v>#N/A</v>
      </c>
      <c r="BD415" s="7">
        <f t="shared" si="86"/>
        <v>-2.0600100000000841</v>
      </c>
      <c r="BE415" s="7">
        <f t="shared" si="87"/>
        <v>-2.0599900000000839</v>
      </c>
      <c r="BF415" s="7">
        <f t="shared" si="88"/>
        <v>3.3193038278138964E-2</v>
      </c>
      <c r="BG415" s="7">
        <f t="shared" si="89"/>
        <v>3.3194150501067936E-2</v>
      </c>
      <c r="BH415" s="7" t="e">
        <f t="shared" si="90"/>
        <v>#N/A</v>
      </c>
      <c r="BI415" s="7">
        <f t="shared" si="94"/>
        <v>4.7799574882068749E-2</v>
      </c>
      <c r="BJ415" s="7">
        <f t="shared" si="91"/>
        <v>4.6799574882068748E-2</v>
      </c>
      <c r="BK415" s="7" t="e">
        <f t="shared" si="95"/>
        <v>#N/A</v>
      </c>
      <c r="BL415" s="7" t="e">
        <f t="shared" si="92"/>
        <v>#N/A</v>
      </c>
    </row>
    <row r="416" spans="2:64" ht="11.25" customHeight="1">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7">
        <f t="shared" si="83"/>
        <v>2.018221540570031E-2</v>
      </c>
      <c r="BA416" s="7">
        <f t="shared" si="93"/>
        <v>-2.0500000000000842</v>
      </c>
      <c r="BB416" s="7">
        <f t="shared" si="84"/>
        <v>4.8792018579174326E-2</v>
      </c>
      <c r="BC416" s="7" t="e">
        <f t="shared" si="85"/>
        <v>#N/A</v>
      </c>
      <c r="BD416" s="7">
        <f t="shared" si="86"/>
        <v>-2.0500100000000843</v>
      </c>
      <c r="BE416" s="7">
        <f t="shared" si="87"/>
        <v>-2.0499900000000841</v>
      </c>
      <c r="BF416" s="7">
        <f t="shared" si="88"/>
        <v>3.3753585008313935E-2</v>
      </c>
      <c r="BG416" s="7">
        <f t="shared" si="89"/>
        <v>3.3754715049269503E-2</v>
      </c>
      <c r="BH416" s="7" t="e">
        <f t="shared" si="90"/>
        <v>#N/A</v>
      </c>
      <c r="BI416" s="7">
        <f t="shared" si="94"/>
        <v>4.8792018579174326E-2</v>
      </c>
      <c r="BJ416" s="7">
        <f t="shared" si="91"/>
        <v>4.7792018579174325E-2</v>
      </c>
      <c r="BK416" s="7" t="e">
        <f t="shared" si="95"/>
        <v>#N/A</v>
      </c>
      <c r="BL416" s="7" t="e">
        <f t="shared" si="92"/>
        <v>#N/A</v>
      </c>
    </row>
    <row r="417" spans="2:64" ht="11.25" customHeight="1">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c r="AO417" s="6"/>
      <c r="AP417" s="6"/>
      <c r="AQ417" s="6"/>
      <c r="AR417" s="6"/>
      <c r="AS417" s="6"/>
      <c r="AT417" s="6"/>
      <c r="AU417" s="6"/>
      <c r="AV417" s="6"/>
      <c r="AW417" s="6"/>
      <c r="AX417" s="6"/>
      <c r="AY417" s="6"/>
      <c r="AZ417" s="7">
        <f t="shared" si="83"/>
        <v>2.0675162866065744E-2</v>
      </c>
      <c r="BA417" s="7">
        <f t="shared" si="93"/>
        <v>-2.0400000000000844</v>
      </c>
      <c r="BB417" s="7">
        <f t="shared" si="84"/>
        <v>4.9800087735062185E-2</v>
      </c>
      <c r="BC417" s="7" t="e">
        <f t="shared" si="85"/>
        <v>#N/A</v>
      </c>
      <c r="BD417" s="7">
        <f t="shared" si="86"/>
        <v>-2.0400100000000845</v>
      </c>
      <c r="BE417" s="7">
        <f t="shared" si="87"/>
        <v>-2.0399900000000843</v>
      </c>
      <c r="BF417" s="7">
        <f t="shared" si="88"/>
        <v>3.4323102815986821E-2</v>
      </c>
      <c r="BG417" s="7">
        <f t="shared" si="89"/>
        <v>3.4324250924117755E-2</v>
      </c>
      <c r="BH417" s="7" t="e">
        <f t="shared" si="90"/>
        <v>#N/A</v>
      </c>
      <c r="BI417" s="7">
        <f t="shared" si="94"/>
        <v>4.9800087735062185E-2</v>
      </c>
      <c r="BJ417" s="7">
        <f t="shared" si="91"/>
        <v>4.8800087735062184E-2</v>
      </c>
      <c r="BK417" s="7" t="e">
        <f t="shared" si="95"/>
        <v>#N/A</v>
      </c>
      <c r="BL417" s="7" t="e">
        <f t="shared" si="92"/>
        <v>#N/A</v>
      </c>
    </row>
    <row r="418" spans="2:64" ht="11.25" customHeight="1">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7">
        <f t="shared" si="83"/>
        <v>2.1178269642668113E-2</v>
      </c>
      <c r="BA418" s="7">
        <f t="shared" si="93"/>
        <v>-2.0300000000000846</v>
      </c>
      <c r="BB418" s="7">
        <f t="shared" si="84"/>
        <v>5.082390149368244E-2</v>
      </c>
      <c r="BC418" s="7" t="e">
        <f t="shared" si="85"/>
        <v>#N/A</v>
      </c>
      <c r="BD418" s="7">
        <f t="shared" si="86"/>
        <v>-2.0300100000000847</v>
      </c>
      <c r="BE418" s="7">
        <f t="shared" si="87"/>
        <v>-2.0299900000000846</v>
      </c>
      <c r="BF418" s="7">
        <f t="shared" si="88"/>
        <v>3.4901716864103038E-2</v>
      </c>
      <c r="BG418" s="7">
        <f t="shared" si="89"/>
        <v>3.4902883290915176E-2</v>
      </c>
      <c r="BH418" s="7" t="e">
        <f t="shared" si="90"/>
        <v>#N/A</v>
      </c>
      <c r="BI418" s="7">
        <f t="shared" si="94"/>
        <v>5.082390149368244E-2</v>
      </c>
      <c r="BJ418" s="7">
        <f t="shared" si="91"/>
        <v>4.9823901493682439E-2</v>
      </c>
      <c r="BK418" s="7" t="e">
        <f t="shared" si="95"/>
        <v>#N/A</v>
      </c>
      <c r="BL418" s="7" t="e">
        <f t="shared" si="92"/>
        <v>#N/A</v>
      </c>
    </row>
    <row r="419" spans="2:64" ht="11.25" customHeight="1">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c r="AO419" s="6"/>
      <c r="AP419" s="6"/>
      <c r="AQ419" s="6"/>
      <c r="AR419" s="6"/>
      <c r="AS419" s="6"/>
      <c r="AT419" s="6"/>
      <c r="AU419" s="6"/>
      <c r="AV419" s="6"/>
      <c r="AW419" s="6"/>
      <c r="AX419" s="6"/>
      <c r="AY419" s="6"/>
      <c r="AZ419" s="7">
        <f t="shared" si="83"/>
        <v>2.1691693767642573E-2</v>
      </c>
      <c r="BA419" s="7">
        <f t="shared" si="93"/>
        <v>-2.0200000000000848</v>
      </c>
      <c r="BB419" s="7">
        <f t="shared" si="84"/>
        <v>5.186357668281167E-2</v>
      </c>
      <c r="BC419" s="7" t="e">
        <f t="shared" si="85"/>
        <v>#N/A</v>
      </c>
      <c r="BD419" s="7">
        <f t="shared" si="86"/>
        <v>-2.0200100000000849</v>
      </c>
      <c r="BE419" s="7">
        <f t="shared" si="87"/>
        <v>-2.0199900000000848</v>
      </c>
      <c r="BF419" s="7">
        <f t="shared" si="88"/>
        <v>3.5489553491174101E-2</v>
      </c>
      <c r="BG419" s="7">
        <f t="shared" si="89"/>
        <v>3.5490738490518356E-2</v>
      </c>
      <c r="BH419" s="7" t="e">
        <f t="shared" si="90"/>
        <v>#N/A</v>
      </c>
      <c r="BI419" s="7">
        <f t="shared" si="94"/>
        <v>5.186357668281167E-2</v>
      </c>
      <c r="BJ419" s="7">
        <f t="shared" si="91"/>
        <v>5.0863576682811669E-2</v>
      </c>
      <c r="BK419" s="7" t="e">
        <f t="shared" si="95"/>
        <v>#N/A</v>
      </c>
      <c r="BL419" s="7" t="e">
        <f t="shared" si="92"/>
        <v>#N/A</v>
      </c>
    </row>
    <row r="420" spans="2:64" ht="11.25" customHeight="1">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7">
        <f t="shared" si="83"/>
        <v>2.2215594429427221E-2</v>
      </c>
      <c r="BA420" s="7">
        <f t="shared" si="93"/>
        <v>-2.0100000000000851</v>
      </c>
      <c r="BB420" s="7">
        <f t="shared" si="84"/>
        <v>5.2919227719231236E-2</v>
      </c>
      <c r="BC420" s="7" t="e">
        <f t="shared" si="85"/>
        <v>#N/A</v>
      </c>
      <c r="BD420" s="7">
        <f t="shared" si="86"/>
        <v>-2.0100100000000851</v>
      </c>
      <c r="BE420" s="7">
        <f t="shared" si="87"/>
        <v>-2.009990000000085</v>
      </c>
      <c r="BF420" s="7">
        <f t="shared" si="88"/>
        <v>3.608674020511736E-2</v>
      </c>
      <c r="BG420" s="7">
        <f t="shared" si="89"/>
        <v>3.6087944033176958E-2</v>
      </c>
      <c r="BH420" s="7" t="e">
        <f t="shared" si="90"/>
        <v>#N/A</v>
      </c>
      <c r="BI420" s="7">
        <f t="shared" si="94"/>
        <v>5.2919227719231236E-2</v>
      </c>
      <c r="BJ420" s="7">
        <f t="shared" si="91"/>
        <v>5.1919227719231235E-2</v>
      </c>
      <c r="BK420" s="7" t="e">
        <f t="shared" si="95"/>
        <v>#N/A</v>
      </c>
      <c r="BL420" s="7" t="e">
        <f t="shared" si="92"/>
        <v>#N/A</v>
      </c>
    </row>
    <row r="421" spans="2:64" ht="11.25" customHeight="1">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c r="AO421" s="6"/>
      <c r="AP421" s="6"/>
      <c r="AQ421" s="6"/>
      <c r="AR421" s="6"/>
      <c r="AS421" s="6"/>
      <c r="AT421" s="6"/>
      <c r="AU421" s="6"/>
      <c r="AV421" s="6"/>
      <c r="AW421" s="6"/>
      <c r="AX421" s="6"/>
      <c r="AY421" s="6"/>
      <c r="AZ421" s="7">
        <f t="shared" si="83"/>
        <v>2.2750131948174657E-2</v>
      </c>
      <c r="BA421" s="7">
        <f t="shared" si="93"/>
        <v>-2.0000000000000853</v>
      </c>
      <c r="BB421" s="7">
        <f t="shared" si="84"/>
        <v>5.3990966513178841E-2</v>
      </c>
      <c r="BC421" s="7" t="e">
        <f t="shared" si="85"/>
        <v>#N/A</v>
      </c>
      <c r="BD421" s="7">
        <f t="shared" si="86"/>
        <v>-2.0000100000000853</v>
      </c>
      <c r="BE421" s="7">
        <f t="shared" si="87"/>
        <v>-1.9999900000000852</v>
      </c>
      <c r="BF421" s="7">
        <f t="shared" si="88"/>
        <v>3.6693405676456042E-2</v>
      </c>
      <c r="BG421" s="7">
        <f t="shared" si="89"/>
        <v>3.6694628591732011E-2</v>
      </c>
      <c r="BH421" s="7" t="e">
        <f t="shared" si="90"/>
        <v>#N/A</v>
      </c>
      <c r="BI421" s="7">
        <f t="shared" si="94"/>
        <v>5.3990966513178841E-2</v>
      </c>
      <c r="BJ421" s="7">
        <f t="shared" si="91"/>
        <v>5.299096651317884E-2</v>
      </c>
      <c r="BK421" s="7" t="e">
        <f t="shared" si="95"/>
        <v>#N/A</v>
      </c>
      <c r="BL421" s="7" t="e">
        <f t="shared" si="92"/>
        <v>#N/A</v>
      </c>
    </row>
    <row r="422" spans="2:64" ht="11.25" customHeight="1">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7">
        <f t="shared" si="83"/>
        <v>2.3295467750207188E-2</v>
      </c>
      <c r="BA422" s="7">
        <f t="shared" si="93"/>
        <v>-1.9900000000000853</v>
      </c>
      <c r="BB422" s="7">
        <f t="shared" si="84"/>
        <v>5.5078902372116413E-2</v>
      </c>
      <c r="BC422" s="7" t="e">
        <f t="shared" si="85"/>
        <v>#N/A</v>
      </c>
      <c r="BD422" s="7">
        <f t="shared" si="86"/>
        <v>-1.9900100000000853</v>
      </c>
      <c r="BE422" s="7">
        <f t="shared" si="87"/>
        <v>-1.9899900000000852</v>
      </c>
      <c r="BF422" s="7">
        <f t="shared" si="88"/>
        <v>3.7309679730861668E-2</v>
      </c>
      <c r="BG422" s="7">
        <f t="shared" si="89"/>
        <v>3.7310921994157489E-2</v>
      </c>
      <c r="BH422" s="7" t="e">
        <f t="shared" si="90"/>
        <v>#N/A</v>
      </c>
      <c r="BI422" s="7">
        <f t="shared" si="94"/>
        <v>5.5078902372116413E-2</v>
      </c>
      <c r="BJ422" s="7">
        <f t="shared" si="91"/>
        <v>5.4078902372116412E-2</v>
      </c>
      <c r="BK422" s="7" t="e">
        <f t="shared" si="95"/>
        <v>#N/A</v>
      </c>
      <c r="BL422" s="7" t="e">
        <f t="shared" si="92"/>
        <v>#N/A</v>
      </c>
    </row>
    <row r="423" spans="2:64" ht="11.25" customHeight="1">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c r="AO423" s="6"/>
      <c r="AP423" s="6"/>
      <c r="AQ423" s="6"/>
      <c r="AR423" s="6"/>
      <c r="AS423" s="6"/>
      <c r="AT423" s="6"/>
      <c r="AU423" s="6"/>
      <c r="AV423" s="6"/>
      <c r="AW423" s="6"/>
      <c r="AX423" s="6"/>
      <c r="AY423" s="6"/>
      <c r="AZ423" s="7">
        <f t="shared" si="83"/>
        <v>2.3851764341503712E-2</v>
      </c>
      <c r="BA423" s="7">
        <f t="shared" si="93"/>
        <v>-1.9800000000000852</v>
      </c>
      <c r="BB423" s="7">
        <f t="shared" si="84"/>
        <v>5.6183141903858549E-2</v>
      </c>
      <c r="BC423" s="7" t="e">
        <f t="shared" si="85"/>
        <v>#N/A</v>
      </c>
      <c r="BD423" s="7">
        <f t="shared" si="86"/>
        <v>-1.9800100000000853</v>
      </c>
      <c r="BE423" s="7">
        <f t="shared" si="87"/>
        <v>-1.9799900000000852</v>
      </c>
      <c r="BF423" s="7">
        <f t="shared" si="88"/>
        <v>3.7935693341024174E-2</v>
      </c>
      <c r="BG423" s="7">
        <f t="shared" si="89"/>
        <v>3.793695521542869E-2</v>
      </c>
      <c r="BH423" s="7" t="e">
        <f t="shared" si="90"/>
        <v>#N/A</v>
      </c>
      <c r="BI423" s="7">
        <f t="shared" si="94"/>
        <v>5.6183141903858549E-2</v>
      </c>
      <c r="BJ423" s="7">
        <f t="shared" si="91"/>
        <v>5.5183141903858549E-2</v>
      </c>
      <c r="BK423" s="7" t="e">
        <f t="shared" si="95"/>
        <v>#N/A</v>
      </c>
      <c r="BL423" s="7" t="e">
        <f t="shared" si="92"/>
        <v>#N/A</v>
      </c>
    </row>
    <row r="424" spans="2:64" ht="11.25" customHeight="1">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7">
        <f t="shared" si="83"/>
        <v>2.441918528021747E-2</v>
      </c>
      <c r="BA424" s="7">
        <f t="shared" si="93"/>
        <v>-1.9700000000000852</v>
      </c>
      <c r="BB424" s="7">
        <f t="shared" si="84"/>
        <v>5.73037889191075E-2</v>
      </c>
      <c r="BC424" s="7" t="e">
        <f t="shared" si="85"/>
        <v>#N/A</v>
      </c>
      <c r="BD424" s="7">
        <f t="shared" si="86"/>
        <v>-1.9700100000000853</v>
      </c>
      <c r="BE424" s="7">
        <f t="shared" si="87"/>
        <v>-1.9699900000000852</v>
      </c>
      <c r="BF424" s="7">
        <f t="shared" si="88"/>
        <v>3.8571578617832732E-2</v>
      </c>
      <c r="BG424" s="7">
        <f t="shared" si="89"/>
        <v>3.8572860368702042E-2</v>
      </c>
      <c r="BH424" s="7" t="e">
        <f t="shared" si="90"/>
        <v>#N/A</v>
      </c>
      <c r="BI424" s="7">
        <f t="shared" si="94"/>
        <v>5.73037889191075E-2</v>
      </c>
      <c r="BJ424" s="7">
        <f t="shared" si="91"/>
        <v>5.6303788919107499E-2</v>
      </c>
      <c r="BK424" s="7" t="e">
        <f t="shared" si="95"/>
        <v>#N/A</v>
      </c>
      <c r="BL424" s="7" t="e">
        <f t="shared" si="92"/>
        <v>#N/A</v>
      </c>
    </row>
    <row r="425" spans="2:64" ht="11.25" customHeight="1">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c r="AO425" s="6"/>
      <c r="AP425" s="6"/>
      <c r="AQ425" s="6"/>
      <c r="AR425" s="6"/>
      <c r="AS425" s="6"/>
      <c r="AT425" s="6"/>
      <c r="AU425" s="6"/>
      <c r="AV425" s="6"/>
      <c r="AW425" s="6"/>
      <c r="AX425" s="6"/>
      <c r="AY425" s="6"/>
      <c r="AZ425" s="7">
        <f t="shared" si="83"/>
        <v>2.4997895148215488E-2</v>
      </c>
      <c r="BA425" s="7">
        <f t="shared" si="93"/>
        <v>-1.9600000000000852</v>
      </c>
      <c r="BB425" s="7">
        <f t="shared" si="84"/>
        <v>5.8440944333441699E-2</v>
      </c>
      <c r="BC425" s="7" t="e">
        <f t="shared" si="85"/>
        <v>#N/A</v>
      </c>
      <c r="BD425" s="7">
        <f t="shared" si="86"/>
        <v>-1.9600100000000853</v>
      </c>
      <c r="BE425" s="7">
        <f t="shared" si="87"/>
        <v>-1.9599900000000852</v>
      </c>
      <c r="BF425" s="7">
        <f t="shared" si="88"/>
        <v>3.9217468800851515E-2</v>
      </c>
      <c r="BG425" s="7">
        <f t="shared" si="89"/>
        <v>3.9218770695788961E-2</v>
      </c>
      <c r="BH425" s="7" t="e">
        <f t="shared" si="90"/>
        <v>#N/A</v>
      </c>
      <c r="BI425" s="7" t="e">
        <f t="shared" si="94"/>
        <v>#N/A</v>
      </c>
      <c r="BJ425" s="7" t="e">
        <f t="shared" si="91"/>
        <v>#N/A</v>
      </c>
      <c r="BK425" s="7" t="e">
        <f t="shared" si="95"/>
        <v>#N/A</v>
      </c>
      <c r="BL425" s="7" t="e">
        <f t="shared" si="92"/>
        <v>#N/A</v>
      </c>
    </row>
    <row r="426" spans="2:64" ht="11.25" customHeight="1">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7">
        <f t="shared" si="83"/>
        <v>2.5588059521633677E-2</v>
      </c>
      <c r="BA426" s="7">
        <f t="shared" si="93"/>
        <v>-1.9500000000000852</v>
      </c>
      <c r="BB426" s="7">
        <f t="shared" si="84"/>
        <v>5.9594706068806159E-2</v>
      </c>
      <c r="BC426" s="7" t="e">
        <f t="shared" si="85"/>
        <v>#N/A</v>
      </c>
      <c r="BD426" s="7">
        <f t="shared" si="86"/>
        <v>-1.9500100000000853</v>
      </c>
      <c r="BE426" s="7">
        <f t="shared" si="87"/>
        <v>-1.9499900000000852</v>
      </c>
      <c r="BF426" s="7">
        <f t="shared" si="88"/>
        <v>3.9873498248074221E-2</v>
      </c>
      <c r="BG426" s="7">
        <f t="shared" si="89"/>
        <v>3.9874820556909142E-2</v>
      </c>
      <c r="BH426" s="7" t="e">
        <f t="shared" si="90"/>
        <v>#N/A</v>
      </c>
      <c r="BI426" s="7" t="e">
        <f t="shared" si="94"/>
        <v>#N/A</v>
      </c>
      <c r="BJ426" s="7" t="e">
        <f t="shared" si="91"/>
        <v>#N/A</v>
      </c>
      <c r="BK426" s="7" t="e">
        <f t="shared" si="95"/>
        <v>#N/A</v>
      </c>
      <c r="BL426" s="7" t="e">
        <f t="shared" si="92"/>
        <v>#N/A</v>
      </c>
    </row>
    <row r="427" spans="2:64" ht="11.25" customHeight="1">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c r="AO427" s="6"/>
      <c r="AP427" s="6"/>
      <c r="AQ427" s="6"/>
      <c r="AR427" s="6"/>
      <c r="AS427" s="6"/>
      <c r="AT427" s="6"/>
      <c r="AU427" s="6"/>
      <c r="AV427" s="6"/>
      <c r="AW427" s="6"/>
      <c r="AX427" s="6"/>
      <c r="AY427" s="6"/>
      <c r="AZ427" s="7">
        <f t="shared" si="83"/>
        <v>2.6189844940447404E-2</v>
      </c>
      <c r="BA427" s="7">
        <f t="shared" si="93"/>
        <v>-1.9400000000000852</v>
      </c>
      <c r="BB427" s="7">
        <f t="shared" si="84"/>
        <v>6.0765168954554728E-2</v>
      </c>
      <c r="BC427" s="7" t="e">
        <f t="shared" si="85"/>
        <v>#N/A</v>
      </c>
      <c r="BD427" s="7">
        <f t="shared" si="86"/>
        <v>-1.9400100000000853</v>
      </c>
      <c r="BE427" s="7">
        <f t="shared" si="87"/>
        <v>-1.9399900000000851</v>
      </c>
      <c r="BF427" s="7">
        <f t="shared" si="88"/>
        <v>4.0539802424940416E-2</v>
      </c>
      <c r="BG427" s="7">
        <f t="shared" si="89"/>
        <v>4.0541145419705764E-2</v>
      </c>
      <c r="BH427" s="7" t="e">
        <f t="shared" si="90"/>
        <v>#N/A</v>
      </c>
      <c r="BI427" s="7" t="e">
        <f t="shared" si="94"/>
        <v>#N/A</v>
      </c>
      <c r="BJ427" s="7" t="e">
        <f t="shared" si="91"/>
        <v>#N/A</v>
      </c>
      <c r="BK427" s="7" t="e">
        <f t="shared" si="95"/>
        <v>#N/A</v>
      </c>
      <c r="BL427" s="7" t="e">
        <f t="shared" si="92"/>
        <v>#N/A</v>
      </c>
    </row>
    <row r="428" spans="2:64" ht="11.25" customHeight="1">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7">
        <f t="shared" si="83"/>
        <v>2.6803418877049623E-2</v>
      </c>
      <c r="BA428" s="7">
        <f t="shared" si="93"/>
        <v>-1.9300000000000852</v>
      </c>
      <c r="BB428" s="7">
        <f t="shared" si="84"/>
        <v>6.1952424628094964E-2</v>
      </c>
      <c r="BC428" s="7" t="e">
        <f t="shared" si="85"/>
        <v>#N/A</v>
      </c>
      <c r="BD428" s="7">
        <f t="shared" si="86"/>
        <v>-1.9300100000000853</v>
      </c>
      <c r="BE428" s="7">
        <f t="shared" si="87"/>
        <v>-1.9299900000000851</v>
      </c>
      <c r="BF428" s="7">
        <f t="shared" si="88"/>
        <v>4.1216517892598788E-2</v>
      </c>
      <c r="BG428" s="7">
        <f t="shared" si="89"/>
        <v>4.1217881847506452E-2</v>
      </c>
      <c r="BH428" s="7" t="e">
        <f t="shared" si="90"/>
        <v>#N/A</v>
      </c>
      <c r="BI428" s="7" t="e">
        <f t="shared" si="94"/>
        <v>#N/A</v>
      </c>
      <c r="BJ428" s="7" t="e">
        <f t="shared" si="91"/>
        <v>#N/A</v>
      </c>
      <c r="BK428" s="7" t="e">
        <f t="shared" si="95"/>
        <v>#N/A</v>
      </c>
      <c r="BL428" s="7" t="e">
        <f t="shared" si="92"/>
        <v>#N/A</v>
      </c>
    </row>
    <row r="429" spans="2:64" ht="11.25" customHeight="1">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c r="AO429" s="6"/>
      <c r="AP429" s="6"/>
      <c r="AQ429" s="6"/>
      <c r="AR429" s="6"/>
      <c r="AS429" s="6"/>
      <c r="AT429" s="6"/>
      <c r="AU429" s="6"/>
      <c r="AV429" s="6"/>
      <c r="AW429" s="6"/>
      <c r="AX429" s="6"/>
      <c r="AY429" s="6"/>
      <c r="AZ429" s="7">
        <f t="shared" si="83"/>
        <v>2.7428949703831362E-2</v>
      </c>
      <c r="BA429" s="7">
        <f t="shared" si="93"/>
        <v>-1.9200000000000852</v>
      </c>
      <c r="BB429" s="7">
        <f t="shared" si="84"/>
        <v>6.3156561435188302E-2</v>
      </c>
      <c r="BC429" s="7" t="e">
        <f t="shared" si="85"/>
        <v>#N/A</v>
      </c>
      <c r="BD429" s="7">
        <f t="shared" si="86"/>
        <v>-1.9200100000000853</v>
      </c>
      <c r="BE429" s="7">
        <f t="shared" si="87"/>
        <v>-1.9199900000000851</v>
      </c>
      <c r="BF429" s="7">
        <f t="shared" si="88"/>
        <v>4.1903782295399275E-2</v>
      </c>
      <c r="BG429" s="7">
        <f t="shared" si="89"/>
        <v>4.1905167486814623E-2</v>
      </c>
      <c r="BH429" s="7" t="e">
        <f t="shared" si="90"/>
        <v>#N/A</v>
      </c>
      <c r="BI429" s="7" t="e">
        <f t="shared" si="94"/>
        <v>#N/A</v>
      </c>
      <c r="BJ429" s="7" t="e">
        <f t="shared" si="91"/>
        <v>#N/A</v>
      </c>
      <c r="BK429" s="7" t="e">
        <f t="shared" si="95"/>
        <v>#N/A</v>
      </c>
      <c r="BL429" s="7" t="e">
        <f t="shared" si="92"/>
        <v>#N/A</v>
      </c>
    </row>
    <row r="430" spans="2:64" ht="11.25" customHeight="1">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7">
        <f t="shared" si="83"/>
        <v>2.8066606659767235E-2</v>
      </c>
      <c r="BA430" s="7">
        <f t="shared" si="93"/>
        <v>-1.9100000000000852</v>
      </c>
      <c r="BB430" s="7">
        <f t="shared" si="84"/>
        <v>6.4377664329958867E-2</v>
      </c>
      <c r="BC430" s="7" t="e">
        <f t="shared" si="85"/>
        <v>#N/A</v>
      </c>
      <c r="BD430" s="7">
        <f t="shared" si="86"/>
        <v>-1.9100100000000853</v>
      </c>
      <c r="BE430" s="7">
        <f t="shared" si="87"/>
        <v>-1.9099900000000851</v>
      </c>
      <c r="BF430" s="7">
        <f t="shared" si="88"/>
        <v>4.2601734347599049E-2</v>
      </c>
      <c r="BG430" s="7">
        <f t="shared" si="89"/>
        <v>4.2603141054013291E-2</v>
      </c>
      <c r="BH430" s="7" t="e">
        <f t="shared" si="90"/>
        <v>#N/A</v>
      </c>
      <c r="BI430" s="7" t="e">
        <f t="shared" si="94"/>
        <v>#N/A</v>
      </c>
      <c r="BJ430" s="7" t="e">
        <f t="shared" si="91"/>
        <v>#N/A</v>
      </c>
      <c r="BK430" s="7" t="e">
        <f t="shared" si="95"/>
        <v>#N/A</v>
      </c>
      <c r="BL430" s="7" t="e">
        <f t="shared" si="92"/>
        <v>#N/A</v>
      </c>
    </row>
    <row r="431" spans="2:64" ht="11.25" customHeight="1">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c r="AO431" s="6"/>
      <c r="AP431" s="6"/>
      <c r="AQ431" s="6"/>
      <c r="AR431" s="6"/>
      <c r="AS431" s="6"/>
      <c r="AT431" s="6"/>
      <c r="AU431" s="6"/>
      <c r="AV431" s="6"/>
      <c r="AW431" s="6"/>
      <c r="AX431" s="6"/>
      <c r="AY431" s="6"/>
      <c r="AZ431" s="7">
        <f t="shared" si="83"/>
        <v>2.8716559815996412E-2</v>
      </c>
      <c r="BA431" s="7">
        <f t="shared" si="93"/>
        <v>-1.9000000000000852</v>
      </c>
      <c r="BB431" s="7">
        <f t="shared" si="84"/>
        <v>6.5615814774665965E-2</v>
      </c>
      <c r="BC431" s="7" t="e">
        <f t="shared" si="85"/>
        <v>#N/A</v>
      </c>
      <c r="BD431" s="7">
        <f t="shared" si="86"/>
        <v>-1.9000100000000852</v>
      </c>
      <c r="BE431" s="7">
        <f t="shared" si="87"/>
        <v>-1.8999900000000851</v>
      </c>
      <c r="BF431" s="7">
        <f t="shared" si="88"/>
        <v>4.331051381926572E-2</v>
      </c>
      <c r="BG431" s="7">
        <f t="shared" si="89"/>
        <v>4.3311942321267075E-2</v>
      </c>
      <c r="BH431" s="7" t="e">
        <f t="shared" si="90"/>
        <v>#N/A</v>
      </c>
      <c r="BI431" s="7" t="e">
        <f t="shared" si="94"/>
        <v>#N/A</v>
      </c>
      <c r="BJ431" s="7" t="e">
        <f t="shared" si="91"/>
        <v>#N/A</v>
      </c>
      <c r="BK431" s="7" t="e">
        <f t="shared" si="95"/>
        <v>#N/A</v>
      </c>
      <c r="BL431" s="7" t="e">
        <f t="shared" si="92"/>
        <v>#N/A</v>
      </c>
    </row>
    <row r="432" spans="2:64" ht="11.25" customHeight="1">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7">
        <f t="shared" si="83"/>
        <v>2.9378980040403735E-2</v>
      </c>
      <c r="BA432" s="7">
        <f t="shared" si="93"/>
        <v>-1.8900000000000852</v>
      </c>
      <c r="BB432" s="7">
        <f t="shared" si="84"/>
        <v>6.6871090639296388E-2</v>
      </c>
      <c r="BC432" s="7" t="e">
        <f t="shared" si="85"/>
        <v>#N/A</v>
      </c>
      <c r="BD432" s="7">
        <f t="shared" si="86"/>
        <v>-1.8900100000000852</v>
      </c>
      <c r="BE432" s="7">
        <f t="shared" si="87"/>
        <v>-1.8899900000000851</v>
      </c>
      <c r="BF432" s="7">
        <f t="shared" si="88"/>
        <v>4.4030261521361205E-2</v>
      </c>
      <c r="BG432" s="7">
        <f t="shared" si="89"/>
        <v>4.4031712101604163E-2</v>
      </c>
      <c r="BH432" s="7" t="e">
        <f t="shared" si="90"/>
        <v>#N/A</v>
      </c>
      <c r="BI432" s="7" t="e">
        <f t="shared" si="94"/>
        <v>#N/A</v>
      </c>
      <c r="BJ432" s="7" t="e">
        <f t="shared" si="91"/>
        <v>#N/A</v>
      </c>
      <c r="BK432" s="7" t="e">
        <f t="shared" si="95"/>
        <v>#N/A</v>
      </c>
      <c r="BL432" s="7" t="e">
        <f t="shared" si="92"/>
        <v>#N/A</v>
      </c>
    </row>
    <row r="433" spans="2:64" ht="11.25" customHeight="1">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c r="AO433" s="6"/>
      <c r="AP433" s="6"/>
      <c r="AQ433" s="6"/>
      <c r="AR433" s="6"/>
      <c r="AS433" s="6"/>
      <c r="AT433" s="6"/>
      <c r="AU433" s="6"/>
      <c r="AV433" s="6"/>
      <c r="AW433" s="6"/>
      <c r="AX433" s="6"/>
      <c r="AY433" s="6"/>
      <c r="AZ433" s="7">
        <f t="shared" si="83"/>
        <v>3.0054038961193852E-2</v>
      </c>
      <c r="BA433" s="7">
        <f t="shared" si="93"/>
        <v>-1.8800000000000852</v>
      </c>
      <c r="BB433" s="7">
        <f t="shared" si="84"/>
        <v>6.8143566101033642E-2</v>
      </c>
      <c r="BC433" s="7" t="e">
        <f t="shared" si="85"/>
        <v>#N/A</v>
      </c>
      <c r="BD433" s="7">
        <f t="shared" si="86"/>
        <v>-1.8800100000000852</v>
      </c>
      <c r="BE433" s="7">
        <f t="shared" si="87"/>
        <v>-1.8799900000000851</v>
      </c>
      <c r="BF433" s="7">
        <f t="shared" si="88"/>
        <v>4.4761119289990249E-2</v>
      </c>
      <c r="BG433" s="7">
        <f t="shared" si="89"/>
        <v>4.4762592233163256E-2</v>
      </c>
      <c r="BH433" s="7" t="e">
        <f t="shared" si="90"/>
        <v>#N/A</v>
      </c>
      <c r="BI433" s="7" t="e">
        <f t="shared" si="94"/>
        <v>#N/A</v>
      </c>
      <c r="BJ433" s="7" t="e">
        <f t="shared" si="91"/>
        <v>#N/A</v>
      </c>
      <c r="BK433" s="7" t="e">
        <f t="shared" si="95"/>
        <v>#N/A</v>
      </c>
      <c r="BL433" s="7" t="e">
        <f t="shared" si="92"/>
        <v>#N/A</v>
      </c>
    </row>
    <row r="434" spans="2:64" ht="11.25" customHeight="1">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7">
        <f t="shared" si="83"/>
        <v>3.0741908929460049E-2</v>
      </c>
      <c r="BA434" s="7">
        <f t="shared" si="93"/>
        <v>-1.8700000000000851</v>
      </c>
      <c r="BB434" s="7">
        <f t="shared" si="84"/>
        <v>6.9433311543663126E-2</v>
      </c>
      <c r="BC434" s="7" t="e">
        <f t="shared" si="85"/>
        <v>#N/A</v>
      </c>
      <c r="BD434" s="7">
        <f t="shared" si="86"/>
        <v>-1.8700100000000852</v>
      </c>
      <c r="BE434" s="7">
        <f t="shared" si="87"/>
        <v>-1.8699900000000851</v>
      </c>
      <c r="BF434" s="7">
        <f t="shared" si="88"/>
        <v>4.5503229969797908E-2</v>
      </c>
      <c r="BG434" s="7">
        <f t="shared" si="89"/>
        <v>4.550472556258929E-2</v>
      </c>
      <c r="BH434" s="7" t="e">
        <f t="shared" si="90"/>
        <v>#N/A</v>
      </c>
      <c r="BI434" s="7" t="e">
        <f t="shared" si="94"/>
        <v>#N/A</v>
      </c>
      <c r="BJ434" s="7" t="e">
        <f t="shared" si="91"/>
        <v>#N/A</v>
      </c>
      <c r="BK434" s="7" t="e">
        <f t="shared" si="95"/>
        <v>#N/A</v>
      </c>
      <c r="BL434" s="7" t="e">
        <f t="shared" si="92"/>
        <v>#N/A</v>
      </c>
    </row>
    <row r="435" spans="2:64" ht="11.25" customHeight="1">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c r="AO435" s="6"/>
      <c r="AP435" s="6"/>
      <c r="AQ435" s="6"/>
      <c r="AR435" s="6"/>
      <c r="AS435" s="6"/>
      <c r="AT435" s="6"/>
      <c r="AU435" s="6"/>
      <c r="AV435" s="6"/>
      <c r="AW435" s="6"/>
      <c r="AX435" s="6"/>
      <c r="AY435" s="6"/>
      <c r="AZ435" s="7">
        <f t="shared" si="83"/>
        <v>3.1442762980746553E-2</v>
      </c>
      <c r="BA435" s="7">
        <f t="shared" si="93"/>
        <v>-1.8600000000000851</v>
      </c>
      <c r="BB435" s="7">
        <f t="shared" si="84"/>
        <v>7.0740393456972181E-2</v>
      </c>
      <c r="BC435" s="7" t="e">
        <f t="shared" si="85"/>
        <v>#N/A</v>
      </c>
      <c r="BD435" s="7">
        <f t="shared" si="86"/>
        <v>-1.8600100000000852</v>
      </c>
      <c r="BE435" s="7">
        <f t="shared" si="87"/>
        <v>-1.8599900000000851</v>
      </c>
      <c r="BF435" s="7">
        <f t="shared" si="88"/>
        <v>4.625673739649868E-2</v>
      </c>
      <c r="BG435" s="7">
        <f t="shared" si="89"/>
        <v>4.6258255927560887E-2</v>
      </c>
      <c r="BH435" s="7" t="e">
        <f t="shared" si="90"/>
        <v>#N/A</v>
      </c>
      <c r="BI435" s="7" t="e">
        <f t="shared" si="94"/>
        <v>#N/A</v>
      </c>
      <c r="BJ435" s="7" t="e">
        <f t="shared" si="91"/>
        <v>#N/A</v>
      </c>
      <c r="BK435" s="7" t="e">
        <f t="shared" si="95"/>
        <v>#N/A</v>
      </c>
      <c r="BL435" s="7" t="e">
        <f t="shared" si="92"/>
        <v>#N/A</v>
      </c>
    </row>
    <row r="436" spans="2:64" ht="11.25" customHeight="1">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7">
        <f t="shared" si="83"/>
        <v>3.2156774795607523E-2</v>
      </c>
      <c r="BA436" s="7">
        <f t="shared" si="93"/>
        <v>-1.8500000000000851</v>
      </c>
      <c r="BB436" s="7">
        <f t="shared" si="84"/>
        <v>7.2064874336206633E-2</v>
      </c>
      <c r="BC436" s="7" t="e">
        <f t="shared" si="85"/>
        <v>#N/A</v>
      </c>
      <c r="BD436" s="7">
        <f t="shared" si="86"/>
        <v>-1.8500100000000852</v>
      </c>
      <c r="BE436" s="7">
        <f t="shared" si="87"/>
        <v>-1.8499900000000851</v>
      </c>
      <c r="BF436" s="7">
        <f t="shared" si="88"/>
        <v>4.7021786378522952E-2</v>
      </c>
      <c r="BG436" s="7">
        <f t="shared" si="89"/>
        <v>4.7023328138434649E-2</v>
      </c>
      <c r="BH436" s="7" t="e">
        <f t="shared" si="90"/>
        <v>#N/A</v>
      </c>
      <c r="BI436" s="7" t="e">
        <f t="shared" si="94"/>
        <v>#N/A</v>
      </c>
      <c r="BJ436" s="7" t="e">
        <f t="shared" si="91"/>
        <v>#N/A</v>
      </c>
      <c r="BK436" s="7" t="e">
        <f t="shared" si="95"/>
        <v>#N/A</v>
      </c>
      <c r="BL436" s="7" t="e">
        <f t="shared" si="92"/>
        <v>#N/A</v>
      </c>
    </row>
    <row r="437" spans="2:64" ht="11.25" customHeight="1">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c r="AO437" s="6"/>
      <c r="AP437" s="6"/>
      <c r="AQ437" s="6"/>
      <c r="AR437" s="6"/>
      <c r="AS437" s="6"/>
      <c r="AT437" s="6"/>
      <c r="AU437" s="6"/>
      <c r="AV437" s="6"/>
      <c r="AW437" s="6"/>
      <c r="AX437" s="6"/>
      <c r="AY437" s="6"/>
      <c r="AZ437" s="7">
        <f t="shared" si="83"/>
        <v>3.2884118659157524E-2</v>
      </c>
      <c r="BA437" s="7">
        <f t="shared" si="93"/>
        <v>-1.8400000000000851</v>
      </c>
      <c r="BB437" s="7">
        <f t="shared" si="84"/>
        <v>7.3406812581645386E-2</v>
      </c>
      <c r="BC437" s="7" t="e">
        <f t="shared" si="85"/>
        <v>#N/A</v>
      </c>
      <c r="BD437" s="7">
        <f t="shared" si="86"/>
        <v>-1.8400100000000852</v>
      </c>
      <c r="BE437" s="7">
        <f t="shared" si="87"/>
        <v>-1.8399900000000851</v>
      </c>
      <c r="BF437" s="7">
        <f t="shared" si="88"/>
        <v>4.7798522677763092E-2</v>
      </c>
      <c r="BG437" s="7">
        <f t="shared" si="89"/>
        <v>4.7800087958990205E-2</v>
      </c>
      <c r="BH437" s="7" t="e">
        <f t="shared" si="90"/>
        <v>#N/A</v>
      </c>
      <c r="BI437" s="7" t="e">
        <f t="shared" si="94"/>
        <v>#N/A</v>
      </c>
      <c r="BJ437" s="7" t="e">
        <f t="shared" si="91"/>
        <v>#N/A</v>
      </c>
      <c r="BK437" s="7" t="e">
        <f t="shared" si="95"/>
        <v>#N/A</v>
      </c>
      <c r="BL437" s="7" t="e">
        <f t="shared" si="92"/>
        <v>#N/A</v>
      </c>
    </row>
    <row r="438" spans="2:64" ht="11.25" customHeight="1">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7">
        <f t="shared" si="83"/>
        <v>3.3624969419622008E-2</v>
      </c>
      <c r="BA438" s="7">
        <f t="shared" si="93"/>
        <v>-1.8300000000000851</v>
      </c>
      <c r="BB438" s="7">
        <f t="shared" si="84"/>
        <v>7.4766262398355945E-2</v>
      </c>
      <c r="BC438" s="7" t="e">
        <f t="shared" si="85"/>
        <v>#N/A</v>
      </c>
      <c r="BD438" s="7">
        <f t="shared" si="86"/>
        <v>-1.8300100000000852</v>
      </c>
      <c r="BE438" s="7">
        <f t="shared" si="87"/>
        <v>-1.829990000000085</v>
      </c>
      <c r="BF438" s="7">
        <f t="shared" si="88"/>
        <v>4.8587092989405334E-2</v>
      </c>
      <c r="BG438" s="7">
        <f t="shared" si="89"/>
        <v>4.858868208625948E-2</v>
      </c>
      <c r="BH438" s="7" t="e">
        <f t="shared" si="90"/>
        <v>#N/A</v>
      </c>
      <c r="BI438" s="7" t="e">
        <f t="shared" si="94"/>
        <v>#N/A</v>
      </c>
      <c r="BJ438" s="7" t="e">
        <f t="shared" si="91"/>
        <v>#N/A</v>
      </c>
      <c r="BK438" s="7" t="e">
        <f t="shared" si="95"/>
        <v>#N/A</v>
      </c>
      <c r="BL438" s="7" t="e">
        <f t="shared" si="92"/>
        <v>#N/A</v>
      </c>
    </row>
    <row r="439" spans="2:64" ht="11.25" customHeight="1">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c r="AO439" s="6"/>
      <c r="AP439" s="6"/>
      <c r="AQ439" s="6"/>
      <c r="AR439" s="6"/>
      <c r="AS439" s="6"/>
      <c r="AT439" s="6"/>
      <c r="AU439" s="6"/>
      <c r="AV439" s="6"/>
      <c r="AW439" s="6"/>
      <c r="AX439" s="6"/>
      <c r="AY439" s="6"/>
      <c r="AZ439" s="7">
        <f t="shared" si="83"/>
        <v>3.4379502445883392E-2</v>
      </c>
      <c r="BA439" s="7">
        <f t="shared" si="93"/>
        <v>-1.8200000000000851</v>
      </c>
      <c r="BB439" s="7">
        <f t="shared" si="84"/>
        <v>7.6143273696195515E-2</v>
      </c>
      <c r="BC439" s="7" t="e">
        <f t="shared" si="85"/>
        <v>#N/A</v>
      </c>
      <c r="BD439" s="7">
        <f t="shared" si="86"/>
        <v>-1.8200100000000852</v>
      </c>
      <c r="BE439" s="7">
        <f t="shared" si="87"/>
        <v>-1.819990000000085</v>
      </c>
      <c r="BF439" s="7">
        <f t="shared" si="88"/>
        <v>4.9387644920830184E-2</v>
      </c>
      <c r="BG439" s="7">
        <f t="shared" si="89"/>
        <v>4.9389258129425427E-2</v>
      </c>
      <c r="BH439" s="7" t="e">
        <f t="shared" si="90"/>
        <v>#N/A</v>
      </c>
      <c r="BI439" s="7" t="e">
        <f t="shared" si="94"/>
        <v>#N/A</v>
      </c>
      <c r="BJ439" s="7" t="e">
        <f t="shared" si="91"/>
        <v>#N/A</v>
      </c>
      <c r="BK439" s="7" t="e">
        <f t="shared" si="95"/>
        <v>#N/A</v>
      </c>
      <c r="BL439" s="7" t="e">
        <f t="shared" si="92"/>
        <v>#N/A</v>
      </c>
    </row>
    <row r="440" spans="2:64" ht="11.25" customHeight="1">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7">
        <f t="shared" si="83"/>
        <v>3.5147893584032142E-2</v>
      </c>
      <c r="BA440" s="7">
        <f t="shared" si="93"/>
        <v>-1.8100000000000851</v>
      </c>
      <c r="BB440" s="7">
        <f t="shared" si="84"/>
        <v>7.7537891990122038E-2</v>
      </c>
      <c r="BC440" s="7" t="e">
        <f t="shared" si="85"/>
        <v>#N/A</v>
      </c>
      <c r="BD440" s="7">
        <f t="shared" si="86"/>
        <v>-1.8100100000000852</v>
      </c>
      <c r="BE440" s="7">
        <f t="shared" si="87"/>
        <v>-1.809990000000085</v>
      </c>
      <c r="BF440" s="7">
        <f t="shared" si="88"/>
        <v>5.0200326969566424E-2</v>
      </c>
      <c r="BG440" s="7">
        <f t="shared" si="89"/>
        <v>5.0201964587774504E-2</v>
      </c>
      <c r="BH440" s="7" t="e">
        <f t="shared" si="90"/>
        <v>#N/A</v>
      </c>
      <c r="BI440" s="7" t="e">
        <f t="shared" si="94"/>
        <v>#N/A</v>
      </c>
      <c r="BJ440" s="7" t="e">
        <f t="shared" si="91"/>
        <v>#N/A</v>
      </c>
      <c r="BK440" s="7" t="e">
        <f t="shared" si="95"/>
        <v>#N/A</v>
      </c>
      <c r="BL440" s="7" t="e">
        <f t="shared" si="92"/>
        <v>#N/A</v>
      </c>
    </row>
    <row r="441" spans="2:64" ht="11.25" customHeight="1">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c r="AO441" s="6"/>
      <c r="AP441" s="6"/>
      <c r="AQ441" s="6"/>
      <c r="AR441" s="6"/>
      <c r="AS441" s="6"/>
      <c r="AT441" s="6"/>
      <c r="AU441" s="6"/>
      <c r="AV441" s="6"/>
      <c r="AW441" s="6"/>
      <c r="AX441" s="6"/>
      <c r="AY441" s="6"/>
      <c r="AZ441" s="7">
        <f t="shared" si="83"/>
        <v>3.5930319112919107E-2</v>
      </c>
      <c r="BA441" s="7">
        <f t="shared" si="93"/>
        <v>-1.8000000000000851</v>
      </c>
      <c r="BB441" s="7">
        <f t="shared" si="84"/>
        <v>7.8950158300882062E-2</v>
      </c>
      <c r="BC441" s="7" t="e">
        <f t="shared" si="85"/>
        <v>#N/A</v>
      </c>
      <c r="BD441" s="7">
        <f t="shared" si="86"/>
        <v>-1.8000100000000852</v>
      </c>
      <c r="BE441" s="7">
        <f t="shared" si="87"/>
        <v>-1.799990000000085</v>
      </c>
      <c r="BF441" s="7">
        <f t="shared" si="88"/>
        <v>5.1025290199018622E-2</v>
      </c>
      <c r="BG441" s="7">
        <f t="shared" si="89"/>
        <v>5.1026952526764736E-2</v>
      </c>
      <c r="BH441" s="7" t="e">
        <f t="shared" si="90"/>
        <v>#N/A</v>
      </c>
      <c r="BI441" s="7" t="e">
        <f t="shared" si="94"/>
        <v>#N/A</v>
      </c>
      <c r="BJ441" s="7" t="e">
        <f t="shared" si="91"/>
        <v>#N/A</v>
      </c>
      <c r="BK441" s="7" t="e">
        <f t="shared" si="95"/>
        <v>#N/A</v>
      </c>
      <c r="BL441" s="7" t="e">
        <f t="shared" si="92"/>
        <v>#N/A</v>
      </c>
    </row>
    <row r="442" spans="2:64" ht="11.25" customHeight="1">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7">
        <f t="shared" si="83"/>
        <v>3.672695569871931E-2</v>
      </c>
      <c r="BA442" s="7">
        <f t="shared" si="93"/>
        <v>-1.7900000000000851</v>
      </c>
      <c r="BB442" s="7">
        <f t="shared" si="84"/>
        <v>8.0380109056141916E-2</v>
      </c>
      <c r="BC442" s="7" t="e">
        <f t="shared" si="85"/>
        <v>#N/A</v>
      </c>
      <c r="BD442" s="7">
        <f t="shared" si="86"/>
        <v>-1.7900100000000851</v>
      </c>
      <c r="BE442" s="7">
        <f t="shared" si="87"/>
        <v>-1.789990000000085</v>
      </c>
      <c r="BF442" s="7">
        <f t="shared" si="88"/>
        <v>5.1862681599926172E-2</v>
      </c>
      <c r="BG442" s="7">
        <f t="shared" si="89"/>
        <v>5.1864368938148275E-2</v>
      </c>
      <c r="BH442" s="7" t="e">
        <f t="shared" si="90"/>
        <v>#N/A</v>
      </c>
      <c r="BI442" s="7" t="e">
        <f t="shared" si="94"/>
        <v>#N/A</v>
      </c>
      <c r="BJ442" s="7" t="e">
        <f t="shared" si="91"/>
        <v>#N/A</v>
      </c>
      <c r="BK442" s="7" t="e">
        <f t="shared" si="95"/>
        <v>#N/A</v>
      </c>
      <c r="BL442" s="7" t="e">
        <f t="shared" si="92"/>
        <v>#N/A</v>
      </c>
    </row>
    <row r="443" spans="2:64" ht="11.25" customHeight="1">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c r="AO443" s="6"/>
      <c r="AP443" s="6"/>
      <c r="AQ443" s="6"/>
      <c r="AR443" s="6"/>
      <c r="AS443" s="6"/>
      <c r="AT443" s="6"/>
      <c r="AU443" s="6"/>
      <c r="AV443" s="6"/>
      <c r="AW443" s="6"/>
      <c r="AX443" s="6"/>
      <c r="AY443" s="6"/>
      <c r="AZ443" s="7">
        <f t="shared" si="83"/>
        <v>3.753798034851008E-2</v>
      </c>
      <c r="BA443" s="7">
        <f t="shared" si="93"/>
        <v>-1.7800000000000851</v>
      </c>
      <c r="BB443" s="7">
        <f t="shared" si="84"/>
        <v>8.1827775992130397E-2</v>
      </c>
      <c r="BC443" s="7" t="e">
        <f t="shared" si="85"/>
        <v>#N/A</v>
      </c>
      <c r="BD443" s="7">
        <f t="shared" si="86"/>
        <v>-1.7800100000000851</v>
      </c>
      <c r="BE443" s="7">
        <f t="shared" si="87"/>
        <v>-1.779990000000085</v>
      </c>
      <c r="BF443" s="7">
        <f t="shared" si="88"/>
        <v>5.271265373604158E-2</v>
      </c>
      <c r="BG443" s="7">
        <f t="shared" si="89"/>
        <v>5.2714366387598424E-2</v>
      </c>
      <c r="BH443" s="7" t="e">
        <f t="shared" si="90"/>
        <v>#N/A</v>
      </c>
      <c r="BI443" s="7" t="e">
        <f t="shared" si="94"/>
        <v>#N/A</v>
      </c>
      <c r="BJ443" s="7" t="e">
        <f t="shared" si="91"/>
        <v>#N/A</v>
      </c>
      <c r="BK443" s="7" t="e">
        <f t="shared" si="95"/>
        <v>#N/A</v>
      </c>
      <c r="BL443" s="7" t="e">
        <f t="shared" si="92"/>
        <v>#N/A</v>
      </c>
    </row>
    <row r="444" spans="2:64" ht="11.25" customHeight="1">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7">
        <f t="shared" si="83"/>
        <v>3.8363570362864308E-2</v>
      </c>
      <c r="BA444" s="7">
        <f t="shared" si="93"/>
        <v>-1.7700000000000851</v>
      </c>
      <c r="BB444" s="7">
        <f t="shared" si="84"/>
        <v>8.3293186055861917E-2</v>
      </c>
      <c r="BC444" s="7" t="e">
        <f t="shared" si="85"/>
        <v>#N/A</v>
      </c>
      <c r="BD444" s="7">
        <f t="shared" si="86"/>
        <v>-1.7700100000000851</v>
      </c>
      <c r="BE444" s="7">
        <f t="shared" si="87"/>
        <v>-1.769990000000085</v>
      </c>
      <c r="BF444" s="7">
        <f t="shared" si="88"/>
        <v>5.3575358427682483E-2</v>
      </c>
      <c r="BG444" s="7">
        <f t="shared" si="89"/>
        <v>5.3577096696990657E-2</v>
      </c>
      <c r="BH444" s="7" t="e">
        <f t="shared" si="90"/>
        <v>#N/A</v>
      </c>
      <c r="BI444" s="7" t="e">
        <f t="shared" si="94"/>
        <v>#N/A</v>
      </c>
      <c r="BJ444" s="7" t="e">
        <f t="shared" si="91"/>
        <v>#N/A</v>
      </c>
      <c r="BK444" s="7" t="e">
        <f t="shared" si="95"/>
        <v>#N/A</v>
      </c>
      <c r="BL444" s="7" t="e">
        <f t="shared" si="92"/>
        <v>#N/A</v>
      </c>
    </row>
    <row r="445" spans="2:64" ht="11.25" customHeight="1">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c r="AO445" s="6"/>
      <c r="AP445" s="6"/>
      <c r="AQ445" s="6"/>
      <c r="AR445" s="6"/>
      <c r="AS445" s="6"/>
      <c r="AT445" s="6"/>
      <c r="AU445" s="6"/>
      <c r="AV445" s="6"/>
      <c r="AW445" s="6"/>
      <c r="AX445" s="6"/>
      <c r="AY445" s="6"/>
      <c r="AZ445" s="7">
        <f t="shared" si="83"/>
        <v>3.9203903287475472E-2</v>
      </c>
      <c r="BA445" s="7">
        <f t="shared" si="93"/>
        <v>-1.7600000000000851</v>
      </c>
      <c r="BB445" s="7">
        <f t="shared" si="84"/>
        <v>8.4776361308009529E-2</v>
      </c>
      <c r="BC445" s="7" t="e">
        <f t="shared" si="85"/>
        <v>#N/A</v>
      </c>
      <c r="BD445" s="7">
        <f t="shared" si="86"/>
        <v>-1.7600100000000851</v>
      </c>
      <c r="BE445" s="7">
        <f t="shared" si="87"/>
        <v>-1.759990000000085</v>
      </c>
      <c r="BF445" s="7">
        <f t="shared" si="88"/>
        <v>5.4450948260596342E-2</v>
      </c>
      <c r="BG445" s="7">
        <f t="shared" si="89"/>
        <v>5.4452712453575872E-2</v>
      </c>
      <c r="BH445" s="7" t="e">
        <f t="shared" si="90"/>
        <v>#N/A</v>
      </c>
      <c r="BI445" s="7" t="e">
        <f t="shared" si="94"/>
        <v>#N/A</v>
      </c>
      <c r="BJ445" s="7" t="e">
        <f t="shared" si="91"/>
        <v>#N/A</v>
      </c>
      <c r="BK445" s="7" t="e">
        <f t="shared" si="95"/>
        <v>#N/A</v>
      </c>
      <c r="BL445" s="7" t="e">
        <f t="shared" si="92"/>
        <v>#N/A</v>
      </c>
    </row>
    <row r="446" spans="2:64" ht="11.25" customHeight="1">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7">
        <f t="shared" si="83"/>
        <v>4.0059156863809786E-2</v>
      </c>
      <c r="BA446" s="7">
        <f t="shared" si="93"/>
        <v>-1.750000000000085</v>
      </c>
      <c r="BB446" s="7">
        <f t="shared" si="84"/>
        <v>8.6277318826498667E-2</v>
      </c>
      <c r="BC446" s="7" t="e">
        <f t="shared" si="85"/>
        <v>#N/A</v>
      </c>
      <c r="BD446" s="7">
        <f t="shared" si="86"/>
        <v>-1.7500100000000851</v>
      </c>
      <c r="BE446" s="7">
        <f t="shared" si="87"/>
        <v>-1.749990000000085</v>
      </c>
      <c r="BF446" s="7">
        <f t="shared" si="88"/>
        <v>5.5339576557949556E-2</v>
      </c>
      <c r="BG446" s="7">
        <f t="shared" si="89"/>
        <v>5.5341366981966289E-2</v>
      </c>
      <c r="BH446" s="7" t="e">
        <f t="shared" si="90"/>
        <v>#N/A</v>
      </c>
      <c r="BI446" s="7" t="e">
        <f t="shared" si="94"/>
        <v>#N/A</v>
      </c>
      <c r="BJ446" s="7" t="e">
        <f t="shared" si="91"/>
        <v>#N/A</v>
      </c>
      <c r="BK446" s="7" t="e">
        <f t="shared" si="95"/>
        <v>#N/A</v>
      </c>
      <c r="BL446" s="7" t="e">
        <f t="shared" si="92"/>
        <v>#N/A</v>
      </c>
    </row>
    <row r="447" spans="2:64" ht="11.25" customHeight="1">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c r="AO447" s="6"/>
      <c r="AP447" s="6"/>
      <c r="AQ447" s="6"/>
      <c r="AR447" s="6"/>
      <c r="AS447" s="6"/>
      <c r="AT447" s="6"/>
      <c r="AU447" s="6"/>
      <c r="AV447" s="6"/>
      <c r="AW447" s="6"/>
      <c r="AX447" s="6"/>
      <c r="AY447" s="6"/>
      <c r="AZ447" s="7">
        <f t="shared" si="83"/>
        <v>4.0929508978799989E-2</v>
      </c>
      <c r="BA447" s="7">
        <f t="shared" si="93"/>
        <v>-1.740000000000085</v>
      </c>
      <c r="BB447" s="7">
        <f t="shared" si="84"/>
        <v>8.7796070610892632E-2</v>
      </c>
      <c r="BC447" s="7" t="e">
        <f t="shared" si="85"/>
        <v>#N/A</v>
      </c>
      <c r="BD447" s="7">
        <f t="shared" si="86"/>
        <v>-1.7400100000000851</v>
      </c>
      <c r="BE447" s="7">
        <f t="shared" si="87"/>
        <v>-1.739990000000085</v>
      </c>
      <c r="BF447" s="7">
        <f t="shared" si="88"/>
        <v>5.6241397351270372E-2</v>
      </c>
      <c r="BG447" s="7">
        <f t="shared" si="89"/>
        <v>5.6243214315077436E-2</v>
      </c>
      <c r="BH447" s="7" t="e">
        <f t="shared" si="90"/>
        <v>#N/A</v>
      </c>
      <c r="BI447" s="7" t="e">
        <f t="shared" si="94"/>
        <v>#N/A</v>
      </c>
      <c r="BJ447" s="7" t="e">
        <f t="shared" si="91"/>
        <v>#N/A</v>
      </c>
      <c r="BK447" s="7" t="e">
        <f t="shared" si="95"/>
        <v>#N/A</v>
      </c>
      <c r="BL447" s="7" t="e">
        <f t="shared" si="92"/>
        <v>#N/A</v>
      </c>
    </row>
    <row r="448" spans="2:64" ht="11.25" customHeight="1">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7">
        <f t="shared" si="83"/>
        <v>4.181513761358735E-2</v>
      </c>
      <c r="BA448" s="7">
        <f t="shared" si="93"/>
        <v>-1.730000000000085</v>
      </c>
      <c r="BB448" s="7">
        <f t="shared" si="84"/>
        <v>8.9332623487641843E-2</v>
      </c>
      <c r="BC448" s="7" t="e">
        <f t="shared" si="85"/>
        <v>#N/A</v>
      </c>
      <c r="BD448" s="7">
        <f t="shared" si="86"/>
        <v>-1.7300100000000851</v>
      </c>
      <c r="BE448" s="7">
        <f t="shared" si="87"/>
        <v>-1.729990000000085</v>
      </c>
      <c r="BF448" s="7">
        <f t="shared" si="88"/>
        <v>5.7156565350334219E-2</v>
      </c>
      <c r="BG448" s="7">
        <f t="shared" si="89"/>
        <v>5.7158409164009896E-2</v>
      </c>
      <c r="BH448" s="7" t="e">
        <f t="shared" si="90"/>
        <v>#N/A</v>
      </c>
      <c r="BI448" s="7" t="e">
        <f t="shared" si="94"/>
        <v>#N/A</v>
      </c>
      <c r="BJ448" s="7" t="e">
        <f t="shared" si="91"/>
        <v>#N/A</v>
      </c>
      <c r="BK448" s="7" t="e">
        <f t="shared" si="95"/>
        <v>#N/A</v>
      </c>
      <c r="BL448" s="7" t="e">
        <f t="shared" si="92"/>
        <v>#N/A</v>
      </c>
    </row>
    <row r="449" spans="2:64" ht="11.25" customHeight="1">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c r="AO449" s="6"/>
      <c r="AP449" s="6"/>
      <c r="AQ449" s="6"/>
      <c r="AR449" s="6"/>
      <c r="AS449" s="6"/>
      <c r="AT449" s="6"/>
      <c r="AU449" s="6"/>
      <c r="AV449" s="6"/>
      <c r="AW449" s="6"/>
      <c r="AX449" s="6"/>
      <c r="AY449" s="6"/>
      <c r="AZ449" s="7">
        <f t="shared" si="83"/>
        <v>4.2716220791321202E-2</v>
      </c>
      <c r="BA449" s="7">
        <f t="shared" si="93"/>
        <v>-1.720000000000085</v>
      </c>
      <c r="BB449" s="7">
        <f t="shared" si="84"/>
        <v>9.0886979016269562E-2</v>
      </c>
      <c r="BC449" s="7" t="e">
        <f t="shared" si="85"/>
        <v>#N/A</v>
      </c>
      <c r="BD449" s="7">
        <f t="shared" si="86"/>
        <v>-1.7200100000000851</v>
      </c>
      <c r="BE449" s="7">
        <f t="shared" si="87"/>
        <v>-1.719990000000085</v>
      </c>
      <c r="BF449" s="7">
        <f t="shared" si="88"/>
        <v>5.808523591197564E-2</v>
      </c>
      <c r="BG449" s="7">
        <f t="shared" si="89"/>
        <v>5.808710688686064E-2</v>
      </c>
      <c r="BH449" s="7" t="e">
        <f t="shared" si="90"/>
        <v>#N/A</v>
      </c>
      <c r="BI449" s="7" t="e">
        <f t="shared" si="94"/>
        <v>#N/A</v>
      </c>
      <c r="BJ449" s="7" t="e">
        <f t="shared" si="91"/>
        <v>#N/A</v>
      </c>
      <c r="BK449" s="7" t="e">
        <f t="shared" si="95"/>
        <v>#N/A</v>
      </c>
      <c r="BL449" s="7" t="e">
        <f t="shared" si="92"/>
        <v>#N/A</v>
      </c>
    </row>
    <row r="450" spans="2:64" ht="11.25" customHeight="1">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7">
        <f t="shared" si="83"/>
        <v>4.3632936524024002E-2</v>
      </c>
      <c r="BA450" s="7">
        <f t="shared" si="93"/>
        <v>-1.710000000000085</v>
      </c>
      <c r="BB450" s="7">
        <f t="shared" si="84"/>
        <v>9.2459133396567209E-2</v>
      </c>
      <c r="BC450" s="7" t="e">
        <f t="shared" si="85"/>
        <v>#N/A</v>
      </c>
      <c r="BD450" s="7">
        <f t="shared" si="86"/>
        <v>-1.7100100000000851</v>
      </c>
      <c r="BE450" s="7">
        <f t="shared" si="87"/>
        <v>-1.7099900000000849</v>
      </c>
      <c r="BF450" s="7">
        <f t="shared" si="88"/>
        <v>5.9027565007817716E-2</v>
      </c>
      <c r="BG450" s="7">
        <f t="shared" si="89"/>
        <v>5.9029463456449126E-2</v>
      </c>
      <c r="BH450" s="7" t="e">
        <f t="shared" si="90"/>
        <v>#N/A</v>
      </c>
      <c r="BI450" s="7" t="e">
        <f t="shared" si="94"/>
        <v>#N/A</v>
      </c>
      <c r="BJ450" s="7" t="e">
        <f t="shared" si="91"/>
        <v>#N/A</v>
      </c>
      <c r="BK450" s="7" t="e">
        <f t="shared" si="95"/>
        <v>#N/A</v>
      </c>
      <c r="BL450" s="7" t="e">
        <f t="shared" si="92"/>
        <v>#N/A</v>
      </c>
    </row>
    <row r="451" spans="2:64" ht="11.25" customHeight="1">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c r="AO451" s="6"/>
      <c r="AP451" s="6"/>
      <c r="AQ451" s="6"/>
      <c r="AR451" s="6"/>
      <c r="AS451" s="6"/>
      <c r="AT451" s="6"/>
      <c r="AU451" s="6"/>
      <c r="AV451" s="6"/>
      <c r="AW451" s="6"/>
      <c r="AX451" s="6"/>
      <c r="AY451" s="6"/>
      <c r="AZ451" s="7">
        <f t="shared" si="83"/>
        <v>4.4565462758535013E-2</v>
      </c>
      <c r="BA451" s="7">
        <f t="shared" si="93"/>
        <v>-1.700000000000085</v>
      </c>
      <c r="BB451" s="7">
        <f t="shared" si="84"/>
        <v>9.4049077376873333E-2</v>
      </c>
      <c r="BC451" s="7" t="e">
        <f t="shared" si="85"/>
        <v>#N/A</v>
      </c>
      <c r="BD451" s="7">
        <f t="shared" si="86"/>
        <v>-1.7000100000000851</v>
      </c>
      <c r="BE451" s="7">
        <f t="shared" si="87"/>
        <v>-1.6999900000000849</v>
      </c>
      <c r="BF451" s="7">
        <f t="shared" si="88"/>
        <v>5.9983709190904733E-2</v>
      </c>
      <c r="BG451" s="7">
        <f t="shared" si="89"/>
        <v>5.9985635426948444E-2</v>
      </c>
      <c r="BH451" s="7" t="e">
        <f t="shared" si="90"/>
        <v>#N/A</v>
      </c>
      <c r="BI451" s="7" t="e">
        <f t="shared" si="94"/>
        <v>#N/A</v>
      </c>
      <c r="BJ451" s="7" t="e">
        <f t="shared" si="91"/>
        <v>#N/A</v>
      </c>
      <c r="BK451" s="7" t="e">
        <f t="shared" si="95"/>
        <v>#N/A</v>
      </c>
      <c r="BL451" s="7" t="e">
        <f t="shared" si="92"/>
        <v>#N/A</v>
      </c>
    </row>
    <row r="452" spans="2:64" ht="11.25" customHeight="1">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7">
        <f t="shared" si="83"/>
        <v>4.5513977321541832E-2</v>
      </c>
      <c r="BA452" s="7">
        <f t="shared" si="93"/>
        <v>-1.690000000000085</v>
      </c>
      <c r="BB452" s="7">
        <f t="shared" si="84"/>
        <v>9.5656796163510235E-2</v>
      </c>
      <c r="BC452" s="7" t="e">
        <f t="shared" si="85"/>
        <v>#N/A</v>
      </c>
      <c r="BD452" s="7">
        <f t="shared" si="86"/>
        <v>-1.6900100000000851</v>
      </c>
      <c r="BE452" s="7">
        <f t="shared" si="87"/>
        <v>-1.6899900000000849</v>
      </c>
      <c r="BF452" s="7">
        <f t="shared" si="88"/>
        <v>6.0953825561227228E-2</v>
      </c>
      <c r="BG452" s="7">
        <f t="shared" si="89"/>
        <v>6.0955779899407501E-2</v>
      </c>
      <c r="BH452" s="7" t="e">
        <f t="shared" si="90"/>
        <v>#N/A</v>
      </c>
      <c r="BI452" s="7" t="e">
        <f t="shared" si="94"/>
        <v>#N/A</v>
      </c>
      <c r="BJ452" s="7" t="e">
        <f t="shared" si="91"/>
        <v>#N/A</v>
      </c>
      <c r="BK452" s="7" t="e">
        <f t="shared" si="95"/>
        <v>#N/A</v>
      </c>
      <c r="BL452" s="7" t="e">
        <f t="shared" si="92"/>
        <v>#N/A</v>
      </c>
    </row>
    <row r="453" spans="2:64" ht="11.25" customHeight="1">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c r="AO453" s="6"/>
      <c r="AP453" s="6"/>
      <c r="AQ453" s="6"/>
      <c r="AR453" s="6"/>
      <c r="AS453" s="6"/>
      <c r="AT453" s="6"/>
      <c r="AU453" s="6"/>
      <c r="AV453" s="6"/>
      <c r="AW453" s="6"/>
      <c r="AX453" s="6"/>
      <c r="AY453" s="6"/>
      <c r="AZ453" s="7">
        <f t="shared" si="83"/>
        <v>4.6478657863711859E-2</v>
      </c>
      <c r="BA453" s="7">
        <f t="shared" si="93"/>
        <v>-1.680000000000085</v>
      </c>
      <c r="BB453" s="7">
        <f t="shared" si="84"/>
        <v>9.7282269331453591E-2</v>
      </c>
      <c r="BC453" s="7" t="e">
        <f t="shared" si="85"/>
        <v>#N/A</v>
      </c>
      <c r="BD453" s="7">
        <f t="shared" si="86"/>
        <v>-1.680010000000085</v>
      </c>
      <c r="BE453" s="7">
        <f t="shared" si="87"/>
        <v>-1.6799900000000849</v>
      </c>
      <c r="BF453" s="7">
        <f t="shared" si="88"/>
        <v>6.1938071730127539E-2</v>
      </c>
      <c r="BG453" s="7">
        <f t="shared" si="89"/>
        <v>6.1940054486155229E-2</v>
      </c>
      <c r="BH453" s="7" t="e">
        <f t="shared" si="90"/>
        <v>#N/A</v>
      </c>
      <c r="BI453" s="7" t="e">
        <f t="shared" si="94"/>
        <v>#N/A</v>
      </c>
      <c r="BJ453" s="7" t="e">
        <f t="shared" si="91"/>
        <v>#N/A</v>
      </c>
      <c r="BK453" s="7" t="e">
        <f t="shared" si="95"/>
        <v>#N/A</v>
      </c>
      <c r="BL453" s="7" t="e">
        <f t="shared" si="92"/>
        <v>#N/A</v>
      </c>
    </row>
    <row r="454" spans="2:64" ht="11.25" customHeight="1">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7">
        <f t="shared" si="83"/>
        <v>4.7459681802938913E-2</v>
      </c>
      <c r="BA454" s="7">
        <f t="shared" si="93"/>
        <v>-1.670000000000085</v>
      </c>
      <c r="BB454" s="7">
        <f t="shared" si="84"/>
        <v>9.8925470736309667E-2</v>
      </c>
      <c r="BC454" s="7" t="e">
        <f t="shared" si="85"/>
        <v>#N/A</v>
      </c>
      <c r="BD454" s="7">
        <f t="shared" si="86"/>
        <v>-1.670010000000085</v>
      </c>
      <c r="BE454" s="7">
        <f t="shared" si="87"/>
        <v>-1.6699900000000849</v>
      </c>
      <c r="BF454" s="7">
        <f t="shared" si="88"/>
        <v>6.2936605783577418E-2</v>
      </c>
      <c r="BG454" s="7">
        <f t="shared" si="89"/>
        <v>6.293861727407471E-2</v>
      </c>
      <c r="BH454" s="7" t="e">
        <f t="shared" si="90"/>
        <v>#N/A</v>
      </c>
      <c r="BI454" s="7" t="e">
        <f t="shared" si="94"/>
        <v>#N/A</v>
      </c>
      <c r="BJ454" s="7" t="e">
        <f t="shared" si="91"/>
        <v>#N/A</v>
      </c>
      <c r="BK454" s="7" t="e">
        <f t="shared" si="95"/>
        <v>#N/A</v>
      </c>
      <c r="BL454" s="7" t="e">
        <f t="shared" si="92"/>
        <v>#N/A</v>
      </c>
    </row>
    <row r="455" spans="2:64" ht="11.25" customHeight="1">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c r="AO455" s="6"/>
      <c r="AP455" s="6"/>
      <c r="AQ455" s="6"/>
      <c r="AR455" s="6"/>
      <c r="AS455" s="6"/>
      <c r="AT455" s="6"/>
      <c r="AU455" s="6"/>
      <c r="AV455" s="6"/>
      <c r="AW455" s="6"/>
      <c r="AX455" s="6"/>
      <c r="AY455" s="6"/>
      <c r="AZ455" s="7">
        <f t="shared" si="83"/>
        <v>4.8457226266714337E-2</v>
      </c>
      <c r="BA455" s="7">
        <f t="shared" si="93"/>
        <v>-1.660000000000085</v>
      </c>
      <c r="BB455" s="7">
        <f t="shared" si="84"/>
        <v>0.10058636842767636</v>
      </c>
      <c r="BC455" s="7" t="e">
        <f t="shared" si="85"/>
        <v>#N/A</v>
      </c>
      <c r="BD455" s="7">
        <f t="shared" si="86"/>
        <v>-1.660010000000085</v>
      </c>
      <c r="BE455" s="7">
        <f t="shared" si="87"/>
        <v>-1.6599900000000849</v>
      </c>
      <c r="BF455" s="7">
        <f t="shared" si="88"/>
        <v>6.3949586244313905E-2</v>
      </c>
      <c r="BG455" s="7">
        <f t="shared" si="89"/>
        <v>6.3951626786738144E-2</v>
      </c>
      <c r="BH455" s="7" t="e">
        <f t="shared" si="90"/>
        <v>#N/A</v>
      </c>
      <c r="BI455" s="7" t="e">
        <f t="shared" si="94"/>
        <v>#N/A</v>
      </c>
      <c r="BJ455" s="7" t="e">
        <f t="shared" si="91"/>
        <v>#N/A</v>
      </c>
      <c r="BK455" s="7" t="e">
        <f t="shared" si="95"/>
        <v>#N/A</v>
      </c>
      <c r="BL455" s="7" t="e">
        <f t="shared" si="92"/>
        <v>#N/A</v>
      </c>
    </row>
    <row r="456" spans="2:64" ht="11.25" customHeight="1">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7">
        <f t="shared" si="83"/>
        <v>4.9471468033639443E-2</v>
      </c>
      <c r="BA456" s="7">
        <f t="shared" si="93"/>
        <v>-1.650000000000085</v>
      </c>
      <c r="BB456" s="7">
        <f t="shared" si="84"/>
        <v>0.10226492456396366</v>
      </c>
      <c r="BC456" s="7" t="e">
        <f t="shared" si="85"/>
        <v>#N/A</v>
      </c>
      <c r="BD456" s="7">
        <f t="shared" si="86"/>
        <v>-1.650010000000085</v>
      </c>
      <c r="BE456" s="7">
        <f t="shared" si="87"/>
        <v>-1.6499900000000849</v>
      </c>
      <c r="BF456" s="7">
        <f t="shared" si="88"/>
        <v>6.4977172032827782E-2</v>
      </c>
      <c r="BG456" s="7">
        <f t="shared" si="89"/>
        <v>6.4979241945391814E-2</v>
      </c>
      <c r="BH456" s="7" t="e">
        <f t="shared" si="90"/>
        <v>#N/A</v>
      </c>
      <c r="BI456" s="7" t="e">
        <f t="shared" si="94"/>
        <v>#N/A</v>
      </c>
      <c r="BJ456" s="7" t="e">
        <f t="shared" si="91"/>
        <v>#N/A</v>
      </c>
      <c r="BK456" s="7" t="e">
        <f t="shared" si="95"/>
        <v>#N/A</v>
      </c>
      <c r="BL456" s="7" t="e">
        <f t="shared" si="92"/>
        <v>#N/A</v>
      </c>
    </row>
    <row r="457" spans="2:64" ht="11.25" customHeight="1">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c r="AO457" s="6"/>
      <c r="AP457" s="6"/>
      <c r="AQ457" s="6"/>
      <c r="AR457" s="6"/>
      <c r="AS457" s="6"/>
      <c r="AT457" s="6"/>
      <c r="AU457" s="6"/>
      <c r="AV457" s="6"/>
      <c r="AW457" s="6"/>
      <c r="AX457" s="6"/>
      <c r="AY457" s="6"/>
      <c r="AZ457" s="7">
        <f t="shared" si="83"/>
        <v>5.0502583474095086E-2</v>
      </c>
      <c r="BA457" s="7">
        <f t="shared" si="93"/>
        <v>-1.6400000000000849</v>
      </c>
      <c r="BB457" s="7">
        <f t="shared" si="84"/>
        <v>0.10396109532874971</v>
      </c>
      <c r="BC457" s="7" t="e">
        <f t="shared" si="85"/>
        <v>#N/A</v>
      </c>
      <c r="BD457" s="7">
        <f t="shared" si="86"/>
        <v>-1.640010000000085</v>
      </c>
      <c r="BE457" s="7">
        <f t="shared" si="87"/>
        <v>-1.6399900000000849</v>
      </c>
      <c r="BF457" s="7">
        <f t="shared" si="88"/>
        <v>6.6019522427192098E-2</v>
      </c>
      <c r="BG457" s="7">
        <f t="shared" si="89"/>
        <v>6.6021622028782964E-2</v>
      </c>
      <c r="BH457" s="7" t="e">
        <f t="shared" si="90"/>
        <v>#N/A</v>
      </c>
      <c r="BI457" s="7" t="e">
        <f t="shared" si="94"/>
        <v>#N/A</v>
      </c>
      <c r="BJ457" s="7" t="e">
        <f t="shared" si="91"/>
        <v>#N/A</v>
      </c>
      <c r="BK457" s="7" t="e">
        <f t="shared" si="95"/>
        <v>#N/A</v>
      </c>
      <c r="BL457" s="7" t="e">
        <f t="shared" si="92"/>
        <v>#N/A</v>
      </c>
    </row>
    <row r="458" spans="2:64" ht="11.25" customHeight="1">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7">
        <f t="shared" si="83"/>
        <v>5.1550748490080345E-2</v>
      </c>
      <c r="BA458" s="7">
        <f t="shared" si="93"/>
        <v>-1.6300000000000849</v>
      </c>
      <c r="BB458" s="7">
        <f t="shared" si="84"/>
        <v>0.10567483084874897</v>
      </c>
      <c r="BC458" s="7" t="e">
        <f t="shared" si="85"/>
        <v>#N/A</v>
      </c>
      <c r="BD458" s="7">
        <f t="shared" si="86"/>
        <v>-1.630010000000085</v>
      </c>
      <c r="BE458" s="7">
        <f t="shared" si="87"/>
        <v>-1.6299900000000849</v>
      </c>
      <c r="BF458" s="7">
        <f t="shared" si="88"/>
        <v>6.7076797021724949E-2</v>
      </c>
      <c r="BG458" s="7">
        <f t="shared" si="89"/>
        <v>6.707892663181983E-2</v>
      </c>
      <c r="BH458" s="7" t="e">
        <f t="shared" si="90"/>
        <v>#N/A</v>
      </c>
      <c r="BI458" s="7" t="e">
        <f t="shared" si="94"/>
        <v>#N/A</v>
      </c>
      <c r="BJ458" s="7" t="e">
        <f t="shared" si="91"/>
        <v>#N/A</v>
      </c>
      <c r="BK458" s="7" t="e">
        <f t="shared" si="95"/>
        <v>#N/A</v>
      </c>
      <c r="BL458" s="7" t="e">
        <f t="shared" si="92"/>
        <v>#N/A</v>
      </c>
    </row>
    <row r="459" spans="2:64" ht="11.25" customHeight="1">
      <c r="AZ459" s="7">
        <f t="shared" si="83"/>
        <v>5.2616138454242956E-2</v>
      </c>
      <c r="BA459" s="7">
        <f t="shared" si="93"/>
        <v>-1.6200000000000849</v>
      </c>
      <c r="BB459" s="7">
        <f t="shared" si="84"/>
        <v>0.10740607511346904</v>
      </c>
      <c r="BC459" s="7" t="e">
        <f t="shared" si="85"/>
        <v>#N/A</v>
      </c>
      <c r="BD459" s="7">
        <f t="shared" si="86"/>
        <v>-1.620010000000085</v>
      </c>
      <c r="BE459" s="7">
        <f t="shared" si="87"/>
        <v>-1.6199900000000849</v>
      </c>
      <c r="BF459" s="7">
        <f t="shared" si="88"/>
        <v>6.8149155684476631E-2</v>
      </c>
      <c r="BG459" s="7">
        <f t="shared" si="89"/>
        <v>6.8151315623057068E-2</v>
      </c>
      <c r="BH459" s="7" t="e">
        <f t="shared" si="90"/>
        <v>#N/A</v>
      </c>
      <c r="BI459" s="7" t="e">
        <f t="shared" si="94"/>
        <v>#N/A</v>
      </c>
      <c r="BJ459" s="7" t="e">
        <f t="shared" si="91"/>
        <v>#N/A</v>
      </c>
      <c r="BK459" s="7" t="e">
        <f t="shared" si="95"/>
        <v>#N/A</v>
      </c>
      <c r="BL459" s="7" t="e">
        <f t="shared" si="92"/>
        <v>#N/A</v>
      </c>
    </row>
    <row r="460" spans="2:64" ht="11.25" customHeight="1">
      <c r="AZ460" s="7">
        <f t="shared" si="83"/>
        <v>5.3698928148110503E-2</v>
      </c>
      <c r="BA460" s="7">
        <f t="shared" si="93"/>
        <v>-1.6100000000000849</v>
      </c>
      <c r="BB460" s="7">
        <f t="shared" si="84"/>
        <v>0.10915476589663244</v>
      </c>
      <c r="BC460" s="7" t="e">
        <f t="shared" si="85"/>
        <v>#N/A</v>
      </c>
      <c r="BD460" s="7">
        <f t="shared" si="86"/>
        <v>-1.610010000000085</v>
      </c>
      <c r="BE460" s="7">
        <f t="shared" si="87"/>
        <v>-1.6099900000000849</v>
      </c>
      <c r="BF460" s="7">
        <f t="shared" si="88"/>
        <v>6.9236758513535265E-2</v>
      </c>
      <c r="BG460" s="7">
        <f t="shared" si="89"/>
        <v>6.9238949100997968E-2</v>
      </c>
      <c r="BH460" s="7" t="e">
        <f t="shared" si="90"/>
        <v>#N/A</v>
      </c>
      <c r="BI460" s="7" t="e">
        <f t="shared" si="94"/>
        <v>#N/A</v>
      </c>
      <c r="BJ460" s="7" t="e">
        <f t="shared" si="91"/>
        <v>#N/A</v>
      </c>
      <c r="BK460" s="7" t="e">
        <f t="shared" si="95"/>
        <v>#N/A</v>
      </c>
      <c r="BL460" s="7" t="e">
        <f t="shared" si="92"/>
        <v>#N/A</v>
      </c>
    </row>
    <row r="461" spans="2:64" ht="11.25" customHeight="1">
      <c r="AZ461" s="7">
        <f t="shared" si="83"/>
        <v>5.4799291699548558E-2</v>
      </c>
      <c r="BA461" s="7">
        <f t="shared" si="93"/>
        <v>-1.6000000000000849</v>
      </c>
      <c r="BB461" s="7">
        <f t="shared" si="84"/>
        <v>0.11092083467944047</v>
      </c>
      <c r="BC461" s="7" t="e">
        <f t="shared" si="85"/>
        <v>#N/A</v>
      </c>
      <c r="BD461" s="7">
        <f t="shared" si="86"/>
        <v>-1.600010000000085</v>
      </c>
      <c r="BE461" s="7">
        <f t="shared" si="87"/>
        <v>-1.5999900000000848</v>
      </c>
      <c r="BF461" s="7">
        <f t="shared" si="88"/>
        <v>7.0339765792143266E-2</v>
      </c>
      <c r="BG461" s="7">
        <f t="shared" si="89"/>
        <v>7.0341987349209767E-2</v>
      </c>
      <c r="BH461" s="7" t="e">
        <f t="shared" si="90"/>
        <v>#N/A</v>
      </c>
      <c r="BI461" s="7" t="e">
        <f t="shared" si="94"/>
        <v>#N/A</v>
      </c>
      <c r="BJ461" s="7" t="e">
        <f t="shared" si="91"/>
        <v>#N/A</v>
      </c>
      <c r="BK461" s="7" t="e">
        <f t="shared" si="95"/>
        <v>#N/A</v>
      </c>
      <c r="BL461" s="7" t="e">
        <f t="shared" si="92"/>
        <v>#N/A</v>
      </c>
    </row>
    <row r="462" spans="2:64" ht="11.25" customHeight="1">
      <c r="AZ462" s="7">
        <f t="shared" si="83"/>
        <v>5.591740251945998E-2</v>
      </c>
      <c r="BA462" s="7">
        <f t="shared" si="93"/>
        <v>-1.5900000000000849</v>
      </c>
      <c r="BB462" s="7">
        <f t="shared" si="84"/>
        <v>0.11270420657575535</v>
      </c>
      <c r="BC462" s="7" t="e">
        <f t="shared" si="85"/>
        <v>#N/A</v>
      </c>
      <c r="BD462" s="7">
        <f t="shared" si="86"/>
        <v>-1.590010000000085</v>
      </c>
      <c r="BE462" s="7">
        <f t="shared" si="87"/>
        <v>-1.5899900000000848</v>
      </c>
      <c r="BF462" s="7">
        <f t="shared" si="88"/>
        <v>7.1458337942619132E-2</v>
      </c>
      <c r="BG462" s="7">
        <f t="shared" si="89"/>
        <v>7.1460590790241862E-2</v>
      </c>
      <c r="BH462" s="7" t="e">
        <f t="shared" si="90"/>
        <v>#N/A</v>
      </c>
      <c r="BI462" s="7" t="e">
        <f t="shared" si="94"/>
        <v>#N/A</v>
      </c>
      <c r="BJ462" s="7" t="e">
        <f t="shared" si="91"/>
        <v>#N/A</v>
      </c>
      <c r="BK462" s="7" t="e">
        <f t="shared" si="95"/>
        <v>#N/A</v>
      </c>
      <c r="BL462" s="7" t="e">
        <f t="shared" si="92"/>
        <v>#N/A</v>
      </c>
    </row>
    <row r="463" spans="2:64" ht="11.25" customHeight="1">
      <c r="AZ463" s="7">
        <f t="shared" si="83"/>
        <v>5.7053433237744478E-2</v>
      </c>
      <c r="BA463" s="7">
        <f t="shared" si="93"/>
        <v>-1.5800000000000849</v>
      </c>
      <c r="BB463" s="7">
        <f t="shared" si="84"/>
        <v>0.11450480025927701</v>
      </c>
      <c r="BC463" s="7" t="e">
        <f t="shared" si="85"/>
        <v>#N/A</v>
      </c>
      <c r="BD463" s="7">
        <f t="shared" si="86"/>
        <v>-1.580010000000085</v>
      </c>
      <c r="BE463" s="7">
        <f t="shared" si="87"/>
        <v>-1.5799900000000848</v>
      </c>
      <c r="BF463" s="7">
        <f t="shared" si="88"/>
        <v>7.2592638115731856E-2</v>
      </c>
      <c r="BG463" s="7">
        <f t="shared" si="89"/>
        <v>7.2594922575605569E-2</v>
      </c>
      <c r="BH463" s="7" t="e">
        <f t="shared" si="90"/>
        <v>#N/A</v>
      </c>
      <c r="BI463" s="7" t="e">
        <f t="shared" si="94"/>
        <v>#N/A</v>
      </c>
      <c r="BJ463" s="7" t="e">
        <f t="shared" si="91"/>
        <v>#N/A</v>
      </c>
      <c r="BK463" s="7" t="e">
        <f t="shared" si="95"/>
        <v>#N/A</v>
      </c>
      <c r="BL463" s="7" t="e">
        <f t="shared" si="92"/>
        <v>#N/A</v>
      </c>
    </row>
    <row r="464" spans="2:64" ht="11.25" customHeight="1">
      <c r="AZ464" s="7">
        <f t="shared" si="83"/>
        <v>5.8207555638543074E-2</v>
      </c>
      <c r="BA464" s="7">
        <f t="shared" si="93"/>
        <v>-1.5700000000000849</v>
      </c>
      <c r="BB464" s="7">
        <f t="shared" si="84"/>
        <v>0.11632252789279157</v>
      </c>
      <c r="BC464" s="7" t="e">
        <f t="shared" si="85"/>
        <v>#N/A</v>
      </c>
      <c r="BD464" s="7">
        <f t="shared" si="86"/>
        <v>-1.5700100000000849</v>
      </c>
      <c r="BE464" s="7">
        <f t="shared" si="87"/>
        <v>-1.5699900000000848</v>
      </c>
      <c r="BF464" s="7">
        <f t="shared" si="88"/>
        <v>7.3742821917507584E-2</v>
      </c>
      <c r="BG464" s="7">
        <f t="shared" si="89"/>
        <v>7.3745138310226832E-2</v>
      </c>
      <c r="BH464" s="7" t="e">
        <f t="shared" si="90"/>
        <v>#N/A</v>
      </c>
      <c r="BI464" s="7" t="e">
        <f t="shared" si="94"/>
        <v>#N/A</v>
      </c>
      <c r="BJ464" s="7" t="e">
        <f t="shared" si="91"/>
        <v>#N/A</v>
      </c>
      <c r="BK464" s="7" t="e">
        <f t="shared" si="95"/>
        <v>#N/A</v>
      </c>
      <c r="BL464" s="7" t="e">
        <f t="shared" si="92"/>
        <v>#N/A</v>
      </c>
    </row>
    <row r="465" spans="52:64" ht="11.25" customHeight="1">
      <c r="AZ465" s="7">
        <f t="shared" si="83"/>
        <v>5.9379940594783021E-2</v>
      </c>
      <c r="BA465" s="7">
        <f t="shared" si="93"/>
        <v>-1.5600000000000849</v>
      </c>
      <c r="BB465" s="7">
        <f t="shared" si="84"/>
        <v>0.11815729505956662</v>
      </c>
      <c r="BC465" s="7" t="e">
        <f t="shared" si="85"/>
        <v>#N/A</v>
      </c>
      <c r="BD465" s="7">
        <f t="shared" si="86"/>
        <v>-1.5600100000000849</v>
      </c>
      <c r="BE465" s="7">
        <f t="shared" si="87"/>
        <v>-1.5599900000000848</v>
      </c>
      <c r="BF465" s="7">
        <f t="shared" si="88"/>
        <v>7.4909052254068409E-2</v>
      </c>
      <c r="BG465" s="7">
        <f t="shared" si="89"/>
        <v>7.4911400900704583E-2</v>
      </c>
      <c r="BH465" s="7" t="e">
        <f t="shared" si="90"/>
        <v>#N/A</v>
      </c>
      <c r="BI465" s="7" t="e">
        <f t="shared" si="94"/>
        <v>#N/A</v>
      </c>
      <c r="BJ465" s="7" t="e">
        <f t="shared" si="91"/>
        <v>#N/A</v>
      </c>
      <c r="BK465" s="7" t="e">
        <f t="shared" si="95"/>
        <v>#N/A</v>
      </c>
      <c r="BL465" s="7" t="e">
        <f t="shared" si="92"/>
        <v>#N/A</v>
      </c>
    </row>
    <row r="466" spans="52:64" ht="11.25" customHeight="1">
      <c r="AZ466" s="7">
        <f t="shared" si="83"/>
        <v>6.0570758002048697E-2</v>
      </c>
      <c r="BA466" s="7">
        <f t="shared" si="93"/>
        <v>-1.5500000000000849</v>
      </c>
      <c r="BB466" s="7">
        <f t="shared" si="84"/>
        <v>0.12000900069696979</v>
      </c>
      <c r="BC466" s="7" t="e">
        <f t="shared" si="85"/>
        <v>#N/A</v>
      </c>
      <c r="BD466" s="7">
        <f t="shared" si="86"/>
        <v>-1.5500100000000849</v>
      </c>
      <c r="BE466" s="7">
        <f t="shared" si="87"/>
        <v>-1.5499900000000848</v>
      </c>
      <c r="BF466" s="7">
        <f t="shared" si="88"/>
        <v>7.6091489624296293E-2</v>
      </c>
      <c r="BG466" s="7">
        <f t="shared" si="89"/>
        <v>7.6093870845755474E-2</v>
      </c>
      <c r="BH466" s="7" t="e">
        <f t="shared" si="90"/>
        <v>#N/A</v>
      </c>
      <c r="BI466" s="7" t="e">
        <f t="shared" si="94"/>
        <v>#N/A</v>
      </c>
      <c r="BJ466" s="7" t="e">
        <f t="shared" si="91"/>
        <v>#N/A</v>
      </c>
      <c r="BK466" s="7" t="e">
        <f t="shared" si="95"/>
        <v>#N/A</v>
      </c>
      <c r="BL466" s="7" t="e">
        <f t="shared" si="92"/>
        <v>#N/A</v>
      </c>
    </row>
    <row r="467" spans="52:64" ht="11.25" customHeight="1">
      <c r="AZ467" s="7">
        <f t="shared" si="83"/>
        <v>6.1780176711801582E-2</v>
      </c>
      <c r="BA467" s="7">
        <f t="shared" si="93"/>
        <v>-1.5400000000000849</v>
      </c>
      <c r="BB467" s="7">
        <f t="shared" si="84"/>
        <v>0.12187753703238581</v>
      </c>
      <c r="BC467" s="7" t="e">
        <f t="shared" si="85"/>
        <v>#N/A</v>
      </c>
      <c r="BD467" s="7">
        <f t="shared" si="86"/>
        <v>-1.5400100000000849</v>
      </c>
      <c r="BE467" s="7">
        <f t="shared" si="87"/>
        <v>-1.5399900000000848</v>
      </c>
      <c r="BF467" s="7">
        <f t="shared" si="88"/>
        <v>7.729029441832963E-2</v>
      </c>
      <c r="BG467" s="7">
        <f t="shared" si="89"/>
        <v>7.7292708535248389E-2</v>
      </c>
      <c r="BH467" s="7" t="e">
        <f t="shared" si="90"/>
        <v>#N/A</v>
      </c>
      <c r="BI467" s="7" t="e">
        <f t="shared" si="94"/>
        <v>#N/A</v>
      </c>
      <c r="BJ467" s="7" t="e">
        <f t="shared" si="91"/>
        <v>#N/A</v>
      </c>
      <c r="BK467" s="7" t="e">
        <f t="shared" si="95"/>
        <v>#N/A</v>
      </c>
      <c r="BL467" s="7" t="e">
        <f t="shared" si="92"/>
        <v>#N/A</v>
      </c>
    </row>
    <row r="468" spans="52:64" ht="11.25" customHeight="1">
      <c r="AZ468" s="7">
        <f t="shared" si="83"/>
        <v>6.3008364463967959E-2</v>
      </c>
      <c r="BA468" s="7">
        <f t="shared" si="93"/>
        <v>-1.5300000000000848</v>
      </c>
      <c r="BB468" s="7">
        <f t="shared" si="84"/>
        <v>0.12376278952150704</v>
      </c>
      <c r="BC468" s="7" t="e">
        <f t="shared" si="85"/>
        <v>#N/A</v>
      </c>
      <c r="BD468" s="7">
        <f t="shared" si="86"/>
        <v>-1.5300100000000849</v>
      </c>
      <c r="BE468" s="7">
        <f t="shared" si="87"/>
        <v>-1.5299900000000848</v>
      </c>
      <c r="BF468" s="7">
        <f t="shared" si="88"/>
        <v>7.8505626864316891E-2</v>
      </c>
      <c r="BG468" s="7">
        <f t="shared" si="89"/>
        <v>7.8508074196952549E-2</v>
      </c>
      <c r="BH468" s="7" t="e">
        <f t="shared" si="90"/>
        <v>#N/A</v>
      </c>
      <c r="BI468" s="7" t="e">
        <f t="shared" si="94"/>
        <v>#N/A</v>
      </c>
      <c r="BJ468" s="7" t="e">
        <f t="shared" si="91"/>
        <v>#N/A</v>
      </c>
      <c r="BK468" s="7" t="e">
        <f t="shared" si="95"/>
        <v>#N/A</v>
      </c>
      <c r="BL468" s="7" t="e">
        <f t="shared" si="92"/>
        <v>#N/A</v>
      </c>
    </row>
    <row r="469" spans="52:64" ht="11.25" customHeight="1">
      <c r="AZ469" s="7">
        <f t="shared" ref="AZ469:AZ532" si="96">NORMDIST(BA469,$BA$17,$BA$18,TRUE)</f>
        <v>6.4255487818925205E-2</v>
      </c>
      <c r="BA469" s="7">
        <f t="shared" si="93"/>
        <v>-1.5200000000000848</v>
      </c>
      <c r="BB469" s="7">
        <f t="shared" ref="BB469:BB532" si="97">IF($BA$13=1,NORMDIST(BA469,$BA$17,$BA$18,FALSE),NA())</f>
        <v>0.12566463678907192</v>
      </c>
      <c r="BC469" s="7" t="e">
        <f t="shared" ref="BC469:BC532" si="98">IF($BA$13=3,NORMDIST(BA469,$BA$17,$BA$18,FALSE),NA())</f>
        <v>#N/A</v>
      </c>
      <c r="BD469" s="7">
        <f t="shared" ref="BD469:BD532" si="99">BA469-$BD$19</f>
        <v>-1.5200100000000849</v>
      </c>
      <c r="BE469" s="7">
        <f t="shared" ref="BE469:BE532" si="100">BA469+$BD$19</f>
        <v>-1.5199900000000848</v>
      </c>
      <c r="BF469" s="7">
        <f t="shared" ref="BF469:BF532" si="101">IF(BD469&lt;0,TDIST(-BD469,$BA$14,1),1-TDIST(BD469,$BA$14,1))</f>
        <v>7.9737646973961795E-2</v>
      </c>
      <c r="BG469" s="7">
        <f t="shared" ref="BG469:BG532" si="102">IF(BE469&lt;0,TDIST(-BE469,$BA$14,1),1-TDIST(BE469,$BA$14,1))</f>
        <v>7.9740127842083619E-2</v>
      </c>
      <c r="BH469" s="7" t="e">
        <f t="shared" ref="BH469:BH532" si="103">IF($BA$13&gt;1,(BG469-BF469)/(2*$BD$19),NA())</f>
        <v>#N/A</v>
      </c>
      <c r="BI469" s="7" t="e">
        <f t="shared" si="94"/>
        <v>#N/A</v>
      </c>
      <c r="BJ469" s="7" t="e">
        <f t="shared" ref="BJ469:BJ532" si="104">IF(ISNUMBER(BI469),BI469-$BJ$19,NA())</f>
        <v>#N/A</v>
      </c>
      <c r="BK469" s="7" t="e">
        <f t="shared" si="95"/>
        <v>#N/A</v>
      </c>
      <c r="BL469" s="7" t="e">
        <f t="shared" ref="BL469:BL532" si="105">IF(ISNUMBER(BK469),BK469-$BL$19,NA())</f>
        <v>#N/A</v>
      </c>
    </row>
    <row r="470" spans="52:64" ht="11.25" customHeight="1">
      <c r="AZ470" s="7">
        <f t="shared" si="96"/>
        <v>6.552171208890567E-2</v>
      </c>
      <c r="BA470" s="7">
        <f t="shared" ref="BA470:BA533" si="106">BA469+$BD$10</f>
        <v>-1.5100000000000848</v>
      </c>
      <c r="BB470" s="7">
        <f t="shared" si="97"/>
        <v>0.12758295057212551</v>
      </c>
      <c r="BC470" s="7" t="e">
        <f t="shared" si="98"/>
        <v>#N/A</v>
      </c>
      <c r="BD470" s="7">
        <f t="shared" si="99"/>
        <v>-1.5100100000000849</v>
      </c>
      <c r="BE470" s="7">
        <f t="shared" si="100"/>
        <v>-1.5099900000000848</v>
      </c>
      <c r="BF470" s="7">
        <f t="shared" si="101"/>
        <v>8.0986514486866001E-2</v>
      </c>
      <c r="BG470" s="7">
        <f t="shared" si="102"/>
        <v>8.0989029209643515E-2</v>
      </c>
      <c r="BH470" s="7" t="e">
        <f t="shared" si="103"/>
        <v>#N/A</v>
      </c>
      <c r="BI470" s="7" t="e">
        <f t="shared" ref="BI470:BI533" si="107">IF($BA$15=1,IF(OR(AND(BA470&gt;=$BI$18,$BN$18&gt;=0),AND(BA470&lt;=-$BI$18,$BN$18&lt;0)),BB470,NA()),IF($BA$15=2,IF(ABS(BA470)&gt;=$BI$18,BB470,NA()),NA()))</f>
        <v>#N/A</v>
      </c>
      <c r="BJ470" s="7" t="e">
        <f t="shared" si="104"/>
        <v>#N/A</v>
      </c>
      <c r="BK470" s="7" t="e">
        <f t="shared" ref="BK470:BK533" si="108">IF($BA$15=1,IF(OR(AND(BA470&gt;=$BK$18,$BN$18&gt;=0),AND(BA470&lt;=-$BK$18,$BN$18&lt;0)),BH470,NA()),IF($BA$15=2,IF(ABS(BA470)&gt;=$BK$18,BH470,NA()),NA()))</f>
        <v>#N/A</v>
      </c>
      <c r="BL470" s="7" t="e">
        <f t="shared" si="105"/>
        <v>#N/A</v>
      </c>
    </row>
    <row r="471" spans="52:64" ht="11.25" customHeight="1">
      <c r="AZ471" s="7">
        <f t="shared" si="96"/>
        <v>6.6807201268847094E-2</v>
      </c>
      <c r="BA471" s="7">
        <f t="shared" si="106"/>
        <v>-1.5000000000000848</v>
      </c>
      <c r="BB471" s="7">
        <f t="shared" si="97"/>
        <v>0.12951759566587526</v>
      </c>
      <c r="BC471" s="7" t="e">
        <f t="shared" si="98"/>
        <v>#N/A</v>
      </c>
      <c r="BD471" s="7">
        <f t="shared" si="99"/>
        <v>-1.5000100000000849</v>
      </c>
      <c r="BE471" s="7">
        <f t="shared" si="100"/>
        <v>-1.4999900000000848</v>
      </c>
      <c r="BF471" s="7">
        <f t="shared" si="101"/>
        <v>8.2252388813670918E-2</v>
      </c>
      <c r="BG471" s="7">
        <f t="shared" si="102"/>
        <v>8.2254937709556719E-2</v>
      </c>
      <c r="BH471" s="7" t="e">
        <f t="shared" si="103"/>
        <v>#N/A</v>
      </c>
      <c r="BI471" s="7" t="e">
        <f t="shared" si="107"/>
        <v>#N/A</v>
      </c>
      <c r="BJ471" s="7" t="e">
        <f t="shared" si="104"/>
        <v>#N/A</v>
      </c>
      <c r="BK471" s="7" t="e">
        <f t="shared" si="108"/>
        <v>#N/A</v>
      </c>
      <c r="BL471" s="7" t="e">
        <f t="shared" si="105"/>
        <v>#N/A</v>
      </c>
    </row>
    <row r="472" spans="52:64" ht="11.25" customHeight="1">
      <c r="AZ472" s="7">
        <f t="shared" si="96"/>
        <v>6.8112117966714347E-2</v>
      </c>
      <c r="BA472" s="7">
        <f t="shared" si="106"/>
        <v>-1.4900000000000848</v>
      </c>
      <c r="BB472" s="7">
        <f t="shared" si="97"/>
        <v>0.13146842987221441</v>
      </c>
      <c r="BC472" s="7" t="e">
        <f t="shared" si="98"/>
        <v>#N/A</v>
      </c>
      <c r="BD472" s="7">
        <f t="shared" si="99"/>
        <v>-1.4900100000000849</v>
      </c>
      <c r="BE472" s="7">
        <f t="shared" si="100"/>
        <v>-1.4899900000000847</v>
      </c>
      <c r="BF472" s="7">
        <f t="shared" si="101"/>
        <v>8.3535428978000037E-2</v>
      </c>
      <c r="BG472" s="7">
        <f t="shared" si="102"/>
        <v>8.3538012364614278E-2</v>
      </c>
      <c r="BH472" s="7" t="e">
        <f t="shared" si="103"/>
        <v>#N/A</v>
      </c>
      <c r="BI472" s="7" t="e">
        <f t="shared" si="107"/>
        <v>#N/A</v>
      </c>
      <c r="BJ472" s="7" t="e">
        <f t="shared" si="104"/>
        <v>#N/A</v>
      </c>
      <c r="BK472" s="7" t="e">
        <f t="shared" si="108"/>
        <v>#N/A</v>
      </c>
      <c r="BL472" s="7" t="e">
        <f t="shared" si="105"/>
        <v>#N/A</v>
      </c>
    </row>
    <row r="473" spans="52:64" ht="11.25" customHeight="1">
      <c r="AZ473" s="7">
        <f t="shared" si="96"/>
        <v>6.9436623333320346E-2</v>
      </c>
      <c r="BA473" s="7">
        <f t="shared" si="106"/>
        <v>-1.4800000000000848</v>
      </c>
      <c r="BB473" s="7">
        <f t="shared" si="97"/>
        <v>0.13343530395098555</v>
      </c>
      <c r="BC473" s="7" t="e">
        <f t="shared" si="98"/>
        <v>#N/A</v>
      </c>
      <c r="BD473" s="7">
        <f t="shared" si="99"/>
        <v>-1.4800100000000849</v>
      </c>
      <c r="BE473" s="7">
        <f t="shared" si="100"/>
        <v>-1.4799900000000847</v>
      </c>
      <c r="BF473" s="7">
        <f t="shared" si="101"/>
        <v>8.4835793557206829E-2</v>
      </c>
      <c r="BG473" s="7">
        <f t="shared" si="102"/>
        <v>8.4838411751216702E-2</v>
      </c>
      <c r="BH473" s="7" t="e">
        <f t="shared" si="103"/>
        <v>#N/A</v>
      </c>
      <c r="BI473" s="7" t="e">
        <f t="shared" si="107"/>
        <v>#N/A</v>
      </c>
      <c r="BJ473" s="7" t="e">
        <f t="shared" si="104"/>
        <v>#N/A</v>
      </c>
      <c r="BK473" s="7" t="e">
        <f t="shared" si="108"/>
        <v>#N/A</v>
      </c>
      <c r="BL473" s="7" t="e">
        <f t="shared" si="105"/>
        <v>#N/A</v>
      </c>
    </row>
    <row r="474" spans="52:64" ht="11.25" customHeight="1">
      <c r="AZ474" s="7">
        <f t="shared" si="96"/>
        <v>7.0780876991674124E-2</v>
      </c>
      <c r="BA474" s="7">
        <f t="shared" si="106"/>
        <v>-1.4700000000000848</v>
      </c>
      <c r="BB474" s="7">
        <f t="shared" si="97"/>
        <v>0.13541806157405439</v>
      </c>
      <c r="BC474" s="7" t="e">
        <f t="shared" si="98"/>
        <v>#N/A</v>
      </c>
      <c r="BD474" s="7">
        <f t="shared" si="99"/>
        <v>-1.4700100000000849</v>
      </c>
      <c r="BE474" s="7">
        <f t="shared" si="100"/>
        <v>-1.4699900000000847</v>
      </c>
      <c r="BF474" s="7">
        <f t="shared" si="101"/>
        <v>8.6153640621936867E-2</v>
      </c>
      <c r="BG474" s="7">
        <f t="shared" si="102"/>
        <v>8.6156293938934425E-2</v>
      </c>
      <c r="BH474" s="7" t="e">
        <f t="shared" si="103"/>
        <v>#N/A</v>
      </c>
      <c r="BI474" s="7" t="e">
        <f t="shared" si="107"/>
        <v>#N/A</v>
      </c>
      <c r="BJ474" s="7" t="e">
        <f t="shared" si="104"/>
        <v>#N/A</v>
      </c>
      <c r="BK474" s="7" t="e">
        <f t="shared" si="108"/>
        <v>#N/A</v>
      </c>
      <c r="BL474" s="7" t="e">
        <f t="shared" si="105"/>
        <v>#N/A</v>
      </c>
    </row>
    <row r="475" spans="52:64" ht="11.25" customHeight="1">
      <c r="AZ475" s="7">
        <f t="shared" si="96"/>
        <v>7.2145036965882148E-2</v>
      </c>
      <c r="BA475" s="7">
        <f t="shared" si="106"/>
        <v>-1.4600000000000848</v>
      </c>
      <c r="BB475" s="7">
        <f t="shared" si="97"/>
        <v>0.13741653928226474</v>
      </c>
      <c r="BC475" s="7" t="e">
        <f t="shared" si="98"/>
        <v>#N/A</v>
      </c>
      <c r="BD475" s="7">
        <f t="shared" si="99"/>
        <v>-1.4600100000000849</v>
      </c>
      <c r="BE475" s="7">
        <f t="shared" si="100"/>
        <v>-1.4599900000000847</v>
      </c>
      <c r="BF475" s="7">
        <f t="shared" si="101"/>
        <v>8.7489127674506006E-2</v>
      </c>
      <c r="BG475" s="7">
        <f t="shared" si="102"/>
        <v>8.7491816428885205E-2</v>
      </c>
      <c r="BH475" s="7" t="e">
        <f t="shared" si="103"/>
        <v>#N/A</v>
      </c>
      <c r="BI475" s="7" t="e">
        <f t="shared" si="107"/>
        <v>#N/A</v>
      </c>
      <c r="BJ475" s="7" t="e">
        <f t="shared" si="104"/>
        <v>#N/A</v>
      </c>
      <c r="BK475" s="7" t="e">
        <f t="shared" si="108"/>
        <v>#N/A</v>
      </c>
      <c r="BL475" s="7" t="e">
        <f t="shared" si="105"/>
        <v>#N/A</v>
      </c>
    </row>
    <row r="476" spans="52:64" ht="11.25" customHeight="1">
      <c r="AZ476" s="7">
        <f t="shared" si="96"/>
        <v>7.3529259609636632E-2</v>
      </c>
      <c r="BA476" s="7">
        <f t="shared" si="106"/>
        <v>-1.4500000000000848</v>
      </c>
      <c r="BB476" s="7">
        <f t="shared" si="97"/>
        <v>0.1394305664453431</v>
      </c>
      <c r="BC476" s="7" t="e">
        <f t="shared" si="98"/>
        <v>#N/A</v>
      </c>
      <c r="BD476" s="7">
        <f t="shared" si="99"/>
        <v>-1.4500100000000848</v>
      </c>
      <c r="BE476" s="7">
        <f t="shared" si="100"/>
        <v>-1.4499900000000847</v>
      </c>
      <c r="BF476" s="7">
        <f t="shared" si="101"/>
        <v>8.8842411586107561E-2</v>
      </c>
      <c r="BG476" s="7">
        <f t="shared" si="102"/>
        <v>8.8845136090935695E-2</v>
      </c>
      <c r="BH476" s="7" t="e">
        <f t="shared" si="103"/>
        <v>#N/A</v>
      </c>
      <c r="BI476" s="7" t="e">
        <f t="shared" si="107"/>
        <v>#N/A</v>
      </c>
      <c r="BJ476" s="7" t="e">
        <f t="shared" si="104"/>
        <v>#N/A</v>
      </c>
      <c r="BK476" s="7" t="e">
        <f t="shared" si="108"/>
        <v>#N/A</v>
      </c>
      <c r="BL476" s="7" t="e">
        <f t="shared" si="105"/>
        <v>#N/A</v>
      </c>
    </row>
    <row r="477" spans="52:64" ht="11.25" customHeight="1">
      <c r="AZ477" s="7">
        <f t="shared" si="96"/>
        <v>7.4933699534315168E-2</v>
      </c>
      <c r="BA477" s="7">
        <f t="shared" si="106"/>
        <v>-1.4400000000000848</v>
      </c>
      <c r="BB477" s="7">
        <f t="shared" si="97"/>
        <v>0.14145996522482149</v>
      </c>
      <c r="BC477" s="7" t="e">
        <f t="shared" si="98"/>
        <v>#N/A</v>
      </c>
      <c r="BD477" s="7">
        <f t="shared" si="99"/>
        <v>-1.4400100000000848</v>
      </c>
      <c r="BE477" s="7">
        <f t="shared" si="100"/>
        <v>-1.4399900000000847</v>
      </c>
      <c r="BF477" s="7">
        <f t="shared" si="101"/>
        <v>9.0213648532850743E-2</v>
      </c>
      <c r="BG477" s="7">
        <f t="shared" si="102"/>
        <v>9.0216409099740547E-2</v>
      </c>
      <c r="BH477" s="7" t="e">
        <f t="shared" si="103"/>
        <v>#N/A</v>
      </c>
      <c r="BI477" s="7" t="e">
        <f t="shared" si="107"/>
        <v>#N/A</v>
      </c>
      <c r="BJ477" s="7" t="e">
        <f t="shared" si="104"/>
        <v>#N/A</v>
      </c>
      <c r="BK477" s="7" t="e">
        <f t="shared" si="108"/>
        <v>#N/A</v>
      </c>
      <c r="BL477" s="7" t="e">
        <f t="shared" si="105"/>
        <v>#N/A</v>
      </c>
    </row>
    <row r="478" spans="52:64" ht="11.25" customHeight="1">
      <c r="AZ478" s="7">
        <f t="shared" si="96"/>
        <v>7.6358509536726737E-2</v>
      </c>
      <c r="BA478" s="7">
        <f t="shared" si="106"/>
        <v>-1.4300000000000848</v>
      </c>
      <c r="BB478" s="7">
        <f t="shared" si="97"/>
        <v>0.14350455054004502</v>
      </c>
      <c r="BC478" s="7" t="e">
        <f t="shared" si="98"/>
        <v>#N/A</v>
      </c>
      <c r="BD478" s="7">
        <f t="shared" si="99"/>
        <v>-1.4300100000000848</v>
      </c>
      <c r="BE478" s="7">
        <f t="shared" si="100"/>
        <v>-1.4299900000000847</v>
      </c>
      <c r="BF478" s="7">
        <f t="shared" si="101"/>
        <v>9.1602993930649468E-2</v>
      </c>
      <c r="BG478" s="7">
        <f t="shared" si="102"/>
        <v>9.1605790869626391E-2</v>
      </c>
      <c r="BH478" s="7" t="e">
        <f t="shared" si="103"/>
        <v>#N/A</v>
      </c>
      <c r="BI478" s="7" t="e">
        <f t="shared" si="107"/>
        <v>#N/A</v>
      </c>
      <c r="BJ478" s="7" t="e">
        <f t="shared" si="104"/>
        <v>#N/A</v>
      </c>
      <c r="BK478" s="7" t="e">
        <f t="shared" si="108"/>
        <v>#N/A</v>
      </c>
      <c r="BL478" s="7" t="e">
        <f t="shared" si="105"/>
        <v>#N/A</v>
      </c>
    </row>
    <row r="479" spans="52:64" ht="11.25" customHeight="1">
      <c r="AZ479" s="7">
        <f t="shared" si="96"/>
        <v>7.7803840526533996E-2</v>
      </c>
      <c r="BA479" s="7">
        <f t="shared" si="106"/>
        <v>-1.4200000000000847</v>
      </c>
      <c r="BB479" s="7">
        <f t="shared" si="97"/>
        <v>0.14556413003733007</v>
      </c>
      <c r="BC479" s="7" t="e">
        <f t="shared" si="98"/>
        <v>#N/A</v>
      </c>
      <c r="BD479" s="7">
        <f t="shared" si="99"/>
        <v>-1.4200100000000848</v>
      </c>
      <c r="BE479" s="7">
        <f t="shared" si="100"/>
        <v>-1.4199900000000847</v>
      </c>
      <c r="BF479" s="7">
        <f t="shared" si="101"/>
        <v>9.3010602368961248E-2</v>
      </c>
      <c r="BG479" s="7">
        <f t="shared" si="102"/>
        <v>9.3013435988331505E-2</v>
      </c>
      <c r="BH479" s="7" t="e">
        <f t="shared" si="103"/>
        <v>#N/A</v>
      </c>
      <c r="BI479" s="7" t="e">
        <f t="shared" si="107"/>
        <v>#N/A</v>
      </c>
      <c r="BJ479" s="7" t="e">
        <f t="shared" si="104"/>
        <v>#N/A</v>
      </c>
      <c r="BK479" s="7" t="e">
        <f t="shared" si="108"/>
        <v>#N/A</v>
      </c>
      <c r="BL479" s="7" t="e">
        <f t="shared" si="105"/>
        <v>#N/A</v>
      </c>
    </row>
    <row r="480" spans="52:64" ht="11.25" customHeight="1">
      <c r="AZ480" s="7">
        <f t="shared" si="96"/>
        <v>7.9269841453379897E-2</v>
      </c>
      <c r="BA480" s="7">
        <f t="shared" si="106"/>
        <v>-1.4100000000000847</v>
      </c>
      <c r="BB480" s="7">
        <f t="shared" si="97"/>
        <v>0.14763850406233806</v>
      </c>
      <c r="BC480" s="7" t="e">
        <f t="shared" si="98"/>
        <v>#N/A</v>
      </c>
      <c r="BD480" s="7">
        <f t="shared" si="99"/>
        <v>-1.4100100000000848</v>
      </c>
      <c r="BE480" s="7">
        <f t="shared" si="100"/>
        <v>-1.4099900000000847</v>
      </c>
      <c r="BF480" s="7">
        <f t="shared" si="101"/>
        <v>9.4436627543402984E-2</v>
      </c>
      <c r="BG480" s="7">
        <f t="shared" si="102"/>
        <v>9.4439498149616496E-2</v>
      </c>
      <c r="BH480" s="7" t="e">
        <f t="shared" si="103"/>
        <v>#N/A</v>
      </c>
      <c r="BI480" s="7" t="e">
        <f t="shared" si="107"/>
        <v>#N/A</v>
      </c>
      <c r="BJ480" s="7" t="e">
        <f t="shared" si="104"/>
        <v>#N/A</v>
      </c>
      <c r="BK480" s="7" t="e">
        <f t="shared" si="108"/>
        <v>#N/A</v>
      </c>
      <c r="BL480" s="7" t="e">
        <f t="shared" si="105"/>
        <v>#N/A</v>
      </c>
    </row>
    <row r="481" spans="52:64" ht="11.25" customHeight="1">
      <c r="AZ481" s="7">
        <f t="shared" si="96"/>
        <v>8.075665923375841E-2</v>
      </c>
      <c r="BA481" s="7">
        <f t="shared" si="106"/>
        <v>-1.4000000000000847</v>
      </c>
      <c r="BB481" s="7">
        <f t="shared" si="97"/>
        <v>0.14972746563572706</v>
      </c>
      <c r="BC481" s="7" t="e">
        <f t="shared" si="98"/>
        <v>#N/A</v>
      </c>
      <c r="BD481" s="7">
        <f t="shared" si="99"/>
        <v>-1.4000100000000848</v>
      </c>
      <c r="BE481" s="7">
        <f t="shared" si="100"/>
        <v>-1.3999900000000847</v>
      </c>
      <c r="BF481" s="7">
        <f t="shared" si="101"/>
        <v>9.5881222187242598E-2</v>
      </c>
      <c r="BG481" s="7">
        <f t="shared" si="102"/>
        <v>9.5884130084755714E-2</v>
      </c>
      <c r="BH481" s="7" t="e">
        <f t="shared" si="103"/>
        <v>#N/A</v>
      </c>
      <c r="BI481" s="7" t="e">
        <f t="shared" si="107"/>
        <v>#N/A</v>
      </c>
      <c r="BJ481" s="7" t="e">
        <f t="shared" si="104"/>
        <v>#N/A</v>
      </c>
      <c r="BK481" s="7" t="e">
        <f t="shared" si="108"/>
        <v>#N/A</v>
      </c>
      <c r="BL481" s="7" t="e">
        <f t="shared" si="105"/>
        <v>#N/A</v>
      </c>
    </row>
    <row r="482" spans="52:64" ht="11.25" customHeight="1">
      <c r="AZ482" s="7">
        <f t="shared" si="96"/>
        <v>8.2264438677656204E-2</v>
      </c>
      <c r="BA482" s="7">
        <f t="shared" si="106"/>
        <v>-1.3900000000000847</v>
      </c>
      <c r="BB482" s="7">
        <f t="shared" si="97"/>
        <v>0.15183080043214375</v>
      </c>
      <c r="BC482" s="7" t="e">
        <f t="shared" si="98"/>
        <v>#N/A</v>
      </c>
      <c r="BD482" s="7">
        <f t="shared" si="99"/>
        <v>-1.3900100000000848</v>
      </c>
      <c r="BE482" s="7">
        <f t="shared" si="100"/>
        <v>-1.3899900000000847</v>
      </c>
      <c r="BF482" s="7">
        <f t="shared" si="101"/>
        <v>9.7344538001793546E-2</v>
      </c>
      <c r="BG482" s="7">
        <f t="shared" si="102"/>
        <v>9.7347483492927545E-2</v>
      </c>
      <c r="BH482" s="7" t="e">
        <f t="shared" si="103"/>
        <v>#N/A</v>
      </c>
      <c r="BI482" s="7" t="e">
        <f t="shared" si="107"/>
        <v>#N/A</v>
      </c>
      <c r="BJ482" s="7" t="e">
        <f t="shared" si="104"/>
        <v>#N/A</v>
      </c>
      <c r="BK482" s="7" t="e">
        <f t="shared" si="108"/>
        <v>#N/A</v>
      </c>
      <c r="BL482" s="7" t="e">
        <f t="shared" si="105"/>
        <v>#N/A</v>
      </c>
    </row>
    <row r="483" spans="52:64" ht="11.25" customHeight="1">
      <c r="AZ483" s="7">
        <f t="shared" si="96"/>
        <v>8.3793322415001148E-2</v>
      </c>
      <c r="BA483" s="7">
        <f t="shared" si="106"/>
        <v>-1.3800000000000847</v>
      </c>
      <c r="BB483" s="7">
        <f t="shared" si="97"/>
        <v>0.15394828676261568</v>
      </c>
      <c r="BC483" s="7" t="e">
        <f t="shared" si="98"/>
        <v>#N/A</v>
      </c>
      <c r="BD483" s="7">
        <f t="shared" si="99"/>
        <v>-1.3800100000000848</v>
      </c>
      <c r="BE483" s="7">
        <f t="shared" si="100"/>
        <v>-1.3799900000000846</v>
      </c>
      <c r="BF483" s="7">
        <f t="shared" si="101"/>
        <v>9.882672558572253E-2</v>
      </c>
      <c r="BG483" s="7">
        <f t="shared" si="102"/>
        <v>9.8829708970521679E-2</v>
      </c>
      <c r="BH483" s="7" t="e">
        <f t="shared" si="103"/>
        <v>#N/A</v>
      </c>
      <c r="BI483" s="7" t="e">
        <f t="shared" si="107"/>
        <v>#N/A</v>
      </c>
      <c r="BJ483" s="7" t="e">
        <f t="shared" si="104"/>
        <v>#N/A</v>
      </c>
      <c r="BK483" s="7" t="e">
        <f t="shared" si="108"/>
        <v>#N/A</v>
      </c>
      <c r="BL483" s="7" t="e">
        <f t="shared" si="105"/>
        <v>#N/A</v>
      </c>
    </row>
    <row r="484" spans="52:64" ht="11.25" customHeight="1">
      <c r="AZ484" s="7">
        <f t="shared" si="96"/>
        <v>8.5343450821953826E-2</v>
      </c>
      <c r="BA484" s="7">
        <f t="shared" si="106"/>
        <v>-1.3700000000000847</v>
      </c>
      <c r="BB484" s="7">
        <f t="shared" si="97"/>
        <v>0.15607969556040271</v>
      </c>
      <c r="BC484" s="7" t="e">
        <f t="shared" si="98"/>
        <v>#N/A</v>
      </c>
      <c r="BD484" s="7">
        <f t="shared" si="99"/>
        <v>-1.3700100000000848</v>
      </c>
      <c r="BE484" s="7">
        <f t="shared" si="100"/>
        <v>-1.3699900000000846</v>
      </c>
      <c r="BF484" s="7">
        <f t="shared" si="101"/>
        <v>0.10032793436328691</v>
      </c>
      <c r="BG484" s="7">
        <f t="shared" si="102"/>
        <v>0.10033095593937491</v>
      </c>
      <c r="BH484" s="7" t="e">
        <f t="shared" si="103"/>
        <v>#N/A</v>
      </c>
      <c r="BI484" s="7" t="e">
        <f t="shared" si="107"/>
        <v>#N/A</v>
      </c>
      <c r="BJ484" s="7" t="e">
        <f t="shared" si="104"/>
        <v>#N/A</v>
      </c>
      <c r="BK484" s="7" t="e">
        <f t="shared" si="108"/>
        <v>#N/A</v>
      </c>
      <c r="BL484" s="7" t="e">
        <f t="shared" si="105"/>
        <v>#N/A</v>
      </c>
    </row>
    <row r="485" spans="52:64" ht="11.25" customHeight="1">
      <c r="AZ485" s="7">
        <f t="shared" si="96"/>
        <v>8.691496194707149E-2</v>
      </c>
      <c r="BA485" s="7">
        <f t="shared" si="106"/>
        <v>-1.3600000000000847</v>
      </c>
      <c r="BB485" s="7">
        <f t="shared" si="97"/>
        <v>0.1582247903703648</v>
      </c>
      <c r="BC485" s="7" t="e">
        <f t="shared" si="98"/>
        <v>#N/A</v>
      </c>
      <c r="BD485" s="7">
        <f t="shared" si="99"/>
        <v>-1.3600100000000848</v>
      </c>
      <c r="BE485" s="7">
        <f t="shared" si="100"/>
        <v>-1.3599900000000846</v>
      </c>
      <c r="BF485" s="7">
        <f t="shared" si="101"/>
        <v>0.10184831251152848</v>
      </c>
      <c r="BG485" s="7">
        <f t="shared" si="102"/>
        <v>0.10185137257395982</v>
      </c>
      <c r="BH485" s="7" t="e">
        <f t="shared" si="103"/>
        <v>#N/A</v>
      </c>
      <c r="BI485" s="7" t="e">
        <f t="shared" si="107"/>
        <v>#N/A</v>
      </c>
      <c r="BJ485" s="7" t="e">
        <f t="shared" si="104"/>
        <v>#N/A</v>
      </c>
      <c r="BK485" s="7" t="e">
        <f t="shared" si="108"/>
        <v>#N/A</v>
      </c>
      <c r="BL485" s="7" t="e">
        <f t="shared" si="105"/>
        <v>#N/A</v>
      </c>
    </row>
    <row r="486" spans="52:64" ht="11.25" customHeight="1">
      <c r="AZ486" s="7">
        <f t="shared" si="96"/>
        <v>8.8507991437388411E-2</v>
      </c>
      <c r="BA486" s="7">
        <f t="shared" si="106"/>
        <v>-1.3500000000000847</v>
      </c>
      <c r="BB486" s="7">
        <f t="shared" si="97"/>
        <v>0.16038332734190122</v>
      </c>
      <c r="BC486" s="7" t="e">
        <f t="shared" si="98"/>
        <v>#N/A</v>
      </c>
      <c r="BD486" s="7">
        <f t="shared" si="99"/>
        <v>-1.3500100000000848</v>
      </c>
      <c r="BE486" s="7">
        <f t="shared" si="100"/>
        <v>-1.3499900000000846</v>
      </c>
      <c r="BF486" s="7">
        <f t="shared" si="101"/>
        <v>0.10338800688643435</v>
      </c>
      <c r="BG486" s="7">
        <f t="shared" si="102"/>
        <v>0.10339110572754817</v>
      </c>
      <c r="BH486" s="7" t="e">
        <f t="shared" si="103"/>
        <v>#N/A</v>
      </c>
      <c r="BI486" s="7" t="e">
        <f t="shared" si="107"/>
        <v>#N/A</v>
      </c>
      <c r="BJ486" s="7" t="e">
        <f t="shared" si="104"/>
        <v>#N/A</v>
      </c>
      <c r="BK486" s="7" t="e">
        <f t="shared" si="108"/>
        <v>#N/A</v>
      </c>
      <c r="BL486" s="7" t="e">
        <f t="shared" si="105"/>
        <v>#N/A</v>
      </c>
    </row>
    <row r="487" spans="52:64" ht="11.25" customHeight="1">
      <c r="AZ487" s="7">
        <f t="shared" si="96"/>
        <v>9.0122672464438724E-2</v>
      </c>
      <c r="BA487" s="7">
        <f t="shared" si="106"/>
        <v>-1.3400000000000847</v>
      </c>
      <c r="BB487" s="7">
        <f t="shared" si="97"/>
        <v>0.16255505522551567</v>
      </c>
      <c r="BC487" s="7" t="e">
        <f t="shared" si="98"/>
        <v>#N/A</v>
      </c>
      <c r="BD487" s="7">
        <f t="shared" si="99"/>
        <v>-1.3400100000000847</v>
      </c>
      <c r="BE487" s="7">
        <f t="shared" si="100"/>
        <v>-1.3399900000000846</v>
      </c>
      <c r="BF487" s="7">
        <f t="shared" si="101"/>
        <v>0.10494716294809459</v>
      </c>
      <c r="BG487" s="7">
        <f t="shared" si="102"/>
        <v>0.10495030085736146</v>
      </c>
      <c r="BH487" s="7" t="e">
        <f t="shared" si="103"/>
        <v>#N/A</v>
      </c>
      <c r="BI487" s="7" t="e">
        <f t="shared" si="107"/>
        <v>#N/A</v>
      </c>
      <c r="BJ487" s="7" t="e">
        <f t="shared" si="104"/>
        <v>#N/A</v>
      </c>
      <c r="BK487" s="7" t="e">
        <f t="shared" si="108"/>
        <v>#N/A</v>
      </c>
      <c r="BL487" s="7" t="e">
        <f t="shared" si="105"/>
        <v>#N/A</v>
      </c>
    </row>
    <row r="488" spans="52:64" ht="11.25" customHeight="1">
      <c r="AZ488" s="7">
        <f t="shared" si="96"/>
        <v>9.1759135650266832E-2</v>
      </c>
      <c r="BA488" s="7">
        <f t="shared" si="106"/>
        <v>-1.3300000000000847</v>
      </c>
      <c r="BB488" s="7">
        <f t="shared" si="97"/>
        <v>0.16473971537305823</v>
      </c>
      <c r="BC488" s="7" t="e">
        <f t="shared" si="98"/>
        <v>#N/A</v>
      </c>
      <c r="BD488" s="7">
        <f t="shared" si="99"/>
        <v>-1.3300100000000847</v>
      </c>
      <c r="BE488" s="7">
        <f t="shared" si="100"/>
        <v>-1.3299900000000846</v>
      </c>
      <c r="BF488" s="7">
        <f t="shared" si="101"/>
        <v>0.10652592468487543</v>
      </c>
      <c r="BG488" s="7">
        <f t="shared" si="102"/>
        <v>0.10652910194874671</v>
      </c>
      <c r="BH488" s="7" t="e">
        <f t="shared" si="103"/>
        <v>#N/A</v>
      </c>
      <c r="BI488" s="7" t="e">
        <f t="shared" si="107"/>
        <v>#N/A</v>
      </c>
      <c r="BJ488" s="7" t="e">
        <f t="shared" si="104"/>
        <v>#N/A</v>
      </c>
      <c r="BK488" s="7" t="e">
        <f t="shared" si="108"/>
        <v>#N/A</v>
      </c>
      <c r="BL488" s="7" t="e">
        <f t="shared" si="105"/>
        <v>#N/A</v>
      </c>
    </row>
    <row r="489" spans="52:64" ht="11.25" customHeight="1">
      <c r="AZ489" s="7">
        <f t="shared" si="96"/>
        <v>9.3417508993457687E-2</v>
      </c>
      <c r="BA489" s="7">
        <f t="shared" si="106"/>
        <v>-1.3200000000000847</v>
      </c>
      <c r="BB489" s="7">
        <f t="shared" si="97"/>
        <v>0.16693704174169516</v>
      </c>
      <c r="BC489" s="7" t="e">
        <f t="shared" si="98"/>
        <v>#N/A</v>
      </c>
      <c r="BD489" s="7">
        <f t="shared" si="99"/>
        <v>-1.3200100000000847</v>
      </c>
      <c r="BE489" s="7">
        <f t="shared" si="100"/>
        <v>-1.3199900000000846</v>
      </c>
      <c r="BF489" s="7">
        <f t="shared" si="101"/>
        <v>0.10812443453663456</v>
      </c>
      <c r="BG489" s="7">
        <f t="shared" si="102"/>
        <v>0.1081276514383861</v>
      </c>
      <c r="BH489" s="7" t="e">
        <f t="shared" si="103"/>
        <v>#N/A</v>
      </c>
      <c r="BI489" s="7" t="e">
        <f t="shared" si="107"/>
        <v>#N/A</v>
      </c>
      <c r="BJ489" s="7" t="e">
        <f t="shared" si="104"/>
        <v>#N/A</v>
      </c>
      <c r="BK489" s="7" t="e">
        <f t="shared" si="108"/>
        <v>#N/A</v>
      </c>
      <c r="BL489" s="7" t="e">
        <f t="shared" si="105"/>
        <v>#N/A</v>
      </c>
    </row>
    <row r="490" spans="52:64" ht="11.25" customHeight="1">
      <c r="AZ490" s="7">
        <f t="shared" si="96"/>
        <v>9.5097917795224696E-2</v>
      </c>
      <c r="BA490" s="7">
        <f t="shared" si="106"/>
        <v>-1.3100000000000847</v>
      </c>
      <c r="BB490" s="7">
        <f t="shared" si="97"/>
        <v>0.16914676090165365</v>
      </c>
      <c r="BC490" s="7" t="e">
        <f t="shared" si="98"/>
        <v>#N/A</v>
      </c>
      <c r="BD490" s="7">
        <f t="shared" si="99"/>
        <v>-1.3100100000000847</v>
      </c>
      <c r="BE490" s="7">
        <f t="shared" si="100"/>
        <v>-1.3099900000000846</v>
      </c>
      <c r="BF490" s="7">
        <f t="shared" si="101"/>
        <v>0.10974283331700407</v>
      </c>
      <c r="BG490" s="7">
        <f t="shared" si="102"/>
        <v>0.10974609013658121</v>
      </c>
      <c r="BH490" s="7" t="e">
        <f t="shared" si="103"/>
        <v>#N/A</v>
      </c>
      <c r="BI490" s="7" t="e">
        <f t="shared" si="107"/>
        <v>#N/A</v>
      </c>
      <c r="BJ490" s="7" t="e">
        <f t="shared" si="104"/>
        <v>#N/A</v>
      </c>
      <c r="BK490" s="7" t="e">
        <f t="shared" si="108"/>
        <v>#N/A</v>
      </c>
      <c r="BL490" s="7" t="e">
        <f t="shared" si="105"/>
        <v>#N/A</v>
      </c>
    </row>
    <row r="491" spans="52:64" ht="11.25" customHeight="1">
      <c r="AZ491" s="7">
        <f t="shared" si="96"/>
        <v>9.680048458559587E-2</v>
      </c>
      <c r="BA491" s="7">
        <f t="shared" si="106"/>
        <v>-1.3000000000000846</v>
      </c>
      <c r="BB491" s="7">
        <f t="shared" si="97"/>
        <v>0.17136859204778851</v>
      </c>
      <c r="BC491" s="7" t="e">
        <f t="shared" si="98"/>
        <v>#N/A</v>
      </c>
      <c r="BD491" s="7">
        <f t="shared" si="99"/>
        <v>-1.3000100000000847</v>
      </c>
      <c r="BE491" s="7">
        <f t="shared" si="100"/>
        <v>-1.2999900000000846</v>
      </c>
      <c r="BF491" s="7">
        <f t="shared" si="101"/>
        <v>0.11138126013476918</v>
      </c>
      <c r="BG491" s="7">
        <f t="shared" si="102"/>
        <v>0.11138455714862805</v>
      </c>
      <c r="BH491" s="7" t="e">
        <f t="shared" si="103"/>
        <v>#N/A</v>
      </c>
      <c r="BI491" s="7" t="e">
        <f t="shared" si="107"/>
        <v>#N/A</v>
      </c>
      <c r="BJ491" s="7" t="e">
        <f t="shared" si="104"/>
        <v>#N/A</v>
      </c>
      <c r="BK491" s="7" t="e">
        <f t="shared" si="108"/>
        <v>#N/A</v>
      </c>
      <c r="BL491" s="7" t="e">
        <f t="shared" si="105"/>
        <v>#N/A</v>
      </c>
    </row>
    <row r="492" spans="52:64" ht="11.25" customHeight="1">
      <c r="AZ492" s="7">
        <f t="shared" si="96"/>
        <v>9.8525329049733212E-2</v>
      </c>
      <c r="BA492" s="7">
        <f t="shared" si="106"/>
        <v>-1.2900000000000846</v>
      </c>
      <c r="BB492" s="7">
        <f t="shared" si="97"/>
        <v>0.17360224701501403</v>
      </c>
      <c r="BC492" s="7" t="e">
        <f t="shared" si="98"/>
        <v>#N/A</v>
      </c>
      <c r="BD492" s="7">
        <f t="shared" si="99"/>
        <v>-1.2900100000000847</v>
      </c>
      <c r="BE492" s="7">
        <f t="shared" si="100"/>
        <v>-1.2899900000000846</v>
      </c>
      <c r="BF492" s="7">
        <f t="shared" si="101"/>
        <v>0.11303985231437047</v>
      </c>
      <c r="BG492" s="7">
        <f t="shared" si="102"/>
        <v>0.11304318979531891</v>
      </c>
      <c r="BH492" s="7" t="e">
        <f t="shared" si="103"/>
        <v>#N/A</v>
      </c>
      <c r="BI492" s="7" t="e">
        <f t="shared" si="107"/>
        <v>#N/A</v>
      </c>
      <c r="BJ492" s="7" t="e">
        <f t="shared" si="104"/>
        <v>#N/A</v>
      </c>
      <c r="BK492" s="7" t="e">
        <f t="shared" si="108"/>
        <v>#N/A</v>
      </c>
      <c r="BL492" s="7" t="e">
        <f t="shared" si="105"/>
        <v>#N/A</v>
      </c>
    </row>
    <row r="493" spans="52:64" ht="11.25" customHeight="1">
      <c r="AZ493" s="7">
        <f t="shared" si="96"/>
        <v>0.10027256795442718</v>
      </c>
      <c r="BA493" s="7">
        <f t="shared" si="106"/>
        <v>-1.2800000000000846</v>
      </c>
      <c r="BB493" s="7">
        <f t="shared" si="97"/>
        <v>0.1758474302976433</v>
      </c>
      <c r="BC493" s="7" t="e">
        <f t="shared" si="98"/>
        <v>#N/A</v>
      </c>
      <c r="BD493" s="7">
        <f t="shared" si="99"/>
        <v>-1.2800100000000847</v>
      </c>
      <c r="BE493" s="7">
        <f t="shared" si="100"/>
        <v>-1.2799900000000846</v>
      </c>
      <c r="BF493" s="7">
        <f t="shared" si="101"/>
        <v>0.1147187453155637</v>
      </c>
      <c r="BG493" s="7">
        <f t="shared" si="102"/>
        <v>0.11472212353259864</v>
      </c>
      <c r="BH493" s="7" t="e">
        <f t="shared" si="103"/>
        <v>#N/A</v>
      </c>
      <c r="BI493" s="7" t="e">
        <f t="shared" si="107"/>
        <v>#N/A</v>
      </c>
      <c r="BJ493" s="7" t="e">
        <f t="shared" si="104"/>
        <v>#N/A</v>
      </c>
      <c r="BK493" s="7" t="e">
        <f t="shared" si="108"/>
        <v>#N/A</v>
      </c>
      <c r="BL493" s="7" t="e">
        <f t="shared" si="105"/>
        <v>#N/A</v>
      </c>
    </row>
    <row r="494" spans="52:64" ht="11.25" customHeight="1">
      <c r="AZ494" s="7">
        <f t="shared" si="96"/>
        <v>0.10204231507480421</v>
      </c>
      <c r="BA494" s="7">
        <f t="shared" si="106"/>
        <v>-1.2700000000000846</v>
      </c>
      <c r="BB494" s="7">
        <f t="shared" si="97"/>
        <v>0.17810383907267441</v>
      </c>
      <c r="BC494" s="7" t="e">
        <f t="shared" si="98"/>
        <v>#N/A</v>
      </c>
      <c r="BD494" s="7">
        <f t="shared" si="99"/>
        <v>-1.2700100000000847</v>
      </c>
      <c r="BE494" s="7">
        <f t="shared" si="100"/>
        <v>-1.2699900000000846</v>
      </c>
      <c r="BF494" s="7">
        <f t="shared" si="101"/>
        <v>0.11641807265226406</v>
      </c>
      <c r="BG494" s="7">
        <f t="shared" si="102"/>
        <v>0.11642149187040907</v>
      </c>
      <c r="BH494" s="7" t="e">
        <f t="shared" si="103"/>
        <v>#N/A</v>
      </c>
      <c r="BI494" s="7" t="e">
        <f t="shared" si="107"/>
        <v>#N/A</v>
      </c>
      <c r="BJ494" s="7" t="e">
        <f t="shared" si="104"/>
        <v>#N/A</v>
      </c>
      <c r="BK494" s="7" t="e">
        <f t="shared" si="108"/>
        <v>#N/A</v>
      </c>
      <c r="BL494" s="7" t="e">
        <f t="shared" si="105"/>
        <v>#N/A</v>
      </c>
    </row>
    <row r="495" spans="52:64" ht="11.25" customHeight="1">
      <c r="AZ495" s="7">
        <f t="shared" si="96"/>
        <v>0.10383468112128513</v>
      </c>
      <c r="BA495" s="7">
        <f t="shared" si="106"/>
        <v>-1.2600000000000846</v>
      </c>
      <c r="BB495" s="7">
        <f t="shared" si="97"/>
        <v>0.18037116322706107</v>
      </c>
      <c r="BC495" s="7" t="e">
        <f t="shared" si="98"/>
        <v>#N/A</v>
      </c>
      <c r="BD495" s="7">
        <f t="shared" si="99"/>
        <v>-1.2600100000000847</v>
      </c>
      <c r="BE495" s="7">
        <f t="shared" si="100"/>
        <v>-1.2599900000000845</v>
      </c>
      <c r="BF495" s="7">
        <f t="shared" si="101"/>
        <v>0.11813796581061259</v>
      </c>
      <c r="BG495" s="7">
        <f t="shared" si="102"/>
        <v>0.11814142629075203</v>
      </c>
      <c r="BH495" s="7" t="e">
        <f t="shared" si="103"/>
        <v>#N/A</v>
      </c>
      <c r="BI495" s="7" t="e">
        <f t="shared" si="107"/>
        <v>#N/A</v>
      </c>
      <c r="BJ495" s="7" t="e">
        <f t="shared" si="104"/>
        <v>#N/A</v>
      </c>
      <c r="BK495" s="7" t="e">
        <f t="shared" si="108"/>
        <v>#N/A</v>
      </c>
      <c r="BL495" s="7" t="e">
        <f t="shared" si="105"/>
        <v>#N/A</v>
      </c>
    </row>
    <row r="496" spans="52:64" ht="11.25" customHeight="1">
      <c r="AZ496" s="7">
        <f t="shared" si="96"/>
        <v>0.10564977366683981</v>
      </c>
      <c r="BA496" s="7">
        <f t="shared" si="106"/>
        <v>-1.2500000000000846</v>
      </c>
      <c r="BB496" s="7">
        <f t="shared" si="97"/>
        <v>0.1826490853890026</v>
      </c>
      <c r="BC496" s="7" t="e">
        <f t="shared" si="98"/>
        <v>#N/A</v>
      </c>
      <c r="BD496" s="7">
        <f t="shared" si="99"/>
        <v>-1.2500100000000847</v>
      </c>
      <c r="BE496" s="7">
        <f t="shared" si="100"/>
        <v>-1.2499900000000845</v>
      </c>
      <c r="BF496" s="7">
        <f t="shared" si="101"/>
        <v>0.11987855416629689</v>
      </c>
      <c r="BG496" s="7">
        <f t="shared" si="102"/>
        <v>0.11988205616501307</v>
      </c>
      <c r="BH496" s="7" t="e">
        <f t="shared" si="103"/>
        <v>#N/A</v>
      </c>
      <c r="BI496" s="7" t="e">
        <f t="shared" si="107"/>
        <v>#N/A</v>
      </c>
      <c r="BJ496" s="7" t="e">
        <f t="shared" si="104"/>
        <v>#N/A</v>
      </c>
      <c r="BK496" s="7" t="e">
        <f t="shared" si="108"/>
        <v>#N/A</v>
      </c>
      <c r="BL496" s="7" t="e">
        <f t="shared" si="105"/>
        <v>#N/A</v>
      </c>
    </row>
    <row r="497" spans="52:64" ht="11.25" customHeight="1">
      <c r="AZ497" s="7">
        <f t="shared" si="96"/>
        <v>0.10748769707457129</v>
      </c>
      <c r="BA497" s="7">
        <f t="shared" si="106"/>
        <v>-1.2400000000000846</v>
      </c>
      <c r="BB497" s="7">
        <f t="shared" si="97"/>
        <v>0.18493728096328588</v>
      </c>
      <c r="BC497" s="7" t="e">
        <f t="shared" si="98"/>
        <v>#N/A</v>
      </c>
      <c r="BD497" s="7">
        <f t="shared" si="99"/>
        <v>-1.2400100000000847</v>
      </c>
      <c r="BE497" s="7">
        <f t="shared" si="100"/>
        <v>-1.2399900000000845</v>
      </c>
      <c r="BF497" s="7">
        <f t="shared" si="101"/>
        <v>0.12163996490116868</v>
      </c>
      <c r="BG497" s="7">
        <f t="shared" si="102"/>
        <v>0.12164350867057011</v>
      </c>
      <c r="BH497" s="7" t="e">
        <f t="shared" si="103"/>
        <v>#N/A</v>
      </c>
      <c r="BI497" s="7" t="e">
        <f t="shared" si="107"/>
        <v>#N/A</v>
      </c>
      <c r="BJ497" s="7" t="e">
        <f t="shared" si="104"/>
        <v>#N/A</v>
      </c>
      <c r="BK497" s="7" t="e">
        <f t="shared" si="108"/>
        <v>#N/A</v>
      </c>
      <c r="BL497" s="7" t="e">
        <f t="shared" si="105"/>
        <v>#N/A</v>
      </c>
    </row>
    <row r="498" spans="52:64" ht="11.25" customHeight="1">
      <c r="AZ498" s="7">
        <f t="shared" si="96"/>
        <v>0.10934855242567609</v>
      </c>
      <c r="BA498" s="7">
        <f t="shared" si="106"/>
        <v>-1.2300000000000846</v>
      </c>
      <c r="BB498" s="7">
        <f t="shared" si="97"/>
        <v>0.18723541817071004</v>
      </c>
      <c r="BC498" s="7" t="e">
        <f t="shared" si="98"/>
        <v>#N/A</v>
      </c>
      <c r="BD498" s="7">
        <f t="shared" si="99"/>
        <v>-1.2300100000000846</v>
      </c>
      <c r="BE498" s="7">
        <f t="shared" si="100"/>
        <v>-1.2299900000000845</v>
      </c>
      <c r="BF498" s="7">
        <f t="shared" si="101"/>
        <v>0.12342232291918598</v>
      </c>
      <c r="BG498" s="7">
        <f t="shared" si="102"/>
        <v>0.12342590870674214</v>
      </c>
      <c r="BH498" s="7" t="e">
        <f t="shared" si="103"/>
        <v>#N/A</v>
      </c>
      <c r="BI498" s="7" t="e">
        <f t="shared" si="107"/>
        <v>#N/A</v>
      </c>
      <c r="BJ498" s="7" t="e">
        <f t="shared" si="104"/>
        <v>#N/A</v>
      </c>
      <c r="BK498" s="7" t="e">
        <f t="shared" si="108"/>
        <v>#N/A</v>
      </c>
      <c r="BL498" s="7" t="e">
        <f t="shared" si="105"/>
        <v>#N/A</v>
      </c>
    </row>
    <row r="499" spans="52:64" ht="11.25" customHeight="1">
      <c r="AZ499" s="7">
        <f t="shared" si="96"/>
        <v>0.11123243744781885</v>
      </c>
      <c r="BA499" s="7">
        <f t="shared" si="106"/>
        <v>-1.2200000000000846</v>
      </c>
      <c r="BB499" s="7">
        <f t="shared" si="97"/>
        <v>0.18954315809162064</v>
      </c>
      <c r="BC499" s="7" t="e">
        <f t="shared" si="98"/>
        <v>#N/A</v>
      </c>
      <c r="BD499" s="7">
        <f t="shared" si="99"/>
        <v>-1.2200100000000846</v>
      </c>
      <c r="BE499" s="7">
        <f t="shared" si="100"/>
        <v>-1.2199900000000845</v>
      </c>
      <c r="BF499" s="7">
        <f t="shared" si="101"/>
        <v>0.12522575076172948</v>
      </c>
      <c r="BG499" s="7">
        <f t="shared" si="102"/>
        <v>0.12522937881009855</v>
      </c>
      <c r="BH499" s="7" t="e">
        <f t="shared" si="103"/>
        <v>#N/A</v>
      </c>
      <c r="BI499" s="7" t="e">
        <f t="shared" si="107"/>
        <v>#N/A</v>
      </c>
      <c r="BJ499" s="7" t="e">
        <f t="shared" si="104"/>
        <v>#N/A</v>
      </c>
      <c r="BK499" s="7" t="e">
        <f t="shared" si="108"/>
        <v>#N/A</v>
      </c>
      <c r="BL499" s="7" t="e">
        <f t="shared" si="105"/>
        <v>#N/A</v>
      </c>
    </row>
    <row r="500" spans="52:64" ht="11.25" customHeight="1">
      <c r="AZ500" s="7">
        <f t="shared" si="96"/>
        <v>0.11313944644396112</v>
      </c>
      <c r="BA500" s="7">
        <f t="shared" si="106"/>
        <v>-1.2100000000000846</v>
      </c>
      <c r="BB500" s="7">
        <f t="shared" si="97"/>
        <v>0.19186015471357973</v>
      </c>
      <c r="BC500" s="7" t="e">
        <f t="shared" si="98"/>
        <v>#N/A</v>
      </c>
      <c r="BD500" s="7">
        <f t="shared" si="99"/>
        <v>-1.2100100000000846</v>
      </c>
      <c r="BE500" s="7">
        <f t="shared" si="100"/>
        <v>-1.2099900000000845</v>
      </c>
      <c r="BF500" s="7">
        <f t="shared" si="101"/>
        <v>0.1270503685223302</v>
      </c>
      <c r="BG500" s="7">
        <f t="shared" si="102"/>
        <v>0.12705403906918905</v>
      </c>
      <c r="BH500" s="7" t="e">
        <f t="shared" si="103"/>
        <v>#N/A</v>
      </c>
      <c r="BI500" s="7" t="e">
        <f t="shared" si="107"/>
        <v>#N/A</v>
      </c>
      <c r="BJ500" s="7" t="e">
        <f t="shared" si="104"/>
        <v>#N/A</v>
      </c>
      <c r="BK500" s="7" t="e">
        <f t="shared" si="108"/>
        <v>#N/A</v>
      </c>
      <c r="BL500" s="7" t="e">
        <f t="shared" si="105"/>
        <v>#N/A</v>
      </c>
    </row>
    <row r="501" spans="52:64" ht="11.25" customHeight="1">
      <c r="AZ501" s="7">
        <f t="shared" si="96"/>
        <v>0.1150696702216919</v>
      </c>
      <c r="BA501" s="7">
        <f t="shared" si="106"/>
        <v>-1.2000000000000846</v>
      </c>
      <c r="BB501" s="7">
        <f t="shared" si="97"/>
        <v>0.19418605498319322</v>
      </c>
      <c r="BC501" s="7" t="e">
        <f t="shared" si="98"/>
        <v>#N/A</v>
      </c>
      <c r="BD501" s="7">
        <f t="shared" si="99"/>
        <v>-1.2000100000000846</v>
      </c>
      <c r="BE501" s="7">
        <f t="shared" si="100"/>
        <v>-1.1999900000000845</v>
      </c>
      <c r="BF501" s="7">
        <f t="shared" si="101"/>
        <v>0.12889629376084849</v>
      </c>
      <c r="BG501" s="7">
        <f t="shared" si="102"/>
        <v>0.12890000703872057</v>
      </c>
      <c r="BH501" s="7" t="e">
        <f t="shared" si="103"/>
        <v>#N/A</v>
      </c>
      <c r="BI501" s="7" t="e">
        <f t="shared" si="107"/>
        <v>#N/A</v>
      </c>
      <c r="BJ501" s="7" t="e">
        <f t="shared" si="104"/>
        <v>#N/A</v>
      </c>
      <c r="BK501" s="7" t="e">
        <f t="shared" si="108"/>
        <v>#N/A</v>
      </c>
      <c r="BL501" s="7" t="e">
        <f t="shared" si="105"/>
        <v>#N/A</v>
      </c>
    </row>
    <row r="502" spans="52:64" ht="11.25" customHeight="1">
      <c r="AZ502" s="7">
        <f t="shared" si="96"/>
        <v>0.1170231960230923</v>
      </c>
      <c r="BA502" s="7">
        <f t="shared" si="106"/>
        <v>-1.1900000000000845</v>
      </c>
      <c r="BB502" s="7">
        <f t="shared" si="97"/>
        <v>0.19652049886211673</v>
      </c>
      <c r="BC502" s="7" t="e">
        <f t="shared" si="98"/>
        <v>#N/A</v>
      </c>
      <c r="BD502" s="7">
        <f t="shared" si="99"/>
        <v>-1.1900100000000846</v>
      </c>
      <c r="BE502" s="7">
        <f t="shared" si="100"/>
        <v>-1.1899900000000845</v>
      </c>
      <c r="BF502" s="7">
        <f t="shared" si="101"/>
        <v>0.13076364141715585</v>
      </c>
      <c r="BG502" s="7">
        <f t="shared" si="102"/>
        <v>0.13076739765323819</v>
      </c>
      <c r="BH502" s="7" t="e">
        <f t="shared" si="103"/>
        <v>#N/A</v>
      </c>
      <c r="BI502" s="7" t="e">
        <f t="shared" si="107"/>
        <v>#N/A</v>
      </c>
      <c r="BJ502" s="7" t="e">
        <f t="shared" si="104"/>
        <v>#N/A</v>
      </c>
      <c r="BK502" s="7" t="e">
        <f t="shared" si="108"/>
        <v>#N/A</v>
      </c>
      <c r="BL502" s="7" t="e">
        <f t="shared" si="105"/>
        <v>#N/A</v>
      </c>
    </row>
    <row r="503" spans="52:64" ht="11.25" customHeight="1">
      <c r="AZ503" s="7">
        <f t="shared" si="96"/>
        <v>0.11900010745518386</v>
      </c>
      <c r="BA503" s="7">
        <f t="shared" si="106"/>
        <v>-1.1800000000000845</v>
      </c>
      <c r="BB503" s="7">
        <f t="shared" si="97"/>
        <v>0.19886311938725604</v>
      </c>
      <c r="BC503" s="7" t="e">
        <f t="shared" si="98"/>
        <v>#N/A</v>
      </c>
      <c r="BD503" s="7">
        <f t="shared" si="99"/>
        <v>-1.1800100000000846</v>
      </c>
      <c r="BE503" s="7">
        <f t="shared" si="100"/>
        <v>-1.1799900000000845</v>
      </c>
      <c r="BF503" s="7">
        <f t="shared" si="101"/>
        <v>0.1326525237243576</v>
      </c>
      <c r="BG503" s="7">
        <f t="shared" si="102"/>
        <v>0.13265632314034581</v>
      </c>
      <c r="BH503" s="7" t="e">
        <f t="shared" si="103"/>
        <v>#N/A</v>
      </c>
      <c r="BI503" s="7" t="e">
        <f t="shared" si="107"/>
        <v>#N/A</v>
      </c>
      <c r="BJ503" s="7" t="e">
        <f t="shared" si="104"/>
        <v>#N/A</v>
      </c>
      <c r="BK503" s="7" t="e">
        <f t="shared" si="108"/>
        <v>#N/A</v>
      </c>
      <c r="BL503" s="7" t="e">
        <f t="shared" si="105"/>
        <v>#N/A</v>
      </c>
    </row>
    <row r="504" spans="52:64" ht="11.25" customHeight="1">
      <c r="AZ504" s="7">
        <f t="shared" si="96"/>
        <v>0.1210004844210012</v>
      </c>
      <c r="BA504" s="7">
        <f t="shared" si="106"/>
        <v>-1.1700000000000845</v>
      </c>
      <c r="BB504" s="7">
        <f t="shared" si="97"/>
        <v>0.20121354273517744</v>
      </c>
      <c r="BC504" s="7" t="e">
        <f t="shared" si="98"/>
        <v>#N/A</v>
      </c>
      <c r="BD504" s="7">
        <f t="shared" si="99"/>
        <v>-1.1700100000000846</v>
      </c>
      <c r="BE504" s="7">
        <f t="shared" si="100"/>
        <v>-1.1699900000000845</v>
      </c>
      <c r="BF504" s="7">
        <f t="shared" si="101"/>
        <v>0.13456305012160774</v>
      </c>
      <c r="BG504" s="7">
        <f t="shared" si="102"/>
        <v>0.13456689293352148</v>
      </c>
      <c r="BH504" s="7" t="e">
        <f t="shared" si="103"/>
        <v>#N/A</v>
      </c>
      <c r="BI504" s="7" t="e">
        <f t="shared" si="107"/>
        <v>#N/A</v>
      </c>
      <c r="BJ504" s="7" t="e">
        <f t="shared" si="104"/>
        <v>#N/A</v>
      </c>
      <c r="BK504" s="7" t="e">
        <f t="shared" si="108"/>
        <v>#N/A</v>
      </c>
      <c r="BL504" s="7" t="e">
        <f t="shared" si="105"/>
        <v>#N/A</v>
      </c>
    </row>
    <row r="505" spans="52:64" ht="11.25" customHeight="1">
      <c r="AZ505" s="7">
        <f t="shared" si="96"/>
        <v>0.12302440305132623</v>
      </c>
      <c r="BA505" s="7">
        <f t="shared" si="106"/>
        <v>-1.1600000000000845</v>
      </c>
      <c r="BB505" s="7">
        <f t="shared" si="97"/>
        <v>0.20357138829073942</v>
      </c>
      <c r="BC505" s="7" t="e">
        <f t="shared" si="98"/>
        <v>#N/A</v>
      </c>
      <c r="BD505" s="7">
        <f t="shared" si="99"/>
        <v>-1.1600100000000846</v>
      </c>
      <c r="BE505" s="7">
        <f t="shared" si="100"/>
        <v>-1.1599900000000845</v>
      </c>
      <c r="BF505" s="7">
        <f t="shared" si="101"/>
        <v>0.13649532716656376</v>
      </c>
      <c r="BG505" s="7">
        <f t="shared" si="102"/>
        <v>0.1364992135845729</v>
      </c>
      <c r="BH505" s="7" t="e">
        <f t="shared" si="103"/>
        <v>#N/A</v>
      </c>
      <c r="BI505" s="7" t="e">
        <f t="shared" si="107"/>
        <v>#N/A</v>
      </c>
      <c r="BJ505" s="7" t="e">
        <f t="shared" si="104"/>
        <v>#N/A</v>
      </c>
      <c r="BK505" s="7" t="e">
        <f t="shared" si="108"/>
        <v>#N/A</v>
      </c>
      <c r="BL505" s="7" t="e">
        <f t="shared" si="105"/>
        <v>#N/A</v>
      </c>
    </row>
    <row r="506" spans="52:64" ht="11.25" customHeight="1">
      <c r="AZ506" s="7">
        <f t="shared" si="96"/>
        <v>0.12507193563713281</v>
      </c>
      <c r="BA506" s="7">
        <f t="shared" si="106"/>
        <v>-1.1500000000000845</v>
      </c>
      <c r="BB506" s="7">
        <f t="shared" si="97"/>
        <v>0.20593626871995474</v>
      </c>
      <c r="BC506" s="7" t="e">
        <f t="shared" si="98"/>
        <v>#N/A</v>
      </c>
      <c r="BD506" s="7">
        <f t="shared" si="99"/>
        <v>-1.1500100000000846</v>
      </c>
      <c r="BE506" s="7">
        <f t="shared" si="100"/>
        <v>-1.1499900000000844</v>
      </c>
      <c r="BF506" s="7">
        <f t="shared" si="101"/>
        <v>0.13844945844753465</v>
      </c>
      <c r="BG506" s="7">
        <f t="shared" si="102"/>
        <v>0.13845338867578189</v>
      </c>
      <c r="BH506" s="7" t="e">
        <f t="shared" si="103"/>
        <v>#N/A</v>
      </c>
      <c r="BI506" s="7" t="e">
        <f t="shared" si="107"/>
        <v>#N/A</v>
      </c>
      <c r="BJ506" s="7" t="e">
        <f t="shared" si="104"/>
        <v>#N/A</v>
      </c>
      <c r="BK506" s="7" t="e">
        <f t="shared" si="108"/>
        <v>#N/A</v>
      </c>
      <c r="BL506" s="7" t="e">
        <f t="shared" si="105"/>
        <v>#N/A</v>
      </c>
    </row>
    <row r="507" spans="52:64" ht="11.25" customHeight="1">
      <c r="AZ507" s="7">
        <f t="shared" si="96"/>
        <v>0.12714315056278069</v>
      </c>
      <c r="BA507" s="7">
        <f t="shared" si="106"/>
        <v>-1.1400000000000845</v>
      </c>
      <c r="BB507" s="7">
        <f t="shared" si="97"/>
        <v>0.20830779004708827</v>
      </c>
      <c r="BC507" s="7" t="e">
        <f t="shared" si="98"/>
        <v>#N/A</v>
      </c>
      <c r="BD507" s="7">
        <f t="shared" si="99"/>
        <v>-1.1400100000000846</v>
      </c>
      <c r="BE507" s="7">
        <f t="shared" si="100"/>
        <v>-1.1399900000000844</v>
      </c>
      <c r="BF507" s="7">
        <f t="shared" si="101"/>
        <v>0.14042554449536698</v>
      </c>
      <c r="BG507" s="7">
        <f t="shared" si="102"/>
        <v>0.14042951873179127</v>
      </c>
      <c r="BH507" s="7" t="e">
        <f t="shared" si="103"/>
        <v>#N/A</v>
      </c>
      <c r="BI507" s="7" t="e">
        <f t="shared" si="107"/>
        <v>#N/A</v>
      </c>
      <c r="BJ507" s="7" t="e">
        <f t="shared" si="104"/>
        <v>#N/A</v>
      </c>
      <c r="BK507" s="7" t="e">
        <f t="shared" si="108"/>
        <v>#N/A</v>
      </c>
      <c r="BL507" s="7" t="e">
        <f t="shared" si="105"/>
        <v>#N/A</v>
      </c>
    </row>
    <row r="508" spans="52:64" ht="11.25" customHeight="1">
      <c r="AZ508" s="7">
        <f t="shared" si="96"/>
        <v>0.12923811223999992</v>
      </c>
      <c r="BA508" s="7">
        <f t="shared" si="106"/>
        <v>-1.1300000000000845</v>
      </c>
      <c r="BB508" s="7">
        <f t="shared" si="97"/>
        <v>0.21068555173599515</v>
      </c>
      <c r="BC508" s="7" t="e">
        <f t="shared" si="98"/>
        <v>#N/A</v>
      </c>
      <c r="BD508" s="7">
        <f t="shared" si="99"/>
        <v>-1.1300100000000846</v>
      </c>
      <c r="BE508" s="7">
        <f t="shared" si="100"/>
        <v>-1.1299900000000844</v>
      </c>
      <c r="BF508" s="7">
        <f t="shared" si="101"/>
        <v>0.14242368269512995</v>
      </c>
      <c r="BG508" s="7">
        <f t="shared" si="102"/>
        <v>0.14242770113128977</v>
      </c>
      <c r="BH508" s="7" t="e">
        <f t="shared" si="103"/>
        <v>#N/A</v>
      </c>
      <c r="BI508" s="7" t="e">
        <f t="shared" si="107"/>
        <v>#N/A</v>
      </c>
      <c r="BJ508" s="7" t="e">
        <f t="shared" si="104"/>
        <v>#N/A</v>
      </c>
      <c r="BK508" s="7" t="e">
        <f t="shared" si="108"/>
        <v>#N/A</v>
      </c>
      <c r="BL508" s="7" t="e">
        <f t="shared" si="105"/>
        <v>#N/A</v>
      </c>
    </row>
    <row r="509" spans="52:64" ht="11.25" customHeight="1">
      <c r="AZ509" s="7">
        <f t="shared" si="96"/>
        <v>0.13135688104271259</v>
      </c>
      <c r="BA509" s="7">
        <f t="shared" si="106"/>
        <v>-1.1200000000000845</v>
      </c>
      <c r="BB509" s="7">
        <f t="shared" si="97"/>
        <v>0.21306914677569772</v>
      </c>
      <c r="BC509" s="7" t="e">
        <f t="shared" si="98"/>
        <v>#N/A</v>
      </c>
      <c r="BD509" s="7">
        <f t="shared" si="99"/>
        <v>-1.1200100000000845</v>
      </c>
      <c r="BE509" s="7">
        <f t="shared" si="100"/>
        <v>-1.1199900000000844</v>
      </c>
      <c r="BF509" s="7">
        <f t="shared" si="101"/>
        <v>0.14444396719764735</v>
      </c>
      <c r="BG509" s="7">
        <f t="shared" si="102"/>
        <v>0.14444803001854473</v>
      </c>
      <c r="BH509" s="7" t="e">
        <f t="shared" si="103"/>
        <v>#N/A</v>
      </c>
      <c r="BI509" s="7" t="e">
        <f t="shared" si="107"/>
        <v>#N/A</v>
      </c>
      <c r="BJ509" s="7" t="e">
        <f t="shared" si="104"/>
        <v>#N/A</v>
      </c>
      <c r="BK509" s="7" t="e">
        <f t="shared" si="108"/>
        <v>#N/A</v>
      </c>
      <c r="BL509" s="7" t="e">
        <f t="shared" si="105"/>
        <v>#N/A</v>
      </c>
    </row>
    <row r="510" spans="52:64" ht="11.25" customHeight="1">
      <c r="AZ510" s="7">
        <f t="shared" si="96"/>
        <v>0.13349951324272902</v>
      </c>
      <c r="BA510" s="7">
        <f t="shared" si="106"/>
        <v>-1.1100000000000845</v>
      </c>
      <c r="BB510" s="7">
        <f t="shared" si="97"/>
        <v>0.21545816177019947</v>
      </c>
      <c r="BC510" s="7" t="e">
        <f t="shared" si="98"/>
        <v>#N/A</v>
      </c>
      <c r="BD510" s="7">
        <f t="shared" si="99"/>
        <v>-1.1100100000000845</v>
      </c>
      <c r="BE510" s="7">
        <f t="shared" si="100"/>
        <v>-1.1099900000000844</v>
      </c>
      <c r="BF510" s="7">
        <f t="shared" si="101"/>
        <v>0.14648648883093945</v>
      </c>
      <c r="BG510" s="7">
        <f t="shared" si="102"/>
        <v>0.14649059621484162</v>
      </c>
      <c r="BH510" s="7" t="e">
        <f t="shared" si="103"/>
        <v>#N/A</v>
      </c>
      <c r="BI510" s="7" t="e">
        <f t="shared" si="107"/>
        <v>#N/A</v>
      </c>
      <c r="BJ510" s="7" t="e">
        <f t="shared" si="104"/>
        <v>#N/A</v>
      </c>
      <c r="BK510" s="7" t="e">
        <f t="shared" si="108"/>
        <v>#N/A</v>
      </c>
      <c r="BL510" s="7" t="e">
        <f t="shared" si="105"/>
        <v>#N/A</v>
      </c>
    </row>
    <row r="511" spans="52:64" ht="11.25" customHeight="1">
      <c r="AZ511" s="7">
        <f t="shared" si="96"/>
        <v>0.13566606094636435</v>
      </c>
      <c r="BA511" s="7">
        <f t="shared" si="106"/>
        <v>-1.1000000000000845</v>
      </c>
      <c r="BB511" s="7">
        <f t="shared" si="97"/>
        <v>0.21785217703253026</v>
      </c>
      <c r="BC511" s="7" t="e">
        <f t="shared" si="98"/>
        <v>#N/A</v>
      </c>
      <c r="BD511" s="7">
        <f t="shared" si="99"/>
        <v>-1.1000100000000845</v>
      </c>
      <c r="BE511" s="7">
        <f t="shared" si="100"/>
        <v>-1.0999900000000844</v>
      </c>
      <c r="BF511" s="7">
        <f t="shared" si="101"/>
        <v>0.14855133501162443</v>
      </c>
      <c r="BG511" s="7">
        <f t="shared" si="102"/>
        <v>0.14855548712988731</v>
      </c>
      <c r="BH511" s="7" t="e">
        <f t="shared" si="103"/>
        <v>#N/A</v>
      </c>
      <c r="BI511" s="7" t="e">
        <f t="shared" si="107"/>
        <v>#N/A</v>
      </c>
      <c r="BJ511" s="7" t="e">
        <f t="shared" si="104"/>
        <v>#N/A</v>
      </c>
      <c r="BK511" s="7" t="e">
        <f t="shared" si="108"/>
        <v>#N/A</v>
      </c>
      <c r="BL511" s="7" t="e">
        <f t="shared" si="105"/>
        <v>#N/A</v>
      </c>
    </row>
    <row r="512" spans="52:64" ht="11.25" customHeight="1">
      <c r="AZ512" s="7">
        <f t="shared" si="96"/>
        <v>0.13785657203201684</v>
      </c>
      <c r="BA512" s="7">
        <f t="shared" si="106"/>
        <v>-1.0900000000000845</v>
      </c>
      <c r="BB512" s="7">
        <f t="shared" si="97"/>
        <v>0.22025076668301299</v>
      </c>
      <c r="BC512" s="7" t="e">
        <f t="shared" si="98"/>
        <v>#N/A</v>
      </c>
      <c r="BD512" s="7">
        <f t="shared" si="99"/>
        <v>-1.0900100000000845</v>
      </c>
      <c r="BE512" s="7">
        <f t="shared" si="100"/>
        <v>-1.0899900000000844</v>
      </c>
      <c r="BF512" s="7">
        <f t="shared" si="101"/>
        <v>0.1506385896563458</v>
      </c>
      <c r="BG512" s="7">
        <f t="shared" si="102"/>
        <v>0.1506427866732365</v>
      </c>
      <c r="BH512" s="7" t="e">
        <f t="shared" si="103"/>
        <v>#N/A</v>
      </c>
      <c r="BI512" s="7" t="e">
        <f t="shared" si="107"/>
        <v>#N/A</v>
      </c>
      <c r="BJ512" s="7" t="e">
        <f t="shared" si="104"/>
        <v>#N/A</v>
      </c>
      <c r="BK512" s="7" t="e">
        <f t="shared" si="108"/>
        <v>#N/A</v>
      </c>
      <c r="BL512" s="7" t="e">
        <f t="shared" si="105"/>
        <v>#N/A</v>
      </c>
    </row>
    <row r="513" spans="52:64" ht="11.25" customHeight="1">
      <c r="AZ513" s="7">
        <f t="shared" si="96"/>
        <v>0.14007109008875029</v>
      </c>
      <c r="BA513" s="7">
        <f t="shared" si="106"/>
        <v>-1.0800000000000844</v>
      </c>
      <c r="BB513" s="7">
        <f t="shared" si="97"/>
        <v>0.22265349875174081</v>
      </c>
      <c r="BC513" s="7" t="e">
        <f t="shared" si="98"/>
        <v>#N/A</v>
      </c>
      <c r="BD513" s="7">
        <f t="shared" si="99"/>
        <v>-1.0800100000000845</v>
      </c>
      <c r="BE513" s="7">
        <f t="shared" si="100"/>
        <v>-1.0799900000000844</v>
      </c>
      <c r="BF513" s="7">
        <f t="shared" si="101"/>
        <v>0.15274833309327945</v>
      </c>
      <c r="BG513" s="7">
        <f t="shared" si="102"/>
        <v>0.15275257516579965</v>
      </c>
      <c r="BH513" s="7" t="e">
        <f t="shared" si="103"/>
        <v>#N/A</v>
      </c>
      <c r="BI513" s="7" t="e">
        <f t="shared" si="107"/>
        <v>#N/A</v>
      </c>
      <c r="BJ513" s="7" t="e">
        <f t="shared" si="104"/>
        <v>#N/A</v>
      </c>
      <c r="BK513" s="7" t="e">
        <f t="shared" si="108"/>
        <v>#N/A</v>
      </c>
      <c r="BL513" s="7" t="e">
        <f t="shared" si="105"/>
        <v>#N/A</v>
      </c>
    </row>
    <row r="514" spans="52:64" ht="11.25" customHeight="1">
      <c r="AZ514" s="7">
        <f t="shared" si="96"/>
        <v>0.14230965435592025</v>
      </c>
      <c r="BA514" s="7">
        <f t="shared" si="106"/>
        <v>-1.0700000000000844</v>
      </c>
      <c r="BB514" s="7">
        <f t="shared" si="97"/>
        <v>0.22505993528524931</v>
      </c>
      <c r="BC514" s="7" t="e">
        <f t="shared" si="98"/>
        <v>#N/A</v>
      </c>
      <c r="BD514" s="7">
        <f t="shared" si="99"/>
        <v>-1.0700100000000845</v>
      </c>
      <c r="BE514" s="7">
        <f t="shared" si="100"/>
        <v>-1.0699900000000844</v>
      </c>
      <c r="BF514" s="7">
        <f t="shared" si="101"/>
        <v>0.15488064197378731</v>
      </c>
      <c r="BG514" s="7">
        <f t="shared" si="102"/>
        <v>0.15488492925149649</v>
      </c>
      <c r="BH514" s="7" t="e">
        <f t="shared" si="103"/>
        <v>#N/A</v>
      </c>
      <c r="BI514" s="7" t="e">
        <f t="shared" si="107"/>
        <v>#N/A</v>
      </c>
      <c r="BJ514" s="7" t="e">
        <f t="shared" si="104"/>
        <v>#N/A</v>
      </c>
      <c r="BK514" s="7" t="e">
        <f t="shared" si="108"/>
        <v>#N/A</v>
      </c>
      <c r="BL514" s="7" t="e">
        <f t="shared" si="105"/>
        <v>#N/A</v>
      </c>
    </row>
    <row r="515" spans="52:64" ht="11.25" customHeight="1">
      <c r="AZ515" s="7">
        <f t="shared" si="96"/>
        <v>0.1445722996638904</v>
      </c>
      <c r="BA515" s="7">
        <f t="shared" si="106"/>
        <v>-1.0600000000000844</v>
      </c>
      <c r="BB515" s="7">
        <f t="shared" si="97"/>
        <v>0.22746963245736554</v>
      </c>
      <c r="BC515" s="7" t="e">
        <f t="shared" si="98"/>
        <v>#N/A</v>
      </c>
      <c r="BD515" s="7">
        <f t="shared" si="99"/>
        <v>-1.0600100000000845</v>
      </c>
      <c r="BE515" s="7">
        <f t="shared" si="100"/>
        <v>-1.0599900000000844</v>
      </c>
      <c r="BF515" s="7">
        <f t="shared" si="101"/>
        <v>0.15703558918427579</v>
      </c>
      <c r="BG515" s="7">
        <f t="shared" si="102"/>
        <v>0.15703992180911558</v>
      </c>
      <c r="BH515" s="7" t="e">
        <f t="shared" si="103"/>
        <v>#N/A</v>
      </c>
      <c r="BI515" s="7" t="e">
        <f t="shared" si="107"/>
        <v>#N/A</v>
      </c>
      <c r="BJ515" s="7" t="e">
        <f t="shared" si="104"/>
        <v>#N/A</v>
      </c>
      <c r="BK515" s="7" t="e">
        <f t="shared" si="108"/>
        <v>#N/A</v>
      </c>
      <c r="BL515" s="7" t="e">
        <f t="shared" si="105"/>
        <v>#N/A</v>
      </c>
    </row>
    <row r="516" spans="52:64" ht="11.25" customHeight="1">
      <c r="AZ516" s="7">
        <f t="shared" si="96"/>
        <v>0.14685905637587648</v>
      </c>
      <c r="BA516" s="7">
        <f t="shared" si="106"/>
        <v>-1.0500000000000844</v>
      </c>
      <c r="BB516" s="7">
        <f t="shared" si="97"/>
        <v>0.22988214068421264</v>
      </c>
      <c r="BC516" s="7" t="e">
        <f t="shared" si="98"/>
        <v>#N/A</v>
      </c>
      <c r="BD516" s="7">
        <f t="shared" si="99"/>
        <v>-1.0500100000000845</v>
      </c>
      <c r="BE516" s="7">
        <f t="shared" si="100"/>
        <v>-1.0499900000000844</v>
      </c>
      <c r="BF516" s="7">
        <f t="shared" si="101"/>
        <v>0.15921324375832602</v>
      </c>
      <c r="BG516" s="7">
        <f t="shared" si="102"/>
        <v>0.15921762186444416</v>
      </c>
      <c r="BH516" s="7" t="e">
        <f t="shared" si="103"/>
        <v>#N/A</v>
      </c>
      <c r="BI516" s="7" t="e">
        <f t="shared" si="107"/>
        <v>#N/A</v>
      </c>
      <c r="BJ516" s="7" t="e">
        <f t="shared" si="104"/>
        <v>#N/A</v>
      </c>
      <c r="BK516" s="7" t="e">
        <f t="shared" si="108"/>
        <v>#N/A</v>
      </c>
      <c r="BL516" s="7" t="e">
        <f t="shared" si="105"/>
        <v>#N/A</v>
      </c>
    </row>
    <row r="517" spans="52:64" ht="11.25" customHeight="1">
      <c r="AZ517" s="7">
        <f t="shared" si="96"/>
        <v>0.14916995033096181</v>
      </c>
      <c r="BA517" s="7">
        <f t="shared" si="106"/>
        <v>-1.0400000000000844</v>
      </c>
      <c r="BB517" s="7">
        <f t="shared" si="97"/>
        <v>0.23229700474334578</v>
      </c>
      <c r="BC517" s="7" t="e">
        <f t="shared" si="98"/>
        <v>#N/A</v>
      </c>
      <c r="BD517" s="7">
        <f t="shared" si="99"/>
        <v>-1.0400100000000845</v>
      </c>
      <c r="BE517" s="7">
        <f t="shared" si="100"/>
        <v>-1.0399900000000843</v>
      </c>
      <c r="BF517" s="7">
        <f t="shared" si="101"/>
        <v>0.16141367078916014</v>
      </c>
      <c r="BG517" s="7">
        <f t="shared" si="102"/>
        <v>0.16141809450273686</v>
      </c>
      <c r="BH517" s="7" t="e">
        <f t="shared" si="103"/>
        <v>#N/A</v>
      </c>
      <c r="BI517" s="7" t="e">
        <f t="shared" si="107"/>
        <v>#N/A</v>
      </c>
      <c r="BJ517" s="7" t="e">
        <f t="shared" si="104"/>
        <v>#N/A</v>
      </c>
      <c r="BK517" s="7" t="e">
        <f t="shared" si="108"/>
        <v>#N/A</v>
      </c>
      <c r="BL517" s="7" t="e">
        <f t="shared" si="105"/>
        <v>#N/A</v>
      </c>
    </row>
    <row r="518" spans="52:64" ht="11.25" customHeight="1">
      <c r="AZ518" s="7">
        <f t="shared" si="96"/>
        <v>0.15150500278832379</v>
      </c>
      <c r="BA518" s="7">
        <f t="shared" si="106"/>
        <v>-1.0300000000000844</v>
      </c>
      <c r="BB518" s="7">
        <f t="shared" si="97"/>
        <v>0.23471376389699139</v>
      </c>
      <c r="BC518" s="7" t="e">
        <f t="shared" si="98"/>
        <v>#N/A</v>
      </c>
      <c r="BD518" s="7">
        <f t="shared" si="99"/>
        <v>-1.0300100000000845</v>
      </c>
      <c r="BE518" s="7">
        <f t="shared" si="100"/>
        <v>-1.0299900000000843</v>
      </c>
      <c r="BF518" s="7">
        <f t="shared" si="101"/>
        <v>0.16363693137741969</v>
      </c>
      <c r="BG518" s="7">
        <f t="shared" si="102"/>
        <v>0.16364140081648149</v>
      </c>
      <c r="BH518" s="7" t="e">
        <f t="shared" si="103"/>
        <v>#N/A</v>
      </c>
      <c r="BI518" s="7" t="e">
        <f t="shared" si="107"/>
        <v>#N/A</v>
      </c>
      <c r="BJ518" s="7" t="e">
        <f t="shared" si="104"/>
        <v>#N/A</v>
      </c>
      <c r="BK518" s="7" t="e">
        <f t="shared" si="108"/>
        <v>#N/A</v>
      </c>
      <c r="BL518" s="7" t="e">
        <f t="shared" si="105"/>
        <v>#N/A</v>
      </c>
    </row>
    <row r="519" spans="52:64" ht="11.25" customHeight="1">
      <c r="AZ519" s="7">
        <f t="shared" si="96"/>
        <v>0.15386423037271491</v>
      </c>
      <c r="BA519" s="7">
        <f t="shared" si="106"/>
        <v>-1.0200000000000844</v>
      </c>
      <c r="BB519" s="7">
        <f t="shared" si="97"/>
        <v>0.23713195201935916</v>
      </c>
      <c r="BC519" s="7" t="e">
        <f t="shared" si="98"/>
        <v>#N/A</v>
      </c>
      <c r="BD519" s="7">
        <f t="shared" si="99"/>
        <v>-1.0200100000000845</v>
      </c>
      <c r="BE519" s="7">
        <f t="shared" si="100"/>
        <v>-1.0199900000000843</v>
      </c>
      <c r="BF519" s="7">
        <f t="shared" si="101"/>
        <v>0.16588308239974603</v>
      </c>
      <c r="BG519" s="7">
        <f t="shared" si="102"/>
        <v>0.16588759767402889</v>
      </c>
      <c r="BH519" s="7" t="e">
        <f t="shared" si="103"/>
        <v>#N/A</v>
      </c>
      <c r="BI519" s="7" t="e">
        <f t="shared" si="107"/>
        <v>#N/A</v>
      </c>
      <c r="BJ519" s="7" t="e">
        <f t="shared" si="104"/>
        <v>#N/A</v>
      </c>
      <c r="BK519" s="7" t="e">
        <f t="shared" si="108"/>
        <v>#N/A</v>
      </c>
      <c r="BL519" s="7" t="e">
        <f t="shared" si="105"/>
        <v>#N/A</v>
      </c>
    </row>
    <row r="520" spans="52:64" ht="11.25" customHeight="1">
      <c r="AZ520" s="7">
        <f t="shared" si="96"/>
        <v>0.15624764502123445</v>
      </c>
      <c r="BA520" s="7">
        <f t="shared" si="106"/>
        <v>-1.0100000000000844</v>
      </c>
      <c r="BB520" s="7">
        <f t="shared" si="97"/>
        <v>0.23955109772799291</v>
      </c>
      <c r="BC520" s="7" t="e">
        <f t="shared" si="98"/>
        <v>#N/A</v>
      </c>
      <c r="BD520" s="7">
        <f t="shared" si="99"/>
        <v>-1.0100100000000845</v>
      </c>
      <c r="BE520" s="7">
        <f t="shared" si="100"/>
        <v>-1.0099900000000843</v>
      </c>
      <c r="BF520" s="7">
        <f t="shared" si="101"/>
        <v>0.16815217664817944</v>
      </c>
      <c r="BG520" s="7">
        <f t="shared" si="102"/>
        <v>0.1681567378589196</v>
      </c>
      <c r="BH520" s="7" t="e">
        <f t="shared" si="103"/>
        <v>#N/A</v>
      </c>
      <c r="BI520" s="7" t="e">
        <f t="shared" si="107"/>
        <v>#N/A</v>
      </c>
      <c r="BJ520" s="7" t="e">
        <f t="shared" si="104"/>
        <v>#N/A</v>
      </c>
      <c r="BK520" s="7" t="e">
        <f t="shared" si="108"/>
        <v>#N/A</v>
      </c>
      <c r="BL520" s="7" t="e">
        <f t="shared" si="105"/>
        <v>#N/A</v>
      </c>
    </row>
    <row r="521" spans="52:64" ht="11.25" customHeight="1">
      <c r="AZ521" s="7">
        <f t="shared" si="96"/>
        <v>0.15865525393143665</v>
      </c>
      <c r="BA521" s="7">
        <f t="shared" si="106"/>
        <v>-1.0000000000000844</v>
      </c>
      <c r="BB521" s="7">
        <f t="shared" si="97"/>
        <v>0.24197072451912291</v>
      </c>
      <c r="BC521" s="7" t="e">
        <f t="shared" si="98"/>
        <v>#N/A</v>
      </c>
      <c r="BD521" s="7">
        <f t="shared" si="99"/>
        <v>-1.0000100000000844</v>
      </c>
      <c r="BE521" s="7">
        <f t="shared" si="100"/>
        <v>-0.99999000000008442</v>
      </c>
      <c r="BF521" s="7">
        <f t="shared" si="101"/>
        <v>0.1704442625881416</v>
      </c>
      <c r="BG521" s="7">
        <f t="shared" si="102"/>
        <v>0.17044886982791896</v>
      </c>
      <c r="BH521" s="7" t="e">
        <f t="shared" si="103"/>
        <v>#N/A</v>
      </c>
      <c r="BI521" s="7" t="e">
        <f t="shared" si="107"/>
        <v>#N/A</v>
      </c>
      <c r="BJ521" s="7" t="e">
        <f t="shared" si="104"/>
        <v>#N/A</v>
      </c>
      <c r="BK521" s="7" t="e">
        <f t="shared" si="108"/>
        <v>#N/A</v>
      </c>
      <c r="BL521" s="7" t="e">
        <f t="shared" si="105"/>
        <v>#N/A</v>
      </c>
    </row>
    <row r="522" spans="52:64" ht="11.25" customHeight="1">
      <c r="AZ522" s="7">
        <f t="shared" si="96"/>
        <v>0.16108705951081037</v>
      </c>
      <c r="BA522" s="7">
        <f t="shared" si="106"/>
        <v>-0.99000000000008437</v>
      </c>
      <c r="BB522" s="7">
        <f t="shared" si="97"/>
        <v>0.24439035090697914</v>
      </c>
      <c r="BC522" s="7" t="e">
        <f t="shared" si="98"/>
        <v>#N/A</v>
      </c>
      <c r="BD522" s="7">
        <f t="shared" si="99"/>
        <v>-0.99001000000008432</v>
      </c>
      <c r="BE522" s="7">
        <f t="shared" si="100"/>
        <v>-0.98999000000008441</v>
      </c>
      <c r="BF522" s="7">
        <f t="shared" si="101"/>
        <v>0.17275938431443894</v>
      </c>
      <c r="BG522" s="7">
        <f t="shared" si="102"/>
        <v>0.1727640376670071</v>
      </c>
      <c r="BH522" s="7" t="e">
        <f t="shared" si="103"/>
        <v>#N/A</v>
      </c>
      <c r="BI522" s="7" t="e">
        <f t="shared" si="107"/>
        <v>#N/A</v>
      </c>
      <c r="BJ522" s="7" t="e">
        <f t="shared" si="104"/>
        <v>#N/A</v>
      </c>
      <c r="BK522" s="7" t="e">
        <f t="shared" si="108"/>
        <v>#N/A</v>
      </c>
      <c r="BL522" s="7" t="e">
        <f t="shared" si="105"/>
        <v>#N/A</v>
      </c>
    </row>
    <row r="523" spans="52:64" ht="11.25" customHeight="1">
      <c r="AZ523" s="7">
        <f t="shared" si="96"/>
        <v>0.16354305932767166</v>
      </c>
      <c r="BA523" s="7">
        <f t="shared" si="106"/>
        <v>-0.98000000000008436</v>
      </c>
      <c r="BB523" s="7">
        <f t="shared" si="97"/>
        <v>0.24680949056702228</v>
      </c>
      <c r="BC523" s="7" t="e">
        <f t="shared" si="98"/>
        <v>#N/A</v>
      </c>
      <c r="BD523" s="7">
        <f t="shared" si="99"/>
        <v>-0.98001000000008431</v>
      </c>
      <c r="BE523" s="7">
        <f t="shared" si="100"/>
        <v>-0.9799900000000844</v>
      </c>
      <c r="BF523" s="7">
        <f t="shared" si="101"/>
        <v>0.17509758146717369</v>
      </c>
      <c r="BG523" s="7">
        <f t="shared" si="102"/>
        <v>0.17510228100729336</v>
      </c>
      <c r="BH523" s="7" t="e">
        <f t="shared" si="103"/>
        <v>#N/A</v>
      </c>
      <c r="BI523" s="7" t="e">
        <f t="shared" si="107"/>
        <v>#N/A</v>
      </c>
      <c r="BJ523" s="7" t="e">
        <f t="shared" si="104"/>
        <v>#N/A</v>
      </c>
      <c r="BK523" s="7" t="e">
        <f t="shared" si="108"/>
        <v>#N/A</v>
      </c>
      <c r="BL523" s="7" t="e">
        <f t="shared" si="105"/>
        <v>#N/A</v>
      </c>
    </row>
    <row r="524" spans="52:64" ht="11.25" customHeight="1">
      <c r="AZ524" s="7">
        <f t="shared" si="96"/>
        <v>0.16602324606350849</v>
      </c>
      <c r="BA524" s="7">
        <f t="shared" si="106"/>
        <v>-0.97000000000008435</v>
      </c>
      <c r="BB524" s="7">
        <f t="shared" si="97"/>
        <v>0.24922765248304549</v>
      </c>
      <c r="BC524" s="7" t="e">
        <f t="shared" si="98"/>
        <v>#N/A</v>
      </c>
      <c r="BD524" s="7">
        <f t="shared" si="99"/>
        <v>-0.9700100000000843</v>
      </c>
      <c r="BE524" s="7">
        <f t="shared" si="100"/>
        <v>-0.9699900000000844</v>
      </c>
      <c r="BF524" s="7">
        <f t="shared" si="101"/>
        <v>0.17745888914847863</v>
      </c>
      <c r="BG524" s="7">
        <f t="shared" si="102"/>
        <v>0.1774636349417521</v>
      </c>
      <c r="BH524" s="7" t="e">
        <f t="shared" si="103"/>
        <v>#N/A</v>
      </c>
      <c r="BI524" s="7" t="e">
        <f t="shared" si="107"/>
        <v>#N/A</v>
      </c>
      <c r="BJ524" s="7" t="e">
        <f t="shared" si="104"/>
        <v>#N/A</v>
      </c>
      <c r="BK524" s="7" t="e">
        <f t="shared" si="108"/>
        <v>#N/A</v>
      </c>
      <c r="BL524" s="7" t="e">
        <f t="shared" si="105"/>
        <v>#N/A</v>
      </c>
    </row>
    <row r="525" spans="52:64" ht="11.25" customHeight="1">
      <c r="AZ525" s="7">
        <f t="shared" si="96"/>
        <v>0.16852760746681672</v>
      </c>
      <c r="BA525" s="7">
        <f t="shared" si="106"/>
        <v>-0.96000000000008434</v>
      </c>
      <c r="BB525" s="7">
        <f t="shared" si="97"/>
        <v>0.25164434109809669</v>
      </c>
      <c r="BC525" s="7" t="e">
        <f t="shared" si="98"/>
        <v>#N/A</v>
      </c>
      <c r="BD525" s="7">
        <f t="shared" si="99"/>
        <v>-0.9600100000000843</v>
      </c>
      <c r="BE525" s="7">
        <f t="shared" si="100"/>
        <v>-0.95999000000008439</v>
      </c>
      <c r="BF525" s="7">
        <f t="shared" si="101"/>
        <v>0.17984333784014889</v>
      </c>
      <c r="BG525" s="7">
        <f t="shared" si="102"/>
        <v>0.17984812994285532</v>
      </c>
      <c r="BH525" s="7" t="e">
        <f t="shared" si="103"/>
        <v>#N/A</v>
      </c>
      <c r="BI525" s="7" t="e">
        <f t="shared" si="107"/>
        <v>#N/A</v>
      </c>
      <c r="BJ525" s="7" t="e">
        <f t="shared" si="104"/>
        <v>#N/A</v>
      </c>
      <c r="BK525" s="7" t="e">
        <f t="shared" si="108"/>
        <v>#N/A</v>
      </c>
      <c r="BL525" s="7" t="e">
        <f t="shared" si="105"/>
        <v>#N/A</v>
      </c>
    </row>
    <row r="526" spans="52:64" ht="11.25" customHeight="1">
      <c r="AZ526" s="7">
        <f t="shared" si="96"/>
        <v>0.17105612630846045</v>
      </c>
      <c r="BA526" s="7">
        <f t="shared" si="106"/>
        <v>-0.95000000000008433</v>
      </c>
      <c r="BB526" s="7">
        <f t="shared" si="97"/>
        <v>0.2540590564691686</v>
      </c>
      <c r="BC526" s="7" t="e">
        <f t="shared" si="98"/>
        <v>#N/A</v>
      </c>
      <c r="BD526" s="7">
        <f t="shared" si="99"/>
        <v>-0.95001000000008429</v>
      </c>
      <c r="BE526" s="7">
        <f t="shared" si="100"/>
        <v>-0.94999000000008438</v>
      </c>
      <c r="BF526" s="7">
        <f t="shared" si="101"/>
        <v>0.18225095332224034</v>
      </c>
      <c r="BG526" s="7">
        <f t="shared" si="102"/>
        <v>0.18225579178117485</v>
      </c>
      <c r="BH526" s="7" t="e">
        <f t="shared" si="103"/>
        <v>#N/A</v>
      </c>
      <c r="BI526" s="7" t="e">
        <f t="shared" si="107"/>
        <v>#N/A</v>
      </c>
      <c r="BJ526" s="7" t="e">
        <f t="shared" si="104"/>
        <v>#N/A</v>
      </c>
      <c r="BK526" s="7" t="e">
        <f t="shared" si="108"/>
        <v>#N/A</v>
      </c>
      <c r="BL526" s="7" t="e">
        <f t="shared" si="105"/>
        <v>#N/A</v>
      </c>
    </row>
    <row r="527" spans="52:64" ht="11.25" customHeight="1">
      <c r="AZ527" s="7">
        <f t="shared" si="96"/>
        <v>0.17360878033860305</v>
      </c>
      <c r="BA527" s="7">
        <f t="shared" si="106"/>
        <v>-0.94000000000008432</v>
      </c>
      <c r="BB527" s="7">
        <f t="shared" si="97"/>
        <v>0.25647129442559996</v>
      </c>
      <c r="BC527" s="7" t="e">
        <f t="shared" si="98"/>
        <v>#N/A</v>
      </c>
      <c r="BD527" s="7">
        <f t="shared" si="99"/>
        <v>-0.94001000000008428</v>
      </c>
      <c r="BE527" s="7">
        <f t="shared" si="100"/>
        <v>-0.93999000000008437</v>
      </c>
      <c r="BF527" s="7">
        <f t="shared" si="101"/>
        <v>0.18468175659271358</v>
      </c>
      <c r="BG527" s="7">
        <f t="shared" si="102"/>
        <v>0.18468664144502772</v>
      </c>
      <c r="BH527" s="7" t="e">
        <f t="shared" si="103"/>
        <v>#N/A</v>
      </c>
      <c r="BI527" s="7" t="e">
        <f t="shared" si="107"/>
        <v>#N/A</v>
      </c>
      <c r="BJ527" s="7" t="e">
        <f t="shared" si="104"/>
        <v>#N/A</v>
      </c>
      <c r="BK527" s="7" t="e">
        <f t="shared" si="108"/>
        <v>#N/A</v>
      </c>
      <c r="BL527" s="7" t="e">
        <f t="shared" si="105"/>
        <v>#N/A</v>
      </c>
    </row>
    <row r="528" spans="52:64" ht="11.25" customHeight="1">
      <c r="AZ528" s="7">
        <f t="shared" si="96"/>
        <v>0.17618554224523619</v>
      </c>
      <c r="BA528" s="7">
        <f t="shared" si="106"/>
        <v>-0.93000000000008431</v>
      </c>
      <c r="BB528" s="7">
        <f t="shared" si="97"/>
        <v>0.25888054673112848</v>
      </c>
      <c r="BC528" s="7" t="e">
        <f t="shared" si="98"/>
        <v>#N/A</v>
      </c>
      <c r="BD528" s="7">
        <f t="shared" si="99"/>
        <v>-0.93001000000008427</v>
      </c>
      <c r="BE528" s="7">
        <f t="shared" si="100"/>
        <v>-0.92999000000008436</v>
      </c>
      <c r="BF528" s="7">
        <f t="shared" si="101"/>
        <v>0.18713576378819879</v>
      </c>
      <c r="BG528" s="7">
        <f t="shared" si="102"/>
        <v>0.1871406950612417</v>
      </c>
      <c r="BH528" s="7" t="e">
        <f t="shared" si="103"/>
        <v>#N/A</v>
      </c>
      <c r="BI528" s="7" t="e">
        <f t="shared" si="107"/>
        <v>#N/A</v>
      </c>
      <c r="BJ528" s="7" t="e">
        <f t="shared" si="104"/>
        <v>#N/A</v>
      </c>
      <c r="BK528" s="7" t="e">
        <f t="shared" si="108"/>
        <v>#N/A</v>
      </c>
      <c r="BL528" s="7" t="e">
        <f t="shared" si="105"/>
        <v>#N/A</v>
      </c>
    </row>
    <row r="529" spans="52:64" ht="11.25" customHeight="1">
      <c r="AZ529" s="7">
        <f t="shared" si="96"/>
        <v>0.17878637961434962</v>
      </c>
      <c r="BA529" s="7">
        <f t="shared" si="106"/>
        <v>-0.92000000000008431</v>
      </c>
      <c r="BB529" s="7">
        <f t="shared" si="97"/>
        <v>0.26128630124953284</v>
      </c>
      <c r="BC529" s="7" t="e">
        <f t="shared" si="98"/>
        <v>#N/A</v>
      </c>
      <c r="BD529" s="7">
        <f t="shared" si="99"/>
        <v>-0.92001000000008426</v>
      </c>
      <c r="BE529" s="7">
        <f t="shared" si="100"/>
        <v>-0.91999000000008435</v>
      </c>
      <c r="BF529" s="7">
        <f t="shared" si="101"/>
        <v>0.18961298610595206</v>
      </c>
      <c r="BG529" s="7">
        <f t="shared" si="102"/>
        <v>0.18961796381711787</v>
      </c>
      <c r="BH529" s="7" t="e">
        <f t="shared" si="103"/>
        <v>#N/A</v>
      </c>
      <c r="BI529" s="7" t="e">
        <f t="shared" si="107"/>
        <v>#N/A</v>
      </c>
      <c r="BJ529" s="7" t="e">
        <f t="shared" si="104"/>
        <v>#N/A</v>
      </c>
      <c r="BK529" s="7" t="e">
        <f t="shared" si="108"/>
        <v>#N/A</v>
      </c>
      <c r="BL529" s="7" t="e">
        <f t="shared" si="105"/>
        <v>#N/A</v>
      </c>
    </row>
    <row r="530" spans="52:64" ht="11.25" customHeight="1">
      <c r="AZ530" s="7">
        <f t="shared" si="96"/>
        <v>0.18141125489177501</v>
      </c>
      <c r="BA530" s="7">
        <f t="shared" si="106"/>
        <v>-0.9100000000000843</v>
      </c>
      <c r="BB530" s="7">
        <f t="shared" si="97"/>
        <v>0.26368804211379793</v>
      </c>
      <c r="BC530" s="7" t="e">
        <f t="shared" si="98"/>
        <v>#N/A</v>
      </c>
      <c r="BD530" s="7">
        <f t="shared" si="99"/>
        <v>-0.91001000000008425</v>
      </c>
      <c r="BE530" s="7">
        <f t="shared" si="100"/>
        <v>-0.90999000000008434</v>
      </c>
      <c r="BF530" s="7">
        <f t="shared" si="101"/>
        <v>0.19211342972708551</v>
      </c>
      <c r="BG530" s="7">
        <f t="shared" si="102"/>
        <v>0.19211845388365917</v>
      </c>
      <c r="BH530" s="7" t="e">
        <f t="shared" si="103"/>
        <v>#N/A</v>
      </c>
      <c r="BI530" s="7" t="e">
        <f t="shared" si="107"/>
        <v>#N/A</v>
      </c>
      <c r="BJ530" s="7" t="e">
        <f t="shared" si="104"/>
        <v>#N/A</v>
      </c>
      <c r="BK530" s="7" t="e">
        <f t="shared" si="108"/>
        <v>#N/A</v>
      </c>
      <c r="BL530" s="7" t="e">
        <f t="shared" si="105"/>
        <v>#N/A</v>
      </c>
    </row>
    <row r="531" spans="52:64" ht="11.25" customHeight="1">
      <c r="AZ531" s="7">
        <f t="shared" si="96"/>
        <v>0.1840601253467371</v>
      </c>
      <c r="BA531" s="7">
        <f t="shared" si="106"/>
        <v>-0.90000000000008429</v>
      </c>
      <c r="BB531" s="7">
        <f t="shared" si="97"/>
        <v>0.26608524989873461</v>
      </c>
      <c r="BC531" s="7" t="e">
        <f t="shared" si="98"/>
        <v>#N/A</v>
      </c>
      <c r="BD531" s="7">
        <f t="shared" si="99"/>
        <v>-0.90001000000008424</v>
      </c>
      <c r="BE531" s="7">
        <f t="shared" si="100"/>
        <v>-0.89999000000008433</v>
      </c>
      <c r="BF531" s="7">
        <f t="shared" si="101"/>
        <v>0.19463709574114363</v>
      </c>
      <c r="BG531" s="7">
        <f t="shared" si="102"/>
        <v>0.19464216634015297</v>
      </c>
      <c r="BH531" s="7" t="e">
        <f t="shared" si="103"/>
        <v>#N/A</v>
      </c>
      <c r="BI531" s="7" t="e">
        <f t="shared" si="107"/>
        <v>#N/A</v>
      </c>
      <c r="BJ531" s="7" t="e">
        <f t="shared" si="104"/>
        <v>#N/A</v>
      </c>
      <c r="BK531" s="7" t="e">
        <f t="shared" si="108"/>
        <v>#N/A</v>
      </c>
      <c r="BL531" s="7" t="e">
        <f t="shared" si="105"/>
        <v>#N/A</v>
      </c>
    </row>
    <row r="532" spans="52:64" ht="11.25" customHeight="1">
      <c r="AZ532" s="7">
        <f t="shared" si="96"/>
        <v>0.18673294303715005</v>
      </c>
      <c r="BA532" s="7">
        <f t="shared" si="106"/>
        <v>-0.89000000000008428</v>
      </c>
      <c r="BB532" s="7">
        <f t="shared" si="97"/>
        <v>0.26847740179698221</v>
      </c>
      <c r="BC532" s="7" t="e">
        <f t="shared" si="98"/>
        <v>#N/A</v>
      </c>
      <c r="BD532" s="7">
        <f t="shared" si="99"/>
        <v>-0.89001000000008423</v>
      </c>
      <c r="BE532" s="7">
        <f t="shared" si="100"/>
        <v>-0.88999000000008432</v>
      </c>
      <c r="BF532" s="7">
        <f t="shared" si="101"/>
        <v>0.19718398007210514</v>
      </c>
      <c r="BG532" s="7">
        <f t="shared" si="102"/>
        <v>0.19718909710017363</v>
      </c>
      <c r="BH532" s="7" t="e">
        <f t="shared" si="103"/>
        <v>#N/A</v>
      </c>
      <c r="BI532" s="7" t="e">
        <f t="shared" si="107"/>
        <v>#N/A</v>
      </c>
      <c r="BJ532" s="7" t="e">
        <f t="shared" si="104"/>
        <v>#N/A</v>
      </c>
      <c r="BK532" s="7" t="e">
        <f t="shared" si="108"/>
        <v>#N/A</v>
      </c>
      <c r="BL532" s="7" t="e">
        <f t="shared" si="105"/>
        <v>#N/A</v>
      </c>
    </row>
    <row r="533" spans="52:64" ht="11.25" customHeight="1">
      <c r="AZ533" s="7">
        <f t="shared" ref="AZ533:AZ596" si="109">NORMDIST(BA533,$BA$17,$BA$18,TRUE)</f>
        <v>0.18942965477668938</v>
      </c>
      <c r="BA533" s="7">
        <f t="shared" si="106"/>
        <v>-0.88000000000008427</v>
      </c>
      <c r="BB533" s="7">
        <f t="shared" ref="BB533:BB596" si="110">IF($BA$13=1,NORMDIST(BA533,$BA$17,$BA$18,FALSE),NA())</f>
        <v>0.27086397179831789</v>
      </c>
      <c r="BC533" s="7" t="e">
        <f t="shared" ref="BC533:BC596" si="111">IF($BA$13=3,NORMDIST(BA533,$BA$17,$BA$18,FALSE),NA())</f>
        <v>#N/A</v>
      </c>
      <c r="BD533" s="7">
        <f t="shared" ref="BD533:BD596" si="112">BA533-$BD$19</f>
        <v>-0.88001000000008422</v>
      </c>
      <c r="BE533" s="7">
        <f t="shared" ref="BE533:BE596" si="113">BA533+$BD$19</f>
        <v>-0.87999000000008432</v>
      </c>
      <c r="BF533" s="7">
        <f t="shared" ref="BF533:BF596" si="114">IF(BD533&lt;0,TDIST(-BD533,$BA$14,1),1-TDIST(BD533,$BA$14,1))</f>
        <v>0.19975407340588675</v>
      </c>
      <c r="BG533" s="7">
        <f t="shared" ref="BG533:BG596" si="115">IF(BE533&lt;0,TDIST(-BE533,$BA$14,1),1-TDIST(BE533,$BA$14,1))</f>
        <v>0.19975923683908997</v>
      </c>
      <c r="BH533" s="7" t="e">
        <f t="shared" ref="BH533:BH596" si="116">IF($BA$13&gt;1,(BG533-BF533)/(2*$BD$19),NA())</f>
        <v>#N/A</v>
      </c>
      <c r="BI533" s="7" t="e">
        <f t="shared" si="107"/>
        <v>#N/A</v>
      </c>
      <c r="BJ533" s="7" t="e">
        <f t="shared" ref="BJ533:BJ596" si="117">IF(ISNUMBER(BI533),BI533-$BJ$19,NA())</f>
        <v>#N/A</v>
      </c>
      <c r="BK533" s="7" t="e">
        <f t="shared" si="108"/>
        <v>#N/A</v>
      </c>
      <c r="BL533" s="7" t="e">
        <f t="shared" ref="BL533:BL596" si="118">IF(ISNUMBER(BK533),BK533-$BL$19,NA())</f>
        <v>#N/A</v>
      </c>
    </row>
    <row r="534" spans="52:64" ht="11.25" customHeight="1">
      <c r="AZ534" s="7">
        <f t="shared" si="109"/>
        <v>0.19215020210367295</v>
      </c>
      <c r="BA534" s="7">
        <f t="shared" ref="BA534:BA597" si="119">BA533+$BD$10</f>
        <v>-0.87000000000008426</v>
      </c>
      <c r="BB534" s="7">
        <f t="shared" si="110"/>
        <v>0.27324443087219619</v>
      </c>
      <c r="BC534" s="7" t="e">
        <f t="shared" si="111"/>
        <v>#N/A</v>
      </c>
      <c r="BD534" s="7">
        <f t="shared" si="112"/>
        <v>-0.87001000000008422</v>
      </c>
      <c r="BE534" s="7">
        <f t="shared" si="113"/>
        <v>-0.86999000000008431</v>
      </c>
      <c r="BF534" s="7">
        <f t="shared" si="114"/>
        <v>0.20234736111942359</v>
      </c>
      <c r="BG534" s="7">
        <f t="shared" si="115"/>
        <v>0.20235257092314912</v>
      </c>
      <c r="BH534" s="7" t="e">
        <f t="shared" si="116"/>
        <v>#N/A</v>
      </c>
      <c r="BI534" s="7" t="e">
        <f t="shared" ref="BI534:BI597" si="120">IF($BA$15=1,IF(OR(AND(BA534&gt;=$BI$18,$BN$18&gt;=0),AND(BA534&lt;=-$BI$18,$BN$18&lt;0)),BB534,NA()),IF($BA$15=2,IF(ABS(BA534)&gt;=$BI$18,BB534,NA()),NA()))</f>
        <v>#N/A</v>
      </c>
      <c r="BJ534" s="7" t="e">
        <f t="shared" si="117"/>
        <v>#N/A</v>
      </c>
      <c r="BK534" s="7" t="e">
        <f t="shared" ref="BK534:BK597" si="121">IF($BA$15=1,IF(OR(AND(BA534&gt;=$BK$18,$BN$18&gt;=0),AND(BA534&lt;=-$BK$18,$BN$18&lt;0)),BH534,NA()),IF($BA$15=2,IF(ABS(BA534)&gt;=$BK$18,BH534,NA()),NA()))</f>
        <v>#N/A</v>
      </c>
      <c r="BL534" s="7" t="e">
        <f t="shared" si="118"/>
        <v>#N/A</v>
      </c>
    </row>
    <row r="535" spans="52:64" ht="11.25" customHeight="1">
      <c r="AZ535" s="7">
        <f t="shared" si="109"/>
        <v>0.19489452125178519</v>
      </c>
      <c r="BA535" s="7">
        <f t="shared" si="119"/>
        <v>-0.86000000000008425</v>
      </c>
      <c r="BB535" s="7">
        <f t="shared" si="110"/>
        <v>0.27561824715343669</v>
      </c>
      <c r="BC535" s="7" t="e">
        <f t="shared" si="111"/>
        <v>#N/A</v>
      </c>
      <c r="BD535" s="7">
        <f t="shared" si="112"/>
        <v>-0.86001000000008421</v>
      </c>
      <c r="BE535" s="7">
        <f t="shared" si="113"/>
        <v>-0.8599900000000843</v>
      </c>
      <c r="BF535" s="7">
        <f t="shared" si="114"/>
        <v>0.20496382321140949</v>
      </c>
      <c r="BG535" s="7">
        <f t="shared" si="115"/>
        <v>0.20496907934022057</v>
      </c>
      <c r="BH535" s="7" t="e">
        <f t="shared" si="116"/>
        <v>#N/A</v>
      </c>
      <c r="BI535" s="7" t="e">
        <f t="shared" si="120"/>
        <v>#N/A</v>
      </c>
      <c r="BJ535" s="7" t="e">
        <f t="shared" si="117"/>
        <v>#N/A</v>
      </c>
      <c r="BK535" s="7" t="e">
        <f t="shared" si="121"/>
        <v>#N/A</v>
      </c>
      <c r="BL535" s="7" t="e">
        <f t="shared" si="118"/>
        <v>#N/A</v>
      </c>
    </row>
    <row r="536" spans="52:64" ht="11.25" customHeight="1">
      <c r="AZ536" s="7">
        <f t="shared" si="109"/>
        <v>0.19766254312266895</v>
      </c>
      <c r="BA536" s="7">
        <f t="shared" si="119"/>
        <v>-0.85000000000008424</v>
      </c>
      <c r="BB536" s="7">
        <f t="shared" si="110"/>
        <v>0.27798488613097649</v>
      </c>
      <c r="BC536" s="7" t="e">
        <f t="shared" si="111"/>
        <v>#N/A</v>
      </c>
      <c r="BD536" s="7">
        <f t="shared" si="112"/>
        <v>-0.8500100000000842</v>
      </c>
      <c r="BE536" s="7">
        <f t="shared" si="113"/>
        <v>-0.84999000000008429</v>
      </c>
      <c r="BF536" s="7">
        <f t="shared" si="114"/>
        <v>0.20760343423476862</v>
      </c>
      <c r="BG536" s="7">
        <f t="shared" si="115"/>
        <v>0.20760873663226947</v>
      </c>
      <c r="BH536" s="7" t="e">
        <f t="shared" si="116"/>
        <v>#N/A</v>
      </c>
      <c r="BI536" s="7" t="e">
        <f t="shared" si="120"/>
        <v>#N/A</v>
      </c>
      <c r="BJ536" s="7" t="e">
        <f t="shared" si="117"/>
        <v>#N/A</v>
      </c>
      <c r="BK536" s="7" t="e">
        <f t="shared" si="121"/>
        <v>#N/A</v>
      </c>
      <c r="BL536" s="7" t="e">
        <f t="shared" si="118"/>
        <v>#N/A</v>
      </c>
    </row>
    <row r="537" spans="52:64" ht="11.25" customHeight="1">
      <c r="AZ537" s="7">
        <f t="shared" si="109"/>
        <v>0.20045419326042602</v>
      </c>
      <c r="BA537" s="7">
        <f t="shared" si="119"/>
        <v>-0.84000000000008423</v>
      </c>
      <c r="BB537" s="7">
        <f t="shared" si="110"/>
        <v>0.28034381083960069</v>
      </c>
      <c r="BC537" s="7" t="e">
        <f t="shared" si="111"/>
        <v>#N/A</v>
      </c>
      <c r="BD537" s="7">
        <f t="shared" si="112"/>
        <v>-0.84001000000008419</v>
      </c>
      <c r="BE537" s="7">
        <f t="shared" si="113"/>
        <v>-0.83999000000008428</v>
      </c>
      <c r="BF537" s="7">
        <f t="shared" si="114"/>
        <v>0.21026616323093783</v>
      </c>
      <c r="BG537" s="7">
        <f t="shared" si="115"/>
        <v>0.21027151182964648</v>
      </c>
      <c r="BH537" s="7" t="e">
        <f t="shared" si="116"/>
        <v>#N/A</v>
      </c>
      <c r="BI537" s="7" t="e">
        <f t="shared" si="120"/>
        <v>#N/A</v>
      </c>
      <c r="BJ537" s="7" t="e">
        <f t="shared" si="117"/>
        <v>#N/A</v>
      </c>
      <c r="BK537" s="7" t="e">
        <f t="shared" si="121"/>
        <v>#N/A</v>
      </c>
      <c r="BL537" s="7" t="e">
        <f t="shared" si="118"/>
        <v>#N/A</v>
      </c>
    </row>
    <row r="538" spans="52:64" ht="11.25" customHeight="1">
      <c r="AZ538" s="7">
        <f t="shared" si="109"/>
        <v>0.2032693918280446</v>
      </c>
      <c r="BA538" s="7">
        <f t="shared" si="119"/>
        <v>-0.83000000000008423</v>
      </c>
      <c r="BB538" s="7">
        <f t="shared" si="110"/>
        <v>0.28269448205456044</v>
      </c>
      <c r="BC538" s="7" t="e">
        <f t="shared" si="111"/>
        <v>#N/A</v>
      </c>
      <c r="BD538" s="7">
        <f t="shared" si="112"/>
        <v>-0.83001000000008418</v>
      </c>
      <c r="BE538" s="7">
        <f t="shared" si="113"/>
        <v>-0.82999000000008427</v>
      </c>
      <c r="BF538" s="7">
        <f t="shared" si="114"/>
        <v>0.2129519736660393</v>
      </c>
      <c r="BG538" s="7">
        <f t="shared" si="115"/>
        <v>0.21295736838725932</v>
      </c>
      <c r="BH538" s="7" t="e">
        <f t="shared" si="116"/>
        <v>#N/A</v>
      </c>
      <c r="BI538" s="7" t="e">
        <f t="shared" si="120"/>
        <v>#N/A</v>
      </c>
      <c r="BJ538" s="7" t="e">
        <f t="shared" si="117"/>
        <v>#N/A</v>
      </c>
      <c r="BK538" s="7" t="e">
        <f t="shared" si="121"/>
        <v>#N/A</v>
      </c>
      <c r="BL538" s="7" t="e">
        <f t="shared" si="118"/>
        <v>#N/A</v>
      </c>
    </row>
    <row r="539" spans="52:64" ht="11.25" customHeight="1">
      <c r="AZ539" s="7">
        <f t="shared" si="109"/>
        <v>0.2061080535857891</v>
      </c>
      <c r="BA539" s="7">
        <f t="shared" si="119"/>
        <v>-0.82000000000008422</v>
      </c>
      <c r="BB539" s="7">
        <f t="shared" si="110"/>
        <v>0.28503635848898751</v>
      </c>
      <c r="BC539" s="7" t="e">
        <f t="shared" si="111"/>
        <v>#N/A</v>
      </c>
      <c r="BD539" s="7">
        <f t="shared" si="112"/>
        <v>-0.82001000000008417</v>
      </c>
      <c r="BE539" s="7">
        <f t="shared" si="113"/>
        <v>-0.81999000000008426</v>
      </c>
      <c r="BF539" s="7">
        <f t="shared" si="114"/>
        <v>0.21566082336901621</v>
      </c>
      <c r="BG539" s="7">
        <f t="shared" si="115"/>
        <v>0.21566626412271694</v>
      </c>
      <c r="BH539" s="7" t="e">
        <f t="shared" si="116"/>
        <v>#N/A</v>
      </c>
      <c r="BI539" s="7" t="e">
        <f t="shared" si="120"/>
        <v>#N/A</v>
      </c>
      <c r="BJ539" s="7" t="e">
        <f t="shared" si="117"/>
        <v>#N/A</v>
      </c>
      <c r="BK539" s="7" t="e">
        <f t="shared" si="121"/>
        <v>#N/A</v>
      </c>
      <c r="BL539" s="7" t="e">
        <f t="shared" si="118"/>
        <v>#N/A</v>
      </c>
    </row>
    <row r="540" spans="52:64" ht="11.25" customHeight="1">
      <c r="AZ540" s="7">
        <f t="shared" si="109"/>
        <v>0.20897008787157734</v>
      </c>
      <c r="BA540" s="7">
        <f t="shared" si="119"/>
        <v>-0.81000000000008421</v>
      </c>
      <c r="BB540" s="7">
        <f t="shared" si="110"/>
        <v>0.28736889699400869</v>
      </c>
      <c r="BC540" s="7" t="e">
        <f t="shared" si="111"/>
        <v>#N/A</v>
      </c>
      <c r="BD540" s="7">
        <f t="shared" si="112"/>
        <v>-0.81001000000008416</v>
      </c>
      <c r="BE540" s="7">
        <f t="shared" si="113"/>
        <v>-0.80999000000008425</v>
      </c>
      <c r="BF540" s="7">
        <f t="shared" si="114"/>
        <v>0.21839266447181033</v>
      </c>
      <c r="BG540" s="7">
        <f t="shared" si="115"/>
        <v>0.21839815115650846</v>
      </c>
      <c r="BH540" s="7" t="e">
        <f t="shared" si="116"/>
        <v>#N/A</v>
      </c>
      <c r="BI540" s="7" t="e">
        <f t="shared" si="120"/>
        <v>#N/A</v>
      </c>
      <c r="BJ540" s="7" t="e">
        <f t="shared" si="117"/>
        <v>#N/A</v>
      </c>
      <c r="BK540" s="7" t="e">
        <f t="shared" si="121"/>
        <v>#N/A</v>
      </c>
      <c r="BL540" s="7" t="e">
        <f t="shared" si="118"/>
        <v>#N/A</v>
      </c>
    </row>
    <row r="541" spans="52:64" ht="11.25" customHeight="1">
      <c r="AZ541" s="7">
        <f t="shared" si="109"/>
        <v>0.21185539858337243</v>
      </c>
      <c r="BA541" s="7">
        <f t="shared" si="119"/>
        <v>-0.8000000000000842</v>
      </c>
      <c r="BB541" s="7">
        <f t="shared" si="110"/>
        <v>0.28969155276146319</v>
      </c>
      <c r="BC541" s="7" t="e">
        <f t="shared" si="111"/>
        <v>#N/A</v>
      </c>
      <c r="BD541" s="7">
        <f t="shared" si="112"/>
        <v>-0.80001000000008415</v>
      </c>
      <c r="BE541" s="7">
        <f t="shared" si="113"/>
        <v>-0.79999000000008424</v>
      </c>
      <c r="BF541" s="7">
        <f t="shared" si="114"/>
        <v>0.22114744335165804</v>
      </c>
      <c r="BG541" s="7">
        <f t="shared" si="115"/>
        <v>0.22115297585430377</v>
      </c>
      <c r="BH541" s="7" t="e">
        <f t="shared" si="116"/>
        <v>#N/A</v>
      </c>
      <c r="BI541" s="7" t="e">
        <f t="shared" si="120"/>
        <v>#N/A</v>
      </c>
      <c r="BJ541" s="7" t="e">
        <f t="shared" si="117"/>
        <v>#N/A</v>
      </c>
      <c r="BK541" s="7" t="e">
        <f t="shared" si="121"/>
        <v>#N/A</v>
      </c>
      <c r="BL541" s="7" t="e">
        <f t="shared" si="118"/>
        <v>#N/A</v>
      </c>
    </row>
    <row r="542" spans="52:64" ht="11.25" customHeight="1">
      <c r="AZ542" s="7">
        <f t="shared" si="109"/>
        <v>0.21476388416361247</v>
      </c>
      <c r="BA542" s="7">
        <f t="shared" si="119"/>
        <v>-0.79000000000008419</v>
      </c>
      <c r="BB542" s="7">
        <f t="shared" si="110"/>
        <v>0.29200377952912199</v>
      </c>
      <c r="BC542" s="7" t="e">
        <f t="shared" si="111"/>
        <v>#N/A</v>
      </c>
      <c r="BD542" s="7">
        <f t="shared" si="112"/>
        <v>-0.79001000000008414</v>
      </c>
      <c r="BE542" s="7">
        <f t="shared" si="113"/>
        <v>-0.78999000000008424</v>
      </c>
      <c r="BF542" s="7">
        <f t="shared" si="114"/>
        <v>0.2239251005755763</v>
      </c>
      <c r="BG542" s="7">
        <f t="shared" si="115"/>
        <v>0.22393067877144651</v>
      </c>
      <c r="BH542" s="7" t="e">
        <f t="shared" si="116"/>
        <v>#N/A</v>
      </c>
      <c r="BI542" s="7" t="e">
        <f t="shared" si="120"/>
        <v>#N/A</v>
      </c>
      <c r="BJ542" s="7" t="e">
        <f t="shared" si="117"/>
        <v>#N/A</v>
      </c>
      <c r="BK542" s="7" t="e">
        <f t="shared" si="121"/>
        <v>#N/A</v>
      </c>
      <c r="BL542" s="7" t="e">
        <f t="shared" si="118"/>
        <v>#N/A</v>
      </c>
    </row>
    <row r="543" spans="52:64" ht="11.25" customHeight="1">
      <c r="AZ543" s="7">
        <f t="shared" si="109"/>
        <v>0.21769543758570853</v>
      </c>
      <c r="BA543" s="7">
        <f t="shared" si="119"/>
        <v>-0.78000000000008418</v>
      </c>
      <c r="BB543" s="7">
        <f t="shared" si="110"/>
        <v>0.29430502978830581</v>
      </c>
      <c r="BC543" s="7" t="e">
        <f t="shared" si="111"/>
        <v>#N/A</v>
      </c>
      <c r="BD543" s="7">
        <f t="shared" si="112"/>
        <v>-0.78001000000008414</v>
      </c>
      <c r="BE543" s="7">
        <f t="shared" si="113"/>
        <v>-0.77999000000008423</v>
      </c>
      <c r="BF543" s="7">
        <f t="shared" si="114"/>
        <v>0.22672557084712125</v>
      </c>
      <c r="BG543" s="7">
        <f t="shared" si="115"/>
        <v>0.22673119459971297</v>
      </c>
      <c r="BH543" s="7" t="e">
        <f t="shared" si="116"/>
        <v>#N/A</v>
      </c>
      <c r="BI543" s="7" t="e">
        <f t="shared" si="120"/>
        <v>#N/A</v>
      </c>
      <c r="BJ543" s="7" t="e">
        <f t="shared" si="117"/>
        <v>#N/A</v>
      </c>
      <c r="BK543" s="7" t="e">
        <f t="shared" si="121"/>
        <v>#N/A</v>
      </c>
      <c r="BL543" s="7" t="e">
        <f t="shared" si="118"/>
        <v>#N/A</v>
      </c>
    </row>
    <row r="544" spans="52:64" ht="11.25" customHeight="1">
      <c r="AZ544" s="7">
        <f t="shared" si="109"/>
        <v>0.22064994634262458</v>
      </c>
      <c r="BA544" s="7">
        <f t="shared" si="119"/>
        <v>-0.77000000000008417</v>
      </c>
      <c r="BB544" s="7">
        <f t="shared" si="110"/>
        <v>0.29659475499379645</v>
      </c>
      <c r="BC544" s="7" t="e">
        <f t="shared" si="111"/>
        <v>#N/A</v>
      </c>
      <c r="BD544" s="7">
        <f t="shared" si="112"/>
        <v>-0.77001000000008413</v>
      </c>
      <c r="BE544" s="7">
        <f t="shared" si="113"/>
        <v>-0.76999000000008422</v>
      </c>
      <c r="BF544" s="7">
        <f t="shared" si="114"/>
        <v>0.22954878295548231</v>
      </c>
      <c r="BG544" s="7">
        <f t="shared" si="115"/>
        <v>0.2295544521164154</v>
      </c>
      <c r="BH544" s="7" t="e">
        <f t="shared" si="116"/>
        <v>#N/A</v>
      </c>
      <c r="BI544" s="7" t="e">
        <f t="shared" si="120"/>
        <v>#N/A</v>
      </c>
      <c r="BJ544" s="7" t="e">
        <f t="shared" si="117"/>
        <v>#N/A</v>
      </c>
      <c r="BK544" s="7" t="e">
        <f t="shared" si="121"/>
        <v>#N/A</v>
      </c>
      <c r="BL544" s="7" t="e">
        <f t="shared" si="118"/>
        <v>#N/A</v>
      </c>
    </row>
    <row r="545" spans="52:64" ht="11.25" customHeight="1">
      <c r="AZ545" s="7">
        <f t="shared" si="109"/>
        <v>0.2236272924375744</v>
      </c>
      <c r="BA545" s="7">
        <f t="shared" si="119"/>
        <v>-0.76000000000008416</v>
      </c>
      <c r="BB545" s="7">
        <f t="shared" si="110"/>
        <v>0.2988724057759336</v>
      </c>
      <c r="BC545" s="7" t="e">
        <f t="shared" si="111"/>
        <v>#N/A</v>
      </c>
      <c r="BD545" s="7">
        <f t="shared" si="112"/>
        <v>-0.76001000000008412</v>
      </c>
      <c r="BE545" s="7">
        <f t="shared" si="113"/>
        <v>-0.75999000000008421</v>
      </c>
      <c r="BF545" s="7">
        <f t="shared" si="114"/>
        <v>0.23239465972699752</v>
      </c>
      <c r="BG545" s="7">
        <f t="shared" si="115"/>
        <v>0.23240037413591857</v>
      </c>
      <c r="BH545" s="7" t="e">
        <f t="shared" si="116"/>
        <v>#N/A</v>
      </c>
      <c r="BI545" s="7" t="e">
        <f t="shared" si="120"/>
        <v>#N/A</v>
      </c>
      <c r="BJ545" s="7" t="e">
        <f t="shared" si="117"/>
        <v>#N/A</v>
      </c>
      <c r="BK545" s="7" t="e">
        <f t="shared" si="121"/>
        <v>#N/A</v>
      </c>
      <c r="BL545" s="7" t="e">
        <f t="shared" si="118"/>
        <v>#N/A</v>
      </c>
    </row>
    <row r="546" spans="52:64" ht="11.25" customHeight="1">
      <c r="AZ546" s="7">
        <f t="shared" si="109"/>
        <v>0.22662735237684295</v>
      </c>
      <c r="BA546" s="7">
        <f t="shared" si="119"/>
        <v>-0.75000000000008415</v>
      </c>
      <c r="BB546" s="7">
        <f t="shared" si="110"/>
        <v>0.30113743215478539</v>
      </c>
      <c r="BC546" s="7" t="e">
        <f t="shared" si="111"/>
        <v>#N/A</v>
      </c>
      <c r="BD546" s="7">
        <f t="shared" si="112"/>
        <v>-0.75001000000008411</v>
      </c>
      <c r="BE546" s="7">
        <f t="shared" si="113"/>
        <v>-0.7499900000000842</v>
      </c>
      <c r="BF546" s="7">
        <f t="shared" si="114"/>
        <v>0.23526311797915239</v>
      </c>
      <c r="BG546" s="7">
        <f t="shared" si="115"/>
        <v>0.23526887746364544</v>
      </c>
      <c r="BH546" s="7" t="e">
        <f t="shared" si="116"/>
        <v>#N/A</v>
      </c>
      <c r="BI546" s="7" t="e">
        <f t="shared" si="120"/>
        <v>#N/A</v>
      </c>
      <c r="BJ546" s="7" t="e">
        <f t="shared" si="117"/>
        <v>#N/A</v>
      </c>
      <c r="BK546" s="7" t="e">
        <f t="shared" si="121"/>
        <v>#N/A</v>
      </c>
      <c r="BL546" s="7" t="e">
        <f t="shared" si="118"/>
        <v>#N/A</v>
      </c>
    </row>
    <row r="547" spans="52:64" ht="11.25" customHeight="1">
      <c r="AZ547" s="7">
        <f t="shared" si="109"/>
        <v>0.22964999716476497</v>
      </c>
      <c r="BA547" s="7">
        <f t="shared" si="119"/>
        <v>-0.74000000000008415</v>
      </c>
      <c r="BB547" s="7">
        <f t="shared" si="110"/>
        <v>0.30338928375628121</v>
      </c>
      <c r="BC547" s="7" t="e">
        <f t="shared" si="111"/>
        <v>#N/A</v>
      </c>
      <c r="BD547" s="7">
        <f t="shared" si="112"/>
        <v>-0.7400100000000841</v>
      </c>
      <c r="BE547" s="7">
        <f t="shared" si="113"/>
        <v>-0.73999000000008419</v>
      </c>
      <c r="BF547" s="7">
        <f t="shared" si="114"/>
        <v>0.23815406847713644</v>
      </c>
      <c r="BG547" s="7">
        <f t="shared" si="115"/>
        <v>0.23815987285264056</v>
      </c>
      <c r="BH547" s="7" t="e">
        <f t="shared" si="116"/>
        <v>#N/A</v>
      </c>
      <c r="BI547" s="7" t="e">
        <f t="shared" si="120"/>
        <v>#N/A</v>
      </c>
      <c r="BJ547" s="7" t="e">
        <f t="shared" si="117"/>
        <v>#N/A</v>
      </c>
      <c r="BK547" s="7" t="e">
        <f t="shared" si="121"/>
        <v>#N/A</v>
      </c>
      <c r="BL547" s="7" t="e">
        <f t="shared" si="118"/>
        <v>#N/A</v>
      </c>
    </row>
    <row r="548" spans="52:64" ht="11.25" customHeight="1">
      <c r="AZ548" s="7">
        <f t="shared" si="109"/>
        <v>0.23269509230087171</v>
      </c>
      <c r="BA548" s="7">
        <f t="shared" si="119"/>
        <v>-0.73000000000008414</v>
      </c>
      <c r="BB548" s="7">
        <f t="shared" si="110"/>
        <v>0.30562741003019106</v>
      </c>
      <c r="BC548" s="7" t="e">
        <f t="shared" si="111"/>
        <v>#N/A</v>
      </c>
      <c r="BD548" s="7">
        <f t="shared" si="112"/>
        <v>-0.73001000000008409</v>
      </c>
      <c r="BE548" s="7">
        <f t="shared" si="113"/>
        <v>-0.72999000000008418</v>
      </c>
      <c r="BF548" s="7">
        <f t="shared" si="114"/>
        <v>0.24106741589303382</v>
      </c>
      <c r="BG548" s="7">
        <f t="shared" si="115"/>
        <v>0.24107326496276149</v>
      </c>
      <c r="BH548" s="7" t="e">
        <f t="shared" si="116"/>
        <v>#N/A</v>
      </c>
      <c r="BI548" s="7" t="e">
        <f t="shared" si="120"/>
        <v>#N/A</v>
      </c>
      <c r="BJ548" s="7" t="e">
        <f t="shared" si="117"/>
        <v>#N/A</v>
      </c>
      <c r="BK548" s="7" t="e">
        <f t="shared" si="121"/>
        <v>#N/A</v>
      </c>
      <c r="BL548" s="7" t="e">
        <f t="shared" si="118"/>
        <v>#N/A</v>
      </c>
    </row>
    <row r="549" spans="52:64" ht="11.25" customHeight="1">
      <c r="AZ549" s="7">
        <f t="shared" si="109"/>
        <v>0.2357624977792252</v>
      </c>
      <c r="BA549" s="7">
        <f t="shared" si="119"/>
        <v>-0.72000000000008413</v>
      </c>
      <c r="BB549" s="7">
        <f t="shared" si="110"/>
        <v>0.30785126046983424</v>
      </c>
      <c r="BC549" s="7" t="e">
        <f t="shared" si="111"/>
        <v>#N/A</v>
      </c>
      <c r="BD549" s="7">
        <f t="shared" si="112"/>
        <v>-0.72001000000008408</v>
      </c>
      <c r="BE549" s="7">
        <f t="shared" si="113"/>
        <v>-0.71999000000008417</v>
      </c>
      <c r="BF549" s="7">
        <f t="shared" si="114"/>
        <v>0.24400305876770467</v>
      </c>
      <c r="BG549" s="7">
        <f t="shared" si="115"/>
        <v>0.2440089523225703</v>
      </c>
      <c r="BH549" s="7" t="e">
        <f t="shared" si="116"/>
        <v>#N/A</v>
      </c>
      <c r="BI549" s="7" t="e">
        <f t="shared" si="120"/>
        <v>#N/A</v>
      </c>
      <c r="BJ549" s="7" t="e">
        <f t="shared" si="117"/>
        <v>#N/A</v>
      </c>
      <c r="BK549" s="7" t="e">
        <f t="shared" si="121"/>
        <v>#N/A</v>
      </c>
      <c r="BL549" s="7" t="e">
        <f t="shared" si="118"/>
        <v>#N/A</v>
      </c>
    </row>
    <row r="550" spans="52:64" ht="11.25" customHeight="1">
      <c r="AZ550" s="7">
        <f t="shared" si="109"/>
        <v>0.23885206808996062</v>
      </c>
      <c r="BA550" s="7">
        <f t="shared" si="119"/>
        <v>-0.71000000000008412</v>
      </c>
      <c r="BB550" s="7">
        <f t="shared" si="110"/>
        <v>0.31006028483339759</v>
      </c>
      <c r="BC550" s="7" t="e">
        <f t="shared" si="111"/>
        <v>#N/A</v>
      </c>
      <c r="BD550" s="7">
        <f t="shared" si="112"/>
        <v>-0.71001000000008407</v>
      </c>
      <c r="BE550" s="7">
        <f t="shared" si="113"/>
        <v>-0.70999000000008416</v>
      </c>
      <c r="BF550" s="7">
        <f t="shared" si="114"/>
        <v>0.24696088947543743</v>
      </c>
      <c r="BG550" s="7">
        <f t="shared" si="115"/>
        <v>0.24696682729398794</v>
      </c>
      <c r="BH550" s="7" t="e">
        <f t="shared" si="116"/>
        <v>#N/A</v>
      </c>
      <c r="BI550" s="7" t="e">
        <f t="shared" si="120"/>
        <v>#N/A</v>
      </c>
      <c r="BJ550" s="7" t="e">
        <f t="shared" si="117"/>
        <v>#N/A</v>
      </c>
      <c r="BK550" s="7" t="e">
        <f t="shared" si="121"/>
        <v>#N/A</v>
      </c>
      <c r="BL550" s="7" t="e">
        <f t="shared" si="118"/>
        <v>#N/A</v>
      </c>
    </row>
    <row r="551" spans="52:64" ht="11.25" customHeight="1">
      <c r="AZ551" s="7">
        <f t="shared" si="109"/>
        <v>0.24196365222304672</v>
      </c>
      <c r="BA551" s="7">
        <f t="shared" si="119"/>
        <v>-0.70000000000008411</v>
      </c>
      <c r="BB551" s="7">
        <f t="shared" si="110"/>
        <v>0.31225393336674284</v>
      </c>
      <c r="BC551" s="7" t="e">
        <f t="shared" si="111"/>
        <v>#N/A</v>
      </c>
      <c r="BD551" s="7">
        <f t="shared" si="112"/>
        <v>-0.70001000000008406</v>
      </c>
      <c r="BE551" s="7">
        <f t="shared" si="113"/>
        <v>-0.69999000000008416</v>
      </c>
      <c r="BF551" s="7">
        <f t="shared" si="114"/>
        <v>0.24994079419142767</v>
      </c>
      <c r="BG551" s="7">
        <f t="shared" si="115"/>
        <v>0.24994677603978177</v>
      </c>
      <c r="BH551" s="7" t="e">
        <f t="shared" si="116"/>
        <v>#N/A</v>
      </c>
      <c r="BI551" s="7" t="e">
        <f t="shared" si="120"/>
        <v>#N/A</v>
      </c>
      <c r="BJ551" s="7" t="e">
        <f t="shared" si="117"/>
        <v>#N/A</v>
      </c>
      <c r="BK551" s="7" t="e">
        <f t="shared" si="121"/>
        <v>#N/A</v>
      </c>
      <c r="BL551" s="7" t="e">
        <f t="shared" si="118"/>
        <v>#N/A</v>
      </c>
    </row>
    <row r="552" spans="52:64" ht="11.25" customHeight="1">
      <c r="AZ552" s="7">
        <f t="shared" si="109"/>
        <v>0.24509709367428301</v>
      </c>
      <c r="BA552" s="7">
        <f t="shared" si="119"/>
        <v>-0.6900000000000841</v>
      </c>
      <c r="BB552" s="7">
        <f t="shared" si="110"/>
        <v>0.31443165702757903</v>
      </c>
      <c r="BC552" s="7" t="e">
        <f t="shared" si="111"/>
        <v>#N/A</v>
      </c>
      <c r="BD552" s="7">
        <f t="shared" si="112"/>
        <v>-0.69001000000008406</v>
      </c>
      <c r="BE552" s="7">
        <f t="shared" si="113"/>
        <v>-0.68999000000008415</v>
      </c>
      <c r="BF552" s="7">
        <f t="shared" si="114"/>
        <v>0.25294265286215756</v>
      </c>
      <c r="BG552" s="7">
        <f t="shared" si="115"/>
        <v>0.25294867849394864</v>
      </c>
      <c r="BH552" s="7" t="e">
        <f t="shared" si="116"/>
        <v>#N/A</v>
      </c>
      <c r="BI552" s="7" t="e">
        <f t="shared" si="120"/>
        <v>#N/A</v>
      </c>
      <c r="BJ552" s="7" t="e">
        <f t="shared" si="117"/>
        <v>#N/A</v>
      </c>
      <c r="BK552" s="7" t="e">
        <f t="shared" si="121"/>
        <v>#N/A</v>
      </c>
      <c r="BL552" s="7" t="e">
        <f t="shared" si="118"/>
        <v>#N/A</v>
      </c>
    </row>
    <row r="553" spans="52:64" ht="11.25" customHeight="1">
      <c r="AZ553" s="7">
        <f t="shared" si="109"/>
        <v>0.24825223045354394</v>
      </c>
      <c r="BA553" s="7">
        <f t="shared" si="119"/>
        <v>-0.68000000000008409</v>
      </c>
      <c r="BB553" s="7">
        <f t="shared" si="110"/>
        <v>0.31659290771087467</v>
      </c>
      <c r="BC553" s="7" t="e">
        <f t="shared" si="111"/>
        <v>#N/A</v>
      </c>
      <c r="BD553" s="7">
        <f t="shared" si="112"/>
        <v>-0.68001000000008405</v>
      </c>
      <c r="BE553" s="7">
        <f t="shared" si="113"/>
        <v>-0.67999000000008414</v>
      </c>
      <c r="BF553" s="7">
        <f t="shared" si="114"/>
        <v>0.25596633917872913</v>
      </c>
      <c r="BG553" s="7">
        <f t="shared" si="115"/>
        <v>0.25597240833505591</v>
      </c>
      <c r="BH553" s="7" t="e">
        <f t="shared" si="116"/>
        <v>#N/A</v>
      </c>
      <c r="BI553" s="7" t="e">
        <f t="shared" si="120"/>
        <v>#N/A</v>
      </c>
      <c r="BJ553" s="7" t="e">
        <f t="shared" si="117"/>
        <v>#N/A</v>
      </c>
      <c r="BK553" s="7" t="e">
        <f t="shared" si="121"/>
        <v>#N/A</v>
      </c>
      <c r="BL553" s="7" t="e">
        <f t="shared" si="118"/>
        <v>#N/A</v>
      </c>
    </row>
    <row r="554" spans="52:64" ht="11.25" customHeight="1">
      <c r="AZ554" s="7">
        <f t="shared" si="109"/>
        <v>0.25142889509528332</v>
      </c>
      <c r="BA554" s="7">
        <f t="shared" si="119"/>
        <v>-0.67000000000008408</v>
      </c>
      <c r="BB554" s="7">
        <f t="shared" si="110"/>
        <v>0.31873713847538354</v>
      </c>
      <c r="BC554" s="7" t="e">
        <f t="shared" si="111"/>
        <v>#N/A</v>
      </c>
      <c r="BD554" s="7">
        <f t="shared" si="112"/>
        <v>-0.67001000000008404</v>
      </c>
      <c r="BE554" s="7">
        <f t="shared" si="113"/>
        <v>-0.66999000000008413</v>
      </c>
      <c r="BF554" s="7">
        <f t="shared" si="114"/>
        <v>0.25901172055322308</v>
      </c>
      <c r="BG554" s="7">
        <f t="shared" si="115"/>
        <v>0.25901783296260295</v>
      </c>
      <c r="BH554" s="7" t="e">
        <f t="shared" si="116"/>
        <v>#N/A</v>
      </c>
      <c r="BI554" s="7" t="e">
        <f t="shared" si="120"/>
        <v>#N/A</v>
      </c>
      <c r="BJ554" s="7" t="e">
        <f t="shared" si="117"/>
        <v>#N/A</v>
      </c>
      <c r="BK554" s="7" t="e">
        <f t="shared" si="121"/>
        <v>#N/A</v>
      </c>
      <c r="BL554" s="7" t="e">
        <f t="shared" si="118"/>
        <v>#N/A</v>
      </c>
    </row>
    <row r="555" spans="52:64" ht="11.25" customHeight="1">
      <c r="AZ555" s="7">
        <f t="shared" si="109"/>
        <v>0.25462691467130916</v>
      </c>
      <c r="BA555" s="7">
        <f t="shared" si="119"/>
        <v>-0.66000000000008407</v>
      </c>
      <c r="BB555" s="7">
        <f t="shared" si="110"/>
        <v>0.32086380377115464</v>
      </c>
      <c r="BC555" s="7" t="e">
        <f t="shared" si="111"/>
        <v>#N/A</v>
      </c>
      <c r="BD555" s="7">
        <f t="shared" si="112"/>
        <v>-0.66001000000008403</v>
      </c>
      <c r="BE555" s="7">
        <f t="shared" si="113"/>
        <v>-0.65999000000008412</v>
      </c>
      <c r="BF555" s="7">
        <f t="shared" si="114"/>
        <v>0.26207865809813091</v>
      </c>
      <c r="BG555" s="7">
        <f t="shared" si="115"/>
        <v>0.26208481347646506</v>
      </c>
      <c r="BH555" s="7" t="e">
        <f t="shared" si="116"/>
        <v>#N/A</v>
      </c>
      <c r="BI555" s="7" t="e">
        <f t="shared" si="120"/>
        <v>#N/A</v>
      </c>
      <c r="BJ555" s="7" t="e">
        <f t="shared" si="117"/>
        <v>#N/A</v>
      </c>
      <c r="BK555" s="7" t="e">
        <f t="shared" si="121"/>
        <v>#N/A</v>
      </c>
      <c r="BL555" s="7" t="e">
        <f t="shared" si="118"/>
        <v>#N/A</v>
      </c>
    </row>
    <row r="556" spans="52:64" ht="11.25" customHeight="1">
      <c r="AZ556" s="7">
        <f t="shared" si="109"/>
        <v>0.25784611080583764</v>
      </c>
      <c r="BA556" s="7">
        <f t="shared" si="119"/>
        <v>-0.65000000000008407</v>
      </c>
      <c r="BB556" s="7">
        <f t="shared" si="110"/>
        <v>0.32297235966789661</v>
      </c>
      <c r="BC556" s="7" t="e">
        <f t="shared" si="111"/>
        <v>#N/A</v>
      </c>
      <c r="BD556" s="7">
        <f t="shared" si="112"/>
        <v>-0.65001000000008402</v>
      </c>
      <c r="BE556" s="7">
        <f t="shared" si="113"/>
        <v>-0.64999000000008411</v>
      </c>
      <c r="BF556" s="7">
        <f t="shared" si="114"/>
        <v>0.26516700660892889</v>
      </c>
      <c r="BG556" s="7">
        <f t="shared" si="115"/>
        <v>0.26517320465946853</v>
      </c>
      <c r="BH556" s="7" t="e">
        <f t="shared" si="116"/>
        <v>#N/A</v>
      </c>
      <c r="BI556" s="7" t="e">
        <f t="shared" si="120"/>
        <v>#N/A</v>
      </c>
      <c r="BJ556" s="7" t="e">
        <f t="shared" si="117"/>
        <v>#N/A</v>
      </c>
      <c r="BK556" s="7" t="e">
        <f t="shared" si="121"/>
        <v>#N/A</v>
      </c>
      <c r="BL556" s="7" t="e">
        <f t="shared" si="118"/>
        <v>#N/A</v>
      </c>
    </row>
    <row r="557" spans="52:64" ht="11.25" customHeight="1">
      <c r="AZ557" s="7">
        <f t="shared" si="109"/>
        <v>0.26108629969283426</v>
      </c>
      <c r="BA557" s="7">
        <f t="shared" si="119"/>
        <v>-0.64000000000008406</v>
      </c>
      <c r="BB557" s="7">
        <f t="shared" si="110"/>
        <v>0.32506226408406463</v>
      </c>
      <c r="BC557" s="7" t="e">
        <f t="shared" si="111"/>
        <v>#N/A</v>
      </c>
      <c r="BD557" s="7">
        <f t="shared" si="112"/>
        <v>-0.64001000000008401</v>
      </c>
      <c r="BE557" s="7">
        <f t="shared" si="113"/>
        <v>-0.6399900000000841</v>
      </c>
      <c r="BF557" s="7">
        <f t="shared" si="114"/>
        <v>0.26827661454984086</v>
      </c>
      <c r="BG557" s="7">
        <f t="shared" si="115"/>
        <v>0.26828285496316256</v>
      </c>
      <c r="BH557" s="7" t="e">
        <f t="shared" si="116"/>
        <v>#N/A</v>
      </c>
      <c r="BI557" s="7" t="e">
        <f t="shared" si="120"/>
        <v>#N/A</v>
      </c>
      <c r="BJ557" s="7" t="e">
        <f t="shared" si="117"/>
        <v>#N/A</v>
      </c>
      <c r="BK557" s="7" t="e">
        <f t="shared" si="121"/>
        <v>#N/A</v>
      </c>
      <c r="BL557" s="7" t="e">
        <f t="shared" si="118"/>
        <v>#N/A</v>
      </c>
    </row>
    <row r="558" spans="52:64" ht="11.25" customHeight="1">
      <c r="AZ558" s="7">
        <f t="shared" si="109"/>
        <v>0.26434729211565011</v>
      </c>
      <c r="BA558" s="7">
        <f t="shared" si="119"/>
        <v>-0.63000000000008405</v>
      </c>
      <c r="BB558" s="7">
        <f t="shared" si="110"/>
        <v>0.32713297701653715</v>
      </c>
      <c r="BC558" s="7" t="e">
        <f t="shared" si="111"/>
        <v>#N/A</v>
      </c>
      <c r="BD558" s="7">
        <f t="shared" si="112"/>
        <v>-0.630010000000084</v>
      </c>
      <c r="BE558" s="7">
        <f t="shared" si="113"/>
        <v>-0.62999000000008409</v>
      </c>
      <c r="BF558" s="7">
        <f t="shared" si="114"/>
        <v>0.27140732404285012</v>
      </c>
      <c r="BG558" s="7">
        <f t="shared" si="115"/>
        <v>0.27141360649683738</v>
      </c>
      <c r="BH558" s="7" t="e">
        <f t="shared" si="116"/>
        <v>#N/A</v>
      </c>
      <c r="BI558" s="7" t="e">
        <f t="shared" si="120"/>
        <v>#N/A</v>
      </c>
      <c r="BJ558" s="7" t="e">
        <f t="shared" si="117"/>
        <v>#N/A</v>
      </c>
      <c r="BK558" s="7" t="e">
        <f t="shared" si="121"/>
        <v>#N/A</v>
      </c>
      <c r="BL558" s="7" t="e">
        <f t="shared" si="118"/>
        <v>#N/A</v>
      </c>
    </row>
    <row r="559" spans="52:64" ht="11.25" customHeight="1">
      <c r="AZ559" s="7">
        <f t="shared" si="109"/>
        <v>0.26762889346895546</v>
      </c>
      <c r="BA559" s="7">
        <f t="shared" si="119"/>
        <v>-0.62000000000008404</v>
      </c>
      <c r="BB559" s="7">
        <f t="shared" si="110"/>
        <v>0.32918396077074757</v>
      </c>
      <c r="BC559" s="7" t="e">
        <f t="shared" si="111"/>
        <v>#N/A</v>
      </c>
      <c r="BD559" s="7">
        <f t="shared" si="112"/>
        <v>-0.62001000000008399</v>
      </c>
      <c r="BE559" s="7">
        <f t="shared" si="113"/>
        <v>-0.61999000000008408</v>
      </c>
      <c r="BF559" s="7">
        <f t="shared" si="114"/>
        <v>0.27455897086000286</v>
      </c>
      <c r="BG559" s="7">
        <f t="shared" si="115"/>
        <v>0.27456529501983312</v>
      </c>
      <c r="BH559" s="7" t="e">
        <f t="shared" si="116"/>
        <v>#N/A</v>
      </c>
      <c r="BI559" s="7" t="e">
        <f t="shared" si="120"/>
        <v>#N/A</v>
      </c>
      <c r="BJ559" s="7" t="e">
        <f t="shared" si="117"/>
        <v>#N/A</v>
      </c>
      <c r="BK559" s="7" t="e">
        <f t="shared" si="121"/>
        <v>#N/A</v>
      </c>
      <c r="BL559" s="7" t="e">
        <f t="shared" si="118"/>
        <v>#N/A</v>
      </c>
    </row>
    <row r="560" spans="52:64" ht="11.25" customHeight="1">
      <c r="AZ560" s="7">
        <f t="shared" si="109"/>
        <v>0.27093090378297791</v>
      </c>
      <c r="BA560" s="7">
        <f t="shared" si="119"/>
        <v>-0.61000000000008403</v>
      </c>
      <c r="BB560" s="7">
        <f t="shared" si="110"/>
        <v>0.33121468019113592</v>
      </c>
      <c r="BC560" s="7" t="e">
        <f t="shared" si="111"/>
        <v>#N/A</v>
      </c>
      <c r="BD560" s="7">
        <f t="shared" si="112"/>
        <v>-0.61001000000008399</v>
      </c>
      <c r="BE560" s="7">
        <f t="shared" si="113"/>
        <v>-0.60999000000008408</v>
      </c>
      <c r="BF560" s="7">
        <f t="shared" si="114"/>
        <v>0.27773138441906087</v>
      </c>
      <c r="BG560" s="7">
        <f t="shared" si="115"/>
        <v>0.27773774993720235</v>
      </c>
      <c r="BH560" s="7" t="e">
        <f t="shared" si="116"/>
        <v>#N/A</v>
      </c>
      <c r="BI560" s="7" t="e">
        <f t="shared" si="120"/>
        <v>#N/A</v>
      </c>
      <c r="BJ560" s="7" t="e">
        <f t="shared" si="117"/>
        <v>#N/A</v>
      </c>
      <c r="BK560" s="7" t="e">
        <f t="shared" si="121"/>
        <v>#N/A</v>
      </c>
      <c r="BL560" s="7" t="e">
        <f t="shared" si="118"/>
        <v>#N/A</v>
      </c>
    </row>
    <row r="561" spans="52:64" ht="11.25" customHeight="1">
      <c r="AZ561" s="7">
        <f t="shared" si="109"/>
        <v>0.27425311775004557</v>
      </c>
      <c r="BA561" s="7">
        <f t="shared" si="119"/>
        <v>-0.60000000000008402</v>
      </c>
      <c r="BB561" s="7">
        <f t="shared" si="110"/>
        <v>0.3332246028917828</v>
      </c>
      <c r="BC561" s="7" t="e">
        <f t="shared" si="111"/>
        <v>#N/A</v>
      </c>
      <c r="BD561" s="7">
        <f t="shared" si="112"/>
        <v>-0.60001000000008398</v>
      </c>
      <c r="BE561" s="7">
        <f t="shared" si="113"/>
        <v>-0.59999000000008407</v>
      </c>
      <c r="BF561" s="7">
        <f t="shared" si="114"/>
        <v>0.28092438778254558</v>
      </c>
      <c r="BG561" s="7">
        <f t="shared" si="115"/>
        <v>0.28093079429875545</v>
      </c>
      <c r="BH561" s="7" t="e">
        <f t="shared" si="116"/>
        <v>#N/A</v>
      </c>
      <c r="BI561" s="7" t="e">
        <f t="shared" si="120"/>
        <v>#N/A</v>
      </c>
      <c r="BJ561" s="7" t="e">
        <f t="shared" si="117"/>
        <v>#N/A</v>
      </c>
      <c r="BK561" s="7" t="e">
        <f t="shared" si="121"/>
        <v>#N/A</v>
      </c>
      <c r="BL561" s="7" t="e">
        <f t="shared" si="118"/>
        <v>#N/A</v>
      </c>
    </row>
    <row r="562" spans="52:64" ht="11.25" customHeight="1">
      <c r="AZ562" s="7">
        <f t="shared" si="109"/>
        <v>0.27759532475343685</v>
      </c>
      <c r="BA562" s="7">
        <f t="shared" si="119"/>
        <v>-0.59000000000008401</v>
      </c>
      <c r="BB562" s="7">
        <f t="shared" si="110"/>
        <v>0.33521319948708944</v>
      </c>
      <c r="BC562" s="7" t="e">
        <f t="shared" si="111"/>
        <v>#N/A</v>
      </c>
      <c r="BD562" s="7">
        <f t="shared" si="112"/>
        <v>-0.59001000000008397</v>
      </c>
      <c r="BE562" s="7">
        <f t="shared" si="113"/>
        <v>-0.58999000000008406</v>
      </c>
      <c r="BF562" s="7">
        <f t="shared" si="114"/>
        <v>0.28413779766021308</v>
      </c>
      <c r="BG562" s="7">
        <f t="shared" si="115"/>
        <v>0.28414424480154976</v>
      </c>
      <c r="BH562" s="7" t="e">
        <f t="shared" si="116"/>
        <v>#N/A</v>
      </c>
      <c r="BI562" s="7" t="e">
        <f t="shared" si="120"/>
        <v>#N/A</v>
      </c>
      <c r="BJ562" s="7" t="e">
        <f t="shared" si="117"/>
        <v>#N/A</v>
      </c>
      <c r="BK562" s="7" t="e">
        <f t="shared" si="121"/>
        <v>#N/A</v>
      </c>
      <c r="BL562" s="7" t="e">
        <f t="shared" si="118"/>
        <v>#N/A</v>
      </c>
    </row>
    <row r="563" spans="52:64" ht="11.25" customHeight="1">
      <c r="AZ563" s="7">
        <f t="shared" si="109"/>
        <v>0.28095730889853598</v>
      </c>
      <c r="BA563" s="7">
        <f t="shared" si="119"/>
        <v>-0.580000000000084</v>
      </c>
      <c r="BB563" s="7">
        <f t="shared" si="110"/>
        <v>0.3371799438223641</v>
      </c>
      <c r="BC563" s="7" t="e">
        <f t="shared" si="111"/>
        <v>#N/A</v>
      </c>
      <c r="BD563" s="7">
        <f t="shared" si="112"/>
        <v>-0.58001000000008396</v>
      </c>
      <c r="BE563" s="7">
        <f t="shared" si="113"/>
        <v>-0.57999000000008405</v>
      </c>
      <c r="BF563" s="7">
        <f t="shared" si="114"/>
        <v>0.28737142441501207</v>
      </c>
      <c r="BG563" s="7">
        <f t="shared" si="115"/>
        <v>0.28737791179584682</v>
      </c>
      <c r="BH563" s="7" t="e">
        <f t="shared" si="116"/>
        <v>#N/A</v>
      </c>
      <c r="BI563" s="7" t="e">
        <f t="shared" si="120"/>
        <v>#N/A</v>
      </c>
      <c r="BJ563" s="7" t="e">
        <f t="shared" si="117"/>
        <v>#N/A</v>
      </c>
      <c r="BK563" s="7" t="e">
        <f t="shared" si="121"/>
        <v>#N/A</v>
      </c>
      <c r="BL563" s="7" t="e">
        <f t="shared" si="118"/>
        <v>#N/A</v>
      </c>
    </row>
    <row r="564" spans="52:64" ht="11.25" customHeight="1">
      <c r="AZ564" s="7">
        <f t="shared" si="109"/>
        <v>0.28433884904629569</v>
      </c>
      <c r="BA564" s="7">
        <f t="shared" si="119"/>
        <v>-0.570000000000084</v>
      </c>
      <c r="BB564" s="7">
        <f t="shared" si="110"/>
        <v>0.33912431320417591</v>
      </c>
      <c r="BC564" s="7" t="e">
        <f t="shared" si="111"/>
        <v>#N/A</v>
      </c>
      <c r="BD564" s="7">
        <f t="shared" si="112"/>
        <v>-0.57001000000008395</v>
      </c>
      <c r="BE564" s="7">
        <f t="shared" si="113"/>
        <v>-0.56999000000008404</v>
      </c>
      <c r="BF564" s="7">
        <f t="shared" si="114"/>
        <v>0.29062507207255228</v>
      </c>
      <c r="BG564" s="7">
        <f t="shared" si="115"/>
        <v>0.29063159929459487</v>
      </c>
      <c r="BH564" s="7" t="e">
        <f t="shared" si="116"/>
        <v>#N/A</v>
      </c>
      <c r="BI564" s="7" t="e">
        <f t="shared" si="120"/>
        <v>#N/A</v>
      </c>
      <c r="BJ564" s="7" t="e">
        <f t="shared" si="117"/>
        <v>#N/A</v>
      </c>
      <c r="BK564" s="7" t="e">
        <f t="shared" si="121"/>
        <v>#N/A</v>
      </c>
      <c r="BL564" s="7" t="e">
        <f t="shared" si="118"/>
        <v>#N/A</v>
      </c>
    </row>
    <row r="565" spans="52:64" ht="11.25" customHeight="1">
      <c r="AZ565" s="7">
        <f t="shared" si="109"/>
        <v>0.2877397188489984</v>
      </c>
      <c r="BA565" s="7">
        <f t="shared" si="119"/>
        <v>-0.56000000000008399</v>
      </c>
      <c r="BB565" s="7">
        <f t="shared" si="110"/>
        <v>0.34104578863033647</v>
      </c>
      <c r="BC565" s="7" t="e">
        <f t="shared" si="111"/>
        <v>#N/A</v>
      </c>
      <c r="BD565" s="7">
        <f t="shared" si="112"/>
        <v>-0.56001000000008394</v>
      </c>
      <c r="BE565" s="7">
        <f t="shared" si="113"/>
        <v>-0.55999000000008403</v>
      </c>
      <c r="BF565" s="7">
        <f t="shared" si="114"/>
        <v>0.29389853833412422</v>
      </c>
      <c r="BG565" s="7">
        <f t="shared" si="115"/>
        <v>0.29390510498645045</v>
      </c>
      <c r="BH565" s="7" t="e">
        <f t="shared" si="116"/>
        <v>#N/A</v>
      </c>
      <c r="BI565" s="7" t="e">
        <f t="shared" si="120"/>
        <v>#N/A</v>
      </c>
      <c r="BJ565" s="7" t="e">
        <f t="shared" si="117"/>
        <v>#N/A</v>
      </c>
      <c r="BK565" s="7" t="e">
        <f t="shared" si="121"/>
        <v>#N/A</v>
      </c>
      <c r="BL565" s="7" t="e">
        <f t="shared" si="118"/>
        <v>#N/A</v>
      </c>
    </row>
    <row r="566" spans="52:64" ht="11.25" customHeight="1">
      <c r="AZ566" s="7">
        <f t="shared" si="109"/>
        <v>0.2911596867883175</v>
      </c>
      <c r="BA566" s="7">
        <f t="shared" si="119"/>
        <v>-0.55000000000008398</v>
      </c>
      <c r="BB566" s="7">
        <f t="shared" si="110"/>
        <v>0.34294385501936803</v>
      </c>
      <c r="BC566" s="7" t="e">
        <f t="shared" si="111"/>
        <v>#N/A</v>
      </c>
      <c r="BD566" s="7">
        <f t="shared" si="112"/>
        <v>-0.55001000000008393</v>
      </c>
      <c r="BE566" s="7">
        <f t="shared" si="113"/>
        <v>-0.54999000000008402</v>
      </c>
      <c r="BF566" s="7">
        <f t="shared" si="114"/>
        <v>0.29719161459330479</v>
      </c>
      <c r="BG566" s="7">
        <f t="shared" si="115"/>
        <v>0.29719822025239512</v>
      </c>
      <c r="BH566" s="7" t="e">
        <f t="shared" si="116"/>
        <v>#N/A</v>
      </c>
      <c r="BI566" s="7" t="e">
        <f t="shared" si="120"/>
        <v>#N/A</v>
      </c>
      <c r="BJ566" s="7" t="e">
        <f t="shared" si="117"/>
        <v>#N/A</v>
      </c>
      <c r="BK566" s="7" t="e">
        <f t="shared" si="121"/>
        <v>#N/A</v>
      </c>
      <c r="BL566" s="7" t="e">
        <f t="shared" si="118"/>
        <v>#N/A</v>
      </c>
    </row>
    <row r="567" spans="52:64" ht="11.25" customHeight="1">
      <c r="AZ567" s="7">
        <f t="shared" si="109"/>
        <v>0.29459851621566913</v>
      </c>
      <c r="BA567" s="7">
        <f t="shared" si="119"/>
        <v>-0.54000000000008397</v>
      </c>
      <c r="BB567" s="7">
        <f t="shared" si="110"/>
        <v>0.34481800143931768</v>
      </c>
      <c r="BC567" s="7" t="e">
        <f t="shared" si="111"/>
        <v>#N/A</v>
      </c>
      <c r="BD567" s="7">
        <f t="shared" si="112"/>
        <v>-0.54001000000008392</v>
      </c>
      <c r="BE567" s="7">
        <f t="shared" si="113"/>
        <v>-0.53999000000008401</v>
      </c>
      <c r="BF567" s="7">
        <f t="shared" si="114"/>
        <v>0.30050408595617656</v>
      </c>
      <c r="BG567" s="7">
        <f t="shared" si="115"/>
        <v>0.30051073018595742</v>
      </c>
      <c r="BH567" s="7" t="e">
        <f t="shared" si="116"/>
        <v>#N/A</v>
      </c>
      <c r="BI567" s="7" t="e">
        <f t="shared" si="120"/>
        <v>#N/A</v>
      </c>
      <c r="BJ567" s="7" t="e">
        <f t="shared" si="117"/>
        <v>#N/A</v>
      </c>
      <c r="BK567" s="7" t="e">
        <f t="shared" si="121"/>
        <v>#N/A</v>
      </c>
      <c r="BL567" s="7" t="e">
        <f t="shared" si="118"/>
        <v>#N/A</v>
      </c>
    </row>
    <row r="568" spans="52:64" ht="11.25" customHeight="1">
      <c r="AZ568" s="7">
        <f t="shared" si="109"/>
        <v>0.29805596539484736</v>
      </c>
      <c r="BA568" s="7">
        <f t="shared" si="119"/>
        <v>-0.53000000000008396</v>
      </c>
      <c r="BB568" s="7">
        <f t="shared" si="110"/>
        <v>0.34666772133577617</v>
      </c>
      <c r="BC568" s="7" t="e">
        <f t="shared" si="111"/>
        <v>#N/A</v>
      </c>
      <c r="BD568" s="7">
        <f t="shared" si="112"/>
        <v>-0.53001000000008391</v>
      </c>
      <c r="BE568" s="7">
        <f t="shared" si="113"/>
        <v>-0.52999000000008401</v>
      </c>
      <c r="BF568" s="7">
        <f t="shared" si="114"/>
        <v>0.30383573126518282</v>
      </c>
      <c r="BG568" s="7">
        <f t="shared" si="115"/>
        <v>0.30384241361708153</v>
      </c>
      <c r="BH568" s="7" t="e">
        <f t="shared" si="116"/>
        <v>#N/A</v>
      </c>
      <c r="BI568" s="7" t="e">
        <f t="shared" si="120"/>
        <v>#N/A</v>
      </c>
      <c r="BJ568" s="7" t="e">
        <f t="shared" si="117"/>
        <v>#N/A</v>
      </c>
      <c r="BK568" s="7" t="e">
        <f t="shared" si="121"/>
        <v>#N/A</v>
      </c>
      <c r="BL568" s="7" t="e">
        <f t="shared" si="118"/>
        <v>#N/A</v>
      </c>
    </row>
    <row r="569" spans="52:64" ht="11.25" customHeight="1">
      <c r="AZ569" s="7">
        <f t="shared" si="109"/>
        <v>0.30153178754693699</v>
      </c>
      <c r="BA569" s="7">
        <f t="shared" si="119"/>
        <v>-0.52000000000008395</v>
      </c>
      <c r="BB569" s="7">
        <f t="shared" si="110"/>
        <v>0.34849251275895926</v>
      </c>
      <c r="BC569" s="7" t="e">
        <f t="shared" si="111"/>
        <v>#N/A</v>
      </c>
      <c r="BD569" s="7">
        <f t="shared" si="112"/>
        <v>-0.52001000000008391</v>
      </c>
      <c r="BE569" s="7">
        <f t="shared" si="113"/>
        <v>-0.519990000000084</v>
      </c>
      <c r="BF569" s="7">
        <f t="shared" si="114"/>
        <v>0.3071863231266555</v>
      </c>
      <c r="BG569" s="7">
        <f t="shared" si="115"/>
        <v>0.30719304313965567</v>
      </c>
      <c r="BH569" s="7" t="e">
        <f t="shared" si="116"/>
        <v>#N/A</v>
      </c>
      <c r="BI569" s="7" t="e">
        <f t="shared" si="120"/>
        <v>#N/A</v>
      </c>
      <c r="BJ569" s="7" t="e">
        <f t="shared" si="117"/>
        <v>#N/A</v>
      </c>
      <c r="BK569" s="7" t="e">
        <f t="shared" si="121"/>
        <v>#N/A</v>
      </c>
      <c r="BL569" s="7" t="e">
        <f t="shared" si="118"/>
        <v>#N/A</v>
      </c>
    </row>
    <row r="570" spans="52:64" ht="11.25" customHeight="1">
      <c r="AZ570" s="7">
        <f t="shared" si="109"/>
        <v>0.30502573089748997</v>
      </c>
      <c r="BA570" s="7">
        <f t="shared" si="119"/>
        <v>-0.51000000000008394</v>
      </c>
      <c r="BB570" s="7">
        <f t="shared" si="110"/>
        <v>0.35029187858971078</v>
      </c>
      <c r="BC570" s="7" t="e">
        <f t="shared" si="111"/>
        <v>#N/A</v>
      </c>
      <c r="BD570" s="7">
        <f t="shared" si="112"/>
        <v>-0.5100100000000839</v>
      </c>
      <c r="BE570" s="7">
        <f t="shared" si="113"/>
        <v>-0.50999000000008399</v>
      </c>
      <c r="BF570" s="7">
        <f t="shared" si="114"/>
        <v>0.31055562794202041</v>
      </c>
      <c r="BG570" s="7">
        <f t="shared" si="115"/>
        <v>0.31056238514273038</v>
      </c>
      <c r="BH570" s="7" t="e">
        <f t="shared" si="116"/>
        <v>#N/A</v>
      </c>
      <c r="BI570" s="7" t="e">
        <f t="shared" si="120"/>
        <v>#N/A</v>
      </c>
      <c r="BJ570" s="7" t="e">
        <f t="shared" si="117"/>
        <v>#N/A</v>
      </c>
      <c r="BK570" s="7" t="e">
        <f t="shared" si="121"/>
        <v>#N/A</v>
      </c>
      <c r="BL570" s="7" t="e">
        <f t="shared" si="118"/>
        <v>#N/A</v>
      </c>
    </row>
    <row r="571" spans="52:64" ht="11.25" customHeight="1">
      <c r="AZ571" s="7">
        <f t="shared" si="109"/>
        <v>0.30853753872595746</v>
      </c>
      <c r="BA571" s="7">
        <f t="shared" si="119"/>
        <v>-0.50000000000008393</v>
      </c>
      <c r="BB571" s="7">
        <f t="shared" si="110"/>
        <v>0.3520653267642847</v>
      </c>
      <c r="BC571" s="7" t="e">
        <f t="shared" si="111"/>
        <v>#N/A</v>
      </c>
      <c r="BD571" s="7">
        <f t="shared" si="112"/>
        <v>-0.50001000000008389</v>
      </c>
      <c r="BE571" s="7">
        <f t="shared" si="113"/>
        <v>-0.49999000000008392</v>
      </c>
      <c r="BF571" s="7">
        <f t="shared" si="114"/>
        <v>0.31394340594271331</v>
      </c>
      <c r="BG571" s="7">
        <f t="shared" si="115"/>
        <v>0.31395019984543959</v>
      </c>
      <c r="BH571" s="7" t="e">
        <f t="shared" si="116"/>
        <v>#N/A</v>
      </c>
      <c r="BI571" s="7" t="e">
        <f t="shared" si="120"/>
        <v>#N/A</v>
      </c>
      <c r="BJ571" s="7" t="e">
        <f t="shared" si="117"/>
        <v>#N/A</v>
      </c>
      <c r="BK571" s="7" t="e">
        <f t="shared" si="121"/>
        <v>#N/A</v>
      </c>
      <c r="BL571" s="7" t="e">
        <f t="shared" si="118"/>
        <v>#N/A</v>
      </c>
    </row>
    <row r="572" spans="52:64" ht="11.25" customHeight="1">
      <c r="AZ572" s="7">
        <f t="shared" si="109"/>
        <v>0.31206694941736091</v>
      </c>
      <c r="BA572" s="7">
        <f t="shared" si="119"/>
        <v>-0.49000000000008392</v>
      </c>
      <c r="BB572" s="7">
        <f t="shared" si="110"/>
        <v>0.35381237049776509</v>
      </c>
      <c r="BC572" s="7" t="e">
        <f t="shared" si="111"/>
        <v>#N/A</v>
      </c>
      <c r="BD572" s="7">
        <f t="shared" si="112"/>
        <v>-0.49001000000008393</v>
      </c>
      <c r="BE572" s="7">
        <f t="shared" si="113"/>
        <v>-0.48999000000008391</v>
      </c>
      <c r="BF572" s="7">
        <f t="shared" si="114"/>
        <v>0.31734941122880678</v>
      </c>
      <c r="BG572" s="7">
        <f t="shared" si="115"/>
        <v>0.31735624133563317</v>
      </c>
      <c r="BH572" s="7" t="e">
        <f t="shared" si="116"/>
        <v>#N/A</v>
      </c>
      <c r="BI572" s="7" t="e">
        <f t="shared" si="120"/>
        <v>#N/A</v>
      </c>
      <c r="BJ572" s="7" t="e">
        <f t="shared" si="117"/>
        <v>#N/A</v>
      </c>
      <c r="BK572" s="7" t="e">
        <f t="shared" si="121"/>
        <v>#N/A</v>
      </c>
      <c r="BL572" s="7" t="e">
        <f t="shared" si="118"/>
        <v>#N/A</v>
      </c>
    </row>
    <row r="573" spans="52:64" ht="11.25" customHeight="1">
      <c r="AZ573" s="7">
        <f t="shared" si="109"/>
        <v>0.31561369651619275</v>
      </c>
      <c r="BA573" s="7">
        <f t="shared" si="119"/>
        <v>-0.48000000000008392</v>
      </c>
      <c r="BB573" s="7">
        <f t="shared" si="110"/>
        <v>0.35553252850598271</v>
      </c>
      <c r="BC573" s="7" t="e">
        <f t="shared" si="111"/>
        <v>#N/A</v>
      </c>
      <c r="BD573" s="7">
        <f t="shared" si="112"/>
        <v>-0.48001000000008393</v>
      </c>
      <c r="BE573" s="7">
        <f t="shared" si="113"/>
        <v>-0.47999000000008391</v>
      </c>
      <c r="BF573" s="7">
        <f t="shared" si="114"/>
        <v>0.32077339181136949</v>
      </c>
      <c r="BG573" s="7">
        <f t="shared" si="115"/>
        <v>0.32078025761224699</v>
      </c>
      <c r="BH573" s="7" t="e">
        <f t="shared" si="116"/>
        <v>#N/A</v>
      </c>
      <c r="BI573" s="7" t="e">
        <f t="shared" si="120"/>
        <v>#N/A</v>
      </c>
      <c r="BJ573" s="7" t="e">
        <f t="shared" si="117"/>
        <v>#N/A</v>
      </c>
      <c r="BK573" s="7" t="e">
        <f t="shared" si="121"/>
        <v>#N/A</v>
      </c>
      <c r="BL573" s="7" t="e">
        <f t="shared" si="118"/>
        <v>#N/A</v>
      </c>
    </row>
    <row r="574" spans="52:64" ht="11.25" customHeight="1">
      <c r="AZ574" s="7">
        <f t="shared" si="109"/>
        <v>0.31917750878252582</v>
      </c>
      <c r="BA574" s="7">
        <f t="shared" si="119"/>
        <v>-0.47000000000008391</v>
      </c>
      <c r="BB574" s="7">
        <f t="shared" si="110"/>
        <v>0.35722532522578671</v>
      </c>
      <c r="BC574" s="7" t="e">
        <f t="shared" si="111"/>
        <v>#N/A</v>
      </c>
      <c r="BD574" s="7">
        <f t="shared" si="112"/>
        <v>-0.47001000000008392</v>
      </c>
      <c r="BE574" s="7">
        <f t="shared" si="113"/>
        <v>-0.4699900000000839</v>
      </c>
      <c r="BF574" s="7">
        <f t="shared" si="114"/>
        <v>0.32421508965855883</v>
      </c>
      <c r="BG574" s="7">
        <f t="shared" si="115"/>
        <v>0.324221990631402</v>
      </c>
      <c r="BH574" s="7" t="e">
        <f t="shared" si="116"/>
        <v>#N/A</v>
      </c>
      <c r="BI574" s="7" t="e">
        <f t="shared" si="120"/>
        <v>#N/A</v>
      </c>
      <c r="BJ574" s="7" t="e">
        <f t="shared" si="117"/>
        <v>#N/A</v>
      </c>
      <c r="BK574" s="7" t="e">
        <f t="shared" si="121"/>
        <v>#N/A</v>
      </c>
      <c r="BL574" s="7" t="e">
        <f t="shared" si="118"/>
        <v>#N/A</v>
      </c>
    </row>
    <row r="575" spans="52:64" ht="11.25" customHeight="1">
      <c r="AZ575" s="7">
        <f t="shared" si="109"/>
        <v>0.32275811025031764</v>
      </c>
      <c r="BA575" s="7">
        <f t="shared" si="119"/>
        <v>-0.4600000000000839</v>
      </c>
      <c r="BB575" s="7">
        <f t="shared" si="110"/>
        <v>0.35889029103353071</v>
      </c>
      <c r="BC575" s="7" t="e">
        <f t="shared" si="111"/>
        <v>#N/A</v>
      </c>
      <c r="BD575" s="7">
        <f t="shared" si="112"/>
        <v>-0.46001000000008391</v>
      </c>
      <c r="BE575" s="7">
        <f t="shared" si="113"/>
        <v>-0.45999000000008389</v>
      </c>
      <c r="BF575" s="7">
        <f t="shared" si="114"/>
        <v>0.32767424074545787</v>
      </c>
      <c r="BG575" s="7">
        <f t="shared" si="115"/>
        <v>0.32768117635624683</v>
      </c>
      <c r="BH575" s="7" t="e">
        <f t="shared" si="116"/>
        <v>#N/A</v>
      </c>
      <c r="BI575" s="7" t="e">
        <f t="shared" si="120"/>
        <v>#N/A</v>
      </c>
      <c r="BJ575" s="7" t="e">
        <f t="shared" si="117"/>
        <v>#N/A</v>
      </c>
      <c r="BK575" s="7" t="e">
        <f t="shared" si="121"/>
        <v>#N/A</v>
      </c>
      <c r="BL575" s="7" t="e">
        <f t="shared" si="118"/>
        <v>#N/A</v>
      </c>
    </row>
    <row r="576" spans="52:64" ht="11.25" customHeight="1">
      <c r="AZ576" s="7">
        <f t="shared" si="109"/>
        <v>0.32635522028788977</v>
      </c>
      <c r="BA576" s="7">
        <f t="shared" si="119"/>
        <v>-0.45000000000008389</v>
      </c>
      <c r="BB576" s="7">
        <f t="shared" si="110"/>
        <v>0.36052696246163429</v>
      </c>
      <c r="BC576" s="7" t="e">
        <f t="shared" si="111"/>
        <v>#N/A</v>
      </c>
      <c r="BD576" s="7">
        <f t="shared" si="112"/>
        <v>-0.4500100000000839</v>
      </c>
      <c r="BE576" s="7">
        <f t="shared" si="113"/>
        <v>-0.44999000000008388</v>
      </c>
      <c r="BF576" s="7">
        <f t="shared" si="114"/>
        <v>0.33115057510524248</v>
      </c>
      <c r="BG576" s="7">
        <f t="shared" si="115"/>
        <v>0.33115754480813619</v>
      </c>
      <c r="BH576" s="7" t="e">
        <f t="shared" si="116"/>
        <v>#N/A</v>
      </c>
      <c r="BI576" s="7" t="e">
        <f t="shared" si="120"/>
        <v>#N/A</v>
      </c>
      <c r="BJ576" s="7" t="e">
        <f t="shared" si="117"/>
        <v>#N/A</v>
      </c>
      <c r="BK576" s="7" t="e">
        <f t="shared" si="121"/>
        <v>#N/A</v>
      </c>
      <c r="BL576" s="7" t="e">
        <f t="shared" si="118"/>
        <v>#N/A</v>
      </c>
    </row>
    <row r="577" spans="52:64" ht="11.25" customHeight="1">
      <c r="AZ577" s="7">
        <f t="shared" si="109"/>
        <v>0.32996855366056332</v>
      </c>
      <c r="BA577" s="7">
        <f t="shared" si="119"/>
        <v>-0.44000000000008388</v>
      </c>
      <c r="BB577" s="7">
        <f t="shared" si="110"/>
        <v>0.36213488241307878</v>
      </c>
      <c r="BC577" s="7" t="e">
        <f t="shared" si="111"/>
        <v>#N/A</v>
      </c>
      <c r="BD577" s="7">
        <f t="shared" si="112"/>
        <v>-0.44001000000008389</v>
      </c>
      <c r="BE577" s="7">
        <f t="shared" si="113"/>
        <v>-0.43999000000008387</v>
      </c>
      <c r="BF577" s="7">
        <f t="shared" si="114"/>
        <v>0.3346438168967264</v>
      </c>
      <c r="BG577" s="7">
        <f t="shared" si="115"/>
        <v>0.3346508201341758</v>
      </c>
      <c r="BH577" s="7" t="e">
        <f t="shared" si="116"/>
        <v>#N/A</v>
      </c>
      <c r="BI577" s="7" t="e">
        <f t="shared" si="120"/>
        <v>#N/A</v>
      </c>
      <c r="BJ577" s="7" t="e">
        <f t="shared" si="117"/>
        <v>#N/A</v>
      </c>
      <c r="BK577" s="7" t="e">
        <f t="shared" si="121"/>
        <v>#N/A</v>
      </c>
      <c r="BL577" s="7" t="e">
        <f t="shared" si="118"/>
        <v>#N/A</v>
      </c>
    </row>
    <row r="578" spans="52:64" ht="11.25" customHeight="1">
      <c r="AZ578" s="7">
        <f t="shared" si="109"/>
        <v>0.3335978205954272</v>
      </c>
      <c r="BA578" s="7">
        <f t="shared" si="119"/>
        <v>-0.43000000000008387</v>
      </c>
      <c r="BB578" s="7">
        <f t="shared" si="110"/>
        <v>0.36371360037370026</v>
      </c>
      <c r="BC578" s="7" t="e">
        <f t="shared" si="111"/>
        <v>#N/A</v>
      </c>
      <c r="BD578" s="7">
        <f t="shared" si="112"/>
        <v>-0.43001000000008388</v>
      </c>
      <c r="BE578" s="7">
        <f t="shared" si="113"/>
        <v>-0.42999000000008386</v>
      </c>
      <c r="BF578" s="7">
        <f t="shared" si="114"/>
        <v>0.33815368444900673</v>
      </c>
      <c r="BG578" s="7">
        <f t="shared" si="115"/>
        <v>0.33816072065188618</v>
      </c>
      <c r="BH578" s="7" t="e">
        <f t="shared" si="116"/>
        <v>#N/A</v>
      </c>
      <c r="BI578" s="7" t="e">
        <f t="shared" si="120"/>
        <v>#N/A</v>
      </c>
      <c r="BJ578" s="7" t="e">
        <f t="shared" si="117"/>
        <v>#N/A</v>
      </c>
      <c r="BK578" s="7" t="e">
        <f t="shared" si="121"/>
        <v>#N/A</v>
      </c>
      <c r="BL578" s="7" t="e">
        <f t="shared" si="118"/>
        <v>#N/A</v>
      </c>
    </row>
    <row r="579" spans="52:64" ht="11.25" customHeight="1">
      <c r="AZ579" s="7">
        <f t="shared" si="109"/>
        <v>0.33724272684821888</v>
      </c>
      <c r="BA579" s="7">
        <f t="shared" si="119"/>
        <v>-0.42000000000008386</v>
      </c>
      <c r="BB579" s="7">
        <f t="shared" si="110"/>
        <v>0.36526267262214096</v>
      </c>
      <c r="BC579" s="7" t="e">
        <f t="shared" si="111"/>
        <v>#N/A</v>
      </c>
      <c r="BD579" s="7">
        <f t="shared" si="112"/>
        <v>-0.42001000000008387</v>
      </c>
      <c r="BE579" s="7">
        <f t="shared" si="113"/>
        <v>-0.41999000000008385</v>
      </c>
      <c r="BF579" s="7">
        <f t="shared" si="114"/>
        <v>0.3416798903379944</v>
      </c>
      <c r="BG579" s="7">
        <f t="shared" si="115"/>
        <v>0.34168695892573381</v>
      </c>
      <c r="BH579" s="7" t="e">
        <f t="shared" si="116"/>
        <v>#N/A</v>
      </c>
      <c r="BI579" s="7" t="e">
        <f t="shared" si="120"/>
        <v>#N/A</v>
      </c>
      <c r="BJ579" s="7" t="e">
        <f t="shared" si="117"/>
        <v>#N/A</v>
      </c>
      <c r="BK579" s="7" t="e">
        <f t="shared" si="121"/>
        <v>#N/A</v>
      </c>
      <c r="BL579" s="7" t="e">
        <f t="shared" si="118"/>
        <v>#N/A</v>
      </c>
    </row>
    <row r="580" spans="52:64" ht="11.25" customHeight="1">
      <c r="AZ580" s="7">
        <f t="shared" si="109"/>
        <v>0.34090297377229184</v>
      </c>
      <c r="BA580" s="7">
        <f t="shared" si="119"/>
        <v>-0.41000000000008385</v>
      </c>
      <c r="BB580" s="7">
        <f t="shared" si="110"/>
        <v>0.36678166243732346</v>
      </c>
      <c r="BC580" s="7" t="e">
        <f t="shared" si="111"/>
        <v>#N/A</v>
      </c>
      <c r="BD580" s="7">
        <f t="shared" si="112"/>
        <v>-0.41001000000008386</v>
      </c>
      <c r="BE580" s="7">
        <f t="shared" si="113"/>
        <v>-0.40999000000008384</v>
      </c>
      <c r="BF580" s="7">
        <f t="shared" si="114"/>
        <v>0.34522214145169278</v>
      </c>
      <c r="BG580" s="7">
        <f t="shared" si="115"/>
        <v>0.34522924183241466</v>
      </c>
      <c r="BH580" s="7" t="e">
        <f t="shared" si="116"/>
        <v>#N/A</v>
      </c>
      <c r="BI580" s="7" t="e">
        <f t="shared" si="120"/>
        <v>#N/A</v>
      </c>
      <c r="BJ580" s="7" t="e">
        <f t="shared" si="117"/>
        <v>#N/A</v>
      </c>
      <c r="BK580" s="7" t="e">
        <f t="shared" si="121"/>
        <v>#N/A</v>
      </c>
      <c r="BL580" s="7" t="e">
        <f t="shared" si="118"/>
        <v>#N/A</v>
      </c>
    </row>
    <row r="581" spans="52:64" ht="11.25" customHeight="1">
      <c r="AZ581" s="7">
        <f t="shared" si="109"/>
        <v>0.34457825838964495</v>
      </c>
      <c r="BA581" s="7">
        <f t="shared" si="119"/>
        <v>-0.40000000000008384</v>
      </c>
      <c r="BB581" s="7">
        <f t="shared" si="110"/>
        <v>0.3682701403033109</v>
      </c>
      <c r="BC581" s="7" t="e">
        <f t="shared" si="111"/>
        <v>#N/A</v>
      </c>
      <c r="BD581" s="7">
        <f t="shared" si="112"/>
        <v>-0.40001000000008385</v>
      </c>
      <c r="BE581" s="7">
        <f t="shared" si="113"/>
        <v>-0.39999000000008383</v>
      </c>
      <c r="BF581" s="7">
        <f t="shared" si="114"/>
        <v>0.34878013906236516</v>
      </c>
      <c r="BG581" s="7">
        <f t="shared" si="115"/>
        <v>0.34878727063303888</v>
      </c>
      <c r="BH581" s="7" t="e">
        <f t="shared" si="116"/>
        <v>#N/A</v>
      </c>
      <c r="BI581" s="7" t="e">
        <f t="shared" si="120"/>
        <v>#N/A</v>
      </c>
      <c r="BJ581" s="7" t="e">
        <f t="shared" si="117"/>
        <v>#N/A</v>
      </c>
      <c r="BK581" s="7" t="e">
        <f t="shared" si="121"/>
        <v>#N/A</v>
      </c>
      <c r="BL581" s="7" t="e">
        <f t="shared" si="118"/>
        <v>#N/A</v>
      </c>
    </row>
    <row r="582" spans="52:64" ht="11.25" customHeight="1">
      <c r="AZ582" s="7">
        <f t="shared" si="109"/>
        <v>0.34826827346398659</v>
      </c>
      <c r="BA582" s="7">
        <f t="shared" si="119"/>
        <v>-0.39000000000008384</v>
      </c>
      <c r="BB582" s="7">
        <f t="shared" si="110"/>
        <v>0.36972768411142021</v>
      </c>
      <c r="BC582" s="7" t="e">
        <f t="shared" si="111"/>
        <v>#N/A</v>
      </c>
      <c r="BD582" s="7">
        <f t="shared" si="112"/>
        <v>-0.39001000000008385</v>
      </c>
      <c r="BE582" s="7">
        <f t="shared" si="113"/>
        <v>-0.38999000000008383</v>
      </c>
      <c r="BF582" s="7">
        <f t="shared" si="114"/>
        <v>0.35235357890237562</v>
      </c>
      <c r="BG582" s="7">
        <f t="shared" si="115"/>
        <v>0.35236074104896642</v>
      </c>
      <c r="BH582" s="7" t="e">
        <f t="shared" si="116"/>
        <v>#N/A</v>
      </c>
      <c r="BI582" s="7" t="e">
        <f t="shared" si="120"/>
        <v>#N/A</v>
      </c>
      <c r="BJ582" s="7" t="e">
        <f t="shared" si="117"/>
        <v>#N/A</v>
      </c>
      <c r="BK582" s="7" t="e">
        <f t="shared" si="121"/>
        <v>#N/A</v>
      </c>
      <c r="BL582" s="7" t="e">
        <f t="shared" si="118"/>
        <v>#N/A</v>
      </c>
    </row>
    <row r="583" spans="52:64" ht="11.25" customHeight="1">
      <c r="AZ583" s="7">
        <f t="shared" si="109"/>
        <v>0.35197270757580612</v>
      </c>
      <c r="BA583" s="7">
        <f t="shared" si="119"/>
        <v>-0.38000000000008383</v>
      </c>
      <c r="BB583" s="7">
        <f t="shared" si="110"/>
        <v>0.37115387935945415</v>
      </c>
      <c r="BC583" s="7" t="e">
        <f t="shared" si="111"/>
        <v>#N/A</v>
      </c>
      <c r="BD583" s="7">
        <f t="shared" si="112"/>
        <v>-0.38001000000008384</v>
      </c>
      <c r="BE583" s="7">
        <f t="shared" si="113"/>
        <v>-0.37999000000008382</v>
      </c>
      <c r="BF583" s="7">
        <f t="shared" si="114"/>
        <v>0.35594215124366735</v>
      </c>
      <c r="BG583" s="7">
        <f t="shared" si="115"/>
        <v>0.35594934334130401</v>
      </c>
      <c r="BH583" s="7" t="e">
        <f t="shared" si="116"/>
        <v>#N/A</v>
      </c>
      <c r="BI583" s="7" t="e">
        <f t="shared" si="120"/>
        <v>#N/A</v>
      </c>
      <c r="BJ583" s="7" t="e">
        <f t="shared" si="117"/>
        <v>#N/A</v>
      </c>
      <c r="BK583" s="7" t="e">
        <f t="shared" si="121"/>
        <v>#N/A</v>
      </c>
      <c r="BL583" s="7" t="e">
        <f t="shared" si="118"/>
        <v>#N/A</v>
      </c>
    </row>
    <row r="584" spans="52:64" ht="11.25" customHeight="1">
      <c r="AZ584" s="7">
        <f t="shared" si="109"/>
        <v>0.35569124519942208</v>
      </c>
      <c r="BA584" s="7">
        <f t="shared" si="119"/>
        <v>-0.37000000000008382</v>
      </c>
      <c r="BB584" s="7">
        <f t="shared" si="110"/>
        <v>0.37254831934792182</v>
      </c>
      <c r="BC584" s="7" t="e">
        <f t="shared" si="111"/>
        <v>#N/A</v>
      </c>
      <c r="BD584" s="7">
        <f t="shared" si="112"/>
        <v>-0.37001000000008383</v>
      </c>
      <c r="BE584" s="7">
        <f t="shared" si="113"/>
        <v>-0.36999000000008381</v>
      </c>
      <c r="BF584" s="7">
        <f t="shared" si="114"/>
        <v>0.35954554098086411</v>
      </c>
      <c r="BG584" s="7">
        <f t="shared" si="115"/>
        <v>0.35955276239400447</v>
      </c>
      <c r="BH584" s="7" t="e">
        <f t="shared" si="116"/>
        <v>#N/A</v>
      </c>
      <c r="BI584" s="7" t="e">
        <f t="shared" si="120"/>
        <v>#N/A</v>
      </c>
      <c r="BJ584" s="7" t="e">
        <f t="shared" si="117"/>
        <v>#N/A</v>
      </c>
      <c r="BK584" s="7" t="e">
        <f t="shared" si="121"/>
        <v>#N/A</v>
      </c>
      <c r="BL584" s="7" t="e">
        <f t="shared" si="118"/>
        <v>#N/A</v>
      </c>
    </row>
    <row r="585" spans="52:64" ht="11.25" customHeight="1">
      <c r="AZ585" s="7">
        <f t="shared" si="109"/>
        <v>0.3594235667819774</v>
      </c>
      <c r="BA585" s="7">
        <f t="shared" si="119"/>
        <v>-0.36000000000008381</v>
      </c>
      <c r="BB585" s="7">
        <f t="shared" si="110"/>
        <v>0.37391060537311704</v>
      </c>
      <c r="BC585" s="7" t="e">
        <f t="shared" si="111"/>
        <v>#N/A</v>
      </c>
      <c r="BD585" s="7">
        <f t="shared" si="112"/>
        <v>-0.36001000000008382</v>
      </c>
      <c r="BE585" s="7">
        <f t="shared" si="113"/>
        <v>-0.3599900000000838</v>
      </c>
      <c r="BF585" s="7">
        <f t="shared" si="114"/>
        <v>0.36316342771795607</v>
      </c>
      <c r="BG585" s="7">
        <f t="shared" si="115"/>
        <v>0.36317067780056689</v>
      </c>
      <c r="BH585" s="7" t="e">
        <f t="shared" si="116"/>
        <v>#N/A</v>
      </c>
      <c r="BI585" s="7" t="e">
        <f t="shared" si="120"/>
        <v>#N/A</v>
      </c>
      <c r="BJ585" s="7" t="e">
        <f t="shared" si="117"/>
        <v>#N/A</v>
      </c>
      <c r="BK585" s="7" t="e">
        <f t="shared" si="121"/>
        <v>#N/A</v>
      </c>
      <c r="BL585" s="7" t="e">
        <f t="shared" si="118"/>
        <v>#N/A</v>
      </c>
    </row>
    <row r="586" spans="52:64" ht="11.25" customHeight="1">
      <c r="AZ586" s="7">
        <f t="shared" si="109"/>
        <v>0.36316934882434948</v>
      </c>
      <c r="BA586" s="7">
        <f t="shared" si="119"/>
        <v>-0.3500000000000838</v>
      </c>
      <c r="BB586" s="7">
        <f t="shared" si="110"/>
        <v>0.37524034691692681</v>
      </c>
      <c r="BC586" s="7" t="e">
        <f t="shared" si="111"/>
        <v>#N/A</v>
      </c>
      <c r="BD586" s="7">
        <f t="shared" si="112"/>
        <v>-0.35001000000008381</v>
      </c>
      <c r="BE586" s="7">
        <f t="shared" si="113"/>
        <v>-0.34999000000008379</v>
      </c>
      <c r="BF586" s="7">
        <f t="shared" si="114"/>
        <v>0.36679548585853217</v>
      </c>
      <c r="BG586" s="7">
        <f t="shared" si="115"/>
        <v>0.36680276395427103</v>
      </c>
      <c r="BH586" s="7" t="e">
        <f t="shared" si="116"/>
        <v>#N/A</v>
      </c>
      <c r="BI586" s="7" t="e">
        <f t="shared" si="120"/>
        <v>#N/A</v>
      </c>
      <c r="BJ586" s="7" t="e">
        <f t="shared" si="117"/>
        <v>#N/A</v>
      </c>
      <c r="BK586" s="7" t="e">
        <f t="shared" si="121"/>
        <v>#N/A</v>
      </c>
      <c r="BL586" s="7" t="e">
        <f t="shared" si="118"/>
        <v>#N/A</v>
      </c>
    </row>
    <row r="587" spans="52:64" ht="11.25" customHeight="1">
      <c r="AZ587" s="7">
        <f t="shared" si="109"/>
        <v>0.3669282639639404</v>
      </c>
      <c r="BA587" s="7">
        <f t="shared" si="119"/>
        <v>-0.34000000000008379</v>
      </c>
      <c r="BB587" s="7">
        <f t="shared" si="110"/>
        <v>0.37653716183324315</v>
      </c>
      <c r="BC587" s="7" t="e">
        <f t="shared" si="111"/>
        <v>#N/A</v>
      </c>
      <c r="BD587" s="7">
        <f t="shared" si="112"/>
        <v>-0.3400100000000838</v>
      </c>
      <c r="BE587" s="7">
        <f t="shared" si="113"/>
        <v>-0.33999000000008378</v>
      </c>
      <c r="BF587" s="7">
        <f t="shared" si="114"/>
        <v>0.37044138469952542</v>
      </c>
      <c r="BG587" s="7">
        <f t="shared" si="115"/>
        <v>0.37044869014193521</v>
      </c>
      <c r="BH587" s="7" t="e">
        <f t="shared" si="116"/>
        <v>#N/A</v>
      </c>
      <c r="BI587" s="7" t="e">
        <f t="shared" si="120"/>
        <v>#N/A</v>
      </c>
      <c r="BJ587" s="7" t="e">
        <f t="shared" si="117"/>
        <v>#N/A</v>
      </c>
      <c r="BK587" s="7" t="e">
        <f t="shared" si="121"/>
        <v>#N/A</v>
      </c>
      <c r="BL587" s="7" t="e">
        <f t="shared" si="118"/>
        <v>#N/A</v>
      </c>
    </row>
    <row r="588" spans="52:64" ht="11.25" customHeight="1">
      <c r="AZ588" s="7">
        <f t="shared" si="109"/>
        <v>0.37069998105931479</v>
      </c>
      <c r="BA588" s="7">
        <f t="shared" si="119"/>
        <v>-0.33000000000008378</v>
      </c>
      <c r="BB588" s="7">
        <f t="shared" si="110"/>
        <v>0.37780067653085408</v>
      </c>
      <c r="BC588" s="7" t="e">
        <f t="shared" si="111"/>
        <v>#N/A</v>
      </c>
      <c r="BD588" s="7">
        <f t="shared" si="112"/>
        <v>-0.33001000000008379</v>
      </c>
      <c r="BE588" s="7">
        <f t="shared" si="113"/>
        <v>-0.32999000000008377</v>
      </c>
      <c r="BF588" s="7">
        <f t="shared" si="114"/>
        <v>0.37410078852842477</v>
      </c>
      <c r="BG588" s="7">
        <f t="shared" si="115"/>
        <v>0.37410812064112764</v>
      </c>
      <c r="BH588" s="7" t="e">
        <f t="shared" si="116"/>
        <v>#N/A</v>
      </c>
      <c r="BI588" s="7" t="e">
        <f t="shared" si="120"/>
        <v>#N/A</v>
      </c>
      <c r="BJ588" s="7" t="e">
        <f t="shared" si="117"/>
        <v>#N/A</v>
      </c>
      <c r="BK588" s="7" t="e">
        <f t="shared" si="121"/>
        <v>#N/A</v>
      </c>
      <c r="BL588" s="7" t="e">
        <f t="shared" si="118"/>
        <v>#N/A</v>
      </c>
    </row>
    <row r="589" spans="52:64" ht="11.25" customHeight="1">
      <c r="AZ589" s="7">
        <f t="shared" si="109"/>
        <v>0.37448416527664818</v>
      </c>
      <c r="BA589" s="7">
        <f t="shared" si="119"/>
        <v>-0.32000000000008377</v>
      </c>
      <c r="BB589" s="7">
        <f t="shared" si="110"/>
        <v>0.3790305261526915</v>
      </c>
      <c r="BC589" s="7" t="e">
        <f t="shared" si="111"/>
        <v>#N/A</v>
      </c>
      <c r="BD589" s="7">
        <f t="shared" si="112"/>
        <v>-0.32001000000008378</v>
      </c>
      <c r="BE589" s="7">
        <f t="shared" si="113"/>
        <v>-0.31999000000008376</v>
      </c>
      <c r="BF589" s="7">
        <f t="shared" si="114"/>
        <v>0.37777335672391149</v>
      </c>
      <c r="BG589" s="7">
        <f t="shared" si="115"/>
        <v>0.37778071482081216</v>
      </c>
      <c r="BH589" s="7" t="e">
        <f t="shared" si="116"/>
        <v>#N/A</v>
      </c>
      <c r="BI589" s="7" t="e">
        <f t="shared" si="120"/>
        <v>#N/A</v>
      </c>
      <c r="BJ589" s="7" t="e">
        <f t="shared" si="117"/>
        <v>#N/A</v>
      </c>
      <c r="BK589" s="7" t="e">
        <f t="shared" si="121"/>
        <v>#N/A</v>
      </c>
      <c r="BL589" s="7" t="e">
        <f t="shared" si="118"/>
        <v>#N/A</v>
      </c>
    </row>
    <row r="590" spans="52:64" ht="11.25" customHeight="1">
      <c r="AZ590" s="7">
        <f t="shared" si="109"/>
        <v>0.37828047817794885</v>
      </c>
      <c r="BA590" s="7">
        <f t="shared" si="119"/>
        <v>-0.31000000000008376</v>
      </c>
      <c r="BB590" s="7">
        <f t="shared" si="110"/>
        <v>0.380226354751315</v>
      </c>
      <c r="BC590" s="7" t="e">
        <f t="shared" si="111"/>
        <v>#N/A</v>
      </c>
      <c r="BD590" s="7">
        <f t="shared" si="112"/>
        <v>-0.31001000000008377</v>
      </c>
      <c r="BE590" s="7">
        <f t="shared" si="113"/>
        <v>-0.30999000000008375</v>
      </c>
      <c r="BF590" s="7">
        <f t="shared" si="114"/>
        <v>0.38145874385985223</v>
      </c>
      <c r="BG590" s="7">
        <f t="shared" si="115"/>
        <v>0.38146612724535944</v>
      </c>
      <c r="BH590" s="7" t="e">
        <f t="shared" si="116"/>
        <v>#N/A</v>
      </c>
      <c r="BI590" s="7" t="e">
        <f t="shared" si="120"/>
        <v>#N/A</v>
      </c>
      <c r="BJ590" s="7" t="e">
        <f t="shared" si="117"/>
        <v>#N/A</v>
      </c>
      <c r="BK590" s="7" t="e">
        <f t="shared" si="121"/>
        <v>#N/A</v>
      </c>
      <c r="BL590" s="7" t="e">
        <f t="shared" si="118"/>
        <v>#N/A</v>
      </c>
    </row>
    <row r="591" spans="52:64" ht="11.25" customHeight="1">
      <c r="AZ591" s="7">
        <f t="shared" si="109"/>
        <v>0.38208857781101546</v>
      </c>
      <c r="BA591" s="7">
        <f t="shared" si="119"/>
        <v>-0.30000000000008376</v>
      </c>
      <c r="BB591" s="7">
        <f t="shared" si="110"/>
        <v>0.38138781546051448</v>
      </c>
      <c r="BC591" s="7" t="e">
        <f t="shared" si="111"/>
        <v>#N/A</v>
      </c>
      <c r="BD591" s="7">
        <f t="shared" si="112"/>
        <v>-0.30001000000008377</v>
      </c>
      <c r="BE591" s="7">
        <f t="shared" si="113"/>
        <v>-0.29999000000008375</v>
      </c>
      <c r="BF591" s="7">
        <f t="shared" si="114"/>
        <v>0.38515659981263245</v>
      </c>
      <c r="BG591" s="7">
        <f t="shared" si="115"/>
        <v>0.3851640077818631</v>
      </c>
      <c r="BH591" s="7" t="e">
        <f t="shared" si="116"/>
        <v>#N/A</v>
      </c>
      <c r="BI591" s="7" t="e">
        <f t="shared" si="120"/>
        <v>#N/A</v>
      </c>
      <c r="BJ591" s="7" t="e">
        <f t="shared" si="117"/>
        <v>#N/A</v>
      </c>
      <c r="BK591" s="7" t="e">
        <f t="shared" si="121"/>
        <v>#N/A</v>
      </c>
      <c r="BL591" s="7" t="e">
        <f t="shared" si="118"/>
        <v>#N/A</v>
      </c>
    </row>
    <row r="592" spans="52:64" ht="11.25" customHeight="1">
      <c r="AZ592" s="7">
        <f t="shared" si="109"/>
        <v>0.38590811880109066</v>
      </c>
      <c r="BA592" s="7">
        <f t="shared" si="119"/>
        <v>-0.29000000000008375</v>
      </c>
      <c r="BB592" s="7">
        <f t="shared" si="110"/>
        <v>0.38251457066291467</v>
      </c>
      <c r="BC592" s="7" t="e">
        <f t="shared" si="111"/>
        <v>#N/A</v>
      </c>
      <c r="BD592" s="7">
        <f t="shared" si="112"/>
        <v>-0.29001000000008376</v>
      </c>
      <c r="BE592" s="7">
        <f t="shared" si="113"/>
        <v>-0.28999000000008374</v>
      </c>
      <c r="BF592" s="7">
        <f t="shared" si="114"/>
        <v>0.38886656987172386</v>
      </c>
      <c r="BG592" s="7">
        <f t="shared" si="115"/>
        <v>0.3888740017107371</v>
      </c>
      <c r="BH592" s="7" t="e">
        <f t="shared" si="116"/>
        <v>#N/A</v>
      </c>
      <c r="BI592" s="7" t="e">
        <f t="shared" si="120"/>
        <v>#N/A</v>
      </c>
      <c r="BJ592" s="7" t="e">
        <f t="shared" si="117"/>
        <v>#N/A</v>
      </c>
      <c r="BK592" s="7" t="e">
        <f t="shared" si="121"/>
        <v>#N/A</v>
      </c>
      <c r="BL592" s="7" t="e">
        <f t="shared" si="118"/>
        <v>#N/A</v>
      </c>
    </row>
    <row r="593" spans="52:64" ht="11.25" customHeight="1">
      <c r="AZ593" s="7">
        <f t="shared" si="109"/>
        <v>0.38973875244417067</v>
      </c>
      <c r="BA593" s="7">
        <f t="shared" si="119"/>
        <v>-0.28000000000008374</v>
      </c>
      <c r="BB593" s="7">
        <f t="shared" si="110"/>
        <v>0.38360629215346953</v>
      </c>
      <c r="BC593" s="7" t="e">
        <f t="shared" si="111"/>
        <v>#N/A</v>
      </c>
      <c r="BD593" s="7">
        <f t="shared" si="112"/>
        <v>-0.28001000000008375</v>
      </c>
      <c r="BE593" s="7">
        <f t="shared" si="113"/>
        <v>-0.27999000000008373</v>
      </c>
      <c r="BF593" s="7">
        <f t="shared" si="114"/>
        <v>0.39258829485346763</v>
      </c>
      <c r="BG593" s="7">
        <f t="shared" si="115"/>
        <v>0.39259574983949119</v>
      </c>
      <c r="BH593" s="7" t="e">
        <f t="shared" si="116"/>
        <v>#N/A</v>
      </c>
      <c r="BI593" s="7" t="e">
        <f t="shared" si="120"/>
        <v>#N/A</v>
      </c>
      <c r="BJ593" s="7" t="e">
        <f t="shared" si="117"/>
        <v>#N/A</v>
      </c>
      <c r="BK593" s="7" t="e">
        <f t="shared" si="121"/>
        <v>#N/A</v>
      </c>
      <c r="BL593" s="7" t="e">
        <f t="shared" si="118"/>
        <v>#N/A</v>
      </c>
    </row>
    <row r="594" spans="52:64" ht="11.25" customHeight="1">
      <c r="AZ594" s="7">
        <f t="shared" si="109"/>
        <v>0.39358012680192833</v>
      </c>
      <c r="BA594" s="7">
        <f t="shared" si="119"/>
        <v>-0.27000000000008373</v>
      </c>
      <c r="BB594" s="7">
        <f t="shared" si="110"/>
        <v>0.38466266129873405</v>
      </c>
      <c r="BC594" s="7" t="e">
        <f t="shared" si="111"/>
        <v>#N/A</v>
      </c>
      <c r="BD594" s="7">
        <f t="shared" si="112"/>
        <v>-0.27001000000008374</v>
      </c>
      <c r="BE594" s="7">
        <f t="shared" si="113"/>
        <v>-0.26999000000008372</v>
      </c>
      <c r="BF594" s="7">
        <f t="shared" si="114"/>
        <v>0.39632141121798037</v>
      </c>
      <c r="BG594" s="7">
        <f t="shared" si="115"/>
        <v>0.39632888861964899</v>
      </c>
      <c r="BH594" s="7" t="e">
        <f t="shared" si="116"/>
        <v>#N/A</v>
      </c>
      <c r="BI594" s="7" t="e">
        <f t="shared" si="120"/>
        <v>#N/A</v>
      </c>
      <c r="BJ594" s="7" t="e">
        <f t="shared" si="117"/>
        <v>#N/A</v>
      </c>
      <c r="BK594" s="7" t="e">
        <f t="shared" si="121"/>
        <v>#N/A</v>
      </c>
      <c r="BL594" s="7" t="e">
        <f t="shared" si="118"/>
        <v>#N/A</v>
      </c>
    </row>
    <row r="595" spans="52:64" ht="11.25" customHeight="1">
      <c r="AZ595" s="7">
        <f t="shared" si="109"/>
        <v>0.39743188679820718</v>
      </c>
      <c r="BA595" s="7">
        <f t="shared" si="119"/>
        <v>-0.26000000000008372</v>
      </c>
      <c r="BB595" s="7">
        <f t="shared" si="110"/>
        <v>0.38568336919180762</v>
      </c>
      <c r="BC595" s="7" t="e">
        <f t="shared" si="111"/>
        <v>#N/A</v>
      </c>
      <c r="BD595" s="7">
        <f t="shared" si="112"/>
        <v>-0.26001000000008373</v>
      </c>
      <c r="BE595" s="7">
        <f t="shared" si="113"/>
        <v>-0.25999000000008371</v>
      </c>
      <c r="BF595" s="7">
        <f t="shared" si="114"/>
        <v>0.40006555118913711</v>
      </c>
      <c r="BG595" s="7">
        <f t="shared" si="115"/>
        <v>0.4000730502667369</v>
      </c>
      <c r="BH595" s="7" t="e">
        <f t="shared" si="116"/>
        <v>#N/A</v>
      </c>
      <c r="BI595" s="7" t="e">
        <f t="shared" si="120"/>
        <v>#N/A</v>
      </c>
      <c r="BJ595" s="7" t="e">
        <f t="shared" si="117"/>
        <v>#N/A</v>
      </c>
      <c r="BK595" s="7" t="e">
        <f t="shared" si="121"/>
        <v>#N/A</v>
      </c>
      <c r="BL595" s="7" t="e">
        <f t="shared" si="118"/>
        <v>#N/A</v>
      </c>
    </row>
    <row r="596" spans="52:64" ht="11.25" customHeight="1">
      <c r="AZ596" s="7">
        <f t="shared" si="109"/>
        <v>0.40129367431704388</v>
      </c>
      <c r="BA596" s="7">
        <f t="shared" si="119"/>
        <v>-0.25000000000008371</v>
      </c>
      <c r="BB596" s="7">
        <f t="shared" si="110"/>
        <v>0.38666811680284108</v>
      </c>
      <c r="BC596" s="7" t="e">
        <f t="shared" si="111"/>
        <v>#N/A</v>
      </c>
      <c r="BD596" s="7">
        <f t="shared" si="112"/>
        <v>-0.25001000000008372</v>
      </c>
      <c r="BE596" s="7">
        <f t="shared" si="113"/>
        <v>-0.2499900000000837</v>
      </c>
      <c r="BF596" s="7">
        <f t="shared" si="114"/>
        <v>0.40382034287753577</v>
      </c>
      <c r="BG596" s="7">
        <f t="shared" si="115"/>
        <v>0.40382786288325051</v>
      </c>
      <c r="BH596" s="7" t="e">
        <f t="shared" si="116"/>
        <v>#N/A</v>
      </c>
      <c r="BI596" s="7" t="e">
        <f t="shared" si="120"/>
        <v>#N/A</v>
      </c>
      <c r="BJ596" s="7" t="e">
        <f t="shared" si="117"/>
        <v>#N/A</v>
      </c>
      <c r="BK596" s="7" t="e">
        <f t="shared" si="121"/>
        <v>#N/A</v>
      </c>
      <c r="BL596" s="7" t="e">
        <f t="shared" si="118"/>
        <v>#N/A</v>
      </c>
    </row>
    <row r="597" spans="52:64" ht="11.25" customHeight="1">
      <c r="AZ597" s="7">
        <f t="shared" ref="AZ597:AZ660" si="122">NORMDIST(BA597,$BA$17,$BA$18,TRUE)</f>
        <v>0.40516512830217166</v>
      </c>
      <c r="BA597" s="7">
        <f t="shared" si="119"/>
        <v>-0.2400000000000837</v>
      </c>
      <c r="BB597" s="7">
        <f t="shared" ref="BB597:BB660" si="123">IF($BA$13=1,NORMDIST(BA597,$BA$17,$BA$18,FALSE),NA())</f>
        <v>0.38761661512500634</v>
      </c>
      <c r="BC597" s="7" t="e">
        <f t="shared" ref="BC597:BC660" si="124">IF($BA$13=3,NORMDIST(BA597,$BA$17,$BA$18,FALSE),NA())</f>
        <v>#N/A</v>
      </c>
      <c r="BD597" s="7">
        <f t="shared" ref="BD597:BD660" si="125">BA597-$BD$19</f>
        <v>-0.24001000000008371</v>
      </c>
      <c r="BE597" s="7">
        <f t="shared" ref="BE597:BE660" si="126">BA597+$BD$19</f>
        <v>-0.23999000000008369</v>
      </c>
      <c r="BF597" s="7">
        <f t="shared" ref="BF597:BF660" si="127">IF(BD597&lt;0,TDIST(-BD597,$BA$14,1),1-TDIST(BD597,$BA$14,1))</f>
        <v>0.40758541040639545</v>
      </c>
      <c r="BG597" s="7">
        <f t="shared" ref="BG597:BG660" si="128">IF(BE597&lt;0,TDIST(-BE597,$BA$14,1),1-TDIST(BE597,$BA$14,1))</f>
        <v>0.40759295058455902</v>
      </c>
      <c r="BH597" s="7" t="e">
        <f t="shared" ref="BH597:BH660" si="129">IF($BA$13&gt;1,(BG597-BF597)/(2*$BD$19),NA())</f>
        <v>#N/A</v>
      </c>
      <c r="BI597" s="7" t="e">
        <f t="shared" si="120"/>
        <v>#N/A</v>
      </c>
      <c r="BJ597" s="7" t="e">
        <f t="shared" ref="BJ597:BJ660" si="130">IF(ISNUMBER(BI597),BI597-$BJ$19,NA())</f>
        <v>#N/A</v>
      </c>
      <c r="BK597" s="7" t="e">
        <f t="shared" si="121"/>
        <v>#N/A</v>
      </c>
      <c r="BL597" s="7" t="e">
        <f t="shared" ref="BL597:BL660" si="131">IF(ISNUMBER(BK597),BK597-$BL$19,NA())</f>
        <v>#N/A</v>
      </c>
    </row>
    <row r="598" spans="52:64" ht="11.25" customHeight="1">
      <c r="AZ598" s="7">
        <f t="shared" si="122"/>
        <v>0.40904588485796167</v>
      </c>
      <c r="BA598" s="7">
        <f t="shared" ref="BA598:BA661" si="132">BA597+$BD$10</f>
        <v>-0.23000000000008369</v>
      </c>
      <c r="BB598" s="7">
        <f t="shared" si="123"/>
        <v>0.3885285853158284</v>
      </c>
      <c r="BC598" s="7" t="e">
        <f t="shared" si="124"/>
        <v>#N/A</v>
      </c>
      <c r="BD598" s="7">
        <f t="shared" si="125"/>
        <v>-0.2300100000000837</v>
      </c>
      <c r="BE598" s="7">
        <f t="shared" si="126"/>
        <v>-0.22999000000008368</v>
      </c>
      <c r="BF598" s="7">
        <f t="shared" si="127"/>
        <v>0.41136037404028336</v>
      </c>
      <c r="BG598" s="7">
        <f t="shared" si="128"/>
        <v>0.41136793362764768</v>
      </c>
      <c r="BH598" s="7" t="e">
        <f t="shared" si="129"/>
        <v>#N/A</v>
      </c>
      <c r="BI598" s="7" t="e">
        <f t="shared" ref="BI598:BI661" si="133">IF($BA$15=1,IF(OR(AND(BA598&gt;=$BI$18,$BN$18&gt;=0),AND(BA598&lt;=-$BI$18,$BN$18&lt;0)),BB598,NA()),IF($BA$15=2,IF(ABS(BA598)&gt;=$BI$18,BB598,NA()),NA()))</f>
        <v>#N/A</v>
      </c>
      <c r="BJ598" s="7" t="e">
        <f t="shared" si="130"/>
        <v>#N/A</v>
      </c>
      <c r="BK598" s="7" t="e">
        <f t="shared" ref="BK598:BK661" si="134">IF($BA$15=1,IF(OR(AND(BA598&gt;=$BK$18,$BN$18&gt;=0),AND(BA598&lt;=-$BK$18,$BN$18&lt;0)),BH598,NA()),IF($BA$15=2,IF(ABS(BA598)&gt;=$BK$18,BH598,NA()),NA()))</f>
        <v>#N/A</v>
      </c>
      <c r="BL598" s="7" t="e">
        <f t="shared" si="131"/>
        <v>#N/A</v>
      </c>
    </row>
    <row r="599" spans="52:64" ht="11.25" customHeight="1">
      <c r="AZ599" s="7">
        <f t="shared" si="122"/>
        <v>0.41293557735175279</v>
      </c>
      <c r="BA599" s="7">
        <f t="shared" si="132"/>
        <v>-0.22000000000008368</v>
      </c>
      <c r="BB599" s="7">
        <f t="shared" si="123"/>
        <v>0.3894037588337832</v>
      </c>
      <c r="BC599" s="7" t="e">
        <f t="shared" si="124"/>
        <v>#N/A</v>
      </c>
      <c r="BD599" s="7">
        <f t="shared" si="125"/>
        <v>-0.22001000000008369</v>
      </c>
      <c r="BE599" s="7">
        <f t="shared" si="126"/>
        <v>-0.21999000000008367</v>
      </c>
      <c r="BF599" s="7">
        <f t="shared" si="127"/>
        <v>0.41514485031661369</v>
      </c>
      <c r="BG599" s="7">
        <f t="shared" si="128"/>
        <v>0.41515242854260798</v>
      </c>
      <c r="BH599" s="7" t="e">
        <f t="shared" si="129"/>
        <v>#N/A</v>
      </c>
      <c r="BI599" s="7" t="e">
        <f t="shared" si="133"/>
        <v>#N/A</v>
      </c>
      <c r="BJ599" s="7" t="e">
        <f t="shared" si="130"/>
        <v>#N/A</v>
      </c>
      <c r="BK599" s="7" t="e">
        <f t="shared" si="134"/>
        <v>#N/A</v>
      </c>
      <c r="BL599" s="7" t="e">
        <f t="shared" si="131"/>
        <v>#N/A</v>
      </c>
    </row>
    <row r="600" spans="52:64" ht="11.25" customHeight="1">
      <c r="AZ600" s="7">
        <f t="shared" si="122"/>
        <v>0.41683383651752504</v>
      </c>
      <c r="BA600" s="7">
        <f t="shared" si="132"/>
        <v>-0.21000000000008368</v>
      </c>
      <c r="BB600" s="7">
        <f t="shared" si="123"/>
        <v>0.3902418775700674</v>
      </c>
      <c r="BC600" s="7" t="e">
        <f t="shared" si="124"/>
        <v>#N/A</v>
      </c>
      <c r="BD600" s="7">
        <f t="shared" si="125"/>
        <v>-0.21001000000008369</v>
      </c>
      <c r="BE600" s="7">
        <f t="shared" si="126"/>
        <v>-0.20999000000008367</v>
      </c>
      <c r="BF600" s="7">
        <f t="shared" si="127"/>
        <v>0.41893845217981729</v>
      </c>
      <c r="BG600" s="7">
        <f t="shared" si="128"/>
        <v>0.41894604826682247</v>
      </c>
      <c r="BH600" s="7" t="e">
        <f t="shared" si="129"/>
        <v>#N/A</v>
      </c>
      <c r="BI600" s="7" t="e">
        <f t="shared" si="133"/>
        <v>#N/A</v>
      </c>
      <c r="BJ600" s="7" t="e">
        <f t="shared" si="130"/>
        <v>#N/A</v>
      </c>
      <c r="BK600" s="7" t="e">
        <f t="shared" si="134"/>
        <v>#N/A</v>
      </c>
      <c r="BL600" s="7" t="e">
        <f t="shared" si="131"/>
        <v>#N/A</v>
      </c>
    </row>
    <row r="601" spans="52:64" ht="11.25" customHeight="1">
      <c r="AZ601" s="7">
        <f t="shared" si="122"/>
        <v>0.42074029056086426</v>
      </c>
      <c r="BA601" s="7">
        <f t="shared" si="132"/>
        <v>-0.20000000000008367</v>
      </c>
      <c r="BB601" s="7">
        <f t="shared" si="123"/>
        <v>0.39104269397544933</v>
      </c>
      <c r="BC601" s="7" t="e">
        <f t="shared" si="124"/>
        <v>#N/A</v>
      </c>
      <c r="BD601" s="7">
        <f t="shared" si="125"/>
        <v>-0.20001000000008368</v>
      </c>
      <c r="BE601" s="7">
        <f t="shared" si="126"/>
        <v>-0.19999000000008366</v>
      </c>
      <c r="BF601" s="7">
        <f t="shared" si="127"/>
        <v>0.42274078911810908</v>
      </c>
      <c r="BG601" s="7">
        <f t="shared" si="128"/>
        <v>0.422748402281728</v>
      </c>
      <c r="BH601" s="7" t="e">
        <f t="shared" si="129"/>
        <v>#N/A</v>
      </c>
      <c r="BI601" s="7" t="e">
        <f t="shared" si="133"/>
        <v>#N/A</v>
      </c>
      <c r="BJ601" s="7" t="e">
        <f t="shared" si="130"/>
        <v>#N/A</v>
      </c>
      <c r="BK601" s="7" t="e">
        <f t="shared" si="134"/>
        <v>#N/A</v>
      </c>
      <c r="BL601" s="7" t="e">
        <f t="shared" si="131"/>
        <v>#N/A</v>
      </c>
    </row>
    <row r="602" spans="52:64" ht="11.25" customHeight="1">
      <c r="AZ602" s="7">
        <f t="shared" si="122"/>
        <v>0.42465456526517176</v>
      </c>
      <c r="BA602" s="7">
        <f t="shared" si="132"/>
        <v>-0.19000000000008366</v>
      </c>
      <c r="BB602" s="7">
        <f t="shared" si="123"/>
        <v>0.3918059711821148</v>
      </c>
      <c r="BC602" s="7" t="e">
        <f t="shared" si="124"/>
        <v>#N/A</v>
      </c>
      <c r="BD602" s="7">
        <f t="shared" si="125"/>
        <v>-0.19001000000008367</v>
      </c>
      <c r="BE602" s="7">
        <f t="shared" si="126"/>
        <v>-0.18999000000008365</v>
      </c>
      <c r="BF602" s="7">
        <f t="shared" si="127"/>
        <v>0.42655146730274163</v>
      </c>
      <c r="BG602" s="7">
        <f t="shared" si="128"/>
        <v>0.42655909675209136</v>
      </c>
      <c r="BH602" s="7" t="e">
        <f t="shared" si="129"/>
        <v>#N/A</v>
      </c>
      <c r="BI602" s="7" t="e">
        <f t="shared" si="133"/>
        <v>#N/A</v>
      </c>
      <c r="BJ602" s="7" t="e">
        <f t="shared" si="130"/>
        <v>#N/A</v>
      </c>
      <c r="BK602" s="7" t="e">
        <f t="shared" si="134"/>
        <v>#N/A</v>
      </c>
      <c r="BL602" s="7" t="e">
        <f t="shared" si="131"/>
        <v>#N/A</v>
      </c>
    </row>
    <row r="603" spans="52:64" ht="11.25" customHeight="1">
      <c r="AZ603" s="7">
        <f t="shared" si="122"/>
        <v>0.42857628409906645</v>
      </c>
      <c r="BA603" s="7">
        <f t="shared" si="132"/>
        <v>-0.18000000000008365</v>
      </c>
      <c r="BB603" s="7">
        <f t="shared" si="123"/>
        <v>0.39253148312042296</v>
      </c>
      <c r="BC603" s="7" t="e">
        <f t="shared" si="124"/>
        <v>#N/A</v>
      </c>
      <c r="BD603" s="7">
        <f t="shared" si="125"/>
        <v>-0.18001000000008366</v>
      </c>
      <c r="BE603" s="7">
        <f t="shared" si="126"/>
        <v>-0.17999000000008364</v>
      </c>
      <c r="BF603" s="7">
        <f t="shared" si="127"/>
        <v>0.43037008972967949</v>
      </c>
      <c r="BG603" s="7">
        <f t="shared" si="128"/>
        <v>0.43037773466766527</v>
      </c>
      <c r="BH603" s="7" t="e">
        <f t="shared" si="129"/>
        <v>#N/A</v>
      </c>
      <c r="BI603" s="7" t="e">
        <f t="shared" si="133"/>
        <v>#N/A</v>
      </c>
      <c r="BJ603" s="7" t="e">
        <f t="shared" si="130"/>
        <v>#N/A</v>
      </c>
      <c r="BK603" s="7" t="e">
        <f t="shared" si="134"/>
        <v>#N/A</v>
      </c>
      <c r="BL603" s="7" t="e">
        <f t="shared" si="131"/>
        <v>#N/A</v>
      </c>
    </row>
    <row r="604" spans="52:64" ht="11.25" customHeight="1">
      <c r="AZ604" s="7">
        <f t="shared" si="122"/>
        <v>0.43250506832492874</v>
      </c>
      <c r="BA604" s="7">
        <f t="shared" si="132"/>
        <v>-0.17000000000008364</v>
      </c>
      <c r="BB604" s="7">
        <f t="shared" si="123"/>
        <v>0.39321901463049158</v>
      </c>
      <c r="BC604" s="7" t="e">
        <f t="shared" si="124"/>
        <v>#N/A</v>
      </c>
      <c r="BD604" s="7">
        <f t="shared" si="125"/>
        <v>-0.17001000000008365</v>
      </c>
      <c r="BE604" s="7">
        <f t="shared" si="126"/>
        <v>-0.16999000000008363</v>
      </c>
      <c r="BF604" s="7">
        <f t="shared" si="127"/>
        <v>0.43419625636358</v>
      </c>
      <c r="BG604" s="7">
        <f t="shared" si="128"/>
        <v>0.43420391598719205</v>
      </c>
      <c r="BH604" s="7" t="e">
        <f t="shared" si="129"/>
        <v>#N/A</v>
      </c>
      <c r="BI604" s="7" t="e">
        <f t="shared" si="133"/>
        <v>#N/A</v>
      </c>
      <c r="BJ604" s="7" t="e">
        <f t="shared" si="130"/>
        <v>#N/A</v>
      </c>
      <c r="BK604" s="7" t="e">
        <f t="shared" si="134"/>
        <v>#N/A</v>
      </c>
      <c r="BL604" s="7" t="e">
        <f t="shared" si="131"/>
        <v>#N/A</v>
      </c>
    </row>
    <row r="605" spans="52:64" ht="11.25" customHeight="1">
      <c r="AZ605" s="7">
        <f t="shared" si="122"/>
        <v>0.43644053710853425</v>
      </c>
      <c r="BA605" s="7">
        <f t="shared" si="132"/>
        <v>-0.16000000000008363</v>
      </c>
      <c r="BB605" s="7">
        <f t="shared" si="123"/>
        <v>0.3938683615685355</v>
      </c>
      <c r="BC605" s="7" t="e">
        <f t="shared" si="124"/>
        <v>#N/A</v>
      </c>
      <c r="BD605" s="7">
        <f t="shared" si="125"/>
        <v>-0.16001000000008364</v>
      </c>
      <c r="BE605" s="7">
        <f t="shared" si="126"/>
        <v>-0.15999000000008362</v>
      </c>
      <c r="BF605" s="7">
        <f t="shared" si="127"/>
        <v>0.43802956428398587</v>
      </c>
      <c r="BG605" s="7">
        <f t="shared" si="128"/>
        <v>0.43803723778458786</v>
      </c>
      <c r="BH605" s="7" t="e">
        <f t="shared" si="129"/>
        <v>#N/A</v>
      </c>
      <c r="BI605" s="7" t="e">
        <f t="shared" si="133"/>
        <v>#N/A</v>
      </c>
      <c r="BJ605" s="7" t="e">
        <f t="shared" si="130"/>
        <v>#N/A</v>
      </c>
      <c r="BK605" s="7" t="e">
        <f t="shared" si="134"/>
        <v>#N/A</v>
      </c>
      <c r="BL605" s="7" t="e">
        <f t="shared" si="131"/>
        <v>#N/A</v>
      </c>
    </row>
    <row r="606" spans="52:64" ht="11.25" customHeight="1">
      <c r="AZ606" s="7">
        <f t="shared" si="122"/>
        <v>0.44038230762972452</v>
      </c>
      <c r="BA606" s="7">
        <f t="shared" si="132"/>
        <v>-0.15000000000008362</v>
      </c>
      <c r="BB606" s="7">
        <f t="shared" si="123"/>
        <v>0.3944793309078839</v>
      </c>
      <c r="BC606" s="7" t="e">
        <f t="shared" si="124"/>
        <v>#N/A</v>
      </c>
      <c r="BD606" s="7">
        <f t="shared" si="125"/>
        <v>-0.15001000000008363</v>
      </c>
      <c r="BE606" s="7">
        <f t="shared" si="126"/>
        <v>-0.14999000000008361</v>
      </c>
      <c r="BF606" s="7">
        <f t="shared" si="127"/>
        <v>0.44186960783362816</v>
      </c>
      <c r="BG606" s="7">
        <f t="shared" si="128"/>
        <v>0.44187729439726575</v>
      </c>
      <c r="BH606" s="7" t="e">
        <f t="shared" si="129"/>
        <v>#N/A</v>
      </c>
      <c r="BI606" s="7" t="e">
        <f t="shared" si="133"/>
        <v>#N/A</v>
      </c>
      <c r="BJ606" s="7" t="e">
        <f t="shared" si="130"/>
        <v>#N/A</v>
      </c>
      <c r="BK606" s="7" t="e">
        <f t="shared" si="134"/>
        <v>#N/A</v>
      </c>
      <c r="BL606" s="7" t="e">
        <f t="shared" si="131"/>
        <v>#N/A</v>
      </c>
    </row>
    <row r="607" spans="52:64" ht="11.25" customHeight="1">
      <c r="AZ607" s="7">
        <f t="shared" si="122"/>
        <v>0.44432999519406058</v>
      </c>
      <c r="BA607" s="7">
        <f t="shared" si="132"/>
        <v>-0.14000000000008361</v>
      </c>
      <c r="BB607" s="7">
        <f t="shared" si="123"/>
        <v>0.39505174083460659</v>
      </c>
      <c r="BC607" s="7" t="e">
        <f t="shared" si="124"/>
        <v>#N/A</v>
      </c>
      <c r="BD607" s="7">
        <f t="shared" si="125"/>
        <v>-0.14001000000008362</v>
      </c>
      <c r="BE607" s="7">
        <f t="shared" si="126"/>
        <v>-0.1399900000000836</v>
      </c>
      <c r="BF607" s="7">
        <f t="shared" si="127"/>
        <v>0.44571597876874275</v>
      </c>
      <c r="BG607" s="7">
        <f t="shared" si="128"/>
        <v>0.44572367757643716</v>
      </c>
      <c r="BH607" s="7" t="e">
        <f t="shared" si="129"/>
        <v>#N/A</v>
      </c>
      <c r="BI607" s="7" t="e">
        <f t="shared" si="133"/>
        <v>#N/A</v>
      </c>
      <c r="BJ607" s="7" t="e">
        <f t="shared" si="130"/>
        <v>#N/A</v>
      </c>
      <c r="BK607" s="7" t="e">
        <f t="shared" si="134"/>
        <v>#N/A</v>
      </c>
      <c r="BL607" s="7" t="e">
        <f t="shared" si="131"/>
        <v>#N/A</v>
      </c>
    </row>
    <row r="608" spans="52:64" ht="11.25" customHeight="1">
      <c r="AZ608" s="7">
        <f t="shared" si="122"/>
        <v>0.44828321334540577</v>
      </c>
      <c r="BA608" s="7">
        <f t="shared" si="132"/>
        <v>-0.1300000000000836</v>
      </c>
      <c r="BB608" s="7">
        <f t="shared" si="123"/>
        <v>0.39558542083768305</v>
      </c>
      <c r="BC608" s="7" t="e">
        <f t="shared" si="124"/>
        <v>#N/A</v>
      </c>
      <c r="BD608" s="7">
        <f t="shared" si="125"/>
        <v>-0.13001000000008361</v>
      </c>
      <c r="BE608" s="7">
        <f t="shared" si="126"/>
        <v>-0.12999000000008359</v>
      </c>
      <c r="BF608" s="7">
        <f t="shared" si="127"/>
        <v>0.44956826641128705</v>
      </c>
      <c r="BG608" s="7">
        <f t="shared" si="128"/>
        <v>0.44957597663934346</v>
      </c>
      <c r="BH608" s="7" t="e">
        <f t="shared" si="129"/>
        <v>#N/A</v>
      </c>
      <c r="BI608" s="7" t="e">
        <f t="shared" si="133"/>
        <v>#N/A</v>
      </c>
      <c r="BJ608" s="7" t="e">
        <f t="shared" si="130"/>
        <v>#N/A</v>
      </c>
      <c r="BK608" s="7" t="e">
        <f t="shared" si="134"/>
        <v>#N/A</v>
      </c>
      <c r="BL608" s="7" t="e">
        <f t="shared" si="131"/>
        <v>#N/A</v>
      </c>
    </row>
    <row r="609" spans="52:64" ht="11.25" customHeight="1">
      <c r="AZ609" s="7">
        <f t="shared" si="122"/>
        <v>0.45224157397938303</v>
      </c>
      <c r="BA609" s="7">
        <f t="shared" si="132"/>
        <v>-0.12000000000008361</v>
      </c>
      <c r="BB609" s="7">
        <f t="shared" si="123"/>
        <v>0.39608021179365205</v>
      </c>
      <c r="BC609" s="7" t="e">
        <f t="shared" si="124"/>
        <v>#N/A</v>
      </c>
      <c r="BD609" s="7">
        <f t="shared" si="125"/>
        <v>-0.12001000000008361</v>
      </c>
      <c r="BE609" s="7">
        <f t="shared" si="126"/>
        <v>-0.11999000000008361</v>
      </c>
      <c r="BF609" s="7">
        <f t="shared" si="127"/>
        <v>0.45342605780295347</v>
      </c>
      <c r="BG609" s="7">
        <f t="shared" si="128"/>
        <v>0.45343377862327816</v>
      </c>
      <c r="BH609" s="7" t="e">
        <f t="shared" si="129"/>
        <v>#N/A</v>
      </c>
      <c r="BI609" s="7" t="e">
        <f t="shared" si="133"/>
        <v>#N/A</v>
      </c>
      <c r="BJ609" s="7" t="e">
        <f t="shared" si="130"/>
        <v>#N/A</v>
      </c>
      <c r="BK609" s="7" t="e">
        <f t="shared" si="134"/>
        <v>#N/A</v>
      </c>
      <c r="BL609" s="7" t="e">
        <f t="shared" si="131"/>
        <v>#N/A</v>
      </c>
    </row>
    <row r="610" spans="52:64" ht="11.25" customHeight="1">
      <c r="AZ610" s="7">
        <f t="shared" si="122"/>
        <v>0.45620468745765008</v>
      </c>
      <c r="BA610" s="7">
        <f t="shared" si="132"/>
        <v>-0.11000000000008361</v>
      </c>
      <c r="BB610" s="7">
        <f t="shared" si="123"/>
        <v>0.39653596604568209</v>
      </c>
      <c r="BC610" s="7" t="e">
        <f t="shared" si="124"/>
        <v>#N/A</v>
      </c>
      <c r="BD610" s="7">
        <f t="shared" si="125"/>
        <v>-0.11001000000008361</v>
      </c>
      <c r="BE610" s="7">
        <f t="shared" si="126"/>
        <v>-0.10999000000008362</v>
      </c>
      <c r="BF610" s="7">
        <f t="shared" si="127"/>
        <v>0.45728893786086533</v>
      </c>
      <c r="BG610" s="7">
        <f t="shared" si="128"/>
        <v>0.4572966684412697</v>
      </c>
      <c r="BH610" s="7" t="e">
        <f t="shared" si="129"/>
        <v>#N/A</v>
      </c>
      <c r="BI610" s="7" t="e">
        <f t="shared" si="133"/>
        <v>#N/A</v>
      </c>
      <c r="BJ610" s="7" t="e">
        <f t="shared" si="130"/>
        <v>#N/A</v>
      </c>
      <c r="BK610" s="7" t="e">
        <f t="shared" si="134"/>
        <v>#N/A</v>
      </c>
      <c r="BL610" s="7" t="e">
        <f t="shared" si="131"/>
        <v>#N/A</v>
      </c>
    </row>
    <row r="611" spans="52:64" ht="11.25" customHeight="1">
      <c r="AZ611" s="7">
        <f t="shared" si="122"/>
        <v>0.46017216272293782</v>
      </c>
      <c r="BA611" s="7">
        <f t="shared" si="132"/>
        <v>-0.10000000000008362</v>
      </c>
      <c r="BB611" s="7">
        <f t="shared" si="123"/>
        <v>0.39695254747700842</v>
      </c>
      <c r="BC611" s="7" t="e">
        <f t="shared" si="124"/>
        <v>#N/A</v>
      </c>
      <c r="BD611" s="7">
        <f t="shared" si="125"/>
        <v>-0.10001000000008362</v>
      </c>
      <c r="BE611" s="7">
        <f t="shared" si="126"/>
        <v>-9.9990000000083623E-2</v>
      </c>
      <c r="BF611" s="7">
        <f t="shared" si="127"/>
        <v>0.46115648953486066</v>
      </c>
      <c r="BG611" s="7">
        <f t="shared" si="128"/>
        <v>0.46116422903937482</v>
      </c>
      <c r="BH611" s="7" t="e">
        <f t="shared" si="129"/>
        <v>#N/A</v>
      </c>
      <c r="BI611" s="7" t="e">
        <f t="shared" si="133"/>
        <v>#N/A</v>
      </c>
      <c r="BJ611" s="7" t="e">
        <f t="shared" si="130"/>
        <v>#N/A</v>
      </c>
      <c r="BK611" s="7" t="e">
        <f t="shared" si="134"/>
        <v>#N/A</v>
      </c>
      <c r="BL611" s="7" t="e">
        <f t="shared" si="131"/>
        <v>#N/A</v>
      </c>
    </row>
    <row r="612" spans="52:64" ht="11.25" customHeight="1">
      <c r="AZ612" s="7">
        <f t="shared" si="122"/>
        <v>0.46414360741479466</v>
      </c>
      <c r="BA612" s="7">
        <f t="shared" si="132"/>
        <v>-9.0000000000083624E-2</v>
      </c>
      <c r="BB612" s="7">
        <f t="shared" si="123"/>
        <v>0.39732983157868529</v>
      </c>
      <c r="BC612" s="7" t="e">
        <f t="shared" si="124"/>
        <v>#N/A</v>
      </c>
      <c r="BD612" s="7">
        <f t="shared" si="125"/>
        <v>-9.001000000008362E-2</v>
      </c>
      <c r="BE612" s="7">
        <f t="shared" si="126"/>
        <v>-8.9990000000083628E-2</v>
      </c>
      <c r="BF612" s="7">
        <f t="shared" si="127"/>
        <v>0.46502829396619749</v>
      </c>
      <c r="BG612" s="7">
        <f t="shared" si="128"/>
        <v>0.46503604155540323</v>
      </c>
      <c r="BH612" s="7" t="e">
        <f t="shared" si="129"/>
        <v>#N/A</v>
      </c>
      <c r="BI612" s="7" t="e">
        <f t="shared" si="133"/>
        <v>#N/A</v>
      </c>
      <c r="BJ612" s="7" t="e">
        <f t="shared" si="130"/>
        <v>#N/A</v>
      </c>
      <c r="BK612" s="7" t="e">
        <f t="shared" si="134"/>
        <v>#N/A</v>
      </c>
      <c r="BL612" s="7" t="e">
        <f t="shared" si="131"/>
        <v>#N/A</v>
      </c>
    </row>
    <row r="613" spans="52:64" ht="11.25" customHeight="1">
      <c r="AZ613" s="7">
        <f t="shared" si="122"/>
        <v>0.46811862798597936</v>
      </c>
      <c r="BA613" s="7">
        <f t="shared" si="132"/>
        <v>-8.0000000000083629E-2</v>
      </c>
      <c r="BB613" s="7">
        <f t="shared" si="123"/>
        <v>0.39766770551160618</v>
      </c>
      <c r="BC613" s="7" t="e">
        <f t="shared" si="124"/>
        <v>#N/A</v>
      </c>
      <c r="BD613" s="7">
        <f t="shared" si="125"/>
        <v>-8.0010000000083625E-2</v>
      </c>
      <c r="BE613" s="7">
        <f t="shared" si="126"/>
        <v>-7.9990000000083633E-2</v>
      </c>
      <c r="BF613" s="7">
        <f t="shared" si="127"/>
        <v>0.46890393064766067</v>
      </c>
      <c r="BG613" s="7">
        <f t="shared" si="128"/>
        <v>0.46891168547899487</v>
      </c>
      <c r="BH613" s="7" t="e">
        <f t="shared" si="129"/>
        <v>#N/A</v>
      </c>
      <c r="BI613" s="7" t="e">
        <f t="shared" si="133"/>
        <v>#N/A</v>
      </c>
      <c r="BJ613" s="7" t="e">
        <f t="shared" si="130"/>
        <v>#N/A</v>
      </c>
      <c r="BK613" s="7" t="e">
        <f t="shared" si="134"/>
        <v>#N/A</v>
      </c>
      <c r="BL613" s="7" t="e">
        <f t="shared" si="131"/>
        <v>#N/A</v>
      </c>
    </row>
    <row r="614" spans="52:64" ht="11.25" customHeight="1">
      <c r="AZ614" s="7">
        <f t="shared" si="122"/>
        <v>0.47209682981944567</v>
      </c>
      <c r="BA614" s="7">
        <f t="shared" si="132"/>
        <v>-7.0000000000083634E-2</v>
      </c>
      <c r="BB614" s="7">
        <f t="shared" si="123"/>
        <v>0.39796606816274865</v>
      </c>
      <c r="BC614" s="7" t="e">
        <f t="shared" si="124"/>
        <v>#N/A</v>
      </c>
      <c r="BD614" s="7">
        <f t="shared" si="125"/>
        <v>-7.001000000008363E-2</v>
      </c>
      <c r="BE614" s="7">
        <f t="shared" si="126"/>
        <v>-6.9990000000083638E-2</v>
      </c>
      <c r="BF614" s="7">
        <f t="shared" si="127"/>
        <v>0.47278297758483062</v>
      </c>
      <c r="BG614" s="7">
        <f t="shared" si="128"/>
        <v>0.47279073881292827</v>
      </c>
      <c r="BH614" s="7" t="e">
        <f t="shared" si="129"/>
        <v>#N/A</v>
      </c>
      <c r="BI614" s="7" t="e">
        <f t="shared" si="133"/>
        <v>#N/A</v>
      </c>
      <c r="BJ614" s="7" t="e">
        <f t="shared" si="130"/>
        <v>#N/A</v>
      </c>
      <c r="BK614" s="7" t="e">
        <f t="shared" si="134"/>
        <v>#N/A</v>
      </c>
      <c r="BL614" s="7" t="e">
        <f t="shared" si="131"/>
        <v>#N/A</v>
      </c>
    </row>
    <row r="615" spans="52:64" ht="11.25" customHeight="1">
      <c r="AZ615" s="7">
        <f t="shared" si="122"/>
        <v>0.47607781734585986</v>
      </c>
      <c r="BA615" s="7">
        <f t="shared" si="132"/>
        <v>-6.0000000000083632E-2</v>
      </c>
      <c r="BB615" s="7">
        <f t="shared" si="123"/>
        <v>0.39822483019560484</v>
      </c>
      <c r="BC615" s="7" t="e">
        <f t="shared" si="124"/>
        <v>#N/A</v>
      </c>
      <c r="BD615" s="7">
        <f t="shared" si="125"/>
        <v>-6.0010000000083635E-2</v>
      </c>
      <c r="BE615" s="7">
        <f t="shared" si="126"/>
        <v>-5.9990000000083629E-2</v>
      </c>
      <c r="BF615" s="7">
        <f t="shared" si="127"/>
        <v>0.47666501145853812</v>
      </c>
      <c r="BG615" s="7">
        <f t="shared" si="128"/>
        <v>0.47667277823553256</v>
      </c>
      <c r="BH615" s="7" t="e">
        <f t="shared" si="129"/>
        <v>#N/A</v>
      </c>
      <c r="BI615" s="7" t="e">
        <f t="shared" si="133"/>
        <v>#N/A</v>
      </c>
      <c r="BJ615" s="7" t="e">
        <f t="shared" si="130"/>
        <v>#N/A</v>
      </c>
      <c r="BK615" s="7" t="e">
        <f t="shared" si="134"/>
        <v>#N/A</v>
      </c>
      <c r="BL615" s="7" t="e">
        <f t="shared" si="131"/>
        <v>#N/A</v>
      </c>
    </row>
    <row r="616" spans="52:64" ht="11.25" customHeight="1">
      <c r="AZ616" s="7">
        <f t="shared" si="122"/>
        <v>0.48006119416159421</v>
      </c>
      <c r="BA616" s="7">
        <f t="shared" si="132"/>
        <v>-5.000000000008363E-2</v>
      </c>
      <c r="BB616" s="7">
        <f t="shared" si="123"/>
        <v>0.39844391409476232</v>
      </c>
      <c r="BC616" s="7" t="e">
        <f t="shared" si="124"/>
        <v>#N/A</v>
      </c>
      <c r="BD616" s="7">
        <f t="shared" si="125"/>
        <v>-5.0010000000083633E-2</v>
      </c>
      <c r="BE616" s="7">
        <f t="shared" si="126"/>
        <v>-4.9990000000083627E-2</v>
      </c>
      <c r="BF616" s="7">
        <f t="shared" si="127"/>
        <v>0.48054960778820871</v>
      </c>
      <c r="BG616" s="7">
        <f t="shared" si="128"/>
        <v>0.48055737926408837</v>
      </c>
      <c r="BH616" s="7" t="e">
        <f t="shared" si="129"/>
        <v>#N/A</v>
      </c>
      <c r="BI616" s="7" t="e">
        <f t="shared" si="133"/>
        <v>#N/A</v>
      </c>
      <c r="BJ616" s="7" t="e">
        <f t="shared" si="130"/>
        <v>#N/A</v>
      </c>
      <c r="BK616" s="7" t="e">
        <f t="shared" si="134"/>
        <v>#N/A</v>
      </c>
      <c r="BL616" s="7" t="e">
        <f t="shared" si="131"/>
        <v>#N/A</v>
      </c>
    </row>
    <row r="617" spans="52:64" ht="11.25" customHeight="1">
      <c r="AZ617" s="7">
        <f t="shared" si="122"/>
        <v>0.4840465631471359</v>
      </c>
      <c r="BA617" s="7">
        <f t="shared" si="132"/>
        <v>-4.0000000000083628E-2</v>
      </c>
      <c r="BB617" s="7">
        <f t="shared" si="123"/>
        <v>0.39862325420460365</v>
      </c>
      <c r="BC617" s="7" t="e">
        <f t="shared" si="124"/>
        <v>#N/A</v>
      </c>
      <c r="BD617" s="7">
        <f t="shared" si="125"/>
        <v>-4.0010000000083631E-2</v>
      </c>
      <c r="BE617" s="7">
        <f t="shared" si="126"/>
        <v>-3.9990000000083625E-2</v>
      </c>
      <c r="BF617" s="7">
        <f t="shared" si="127"/>
        <v>0.48443634109617184</v>
      </c>
      <c r="BG617" s="7">
        <f t="shared" si="128"/>
        <v>0.48444411641910912</v>
      </c>
      <c r="BH617" s="7" t="e">
        <f t="shared" si="129"/>
        <v>#N/A</v>
      </c>
      <c r="BI617" s="7" t="e">
        <f t="shared" si="133"/>
        <v>#N/A</v>
      </c>
      <c r="BJ617" s="7" t="e">
        <f t="shared" si="130"/>
        <v>#N/A</v>
      </c>
      <c r="BK617" s="7" t="e">
        <f t="shared" si="134"/>
        <v>#N/A</v>
      </c>
      <c r="BL617" s="7" t="e">
        <f t="shared" si="131"/>
        <v>#N/A</v>
      </c>
    </row>
    <row r="618" spans="52:64" ht="11.25" customHeight="1">
      <c r="AZ618" s="7">
        <f t="shared" si="122"/>
        <v>0.48803352658585397</v>
      </c>
      <c r="BA618" s="7">
        <f t="shared" si="132"/>
        <v>-3.0000000000083626E-2</v>
      </c>
      <c r="BB618" s="7">
        <f t="shared" si="123"/>
        <v>0.39876279676209864</v>
      </c>
      <c r="BC618" s="7" t="e">
        <f t="shared" si="124"/>
        <v>#N/A</v>
      </c>
      <c r="BD618" s="7">
        <f t="shared" si="125"/>
        <v>-3.0010000000083626E-2</v>
      </c>
      <c r="BE618" s="7">
        <f t="shared" si="126"/>
        <v>-2.9990000000083627E-2</v>
      </c>
      <c r="BF618" s="7">
        <f t="shared" si="127"/>
        <v>0.48832478507268551</v>
      </c>
      <c r="BG618" s="7">
        <f t="shared" si="128"/>
        <v>0.48833256338931536</v>
      </c>
      <c r="BH618" s="7" t="e">
        <f t="shared" si="129"/>
        <v>#N/A</v>
      </c>
      <c r="BI618" s="7" t="e">
        <f t="shared" si="133"/>
        <v>#N/A</v>
      </c>
      <c r="BJ618" s="7" t="e">
        <f t="shared" si="130"/>
        <v>#N/A</v>
      </c>
      <c r="BK618" s="7" t="e">
        <f t="shared" si="134"/>
        <v>#N/A</v>
      </c>
      <c r="BL618" s="7" t="e">
        <f t="shared" si="131"/>
        <v>#N/A</v>
      </c>
    </row>
    <row r="619" spans="52:64" ht="11.25" customHeight="1">
      <c r="AZ619" s="7">
        <f t="shared" si="122"/>
        <v>0.49202168628306464</v>
      </c>
      <c r="BA619" s="7">
        <f t="shared" si="132"/>
        <v>-2.0000000000083624E-2</v>
      </c>
      <c r="BB619" s="7">
        <f t="shared" si="123"/>
        <v>0.3988624999236654</v>
      </c>
      <c r="BC619" s="7" t="e">
        <f t="shared" si="124"/>
        <v>#N/A</v>
      </c>
      <c r="BD619" s="7">
        <f t="shared" si="125"/>
        <v>-2.0010000000083624E-2</v>
      </c>
      <c r="BE619" s="7">
        <f t="shared" si="126"/>
        <v>-1.9990000000083625E-2</v>
      </c>
      <c r="BF619" s="7">
        <f t="shared" si="127"/>
        <v>0.49221451274150807</v>
      </c>
      <c r="BG619" s="7">
        <f t="shared" si="128"/>
        <v>0.49222229319733507</v>
      </c>
      <c r="BH619" s="7" t="e">
        <f t="shared" si="129"/>
        <v>#N/A</v>
      </c>
      <c r="BI619" s="7" t="e">
        <f t="shared" si="133"/>
        <v>#N/A</v>
      </c>
      <c r="BJ619" s="7" t="e">
        <f t="shared" si="130"/>
        <v>#N/A</v>
      </c>
      <c r="BK619" s="7" t="e">
        <f t="shared" si="134"/>
        <v>#N/A</v>
      </c>
      <c r="BL619" s="7" t="e">
        <f t="shared" si="131"/>
        <v>#N/A</v>
      </c>
    </row>
    <row r="620" spans="52:64" ht="11.25" customHeight="1">
      <c r="AZ620" s="7">
        <f t="shared" si="122"/>
        <v>0.49601064368533498</v>
      </c>
      <c r="BA620" s="7">
        <f t="shared" si="132"/>
        <v>-1.0000000000083624E-2</v>
      </c>
      <c r="BB620" s="7">
        <f t="shared" si="123"/>
        <v>0.39892233378608177</v>
      </c>
      <c r="BC620" s="7" t="e">
        <f t="shared" si="124"/>
        <v>#N/A</v>
      </c>
      <c r="BD620" s="7">
        <f t="shared" si="125"/>
        <v>-1.0010000000083624E-2</v>
      </c>
      <c r="BE620" s="7">
        <f t="shared" si="126"/>
        <v>-9.9900000000836247E-3</v>
      </c>
      <c r="BF620" s="7">
        <f t="shared" si="127"/>
        <v>0.4961050966261098</v>
      </c>
      <c r="BG620" s="7">
        <f t="shared" si="128"/>
        <v>0.49611287836579315</v>
      </c>
      <c r="BH620" s="7" t="e">
        <f t="shared" si="129"/>
        <v>#N/A</v>
      </c>
      <c r="BI620" s="7" t="e">
        <f t="shared" si="133"/>
        <v>#N/A</v>
      </c>
      <c r="BJ620" s="7" t="e">
        <f t="shared" si="130"/>
        <v>#N/A</v>
      </c>
      <c r="BK620" s="7" t="e">
        <f t="shared" si="134"/>
        <v>#N/A</v>
      </c>
      <c r="BL620" s="7" t="e">
        <f t="shared" si="131"/>
        <v>#N/A</v>
      </c>
    </row>
    <row r="621" spans="52:64" ht="11.25" customHeight="1">
      <c r="AZ621" s="7">
        <f t="shared" si="122"/>
        <v>0.49999999999996669</v>
      </c>
      <c r="BA621" s="7">
        <f t="shared" si="132"/>
        <v>-8.3624079882937963E-14</v>
      </c>
      <c r="BB621" s="7">
        <f t="shared" si="123"/>
        <v>0.39894228040143265</v>
      </c>
      <c r="BC621" s="7" t="e">
        <f t="shared" si="124"/>
        <v>#N/A</v>
      </c>
      <c r="BD621" s="7">
        <f t="shared" si="125"/>
        <v>-1.0000000083624081E-5</v>
      </c>
      <c r="BE621" s="7">
        <f t="shared" si="126"/>
        <v>9.9999999163759209E-6</v>
      </c>
      <c r="BF621" s="7">
        <f t="shared" si="127"/>
        <v>0.49999610891599972</v>
      </c>
      <c r="BG621" s="7">
        <f t="shared" si="128"/>
        <v>0.50000389108400034</v>
      </c>
      <c r="BH621" s="7" t="e">
        <f t="shared" si="129"/>
        <v>#N/A</v>
      </c>
      <c r="BI621" s="7" t="e">
        <f t="shared" si="133"/>
        <v>#N/A</v>
      </c>
      <c r="BJ621" s="7" t="e">
        <f t="shared" si="130"/>
        <v>#N/A</v>
      </c>
      <c r="BK621" s="7" t="e">
        <f t="shared" si="134"/>
        <v>#N/A</v>
      </c>
      <c r="BL621" s="7" t="e">
        <f t="shared" si="131"/>
        <v>#N/A</v>
      </c>
    </row>
    <row r="622" spans="52:64" ht="11.25" customHeight="1">
      <c r="AZ622" s="7">
        <f t="shared" si="122"/>
        <v>0.50398935631459829</v>
      </c>
      <c r="BA622" s="7">
        <f t="shared" si="132"/>
        <v>9.9999999999163761E-3</v>
      </c>
      <c r="BB622" s="7">
        <f t="shared" si="123"/>
        <v>0.39892233378608244</v>
      </c>
      <c r="BC622" s="7" t="e">
        <f t="shared" si="124"/>
        <v>#N/A</v>
      </c>
      <c r="BD622" s="7">
        <f t="shared" si="125"/>
        <v>9.9899999999163765E-3</v>
      </c>
      <c r="BE622" s="7">
        <f t="shared" si="126"/>
        <v>1.0009999999916376E-2</v>
      </c>
      <c r="BF622" s="7">
        <f t="shared" si="127"/>
        <v>0.5038871216341636</v>
      </c>
      <c r="BG622" s="7">
        <f t="shared" si="128"/>
        <v>0.50389490337382548</v>
      </c>
      <c r="BH622" s="7" t="e">
        <f t="shared" si="129"/>
        <v>#N/A</v>
      </c>
      <c r="BI622" s="7" t="e">
        <f t="shared" si="133"/>
        <v>#N/A</v>
      </c>
      <c r="BJ622" s="7" t="e">
        <f t="shared" si="130"/>
        <v>#N/A</v>
      </c>
      <c r="BK622" s="7" t="e">
        <f t="shared" si="134"/>
        <v>#N/A</v>
      </c>
      <c r="BL622" s="7" t="e">
        <f t="shared" si="131"/>
        <v>#N/A</v>
      </c>
    </row>
    <row r="623" spans="52:64" ht="11.25" customHeight="1">
      <c r="AZ623" s="7">
        <f t="shared" si="122"/>
        <v>0.50797831371686863</v>
      </c>
      <c r="BA623" s="7">
        <f t="shared" si="132"/>
        <v>1.9999999999916376E-2</v>
      </c>
      <c r="BB623" s="7">
        <f t="shared" si="123"/>
        <v>0.39886249992366674</v>
      </c>
      <c r="BC623" s="7" t="e">
        <f t="shared" si="124"/>
        <v>#N/A</v>
      </c>
      <c r="BD623" s="7">
        <f t="shared" si="125"/>
        <v>1.9989999999916377E-2</v>
      </c>
      <c r="BE623" s="7">
        <f t="shared" si="126"/>
        <v>2.0009999999916376E-2</v>
      </c>
      <c r="BF623" s="7">
        <f t="shared" si="127"/>
        <v>0.50777770680258927</v>
      </c>
      <c r="BG623" s="7">
        <f t="shared" si="128"/>
        <v>0.50778548725841643</v>
      </c>
      <c r="BH623" s="7" t="e">
        <f t="shared" si="129"/>
        <v>#N/A</v>
      </c>
      <c r="BI623" s="7" t="e">
        <f t="shared" si="133"/>
        <v>#N/A</v>
      </c>
      <c r="BJ623" s="7" t="e">
        <f t="shared" si="130"/>
        <v>#N/A</v>
      </c>
      <c r="BK623" s="7" t="e">
        <f t="shared" si="134"/>
        <v>#N/A</v>
      </c>
      <c r="BL623" s="7" t="e">
        <f t="shared" si="131"/>
        <v>#N/A</v>
      </c>
    </row>
    <row r="624" spans="52:64" ht="11.25" customHeight="1">
      <c r="AZ624" s="7">
        <f t="shared" si="122"/>
        <v>0.5119664734140793</v>
      </c>
      <c r="BA624" s="7">
        <f t="shared" si="132"/>
        <v>2.9999999999916378E-2</v>
      </c>
      <c r="BB624" s="7">
        <f t="shared" si="123"/>
        <v>0.39876279676210064</v>
      </c>
      <c r="BC624" s="7" t="e">
        <f t="shared" si="124"/>
        <v>#N/A</v>
      </c>
      <c r="BD624" s="7">
        <f t="shared" si="125"/>
        <v>2.9989999999916379E-2</v>
      </c>
      <c r="BE624" s="7">
        <f t="shared" si="126"/>
        <v>3.0009999999916378E-2</v>
      </c>
      <c r="BF624" s="7">
        <f t="shared" si="127"/>
        <v>0.51166743661061265</v>
      </c>
      <c r="BG624" s="7">
        <f t="shared" si="128"/>
        <v>0.51167521492724255</v>
      </c>
      <c r="BH624" s="7" t="e">
        <f t="shared" si="129"/>
        <v>#N/A</v>
      </c>
      <c r="BI624" s="7" t="e">
        <f t="shared" si="133"/>
        <v>#N/A</v>
      </c>
      <c r="BJ624" s="7" t="e">
        <f t="shared" si="130"/>
        <v>#N/A</v>
      </c>
      <c r="BK624" s="7" t="e">
        <f t="shared" si="134"/>
        <v>#N/A</v>
      </c>
      <c r="BL624" s="7" t="e">
        <f t="shared" si="131"/>
        <v>#N/A</v>
      </c>
    </row>
    <row r="625" spans="52:64" ht="11.25" customHeight="1">
      <c r="AZ625" s="7">
        <f t="shared" si="122"/>
        <v>0.51595343685279738</v>
      </c>
      <c r="BA625" s="7">
        <f t="shared" si="132"/>
        <v>3.999999999991638E-2</v>
      </c>
      <c r="BB625" s="7">
        <f t="shared" si="123"/>
        <v>0.39862325420460631</v>
      </c>
      <c r="BC625" s="7" t="e">
        <f t="shared" si="124"/>
        <v>#N/A</v>
      </c>
      <c r="BD625" s="7">
        <f t="shared" si="125"/>
        <v>3.9989999999916377E-2</v>
      </c>
      <c r="BE625" s="7">
        <f t="shared" si="126"/>
        <v>4.0009999999916383E-2</v>
      </c>
      <c r="BF625" s="7">
        <f t="shared" si="127"/>
        <v>0.51555588358083149</v>
      </c>
      <c r="BG625" s="7">
        <f t="shared" si="128"/>
        <v>0.51556365890375799</v>
      </c>
      <c r="BH625" s="7" t="e">
        <f t="shared" si="129"/>
        <v>#N/A</v>
      </c>
      <c r="BI625" s="7" t="e">
        <f t="shared" si="133"/>
        <v>#N/A</v>
      </c>
      <c r="BJ625" s="7" t="e">
        <f t="shared" si="130"/>
        <v>#N/A</v>
      </c>
      <c r="BK625" s="7" t="e">
        <f t="shared" si="134"/>
        <v>#N/A</v>
      </c>
      <c r="BL625" s="7" t="e">
        <f t="shared" si="131"/>
        <v>#N/A</v>
      </c>
    </row>
    <row r="626" spans="52:64" ht="11.25" customHeight="1">
      <c r="AZ626" s="7">
        <f t="shared" si="122"/>
        <v>0.51993880583833918</v>
      </c>
      <c r="BA626" s="7">
        <f t="shared" si="132"/>
        <v>4.9999999999916382E-2</v>
      </c>
      <c r="BB626" s="7">
        <f t="shared" si="123"/>
        <v>0.39844391409476565</v>
      </c>
      <c r="BC626" s="7" t="e">
        <f t="shared" si="124"/>
        <v>#N/A</v>
      </c>
      <c r="BD626" s="7">
        <f t="shared" si="125"/>
        <v>4.9989999999916379E-2</v>
      </c>
      <c r="BE626" s="7">
        <f t="shared" si="126"/>
        <v>5.0009999999916385E-2</v>
      </c>
      <c r="BF626" s="7">
        <f t="shared" si="127"/>
        <v>0.51944262073584258</v>
      </c>
      <c r="BG626" s="7">
        <f t="shared" si="128"/>
        <v>0.51945039221173084</v>
      </c>
      <c r="BH626" s="7" t="e">
        <f t="shared" si="129"/>
        <v>#N/A</v>
      </c>
      <c r="BI626" s="7" t="e">
        <f t="shared" si="133"/>
        <v>#N/A</v>
      </c>
      <c r="BJ626" s="7" t="e">
        <f t="shared" si="130"/>
        <v>#N/A</v>
      </c>
      <c r="BK626" s="7" t="e">
        <f t="shared" si="134"/>
        <v>#N/A</v>
      </c>
      <c r="BL626" s="7" t="e">
        <f t="shared" si="131"/>
        <v>#N/A</v>
      </c>
    </row>
    <row r="627" spans="52:64" ht="11.25" customHeight="1">
      <c r="AZ627" s="7">
        <f t="shared" si="122"/>
        <v>0.52392218265407353</v>
      </c>
      <c r="BA627" s="7">
        <f t="shared" si="132"/>
        <v>5.9999999999916384E-2</v>
      </c>
      <c r="BB627" s="7">
        <f t="shared" si="123"/>
        <v>0.39822483019560889</v>
      </c>
      <c r="BC627" s="7" t="e">
        <f t="shared" si="124"/>
        <v>#N/A</v>
      </c>
      <c r="BD627" s="7">
        <f t="shared" si="125"/>
        <v>5.9989999999916381E-2</v>
      </c>
      <c r="BE627" s="7">
        <f t="shared" si="126"/>
        <v>6.0009999999916387E-2</v>
      </c>
      <c r="BF627" s="7">
        <f t="shared" si="127"/>
        <v>0.52332722176440272</v>
      </c>
      <c r="BG627" s="7">
        <f t="shared" si="128"/>
        <v>0.5233349885414007</v>
      </c>
      <c r="BH627" s="7" t="e">
        <f t="shared" si="129"/>
        <v>#N/A</v>
      </c>
      <c r="BI627" s="7" t="e">
        <f t="shared" si="133"/>
        <v>#N/A</v>
      </c>
      <c r="BJ627" s="7" t="e">
        <f t="shared" si="130"/>
        <v>#N/A</v>
      </c>
      <c r="BK627" s="7" t="e">
        <f t="shared" si="134"/>
        <v>#N/A</v>
      </c>
      <c r="BL627" s="7" t="e">
        <f t="shared" si="131"/>
        <v>#N/A</v>
      </c>
    </row>
    <row r="628" spans="52:64" ht="11.25" customHeight="1">
      <c r="AZ628" s="7">
        <f t="shared" si="122"/>
        <v>0.52790317018048782</v>
      </c>
      <c r="BA628" s="7">
        <f t="shared" si="132"/>
        <v>6.9999999999916379E-2</v>
      </c>
      <c r="BB628" s="7">
        <f t="shared" si="123"/>
        <v>0.39796606816275332</v>
      </c>
      <c r="BC628" s="7" t="e">
        <f t="shared" si="124"/>
        <v>#N/A</v>
      </c>
      <c r="BD628" s="7">
        <f t="shared" si="125"/>
        <v>6.9989999999916383E-2</v>
      </c>
      <c r="BE628" s="7">
        <f t="shared" si="126"/>
        <v>7.0009999999916375E-2</v>
      </c>
      <c r="BF628" s="7">
        <f t="shared" si="127"/>
        <v>0.52720926118700706</v>
      </c>
      <c r="BG628" s="7">
        <f t="shared" si="128"/>
        <v>0.52721702241510471</v>
      </c>
      <c r="BH628" s="7" t="e">
        <f t="shared" si="129"/>
        <v>#N/A</v>
      </c>
      <c r="BI628" s="7" t="e">
        <f t="shared" si="133"/>
        <v>#N/A</v>
      </c>
      <c r="BJ628" s="7" t="e">
        <f t="shared" si="130"/>
        <v>#N/A</v>
      </c>
      <c r="BK628" s="7" t="e">
        <f t="shared" si="134"/>
        <v>#N/A</v>
      </c>
      <c r="BL628" s="7" t="e">
        <f t="shared" si="131"/>
        <v>#N/A</v>
      </c>
    </row>
    <row r="629" spans="52:64" ht="11.25" customHeight="1">
      <c r="AZ629" s="7">
        <f t="shared" si="122"/>
        <v>0.53188137201395413</v>
      </c>
      <c r="BA629" s="7">
        <f t="shared" si="132"/>
        <v>7.9999999999916374E-2</v>
      </c>
      <c r="BB629" s="7">
        <f t="shared" si="123"/>
        <v>0.39766770551161151</v>
      </c>
      <c r="BC629" s="7" t="e">
        <f t="shared" si="124"/>
        <v>#N/A</v>
      </c>
      <c r="BD629" s="7">
        <f t="shared" si="125"/>
        <v>7.9989999999916378E-2</v>
      </c>
      <c r="BE629" s="7">
        <f t="shared" si="126"/>
        <v>8.000999999991637E-2</v>
      </c>
      <c r="BF629" s="7">
        <f t="shared" si="127"/>
        <v>0.53108831452094041</v>
      </c>
      <c r="BG629" s="7">
        <f t="shared" si="128"/>
        <v>0.5310960693522746</v>
      </c>
      <c r="BH629" s="7" t="e">
        <f t="shared" si="129"/>
        <v>#N/A</v>
      </c>
      <c r="BI629" s="7" t="e">
        <f t="shared" si="133"/>
        <v>#N/A</v>
      </c>
      <c r="BJ629" s="7" t="e">
        <f t="shared" si="130"/>
        <v>#N/A</v>
      </c>
      <c r="BK629" s="7" t="e">
        <f t="shared" si="134"/>
        <v>#N/A</v>
      </c>
      <c r="BL629" s="7" t="e">
        <f t="shared" si="131"/>
        <v>#N/A</v>
      </c>
    </row>
    <row r="630" spans="52:64" ht="11.25" customHeight="1">
      <c r="AZ630" s="7">
        <f t="shared" si="122"/>
        <v>0.53585639258513884</v>
      </c>
      <c r="BA630" s="7">
        <f t="shared" si="132"/>
        <v>8.9999999999916369E-2</v>
      </c>
      <c r="BB630" s="7">
        <f t="shared" si="123"/>
        <v>0.39732983157869128</v>
      </c>
      <c r="BC630" s="7" t="e">
        <f t="shared" si="124"/>
        <v>#N/A</v>
      </c>
      <c r="BD630" s="7">
        <f t="shared" si="125"/>
        <v>8.9989999999916373E-2</v>
      </c>
      <c r="BE630" s="7">
        <f t="shared" si="126"/>
        <v>9.0009999999916365E-2</v>
      </c>
      <c r="BF630" s="7">
        <f t="shared" si="127"/>
        <v>0.53496395844453204</v>
      </c>
      <c r="BG630" s="7">
        <f t="shared" si="128"/>
        <v>0.53497170603373556</v>
      </c>
      <c r="BH630" s="7" t="e">
        <f t="shared" si="129"/>
        <v>#N/A</v>
      </c>
      <c r="BI630" s="7" t="e">
        <f t="shared" si="133"/>
        <v>#N/A</v>
      </c>
      <c r="BJ630" s="7" t="e">
        <f t="shared" si="130"/>
        <v>#N/A</v>
      </c>
      <c r="BK630" s="7" t="e">
        <f t="shared" si="134"/>
        <v>#N/A</v>
      </c>
      <c r="BL630" s="7" t="e">
        <f t="shared" si="131"/>
        <v>#N/A</v>
      </c>
    </row>
    <row r="631" spans="52:64" ht="11.25" customHeight="1">
      <c r="AZ631" s="7">
        <f t="shared" si="122"/>
        <v>0.53982783727699579</v>
      </c>
      <c r="BA631" s="7">
        <f t="shared" si="132"/>
        <v>9.9999999999916364E-2</v>
      </c>
      <c r="BB631" s="7">
        <f t="shared" si="123"/>
        <v>0.39695254747701508</v>
      </c>
      <c r="BC631" s="7" t="e">
        <f t="shared" si="124"/>
        <v>#N/A</v>
      </c>
      <c r="BD631" s="7">
        <f t="shared" si="125"/>
        <v>9.9989999999916368E-2</v>
      </c>
      <c r="BE631" s="7">
        <f t="shared" si="126"/>
        <v>0.10000999999991636</v>
      </c>
      <c r="BF631" s="7">
        <f t="shared" si="127"/>
        <v>0.53883577096056068</v>
      </c>
      <c r="BG631" s="7">
        <f t="shared" si="128"/>
        <v>0.53884351046507695</v>
      </c>
      <c r="BH631" s="7" t="e">
        <f t="shared" si="129"/>
        <v>#N/A</v>
      </c>
      <c r="BI631" s="7" t="e">
        <f t="shared" si="133"/>
        <v>#N/A</v>
      </c>
      <c r="BJ631" s="7" t="e">
        <f t="shared" si="130"/>
        <v>#N/A</v>
      </c>
      <c r="BK631" s="7" t="e">
        <f t="shared" si="134"/>
        <v>#N/A</v>
      </c>
      <c r="BL631" s="7" t="e">
        <f t="shared" si="131"/>
        <v>#N/A</v>
      </c>
    </row>
    <row r="632" spans="52:64" ht="11.25" customHeight="1">
      <c r="AZ632" s="7">
        <f t="shared" si="122"/>
        <v>0.54379531254228364</v>
      </c>
      <c r="BA632" s="7">
        <f t="shared" si="132"/>
        <v>0.10999999999991636</v>
      </c>
      <c r="BB632" s="7">
        <f t="shared" si="123"/>
        <v>0.39653596604568941</v>
      </c>
      <c r="BC632" s="7" t="e">
        <f t="shared" si="124"/>
        <v>#N/A</v>
      </c>
      <c r="BD632" s="7">
        <f t="shared" si="125"/>
        <v>0.10998999999991636</v>
      </c>
      <c r="BE632" s="7">
        <f t="shared" si="126"/>
        <v>0.11000999999991636</v>
      </c>
      <c r="BF632" s="7">
        <f t="shared" si="127"/>
        <v>0.54270333155866579</v>
      </c>
      <c r="BG632" s="7">
        <f t="shared" si="128"/>
        <v>0.54271106213907017</v>
      </c>
      <c r="BH632" s="7" t="e">
        <f t="shared" si="129"/>
        <v>#N/A</v>
      </c>
      <c r="BI632" s="7" t="e">
        <f t="shared" si="133"/>
        <v>#N/A</v>
      </c>
      <c r="BJ632" s="7" t="e">
        <f t="shared" si="130"/>
        <v>#N/A</v>
      </c>
      <c r="BK632" s="7" t="e">
        <f t="shared" si="134"/>
        <v>#N/A</v>
      </c>
      <c r="BL632" s="7" t="e">
        <f t="shared" si="131"/>
        <v>#N/A</v>
      </c>
    </row>
    <row r="633" spans="52:64" ht="11.25" customHeight="1">
      <c r="AZ633" s="7">
        <f t="shared" si="122"/>
        <v>0.54775842602055069</v>
      </c>
      <c r="BA633" s="7">
        <f t="shared" si="132"/>
        <v>0.11999999999991635</v>
      </c>
      <c r="BB633" s="7">
        <f t="shared" si="123"/>
        <v>0.39608021179365999</v>
      </c>
      <c r="BC633" s="7" t="e">
        <f t="shared" si="124"/>
        <v>#N/A</v>
      </c>
      <c r="BD633" s="7">
        <f t="shared" si="125"/>
        <v>0.11998999999991636</v>
      </c>
      <c r="BE633" s="7">
        <f t="shared" si="126"/>
        <v>0.12000999999991635</v>
      </c>
      <c r="BF633" s="7">
        <f t="shared" si="127"/>
        <v>0.54656622137665734</v>
      </c>
      <c r="BG633" s="7">
        <f t="shared" si="128"/>
        <v>0.54657394219698385</v>
      </c>
      <c r="BH633" s="7" t="e">
        <f t="shared" si="129"/>
        <v>#N/A</v>
      </c>
      <c r="BI633" s="7" t="e">
        <f t="shared" si="133"/>
        <v>#N/A</v>
      </c>
      <c r="BJ633" s="7" t="e">
        <f t="shared" si="130"/>
        <v>#N/A</v>
      </c>
      <c r="BK633" s="7" t="e">
        <f t="shared" si="134"/>
        <v>#N/A</v>
      </c>
      <c r="BL633" s="7" t="e">
        <f t="shared" si="131"/>
        <v>#N/A</v>
      </c>
    </row>
    <row r="634" spans="52:64" ht="11.25" customHeight="1">
      <c r="AZ634" s="7">
        <f t="shared" si="122"/>
        <v>0.55171678665452806</v>
      </c>
      <c r="BA634" s="7">
        <f t="shared" si="132"/>
        <v>0.12999999999991635</v>
      </c>
      <c r="BB634" s="7">
        <f t="shared" si="123"/>
        <v>0.39558542083769166</v>
      </c>
      <c r="BC634" s="7" t="e">
        <f t="shared" si="124"/>
        <v>#N/A</v>
      </c>
      <c r="BD634" s="7">
        <f t="shared" si="125"/>
        <v>0.12998999999991634</v>
      </c>
      <c r="BE634" s="7">
        <f t="shared" si="126"/>
        <v>0.13000999999991636</v>
      </c>
      <c r="BF634" s="7">
        <f t="shared" si="127"/>
        <v>0.55042402336059049</v>
      </c>
      <c r="BG634" s="7">
        <f t="shared" si="128"/>
        <v>0.55043173358865016</v>
      </c>
      <c r="BH634" s="7" t="e">
        <f t="shared" si="129"/>
        <v>#N/A</v>
      </c>
      <c r="BI634" s="7" t="e">
        <f t="shared" si="133"/>
        <v>#N/A</v>
      </c>
      <c r="BJ634" s="7" t="e">
        <f t="shared" si="130"/>
        <v>#N/A</v>
      </c>
      <c r="BK634" s="7" t="e">
        <f t="shared" si="134"/>
        <v>#N/A</v>
      </c>
      <c r="BL634" s="7" t="e">
        <f t="shared" si="131"/>
        <v>#N/A</v>
      </c>
    </row>
    <row r="635" spans="52:64" ht="11.25" customHeight="1">
      <c r="AZ635" s="7">
        <f t="shared" si="122"/>
        <v>0.55567000480587336</v>
      </c>
      <c r="BA635" s="7">
        <f t="shared" si="132"/>
        <v>0.13999999999991636</v>
      </c>
      <c r="BB635" s="7">
        <f t="shared" si="123"/>
        <v>0.39505174083461586</v>
      </c>
      <c r="BC635" s="7" t="e">
        <f t="shared" si="124"/>
        <v>#N/A</v>
      </c>
      <c r="BD635" s="7">
        <f t="shared" si="125"/>
        <v>0.13998999999991635</v>
      </c>
      <c r="BE635" s="7">
        <f t="shared" si="126"/>
        <v>0.14000999999991637</v>
      </c>
      <c r="BF635" s="7">
        <f t="shared" si="127"/>
        <v>0.55427632242349989</v>
      </c>
      <c r="BG635" s="7">
        <f t="shared" si="128"/>
        <v>0.55428402123119291</v>
      </c>
      <c r="BH635" s="7" t="e">
        <f t="shared" si="129"/>
        <v>#N/A</v>
      </c>
      <c r="BI635" s="7" t="e">
        <f t="shared" si="133"/>
        <v>#N/A</v>
      </c>
      <c r="BJ635" s="7" t="e">
        <f t="shared" si="130"/>
        <v>#N/A</v>
      </c>
      <c r="BK635" s="7" t="e">
        <f t="shared" si="134"/>
        <v>#N/A</v>
      </c>
      <c r="BL635" s="7" t="e">
        <f t="shared" si="131"/>
        <v>#N/A</v>
      </c>
    </row>
    <row r="636" spans="52:64" ht="11.25" customHeight="1">
      <c r="AZ636" s="7">
        <f t="shared" si="122"/>
        <v>0.55961769237020953</v>
      </c>
      <c r="BA636" s="7">
        <f t="shared" si="132"/>
        <v>0.14999999999991637</v>
      </c>
      <c r="BB636" s="7">
        <f t="shared" si="123"/>
        <v>0.39447933090789378</v>
      </c>
      <c r="BC636" s="7" t="e">
        <f t="shared" si="124"/>
        <v>#N/A</v>
      </c>
      <c r="BD636" s="7">
        <f t="shared" si="125"/>
        <v>0.14998999999991636</v>
      </c>
      <c r="BE636" s="7">
        <f t="shared" si="126"/>
        <v>0.15000999999991638</v>
      </c>
      <c r="BF636" s="7">
        <f t="shared" si="127"/>
        <v>0.55812270560266997</v>
      </c>
      <c r="BG636" s="7">
        <f t="shared" si="128"/>
        <v>0.55813039216630755</v>
      </c>
      <c r="BH636" s="7" t="e">
        <f t="shared" si="129"/>
        <v>#N/A</v>
      </c>
      <c r="BI636" s="7" t="e">
        <f t="shared" si="133"/>
        <v>#N/A</v>
      </c>
      <c r="BJ636" s="7" t="e">
        <f t="shared" si="130"/>
        <v>#N/A</v>
      </c>
      <c r="BK636" s="7" t="e">
        <f t="shared" si="134"/>
        <v>#N/A</v>
      </c>
      <c r="BL636" s="7" t="e">
        <f t="shared" si="131"/>
        <v>#N/A</v>
      </c>
    </row>
    <row r="637" spans="52:64" ht="11.25" customHeight="1">
      <c r="AZ637" s="7">
        <f t="shared" si="122"/>
        <v>0.56355946289139991</v>
      </c>
      <c r="BA637" s="7">
        <f t="shared" si="132"/>
        <v>0.15999999999991638</v>
      </c>
      <c r="BB637" s="7">
        <f t="shared" si="123"/>
        <v>0.39386836156854604</v>
      </c>
      <c r="BC637" s="7" t="e">
        <f t="shared" si="124"/>
        <v>#N/A</v>
      </c>
      <c r="BD637" s="7">
        <f t="shared" si="125"/>
        <v>0.15998999999991637</v>
      </c>
      <c r="BE637" s="7">
        <f t="shared" si="126"/>
        <v>0.16000999999991639</v>
      </c>
      <c r="BF637" s="7">
        <f t="shared" si="127"/>
        <v>0.56196276221534791</v>
      </c>
      <c r="BG637" s="7">
        <f t="shared" si="128"/>
        <v>0.56197043571594729</v>
      </c>
      <c r="BH637" s="7" t="e">
        <f t="shared" si="129"/>
        <v>#N/A</v>
      </c>
      <c r="BI637" s="7" t="e">
        <f t="shared" si="133"/>
        <v>#N/A</v>
      </c>
      <c r="BJ637" s="7" t="e">
        <f t="shared" si="130"/>
        <v>#N/A</v>
      </c>
      <c r="BK637" s="7" t="e">
        <f t="shared" si="134"/>
        <v>#N/A</v>
      </c>
      <c r="BL637" s="7" t="e">
        <f t="shared" si="131"/>
        <v>#N/A</v>
      </c>
    </row>
    <row r="638" spans="52:64" ht="11.25" customHeight="1">
      <c r="AZ638" s="7">
        <f t="shared" si="122"/>
        <v>0.56749493167500553</v>
      </c>
      <c r="BA638" s="7">
        <f t="shared" si="132"/>
        <v>0.16999999999991638</v>
      </c>
      <c r="BB638" s="7">
        <f t="shared" si="123"/>
        <v>0.39321901463050274</v>
      </c>
      <c r="BC638" s="7" t="e">
        <f t="shared" si="124"/>
        <v>#N/A</v>
      </c>
      <c r="BD638" s="7">
        <f t="shared" si="125"/>
        <v>0.16998999999991637</v>
      </c>
      <c r="BE638" s="7">
        <f t="shared" si="126"/>
        <v>0.17000999999991639</v>
      </c>
      <c r="BF638" s="7">
        <f t="shared" si="127"/>
        <v>0.56579608401274506</v>
      </c>
      <c r="BG638" s="7">
        <f t="shared" si="128"/>
        <v>0.56580374363635588</v>
      </c>
      <c r="BH638" s="7" t="e">
        <f t="shared" si="129"/>
        <v>#N/A</v>
      </c>
      <c r="BI638" s="7" t="e">
        <f t="shared" si="133"/>
        <v>#N/A</v>
      </c>
      <c r="BJ638" s="7" t="e">
        <f t="shared" si="130"/>
        <v>#N/A</v>
      </c>
      <c r="BK638" s="7" t="e">
        <f t="shared" si="134"/>
        <v>#N/A</v>
      </c>
      <c r="BL638" s="7" t="e">
        <f t="shared" si="131"/>
        <v>#N/A</v>
      </c>
    </row>
    <row r="639" spans="52:64" ht="11.25" customHeight="1">
      <c r="AZ639" s="7">
        <f t="shared" si="122"/>
        <v>0.57142371590086793</v>
      </c>
      <c r="BA639" s="7">
        <f t="shared" si="132"/>
        <v>0.17999999999991639</v>
      </c>
      <c r="BB639" s="7">
        <f t="shared" si="123"/>
        <v>0.39253148312043479</v>
      </c>
      <c r="BC639" s="7" t="e">
        <f t="shared" si="124"/>
        <v>#N/A</v>
      </c>
      <c r="BD639" s="7">
        <f t="shared" si="125"/>
        <v>0.17998999999991638</v>
      </c>
      <c r="BE639" s="7">
        <f t="shared" si="126"/>
        <v>0.1800099999999164</v>
      </c>
      <c r="BF639" s="7">
        <f t="shared" si="127"/>
        <v>0.56962226533227067</v>
      </c>
      <c r="BG639" s="7">
        <f t="shared" si="128"/>
        <v>0.56962991027025645</v>
      </c>
      <c r="BH639" s="7" t="e">
        <f t="shared" si="129"/>
        <v>#N/A</v>
      </c>
      <c r="BI639" s="7" t="e">
        <f t="shared" si="133"/>
        <v>#N/A</v>
      </c>
      <c r="BJ639" s="7" t="e">
        <f t="shared" si="130"/>
        <v>#N/A</v>
      </c>
      <c r="BK639" s="7" t="e">
        <f t="shared" si="134"/>
        <v>#N/A</v>
      </c>
      <c r="BL639" s="7" t="e">
        <f t="shared" si="131"/>
        <v>#N/A</v>
      </c>
    </row>
    <row r="640" spans="52:64" ht="11.25" customHeight="1">
      <c r="AZ640" s="7">
        <f t="shared" si="122"/>
        <v>0.57534543473476263</v>
      </c>
      <c r="BA640" s="7">
        <f t="shared" si="132"/>
        <v>0.1899999999999164</v>
      </c>
      <c r="BB640" s="7">
        <f t="shared" si="123"/>
        <v>0.39180597118212723</v>
      </c>
      <c r="BC640" s="7" t="e">
        <f t="shared" si="124"/>
        <v>#N/A</v>
      </c>
      <c r="BD640" s="7">
        <f t="shared" si="125"/>
        <v>0.18998999999991639</v>
      </c>
      <c r="BE640" s="7">
        <f t="shared" si="126"/>
        <v>0.19000999999991641</v>
      </c>
      <c r="BF640" s="7">
        <f t="shared" si="127"/>
        <v>0.57344090324784469</v>
      </c>
      <c r="BG640" s="7">
        <f t="shared" si="128"/>
        <v>0.57344853269719431</v>
      </c>
      <c r="BH640" s="7" t="e">
        <f t="shared" si="129"/>
        <v>#N/A</v>
      </c>
      <c r="BI640" s="7" t="e">
        <f t="shared" si="133"/>
        <v>#N/A</v>
      </c>
      <c r="BJ640" s="7" t="e">
        <f t="shared" si="130"/>
        <v>#N/A</v>
      </c>
      <c r="BK640" s="7" t="e">
        <f t="shared" si="134"/>
        <v>#N/A</v>
      </c>
      <c r="BL640" s="7" t="e">
        <f t="shared" si="131"/>
        <v>#N/A</v>
      </c>
    </row>
    <row r="641" spans="52:64" ht="11.25" customHeight="1">
      <c r="AZ641" s="7">
        <f t="shared" si="122"/>
        <v>0.57925970943907035</v>
      </c>
      <c r="BA641" s="7">
        <f t="shared" si="132"/>
        <v>0.19999999999991641</v>
      </c>
      <c r="BB641" s="7">
        <f t="shared" si="123"/>
        <v>0.39104269397546237</v>
      </c>
      <c r="BC641" s="7" t="e">
        <f t="shared" si="124"/>
        <v>#N/A</v>
      </c>
      <c r="BD641" s="7">
        <f t="shared" si="125"/>
        <v>0.1999899999999164</v>
      </c>
      <c r="BE641" s="7">
        <f t="shared" si="126"/>
        <v>0.20000999999991642</v>
      </c>
      <c r="BF641" s="7">
        <f t="shared" si="127"/>
        <v>0.577251597718207</v>
      </c>
      <c r="BG641" s="7">
        <f t="shared" si="128"/>
        <v>0.57725921088182697</v>
      </c>
      <c r="BH641" s="7" t="e">
        <f t="shared" si="129"/>
        <v>#N/A</v>
      </c>
      <c r="BI641" s="7" t="e">
        <f t="shared" si="133"/>
        <v>#N/A</v>
      </c>
      <c r="BJ641" s="7" t="e">
        <f t="shared" si="130"/>
        <v>#N/A</v>
      </c>
      <c r="BK641" s="7" t="e">
        <f t="shared" si="134"/>
        <v>#N/A</v>
      </c>
      <c r="BL641" s="7" t="e">
        <f t="shared" si="131"/>
        <v>#N/A</v>
      </c>
    </row>
    <row r="642" spans="52:64" ht="11.25" customHeight="1">
      <c r="AZ642" s="7">
        <f t="shared" si="122"/>
        <v>0.58316616348240968</v>
      </c>
      <c r="BA642" s="7">
        <f t="shared" si="132"/>
        <v>0.20999999999991642</v>
      </c>
      <c r="BB642" s="7">
        <f t="shared" si="123"/>
        <v>0.39024187757008105</v>
      </c>
      <c r="BC642" s="7" t="e">
        <f t="shared" si="124"/>
        <v>#N/A</v>
      </c>
      <c r="BD642" s="7">
        <f t="shared" si="125"/>
        <v>0.20998999999991641</v>
      </c>
      <c r="BE642" s="7">
        <f t="shared" si="126"/>
        <v>0.21000999999991643</v>
      </c>
      <c r="BF642" s="7">
        <f t="shared" si="127"/>
        <v>0.5810539517331148</v>
      </c>
      <c r="BG642" s="7">
        <f t="shared" si="128"/>
        <v>0.58106154782011787</v>
      </c>
      <c r="BH642" s="7" t="e">
        <f t="shared" si="129"/>
        <v>#N/A</v>
      </c>
      <c r="BI642" s="7" t="e">
        <f t="shared" si="133"/>
        <v>#N/A</v>
      </c>
      <c r="BJ642" s="7" t="e">
        <f t="shared" si="130"/>
        <v>#N/A</v>
      </c>
      <c r="BK642" s="7" t="e">
        <f t="shared" si="134"/>
        <v>#N/A</v>
      </c>
      <c r="BL642" s="7" t="e">
        <f t="shared" si="131"/>
        <v>#N/A</v>
      </c>
    </row>
    <row r="643" spans="52:64" ht="11.25" customHeight="1">
      <c r="AZ643" s="7">
        <f t="shared" si="122"/>
        <v>0.58706442264818204</v>
      </c>
      <c r="BA643" s="7">
        <f t="shared" si="132"/>
        <v>0.21999999999991643</v>
      </c>
      <c r="BB643" s="7">
        <f t="shared" si="123"/>
        <v>0.38940375883379758</v>
      </c>
      <c r="BC643" s="7" t="e">
        <f t="shared" si="124"/>
        <v>#N/A</v>
      </c>
      <c r="BD643" s="7">
        <f t="shared" si="125"/>
        <v>0.21998999999991642</v>
      </c>
      <c r="BE643" s="7">
        <f t="shared" si="126"/>
        <v>0.22000999999991644</v>
      </c>
      <c r="BF643" s="7">
        <f t="shared" si="127"/>
        <v>0.58484757145732924</v>
      </c>
      <c r="BG643" s="7">
        <f t="shared" si="128"/>
        <v>0.58485514968332353</v>
      </c>
      <c r="BH643" s="7" t="e">
        <f t="shared" si="129"/>
        <v>#N/A</v>
      </c>
      <c r="BI643" s="7" t="e">
        <f t="shared" si="133"/>
        <v>#N/A</v>
      </c>
      <c r="BJ643" s="7" t="e">
        <f t="shared" si="130"/>
        <v>#N/A</v>
      </c>
      <c r="BK643" s="7" t="e">
        <f t="shared" si="134"/>
        <v>#N/A</v>
      </c>
      <c r="BL643" s="7" t="e">
        <f t="shared" si="131"/>
        <v>#N/A</v>
      </c>
    </row>
    <row r="644" spans="52:64" ht="11.25" customHeight="1">
      <c r="AZ644" s="7">
        <f t="shared" si="122"/>
        <v>0.59095411514197338</v>
      </c>
      <c r="BA644" s="7">
        <f t="shared" si="132"/>
        <v>0.22999999999991644</v>
      </c>
      <c r="BB644" s="7">
        <f t="shared" si="123"/>
        <v>0.38852858531584333</v>
      </c>
      <c r="BC644" s="7" t="e">
        <f t="shared" si="124"/>
        <v>#N/A</v>
      </c>
      <c r="BD644" s="7">
        <f t="shared" si="125"/>
        <v>0.22998999999991643</v>
      </c>
      <c r="BE644" s="7">
        <f t="shared" si="126"/>
        <v>0.23000999999991645</v>
      </c>
      <c r="BF644" s="7">
        <f t="shared" si="127"/>
        <v>0.58863206637228871</v>
      </c>
      <c r="BG644" s="7">
        <f t="shared" si="128"/>
        <v>0.58863962595965302</v>
      </c>
      <c r="BH644" s="7" t="e">
        <f t="shared" si="129"/>
        <v>#N/A</v>
      </c>
      <c r="BI644" s="7" t="e">
        <f t="shared" si="133"/>
        <v>#N/A</v>
      </c>
      <c r="BJ644" s="7" t="e">
        <f t="shared" si="130"/>
        <v>#N/A</v>
      </c>
      <c r="BK644" s="7" t="e">
        <f t="shared" si="134"/>
        <v>#N/A</v>
      </c>
      <c r="BL644" s="7" t="e">
        <f t="shared" si="131"/>
        <v>#N/A</v>
      </c>
    </row>
    <row r="645" spans="52:64" ht="11.25" customHeight="1">
      <c r="AZ645" s="7">
        <f t="shared" si="122"/>
        <v>0.5948348716977635</v>
      </c>
      <c r="BA645" s="7">
        <f t="shared" si="132"/>
        <v>0.23999999999991645</v>
      </c>
      <c r="BB645" s="7">
        <f t="shared" si="123"/>
        <v>0.38761661512502188</v>
      </c>
      <c r="BC645" s="7" t="e">
        <f t="shared" si="124"/>
        <v>#N/A</v>
      </c>
      <c r="BD645" s="7">
        <f t="shared" si="125"/>
        <v>0.23998999999991644</v>
      </c>
      <c r="BE645" s="7">
        <f t="shared" si="126"/>
        <v>0.24000999999991646</v>
      </c>
      <c r="BF645" s="7">
        <f t="shared" si="127"/>
        <v>0.59240704941537836</v>
      </c>
      <c r="BG645" s="7">
        <f t="shared" si="128"/>
        <v>0.5924145895935401</v>
      </c>
      <c r="BH645" s="7" t="e">
        <f t="shared" si="129"/>
        <v>#N/A</v>
      </c>
      <c r="BI645" s="7" t="e">
        <f t="shared" si="133"/>
        <v>#N/A</v>
      </c>
      <c r="BJ645" s="7" t="e">
        <f t="shared" si="130"/>
        <v>#N/A</v>
      </c>
      <c r="BK645" s="7" t="e">
        <f t="shared" si="134"/>
        <v>#N/A</v>
      </c>
      <c r="BL645" s="7" t="e">
        <f t="shared" si="131"/>
        <v>#N/A</v>
      </c>
    </row>
    <row r="646" spans="52:64" ht="11.25" customHeight="1">
      <c r="AZ646" s="7">
        <f t="shared" si="122"/>
        <v>0.59870632568289139</v>
      </c>
      <c r="BA646" s="7">
        <f t="shared" si="132"/>
        <v>0.24999999999991646</v>
      </c>
      <c r="BB646" s="7">
        <f t="shared" si="123"/>
        <v>0.38666811680285723</v>
      </c>
      <c r="BC646" s="7" t="e">
        <f t="shared" si="124"/>
        <v>#N/A</v>
      </c>
      <c r="BD646" s="7">
        <f t="shared" si="125"/>
        <v>0.24998999999991645</v>
      </c>
      <c r="BE646" s="7">
        <f t="shared" si="126"/>
        <v>0.25000999999991647</v>
      </c>
      <c r="BF646" s="7">
        <f t="shared" si="127"/>
        <v>0.59617213711668693</v>
      </c>
      <c r="BG646" s="7">
        <f t="shared" si="128"/>
        <v>0.59617965712240084</v>
      </c>
      <c r="BH646" s="7" t="e">
        <f t="shared" si="129"/>
        <v>#N/A</v>
      </c>
      <c r="BI646" s="7" t="e">
        <f t="shared" si="133"/>
        <v>#N/A</v>
      </c>
      <c r="BJ646" s="7" t="e">
        <f t="shared" si="130"/>
        <v>#N/A</v>
      </c>
      <c r="BK646" s="7" t="e">
        <f t="shared" si="134"/>
        <v>#N/A</v>
      </c>
      <c r="BL646" s="7" t="e">
        <f t="shared" si="131"/>
        <v>#N/A</v>
      </c>
    </row>
    <row r="647" spans="52:64" ht="11.25" customHeight="1">
      <c r="AZ647" s="7">
        <f t="shared" si="122"/>
        <v>0.60256811320172832</v>
      </c>
      <c r="BA647" s="7">
        <f t="shared" si="132"/>
        <v>0.25999999999991646</v>
      </c>
      <c r="BB647" s="7">
        <f t="shared" si="123"/>
        <v>0.38568336919182444</v>
      </c>
      <c r="BC647" s="7" t="e">
        <f t="shared" si="124"/>
        <v>#N/A</v>
      </c>
      <c r="BD647" s="7">
        <f t="shared" si="125"/>
        <v>0.25998999999991645</v>
      </c>
      <c r="BE647" s="7">
        <f t="shared" si="126"/>
        <v>0.26000999999991647</v>
      </c>
      <c r="BF647" s="7">
        <f t="shared" si="127"/>
        <v>0.59992694973320071</v>
      </c>
      <c r="BG647" s="7">
        <f t="shared" si="128"/>
        <v>0.59993444881080049</v>
      </c>
      <c r="BH647" s="7" t="e">
        <f t="shared" si="129"/>
        <v>#N/A</v>
      </c>
      <c r="BI647" s="7" t="e">
        <f t="shared" si="133"/>
        <v>#N/A</v>
      </c>
      <c r="BJ647" s="7" t="e">
        <f t="shared" si="130"/>
        <v>#N/A</v>
      </c>
      <c r="BK647" s="7" t="e">
        <f t="shared" si="134"/>
        <v>#N/A</v>
      </c>
      <c r="BL647" s="7" t="e">
        <f t="shared" si="131"/>
        <v>#N/A</v>
      </c>
    </row>
    <row r="648" spans="52:64" ht="11.25" customHeight="1">
      <c r="AZ648" s="7">
        <f t="shared" si="122"/>
        <v>0.60641987319800739</v>
      </c>
      <c r="BA648" s="7">
        <f t="shared" si="132"/>
        <v>0.26999999999991647</v>
      </c>
      <c r="BB648" s="7">
        <f t="shared" si="123"/>
        <v>0.38466266129875143</v>
      </c>
      <c r="BC648" s="7" t="e">
        <f t="shared" si="124"/>
        <v>#N/A</v>
      </c>
      <c r="BD648" s="7">
        <f t="shared" si="125"/>
        <v>0.26998999999991646</v>
      </c>
      <c r="BE648" s="7">
        <f t="shared" si="126"/>
        <v>0.27000999999991648</v>
      </c>
      <c r="BF648" s="7">
        <f t="shared" si="127"/>
        <v>0.60367111138028784</v>
      </c>
      <c r="BG648" s="7">
        <f t="shared" si="128"/>
        <v>0.60367858878195724</v>
      </c>
      <c r="BH648" s="7" t="e">
        <f t="shared" si="129"/>
        <v>#N/A</v>
      </c>
      <c r="BI648" s="7" t="e">
        <f t="shared" si="133"/>
        <v>#N/A</v>
      </c>
      <c r="BJ648" s="7" t="e">
        <f t="shared" si="130"/>
        <v>#N/A</v>
      </c>
      <c r="BK648" s="7" t="e">
        <f t="shared" si="134"/>
        <v>#N/A</v>
      </c>
      <c r="BL648" s="7" t="e">
        <f t="shared" si="131"/>
        <v>#N/A</v>
      </c>
    </row>
    <row r="649" spans="52:64" ht="11.25" customHeight="1">
      <c r="AZ649" s="7">
        <f t="shared" si="122"/>
        <v>0.61026124755576516</v>
      </c>
      <c r="BA649" s="7">
        <f t="shared" si="132"/>
        <v>0.27999999999991648</v>
      </c>
      <c r="BB649" s="7">
        <f t="shared" si="123"/>
        <v>0.38360629215348746</v>
      </c>
      <c r="BC649" s="7" t="e">
        <f t="shared" si="124"/>
        <v>#N/A</v>
      </c>
      <c r="BD649" s="7">
        <f t="shared" si="125"/>
        <v>0.27998999999991647</v>
      </c>
      <c r="BE649" s="7">
        <f t="shared" si="126"/>
        <v>0.28000999999991649</v>
      </c>
      <c r="BF649" s="7">
        <f t="shared" si="127"/>
        <v>0.60740425016044652</v>
      </c>
      <c r="BG649" s="7">
        <f t="shared" si="128"/>
        <v>0.6074117051464708</v>
      </c>
      <c r="BH649" s="7" t="e">
        <f t="shared" si="129"/>
        <v>#N/A</v>
      </c>
      <c r="BI649" s="7" t="e">
        <f t="shared" si="133"/>
        <v>#N/A</v>
      </c>
      <c r="BJ649" s="7" t="e">
        <f t="shared" si="130"/>
        <v>#N/A</v>
      </c>
      <c r="BK649" s="7" t="e">
        <f t="shared" si="134"/>
        <v>#N/A</v>
      </c>
      <c r="BL649" s="7" t="e">
        <f t="shared" si="131"/>
        <v>#N/A</v>
      </c>
    </row>
    <row r="650" spans="52:64" ht="11.25" customHeight="1">
      <c r="AZ650" s="7">
        <f t="shared" si="122"/>
        <v>0.61409188119884539</v>
      </c>
      <c r="BA650" s="7">
        <f t="shared" si="132"/>
        <v>0.28999999999991649</v>
      </c>
      <c r="BB650" s="7">
        <f t="shared" si="123"/>
        <v>0.38251457066293326</v>
      </c>
      <c r="BC650" s="7" t="e">
        <f t="shared" si="124"/>
        <v>#N/A</v>
      </c>
      <c r="BD650" s="7">
        <f t="shared" si="125"/>
        <v>0.28998999999991648</v>
      </c>
      <c r="BE650" s="7">
        <f t="shared" si="126"/>
        <v>0.2900099999999165</v>
      </c>
      <c r="BF650" s="7">
        <f t="shared" si="127"/>
        <v>0.61112599828920078</v>
      </c>
      <c r="BG650" s="7">
        <f t="shared" si="128"/>
        <v>0.6111334301282132</v>
      </c>
      <c r="BH650" s="7" t="e">
        <f t="shared" si="129"/>
        <v>#N/A</v>
      </c>
      <c r="BI650" s="7" t="e">
        <f t="shared" si="133"/>
        <v>#N/A</v>
      </c>
      <c r="BJ650" s="7" t="e">
        <f t="shared" si="130"/>
        <v>#N/A</v>
      </c>
      <c r="BK650" s="7" t="e">
        <f t="shared" si="134"/>
        <v>#N/A</v>
      </c>
      <c r="BL650" s="7" t="e">
        <f t="shared" si="131"/>
        <v>#N/A</v>
      </c>
    </row>
    <row r="651" spans="52:64" ht="11.25" customHeight="1">
      <c r="AZ651" s="7">
        <f t="shared" si="122"/>
        <v>0.61791142218892081</v>
      </c>
      <c r="BA651" s="7">
        <f t="shared" si="132"/>
        <v>0.2999999999999165</v>
      </c>
      <c r="BB651" s="7">
        <f t="shared" si="123"/>
        <v>0.38138781546053357</v>
      </c>
      <c r="BC651" s="7" t="e">
        <f t="shared" si="124"/>
        <v>#N/A</v>
      </c>
      <c r="BD651" s="7">
        <f t="shared" si="125"/>
        <v>0.29998999999991649</v>
      </c>
      <c r="BE651" s="7">
        <f t="shared" si="126"/>
        <v>0.30000999999991651</v>
      </c>
      <c r="BF651" s="7">
        <f t="shared" si="127"/>
        <v>0.61483599221807417</v>
      </c>
      <c r="BG651" s="7">
        <f t="shared" si="128"/>
        <v>0.61484340018730477</v>
      </c>
      <c r="BH651" s="7" t="e">
        <f t="shared" si="129"/>
        <v>#N/A</v>
      </c>
      <c r="BI651" s="7" t="e">
        <f t="shared" si="133"/>
        <v>#N/A</v>
      </c>
      <c r="BJ651" s="7" t="e">
        <f t="shared" si="130"/>
        <v>#N/A</v>
      </c>
      <c r="BK651" s="7" t="e">
        <f t="shared" si="134"/>
        <v>#N/A</v>
      </c>
      <c r="BL651" s="7" t="e">
        <f t="shared" si="131"/>
        <v>#N/A</v>
      </c>
    </row>
    <row r="652" spans="52:64" ht="11.25" customHeight="1">
      <c r="AZ652" s="7">
        <f t="shared" si="122"/>
        <v>0.62171952182198753</v>
      </c>
      <c r="BA652" s="7">
        <f t="shared" si="132"/>
        <v>0.30999999999991651</v>
      </c>
      <c r="BB652" s="7">
        <f t="shared" si="123"/>
        <v>0.38022635475133471</v>
      </c>
      <c r="BC652" s="7" t="e">
        <f t="shared" si="124"/>
        <v>#N/A</v>
      </c>
      <c r="BD652" s="7">
        <f t="shared" si="125"/>
        <v>0.3099899999999165</v>
      </c>
      <c r="BE652" s="7">
        <f t="shared" si="126"/>
        <v>0.31000999999991652</v>
      </c>
      <c r="BF652" s="7">
        <f t="shared" si="127"/>
        <v>0.61853387275457916</v>
      </c>
      <c r="BG652" s="7">
        <f t="shared" si="128"/>
        <v>0.61854125614008515</v>
      </c>
      <c r="BH652" s="7" t="e">
        <f t="shared" si="129"/>
        <v>#N/A</v>
      </c>
      <c r="BI652" s="7" t="e">
        <f t="shared" si="133"/>
        <v>#N/A</v>
      </c>
      <c r="BJ652" s="7" t="e">
        <f t="shared" si="130"/>
        <v>#N/A</v>
      </c>
      <c r="BK652" s="7" t="e">
        <f t="shared" si="134"/>
        <v>#N/A</v>
      </c>
      <c r="BL652" s="7" t="e">
        <f t="shared" si="131"/>
        <v>#N/A</v>
      </c>
    </row>
    <row r="653" spans="52:64" ht="11.25" customHeight="1">
      <c r="AZ653" s="7">
        <f t="shared" si="122"/>
        <v>0.62551583472328842</v>
      </c>
      <c r="BA653" s="7">
        <f t="shared" si="132"/>
        <v>0.31999999999991652</v>
      </c>
      <c r="BB653" s="7">
        <f t="shared" si="123"/>
        <v>0.37903052615271177</v>
      </c>
      <c r="BC653" s="7" t="e">
        <f t="shared" si="124"/>
        <v>#N/A</v>
      </c>
      <c r="BD653" s="7">
        <f t="shared" si="125"/>
        <v>0.31998999999991651</v>
      </c>
      <c r="BE653" s="7">
        <f t="shared" si="126"/>
        <v>0.32000999999991653</v>
      </c>
      <c r="BF653" s="7">
        <f t="shared" si="127"/>
        <v>0.62221928517912528</v>
      </c>
      <c r="BG653" s="7">
        <f t="shared" si="128"/>
        <v>0.62222664327602739</v>
      </c>
      <c r="BH653" s="7" t="e">
        <f t="shared" si="129"/>
        <v>#N/A</v>
      </c>
      <c r="BI653" s="7" t="e">
        <f t="shared" si="133"/>
        <v>#N/A</v>
      </c>
      <c r="BJ653" s="7" t="e">
        <f t="shared" si="130"/>
        <v>#N/A</v>
      </c>
      <c r="BK653" s="7" t="e">
        <f t="shared" si="134"/>
        <v>#N/A</v>
      </c>
      <c r="BL653" s="7" t="e">
        <f t="shared" si="131"/>
        <v>#N/A</v>
      </c>
    </row>
    <row r="654" spans="52:64" ht="11.25" customHeight="1">
      <c r="AZ654" s="7">
        <f t="shared" si="122"/>
        <v>0.62930001894062193</v>
      </c>
      <c r="BA654" s="7">
        <f t="shared" si="132"/>
        <v>0.32999999999991653</v>
      </c>
      <c r="BB654" s="7">
        <f t="shared" si="123"/>
        <v>0.37780067653087496</v>
      </c>
      <c r="BC654" s="7" t="e">
        <f t="shared" si="124"/>
        <v>#N/A</v>
      </c>
      <c r="BD654" s="7">
        <f t="shared" si="125"/>
        <v>0.32998999999991652</v>
      </c>
      <c r="BE654" s="7">
        <f t="shared" si="126"/>
        <v>0.33000999999991654</v>
      </c>
      <c r="BF654" s="7">
        <f t="shared" si="127"/>
        <v>0.6258918793588113</v>
      </c>
      <c r="BG654" s="7">
        <f t="shared" si="128"/>
        <v>0.62589921147151273</v>
      </c>
      <c r="BH654" s="7" t="e">
        <f t="shared" si="129"/>
        <v>#N/A</v>
      </c>
      <c r="BI654" s="7" t="e">
        <f t="shared" si="133"/>
        <v>#N/A</v>
      </c>
      <c r="BJ654" s="7" t="e">
        <f t="shared" si="130"/>
        <v>#N/A</v>
      </c>
      <c r="BK654" s="7" t="e">
        <f t="shared" si="134"/>
        <v>#N/A</v>
      </c>
      <c r="BL654" s="7" t="e">
        <f t="shared" si="131"/>
        <v>#N/A</v>
      </c>
    </row>
    <row r="655" spans="52:64" ht="11.25" customHeight="1">
      <c r="AZ655" s="7">
        <f t="shared" si="122"/>
        <v>0.63307173603599665</v>
      </c>
      <c r="BA655" s="7">
        <f t="shared" si="132"/>
        <v>0.33999999999991654</v>
      </c>
      <c r="BB655" s="7">
        <f t="shared" si="123"/>
        <v>0.37653716183326458</v>
      </c>
      <c r="BC655" s="7" t="e">
        <f t="shared" si="124"/>
        <v>#N/A</v>
      </c>
      <c r="BD655" s="7">
        <f t="shared" si="125"/>
        <v>0.33998999999991653</v>
      </c>
      <c r="BE655" s="7">
        <f t="shared" si="126"/>
        <v>0.34000999999991655</v>
      </c>
      <c r="BF655" s="7">
        <f t="shared" si="127"/>
        <v>0.62955130985800378</v>
      </c>
      <c r="BG655" s="7">
        <f t="shared" si="128"/>
        <v>0.62955861530041357</v>
      </c>
      <c r="BH655" s="7" t="e">
        <f t="shared" si="129"/>
        <v>#N/A</v>
      </c>
      <c r="BI655" s="7" t="e">
        <f t="shared" si="133"/>
        <v>#N/A</v>
      </c>
      <c r="BJ655" s="7" t="e">
        <f t="shared" si="130"/>
        <v>#N/A</v>
      </c>
      <c r="BK655" s="7" t="e">
        <f t="shared" si="134"/>
        <v>#N/A</v>
      </c>
      <c r="BL655" s="7" t="e">
        <f t="shared" si="131"/>
        <v>#N/A</v>
      </c>
    </row>
    <row r="656" spans="52:64" ht="11.25" customHeight="1">
      <c r="AZ656" s="7">
        <f t="shared" si="122"/>
        <v>0.63683065117558768</v>
      </c>
      <c r="BA656" s="7">
        <f t="shared" si="132"/>
        <v>0.34999999999991654</v>
      </c>
      <c r="BB656" s="7">
        <f t="shared" si="123"/>
        <v>0.3752403469169488</v>
      </c>
      <c r="BC656" s="7" t="e">
        <f t="shared" si="124"/>
        <v>#N/A</v>
      </c>
      <c r="BD656" s="7">
        <f t="shared" si="125"/>
        <v>0.34998999999991653</v>
      </c>
      <c r="BE656" s="7">
        <f t="shared" si="126"/>
        <v>0.35000999999991655</v>
      </c>
      <c r="BF656" s="7">
        <f t="shared" si="127"/>
        <v>0.63319723604566791</v>
      </c>
      <c r="BG656" s="7">
        <f t="shared" si="128"/>
        <v>0.63320451414140699</v>
      </c>
      <c r="BH656" s="7" t="e">
        <f t="shared" si="129"/>
        <v>#N/A</v>
      </c>
      <c r="BI656" s="7" t="e">
        <f t="shared" si="133"/>
        <v>#N/A</v>
      </c>
      <c r="BJ656" s="7" t="e">
        <f t="shared" si="130"/>
        <v>#N/A</v>
      </c>
      <c r="BK656" s="7" t="e">
        <f t="shared" si="134"/>
        <v>#N/A</v>
      </c>
      <c r="BL656" s="7" t="e">
        <f t="shared" si="131"/>
        <v>#N/A</v>
      </c>
    </row>
    <row r="657" spans="52:64" ht="11.25" customHeight="1">
      <c r="AZ657" s="7">
        <f t="shared" si="122"/>
        <v>0.64057643321795998</v>
      </c>
      <c r="BA657" s="7">
        <f t="shared" si="132"/>
        <v>0.35999999999991655</v>
      </c>
      <c r="BB657" s="7">
        <f t="shared" si="123"/>
        <v>0.37391060537313958</v>
      </c>
      <c r="BC657" s="7" t="e">
        <f t="shared" si="124"/>
        <v>#N/A</v>
      </c>
      <c r="BD657" s="7">
        <f t="shared" si="125"/>
        <v>0.35998999999991654</v>
      </c>
      <c r="BE657" s="7">
        <f t="shared" si="126"/>
        <v>0.36000999999991656</v>
      </c>
      <c r="BF657" s="7">
        <f t="shared" si="127"/>
        <v>0.63682932219937283</v>
      </c>
      <c r="BG657" s="7">
        <f t="shared" si="128"/>
        <v>0.63683657228198309</v>
      </c>
      <c r="BH657" s="7" t="e">
        <f t="shared" si="129"/>
        <v>#N/A</v>
      </c>
      <c r="BI657" s="7" t="e">
        <f t="shared" si="133"/>
        <v>#N/A</v>
      </c>
      <c r="BJ657" s="7" t="e">
        <f t="shared" si="130"/>
        <v>#N/A</v>
      </c>
      <c r="BK657" s="7" t="e">
        <f t="shared" si="134"/>
        <v>#N/A</v>
      </c>
      <c r="BL657" s="7" t="e">
        <f t="shared" si="131"/>
        <v>#N/A</v>
      </c>
    </row>
    <row r="658" spans="52:64" ht="11.25" customHeight="1">
      <c r="AZ658" s="7">
        <f t="shared" si="122"/>
        <v>0.64430875480051575</v>
      </c>
      <c r="BA658" s="7">
        <f t="shared" si="132"/>
        <v>0.36999999999991656</v>
      </c>
      <c r="BB658" s="7">
        <f t="shared" si="123"/>
        <v>0.37254831934794486</v>
      </c>
      <c r="BC658" s="7" t="e">
        <f t="shared" si="124"/>
        <v>#N/A</v>
      </c>
      <c r="BD658" s="7">
        <f t="shared" si="125"/>
        <v>0.36998999999991655</v>
      </c>
      <c r="BE658" s="7">
        <f t="shared" si="126"/>
        <v>0.37000999999991657</v>
      </c>
      <c r="BF658" s="7">
        <f t="shared" si="127"/>
        <v>0.64044723760593547</v>
      </c>
      <c r="BG658" s="7">
        <f t="shared" si="128"/>
        <v>0.64045445901907516</v>
      </c>
      <c r="BH658" s="7" t="e">
        <f t="shared" si="129"/>
        <v>#N/A</v>
      </c>
      <c r="BI658" s="7" t="e">
        <f t="shared" si="133"/>
        <v>#N/A</v>
      </c>
      <c r="BJ658" s="7" t="e">
        <f t="shared" si="130"/>
        <v>#N/A</v>
      </c>
      <c r="BK658" s="7" t="e">
        <f t="shared" si="134"/>
        <v>#N/A</v>
      </c>
      <c r="BL658" s="7" t="e">
        <f t="shared" si="131"/>
        <v>#N/A</v>
      </c>
    </row>
    <row r="659" spans="52:64" ht="11.25" customHeight="1">
      <c r="AZ659" s="7">
        <f t="shared" si="122"/>
        <v>0.64802729242413182</v>
      </c>
      <c r="BA659" s="7">
        <f t="shared" si="132"/>
        <v>0.37999999999991657</v>
      </c>
      <c r="BB659" s="7">
        <f t="shared" si="123"/>
        <v>0.37115387935947775</v>
      </c>
      <c r="BC659" s="7" t="e">
        <f t="shared" si="124"/>
        <v>#N/A</v>
      </c>
      <c r="BD659" s="7">
        <f t="shared" si="125"/>
        <v>0.37998999999991656</v>
      </c>
      <c r="BE659" s="7">
        <f t="shared" si="126"/>
        <v>0.38000999999991658</v>
      </c>
      <c r="BF659" s="7">
        <f t="shared" si="127"/>
        <v>0.64405065665863637</v>
      </c>
      <c r="BG659" s="7">
        <f t="shared" si="128"/>
        <v>0.64405784875627314</v>
      </c>
      <c r="BH659" s="7" t="e">
        <f t="shared" si="129"/>
        <v>#N/A</v>
      </c>
      <c r="BI659" s="7" t="e">
        <f t="shared" si="133"/>
        <v>#N/A</v>
      </c>
      <c r="BJ659" s="7" t="e">
        <f t="shared" si="130"/>
        <v>#N/A</v>
      </c>
      <c r="BK659" s="7" t="e">
        <f t="shared" si="134"/>
        <v>#N/A</v>
      </c>
      <c r="BL659" s="7" t="e">
        <f t="shared" si="131"/>
        <v>#N/A</v>
      </c>
    </row>
    <row r="660" spans="52:64" ht="11.25" customHeight="1">
      <c r="AZ660" s="7">
        <f t="shared" si="122"/>
        <v>0.65173172653595157</v>
      </c>
      <c r="BA660" s="7">
        <f t="shared" si="132"/>
        <v>0.38999999999991658</v>
      </c>
      <c r="BB660" s="7">
        <f t="shared" si="123"/>
        <v>0.3697276841114443</v>
      </c>
      <c r="BC660" s="7" t="e">
        <f t="shared" si="124"/>
        <v>#N/A</v>
      </c>
      <c r="BD660" s="7">
        <f t="shared" si="125"/>
        <v>0.38998999999991657</v>
      </c>
      <c r="BE660" s="7">
        <f t="shared" si="126"/>
        <v>0.39000999999991659</v>
      </c>
      <c r="BF660" s="7">
        <f t="shared" si="127"/>
        <v>0.64763925895097307</v>
      </c>
      <c r="BG660" s="7">
        <f t="shared" si="128"/>
        <v>0.64764642109756498</v>
      </c>
      <c r="BH660" s="7" t="e">
        <f t="shared" si="129"/>
        <v>#N/A</v>
      </c>
      <c r="BI660" s="7" t="e">
        <f t="shared" si="133"/>
        <v>#N/A</v>
      </c>
      <c r="BJ660" s="7" t="e">
        <f t="shared" si="130"/>
        <v>#N/A</v>
      </c>
      <c r="BK660" s="7" t="e">
        <f t="shared" si="134"/>
        <v>#N/A</v>
      </c>
      <c r="BL660" s="7" t="e">
        <f t="shared" si="131"/>
        <v>#N/A</v>
      </c>
    </row>
    <row r="661" spans="52:64" ht="11.25" customHeight="1">
      <c r="AZ661" s="7">
        <f t="shared" ref="AZ661:AZ724" si="135">NORMDIST(BA661,$BA$17,$BA$18,TRUE)</f>
        <v>0.65542174161029343</v>
      </c>
      <c r="BA661" s="7">
        <f t="shared" si="132"/>
        <v>0.39999999999991659</v>
      </c>
      <c r="BB661" s="7">
        <f t="shared" ref="BB661:BB724" si="136">IF($BA$13=1,NORMDIST(BA661,$BA$17,$BA$18,FALSE),NA())</f>
        <v>0.3682701403033356</v>
      </c>
      <c r="BC661" s="7" t="e">
        <f t="shared" ref="BC661:BC724" si="137">IF($BA$13=3,NORMDIST(BA661,$BA$17,$BA$18,FALSE),NA())</f>
        <v>#N/A</v>
      </c>
      <c r="BD661" s="7">
        <f t="shared" ref="BD661:BD724" si="138">BA661-$BD$19</f>
        <v>0.39998999999991658</v>
      </c>
      <c r="BE661" s="7">
        <f t="shared" ref="BE661:BE724" si="139">BA661+$BD$19</f>
        <v>0.4000099999999166</v>
      </c>
      <c r="BF661" s="7">
        <f t="shared" ref="BF661:BF724" si="140">IF(BD661&lt;0,TDIST(-BD661,$BA$14,1),1-TDIST(BD661,$BA$14,1))</f>
        <v>0.65121272936690144</v>
      </c>
      <c r="BG661" s="7">
        <f t="shared" ref="BG661:BG724" si="141">IF(BE661&lt;0,TDIST(-BE661,$BA$14,1),1-TDIST(BE661,$BA$14,1))</f>
        <v>0.65121986093757556</v>
      </c>
      <c r="BH661" s="7" t="e">
        <f t="shared" ref="BH661:BH724" si="142">IF($BA$13&gt;1,(BG661-BF661)/(2*$BD$19),NA())</f>
        <v>#N/A</v>
      </c>
      <c r="BI661" s="7" t="e">
        <f t="shared" si="133"/>
        <v>#N/A</v>
      </c>
      <c r="BJ661" s="7" t="e">
        <f t="shared" ref="BJ661:BJ724" si="143">IF(ISNUMBER(BI661),BI661-$BJ$19,NA())</f>
        <v>#N/A</v>
      </c>
      <c r="BK661" s="7" t="e">
        <f t="shared" si="134"/>
        <v>#N/A</v>
      </c>
      <c r="BL661" s="7" t="e">
        <f t="shared" ref="BL661:BL724" si="144">IF(ISNUMBER(BK661),BK661-$BL$19,NA())</f>
        <v>#N/A</v>
      </c>
    </row>
    <row r="662" spans="52:64" ht="11.25" customHeight="1">
      <c r="AZ662" s="7">
        <f t="shared" si="135"/>
        <v>0.65909702622764677</v>
      </c>
      <c r="BA662" s="7">
        <f t="shared" ref="BA662:BA725" si="145">BA661+$BD$10</f>
        <v>0.4099999999999166</v>
      </c>
      <c r="BB662" s="7">
        <f t="shared" si="136"/>
        <v>0.36678166243734861</v>
      </c>
      <c r="BC662" s="7" t="e">
        <f t="shared" si="137"/>
        <v>#N/A</v>
      </c>
      <c r="BD662" s="7">
        <f t="shared" si="138"/>
        <v>0.40998999999991659</v>
      </c>
      <c r="BE662" s="7">
        <f t="shared" si="139"/>
        <v>0.41000999999991661</v>
      </c>
      <c r="BF662" s="7">
        <f t="shared" si="140"/>
        <v>0.65477075816752572</v>
      </c>
      <c r="BG662" s="7">
        <f t="shared" si="141"/>
        <v>0.6547778585482481</v>
      </c>
      <c r="BH662" s="7" t="e">
        <f t="shared" si="142"/>
        <v>#N/A</v>
      </c>
      <c r="BI662" s="7" t="e">
        <f t="shared" ref="BI662:BI725" si="146">IF($BA$15=1,IF(OR(AND(BA662&gt;=$BI$18,$BN$18&gt;=0),AND(BA662&lt;=-$BI$18,$BN$18&lt;0)),BB662,NA()),IF($BA$15=2,IF(ABS(BA662)&gt;=$BI$18,BB662,NA()),NA()))</f>
        <v>#N/A</v>
      </c>
      <c r="BJ662" s="7" t="e">
        <f t="shared" si="143"/>
        <v>#N/A</v>
      </c>
      <c r="BK662" s="7" t="e">
        <f t="shared" ref="BK662:BK725" si="147">IF($BA$15=1,IF(OR(AND(BA662&gt;=$BK$18,$BN$18&gt;=0),AND(BA662&lt;=-$BK$18,$BN$18&lt;0)),BH662,NA()),IF($BA$15=2,IF(ABS(BA662)&gt;=$BK$18,BH662,NA()),NA()))</f>
        <v>#N/A</v>
      </c>
      <c r="BL662" s="7" t="e">
        <f t="shared" si="144"/>
        <v>#N/A</v>
      </c>
    </row>
    <row r="663" spans="52:64" ht="11.25" customHeight="1">
      <c r="AZ663" s="7">
        <f t="shared" si="135"/>
        <v>0.66275727315171995</v>
      </c>
      <c r="BA663" s="7">
        <f t="shared" si="145"/>
        <v>0.41999999999991661</v>
      </c>
      <c r="BB663" s="7">
        <f t="shared" si="136"/>
        <v>0.36526267262216666</v>
      </c>
      <c r="BC663" s="7" t="e">
        <f t="shared" si="137"/>
        <v>#N/A</v>
      </c>
      <c r="BD663" s="7">
        <f t="shared" si="138"/>
        <v>0.4199899999999166</v>
      </c>
      <c r="BE663" s="7">
        <f t="shared" si="139"/>
        <v>0.42000999999991662</v>
      </c>
      <c r="BF663" s="7">
        <f t="shared" si="140"/>
        <v>0.65831304107420718</v>
      </c>
      <c r="BG663" s="7">
        <f t="shared" si="141"/>
        <v>0.65832010966194665</v>
      </c>
      <c r="BH663" s="7" t="e">
        <f t="shared" si="142"/>
        <v>#N/A</v>
      </c>
      <c r="BI663" s="7" t="e">
        <f t="shared" si="146"/>
        <v>#N/A</v>
      </c>
      <c r="BJ663" s="7" t="e">
        <f t="shared" si="143"/>
        <v>#N/A</v>
      </c>
      <c r="BK663" s="7" t="e">
        <f t="shared" si="147"/>
        <v>#N/A</v>
      </c>
      <c r="BL663" s="7" t="e">
        <f t="shared" si="144"/>
        <v>#N/A</v>
      </c>
    </row>
    <row r="664" spans="52:64" ht="11.25" customHeight="1">
      <c r="AZ664" s="7">
        <f t="shared" si="135"/>
        <v>0.66640217940451196</v>
      </c>
      <c r="BA664" s="7">
        <f t="shared" si="145"/>
        <v>0.42999999999991662</v>
      </c>
      <c r="BB664" s="7">
        <f t="shared" si="136"/>
        <v>0.36371360037372641</v>
      </c>
      <c r="BC664" s="7" t="e">
        <f t="shared" si="137"/>
        <v>#N/A</v>
      </c>
      <c r="BD664" s="7">
        <f t="shared" si="138"/>
        <v>0.42998999999991661</v>
      </c>
      <c r="BE664" s="7">
        <f t="shared" si="139"/>
        <v>0.43000999999991663</v>
      </c>
      <c r="BF664" s="7">
        <f t="shared" si="140"/>
        <v>0.66183927934805487</v>
      </c>
      <c r="BG664" s="7">
        <f t="shared" si="141"/>
        <v>0.66184631555093443</v>
      </c>
      <c r="BH664" s="7" t="e">
        <f t="shared" si="142"/>
        <v>#N/A</v>
      </c>
      <c r="BI664" s="7" t="e">
        <f t="shared" si="146"/>
        <v>#N/A</v>
      </c>
      <c r="BJ664" s="7" t="e">
        <f t="shared" si="143"/>
        <v>#N/A</v>
      </c>
      <c r="BK664" s="7" t="e">
        <f t="shared" si="147"/>
        <v>#N/A</v>
      </c>
      <c r="BL664" s="7" t="e">
        <f t="shared" si="144"/>
        <v>#N/A</v>
      </c>
    </row>
    <row r="665" spans="52:64" ht="11.25" customHeight="1">
      <c r="AZ665" s="7">
        <f t="shared" si="135"/>
        <v>0.67003144633937606</v>
      </c>
      <c r="BA665" s="7">
        <f t="shared" si="145"/>
        <v>0.43999999999991662</v>
      </c>
      <c r="BB665" s="7">
        <f t="shared" si="136"/>
        <v>0.36213488241310549</v>
      </c>
      <c r="BC665" s="7" t="e">
        <f t="shared" si="137"/>
        <v>#N/A</v>
      </c>
      <c r="BD665" s="7">
        <f t="shared" si="138"/>
        <v>0.43998999999991661</v>
      </c>
      <c r="BE665" s="7">
        <f t="shared" si="139"/>
        <v>0.44000999999991663</v>
      </c>
      <c r="BF665" s="7">
        <f t="shared" si="140"/>
        <v>0.66534917986576625</v>
      </c>
      <c r="BG665" s="7">
        <f t="shared" si="141"/>
        <v>0.66535618310321532</v>
      </c>
      <c r="BH665" s="7" t="e">
        <f t="shared" si="142"/>
        <v>#N/A</v>
      </c>
      <c r="BI665" s="7" t="e">
        <f t="shared" si="146"/>
        <v>#N/A</v>
      </c>
      <c r="BJ665" s="7" t="e">
        <f t="shared" si="143"/>
        <v>#N/A</v>
      </c>
      <c r="BK665" s="7" t="e">
        <f t="shared" si="147"/>
        <v>#N/A</v>
      </c>
      <c r="BL665" s="7" t="e">
        <f t="shared" si="144"/>
        <v>#N/A</v>
      </c>
    </row>
    <row r="666" spans="52:64" ht="11.25" customHeight="1">
      <c r="AZ666" s="7">
        <f t="shared" si="135"/>
        <v>0.67364477971204995</v>
      </c>
      <c r="BA666" s="7">
        <f t="shared" si="145"/>
        <v>0.44999999999991663</v>
      </c>
      <c r="BB666" s="7">
        <f t="shared" si="136"/>
        <v>0.36052696246166144</v>
      </c>
      <c r="BC666" s="7" t="e">
        <f t="shared" si="137"/>
        <v>#N/A</v>
      </c>
      <c r="BD666" s="7">
        <f t="shared" si="138"/>
        <v>0.44998999999991662</v>
      </c>
      <c r="BE666" s="7">
        <f t="shared" si="139"/>
        <v>0.45000999999991664</v>
      </c>
      <c r="BF666" s="7">
        <f t="shared" si="140"/>
        <v>0.66884245519180607</v>
      </c>
      <c r="BG666" s="7">
        <f t="shared" si="141"/>
        <v>0.6688494248946989</v>
      </c>
      <c r="BH666" s="7" t="e">
        <f t="shared" si="142"/>
        <v>#N/A</v>
      </c>
      <c r="BI666" s="7" t="e">
        <f t="shared" si="146"/>
        <v>#N/A</v>
      </c>
      <c r="BJ666" s="7" t="e">
        <f t="shared" si="143"/>
        <v>#N/A</v>
      </c>
      <c r="BK666" s="7" t="e">
        <f t="shared" si="147"/>
        <v>#N/A</v>
      </c>
      <c r="BL666" s="7" t="e">
        <f t="shared" si="144"/>
        <v>#N/A</v>
      </c>
    </row>
    <row r="667" spans="52:64" ht="11.25" customHeight="1">
      <c r="AZ667" s="7">
        <f t="shared" si="135"/>
        <v>0.67724188974962241</v>
      </c>
      <c r="BA667" s="7">
        <f t="shared" si="145"/>
        <v>0.45999999999991664</v>
      </c>
      <c r="BB667" s="7">
        <f t="shared" si="136"/>
        <v>0.35889029103355835</v>
      </c>
      <c r="BC667" s="7" t="e">
        <f t="shared" si="137"/>
        <v>#N/A</v>
      </c>
      <c r="BD667" s="7">
        <f t="shared" si="138"/>
        <v>0.45998999999991663</v>
      </c>
      <c r="BE667" s="7">
        <f t="shared" si="139"/>
        <v>0.46000999999991665</v>
      </c>
      <c r="BF667" s="7">
        <f t="shared" si="140"/>
        <v>0.67231882364369522</v>
      </c>
      <c r="BG667" s="7">
        <f t="shared" si="141"/>
        <v>0.67232575925448379</v>
      </c>
      <c r="BH667" s="7" t="e">
        <f t="shared" si="142"/>
        <v>#N/A</v>
      </c>
      <c r="BI667" s="7" t="e">
        <f t="shared" si="146"/>
        <v>#N/A</v>
      </c>
      <c r="BJ667" s="7" t="e">
        <f t="shared" si="143"/>
        <v>#N/A</v>
      </c>
      <c r="BK667" s="7" t="e">
        <f t="shared" si="147"/>
        <v>#N/A</v>
      </c>
      <c r="BL667" s="7" t="e">
        <f t="shared" si="144"/>
        <v>#N/A</v>
      </c>
    </row>
    <row r="668" spans="52:64" ht="11.25" customHeight="1">
      <c r="AZ668" s="7">
        <f t="shared" si="135"/>
        <v>0.68082249121741434</v>
      </c>
      <c r="BA668" s="7">
        <f t="shared" si="145"/>
        <v>0.46999999999991665</v>
      </c>
      <c r="BB668" s="7">
        <f t="shared" si="136"/>
        <v>0.35722532522581474</v>
      </c>
      <c r="BC668" s="7" t="e">
        <f t="shared" si="137"/>
        <v>#N/A</v>
      </c>
      <c r="BD668" s="7">
        <f t="shared" si="138"/>
        <v>0.46998999999991664</v>
      </c>
      <c r="BE668" s="7">
        <f t="shared" si="139"/>
        <v>0.47000999999991666</v>
      </c>
      <c r="BF668" s="7">
        <f t="shared" si="140"/>
        <v>0.67577800936854082</v>
      </c>
      <c r="BG668" s="7">
        <f t="shared" si="141"/>
        <v>0.67578491034138366</v>
      </c>
      <c r="BH668" s="7" t="e">
        <f t="shared" si="142"/>
        <v>#N/A</v>
      </c>
      <c r="BI668" s="7" t="e">
        <f t="shared" si="146"/>
        <v>#N/A</v>
      </c>
      <c r="BJ668" s="7" t="e">
        <f t="shared" si="143"/>
        <v>#N/A</v>
      </c>
      <c r="BK668" s="7" t="e">
        <f t="shared" si="147"/>
        <v>#N/A</v>
      </c>
      <c r="BL668" s="7" t="e">
        <f t="shared" si="144"/>
        <v>#N/A</v>
      </c>
    </row>
    <row r="669" spans="52:64" ht="11.25" customHeight="1">
      <c r="AZ669" s="7">
        <f t="shared" si="135"/>
        <v>0.68438630348374774</v>
      </c>
      <c r="BA669" s="7">
        <f t="shared" si="145"/>
        <v>0.47999999999991666</v>
      </c>
      <c r="BB669" s="7">
        <f t="shared" si="136"/>
        <v>0.3555325285060113</v>
      </c>
      <c r="BC669" s="7" t="e">
        <f t="shared" si="137"/>
        <v>#N/A</v>
      </c>
      <c r="BD669" s="7">
        <f t="shared" si="138"/>
        <v>0.47998999999991665</v>
      </c>
      <c r="BE669" s="7">
        <f t="shared" si="139"/>
        <v>0.48000999999991667</v>
      </c>
      <c r="BF669" s="7">
        <f t="shared" si="140"/>
        <v>0.67921974238769534</v>
      </c>
      <c r="BG669" s="7">
        <f t="shared" si="141"/>
        <v>0.67922660818857361</v>
      </c>
      <c r="BH669" s="7" t="e">
        <f t="shared" si="142"/>
        <v>#N/A</v>
      </c>
      <c r="BI669" s="7" t="e">
        <f t="shared" si="146"/>
        <v>#N/A</v>
      </c>
      <c r="BJ669" s="7" t="e">
        <f t="shared" si="143"/>
        <v>#N/A</v>
      </c>
      <c r="BK669" s="7" t="e">
        <f t="shared" si="147"/>
        <v>#N/A</v>
      </c>
      <c r="BL669" s="7" t="e">
        <f t="shared" si="144"/>
        <v>#N/A</v>
      </c>
    </row>
    <row r="670" spans="52:64" ht="11.25" customHeight="1">
      <c r="AZ670" s="7">
        <f t="shared" si="135"/>
        <v>0.68793305058257992</v>
      </c>
      <c r="BA670" s="7">
        <f t="shared" si="145"/>
        <v>0.48999999999991667</v>
      </c>
      <c r="BB670" s="7">
        <f t="shared" si="136"/>
        <v>0.35381237049779407</v>
      </c>
      <c r="BC670" s="7" t="e">
        <f t="shared" si="137"/>
        <v>#N/A</v>
      </c>
      <c r="BD670" s="7">
        <f t="shared" si="138"/>
        <v>0.48998999999991666</v>
      </c>
      <c r="BE670" s="7">
        <f t="shared" si="139"/>
        <v>0.49000999999991668</v>
      </c>
      <c r="BF670" s="7">
        <f t="shared" si="140"/>
        <v>0.68264375866430926</v>
      </c>
      <c r="BG670" s="7">
        <f t="shared" si="141"/>
        <v>0.68265058877113649</v>
      </c>
      <c r="BH670" s="7" t="e">
        <f t="shared" si="142"/>
        <v>#N/A</v>
      </c>
      <c r="BI670" s="7" t="e">
        <f t="shared" si="146"/>
        <v>#N/A</v>
      </c>
      <c r="BJ670" s="7" t="e">
        <f t="shared" si="143"/>
        <v>#N/A</v>
      </c>
      <c r="BK670" s="7" t="e">
        <f t="shared" si="147"/>
        <v>#N/A</v>
      </c>
      <c r="BL670" s="7" t="e">
        <f t="shared" si="144"/>
        <v>#N/A</v>
      </c>
    </row>
    <row r="671" spans="52:64" ht="11.25" customHeight="1">
      <c r="AZ671" s="7">
        <f t="shared" si="135"/>
        <v>0.6914624612739837</v>
      </c>
      <c r="BA671" s="7">
        <f t="shared" si="145"/>
        <v>0.49999999999991668</v>
      </c>
      <c r="BB671" s="7">
        <f t="shared" si="136"/>
        <v>0.35206532676431412</v>
      </c>
      <c r="BC671" s="7" t="e">
        <f t="shared" si="137"/>
        <v>#N/A</v>
      </c>
      <c r="BD671" s="7">
        <f t="shared" si="138"/>
        <v>0.49998999999991667</v>
      </c>
      <c r="BE671" s="7">
        <f t="shared" si="139"/>
        <v>0.50000999999991669</v>
      </c>
      <c r="BF671" s="7">
        <f t="shared" si="140"/>
        <v>0.68604980015450356</v>
      </c>
      <c r="BG671" s="7">
        <f t="shared" si="141"/>
        <v>0.68605659405722985</v>
      </c>
      <c r="BH671" s="7" t="e">
        <f t="shared" si="142"/>
        <v>#N/A</v>
      </c>
      <c r="BI671" s="7" t="e">
        <f t="shared" si="146"/>
        <v>#N/A</v>
      </c>
      <c r="BJ671" s="7" t="e">
        <f t="shared" si="143"/>
        <v>#N/A</v>
      </c>
      <c r="BK671" s="7" t="e">
        <f t="shared" si="147"/>
        <v>#N/A</v>
      </c>
      <c r="BL671" s="7" t="e">
        <f t="shared" si="144"/>
        <v>#N/A</v>
      </c>
    </row>
    <row r="672" spans="52:64" ht="11.25" customHeight="1">
      <c r="AZ672" s="7">
        <f t="shared" si="135"/>
        <v>0.69497426910245141</v>
      </c>
      <c r="BA672" s="7">
        <f t="shared" si="145"/>
        <v>0.50999999999991663</v>
      </c>
      <c r="BB672" s="7">
        <f t="shared" si="136"/>
        <v>0.35029187858974065</v>
      </c>
      <c r="BC672" s="7" t="e">
        <f t="shared" si="137"/>
        <v>#N/A</v>
      </c>
      <c r="BD672" s="7">
        <f t="shared" si="138"/>
        <v>0.50998999999991668</v>
      </c>
      <c r="BE672" s="7">
        <f t="shared" si="139"/>
        <v>0.51000999999991659</v>
      </c>
      <c r="BF672" s="7">
        <f t="shared" si="140"/>
        <v>0.68943761485721322</v>
      </c>
      <c r="BG672" s="7">
        <f t="shared" si="141"/>
        <v>0.68944437205792308</v>
      </c>
      <c r="BH672" s="7" t="e">
        <f t="shared" si="142"/>
        <v>#N/A</v>
      </c>
      <c r="BI672" s="7" t="e">
        <f t="shared" si="146"/>
        <v>#N/A</v>
      </c>
      <c r="BJ672" s="7" t="e">
        <f t="shared" si="143"/>
        <v>#N/A</v>
      </c>
      <c r="BK672" s="7" t="e">
        <f t="shared" si="147"/>
        <v>#N/A</v>
      </c>
      <c r="BL672" s="7" t="e">
        <f t="shared" si="144"/>
        <v>#N/A</v>
      </c>
    </row>
    <row r="673" spans="52:64" ht="11.25" customHeight="1">
      <c r="AZ673" s="7">
        <f t="shared" si="135"/>
        <v>0.69846821245300472</v>
      </c>
      <c r="BA673" s="7">
        <f t="shared" si="145"/>
        <v>0.51999999999991664</v>
      </c>
      <c r="BB673" s="7">
        <f t="shared" si="136"/>
        <v>0.34849251275898957</v>
      </c>
      <c r="BC673" s="7" t="e">
        <f t="shared" si="137"/>
        <v>#N/A</v>
      </c>
      <c r="BD673" s="7">
        <f t="shared" si="138"/>
        <v>0.51998999999991669</v>
      </c>
      <c r="BE673" s="7">
        <f t="shared" si="139"/>
        <v>0.52000999999991659</v>
      </c>
      <c r="BF673" s="7">
        <f t="shared" si="140"/>
        <v>0.69280695686028781</v>
      </c>
      <c r="BG673" s="7">
        <f t="shared" si="141"/>
        <v>0.69281367687328854</v>
      </c>
      <c r="BH673" s="7" t="e">
        <f t="shared" si="142"/>
        <v>#N/A</v>
      </c>
      <c r="BI673" s="7" t="e">
        <f t="shared" si="146"/>
        <v>#N/A</v>
      </c>
      <c r="BJ673" s="7" t="e">
        <f t="shared" si="143"/>
        <v>#N/A</v>
      </c>
      <c r="BK673" s="7" t="e">
        <f t="shared" si="147"/>
        <v>#N/A</v>
      </c>
      <c r="BL673" s="7" t="e">
        <f t="shared" si="144"/>
        <v>#N/A</v>
      </c>
    </row>
    <row r="674" spans="52:64" ht="11.25" customHeight="1">
      <c r="AZ674" s="7">
        <f t="shared" si="135"/>
        <v>0.70194403460509469</v>
      </c>
      <c r="BA674" s="7">
        <f t="shared" si="145"/>
        <v>0.52999999999991665</v>
      </c>
      <c r="BB674" s="7">
        <f t="shared" si="136"/>
        <v>0.34666772133580692</v>
      </c>
      <c r="BC674" s="7" t="e">
        <f t="shared" si="137"/>
        <v>#N/A</v>
      </c>
      <c r="BD674" s="7">
        <f t="shared" si="138"/>
        <v>0.52998999999991669</v>
      </c>
      <c r="BE674" s="7">
        <f t="shared" si="139"/>
        <v>0.5300099999999166</v>
      </c>
      <c r="BF674" s="7">
        <f t="shared" si="140"/>
        <v>0.69615758638286307</v>
      </c>
      <c r="BG674" s="7">
        <f t="shared" si="141"/>
        <v>0.69616426873476134</v>
      </c>
      <c r="BH674" s="7" t="e">
        <f t="shared" si="142"/>
        <v>#N/A</v>
      </c>
      <c r="BI674" s="7" t="e">
        <f t="shared" si="146"/>
        <v>#N/A</v>
      </c>
      <c r="BJ674" s="7" t="e">
        <f t="shared" si="143"/>
        <v>#N/A</v>
      </c>
      <c r="BK674" s="7" t="e">
        <f t="shared" si="147"/>
        <v>#N/A</v>
      </c>
      <c r="BL674" s="7" t="e">
        <f t="shared" si="144"/>
        <v>#N/A</v>
      </c>
    </row>
    <row r="675" spans="52:64" ht="11.25" customHeight="1">
      <c r="AZ675" s="7">
        <f t="shared" si="135"/>
        <v>0.70540148378427314</v>
      </c>
      <c r="BA675" s="7">
        <f t="shared" si="145"/>
        <v>0.53999999999991666</v>
      </c>
      <c r="BB675" s="7">
        <f t="shared" si="136"/>
        <v>0.34481800143934888</v>
      </c>
      <c r="BC675" s="7" t="e">
        <f t="shared" si="137"/>
        <v>#N/A</v>
      </c>
      <c r="BD675" s="7">
        <f t="shared" si="138"/>
        <v>0.5399899999999167</v>
      </c>
      <c r="BE675" s="7">
        <f t="shared" si="139"/>
        <v>0.54000999999991661</v>
      </c>
      <c r="BF675" s="7">
        <f t="shared" si="140"/>
        <v>0.69948926981398696</v>
      </c>
      <c r="BG675" s="7">
        <f t="shared" si="141"/>
        <v>0.69949591404376776</v>
      </c>
      <c r="BH675" s="7" t="e">
        <f t="shared" si="142"/>
        <v>#N/A</v>
      </c>
      <c r="BI675" s="7" t="e">
        <f t="shared" si="146"/>
        <v>#N/A</v>
      </c>
      <c r="BJ675" s="7" t="e">
        <f t="shared" si="143"/>
        <v>#N/A</v>
      </c>
      <c r="BK675" s="7" t="e">
        <f t="shared" si="147"/>
        <v>#N/A</v>
      </c>
      <c r="BL675" s="7" t="e">
        <f t="shared" si="144"/>
        <v>#N/A</v>
      </c>
    </row>
    <row r="676" spans="52:64" ht="11.25" customHeight="1">
      <c r="AZ676" s="7">
        <f t="shared" si="135"/>
        <v>0.70884031321162511</v>
      </c>
      <c r="BA676" s="7">
        <f t="shared" si="145"/>
        <v>0.54999999999991667</v>
      </c>
      <c r="BB676" s="7">
        <f t="shared" si="136"/>
        <v>0.34294385501939961</v>
      </c>
      <c r="BC676" s="7" t="e">
        <f t="shared" si="137"/>
        <v>#N/A</v>
      </c>
      <c r="BD676" s="7">
        <f t="shared" si="138"/>
        <v>0.54998999999991671</v>
      </c>
      <c r="BE676" s="7">
        <f t="shared" si="139"/>
        <v>0.55000999999991662</v>
      </c>
      <c r="BF676" s="7">
        <f t="shared" si="140"/>
        <v>0.70280177974754987</v>
      </c>
      <c r="BG676" s="7">
        <f t="shared" si="141"/>
        <v>0.70280838540663959</v>
      </c>
      <c r="BH676" s="7" t="e">
        <f t="shared" si="142"/>
        <v>#N/A</v>
      </c>
      <c r="BI676" s="7" t="e">
        <f t="shared" si="146"/>
        <v>#N/A</v>
      </c>
      <c r="BJ676" s="7" t="e">
        <f t="shared" si="143"/>
        <v>#N/A</v>
      </c>
      <c r="BK676" s="7" t="e">
        <f t="shared" si="147"/>
        <v>#N/A</v>
      </c>
      <c r="BL676" s="7" t="e">
        <f t="shared" si="144"/>
        <v>#N/A</v>
      </c>
    </row>
    <row r="677" spans="52:64" ht="11.25" customHeight="1">
      <c r="AZ677" s="7">
        <f t="shared" si="135"/>
        <v>0.71226028115094453</v>
      </c>
      <c r="BA677" s="7">
        <f t="shared" si="145"/>
        <v>0.55999999999991668</v>
      </c>
      <c r="BB677" s="7">
        <f t="shared" si="136"/>
        <v>0.34104578863036844</v>
      </c>
      <c r="BC677" s="7" t="e">
        <f t="shared" si="137"/>
        <v>#N/A</v>
      </c>
      <c r="BD677" s="7">
        <f t="shared" si="138"/>
        <v>0.55998999999991672</v>
      </c>
      <c r="BE677" s="7">
        <f t="shared" si="139"/>
        <v>0.56000999999991663</v>
      </c>
      <c r="BF677" s="7">
        <f t="shared" si="140"/>
        <v>0.70609489501349476</v>
      </c>
      <c r="BG677" s="7">
        <f t="shared" si="141"/>
        <v>0.70610146166582088</v>
      </c>
      <c r="BH677" s="7" t="e">
        <f t="shared" si="142"/>
        <v>#N/A</v>
      </c>
      <c r="BI677" s="7" t="e">
        <f t="shared" si="146"/>
        <v>#N/A</v>
      </c>
      <c r="BJ677" s="7" t="e">
        <f t="shared" si="143"/>
        <v>#N/A</v>
      </c>
      <c r="BK677" s="7" t="e">
        <f t="shared" si="147"/>
        <v>#N/A</v>
      </c>
      <c r="BL677" s="7" t="e">
        <f t="shared" si="144"/>
        <v>#N/A</v>
      </c>
    </row>
    <row r="678" spans="52:64" ht="11.25" customHeight="1">
      <c r="AZ678" s="7">
        <f t="shared" si="135"/>
        <v>0.71566115095364746</v>
      </c>
      <c r="BA678" s="7">
        <f t="shared" si="145"/>
        <v>0.56999999999991668</v>
      </c>
      <c r="BB678" s="7">
        <f t="shared" si="136"/>
        <v>0.33912431320420822</v>
      </c>
      <c r="BC678" s="7" t="e">
        <f t="shared" si="137"/>
        <v>#N/A</v>
      </c>
      <c r="BD678" s="7">
        <f t="shared" si="138"/>
        <v>0.56998999999991673</v>
      </c>
      <c r="BE678" s="7">
        <f t="shared" si="139"/>
        <v>0.57000999999991664</v>
      </c>
      <c r="BF678" s="7">
        <f t="shared" si="140"/>
        <v>0.70936840070535057</v>
      </c>
      <c r="BG678" s="7">
        <f t="shared" si="141"/>
        <v>0.70937492792739321</v>
      </c>
      <c r="BH678" s="7" t="e">
        <f t="shared" si="142"/>
        <v>#N/A</v>
      </c>
      <c r="BI678" s="7" t="e">
        <f t="shared" si="146"/>
        <v>#N/A</v>
      </c>
      <c r="BJ678" s="7" t="e">
        <f t="shared" si="143"/>
        <v>#N/A</v>
      </c>
      <c r="BK678" s="7" t="e">
        <f t="shared" si="147"/>
        <v>#N/A</v>
      </c>
      <c r="BL678" s="7" t="e">
        <f t="shared" si="144"/>
        <v>#N/A</v>
      </c>
    </row>
    <row r="679" spans="52:64" ht="11.25" customHeight="1">
      <c r="AZ679" s="7">
        <f t="shared" si="135"/>
        <v>0.71904269110140762</v>
      </c>
      <c r="BA679" s="7">
        <f t="shared" si="145"/>
        <v>0.57999999999991669</v>
      </c>
      <c r="BB679" s="7">
        <f t="shared" si="136"/>
        <v>0.3371799438223968</v>
      </c>
      <c r="BC679" s="7" t="e">
        <f t="shared" si="137"/>
        <v>#N/A</v>
      </c>
      <c r="BD679" s="7">
        <f t="shared" si="138"/>
        <v>0.57998999999991674</v>
      </c>
      <c r="BE679" s="7">
        <f t="shared" si="139"/>
        <v>0.58000999999991665</v>
      </c>
      <c r="BF679" s="7">
        <f t="shared" si="140"/>
        <v>0.71262208820409856</v>
      </c>
      <c r="BG679" s="7">
        <f t="shared" si="141"/>
        <v>0.71262857558493353</v>
      </c>
      <c r="BH679" s="7" t="e">
        <f t="shared" si="142"/>
        <v>#N/A</v>
      </c>
      <c r="BI679" s="7" t="e">
        <f t="shared" si="146"/>
        <v>#N/A</v>
      </c>
      <c r="BJ679" s="7" t="e">
        <f t="shared" si="143"/>
        <v>#N/A</v>
      </c>
      <c r="BK679" s="7" t="e">
        <f t="shared" si="147"/>
        <v>#N/A</v>
      </c>
      <c r="BL679" s="7" t="e">
        <f t="shared" si="144"/>
        <v>#N/A</v>
      </c>
    </row>
    <row r="680" spans="52:64" ht="11.25" customHeight="1">
      <c r="AZ680" s="7">
        <f t="shared" si="135"/>
        <v>0.72240467524650709</v>
      </c>
      <c r="BA680" s="7">
        <f t="shared" si="145"/>
        <v>0.5899999999999167</v>
      </c>
      <c r="BB680" s="7">
        <f t="shared" si="136"/>
        <v>0.33521319948712253</v>
      </c>
      <c r="BC680" s="7" t="e">
        <f t="shared" si="137"/>
        <v>#N/A</v>
      </c>
      <c r="BD680" s="7">
        <f t="shared" si="138"/>
        <v>0.58998999999991675</v>
      </c>
      <c r="BE680" s="7">
        <f t="shared" si="139"/>
        <v>0.59000999999991666</v>
      </c>
      <c r="BF680" s="7">
        <f t="shared" si="140"/>
        <v>0.71585575519839639</v>
      </c>
      <c r="BG680" s="7">
        <f t="shared" si="141"/>
        <v>0.71586220233973308</v>
      </c>
      <c r="BH680" s="7" t="e">
        <f t="shared" si="142"/>
        <v>#N/A</v>
      </c>
      <c r="BI680" s="7" t="e">
        <f t="shared" si="146"/>
        <v>#N/A</v>
      </c>
      <c r="BJ680" s="7" t="e">
        <f t="shared" si="143"/>
        <v>#N/A</v>
      </c>
      <c r="BK680" s="7" t="e">
        <f t="shared" si="147"/>
        <v>#N/A</v>
      </c>
      <c r="BL680" s="7" t="e">
        <f t="shared" si="144"/>
        <v>#N/A</v>
      </c>
    </row>
    <row r="681" spans="52:64" ht="11.25" customHeight="1">
      <c r="AZ681" s="7">
        <f t="shared" si="135"/>
        <v>0.72574688224989869</v>
      </c>
      <c r="BA681" s="7">
        <f t="shared" si="145"/>
        <v>0.59999999999991671</v>
      </c>
      <c r="BB681" s="7">
        <f t="shared" si="136"/>
        <v>0.33322460289181627</v>
      </c>
      <c r="BC681" s="7" t="e">
        <f t="shared" si="137"/>
        <v>#N/A</v>
      </c>
      <c r="BD681" s="7">
        <f t="shared" si="138"/>
        <v>0.59998999999991676</v>
      </c>
      <c r="BE681" s="7">
        <f t="shared" si="139"/>
        <v>0.60000999999991667</v>
      </c>
      <c r="BF681" s="7">
        <f t="shared" si="140"/>
        <v>0.71906920570119082</v>
      </c>
      <c r="BG681" s="7">
        <f t="shared" si="141"/>
        <v>0.71907561221740091</v>
      </c>
      <c r="BH681" s="7" t="e">
        <f t="shared" si="142"/>
        <v>#N/A</v>
      </c>
      <c r="BI681" s="7" t="e">
        <f t="shared" si="146"/>
        <v>#N/A</v>
      </c>
      <c r="BJ681" s="7" t="e">
        <f t="shared" si="143"/>
        <v>#N/A</v>
      </c>
      <c r="BK681" s="7" t="e">
        <f t="shared" si="147"/>
        <v>#N/A</v>
      </c>
      <c r="BL681" s="7" t="e">
        <f t="shared" si="144"/>
        <v>#N/A</v>
      </c>
    </row>
    <row r="682" spans="52:64" ht="11.25" customHeight="1">
      <c r="AZ682" s="7">
        <f t="shared" si="135"/>
        <v>0.72906909621696669</v>
      </c>
      <c r="BA682" s="7">
        <f t="shared" si="145"/>
        <v>0.60999999999991672</v>
      </c>
      <c r="BB682" s="7">
        <f t="shared" si="136"/>
        <v>0.33121468019116973</v>
      </c>
      <c r="BC682" s="7" t="e">
        <f t="shared" si="137"/>
        <v>#N/A</v>
      </c>
      <c r="BD682" s="7">
        <f t="shared" si="138"/>
        <v>0.60998999999991677</v>
      </c>
      <c r="BE682" s="7">
        <f t="shared" si="139"/>
        <v>0.61000999999991667</v>
      </c>
      <c r="BF682" s="7">
        <f t="shared" si="140"/>
        <v>0.72226225006274447</v>
      </c>
      <c r="BG682" s="7">
        <f t="shared" si="141"/>
        <v>0.72226861558088584</v>
      </c>
      <c r="BH682" s="7" t="e">
        <f t="shared" si="142"/>
        <v>#N/A</v>
      </c>
      <c r="BI682" s="7" t="e">
        <f t="shared" si="146"/>
        <v>#N/A</v>
      </c>
      <c r="BJ682" s="7" t="e">
        <f t="shared" si="143"/>
        <v>#N/A</v>
      </c>
      <c r="BK682" s="7" t="e">
        <f t="shared" si="147"/>
        <v>#N/A</v>
      </c>
      <c r="BL682" s="7" t="e">
        <f t="shared" si="144"/>
        <v>#N/A</v>
      </c>
    </row>
    <row r="683" spans="52:64" ht="11.25" customHeight="1">
      <c r="AZ683" s="7">
        <f t="shared" si="135"/>
        <v>0.73237110653098947</v>
      </c>
      <c r="BA683" s="7">
        <f t="shared" si="145"/>
        <v>0.61999999999991673</v>
      </c>
      <c r="BB683" s="7">
        <f t="shared" si="136"/>
        <v>0.32918396077078177</v>
      </c>
      <c r="BC683" s="7" t="e">
        <f t="shared" si="137"/>
        <v>#N/A</v>
      </c>
      <c r="BD683" s="7">
        <f t="shared" si="138"/>
        <v>0.61998999999991677</v>
      </c>
      <c r="BE683" s="7">
        <f t="shared" si="139"/>
        <v>0.62000999999991668</v>
      </c>
      <c r="BF683" s="7">
        <f t="shared" si="140"/>
        <v>0.72543470498011375</v>
      </c>
      <c r="BG683" s="7">
        <f t="shared" si="141"/>
        <v>0.72544102913994457</v>
      </c>
      <c r="BH683" s="7" t="e">
        <f t="shared" si="142"/>
        <v>#N/A</v>
      </c>
      <c r="BI683" s="7" t="e">
        <f t="shared" si="146"/>
        <v>#N/A</v>
      </c>
      <c r="BJ683" s="7" t="e">
        <f t="shared" si="143"/>
        <v>#N/A</v>
      </c>
      <c r="BK683" s="7" t="e">
        <f t="shared" si="147"/>
        <v>#N/A</v>
      </c>
      <c r="BL683" s="7" t="e">
        <f t="shared" si="144"/>
        <v>#N/A</v>
      </c>
    </row>
    <row r="684" spans="52:64" ht="11.25" customHeight="1">
      <c r="AZ684" s="7">
        <f t="shared" si="135"/>
        <v>0.73565270788429515</v>
      </c>
      <c r="BA684" s="7">
        <f t="shared" si="145"/>
        <v>0.62999999999991674</v>
      </c>
      <c r="BB684" s="7">
        <f t="shared" si="136"/>
        <v>0.32713297701657157</v>
      </c>
      <c r="BC684" s="7" t="e">
        <f t="shared" si="137"/>
        <v>#N/A</v>
      </c>
      <c r="BD684" s="7">
        <f t="shared" si="138"/>
        <v>0.62998999999991678</v>
      </c>
      <c r="BE684" s="7">
        <f t="shared" si="139"/>
        <v>0.63000999999991669</v>
      </c>
      <c r="BF684" s="7">
        <f t="shared" si="140"/>
        <v>0.7285863935031105</v>
      </c>
      <c r="BG684" s="7">
        <f t="shared" si="141"/>
        <v>0.72859267595709731</v>
      </c>
      <c r="BH684" s="7" t="e">
        <f t="shared" si="142"/>
        <v>#N/A</v>
      </c>
      <c r="BI684" s="7" t="e">
        <f t="shared" si="146"/>
        <v>#N/A</v>
      </c>
      <c r="BJ684" s="7" t="e">
        <f t="shared" si="143"/>
        <v>#N/A</v>
      </c>
      <c r="BK684" s="7" t="e">
        <f t="shared" si="147"/>
        <v>#N/A</v>
      </c>
      <c r="BL684" s="7" t="e">
        <f t="shared" si="144"/>
        <v>#N/A</v>
      </c>
    </row>
    <row r="685" spans="52:64" ht="11.25" customHeight="1">
      <c r="AZ685" s="7">
        <f t="shared" si="135"/>
        <v>0.73891370030711134</v>
      </c>
      <c r="BA685" s="7">
        <f t="shared" si="145"/>
        <v>0.63999999999991675</v>
      </c>
      <c r="BB685" s="7">
        <f t="shared" si="136"/>
        <v>0.32506226408409944</v>
      </c>
      <c r="BC685" s="7" t="e">
        <f t="shared" si="137"/>
        <v>#N/A</v>
      </c>
      <c r="BD685" s="7">
        <f t="shared" si="138"/>
        <v>0.63998999999991679</v>
      </c>
      <c r="BE685" s="7">
        <f t="shared" si="139"/>
        <v>0.6400099999999167</v>
      </c>
      <c r="BF685" s="7">
        <f t="shared" si="140"/>
        <v>0.7317171450367852</v>
      </c>
      <c r="BG685" s="7">
        <f t="shared" si="141"/>
        <v>0.73172338545010684</v>
      </c>
      <c r="BH685" s="7" t="e">
        <f t="shared" si="142"/>
        <v>#N/A</v>
      </c>
      <c r="BI685" s="7" t="e">
        <f t="shared" si="146"/>
        <v>#N/A</v>
      </c>
      <c r="BJ685" s="7" t="e">
        <f t="shared" si="143"/>
        <v>#N/A</v>
      </c>
      <c r="BK685" s="7" t="e">
        <f t="shared" si="147"/>
        <v>#N/A</v>
      </c>
      <c r="BL685" s="7" t="e">
        <f t="shared" si="144"/>
        <v>#N/A</v>
      </c>
    </row>
    <row r="686" spans="52:64" ht="11.25" customHeight="1">
      <c r="AZ686" s="7">
        <f t="shared" si="135"/>
        <v>0.74215388919410841</v>
      </c>
      <c r="BA686" s="7">
        <f t="shared" si="145"/>
        <v>0.64999999999991676</v>
      </c>
      <c r="BB686" s="7">
        <f t="shared" si="136"/>
        <v>0.32297235966793175</v>
      </c>
      <c r="BC686" s="7" t="e">
        <f t="shared" si="137"/>
        <v>#N/A</v>
      </c>
      <c r="BD686" s="7">
        <f t="shared" si="138"/>
        <v>0.6499899999999168</v>
      </c>
      <c r="BE686" s="7">
        <f t="shared" si="139"/>
        <v>0.65000999999991671</v>
      </c>
      <c r="BF686" s="7">
        <f t="shared" si="140"/>
        <v>0.73482679534047979</v>
      </c>
      <c r="BG686" s="7">
        <f t="shared" si="141"/>
        <v>0.73483299339101971</v>
      </c>
      <c r="BH686" s="7" t="e">
        <f t="shared" si="142"/>
        <v>#N/A</v>
      </c>
      <c r="BI686" s="7" t="e">
        <f t="shared" si="146"/>
        <v>#N/A</v>
      </c>
      <c r="BJ686" s="7" t="e">
        <f t="shared" si="143"/>
        <v>#N/A</v>
      </c>
      <c r="BK686" s="7" t="e">
        <f t="shared" si="147"/>
        <v>#N/A</v>
      </c>
      <c r="BL686" s="7" t="e">
        <f t="shared" si="144"/>
        <v>#N/A</v>
      </c>
    </row>
    <row r="687" spans="52:64" ht="11.25" customHeight="1">
      <c r="AZ687" s="7">
        <f t="shared" si="135"/>
        <v>0.74537308532863711</v>
      </c>
      <c r="BA687" s="7">
        <f t="shared" si="145"/>
        <v>0.65999999999991676</v>
      </c>
      <c r="BB687" s="7">
        <f t="shared" si="136"/>
        <v>0.32086380377119011</v>
      </c>
      <c r="BC687" s="7" t="e">
        <f t="shared" si="137"/>
        <v>#N/A</v>
      </c>
      <c r="BD687" s="7">
        <f t="shared" si="138"/>
        <v>0.65998999999991681</v>
      </c>
      <c r="BE687" s="7">
        <f t="shared" si="139"/>
        <v>0.66000999999991672</v>
      </c>
      <c r="BF687" s="7">
        <f t="shared" si="140"/>
        <v>0.73791518652348365</v>
      </c>
      <c r="BG687" s="7">
        <f t="shared" si="141"/>
        <v>0.73792134190181791</v>
      </c>
      <c r="BH687" s="7" t="e">
        <f t="shared" si="142"/>
        <v>#N/A</v>
      </c>
      <c r="BI687" s="7" t="e">
        <f t="shared" si="146"/>
        <v>#N/A</v>
      </c>
      <c r="BJ687" s="7" t="e">
        <f t="shared" si="143"/>
        <v>#N/A</v>
      </c>
      <c r="BK687" s="7" t="e">
        <f t="shared" si="147"/>
        <v>#N/A</v>
      </c>
      <c r="BL687" s="7" t="e">
        <f t="shared" si="144"/>
        <v>#N/A</v>
      </c>
    </row>
    <row r="688" spans="52:64" ht="11.25" customHeight="1">
      <c r="AZ688" s="7">
        <f t="shared" si="135"/>
        <v>0.74857110490466328</v>
      </c>
      <c r="BA688" s="7">
        <f t="shared" si="145"/>
        <v>0.66999999999991677</v>
      </c>
      <c r="BB688" s="7">
        <f t="shared" si="136"/>
        <v>0.31873713847541929</v>
      </c>
      <c r="BC688" s="7" t="e">
        <f t="shared" si="137"/>
        <v>#N/A</v>
      </c>
      <c r="BD688" s="7">
        <f t="shared" si="138"/>
        <v>0.66998999999991682</v>
      </c>
      <c r="BE688" s="7">
        <f t="shared" si="139"/>
        <v>0.67000999999991673</v>
      </c>
      <c r="BF688" s="7">
        <f t="shared" si="140"/>
        <v>0.74098216703734532</v>
      </c>
      <c r="BG688" s="7">
        <f t="shared" si="141"/>
        <v>0.74098827944672552</v>
      </c>
      <c r="BH688" s="7" t="e">
        <f t="shared" si="142"/>
        <v>#N/A</v>
      </c>
      <c r="BI688" s="7" t="e">
        <f t="shared" si="146"/>
        <v>#N/A</v>
      </c>
      <c r="BJ688" s="7" t="e">
        <f t="shared" si="143"/>
        <v>#N/A</v>
      </c>
      <c r="BK688" s="7" t="e">
        <f t="shared" si="147"/>
        <v>#N/A</v>
      </c>
      <c r="BL688" s="7" t="e">
        <f t="shared" si="144"/>
        <v>#N/A</v>
      </c>
    </row>
    <row r="689" spans="52:64" ht="11.25" customHeight="1">
      <c r="AZ689" s="7">
        <f t="shared" si="135"/>
        <v>0.7517477695464031</v>
      </c>
      <c r="BA689" s="7">
        <f t="shared" si="145"/>
        <v>0.67999999999991678</v>
      </c>
      <c r="BB689" s="7">
        <f t="shared" si="136"/>
        <v>0.31659290771091064</v>
      </c>
      <c r="BC689" s="7" t="e">
        <f t="shared" si="137"/>
        <v>#N/A</v>
      </c>
      <c r="BD689" s="7">
        <f t="shared" si="138"/>
        <v>0.67998999999991683</v>
      </c>
      <c r="BE689" s="7">
        <f t="shared" si="139"/>
        <v>0.68000999999991674</v>
      </c>
      <c r="BF689" s="7">
        <f t="shared" si="140"/>
        <v>0.7440275916648933</v>
      </c>
      <c r="BG689" s="7">
        <f t="shared" si="141"/>
        <v>0.7440336608212198</v>
      </c>
      <c r="BH689" s="7" t="e">
        <f t="shared" si="142"/>
        <v>#N/A</v>
      </c>
      <c r="BI689" s="7" t="e">
        <f t="shared" si="146"/>
        <v>#N/A</v>
      </c>
      <c r="BJ689" s="7" t="e">
        <f t="shared" si="143"/>
        <v>#N/A</v>
      </c>
      <c r="BK689" s="7" t="e">
        <f t="shared" si="147"/>
        <v>#N/A</v>
      </c>
      <c r="BL689" s="7" t="e">
        <f t="shared" si="144"/>
        <v>#N/A</v>
      </c>
    </row>
    <row r="690" spans="52:64" ht="11.25" customHeight="1">
      <c r="AZ690" s="7">
        <f t="shared" si="135"/>
        <v>0.75490290632566437</v>
      </c>
      <c r="BA690" s="7">
        <f t="shared" si="145"/>
        <v>0.68999999999991679</v>
      </c>
      <c r="BB690" s="7">
        <f t="shared" si="136"/>
        <v>0.31443165702761533</v>
      </c>
      <c r="BC690" s="7" t="e">
        <f t="shared" si="137"/>
        <v>#N/A</v>
      </c>
      <c r="BD690" s="7">
        <f t="shared" si="138"/>
        <v>0.68998999999991684</v>
      </c>
      <c r="BE690" s="7">
        <f t="shared" si="139"/>
        <v>0.69000999999991675</v>
      </c>
      <c r="BF690" s="7">
        <f t="shared" si="140"/>
        <v>0.74705132150600084</v>
      </c>
      <c r="BG690" s="7">
        <f t="shared" si="141"/>
        <v>0.74705734713779215</v>
      </c>
      <c r="BH690" s="7" t="e">
        <f t="shared" si="142"/>
        <v>#N/A</v>
      </c>
      <c r="BI690" s="7" t="e">
        <f t="shared" si="146"/>
        <v>#N/A</v>
      </c>
      <c r="BJ690" s="7" t="e">
        <f t="shared" si="143"/>
        <v>#N/A</v>
      </c>
      <c r="BK690" s="7" t="e">
        <f t="shared" si="147"/>
        <v>#N/A</v>
      </c>
      <c r="BL690" s="7" t="e">
        <f t="shared" si="144"/>
        <v>#N/A</v>
      </c>
    </row>
    <row r="691" spans="52:64" ht="11.25" customHeight="1">
      <c r="AZ691" s="7">
        <f t="shared" si="135"/>
        <v>0.75803634777690099</v>
      </c>
      <c r="BA691" s="7">
        <f t="shared" si="145"/>
        <v>0.6999999999999168</v>
      </c>
      <c r="BB691" s="7">
        <f t="shared" si="136"/>
        <v>0.31225393336677942</v>
      </c>
      <c r="BC691" s="7" t="e">
        <f t="shared" si="137"/>
        <v>#N/A</v>
      </c>
      <c r="BD691" s="7">
        <f t="shared" si="138"/>
        <v>0.69998999999991685</v>
      </c>
      <c r="BE691" s="7">
        <f t="shared" si="139"/>
        <v>0.70000999999991675</v>
      </c>
      <c r="BF691" s="7">
        <f t="shared" si="140"/>
        <v>0.75005322396016794</v>
      </c>
      <c r="BG691" s="7">
        <f t="shared" si="141"/>
        <v>0.75005920580852226</v>
      </c>
      <c r="BH691" s="7" t="e">
        <f t="shared" si="142"/>
        <v>#N/A</v>
      </c>
      <c r="BI691" s="7" t="e">
        <f t="shared" si="146"/>
        <v>#N/A</v>
      </c>
      <c r="BJ691" s="7" t="e">
        <f t="shared" si="143"/>
        <v>#N/A</v>
      </c>
      <c r="BK691" s="7" t="e">
        <f t="shared" si="147"/>
        <v>#N/A</v>
      </c>
      <c r="BL691" s="7" t="e">
        <f t="shared" si="144"/>
        <v>#N/A</v>
      </c>
    </row>
    <row r="692" spans="52:64" ht="11.25" customHeight="1">
      <c r="AZ692" s="7">
        <f t="shared" si="135"/>
        <v>0.76114793190998753</v>
      </c>
      <c r="BA692" s="7">
        <f t="shared" si="145"/>
        <v>0.70999999999991681</v>
      </c>
      <c r="BB692" s="7">
        <f t="shared" si="136"/>
        <v>0.3100602848334344</v>
      </c>
      <c r="BC692" s="7" t="e">
        <f t="shared" si="137"/>
        <v>#N/A</v>
      </c>
      <c r="BD692" s="7">
        <f t="shared" si="138"/>
        <v>0.70998999999991685</v>
      </c>
      <c r="BE692" s="7">
        <f t="shared" si="139"/>
        <v>0.71000999999991676</v>
      </c>
      <c r="BF692" s="7">
        <f t="shared" si="140"/>
        <v>0.75303317270596226</v>
      </c>
      <c r="BG692" s="7">
        <f t="shared" si="141"/>
        <v>0.75303911052451289</v>
      </c>
      <c r="BH692" s="7" t="e">
        <f t="shared" si="142"/>
        <v>#N/A</v>
      </c>
      <c r="BI692" s="7" t="e">
        <f t="shared" si="146"/>
        <v>#N/A</v>
      </c>
      <c r="BJ692" s="7" t="e">
        <f t="shared" si="143"/>
        <v>#N/A</v>
      </c>
      <c r="BK692" s="7" t="e">
        <f t="shared" si="147"/>
        <v>#N/A</v>
      </c>
      <c r="BL692" s="7" t="e">
        <f t="shared" si="144"/>
        <v>#N/A</v>
      </c>
    </row>
    <row r="693" spans="52:64" ht="11.25" customHeight="1">
      <c r="AZ693" s="7">
        <f t="shared" si="135"/>
        <v>0.76423750222072317</v>
      </c>
      <c r="BA693" s="7">
        <f t="shared" si="145"/>
        <v>0.71999999999991682</v>
      </c>
      <c r="BB693" s="7">
        <f t="shared" si="136"/>
        <v>0.30785126046987132</v>
      </c>
      <c r="BC693" s="7" t="e">
        <f t="shared" si="137"/>
        <v>#N/A</v>
      </c>
      <c r="BD693" s="7">
        <f t="shared" si="138"/>
        <v>0.71998999999991686</v>
      </c>
      <c r="BE693" s="7">
        <f t="shared" si="139"/>
        <v>0.72000999999991677</v>
      </c>
      <c r="BF693" s="7">
        <f t="shared" si="140"/>
        <v>0.75599104767738023</v>
      </c>
      <c r="BG693" s="7">
        <f t="shared" si="141"/>
        <v>0.75599694123224603</v>
      </c>
      <c r="BH693" s="7" t="e">
        <f t="shared" si="142"/>
        <v>#N/A</v>
      </c>
      <c r="BI693" s="7" t="e">
        <f t="shared" si="146"/>
        <v>#N/A</v>
      </c>
      <c r="BJ693" s="7" t="e">
        <f t="shared" si="143"/>
        <v>#N/A</v>
      </c>
      <c r="BK693" s="7" t="e">
        <f t="shared" si="147"/>
        <v>#N/A</v>
      </c>
      <c r="BL693" s="7" t="e">
        <f t="shared" si="144"/>
        <v>#N/A</v>
      </c>
    </row>
    <row r="694" spans="52:64" ht="11.25" customHeight="1">
      <c r="AZ694" s="7">
        <f t="shared" si="135"/>
        <v>0.767304907699077</v>
      </c>
      <c r="BA694" s="7">
        <f t="shared" si="145"/>
        <v>0.72999999999991683</v>
      </c>
      <c r="BB694" s="7">
        <f t="shared" si="136"/>
        <v>0.30562741003022842</v>
      </c>
      <c r="BC694" s="7" t="e">
        <f t="shared" si="137"/>
        <v>#N/A</v>
      </c>
      <c r="BD694" s="7">
        <f t="shared" si="138"/>
        <v>0.72998999999991687</v>
      </c>
      <c r="BE694" s="7">
        <f t="shared" si="139"/>
        <v>0.73000999999991678</v>
      </c>
      <c r="BF694" s="7">
        <f t="shared" si="140"/>
        <v>0.75892673503718955</v>
      </c>
      <c r="BG694" s="7">
        <f t="shared" si="141"/>
        <v>0.75893258410691744</v>
      </c>
      <c r="BH694" s="7" t="e">
        <f t="shared" si="142"/>
        <v>#N/A</v>
      </c>
      <c r="BI694" s="7" t="e">
        <f t="shared" si="146"/>
        <v>#N/A</v>
      </c>
      <c r="BJ694" s="7" t="e">
        <f t="shared" si="143"/>
        <v>#N/A</v>
      </c>
      <c r="BK694" s="7" t="e">
        <f t="shared" si="147"/>
        <v>#N/A</v>
      </c>
      <c r="BL694" s="7" t="e">
        <f t="shared" si="144"/>
        <v>#N/A</v>
      </c>
    </row>
    <row r="695" spans="52:64" ht="11.25" customHeight="1">
      <c r="AZ695" s="7">
        <f t="shared" si="135"/>
        <v>0.77035000283518418</v>
      </c>
      <c r="BA695" s="7">
        <f t="shared" si="145"/>
        <v>0.73999999999991684</v>
      </c>
      <c r="BB695" s="7">
        <f t="shared" si="136"/>
        <v>0.30338928375631874</v>
      </c>
      <c r="BC695" s="7" t="e">
        <f t="shared" si="137"/>
        <v>#N/A</v>
      </c>
      <c r="BD695" s="7">
        <f t="shared" si="138"/>
        <v>0.73998999999991688</v>
      </c>
      <c r="BE695" s="7">
        <f t="shared" si="139"/>
        <v>0.74000999999991679</v>
      </c>
      <c r="BF695" s="7">
        <f t="shared" si="140"/>
        <v>0.76184012714731109</v>
      </c>
      <c r="BG695" s="7">
        <f t="shared" si="141"/>
        <v>0.76184593152281499</v>
      </c>
      <c r="BH695" s="7" t="e">
        <f t="shared" si="142"/>
        <v>#N/A</v>
      </c>
      <c r="BI695" s="7" t="e">
        <f t="shared" si="146"/>
        <v>#N/A</v>
      </c>
      <c r="BJ695" s="7" t="e">
        <f t="shared" si="143"/>
        <v>#N/A</v>
      </c>
      <c r="BK695" s="7" t="e">
        <f t="shared" si="147"/>
        <v>#N/A</v>
      </c>
      <c r="BL695" s="7" t="e">
        <f t="shared" si="144"/>
        <v>#N/A</v>
      </c>
    </row>
    <row r="696" spans="52:64" ht="11.25" customHeight="1">
      <c r="AZ696" s="7">
        <f t="shared" si="135"/>
        <v>0.77337264762310665</v>
      </c>
      <c r="BA696" s="7">
        <f t="shared" si="145"/>
        <v>0.74999999999991684</v>
      </c>
      <c r="BB696" s="7">
        <f t="shared" si="136"/>
        <v>0.30113743215482319</v>
      </c>
      <c r="BC696" s="7" t="e">
        <f t="shared" si="137"/>
        <v>#N/A</v>
      </c>
      <c r="BD696" s="7">
        <f t="shared" si="138"/>
        <v>0.74998999999991689</v>
      </c>
      <c r="BE696" s="7">
        <f t="shared" si="139"/>
        <v>0.7500099999999168</v>
      </c>
      <c r="BF696" s="7">
        <f t="shared" si="140"/>
        <v>0.76473112253630671</v>
      </c>
      <c r="BG696" s="7">
        <f t="shared" si="141"/>
        <v>0.76473688202079959</v>
      </c>
      <c r="BH696" s="7" t="e">
        <f t="shared" si="142"/>
        <v>#N/A</v>
      </c>
      <c r="BI696" s="7" t="e">
        <f t="shared" si="146"/>
        <v>#N/A</v>
      </c>
      <c r="BJ696" s="7" t="e">
        <f t="shared" si="143"/>
        <v>#N/A</v>
      </c>
      <c r="BK696" s="7" t="e">
        <f t="shared" si="147"/>
        <v>#N/A</v>
      </c>
      <c r="BL696" s="7" t="e">
        <f t="shared" si="144"/>
        <v>#N/A</v>
      </c>
    </row>
    <row r="697" spans="52:64" ht="11.25" customHeight="1">
      <c r="AZ697" s="7">
        <f t="shared" si="135"/>
        <v>0.77637270756237564</v>
      </c>
      <c r="BA697" s="7">
        <f t="shared" si="145"/>
        <v>0.75999999999991685</v>
      </c>
      <c r="BB697" s="7">
        <f t="shared" si="136"/>
        <v>0.29887240577597163</v>
      </c>
      <c r="BC697" s="7" t="e">
        <f t="shared" si="137"/>
        <v>#N/A</v>
      </c>
      <c r="BD697" s="7">
        <f t="shared" si="138"/>
        <v>0.7599899999999169</v>
      </c>
      <c r="BE697" s="7">
        <f t="shared" si="139"/>
        <v>0.76000999999991681</v>
      </c>
      <c r="BF697" s="7">
        <f t="shared" si="140"/>
        <v>0.76759962586403385</v>
      </c>
      <c r="BG697" s="7">
        <f t="shared" si="141"/>
        <v>0.76760534027295457</v>
      </c>
      <c r="BH697" s="7" t="e">
        <f t="shared" si="142"/>
        <v>#N/A</v>
      </c>
      <c r="BI697" s="7" t="e">
        <f t="shared" si="146"/>
        <v>#N/A</v>
      </c>
      <c r="BJ697" s="7" t="e">
        <f t="shared" si="143"/>
        <v>#N/A</v>
      </c>
      <c r="BK697" s="7" t="e">
        <f t="shared" si="147"/>
        <v>#N/A</v>
      </c>
      <c r="BL697" s="7" t="e">
        <f t="shared" si="144"/>
        <v>#N/A</v>
      </c>
    </row>
    <row r="698" spans="52:64" ht="11.25" customHeight="1">
      <c r="AZ698" s="7">
        <f t="shared" si="135"/>
        <v>0.77935005365732568</v>
      </c>
      <c r="BA698" s="7">
        <f t="shared" si="145"/>
        <v>0.76999999999991686</v>
      </c>
      <c r="BB698" s="7">
        <f t="shared" si="136"/>
        <v>0.2965947549938347</v>
      </c>
      <c r="BC698" s="7" t="e">
        <f t="shared" si="137"/>
        <v>#N/A</v>
      </c>
      <c r="BD698" s="7">
        <f t="shared" si="138"/>
        <v>0.76998999999991691</v>
      </c>
      <c r="BE698" s="7">
        <f t="shared" si="139"/>
        <v>0.77000999999991682</v>
      </c>
      <c r="BF698" s="7">
        <f t="shared" si="140"/>
        <v>0.77044554788353747</v>
      </c>
      <c r="BG698" s="7">
        <f t="shared" si="141"/>
        <v>0.77045121704447017</v>
      </c>
      <c r="BH698" s="7" t="e">
        <f t="shared" si="142"/>
        <v>#N/A</v>
      </c>
      <c r="BI698" s="7" t="e">
        <f t="shared" si="146"/>
        <v>#N/A</v>
      </c>
      <c r="BJ698" s="7" t="e">
        <f t="shared" si="143"/>
        <v>#N/A</v>
      </c>
      <c r="BK698" s="7" t="e">
        <f t="shared" si="147"/>
        <v>#N/A</v>
      </c>
      <c r="BL698" s="7" t="e">
        <f t="shared" si="144"/>
        <v>#N/A</v>
      </c>
    </row>
    <row r="699" spans="52:64" ht="11.25" customHeight="1">
      <c r="AZ699" s="7">
        <f t="shared" si="135"/>
        <v>0.7823045624142424</v>
      </c>
      <c r="BA699" s="7">
        <f t="shared" si="145"/>
        <v>0.77999999999991687</v>
      </c>
      <c r="BB699" s="7">
        <f t="shared" si="136"/>
        <v>0.29430502978834416</v>
      </c>
      <c r="BC699" s="7" t="e">
        <f t="shared" si="137"/>
        <v>#N/A</v>
      </c>
      <c r="BD699" s="7">
        <f t="shared" si="138"/>
        <v>0.77998999999991692</v>
      </c>
      <c r="BE699" s="7">
        <f t="shared" si="139"/>
        <v>0.78000999999991683</v>
      </c>
      <c r="BF699" s="7">
        <f t="shared" si="140"/>
        <v>0.7732688054002399</v>
      </c>
      <c r="BG699" s="7">
        <f t="shared" si="141"/>
        <v>0.77327442915283218</v>
      </c>
      <c r="BH699" s="7" t="e">
        <f t="shared" si="142"/>
        <v>#N/A</v>
      </c>
      <c r="BI699" s="7" t="e">
        <f t="shared" si="146"/>
        <v>#N/A</v>
      </c>
      <c r="BJ699" s="7" t="e">
        <f t="shared" si="143"/>
        <v>#N/A</v>
      </c>
      <c r="BK699" s="7" t="e">
        <f t="shared" si="147"/>
        <v>#N/A</v>
      </c>
      <c r="BL699" s="7" t="e">
        <f t="shared" si="144"/>
        <v>#N/A</v>
      </c>
    </row>
    <row r="700" spans="52:64" ht="11.25" customHeight="1">
      <c r="AZ700" s="7">
        <f t="shared" si="135"/>
        <v>0.78523611583633857</v>
      </c>
      <c r="BA700" s="7">
        <f t="shared" si="145"/>
        <v>0.78999999999991688</v>
      </c>
      <c r="BB700" s="7">
        <f t="shared" si="136"/>
        <v>0.29200377952916062</v>
      </c>
      <c r="BC700" s="7" t="e">
        <f t="shared" si="137"/>
        <v>#N/A</v>
      </c>
      <c r="BD700" s="7">
        <f t="shared" si="138"/>
        <v>0.78998999999991693</v>
      </c>
      <c r="BE700" s="7">
        <f t="shared" si="139"/>
        <v>0.79000999999991683</v>
      </c>
      <c r="BF700" s="7">
        <f t="shared" si="140"/>
        <v>0.7760693212285068</v>
      </c>
      <c r="BG700" s="7">
        <f t="shared" si="141"/>
        <v>0.77607489942437691</v>
      </c>
      <c r="BH700" s="7" t="e">
        <f t="shared" si="142"/>
        <v>#N/A</v>
      </c>
      <c r="BI700" s="7" t="e">
        <f t="shared" si="146"/>
        <v>#N/A</v>
      </c>
      <c r="BJ700" s="7" t="e">
        <f t="shared" si="143"/>
        <v>#N/A</v>
      </c>
      <c r="BK700" s="7" t="e">
        <f t="shared" si="147"/>
        <v>#N/A</v>
      </c>
      <c r="BL700" s="7" t="e">
        <f t="shared" si="144"/>
        <v>#N/A</v>
      </c>
    </row>
    <row r="701" spans="52:64" ht="11.25" customHeight="1">
      <c r="AZ701" s="7">
        <f t="shared" si="135"/>
        <v>0.78814460141657916</v>
      </c>
      <c r="BA701" s="7">
        <f t="shared" si="145"/>
        <v>0.79999999999991689</v>
      </c>
      <c r="BB701" s="7">
        <f t="shared" si="136"/>
        <v>0.28969155276150199</v>
      </c>
      <c r="BC701" s="7" t="e">
        <f t="shared" si="137"/>
        <v>#N/A</v>
      </c>
      <c r="BD701" s="7">
        <f t="shared" si="138"/>
        <v>0.79998999999991693</v>
      </c>
      <c r="BE701" s="7">
        <f t="shared" si="139"/>
        <v>0.80000999999991684</v>
      </c>
      <c r="BF701" s="7">
        <f t="shared" si="140"/>
        <v>0.77884702414564955</v>
      </c>
      <c r="BG701" s="7">
        <f t="shared" si="141"/>
        <v>0.77885255664829578</v>
      </c>
      <c r="BH701" s="7" t="e">
        <f t="shared" si="142"/>
        <v>#N/A</v>
      </c>
      <c r="BI701" s="7" t="e">
        <f t="shared" si="146"/>
        <v>#N/A</v>
      </c>
      <c r="BJ701" s="7" t="e">
        <f t="shared" si="143"/>
        <v>#N/A</v>
      </c>
      <c r="BK701" s="7" t="e">
        <f t="shared" si="147"/>
        <v>#N/A</v>
      </c>
      <c r="BL701" s="7" t="e">
        <f t="shared" si="144"/>
        <v>#N/A</v>
      </c>
    </row>
    <row r="702" spans="52:64" ht="11.25" customHeight="1">
      <c r="AZ702" s="7">
        <f t="shared" si="135"/>
        <v>0.79102991212837459</v>
      </c>
      <c r="BA702" s="7">
        <f t="shared" si="145"/>
        <v>0.8099999999999169</v>
      </c>
      <c r="BB702" s="7">
        <f t="shared" si="136"/>
        <v>0.28736889699404761</v>
      </c>
      <c r="BC702" s="7" t="e">
        <f t="shared" si="137"/>
        <v>#N/A</v>
      </c>
      <c r="BD702" s="7">
        <f t="shared" si="138"/>
        <v>0.80998999999991694</v>
      </c>
      <c r="BE702" s="7">
        <f t="shared" si="139"/>
        <v>0.81000999999991685</v>
      </c>
      <c r="BF702" s="7">
        <f t="shared" si="140"/>
        <v>0.78160184884344575</v>
      </c>
      <c r="BG702" s="7">
        <f t="shared" si="141"/>
        <v>0.78160733552814365</v>
      </c>
      <c r="BH702" s="7" t="e">
        <f t="shared" si="142"/>
        <v>#N/A</v>
      </c>
      <c r="BI702" s="7" t="e">
        <f t="shared" si="146"/>
        <v>#N/A</v>
      </c>
      <c r="BJ702" s="7" t="e">
        <f t="shared" si="143"/>
        <v>#N/A</v>
      </c>
      <c r="BK702" s="7" t="e">
        <f t="shared" si="147"/>
        <v>#N/A</v>
      </c>
      <c r="BL702" s="7" t="e">
        <f t="shared" si="144"/>
        <v>#N/A</v>
      </c>
    </row>
    <row r="703" spans="52:64" ht="11.25" customHeight="1">
      <c r="AZ703" s="7">
        <f t="shared" si="135"/>
        <v>0.79389194641416316</v>
      </c>
      <c r="BA703" s="7">
        <f t="shared" si="145"/>
        <v>0.81999999999991691</v>
      </c>
      <c r="BB703" s="7">
        <f t="shared" si="136"/>
        <v>0.28503635848902659</v>
      </c>
      <c r="BC703" s="7" t="e">
        <f t="shared" si="137"/>
        <v>#N/A</v>
      </c>
      <c r="BD703" s="7">
        <f t="shared" si="138"/>
        <v>0.81998999999991695</v>
      </c>
      <c r="BE703" s="7">
        <f t="shared" si="139"/>
        <v>0.82000999999991686</v>
      </c>
      <c r="BF703" s="7">
        <f t="shared" si="140"/>
        <v>0.78433373587723731</v>
      </c>
      <c r="BG703" s="7">
        <f t="shared" si="141"/>
        <v>0.78433917663093844</v>
      </c>
      <c r="BH703" s="7" t="e">
        <f t="shared" si="142"/>
        <v>#N/A</v>
      </c>
      <c r="BI703" s="7" t="e">
        <f t="shared" si="146"/>
        <v>#N/A</v>
      </c>
      <c r="BJ703" s="7" t="e">
        <f t="shared" si="143"/>
        <v>#N/A</v>
      </c>
      <c r="BK703" s="7" t="e">
        <f t="shared" si="147"/>
        <v>#N/A</v>
      </c>
      <c r="BL703" s="7" t="e">
        <f t="shared" si="144"/>
        <v>#N/A</v>
      </c>
    </row>
    <row r="704" spans="52:64" ht="11.25" customHeight="1">
      <c r="AZ704" s="7">
        <f t="shared" si="135"/>
        <v>0.79673060817190811</v>
      </c>
      <c r="BA704" s="7">
        <f t="shared" si="145"/>
        <v>0.82999999999991692</v>
      </c>
      <c r="BB704" s="7">
        <f t="shared" si="136"/>
        <v>0.28269448205459968</v>
      </c>
      <c r="BC704" s="7" t="e">
        <f t="shared" si="137"/>
        <v>#N/A</v>
      </c>
      <c r="BD704" s="7">
        <f t="shared" si="138"/>
        <v>0.82998999999991696</v>
      </c>
      <c r="BE704" s="7">
        <f t="shared" si="139"/>
        <v>0.83000999999991687</v>
      </c>
      <c r="BF704" s="7">
        <f t="shared" si="140"/>
        <v>0.78704263161269528</v>
      </c>
      <c r="BG704" s="7">
        <f t="shared" si="141"/>
        <v>0.78704802633391557</v>
      </c>
      <c r="BH704" s="7" t="e">
        <f t="shared" si="142"/>
        <v>#N/A</v>
      </c>
      <c r="BI704" s="7" t="e">
        <f t="shared" si="146"/>
        <v>#N/A</v>
      </c>
      <c r="BJ704" s="7" t="e">
        <f t="shared" si="143"/>
        <v>#N/A</v>
      </c>
      <c r="BK704" s="7" t="e">
        <f t="shared" si="147"/>
        <v>#N/A</v>
      </c>
      <c r="BL704" s="7" t="e">
        <f t="shared" si="144"/>
        <v>#N/A</v>
      </c>
    </row>
    <row r="705" spans="52:64" ht="11.25" customHeight="1">
      <c r="AZ705" s="7">
        <f t="shared" si="135"/>
        <v>0.79954580673952713</v>
      </c>
      <c r="BA705" s="7">
        <f t="shared" si="145"/>
        <v>0.83999999999991692</v>
      </c>
      <c r="BB705" s="7">
        <f t="shared" si="136"/>
        <v>0.28034381083964011</v>
      </c>
      <c r="BC705" s="7" t="e">
        <f t="shared" si="137"/>
        <v>#N/A</v>
      </c>
      <c r="BD705" s="7">
        <f t="shared" si="138"/>
        <v>0.83998999999991697</v>
      </c>
      <c r="BE705" s="7">
        <f t="shared" si="139"/>
        <v>0.84000999999991688</v>
      </c>
      <c r="BF705" s="7">
        <f t="shared" si="140"/>
        <v>0.78972848817030916</v>
      </c>
      <c r="BG705" s="7">
        <f t="shared" si="141"/>
        <v>0.78973383676901743</v>
      </c>
      <c r="BH705" s="7" t="e">
        <f t="shared" si="142"/>
        <v>#N/A</v>
      </c>
      <c r="BI705" s="7" t="e">
        <f t="shared" si="146"/>
        <v>#N/A</v>
      </c>
      <c r="BJ705" s="7" t="e">
        <f t="shared" si="143"/>
        <v>#N/A</v>
      </c>
      <c r="BK705" s="7" t="e">
        <f t="shared" si="147"/>
        <v>#N/A</v>
      </c>
      <c r="BL705" s="7" t="e">
        <f t="shared" si="144"/>
        <v>#N/A</v>
      </c>
    </row>
    <row r="706" spans="52:64" ht="11.25" customHeight="1">
      <c r="AZ706" s="7">
        <f t="shared" si="135"/>
        <v>0.80233745687728453</v>
      </c>
      <c r="BA706" s="7">
        <f t="shared" si="145"/>
        <v>0.84999999999991693</v>
      </c>
      <c r="BB706" s="7">
        <f t="shared" si="136"/>
        <v>0.27798488613101607</v>
      </c>
      <c r="BC706" s="7" t="e">
        <f t="shared" si="137"/>
        <v>#N/A</v>
      </c>
      <c r="BD706" s="7">
        <f t="shared" si="138"/>
        <v>0.84998999999991698</v>
      </c>
      <c r="BE706" s="7">
        <f t="shared" si="139"/>
        <v>0.85000999999991689</v>
      </c>
      <c r="BF706" s="7">
        <f t="shared" si="140"/>
        <v>0.79239126336768595</v>
      </c>
      <c r="BG706" s="7">
        <f t="shared" si="141"/>
        <v>0.79239656576518713</v>
      </c>
      <c r="BH706" s="7" t="e">
        <f t="shared" si="142"/>
        <v>#N/A</v>
      </c>
      <c r="BI706" s="7" t="e">
        <f t="shared" si="146"/>
        <v>#N/A</v>
      </c>
      <c r="BJ706" s="7" t="e">
        <f t="shared" si="143"/>
        <v>#N/A</v>
      </c>
      <c r="BK706" s="7" t="e">
        <f t="shared" si="147"/>
        <v>#N/A</v>
      </c>
      <c r="BL706" s="7" t="e">
        <f t="shared" si="144"/>
        <v>#N/A</v>
      </c>
    </row>
    <row r="707" spans="52:64" ht="11.25" customHeight="1">
      <c r="AZ707" s="7">
        <f t="shared" si="135"/>
        <v>0.80510547874816862</v>
      </c>
      <c r="BA707" s="7">
        <f t="shared" si="145"/>
        <v>0.85999999999991694</v>
      </c>
      <c r="BB707" s="7">
        <f t="shared" si="136"/>
        <v>0.27561824715347633</v>
      </c>
      <c r="BC707" s="7" t="e">
        <f t="shared" si="137"/>
        <v>#N/A</v>
      </c>
      <c r="BD707" s="7">
        <f t="shared" si="138"/>
        <v>0.85998999999991699</v>
      </c>
      <c r="BE707" s="7">
        <f t="shared" si="139"/>
        <v>0.8600099999999169</v>
      </c>
      <c r="BF707" s="7">
        <f t="shared" si="140"/>
        <v>0.79503092065973568</v>
      </c>
      <c r="BG707" s="7">
        <f t="shared" si="141"/>
        <v>0.79503617678854654</v>
      </c>
      <c r="BH707" s="7" t="e">
        <f t="shared" si="142"/>
        <v>#N/A</v>
      </c>
      <c r="BI707" s="7" t="e">
        <f t="shared" si="146"/>
        <v>#N/A</v>
      </c>
      <c r="BJ707" s="7" t="e">
        <f t="shared" si="143"/>
        <v>#N/A</v>
      </c>
      <c r="BK707" s="7" t="e">
        <f t="shared" si="147"/>
        <v>#N/A</v>
      </c>
      <c r="BL707" s="7" t="e">
        <f t="shared" si="144"/>
        <v>#N/A</v>
      </c>
    </row>
    <row r="708" spans="52:64" ht="11.25" customHeight="1">
      <c r="AZ708" s="7">
        <f t="shared" si="135"/>
        <v>0.8078497978962812</v>
      </c>
      <c r="BA708" s="7">
        <f t="shared" si="145"/>
        <v>0.86999999999991695</v>
      </c>
      <c r="BB708" s="7">
        <f t="shared" si="136"/>
        <v>0.27324443087223593</v>
      </c>
      <c r="BC708" s="7" t="e">
        <f t="shared" si="137"/>
        <v>#N/A</v>
      </c>
      <c r="BD708" s="7">
        <f t="shared" si="138"/>
        <v>0.869989999999917</v>
      </c>
      <c r="BE708" s="7">
        <f t="shared" si="139"/>
        <v>0.87000999999991691</v>
      </c>
      <c r="BF708" s="7">
        <f t="shared" si="140"/>
        <v>0.79764742907680719</v>
      </c>
      <c r="BG708" s="7">
        <f t="shared" si="141"/>
        <v>0.79765263888053273</v>
      </c>
      <c r="BH708" s="7" t="e">
        <f t="shared" si="142"/>
        <v>#N/A</v>
      </c>
      <c r="BI708" s="7" t="e">
        <f t="shared" si="146"/>
        <v>#N/A</v>
      </c>
      <c r="BJ708" s="7" t="e">
        <f t="shared" si="143"/>
        <v>#N/A</v>
      </c>
      <c r="BK708" s="7" t="e">
        <f t="shared" si="147"/>
        <v>#N/A</v>
      </c>
      <c r="BL708" s="7" t="e">
        <f t="shared" si="144"/>
        <v>#N/A</v>
      </c>
    </row>
    <row r="709" spans="52:64" ht="11.25" customHeight="1">
      <c r="AZ709" s="7">
        <f t="shared" si="135"/>
        <v>0.81057034522326543</v>
      </c>
      <c r="BA709" s="7">
        <f t="shared" si="145"/>
        <v>0.87999999999991696</v>
      </c>
      <c r="BB709" s="7">
        <f t="shared" si="136"/>
        <v>0.27086397179835775</v>
      </c>
      <c r="BC709" s="7" t="e">
        <f t="shared" si="137"/>
        <v>#N/A</v>
      </c>
      <c r="BD709" s="7">
        <f t="shared" si="138"/>
        <v>0.87998999999991701</v>
      </c>
      <c r="BE709" s="7">
        <f t="shared" si="139"/>
        <v>0.88000999999991691</v>
      </c>
      <c r="BF709" s="7">
        <f t="shared" si="140"/>
        <v>0.80024076316086701</v>
      </c>
      <c r="BG709" s="7">
        <f t="shared" si="141"/>
        <v>0.80024592659407012</v>
      </c>
      <c r="BH709" s="7" t="e">
        <f t="shared" si="142"/>
        <v>#N/A</v>
      </c>
      <c r="BI709" s="7" t="e">
        <f t="shared" si="146"/>
        <v>#N/A</v>
      </c>
      <c r="BJ709" s="7" t="e">
        <f t="shared" si="143"/>
        <v>#N/A</v>
      </c>
      <c r="BK709" s="7" t="e">
        <f t="shared" si="147"/>
        <v>#N/A</v>
      </c>
      <c r="BL709" s="7" t="e">
        <f t="shared" si="144"/>
        <v>#N/A</v>
      </c>
    </row>
    <row r="710" spans="52:64" ht="11.25" customHeight="1">
      <c r="AZ710" s="7">
        <f t="shared" si="135"/>
        <v>0.81326705696280499</v>
      </c>
      <c r="BA710" s="7">
        <f t="shared" si="145"/>
        <v>0.88999999999991697</v>
      </c>
      <c r="BB710" s="7">
        <f t="shared" si="136"/>
        <v>0.26847740179702217</v>
      </c>
      <c r="BC710" s="7" t="e">
        <f t="shared" si="137"/>
        <v>#N/A</v>
      </c>
      <c r="BD710" s="7">
        <f t="shared" si="138"/>
        <v>0.88998999999991701</v>
      </c>
      <c r="BE710" s="7">
        <f t="shared" si="139"/>
        <v>0.89000999999991692</v>
      </c>
      <c r="BF710" s="7">
        <f t="shared" si="140"/>
        <v>0.80281090289978363</v>
      </c>
      <c r="BG710" s="7">
        <f t="shared" si="141"/>
        <v>0.80281601992785179</v>
      </c>
      <c r="BH710" s="7" t="e">
        <f t="shared" si="142"/>
        <v>#N/A</v>
      </c>
      <c r="BI710" s="7" t="e">
        <f t="shared" si="146"/>
        <v>#N/A</v>
      </c>
      <c r="BJ710" s="7" t="e">
        <f t="shared" si="143"/>
        <v>#N/A</v>
      </c>
      <c r="BK710" s="7" t="e">
        <f t="shared" si="147"/>
        <v>#N/A</v>
      </c>
      <c r="BL710" s="7" t="e">
        <f t="shared" si="144"/>
        <v>#N/A</v>
      </c>
    </row>
    <row r="711" spans="52:64" ht="11.25" customHeight="1">
      <c r="AZ711" s="7">
        <f t="shared" si="135"/>
        <v>0.81593987465321838</v>
      </c>
      <c r="BA711" s="7">
        <f t="shared" si="145"/>
        <v>0.89999999999991698</v>
      </c>
      <c r="BB711" s="7">
        <f t="shared" si="136"/>
        <v>0.26608524989877469</v>
      </c>
      <c r="BC711" s="7" t="e">
        <f t="shared" si="137"/>
        <v>#N/A</v>
      </c>
      <c r="BD711" s="7">
        <f t="shared" si="138"/>
        <v>0.89998999999991702</v>
      </c>
      <c r="BE711" s="7">
        <f t="shared" si="139"/>
        <v>0.90000999999991693</v>
      </c>
      <c r="BF711" s="7">
        <f t="shared" si="140"/>
        <v>0.80535783365980462</v>
      </c>
      <c r="BG711" s="7">
        <f t="shared" si="141"/>
        <v>0.80536290425881418</v>
      </c>
      <c r="BH711" s="7" t="e">
        <f t="shared" si="142"/>
        <v>#N/A</v>
      </c>
      <c r="BI711" s="7" t="e">
        <f t="shared" si="146"/>
        <v>#N/A</v>
      </c>
      <c r="BJ711" s="7" t="e">
        <f t="shared" si="143"/>
        <v>#N/A</v>
      </c>
      <c r="BK711" s="7" t="e">
        <f t="shared" si="147"/>
        <v>#N/A</v>
      </c>
      <c r="BL711" s="7" t="e">
        <f t="shared" si="144"/>
        <v>#N/A</v>
      </c>
    </row>
    <row r="712" spans="52:64" ht="11.25" customHeight="1">
      <c r="AZ712" s="7">
        <f t="shared" si="135"/>
        <v>0.8185887451081808</v>
      </c>
      <c r="BA712" s="7">
        <f t="shared" si="145"/>
        <v>0.90999999999991699</v>
      </c>
      <c r="BB712" s="7">
        <f t="shared" si="136"/>
        <v>0.26368804211383806</v>
      </c>
      <c r="BC712" s="7" t="e">
        <f t="shared" si="137"/>
        <v>#N/A</v>
      </c>
      <c r="BD712" s="7">
        <f t="shared" si="138"/>
        <v>0.90998999999991703</v>
      </c>
      <c r="BE712" s="7">
        <f t="shared" si="139"/>
        <v>0.91000999999991694</v>
      </c>
      <c r="BF712" s="7">
        <f t="shared" si="140"/>
        <v>0.80788154611629848</v>
      </c>
      <c r="BG712" s="7">
        <f t="shared" si="141"/>
        <v>0.80788657027287247</v>
      </c>
      <c r="BH712" s="7" t="e">
        <f t="shared" si="142"/>
        <v>#N/A</v>
      </c>
      <c r="BI712" s="7" t="e">
        <f t="shared" si="146"/>
        <v>#N/A</v>
      </c>
      <c r="BJ712" s="7" t="e">
        <f t="shared" si="143"/>
        <v>#N/A</v>
      </c>
      <c r="BK712" s="7" t="e">
        <f t="shared" si="147"/>
        <v>#N/A</v>
      </c>
      <c r="BL712" s="7" t="e">
        <f t="shared" si="144"/>
        <v>#N/A</v>
      </c>
    </row>
    <row r="713" spans="52:64" ht="11.25" customHeight="1">
      <c r="AZ713" s="7">
        <f t="shared" si="135"/>
        <v>0.82121362038560664</v>
      </c>
      <c r="BA713" s="7">
        <f t="shared" si="145"/>
        <v>0.919999999999917</v>
      </c>
      <c r="BB713" s="7">
        <f t="shared" si="136"/>
        <v>0.26128630124957303</v>
      </c>
      <c r="BC713" s="7" t="e">
        <f t="shared" si="137"/>
        <v>#N/A</v>
      </c>
      <c r="BD713" s="7">
        <f t="shared" si="138"/>
        <v>0.91998999999991704</v>
      </c>
      <c r="BE713" s="7">
        <f t="shared" si="139"/>
        <v>0.92000999999991695</v>
      </c>
      <c r="BF713" s="7">
        <f t="shared" si="140"/>
        <v>0.81038203618284077</v>
      </c>
      <c r="BG713" s="7">
        <f t="shared" si="141"/>
        <v>0.81038701389400591</v>
      </c>
      <c r="BH713" s="7" t="e">
        <f t="shared" si="142"/>
        <v>#N/A</v>
      </c>
      <c r="BI713" s="7" t="e">
        <f t="shared" si="146"/>
        <v>#N/A</v>
      </c>
      <c r="BJ713" s="7" t="e">
        <f t="shared" si="143"/>
        <v>#N/A</v>
      </c>
      <c r="BK713" s="7" t="e">
        <f t="shared" si="147"/>
        <v>#N/A</v>
      </c>
      <c r="BL713" s="7" t="e">
        <f t="shared" si="144"/>
        <v>#N/A</v>
      </c>
    </row>
    <row r="714" spans="52:64" ht="11.25" customHeight="1">
      <c r="AZ714" s="7">
        <f t="shared" si="135"/>
        <v>0.82381445775472062</v>
      </c>
      <c r="BA714" s="7">
        <f t="shared" si="145"/>
        <v>0.929999999999917</v>
      </c>
      <c r="BB714" s="7">
        <f t="shared" si="136"/>
        <v>0.25888054673116878</v>
      </c>
      <c r="BC714" s="7" t="e">
        <f t="shared" si="137"/>
        <v>#N/A</v>
      </c>
      <c r="BD714" s="7">
        <f t="shared" si="138"/>
        <v>0.92998999999991705</v>
      </c>
      <c r="BE714" s="7">
        <f t="shared" si="139"/>
        <v>0.93000999999991696</v>
      </c>
      <c r="BF714" s="7">
        <f t="shared" si="140"/>
        <v>0.81285930493871694</v>
      </c>
      <c r="BG714" s="7">
        <f t="shared" si="141"/>
        <v>0.81286423621175974</v>
      </c>
      <c r="BH714" s="7" t="e">
        <f t="shared" si="142"/>
        <v>#N/A</v>
      </c>
      <c r="BI714" s="7" t="e">
        <f t="shared" si="146"/>
        <v>#N/A</v>
      </c>
      <c r="BJ714" s="7" t="e">
        <f t="shared" si="143"/>
        <v>#N/A</v>
      </c>
      <c r="BK714" s="7" t="e">
        <f t="shared" si="147"/>
        <v>#N/A</v>
      </c>
      <c r="BL714" s="7" t="e">
        <f t="shared" si="144"/>
        <v>#N/A</v>
      </c>
    </row>
    <row r="715" spans="52:64" ht="11.25" customHeight="1">
      <c r="AZ715" s="7">
        <f t="shared" si="135"/>
        <v>0.82639121966135398</v>
      </c>
      <c r="BA715" s="7">
        <f t="shared" si="145"/>
        <v>0.93999999999991701</v>
      </c>
      <c r="BB715" s="7">
        <f t="shared" si="136"/>
        <v>0.25647129442564032</v>
      </c>
      <c r="BC715" s="7" t="e">
        <f t="shared" si="137"/>
        <v>#N/A</v>
      </c>
      <c r="BD715" s="7">
        <f t="shared" si="138"/>
        <v>0.93998999999991706</v>
      </c>
      <c r="BE715" s="7">
        <f t="shared" si="139"/>
        <v>0.94000999999991697</v>
      </c>
      <c r="BF715" s="7">
        <f t="shared" si="140"/>
        <v>0.81531335855493148</v>
      </c>
      <c r="BG715" s="7">
        <f t="shared" si="141"/>
        <v>0.81531824340724568</v>
      </c>
      <c r="BH715" s="7" t="e">
        <f t="shared" si="142"/>
        <v>#N/A</v>
      </c>
      <c r="BI715" s="7" t="e">
        <f t="shared" si="146"/>
        <v>#N/A</v>
      </c>
      <c r="BJ715" s="7" t="e">
        <f t="shared" si="143"/>
        <v>#N/A</v>
      </c>
      <c r="BK715" s="7" t="e">
        <f t="shared" si="147"/>
        <v>#N/A</v>
      </c>
      <c r="BL715" s="7" t="e">
        <f t="shared" si="144"/>
        <v>#N/A</v>
      </c>
    </row>
    <row r="716" spans="52:64" ht="11.25" customHeight="1">
      <c r="AZ716" s="7">
        <f t="shared" si="135"/>
        <v>0.82894387369149702</v>
      </c>
      <c r="BA716" s="7">
        <f t="shared" si="145"/>
        <v>0.94999999999991702</v>
      </c>
      <c r="BB716" s="7">
        <f t="shared" si="136"/>
        <v>0.25405905646920901</v>
      </c>
      <c r="BC716" s="7" t="e">
        <f t="shared" si="137"/>
        <v>#N/A</v>
      </c>
      <c r="BD716" s="7">
        <f t="shared" si="138"/>
        <v>0.94998999999991707</v>
      </c>
      <c r="BE716" s="7">
        <f t="shared" si="139"/>
        <v>0.95000999999991698</v>
      </c>
      <c r="BF716" s="7">
        <f t="shared" si="140"/>
        <v>0.81774420821878446</v>
      </c>
      <c r="BG716" s="7">
        <f t="shared" si="141"/>
        <v>0.81774904667771908</v>
      </c>
      <c r="BH716" s="7" t="e">
        <f t="shared" si="142"/>
        <v>#N/A</v>
      </c>
      <c r="BI716" s="7" t="e">
        <f t="shared" si="146"/>
        <v>#N/A</v>
      </c>
      <c r="BJ716" s="7" t="e">
        <f t="shared" si="143"/>
        <v>#N/A</v>
      </c>
      <c r="BK716" s="7" t="e">
        <f t="shared" si="147"/>
        <v>#N/A</v>
      </c>
      <c r="BL716" s="7" t="e">
        <f t="shared" si="144"/>
        <v>#N/A</v>
      </c>
    </row>
    <row r="717" spans="52:64" ht="11.25" customHeight="1">
      <c r="AZ717" s="7">
        <f t="shared" si="135"/>
        <v>0.83147239253314131</v>
      </c>
      <c r="BA717" s="7">
        <f t="shared" si="145"/>
        <v>0.95999999999991703</v>
      </c>
      <c r="BB717" s="7">
        <f t="shared" si="136"/>
        <v>0.2516443410981371</v>
      </c>
      <c r="BC717" s="7" t="e">
        <f t="shared" si="137"/>
        <v>#N/A</v>
      </c>
      <c r="BD717" s="7">
        <f t="shared" si="138"/>
        <v>0.95998999999991708</v>
      </c>
      <c r="BE717" s="7">
        <f t="shared" si="139"/>
        <v>0.96000999999991699</v>
      </c>
      <c r="BF717" s="7">
        <f t="shared" si="140"/>
        <v>0.82015187005710466</v>
      </c>
      <c r="BG717" s="7">
        <f t="shared" si="141"/>
        <v>0.82015666215981087</v>
      </c>
      <c r="BH717" s="7" t="e">
        <f t="shared" si="142"/>
        <v>#N/A</v>
      </c>
      <c r="BI717" s="7" t="e">
        <f t="shared" si="146"/>
        <v>#N/A</v>
      </c>
      <c r="BJ717" s="7" t="e">
        <f t="shared" si="143"/>
        <v>#N/A</v>
      </c>
      <c r="BK717" s="7" t="e">
        <f t="shared" si="147"/>
        <v>#N/A</v>
      </c>
      <c r="BL717" s="7" t="e">
        <f t="shared" si="144"/>
        <v>#N/A</v>
      </c>
    </row>
    <row r="718" spans="52:64" ht="11.25" customHeight="1">
      <c r="AZ718" s="7">
        <f t="shared" si="135"/>
        <v>0.83397675393644977</v>
      </c>
      <c r="BA718" s="7">
        <f t="shared" si="145"/>
        <v>0.96999999999991704</v>
      </c>
      <c r="BB718" s="7">
        <f t="shared" si="136"/>
        <v>0.24922765248308593</v>
      </c>
      <c r="BC718" s="7" t="e">
        <f t="shared" si="137"/>
        <v>#N/A</v>
      </c>
      <c r="BD718" s="7">
        <f t="shared" si="138"/>
        <v>0.96998999999991709</v>
      </c>
      <c r="BE718" s="7">
        <f t="shared" si="139"/>
        <v>0.97000999999991699</v>
      </c>
      <c r="BF718" s="7">
        <f t="shared" si="140"/>
        <v>0.82253636505820804</v>
      </c>
      <c r="BG718" s="7">
        <f t="shared" si="141"/>
        <v>0.82254111085148141</v>
      </c>
      <c r="BH718" s="7" t="e">
        <f t="shared" si="142"/>
        <v>#N/A</v>
      </c>
      <c r="BI718" s="7" t="e">
        <f t="shared" si="146"/>
        <v>#N/A</v>
      </c>
      <c r="BJ718" s="7" t="e">
        <f t="shared" si="143"/>
        <v>#N/A</v>
      </c>
      <c r="BK718" s="7" t="e">
        <f t="shared" si="147"/>
        <v>#N/A</v>
      </c>
      <c r="BL718" s="7" t="e">
        <f t="shared" si="144"/>
        <v>#N/A</v>
      </c>
    </row>
    <row r="719" spans="52:64" ht="11.25" customHeight="1">
      <c r="AZ719" s="7">
        <f t="shared" si="135"/>
        <v>0.83645694067228715</v>
      </c>
      <c r="BA719" s="7">
        <f t="shared" si="145"/>
        <v>0.97999999999991705</v>
      </c>
      <c r="BB719" s="7">
        <f t="shared" si="136"/>
        <v>0.24680949056706275</v>
      </c>
      <c r="BC719" s="7" t="e">
        <f t="shared" si="137"/>
        <v>#N/A</v>
      </c>
      <c r="BD719" s="7">
        <f t="shared" si="138"/>
        <v>0.97998999999991709</v>
      </c>
      <c r="BE719" s="7">
        <f t="shared" si="139"/>
        <v>0.980009999999917</v>
      </c>
      <c r="BF719" s="7">
        <f t="shared" si="140"/>
        <v>0.82489771899266728</v>
      </c>
      <c r="BG719" s="7">
        <f t="shared" si="141"/>
        <v>0.82490241853278701</v>
      </c>
      <c r="BH719" s="7" t="e">
        <f t="shared" si="142"/>
        <v>#N/A</v>
      </c>
      <c r="BI719" s="7" t="e">
        <f t="shared" si="146"/>
        <v>#N/A</v>
      </c>
      <c r="BJ719" s="7" t="e">
        <f t="shared" si="143"/>
        <v>#N/A</v>
      </c>
      <c r="BK719" s="7" t="e">
        <f t="shared" si="147"/>
        <v>#N/A</v>
      </c>
      <c r="BL719" s="7" t="e">
        <f t="shared" si="144"/>
        <v>#N/A</v>
      </c>
    </row>
    <row r="720" spans="52:64" ht="11.25" customHeight="1">
      <c r="AZ720" s="7">
        <f t="shared" si="135"/>
        <v>0.83891294048914866</v>
      </c>
      <c r="BA720" s="7">
        <f t="shared" si="145"/>
        <v>0.98999999999991706</v>
      </c>
      <c r="BB720" s="7">
        <f t="shared" si="136"/>
        <v>0.2443903509070196</v>
      </c>
      <c r="BC720" s="7" t="e">
        <f t="shared" si="137"/>
        <v>#N/A</v>
      </c>
      <c r="BD720" s="7">
        <f t="shared" si="138"/>
        <v>0.9899899999999171</v>
      </c>
      <c r="BE720" s="7">
        <f t="shared" si="139"/>
        <v>0.99000999999991701</v>
      </c>
      <c r="BF720" s="7">
        <f t="shared" si="140"/>
        <v>0.82723596233295393</v>
      </c>
      <c r="BG720" s="7">
        <f t="shared" si="141"/>
        <v>0.82724061568552198</v>
      </c>
      <c r="BH720" s="7" t="e">
        <f t="shared" si="142"/>
        <v>#N/A</v>
      </c>
      <c r="BI720" s="7" t="e">
        <f t="shared" si="146"/>
        <v>#N/A</v>
      </c>
      <c r="BJ720" s="7" t="e">
        <f t="shared" si="143"/>
        <v>#N/A</v>
      </c>
      <c r="BK720" s="7" t="e">
        <f t="shared" si="147"/>
        <v>#N/A</v>
      </c>
      <c r="BL720" s="7" t="e">
        <f t="shared" si="144"/>
        <v>#N/A</v>
      </c>
    </row>
    <row r="721" spans="52:64" ht="11.25" customHeight="1">
      <c r="AZ721" s="7">
        <f t="shared" si="135"/>
        <v>0.84134474606852283</v>
      </c>
      <c r="BA721" s="7">
        <f t="shared" si="145"/>
        <v>0.99999999999991707</v>
      </c>
      <c r="BB721" s="7">
        <f t="shared" si="136"/>
        <v>0.2419707245191634</v>
      </c>
      <c r="BC721" s="7" t="e">
        <f t="shared" si="137"/>
        <v>#N/A</v>
      </c>
      <c r="BD721" s="7">
        <f t="shared" si="138"/>
        <v>0.99998999999991711</v>
      </c>
      <c r="BE721" s="7">
        <f t="shared" si="139"/>
        <v>1.000009999999917</v>
      </c>
      <c r="BF721" s="7">
        <f t="shared" si="140"/>
        <v>0.82955113017204241</v>
      </c>
      <c r="BG721" s="7">
        <f t="shared" si="141"/>
        <v>0.82955573741181987</v>
      </c>
      <c r="BH721" s="7" t="e">
        <f t="shared" si="142"/>
        <v>#N/A</v>
      </c>
      <c r="BI721" s="7" t="e">
        <f t="shared" si="146"/>
        <v>#N/A</v>
      </c>
      <c r="BJ721" s="7" t="e">
        <f t="shared" si="143"/>
        <v>#N/A</v>
      </c>
      <c r="BK721" s="7" t="e">
        <f t="shared" si="147"/>
        <v>#N/A</v>
      </c>
      <c r="BL721" s="7" t="e">
        <f t="shared" si="144"/>
        <v>#N/A</v>
      </c>
    </row>
    <row r="722" spans="52:64" ht="11.25" customHeight="1">
      <c r="AZ722" s="7">
        <f t="shared" si="135"/>
        <v>0.84375235497872547</v>
      </c>
      <c r="BA722" s="7">
        <f t="shared" si="145"/>
        <v>1.009999999999917</v>
      </c>
      <c r="BB722" s="7">
        <f t="shared" si="136"/>
        <v>0.23955109772803343</v>
      </c>
      <c r="BC722" s="7" t="e">
        <f t="shared" si="137"/>
        <v>#N/A</v>
      </c>
      <c r="BD722" s="7">
        <f t="shared" si="138"/>
        <v>1.0099899999999169</v>
      </c>
      <c r="BE722" s="7">
        <f t="shared" si="139"/>
        <v>1.010009999999917</v>
      </c>
      <c r="BF722" s="7">
        <f t="shared" si="140"/>
        <v>0.83184326214104243</v>
      </c>
      <c r="BG722" s="7">
        <f t="shared" si="141"/>
        <v>0.83184782335178242</v>
      </c>
      <c r="BH722" s="7" t="e">
        <f t="shared" si="142"/>
        <v>#N/A</v>
      </c>
      <c r="BI722" s="7" t="e">
        <f t="shared" si="146"/>
        <v>#N/A</v>
      </c>
      <c r="BJ722" s="7" t="e">
        <f t="shared" si="143"/>
        <v>#N/A</v>
      </c>
      <c r="BK722" s="7" t="e">
        <f t="shared" si="147"/>
        <v>#N/A</v>
      </c>
      <c r="BL722" s="7" t="e">
        <f t="shared" si="144"/>
        <v>#N/A</v>
      </c>
    </row>
    <row r="723" spans="52:64" ht="11.25" customHeight="1">
      <c r="AZ723" s="7">
        <f t="shared" si="135"/>
        <v>0.84613576962724535</v>
      </c>
      <c r="BA723" s="7">
        <f t="shared" si="145"/>
        <v>1.019999999999917</v>
      </c>
      <c r="BB723" s="7">
        <f t="shared" si="136"/>
        <v>0.23713195201939963</v>
      </c>
      <c r="BC723" s="7" t="e">
        <f t="shared" si="137"/>
        <v>#N/A</v>
      </c>
      <c r="BD723" s="7">
        <f t="shared" si="138"/>
        <v>1.0199899999999169</v>
      </c>
      <c r="BE723" s="7">
        <f t="shared" si="139"/>
        <v>1.020009999999917</v>
      </c>
      <c r="BF723" s="7">
        <f t="shared" si="140"/>
        <v>0.83411240232593342</v>
      </c>
      <c r="BG723" s="7">
        <f t="shared" si="141"/>
        <v>0.83411691760021633</v>
      </c>
      <c r="BH723" s="7" t="e">
        <f t="shared" si="142"/>
        <v>#N/A</v>
      </c>
      <c r="BI723" s="7" t="e">
        <f t="shared" si="146"/>
        <v>#N/A</v>
      </c>
      <c r="BJ723" s="7" t="e">
        <f t="shared" si="143"/>
        <v>#N/A</v>
      </c>
      <c r="BK723" s="7" t="e">
        <f t="shared" si="147"/>
        <v>#N/A</v>
      </c>
      <c r="BL723" s="7" t="e">
        <f t="shared" si="144"/>
        <v>#N/A</v>
      </c>
    </row>
    <row r="724" spans="52:64" ht="11.25" customHeight="1">
      <c r="AZ724" s="7">
        <f t="shared" si="135"/>
        <v>0.8484949972116369</v>
      </c>
      <c r="BA724" s="7">
        <f t="shared" si="145"/>
        <v>1.029999999999917</v>
      </c>
      <c r="BB724" s="7">
        <f t="shared" si="136"/>
        <v>0.23471376389703186</v>
      </c>
      <c r="BC724" s="7" t="e">
        <f t="shared" si="137"/>
        <v>#N/A</v>
      </c>
      <c r="BD724" s="7">
        <f t="shared" si="138"/>
        <v>1.0299899999999169</v>
      </c>
      <c r="BE724" s="7">
        <f t="shared" si="139"/>
        <v>1.030009999999917</v>
      </c>
      <c r="BF724" s="7">
        <f t="shared" si="140"/>
        <v>0.8363585991834811</v>
      </c>
      <c r="BG724" s="7">
        <f t="shared" si="141"/>
        <v>0.83636306862254306</v>
      </c>
      <c r="BH724" s="7" t="e">
        <f t="shared" si="142"/>
        <v>#N/A</v>
      </c>
      <c r="BI724" s="7" t="e">
        <f t="shared" si="146"/>
        <v>#N/A</v>
      </c>
      <c r="BJ724" s="7" t="e">
        <f t="shared" si="143"/>
        <v>#N/A</v>
      </c>
      <c r="BK724" s="7" t="e">
        <f t="shared" si="147"/>
        <v>#N/A</v>
      </c>
      <c r="BL724" s="7" t="e">
        <f t="shared" si="144"/>
        <v>#N/A</v>
      </c>
    </row>
    <row r="725" spans="52:64" ht="11.25" customHeight="1">
      <c r="AZ725" s="7">
        <f t="shared" ref="AZ725:AZ788" si="148">NORMDIST(BA725,$BA$17,$BA$18,TRUE)</f>
        <v>0.85083004966899933</v>
      </c>
      <c r="BA725" s="7">
        <f t="shared" si="145"/>
        <v>1.039999999999917</v>
      </c>
      <c r="BB725" s="7">
        <f t="shared" ref="BB725:BB788" si="149">IF($BA$13=1,NORMDIST(BA725,$BA$17,$BA$18,FALSE),NA())</f>
        <v>0.23229700474338622</v>
      </c>
      <c r="BC725" s="7" t="e">
        <f t="shared" ref="BC725:BC788" si="150">IF($BA$13=3,NORMDIST(BA725,$BA$17,$BA$18,FALSE),NA())</f>
        <v>#N/A</v>
      </c>
      <c r="BD725" s="7">
        <f t="shared" ref="BD725:BD788" si="151">BA725-$BD$19</f>
        <v>1.0399899999999169</v>
      </c>
      <c r="BE725" s="7">
        <f t="shared" ref="BE725:BE788" si="152">BA725+$BD$19</f>
        <v>1.0400099999999171</v>
      </c>
      <c r="BF725" s="7">
        <f t="shared" ref="BF725:BF788" si="153">IF(BD725&lt;0,TDIST(-BD725,$BA$14,1),1-TDIST(BD725,$BA$14,1))</f>
        <v>0.83858190549722633</v>
      </c>
      <c r="BG725" s="7">
        <f t="shared" ref="BG725:BG788" si="154">IF(BE725&lt;0,TDIST(-BE725,$BA$14,1),1-TDIST(BE725,$BA$14,1))</f>
        <v>0.83858632921080289</v>
      </c>
      <c r="BH725" s="7" t="e">
        <f t="shared" ref="BH725:BH788" si="155">IF($BA$13&gt;1,(BG725-BF725)/(2*$BD$19),NA())</f>
        <v>#N/A</v>
      </c>
      <c r="BI725" s="7" t="e">
        <f t="shared" si="146"/>
        <v>#N/A</v>
      </c>
      <c r="BJ725" s="7" t="e">
        <f t="shared" ref="BJ725:BJ788" si="156">IF(ISNUMBER(BI725),BI725-$BJ$19,NA())</f>
        <v>#N/A</v>
      </c>
      <c r="BK725" s="7" t="e">
        <f t="shared" si="147"/>
        <v>#N/A</v>
      </c>
      <c r="BL725" s="7" t="e">
        <f t="shared" ref="BL725:BL788" si="157">IF(ISNUMBER(BK725),BK725-$BL$19,NA())</f>
        <v>#N/A</v>
      </c>
    </row>
    <row r="726" spans="52:64" ht="11.25" customHeight="1">
      <c r="AZ726" s="7">
        <f t="shared" si="148"/>
        <v>0.85314094362408499</v>
      </c>
      <c r="BA726" s="7">
        <f t="shared" ref="BA726:BA789" si="158">BA725+$BD$10</f>
        <v>1.049999999999917</v>
      </c>
      <c r="BB726" s="7">
        <f t="shared" si="149"/>
        <v>0.22988214068425303</v>
      </c>
      <c r="BC726" s="7" t="e">
        <f t="shared" si="150"/>
        <v>#N/A</v>
      </c>
      <c r="BD726" s="7">
        <f t="shared" si="151"/>
        <v>1.0499899999999169</v>
      </c>
      <c r="BE726" s="7">
        <f t="shared" si="152"/>
        <v>1.0500099999999171</v>
      </c>
      <c r="BF726" s="7">
        <f t="shared" si="153"/>
        <v>0.84078237813551904</v>
      </c>
      <c r="BG726" s="7">
        <f t="shared" si="154"/>
        <v>0.84078675624163735</v>
      </c>
      <c r="BH726" s="7" t="e">
        <f t="shared" si="155"/>
        <v>#N/A</v>
      </c>
      <c r="BI726" s="7" t="e">
        <f t="shared" ref="BI726:BI789" si="159">IF($BA$15=1,IF(OR(AND(BA726&gt;=$BI$18,$BN$18&gt;=0),AND(BA726&lt;=-$BI$18,$BN$18&lt;0)),BB726,NA()),IF($BA$15=2,IF(ABS(BA726)&gt;=$BI$18,BB726,NA()),NA()))</f>
        <v>#N/A</v>
      </c>
      <c r="BJ726" s="7" t="e">
        <f t="shared" si="156"/>
        <v>#N/A</v>
      </c>
      <c r="BK726" s="7" t="e">
        <f t="shared" ref="BK726:BK789" si="160">IF($BA$15=1,IF(OR(AND(BA726&gt;=$BK$18,$BN$18&gt;=0),AND(BA726&lt;=-$BK$18,$BN$18&lt;0)),BH726,NA()),IF($BA$15=2,IF(ABS(BA726)&gt;=$BK$18,BH726,NA()),NA()))</f>
        <v>#N/A</v>
      </c>
      <c r="BL726" s="7" t="e">
        <f t="shared" si="157"/>
        <v>#N/A</v>
      </c>
    </row>
    <row r="727" spans="52:64" ht="11.25" customHeight="1">
      <c r="AZ727" s="7">
        <f t="shared" si="148"/>
        <v>0.85542770033607141</v>
      </c>
      <c r="BA727" s="7">
        <f t="shared" si="158"/>
        <v>1.059999999999917</v>
      </c>
      <c r="BB727" s="7">
        <f t="shared" si="149"/>
        <v>0.2274696324574059</v>
      </c>
      <c r="BC727" s="7" t="e">
        <f t="shared" si="150"/>
        <v>#N/A</v>
      </c>
      <c r="BD727" s="7">
        <f t="shared" si="151"/>
        <v>1.0599899999999169</v>
      </c>
      <c r="BE727" s="7">
        <f t="shared" si="152"/>
        <v>1.0600099999999171</v>
      </c>
      <c r="BF727" s="7">
        <f t="shared" si="153"/>
        <v>0.84296007819084839</v>
      </c>
      <c r="BG727" s="7">
        <f t="shared" si="154"/>
        <v>0.84296441081568807</v>
      </c>
      <c r="BH727" s="7" t="e">
        <f t="shared" si="155"/>
        <v>#N/A</v>
      </c>
      <c r="BI727" s="7" t="e">
        <f t="shared" si="159"/>
        <v>#N/A</v>
      </c>
      <c r="BJ727" s="7" t="e">
        <f t="shared" si="156"/>
        <v>#N/A</v>
      </c>
      <c r="BK727" s="7" t="e">
        <f t="shared" si="160"/>
        <v>#N/A</v>
      </c>
      <c r="BL727" s="7" t="e">
        <f t="shared" si="157"/>
        <v>#N/A</v>
      </c>
    </row>
    <row r="728" spans="52:64" ht="11.25" customHeight="1">
      <c r="AZ728" s="7">
        <f t="shared" si="148"/>
        <v>0.85769034564404212</v>
      </c>
      <c r="BA728" s="7">
        <f t="shared" si="158"/>
        <v>1.069999999999917</v>
      </c>
      <c r="BB728" s="7">
        <f t="shared" si="149"/>
        <v>0.22505993528528961</v>
      </c>
      <c r="BC728" s="7" t="e">
        <f t="shared" si="150"/>
        <v>#N/A</v>
      </c>
      <c r="BD728" s="7">
        <f t="shared" si="151"/>
        <v>1.069989999999917</v>
      </c>
      <c r="BE728" s="7">
        <f t="shared" si="152"/>
        <v>1.0700099999999171</v>
      </c>
      <c r="BF728" s="7">
        <f t="shared" si="153"/>
        <v>0.84511507074846759</v>
      </c>
      <c r="BG728" s="7">
        <f t="shared" si="154"/>
        <v>0.84511935802617666</v>
      </c>
      <c r="BH728" s="7" t="e">
        <f t="shared" si="155"/>
        <v>#N/A</v>
      </c>
      <c r="BI728" s="7" t="e">
        <f t="shared" si="159"/>
        <v>#N/A</v>
      </c>
      <c r="BJ728" s="7" t="e">
        <f t="shared" si="156"/>
        <v>#N/A</v>
      </c>
      <c r="BK728" s="7" t="e">
        <f t="shared" si="160"/>
        <v>#N/A</v>
      </c>
      <c r="BL728" s="7" t="e">
        <f t="shared" si="157"/>
        <v>#N/A</v>
      </c>
    </row>
    <row r="729" spans="52:64" ht="11.25" customHeight="1">
      <c r="AZ729" s="7">
        <f t="shared" si="148"/>
        <v>0.8599289099112124</v>
      </c>
      <c r="BA729" s="7">
        <f t="shared" si="158"/>
        <v>1.079999999999917</v>
      </c>
      <c r="BB729" s="7">
        <f t="shared" si="149"/>
        <v>0.22265349875178109</v>
      </c>
      <c r="BC729" s="7" t="e">
        <f t="shared" si="150"/>
        <v>#N/A</v>
      </c>
      <c r="BD729" s="7">
        <f t="shared" si="151"/>
        <v>1.079989999999917</v>
      </c>
      <c r="BE729" s="7">
        <f t="shared" si="152"/>
        <v>1.0800099999999171</v>
      </c>
      <c r="BF729" s="7">
        <f t="shared" si="153"/>
        <v>0.8472474248341646</v>
      </c>
      <c r="BG729" s="7">
        <f t="shared" si="154"/>
        <v>0.84725166690668474</v>
      </c>
      <c r="BH729" s="7" t="e">
        <f t="shared" si="155"/>
        <v>#N/A</v>
      </c>
      <c r="BI729" s="7" t="e">
        <f t="shared" si="159"/>
        <v>#N/A</v>
      </c>
      <c r="BJ729" s="7" t="e">
        <f t="shared" si="156"/>
        <v>#N/A</v>
      </c>
      <c r="BK729" s="7" t="e">
        <f t="shared" si="160"/>
        <v>#N/A</v>
      </c>
      <c r="BL729" s="7" t="e">
        <f t="shared" si="157"/>
        <v>#N/A</v>
      </c>
    </row>
    <row r="730" spans="52:64" ht="11.25" customHeight="1">
      <c r="AZ730" s="7">
        <f t="shared" si="148"/>
        <v>0.86214342796794619</v>
      </c>
      <c r="BA730" s="7">
        <f t="shared" si="158"/>
        <v>1.089999999999917</v>
      </c>
      <c r="BB730" s="7">
        <f t="shared" si="149"/>
        <v>0.22025076668305316</v>
      </c>
      <c r="BC730" s="7" t="e">
        <f t="shared" si="150"/>
        <v>#N/A</v>
      </c>
      <c r="BD730" s="7">
        <f t="shared" si="151"/>
        <v>1.089989999999917</v>
      </c>
      <c r="BE730" s="7">
        <f t="shared" si="152"/>
        <v>1.0900099999999171</v>
      </c>
      <c r="BF730" s="7">
        <f t="shared" si="153"/>
        <v>0.84935721332672842</v>
      </c>
      <c r="BG730" s="7">
        <f t="shared" si="154"/>
        <v>0.84936141034361923</v>
      </c>
      <c r="BH730" s="7" t="e">
        <f t="shared" si="155"/>
        <v>#N/A</v>
      </c>
      <c r="BI730" s="7" t="e">
        <f t="shared" si="159"/>
        <v>#N/A</v>
      </c>
      <c r="BJ730" s="7" t="e">
        <f t="shared" si="156"/>
        <v>#N/A</v>
      </c>
      <c r="BK730" s="7" t="e">
        <f t="shared" si="160"/>
        <v>#N/A</v>
      </c>
      <c r="BL730" s="7" t="e">
        <f t="shared" si="157"/>
        <v>#N/A</v>
      </c>
    </row>
    <row r="731" spans="52:64" ht="11.25" customHeight="1">
      <c r="AZ731" s="7">
        <f t="shared" si="148"/>
        <v>0.86433393905359923</v>
      </c>
      <c r="BA731" s="7">
        <f t="shared" si="158"/>
        <v>1.099999999999917</v>
      </c>
      <c r="BB731" s="7">
        <f t="shared" si="149"/>
        <v>0.2178521770325704</v>
      </c>
      <c r="BC731" s="7" t="e">
        <f t="shared" si="150"/>
        <v>#N/A</v>
      </c>
      <c r="BD731" s="7">
        <f t="shared" si="151"/>
        <v>1.099989999999917</v>
      </c>
      <c r="BE731" s="7">
        <f t="shared" si="152"/>
        <v>1.1000099999999171</v>
      </c>
      <c r="BF731" s="7">
        <f t="shared" si="153"/>
        <v>0.85144451287007783</v>
      </c>
      <c r="BG731" s="7">
        <f t="shared" si="154"/>
        <v>0.85144866498834093</v>
      </c>
      <c r="BH731" s="7" t="e">
        <f t="shared" si="155"/>
        <v>#N/A</v>
      </c>
      <c r="BI731" s="7" t="e">
        <f t="shared" si="159"/>
        <v>#N/A</v>
      </c>
      <c r="BJ731" s="7" t="e">
        <f t="shared" si="156"/>
        <v>#N/A</v>
      </c>
      <c r="BK731" s="7" t="e">
        <f t="shared" si="160"/>
        <v>#N/A</v>
      </c>
      <c r="BL731" s="7" t="e">
        <f t="shared" si="157"/>
        <v>#N/A</v>
      </c>
    </row>
    <row r="732" spans="52:64" ht="11.25" customHeight="1">
      <c r="AZ732" s="7">
        <f t="shared" si="148"/>
        <v>0.86650048675723501</v>
      </c>
      <c r="BA732" s="7">
        <f t="shared" si="158"/>
        <v>1.1099999999999171</v>
      </c>
      <c r="BB732" s="7">
        <f t="shared" si="149"/>
        <v>0.21545816177023949</v>
      </c>
      <c r="BC732" s="7" t="e">
        <f t="shared" si="150"/>
        <v>#N/A</v>
      </c>
      <c r="BD732" s="7">
        <f t="shared" si="151"/>
        <v>1.109989999999917</v>
      </c>
      <c r="BE732" s="7">
        <f t="shared" si="152"/>
        <v>1.1100099999999171</v>
      </c>
      <c r="BF732" s="7">
        <f t="shared" si="153"/>
        <v>0.85350940378512397</v>
      </c>
      <c r="BG732" s="7">
        <f t="shared" si="154"/>
        <v>0.8535135111690263</v>
      </c>
      <c r="BH732" s="7" t="e">
        <f t="shared" si="155"/>
        <v>#N/A</v>
      </c>
      <c r="BI732" s="7" t="e">
        <f t="shared" si="159"/>
        <v>#N/A</v>
      </c>
      <c r="BJ732" s="7" t="e">
        <f t="shared" si="156"/>
        <v>#N/A</v>
      </c>
      <c r="BK732" s="7" t="e">
        <f t="shared" si="160"/>
        <v>#N/A</v>
      </c>
      <c r="BL732" s="7" t="e">
        <f t="shared" si="157"/>
        <v>#N/A</v>
      </c>
    </row>
    <row r="733" spans="52:64" ht="11.25" customHeight="1">
      <c r="AZ733" s="7">
        <f t="shared" si="148"/>
        <v>0.86864311895725166</v>
      </c>
      <c r="BA733" s="7">
        <f t="shared" si="158"/>
        <v>1.1199999999999171</v>
      </c>
      <c r="BB733" s="7">
        <f t="shared" si="149"/>
        <v>0.21306914677573766</v>
      </c>
      <c r="BC733" s="7" t="e">
        <f t="shared" si="150"/>
        <v>#N/A</v>
      </c>
      <c r="BD733" s="7">
        <f t="shared" si="151"/>
        <v>1.119989999999917</v>
      </c>
      <c r="BE733" s="7">
        <f t="shared" si="152"/>
        <v>1.1200099999999171</v>
      </c>
      <c r="BF733" s="7">
        <f t="shared" si="153"/>
        <v>0.85555196998142136</v>
      </c>
      <c r="BG733" s="7">
        <f t="shared" si="154"/>
        <v>0.85555603280231862</v>
      </c>
      <c r="BH733" s="7" t="e">
        <f t="shared" si="155"/>
        <v>#N/A</v>
      </c>
      <c r="BI733" s="7" t="e">
        <f t="shared" si="159"/>
        <v>#N/A</v>
      </c>
      <c r="BJ733" s="7" t="e">
        <f t="shared" si="156"/>
        <v>#N/A</v>
      </c>
      <c r="BK733" s="7" t="e">
        <f t="shared" si="160"/>
        <v>#N/A</v>
      </c>
      <c r="BL733" s="7" t="e">
        <f t="shared" si="157"/>
        <v>#N/A</v>
      </c>
    </row>
    <row r="734" spans="52:64" ht="11.25" customHeight="1">
      <c r="AZ734" s="7">
        <f t="shared" si="148"/>
        <v>0.87076188775996477</v>
      </c>
      <c r="BA734" s="7">
        <f t="shared" si="158"/>
        <v>1.1299999999999171</v>
      </c>
      <c r="BB734" s="7">
        <f t="shared" si="149"/>
        <v>0.21068555173603501</v>
      </c>
      <c r="BC734" s="7" t="e">
        <f t="shared" si="150"/>
        <v>#N/A</v>
      </c>
      <c r="BD734" s="7">
        <f t="shared" si="151"/>
        <v>1.129989999999917</v>
      </c>
      <c r="BE734" s="7">
        <f t="shared" si="152"/>
        <v>1.1300099999999171</v>
      </c>
      <c r="BF734" s="7">
        <f t="shared" si="153"/>
        <v>0.85757229886867647</v>
      </c>
      <c r="BG734" s="7">
        <f t="shared" si="154"/>
        <v>0.85757631730483663</v>
      </c>
      <c r="BH734" s="7" t="e">
        <f t="shared" si="155"/>
        <v>#N/A</v>
      </c>
      <c r="BI734" s="7" t="e">
        <f t="shared" si="159"/>
        <v>#N/A</v>
      </c>
      <c r="BJ734" s="7" t="e">
        <f t="shared" si="156"/>
        <v>#N/A</v>
      </c>
      <c r="BK734" s="7" t="e">
        <f t="shared" si="160"/>
        <v>#N/A</v>
      </c>
      <c r="BL734" s="7" t="e">
        <f t="shared" si="157"/>
        <v>#N/A</v>
      </c>
    </row>
    <row r="735" spans="52:64" ht="11.25" customHeight="1">
      <c r="AZ735" s="7">
        <f t="shared" si="148"/>
        <v>0.87285684943718445</v>
      </c>
      <c r="BA735" s="7">
        <f t="shared" si="158"/>
        <v>1.1399999999999171</v>
      </c>
      <c r="BB735" s="7">
        <f t="shared" si="149"/>
        <v>0.20830779004712804</v>
      </c>
      <c r="BC735" s="7" t="e">
        <f t="shared" si="150"/>
        <v>#N/A</v>
      </c>
      <c r="BD735" s="7">
        <f t="shared" si="151"/>
        <v>1.139989999999917</v>
      </c>
      <c r="BE735" s="7">
        <f t="shared" si="152"/>
        <v>1.1400099999999171</v>
      </c>
      <c r="BF735" s="7">
        <f t="shared" si="153"/>
        <v>0.85957048126817581</v>
      </c>
      <c r="BG735" s="7">
        <f t="shared" si="154"/>
        <v>0.85957445550459988</v>
      </c>
      <c r="BH735" s="7" t="e">
        <f t="shared" si="155"/>
        <v>#N/A</v>
      </c>
      <c r="BI735" s="7" t="e">
        <f t="shared" si="159"/>
        <v>#N/A</v>
      </c>
      <c r="BJ735" s="7" t="e">
        <f t="shared" si="156"/>
        <v>#N/A</v>
      </c>
      <c r="BK735" s="7" t="e">
        <f t="shared" si="160"/>
        <v>#N/A</v>
      </c>
      <c r="BL735" s="7" t="e">
        <f t="shared" si="157"/>
        <v>#N/A</v>
      </c>
    </row>
    <row r="736" spans="52:64" ht="11.25" customHeight="1">
      <c r="AZ736" s="7">
        <f t="shared" si="148"/>
        <v>0.87492806436283255</v>
      </c>
      <c r="BA736" s="7">
        <f t="shared" si="158"/>
        <v>1.1499999999999171</v>
      </c>
      <c r="BB736" s="7">
        <f t="shared" si="149"/>
        <v>0.20593626871999438</v>
      </c>
      <c r="BC736" s="7" t="e">
        <f t="shared" si="150"/>
        <v>#N/A</v>
      </c>
      <c r="BD736" s="7">
        <f t="shared" si="151"/>
        <v>1.149989999999917</v>
      </c>
      <c r="BE736" s="7">
        <f t="shared" si="152"/>
        <v>1.1500099999999172</v>
      </c>
      <c r="BF736" s="7">
        <f t="shared" si="153"/>
        <v>0.86154661132418542</v>
      </c>
      <c r="BG736" s="7">
        <f t="shared" si="154"/>
        <v>0.86155054155243249</v>
      </c>
      <c r="BH736" s="7" t="e">
        <f t="shared" si="155"/>
        <v>#N/A</v>
      </c>
      <c r="BI736" s="7" t="e">
        <f t="shared" si="159"/>
        <v>#N/A</v>
      </c>
      <c r="BJ736" s="7" t="e">
        <f t="shared" si="156"/>
        <v>#N/A</v>
      </c>
      <c r="BK736" s="7" t="e">
        <f t="shared" si="160"/>
        <v>#N/A</v>
      </c>
      <c r="BL736" s="7" t="e">
        <f t="shared" si="157"/>
        <v>#N/A</v>
      </c>
    </row>
    <row r="737" spans="52:64" ht="11.25" customHeight="1">
      <c r="AZ737" s="7">
        <f t="shared" si="148"/>
        <v>0.87697559694863958</v>
      </c>
      <c r="BA737" s="7">
        <f t="shared" si="158"/>
        <v>1.1599999999999171</v>
      </c>
      <c r="BB737" s="7">
        <f t="shared" si="149"/>
        <v>0.20357138829077898</v>
      </c>
      <c r="BC737" s="7" t="e">
        <f t="shared" si="150"/>
        <v>#N/A</v>
      </c>
      <c r="BD737" s="7">
        <f t="shared" si="151"/>
        <v>1.159989999999917</v>
      </c>
      <c r="BE737" s="7">
        <f t="shared" si="152"/>
        <v>1.1600099999999172</v>
      </c>
      <c r="BF737" s="7">
        <f t="shared" si="153"/>
        <v>0.86350078641539452</v>
      </c>
      <c r="BG737" s="7">
        <f t="shared" si="154"/>
        <v>0.86350467283340393</v>
      </c>
      <c r="BH737" s="7" t="e">
        <f t="shared" si="155"/>
        <v>#N/A</v>
      </c>
      <c r="BI737" s="7" t="e">
        <f t="shared" si="159"/>
        <v>#N/A</v>
      </c>
      <c r="BJ737" s="7" t="e">
        <f t="shared" si="156"/>
        <v>#N/A</v>
      </c>
      <c r="BK737" s="7" t="e">
        <f t="shared" si="160"/>
        <v>#N/A</v>
      </c>
      <c r="BL737" s="7" t="e">
        <f t="shared" si="157"/>
        <v>#N/A</v>
      </c>
    </row>
    <row r="738" spans="52:64" ht="11.25" customHeight="1">
      <c r="AZ738" s="7">
        <f t="shared" si="148"/>
        <v>0.87899951557896494</v>
      </c>
      <c r="BA738" s="7">
        <f t="shared" si="158"/>
        <v>1.1699999999999171</v>
      </c>
      <c r="BB738" s="7">
        <f t="shared" si="149"/>
        <v>0.20121354273521685</v>
      </c>
      <c r="BC738" s="7" t="e">
        <f t="shared" si="150"/>
        <v>#N/A</v>
      </c>
      <c r="BD738" s="7">
        <f t="shared" si="151"/>
        <v>1.169989999999917</v>
      </c>
      <c r="BE738" s="7">
        <f t="shared" si="152"/>
        <v>1.1700099999999172</v>
      </c>
      <c r="BF738" s="7">
        <f t="shared" si="153"/>
        <v>0.86543310706644649</v>
      </c>
      <c r="BG738" s="7">
        <f t="shared" si="154"/>
        <v>0.8654369498783604</v>
      </c>
      <c r="BH738" s="7" t="e">
        <f t="shared" si="155"/>
        <v>#N/A</v>
      </c>
      <c r="BI738" s="7" t="e">
        <f t="shared" si="159"/>
        <v>#N/A</v>
      </c>
      <c r="BJ738" s="7" t="e">
        <f t="shared" si="156"/>
        <v>#N/A</v>
      </c>
      <c r="BK738" s="7" t="e">
        <f t="shared" si="160"/>
        <v>#N/A</v>
      </c>
      <c r="BL738" s="7" t="e">
        <f t="shared" si="157"/>
        <v>#N/A</v>
      </c>
    </row>
    <row r="739" spans="52:64" ht="11.25" customHeight="1">
      <c r="AZ739" s="7">
        <f t="shared" si="148"/>
        <v>0.88099989254478284</v>
      </c>
      <c r="BA739" s="7">
        <f t="shared" si="158"/>
        <v>1.1799999999999171</v>
      </c>
      <c r="BB739" s="7">
        <f t="shared" si="149"/>
        <v>0.19886311938729531</v>
      </c>
      <c r="BC739" s="7" t="e">
        <f t="shared" si="150"/>
        <v>#N/A</v>
      </c>
      <c r="BD739" s="7">
        <f t="shared" si="151"/>
        <v>1.179989999999917</v>
      </c>
      <c r="BE739" s="7">
        <f t="shared" si="152"/>
        <v>1.1800099999999172</v>
      </c>
      <c r="BF739" s="7">
        <f t="shared" si="153"/>
        <v>0.86734367685962255</v>
      </c>
      <c r="BG739" s="7">
        <f t="shared" si="154"/>
        <v>0.86734747627561037</v>
      </c>
      <c r="BH739" s="7" t="e">
        <f t="shared" si="155"/>
        <v>#N/A</v>
      </c>
      <c r="BI739" s="7" t="e">
        <f t="shared" si="159"/>
        <v>#N/A</v>
      </c>
      <c r="BJ739" s="7" t="e">
        <f t="shared" si="156"/>
        <v>#N/A</v>
      </c>
      <c r="BK739" s="7" t="e">
        <f t="shared" si="160"/>
        <v>#N/A</v>
      </c>
      <c r="BL739" s="7" t="e">
        <f t="shared" si="157"/>
        <v>#N/A</v>
      </c>
    </row>
    <row r="740" spans="52:64" ht="11.25" customHeight="1">
      <c r="AZ740" s="7">
        <f t="shared" si="148"/>
        <v>0.88297680397687495</v>
      </c>
      <c r="BA740" s="7">
        <f t="shared" si="158"/>
        <v>1.1899999999999171</v>
      </c>
      <c r="BB740" s="7">
        <f t="shared" si="149"/>
        <v>0.19652049886215589</v>
      </c>
      <c r="BC740" s="7" t="e">
        <f t="shared" si="150"/>
        <v>#N/A</v>
      </c>
      <c r="BD740" s="7">
        <f t="shared" si="151"/>
        <v>1.1899899999999171</v>
      </c>
      <c r="BE740" s="7">
        <f t="shared" si="152"/>
        <v>1.1900099999999172</v>
      </c>
      <c r="BF740" s="7">
        <f t="shared" si="153"/>
        <v>0.86923260234673017</v>
      </c>
      <c r="BG740" s="7">
        <f t="shared" si="154"/>
        <v>0.86923635858281245</v>
      </c>
      <c r="BH740" s="7" t="e">
        <f t="shared" si="155"/>
        <v>#N/A</v>
      </c>
      <c r="BI740" s="7" t="e">
        <f t="shared" si="159"/>
        <v>#N/A</v>
      </c>
      <c r="BJ740" s="7" t="e">
        <f t="shared" si="156"/>
        <v>#N/A</v>
      </c>
      <c r="BK740" s="7" t="e">
        <f t="shared" si="160"/>
        <v>#N/A</v>
      </c>
      <c r="BL740" s="7" t="e">
        <f t="shared" si="157"/>
        <v>#N/A</v>
      </c>
    </row>
    <row r="741" spans="52:64" ht="11.25" customHeight="1">
      <c r="AZ741" s="7">
        <f t="shared" si="148"/>
        <v>0.88493032977827557</v>
      </c>
      <c r="BA741" s="7">
        <f t="shared" si="158"/>
        <v>1.1999999999999171</v>
      </c>
      <c r="BB741" s="7">
        <f t="shared" si="149"/>
        <v>0.19418605498323221</v>
      </c>
      <c r="BC741" s="7" t="e">
        <f t="shared" si="150"/>
        <v>#N/A</v>
      </c>
      <c r="BD741" s="7">
        <f t="shared" si="151"/>
        <v>1.1999899999999171</v>
      </c>
      <c r="BE741" s="7">
        <f t="shared" si="152"/>
        <v>1.2000099999999172</v>
      </c>
      <c r="BF741" s="7">
        <f t="shared" si="153"/>
        <v>0.87109999296124818</v>
      </c>
      <c r="BG741" s="7">
        <f t="shared" si="154"/>
        <v>0.87110370623912048</v>
      </c>
      <c r="BH741" s="7" t="e">
        <f t="shared" si="155"/>
        <v>#N/A</v>
      </c>
      <c r="BI741" s="7" t="e">
        <f t="shared" si="159"/>
        <v>#N/A</v>
      </c>
      <c r="BJ741" s="7" t="e">
        <f t="shared" si="156"/>
        <v>#N/A</v>
      </c>
      <c r="BK741" s="7" t="e">
        <f t="shared" si="160"/>
        <v>#N/A</v>
      </c>
      <c r="BL741" s="7" t="e">
        <f t="shared" si="157"/>
        <v>#N/A</v>
      </c>
    </row>
    <row r="742" spans="52:64" ht="11.25" customHeight="1">
      <c r="AZ742" s="7">
        <f t="shared" si="148"/>
        <v>0.88686055355600679</v>
      </c>
      <c r="BA742" s="7">
        <f t="shared" si="158"/>
        <v>1.2099999999999171</v>
      </c>
      <c r="BB742" s="7">
        <f t="shared" si="149"/>
        <v>0.19186015471361859</v>
      </c>
      <c r="BC742" s="7" t="e">
        <f t="shared" si="150"/>
        <v>#N/A</v>
      </c>
      <c r="BD742" s="7">
        <f t="shared" si="151"/>
        <v>1.2099899999999171</v>
      </c>
      <c r="BE742" s="7">
        <f t="shared" si="152"/>
        <v>1.2100099999999172</v>
      </c>
      <c r="BF742" s="7">
        <f t="shared" si="153"/>
        <v>0.87294596093078036</v>
      </c>
      <c r="BG742" s="7">
        <f t="shared" si="154"/>
        <v>0.87294963147763904</v>
      </c>
      <c r="BH742" s="7" t="e">
        <f t="shared" si="155"/>
        <v>#N/A</v>
      </c>
      <c r="BI742" s="7" t="e">
        <f t="shared" si="159"/>
        <v>#N/A</v>
      </c>
      <c r="BJ742" s="7" t="e">
        <f t="shared" si="156"/>
        <v>#N/A</v>
      </c>
      <c r="BK742" s="7" t="e">
        <f t="shared" si="160"/>
        <v>#N/A</v>
      </c>
      <c r="BL742" s="7" t="e">
        <f t="shared" si="157"/>
        <v>#N/A</v>
      </c>
    </row>
    <row r="743" spans="52:64" ht="11.25" customHeight="1">
      <c r="AZ743" s="7">
        <f t="shared" si="148"/>
        <v>0.8887675625521495</v>
      </c>
      <c r="BA743" s="7">
        <f t="shared" si="158"/>
        <v>1.2199999999999172</v>
      </c>
      <c r="BB743" s="7">
        <f t="shared" si="149"/>
        <v>0.18954315809165936</v>
      </c>
      <c r="BC743" s="7" t="e">
        <f t="shared" si="150"/>
        <v>#N/A</v>
      </c>
      <c r="BD743" s="7">
        <f t="shared" si="151"/>
        <v>1.2199899999999171</v>
      </c>
      <c r="BE743" s="7">
        <f t="shared" si="152"/>
        <v>1.2200099999999172</v>
      </c>
      <c r="BF743" s="7">
        <f t="shared" si="153"/>
        <v>0.87477062118987114</v>
      </c>
      <c r="BG743" s="7">
        <f t="shared" si="154"/>
        <v>0.8747742492382401</v>
      </c>
      <c r="BH743" s="7" t="e">
        <f t="shared" si="155"/>
        <v>#N/A</v>
      </c>
      <c r="BI743" s="7" t="e">
        <f t="shared" si="159"/>
        <v>#N/A</v>
      </c>
      <c r="BJ743" s="7" t="e">
        <f t="shared" si="156"/>
        <v>#N/A</v>
      </c>
      <c r="BK743" s="7" t="e">
        <f t="shared" si="160"/>
        <v>#N/A</v>
      </c>
      <c r="BL743" s="7" t="e">
        <f t="shared" si="157"/>
        <v>#N/A</v>
      </c>
    </row>
    <row r="744" spans="52:64" ht="11.25" customHeight="1">
      <c r="AZ744" s="7">
        <f t="shared" si="148"/>
        <v>0.8906514475742926</v>
      </c>
      <c r="BA744" s="7">
        <f t="shared" si="158"/>
        <v>1.2299999999999172</v>
      </c>
      <c r="BB744" s="7">
        <f t="shared" si="149"/>
        <v>0.18723541817074857</v>
      </c>
      <c r="BC744" s="7" t="e">
        <f t="shared" si="150"/>
        <v>#N/A</v>
      </c>
      <c r="BD744" s="7">
        <f t="shared" si="151"/>
        <v>1.2299899999999171</v>
      </c>
      <c r="BE744" s="7">
        <f t="shared" si="152"/>
        <v>1.2300099999999172</v>
      </c>
      <c r="BF744" s="7">
        <f t="shared" si="153"/>
        <v>0.87657409129322805</v>
      </c>
      <c r="BG744" s="7">
        <f t="shared" si="154"/>
        <v>0.87657767708078382</v>
      </c>
      <c r="BH744" s="7" t="e">
        <f t="shared" si="155"/>
        <v>#N/A</v>
      </c>
      <c r="BI744" s="7" t="e">
        <f t="shared" si="159"/>
        <v>#N/A</v>
      </c>
      <c r="BJ744" s="7" t="e">
        <f t="shared" si="156"/>
        <v>#N/A</v>
      </c>
      <c r="BK744" s="7" t="e">
        <f t="shared" si="160"/>
        <v>#N/A</v>
      </c>
      <c r="BL744" s="7" t="e">
        <f t="shared" si="157"/>
        <v>#N/A</v>
      </c>
    </row>
    <row r="745" spans="52:64" ht="11.25" customHeight="1">
      <c r="AZ745" s="7">
        <f t="shared" si="148"/>
        <v>0.89251230292539785</v>
      </c>
      <c r="BA745" s="7">
        <f t="shared" si="158"/>
        <v>1.2399999999999172</v>
      </c>
      <c r="BB745" s="7">
        <f t="shared" si="149"/>
        <v>0.18493728096332426</v>
      </c>
      <c r="BC745" s="7" t="e">
        <f t="shared" si="150"/>
        <v>#N/A</v>
      </c>
      <c r="BD745" s="7">
        <f t="shared" si="151"/>
        <v>1.2399899999999171</v>
      </c>
      <c r="BE745" s="7">
        <f t="shared" si="152"/>
        <v>1.2400099999999172</v>
      </c>
      <c r="BF745" s="7">
        <f t="shared" si="153"/>
        <v>0.87835649132940008</v>
      </c>
      <c r="BG745" s="7">
        <f t="shared" si="154"/>
        <v>0.87836003509880156</v>
      </c>
      <c r="BH745" s="7" t="e">
        <f t="shared" si="155"/>
        <v>#N/A</v>
      </c>
      <c r="BI745" s="7" t="e">
        <f t="shared" si="159"/>
        <v>#N/A</v>
      </c>
      <c r="BJ745" s="7" t="e">
        <f t="shared" si="156"/>
        <v>#N/A</v>
      </c>
      <c r="BK745" s="7" t="e">
        <f t="shared" si="160"/>
        <v>#N/A</v>
      </c>
      <c r="BL745" s="7" t="e">
        <f t="shared" si="157"/>
        <v>#N/A</v>
      </c>
    </row>
    <row r="746" spans="52:64" ht="11.25" customHeight="1">
      <c r="AZ746" s="7">
        <f t="shared" si="148"/>
        <v>0.89435022633312944</v>
      </c>
      <c r="BA746" s="7">
        <f t="shared" si="158"/>
        <v>1.2499999999999172</v>
      </c>
      <c r="BB746" s="7">
        <f t="shared" si="149"/>
        <v>0.18264908538904079</v>
      </c>
      <c r="BC746" s="7" t="e">
        <f t="shared" si="150"/>
        <v>#N/A</v>
      </c>
      <c r="BD746" s="7">
        <f t="shared" si="151"/>
        <v>1.2499899999999171</v>
      </c>
      <c r="BE746" s="7">
        <f t="shared" si="152"/>
        <v>1.2500099999999172</v>
      </c>
      <c r="BF746" s="7">
        <f t="shared" si="153"/>
        <v>0.88011794383495789</v>
      </c>
      <c r="BG746" s="7">
        <f t="shared" si="154"/>
        <v>0.88012144583367335</v>
      </c>
      <c r="BH746" s="7" t="e">
        <f t="shared" si="155"/>
        <v>#N/A</v>
      </c>
      <c r="BI746" s="7" t="e">
        <f t="shared" si="159"/>
        <v>#N/A</v>
      </c>
      <c r="BJ746" s="7" t="e">
        <f t="shared" si="156"/>
        <v>#N/A</v>
      </c>
      <c r="BK746" s="7" t="e">
        <f t="shared" si="160"/>
        <v>#N/A</v>
      </c>
      <c r="BL746" s="7" t="e">
        <f t="shared" si="157"/>
        <v>#N/A</v>
      </c>
    </row>
    <row r="747" spans="52:64" ht="11.25" customHeight="1">
      <c r="AZ747" s="7">
        <f t="shared" si="148"/>
        <v>0.89616531887868467</v>
      </c>
      <c r="BA747" s="7">
        <f t="shared" si="158"/>
        <v>1.2599999999999172</v>
      </c>
      <c r="BB747" s="7">
        <f t="shared" si="149"/>
        <v>0.18037116322709912</v>
      </c>
      <c r="BC747" s="7" t="e">
        <f t="shared" si="150"/>
        <v>#N/A</v>
      </c>
      <c r="BD747" s="7">
        <f t="shared" si="151"/>
        <v>1.2599899999999171</v>
      </c>
      <c r="BE747" s="7">
        <f t="shared" si="152"/>
        <v>1.2600099999999173</v>
      </c>
      <c r="BF747" s="7">
        <f t="shared" si="153"/>
        <v>0.88185857370921872</v>
      </c>
      <c r="BG747" s="7">
        <f t="shared" si="154"/>
        <v>0.88186203418935871</v>
      </c>
      <c r="BH747" s="7" t="e">
        <f t="shared" si="155"/>
        <v>#N/A</v>
      </c>
      <c r="BI747" s="7" t="e">
        <f t="shared" si="159"/>
        <v>#N/A</v>
      </c>
      <c r="BJ747" s="7" t="e">
        <f t="shared" si="156"/>
        <v>#N/A</v>
      </c>
      <c r="BK747" s="7" t="e">
        <f t="shared" si="160"/>
        <v>#N/A</v>
      </c>
      <c r="BL747" s="7" t="e">
        <f t="shared" si="157"/>
        <v>#N/A</v>
      </c>
    </row>
    <row r="748" spans="52:64" ht="11.25" customHeight="1">
      <c r="AZ748" s="7">
        <f t="shared" si="148"/>
        <v>0.89795768492516603</v>
      </c>
      <c r="BA748" s="7">
        <f t="shared" si="158"/>
        <v>1.2699999999999172</v>
      </c>
      <c r="BB748" s="7">
        <f t="shared" si="149"/>
        <v>0.17810383907271227</v>
      </c>
      <c r="BC748" s="7" t="e">
        <f t="shared" si="150"/>
        <v>#N/A</v>
      </c>
      <c r="BD748" s="7">
        <f t="shared" si="151"/>
        <v>1.2699899999999171</v>
      </c>
      <c r="BE748" s="7">
        <f t="shared" si="152"/>
        <v>1.2700099999999173</v>
      </c>
      <c r="BF748" s="7">
        <f t="shared" si="153"/>
        <v>0.88357850812956251</v>
      </c>
      <c r="BG748" s="7">
        <f t="shared" si="154"/>
        <v>0.88358192734770735</v>
      </c>
      <c r="BH748" s="7" t="e">
        <f t="shared" si="155"/>
        <v>#N/A</v>
      </c>
      <c r="BI748" s="7" t="e">
        <f t="shared" si="159"/>
        <v>#N/A</v>
      </c>
      <c r="BJ748" s="7" t="e">
        <f t="shared" si="156"/>
        <v>#N/A</v>
      </c>
      <c r="BK748" s="7" t="e">
        <f t="shared" si="160"/>
        <v>#N/A</v>
      </c>
      <c r="BL748" s="7" t="e">
        <f t="shared" si="157"/>
        <v>#N/A</v>
      </c>
    </row>
    <row r="749" spans="52:64" ht="11.25" customHeight="1">
      <c r="AZ749" s="7">
        <f t="shared" si="148"/>
        <v>0.89972743204554328</v>
      </c>
      <c r="BA749" s="7">
        <f t="shared" si="158"/>
        <v>1.2799999999999172</v>
      </c>
      <c r="BB749" s="7">
        <f t="shared" si="149"/>
        <v>0.17584743029768099</v>
      </c>
      <c r="BC749" s="7" t="e">
        <f t="shared" si="150"/>
        <v>#N/A</v>
      </c>
      <c r="BD749" s="7">
        <f t="shared" si="151"/>
        <v>1.2799899999999171</v>
      </c>
      <c r="BE749" s="7">
        <f t="shared" si="152"/>
        <v>1.2800099999999173</v>
      </c>
      <c r="BF749" s="7">
        <f t="shared" si="153"/>
        <v>0.88527787646737299</v>
      </c>
      <c r="BG749" s="7">
        <f t="shared" si="154"/>
        <v>0.8852812546844081</v>
      </c>
      <c r="BH749" s="7" t="e">
        <f t="shared" si="155"/>
        <v>#N/A</v>
      </c>
      <c r="BI749" s="7" t="e">
        <f t="shared" si="159"/>
        <v>#N/A</v>
      </c>
      <c r="BJ749" s="7" t="e">
        <f t="shared" si="156"/>
        <v>#N/A</v>
      </c>
      <c r="BK749" s="7" t="e">
        <f t="shared" si="160"/>
        <v>#N/A</v>
      </c>
      <c r="BL749" s="7" t="e">
        <f t="shared" si="157"/>
        <v>#N/A</v>
      </c>
    </row>
    <row r="750" spans="52:64" ht="11.25" customHeight="1">
      <c r="AZ750" s="7">
        <f t="shared" si="148"/>
        <v>0.90147467095023792</v>
      </c>
      <c r="BA750" s="7">
        <f t="shared" si="158"/>
        <v>1.2899999999999172</v>
      </c>
      <c r="BB750" s="7">
        <f t="shared" si="149"/>
        <v>0.1736022470150515</v>
      </c>
      <c r="BC750" s="7" t="e">
        <f t="shared" si="150"/>
        <v>#N/A</v>
      </c>
      <c r="BD750" s="7">
        <f t="shared" si="151"/>
        <v>1.2899899999999171</v>
      </c>
      <c r="BE750" s="7">
        <f t="shared" si="152"/>
        <v>1.2900099999999173</v>
      </c>
      <c r="BF750" s="7">
        <f t="shared" si="153"/>
        <v>0.88695681020465322</v>
      </c>
      <c r="BG750" s="7">
        <f t="shared" si="154"/>
        <v>0.88696014768560172</v>
      </c>
      <c r="BH750" s="7" t="e">
        <f t="shared" si="155"/>
        <v>#N/A</v>
      </c>
      <c r="BI750" s="7" t="e">
        <f t="shared" si="159"/>
        <v>#N/A</v>
      </c>
      <c r="BJ750" s="7" t="e">
        <f t="shared" si="156"/>
        <v>#N/A</v>
      </c>
      <c r="BK750" s="7" t="e">
        <f t="shared" si="160"/>
        <v>#N/A</v>
      </c>
      <c r="BL750" s="7" t="e">
        <f t="shared" si="157"/>
        <v>#N/A</v>
      </c>
    </row>
    <row r="751" spans="52:64" ht="11.25" customHeight="1">
      <c r="AZ751" s="7">
        <f t="shared" si="148"/>
        <v>0.90319951541437549</v>
      </c>
      <c r="BA751" s="7">
        <f t="shared" si="158"/>
        <v>1.2999999999999172</v>
      </c>
      <c r="BB751" s="7">
        <f t="shared" si="149"/>
        <v>0.17136859204782579</v>
      </c>
      <c r="BC751" s="7" t="e">
        <f t="shared" si="150"/>
        <v>#N/A</v>
      </c>
      <c r="BD751" s="7">
        <f t="shared" si="151"/>
        <v>1.2999899999999172</v>
      </c>
      <c r="BE751" s="7">
        <f t="shared" si="152"/>
        <v>1.3000099999999173</v>
      </c>
      <c r="BF751" s="7">
        <f t="shared" si="153"/>
        <v>0.88861544285134419</v>
      </c>
      <c r="BG751" s="7">
        <f t="shared" si="154"/>
        <v>0.88861873986520346</v>
      </c>
      <c r="BH751" s="7" t="e">
        <f t="shared" si="155"/>
        <v>#N/A</v>
      </c>
      <c r="BI751" s="7" t="e">
        <f t="shared" si="159"/>
        <v>#N/A</v>
      </c>
      <c r="BJ751" s="7" t="e">
        <f t="shared" si="156"/>
        <v>#N/A</v>
      </c>
      <c r="BK751" s="7" t="e">
        <f t="shared" si="160"/>
        <v>#N/A</v>
      </c>
      <c r="BL751" s="7" t="e">
        <f t="shared" si="157"/>
        <v>#N/A</v>
      </c>
    </row>
    <row r="752" spans="52:64" ht="11.25" customHeight="1">
      <c r="AZ752" s="7">
        <f t="shared" si="148"/>
        <v>0.90490208220474699</v>
      </c>
      <c r="BA752" s="7">
        <f t="shared" si="158"/>
        <v>1.3099999999999172</v>
      </c>
      <c r="BB752" s="7">
        <f t="shared" si="149"/>
        <v>0.16914676090169073</v>
      </c>
      <c r="BC752" s="7" t="e">
        <f t="shared" si="150"/>
        <v>#N/A</v>
      </c>
      <c r="BD752" s="7">
        <f t="shared" si="151"/>
        <v>1.3099899999999172</v>
      </c>
      <c r="BE752" s="7">
        <f t="shared" si="152"/>
        <v>1.3100099999999173</v>
      </c>
      <c r="BF752" s="7">
        <f t="shared" si="153"/>
        <v>0.8902539098633917</v>
      </c>
      <c r="BG752" s="7">
        <f t="shared" si="154"/>
        <v>0.89025716668296861</v>
      </c>
      <c r="BH752" s="7" t="e">
        <f t="shared" si="155"/>
        <v>#N/A</v>
      </c>
      <c r="BI752" s="7" t="e">
        <f t="shared" si="159"/>
        <v>#N/A</v>
      </c>
      <c r="BJ752" s="7" t="e">
        <f t="shared" si="156"/>
        <v>#N/A</v>
      </c>
      <c r="BK752" s="7" t="e">
        <f t="shared" si="160"/>
        <v>#N/A</v>
      </c>
      <c r="BL752" s="7" t="e">
        <f t="shared" si="157"/>
        <v>#N/A</v>
      </c>
    </row>
    <row r="753" spans="52:64" ht="11.25" customHeight="1">
      <c r="AZ753" s="7">
        <f t="shared" si="148"/>
        <v>0.90658249100651433</v>
      </c>
      <c r="BA753" s="7">
        <f t="shared" si="158"/>
        <v>1.3199999999999172</v>
      </c>
      <c r="BB753" s="7">
        <f t="shared" si="149"/>
        <v>0.16693704174173205</v>
      </c>
      <c r="BC753" s="7" t="e">
        <f t="shared" si="150"/>
        <v>#N/A</v>
      </c>
      <c r="BD753" s="7">
        <f t="shared" si="151"/>
        <v>1.3199899999999172</v>
      </c>
      <c r="BE753" s="7">
        <f t="shared" si="152"/>
        <v>1.3200099999999173</v>
      </c>
      <c r="BF753" s="7">
        <f t="shared" si="153"/>
        <v>0.89187234856158693</v>
      </c>
      <c r="BG753" s="7">
        <f t="shared" si="154"/>
        <v>0.89187556546333857</v>
      </c>
      <c r="BH753" s="7" t="e">
        <f t="shared" si="155"/>
        <v>#N/A</v>
      </c>
      <c r="BI753" s="7" t="e">
        <f t="shared" si="159"/>
        <v>#N/A</v>
      </c>
      <c r="BJ753" s="7" t="e">
        <f t="shared" si="156"/>
        <v>#N/A</v>
      </c>
      <c r="BK753" s="7" t="e">
        <f t="shared" si="160"/>
        <v>#N/A</v>
      </c>
      <c r="BL753" s="7" t="e">
        <f t="shared" si="157"/>
        <v>#N/A</v>
      </c>
    </row>
    <row r="754" spans="52:64" ht="11.25" customHeight="1">
      <c r="AZ754" s="7">
        <f t="shared" si="148"/>
        <v>0.90824086434970552</v>
      </c>
      <c r="BA754" s="7">
        <f t="shared" si="158"/>
        <v>1.3299999999999172</v>
      </c>
      <c r="BB754" s="7">
        <f t="shared" si="149"/>
        <v>0.16473971537309495</v>
      </c>
      <c r="BC754" s="7" t="e">
        <f t="shared" si="150"/>
        <v>#N/A</v>
      </c>
      <c r="BD754" s="7">
        <f t="shared" si="151"/>
        <v>1.3299899999999172</v>
      </c>
      <c r="BE754" s="7">
        <f t="shared" si="152"/>
        <v>1.3300099999999173</v>
      </c>
      <c r="BF754" s="7">
        <f t="shared" si="153"/>
        <v>0.89347089805122692</v>
      </c>
      <c r="BG754" s="7">
        <f t="shared" si="154"/>
        <v>0.89347407531509782</v>
      </c>
      <c r="BH754" s="7" t="e">
        <f t="shared" si="155"/>
        <v>#N/A</v>
      </c>
      <c r="BI754" s="7" t="e">
        <f t="shared" si="159"/>
        <v>#N/A</v>
      </c>
      <c r="BJ754" s="7" t="e">
        <f t="shared" si="156"/>
        <v>#N/A</v>
      </c>
      <c r="BK754" s="7" t="e">
        <f t="shared" si="160"/>
        <v>#N/A</v>
      </c>
      <c r="BL754" s="7" t="e">
        <f t="shared" si="157"/>
        <v>#N/A</v>
      </c>
    </row>
    <row r="755" spans="52:64" ht="11.25" customHeight="1">
      <c r="AZ755" s="7">
        <f t="shared" si="148"/>
        <v>0.90987732753553408</v>
      </c>
      <c r="BA755" s="7">
        <f t="shared" si="158"/>
        <v>1.3399999999999173</v>
      </c>
      <c r="BB755" s="7">
        <f t="shared" si="149"/>
        <v>0.16255505522555216</v>
      </c>
      <c r="BC755" s="7" t="e">
        <f t="shared" si="150"/>
        <v>#N/A</v>
      </c>
      <c r="BD755" s="7">
        <f t="shared" si="151"/>
        <v>1.3399899999999172</v>
      </c>
      <c r="BE755" s="7">
        <f t="shared" si="152"/>
        <v>1.3400099999999173</v>
      </c>
      <c r="BF755" s="7">
        <f t="shared" si="153"/>
        <v>0.89504969914261223</v>
      </c>
      <c r="BG755" s="7">
        <f t="shared" si="154"/>
        <v>0.89505283705187944</v>
      </c>
      <c r="BH755" s="7" t="e">
        <f t="shared" si="155"/>
        <v>#N/A</v>
      </c>
      <c r="BI755" s="7" t="e">
        <f t="shared" si="159"/>
        <v>#N/A</v>
      </c>
      <c r="BJ755" s="7" t="e">
        <f t="shared" si="156"/>
        <v>#N/A</v>
      </c>
      <c r="BK755" s="7" t="e">
        <f t="shared" si="160"/>
        <v>#N/A</v>
      </c>
      <c r="BL755" s="7" t="e">
        <f t="shared" si="157"/>
        <v>#N/A</v>
      </c>
    </row>
    <row r="756" spans="52:64" ht="11.25" customHeight="1">
      <c r="AZ756" s="7">
        <f t="shared" si="148"/>
        <v>0.91149200856258461</v>
      </c>
      <c r="BA756" s="7">
        <f t="shared" si="158"/>
        <v>1.3499999999999173</v>
      </c>
      <c r="BB756" s="7">
        <f t="shared" si="149"/>
        <v>0.1603833273419375</v>
      </c>
      <c r="BC756" s="7" t="e">
        <f t="shared" si="150"/>
        <v>#N/A</v>
      </c>
      <c r="BD756" s="7">
        <f t="shared" si="151"/>
        <v>1.3499899999999172</v>
      </c>
      <c r="BE756" s="7">
        <f t="shared" si="152"/>
        <v>1.3500099999999173</v>
      </c>
      <c r="BF756" s="7">
        <f t="shared" si="153"/>
        <v>0.89660889427242596</v>
      </c>
      <c r="BG756" s="7">
        <f t="shared" si="154"/>
        <v>0.8966119931135399</v>
      </c>
      <c r="BH756" s="7" t="e">
        <f t="shared" si="155"/>
        <v>#N/A</v>
      </c>
      <c r="BI756" s="7" t="e">
        <f t="shared" si="159"/>
        <v>#N/A</v>
      </c>
      <c r="BJ756" s="7" t="e">
        <f t="shared" si="156"/>
        <v>#N/A</v>
      </c>
      <c r="BK756" s="7" t="e">
        <f t="shared" si="160"/>
        <v>#N/A</v>
      </c>
      <c r="BL756" s="7" t="e">
        <f t="shared" si="157"/>
        <v>#N/A</v>
      </c>
    </row>
    <row r="757" spans="52:64" ht="11.25" customHeight="1">
      <c r="AZ757" s="7">
        <f t="shared" si="148"/>
        <v>0.91308503805290187</v>
      </c>
      <c r="BA757" s="7">
        <f t="shared" si="158"/>
        <v>1.3599999999999173</v>
      </c>
      <c r="BB757" s="7">
        <f t="shared" si="149"/>
        <v>0.15822479037040083</v>
      </c>
      <c r="BC757" s="7" t="e">
        <f t="shared" si="150"/>
        <v>#N/A</v>
      </c>
      <c r="BD757" s="7">
        <f t="shared" si="151"/>
        <v>1.3599899999999172</v>
      </c>
      <c r="BE757" s="7">
        <f t="shared" si="152"/>
        <v>1.3600099999999173</v>
      </c>
      <c r="BF757" s="7">
        <f t="shared" si="153"/>
        <v>0.89814862742601442</v>
      </c>
      <c r="BG757" s="7">
        <f t="shared" si="154"/>
        <v>0.89815168748844609</v>
      </c>
      <c r="BH757" s="7" t="e">
        <f t="shared" si="155"/>
        <v>#N/A</v>
      </c>
      <c r="BI757" s="7" t="e">
        <f t="shared" si="159"/>
        <v>#N/A</v>
      </c>
      <c r="BJ757" s="7" t="e">
        <f t="shared" si="156"/>
        <v>#N/A</v>
      </c>
      <c r="BK757" s="7" t="e">
        <f t="shared" si="160"/>
        <v>#N/A</v>
      </c>
      <c r="BL757" s="7" t="e">
        <f t="shared" si="157"/>
        <v>#N/A</v>
      </c>
    </row>
    <row r="758" spans="52:64" ht="11.25" customHeight="1">
      <c r="AZ758" s="7">
        <f t="shared" si="148"/>
        <v>0.91465654917802008</v>
      </c>
      <c r="BA758" s="7">
        <f t="shared" si="158"/>
        <v>1.3699999999999173</v>
      </c>
      <c r="BB758" s="7">
        <f t="shared" si="149"/>
        <v>0.15607969556043855</v>
      </c>
      <c r="BC758" s="7" t="e">
        <f t="shared" si="150"/>
        <v>#N/A</v>
      </c>
      <c r="BD758" s="7">
        <f t="shared" si="151"/>
        <v>1.3699899999999172</v>
      </c>
      <c r="BE758" s="7">
        <f t="shared" si="152"/>
        <v>1.3700099999999173</v>
      </c>
      <c r="BF758" s="7">
        <f t="shared" si="153"/>
        <v>0.89966904406059989</v>
      </c>
      <c r="BG758" s="7">
        <f t="shared" si="154"/>
        <v>0.89967206563668767</v>
      </c>
      <c r="BH758" s="7" t="e">
        <f t="shared" si="155"/>
        <v>#N/A</v>
      </c>
      <c r="BI758" s="7" t="e">
        <f t="shared" si="159"/>
        <v>#N/A</v>
      </c>
      <c r="BJ758" s="7" t="e">
        <f t="shared" si="156"/>
        <v>#N/A</v>
      </c>
      <c r="BK758" s="7" t="e">
        <f t="shared" si="160"/>
        <v>#N/A</v>
      </c>
      <c r="BL758" s="7" t="e">
        <f t="shared" si="157"/>
        <v>#N/A</v>
      </c>
    </row>
    <row r="759" spans="52:64" ht="11.25" customHeight="1">
      <c r="AZ759" s="7">
        <f t="shared" si="148"/>
        <v>0.91620667758497309</v>
      </c>
      <c r="BA759" s="7">
        <f t="shared" si="158"/>
        <v>1.3799999999999173</v>
      </c>
      <c r="BB759" s="7">
        <f t="shared" si="149"/>
        <v>0.15394828676265124</v>
      </c>
      <c r="BC759" s="7" t="e">
        <f t="shared" si="150"/>
        <v>#N/A</v>
      </c>
      <c r="BD759" s="7">
        <f t="shared" si="151"/>
        <v>1.3799899999999172</v>
      </c>
      <c r="BE759" s="7">
        <f t="shared" si="152"/>
        <v>1.3800099999999174</v>
      </c>
      <c r="BF759" s="7">
        <f t="shared" si="153"/>
        <v>0.90117029102945312</v>
      </c>
      <c r="BG759" s="7">
        <f t="shared" si="154"/>
        <v>0.90117327441425266</v>
      </c>
      <c r="BH759" s="7" t="e">
        <f t="shared" si="155"/>
        <v>#N/A</v>
      </c>
      <c r="BI759" s="7" t="e">
        <f t="shared" si="159"/>
        <v>#N/A</v>
      </c>
      <c r="BJ759" s="7" t="e">
        <f t="shared" si="156"/>
        <v>#N/A</v>
      </c>
      <c r="BK759" s="7" t="e">
        <f t="shared" si="160"/>
        <v>#N/A</v>
      </c>
      <c r="BL759" s="7" t="e">
        <f t="shared" si="157"/>
        <v>#N/A</v>
      </c>
    </row>
    <row r="760" spans="52:64" ht="11.25" customHeight="1">
      <c r="AZ760" s="7">
        <f t="shared" si="148"/>
        <v>0.91773556132231848</v>
      </c>
      <c r="BA760" s="7">
        <f t="shared" si="158"/>
        <v>1.3899999999999173</v>
      </c>
      <c r="BB760" s="7">
        <f t="shared" si="149"/>
        <v>0.15183080043217911</v>
      </c>
      <c r="BC760" s="7" t="e">
        <f t="shared" si="150"/>
        <v>#N/A</v>
      </c>
      <c r="BD760" s="7">
        <f t="shared" si="151"/>
        <v>1.3899899999999172</v>
      </c>
      <c r="BE760" s="7">
        <f t="shared" si="152"/>
        <v>1.3900099999999174</v>
      </c>
      <c r="BF760" s="7">
        <f t="shared" si="153"/>
        <v>0.90265251650704781</v>
      </c>
      <c r="BG760" s="7">
        <f t="shared" si="154"/>
        <v>0.90265546199818147</v>
      </c>
      <c r="BH760" s="7" t="e">
        <f t="shared" si="155"/>
        <v>#N/A</v>
      </c>
      <c r="BI760" s="7" t="e">
        <f t="shared" si="159"/>
        <v>#N/A</v>
      </c>
      <c r="BJ760" s="7" t="e">
        <f t="shared" si="156"/>
        <v>#N/A</v>
      </c>
      <c r="BK760" s="7" t="e">
        <f t="shared" si="160"/>
        <v>#N/A</v>
      </c>
      <c r="BL760" s="7" t="e">
        <f t="shared" si="157"/>
        <v>#N/A</v>
      </c>
    </row>
    <row r="761" spans="52:64" ht="11.25" customHeight="1">
      <c r="AZ761" s="7">
        <f t="shared" si="148"/>
        <v>0.9192433407662165</v>
      </c>
      <c r="BA761" s="7">
        <f t="shared" si="158"/>
        <v>1.3999999999999173</v>
      </c>
      <c r="BB761" s="7">
        <f t="shared" si="149"/>
        <v>0.14972746563576217</v>
      </c>
      <c r="BC761" s="7" t="e">
        <f t="shared" si="150"/>
        <v>#N/A</v>
      </c>
      <c r="BD761" s="7">
        <f t="shared" si="151"/>
        <v>1.3999899999999172</v>
      </c>
      <c r="BE761" s="7">
        <f t="shared" si="152"/>
        <v>1.4000099999999174</v>
      </c>
      <c r="BF761" s="7">
        <f t="shared" si="153"/>
        <v>0.90411586991522008</v>
      </c>
      <c r="BG761" s="7">
        <f t="shared" si="154"/>
        <v>0.90411877781273287</v>
      </c>
      <c r="BH761" s="7" t="e">
        <f t="shared" si="155"/>
        <v>#N/A</v>
      </c>
      <c r="BI761" s="7" t="e">
        <f t="shared" si="159"/>
        <v>#N/A</v>
      </c>
      <c r="BJ761" s="7" t="e">
        <f t="shared" si="156"/>
        <v>#N/A</v>
      </c>
      <c r="BK761" s="7" t="e">
        <f t="shared" si="160"/>
        <v>#N/A</v>
      </c>
      <c r="BL761" s="7" t="e">
        <f t="shared" si="157"/>
        <v>#N/A</v>
      </c>
    </row>
    <row r="762" spans="52:64" ht="11.25" customHeight="1">
      <c r="AZ762" s="7">
        <f t="shared" si="148"/>
        <v>0.92073015854659535</v>
      </c>
      <c r="BA762" s="7">
        <f t="shared" si="158"/>
        <v>1.4099999999999173</v>
      </c>
      <c r="BB762" s="7">
        <f t="shared" si="149"/>
        <v>0.14763850406237292</v>
      </c>
      <c r="BC762" s="7" t="e">
        <f t="shared" si="150"/>
        <v>#N/A</v>
      </c>
      <c r="BD762" s="7">
        <f t="shared" si="151"/>
        <v>1.4099899999999173</v>
      </c>
      <c r="BE762" s="7">
        <f t="shared" si="152"/>
        <v>1.4100099999999174</v>
      </c>
      <c r="BF762" s="7">
        <f t="shared" si="153"/>
        <v>0.90556050185035919</v>
      </c>
      <c r="BG762" s="7">
        <f t="shared" si="154"/>
        <v>0.90556337245657315</v>
      </c>
      <c r="BH762" s="7" t="e">
        <f t="shared" si="155"/>
        <v>#N/A</v>
      </c>
      <c r="BI762" s="7" t="e">
        <f t="shared" si="159"/>
        <v>#N/A</v>
      </c>
      <c r="BJ762" s="7" t="e">
        <f t="shared" si="156"/>
        <v>#N/A</v>
      </c>
      <c r="BK762" s="7" t="e">
        <f t="shared" si="160"/>
        <v>#N/A</v>
      </c>
      <c r="BL762" s="7" t="e">
        <f t="shared" si="157"/>
        <v>#N/A</v>
      </c>
    </row>
    <row r="763" spans="52:64" ht="11.25" customHeight="1">
      <c r="AZ763" s="7">
        <f t="shared" si="148"/>
        <v>0.92219615947344158</v>
      </c>
      <c r="BA763" s="7">
        <f t="shared" si="158"/>
        <v>1.4199999999999173</v>
      </c>
      <c r="BB763" s="7">
        <f t="shared" si="149"/>
        <v>0.14556413003736468</v>
      </c>
      <c r="BC763" s="7" t="e">
        <f t="shared" si="150"/>
        <v>#N/A</v>
      </c>
      <c r="BD763" s="7">
        <f t="shared" si="151"/>
        <v>1.4199899999999173</v>
      </c>
      <c r="BE763" s="7">
        <f t="shared" si="152"/>
        <v>1.4200099999999174</v>
      </c>
      <c r="BF763" s="7">
        <f t="shared" si="153"/>
        <v>0.90698656401164457</v>
      </c>
      <c r="BG763" s="7">
        <f t="shared" si="154"/>
        <v>0.90698939763101527</v>
      </c>
      <c r="BH763" s="7" t="e">
        <f t="shared" si="155"/>
        <v>#N/A</v>
      </c>
      <c r="BI763" s="7" t="e">
        <f t="shared" si="159"/>
        <v>#N/A</v>
      </c>
      <c r="BJ763" s="7" t="e">
        <f t="shared" si="156"/>
        <v>#N/A</v>
      </c>
      <c r="BK763" s="7" t="e">
        <f t="shared" si="160"/>
        <v>#N/A</v>
      </c>
      <c r="BL763" s="7" t="e">
        <f t="shared" si="157"/>
        <v>#N/A</v>
      </c>
    </row>
    <row r="764" spans="52:64" ht="11.25" customHeight="1">
      <c r="AZ764" s="7">
        <f t="shared" si="148"/>
        <v>0.92364149046324906</v>
      </c>
      <c r="BA764" s="7">
        <f t="shared" si="158"/>
        <v>1.4299999999999173</v>
      </c>
      <c r="BB764" s="7">
        <f t="shared" si="149"/>
        <v>0.14350455054007935</v>
      </c>
      <c r="BC764" s="7" t="e">
        <f t="shared" si="150"/>
        <v>#N/A</v>
      </c>
      <c r="BD764" s="7">
        <f t="shared" si="151"/>
        <v>1.4299899999999173</v>
      </c>
      <c r="BE764" s="7">
        <f t="shared" si="152"/>
        <v>1.4300099999999174</v>
      </c>
      <c r="BF764" s="7">
        <f t="shared" si="153"/>
        <v>0.90839420913035029</v>
      </c>
      <c r="BG764" s="7">
        <f t="shared" si="154"/>
        <v>0.90839700606932761</v>
      </c>
      <c r="BH764" s="7" t="e">
        <f t="shared" si="155"/>
        <v>#N/A</v>
      </c>
      <c r="BI764" s="7" t="e">
        <f t="shared" si="159"/>
        <v>#N/A</v>
      </c>
      <c r="BJ764" s="7" t="e">
        <f t="shared" si="156"/>
        <v>#N/A</v>
      </c>
      <c r="BK764" s="7" t="e">
        <f t="shared" si="160"/>
        <v>#N/A</v>
      </c>
      <c r="BL764" s="7" t="e">
        <f t="shared" si="157"/>
        <v>#N/A</v>
      </c>
    </row>
    <row r="765" spans="52:64" ht="11.25" customHeight="1">
      <c r="AZ765" s="7">
        <f t="shared" si="148"/>
        <v>0.92506630046566118</v>
      </c>
      <c r="BA765" s="7">
        <f t="shared" si="158"/>
        <v>1.4399999999999173</v>
      </c>
      <c r="BB765" s="7">
        <f t="shared" si="149"/>
        <v>0.14145996522485563</v>
      </c>
      <c r="BC765" s="7" t="e">
        <f t="shared" si="150"/>
        <v>#N/A</v>
      </c>
      <c r="BD765" s="7">
        <f t="shared" si="151"/>
        <v>1.4399899999999173</v>
      </c>
      <c r="BE765" s="7">
        <f t="shared" si="152"/>
        <v>1.4400099999999174</v>
      </c>
      <c r="BF765" s="7">
        <f t="shared" si="153"/>
        <v>0.90978359090023631</v>
      </c>
      <c r="BG765" s="7">
        <f t="shared" si="154"/>
        <v>0.90978635146712616</v>
      </c>
      <c r="BH765" s="7" t="e">
        <f t="shared" si="155"/>
        <v>#N/A</v>
      </c>
      <c r="BI765" s="7" t="e">
        <f t="shared" si="159"/>
        <v>#N/A</v>
      </c>
      <c r="BJ765" s="7" t="e">
        <f t="shared" si="156"/>
        <v>#N/A</v>
      </c>
      <c r="BK765" s="7" t="e">
        <f t="shared" si="160"/>
        <v>#N/A</v>
      </c>
      <c r="BL765" s="7" t="e">
        <f t="shared" si="157"/>
        <v>#N/A</v>
      </c>
    </row>
    <row r="766" spans="52:64" ht="11.25" customHeight="1">
      <c r="AZ766" s="7">
        <f t="shared" si="148"/>
        <v>0.92647074039034005</v>
      </c>
      <c r="BA766" s="7">
        <f t="shared" si="158"/>
        <v>1.4499999999999174</v>
      </c>
      <c r="BB766" s="7">
        <f t="shared" si="149"/>
        <v>0.13943056644537696</v>
      </c>
      <c r="BC766" s="7" t="e">
        <f t="shared" si="150"/>
        <v>#N/A</v>
      </c>
      <c r="BD766" s="7">
        <f t="shared" si="151"/>
        <v>1.4499899999999173</v>
      </c>
      <c r="BE766" s="7">
        <f t="shared" si="152"/>
        <v>1.4500099999999174</v>
      </c>
      <c r="BF766" s="7">
        <f t="shared" si="153"/>
        <v>0.91115486390904143</v>
      </c>
      <c r="BG766" s="7">
        <f t="shared" si="154"/>
        <v>0.91115758841386962</v>
      </c>
      <c r="BH766" s="7" t="e">
        <f t="shared" si="155"/>
        <v>#N/A</v>
      </c>
      <c r="BI766" s="7" t="e">
        <f t="shared" si="159"/>
        <v>#N/A</v>
      </c>
      <c r="BJ766" s="7" t="e">
        <f t="shared" si="156"/>
        <v>#N/A</v>
      </c>
      <c r="BK766" s="7" t="e">
        <f t="shared" si="160"/>
        <v>#N/A</v>
      </c>
      <c r="BL766" s="7" t="e">
        <f t="shared" si="157"/>
        <v>#N/A</v>
      </c>
    </row>
    <row r="767" spans="52:64" ht="11.25" customHeight="1">
      <c r="AZ767" s="7">
        <f t="shared" si="148"/>
        <v>0.92785496303409487</v>
      </c>
      <c r="BA767" s="7">
        <f t="shared" si="158"/>
        <v>1.4599999999999174</v>
      </c>
      <c r="BB767" s="7">
        <f t="shared" si="149"/>
        <v>0.13741653928229833</v>
      </c>
      <c r="BC767" s="7" t="e">
        <f t="shared" si="150"/>
        <v>#N/A</v>
      </c>
      <c r="BD767" s="7">
        <f t="shared" si="151"/>
        <v>1.4599899999999173</v>
      </c>
      <c r="BE767" s="7">
        <f t="shared" si="152"/>
        <v>1.4600099999999174</v>
      </c>
      <c r="BF767" s="7">
        <f t="shared" si="153"/>
        <v>0.91250818357109231</v>
      </c>
      <c r="BG767" s="7">
        <f t="shared" si="154"/>
        <v>0.91251087232547157</v>
      </c>
      <c r="BH767" s="7" t="e">
        <f t="shared" si="155"/>
        <v>#N/A</v>
      </c>
      <c r="BI767" s="7" t="e">
        <f t="shared" si="159"/>
        <v>#N/A</v>
      </c>
      <c r="BJ767" s="7" t="e">
        <f t="shared" si="156"/>
        <v>#N/A</v>
      </c>
      <c r="BK767" s="7" t="e">
        <f t="shared" si="160"/>
        <v>#N/A</v>
      </c>
      <c r="BL767" s="7" t="e">
        <f t="shared" si="157"/>
        <v>#N/A</v>
      </c>
    </row>
    <row r="768" spans="52:64" ht="11.25" customHeight="1">
      <c r="AZ768" s="7">
        <f t="shared" si="148"/>
        <v>0.92921912300830323</v>
      </c>
      <c r="BA768" s="7">
        <f t="shared" si="158"/>
        <v>1.4699999999999174</v>
      </c>
      <c r="BB768" s="7">
        <f t="shared" si="149"/>
        <v>0.13541806157408773</v>
      </c>
      <c r="BC768" s="7" t="e">
        <f t="shared" si="150"/>
        <v>#N/A</v>
      </c>
      <c r="BD768" s="7">
        <f t="shared" si="151"/>
        <v>1.4699899999999173</v>
      </c>
      <c r="BE768" s="7">
        <f t="shared" si="152"/>
        <v>1.4700099999999174</v>
      </c>
      <c r="BF768" s="7">
        <f t="shared" si="153"/>
        <v>0.91384370606104293</v>
      </c>
      <c r="BG768" s="7">
        <f t="shared" si="154"/>
        <v>0.91384635937804104</v>
      </c>
      <c r="BH768" s="7" t="e">
        <f t="shared" si="155"/>
        <v>#N/A</v>
      </c>
      <c r="BI768" s="7" t="e">
        <f t="shared" si="159"/>
        <v>#N/A</v>
      </c>
      <c r="BJ768" s="7" t="e">
        <f t="shared" si="156"/>
        <v>#N/A</v>
      </c>
      <c r="BK768" s="7" t="e">
        <f t="shared" si="160"/>
        <v>#N/A</v>
      </c>
      <c r="BL768" s="7" t="e">
        <f t="shared" si="157"/>
        <v>#N/A</v>
      </c>
    </row>
    <row r="769" spans="52:64" ht="11.25" customHeight="1">
      <c r="AZ769" s="7">
        <f t="shared" si="148"/>
        <v>0.93056337666665734</v>
      </c>
      <c r="BA769" s="7">
        <f t="shared" si="158"/>
        <v>1.4799999999999174</v>
      </c>
      <c r="BB769" s="7">
        <f t="shared" si="149"/>
        <v>0.13343530395101857</v>
      </c>
      <c r="BC769" s="7" t="e">
        <f t="shared" si="150"/>
        <v>#N/A</v>
      </c>
      <c r="BD769" s="7">
        <f t="shared" si="151"/>
        <v>1.4799899999999173</v>
      </c>
      <c r="BE769" s="7">
        <f t="shared" si="152"/>
        <v>1.4800099999999174</v>
      </c>
      <c r="BF769" s="7">
        <f t="shared" si="153"/>
        <v>0.91516158824876159</v>
      </c>
      <c r="BG769" s="7">
        <f t="shared" si="154"/>
        <v>0.91516420644277119</v>
      </c>
      <c r="BH769" s="7" t="e">
        <f t="shared" si="155"/>
        <v>#N/A</v>
      </c>
      <c r="BI769" s="7" t="e">
        <f t="shared" si="159"/>
        <v>#N/A</v>
      </c>
      <c r="BJ769" s="7" t="e">
        <f t="shared" si="156"/>
        <v>#N/A</v>
      </c>
      <c r="BK769" s="7" t="e">
        <f t="shared" si="160"/>
        <v>#N/A</v>
      </c>
      <c r="BL769" s="7" t="e">
        <f t="shared" si="157"/>
        <v>#N/A</v>
      </c>
    </row>
    <row r="770" spans="52:64" ht="11.25" customHeight="1">
      <c r="AZ770" s="7">
        <f t="shared" si="148"/>
        <v>0.93188788203326378</v>
      </c>
      <c r="BA770" s="7">
        <f t="shared" si="158"/>
        <v>1.4899999999999174</v>
      </c>
      <c r="BB770" s="7">
        <f t="shared" si="149"/>
        <v>0.13146842987224719</v>
      </c>
      <c r="BC770" s="7" t="e">
        <f t="shared" si="150"/>
        <v>#N/A</v>
      </c>
      <c r="BD770" s="7">
        <f t="shared" si="151"/>
        <v>1.4899899999999173</v>
      </c>
      <c r="BE770" s="7">
        <f t="shared" si="152"/>
        <v>1.4900099999999175</v>
      </c>
      <c r="BF770" s="7">
        <f t="shared" si="153"/>
        <v>0.91646198763536402</v>
      </c>
      <c r="BG770" s="7">
        <f t="shared" si="154"/>
        <v>0.91646457102197809</v>
      </c>
      <c r="BH770" s="7" t="e">
        <f t="shared" si="155"/>
        <v>#N/A</v>
      </c>
      <c r="BI770" s="7" t="e">
        <f t="shared" si="159"/>
        <v>#N/A</v>
      </c>
      <c r="BJ770" s="7" t="e">
        <f t="shared" si="156"/>
        <v>#N/A</v>
      </c>
      <c r="BK770" s="7" t="e">
        <f t="shared" si="160"/>
        <v>#N/A</v>
      </c>
      <c r="BL770" s="7" t="e">
        <f t="shared" si="157"/>
        <v>#N/A</v>
      </c>
    </row>
    <row r="771" spans="52:64" ht="11.25" customHeight="1">
      <c r="AZ771" s="7">
        <f t="shared" si="148"/>
        <v>0.93319279873113115</v>
      </c>
      <c r="BA771" s="7">
        <f t="shared" si="158"/>
        <v>1.4999999999999174</v>
      </c>
      <c r="BB771" s="7">
        <f t="shared" si="149"/>
        <v>0.12951759566590776</v>
      </c>
      <c r="BC771" s="7" t="e">
        <f t="shared" si="150"/>
        <v>#N/A</v>
      </c>
      <c r="BD771" s="7">
        <f t="shared" si="151"/>
        <v>1.4999899999999173</v>
      </c>
      <c r="BE771" s="7">
        <f t="shared" si="152"/>
        <v>1.5000099999999175</v>
      </c>
      <c r="BF771" s="7">
        <f t="shared" si="153"/>
        <v>0.91774506229042196</v>
      </c>
      <c r="BG771" s="7">
        <f t="shared" si="154"/>
        <v>0.91774761118630765</v>
      </c>
      <c r="BH771" s="7" t="e">
        <f t="shared" si="155"/>
        <v>#N/A</v>
      </c>
      <c r="BI771" s="7" t="e">
        <f t="shared" si="159"/>
        <v>#N/A</v>
      </c>
      <c r="BJ771" s="7" t="e">
        <f t="shared" si="156"/>
        <v>#N/A</v>
      </c>
      <c r="BK771" s="7" t="e">
        <f t="shared" si="160"/>
        <v>#N/A</v>
      </c>
      <c r="BL771" s="7" t="e">
        <f t="shared" si="157"/>
        <v>#N/A</v>
      </c>
    </row>
    <row r="772" spans="52:64" ht="11.25" customHeight="1">
      <c r="AZ772" s="7">
        <f t="shared" si="148"/>
        <v>0.9344782879110729</v>
      </c>
      <c r="BA772" s="7">
        <f t="shared" si="158"/>
        <v>1.5099999999999174</v>
      </c>
      <c r="BB772" s="7">
        <f t="shared" si="149"/>
        <v>0.12758295057215777</v>
      </c>
      <c r="BC772" s="7" t="e">
        <f t="shared" si="150"/>
        <v>#N/A</v>
      </c>
      <c r="BD772" s="7">
        <f t="shared" si="151"/>
        <v>1.5099899999999173</v>
      </c>
      <c r="BE772" s="7">
        <f t="shared" si="152"/>
        <v>1.5100099999999175</v>
      </c>
      <c r="BF772" s="7">
        <f t="shared" si="153"/>
        <v>0.91901097079033567</v>
      </c>
      <c r="BG772" s="7">
        <f t="shared" si="154"/>
        <v>0.91901348551311313</v>
      </c>
      <c r="BH772" s="7" t="e">
        <f t="shared" si="155"/>
        <v>#N/A</v>
      </c>
      <c r="BI772" s="7" t="e">
        <f t="shared" si="159"/>
        <v>#N/A</v>
      </c>
      <c r="BJ772" s="7" t="e">
        <f t="shared" si="156"/>
        <v>#N/A</v>
      </c>
      <c r="BK772" s="7" t="e">
        <f t="shared" si="160"/>
        <v>#N/A</v>
      </c>
      <c r="BL772" s="7" t="e">
        <f t="shared" si="157"/>
        <v>#N/A</v>
      </c>
    </row>
    <row r="773" spans="52:64" ht="11.25" customHeight="1">
      <c r="AZ773" s="7">
        <f t="shared" si="148"/>
        <v>0.9357445121810537</v>
      </c>
      <c r="BA773" s="7">
        <f t="shared" si="158"/>
        <v>1.5199999999999174</v>
      </c>
      <c r="BB773" s="7">
        <f t="shared" si="149"/>
        <v>0.12566463678910389</v>
      </c>
      <c r="BC773" s="7" t="e">
        <f t="shared" si="150"/>
        <v>#N/A</v>
      </c>
      <c r="BD773" s="7">
        <f t="shared" si="151"/>
        <v>1.5199899999999174</v>
      </c>
      <c r="BE773" s="7">
        <f t="shared" si="152"/>
        <v>1.5200099999999175</v>
      </c>
      <c r="BF773" s="7">
        <f t="shared" si="153"/>
        <v>0.92025987215789551</v>
      </c>
      <c r="BG773" s="7">
        <f t="shared" si="154"/>
        <v>0.92026235302601755</v>
      </c>
      <c r="BH773" s="7" t="e">
        <f t="shared" si="155"/>
        <v>#N/A</v>
      </c>
      <c r="BI773" s="7" t="e">
        <f t="shared" si="159"/>
        <v>#N/A</v>
      </c>
      <c r="BJ773" s="7" t="e">
        <f t="shared" si="156"/>
        <v>#N/A</v>
      </c>
      <c r="BK773" s="7" t="e">
        <f t="shared" si="160"/>
        <v>#N/A</v>
      </c>
      <c r="BL773" s="7" t="e">
        <f t="shared" si="157"/>
        <v>#N/A</v>
      </c>
    </row>
    <row r="774" spans="52:64" ht="11.25" customHeight="1">
      <c r="AZ774" s="7">
        <f t="shared" si="148"/>
        <v>0.93699163553601139</v>
      </c>
      <c r="BA774" s="7">
        <f t="shared" si="158"/>
        <v>1.5299999999999174</v>
      </c>
      <c r="BB774" s="7">
        <f t="shared" si="149"/>
        <v>0.12376278952153875</v>
      </c>
      <c r="BC774" s="7" t="e">
        <f t="shared" si="150"/>
        <v>#N/A</v>
      </c>
      <c r="BD774" s="7">
        <f t="shared" si="151"/>
        <v>1.5299899999999174</v>
      </c>
      <c r="BE774" s="7">
        <f t="shared" si="152"/>
        <v>1.5300099999999175</v>
      </c>
      <c r="BF774" s="7">
        <f t="shared" si="153"/>
        <v>0.92149192580302697</v>
      </c>
      <c r="BG774" s="7">
        <f t="shared" si="154"/>
        <v>0.9214943731356624</v>
      </c>
      <c r="BH774" s="7" t="e">
        <f t="shared" si="155"/>
        <v>#N/A</v>
      </c>
      <c r="BI774" s="7" t="e">
        <f t="shared" si="159"/>
        <v>#N/A</v>
      </c>
      <c r="BJ774" s="7" t="e">
        <f t="shared" si="156"/>
        <v>#N/A</v>
      </c>
      <c r="BK774" s="7" t="e">
        <f t="shared" si="160"/>
        <v>#N/A</v>
      </c>
      <c r="BL774" s="7" t="e">
        <f t="shared" si="157"/>
        <v>#N/A</v>
      </c>
    </row>
    <row r="775" spans="52:64" ht="11.25" customHeight="1">
      <c r="AZ775" s="7">
        <f t="shared" si="148"/>
        <v>0.9382198232881781</v>
      </c>
      <c r="BA775" s="7">
        <f t="shared" si="158"/>
        <v>1.5399999999999174</v>
      </c>
      <c r="BB775" s="7">
        <f t="shared" si="149"/>
        <v>0.12187753703241724</v>
      </c>
      <c r="BC775" s="7" t="e">
        <f t="shared" si="150"/>
        <v>#N/A</v>
      </c>
      <c r="BD775" s="7">
        <f t="shared" si="151"/>
        <v>1.5399899999999174</v>
      </c>
      <c r="BE775" s="7">
        <f t="shared" si="152"/>
        <v>1.5400099999999175</v>
      </c>
      <c r="BF775" s="7">
        <f t="shared" si="153"/>
        <v>0.92270729146473118</v>
      </c>
      <c r="BG775" s="7">
        <f t="shared" si="154"/>
        <v>0.92270970558164989</v>
      </c>
      <c r="BH775" s="7" t="e">
        <f t="shared" si="155"/>
        <v>#N/A</v>
      </c>
      <c r="BI775" s="7" t="e">
        <f t="shared" si="159"/>
        <v>#N/A</v>
      </c>
      <c r="BJ775" s="7" t="e">
        <f t="shared" si="156"/>
        <v>#N/A</v>
      </c>
      <c r="BK775" s="7" t="e">
        <f t="shared" si="160"/>
        <v>#N/A</v>
      </c>
      <c r="BL775" s="7" t="e">
        <f t="shared" si="157"/>
        <v>#N/A</v>
      </c>
    </row>
    <row r="776" spans="52:64" ht="11.25" customHeight="1">
      <c r="AZ776" s="7">
        <f t="shared" si="148"/>
        <v>0.9394292419979311</v>
      </c>
      <c r="BA776" s="7">
        <f t="shared" si="158"/>
        <v>1.5499999999999174</v>
      </c>
      <c r="BB776" s="7">
        <f t="shared" si="149"/>
        <v>0.12000900069700093</v>
      </c>
      <c r="BC776" s="7" t="e">
        <f t="shared" si="150"/>
        <v>#N/A</v>
      </c>
      <c r="BD776" s="7">
        <f t="shared" si="151"/>
        <v>1.5499899999999174</v>
      </c>
      <c r="BE776" s="7">
        <f t="shared" si="152"/>
        <v>1.5500099999999175</v>
      </c>
      <c r="BF776" s="7">
        <f t="shared" si="153"/>
        <v>0.92390612915422454</v>
      </c>
      <c r="BG776" s="7">
        <f t="shared" si="154"/>
        <v>0.92390851037568411</v>
      </c>
      <c r="BH776" s="7" t="e">
        <f t="shared" si="155"/>
        <v>#N/A</v>
      </c>
      <c r="BI776" s="7" t="e">
        <f t="shared" si="159"/>
        <v>#N/A</v>
      </c>
      <c r="BJ776" s="7" t="e">
        <f t="shared" si="156"/>
        <v>#N/A</v>
      </c>
      <c r="BK776" s="7" t="e">
        <f t="shared" si="160"/>
        <v>#N/A</v>
      </c>
      <c r="BL776" s="7" t="e">
        <f t="shared" si="157"/>
        <v>#N/A</v>
      </c>
    </row>
    <row r="777" spans="52:64" ht="11.25" customHeight="1">
      <c r="AZ777" s="7">
        <f t="shared" si="148"/>
        <v>0.94062005940519722</v>
      </c>
      <c r="BA777" s="7">
        <f t="shared" si="158"/>
        <v>1.5599999999999175</v>
      </c>
      <c r="BB777" s="7">
        <f t="shared" si="149"/>
        <v>0.11815729505959748</v>
      </c>
      <c r="BC777" s="7" t="e">
        <f t="shared" si="150"/>
        <v>#N/A</v>
      </c>
      <c r="BD777" s="7">
        <f t="shared" si="151"/>
        <v>1.5599899999999174</v>
      </c>
      <c r="BE777" s="7">
        <f t="shared" si="152"/>
        <v>1.5600099999999175</v>
      </c>
      <c r="BF777" s="7">
        <f t="shared" si="153"/>
        <v>0.92508859909927588</v>
      </c>
      <c r="BG777" s="7">
        <f t="shared" si="154"/>
        <v>0.92509094774591205</v>
      </c>
      <c r="BH777" s="7" t="e">
        <f t="shared" si="155"/>
        <v>#N/A</v>
      </c>
      <c r="BI777" s="7" t="e">
        <f t="shared" si="159"/>
        <v>#N/A</v>
      </c>
      <c r="BJ777" s="7" t="e">
        <f t="shared" si="156"/>
        <v>#N/A</v>
      </c>
      <c r="BK777" s="7" t="e">
        <f t="shared" si="160"/>
        <v>#N/A</v>
      </c>
      <c r="BL777" s="7" t="e">
        <f t="shared" si="157"/>
        <v>#N/A</v>
      </c>
    </row>
    <row r="778" spans="52:64" ht="11.25" customHeight="1">
      <c r="AZ778" s="7">
        <f t="shared" si="148"/>
        <v>0.94179244436143739</v>
      </c>
      <c r="BA778" s="7">
        <f t="shared" si="158"/>
        <v>1.5699999999999175</v>
      </c>
      <c r="BB778" s="7">
        <f t="shared" si="149"/>
        <v>0.11632252789282216</v>
      </c>
      <c r="BC778" s="7" t="e">
        <f t="shared" si="150"/>
        <v>#N/A</v>
      </c>
      <c r="BD778" s="7">
        <f t="shared" si="151"/>
        <v>1.5699899999999174</v>
      </c>
      <c r="BE778" s="7">
        <f t="shared" si="152"/>
        <v>1.5700099999999175</v>
      </c>
      <c r="BF778" s="7">
        <f t="shared" si="153"/>
        <v>0.92625486168975413</v>
      </c>
      <c r="BG778" s="7">
        <f t="shared" si="154"/>
        <v>0.9262571780824731</v>
      </c>
      <c r="BH778" s="7" t="e">
        <f t="shared" si="155"/>
        <v>#N/A</v>
      </c>
      <c r="BI778" s="7" t="e">
        <f t="shared" si="159"/>
        <v>#N/A</v>
      </c>
      <c r="BJ778" s="7" t="e">
        <f t="shared" si="156"/>
        <v>#N/A</v>
      </c>
      <c r="BK778" s="7" t="e">
        <f t="shared" si="160"/>
        <v>#N/A</v>
      </c>
      <c r="BL778" s="7" t="e">
        <f t="shared" si="157"/>
        <v>#N/A</v>
      </c>
    </row>
    <row r="779" spans="52:64" ht="11.25" customHeight="1">
      <c r="AZ779" s="7">
        <f t="shared" si="148"/>
        <v>0.94294656676223632</v>
      </c>
      <c r="BA779" s="7">
        <f t="shared" si="158"/>
        <v>1.5799999999999175</v>
      </c>
      <c r="BB779" s="7">
        <f t="shared" si="149"/>
        <v>0.11450480025930729</v>
      </c>
      <c r="BC779" s="7" t="e">
        <f t="shared" si="150"/>
        <v>#N/A</v>
      </c>
      <c r="BD779" s="7">
        <f t="shared" si="151"/>
        <v>1.5799899999999174</v>
      </c>
      <c r="BE779" s="7">
        <f t="shared" si="152"/>
        <v>1.5800099999999175</v>
      </c>
      <c r="BF779" s="7">
        <f t="shared" si="153"/>
        <v>0.92740507742437539</v>
      </c>
      <c r="BG779" s="7">
        <f t="shared" si="154"/>
        <v>0.9274073618842491</v>
      </c>
      <c r="BH779" s="7" t="e">
        <f t="shared" si="155"/>
        <v>#N/A</v>
      </c>
      <c r="BI779" s="7" t="e">
        <f t="shared" si="159"/>
        <v>#N/A</v>
      </c>
      <c r="BJ779" s="7" t="e">
        <f t="shared" si="156"/>
        <v>#N/A</v>
      </c>
      <c r="BK779" s="7" t="e">
        <f t="shared" si="160"/>
        <v>#N/A</v>
      </c>
      <c r="BL779" s="7" t="e">
        <f t="shared" si="157"/>
        <v>#N/A</v>
      </c>
    </row>
    <row r="780" spans="52:64" ht="11.25" customHeight="1">
      <c r="AZ780" s="7">
        <f t="shared" si="148"/>
        <v>0.94408259748052126</v>
      </c>
      <c r="BA780" s="7">
        <f t="shared" si="158"/>
        <v>1.5899999999999175</v>
      </c>
      <c r="BB780" s="7">
        <f t="shared" si="149"/>
        <v>0.11270420657578534</v>
      </c>
      <c r="BC780" s="7" t="e">
        <f t="shared" si="150"/>
        <v>#N/A</v>
      </c>
      <c r="BD780" s="7">
        <f t="shared" si="151"/>
        <v>1.5899899999999174</v>
      </c>
      <c r="BE780" s="7">
        <f t="shared" si="152"/>
        <v>1.5900099999999175</v>
      </c>
      <c r="BF780" s="7">
        <f t="shared" si="153"/>
        <v>0.92853940920973932</v>
      </c>
      <c r="BG780" s="7">
        <f t="shared" si="154"/>
        <v>0.92854166205736199</v>
      </c>
      <c r="BH780" s="7" t="e">
        <f t="shared" si="155"/>
        <v>#N/A</v>
      </c>
      <c r="BI780" s="7" t="e">
        <f t="shared" si="159"/>
        <v>#N/A</v>
      </c>
      <c r="BJ780" s="7" t="e">
        <f t="shared" si="156"/>
        <v>#N/A</v>
      </c>
      <c r="BK780" s="7" t="e">
        <f t="shared" si="160"/>
        <v>#N/A</v>
      </c>
      <c r="BL780" s="7" t="e">
        <f t="shared" si="157"/>
        <v>#N/A</v>
      </c>
    </row>
    <row r="781" spans="52:64" ht="11.25" customHeight="1">
      <c r="AZ781" s="7">
        <f t="shared" si="148"/>
        <v>0.94520070830043279</v>
      </c>
      <c r="BA781" s="7">
        <f t="shared" si="158"/>
        <v>1.5999999999999175</v>
      </c>
      <c r="BB781" s="7">
        <f t="shared" si="149"/>
        <v>0.11092083467947021</v>
      </c>
      <c r="BC781" s="7" t="e">
        <f t="shared" si="150"/>
        <v>#N/A</v>
      </c>
      <c r="BD781" s="7">
        <f t="shared" si="151"/>
        <v>1.5999899999999174</v>
      </c>
      <c r="BE781" s="7">
        <f t="shared" si="152"/>
        <v>1.6000099999999176</v>
      </c>
      <c r="BF781" s="7">
        <f t="shared" si="153"/>
        <v>0.92965801265077186</v>
      </c>
      <c r="BG781" s="7">
        <f t="shared" si="154"/>
        <v>0.92966023420783817</v>
      </c>
      <c r="BH781" s="7" t="e">
        <f t="shared" si="155"/>
        <v>#N/A</v>
      </c>
      <c r="BI781" s="7" t="e">
        <f t="shared" si="159"/>
        <v>#N/A</v>
      </c>
      <c r="BJ781" s="7" t="e">
        <f t="shared" si="156"/>
        <v>#N/A</v>
      </c>
      <c r="BK781" s="7" t="e">
        <f t="shared" si="160"/>
        <v>#N/A</v>
      </c>
      <c r="BL781" s="7" t="e">
        <f t="shared" si="157"/>
        <v>#N/A</v>
      </c>
    </row>
    <row r="782" spans="52:64" ht="11.25" customHeight="1">
      <c r="AZ782" s="7">
        <f t="shared" si="148"/>
        <v>0.94630107185187118</v>
      </c>
      <c r="BA782" s="7">
        <f t="shared" si="158"/>
        <v>1.6099999999999175</v>
      </c>
      <c r="BB782" s="7">
        <f t="shared" si="149"/>
        <v>0.10915476589666187</v>
      </c>
      <c r="BC782" s="7" t="e">
        <f t="shared" si="150"/>
        <v>#N/A</v>
      </c>
      <c r="BD782" s="7">
        <f t="shared" si="151"/>
        <v>1.6099899999999174</v>
      </c>
      <c r="BE782" s="7">
        <f t="shared" si="152"/>
        <v>1.6100099999999176</v>
      </c>
      <c r="BF782" s="7">
        <f t="shared" si="153"/>
        <v>0.93076105089898364</v>
      </c>
      <c r="BG782" s="7">
        <f t="shared" si="154"/>
        <v>0.93076324148644629</v>
      </c>
      <c r="BH782" s="7" t="e">
        <f t="shared" si="155"/>
        <v>#N/A</v>
      </c>
      <c r="BI782" s="7" t="e">
        <f t="shared" si="159"/>
        <v>#N/A</v>
      </c>
      <c r="BJ782" s="7" t="e">
        <f t="shared" si="156"/>
        <v>#N/A</v>
      </c>
      <c r="BK782" s="7" t="e">
        <f t="shared" si="160"/>
        <v>#N/A</v>
      </c>
      <c r="BL782" s="7" t="e">
        <f t="shared" si="157"/>
        <v>#N/A</v>
      </c>
    </row>
    <row r="783" spans="52:64" ht="11.25" customHeight="1">
      <c r="AZ783" s="7">
        <f t="shared" si="148"/>
        <v>0.94738386154573906</v>
      </c>
      <c r="BA783" s="7">
        <f t="shared" si="158"/>
        <v>1.6199999999999175</v>
      </c>
      <c r="BB783" s="7">
        <f t="shared" si="149"/>
        <v>0.10740607511349817</v>
      </c>
      <c r="BC783" s="7" t="e">
        <f t="shared" si="150"/>
        <v>#N/A</v>
      </c>
      <c r="BD783" s="7">
        <f t="shared" si="151"/>
        <v>1.6199899999999174</v>
      </c>
      <c r="BE783" s="7">
        <f t="shared" si="152"/>
        <v>1.6200099999999176</v>
      </c>
      <c r="BF783" s="7">
        <f t="shared" si="153"/>
        <v>0.93184868437692492</v>
      </c>
      <c r="BG783" s="7">
        <f t="shared" si="154"/>
        <v>0.93185084431550524</v>
      </c>
      <c r="BH783" s="7" t="e">
        <f t="shared" si="155"/>
        <v>#N/A</v>
      </c>
      <c r="BI783" s="7" t="e">
        <f t="shared" si="159"/>
        <v>#N/A</v>
      </c>
      <c r="BJ783" s="7" t="e">
        <f t="shared" si="156"/>
        <v>#N/A</v>
      </c>
      <c r="BK783" s="7" t="e">
        <f t="shared" si="160"/>
        <v>#N/A</v>
      </c>
      <c r="BL783" s="7" t="e">
        <f t="shared" si="157"/>
        <v>#N/A</v>
      </c>
    </row>
    <row r="784" spans="52:64" ht="11.25" customHeight="1">
      <c r="AZ784" s="7">
        <f t="shared" si="148"/>
        <v>0.94844925150990189</v>
      </c>
      <c r="BA784" s="7">
        <f t="shared" si="158"/>
        <v>1.6299999999999175</v>
      </c>
      <c r="BB784" s="7">
        <f t="shared" si="149"/>
        <v>0.10567483084877781</v>
      </c>
      <c r="BC784" s="7" t="e">
        <f t="shared" si="150"/>
        <v>#N/A</v>
      </c>
      <c r="BD784" s="7">
        <f t="shared" si="151"/>
        <v>1.6299899999999174</v>
      </c>
      <c r="BE784" s="7">
        <f t="shared" si="152"/>
        <v>1.6300099999999176</v>
      </c>
      <c r="BF784" s="7">
        <f t="shared" si="153"/>
        <v>0.93292107336816232</v>
      </c>
      <c r="BG784" s="7">
        <f t="shared" si="154"/>
        <v>0.93292320297825726</v>
      </c>
      <c r="BH784" s="7" t="e">
        <f t="shared" si="155"/>
        <v>#N/A</v>
      </c>
      <c r="BI784" s="7" t="e">
        <f t="shared" si="159"/>
        <v>#N/A</v>
      </c>
      <c r="BJ784" s="7" t="e">
        <f t="shared" si="156"/>
        <v>#N/A</v>
      </c>
      <c r="BK784" s="7" t="e">
        <f t="shared" si="160"/>
        <v>#N/A</v>
      </c>
      <c r="BL784" s="7" t="e">
        <f t="shared" si="157"/>
        <v>#N/A</v>
      </c>
    </row>
    <row r="785" spans="52:64" ht="11.25" customHeight="1">
      <c r="AZ785" s="7">
        <f t="shared" si="148"/>
        <v>0.94949741652588748</v>
      </c>
      <c r="BA785" s="7">
        <f t="shared" si="158"/>
        <v>1.6399999999999175</v>
      </c>
      <c r="BB785" s="7">
        <f t="shared" si="149"/>
        <v>0.10396109532877824</v>
      </c>
      <c r="BC785" s="7" t="e">
        <f t="shared" si="150"/>
        <v>#N/A</v>
      </c>
      <c r="BD785" s="7">
        <f t="shared" si="151"/>
        <v>1.6399899999999175</v>
      </c>
      <c r="BE785" s="7">
        <f t="shared" si="152"/>
        <v>1.6400099999999176</v>
      </c>
      <c r="BF785" s="7">
        <f t="shared" si="153"/>
        <v>0.93397837797119942</v>
      </c>
      <c r="BG785" s="7">
        <f t="shared" si="154"/>
        <v>0.93398047757279035</v>
      </c>
      <c r="BH785" s="7" t="e">
        <f t="shared" si="155"/>
        <v>#N/A</v>
      </c>
      <c r="BI785" s="7" t="e">
        <f t="shared" si="159"/>
        <v>#N/A</v>
      </c>
      <c r="BJ785" s="7" t="e">
        <f t="shared" si="156"/>
        <v>#N/A</v>
      </c>
      <c r="BK785" s="7" t="e">
        <f t="shared" si="160"/>
        <v>#N/A</v>
      </c>
      <c r="BL785" s="7" t="e">
        <f t="shared" si="157"/>
        <v>#N/A</v>
      </c>
    </row>
    <row r="786" spans="52:64" ht="11.25" customHeight="1">
      <c r="AZ786" s="7">
        <f t="shared" si="148"/>
        <v>0.95052853196634346</v>
      </c>
      <c r="BA786" s="7">
        <f t="shared" si="158"/>
        <v>1.6499999999999175</v>
      </c>
      <c r="BB786" s="7">
        <f t="shared" si="149"/>
        <v>0.1022649245639919</v>
      </c>
      <c r="BC786" s="7" t="e">
        <f t="shared" si="150"/>
        <v>#N/A</v>
      </c>
      <c r="BD786" s="7">
        <f t="shared" si="151"/>
        <v>1.6499899999999175</v>
      </c>
      <c r="BE786" s="7">
        <f t="shared" si="152"/>
        <v>1.6500099999999176</v>
      </c>
      <c r="BF786" s="7">
        <f t="shared" si="153"/>
        <v>0.93502075805459084</v>
      </c>
      <c r="BG786" s="7">
        <f t="shared" si="154"/>
        <v>0.93502282796715497</v>
      </c>
      <c r="BH786" s="7" t="e">
        <f t="shared" si="155"/>
        <v>#N/A</v>
      </c>
      <c r="BI786" s="7" t="e">
        <f t="shared" si="159"/>
        <v>#N/A</v>
      </c>
      <c r="BJ786" s="7" t="e">
        <f t="shared" si="156"/>
        <v>#N/A</v>
      </c>
      <c r="BK786" s="7" t="e">
        <f t="shared" si="160"/>
        <v>#N/A</v>
      </c>
      <c r="BL786" s="7" t="e">
        <f t="shared" si="157"/>
        <v>#N/A</v>
      </c>
    </row>
    <row r="787" spans="52:64" ht="11.25" customHeight="1">
      <c r="AZ787" s="7">
        <f t="shared" si="148"/>
        <v>0.9515427737332689</v>
      </c>
      <c r="BA787" s="7">
        <f t="shared" si="158"/>
        <v>1.6599999999999175</v>
      </c>
      <c r="BB787" s="7">
        <f t="shared" si="149"/>
        <v>0.10058636842770431</v>
      </c>
      <c r="BC787" s="7" t="e">
        <f t="shared" si="150"/>
        <v>#N/A</v>
      </c>
      <c r="BD787" s="7">
        <f t="shared" si="151"/>
        <v>1.6599899999999175</v>
      </c>
      <c r="BE787" s="7">
        <f t="shared" si="152"/>
        <v>1.6600099999999176</v>
      </c>
      <c r="BF787" s="7">
        <f t="shared" si="153"/>
        <v>0.93604837321324474</v>
      </c>
      <c r="BG787" s="7">
        <f t="shared" si="154"/>
        <v>0.936050413755669</v>
      </c>
      <c r="BH787" s="7" t="e">
        <f t="shared" si="155"/>
        <v>#N/A</v>
      </c>
      <c r="BI787" s="7" t="e">
        <f t="shared" si="159"/>
        <v>#N/A</v>
      </c>
      <c r="BJ787" s="7" t="e">
        <f t="shared" si="156"/>
        <v>#N/A</v>
      </c>
      <c r="BK787" s="7" t="e">
        <f t="shared" si="160"/>
        <v>#N/A</v>
      </c>
      <c r="BL787" s="7" t="e">
        <f t="shared" si="157"/>
        <v>#N/A</v>
      </c>
    </row>
    <row r="788" spans="52:64" ht="11.25" customHeight="1">
      <c r="AZ788" s="7">
        <f t="shared" si="148"/>
        <v>0.95254031819704454</v>
      </c>
      <c r="BA788" s="7">
        <f t="shared" si="158"/>
        <v>1.6699999999999176</v>
      </c>
      <c r="BB788" s="7">
        <f t="shared" si="149"/>
        <v>9.8925470736337326E-2</v>
      </c>
      <c r="BC788" s="7" t="e">
        <f t="shared" si="150"/>
        <v>#N/A</v>
      </c>
      <c r="BD788" s="7">
        <f t="shared" si="151"/>
        <v>1.6699899999999175</v>
      </c>
      <c r="BE788" s="7">
        <f t="shared" si="152"/>
        <v>1.6700099999999176</v>
      </c>
      <c r="BF788" s="7">
        <f t="shared" si="153"/>
        <v>0.93706138272590833</v>
      </c>
      <c r="BG788" s="7">
        <f t="shared" si="154"/>
        <v>0.93706339421640572</v>
      </c>
      <c r="BH788" s="7" t="e">
        <f t="shared" si="155"/>
        <v>#N/A</v>
      </c>
      <c r="BI788" s="7" t="e">
        <f t="shared" si="159"/>
        <v>#N/A</v>
      </c>
      <c r="BJ788" s="7" t="e">
        <f t="shared" si="156"/>
        <v>#N/A</v>
      </c>
      <c r="BK788" s="7" t="e">
        <f t="shared" si="160"/>
        <v>#N/A</v>
      </c>
      <c r="BL788" s="7" t="e">
        <f t="shared" si="157"/>
        <v>#N/A</v>
      </c>
    </row>
    <row r="789" spans="52:64" ht="11.25" customHeight="1">
      <c r="AZ789" s="7">
        <f t="shared" ref="AZ789:AZ852" si="161">NORMDIST(BA789,$BA$17,$BA$18,TRUE)</f>
        <v>0.95352134213627182</v>
      </c>
      <c r="BA789" s="7">
        <f t="shared" si="158"/>
        <v>1.6799999999999176</v>
      </c>
      <c r="BB789" s="7">
        <f t="shared" ref="BB789:BB852" si="162">IF($BA$13=1,NORMDIST(BA789,$BA$17,$BA$18,FALSE),NA())</f>
        <v>9.7282269331480972E-2</v>
      </c>
      <c r="BC789" s="7" t="e">
        <f t="shared" ref="BC789:BC852" si="163">IF($BA$13=3,NORMDIST(BA789,$BA$17,$BA$18,FALSE),NA())</f>
        <v>#N/A</v>
      </c>
      <c r="BD789" s="7">
        <f t="shared" ref="BD789:BD852" si="164">BA789-$BD$19</f>
        <v>1.6799899999999175</v>
      </c>
      <c r="BE789" s="7">
        <f t="shared" ref="BE789:BE852" si="165">BA789+$BD$19</f>
        <v>1.6800099999999176</v>
      </c>
      <c r="BF789" s="7">
        <f t="shared" ref="BF789:BF852" si="166">IF(BD789&lt;0,TDIST(-BD789,$BA$14,1),1-TDIST(BD789,$BA$14,1))</f>
        <v>0.93805994551382821</v>
      </c>
      <c r="BG789" s="7">
        <f t="shared" ref="BG789:BG852" si="167">IF(BE789&lt;0,TDIST(-BE789,$BA$14,1),1-TDIST(BE789,$BA$14,1))</f>
        <v>0.93806192826985579</v>
      </c>
      <c r="BH789" s="7" t="e">
        <f t="shared" ref="BH789:BH852" si="168">IF($BA$13&gt;1,(BG789-BF789)/(2*$BD$19),NA())</f>
        <v>#N/A</v>
      </c>
      <c r="BI789" s="7" t="e">
        <f t="shared" si="159"/>
        <v>#N/A</v>
      </c>
      <c r="BJ789" s="7" t="e">
        <f t="shared" ref="BJ789:BJ852" si="169">IF(ISNUMBER(BI789),BI789-$BJ$19,NA())</f>
        <v>#N/A</v>
      </c>
      <c r="BK789" s="7" t="e">
        <f t="shared" si="160"/>
        <v>#N/A</v>
      </c>
      <c r="BL789" s="7" t="e">
        <f t="shared" ref="BL789:BL852" si="170">IF(ISNUMBER(BK789),BK789-$BL$19,NA())</f>
        <v>#N/A</v>
      </c>
    </row>
    <row r="790" spans="52:64" ht="11.25" customHeight="1">
      <c r="AZ790" s="7">
        <f t="shared" si="161"/>
        <v>0.95448602267844218</v>
      </c>
      <c r="BA790" s="7">
        <f t="shared" ref="BA790:BA853" si="171">BA789+$BD$10</f>
        <v>1.6899999999999176</v>
      </c>
      <c r="BB790" s="7">
        <f t="shared" si="162"/>
        <v>9.5656796163537325E-2</v>
      </c>
      <c r="BC790" s="7" t="e">
        <f t="shared" si="163"/>
        <v>#N/A</v>
      </c>
      <c r="BD790" s="7">
        <f t="shared" si="164"/>
        <v>1.6899899999999175</v>
      </c>
      <c r="BE790" s="7">
        <f t="shared" si="165"/>
        <v>1.6900099999999176</v>
      </c>
      <c r="BF790" s="7">
        <f t="shared" si="166"/>
        <v>0.9390442201005762</v>
      </c>
      <c r="BG790" s="7">
        <f t="shared" si="167"/>
        <v>0.93904617443875649</v>
      </c>
      <c r="BH790" s="7" t="e">
        <f t="shared" si="168"/>
        <v>#N/A</v>
      </c>
      <c r="BI790" s="7" t="e">
        <f t="shared" ref="BI790:BI853" si="172">IF($BA$15=1,IF(OR(AND(BA790&gt;=$BI$18,$BN$18&gt;=0),AND(BA790&lt;=-$BI$18,$BN$18&lt;0)),BB790,NA()),IF($BA$15=2,IF(ABS(BA790)&gt;=$BI$18,BB790,NA()),NA()))</f>
        <v>#N/A</v>
      </c>
      <c r="BJ790" s="7" t="e">
        <f t="shared" si="169"/>
        <v>#N/A</v>
      </c>
      <c r="BK790" s="7" t="e">
        <f t="shared" ref="BK790:BK853" si="173">IF($BA$15=1,IF(OR(AND(BA790&gt;=$BK$18,$BN$18&gt;=0),AND(BA790&lt;=-$BK$18,$BN$18&lt;0)),BH790,NA()),IF($BA$15=2,IF(ABS(BA790)&gt;=$BK$18,BH790,NA()),NA()))</f>
        <v>#N/A</v>
      </c>
      <c r="BL790" s="7" t="e">
        <f t="shared" si="170"/>
        <v>#N/A</v>
      </c>
    </row>
    <row r="791" spans="52:64" ht="11.25" customHeight="1">
      <c r="AZ791" s="7">
        <f t="shared" si="161"/>
        <v>0.95543453724144911</v>
      </c>
      <c r="BA791" s="7">
        <f t="shared" si="171"/>
        <v>1.6999999999999176</v>
      </c>
      <c r="BB791" s="7">
        <f t="shared" si="162"/>
        <v>9.4049077376900089E-2</v>
      </c>
      <c r="BC791" s="7" t="e">
        <f t="shared" si="163"/>
        <v>#N/A</v>
      </c>
      <c r="BD791" s="7">
        <f t="shared" si="164"/>
        <v>1.6999899999999175</v>
      </c>
      <c r="BE791" s="7">
        <f t="shared" si="165"/>
        <v>1.7000099999999176</v>
      </c>
      <c r="BF791" s="7">
        <f t="shared" si="166"/>
        <v>0.94001436457303544</v>
      </c>
      <c r="BG791" s="7">
        <f t="shared" si="167"/>
        <v>0.94001629080907911</v>
      </c>
      <c r="BH791" s="7" t="e">
        <f t="shared" si="168"/>
        <v>#N/A</v>
      </c>
      <c r="BI791" s="7" t="e">
        <f t="shared" si="172"/>
        <v>#N/A</v>
      </c>
      <c r="BJ791" s="7" t="e">
        <f t="shared" si="169"/>
        <v>#N/A</v>
      </c>
      <c r="BK791" s="7" t="e">
        <f t="shared" si="173"/>
        <v>#N/A</v>
      </c>
      <c r="BL791" s="7" t="e">
        <f t="shared" si="170"/>
        <v>#N/A</v>
      </c>
    </row>
    <row r="792" spans="52:64" ht="11.25" customHeight="1">
      <c r="AZ792" s="7">
        <f t="shared" si="161"/>
        <v>0.95636706347596045</v>
      </c>
      <c r="BA792" s="7">
        <f t="shared" si="171"/>
        <v>1.7099999999999176</v>
      </c>
      <c r="BB792" s="7">
        <f t="shared" si="162"/>
        <v>9.2459133396593673E-2</v>
      </c>
      <c r="BC792" s="7" t="e">
        <f t="shared" si="163"/>
        <v>#N/A</v>
      </c>
      <c r="BD792" s="7">
        <f t="shared" si="164"/>
        <v>1.7099899999999175</v>
      </c>
      <c r="BE792" s="7">
        <f t="shared" si="165"/>
        <v>1.7100099999999177</v>
      </c>
      <c r="BF792" s="7">
        <f t="shared" si="166"/>
        <v>0.94097053654353502</v>
      </c>
      <c r="BG792" s="7">
        <f t="shared" si="167"/>
        <v>0.94097243499216632</v>
      </c>
      <c r="BH792" s="7" t="e">
        <f t="shared" si="168"/>
        <v>#N/A</v>
      </c>
      <c r="BI792" s="7" t="e">
        <f t="shared" si="172"/>
        <v>#N/A</v>
      </c>
      <c r="BJ792" s="7" t="e">
        <f t="shared" si="169"/>
        <v>#N/A</v>
      </c>
      <c r="BK792" s="7" t="e">
        <f t="shared" si="173"/>
        <v>#N/A</v>
      </c>
      <c r="BL792" s="7" t="e">
        <f t="shared" si="170"/>
        <v>#N/A</v>
      </c>
    </row>
    <row r="793" spans="52:64" ht="11.25" customHeight="1">
      <c r="AZ793" s="7">
        <f t="shared" si="161"/>
        <v>0.95728377920866348</v>
      </c>
      <c r="BA793" s="7">
        <f t="shared" si="171"/>
        <v>1.7199999999999176</v>
      </c>
      <c r="BB793" s="7">
        <f t="shared" si="162"/>
        <v>9.0886979016295735E-2</v>
      </c>
      <c r="BC793" s="7" t="e">
        <f t="shared" si="163"/>
        <v>#N/A</v>
      </c>
      <c r="BD793" s="7">
        <f t="shared" si="164"/>
        <v>1.7199899999999175</v>
      </c>
      <c r="BE793" s="7">
        <f t="shared" si="165"/>
        <v>1.7200099999999177</v>
      </c>
      <c r="BF793" s="7">
        <f t="shared" si="166"/>
        <v>0.94191289311312365</v>
      </c>
      <c r="BG793" s="7">
        <f t="shared" si="167"/>
        <v>0.94191476408800867</v>
      </c>
      <c r="BH793" s="7" t="e">
        <f t="shared" si="168"/>
        <v>#N/A</v>
      </c>
      <c r="BI793" s="7" t="e">
        <f t="shared" si="172"/>
        <v>#N/A</v>
      </c>
      <c r="BJ793" s="7" t="e">
        <f t="shared" si="169"/>
        <v>#N/A</v>
      </c>
      <c r="BK793" s="7" t="e">
        <f t="shared" si="173"/>
        <v>#N/A</v>
      </c>
      <c r="BL793" s="7" t="e">
        <f t="shared" si="170"/>
        <v>#N/A</v>
      </c>
    </row>
    <row r="794" spans="52:64" ht="11.25" customHeight="1">
      <c r="AZ794" s="7">
        <f t="shared" si="161"/>
        <v>0.95818486238639755</v>
      </c>
      <c r="BA794" s="7">
        <f t="shared" si="171"/>
        <v>1.7299999999999176</v>
      </c>
      <c r="BB794" s="7">
        <f t="shared" si="162"/>
        <v>8.9332623487667712E-2</v>
      </c>
      <c r="BC794" s="7" t="e">
        <f t="shared" si="163"/>
        <v>#N/A</v>
      </c>
      <c r="BD794" s="7">
        <f t="shared" si="164"/>
        <v>1.7299899999999175</v>
      </c>
      <c r="BE794" s="7">
        <f t="shared" si="165"/>
        <v>1.7300099999999177</v>
      </c>
      <c r="BF794" s="7">
        <f t="shared" si="166"/>
        <v>0.94284159083597463</v>
      </c>
      <c r="BG794" s="7">
        <f t="shared" si="167"/>
        <v>0.94284343464965037</v>
      </c>
      <c r="BH794" s="7" t="e">
        <f t="shared" si="168"/>
        <v>#N/A</v>
      </c>
      <c r="BI794" s="7" t="e">
        <f t="shared" si="172"/>
        <v>#N/A</v>
      </c>
      <c r="BJ794" s="7" t="e">
        <f t="shared" si="169"/>
        <v>#N/A</v>
      </c>
      <c r="BK794" s="7" t="e">
        <f t="shared" si="173"/>
        <v>#N/A</v>
      </c>
      <c r="BL794" s="7" t="e">
        <f t="shared" si="170"/>
        <v>#N/A</v>
      </c>
    </row>
    <row r="795" spans="52:64" ht="11.25" customHeight="1">
      <c r="AZ795" s="7">
        <f t="shared" si="161"/>
        <v>0.95907049102118525</v>
      </c>
      <c r="BA795" s="7">
        <f t="shared" si="171"/>
        <v>1.7399999999999176</v>
      </c>
      <c r="BB795" s="7">
        <f t="shared" si="162"/>
        <v>8.7796070610918209E-2</v>
      </c>
      <c r="BC795" s="7" t="e">
        <f t="shared" si="163"/>
        <v>#N/A</v>
      </c>
      <c r="BD795" s="7">
        <f t="shared" si="164"/>
        <v>1.7399899999999175</v>
      </c>
      <c r="BE795" s="7">
        <f t="shared" si="165"/>
        <v>1.7400099999999177</v>
      </c>
      <c r="BF795" s="7">
        <f t="shared" si="166"/>
        <v>0.94375678568490728</v>
      </c>
      <c r="BG795" s="7">
        <f t="shared" si="167"/>
        <v>0.94375860264871436</v>
      </c>
      <c r="BH795" s="7" t="e">
        <f t="shared" si="168"/>
        <v>#N/A</v>
      </c>
      <c r="BI795" s="7" t="e">
        <f t="shared" si="172"/>
        <v>#N/A</v>
      </c>
      <c r="BJ795" s="7" t="e">
        <f t="shared" si="169"/>
        <v>#N/A</v>
      </c>
      <c r="BK795" s="7" t="e">
        <f t="shared" si="173"/>
        <v>#N/A</v>
      </c>
      <c r="BL795" s="7" t="e">
        <f t="shared" si="170"/>
        <v>#N/A</v>
      </c>
    </row>
    <row r="796" spans="52:64" ht="11.25" customHeight="1">
      <c r="AZ796" s="7">
        <f t="shared" si="161"/>
        <v>0.95994084313617589</v>
      </c>
      <c r="BA796" s="7">
        <f t="shared" si="171"/>
        <v>1.7499999999999176</v>
      </c>
      <c r="BB796" s="7">
        <f t="shared" si="162"/>
        <v>8.6277318826523938E-2</v>
      </c>
      <c r="BC796" s="7" t="e">
        <f t="shared" si="163"/>
        <v>#N/A</v>
      </c>
      <c r="BD796" s="7">
        <f t="shared" si="164"/>
        <v>1.7499899999999176</v>
      </c>
      <c r="BE796" s="7">
        <f t="shared" si="165"/>
        <v>1.7500099999999177</v>
      </c>
      <c r="BF796" s="7">
        <f t="shared" si="166"/>
        <v>0.94465863301801867</v>
      </c>
      <c r="BG796" s="7">
        <f t="shared" si="167"/>
        <v>0.94466042344203549</v>
      </c>
      <c r="BH796" s="7" t="e">
        <f t="shared" si="168"/>
        <v>#N/A</v>
      </c>
      <c r="BI796" s="7" t="e">
        <f t="shared" si="172"/>
        <v>#N/A</v>
      </c>
      <c r="BJ796" s="7" t="e">
        <f t="shared" si="169"/>
        <v>#N/A</v>
      </c>
      <c r="BK796" s="7" t="e">
        <f t="shared" si="173"/>
        <v>#N/A</v>
      </c>
      <c r="BL796" s="7" t="e">
        <f t="shared" si="170"/>
        <v>#N/A</v>
      </c>
    </row>
    <row r="797" spans="52:64" ht="11.25" customHeight="1">
      <c r="AZ797" s="7">
        <f t="shared" si="161"/>
        <v>0.96079609671251043</v>
      </c>
      <c r="BA797" s="7">
        <f t="shared" si="171"/>
        <v>1.7599999999999176</v>
      </c>
      <c r="BB797" s="7">
        <f t="shared" si="162"/>
        <v>8.4776361308034509E-2</v>
      </c>
      <c r="BC797" s="7" t="e">
        <f t="shared" si="163"/>
        <v>#N/A</v>
      </c>
      <c r="BD797" s="7">
        <f t="shared" si="164"/>
        <v>1.7599899999999176</v>
      </c>
      <c r="BE797" s="7">
        <f t="shared" si="165"/>
        <v>1.7600099999999177</v>
      </c>
      <c r="BF797" s="7">
        <f t="shared" si="166"/>
        <v>0.94554728754640938</v>
      </c>
      <c r="BG797" s="7">
        <f t="shared" si="167"/>
        <v>0.94554905173938886</v>
      </c>
      <c r="BH797" s="7" t="e">
        <f t="shared" si="168"/>
        <v>#N/A</v>
      </c>
      <c r="BI797" s="7" t="e">
        <f t="shared" si="172"/>
        <v>#N/A</v>
      </c>
      <c r="BJ797" s="7" t="e">
        <f t="shared" si="169"/>
        <v>#N/A</v>
      </c>
      <c r="BK797" s="7" t="e">
        <f t="shared" si="173"/>
        <v>#N/A</v>
      </c>
      <c r="BL797" s="7" t="e">
        <f t="shared" si="170"/>
        <v>#N/A</v>
      </c>
    </row>
    <row r="798" spans="52:64" ht="11.25" customHeight="1">
      <c r="AZ798" s="7">
        <f t="shared" si="161"/>
        <v>0.96163642963712181</v>
      </c>
      <c r="BA798" s="7">
        <f t="shared" si="171"/>
        <v>1.7699999999999176</v>
      </c>
      <c r="BB798" s="7">
        <f t="shared" si="162"/>
        <v>8.3293186055886592E-2</v>
      </c>
      <c r="BC798" s="7" t="e">
        <f t="shared" si="163"/>
        <v>#N/A</v>
      </c>
      <c r="BD798" s="7">
        <f t="shared" si="164"/>
        <v>1.7699899999999176</v>
      </c>
      <c r="BE798" s="7">
        <f t="shared" si="165"/>
        <v>1.7700099999999177</v>
      </c>
      <c r="BF798" s="7">
        <f t="shared" si="166"/>
        <v>0.94642290330299472</v>
      </c>
      <c r="BG798" s="7">
        <f t="shared" si="167"/>
        <v>0.94642464157230299</v>
      </c>
      <c r="BH798" s="7" t="e">
        <f t="shared" si="168"/>
        <v>#N/A</v>
      </c>
      <c r="BI798" s="7" t="e">
        <f t="shared" si="172"/>
        <v>#N/A</v>
      </c>
      <c r="BJ798" s="7" t="e">
        <f t="shared" si="169"/>
        <v>#N/A</v>
      </c>
      <c r="BK798" s="7" t="e">
        <f t="shared" si="173"/>
        <v>#N/A</v>
      </c>
      <c r="BL798" s="7" t="e">
        <f t="shared" si="170"/>
        <v>#N/A</v>
      </c>
    </row>
    <row r="799" spans="52:64" ht="11.25" customHeight="1">
      <c r="AZ799" s="7">
        <f t="shared" si="161"/>
        <v>0.96246201965147649</v>
      </c>
      <c r="BA799" s="7">
        <f t="shared" si="171"/>
        <v>1.7799999999999176</v>
      </c>
      <c r="BB799" s="7">
        <f t="shared" si="162"/>
        <v>8.1827775992154794E-2</v>
      </c>
      <c r="BC799" s="7" t="e">
        <f t="shared" si="163"/>
        <v>#N/A</v>
      </c>
      <c r="BD799" s="7">
        <f t="shared" si="164"/>
        <v>1.7799899999999176</v>
      </c>
      <c r="BE799" s="7">
        <f t="shared" si="165"/>
        <v>1.7800099999999177</v>
      </c>
      <c r="BF799" s="7">
        <f t="shared" si="166"/>
        <v>0.94728563361238738</v>
      </c>
      <c r="BG799" s="7">
        <f t="shared" si="167"/>
        <v>0.94728734626394417</v>
      </c>
      <c r="BH799" s="7" t="e">
        <f t="shared" si="168"/>
        <v>#N/A</v>
      </c>
      <c r="BI799" s="7" t="e">
        <f t="shared" si="172"/>
        <v>#N/A</v>
      </c>
      <c r="BJ799" s="7" t="e">
        <f t="shared" si="169"/>
        <v>#N/A</v>
      </c>
      <c r="BK799" s="7" t="e">
        <f t="shared" si="173"/>
        <v>#N/A</v>
      </c>
      <c r="BL799" s="7" t="e">
        <f t="shared" si="170"/>
        <v>#N/A</v>
      </c>
    </row>
    <row r="800" spans="52:64" ht="11.25" customHeight="1">
      <c r="AZ800" s="7">
        <f t="shared" si="161"/>
        <v>0.96327304430126715</v>
      </c>
      <c r="BA800" s="7">
        <f t="shared" si="171"/>
        <v>1.7899999999999177</v>
      </c>
      <c r="BB800" s="7">
        <f t="shared" si="162"/>
        <v>8.0380109056166008E-2</v>
      </c>
      <c r="BC800" s="7" t="e">
        <f t="shared" si="163"/>
        <v>#N/A</v>
      </c>
      <c r="BD800" s="7">
        <f t="shared" si="164"/>
        <v>1.7899899999999176</v>
      </c>
      <c r="BE800" s="7">
        <f t="shared" si="165"/>
        <v>1.7900099999999177</v>
      </c>
      <c r="BF800" s="7">
        <f t="shared" si="166"/>
        <v>0.94813563106183762</v>
      </c>
      <c r="BG800" s="7">
        <f t="shared" si="167"/>
        <v>0.94813731840005977</v>
      </c>
      <c r="BH800" s="7" t="e">
        <f t="shared" si="168"/>
        <v>#N/A</v>
      </c>
      <c r="BI800" s="7" t="e">
        <f t="shared" si="172"/>
        <v>#N/A</v>
      </c>
      <c r="BJ800" s="7" t="e">
        <f t="shared" si="169"/>
        <v>#N/A</v>
      </c>
      <c r="BK800" s="7" t="e">
        <f t="shared" si="173"/>
        <v>#N/A</v>
      </c>
      <c r="BL800" s="7" t="e">
        <f t="shared" si="170"/>
        <v>#N/A</v>
      </c>
    </row>
    <row r="801" spans="52:64" ht="11.25" customHeight="1">
      <c r="AZ801" s="7">
        <f t="shared" si="161"/>
        <v>0.96406968088706768</v>
      </c>
      <c r="BA801" s="7">
        <f t="shared" si="171"/>
        <v>1.7999999999999177</v>
      </c>
      <c r="BB801" s="7">
        <f t="shared" si="162"/>
        <v>7.8950158300905848E-2</v>
      </c>
      <c r="BC801" s="7" t="e">
        <f t="shared" si="163"/>
        <v>#N/A</v>
      </c>
      <c r="BD801" s="7">
        <f t="shared" si="164"/>
        <v>1.7999899999999176</v>
      </c>
      <c r="BE801" s="7">
        <f t="shared" si="165"/>
        <v>1.8000099999999177</v>
      </c>
      <c r="BF801" s="7">
        <f t="shared" si="166"/>
        <v>0.94897304747322142</v>
      </c>
      <c r="BG801" s="7">
        <f t="shared" si="167"/>
        <v>0.94897470980096743</v>
      </c>
      <c r="BH801" s="7" t="e">
        <f t="shared" si="168"/>
        <v>#N/A</v>
      </c>
      <c r="BI801" s="7" t="e">
        <f t="shared" si="172"/>
        <v>#N/A</v>
      </c>
      <c r="BJ801" s="7" t="e">
        <f t="shared" si="169"/>
        <v>#N/A</v>
      </c>
      <c r="BK801" s="7" t="e">
        <f t="shared" si="173"/>
        <v>#N/A</v>
      </c>
      <c r="BL801" s="7" t="e">
        <f t="shared" si="170"/>
        <v>#N/A</v>
      </c>
    </row>
    <row r="802" spans="52:64" ht="11.25" customHeight="1">
      <c r="AZ802" s="7">
        <f t="shared" si="161"/>
        <v>0.96485210641595476</v>
      </c>
      <c r="BA802" s="7">
        <f t="shared" si="171"/>
        <v>1.8099999999999177</v>
      </c>
      <c r="BB802" s="7">
        <f t="shared" si="162"/>
        <v>7.7537891990145533E-2</v>
      </c>
      <c r="BC802" s="7" t="e">
        <f t="shared" si="163"/>
        <v>#N/A</v>
      </c>
      <c r="BD802" s="7">
        <f t="shared" si="164"/>
        <v>1.8099899999999176</v>
      </c>
      <c r="BE802" s="7">
        <f t="shared" si="165"/>
        <v>1.8100099999999177</v>
      </c>
      <c r="BF802" s="7">
        <f t="shared" si="166"/>
        <v>0.94979803541221175</v>
      </c>
      <c r="BG802" s="7">
        <f t="shared" si="167"/>
        <v>0.9497996730304199</v>
      </c>
      <c r="BH802" s="7" t="e">
        <f t="shared" si="168"/>
        <v>#N/A</v>
      </c>
      <c r="BI802" s="7" t="e">
        <f t="shared" si="172"/>
        <v>#N/A</v>
      </c>
      <c r="BJ802" s="7" t="e">
        <f t="shared" si="169"/>
        <v>#N/A</v>
      </c>
      <c r="BK802" s="7" t="e">
        <f t="shared" si="173"/>
        <v>#N/A</v>
      </c>
      <c r="BL802" s="7" t="e">
        <f t="shared" si="170"/>
        <v>#N/A</v>
      </c>
    </row>
    <row r="803" spans="52:64" ht="11.25" customHeight="1">
      <c r="AZ803" s="7">
        <f t="shared" si="161"/>
        <v>0.96562049755410373</v>
      </c>
      <c r="BA803" s="7">
        <f t="shared" si="171"/>
        <v>1.8199999999999177</v>
      </c>
      <c r="BB803" s="7">
        <f t="shared" si="162"/>
        <v>7.6143273696218705E-2</v>
      </c>
      <c r="BC803" s="7" t="e">
        <f t="shared" si="163"/>
        <v>#N/A</v>
      </c>
      <c r="BD803" s="7">
        <f t="shared" si="164"/>
        <v>1.8199899999999176</v>
      </c>
      <c r="BE803" s="7">
        <f t="shared" si="165"/>
        <v>1.8200099999999177</v>
      </c>
      <c r="BF803" s="7">
        <f t="shared" si="166"/>
        <v>0.95061074187056116</v>
      </c>
      <c r="BG803" s="7">
        <f t="shared" si="167"/>
        <v>0.95061235507915631</v>
      </c>
      <c r="BH803" s="7" t="e">
        <f t="shared" si="168"/>
        <v>#N/A</v>
      </c>
      <c r="BI803" s="7" t="e">
        <f t="shared" si="172"/>
        <v>#N/A</v>
      </c>
      <c r="BJ803" s="7" t="e">
        <f t="shared" si="169"/>
        <v>#N/A</v>
      </c>
      <c r="BK803" s="7" t="e">
        <f t="shared" si="173"/>
        <v>#N/A</v>
      </c>
      <c r="BL803" s="7" t="e">
        <f t="shared" si="170"/>
        <v>#N/A</v>
      </c>
    </row>
    <row r="804" spans="52:64" ht="11.25" customHeight="1">
      <c r="AZ804" s="7">
        <f t="shared" si="161"/>
        <v>0.96637503058036556</v>
      </c>
      <c r="BA804" s="7">
        <f t="shared" si="171"/>
        <v>1.8299999999999177</v>
      </c>
      <c r="BB804" s="7">
        <f t="shared" si="162"/>
        <v>7.4766262398378858E-2</v>
      </c>
      <c r="BC804" s="7" t="e">
        <f t="shared" si="163"/>
        <v>#N/A</v>
      </c>
      <c r="BD804" s="7">
        <f t="shared" si="164"/>
        <v>1.8299899999999176</v>
      </c>
      <c r="BE804" s="7">
        <f t="shared" si="165"/>
        <v>1.8300099999999178</v>
      </c>
      <c r="BF804" s="7">
        <f t="shared" si="166"/>
        <v>0.95141131791372724</v>
      </c>
      <c r="BG804" s="7">
        <f t="shared" si="167"/>
        <v>0.95141290701058134</v>
      </c>
      <c r="BH804" s="7" t="e">
        <f t="shared" si="168"/>
        <v>#N/A</v>
      </c>
      <c r="BI804" s="7" t="e">
        <f t="shared" si="172"/>
        <v>#N/A</v>
      </c>
      <c r="BJ804" s="7" t="e">
        <f t="shared" si="169"/>
        <v>#N/A</v>
      </c>
      <c r="BK804" s="7" t="e">
        <f t="shared" si="173"/>
        <v>#N/A</v>
      </c>
      <c r="BL804" s="7" t="e">
        <f t="shared" si="170"/>
        <v>#N/A</v>
      </c>
    </row>
    <row r="805" spans="52:64" ht="11.25" customHeight="1">
      <c r="AZ805" s="7">
        <f t="shared" si="161"/>
        <v>0.96711588134083004</v>
      </c>
      <c r="BA805" s="7">
        <f t="shared" si="171"/>
        <v>1.8399999999999177</v>
      </c>
      <c r="BB805" s="7">
        <f t="shared" si="162"/>
        <v>7.3406812581667993E-2</v>
      </c>
      <c r="BC805" s="7" t="e">
        <f t="shared" si="163"/>
        <v>#N/A</v>
      </c>
      <c r="BD805" s="7">
        <f t="shared" si="164"/>
        <v>1.8399899999999176</v>
      </c>
      <c r="BE805" s="7">
        <f t="shared" si="165"/>
        <v>1.8400099999999178</v>
      </c>
      <c r="BF805" s="7">
        <f t="shared" si="166"/>
        <v>0.95219991204099674</v>
      </c>
      <c r="BG805" s="7">
        <f t="shared" si="167"/>
        <v>0.95220147732222382</v>
      </c>
      <c r="BH805" s="7" t="e">
        <f t="shared" si="168"/>
        <v>#N/A</v>
      </c>
      <c r="BI805" s="7" t="e">
        <f t="shared" si="172"/>
        <v>#N/A</v>
      </c>
      <c r="BJ805" s="7" t="e">
        <f t="shared" si="169"/>
        <v>#N/A</v>
      </c>
      <c r="BK805" s="7" t="e">
        <f t="shared" si="173"/>
        <v>#N/A</v>
      </c>
      <c r="BL805" s="7" t="e">
        <f t="shared" si="170"/>
        <v>#N/A</v>
      </c>
    </row>
    <row r="806" spans="52:64" ht="11.25" customHeight="1">
      <c r="AZ806" s="7">
        <f t="shared" si="161"/>
        <v>0.96784322520438049</v>
      </c>
      <c r="BA806" s="7">
        <f t="shared" si="171"/>
        <v>1.8499999999999177</v>
      </c>
      <c r="BB806" s="7">
        <f t="shared" si="162"/>
        <v>7.2064874336228948E-2</v>
      </c>
      <c r="BC806" s="7" t="e">
        <f t="shared" si="163"/>
        <v>#N/A</v>
      </c>
      <c r="BD806" s="7">
        <f t="shared" si="164"/>
        <v>1.8499899999999176</v>
      </c>
      <c r="BE806" s="7">
        <f t="shared" si="165"/>
        <v>1.8500099999999178</v>
      </c>
      <c r="BF806" s="7">
        <f t="shared" si="166"/>
        <v>0.95297667186155244</v>
      </c>
      <c r="BG806" s="7">
        <f t="shared" si="167"/>
        <v>0.95297821362146418</v>
      </c>
      <c r="BH806" s="7" t="e">
        <f t="shared" si="168"/>
        <v>#N/A</v>
      </c>
      <c r="BI806" s="7" t="e">
        <f t="shared" si="172"/>
        <v>#N/A</v>
      </c>
      <c r="BJ806" s="7" t="e">
        <f t="shared" si="169"/>
        <v>#N/A</v>
      </c>
      <c r="BK806" s="7" t="e">
        <f t="shared" si="173"/>
        <v>#N/A</v>
      </c>
      <c r="BL806" s="7" t="e">
        <f t="shared" si="170"/>
        <v>#N/A</v>
      </c>
    </row>
    <row r="807" spans="52:64" ht="11.25" customHeight="1">
      <c r="AZ807" s="7">
        <f t="shared" si="161"/>
        <v>0.96855723701924168</v>
      </c>
      <c r="BA807" s="7">
        <f t="shared" si="171"/>
        <v>1.8599999999999177</v>
      </c>
      <c r="BB807" s="7">
        <f t="shared" si="162"/>
        <v>7.0740393456994191E-2</v>
      </c>
      <c r="BC807" s="7" t="e">
        <f t="shared" si="163"/>
        <v>#N/A</v>
      </c>
      <c r="BD807" s="7">
        <f t="shared" si="164"/>
        <v>1.8599899999999177</v>
      </c>
      <c r="BE807" s="7">
        <f t="shared" si="165"/>
        <v>1.8600099999999178</v>
      </c>
      <c r="BF807" s="7">
        <f t="shared" si="166"/>
        <v>0.9537417440724264</v>
      </c>
      <c r="BG807" s="7">
        <f t="shared" si="167"/>
        <v>0.95374326260348863</v>
      </c>
      <c r="BH807" s="7" t="e">
        <f t="shared" si="168"/>
        <v>#N/A</v>
      </c>
      <c r="BI807" s="7" t="e">
        <f t="shared" si="172"/>
        <v>#N/A</v>
      </c>
      <c r="BJ807" s="7" t="e">
        <f t="shared" si="169"/>
        <v>#N/A</v>
      </c>
      <c r="BK807" s="7" t="e">
        <f t="shared" si="173"/>
        <v>#N/A</v>
      </c>
      <c r="BL807" s="7" t="e">
        <f t="shared" si="170"/>
        <v>#N/A</v>
      </c>
    </row>
    <row r="808" spans="52:64" ht="11.25" customHeight="1">
      <c r="AZ808" s="7">
        <f t="shared" si="161"/>
        <v>0.96925809107052818</v>
      </c>
      <c r="BA808" s="7">
        <f t="shared" si="171"/>
        <v>1.8699999999999177</v>
      </c>
      <c r="BB808" s="7">
        <f t="shared" si="162"/>
        <v>6.9433311543684872E-2</v>
      </c>
      <c r="BC808" s="7" t="e">
        <f t="shared" si="163"/>
        <v>#N/A</v>
      </c>
      <c r="BD808" s="7">
        <f t="shared" si="164"/>
        <v>1.8699899999999177</v>
      </c>
      <c r="BE808" s="7">
        <f t="shared" si="165"/>
        <v>1.8700099999999178</v>
      </c>
      <c r="BF808" s="7">
        <f t="shared" si="166"/>
        <v>0.95449527443739812</v>
      </c>
      <c r="BG808" s="7">
        <f t="shared" si="167"/>
        <v>0.95449677003018962</v>
      </c>
      <c r="BH808" s="7" t="e">
        <f t="shared" si="168"/>
        <v>#N/A</v>
      </c>
      <c r="BI808" s="7" t="e">
        <f t="shared" si="172"/>
        <v>#N/A</v>
      </c>
      <c r="BJ808" s="7" t="e">
        <f t="shared" si="169"/>
        <v>#N/A</v>
      </c>
      <c r="BK808" s="7" t="e">
        <f t="shared" si="173"/>
        <v>#N/A</v>
      </c>
      <c r="BL808" s="7" t="e">
        <f t="shared" si="170"/>
        <v>#N/A</v>
      </c>
    </row>
    <row r="809" spans="52:64" ht="11.25" customHeight="1">
      <c r="AZ809" s="7">
        <f t="shared" si="161"/>
        <v>0.9699459610387946</v>
      </c>
      <c r="BA809" s="7">
        <f t="shared" si="171"/>
        <v>1.8799999999999177</v>
      </c>
      <c r="BB809" s="7">
        <f t="shared" si="162"/>
        <v>6.8143566101055111E-2</v>
      </c>
      <c r="BC809" s="7" t="e">
        <f t="shared" si="163"/>
        <v>#N/A</v>
      </c>
      <c r="BD809" s="7">
        <f t="shared" si="164"/>
        <v>1.8799899999999177</v>
      </c>
      <c r="BE809" s="7">
        <f t="shared" si="165"/>
        <v>1.8800099999999178</v>
      </c>
      <c r="BF809" s="7">
        <f t="shared" si="166"/>
        <v>0.95523740776682431</v>
      </c>
      <c r="BG809" s="7">
        <f t="shared" si="167"/>
        <v>0.95523888070999741</v>
      </c>
      <c r="BH809" s="7" t="e">
        <f t="shared" si="168"/>
        <v>#N/A</v>
      </c>
      <c r="BI809" s="7" t="e">
        <f t="shared" si="172"/>
        <v>#N/A</v>
      </c>
      <c r="BJ809" s="7" t="e">
        <f t="shared" si="169"/>
        <v>#N/A</v>
      </c>
      <c r="BK809" s="7" t="e">
        <f t="shared" si="173"/>
        <v>#N/A</v>
      </c>
      <c r="BL809" s="7" t="e">
        <f t="shared" si="170"/>
        <v>#N/A</v>
      </c>
    </row>
    <row r="810" spans="52:64" ht="11.25" customHeight="1">
      <c r="AZ810" s="7">
        <f t="shared" si="161"/>
        <v>0.97062101995958505</v>
      </c>
      <c r="BA810" s="7">
        <f t="shared" si="171"/>
        <v>1.8899999999999177</v>
      </c>
      <c r="BB810" s="7">
        <f t="shared" si="162"/>
        <v>6.6871090639317537E-2</v>
      </c>
      <c r="BC810" s="7" t="e">
        <f t="shared" si="163"/>
        <v>#N/A</v>
      </c>
      <c r="BD810" s="7">
        <f t="shared" si="164"/>
        <v>1.8899899999999177</v>
      </c>
      <c r="BE810" s="7">
        <f t="shared" si="165"/>
        <v>1.8900099999999178</v>
      </c>
      <c r="BF810" s="7">
        <f t="shared" si="166"/>
        <v>0.95596828789838373</v>
      </c>
      <c r="BG810" s="7">
        <f t="shared" si="167"/>
        <v>0.95596973847862665</v>
      </c>
      <c r="BH810" s="7" t="e">
        <f t="shared" si="168"/>
        <v>#N/A</v>
      </c>
      <c r="BI810" s="7" t="e">
        <f t="shared" si="172"/>
        <v>#N/A</v>
      </c>
      <c r="BJ810" s="7" t="e">
        <f t="shared" si="169"/>
        <v>#N/A</v>
      </c>
      <c r="BK810" s="7" t="e">
        <f t="shared" si="173"/>
        <v>#N/A</v>
      </c>
      <c r="BL810" s="7" t="e">
        <f t="shared" si="170"/>
        <v>#N/A</v>
      </c>
    </row>
    <row r="811" spans="52:64" ht="11.25" customHeight="1">
      <c r="AZ811" s="7">
        <f t="shared" si="161"/>
        <v>0.97128344018399271</v>
      </c>
      <c r="BA811" s="7">
        <f t="shared" si="171"/>
        <v>1.8999999999999178</v>
      </c>
      <c r="BB811" s="7">
        <f t="shared" si="162"/>
        <v>6.5615814774686837E-2</v>
      </c>
      <c r="BC811" s="7" t="e">
        <f t="shared" si="163"/>
        <v>#N/A</v>
      </c>
      <c r="BD811" s="7">
        <f t="shared" si="164"/>
        <v>1.8999899999999177</v>
      </c>
      <c r="BE811" s="7">
        <f t="shared" si="165"/>
        <v>1.9000099999999178</v>
      </c>
      <c r="BF811" s="7">
        <f t="shared" si="166"/>
        <v>0.956688057678721</v>
      </c>
      <c r="BG811" s="7">
        <f t="shared" si="167"/>
        <v>0.95668948618072225</v>
      </c>
      <c r="BH811" s="7" t="e">
        <f t="shared" si="168"/>
        <v>#N/A</v>
      </c>
      <c r="BI811" s="7" t="e">
        <f t="shared" si="172"/>
        <v>#N/A</v>
      </c>
      <c r="BJ811" s="7" t="e">
        <f t="shared" si="169"/>
        <v>#N/A</v>
      </c>
      <c r="BK811" s="7" t="e">
        <f t="shared" si="173"/>
        <v>#N/A</v>
      </c>
      <c r="BL811" s="7" t="e">
        <f t="shared" si="170"/>
        <v>#N/A</v>
      </c>
    </row>
    <row r="812" spans="52:64" ht="11.25" customHeight="1">
      <c r="AZ812" s="7">
        <f t="shared" si="161"/>
        <v>0.97193339334022211</v>
      </c>
      <c r="BA812" s="7">
        <f t="shared" si="171"/>
        <v>1.9099999999999178</v>
      </c>
      <c r="BB812" s="7">
        <f t="shared" si="162"/>
        <v>6.4377664329979448E-2</v>
      </c>
      <c r="BC812" s="7" t="e">
        <f t="shared" si="163"/>
        <v>#N/A</v>
      </c>
      <c r="BD812" s="7">
        <f t="shared" si="164"/>
        <v>1.9099899999999177</v>
      </c>
      <c r="BE812" s="7">
        <f t="shared" si="165"/>
        <v>1.9100099999999178</v>
      </c>
      <c r="BF812" s="7">
        <f t="shared" si="166"/>
        <v>0.95739685894597493</v>
      </c>
      <c r="BG812" s="7">
        <f t="shared" si="167"/>
        <v>0.95739826565238917</v>
      </c>
      <c r="BH812" s="7" t="e">
        <f t="shared" si="168"/>
        <v>#N/A</v>
      </c>
      <c r="BI812" s="7" t="e">
        <f t="shared" si="172"/>
        <v>#N/A</v>
      </c>
      <c r="BJ812" s="7" t="e">
        <f t="shared" si="169"/>
        <v>#N/A</v>
      </c>
      <c r="BK812" s="7" t="e">
        <f t="shared" si="173"/>
        <v>#N/A</v>
      </c>
      <c r="BL812" s="7" t="e">
        <f t="shared" si="170"/>
        <v>#N/A</v>
      </c>
    </row>
    <row r="813" spans="52:64" ht="11.25" customHeight="1">
      <c r="AZ813" s="7">
        <f t="shared" si="161"/>
        <v>0.97257105029615787</v>
      </c>
      <c r="BA813" s="7">
        <f t="shared" si="171"/>
        <v>1.9199999999999178</v>
      </c>
      <c r="BB813" s="7">
        <f t="shared" si="162"/>
        <v>6.3156561435208605E-2</v>
      </c>
      <c r="BC813" s="7" t="e">
        <f t="shared" si="163"/>
        <v>#N/A</v>
      </c>
      <c r="BD813" s="7">
        <f t="shared" si="164"/>
        <v>1.9199899999999177</v>
      </c>
      <c r="BE813" s="7">
        <f t="shared" si="165"/>
        <v>1.9200099999999178</v>
      </c>
      <c r="BF813" s="7">
        <f t="shared" si="166"/>
        <v>0.95809483251317373</v>
      </c>
      <c r="BG813" s="7">
        <f t="shared" si="167"/>
        <v>0.95809621770458908</v>
      </c>
      <c r="BH813" s="7" t="e">
        <f t="shared" si="168"/>
        <v>#N/A</v>
      </c>
      <c r="BI813" s="7" t="e">
        <f t="shared" si="172"/>
        <v>#N/A</v>
      </c>
      <c r="BJ813" s="7" t="e">
        <f t="shared" si="169"/>
        <v>#N/A</v>
      </c>
      <c r="BK813" s="7" t="e">
        <f t="shared" si="173"/>
        <v>#N/A</v>
      </c>
      <c r="BL813" s="7" t="e">
        <f t="shared" si="170"/>
        <v>#N/A</v>
      </c>
    </row>
    <row r="814" spans="52:64" ht="11.25" customHeight="1">
      <c r="AZ814" s="7">
        <f t="shared" si="161"/>
        <v>0.97319658112293994</v>
      </c>
      <c r="BA814" s="7">
        <f t="shared" si="171"/>
        <v>1.9299999999999178</v>
      </c>
      <c r="BB814" s="7">
        <f t="shared" si="162"/>
        <v>6.1952424628114976E-2</v>
      </c>
      <c r="BC814" s="7" t="e">
        <f t="shared" si="163"/>
        <v>#N/A</v>
      </c>
      <c r="BD814" s="7">
        <f t="shared" si="164"/>
        <v>1.9299899999999177</v>
      </c>
      <c r="BE814" s="7">
        <f t="shared" si="165"/>
        <v>1.9300099999999178</v>
      </c>
      <c r="BF814" s="7">
        <f t="shared" si="166"/>
        <v>0.95878211815248204</v>
      </c>
      <c r="BG814" s="7">
        <f t="shared" si="167"/>
        <v>0.95878348210738984</v>
      </c>
      <c r="BH814" s="7" t="e">
        <f t="shared" si="168"/>
        <v>#N/A</v>
      </c>
      <c r="BI814" s="7" t="e">
        <f t="shared" si="172"/>
        <v>#N/A</v>
      </c>
      <c r="BJ814" s="7" t="e">
        <f t="shared" si="169"/>
        <v>#N/A</v>
      </c>
      <c r="BK814" s="7" t="e">
        <f t="shared" si="173"/>
        <v>#N/A</v>
      </c>
      <c r="BL814" s="7" t="e">
        <f t="shared" si="170"/>
        <v>#N/A</v>
      </c>
    </row>
    <row r="815" spans="52:64" ht="11.25" customHeight="1">
      <c r="AZ815" s="7">
        <f t="shared" si="161"/>
        <v>0.97381015505954227</v>
      </c>
      <c r="BA815" s="7">
        <f t="shared" si="171"/>
        <v>1.9399999999999178</v>
      </c>
      <c r="BB815" s="7">
        <f t="shared" si="162"/>
        <v>6.0765168954574462E-2</v>
      </c>
      <c r="BC815" s="7" t="e">
        <f t="shared" si="163"/>
        <v>#N/A</v>
      </c>
      <c r="BD815" s="7">
        <f t="shared" si="164"/>
        <v>1.9399899999999177</v>
      </c>
      <c r="BE815" s="7">
        <f t="shared" si="165"/>
        <v>1.9400099999999179</v>
      </c>
      <c r="BF815" s="7">
        <f t="shared" si="166"/>
        <v>0.95945885458028302</v>
      </c>
      <c r="BG815" s="7">
        <f t="shared" si="167"/>
        <v>0.9594601975750483</v>
      </c>
      <c r="BH815" s="7" t="e">
        <f t="shared" si="168"/>
        <v>#N/A</v>
      </c>
      <c r="BI815" s="7" t="e">
        <f t="shared" si="172"/>
        <v>#N/A</v>
      </c>
      <c r="BJ815" s="7" t="e">
        <f t="shared" si="169"/>
        <v>#N/A</v>
      </c>
      <c r="BK815" s="7" t="e">
        <f t="shared" si="173"/>
        <v>#N/A</v>
      </c>
      <c r="BL815" s="7" t="e">
        <f t="shared" si="170"/>
        <v>#N/A</v>
      </c>
    </row>
    <row r="816" spans="52:64" ht="11.25" customHeight="1">
      <c r="AZ816" s="7">
        <f t="shared" si="161"/>
        <v>0.97441194047835644</v>
      </c>
      <c r="BA816" s="7">
        <f t="shared" si="171"/>
        <v>1.9499999999999178</v>
      </c>
      <c r="BB816" s="7">
        <f t="shared" si="162"/>
        <v>5.9594706068825609E-2</v>
      </c>
      <c r="BC816" s="7" t="e">
        <f t="shared" si="163"/>
        <v>#N/A</v>
      </c>
      <c r="BD816" s="7">
        <f t="shared" si="164"/>
        <v>1.9499899999999177</v>
      </c>
      <c r="BE816" s="7">
        <f t="shared" si="165"/>
        <v>1.9500099999999179</v>
      </c>
      <c r="BF816" s="7">
        <f t="shared" si="166"/>
        <v>0.96012517944307973</v>
      </c>
      <c r="BG816" s="7">
        <f t="shared" si="167"/>
        <v>0.96012650175191472</v>
      </c>
      <c r="BH816" s="7" t="e">
        <f t="shared" si="168"/>
        <v>#N/A</v>
      </c>
      <c r="BI816" s="7" t="e">
        <f t="shared" si="172"/>
        <v>#N/A</v>
      </c>
      <c r="BJ816" s="7" t="e">
        <f t="shared" si="169"/>
        <v>#N/A</v>
      </c>
      <c r="BK816" s="7" t="e">
        <f t="shared" si="173"/>
        <v>#N/A</v>
      </c>
      <c r="BL816" s="7" t="e">
        <f t="shared" si="170"/>
        <v>#N/A</v>
      </c>
    </row>
    <row r="817" spans="52:64" ht="11.25" customHeight="1">
      <c r="AZ817" s="7">
        <f t="shared" si="161"/>
        <v>0.97500210485177463</v>
      </c>
      <c r="BA817" s="7">
        <f t="shared" si="171"/>
        <v>1.9599999999999178</v>
      </c>
      <c r="BB817" s="7">
        <f t="shared" si="162"/>
        <v>5.8440944333460879E-2</v>
      </c>
      <c r="BC817" s="7" t="e">
        <f t="shared" si="163"/>
        <v>#N/A</v>
      </c>
      <c r="BD817" s="7">
        <f t="shared" si="164"/>
        <v>1.9599899999999177</v>
      </c>
      <c r="BE817" s="7">
        <f t="shared" si="165"/>
        <v>1.9600099999999179</v>
      </c>
      <c r="BF817" s="7">
        <f t="shared" si="166"/>
        <v>0.96078122930420018</v>
      </c>
      <c r="BG817" s="7">
        <f t="shared" si="167"/>
        <v>0.96078253119913759</v>
      </c>
      <c r="BH817" s="7" t="e">
        <f t="shared" si="168"/>
        <v>#N/A</v>
      </c>
      <c r="BI817" s="7" t="e">
        <f t="shared" si="172"/>
        <v>#N/A</v>
      </c>
      <c r="BJ817" s="7" t="e">
        <f t="shared" si="169"/>
        <v>#N/A</v>
      </c>
      <c r="BK817" s="7" t="e">
        <f t="shared" si="173"/>
        <v>#N/A</v>
      </c>
      <c r="BL817" s="7" t="e">
        <f t="shared" si="170"/>
        <v>#N/A</v>
      </c>
    </row>
    <row r="818" spans="52:64" ht="11.25" customHeight="1">
      <c r="AZ818" s="7">
        <f t="shared" si="161"/>
        <v>0.97558081471977265</v>
      </c>
      <c r="BA818" s="7">
        <f t="shared" si="171"/>
        <v>1.9699999999999178</v>
      </c>
      <c r="BB818" s="7">
        <f t="shared" si="162"/>
        <v>5.7303788919126401E-2</v>
      </c>
      <c r="BC818" s="7" t="e">
        <f t="shared" si="163"/>
        <v>#N/A</v>
      </c>
      <c r="BD818" s="7">
        <f t="shared" si="164"/>
        <v>1.9699899999999178</v>
      </c>
      <c r="BE818" s="7">
        <f t="shared" si="165"/>
        <v>1.9700099999999179</v>
      </c>
      <c r="BF818" s="7">
        <f t="shared" si="166"/>
        <v>0.96142713963128723</v>
      </c>
      <c r="BG818" s="7">
        <f t="shared" si="167"/>
        <v>0.96142842138215656</v>
      </c>
      <c r="BH818" s="7" t="e">
        <f t="shared" si="168"/>
        <v>#N/A</v>
      </c>
      <c r="BI818" s="7">
        <f t="shared" si="172"/>
        <v>5.7303788919126401E-2</v>
      </c>
      <c r="BJ818" s="7">
        <f t="shared" si="169"/>
        <v>5.63037889191264E-2</v>
      </c>
      <c r="BK818" s="7" t="e">
        <f t="shared" si="173"/>
        <v>#N/A</v>
      </c>
      <c r="BL818" s="7" t="e">
        <f t="shared" si="170"/>
        <v>#N/A</v>
      </c>
    </row>
    <row r="819" spans="52:64" ht="11.25" customHeight="1">
      <c r="AZ819" s="7">
        <f t="shared" si="161"/>
        <v>0.97614823565848685</v>
      </c>
      <c r="BA819" s="7">
        <f t="shared" si="171"/>
        <v>1.9799999999999178</v>
      </c>
      <c r="BB819" s="7">
        <f t="shared" si="162"/>
        <v>5.6183141903877167E-2</v>
      </c>
      <c r="BC819" s="7" t="e">
        <f t="shared" si="163"/>
        <v>#N/A</v>
      </c>
      <c r="BD819" s="7">
        <f t="shared" si="164"/>
        <v>1.9799899999999178</v>
      </c>
      <c r="BE819" s="7">
        <f t="shared" si="165"/>
        <v>1.9800099999999179</v>
      </c>
      <c r="BF819" s="7">
        <f t="shared" si="166"/>
        <v>0.96206304478456073</v>
      </c>
      <c r="BG819" s="7">
        <f t="shared" si="167"/>
        <v>0.96206430665896525</v>
      </c>
      <c r="BH819" s="7" t="e">
        <f t="shared" si="168"/>
        <v>#N/A</v>
      </c>
      <c r="BI819" s="7">
        <f t="shared" si="172"/>
        <v>5.6183141903877167E-2</v>
      </c>
      <c r="BJ819" s="7">
        <f t="shared" si="169"/>
        <v>5.5183141903877166E-2</v>
      </c>
      <c r="BK819" s="7" t="e">
        <f t="shared" si="173"/>
        <v>#N/A</v>
      </c>
      <c r="BL819" s="7" t="e">
        <f t="shared" si="170"/>
        <v>#N/A</v>
      </c>
    </row>
    <row r="820" spans="52:64" ht="11.25" customHeight="1">
      <c r="AZ820" s="7">
        <f t="shared" si="161"/>
        <v>0.97670453224978371</v>
      </c>
      <c r="BA820" s="7">
        <f t="shared" si="171"/>
        <v>1.9899999999999178</v>
      </c>
      <c r="BB820" s="7">
        <f t="shared" si="162"/>
        <v>5.5078902372134773E-2</v>
      </c>
      <c r="BC820" s="7" t="e">
        <f t="shared" si="163"/>
        <v>#N/A</v>
      </c>
      <c r="BD820" s="7">
        <f t="shared" si="164"/>
        <v>1.9899899999999178</v>
      </c>
      <c r="BE820" s="7">
        <f t="shared" si="165"/>
        <v>1.9900099999999179</v>
      </c>
      <c r="BF820" s="7">
        <f t="shared" si="166"/>
        <v>0.96268907800583214</v>
      </c>
      <c r="BG820" s="7">
        <f t="shared" si="167"/>
        <v>0.96269032026912793</v>
      </c>
      <c r="BH820" s="7" t="e">
        <f t="shared" si="168"/>
        <v>#N/A</v>
      </c>
      <c r="BI820" s="7">
        <f t="shared" si="172"/>
        <v>5.5078902372134773E-2</v>
      </c>
      <c r="BJ820" s="7">
        <f t="shared" si="169"/>
        <v>5.4078902372134773E-2</v>
      </c>
      <c r="BK820" s="7" t="e">
        <f t="shared" si="173"/>
        <v>#N/A</v>
      </c>
      <c r="BL820" s="7" t="e">
        <f t="shared" si="170"/>
        <v>#N/A</v>
      </c>
    </row>
    <row r="821" spans="52:64" ht="11.25" customHeight="1">
      <c r="AZ821" s="7">
        <f t="shared" si="161"/>
        <v>0.97724986805181646</v>
      </c>
      <c r="BA821" s="7">
        <f t="shared" si="171"/>
        <v>1.9999999999999178</v>
      </c>
      <c r="BB821" s="7">
        <f t="shared" si="162"/>
        <v>5.3990966513196924E-2</v>
      </c>
      <c r="BC821" s="7" t="e">
        <f t="shared" si="163"/>
        <v>#N/A</v>
      </c>
      <c r="BD821" s="7">
        <f t="shared" si="164"/>
        <v>1.9999899999999178</v>
      </c>
      <c r="BE821" s="7">
        <f t="shared" si="165"/>
        <v>2.0000099999999179</v>
      </c>
      <c r="BF821" s="7">
        <f t="shared" si="166"/>
        <v>0.96330537140825778</v>
      </c>
      <c r="BG821" s="7">
        <f t="shared" si="167"/>
        <v>0.96330659432353372</v>
      </c>
      <c r="BH821" s="7" t="e">
        <f t="shared" si="168"/>
        <v>#N/A</v>
      </c>
      <c r="BI821" s="7">
        <f t="shared" si="172"/>
        <v>5.3990966513196924E-2</v>
      </c>
      <c r="BJ821" s="7">
        <f t="shared" si="169"/>
        <v>5.2990966513196923E-2</v>
      </c>
      <c r="BK821" s="7" t="e">
        <f t="shared" si="173"/>
        <v>#N/A</v>
      </c>
      <c r="BL821" s="7" t="e">
        <f t="shared" si="170"/>
        <v>#N/A</v>
      </c>
    </row>
    <row r="822" spans="52:64" ht="11.25" customHeight="1">
      <c r="AZ822" s="7">
        <f t="shared" si="161"/>
        <v>0.97778440557056401</v>
      </c>
      <c r="BA822" s="7">
        <f t="shared" si="171"/>
        <v>2.0099999999999176</v>
      </c>
      <c r="BB822" s="7">
        <f t="shared" si="162"/>
        <v>5.2919227719249042E-2</v>
      </c>
      <c r="BC822" s="7" t="e">
        <f t="shared" si="163"/>
        <v>#N/A</v>
      </c>
      <c r="BD822" s="7">
        <f t="shared" si="164"/>
        <v>2.0099899999999176</v>
      </c>
      <c r="BE822" s="7">
        <f t="shared" si="165"/>
        <v>2.0100099999999177</v>
      </c>
      <c r="BF822" s="7">
        <f t="shared" si="166"/>
        <v>0.96391205596681295</v>
      </c>
      <c r="BG822" s="7">
        <f t="shared" si="167"/>
        <v>0.96391325979487252</v>
      </c>
      <c r="BH822" s="7" t="e">
        <f t="shared" si="168"/>
        <v>#N/A</v>
      </c>
      <c r="BI822" s="7">
        <f t="shared" si="172"/>
        <v>5.2919227719249042E-2</v>
      </c>
      <c r="BJ822" s="7">
        <f t="shared" si="169"/>
        <v>5.1919227719249041E-2</v>
      </c>
      <c r="BK822" s="7" t="e">
        <f t="shared" si="173"/>
        <v>#N/A</v>
      </c>
      <c r="BL822" s="7" t="e">
        <f t="shared" si="170"/>
        <v>#N/A</v>
      </c>
    </row>
    <row r="823" spans="52:64" ht="11.25" customHeight="1">
      <c r="AZ823" s="7">
        <f t="shared" si="161"/>
        <v>0.97830830623234888</v>
      </c>
      <c r="BA823" s="7">
        <f t="shared" si="171"/>
        <v>2.0199999999999174</v>
      </c>
      <c r="BB823" s="7">
        <f t="shared" si="162"/>
        <v>5.1863576682829218E-2</v>
      </c>
      <c r="BC823" s="7" t="e">
        <f t="shared" si="163"/>
        <v>#N/A</v>
      </c>
      <c r="BD823" s="7">
        <f t="shared" si="164"/>
        <v>2.0199899999999174</v>
      </c>
      <c r="BE823" s="7">
        <f t="shared" si="165"/>
        <v>2.0200099999999175</v>
      </c>
      <c r="BF823" s="7">
        <f t="shared" si="166"/>
        <v>0.96450926150947169</v>
      </c>
      <c r="BG823" s="7">
        <f t="shared" si="167"/>
        <v>0.96451044650881601</v>
      </c>
      <c r="BH823" s="7" t="e">
        <f t="shared" si="168"/>
        <v>#N/A</v>
      </c>
      <c r="BI823" s="7">
        <f t="shared" si="172"/>
        <v>5.1863576682829218E-2</v>
      </c>
      <c r="BJ823" s="7">
        <f t="shared" si="169"/>
        <v>5.0863576682829217E-2</v>
      </c>
      <c r="BK823" s="7" t="e">
        <f t="shared" si="173"/>
        <v>#N/A</v>
      </c>
      <c r="BL823" s="7" t="e">
        <f t="shared" si="170"/>
        <v>#N/A</v>
      </c>
    </row>
    <row r="824" spans="52:64" ht="11.25" customHeight="1">
      <c r="AZ824" s="7">
        <f t="shared" si="161"/>
        <v>0.97882173035732345</v>
      </c>
      <c r="BA824" s="7">
        <f t="shared" si="171"/>
        <v>2.0299999999999172</v>
      </c>
      <c r="BB824" s="7">
        <f t="shared" si="162"/>
        <v>5.0823901493699704E-2</v>
      </c>
      <c r="BC824" s="7" t="e">
        <f t="shared" si="163"/>
        <v>#N/A</v>
      </c>
      <c r="BD824" s="7">
        <f t="shared" si="164"/>
        <v>2.0299899999999171</v>
      </c>
      <c r="BE824" s="7">
        <f t="shared" si="165"/>
        <v>2.0300099999999173</v>
      </c>
      <c r="BF824" s="7">
        <f t="shared" si="166"/>
        <v>0.96509711670907505</v>
      </c>
      <c r="BG824" s="7">
        <f t="shared" si="167"/>
        <v>0.96509828313588719</v>
      </c>
      <c r="BH824" s="7" t="e">
        <f t="shared" si="168"/>
        <v>#N/A</v>
      </c>
      <c r="BI824" s="7">
        <f t="shared" si="172"/>
        <v>5.0823901493699704E-2</v>
      </c>
      <c r="BJ824" s="7">
        <f t="shared" si="169"/>
        <v>4.9823901493699703E-2</v>
      </c>
      <c r="BK824" s="7" t="e">
        <f t="shared" si="173"/>
        <v>#N/A</v>
      </c>
      <c r="BL824" s="7" t="e">
        <f t="shared" si="170"/>
        <v>#N/A</v>
      </c>
    </row>
    <row r="825" spans="52:64" ht="11.25" customHeight="1">
      <c r="AZ825" s="7">
        <f t="shared" si="161"/>
        <v>0.9793248371339256</v>
      </c>
      <c r="BA825" s="7">
        <f t="shared" si="171"/>
        <v>2.039999999999917</v>
      </c>
      <c r="BB825" s="7">
        <f t="shared" si="162"/>
        <v>4.9800087735079192E-2</v>
      </c>
      <c r="BC825" s="7" t="e">
        <f t="shared" si="163"/>
        <v>#N/A</v>
      </c>
      <c r="BD825" s="7">
        <f t="shared" si="164"/>
        <v>2.0399899999999169</v>
      </c>
      <c r="BE825" s="7">
        <f t="shared" si="165"/>
        <v>2.0400099999999171</v>
      </c>
      <c r="BF825" s="7">
        <f t="shared" si="166"/>
        <v>0.96567574907587261</v>
      </c>
      <c r="BG825" s="7">
        <f t="shared" si="167"/>
        <v>0.96567689718400362</v>
      </c>
      <c r="BH825" s="7" t="e">
        <f t="shared" si="168"/>
        <v>#N/A</v>
      </c>
      <c r="BI825" s="7">
        <f t="shared" si="172"/>
        <v>4.9800087735079192E-2</v>
      </c>
      <c r="BJ825" s="7">
        <f t="shared" si="169"/>
        <v>4.8800087735079191E-2</v>
      </c>
      <c r="BK825" s="7" t="e">
        <f t="shared" si="173"/>
        <v>#N/A</v>
      </c>
      <c r="BL825" s="7" t="e">
        <f t="shared" si="170"/>
        <v>#N/A</v>
      </c>
    </row>
    <row r="826" spans="52:64" ht="11.25" customHeight="1">
      <c r="AZ826" s="7">
        <f t="shared" si="161"/>
        <v>0.97981778459429147</v>
      </c>
      <c r="BA826" s="7">
        <f t="shared" si="171"/>
        <v>2.0499999999999168</v>
      </c>
      <c r="BB826" s="7">
        <f t="shared" si="162"/>
        <v>4.8792018579191083E-2</v>
      </c>
      <c r="BC826" s="7" t="e">
        <f t="shared" si="163"/>
        <v>#N/A</v>
      </c>
      <c r="BD826" s="7">
        <f t="shared" si="164"/>
        <v>2.0499899999999167</v>
      </c>
      <c r="BE826" s="7">
        <f t="shared" si="165"/>
        <v>2.0500099999999168</v>
      </c>
      <c r="BF826" s="7">
        <f t="shared" si="166"/>
        <v>0.96624528495072104</v>
      </c>
      <c r="BG826" s="7">
        <f t="shared" si="167"/>
        <v>0.96624641499167652</v>
      </c>
      <c r="BH826" s="7" t="e">
        <f t="shared" si="168"/>
        <v>#N/A</v>
      </c>
      <c r="BI826" s="7">
        <f t="shared" si="172"/>
        <v>4.8792018579191083E-2</v>
      </c>
      <c r="BJ826" s="7">
        <f t="shared" si="169"/>
        <v>4.7792018579191083E-2</v>
      </c>
      <c r="BK826" s="7" t="e">
        <f t="shared" si="173"/>
        <v>#N/A</v>
      </c>
      <c r="BL826" s="7" t="e">
        <f t="shared" si="170"/>
        <v>#N/A</v>
      </c>
    </row>
    <row r="827" spans="52:64" ht="11.25" customHeight="1">
      <c r="AZ827" s="7">
        <f t="shared" si="161"/>
        <v>0.9803007295906192</v>
      </c>
      <c r="BA827" s="7">
        <f t="shared" si="171"/>
        <v>2.0599999999999166</v>
      </c>
      <c r="BB827" s="7">
        <f t="shared" si="162"/>
        <v>4.7799574882085243E-2</v>
      </c>
      <c r="BC827" s="7" t="e">
        <f t="shared" si="163"/>
        <v>#N/A</v>
      </c>
      <c r="BD827" s="7">
        <f t="shared" si="164"/>
        <v>2.0599899999999165</v>
      </c>
      <c r="BE827" s="7">
        <f t="shared" si="165"/>
        <v>2.0600099999999166</v>
      </c>
      <c r="BF827" s="7">
        <f t="shared" si="166"/>
        <v>0.96680584949892279</v>
      </c>
      <c r="BG827" s="7">
        <f t="shared" si="167"/>
        <v>0.96680696172185177</v>
      </c>
      <c r="BH827" s="7" t="e">
        <f t="shared" si="168"/>
        <v>#N/A</v>
      </c>
      <c r="BI827" s="7">
        <f t="shared" si="172"/>
        <v>4.7799574882085243E-2</v>
      </c>
      <c r="BJ827" s="7">
        <f t="shared" si="169"/>
        <v>4.6799574882085242E-2</v>
      </c>
      <c r="BK827" s="7" t="e">
        <f t="shared" si="173"/>
        <v>#N/A</v>
      </c>
      <c r="BL827" s="7" t="e">
        <f t="shared" si="170"/>
        <v>#N/A</v>
      </c>
    </row>
    <row r="828" spans="52:64" ht="11.25" customHeight="1">
      <c r="AZ828" s="7">
        <f t="shared" si="161"/>
        <v>0.98077382777247868</v>
      </c>
      <c r="BA828" s="7">
        <f t="shared" si="171"/>
        <v>2.0699999999999164</v>
      </c>
      <c r="BB828" s="7">
        <f t="shared" si="162"/>
        <v>4.6822635277691246E-2</v>
      </c>
      <c r="BC828" s="7" t="e">
        <f t="shared" si="163"/>
        <v>#N/A</v>
      </c>
      <c r="BD828" s="7">
        <f t="shared" si="164"/>
        <v>2.0699899999999163</v>
      </c>
      <c r="BE828" s="7">
        <f t="shared" si="165"/>
        <v>2.0700099999999164</v>
      </c>
      <c r="BF828" s="7">
        <f t="shared" si="166"/>
        <v>0.96735756670469042</v>
      </c>
      <c r="BG828" s="7">
        <f t="shared" si="167"/>
        <v>0.96735866135637438</v>
      </c>
      <c r="BH828" s="7" t="e">
        <f t="shared" si="168"/>
        <v>#N/A</v>
      </c>
      <c r="BI828" s="7">
        <f t="shared" si="172"/>
        <v>4.6822635277691246E-2</v>
      </c>
      <c r="BJ828" s="7">
        <f t="shared" si="169"/>
        <v>4.5822635277691245E-2</v>
      </c>
      <c r="BK828" s="7" t="e">
        <f t="shared" si="173"/>
        <v>#N/A</v>
      </c>
      <c r="BL828" s="7" t="e">
        <f t="shared" si="170"/>
        <v>#N/A</v>
      </c>
    </row>
    <row r="829" spans="52:64" ht="11.25" customHeight="1">
      <c r="AZ829" s="7">
        <f t="shared" si="161"/>
        <v>0.98123723356505832</v>
      </c>
      <c r="BA829" s="7">
        <f t="shared" si="171"/>
        <v>2.0799999999999161</v>
      </c>
      <c r="BB829" s="7">
        <f t="shared" si="162"/>
        <v>4.5861076271062881E-2</v>
      </c>
      <c r="BC829" s="7" t="e">
        <f t="shared" si="163"/>
        <v>#N/A</v>
      </c>
      <c r="BD829" s="7">
        <f t="shared" si="164"/>
        <v>2.0799899999999161</v>
      </c>
      <c r="BE829" s="7">
        <f t="shared" si="165"/>
        <v>2.0800099999999162</v>
      </c>
      <c r="BF829" s="7">
        <f t="shared" si="166"/>
        <v>0.96790055936622021</v>
      </c>
      <c r="BG829" s="7">
        <f t="shared" si="167"/>
        <v>0.96790163669106422</v>
      </c>
      <c r="BH829" s="7" t="e">
        <f t="shared" si="168"/>
        <v>#N/A</v>
      </c>
      <c r="BI829" s="7">
        <f t="shared" si="172"/>
        <v>4.5861076271062881E-2</v>
      </c>
      <c r="BJ829" s="7">
        <f t="shared" si="169"/>
        <v>4.486107627106288E-2</v>
      </c>
      <c r="BK829" s="7" t="e">
        <f t="shared" si="173"/>
        <v>#N/A</v>
      </c>
      <c r="BL829" s="7" t="e">
        <f t="shared" si="170"/>
        <v>#N/A</v>
      </c>
    </row>
    <row r="830" spans="52:64" ht="11.25" customHeight="1">
      <c r="AZ830" s="7">
        <f t="shared" si="161"/>
        <v>0.98169110014833727</v>
      </c>
      <c r="BA830" s="7">
        <f t="shared" si="171"/>
        <v>2.0899999999999159</v>
      </c>
      <c r="BB830" s="7">
        <f t="shared" si="162"/>
        <v>4.4914772330774969E-2</v>
      </c>
      <c r="BC830" s="7" t="e">
        <f t="shared" si="163"/>
        <v>#N/A</v>
      </c>
      <c r="BD830" s="7">
        <f t="shared" si="164"/>
        <v>2.0899899999999159</v>
      </c>
      <c r="BE830" s="7">
        <f t="shared" si="165"/>
        <v>2.090009999999916</v>
      </c>
      <c r="BF830" s="7">
        <f t="shared" si="166"/>
        <v>0.96843494909135863</v>
      </c>
      <c r="BG830" s="7">
        <f t="shared" si="167"/>
        <v>0.96843600933138307</v>
      </c>
      <c r="BH830" s="7" t="e">
        <f t="shared" si="168"/>
        <v>#N/A</v>
      </c>
      <c r="BI830" s="7">
        <f t="shared" si="172"/>
        <v>4.4914772330774969E-2</v>
      </c>
      <c r="BJ830" s="7">
        <f t="shared" si="169"/>
        <v>4.3914772330774968E-2</v>
      </c>
      <c r="BK830" s="7" t="e">
        <f t="shared" si="173"/>
        <v>#N/A</v>
      </c>
      <c r="BL830" s="7" t="e">
        <f t="shared" si="170"/>
        <v>#N/A</v>
      </c>
    </row>
    <row r="831" spans="52:64" ht="11.25" customHeight="1">
      <c r="AZ831" s="7">
        <f t="shared" si="161"/>
        <v>0.98213557943717955</v>
      </c>
      <c r="BA831" s="7">
        <f t="shared" si="171"/>
        <v>2.0999999999999157</v>
      </c>
      <c r="BB831" s="7">
        <f t="shared" si="162"/>
        <v>4.3983595980434984E-2</v>
      </c>
      <c r="BC831" s="7" t="e">
        <f t="shared" si="163"/>
        <v>#N/A</v>
      </c>
      <c r="BD831" s="7">
        <f t="shared" si="164"/>
        <v>2.0999899999999156</v>
      </c>
      <c r="BE831" s="7">
        <f t="shared" si="165"/>
        <v>2.1000099999999158</v>
      </c>
      <c r="BF831" s="7">
        <f t="shared" si="166"/>
        <v>0.96896085629384776</v>
      </c>
      <c r="BG831" s="7">
        <f t="shared" si="167"/>
        <v>0.96896189968868129</v>
      </c>
      <c r="BH831" s="7" t="e">
        <f t="shared" si="168"/>
        <v>#N/A</v>
      </c>
      <c r="BI831" s="7">
        <f t="shared" si="172"/>
        <v>4.3983595980434984E-2</v>
      </c>
      <c r="BJ831" s="7">
        <f t="shared" si="169"/>
        <v>4.2983595980434983E-2</v>
      </c>
      <c r="BK831" s="7" t="e">
        <f t="shared" si="173"/>
        <v>#N/A</v>
      </c>
      <c r="BL831" s="7" t="e">
        <f t="shared" si="170"/>
        <v>#N/A</v>
      </c>
    </row>
    <row r="832" spans="52:64" ht="11.25" customHeight="1">
      <c r="AZ832" s="7">
        <f t="shared" si="161"/>
        <v>0.98257082206233937</v>
      </c>
      <c r="BA832" s="7">
        <f t="shared" si="171"/>
        <v>2.1099999999999155</v>
      </c>
      <c r="BB832" s="7">
        <f t="shared" si="162"/>
        <v>4.3067417889273402E-2</v>
      </c>
      <c r="BC832" s="7" t="e">
        <f t="shared" si="163"/>
        <v>#N/A</v>
      </c>
      <c r="BD832" s="7">
        <f t="shared" si="164"/>
        <v>2.1099899999999154</v>
      </c>
      <c r="BE832" s="7">
        <f t="shared" si="165"/>
        <v>2.1100099999999156</v>
      </c>
      <c r="BF832" s="7">
        <f t="shared" si="166"/>
        <v>0.96947840019013243</v>
      </c>
      <c r="BG832" s="7">
        <f t="shared" si="167"/>
        <v>0.9694794269770064</v>
      </c>
      <c r="BH832" s="7" t="e">
        <f t="shared" si="168"/>
        <v>#N/A</v>
      </c>
      <c r="BI832" s="7">
        <f t="shared" si="172"/>
        <v>4.3067417889273402E-2</v>
      </c>
      <c r="BJ832" s="7">
        <f t="shared" si="169"/>
        <v>4.2067417889273401E-2</v>
      </c>
      <c r="BK832" s="7" t="e">
        <f t="shared" si="173"/>
        <v>#N/A</v>
      </c>
      <c r="BL832" s="7" t="e">
        <f t="shared" si="170"/>
        <v>#N/A</v>
      </c>
    </row>
    <row r="833" spans="52:64" ht="11.25" customHeight="1">
      <c r="AZ833" s="7">
        <f t="shared" si="161"/>
        <v>0.98299697735236347</v>
      </c>
      <c r="BA833" s="7">
        <f t="shared" si="171"/>
        <v>2.1199999999999153</v>
      </c>
      <c r="BB833" s="7">
        <f t="shared" si="162"/>
        <v>4.2166106961777888E-2</v>
      </c>
      <c r="BC833" s="7" t="e">
        <f t="shared" si="163"/>
        <v>#N/A</v>
      </c>
      <c r="BD833" s="7">
        <f t="shared" si="164"/>
        <v>2.1199899999999152</v>
      </c>
      <c r="BE833" s="7">
        <f t="shared" si="165"/>
        <v>2.1200099999999154</v>
      </c>
      <c r="BF833" s="7">
        <f t="shared" si="166"/>
        <v>0.96998769879671554</v>
      </c>
      <c r="BG833" s="7">
        <f t="shared" si="167"/>
        <v>0.96998870921045921</v>
      </c>
      <c r="BH833" s="7" t="e">
        <f t="shared" si="168"/>
        <v>#N/A</v>
      </c>
      <c r="BI833" s="7">
        <f t="shared" si="172"/>
        <v>4.2166106961777888E-2</v>
      </c>
      <c r="BJ833" s="7">
        <f t="shared" si="169"/>
        <v>4.1166106961777887E-2</v>
      </c>
      <c r="BK833" s="7" t="e">
        <f t="shared" si="173"/>
        <v>#N/A</v>
      </c>
      <c r="BL833" s="7" t="e">
        <f t="shared" si="170"/>
        <v>#N/A</v>
      </c>
    </row>
    <row r="834" spans="52:64" ht="11.25" customHeight="1">
      <c r="AZ834" s="7">
        <f t="shared" si="161"/>
        <v>0.98341419331639146</v>
      </c>
      <c r="BA834" s="7">
        <f t="shared" si="171"/>
        <v>2.1299999999999151</v>
      </c>
      <c r="BB834" s="7">
        <f t="shared" si="162"/>
        <v>4.127953042633787E-2</v>
      </c>
      <c r="BC834" s="7" t="e">
        <f t="shared" si="163"/>
        <v>#N/A</v>
      </c>
      <c r="BD834" s="7">
        <f t="shared" si="164"/>
        <v>2.129989999999915</v>
      </c>
      <c r="BE834" s="7">
        <f t="shared" si="165"/>
        <v>2.1300099999999151</v>
      </c>
      <c r="BF834" s="7">
        <f t="shared" si="166"/>
        <v>0.97048886892804498</v>
      </c>
      <c r="BG834" s="7">
        <f t="shared" si="167"/>
        <v>0.97048986320108166</v>
      </c>
      <c r="BH834" s="7" t="e">
        <f t="shared" si="168"/>
        <v>#N/A</v>
      </c>
      <c r="BI834" s="7">
        <f t="shared" si="172"/>
        <v>4.127953042633787E-2</v>
      </c>
      <c r="BJ834" s="7">
        <f t="shared" si="169"/>
        <v>4.0279530426337869E-2</v>
      </c>
      <c r="BK834" s="7" t="e">
        <f t="shared" si="173"/>
        <v>#N/A</v>
      </c>
      <c r="BL834" s="7" t="e">
        <f t="shared" si="170"/>
        <v>#N/A</v>
      </c>
    </row>
    <row r="835" spans="52:64" ht="11.25" customHeight="1">
      <c r="AZ835" s="7">
        <f t="shared" si="161"/>
        <v>0.98382261662783033</v>
      </c>
      <c r="BA835" s="7">
        <f t="shared" si="171"/>
        <v>2.1399999999999149</v>
      </c>
      <c r="BB835" s="7">
        <f t="shared" si="162"/>
        <v>4.0407553922867663E-2</v>
      </c>
      <c r="BC835" s="7" t="e">
        <f t="shared" si="163"/>
        <v>#N/A</v>
      </c>
      <c r="BD835" s="7">
        <f t="shared" si="164"/>
        <v>2.1399899999999148</v>
      </c>
      <c r="BE835" s="7">
        <f t="shared" si="165"/>
        <v>2.1400099999999149</v>
      </c>
      <c r="BF835" s="7">
        <f t="shared" si="166"/>
        <v>0.97098202619491791</v>
      </c>
      <c r="BG835" s="7">
        <f t="shared" si="167"/>
        <v>0.97098300455726216</v>
      </c>
      <c r="BH835" s="7" t="e">
        <f t="shared" si="168"/>
        <v>#N/A</v>
      </c>
      <c r="BI835" s="7">
        <f t="shared" si="172"/>
        <v>4.0407553922867663E-2</v>
      </c>
      <c r="BJ835" s="7">
        <f t="shared" si="169"/>
        <v>3.9407553922867662E-2</v>
      </c>
      <c r="BK835" s="7" t="e">
        <f t="shared" si="173"/>
        <v>#N/A</v>
      </c>
      <c r="BL835" s="7" t="e">
        <f t="shared" si="170"/>
        <v>#N/A</v>
      </c>
    </row>
    <row r="836" spans="52:64" ht="11.25" customHeight="1">
      <c r="AZ836" s="7">
        <f t="shared" si="161"/>
        <v>0.98422239260890598</v>
      </c>
      <c r="BA836" s="7">
        <f t="shared" si="171"/>
        <v>2.1499999999999146</v>
      </c>
      <c r="BB836" s="7">
        <f t="shared" si="162"/>
        <v>3.9550041589377471E-2</v>
      </c>
      <c r="BC836" s="7" t="e">
        <f t="shared" si="163"/>
        <v>#N/A</v>
      </c>
      <c r="BD836" s="7">
        <f t="shared" si="164"/>
        <v>2.1499899999999146</v>
      </c>
      <c r="BE836" s="7">
        <f t="shared" si="165"/>
        <v>2.1500099999999147</v>
      </c>
      <c r="BF836" s="7">
        <f t="shared" si="166"/>
        <v>0.97146728500338753</v>
      </c>
      <c r="BG836" s="7">
        <f t="shared" si="167"/>
        <v>0.97146824768264395</v>
      </c>
      <c r="BH836" s="7" t="e">
        <f t="shared" si="168"/>
        <v>#N/A</v>
      </c>
      <c r="BI836" s="7">
        <f t="shared" si="172"/>
        <v>3.9550041589377471E-2</v>
      </c>
      <c r="BJ836" s="7">
        <f t="shared" si="169"/>
        <v>3.8550041589377471E-2</v>
      </c>
      <c r="BK836" s="7" t="e">
        <f t="shared" si="173"/>
        <v>#N/A</v>
      </c>
      <c r="BL836" s="7" t="e">
        <f t="shared" si="170"/>
        <v>#N/A</v>
      </c>
    </row>
    <row r="837" spans="52:64" ht="11.25" customHeight="1">
      <c r="AZ837" s="7">
        <f t="shared" si="161"/>
        <v>0.98461366521607108</v>
      </c>
      <c r="BA837" s="7">
        <f t="shared" si="171"/>
        <v>2.1599999999999144</v>
      </c>
      <c r="BB837" s="7">
        <f t="shared" si="162"/>
        <v>3.8706856147462769E-2</v>
      </c>
      <c r="BC837" s="7" t="e">
        <f t="shared" si="163"/>
        <v>#N/A</v>
      </c>
      <c r="BD837" s="7">
        <f t="shared" si="164"/>
        <v>2.1599899999999144</v>
      </c>
      <c r="BE837" s="7">
        <f t="shared" si="165"/>
        <v>2.1600099999999145</v>
      </c>
      <c r="BF837" s="7">
        <f t="shared" si="166"/>
        <v>0.97194475855415774</v>
      </c>
      <c r="BG837" s="7">
        <f t="shared" si="167"/>
        <v>0.97194570577551975</v>
      </c>
      <c r="BH837" s="7" t="e">
        <f t="shared" si="168"/>
        <v>#N/A</v>
      </c>
      <c r="BI837" s="7">
        <f t="shared" si="172"/>
        <v>3.8706856147462769E-2</v>
      </c>
      <c r="BJ837" s="7">
        <f t="shared" si="169"/>
        <v>3.7706856147462768E-2</v>
      </c>
      <c r="BK837" s="7" t="e">
        <f t="shared" si="173"/>
        <v>#N/A</v>
      </c>
      <c r="BL837" s="7" t="e">
        <f t="shared" si="170"/>
        <v>#N/A</v>
      </c>
    </row>
    <row r="838" spans="52:64" ht="11.25" customHeight="1">
      <c r="AZ838" s="7">
        <f t="shared" si="161"/>
        <v>0.98499657702626453</v>
      </c>
      <c r="BA838" s="7">
        <f t="shared" si="171"/>
        <v>2.1699999999999142</v>
      </c>
      <c r="BB838" s="7">
        <f t="shared" si="162"/>
        <v>3.7877858986684526E-2</v>
      </c>
      <c r="BC838" s="7" t="e">
        <f t="shared" si="163"/>
        <v>#N/A</v>
      </c>
      <c r="BD838" s="7">
        <f t="shared" si="164"/>
        <v>2.1699899999999142</v>
      </c>
      <c r="BE838" s="7">
        <f t="shared" si="165"/>
        <v>2.1700099999999143</v>
      </c>
      <c r="BF838" s="7">
        <f t="shared" si="166"/>
        <v>0.97241455884245065</v>
      </c>
      <c r="BG838" s="7">
        <f t="shared" si="167"/>
        <v>0.97241549082870105</v>
      </c>
      <c r="BH838" s="7" t="e">
        <f t="shared" si="168"/>
        <v>#N/A</v>
      </c>
      <c r="BI838" s="7">
        <f t="shared" si="172"/>
        <v>3.7877858986684526E-2</v>
      </c>
      <c r="BJ838" s="7">
        <f t="shared" si="169"/>
        <v>3.6877858986684525E-2</v>
      </c>
      <c r="BK838" s="7" t="e">
        <f t="shared" si="173"/>
        <v>#N/A</v>
      </c>
      <c r="BL838" s="7" t="e">
        <f t="shared" si="170"/>
        <v>#N/A</v>
      </c>
    </row>
    <row r="839" spans="52:64" ht="11.25" customHeight="1">
      <c r="AZ839" s="7">
        <f t="shared" si="161"/>
        <v>0.98537126922400775</v>
      </c>
      <c r="BA839" s="7">
        <f t="shared" si="171"/>
        <v>2.179999999999914</v>
      </c>
      <c r="BB839" s="7">
        <f t="shared" si="162"/>
        <v>3.7062910247813427E-2</v>
      </c>
      <c r="BC839" s="7" t="e">
        <f t="shared" si="163"/>
        <v>#N/A</v>
      </c>
      <c r="BD839" s="7">
        <f t="shared" si="164"/>
        <v>2.1799899999999139</v>
      </c>
      <c r="BE839" s="7">
        <f t="shared" si="165"/>
        <v>2.1800099999999141</v>
      </c>
      <c r="BF839" s="7">
        <f t="shared" si="166"/>
        <v>0.9728767966583336</v>
      </c>
      <c r="BG839" s="7">
        <f t="shared" si="167"/>
        <v>0.97287771362984532</v>
      </c>
      <c r="BH839" s="7" t="e">
        <f t="shared" si="168"/>
        <v>#N/A</v>
      </c>
      <c r="BI839" s="7">
        <f t="shared" si="172"/>
        <v>3.7062910247813427E-2</v>
      </c>
      <c r="BJ839" s="7">
        <f t="shared" si="169"/>
        <v>3.6062910247813426E-2</v>
      </c>
      <c r="BK839" s="7" t="e">
        <f t="shared" si="173"/>
        <v>#N/A</v>
      </c>
      <c r="BL839" s="7" t="e">
        <f t="shared" si="170"/>
        <v>#N/A</v>
      </c>
    </row>
    <row r="840" spans="52:64" ht="11.25" customHeight="1">
      <c r="AZ840" s="7">
        <f t="shared" si="161"/>
        <v>0.98573788158932807</v>
      </c>
      <c r="BA840" s="7">
        <f t="shared" si="171"/>
        <v>2.1899999999999138</v>
      </c>
      <c r="BB840" s="7">
        <f t="shared" si="162"/>
        <v>3.6261868904913064E-2</v>
      </c>
      <c r="BC840" s="7" t="e">
        <f t="shared" si="163"/>
        <v>#N/A</v>
      </c>
      <c r="BD840" s="7">
        <f t="shared" si="164"/>
        <v>2.1899899999999137</v>
      </c>
      <c r="BE840" s="7">
        <f t="shared" si="165"/>
        <v>2.1900099999999139</v>
      </c>
      <c r="BF840" s="7">
        <f t="shared" si="166"/>
        <v>0.97333158210847381</v>
      </c>
      <c r="BG840" s="7">
        <f t="shared" si="167"/>
        <v>0.97333248428312313</v>
      </c>
      <c r="BH840" s="7" t="e">
        <f t="shared" si="168"/>
        <v>#N/A</v>
      </c>
      <c r="BI840" s="7">
        <f t="shared" si="172"/>
        <v>3.6261868904913064E-2</v>
      </c>
      <c r="BJ840" s="7">
        <f t="shared" si="169"/>
        <v>3.5261868904913063E-2</v>
      </c>
      <c r="BK840" s="7" t="e">
        <f t="shared" si="173"/>
        <v>#N/A</v>
      </c>
      <c r="BL840" s="7" t="e">
        <f t="shared" si="170"/>
        <v>#N/A</v>
      </c>
    </row>
    <row r="841" spans="52:64" ht="11.25" customHeight="1">
      <c r="AZ841" s="7">
        <f t="shared" si="161"/>
        <v>0.98609655248649819</v>
      </c>
      <c r="BA841" s="7">
        <f t="shared" si="171"/>
        <v>2.1999999999999136</v>
      </c>
      <c r="BB841" s="7">
        <f t="shared" si="162"/>
        <v>3.5474592846238176E-2</v>
      </c>
      <c r="BC841" s="7" t="e">
        <f t="shared" si="163"/>
        <v>#N/A</v>
      </c>
      <c r="BD841" s="7">
        <f t="shared" si="164"/>
        <v>2.1999899999999135</v>
      </c>
      <c r="BE841" s="7">
        <f t="shared" si="165"/>
        <v>2.2000099999999136</v>
      </c>
      <c r="BF841" s="7">
        <f t="shared" si="166"/>
        <v>0.97377902249074055</v>
      </c>
      <c r="BG841" s="7">
        <f t="shared" si="167"/>
        <v>0.97377991008418419</v>
      </c>
      <c r="BH841" s="7" t="e">
        <f t="shared" si="168"/>
        <v>#N/A</v>
      </c>
      <c r="BI841" s="7">
        <f t="shared" si="172"/>
        <v>3.5474592846238176E-2</v>
      </c>
      <c r="BJ841" s="7">
        <f t="shared" si="169"/>
        <v>3.4474592846238175E-2</v>
      </c>
      <c r="BK841" s="7" t="e">
        <f t="shared" si="173"/>
        <v>#N/A</v>
      </c>
      <c r="BL841" s="7" t="e">
        <f t="shared" si="170"/>
        <v>#N/A</v>
      </c>
    </row>
    <row r="842" spans="52:64" ht="11.25" customHeight="1">
      <c r="AZ842" s="7">
        <f t="shared" si="161"/>
        <v>0.98644741885357701</v>
      </c>
      <c r="BA842" s="7">
        <f t="shared" si="171"/>
        <v>2.2099999999999134</v>
      </c>
      <c r="BB842" s="7">
        <f t="shared" si="162"/>
        <v>3.470093895392546E-2</v>
      </c>
      <c r="BC842" s="7" t="e">
        <f t="shared" si="163"/>
        <v>#N/A</v>
      </c>
      <c r="BD842" s="7">
        <f t="shared" si="164"/>
        <v>2.2099899999999133</v>
      </c>
      <c r="BE842" s="7">
        <f t="shared" si="165"/>
        <v>2.2100099999999134</v>
      </c>
      <c r="BF842" s="7">
        <f t="shared" si="166"/>
        <v>0.97421922555326712</v>
      </c>
      <c r="BG842" s="7">
        <f t="shared" si="167"/>
        <v>0.97422009877866389</v>
      </c>
      <c r="BH842" s="7" t="e">
        <f t="shared" si="168"/>
        <v>#N/A</v>
      </c>
      <c r="BI842" s="7">
        <f t="shared" si="172"/>
        <v>3.470093895392546E-2</v>
      </c>
      <c r="BJ842" s="7">
        <f t="shared" si="169"/>
        <v>3.3700938953925459E-2</v>
      </c>
      <c r="BK842" s="7" t="e">
        <f t="shared" si="173"/>
        <v>#N/A</v>
      </c>
      <c r="BL842" s="7" t="e">
        <f t="shared" si="170"/>
        <v>#N/A</v>
      </c>
    </row>
    <row r="843" spans="52:64" ht="11.25" customHeight="1">
      <c r="AZ843" s="7">
        <f t="shared" si="161"/>
        <v>0.98679061619274089</v>
      </c>
      <c r="BA843" s="7">
        <f t="shared" si="171"/>
        <v>2.2199999999999132</v>
      </c>
      <c r="BB843" s="7">
        <f t="shared" si="162"/>
        <v>3.3940763182455737E-2</v>
      </c>
      <c r="BC843" s="7" t="e">
        <f t="shared" si="163"/>
        <v>#N/A</v>
      </c>
      <c r="BD843" s="7">
        <f t="shared" si="164"/>
        <v>2.2199899999999131</v>
      </c>
      <c r="BE843" s="7">
        <f t="shared" si="165"/>
        <v>2.2200099999999132</v>
      </c>
      <c r="BF843" s="7">
        <f t="shared" si="166"/>
        <v>0.97465229727715763</v>
      </c>
      <c r="BG843" s="7">
        <f t="shared" si="167"/>
        <v>0.97465315634526928</v>
      </c>
      <c r="BH843" s="7" t="e">
        <f t="shared" si="168"/>
        <v>#N/A</v>
      </c>
      <c r="BI843" s="7">
        <f t="shared" si="172"/>
        <v>3.3940763182455737E-2</v>
      </c>
      <c r="BJ843" s="7">
        <f t="shared" si="169"/>
        <v>3.2940763182455736E-2</v>
      </c>
      <c r="BK843" s="7" t="e">
        <f t="shared" si="173"/>
        <v>#N/A</v>
      </c>
      <c r="BL843" s="7" t="e">
        <f t="shared" si="170"/>
        <v>#N/A</v>
      </c>
    </row>
    <row r="844" spans="52:64" ht="11.25" customHeight="1">
      <c r="AZ844" s="7">
        <f t="shared" si="161"/>
        <v>0.98712627856139512</v>
      </c>
      <c r="BA844" s="7">
        <f t="shared" si="171"/>
        <v>2.2299999999999129</v>
      </c>
      <c r="BB844" s="7">
        <f t="shared" si="162"/>
        <v>3.3193920635867555E-2</v>
      </c>
      <c r="BC844" s="7" t="e">
        <f t="shared" si="163"/>
        <v>#N/A</v>
      </c>
      <c r="BD844" s="7">
        <f t="shared" si="164"/>
        <v>2.2299899999999129</v>
      </c>
      <c r="BE844" s="7">
        <f t="shared" si="165"/>
        <v>2.230009999999913</v>
      </c>
      <c r="BF844" s="7">
        <f t="shared" si="166"/>
        <v>0.97507834244641567</v>
      </c>
      <c r="BG844" s="7">
        <f t="shared" si="167"/>
        <v>0.97507918756561252</v>
      </c>
      <c r="BH844" s="7" t="e">
        <f t="shared" si="168"/>
        <v>#N/A</v>
      </c>
      <c r="BI844" s="7">
        <f t="shared" si="172"/>
        <v>3.3193920635867555E-2</v>
      </c>
      <c r="BJ844" s="7">
        <f t="shared" si="169"/>
        <v>3.2193920635867554E-2</v>
      </c>
      <c r="BK844" s="7" t="e">
        <f t="shared" si="173"/>
        <v>#N/A</v>
      </c>
      <c r="BL844" s="7" t="e">
        <f t="shared" si="170"/>
        <v>#N/A</v>
      </c>
    </row>
    <row r="845" spans="52:64" ht="11.25" customHeight="1">
      <c r="AZ845" s="7">
        <f t="shared" si="161"/>
        <v>0.98745453856405052</v>
      </c>
      <c r="BA845" s="7">
        <f t="shared" si="171"/>
        <v>2.2399999999999127</v>
      </c>
      <c r="BB845" s="7">
        <f t="shared" si="162"/>
        <v>3.2460265643703794E-2</v>
      </c>
      <c r="BC845" s="7" t="e">
        <f t="shared" si="163"/>
        <v>#N/A</v>
      </c>
      <c r="BD845" s="7">
        <f t="shared" si="164"/>
        <v>2.2399899999999127</v>
      </c>
      <c r="BE845" s="7">
        <f t="shared" si="165"/>
        <v>2.2400099999999128</v>
      </c>
      <c r="BF845" s="7">
        <f t="shared" si="166"/>
        <v>0.97549746465073262</v>
      </c>
      <c r="BG845" s="7">
        <f t="shared" si="167"/>
        <v>0.97549829602699945</v>
      </c>
      <c r="BH845" s="7" t="e">
        <f t="shared" si="168"/>
        <v>#N/A</v>
      </c>
      <c r="BI845" s="7">
        <f t="shared" si="172"/>
        <v>3.2460265643703794E-2</v>
      </c>
      <c r="BJ845" s="7">
        <f t="shared" si="169"/>
        <v>3.1460265643703793E-2</v>
      </c>
      <c r="BK845" s="7" t="e">
        <f t="shared" si="173"/>
        <v>#N/A</v>
      </c>
      <c r="BL845" s="7" t="e">
        <f t="shared" si="170"/>
        <v>#N/A</v>
      </c>
    </row>
    <row r="846" spans="52:64" ht="11.25" customHeight="1">
      <c r="AZ846" s="7">
        <f t="shared" si="161"/>
        <v>0.98777552734495255</v>
      </c>
      <c r="BA846" s="7">
        <f t="shared" si="171"/>
        <v>2.2499999999999125</v>
      </c>
      <c r="BB846" s="7">
        <f t="shared" si="162"/>
        <v>3.1739651835673663E-2</v>
      </c>
      <c r="BC846" s="7" t="e">
        <f t="shared" si="163"/>
        <v>#N/A</v>
      </c>
      <c r="BD846" s="7">
        <f t="shared" si="164"/>
        <v>2.2499899999999124</v>
      </c>
      <c r="BE846" s="7">
        <f t="shared" si="165"/>
        <v>2.2500099999999126</v>
      </c>
      <c r="BF846" s="7">
        <f t="shared" si="166"/>
        <v>0.97590976628863979</v>
      </c>
      <c r="BG846" s="7">
        <f t="shared" si="167"/>
        <v>0.97591058412558229</v>
      </c>
      <c r="BH846" s="7" t="e">
        <f t="shared" si="168"/>
        <v>#N/A</v>
      </c>
      <c r="BI846" s="7">
        <f t="shared" si="172"/>
        <v>3.1739651835673663E-2</v>
      </c>
      <c r="BJ846" s="7">
        <f t="shared" si="169"/>
        <v>3.0739651835673662E-2</v>
      </c>
      <c r="BK846" s="7" t="e">
        <f t="shared" si="173"/>
        <v>#N/A</v>
      </c>
      <c r="BL846" s="7" t="e">
        <f t="shared" si="170"/>
        <v>#N/A</v>
      </c>
    </row>
    <row r="847" spans="52:64" ht="11.25" customHeight="1">
      <c r="AZ847" s="7">
        <f t="shared" si="161"/>
        <v>0.9880893745814503</v>
      </c>
      <c r="BA847" s="7">
        <f t="shared" si="171"/>
        <v>2.2599999999999123</v>
      </c>
      <c r="BB847" s="7">
        <f t="shared" si="162"/>
        <v>3.10319322150144E-2</v>
      </c>
      <c r="BC847" s="7" t="e">
        <f t="shared" si="163"/>
        <v>#N/A</v>
      </c>
      <c r="BD847" s="7">
        <f t="shared" si="164"/>
        <v>2.2599899999999122</v>
      </c>
      <c r="BE847" s="7">
        <f t="shared" si="165"/>
        <v>2.2600099999999124</v>
      </c>
      <c r="BF847" s="7">
        <f t="shared" si="166"/>
        <v>0.97631534857101165</v>
      </c>
      <c r="BG847" s="7">
        <f t="shared" si="167"/>
        <v>0.97631615306986408</v>
      </c>
      <c r="BH847" s="7" t="e">
        <f t="shared" si="168"/>
        <v>#N/A</v>
      </c>
      <c r="BI847" s="7">
        <f t="shared" si="172"/>
        <v>3.10319322150144E-2</v>
      </c>
      <c r="BJ847" s="7">
        <f t="shared" si="169"/>
        <v>3.0031932215014399E-2</v>
      </c>
      <c r="BK847" s="7" t="e">
        <f t="shared" si="173"/>
        <v>#N/A</v>
      </c>
      <c r="BL847" s="7" t="e">
        <f t="shared" si="170"/>
        <v>#N/A</v>
      </c>
    </row>
    <row r="848" spans="52:64" ht="11.25" customHeight="1">
      <c r="AZ848" s="7">
        <f t="shared" si="161"/>
        <v>0.98839620847809373</v>
      </c>
      <c r="BA848" s="7">
        <f t="shared" si="171"/>
        <v>2.2699999999999121</v>
      </c>
      <c r="BB848" s="7">
        <f t="shared" si="162"/>
        <v>3.0336959230537683E-2</v>
      </c>
      <c r="BC848" s="7" t="e">
        <f t="shared" si="163"/>
        <v>#N/A</v>
      </c>
      <c r="BD848" s="7">
        <f t="shared" si="164"/>
        <v>2.269989999999912</v>
      </c>
      <c r="BE848" s="7">
        <f t="shared" si="165"/>
        <v>2.2700099999999122</v>
      </c>
      <c r="BF848" s="7">
        <f t="shared" si="166"/>
        <v>0.97671431152490862</v>
      </c>
      <c r="BG848" s="7">
        <f t="shared" si="167"/>
        <v>0.97671510288454177</v>
      </c>
      <c r="BH848" s="7" t="e">
        <f t="shared" si="168"/>
        <v>#N/A</v>
      </c>
      <c r="BI848" s="7">
        <f t="shared" si="172"/>
        <v>3.0336959230537683E-2</v>
      </c>
      <c r="BJ848" s="7">
        <f t="shared" si="169"/>
        <v>2.9336959230537682E-2</v>
      </c>
      <c r="BK848" s="7" t="e">
        <f t="shared" si="173"/>
        <v>#N/A</v>
      </c>
      <c r="BL848" s="7" t="e">
        <f t="shared" si="170"/>
        <v>#N/A</v>
      </c>
    </row>
    <row r="849" spans="52:64" ht="11.25" customHeight="1">
      <c r="AZ849" s="7">
        <f t="shared" si="161"/>
        <v>0.98869615576144465</v>
      </c>
      <c r="BA849" s="7">
        <f t="shared" si="171"/>
        <v>2.2799999999999119</v>
      </c>
      <c r="BB849" s="7">
        <f t="shared" si="162"/>
        <v>2.9654584847347225E-2</v>
      </c>
      <c r="BC849" s="7" t="e">
        <f t="shared" si="163"/>
        <v>#N/A</v>
      </c>
      <c r="BD849" s="7">
        <f t="shared" si="164"/>
        <v>2.2799899999999118</v>
      </c>
      <c r="BE849" s="7">
        <f t="shared" si="165"/>
        <v>2.2800099999999119</v>
      </c>
      <c r="BF849" s="7">
        <f t="shared" si="166"/>
        <v>0.97710675399774616</v>
      </c>
      <c r="BG849" s="7">
        <f t="shared" si="167"/>
        <v>0.97710753241467563</v>
      </c>
      <c r="BH849" s="7" t="e">
        <f t="shared" si="168"/>
        <v>#N/A</v>
      </c>
      <c r="BI849" s="7">
        <f t="shared" si="172"/>
        <v>2.9654584847347225E-2</v>
      </c>
      <c r="BJ849" s="7">
        <f t="shared" si="169"/>
        <v>2.8654584847347224E-2</v>
      </c>
      <c r="BK849" s="7" t="e">
        <f t="shared" si="173"/>
        <v>#N/A</v>
      </c>
      <c r="BL849" s="7" t="e">
        <f t="shared" si="170"/>
        <v>#N/A</v>
      </c>
    </row>
    <row r="850" spans="52:64" ht="11.25" customHeight="1">
      <c r="AZ850" s="7">
        <f t="shared" si="161"/>
        <v>0.98898934167558594</v>
      </c>
      <c r="BA850" s="7">
        <f t="shared" si="171"/>
        <v>2.2899999999999117</v>
      </c>
      <c r="BB850" s="7">
        <f t="shared" si="162"/>
        <v>2.8984660616215279E-2</v>
      </c>
      <c r="BC850" s="7" t="e">
        <f t="shared" si="163"/>
        <v>#N/A</v>
      </c>
      <c r="BD850" s="7">
        <f t="shared" si="164"/>
        <v>2.2899899999999116</v>
      </c>
      <c r="BE850" s="7">
        <f t="shared" si="165"/>
        <v>2.2900099999999117</v>
      </c>
      <c r="BF850" s="7">
        <f t="shared" si="166"/>
        <v>0.97749277366177745</v>
      </c>
      <c r="BG850" s="7">
        <f t="shared" si="167"/>
        <v>0.97749353933017358</v>
      </c>
      <c r="BH850" s="7" t="e">
        <f t="shared" si="168"/>
        <v>#N/A</v>
      </c>
      <c r="BI850" s="7">
        <f t="shared" si="172"/>
        <v>2.8984660616215279E-2</v>
      </c>
      <c r="BJ850" s="7">
        <f t="shared" si="169"/>
        <v>2.7984660616215278E-2</v>
      </c>
      <c r="BK850" s="7" t="e">
        <f t="shared" si="173"/>
        <v>#N/A</v>
      </c>
      <c r="BL850" s="7" t="e">
        <f t="shared" si="170"/>
        <v>#N/A</v>
      </c>
    </row>
    <row r="851" spans="52:64" ht="11.25" customHeight="1">
      <c r="AZ851" s="7">
        <f t="shared" si="161"/>
        <v>0.98927588997832161</v>
      </c>
      <c r="BA851" s="7">
        <f t="shared" si="171"/>
        <v>2.2999999999999114</v>
      </c>
      <c r="BB851" s="7">
        <f t="shared" si="162"/>
        <v>2.8327037741606942E-2</v>
      </c>
      <c r="BC851" s="7" t="e">
        <f t="shared" si="163"/>
        <v>#N/A</v>
      </c>
      <c r="BD851" s="7">
        <f t="shared" si="164"/>
        <v>2.2999899999999114</v>
      </c>
      <c r="BE851" s="7">
        <f t="shared" si="165"/>
        <v>2.3000099999999115</v>
      </c>
      <c r="BF851" s="7">
        <f t="shared" si="166"/>
        <v>0.97787246701887998</v>
      </c>
      <c r="BG851" s="7">
        <f t="shared" si="167"/>
        <v>0.97787322013057709</v>
      </c>
      <c r="BH851" s="7" t="e">
        <f t="shared" si="168"/>
        <v>#N/A</v>
      </c>
      <c r="BI851" s="7">
        <f t="shared" si="172"/>
        <v>2.8327037741606942E-2</v>
      </c>
      <c r="BJ851" s="7">
        <f t="shared" si="169"/>
        <v>2.7327037741606941E-2</v>
      </c>
      <c r="BK851" s="7" t="e">
        <f t="shared" si="173"/>
        <v>#N/A</v>
      </c>
      <c r="BL851" s="7" t="e">
        <f t="shared" si="170"/>
        <v>#N/A</v>
      </c>
    </row>
    <row r="852" spans="52:64" ht="11.25" customHeight="1">
      <c r="AZ852" s="7">
        <f t="shared" si="161"/>
        <v>0.98955592293804651</v>
      </c>
      <c r="BA852" s="7">
        <f t="shared" si="171"/>
        <v>2.3099999999999112</v>
      </c>
      <c r="BB852" s="7">
        <f t="shared" si="162"/>
        <v>2.7681567148342249E-2</v>
      </c>
      <c r="BC852" s="7" t="e">
        <f t="shared" si="163"/>
        <v>#N/A</v>
      </c>
      <c r="BD852" s="7">
        <f t="shared" si="164"/>
        <v>2.3099899999999112</v>
      </c>
      <c r="BE852" s="7">
        <f t="shared" si="165"/>
        <v>2.3100099999999113</v>
      </c>
      <c r="BF852" s="7">
        <f t="shared" si="166"/>
        <v>0.97824592940563171</v>
      </c>
      <c r="BG852" s="7">
        <f t="shared" si="167"/>
        <v>0.97824667015013878</v>
      </c>
      <c r="BH852" s="7" t="e">
        <f t="shared" si="168"/>
        <v>#N/A</v>
      </c>
      <c r="BI852" s="7">
        <f t="shared" si="172"/>
        <v>2.7681567148342249E-2</v>
      </c>
      <c r="BJ852" s="7">
        <f t="shared" si="169"/>
        <v>2.6681567148342248E-2</v>
      </c>
      <c r="BK852" s="7" t="e">
        <f t="shared" si="173"/>
        <v>#N/A</v>
      </c>
      <c r="BL852" s="7" t="e">
        <f t="shared" si="170"/>
        <v>#N/A</v>
      </c>
    </row>
    <row r="853" spans="52:64" ht="11.25" customHeight="1">
      <c r="AZ853" s="7">
        <f t="shared" ref="AZ853:AZ916" si="174">NORMDIST(BA853,$BA$17,$BA$18,TRUE)</f>
        <v>0.98982956133127797</v>
      </c>
      <c r="BA853" s="7">
        <f t="shared" si="171"/>
        <v>2.319999999999911</v>
      </c>
      <c r="BB853" s="7">
        <f t="shared" ref="BB853:BB916" si="175">IF($BA$13=1,NORMDIST(BA853,$BA$17,$BA$18,FALSE),NA())</f>
        <v>2.7048099546887354E-2</v>
      </c>
      <c r="BC853" s="7" t="e">
        <f t="shared" ref="BC853:BC916" si="176">IF($BA$13=3,NORMDIST(BA853,$BA$17,$BA$18,FALSE),NA())</f>
        <v>#N/A</v>
      </c>
      <c r="BD853" s="7">
        <f t="shared" ref="BD853:BD916" si="177">BA853-$BD$19</f>
        <v>2.319989999999911</v>
      </c>
      <c r="BE853" s="7">
        <f t="shared" ref="BE853:BE916" si="178">BA853+$BD$19</f>
        <v>2.3200099999999111</v>
      </c>
      <c r="BF853" s="7">
        <f t="shared" ref="BF853:BF916" si="179">IF(BD853&lt;0,TDIST(-BD853,$BA$14,1),1-TDIST(BD853,$BA$14,1))</f>
        <v>0.97861325499866647</v>
      </c>
      <c r="BG853" s="7">
        <f t="shared" ref="BG853:BG916" si="180">IF(BE853&lt;0,TDIST(-BE853,$BA$14,1),1-TDIST(BE853,$BA$14,1))</f>
        <v>0.9786139835631783</v>
      </c>
      <c r="BH853" s="7" t="e">
        <f t="shared" ref="BH853:BH916" si="181">IF($BA$13&gt;1,(BG853-BF853)/(2*$BD$19),NA())</f>
        <v>#N/A</v>
      </c>
      <c r="BI853" s="7">
        <f t="shared" si="172"/>
        <v>2.7048099546887354E-2</v>
      </c>
      <c r="BJ853" s="7">
        <f t="shared" ref="BJ853:BJ916" si="182">IF(ISNUMBER(BI853),BI853-$BJ$19,NA())</f>
        <v>2.6048099546887353E-2</v>
      </c>
      <c r="BK853" s="7" t="e">
        <f t="shared" si="173"/>
        <v>#N/A</v>
      </c>
      <c r="BL853" s="7" t="e">
        <f t="shared" ref="BL853:BL916" si="183">IF(ISNUMBER(BK853),BK853-$BL$19,NA())</f>
        <v>#N/A</v>
      </c>
    </row>
    <row r="854" spans="52:64" ht="11.25" customHeight="1">
      <c r="AZ854" s="7">
        <f t="shared" si="174"/>
        <v>0.9900969244408333</v>
      </c>
      <c r="BA854" s="7">
        <f t="shared" ref="BA854:BA917" si="184">BA853+$BD$10</f>
        <v>2.3299999999999108</v>
      </c>
      <c r="BB854" s="7">
        <f t="shared" si="175"/>
        <v>2.642648549726722E-2</v>
      </c>
      <c r="BC854" s="7" t="e">
        <f t="shared" si="176"/>
        <v>#N/A</v>
      </c>
      <c r="BD854" s="7">
        <f t="shared" si="177"/>
        <v>2.3299899999999107</v>
      </c>
      <c r="BE854" s="7">
        <f t="shared" si="178"/>
        <v>2.3300099999999109</v>
      </c>
      <c r="BF854" s="7">
        <f t="shared" si="179"/>
        <v>0.97897453682029867</v>
      </c>
      <c r="BG854" s="7">
        <f t="shared" si="180"/>
        <v>0.97897525338970715</v>
      </c>
      <c r="BH854" s="7" t="e">
        <f t="shared" si="181"/>
        <v>#N/A</v>
      </c>
      <c r="BI854" s="7">
        <f t="shared" ref="BI854:BI917" si="185">IF($BA$15=1,IF(OR(AND(BA854&gt;=$BI$18,$BN$18&gt;=0),AND(BA854&lt;=-$BI$18,$BN$18&lt;0)),BB854,NA()),IF($BA$15=2,IF(ABS(BA854)&gt;=$BI$18,BB854,NA()),NA()))</f>
        <v>2.642648549726722E-2</v>
      </c>
      <c r="BJ854" s="7">
        <f t="shared" si="182"/>
        <v>2.5426485497267219E-2</v>
      </c>
      <c r="BK854" s="7" t="e">
        <f t="shared" ref="BK854:BK917" si="186">IF($BA$15=1,IF(OR(AND(BA854&gt;=$BK$18,$BN$18&gt;=0),AND(BA854&lt;=-$BK$18,$BN$18&lt;0)),BH854,NA()),IF($BA$15=2,IF(ABS(BA854)&gt;=$BK$18,BH854,NA()),NA()))</f>
        <v>#N/A</v>
      </c>
      <c r="BL854" s="7" t="e">
        <f t="shared" si="183"/>
        <v>#N/A</v>
      </c>
    </row>
    <row r="855" spans="52:64" ht="11.25" customHeight="1">
      <c r="AZ855" s="7">
        <f t="shared" si="174"/>
        <v>0.99035813005463924</v>
      </c>
      <c r="BA855" s="7">
        <f t="shared" si="184"/>
        <v>2.3399999999999106</v>
      </c>
      <c r="BB855" s="7">
        <f t="shared" si="175"/>
        <v>2.5816575471593078E-2</v>
      </c>
      <c r="BC855" s="7" t="e">
        <f t="shared" si="176"/>
        <v>#N/A</v>
      </c>
      <c r="BD855" s="7">
        <f t="shared" si="177"/>
        <v>2.3399899999999105</v>
      </c>
      <c r="BE855" s="7">
        <f t="shared" si="178"/>
        <v>2.3400099999999107</v>
      </c>
      <c r="BF855" s="7">
        <f t="shared" si="179"/>
        <v>0.97932986674440281</v>
      </c>
      <c r="BG855" s="7">
        <f t="shared" si="180"/>
        <v>0.97933057150130887</v>
      </c>
      <c r="BH855" s="7" t="e">
        <f t="shared" si="181"/>
        <v>#N/A</v>
      </c>
      <c r="BI855" s="7">
        <f t="shared" si="185"/>
        <v>2.5816575471593078E-2</v>
      </c>
      <c r="BJ855" s="7">
        <f t="shared" si="182"/>
        <v>2.4816575471593078E-2</v>
      </c>
      <c r="BK855" s="7" t="e">
        <f t="shared" si="186"/>
        <v>#N/A</v>
      </c>
      <c r="BL855" s="7" t="e">
        <f t="shared" si="183"/>
        <v>#N/A</v>
      </c>
    </row>
    <row r="856" spans="52:64" ht="11.25" customHeight="1">
      <c r="AZ856" s="7">
        <f t="shared" si="174"/>
        <v>0.99061329446515911</v>
      </c>
      <c r="BA856" s="7">
        <f t="shared" si="184"/>
        <v>2.3499999999999104</v>
      </c>
      <c r="BB856" s="7">
        <f t="shared" si="175"/>
        <v>2.5218219915199701E-2</v>
      </c>
      <c r="BC856" s="7" t="e">
        <f t="shared" si="176"/>
        <v>#N/A</v>
      </c>
      <c r="BD856" s="7">
        <f t="shared" si="177"/>
        <v>2.3499899999999103</v>
      </c>
      <c r="BE856" s="7">
        <f t="shared" si="178"/>
        <v>2.3500099999999104</v>
      </c>
      <c r="BF856" s="7">
        <f t="shared" si="179"/>
        <v>0.97967933550254116</v>
      </c>
      <c r="BG856" s="7">
        <f t="shared" si="180"/>
        <v>0.97968002862726777</v>
      </c>
      <c r="BH856" s="7" t="e">
        <f t="shared" si="181"/>
        <v>#N/A</v>
      </c>
      <c r="BI856" s="7">
        <f t="shared" si="185"/>
        <v>2.5218219915199701E-2</v>
      </c>
      <c r="BJ856" s="7">
        <f t="shared" si="182"/>
        <v>2.42182199151997E-2</v>
      </c>
      <c r="BK856" s="7" t="e">
        <f t="shared" si="186"/>
        <v>#N/A</v>
      </c>
      <c r="BL856" s="7" t="e">
        <f t="shared" si="183"/>
        <v>#N/A</v>
      </c>
    </row>
    <row r="857" spans="52:64" ht="11.25" customHeight="1">
      <c r="AZ857" s="7">
        <f t="shared" si="174"/>
        <v>0.99086253246942491</v>
      </c>
      <c r="BA857" s="7">
        <f t="shared" si="184"/>
        <v>2.3599999999999102</v>
      </c>
      <c r="BB857" s="7">
        <f t="shared" si="175"/>
        <v>2.4631269306387722E-2</v>
      </c>
      <c r="BC857" s="7" t="e">
        <f t="shared" si="176"/>
        <v>#N/A</v>
      </c>
      <c r="BD857" s="7">
        <f t="shared" si="177"/>
        <v>2.3599899999999101</v>
      </c>
      <c r="BE857" s="7">
        <f t="shared" si="178"/>
        <v>2.3600099999999102</v>
      </c>
      <c r="BF857" s="7">
        <f t="shared" si="179"/>
        <v>0.98002303269032565</v>
      </c>
      <c r="BG857" s="7">
        <f t="shared" si="180"/>
        <v>0.98002371436093005</v>
      </c>
      <c r="BH857" s="7" t="e">
        <f t="shared" si="181"/>
        <v>#N/A</v>
      </c>
      <c r="BI857" s="7">
        <f t="shared" si="185"/>
        <v>2.4631269306387722E-2</v>
      </c>
      <c r="BJ857" s="7">
        <f t="shared" si="182"/>
        <v>2.3631269306387721E-2</v>
      </c>
      <c r="BK857" s="7" t="e">
        <f t="shared" si="186"/>
        <v>#N/A</v>
      </c>
      <c r="BL857" s="7" t="e">
        <f t="shared" si="183"/>
        <v>#N/A</v>
      </c>
    </row>
    <row r="858" spans="52:64" ht="11.25" customHeight="1">
      <c r="AZ858" s="7">
        <f t="shared" si="174"/>
        <v>0.99110595736966101</v>
      </c>
      <c r="BA858" s="7">
        <f t="shared" si="184"/>
        <v>2.36999999999991</v>
      </c>
      <c r="BB858" s="7">
        <f t="shared" si="175"/>
        <v>2.4055574214768106E-2</v>
      </c>
      <c r="BC858" s="7" t="e">
        <f t="shared" si="176"/>
        <v>#N/A</v>
      </c>
      <c r="BD858" s="7">
        <f t="shared" si="177"/>
        <v>2.3699899999999099</v>
      </c>
      <c r="BE858" s="7">
        <f t="shared" si="178"/>
        <v>2.37000999999991</v>
      </c>
      <c r="BF858" s="7">
        <f t="shared" si="179"/>
        <v>0.98036104677400482</v>
      </c>
      <c r="BG858" s="7">
        <f t="shared" si="180"/>
        <v>0.98036171716629239</v>
      </c>
      <c r="BH858" s="7" t="e">
        <f t="shared" si="181"/>
        <v>#N/A</v>
      </c>
      <c r="BI858" s="7">
        <f t="shared" si="185"/>
        <v>2.4055574214768106E-2</v>
      </c>
      <c r="BJ858" s="7">
        <f t="shared" si="182"/>
        <v>2.3055574214768105E-2</v>
      </c>
      <c r="BK858" s="7" t="e">
        <f t="shared" si="186"/>
        <v>#N/A</v>
      </c>
      <c r="BL858" s="7" t="e">
        <f t="shared" si="183"/>
        <v>#N/A</v>
      </c>
    </row>
    <row r="859" spans="52:64" ht="11.25" customHeight="1">
      <c r="AZ859" s="7">
        <f t="shared" si="174"/>
        <v>0.99134368097448133</v>
      </c>
      <c r="BA859" s="7">
        <f t="shared" si="184"/>
        <v>2.3799999999999097</v>
      </c>
      <c r="BB859" s="7">
        <f t="shared" si="175"/>
        <v>2.3490985358206401E-2</v>
      </c>
      <c r="BC859" s="7" t="e">
        <f t="shared" si="176"/>
        <v>#N/A</v>
      </c>
      <c r="BD859" s="7">
        <f t="shared" si="177"/>
        <v>2.3799899999999097</v>
      </c>
      <c r="BE859" s="7">
        <f t="shared" si="178"/>
        <v>2.3800099999999098</v>
      </c>
      <c r="BF859" s="7">
        <f t="shared" si="179"/>
        <v>0.98069346509726651</v>
      </c>
      <c r="BG859" s="7">
        <f t="shared" si="180"/>
        <v>0.98069412438480452</v>
      </c>
      <c r="BH859" s="7" t="e">
        <f t="shared" si="181"/>
        <v>#N/A</v>
      </c>
      <c r="BI859" s="7">
        <f t="shared" si="185"/>
        <v>2.3490985358206401E-2</v>
      </c>
      <c r="BJ859" s="7">
        <f t="shared" si="182"/>
        <v>2.24909853582064E-2</v>
      </c>
      <c r="BK859" s="7" t="e">
        <f t="shared" si="186"/>
        <v>#N/A</v>
      </c>
      <c r="BL859" s="7" t="e">
        <f t="shared" si="183"/>
        <v>#N/A</v>
      </c>
    </row>
    <row r="860" spans="52:64" ht="11.25" customHeight="1">
      <c r="AZ860" s="7">
        <f t="shared" si="174"/>
        <v>0.99157581360065228</v>
      </c>
      <c r="BA860" s="7">
        <f t="shared" si="184"/>
        <v>2.3899999999999095</v>
      </c>
      <c r="BB860" s="7">
        <f t="shared" si="175"/>
        <v>2.2937353658365651E-2</v>
      </c>
      <c r="BC860" s="7" t="e">
        <f t="shared" si="176"/>
        <v>#N/A</v>
      </c>
      <c r="BD860" s="7">
        <f t="shared" si="177"/>
        <v>2.3899899999999095</v>
      </c>
      <c r="BE860" s="7">
        <f t="shared" si="178"/>
        <v>2.3900099999999096</v>
      </c>
      <c r="BF860" s="7">
        <f t="shared" si="179"/>
        <v>0.98102037388824459</v>
      </c>
      <c r="BG860" s="7">
        <f t="shared" si="180"/>
        <v>0.98102102224237619</v>
      </c>
      <c r="BH860" s="7" t="e">
        <f t="shared" si="181"/>
        <v>#N/A</v>
      </c>
      <c r="BI860" s="7">
        <f t="shared" si="185"/>
        <v>2.2937353658365651E-2</v>
      </c>
      <c r="BJ860" s="7">
        <f t="shared" si="182"/>
        <v>2.193735365836565E-2</v>
      </c>
      <c r="BK860" s="7" t="e">
        <f t="shared" si="186"/>
        <v>#N/A</v>
      </c>
      <c r="BL860" s="7" t="e">
        <f t="shared" si="183"/>
        <v>#N/A</v>
      </c>
    </row>
    <row r="861" spans="52:64" ht="11.25" customHeight="1">
      <c r="AZ861" s="7">
        <f t="shared" si="174"/>
        <v>0.99180246407540185</v>
      </c>
      <c r="BA861" s="7">
        <f t="shared" si="184"/>
        <v>2.3999999999999093</v>
      </c>
      <c r="BB861" s="7">
        <f t="shared" si="175"/>
        <v>2.239453029484777E-2</v>
      </c>
      <c r="BC861" s="7" t="e">
        <f t="shared" si="176"/>
        <v>#N/A</v>
      </c>
      <c r="BD861" s="7">
        <f t="shared" si="177"/>
        <v>2.3999899999999093</v>
      </c>
      <c r="BE861" s="7">
        <f t="shared" si="178"/>
        <v>2.4000099999999094</v>
      </c>
      <c r="BF861" s="7">
        <f t="shared" si="179"/>
        <v>0.98134185826672127</v>
      </c>
      <c r="BG861" s="7">
        <f t="shared" si="180"/>
        <v>0.98134249585658051</v>
      </c>
      <c r="BH861" s="7" t="e">
        <f t="shared" si="181"/>
        <v>#N/A</v>
      </c>
      <c r="BI861" s="7">
        <f t="shared" si="185"/>
        <v>2.239453029484777E-2</v>
      </c>
      <c r="BJ861" s="7">
        <f t="shared" si="182"/>
        <v>2.139453029484777E-2</v>
      </c>
      <c r="BK861" s="7" t="e">
        <f t="shared" si="186"/>
        <v>#N/A</v>
      </c>
      <c r="BL861" s="7" t="e">
        <f t="shared" si="183"/>
        <v>#N/A</v>
      </c>
    </row>
    <row r="862" spans="52:64" ht="11.25" customHeight="1">
      <c r="AZ862" s="7">
        <f t="shared" si="174"/>
        <v>0.99202373973926439</v>
      </c>
      <c r="BA862" s="7">
        <f t="shared" si="184"/>
        <v>2.4099999999999091</v>
      </c>
      <c r="BB862" s="7">
        <f t="shared" si="175"/>
        <v>2.1862366757934178E-2</v>
      </c>
      <c r="BC862" s="7" t="e">
        <f t="shared" si="176"/>
        <v>#N/A</v>
      </c>
      <c r="BD862" s="7">
        <f t="shared" si="177"/>
        <v>2.409989999999909</v>
      </c>
      <c r="BE862" s="7">
        <f t="shared" si="178"/>
        <v>2.4100099999999092</v>
      </c>
      <c r="BF862" s="7">
        <f t="shared" si="179"/>
        <v>0.98165800225151534</v>
      </c>
      <c r="BG862" s="7">
        <f t="shared" si="180"/>
        <v>0.98165862924404168</v>
      </c>
      <c r="BH862" s="7" t="e">
        <f t="shared" si="181"/>
        <v>#N/A</v>
      </c>
      <c r="BI862" s="7">
        <f t="shared" si="185"/>
        <v>2.1862366757934178E-2</v>
      </c>
      <c r="BJ862" s="7">
        <f t="shared" si="182"/>
        <v>2.0862366757934177E-2</v>
      </c>
      <c r="BK862" s="7" t="e">
        <f t="shared" si="186"/>
        <v>#N/A</v>
      </c>
      <c r="BL862" s="7" t="e">
        <f t="shared" si="183"/>
        <v>#N/A</v>
      </c>
    </row>
    <row r="863" spans="52:64" ht="11.25" customHeight="1">
      <c r="AZ863" s="7">
        <f t="shared" si="174"/>
        <v>0.99223974644944435</v>
      </c>
      <c r="BA863" s="7">
        <f t="shared" si="184"/>
        <v>2.4199999999999089</v>
      </c>
      <c r="BB863" s="7">
        <f t="shared" si="175"/>
        <v>2.134071489992748E-2</v>
      </c>
      <c r="BC863" s="7" t="e">
        <f t="shared" si="176"/>
        <v>#N/A</v>
      </c>
      <c r="BD863" s="7">
        <f t="shared" si="177"/>
        <v>2.4199899999999088</v>
      </c>
      <c r="BE863" s="7">
        <f t="shared" si="178"/>
        <v>2.420009999999909</v>
      </c>
      <c r="BF863" s="7">
        <f t="shared" si="179"/>
        <v>0.98196888876804578</v>
      </c>
      <c r="BG863" s="7">
        <f t="shared" si="180"/>
        <v>0.98196950532799965</v>
      </c>
      <c r="BH863" s="7" t="e">
        <f t="shared" si="181"/>
        <v>#N/A</v>
      </c>
      <c r="BI863" s="7">
        <f t="shared" si="185"/>
        <v>2.134071489992748E-2</v>
      </c>
      <c r="BJ863" s="7">
        <f t="shared" si="182"/>
        <v>2.0340714899927479E-2</v>
      </c>
      <c r="BK863" s="7" t="e">
        <f t="shared" si="186"/>
        <v>#N/A</v>
      </c>
      <c r="BL863" s="7" t="e">
        <f t="shared" si="183"/>
        <v>#N/A</v>
      </c>
    </row>
    <row r="864" spans="52:64" ht="11.25" customHeight="1">
      <c r="AZ864" s="7">
        <f t="shared" si="174"/>
        <v>0.99245058858368884</v>
      </c>
      <c r="BA864" s="7">
        <f t="shared" si="184"/>
        <v>2.4299999999999087</v>
      </c>
      <c r="BB864" s="7">
        <f t="shared" si="175"/>
        <v>2.0829426985096808E-2</v>
      </c>
      <c r="BC864" s="7" t="e">
        <f t="shared" si="176"/>
        <v>#N/A</v>
      </c>
      <c r="BD864" s="7">
        <f t="shared" si="177"/>
        <v>2.4299899999999086</v>
      </c>
      <c r="BE864" s="7">
        <f t="shared" si="178"/>
        <v>2.4300099999999087</v>
      </c>
      <c r="BF864" s="7">
        <f t="shared" si="179"/>
        <v>0.98227459965606401</v>
      </c>
      <c r="BG864" s="7">
        <f t="shared" si="180"/>
        <v>0.98227520594604223</v>
      </c>
      <c r="BH864" s="7" t="e">
        <f t="shared" si="181"/>
        <v>#N/A</v>
      </c>
      <c r="BI864" s="7">
        <f t="shared" si="185"/>
        <v>2.0829426985096808E-2</v>
      </c>
      <c r="BJ864" s="7">
        <f t="shared" si="182"/>
        <v>1.9829426985096807E-2</v>
      </c>
      <c r="BK864" s="7" t="e">
        <f t="shared" si="186"/>
        <v>#N/A</v>
      </c>
      <c r="BL864" s="7" t="e">
        <f t="shared" si="183"/>
        <v>#N/A</v>
      </c>
    </row>
    <row r="865" spans="52:64" ht="11.25" customHeight="1">
      <c r="AZ865" s="7">
        <f t="shared" si="174"/>
        <v>0.99265636904464982</v>
      </c>
      <c r="BA865" s="7">
        <f t="shared" si="184"/>
        <v>2.4399999999999085</v>
      </c>
      <c r="BB865" s="7">
        <f t="shared" si="175"/>
        <v>2.0328355738230375E-2</v>
      </c>
      <c r="BC865" s="7" t="e">
        <f t="shared" si="176"/>
        <v>#N/A</v>
      </c>
      <c r="BD865" s="7">
        <f t="shared" si="177"/>
        <v>2.4399899999999084</v>
      </c>
      <c r="BE865" s="7">
        <f t="shared" si="178"/>
        <v>2.4400099999999085</v>
      </c>
      <c r="BF865" s="7">
        <f t="shared" si="179"/>
        <v>0.98257521567754313</v>
      </c>
      <c r="BG865" s="7">
        <f t="shared" si="180"/>
        <v>0.98257581185799503</v>
      </c>
      <c r="BH865" s="7" t="e">
        <f t="shared" si="181"/>
        <v>#N/A</v>
      </c>
      <c r="BI865" s="7">
        <f t="shared" si="185"/>
        <v>2.0328355738230375E-2</v>
      </c>
      <c r="BJ865" s="7">
        <f t="shared" si="182"/>
        <v>1.9328355738230375E-2</v>
      </c>
      <c r="BK865" s="7" t="e">
        <f t="shared" si="186"/>
        <v>#N/A</v>
      </c>
      <c r="BL865" s="7" t="e">
        <f t="shared" si="183"/>
        <v>#N/A</v>
      </c>
    </row>
    <row r="866" spans="52:64" ht="11.25" customHeight="1">
      <c r="AZ866" s="7">
        <f t="shared" si="174"/>
        <v>0.99285718926472688</v>
      </c>
      <c r="BA866" s="7">
        <f t="shared" si="184"/>
        <v>2.4499999999999083</v>
      </c>
      <c r="BB866" s="7">
        <f t="shared" si="175"/>
        <v>1.9837354391799782E-2</v>
      </c>
      <c r="BC866" s="7" t="e">
        <f t="shared" si="176"/>
        <v>#N/A</v>
      </c>
      <c r="BD866" s="7">
        <f t="shared" si="177"/>
        <v>2.4499899999999082</v>
      </c>
      <c r="BE866" s="7">
        <f t="shared" si="178"/>
        <v>2.4500099999999083</v>
      </c>
      <c r="BF866" s="7">
        <f t="shared" si="179"/>
        <v>0.98287081652471764</v>
      </c>
      <c r="BG866" s="7">
        <f t="shared" si="180"/>
        <v>0.98287140275396145</v>
      </c>
      <c r="BH866" s="7" t="e">
        <f t="shared" si="181"/>
        <v>#N/A</v>
      </c>
      <c r="BI866" s="7">
        <f t="shared" si="185"/>
        <v>1.9837354391799782E-2</v>
      </c>
      <c r="BJ866" s="7">
        <f t="shared" si="182"/>
        <v>1.8837354391799781E-2</v>
      </c>
      <c r="BK866" s="7" t="e">
        <f t="shared" si="186"/>
        <v>#N/A</v>
      </c>
      <c r="BL866" s="7" t="e">
        <f t="shared" si="183"/>
        <v>#N/A</v>
      </c>
    </row>
    <row r="867" spans="52:64" ht="11.25" customHeight="1">
      <c r="AZ867" s="7">
        <f t="shared" si="174"/>
        <v>0.99305314921137389</v>
      </c>
      <c r="BA867" s="7">
        <f t="shared" si="184"/>
        <v>2.459999999999908</v>
      </c>
      <c r="BB867" s="7">
        <f t="shared" si="175"/>
        <v>1.9356276731741336E-2</v>
      </c>
      <c r="BC867" s="7" t="e">
        <f t="shared" si="176"/>
        <v>#N/A</v>
      </c>
      <c r="BD867" s="7">
        <f t="shared" si="177"/>
        <v>2.459989999999908</v>
      </c>
      <c r="BE867" s="7">
        <f t="shared" si="178"/>
        <v>2.4600099999999081</v>
      </c>
      <c r="BF867" s="7">
        <f t="shared" si="179"/>
        <v>0.98316148082826449</v>
      </c>
      <c r="BG867" s="7">
        <f t="shared" si="180"/>
        <v>0.98316205726250328</v>
      </c>
      <c r="BH867" s="7" t="e">
        <f t="shared" si="181"/>
        <v>#N/A</v>
      </c>
      <c r="BI867" s="7">
        <f t="shared" si="185"/>
        <v>1.9356276731741336E-2</v>
      </c>
      <c r="BJ867" s="7">
        <f t="shared" si="182"/>
        <v>1.8356276731741335E-2</v>
      </c>
      <c r="BK867" s="7" t="e">
        <f t="shared" si="186"/>
        <v>#N/A</v>
      </c>
      <c r="BL867" s="7" t="e">
        <f t="shared" si="183"/>
        <v>#N/A</v>
      </c>
    </row>
    <row r="868" spans="52:64" ht="11.25" customHeight="1">
      <c r="AZ868" s="7">
        <f t="shared" si="174"/>
        <v>0.99324434739285772</v>
      </c>
      <c r="BA868" s="7">
        <f t="shared" si="184"/>
        <v>2.4699999999999078</v>
      </c>
      <c r="BB868" s="7">
        <f t="shared" si="175"/>
        <v>1.8884977141860469E-2</v>
      </c>
      <c r="BC868" s="7" t="e">
        <f t="shared" si="176"/>
        <v>#N/A</v>
      </c>
      <c r="BD868" s="7">
        <f t="shared" si="177"/>
        <v>2.4699899999999078</v>
      </c>
      <c r="BE868" s="7">
        <f t="shared" si="178"/>
        <v>2.4700099999999079</v>
      </c>
      <c r="BF868" s="7">
        <f t="shared" si="179"/>
        <v>0.9834472861656165</v>
      </c>
      <c r="BG868" s="7">
        <f t="shared" si="180"/>
        <v>0.98344785295895543</v>
      </c>
      <c r="BH868" s="7" t="e">
        <f t="shared" si="181"/>
        <v>#N/A</v>
      </c>
      <c r="BI868" s="7">
        <f t="shared" si="185"/>
        <v>1.8884977141860469E-2</v>
      </c>
      <c r="BJ868" s="7">
        <f t="shared" si="182"/>
        <v>1.7884977141860468E-2</v>
      </c>
      <c r="BK868" s="7" t="e">
        <f t="shared" si="186"/>
        <v>#N/A</v>
      </c>
      <c r="BL868" s="7" t="e">
        <f t="shared" si="183"/>
        <v>#N/A</v>
      </c>
    </row>
    <row r="869" spans="52:64" ht="11.25" customHeight="1">
      <c r="AZ869" s="7">
        <f t="shared" si="174"/>
        <v>0.99343088086445164</v>
      </c>
      <c r="BA869" s="7">
        <f t="shared" si="184"/>
        <v>2.4799999999999076</v>
      </c>
      <c r="BB869" s="7">
        <f t="shared" si="175"/>
        <v>1.8423310646866267E-2</v>
      </c>
      <c r="BC869" s="7" t="e">
        <f t="shared" si="176"/>
        <v>#N/A</v>
      </c>
      <c r="BD869" s="7">
        <f t="shared" si="177"/>
        <v>2.4799899999999075</v>
      </c>
      <c r="BE869" s="7">
        <f t="shared" si="178"/>
        <v>2.4800099999999077</v>
      </c>
      <c r="BF869" s="7">
        <f t="shared" si="179"/>
        <v>0.98372830906940079</v>
      </c>
      <c r="BG869" s="7">
        <f t="shared" si="180"/>
        <v>0.98372886637386392</v>
      </c>
      <c r="BH869" s="7" t="e">
        <f t="shared" si="181"/>
        <v>#N/A</v>
      </c>
      <c r="BI869" s="7">
        <f t="shared" si="185"/>
        <v>1.8423310646866267E-2</v>
      </c>
      <c r="BJ869" s="7">
        <f t="shared" si="182"/>
        <v>1.7423310646866266E-2</v>
      </c>
      <c r="BK869" s="7" t="e">
        <f t="shared" si="186"/>
        <v>#N/A</v>
      </c>
      <c r="BL869" s="7" t="e">
        <f t="shared" si="183"/>
        <v>#N/A</v>
      </c>
    </row>
    <row r="870" spans="52:64" ht="11.25" customHeight="1">
      <c r="AZ870" s="7">
        <f t="shared" si="174"/>
        <v>0.99361284523505489</v>
      </c>
      <c r="BA870" s="7">
        <f t="shared" si="184"/>
        <v>2.4899999999999074</v>
      </c>
      <c r="BB870" s="7">
        <f t="shared" si="175"/>
        <v>1.7971132954043779E-2</v>
      </c>
      <c r="BC870" s="7" t="e">
        <f t="shared" si="176"/>
        <v>#N/A</v>
      </c>
      <c r="BD870" s="7">
        <f t="shared" si="177"/>
        <v>2.4899899999999073</v>
      </c>
      <c r="BE870" s="7">
        <f t="shared" si="178"/>
        <v>2.4900099999999075</v>
      </c>
      <c r="BF870" s="7">
        <f t="shared" si="179"/>
        <v>0.98400462503599517</v>
      </c>
      <c r="BG870" s="7">
        <f t="shared" si="180"/>
        <v>0.98400517300154278</v>
      </c>
      <c r="BH870" s="7" t="e">
        <f t="shared" si="181"/>
        <v>#N/A</v>
      </c>
      <c r="BI870" s="7">
        <f t="shared" si="185"/>
        <v>1.7971132954043779E-2</v>
      </c>
      <c r="BJ870" s="7">
        <f t="shared" si="182"/>
        <v>1.6971132954043778E-2</v>
      </c>
      <c r="BK870" s="7" t="e">
        <f t="shared" si="186"/>
        <v>#N/A</v>
      </c>
      <c r="BL870" s="7" t="e">
        <f t="shared" si="183"/>
        <v>#N/A</v>
      </c>
    </row>
    <row r="871" spans="52:64" ht="11.25" customHeight="1">
      <c r="AZ871" s="7">
        <f t="shared" si="174"/>
        <v>0.99379033467422229</v>
      </c>
      <c r="BA871" s="7">
        <f t="shared" si="184"/>
        <v>2.4999999999999072</v>
      </c>
      <c r="BB871" s="7">
        <f t="shared" si="175"/>
        <v>1.75283004935726E-2</v>
      </c>
      <c r="BC871" s="7" t="e">
        <f t="shared" si="176"/>
        <v>#N/A</v>
      </c>
      <c r="BD871" s="7">
        <f t="shared" si="177"/>
        <v>2.4999899999999071</v>
      </c>
      <c r="BE871" s="7">
        <f t="shared" si="178"/>
        <v>2.5000099999999073</v>
      </c>
      <c r="BF871" s="7">
        <f t="shared" si="179"/>
        <v>0.9842763085341929</v>
      </c>
      <c r="BG871" s="7">
        <f t="shared" si="180"/>
        <v>0.98427684730873866</v>
      </c>
      <c r="BH871" s="7" t="e">
        <f t="shared" si="181"/>
        <v>#N/A</v>
      </c>
      <c r="BI871" s="7">
        <f t="shared" si="185"/>
        <v>1.75283004935726E-2</v>
      </c>
      <c r="BJ871" s="7">
        <f t="shared" si="182"/>
        <v>1.6528300493572599E-2</v>
      </c>
      <c r="BK871" s="7" t="e">
        <f t="shared" si="186"/>
        <v>#N/A</v>
      </c>
      <c r="BL871" s="7" t="e">
        <f t="shared" si="183"/>
        <v>#N/A</v>
      </c>
    </row>
    <row r="872" spans="52:64" ht="11.25" customHeight="1">
      <c r="AZ872" s="7">
        <f t="shared" si="174"/>
        <v>0.99396344191958552</v>
      </c>
      <c r="BA872" s="7">
        <f t="shared" si="184"/>
        <v>2.509999999999907</v>
      </c>
      <c r="BB872" s="7">
        <f t="shared" si="175"/>
        <v>1.7094670457500929E-2</v>
      </c>
      <c r="BC872" s="7" t="e">
        <f t="shared" si="176"/>
        <v>#N/A</v>
      </c>
      <c r="BD872" s="7">
        <f t="shared" si="177"/>
        <v>2.5099899999999069</v>
      </c>
      <c r="BE872" s="7">
        <f t="shared" si="178"/>
        <v>2.510009999999907</v>
      </c>
      <c r="BF872" s="7">
        <f t="shared" si="179"/>
        <v>0.98454343301396963</v>
      </c>
      <c r="BG872" s="7">
        <f t="shared" si="180"/>
        <v>0.98454396274339873</v>
      </c>
      <c r="BH872" s="7" t="e">
        <f t="shared" si="181"/>
        <v>#N/A</v>
      </c>
      <c r="BI872" s="7">
        <f t="shared" si="185"/>
        <v>1.7094670457500929E-2</v>
      </c>
      <c r="BJ872" s="7">
        <f t="shared" si="182"/>
        <v>1.6094670457500928E-2</v>
      </c>
      <c r="BK872" s="7" t="e">
        <f t="shared" si="186"/>
        <v>#N/A</v>
      </c>
      <c r="BL872" s="7" t="e">
        <f t="shared" si="183"/>
        <v>#N/A</v>
      </c>
    </row>
    <row r="873" spans="52:64" ht="11.25" customHeight="1">
      <c r="AZ873" s="7">
        <f t="shared" si="174"/>
        <v>0.99413225828466578</v>
      </c>
      <c r="BA873" s="7">
        <f t="shared" si="184"/>
        <v>2.5199999999999068</v>
      </c>
      <c r="BB873" s="7">
        <f t="shared" si="175"/>
        <v>1.6670100837384981E-2</v>
      </c>
      <c r="BC873" s="7" t="e">
        <f t="shared" si="176"/>
        <v>#N/A</v>
      </c>
      <c r="BD873" s="7">
        <f t="shared" si="177"/>
        <v>2.5199899999999067</v>
      </c>
      <c r="BE873" s="7">
        <f t="shared" si="178"/>
        <v>2.5200099999999068</v>
      </c>
      <c r="BF873" s="7">
        <f t="shared" si="179"/>
        <v>0.98480607091534611</v>
      </c>
      <c r="BG873" s="7">
        <f t="shared" si="180"/>
        <v>0.98480659174353236</v>
      </c>
      <c r="BH873" s="7" t="e">
        <f t="shared" si="181"/>
        <v>#N/A</v>
      </c>
      <c r="BI873" s="7">
        <f t="shared" si="185"/>
        <v>1.6670100837384981E-2</v>
      </c>
      <c r="BJ873" s="7">
        <f t="shared" si="182"/>
        <v>1.567010083738498E-2</v>
      </c>
      <c r="BK873" s="7" t="e">
        <f t="shared" si="186"/>
        <v>#N/A</v>
      </c>
      <c r="BL873" s="7" t="e">
        <f t="shared" si="183"/>
        <v>#N/A</v>
      </c>
    </row>
    <row r="874" spans="52:64" ht="11.25" customHeight="1">
      <c r="AZ874" s="7">
        <f t="shared" si="174"/>
        <v>0.99429687366704778</v>
      </c>
      <c r="BA874" s="7">
        <f t="shared" si="184"/>
        <v>2.5299999999999065</v>
      </c>
      <c r="BB874" s="7">
        <f t="shared" si="175"/>
        <v>1.6254450460604336E-2</v>
      </c>
      <c r="BC874" s="7" t="e">
        <f t="shared" si="176"/>
        <v>#N/A</v>
      </c>
      <c r="BD874" s="7">
        <f t="shared" si="177"/>
        <v>2.5299899999999065</v>
      </c>
      <c r="BE874" s="7">
        <f t="shared" si="178"/>
        <v>2.5300099999999066</v>
      </c>
      <c r="BF874" s="7">
        <f t="shared" si="179"/>
        <v>0.98506429367733683</v>
      </c>
      <c r="BG874" s="7">
        <f t="shared" si="180"/>
        <v>0.9850648057461614</v>
      </c>
      <c r="BH874" s="7" t="e">
        <f t="shared" si="181"/>
        <v>#N/A</v>
      </c>
      <c r="BI874" s="7">
        <f t="shared" si="185"/>
        <v>1.6254450460604336E-2</v>
      </c>
      <c r="BJ874" s="7">
        <f t="shared" si="182"/>
        <v>1.5254450460604335E-2</v>
      </c>
      <c r="BK874" s="7" t="e">
        <f t="shared" si="186"/>
        <v>#N/A</v>
      </c>
      <c r="BL874" s="7" t="e">
        <f t="shared" si="183"/>
        <v>#N/A</v>
      </c>
    </row>
    <row r="875" spans="52:64" ht="11.25" customHeight="1">
      <c r="AZ875" s="7">
        <f t="shared" si="174"/>
        <v>0.99445737655691602</v>
      </c>
      <c r="BA875" s="7">
        <f t="shared" si="184"/>
        <v>2.5399999999999063</v>
      </c>
      <c r="BB875" s="7">
        <f t="shared" si="175"/>
        <v>1.5847579025364586E-2</v>
      </c>
      <c r="BC875" s="7" t="e">
        <f t="shared" si="176"/>
        <v>#N/A</v>
      </c>
      <c r="BD875" s="7">
        <f t="shared" si="177"/>
        <v>2.5399899999999063</v>
      </c>
      <c r="BE875" s="7">
        <f t="shared" si="178"/>
        <v>2.5400099999999064</v>
      </c>
      <c r="BF875" s="7">
        <f t="shared" si="179"/>
        <v>0.98531817174698155</v>
      </c>
      <c r="BG875" s="7">
        <f t="shared" si="180"/>
        <v>0.98531867519635064</v>
      </c>
      <c r="BH875" s="7" t="e">
        <f t="shared" si="181"/>
        <v>#N/A</v>
      </c>
      <c r="BI875" s="7">
        <f t="shared" si="185"/>
        <v>1.5847579025364586E-2</v>
      </c>
      <c r="BJ875" s="7">
        <f t="shared" si="182"/>
        <v>1.4847579025364585E-2</v>
      </c>
      <c r="BK875" s="7" t="e">
        <f t="shared" si="186"/>
        <v>#N/A</v>
      </c>
      <c r="BL875" s="7" t="e">
        <f t="shared" si="183"/>
        <v>#N/A</v>
      </c>
    </row>
    <row r="876" spans="52:64" ht="11.25" customHeight="1">
      <c r="AZ876" s="7">
        <f t="shared" si="174"/>
        <v>0.99461385404593194</v>
      </c>
      <c r="BA876" s="7">
        <f t="shared" si="184"/>
        <v>2.5499999999999061</v>
      </c>
      <c r="BB876" s="7">
        <f t="shared" si="175"/>
        <v>1.5449347134398869E-2</v>
      </c>
      <c r="BC876" s="7" t="e">
        <f t="shared" si="176"/>
        <v>#N/A</v>
      </c>
      <c r="BD876" s="7">
        <f t="shared" si="177"/>
        <v>2.5499899999999061</v>
      </c>
      <c r="BE876" s="7">
        <f t="shared" si="178"/>
        <v>2.5500099999999062</v>
      </c>
      <c r="BF876" s="7">
        <f t="shared" si="179"/>
        <v>0.98556777458844935</v>
      </c>
      <c r="BG876" s="7">
        <f t="shared" si="180"/>
        <v>0.9855682695563126</v>
      </c>
      <c r="BH876" s="7" t="e">
        <f t="shared" si="181"/>
        <v>#N/A</v>
      </c>
      <c r="BI876" s="7">
        <f t="shared" si="185"/>
        <v>1.5449347134398869E-2</v>
      </c>
      <c r="BJ876" s="7">
        <f t="shared" si="182"/>
        <v>1.4449347134398868E-2</v>
      </c>
      <c r="BK876" s="7" t="e">
        <f t="shared" si="186"/>
        <v>#N/A</v>
      </c>
      <c r="BL876" s="7" t="e">
        <f t="shared" si="183"/>
        <v>#N/A</v>
      </c>
    </row>
    <row r="877" spans="52:64" ht="11.25" customHeight="1">
      <c r="AZ877" s="7">
        <f t="shared" si="174"/>
        <v>0.99476639183644278</v>
      </c>
      <c r="BA877" s="7">
        <f t="shared" si="184"/>
        <v>2.5599999999999059</v>
      </c>
      <c r="BB877" s="7">
        <f t="shared" si="175"/>
        <v>1.5059616327381078E-2</v>
      </c>
      <c r="BC877" s="7" t="e">
        <f t="shared" si="176"/>
        <v>#N/A</v>
      </c>
      <c r="BD877" s="7">
        <f t="shared" si="177"/>
        <v>2.5599899999999058</v>
      </c>
      <c r="BE877" s="7">
        <f t="shared" si="178"/>
        <v>2.560009999999906</v>
      </c>
      <c r="BF877" s="7">
        <f t="shared" si="179"/>
        <v>0.98581317069221164</v>
      </c>
      <c r="BG877" s="7">
        <f t="shared" si="180"/>
        <v>0.98581365731458048</v>
      </c>
      <c r="BH877" s="7" t="e">
        <f t="shared" si="181"/>
        <v>#N/A</v>
      </c>
      <c r="BI877" s="7">
        <f t="shared" si="185"/>
        <v>1.5059616327381078E-2</v>
      </c>
      <c r="BJ877" s="7">
        <f t="shared" si="182"/>
        <v>1.4059616327381078E-2</v>
      </c>
      <c r="BK877" s="7" t="e">
        <f t="shared" si="186"/>
        <v>#N/A</v>
      </c>
      <c r="BL877" s="7" t="e">
        <f t="shared" si="183"/>
        <v>#N/A</v>
      </c>
    </row>
    <row r="878" spans="52:64" ht="11.25" customHeight="1">
      <c r="AZ878" s="7">
        <f t="shared" si="174"/>
        <v>0.99491507425100767</v>
      </c>
      <c r="BA878" s="7">
        <f t="shared" si="184"/>
        <v>2.5699999999999057</v>
      </c>
      <c r="BB878" s="7">
        <f t="shared" si="175"/>
        <v>1.4678249112063594E-2</v>
      </c>
      <c r="BC878" s="7" t="e">
        <f t="shared" si="176"/>
        <v>#N/A</v>
      </c>
      <c r="BD878" s="7">
        <f t="shared" si="177"/>
        <v>2.5699899999999056</v>
      </c>
      <c r="BE878" s="7">
        <f t="shared" si="178"/>
        <v>2.5700099999999058</v>
      </c>
      <c r="BF878" s="7">
        <f t="shared" si="179"/>
        <v>0.98605442758427575</v>
      </c>
      <c r="BG878" s="7">
        <f t="shared" si="180"/>
        <v>0.98605490599524193</v>
      </c>
      <c r="BH878" s="7" t="e">
        <f t="shared" si="181"/>
        <v>#N/A</v>
      </c>
      <c r="BI878" s="7">
        <f t="shared" si="185"/>
        <v>1.4678249112063594E-2</v>
      </c>
      <c r="BJ878" s="7">
        <f t="shared" si="182"/>
        <v>1.3678249112063594E-2</v>
      </c>
      <c r="BK878" s="7" t="e">
        <f t="shared" si="186"/>
        <v>#N/A</v>
      </c>
      <c r="BL878" s="7" t="e">
        <f t="shared" si="183"/>
        <v>#N/A</v>
      </c>
    </row>
    <row r="879" spans="52:64" ht="11.25" customHeight="1">
      <c r="AZ879" s="7">
        <f t="shared" si="174"/>
        <v>0.99505998424222775</v>
      </c>
      <c r="BA879" s="7">
        <f t="shared" si="184"/>
        <v>2.5799999999999055</v>
      </c>
      <c r="BB879" s="7">
        <f t="shared" si="175"/>
        <v>1.4305108994153182E-2</v>
      </c>
      <c r="BC879" s="7" t="e">
        <f t="shared" si="176"/>
        <v>#N/A</v>
      </c>
      <c r="BD879" s="7">
        <f t="shared" si="177"/>
        <v>2.5799899999999054</v>
      </c>
      <c r="BE879" s="7">
        <f t="shared" si="178"/>
        <v>2.5800099999999055</v>
      </c>
      <c r="BF879" s="7">
        <f t="shared" si="179"/>
        <v>0.98629161183547409</v>
      </c>
      <c r="BG879" s="7">
        <f t="shared" si="180"/>
        <v>0.98629208216722863</v>
      </c>
      <c r="BH879" s="7" t="e">
        <f t="shared" si="181"/>
        <v>#N/A</v>
      </c>
      <c r="BI879" s="7">
        <f t="shared" si="185"/>
        <v>1.4305108994153182E-2</v>
      </c>
      <c r="BJ879" s="7">
        <f t="shared" si="182"/>
        <v>1.3305108994153183E-2</v>
      </c>
      <c r="BK879" s="7" t="e">
        <f t="shared" si="186"/>
        <v>#N/A</v>
      </c>
      <c r="BL879" s="7" t="e">
        <f t="shared" si="183"/>
        <v>#N/A</v>
      </c>
    </row>
    <row r="880" spans="52:64" ht="11.25" customHeight="1">
      <c r="AZ880" s="7">
        <f t="shared" si="174"/>
        <v>0.99520120340287233</v>
      </c>
      <c r="BA880" s="7">
        <f t="shared" si="184"/>
        <v>2.5899999999999053</v>
      </c>
      <c r="BB880" s="7">
        <f t="shared" si="175"/>
        <v>1.3940060505939234E-2</v>
      </c>
      <c r="BC880" s="7" t="e">
        <f t="shared" si="176"/>
        <v>#N/A</v>
      </c>
      <c r="BD880" s="7">
        <f t="shared" si="177"/>
        <v>2.5899899999999052</v>
      </c>
      <c r="BE880" s="7">
        <f t="shared" si="178"/>
        <v>2.5900099999999053</v>
      </c>
      <c r="BF880" s="7">
        <f t="shared" si="179"/>
        <v>0.98652478907080388</v>
      </c>
      <c r="BG880" s="7">
        <f t="shared" si="180"/>
        <v>0.98652525145365511</v>
      </c>
      <c r="BH880" s="7" t="e">
        <f t="shared" si="181"/>
        <v>#N/A</v>
      </c>
      <c r="BI880" s="7">
        <f t="shared" si="185"/>
        <v>1.3940060505939234E-2</v>
      </c>
      <c r="BJ880" s="7">
        <f t="shared" si="182"/>
        <v>1.2940060505939235E-2</v>
      </c>
      <c r="BK880" s="7" t="e">
        <f t="shared" si="186"/>
        <v>#N/A</v>
      </c>
      <c r="BL880" s="7" t="e">
        <f t="shared" si="183"/>
        <v>#N/A</v>
      </c>
    </row>
    <row r="881" spans="52:64" ht="11.25" customHeight="1">
      <c r="AZ881" s="7">
        <f t="shared" si="174"/>
        <v>0.99533881197627982</v>
      </c>
      <c r="BA881" s="7">
        <f t="shared" si="184"/>
        <v>2.5999999999999051</v>
      </c>
      <c r="BB881" s="7">
        <f t="shared" si="175"/>
        <v>1.3582969233688973E-2</v>
      </c>
      <c r="BC881" s="7" t="e">
        <f t="shared" si="176"/>
        <v>#N/A</v>
      </c>
      <c r="BD881" s="7">
        <f t="shared" si="177"/>
        <v>2.599989999999905</v>
      </c>
      <c r="BE881" s="7">
        <f t="shared" si="178"/>
        <v>2.6000099999999051</v>
      </c>
      <c r="BF881" s="7">
        <f t="shared" si="179"/>
        <v>0.98675402397880851</v>
      </c>
      <c r="BG881" s="7">
        <f t="shared" si="180"/>
        <v>0.98675447854120157</v>
      </c>
      <c r="BH881" s="7" t="e">
        <f t="shared" si="181"/>
        <v>#N/A</v>
      </c>
      <c r="BI881" s="7">
        <f t="shared" si="185"/>
        <v>1.3582969233688973E-2</v>
      </c>
      <c r="BJ881" s="7">
        <f t="shared" si="182"/>
        <v>1.2582969233688974E-2</v>
      </c>
      <c r="BK881" s="7" t="e">
        <f t="shared" si="186"/>
        <v>#N/A</v>
      </c>
      <c r="BL881" s="7" t="e">
        <f t="shared" si="183"/>
        <v>#N/A</v>
      </c>
    </row>
    <row r="882" spans="52:64" ht="11.25" customHeight="1">
      <c r="AZ882" s="7">
        <f t="shared" si="174"/>
        <v>0.99547288886703167</v>
      </c>
      <c r="BA882" s="7">
        <f t="shared" si="184"/>
        <v>2.6099999999999048</v>
      </c>
      <c r="BB882" s="7">
        <f t="shared" si="175"/>
        <v>1.323370184382465E-2</v>
      </c>
      <c r="BC882" s="7" t="e">
        <f t="shared" si="176"/>
        <v>#N/A</v>
      </c>
      <c r="BD882" s="7">
        <f t="shared" si="177"/>
        <v>2.6099899999999048</v>
      </c>
      <c r="BE882" s="7">
        <f t="shared" si="178"/>
        <v>2.6100099999999049</v>
      </c>
      <c r="BF882" s="7">
        <f t="shared" si="179"/>
        <v>0.98697938032099886</v>
      </c>
      <c r="BG882" s="7">
        <f t="shared" si="180"/>
        <v>0.98697982718953414</v>
      </c>
      <c r="BH882" s="7" t="e">
        <f t="shared" si="181"/>
        <v>#N/A</v>
      </c>
      <c r="BI882" s="7">
        <f t="shared" si="185"/>
        <v>1.323370184382465E-2</v>
      </c>
      <c r="BJ882" s="7">
        <f t="shared" si="182"/>
        <v>1.2233701843824649E-2</v>
      </c>
      <c r="BK882" s="7" t="e">
        <f t="shared" si="186"/>
        <v>#N/A</v>
      </c>
      <c r="BL882" s="7" t="e">
        <f t="shared" si="183"/>
        <v>#N/A</v>
      </c>
    </row>
    <row r="883" spans="52:64" ht="11.25" customHeight="1">
      <c r="AZ883" s="7">
        <f t="shared" si="174"/>
        <v>0.99560351165187766</v>
      </c>
      <c r="BA883" s="7">
        <f t="shared" si="184"/>
        <v>2.6199999999999046</v>
      </c>
      <c r="BB883" s="7">
        <f t="shared" si="175"/>
        <v>1.2892126107898527E-2</v>
      </c>
      <c r="BC883" s="7" t="e">
        <f t="shared" si="176"/>
        <v>#N/A</v>
      </c>
      <c r="BD883" s="7">
        <f t="shared" si="177"/>
        <v>2.6199899999999046</v>
      </c>
      <c r="BE883" s="7">
        <f t="shared" si="178"/>
        <v>2.6200099999999047</v>
      </c>
      <c r="BF883" s="7">
        <f t="shared" si="179"/>
        <v>0.9872009209413064</v>
      </c>
      <c r="BG883" s="7">
        <f t="shared" si="180"/>
        <v>0.98720136024075877</v>
      </c>
      <c r="BH883" s="7" t="e">
        <f t="shared" si="181"/>
        <v>#N/A</v>
      </c>
      <c r="BI883" s="7">
        <f t="shared" si="185"/>
        <v>1.2892126107898527E-2</v>
      </c>
      <c r="BJ883" s="7">
        <f t="shared" si="182"/>
        <v>1.1892126107898526E-2</v>
      </c>
      <c r="BK883" s="7" t="e">
        <f t="shared" si="186"/>
        <v>#N/A</v>
      </c>
      <c r="BL883" s="7" t="e">
        <f t="shared" si="183"/>
        <v>#N/A</v>
      </c>
    </row>
    <row r="884" spans="52:64" ht="11.25" customHeight="1">
      <c r="AZ884" s="7">
        <f t="shared" si="174"/>
        <v>0.99573075659090937</v>
      </c>
      <c r="BA884" s="7">
        <f t="shared" si="184"/>
        <v>2.6299999999999044</v>
      </c>
      <c r="BB884" s="7">
        <f t="shared" si="175"/>
        <v>1.255811092638136E-2</v>
      </c>
      <c r="BC884" s="7" t="e">
        <f t="shared" si="176"/>
        <v>#N/A</v>
      </c>
      <c r="BD884" s="7">
        <f t="shared" si="177"/>
        <v>2.6299899999999043</v>
      </c>
      <c r="BE884" s="7">
        <f t="shared" si="178"/>
        <v>2.6300099999999045</v>
      </c>
      <c r="BF884" s="7">
        <f t="shared" si="179"/>
        <v>0.98741870777556451</v>
      </c>
      <c r="BG884" s="7">
        <f t="shared" si="180"/>
        <v>0.98741913962890204</v>
      </c>
      <c r="BH884" s="7" t="e">
        <f t="shared" si="181"/>
        <v>#N/A</v>
      </c>
      <c r="BI884" s="7">
        <f t="shared" si="185"/>
        <v>1.255811092638136E-2</v>
      </c>
      <c r="BJ884" s="7">
        <f t="shared" si="182"/>
        <v>1.155811092638136E-2</v>
      </c>
      <c r="BK884" s="7" t="e">
        <f t="shared" si="186"/>
        <v>#N/A</v>
      </c>
      <c r="BL884" s="7" t="e">
        <f t="shared" si="183"/>
        <v>#N/A</v>
      </c>
    </row>
    <row r="885" spans="52:64" ht="11.25" customHeight="1">
      <c r="AZ885" s="7">
        <f t="shared" si="174"/>
        <v>0.99585469863896292</v>
      </c>
      <c r="BA885" s="7">
        <f t="shared" si="184"/>
        <v>2.6399999999999042</v>
      </c>
      <c r="BB885" s="7">
        <f t="shared" si="175"/>
        <v>1.2231526351281066E-2</v>
      </c>
      <c r="BC885" s="7" t="e">
        <f t="shared" si="176"/>
        <v>#N/A</v>
      </c>
      <c r="BD885" s="7">
        <f t="shared" si="177"/>
        <v>2.6399899999999041</v>
      </c>
      <c r="BE885" s="7">
        <f t="shared" si="178"/>
        <v>2.6400099999999043</v>
      </c>
      <c r="BF885" s="7">
        <f t="shared" si="179"/>
        <v>0.98763280186101166</v>
      </c>
      <c r="BG885" s="7">
        <f t="shared" si="180"/>
        <v>0.98763322638941475</v>
      </c>
      <c r="BH885" s="7" t="e">
        <f t="shared" si="181"/>
        <v>#N/A</v>
      </c>
      <c r="BI885" s="7">
        <f t="shared" si="185"/>
        <v>1.2231526351281066E-2</v>
      </c>
      <c r="BJ885" s="7">
        <f t="shared" si="182"/>
        <v>1.1231526351281065E-2</v>
      </c>
      <c r="BK885" s="7" t="e">
        <f t="shared" si="186"/>
        <v>#N/A</v>
      </c>
      <c r="BL885" s="7" t="e">
        <f t="shared" si="183"/>
        <v>#N/A</v>
      </c>
    </row>
    <row r="886" spans="52:64" ht="11.25" customHeight="1">
      <c r="AZ886" s="7">
        <f t="shared" si="174"/>
        <v>0.99597541145724033</v>
      </c>
      <c r="BA886" s="7">
        <f t="shared" si="184"/>
        <v>2.649999999999904</v>
      </c>
      <c r="BB886" s="7">
        <f t="shared" si="175"/>
        <v>1.1912243607608208E-2</v>
      </c>
      <c r="BC886" s="7" t="e">
        <f t="shared" si="176"/>
        <v>#N/A</v>
      </c>
      <c r="BD886" s="7">
        <f t="shared" si="177"/>
        <v>2.6499899999999039</v>
      </c>
      <c r="BE886" s="7">
        <f t="shared" si="178"/>
        <v>2.6500099999999041</v>
      </c>
      <c r="BF886" s="7">
        <f t="shared" si="179"/>
        <v>0.98784326334581229</v>
      </c>
      <c r="BG886" s="7">
        <f t="shared" si="180"/>
        <v>0.98784368066869277</v>
      </c>
      <c r="BH886" s="7" t="e">
        <f t="shared" si="181"/>
        <v>#N/A</v>
      </c>
      <c r="BI886" s="7">
        <f t="shared" si="185"/>
        <v>1.1912243607608208E-2</v>
      </c>
      <c r="BJ886" s="7">
        <f t="shared" si="182"/>
        <v>1.0912243607608209E-2</v>
      </c>
      <c r="BK886" s="7" t="e">
        <f t="shared" si="186"/>
        <v>#N/A</v>
      </c>
      <c r="BL886" s="7" t="e">
        <f t="shared" si="183"/>
        <v>#N/A</v>
      </c>
    </row>
    <row r="887" spans="52:64" ht="11.25" customHeight="1">
      <c r="AZ887" s="7">
        <f t="shared" si="174"/>
        <v>0.99609296742514619</v>
      </c>
      <c r="BA887" s="7">
        <f t="shared" si="184"/>
        <v>2.6599999999999038</v>
      </c>
      <c r="BB887" s="7">
        <f t="shared" si="175"/>
        <v>1.1600135113705532E-2</v>
      </c>
      <c r="BC887" s="7" t="e">
        <f t="shared" si="176"/>
        <v>#N/A</v>
      </c>
      <c r="BD887" s="7">
        <f t="shared" si="177"/>
        <v>2.6599899999999037</v>
      </c>
      <c r="BE887" s="7">
        <f t="shared" si="178"/>
        <v>2.6600099999999038</v>
      </c>
      <c r="BF887" s="7">
        <f t="shared" si="179"/>
        <v>0.9880501514985911</v>
      </c>
      <c r="BG887" s="7">
        <f t="shared" si="180"/>
        <v>0.9880505617336115</v>
      </c>
      <c r="BH887" s="7" t="e">
        <f t="shared" si="181"/>
        <v>#N/A</v>
      </c>
      <c r="BI887" s="7">
        <f t="shared" si="185"/>
        <v>1.1600135113705532E-2</v>
      </c>
      <c r="BJ887" s="7">
        <f t="shared" si="182"/>
        <v>1.0600135113705531E-2</v>
      </c>
      <c r="BK887" s="7" t="e">
        <f t="shared" si="186"/>
        <v>#N/A</v>
      </c>
      <c r="BL887" s="7" t="e">
        <f t="shared" si="183"/>
        <v>#N/A</v>
      </c>
    </row>
    <row r="888" spans="52:64" ht="11.25" customHeight="1">
      <c r="AZ888" s="7">
        <f t="shared" si="174"/>
        <v>0.99620743765231334</v>
      </c>
      <c r="BA888" s="7">
        <f t="shared" si="184"/>
        <v>2.6699999999999036</v>
      </c>
      <c r="BB888" s="7">
        <f t="shared" si="175"/>
        <v>1.1295074500459043E-2</v>
      </c>
      <c r="BC888" s="7" t="e">
        <f t="shared" si="176"/>
        <v>#N/A</v>
      </c>
      <c r="BD888" s="7">
        <f t="shared" si="177"/>
        <v>2.6699899999999035</v>
      </c>
      <c r="BE888" s="7">
        <f t="shared" si="178"/>
        <v>2.6700099999999036</v>
      </c>
      <c r="BF888" s="7">
        <f t="shared" si="179"/>
        <v>0.98825352471797534</v>
      </c>
      <c r="BG888" s="7">
        <f t="shared" si="180"/>
        <v>0.98825392798106737</v>
      </c>
      <c r="BH888" s="7" t="e">
        <f t="shared" si="181"/>
        <v>#N/A</v>
      </c>
      <c r="BI888" s="7">
        <f t="shared" si="185"/>
        <v>1.1295074500459043E-2</v>
      </c>
      <c r="BJ888" s="7">
        <f t="shared" si="182"/>
        <v>1.0295074500459044E-2</v>
      </c>
      <c r="BK888" s="7" t="e">
        <f t="shared" si="186"/>
        <v>#N/A</v>
      </c>
      <c r="BL888" s="7" t="e">
        <f t="shared" si="183"/>
        <v>#N/A</v>
      </c>
    </row>
    <row r="889" spans="52:64" ht="11.25" customHeight="1">
      <c r="AZ889" s="7">
        <f t="shared" si="174"/>
        <v>0.99631889199082391</v>
      </c>
      <c r="BA889" s="7">
        <f t="shared" si="184"/>
        <v>2.6799999999999033</v>
      </c>
      <c r="BB889" s="7">
        <f t="shared" si="175"/>
        <v>1.0996936629408427E-2</v>
      </c>
      <c r="BC889" s="7" t="e">
        <f t="shared" si="176"/>
        <v>#N/A</v>
      </c>
      <c r="BD889" s="7">
        <f t="shared" si="177"/>
        <v>2.6799899999999033</v>
      </c>
      <c r="BE889" s="7">
        <f t="shared" si="178"/>
        <v>2.6800099999999034</v>
      </c>
      <c r="BF889" s="7">
        <f t="shared" si="179"/>
        <v>0.98845344054214046</v>
      </c>
      <c r="BG889" s="7">
        <f t="shared" si="180"/>
        <v>0.98845383694752476</v>
      </c>
      <c r="BH889" s="7" t="e">
        <f t="shared" si="181"/>
        <v>#N/A</v>
      </c>
      <c r="BI889" s="7">
        <f t="shared" si="185"/>
        <v>1.0996936629408427E-2</v>
      </c>
      <c r="BJ889" s="7">
        <f t="shared" si="182"/>
        <v>9.9969366294084261E-3</v>
      </c>
      <c r="BK889" s="7" t="e">
        <f t="shared" si="186"/>
        <v>#N/A</v>
      </c>
      <c r="BL889" s="7" t="e">
        <f t="shared" si="183"/>
        <v>#N/A</v>
      </c>
    </row>
    <row r="890" spans="52:64" ht="11.25" customHeight="1">
      <c r="AZ890" s="7">
        <f t="shared" si="174"/>
        <v>0.99642739904759936</v>
      </c>
      <c r="BA890" s="7">
        <f t="shared" si="184"/>
        <v>2.6899999999999031</v>
      </c>
      <c r="BB890" s="7">
        <f t="shared" si="175"/>
        <v>1.0705597609774973E-2</v>
      </c>
      <c r="BC890" s="7" t="e">
        <f t="shared" si="176"/>
        <v>#N/A</v>
      </c>
      <c r="BD890" s="7">
        <f t="shared" si="177"/>
        <v>2.6899899999999031</v>
      </c>
      <c r="BE890" s="7">
        <f t="shared" si="178"/>
        <v>2.6900099999999032</v>
      </c>
      <c r="BF890" s="7">
        <f t="shared" si="179"/>
        <v>0.98864995565835656</v>
      </c>
      <c r="BG890" s="7">
        <f t="shared" si="180"/>
        <v>0.98865034531856133</v>
      </c>
      <c r="BH890" s="7" t="e">
        <f t="shared" si="181"/>
        <v>#N/A</v>
      </c>
      <c r="BI890" s="7">
        <f t="shared" si="185"/>
        <v>1.0705597609774973E-2</v>
      </c>
      <c r="BJ890" s="7">
        <f t="shared" si="182"/>
        <v>9.7055976097749734E-3</v>
      </c>
      <c r="BK890" s="7" t="e">
        <f t="shared" si="186"/>
        <v>#N/A</v>
      </c>
      <c r="BL890" s="7" t="e">
        <f t="shared" si="183"/>
        <v>#N/A</v>
      </c>
    </row>
    <row r="891" spans="52:64" ht="11.25" customHeight="1">
      <c r="AZ891" s="7">
        <f t="shared" si="174"/>
        <v>0.99653302619695838</v>
      </c>
      <c r="BA891" s="7">
        <f t="shared" si="184"/>
        <v>2.6999999999999029</v>
      </c>
      <c r="BB891" s="7">
        <f t="shared" si="175"/>
        <v>1.0420934814425324E-2</v>
      </c>
      <c r="BC891" s="7" t="e">
        <f t="shared" si="176"/>
        <v>#N/A</v>
      </c>
      <c r="BD891" s="7">
        <f t="shared" si="177"/>
        <v>2.6999899999999029</v>
      </c>
      <c r="BE891" s="7">
        <f t="shared" si="178"/>
        <v>2.700009999999903</v>
      </c>
      <c r="BF891" s="7">
        <f t="shared" si="179"/>
        <v>0.9888431259125291</v>
      </c>
      <c r="BG891" s="7">
        <f t="shared" si="180"/>
        <v>0.98884350893840967</v>
      </c>
      <c r="BH891" s="7" t="e">
        <f t="shared" si="181"/>
        <v>#N/A</v>
      </c>
      <c r="BI891" s="7">
        <f t="shared" si="185"/>
        <v>1.0420934814425324E-2</v>
      </c>
      <c r="BJ891" s="7">
        <f t="shared" si="182"/>
        <v>9.4209348144253247E-3</v>
      </c>
      <c r="BK891" s="7" t="e">
        <f t="shared" si="186"/>
        <v>#N/A</v>
      </c>
      <c r="BL891" s="7" t="e">
        <f t="shared" si="183"/>
        <v>#N/A</v>
      </c>
    </row>
    <row r="892" spans="52:64" ht="11.25" customHeight="1">
      <c r="AZ892" s="7">
        <f t="shared" si="174"/>
        <v>0.99663583959332991</v>
      </c>
      <c r="BA892" s="7">
        <f t="shared" si="184"/>
        <v>2.7099999999999027</v>
      </c>
      <c r="BB892" s="7">
        <f t="shared" si="175"/>
        <v>1.0142826894789752E-2</v>
      </c>
      <c r="BC892" s="7" t="e">
        <f t="shared" si="176"/>
        <v>#N/A</v>
      </c>
      <c r="BD892" s="7">
        <f t="shared" si="177"/>
        <v>2.7099899999999026</v>
      </c>
      <c r="BE892" s="7">
        <f t="shared" si="178"/>
        <v>2.7100099999999028</v>
      </c>
      <c r="BF892" s="7">
        <f t="shared" si="179"/>
        <v>0.98903300631873259</v>
      </c>
      <c r="BG892" s="7">
        <f t="shared" si="180"/>
        <v>0.98903338281948983</v>
      </c>
      <c r="BH892" s="7" t="e">
        <f t="shared" si="181"/>
        <v>#N/A</v>
      </c>
      <c r="BI892" s="7">
        <f t="shared" si="185"/>
        <v>1.0142826894789752E-2</v>
      </c>
      <c r="BJ892" s="7">
        <f t="shared" si="182"/>
        <v>9.1428268947897524E-3</v>
      </c>
      <c r="BK892" s="7" t="e">
        <f t="shared" si="186"/>
        <v>#N/A</v>
      </c>
      <c r="BL892" s="7" t="e">
        <f t="shared" si="183"/>
        <v>#N/A</v>
      </c>
    </row>
    <row r="893" spans="52:64" ht="11.25" customHeight="1">
      <c r="AZ893" s="7">
        <f t="shared" si="174"/>
        <v>0.99673590418410785</v>
      </c>
      <c r="BA893" s="7">
        <f t="shared" si="184"/>
        <v>2.7199999999999025</v>
      </c>
      <c r="BB893" s="7">
        <f t="shared" si="175"/>
        <v>9.8711537947537547E-3</v>
      </c>
      <c r="BC893" s="7" t="e">
        <f t="shared" si="176"/>
        <v>#N/A</v>
      </c>
      <c r="BD893" s="7">
        <f t="shared" si="177"/>
        <v>2.7199899999999024</v>
      </c>
      <c r="BE893" s="7">
        <f t="shared" si="178"/>
        <v>2.7200099999999026</v>
      </c>
      <c r="BF893" s="7">
        <f t="shared" si="179"/>
        <v>0.98921965106873044</v>
      </c>
      <c r="BG893" s="7">
        <f t="shared" si="180"/>
        <v>0.98922002115193042</v>
      </c>
      <c r="BH893" s="7" t="e">
        <f t="shared" si="181"/>
        <v>#N/A</v>
      </c>
      <c r="BI893" s="7">
        <f t="shared" si="185"/>
        <v>9.8711537947537547E-3</v>
      </c>
      <c r="BJ893" s="7">
        <f t="shared" si="182"/>
        <v>8.8711537947537555E-3</v>
      </c>
      <c r="BK893" s="7" t="e">
        <f t="shared" si="186"/>
        <v>#N/A</v>
      </c>
      <c r="BL893" s="7" t="e">
        <f t="shared" si="183"/>
        <v>#N/A</v>
      </c>
    </row>
    <row r="894" spans="52:64" ht="11.25" customHeight="1">
      <c r="AZ894" s="7">
        <f t="shared" si="174"/>
        <v>0.99683328372264124</v>
      </c>
      <c r="BA894" s="7">
        <f t="shared" si="184"/>
        <v>2.7299999999999023</v>
      </c>
      <c r="BB894" s="7">
        <f t="shared" si="175"/>
        <v>9.605796763542146E-3</v>
      </c>
      <c r="BC894" s="7" t="e">
        <f t="shared" si="176"/>
        <v>#N/A</v>
      </c>
      <c r="BD894" s="7">
        <f t="shared" si="177"/>
        <v>2.7299899999999022</v>
      </c>
      <c r="BE894" s="7">
        <f t="shared" si="178"/>
        <v>2.7300099999999023</v>
      </c>
      <c r="BF894" s="7">
        <f t="shared" si="179"/>
        <v>0.98940311354148036</v>
      </c>
      <c r="BG894" s="7">
        <f t="shared" si="180"/>
        <v>0.98940347731307277</v>
      </c>
      <c r="BH894" s="7" t="e">
        <f t="shared" si="181"/>
        <v>#N/A</v>
      </c>
      <c r="BI894" s="7">
        <f t="shared" si="185"/>
        <v>9.605796763542146E-3</v>
      </c>
      <c r="BJ894" s="7">
        <f t="shared" si="182"/>
        <v>8.6057967635421451E-3</v>
      </c>
      <c r="BK894" s="7" t="e">
        <f t="shared" si="186"/>
        <v>#N/A</v>
      </c>
      <c r="BL894" s="7" t="e">
        <f t="shared" si="183"/>
        <v>#N/A</v>
      </c>
    </row>
    <row r="895" spans="52:64" ht="11.25" customHeight="1">
      <c r="AZ895" s="7">
        <f t="shared" si="174"/>
        <v>0.99692804078134822</v>
      </c>
      <c r="BA895" s="7">
        <f t="shared" si="184"/>
        <v>2.7399999999999021</v>
      </c>
      <c r="BB895" s="7">
        <f t="shared" si="175"/>
        <v>9.3466383676147919E-3</v>
      </c>
      <c r="BC895" s="7" t="e">
        <f t="shared" si="176"/>
        <v>#N/A</v>
      </c>
      <c r="BD895" s="7">
        <f t="shared" si="177"/>
        <v>2.739989999999902</v>
      </c>
      <c r="BE895" s="7">
        <f t="shared" si="178"/>
        <v>2.7400099999999021</v>
      </c>
      <c r="BF895" s="7">
        <f t="shared" si="179"/>
        <v>0.98958344631261941</v>
      </c>
      <c r="BG895" s="7">
        <f t="shared" si="180"/>
        <v>0.98958380387695688</v>
      </c>
      <c r="BH895" s="7" t="e">
        <f t="shared" si="181"/>
        <v>#N/A</v>
      </c>
      <c r="BI895" s="7">
        <f t="shared" si="185"/>
        <v>9.3466383676147919E-3</v>
      </c>
      <c r="BJ895" s="7">
        <f t="shared" si="182"/>
        <v>8.3466383676147927E-3</v>
      </c>
      <c r="BK895" s="7" t="e">
        <f t="shared" si="186"/>
        <v>#N/A</v>
      </c>
      <c r="BL895" s="7" t="e">
        <f t="shared" si="183"/>
        <v>#N/A</v>
      </c>
    </row>
    <row r="896" spans="52:64" ht="11.25" customHeight="1">
      <c r="AZ896" s="7">
        <f t="shared" si="174"/>
        <v>0.99702023676494456</v>
      </c>
      <c r="BA896" s="7">
        <f t="shared" si="184"/>
        <v>2.7499999999999019</v>
      </c>
      <c r="BB896" s="7">
        <f t="shared" si="175"/>
        <v>9.0935625015935075E-3</v>
      </c>
      <c r="BC896" s="7" t="e">
        <f t="shared" si="176"/>
        <v>#N/A</v>
      </c>
      <c r="BD896" s="7">
        <f t="shared" si="177"/>
        <v>2.7499899999999018</v>
      </c>
      <c r="BE896" s="7">
        <f t="shared" si="178"/>
        <v>2.7500099999999019</v>
      </c>
      <c r="BF896" s="7">
        <f t="shared" si="179"/>
        <v>0.98976070116392645</v>
      </c>
      <c r="BG896" s="7">
        <f t="shared" si="180"/>
        <v>0.98976105262378367</v>
      </c>
      <c r="BH896" s="7" t="e">
        <f t="shared" si="181"/>
        <v>#N/A</v>
      </c>
      <c r="BI896" s="7">
        <f t="shared" si="185"/>
        <v>9.0935625015935075E-3</v>
      </c>
      <c r="BJ896" s="7">
        <f t="shared" si="182"/>
        <v>8.0935625015935084E-3</v>
      </c>
      <c r="BK896" s="7" t="e">
        <f t="shared" si="186"/>
        <v>#N/A</v>
      </c>
      <c r="BL896" s="7" t="e">
        <f t="shared" si="183"/>
        <v>#N/A</v>
      </c>
    </row>
    <row r="897" spans="52:64" ht="11.25" customHeight="1">
      <c r="AZ897" s="7">
        <f t="shared" si="174"/>
        <v>0.99710993192377284</v>
      </c>
      <c r="BA897" s="7">
        <f t="shared" si="184"/>
        <v>2.7599999999999016</v>
      </c>
      <c r="BB897" s="7">
        <f t="shared" si="175"/>
        <v>8.8464543982396272E-3</v>
      </c>
      <c r="BC897" s="7" t="e">
        <f t="shared" si="176"/>
        <v>#N/A</v>
      </c>
      <c r="BD897" s="7">
        <f t="shared" si="177"/>
        <v>2.7599899999999016</v>
      </c>
      <c r="BE897" s="7">
        <f t="shared" si="178"/>
        <v>2.7600099999999017</v>
      </c>
      <c r="BF897" s="7">
        <f t="shared" si="179"/>
        <v>0.98993492909275893</v>
      </c>
      <c r="BG897" s="7">
        <f t="shared" si="180"/>
        <v>0.98993527454935071</v>
      </c>
      <c r="BH897" s="7" t="e">
        <f t="shared" si="181"/>
        <v>#N/A</v>
      </c>
      <c r="BI897" s="7">
        <f t="shared" si="185"/>
        <v>8.8464543982396272E-3</v>
      </c>
      <c r="BJ897" s="7">
        <f t="shared" si="182"/>
        <v>7.846454398239628E-3</v>
      </c>
      <c r="BK897" s="7" t="e">
        <f t="shared" si="186"/>
        <v>#N/A</v>
      </c>
      <c r="BL897" s="7" t="e">
        <f t="shared" si="183"/>
        <v>#N/A</v>
      </c>
    </row>
    <row r="898" spans="52:64" ht="11.25" customHeight="1">
      <c r="AZ898" s="7">
        <f t="shared" si="174"/>
        <v>0.99719718536723401</v>
      </c>
      <c r="BA898" s="7">
        <f t="shared" si="184"/>
        <v>2.7699999999999014</v>
      </c>
      <c r="BB898" s="7">
        <f t="shared" si="175"/>
        <v>8.605200637502022E-3</v>
      </c>
      <c r="BC898" s="7" t="e">
        <f t="shared" si="176"/>
        <v>#N/A</v>
      </c>
      <c r="BD898" s="7">
        <f t="shared" si="177"/>
        <v>2.7699899999999014</v>
      </c>
      <c r="BE898" s="7">
        <f t="shared" si="178"/>
        <v>2.7700099999999015</v>
      </c>
      <c r="BF898" s="7">
        <f t="shared" si="179"/>
        <v>0.99010618032145958</v>
      </c>
      <c r="BG898" s="7">
        <f t="shared" si="180"/>
        <v>0.9901065198744603</v>
      </c>
      <c r="BH898" s="7" t="e">
        <f t="shared" si="181"/>
        <v>#N/A</v>
      </c>
      <c r="BI898" s="7">
        <f t="shared" si="185"/>
        <v>8.605200637502022E-3</v>
      </c>
      <c r="BJ898" s="7">
        <f t="shared" si="182"/>
        <v>7.605200637502022E-3</v>
      </c>
      <c r="BK898" s="7" t="e">
        <f t="shared" si="186"/>
        <v>#N/A</v>
      </c>
      <c r="BL898" s="7" t="e">
        <f t="shared" si="183"/>
        <v>#N/A</v>
      </c>
    </row>
    <row r="899" spans="52:64" ht="11.25" customHeight="1">
      <c r="AZ899" s="7">
        <f t="shared" si="174"/>
        <v>0.99728205507729784</v>
      </c>
      <c r="BA899" s="7">
        <f t="shared" si="184"/>
        <v>2.7799999999999012</v>
      </c>
      <c r="BB899" s="7">
        <f t="shared" si="175"/>
        <v>8.3696891546553263E-3</v>
      </c>
      <c r="BC899" s="7" t="e">
        <f t="shared" si="176"/>
        <v>#N/A</v>
      </c>
      <c r="BD899" s="7">
        <f t="shared" si="177"/>
        <v>2.7799899999999012</v>
      </c>
      <c r="BE899" s="7">
        <f t="shared" si="178"/>
        <v>2.7800099999999013</v>
      </c>
      <c r="BF899" s="7">
        <f t="shared" si="179"/>
        <v>0.99027450430673114</v>
      </c>
      <c r="BG899" s="7">
        <f t="shared" si="180"/>
        <v>0.99027483805429339</v>
      </c>
      <c r="BH899" s="7" t="e">
        <f t="shared" si="181"/>
        <v>#N/A</v>
      </c>
      <c r="BI899" s="7">
        <f t="shared" si="185"/>
        <v>8.3696891546553263E-3</v>
      </c>
      <c r="BJ899" s="7">
        <f t="shared" si="182"/>
        <v>7.3696891546553263E-3</v>
      </c>
      <c r="BK899" s="7" t="e">
        <f t="shared" si="186"/>
        <v>#N/A</v>
      </c>
      <c r="BL899" s="7" t="e">
        <f t="shared" si="183"/>
        <v>#N/A</v>
      </c>
    </row>
    <row r="900" spans="52:64" ht="11.25" customHeight="1">
      <c r="AZ900" s="7">
        <f t="shared" si="174"/>
        <v>0.99736459792209442</v>
      </c>
      <c r="BA900" s="7">
        <f t="shared" si="184"/>
        <v>2.789999999999901</v>
      </c>
      <c r="BB900" s="7">
        <f t="shared" si="175"/>
        <v>8.1398092475482679E-3</v>
      </c>
      <c r="BC900" s="7" t="e">
        <f t="shared" si="176"/>
        <v>#N/A</v>
      </c>
      <c r="BD900" s="7">
        <f t="shared" si="177"/>
        <v>2.7899899999999009</v>
      </c>
      <c r="BE900" s="7">
        <f t="shared" si="178"/>
        <v>2.7900099999999011</v>
      </c>
      <c r="BF900" s="7">
        <f t="shared" si="179"/>
        <v>0.99043994985072514</v>
      </c>
      <c r="BG900" s="7">
        <f t="shared" si="180"/>
        <v>0.99044027788948408</v>
      </c>
      <c r="BH900" s="7" t="e">
        <f t="shared" si="181"/>
        <v>#N/A</v>
      </c>
      <c r="BI900" s="7">
        <f t="shared" si="185"/>
        <v>8.1398092475482679E-3</v>
      </c>
      <c r="BJ900" s="7">
        <f t="shared" si="182"/>
        <v>7.1398092475482679E-3</v>
      </c>
      <c r="BK900" s="7" t="e">
        <f t="shared" si="186"/>
        <v>#N/A</v>
      </c>
      <c r="BL900" s="7" t="e">
        <f t="shared" si="183"/>
        <v>#N/A</v>
      </c>
    </row>
    <row r="901" spans="52:64" ht="11.25" customHeight="1">
      <c r="AZ901" s="7">
        <f t="shared" si="174"/>
        <v>0.99744486966957124</v>
      </c>
      <c r="BA901" s="7">
        <f t="shared" si="184"/>
        <v>2.7999999999999008</v>
      </c>
      <c r="BB901" s="7">
        <f t="shared" si="175"/>
        <v>7.9154515829821595E-3</v>
      </c>
      <c r="BC901" s="7" t="e">
        <f t="shared" si="176"/>
        <v>#N/A</v>
      </c>
      <c r="BD901" s="7">
        <f t="shared" si="177"/>
        <v>2.7999899999999007</v>
      </c>
      <c r="BE901" s="7">
        <f t="shared" si="178"/>
        <v>2.8000099999999009</v>
      </c>
      <c r="BF901" s="7">
        <f t="shared" si="179"/>
        <v>0.9906025646965736</v>
      </c>
      <c r="BG901" s="7">
        <f t="shared" si="180"/>
        <v>0.99060288712170874</v>
      </c>
      <c r="BH901" s="7" t="e">
        <f t="shared" si="181"/>
        <v>#N/A</v>
      </c>
      <c r="BI901" s="7">
        <f t="shared" si="185"/>
        <v>7.9154515829821595E-3</v>
      </c>
      <c r="BJ901" s="7">
        <f t="shared" si="182"/>
        <v>6.9154515829821595E-3</v>
      </c>
      <c r="BK901" s="7" t="e">
        <f t="shared" si="186"/>
        <v>#N/A</v>
      </c>
      <c r="BL901" s="7" t="e">
        <f t="shared" si="183"/>
        <v>#N/A</v>
      </c>
    </row>
    <row r="902" spans="52:64" ht="11.25" customHeight="1">
      <c r="AZ902" s="7">
        <f t="shared" si="174"/>
        <v>0.99752292500121353</v>
      </c>
      <c r="BA902" s="7">
        <f t="shared" si="184"/>
        <v>2.8099999999999006</v>
      </c>
      <c r="BB902" s="7">
        <f t="shared" si="175"/>
        <v>7.6965082022394738E-3</v>
      </c>
      <c r="BC902" s="7" t="e">
        <f t="shared" si="176"/>
        <v>#N/A</v>
      </c>
      <c r="BD902" s="7">
        <f t="shared" si="177"/>
        <v>2.8099899999999005</v>
      </c>
      <c r="BE902" s="7">
        <f t="shared" si="178"/>
        <v>2.8100099999999006</v>
      </c>
      <c r="BF902" s="7">
        <f t="shared" si="179"/>
        <v>0.99076239616892825</v>
      </c>
      <c r="BG902" s="7">
        <f t="shared" si="180"/>
        <v>0.99076271307413777</v>
      </c>
      <c r="BH902" s="7" t="e">
        <f t="shared" si="181"/>
        <v>#N/A</v>
      </c>
      <c r="BI902" s="7">
        <f t="shared" si="185"/>
        <v>7.6965082022394738E-3</v>
      </c>
      <c r="BJ902" s="7">
        <f t="shared" si="182"/>
        <v>6.6965082022394738E-3</v>
      </c>
      <c r="BK902" s="7" t="e">
        <f t="shared" si="186"/>
        <v>#N/A</v>
      </c>
      <c r="BL902" s="7" t="e">
        <f t="shared" si="183"/>
        <v>#N/A</v>
      </c>
    </row>
    <row r="903" spans="52:64" ht="11.25" customHeight="1">
      <c r="AZ903" s="7">
        <f t="shared" si="174"/>
        <v>0.99759881752580992</v>
      </c>
      <c r="BA903" s="7">
        <f t="shared" si="184"/>
        <v>2.8199999999999004</v>
      </c>
      <c r="BB903" s="7">
        <f t="shared" si="175"/>
        <v>7.4828725257826629E-3</v>
      </c>
      <c r="BC903" s="7" t="e">
        <f t="shared" si="176"/>
        <v>#N/A</v>
      </c>
      <c r="BD903" s="7">
        <f t="shared" si="177"/>
        <v>2.8199899999999003</v>
      </c>
      <c r="BE903" s="7">
        <f t="shared" si="178"/>
        <v>2.8200099999999004</v>
      </c>
      <c r="BF903" s="7">
        <f t="shared" si="179"/>
        <v>0.99091949075490593</v>
      </c>
      <c r="BG903" s="7">
        <f t="shared" si="180"/>
        <v>0.99091980223244025</v>
      </c>
      <c r="BH903" s="7" t="e">
        <f t="shared" si="181"/>
        <v>#N/A</v>
      </c>
      <c r="BI903" s="7">
        <f t="shared" si="185"/>
        <v>7.4828725257826629E-3</v>
      </c>
      <c r="BJ903" s="7">
        <f t="shared" si="182"/>
        <v>6.4828725257826628E-3</v>
      </c>
      <c r="BK903" s="7" t="e">
        <f t="shared" si="186"/>
        <v>#N/A</v>
      </c>
      <c r="BL903" s="7" t="e">
        <f t="shared" si="183"/>
        <v>#N/A</v>
      </c>
    </row>
    <row r="904" spans="52:64" ht="11.25" customHeight="1">
      <c r="AZ904" s="7">
        <f t="shared" si="174"/>
        <v>0.9976725997932675</v>
      </c>
      <c r="BA904" s="7">
        <f t="shared" si="184"/>
        <v>2.8299999999999002</v>
      </c>
      <c r="BB904" s="7">
        <f t="shared" si="175"/>
        <v>7.2744393571432713E-3</v>
      </c>
      <c r="BC904" s="7" t="e">
        <f t="shared" si="176"/>
        <v>#N/A</v>
      </c>
      <c r="BD904" s="7">
        <f t="shared" si="177"/>
        <v>2.8299899999999001</v>
      </c>
      <c r="BE904" s="7">
        <f t="shared" si="178"/>
        <v>2.8300099999999002</v>
      </c>
      <c r="BF904" s="7">
        <f t="shared" si="179"/>
        <v>0.99107389422227932</v>
      </c>
      <c r="BG904" s="7">
        <f t="shared" si="180"/>
        <v>0.99107420036295935</v>
      </c>
      <c r="BH904" s="7" t="e">
        <f t="shared" si="181"/>
        <v>#N/A</v>
      </c>
      <c r="BI904" s="7">
        <f t="shared" si="185"/>
        <v>7.2744393571432713E-3</v>
      </c>
      <c r="BJ904" s="7">
        <f t="shared" si="182"/>
        <v>6.2744393571432713E-3</v>
      </c>
      <c r="BK904" s="7" t="e">
        <f t="shared" si="186"/>
        <v>#N/A</v>
      </c>
      <c r="BL904" s="7" t="e">
        <f t="shared" si="183"/>
        <v>#N/A</v>
      </c>
    </row>
    <row r="905" spans="52:64" ht="11.25" customHeight="1">
      <c r="AZ905" s="7">
        <f t="shared" si="174"/>
        <v>0.99774432330845686</v>
      </c>
      <c r="BA905" s="7">
        <f t="shared" si="184"/>
        <v>2.8399999999998999</v>
      </c>
      <c r="BB905" s="7">
        <f t="shared" si="175"/>
        <v>7.0711048860214575E-3</v>
      </c>
      <c r="BC905" s="7" t="e">
        <f t="shared" si="176"/>
        <v>#N/A</v>
      </c>
      <c r="BD905" s="7">
        <f t="shared" si="177"/>
        <v>2.8399899999998999</v>
      </c>
      <c r="BE905" s="7">
        <f t="shared" si="178"/>
        <v>2.8400099999999</v>
      </c>
      <c r="BF905" s="7">
        <f t="shared" si="179"/>
        <v>0.99122565162860177</v>
      </c>
      <c r="BG905" s="7">
        <f t="shared" si="180"/>
        <v>0.99122595252183698</v>
      </c>
      <c r="BH905" s="7" t="e">
        <f t="shared" si="181"/>
        <v>#N/A</v>
      </c>
      <c r="BI905" s="7">
        <f t="shared" si="185"/>
        <v>7.0711048860214575E-3</v>
      </c>
      <c r="BJ905" s="7">
        <f t="shared" si="182"/>
        <v>6.0711048860214575E-3</v>
      </c>
      <c r="BK905" s="7" t="e">
        <f t="shared" si="186"/>
        <v>#N/A</v>
      </c>
      <c r="BL905" s="7" t="e">
        <f t="shared" si="183"/>
        <v>#N/A</v>
      </c>
    </row>
    <row r="906" spans="52:64" ht="11.25" customHeight="1">
      <c r="AZ906" s="7">
        <f t="shared" si="174"/>
        <v>0.99781403854508588</v>
      </c>
      <c r="BA906" s="7">
        <f t="shared" si="184"/>
        <v>2.8499999999998997</v>
      </c>
      <c r="BB906" s="7">
        <f t="shared" si="175"/>
        <v>6.8727666906159349E-3</v>
      </c>
      <c r="BC906" s="7" t="e">
        <f t="shared" si="176"/>
        <v>#N/A</v>
      </c>
      <c r="BD906" s="7">
        <f t="shared" si="177"/>
        <v>2.8499899999998997</v>
      </c>
      <c r="BE906" s="7">
        <f t="shared" si="178"/>
        <v>2.8500099999998998</v>
      </c>
      <c r="BF906" s="7">
        <f t="shared" si="179"/>
        <v>0.99137480733028127</v>
      </c>
      <c r="BG906" s="7">
        <f t="shared" si="180"/>
        <v>0.99137510306408805</v>
      </c>
      <c r="BH906" s="7" t="e">
        <f t="shared" si="181"/>
        <v>#N/A</v>
      </c>
      <c r="BI906" s="7">
        <f t="shared" si="185"/>
        <v>6.8727666906159349E-3</v>
      </c>
      <c r="BJ906" s="7">
        <f t="shared" si="182"/>
        <v>5.8727666906159348E-3</v>
      </c>
      <c r="BK906" s="7" t="e">
        <f t="shared" si="186"/>
        <v>#N/A</v>
      </c>
      <c r="BL906" s="7" t="e">
        <f t="shared" si="183"/>
        <v>#N/A</v>
      </c>
    </row>
    <row r="907" spans="52:64" ht="11.25" customHeight="1">
      <c r="AZ907" s="7">
        <f t="shared" si="174"/>
        <v>0.99788179495959495</v>
      </c>
      <c r="BA907" s="7">
        <f t="shared" si="184"/>
        <v>2.8599999999998995</v>
      </c>
      <c r="BB907" s="7">
        <f t="shared" si="175"/>
        <v>6.6793237392045362E-3</v>
      </c>
      <c r="BC907" s="7" t="e">
        <f t="shared" si="176"/>
        <v>#N/A</v>
      </c>
      <c r="BD907" s="7">
        <f t="shared" si="177"/>
        <v>2.8599899999998994</v>
      </c>
      <c r="BE907" s="7">
        <f t="shared" si="178"/>
        <v>2.8600099999998996</v>
      </c>
      <c r="BF907" s="7">
        <f t="shared" si="179"/>
        <v>0.99152140499160368</v>
      </c>
      <c r="BG907" s="7">
        <f t="shared" si="180"/>
        <v>0.99152169565262305</v>
      </c>
      <c r="BH907" s="7" t="e">
        <f t="shared" si="181"/>
        <v>#N/A</v>
      </c>
      <c r="BI907" s="7">
        <f t="shared" si="185"/>
        <v>6.6793237392045362E-3</v>
      </c>
      <c r="BJ907" s="7">
        <f t="shared" si="182"/>
        <v>5.6793237392045361E-3</v>
      </c>
      <c r="BK907" s="7" t="e">
        <f t="shared" si="186"/>
        <v>#N/A</v>
      </c>
      <c r="BL907" s="7" t="e">
        <f t="shared" si="183"/>
        <v>#N/A</v>
      </c>
    </row>
    <row r="908" spans="52:64" ht="11.25" customHeight="1">
      <c r="AZ908" s="7">
        <f t="shared" si="174"/>
        <v>0.99794764100505984</v>
      </c>
      <c r="BA908" s="7">
        <f t="shared" si="184"/>
        <v>2.8699999999998993</v>
      </c>
      <c r="BB908" s="7">
        <f t="shared" si="175"/>
        <v>6.4906763909952422E-3</v>
      </c>
      <c r="BC908" s="7" t="e">
        <f t="shared" si="176"/>
        <v>#N/A</v>
      </c>
      <c r="BD908" s="7">
        <f t="shared" si="177"/>
        <v>2.8699899999998992</v>
      </c>
      <c r="BE908" s="7">
        <f t="shared" si="178"/>
        <v>2.8700099999998994</v>
      </c>
      <c r="BF908" s="7">
        <f t="shared" si="179"/>
        <v>0.99166548759370032</v>
      </c>
      <c r="BG908" s="7">
        <f t="shared" si="180"/>
        <v>0.99166577326721606</v>
      </c>
      <c r="BH908" s="7" t="e">
        <f t="shared" si="181"/>
        <v>#N/A</v>
      </c>
      <c r="BI908" s="7">
        <f t="shared" si="185"/>
        <v>6.4906763909952422E-3</v>
      </c>
      <c r="BJ908" s="7">
        <f t="shared" si="182"/>
        <v>5.4906763909952421E-3</v>
      </c>
      <c r="BK908" s="7" t="e">
        <f t="shared" si="186"/>
        <v>#N/A</v>
      </c>
      <c r="BL908" s="7" t="e">
        <f t="shared" si="183"/>
        <v>#N/A</v>
      </c>
    </row>
    <row r="909" spans="52:64" ht="11.25" customHeight="1">
      <c r="AZ909" s="7">
        <f t="shared" si="174"/>
        <v>0.9980116241451048</v>
      </c>
      <c r="BA909" s="7">
        <f t="shared" si="184"/>
        <v>2.8799999999998991</v>
      </c>
      <c r="BB909" s="7">
        <f t="shared" si="175"/>
        <v>6.3067263962677585E-3</v>
      </c>
      <c r="BC909" s="7" t="e">
        <f t="shared" si="176"/>
        <v>#N/A</v>
      </c>
      <c r="BD909" s="7">
        <f t="shared" si="177"/>
        <v>2.879989999999899</v>
      </c>
      <c r="BE909" s="7">
        <f t="shared" si="178"/>
        <v>2.8800099999998992</v>
      </c>
      <c r="BF909" s="7">
        <f t="shared" si="179"/>
        <v>0.99180709744346074</v>
      </c>
      <c r="BG909" s="7">
        <f t="shared" si="180"/>
        <v>0.9918073782134168</v>
      </c>
      <c r="BH909" s="7" t="e">
        <f t="shared" si="181"/>
        <v>#N/A</v>
      </c>
      <c r="BI909" s="7">
        <f t="shared" si="185"/>
        <v>6.3067263962677585E-3</v>
      </c>
      <c r="BJ909" s="7">
        <f t="shared" si="182"/>
        <v>5.3067263962677585E-3</v>
      </c>
      <c r="BK909" s="7" t="e">
        <f t="shared" si="186"/>
        <v>#N/A</v>
      </c>
      <c r="BL909" s="7" t="e">
        <f t="shared" si="183"/>
        <v>#N/A</v>
      </c>
    </row>
    <row r="910" spans="52:64" ht="11.25" customHeight="1">
      <c r="AZ910" s="7">
        <f t="shared" si="174"/>
        <v>0.99807379086781134</v>
      </c>
      <c r="BA910" s="7">
        <f t="shared" si="184"/>
        <v>2.8899999999998989</v>
      </c>
      <c r="BB910" s="7">
        <f t="shared" si="175"/>
        <v>6.1273768958254766E-3</v>
      </c>
      <c r="BC910" s="7" t="e">
        <f t="shared" si="176"/>
        <v>#N/A</v>
      </c>
      <c r="BD910" s="7">
        <f t="shared" si="177"/>
        <v>2.8899899999998988</v>
      </c>
      <c r="BE910" s="7">
        <f t="shared" si="178"/>
        <v>2.8900099999998989</v>
      </c>
      <c r="BF910" s="7">
        <f t="shared" si="179"/>
        <v>0.99194627618238673</v>
      </c>
      <c r="BG910" s="7">
        <f t="shared" si="180"/>
        <v>0.99194655213140548</v>
      </c>
      <c r="BH910" s="7" t="e">
        <f t="shared" si="181"/>
        <v>#N/A</v>
      </c>
      <c r="BI910" s="7">
        <f t="shared" si="185"/>
        <v>6.1273768958254766E-3</v>
      </c>
      <c r="BJ910" s="7">
        <f t="shared" si="182"/>
        <v>5.1273768958254766E-3</v>
      </c>
      <c r="BK910" s="7" t="e">
        <f t="shared" si="186"/>
        <v>#N/A</v>
      </c>
      <c r="BL910" s="7" t="e">
        <f t="shared" si="183"/>
        <v>#N/A</v>
      </c>
    </row>
    <row r="911" spans="52:64" ht="11.25" customHeight="1">
      <c r="AZ911" s="7">
        <f t="shared" si="174"/>
        <v>0.9981341866996154</v>
      </c>
      <c r="BA911" s="7">
        <f t="shared" si="184"/>
        <v>2.8999999999998987</v>
      </c>
      <c r="BB911" s="7">
        <f t="shared" si="175"/>
        <v>5.9525324197776033E-3</v>
      </c>
      <c r="BC911" s="7" t="e">
        <f t="shared" si="176"/>
        <v>#N/A</v>
      </c>
      <c r="BD911" s="7">
        <f t="shared" si="177"/>
        <v>2.8999899999998986</v>
      </c>
      <c r="BE911" s="7">
        <f t="shared" si="178"/>
        <v>2.9000099999998987</v>
      </c>
      <c r="BF911" s="7">
        <f t="shared" si="179"/>
        <v>0.99208306479538766</v>
      </c>
      <c r="BG911" s="7">
        <f t="shared" si="180"/>
        <v>0.99208333600478682</v>
      </c>
      <c r="BH911" s="7" t="e">
        <f t="shared" si="181"/>
        <v>#N/A</v>
      </c>
      <c r="BI911" s="7">
        <f t="shared" si="185"/>
        <v>5.9525324197776033E-3</v>
      </c>
      <c r="BJ911" s="7">
        <f t="shared" si="182"/>
        <v>4.9525324197776032E-3</v>
      </c>
      <c r="BK911" s="7" t="e">
        <f t="shared" si="186"/>
        <v>#N/A</v>
      </c>
      <c r="BL911" s="7" t="e">
        <f t="shared" si="183"/>
        <v>#N/A</v>
      </c>
    </row>
    <row r="912" spans="52:64" ht="11.25" customHeight="1">
      <c r="AZ912" s="7">
        <f t="shared" si="174"/>
        <v>0.99819285621919329</v>
      </c>
      <c r="BA912" s="7">
        <f t="shared" si="184"/>
        <v>2.9099999999998984</v>
      </c>
      <c r="BB912" s="7">
        <f t="shared" si="175"/>
        <v>5.7820988856711868E-3</v>
      </c>
      <c r="BC912" s="7" t="e">
        <f t="shared" si="176"/>
        <v>#N/A</v>
      </c>
      <c r="BD912" s="7">
        <f t="shared" si="177"/>
        <v>2.9099899999998984</v>
      </c>
      <c r="BE912" s="7">
        <f t="shared" si="178"/>
        <v>2.9100099999998985</v>
      </c>
      <c r="BF912" s="7">
        <f t="shared" si="179"/>
        <v>0.992217503619514</v>
      </c>
      <c r="BG912" s="7">
        <f t="shared" si="180"/>
        <v>0.99221777016932433</v>
      </c>
      <c r="BH912" s="7" t="e">
        <f t="shared" si="181"/>
        <v>#N/A</v>
      </c>
      <c r="BI912" s="7">
        <f t="shared" si="185"/>
        <v>5.7820988856711868E-3</v>
      </c>
      <c r="BJ912" s="7">
        <f t="shared" si="182"/>
        <v>4.7820988856711868E-3</v>
      </c>
      <c r="BK912" s="7" t="e">
        <f t="shared" si="186"/>
        <v>#N/A</v>
      </c>
      <c r="BL912" s="7" t="e">
        <f t="shared" si="183"/>
        <v>#N/A</v>
      </c>
    </row>
    <row r="913" spans="52:64" ht="11.25" customHeight="1">
      <c r="AZ913" s="7">
        <f t="shared" si="174"/>
        <v>0.99824984307132369</v>
      </c>
      <c r="BA913" s="7">
        <f t="shared" si="184"/>
        <v>2.9199999999998982</v>
      </c>
      <c r="BB913" s="7">
        <f t="shared" si="175"/>
        <v>5.6159835959926335E-3</v>
      </c>
      <c r="BC913" s="7" t="e">
        <f t="shared" si="176"/>
        <v>#N/A</v>
      </c>
      <c r="BD913" s="7">
        <f t="shared" si="177"/>
        <v>2.9199899999998982</v>
      </c>
      <c r="BE913" s="7">
        <f t="shared" si="178"/>
        <v>2.9200099999998983</v>
      </c>
      <c r="BF913" s="7">
        <f t="shared" si="179"/>
        <v>0.99234963235262852</v>
      </c>
      <c r="BG913" s="7">
        <f t="shared" si="180"/>
        <v>0.99234989432161091</v>
      </c>
      <c r="BH913" s="7" t="e">
        <f t="shared" si="181"/>
        <v>#N/A</v>
      </c>
      <c r="BI913" s="7">
        <f t="shared" si="185"/>
        <v>5.6159835959926335E-3</v>
      </c>
      <c r="BJ913" s="7">
        <f t="shared" si="182"/>
        <v>4.6159835959926334E-3</v>
      </c>
      <c r="BK913" s="7" t="e">
        <f t="shared" si="186"/>
        <v>#N/A</v>
      </c>
      <c r="BL913" s="7" t="e">
        <f t="shared" si="183"/>
        <v>#N/A</v>
      </c>
    </row>
    <row r="914" spans="52:64" ht="11.25" customHeight="1">
      <c r="AZ914" s="7">
        <f t="shared" si="174"/>
        <v>0.99830518998072215</v>
      </c>
      <c r="BA914" s="7">
        <f t="shared" si="184"/>
        <v>2.929999999999898</v>
      </c>
      <c r="BB914" s="7">
        <f t="shared" si="175"/>
        <v>5.4540952350581777E-3</v>
      </c>
      <c r="BC914" s="7" t="e">
        <f t="shared" si="176"/>
        <v>#N/A</v>
      </c>
      <c r="BD914" s="7">
        <f t="shared" si="177"/>
        <v>2.929989999999898</v>
      </c>
      <c r="BE914" s="7">
        <f t="shared" si="178"/>
        <v>2.9300099999998981</v>
      </c>
      <c r="BF914" s="7">
        <f t="shared" si="179"/>
        <v>0.99247949006201308</v>
      </c>
      <c r="BG914" s="7">
        <f t="shared" si="180"/>
        <v>0.99247974752767609</v>
      </c>
      <c r="BH914" s="7" t="e">
        <f t="shared" si="181"/>
        <v>#N/A</v>
      </c>
      <c r="BI914" s="7">
        <f t="shared" si="185"/>
        <v>5.4540952350581777E-3</v>
      </c>
      <c r="BJ914" s="7">
        <f t="shared" si="182"/>
        <v>4.4540952350581777E-3</v>
      </c>
      <c r="BK914" s="7" t="e">
        <f t="shared" si="186"/>
        <v>#N/A</v>
      </c>
      <c r="BL914" s="7" t="e">
        <f t="shared" si="183"/>
        <v>#N/A</v>
      </c>
    </row>
    <row r="915" spans="52:64" ht="11.25" customHeight="1">
      <c r="AZ915" s="7">
        <f t="shared" si="174"/>
        <v>0.99835893876584259</v>
      </c>
      <c r="BA915" s="7">
        <f t="shared" si="184"/>
        <v>2.9399999999998978</v>
      </c>
      <c r="BB915" s="7">
        <f t="shared" si="175"/>
        <v>5.2963438653126091E-3</v>
      </c>
      <c r="BC915" s="7" t="e">
        <f t="shared" si="176"/>
        <v>#N/A</v>
      </c>
      <c r="BD915" s="7">
        <f t="shared" si="177"/>
        <v>2.9399899999998977</v>
      </c>
      <c r="BE915" s="7">
        <f t="shared" si="178"/>
        <v>2.9400099999998979</v>
      </c>
      <c r="BF915" s="7">
        <f t="shared" si="179"/>
        <v>0.99260711519291012</v>
      </c>
      <c r="BG915" s="7">
        <f t="shared" si="180"/>
        <v>0.99260736823152662</v>
      </c>
      <c r="BH915" s="7" t="e">
        <f t="shared" si="181"/>
        <v>#N/A</v>
      </c>
      <c r="BI915" s="7">
        <f t="shared" si="185"/>
        <v>5.2963438653126091E-3</v>
      </c>
      <c r="BJ915" s="7">
        <f t="shared" si="182"/>
        <v>4.2963438653126091E-3</v>
      </c>
      <c r="BK915" s="7" t="e">
        <f t="shared" si="186"/>
        <v>#N/A</v>
      </c>
      <c r="BL915" s="7" t="e">
        <f t="shared" si="183"/>
        <v>#N/A</v>
      </c>
    </row>
    <row r="916" spans="52:64" ht="11.25" customHeight="1">
      <c r="AZ916" s="7">
        <f t="shared" si="174"/>
        <v>0.99841113035263429</v>
      </c>
      <c r="BA916" s="7">
        <f t="shared" si="184"/>
        <v>2.9499999999998976</v>
      </c>
      <c r="BB916" s="7">
        <f t="shared" si="175"/>
        <v>5.1426409230554918E-3</v>
      </c>
      <c r="BC916" s="7" t="e">
        <f t="shared" si="176"/>
        <v>#N/A</v>
      </c>
      <c r="BD916" s="7">
        <f t="shared" si="177"/>
        <v>2.9499899999998975</v>
      </c>
      <c r="BE916" s="7">
        <f t="shared" si="178"/>
        <v>2.9500099999998977</v>
      </c>
      <c r="BF916" s="7">
        <f t="shared" si="179"/>
        <v>0.99273254557699775</v>
      </c>
      <c r="BG916" s="7">
        <f t="shared" si="180"/>
        <v>0.99273279426362193</v>
      </c>
      <c r="BH916" s="7" t="e">
        <f t="shared" si="181"/>
        <v>#N/A</v>
      </c>
      <c r="BI916" s="7">
        <f t="shared" si="185"/>
        <v>5.1426409230554918E-3</v>
      </c>
      <c r="BJ916" s="7">
        <f t="shared" si="182"/>
        <v>4.1426409230554918E-3</v>
      </c>
      <c r="BK916" s="7" t="e">
        <f t="shared" si="186"/>
        <v>#N/A</v>
      </c>
      <c r="BL916" s="7" t="e">
        <f t="shared" si="183"/>
        <v>#N/A</v>
      </c>
    </row>
    <row r="917" spans="52:64" ht="11.25" customHeight="1">
      <c r="AZ917" s="7">
        <f t="shared" ref="AZ917:AZ980" si="187">NORMDIST(BA917,$BA$17,$BA$18,TRUE)</f>
        <v>0.99846180478826141</v>
      </c>
      <c r="BA917" s="7">
        <f t="shared" si="184"/>
        <v>2.9599999999998974</v>
      </c>
      <c r="BB917" s="7">
        <f t="shared" ref="BB917:BB980" si="188">IF($BA$13=1,NORMDIST(BA917,$BA$17,$BA$18,FALSE),NA())</f>
        <v>4.9928992136138916E-3</v>
      </c>
      <c r="BC917" s="7" t="e">
        <f t="shared" ref="BC917:BC980" si="189">IF($BA$13=3,NORMDIST(BA917,$BA$17,$BA$18,FALSE),NA())</f>
        <v>#N/A</v>
      </c>
      <c r="BD917" s="7">
        <f t="shared" ref="BD917:BD980" si="190">BA917-$BD$19</f>
        <v>2.9599899999998973</v>
      </c>
      <c r="BE917" s="7">
        <f t="shared" ref="BE917:BE980" si="191">BA917+$BD$19</f>
        <v>2.9600099999998974</v>
      </c>
      <c r="BF917" s="7">
        <f t="shared" ref="BF917:BF980" si="192">IF(BD917&lt;0,TDIST(-BD917,$BA$14,1),1-TDIST(BD917,$BA$14,1))</f>
        <v>0.99285581844079607</v>
      </c>
      <c r="BG917" s="7">
        <f t="shared" ref="BG917:BG980" si="193">IF(BE917&lt;0,TDIST(-BE917,$BA$14,1),1-TDIST(BE917,$BA$14,1))</f>
        <v>0.99285606284928019</v>
      </c>
      <c r="BH917" s="7" t="e">
        <f t="shared" ref="BH917:BH980" si="194">IF($BA$13&gt;1,(BG917-BF917)/(2*$BD$19),NA())</f>
        <v>#N/A</v>
      </c>
      <c r="BI917" s="7">
        <f t="shared" si="185"/>
        <v>4.9928992136138916E-3</v>
      </c>
      <c r="BJ917" s="7">
        <f t="shared" ref="BJ917:BJ980" si="195">IF(ISNUMBER(BI917),BI917-$BJ$19,NA())</f>
        <v>3.9928992136138916E-3</v>
      </c>
      <c r="BK917" s="7" t="e">
        <f t="shared" si="186"/>
        <v>#N/A</v>
      </c>
      <c r="BL917" s="7" t="e">
        <f t="shared" ref="BL917:BL980" si="196">IF(ISNUMBER(BK917),BK917-$BL$19,NA())</f>
        <v>#N/A</v>
      </c>
    </row>
    <row r="918" spans="52:64" ht="11.25" customHeight="1">
      <c r="AZ918" s="7">
        <f t="shared" si="187"/>
        <v>0.998511001254762</v>
      </c>
      <c r="BA918" s="7">
        <f t="shared" ref="BA918:BA981" si="197">BA917+$BD$10</f>
        <v>2.9699999999998972</v>
      </c>
      <c r="BB918" s="7">
        <f t="shared" si="188"/>
        <v>4.8470329059804289E-3</v>
      </c>
      <c r="BC918" s="7" t="e">
        <f t="shared" si="189"/>
        <v>#N/A</v>
      </c>
      <c r="BD918" s="7">
        <f t="shared" si="190"/>
        <v>2.9699899999998971</v>
      </c>
      <c r="BE918" s="7">
        <f t="shared" si="191"/>
        <v>2.9700099999998972</v>
      </c>
      <c r="BF918" s="7">
        <f t="shared" si="192"/>
        <v>0.99297697041400512</v>
      </c>
      <c r="BG918" s="7">
        <f t="shared" si="193"/>
        <v>0.99297721061701605</v>
      </c>
      <c r="BH918" s="7" t="e">
        <f t="shared" si="194"/>
        <v>#N/A</v>
      </c>
      <c r="BI918" s="7">
        <f t="shared" ref="BI918:BI981" si="198">IF($BA$15=1,IF(OR(AND(BA918&gt;=$BI$18,$BN$18&gt;=0),AND(BA918&lt;=-$BI$18,$BN$18&lt;0)),BB918,NA()),IF($BA$15=2,IF(ABS(BA918)&gt;=$BI$18,BB918,NA()),NA()))</f>
        <v>4.8470329059804289E-3</v>
      </c>
      <c r="BJ918" s="7">
        <f t="shared" si="195"/>
        <v>3.8470329059804289E-3</v>
      </c>
      <c r="BK918" s="7" t="e">
        <f t="shared" ref="BK918:BK981" si="199">IF($BA$15=1,IF(OR(AND(BA918&gt;=$BK$18,$BN$18&gt;=0),AND(BA918&lt;=-$BK$18,$BN$18&lt;0)),BH918,NA()),IF($BA$15=2,IF(ABS(BA918)&gt;=$BK$18,BH918,NA()),NA()))</f>
        <v>#N/A</v>
      </c>
      <c r="BL918" s="7" t="e">
        <f t="shared" si="196"/>
        <v>#N/A</v>
      </c>
    </row>
    <row r="919" spans="52:64" ht="11.25" customHeight="1">
      <c r="AZ919" s="7">
        <f t="shared" si="187"/>
        <v>0.99855875808265959</v>
      </c>
      <c r="BA919" s="7">
        <f t="shared" si="197"/>
        <v>2.979999999999897</v>
      </c>
      <c r="BB919" s="7">
        <f t="shared" si="188"/>
        <v>4.704957526935425E-3</v>
      </c>
      <c r="BC919" s="7" t="e">
        <f t="shared" si="189"/>
        <v>#N/A</v>
      </c>
      <c r="BD919" s="7">
        <f t="shared" si="190"/>
        <v>2.9799899999998969</v>
      </c>
      <c r="BE919" s="7">
        <f t="shared" si="191"/>
        <v>2.980009999999897</v>
      </c>
      <c r="BF919" s="7">
        <f t="shared" si="192"/>
        <v>0.99309603753777231</v>
      </c>
      <c r="BG919" s="7">
        <f t="shared" si="193"/>
        <v>0.99309627360680819</v>
      </c>
      <c r="BH919" s="7" t="e">
        <f t="shared" si="194"/>
        <v>#N/A</v>
      </c>
      <c r="BI919" s="7">
        <f t="shared" si="198"/>
        <v>4.704957526935425E-3</v>
      </c>
      <c r="BJ919" s="7">
        <f t="shared" si="195"/>
        <v>3.704957526935425E-3</v>
      </c>
      <c r="BK919" s="7" t="e">
        <f t="shared" si="199"/>
        <v>#N/A</v>
      </c>
      <c r="BL919" s="7" t="e">
        <f t="shared" si="196"/>
        <v>#N/A</v>
      </c>
    </row>
    <row r="920" spans="52:64" ht="11.25" customHeight="1">
      <c r="AZ920" s="7">
        <f t="shared" si="187"/>
        <v>0.99860511276450714</v>
      </c>
      <c r="BA920" s="7">
        <f t="shared" si="197"/>
        <v>2.9899999999998967</v>
      </c>
      <c r="BB920" s="7">
        <f t="shared" si="188"/>
        <v>4.5665899546715556E-3</v>
      </c>
      <c r="BC920" s="7" t="e">
        <f t="shared" si="189"/>
        <v>#N/A</v>
      </c>
      <c r="BD920" s="7">
        <f t="shared" si="190"/>
        <v>2.9899899999998967</v>
      </c>
      <c r="BE920" s="7">
        <f t="shared" si="191"/>
        <v>2.9900099999998968</v>
      </c>
      <c r="BF920" s="7">
        <f t="shared" si="192"/>
        <v>0.99321305527288917</v>
      </c>
      <c r="BG920" s="7">
        <f t="shared" si="193"/>
        <v>0.9932132872782955</v>
      </c>
      <c r="BH920" s="7" t="e">
        <f t="shared" si="194"/>
        <v>#N/A</v>
      </c>
      <c r="BI920" s="7">
        <f t="shared" si="198"/>
        <v>4.5665899546715556E-3</v>
      </c>
      <c r="BJ920" s="7">
        <f t="shared" si="195"/>
        <v>3.5665899546715556E-3</v>
      </c>
      <c r="BK920" s="7" t="e">
        <f t="shared" si="199"/>
        <v>#N/A</v>
      </c>
      <c r="BL920" s="7" t="e">
        <f t="shared" si="196"/>
        <v>#N/A</v>
      </c>
    </row>
    <row r="921" spans="52:64" ht="11.25" customHeight="1">
      <c r="AZ921" s="7">
        <f t="shared" si="187"/>
        <v>0.99865010196836945</v>
      </c>
      <c r="BA921" s="7">
        <f t="shared" si="197"/>
        <v>2.9999999999998965</v>
      </c>
      <c r="BB921" s="7">
        <f t="shared" si="188"/>
        <v>4.4318484119393849E-3</v>
      </c>
      <c r="BC921" s="7" t="e">
        <f t="shared" si="189"/>
        <v>#N/A</v>
      </c>
      <c r="BD921" s="7">
        <f t="shared" si="190"/>
        <v>2.9999899999998965</v>
      </c>
      <c r="BE921" s="7">
        <f t="shared" si="191"/>
        <v>3.0000099999998966</v>
      </c>
      <c r="BF921" s="7">
        <f t="shared" si="192"/>
        <v>0.99332805850791561</v>
      </c>
      <c r="BG921" s="7">
        <f t="shared" si="193"/>
        <v>0.99332828651890148</v>
      </c>
      <c r="BH921" s="7" t="e">
        <f t="shared" si="194"/>
        <v>#N/A</v>
      </c>
      <c r="BI921" s="7">
        <f t="shared" si="198"/>
        <v>4.4318484119393849E-3</v>
      </c>
      <c r="BJ921" s="7">
        <f t="shared" si="195"/>
        <v>3.4318484119393849E-3</v>
      </c>
      <c r="BK921" s="7" t="e">
        <f t="shared" si="199"/>
        <v>#N/A</v>
      </c>
      <c r="BL921" s="7" t="e">
        <f t="shared" si="196"/>
        <v>#N/A</v>
      </c>
    </row>
    <row r="922" spans="52:64" ht="11.25" customHeight="1">
      <c r="AZ922" s="7">
        <f t="shared" si="187"/>
        <v>0.99869376155122991</v>
      </c>
      <c r="BA922" s="7">
        <f t="shared" si="197"/>
        <v>3.0099999999998963</v>
      </c>
      <c r="BB922" s="7">
        <f t="shared" si="188"/>
        <v>4.3006524587317898E-3</v>
      </c>
      <c r="BC922" s="7" t="e">
        <f t="shared" si="189"/>
        <v>#N/A</v>
      </c>
      <c r="BD922" s="7">
        <f t="shared" si="190"/>
        <v>3.0099899999998962</v>
      </c>
      <c r="BE922" s="7">
        <f t="shared" si="191"/>
        <v>3.0100099999998964</v>
      </c>
      <c r="BF922" s="7">
        <f t="shared" si="192"/>
        <v>0.99344108156723188</v>
      </c>
      <c r="BG922" s="7">
        <f t="shared" si="193"/>
        <v>0.99344130565188615</v>
      </c>
      <c r="BH922" s="7" t="e">
        <f t="shared" si="194"/>
        <v>#N/A</v>
      </c>
      <c r="BI922" s="7">
        <f t="shared" si="198"/>
        <v>4.3006524587317898E-3</v>
      </c>
      <c r="BJ922" s="7">
        <f t="shared" si="195"/>
        <v>3.3006524587317898E-3</v>
      </c>
      <c r="BK922" s="7" t="e">
        <f t="shared" si="199"/>
        <v>#N/A</v>
      </c>
      <c r="BL922" s="7" t="e">
        <f t="shared" si="196"/>
        <v>#N/A</v>
      </c>
    </row>
    <row r="923" spans="52:64" ht="11.25" customHeight="1">
      <c r="AZ923" s="7">
        <f t="shared" si="187"/>
        <v>0.99873612657232713</v>
      </c>
      <c r="BA923" s="7">
        <f t="shared" si="197"/>
        <v>3.0199999999998961</v>
      </c>
      <c r="BB923" s="7">
        <f t="shared" si="188"/>
        <v>4.1729229845252694E-3</v>
      </c>
      <c r="BC923" s="7" t="e">
        <f t="shared" si="189"/>
        <v>#N/A</v>
      </c>
      <c r="BD923" s="7">
        <f t="shared" si="190"/>
        <v>3.019989999999896</v>
      </c>
      <c r="BE923" s="7">
        <f t="shared" si="191"/>
        <v>3.0200099999998962</v>
      </c>
      <c r="BF923" s="7">
        <f t="shared" si="192"/>
        <v>0.99355215821901655</v>
      </c>
      <c r="BG923" s="7">
        <f t="shared" si="193"/>
        <v>0.99355237844432354</v>
      </c>
      <c r="BH923" s="7" t="e">
        <f t="shared" si="194"/>
        <v>#N/A</v>
      </c>
      <c r="BI923" s="7">
        <f t="shared" si="198"/>
        <v>4.1729229845252694E-3</v>
      </c>
      <c r="BJ923" s="7">
        <f t="shared" si="195"/>
        <v>3.1729229845252694E-3</v>
      </c>
      <c r="BK923" s="7" t="e">
        <f t="shared" si="199"/>
        <v>#N/A</v>
      </c>
      <c r="BL923" s="7" t="e">
        <f t="shared" si="196"/>
        <v>#N/A</v>
      </c>
    </row>
    <row r="924" spans="52:64" ht="11.25" customHeight="1">
      <c r="AZ924" s="7">
        <f t="shared" si="187"/>
        <v>0.99877723130640739</v>
      </c>
      <c r="BA924" s="7">
        <f t="shared" si="197"/>
        <v>3.0299999999998959</v>
      </c>
      <c r="BB924" s="7">
        <f t="shared" si="188"/>
        <v>4.0485822000957059E-3</v>
      </c>
      <c r="BC924" s="7" t="e">
        <f t="shared" si="189"/>
        <v>#N/A</v>
      </c>
      <c r="BD924" s="7">
        <f t="shared" si="190"/>
        <v>3.0299899999998958</v>
      </c>
      <c r="BE924" s="7">
        <f t="shared" si="191"/>
        <v>3.030009999999896</v>
      </c>
      <c r="BF924" s="7">
        <f t="shared" si="192"/>
        <v>0.99366132168315024</v>
      </c>
      <c r="BG924" s="7">
        <f t="shared" si="193"/>
        <v>0.99366153811500546</v>
      </c>
      <c r="BH924" s="7" t="e">
        <f t="shared" si="194"/>
        <v>#N/A</v>
      </c>
      <c r="BI924" s="7">
        <f t="shared" si="198"/>
        <v>4.0485822000957059E-3</v>
      </c>
      <c r="BJ924" s="7">
        <f t="shared" si="195"/>
        <v>3.0485822000957058E-3</v>
      </c>
      <c r="BK924" s="7" t="e">
        <f t="shared" si="199"/>
        <v>#N/A</v>
      </c>
      <c r="BL924" s="7" t="e">
        <f t="shared" si="196"/>
        <v>#N/A</v>
      </c>
    </row>
    <row r="925" spans="52:64" ht="11.25" customHeight="1">
      <c r="AZ925" s="7">
        <f t="shared" si="187"/>
        <v>0.99881710925689526</v>
      </c>
      <c r="BA925" s="7">
        <f t="shared" si="197"/>
        <v>3.0399999999998957</v>
      </c>
      <c r="BB925" s="7">
        <f t="shared" si="188"/>
        <v>3.9275536289260244E-3</v>
      </c>
      <c r="BC925" s="7" t="e">
        <f t="shared" si="189"/>
        <v>#N/A</v>
      </c>
      <c r="BD925" s="7">
        <f t="shared" si="190"/>
        <v>3.0399899999998956</v>
      </c>
      <c r="BE925" s="7">
        <f t="shared" si="191"/>
        <v>3.0400099999998957</v>
      </c>
      <c r="BF925" s="7">
        <f t="shared" si="192"/>
        <v>0.99376860463904459</v>
      </c>
      <c r="BG925" s="7">
        <f t="shared" si="193"/>
        <v>0.99376881734227074</v>
      </c>
      <c r="BH925" s="7" t="e">
        <f t="shared" si="194"/>
        <v>#N/A</v>
      </c>
      <c r="BI925" s="7">
        <f t="shared" si="198"/>
        <v>3.9275536289260244E-3</v>
      </c>
      <c r="BJ925" s="7">
        <f t="shared" si="195"/>
        <v>2.9275536289260244E-3</v>
      </c>
      <c r="BK925" s="7" t="e">
        <f t="shared" si="199"/>
        <v>#N/A</v>
      </c>
      <c r="BL925" s="7" t="e">
        <f t="shared" si="196"/>
        <v>#N/A</v>
      </c>
    </row>
    <row r="926" spans="52:64" ht="11.25" customHeight="1">
      <c r="AZ926" s="7">
        <f t="shared" si="187"/>
        <v>0.99885579316897721</v>
      </c>
      <c r="BA926" s="7">
        <f t="shared" si="197"/>
        <v>3.0499999999998955</v>
      </c>
      <c r="BB926" s="7">
        <f t="shared" si="188"/>
        <v>3.8097620982230208E-3</v>
      </c>
      <c r="BC926" s="7" t="e">
        <f t="shared" si="189"/>
        <v>#N/A</v>
      </c>
      <c r="BD926" s="7">
        <f t="shared" si="190"/>
        <v>3.0499899999998954</v>
      </c>
      <c r="BE926" s="7">
        <f t="shared" si="191"/>
        <v>3.0500099999998955</v>
      </c>
      <c r="BF926" s="7">
        <f t="shared" si="192"/>
        <v>0.9938740392333959</v>
      </c>
      <c r="BG926" s="7">
        <f t="shared" si="193"/>
        <v>0.99387424827175763</v>
      </c>
      <c r="BH926" s="7" t="e">
        <f t="shared" si="194"/>
        <v>#N/A</v>
      </c>
      <c r="BI926" s="7">
        <f t="shared" si="198"/>
        <v>3.8097620982230208E-3</v>
      </c>
      <c r="BJ926" s="7">
        <f t="shared" si="195"/>
        <v>2.8097620982230208E-3</v>
      </c>
      <c r="BK926" s="7" t="e">
        <f t="shared" si="199"/>
        <v>#N/A</v>
      </c>
      <c r="BL926" s="7" t="e">
        <f t="shared" si="196"/>
        <v>#N/A</v>
      </c>
    </row>
    <row r="927" spans="52:64" ht="11.25" customHeight="1">
      <c r="AZ927" s="7">
        <f t="shared" si="187"/>
        <v>0.99889331504259049</v>
      </c>
      <c r="BA927" s="7">
        <f t="shared" si="197"/>
        <v>3.0599999999998952</v>
      </c>
      <c r="BB927" s="7">
        <f t="shared" si="188"/>
        <v>3.6951337295602188E-3</v>
      </c>
      <c r="BC927" s="7" t="e">
        <f t="shared" si="189"/>
        <v>#N/A</v>
      </c>
      <c r="BD927" s="7">
        <f t="shared" si="190"/>
        <v>3.0599899999998952</v>
      </c>
      <c r="BE927" s="7">
        <f t="shared" si="191"/>
        <v>3.0600099999998953</v>
      </c>
      <c r="BF927" s="7">
        <f t="shared" si="192"/>
        <v>0.99397765708786223</v>
      </c>
      <c r="BG927" s="7">
        <f t="shared" si="193"/>
        <v>0.99397786252408182</v>
      </c>
      <c r="BH927" s="7" t="e">
        <f t="shared" si="194"/>
        <v>#N/A</v>
      </c>
      <c r="BI927" s="7">
        <f t="shared" si="198"/>
        <v>3.6951337295602188E-3</v>
      </c>
      <c r="BJ927" s="7">
        <f t="shared" si="195"/>
        <v>2.6951337295602188E-3</v>
      </c>
      <c r="BK927" s="7" t="e">
        <f t="shared" si="199"/>
        <v>#N/A</v>
      </c>
      <c r="BL927" s="7" t="e">
        <f t="shared" si="196"/>
        <v>#N/A</v>
      </c>
    </row>
    <row r="928" spans="52:64" ht="11.25" customHeight="1">
      <c r="AZ928" s="7">
        <f t="shared" si="187"/>
        <v>0.99892970614532062</v>
      </c>
      <c r="BA928" s="7">
        <f t="shared" si="197"/>
        <v>3.069999999999895</v>
      </c>
      <c r="BB928" s="7">
        <f t="shared" si="188"/>
        <v>3.5835959291635132E-3</v>
      </c>
      <c r="BC928" s="7" t="e">
        <f t="shared" si="189"/>
        <v>#N/A</v>
      </c>
      <c r="BD928" s="7">
        <f t="shared" si="190"/>
        <v>3.069989999999895</v>
      </c>
      <c r="BE928" s="7">
        <f t="shared" si="191"/>
        <v>3.0700099999998951</v>
      </c>
      <c r="BF928" s="7">
        <f t="shared" si="192"/>
        <v>0.99407948930666412</v>
      </c>
      <c r="BG928" s="7">
        <f t="shared" si="193"/>
        <v>0.99407969120243656</v>
      </c>
      <c r="BH928" s="7" t="e">
        <f t="shared" si="194"/>
        <v>#N/A</v>
      </c>
      <c r="BI928" s="7">
        <f t="shared" si="198"/>
        <v>3.5835959291635132E-3</v>
      </c>
      <c r="BJ928" s="7">
        <f t="shared" si="195"/>
        <v>2.5835959291635132E-3</v>
      </c>
      <c r="BK928" s="7" t="e">
        <f t="shared" si="199"/>
        <v>#N/A</v>
      </c>
      <c r="BL928" s="7" t="e">
        <f t="shared" si="196"/>
        <v>#N/A</v>
      </c>
    </row>
    <row r="929" spans="52:64" ht="11.25" customHeight="1">
      <c r="AZ929" s="7">
        <f t="shared" si="187"/>
        <v>0.99896499702519748</v>
      </c>
      <c r="BA929" s="7">
        <f t="shared" si="197"/>
        <v>3.0799999999998948</v>
      </c>
      <c r="BB929" s="7">
        <f t="shared" si="188"/>
        <v>3.4750773778560637E-3</v>
      </c>
      <c r="BC929" s="7" t="e">
        <f t="shared" si="189"/>
        <v>#N/A</v>
      </c>
      <c r="BD929" s="7">
        <f t="shared" si="190"/>
        <v>3.0799899999998948</v>
      </c>
      <c r="BE929" s="7">
        <f t="shared" si="191"/>
        <v>3.0800099999998949</v>
      </c>
      <c r="BF929" s="7">
        <f t="shared" si="192"/>
        <v>0.99417956648410888</v>
      </c>
      <c r="BG929" s="7">
        <f t="shared" si="193"/>
        <v>0.99417976490011695</v>
      </c>
      <c r="BH929" s="7" t="e">
        <f t="shared" si="194"/>
        <v>#N/A</v>
      </c>
      <c r="BI929" s="7">
        <f t="shared" si="198"/>
        <v>3.4750773778560637E-3</v>
      </c>
      <c r="BJ929" s="7">
        <f t="shared" si="195"/>
        <v>2.4750773778560637E-3</v>
      </c>
      <c r="BK929" s="7" t="e">
        <f t="shared" si="199"/>
        <v>#N/A</v>
      </c>
      <c r="BL929" s="7" t="e">
        <f t="shared" si="196"/>
        <v>#N/A</v>
      </c>
    </row>
    <row r="930" spans="52:64" ht="11.25" customHeight="1">
      <c r="AZ930" s="7">
        <f t="shared" si="187"/>
        <v>0.99899921752338572</v>
      </c>
      <c r="BA930" s="7">
        <f t="shared" si="197"/>
        <v>3.0899999999998946</v>
      </c>
      <c r="BB930" s="7">
        <f t="shared" si="188"/>
        <v>3.3695080206785789E-3</v>
      </c>
      <c r="BC930" s="7" t="e">
        <f t="shared" si="189"/>
        <v>#N/A</v>
      </c>
      <c r="BD930" s="7">
        <f t="shared" si="190"/>
        <v>3.0899899999998945</v>
      </c>
      <c r="BE930" s="7">
        <f t="shared" si="191"/>
        <v>3.0900099999998947</v>
      </c>
      <c r="BF930" s="7">
        <f t="shared" si="192"/>
        <v>0.99427791871203719</v>
      </c>
      <c r="BG930" s="7">
        <f t="shared" si="193"/>
        <v>0.99427811370796582</v>
      </c>
      <c r="BH930" s="7" t="e">
        <f t="shared" si="194"/>
        <v>#N/A</v>
      </c>
      <c r="BI930" s="7">
        <f t="shared" si="198"/>
        <v>3.3695080206785789E-3</v>
      </c>
      <c r="BJ930" s="7">
        <f t="shared" si="195"/>
        <v>2.3695080206785788E-3</v>
      </c>
      <c r="BK930" s="7" t="e">
        <f t="shared" si="199"/>
        <v>#N/A</v>
      </c>
      <c r="BL930" s="7" t="e">
        <f t="shared" si="196"/>
        <v>#N/A</v>
      </c>
    </row>
    <row r="931" spans="52:64" ht="11.25" customHeight="1">
      <c r="AZ931" s="7">
        <f t="shared" si="187"/>
        <v>0.9990323967867818</v>
      </c>
      <c r="BA931" s="7">
        <f t="shared" si="197"/>
        <v>3.0999999999998944</v>
      </c>
      <c r="BB931" s="7">
        <f t="shared" si="188"/>
        <v>3.2668190562009885E-3</v>
      </c>
      <c r="BC931" s="7" t="e">
        <f t="shared" si="189"/>
        <v>#N/A</v>
      </c>
      <c r="BD931" s="7">
        <f t="shared" si="190"/>
        <v>3.0999899999998943</v>
      </c>
      <c r="BE931" s="7">
        <f t="shared" si="191"/>
        <v>3.1000099999998945</v>
      </c>
      <c r="BF931" s="7">
        <f t="shared" si="192"/>
        <v>0.99437457558719178</v>
      </c>
      <c r="BG931" s="7">
        <f t="shared" si="193"/>
        <v>0.99437476722174345</v>
      </c>
      <c r="BH931" s="7" t="e">
        <f t="shared" si="194"/>
        <v>#N/A</v>
      </c>
      <c r="BI931" s="7">
        <f t="shared" si="198"/>
        <v>3.2668190562009885E-3</v>
      </c>
      <c r="BJ931" s="7">
        <f t="shared" si="195"/>
        <v>2.2668190562009885E-3</v>
      </c>
      <c r="BK931" s="7" t="e">
        <f t="shared" si="199"/>
        <v>#N/A</v>
      </c>
      <c r="BL931" s="7" t="e">
        <f t="shared" si="196"/>
        <v>#N/A</v>
      </c>
    </row>
    <row r="932" spans="52:64" ht="11.25" customHeight="1">
      <c r="AZ932" s="7">
        <f t="shared" si="187"/>
        <v>0.99906456328048532</v>
      </c>
      <c r="BA932" s="7">
        <f t="shared" si="197"/>
        <v>3.1099999999998942</v>
      </c>
      <c r="BB932" s="7">
        <f t="shared" si="188"/>
        <v>3.166942925541121E-3</v>
      </c>
      <c r="BC932" s="7" t="e">
        <f t="shared" si="189"/>
        <v>#N/A</v>
      </c>
      <c r="BD932" s="7">
        <f t="shared" si="190"/>
        <v>3.1099899999998941</v>
      </c>
      <c r="BE932" s="7">
        <f t="shared" si="191"/>
        <v>3.1100099999998942</v>
      </c>
      <c r="BF932" s="7">
        <f t="shared" si="192"/>
        <v>0.99446956621850924</v>
      </c>
      <c r="BG932" s="7">
        <f t="shared" si="193"/>
        <v>0.99446975454941788</v>
      </c>
      <c r="BH932" s="7" t="e">
        <f t="shared" si="194"/>
        <v>#N/A</v>
      </c>
      <c r="BI932" s="7">
        <f t="shared" si="198"/>
        <v>3.166942925541121E-3</v>
      </c>
      <c r="BJ932" s="7">
        <f t="shared" si="195"/>
        <v>2.166942925541121E-3</v>
      </c>
      <c r="BK932" s="7" t="e">
        <f t="shared" si="199"/>
        <v>#N/A</v>
      </c>
      <c r="BL932" s="7" t="e">
        <f t="shared" si="196"/>
        <v>#N/A</v>
      </c>
    </row>
    <row r="933" spans="52:64" ht="11.25" customHeight="1">
      <c r="AZ933" s="7">
        <f t="shared" si="187"/>
        <v>0.9990957448001776</v>
      </c>
      <c r="BA933" s="7">
        <f t="shared" si="197"/>
        <v>3.119999999999894</v>
      </c>
      <c r="BB933" s="7">
        <f t="shared" si="188"/>
        <v>3.0698133011057569E-3</v>
      </c>
      <c r="BC933" s="7" t="e">
        <f t="shared" si="189"/>
        <v>#N/A</v>
      </c>
      <c r="BD933" s="7">
        <f t="shared" si="190"/>
        <v>3.1199899999998939</v>
      </c>
      <c r="BE933" s="7">
        <f t="shared" si="191"/>
        <v>3.120009999999894</v>
      </c>
      <c r="BF933" s="7">
        <f t="shared" si="192"/>
        <v>0.99456291923433304</v>
      </c>
      <c r="BG933" s="7">
        <f t="shared" si="193"/>
        <v>0.99456310431837847</v>
      </c>
      <c r="BH933" s="7" t="e">
        <f t="shared" si="194"/>
        <v>#N/A</v>
      </c>
      <c r="BI933" s="7">
        <f t="shared" si="198"/>
        <v>3.0698133011057569E-3</v>
      </c>
      <c r="BJ933" s="7">
        <f t="shared" si="195"/>
        <v>2.0698133011057569E-3</v>
      </c>
      <c r="BK933" s="7" t="e">
        <f t="shared" si="199"/>
        <v>#N/A</v>
      </c>
      <c r="BL933" s="7" t="e">
        <f t="shared" si="196"/>
        <v>#N/A</v>
      </c>
    </row>
    <row r="934" spans="52:64" ht="11.25" customHeight="1">
      <c r="AZ934" s="7">
        <f t="shared" si="187"/>
        <v>0.99912596848436785</v>
      </c>
      <c r="BA934" s="7">
        <f t="shared" si="197"/>
        <v>3.1299999999998938</v>
      </c>
      <c r="BB934" s="7">
        <f t="shared" si="188"/>
        <v>2.9753650750692414E-3</v>
      </c>
      <c r="BC934" s="7" t="e">
        <f t="shared" si="189"/>
        <v>#N/A</v>
      </c>
      <c r="BD934" s="7">
        <f t="shared" si="190"/>
        <v>3.1299899999998937</v>
      </c>
      <c r="BE934" s="7">
        <f t="shared" si="191"/>
        <v>3.1300099999998938</v>
      </c>
      <c r="BF934" s="7">
        <f t="shared" si="192"/>
        <v>0.99465466278954806</v>
      </c>
      <c r="BG934" s="7">
        <f t="shared" si="193"/>
        <v>0.99465484468257048</v>
      </c>
      <c r="BH934" s="7" t="e">
        <f t="shared" si="194"/>
        <v>#N/A</v>
      </c>
      <c r="BI934" s="7">
        <f t="shared" si="198"/>
        <v>2.9753650750692414E-3</v>
      </c>
      <c r="BJ934" s="7">
        <f t="shared" si="195"/>
        <v>1.9753650750692414E-3</v>
      </c>
      <c r="BK934" s="7" t="e">
        <f t="shared" si="199"/>
        <v>#N/A</v>
      </c>
      <c r="BL934" s="7" t="e">
        <f t="shared" si="196"/>
        <v>#N/A</v>
      </c>
    </row>
    <row r="935" spans="52:64" ht="11.25" customHeight="1">
      <c r="AZ935" s="7">
        <f t="shared" si="187"/>
        <v>0.99915526082654149</v>
      </c>
      <c r="BA935" s="7">
        <f t="shared" si="197"/>
        <v>3.1399999999998935</v>
      </c>
      <c r="BB935" s="7">
        <f t="shared" si="188"/>
        <v>2.8835343476044041E-3</v>
      </c>
      <c r="BC935" s="7" t="e">
        <f t="shared" si="189"/>
        <v>#N/A</v>
      </c>
      <c r="BD935" s="7">
        <f t="shared" si="190"/>
        <v>3.1399899999998935</v>
      </c>
      <c r="BE935" s="7">
        <f t="shared" si="191"/>
        <v>3.1400099999998936</v>
      </c>
      <c r="BF935" s="7">
        <f t="shared" si="192"/>
        <v>0.99474482457263791</v>
      </c>
      <c r="BG935" s="7">
        <f t="shared" si="193"/>
        <v>0.99474500332955151</v>
      </c>
      <c r="BH935" s="7" t="e">
        <f t="shared" si="194"/>
        <v>#N/A</v>
      </c>
      <c r="BI935" s="7">
        <f t="shared" si="198"/>
        <v>2.8835343476044041E-3</v>
      </c>
      <c r="BJ935" s="7">
        <f t="shared" si="195"/>
        <v>1.8835343476044041E-3</v>
      </c>
      <c r="BK935" s="7" t="e">
        <f t="shared" si="199"/>
        <v>#N/A</v>
      </c>
      <c r="BL935" s="7" t="e">
        <f t="shared" si="196"/>
        <v>#N/A</v>
      </c>
    </row>
    <row r="936" spans="52:64" ht="11.25" customHeight="1">
      <c r="AZ936" s="7">
        <f t="shared" si="187"/>
        <v>0.99918364768717149</v>
      </c>
      <c r="BA936" s="7">
        <f t="shared" si="197"/>
        <v>3.1499999999998933</v>
      </c>
      <c r="BB936" s="7">
        <f t="shared" si="188"/>
        <v>2.7942584148803848E-3</v>
      </c>
      <c r="BC936" s="7" t="e">
        <f t="shared" si="189"/>
        <v>#N/A</v>
      </c>
      <c r="BD936" s="7">
        <f t="shared" si="190"/>
        <v>3.1499899999998933</v>
      </c>
      <c r="BE936" s="7">
        <f t="shared" si="191"/>
        <v>3.1500099999998934</v>
      </c>
      <c r="BF936" s="7">
        <f t="shared" si="192"/>
        <v>0.99483343181266226</v>
      </c>
      <c r="BG936" s="7">
        <f t="shared" si="193"/>
        <v>0.99483360748746963</v>
      </c>
      <c r="BH936" s="7" t="e">
        <f t="shared" si="194"/>
        <v>#N/A</v>
      </c>
      <c r="BI936" s="7">
        <f t="shared" si="198"/>
        <v>2.7942584148803848E-3</v>
      </c>
      <c r="BJ936" s="7">
        <f t="shared" si="195"/>
        <v>1.7942584148803848E-3</v>
      </c>
      <c r="BK936" s="7" t="e">
        <f t="shared" si="199"/>
        <v>#N/A</v>
      </c>
      <c r="BL936" s="7" t="e">
        <f t="shared" si="196"/>
        <v>#N/A</v>
      </c>
    </row>
    <row r="937" spans="52:64" ht="11.25" customHeight="1">
      <c r="AZ937" s="7">
        <f t="shared" si="187"/>
        <v>0.99921115430562391</v>
      </c>
      <c r="BA937" s="7">
        <f t="shared" si="197"/>
        <v>3.1599999999998931</v>
      </c>
      <c r="BB937" s="7">
        <f t="shared" si="188"/>
        <v>2.7074757568416158E-3</v>
      </c>
      <c r="BC937" s="7" t="e">
        <f t="shared" si="189"/>
        <v>#N/A</v>
      </c>
      <c r="BD937" s="7">
        <f t="shared" si="190"/>
        <v>3.1599899999998931</v>
      </c>
      <c r="BE937" s="7">
        <f t="shared" si="191"/>
        <v>3.1600099999998932</v>
      </c>
      <c r="BF937" s="7">
        <f t="shared" si="192"/>
        <v>0.99492051128615733</v>
      </c>
      <c r="BG937" s="7">
        <f t="shared" si="193"/>
        <v>0.99492068393196254</v>
      </c>
      <c r="BH937" s="7" t="e">
        <f t="shared" si="194"/>
        <v>#N/A</v>
      </c>
      <c r="BI937" s="7">
        <f t="shared" si="198"/>
        <v>2.7074757568416158E-3</v>
      </c>
      <c r="BJ937" s="7">
        <f t="shared" si="195"/>
        <v>1.7074757568416158E-3</v>
      </c>
      <c r="BK937" s="7" t="e">
        <f t="shared" si="199"/>
        <v>#N/A</v>
      </c>
      <c r="BL937" s="7" t="e">
        <f t="shared" si="196"/>
        <v>#N/A</v>
      </c>
    </row>
    <row r="938" spans="52:64" ht="11.25" customHeight="1">
      <c r="AZ938" s="7">
        <f t="shared" si="187"/>
        <v>0.99923780531193263</v>
      </c>
      <c r="BA938" s="7">
        <f t="shared" si="197"/>
        <v>3.1699999999998929</v>
      </c>
      <c r="BB938" s="7">
        <f t="shared" si="188"/>
        <v>2.6231260247819139E-3</v>
      </c>
      <c r="BC938" s="7" t="e">
        <f t="shared" si="189"/>
        <v>#N/A</v>
      </c>
      <c r="BD938" s="7">
        <f t="shared" si="190"/>
        <v>3.1699899999998928</v>
      </c>
      <c r="BE938" s="7">
        <f t="shared" si="191"/>
        <v>3.170009999999893</v>
      </c>
      <c r="BF938" s="7">
        <f t="shared" si="192"/>
        <v>0.99500608932395662</v>
      </c>
      <c r="BG938" s="7">
        <f t="shared" si="193"/>
        <v>0.99500625899297934</v>
      </c>
      <c r="BH938" s="7" t="e">
        <f t="shared" si="194"/>
        <v>#N/A</v>
      </c>
      <c r="BI938" s="7">
        <f t="shared" si="198"/>
        <v>2.6231260247819139E-3</v>
      </c>
      <c r="BJ938" s="7">
        <f t="shared" si="195"/>
        <v>1.6231260247819138E-3</v>
      </c>
      <c r="BK938" s="7" t="e">
        <f t="shared" si="199"/>
        <v>#N/A</v>
      </c>
      <c r="BL938" s="7" t="e">
        <f t="shared" si="196"/>
        <v>#N/A</v>
      </c>
    </row>
    <row r="939" spans="52:64" ht="11.25" customHeight="1">
      <c r="AZ939" s="7">
        <f t="shared" si="187"/>
        <v>0.99926362473844588</v>
      </c>
      <c r="BA939" s="7">
        <f t="shared" si="197"/>
        <v>3.1799999999998927</v>
      </c>
      <c r="BB939" s="7">
        <f t="shared" si="188"/>
        <v>2.5411500287273901E-3</v>
      </c>
      <c r="BC939" s="7" t="e">
        <f t="shared" si="189"/>
        <v>#N/A</v>
      </c>
      <c r="BD939" s="7">
        <f t="shared" si="190"/>
        <v>3.1799899999998926</v>
      </c>
      <c r="BE939" s="7">
        <f t="shared" si="191"/>
        <v>3.1800099999998928</v>
      </c>
      <c r="BF939" s="7">
        <f t="shared" si="192"/>
        <v>0.99509019181793379</v>
      </c>
      <c r="BG939" s="7">
        <f t="shared" si="193"/>
        <v>0.99509035856152228</v>
      </c>
      <c r="BH939" s="7" t="e">
        <f t="shared" si="194"/>
        <v>#N/A</v>
      </c>
      <c r="BI939" s="7">
        <f t="shared" si="198"/>
        <v>2.5411500287273901E-3</v>
      </c>
      <c r="BJ939" s="7">
        <f t="shared" si="195"/>
        <v>1.5411500287273901E-3</v>
      </c>
      <c r="BK939" s="7" t="e">
        <f t="shared" si="199"/>
        <v>#N/A</v>
      </c>
      <c r="BL939" s="7" t="e">
        <f t="shared" si="196"/>
        <v>#N/A</v>
      </c>
    </row>
    <row r="940" spans="52:64" ht="11.25" customHeight="1">
      <c r="AZ940" s="7">
        <f t="shared" si="187"/>
        <v>0.99928863603135398</v>
      </c>
      <c r="BA940" s="7">
        <f t="shared" si="197"/>
        <v>3.1899999999998925</v>
      </c>
      <c r="BB940" s="7">
        <f t="shared" si="188"/>
        <v>2.4614897246415441E-3</v>
      </c>
      <c r="BC940" s="7" t="e">
        <f t="shared" si="189"/>
        <v>#N/A</v>
      </c>
      <c r="BD940" s="7">
        <f t="shared" si="190"/>
        <v>3.1899899999998924</v>
      </c>
      <c r="BE940" s="7">
        <f t="shared" si="191"/>
        <v>3.1900099999998925</v>
      </c>
      <c r="BF940" s="7">
        <f t="shared" si="192"/>
        <v>0.99517284422766672</v>
      </c>
      <c r="BG940" s="7">
        <f t="shared" si="193"/>
        <v>0.99517300809631148</v>
      </c>
      <c r="BH940" s="7" t="e">
        <f t="shared" si="194"/>
        <v>#N/A</v>
      </c>
      <c r="BI940" s="7">
        <f t="shared" si="198"/>
        <v>2.4614897246415441E-3</v>
      </c>
      <c r="BJ940" s="7">
        <f t="shared" si="195"/>
        <v>1.4614897246415441E-3</v>
      </c>
      <c r="BK940" s="7" t="e">
        <f t="shared" si="199"/>
        <v>#N/A</v>
      </c>
      <c r="BL940" s="7" t="e">
        <f t="shared" si="196"/>
        <v>#N/A</v>
      </c>
    </row>
    <row r="941" spans="52:64" ht="11.25" customHeight="1">
      <c r="AZ941" s="7">
        <f t="shared" si="187"/>
        <v>0.9993128620620837</v>
      </c>
      <c r="BA941" s="7">
        <f t="shared" si="197"/>
        <v>3.1999999999998923</v>
      </c>
      <c r="BB941" s="7">
        <f t="shared" si="188"/>
        <v>2.3840882014656635E-3</v>
      </c>
      <c r="BC941" s="7" t="e">
        <f t="shared" si="189"/>
        <v>#N/A</v>
      </c>
      <c r="BD941" s="7">
        <f t="shared" si="190"/>
        <v>3.1999899999998922</v>
      </c>
      <c r="BE941" s="7">
        <f t="shared" si="191"/>
        <v>3.2000099999998923</v>
      </c>
      <c r="BF941" s="7">
        <f t="shared" si="192"/>
        <v>0.99525407158702417</v>
      </c>
      <c r="BG941" s="7">
        <f t="shared" si="193"/>
        <v>0.99525423263037072</v>
      </c>
      <c r="BH941" s="7" t="e">
        <f t="shared" si="194"/>
        <v>#N/A</v>
      </c>
      <c r="BI941" s="7">
        <f t="shared" si="198"/>
        <v>2.3840882014656635E-3</v>
      </c>
      <c r="BJ941" s="7">
        <f t="shared" si="195"/>
        <v>1.3840882014656635E-3</v>
      </c>
      <c r="BK941" s="7" t="e">
        <f t="shared" si="199"/>
        <v>#N/A</v>
      </c>
      <c r="BL941" s="7" t="e">
        <f t="shared" si="196"/>
        <v>#N/A</v>
      </c>
    </row>
    <row r="942" spans="52:64" ht="11.25" customHeight="1">
      <c r="AZ942" s="7">
        <f t="shared" si="187"/>
        <v>0.99933632513855986</v>
      </c>
      <c r="BA942" s="7">
        <f t="shared" si="197"/>
        <v>3.2099999999998921</v>
      </c>
      <c r="BB942" s="7">
        <f t="shared" si="188"/>
        <v>2.308889668007295E-3</v>
      </c>
      <c r="BC942" s="7" t="e">
        <f t="shared" si="189"/>
        <v>#N/A</v>
      </c>
      <c r="BD942" s="7">
        <f t="shared" si="190"/>
        <v>3.209989999999892</v>
      </c>
      <c r="BE942" s="7">
        <f t="shared" si="191"/>
        <v>3.2100099999998921</v>
      </c>
      <c r="BF942" s="7">
        <f t="shared" si="192"/>
        <v>0.99533389851067333</v>
      </c>
      <c r="BG942" s="7">
        <f t="shared" si="193"/>
        <v>0.99533405677753539</v>
      </c>
      <c r="BH942" s="7" t="e">
        <f t="shared" si="194"/>
        <v>#N/A</v>
      </c>
      <c r="BI942" s="7">
        <f t="shared" si="198"/>
        <v>2.308889668007295E-3</v>
      </c>
      <c r="BJ942" s="7">
        <f t="shared" si="195"/>
        <v>1.308889668007295E-3</v>
      </c>
      <c r="BK942" s="7" t="e">
        <f t="shared" si="199"/>
        <v>#N/A</v>
      </c>
      <c r="BL942" s="7" t="e">
        <f t="shared" si="196"/>
        <v>#N/A</v>
      </c>
    </row>
    <row r="943" spans="52:64" ht="11.25" customHeight="1">
      <c r="AZ943" s="7">
        <f t="shared" si="187"/>
        <v>0.99935904701633971</v>
      </c>
      <c r="BA943" s="7">
        <f t="shared" si="197"/>
        <v>3.2199999999998918</v>
      </c>
      <c r="BB943" s="7">
        <f t="shared" si="188"/>
        <v>2.2358394396893183E-3</v>
      </c>
      <c r="BC943" s="7" t="e">
        <f t="shared" si="189"/>
        <v>#N/A</v>
      </c>
      <c r="BD943" s="7">
        <f t="shared" si="190"/>
        <v>3.2199899999998918</v>
      </c>
      <c r="BE943" s="7">
        <f t="shared" si="191"/>
        <v>3.2200099999998919</v>
      </c>
      <c r="BF943" s="7">
        <f t="shared" si="192"/>
        <v>0.99541234920050992</v>
      </c>
      <c r="BG943" s="7">
        <f t="shared" si="193"/>
        <v>0.99541250473888176</v>
      </c>
      <c r="BH943" s="7" t="e">
        <f t="shared" si="194"/>
        <v>#N/A</v>
      </c>
      <c r="BI943" s="7">
        <f t="shared" si="198"/>
        <v>2.2358394396893183E-3</v>
      </c>
      <c r="BJ943" s="7">
        <f t="shared" si="195"/>
        <v>1.2358394396893182E-3</v>
      </c>
      <c r="BK943" s="7" t="e">
        <f t="shared" si="199"/>
        <v>#N/A</v>
      </c>
      <c r="BL943" s="7" t="e">
        <f t="shared" si="196"/>
        <v>#N/A</v>
      </c>
    </row>
    <row r="944" spans="52:64" ht="11.25" customHeight="1">
      <c r="AZ944" s="7">
        <f t="shared" si="187"/>
        <v>0.99938104890961266</v>
      </c>
      <c r="BA944" s="7">
        <f t="shared" si="197"/>
        <v>3.2299999999998916</v>
      </c>
      <c r="BB944" s="7">
        <f t="shared" si="188"/>
        <v>2.1648839251718196E-3</v>
      </c>
      <c r="BC944" s="7" t="e">
        <f t="shared" si="189"/>
        <v>#N/A</v>
      </c>
      <c r="BD944" s="7">
        <f t="shared" si="190"/>
        <v>3.2299899999998916</v>
      </c>
      <c r="BE944" s="7">
        <f t="shared" si="191"/>
        <v>3.2300099999998917</v>
      </c>
      <c r="BF944" s="7">
        <f t="shared" si="192"/>
        <v>0.99548944745201029</v>
      </c>
      <c r="BG944" s="7">
        <f t="shared" si="193"/>
        <v>0.99548960030907996</v>
      </c>
      <c r="BH944" s="7" t="e">
        <f t="shared" si="194"/>
        <v>#N/A</v>
      </c>
      <c r="BI944" s="7">
        <f t="shared" si="198"/>
        <v>2.1648839251718196E-3</v>
      </c>
      <c r="BJ944" s="7">
        <f t="shared" si="195"/>
        <v>1.1648839251718196E-3</v>
      </c>
      <c r="BK944" s="7" t="e">
        <f t="shared" si="199"/>
        <v>#N/A</v>
      </c>
      <c r="BL944" s="7" t="e">
        <f t="shared" si="196"/>
        <v>#N/A</v>
      </c>
    </row>
    <row r="945" spans="52:64" ht="11.25" customHeight="1">
      <c r="AZ945" s="7">
        <f t="shared" si="187"/>
        <v>0.99940235150206491</v>
      </c>
      <c r="BA945" s="7">
        <f t="shared" si="197"/>
        <v>3.2399999999998914</v>
      </c>
      <c r="BB945" s="7">
        <f t="shared" si="188"/>
        <v>2.0959706128586804E-3</v>
      </c>
      <c r="BC945" s="7" t="e">
        <f t="shared" si="189"/>
        <v>#N/A</v>
      </c>
      <c r="BD945" s="7">
        <f t="shared" si="190"/>
        <v>3.2399899999998913</v>
      </c>
      <c r="BE945" s="7">
        <f t="shared" si="191"/>
        <v>3.2400099999998915</v>
      </c>
      <c r="BF945" s="7">
        <f t="shared" si="192"/>
        <v>0.99556521666050612</v>
      </c>
      <c r="BG945" s="7">
        <f t="shared" si="193"/>
        <v>0.99556536688266739</v>
      </c>
      <c r="BH945" s="7" t="e">
        <f t="shared" si="194"/>
        <v>#N/A</v>
      </c>
      <c r="BI945" s="7">
        <f t="shared" si="198"/>
        <v>2.0959706128586804E-3</v>
      </c>
      <c r="BJ945" s="7">
        <f t="shared" si="195"/>
        <v>1.0959706128586804E-3</v>
      </c>
      <c r="BK945" s="7" t="e">
        <f t="shared" si="199"/>
        <v>#N/A</v>
      </c>
      <c r="BL945" s="7" t="e">
        <f t="shared" si="196"/>
        <v>#N/A</v>
      </c>
    </row>
    <row r="946" spans="52:64" ht="11.25" customHeight="1">
      <c r="AZ946" s="7">
        <f t="shared" si="187"/>
        <v>0.99942297495760957</v>
      </c>
      <c r="BA946" s="7">
        <f t="shared" si="197"/>
        <v>3.2499999999998912</v>
      </c>
      <c r="BB946" s="7">
        <f t="shared" si="188"/>
        <v>2.029048057300485E-3</v>
      </c>
      <c r="BC946" s="7" t="e">
        <f t="shared" si="189"/>
        <v>#N/A</v>
      </c>
      <c r="BD946" s="7">
        <f t="shared" si="190"/>
        <v>3.2499899999998911</v>
      </c>
      <c r="BE946" s="7">
        <f t="shared" si="191"/>
        <v>3.2500099999998913</v>
      </c>
      <c r="BF946" s="7">
        <f t="shared" si="192"/>
        <v>0.99563967982738177</v>
      </c>
      <c r="BG946" s="7">
        <f t="shared" si="193"/>
        <v>0.99563982746024693</v>
      </c>
      <c r="BH946" s="7" t="e">
        <f t="shared" si="194"/>
        <v>#N/A</v>
      </c>
      <c r="BI946" s="7">
        <f t="shared" si="198"/>
        <v>2.029048057300485E-3</v>
      </c>
      <c r="BJ946" s="7">
        <f t="shared" si="195"/>
        <v>1.029048057300485E-3</v>
      </c>
      <c r="BK946" s="7" t="e">
        <f t="shared" si="199"/>
        <v>#N/A</v>
      </c>
      <c r="BL946" s="7" t="e">
        <f t="shared" si="196"/>
        <v>#N/A</v>
      </c>
    </row>
    <row r="947" spans="52:64" ht="11.25" customHeight="1">
      <c r="AZ947" s="7">
        <f t="shared" si="187"/>
        <v>0.99944293893097513</v>
      </c>
      <c r="BA947" s="7">
        <f t="shared" si="197"/>
        <v>3.259999999999891</v>
      </c>
      <c r="BB947" s="7">
        <f t="shared" si="188"/>
        <v>1.9640658655050735E-3</v>
      </c>
      <c r="BC947" s="7" t="e">
        <f t="shared" si="189"/>
        <v>#N/A</v>
      </c>
      <c r="BD947" s="7">
        <f t="shared" si="190"/>
        <v>3.2599899999998909</v>
      </c>
      <c r="BE947" s="7">
        <f t="shared" si="191"/>
        <v>3.2600099999998911</v>
      </c>
      <c r="BF947" s="7">
        <f t="shared" si="192"/>
        <v>0.99571285956619493</v>
      </c>
      <c r="BG947" s="7">
        <f t="shared" si="193"/>
        <v>0.99571300465460644</v>
      </c>
      <c r="BH947" s="7" t="e">
        <f t="shared" si="194"/>
        <v>#N/A</v>
      </c>
      <c r="BI947" s="7">
        <f t="shared" si="198"/>
        <v>1.9640658655050735E-3</v>
      </c>
      <c r="BJ947" s="7">
        <f t="shared" si="195"/>
        <v>9.6406586550507349E-4</v>
      </c>
      <c r="BK947" s="7" t="e">
        <f t="shared" si="199"/>
        <v>#N/A</v>
      </c>
      <c r="BL947" s="7" t="e">
        <f t="shared" si="196"/>
        <v>#N/A</v>
      </c>
    </row>
    <row r="948" spans="52:64" ht="11.25" customHeight="1">
      <c r="AZ948" s="7">
        <f t="shared" si="187"/>
        <v>0.99946226257817106</v>
      </c>
      <c r="BA948" s="7">
        <f t="shared" si="197"/>
        <v>3.2699999999998908</v>
      </c>
      <c r="BB948" s="7">
        <f t="shared" si="188"/>
        <v>1.900974683166759E-3</v>
      </c>
      <c r="BC948" s="7" t="e">
        <f t="shared" si="189"/>
        <v>#N/A</v>
      </c>
      <c r="BD948" s="7">
        <f t="shared" si="190"/>
        <v>3.2699899999998907</v>
      </c>
      <c r="BE948" s="7">
        <f t="shared" si="191"/>
        <v>3.2700099999998908</v>
      </c>
      <c r="BF948" s="7">
        <f t="shared" si="192"/>
        <v>0.99578477810871979</v>
      </c>
      <c r="BG948" s="7">
        <f t="shared" si="193"/>
        <v>0.99578492069676272</v>
      </c>
      <c r="BH948" s="7" t="e">
        <f t="shared" si="194"/>
        <v>#N/A</v>
      </c>
      <c r="BI948" s="7">
        <f t="shared" si="198"/>
        <v>1.900974683166759E-3</v>
      </c>
      <c r="BJ948" s="7">
        <f t="shared" si="195"/>
        <v>9.0097468316675897E-4</v>
      </c>
      <c r="BK948" s="7" t="e">
        <f t="shared" si="199"/>
        <v>#N/A</v>
      </c>
      <c r="BL948" s="7" t="e">
        <f t="shared" si="196"/>
        <v>#N/A</v>
      </c>
    </row>
    <row r="949" spans="52:64" ht="11.25" customHeight="1">
      <c r="AZ949" s="7">
        <f t="shared" si="187"/>
        <v>0.99948096456679247</v>
      </c>
      <c r="BA949" s="7">
        <f t="shared" si="197"/>
        <v>3.2799999999998906</v>
      </c>
      <c r="BB949" s="7">
        <f t="shared" si="188"/>
        <v>1.8397261808249393E-3</v>
      </c>
      <c r="BC949" s="7" t="e">
        <f t="shared" si="189"/>
        <v>#N/A</v>
      </c>
      <c r="BD949" s="7">
        <f t="shared" si="190"/>
        <v>3.2799899999998905</v>
      </c>
      <c r="BE949" s="7">
        <f t="shared" si="191"/>
        <v>3.2800099999998906</v>
      </c>
      <c r="BF949" s="7">
        <f t="shared" si="192"/>
        <v>0.99585545731091463</v>
      </c>
      <c r="BG949" s="7">
        <f t="shared" si="193"/>
        <v>0.9958555974419282</v>
      </c>
      <c r="BH949" s="7" t="e">
        <f t="shared" si="194"/>
        <v>#N/A</v>
      </c>
      <c r="BI949" s="7">
        <f t="shared" si="198"/>
        <v>1.8397261808249393E-3</v>
      </c>
      <c r="BJ949" s="7">
        <f t="shared" si="195"/>
        <v>8.3972618082493928E-4</v>
      </c>
      <c r="BK949" s="7" t="e">
        <f t="shared" si="199"/>
        <v>#N/A</v>
      </c>
      <c r="BL949" s="7" t="e">
        <f t="shared" si="196"/>
        <v>#N/A</v>
      </c>
    </row>
    <row r="950" spans="52:64" ht="11.25" customHeight="1">
      <c r="AZ950" s="7">
        <f t="shared" si="187"/>
        <v>0.99949906308621417</v>
      </c>
      <c r="BA950" s="7">
        <f t="shared" si="197"/>
        <v>3.2899999999998903</v>
      </c>
      <c r="BB950" s="7">
        <f t="shared" si="188"/>
        <v>1.7802730399625202E-3</v>
      </c>
      <c r="BC950" s="7" t="e">
        <f t="shared" si="189"/>
        <v>#N/A</v>
      </c>
      <c r="BD950" s="7">
        <f t="shared" si="190"/>
        <v>3.2899899999998903</v>
      </c>
      <c r="BE950" s="7">
        <f t="shared" si="191"/>
        <v>3.2900099999998904</v>
      </c>
      <c r="BF950" s="7">
        <f t="shared" si="192"/>
        <v>0.99592491865881305</v>
      </c>
      <c r="BG950" s="7">
        <f t="shared" si="193"/>
        <v>0.99592505637540263</v>
      </c>
      <c r="BH950" s="7" t="e">
        <f t="shared" si="194"/>
        <v>#N/A</v>
      </c>
      <c r="BI950" s="7">
        <f t="shared" si="198"/>
        <v>1.7802730399625202E-3</v>
      </c>
      <c r="BJ950" s="7">
        <f t="shared" si="195"/>
        <v>7.8027303996252022E-4</v>
      </c>
      <c r="BK950" s="7" t="e">
        <f t="shared" si="199"/>
        <v>#N/A</v>
      </c>
      <c r="BL950" s="7" t="e">
        <f t="shared" si="196"/>
        <v>#N/A</v>
      </c>
    </row>
    <row r="951" spans="52:64" ht="11.25" customHeight="1">
      <c r="AZ951" s="7">
        <f t="shared" si="187"/>
        <v>0.99951657585761644</v>
      </c>
      <c r="BA951" s="7">
        <f t="shared" si="197"/>
        <v>3.2999999999998901</v>
      </c>
      <c r="BB951" s="7">
        <f t="shared" si="188"/>
        <v>1.7225689390543051E-3</v>
      </c>
      <c r="BC951" s="7" t="e">
        <f t="shared" si="189"/>
        <v>#N/A</v>
      </c>
      <c r="BD951" s="7">
        <f t="shared" si="190"/>
        <v>3.2999899999998901</v>
      </c>
      <c r="BE951" s="7">
        <f t="shared" si="191"/>
        <v>3.3000099999998902</v>
      </c>
      <c r="BF951" s="7">
        <f t="shared" si="192"/>
        <v>0.99599318327433972</v>
      </c>
      <c r="BG951" s="7">
        <f t="shared" si="193"/>
        <v>0.99599331861838813</v>
      </c>
      <c r="BH951" s="7" t="e">
        <f t="shared" si="194"/>
        <v>#N/A</v>
      </c>
      <c r="BI951" s="7">
        <f t="shared" si="198"/>
        <v>1.7225689390543051E-3</v>
      </c>
      <c r="BJ951" s="7">
        <f t="shared" si="195"/>
        <v>7.2256893905430506E-4</v>
      </c>
      <c r="BK951" s="7" t="e">
        <f t="shared" si="199"/>
        <v>#N/A</v>
      </c>
      <c r="BL951" s="7" t="e">
        <f t="shared" si="196"/>
        <v>#N/A</v>
      </c>
    </row>
    <row r="952" spans="52:64" ht="11.25" customHeight="1">
      <c r="AZ952" s="7">
        <f t="shared" si="187"/>
        <v>0.99953352014389185</v>
      </c>
      <c r="BA952" s="7">
        <f t="shared" si="197"/>
        <v>3.3099999999998899</v>
      </c>
      <c r="BB952" s="7">
        <f t="shared" si="188"/>
        <v>1.6665685395751881E-3</v>
      </c>
      <c r="BC952" s="7" t="e">
        <f t="shared" si="189"/>
        <v>#N/A</v>
      </c>
      <c r="BD952" s="7">
        <f t="shared" si="190"/>
        <v>3.3099899999998899</v>
      </c>
      <c r="BE952" s="7">
        <f t="shared" si="191"/>
        <v>3.31000999999989</v>
      </c>
      <c r="BF952" s="7">
        <f t="shared" si="192"/>
        <v>0.99606027192105062</v>
      </c>
      <c r="BG952" s="7">
        <f t="shared" si="193"/>
        <v>0.9960604049337296</v>
      </c>
      <c r="BH952" s="7" t="e">
        <f t="shared" si="194"/>
        <v>#N/A</v>
      </c>
      <c r="BI952" s="7">
        <f t="shared" si="198"/>
        <v>1.6665685395751881E-3</v>
      </c>
      <c r="BJ952" s="7">
        <f t="shared" si="195"/>
        <v>6.6656853957518811E-4</v>
      </c>
      <c r="BK952" s="7" t="e">
        <f t="shared" si="199"/>
        <v>#N/A</v>
      </c>
      <c r="BL952" s="7" t="e">
        <f t="shared" si="196"/>
        <v>#N/A</v>
      </c>
    </row>
    <row r="953" spans="52:64" ht="11.25" customHeight="1">
      <c r="AZ953" s="7">
        <f t="shared" si="187"/>
        <v>0.99954991275940863</v>
      </c>
      <c r="BA953" s="7">
        <f t="shared" si="197"/>
        <v>3.3199999999998897</v>
      </c>
      <c r="BB953" s="7">
        <f t="shared" si="188"/>
        <v>1.6122274719777142E-3</v>
      </c>
      <c r="BC953" s="7" t="e">
        <f t="shared" si="189"/>
        <v>#N/A</v>
      </c>
      <c r="BD953" s="7">
        <f t="shared" si="190"/>
        <v>3.3199899999998896</v>
      </c>
      <c r="BE953" s="7">
        <f t="shared" si="191"/>
        <v>3.3200099999998898</v>
      </c>
      <c r="BF953" s="7">
        <f t="shared" si="192"/>
        <v>0.99612620500979865</v>
      </c>
      <c r="BG953" s="7">
        <f t="shared" si="193"/>
        <v>0.99612633573158049</v>
      </c>
      <c r="BH953" s="7" t="e">
        <f t="shared" si="194"/>
        <v>#N/A</v>
      </c>
      <c r="BI953" s="7">
        <f t="shared" si="198"/>
        <v>1.6122274719777142E-3</v>
      </c>
      <c r="BJ953" s="7">
        <f t="shared" si="195"/>
        <v>6.122274719777142E-4</v>
      </c>
      <c r="BK953" s="7" t="e">
        <f t="shared" si="199"/>
        <v>#N/A</v>
      </c>
      <c r="BL953" s="7" t="e">
        <f t="shared" si="196"/>
        <v>#N/A</v>
      </c>
    </row>
    <row r="954" spans="52:64" ht="11.25" customHeight="1">
      <c r="AZ954" s="7">
        <f t="shared" si="187"/>
        <v>0.99956577007961955</v>
      </c>
      <c r="BA954" s="7">
        <f t="shared" si="197"/>
        <v>3.3299999999998895</v>
      </c>
      <c r="BB954" s="7">
        <f t="shared" si="188"/>
        <v>1.5595023216482663E-3</v>
      </c>
      <c r="BC954" s="7" t="e">
        <f t="shared" si="189"/>
        <v>#N/A</v>
      </c>
      <c r="BD954" s="7">
        <f t="shared" si="190"/>
        <v>3.3299899999998894</v>
      </c>
      <c r="BE954" s="7">
        <f t="shared" si="191"/>
        <v>3.3300099999998896</v>
      </c>
      <c r="BF954" s="7">
        <f t="shared" si="192"/>
        <v>0.99619100260432525</v>
      </c>
      <c r="BG954" s="7">
        <f t="shared" si="193"/>
        <v>0.99619113107499313</v>
      </c>
      <c r="BH954" s="7" t="e">
        <f t="shared" si="194"/>
        <v>#N/A</v>
      </c>
      <c r="BI954" s="7">
        <f t="shared" si="198"/>
        <v>1.5595023216482663E-3</v>
      </c>
      <c r="BJ954" s="7">
        <f t="shared" si="195"/>
        <v>5.5950232164826631E-4</v>
      </c>
      <c r="BK954" s="7" t="e">
        <f t="shared" si="199"/>
        <v>#N/A</v>
      </c>
      <c r="BL954" s="7" t="e">
        <f t="shared" si="196"/>
        <v>#N/A</v>
      </c>
    </row>
    <row r="955" spans="52:64" ht="11.25" customHeight="1">
      <c r="AZ955" s="7">
        <f t="shared" si="187"/>
        <v>0.99958110805054967</v>
      </c>
      <c r="BA955" s="7">
        <f t="shared" si="197"/>
        <v>3.3399999999998893</v>
      </c>
      <c r="BB955" s="7">
        <f t="shared" si="188"/>
        <v>1.5083506148508643E-3</v>
      </c>
      <c r="BC955" s="7" t="e">
        <f t="shared" si="189"/>
        <v>#N/A</v>
      </c>
      <c r="BD955" s="7">
        <f t="shared" si="190"/>
        <v>3.3399899999998892</v>
      </c>
      <c r="BE955" s="7">
        <f t="shared" si="191"/>
        <v>3.3400099999998893</v>
      </c>
      <c r="BF955" s="7">
        <f t="shared" si="192"/>
        <v>0.99625468442677712</v>
      </c>
      <c r="BG955" s="7">
        <f t="shared" si="193"/>
        <v>0.99625481068543664</v>
      </c>
      <c r="BH955" s="7" t="e">
        <f t="shared" si="194"/>
        <v>#N/A</v>
      </c>
      <c r="BI955" s="7">
        <f t="shared" si="198"/>
        <v>1.5083506148508643E-3</v>
      </c>
      <c r="BJ955" s="7">
        <f t="shared" si="195"/>
        <v>5.0835061485086431E-4</v>
      </c>
      <c r="BK955" s="7" t="e">
        <f t="shared" si="199"/>
        <v>#N/A</v>
      </c>
      <c r="BL955" s="7" t="e">
        <f t="shared" si="196"/>
        <v>#N/A</v>
      </c>
    </row>
    <row r="956" spans="52:64" ht="11.25" customHeight="1">
      <c r="AZ956" s="7">
        <f t="shared" si="187"/>
        <v>0.99959594219813475</v>
      </c>
      <c r="BA956" s="7">
        <f t="shared" si="197"/>
        <v>3.3499999999998891</v>
      </c>
      <c r="BB956" s="7">
        <f t="shared" si="188"/>
        <v>1.4587308046672873E-3</v>
      </c>
      <c r="BC956" s="7" t="e">
        <f t="shared" si="189"/>
        <v>#N/A</v>
      </c>
      <c r="BD956" s="7">
        <f t="shared" si="190"/>
        <v>3.349989999999889</v>
      </c>
      <c r="BE956" s="7">
        <f t="shared" si="191"/>
        <v>3.3500099999998891</v>
      </c>
      <c r="BF956" s="7">
        <f t="shared" si="192"/>
        <v>0.99631726986315039</v>
      </c>
      <c r="BG956" s="7">
        <f t="shared" si="193"/>
        <v>0.99631739394824048</v>
      </c>
      <c r="BH956" s="7" t="e">
        <f t="shared" si="194"/>
        <v>#N/A</v>
      </c>
      <c r="BI956" s="7">
        <f t="shared" si="198"/>
        <v>1.4587308046672873E-3</v>
      </c>
      <c r="BJ956" s="7">
        <f t="shared" si="195"/>
        <v>4.587308046672873E-4</v>
      </c>
      <c r="BK956" s="7" t="e">
        <f t="shared" si="199"/>
        <v>#N/A</v>
      </c>
      <c r="BL956" s="7" t="e">
        <f t="shared" si="196"/>
        <v>#N/A</v>
      </c>
    </row>
    <row r="957" spans="52:64" ht="11.25" customHeight="1">
      <c r="AZ957" s="7">
        <f t="shared" si="187"/>
        <v>0.99961028763741822</v>
      </c>
      <c r="BA957" s="7">
        <f t="shared" si="197"/>
        <v>3.3599999999998889</v>
      </c>
      <c r="BB957" s="7">
        <f t="shared" si="188"/>
        <v>1.4106022569419111E-3</v>
      </c>
      <c r="BC957" s="7" t="e">
        <f t="shared" si="189"/>
        <v>#N/A</v>
      </c>
      <c r="BD957" s="7">
        <f t="shared" si="190"/>
        <v>3.3599899999998888</v>
      </c>
      <c r="BE957" s="7">
        <f t="shared" si="191"/>
        <v>3.3600099999998889</v>
      </c>
      <c r="BF957" s="7">
        <f t="shared" si="192"/>
        <v>0.99637877796866159</v>
      </c>
      <c r="BG957" s="7">
        <f t="shared" si="193"/>
        <v>0.9963788999179648</v>
      </c>
      <c r="BH957" s="7" t="e">
        <f t="shared" si="194"/>
        <v>#N/A</v>
      </c>
      <c r="BI957" s="7">
        <f t="shared" si="198"/>
        <v>1.4106022569419111E-3</v>
      </c>
      <c r="BJ957" s="7">
        <f t="shared" si="195"/>
        <v>4.1060225694191104E-4</v>
      </c>
      <c r="BK957" s="7" t="e">
        <f t="shared" si="199"/>
        <v>#N/A</v>
      </c>
      <c r="BL957" s="7" t="e">
        <f t="shared" si="196"/>
        <v>#N/A</v>
      </c>
    </row>
    <row r="958" spans="52:64" ht="11.25" customHeight="1">
      <c r="AZ958" s="7">
        <f t="shared" si="187"/>
        <v>0.99962415908159996</v>
      </c>
      <c r="BA958" s="7">
        <f t="shared" si="197"/>
        <v>3.3699999999998886</v>
      </c>
      <c r="BB958" s="7">
        <f t="shared" si="188"/>
        <v>1.3639252362394158E-3</v>
      </c>
      <c r="BC958" s="7" t="e">
        <f t="shared" si="189"/>
        <v>#N/A</v>
      </c>
      <c r="BD958" s="7">
        <f t="shared" si="190"/>
        <v>3.3699899999998886</v>
      </c>
      <c r="BE958" s="7">
        <f t="shared" si="191"/>
        <v>3.3700099999998887</v>
      </c>
      <c r="BF958" s="7">
        <f t="shared" si="192"/>
        <v>0.99643922747304592</v>
      </c>
      <c r="BG958" s="7">
        <f t="shared" si="193"/>
        <v>0.9964393473236991</v>
      </c>
      <c r="BH958" s="7" t="e">
        <f t="shared" si="194"/>
        <v>#N/A</v>
      </c>
      <c r="BI958" s="7">
        <f t="shared" si="198"/>
        <v>1.3639252362394158E-3</v>
      </c>
      <c r="BJ958" s="7">
        <f t="shared" si="195"/>
        <v>3.639252362394158E-4</v>
      </c>
      <c r="BK958" s="7" t="e">
        <f t="shared" si="199"/>
        <v>#N/A</v>
      </c>
      <c r="BL958" s="7" t="e">
        <f t="shared" si="196"/>
        <v>#N/A</v>
      </c>
    </row>
    <row r="959" spans="52:64" ht="11.25" customHeight="1">
      <c r="AZ959" s="7">
        <f t="shared" si="187"/>
        <v>0.99963757085096694</v>
      </c>
      <c r="BA959" s="7">
        <f t="shared" si="197"/>
        <v>3.3799999999998884</v>
      </c>
      <c r="BB959" s="7">
        <f t="shared" si="188"/>
        <v>1.3186608918232387E-3</v>
      </c>
      <c r="BC959" s="7" t="e">
        <f t="shared" si="189"/>
        <v>#N/A</v>
      </c>
      <c r="BD959" s="7">
        <f t="shared" si="190"/>
        <v>3.3799899999998884</v>
      </c>
      <c r="BE959" s="7">
        <f t="shared" si="191"/>
        <v>3.3800099999998885</v>
      </c>
      <c r="BF959" s="7">
        <f t="shared" si="192"/>
        <v>0.99649863678578376</v>
      </c>
      <c r="BG959" s="7">
        <f t="shared" si="193"/>
        <v>0.99649875457428849</v>
      </c>
      <c r="BH959" s="7" t="e">
        <f t="shared" si="194"/>
        <v>#N/A</v>
      </c>
      <c r="BI959" s="7">
        <f t="shared" si="198"/>
        <v>1.3186608918232387E-3</v>
      </c>
      <c r="BJ959" s="7">
        <f t="shared" si="195"/>
        <v>3.1866089182323865E-4</v>
      </c>
      <c r="BK959" s="7" t="e">
        <f t="shared" si="199"/>
        <v>#N/A</v>
      </c>
      <c r="BL959" s="7" t="e">
        <f t="shared" si="196"/>
        <v>#N/A</v>
      </c>
    </row>
    <row r="960" spans="52:64" ht="11.25" customHeight="1">
      <c r="AZ960" s="7">
        <f t="shared" si="187"/>
        <v>0.9996505368816625</v>
      </c>
      <c r="BA960" s="7">
        <f t="shared" si="197"/>
        <v>3.3899999999998882</v>
      </c>
      <c r="BB960" s="7">
        <f t="shared" si="188"/>
        <v>1.2747712436623161E-3</v>
      </c>
      <c r="BC960" s="7" t="e">
        <f t="shared" si="189"/>
        <v>#N/A</v>
      </c>
      <c r="BD960" s="7">
        <f t="shared" si="190"/>
        <v>3.3899899999998881</v>
      </c>
      <c r="BE960" s="7">
        <f t="shared" si="191"/>
        <v>3.3900099999998883</v>
      </c>
      <c r="BF960" s="7">
        <f t="shared" si="192"/>
        <v>0.99655702400125601</v>
      </c>
      <c r="BG960" s="7">
        <f t="shared" si="193"/>
        <v>0.99655713976348859</v>
      </c>
      <c r="BH960" s="7" t="e">
        <f t="shared" si="194"/>
        <v>#N/A</v>
      </c>
      <c r="BI960" s="7">
        <f t="shared" si="198"/>
        <v>1.2747712436623161E-3</v>
      </c>
      <c r="BJ960" s="7">
        <f t="shared" si="195"/>
        <v>2.7477124366231606E-4</v>
      </c>
      <c r="BK960" s="7" t="e">
        <f t="shared" si="199"/>
        <v>#N/A</v>
      </c>
      <c r="BL960" s="7" t="e">
        <f t="shared" si="196"/>
        <v>#N/A</v>
      </c>
    </row>
    <row r="961" spans="52:64" ht="11.25" customHeight="1">
      <c r="AZ961" s="7">
        <f t="shared" si="187"/>
        <v>0.99966307073432237</v>
      </c>
      <c r="BA961" s="7">
        <f t="shared" si="197"/>
        <v>3.399999999999888</v>
      </c>
      <c r="BB961" s="7">
        <f t="shared" si="188"/>
        <v>1.2322191684734881E-3</v>
      </c>
      <c r="BC961" s="7" t="e">
        <f t="shared" si="189"/>
        <v>#N/A</v>
      </c>
      <c r="BD961" s="7">
        <f t="shared" si="190"/>
        <v>3.3999899999998879</v>
      </c>
      <c r="BE961" s="7">
        <f t="shared" si="191"/>
        <v>3.4000099999998881</v>
      </c>
      <c r="BF961" s="7">
        <f t="shared" si="192"/>
        <v>0.99661440690382785</v>
      </c>
      <c r="BG961" s="7">
        <f t="shared" si="193"/>
        <v>0.99661452067504974</v>
      </c>
      <c r="BH961" s="7" t="e">
        <f t="shared" si="194"/>
        <v>#N/A</v>
      </c>
      <c r="BI961" s="7">
        <f t="shared" si="198"/>
        <v>1.2322191684734881E-3</v>
      </c>
      <c r="BJ961" s="7">
        <f t="shared" si="195"/>
        <v>2.3221916847348807E-4</v>
      </c>
      <c r="BK961" s="7" t="e">
        <f t="shared" si="199"/>
        <v>#N/A</v>
      </c>
      <c r="BL961" s="7" t="e">
        <f t="shared" si="196"/>
        <v>#N/A</v>
      </c>
    </row>
    <row r="962" spans="52:64" ht="11.25" customHeight="1">
      <c r="AZ962" s="7">
        <f t="shared" si="187"/>
        <v>0.99967518560258117</v>
      </c>
      <c r="BA962" s="7">
        <f t="shared" si="197"/>
        <v>3.4099999999998878</v>
      </c>
      <c r="BB962" s="7">
        <f t="shared" si="188"/>
        <v>1.1909683858065737E-3</v>
      </c>
      <c r="BC962" s="7" t="e">
        <f t="shared" si="189"/>
        <v>#N/A</v>
      </c>
      <c r="BD962" s="7">
        <f t="shared" si="190"/>
        <v>3.4099899999998877</v>
      </c>
      <c r="BE962" s="7">
        <f t="shared" si="191"/>
        <v>3.4100099999998879</v>
      </c>
      <c r="BF962" s="7">
        <f t="shared" si="192"/>
        <v>0.99667080297286303</v>
      </c>
      <c r="BG962" s="7">
        <f t="shared" si="193"/>
        <v>0.99667091478773073</v>
      </c>
      <c r="BH962" s="7" t="e">
        <f t="shared" si="194"/>
        <v>#N/A</v>
      </c>
      <c r="BI962" s="7">
        <f t="shared" si="198"/>
        <v>1.1909683858065737E-3</v>
      </c>
      <c r="BJ962" s="7">
        <f t="shared" si="195"/>
        <v>1.9096838580657366E-4</v>
      </c>
      <c r="BK962" s="7" t="e">
        <f t="shared" si="199"/>
        <v>#N/A</v>
      </c>
      <c r="BL962" s="7" t="e">
        <f t="shared" si="196"/>
        <v>#N/A</v>
      </c>
    </row>
    <row r="963" spans="52:64" ht="11.25" customHeight="1">
      <c r="AZ963" s="7">
        <f t="shared" si="187"/>
        <v>0.99968689432141855</v>
      </c>
      <c r="BA963" s="7">
        <f t="shared" si="197"/>
        <v>3.4199999999998876</v>
      </c>
      <c r="BB963" s="7">
        <f t="shared" si="188"/>
        <v>1.150983444178926E-3</v>
      </c>
      <c r="BC963" s="7" t="e">
        <f t="shared" si="189"/>
        <v>#N/A</v>
      </c>
      <c r="BD963" s="7">
        <f t="shared" si="190"/>
        <v>3.4199899999998875</v>
      </c>
      <c r="BE963" s="7">
        <f t="shared" si="191"/>
        <v>3.4200099999998876</v>
      </c>
      <c r="BF963" s="7">
        <f t="shared" si="192"/>
        <v>0.99672622938766786</v>
      </c>
      <c r="BG963" s="7">
        <f t="shared" si="193"/>
        <v>0.99672633928024257</v>
      </c>
      <c r="BH963" s="7" t="e">
        <f t="shared" si="194"/>
        <v>#N/A</v>
      </c>
      <c r="BI963" s="7">
        <f t="shared" si="198"/>
        <v>1.150983444178926E-3</v>
      </c>
      <c r="BJ963" s="7">
        <f t="shared" si="195"/>
        <v>1.50983444178926E-4</v>
      </c>
      <c r="BK963" s="7" t="e">
        <f t="shared" si="199"/>
        <v>#N/A</v>
      </c>
      <c r="BL963" s="7" t="e">
        <f t="shared" si="196"/>
        <v>#N/A</v>
      </c>
    </row>
    <row r="964" spans="52:64" ht="11.25" customHeight="1">
      <c r="AZ964" s="7">
        <f t="shared" si="187"/>
        <v>0.99969820937539122</v>
      </c>
      <c r="BA964" s="7">
        <f t="shared" si="197"/>
        <v>3.4299999999998874</v>
      </c>
      <c r="BB964" s="7">
        <f t="shared" si="188"/>
        <v>1.1122297072659944E-3</v>
      </c>
      <c r="BC964" s="7" t="e">
        <f t="shared" si="189"/>
        <v>#N/A</v>
      </c>
      <c r="BD964" s="7">
        <f t="shared" si="190"/>
        <v>3.4299899999998873</v>
      </c>
      <c r="BE964" s="7">
        <f t="shared" si="191"/>
        <v>3.4300099999998874</v>
      </c>
      <c r="BF964" s="7">
        <f t="shared" si="192"/>
        <v>0.99678070303236643</v>
      </c>
      <c r="BG964" s="7">
        <f t="shared" si="193"/>
        <v>0.99678081103612393</v>
      </c>
      <c r="BH964" s="7" t="e">
        <f t="shared" si="194"/>
        <v>#N/A</v>
      </c>
      <c r="BI964" s="7">
        <f t="shared" si="198"/>
        <v>1.1122297072659944E-3</v>
      </c>
      <c r="BJ964" s="7">
        <f t="shared" si="195"/>
        <v>1.122297072659944E-4</v>
      </c>
      <c r="BK964" s="7" t="e">
        <f t="shared" si="199"/>
        <v>#N/A</v>
      </c>
      <c r="BL964" s="7" t="e">
        <f t="shared" si="196"/>
        <v>#N/A</v>
      </c>
    </row>
    <row r="965" spans="52:64" ht="11.25" customHeight="1">
      <c r="AZ965" s="7">
        <f t="shared" si="187"/>
        <v>0.99970914290670876</v>
      </c>
      <c r="BA965" s="7">
        <f t="shared" si="197"/>
        <v>3.4399999999998871</v>
      </c>
      <c r="BB965" s="7">
        <f t="shared" si="188"/>
        <v>1.0746733401541518E-3</v>
      </c>
      <c r="BC965" s="7" t="e">
        <f t="shared" si="189"/>
        <v>#N/A</v>
      </c>
      <c r="BD965" s="7">
        <f t="shared" si="190"/>
        <v>3.4399899999998871</v>
      </c>
      <c r="BE965" s="7">
        <f t="shared" si="191"/>
        <v>3.4400099999998872</v>
      </c>
      <c r="BF965" s="7">
        <f t="shared" si="192"/>
        <v>0.99683424050070679</v>
      </c>
      <c r="BG965" s="7">
        <f t="shared" si="193"/>
        <v>0.99683434664854664</v>
      </c>
      <c r="BH965" s="7" t="e">
        <f t="shared" si="194"/>
        <v>#N/A</v>
      </c>
      <c r="BI965" s="7">
        <f t="shared" si="198"/>
        <v>1.0746733401541518E-3</v>
      </c>
      <c r="BJ965" s="7">
        <f t="shared" si="195"/>
        <v>7.4673340154151734E-5</v>
      </c>
      <c r="BK965" s="7" t="e">
        <f t="shared" si="199"/>
        <v>#N/A</v>
      </c>
      <c r="BL965" s="7" t="e">
        <f t="shared" si="196"/>
        <v>#N/A</v>
      </c>
    </row>
    <row r="966" spans="52:64" ht="11.25" customHeight="1">
      <c r="AZ966" s="7">
        <f t="shared" si="187"/>
        <v>0.99971970672318211</v>
      </c>
      <c r="BA966" s="7">
        <f t="shared" si="197"/>
        <v>3.4499999999998869</v>
      </c>
      <c r="BB966" s="7">
        <f t="shared" si="188"/>
        <v>1.038281295661816E-3</v>
      </c>
      <c r="BC966" s="7" t="e">
        <f t="shared" si="189"/>
        <v>#N/A</v>
      </c>
      <c r="BD966" s="7">
        <f t="shared" si="190"/>
        <v>3.4499899999998869</v>
      </c>
      <c r="BE966" s="7">
        <f t="shared" si="191"/>
        <v>3.450009999999887</v>
      </c>
      <c r="BF966" s="7">
        <f t="shared" si="192"/>
        <v>0.99688685810079958</v>
      </c>
      <c r="BG966" s="7">
        <f t="shared" si="193"/>
        <v>0.99688696242505503</v>
      </c>
      <c r="BH966" s="7" t="e">
        <f t="shared" si="194"/>
        <v>#N/A</v>
      </c>
      <c r="BI966" s="7">
        <f t="shared" si="198"/>
        <v>1.038281295661816E-3</v>
      </c>
      <c r="BJ966" s="7">
        <f t="shared" si="195"/>
        <v>3.8281295661816029E-5</v>
      </c>
      <c r="BK966" s="7" t="e">
        <f t="shared" si="199"/>
        <v>#N/A</v>
      </c>
      <c r="BL966" s="7" t="e">
        <f t="shared" si="196"/>
        <v>#N/A</v>
      </c>
    </row>
    <row r="967" spans="52:64" ht="11.25" customHeight="1">
      <c r="AZ967" s="7">
        <f t="shared" si="187"/>
        <v>0.99972991230603681</v>
      </c>
      <c r="BA967" s="7">
        <f t="shared" si="197"/>
        <v>3.4599999999998867</v>
      </c>
      <c r="BB967" s="7">
        <f t="shared" si="188"/>
        <v>1.0030213007346312E-3</v>
      </c>
      <c r="BC967" s="7" t="e">
        <f t="shared" si="189"/>
        <v>#N/A</v>
      </c>
      <c r="BD967" s="7">
        <f t="shared" si="190"/>
        <v>3.4599899999998867</v>
      </c>
      <c r="BE967" s="7">
        <f t="shared" si="191"/>
        <v>3.4600099999998868</v>
      </c>
      <c r="BF967" s="7">
        <f t="shared" si="192"/>
        <v>0.99693857185978907</v>
      </c>
      <c r="BG967" s="7">
        <f t="shared" si="193"/>
        <v>0.99693867439223594</v>
      </c>
      <c r="BH967" s="7" t="e">
        <f t="shared" si="194"/>
        <v>#N/A</v>
      </c>
      <c r="BI967" s="7">
        <f t="shared" si="198"/>
        <v>1.0030213007346312E-3</v>
      </c>
      <c r="BJ967" s="7">
        <f t="shared" si="195"/>
        <v>3.0213007346311781E-6</v>
      </c>
      <c r="BK967" s="7" t="e">
        <f t="shared" si="199"/>
        <v>#N/A</v>
      </c>
      <c r="BL967" s="7" t="e">
        <f t="shared" si="196"/>
        <v>#N/A</v>
      </c>
    </row>
    <row r="968" spans="52:64" ht="11.25" customHeight="1">
      <c r="AZ968" s="7">
        <f t="shared" si="187"/>
        <v>0.99973977081757326</v>
      </c>
      <c r="BA968" s="7">
        <f t="shared" si="197"/>
        <v>3.4699999999998865</v>
      </c>
      <c r="BB968" s="7">
        <f t="shared" si="188"/>
        <v>9.6886184292022787E-4</v>
      </c>
      <c r="BC968" s="7" t="e">
        <f t="shared" si="189"/>
        <v>#N/A</v>
      </c>
      <c r="BD968" s="7">
        <f t="shared" si="190"/>
        <v>3.4699899999998864</v>
      </c>
      <c r="BE968" s="7">
        <f t="shared" si="191"/>
        <v>3.4700099999998866</v>
      </c>
      <c r="BF968" s="7">
        <f t="shared" si="192"/>
        <v>0.99698939752845739</v>
      </c>
      <c r="BG968" s="7">
        <f t="shared" si="193"/>
        <v>0.99698949830032346</v>
      </c>
      <c r="BH968" s="7" t="e">
        <f t="shared" si="194"/>
        <v>#N/A</v>
      </c>
      <c r="BI968" s="7">
        <f t="shared" si="198"/>
        <v>9.6886184292022787E-4</v>
      </c>
      <c r="BJ968" s="7">
        <f t="shared" si="195"/>
        <v>-3.1138157079772149E-5</v>
      </c>
      <c r="BK968" s="7" t="e">
        <f t="shared" si="199"/>
        <v>#N/A</v>
      </c>
      <c r="BL968" s="7" t="e">
        <f t="shared" si="196"/>
        <v>#N/A</v>
      </c>
    </row>
    <row r="969" spans="52:64" ht="11.25" customHeight="1">
      <c r="AZ969" s="7">
        <f t="shared" si="187"/>
        <v>0.99974929310871863</v>
      </c>
      <c r="BA969" s="7">
        <f t="shared" si="197"/>
        <v>3.4799999999998863</v>
      </c>
      <c r="BB969" s="7">
        <f t="shared" si="188"/>
        <v>9.3577215692785024E-4</v>
      </c>
      <c r="BC969" s="7" t="e">
        <f t="shared" si="189"/>
        <v>#N/A</v>
      </c>
      <c r="BD969" s="7">
        <f t="shared" si="190"/>
        <v>3.4799899999998862</v>
      </c>
      <c r="BE969" s="7">
        <f t="shared" si="191"/>
        <v>3.4800099999998864</v>
      </c>
      <c r="BF969" s="7">
        <f t="shared" si="192"/>
        <v>0.99703935058576287</v>
      </c>
      <c r="BG969" s="7">
        <f t="shared" si="193"/>
        <v>0.99703944962773661</v>
      </c>
      <c r="BH969" s="7" t="e">
        <f t="shared" si="194"/>
        <v>#N/A</v>
      </c>
      <c r="BI969" s="7">
        <f t="shared" si="198"/>
        <v>9.3577215692785024E-4</v>
      </c>
      <c r="BJ969" s="7">
        <f t="shared" si="195"/>
        <v>-6.4227843072149778E-5</v>
      </c>
      <c r="BK969" s="7" t="e">
        <f t="shared" si="199"/>
        <v>#N/A</v>
      </c>
      <c r="BL969" s="7" t="e">
        <f t="shared" si="196"/>
        <v>#N/A</v>
      </c>
    </row>
    <row r="970" spans="52:64" ht="11.25" customHeight="1">
      <c r="AZ970" s="7">
        <f t="shared" si="187"/>
        <v>0.99975848972643122</v>
      </c>
      <c r="BA970" s="7">
        <f t="shared" si="197"/>
        <v>3.4899999999998861</v>
      </c>
      <c r="BB970" s="7">
        <f t="shared" si="188"/>
        <v>9.03722211277884E-4</v>
      </c>
      <c r="BC970" s="7" t="e">
        <f t="shared" si="189"/>
        <v>#N/A</v>
      </c>
      <c r="BD970" s="7">
        <f t="shared" si="190"/>
        <v>3.489989999999886</v>
      </c>
      <c r="BE970" s="7">
        <f t="shared" si="191"/>
        <v>3.4900099999998861</v>
      </c>
      <c r="BF970" s="7">
        <f t="shared" si="192"/>
        <v>0.99708844624331261</v>
      </c>
      <c r="BG970" s="7">
        <f t="shared" si="193"/>
        <v>0.99708854358555232</v>
      </c>
      <c r="BH970" s="7" t="e">
        <f t="shared" si="194"/>
        <v>#N/A</v>
      </c>
      <c r="BI970" s="7">
        <f t="shared" si="198"/>
        <v>9.03722211277884E-4</v>
      </c>
      <c r="BJ970" s="7">
        <f t="shared" si="195"/>
        <v>-9.627778872211602E-5</v>
      </c>
      <c r="BK970" s="7" t="e">
        <f t="shared" si="199"/>
        <v>#N/A</v>
      </c>
      <c r="BL970" s="7" t="e">
        <f t="shared" si="196"/>
        <v>#N/A</v>
      </c>
    </row>
    <row r="971" spans="52:64" ht="11.25" customHeight="1">
      <c r="AZ971" s="7">
        <f t="shared" si="187"/>
        <v>0.99976737092096524</v>
      </c>
      <c r="BA971" s="7">
        <f t="shared" si="197"/>
        <v>3.4999999999998859</v>
      </c>
      <c r="BB971" s="7">
        <f t="shared" si="188"/>
        <v>8.7268269504610883E-4</v>
      </c>
      <c r="BC971" s="7" t="e">
        <f t="shared" si="189"/>
        <v>#N/A</v>
      </c>
      <c r="BD971" s="7">
        <f t="shared" si="190"/>
        <v>3.4999899999998858</v>
      </c>
      <c r="BE971" s="7">
        <f t="shared" si="191"/>
        <v>3.5000099999998859</v>
      </c>
      <c r="BF971" s="7">
        <f t="shared" si="192"/>
        <v>0.99713669944977024</v>
      </c>
      <c r="BG971" s="7">
        <f t="shared" si="193"/>
        <v>0.99713679512191267</v>
      </c>
      <c r="BH971" s="7" t="e">
        <f t="shared" si="194"/>
        <v>#N/A</v>
      </c>
      <c r="BI971" s="7">
        <f t="shared" si="198"/>
        <v>8.7268269504610883E-4</v>
      </c>
      <c r="BJ971" s="7">
        <f t="shared" si="195"/>
        <v>-1.2731730495389119E-4</v>
      </c>
      <c r="BK971" s="7" t="e">
        <f t="shared" si="199"/>
        <v>#N/A</v>
      </c>
      <c r="BL971" s="7" t="e">
        <f t="shared" si="196"/>
        <v>#N/A</v>
      </c>
    </row>
    <row r="972" spans="52:64" ht="11.25" customHeight="1">
      <c r="AZ972" s="7">
        <f t="shared" si="187"/>
        <v>0.99977594665300784</v>
      </c>
      <c r="BA972" s="7">
        <f t="shared" si="197"/>
        <v>3.5099999999998857</v>
      </c>
      <c r="BB972" s="7">
        <f t="shared" si="188"/>
        <v>8.4262500470724019E-4</v>
      </c>
      <c r="BC972" s="7" t="e">
        <f t="shared" si="189"/>
        <v>#N/A</v>
      </c>
      <c r="BD972" s="7">
        <f t="shared" si="190"/>
        <v>3.5099899999998856</v>
      </c>
      <c r="BE972" s="7">
        <f t="shared" si="191"/>
        <v>3.5100099999998857</v>
      </c>
      <c r="BF972" s="7">
        <f t="shared" si="192"/>
        <v>0.99718412489519936</v>
      </c>
      <c r="BG972" s="7">
        <f t="shared" si="193"/>
        <v>0.99718421892636844</v>
      </c>
      <c r="BH972" s="7" t="e">
        <f t="shared" si="194"/>
        <v>#N/A</v>
      </c>
      <c r="BI972" s="7">
        <f t="shared" si="198"/>
        <v>8.4262500470724019E-4</v>
      </c>
      <c r="BJ972" s="7">
        <f t="shared" si="195"/>
        <v>-1.5737499529275983E-4</v>
      </c>
      <c r="BK972" s="7" t="e">
        <f t="shared" si="199"/>
        <v>#N/A</v>
      </c>
      <c r="BL972" s="7" t="e">
        <f t="shared" si="196"/>
        <v>#N/A</v>
      </c>
    </row>
    <row r="973" spans="52:64" ht="11.25" customHeight="1">
      <c r="AZ973" s="7">
        <f t="shared" si="187"/>
        <v>0.99978422660070532</v>
      </c>
      <c r="BA973" s="7">
        <f t="shared" si="197"/>
        <v>3.5199999999998854</v>
      </c>
      <c r="BB973" s="7">
        <f t="shared" si="188"/>
        <v>8.1352123108213638E-4</v>
      </c>
      <c r="BC973" s="7" t="e">
        <f t="shared" si="189"/>
        <v>#N/A</v>
      </c>
      <c r="BD973" s="7">
        <f t="shared" si="190"/>
        <v>3.5199899999998854</v>
      </c>
      <c r="BE973" s="7">
        <f t="shared" si="191"/>
        <v>3.5200099999998855</v>
      </c>
      <c r="BF973" s="7">
        <f t="shared" si="192"/>
        <v>0.99723073701534382</v>
      </c>
      <c r="BG973" s="7">
        <f t="shared" si="193"/>
        <v>0.99723082943415886</v>
      </c>
      <c r="BH973" s="7" t="e">
        <f t="shared" si="194"/>
        <v>#N/A</v>
      </c>
      <c r="BI973" s="7">
        <f t="shared" si="198"/>
        <v>8.1352123108213638E-4</v>
      </c>
      <c r="BJ973" s="7">
        <f t="shared" si="195"/>
        <v>-1.8647876891786364E-4</v>
      </c>
      <c r="BK973" s="7" t="e">
        <f t="shared" si="199"/>
        <v>#N/A</v>
      </c>
      <c r="BL973" s="7" t="e">
        <f t="shared" si="196"/>
        <v>#N/A</v>
      </c>
    </row>
    <row r="974" spans="52:64" ht="11.25" customHeight="1">
      <c r="AZ974" s="7">
        <f t="shared" si="187"/>
        <v>0.99979222016652036</v>
      </c>
      <c r="BA974" s="7">
        <f t="shared" si="197"/>
        <v>3.5299999999998852</v>
      </c>
      <c r="BB974" s="7">
        <f t="shared" si="188"/>
        <v>7.853441463927871E-4</v>
      </c>
      <c r="BC974" s="7" t="e">
        <f t="shared" si="189"/>
        <v>#N/A</v>
      </c>
      <c r="BD974" s="7">
        <f t="shared" si="190"/>
        <v>3.5299899999998852</v>
      </c>
      <c r="BE974" s="7">
        <f t="shared" si="191"/>
        <v>3.5300099999998853</v>
      </c>
      <c r="BF974" s="7">
        <f t="shared" si="192"/>
        <v>0.99727654999584392</v>
      </c>
      <c r="BG974" s="7">
        <f t="shared" si="193"/>
        <v>0.99727664083042866</v>
      </c>
      <c r="BH974" s="7" t="e">
        <f t="shared" si="194"/>
        <v>#N/A</v>
      </c>
      <c r="BI974" s="7">
        <f t="shared" si="198"/>
        <v>7.853441463927871E-4</v>
      </c>
      <c r="BJ974" s="7">
        <f t="shared" si="195"/>
        <v>-2.1465585360721292E-4</v>
      </c>
      <c r="BK974" s="7" t="e">
        <f t="shared" si="199"/>
        <v>#N/A</v>
      </c>
      <c r="BL974" s="7" t="e">
        <f t="shared" si="196"/>
        <v>#N/A</v>
      </c>
    </row>
    <row r="975" spans="52:64" ht="11.25" customHeight="1">
      <c r="AZ975" s="7">
        <f t="shared" si="187"/>
        <v>0.99979993648399257</v>
      </c>
      <c r="BA975" s="7">
        <f t="shared" si="197"/>
        <v>3.539999999999885</v>
      </c>
      <c r="BB975" s="7">
        <f t="shared" si="188"/>
        <v>7.5806719142901919E-4</v>
      </c>
      <c r="BC975" s="7" t="e">
        <f t="shared" si="189"/>
        <v>#N/A</v>
      </c>
      <c r="BD975" s="7">
        <f t="shared" si="190"/>
        <v>3.539989999999885</v>
      </c>
      <c r="BE975" s="7">
        <f t="shared" si="191"/>
        <v>3.5400099999998851</v>
      </c>
      <c r="BF975" s="7">
        <f t="shared" si="192"/>
        <v>0.99732157777639208</v>
      </c>
      <c r="BG975" s="7">
        <f t="shared" si="193"/>
        <v>0.99732166705438208</v>
      </c>
      <c r="BH975" s="7" t="e">
        <f t="shared" si="194"/>
        <v>#N/A</v>
      </c>
      <c r="BI975" s="7">
        <f t="shared" si="198"/>
        <v>7.5806719142901919E-4</v>
      </c>
      <c r="BJ975" s="7">
        <f t="shared" si="195"/>
        <v>-2.4193280857098083E-4</v>
      </c>
      <c r="BK975" s="7" t="e">
        <f t="shared" si="199"/>
        <v>#N/A</v>
      </c>
      <c r="BL975" s="7" t="e">
        <f t="shared" si="196"/>
        <v>#N/A</v>
      </c>
    </row>
    <row r="976" spans="52:64" ht="11.25" customHeight="1">
      <c r="AZ976" s="7">
        <f t="shared" si="187"/>
        <v>0.99980738442436423</v>
      </c>
      <c r="BA976" s="7">
        <f t="shared" si="197"/>
        <v>3.5499999999998848</v>
      </c>
      <c r="BB976" s="7">
        <f t="shared" si="188"/>
        <v>7.316644628306097E-4</v>
      </c>
      <c r="BC976" s="7" t="e">
        <f t="shared" si="189"/>
        <v>#N/A</v>
      </c>
      <c r="BD976" s="7">
        <f t="shared" si="190"/>
        <v>3.5499899999998847</v>
      </c>
      <c r="BE976" s="7">
        <f t="shared" si="191"/>
        <v>3.5500099999998849</v>
      </c>
      <c r="BF976" s="7">
        <f t="shared" si="192"/>
        <v>0.99736583405482493</v>
      </c>
      <c r="BG976" s="7">
        <f t="shared" si="193"/>
        <v>0.99736592180337624</v>
      </c>
      <c r="BH976" s="7" t="e">
        <f t="shared" si="194"/>
        <v>#N/A</v>
      </c>
      <c r="BI976" s="7">
        <f t="shared" si="198"/>
        <v>7.316644628306097E-4</v>
      </c>
      <c r="BJ976" s="7">
        <f t="shared" si="195"/>
        <v>-2.6833553716939032E-4</v>
      </c>
      <c r="BK976" s="7" t="e">
        <f t="shared" si="199"/>
        <v>#N/A</v>
      </c>
      <c r="BL976" s="7" t="e">
        <f t="shared" si="196"/>
        <v>#N/A</v>
      </c>
    </row>
    <row r="977" spans="52:64" ht="11.25" customHeight="1">
      <c r="AZ977" s="7">
        <f t="shared" si="187"/>
        <v>0.99981457260306783</v>
      </c>
      <c r="BA977" s="7">
        <f t="shared" si="197"/>
        <v>3.5599999999998846</v>
      </c>
      <c r="BB977" s="7">
        <f t="shared" si="188"/>
        <v>7.0611070048832655E-4</v>
      </c>
      <c r="BC977" s="7" t="e">
        <f t="shared" si="189"/>
        <v>#N/A</v>
      </c>
      <c r="BD977" s="7">
        <f t="shared" si="190"/>
        <v>3.5599899999998845</v>
      </c>
      <c r="BE977" s="7">
        <f t="shared" si="191"/>
        <v>3.5600099999998847</v>
      </c>
      <c r="BF977" s="7">
        <f t="shared" si="192"/>
        <v>0.9974093322911558</v>
      </c>
      <c r="BG977" s="7">
        <f t="shared" si="193"/>
        <v>0.99740941853695286</v>
      </c>
      <c r="BH977" s="7" t="e">
        <f t="shared" si="194"/>
        <v>#N/A</v>
      </c>
      <c r="BI977" s="7">
        <f t="shared" si="198"/>
        <v>7.0611070048832655E-4</v>
      </c>
      <c r="BJ977" s="7">
        <f t="shared" si="195"/>
        <v>-2.9388929951167347E-4</v>
      </c>
      <c r="BK977" s="7" t="e">
        <f t="shared" si="199"/>
        <v>#N/A</v>
      </c>
      <c r="BL977" s="7" t="e">
        <f t="shared" si="196"/>
        <v>#N/A</v>
      </c>
    </row>
    <row r="978" spans="52:64" ht="11.25" customHeight="1">
      <c r="AZ978" s="7">
        <f t="shared" si="187"/>
        <v>0.99982150938609415</v>
      </c>
      <c r="BA978" s="7">
        <f t="shared" si="197"/>
        <v>3.5699999999998844</v>
      </c>
      <c r="BB978" s="7">
        <f t="shared" si="188"/>
        <v>6.8138127506717282E-4</v>
      </c>
      <c r="BC978" s="7" t="e">
        <f t="shared" si="189"/>
        <v>#N/A</v>
      </c>
      <c r="BD978" s="7">
        <f t="shared" si="190"/>
        <v>3.5699899999998843</v>
      </c>
      <c r="BE978" s="7">
        <f t="shared" si="191"/>
        <v>3.5700099999998844</v>
      </c>
      <c r="BF978" s="7">
        <f t="shared" si="192"/>
        <v>0.99745208571154609</v>
      </c>
      <c r="BG978" s="7">
        <f t="shared" si="193"/>
        <v>0.99745217048080936</v>
      </c>
      <c r="BH978" s="7" t="e">
        <f t="shared" si="194"/>
        <v>#N/A</v>
      </c>
      <c r="BI978" s="7">
        <f t="shared" si="198"/>
        <v>6.8138127506717282E-4</v>
      </c>
      <c r="BJ978" s="7">
        <f t="shared" si="195"/>
        <v>-3.1861872493282721E-4</v>
      </c>
      <c r="BK978" s="7" t="e">
        <f t="shared" si="199"/>
        <v>#N/A</v>
      </c>
      <c r="BL978" s="7" t="e">
        <f t="shared" si="196"/>
        <v>#N/A</v>
      </c>
    </row>
    <row r="979" spans="52:64" ht="11.25" customHeight="1">
      <c r="AZ979" s="7">
        <f t="shared" si="187"/>
        <v>0.99982820289625507</v>
      </c>
      <c r="BA979" s="7">
        <f t="shared" si="197"/>
        <v>3.5799999999998842</v>
      </c>
      <c r="BB979" s="7">
        <f t="shared" si="188"/>
        <v>6.5745217565494902E-4</v>
      </c>
      <c r="BC979" s="7" t="e">
        <f t="shared" si="189"/>
        <v>#N/A</v>
      </c>
      <c r="BD979" s="7">
        <f t="shared" si="190"/>
        <v>3.5799899999998841</v>
      </c>
      <c r="BE979" s="7">
        <f t="shared" si="191"/>
        <v>3.5800099999998842</v>
      </c>
      <c r="BF979" s="7">
        <f t="shared" si="192"/>
        <v>0.9974941073122171</v>
      </c>
      <c r="BG979" s="7">
        <f t="shared" si="193"/>
        <v>0.99749419063071143</v>
      </c>
      <c r="BH979" s="7" t="e">
        <f t="shared" si="194"/>
        <v>#N/A</v>
      </c>
      <c r="BI979" s="7">
        <f t="shared" si="198"/>
        <v>6.5745217565494902E-4</v>
      </c>
      <c r="BJ979" s="7">
        <f t="shared" si="195"/>
        <v>-3.42547824345051E-4</v>
      </c>
      <c r="BK979" s="7" t="e">
        <f t="shared" si="199"/>
        <v>#N/A</v>
      </c>
      <c r="BL979" s="7" t="e">
        <f t="shared" si="196"/>
        <v>#N/A</v>
      </c>
    </row>
    <row r="980" spans="52:64" ht="11.25" customHeight="1">
      <c r="AZ980" s="7">
        <f t="shared" si="187"/>
        <v>0.99983466101928009</v>
      </c>
      <c r="BA980" s="7">
        <f t="shared" si="197"/>
        <v>3.589999999999884</v>
      </c>
      <c r="BB980" s="7">
        <f t="shared" si="188"/>
        <v>6.3429999753902172E-4</v>
      </c>
      <c r="BC980" s="7" t="e">
        <f t="shared" si="189"/>
        <v>#N/A</v>
      </c>
      <c r="BD980" s="7">
        <f t="shared" si="190"/>
        <v>3.5899899999998839</v>
      </c>
      <c r="BE980" s="7">
        <f t="shared" si="191"/>
        <v>3.590009999999884</v>
      </c>
      <c r="BF980" s="7">
        <f t="shared" si="192"/>
        <v>0.99753540986330369</v>
      </c>
      <c r="BG980" s="7">
        <f t="shared" si="193"/>
        <v>0.99753549175634526</v>
      </c>
      <c r="BH980" s="7" t="e">
        <f t="shared" si="194"/>
        <v>#N/A</v>
      </c>
      <c r="BI980" s="7">
        <f t="shared" si="198"/>
        <v>6.3429999753902172E-4</v>
      </c>
      <c r="BJ980" s="7">
        <f t="shared" si="195"/>
        <v>-3.6570000246097831E-4</v>
      </c>
      <c r="BK980" s="7" t="e">
        <f t="shared" si="199"/>
        <v>#N/A</v>
      </c>
      <c r="BL980" s="7" t="e">
        <f t="shared" si="196"/>
        <v>#N/A</v>
      </c>
    </row>
    <row r="981" spans="52:64" ht="11.25" customHeight="1">
      <c r="AZ981" s="7">
        <f t="shared" ref="AZ981:AZ1044" si="200">NORMDIST(BA981,$BA$17,$BA$18,TRUE)</f>
        <v>0.99984089140984356</v>
      </c>
      <c r="BA981" s="7">
        <f t="shared" si="197"/>
        <v>3.5999999999998837</v>
      </c>
      <c r="BB981" s="7">
        <f t="shared" ref="BB981:BB1044" si="201">IF($BA$13=1,NORMDIST(BA981,$BA$17,$BA$18,FALSE),NA())</f>
        <v>6.1190193011402842E-4</v>
      </c>
      <c r="BC981" s="7" t="e">
        <f t="shared" ref="BC981:BC1044" si="202">IF($BA$13=3,NORMDIST(BA981,$BA$17,$BA$18,FALSE),NA())</f>
        <v>#N/A</v>
      </c>
      <c r="BD981" s="7">
        <f t="shared" ref="BD981:BD1044" si="203">BA981-$BD$19</f>
        <v>3.5999899999998837</v>
      </c>
      <c r="BE981" s="7">
        <f t="shared" ref="BE981:BE1044" si="204">BA981+$BD$19</f>
        <v>3.6000099999998838</v>
      </c>
      <c r="BF981" s="7">
        <f t="shared" ref="BF981:BF1044" si="205">IF(BD981&lt;0,TDIST(-BD981,$BA$14,1),1-TDIST(BD981,$BA$14,1))</f>
        <v>0.99757600591264772</v>
      </c>
      <c r="BG981" s="7">
        <f t="shared" ref="BG981:BG1044" si="206">IF(BE981&lt;0,TDIST(-BE981,$BA$14,1),1-TDIST(BE981,$BA$14,1))</f>
        <v>0.99757608640511197</v>
      </c>
      <c r="BH981" s="7" t="e">
        <f t="shared" ref="BH981:BH1044" si="207">IF($BA$13&gt;1,(BG981-BF981)/(2*$BD$19),NA())</f>
        <v>#N/A</v>
      </c>
      <c r="BI981" s="7">
        <f t="shared" si="198"/>
        <v>6.1190193011402842E-4</v>
      </c>
      <c r="BJ981" s="7">
        <f t="shared" ref="BJ981:BJ1044" si="208">IF(ISNUMBER(BI981),BI981-$BJ$19,NA())</f>
        <v>-3.880980698859716E-4</v>
      </c>
      <c r="BK981" s="7" t="e">
        <f t="shared" si="199"/>
        <v>#N/A</v>
      </c>
      <c r="BL981" s="7" t="e">
        <f t="shared" ref="BL981:BL1044" si="209">IF(ISNUMBER(BK981),BK981-$BL$19,NA())</f>
        <v>#N/A</v>
      </c>
    </row>
    <row r="982" spans="52:64" ht="11.25" customHeight="1">
      <c r="AZ982" s="7">
        <f t="shared" si="200"/>
        <v>0.99984690149742672</v>
      </c>
      <c r="BA982" s="7">
        <f t="shared" ref="BA982:BA1045" si="210">BA981+$BD$10</f>
        <v>3.6099999999998835</v>
      </c>
      <c r="BB982" s="7">
        <f t="shared" si="201"/>
        <v>5.9023574492303346E-4</v>
      </c>
      <c r="BC982" s="7" t="e">
        <f t="shared" si="202"/>
        <v>#N/A</v>
      </c>
      <c r="BD982" s="7">
        <f t="shared" si="203"/>
        <v>3.6099899999998835</v>
      </c>
      <c r="BE982" s="7">
        <f t="shared" si="204"/>
        <v>3.6100099999998836</v>
      </c>
      <c r="BF982" s="7">
        <f t="shared" si="205"/>
        <v>0.99761590778953591</v>
      </c>
      <c r="BG982" s="7">
        <f t="shared" si="206"/>
        <v>0.99761598690586495</v>
      </c>
      <c r="BH982" s="7" t="e">
        <f t="shared" si="207"/>
        <v>#N/A</v>
      </c>
      <c r="BI982" s="7">
        <f t="shared" ref="BI982:BI1045" si="211">IF($BA$15=1,IF(OR(AND(BA982&gt;=$BI$18,$BN$18&gt;=0),AND(BA982&lt;=-$BI$18,$BN$18&lt;0)),BB982,NA()),IF($BA$15=2,IF(ABS(BA982)&gt;=$BI$18,BB982,NA()),NA()))</f>
        <v>5.9023574492303346E-4</v>
      </c>
      <c r="BJ982" s="7">
        <f t="shared" si="208"/>
        <v>-4.0976425507696656E-4</v>
      </c>
      <c r="BK982" s="7" t="e">
        <f t="shared" ref="BK982:BK1045" si="212">IF($BA$15=1,IF(OR(AND(BA982&gt;=$BK$18,$BN$18&gt;=0),AND(BA982&lt;=-$BK$18,$BN$18&lt;0)),BH982,NA()),IF($BA$15=2,IF(ABS(BA982)&gt;=$BK$18,BH982,NA()),NA()))</f>
        <v>#N/A</v>
      </c>
      <c r="BL982" s="7" t="e">
        <f t="shared" si="209"/>
        <v>#N/A</v>
      </c>
    </row>
    <row r="983" spans="52:64" ht="11.25" customHeight="1">
      <c r="AZ983" s="7">
        <f t="shared" si="200"/>
        <v>0.9998526984920918</v>
      </c>
      <c r="BA983" s="7">
        <f t="shared" si="210"/>
        <v>3.6199999999998833</v>
      </c>
      <c r="BB983" s="7">
        <f t="shared" si="201"/>
        <v>5.692797838344932E-4</v>
      </c>
      <c r="BC983" s="7" t="e">
        <f t="shared" si="202"/>
        <v>#N/A</v>
      </c>
      <c r="BD983" s="7">
        <f t="shared" si="203"/>
        <v>3.6199899999998832</v>
      </c>
      <c r="BE983" s="7">
        <f t="shared" si="204"/>
        <v>3.6200099999998834</v>
      </c>
      <c r="BF983" s="7">
        <f t="shared" si="205"/>
        <v>0.99765512760837893</v>
      </c>
      <c r="BG983" s="7">
        <f t="shared" si="206"/>
        <v>0.99765520537258867</v>
      </c>
      <c r="BH983" s="7" t="e">
        <f t="shared" si="207"/>
        <v>#N/A</v>
      </c>
      <c r="BI983" s="7">
        <f t="shared" si="211"/>
        <v>5.692797838344932E-4</v>
      </c>
      <c r="BJ983" s="7">
        <f t="shared" si="208"/>
        <v>-4.3072021616550682E-4</v>
      </c>
      <c r="BK983" s="7" t="e">
        <f t="shared" si="212"/>
        <v>#N/A</v>
      </c>
      <c r="BL983" s="7" t="e">
        <f t="shared" si="209"/>
        <v>#N/A</v>
      </c>
    </row>
    <row r="984" spans="52:64" ht="11.25" customHeight="1">
      <c r="AZ984" s="7">
        <f t="shared" si="200"/>
        <v>0.99985828939012467</v>
      </c>
      <c r="BA984" s="7">
        <f t="shared" si="210"/>
        <v>3.6299999999998831</v>
      </c>
      <c r="BB984" s="7">
        <f t="shared" si="201"/>
        <v>5.490129473571917E-4</v>
      </c>
      <c r="BC984" s="7" t="e">
        <f t="shared" si="202"/>
        <v>#N/A</v>
      </c>
      <c r="BD984" s="7">
        <f t="shared" si="203"/>
        <v>3.629989999999883</v>
      </c>
      <c r="BE984" s="7">
        <f t="shared" si="204"/>
        <v>3.6300099999998832</v>
      </c>
      <c r="BF984" s="7">
        <f t="shared" si="205"/>
        <v>0.99769367727233538</v>
      </c>
      <c r="BG984" s="7">
        <f t="shared" si="206"/>
        <v>0.99769375370802282</v>
      </c>
      <c r="BH984" s="7" t="e">
        <f t="shared" si="207"/>
        <v>#N/A</v>
      </c>
      <c r="BI984" s="7">
        <f t="shared" si="211"/>
        <v>5.490129473571917E-4</v>
      </c>
      <c r="BJ984" s="7">
        <f t="shared" si="208"/>
        <v>-4.5098705264280832E-4</v>
      </c>
      <c r="BK984" s="7" t="e">
        <f t="shared" si="212"/>
        <v>#N/A</v>
      </c>
      <c r="BL984" s="7" t="e">
        <f t="shared" si="209"/>
        <v>#N/A</v>
      </c>
    </row>
    <row r="985" spans="52:64" ht="11.25" customHeight="1">
      <c r="AZ985" s="7">
        <f t="shared" si="200"/>
        <v>0.99986368097955447</v>
      </c>
      <c r="BA985" s="7">
        <f t="shared" si="210"/>
        <v>3.6399999999998829</v>
      </c>
      <c r="BB985" s="7">
        <f t="shared" si="201"/>
        <v>5.2941468309516038E-4</v>
      </c>
      <c r="BC985" s="7" t="e">
        <f t="shared" si="202"/>
        <v>#N/A</v>
      </c>
      <c r="BD985" s="7">
        <f t="shared" si="203"/>
        <v>3.6399899999998828</v>
      </c>
      <c r="BE985" s="7">
        <f t="shared" si="204"/>
        <v>3.640009999999883</v>
      </c>
      <c r="BF985" s="7">
        <f t="shared" si="205"/>
        <v>0.99773156847687916</v>
      </c>
      <c r="BG985" s="7">
        <f t="shared" si="206"/>
        <v>0.99773164360722955</v>
      </c>
      <c r="BH985" s="7" t="e">
        <f t="shared" si="207"/>
        <v>#N/A</v>
      </c>
      <c r="BI985" s="7">
        <f t="shared" si="211"/>
        <v>5.2941468309516038E-4</v>
      </c>
      <c r="BJ985" s="7">
        <f t="shared" si="208"/>
        <v>-4.7058531690483965E-4</v>
      </c>
      <c r="BK985" s="7" t="e">
        <f t="shared" si="212"/>
        <v>#N/A</v>
      </c>
      <c r="BL985" s="7" t="e">
        <f t="shared" si="209"/>
        <v>#N/A</v>
      </c>
    </row>
    <row r="986" spans="52:64" ht="11.25" customHeight="1">
      <c r="AZ986" s="7">
        <f t="shared" si="200"/>
        <v>0.99986887984557882</v>
      </c>
      <c r="BA986" s="7">
        <f t="shared" si="210"/>
        <v>3.6499999999998827</v>
      </c>
      <c r="BB986" s="7">
        <f t="shared" si="201"/>
        <v>5.1046497434440407E-4</v>
      </c>
      <c r="BC986" s="7" t="e">
        <f t="shared" si="202"/>
        <v>#N/A</v>
      </c>
      <c r="BD986" s="7">
        <f t="shared" si="203"/>
        <v>3.6499899999998826</v>
      </c>
      <c r="BE986" s="7">
        <f t="shared" si="204"/>
        <v>3.6500099999998827</v>
      </c>
      <c r="BF986" s="7">
        <f t="shared" si="205"/>
        <v>0.9977688127133123</v>
      </c>
      <c r="BG986" s="7">
        <f t="shared" si="206"/>
        <v>0.99776888656110596</v>
      </c>
      <c r="BH986" s="7" t="e">
        <f t="shared" si="207"/>
        <v>#N/A</v>
      </c>
      <c r="BI986" s="7">
        <f t="shared" si="211"/>
        <v>5.1046497434440407E-4</v>
      </c>
      <c r="BJ986" s="7">
        <f t="shared" si="208"/>
        <v>-4.8953502565559596E-4</v>
      </c>
      <c r="BK986" s="7" t="e">
        <f t="shared" si="212"/>
        <v>#N/A</v>
      </c>
      <c r="BL986" s="7" t="e">
        <f t="shared" si="209"/>
        <v>#N/A</v>
      </c>
    </row>
    <row r="987" spans="52:64" ht="11.25" customHeight="1">
      <c r="AZ987" s="7">
        <f t="shared" si="200"/>
        <v>0.99987389237586144</v>
      </c>
      <c r="BA987" s="7">
        <f t="shared" si="210"/>
        <v>3.6599999999998825</v>
      </c>
      <c r="BB987" s="7">
        <f t="shared" si="201"/>
        <v>4.9214432883310508E-4</v>
      </c>
      <c r="BC987" s="7" t="e">
        <f t="shared" si="202"/>
        <v>#N/A</v>
      </c>
      <c r="BD987" s="7">
        <f t="shared" si="203"/>
        <v>3.6599899999998824</v>
      </c>
      <c r="BE987" s="7">
        <f t="shared" si="204"/>
        <v>3.6600099999998825</v>
      </c>
      <c r="BF987" s="7">
        <f t="shared" si="205"/>
        <v>0.99780542127222338</v>
      </c>
      <c r="BG987" s="7">
        <f t="shared" si="206"/>
        <v>0.99780549385984263</v>
      </c>
      <c r="BH987" s="7" t="e">
        <f t="shared" si="207"/>
        <v>#N/A</v>
      </c>
      <c r="BI987" s="7">
        <f t="shared" si="211"/>
        <v>4.9214432883310508E-4</v>
      </c>
      <c r="BJ987" s="7">
        <f t="shared" si="208"/>
        <v>-5.0785567116689494E-4</v>
      </c>
      <c r="BK987" s="7" t="e">
        <f t="shared" si="212"/>
        <v>#N/A</v>
      </c>
      <c r="BL987" s="7" t="e">
        <f t="shared" si="209"/>
        <v>#N/A</v>
      </c>
    </row>
    <row r="988" spans="52:64" ht="11.25" customHeight="1">
      <c r="AZ988" s="7">
        <f t="shared" si="200"/>
        <v>0.99987872476571238</v>
      </c>
      <c r="BA988" s="7">
        <f t="shared" si="210"/>
        <v>3.6699999999998822</v>
      </c>
      <c r="BB988" s="7">
        <f t="shared" si="201"/>
        <v>4.744337676068254E-4</v>
      </c>
      <c r="BC988" s="7" t="e">
        <f t="shared" si="202"/>
        <v>#N/A</v>
      </c>
      <c r="BD988" s="7">
        <f t="shared" si="203"/>
        <v>3.6699899999998822</v>
      </c>
      <c r="BE988" s="7">
        <f t="shared" si="204"/>
        <v>3.6700099999998823</v>
      </c>
      <c r="BF988" s="7">
        <f t="shared" si="205"/>
        <v>0.9978414052468918</v>
      </c>
      <c r="BG988" s="7">
        <f t="shared" si="206"/>
        <v>0.99784147659632783</v>
      </c>
      <c r="BH988" s="7" t="e">
        <f t="shared" si="207"/>
        <v>#N/A</v>
      </c>
      <c r="BI988" s="7">
        <f t="shared" si="211"/>
        <v>4.744337676068254E-4</v>
      </c>
      <c r="BJ988" s="7">
        <f t="shared" si="208"/>
        <v>-5.2556623239317468E-4</v>
      </c>
      <c r="BK988" s="7" t="e">
        <f t="shared" si="212"/>
        <v>#N/A</v>
      </c>
      <c r="BL988" s="7" t="e">
        <f t="shared" si="209"/>
        <v>#N/A</v>
      </c>
    </row>
    <row r="989" spans="52:64" ht="11.25" customHeight="1">
      <c r="AZ989" s="7">
        <f t="shared" si="200"/>
        <v>0.99988338302318214</v>
      </c>
      <c r="BA989" s="7">
        <f t="shared" si="210"/>
        <v>3.679999999999882</v>
      </c>
      <c r="BB989" s="7">
        <f t="shared" si="201"/>
        <v>4.5731481406005532E-4</v>
      </c>
      <c r="BC989" s="7" t="e">
        <f t="shared" si="202"/>
        <v>#N/A</v>
      </c>
      <c r="BD989" s="7">
        <f t="shared" si="203"/>
        <v>3.679989999999882</v>
      </c>
      <c r="BE989" s="7">
        <f t="shared" si="204"/>
        <v>3.6800099999998821</v>
      </c>
      <c r="BF989" s="7">
        <f t="shared" si="205"/>
        <v>0.99787677553663978</v>
      </c>
      <c r="BG989" s="7">
        <f t="shared" si="206"/>
        <v>0.99787684566949908</v>
      </c>
      <c r="BH989" s="7" t="e">
        <f t="shared" si="207"/>
        <v>#N/A</v>
      </c>
      <c r="BI989" s="7">
        <f t="shared" si="211"/>
        <v>4.5731481406005532E-4</v>
      </c>
      <c r="BJ989" s="7">
        <f t="shared" si="208"/>
        <v>-5.4268518593994465E-4</v>
      </c>
      <c r="BK989" s="7" t="e">
        <f t="shared" si="212"/>
        <v>#N/A</v>
      </c>
      <c r="BL989" s="7" t="e">
        <f t="shared" si="209"/>
        <v>#N/A</v>
      </c>
    </row>
    <row r="990" spans="52:64" ht="11.25" customHeight="1">
      <c r="AZ990" s="7">
        <f t="shared" si="200"/>
        <v>0.99988787297401627</v>
      </c>
      <c r="BA990" s="7">
        <f t="shared" si="210"/>
        <v>3.6899999999998818</v>
      </c>
      <c r="BB990" s="7">
        <f t="shared" si="201"/>
        <v>4.4076948311532469E-4</v>
      </c>
      <c r="BC990" s="7" t="e">
        <f t="shared" si="202"/>
        <v>#N/A</v>
      </c>
      <c r="BD990" s="7">
        <f t="shared" si="203"/>
        <v>3.6899899999998818</v>
      </c>
      <c r="BE990" s="7">
        <f t="shared" si="204"/>
        <v>3.6900099999998819</v>
      </c>
      <c r="BF990" s="7">
        <f t="shared" si="205"/>
        <v>0.99791154285013095</v>
      </c>
      <c r="BG990" s="7">
        <f t="shared" si="206"/>
        <v>0.99791161178764187</v>
      </c>
      <c r="BH990" s="7" t="e">
        <f t="shared" si="207"/>
        <v>#N/A</v>
      </c>
      <c r="BI990" s="7">
        <f t="shared" si="211"/>
        <v>4.4076948311532469E-4</v>
      </c>
      <c r="BJ990" s="7">
        <f t="shared" si="208"/>
        <v>-5.5923051688467533E-4</v>
      </c>
      <c r="BK990" s="7" t="e">
        <f t="shared" si="212"/>
        <v>#N/A</v>
      </c>
      <c r="BL990" s="7" t="e">
        <f t="shared" si="209"/>
        <v>#N/A</v>
      </c>
    </row>
    <row r="991" spans="52:64" ht="11.25" customHeight="1">
      <c r="AZ991" s="7">
        <f t="shared" si="200"/>
        <v>0.99989220026652181</v>
      </c>
      <c r="BA991" s="7">
        <f t="shared" si="210"/>
        <v>3.6999999999998816</v>
      </c>
      <c r="BB991" s="7">
        <f t="shared" si="201"/>
        <v>4.247802705509377E-4</v>
      </c>
      <c r="BC991" s="7" t="e">
        <f t="shared" si="202"/>
        <v>#N/A</v>
      </c>
      <c r="BD991" s="7">
        <f t="shared" si="203"/>
        <v>3.6999899999998815</v>
      </c>
      <c r="BE991" s="7">
        <f t="shared" si="204"/>
        <v>3.7000099999998817</v>
      </c>
      <c r="BF991" s="7">
        <f t="shared" si="205"/>
        <v>0.99794571770861806</v>
      </c>
      <c r="BG991" s="7">
        <f t="shared" si="206"/>
        <v>0.99794578547163748</v>
      </c>
      <c r="BH991" s="7" t="e">
        <f t="shared" si="207"/>
        <v>#N/A</v>
      </c>
      <c r="BI991" s="7">
        <f t="shared" si="211"/>
        <v>4.247802705509377E-4</v>
      </c>
      <c r="BJ991" s="7">
        <f t="shared" si="208"/>
        <v>-5.7521972944906232E-4</v>
      </c>
      <c r="BK991" s="7" t="e">
        <f t="shared" si="212"/>
        <v>#N/A</v>
      </c>
      <c r="BL991" s="7" t="e">
        <f t="shared" si="209"/>
        <v>#N/A</v>
      </c>
    </row>
    <row r="992" spans="52:64" ht="11.25" customHeight="1">
      <c r="AZ992" s="7">
        <f t="shared" si="200"/>
        <v>0.99989637037632595</v>
      </c>
      <c r="BA992" s="7">
        <f t="shared" si="210"/>
        <v>3.7099999999998814</v>
      </c>
      <c r="BB992" s="7">
        <f t="shared" si="201"/>
        <v>4.0933014247825875E-4</v>
      </c>
      <c r="BC992" s="7" t="e">
        <f t="shared" si="202"/>
        <v>#N/A</v>
      </c>
      <c r="BD992" s="7">
        <f t="shared" si="203"/>
        <v>3.7099899999998813</v>
      </c>
      <c r="BE992" s="7">
        <f t="shared" si="204"/>
        <v>3.7100099999998815</v>
      </c>
      <c r="BF992" s="7">
        <f t="shared" si="205"/>
        <v>0.99797931044913879</v>
      </c>
      <c r="BG992" s="7">
        <f t="shared" si="206"/>
        <v>0.99797937705815853</v>
      </c>
      <c r="BH992" s="7" t="e">
        <f t="shared" si="207"/>
        <v>#N/A</v>
      </c>
      <c r="BI992" s="7">
        <f t="shared" si="211"/>
        <v>4.0933014247825875E-4</v>
      </c>
      <c r="BJ992" s="7">
        <f t="shared" si="208"/>
        <v>-5.9066985752174127E-4</v>
      </c>
      <c r="BK992" s="7" t="e">
        <f t="shared" si="212"/>
        <v>#N/A</v>
      </c>
      <c r="BL992" s="7" t="e">
        <f t="shared" si="209"/>
        <v>#N/A</v>
      </c>
    </row>
    <row r="993" spans="52:64" ht="11.25" customHeight="1">
      <c r="AZ993" s="7">
        <f t="shared" si="200"/>
        <v>0.99990038861102382</v>
      </c>
      <c r="BA993" s="7">
        <f t="shared" si="210"/>
        <v>3.7199999999998812</v>
      </c>
      <c r="BB993" s="7">
        <f t="shared" si="201"/>
        <v>3.94402524969331E-4</v>
      </c>
      <c r="BC993" s="7" t="e">
        <f t="shared" si="202"/>
        <v>#N/A</v>
      </c>
      <c r="BD993" s="7">
        <f t="shared" si="203"/>
        <v>3.7199899999998811</v>
      </c>
      <c r="BE993" s="7">
        <f t="shared" si="204"/>
        <v>3.7200099999998812</v>
      </c>
      <c r="BF993" s="7">
        <f t="shared" si="205"/>
        <v>0.99801233122766231</v>
      </c>
      <c r="BG993" s="7">
        <f t="shared" si="206"/>
        <v>0.99801239670281483</v>
      </c>
      <c r="BH993" s="7" t="e">
        <f t="shared" si="207"/>
        <v>#N/A</v>
      </c>
      <c r="BI993" s="7">
        <f t="shared" si="211"/>
        <v>3.94402524969331E-4</v>
      </c>
      <c r="BJ993" s="7">
        <f t="shared" si="208"/>
        <v>-6.0559747503066903E-4</v>
      </c>
      <c r="BK993" s="7" t="e">
        <f t="shared" si="212"/>
        <v>#N/A</v>
      </c>
      <c r="BL993" s="7" t="e">
        <f t="shared" si="209"/>
        <v>#N/A</v>
      </c>
    </row>
    <row r="994" spans="52:64" ht="11.25" customHeight="1">
      <c r="AZ994" s="7">
        <f t="shared" si="200"/>
        <v>0.99990426011473077</v>
      </c>
      <c r="BA994" s="7">
        <f t="shared" si="210"/>
        <v>3.729999999999881</v>
      </c>
      <c r="BB994" s="7">
        <f t="shared" si="201"/>
        <v>3.7998129383549017E-4</v>
      </c>
      <c r="BC994" s="7" t="e">
        <f t="shared" si="202"/>
        <v>#N/A</v>
      </c>
      <c r="BD994" s="7">
        <f t="shared" si="203"/>
        <v>3.7299899999998809</v>
      </c>
      <c r="BE994" s="7">
        <f t="shared" si="204"/>
        <v>3.730009999999881</v>
      </c>
      <c r="BF994" s="7">
        <f t="shared" si="205"/>
        <v>0.99804479002218449</v>
      </c>
      <c r="BG994" s="7">
        <f t="shared" si="206"/>
        <v>0.99804485438324941</v>
      </c>
      <c r="BH994" s="7" t="e">
        <f t="shared" si="207"/>
        <v>#N/A</v>
      </c>
      <c r="BI994" s="7">
        <f t="shared" si="211"/>
        <v>3.7998129383549017E-4</v>
      </c>
      <c r="BJ994" s="7">
        <f t="shared" si="208"/>
        <v>-6.2001870616450985E-4</v>
      </c>
      <c r="BK994" s="7" t="e">
        <f t="shared" si="212"/>
        <v>#N/A</v>
      </c>
      <c r="BL994" s="7" t="e">
        <f t="shared" si="209"/>
        <v>#N/A</v>
      </c>
    </row>
    <row r="995" spans="52:64" ht="11.25" customHeight="1">
      <c r="AZ995" s="7">
        <f t="shared" si="200"/>
        <v>0.99990798987252494</v>
      </c>
      <c r="BA995" s="7">
        <f t="shared" si="210"/>
        <v>3.7399999999998808</v>
      </c>
      <c r="BB995" s="7">
        <f t="shared" si="201"/>
        <v>3.6605076455749845E-4</v>
      </c>
      <c r="BC995" s="7" t="e">
        <f t="shared" si="202"/>
        <v>#N/A</v>
      </c>
      <c r="BD995" s="7">
        <f t="shared" si="203"/>
        <v>3.7399899999998807</v>
      </c>
      <c r="BE995" s="7">
        <f t="shared" si="204"/>
        <v>3.7400099999998808</v>
      </c>
      <c r="BF995" s="7">
        <f t="shared" si="205"/>
        <v>0.99807669663577514</v>
      </c>
      <c r="BG995" s="7">
        <f t="shared" si="206"/>
        <v>0.99807675990218536</v>
      </c>
      <c r="BH995" s="7" t="e">
        <f t="shared" si="207"/>
        <v>#N/A</v>
      </c>
      <c r="BI995" s="7">
        <f t="shared" si="211"/>
        <v>3.6605076455749845E-4</v>
      </c>
      <c r="BJ995" s="7">
        <f t="shared" si="208"/>
        <v>-6.3394923544250162E-4</v>
      </c>
      <c r="BK995" s="7" t="e">
        <f t="shared" si="212"/>
        <v>#N/A</v>
      </c>
      <c r="BL995" s="7" t="e">
        <f t="shared" si="209"/>
        <v>#N/A</v>
      </c>
    </row>
    <row r="996" spans="52:64" ht="11.25" customHeight="1">
      <c r="AZ996" s="7">
        <f t="shared" si="200"/>
        <v>0.99991158271479708</v>
      </c>
      <c r="BA996" s="7">
        <f t="shared" si="210"/>
        <v>3.7499999999998805</v>
      </c>
      <c r="BB996" s="7">
        <f t="shared" si="201"/>
        <v>3.5259568236760321E-4</v>
      </c>
      <c r="BC996" s="7" t="e">
        <f t="shared" si="202"/>
        <v>#N/A</v>
      </c>
      <c r="BD996" s="7">
        <f t="shared" si="203"/>
        <v>3.7499899999998805</v>
      </c>
      <c r="BE996" s="7">
        <f t="shared" si="204"/>
        <v>3.7500099999998806</v>
      </c>
      <c r="BF996" s="7">
        <f t="shared" si="205"/>
        <v>0.99810806069957603</v>
      </c>
      <c r="BG996" s="7">
        <f t="shared" si="206"/>
        <v>0.99810812289042361</v>
      </c>
      <c r="BH996" s="7" t="e">
        <f t="shared" si="207"/>
        <v>#N/A</v>
      </c>
      <c r="BI996" s="7">
        <f t="shared" si="211"/>
        <v>3.5259568236760321E-4</v>
      </c>
      <c r="BJ996" s="7">
        <f t="shared" si="208"/>
        <v>-6.4740431763239681E-4</v>
      </c>
      <c r="BK996" s="7" t="e">
        <f t="shared" si="212"/>
        <v>#N/A</v>
      </c>
      <c r="BL996" s="7" t="e">
        <f t="shared" si="209"/>
        <v>#N/A</v>
      </c>
    </row>
    <row r="997" spans="52:64" ht="11.25" customHeight="1">
      <c r="AZ997" s="7">
        <f t="shared" si="200"/>
        <v>0.99991504332150027</v>
      </c>
      <c r="BA997" s="7">
        <f t="shared" si="210"/>
        <v>3.7599999999998803</v>
      </c>
      <c r="BB997" s="7">
        <f t="shared" si="201"/>
        <v>3.3960121248380738E-4</v>
      </c>
      <c r="BC997" s="7" t="e">
        <f t="shared" si="202"/>
        <v>#N/A</v>
      </c>
      <c r="BD997" s="7">
        <f t="shared" si="203"/>
        <v>3.7599899999998803</v>
      </c>
      <c r="BE997" s="7">
        <f t="shared" si="204"/>
        <v>3.7600099999998804</v>
      </c>
      <c r="BF997" s="7">
        <f t="shared" si="205"/>
        <v>0.99813889167575165</v>
      </c>
      <c r="BG997" s="7">
        <f t="shared" si="206"/>
        <v>0.99813895280979359</v>
      </c>
      <c r="BH997" s="7" t="e">
        <f t="shared" si="207"/>
        <v>#N/A</v>
      </c>
      <c r="BI997" s="7">
        <f t="shared" si="211"/>
        <v>3.3960121248380738E-4</v>
      </c>
      <c r="BJ997" s="7">
        <f t="shared" si="208"/>
        <v>-6.6039878751619264E-4</v>
      </c>
      <c r="BK997" s="7" t="e">
        <f t="shared" si="212"/>
        <v>#N/A</v>
      </c>
      <c r="BL997" s="7" t="e">
        <f t="shared" si="209"/>
        <v>#N/A</v>
      </c>
    </row>
    <row r="998" spans="52:64" ht="11.25" customHeight="1">
      <c r="AZ998" s="7">
        <f t="shared" si="200"/>
        <v>0.99991837622629587</v>
      </c>
      <c r="BA998" s="7">
        <f t="shared" si="210"/>
        <v>3.7699999999998801</v>
      </c>
      <c r="BB998" s="7">
        <f t="shared" si="201"/>
        <v>3.2705293049652281E-4</v>
      </c>
      <c r="BC998" s="7" t="e">
        <f t="shared" si="202"/>
        <v>#N/A</v>
      </c>
      <c r="BD998" s="7">
        <f t="shared" si="203"/>
        <v>3.76998999999988</v>
      </c>
      <c r="BE998" s="7">
        <f t="shared" si="204"/>
        <v>3.7700099999998802</v>
      </c>
      <c r="BF998" s="7">
        <f t="shared" si="205"/>
        <v>0.99816919886039224</v>
      </c>
      <c r="BG998" s="7">
        <f t="shared" si="206"/>
        <v>0.99816925895605624</v>
      </c>
      <c r="BH998" s="7" t="e">
        <f t="shared" si="207"/>
        <v>#N/A</v>
      </c>
      <c r="BI998" s="7">
        <f t="shared" si="211"/>
        <v>3.2705293049652281E-4</v>
      </c>
      <c r="BJ998" s="7">
        <f t="shared" si="208"/>
        <v>-6.7294706950347721E-4</v>
      </c>
      <c r="BK998" s="7" t="e">
        <f t="shared" si="212"/>
        <v>#N/A</v>
      </c>
      <c r="BL998" s="7" t="e">
        <f t="shared" si="209"/>
        <v>#N/A</v>
      </c>
    </row>
    <row r="999" spans="52:64" ht="11.25" customHeight="1">
      <c r="AZ999" s="7">
        <f t="shared" si="200"/>
        <v>0.99992158582061696</v>
      </c>
      <c r="BA999" s="7">
        <f t="shared" si="210"/>
        <v>3.7799999999998799</v>
      </c>
      <c r="BB999" s="7">
        <f t="shared" si="201"/>
        <v>3.1493681290766472E-4</v>
      </c>
      <c r="BC999" s="7" t="e">
        <f t="shared" si="202"/>
        <v>#N/A</v>
      </c>
      <c r="BD999" s="7">
        <f t="shared" si="203"/>
        <v>3.7799899999998798</v>
      </c>
      <c r="BE999" s="7">
        <f t="shared" si="204"/>
        <v>3.78000999999988</v>
      </c>
      <c r="BF999" s="7">
        <f t="shared" si="205"/>
        <v>0.99819899138637025</v>
      </c>
      <c r="BG999" s="7">
        <f t="shared" si="206"/>
        <v>0.99819905046176038</v>
      </c>
      <c r="BH999" s="7" t="e">
        <f t="shared" si="207"/>
        <v>#N/A</v>
      </c>
      <c r="BI999" s="7">
        <f t="shared" si="211"/>
        <v>3.1493681290766472E-4</v>
      </c>
      <c r="BJ999" s="7">
        <f t="shared" si="208"/>
        <v>-6.850631870923353E-4</v>
      </c>
      <c r="BK999" s="7" t="e">
        <f t="shared" si="212"/>
        <v>#N/A</v>
      </c>
      <c r="BL999" s="7" t="e">
        <f t="shared" si="209"/>
        <v>#N/A</v>
      </c>
    </row>
    <row r="1000" spans="52:64" ht="11.25" customHeight="1">
      <c r="AZ1000" s="7">
        <f t="shared" si="200"/>
        <v>0.99992467635761884</v>
      </c>
      <c r="BA1000" s="7">
        <f t="shared" si="210"/>
        <v>3.7899999999998797</v>
      </c>
      <c r="BB1000" s="7">
        <f t="shared" si="201"/>
        <v>3.0323922782214262E-4</v>
      </c>
      <c r="BC1000" s="7" t="e">
        <f t="shared" si="202"/>
        <v>#N/A</v>
      </c>
      <c r="BD1000" s="7">
        <f t="shared" si="203"/>
        <v>3.7899899999998796</v>
      </c>
      <c r="BE1000" s="7">
        <f t="shared" si="204"/>
        <v>3.7900099999998798</v>
      </c>
      <c r="BF1000" s="7">
        <f t="shared" si="205"/>
        <v>0.99822827822615101</v>
      </c>
      <c r="BG1000" s="7">
        <f t="shared" si="206"/>
        <v>0.99822833629905316</v>
      </c>
      <c r="BH1000" s="7" t="e">
        <f t="shared" si="207"/>
        <v>#N/A</v>
      </c>
      <c r="BI1000" s="7">
        <f t="shared" si="211"/>
        <v>3.0323922782214262E-4</v>
      </c>
      <c r="BJ1000" s="7">
        <f t="shared" si="208"/>
        <v>-6.967607721778574E-4</v>
      </c>
      <c r="BK1000" s="7" t="e">
        <f t="shared" si="212"/>
        <v>#N/A</v>
      </c>
      <c r="BL1000" s="7" t="e">
        <f t="shared" si="209"/>
        <v>#N/A</v>
      </c>
    </row>
    <row r="1001" spans="52:64" ht="11.25" customHeight="1">
      <c r="AZ1001" s="7">
        <f t="shared" si="200"/>
        <v>0.99992765195607647</v>
      </c>
      <c r="BA1001" s="7">
        <f t="shared" si="210"/>
        <v>3.7999999999998795</v>
      </c>
      <c r="BB1001" s="7">
        <f t="shared" si="201"/>
        <v>2.9194692579159374E-4</v>
      </c>
      <c r="BC1001" s="7" t="e">
        <f t="shared" si="202"/>
        <v>#N/A</v>
      </c>
      <c r="BD1001" s="7">
        <f t="shared" si="203"/>
        <v>3.7999899999998794</v>
      </c>
      <c r="BE1001" s="7">
        <f t="shared" si="204"/>
        <v>3.8000099999998795</v>
      </c>
      <c r="BF1001" s="7">
        <f t="shared" si="205"/>
        <v>0.99825706819455751</v>
      </c>
      <c r="BG1001" s="7">
        <f t="shared" si="206"/>
        <v>0.99825712528244548</v>
      </c>
      <c r="BH1001" s="7" t="e">
        <f t="shared" si="207"/>
        <v>#N/A</v>
      </c>
      <c r="BI1001" s="7">
        <f t="shared" si="211"/>
        <v>2.9194692579159374E-4</v>
      </c>
      <c r="BJ1001" s="7">
        <f t="shared" si="208"/>
        <v>-7.0805307420840628E-4</v>
      </c>
      <c r="BK1001" s="7" t="e">
        <f t="shared" si="212"/>
        <v>#N/A</v>
      </c>
      <c r="BL1001" s="7" t="e">
        <f t="shared" si="209"/>
        <v>#N/A</v>
      </c>
    </row>
    <row r="1002" spans="52:64" ht="11.25" customHeight="1">
      <c r="AZ1002" s="7">
        <f t="shared" si="200"/>
        <v>0.99993051660411925</v>
      </c>
      <c r="BA1002" s="7">
        <f t="shared" si="210"/>
        <v>3.8099999999998793</v>
      </c>
      <c r="BB1002" s="7">
        <f t="shared" si="201"/>
        <v>2.8104703081011562E-4</v>
      </c>
      <c r="BC1002" s="7" t="e">
        <f t="shared" si="202"/>
        <v>#N/A</v>
      </c>
      <c r="BD1002" s="7">
        <f t="shared" si="203"/>
        <v>3.8099899999998792</v>
      </c>
      <c r="BE1002" s="7">
        <f t="shared" si="204"/>
        <v>3.8100099999998793</v>
      </c>
      <c r="BF1002" s="7">
        <f t="shared" si="205"/>
        <v>0.99828536995149175</v>
      </c>
      <c r="BG1002" s="7">
        <f t="shared" si="206"/>
        <v>0.9982854260715317</v>
      </c>
      <c r="BH1002" s="7" t="e">
        <f t="shared" si="207"/>
        <v>#N/A</v>
      </c>
      <c r="BI1002" s="7">
        <f t="shared" si="211"/>
        <v>2.8104703081011562E-4</v>
      </c>
      <c r="BJ1002" s="7">
        <f t="shared" si="208"/>
        <v>-7.189529691898844E-4</v>
      </c>
      <c r="BK1002" s="7" t="e">
        <f t="shared" si="212"/>
        <v>#N/A</v>
      </c>
      <c r="BL1002" s="7" t="e">
        <f t="shared" si="209"/>
        <v>#N/A</v>
      </c>
    </row>
    <row r="1003" spans="52:64" ht="11.25" customHeight="1">
      <c r="AZ1003" s="7">
        <f t="shared" si="200"/>
        <v>0.99993327416296829</v>
      </c>
      <c r="BA1003" s="7">
        <f t="shared" si="210"/>
        <v>3.819999999999879</v>
      </c>
      <c r="BB1003" s="7">
        <f t="shared" si="201"/>
        <v>2.705270314616459E-4</v>
      </c>
      <c r="BC1003" s="7" t="e">
        <f t="shared" si="202"/>
        <v>#N/A</v>
      </c>
      <c r="BD1003" s="7">
        <f t="shared" si="203"/>
        <v>3.819989999999879</v>
      </c>
      <c r="BE1003" s="7">
        <f t="shared" si="204"/>
        <v>3.8200099999998791</v>
      </c>
      <c r="BF1003" s="7">
        <f t="shared" si="205"/>
        <v>0.99831319200460999</v>
      </c>
      <c r="BG1003" s="7">
        <f t="shared" si="206"/>
        <v>0.99831324717366643</v>
      </c>
      <c r="BH1003" s="7" t="e">
        <f t="shared" si="207"/>
        <v>#N/A</v>
      </c>
      <c r="BI1003" s="7">
        <f t="shared" si="211"/>
        <v>2.705270314616459E-4</v>
      </c>
      <c r="BJ1003" s="7">
        <f t="shared" si="208"/>
        <v>-7.2947296853835412E-4</v>
      </c>
      <c r="BK1003" s="7" t="e">
        <f t="shared" si="212"/>
        <v>#N/A</v>
      </c>
      <c r="BL1003" s="7" t="e">
        <f t="shared" si="209"/>
        <v>#N/A</v>
      </c>
    </row>
    <row r="1004" spans="52:64" ht="11.25" customHeight="1">
      <c r="AZ1004" s="7">
        <f t="shared" si="200"/>
        <v>0.99993592837051049</v>
      </c>
      <c r="BA1004" s="7">
        <f t="shared" si="210"/>
        <v>3.8299999999998788</v>
      </c>
      <c r="BB1004" s="7">
        <f t="shared" si="201"/>
        <v>2.6037477221856341E-4</v>
      </c>
      <c r="BC1004" s="7" t="e">
        <f t="shared" si="202"/>
        <v>#N/A</v>
      </c>
      <c r="BD1004" s="7">
        <f t="shared" si="203"/>
        <v>3.8299899999998788</v>
      </c>
      <c r="BE1004" s="7">
        <f t="shared" si="204"/>
        <v>3.8300099999998789</v>
      </c>
      <c r="BF1004" s="7">
        <f t="shared" si="205"/>
        <v>0.99834054271195616</v>
      </c>
      <c r="BG1004" s="7">
        <f t="shared" si="206"/>
        <v>0.99834059694659716</v>
      </c>
      <c r="BH1004" s="7" t="e">
        <f t="shared" si="207"/>
        <v>#N/A</v>
      </c>
      <c r="BI1004" s="7">
        <f t="shared" si="211"/>
        <v>2.6037477221856341E-4</v>
      </c>
      <c r="BJ1004" s="7">
        <f t="shared" si="208"/>
        <v>-7.3962522778143656E-4</v>
      </c>
      <c r="BK1004" s="7" t="e">
        <f t="shared" si="212"/>
        <v>#N/A</v>
      </c>
      <c r="BL1004" s="7" t="e">
        <f t="shared" si="209"/>
        <v>#N/A</v>
      </c>
    </row>
    <row r="1005" spans="52:64" ht="11.25" customHeight="1">
      <c r="AZ1005" s="7">
        <f t="shared" si="200"/>
        <v>0.99993848284481379</v>
      </c>
      <c r="BA1005" s="7">
        <f t="shared" si="210"/>
        <v>3.8399999999998786</v>
      </c>
      <c r="BB1005" s="7">
        <f t="shared" si="201"/>
        <v>2.5057844489097757E-4</v>
      </c>
      <c r="BC1005" s="7" t="e">
        <f t="shared" si="202"/>
        <v>#N/A</v>
      </c>
      <c r="BD1005" s="7">
        <f t="shared" si="203"/>
        <v>3.8399899999998786</v>
      </c>
      <c r="BE1005" s="7">
        <f t="shared" si="204"/>
        <v>3.8400099999998787</v>
      </c>
      <c r="BF1005" s="7">
        <f t="shared" si="205"/>
        <v>0.99836743028455144</v>
      </c>
      <c r="BG1005" s="7">
        <f t="shared" si="206"/>
        <v>0.99836748360105332</v>
      </c>
      <c r="BH1005" s="7" t="e">
        <f t="shared" si="207"/>
        <v>#N/A</v>
      </c>
      <c r="BI1005" s="7">
        <f t="shared" si="211"/>
        <v>2.5057844489097757E-4</v>
      </c>
      <c r="BJ1005" s="7">
        <f t="shared" si="208"/>
        <v>-7.4942155510902245E-4</v>
      </c>
      <c r="BK1005" s="7" t="e">
        <f t="shared" si="212"/>
        <v>#N/A</v>
      </c>
      <c r="BL1005" s="7" t="e">
        <f t="shared" si="209"/>
        <v>#N/A</v>
      </c>
    </row>
    <row r="1006" spans="52:64" ht="11.25" customHeight="1">
      <c r="AZ1006" s="7">
        <f t="shared" si="200"/>
        <v>0.99994094108758136</v>
      </c>
      <c r="BA1006" s="7">
        <f t="shared" si="210"/>
        <v>3.8499999999998784</v>
      </c>
      <c r="BB1006" s="7">
        <f t="shared" si="201"/>
        <v>2.4112658022610627E-4</v>
      </c>
      <c r="BC1006" s="7" t="e">
        <f t="shared" si="202"/>
        <v>#N/A</v>
      </c>
      <c r="BD1006" s="7">
        <f t="shared" si="203"/>
        <v>3.8499899999998783</v>
      </c>
      <c r="BE1006" s="7">
        <f t="shared" si="204"/>
        <v>3.8500099999998785</v>
      </c>
      <c r="BF1006" s="7">
        <f t="shared" si="205"/>
        <v>0.99839386278894182</v>
      </c>
      <c r="BG1006" s="7">
        <f t="shared" si="206"/>
        <v>0.99839391520329457</v>
      </c>
      <c r="BH1006" s="7" t="e">
        <f t="shared" si="207"/>
        <v>#N/A</v>
      </c>
      <c r="BI1006" s="7">
        <f t="shared" si="211"/>
        <v>2.4112658022610627E-4</v>
      </c>
      <c r="BJ1006" s="7">
        <f t="shared" si="208"/>
        <v>-7.5887341977389378E-4</v>
      </c>
      <c r="BK1006" s="7" t="e">
        <f t="shared" si="212"/>
        <v>#N/A</v>
      </c>
      <c r="BL1006" s="7" t="e">
        <f t="shared" si="209"/>
        <v>#N/A</v>
      </c>
    </row>
    <row r="1007" spans="52:64" ht="11.25" customHeight="1">
      <c r="AZ1007" s="7">
        <f t="shared" si="200"/>
        <v>0.99994330648746232</v>
      </c>
      <c r="BA1007" s="7">
        <f t="shared" si="210"/>
        <v>3.8599999999998782</v>
      </c>
      <c r="BB1007" s="7">
        <f t="shared" si="201"/>
        <v>2.3200803965705134E-4</v>
      </c>
      <c r="BC1007" s="7" t="e">
        <f t="shared" si="202"/>
        <v>#N/A</v>
      </c>
      <c r="BD1007" s="7">
        <f t="shared" si="203"/>
        <v>3.8599899999998781</v>
      </c>
      <c r="BE1007" s="7">
        <f t="shared" si="204"/>
        <v>3.8600099999998783</v>
      </c>
      <c r="BF1007" s="7">
        <f t="shared" si="205"/>
        <v>0.99841984814970386</v>
      </c>
      <c r="BG1007" s="7">
        <f t="shared" si="206"/>
        <v>0.99841989967761613</v>
      </c>
      <c r="BH1007" s="7" t="e">
        <f t="shared" si="207"/>
        <v>#N/A</v>
      </c>
      <c r="BI1007" s="7">
        <f t="shared" si="211"/>
        <v>2.3200803965705134E-4</v>
      </c>
      <c r="BJ1007" s="7">
        <f t="shared" si="208"/>
        <v>-7.679919603429487E-4</v>
      </c>
      <c r="BK1007" s="7" t="e">
        <f t="shared" si="212"/>
        <v>#N/A</v>
      </c>
      <c r="BL1007" s="7" t="e">
        <f t="shared" si="209"/>
        <v>#N/A</v>
      </c>
    </row>
    <row r="1008" spans="52:64" ht="11.25" customHeight="1">
      <c r="AZ1008" s="7">
        <f t="shared" si="200"/>
        <v>0.99994558232336495</v>
      </c>
      <c r="BA1008" s="7">
        <f t="shared" si="210"/>
        <v>3.869999999999878</v>
      </c>
      <c r="BB1008" s="7">
        <f t="shared" si="201"/>
        <v>2.232120072002075E-4</v>
      </c>
      <c r="BC1008" s="7" t="e">
        <f t="shared" si="202"/>
        <v>#N/A</v>
      </c>
      <c r="BD1008" s="7">
        <f t="shared" si="203"/>
        <v>3.8699899999998779</v>
      </c>
      <c r="BE1008" s="7">
        <f t="shared" si="204"/>
        <v>3.870009999999878</v>
      </c>
      <c r="BF1008" s="7">
        <f t="shared" si="205"/>
        <v>0.99844539415190936</v>
      </c>
      <c r="BG1008" s="7">
        <f t="shared" si="206"/>
        <v>0.99844544480881303</v>
      </c>
      <c r="BH1008" s="7" t="e">
        <f t="shared" si="207"/>
        <v>#N/A</v>
      </c>
      <c r="BI1008" s="7">
        <f t="shared" si="211"/>
        <v>2.232120072002075E-4</v>
      </c>
      <c r="BJ1008" s="7">
        <f t="shared" si="208"/>
        <v>-7.7678799279979249E-4</v>
      </c>
      <c r="BK1008" s="7" t="e">
        <f t="shared" si="212"/>
        <v>#N/A</v>
      </c>
      <c r="BL1008" s="7" t="e">
        <f t="shared" si="209"/>
        <v>#N/A</v>
      </c>
    </row>
    <row r="1009" spans="52:64" ht="11.25" customHeight="1">
      <c r="AZ1009" s="7">
        <f t="shared" si="200"/>
        <v>0.99994777176760086</v>
      </c>
      <c r="BA1009" s="7">
        <f t="shared" si="210"/>
        <v>3.8799999999998778</v>
      </c>
      <c r="BB1009" s="7">
        <f t="shared" si="201"/>
        <v>2.1472798150046882E-4</v>
      </c>
      <c r="BC1009" s="7" t="e">
        <f t="shared" si="202"/>
        <v>#N/A</v>
      </c>
      <c r="BD1009" s="7">
        <f t="shared" si="203"/>
        <v>3.8799899999998777</v>
      </c>
      <c r="BE1009" s="7">
        <f t="shared" si="204"/>
        <v>3.8800099999998778</v>
      </c>
      <c r="BF1009" s="7">
        <f t="shared" si="205"/>
        <v>0.99847050844354923</v>
      </c>
      <c r="BG1009" s="7">
        <f t="shared" si="206"/>
        <v>0.99847055824460473</v>
      </c>
      <c r="BH1009" s="7" t="e">
        <f t="shared" si="207"/>
        <v>#N/A</v>
      </c>
      <c r="BI1009" s="7">
        <f t="shared" si="211"/>
        <v>2.1472798150046882E-4</v>
      </c>
      <c r="BJ1009" s="7">
        <f t="shared" si="208"/>
        <v>-7.8527201849953117E-4</v>
      </c>
      <c r="BK1009" s="7" t="e">
        <f t="shared" si="212"/>
        <v>#N/A</v>
      </c>
      <c r="BL1009" s="7" t="e">
        <f t="shared" si="209"/>
        <v>#N/A</v>
      </c>
    </row>
    <row r="1010" spans="52:64" ht="11.25" customHeight="1">
      <c r="AZ1010" s="7">
        <f t="shared" si="200"/>
        <v>0.99994987788900458</v>
      </c>
      <c r="BA1010" s="7">
        <f t="shared" si="210"/>
        <v>3.8899999999998776</v>
      </c>
      <c r="BB1010" s="7">
        <f t="shared" si="201"/>
        <v>2.0654576802332398E-4</v>
      </c>
      <c r="BC1010" s="7" t="e">
        <f t="shared" si="202"/>
        <v>#N/A</v>
      </c>
      <c r="BD1010" s="7">
        <f t="shared" si="203"/>
        <v>3.8899899999998775</v>
      </c>
      <c r="BE1010" s="7">
        <f t="shared" si="204"/>
        <v>3.8900099999998776</v>
      </c>
      <c r="BF1010" s="7">
        <f t="shared" si="205"/>
        <v>0.99849519853791802</v>
      </c>
      <c r="BG1010" s="7">
        <f t="shared" si="206"/>
        <v>0.99849524749801832</v>
      </c>
      <c r="BH1010" s="7" t="e">
        <f t="shared" si="207"/>
        <v>#N/A</v>
      </c>
      <c r="BI1010" s="7">
        <f t="shared" si="211"/>
        <v>2.0654576802332398E-4</v>
      </c>
      <c r="BJ1010" s="7">
        <f t="shared" si="208"/>
        <v>-7.9345423197667601E-4</v>
      </c>
      <c r="BK1010" s="7" t="e">
        <f t="shared" si="212"/>
        <v>#N/A</v>
      </c>
      <c r="BL1010" s="7" t="e">
        <f t="shared" si="209"/>
        <v>#N/A</v>
      </c>
    </row>
    <row r="1011" spans="52:64" ht="11.25" customHeight="1">
      <c r="AZ1011" s="7">
        <f t="shared" si="200"/>
        <v>0.99995190365597963</v>
      </c>
      <c r="BA1011" s="7">
        <f t="shared" si="210"/>
        <v>3.8999999999998773</v>
      </c>
      <c r="BB1011" s="7">
        <f t="shared" si="201"/>
        <v>1.9865547139286764E-4</v>
      </c>
      <c r="BC1011" s="7" t="e">
        <f t="shared" si="202"/>
        <v>#N/A</v>
      </c>
      <c r="BD1011" s="7">
        <f t="shared" si="203"/>
        <v>3.8999899999998773</v>
      </c>
      <c r="BE1011" s="7">
        <f t="shared" si="204"/>
        <v>3.9000099999998774</v>
      </c>
      <c r="BF1011" s="7">
        <f t="shared" si="205"/>
        <v>0.99851947181595802</v>
      </c>
      <c r="BG1011" s="7">
        <f t="shared" si="206"/>
        <v>0.99851951994973409</v>
      </c>
      <c r="BH1011" s="7" t="e">
        <f t="shared" si="207"/>
        <v>#N/A</v>
      </c>
      <c r="BI1011" s="7">
        <f t="shared" si="211"/>
        <v>1.9865547139286764E-4</v>
      </c>
      <c r="BJ1011" s="7">
        <f t="shared" si="208"/>
        <v>-8.0134452860713241E-4</v>
      </c>
      <c r="BK1011" s="7" t="e">
        <f t="shared" si="212"/>
        <v>#N/A</v>
      </c>
      <c r="BL1011" s="7" t="e">
        <f t="shared" si="209"/>
        <v>#N/A</v>
      </c>
    </row>
    <row r="1012" spans="52:64" ht="11.25" customHeight="1">
      <c r="AZ1012" s="7">
        <f t="shared" si="200"/>
        <v>0.99995385193944442</v>
      </c>
      <c r="BA1012" s="7">
        <f t="shared" si="210"/>
        <v>3.9099999999998771</v>
      </c>
      <c r="BB1012" s="7">
        <f t="shared" si="201"/>
        <v>1.9104748787468953E-4</v>
      </c>
      <c r="BC1012" s="7" t="e">
        <f t="shared" si="202"/>
        <v>#N/A</v>
      </c>
      <c r="BD1012" s="7">
        <f t="shared" si="203"/>
        <v>3.9099899999998771</v>
      </c>
      <c r="BE1012" s="7">
        <f t="shared" si="204"/>
        <v>3.9100099999998772</v>
      </c>
      <c r="BF1012" s="7">
        <f t="shared" si="205"/>
        <v>0.99854333552856556</v>
      </c>
      <c r="BG1012" s="7">
        <f t="shared" si="206"/>
        <v>0.99854338285039035</v>
      </c>
      <c r="BH1012" s="7" t="e">
        <f t="shared" si="207"/>
        <v>#N/A</v>
      </c>
      <c r="BI1012" s="7">
        <f t="shared" si="211"/>
        <v>1.9104748787468953E-4</v>
      </c>
      <c r="BJ1012" s="7">
        <f t="shared" si="208"/>
        <v>-8.0895251212531052E-4</v>
      </c>
      <c r="BK1012" s="7" t="e">
        <f t="shared" si="212"/>
        <v>#N/A</v>
      </c>
      <c r="BL1012" s="7" t="e">
        <f t="shared" si="209"/>
        <v>#N/A</v>
      </c>
    </row>
    <row r="1013" spans="52:64" ht="11.25" customHeight="1">
      <c r="AZ1013" s="7">
        <f t="shared" si="200"/>
        <v>0.99995572551568757</v>
      </c>
      <c r="BA1013" s="7">
        <f t="shared" si="210"/>
        <v>3.9199999999998769</v>
      </c>
      <c r="BB1013" s="7">
        <f t="shared" si="201"/>
        <v>1.8371249800254569E-4</v>
      </c>
      <c r="BC1013" s="7" t="e">
        <f t="shared" si="202"/>
        <v>#N/A</v>
      </c>
      <c r="BD1013" s="7">
        <f t="shared" si="203"/>
        <v>3.9199899999998769</v>
      </c>
      <c r="BE1013" s="7">
        <f t="shared" si="204"/>
        <v>3.920009999999877</v>
      </c>
      <c r="BF1013" s="7">
        <f t="shared" si="205"/>
        <v>0.99856679679885851</v>
      </c>
      <c r="BG1013" s="7">
        <f t="shared" si="206"/>
        <v>0.99856684332285173</v>
      </c>
      <c r="BH1013" s="7" t="e">
        <f t="shared" si="207"/>
        <v>#N/A</v>
      </c>
      <c r="BI1013" s="7">
        <f t="shared" si="211"/>
        <v>1.8371249800254569E-4</v>
      </c>
      <c r="BJ1013" s="7">
        <f t="shared" si="208"/>
        <v>-8.1628750199745431E-4</v>
      </c>
      <c r="BK1013" s="7" t="e">
        <f t="shared" si="212"/>
        <v>#N/A</v>
      </c>
      <c r="BL1013" s="7" t="e">
        <f t="shared" si="209"/>
        <v>#N/A</v>
      </c>
    </row>
    <row r="1014" spans="52:64" ht="11.25" customHeight="1">
      <c r="AZ1014" s="7">
        <f t="shared" si="200"/>
        <v>0.99995752706920638</v>
      </c>
      <c r="BA1014" s="7">
        <f t="shared" si="210"/>
        <v>3.9299999999998767</v>
      </c>
      <c r="BB1014" s="7">
        <f t="shared" si="201"/>
        <v>1.7664145934765657E-4</v>
      </c>
      <c r="BC1014" s="7" t="e">
        <f t="shared" si="202"/>
        <v>#N/A</v>
      </c>
      <c r="BD1014" s="7">
        <f t="shared" si="203"/>
        <v>3.9299899999998766</v>
      </c>
      <c r="BE1014" s="7">
        <f t="shared" si="204"/>
        <v>3.9300099999998768</v>
      </c>
      <c r="BF1014" s="7">
        <f t="shared" si="205"/>
        <v>0.99858986262440608</v>
      </c>
      <c r="BG1014" s="7">
        <f t="shared" si="206"/>
        <v>0.99858990836443839</v>
      </c>
      <c r="BH1014" s="7" t="e">
        <f t="shared" si="207"/>
        <v>#N/A</v>
      </c>
      <c r="BI1014" s="7">
        <f t="shared" si="211"/>
        <v>1.7664145934765657E-4</v>
      </c>
      <c r="BJ1014" s="7">
        <f t="shared" si="208"/>
        <v>-8.2335854065234348E-4</v>
      </c>
      <c r="BK1014" s="7" t="e">
        <f t="shared" si="212"/>
        <v>#N/A</v>
      </c>
      <c r="BL1014" s="7" t="e">
        <f t="shared" si="209"/>
        <v>#N/A</v>
      </c>
    </row>
    <row r="1015" spans="52:64" ht="11.25" customHeight="1">
      <c r="AZ1015" s="7">
        <f t="shared" si="200"/>
        <v>0.99995925919544015</v>
      </c>
      <c r="BA1015" s="7">
        <f t="shared" si="210"/>
        <v>3.9399999999998765</v>
      </c>
      <c r="BB1015" s="7">
        <f t="shared" si="201"/>
        <v>1.6982559942942623E-4</v>
      </c>
      <c r="BC1015" s="7" t="e">
        <f t="shared" si="202"/>
        <v>#N/A</v>
      </c>
      <c r="BD1015" s="7">
        <f t="shared" si="203"/>
        <v>3.9399899999998764</v>
      </c>
      <c r="BE1015" s="7">
        <f t="shared" si="204"/>
        <v>3.9400099999998766</v>
      </c>
      <c r="BF1015" s="7">
        <f t="shared" si="205"/>
        <v>0.99861253987942133</v>
      </c>
      <c r="BG1015" s="7">
        <f t="shared" si="206"/>
        <v>0.99861258484911919</v>
      </c>
      <c r="BH1015" s="7" t="e">
        <f t="shared" si="207"/>
        <v>#N/A</v>
      </c>
      <c r="BI1015" s="7">
        <f t="shared" si="211"/>
        <v>1.6982559942942623E-4</v>
      </c>
      <c r="BJ1015" s="7">
        <f t="shared" si="208"/>
        <v>-8.3017440057057382E-4</v>
      </c>
      <c r="BK1015" s="7" t="e">
        <f t="shared" si="212"/>
        <v>#N/A</v>
      </c>
      <c r="BL1015" s="7" t="e">
        <f t="shared" si="209"/>
        <v>#N/A</v>
      </c>
    </row>
    <row r="1016" spans="52:64" ht="11.25" customHeight="1">
      <c r="AZ1016" s="7">
        <f t="shared" si="200"/>
        <v>0.99996092440340578</v>
      </c>
      <c r="BA1016" s="7">
        <f t="shared" si="210"/>
        <v>3.9499999999998763</v>
      </c>
      <c r="BB1016" s="7">
        <f t="shared" si="201"/>
        <v>1.6325640876632187E-4</v>
      </c>
      <c r="BC1016" s="7" t="e">
        <f t="shared" si="202"/>
        <v>#N/A</v>
      </c>
      <c r="BD1016" s="7">
        <f t="shared" si="203"/>
        <v>3.9499899999998762</v>
      </c>
      <c r="BE1016" s="7">
        <f t="shared" si="204"/>
        <v>3.9500099999998763</v>
      </c>
      <c r="BF1016" s="7">
        <f t="shared" si="205"/>
        <v>0.99863483531691777</v>
      </c>
      <c r="BG1016" s="7">
        <f t="shared" si="206"/>
        <v>0.99863487952966723</v>
      </c>
      <c r="BH1016" s="7" t="e">
        <f t="shared" si="207"/>
        <v>#N/A</v>
      </c>
      <c r="BI1016" s="7">
        <f t="shared" si="211"/>
        <v>1.6325640876632187E-4</v>
      </c>
      <c r="BJ1016" s="7">
        <f t="shared" si="208"/>
        <v>-8.3674359123367815E-4</v>
      </c>
      <c r="BK1016" s="7" t="e">
        <f t="shared" si="212"/>
        <v>#N/A</v>
      </c>
      <c r="BL1016" s="7" t="e">
        <f t="shared" si="209"/>
        <v>#N/A</v>
      </c>
    </row>
    <row r="1017" spans="52:64" ht="11.25" customHeight="1">
      <c r="AZ1017" s="7">
        <f t="shared" si="200"/>
        <v>0.99996252511830352</v>
      </c>
      <c r="BA1017" s="7">
        <f t="shared" si="210"/>
        <v>3.9599999999998761</v>
      </c>
      <c r="BB1017" s="7">
        <f t="shared" si="201"/>
        <v>1.5692563406560919E-4</v>
      </c>
      <c r="BC1017" s="7" t="e">
        <f t="shared" si="202"/>
        <v>#N/A</v>
      </c>
      <c r="BD1017" s="7">
        <f t="shared" si="203"/>
        <v>3.959989999999876</v>
      </c>
      <c r="BE1017" s="7">
        <f t="shared" si="204"/>
        <v>3.9600099999998761</v>
      </c>
      <c r="BF1017" s="7">
        <f t="shared" si="205"/>
        <v>0.99865675557082922</v>
      </c>
      <c r="BG1017" s="7">
        <f t="shared" si="206"/>
        <v>0.99865679903978</v>
      </c>
      <c r="BH1017" s="7" t="e">
        <f t="shared" si="207"/>
        <v>#N/A</v>
      </c>
      <c r="BI1017" s="7">
        <f t="shared" si="211"/>
        <v>1.5692563406560919E-4</v>
      </c>
      <c r="BJ1017" s="7">
        <f t="shared" si="208"/>
        <v>-8.4307436593439083E-4</v>
      </c>
      <c r="BK1017" s="7" t="e">
        <f t="shared" si="212"/>
        <v>#N/A</v>
      </c>
      <c r="BL1017" s="7" t="e">
        <f t="shared" si="209"/>
        <v>#N/A</v>
      </c>
    </row>
    <row r="1018" spans="52:64" ht="11.25" customHeight="1">
      <c r="AZ1018" s="7">
        <f t="shared" si="200"/>
        <v>0.99996406368409207</v>
      </c>
      <c r="BA1018" s="7">
        <f t="shared" si="210"/>
        <v>3.9699999999998759</v>
      </c>
      <c r="BB1018" s="7">
        <f t="shared" si="201"/>
        <v>1.5082527155059225E-4</v>
      </c>
      <c r="BC1018" s="7" t="e">
        <f t="shared" si="202"/>
        <v>#N/A</v>
      </c>
      <c r="BD1018" s="7">
        <f t="shared" si="203"/>
        <v>3.9699899999998758</v>
      </c>
      <c r="BE1018" s="7">
        <f t="shared" si="204"/>
        <v>3.9700099999998759</v>
      </c>
      <c r="BF1018" s="7">
        <f t="shared" si="205"/>
        <v>0.99867830716268746</v>
      </c>
      <c r="BG1018" s="7">
        <f t="shared" si="206"/>
        <v>0.99867834990075732</v>
      </c>
      <c r="BH1018" s="7" t="e">
        <f t="shared" si="207"/>
        <v>#N/A</v>
      </c>
      <c r="BI1018" s="7">
        <f t="shared" si="211"/>
        <v>1.5082527155059225E-4</v>
      </c>
      <c r="BJ1018" s="7">
        <f t="shared" si="208"/>
        <v>-8.4917472844940774E-4</v>
      </c>
      <c r="BK1018" s="7" t="e">
        <f t="shared" si="212"/>
        <v>#N/A</v>
      </c>
      <c r="BL1018" s="7" t="e">
        <f t="shared" si="209"/>
        <v>#N/A</v>
      </c>
    </row>
    <row r="1019" spans="52:64" ht="11.25" customHeight="1">
      <c r="AZ1019" s="7">
        <f t="shared" si="200"/>
        <v>0.99996554236588264</v>
      </c>
      <c r="BA1019" s="7">
        <f t="shared" si="210"/>
        <v>3.9799999999998756</v>
      </c>
      <c r="BB1019" s="7">
        <f t="shared" si="201"/>
        <v>1.4494756042396286E-4</v>
      </c>
      <c r="BC1019" s="7" t="e">
        <f t="shared" si="202"/>
        <v>#N/A</v>
      </c>
      <c r="BD1019" s="7">
        <f t="shared" si="203"/>
        <v>3.9799899999998756</v>
      </c>
      <c r="BE1019" s="7">
        <f t="shared" si="204"/>
        <v>3.9800099999998757</v>
      </c>
      <c r="BF1019" s="7">
        <f t="shared" si="205"/>
        <v>0.99869949648507439</v>
      </c>
      <c r="BG1019" s="7">
        <f t="shared" si="206"/>
        <v>0.99869953850495397</v>
      </c>
      <c r="BH1019" s="7" t="e">
        <f t="shared" si="207"/>
        <v>#N/A</v>
      </c>
      <c r="BI1019" s="7">
        <f t="shared" si="211"/>
        <v>1.4494756042396286E-4</v>
      </c>
      <c r="BJ1019" s="7">
        <f t="shared" si="208"/>
        <v>-8.5505243957603716E-4</v>
      </c>
      <c r="BK1019" s="7" t="e">
        <f t="shared" si="212"/>
        <v>#N/A</v>
      </c>
      <c r="BL1019" s="7" t="e">
        <f t="shared" si="209"/>
        <v>#N/A</v>
      </c>
    </row>
    <row r="1020" spans="52:64" ht="11.25" customHeight="1">
      <c r="AZ1020" s="7">
        <f t="shared" si="200"/>
        <v>0.99996696335237112</v>
      </c>
      <c r="BA1020" s="7">
        <f t="shared" si="210"/>
        <v>3.9899999999998754</v>
      </c>
      <c r="BB1020" s="7">
        <f t="shared" si="201"/>
        <v>1.3928497646582919E-4</v>
      </c>
      <c r="BC1020" s="7" t="e">
        <f t="shared" si="202"/>
        <v>#N/A</v>
      </c>
      <c r="BD1020" s="7">
        <f t="shared" si="203"/>
        <v>3.9899899999998754</v>
      </c>
      <c r="BE1020" s="7">
        <f t="shared" si="204"/>
        <v>3.9900099999998755</v>
      </c>
      <c r="BF1020" s="7">
        <f t="shared" si="205"/>
        <v>0.9987203298318803</v>
      </c>
      <c r="BG1020" s="7">
        <f t="shared" si="206"/>
        <v>0.99872037114603585</v>
      </c>
      <c r="BH1020" s="7" t="e">
        <f t="shared" si="207"/>
        <v>#N/A</v>
      </c>
      <c r="BI1020" s="7">
        <f t="shared" si="211"/>
        <v>1.3928497646582919E-4</v>
      </c>
      <c r="BJ1020" s="7">
        <f t="shared" si="208"/>
        <v>-8.6071502353417088E-4</v>
      </c>
      <c r="BK1020" s="7" t="e">
        <f t="shared" si="212"/>
        <v>#N/A</v>
      </c>
      <c r="BL1020" s="7" t="e">
        <f t="shared" si="209"/>
        <v>#N/A</v>
      </c>
    </row>
    <row r="1021" spans="52:64" ht="11.25" customHeight="1">
      <c r="AZ1021" s="7">
        <f t="shared" si="200"/>
        <v>0.99996832875816688</v>
      </c>
      <c r="BA1021" s="7">
        <f t="shared" si="210"/>
        <v>3.9999999999998752</v>
      </c>
      <c r="BB1021" s="7">
        <f t="shared" si="201"/>
        <v>1.3383022576495215E-4</v>
      </c>
      <c r="BC1021" s="7" t="e">
        <f t="shared" si="202"/>
        <v>#N/A</v>
      </c>
      <c r="BD1021" s="7">
        <f t="shared" si="203"/>
        <v>3.9999899999998751</v>
      </c>
      <c r="BE1021" s="7">
        <f t="shared" si="204"/>
        <v>4.0000099999998753</v>
      </c>
      <c r="BF1021" s="7">
        <f t="shared" si="205"/>
        <v>0.99874081338121701</v>
      </c>
      <c r="BG1021" s="7">
        <f t="shared" si="206"/>
        <v>0.99874085400189483</v>
      </c>
      <c r="BH1021" s="7" t="e">
        <f t="shared" si="207"/>
        <v>#N/A</v>
      </c>
      <c r="BI1021" s="7">
        <f t="shared" si="211"/>
        <v>1.3383022576495215E-4</v>
      </c>
      <c r="BJ1021" s="7">
        <f t="shared" si="208"/>
        <v>-8.6616977423504789E-4</v>
      </c>
      <c r="BK1021" s="7" t="e">
        <f t="shared" si="212"/>
        <v>#N/A</v>
      </c>
      <c r="BL1021" s="7" t="e">
        <f t="shared" si="209"/>
        <v>#N/A</v>
      </c>
    </row>
    <row r="1022" spans="52:64" ht="11.25" customHeight="1">
      <c r="AZ1022" s="7">
        <f t="shared" si="200"/>
        <v>0.99996964062607074</v>
      </c>
      <c r="BA1022" s="7">
        <f t="shared" si="210"/>
        <v>4.0099999999998754</v>
      </c>
      <c r="BB1022" s="7">
        <f t="shared" si="201"/>
        <v>1.2857623858168523E-4</v>
      </c>
      <c r="BC1022" s="7" t="e">
        <f t="shared" si="202"/>
        <v>#N/A</v>
      </c>
      <c r="BD1022" s="7">
        <f t="shared" si="203"/>
        <v>4.0099899999998758</v>
      </c>
      <c r="BE1022" s="7">
        <f t="shared" si="204"/>
        <v>4.0100099999998751</v>
      </c>
      <c r="BF1022" s="7">
        <f t="shared" si="205"/>
        <v>0.99876095320219427</v>
      </c>
      <c r="BG1022" s="7">
        <f t="shared" si="206"/>
        <v>0.99876099314142464</v>
      </c>
      <c r="BH1022" s="7" t="e">
        <f t="shared" si="207"/>
        <v>#N/A</v>
      </c>
      <c r="BI1022" s="7">
        <f t="shared" si="211"/>
        <v>1.2857623858168523E-4</v>
      </c>
      <c r="BJ1022" s="7">
        <f t="shared" si="208"/>
        <v>-8.7142376141831476E-4</v>
      </c>
      <c r="BK1022" s="7" t="e">
        <f t="shared" si="212"/>
        <v>#N/A</v>
      </c>
      <c r="BL1022" s="7" t="e">
        <f t="shared" si="209"/>
        <v>#N/A</v>
      </c>
    </row>
    <row r="1023" spans="52:64" ht="11.25" customHeight="1">
      <c r="AZ1023" s="7">
        <f t="shared" si="200"/>
        <v>0.99997090092928409</v>
      </c>
      <c r="BA1023" s="7">
        <f t="shared" si="210"/>
        <v>4.0199999999998752</v>
      </c>
      <c r="BB1023" s="7">
        <f t="shared" si="201"/>
        <v>1.2351616334108531E-4</v>
      </c>
      <c r="BC1023" s="7" t="e">
        <f t="shared" si="202"/>
        <v>#N/A</v>
      </c>
      <c r="BD1023" s="7">
        <f t="shared" si="203"/>
        <v>4.0199899999998756</v>
      </c>
      <c r="BE1023" s="7">
        <f t="shared" si="204"/>
        <v>4.0200099999998749</v>
      </c>
      <c r="BF1023" s="7">
        <f t="shared" si="205"/>
        <v>0.99878075525683463</v>
      </c>
      <c r="BG1023" s="7">
        <f t="shared" si="206"/>
        <v>0.99878079452643564</v>
      </c>
      <c r="BH1023" s="7" t="e">
        <f t="shared" si="207"/>
        <v>#N/A</v>
      </c>
      <c r="BI1023" s="7">
        <f t="shared" si="211"/>
        <v>1.2351616334108531E-4</v>
      </c>
      <c r="BJ1023" s="7">
        <f t="shared" si="208"/>
        <v>-8.7648383665891473E-4</v>
      </c>
      <c r="BK1023" s="7" t="e">
        <f t="shared" si="212"/>
        <v>#N/A</v>
      </c>
      <c r="BL1023" s="7" t="e">
        <f t="shared" si="209"/>
        <v>#N/A</v>
      </c>
    </row>
    <row r="1024" spans="52:64" ht="11.25" customHeight="1">
      <c r="AZ1024" s="7">
        <f t="shared" si="200"/>
        <v>0.99997211157355292</v>
      </c>
      <c r="BA1024" s="7">
        <f t="shared" si="210"/>
        <v>4.029999999999875</v>
      </c>
      <c r="BB1024" s="7">
        <f t="shared" si="201"/>
        <v>1.1864336075462582E-4</v>
      </c>
      <c r="BC1024" s="7" t="e">
        <f t="shared" si="202"/>
        <v>#N/A</v>
      </c>
      <c r="BD1024" s="7">
        <f t="shared" si="203"/>
        <v>4.0299899999998754</v>
      </c>
      <c r="BE1024" s="7">
        <f t="shared" si="204"/>
        <v>4.0300099999998746</v>
      </c>
      <c r="BF1024" s="7">
        <f t="shared" si="205"/>
        <v>0.99880022540195568</v>
      </c>
      <c r="BG1024" s="7">
        <f t="shared" si="206"/>
        <v>0.99880026401353683</v>
      </c>
      <c r="BH1024" s="7" t="e">
        <f t="shared" si="207"/>
        <v>#N/A</v>
      </c>
      <c r="BI1024" s="7">
        <f t="shared" si="211"/>
        <v>1.1864336075462582E-4</v>
      </c>
      <c r="BJ1024" s="7">
        <f t="shared" si="208"/>
        <v>-8.8135663924537421E-4</v>
      </c>
      <c r="BK1024" s="7" t="e">
        <f t="shared" si="212"/>
        <v>#N/A</v>
      </c>
      <c r="BL1024" s="7" t="e">
        <f t="shared" si="209"/>
        <v>#N/A</v>
      </c>
    </row>
    <row r="1025" spans="52:64" ht="11.25" customHeight="1">
      <c r="AZ1025" s="7">
        <f t="shared" si="200"/>
        <v>0.99997327439927886</v>
      </c>
      <c r="BA1025" s="7">
        <f t="shared" si="210"/>
        <v>4.0399999999998748</v>
      </c>
      <c r="BB1025" s="7">
        <f t="shared" si="201"/>
        <v>1.1395139806892229E-4</v>
      </c>
      <c r="BC1025" s="7" t="e">
        <f t="shared" si="202"/>
        <v>#N/A</v>
      </c>
      <c r="BD1025" s="7">
        <f t="shared" si="203"/>
        <v>4.0399899999998752</v>
      </c>
      <c r="BE1025" s="7">
        <f t="shared" si="204"/>
        <v>4.0400099999998744</v>
      </c>
      <c r="BF1025" s="7">
        <f t="shared" si="205"/>
        <v>0.99881936939102056</v>
      </c>
      <c r="BG1025" s="7">
        <f t="shared" si="206"/>
        <v>0.99881940735598629</v>
      </c>
      <c r="BH1025" s="7" t="e">
        <f t="shared" si="207"/>
        <v>#N/A</v>
      </c>
      <c r="BI1025" s="7">
        <f t="shared" si="211"/>
        <v>1.1395139806892229E-4</v>
      </c>
      <c r="BJ1025" s="7">
        <f t="shared" si="208"/>
        <v>-8.8604860193107775E-4</v>
      </c>
      <c r="BK1025" s="7" t="e">
        <f t="shared" si="212"/>
        <v>#N/A</v>
      </c>
      <c r="BL1025" s="7" t="e">
        <f t="shared" si="209"/>
        <v>#N/A</v>
      </c>
    </row>
    <row r="1026" spans="52:64" ht="11.25" customHeight="1">
      <c r="AZ1026" s="7">
        <f t="shared" si="200"/>
        <v>0.99997439118352494</v>
      </c>
      <c r="BA1026" s="7">
        <f t="shared" si="210"/>
        <v>4.0499999999998746</v>
      </c>
      <c r="BB1026" s="7">
        <f t="shared" si="201"/>
        <v>1.0943404343985613E-4</v>
      </c>
      <c r="BC1026" s="7" t="e">
        <f t="shared" si="202"/>
        <v>#N/A</v>
      </c>
      <c r="BD1026" s="7">
        <f t="shared" si="203"/>
        <v>4.049989999999875</v>
      </c>
      <c r="BE1026" s="7">
        <f t="shared" si="204"/>
        <v>4.0500099999998742</v>
      </c>
      <c r="BF1026" s="7">
        <f t="shared" si="205"/>
        <v>0.99883819287595654</v>
      </c>
      <c r="BG1026" s="7">
        <f t="shared" si="206"/>
        <v>0.99883823020551032</v>
      </c>
      <c r="BH1026" s="7" t="e">
        <f t="shared" si="207"/>
        <v>#N/A</v>
      </c>
      <c r="BI1026" s="7">
        <f t="shared" si="211"/>
        <v>1.0943404343985613E-4</v>
      </c>
      <c r="BJ1026" s="7">
        <f t="shared" si="208"/>
        <v>-8.9056595656014387E-4</v>
      </c>
      <c r="BK1026" s="7" t="e">
        <f t="shared" si="212"/>
        <v>#N/A</v>
      </c>
      <c r="BL1026" s="7" t="e">
        <f t="shared" si="209"/>
        <v>#N/A</v>
      </c>
    </row>
    <row r="1027" spans="52:64" ht="11.25" customHeight="1">
      <c r="AZ1027" s="7">
        <f t="shared" si="200"/>
        <v>0.99997546364203416</v>
      </c>
      <c r="BA1027" s="7">
        <f t="shared" si="210"/>
        <v>4.0599999999998744</v>
      </c>
      <c r="BB1027" s="7">
        <f t="shared" si="201"/>
        <v>1.0508526043045386E-4</v>
      </c>
      <c r="BC1027" s="7" t="e">
        <f t="shared" si="202"/>
        <v>#N/A</v>
      </c>
      <c r="BD1027" s="7">
        <f t="shared" si="203"/>
        <v>4.0599899999998748</v>
      </c>
      <c r="BE1027" s="7">
        <f t="shared" si="204"/>
        <v>4.060009999999874</v>
      </c>
      <c r="BF1027" s="7">
        <f t="shared" si="205"/>
        <v>0.99885670140894345</v>
      </c>
      <c r="BG1027" s="7">
        <f t="shared" si="206"/>
        <v>0.99885673811409081</v>
      </c>
      <c r="BH1027" s="7" t="e">
        <f t="shared" si="207"/>
        <v>#N/A</v>
      </c>
      <c r="BI1027" s="7">
        <f t="shared" si="211"/>
        <v>1.0508526043045386E-4</v>
      </c>
      <c r="BJ1027" s="7">
        <f t="shared" si="208"/>
        <v>-8.9491473956954614E-4</v>
      </c>
      <c r="BK1027" s="7" t="e">
        <f t="shared" si="212"/>
        <v>#N/A</v>
      </c>
      <c r="BL1027" s="7" t="e">
        <f t="shared" si="209"/>
        <v>#N/A</v>
      </c>
    </row>
    <row r="1028" spans="52:64" ht="11.25" customHeight="1">
      <c r="AZ1028" s="7">
        <f t="shared" si="200"/>
        <v>0.99997649343112682</v>
      </c>
      <c r="BA1028" s="7">
        <f t="shared" si="210"/>
        <v>4.0699999999998742</v>
      </c>
      <c r="BB1028" s="7">
        <f t="shared" si="201"/>
        <v>1.008992026308662E-4</v>
      </c>
      <c r="BC1028" s="7" t="e">
        <f t="shared" si="202"/>
        <v>#N/A</v>
      </c>
      <c r="BD1028" s="7">
        <f t="shared" si="203"/>
        <v>4.0699899999998745</v>
      </c>
      <c r="BE1028" s="7">
        <f t="shared" si="204"/>
        <v>4.0700099999998738</v>
      </c>
      <c r="BF1028" s="7">
        <f t="shared" si="205"/>
        <v>0.99887490044417082</v>
      </c>
      <c r="BG1028" s="7">
        <f t="shared" si="206"/>
        <v>0.99887493653572301</v>
      </c>
      <c r="BH1028" s="7" t="e">
        <f t="shared" si="207"/>
        <v>#N/A</v>
      </c>
      <c r="BI1028" s="7">
        <f t="shared" si="211"/>
        <v>1.008992026308662E-4</v>
      </c>
      <c r="BJ1028" s="7">
        <f t="shared" si="208"/>
        <v>-8.9910079736913384E-4</v>
      </c>
      <c r="BK1028" s="7" t="e">
        <f t="shared" si="212"/>
        <v>#N/A</v>
      </c>
      <c r="BL1028" s="7" t="e">
        <f t="shared" si="209"/>
        <v>#N/A</v>
      </c>
    </row>
    <row r="1029" spans="52:64" ht="11.25" customHeight="1">
      <c r="AZ1029" s="7">
        <f t="shared" si="200"/>
        <v>0.99997748214960713</v>
      </c>
      <c r="BA1029" s="7">
        <f t="shared" si="210"/>
        <v>4.0799999999998739</v>
      </c>
      <c r="BB1029" s="7">
        <f t="shared" si="201"/>
        <v>9.6870208398768985E-5</v>
      </c>
      <c r="BC1029" s="7" t="e">
        <f t="shared" si="202"/>
        <v>#N/A</v>
      </c>
      <c r="BD1029" s="7">
        <f t="shared" si="203"/>
        <v>4.0799899999998743</v>
      </c>
      <c r="BE1029" s="7">
        <f t="shared" si="204"/>
        <v>4.0800099999998736</v>
      </c>
      <c r="BF1029" s="7">
        <f t="shared" si="205"/>
        <v>0.99889279533956521</v>
      </c>
      <c r="BG1029" s="7">
        <f t="shared" si="206"/>
        <v>0.99889283082814295</v>
      </c>
      <c r="BH1029" s="7" t="e">
        <f t="shared" si="207"/>
        <v>#N/A</v>
      </c>
      <c r="BI1029" s="7">
        <f t="shared" si="211"/>
        <v>9.6870208398768985E-5</v>
      </c>
      <c r="BJ1029" s="7">
        <f t="shared" si="208"/>
        <v>-9.0312979160123109E-4</v>
      </c>
      <c r="BK1029" s="7" t="e">
        <f t="shared" si="212"/>
        <v>#N/A</v>
      </c>
      <c r="BL1029" s="7" t="e">
        <f t="shared" si="209"/>
        <v>#N/A</v>
      </c>
    </row>
    <row r="1030" spans="52:64" ht="11.25" customHeight="1">
      <c r="AZ1030" s="7">
        <f t="shared" si="200"/>
        <v>0.99997843134054809</v>
      </c>
      <c r="BA1030" s="7">
        <f t="shared" si="210"/>
        <v>4.0899999999998737</v>
      </c>
      <c r="BB1030" s="7">
        <f t="shared" si="201"/>
        <v>9.2992795718493788E-5</v>
      </c>
      <c r="BC1030" s="7" t="e">
        <f t="shared" si="202"/>
        <v>#N/A</v>
      </c>
      <c r="BD1030" s="7">
        <f t="shared" si="203"/>
        <v>4.0899899999998741</v>
      </c>
      <c r="BE1030" s="7">
        <f t="shared" si="204"/>
        <v>4.0900099999998734</v>
      </c>
      <c r="BF1030" s="7">
        <f t="shared" si="205"/>
        <v>0.99891039135848891</v>
      </c>
      <c r="BG1030" s="7">
        <f t="shared" si="206"/>
        <v>0.9989104262545252</v>
      </c>
      <c r="BH1030" s="7" t="e">
        <f t="shared" si="207"/>
        <v>#N/A</v>
      </c>
      <c r="BI1030" s="7">
        <f t="shared" si="211"/>
        <v>9.2992795718493788E-5</v>
      </c>
      <c r="BJ1030" s="7">
        <f t="shared" si="208"/>
        <v>-9.0700720428150625E-4</v>
      </c>
      <c r="BK1030" s="7" t="e">
        <f t="shared" si="212"/>
        <v>#N/A</v>
      </c>
      <c r="BL1030" s="7" t="e">
        <f t="shared" si="209"/>
        <v>#N/A</v>
      </c>
    </row>
    <row r="1031" spans="52:64" ht="11.25" customHeight="1">
      <c r="AZ1031" s="7">
        <f t="shared" si="200"/>
        <v>0.9999793424930904</v>
      </c>
      <c r="BA1031" s="7">
        <f t="shared" si="210"/>
        <v>4.0999999999998735</v>
      </c>
      <c r="BB1031" s="7">
        <f t="shared" si="201"/>
        <v>8.926165717717921E-5</v>
      </c>
      <c r="BC1031" s="7" t="e">
        <f t="shared" si="202"/>
        <v>#N/A</v>
      </c>
      <c r="BD1031" s="7">
        <f t="shared" si="203"/>
        <v>4.0999899999998739</v>
      </c>
      <c r="BE1031" s="7">
        <f t="shared" si="204"/>
        <v>4.1000099999998731</v>
      </c>
      <c r="BF1031" s="7">
        <f t="shared" si="205"/>
        <v>0.99892769367140799</v>
      </c>
      <c r="BG1031" s="7">
        <f t="shared" si="206"/>
        <v>0.99892772798515173</v>
      </c>
      <c r="BH1031" s="7" t="e">
        <f t="shared" si="207"/>
        <v>#N/A</v>
      </c>
      <c r="BI1031" s="7">
        <f t="shared" si="211"/>
        <v>8.926165717717921E-5</v>
      </c>
      <c r="BJ1031" s="7">
        <f t="shared" si="208"/>
        <v>-9.1073834282282082E-4</v>
      </c>
      <c r="BK1031" s="7" t="e">
        <f t="shared" si="212"/>
        <v>#N/A</v>
      </c>
      <c r="BL1031" s="7" t="e">
        <f t="shared" si="209"/>
        <v>#N/A</v>
      </c>
    </row>
    <row r="1032" spans="52:64" ht="11.25" customHeight="1">
      <c r="AZ1032" s="7">
        <f t="shared" si="200"/>
        <v>0.99998021704413143</v>
      </c>
      <c r="BA1032" s="7">
        <f t="shared" si="210"/>
        <v>4.1099999999998733</v>
      </c>
      <c r="BB1032" s="7">
        <f t="shared" si="201"/>
        <v>8.5671655056226601E-5</v>
      </c>
      <c r="BC1032" s="7" t="e">
        <f t="shared" si="202"/>
        <v>#N/A</v>
      </c>
      <c r="BD1032" s="7">
        <f t="shared" si="203"/>
        <v>4.1099899999998737</v>
      </c>
      <c r="BE1032" s="7">
        <f t="shared" si="204"/>
        <v>4.1100099999998729</v>
      </c>
      <c r="BF1032" s="7">
        <f t="shared" si="205"/>
        <v>0.99894470735753305</v>
      </c>
      <c r="BG1032" s="7">
        <f t="shared" si="206"/>
        <v>0.9989447410990524</v>
      </c>
      <c r="BH1032" s="7" t="e">
        <f t="shared" si="207"/>
        <v>#N/A</v>
      </c>
      <c r="BI1032" s="7">
        <f t="shared" si="211"/>
        <v>8.5671655056226601E-5</v>
      </c>
      <c r="BJ1032" s="7">
        <f t="shared" si="208"/>
        <v>-9.1432834494377347E-4</v>
      </c>
      <c r="BK1032" s="7" t="e">
        <f t="shared" si="212"/>
        <v>#N/A</v>
      </c>
      <c r="BL1032" s="7" t="e">
        <f t="shared" si="209"/>
        <v>#N/A</v>
      </c>
    </row>
    <row r="1033" spans="52:64" ht="11.25" customHeight="1">
      <c r="AZ1033" s="7">
        <f t="shared" si="200"/>
        <v>0.99998105638003842</v>
      </c>
      <c r="BA1033" s="7">
        <f t="shared" si="210"/>
        <v>4.1199999999998731</v>
      </c>
      <c r="BB1033" s="7">
        <f t="shared" si="201"/>
        <v>8.2217816536328924E-5</v>
      </c>
      <c r="BC1033" s="7" t="e">
        <f t="shared" si="202"/>
        <v>#N/A</v>
      </c>
      <c r="BD1033" s="7">
        <f t="shared" si="203"/>
        <v>4.1199899999998735</v>
      </c>
      <c r="BE1033" s="7">
        <f t="shared" si="204"/>
        <v>4.1200099999998727</v>
      </c>
      <c r="BF1033" s="7">
        <f t="shared" si="205"/>
        <v>0.99896143740643151</v>
      </c>
      <c r="BG1033" s="7">
        <f t="shared" si="206"/>
        <v>0.9989614705856168</v>
      </c>
      <c r="BH1033" s="7" t="e">
        <f t="shared" si="207"/>
        <v>#N/A</v>
      </c>
      <c r="BI1033" s="7">
        <f t="shared" si="211"/>
        <v>8.2217816536328924E-5</v>
      </c>
      <c r="BJ1033" s="7">
        <f t="shared" si="208"/>
        <v>-9.1778218346367114E-4</v>
      </c>
      <c r="BK1033" s="7" t="e">
        <f t="shared" si="212"/>
        <v>#N/A</v>
      </c>
      <c r="BL1033" s="7" t="e">
        <f t="shared" si="209"/>
        <v>#N/A</v>
      </c>
    </row>
    <row r="1034" spans="52:64" ht="11.25" customHeight="1">
      <c r="AZ1034" s="7">
        <f t="shared" si="200"/>
        <v>0.99998186183828286</v>
      </c>
      <c r="BA1034" s="7">
        <f t="shared" si="210"/>
        <v>4.1299999999998729</v>
      </c>
      <c r="BB1034" s="7">
        <f t="shared" si="201"/>
        <v>7.8895329014334423E-5</v>
      </c>
      <c r="BC1034" s="7" t="e">
        <f t="shared" si="202"/>
        <v>#N/A</v>
      </c>
      <c r="BD1034" s="7">
        <f t="shared" si="203"/>
        <v>4.1299899999998733</v>
      </c>
      <c r="BE1034" s="7">
        <f t="shared" si="204"/>
        <v>4.1300099999998725</v>
      </c>
      <c r="BF1034" s="7">
        <f t="shared" si="205"/>
        <v>0.99897788871961124</v>
      </c>
      <c r="BG1034" s="7">
        <f t="shared" si="206"/>
        <v>0.99897792134617835</v>
      </c>
      <c r="BH1034" s="7" t="e">
        <f t="shared" si="207"/>
        <v>#N/A</v>
      </c>
      <c r="BI1034" s="7">
        <f t="shared" si="211"/>
        <v>7.8895329014334423E-5</v>
      </c>
      <c r="BJ1034" s="7">
        <f t="shared" si="208"/>
        <v>-9.2110467098566564E-4</v>
      </c>
      <c r="BK1034" s="7" t="e">
        <f t="shared" si="212"/>
        <v>#N/A</v>
      </c>
      <c r="BL1034" s="7" t="e">
        <f t="shared" si="209"/>
        <v>#N/A</v>
      </c>
    </row>
    <row r="1035" spans="52:64" ht="11.25" customHeight="1">
      <c r="AZ1035" s="7">
        <f t="shared" si="200"/>
        <v>0.9999826347089229</v>
      </c>
      <c r="BA1035" s="7">
        <f t="shared" si="210"/>
        <v>4.1399999999998727</v>
      </c>
      <c r="BB1035" s="7">
        <f t="shared" si="201"/>
        <v>7.5699535530201003E-5</v>
      </c>
      <c r="BC1035" s="7" t="e">
        <f t="shared" si="202"/>
        <v>#N/A</v>
      </c>
      <c r="BD1035" s="7">
        <f t="shared" si="203"/>
        <v>4.139989999999873</v>
      </c>
      <c r="BE1035" s="7">
        <f t="shared" si="204"/>
        <v>4.1400099999998723</v>
      </c>
      <c r="BF1035" s="7">
        <f t="shared" si="205"/>
        <v>0.99899406611207886</v>
      </c>
      <c r="BG1035" s="7">
        <f t="shared" si="206"/>
        <v>0.99899409819557206</v>
      </c>
      <c r="BH1035" s="7" t="e">
        <f t="shared" si="207"/>
        <v>#N/A</v>
      </c>
      <c r="BI1035" s="7">
        <f t="shared" si="211"/>
        <v>7.5699535530201003E-5</v>
      </c>
      <c r="BJ1035" s="7">
        <f t="shared" si="208"/>
        <v>-9.2430046446979907E-4</v>
      </c>
      <c r="BK1035" s="7" t="e">
        <f t="shared" si="212"/>
        <v>#N/A</v>
      </c>
      <c r="BL1035" s="7" t="e">
        <f t="shared" si="209"/>
        <v>#N/A</v>
      </c>
    </row>
    <row r="1036" spans="52:64" ht="11.25" customHeight="1">
      <c r="AZ1036" s="7">
        <f t="shared" si="200"/>
        <v>0.99998337623625855</v>
      </c>
      <c r="BA1036" s="7">
        <f t="shared" si="210"/>
        <v>4.1499999999998725</v>
      </c>
      <c r="BB1036" s="7">
        <f t="shared" si="201"/>
        <v>7.2625930302290894E-5</v>
      </c>
      <c r="BC1036" s="7" t="e">
        <f t="shared" si="202"/>
        <v>#N/A</v>
      </c>
      <c r="BD1036" s="7">
        <f t="shared" si="203"/>
        <v>4.1499899999998728</v>
      </c>
      <c r="BE1036" s="7">
        <f t="shared" si="204"/>
        <v>4.1500099999998721</v>
      </c>
      <c r="BF1036" s="7">
        <f t="shared" si="205"/>
        <v>0.99900997431386884</v>
      </c>
      <c r="BG1036" s="7">
        <f t="shared" si="206"/>
        <v>0.99901000586366417</v>
      </c>
      <c r="BH1036" s="7" t="e">
        <f t="shared" si="207"/>
        <v>#N/A</v>
      </c>
      <c r="BI1036" s="7">
        <f t="shared" si="211"/>
        <v>7.2625930302290894E-5</v>
      </c>
      <c r="BJ1036" s="7">
        <f t="shared" si="208"/>
        <v>-9.273740696977091E-4</v>
      </c>
      <c r="BK1036" s="7" t="e">
        <f t="shared" si="212"/>
        <v>#N/A</v>
      </c>
      <c r="BL1036" s="7" t="e">
        <f t="shared" si="209"/>
        <v>#N/A</v>
      </c>
    </row>
    <row r="1037" spans="52:64" ht="11.25" customHeight="1">
      <c r="AZ1037" s="7">
        <f t="shared" si="200"/>
        <v>0.99998408762028279</v>
      </c>
      <c r="BA1037" s="7">
        <f t="shared" si="210"/>
        <v>4.1599999999998722</v>
      </c>
      <c r="BB1037" s="7">
        <f t="shared" si="201"/>
        <v>6.9670154369251447E-5</v>
      </c>
      <c r="BC1037" s="7" t="e">
        <f t="shared" si="202"/>
        <v>#N/A</v>
      </c>
      <c r="BD1037" s="7">
        <f t="shared" si="203"/>
        <v>4.1599899999998726</v>
      </c>
      <c r="BE1037" s="7">
        <f t="shared" si="204"/>
        <v>4.1600099999998719</v>
      </c>
      <c r="BF1037" s="7">
        <f t="shared" si="205"/>
        <v>0.99902561797154843</v>
      </c>
      <c r="BG1037" s="7">
        <f t="shared" si="206"/>
        <v>0.99902564899685631</v>
      </c>
      <c r="BH1037" s="7" t="e">
        <f t="shared" si="207"/>
        <v>#N/A</v>
      </c>
      <c r="BI1037" s="7">
        <f t="shared" si="211"/>
        <v>6.9670154369251447E-5</v>
      </c>
      <c r="BJ1037" s="7">
        <f t="shared" si="208"/>
        <v>-9.3032984563074861E-4</v>
      </c>
      <c r="BK1037" s="7" t="e">
        <f t="shared" si="212"/>
        <v>#N/A</v>
      </c>
      <c r="BL1037" s="7" t="e">
        <f t="shared" si="209"/>
        <v>#N/A</v>
      </c>
    </row>
    <row r="1038" spans="52:64" ht="11.25" customHeight="1">
      <c r="AZ1038" s="7">
        <f t="shared" si="200"/>
        <v>0.99998477001804331</v>
      </c>
      <c r="BA1038" s="7">
        <f t="shared" si="210"/>
        <v>4.169999999999872</v>
      </c>
      <c r="BB1038" s="7">
        <f t="shared" si="201"/>
        <v>6.6827991336726225E-5</v>
      </c>
      <c r="BC1038" s="7" t="e">
        <f t="shared" si="202"/>
        <v>#N/A</v>
      </c>
      <c r="BD1038" s="7">
        <f t="shared" si="203"/>
        <v>4.1699899999998724</v>
      </c>
      <c r="BE1038" s="7">
        <f t="shared" si="204"/>
        <v>4.1700099999998717</v>
      </c>
      <c r="BF1038" s="7">
        <f t="shared" si="205"/>
        <v>0.99904100164969478</v>
      </c>
      <c r="BG1038" s="7">
        <f t="shared" si="206"/>
        <v>0.99904103215956319</v>
      </c>
      <c r="BH1038" s="7" t="e">
        <f t="shared" si="207"/>
        <v>#N/A</v>
      </c>
      <c r="BI1038" s="7">
        <f t="shared" si="211"/>
        <v>6.6827991336726225E-5</v>
      </c>
      <c r="BJ1038" s="7">
        <f t="shared" si="208"/>
        <v>-9.3317200866327378E-4</v>
      </c>
      <c r="BK1038" s="7" t="e">
        <f t="shared" si="212"/>
        <v>#N/A</v>
      </c>
      <c r="BL1038" s="7" t="e">
        <f t="shared" si="209"/>
        <v>#N/A</v>
      </c>
    </row>
    <row r="1039" spans="52:64" ht="11.25" customHeight="1">
      <c r="AZ1039" s="7">
        <f t="shared" si="200"/>
        <v>0.99998542454521344</v>
      </c>
      <c r="BA1039" s="7">
        <f t="shared" si="210"/>
        <v>4.1799999999998718</v>
      </c>
      <c r="BB1039" s="7">
        <f t="shared" si="201"/>
        <v>6.4095363227140357E-5</v>
      </c>
      <c r="BC1039" s="7" t="e">
        <f t="shared" si="202"/>
        <v>#N/A</v>
      </c>
      <c r="BD1039" s="7">
        <f t="shared" si="203"/>
        <v>4.1799899999998722</v>
      </c>
      <c r="BE1039" s="7">
        <f t="shared" si="204"/>
        <v>4.1800099999998714</v>
      </c>
      <c r="BF1039" s="7">
        <f t="shared" si="205"/>
        <v>0.99905612983234771</v>
      </c>
      <c r="BG1039" s="7">
        <f t="shared" si="206"/>
        <v>0.99905615983566509</v>
      </c>
      <c r="BH1039" s="7" t="e">
        <f t="shared" si="207"/>
        <v>#N/A</v>
      </c>
      <c r="BI1039" s="7">
        <f t="shared" si="211"/>
        <v>6.4095363227140357E-5</v>
      </c>
      <c r="BJ1039" s="7">
        <f t="shared" si="208"/>
        <v>-9.3590463677285969E-4</v>
      </c>
      <c r="BK1039" s="7" t="e">
        <f t="shared" si="212"/>
        <v>#N/A</v>
      </c>
      <c r="BL1039" s="7" t="e">
        <f t="shared" si="209"/>
        <v>#N/A</v>
      </c>
    </row>
    <row r="1040" spans="52:64" ht="11.25" customHeight="1">
      <c r="AZ1040" s="7">
        <f t="shared" si="200"/>
        <v>0.99998605227726123</v>
      </c>
      <c r="BA1040" s="7">
        <f t="shared" si="210"/>
        <v>4.1899999999998716</v>
      </c>
      <c r="BB1040" s="7">
        <f t="shared" si="201"/>
        <v>6.1468326430802394E-5</v>
      </c>
      <c r="BC1040" s="7" t="e">
        <f t="shared" si="202"/>
        <v>#N/A</v>
      </c>
      <c r="BD1040" s="7">
        <f t="shared" si="203"/>
        <v>4.189989999999872</v>
      </c>
      <c r="BE1040" s="7">
        <f t="shared" si="204"/>
        <v>4.1900099999998712</v>
      </c>
      <c r="BF1040" s="7">
        <f t="shared" si="205"/>
        <v>0.99907100692443673</v>
      </c>
      <c r="BG1040" s="7">
        <f t="shared" si="206"/>
        <v>0.99907103642993456</v>
      </c>
      <c r="BH1040" s="7" t="e">
        <f t="shared" si="207"/>
        <v>#N/A</v>
      </c>
      <c r="BI1040" s="7">
        <f t="shared" si="211"/>
        <v>6.1468326430802394E-5</v>
      </c>
      <c r="BJ1040" s="7">
        <f t="shared" si="208"/>
        <v>-9.3853167356919764E-4</v>
      </c>
      <c r="BK1040" s="7" t="e">
        <f t="shared" si="212"/>
        <v>#N/A</v>
      </c>
      <c r="BL1040" s="7" t="e">
        <f t="shared" si="209"/>
        <v>#N/A</v>
      </c>
    </row>
    <row r="1041" spans="52:64" ht="11.25" customHeight="1">
      <c r="AZ1041" s="7">
        <f t="shared" si="200"/>
        <v>0.99998665425097366</v>
      </c>
      <c r="BA1041" s="7">
        <f t="shared" si="210"/>
        <v>4.1999999999998714</v>
      </c>
      <c r="BB1041" s="7">
        <f t="shared" si="201"/>
        <v>5.8943067756571676E-5</v>
      </c>
      <c r="BC1041" s="7" t="e">
        <f t="shared" si="202"/>
        <v>#N/A</v>
      </c>
      <c r="BD1041" s="7">
        <f t="shared" si="203"/>
        <v>4.1999899999998718</v>
      </c>
      <c r="BE1041" s="7">
        <f t="shared" si="204"/>
        <v>4.200009999999871</v>
      </c>
      <c r="BF1041" s="7">
        <f t="shared" si="205"/>
        <v>0.99908563725318367</v>
      </c>
      <c r="BG1041" s="7">
        <f t="shared" si="206"/>
        <v>0.99908566626943929</v>
      </c>
      <c r="BH1041" s="7" t="e">
        <f t="shared" si="207"/>
        <v>#N/A</v>
      </c>
      <c r="BI1041" s="7">
        <f t="shared" si="211"/>
        <v>5.8943067756571676E-5</v>
      </c>
      <c r="BJ1041" s="7">
        <f t="shared" si="208"/>
        <v>-9.410569322434283E-4</v>
      </c>
      <c r="BK1041" s="7" t="e">
        <f t="shared" si="212"/>
        <v>#N/A</v>
      </c>
      <c r="BL1041" s="7" t="e">
        <f t="shared" si="209"/>
        <v>#N/A</v>
      </c>
    </row>
    <row r="1042" spans="52:64" ht="11.25" customHeight="1">
      <c r="AZ1042" s="7">
        <f t="shared" si="200"/>
        <v>0.99998723146557911</v>
      </c>
      <c r="BA1042" s="7">
        <f t="shared" si="210"/>
        <v>4.2099999999998712</v>
      </c>
      <c r="BB1042" s="7">
        <f t="shared" si="201"/>
        <v>5.6515900580338022E-5</v>
      </c>
      <c r="BC1042" s="7" t="e">
        <f t="shared" si="202"/>
        <v>#N/A</v>
      </c>
      <c r="BD1042" s="7">
        <f t="shared" si="203"/>
        <v>4.2099899999998716</v>
      </c>
      <c r="BE1042" s="7">
        <f t="shared" si="204"/>
        <v>4.2100099999998708</v>
      </c>
      <c r="BF1042" s="7">
        <f t="shared" si="205"/>
        <v>0.99910002506948026</v>
      </c>
      <c r="BG1042" s="7">
        <f t="shared" si="206"/>
        <v>0.99910005360492005</v>
      </c>
      <c r="BH1042" s="7" t="e">
        <f t="shared" si="207"/>
        <v>#N/A</v>
      </c>
      <c r="BI1042" s="7">
        <f t="shared" si="211"/>
        <v>5.6515900580338022E-5</v>
      </c>
      <c r="BJ1042" s="7">
        <f t="shared" si="208"/>
        <v>-9.4348409941966203E-4</v>
      </c>
      <c r="BK1042" s="7" t="e">
        <f t="shared" si="212"/>
        <v>#N/A</v>
      </c>
      <c r="BL1042" s="7" t="e">
        <f t="shared" si="209"/>
        <v>#N/A</v>
      </c>
    </row>
    <row r="1043" spans="52:64" ht="11.25" customHeight="1">
      <c r="AZ1043" s="7">
        <f t="shared" si="200"/>
        <v>0.99998778488408058</v>
      </c>
      <c r="BA1043" s="7">
        <f t="shared" si="210"/>
        <v>4.219999999999871</v>
      </c>
      <c r="BB1043" s="7">
        <f t="shared" si="201"/>
        <v>5.4183261089569587E-5</v>
      </c>
      <c r="BC1043" s="7" t="e">
        <f t="shared" si="202"/>
        <v>#N/A</v>
      </c>
      <c r="BD1043" s="7">
        <f t="shared" si="203"/>
        <v>4.2199899999998713</v>
      </c>
      <c r="BE1043" s="7">
        <f t="shared" si="204"/>
        <v>4.2200099999998706</v>
      </c>
      <c r="BF1043" s="7">
        <f t="shared" si="205"/>
        <v>0.99911417454924289</v>
      </c>
      <c r="BG1043" s="7">
        <f t="shared" si="206"/>
        <v>0.99911420261214445</v>
      </c>
      <c r="BH1043" s="7" t="e">
        <f t="shared" si="207"/>
        <v>#N/A</v>
      </c>
      <c r="BI1043" s="7">
        <f t="shared" si="211"/>
        <v>5.4183261089569587E-5</v>
      </c>
      <c r="BJ1043" s="7">
        <f t="shared" si="208"/>
        <v>-9.4581673891043039E-4</v>
      </c>
      <c r="BK1043" s="7" t="e">
        <f t="shared" si="212"/>
        <v>#N/A</v>
      </c>
      <c r="BL1043" s="7" t="e">
        <f t="shared" si="209"/>
        <v>#N/A</v>
      </c>
    </row>
    <row r="1044" spans="52:64" ht="11.25" customHeight="1">
      <c r="AZ1044" s="7">
        <f t="shared" si="200"/>
        <v>0.99998831543440336</v>
      </c>
      <c r="BA1044" s="7">
        <f t="shared" si="210"/>
        <v>4.2299999999998708</v>
      </c>
      <c r="BB1044" s="7">
        <f t="shared" si="201"/>
        <v>5.1941704622188277E-5</v>
      </c>
      <c r="BC1044" s="7" t="e">
        <f t="shared" si="202"/>
        <v>#N/A</v>
      </c>
      <c r="BD1044" s="7">
        <f t="shared" si="203"/>
        <v>4.2299899999998711</v>
      </c>
      <c r="BE1044" s="7">
        <f t="shared" si="204"/>
        <v>4.2300099999998704</v>
      </c>
      <c r="BF1044" s="7">
        <f t="shared" si="205"/>
        <v>0.99912808979474277</v>
      </c>
      <c r="BG1044" s="7">
        <f t="shared" si="206"/>
        <v>0.9991281173932377</v>
      </c>
      <c r="BH1044" s="7" t="e">
        <f t="shared" si="207"/>
        <v>#N/A</v>
      </c>
      <c r="BI1044" s="7">
        <f t="shared" si="211"/>
        <v>5.1941704622188277E-5</v>
      </c>
      <c r="BJ1044" s="7">
        <f t="shared" si="208"/>
        <v>-9.4805829537781172E-4</v>
      </c>
      <c r="BK1044" s="7" t="e">
        <f t="shared" si="212"/>
        <v>#N/A</v>
      </c>
      <c r="BL1044" s="7" t="e">
        <f t="shared" si="209"/>
        <v>#N/A</v>
      </c>
    </row>
    <row r="1045" spans="52:64" ht="11.25" customHeight="1">
      <c r="AZ1045" s="7">
        <f t="shared" ref="AZ1045:AZ1108" si="213">NORMDIST(BA1045,$BA$17,$BA$18,TRUE)</f>
        <v>0.99998882401065781</v>
      </c>
      <c r="BA1045" s="7">
        <f t="shared" si="210"/>
        <v>4.2399999999998705</v>
      </c>
      <c r="BB1045" s="7">
        <f t="shared" ref="BB1045:BB1108" si="214">IF($BA$13=1,NORMDIST(BA1045,$BA$17,$BA$18,FALSE),NA())</f>
        <v>4.9787902098039493E-5</v>
      </c>
      <c r="BC1045" s="7" t="e">
        <f t="shared" ref="BC1045:BC1108" si="215">IF($BA$13=3,NORMDIST(BA1045,$BA$17,$BA$18,FALSE),NA())</f>
        <v>#N/A</v>
      </c>
      <c r="BD1045" s="7">
        <f t="shared" ref="BD1045:BD1108" si="216">BA1045-$BD$19</f>
        <v>4.2399899999998709</v>
      </c>
      <c r="BE1045" s="7">
        <f t="shared" ref="BE1045:BE1108" si="217">BA1045+$BD$19</f>
        <v>4.2400099999998702</v>
      </c>
      <c r="BF1045" s="7">
        <f t="shared" ref="BF1045:BF1108" si="218">IF(BD1045&lt;0,TDIST(-BD1045,$BA$14,1),1-TDIST(BD1045,$BA$14,1))</f>
        <v>0.99914177483591349</v>
      </c>
      <c r="BG1045" s="7">
        <f t="shared" ref="BG1045:BG1108" si="219">IF(BE1045&lt;0,TDIST(-BE1045,$BA$14,1),1-TDIST(BE1045,$BA$14,1))</f>
        <v>0.99914180197798996</v>
      </c>
      <c r="BH1045" s="7" t="e">
        <f t="shared" ref="BH1045:BH1108" si="220">IF($BA$13&gt;1,(BG1045-BF1045)/(2*$BD$19),NA())</f>
        <v>#N/A</v>
      </c>
      <c r="BI1045" s="7">
        <f t="shared" si="211"/>
        <v>4.9787902098039493E-5</v>
      </c>
      <c r="BJ1045" s="7">
        <f t="shared" ref="BJ1045:BJ1108" si="221">IF(ISNUMBER(BI1045),BI1045-$BJ$19,NA())</f>
        <v>-9.5021209790196049E-4</v>
      </c>
      <c r="BK1045" s="7" t="e">
        <f t="shared" si="212"/>
        <v>#N/A</v>
      </c>
      <c r="BL1045" s="7" t="e">
        <f t="shared" ref="BL1045:BL1108" si="222">IF(ISNUMBER(BK1045),BK1045-$BL$19,NA())</f>
        <v>#N/A</v>
      </c>
    </row>
    <row r="1046" spans="52:64" ht="11.25" customHeight="1">
      <c r="AZ1046" s="7">
        <f t="shared" si="213"/>
        <v>0.99998931147420822</v>
      </c>
      <c r="BA1046" s="7">
        <f t="shared" ref="BA1046:BA1109" si="223">BA1045+$BD$10</f>
        <v>4.2499999999998703</v>
      </c>
      <c r="BB1046" s="7">
        <f t="shared" si="214"/>
        <v>4.7718636541231217E-5</v>
      </c>
      <c r="BC1046" s="7" t="e">
        <f t="shared" si="215"/>
        <v>#N/A</v>
      </c>
      <c r="BD1046" s="7">
        <f t="shared" si="216"/>
        <v>4.2499899999998707</v>
      </c>
      <c r="BE1046" s="7">
        <f t="shared" si="217"/>
        <v>4.2500099999998699</v>
      </c>
      <c r="BF1046" s="7">
        <f t="shared" si="218"/>
        <v>0.99915523363163528</v>
      </c>
      <c r="BG1046" s="7">
        <f t="shared" si="219"/>
        <v>0.99915526032514079</v>
      </c>
      <c r="BH1046" s="7" t="e">
        <f t="shared" si="220"/>
        <v>#N/A</v>
      </c>
      <c r="BI1046" s="7">
        <f t="shared" ref="BI1046:BI1109" si="224">IF($BA$15=1,IF(OR(AND(BA1046&gt;=$BI$18,$BN$18&gt;=0),AND(BA1046&lt;=-$BI$18,$BN$18&lt;0)),BB1046,NA()),IF($BA$15=2,IF(ABS(BA1046)&gt;=$BI$18,BB1046,NA()),NA()))</f>
        <v>4.7718636541231217E-5</v>
      </c>
      <c r="BJ1046" s="7">
        <f t="shared" si="221"/>
        <v>-9.5228136345876886E-4</v>
      </c>
      <c r="BK1046" s="7" t="e">
        <f t="shared" ref="BK1046:BK1109" si="225">IF($BA$15=1,IF(OR(AND(BA1046&gt;=$BK$18,$BN$18&gt;=0),AND(BA1046&lt;=-$BK$18,$BN$18&lt;0)),BH1046,NA()),IF($BA$15=2,IF(ABS(BA1046)&gt;=$BK$18,BH1046,NA()),NA()))</f>
        <v>#N/A</v>
      </c>
      <c r="BL1046" s="7" t="e">
        <f t="shared" si="222"/>
        <v>#N/A</v>
      </c>
    </row>
    <row r="1047" spans="52:64" ht="11.25" customHeight="1">
      <c r="AZ1047" s="7">
        <f t="shared" si="213"/>
        <v>0.99998977865481109</v>
      </c>
      <c r="BA1047" s="7">
        <f t="shared" si="223"/>
        <v>4.2599999999998701</v>
      </c>
      <c r="BB1047" s="7">
        <f t="shared" si="214"/>
        <v>4.5730799691626576E-5</v>
      </c>
      <c r="BC1047" s="7" t="e">
        <f t="shared" si="215"/>
        <v>#N/A</v>
      </c>
      <c r="BD1047" s="7">
        <f t="shared" si="216"/>
        <v>4.2599899999998705</v>
      </c>
      <c r="BE1047" s="7">
        <f t="shared" si="217"/>
        <v>4.2600099999998697</v>
      </c>
      <c r="BF1047" s="7">
        <f t="shared" si="218"/>
        <v>0.99916847007099774</v>
      </c>
      <c r="BG1047" s="7">
        <f t="shared" si="219"/>
        <v>0.99916849632364146</v>
      </c>
      <c r="BH1047" s="7" t="e">
        <f t="shared" si="220"/>
        <v>#N/A</v>
      </c>
      <c r="BI1047" s="7">
        <f t="shared" si="224"/>
        <v>4.5730799691626576E-5</v>
      </c>
      <c r="BJ1047" s="7">
        <f t="shared" si="221"/>
        <v>-9.542692003083734E-4</v>
      </c>
      <c r="BK1047" s="7" t="e">
        <f t="shared" si="225"/>
        <v>#N/A</v>
      </c>
      <c r="BL1047" s="7" t="e">
        <f t="shared" si="222"/>
        <v>#N/A</v>
      </c>
    </row>
    <row r="1048" spans="52:64" ht="11.25" customHeight="1">
      <c r="AZ1048" s="7">
        <f t="shared" si="213"/>
        <v>0.99999022635163382</v>
      </c>
      <c r="BA1048" s="7">
        <f t="shared" si="223"/>
        <v>4.2699999999998699</v>
      </c>
      <c r="BB1048" s="7">
        <f t="shared" si="214"/>
        <v>4.3821388703782397E-5</v>
      </c>
      <c r="BC1048" s="7" t="e">
        <f t="shared" si="215"/>
        <v>#N/A</v>
      </c>
      <c r="BD1048" s="7">
        <f t="shared" si="216"/>
        <v>4.2699899999998703</v>
      </c>
      <c r="BE1048" s="7">
        <f t="shared" si="217"/>
        <v>4.2700099999998695</v>
      </c>
      <c r="BF1048" s="7">
        <f t="shared" si="218"/>
        <v>0.99918148797453954</v>
      </c>
      <c r="BG1048" s="7">
        <f t="shared" si="219"/>
        <v>0.99918151379389453</v>
      </c>
      <c r="BH1048" s="7" t="e">
        <f t="shared" si="220"/>
        <v>#N/A</v>
      </c>
      <c r="BI1048" s="7">
        <f t="shared" si="224"/>
        <v>4.3821388703782397E-5</v>
      </c>
      <c r="BJ1048" s="7">
        <f t="shared" si="221"/>
        <v>-9.5617861129621766E-4</v>
      </c>
      <c r="BK1048" s="7" t="e">
        <f t="shared" si="225"/>
        <v>#N/A</v>
      </c>
      <c r="BL1048" s="7" t="e">
        <f t="shared" si="222"/>
        <v>#N/A</v>
      </c>
    </row>
    <row r="1049" spans="52:64" ht="11.25" customHeight="1">
      <c r="AZ1049" s="7">
        <f t="shared" si="213"/>
        <v>0.99999065533432974</v>
      </c>
      <c r="BA1049" s="7">
        <f t="shared" si="223"/>
        <v>4.2799999999998697</v>
      </c>
      <c r="BB1049" s="7">
        <f t="shared" si="214"/>
        <v>4.1987502931640733E-5</v>
      </c>
      <c r="BC1049" s="7" t="e">
        <f t="shared" si="215"/>
        <v>#N/A</v>
      </c>
      <c r="BD1049" s="7">
        <f t="shared" si="216"/>
        <v>4.2799899999998701</v>
      </c>
      <c r="BE1049" s="7">
        <f t="shared" si="217"/>
        <v>4.2800099999998693</v>
      </c>
      <c r="BF1049" s="7">
        <f t="shared" si="218"/>
        <v>0.99919429109546687</v>
      </c>
      <c r="BG1049" s="7">
        <f t="shared" si="219"/>
        <v>0.99919431648897294</v>
      </c>
      <c r="BH1049" s="7" t="e">
        <f t="shared" si="220"/>
        <v>#N/A</v>
      </c>
      <c r="BI1049" s="7">
        <f t="shared" si="224"/>
        <v>4.1987502931640733E-5</v>
      </c>
      <c r="BJ1049" s="7">
        <f t="shared" si="221"/>
        <v>-9.5801249706835929E-4</v>
      </c>
      <c r="BK1049" s="7" t="e">
        <f t="shared" si="225"/>
        <v>#N/A</v>
      </c>
      <c r="BL1049" s="7" t="e">
        <f t="shared" si="222"/>
        <v>#N/A</v>
      </c>
    </row>
    <row r="1050" spans="52:64" ht="11.25" customHeight="1">
      <c r="AZ1050" s="7">
        <f t="shared" si="213"/>
        <v>0.99999106634406132</v>
      </c>
      <c r="BA1050" s="7">
        <f t="shared" si="223"/>
        <v>4.2899999999998695</v>
      </c>
      <c r="BB1050" s="7">
        <f t="shared" si="214"/>
        <v>4.0226340797287469E-5</v>
      </c>
      <c r="BC1050" s="7" t="e">
        <f t="shared" si="215"/>
        <v>#N/A</v>
      </c>
      <c r="BD1050" s="7">
        <f t="shared" si="216"/>
        <v>4.2899899999998699</v>
      </c>
      <c r="BE1050" s="7">
        <f t="shared" si="217"/>
        <v>4.2900099999998691</v>
      </c>
      <c r="BF1050" s="7">
        <f t="shared" si="218"/>
        <v>0.9992068831208506</v>
      </c>
      <c r="BG1050" s="7">
        <f t="shared" si="219"/>
        <v>0.99920690809581636</v>
      </c>
      <c r="BH1050" s="7" t="e">
        <f t="shared" si="220"/>
        <v>#N/A</v>
      </c>
      <c r="BI1050" s="7">
        <f t="shared" si="224"/>
        <v>4.0226340797287469E-5</v>
      </c>
      <c r="BJ1050" s="7">
        <f t="shared" si="221"/>
        <v>-9.5977365920271252E-4</v>
      </c>
      <c r="BK1050" s="7" t="e">
        <f t="shared" si="225"/>
        <v>#N/A</v>
      </c>
      <c r="BL1050" s="7" t="e">
        <f t="shared" si="222"/>
        <v>#N/A</v>
      </c>
    </row>
    <row r="1051" spans="52:64" ht="11.25" customHeight="1">
      <c r="AZ1051" s="7">
        <f t="shared" si="213"/>
        <v>0.99999146009450812</v>
      </c>
      <c r="BA1051" s="7">
        <f t="shared" si="223"/>
        <v>4.2999999999998693</v>
      </c>
      <c r="BB1051" s="7">
        <f t="shared" si="214"/>
        <v>3.8535196742108759E-5</v>
      </c>
      <c r="BC1051" s="7" t="e">
        <f t="shared" si="215"/>
        <v>#N/A</v>
      </c>
      <c r="BD1051" s="7">
        <f t="shared" si="216"/>
        <v>4.2999899999998696</v>
      </c>
      <c r="BE1051" s="7">
        <f t="shared" si="217"/>
        <v>4.3000099999998689</v>
      </c>
      <c r="BF1051" s="7">
        <f t="shared" si="218"/>
        <v>0.99921926767280222</v>
      </c>
      <c r="BG1051" s="7">
        <f t="shared" si="219"/>
        <v>0.99921929223640771</v>
      </c>
      <c r="BH1051" s="7" t="e">
        <f t="shared" si="220"/>
        <v>#N/A</v>
      </c>
      <c r="BI1051" s="7">
        <f t="shared" si="224"/>
        <v>3.8535196742108759E-5</v>
      </c>
      <c r="BJ1051" s="7">
        <f t="shared" si="221"/>
        <v>-9.6146480325789128E-4</v>
      </c>
      <c r="BK1051" s="7" t="e">
        <f t="shared" si="225"/>
        <v>#N/A</v>
      </c>
      <c r="BL1051" s="7" t="e">
        <f t="shared" si="222"/>
        <v>#N/A</v>
      </c>
    </row>
    <row r="1052" spans="52:64" ht="11.25" customHeight="1">
      <c r="AZ1052" s="7">
        <f t="shared" si="213"/>
        <v>0.99999183727268126</v>
      </c>
      <c r="BA1052" s="7">
        <f t="shared" si="223"/>
        <v>4.309999999999869</v>
      </c>
      <c r="BB1052" s="7">
        <f t="shared" si="214"/>
        <v>3.6911458258686985E-5</v>
      </c>
      <c r="BC1052" s="7" t="e">
        <f t="shared" si="215"/>
        <v>#N/A</v>
      </c>
      <c r="BD1052" s="7">
        <f t="shared" si="216"/>
        <v>4.3099899999998694</v>
      </c>
      <c r="BE1052" s="7">
        <f t="shared" si="217"/>
        <v>4.3100099999998687</v>
      </c>
      <c r="BF1052" s="7">
        <f t="shared" si="218"/>
        <v>0.99923144830962984</v>
      </c>
      <c r="BG1052" s="7">
        <f t="shared" si="219"/>
        <v>0.99923147246892841</v>
      </c>
      <c r="BH1052" s="7" t="e">
        <f t="shared" si="220"/>
        <v>#N/A</v>
      </c>
      <c r="BI1052" s="7">
        <f t="shared" si="224"/>
        <v>3.6911458258686985E-5</v>
      </c>
      <c r="BJ1052" s="7">
        <f t="shared" si="221"/>
        <v>-9.6308854174131302E-4</v>
      </c>
      <c r="BK1052" s="7" t="e">
        <f t="shared" si="225"/>
        <v>#N/A</v>
      </c>
      <c r="BL1052" s="7" t="e">
        <f t="shared" si="222"/>
        <v>#N/A</v>
      </c>
    </row>
    <row r="1053" spans="52:64" ht="11.25" customHeight="1">
      <c r="AZ1053" s="7">
        <f t="shared" si="213"/>
        <v>0.999992198539979</v>
      </c>
      <c r="BA1053" s="7">
        <f t="shared" si="223"/>
        <v>4.3199999999998688</v>
      </c>
      <c r="BB1053" s="7">
        <f t="shared" si="214"/>
        <v>3.535260300179312E-5</v>
      </c>
      <c r="BC1053" s="7" t="e">
        <f t="shared" si="215"/>
        <v>#N/A</v>
      </c>
      <c r="BD1053" s="7">
        <f t="shared" si="216"/>
        <v>4.3199899999998692</v>
      </c>
      <c r="BE1053" s="7">
        <f t="shared" si="217"/>
        <v>4.3200099999998685</v>
      </c>
      <c r="BF1053" s="7">
        <f t="shared" si="218"/>
        <v>0.99924342852697279</v>
      </c>
      <c r="BG1053" s="7">
        <f t="shared" si="219"/>
        <v>0.99924345228889355</v>
      </c>
      <c r="BH1053" s="7" t="e">
        <f t="shared" si="220"/>
        <v>#N/A</v>
      </c>
      <c r="BI1053" s="7">
        <f t="shared" si="224"/>
        <v>3.535260300179312E-5</v>
      </c>
      <c r="BJ1053" s="7">
        <f t="shared" si="221"/>
        <v>-9.6464739699820689E-4</v>
      </c>
      <c r="BK1053" s="7" t="e">
        <f t="shared" si="225"/>
        <v>#N/A</v>
      </c>
      <c r="BL1053" s="7" t="e">
        <f t="shared" si="222"/>
        <v>#N/A</v>
      </c>
    </row>
    <row r="1054" spans="52:64" ht="11.25" customHeight="1">
      <c r="AZ1054" s="7">
        <f t="shared" si="213"/>
        <v>0.99999254453291297</v>
      </c>
      <c r="BA1054" s="7">
        <f t="shared" si="223"/>
        <v>4.3299999999998686</v>
      </c>
      <c r="BB1054" s="7">
        <f t="shared" si="214"/>
        <v>3.3856195976847125E-5</v>
      </c>
      <c r="BC1054" s="7" t="e">
        <f t="shared" si="215"/>
        <v>#N/A</v>
      </c>
      <c r="BD1054" s="7">
        <f t="shared" si="216"/>
        <v>4.329989999999869</v>
      </c>
      <c r="BE1054" s="7">
        <f t="shared" si="217"/>
        <v>4.3300099999998682</v>
      </c>
      <c r="BF1054" s="7">
        <f t="shared" si="218"/>
        <v>0.99925521175891685</v>
      </c>
      <c r="BG1054" s="7">
        <f t="shared" si="219"/>
        <v>0.99925523513026715</v>
      </c>
      <c r="BH1054" s="7" t="e">
        <f t="shared" si="220"/>
        <v>#N/A</v>
      </c>
      <c r="BI1054" s="7">
        <f t="shared" si="224"/>
        <v>3.3856195976847125E-5</v>
      </c>
      <c r="BJ1054" s="7">
        <f t="shared" si="221"/>
        <v>-9.6614380402315289E-4</v>
      </c>
      <c r="BK1054" s="7" t="e">
        <f t="shared" si="225"/>
        <v>#N/A</v>
      </c>
      <c r="BL1054" s="7" t="e">
        <f t="shared" si="222"/>
        <v>#N/A</v>
      </c>
    </row>
    <row r="1055" spans="52:64" ht="11.25" customHeight="1">
      <c r="AZ1055" s="7">
        <f t="shared" si="213"/>
        <v>0.99999287586419017</v>
      </c>
      <c r="BA1055" s="7">
        <f t="shared" si="223"/>
        <v>4.3399999999998684</v>
      </c>
      <c r="BB1055" s="7">
        <f t="shared" si="214"/>
        <v>3.2419886804232257E-5</v>
      </c>
      <c r="BC1055" s="7" t="e">
        <f t="shared" si="215"/>
        <v>#N/A</v>
      </c>
      <c r="BD1055" s="7">
        <f t="shared" si="216"/>
        <v>4.3399899999998688</v>
      </c>
      <c r="BE1055" s="7">
        <f t="shared" si="217"/>
        <v>4.340009999999868</v>
      </c>
      <c r="BF1055" s="7">
        <f t="shared" si="218"/>
        <v>0.99926680137909041</v>
      </c>
      <c r="BG1055" s="7">
        <f t="shared" si="219"/>
        <v>0.99926682436655767</v>
      </c>
      <c r="BH1055" s="7" t="e">
        <f t="shared" si="220"/>
        <v>#N/A</v>
      </c>
      <c r="BI1055" s="7">
        <f t="shared" si="224"/>
        <v>3.2419886804232257E-5</v>
      </c>
      <c r="BJ1055" s="7">
        <f t="shared" si="221"/>
        <v>-9.6758011319576776E-4</v>
      </c>
      <c r="BK1055" s="7" t="e">
        <f t="shared" si="225"/>
        <v>#N/A</v>
      </c>
      <c r="BL1055" s="7" t="e">
        <f t="shared" si="222"/>
        <v>#N/A</v>
      </c>
    </row>
    <row r="1056" spans="52:64" ht="11.25" customHeight="1">
      <c r="AZ1056" s="7">
        <f t="shared" si="213"/>
        <v>0.99999319312340651</v>
      </c>
      <c r="BA1056" s="7">
        <f t="shared" si="223"/>
        <v>4.3499999999998682</v>
      </c>
      <c r="BB1056" s="7">
        <f t="shared" si="214"/>
        <v>3.104140705786802E-5</v>
      </c>
      <c r="BC1056" s="7" t="e">
        <f t="shared" si="215"/>
        <v>#N/A</v>
      </c>
      <c r="BD1056" s="7">
        <f t="shared" si="216"/>
        <v>4.3499899999998686</v>
      </c>
      <c r="BE1056" s="7">
        <f t="shared" si="217"/>
        <v>4.3500099999998678</v>
      </c>
      <c r="BF1056" s="7">
        <f t="shared" si="218"/>
        <v>0.99927820070174045</v>
      </c>
      <c r="BG1056" s="7">
        <f t="shared" si="219"/>
        <v>0.99927822331189431</v>
      </c>
      <c r="BH1056" s="7" t="e">
        <f t="shared" si="220"/>
        <v>#N/A</v>
      </c>
      <c r="BI1056" s="7">
        <f t="shared" si="224"/>
        <v>3.104140705786802E-5</v>
      </c>
      <c r="BJ1056" s="7">
        <f t="shared" si="221"/>
        <v>-9.6895859294213204E-4</v>
      </c>
      <c r="BK1056" s="7" t="e">
        <f t="shared" si="225"/>
        <v>#N/A</v>
      </c>
      <c r="BL1056" s="7" t="e">
        <f t="shared" si="222"/>
        <v>#N/A</v>
      </c>
    </row>
    <row r="1057" spans="52:64" ht="11.25" customHeight="1">
      <c r="AZ1057" s="7">
        <f t="shared" si="213"/>
        <v>0.99999349687778161</v>
      </c>
      <c r="BA1057" s="7">
        <f t="shared" si="223"/>
        <v>4.359999999999868</v>
      </c>
      <c r="BB1057" s="7">
        <f t="shared" si="214"/>
        <v>2.9718567676459353E-5</v>
      </c>
      <c r="BC1057" s="7" t="e">
        <f t="shared" si="215"/>
        <v>#N/A</v>
      </c>
      <c r="BD1057" s="7">
        <f t="shared" si="216"/>
        <v>4.3599899999998684</v>
      </c>
      <c r="BE1057" s="7">
        <f t="shared" si="217"/>
        <v>4.3600099999998676</v>
      </c>
      <c r="BF1057" s="7">
        <f t="shared" si="218"/>
        <v>0.99928941298278984</v>
      </c>
      <c r="BG1057" s="7">
        <f t="shared" si="219"/>
        <v>0.99928943522208458</v>
      </c>
      <c r="BH1057" s="7" t="e">
        <f t="shared" si="220"/>
        <v>#N/A</v>
      </c>
      <c r="BI1057" s="7">
        <f t="shared" si="224"/>
        <v>2.9718567676459353E-5</v>
      </c>
      <c r="BJ1057" s="7">
        <f t="shared" si="221"/>
        <v>-9.7028143232354071E-4</v>
      </c>
      <c r="BK1057" s="7" t="e">
        <f t="shared" si="225"/>
        <v>#N/A</v>
      </c>
      <c r="BL1057" s="7" t="e">
        <f t="shared" si="222"/>
        <v>#N/A</v>
      </c>
    </row>
    <row r="1058" spans="52:64" ht="11.25" customHeight="1">
      <c r="AZ1058" s="7">
        <f t="shared" si="213"/>
        <v>0.99999378767316283</v>
      </c>
      <c r="BA1058" s="7">
        <f t="shared" si="223"/>
        <v>4.3699999999998678</v>
      </c>
      <c r="BB1058" s="7">
        <f t="shared" si="214"/>
        <v>2.8449256445860778E-5</v>
      </c>
      <c r="BC1058" s="7" t="e">
        <f t="shared" si="215"/>
        <v>#N/A</v>
      </c>
      <c r="BD1058" s="7">
        <f t="shared" si="216"/>
        <v>4.3699899999998681</v>
      </c>
      <c r="BE1058" s="7">
        <f t="shared" si="217"/>
        <v>4.3700099999998674</v>
      </c>
      <c r="BF1058" s="7">
        <f t="shared" si="218"/>
        <v>0.99930044142087637</v>
      </c>
      <c r="BG1058" s="7">
        <f t="shared" si="219"/>
        <v>0.99930046329565236</v>
      </c>
      <c r="BH1058" s="7" t="e">
        <f t="shared" si="220"/>
        <v>#N/A</v>
      </c>
      <c r="BI1058" s="7">
        <f t="shared" si="224"/>
        <v>2.8449256445860778E-5</v>
      </c>
      <c r="BJ1058" s="7">
        <f t="shared" si="221"/>
        <v>-9.7155074355413922E-4</v>
      </c>
      <c r="BK1058" s="7" t="e">
        <f t="shared" si="225"/>
        <v>#N/A</v>
      </c>
      <c r="BL1058" s="7" t="e">
        <f t="shared" si="222"/>
        <v>#N/A</v>
      </c>
    </row>
    <row r="1059" spans="52:64" ht="11.25" customHeight="1">
      <c r="AZ1059" s="7">
        <f t="shared" si="213"/>
        <v>0.99999406603452723</v>
      </c>
      <c r="BA1059" s="7">
        <f t="shared" si="223"/>
        <v>4.3799999999998676</v>
      </c>
      <c r="BB1059" s="7">
        <f t="shared" si="214"/>
        <v>2.7231435551008424E-5</v>
      </c>
      <c r="BC1059" s="7" t="e">
        <f t="shared" si="215"/>
        <v>#N/A</v>
      </c>
      <c r="BD1059" s="7">
        <f t="shared" si="216"/>
        <v>4.3799899999998679</v>
      </c>
      <c r="BE1059" s="7">
        <f t="shared" si="217"/>
        <v>4.3800099999998672</v>
      </c>
      <c r="BF1059" s="7">
        <f t="shared" si="218"/>
        <v>0.99931128915837286</v>
      </c>
      <c r="BG1059" s="7">
        <f t="shared" si="219"/>
        <v>0.99931131067485923</v>
      </c>
      <c r="BH1059" s="7" t="e">
        <f t="shared" si="220"/>
        <v>#N/A</v>
      </c>
      <c r="BI1059" s="7">
        <f t="shared" si="224"/>
        <v>2.7231435551008424E-5</v>
      </c>
      <c r="BJ1059" s="7">
        <f t="shared" si="221"/>
        <v>-9.7276856444899161E-4</v>
      </c>
      <c r="BK1059" s="7" t="e">
        <f t="shared" si="225"/>
        <v>#N/A</v>
      </c>
      <c r="BL1059" s="7" t="e">
        <f t="shared" si="222"/>
        <v>#N/A</v>
      </c>
    </row>
    <row r="1060" spans="52:64" ht="11.25" customHeight="1">
      <c r="AZ1060" s="7">
        <f t="shared" si="213"/>
        <v>0.99999433246692759</v>
      </c>
      <c r="BA1060" s="7">
        <f t="shared" si="223"/>
        <v>4.3899999999998673</v>
      </c>
      <c r="BB1060" s="7">
        <f t="shared" si="214"/>
        <v>2.606313919589348E-5</v>
      </c>
      <c r="BC1060" s="7" t="e">
        <f t="shared" si="215"/>
        <v>#N/A</v>
      </c>
      <c r="BD1060" s="7">
        <f t="shared" si="216"/>
        <v>4.3899899999998677</v>
      </c>
      <c r="BE1060" s="7">
        <f t="shared" si="217"/>
        <v>4.390009999999867</v>
      </c>
      <c r="BF1060" s="7">
        <f t="shared" si="218"/>
        <v>0.99932195928238976</v>
      </c>
      <c r="BG1060" s="7">
        <f t="shared" si="219"/>
        <v>0.99932198044670595</v>
      </c>
      <c r="BH1060" s="7" t="e">
        <f t="shared" si="220"/>
        <v>#N/A</v>
      </c>
      <c r="BI1060" s="7">
        <f t="shared" si="224"/>
        <v>2.606313919589348E-5</v>
      </c>
      <c r="BJ1060" s="7">
        <f t="shared" si="221"/>
        <v>-9.739368608041065E-4</v>
      </c>
      <c r="BK1060" s="7" t="e">
        <f t="shared" si="225"/>
        <v>#N/A</v>
      </c>
      <c r="BL1060" s="7" t="e">
        <f t="shared" si="222"/>
        <v>#N/A</v>
      </c>
    </row>
    <row r="1061" spans="52:64" ht="11.25" customHeight="1">
      <c r="AZ1061" s="7">
        <f t="shared" si="213"/>
        <v>0.99999458745608449</v>
      </c>
      <c r="BA1061" s="7">
        <f t="shared" si="223"/>
        <v>4.3999999999998671</v>
      </c>
      <c r="BB1061" s="7">
        <f t="shared" si="214"/>
        <v>2.4942471290068152E-5</v>
      </c>
      <c r="BC1061" s="7" t="e">
        <f t="shared" si="215"/>
        <v>#N/A</v>
      </c>
      <c r="BD1061" s="7">
        <f t="shared" si="216"/>
        <v>4.3999899999998675</v>
      </c>
      <c r="BE1061" s="7">
        <f t="shared" si="217"/>
        <v>4.4000099999998667</v>
      </c>
      <c r="BF1061" s="7">
        <f t="shared" si="218"/>
        <v>0.99933245482575961</v>
      </c>
      <c r="BG1061" s="7">
        <f t="shared" si="219"/>
        <v>0.99933247564391769</v>
      </c>
      <c r="BH1061" s="7" t="e">
        <f t="shared" si="220"/>
        <v>#N/A</v>
      </c>
      <c r="BI1061" s="7">
        <f t="shared" si="224"/>
        <v>2.4942471290068152E-5</v>
      </c>
      <c r="BJ1061" s="7">
        <f t="shared" si="221"/>
        <v>-9.7505752870993183E-4</v>
      </c>
      <c r="BK1061" s="7" t="e">
        <f t="shared" si="225"/>
        <v>#N/A</v>
      </c>
      <c r="BL1061" s="7" t="e">
        <f t="shared" si="222"/>
        <v>#N/A</v>
      </c>
    </row>
    <row r="1062" spans="52:64" ht="11.25" customHeight="1">
      <c r="AZ1062" s="7">
        <f t="shared" si="213"/>
        <v>0.99999483146902945</v>
      </c>
      <c r="BA1062" s="7">
        <f t="shared" si="223"/>
        <v>4.4099999999998669</v>
      </c>
      <c r="BB1062" s="7">
        <f t="shared" si="214"/>
        <v>2.3867603200193587E-5</v>
      </c>
      <c r="BC1062" s="7" t="e">
        <f t="shared" si="215"/>
        <v>#N/A</v>
      </c>
      <c r="BD1062" s="7">
        <f t="shared" si="216"/>
        <v>4.4099899999998673</v>
      </c>
      <c r="BE1062" s="7">
        <f t="shared" si="217"/>
        <v>4.4100099999998665</v>
      </c>
      <c r="BF1062" s="7">
        <f t="shared" si="218"/>
        <v>0.9993427787680047</v>
      </c>
      <c r="BG1062" s="7">
        <f t="shared" si="219"/>
        <v>0.99934279924591085</v>
      </c>
      <c r="BH1062" s="7" t="e">
        <f t="shared" si="220"/>
        <v>#N/A</v>
      </c>
      <c r="BI1062" s="7">
        <f t="shared" si="224"/>
        <v>2.3867603200193587E-5</v>
      </c>
      <c r="BJ1062" s="7">
        <f t="shared" si="221"/>
        <v>-9.7613239679980644E-4</v>
      </c>
      <c r="BK1062" s="7" t="e">
        <f t="shared" si="225"/>
        <v>#N/A</v>
      </c>
      <c r="BL1062" s="7" t="e">
        <f t="shared" si="222"/>
        <v>#N/A</v>
      </c>
    </row>
    <row r="1063" spans="52:64" ht="11.25" customHeight="1">
      <c r="AZ1063" s="7">
        <f t="shared" si="213"/>
        <v>0.99999506495491475</v>
      </c>
      <c r="BA1063" s="7">
        <f t="shared" si="223"/>
        <v>4.4199999999998667</v>
      </c>
      <c r="BB1063" s="7">
        <f t="shared" si="214"/>
        <v>2.2836771565160385E-5</v>
      </c>
      <c r="BC1063" s="7" t="e">
        <f t="shared" si="215"/>
        <v>#N/A</v>
      </c>
      <c r="BD1063" s="7">
        <f t="shared" si="216"/>
        <v>4.4199899999998671</v>
      </c>
      <c r="BE1063" s="7">
        <f t="shared" si="217"/>
        <v>4.4200099999998663</v>
      </c>
      <c r="BF1063" s="7">
        <f t="shared" si="218"/>
        <v>0.99935293403628667</v>
      </c>
      <c r="BG1063" s="7">
        <f t="shared" si="219"/>
        <v>0.99935295417974335</v>
      </c>
      <c r="BH1063" s="7" t="e">
        <f t="shared" si="220"/>
        <v>#N/A</v>
      </c>
      <c r="BI1063" s="7">
        <f t="shared" si="224"/>
        <v>2.2836771565160385E-5</v>
      </c>
      <c r="BJ1063" s="7">
        <f t="shared" si="221"/>
        <v>-9.771632284348397E-4</v>
      </c>
      <c r="BK1063" s="7" t="e">
        <f t="shared" si="225"/>
        <v>#N/A</v>
      </c>
      <c r="BL1063" s="7" t="e">
        <f t="shared" si="222"/>
        <v>#N/A</v>
      </c>
    </row>
    <row r="1064" spans="52:64" ht="11.25" customHeight="1">
      <c r="AZ1064" s="7">
        <f t="shared" si="213"/>
        <v>0.99999528834558649</v>
      </c>
      <c r="BA1064" s="7">
        <f t="shared" si="223"/>
        <v>4.4299999999998665</v>
      </c>
      <c r="BB1064" s="7">
        <f t="shared" si="214"/>
        <v>2.1848276173329351E-5</v>
      </c>
      <c r="BC1064" s="7" t="e">
        <f t="shared" si="215"/>
        <v>#N/A</v>
      </c>
      <c r="BD1064" s="7">
        <f t="shared" si="216"/>
        <v>4.4299899999998669</v>
      </c>
      <c r="BE1064" s="7">
        <f t="shared" si="217"/>
        <v>4.4300099999998661</v>
      </c>
      <c r="BF1064" s="7">
        <f t="shared" si="218"/>
        <v>0.99936292350634026</v>
      </c>
      <c r="BG1064" s="7">
        <f t="shared" si="219"/>
        <v>0.99936294332104803</v>
      </c>
      <c r="BH1064" s="7" t="e">
        <f t="shared" si="220"/>
        <v>#N/A</v>
      </c>
      <c r="BI1064" s="7">
        <f t="shared" si="224"/>
        <v>2.1848276173329351E-5</v>
      </c>
      <c r="BJ1064" s="7">
        <f t="shared" si="221"/>
        <v>-9.7815172382667071E-4</v>
      </c>
      <c r="BK1064" s="7" t="e">
        <f t="shared" si="225"/>
        <v>#N/A</v>
      </c>
      <c r="BL1064" s="7" t="e">
        <f t="shared" si="222"/>
        <v>#N/A</v>
      </c>
    </row>
    <row r="1065" spans="52:64" ht="11.25" customHeight="1">
      <c r="AZ1065" s="7">
        <f t="shared" si="213"/>
        <v>0.99999550205611132</v>
      </c>
      <c r="BA1065" s="7">
        <f t="shared" si="223"/>
        <v>4.4399999999998663</v>
      </c>
      <c r="BB1065" s="7">
        <f t="shared" si="214"/>
        <v>2.0900477900462842E-5</v>
      </c>
      <c r="BC1065" s="7" t="e">
        <f t="shared" si="215"/>
        <v>#N/A</v>
      </c>
      <c r="BD1065" s="7">
        <f t="shared" si="216"/>
        <v>4.4399899999998667</v>
      </c>
      <c r="BE1065" s="7">
        <f t="shared" si="217"/>
        <v>4.4400099999998659</v>
      </c>
      <c r="BF1065" s="7">
        <f t="shared" si="218"/>
        <v>0.99937275000338988</v>
      </c>
      <c r="BG1065" s="7">
        <f t="shared" si="219"/>
        <v>0.99937276949494913</v>
      </c>
      <c r="BH1065" s="7" t="e">
        <f t="shared" si="220"/>
        <v>#N/A</v>
      </c>
      <c r="BI1065" s="7">
        <f t="shared" si="224"/>
        <v>2.0900477900462842E-5</v>
      </c>
      <c r="BJ1065" s="7">
        <f t="shared" si="221"/>
        <v>-9.790995220995372E-4</v>
      </c>
      <c r="BK1065" s="7" t="e">
        <f t="shared" si="225"/>
        <v>#N/A</v>
      </c>
      <c r="BL1065" s="7" t="e">
        <f t="shared" si="222"/>
        <v>#N/A</v>
      </c>
    </row>
    <row r="1066" spans="52:64" ht="11.25" customHeight="1">
      <c r="AZ1066" s="7">
        <f t="shared" si="213"/>
        <v>0.99999570648552716</v>
      </c>
      <c r="BA1066" s="7">
        <f t="shared" si="223"/>
        <v>4.4499999999998661</v>
      </c>
      <c r="BB1066" s="7">
        <f t="shared" si="214"/>
        <v>1.9991796706934721E-5</v>
      </c>
      <c r="BC1066" s="7" t="e">
        <f t="shared" si="215"/>
        <v>#N/A</v>
      </c>
      <c r="BD1066" s="7">
        <f t="shared" si="216"/>
        <v>4.4499899999998664</v>
      </c>
      <c r="BE1066" s="7">
        <f t="shared" si="217"/>
        <v>4.4500099999998657</v>
      </c>
      <c r="BF1066" s="7">
        <f t="shared" si="218"/>
        <v>0.99938241630305014</v>
      </c>
      <c r="BG1066" s="7">
        <f t="shared" si="219"/>
        <v>0.99938243547696304</v>
      </c>
      <c r="BH1066" s="7" t="e">
        <f t="shared" si="220"/>
        <v>#N/A</v>
      </c>
      <c r="BI1066" s="7">
        <f t="shared" si="224"/>
        <v>1.9991796706934721E-5</v>
      </c>
      <c r="BJ1066" s="7">
        <f t="shared" si="221"/>
        <v>-9.800082032930652E-4</v>
      </c>
      <c r="BK1066" s="7" t="e">
        <f t="shared" si="225"/>
        <v>#N/A</v>
      </c>
      <c r="BL1066" s="7" t="e">
        <f t="shared" si="222"/>
        <v>#N/A</v>
      </c>
    </row>
    <row r="1067" spans="52:64" ht="11.25" customHeight="1">
      <c r="AZ1067" s="7">
        <f t="shared" si="213"/>
        <v>0.99999590201733879</v>
      </c>
      <c r="BA1067" s="7">
        <f t="shared" si="223"/>
        <v>4.4599999999998658</v>
      </c>
      <c r="BB1067" s="7">
        <f t="shared" si="214"/>
        <v>1.9120709692829179E-5</v>
      </c>
      <c r="BC1067" s="7" t="e">
        <f t="shared" si="215"/>
        <v>#N/A</v>
      </c>
      <c r="BD1067" s="7">
        <f t="shared" si="216"/>
        <v>4.4599899999998662</v>
      </c>
      <c r="BE1067" s="7">
        <f t="shared" si="217"/>
        <v>4.4600099999998655</v>
      </c>
      <c r="BF1067" s="7">
        <f t="shared" si="218"/>
        <v>0.99939192513221053</v>
      </c>
      <c r="BG1067" s="7">
        <f t="shared" si="219"/>
        <v>0.99939194399388265</v>
      </c>
      <c r="BH1067" s="7" t="e">
        <f t="shared" si="220"/>
        <v>#N/A</v>
      </c>
      <c r="BI1067" s="7">
        <f t="shared" si="224"/>
        <v>1.9120709692829179E-5</v>
      </c>
      <c r="BJ1067" s="7">
        <f t="shared" si="221"/>
        <v>-9.8087929030717092E-4</v>
      </c>
      <c r="BK1067" s="7" t="e">
        <f t="shared" si="225"/>
        <v>#N/A</v>
      </c>
      <c r="BL1067" s="7" t="e">
        <f t="shared" si="222"/>
        <v>#N/A</v>
      </c>
    </row>
    <row r="1068" spans="52:64" ht="11.25" customHeight="1">
      <c r="AZ1068" s="7">
        <f t="shared" si="213"/>
        <v>0.99999608902014614</v>
      </c>
      <c r="BA1068" s="7">
        <f t="shared" si="223"/>
        <v>4.4699999999998656</v>
      </c>
      <c r="BB1068" s="7">
        <f t="shared" si="214"/>
        <v>1.8285749209558354E-5</v>
      </c>
      <c r="BC1068" s="7" t="e">
        <f t="shared" si="215"/>
        <v>#N/A</v>
      </c>
      <c r="BD1068" s="7">
        <f t="shared" si="216"/>
        <v>4.469989999999866</v>
      </c>
      <c r="BE1068" s="7">
        <f t="shared" si="217"/>
        <v>4.4700099999998653</v>
      </c>
      <c r="BF1068" s="7">
        <f t="shared" si="218"/>
        <v>0.99940127916990407</v>
      </c>
      <c r="BG1068" s="7">
        <f t="shared" si="219"/>
        <v>0.99940129772464603</v>
      </c>
      <c r="BH1068" s="7" t="e">
        <f t="shared" si="220"/>
        <v>#N/A</v>
      </c>
      <c r="BI1068" s="7">
        <f t="shared" si="224"/>
        <v>1.8285749209558354E-5</v>
      </c>
      <c r="BJ1068" s="7">
        <f t="shared" si="221"/>
        <v>-9.8171425079044165E-4</v>
      </c>
      <c r="BK1068" s="7" t="e">
        <f t="shared" si="225"/>
        <v>#N/A</v>
      </c>
      <c r="BL1068" s="7" t="e">
        <f t="shared" si="222"/>
        <v>#N/A</v>
      </c>
    </row>
    <row r="1069" spans="52:64" ht="11.25" customHeight="1">
      <c r="AZ1069" s="7">
        <f t="shared" si="213"/>
        <v>0.99999626784799867</v>
      </c>
      <c r="BA1069" s="7">
        <f t="shared" si="223"/>
        <v>4.4799999999998654</v>
      </c>
      <c r="BB1069" s="7">
        <f t="shared" si="214"/>
        <v>1.7485501026649693E-5</v>
      </c>
      <c r="BC1069" s="7" t="e">
        <f t="shared" si="215"/>
        <v>#N/A</v>
      </c>
      <c r="BD1069" s="7">
        <f t="shared" si="216"/>
        <v>4.4799899999998658</v>
      </c>
      <c r="BE1069" s="7">
        <f t="shared" si="217"/>
        <v>4.480009999999865</v>
      </c>
      <c r="BF1069" s="7">
        <f t="shared" si="218"/>
        <v>0.99941048104816077</v>
      </c>
      <c r="BG1069" s="7">
        <f t="shared" si="219"/>
        <v>0.99941049930119019</v>
      </c>
      <c r="BH1069" s="7" t="e">
        <f t="shared" si="220"/>
        <v>#N/A</v>
      </c>
      <c r="BI1069" s="7">
        <f t="shared" si="224"/>
        <v>1.7485501026649693E-5</v>
      </c>
      <c r="BJ1069" s="7">
        <f t="shared" si="221"/>
        <v>-9.8251449897335036E-4</v>
      </c>
      <c r="BK1069" s="7" t="e">
        <f t="shared" si="225"/>
        <v>#N/A</v>
      </c>
      <c r="BL1069" s="7" t="e">
        <f t="shared" si="222"/>
        <v>#N/A</v>
      </c>
    </row>
    <row r="1070" spans="52:64" ht="11.25" customHeight="1">
      <c r="AZ1070" s="7">
        <f t="shared" si="213"/>
        <v>0.99999643884129008</v>
      </c>
      <c r="BA1070" s="7">
        <f t="shared" si="223"/>
        <v>4.4899999999998652</v>
      </c>
      <c r="BB1070" s="7">
        <f t="shared" si="214"/>
        <v>1.6718602552375225E-5</v>
      </c>
      <c r="BC1070" s="7" t="e">
        <f t="shared" si="215"/>
        <v>#N/A</v>
      </c>
      <c r="BD1070" s="7">
        <f t="shared" si="216"/>
        <v>4.4899899999998656</v>
      </c>
      <c r="BE1070" s="7">
        <f t="shared" si="217"/>
        <v>4.4900099999998648</v>
      </c>
      <c r="BF1070" s="7">
        <f t="shared" si="218"/>
        <v>0.99941953335284595</v>
      </c>
      <c r="BG1070" s="7">
        <f t="shared" si="219"/>
        <v>0.99941955130928883</v>
      </c>
      <c r="BH1070" s="7" t="e">
        <f t="shared" si="220"/>
        <v>#N/A</v>
      </c>
      <c r="BI1070" s="7">
        <f t="shared" si="224"/>
        <v>1.6718602552375225E-5</v>
      </c>
      <c r="BJ1070" s="7">
        <f t="shared" si="221"/>
        <v>-9.8328139744762485E-4</v>
      </c>
      <c r="BK1070" s="7" t="e">
        <f t="shared" si="225"/>
        <v>#N/A</v>
      </c>
      <c r="BL1070" s="7" t="e">
        <f t="shared" si="222"/>
        <v>#N/A</v>
      </c>
    </row>
    <row r="1071" spans="52:64" ht="11.25" customHeight="1">
      <c r="AZ1071" s="7">
        <f t="shared" si="213"/>
        <v>0.9999966023268374</v>
      </c>
      <c r="BA1071" s="7">
        <f t="shared" si="223"/>
        <v>4.499999999999865</v>
      </c>
      <c r="BB1071" s="7">
        <f t="shared" si="214"/>
        <v>1.5983741106915185E-5</v>
      </c>
      <c r="BC1071" s="7" t="e">
        <f t="shared" si="215"/>
        <v>#N/A</v>
      </c>
      <c r="BD1071" s="7">
        <f t="shared" si="216"/>
        <v>4.4999899999998654</v>
      </c>
      <c r="BE1071" s="7">
        <f t="shared" si="217"/>
        <v>4.5000099999998646</v>
      </c>
      <c r="BF1071" s="7">
        <f t="shared" si="218"/>
        <v>0.99942843862448327</v>
      </c>
      <c r="BG1071" s="7">
        <f t="shared" si="219"/>
        <v>0.99942845628937582</v>
      </c>
      <c r="BH1071" s="7" t="e">
        <f t="shared" si="220"/>
        <v>#N/A</v>
      </c>
      <c r="BI1071" s="7">
        <f t="shared" si="224"/>
        <v>1.5983741106915185E-5</v>
      </c>
      <c r="BJ1071" s="7">
        <f t="shared" si="221"/>
        <v>-9.8401625889308481E-4</v>
      </c>
      <c r="BK1071" s="7" t="e">
        <f t="shared" si="225"/>
        <v>#N/A</v>
      </c>
      <c r="BL1071" s="7" t="e">
        <f t="shared" si="222"/>
        <v>#N/A</v>
      </c>
    </row>
    <row r="1072" spans="52:64" ht="11.25" customHeight="1">
      <c r="AZ1072" s="7">
        <f t="shared" si="213"/>
        <v>0.99999675861868664</v>
      </c>
      <c r="BA1072" s="7">
        <f t="shared" si="223"/>
        <v>4.5099999999998648</v>
      </c>
      <c r="BB1072" s="7">
        <f t="shared" si="214"/>
        <v>1.5279652246770927E-5</v>
      </c>
      <c r="BC1072" s="7" t="e">
        <f t="shared" si="215"/>
        <v>#N/A</v>
      </c>
      <c r="BD1072" s="7">
        <f t="shared" si="216"/>
        <v>4.5099899999998652</v>
      </c>
      <c r="BE1072" s="7">
        <f t="shared" si="217"/>
        <v>4.5100099999998644</v>
      </c>
      <c r="BF1072" s="7">
        <f t="shared" si="218"/>
        <v>0.99943719935906405</v>
      </c>
      <c r="BG1072" s="7">
        <f t="shared" si="219"/>
        <v>0.99943721673735397</v>
      </c>
      <c r="BH1072" s="7" t="e">
        <f t="shared" si="220"/>
        <v>#N/A</v>
      </c>
      <c r="BI1072" s="7">
        <f t="shared" si="224"/>
        <v>1.5279652246770927E-5</v>
      </c>
      <c r="BJ1072" s="7">
        <f t="shared" si="221"/>
        <v>-9.8472034775322912E-4</v>
      </c>
      <c r="BK1072" s="7" t="e">
        <f t="shared" si="225"/>
        <v>#N/A</v>
      </c>
      <c r="BL1072" s="7" t="e">
        <f t="shared" si="222"/>
        <v>#N/A</v>
      </c>
    </row>
    <row r="1073" spans="52:64" ht="11.25" customHeight="1">
      <c r="AZ1073" s="7">
        <f t="shared" si="213"/>
        <v>0.99999690801842789</v>
      </c>
      <c r="BA1073" s="7">
        <f t="shared" si="223"/>
        <v>4.5199999999998646</v>
      </c>
      <c r="BB1073" s="7">
        <f t="shared" si="214"/>
        <v>1.4605118139161839E-5</v>
      </c>
      <c r="BC1073" s="7" t="e">
        <f t="shared" si="215"/>
        <v>#N/A</v>
      </c>
      <c r="BD1073" s="7">
        <f t="shared" si="216"/>
        <v>4.5199899999998649</v>
      </c>
      <c r="BE1073" s="7">
        <f t="shared" si="217"/>
        <v>4.5200099999998642</v>
      </c>
      <c r="BF1073" s="7">
        <f t="shared" si="218"/>
        <v>0.99944581800884047</v>
      </c>
      <c r="BG1073" s="7">
        <f t="shared" si="219"/>
        <v>0.99944583510538909</v>
      </c>
      <c r="BH1073" s="7" t="e">
        <f t="shared" si="220"/>
        <v>#N/A</v>
      </c>
      <c r="BI1073" s="7">
        <f t="shared" si="224"/>
        <v>1.4605118139161839E-5</v>
      </c>
      <c r="BJ1073" s="7">
        <f t="shared" si="221"/>
        <v>-9.8539488186083816E-4</v>
      </c>
      <c r="BK1073" s="7" t="e">
        <f t="shared" si="225"/>
        <v>#N/A</v>
      </c>
      <c r="BL1073" s="7" t="e">
        <f t="shared" si="222"/>
        <v>#N/A</v>
      </c>
    </row>
    <row r="1074" spans="52:64" ht="11.25" customHeight="1">
      <c r="AZ1074" s="7">
        <f t="shared" si="213"/>
        <v>0.99999705081566903</v>
      </c>
      <c r="BA1074" s="7">
        <f t="shared" si="223"/>
        <v>4.5299999999998644</v>
      </c>
      <c r="BB1074" s="7">
        <f t="shared" si="214"/>
        <v>1.3958965985163351E-5</v>
      </c>
      <c r="BC1074" s="7" t="e">
        <f t="shared" si="215"/>
        <v>#N/A</v>
      </c>
      <c r="BD1074" s="7">
        <f t="shared" si="216"/>
        <v>4.5299899999998647</v>
      </c>
      <c r="BE1074" s="7">
        <f t="shared" si="217"/>
        <v>4.530009999999864</v>
      </c>
      <c r="BF1074" s="7">
        <f t="shared" si="218"/>
        <v>0.99945429698310673</v>
      </c>
      <c r="BG1074" s="7">
        <f t="shared" si="219"/>
        <v>0.99945431380269012</v>
      </c>
      <c r="BH1074" s="7" t="e">
        <f t="shared" si="220"/>
        <v>#N/A</v>
      </c>
      <c r="BI1074" s="7">
        <f t="shared" si="224"/>
        <v>1.3958965985163351E-5</v>
      </c>
      <c r="BJ1074" s="7">
        <f t="shared" si="221"/>
        <v>-9.8604103401483674E-4</v>
      </c>
      <c r="BK1074" s="7" t="e">
        <f t="shared" si="225"/>
        <v>#N/A</v>
      </c>
      <c r="BL1074" s="7" t="e">
        <f t="shared" si="222"/>
        <v>#N/A</v>
      </c>
    </row>
    <row r="1075" spans="52:64" ht="11.25" customHeight="1">
      <c r="AZ1075" s="7">
        <f t="shared" si="213"/>
        <v>0.99999718728850373</v>
      </c>
      <c r="BA1075" s="7">
        <f t="shared" si="223"/>
        <v>4.5399999999998641</v>
      </c>
      <c r="BB1075" s="7">
        <f t="shared" si="214"/>
        <v>1.3340066490364058E-5</v>
      </c>
      <c r="BC1075" s="7" t="e">
        <f t="shared" si="215"/>
        <v>#N/A</v>
      </c>
      <c r="BD1075" s="7">
        <f t="shared" si="216"/>
        <v>4.5399899999998645</v>
      </c>
      <c r="BE1075" s="7">
        <f t="shared" si="217"/>
        <v>4.5400099999998638</v>
      </c>
      <c r="BF1075" s="7">
        <f t="shared" si="218"/>
        <v>0.99946263864896456</v>
      </c>
      <c r="BG1075" s="7">
        <f t="shared" si="219"/>
        <v>0.9994626551962752</v>
      </c>
      <c r="BH1075" s="7" t="e">
        <f t="shared" si="220"/>
        <v>#N/A</v>
      </c>
      <c r="BI1075" s="7">
        <f t="shared" si="224"/>
        <v>1.3340066490364058E-5</v>
      </c>
      <c r="BJ1075" s="7">
        <f t="shared" si="221"/>
        <v>-9.8665993350963588E-4</v>
      </c>
      <c r="BK1075" s="7" t="e">
        <f t="shared" si="225"/>
        <v>#N/A</v>
      </c>
      <c r="BL1075" s="7" t="e">
        <f t="shared" si="222"/>
        <v>#N/A</v>
      </c>
    </row>
    <row r="1076" spans="52:64" ht="11.25" customHeight="1">
      <c r="AZ1076" s="7">
        <f t="shared" si="213"/>
        <v>0.99999731770418532</v>
      </c>
      <c r="BA1076" s="7">
        <f t="shared" si="223"/>
        <v>4.5499999999998639</v>
      </c>
      <c r="BB1076" s="7">
        <f t="shared" si="214"/>
        <v>1.2747332381841341E-5</v>
      </c>
      <c r="BC1076" s="7" t="e">
        <f t="shared" si="215"/>
        <v>#N/A</v>
      </c>
      <c r="BD1076" s="7">
        <f t="shared" si="216"/>
        <v>4.5499899999998643</v>
      </c>
      <c r="BE1076" s="7">
        <f t="shared" si="217"/>
        <v>4.5500099999998636</v>
      </c>
      <c r="BF1076" s="7">
        <f t="shared" si="218"/>
        <v>0.99947084533207631</v>
      </c>
      <c r="BG1076" s="7">
        <f t="shared" si="219"/>
        <v>0.99947086161172438</v>
      </c>
      <c r="BH1076" s="7" t="e">
        <f t="shared" si="220"/>
        <v>#N/A</v>
      </c>
      <c r="BI1076" s="7">
        <f t="shared" si="224"/>
        <v>1.2747332381841341E-5</v>
      </c>
      <c r="BJ1076" s="7">
        <f t="shared" si="221"/>
        <v>-9.8725266761815877E-4</v>
      </c>
      <c r="BK1076" s="7" t="e">
        <f t="shared" si="225"/>
        <v>#N/A</v>
      </c>
      <c r="BL1076" s="7" t="e">
        <f t="shared" si="222"/>
        <v>#N/A</v>
      </c>
    </row>
    <row r="1077" spans="52:64" ht="11.25" customHeight="1">
      <c r="AZ1077" s="7">
        <f t="shared" si="213"/>
        <v>0.99999744231892163</v>
      </c>
      <c r="BA1077" s="7">
        <f t="shared" si="223"/>
        <v>4.5599999999998637</v>
      </c>
      <c r="BB1077" s="7">
        <f t="shared" si="214"/>
        <v>1.2179716970276248E-5</v>
      </c>
      <c r="BC1077" s="7" t="e">
        <f t="shared" si="215"/>
        <v>#N/A</v>
      </c>
      <c r="BD1077" s="7">
        <f t="shared" si="216"/>
        <v>4.5599899999998641</v>
      </c>
      <c r="BE1077" s="7">
        <f t="shared" si="217"/>
        <v>4.5600099999998633</v>
      </c>
      <c r="BF1077" s="7">
        <f t="shared" si="218"/>
        <v>0.99947891931740329</v>
      </c>
      <c r="BG1077" s="7">
        <f t="shared" si="219"/>
        <v>0.99947893533391852</v>
      </c>
      <c r="BH1077" s="7" t="e">
        <f t="shared" si="220"/>
        <v>#N/A</v>
      </c>
      <c r="BI1077" s="7">
        <f t="shared" si="224"/>
        <v>1.2179716970276248E-5</v>
      </c>
      <c r="BJ1077" s="7">
        <f t="shared" si="221"/>
        <v>-9.8782028302972372E-4</v>
      </c>
      <c r="BK1077" s="7" t="e">
        <f t="shared" si="225"/>
        <v>#N/A</v>
      </c>
      <c r="BL1077" s="7" t="e">
        <f t="shared" si="222"/>
        <v>#N/A</v>
      </c>
    </row>
    <row r="1078" spans="52:64" ht="11.25" customHeight="1">
      <c r="AZ1078" s="7">
        <f t="shared" si="213"/>
        <v>0.9999975613789126</v>
      </c>
      <c r="BA1078" s="7">
        <f t="shared" si="223"/>
        <v>4.5699999999998635</v>
      </c>
      <c r="BB1078" s="7">
        <f t="shared" si="214"/>
        <v>1.1636212756049942E-5</v>
      </c>
      <c r="BC1078" s="7" t="e">
        <f t="shared" si="215"/>
        <v>#N/A</v>
      </c>
      <c r="BD1078" s="7">
        <f t="shared" si="216"/>
        <v>4.5699899999998639</v>
      </c>
      <c r="BE1078" s="7">
        <f t="shared" si="217"/>
        <v>4.5700099999998631</v>
      </c>
      <c r="BF1078" s="7">
        <f t="shared" si="218"/>
        <v>0.9994868628499326</v>
      </c>
      <c r="BG1078" s="7">
        <f t="shared" si="219"/>
        <v>0.99948687860776531</v>
      </c>
      <c r="BH1078" s="7" t="e">
        <f t="shared" si="220"/>
        <v>#N/A</v>
      </c>
      <c r="BI1078" s="7">
        <f t="shared" si="224"/>
        <v>1.1636212756049942E-5</v>
      </c>
      <c r="BJ1078" s="7">
        <f t="shared" si="221"/>
        <v>-9.8836378724395007E-4</v>
      </c>
      <c r="BK1078" s="7" t="e">
        <f t="shared" si="225"/>
        <v>#N/A</v>
      </c>
      <c r="BL1078" s="7" t="e">
        <f t="shared" si="222"/>
        <v>#N/A</v>
      </c>
    </row>
    <row r="1079" spans="52:64" ht="11.25" customHeight="1">
      <c r="AZ1079" s="7">
        <f t="shared" si="213"/>
        <v>0.9999976751202887</v>
      </c>
      <c r="BA1079" s="7">
        <f t="shared" si="223"/>
        <v>4.5799999999998633</v>
      </c>
      <c r="BB1079" s="7">
        <f t="shared" si="214"/>
        <v>1.1115850078184757E-5</v>
      </c>
      <c r="BC1079" s="7" t="e">
        <f t="shared" si="215"/>
        <v>#N/A</v>
      </c>
      <c r="BD1079" s="7">
        <f t="shared" si="216"/>
        <v>4.5799899999998637</v>
      </c>
      <c r="BE1079" s="7">
        <f t="shared" si="217"/>
        <v>4.5800099999998629</v>
      </c>
      <c r="BF1079" s="7">
        <f t="shared" si="218"/>
        <v>0.99949467813538939</v>
      </c>
      <c r="BG1079" s="7">
        <f t="shared" si="219"/>
        <v>0.99949469363891219</v>
      </c>
      <c r="BH1079" s="7" t="e">
        <f t="shared" si="220"/>
        <v>#N/A</v>
      </c>
      <c r="BI1079" s="7">
        <f t="shared" si="224"/>
        <v>1.1115850078184757E-5</v>
      </c>
      <c r="BJ1079" s="7">
        <f t="shared" si="221"/>
        <v>-9.8888414992181518E-4</v>
      </c>
      <c r="BK1079" s="7" t="e">
        <f t="shared" si="225"/>
        <v>#N/A</v>
      </c>
      <c r="BL1079" s="7" t="e">
        <f t="shared" si="222"/>
        <v>#N/A</v>
      </c>
    </row>
    <row r="1080" spans="52:64" ht="11.25" customHeight="1">
      <c r="AZ1080" s="7">
        <f t="shared" si="213"/>
        <v>0.9999977837698959</v>
      </c>
      <c r="BA1080" s="7">
        <f t="shared" si="223"/>
        <v>4.5899999999998631</v>
      </c>
      <c r="BB1080" s="7">
        <f t="shared" si="214"/>
        <v>1.0617695805015047E-5</v>
      </c>
      <c r="BC1080" s="7" t="e">
        <f t="shared" si="215"/>
        <v>#N/A</v>
      </c>
      <c r="BD1080" s="7">
        <f t="shared" si="216"/>
        <v>4.5899899999998635</v>
      </c>
      <c r="BE1080" s="7">
        <f t="shared" si="217"/>
        <v>4.5900099999998627</v>
      </c>
      <c r="BF1080" s="7">
        <f t="shared" si="218"/>
        <v>0.99950236734093723</v>
      </c>
      <c r="BG1080" s="7">
        <f t="shared" si="219"/>
        <v>0.99950238259444635</v>
      </c>
      <c r="BH1080" s="7" t="e">
        <f t="shared" si="220"/>
        <v>#N/A</v>
      </c>
      <c r="BI1080" s="7">
        <f t="shared" si="224"/>
        <v>1.0617695805015047E-5</v>
      </c>
      <c r="BJ1080" s="7">
        <f t="shared" si="221"/>
        <v>-9.8938230419498498E-4</v>
      </c>
      <c r="BK1080" s="7" t="e">
        <f t="shared" si="225"/>
        <v>#N/A</v>
      </c>
      <c r="BL1080" s="7" t="e">
        <f t="shared" si="222"/>
        <v>#N/A</v>
      </c>
    </row>
    <row r="1081" spans="52:64" ht="11.25" customHeight="1">
      <c r="AZ1081" s="7">
        <f t="shared" si="213"/>
        <v>0.99999788754526864</v>
      </c>
      <c r="BA1081" s="7">
        <f t="shared" si="223"/>
        <v>4.5999999999998629</v>
      </c>
      <c r="BB1081" s="7">
        <f t="shared" si="214"/>
        <v>1.0140852065493135E-5</v>
      </c>
      <c r="BC1081" s="7" t="e">
        <f t="shared" si="215"/>
        <v>#N/A</v>
      </c>
      <c r="BD1081" s="7">
        <f t="shared" si="216"/>
        <v>4.5999899999998632</v>
      </c>
      <c r="BE1081" s="7">
        <f t="shared" si="217"/>
        <v>4.6000099999998625</v>
      </c>
      <c r="BF1081" s="7">
        <f t="shared" si="218"/>
        <v>0.99950993259586618</v>
      </c>
      <c r="BG1081" s="7">
        <f t="shared" si="219"/>
        <v>0.99950994760358258</v>
      </c>
      <c r="BH1081" s="7" t="e">
        <f t="shared" si="220"/>
        <v>#N/A</v>
      </c>
      <c r="BI1081" s="7">
        <f t="shared" si="224"/>
        <v>1.0140852065493135E-5</v>
      </c>
      <c r="BJ1081" s="7">
        <f t="shared" si="221"/>
        <v>-9.8985914793450693E-4</v>
      </c>
      <c r="BK1081" s="7" t="e">
        <f t="shared" si="225"/>
        <v>#N/A</v>
      </c>
      <c r="BL1081" s="7" t="e">
        <f t="shared" si="222"/>
        <v>#N/A</v>
      </c>
    </row>
    <row r="1082" spans="52:64" ht="11.25" customHeight="1">
      <c r="AZ1082" s="7">
        <f t="shared" si="213"/>
        <v>0.99999798665511064</v>
      </c>
      <c r="BA1082" s="7">
        <f t="shared" si="223"/>
        <v>4.6099999999998627</v>
      </c>
      <c r="BB1082" s="7">
        <f t="shared" si="214"/>
        <v>9.6844550200575763E-6</v>
      </c>
      <c r="BC1082" s="7" t="e">
        <f t="shared" si="215"/>
        <v>#N/A</v>
      </c>
      <c r="BD1082" s="7">
        <f t="shared" si="216"/>
        <v>4.609989999999863</v>
      </c>
      <c r="BE1082" s="7">
        <f t="shared" si="217"/>
        <v>4.6100099999998623</v>
      </c>
      <c r="BF1082" s="7">
        <f t="shared" si="218"/>
        <v>0.99951737599226753</v>
      </c>
      <c r="BG1082" s="7">
        <f t="shared" si="219"/>
        <v>0.99951739075833868</v>
      </c>
      <c r="BH1082" s="7" t="e">
        <f t="shared" si="220"/>
        <v>#N/A</v>
      </c>
      <c r="BI1082" s="7">
        <f t="shared" si="224"/>
        <v>9.6844550200575763E-6</v>
      </c>
      <c r="BJ1082" s="7">
        <f t="shared" si="221"/>
        <v>-9.9031554497994254E-4</v>
      </c>
      <c r="BK1082" s="7" t="e">
        <f t="shared" si="225"/>
        <v>#N/A</v>
      </c>
      <c r="BL1082" s="7" t="e">
        <f t="shared" si="222"/>
        <v>#N/A</v>
      </c>
    </row>
    <row r="1083" spans="52:64" ht="11.25" customHeight="1">
      <c r="AZ1083" s="7">
        <f t="shared" si="213"/>
        <v>0.99999808129977996</v>
      </c>
      <c r="BA1083" s="7">
        <f t="shared" si="223"/>
        <v>4.6199999999998624</v>
      </c>
      <c r="BB1083" s="7">
        <f t="shared" si="214"/>
        <v>9.2476736700114968E-6</v>
      </c>
      <c r="BC1083" s="7" t="e">
        <f t="shared" si="215"/>
        <v>#N/A</v>
      </c>
      <c r="BD1083" s="7">
        <f t="shared" si="216"/>
        <v>4.6199899999998628</v>
      </c>
      <c r="BE1083" s="7">
        <f t="shared" si="217"/>
        <v>4.6200099999998621</v>
      </c>
      <c r="BF1083" s="7">
        <f t="shared" si="218"/>
        <v>0.9995246995856979</v>
      </c>
      <c r="BG1083" s="7">
        <f t="shared" si="219"/>
        <v>0.99952471411419852</v>
      </c>
      <c r="BH1083" s="7" t="e">
        <f t="shared" si="220"/>
        <v>#N/A</v>
      </c>
      <c r="BI1083" s="7">
        <f t="shared" si="224"/>
        <v>9.2476736700114968E-6</v>
      </c>
      <c r="BJ1083" s="7">
        <f t="shared" si="221"/>
        <v>-9.9075232632998855E-4</v>
      </c>
      <c r="BK1083" s="7" t="e">
        <f t="shared" si="225"/>
        <v>#N/A</v>
      </c>
      <c r="BL1083" s="7" t="e">
        <f t="shared" si="222"/>
        <v>#N/A</v>
      </c>
    </row>
    <row r="1084" spans="52:64" ht="11.25" customHeight="1">
      <c r="AZ1084" s="7">
        <f t="shared" si="213"/>
        <v>0.99999817167134231</v>
      </c>
      <c r="BA1084" s="7">
        <f t="shared" si="223"/>
        <v>4.6299999999998622</v>
      </c>
      <c r="BB1084" s="7">
        <f t="shared" si="214"/>
        <v>8.8297087043797102E-6</v>
      </c>
      <c r="BC1084" s="7" t="e">
        <f t="shared" si="215"/>
        <v>#N/A</v>
      </c>
      <c r="BD1084" s="7">
        <f t="shared" si="216"/>
        <v>4.6299899999998626</v>
      </c>
      <c r="BE1084" s="7">
        <f t="shared" si="217"/>
        <v>4.6300099999998618</v>
      </c>
      <c r="BF1084" s="7">
        <f t="shared" si="218"/>
        <v>0.9995319053958297</v>
      </c>
      <c r="BG1084" s="7">
        <f t="shared" si="219"/>
        <v>0.99953191969076383</v>
      </c>
      <c r="BH1084" s="7" t="e">
        <f t="shared" si="220"/>
        <v>#N/A</v>
      </c>
      <c r="BI1084" s="7">
        <f t="shared" si="224"/>
        <v>8.8297087043797102E-6</v>
      </c>
      <c r="BJ1084" s="7">
        <f t="shared" si="221"/>
        <v>-9.9117029129562021E-4</v>
      </c>
      <c r="BK1084" s="7" t="e">
        <f t="shared" si="225"/>
        <v>#N/A</v>
      </c>
      <c r="BL1084" s="7" t="e">
        <f t="shared" si="222"/>
        <v>#N/A</v>
      </c>
    </row>
    <row r="1085" spans="52:64" ht="11.25" customHeight="1">
      <c r="AZ1085" s="7">
        <f t="shared" si="213"/>
        <v>0.99999825795409625</v>
      </c>
      <c r="BA1085" s="7">
        <f t="shared" si="223"/>
        <v>4.639999999999862</v>
      </c>
      <c r="BB1085" s="7">
        <f t="shared" si="214"/>
        <v>8.4297913832341605E-6</v>
      </c>
      <c r="BC1085" s="7" t="e">
        <f t="shared" si="215"/>
        <v>#N/A</v>
      </c>
      <c r="BD1085" s="7">
        <f t="shared" si="216"/>
        <v>4.6399899999998624</v>
      </c>
      <c r="BE1085" s="7">
        <f t="shared" si="217"/>
        <v>4.6400099999998616</v>
      </c>
      <c r="BF1085" s="7">
        <f t="shared" si="218"/>
        <v>0.99953899540709201</v>
      </c>
      <c r="BG1085" s="7">
        <f t="shared" si="219"/>
        <v>0.99953900947239349</v>
      </c>
      <c r="BH1085" s="7" t="e">
        <f t="shared" si="220"/>
        <v>#N/A</v>
      </c>
      <c r="BI1085" s="7">
        <f t="shared" si="224"/>
        <v>8.4297913832341605E-6</v>
      </c>
      <c r="BJ1085" s="7">
        <f t="shared" si="221"/>
        <v>-9.9157020861676578E-4</v>
      </c>
      <c r="BK1085" s="7" t="e">
        <f t="shared" si="225"/>
        <v>#N/A</v>
      </c>
      <c r="BL1085" s="7" t="e">
        <f t="shared" si="222"/>
        <v>#N/A</v>
      </c>
    </row>
    <row r="1086" spans="52:64" ht="11.25" customHeight="1">
      <c r="AZ1086" s="7">
        <f t="shared" si="213"/>
        <v>0.99999834032482893</v>
      </c>
      <c r="BA1086" s="7">
        <f t="shared" si="223"/>
        <v>4.6499999999998618</v>
      </c>
      <c r="BB1086" s="7">
        <f t="shared" si="214"/>
        <v>8.0471824564974672E-6</v>
      </c>
      <c r="BC1086" s="7" t="e">
        <f t="shared" si="215"/>
        <v>#N/A</v>
      </c>
      <c r="BD1086" s="7">
        <f t="shared" si="216"/>
        <v>4.6499899999998622</v>
      </c>
      <c r="BE1086" s="7">
        <f t="shared" si="217"/>
        <v>4.6500099999998614</v>
      </c>
      <c r="BF1086" s="7">
        <f t="shared" si="218"/>
        <v>0.99954597156929781</v>
      </c>
      <c r="BG1086" s="7">
        <f t="shared" si="219"/>
        <v>0.99954598540883211</v>
      </c>
      <c r="BH1086" s="7" t="e">
        <f t="shared" si="220"/>
        <v>#N/A</v>
      </c>
      <c r="BI1086" s="7">
        <f t="shared" si="224"/>
        <v>8.0471824564974672E-6</v>
      </c>
      <c r="BJ1086" s="7">
        <f t="shared" si="221"/>
        <v>-9.9195281754350245E-4</v>
      </c>
      <c r="BK1086" s="7" t="e">
        <f t="shared" si="225"/>
        <v>#N/A</v>
      </c>
      <c r="BL1086" s="7" t="e">
        <f t="shared" si="222"/>
        <v>#N/A</v>
      </c>
    </row>
    <row r="1087" spans="52:64" ht="11.25" customHeight="1">
      <c r="AZ1087" s="7">
        <f t="shared" si="213"/>
        <v>0.99999841895308139</v>
      </c>
      <c r="BA1087" s="7">
        <f t="shared" si="223"/>
        <v>4.6599999999998616</v>
      </c>
      <c r="BB1087" s="7">
        <f t="shared" si="214"/>
        <v>7.6811711172554206E-6</v>
      </c>
      <c r="BC1087" s="7" t="e">
        <f t="shared" si="215"/>
        <v>#N/A</v>
      </c>
      <c r="BD1087" s="7">
        <f t="shared" si="216"/>
        <v>4.659989999999862</v>
      </c>
      <c r="BE1087" s="7">
        <f t="shared" si="217"/>
        <v>4.6600099999998612</v>
      </c>
      <c r="BF1087" s="7">
        <f t="shared" si="218"/>
        <v>0.99955283579826204</v>
      </c>
      <c r="BG1087" s="7">
        <f t="shared" si="219"/>
        <v>0.99955284941582712</v>
      </c>
      <c r="BH1087" s="7" t="e">
        <f t="shared" si="220"/>
        <v>#N/A</v>
      </c>
      <c r="BI1087" s="7">
        <f t="shared" si="224"/>
        <v>7.6811711172554206E-6</v>
      </c>
      <c r="BJ1087" s="7">
        <f t="shared" si="221"/>
        <v>-9.9231882888274462E-4</v>
      </c>
      <c r="BK1087" s="7" t="e">
        <f t="shared" si="225"/>
        <v>#N/A</v>
      </c>
      <c r="BL1087" s="7" t="e">
        <f t="shared" si="222"/>
        <v>#N/A</v>
      </c>
    </row>
    <row r="1088" spans="52:64" ht="11.25" customHeight="1">
      <c r="AZ1088" s="7">
        <f t="shared" si="213"/>
        <v>0.99999849400129981</v>
      </c>
      <c r="BA1088" s="7">
        <f t="shared" si="223"/>
        <v>4.6699999999998614</v>
      </c>
      <c r="BB1088" s="7">
        <f t="shared" si="214"/>
        <v>7.3310739886286849E-6</v>
      </c>
      <c r="BC1088" s="7" t="e">
        <f t="shared" si="215"/>
        <v>#N/A</v>
      </c>
      <c r="BD1088" s="7">
        <f t="shared" si="216"/>
        <v>4.6699899999998618</v>
      </c>
      <c r="BE1088" s="7">
        <f t="shared" si="217"/>
        <v>4.670009999999861</v>
      </c>
      <c r="BF1088" s="7">
        <f t="shared" si="218"/>
        <v>0.99955958997640681</v>
      </c>
      <c r="BG1088" s="7">
        <f t="shared" si="219"/>
        <v>0.99955960337573435</v>
      </c>
      <c r="BH1088" s="7" t="e">
        <f t="shared" si="220"/>
        <v>#N/A</v>
      </c>
      <c r="BI1088" s="7">
        <f t="shared" si="224"/>
        <v>7.3310739886286849E-6</v>
      </c>
      <c r="BJ1088" s="7">
        <f t="shared" si="221"/>
        <v>-9.9266892601137125E-4</v>
      </c>
      <c r="BK1088" s="7" t="e">
        <f t="shared" si="225"/>
        <v>#N/A</v>
      </c>
      <c r="BL1088" s="7" t="e">
        <f t="shared" si="222"/>
        <v>#N/A</v>
      </c>
    </row>
    <row r="1089" spans="52:64" ht="11.25" customHeight="1">
      <c r="AZ1089" s="7">
        <f t="shared" si="213"/>
        <v>0.99999856562529132</v>
      </c>
      <c r="BA1089" s="7">
        <f t="shared" si="223"/>
        <v>4.6799999999998612</v>
      </c>
      <c r="BB1089" s="7">
        <f t="shared" si="214"/>
        <v>6.99623414327494E-6</v>
      </c>
      <c r="BC1089" s="7" t="e">
        <f t="shared" si="215"/>
        <v>#N/A</v>
      </c>
      <c r="BD1089" s="7">
        <f t="shared" si="216"/>
        <v>4.6799899999998615</v>
      </c>
      <c r="BE1089" s="7">
        <f t="shared" si="217"/>
        <v>4.6800099999998608</v>
      </c>
      <c r="BF1089" s="7">
        <f t="shared" si="218"/>
        <v>0.99956623595335692</v>
      </c>
      <c r="BG1089" s="7">
        <f t="shared" si="219"/>
        <v>0.99956624913811387</v>
      </c>
      <c r="BH1089" s="7" t="e">
        <f t="shared" si="220"/>
        <v>#N/A</v>
      </c>
      <c r="BI1089" s="7">
        <f t="shared" si="224"/>
        <v>6.99623414327494E-6</v>
      </c>
      <c r="BJ1089" s="7">
        <f t="shared" si="221"/>
        <v>-9.9300376585672516E-4</v>
      </c>
      <c r="BK1089" s="7" t="e">
        <f t="shared" si="225"/>
        <v>#N/A</v>
      </c>
      <c r="BL1089" s="7" t="e">
        <f t="shared" si="222"/>
        <v>#N/A</v>
      </c>
    </row>
    <row r="1090" spans="52:64" ht="11.25" customHeight="1">
      <c r="AZ1090" s="7">
        <f t="shared" si="213"/>
        <v>0.99999863397465782</v>
      </c>
      <c r="BA1090" s="7">
        <f t="shared" si="223"/>
        <v>4.6899999999998609</v>
      </c>
      <c r="BB1090" s="7">
        <f t="shared" si="214"/>
        <v>6.6760201546118248E-6</v>
      </c>
      <c r="BC1090" s="7" t="e">
        <f t="shared" si="215"/>
        <v>#N/A</v>
      </c>
      <c r="BD1090" s="7">
        <f t="shared" si="216"/>
        <v>4.6899899999998613</v>
      </c>
      <c r="BE1090" s="7">
        <f t="shared" si="217"/>
        <v>4.6900099999998606</v>
      </c>
      <c r="BF1090" s="7">
        <f t="shared" si="218"/>
        <v>0.99957277554652446</v>
      </c>
      <c r="BG1090" s="7">
        <f t="shared" si="219"/>
        <v>0.9995727885203135</v>
      </c>
      <c r="BH1090" s="7" t="e">
        <f t="shared" si="220"/>
        <v>#N/A</v>
      </c>
      <c r="BI1090" s="7">
        <f t="shared" si="224"/>
        <v>6.6760201546118248E-6</v>
      </c>
      <c r="BJ1090" s="7">
        <f t="shared" si="221"/>
        <v>-9.9332397984538815E-4</v>
      </c>
      <c r="BK1090" s="7" t="e">
        <f t="shared" si="225"/>
        <v>#N/A</v>
      </c>
      <c r="BL1090" s="7" t="e">
        <f t="shared" si="222"/>
        <v>#N/A</v>
      </c>
    </row>
    <row r="1091" spans="52:64" ht="11.25" customHeight="1">
      <c r="AZ1091" s="7">
        <f t="shared" si="213"/>
        <v>0.99999869919245044</v>
      </c>
      <c r="BA1091" s="7">
        <f t="shared" si="223"/>
        <v>4.6999999999998607</v>
      </c>
      <c r="BB1091" s="7">
        <f t="shared" si="214"/>
        <v>6.3698251788712641E-6</v>
      </c>
      <c r="BC1091" s="7" t="e">
        <f t="shared" si="215"/>
        <v>#N/A</v>
      </c>
      <c r="BD1091" s="7">
        <f t="shared" si="216"/>
        <v>4.6999899999998611</v>
      </c>
      <c r="BE1091" s="7">
        <f t="shared" si="217"/>
        <v>4.7000099999998604</v>
      </c>
      <c r="BF1091" s="7">
        <f t="shared" si="218"/>
        <v>0.99957921054168208</v>
      </c>
      <c r="BG1091" s="7">
        <f t="shared" si="219"/>
        <v>0.99957922330804361</v>
      </c>
      <c r="BH1091" s="7" t="e">
        <f t="shared" si="220"/>
        <v>#N/A</v>
      </c>
      <c r="BI1091" s="7">
        <f t="shared" si="224"/>
        <v>6.3698251788712641E-6</v>
      </c>
      <c r="BJ1091" s="7">
        <f t="shared" si="221"/>
        <v>-9.9363017482112883E-4</v>
      </c>
      <c r="BK1091" s="7" t="e">
        <f t="shared" si="225"/>
        <v>#N/A</v>
      </c>
      <c r="BL1091" s="7" t="e">
        <f t="shared" si="222"/>
        <v>#N/A</v>
      </c>
    </row>
    <row r="1092" spans="52:64" ht="11.25" customHeight="1">
      <c r="AZ1092" s="7">
        <f t="shared" si="213"/>
        <v>0.99999876141594402</v>
      </c>
      <c r="BA1092" s="7">
        <f t="shared" si="223"/>
        <v>4.7099999999998605</v>
      </c>
      <c r="BB1092" s="7">
        <f t="shared" si="214"/>
        <v>6.0770660671151089E-6</v>
      </c>
      <c r="BC1092" s="7" t="e">
        <f t="shared" si="215"/>
        <v>#N/A</v>
      </c>
      <c r="BD1092" s="7">
        <f t="shared" si="216"/>
        <v>4.7099899999998609</v>
      </c>
      <c r="BE1092" s="7">
        <f t="shared" si="217"/>
        <v>4.7100099999998601</v>
      </c>
      <c r="BF1092" s="7">
        <f t="shared" si="218"/>
        <v>0.99958554269352773</v>
      </c>
      <c r="BG1092" s="7">
        <f t="shared" si="219"/>
        <v>0.99958555525594039</v>
      </c>
      <c r="BH1092" s="7" t="e">
        <f t="shared" si="220"/>
        <v>#N/A</v>
      </c>
      <c r="BI1092" s="7">
        <f t="shared" si="224"/>
        <v>6.0770660671151089E-6</v>
      </c>
      <c r="BJ1092" s="7">
        <f t="shared" si="221"/>
        <v>-9.9392293393288497E-4</v>
      </c>
      <c r="BK1092" s="7" t="e">
        <f t="shared" si="225"/>
        <v>#N/A</v>
      </c>
      <c r="BL1092" s="7" t="e">
        <f t="shared" si="222"/>
        <v>#N/A</v>
      </c>
    </row>
    <row r="1093" spans="52:64" ht="11.25" customHeight="1">
      <c r="AZ1093" s="7">
        <f t="shared" si="213"/>
        <v>0.9999988207767343</v>
      </c>
      <c r="BA1093" s="7">
        <f t="shared" si="223"/>
        <v>4.7199999999998603</v>
      </c>
      <c r="BB1093" s="7">
        <f t="shared" si="214"/>
        <v>5.7971825063611071E-6</v>
      </c>
      <c r="BC1093" s="7" t="e">
        <f t="shared" si="215"/>
        <v>#N/A</v>
      </c>
      <c r="BD1093" s="7">
        <f t="shared" si="216"/>
        <v>4.7199899999998607</v>
      </c>
      <c r="BE1093" s="7">
        <f t="shared" si="217"/>
        <v>4.7200099999998599</v>
      </c>
      <c r="BF1093" s="7">
        <f t="shared" si="218"/>
        <v>0.99959177372623731</v>
      </c>
      <c r="BG1093" s="7">
        <f t="shared" si="219"/>
        <v>0.99959178608811916</v>
      </c>
      <c r="BH1093" s="7" t="e">
        <f t="shared" si="220"/>
        <v>#N/A</v>
      </c>
      <c r="BI1093" s="7">
        <f t="shared" si="224"/>
        <v>5.7971825063611071E-6</v>
      </c>
      <c r="BJ1093" s="7">
        <f t="shared" si="221"/>
        <v>-9.9420281749363899E-4</v>
      </c>
      <c r="BK1093" s="7" t="e">
        <f t="shared" si="225"/>
        <v>#N/A</v>
      </c>
      <c r="BL1093" s="7" t="e">
        <f t="shared" si="222"/>
        <v>#N/A</v>
      </c>
    </row>
    <row r="1094" spans="52:64" ht="11.25" customHeight="1">
      <c r="AZ1094" s="7">
        <f t="shared" si="213"/>
        <v>0.9999988774009142</v>
      </c>
      <c r="BA1094" s="7">
        <f t="shared" si="223"/>
        <v>4.7299999999998601</v>
      </c>
      <c r="BB1094" s="7">
        <f t="shared" si="214"/>
        <v>5.5296361889877251E-6</v>
      </c>
      <c r="BC1094" s="7" t="e">
        <f t="shared" si="215"/>
        <v>#N/A</v>
      </c>
      <c r="BD1094" s="7">
        <f t="shared" si="216"/>
        <v>4.7299899999998605</v>
      </c>
      <c r="BE1094" s="7">
        <f t="shared" si="217"/>
        <v>4.7300099999998597</v>
      </c>
      <c r="BF1094" s="7">
        <f t="shared" si="218"/>
        <v>0.99959790533400861</v>
      </c>
      <c r="BG1094" s="7">
        <f t="shared" si="219"/>
        <v>0.9995979174987184</v>
      </c>
      <c r="BH1094" s="7" t="e">
        <f t="shared" si="220"/>
        <v>#N/A</v>
      </c>
      <c r="BI1094" s="7">
        <f t="shared" si="224"/>
        <v>5.5296361889877251E-6</v>
      </c>
      <c r="BJ1094" s="7">
        <f t="shared" si="221"/>
        <v>-9.9447036381101225E-4</v>
      </c>
      <c r="BK1094" s="7" t="e">
        <f t="shared" si="225"/>
        <v>#N/A</v>
      </c>
      <c r="BL1094" s="7" t="e">
        <f t="shared" si="222"/>
        <v>#N/A</v>
      </c>
    </row>
    <row r="1095" spans="52:64" ht="11.25" customHeight="1">
      <c r="AZ1095" s="7">
        <f t="shared" si="213"/>
        <v>0.99999893140889595</v>
      </c>
      <c r="BA1095" s="7">
        <f t="shared" si="223"/>
        <v>4.7399999999998599</v>
      </c>
      <c r="BB1095" s="7">
        <f t="shared" si="214"/>
        <v>5.2739100096048067E-6</v>
      </c>
      <c r="BC1095" s="7" t="e">
        <f t="shared" si="215"/>
        <v>#N/A</v>
      </c>
      <c r="BD1095" s="7">
        <f t="shared" si="216"/>
        <v>4.7399899999998603</v>
      </c>
      <c r="BE1095" s="7">
        <f t="shared" si="217"/>
        <v>4.7400099999998595</v>
      </c>
      <c r="BF1095" s="7">
        <f t="shared" si="218"/>
        <v>0.9996039391815954</v>
      </c>
      <c r="BG1095" s="7">
        <f t="shared" si="219"/>
        <v>0.9996039511524335</v>
      </c>
      <c r="BH1095" s="7" t="e">
        <f t="shared" si="220"/>
        <v>#N/A</v>
      </c>
      <c r="BI1095" s="7">
        <f t="shared" si="224"/>
        <v>5.2739100096048067E-6</v>
      </c>
      <c r="BJ1095" s="7">
        <f t="shared" si="221"/>
        <v>-9.9472608999039516E-4</v>
      </c>
      <c r="BK1095" s="7" t="e">
        <f t="shared" si="225"/>
        <v>#N/A</v>
      </c>
      <c r="BL1095" s="7" t="e">
        <f t="shared" si="222"/>
        <v>#N/A</v>
      </c>
    </row>
    <row r="1096" spans="52:64" ht="11.25" customHeight="1">
      <c r="AZ1096" s="7">
        <f t="shared" si="213"/>
        <v>0.99999898291664968</v>
      </c>
      <c r="BA1096" s="7">
        <f t="shared" si="223"/>
        <v>4.7499999999998597</v>
      </c>
      <c r="BB1096" s="7">
        <f t="shared" si="214"/>
        <v>5.0295072885957954E-6</v>
      </c>
      <c r="BC1096" s="7" t="e">
        <f t="shared" si="215"/>
        <v>#N/A</v>
      </c>
      <c r="BD1096" s="7">
        <f t="shared" si="216"/>
        <v>4.74998999999986</v>
      </c>
      <c r="BE1096" s="7">
        <f t="shared" si="217"/>
        <v>4.7500099999998593</v>
      </c>
      <c r="BF1096" s="7">
        <f t="shared" si="218"/>
        <v>0.99960987690483127</v>
      </c>
      <c r="BG1096" s="7">
        <f t="shared" si="219"/>
        <v>0.99960988868504064</v>
      </c>
      <c r="BH1096" s="7" t="e">
        <f t="shared" si="220"/>
        <v>#N/A</v>
      </c>
      <c r="BI1096" s="7">
        <f t="shared" si="224"/>
        <v>5.0295072885957954E-6</v>
      </c>
      <c r="BJ1096" s="7">
        <f t="shared" si="221"/>
        <v>-9.949704927114042E-4</v>
      </c>
      <c r="BK1096" s="7" t="e">
        <f t="shared" si="225"/>
        <v>#N/A</v>
      </c>
      <c r="BL1096" s="7" t="e">
        <f t="shared" si="222"/>
        <v>#N/A</v>
      </c>
    </row>
    <row r="1097" spans="52:64" ht="11.25" customHeight="1">
      <c r="AZ1097" s="7">
        <f t="shared" si="213"/>
        <v>0.99999903203511509</v>
      </c>
      <c r="BA1097" s="7">
        <f t="shared" si="223"/>
        <v>4.7599999999998595</v>
      </c>
      <c r="BB1097" s="7">
        <f t="shared" si="214"/>
        <v>4.7959510215557243E-6</v>
      </c>
      <c r="BC1097" s="7" t="e">
        <f t="shared" si="215"/>
        <v>#N/A</v>
      </c>
      <c r="BD1097" s="7">
        <f t="shared" si="216"/>
        <v>4.7599899999998598</v>
      </c>
      <c r="BE1097" s="7">
        <f t="shared" si="217"/>
        <v>4.7600099999998591</v>
      </c>
      <c r="BF1097" s="7">
        <f t="shared" si="218"/>
        <v>0.99961572011114463</v>
      </c>
      <c r="BG1097" s="7">
        <f t="shared" si="219"/>
        <v>0.99961573170391216</v>
      </c>
      <c r="BH1097" s="7" t="e">
        <f t="shared" si="220"/>
        <v>#N/A</v>
      </c>
      <c r="BI1097" s="7">
        <f t="shared" si="224"/>
        <v>4.7959510215557243E-6</v>
      </c>
      <c r="BJ1097" s="7">
        <f t="shared" si="221"/>
        <v>-9.9520404897844431E-4</v>
      </c>
      <c r="BK1097" s="7" t="e">
        <f t="shared" si="225"/>
        <v>#N/A</v>
      </c>
      <c r="BL1097" s="7" t="e">
        <f t="shared" si="222"/>
        <v>#N/A</v>
      </c>
    </row>
    <row r="1098" spans="52:64" ht="11.25" customHeight="1">
      <c r="AZ1098" s="7">
        <f t="shared" si="213"/>
        <v>0.99999907887027994</v>
      </c>
      <c r="BA1098" s="7">
        <f t="shared" si="223"/>
        <v>4.7699999999998592</v>
      </c>
      <c r="BB1098" s="7">
        <f t="shared" si="214"/>
        <v>4.5727831538672066E-6</v>
      </c>
      <c r="BC1098" s="7" t="e">
        <f t="shared" si="215"/>
        <v>#N/A</v>
      </c>
      <c r="BD1098" s="7">
        <f t="shared" si="216"/>
        <v>4.7699899999998596</v>
      </c>
      <c r="BE1098" s="7">
        <f t="shared" si="217"/>
        <v>4.7700099999998589</v>
      </c>
      <c r="BF1098" s="7">
        <f t="shared" si="218"/>
        <v>0.99962147038006466</v>
      </c>
      <c r="BG1098" s="7">
        <f t="shared" si="219"/>
        <v>0.99962148178852162</v>
      </c>
      <c r="BH1098" s="7" t="e">
        <f t="shared" si="220"/>
        <v>#N/A</v>
      </c>
      <c r="BI1098" s="7">
        <f t="shared" si="224"/>
        <v>4.5727831538672066E-6</v>
      </c>
      <c r="BJ1098" s="7">
        <f t="shared" si="221"/>
        <v>-9.9542721684613275E-4</v>
      </c>
      <c r="BK1098" s="7" t="e">
        <f t="shared" si="225"/>
        <v>#N/A</v>
      </c>
      <c r="BL1098" s="7" t="e">
        <f t="shared" si="222"/>
        <v>#N/A</v>
      </c>
    </row>
    <row r="1099" spans="52:64" ht="11.25" customHeight="1">
      <c r="AZ1099" s="7">
        <f t="shared" si="213"/>
        <v>0.99999912352410758</v>
      </c>
      <c r="BA1099" s="7">
        <f t="shared" si="223"/>
        <v>4.779999999999859</v>
      </c>
      <c r="BB1099" s="7">
        <f t="shared" si="214"/>
        <v>4.3595638796745784E-6</v>
      </c>
      <c r="BC1099" s="7" t="e">
        <f t="shared" si="215"/>
        <v>#N/A</v>
      </c>
      <c r="BD1099" s="7">
        <f t="shared" si="216"/>
        <v>4.7799899999998594</v>
      </c>
      <c r="BE1099" s="7">
        <f t="shared" si="217"/>
        <v>4.7800099999998586</v>
      </c>
      <c r="BF1099" s="7">
        <f t="shared" si="218"/>
        <v>0.99962712926371711</v>
      </c>
      <c r="BG1099" s="7">
        <f t="shared" si="219"/>
        <v>0.9996271404909407</v>
      </c>
      <c r="BH1099" s="7" t="e">
        <f t="shared" si="220"/>
        <v>#N/A</v>
      </c>
      <c r="BI1099" s="7">
        <f t="shared" si="224"/>
        <v>4.3595638796745784E-6</v>
      </c>
      <c r="BJ1099" s="7">
        <f t="shared" si="221"/>
        <v>-9.9564043612032551E-4</v>
      </c>
      <c r="BK1099" s="7" t="e">
        <f t="shared" si="225"/>
        <v>#N/A</v>
      </c>
      <c r="BL1099" s="7" t="e">
        <f t="shared" si="222"/>
        <v>#N/A</v>
      </c>
    </row>
    <row r="1100" spans="52:64" ht="11.25" customHeight="1">
      <c r="AZ1100" s="7">
        <f t="shared" si="213"/>
        <v>0.99999916609336426</v>
      </c>
      <c r="BA1100" s="7">
        <f t="shared" si="223"/>
        <v>4.7899999999998588</v>
      </c>
      <c r="BB1100" s="7">
        <f t="shared" si="214"/>
        <v>4.1558709645340056E-6</v>
      </c>
      <c r="BC1100" s="7" t="e">
        <f t="shared" si="215"/>
        <v>#N/A</v>
      </c>
      <c r="BD1100" s="7">
        <f t="shared" si="216"/>
        <v>4.7899899999998592</v>
      </c>
      <c r="BE1100" s="7">
        <f t="shared" si="217"/>
        <v>4.7900099999998584</v>
      </c>
      <c r="BF1100" s="7">
        <f t="shared" si="218"/>
        <v>0.9996326982873126</v>
      </c>
      <c r="BG1100" s="7">
        <f t="shared" si="219"/>
        <v>0.99963270933632653</v>
      </c>
      <c r="BH1100" s="7" t="e">
        <f t="shared" si="220"/>
        <v>#N/A</v>
      </c>
      <c r="BI1100" s="7">
        <f t="shared" si="224"/>
        <v>4.1558709645340056E-6</v>
      </c>
      <c r="BJ1100" s="7">
        <f t="shared" si="221"/>
        <v>-9.9584412903546598E-4</v>
      </c>
      <c r="BK1100" s="7" t="e">
        <f t="shared" si="225"/>
        <v>#N/A</v>
      </c>
      <c r="BL1100" s="7" t="e">
        <f t="shared" si="222"/>
        <v>#N/A</v>
      </c>
    </row>
    <row r="1101" spans="52:64" ht="11.25" customHeight="1">
      <c r="AZ1101" s="7">
        <f t="shared" si="213"/>
        <v>0.9999992066718314</v>
      </c>
      <c r="BA1101" s="7">
        <f t="shared" si="223"/>
        <v>4.7999999999998586</v>
      </c>
      <c r="BB1101" s="7">
        <f t="shared" si="214"/>
        <v>3.9612990910347629E-6</v>
      </c>
      <c r="BC1101" s="7" t="e">
        <f t="shared" si="215"/>
        <v>#N/A</v>
      </c>
      <c r="BD1101" s="7">
        <f t="shared" si="216"/>
        <v>4.799989999999859</v>
      </c>
      <c r="BE1101" s="7">
        <f t="shared" si="217"/>
        <v>4.8000099999998582</v>
      </c>
      <c r="BF1101" s="7">
        <f t="shared" si="218"/>
        <v>0.99963817894962481</v>
      </c>
      <c r="BG1101" s="7">
        <f t="shared" si="219"/>
        <v>0.99963818982340058</v>
      </c>
      <c r="BH1101" s="7" t="e">
        <f t="shared" si="220"/>
        <v>#N/A</v>
      </c>
      <c r="BI1101" s="7">
        <f t="shared" si="224"/>
        <v>3.9612990910347629E-6</v>
      </c>
      <c r="BJ1101" s="7">
        <f t="shared" si="221"/>
        <v>-9.9603870090896529E-4</v>
      </c>
      <c r="BK1101" s="7" t="e">
        <f t="shared" si="225"/>
        <v>#N/A</v>
      </c>
      <c r="BL1101" s="7" t="e">
        <f t="shared" si="222"/>
        <v>#N/A</v>
      </c>
    </row>
    <row r="1102" spans="52:64" ht="11.25" customHeight="1">
      <c r="AZ1102" s="7">
        <f t="shared" si="213"/>
        <v>0.9999992453484654</v>
      </c>
      <c r="BA1102" s="7">
        <f t="shared" si="223"/>
        <v>4.8099999999998584</v>
      </c>
      <c r="BB1102" s="7">
        <f t="shared" si="214"/>
        <v>3.7754592267039096E-6</v>
      </c>
      <c r="BC1102" s="7" t="e">
        <f t="shared" si="215"/>
        <v>#N/A</v>
      </c>
      <c r="BD1102" s="7">
        <f t="shared" si="216"/>
        <v>4.8099899999998588</v>
      </c>
      <c r="BE1102" s="7">
        <f t="shared" si="217"/>
        <v>4.810009999999858</v>
      </c>
      <c r="BF1102" s="7">
        <f t="shared" si="218"/>
        <v>0.99964357272346116</v>
      </c>
      <c r="BG1102" s="7">
        <f t="shared" si="219"/>
        <v>0.99964358342491866</v>
      </c>
      <c r="BH1102" s="7" t="e">
        <f t="shared" si="220"/>
        <v>#N/A</v>
      </c>
      <c r="BI1102" s="7">
        <f t="shared" si="224"/>
        <v>3.7754592267039096E-6</v>
      </c>
      <c r="BJ1102" s="7">
        <f t="shared" si="221"/>
        <v>-9.9622454077329613E-4</v>
      </c>
      <c r="BK1102" s="7" t="e">
        <f t="shared" si="225"/>
        <v>#N/A</v>
      </c>
      <c r="BL1102" s="7" t="e">
        <f t="shared" si="222"/>
        <v>#N/A</v>
      </c>
    </row>
    <row r="1103" spans="52:64" ht="11.25" customHeight="1">
      <c r="AZ1103" s="7">
        <f t="shared" si="213"/>
        <v>0.99999928220882539</v>
      </c>
      <c r="BA1103" s="7">
        <f t="shared" si="223"/>
        <v>4.8199999999998582</v>
      </c>
      <c r="BB1103" s="7">
        <f t="shared" si="214"/>
        <v>3.5979780135237076E-6</v>
      </c>
      <c r="BC1103" s="7" t="e">
        <f t="shared" si="215"/>
        <v>#N/A</v>
      </c>
      <c r="BD1103" s="7">
        <f t="shared" si="216"/>
        <v>4.8199899999998586</v>
      </c>
      <c r="BE1103" s="7">
        <f t="shared" si="217"/>
        <v>4.8200099999998578</v>
      </c>
      <c r="BF1103" s="7">
        <f t="shared" si="218"/>
        <v>0.99964888105612437</v>
      </c>
      <c r="BG1103" s="7">
        <f t="shared" si="219"/>
        <v>0.99964889158813275</v>
      </c>
      <c r="BH1103" s="7" t="e">
        <f t="shared" si="220"/>
        <v>#N/A</v>
      </c>
      <c r="BI1103" s="7">
        <f t="shared" si="224"/>
        <v>3.5979780135237076E-6</v>
      </c>
      <c r="BJ1103" s="7">
        <f t="shared" si="221"/>
        <v>-9.9640202198647641E-4</v>
      </c>
      <c r="BK1103" s="7" t="e">
        <f t="shared" si="225"/>
        <v>#N/A</v>
      </c>
      <c r="BL1103" s="7" t="e">
        <f t="shared" si="222"/>
        <v>#N/A</v>
      </c>
    </row>
    <row r="1104" spans="52:64" ht="11.25" customHeight="1">
      <c r="AZ1104" s="7">
        <f t="shared" si="213"/>
        <v>0.99999931733462755</v>
      </c>
      <c r="BA1104" s="7">
        <f t="shared" si="223"/>
        <v>4.829999999999858</v>
      </c>
      <c r="BB1104" s="7">
        <f t="shared" si="214"/>
        <v>3.4284971784073898E-6</v>
      </c>
      <c r="BC1104" s="7" t="e">
        <f t="shared" si="215"/>
        <v>#N/A</v>
      </c>
      <c r="BD1104" s="7">
        <f t="shared" si="216"/>
        <v>4.8299899999998583</v>
      </c>
      <c r="BE1104" s="7">
        <f t="shared" si="217"/>
        <v>4.8300099999998576</v>
      </c>
      <c r="BF1104" s="7">
        <f t="shared" si="218"/>
        <v>0.99965410536986554</v>
      </c>
      <c r="BG1104" s="7">
        <f t="shared" si="219"/>
        <v>0.99965411573524476</v>
      </c>
      <c r="BH1104" s="7" t="e">
        <f t="shared" si="220"/>
        <v>#N/A</v>
      </c>
      <c r="BI1104" s="7">
        <f t="shared" si="224"/>
        <v>3.4284971784073898E-6</v>
      </c>
      <c r="BJ1104" s="7">
        <f t="shared" si="221"/>
        <v>-9.9657150282159265E-4</v>
      </c>
      <c r="BK1104" s="7" t="e">
        <f t="shared" si="225"/>
        <v>#N/A</v>
      </c>
      <c r="BL1104" s="7" t="e">
        <f t="shared" si="222"/>
        <v>#N/A</v>
      </c>
    </row>
    <row r="1105" spans="52:64" ht="11.25" customHeight="1">
      <c r="AZ1105" s="7">
        <f t="shared" si="213"/>
        <v>0.99999935080445168</v>
      </c>
      <c r="BA1105" s="7">
        <f t="shared" si="223"/>
        <v>4.8399999999998577</v>
      </c>
      <c r="BB1105" s="7">
        <f t="shared" si="214"/>
        <v>3.2666729639955198E-6</v>
      </c>
      <c r="BC1105" s="7" t="e">
        <f t="shared" si="215"/>
        <v>#N/A</v>
      </c>
      <c r="BD1105" s="7">
        <f t="shared" si="216"/>
        <v>4.8399899999998581</v>
      </c>
      <c r="BE1105" s="7">
        <f t="shared" si="217"/>
        <v>4.8400099999998574</v>
      </c>
      <c r="BF1105" s="7">
        <f t="shared" si="218"/>
        <v>0.99965924706233023</v>
      </c>
      <c r="BG1105" s="7">
        <f t="shared" si="219"/>
        <v>0.99965925726385108</v>
      </c>
      <c r="BH1105" s="7" t="e">
        <f t="shared" si="220"/>
        <v>#N/A</v>
      </c>
      <c r="BI1105" s="7">
        <f t="shared" si="224"/>
        <v>3.2666729639955198E-6</v>
      </c>
      <c r="BJ1105" s="7">
        <f t="shared" si="221"/>
        <v>-9.9673332703600448E-4</v>
      </c>
      <c r="BK1105" s="7" t="e">
        <f t="shared" si="225"/>
        <v>#N/A</v>
      </c>
      <c r="BL1105" s="7" t="e">
        <f t="shared" si="222"/>
        <v>#N/A</v>
      </c>
    </row>
    <row r="1106" spans="52:64" ht="11.25" customHeight="1">
      <c r="AZ1106" s="7">
        <f t="shared" si="213"/>
        <v>0.99999938269242261</v>
      </c>
      <c r="BA1106" s="7">
        <f t="shared" si="223"/>
        <v>4.8499999999998575</v>
      </c>
      <c r="BB1106" s="7">
        <f t="shared" si="214"/>
        <v>3.1121755791510891E-6</v>
      </c>
      <c r="BC1106" s="7" t="e">
        <f t="shared" si="215"/>
        <v>#N/A</v>
      </c>
      <c r="BD1106" s="7">
        <f t="shared" si="216"/>
        <v>4.8499899999998579</v>
      </c>
      <c r="BE1106" s="7">
        <f t="shared" si="217"/>
        <v>4.8500099999998572</v>
      </c>
      <c r="BF1106" s="7">
        <f t="shared" si="218"/>
        <v>0.99966430750699486</v>
      </c>
      <c r="BG1106" s="7">
        <f t="shared" si="219"/>
        <v>0.99966431754738039</v>
      </c>
      <c r="BH1106" s="7" t="e">
        <f t="shared" si="220"/>
        <v>#N/A</v>
      </c>
      <c r="BI1106" s="7">
        <f t="shared" si="224"/>
        <v>3.1121755791510891E-6</v>
      </c>
      <c r="BJ1106" s="7">
        <f t="shared" si="221"/>
        <v>-9.9688782442084898E-4</v>
      </c>
      <c r="BK1106" s="7" t="e">
        <f t="shared" si="225"/>
        <v>#N/A</v>
      </c>
      <c r="BL1106" s="7" t="e">
        <f t="shared" si="222"/>
        <v>#N/A</v>
      </c>
    </row>
    <row r="1107" spans="52:64" ht="11.25" customHeight="1">
      <c r="AZ1107" s="7">
        <f t="shared" si="213"/>
        <v>0.99999941307111639</v>
      </c>
      <c r="BA1107" s="7">
        <f t="shared" si="223"/>
        <v>4.8599999999998573</v>
      </c>
      <c r="BB1107" s="7">
        <f t="shared" si="214"/>
        <v>2.9646886685473312E-6</v>
      </c>
      <c r="BC1107" s="7" t="e">
        <f t="shared" si="215"/>
        <v>#N/A</v>
      </c>
      <c r="BD1107" s="7">
        <f t="shared" si="216"/>
        <v>4.8599899999998577</v>
      </c>
      <c r="BE1107" s="7">
        <f t="shared" si="217"/>
        <v>4.8600099999998569</v>
      </c>
      <c r="BF1107" s="7">
        <f t="shared" si="218"/>
        <v>0.99966928805359667</v>
      </c>
      <c r="BG1107" s="7">
        <f t="shared" si="219"/>
        <v>0.99966929793552284</v>
      </c>
      <c r="BH1107" s="7" t="e">
        <f t="shared" si="220"/>
        <v>#N/A</v>
      </c>
      <c r="BI1107" s="7">
        <f t="shared" si="224"/>
        <v>2.9646886685473312E-6</v>
      </c>
      <c r="BJ1107" s="7">
        <f t="shared" si="221"/>
        <v>-9.9703531133145265E-4</v>
      </c>
      <c r="BK1107" s="7" t="e">
        <f t="shared" si="225"/>
        <v>#N/A</v>
      </c>
      <c r="BL1107" s="7" t="e">
        <f t="shared" si="222"/>
        <v>#N/A</v>
      </c>
    </row>
    <row r="1108" spans="52:64" ht="11.25" customHeight="1">
      <c r="AZ1108" s="7">
        <f t="shared" si="213"/>
        <v>0.99999944200860513</v>
      </c>
      <c r="BA1108" s="7">
        <f t="shared" si="223"/>
        <v>4.8699999999998571</v>
      </c>
      <c r="BB1108" s="7">
        <f t="shared" si="214"/>
        <v>2.8239088007577869E-6</v>
      </c>
      <c r="BC1108" s="7" t="e">
        <f t="shared" si="215"/>
        <v>#N/A</v>
      </c>
      <c r="BD1108" s="7">
        <f t="shared" si="216"/>
        <v>4.8699899999998575</v>
      </c>
      <c r="BE1108" s="7">
        <f t="shared" si="217"/>
        <v>4.8700099999998567</v>
      </c>
      <c r="BF1108" s="7">
        <f t="shared" si="218"/>
        <v>0.99967419002855518</v>
      </c>
      <c r="BG1108" s="7">
        <f t="shared" si="219"/>
        <v>0.99967419975465177</v>
      </c>
      <c r="BH1108" s="7" t="e">
        <f t="shared" si="220"/>
        <v>#N/A</v>
      </c>
      <c r="BI1108" s="7">
        <f t="shared" si="224"/>
        <v>2.8239088007577869E-6</v>
      </c>
      <c r="BJ1108" s="7">
        <f t="shared" si="221"/>
        <v>-9.9717609119924218E-4</v>
      </c>
      <c r="BK1108" s="7" t="e">
        <f t="shared" si="225"/>
        <v>#N/A</v>
      </c>
      <c r="BL1108" s="7" t="e">
        <f t="shared" si="222"/>
        <v>#N/A</v>
      </c>
    </row>
    <row r="1109" spans="52:64" ht="11.25" customHeight="1">
      <c r="AZ1109" s="7">
        <f t="shared" ref="AZ1109:AZ1172" si="226">NORMDIST(BA1109,$BA$17,$BA$18,TRUE)</f>
        <v>0.99999946957044794</v>
      </c>
      <c r="BA1109" s="7">
        <f t="shared" si="223"/>
        <v>4.8799999999998569</v>
      </c>
      <c r="BB1109" s="7">
        <f t="shared" ref="BB1109:BB1172" si="227">IF($BA$13=1,NORMDIST(BA1109,$BA$17,$BA$18,FALSE),NA())</f>
        <v>2.6895449742734008E-6</v>
      </c>
      <c r="BC1109" s="7" t="e">
        <f t="shared" ref="BC1109:BC1172" si="228">IF($BA$13=3,NORMDIST(BA1109,$BA$17,$BA$18,FALSE),NA())</f>
        <v>#N/A</v>
      </c>
      <c r="BD1109" s="7">
        <f t="shared" ref="BD1109:BD1172" si="229">BA1109-$BD$19</f>
        <v>4.8799899999998573</v>
      </c>
      <c r="BE1109" s="7">
        <f t="shared" ref="BE1109:BE1172" si="230">BA1109+$BD$19</f>
        <v>4.8800099999998565</v>
      </c>
      <c r="BF1109" s="7">
        <f t="shared" ref="BF1109:BF1172" si="231">IF(BD1109&lt;0,TDIST(-BD1109,$BA$14,1),1-TDIST(BD1109,$BA$14,1))</f>
        <v>0.99967901473538623</v>
      </c>
      <c r="BG1109" s="7">
        <f t="shared" ref="BG1109:BG1172" si="232">IF(BE1109&lt;0,TDIST(-BE1109,$BA$14,1),1-TDIST(BE1109,$BA$14,1))</f>
        <v>0.99967902430823752</v>
      </c>
      <c r="BH1109" s="7" t="e">
        <f t="shared" ref="BH1109:BH1172" si="233">IF($BA$13&gt;1,(BG1109-BF1109)/(2*$BD$19),NA())</f>
        <v>#N/A</v>
      </c>
      <c r="BI1109" s="7">
        <f t="shared" si="224"/>
        <v>2.6895449742734008E-6</v>
      </c>
      <c r="BJ1109" s="7">
        <f t="shared" ref="BJ1109:BJ1172" si="234">IF(ISNUMBER(BI1109),BI1109-$BJ$19,NA())</f>
        <v>-9.9731045502572668E-4</v>
      </c>
      <c r="BK1109" s="7" t="e">
        <f t="shared" si="225"/>
        <v>#N/A</v>
      </c>
      <c r="BL1109" s="7" t="e">
        <f t="shared" ref="BL1109:BL1172" si="235">IF(ISNUMBER(BK1109),BK1109-$BL$19,NA())</f>
        <v>#N/A</v>
      </c>
    </row>
    <row r="1110" spans="52:64" ht="11.25" customHeight="1">
      <c r="AZ1110" s="7">
        <f t="shared" si="226"/>
        <v>0.99999949582014347</v>
      </c>
      <c r="BA1110" s="7">
        <f t="shared" ref="BA1110:BA1173" si="236">BA1109+$BD$10</f>
        <v>4.8899999999998567</v>
      </c>
      <c r="BB1110" s="7">
        <f t="shared" si="227"/>
        <v>2.561318140886332E-6</v>
      </c>
      <c r="BC1110" s="7" t="e">
        <f t="shared" si="228"/>
        <v>#N/A</v>
      </c>
      <c r="BD1110" s="7">
        <f t="shared" si="229"/>
        <v>4.8899899999998571</v>
      </c>
      <c r="BE1110" s="7">
        <f t="shared" si="230"/>
        <v>4.8900099999998563</v>
      </c>
      <c r="BF1110" s="7">
        <f t="shared" si="231"/>
        <v>0.99968376345510845</v>
      </c>
      <c r="BG1110" s="7">
        <f t="shared" si="232"/>
        <v>0.9996837728772543</v>
      </c>
      <c r="BH1110" s="7" t="e">
        <f t="shared" si="233"/>
        <v>#N/A</v>
      </c>
      <c r="BI1110" s="7">
        <f t="shared" ref="BI1110:BI1173" si="237">IF($BA$15=1,IF(OR(AND(BA1110&gt;=$BI$18,$BN$18&gt;=0),AND(BA1110&lt;=-$BI$18,$BN$18&lt;0)),BB1110,NA()),IF($BA$15=2,IF(ABS(BA1110)&gt;=$BI$18,BB1110,NA()),NA()))</f>
        <v>2.561318140886332E-6</v>
      </c>
      <c r="BJ1110" s="7">
        <f t="shared" si="234"/>
        <v>-9.9743868185911367E-4</v>
      </c>
      <c r="BK1110" s="7" t="e">
        <f t="shared" ref="BK1110:BK1173" si="238">IF($BA$15=1,IF(OR(AND(BA1110&gt;=$BK$18,$BN$18&gt;=0),AND(BA1110&lt;=-$BK$18,$BN$18&lt;0)),BH1110,NA()),IF($BA$15=2,IF(ABS(BA1110)&gt;=$BK$18,BH1110,NA()),NA()))</f>
        <v>#N/A</v>
      </c>
      <c r="BL1110" s="7" t="e">
        <f t="shared" si="235"/>
        <v>#N/A</v>
      </c>
    </row>
    <row r="1111" spans="52:64" ht="11.25" customHeight="1">
      <c r="AZ1111" s="7">
        <f t="shared" si="226"/>
        <v>0.99999952081643317</v>
      </c>
      <c r="BA1111" s="7">
        <f t="shared" si="236"/>
        <v>4.8999999999998565</v>
      </c>
      <c r="BB1111" s="7">
        <f t="shared" si="227"/>
        <v>2.4389607458950721E-6</v>
      </c>
      <c r="BC1111" s="7" t="e">
        <f t="shared" si="228"/>
        <v>#N/A</v>
      </c>
      <c r="BD1111" s="7">
        <f t="shared" si="229"/>
        <v>4.8999899999998568</v>
      </c>
      <c r="BE1111" s="7">
        <f t="shared" si="230"/>
        <v>4.9000099999998561</v>
      </c>
      <c r="BF1111" s="7">
        <f t="shared" si="231"/>
        <v>0.99968843744664315</v>
      </c>
      <c r="BG1111" s="7">
        <f t="shared" si="232"/>
        <v>0.99968844672057955</v>
      </c>
      <c r="BH1111" s="7" t="e">
        <f t="shared" si="233"/>
        <v>#N/A</v>
      </c>
      <c r="BI1111" s="7">
        <f t="shared" si="237"/>
        <v>2.4389607458950721E-6</v>
      </c>
      <c r="BJ1111" s="7">
        <f t="shared" si="234"/>
        <v>-9.9756103925410485E-4</v>
      </c>
      <c r="BK1111" s="7" t="e">
        <f t="shared" si="238"/>
        <v>#N/A</v>
      </c>
      <c r="BL1111" s="7" t="e">
        <f t="shared" si="235"/>
        <v>#N/A</v>
      </c>
    </row>
    <row r="1112" spans="52:64" ht="11.25" customHeight="1">
      <c r="AZ1112" s="7">
        <f t="shared" si="226"/>
        <v>0.99999954461782203</v>
      </c>
      <c r="BA1112" s="7">
        <f t="shared" si="236"/>
        <v>4.9099999999998563</v>
      </c>
      <c r="BB1112" s="7">
        <f t="shared" si="227"/>
        <v>2.3222162845996347E-6</v>
      </c>
      <c r="BC1112" s="7" t="e">
        <f t="shared" si="228"/>
        <v>#N/A</v>
      </c>
      <c r="BD1112" s="7">
        <f t="shared" si="229"/>
        <v>4.9099899999998566</v>
      </c>
      <c r="BE1112" s="7">
        <f t="shared" si="230"/>
        <v>4.9100099999998559</v>
      </c>
      <c r="BF1112" s="7">
        <f t="shared" si="231"/>
        <v>0.99969303794720576</v>
      </c>
      <c r="BG1112" s="7">
        <f t="shared" si="232"/>
        <v>0.99969304707538542</v>
      </c>
      <c r="BH1112" s="7" t="e">
        <f t="shared" si="233"/>
        <v>#N/A</v>
      </c>
      <c r="BI1112" s="7">
        <f t="shared" si="237"/>
        <v>2.3222162845996347E-6</v>
      </c>
      <c r="BJ1112" s="7">
        <f t="shared" si="234"/>
        <v>-9.9767778371540028E-4</v>
      </c>
      <c r="BK1112" s="7" t="e">
        <f t="shared" si="238"/>
        <v>#N/A</v>
      </c>
      <c r="BL1112" s="7" t="e">
        <f t="shared" si="235"/>
        <v>#N/A</v>
      </c>
    </row>
    <row r="1113" spans="52:64" ht="11.25" customHeight="1">
      <c r="AZ1113" s="7">
        <f t="shared" si="226"/>
        <v>0.99999956727869099</v>
      </c>
      <c r="BA1113" s="7">
        <f t="shared" si="236"/>
        <v>4.919999999999856</v>
      </c>
      <c r="BB1113" s="7">
        <f t="shared" si="227"/>
        <v>2.210838874569984E-6</v>
      </c>
      <c r="BC1113" s="7" t="e">
        <f t="shared" si="228"/>
        <v>#N/A</v>
      </c>
      <c r="BD1113" s="7">
        <f t="shared" si="229"/>
        <v>4.9199899999998564</v>
      </c>
      <c r="BE1113" s="7">
        <f t="shared" si="230"/>
        <v>4.9200099999998557</v>
      </c>
      <c r="BF1113" s="7">
        <f t="shared" si="231"/>
        <v>0.9996975661726909</v>
      </c>
      <c r="BG1113" s="7">
        <f t="shared" si="232"/>
        <v>0.99969757515752478</v>
      </c>
      <c r="BH1113" s="7" t="e">
        <f t="shared" si="233"/>
        <v>#N/A</v>
      </c>
      <c r="BI1113" s="7">
        <f t="shared" si="237"/>
        <v>2.210838874569984E-6</v>
      </c>
      <c r="BJ1113" s="7">
        <f t="shared" si="234"/>
        <v>-9.9778916112543007E-4</v>
      </c>
      <c r="BK1113" s="7" t="e">
        <f t="shared" si="238"/>
        <v>#N/A</v>
      </c>
      <c r="BL1113" s="7" t="e">
        <f t="shared" si="235"/>
        <v>#N/A</v>
      </c>
    </row>
    <row r="1114" spans="52:64" ht="11.25" customHeight="1">
      <c r="AZ1114" s="7">
        <f t="shared" si="226"/>
        <v>0.99999958885177609</v>
      </c>
      <c r="BA1114" s="7">
        <f t="shared" si="236"/>
        <v>4.9299999999998558</v>
      </c>
      <c r="BB1114" s="7">
        <f t="shared" si="227"/>
        <v>2.1045928431846207E-6</v>
      </c>
      <c r="BC1114" s="7" t="e">
        <f t="shared" si="228"/>
        <v>#N/A</v>
      </c>
      <c r="BD1114" s="7">
        <f t="shared" si="229"/>
        <v>4.9299899999998562</v>
      </c>
      <c r="BE1114" s="7">
        <f t="shared" si="230"/>
        <v>4.9300099999998555</v>
      </c>
      <c r="BF1114" s="7">
        <f t="shared" si="231"/>
        <v>0.99970202331805114</v>
      </c>
      <c r="BG1114" s="7">
        <f t="shared" si="232"/>
        <v>0.99970203216190823</v>
      </c>
      <c r="BH1114" s="7" t="e">
        <f t="shared" si="233"/>
        <v>#N/A</v>
      </c>
      <c r="BI1114" s="7">
        <f t="shared" si="237"/>
        <v>2.1045928431846207E-6</v>
      </c>
      <c r="BJ1114" s="7">
        <f t="shared" si="234"/>
        <v>-9.9789540715681537E-4</v>
      </c>
      <c r="BK1114" s="7" t="e">
        <f t="shared" si="238"/>
        <v>#N/A</v>
      </c>
      <c r="BL1114" s="7" t="e">
        <f t="shared" si="235"/>
        <v>#N/A</v>
      </c>
    </row>
    <row r="1115" spans="52:64" ht="11.25" customHeight="1">
      <c r="AZ1115" s="7">
        <f t="shared" si="226"/>
        <v>0.9999996093871113</v>
      </c>
      <c r="BA1115" s="7">
        <f t="shared" si="236"/>
        <v>4.9399999999998556</v>
      </c>
      <c r="BB1115" s="7">
        <f t="shared" si="227"/>
        <v>2.003252329949923E-6</v>
      </c>
      <c r="BC1115" s="7" t="e">
        <f t="shared" si="228"/>
        <v>#N/A</v>
      </c>
      <c r="BD1115" s="7">
        <f t="shared" si="229"/>
        <v>4.939989999999856</v>
      </c>
      <c r="BE1115" s="7">
        <f t="shared" si="230"/>
        <v>4.9400099999998552</v>
      </c>
      <c r="BF1115" s="7">
        <f t="shared" si="231"/>
        <v>0.99970641055766762</v>
      </c>
      <c r="BG1115" s="7">
        <f t="shared" si="232"/>
        <v>0.9997064192628764</v>
      </c>
      <c r="BH1115" s="7" t="e">
        <f t="shared" si="233"/>
        <v>#N/A</v>
      </c>
      <c r="BI1115" s="7">
        <f t="shared" si="237"/>
        <v>2.003252329949923E-6</v>
      </c>
      <c r="BJ1115" s="7">
        <f t="shared" si="234"/>
        <v>-9.9799674767005013E-4</v>
      </c>
      <c r="BK1115" s="7" t="e">
        <f t="shared" si="238"/>
        <v>#N/A</v>
      </c>
      <c r="BL1115" s="7" t="e">
        <f t="shared" si="235"/>
        <v>#N/A</v>
      </c>
    </row>
    <row r="1116" spans="52:64" ht="11.25" customHeight="1">
      <c r="AZ1116" s="7">
        <f t="shared" si="226"/>
        <v>0.9999996289321299</v>
      </c>
      <c r="BA1116" s="7">
        <f t="shared" si="236"/>
        <v>4.9499999999998554</v>
      </c>
      <c r="BB1116" s="7">
        <f t="shared" si="227"/>
        <v>1.9066009031241753E-6</v>
      </c>
      <c r="BC1116" s="7" t="e">
        <f t="shared" si="228"/>
        <v>#N/A</v>
      </c>
      <c r="BD1116" s="7">
        <f t="shared" si="229"/>
        <v>4.9499899999998558</v>
      </c>
      <c r="BE1116" s="7">
        <f t="shared" si="230"/>
        <v>4.950009999999855</v>
      </c>
      <c r="BF1116" s="7">
        <f t="shared" si="231"/>
        <v>0.99971072904571479</v>
      </c>
      <c r="BG1116" s="7">
        <f t="shared" si="232"/>
        <v>0.99971073761456353</v>
      </c>
      <c r="BH1116" s="7" t="e">
        <f t="shared" si="233"/>
        <v>#N/A</v>
      </c>
      <c r="BI1116" s="7">
        <f t="shared" si="237"/>
        <v>1.9066009031241753E-6</v>
      </c>
      <c r="BJ1116" s="7">
        <f t="shared" si="234"/>
        <v>-9.980933990968758E-4</v>
      </c>
      <c r="BK1116" s="7" t="e">
        <f t="shared" si="238"/>
        <v>#N/A</v>
      </c>
      <c r="BL1116" s="7" t="e">
        <f t="shared" si="235"/>
        <v>#N/A</v>
      </c>
    </row>
    <row r="1117" spans="52:64" ht="11.25" customHeight="1">
      <c r="AZ1117" s="7">
        <f t="shared" si="226"/>
        <v>0.99999964753393689</v>
      </c>
      <c r="BA1117" s="7">
        <f t="shared" si="236"/>
        <v>4.9599999999998552</v>
      </c>
      <c r="BB1117" s="7">
        <f t="shared" si="227"/>
        <v>1.8144311901833356E-6</v>
      </c>
      <c r="BC1117" s="7" t="e">
        <f t="shared" si="228"/>
        <v>#N/A</v>
      </c>
      <c r="BD1117" s="7">
        <f t="shared" si="229"/>
        <v>4.9599899999998556</v>
      </c>
      <c r="BE1117" s="7">
        <f t="shared" si="230"/>
        <v>4.9600099999998548</v>
      </c>
      <c r="BF1117" s="7">
        <f t="shared" si="231"/>
        <v>0.99971497991651881</v>
      </c>
      <c r="BG1117" s="7">
        <f t="shared" si="232"/>
        <v>0.99971498835125661</v>
      </c>
      <c r="BH1117" s="7" t="e">
        <f t="shared" si="233"/>
        <v>#N/A</v>
      </c>
      <c r="BI1117" s="7">
        <f t="shared" si="237"/>
        <v>1.8144311901833356E-6</v>
      </c>
      <c r="BJ1117" s="7">
        <f t="shared" si="234"/>
        <v>-9.981855688098167E-4</v>
      </c>
      <c r="BK1117" s="7" t="e">
        <f t="shared" si="238"/>
        <v>#N/A</v>
      </c>
      <c r="BL1117" s="7" t="e">
        <f t="shared" si="235"/>
        <v>#N/A</v>
      </c>
    </row>
    <row r="1118" spans="52:64" ht="11.25" customHeight="1">
      <c r="AZ1118" s="7">
        <f t="shared" si="226"/>
        <v>0.99999966523534667</v>
      </c>
      <c r="BA1118" s="7">
        <f t="shared" si="236"/>
        <v>4.969999999999855</v>
      </c>
      <c r="BB1118" s="7">
        <f t="shared" si="227"/>
        <v>1.7265445216783154E-6</v>
      </c>
      <c r="BC1118" s="7" t="e">
        <f t="shared" si="228"/>
        <v>#N/A</v>
      </c>
      <c r="BD1118" s="7">
        <f t="shared" si="229"/>
        <v>4.9699899999998554</v>
      </c>
      <c r="BE1118" s="7">
        <f t="shared" si="230"/>
        <v>4.9700099999998546</v>
      </c>
      <c r="BF1118" s="7">
        <f t="shared" si="231"/>
        <v>0.99971916428490881</v>
      </c>
      <c r="BG1118" s="7">
        <f t="shared" si="232"/>
        <v>0.99971917258774601</v>
      </c>
      <c r="BH1118" s="7" t="e">
        <f t="shared" si="233"/>
        <v>#N/A</v>
      </c>
      <c r="BI1118" s="7">
        <f t="shared" si="237"/>
        <v>1.7265445216783154E-6</v>
      </c>
      <c r="BJ1118" s="7">
        <f t="shared" si="234"/>
        <v>-9.9827345547832177E-4</v>
      </c>
      <c r="BK1118" s="7" t="e">
        <f t="shared" si="238"/>
        <v>#N/A</v>
      </c>
      <c r="BL1118" s="7" t="e">
        <f t="shared" si="235"/>
        <v>#N/A</v>
      </c>
    </row>
    <row r="1119" spans="52:64" ht="11.25" customHeight="1">
      <c r="AZ1119" s="7">
        <f t="shared" si="226"/>
        <v>0.99999968207861611</v>
      </c>
      <c r="BA1119" s="7">
        <f t="shared" si="236"/>
        <v>4.9799999999998548</v>
      </c>
      <c r="BB1119" s="7">
        <f t="shared" si="227"/>
        <v>1.6427505880462614E-6</v>
      </c>
      <c r="BC1119" s="7" t="e">
        <f t="shared" si="228"/>
        <v>#N/A</v>
      </c>
      <c r="BD1119" s="7">
        <f t="shared" si="229"/>
        <v>4.9799899999998551</v>
      </c>
      <c r="BE1119" s="7">
        <f t="shared" si="230"/>
        <v>4.9800099999998544</v>
      </c>
      <c r="BF1119" s="7">
        <f t="shared" si="231"/>
        <v>0.99972328324656212</v>
      </c>
      <c r="BG1119" s="7">
        <f t="shared" si="232"/>
        <v>0.99972329141967109</v>
      </c>
      <c r="BH1119" s="7" t="e">
        <f t="shared" si="233"/>
        <v>#N/A</v>
      </c>
      <c r="BI1119" s="7">
        <f t="shared" si="237"/>
        <v>1.6427505880462614E-6</v>
      </c>
      <c r="BJ1119" s="7">
        <f t="shared" si="234"/>
        <v>-9.9835724941195383E-4</v>
      </c>
      <c r="BK1119" s="7" t="e">
        <f t="shared" si="238"/>
        <v>#N/A</v>
      </c>
      <c r="BL1119" s="7" t="e">
        <f t="shared" si="235"/>
        <v>#N/A</v>
      </c>
    </row>
    <row r="1120" spans="52:64" ht="11.25" customHeight="1">
      <c r="AZ1120" s="7">
        <f t="shared" si="226"/>
        <v>0.99999969810324973</v>
      </c>
      <c r="BA1120" s="7">
        <f t="shared" si="236"/>
        <v>4.9899999999998546</v>
      </c>
      <c r="BB1120" s="7">
        <f t="shared" si="227"/>
        <v>1.5628671089504256E-6</v>
      </c>
      <c r="BC1120" s="7" t="e">
        <f t="shared" si="228"/>
        <v>#N/A</v>
      </c>
      <c r="BD1120" s="7">
        <f t="shared" si="229"/>
        <v>4.9899899999998549</v>
      </c>
      <c r="BE1120" s="7">
        <f t="shared" si="230"/>
        <v>4.9900099999998542</v>
      </c>
      <c r="BF1120" s="7">
        <f t="shared" si="231"/>
        <v>0.99972733787834356</v>
      </c>
      <c r="BG1120" s="7">
        <f t="shared" si="232"/>
        <v>0.99972734592385937</v>
      </c>
      <c r="BH1120" s="7" t="e">
        <f t="shared" si="233"/>
        <v>#N/A</v>
      </c>
      <c r="BI1120" s="7">
        <f t="shared" si="237"/>
        <v>1.5628671089504256E-6</v>
      </c>
      <c r="BJ1120" s="7">
        <f t="shared" si="234"/>
        <v>-9.9843713289104953E-4</v>
      </c>
      <c r="BK1120" s="7" t="e">
        <f t="shared" si="238"/>
        <v>#N/A</v>
      </c>
      <c r="BL1120" s="7" t="e">
        <f t="shared" si="235"/>
        <v>#N/A</v>
      </c>
    </row>
    <row r="1121" spans="52:64" ht="11.25" customHeight="1">
      <c r="AZ1121" s="7">
        <f t="shared" si="226"/>
        <v>0.99999971334826232</v>
      </c>
      <c r="BA1121" s="7">
        <f t="shared" si="236"/>
        <v>4.9999999999998543</v>
      </c>
      <c r="BB1121" s="7">
        <f t="shared" si="227"/>
        <v>1.4867195147353804E-6</v>
      </c>
      <c r="BC1121" s="7" t="e">
        <f t="shared" si="228"/>
        <v>#N/A</v>
      </c>
      <c r="BD1121" s="7">
        <f t="shared" si="229"/>
        <v>4.9999899999998547</v>
      </c>
      <c r="BE1121" s="7">
        <f t="shared" si="230"/>
        <v>5.000009999999854</v>
      </c>
      <c r="BF1121" s="7">
        <f t="shared" si="231"/>
        <v>0.99973132923863828</v>
      </c>
      <c r="BG1121" s="7">
        <f t="shared" si="232"/>
        <v>0.99973133715865936</v>
      </c>
      <c r="BH1121" s="7" t="e">
        <f t="shared" si="233"/>
        <v>#N/A</v>
      </c>
      <c r="BI1121" s="7">
        <f t="shared" si="237"/>
        <v>1.4867195147353804E-6</v>
      </c>
      <c r="BJ1121" s="7">
        <f t="shared" si="234"/>
        <v>-9.9851328048526471E-4</v>
      </c>
      <c r="BK1121" s="7" t="e">
        <f t="shared" si="238"/>
        <v>#N/A</v>
      </c>
      <c r="BL1121" s="7" t="e">
        <f t="shared" si="235"/>
        <v>#N/A</v>
      </c>
    </row>
    <row r="1122" spans="52:64" ht="11.25" customHeight="1">
      <c r="AZ1122" s="7">
        <f t="shared" si="226"/>
        <v>0.99999972784982272</v>
      </c>
      <c r="BA1122" s="7">
        <f t="shared" si="236"/>
        <v>5.0099999999998541</v>
      </c>
      <c r="BB1122" s="7">
        <f t="shared" si="227"/>
        <v>1.4141406395960358E-6</v>
      </c>
      <c r="BC1122" s="7" t="e">
        <f t="shared" si="228"/>
        <v>#N/A</v>
      </c>
      <c r="BD1122" s="7">
        <f t="shared" si="229"/>
        <v>5.0099899999998545</v>
      </c>
      <c r="BE1122" s="7">
        <f t="shared" si="230"/>
        <v>5.0100099999998537</v>
      </c>
      <c r="BF1122" s="7">
        <f t="shared" si="231"/>
        <v>0.9997352583676784</v>
      </c>
      <c r="BG1122" s="7">
        <f t="shared" si="232"/>
        <v>0.99973526616426733</v>
      </c>
      <c r="BH1122" s="7" t="e">
        <f t="shared" si="233"/>
        <v>#N/A</v>
      </c>
      <c r="BI1122" s="7">
        <f t="shared" si="237"/>
        <v>1.4141406395960358E-6</v>
      </c>
      <c r="BJ1122" s="7">
        <f t="shared" si="234"/>
        <v>-9.9858585936040399E-4</v>
      </c>
      <c r="BK1122" s="7" t="e">
        <f t="shared" si="238"/>
        <v>#N/A</v>
      </c>
      <c r="BL1122" s="7" t="e">
        <f t="shared" si="235"/>
        <v>#N/A</v>
      </c>
    </row>
    <row r="1123" spans="52:64" ht="11.25" customHeight="1">
      <c r="AZ1123" s="7">
        <f t="shared" si="226"/>
        <v>0.99999974164260241</v>
      </c>
      <c r="BA1123" s="7">
        <f t="shared" si="236"/>
        <v>5.0199999999998539</v>
      </c>
      <c r="BB1123" s="7">
        <f t="shared" si="227"/>
        <v>1.3449704260704263E-6</v>
      </c>
      <c r="BC1123" s="7" t="e">
        <f t="shared" si="228"/>
        <v>#N/A</v>
      </c>
      <c r="BD1123" s="7">
        <f t="shared" si="229"/>
        <v>5.0199899999998543</v>
      </c>
      <c r="BE1123" s="7">
        <f t="shared" si="230"/>
        <v>5.0200099999998535</v>
      </c>
      <c r="BF1123" s="7">
        <f t="shared" si="231"/>
        <v>0.99973912628786465</v>
      </c>
      <c r="BG1123" s="7">
        <f t="shared" si="232"/>
        <v>0.99973913396304859</v>
      </c>
      <c r="BH1123" s="7" t="e">
        <f t="shared" si="233"/>
        <v>#N/A</v>
      </c>
      <c r="BI1123" s="7">
        <f t="shared" si="237"/>
        <v>1.3449704260704263E-6</v>
      </c>
      <c r="BJ1123" s="7">
        <f t="shared" si="234"/>
        <v>-9.9865502957392966E-4</v>
      </c>
      <c r="BK1123" s="7" t="e">
        <f t="shared" si="238"/>
        <v>#N/A</v>
      </c>
      <c r="BL1123" s="7" t="e">
        <f t="shared" si="235"/>
        <v>#N/A</v>
      </c>
    </row>
    <row r="1124" spans="52:64" ht="11.25" customHeight="1">
      <c r="AZ1124" s="7">
        <f t="shared" si="226"/>
        <v>0.99999975476008196</v>
      </c>
      <c r="BA1124" s="7">
        <f t="shared" si="236"/>
        <v>5.0299999999998537</v>
      </c>
      <c r="BB1124" s="7">
        <f t="shared" si="227"/>
        <v>1.2790556404775167E-6</v>
      </c>
      <c r="BC1124" s="7" t="e">
        <f t="shared" si="228"/>
        <v>#N/A</v>
      </c>
      <c r="BD1124" s="7">
        <f t="shared" si="229"/>
        <v>5.0299899999998541</v>
      </c>
      <c r="BE1124" s="7">
        <f t="shared" si="230"/>
        <v>5.0300099999998533</v>
      </c>
      <c r="BF1124" s="7">
        <f t="shared" si="231"/>
        <v>0.99974293400408099</v>
      </c>
      <c r="BG1124" s="7">
        <f t="shared" si="232"/>
        <v>0.99974294155985233</v>
      </c>
      <c r="BH1124" s="7" t="e">
        <f t="shared" si="233"/>
        <v>#N/A</v>
      </c>
      <c r="BI1124" s="7">
        <f t="shared" si="237"/>
        <v>1.2790556404775167E-6</v>
      </c>
      <c r="BJ1124" s="7">
        <f t="shared" si="234"/>
        <v>-9.9872094435952247E-4</v>
      </c>
      <c r="BK1124" s="7" t="e">
        <f t="shared" si="238"/>
        <v>#N/A</v>
      </c>
      <c r="BL1124" s="7" t="e">
        <f t="shared" si="235"/>
        <v>#N/A</v>
      </c>
    </row>
    <row r="1125" spans="52:64" ht="11.25" customHeight="1">
      <c r="AZ1125" s="7">
        <f t="shared" si="226"/>
        <v>0.99999976723407691</v>
      </c>
      <c r="BA1125" s="7">
        <f t="shared" si="236"/>
        <v>5.0399999999998535</v>
      </c>
      <c r="BB1125" s="7">
        <f t="shared" si="227"/>
        <v>1.2162495989322167E-6</v>
      </c>
      <c r="BC1125" s="7" t="e">
        <f t="shared" si="228"/>
        <v>#N/A</v>
      </c>
      <c r="BD1125" s="7">
        <f t="shared" si="229"/>
        <v>5.0399899999998539</v>
      </c>
      <c r="BE1125" s="7">
        <f t="shared" si="230"/>
        <v>5.0400099999998531</v>
      </c>
      <c r="BF1125" s="7">
        <f t="shared" si="231"/>
        <v>0.99974668250400489</v>
      </c>
      <c r="BG1125" s="7">
        <f t="shared" si="232"/>
        <v>0.99974668994232196</v>
      </c>
      <c r="BH1125" s="7" t="e">
        <f t="shared" si="233"/>
        <v>#N/A</v>
      </c>
      <c r="BI1125" s="7">
        <f t="shared" si="237"/>
        <v>1.2162495989322167E-6</v>
      </c>
      <c r="BJ1125" s="7">
        <f t="shared" si="234"/>
        <v>-9.9878375040106772E-4</v>
      </c>
      <c r="BK1125" s="7" t="e">
        <f t="shared" si="238"/>
        <v>#N/A</v>
      </c>
      <c r="BL1125" s="7" t="e">
        <f t="shared" si="235"/>
        <v>#N/A</v>
      </c>
    </row>
    <row r="1126" spans="52:64" ht="11.25" customHeight="1">
      <c r="AZ1126" s="7">
        <f t="shared" si="226"/>
        <v>0.99999977909496773</v>
      </c>
      <c r="BA1126" s="7">
        <f t="shared" si="236"/>
        <v>5.0499999999998533</v>
      </c>
      <c r="BB1126" s="7">
        <f t="shared" si="227"/>
        <v>1.1564119035806376E-6</v>
      </c>
      <c r="BC1126" s="7" t="e">
        <f t="shared" si="228"/>
        <v>#N/A</v>
      </c>
      <c r="BD1126" s="7">
        <f t="shared" si="229"/>
        <v>5.0499899999998537</v>
      </c>
      <c r="BE1126" s="7">
        <f t="shared" si="230"/>
        <v>5.0500099999998529</v>
      </c>
      <c r="BF1126" s="7">
        <f t="shared" si="231"/>
        <v>0.99975037275841072</v>
      </c>
      <c r="BG1126" s="7">
        <f t="shared" si="232"/>
        <v>0.99975038008119821</v>
      </c>
      <c r="BH1126" s="7" t="e">
        <f t="shared" si="233"/>
        <v>#N/A</v>
      </c>
      <c r="BI1126" s="7">
        <f t="shared" si="237"/>
        <v>1.1564119035806376E-6</v>
      </c>
      <c r="BJ1126" s="7">
        <f t="shared" si="234"/>
        <v>-9.9884358809641935E-4</v>
      </c>
      <c r="BK1126" s="7" t="e">
        <f t="shared" si="238"/>
        <v>#N/A</v>
      </c>
      <c r="BL1126" s="7" t="e">
        <f t="shared" si="235"/>
        <v>#N/A</v>
      </c>
    </row>
    <row r="1127" spans="52:64" ht="11.25" customHeight="1">
      <c r="AZ1127" s="7">
        <f t="shared" si="226"/>
        <v>0.99999979037176101</v>
      </c>
      <c r="BA1127" s="7">
        <f t="shared" si="236"/>
        <v>5.0599999999998531</v>
      </c>
      <c r="BB1127" s="7">
        <f t="shared" si="227"/>
        <v>1.0994081887090213E-6</v>
      </c>
      <c r="BC1127" s="7" t="e">
        <f t="shared" si="228"/>
        <v>#N/A</v>
      </c>
      <c r="BD1127" s="7">
        <f t="shared" si="229"/>
        <v>5.0599899999998534</v>
      </c>
      <c r="BE1127" s="7">
        <f t="shared" si="230"/>
        <v>5.0600099999998527</v>
      </c>
      <c r="BF1127" s="7">
        <f t="shared" si="231"/>
        <v>0.99975400572146844</v>
      </c>
      <c r="BG1127" s="7">
        <f t="shared" si="232"/>
        <v>0.99975401293061839</v>
      </c>
      <c r="BH1127" s="7" t="e">
        <f t="shared" si="233"/>
        <v>#N/A</v>
      </c>
      <c r="BI1127" s="7">
        <f t="shared" si="237"/>
        <v>1.0994081887090213E-6</v>
      </c>
      <c r="BJ1127" s="7">
        <f t="shared" si="234"/>
        <v>-9.9890059181129099E-4</v>
      </c>
      <c r="BK1127" s="7" t="e">
        <f t="shared" si="238"/>
        <v>#N/A</v>
      </c>
      <c r="BL1127" s="7" t="e">
        <f t="shared" si="235"/>
        <v>#N/A</v>
      </c>
    </row>
    <row r="1128" spans="52:64" ht="11.25" customHeight="1">
      <c r="AZ1128" s="7">
        <f t="shared" si="226"/>
        <v>0.99999980109214892</v>
      </c>
      <c r="BA1128" s="7">
        <f t="shared" si="236"/>
        <v>5.0699999999998528</v>
      </c>
      <c r="BB1128" s="7">
        <f t="shared" si="227"/>
        <v>1.0451098763900991E-6</v>
      </c>
      <c r="BC1128" s="7" t="e">
        <f t="shared" si="228"/>
        <v>#N/A</v>
      </c>
      <c r="BD1128" s="7">
        <f t="shared" si="229"/>
        <v>5.0699899999998532</v>
      </c>
      <c r="BE1128" s="7">
        <f t="shared" si="230"/>
        <v>5.0700099999998525</v>
      </c>
      <c r="BF1128" s="7">
        <f t="shared" si="231"/>
        <v>0.99975758233103706</v>
      </c>
      <c r="BG1128" s="7">
        <f t="shared" si="232"/>
        <v>0.99975758942840909</v>
      </c>
      <c r="BH1128" s="7" t="e">
        <f t="shared" si="233"/>
        <v>#N/A</v>
      </c>
      <c r="BI1128" s="7">
        <f t="shared" si="237"/>
        <v>1.0451098763900991E-6</v>
      </c>
      <c r="BJ1128" s="7">
        <f t="shared" si="234"/>
        <v>-9.9895489012360983E-4</v>
      </c>
      <c r="BK1128" s="7" t="e">
        <f t="shared" si="238"/>
        <v>#N/A</v>
      </c>
      <c r="BL1128" s="7" t="e">
        <f t="shared" si="235"/>
        <v>#N/A</v>
      </c>
    </row>
    <row r="1129" spans="52:64" ht="11.25" customHeight="1">
      <c r="AZ1129" s="7">
        <f t="shared" si="226"/>
        <v>0.99999981128256588</v>
      </c>
      <c r="BA1129" s="7">
        <f t="shared" si="236"/>
        <v>5.0799999999998526</v>
      </c>
      <c r="BB1129" s="7">
        <f t="shared" si="227"/>
        <v>9.9339394134065466E-7</v>
      </c>
      <c r="BC1129" s="7" t="e">
        <f t="shared" si="228"/>
        <v>#N/A</v>
      </c>
      <c r="BD1129" s="7">
        <f t="shared" si="229"/>
        <v>5.079989999999853</v>
      </c>
      <c r="BE1129" s="7">
        <f t="shared" si="230"/>
        <v>5.0800099999998523</v>
      </c>
      <c r="BF1129" s="7">
        <f t="shared" si="231"/>
        <v>0.99976110350895242</v>
      </c>
      <c r="BG1129" s="7">
        <f t="shared" si="232"/>
        <v>0.99976111049637417</v>
      </c>
      <c r="BH1129" s="7" t="e">
        <f t="shared" si="233"/>
        <v>#N/A</v>
      </c>
      <c r="BI1129" s="7">
        <f t="shared" si="237"/>
        <v>9.9339394134065466E-7</v>
      </c>
      <c r="BJ1129" s="7">
        <f t="shared" si="234"/>
        <v>-9.990066060586594E-4</v>
      </c>
      <c r="BK1129" s="7" t="e">
        <f t="shared" si="238"/>
        <v>#N/A</v>
      </c>
      <c r="BL1129" s="7" t="e">
        <f t="shared" si="235"/>
        <v>#N/A</v>
      </c>
    </row>
    <row r="1130" spans="52:64" ht="11.25" customHeight="1">
      <c r="AZ1130" s="7">
        <f t="shared" si="226"/>
        <v>0.9999998209682428</v>
      </c>
      <c r="BA1130" s="7">
        <f t="shared" si="236"/>
        <v>5.0899999999998524</v>
      </c>
      <c r="BB1130" s="7">
        <f t="shared" si="227"/>
        <v>9.4414268467379505E-7</v>
      </c>
      <c r="BC1130" s="7" t="e">
        <f t="shared" si="228"/>
        <v>#N/A</v>
      </c>
      <c r="BD1130" s="7">
        <f t="shared" si="229"/>
        <v>5.0899899999998528</v>
      </c>
      <c r="BE1130" s="7">
        <f t="shared" si="230"/>
        <v>5.090009999999852</v>
      </c>
      <c r="BF1130" s="7">
        <f t="shared" si="231"/>
        <v>0.99976457016130948</v>
      </c>
      <c r="BG1130" s="7">
        <f t="shared" si="232"/>
        <v>0.99976457704057764</v>
      </c>
      <c r="BH1130" s="7" t="e">
        <f t="shared" si="233"/>
        <v>#N/A</v>
      </c>
      <c r="BI1130" s="7">
        <f t="shared" si="237"/>
        <v>9.4414268467379505E-7</v>
      </c>
      <c r="BJ1130" s="7">
        <f t="shared" si="234"/>
        <v>-9.9905585731532615E-4</v>
      </c>
      <c r="BK1130" s="7" t="e">
        <f t="shared" si="238"/>
        <v>#N/A</v>
      </c>
      <c r="BL1130" s="7" t="e">
        <f t="shared" si="235"/>
        <v>#N/A</v>
      </c>
    </row>
    <row r="1131" spans="52:64" ht="11.25" customHeight="1">
      <c r="AZ1131" s="7">
        <f t="shared" si="226"/>
        <v>0.99999983017325933</v>
      </c>
      <c r="BA1131" s="7">
        <f t="shared" si="236"/>
        <v>5.0999999999998522</v>
      </c>
      <c r="BB1131" s="7">
        <f t="shared" si="227"/>
        <v>8.9724351623900935E-7</v>
      </c>
      <c r="BC1131" s="7" t="e">
        <f t="shared" si="228"/>
        <v>#N/A</v>
      </c>
      <c r="BD1131" s="7">
        <f t="shared" si="229"/>
        <v>5.0999899999998526</v>
      </c>
      <c r="BE1131" s="7">
        <f t="shared" si="230"/>
        <v>5.1000099999998518</v>
      </c>
      <c r="BF1131" s="7">
        <f t="shared" si="231"/>
        <v>0.99976798317874049</v>
      </c>
      <c r="BG1131" s="7">
        <f t="shared" si="232"/>
        <v>0.99976798995162097</v>
      </c>
      <c r="BH1131" s="7" t="e">
        <f t="shared" si="233"/>
        <v>#N/A</v>
      </c>
      <c r="BI1131" s="7">
        <f t="shared" si="237"/>
        <v>8.9724351623900935E-7</v>
      </c>
      <c r="BJ1131" s="7">
        <f t="shared" si="234"/>
        <v>-9.9910275648376103E-4</v>
      </c>
      <c r="BK1131" s="7" t="e">
        <f t="shared" si="238"/>
        <v>#N/A</v>
      </c>
      <c r="BL1131" s="7" t="e">
        <f t="shared" si="235"/>
        <v>#N/A</v>
      </c>
    </row>
    <row r="1132" spans="52:64" ht="11.25" customHeight="1">
      <c r="AZ1132" s="7">
        <f t="shared" si="226"/>
        <v>0.99999983892059385</v>
      </c>
      <c r="BA1132" s="7">
        <f t="shared" si="236"/>
        <v>5.109999999999852</v>
      </c>
      <c r="BB1132" s="7">
        <f t="shared" si="227"/>
        <v>8.525887452524311E-7</v>
      </c>
      <c r="BC1132" s="7" t="e">
        <f t="shared" si="228"/>
        <v>#N/A</v>
      </c>
      <c r="BD1132" s="7">
        <f t="shared" si="229"/>
        <v>5.1099899999998524</v>
      </c>
      <c r="BE1132" s="7">
        <f t="shared" si="230"/>
        <v>5.1100099999998516</v>
      </c>
      <c r="BF1132" s="7">
        <f t="shared" si="231"/>
        <v>0.99977134343668728</v>
      </c>
      <c r="BG1132" s="7">
        <f t="shared" si="232"/>
        <v>0.99977135010491602</v>
      </c>
      <c r="BH1132" s="7" t="e">
        <f t="shared" si="233"/>
        <v>#N/A</v>
      </c>
      <c r="BI1132" s="7">
        <f t="shared" si="237"/>
        <v>8.525887452524311E-7</v>
      </c>
      <c r="BJ1132" s="7">
        <f t="shared" si="234"/>
        <v>-9.9914741125474763E-4</v>
      </c>
      <c r="BK1132" s="7" t="e">
        <f t="shared" si="238"/>
        <v>#N/A</v>
      </c>
      <c r="BL1132" s="7" t="e">
        <f t="shared" si="235"/>
        <v>#N/A</v>
      </c>
    </row>
    <row r="1133" spans="52:64" ht="11.25" customHeight="1">
      <c r="AZ1133" s="7">
        <f t="shared" si="226"/>
        <v>0.99999984723217172</v>
      </c>
      <c r="BA1133" s="7">
        <f t="shared" si="236"/>
        <v>5.1199999999998518</v>
      </c>
      <c r="BB1133" s="7">
        <f t="shared" si="227"/>
        <v>8.1007537892875027E-7</v>
      </c>
      <c r="BC1133" s="7" t="e">
        <f t="shared" si="228"/>
        <v>#N/A</v>
      </c>
      <c r="BD1133" s="7">
        <f t="shared" si="229"/>
        <v>5.1199899999998522</v>
      </c>
      <c r="BE1133" s="7">
        <f t="shared" si="230"/>
        <v>5.1200099999998514</v>
      </c>
      <c r="BF1133" s="7">
        <f t="shared" si="231"/>
        <v>0.99977465179566916</v>
      </c>
      <c r="BG1133" s="7">
        <f t="shared" si="232"/>
        <v>0.99977465836095236</v>
      </c>
      <c r="BH1133" s="7" t="e">
        <f t="shared" si="233"/>
        <v>#N/A</v>
      </c>
      <c r="BI1133" s="7">
        <f t="shared" si="237"/>
        <v>8.1007537892875027E-7</v>
      </c>
      <c r="BJ1133" s="7">
        <f t="shared" si="234"/>
        <v>-9.9918992462107127E-4</v>
      </c>
      <c r="BK1133" s="7" t="e">
        <f t="shared" si="238"/>
        <v>#N/A</v>
      </c>
      <c r="BL1133" s="7" t="e">
        <f t="shared" si="235"/>
        <v>#N/A</v>
      </c>
    </row>
    <row r="1134" spans="52:64" ht="11.25" customHeight="1">
      <c r="AZ1134" s="7">
        <f t="shared" si="226"/>
        <v>0.99999985512891065</v>
      </c>
      <c r="BA1134" s="7">
        <f t="shared" si="236"/>
        <v>5.1299999999998516</v>
      </c>
      <c r="BB1134" s="7">
        <f t="shared" si="227"/>
        <v>7.6960492883509941E-7</v>
      </c>
      <c r="BC1134" s="7" t="e">
        <f t="shared" si="228"/>
        <v>#N/A</v>
      </c>
      <c r="BD1134" s="7">
        <f t="shared" si="229"/>
        <v>5.1299899999998519</v>
      </c>
      <c r="BE1134" s="7">
        <f t="shared" si="230"/>
        <v>5.1300099999998512</v>
      </c>
      <c r="BF1134" s="7">
        <f t="shared" si="231"/>
        <v>0.99977790910154551</v>
      </c>
      <c r="BG1134" s="7">
        <f t="shared" si="232"/>
        <v>0.99977791556556039</v>
      </c>
      <c r="BH1134" s="7" t="e">
        <f t="shared" si="233"/>
        <v>#N/A</v>
      </c>
      <c r="BI1134" s="7">
        <f t="shared" si="237"/>
        <v>7.6960492883509941E-7</v>
      </c>
      <c r="BJ1134" s="7">
        <f t="shared" si="234"/>
        <v>-9.9923039507116484E-4</v>
      </c>
      <c r="BK1134" s="7" t="e">
        <f t="shared" si="238"/>
        <v>#N/A</v>
      </c>
      <c r="BL1134" s="7" t="e">
        <f t="shared" si="235"/>
        <v>#N/A</v>
      </c>
    </row>
    <row r="1135" spans="52:64" ht="11.25" customHeight="1">
      <c r="AZ1135" s="7">
        <f t="shared" si="226"/>
        <v>0.99999986263076568</v>
      </c>
      <c r="BA1135" s="7">
        <f t="shared" si="236"/>
        <v>5.1399999999998514</v>
      </c>
      <c r="BB1135" s="7">
        <f t="shared" si="227"/>
        <v>7.3108322469590734E-7</v>
      </c>
      <c r="BC1135" s="7" t="e">
        <f t="shared" si="228"/>
        <v>#N/A</v>
      </c>
      <c r="BD1135" s="7">
        <f t="shared" si="229"/>
        <v>5.1399899999998517</v>
      </c>
      <c r="BE1135" s="7">
        <f t="shared" si="230"/>
        <v>5.140009999999851</v>
      </c>
      <c r="BF1135" s="7">
        <f t="shared" si="231"/>
        <v>0.99978111618577437</v>
      </c>
      <c r="BG1135" s="7">
        <f t="shared" si="232"/>
        <v>0.9997811225501696</v>
      </c>
      <c r="BH1135" s="7" t="e">
        <f t="shared" si="233"/>
        <v>#N/A</v>
      </c>
      <c r="BI1135" s="7">
        <f t="shared" si="237"/>
        <v>7.3108322469590734E-7</v>
      </c>
      <c r="BJ1135" s="7">
        <f t="shared" si="234"/>
        <v>-9.992689167753041E-4</v>
      </c>
      <c r="BK1135" s="7" t="e">
        <f t="shared" si="238"/>
        <v>#N/A</v>
      </c>
      <c r="BL1135" s="7" t="e">
        <f t="shared" si="235"/>
        <v>#N/A</v>
      </c>
    </row>
    <row r="1136" spans="52:64" ht="11.25" customHeight="1">
      <c r="AZ1136" s="7">
        <f t="shared" si="226"/>
        <v>0.99999986975677047</v>
      </c>
      <c r="BA1136" s="7">
        <f t="shared" si="236"/>
        <v>5.1499999999998511</v>
      </c>
      <c r="BB1136" s="7">
        <f t="shared" si="227"/>
        <v>6.9442023538606788E-7</v>
      </c>
      <c r="BC1136" s="7" t="e">
        <f t="shared" si="228"/>
        <v>#N/A</v>
      </c>
      <c r="BD1136" s="7">
        <f t="shared" si="229"/>
        <v>5.1499899999998515</v>
      </c>
      <c r="BE1136" s="7">
        <f t="shared" si="230"/>
        <v>5.1500099999998508</v>
      </c>
      <c r="BF1136" s="7">
        <f t="shared" si="231"/>
        <v>0.9997842738656656</v>
      </c>
      <c r="BG1136" s="7">
        <f t="shared" si="232"/>
        <v>0.99978428013206166</v>
      </c>
      <c r="BH1136" s="7" t="e">
        <f t="shared" si="233"/>
        <v>#N/A</v>
      </c>
      <c r="BI1136" s="7">
        <f t="shared" si="237"/>
        <v>6.9442023538606788E-7</v>
      </c>
      <c r="BJ1136" s="7">
        <f t="shared" si="234"/>
        <v>-9.9930557976461395E-4</v>
      </c>
      <c r="BK1136" s="7" t="e">
        <f t="shared" si="238"/>
        <v>#N/A</v>
      </c>
      <c r="BL1136" s="7" t="e">
        <f t="shared" si="235"/>
        <v>#N/A</v>
      </c>
    </row>
    <row r="1137" spans="52:64" ht="11.25" customHeight="1">
      <c r="AZ1137" s="7">
        <f t="shared" si="226"/>
        <v>0.99999987652507871</v>
      </c>
      <c r="BA1137" s="7">
        <f t="shared" si="236"/>
        <v>5.1599999999998509</v>
      </c>
      <c r="BB1137" s="7">
        <f t="shared" si="227"/>
        <v>6.5952989685802989E-7</v>
      </c>
      <c r="BC1137" s="7" t="e">
        <f t="shared" si="228"/>
        <v>#N/A</v>
      </c>
      <c r="BD1137" s="7">
        <f t="shared" si="229"/>
        <v>5.1599899999998513</v>
      </c>
      <c r="BE1137" s="7">
        <f t="shared" si="230"/>
        <v>5.1600099999998505</v>
      </c>
      <c r="BF1137" s="7">
        <f t="shared" si="231"/>
        <v>0.99978738294462977</v>
      </c>
      <c r="BG1137" s="7">
        <f t="shared" si="232"/>
        <v>0.99978738911461984</v>
      </c>
      <c r="BH1137" s="7" t="e">
        <f t="shared" si="233"/>
        <v>#N/A</v>
      </c>
      <c r="BI1137" s="7">
        <f t="shared" si="237"/>
        <v>6.5952989685802989E-7</v>
      </c>
      <c r="BJ1137" s="7">
        <f t="shared" si="234"/>
        <v>-9.99340470103142E-4</v>
      </c>
      <c r="BK1137" s="7" t="e">
        <f t="shared" si="238"/>
        <v>#N/A</v>
      </c>
      <c r="BL1137" s="7" t="e">
        <f t="shared" si="235"/>
        <v>#N/A</v>
      </c>
    </row>
    <row r="1138" spans="52:64" ht="11.25" customHeight="1">
      <c r="AZ1138" s="7">
        <f t="shared" si="226"/>
        <v>0.99999988295300257</v>
      </c>
      <c r="BA1138" s="7">
        <f t="shared" si="236"/>
        <v>5.1699999999998507</v>
      </c>
      <c r="BB1138" s="7">
        <f t="shared" si="227"/>
        <v>6.2632994675637304E-7</v>
      </c>
      <c r="BC1138" s="7" t="e">
        <f t="shared" si="228"/>
        <v>#N/A</v>
      </c>
      <c r="BD1138" s="7">
        <f t="shared" si="229"/>
        <v>5.1699899999998511</v>
      </c>
      <c r="BE1138" s="7">
        <f t="shared" si="230"/>
        <v>5.1700099999998503</v>
      </c>
      <c r="BF1138" s="7">
        <f t="shared" si="231"/>
        <v>0.99979044421242314</v>
      </c>
      <c r="BG1138" s="7">
        <f t="shared" si="232"/>
        <v>0.99979045028757318</v>
      </c>
      <c r="BH1138" s="7" t="e">
        <f t="shared" si="233"/>
        <v>#N/A</v>
      </c>
      <c r="BI1138" s="7">
        <f t="shared" si="237"/>
        <v>6.2632994675637304E-7</v>
      </c>
      <c r="BJ1138" s="7">
        <f t="shared" si="234"/>
        <v>-9.9937367005324359E-4</v>
      </c>
      <c r="BK1138" s="7" t="e">
        <f t="shared" si="238"/>
        <v>#N/A</v>
      </c>
      <c r="BL1138" s="7" t="e">
        <f t="shared" si="235"/>
        <v>#N/A</v>
      </c>
    </row>
    <row r="1139" spans="52:64" ht="11.25" customHeight="1">
      <c r="AZ1139" s="7">
        <f t="shared" si="226"/>
        <v>0.99999988905704984</v>
      </c>
      <c r="BA1139" s="7">
        <f t="shared" si="236"/>
        <v>5.1799999999998505</v>
      </c>
      <c r="BB1139" s="7">
        <f t="shared" si="227"/>
        <v>5.9474176548123583E-7</v>
      </c>
      <c r="BC1139" s="7" t="e">
        <f t="shared" si="228"/>
        <v>#N/A</v>
      </c>
      <c r="BD1139" s="7">
        <f t="shared" si="229"/>
        <v>5.1799899999998509</v>
      </c>
      <c r="BE1139" s="7">
        <f t="shared" si="230"/>
        <v>5.1800099999998501</v>
      </c>
      <c r="BF1139" s="7">
        <f t="shared" si="231"/>
        <v>0.99979345844538714</v>
      </c>
      <c r="BG1139" s="7">
        <f t="shared" si="232"/>
        <v>0.99979346442723671</v>
      </c>
      <c r="BH1139" s="7" t="e">
        <f t="shared" si="233"/>
        <v>#N/A</v>
      </c>
      <c r="BI1139" s="7">
        <f t="shared" si="237"/>
        <v>5.9474176548123583E-7</v>
      </c>
      <c r="BJ1139" s="7">
        <f t="shared" si="234"/>
        <v>-9.9940525823451871E-4</v>
      </c>
      <c r="BK1139" s="7" t="e">
        <f t="shared" si="238"/>
        <v>#N/A</v>
      </c>
      <c r="BL1139" s="7" t="e">
        <f t="shared" si="235"/>
        <v>#N/A</v>
      </c>
    </row>
    <row r="1140" spans="52:64" ht="11.25" customHeight="1">
      <c r="AZ1140" s="7">
        <f t="shared" si="226"/>
        <v>0.9999998948529597</v>
      </c>
      <c r="BA1140" s="7">
        <f t="shared" si="236"/>
        <v>5.1899999999998503</v>
      </c>
      <c r="BB1140" s="7">
        <f t="shared" si="227"/>
        <v>5.6469022346951531E-7</v>
      </c>
      <c r="BC1140" s="7" t="e">
        <f t="shared" si="228"/>
        <v>#N/A</v>
      </c>
      <c r="BD1140" s="7">
        <f t="shared" si="229"/>
        <v>5.1899899999998507</v>
      </c>
      <c r="BE1140" s="7">
        <f t="shared" si="230"/>
        <v>5.1900099999998499</v>
      </c>
      <c r="BF1140" s="7">
        <f t="shared" si="231"/>
        <v>0.99979642640668476</v>
      </c>
      <c r="BG1140" s="7">
        <f t="shared" si="232"/>
        <v>0.99979643229674686</v>
      </c>
      <c r="BH1140" s="7" t="e">
        <f t="shared" si="233"/>
        <v>#N/A</v>
      </c>
      <c r="BI1140" s="7">
        <f t="shared" si="237"/>
        <v>5.6469022346951531E-7</v>
      </c>
      <c r="BJ1140" s="7">
        <f t="shared" si="234"/>
        <v>-9.9943530977653051E-4</v>
      </c>
      <c r="BK1140" s="7" t="e">
        <f t="shared" si="238"/>
        <v>#N/A</v>
      </c>
      <c r="BL1140" s="7" t="e">
        <f t="shared" si="235"/>
        <v>#N/A</v>
      </c>
    </row>
    <row r="1141" spans="52:64" ht="11.25" customHeight="1">
      <c r="AZ1141" s="7">
        <f t="shared" si="226"/>
        <v>0.99999990035573683</v>
      </c>
      <c r="BA1141" s="7">
        <f t="shared" si="236"/>
        <v>5.1999999999998501</v>
      </c>
      <c r="BB1141" s="7">
        <f t="shared" si="227"/>
        <v>5.3610353447018042E-7</v>
      </c>
      <c r="BC1141" s="7" t="e">
        <f t="shared" si="228"/>
        <v>#N/A</v>
      </c>
      <c r="BD1141" s="7">
        <f t="shared" si="229"/>
        <v>5.1999899999998505</v>
      </c>
      <c r="BE1141" s="7">
        <f t="shared" si="230"/>
        <v>5.2000099999998497</v>
      </c>
      <c r="BF1141" s="7">
        <f t="shared" si="231"/>
        <v>0.99979934884653121</v>
      </c>
      <c r="BG1141" s="7">
        <f t="shared" si="232"/>
        <v>0.99979935464629366</v>
      </c>
      <c r="BH1141" s="7" t="e">
        <f t="shared" si="233"/>
        <v>#N/A</v>
      </c>
      <c r="BI1141" s="7">
        <f t="shared" si="237"/>
        <v>5.3610353447018042E-7</v>
      </c>
      <c r="BJ1141" s="7">
        <f t="shared" si="234"/>
        <v>-9.9946389646552976E-4</v>
      </c>
      <c r="BK1141" s="7" t="e">
        <f t="shared" si="238"/>
        <v>#N/A</v>
      </c>
      <c r="BL1141" s="7" t="e">
        <f t="shared" si="235"/>
        <v>#N/A</v>
      </c>
    </row>
    <row r="1142" spans="52:64" ht="11.25" customHeight="1">
      <c r="AZ1142" s="7">
        <f t="shared" si="226"/>
        <v>0.99999990557968432</v>
      </c>
      <c r="BA1142" s="7">
        <f t="shared" si="236"/>
        <v>5.2099999999998499</v>
      </c>
      <c r="BB1142" s="7">
        <f t="shared" si="227"/>
        <v>5.0891311459716356E-7</v>
      </c>
      <c r="BC1142" s="7" t="e">
        <f t="shared" si="228"/>
        <v>#N/A</v>
      </c>
      <c r="BD1142" s="7">
        <f t="shared" si="229"/>
        <v>5.2099899999998502</v>
      </c>
      <c r="BE1142" s="7">
        <f t="shared" si="230"/>
        <v>5.2100099999998495</v>
      </c>
      <c r="BF1142" s="7">
        <f t="shared" si="231"/>
        <v>0.99980222650242223</v>
      </c>
      <c r="BG1142" s="7">
        <f t="shared" si="232"/>
        <v>0.9998022322133473</v>
      </c>
      <c r="BH1142" s="7" t="e">
        <f t="shared" si="233"/>
        <v>#N/A</v>
      </c>
      <c r="BI1142" s="7">
        <f t="shared" si="237"/>
        <v>5.0891311459716356E-7</v>
      </c>
      <c r="BJ1142" s="7">
        <f t="shared" si="234"/>
        <v>-9.9949108688540287E-4</v>
      </c>
      <c r="BK1142" s="7" t="e">
        <f t="shared" si="238"/>
        <v>#N/A</v>
      </c>
      <c r="BL1142" s="7" t="e">
        <f t="shared" si="235"/>
        <v>#N/A</v>
      </c>
    </row>
    <row r="1143" spans="52:64" ht="11.25" customHeight="1">
      <c r="AZ1143" s="7">
        <f t="shared" si="226"/>
        <v>0.99999991053843462</v>
      </c>
      <c r="BA1143" s="7">
        <f t="shared" si="236"/>
        <v>5.2199999999998496</v>
      </c>
      <c r="BB1143" s="7">
        <f t="shared" si="227"/>
        <v>4.830534469503466E-7</v>
      </c>
      <c r="BC1143" s="7" t="e">
        <f t="shared" si="228"/>
        <v>#N/A</v>
      </c>
      <c r="BD1143" s="7">
        <f t="shared" si="229"/>
        <v>5.21998999999985</v>
      </c>
      <c r="BE1143" s="7">
        <f t="shared" si="230"/>
        <v>5.2200099999998493</v>
      </c>
      <c r="BF1143" s="7">
        <f t="shared" si="231"/>
        <v>0.99980506009935666</v>
      </c>
      <c r="BG1143" s="7">
        <f t="shared" si="232"/>
        <v>0.99980506572288208</v>
      </c>
      <c r="BH1143" s="7" t="e">
        <f t="shared" si="233"/>
        <v>#N/A</v>
      </c>
      <c r="BI1143" s="7">
        <f t="shared" si="237"/>
        <v>4.830534469503466E-7</v>
      </c>
      <c r="BJ1143" s="7">
        <f t="shared" si="234"/>
        <v>-9.9951694655304969E-4</v>
      </c>
      <c r="BK1143" s="7" t="e">
        <f t="shared" si="238"/>
        <v>#N/A</v>
      </c>
      <c r="BL1143" s="7" t="e">
        <f t="shared" si="235"/>
        <v>#N/A</v>
      </c>
    </row>
    <row r="1144" spans="52:64" ht="11.25" customHeight="1">
      <c r="AZ1144" s="7">
        <f t="shared" si="226"/>
        <v>0.99999991524498011</v>
      </c>
      <c r="BA1144" s="7">
        <f t="shared" si="236"/>
        <v>5.2299999999998494</v>
      </c>
      <c r="BB1144" s="7">
        <f t="shared" si="227"/>
        <v>4.5846195160189523E-7</v>
      </c>
      <c r="BC1144" s="7" t="e">
        <f t="shared" si="228"/>
        <v>#N/A</v>
      </c>
      <c r="BD1144" s="7">
        <f t="shared" si="229"/>
        <v>5.2299899999998498</v>
      </c>
      <c r="BE1144" s="7">
        <f t="shared" si="230"/>
        <v>5.2300099999998491</v>
      </c>
      <c r="BF1144" s="7">
        <f t="shared" si="231"/>
        <v>0.99980785035005615</v>
      </c>
      <c r="BG1144" s="7">
        <f t="shared" si="232"/>
        <v>0.99980785588759513</v>
      </c>
      <c r="BH1144" s="7" t="e">
        <f t="shared" si="233"/>
        <v>#N/A</v>
      </c>
      <c r="BI1144" s="7">
        <f t="shared" si="237"/>
        <v>4.5846195160189523E-7</v>
      </c>
      <c r="BJ1144" s="7">
        <f t="shared" si="234"/>
        <v>-9.9954153804839821E-4</v>
      </c>
      <c r="BK1144" s="7" t="e">
        <f t="shared" si="238"/>
        <v>#N/A</v>
      </c>
      <c r="BL1144" s="7" t="e">
        <f t="shared" si="235"/>
        <v>#N/A</v>
      </c>
    </row>
    <row r="1145" spans="52:64" ht="11.25" customHeight="1">
      <c r="AZ1145" s="7">
        <f t="shared" si="226"/>
        <v>0.99999991971170143</v>
      </c>
      <c r="BA1145" s="7">
        <f t="shared" si="236"/>
        <v>5.2399999999998492</v>
      </c>
      <c r="BB1145" s="7">
        <f t="shared" si="227"/>
        <v>4.350788607518555E-7</v>
      </c>
      <c r="BC1145" s="7" t="e">
        <f t="shared" si="228"/>
        <v>#N/A</v>
      </c>
      <c r="BD1145" s="7">
        <f t="shared" si="229"/>
        <v>5.2399899999998496</v>
      </c>
      <c r="BE1145" s="7">
        <f t="shared" si="230"/>
        <v>5.2400099999998488</v>
      </c>
      <c r="BF1145" s="7">
        <f t="shared" si="231"/>
        <v>0.99981059795518001</v>
      </c>
      <c r="BG1145" s="7">
        <f t="shared" si="232"/>
        <v>0.99981060340812189</v>
      </c>
      <c r="BH1145" s="7" t="e">
        <f t="shared" si="233"/>
        <v>#N/A</v>
      </c>
      <c r="BI1145" s="7">
        <f t="shared" si="237"/>
        <v>4.350788607518555E-7</v>
      </c>
      <c r="BJ1145" s="7">
        <f t="shared" si="234"/>
        <v>-9.9956492113924809E-4</v>
      </c>
      <c r="BK1145" s="7" t="e">
        <f t="shared" si="238"/>
        <v>#N/A</v>
      </c>
      <c r="BL1145" s="7" t="e">
        <f t="shared" si="235"/>
        <v>#N/A</v>
      </c>
    </row>
    <row r="1146" spans="52:64" ht="11.25" customHeight="1">
      <c r="AZ1146" s="7">
        <f t="shared" si="226"/>
        <v>0.99999992395039483</v>
      </c>
      <c r="BA1146" s="7">
        <f t="shared" si="236"/>
        <v>5.249999999999849</v>
      </c>
      <c r="BB1146" s="7">
        <f t="shared" si="227"/>
        <v>4.128470988633269E-7</v>
      </c>
      <c r="BC1146" s="7" t="e">
        <f t="shared" si="228"/>
        <v>#N/A</v>
      </c>
      <c r="BD1146" s="7">
        <f t="shared" si="229"/>
        <v>5.2499899999998494</v>
      </c>
      <c r="BE1146" s="7">
        <f t="shared" si="230"/>
        <v>5.2500099999998486</v>
      </c>
      <c r="BF1146" s="7">
        <f t="shared" si="231"/>
        <v>0.99981330360353726</v>
      </c>
      <c r="BG1146" s="7">
        <f t="shared" si="232"/>
        <v>0.99981330897324794</v>
      </c>
      <c r="BH1146" s="7" t="e">
        <f t="shared" si="233"/>
        <v>#N/A</v>
      </c>
      <c r="BI1146" s="7">
        <f t="shared" si="237"/>
        <v>4.128470988633269E-7</v>
      </c>
      <c r="BJ1146" s="7">
        <f t="shared" si="234"/>
        <v>-9.9958715290113676E-4</v>
      </c>
      <c r="BK1146" s="7" t="e">
        <f t="shared" si="238"/>
        <v>#N/A</v>
      </c>
      <c r="BL1146" s="7" t="e">
        <f t="shared" si="235"/>
        <v>#N/A</v>
      </c>
    </row>
    <row r="1147" spans="52:64" ht="11.25" customHeight="1">
      <c r="AZ1147" s="7">
        <f t="shared" si="226"/>
        <v>0.9999999279722992</v>
      </c>
      <c r="BA1147" s="7">
        <f t="shared" si="236"/>
        <v>5.2599999999998488</v>
      </c>
      <c r="BB1147" s="7">
        <f t="shared" si="227"/>
        <v>3.9171216759379263E-7</v>
      </c>
      <c r="BC1147" s="7" t="e">
        <f t="shared" si="228"/>
        <v>#N/A</v>
      </c>
      <c r="BD1147" s="7">
        <f t="shared" si="229"/>
        <v>5.2599899999998492</v>
      </c>
      <c r="BE1147" s="7">
        <f t="shared" si="230"/>
        <v>5.2600099999998484</v>
      </c>
      <c r="BF1147" s="7">
        <f t="shared" si="231"/>
        <v>0.99981596797229366</v>
      </c>
      <c r="BG1147" s="7">
        <f t="shared" si="232"/>
        <v>0.99981597326011606</v>
      </c>
      <c r="BH1147" s="7" t="e">
        <f t="shared" si="233"/>
        <v>#N/A</v>
      </c>
      <c r="BI1147" s="7">
        <f t="shared" si="237"/>
        <v>3.9171216759379263E-7</v>
      </c>
      <c r="BJ1147" s="7">
        <f t="shared" si="234"/>
        <v>-9.9960828783240627E-4</v>
      </c>
      <c r="BK1147" s="7" t="e">
        <f t="shared" si="238"/>
        <v>#N/A</v>
      </c>
      <c r="BL1147" s="7" t="e">
        <f t="shared" si="235"/>
        <v>#N/A</v>
      </c>
    </row>
    <row r="1148" spans="52:64" ht="11.25" customHeight="1">
      <c r="AZ1148" s="7">
        <f t="shared" si="226"/>
        <v>0.99999993178812063</v>
      </c>
      <c r="BA1148" s="7">
        <f t="shared" si="236"/>
        <v>5.2699999999998486</v>
      </c>
      <c r="BB1148" s="7">
        <f t="shared" si="227"/>
        <v>3.716220353452463E-7</v>
      </c>
      <c r="BC1148" s="7" t="e">
        <f t="shared" si="228"/>
        <v>#N/A</v>
      </c>
      <c r="BD1148" s="7">
        <f t="shared" si="229"/>
        <v>5.269989999999849</v>
      </c>
      <c r="BE1148" s="7">
        <f t="shared" si="230"/>
        <v>5.2700099999998482</v>
      </c>
      <c r="BF1148" s="7">
        <f t="shared" si="231"/>
        <v>0.99981859172717624</v>
      </c>
      <c r="BG1148" s="7">
        <f t="shared" si="232"/>
        <v>0.99981859693443031</v>
      </c>
      <c r="BH1148" s="7" t="e">
        <f t="shared" si="233"/>
        <v>#N/A</v>
      </c>
      <c r="BI1148" s="7">
        <f t="shared" si="237"/>
        <v>3.716220353452463E-7</v>
      </c>
      <c r="BJ1148" s="7">
        <f t="shared" si="234"/>
        <v>-9.9962837796465482E-4</v>
      </c>
      <c r="BK1148" s="7" t="e">
        <f t="shared" si="238"/>
        <v>#N/A</v>
      </c>
      <c r="BL1148" s="7" t="e">
        <f t="shared" si="235"/>
        <v>#N/A</v>
      </c>
    </row>
    <row r="1149" spans="52:64" ht="11.25" customHeight="1">
      <c r="AZ1149" s="7">
        <f t="shared" si="226"/>
        <v>0.99999993540805676</v>
      </c>
      <c r="BA1149" s="7">
        <f t="shared" si="236"/>
        <v>5.2799999999998484</v>
      </c>
      <c r="BB1149" s="7">
        <f t="shared" si="227"/>
        <v>3.5252703126168619E-7</v>
      </c>
      <c r="BC1149" s="7" t="e">
        <f t="shared" si="228"/>
        <v>#N/A</v>
      </c>
      <c r="BD1149" s="7">
        <f t="shared" si="229"/>
        <v>5.2799899999998487</v>
      </c>
      <c r="BE1149" s="7">
        <f t="shared" si="230"/>
        <v>5.280009999999848</v>
      </c>
      <c r="BF1149" s="7">
        <f t="shared" si="231"/>
        <v>0.99982117552267291</v>
      </c>
      <c r="BG1149" s="7">
        <f t="shared" si="232"/>
        <v>0.99982118065065673</v>
      </c>
      <c r="BH1149" s="7" t="e">
        <f t="shared" si="233"/>
        <v>#N/A</v>
      </c>
      <c r="BI1149" s="7">
        <f t="shared" si="237"/>
        <v>3.5252703126168619E-7</v>
      </c>
      <c r="BJ1149" s="7">
        <f t="shared" si="234"/>
        <v>-9.9964747296873839E-4</v>
      </c>
      <c r="BK1149" s="7" t="e">
        <f t="shared" si="238"/>
        <v>#N/A</v>
      </c>
      <c r="BL1149" s="7" t="e">
        <f t="shared" si="235"/>
        <v>#N/A</v>
      </c>
    </row>
    <row r="1150" spans="52:64" ht="11.25" customHeight="1">
      <c r="AZ1150" s="7">
        <f t="shared" si="226"/>
        <v>0.99999993884182004</v>
      </c>
      <c r="BA1150" s="7">
        <f t="shared" si="236"/>
        <v>5.2899999999998482</v>
      </c>
      <c r="BB1150" s="7">
        <f t="shared" si="227"/>
        <v>3.3437974350824902E-7</v>
      </c>
      <c r="BC1150" s="7" t="e">
        <f t="shared" si="228"/>
        <v>#N/A</v>
      </c>
      <c r="BD1150" s="7">
        <f t="shared" si="229"/>
        <v>5.2899899999998485</v>
      </c>
      <c r="BE1150" s="7">
        <f t="shared" si="230"/>
        <v>5.2900099999998478</v>
      </c>
      <c r="BF1150" s="7">
        <f t="shared" si="231"/>
        <v>0.99982372000222997</v>
      </c>
      <c r="BG1150" s="7">
        <f t="shared" si="232"/>
        <v>0.99982372505221928</v>
      </c>
      <c r="BH1150" s="7" t="e">
        <f t="shared" si="233"/>
        <v>#N/A</v>
      </c>
      <c r="BI1150" s="7">
        <f t="shared" si="237"/>
        <v>3.3437974350824902E-7</v>
      </c>
      <c r="BJ1150" s="7">
        <f t="shared" si="234"/>
        <v>-9.9966562025649184E-4</v>
      </c>
      <c r="BK1150" s="7" t="e">
        <f t="shared" si="238"/>
        <v>#N/A</v>
      </c>
      <c r="BL1150" s="7" t="e">
        <f t="shared" si="235"/>
        <v>#N/A</v>
      </c>
    </row>
    <row r="1151" spans="52:64" ht="11.25" customHeight="1">
      <c r="AZ1151" s="7">
        <f t="shared" si="226"/>
        <v>0.99999994209865961</v>
      </c>
      <c r="BA1151" s="7">
        <f t="shared" si="236"/>
        <v>5.2999999999998479</v>
      </c>
      <c r="BB1151" s="7">
        <f t="shared" si="227"/>
        <v>3.1713492167185329E-7</v>
      </c>
      <c r="BC1151" s="7" t="e">
        <f t="shared" si="228"/>
        <v>#N/A</v>
      </c>
      <c r="BD1151" s="7">
        <f t="shared" si="229"/>
        <v>5.2999899999998483</v>
      </c>
      <c r="BE1151" s="7">
        <f t="shared" si="230"/>
        <v>5.3000099999998476</v>
      </c>
      <c r="BF1151" s="7">
        <f t="shared" si="231"/>
        <v>0.99982622579844416</v>
      </c>
      <c r="BG1151" s="7">
        <f t="shared" si="232"/>
        <v>0.99982623077169352</v>
      </c>
      <c r="BH1151" s="7" t="e">
        <f t="shared" si="233"/>
        <v>#N/A</v>
      </c>
      <c r="BI1151" s="7">
        <f t="shared" si="237"/>
        <v>3.1713492167185329E-7</v>
      </c>
      <c r="BJ1151" s="7">
        <f t="shared" si="234"/>
        <v>-9.996828650783282E-4</v>
      </c>
      <c r="BK1151" s="7" t="e">
        <f t="shared" si="238"/>
        <v>#N/A</v>
      </c>
      <c r="BL1151" s="7" t="e">
        <f t="shared" si="235"/>
        <v>#N/A</v>
      </c>
    </row>
    <row r="1152" spans="52:64" ht="11.25" customHeight="1">
      <c r="AZ1152" s="7">
        <f t="shared" si="226"/>
        <v>0.99999994518738256</v>
      </c>
      <c r="BA1152" s="7">
        <f t="shared" si="236"/>
        <v>5.3099999999998477</v>
      </c>
      <c r="BB1152" s="7">
        <f t="shared" si="227"/>
        <v>3.0074938312862632E-7</v>
      </c>
      <c r="BC1152" s="7" t="e">
        <f t="shared" si="228"/>
        <v>#N/A</v>
      </c>
      <c r="BD1152" s="7">
        <f t="shared" si="229"/>
        <v>5.3099899999998481</v>
      </c>
      <c r="BE1152" s="7">
        <f t="shared" si="230"/>
        <v>5.3100099999998474</v>
      </c>
      <c r="BF1152" s="7">
        <f t="shared" si="231"/>
        <v>0.99982869353325343</v>
      </c>
      <c r="BG1152" s="7">
        <f t="shared" si="232"/>
        <v>0.9998286984309962</v>
      </c>
      <c r="BH1152" s="7" t="e">
        <f t="shared" si="233"/>
        <v>#N/A</v>
      </c>
      <c r="BI1152" s="7">
        <f t="shared" si="237"/>
        <v>3.0074938312862632E-7</v>
      </c>
      <c r="BJ1152" s="7">
        <f t="shared" si="234"/>
        <v>-9.9969925061687138E-4</v>
      </c>
      <c r="BK1152" s="7" t="e">
        <f t="shared" si="238"/>
        <v>#N/A</v>
      </c>
      <c r="BL1152" s="7" t="e">
        <f t="shared" si="235"/>
        <v>#N/A</v>
      </c>
    </row>
    <row r="1153" spans="52:64" ht="11.25" customHeight="1">
      <c r="AZ1153" s="7">
        <f t="shared" si="226"/>
        <v>0.99999994811637394</v>
      </c>
      <c r="BA1153" s="7">
        <f t="shared" si="236"/>
        <v>5.3199999999998475</v>
      </c>
      <c r="BB1153" s="7">
        <f t="shared" si="227"/>
        <v>2.8518192322862913E-7</v>
      </c>
      <c r="BC1153" s="7" t="e">
        <f t="shared" si="228"/>
        <v>#N/A</v>
      </c>
      <c r="BD1153" s="7">
        <f t="shared" si="229"/>
        <v>5.3199899999998479</v>
      </c>
      <c r="BE1153" s="7">
        <f t="shared" si="230"/>
        <v>5.3200099999998471</v>
      </c>
      <c r="BF1153" s="7">
        <f t="shared" si="231"/>
        <v>0.99983112381812256</v>
      </c>
      <c r="BG1153" s="7">
        <f t="shared" si="232"/>
        <v>0.9998311286415712</v>
      </c>
      <c r="BH1153" s="7" t="e">
        <f t="shared" si="233"/>
        <v>#N/A</v>
      </c>
      <c r="BI1153" s="7">
        <f t="shared" si="237"/>
        <v>2.8518192322862913E-7</v>
      </c>
      <c r="BJ1153" s="7">
        <f t="shared" si="234"/>
        <v>-9.9971481807677133E-4</v>
      </c>
      <c r="BK1153" s="7" t="e">
        <f t="shared" si="238"/>
        <v>#N/A</v>
      </c>
      <c r="BL1153" s="7" t="e">
        <f t="shared" si="235"/>
        <v>#N/A</v>
      </c>
    </row>
    <row r="1154" spans="52:64" ht="11.25" customHeight="1">
      <c r="AZ1154" s="7">
        <f t="shared" si="226"/>
        <v>0.99999995089361671</v>
      </c>
      <c r="BA1154" s="7">
        <f t="shared" si="236"/>
        <v>5.3299999999998473</v>
      </c>
      <c r="BB1154" s="7">
        <f t="shared" si="227"/>
        <v>2.7039322915351301E-7</v>
      </c>
      <c r="BC1154" s="7" t="e">
        <f t="shared" si="228"/>
        <v>#N/A</v>
      </c>
      <c r="BD1154" s="7">
        <f t="shared" si="229"/>
        <v>5.3299899999998477</v>
      </c>
      <c r="BE1154" s="7">
        <f t="shared" si="230"/>
        <v>5.3300099999998469</v>
      </c>
      <c r="BF1154" s="7">
        <f t="shared" si="231"/>
        <v>0.9998335172542262</v>
      </c>
      <c r="BG1154" s="7">
        <f t="shared" si="232"/>
        <v>0.99983352200457287</v>
      </c>
      <c r="BH1154" s="7" t="e">
        <f t="shared" si="233"/>
        <v>#N/A</v>
      </c>
      <c r="BI1154" s="7">
        <f t="shared" si="237"/>
        <v>2.7039322915351301E-7</v>
      </c>
      <c r="BJ1154" s="7">
        <f t="shared" si="234"/>
        <v>-9.9972960677084644E-4</v>
      </c>
      <c r="BK1154" s="7" t="e">
        <f t="shared" si="238"/>
        <v>#N/A</v>
      </c>
      <c r="BL1154" s="7" t="e">
        <f t="shared" si="235"/>
        <v>#N/A</v>
      </c>
    </row>
    <row r="1155" spans="52:64" ht="11.25" customHeight="1">
      <c r="AZ1155" s="7">
        <f t="shared" si="226"/>
        <v>0.99999995352670923</v>
      </c>
      <c r="BA1155" s="7">
        <f t="shared" si="236"/>
        <v>5.3399999999998471</v>
      </c>
      <c r="BB1155" s="7">
        <f t="shared" si="227"/>
        <v>2.563457973076683E-7</v>
      </c>
      <c r="BC1155" s="7" t="e">
        <f t="shared" si="228"/>
        <v>#N/A</v>
      </c>
      <c r="BD1155" s="7">
        <f t="shared" si="229"/>
        <v>5.3399899999998475</v>
      </c>
      <c r="BE1155" s="7">
        <f t="shared" si="230"/>
        <v>5.3400099999998467</v>
      </c>
      <c r="BF1155" s="7">
        <f t="shared" si="231"/>
        <v>0.99983587443262867</v>
      </c>
      <c r="BG1155" s="7">
        <f t="shared" si="232"/>
        <v>0.99983587911104543</v>
      </c>
      <c r="BH1155" s="7" t="e">
        <f t="shared" si="233"/>
        <v>#N/A</v>
      </c>
      <c r="BI1155" s="7">
        <f t="shared" si="237"/>
        <v>2.563457973076683E-7</v>
      </c>
      <c r="BJ1155" s="7">
        <f t="shared" si="234"/>
        <v>-9.9974365420269244E-4</v>
      </c>
      <c r="BK1155" s="7" t="e">
        <f t="shared" si="238"/>
        <v>#N/A</v>
      </c>
      <c r="BL1155" s="7" t="e">
        <f t="shared" si="235"/>
        <v>#N/A</v>
      </c>
    </row>
    <row r="1156" spans="52:64" ht="11.25" customHeight="1">
      <c r="AZ1156" s="7">
        <f t="shared" si="226"/>
        <v>0.99999995602288405</v>
      </c>
      <c r="BA1156" s="7">
        <f t="shared" si="236"/>
        <v>5.3499999999998469</v>
      </c>
      <c r="BB1156" s="7">
        <f t="shared" si="227"/>
        <v>2.4300385410825208E-7</v>
      </c>
      <c r="BC1156" s="7" t="e">
        <f t="shared" si="228"/>
        <v>#N/A</v>
      </c>
      <c r="BD1156" s="7">
        <f t="shared" si="229"/>
        <v>5.3499899999998473</v>
      </c>
      <c r="BE1156" s="7">
        <f t="shared" si="230"/>
        <v>5.3500099999998465</v>
      </c>
      <c r="BF1156" s="7">
        <f t="shared" si="231"/>
        <v>0.99983819593446011</v>
      </c>
      <c r="BG1156" s="7">
        <f t="shared" si="232"/>
        <v>0.99983820054209949</v>
      </c>
      <c r="BH1156" s="7" t="e">
        <f t="shared" si="233"/>
        <v>#N/A</v>
      </c>
      <c r="BI1156" s="7">
        <f t="shared" si="237"/>
        <v>2.4300385410825208E-7</v>
      </c>
      <c r="BJ1156" s="7">
        <f t="shared" si="234"/>
        <v>-9.9975699614589177E-4</v>
      </c>
      <c r="BK1156" s="7" t="e">
        <f t="shared" si="238"/>
        <v>#N/A</v>
      </c>
      <c r="BL1156" s="7" t="e">
        <f t="shared" si="235"/>
        <v>#N/A</v>
      </c>
    </row>
    <row r="1157" spans="52:64" ht="11.25" customHeight="1">
      <c r="AZ1157" s="7">
        <f t="shared" si="226"/>
        <v>0.999999958389024</v>
      </c>
      <c r="BA1157" s="7">
        <f t="shared" si="236"/>
        <v>5.3599999999998467</v>
      </c>
      <c r="BB1157" s="7">
        <f t="shared" si="227"/>
        <v>2.3033328004411047E-7</v>
      </c>
      <c r="BC1157" s="7" t="e">
        <f t="shared" si="228"/>
        <v>#N/A</v>
      </c>
      <c r="BD1157" s="7">
        <f t="shared" si="229"/>
        <v>5.359989999999847</v>
      </c>
      <c r="BE1157" s="7">
        <f t="shared" si="230"/>
        <v>5.3600099999998463</v>
      </c>
      <c r="BF1157" s="7">
        <f t="shared" si="231"/>
        <v>0.99984048233109002</v>
      </c>
      <c r="BG1157" s="7">
        <f t="shared" si="232"/>
        <v>0.99984048686908511</v>
      </c>
      <c r="BH1157" s="7" t="e">
        <f t="shared" si="233"/>
        <v>#N/A</v>
      </c>
      <c r="BI1157" s="7">
        <f t="shared" si="237"/>
        <v>2.3033328004411047E-7</v>
      </c>
      <c r="BJ1157" s="7">
        <f t="shared" si="234"/>
        <v>-9.997696667199559E-4</v>
      </c>
      <c r="BK1157" s="7" t="e">
        <f t="shared" si="238"/>
        <v>#N/A</v>
      </c>
      <c r="BL1157" s="7" t="e">
        <f t="shared" si="235"/>
        <v>#N/A</v>
      </c>
    </row>
    <row r="1158" spans="52:64" ht="11.25" customHeight="1">
      <c r="AZ1158" s="7">
        <f t="shared" si="226"/>
        <v>0.99999996063167895</v>
      </c>
      <c r="BA1158" s="7">
        <f t="shared" si="236"/>
        <v>5.3699999999998465</v>
      </c>
      <c r="BB1158" s="7">
        <f t="shared" si="227"/>
        <v>2.1830153687815879E-7</v>
      </c>
      <c r="BC1158" s="7" t="e">
        <f t="shared" si="228"/>
        <v>#N/A</v>
      </c>
      <c r="BD1158" s="7">
        <f t="shared" si="229"/>
        <v>5.3699899999998468</v>
      </c>
      <c r="BE1158" s="7">
        <f t="shared" si="230"/>
        <v>5.3700099999998461</v>
      </c>
      <c r="BF1158" s="7">
        <f t="shared" si="231"/>
        <v>0.99984273418429759</v>
      </c>
      <c r="BG1158" s="7">
        <f t="shared" si="232"/>
        <v>0.99984273865376239</v>
      </c>
      <c r="BH1158" s="7" t="e">
        <f t="shared" si="233"/>
        <v>#N/A</v>
      </c>
      <c r="BI1158" s="7">
        <f t="shared" si="237"/>
        <v>2.1830153687815879E-7</v>
      </c>
      <c r="BJ1158" s="7">
        <f t="shared" si="234"/>
        <v>-9.9978169846312191E-4</v>
      </c>
      <c r="BK1158" s="7" t="e">
        <f t="shared" si="238"/>
        <v>#N/A</v>
      </c>
      <c r="BL1158" s="7" t="e">
        <f t="shared" si="235"/>
        <v>#N/A</v>
      </c>
    </row>
    <row r="1159" spans="52:64" ht="11.25" customHeight="1">
      <c r="AZ1159" s="7">
        <f t="shared" si="226"/>
        <v>0.9999999627570807</v>
      </c>
      <c r="BA1159" s="7">
        <f t="shared" si="236"/>
        <v>5.3799999999998462</v>
      </c>
      <c r="BB1159" s="7">
        <f t="shared" si="227"/>
        <v>2.0687759787213633E-7</v>
      </c>
      <c r="BC1159" s="7" t="e">
        <f t="shared" si="228"/>
        <v>#N/A</v>
      </c>
      <c r="BD1159" s="7">
        <f t="shared" si="229"/>
        <v>5.3799899999998466</v>
      </c>
      <c r="BE1159" s="7">
        <f t="shared" si="230"/>
        <v>5.3800099999998459</v>
      </c>
      <c r="BF1159" s="7">
        <f t="shared" si="231"/>
        <v>0.99984495204643831</v>
      </c>
      <c r="BG1159" s="7">
        <f t="shared" si="232"/>
        <v>0.99984495644846827</v>
      </c>
      <c r="BH1159" s="7" t="e">
        <f t="shared" si="233"/>
        <v>#N/A</v>
      </c>
      <c r="BI1159" s="7">
        <f t="shared" si="237"/>
        <v>2.0687759787213633E-7</v>
      </c>
      <c r="BJ1159" s="7">
        <f t="shared" si="234"/>
        <v>-9.9979312240212784E-4</v>
      </c>
      <c r="BK1159" s="7" t="e">
        <f t="shared" si="238"/>
        <v>#N/A</v>
      </c>
      <c r="BL1159" s="7" t="e">
        <f t="shared" si="235"/>
        <v>#N/A</v>
      </c>
    </row>
    <row r="1160" spans="52:64" ht="11.25" customHeight="1">
      <c r="AZ1160" s="7">
        <f t="shared" si="226"/>
        <v>0.99999996477115816</v>
      </c>
      <c r="BA1160" s="7">
        <f t="shared" si="236"/>
        <v>5.389999999999846</v>
      </c>
      <c r="BB1160" s="7">
        <f t="shared" si="227"/>
        <v>1.9603188091691979E-7</v>
      </c>
      <c r="BC1160" s="7" t="e">
        <f t="shared" si="228"/>
        <v>#N/A</v>
      </c>
      <c r="BD1160" s="7">
        <f t="shared" si="229"/>
        <v>5.3899899999998464</v>
      </c>
      <c r="BE1160" s="7">
        <f t="shared" si="230"/>
        <v>5.3900099999998456</v>
      </c>
      <c r="BF1160" s="7">
        <f t="shared" si="231"/>
        <v>0.99984713646060841</v>
      </c>
      <c r="BG1160" s="7">
        <f t="shared" si="232"/>
        <v>0.99984714079628045</v>
      </c>
      <c r="BH1160" s="7" t="e">
        <f t="shared" si="233"/>
        <v>#N/A</v>
      </c>
      <c r="BI1160" s="7">
        <f t="shared" si="237"/>
        <v>1.9603188091691979E-7</v>
      </c>
      <c r="BJ1160" s="7">
        <f t="shared" si="234"/>
        <v>-9.9980396811908301E-4</v>
      </c>
      <c r="BK1160" s="7" t="e">
        <f t="shared" si="238"/>
        <v>#N/A</v>
      </c>
      <c r="BL1160" s="7" t="e">
        <f t="shared" si="235"/>
        <v>#N/A</v>
      </c>
    </row>
    <row r="1161" spans="52:64" ht="11.25" customHeight="1">
      <c r="AZ1161" s="7">
        <f t="shared" si="226"/>
        <v>0.99999996667955149</v>
      </c>
      <c r="BA1161" s="7">
        <f t="shared" si="236"/>
        <v>5.3999999999998458</v>
      </c>
      <c r="BB1161" s="7">
        <f t="shared" si="227"/>
        <v>1.85736184455684E-7</v>
      </c>
      <c r="BC1161" s="7" t="e">
        <f t="shared" si="228"/>
        <v>#N/A</v>
      </c>
      <c r="BD1161" s="7">
        <f t="shared" si="229"/>
        <v>5.3999899999998462</v>
      </c>
      <c r="BE1161" s="7">
        <f t="shared" si="230"/>
        <v>5.4000099999998454</v>
      </c>
      <c r="BF1161" s="7">
        <f t="shared" si="231"/>
        <v>0.99984928796080585</v>
      </c>
      <c r="BG1161" s="7">
        <f t="shared" si="232"/>
        <v>0.99984929223117902</v>
      </c>
      <c r="BH1161" s="7" t="e">
        <f t="shared" si="233"/>
        <v>#N/A</v>
      </c>
      <c r="BI1161" s="7">
        <f t="shared" si="237"/>
        <v>1.85736184455684E-7</v>
      </c>
      <c r="BJ1161" s="7">
        <f t="shared" si="234"/>
        <v>-9.9981426381554441E-4</v>
      </c>
      <c r="BK1161" s="7" t="e">
        <f t="shared" si="238"/>
        <v>#N/A</v>
      </c>
      <c r="BL1161" s="7" t="e">
        <f t="shared" si="235"/>
        <v>#N/A</v>
      </c>
    </row>
    <row r="1162" spans="52:64" ht="11.25" customHeight="1">
      <c r="AZ1162" s="7">
        <f t="shared" si="226"/>
        <v>0.99999996848762551</v>
      </c>
      <c r="BA1162" s="7">
        <f t="shared" si="236"/>
        <v>5.4099999999998456</v>
      </c>
      <c r="BB1162" s="7">
        <f t="shared" si="227"/>
        <v>1.759636260911928E-7</v>
      </c>
      <c r="BC1162" s="7" t="e">
        <f t="shared" si="228"/>
        <v>#N/A</v>
      </c>
      <c r="BD1162" s="7">
        <f t="shared" si="229"/>
        <v>5.409989999999846</v>
      </c>
      <c r="BE1162" s="7">
        <f t="shared" si="230"/>
        <v>5.4100099999998452</v>
      </c>
      <c r="BF1162" s="7">
        <f t="shared" si="231"/>
        <v>0.99985140707208919</v>
      </c>
      <c r="BG1162" s="7">
        <f t="shared" si="232"/>
        <v>0.99985141127820476</v>
      </c>
      <c r="BH1162" s="7" t="e">
        <f t="shared" si="233"/>
        <v>#N/A</v>
      </c>
      <c r="BI1162" s="7">
        <f t="shared" si="237"/>
        <v>1.759636260911928E-7</v>
      </c>
      <c r="BJ1162" s="7">
        <f t="shared" si="234"/>
        <v>-9.9982403637390873E-4</v>
      </c>
      <c r="BK1162" s="7" t="e">
        <f t="shared" si="238"/>
        <v>#N/A</v>
      </c>
      <c r="BL1162" s="7" t="e">
        <f t="shared" si="235"/>
        <v>#N/A</v>
      </c>
    </row>
    <row r="1163" spans="52:64" ht="11.25" customHeight="1">
      <c r="AZ1163" s="7">
        <f t="shared" si="226"/>
        <v>0.99999997020048226</v>
      </c>
      <c r="BA1163" s="7">
        <f t="shared" si="236"/>
        <v>5.4199999999998454</v>
      </c>
      <c r="BB1163" s="7">
        <f t="shared" si="227"/>
        <v>1.6668858377236801E-7</v>
      </c>
      <c r="BC1163" s="7" t="e">
        <f t="shared" si="228"/>
        <v>#N/A</v>
      </c>
      <c r="BD1163" s="7">
        <f t="shared" si="229"/>
        <v>5.4199899999998458</v>
      </c>
      <c r="BE1163" s="7">
        <f t="shared" si="230"/>
        <v>5.420009999999845</v>
      </c>
      <c r="BF1163" s="7">
        <f t="shared" si="231"/>
        <v>0.99985349431073223</v>
      </c>
      <c r="BG1163" s="7">
        <f t="shared" si="232"/>
        <v>0.99985349845361404</v>
      </c>
      <c r="BH1163" s="7" t="e">
        <f t="shared" si="233"/>
        <v>#N/A</v>
      </c>
      <c r="BI1163" s="7">
        <f t="shared" si="237"/>
        <v>1.6668858377236801E-7</v>
      </c>
      <c r="BJ1163" s="7">
        <f t="shared" si="234"/>
        <v>-9.9983331141622776E-4</v>
      </c>
      <c r="BK1163" s="7" t="e">
        <f t="shared" si="238"/>
        <v>#N/A</v>
      </c>
      <c r="BL1163" s="7" t="e">
        <f t="shared" si="235"/>
        <v>#N/A</v>
      </c>
    </row>
    <row r="1164" spans="52:64" ht="11.25" customHeight="1">
      <c r="AZ1164" s="7">
        <f t="shared" si="226"/>
        <v>0.99999997182297407</v>
      </c>
      <c r="BA1164" s="7">
        <f t="shared" si="236"/>
        <v>5.4299999999998452</v>
      </c>
      <c r="BB1164" s="7">
        <f t="shared" si="227"/>
        <v>1.5788663945902299E-7</v>
      </c>
      <c r="BC1164" s="7" t="e">
        <f t="shared" si="228"/>
        <v>#N/A</v>
      </c>
      <c r="BD1164" s="7">
        <f t="shared" si="229"/>
        <v>5.4299899999998456</v>
      </c>
      <c r="BE1164" s="7">
        <f t="shared" si="230"/>
        <v>5.4300099999998448</v>
      </c>
      <c r="BF1164" s="7">
        <f t="shared" si="231"/>
        <v>0.99985555018437733</v>
      </c>
      <c r="BG1164" s="7">
        <f t="shared" si="232"/>
        <v>0.99985555426503203</v>
      </c>
      <c r="BH1164" s="7" t="e">
        <f t="shared" si="233"/>
        <v>#N/A</v>
      </c>
      <c r="BI1164" s="7">
        <f t="shared" si="237"/>
        <v>1.5788663945902299E-7</v>
      </c>
      <c r="BJ1164" s="7">
        <f t="shared" si="234"/>
        <v>-9.9984211336054092E-4</v>
      </c>
      <c r="BK1164" s="7" t="e">
        <f t="shared" si="238"/>
        <v>#N/A</v>
      </c>
      <c r="BL1164" s="7" t="e">
        <f t="shared" si="235"/>
        <v>#N/A</v>
      </c>
    </row>
    <row r="1165" spans="52:64" ht="11.25" customHeight="1">
      <c r="AZ1165" s="7">
        <f t="shared" si="226"/>
        <v>0.99999997335971436</v>
      </c>
      <c r="BA1165" s="7">
        <f t="shared" si="236"/>
        <v>5.439999999999845</v>
      </c>
      <c r="BB1165" s="7">
        <f t="shared" si="227"/>
        <v>1.4953452516728561E-7</v>
      </c>
      <c r="BC1165" s="7" t="e">
        <f t="shared" si="228"/>
        <v>#N/A</v>
      </c>
      <c r="BD1165" s="7">
        <f t="shared" si="229"/>
        <v>5.4399899999998453</v>
      </c>
      <c r="BE1165" s="7">
        <f t="shared" si="230"/>
        <v>5.4400099999998446</v>
      </c>
      <c r="BF1165" s="7">
        <f t="shared" si="231"/>
        <v>0.9998575751921851</v>
      </c>
      <c r="BG1165" s="7">
        <f t="shared" si="232"/>
        <v>0.99985757921160268</v>
      </c>
      <c r="BH1165" s="7" t="e">
        <f t="shared" si="233"/>
        <v>#N/A</v>
      </c>
      <c r="BI1165" s="7">
        <f t="shared" si="237"/>
        <v>1.4953452516728561E-7</v>
      </c>
      <c r="BJ1165" s="7">
        <f t="shared" si="234"/>
        <v>-9.9985046547483277E-4</v>
      </c>
      <c r="BK1165" s="7" t="e">
        <f t="shared" si="238"/>
        <v>#N/A</v>
      </c>
      <c r="BL1165" s="7" t="e">
        <f t="shared" si="235"/>
        <v>#N/A</v>
      </c>
    </row>
    <row r="1166" spans="52:64" ht="11.25" customHeight="1">
      <c r="AZ1166" s="7">
        <f t="shared" si="226"/>
        <v>0.99999997481508995</v>
      </c>
      <c r="BA1166" s="7">
        <f t="shared" si="236"/>
        <v>5.4499999999998447</v>
      </c>
      <c r="BB1166" s="7">
        <f t="shared" si="227"/>
        <v>1.4161007130173148E-7</v>
      </c>
      <c r="BC1166" s="7" t="e">
        <f t="shared" si="228"/>
        <v>#N/A</v>
      </c>
      <c r="BD1166" s="7">
        <f t="shared" si="229"/>
        <v>5.4499899999998451</v>
      </c>
      <c r="BE1166" s="7">
        <f t="shared" si="230"/>
        <v>5.4500099999998444</v>
      </c>
      <c r="BF1166" s="7">
        <f t="shared" si="231"/>
        <v>0.99985956982498159</v>
      </c>
      <c r="BG1166" s="7">
        <f t="shared" si="232"/>
        <v>0.99985957378413548</v>
      </c>
      <c r="BH1166" s="7" t="e">
        <f t="shared" si="233"/>
        <v>#N/A</v>
      </c>
      <c r="BI1166" s="7">
        <f t="shared" si="237"/>
        <v>1.4161007130173148E-7</v>
      </c>
      <c r="BJ1166" s="7">
        <f t="shared" si="234"/>
        <v>-9.9985838992869822E-4</v>
      </c>
      <c r="BK1166" s="7" t="e">
        <f t="shared" si="238"/>
        <v>#N/A</v>
      </c>
      <c r="BL1166" s="7" t="e">
        <f t="shared" si="235"/>
        <v>#N/A</v>
      </c>
    </row>
    <row r="1167" spans="52:64" ht="11.25" customHeight="1">
      <c r="AZ1167" s="7">
        <f t="shared" si="226"/>
        <v>0.99999997619327086</v>
      </c>
      <c r="BA1167" s="7">
        <f t="shared" si="236"/>
        <v>5.4599999999998445</v>
      </c>
      <c r="BB1167" s="7">
        <f t="shared" si="227"/>
        <v>1.3409215718366112E-7</v>
      </c>
      <c r="BC1167" s="7" t="e">
        <f t="shared" si="228"/>
        <v>#N/A</v>
      </c>
      <c r="BD1167" s="7">
        <f t="shared" si="229"/>
        <v>5.4599899999998449</v>
      </c>
      <c r="BE1167" s="7">
        <f t="shared" si="230"/>
        <v>5.4600099999998442</v>
      </c>
      <c r="BF1167" s="7">
        <f t="shared" si="231"/>
        <v>0.99986153456540339</v>
      </c>
      <c r="BG1167" s="7">
        <f t="shared" si="232"/>
        <v>0.99986153846525072</v>
      </c>
      <c r="BH1167" s="7" t="e">
        <f t="shared" si="233"/>
        <v>#N/A</v>
      </c>
      <c r="BI1167" s="7">
        <f t="shared" si="237"/>
        <v>1.3409215718366112E-7</v>
      </c>
      <c r="BJ1167" s="7">
        <f t="shared" si="234"/>
        <v>-9.9986590784281629E-4</v>
      </c>
      <c r="BK1167" s="7" t="e">
        <f t="shared" si="238"/>
        <v>#N/A</v>
      </c>
      <c r="BL1167" s="7" t="e">
        <f t="shared" si="235"/>
        <v>#N/A</v>
      </c>
    </row>
    <row r="1168" spans="52:64" ht="11.25" customHeight="1">
      <c r="AZ1168" s="7">
        <f t="shared" si="226"/>
        <v>0.999999977498221</v>
      </c>
      <c r="BA1168" s="7">
        <f t="shared" si="236"/>
        <v>5.4699999999998443</v>
      </c>
      <c r="BB1168" s="7">
        <f t="shared" si="227"/>
        <v>1.2696066368823708E-7</v>
      </c>
      <c r="BC1168" s="7" t="e">
        <f t="shared" si="228"/>
        <v>#N/A</v>
      </c>
      <c r="BD1168" s="7">
        <f t="shared" si="229"/>
        <v>5.4699899999998447</v>
      </c>
      <c r="BE1168" s="7">
        <f t="shared" si="230"/>
        <v>5.4700099999998439</v>
      </c>
      <c r="BF1168" s="7">
        <f t="shared" si="231"/>
        <v>0.99986346988803909</v>
      </c>
      <c r="BG1168" s="7">
        <f t="shared" si="232"/>
        <v>0.99986347372952111</v>
      </c>
      <c r="BH1168" s="7" t="e">
        <f t="shared" si="233"/>
        <v>#N/A</v>
      </c>
      <c r="BI1168" s="7">
        <f t="shared" si="237"/>
        <v>1.2696066368823708E-7</v>
      </c>
      <c r="BJ1168" s="7">
        <f t="shared" si="234"/>
        <v>-9.9987303933631185E-4</v>
      </c>
      <c r="BK1168" s="7" t="e">
        <f t="shared" si="238"/>
        <v>#N/A</v>
      </c>
      <c r="BL1168" s="7" t="e">
        <f t="shared" si="235"/>
        <v>#N/A</v>
      </c>
    </row>
    <row r="1169" spans="52:64" ht="11.25" customHeight="1">
      <c r="AZ1169" s="7">
        <f t="shared" si="226"/>
        <v>0.99999997873370816</v>
      </c>
      <c r="BA1169" s="7">
        <f t="shared" si="236"/>
        <v>5.4799999999998441</v>
      </c>
      <c r="BB1169" s="7">
        <f t="shared" si="227"/>
        <v>1.2019642790638519E-7</v>
      </c>
      <c r="BC1169" s="7" t="e">
        <f t="shared" si="228"/>
        <v>#N/A</v>
      </c>
      <c r="BD1169" s="7">
        <f t="shared" si="229"/>
        <v>5.4799899999998445</v>
      </c>
      <c r="BE1169" s="7">
        <f t="shared" si="230"/>
        <v>5.4800099999998437</v>
      </c>
      <c r="BF1169" s="7">
        <f t="shared" si="231"/>
        <v>0.99986537625956928</v>
      </c>
      <c r="BG1169" s="7">
        <f t="shared" si="232"/>
        <v>0.99986538004361147</v>
      </c>
      <c r="BH1169" s="7" t="e">
        <f t="shared" si="233"/>
        <v>#N/A</v>
      </c>
      <c r="BI1169" s="7">
        <f t="shared" si="237"/>
        <v>1.2019642790638519E-7</v>
      </c>
      <c r="BJ1169" s="7">
        <f t="shared" si="234"/>
        <v>-9.9987980357209359E-4</v>
      </c>
      <c r="BK1169" s="7" t="e">
        <f t="shared" si="238"/>
        <v>#N/A</v>
      </c>
      <c r="BL1169" s="7" t="e">
        <f t="shared" si="235"/>
        <v>#N/A</v>
      </c>
    </row>
    <row r="1170" spans="52:64" ht="11.25" customHeight="1">
      <c r="AZ1170" s="7">
        <f t="shared" si="226"/>
        <v>0.99999997990331291</v>
      </c>
      <c r="BA1170" s="7">
        <f t="shared" si="236"/>
        <v>5.4899999999998439</v>
      </c>
      <c r="BB1170" s="7">
        <f t="shared" si="227"/>
        <v>1.1378119975044371E-7</v>
      </c>
      <c r="BC1170" s="7" t="e">
        <f t="shared" si="228"/>
        <v>#N/A</v>
      </c>
      <c r="BD1170" s="7">
        <f t="shared" si="229"/>
        <v>5.4899899999998443</v>
      </c>
      <c r="BE1170" s="7">
        <f t="shared" si="230"/>
        <v>5.4900099999998435</v>
      </c>
      <c r="BF1170" s="7">
        <f t="shared" si="231"/>
        <v>0.99986725413890343</v>
      </c>
      <c r="BG1170" s="7">
        <f t="shared" si="232"/>
        <v>0.99986725786641595</v>
      </c>
      <c r="BH1170" s="7" t="e">
        <f t="shared" si="233"/>
        <v>#N/A</v>
      </c>
      <c r="BI1170" s="7">
        <f t="shared" si="237"/>
        <v>1.1378119975044371E-7</v>
      </c>
      <c r="BJ1170" s="7">
        <f t="shared" si="234"/>
        <v>-9.9988621880024958E-4</v>
      </c>
      <c r="BK1170" s="7" t="e">
        <f t="shared" si="238"/>
        <v>#N/A</v>
      </c>
      <c r="BL1170" s="7" t="e">
        <f t="shared" si="235"/>
        <v>#N/A</v>
      </c>
    </row>
    <row r="1171" spans="52:64" ht="11.25" customHeight="1">
      <c r="AZ1171" s="7">
        <f t="shared" si="226"/>
        <v>0.99999998101043752</v>
      </c>
      <c r="BA1171" s="7">
        <f t="shared" si="236"/>
        <v>5.4999999999998437</v>
      </c>
      <c r="BB1171" s="7">
        <f t="shared" si="227"/>
        <v>1.0769760042552535E-7</v>
      </c>
      <c r="BC1171" s="7" t="e">
        <f t="shared" si="228"/>
        <v>#N/A</v>
      </c>
      <c r="BD1171" s="7">
        <f t="shared" si="229"/>
        <v>5.4999899999998441</v>
      </c>
      <c r="BE1171" s="7">
        <f t="shared" si="230"/>
        <v>5.5000099999998433</v>
      </c>
      <c r="BF1171" s="7">
        <f t="shared" si="231"/>
        <v>0.99986910397731432</v>
      </c>
      <c r="BG1171" s="7">
        <f t="shared" si="232"/>
        <v>0.99986910764919212</v>
      </c>
      <c r="BH1171" s="7" t="e">
        <f t="shared" si="233"/>
        <v>#N/A</v>
      </c>
      <c r="BI1171" s="7">
        <f t="shared" si="237"/>
        <v>1.0769760042552535E-7</v>
      </c>
      <c r="BJ1171" s="7">
        <f t="shared" si="234"/>
        <v>-9.998923023995744E-4</v>
      </c>
      <c r="BK1171" s="7" t="e">
        <f t="shared" si="238"/>
        <v>#N/A</v>
      </c>
      <c r="BL1171" s="7" t="e">
        <f t="shared" si="235"/>
        <v>#N/A</v>
      </c>
    </row>
    <row r="1172" spans="52:64" ht="11.25" customHeight="1">
      <c r="AZ1172" s="7">
        <f t="shared" si="226"/>
        <v>0.99999998205831508</v>
      </c>
      <c r="BA1172" s="7">
        <f t="shared" si="236"/>
        <v>5.5099999999998435</v>
      </c>
      <c r="BB1172" s="7">
        <f t="shared" si="227"/>
        <v>1.0192908269144073E-7</v>
      </c>
      <c r="BC1172" s="7" t="e">
        <f t="shared" si="228"/>
        <v>#N/A</v>
      </c>
      <c r="BD1172" s="7">
        <f t="shared" si="229"/>
        <v>5.5099899999998438</v>
      </c>
      <c r="BE1172" s="7">
        <f t="shared" si="230"/>
        <v>5.5100099999998431</v>
      </c>
      <c r="BF1172" s="7">
        <f t="shared" si="231"/>
        <v>0.99987092621857054</v>
      </c>
      <c r="BG1172" s="7">
        <f t="shared" si="232"/>
        <v>0.9998709298356937</v>
      </c>
      <c r="BH1172" s="7" t="e">
        <f t="shared" si="233"/>
        <v>#N/A</v>
      </c>
      <c r="BI1172" s="7">
        <f t="shared" si="237"/>
        <v>1.0192908269144073E-7</v>
      </c>
      <c r="BJ1172" s="7">
        <f t="shared" si="234"/>
        <v>-9.9989807091730863E-4</v>
      </c>
      <c r="BK1172" s="7" t="e">
        <f t="shared" si="238"/>
        <v>#N/A</v>
      </c>
      <c r="BL1172" s="7" t="e">
        <f t="shared" si="235"/>
        <v>#N/A</v>
      </c>
    </row>
    <row r="1173" spans="52:64" ht="11.25" customHeight="1">
      <c r="AZ1173" s="7">
        <f t="shared" ref="AZ1173:AZ1221" si="239">NORMDIST(BA1173,$BA$17,$BA$18,TRUE)</f>
        <v>0.99999998305001692</v>
      </c>
      <c r="BA1173" s="7">
        <f t="shared" si="236"/>
        <v>5.5199999999998433</v>
      </c>
      <c r="BB1173" s="7">
        <f t="shared" ref="BB1173:BB1221" si="240">IF($BA$13=1,NORMDIST(BA1173,$BA$17,$BA$18,FALSE),NA())</f>
        <v>9.6459892842817102E-8</v>
      </c>
      <c r="BC1173" s="7" t="e">
        <f t="shared" ref="BC1173:BC1221" si="241">IF($BA$13=3,NORMDIST(BA1173,$BA$17,$BA$18,FALSE),NA())</f>
        <v>#N/A</v>
      </c>
      <c r="BD1173" s="7">
        <f t="shared" ref="BD1173:BD1221" si="242">BA1173-$BD$19</f>
        <v>5.5199899999998436</v>
      </c>
      <c r="BE1173" s="7">
        <f t="shared" ref="BE1173:BE1221" si="243">BA1173+$BD$19</f>
        <v>5.5200099999998429</v>
      </c>
      <c r="BF1173" s="7">
        <f t="shared" ref="BF1173:BF1221" si="244">IF(BD1173&lt;0,TDIST(-BD1173,$BA$14,1),1-TDIST(BD1173,$BA$14,1))</f>
        <v>0.99987272129906601</v>
      </c>
      <c r="BG1173" s="7">
        <f t="shared" ref="BG1173:BG1221" si="245">IF(BE1173&lt;0,TDIST(-BE1173,$BA$14,1),1-TDIST(BE1173,$BA$14,1))</f>
        <v>0.99987272486230006</v>
      </c>
      <c r="BH1173" s="7" t="e">
        <f t="shared" ref="BH1173:BH1221" si="246">IF($BA$13&gt;1,(BG1173-BF1173)/(2*$BD$19),NA())</f>
        <v>#N/A</v>
      </c>
      <c r="BI1173" s="7">
        <f t="shared" si="237"/>
        <v>9.6459892842817102E-8</v>
      </c>
      <c r="BJ1173" s="7">
        <f t="shared" ref="BJ1173:BJ1221" si="247">IF(ISNUMBER(BI1173),BI1173-$BJ$19,NA())</f>
        <v>-9.9990354010715725E-4</v>
      </c>
      <c r="BK1173" s="7" t="e">
        <f t="shared" si="238"/>
        <v>#N/A</v>
      </c>
      <c r="BL1173" s="7" t="e">
        <f t="shared" ref="BL1173:BL1221" si="248">IF(ISNUMBER(BK1173),BK1173-$BL$19,NA())</f>
        <v>#N/A</v>
      </c>
    </row>
    <row r="1174" spans="52:64" ht="11.25" customHeight="1">
      <c r="AZ1174" s="7">
        <f t="shared" si="239"/>
        <v>0.99999998398846057</v>
      </c>
      <c r="BA1174" s="7">
        <f t="shared" ref="BA1174:BA1221" si="249">BA1173+$BD$10</f>
        <v>5.529999999999843</v>
      </c>
      <c r="BB1174" s="7">
        <f t="shared" si="240"/>
        <v>9.1275034337744203E-8</v>
      </c>
      <c r="BC1174" s="7" t="e">
        <f t="shared" si="241"/>
        <v>#N/A</v>
      </c>
      <c r="BD1174" s="7">
        <f t="shared" si="242"/>
        <v>5.5299899999998434</v>
      </c>
      <c r="BE1174" s="7">
        <f t="shared" si="243"/>
        <v>5.5300099999998427</v>
      </c>
      <c r="BF1174" s="7">
        <f t="shared" si="244"/>
        <v>0.99987448964794767</v>
      </c>
      <c r="BG1174" s="7">
        <f t="shared" si="245"/>
        <v>0.99987449315814381</v>
      </c>
      <c r="BH1174" s="7" t="e">
        <f t="shared" si="246"/>
        <v>#N/A</v>
      </c>
      <c r="BI1174" s="7">
        <f t="shared" ref="BI1174:BI1221" si="250">IF($BA$15=1,IF(OR(AND(BA1174&gt;=$BI$18,$BN$18&gt;=0),AND(BA1174&lt;=-$BI$18,$BN$18&lt;0)),BB1174,NA()),IF($BA$15=2,IF(ABS(BA1174)&gt;=$BI$18,BB1174,NA()),NA()))</f>
        <v>9.1275034337744203E-8</v>
      </c>
      <c r="BJ1174" s="7">
        <f t="shared" si="247"/>
        <v>-9.9990872496566225E-4</v>
      </c>
      <c r="BK1174" s="7" t="e">
        <f t="shared" ref="BK1174:BK1221" si="251">IF($BA$15=1,IF(OR(AND(BA1174&gt;=$BK$18,$BN$18&gt;=0),AND(BA1174&lt;=-$BK$18,$BN$18&lt;0)),BH1174,NA()),IF($BA$15=2,IF(ABS(BA1174)&gt;=$BK$18,BH1174,NA()),NA()))</f>
        <v>#N/A</v>
      </c>
      <c r="BL1174" s="7" t="e">
        <f t="shared" si="248"/>
        <v>#N/A</v>
      </c>
    </row>
    <row r="1175" spans="52:64" ht="11.25" customHeight="1">
      <c r="AZ1175" s="7">
        <f t="shared" si="239"/>
        <v>0.99999998487641761</v>
      </c>
      <c r="BA1175" s="7">
        <f t="shared" si="249"/>
        <v>5.5399999999998428</v>
      </c>
      <c r="BB1175" s="7">
        <f t="shared" si="240"/>
        <v>8.6360233007885042E-8</v>
      </c>
      <c r="BC1175" s="7" t="e">
        <f t="shared" si="241"/>
        <v>#N/A</v>
      </c>
      <c r="BD1175" s="7">
        <f t="shared" si="242"/>
        <v>5.5399899999998432</v>
      </c>
      <c r="BE1175" s="7">
        <f t="shared" si="243"/>
        <v>5.5400099999998424</v>
      </c>
      <c r="BF1175" s="7">
        <f t="shared" si="244"/>
        <v>0.99987623168724094</v>
      </c>
      <c r="BG1175" s="7">
        <f t="shared" si="245"/>
        <v>0.99987623514523594</v>
      </c>
      <c r="BH1175" s="7" t="e">
        <f t="shared" si="246"/>
        <v>#N/A</v>
      </c>
      <c r="BI1175" s="7">
        <f t="shared" si="250"/>
        <v>8.6360233007885042E-8</v>
      </c>
      <c r="BJ1175" s="7">
        <f t="shared" si="247"/>
        <v>-9.9991363976699205E-4</v>
      </c>
      <c r="BK1175" s="7" t="e">
        <f t="shared" si="251"/>
        <v>#N/A</v>
      </c>
      <c r="BL1175" s="7" t="e">
        <f t="shared" si="248"/>
        <v>#N/A</v>
      </c>
    </row>
    <row r="1176" spans="52:64" ht="11.25" customHeight="1">
      <c r="AZ1176" s="7">
        <f t="shared" si="239"/>
        <v>0.99999998571652016</v>
      </c>
      <c r="BA1176" s="7">
        <f t="shared" si="249"/>
        <v>5.5499999999998426</v>
      </c>
      <c r="BB1176" s="7">
        <f t="shared" si="240"/>
        <v>8.1701903785503446E-8</v>
      </c>
      <c r="BC1176" s="7" t="e">
        <f t="shared" si="241"/>
        <v>#N/A</v>
      </c>
      <c r="BD1176" s="7">
        <f t="shared" si="242"/>
        <v>5.549989999999843</v>
      </c>
      <c r="BE1176" s="7">
        <f t="shared" si="243"/>
        <v>5.5500099999998422</v>
      </c>
      <c r="BF1176" s="7">
        <f t="shared" si="244"/>
        <v>0.99987794783197215</v>
      </c>
      <c r="BG1176" s="7">
        <f t="shared" si="245"/>
        <v>0.99987795123858925</v>
      </c>
      <c r="BH1176" s="7" t="e">
        <f t="shared" si="246"/>
        <v>#N/A</v>
      </c>
      <c r="BI1176" s="7">
        <f t="shared" si="250"/>
        <v>8.1701903785503446E-8</v>
      </c>
      <c r="BJ1176" s="7">
        <f t="shared" si="247"/>
        <v>-9.9991829809621441E-4</v>
      </c>
      <c r="BK1176" s="7" t="e">
        <f t="shared" si="251"/>
        <v>#N/A</v>
      </c>
      <c r="BL1176" s="7" t="e">
        <f t="shared" si="248"/>
        <v>#N/A</v>
      </c>
    </row>
    <row r="1177" spans="52:64" ht="11.25" customHeight="1">
      <c r="AZ1177" s="7">
        <f t="shared" si="239"/>
        <v>0.99999998651126754</v>
      </c>
      <c r="BA1177" s="7">
        <f t="shared" si="249"/>
        <v>5.5599999999998424</v>
      </c>
      <c r="BB1177" s="7">
        <f t="shared" si="240"/>
        <v>7.7287118885296748E-8</v>
      </c>
      <c r="BC1177" s="7" t="e">
        <f t="shared" si="241"/>
        <v>#N/A</v>
      </c>
      <c r="BD1177" s="7">
        <f t="shared" si="242"/>
        <v>5.5599899999998428</v>
      </c>
      <c r="BE1177" s="7">
        <f t="shared" si="243"/>
        <v>5.560009999999842</v>
      </c>
      <c r="BF1177" s="7">
        <f t="shared" si="244"/>
        <v>0.99987963849028993</v>
      </c>
      <c r="BG1177" s="7">
        <f t="shared" si="245"/>
        <v>0.9998796418463386</v>
      </c>
      <c r="BH1177" s="7" t="e">
        <f t="shared" si="246"/>
        <v>#N/A</v>
      </c>
      <c r="BI1177" s="7">
        <f t="shared" si="250"/>
        <v>7.7287118885296748E-8</v>
      </c>
      <c r="BJ1177" s="7">
        <f t="shared" si="247"/>
        <v>-9.9992271288111469E-4</v>
      </c>
      <c r="BK1177" s="7" t="e">
        <f t="shared" si="251"/>
        <v>#N/A</v>
      </c>
      <c r="BL1177" s="7" t="e">
        <f t="shared" si="248"/>
        <v>#N/A</v>
      </c>
    </row>
    <row r="1178" spans="52:64" ht="11.25" customHeight="1">
      <c r="AZ1178" s="7">
        <f t="shared" si="239"/>
        <v>0.99999998726303319</v>
      </c>
      <c r="BA1178" s="7">
        <f t="shared" si="249"/>
        <v>5.5699999999998422</v>
      </c>
      <c r="BB1178" s="7">
        <f t="shared" si="240"/>
        <v>7.3103577381273741E-8</v>
      </c>
      <c r="BC1178" s="7" t="e">
        <f t="shared" si="241"/>
        <v>#N/A</v>
      </c>
      <c r="BD1178" s="7">
        <f t="shared" si="242"/>
        <v>5.5699899999998426</v>
      </c>
      <c r="BE1178" s="7">
        <f t="shared" si="243"/>
        <v>5.5700099999998418</v>
      </c>
      <c r="BF1178" s="7">
        <f t="shared" si="244"/>
        <v>0.99988130406358355</v>
      </c>
      <c r="BG1178" s="7">
        <f t="shared" si="245"/>
        <v>0.99988130736985992</v>
      </c>
      <c r="BH1178" s="7" t="e">
        <f t="shared" si="246"/>
        <v>#N/A</v>
      </c>
      <c r="BI1178" s="7">
        <f t="shared" si="250"/>
        <v>7.3103577381273741E-8</v>
      </c>
      <c r="BJ1178" s="7">
        <f t="shared" si="247"/>
        <v>-9.999268964226188E-4</v>
      </c>
      <c r="BK1178" s="7" t="e">
        <f t="shared" si="251"/>
        <v>#N/A</v>
      </c>
      <c r="BL1178" s="7" t="e">
        <f t="shared" si="248"/>
        <v>#N/A</v>
      </c>
    </row>
    <row r="1179" spans="52:64" ht="11.25" customHeight="1">
      <c r="AZ1179" s="7">
        <f t="shared" si="239"/>
        <v>0.99999998797407075</v>
      </c>
      <c r="BA1179" s="7">
        <f t="shared" si="249"/>
        <v>5.579999999999842</v>
      </c>
      <c r="BB1179" s="7">
        <f t="shared" si="240"/>
        <v>6.913957612118501E-8</v>
      </c>
      <c r="BC1179" s="7" t="e">
        <f t="shared" si="241"/>
        <v>#N/A</v>
      </c>
      <c r="BD1179" s="7">
        <f t="shared" si="242"/>
        <v>5.5799899999998424</v>
      </c>
      <c r="BE1179" s="7">
        <f t="shared" si="243"/>
        <v>5.5800099999998416</v>
      </c>
      <c r="BF1179" s="7">
        <f t="shared" si="244"/>
        <v>0.99988294494659968</v>
      </c>
      <c r="BG1179" s="7">
        <f t="shared" si="245"/>
        <v>0.99988294820388668</v>
      </c>
      <c r="BH1179" s="7" t="e">
        <f t="shared" si="246"/>
        <v>#N/A</v>
      </c>
      <c r="BI1179" s="7">
        <f t="shared" si="250"/>
        <v>6.913957612118501E-8</v>
      </c>
      <c r="BJ1179" s="7">
        <f t="shared" si="247"/>
        <v>-9.9993086042387885E-4</v>
      </c>
      <c r="BK1179" s="7" t="e">
        <f t="shared" si="251"/>
        <v>#N/A</v>
      </c>
      <c r="BL1179" s="7" t="e">
        <f t="shared" si="248"/>
        <v>#N/A</v>
      </c>
    </row>
    <row r="1180" spans="52:64" ht="11.25" customHeight="1">
      <c r="AZ1180" s="7">
        <f t="shared" si="239"/>
        <v>0.9999999886465194</v>
      </c>
      <c r="BA1180" s="7">
        <f t="shared" si="249"/>
        <v>5.5899999999998418</v>
      </c>
      <c r="BB1180" s="7">
        <f t="shared" si="240"/>
        <v>6.5383981923209157E-8</v>
      </c>
      <c r="BC1180" s="7" t="e">
        <f t="shared" si="241"/>
        <v>#N/A</v>
      </c>
      <c r="BD1180" s="7">
        <f t="shared" si="242"/>
        <v>5.5899899999998421</v>
      </c>
      <c r="BE1180" s="7">
        <f t="shared" si="243"/>
        <v>5.5900099999998414</v>
      </c>
      <c r="BF1180" s="7">
        <f t="shared" si="244"/>
        <v>0.99988456152755678</v>
      </c>
      <c r="BG1180" s="7">
        <f t="shared" si="245"/>
        <v>0.99988456473662435</v>
      </c>
      <c r="BH1180" s="7" t="e">
        <f t="shared" si="246"/>
        <v>#N/A</v>
      </c>
      <c r="BI1180" s="7">
        <f t="shared" si="250"/>
        <v>6.5383981923209157E-8</v>
      </c>
      <c r="BJ1180" s="7">
        <f t="shared" si="247"/>
        <v>-9.9993461601807689E-4</v>
      </c>
      <c r="BK1180" s="7" t="e">
        <f t="shared" si="251"/>
        <v>#N/A</v>
      </c>
      <c r="BL1180" s="7" t="e">
        <f t="shared" si="248"/>
        <v>#N/A</v>
      </c>
    </row>
    <row r="1181" spans="52:64" ht="11.25" customHeight="1">
      <c r="AZ1181" s="7">
        <f t="shared" si="239"/>
        <v>0.99999998928240974</v>
      </c>
      <c r="BA1181" s="7">
        <f t="shared" si="249"/>
        <v>5.5999999999998415</v>
      </c>
      <c r="BB1181" s="7">
        <f t="shared" si="240"/>
        <v>6.1826205001713246E-8</v>
      </c>
      <c r="BC1181" s="7" t="e">
        <f t="shared" si="241"/>
        <v>#N/A</v>
      </c>
      <c r="BD1181" s="7">
        <f t="shared" si="242"/>
        <v>5.5999899999998419</v>
      </c>
      <c r="BE1181" s="7">
        <f t="shared" si="243"/>
        <v>5.6000099999998412</v>
      </c>
      <c r="BF1181" s="7">
        <f t="shared" si="244"/>
        <v>0.99988615418825744</v>
      </c>
      <c r="BG1181" s="7">
        <f t="shared" si="245"/>
        <v>0.99988615734986286</v>
      </c>
      <c r="BH1181" s="7" t="e">
        <f t="shared" si="246"/>
        <v>#N/A</v>
      </c>
      <c r="BI1181" s="7">
        <f t="shared" si="250"/>
        <v>6.1826205001713246E-8</v>
      </c>
      <c r="BJ1181" s="7">
        <f t="shared" si="247"/>
        <v>-9.9993817379499827E-4</v>
      </c>
      <c r="BK1181" s="7" t="e">
        <f t="shared" si="251"/>
        <v>#N/A</v>
      </c>
      <c r="BL1181" s="7" t="e">
        <f t="shared" si="248"/>
        <v>#N/A</v>
      </c>
    </row>
    <row r="1182" spans="52:64" ht="11.25" customHeight="1">
      <c r="AZ1182" s="7">
        <f t="shared" si="239"/>
        <v>0.99999998988366923</v>
      </c>
      <c r="BA1182" s="7">
        <f t="shared" si="249"/>
        <v>5.6099999999998413</v>
      </c>
      <c r="BB1182" s="7">
        <f t="shared" si="240"/>
        <v>5.8456173570952626E-8</v>
      </c>
      <c r="BC1182" s="7" t="e">
        <f t="shared" si="241"/>
        <v>#N/A</v>
      </c>
      <c r="BD1182" s="7">
        <f t="shared" si="242"/>
        <v>5.6099899999998417</v>
      </c>
      <c r="BE1182" s="7">
        <f t="shared" si="243"/>
        <v>5.610009999999841</v>
      </c>
      <c r="BF1182" s="7">
        <f t="shared" si="244"/>
        <v>0.99988772330419928</v>
      </c>
      <c r="BG1182" s="7">
        <f t="shared" si="245"/>
        <v>0.99988772641908719</v>
      </c>
      <c r="BH1182" s="7" t="e">
        <f t="shared" si="246"/>
        <v>#N/A</v>
      </c>
      <c r="BI1182" s="7">
        <f t="shared" si="250"/>
        <v>5.8456173570952626E-8</v>
      </c>
      <c r="BJ1182" s="7">
        <f t="shared" si="247"/>
        <v>-9.9994154382642905E-4</v>
      </c>
      <c r="BK1182" s="7" t="e">
        <f t="shared" si="251"/>
        <v>#N/A</v>
      </c>
      <c r="BL1182" s="7" t="e">
        <f t="shared" si="248"/>
        <v>#N/A</v>
      </c>
    </row>
    <row r="1183" spans="52:64" ht="11.25" customHeight="1">
      <c r="AZ1183" s="7">
        <f t="shared" si="239"/>
        <v>0.99999999045212706</v>
      </c>
      <c r="BA1183" s="7">
        <f t="shared" si="249"/>
        <v>5.6199999999998411</v>
      </c>
      <c r="BB1183" s="7">
        <f t="shared" si="240"/>
        <v>5.5264309577546524E-8</v>
      </c>
      <c r="BC1183" s="7" t="e">
        <f t="shared" si="241"/>
        <v>#N/A</v>
      </c>
      <c r="BD1183" s="7">
        <f t="shared" si="242"/>
        <v>5.6199899999998415</v>
      </c>
      <c r="BE1183" s="7">
        <f t="shared" si="243"/>
        <v>5.6200099999998407</v>
      </c>
      <c r="BF1183" s="7">
        <f t="shared" si="244"/>
        <v>0.99988926924468269</v>
      </c>
      <c r="BG1183" s="7">
        <f t="shared" si="245"/>
        <v>0.99988927231358571</v>
      </c>
      <c r="BH1183" s="7" t="e">
        <f t="shared" si="246"/>
        <v>#N/A</v>
      </c>
      <c r="BI1183" s="7">
        <f t="shared" si="250"/>
        <v>5.5264309577546524E-8</v>
      </c>
      <c r="BJ1183" s="7">
        <f t="shared" si="247"/>
        <v>-9.9994473569042243E-4</v>
      </c>
      <c r="BK1183" s="7" t="e">
        <f t="shared" si="251"/>
        <v>#N/A</v>
      </c>
      <c r="BL1183" s="7" t="e">
        <f t="shared" si="248"/>
        <v>#N/A</v>
      </c>
    </row>
    <row r="1184" spans="52:64" ht="11.25" customHeight="1">
      <c r="AZ1184" s="7">
        <f t="shared" si="239"/>
        <v>0.99999999098951897</v>
      </c>
      <c r="BA1184" s="7">
        <f t="shared" si="249"/>
        <v>5.6299999999998409</v>
      </c>
      <c r="BB1184" s="7">
        <f t="shared" si="240"/>
        <v>5.2241505514471133E-8</v>
      </c>
      <c r="BC1184" s="7" t="e">
        <f t="shared" si="241"/>
        <v>#N/A</v>
      </c>
      <c r="BD1184" s="7">
        <f t="shared" si="242"/>
        <v>5.6299899999998413</v>
      </c>
      <c r="BE1184" s="7">
        <f t="shared" si="243"/>
        <v>5.6300099999998405</v>
      </c>
      <c r="BF1184" s="7">
        <f t="shared" si="244"/>
        <v>0.999890792372918</v>
      </c>
      <c r="BG1184" s="7">
        <f t="shared" si="245"/>
        <v>0.99989079539655645</v>
      </c>
      <c r="BH1184" s="7" t="e">
        <f t="shared" si="246"/>
        <v>#N/A</v>
      </c>
      <c r="BI1184" s="7">
        <f t="shared" si="250"/>
        <v>5.2241505514471133E-8</v>
      </c>
      <c r="BJ1184" s="7">
        <f t="shared" si="247"/>
        <v>-9.9994775849448548E-4</v>
      </c>
      <c r="BK1184" s="7" t="e">
        <f t="shared" si="251"/>
        <v>#N/A</v>
      </c>
      <c r="BL1184" s="7" t="e">
        <f t="shared" si="248"/>
        <v>#N/A</v>
      </c>
    </row>
    <row r="1185" spans="52:64" ht="11.25" customHeight="1">
      <c r="AZ1185" s="7">
        <f t="shared" si="239"/>
        <v>0.99999999149749175</v>
      </c>
      <c r="BA1185" s="7">
        <f t="shared" si="249"/>
        <v>5.6399999999998407</v>
      </c>
      <c r="BB1185" s="7">
        <f t="shared" si="240"/>
        <v>4.937910227114878E-8</v>
      </c>
      <c r="BC1185" s="7" t="e">
        <f t="shared" si="241"/>
        <v>#N/A</v>
      </c>
      <c r="BD1185" s="7">
        <f t="shared" si="242"/>
        <v>5.6399899999998411</v>
      </c>
      <c r="BE1185" s="7">
        <f t="shared" si="243"/>
        <v>5.6400099999998403</v>
      </c>
      <c r="BF1185" s="7">
        <f t="shared" si="244"/>
        <v>0.99989229304613025</v>
      </c>
      <c r="BG1185" s="7">
        <f t="shared" si="245"/>
        <v>0.99989229602521257</v>
      </c>
      <c r="BH1185" s="7" t="e">
        <f t="shared" si="246"/>
        <v>#N/A</v>
      </c>
      <c r="BI1185" s="7">
        <f t="shared" si="250"/>
        <v>4.937910227114878E-8</v>
      </c>
      <c r="BJ1185" s="7">
        <f t="shared" si="247"/>
        <v>-9.9995062089772895E-4</v>
      </c>
      <c r="BK1185" s="7" t="e">
        <f t="shared" si="251"/>
        <v>#N/A</v>
      </c>
      <c r="BL1185" s="7" t="e">
        <f t="shared" si="248"/>
        <v>#N/A</v>
      </c>
    </row>
    <row r="1186" spans="52:64" ht="11.25" customHeight="1">
      <c r="AZ1186" s="7">
        <f t="shared" si="239"/>
        <v>0.99999999197760814</v>
      </c>
      <c r="BA1186" s="7">
        <f t="shared" si="249"/>
        <v>5.6499999999998405</v>
      </c>
      <c r="BB1186" s="7">
        <f t="shared" si="240"/>
        <v>4.6668867975984667E-8</v>
      </c>
      <c r="BC1186" s="7" t="e">
        <f t="shared" si="241"/>
        <v>#N/A</v>
      </c>
      <c r="BD1186" s="7">
        <f t="shared" si="242"/>
        <v>5.6499899999998409</v>
      </c>
      <c r="BE1186" s="7">
        <f t="shared" si="243"/>
        <v>5.6500099999998401</v>
      </c>
      <c r="BF1186" s="7">
        <f t="shared" si="244"/>
        <v>0.99989377161566118</v>
      </c>
      <c r="BG1186" s="7">
        <f t="shared" si="245"/>
        <v>0.99989377455088435</v>
      </c>
      <c r="BH1186" s="7" t="e">
        <f t="shared" si="246"/>
        <v>#N/A</v>
      </c>
      <c r="BI1186" s="7">
        <f t="shared" si="250"/>
        <v>4.6668867975984667E-8</v>
      </c>
      <c r="BJ1186" s="7">
        <f t="shared" si="247"/>
        <v>-9.9995333113202397E-4</v>
      </c>
      <c r="BK1186" s="7" t="e">
        <f t="shared" si="251"/>
        <v>#N/A</v>
      </c>
      <c r="BL1186" s="7" t="e">
        <f t="shared" si="248"/>
        <v>#N/A</v>
      </c>
    </row>
    <row r="1187" spans="52:64" ht="11.25" customHeight="1">
      <c r="AZ1187" s="7">
        <f t="shared" si="239"/>
        <v>0.99999999243135029</v>
      </c>
      <c r="BA1187" s="7">
        <f t="shared" si="249"/>
        <v>5.6599999999998403</v>
      </c>
      <c r="BB1187" s="7">
        <f t="shared" si="240"/>
        <v>4.4102977789413032E-8</v>
      </c>
      <c r="BC1187" s="7" t="e">
        <f t="shared" si="241"/>
        <v>#N/A</v>
      </c>
      <c r="BD1187" s="7">
        <f t="shared" si="242"/>
        <v>5.6599899999998406</v>
      </c>
      <c r="BE1187" s="7">
        <f t="shared" si="243"/>
        <v>5.6600099999998399</v>
      </c>
      <c r="BF1187" s="7">
        <f t="shared" si="244"/>
        <v>0.99989522842707124</v>
      </c>
      <c r="BG1187" s="7">
        <f t="shared" si="245"/>
        <v>0.99989523131912061</v>
      </c>
      <c r="BH1187" s="7" t="e">
        <f t="shared" si="246"/>
        <v>#N/A</v>
      </c>
      <c r="BI1187" s="7">
        <f t="shared" si="250"/>
        <v>4.4102977789413032E-8</v>
      </c>
      <c r="BJ1187" s="7">
        <f t="shared" si="247"/>
        <v>-9.9995589702221071E-4</v>
      </c>
      <c r="BK1187" s="7" t="e">
        <f t="shared" si="251"/>
        <v>#N/A</v>
      </c>
      <c r="BL1187" s="7" t="e">
        <f t="shared" si="248"/>
        <v>#N/A</v>
      </c>
    </row>
    <row r="1188" spans="52:64" ht="11.25" customHeight="1">
      <c r="AZ1188" s="7">
        <f t="shared" si="239"/>
        <v>0.99999999286012398</v>
      </c>
      <c r="BA1188" s="7">
        <f t="shared" si="249"/>
        <v>5.6699999999998401</v>
      </c>
      <c r="BB1188" s="7">
        <f t="shared" si="240"/>
        <v>4.1673994607161255E-8</v>
      </c>
      <c r="BC1188" s="7" t="e">
        <f t="shared" si="241"/>
        <v>#N/A</v>
      </c>
      <c r="BD1188" s="7">
        <f t="shared" si="242"/>
        <v>5.6699899999998404</v>
      </c>
      <c r="BE1188" s="7">
        <f t="shared" si="243"/>
        <v>5.6700099999998397</v>
      </c>
      <c r="BF1188" s="7">
        <f t="shared" si="244"/>
        <v>0.99989666382023801</v>
      </c>
      <c r="BG1188" s="7">
        <f t="shared" si="245"/>
        <v>0.99989666666978771</v>
      </c>
      <c r="BH1188" s="7" t="e">
        <f t="shared" si="246"/>
        <v>#N/A</v>
      </c>
      <c r="BI1188" s="7">
        <f t="shared" si="250"/>
        <v>4.1673994607161255E-8</v>
      </c>
      <c r="BJ1188" s="7">
        <f t="shared" si="247"/>
        <v>-9.9995832600539283E-4</v>
      </c>
      <c r="BK1188" s="7" t="e">
        <f t="shared" si="251"/>
        <v>#N/A</v>
      </c>
      <c r="BL1188" s="7" t="e">
        <f t="shared" si="248"/>
        <v>#N/A</v>
      </c>
    </row>
    <row r="1189" spans="52:64" ht="11.25" customHeight="1">
      <c r="AZ1189" s="7">
        <f t="shared" si="239"/>
        <v>0.9999999932652629</v>
      </c>
      <c r="BA1189" s="7">
        <f t="shared" si="249"/>
        <v>5.6799999999998398</v>
      </c>
      <c r="BB1189" s="7">
        <f t="shared" si="240"/>
        <v>3.9374850635034311E-8</v>
      </c>
      <c r="BC1189" s="7" t="e">
        <f t="shared" si="241"/>
        <v>#N/A</v>
      </c>
      <c r="BD1189" s="7">
        <f t="shared" si="242"/>
        <v>5.6799899999998402</v>
      </c>
      <c r="BE1189" s="7">
        <f t="shared" si="243"/>
        <v>5.6800099999998395</v>
      </c>
      <c r="BF1189" s="7">
        <f t="shared" si="244"/>
        <v>0.99989807812945419</v>
      </c>
      <c r="BG1189" s="7">
        <f t="shared" si="245"/>
        <v>0.99989808093716726</v>
      </c>
      <c r="BH1189" s="7" t="e">
        <f t="shared" si="246"/>
        <v>#N/A</v>
      </c>
      <c r="BI1189" s="7">
        <f t="shared" si="250"/>
        <v>3.9374850635034311E-8</v>
      </c>
      <c r="BJ1189" s="7">
        <f t="shared" si="247"/>
        <v>-9.9996062514936504E-4</v>
      </c>
      <c r="BK1189" s="7" t="e">
        <f t="shared" si="251"/>
        <v>#N/A</v>
      </c>
      <c r="BL1189" s="7" t="e">
        <f t="shared" si="248"/>
        <v>#N/A</v>
      </c>
    </row>
    <row r="1190" spans="52:64" ht="11.25" customHeight="1">
      <c r="AZ1190" s="7">
        <f t="shared" si="239"/>
        <v>0.99999999364803138</v>
      </c>
      <c r="BA1190" s="7">
        <f t="shared" si="249"/>
        <v>5.6899999999998396</v>
      </c>
      <c r="BB1190" s="7">
        <f t="shared" si="240"/>
        <v>3.7198829798049994E-8</v>
      </c>
      <c r="BC1190" s="7" t="e">
        <f t="shared" si="241"/>
        <v>#N/A</v>
      </c>
      <c r="BD1190" s="7">
        <f t="shared" si="242"/>
        <v>5.68998999999984</v>
      </c>
      <c r="BE1190" s="7">
        <f t="shared" si="243"/>
        <v>5.6900099999998393</v>
      </c>
      <c r="BF1190" s="7">
        <f t="shared" si="244"/>
        <v>0.99989947168352267</v>
      </c>
      <c r="BG1190" s="7">
        <f t="shared" si="245"/>
        <v>0.99989947445005134</v>
      </c>
      <c r="BH1190" s="7" t="e">
        <f t="shared" si="246"/>
        <v>#N/A</v>
      </c>
      <c r="BI1190" s="7">
        <f t="shared" si="250"/>
        <v>3.7198829798049994E-8</v>
      </c>
      <c r="BJ1190" s="7">
        <f t="shared" si="247"/>
        <v>-9.9996280117020187E-4</v>
      </c>
      <c r="BK1190" s="7" t="e">
        <f t="shared" si="251"/>
        <v>#N/A</v>
      </c>
      <c r="BL1190" s="7" t="e">
        <f t="shared" si="248"/>
        <v>#N/A</v>
      </c>
    </row>
    <row r="1191" spans="52:64" ht="11.25" customHeight="1">
      <c r="AZ1191" s="7">
        <f t="shared" si="239"/>
        <v>0.99999999400962858</v>
      </c>
      <c r="BA1191" s="7">
        <f t="shared" si="249"/>
        <v>5.6999999999998394</v>
      </c>
      <c r="BB1191" s="7">
        <f t="shared" si="240"/>
        <v>3.5139550948236541E-8</v>
      </c>
      <c r="BC1191" s="7" t="e">
        <f t="shared" si="241"/>
        <v>#N/A</v>
      </c>
      <c r="BD1191" s="7">
        <f t="shared" si="242"/>
        <v>5.6999899999998398</v>
      </c>
      <c r="BE1191" s="7">
        <f t="shared" si="243"/>
        <v>5.700009999999839</v>
      </c>
      <c r="BF1191" s="7">
        <f t="shared" si="244"/>
        <v>0.9999008448058514</v>
      </c>
      <c r="BG1191" s="7">
        <f t="shared" si="245"/>
        <v>0.99990084753183706</v>
      </c>
      <c r="BH1191" s="7" t="e">
        <f t="shared" si="246"/>
        <v>#N/A</v>
      </c>
      <c r="BI1191" s="7">
        <f t="shared" si="250"/>
        <v>3.5139550948236541E-8</v>
      </c>
      <c r="BJ1191" s="7">
        <f t="shared" si="247"/>
        <v>-9.9996486044905174E-4</v>
      </c>
      <c r="BK1191" s="7" t="e">
        <f t="shared" si="251"/>
        <v>#N/A</v>
      </c>
      <c r="BL1191" s="7" t="e">
        <f t="shared" si="248"/>
        <v>#N/A</v>
      </c>
    </row>
    <row r="1192" spans="52:64" ht="11.25" customHeight="1">
      <c r="AZ1192" s="7">
        <f t="shared" si="239"/>
        <v>0.99999999435119136</v>
      </c>
      <c r="BA1192" s="7">
        <f t="shared" si="249"/>
        <v>5.7099999999998392</v>
      </c>
      <c r="BB1192" s="7">
        <f t="shared" si="240"/>
        <v>3.3190951836825919E-8</v>
      </c>
      <c r="BC1192" s="7" t="e">
        <f t="shared" si="241"/>
        <v>#N/A</v>
      </c>
      <c r="BD1192" s="7">
        <f t="shared" si="242"/>
        <v>5.7099899999998396</v>
      </c>
      <c r="BE1192" s="7">
        <f t="shared" si="243"/>
        <v>5.7100099999998388</v>
      </c>
      <c r="BF1192" s="7">
        <f t="shared" si="244"/>
        <v>0.99990219781454504</v>
      </c>
      <c r="BG1192" s="7">
        <f t="shared" si="245"/>
        <v>0.99990220050061862</v>
      </c>
      <c r="BH1192" s="7" t="e">
        <f t="shared" si="246"/>
        <v>#N/A</v>
      </c>
      <c r="BI1192" s="7">
        <f t="shared" si="250"/>
        <v>3.3190951836825919E-8</v>
      </c>
      <c r="BJ1192" s="7">
        <f t="shared" si="247"/>
        <v>-9.9996680904816324E-4</v>
      </c>
      <c r="BK1192" s="7" t="e">
        <f t="shared" si="251"/>
        <v>#N/A</v>
      </c>
      <c r="BL1192" s="7" t="e">
        <f t="shared" si="248"/>
        <v>#N/A</v>
      </c>
    </row>
    <row r="1193" spans="52:64" ht="11.25" customHeight="1">
      <c r="AZ1193" s="7">
        <f t="shared" si="239"/>
        <v>0.9999999946737973</v>
      </c>
      <c r="BA1193" s="7">
        <f t="shared" si="249"/>
        <v>5.719999999999839</v>
      </c>
      <c r="BB1193" s="7">
        <f t="shared" si="240"/>
        <v>3.1347273817948629E-8</v>
      </c>
      <c r="BC1193" s="7" t="e">
        <f t="shared" si="241"/>
        <v>#N/A</v>
      </c>
      <c r="BD1193" s="7">
        <f t="shared" si="242"/>
        <v>5.7199899999998394</v>
      </c>
      <c r="BE1193" s="7">
        <f t="shared" si="243"/>
        <v>5.7200099999998386</v>
      </c>
      <c r="BF1193" s="7">
        <f t="shared" si="244"/>
        <v>0.99990353102249585</v>
      </c>
      <c r="BG1193" s="7">
        <f t="shared" si="245"/>
        <v>0.99990353366927809</v>
      </c>
      <c r="BH1193" s="7" t="e">
        <f t="shared" si="246"/>
        <v>#N/A</v>
      </c>
      <c r="BI1193" s="7">
        <f t="shared" si="250"/>
        <v>3.1347273817948629E-8</v>
      </c>
      <c r="BJ1193" s="7">
        <f t="shared" si="247"/>
        <v>-9.9996865272618208E-4</v>
      </c>
      <c r="BK1193" s="7" t="e">
        <f t="shared" si="251"/>
        <v>#N/A</v>
      </c>
      <c r="BL1193" s="7" t="e">
        <f t="shared" si="248"/>
        <v>#N/A</v>
      </c>
    </row>
    <row r="1194" spans="52:64" ht="11.25" customHeight="1">
      <c r="AZ1194" s="7">
        <f t="shared" si="239"/>
        <v>0.99999999497846825</v>
      </c>
      <c r="BA1194" s="7">
        <f t="shared" si="249"/>
        <v>5.7299999999998388</v>
      </c>
      <c r="BB1194" s="7">
        <f t="shared" si="240"/>
        <v>2.9603047252257389E-8</v>
      </c>
      <c r="BC1194" s="7" t="e">
        <f t="shared" si="241"/>
        <v>#N/A</v>
      </c>
      <c r="BD1194" s="7">
        <f t="shared" si="242"/>
        <v>5.7299899999998392</v>
      </c>
      <c r="BE1194" s="7">
        <f t="shared" si="243"/>
        <v>5.7300099999998384</v>
      </c>
      <c r="BF1194" s="7">
        <f t="shared" si="244"/>
        <v>0.9999048447374731</v>
      </c>
      <c r="BG1194" s="7">
        <f t="shared" si="245"/>
        <v>0.99990484734557428</v>
      </c>
      <c r="BH1194" s="7" t="e">
        <f t="shared" si="246"/>
        <v>#N/A</v>
      </c>
      <c r="BI1194" s="7">
        <f t="shared" si="250"/>
        <v>2.9603047252257389E-8</v>
      </c>
      <c r="BJ1194" s="7">
        <f t="shared" si="247"/>
        <v>-9.9997039695274778E-4</v>
      </c>
      <c r="BK1194" s="7" t="e">
        <f t="shared" si="251"/>
        <v>#N/A</v>
      </c>
      <c r="BL1194" s="7" t="e">
        <f t="shared" si="248"/>
        <v>#N/A</v>
      </c>
    </row>
    <row r="1195" spans="52:64" ht="11.25" customHeight="1">
      <c r="AZ1195" s="7">
        <f t="shared" si="239"/>
        <v>0.99999999526617245</v>
      </c>
      <c r="BA1195" s="7">
        <f t="shared" si="249"/>
        <v>5.7399999999998386</v>
      </c>
      <c r="BB1195" s="7">
        <f t="shared" si="240"/>
        <v>2.7953077580180564E-8</v>
      </c>
      <c r="BC1195" s="7" t="e">
        <f t="shared" si="241"/>
        <v>#N/A</v>
      </c>
      <c r="BD1195" s="7">
        <f t="shared" si="242"/>
        <v>5.7399899999998389</v>
      </c>
      <c r="BE1195" s="7">
        <f t="shared" si="243"/>
        <v>5.7400099999998382</v>
      </c>
      <c r="BF1195" s="7">
        <f t="shared" si="244"/>
        <v>0.99990613926221017</v>
      </c>
      <c r="BG1195" s="7">
        <f t="shared" si="245"/>
        <v>0.99990614183223092</v>
      </c>
      <c r="BH1195" s="7" t="e">
        <f t="shared" si="246"/>
        <v>#N/A</v>
      </c>
      <c r="BI1195" s="7">
        <f t="shared" si="250"/>
        <v>2.7953077580180564E-8</v>
      </c>
      <c r="BJ1195" s="7">
        <f t="shared" si="247"/>
        <v>-9.9997204692241974E-4</v>
      </c>
      <c r="BK1195" s="7" t="e">
        <f t="shared" si="251"/>
        <v>#N/A</v>
      </c>
      <c r="BL1195" s="7" t="e">
        <f t="shared" si="248"/>
        <v>#N/A</v>
      </c>
    </row>
    <row r="1196" spans="52:64" ht="11.25" customHeight="1">
      <c r="AZ1196" s="7">
        <f t="shared" si="239"/>
        <v>0.99999999553782759</v>
      </c>
      <c r="BA1196" s="7">
        <f t="shared" si="249"/>
        <v>5.7499999999998384</v>
      </c>
      <c r="BB1196" s="7">
        <f t="shared" si="240"/>
        <v>2.6392432035730299E-8</v>
      </c>
      <c r="BC1196" s="7" t="e">
        <f t="shared" si="241"/>
        <v>#N/A</v>
      </c>
      <c r="BD1196" s="7">
        <f t="shared" si="242"/>
        <v>5.7499899999998387</v>
      </c>
      <c r="BE1196" s="7">
        <f t="shared" si="243"/>
        <v>5.750009999999838</v>
      </c>
      <c r="BF1196" s="7">
        <f t="shared" si="244"/>
        <v>0.99990741489449086</v>
      </c>
      <c r="BG1196" s="7">
        <f t="shared" si="245"/>
        <v>0.99990741742702183</v>
      </c>
      <c r="BH1196" s="7" t="e">
        <f t="shared" si="246"/>
        <v>#N/A</v>
      </c>
      <c r="BI1196" s="7">
        <f t="shared" si="250"/>
        <v>2.6392432035730299E-8</v>
      </c>
      <c r="BJ1196" s="7">
        <f t="shared" si="247"/>
        <v>-9.9997360756796439E-4</v>
      </c>
      <c r="BK1196" s="7" t="e">
        <f t="shared" si="251"/>
        <v>#N/A</v>
      </c>
      <c r="BL1196" s="7" t="e">
        <f t="shared" si="248"/>
        <v>#N/A</v>
      </c>
    </row>
    <row r="1197" spans="52:64" ht="11.25" customHeight="1">
      <c r="AZ1197" s="7">
        <f t="shared" si="239"/>
        <v>0.99999999579430321</v>
      </c>
      <c r="BA1197" s="7">
        <f t="shared" si="249"/>
        <v>5.7599999999998381</v>
      </c>
      <c r="BB1197" s="7">
        <f t="shared" si="240"/>
        <v>2.4916426972974176E-8</v>
      </c>
      <c r="BC1197" s="7" t="e">
        <f t="shared" si="241"/>
        <v>#N/A</v>
      </c>
      <c r="BD1197" s="7">
        <f t="shared" si="242"/>
        <v>5.7599899999998385</v>
      </c>
      <c r="BE1197" s="7">
        <f t="shared" si="243"/>
        <v>5.7600099999998378</v>
      </c>
      <c r="BF1197" s="7">
        <f t="shared" si="244"/>
        <v>0.99990867192723387</v>
      </c>
      <c r="BG1197" s="7">
        <f t="shared" si="245"/>
        <v>0.99990867442285603</v>
      </c>
      <c r="BH1197" s="7" t="e">
        <f t="shared" si="246"/>
        <v>#N/A</v>
      </c>
      <c r="BI1197" s="7">
        <f t="shared" si="250"/>
        <v>2.4916426972974176E-8</v>
      </c>
      <c r="BJ1197" s="7">
        <f t="shared" si="247"/>
        <v>-9.9997508357302714E-4</v>
      </c>
      <c r="BK1197" s="7" t="e">
        <f t="shared" si="251"/>
        <v>#N/A</v>
      </c>
      <c r="BL1197" s="7" t="e">
        <f t="shared" si="248"/>
        <v>#N/A</v>
      </c>
    </row>
    <row r="1198" spans="52:64" ht="11.25" customHeight="1">
      <c r="AZ1198" s="7">
        <f t="shared" si="239"/>
        <v>0.99999999603642342</v>
      </c>
      <c r="BA1198" s="7">
        <f t="shared" si="249"/>
        <v>5.7699999999998379</v>
      </c>
      <c r="BB1198" s="7">
        <f t="shared" si="240"/>
        <v>2.3520615778412809E-8</v>
      </c>
      <c r="BC1198" s="7" t="e">
        <f t="shared" si="241"/>
        <v>#N/A</v>
      </c>
      <c r="BD1198" s="7">
        <f t="shared" si="242"/>
        <v>5.7699899999998383</v>
      </c>
      <c r="BE1198" s="7">
        <f t="shared" si="243"/>
        <v>5.7700099999998375</v>
      </c>
      <c r="BF1198" s="7">
        <f t="shared" si="244"/>
        <v>0.99990991064857537</v>
      </c>
      <c r="BG1198" s="7">
        <f t="shared" si="245"/>
        <v>0.99990991310786026</v>
      </c>
      <c r="BH1198" s="7" t="e">
        <f t="shared" si="246"/>
        <v>#N/A</v>
      </c>
      <c r="BI1198" s="7">
        <f t="shared" si="250"/>
        <v>2.3520615778412809E-8</v>
      </c>
      <c r="BJ1198" s="7">
        <f t="shared" si="247"/>
        <v>-9.9997647938422163E-4</v>
      </c>
      <c r="BK1198" s="7" t="e">
        <f t="shared" si="251"/>
        <v>#N/A</v>
      </c>
      <c r="BL1198" s="7" t="e">
        <f t="shared" si="248"/>
        <v>#N/A</v>
      </c>
    </row>
    <row r="1199" spans="52:64" ht="11.25" customHeight="1">
      <c r="AZ1199" s="7">
        <f t="shared" si="239"/>
        <v>0.99999999626496872</v>
      </c>
      <c r="BA1199" s="7">
        <f t="shared" si="249"/>
        <v>5.7799999999998377</v>
      </c>
      <c r="BB1199" s="7">
        <f t="shared" si="240"/>
        <v>2.2200777343599831E-8</v>
      </c>
      <c r="BC1199" s="7" t="e">
        <f t="shared" si="241"/>
        <v>#N/A</v>
      </c>
      <c r="BD1199" s="7">
        <f t="shared" si="242"/>
        <v>5.7799899999998381</v>
      </c>
      <c r="BE1199" s="7">
        <f t="shared" si="243"/>
        <v>5.7800099999998373</v>
      </c>
      <c r="BF1199" s="7">
        <f t="shared" si="244"/>
        <v>0.99991113134195109</v>
      </c>
      <c r="BG1199" s="7">
        <f t="shared" si="245"/>
        <v>0.99991113376546104</v>
      </c>
      <c r="BH1199" s="7" t="e">
        <f t="shared" si="246"/>
        <v>#N/A</v>
      </c>
      <c r="BI1199" s="7">
        <f t="shared" si="250"/>
        <v>2.2200777343599831E-8</v>
      </c>
      <c r="BJ1199" s="7">
        <f t="shared" si="247"/>
        <v>-9.9997779922265636E-4</v>
      </c>
      <c r="BK1199" s="7" t="e">
        <f t="shared" si="251"/>
        <v>#N/A</v>
      </c>
      <c r="BL1199" s="7" t="e">
        <f t="shared" si="248"/>
        <v>#N/A</v>
      </c>
    </row>
    <row r="1200" spans="52:64" ht="11.25" customHeight="1">
      <c r="AZ1200" s="7">
        <f t="shared" si="239"/>
        <v>0.99999999648067883</v>
      </c>
      <c r="BA1200" s="7">
        <f t="shared" si="249"/>
        <v>5.7899999999998375</v>
      </c>
      <c r="BB1200" s="7">
        <f t="shared" si="240"/>
        <v>2.0952905073396694E-8</v>
      </c>
      <c r="BC1200" s="7" t="e">
        <f t="shared" si="241"/>
        <v>#N/A</v>
      </c>
      <c r="BD1200" s="7">
        <f t="shared" si="242"/>
        <v>5.7899899999998379</v>
      </c>
      <c r="BE1200" s="7">
        <f t="shared" si="243"/>
        <v>5.7900099999998371</v>
      </c>
      <c r="BF1200" s="7">
        <f t="shared" si="244"/>
        <v>0.99991233428617599</v>
      </c>
      <c r="BG1200" s="7">
        <f t="shared" si="245"/>
        <v>0.99991233667446389</v>
      </c>
      <c r="BH1200" s="7" t="e">
        <f t="shared" si="246"/>
        <v>#N/A</v>
      </c>
      <c r="BI1200" s="7">
        <f t="shared" si="250"/>
        <v>2.0952905073396694E-8</v>
      </c>
      <c r="BJ1200" s="7">
        <f t="shared" si="247"/>
        <v>-9.9997904709492672E-4</v>
      </c>
      <c r="BK1200" s="7" t="e">
        <f t="shared" si="251"/>
        <v>#N/A</v>
      </c>
      <c r="BL1200" s="7" t="e">
        <f t="shared" si="248"/>
        <v>#N/A</v>
      </c>
    </row>
    <row r="1201" spans="52:64" ht="11.25" customHeight="1">
      <c r="AZ1201" s="7">
        <f t="shared" si="239"/>
        <v>0.99999999668425399</v>
      </c>
      <c r="BA1201" s="7">
        <f t="shared" si="249"/>
        <v>5.7999999999998373</v>
      </c>
      <c r="BB1201" s="7">
        <f t="shared" si="240"/>
        <v>1.9773196406263356E-8</v>
      </c>
      <c r="BC1201" s="7" t="e">
        <f t="shared" si="241"/>
        <v>#N/A</v>
      </c>
      <c r="BD1201" s="7">
        <f t="shared" si="242"/>
        <v>5.7999899999998377</v>
      </c>
      <c r="BE1201" s="7">
        <f t="shared" si="243"/>
        <v>5.8000099999998369</v>
      </c>
      <c r="BF1201" s="7">
        <f t="shared" si="244"/>
        <v>0.99991351975552301</v>
      </c>
      <c r="BG1201" s="7">
        <f t="shared" si="245"/>
        <v>0.99991352210913309</v>
      </c>
      <c r="BH1201" s="7" t="e">
        <f t="shared" si="246"/>
        <v>#N/A</v>
      </c>
      <c r="BI1201" s="7">
        <f t="shared" si="250"/>
        <v>1.9773196406263356E-8</v>
      </c>
      <c r="BJ1201" s="7">
        <f t="shared" si="247"/>
        <v>-9.9998022680359384E-4</v>
      </c>
      <c r="BK1201" s="7" t="e">
        <f t="shared" si="251"/>
        <v>#N/A</v>
      </c>
      <c r="BL1201" s="7" t="e">
        <f t="shared" si="248"/>
        <v>#N/A</v>
      </c>
    </row>
    <row r="1202" spans="52:64" ht="11.25" customHeight="1">
      <c r="AZ1202" s="7">
        <f t="shared" si="239"/>
        <v>0.99999999687635788</v>
      </c>
      <c r="BA1202" s="7">
        <f t="shared" si="249"/>
        <v>5.8099999999998371</v>
      </c>
      <c r="BB1202" s="7">
        <f t="shared" si="240"/>
        <v>1.8658042823963807E-8</v>
      </c>
      <c r="BC1202" s="7" t="e">
        <f t="shared" si="241"/>
        <v>#N/A</v>
      </c>
      <c r="BD1202" s="7">
        <f t="shared" si="242"/>
        <v>5.8099899999998375</v>
      </c>
      <c r="BE1202" s="7">
        <f t="shared" si="243"/>
        <v>5.8100099999998367</v>
      </c>
      <c r="BF1202" s="7">
        <f t="shared" si="244"/>
        <v>0.99991468801980066</v>
      </c>
      <c r="BG1202" s="7">
        <f t="shared" si="245"/>
        <v>0.99991469033926794</v>
      </c>
      <c r="BH1202" s="7" t="e">
        <f t="shared" si="246"/>
        <v>#N/A</v>
      </c>
      <c r="BI1202" s="7">
        <f t="shared" si="250"/>
        <v>1.8658042823963807E-8</v>
      </c>
      <c r="BJ1202" s="7">
        <f t="shared" si="247"/>
        <v>-9.9998134195717616E-4</v>
      </c>
      <c r="BK1202" s="7" t="e">
        <f t="shared" si="251"/>
        <v>#N/A</v>
      </c>
      <c r="BL1202" s="7" t="e">
        <f t="shared" si="248"/>
        <v>#N/A</v>
      </c>
    </row>
    <row r="1203" spans="52:64" ht="11.25" customHeight="1">
      <c r="AZ1203" s="7">
        <f t="shared" si="239"/>
        <v>0.99999999705761866</v>
      </c>
      <c r="BA1203" s="7">
        <f t="shared" si="249"/>
        <v>5.8199999999998369</v>
      </c>
      <c r="BB1203" s="7">
        <f t="shared" si="240"/>
        <v>1.7604020329002542E-8</v>
      </c>
      <c r="BC1203" s="7" t="e">
        <f t="shared" si="241"/>
        <v>#N/A</v>
      </c>
      <c r="BD1203" s="7">
        <f t="shared" si="242"/>
        <v>5.8199899999998372</v>
      </c>
      <c r="BE1203" s="7">
        <f t="shared" si="243"/>
        <v>5.8200099999998365</v>
      </c>
      <c r="BF1203" s="7">
        <f t="shared" si="244"/>
        <v>0.99991583934442829</v>
      </c>
      <c r="BG1203" s="7">
        <f t="shared" si="245"/>
        <v>0.99991584163027925</v>
      </c>
      <c r="BH1203" s="7" t="e">
        <f t="shared" si="246"/>
        <v>#N/A</v>
      </c>
      <c r="BI1203" s="7">
        <f t="shared" si="250"/>
        <v>1.7604020329002542E-8</v>
      </c>
      <c r="BJ1203" s="7">
        <f t="shared" si="247"/>
        <v>-9.999823959796711E-4</v>
      </c>
      <c r="BK1203" s="7" t="e">
        <f t="shared" si="251"/>
        <v>#N/A</v>
      </c>
      <c r="BL1203" s="7" t="e">
        <f t="shared" si="248"/>
        <v>#N/A</v>
      </c>
    </row>
    <row r="1204" spans="52:64" ht="11.25" customHeight="1">
      <c r="AZ1204" s="7">
        <f t="shared" si="239"/>
        <v>0.9999999972286312</v>
      </c>
      <c r="BA1204" s="7">
        <f t="shared" si="249"/>
        <v>5.8299999999998366</v>
      </c>
      <c r="BB1204" s="7">
        <f t="shared" si="240"/>
        <v>1.6607880369007856E-8</v>
      </c>
      <c r="BC1204" s="7" t="e">
        <f t="shared" si="241"/>
        <v>#N/A</v>
      </c>
      <c r="BD1204" s="7">
        <f t="shared" si="242"/>
        <v>5.829989999999837</v>
      </c>
      <c r="BE1204" s="7">
        <f t="shared" si="243"/>
        <v>5.8300099999998363</v>
      </c>
      <c r="BF1204" s="7">
        <f t="shared" si="244"/>
        <v>0.99991697399051127</v>
      </c>
      <c r="BG1204" s="7">
        <f t="shared" si="245"/>
        <v>0.99991697624326403</v>
      </c>
      <c r="BH1204" s="7" t="e">
        <f t="shared" si="246"/>
        <v>#N/A</v>
      </c>
      <c r="BI1204" s="7">
        <f t="shared" si="250"/>
        <v>1.6607880369007856E-8</v>
      </c>
      <c r="BJ1204" s="7">
        <f t="shared" si="247"/>
        <v>-9.9998339211963111E-4</v>
      </c>
      <c r="BK1204" s="7" t="e">
        <f t="shared" si="251"/>
        <v>#N/A</v>
      </c>
      <c r="BL1204" s="7" t="e">
        <f t="shared" si="248"/>
        <v>#N/A</v>
      </c>
    </row>
    <row r="1205" spans="52:64" ht="11.25" customHeight="1">
      <c r="AZ1205" s="7">
        <f t="shared" si="239"/>
        <v>0.99999999738995893</v>
      </c>
      <c r="BA1205" s="7">
        <f t="shared" si="249"/>
        <v>5.8399999999998364</v>
      </c>
      <c r="BB1205" s="7">
        <f t="shared" si="240"/>
        <v>1.5666541188147484E-8</v>
      </c>
      <c r="BC1205" s="7" t="e">
        <f t="shared" si="241"/>
        <v>#N/A</v>
      </c>
      <c r="BD1205" s="7">
        <f t="shared" si="242"/>
        <v>5.8399899999998368</v>
      </c>
      <c r="BE1205" s="7">
        <f t="shared" si="243"/>
        <v>5.8400099999998361</v>
      </c>
      <c r="BF1205" s="7">
        <f t="shared" si="244"/>
        <v>0.99991809221491412</v>
      </c>
      <c r="BG1205" s="7">
        <f t="shared" si="245"/>
        <v>0.99991809443507806</v>
      </c>
      <c r="BH1205" s="7" t="e">
        <f t="shared" si="246"/>
        <v>#N/A</v>
      </c>
      <c r="BI1205" s="7">
        <f t="shared" si="250"/>
        <v>1.5666541188147484E-8</v>
      </c>
      <c r="BJ1205" s="7">
        <f t="shared" si="247"/>
        <v>-9.9998433345881198E-4</v>
      </c>
      <c r="BK1205" s="7" t="e">
        <f t="shared" si="251"/>
        <v>#N/A</v>
      </c>
      <c r="BL1205" s="7" t="e">
        <f t="shared" si="248"/>
        <v>#N/A</v>
      </c>
    </row>
    <row r="1206" spans="52:64" ht="11.25" customHeight="1">
      <c r="AZ1206" s="7">
        <f t="shared" si="239"/>
        <v>0.99999999754213498</v>
      </c>
      <c r="BA1206" s="7">
        <f t="shared" si="249"/>
        <v>5.8499999999998362</v>
      </c>
      <c r="BB1206" s="7">
        <f t="shared" si="240"/>
        <v>1.4777079586494175E-8</v>
      </c>
      <c r="BC1206" s="7" t="e">
        <f t="shared" si="241"/>
        <v>#N/A</v>
      </c>
      <c r="BD1206" s="7">
        <f t="shared" si="242"/>
        <v>5.8499899999998366</v>
      </c>
      <c r="BE1206" s="7">
        <f t="shared" si="243"/>
        <v>5.8500099999998358</v>
      </c>
      <c r="BF1206" s="7">
        <f t="shared" si="244"/>
        <v>0.99991919427033216</v>
      </c>
      <c r="BG1206" s="7">
        <f t="shared" si="245"/>
        <v>0.99991919645840854</v>
      </c>
      <c r="BH1206" s="7" t="e">
        <f t="shared" si="246"/>
        <v>#N/A</v>
      </c>
      <c r="BI1206" s="7">
        <f t="shared" si="250"/>
        <v>1.4777079586494175E-8</v>
      </c>
      <c r="BJ1206" s="7">
        <f t="shared" si="247"/>
        <v>-9.9998522292041358E-4</v>
      </c>
      <c r="BK1206" s="7" t="e">
        <f t="shared" si="251"/>
        <v>#N/A</v>
      </c>
      <c r="BL1206" s="7" t="e">
        <f t="shared" si="248"/>
        <v>#N/A</v>
      </c>
    </row>
    <row r="1207" spans="52:64" ht="11.25" customHeight="1">
      <c r="AZ1207" s="7">
        <f t="shared" si="239"/>
        <v>0.99999999768566417</v>
      </c>
      <c r="BA1207" s="7">
        <f t="shared" si="249"/>
        <v>5.859999999999836</v>
      </c>
      <c r="BB1207" s="7">
        <f t="shared" si="240"/>
        <v>1.3936723069060808E-8</v>
      </c>
      <c r="BC1207" s="7" t="e">
        <f t="shared" si="241"/>
        <v>#N/A</v>
      </c>
      <c r="BD1207" s="7">
        <f t="shared" si="242"/>
        <v>5.8599899999998364</v>
      </c>
      <c r="BE1207" s="7">
        <f t="shared" si="243"/>
        <v>5.8600099999998356</v>
      </c>
      <c r="BF1207" s="7">
        <f t="shared" si="244"/>
        <v>0.99992028040536274</v>
      </c>
      <c r="BG1207" s="7">
        <f t="shared" si="245"/>
        <v>0.99992028256184473</v>
      </c>
      <c r="BH1207" s="7" t="e">
        <f t="shared" si="246"/>
        <v>#N/A</v>
      </c>
      <c r="BI1207" s="7">
        <f t="shared" si="250"/>
        <v>1.3936723069060808E-8</v>
      </c>
      <c r="BJ1207" s="7">
        <f t="shared" si="247"/>
        <v>-9.9998606327693102E-4</v>
      </c>
      <c r="BK1207" s="7" t="e">
        <f t="shared" si="251"/>
        <v>#N/A</v>
      </c>
      <c r="BL1207" s="7" t="e">
        <f t="shared" si="248"/>
        <v>#N/A</v>
      </c>
    </row>
    <row r="1208" spans="52:64" ht="11.25" customHeight="1">
      <c r="AZ1208" s="7">
        <f t="shared" si="239"/>
        <v>0.99999999782102433</v>
      </c>
      <c r="BA1208" s="7">
        <f t="shared" si="249"/>
        <v>5.8699999999998358</v>
      </c>
      <c r="BB1208" s="7">
        <f t="shared" si="240"/>
        <v>1.3142842366994842E-8</v>
      </c>
      <c r="BC1208" s="7" t="e">
        <f t="shared" si="241"/>
        <v>#N/A</v>
      </c>
      <c r="BD1208" s="7">
        <f t="shared" si="242"/>
        <v>5.8699899999998362</v>
      </c>
      <c r="BE1208" s="7">
        <f t="shared" si="243"/>
        <v>5.8700099999998354</v>
      </c>
      <c r="BF1208" s="7">
        <f t="shared" si="244"/>
        <v>0.99992135086457412</v>
      </c>
      <c r="BG1208" s="7">
        <f t="shared" si="245"/>
        <v>0.99992135298994689</v>
      </c>
      <c r="BH1208" s="7" t="e">
        <f t="shared" si="246"/>
        <v>#N/A</v>
      </c>
      <c r="BI1208" s="7">
        <f t="shared" si="250"/>
        <v>1.3142842366994842E-8</v>
      </c>
      <c r="BJ1208" s="7">
        <f t="shared" si="247"/>
        <v>-9.9998685715763308E-4</v>
      </c>
      <c r="BK1208" s="7" t="e">
        <f t="shared" si="251"/>
        <v>#N/A</v>
      </c>
      <c r="BL1208" s="7" t="e">
        <f t="shared" si="248"/>
        <v>#N/A</v>
      </c>
    </row>
    <row r="1209" spans="52:64" ht="11.25" customHeight="1">
      <c r="AZ1209" s="7">
        <f t="shared" si="239"/>
        <v>0.99999999794866756</v>
      </c>
      <c r="BA1209" s="7">
        <f t="shared" si="249"/>
        <v>5.8799999999998356</v>
      </c>
      <c r="BB1209" s="7">
        <f t="shared" si="240"/>
        <v>1.2392944314162104E-8</v>
      </c>
      <c r="BC1209" s="7" t="e">
        <f t="shared" si="241"/>
        <v>#N/A</v>
      </c>
      <c r="BD1209" s="7">
        <f t="shared" si="242"/>
        <v>5.879989999999836</v>
      </c>
      <c r="BE1209" s="7">
        <f t="shared" si="243"/>
        <v>5.8800099999998352</v>
      </c>
      <c r="BF1209" s="7">
        <f t="shared" si="244"/>
        <v>0.99992240588857439</v>
      </c>
      <c r="BG1209" s="7">
        <f t="shared" si="245"/>
        <v>0.99992240798331522</v>
      </c>
      <c r="BH1209" s="7" t="e">
        <f t="shared" si="246"/>
        <v>#N/A</v>
      </c>
      <c r="BI1209" s="7">
        <f t="shared" si="250"/>
        <v>1.2392944314162104E-8</v>
      </c>
      <c r="BJ1209" s="7">
        <f t="shared" si="247"/>
        <v>-9.9998760705568581E-4</v>
      </c>
      <c r="BK1209" s="7" t="e">
        <f t="shared" si="251"/>
        <v>#N/A</v>
      </c>
      <c r="BL1209" s="7" t="e">
        <f t="shared" si="248"/>
        <v>#N/A</v>
      </c>
    </row>
    <row r="1210" spans="52:64" ht="11.25" customHeight="1">
      <c r="AZ1210" s="7">
        <f t="shared" si="239"/>
        <v>0.99999999806902196</v>
      </c>
      <c r="BA1210" s="7">
        <f t="shared" si="249"/>
        <v>5.8899999999998354</v>
      </c>
      <c r="BB1210" s="7">
        <f t="shared" si="240"/>
        <v>1.1684665063061159E-8</v>
      </c>
      <c r="BC1210" s="7" t="e">
        <f t="shared" si="241"/>
        <v>#N/A</v>
      </c>
      <c r="BD1210" s="7">
        <f t="shared" si="242"/>
        <v>5.8899899999998357</v>
      </c>
      <c r="BE1210" s="7">
        <f t="shared" si="243"/>
        <v>5.890009999999835</v>
      </c>
      <c r="BF1210" s="7">
        <f t="shared" si="244"/>
        <v>0.99992344571407799</v>
      </c>
      <c r="BG1210" s="7">
        <f t="shared" si="245"/>
        <v>0.99992344777865649</v>
      </c>
      <c r="BH1210" s="7" t="e">
        <f t="shared" si="246"/>
        <v>#N/A</v>
      </c>
      <c r="BI1210" s="7">
        <f t="shared" si="250"/>
        <v>1.1684665063061159E-8</v>
      </c>
      <c r="BJ1210" s="7">
        <f t="shared" si="247"/>
        <v>-9.9998831533493703E-4</v>
      </c>
      <c r="BK1210" s="7" t="e">
        <f t="shared" si="251"/>
        <v>#N/A</v>
      </c>
      <c r="BL1210" s="7" t="e">
        <f t="shared" si="248"/>
        <v>#N/A</v>
      </c>
    </row>
    <row r="1211" spans="52:64" ht="11.25" customHeight="1">
      <c r="AZ1211" s="7">
        <f t="shared" si="239"/>
        <v>0.99999999818249219</v>
      </c>
      <c r="BA1211" s="7">
        <f t="shared" si="249"/>
        <v>5.8999999999998352</v>
      </c>
      <c r="BB1211" s="7">
        <f t="shared" si="240"/>
        <v>1.101576362469303E-8</v>
      </c>
      <c r="BC1211" s="7" t="e">
        <f t="shared" si="241"/>
        <v>#N/A</v>
      </c>
      <c r="BD1211" s="7">
        <f t="shared" si="242"/>
        <v>5.8999899999998355</v>
      </c>
      <c r="BE1211" s="7">
        <f t="shared" si="243"/>
        <v>5.9000099999998348</v>
      </c>
      <c r="BF1211" s="7">
        <f t="shared" si="244"/>
        <v>0.99992447057397171</v>
      </c>
      <c r="BG1211" s="7">
        <f t="shared" si="245"/>
        <v>0.99992447260884976</v>
      </c>
      <c r="BH1211" s="7" t="e">
        <f t="shared" si="246"/>
        <v>#N/A</v>
      </c>
      <c r="BI1211" s="7">
        <f t="shared" si="250"/>
        <v>1.101576362469303E-8</v>
      </c>
      <c r="BJ1211" s="7">
        <f t="shared" si="247"/>
        <v>-9.9998898423637539E-4</v>
      </c>
      <c r="BK1211" s="7" t="e">
        <f t="shared" si="251"/>
        <v>#N/A</v>
      </c>
      <c r="BL1211" s="7" t="e">
        <f t="shared" si="248"/>
        <v>#N/A</v>
      </c>
    </row>
    <row r="1212" spans="52:64" ht="11.25" customHeight="1">
      <c r="AZ1212" s="7">
        <f t="shared" si="239"/>
        <v>0.99999999828946129</v>
      </c>
      <c r="BA1212" s="7">
        <f t="shared" si="249"/>
        <v>5.9099999999998349</v>
      </c>
      <c r="BB1212" s="7">
        <f t="shared" si="240"/>
        <v>1.0384115717666471E-8</v>
      </c>
      <c r="BC1212" s="7" t="e">
        <f t="shared" si="241"/>
        <v>#N/A</v>
      </c>
      <c r="BD1212" s="7">
        <f t="shared" si="242"/>
        <v>5.9099899999998353</v>
      </c>
      <c r="BE1212" s="7">
        <f t="shared" si="243"/>
        <v>5.9100099999998346</v>
      </c>
      <c r="BF1212" s="7">
        <f t="shared" si="244"/>
        <v>0.99992548069737952</v>
      </c>
      <c r="BG1212" s="7">
        <f t="shared" si="245"/>
        <v>0.99992548270301174</v>
      </c>
      <c r="BH1212" s="7" t="e">
        <f t="shared" si="246"/>
        <v>#N/A</v>
      </c>
      <c r="BI1212" s="7">
        <f t="shared" si="250"/>
        <v>1.0384115717666471E-8</v>
      </c>
      <c r="BJ1212" s="7">
        <f t="shared" si="247"/>
        <v>-9.9998961588428233E-4</v>
      </c>
      <c r="BK1212" s="7" t="e">
        <f t="shared" si="251"/>
        <v>#N/A</v>
      </c>
      <c r="BL1212" s="7" t="e">
        <f t="shared" si="248"/>
        <v>#N/A</v>
      </c>
    </row>
    <row r="1213" spans="52:64" ht="11.25" customHeight="1">
      <c r="AZ1213" s="7">
        <f t="shared" si="239"/>
        <v>0.99999999839029186</v>
      </c>
      <c r="BA1213" s="7">
        <f t="shared" si="249"/>
        <v>5.9199999999998347</v>
      </c>
      <c r="BB1213" s="7">
        <f t="shared" si="240"/>
        <v>9.7877079124507384E-9</v>
      </c>
      <c r="BC1213" s="7" t="e">
        <f t="shared" si="241"/>
        <v>#N/A</v>
      </c>
      <c r="BD1213" s="7">
        <f t="shared" si="242"/>
        <v>5.9199899999998351</v>
      </c>
      <c r="BE1213" s="7">
        <f t="shared" si="243"/>
        <v>5.9200099999998343</v>
      </c>
      <c r="BF1213" s="7">
        <f t="shared" si="244"/>
        <v>0.9999264763097262</v>
      </c>
      <c r="BG1213" s="7">
        <f t="shared" si="245"/>
        <v>0.99992647828655967</v>
      </c>
      <c r="BH1213" s="7" t="e">
        <f t="shared" si="246"/>
        <v>#N/A</v>
      </c>
      <c r="BI1213" s="7">
        <f t="shared" si="250"/>
        <v>9.7877079124507384E-9</v>
      </c>
      <c r="BJ1213" s="7">
        <f t="shared" si="247"/>
        <v>-9.9999021229208764E-4</v>
      </c>
      <c r="BK1213" s="7" t="e">
        <f t="shared" si="251"/>
        <v>#N/A</v>
      </c>
      <c r="BL1213" s="7" t="e">
        <f t="shared" si="248"/>
        <v>#N/A</v>
      </c>
    </row>
    <row r="1214" spans="52:64" ht="11.25" customHeight="1">
      <c r="AZ1214" s="7">
        <f t="shared" si="239"/>
        <v>0.99999999848532661</v>
      </c>
      <c r="BA1214" s="7">
        <f t="shared" si="249"/>
        <v>5.9299999999998345</v>
      </c>
      <c r="BB1214" s="7">
        <f t="shared" si="240"/>
        <v>9.2246320572917634E-9</v>
      </c>
      <c r="BC1214" s="7" t="e">
        <f t="shared" si="241"/>
        <v>#N/A</v>
      </c>
      <c r="BD1214" s="7">
        <f t="shared" si="242"/>
        <v>5.9299899999998349</v>
      </c>
      <c r="BE1214" s="7">
        <f t="shared" si="243"/>
        <v>5.9300099999998341</v>
      </c>
      <c r="BF1214" s="7">
        <f t="shared" si="244"/>
        <v>0.99992745763279955</v>
      </c>
      <c r="BG1214" s="7">
        <f t="shared" si="245"/>
        <v>0.99992745958127427</v>
      </c>
      <c r="BH1214" s="7" t="e">
        <f t="shared" si="246"/>
        <v>#N/A</v>
      </c>
      <c r="BI1214" s="7">
        <f t="shared" si="250"/>
        <v>9.2246320572917634E-9</v>
      </c>
      <c r="BJ1214" s="7">
        <f t="shared" si="247"/>
        <v>-9.9999077536794267E-4</v>
      </c>
      <c r="BK1214" s="7" t="e">
        <f t="shared" si="251"/>
        <v>#N/A</v>
      </c>
      <c r="BL1214" s="7" t="e">
        <f t="shared" si="248"/>
        <v>#N/A</v>
      </c>
    </row>
    <row r="1215" spans="52:64" ht="11.25" customHeight="1">
      <c r="AZ1215" s="7">
        <f t="shared" si="239"/>
        <v>0.99999999857488964</v>
      </c>
      <c r="BA1215" s="7">
        <f t="shared" si="249"/>
        <v>5.9399999999998343</v>
      </c>
      <c r="BB1215" s="7">
        <f t="shared" si="240"/>
        <v>8.6930799728887595E-9</v>
      </c>
      <c r="BC1215" s="7" t="e">
        <f t="shared" si="241"/>
        <v>#N/A</v>
      </c>
      <c r="BD1215" s="7">
        <f t="shared" si="242"/>
        <v>5.9399899999998347</v>
      </c>
      <c r="BE1215" s="7">
        <f t="shared" si="243"/>
        <v>5.9400099999998339</v>
      </c>
      <c r="BF1215" s="7">
        <f t="shared" si="244"/>
        <v>0.99992842488481193</v>
      </c>
      <c r="BG1215" s="7">
        <f t="shared" si="245"/>
        <v>0.99992842680536087</v>
      </c>
      <c r="BH1215" s="7" t="e">
        <f t="shared" si="246"/>
        <v>#N/A</v>
      </c>
      <c r="BI1215" s="7">
        <f t="shared" si="250"/>
        <v>8.6930799728887595E-9</v>
      </c>
      <c r="BJ1215" s="7">
        <f t="shared" si="247"/>
        <v>-9.9999130692002714E-4</v>
      </c>
      <c r="BK1215" s="7" t="e">
        <f t="shared" si="251"/>
        <v>#N/A</v>
      </c>
      <c r="BL1215" s="7" t="e">
        <f t="shared" si="248"/>
        <v>#N/A</v>
      </c>
    </row>
    <row r="1216" spans="52:64" ht="11.25" customHeight="1">
      <c r="AZ1216" s="7">
        <f t="shared" si="239"/>
        <v>0.99999999865928757</v>
      </c>
      <c r="BA1216" s="7">
        <f t="shared" si="249"/>
        <v>5.9499999999998341</v>
      </c>
      <c r="BB1216" s="7">
        <f t="shared" si="240"/>
        <v>8.1913384034872618E-9</v>
      </c>
      <c r="BC1216" s="7" t="e">
        <f t="shared" si="241"/>
        <v>#N/A</v>
      </c>
      <c r="BD1216" s="7">
        <f t="shared" si="242"/>
        <v>5.9499899999998345</v>
      </c>
      <c r="BE1216" s="7">
        <f t="shared" si="243"/>
        <v>5.9500099999998337</v>
      </c>
      <c r="BF1216" s="7">
        <f t="shared" si="244"/>
        <v>0.99992937828046058</v>
      </c>
      <c r="BG1216" s="7">
        <f t="shared" si="245"/>
        <v>0.99992938017350963</v>
      </c>
      <c r="BH1216" s="7" t="e">
        <f t="shared" si="246"/>
        <v>#N/A</v>
      </c>
      <c r="BI1216" s="7">
        <f t="shared" si="250"/>
        <v>8.1913384034872618E-9</v>
      </c>
      <c r="BJ1216" s="7">
        <f t="shared" si="247"/>
        <v>-9.9999180866159644E-4</v>
      </c>
      <c r="BK1216" s="7" t="e">
        <f t="shared" si="251"/>
        <v>#N/A</v>
      </c>
      <c r="BL1216" s="7" t="e">
        <f t="shared" si="248"/>
        <v>#N/A</v>
      </c>
    </row>
    <row r="1217" spans="52:64" ht="11.25" customHeight="1">
      <c r="AZ1217" s="7">
        <f t="shared" si="239"/>
        <v>0.99999999873881029</v>
      </c>
      <c r="BA1217" s="7">
        <f t="shared" si="249"/>
        <v>5.9599999999998339</v>
      </c>
      <c r="BB1217" s="7">
        <f t="shared" si="240"/>
        <v>7.7177842125781769E-9</v>
      </c>
      <c r="BC1217" s="7" t="e">
        <f t="shared" si="241"/>
        <v>#N/A</v>
      </c>
      <c r="BD1217" s="7">
        <f t="shared" si="242"/>
        <v>5.9599899999998343</v>
      </c>
      <c r="BE1217" s="7">
        <f t="shared" si="243"/>
        <v>5.9600099999998335</v>
      </c>
      <c r="BF1217" s="7">
        <f t="shared" si="244"/>
        <v>0.99993031803098698</v>
      </c>
      <c r="BG1217" s="7">
        <f t="shared" si="245"/>
        <v>0.99993031989695513</v>
      </c>
      <c r="BH1217" s="7" t="e">
        <f t="shared" si="246"/>
        <v>#N/A</v>
      </c>
      <c r="BI1217" s="7">
        <f t="shared" si="250"/>
        <v>7.7177842125781769E-9</v>
      </c>
      <c r="BJ1217" s="7">
        <f t="shared" si="247"/>
        <v>-9.9999228221578753E-4</v>
      </c>
      <c r="BK1217" s="7" t="e">
        <f t="shared" si="251"/>
        <v>#N/A</v>
      </c>
      <c r="BL1217" s="7" t="e">
        <f t="shared" si="248"/>
        <v>#N/A</v>
      </c>
    </row>
    <row r="1218" spans="52:64" ht="11.25" customHeight="1">
      <c r="AZ1218" s="7">
        <f t="shared" si="239"/>
        <v>0.99999999881373203</v>
      </c>
      <c r="BA1218" s="7">
        <f t="shared" si="249"/>
        <v>5.9699999999998337</v>
      </c>
      <c r="BB1218" s="7">
        <f t="shared" si="240"/>
        <v>7.2708798119073129E-9</v>
      </c>
      <c r="BC1218" s="7" t="e">
        <f t="shared" si="241"/>
        <v>#N/A</v>
      </c>
      <c r="BD1218" s="7">
        <f t="shared" si="242"/>
        <v>5.969989999999834</v>
      </c>
      <c r="BE1218" s="7">
        <f t="shared" si="243"/>
        <v>5.9700099999998333</v>
      </c>
      <c r="BF1218" s="7">
        <f t="shared" si="244"/>
        <v>0.99993124434423464</v>
      </c>
      <c r="BG1218" s="7">
        <f t="shared" si="245"/>
        <v>0.99993124618353424</v>
      </c>
      <c r="BH1218" s="7" t="e">
        <f t="shared" si="246"/>
        <v>#N/A</v>
      </c>
      <c r="BI1218" s="7">
        <f t="shared" si="250"/>
        <v>7.2708798119073129E-9</v>
      </c>
      <c r="BJ1218" s="7">
        <f t="shared" si="247"/>
        <v>-9.9999272912018817E-4</v>
      </c>
      <c r="BK1218" s="7" t="e">
        <f t="shared" si="251"/>
        <v>#N/A</v>
      </c>
      <c r="BL1218" s="7" t="e">
        <f t="shared" si="248"/>
        <v>#N/A</v>
      </c>
    </row>
    <row r="1219" spans="52:64" ht="11.25" customHeight="1">
      <c r="AZ1219" s="7">
        <f t="shared" si="239"/>
        <v>0.9999999988843119</v>
      </c>
      <c r="BA1219" s="7">
        <f t="shared" si="249"/>
        <v>5.9799999999998334</v>
      </c>
      <c r="BB1219" s="7">
        <f t="shared" si="240"/>
        <v>6.8491688129925952E-9</v>
      </c>
      <c r="BC1219" s="7" t="e">
        <f t="shared" si="241"/>
        <v>#N/A</v>
      </c>
      <c r="BD1219" s="7">
        <f t="shared" si="242"/>
        <v>5.9799899999998338</v>
      </c>
      <c r="BE1219" s="7">
        <f t="shared" si="243"/>
        <v>5.9800099999998331</v>
      </c>
      <c r="BF1219" s="7">
        <f t="shared" si="244"/>
        <v>0.99993215742470676</v>
      </c>
      <c r="BG1219" s="7">
        <f t="shared" si="245"/>
        <v>0.99993215923774359</v>
      </c>
      <c r="BH1219" s="7" t="e">
        <f t="shared" si="246"/>
        <v>#N/A</v>
      </c>
      <c r="BI1219" s="7">
        <f t="shared" si="250"/>
        <v>6.8491688129925952E-9</v>
      </c>
      <c r="BJ1219" s="7">
        <f t="shared" si="247"/>
        <v>-9.9999315083118697E-4</v>
      </c>
      <c r="BK1219" s="7" t="e">
        <f t="shared" si="251"/>
        <v>#N/A</v>
      </c>
      <c r="BL1219" s="7" t="e">
        <f t="shared" si="248"/>
        <v>#N/A</v>
      </c>
    </row>
    <row r="1220" spans="52:64" ht="11.25" customHeight="1">
      <c r="AZ1220" s="7">
        <f t="shared" si="239"/>
        <v>0.99999999895079483</v>
      </c>
      <c r="BA1220" s="7">
        <f t="shared" si="249"/>
        <v>5.9899999999998332</v>
      </c>
      <c r="BB1220" s="7">
        <f t="shared" si="240"/>
        <v>6.4512718908182141E-9</v>
      </c>
      <c r="BC1220" s="7" t="e">
        <f t="shared" si="241"/>
        <v>#N/A</v>
      </c>
      <c r="BD1220" s="7">
        <f t="shared" si="242"/>
        <v>5.9899899999998336</v>
      </c>
      <c r="BE1220" s="7">
        <f t="shared" si="243"/>
        <v>5.9900099999998329</v>
      </c>
      <c r="BF1220" s="7">
        <f t="shared" si="244"/>
        <v>0.99993305747362216</v>
      </c>
      <c r="BG1220" s="7">
        <f t="shared" si="245"/>
        <v>0.99993305926079534</v>
      </c>
      <c r="BH1220" s="7" t="e">
        <f t="shared" si="246"/>
        <v>#N/A</v>
      </c>
      <c r="BI1220" s="7">
        <f t="shared" si="250"/>
        <v>6.4512718908182141E-9</v>
      </c>
      <c r="BJ1220" s="7">
        <f t="shared" si="247"/>
        <v>-9.9999354872810919E-4</v>
      </c>
      <c r="BK1220" s="7" t="e">
        <f t="shared" si="251"/>
        <v>#N/A</v>
      </c>
      <c r="BL1220" s="7" t="e">
        <f t="shared" si="248"/>
        <v>#N/A</v>
      </c>
    </row>
    <row r="1221" spans="52:64" ht="11.25" customHeight="1">
      <c r="AZ1221" s="7">
        <f t="shared" si="239"/>
        <v>0.9999999990134123</v>
      </c>
      <c r="BA1221" s="7">
        <f t="shared" si="249"/>
        <v>5.999999999999833</v>
      </c>
      <c r="BB1221" s="7">
        <f t="shared" si="240"/>
        <v>6.0758828498293717E-9</v>
      </c>
      <c r="BC1221" s="7" t="e">
        <f t="shared" si="241"/>
        <v>#N/A</v>
      </c>
      <c r="BD1221" s="7">
        <f t="shared" si="242"/>
        <v>5.9999899999998334</v>
      </c>
      <c r="BE1221" s="7">
        <f t="shared" si="243"/>
        <v>6.0000099999998326</v>
      </c>
      <c r="BF1221" s="7">
        <f t="shared" si="244"/>
        <v>0.99993394468897057</v>
      </c>
      <c r="BG1221" s="7">
        <f t="shared" si="245"/>
        <v>0.99993394645067291</v>
      </c>
      <c r="BH1221" s="7" t="e">
        <f t="shared" si="246"/>
        <v>#N/A</v>
      </c>
      <c r="BI1221" s="7">
        <f t="shared" si="250"/>
        <v>6.0758828498293717E-9</v>
      </c>
      <c r="BJ1221" s="7">
        <f t="shared" si="247"/>
        <v>-9.9999392411715023E-4</v>
      </c>
      <c r="BK1221" s="7" t="e">
        <f t="shared" si="251"/>
        <v>#N/A</v>
      </c>
      <c r="BL1221" s="7" t="e">
        <f t="shared" si="248"/>
        <v>#N/A</v>
      </c>
    </row>
  </sheetData>
  <sheetProtection sheet="1" objects="1" scenarios="1" selectLockedCells="1" selectUnlockedCells="1"/>
  <phoneticPr fontId="3" type="noConversion"/>
  <dataValidations disablePrompts="1" count="2">
    <dataValidation type="decimal" allowBlank="1" showErrorMessage="1" errorTitle="Population mean" error="Number, min 0, max 100" sqref="BA17">
      <formula1>0</formula1>
      <formula2>100</formula2>
    </dataValidation>
    <dataValidation type="decimal" allowBlank="1" showErrorMessage="1" errorTitle="Population standard deviation" error="Number, min 1, max 50" sqref="BA18">
      <formula1>1</formula1>
      <formula2>50</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worksheet>
</file>

<file path=xl/worksheets/sheet5.xml><?xml version="1.0" encoding="utf-8"?>
<worksheet xmlns="http://schemas.openxmlformats.org/spreadsheetml/2006/main" xmlns:r="http://schemas.openxmlformats.org/officeDocument/2006/relationships">
  <sheetPr codeName="Sheet2"/>
  <dimension ref="A1:IV4042"/>
  <sheetViews>
    <sheetView showGridLines="0" showRowColHeaders="0" topLeftCell="R1" zoomScale="120" workbookViewId="0">
      <selection activeCell="P20" sqref="P20"/>
    </sheetView>
  </sheetViews>
  <sheetFormatPr defaultColWidth="8.85546875" defaultRowHeight="12" customHeight="1"/>
  <cols>
    <col min="1" max="1" width="6.42578125" style="16" hidden="1" customWidth="1"/>
    <col min="2" max="10" width="5.28515625" style="16" hidden="1" customWidth="1"/>
    <col min="11" max="12" width="6.42578125" style="16" hidden="1" customWidth="1"/>
    <col min="13" max="13" width="5.28515625" style="16" hidden="1" customWidth="1"/>
    <col min="14" max="17" width="5.85546875" style="16" hidden="1" customWidth="1"/>
    <col min="18" max="18" width="0.7109375" style="16" customWidth="1"/>
    <col min="19" max="19" width="2.28515625" style="16" customWidth="1"/>
    <col min="20" max="20" width="5.28515625" style="16" customWidth="1"/>
    <col min="21" max="21" width="5" style="16" customWidth="1"/>
    <col min="22" max="22" width="2.28515625" style="16" customWidth="1"/>
    <col min="23" max="23" width="3.5703125" style="16" customWidth="1"/>
    <col min="24" max="25" width="5.7109375" style="16" customWidth="1"/>
    <col min="26" max="26" width="6.140625" style="16" customWidth="1"/>
    <col min="27" max="27" width="4.7109375" style="16" customWidth="1"/>
    <col min="28" max="33" width="2.42578125" style="16" customWidth="1"/>
    <col min="34" max="35" width="1.28515625" style="16" customWidth="1"/>
    <col min="36" max="36" width="3" style="495" customWidth="1"/>
    <col min="37" max="38" width="4" style="16" customWidth="1"/>
    <col min="39" max="39" width="7" style="16" customWidth="1"/>
    <col min="40" max="40" width="6.85546875" style="16" customWidth="1"/>
    <col min="41" max="53" width="8.85546875" style="16" customWidth="1"/>
    <col min="54" max="54" width="10.42578125" style="16" customWidth="1"/>
    <col min="55" max="78" width="12.140625" style="16" customWidth="1"/>
    <col min="79" max="79" width="10.5703125" style="16" customWidth="1"/>
    <col min="80" max="80" width="8" style="16" customWidth="1"/>
    <col min="81" max="81" width="10.85546875" style="16" customWidth="1"/>
    <col min="82" max="82" width="10.42578125" style="16" customWidth="1"/>
    <col min="83" max="83" width="11" style="16" customWidth="1"/>
    <col min="84" max="91" width="8.85546875" style="16"/>
    <col min="92" max="93" width="10.42578125" style="16" bestFit="1" customWidth="1"/>
    <col min="94" max="16384" width="8.85546875" style="16"/>
  </cols>
  <sheetData>
    <row r="1" spans="1:256" ht="12" customHeight="1" thickBot="1">
      <c r="U1" s="477"/>
      <c r="V1" s="133" t="s">
        <v>1046</v>
      </c>
      <c r="X1" s="477"/>
      <c r="Y1" s="477"/>
      <c r="Z1" s="477"/>
      <c r="AA1" s="477"/>
      <c r="AB1" s="477"/>
      <c r="AD1" s="134"/>
      <c r="AJ1" s="179">
        <f>($Y$6+$Y$8+$T$18+$Y$28+$CB$2+$P$23+$P$24+$BW$8)/1000000</f>
        <v>2.3748600000000002E-4</v>
      </c>
      <c r="AK1" s="16">
        <f t="shared" ref="AK1:AV1" si="0">$AJ$1</f>
        <v>2.3748600000000002E-4</v>
      </c>
      <c r="AL1" s="16">
        <f t="shared" si="0"/>
        <v>2.3748600000000002E-4</v>
      </c>
      <c r="AM1" s="16">
        <f t="shared" si="0"/>
        <v>2.3748600000000002E-4</v>
      </c>
      <c r="AN1" s="16">
        <f t="shared" si="0"/>
        <v>2.3748600000000002E-4</v>
      </c>
      <c r="AO1" s="16">
        <f t="shared" si="0"/>
        <v>2.3748600000000002E-4</v>
      </c>
      <c r="AP1" s="16">
        <f t="shared" si="0"/>
        <v>2.3748600000000002E-4</v>
      </c>
      <c r="AQ1" s="16">
        <f t="shared" si="0"/>
        <v>2.3748600000000002E-4</v>
      </c>
      <c r="AR1" s="16">
        <f t="shared" si="0"/>
        <v>2.3748600000000002E-4</v>
      </c>
      <c r="AS1" s="16">
        <f t="shared" si="0"/>
        <v>2.3748600000000002E-4</v>
      </c>
      <c r="AT1" s="201">
        <f t="shared" si="0"/>
        <v>2.3748600000000002E-4</v>
      </c>
      <c r="AU1" s="201">
        <f t="shared" si="0"/>
        <v>2.3748600000000002E-4</v>
      </c>
      <c r="AV1" s="180">
        <f t="shared" si="0"/>
        <v>2.3748600000000002E-4</v>
      </c>
      <c r="AW1" s="277"/>
      <c r="AX1" s="277"/>
      <c r="AY1" s="277"/>
      <c r="AZ1" s="277"/>
      <c r="BA1" s="185"/>
      <c r="BV1" s="195" t="s">
        <v>234</v>
      </c>
      <c r="BY1" s="257" t="s">
        <v>1001</v>
      </c>
      <c r="BZ1" s="197">
        <v>0.1</v>
      </c>
      <c r="CA1" s="185" t="s">
        <v>207</v>
      </c>
      <c r="CB1" s="211" t="b">
        <v>0</v>
      </c>
      <c r="CC1" s="185" t="s">
        <v>1047</v>
      </c>
      <c r="CD1" s="211" t="b">
        <v>0</v>
      </c>
      <c r="CE1" s="185" t="s">
        <v>256</v>
      </c>
      <c r="CF1" s="16" t="b">
        <f>(K4=K3)</f>
        <v>1</v>
      </c>
      <c r="CR1" s="478" t="s">
        <v>1048</v>
      </c>
      <c r="CS1" s="479" t="s">
        <v>1049</v>
      </c>
      <c r="CT1" s="479"/>
      <c r="CU1" s="480" t="s">
        <v>1050</v>
      </c>
      <c r="CW1" s="18" t="s">
        <v>1309</v>
      </c>
      <c r="DB1" s="16">
        <v>1</v>
      </c>
      <c r="DC1" s="16" t="e">
        <f>IF(ISNA(CY15),NA(),IF(CY15&lt;CW16,CW16,CX16))</f>
        <v>#N/A</v>
      </c>
      <c r="DD1" s="16">
        <f>DA16</f>
        <v>2</v>
      </c>
    </row>
    <row r="2" spans="1:256" ht="12" customHeight="1">
      <c r="M2" s="136">
        <f>$Y$6+$Y$8+$T$18+$Y$28</f>
        <v>185</v>
      </c>
      <c r="N2" s="211" t="b">
        <v>0</v>
      </c>
      <c r="O2" s="289" t="s">
        <v>1052</v>
      </c>
      <c r="U2" s="481"/>
      <c r="V2" s="482" t="s">
        <v>1051</v>
      </c>
      <c r="X2" s="482"/>
      <c r="Y2" s="482"/>
      <c r="Z2" s="482"/>
      <c r="AA2" s="482"/>
      <c r="AB2" s="482"/>
      <c r="AJ2" s="179">
        <f t="shared" ref="AJ2:AJ16" si="1">$AJ$1</f>
        <v>2.3748600000000002E-4</v>
      </c>
      <c r="AV2" s="180">
        <f t="shared" ref="AV2:AV37" si="2">$AJ$1</f>
        <v>2.3748600000000002E-4</v>
      </c>
      <c r="AY2" s="277"/>
      <c r="AZ2" s="277"/>
      <c r="BV2" s="221" t="s">
        <v>233</v>
      </c>
      <c r="BY2" s="185" t="s">
        <v>1053</v>
      </c>
      <c r="BZ2" s="30">
        <f>IF(BZ4,2,1)</f>
        <v>1</v>
      </c>
      <c r="CA2" s="483" t="s">
        <v>208</v>
      </c>
      <c r="CB2" s="484">
        <f>Y6</f>
        <v>50</v>
      </c>
      <c r="CC2" s="185" t="s">
        <v>1054</v>
      </c>
      <c r="CD2" s="136" t="b">
        <f>CD6</f>
        <v>0</v>
      </c>
      <c r="CF2" s="185" t="s">
        <v>1318</v>
      </c>
      <c r="CG2" s="211" t="b">
        <v>0</v>
      </c>
      <c r="CQ2" s="196">
        <v>1</v>
      </c>
      <c r="CR2" s="34">
        <f>$G$4</f>
        <v>0.9220656807767762</v>
      </c>
      <c r="CS2" s="197">
        <f t="shared" ref="CS2:CS33" si="3">IF(AND($CB$7,$CQ2&lt;=$T$18),IF($BY$12=1,$C$4+$D$4*NORMSINV(CR2),IF($BY$12=2,$CW$8+CR2*$CW$11,VLOOKUP(CR2,$BV$42:$BY$4042,4))),"")</f>
        <v>78.382084082765985</v>
      </c>
      <c r="CT2" s="16">
        <f t="shared" ref="CT2:CT33" si="4">IF(AND($CB$4,CS2&lt;&gt;"",$M$4&lt;&gt;""),CS2,-999)</f>
        <v>-999</v>
      </c>
      <c r="CU2" s="16">
        <f t="shared" ref="CU2:CU33" si="5">IF(CT2=-999,-999,0)</f>
        <v>-999</v>
      </c>
      <c r="CW2" s="16" t="s">
        <v>1300</v>
      </c>
      <c r="DC2" s="16" t="e">
        <f>IF(ISNA(CY15),NA(),CY15)</f>
        <v>#N/A</v>
      </c>
      <c r="DD2" s="16">
        <f>CZ16</f>
        <v>1</v>
      </c>
    </row>
    <row r="3" spans="1:256" ht="12" customHeight="1">
      <c r="A3" s="211" t="b">
        <f>CB5</f>
        <v>0</v>
      </c>
      <c r="B3" s="211">
        <f>BZ2</f>
        <v>1</v>
      </c>
      <c r="C3" s="211">
        <f>Y6</f>
        <v>50</v>
      </c>
      <c r="D3" s="211">
        <f>Y8</f>
        <v>20</v>
      </c>
      <c r="E3" s="252">
        <f>Y28</f>
        <v>95</v>
      </c>
      <c r="F3" s="211">
        <f>T18</f>
        <v>20</v>
      </c>
      <c r="G3" s="211">
        <f ca="1">RAND()</f>
        <v>0.35465503325440295</v>
      </c>
      <c r="H3" s="211">
        <f>CB2</f>
        <v>50</v>
      </c>
      <c r="I3" s="584">
        <f>BY12</f>
        <v>1</v>
      </c>
      <c r="J3" s="211">
        <f>BW8</f>
        <v>0.5</v>
      </c>
      <c r="K3" s="211" t="b">
        <f>CD1</f>
        <v>0</v>
      </c>
      <c r="L3" s="211" t="b">
        <f>CD5</f>
        <v>1</v>
      </c>
      <c r="M3" s="211">
        <f>BY14</f>
        <v>48.694889629660636</v>
      </c>
      <c r="N3" s="211">
        <f>BZ14</f>
        <v>22.254784580149465</v>
      </c>
      <c r="O3" s="211">
        <f>O4+1</f>
        <v>1</v>
      </c>
      <c r="V3" s="16" t="s">
        <v>1055</v>
      </c>
      <c r="AE3" s="25"/>
      <c r="AF3" s="25"/>
      <c r="AG3" s="25"/>
      <c r="AH3" s="25"/>
      <c r="AI3" s="25"/>
      <c r="AJ3" s="179">
        <f t="shared" si="1"/>
        <v>2.3748600000000002E-4</v>
      </c>
      <c r="AK3" s="25"/>
      <c r="AR3" s="187"/>
      <c r="AU3" s="211"/>
      <c r="AV3" s="180">
        <f t="shared" si="2"/>
        <v>2.3748600000000002E-4</v>
      </c>
      <c r="AY3" s="277"/>
      <c r="AZ3" s="277"/>
      <c r="BC3" s="197"/>
      <c r="BD3" s="197"/>
      <c r="BE3" s="197"/>
      <c r="BF3" s="197"/>
      <c r="BG3" s="197"/>
      <c r="BH3" s="197"/>
      <c r="BI3" s="197"/>
      <c r="BJ3" s="197"/>
      <c r="BK3" s="197"/>
      <c r="BL3" s="197"/>
      <c r="BM3" s="197"/>
      <c r="BN3" s="197"/>
      <c r="BO3" s="197"/>
      <c r="BP3" s="197"/>
      <c r="BQ3" s="197"/>
      <c r="BR3" s="197"/>
      <c r="BS3" s="197"/>
      <c r="BT3" s="197"/>
      <c r="BU3" s="197"/>
      <c r="BV3" s="272">
        <v>1</v>
      </c>
      <c r="BW3" s="197"/>
      <c r="BX3" s="197"/>
      <c r="BY3" s="185" t="s">
        <v>1028</v>
      </c>
      <c r="BZ3" s="16">
        <f>MAX(BZ42:BZ1042)</f>
        <v>1.9947114020071634E-2</v>
      </c>
      <c r="CA3" s="185" t="s">
        <v>1056</v>
      </c>
      <c r="CB3" s="485" t="b">
        <v>0</v>
      </c>
      <c r="CC3" s="185" t="s">
        <v>1057</v>
      </c>
      <c r="CD3" s="211" t="b">
        <v>0</v>
      </c>
      <c r="CQ3" s="196">
        <v>2</v>
      </c>
      <c r="CR3" s="34">
        <f t="shared" ref="CR3:CR34" si="6">MOD(CR2*10000013,1)</f>
        <v>0.79462161287665367</v>
      </c>
      <c r="CS3" s="197">
        <f t="shared" si="3"/>
        <v>66.451251999541228</v>
      </c>
      <c r="CT3" s="16">
        <f t="shared" si="4"/>
        <v>-999</v>
      </c>
      <c r="CU3" s="16">
        <f t="shared" si="5"/>
        <v>-999</v>
      </c>
      <c r="CW3" s="16" t="s">
        <v>1301</v>
      </c>
      <c r="DB3" s="16">
        <v>2</v>
      </c>
      <c r="DC3" s="16" t="e">
        <f>IF(ISNA(CY16),NA(),IF(CY16&lt;CW17,CW17,CX17))</f>
        <v>#N/A</v>
      </c>
      <c r="DD3" s="16">
        <f>DA17</f>
        <v>3</v>
      </c>
    </row>
    <row r="4" spans="1:256" ht="12" customHeight="1">
      <c r="A4" s="956" t="b">
        <v>0</v>
      </c>
      <c r="B4" s="211">
        <v>1</v>
      </c>
      <c r="C4" s="211">
        <v>50</v>
      </c>
      <c r="D4" s="211">
        <v>20</v>
      </c>
      <c r="E4" s="211">
        <v>95</v>
      </c>
      <c r="F4" s="211">
        <v>20</v>
      </c>
      <c r="G4" s="211">
        <v>0.9220656807767762</v>
      </c>
      <c r="H4" s="211">
        <v>50</v>
      </c>
      <c r="I4" s="211">
        <v>1</v>
      </c>
      <c r="J4" s="211">
        <v>0.5</v>
      </c>
      <c r="K4" s="211" t="b">
        <v>0</v>
      </c>
      <c r="L4" s="211" t="b">
        <v>1</v>
      </c>
      <c r="M4" s="211"/>
      <c r="N4" s="211"/>
      <c r="O4" s="211">
        <v>0</v>
      </c>
      <c r="S4" s="197"/>
      <c r="V4" s="197"/>
      <c r="W4" s="197"/>
      <c r="X4" s="197"/>
      <c r="Y4" s="197"/>
      <c r="Z4" s="197"/>
      <c r="AA4" s="197"/>
      <c r="AB4" s="197"/>
      <c r="AJ4" s="179">
        <f t="shared" si="1"/>
        <v>2.3748600000000002E-4</v>
      </c>
      <c r="AR4" s="197"/>
      <c r="AV4" s="180">
        <f t="shared" si="2"/>
        <v>2.3748600000000002E-4</v>
      </c>
      <c r="AY4" s="277"/>
      <c r="AZ4" s="27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85" t="s">
        <v>1058</v>
      </c>
      <c r="BZ4" s="211" t="b">
        <v>0</v>
      </c>
      <c r="CA4" s="185" t="s">
        <v>1059</v>
      </c>
      <c r="CB4" s="211" t="b">
        <v>1</v>
      </c>
      <c r="CC4" s="185" t="s">
        <v>1060</v>
      </c>
      <c r="CD4" s="211" t="b">
        <v>0</v>
      </c>
      <c r="CQ4" s="196">
        <v>3</v>
      </c>
      <c r="CR4" s="34">
        <f t="shared" si="6"/>
        <v>0.45884750410914421</v>
      </c>
      <c r="CS4" s="197">
        <f t="shared" si="3"/>
        <v>47.933247328658908</v>
      </c>
      <c r="CT4" s="16">
        <f t="shared" si="4"/>
        <v>-999</v>
      </c>
      <c r="CU4" s="16">
        <f t="shared" si="5"/>
        <v>-999</v>
      </c>
      <c r="CW4" s="16" t="s">
        <v>1303</v>
      </c>
      <c r="DC4" s="16" t="e">
        <f>IF(ISNA(CY16),NA(),CY16)</f>
        <v>#N/A</v>
      </c>
      <c r="DD4" s="16">
        <f>CZ17</f>
        <v>2</v>
      </c>
      <c r="DF4" s="16" t="e">
        <f>CW18</f>
        <v>#N/A</v>
      </c>
      <c r="DG4" s="16">
        <f>DA18</f>
        <v>4</v>
      </c>
    </row>
    <row r="5" spans="1:256" ht="12" customHeight="1">
      <c r="A5" s="211"/>
      <c r="B5" s="211"/>
      <c r="C5" s="211"/>
      <c r="D5" s="211"/>
      <c r="E5" s="211"/>
      <c r="F5" s="211"/>
      <c r="G5" s="211"/>
      <c r="H5" s="211"/>
      <c r="I5" s="211"/>
      <c r="J5" s="211"/>
      <c r="K5" s="211"/>
      <c r="L5" s="211"/>
      <c r="M5" s="211"/>
      <c r="N5" s="211"/>
      <c r="O5" s="211"/>
      <c r="S5" s="572">
        <v>1</v>
      </c>
      <c r="T5" s="486" t="s">
        <v>1061</v>
      </c>
      <c r="U5" s="20"/>
      <c r="V5" s="20"/>
      <c r="W5" s="20"/>
      <c r="X5" s="20"/>
      <c r="Y5" s="20"/>
      <c r="Z5" s="20"/>
      <c r="AA5" s="552" t="s">
        <v>238</v>
      </c>
      <c r="AB5" s="20"/>
      <c r="AC5" s="487"/>
      <c r="AD5" s="487"/>
      <c r="AE5" s="20"/>
      <c r="AF5" s="20"/>
      <c r="AG5" s="20"/>
      <c r="AH5" s="20"/>
      <c r="AI5" s="20"/>
      <c r="AJ5" s="580">
        <f t="shared" si="1"/>
        <v>2.3748600000000002E-4</v>
      </c>
      <c r="AR5" s="197"/>
      <c r="AV5" s="180">
        <f t="shared" si="2"/>
        <v>2.3748600000000002E-4</v>
      </c>
      <c r="AY5" s="277"/>
      <c r="AZ5" s="277"/>
      <c r="BB5" s="197"/>
      <c r="BC5" s="197"/>
      <c r="BD5" s="197"/>
      <c r="BE5" s="197"/>
      <c r="BF5" s="197"/>
      <c r="BG5" s="197"/>
      <c r="BH5" s="197"/>
      <c r="BI5" s="197"/>
      <c r="BJ5" s="197"/>
      <c r="BK5" s="197"/>
      <c r="BL5" s="197"/>
      <c r="BM5" s="197"/>
      <c r="BN5" s="197"/>
      <c r="BO5" s="197"/>
      <c r="BP5" s="197"/>
      <c r="BQ5" s="197"/>
      <c r="BR5" s="197"/>
      <c r="BS5" s="197"/>
      <c r="BT5" s="197"/>
      <c r="BU5" s="197"/>
      <c r="BV5" s="197"/>
      <c r="BW5" s="197"/>
      <c r="BX5" s="197"/>
      <c r="BY5" s="185" t="s">
        <v>1062</v>
      </c>
      <c r="BZ5" s="211" t="b">
        <v>1</v>
      </c>
      <c r="CA5" s="185" t="s">
        <v>209</v>
      </c>
      <c r="CB5" s="211" t="b">
        <v>0</v>
      </c>
      <c r="CC5" s="185" t="s">
        <v>210</v>
      </c>
      <c r="CD5" s="136" t="b">
        <f>IF(BV3=1,TRUE,FALSE)</f>
        <v>1</v>
      </c>
      <c r="CQ5" s="196">
        <v>4</v>
      </c>
      <c r="CR5" s="34">
        <f t="shared" si="6"/>
        <v>6.1089955270290375E-3</v>
      </c>
      <c r="CS5" s="197">
        <f t="shared" si="3"/>
        <v>-0.11569869795007293</v>
      </c>
      <c r="CT5" s="16">
        <f t="shared" si="4"/>
        <v>-999</v>
      </c>
      <c r="CU5" s="16">
        <f t="shared" si="5"/>
        <v>-999</v>
      </c>
      <c r="CW5" s="16" t="s">
        <v>1305</v>
      </c>
      <c r="DB5" s="16">
        <v>3</v>
      </c>
      <c r="DC5" s="16" t="e">
        <f>IF(ISNA(CY17),NA(),IF(CY17&lt;CW18,CW18,CX18))</f>
        <v>#N/A</v>
      </c>
      <c r="DD5" s="16">
        <f>DA18</f>
        <v>4</v>
      </c>
      <c r="DF5" s="16" t="e">
        <f>CY17</f>
        <v>#N/A</v>
      </c>
      <c r="DG5" s="16">
        <f>CZ18</f>
        <v>3</v>
      </c>
    </row>
    <row r="6" spans="1:256" ht="12" customHeight="1">
      <c r="A6" s="211"/>
      <c r="B6" s="211"/>
      <c r="C6" s="211"/>
      <c r="D6" s="211"/>
      <c r="E6" s="211"/>
      <c r="F6" s="211"/>
      <c r="G6" s="211"/>
      <c r="H6" s="211"/>
      <c r="I6" s="211"/>
      <c r="J6" s="211"/>
      <c r="K6" s="211"/>
      <c r="L6" s="211"/>
      <c r="M6" s="252"/>
      <c r="N6" s="211"/>
      <c r="O6" s="211"/>
      <c r="S6" s="239"/>
      <c r="T6" s="23"/>
      <c r="U6" s="23"/>
      <c r="V6" s="23"/>
      <c r="W6" s="23"/>
      <c r="X6" s="541" t="s">
        <v>1021</v>
      </c>
      <c r="Y6" s="543">
        <v>50</v>
      </c>
      <c r="Z6" s="23"/>
      <c r="AA6" s="23"/>
      <c r="AB6" s="23"/>
      <c r="AC6" s="23"/>
      <c r="AD6" s="23"/>
      <c r="AE6" s="23"/>
      <c r="AF6" s="23"/>
      <c r="AG6" s="23"/>
      <c r="AH6" s="488"/>
      <c r="AI6" s="488"/>
      <c r="AJ6" s="580">
        <f t="shared" si="1"/>
        <v>2.3748600000000002E-4</v>
      </c>
      <c r="AR6" s="197"/>
      <c r="AU6" s="197"/>
      <c r="AV6" s="180">
        <f t="shared" si="2"/>
        <v>2.3748600000000002E-4</v>
      </c>
      <c r="AY6" s="277"/>
      <c r="AZ6" s="277"/>
      <c r="BB6" s="197"/>
      <c r="BC6" s="197"/>
      <c r="BS6" s="197"/>
      <c r="BT6" s="197"/>
      <c r="BU6" s="197"/>
      <c r="BV6" s="197"/>
      <c r="BW6" s="489" t="s">
        <v>63</v>
      </c>
      <c r="BX6" s="197"/>
      <c r="BY6" s="185" t="s">
        <v>993</v>
      </c>
      <c r="BZ6" s="211" t="b">
        <v>0</v>
      </c>
      <c r="CA6" s="185" t="s">
        <v>1063</v>
      </c>
      <c r="CB6" s="16" t="b">
        <f>AND(B4=B3,C4=C3,D4=D3,E4=E3,F4=F3,H4=H3,I4=I3,J4=J3,K4=K3,L4=L3)</f>
        <v>1</v>
      </c>
      <c r="CC6" s="185" t="s">
        <v>1064</v>
      </c>
      <c r="CD6" s="211" t="b">
        <v>0</v>
      </c>
      <c r="CQ6" s="196">
        <v>5</v>
      </c>
      <c r="CR6" s="34">
        <f t="shared" si="6"/>
        <v>3.4687232226133347E-2</v>
      </c>
      <c r="CS6" s="197">
        <f t="shared" si="3"/>
        <v>13.680533543096658</v>
      </c>
      <c r="CT6" s="16">
        <f t="shared" si="4"/>
        <v>-999</v>
      </c>
      <c r="CU6" s="16">
        <f t="shared" si="5"/>
        <v>-999</v>
      </c>
      <c r="CW6" s="16" t="s">
        <v>1306</v>
      </c>
      <c r="DC6" s="16" t="e">
        <f>IF(ISNA(CY17),NA(),CY17)</f>
        <v>#N/A</v>
      </c>
      <c r="DD6" s="16">
        <f>CZ18</f>
        <v>3</v>
      </c>
    </row>
    <row r="7" spans="1:256" ht="12" customHeight="1">
      <c r="A7" s="211"/>
      <c r="B7" s="211"/>
      <c r="C7" s="211"/>
      <c r="D7" s="211"/>
      <c r="E7" s="211"/>
      <c r="F7" s="211"/>
      <c r="G7" s="211"/>
      <c r="H7" s="211"/>
      <c r="I7" s="211"/>
      <c r="J7" s="211"/>
      <c r="K7" s="211"/>
      <c r="L7" s="211"/>
      <c r="M7" s="211"/>
      <c r="N7" s="211"/>
      <c r="O7" s="211"/>
      <c r="S7" s="239"/>
      <c r="T7" s="23"/>
      <c r="U7" s="490"/>
      <c r="V7" s="490"/>
      <c r="W7" s="23"/>
      <c r="X7" s="23"/>
      <c r="Y7" s="23"/>
      <c r="Z7" s="491"/>
      <c r="AA7" s="488"/>
      <c r="AB7" s="488" t="s">
        <v>202</v>
      </c>
      <c r="AC7" s="23"/>
      <c r="AD7" s="23"/>
      <c r="AE7" s="23"/>
      <c r="AF7" s="23"/>
      <c r="AG7" s="23"/>
      <c r="AH7" s="23"/>
      <c r="AI7" s="23"/>
      <c r="AJ7" s="580">
        <f t="shared" si="1"/>
        <v>2.3748600000000002E-4</v>
      </c>
      <c r="AR7" s="197"/>
      <c r="AV7" s="180">
        <f t="shared" si="2"/>
        <v>2.3748600000000002E-4</v>
      </c>
      <c r="AW7" s="492"/>
      <c r="AX7" s="277"/>
      <c r="AY7" s="277"/>
      <c r="AZ7" s="277"/>
      <c r="BB7" s="197"/>
      <c r="BC7" s="197"/>
      <c r="BD7" s="197"/>
      <c r="BE7" s="197"/>
      <c r="BF7" s="197"/>
      <c r="BG7" s="197"/>
      <c r="BH7" s="197"/>
      <c r="BI7" s="197"/>
      <c r="BJ7" s="197"/>
      <c r="BK7" s="197"/>
      <c r="BL7" s="197"/>
      <c r="BM7" s="197"/>
      <c r="BN7" s="197"/>
      <c r="BO7" s="197"/>
      <c r="BP7" s="197"/>
      <c r="BQ7" s="197"/>
      <c r="BR7" s="197"/>
      <c r="BS7" s="197"/>
      <c r="BT7" s="197"/>
      <c r="BU7" s="197"/>
      <c r="BV7" s="197"/>
      <c r="BW7" s="252">
        <v>5</v>
      </c>
      <c r="BX7" s="197"/>
      <c r="BY7" s="185" t="s">
        <v>1065</v>
      </c>
      <c r="BZ7" s="211" t="b">
        <v>0</v>
      </c>
      <c r="CA7" s="185" t="s">
        <v>1066</v>
      </c>
      <c r="CB7" s="16" t="b">
        <f>AND(C4=C3,D4=D3,F4=F3,I4=I3,J4=J3)</f>
        <v>1</v>
      </c>
      <c r="CC7" s="16" t="s">
        <v>1067</v>
      </c>
      <c r="CD7" s="16">
        <f>$Y$8/SQRT($T$18)</f>
        <v>4.4721359549995796</v>
      </c>
      <c r="CE7" s="581" t="s">
        <v>258</v>
      </c>
      <c r="CQ7" s="196">
        <v>6</v>
      </c>
      <c r="CR7" s="34">
        <f t="shared" si="6"/>
        <v>0.77319535240530968</v>
      </c>
      <c r="CS7" s="197">
        <f t="shared" si="3"/>
        <v>64.9882275614343</v>
      </c>
      <c r="CT7" s="16">
        <f t="shared" si="4"/>
        <v>-999</v>
      </c>
      <c r="CU7" s="16">
        <f t="shared" si="5"/>
        <v>-999</v>
      </c>
      <c r="CW7" s="16" t="s">
        <v>1307</v>
      </c>
      <c r="DB7" s="16">
        <v>4</v>
      </c>
      <c r="DC7" s="16" t="e">
        <f>IF(ISNA(CY18),NA(),IF(CY18&lt;CW19,CW19,CX19))</f>
        <v>#N/A</v>
      </c>
      <c r="DD7" s="16">
        <f>DA19</f>
        <v>5</v>
      </c>
      <c r="DF7" s="16" t="e">
        <f>CX25</f>
        <v>#N/A</v>
      </c>
      <c r="DG7" s="16">
        <f>DA25</f>
        <v>11</v>
      </c>
    </row>
    <row r="8" spans="1:256" ht="12" customHeight="1">
      <c r="A8" s="211"/>
      <c r="B8" s="211"/>
      <c r="C8" s="211"/>
      <c r="D8" s="211"/>
      <c r="E8" s="211"/>
      <c r="F8" s="211"/>
      <c r="G8" s="211"/>
      <c r="H8" s="211"/>
      <c r="I8" s="211"/>
      <c r="J8" s="211"/>
      <c r="K8" s="211"/>
      <c r="L8" s="211"/>
      <c r="M8" s="211"/>
      <c r="N8" s="211"/>
      <c r="O8" s="211"/>
      <c r="S8" s="567"/>
      <c r="T8" s="23"/>
      <c r="U8" s="23"/>
      <c r="V8" s="23"/>
      <c r="W8" s="23"/>
      <c r="X8" s="541" t="s">
        <v>1024</v>
      </c>
      <c r="Y8" s="543">
        <v>20</v>
      </c>
      <c r="Z8" s="23"/>
      <c r="AA8" s="23"/>
      <c r="AB8" s="23"/>
      <c r="AC8" s="23"/>
      <c r="AD8" s="23"/>
      <c r="AE8" s="23"/>
      <c r="AF8" s="23"/>
      <c r="AG8" s="23"/>
      <c r="AH8" s="488"/>
      <c r="AI8" s="488"/>
      <c r="AJ8" s="580">
        <f t="shared" si="1"/>
        <v>2.3748600000000002E-4</v>
      </c>
      <c r="AR8" s="197"/>
      <c r="AU8" s="18"/>
      <c r="AV8" s="180">
        <f t="shared" si="2"/>
        <v>2.3748600000000002E-4</v>
      </c>
      <c r="AW8" s="492"/>
      <c r="AX8" s="277"/>
      <c r="AY8" s="277"/>
      <c r="AZ8" s="277"/>
      <c r="BB8" s="197"/>
      <c r="BC8" s="197"/>
      <c r="BD8" s="197"/>
      <c r="BE8" s="197"/>
      <c r="BF8" s="197"/>
      <c r="BG8" s="197"/>
      <c r="BH8" s="197"/>
      <c r="BI8" s="197"/>
      <c r="BJ8" s="197"/>
      <c r="BK8" s="197"/>
      <c r="BL8" s="197"/>
      <c r="BM8" s="197"/>
      <c r="BN8" s="197"/>
      <c r="BO8" s="197"/>
      <c r="BP8" s="197"/>
      <c r="BQ8" s="197"/>
      <c r="BR8" s="197"/>
      <c r="BS8" s="197"/>
      <c r="BT8" s="197"/>
      <c r="BU8" s="197"/>
      <c r="BV8" s="197"/>
      <c r="BW8" s="493">
        <f>BW7/10</f>
        <v>0.5</v>
      </c>
      <c r="BX8" s="197" t="s">
        <v>73</v>
      </c>
      <c r="BY8" s="185" t="s">
        <v>211</v>
      </c>
      <c r="BZ8" s="16">
        <v>24.5</v>
      </c>
      <c r="CA8" s="16" t="e">
        <f>IF(CB1,CB2,NA())</f>
        <v>#N/A</v>
      </c>
      <c r="CB8" s="185" t="s">
        <v>1068</v>
      </c>
      <c r="CC8" s="185" t="s">
        <v>257</v>
      </c>
      <c r="CD8" s="16">
        <f>IF(ISNA(CE8),BY15,IF(AND($BZ$2&gt;1,BY15+CE8&gt;=$CB$2,BY15-CE8&lt;=$CB$2),BY15,-999))</f>
        <v>-999</v>
      </c>
      <c r="CE8" s="582">
        <f>IF($CD$5,$CD$7*NORMSINV(0.5+$Y$28/200),CA15*TINV(1-$Y$28/100,($T$18-1)))</f>
        <v>8.7652254057658165</v>
      </c>
      <c r="CQ8" s="196">
        <v>7</v>
      </c>
      <c r="CR8" s="34">
        <f t="shared" si="6"/>
        <v>0.57559267804026604</v>
      </c>
      <c r="CS8" s="197">
        <f t="shared" si="3"/>
        <v>53.812621458736075</v>
      </c>
      <c r="CT8" s="16">
        <f t="shared" si="4"/>
        <v>-999</v>
      </c>
      <c r="CU8" s="16">
        <f t="shared" si="5"/>
        <v>-999</v>
      </c>
      <c r="CV8" s="16" t="s">
        <v>757</v>
      </c>
      <c r="CW8" s="16">
        <f>Y6-SQRT(3)*Y8</f>
        <v>15.358983848622458</v>
      </c>
      <c r="DC8" s="16" t="e">
        <f>IF(ISNA(CY18),NA(),CY18)</f>
        <v>#N/A</v>
      </c>
      <c r="DD8" s="16">
        <f>CZ19</f>
        <v>4</v>
      </c>
      <c r="DF8" s="16" t="e">
        <f>CY24</f>
        <v>#N/A</v>
      </c>
      <c r="DG8" s="16">
        <f>CZ25</f>
        <v>10</v>
      </c>
    </row>
    <row r="9" spans="1:256" ht="12" customHeight="1">
      <c r="A9" s="211"/>
      <c r="B9" s="211"/>
      <c r="C9" s="211"/>
      <c r="D9" s="211"/>
      <c r="E9" s="211"/>
      <c r="F9" s="211"/>
      <c r="G9" s="211"/>
      <c r="H9" s="211"/>
      <c r="I9" s="211"/>
      <c r="J9" s="211"/>
      <c r="K9" s="211"/>
      <c r="L9" s="211"/>
      <c r="M9" s="211"/>
      <c r="N9" s="211"/>
      <c r="O9" s="211"/>
      <c r="S9" s="239"/>
      <c r="T9" s="23"/>
      <c r="U9" s="491"/>
      <c r="V9" s="490"/>
      <c r="W9" s="491"/>
      <c r="X9" s="23"/>
      <c r="Y9" s="23"/>
      <c r="Z9" s="23"/>
      <c r="AA9" s="488"/>
      <c r="AB9" s="488"/>
      <c r="AC9" s="488" t="s">
        <v>203</v>
      </c>
      <c r="AD9" s="494"/>
      <c r="AE9" s="488"/>
      <c r="AF9" s="23"/>
      <c r="AG9" s="23"/>
      <c r="AH9" s="23"/>
      <c r="AI9" s="23"/>
      <c r="AJ9" s="580">
        <f t="shared" si="1"/>
        <v>2.3748600000000002E-4</v>
      </c>
      <c r="AR9" s="197"/>
      <c r="AV9" s="180">
        <f t="shared" si="2"/>
        <v>2.3748600000000002E-4</v>
      </c>
      <c r="AW9" s="492"/>
      <c r="AX9" s="277"/>
      <c r="AY9" s="277"/>
      <c r="AZ9" s="277"/>
      <c r="BW9" s="185" t="s">
        <v>64</v>
      </c>
      <c r="BX9" s="16">
        <f>EXP(0.5*BW8^2)</f>
        <v>1.1331484530668263</v>
      </c>
      <c r="BY9" s="185" t="s">
        <v>1195</v>
      </c>
      <c r="BZ9" s="16" t="e">
        <f>IF(BZ6,Y6,NA())</f>
        <v>#N/A</v>
      </c>
      <c r="CA9" s="16">
        <v>0</v>
      </c>
      <c r="CC9" s="16" t="e">
        <f>IF($CD$4,$Y$6-$Y$26,NA())</f>
        <v>#N/A</v>
      </c>
      <c r="CD9" s="16">
        <v>26</v>
      </c>
      <c r="CE9" s="581" t="s">
        <v>259</v>
      </c>
      <c r="CQ9" s="196">
        <v>8</v>
      </c>
      <c r="CR9" s="34">
        <f t="shared" si="6"/>
        <v>0.26310747489333153</v>
      </c>
      <c r="CS9" s="197">
        <f t="shared" si="3"/>
        <v>37.324110206788532</v>
      </c>
      <c r="CT9" s="16">
        <f t="shared" si="4"/>
        <v>-999</v>
      </c>
      <c r="CU9" s="16">
        <f t="shared" si="5"/>
        <v>-999</v>
      </c>
      <c r="CV9" s="16" t="s">
        <v>756</v>
      </c>
      <c r="CW9" s="16">
        <f>Y6+SQRT(3)*Y8</f>
        <v>84.641016151377542</v>
      </c>
      <c r="DB9" s="16">
        <v>5</v>
      </c>
      <c r="DC9" s="16" t="e">
        <f>IF(ISNA(CY19),NA(),IF(CY19&lt;CW20,CW20,CX20))</f>
        <v>#N/A</v>
      </c>
      <c r="DD9" s="16">
        <f>DA20</f>
        <v>6</v>
      </c>
    </row>
    <row r="10" spans="1:256" ht="12" customHeight="1">
      <c r="A10" s="211"/>
      <c r="B10" s="211"/>
      <c r="C10" s="211"/>
      <c r="D10" s="211"/>
      <c r="E10" s="211"/>
      <c r="F10" s="211"/>
      <c r="G10" s="211"/>
      <c r="H10" s="211"/>
      <c r="I10" s="211"/>
      <c r="J10" s="211"/>
      <c r="K10" s="211"/>
      <c r="L10" s="211"/>
      <c r="M10" s="252"/>
      <c r="N10" s="211"/>
      <c r="O10" s="211"/>
      <c r="S10" s="239"/>
      <c r="T10" s="23"/>
      <c r="U10" s="491" t="s">
        <v>237</v>
      </c>
      <c r="V10" s="23"/>
      <c r="W10" s="23"/>
      <c r="X10" s="23"/>
      <c r="Y10" s="23"/>
      <c r="Z10" s="23"/>
      <c r="AA10" s="23"/>
      <c r="AB10" s="23"/>
      <c r="AC10" s="23"/>
      <c r="AD10" s="23"/>
      <c r="AE10" s="23"/>
      <c r="AF10" s="23"/>
      <c r="AG10" s="23"/>
      <c r="AH10" s="23"/>
      <c r="AI10" s="24"/>
      <c r="AJ10" s="179">
        <f t="shared" si="1"/>
        <v>2.3748600000000002E-4</v>
      </c>
      <c r="AK10" s="25"/>
      <c r="AR10" s="197"/>
      <c r="AV10" s="180">
        <f t="shared" si="2"/>
        <v>2.3748600000000002E-4</v>
      </c>
      <c r="AW10" s="492"/>
      <c r="AY10" s="277"/>
      <c r="AZ10" s="277"/>
      <c r="BW10" s="185" t="s">
        <v>65</v>
      </c>
      <c r="BX10" s="16">
        <f>(EXP(BW8^2)-1)*EXP(BW8^2)</f>
        <v>0.36469585401238652</v>
      </c>
      <c r="BY10" s="185" t="s">
        <v>1069</v>
      </c>
      <c r="BZ10" s="16" t="e">
        <f>CC11-CB11</f>
        <v>#N/A</v>
      </c>
      <c r="CA10" s="197">
        <v>26</v>
      </c>
      <c r="CB10" s="185" t="s">
        <v>1070</v>
      </c>
      <c r="CC10" s="16" t="e">
        <f>IF($CD$4,$Y$6+$Y$26,NA())</f>
        <v>#N/A</v>
      </c>
      <c r="CD10" s="16">
        <v>26</v>
      </c>
      <c r="CE10" s="582" t="e">
        <f>IF(CA16="",NA(),IF($CD$5,$CD$7*NORMSINV(0.5+$Y$28/200),CA16*TINV(1-$Y$28/100,($T$18-1))))</f>
        <v>#N/A</v>
      </c>
      <c r="CQ10" s="196">
        <v>9</v>
      </c>
      <c r="CR10" s="34">
        <f t="shared" si="6"/>
        <v>0.16933048889040947</v>
      </c>
      <c r="CS10" s="197">
        <f t="shared" si="3"/>
        <v>30.86371339007059</v>
      </c>
      <c r="CT10" s="16">
        <f t="shared" si="4"/>
        <v>-999</v>
      </c>
      <c r="CU10" s="16">
        <f t="shared" si="5"/>
        <v>-999</v>
      </c>
      <c r="CV10" s="16" t="s">
        <v>1302</v>
      </c>
      <c r="CW10" s="16">
        <f>1/(CW9-CW8)</f>
        <v>1.4433756729740645E-2</v>
      </c>
      <c r="CZ10" s="583" t="s">
        <v>938</v>
      </c>
      <c r="DC10" s="16" t="e">
        <f>IF(ISNA(CY19),NA(),CY19)</f>
        <v>#N/A</v>
      </c>
      <c r="DD10" s="16">
        <f>CZ20</f>
        <v>5</v>
      </c>
      <c r="DF10" s="16" t="e">
        <f>CW26</f>
        <v>#N/A</v>
      </c>
      <c r="DG10" s="16">
        <f>DA26</f>
        <v>12</v>
      </c>
    </row>
    <row r="11" spans="1:256" ht="12" customHeight="1">
      <c r="A11" s="211"/>
      <c r="B11" s="211"/>
      <c r="C11" s="211"/>
      <c r="D11" s="211"/>
      <c r="E11" s="211"/>
      <c r="F11" s="211"/>
      <c r="G11" s="211"/>
      <c r="H11" s="211"/>
      <c r="I11" s="211"/>
      <c r="J11" s="211"/>
      <c r="K11" s="211"/>
      <c r="L11" s="211"/>
      <c r="M11" s="211"/>
      <c r="N11" s="211"/>
      <c r="O11" s="211"/>
      <c r="S11" s="239"/>
      <c r="T11" s="23"/>
      <c r="U11" s="23"/>
      <c r="V11" s="23"/>
      <c r="W11" s="23"/>
      <c r="X11" s="23"/>
      <c r="Y11" s="542" t="str">
        <f>IF(BY12=3,BW8,"")</f>
        <v/>
      </c>
      <c r="Z11" s="23"/>
      <c r="AA11" s="23"/>
      <c r="AB11" s="23"/>
      <c r="AC11" s="23" t="s">
        <v>204</v>
      </c>
      <c r="AD11" s="23"/>
      <c r="AE11" s="23"/>
      <c r="AF11" s="23"/>
      <c r="AG11" s="23"/>
      <c r="AH11" s="23"/>
      <c r="AI11" s="24"/>
      <c r="AJ11" s="179">
        <f t="shared" si="1"/>
        <v>2.3748600000000002E-4</v>
      </c>
      <c r="AR11" s="197"/>
      <c r="AV11" s="180">
        <f t="shared" si="2"/>
        <v>2.3748600000000002E-4</v>
      </c>
      <c r="AW11" s="492"/>
      <c r="AX11" s="277"/>
      <c r="AY11" s="277"/>
      <c r="AZ11" s="277"/>
      <c r="BW11" s="185" t="s">
        <v>69</v>
      </c>
      <c r="BX11" s="16">
        <f>SQRT(BX10)</f>
        <v>0.60390053321088111</v>
      </c>
      <c r="BY11" s="195" t="s">
        <v>1308</v>
      </c>
      <c r="BZ11" s="16" t="e">
        <f>CC11</f>
        <v>#N/A</v>
      </c>
      <c r="CA11" s="197">
        <v>26</v>
      </c>
      <c r="CB11" s="16">
        <f>$CD$7*NORMSINV(0.5+$Y$28/200)</f>
        <v>8.7652254057658165</v>
      </c>
      <c r="CC11" s="16" t="e">
        <f>IF($CD$4,$Y$6,NA())</f>
        <v>#N/A</v>
      </c>
      <c r="CD11" s="16">
        <v>25.85</v>
      </c>
      <c r="CQ11" s="196">
        <v>10</v>
      </c>
      <c r="CR11" s="34">
        <f t="shared" si="6"/>
        <v>9.0200450271368027E-2</v>
      </c>
      <c r="CS11" s="197">
        <f t="shared" si="3"/>
        <v>23.209566344987891</v>
      </c>
      <c r="CT11" s="16">
        <f t="shared" si="4"/>
        <v>-999</v>
      </c>
      <c r="CU11" s="16">
        <f t="shared" si="5"/>
        <v>-999</v>
      </c>
      <c r="CV11" s="16" t="s">
        <v>1304</v>
      </c>
      <c r="CW11" s="16">
        <f>CW9-CW8</f>
        <v>69.282032302755084</v>
      </c>
      <c r="CY11" s="185" t="s">
        <v>1248</v>
      </c>
      <c r="CZ11" s="16">
        <f>IF(ISNA(CE10),BY15,IF(AND($BZ$2&gt;1,BY16+CE10&gt;BY15,BY16-CE10&lt;BY15),BY16,-999))</f>
        <v>-999</v>
      </c>
      <c r="DA11" s="16" t="s">
        <v>1304</v>
      </c>
      <c r="DB11" s="16">
        <v>6</v>
      </c>
      <c r="DC11" s="16" t="e">
        <f>IF(ISNA(CY20),NA(),IF(CY20&lt;CW21,CW21,CX21))</f>
        <v>#N/A</v>
      </c>
      <c r="DD11" s="16">
        <f>DA21</f>
        <v>7</v>
      </c>
      <c r="DF11" s="16" t="e">
        <f>CY25</f>
        <v>#N/A</v>
      </c>
      <c r="DG11" s="16">
        <f>CZ26</f>
        <v>11</v>
      </c>
    </row>
    <row r="12" spans="1:256" ht="12" customHeight="1">
      <c r="A12" s="211"/>
      <c r="B12" s="211"/>
      <c r="C12" s="211"/>
      <c r="D12" s="211"/>
      <c r="E12" s="211"/>
      <c r="F12" s="211"/>
      <c r="G12" s="211"/>
      <c r="H12" s="211"/>
      <c r="I12" s="211"/>
      <c r="J12" s="211"/>
      <c r="K12" s="211"/>
      <c r="L12" s="211"/>
      <c r="M12" s="211"/>
      <c r="N12" s="211"/>
      <c r="O12" s="211"/>
      <c r="S12" s="496"/>
      <c r="T12" s="27"/>
      <c r="U12" s="27"/>
      <c r="V12" s="27"/>
      <c r="W12" s="27"/>
      <c r="X12" s="27"/>
      <c r="Y12" s="27"/>
      <c r="Z12" s="27"/>
      <c r="AA12" s="27"/>
      <c r="AB12" s="27"/>
      <c r="AC12" s="27"/>
      <c r="AD12" s="27"/>
      <c r="AE12" s="27"/>
      <c r="AF12" s="27"/>
      <c r="AG12" s="27"/>
      <c r="AH12" s="27"/>
      <c r="AI12" s="571"/>
      <c r="AJ12" s="179">
        <f t="shared" si="1"/>
        <v>2.3748600000000002E-4</v>
      </c>
      <c r="AR12" s="197"/>
      <c r="AV12" s="180">
        <f t="shared" si="2"/>
        <v>2.3748600000000002E-4</v>
      </c>
      <c r="AW12" s="492"/>
      <c r="AX12" s="277"/>
      <c r="AY12" s="277"/>
      <c r="AZ12" s="277"/>
      <c r="BW12" s="185" t="s">
        <v>66</v>
      </c>
      <c r="BX12" s="16">
        <f>Y8/BX11</f>
        <v>33.11803666352457</v>
      </c>
      <c r="BY12" s="497">
        <v>1</v>
      </c>
      <c r="BZ12" s="16" t="e">
        <f>CC11+CB11</f>
        <v>#N/A</v>
      </c>
      <c r="CA12" s="197">
        <v>26</v>
      </c>
      <c r="CC12" s="483" t="s">
        <v>212</v>
      </c>
      <c r="CD12" s="16">
        <f>IF(CB1,25.5,0)</f>
        <v>0</v>
      </c>
      <c r="CQ12" s="196">
        <v>11</v>
      </c>
      <c r="CR12" s="34">
        <f t="shared" si="6"/>
        <v>0.67531953379511833</v>
      </c>
      <c r="CS12" s="197">
        <f t="shared" si="3"/>
        <v>59.093003474616715</v>
      </c>
      <c r="CT12" s="16">
        <f t="shared" si="4"/>
        <v>-999</v>
      </c>
      <c r="CU12" s="16">
        <f t="shared" si="5"/>
        <v>-999</v>
      </c>
      <c r="CV12" s="16" t="s">
        <v>158</v>
      </c>
      <c r="CW12" s="211" t="b">
        <v>0</v>
      </c>
      <c r="DA12" s="16">
        <v>0.6</v>
      </c>
      <c r="DC12" s="16" t="e">
        <f>IF(ISNA(CY20),NA(),CY20)</f>
        <v>#N/A</v>
      </c>
      <c r="DD12" s="16">
        <f>CZ21</f>
        <v>6</v>
      </c>
    </row>
    <row r="13" spans="1:256" ht="12" customHeight="1">
      <c r="A13" s="211"/>
      <c r="B13" s="211"/>
      <c r="C13" s="211"/>
      <c r="D13" s="211"/>
      <c r="E13" s="211"/>
      <c r="F13" s="211"/>
      <c r="G13" s="211"/>
      <c r="H13" s="211"/>
      <c r="I13" s="211"/>
      <c r="J13" s="211"/>
      <c r="K13" s="211"/>
      <c r="L13" s="211"/>
      <c r="M13" s="211"/>
      <c r="N13" s="211"/>
      <c r="O13" s="211"/>
      <c r="S13" s="573">
        <v>3</v>
      </c>
      <c r="T13" s="30"/>
      <c r="X13" s="498"/>
      <c r="AA13" s="39"/>
      <c r="AI13" s="197"/>
      <c r="AJ13" s="179">
        <f t="shared" si="1"/>
        <v>2.3748600000000002E-4</v>
      </c>
      <c r="AR13" s="197"/>
      <c r="AV13" s="180">
        <f t="shared" si="2"/>
        <v>2.3748600000000002E-4</v>
      </c>
      <c r="AW13" s="492"/>
      <c r="AX13" s="277"/>
      <c r="AY13" s="277"/>
      <c r="AZ13" s="277"/>
      <c r="BA13" s="197"/>
      <c r="BB13" s="197"/>
      <c r="BC13" s="197"/>
      <c r="BD13" s="197"/>
      <c r="BE13" s="197"/>
      <c r="BF13" s="197"/>
      <c r="BG13" s="197"/>
      <c r="BH13" s="197"/>
      <c r="BI13" s="197"/>
      <c r="BJ13" s="197"/>
      <c r="BK13" s="197"/>
      <c r="BL13" s="197"/>
      <c r="BM13" s="197"/>
      <c r="BN13" s="197"/>
      <c r="BO13" s="197"/>
      <c r="BP13" s="197"/>
      <c r="BQ13" s="197"/>
      <c r="BR13" s="197"/>
      <c r="BS13" s="197"/>
      <c r="BT13" s="197"/>
      <c r="BU13" s="197"/>
      <c r="BV13" s="197"/>
      <c r="BW13" s="185" t="s">
        <v>67</v>
      </c>
      <c r="BX13" s="16">
        <f>Y6-BX12*BX9</f>
        <v>12.472347986116695</v>
      </c>
      <c r="BY13" s="197" t="s">
        <v>1079</v>
      </c>
      <c r="BZ13" s="196" t="s">
        <v>650</v>
      </c>
      <c r="CA13" s="197"/>
      <c r="CB13" s="197"/>
      <c r="CC13" s="201" t="s">
        <v>1080</v>
      </c>
      <c r="CD13" s="187"/>
      <c r="CQ13" s="196">
        <v>12</v>
      </c>
      <c r="CR13" s="34">
        <f t="shared" si="6"/>
        <v>0.11710512265563011</v>
      </c>
      <c r="CS13" s="197">
        <f t="shared" si="3"/>
        <v>26.208335651539532</v>
      </c>
      <c r="CT13" s="16">
        <f t="shared" si="4"/>
        <v>-999</v>
      </c>
      <c r="CU13" s="16">
        <f t="shared" si="5"/>
        <v>-999</v>
      </c>
      <c r="CV13" s="499" t="s">
        <v>155</v>
      </c>
      <c r="CZ13" s="196" t="s">
        <v>159</v>
      </c>
      <c r="DA13" s="196" t="s">
        <v>162</v>
      </c>
      <c r="DB13" s="16">
        <v>7</v>
      </c>
      <c r="DC13" s="16" t="e">
        <f>IF(ISNA(CY21),NA(),IF(CY21&lt;CW22,CW22,CX22))</f>
        <v>#N/A</v>
      </c>
      <c r="DD13" s="16">
        <f>DA22</f>
        <v>8</v>
      </c>
      <c r="DE13" s="196"/>
      <c r="DF13" s="196" t="e">
        <f>CX27</f>
        <v>#N/A</v>
      </c>
      <c r="DG13" s="16">
        <f>DA27</f>
        <v>13</v>
      </c>
      <c r="DH13" s="196"/>
      <c r="DI13" s="196"/>
      <c r="DJ13" s="196"/>
      <c r="DK13" s="196"/>
      <c r="DL13" s="196"/>
      <c r="DM13" s="196"/>
      <c r="DN13" s="196"/>
      <c r="DO13" s="196"/>
      <c r="DP13" s="196"/>
      <c r="DQ13" s="196"/>
      <c r="DR13" s="196"/>
      <c r="DS13" s="196"/>
      <c r="DT13" s="196"/>
      <c r="DU13" s="196"/>
      <c r="DV13" s="196"/>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7"/>
      <c r="GC13" s="197"/>
      <c r="GD13" s="197"/>
      <c r="GE13" s="197"/>
      <c r="GF13" s="197"/>
      <c r="GG13" s="197"/>
      <c r="GH13" s="197"/>
      <c r="GI13" s="197"/>
      <c r="GJ13" s="197"/>
      <c r="GK13" s="197"/>
      <c r="GL13" s="197"/>
      <c r="GM13" s="197"/>
      <c r="GN13" s="197"/>
      <c r="GO13" s="197"/>
      <c r="GP13" s="197"/>
      <c r="GQ13" s="197"/>
      <c r="GR13" s="197"/>
      <c r="GS13" s="197"/>
      <c r="GT13" s="197"/>
      <c r="GU13" s="197"/>
      <c r="GV13" s="197"/>
      <c r="GW13" s="197"/>
      <c r="GX13" s="197"/>
      <c r="GY13" s="197"/>
      <c r="GZ13" s="197"/>
      <c r="HA13" s="197"/>
      <c r="HB13" s="197"/>
      <c r="HC13" s="197"/>
      <c r="HD13" s="197"/>
      <c r="HE13" s="197"/>
      <c r="HF13" s="197"/>
      <c r="HG13" s="197"/>
      <c r="HH13" s="197"/>
      <c r="HI13" s="197"/>
      <c r="HJ13" s="197"/>
      <c r="HK13" s="197"/>
      <c r="HL13" s="197"/>
      <c r="HM13" s="197"/>
      <c r="HN13" s="197"/>
      <c r="HO13" s="197"/>
      <c r="HP13" s="197"/>
      <c r="HQ13" s="197"/>
      <c r="HR13" s="197"/>
      <c r="HS13" s="197"/>
      <c r="HT13" s="197"/>
      <c r="HU13" s="197"/>
      <c r="HV13" s="197"/>
      <c r="HW13" s="197"/>
      <c r="HX13" s="197"/>
      <c r="HY13" s="197"/>
      <c r="HZ13" s="197"/>
      <c r="IA13" s="197"/>
      <c r="IB13" s="197"/>
      <c r="IC13" s="197"/>
      <c r="ID13" s="197"/>
      <c r="IE13" s="197"/>
      <c r="IF13" s="197"/>
      <c r="IG13" s="197"/>
      <c r="IH13" s="197"/>
      <c r="II13" s="197"/>
      <c r="IJ13" s="197"/>
      <c r="IK13" s="197"/>
      <c r="IL13" s="197"/>
      <c r="IM13" s="197"/>
      <c r="IN13" s="197"/>
      <c r="IO13" s="197"/>
      <c r="IP13" s="197"/>
      <c r="IQ13" s="197"/>
      <c r="IR13" s="197"/>
      <c r="IS13" s="197"/>
      <c r="IT13" s="197"/>
      <c r="IU13" s="197"/>
      <c r="IV13" s="197"/>
    </row>
    <row r="14" spans="1:256" ht="12" customHeight="1">
      <c r="A14" s="211"/>
      <c r="B14" s="211"/>
      <c r="C14" s="211"/>
      <c r="D14" s="211"/>
      <c r="E14" s="211"/>
      <c r="F14" s="211"/>
      <c r="G14" s="211"/>
      <c r="H14" s="211"/>
      <c r="I14" s="211"/>
      <c r="J14" s="211"/>
      <c r="K14" s="211"/>
      <c r="L14" s="211"/>
      <c r="M14" s="211"/>
      <c r="N14" s="211"/>
      <c r="O14" s="211"/>
      <c r="P14" s="185" t="s">
        <v>1077</v>
      </c>
      <c r="Q14" s="136" t="b">
        <v>1</v>
      </c>
      <c r="T14" s="30"/>
      <c r="AI14" s="197"/>
      <c r="AJ14" s="323">
        <f t="shared" si="1"/>
        <v>2.3748600000000002E-4</v>
      </c>
      <c r="AK14" s="25"/>
      <c r="AR14" s="197"/>
      <c r="AV14" s="180">
        <f t="shared" si="2"/>
        <v>2.3748600000000002E-4</v>
      </c>
      <c r="AW14" s="492"/>
      <c r="AX14" s="277"/>
      <c r="AY14" s="277"/>
      <c r="AZ14" s="277"/>
      <c r="BA14" s="197"/>
      <c r="BB14" s="197"/>
      <c r="BC14" s="197"/>
      <c r="BD14" s="197"/>
      <c r="BE14" s="197"/>
      <c r="BF14" s="197"/>
      <c r="BG14" s="197"/>
      <c r="BH14" s="197"/>
      <c r="BI14" s="197"/>
      <c r="BJ14" s="197"/>
      <c r="BK14" s="197"/>
      <c r="BL14" s="197"/>
      <c r="BM14" s="197"/>
      <c r="BN14" s="197"/>
      <c r="BO14" s="197"/>
      <c r="BP14" s="197"/>
      <c r="BQ14" s="197"/>
      <c r="BR14" s="197"/>
      <c r="BS14" s="197"/>
      <c r="BT14" s="197"/>
      <c r="BU14" s="197"/>
      <c r="BV14" s="197"/>
      <c r="BW14" s="185" t="s">
        <v>68</v>
      </c>
      <c r="BX14" s="197">
        <f>BW8*BX12</f>
        <v>16.559018331762285</v>
      </c>
      <c r="BY14" s="34">
        <f>IF($CB$7,AVERAGE(CS2:CS101),-999)</f>
        <v>48.694889629660636</v>
      </c>
      <c r="BZ14" s="34">
        <f>IF(AND($CB$7,$T$18&gt;1),STDEV(CS2:CS101),-999)</f>
        <v>22.254784580149465</v>
      </c>
      <c r="CA14" s="196" t="s">
        <v>1081</v>
      </c>
      <c r="CB14" s="196" t="s">
        <v>1082</v>
      </c>
      <c r="CC14" s="500" t="s">
        <v>1083</v>
      </c>
      <c r="CD14" s="500" t="s">
        <v>1084</v>
      </c>
      <c r="CE14" s="187" t="s">
        <v>245</v>
      </c>
      <c r="CF14" s="16" t="s">
        <v>248</v>
      </c>
      <c r="CG14" s="16" t="s">
        <v>249</v>
      </c>
      <c r="CH14" s="187" t="s">
        <v>640</v>
      </c>
      <c r="CQ14" s="196">
        <v>13</v>
      </c>
      <c r="CR14" s="34">
        <f t="shared" si="6"/>
        <v>0.74892289564013481</v>
      </c>
      <c r="CS14" s="197">
        <f t="shared" si="3"/>
        <v>63.422082205038208</v>
      </c>
      <c r="CT14" s="16">
        <f t="shared" si="4"/>
        <v>-999</v>
      </c>
      <c r="CU14" s="16">
        <f t="shared" si="5"/>
        <v>-999</v>
      </c>
      <c r="CV14" s="196" t="s">
        <v>156</v>
      </c>
      <c r="CW14" s="187" t="s">
        <v>160</v>
      </c>
      <c r="CX14" s="187" t="s">
        <v>161</v>
      </c>
      <c r="CY14" s="16" t="s">
        <v>163</v>
      </c>
      <c r="CZ14" s="196">
        <v>1</v>
      </c>
      <c r="DA14" s="196">
        <v>0</v>
      </c>
      <c r="DC14" s="16" t="e">
        <f>IF(ISNA(CY21),NA(),CY21)</f>
        <v>#N/A</v>
      </c>
      <c r="DD14" s="16">
        <f>CZ22</f>
        <v>7</v>
      </c>
      <c r="DE14" s="196"/>
      <c r="DF14" s="196" t="e">
        <f>CY26</f>
        <v>#N/A</v>
      </c>
      <c r="DG14" s="16">
        <f>CZ27</f>
        <v>12</v>
      </c>
      <c r="DH14" s="500"/>
      <c r="DI14" s="500"/>
      <c r="DJ14" s="500"/>
      <c r="DK14" s="500"/>
      <c r="DL14" s="500"/>
      <c r="DM14" s="500"/>
      <c r="DN14" s="500"/>
      <c r="DO14" s="500"/>
      <c r="DP14" s="500"/>
      <c r="DQ14" s="500"/>
      <c r="DR14" s="500"/>
      <c r="DS14" s="500"/>
      <c r="DT14" s="500"/>
      <c r="DU14" s="500"/>
      <c r="DV14" s="500"/>
      <c r="DW14" s="500"/>
      <c r="DX14" s="500"/>
      <c r="DY14" s="500"/>
      <c r="DZ14" s="500"/>
      <c r="EA14" s="500"/>
      <c r="EB14" s="500"/>
      <c r="EC14" s="500"/>
      <c r="ED14" s="500"/>
      <c r="EE14" s="500"/>
      <c r="EF14" s="500"/>
      <c r="EG14" s="500"/>
      <c r="EH14" s="500"/>
      <c r="EI14" s="500"/>
      <c r="EJ14" s="500"/>
      <c r="EK14" s="500"/>
      <c r="EL14" s="500"/>
      <c r="EM14" s="500"/>
      <c r="EN14" s="500"/>
      <c r="EO14" s="500"/>
      <c r="EP14" s="500"/>
      <c r="EQ14" s="500"/>
      <c r="ER14" s="500"/>
      <c r="ES14" s="500"/>
      <c r="ET14" s="500"/>
      <c r="EU14" s="500"/>
      <c r="EV14" s="500"/>
      <c r="EW14" s="500"/>
      <c r="EX14" s="500"/>
      <c r="EY14" s="500"/>
      <c r="EZ14" s="500"/>
      <c r="FA14" s="500"/>
      <c r="FB14" s="500"/>
      <c r="FC14" s="500"/>
      <c r="FD14" s="500"/>
      <c r="FE14" s="500"/>
      <c r="FF14" s="500"/>
      <c r="FG14" s="500"/>
      <c r="FH14" s="500"/>
      <c r="FI14" s="500"/>
      <c r="FJ14" s="500"/>
      <c r="FK14" s="500"/>
      <c r="FL14" s="500"/>
      <c r="FM14" s="500"/>
      <c r="FN14" s="500"/>
      <c r="FO14" s="500"/>
      <c r="FP14" s="500"/>
      <c r="FQ14" s="500"/>
      <c r="FR14" s="500"/>
      <c r="FS14" s="500"/>
      <c r="FT14" s="500"/>
      <c r="FU14" s="500"/>
      <c r="FV14" s="500"/>
      <c r="FW14" s="500"/>
      <c r="FX14" s="500"/>
      <c r="FY14" s="500"/>
      <c r="FZ14" s="500"/>
      <c r="GA14" s="500"/>
      <c r="GB14" s="197"/>
      <c r="GC14" s="197"/>
      <c r="GD14" s="197"/>
      <c r="GE14" s="197"/>
      <c r="GF14" s="197"/>
      <c r="GG14" s="197"/>
      <c r="GH14" s="197"/>
      <c r="GI14" s="197"/>
      <c r="GJ14" s="197"/>
      <c r="GK14" s="197"/>
      <c r="GL14" s="197"/>
      <c r="GM14" s="197"/>
      <c r="GN14" s="197"/>
      <c r="GO14" s="197"/>
      <c r="GP14" s="197"/>
      <c r="GQ14" s="197"/>
      <c r="GR14" s="197"/>
      <c r="GS14" s="197"/>
      <c r="GT14" s="197"/>
      <c r="GU14" s="197"/>
      <c r="GV14" s="197"/>
      <c r="GW14" s="197"/>
      <c r="GX14" s="197"/>
      <c r="GY14" s="197"/>
      <c r="GZ14" s="197"/>
      <c r="HA14" s="197"/>
      <c r="HB14" s="197"/>
      <c r="HC14" s="197"/>
      <c r="HD14" s="197"/>
      <c r="HE14" s="197"/>
      <c r="HF14" s="197"/>
      <c r="HG14" s="197"/>
      <c r="HH14" s="197"/>
      <c r="HI14" s="197"/>
      <c r="HJ14" s="197"/>
      <c r="HK14" s="197"/>
      <c r="HL14" s="197"/>
      <c r="HM14" s="197"/>
      <c r="HN14" s="197"/>
      <c r="HO14" s="197"/>
      <c r="HP14" s="197"/>
      <c r="HQ14" s="197"/>
      <c r="HR14" s="197"/>
      <c r="HS14" s="197"/>
      <c r="HT14" s="197"/>
      <c r="HU14" s="197"/>
      <c r="HV14" s="197"/>
      <c r="HW14" s="197"/>
      <c r="HX14" s="197"/>
      <c r="HY14" s="197"/>
      <c r="HZ14" s="197"/>
      <c r="IA14" s="197"/>
      <c r="IB14" s="197"/>
      <c r="IC14" s="197"/>
      <c r="ID14" s="197"/>
      <c r="IE14" s="197"/>
      <c r="IF14" s="197"/>
      <c r="IG14" s="197"/>
      <c r="IH14" s="197"/>
      <c r="II14" s="197"/>
      <c r="IJ14" s="197"/>
      <c r="IK14" s="197"/>
      <c r="IL14" s="197"/>
      <c r="IM14" s="197"/>
      <c r="IN14" s="197"/>
      <c r="IO14" s="197"/>
      <c r="IP14" s="197"/>
      <c r="IQ14" s="197"/>
      <c r="IR14" s="197"/>
      <c r="IS14" s="197"/>
      <c r="IT14" s="197"/>
      <c r="IU14" s="197"/>
      <c r="IV14" s="197"/>
    </row>
    <row r="15" spans="1:256" ht="12" customHeight="1">
      <c r="A15" s="211"/>
      <c r="B15" s="211"/>
      <c r="C15" s="211"/>
      <c r="D15" s="211"/>
      <c r="E15" s="211"/>
      <c r="F15" s="211"/>
      <c r="G15" s="211"/>
      <c r="H15" s="211"/>
      <c r="I15" s="211"/>
      <c r="J15" s="211"/>
      <c r="K15" s="211"/>
      <c r="L15" s="211"/>
      <c r="M15" s="211"/>
      <c r="N15" s="211"/>
      <c r="O15" s="211"/>
      <c r="P15" s="187" t="s">
        <v>1078</v>
      </c>
      <c r="S15" s="30"/>
      <c r="T15" s="30"/>
      <c r="W15" s="197"/>
      <c r="AI15" s="197"/>
      <c r="AJ15" s="323">
        <f t="shared" si="1"/>
        <v>2.3748600000000002E-4</v>
      </c>
      <c r="AK15" s="30"/>
      <c r="AR15" s="197"/>
      <c r="AV15" s="180">
        <f t="shared" si="2"/>
        <v>2.3748600000000002E-4</v>
      </c>
      <c r="AW15" s="277"/>
      <c r="AX15" s="277"/>
      <c r="AY15" s="277"/>
      <c r="AZ15" s="277"/>
      <c r="BY15" s="16">
        <f>IF(AND($CB$7,M4&lt;&gt;""),M4,-999)</f>
        <v>-999</v>
      </c>
      <c r="BZ15" s="16">
        <f t="shared" ref="BZ15:BZ39" si="7">IF(AND($CB$7,$T$18&gt;1,N4&lt;&gt;""),N4,-999)</f>
        <v>-999</v>
      </c>
      <c r="CA15" s="197" t="str">
        <f t="shared" ref="CA15:CA39" si="8">IF(AND($CB$7,$T$18&gt;1,BZ15&gt;-999),BZ15/SQRT($T$18),"")</f>
        <v/>
      </c>
      <c r="CB15" s="197" t="e">
        <f t="shared" ref="CB15:CB39" si="9">IF(NOT($CD$1),IF(CH15&lt;$CF$103,IF(AND($CB$7,$T$18&gt;1,CA15&lt;&gt;""),IF($BZ$2=2,IF($CD$5,$CD$7*NORMSINV(0.5+$Y$28/200),CA15*TINV(1-$Y$28/100,($T$18-1))),NA()),NA()),NA()),NA())</f>
        <v>#N/A</v>
      </c>
      <c r="CC15" s="16" t="e">
        <f>IF(AND(NOT($CD$1),$CD$6,$CF$1,$CB$5,$CB$1,$BZ$2&gt;1,BY15+CE15&gt;=$CB$2,BY15-CE15&lt;=$CB$2),BY15,NA())</f>
        <v>#N/A</v>
      </c>
      <c r="CD15" s="16" t="e">
        <f>IF(AND(NOT($CD$1),$CD$6,$CF$1,$CB$5,$CB$1,$BZ$2&gt;1,OR(BY15+CE15&lt;$CB$2,BY15-CE15&gt;$CB$2)),BY15,NA())</f>
        <v>#N/A</v>
      </c>
      <c r="CE15" s="16" t="e">
        <f>IF(AND($CB$7,$T$18&gt;1,CA15&lt;&gt;""),IF($BZ$2=2,IF($CD$5,$CD$7*NORMSINV(0.5+$Y$28/200),CA15*TINV(1-$Y$28/100,($T$18-1))),NA()),NA())</f>
        <v>#N/A</v>
      </c>
      <c r="CF15" s="16" t="e">
        <f>IF(OR(CG15=1,BY15=-999,NOT($CD$6),NOT($CG$2)),NA(),BY15)</f>
        <v>#N/A</v>
      </c>
      <c r="CG15" s="16">
        <f>CH105</f>
        <v>0</v>
      </c>
      <c r="CH15" s="16">
        <v>1</v>
      </c>
      <c r="CQ15" s="196">
        <v>14</v>
      </c>
      <c r="CR15" s="34">
        <f t="shared" si="6"/>
        <v>0.69239899143576622</v>
      </c>
      <c r="CS15" s="197">
        <f t="shared" si="3"/>
        <v>60.053237542419311</v>
      </c>
      <c r="CT15" s="16">
        <f t="shared" si="4"/>
        <v>-999</v>
      </c>
      <c r="CU15" s="16">
        <f t="shared" si="5"/>
        <v>-999</v>
      </c>
      <c r="CV15" s="197"/>
      <c r="CW15" s="197"/>
      <c r="CX15" s="197"/>
      <c r="CY15" s="197" t="e">
        <f t="shared" ref="CY15:CY38" si="10">IF(ISNA(CV16),NA(),BY15)</f>
        <v>#N/A</v>
      </c>
      <c r="CZ15" s="197">
        <f>1-$CZ$14</f>
        <v>0</v>
      </c>
      <c r="DA15" s="197">
        <f>1-$DA$14</f>
        <v>1</v>
      </c>
      <c r="DB15" s="16">
        <v>8</v>
      </c>
      <c r="DC15" s="16" t="e">
        <f>IF(ISNA(CY22),NA(),IF(CY22&lt;CW23,CW23,CX23))</f>
        <v>#N/A</v>
      </c>
      <c r="DD15" s="16">
        <f>DA23</f>
        <v>9</v>
      </c>
      <c r="DE15" s="197"/>
      <c r="DF15" s="197"/>
      <c r="DH15" s="197"/>
      <c r="DI15" s="197"/>
      <c r="DJ15" s="197"/>
      <c r="DK15" s="197"/>
      <c r="DL15" s="197"/>
      <c r="DM15" s="197"/>
      <c r="DN15" s="197"/>
      <c r="DO15" s="197"/>
      <c r="DP15" s="197"/>
      <c r="DQ15" s="197"/>
      <c r="DR15" s="197"/>
      <c r="DS15" s="197"/>
      <c r="DT15" s="197"/>
      <c r="DU15" s="197"/>
      <c r="DV15" s="197"/>
      <c r="DW15" s="197"/>
      <c r="DX15" s="197"/>
      <c r="DY15" s="197"/>
      <c r="DZ15" s="197"/>
      <c r="EA15" s="197"/>
      <c r="EB15" s="197"/>
      <c r="EC15" s="197"/>
      <c r="ED15" s="197"/>
      <c r="EE15" s="197"/>
      <c r="EF15" s="197"/>
      <c r="EG15" s="197"/>
      <c r="EH15" s="197"/>
      <c r="EI15" s="197"/>
      <c r="EJ15" s="197"/>
      <c r="EK15" s="197"/>
      <c r="EL15" s="197"/>
      <c r="EM15" s="197"/>
      <c r="EN15" s="197"/>
      <c r="EO15" s="197"/>
      <c r="EP15" s="197"/>
      <c r="EQ15" s="197"/>
      <c r="ER15" s="197"/>
      <c r="ES15" s="197"/>
      <c r="ET15" s="197"/>
      <c r="EU15" s="197"/>
      <c r="EV15" s="197"/>
      <c r="EW15" s="197"/>
      <c r="EX15" s="197"/>
      <c r="EY15" s="197"/>
      <c r="EZ15" s="197"/>
      <c r="FA15" s="197"/>
      <c r="FB15" s="197"/>
      <c r="FC15" s="197"/>
      <c r="FD15" s="197"/>
      <c r="FE15" s="197"/>
      <c r="FF15" s="197"/>
      <c r="FG15" s="197"/>
      <c r="FH15" s="197"/>
      <c r="FI15" s="197"/>
      <c r="FJ15" s="197"/>
      <c r="FK15" s="197"/>
      <c r="FL15" s="197"/>
      <c r="FM15" s="197"/>
      <c r="FN15" s="197"/>
      <c r="FO15" s="197"/>
      <c r="FP15" s="197"/>
      <c r="FQ15" s="197"/>
      <c r="FR15" s="197"/>
      <c r="FS15" s="197"/>
      <c r="FT15" s="197"/>
      <c r="FU15" s="197"/>
      <c r="FV15" s="197"/>
      <c r="FW15" s="197"/>
      <c r="FX15" s="197"/>
      <c r="FY15" s="197"/>
      <c r="FZ15" s="197"/>
      <c r="GA15" s="197"/>
      <c r="GB15" s="197"/>
      <c r="GC15" s="197"/>
      <c r="GD15" s="197"/>
      <c r="GE15" s="197"/>
      <c r="GF15" s="197"/>
      <c r="GG15" s="197"/>
      <c r="GH15" s="197"/>
      <c r="GI15" s="197"/>
      <c r="GJ15" s="197"/>
      <c r="GK15" s="197"/>
      <c r="GL15" s="197"/>
      <c r="GM15" s="197"/>
      <c r="GN15" s="197"/>
      <c r="GO15" s="197"/>
      <c r="GP15" s="197"/>
      <c r="GQ15" s="197"/>
      <c r="GR15" s="197"/>
      <c r="GS15" s="197"/>
      <c r="GT15" s="197"/>
      <c r="GU15" s="197"/>
      <c r="GV15" s="197"/>
      <c r="GW15" s="197"/>
      <c r="GX15" s="197"/>
      <c r="GY15" s="197"/>
      <c r="GZ15" s="197"/>
      <c r="HA15" s="197"/>
      <c r="HB15" s="197"/>
      <c r="HC15" s="197"/>
      <c r="HD15" s="197"/>
      <c r="HE15" s="197"/>
      <c r="HF15" s="197"/>
      <c r="HG15" s="197"/>
      <c r="HH15" s="197"/>
      <c r="HI15" s="197"/>
      <c r="HJ15" s="197"/>
      <c r="HK15" s="197"/>
      <c r="HL15" s="197"/>
      <c r="HM15" s="197"/>
      <c r="HN15" s="197"/>
      <c r="HO15" s="197"/>
      <c r="HP15" s="197"/>
      <c r="HQ15" s="197"/>
      <c r="HR15" s="197"/>
      <c r="HS15" s="197"/>
      <c r="HT15" s="197"/>
      <c r="HU15" s="197"/>
      <c r="HV15" s="197"/>
      <c r="HW15" s="197"/>
      <c r="HX15" s="197"/>
      <c r="HY15" s="197"/>
      <c r="HZ15" s="197"/>
      <c r="IA15" s="197"/>
      <c r="IB15" s="197"/>
      <c r="IC15" s="197"/>
      <c r="ID15" s="197"/>
      <c r="IE15" s="197"/>
      <c r="IF15" s="197"/>
      <c r="IG15" s="197"/>
      <c r="IH15" s="197"/>
      <c r="II15" s="197"/>
      <c r="IJ15" s="197"/>
      <c r="IK15" s="197"/>
      <c r="IL15" s="197"/>
      <c r="IM15" s="197"/>
      <c r="IN15" s="197"/>
      <c r="IO15" s="197"/>
      <c r="IP15" s="197"/>
      <c r="IQ15" s="197"/>
      <c r="IR15" s="197"/>
      <c r="IS15" s="197"/>
      <c r="IT15" s="197"/>
      <c r="IU15" s="197"/>
      <c r="IV15" s="197"/>
    </row>
    <row r="16" spans="1:256" ht="12" customHeight="1">
      <c r="A16" s="211"/>
      <c r="B16" s="211"/>
      <c r="C16" s="211"/>
      <c r="D16" s="211"/>
      <c r="E16" s="211"/>
      <c r="F16" s="211"/>
      <c r="G16" s="211"/>
      <c r="H16" s="211"/>
      <c r="I16" s="211"/>
      <c r="J16" s="211"/>
      <c r="K16" s="211"/>
      <c r="L16" s="211"/>
      <c r="M16" s="211"/>
      <c r="N16" s="211"/>
      <c r="O16" s="211"/>
      <c r="P16" s="211" t="b">
        <v>0</v>
      </c>
      <c r="S16" s="574">
        <v>4</v>
      </c>
      <c r="T16" s="555" t="s">
        <v>228</v>
      </c>
      <c r="U16" s="503"/>
      <c r="V16" s="503"/>
      <c r="W16" s="504"/>
      <c r="X16" s="504" t="s">
        <v>225</v>
      </c>
      <c r="Y16" s="503"/>
      <c r="Z16" s="504" t="s">
        <v>227</v>
      </c>
      <c r="AA16" s="503"/>
      <c r="AB16" s="503"/>
      <c r="AC16" s="503" t="s">
        <v>206</v>
      </c>
      <c r="AD16" s="503"/>
      <c r="AE16" s="503"/>
      <c r="AF16" s="503"/>
      <c r="AG16" s="503"/>
      <c r="AH16" s="503"/>
      <c r="AI16" s="546"/>
      <c r="AJ16" s="528">
        <f t="shared" si="1"/>
        <v>2.3748600000000002E-4</v>
      </c>
      <c r="AK16" s="25"/>
      <c r="AR16" s="197"/>
      <c r="AV16" s="180">
        <f t="shared" si="2"/>
        <v>2.3748600000000002E-4</v>
      </c>
      <c r="AW16" s="277"/>
      <c r="AX16" s="277"/>
      <c r="AY16" s="277"/>
      <c r="AZ16" s="277"/>
      <c r="BJ16" s="16" t="s">
        <v>1087</v>
      </c>
      <c r="BY16" s="16">
        <f t="shared" ref="BY16:BY39" si="11">IF(AND($CB$7,M5&lt;&gt;""),M5,-999)</f>
        <v>-999</v>
      </c>
      <c r="BZ16" s="16">
        <f t="shared" si="7"/>
        <v>-999</v>
      </c>
      <c r="CA16" s="197" t="str">
        <f t="shared" si="8"/>
        <v/>
      </c>
      <c r="CB16" s="197" t="e">
        <f t="shared" si="9"/>
        <v>#N/A</v>
      </c>
      <c r="CC16" s="16" t="e">
        <f t="shared" ref="CC16:CC39" si="12">IF(AND(NOT($CD$1),$CD$6,$CF$1,$CB$5,$CB$1,$BZ$2&gt;1,BY16+CE16&gt;=$CB$2,BY16-CE16&lt;=$CB$2),BY16,NA())</f>
        <v>#N/A</v>
      </c>
      <c r="CD16" s="16" t="e">
        <f t="shared" ref="CD16:CD39" si="13">IF(AND(NOT($CD$1),$CD$6,$CF$1,$CB$5,$CB$1,$BZ$2&gt;1,OR(BY16+CE16&lt;$CB$2,BY16-CE16&gt;$CB$2)),BY16,NA())</f>
        <v>#N/A</v>
      </c>
      <c r="CE16" s="16" t="e">
        <f t="shared" ref="CE16:CE39" si="14">IF(AND($CB$7,$T$18&gt;1,CA16&lt;&gt;""),IF($BZ$2=2,IF($CD$5,$CD$7*NORMSINV(0.5+$Y$28/200),CA16*TINV(1-$Y$28/100,($T$18-1))),NA()),NA())</f>
        <v>#N/A</v>
      </c>
      <c r="CF16" s="16" t="e">
        <f t="shared" ref="CF16:CF39" si="15">IF(OR(CG16=1,BY16=-999,NOT($CD$6),NOT($CG$2)),NA(),BY16)</f>
        <v>#N/A</v>
      </c>
      <c r="CG16" s="16">
        <f t="shared" ref="CG16:CG39" si="16">CH106</f>
        <v>0</v>
      </c>
      <c r="CH16" s="16">
        <v>2</v>
      </c>
      <c r="CQ16" s="196">
        <v>15</v>
      </c>
      <c r="CR16" s="34">
        <f t="shared" si="6"/>
        <v>0.9155445508658886</v>
      </c>
      <c r="CS16" s="197">
        <f t="shared" si="3"/>
        <v>77.514234640521551</v>
      </c>
      <c r="CT16" s="16">
        <f t="shared" si="4"/>
        <v>-999</v>
      </c>
      <c r="CU16" s="16">
        <f t="shared" si="5"/>
        <v>-999</v>
      </c>
      <c r="CV16" s="16" t="e">
        <f>IF(AND($CD$6,$CF$1,$CW$12,$BZ$2&gt;1,OR(BY16+CB16&lt;BY15,BY16-CB16&gt;BY15)),BY16,NA())</f>
        <v>#N/A</v>
      </c>
      <c r="CW16" s="197" t="e">
        <f t="shared" ref="CW16:CW39" si="17">IF(ISNA(CV16),NA(),BY16-CB16)</f>
        <v>#N/A</v>
      </c>
      <c r="CX16" s="16" t="e">
        <f t="shared" ref="CX16:CX39" si="18">IF(ISNA(CV16),NA(),BY16+CB16)</f>
        <v>#N/A</v>
      </c>
      <c r="CY16" s="197" t="e">
        <f t="shared" si="10"/>
        <v>#N/A</v>
      </c>
      <c r="CZ16" s="16">
        <f>CZ15+1</f>
        <v>1</v>
      </c>
      <c r="DA16" s="16">
        <f>DA15+1</f>
        <v>2</v>
      </c>
      <c r="DC16" s="16" t="e">
        <f>IF(ISNA(CY22),NA(),CY22)</f>
        <v>#N/A</v>
      </c>
      <c r="DD16" s="16">
        <f>CZ23</f>
        <v>8</v>
      </c>
      <c r="DF16" s="16" t="e">
        <f>CW30</f>
        <v>#N/A</v>
      </c>
      <c r="DG16" s="16">
        <f>DA30</f>
        <v>16</v>
      </c>
    </row>
    <row r="17" spans="1:111" ht="12" customHeight="1">
      <c r="A17" s="211"/>
      <c r="B17" s="211"/>
      <c r="C17" s="211"/>
      <c r="D17" s="211"/>
      <c r="E17" s="211"/>
      <c r="F17" s="211"/>
      <c r="G17" s="211"/>
      <c r="H17" s="211"/>
      <c r="I17" s="211"/>
      <c r="J17" s="211"/>
      <c r="K17" s="211"/>
      <c r="L17" s="211"/>
      <c r="M17" s="211"/>
      <c r="N17" s="211"/>
      <c r="O17" s="211"/>
      <c r="P17" s="136">
        <f ca="1">RAND()</f>
        <v>0.5649815638306166</v>
      </c>
      <c r="S17" s="330"/>
      <c r="T17" s="331"/>
      <c r="U17" s="331"/>
      <c r="V17" s="331"/>
      <c r="W17" s="243" t="s">
        <v>213</v>
      </c>
      <c r="X17" s="544" t="str">
        <f>IF(AND(Q14,$CB$7,$CD$6,M4&lt;&gt;""),BY14,"")</f>
        <v/>
      </c>
      <c r="Y17" s="331"/>
      <c r="Z17" s="243" t="s">
        <v>226</v>
      </c>
      <c r="AA17" s="331"/>
      <c r="AB17" s="331"/>
      <c r="AC17" s="331"/>
      <c r="AD17" s="331"/>
      <c r="AE17" s="331"/>
      <c r="AF17" s="331"/>
      <c r="AG17" s="331"/>
      <c r="AH17" s="331"/>
      <c r="AI17" s="245"/>
      <c r="AJ17" s="323">
        <f t="shared" ref="AJ17:AJ37" si="19">$AJ$1</f>
        <v>2.3748600000000002E-4</v>
      </c>
      <c r="AK17" s="25"/>
      <c r="AR17" s="197"/>
      <c r="AV17" s="180">
        <f t="shared" si="2"/>
        <v>2.3748600000000002E-4</v>
      </c>
      <c r="AW17" s="277"/>
      <c r="AX17" s="277"/>
      <c r="AY17" s="277"/>
      <c r="AZ17" s="277"/>
      <c r="BI17" s="201"/>
      <c r="BJ17" s="201" t="s">
        <v>1089</v>
      </c>
      <c r="BY17" s="16">
        <f t="shared" si="11"/>
        <v>-999</v>
      </c>
      <c r="BZ17" s="16">
        <f t="shared" si="7"/>
        <v>-999</v>
      </c>
      <c r="CA17" s="197" t="str">
        <f t="shared" si="8"/>
        <v/>
      </c>
      <c r="CB17" s="197" t="e">
        <f t="shared" si="9"/>
        <v>#N/A</v>
      </c>
      <c r="CC17" s="16" t="e">
        <f t="shared" si="12"/>
        <v>#N/A</v>
      </c>
      <c r="CD17" s="16" t="e">
        <f t="shared" si="13"/>
        <v>#N/A</v>
      </c>
      <c r="CE17" s="16" t="e">
        <f t="shared" si="14"/>
        <v>#N/A</v>
      </c>
      <c r="CF17" s="16" t="e">
        <f t="shared" si="15"/>
        <v>#N/A</v>
      </c>
      <c r="CG17" s="16">
        <f t="shared" si="16"/>
        <v>0</v>
      </c>
      <c r="CH17" s="16">
        <v>3</v>
      </c>
      <c r="CQ17" s="196">
        <v>16</v>
      </c>
      <c r="CR17" s="34">
        <f t="shared" si="6"/>
        <v>0.41073804721236229</v>
      </c>
      <c r="CS17" s="197">
        <f t="shared" si="3"/>
        <v>45.487062871908456</v>
      </c>
      <c r="CT17" s="16">
        <f t="shared" si="4"/>
        <v>-999</v>
      </c>
      <c r="CU17" s="16">
        <f t="shared" si="5"/>
        <v>-999</v>
      </c>
      <c r="CV17" s="16" t="e">
        <f t="shared" ref="CV17:CV39" si="20">IF(AND($CD$6,$CF$1,$CW$12,$BZ$2&gt;1,OR(BY17+CB17&lt;BY16,BY17-CB17&gt;BY16)),BY17,NA())</f>
        <v>#N/A</v>
      </c>
      <c r="CW17" s="197" t="e">
        <f t="shared" si="17"/>
        <v>#N/A</v>
      </c>
      <c r="CX17" s="16" t="e">
        <f t="shared" si="18"/>
        <v>#N/A</v>
      </c>
      <c r="CY17" s="197" t="e">
        <f t="shared" si="10"/>
        <v>#N/A</v>
      </c>
      <c r="CZ17" s="16">
        <f t="shared" ref="CZ17:CZ39" si="21">CZ16+1</f>
        <v>2</v>
      </c>
      <c r="DA17" s="16">
        <f t="shared" ref="DA17:DA39" si="22">DA16+1</f>
        <v>3</v>
      </c>
      <c r="DB17" s="16">
        <v>9</v>
      </c>
      <c r="DC17" s="16" t="e">
        <f>IF(ISNA(CY23),NA(),IF(CY23&lt;CW24,CW24,CX24))</f>
        <v>#N/A</v>
      </c>
      <c r="DD17" s="16">
        <f>DA24</f>
        <v>10</v>
      </c>
      <c r="DF17" s="16" t="e">
        <f>CY29</f>
        <v>#N/A</v>
      </c>
      <c r="DG17" s="16">
        <f>CZ30</f>
        <v>15</v>
      </c>
    </row>
    <row r="18" spans="1:111" ht="12" customHeight="1">
      <c r="A18" s="211"/>
      <c r="B18" s="211"/>
      <c r="C18" s="211"/>
      <c r="D18" s="211"/>
      <c r="E18" s="211"/>
      <c r="F18" s="211"/>
      <c r="G18" s="211"/>
      <c r="H18" s="211"/>
      <c r="I18" s="211"/>
      <c r="J18" s="211"/>
      <c r="K18" s="211"/>
      <c r="L18" s="211"/>
      <c r="M18" s="211"/>
      <c r="N18" s="211"/>
      <c r="O18" s="211"/>
      <c r="P18" s="502">
        <v>0.79871907868903769</v>
      </c>
      <c r="S18" s="547" t="s">
        <v>1045</v>
      </c>
      <c r="T18" s="242">
        <v>20</v>
      </c>
      <c r="U18" s="331"/>
      <c r="V18" s="331"/>
      <c r="W18" s="243" t="s">
        <v>214</v>
      </c>
      <c r="X18" s="508" t="str">
        <f>IF(AND(Q14,CD6,$CB$7,$T$18&gt;1,N4&lt;&gt;""),BZ14,"")</f>
        <v/>
      </c>
      <c r="Y18" s="331"/>
      <c r="Z18" s="30">
        <f>IF(AND($CB$7,O4&lt;&gt;""),O4,"")</f>
        <v>0</v>
      </c>
      <c r="AA18" s="331"/>
      <c r="AB18" s="331"/>
      <c r="AC18" s="331" t="s">
        <v>205</v>
      </c>
      <c r="AD18" s="331"/>
      <c r="AE18" s="331"/>
      <c r="AF18" s="331"/>
      <c r="AG18" s="331"/>
      <c r="AH18" s="505"/>
      <c r="AI18" s="545"/>
      <c r="AJ18" s="323">
        <f t="shared" si="19"/>
        <v>2.3748600000000002E-4</v>
      </c>
      <c r="AR18" s="197"/>
      <c r="AV18" s="180">
        <f t="shared" si="2"/>
        <v>2.3748600000000002E-4</v>
      </c>
      <c r="AW18" s="277"/>
      <c r="AX18" s="277"/>
      <c r="AY18" s="277"/>
      <c r="AZ18" s="277"/>
      <c r="BI18" s="185" t="s">
        <v>640</v>
      </c>
      <c r="BJ18" s="201"/>
      <c r="BW18" s="16">
        <f>(BW40-BX13)/BX12</f>
        <v>1.1437330242076724</v>
      </c>
      <c r="BY18" s="16">
        <f t="shared" si="11"/>
        <v>-999</v>
      </c>
      <c r="BZ18" s="16">
        <f t="shared" si="7"/>
        <v>-999</v>
      </c>
      <c r="CA18" s="197" t="str">
        <f t="shared" si="8"/>
        <v/>
      </c>
      <c r="CB18" s="197" t="e">
        <f t="shared" si="9"/>
        <v>#N/A</v>
      </c>
      <c r="CC18" s="16" t="e">
        <f t="shared" si="12"/>
        <v>#N/A</v>
      </c>
      <c r="CD18" s="16" t="e">
        <f t="shared" si="13"/>
        <v>#N/A</v>
      </c>
      <c r="CE18" s="16" t="e">
        <f t="shared" si="14"/>
        <v>#N/A</v>
      </c>
      <c r="CF18" s="16" t="e">
        <f t="shared" si="15"/>
        <v>#N/A</v>
      </c>
      <c r="CG18" s="16">
        <f t="shared" si="16"/>
        <v>0</v>
      </c>
      <c r="CH18" s="16">
        <v>4</v>
      </c>
      <c r="CQ18" s="196">
        <v>17</v>
      </c>
      <c r="CR18" s="34">
        <f t="shared" si="6"/>
        <v>0.81171823665499687</v>
      </c>
      <c r="CS18" s="197">
        <f t="shared" si="3"/>
        <v>67.684916473694599</v>
      </c>
      <c r="CT18" s="16">
        <f t="shared" si="4"/>
        <v>-999</v>
      </c>
      <c r="CU18" s="16">
        <f t="shared" si="5"/>
        <v>-999</v>
      </c>
      <c r="CV18" s="16" t="e">
        <f t="shared" si="20"/>
        <v>#N/A</v>
      </c>
      <c r="CW18" s="197" t="e">
        <f t="shared" si="17"/>
        <v>#N/A</v>
      </c>
      <c r="CX18" s="16" t="e">
        <f t="shared" si="18"/>
        <v>#N/A</v>
      </c>
      <c r="CY18" s="197" t="e">
        <f t="shared" si="10"/>
        <v>#N/A</v>
      </c>
      <c r="CZ18" s="16">
        <f t="shared" si="21"/>
        <v>3</v>
      </c>
      <c r="DA18" s="16">
        <f t="shared" si="22"/>
        <v>4</v>
      </c>
      <c r="DC18" s="16" t="e">
        <f>IF(ISNA(CY23),NA(),CY23)</f>
        <v>#N/A</v>
      </c>
      <c r="DD18" s="16">
        <f>CZ24</f>
        <v>9</v>
      </c>
    </row>
    <row r="19" spans="1:111" ht="12" customHeight="1">
      <c r="A19" s="211"/>
      <c r="B19" s="211"/>
      <c r="C19" s="211"/>
      <c r="D19" s="211"/>
      <c r="E19" s="211"/>
      <c r="F19" s="211"/>
      <c r="G19" s="211"/>
      <c r="H19" s="211"/>
      <c r="I19" s="211"/>
      <c r="J19" s="211"/>
      <c r="K19" s="211"/>
      <c r="L19" s="211"/>
      <c r="M19" s="211"/>
      <c r="N19" s="211"/>
      <c r="O19" s="211"/>
      <c r="P19" s="289" t="s">
        <v>1085</v>
      </c>
      <c r="S19" s="506"/>
      <c r="T19" s="505"/>
      <c r="U19" s="507"/>
      <c r="V19" s="507"/>
      <c r="W19" s="243" t="s">
        <v>219</v>
      </c>
      <c r="X19" s="30" t="str">
        <f>IF(AND(Q14,CD6,NOT(CD1),NOT(ISNA(CB15))),CB15,"")</f>
        <v/>
      </c>
      <c r="Y19" s="331"/>
      <c r="Z19" s="553"/>
      <c r="AA19" s="331"/>
      <c r="AB19" s="331"/>
      <c r="AC19" s="331"/>
      <c r="AD19" s="331"/>
      <c r="AE19" s="331" t="s">
        <v>1319</v>
      </c>
      <c r="AF19" s="331"/>
      <c r="AG19" s="331"/>
      <c r="AH19" s="553"/>
      <c r="AI19" s="245"/>
      <c r="AJ19" s="323">
        <f t="shared" si="19"/>
        <v>2.3748600000000002E-4</v>
      </c>
      <c r="AR19" s="197"/>
      <c r="AV19" s="180">
        <f t="shared" si="2"/>
        <v>2.3748600000000002E-4</v>
      </c>
      <c r="AW19" s="277"/>
      <c r="AX19" s="277"/>
      <c r="AY19" s="277"/>
      <c r="AZ19" s="277"/>
      <c r="BI19" s="511">
        <v>305</v>
      </c>
      <c r="BJ19" s="201"/>
      <c r="BK19" s="16">
        <v>305</v>
      </c>
      <c r="BY19" s="16">
        <f t="shared" si="11"/>
        <v>-999</v>
      </c>
      <c r="BZ19" s="16">
        <f t="shared" si="7"/>
        <v>-999</v>
      </c>
      <c r="CA19" s="197" t="str">
        <f t="shared" si="8"/>
        <v/>
      </c>
      <c r="CB19" s="197" t="e">
        <f t="shared" si="9"/>
        <v>#N/A</v>
      </c>
      <c r="CC19" s="16" t="e">
        <f t="shared" si="12"/>
        <v>#N/A</v>
      </c>
      <c r="CD19" s="16" t="e">
        <f t="shared" si="13"/>
        <v>#N/A</v>
      </c>
      <c r="CE19" s="16" t="e">
        <f t="shared" si="14"/>
        <v>#N/A</v>
      </c>
      <c r="CF19" s="16" t="e">
        <f t="shared" si="15"/>
        <v>#N/A</v>
      </c>
      <c r="CG19" s="16">
        <f t="shared" si="16"/>
        <v>0</v>
      </c>
      <c r="CH19" s="16">
        <v>5</v>
      </c>
      <c r="CQ19" s="196">
        <v>18</v>
      </c>
      <c r="CR19" s="34">
        <f t="shared" si="6"/>
        <v>0.91888704523444176</v>
      </c>
      <c r="CS19" s="197">
        <f t="shared" si="3"/>
        <v>77.952486514868923</v>
      </c>
      <c r="CT19" s="16">
        <f t="shared" si="4"/>
        <v>-999</v>
      </c>
      <c r="CU19" s="16">
        <f t="shared" si="5"/>
        <v>-999</v>
      </c>
      <c r="CV19" s="16" t="e">
        <f t="shared" si="20"/>
        <v>#N/A</v>
      </c>
      <c r="CW19" s="197" t="e">
        <f t="shared" si="17"/>
        <v>#N/A</v>
      </c>
      <c r="CX19" s="16" t="e">
        <f t="shared" si="18"/>
        <v>#N/A</v>
      </c>
      <c r="CY19" s="197" t="e">
        <f t="shared" si="10"/>
        <v>#N/A</v>
      </c>
      <c r="CZ19" s="16">
        <f t="shared" si="21"/>
        <v>4</v>
      </c>
      <c r="DA19" s="16">
        <f t="shared" si="22"/>
        <v>5</v>
      </c>
      <c r="DB19" s="16">
        <v>10</v>
      </c>
      <c r="DC19" s="16" t="e">
        <f>IF(ISNA(CY24),NA(),IF(CY24&lt;CW25,CW25,CX25))</f>
        <v>#N/A</v>
      </c>
      <c r="DD19" s="16">
        <f>DA25</f>
        <v>11</v>
      </c>
      <c r="DF19" s="16" t="e">
        <f>CX31</f>
        <v>#N/A</v>
      </c>
      <c r="DG19" s="16">
        <f>DA31</f>
        <v>17</v>
      </c>
    </row>
    <row r="20" spans="1:111" ht="12" customHeight="1">
      <c r="A20" s="211"/>
      <c r="B20" s="211"/>
      <c r="C20" s="211"/>
      <c r="D20" s="211"/>
      <c r="E20" s="211"/>
      <c r="F20" s="211"/>
      <c r="G20" s="211"/>
      <c r="H20" s="211"/>
      <c r="I20" s="211"/>
      <c r="J20" s="211"/>
      <c r="K20" s="211"/>
      <c r="L20" s="211"/>
      <c r="M20" s="211"/>
      <c r="N20" s="211"/>
      <c r="O20" s="211"/>
      <c r="P20" s="211">
        <v>0</v>
      </c>
      <c r="S20" s="333"/>
      <c r="T20" s="334"/>
      <c r="U20" s="334"/>
      <c r="V20" s="334"/>
      <c r="W20" s="334"/>
      <c r="X20" s="334"/>
      <c r="Y20" s="334"/>
      <c r="Z20" s="334"/>
      <c r="AA20" s="334"/>
      <c r="AB20" s="334"/>
      <c r="AC20" s="334"/>
      <c r="AD20" s="334"/>
      <c r="AE20" s="334" t="s">
        <v>1317</v>
      </c>
      <c r="AF20" s="334"/>
      <c r="AG20" s="334"/>
      <c r="AH20" s="334"/>
      <c r="AI20" s="335"/>
      <c r="AJ20" s="323">
        <f t="shared" si="19"/>
        <v>2.3748600000000002E-4</v>
      </c>
      <c r="AR20" s="197"/>
      <c r="AV20" s="180">
        <f t="shared" si="2"/>
        <v>2.3748600000000002E-4</v>
      </c>
      <c r="AW20" s="277"/>
      <c r="AX20" s="277"/>
      <c r="AY20" s="277"/>
      <c r="AZ20" s="277"/>
      <c r="BY20" s="16">
        <f t="shared" si="11"/>
        <v>-999</v>
      </c>
      <c r="BZ20" s="16">
        <f t="shared" si="7"/>
        <v>-999</v>
      </c>
      <c r="CA20" s="197" t="str">
        <f t="shared" si="8"/>
        <v/>
      </c>
      <c r="CB20" s="197" t="e">
        <f t="shared" si="9"/>
        <v>#N/A</v>
      </c>
      <c r="CC20" s="16" t="e">
        <f t="shared" si="12"/>
        <v>#N/A</v>
      </c>
      <c r="CD20" s="16" t="e">
        <f t="shared" si="13"/>
        <v>#N/A</v>
      </c>
      <c r="CE20" s="16" t="e">
        <f t="shared" si="14"/>
        <v>#N/A</v>
      </c>
      <c r="CF20" s="16" t="e">
        <f t="shared" si="15"/>
        <v>#N/A</v>
      </c>
      <c r="CG20" s="16">
        <f t="shared" si="16"/>
        <v>0</v>
      </c>
      <c r="CH20" s="16">
        <v>6</v>
      </c>
      <c r="CQ20" s="196">
        <v>19</v>
      </c>
      <c r="CR20" s="34">
        <f t="shared" si="6"/>
        <v>0.39787600561976433</v>
      </c>
      <c r="CS20" s="197">
        <f t="shared" si="3"/>
        <v>44.823026787532498</v>
      </c>
      <c r="CT20" s="16">
        <f t="shared" si="4"/>
        <v>-999</v>
      </c>
      <c r="CU20" s="16">
        <f t="shared" si="5"/>
        <v>-999</v>
      </c>
      <c r="CV20" s="16" t="e">
        <f t="shared" si="20"/>
        <v>#N/A</v>
      </c>
      <c r="CW20" s="197" t="e">
        <f t="shared" si="17"/>
        <v>#N/A</v>
      </c>
      <c r="CX20" s="16" t="e">
        <f t="shared" si="18"/>
        <v>#N/A</v>
      </c>
      <c r="CY20" s="197" t="e">
        <f t="shared" si="10"/>
        <v>#N/A</v>
      </c>
      <c r="CZ20" s="16">
        <f t="shared" si="21"/>
        <v>5</v>
      </c>
      <c r="DA20" s="16">
        <f t="shared" si="22"/>
        <v>6</v>
      </c>
      <c r="DC20" s="16" t="e">
        <f>IF(ISNA(CY24),NA(),CY24)</f>
        <v>#N/A</v>
      </c>
      <c r="DD20" s="16">
        <f>CZ25</f>
        <v>10</v>
      </c>
      <c r="DF20" s="16" t="e">
        <f>CY30</f>
        <v>#N/A</v>
      </c>
      <c r="DG20" s="16">
        <f>CZ31</f>
        <v>16</v>
      </c>
    </row>
    <row r="21" spans="1:111" ht="12" customHeight="1">
      <c r="A21" s="211"/>
      <c r="B21" s="211"/>
      <c r="C21" s="211"/>
      <c r="D21" s="211"/>
      <c r="E21" s="211"/>
      <c r="F21" s="211"/>
      <c r="G21" s="211"/>
      <c r="H21" s="211"/>
      <c r="I21" s="211"/>
      <c r="J21" s="211"/>
      <c r="K21" s="211"/>
      <c r="L21" s="211"/>
      <c r="M21" s="211"/>
      <c r="N21" s="211"/>
      <c r="O21" s="211"/>
      <c r="P21" s="16">
        <f>P20+1</f>
        <v>1</v>
      </c>
      <c r="S21" s="575">
        <v>5</v>
      </c>
      <c r="T21" s="342" t="s">
        <v>1088</v>
      </c>
      <c r="U21" s="343"/>
      <c r="V21" s="343"/>
      <c r="W21" s="343"/>
      <c r="X21" s="343"/>
      <c r="Y21" s="343"/>
      <c r="Z21" s="343"/>
      <c r="AA21" s="343"/>
      <c r="AB21" s="343" t="s">
        <v>1087</v>
      </c>
      <c r="AC21" s="343"/>
      <c r="AD21" s="343"/>
      <c r="AE21" s="343"/>
      <c r="AF21" s="343"/>
      <c r="AG21" s="343"/>
      <c r="AH21" s="343"/>
      <c r="AI21" s="569"/>
      <c r="AJ21" s="323">
        <f t="shared" si="19"/>
        <v>2.3748600000000002E-4</v>
      </c>
      <c r="AR21" s="197"/>
      <c r="AV21" s="180">
        <f t="shared" si="2"/>
        <v>2.3748600000000002E-4</v>
      </c>
      <c r="AW21" s="277"/>
      <c r="AX21" s="277"/>
      <c r="AY21" s="277"/>
      <c r="AZ21" s="277"/>
      <c r="BI21" s="185" t="s">
        <v>639</v>
      </c>
      <c r="BJ21" s="201"/>
      <c r="BY21" s="16">
        <f t="shared" si="11"/>
        <v>-999</v>
      </c>
      <c r="BZ21" s="16">
        <f t="shared" si="7"/>
        <v>-999</v>
      </c>
      <c r="CA21" s="197" t="str">
        <f t="shared" si="8"/>
        <v/>
      </c>
      <c r="CB21" s="197" t="e">
        <f t="shared" si="9"/>
        <v>#N/A</v>
      </c>
      <c r="CC21" s="16" t="e">
        <f t="shared" si="12"/>
        <v>#N/A</v>
      </c>
      <c r="CD21" s="16" t="e">
        <f t="shared" si="13"/>
        <v>#N/A</v>
      </c>
      <c r="CE21" s="16" t="e">
        <f t="shared" si="14"/>
        <v>#N/A</v>
      </c>
      <c r="CF21" s="16" t="e">
        <f t="shared" si="15"/>
        <v>#N/A</v>
      </c>
      <c r="CG21" s="16">
        <f t="shared" si="16"/>
        <v>0</v>
      </c>
      <c r="CH21" s="16">
        <v>7</v>
      </c>
      <c r="CQ21" s="196">
        <v>20</v>
      </c>
      <c r="CR21" s="34">
        <f t="shared" si="6"/>
        <v>0.22858571633696556</v>
      </c>
      <c r="CS21" s="197">
        <f t="shared" si="3"/>
        <v>35.129749212942727</v>
      </c>
      <c r="CT21" s="16">
        <f t="shared" si="4"/>
        <v>-999</v>
      </c>
      <c r="CU21" s="16">
        <f t="shared" si="5"/>
        <v>-999</v>
      </c>
      <c r="CV21" s="16" t="e">
        <f t="shared" si="20"/>
        <v>#N/A</v>
      </c>
      <c r="CW21" s="197" t="e">
        <f t="shared" si="17"/>
        <v>#N/A</v>
      </c>
      <c r="CX21" s="16" t="e">
        <f t="shared" si="18"/>
        <v>#N/A</v>
      </c>
      <c r="CY21" s="197" t="e">
        <f t="shared" si="10"/>
        <v>#N/A</v>
      </c>
      <c r="CZ21" s="16">
        <f t="shared" si="21"/>
        <v>6</v>
      </c>
      <c r="DA21" s="16">
        <f t="shared" si="22"/>
        <v>7</v>
      </c>
      <c r="DB21" s="16">
        <v>11</v>
      </c>
      <c r="DC21" s="16" t="e">
        <f>IF(ISNA(CY25),NA(),IF(CY25&lt;CW26,CW26,CX26))</f>
        <v>#N/A</v>
      </c>
      <c r="DD21" s="16">
        <f>DA26</f>
        <v>12</v>
      </c>
    </row>
    <row r="22" spans="1:111" ht="12" customHeight="1">
      <c r="A22" s="211"/>
      <c r="B22" s="211"/>
      <c r="C22" s="211"/>
      <c r="D22" s="211"/>
      <c r="E22" s="211"/>
      <c r="F22" s="211"/>
      <c r="G22" s="211"/>
      <c r="H22" s="211"/>
      <c r="I22" s="211"/>
      <c r="J22" s="211"/>
      <c r="K22" s="211"/>
      <c r="L22" s="211"/>
      <c r="M22" s="211"/>
      <c r="N22" s="211"/>
      <c r="O22" s="211"/>
      <c r="P22" s="509" t="s">
        <v>1086</v>
      </c>
      <c r="Q22" s="199"/>
      <c r="S22" s="345"/>
      <c r="T22" s="346"/>
      <c r="U22" s="346"/>
      <c r="V22" s="346"/>
      <c r="W22" s="346"/>
      <c r="X22" s="548" t="s">
        <v>260</v>
      </c>
      <c r="Y22" s="30" t="str">
        <f>IF(CD1,IF(AND(CK103&lt;&gt;"",CB7),CK103,""),"")</f>
        <v/>
      </c>
      <c r="Z22" s="346"/>
      <c r="AA22" s="346"/>
      <c r="AB22" s="346"/>
      <c r="AC22" s="566" t="s">
        <v>217</v>
      </c>
      <c r="AD22" s="346"/>
      <c r="AE22" s="346"/>
      <c r="AF22" s="346"/>
      <c r="AG22" s="346"/>
      <c r="AH22" s="346"/>
      <c r="AI22" s="347"/>
      <c r="AJ22" s="323">
        <f t="shared" si="19"/>
        <v>2.3748600000000002E-4</v>
      </c>
      <c r="AK22" s="30"/>
      <c r="AR22" s="197"/>
      <c r="AV22" s="180">
        <f t="shared" si="2"/>
        <v>2.3748600000000002E-4</v>
      </c>
      <c r="AW22" s="277"/>
      <c r="AX22" s="277"/>
      <c r="AY22" s="277"/>
      <c r="AZ22" s="277"/>
      <c r="BI22" s="289">
        <v>688</v>
      </c>
      <c r="BK22" s="16">
        <v>688</v>
      </c>
      <c r="BY22" s="16">
        <f t="shared" si="11"/>
        <v>-999</v>
      </c>
      <c r="BZ22" s="16">
        <f t="shared" si="7"/>
        <v>-999</v>
      </c>
      <c r="CA22" s="197" t="str">
        <f t="shared" si="8"/>
        <v/>
      </c>
      <c r="CB22" s="197" t="e">
        <f t="shared" si="9"/>
        <v>#N/A</v>
      </c>
      <c r="CC22" s="16" t="e">
        <f t="shared" si="12"/>
        <v>#N/A</v>
      </c>
      <c r="CD22" s="16" t="e">
        <f t="shared" si="13"/>
        <v>#N/A</v>
      </c>
      <c r="CE22" s="16" t="e">
        <f t="shared" si="14"/>
        <v>#N/A</v>
      </c>
      <c r="CF22" s="16" t="e">
        <f t="shared" si="15"/>
        <v>#N/A</v>
      </c>
      <c r="CG22" s="16">
        <f t="shared" si="16"/>
        <v>0</v>
      </c>
      <c r="CH22" s="16">
        <v>8</v>
      </c>
      <c r="CQ22" s="196">
        <v>21</v>
      </c>
      <c r="CR22" s="34">
        <f t="shared" si="6"/>
        <v>0.13498396798968315</v>
      </c>
      <c r="CS22" s="197" t="str">
        <f t="shared" si="3"/>
        <v/>
      </c>
      <c r="CT22" s="16">
        <f t="shared" si="4"/>
        <v>-999</v>
      </c>
      <c r="CU22" s="16">
        <f t="shared" si="5"/>
        <v>-999</v>
      </c>
      <c r="CV22" s="16" t="e">
        <f t="shared" si="20"/>
        <v>#N/A</v>
      </c>
      <c r="CW22" s="197" t="e">
        <f t="shared" si="17"/>
        <v>#N/A</v>
      </c>
      <c r="CX22" s="16" t="e">
        <f t="shared" si="18"/>
        <v>#N/A</v>
      </c>
      <c r="CY22" s="197" t="e">
        <f t="shared" si="10"/>
        <v>#N/A</v>
      </c>
      <c r="CZ22" s="16">
        <f t="shared" si="21"/>
        <v>7</v>
      </c>
      <c r="DA22" s="16">
        <f t="shared" si="22"/>
        <v>8</v>
      </c>
      <c r="DC22" s="16" t="e">
        <f>IF(ISNA(CY25),NA(),CY25)</f>
        <v>#N/A</v>
      </c>
      <c r="DD22" s="16">
        <f>CZ26</f>
        <v>11</v>
      </c>
      <c r="DF22" s="16" t="e">
        <f>CW35</f>
        <v>#N/A</v>
      </c>
      <c r="DG22" s="16">
        <f>DA35</f>
        <v>21</v>
      </c>
    </row>
    <row r="23" spans="1:111" ht="12" customHeight="1">
      <c r="A23" s="211"/>
      <c r="B23" s="211"/>
      <c r="C23" s="211"/>
      <c r="D23" s="211"/>
      <c r="E23" s="211"/>
      <c r="F23" s="211"/>
      <c r="G23" s="211"/>
      <c r="H23" s="211"/>
      <c r="I23" s="211"/>
      <c r="J23" s="211"/>
      <c r="K23" s="211"/>
      <c r="L23" s="211"/>
      <c r="M23" s="252"/>
      <c r="N23" s="211"/>
      <c r="O23" s="211"/>
      <c r="P23" s="222">
        <f>BI19/500</f>
        <v>0.61</v>
      </c>
      <c r="Q23" s="192" t="s">
        <v>640</v>
      </c>
      <c r="S23" s="345"/>
      <c r="T23" s="346"/>
      <c r="U23" s="346"/>
      <c r="V23" s="550"/>
      <c r="W23" s="346"/>
      <c r="X23" s="548" t="s">
        <v>1090</v>
      </c>
      <c r="Y23" s="510" t="str">
        <f>IF(CD3,$CD$7,"")</f>
        <v/>
      </c>
      <c r="Z23" s="548"/>
      <c r="AA23" s="346"/>
      <c r="AB23" s="346"/>
      <c r="AC23" s="346" t="s">
        <v>236</v>
      </c>
      <c r="AD23" s="346"/>
      <c r="AE23" s="346"/>
      <c r="AF23" s="346"/>
      <c r="AG23" s="346"/>
      <c r="AH23" s="346"/>
      <c r="AI23" s="347"/>
      <c r="AJ23" s="323">
        <f t="shared" si="19"/>
        <v>2.3748600000000002E-4</v>
      </c>
      <c r="AR23" s="197"/>
      <c r="AV23" s="180">
        <f t="shared" si="2"/>
        <v>2.3748600000000002E-4</v>
      </c>
      <c r="AW23" s="277"/>
      <c r="AX23" s="277"/>
      <c r="AY23" s="277"/>
      <c r="AZ23" s="277"/>
      <c r="BY23" s="16">
        <f t="shared" si="11"/>
        <v>-999</v>
      </c>
      <c r="BZ23" s="16">
        <f t="shared" si="7"/>
        <v>-999</v>
      </c>
      <c r="CA23" s="197" t="str">
        <f t="shared" si="8"/>
        <v/>
      </c>
      <c r="CB23" s="197" t="e">
        <f t="shared" si="9"/>
        <v>#N/A</v>
      </c>
      <c r="CC23" s="16" t="e">
        <f t="shared" si="12"/>
        <v>#N/A</v>
      </c>
      <c r="CD23" s="16" t="e">
        <f t="shared" si="13"/>
        <v>#N/A</v>
      </c>
      <c r="CE23" s="16" t="e">
        <f t="shared" si="14"/>
        <v>#N/A</v>
      </c>
      <c r="CF23" s="16" t="e">
        <f t="shared" si="15"/>
        <v>#N/A</v>
      </c>
      <c r="CG23" s="16">
        <f t="shared" si="16"/>
        <v>0</v>
      </c>
      <c r="CH23" s="16">
        <v>9</v>
      </c>
      <c r="CQ23" s="196">
        <v>22</v>
      </c>
      <c r="CR23" s="34">
        <f t="shared" si="6"/>
        <v>0.43468841537833214</v>
      </c>
      <c r="CS23" s="197" t="str">
        <f t="shared" si="3"/>
        <v/>
      </c>
      <c r="CT23" s="16">
        <f t="shared" si="4"/>
        <v>-999</v>
      </c>
      <c r="CU23" s="16">
        <f t="shared" si="5"/>
        <v>-999</v>
      </c>
      <c r="CV23" s="16" t="e">
        <f t="shared" si="20"/>
        <v>#N/A</v>
      </c>
      <c r="CW23" s="197" t="e">
        <f t="shared" si="17"/>
        <v>#N/A</v>
      </c>
      <c r="CX23" s="16" t="e">
        <f t="shared" si="18"/>
        <v>#N/A</v>
      </c>
      <c r="CY23" s="197" t="e">
        <f t="shared" si="10"/>
        <v>#N/A</v>
      </c>
      <c r="CZ23" s="16">
        <f t="shared" si="21"/>
        <v>8</v>
      </c>
      <c r="DA23" s="16">
        <f t="shared" si="22"/>
        <v>9</v>
      </c>
      <c r="DB23" s="16">
        <v>12</v>
      </c>
      <c r="DC23" s="16" t="e">
        <f>IF(ISNA(CY26),NA(),IF(CY26&lt;CW27,CW27,CX27))</f>
        <v>#N/A</v>
      </c>
      <c r="DD23" s="16">
        <f>DA27</f>
        <v>13</v>
      </c>
      <c r="DF23" s="16" t="e">
        <f>CY34</f>
        <v>#N/A</v>
      </c>
      <c r="DG23" s="16">
        <f>CZ35</f>
        <v>20</v>
      </c>
    </row>
    <row r="24" spans="1:111" ht="12" customHeight="1">
      <c r="A24" s="211"/>
      <c r="B24" s="211"/>
      <c r="C24" s="211"/>
      <c r="D24" s="211"/>
      <c r="E24" s="211"/>
      <c r="F24" s="211"/>
      <c r="G24" s="211"/>
      <c r="H24" s="211"/>
      <c r="I24" s="211"/>
      <c r="J24" s="211"/>
      <c r="K24" s="211"/>
      <c r="L24" s="211"/>
      <c r="M24" s="211"/>
      <c r="N24" s="211"/>
      <c r="O24" s="211"/>
      <c r="P24" s="231">
        <f>BI22/500</f>
        <v>1.3759999999999999</v>
      </c>
      <c r="Q24" s="262" t="s">
        <v>639</v>
      </c>
      <c r="S24" s="345"/>
      <c r="T24" s="346"/>
      <c r="U24" s="346"/>
      <c r="V24" s="346"/>
      <c r="W24" s="346"/>
      <c r="X24" s="346"/>
      <c r="Y24" s="548" t="s">
        <v>242</v>
      </c>
      <c r="Z24" s="30" t="str">
        <f>IF(CD1,IF($CB$7,CH103,""),"")</f>
        <v/>
      </c>
      <c r="AA24" s="346"/>
      <c r="AB24" s="346"/>
      <c r="AC24" s="346" t="s">
        <v>218</v>
      </c>
      <c r="AD24" s="346"/>
      <c r="AE24" s="346"/>
      <c r="AF24" s="346"/>
      <c r="AG24" s="346"/>
      <c r="AH24" s="346"/>
      <c r="AI24" s="347"/>
      <c r="AJ24" s="323">
        <f t="shared" si="19"/>
        <v>2.3748600000000002E-4</v>
      </c>
      <c r="AV24" s="180">
        <f t="shared" si="2"/>
        <v>2.3748600000000002E-4</v>
      </c>
      <c r="AW24" s="277"/>
      <c r="AX24" s="277"/>
      <c r="AY24" s="277"/>
      <c r="AZ24" s="277"/>
      <c r="BX24" s="512" t="s">
        <v>1071</v>
      </c>
      <c r="BY24" s="16">
        <f t="shared" si="11"/>
        <v>-999</v>
      </c>
      <c r="BZ24" s="16">
        <f t="shared" si="7"/>
        <v>-999</v>
      </c>
      <c r="CA24" s="197" t="str">
        <f t="shared" si="8"/>
        <v/>
      </c>
      <c r="CB24" s="197" t="e">
        <f t="shared" si="9"/>
        <v>#N/A</v>
      </c>
      <c r="CC24" s="16" t="e">
        <f t="shared" si="12"/>
        <v>#N/A</v>
      </c>
      <c r="CD24" s="16" t="e">
        <f t="shared" si="13"/>
        <v>#N/A</v>
      </c>
      <c r="CE24" s="16" t="e">
        <f t="shared" si="14"/>
        <v>#N/A</v>
      </c>
      <c r="CF24" s="16" t="e">
        <f t="shared" si="15"/>
        <v>#N/A</v>
      </c>
      <c r="CG24" s="16">
        <f t="shared" si="16"/>
        <v>0</v>
      </c>
      <c r="CH24" s="16">
        <v>10</v>
      </c>
      <c r="CQ24" s="196">
        <v>23</v>
      </c>
      <c r="CR24" s="34">
        <f t="shared" si="6"/>
        <v>0.80473272129893303</v>
      </c>
      <c r="CS24" s="197" t="str">
        <f t="shared" si="3"/>
        <v/>
      </c>
      <c r="CT24" s="16">
        <f t="shared" si="4"/>
        <v>-999</v>
      </c>
      <c r="CU24" s="16">
        <f t="shared" si="5"/>
        <v>-999</v>
      </c>
      <c r="CV24" s="16" t="e">
        <f t="shared" si="20"/>
        <v>#N/A</v>
      </c>
      <c r="CW24" s="197" t="e">
        <f t="shared" si="17"/>
        <v>#N/A</v>
      </c>
      <c r="CX24" s="16" t="e">
        <f t="shared" si="18"/>
        <v>#N/A</v>
      </c>
      <c r="CY24" s="197" t="e">
        <f t="shared" si="10"/>
        <v>#N/A</v>
      </c>
      <c r="CZ24" s="16">
        <f t="shared" si="21"/>
        <v>9</v>
      </c>
      <c r="DA24" s="16">
        <f t="shared" si="22"/>
        <v>10</v>
      </c>
      <c r="DC24" s="16" t="e">
        <f>IF(ISNA(CY26),NA(),CY26)</f>
        <v>#N/A</v>
      </c>
      <c r="DD24" s="16">
        <f>CZ27</f>
        <v>12</v>
      </c>
    </row>
    <row r="25" spans="1:111" ht="12" customHeight="1">
      <c r="A25" s="211"/>
      <c r="B25" s="211"/>
      <c r="C25" s="211"/>
      <c r="D25" s="211"/>
      <c r="E25" s="211"/>
      <c r="F25" s="211"/>
      <c r="G25" s="211"/>
      <c r="H25" s="211"/>
      <c r="I25" s="211"/>
      <c r="J25" s="211"/>
      <c r="K25" s="211"/>
      <c r="L25" s="211"/>
      <c r="M25" s="211"/>
      <c r="N25" s="211"/>
      <c r="O25" s="211"/>
      <c r="P25" s="187" t="s">
        <v>939</v>
      </c>
      <c r="S25" s="345"/>
      <c r="T25" s="346"/>
      <c r="U25" s="346"/>
      <c r="V25" s="346"/>
      <c r="W25" s="549"/>
      <c r="X25" s="549"/>
      <c r="Y25" s="346"/>
      <c r="Z25" s="554"/>
      <c r="AA25" s="346"/>
      <c r="AB25" s="346"/>
      <c r="AC25" s="346"/>
      <c r="AD25" s="346"/>
      <c r="AE25" s="346"/>
      <c r="AF25" s="346"/>
      <c r="AG25" s="346"/>
      <c r="AH25" s="346"/>
      <c r="AI25" s="347"/>
      <c r="AJ25" s="323">
        <f t="shared" si="19"/>
        <v>2.3748600000000002E-4</v>
      </c>
      <c r="AV25" s="180">
        <f t="shared" si="2"/>
        <v>2.3748600000000002E-4</v>
      </c>
      <c r="AW25" s="277"/>
      <c r="AX25" s="277"/>
      <c r="AY25" s="277"/>
      <c r="AZ25" s="277"/>
      <c r="BW25" s="492" t="s">
        <v>1072</v>
      </c>
      <c r="BX25" s="277">
        <f>Y8/SQRT(1-2/PI())</f>
        <v>33.177934799406124</v>
      </c>
      <c r="BY25" s="16">
        <f t="shared" si="11"/>
        <v>-999</v>
      </c>
      <c r="BZ25" s="16">
        <f t="shared" si="7"/>
        <v>-999</v>
      </c>
      <c r="CA25" s="197" t="str">
        <f t="shared" si="8"/>
        <v/>
      </c>
      <c r="CB25" s="197" t="e">
        <f t="shared" si="9"/>
        <v>#N/A</v>
      </c>
      <c r="CC25" s="16" t="e">
        <f t="shared" si="12"/>
        <v>#N/A</v>
      </c>
      <c r="CD25" s="16" t="e">
        <f t="shared" si="13"/>
        <v>#N/A</v>
      </c>
      <c r="CE25" s="16" t="e">
        <f t="shared" si="14"/>
        <v>#N/A</v>
      </c>
      <c r="CF25" s="16" t="e">
        <f t="shared" si="15"/>
        <v>#N/A</v>
      </c>
      <c r="CG25" s="16">
        <f t="shared" si="16"/>
        <v>0</v>
      </c>
      <c r="CH25" s="16">
        <v>11</v>
      </c>
      <c r="CQ25" s="196">
        <v>24</v>
      </c>
      <c r="CR25" s="34">
        <f t="shared" si="6"/>
        <v>0.67451470717787743</v>
      </c>
      <c r="CS25" s="197" t="str">
        <f t="shared" si="3"/>
        <v/>
      </c>
      <c r="CT25" s="16">
        <f t="shared" si="4"/>
        <v>-999</v>
      </c>
      <c r="CU25" s="16">
        <f t="shared" si="5"/>
        <v>-999</v>
      </c>
      <c r="CV25" s="16" t="e">
        <f t="shared" si="20"/>
        <v>#N/A</v>
      </c>
      <c r="CW25" s="197" t="e">
        <f t="shared" si="17"/>
        <v>#N/A</v>
      </c>
      <c r="CX25" s="16" t="e">
        <f t="shared" si="18"/>
        <v>#N/A</v>
      </c>
      <c r="CY25" s="197" t="e">
        <f t="shared" si="10"/>
        <v>#N/A</v>
      </c>
      <c r="CZ25" s="16">
        <f t="shared" si="21"/>
        <v>10</v>
      </c>
      <c r="DA25" s="16">
        <f t="shared" si="22"/>
        <v>11</v>
      </c>
      <c r="DB25" s="16">
        <v>13</v>
      </c>
      <c r="DC25" s="16" t="e">
        <f>IF(ISNA(CY27),NA(),IF(CY27&lt;CW28,CW28,CX28))</f>
        <v>#N/A</v>
      </c>
      <c r="DD25" s="16">
        <f>DA28</f>
        <v>14</v>
      </c>
      <c r="DF25" s="16" t="e">
        <f>CX36</f>
        <v>#N/A</v>
      </c>
      <c r="DG25" s="16">
        <f>DA36</f>
        <v>22</v>
      </c>
    </row>
    <row r="26" spans="1:111" ht="12" customHeight="1">
      <c r="A26" s="211"/>
      <c r="B26" s="211"/>
      <c r="C26" s="211"/>
      <c r="D26" s="211"/>
      <c r="E26" s="211"/>
      <c r="F26" s="211"/>
      <c r="G26" s="211"/>
      <c r="H26" s="211"/>
      <c r="I26" s="211"/>
      <c r="J26" s="211"/>
      <c r="K26" s="211"/>
      <c r="L26" s="211"/>
      <c r="M26" s="211"/>
      <c r="N26" s="211"/>
      <c r="O26" s="211"/>
      <c r="P26" s="211">
        <v>0</v>
      </c>
      <c r="S26" s="349"/>
      <c r="T26" s="350"/>
      <c r="U26" s="350"/>
      <c r="V26" s="350"/>
      <c r="W26" s="350"/>
      <c r="X26" s="548" t="s">
        <v>219</v>
      </c>
      <c r="Y26" s="30" t="str">
        <f>IF(AND($CD$4,T18&gt;1),$CD$7*NORMSINV(0.5+$Y$28/200),"")</f>
        <v/>
      </c>
      <c r="Z26" s="350"/>
      <c r="AA26" s="350"/>
      <c r="AB26" s="350"/>
      <c r="AC26" s="570" t="s">
        <v>235</v>
      </c>
      <c r="AD26" s="350"/>
      <c r="AE26" s="350"/>
      <c r="AF26" s="350"/>
      <c r="AG26" s="350"/>
      <c r="AH26" s="350"/>
      <c r="AI26" s="351"/>
      <c r="AJ26" s="323">
        <f t="shared" si="19"/>
        <v>2.3748600000000002E-4</v>
      </c>
      <c r="AV26" s="180">
        <f t="shared" si="2"/>
        <v>2.3748600000000002E-4</v>
      </c>
      <c r="AW26" s="277"/>
      <c r="AX26" s="277"/>
      <c r="AY26" s="277"/>
      <c r="AZ26" s="277"/>
      <c r="BW26" s="492" t="s">
        <v>1073</v>
      </c>
      <c r="BX26" s="277">
        <f>BX25*SQRT(2)/SQRT(PI())</f>
        <v>26.472161935770259</v>
      </c>
      <c r="BY26" s="16">
        <f t="shared" si="11"/>
        <v>-999</v>
      </c>
      <c r="BZ26" s="16">
        <f t="shared" si="7"/>
        <v>-999</v>
      </c>
      <c r="CA26" s="197" t="str">
        <f t="shared" si="8"/>
        <v/>
      </c>
      <c r="CB26" s="197" t="e">
        <f t="shared" si="9"/>
        <v>#N/A</v>
      </c>
      <c r="CC26" s="16" t="e">
        <f t="shared" si="12"/>
        <v>#N/A</v>
      </c>
      <c r="CD26" s="16" t="e">
        <f t="shared" si="13"/>
        <v>#N/A</v>
      </c>
      <c r="CE26" s="16" t="e">
        <f t="shared" si="14"/>
        <v>#N/A</v>
      </c>
      <c r="CF26" s="16" t="e">
        <f t="shared" si="15"/>
        <v>#N/A</v>
      </c>
      <c r="CG26" s="16">
        <f t="shared" si="16"/>
        <v>0</v>
      </c>
      <c r="CH26" s="16">
        <v>12</v>
      </c>
      <c r="CQ26" s="196">
        <v>25</v>
      </c>
      <c r="CR26" s="34">
        <f t="shared" si="6"/>
        <v>0.84046996757388115</v>
      </c>
      <c r="CS26" s="197" t="str">
        <f t="shared" si="3"/>
        <v/>
      </c>
      <c r="CT26" s="16">
        <f t="shared" si="4"/>
        <v>-999</v>
      </c>
      <c r="CU26" s="16">
        <f t="shared" si="5"/>
        <v>-999</v>
      </c>
      <c r="CV26" s="16" t="e">
        <f t="shared" si="20"/>
        <v>#N/A</v>
      </c>
      <c r="CW26" s="197" t="e">
        <f t="shared" si="17"/>
        <v>#N/A</v>
      </c>
      <c r="CX26" s="16" t="e">
        <f t="shared" si="18"/>
        <v>#N/A</v>
      </c>
      <c r="CY26" s="197" t="e">
        <f t="shared" si="10"/>
        <v>#N/A</v>
      </c>
      <c r="CZ26" s="16">
        <f t="shared" si="21"/>
        <v>11</v>
      </c>
      <c r="DA26" s="16">
        <f t="shared" si="22"/>
        <v>12</v>
      </c>
      <c r="DC26" s="16" t="e">
        <f>IF(ISNA(CY27),NA(),CY27)</f>
        <v>#N/A</v>
      </c>
      <c r="DD26" s="16">
        <f>CZ28</f>
        <v>13</v>
      </c>
      <c r="DF26" s="16" t="e">
        <f>CY35</f>
        <v>#N/A</v>
      </c>
      <c r="DG26" s="16">
        <f>CZ36</f>
        <v>21</v>
      </c>
    </row>
    <row r="27" spans="1:111" ht="12" customHeight="1">
      <c r="A27" s="211"/>
      <c r="B27" s="211"/>
      <c r="C27" s="211"/>
      <c r="D27" s="211"/>
      <c r="E27" s="211"/>
      <c r="F27" s="211"/>
      <c r="G27" s="211"/>
      <c r="H27" s="211"/>
      <c r="I27" s="211"/>
      <c r="J27" s="211"/>
      <c r="K27" s="211"/>
      <c r="L27" s="211"/>
      <c r="M27" s="211"/>
      <c r="N27" s="211"/>
      <c r="O27" s="211"/>
      <c r="P27" s="16">
        <f>P26+1</f>
        <v>1</v>
      </c>
      <c r="S27" s="576">
        <v>6</v>
      </c>
      <c r="T27" s="568" t="s">
        <v>224</v>
      </c>
      <c r="U27" s="23"/>
      <c r="V27" s="23"/>
      <c r="W27" s="23"/>
      <c r="X27" s="23"/>
      <c r="Y27" s="23"/>
      <c r="Z27" s="23"/>
      <c r="AA27" s="23"/>
      <c r="AB27" s="23"/>
      <c r="AC27" s="23"/>
      <c r="AD27" s="23"/>
      <c r="AE27" s="23"/>
      <c r="AF27" s="23"/>
      <c r="AG27" s="23"/>
      <c r="AH27" s="23"/>
      <c r="AI27" s="24"/>
      <c r="AJ27" s="323">
        <f t="shared" si="19"/>
        <v>2.3748600000000002E-4</v>
      </c>
      <c r="AV27" s="180">
        <f t="shared" si="2"/>
        <v>2.3748600000000002E-4</v>
      </c>
      <c r="AW27" s="277"/>
      <c r="AX27" s="277"/>
      <c r="AY27" s="277"/>
      <c r="AZ27" s="277"/>
      <c r="BW27" s="492" t="s">
        <v>1074</v>
      </c>
      <c r="BX27" s="277">
        <f>Y6-BX26</f>
        <v>23.527838064229741</v>
      </c>
      <c r="BY27" s="16">
        <f t="shared" si="11"/>
        <v>-999</v>
      </c>
      <c r="BZ27" s="16">
        <f t="shared" si="7"/>
        <v>-999</v>
      </c>
      <c r="CA27" s="197" t="str">
        <f t="shared" si="8"/>
        <v/>
      </c>
      <c r="CB27" s="197" t="e">
        <f t="shared" si="9"/>
        <v>#N/A</v>
      </c>
      <c r="CC27" s="16" t="e">
        <f t="shared" si="12"/>
        <v>#N/A</v>
      </c>
      <c r="CD27" s="16" t="e">
        <f t="shared" si="13"/>
        <v>#N/A</v>
      </c>
      <c r="CE27" s="16" t="e">
        <f t="shared" si="14"/>
        <v>#N/A</v>
      </c>
      <c r="CF27" s="16" t="e">
        <f t="shared" si="15"/>
        <v>#N/A</v>
      </c>
      <c r="CG27" s="16">
        <f t="shared" si="16"/>
        <v>0</v>
      </c>
      <c r="CH27" s="16">
        <v>13</v>
      </c>
      <c r="CQ27" s="196">
        <v>26</v>
      </c>
      <c r="CR27" s="34">
        <f t="shared" si="6"/>
        <v>0.60184838995337486</v>
      </c>
      <c r="CS27" s="197" t="str">
        <f t="shared" si="3"/>
        <v/>
      </c>
      <c r="CT27" s="16">
        <f t="shared" si="4"/>
        <v>-999</v>
      </c>
      <c r="CU27" s="16">
        <f t="shared" si="5"/>
        <v>-999</v>
      </c>
      <c r="CV27" s="16" t="e">
        <f t="shared" si="20"/>
        <v>#N/A</v>
      </c>
      <c r="CW27" s="197" t="e">
        <f t="shared" si="17"/>
        <v>#N/A</v>
      </c>
      <c r="CX27" s="16" t="e">
        <f t="shared" si="18"/>
        <v>#N/A</v>
      </c>
      <c r="CY27" s="197" t="e">
        <f t="shared" si="10"/>
        <v>#N/A</v>
      </c>
      <c r="CZ27" s="16">
        <f t="shared" si="21"/>
        <v>12</v>
      </c>
      <c r="DA27" s="16">
        <f t="shared" si="22"/>
        <v>13</v>
      </c>
      <c r="DB27" s="16">
        <v>14</v>
      </c>
      <c r="DC27" s="16" t="e">
        <f>IF(ISNA(CY28),NA(),IF(CY28&lt;CW29,CW29,CX29))</f>
        <v>#N/A</v>
      </c>
      <c r="DD27" s="16">
        <f>DA29</f>
        <v>15</v>
      </c>
    </row>
    <row r="28" spans="1:111" ht="12" customHeight="1">
      <c r="A28" s="211"/>
      <c r="B28" s="211"/>
      <c r="C28" s="211"/>
      <c r="D28" s="211"/>
      <c r="E28" s="211"/>
      <c r="F28" s="211"/>
      <c r="G28" s="211"/>
      <c r="H28" s="211"/>
      <c r="I28" s="211"/>
      <c r="J28" s="211"/>
      <c r="K28" s="211"/>
      <c r="L28" s="211"/>
      <c r="M28" s="211"/>
      <c r="N28" s="211"/>
      <c r="O28" s="211"/>
      <c r="S28" s="513"/>
      <c r="T28" s="514" t="s">
        <v>230</v>
      </c>
      <c r="U28" s="23"/>
      <c r="V28" s="23"/>
      <c r="W28" s="514"/>
      <c r="X28" s="515" t="s">
        <v>1044</v>
      </c>
      <c r="Y28" s="516">
        <v>95</v>
      </c>
      <c r="Z28" s="514"/>
      <c r="AA28" s="514"/>
      <c r="AB28" s="514"/>
      <c r="AC28" s="514" t="s">
        <v>220</v>
      </c>
      <c r="AD28" s="514"/>
      <c r="AE28" s="34"/>
      <c r="AF28" s="34"/>
      <c r="AG28" s="34"/>
      <c r="AH28" s="514"/>
      <c r="AI28" s="579"/>
      <c r="AJ28" s="323">
        <f t="shared" si="19"/>
        <v>2.3748600000000002E-4</v>
      </c>
      <c r="AK28" s="30"/>
      <c r="AV28" s="180">
        <f t="shared" si="2"/>
        <v>2.3748600000000002E-4</v>
      </c>
      <c r="AW28" s="277"/>
      <c r="AX28" s="277"/>
      <c r="AY28" s="277"/>
      <c r="AZ28" s="277"/>
      <c r="BW28" s="517" t="s">
        <v>1024</v>
      </c>
      <c r="BX28" s="277">
        <f>BX25*SQRT(1-2/PI())</f>
        <v>20</v>
      </c>
      <c r="BY28" s="16">
        <f t="shared" si="11"/>
        <v>-999</v>
      </c>
      <c r="BZ28" s="16">
        <f t="shared" si="7"/>
        <v>-999</v>
      </c>
      <c r="CA28" s="197" t="str">
        <f t="shared" si="8"/>
        <v/>
      </c>
      <c r="CB28" s="197" t="e">
        <f t="shared" si="9"/>
        <v>#N/A</v>
      </c>
      <c r="CC28" s="16" t="e">
        <f t="shared" si="12"/>
        <v>#N/A</v>
      </c>
      <c r="CD28" s="16" t="e">
        <f t="shared" si="13"/>
        <v>#N/A</v>
      </c>
      <c r="CE28" s="16" t="e">
        <f t="shared" si="14"/>
        <v>#N/A</v>
      </c>
      <c r="CF28" s="16" t="e">
        <f t="shared" si="15"/>
        <v>#N/A</v>
      </c>
      <c r="CG28" s="16">
        <f t="shared" si="16"/>
        <v>0</v>
      </c>
      <c r="CH28" s="16">
        <v>14</v>
      </c>
      <c r="CQ28" s="196">
        <v>27</v>
      </c>
      <c r="CR28" s="34">
        <f t="shared" si="6"/>
        <v>0.7235628180205822</v>
      </c>
      <c r="CS28" s="197" t="str">
        <f t="shared" si="3"/>
        <v/>
      </c>
      <c r="CT28" s="16">
        <f t="shared" si="4"/>
        <v>-999</v>
      </c>
      <c r="CU28" s="16">
        <f t="shared" si="5"/>
        <v>-999</v>
      </c>
      <c r="CV28" s="16" t="e">
        <f t="shared" si="20"/>
        <v>#N/A</v>
      </c>
      <c r="CW28" s="197" t="e">
        <f t="shared" si="17"/>
        <v>#N/A</v>
      </c>
      <c r="CX28" s="16" t="e">
        <f t="shared" si="18"/>
        <v>#N/A</v>
      </c>
      <c r="CY28" s="197" t="e">
        <f t="shared" si="10"/>
        <v>#N/A</v>
      </c>
      <c r="CZ28" s="16">
        <f t="shared" si="21"/>
        <v>13</v>
      </c>
      <c r="DA28" s="16">
        <f t="shared" si="22"/>
        <v>14</v>
      </c>
      <c r="DC28" s="16" t="e">
        <f>IF(ISNA(CY28),NA(),CY28)</f>
        <v>#N/A</v>
      </c>
      <c r="DD28" s="16">
        <f>CZ29</f>
        <v>14</v>
      </c>
    </row>
    <row r="29" spans="1:111" ht="12" customHeight="1">
      <c r="A29" s="211"/>
      <c r="B29" s="211"/>
      <c r="C29" s="211"/>
      <c r="D29" s="211"/>
      <c r="E29" s="211"/>
      <c r="F29" s="211"/>
      <c r="G29" s="211"/>
      <c r="H29" s="211"/>
      <c r="I29" s="211"/>
      <c r="J29" s="211"/>
      <c r="K29" s="211"/>
      <c r="L29" s="211"/>
      <c r="M29" s="211"/>
      <c r="N29" s="211"/>
      <c r="O29" s="211"/>
      <c r="S29" s="34"/>
      <c r="T29" s="23" t="s">
        <v>231</v>
      </c>
      <c r="U29" s="34"/>
      <c r="V29" s="34" t="s">
        <v>232</v>
      </c>
      <c r="W29" s="34"/>
      <c r="X29" s="34"/>
      <c r="Y29" s="1120"/>
      <c r="Z29" s="34"/>
      <c r="AA29" s="34"/>
      <c r="AB29" s="34"/>
      <c r="AC29" s="34"/>
      <c r="AD29" s="34"/>
      <c r="AE29" s="34"/>
      <c r="AF29" s="34"/>
      <c r="AG29" s="34"/>
      <c r="AH29" s="34"/>
      <c r="AI29" s="579"/>
      <c r="AJ29" s="323">
        <f t="shared" si="19"/>
        <v>2.3748600000000002E-4</v>
      </c>
      <c r="AV29" s="180">
        <f t="shared" si="2"/>
        <v>2.3748600000000002E-4</v>
      </c>
      <c r="AW29" s="277"/>
      <c r="AX29" s="277"/>
      <c r="AY29" s="277"/>
      <c r="AZ29" s="277"/>
      <c r="BY29" s="16">
        <f t="shared" si="11"/>
        <v>-999</v>
      </c>
      <c r="BZ29" s="16">
        <f t="shared" si="7"/>
        <v>-999</v>
      </c>
      <c r="CA29" s="197" t="str">
        <f t="shared" si="8"/>
        <v/>
      </c>
      <c r="CB29" s="197" t="e">
        <f t="shared" si="9"/>
        <v>#N/A</v>
      </c>
      <c r="CC29" s="16" t="e">
        <f t="shared" si="12"/>
        <v>#N/A</v>
      </c>
      <c r="CD29" s="16" t="e">
        <f t="shared" si="13"/>
        <v>#N/A</v>
      </c>
      <c r="CE29" s="16" t="e">
        <f t="shared" si="14"/>
        <v>#N/A</v>
      </c>
      <c r="CF29" s="16" t="e">
        <f t="shared" si="15"/>
        <v>#N/A</v>
      </c>
      <c r="CG29" s="16">
        <f t="shared" si="16"/>
        <v>0</v>
      </c>
      <c r="CH29" s="16">
        <v>15</v>
      </c>
      <c r="CQ29" s="196">
        <v>28</v>
      </c>
      <c r="CR29" s="34">
        <f t="shared" si="6"/>
        <v>0.58652245625853539</v>
      </c>
      <c r="CS29" s="197" t="str">
        <f t="shared" si="3"/>
        <v/>
      </c>
      <c r="CT29" s="16">
        <f t="shared" si="4"/>
        <v>-999</v>
      </c>
      <c r="CU29" s="16">
        <f t="shared" si="5"/>
        <v>-999</v>
      </c>
      <c r="CV29" s="16" t="e">
        <f t="shared" si="20"/>
        <v>#N/A</v>
      </c>
      <c r="CW29" s="197" t="e">
        <f t="shared" si="17"/>
        <v>#N/A</v>
      </c>
      <c r="CX29" s="16" t="e">
        <f t="shared" si="18"/>
        <v>#N/A</v>
      </c>
      <c r="CY29" s="197" t="e">
        <f t="shared" si="10"/>
        <v>#N/A</v>
      </c>
      <c r="CZ29" s="16">
        <f t="shared" si="21"/>
        <v>14</v>
      </c>
      <c r="DA29" s="16">
        <f t="shared" si="22"/>
        <v>15</v>
      </c>
      <c r="DB29" s="16">
        <v>15</v>
      </c>
      <c r="DC29" s="16" t="e">
        <f>IF(ISNA(CY29),NA(),IF(CY29&lt;CW30,CW30,CX30))</f>
        <v>#N/A</v>
      </c>
      <c r="DD29" s="16">
        <f>DA30</f>
        <v>16</v>
      </c>
    </row>
    <row r="30" spans="1:111" ht="12" customHeight="1">
      <c r="A30" s="211"/>
      <c r="B30" s="211"/>
      <c r="C30" s="211"/>
      <c r="D30" s="211"/>
      <c r="E30" s="211"/>
      <c r="F30" s="211"/>
      <c r="G30" s="211"/>
      <c r="H30" s="211"/>
      <c r="I30" s="211"/>
      <c r="J30" s="211"/>
      <c r="K30" s="211"/>
      <c r="L30" s="211"/>
      <c r="M30" s="211"/>
      <c r="N30" s="211"/>
      <c r="O30" s="211"/>
      <c r="S30" s="513"/>
      <c r="T30" s="23"/>
      <c r="U30" s="34"/>
      <c r="V30" s="34"/>
      <c r="W30" s="514"/>
      <c r="X30" s="514"/>
      <c r="Y30" s="1118"/>
      <c r="Z30" s="514"/>
      <c r="AA30" s="34"/>
      <c r="AB30" s="34"/>
      <c r="AC30" s="34"/>
      <c r="AD30" s="514"/>
      <c r="AE30" s="23"/>
      <c r="AF30" s="514"/>
      <c r="AG30" s="514"/>
      <c r="AH30" s="514"/>
      <c r="AI30" s="24"/>
      <c r="AJ30" s="323">
        <f t="shared" si="19"/>
        <v>2.3748600000000002E-4</v>
      </c>
      <c r="AV30" s="180">
        <f t="shared" si="2"/>
        <v>2.3748600000000002E-4</v>
      </c>
      <c r="AW30" s="277"/>
      <c r="AY30" s="277"/>
      <c r="AZ30" s="277"/>
      <c r="BX30" s="17" t="s">
        <v>1309</v>
      </c>
      <c r="BY30" s="16">
        <f t="shared" si="11"/>
        <v>-999</v>
      </c>
      <c r="BZ30" s="16">
        <f t="shared" si="7"/>
        <v>-999</v>
      </c>
      <c r="CA30" s="197" t="str">
        <f t="shared" si="8"/>
        <v/>
      </c>
      <c r="CB30" s="197" t="e">
        <f t="shared" si="9"/>
        <v>#N/A</v>
      </c>
      <c r="CC30" s="16" t="e">
        <f t="shared" si="12"/>
        <v>#N/A</v>
      </c>
      <c r="CD30" s="16" t="e">
        <f t="shared" si="13"/>
        <v>#N/A</v>
      </c>
      <c r="CE30" s="16" t="e">
        <f t="shared" si="14"/>
        <v>#N/A</v>
      </c>
      <c r="CF30" s="16" t="e">
        <f t="shared" si="15"/>
        <v>#N/A</v>
      </c>
      <c r="CG30" s="16">
        <f t="shared" si="16"/>
        <v>0</v>
      </c>
      <c r="CH30" s="16">
        <v>16</v>
      </c>
      <c r="CQ30" s="196">
        <v>29</v>
      </c>
      <c r="CR30" s="34">
        <f t="shared" si="6"/>
        <v>0.18737728521227837</v>
      </c>
      <c r="CS30" s="197" t="str">
        <f t="shared" si="3"/>
        <v/>
      </c>
      <c r="CT30" s="16">
        <f t="shared" si="4"/>
        <v>-999</v>
      </c>
      <c r="CU30" s="16">
        <f t="shared" si="5"/>
        <v>-999</v>
      </c>
      <c r="CV30" s="16" t="e">
        <f t="shared" si="20"/>
        <v>#N/A</v>
      </c>
      <c r="CW30" s="197" t="e">
        <f t="shared" si="17"/>
        <v>#N/A</v>
      </c>
      <c r="CX30" s="16" t="e">
        <f t="shared" si="18"/>
        <v>#N/A</v>
      </c>
      <c r="CY30" s="197" t="e">
        <f t="shared" si="10"/>
        <v>#N/A</v>
      </c>
      <c r="CZ30" s="16">
        <f t="shared" si="21"/>
        <v>15</v>
      </c>
      <c r="DA30" s="16">
        <f t="shared" si="22"/>
        <v>16</v>
      </c>
      <c r="DC30" s="16" t="e">
        <f>IF(ISNA(CY29),NA(),CY29)</f>
        <v>#N/A</v>
      </c>
      <c r="DD30" s="16">
        <f>CZ30</f>
        <v>15</v>
      </c>
    </row>
    <row r="31" spans="1:111" ht="12" customHeight="1">
      <c r="A31" s="211"/>
      <c r="B31" s="211"/>
      <c r="C31" s="211"/>
      <c r="D31" s="211"/>
      <c r="E31" s="211"/>
      <c r="F31" s="211"/>
      <c r="G31" s="211"/>
      <c r="H31" s="211"/>
      <c r="I31" s="211"/>
      <c r="J31" s="211"/>
      <c r="K31" s="211"/>
      <c r="L31" s="211"/>
      <c r="M31" s="211"/>
      <c r="N31" s="211"/>
      <c r="O31" s="211"/>
      <c r="S31" s="577">
        <v>7</v>
      </c>
      <c r="T31" s="560" t="s">
        <v>229</v>
      </c>
      <c r="U31" s="518"/>
      <c r="V31" s="518"/>
      <c r="W31" s="518"/>
      <c r="X31" s="518"/>
      <c r="Y31" s="1119"/>
      <c r="Z31" s="518"/>
      <c r="AA31" s="518"/>
      <c r="AB31" s="518" t="s">
        <v>1179</v>
      </c>
      <c r="AC31" s="518"/>
      <c r="AD31" s="518"/>
      <c r="AE31" s="518"/>
      <c r="AF31" s="518"/>
      <c r="AG31" s="518"/>
      <c r="AH31" s="561"/>
      <c r="AI31" s="562"/>
      <c r="AJ31" s="323">
        <f t="shared" si="19"/>
        <v>2.3748600000000002E-4</v>
      </c>
      <c r="AV31" s="180">
        <f t="shared" si="2"/>
        <v>2.3748600000000002E-4</v>
      </c>
      <c r="AW31" s="277"/>
      <c r="AX31" s="277"/>
      <c r="AY31" s="277"/>
      <c r="AZ31" s="277"/>
      <c r="BD31" s="185"/>
      <c r="BE31" s="185"/>
      <c r="BF31" s="185"/>
      <c r="BG31" s="185"/>
      <c r="BH31" s="185"/>
      <c r="BI31" s="185"/>
      <c r="BJ31" s="185"/>
      <c r="BK31" s="185"/>
      <c r="BL31" s="185"/>
      <c r="BM31" s="185"/>
      <c r="BN31" s="185"/>
      <c r="BO31" s="185"/>
      <c r="BP31" s="185"/>
      <c r="BQ31" s="185"/>
      <c r="BR31" s="185"/>
      <c r="BS31" s="185"/>
      <c r="BT31" s="185"/>
      <c r="BU31" s="185"/>
      <c r="BV31" s="185"/>
      <c r="BW31" s="185" t="s">
        <v>757</v>
      </c>
      <c r="BX31" s="16">
        <f>CW8</f>
        <v>15.358983848622458</v>
      </c>
      <c r="BY31" s="16">
        <f t="shared" si="11"/>
        <v>-999</v>
      </c>
      <c r="BZ31" s="16">
        <f t="shared" si="7"/>
        <v>-999</v>
      </c>
      <c r="CA31" s="197" t="str">
        <f t="shared" si="8"/>
        <v/>
      </c>
      <c r="CB31" s="197" t="e">
        <f t="shared" si="9"/>
        <v>#N/A</v>
      </c>
      <c r="CC31" s="16" t="e">
        <f t="shared" si="12"/>
        <v>#N/A</v>
      </c>
      <c r="CD31" s="16" t="e">
        <f t="shared" si="13"/>
        <v>#N/A</v>
      </c>
      <c r="CE31" s="16" t="e">
        <f t="shared" si="14"/>
        <v>#N/A</v>
      </c>
      <c r="CF31" s="16" t="e">
        <f t="shared" si="15"/>
        <v>#N/A</v>
      </c>
      <c r="CG31" s="16">
        <f t="shared" si="16"/>
        <v>0</v>
      </c>
      <c r="CH31" s="16">
        <v>17</v>
      </c>
      <c r="CQ31" s="196">
        <v>30</v>
      </c>
      <c r="CR31" s="34">
        <f t="shared" si="6"/>
        <v>0.28802749142050743</v>
      </c>
      <c r="CS31" s="197" t="str">
        <f t="shared" si="3"/>
        <v/>
      </c>
      <c r="CT31" s="16">
        <f t="shared" si="4"/>
        <v>-999</v>
      </c>
      <c r="CU31" s="16">
        <f t="shared" si="5"/>
        <v>-999</v>
      </c>
      <c r="CV31" s="16" t="e">
        <f t="shared" si="20"/>
        <v>#N/A</v>
      </c>
      <c r="CW31" s="197" t="e">
        <f t="shared" si="17"/>
        <v>#N/A</v>
      </c>
      <c r="CX31" s="16" t="e">
        <f t="shared" si="18"/>
        <v>#N/A</v>
      </c>
      <c r="CY31" s="197" t="e">
        <f t="shared" si="10"/>
        <v>#N/A</v>
      </c>
      <c r="CZ31" s="16">
        <f t="shared" si="21"/>
        <v>16</v>
      </c>
      <c r="DA31" s="16">
        <f t="shared" si="22"/>
        <v>17</v>
      </c>
      <c r="DB31" s="16">
        <v>16</v>
      </c>
      <c r="DC31" s="16" t="e">
        <f>IF(ISNA(CY30),NA(),IF(CY30&lt;CW31,CW31,CX31))</f>
        <v>#N/A</v>
      </c>
      <c r="DD31" s="16">
        <f>DA31</f>
        <v>17</v>
      </c>
    </row>
    <row r="32" spans="1:111" ht="12" customHeight="1">
      <c r="A32" s="211"/>
      <c r="B32" s="211"/>
      <c r="C32" s="211"/>
      <c r="D32" s="211"/>
      <c r="E32" s="211"/>
      <c r="F32" s="211"/>
      <c r="G32" s="211"/>
      <c r="H32" s="211"/>
      <c r="I32" s="211"/>
      <c r="J32" s="211"/>
      <c r="K32" s="211"/>
      <c r="L32" s="211"/>
      <c r="M32" s="211"/>
      <c r="N32" s="211"/>
      <c r="O32" s="211"/>
      <c r="S32" s="519"/>
      <c r="T32" s="520"/>
      <c r="U32" s="520"/>
      <c r="V32" s="520"/>
      <c r="W32" s="520"/>
      <c r="X32" s="524"/>
      <c r="Y32" s="524" t="s">
        <v>215</v>
      </c>
      <c r="Z32" s="525" t="str">
        <f>IF(AND(NOT(CD1),$CB$7,$CB$5,$CB$1,$CB$6,BZ2=2,O4&lt;&gt;""),O4-P20,"")</f>
        <v/>
      </c>
      <c r="AA32" s="520"/>
      <c r="AB32" s="520"/>
      <c r="AC32" s="520"/>
      <c r="AD32" s="520"/>
      <c r="AE32" s="520"/>
      <c r="AF32" s="520"/>
      <c r="AG32" s="520"/>
      <c r="AH32" s="520"/>
      <c r="AI32" s="563"/>
      <c r="AJ32" s="323">
        <f t="shared" si="19"/>
        <v>2.3748600000000002E-4</v>
      </c>
      <c r="AV32" s="180">
        <f t="shared" si="2"/>
        <v>2.3748600000000002E-4</v>
      </c>
      <c r="AW32" s="277"/>
      <c r="AX32" s="277"/>
      <c r="AY32" s="277"/>
      <c r="AZ32" s="277"/>
      <c r="BD32" s="185"/>
      <c r="BE32" s="185"/>
      <c r="BF32" s="185"/>
      <c r="BG32" s="185"/>
      <c r="BH32" s="185"/>
      <c r="BI32" s="185"/>
      <c r="BJ32" s="185"/>
      <c r="BK32" s="185"/>
      <c r="BL32" s="185"/>
      <c r="BM32" s="185"/>
      <c r="BN32" s="185"/>
      <c r="BO32" s="185"/>
      <c r="BP32" s="185"/>
      <c r="BQ32" s="185"/>
      <c r="BR32" s="185"/>
      <c r="BS32" s="185"/>
      <c r="BT32" s="185"/>
      <c r="BU32" s="185"/>
      <c r="BV32" s="185"/>
      <c r="BW32" s="185" t="s">
        <v>756</v>
      </c>
      <c r="BX32" s="16">
        <f>CW9</f>
        <v>84.641016151377542</v>
      </c>
      <c r="BY32" s="16">
        <f t="shared" si="11"/>
        <v>-999</v>
      </c>
      <c r="BZ32" s="16">
        <f t="shared" si="7"/>
        <v>-999</v>
      </c>
      <c r="CA32" s="197" t="str">
        <f t="shared" si="8"/>
        <v/>
      </c>
      <c r="CB32" s="197" t="e">
        <f t="shared" si="9"/>
        <v>#N/A</v>
      </c>
      <c r="CC32" s="16" t="e">
        <f t="shared" si="12"/>
        <v>#N/A</v>
      </c>
      <c r="CD32" s="16" t="e">
        <f t="shared" si="13"/>
        <v>#N/A</v>
      </c>
      <c r="CE32" s="16" t="e">
        <f t="shared" si="14"/>
        <v>#N/A</v>
      </c>
      <c r="CF32" s="16" t="e">
        <f t="shared" si="15"/>
        <v>#N/A</v>
      </c>
      <c r="CG32" s="16">
        <f t="shared" si="16"/>
        <v>0</v>
      </c>
      <c r="CH32" s="16">
        <v>18</v>
      </c>
      <c r="CQ32" s="196">
        <v>31</v>
      </c>
      <c r="CR32" s="34">
        <f t="shared" si="6"/>
        <v>0.65856246277689934</v>
      </c>
      <c r="CS32" s="197" t="str">
        <f t="shared" si="3"/>
        <v/>
      </c>
      <c r="CT32" s="16">
        <f t="shared" si="4"/>
        <v>-999</v>
      </c>
      <c r="CU32" s="16">
        <f t="shared" si="5"/>
        <v>-999</v>
      </c>
      <c r="CV32" s="16" t="e">
        <f t="shared" si="20"/>
        <v>#N/A</v>
      </c>
      <c r="CW32" s="197" t="e">
        <f t="shared" si="17"/>
        <v>#N/A</v>
      </c>
      <c r="CX32" s="16" t="e">
        <f t="shared" si="18"/>
        <v>#N/A</v>
      </c>
      <c r="CY32" s="197" t="e">
        <f t="shared" si="10"/>
        <v>#N/A</v>
      </c>
      <c r="CZ32" s="16">
        <f t="shared" si="21"/>
        <v>17</v>
      </c>
      <c r="DA32" s="16">
        <f t="shared" si="22"/>
        <v>18</v>
      </c>
      <c r="DC32" s="16" t="e">
        <f>IF(ISNA(CY30),NA(),CY30)</f>
        <v>#N/A</v>
      </c>
      <c r="DD32" s="16">
        <f>CZ31</f>
        <v>16</v>
      </c>
    </row>
    <row r="33" spans="1:108" ht="12" customHeight="1">
      <c r="A33" s="211"/>
      <c r="B33" s="211"/>
      <c r="C33" s="211"/>
      <c r="D33" s="211"/>
      <c r="E33" s="211"/>
      <c r="F33" s="211"/>
      <c r="G33" s="211"/>
      <c r="H33" s="211"/>
      <c r="I33" s="211"/>
      <c r="J33" s="211"/>
      <c r="K33" s="211"/>
      <c r="L33" s="211"/>
      <c r="M33" s="211"/>
      <c r="N33" s="211"/>
      <c r="O33" s="211"/>
      <c r="S33" s="135"/>
      <c r="T33" s="520"/>
      <c r="U33" s="520"/>
      <c r="V33" s="523"/>
      <c r="W33" s="520"/>
      <c r="X33" s="524" t="s">
        <v>216</v>
      </c>
      <c r="Y33" s="551" t="str">
        <f>IF(AND(Z18&lt;&gt;"",Z32&lt;&gt;"",Z18&lt;&gt;0),Z32*100/Z18,"")</f>
        <v/>
      </c>
      <c r="Z33" s="520"/>
      <c r="AA33" s="524"/>
      <c r="AB33" s="521"/>
      <c r="AC33" s="522" t="s">
        <v>221</v>
      </c>
      <c r="AD33" s="524"/>
      <c r="AE33" s="520"/>
      <c r="AF33" s="521"/>
      <c r="AG33" s="520"/>
      <c r="AH33" s="520"/>
      <c r="AI33" s="563"/>
      <c r="AJ33" s="323">
        <f t="shared" si="19"/>
        <v>2.3748600000000002E-4</v>
      </c>
      <c r="AV33" s="180">
        <f t="shared" si="2"/>
        <v>2.3748600000000002E-4</v>
      </c>
      <c r="AW33" s="277"/>
      <c r="AX33" s="277"/>
      <c r="AY33" s="277"/>
      <c r="AZ33" s="277"/>
      <c r="BD33" s="185"/>
      <c r="BE33" s="185"/>
      <c r="BF33" s="185"/>
      <c r="BG33" s="185"/>
      <c r="BH33" s="185"/>
      <c r="BI33" s="185"/>
      <c r="BJ33" s="185"/>
      <c r="BK33" s="185"/>
      <c r="BL33" s="185"/>
      <c r="BM33" s="185"/>
      <c r="BN33" s="185"/>
      <c r="BO33" s="185"/>
      <c r="BP33" s="185"/>
      <c r="BQ33" s="185"/>
      <c r="BR33" s="185"/>
      <c r="BS33" s="185"/>
      <c r="BT33" s="185"/>
      <c r="BU33" s="185"/>
      <c r="BV33" s="185"/>
      <c r="BW33" s="185" t="s">
        <v>1302</v>
      </c>
      <c r="BX33" s="16">
        <f>CW10</f>
        <v>1.4433756729740645E-2</v>
      </c>
      <c r="BY33" s="16">
        <f t="shared" si="11"/>
        <v>-999</v>
      </c>
      <c r="BZ33" s="16">
        <f t="shared" si="7"/>
        <v>-999</v>
      </c>
      <c r="CA33" s="197" t="str">
        <f t="shared" si="8"/>
        <v/>
      </c>
      <c r="CB33" s="197" t="e">
        <f t="shared" si="9"/>
        <v>#N/A</v>
      </c>
      <c r="CC33" s="16" t="e">
        <f t="shared" si="12"/>
        <v>#N/A</v>
      </c>
      <c r="CD33" s="16" t="e">
        <f t="shared" si="13"/>
        <v>#N/A</v>
      </c>
      <c r="CE33" s="16" t="e">
        <f t="shared" si="14"/>
        <v>#N/A</v>
      </c>
      <c r="CF33" s="16" t="e">
        <f t="shared" si="15"/>
        <v>#N/A</v>
      </c>
      <c r="CG33" s="16">
        <f t="shared" si="16"/>
        <v>0</v>
      </c>
      <c r="CH33" s="16">
        <v>19</v>
      </c>
      <c r="CQ33" s="196">
        <v>32</v>
      </c>
      <c r="CR33" s="34">
        <f t="shared" si="6"/>
        <v>0.18908100947737694</v>
      </c>
      <c r="CS33" s="197" t="str">
        <f t="shared" si="3"/>
        <v/>
      </c>
      <c r="CT33" s="16">
        <f t="shared" si="4"/>
        <v>-999</v>
      </c>
      <c r="CU33" s="16">
        <f t="shared" si="5"/>
        <v>-999</v>
      </c>
      <c r="CV33" s="16" t="e">
        <f t="shared" si="20"/>
        <v>#N/A</v>
      </c>
      <c r="CW33" s="197" t="e">
        <f t="shared" si="17"/>
        <v>#N/A</v>
      </c>
      <c r="CX33" s="16" t="e">
        <f t="shared" si="18"/>
        <v>#N/A</v>
      </c>
      <c r="CY33" s="197" t="e">
        <f t="shared" si="10"/>
        <v>#N/A</v>
      </c>
      <c r="CZ33" s="16">
        <f t="shared" si="21"/>
        <v>18</v>
      </c>
      <c r="DA33" s="16">
        <f t="shared" si="22"/>
        <v>19</v>
      </c>
      <c r="DB33" s="16">
        <v>17</v>
      </c>
      <c r="DC33" s="16" t="e">
        <f>IF(ISNA(CY31),NA(),IF(CY31&lt;CW32,CW32,CX32))</f>
        <v>#N/A</v>
      </c>
      <c r="DD33" s="16">
        <f>DA32</f>
        <v>18</v>
      </c>
    </row>
    <row r="34" spans="1:108" ht="12" customHeight="1">
      <c r="A34" s="211"/>
      <c r="B34" s="211"/>
      <c r="C34" s="211"/>
      <c r="D34" s="211"/>
      <c r="E34" s="211"/>
      <c r="F34" s="211"/>
      <c r="G34" s="211"/>
      <c r="H34" s="211"/>
      <c r="I34" s="211"/>
      <c r="J34" s="211"/>
      <c r="K34" s="211"/>
      <c r="L34" s="211"/>
      <c r="M34" s="211"/>
      <c r="N34" s="211"/>
      <c r="O34" s="211"/>
      <c r="S34" s="526"/>
      <c r="T34" s="564"/>
      <c r="U34" s="527"/>
      <c r="V34" s="527"/>
      <c r="W34" s="527"/>
      <c r="X34" s="527"/>
      <c r="Y34" s="527"/>
      <c r="Z34" s="527"/>
      <c r="AA34" s="527"/>
      <c r="AB34" s="527"/>
      <c r="AC34" s="527"/>
      <c r="AD34" s="527"/>
      <c r="AE34" s="527"/>
      <c r="AF34" s="527"/>
      <c r="AG34" s="527"/>
      <c r="AH34" s="527"/>
      <c r="AI34" s="565"/>
      <c r="AJ34" s="323">
        <f t="shared" si="19"/>
        <v>2.3748600000000002E-4</v>
      </c>
      <c r="AT34" s="201"/>
      <c r="AV34" s="180">
        <f t="shared" si="2"/>
        <v>2.3748600000000002E-4</v>
      </c>
      <c r="AW34" s="180"/>
      <c r="AX34" s="180"/>
      <c r="AY34" s="180"/>
      <c r="AZ34" s="180"/>
      <c r="BD34" s="185"/>
      <c r="BE34" s="185"/>
      <c r="BF34" s="185"/>
      <c r="BG34" s="185"/>
      <c r="BH34" s="185"/>
      <c r="BI34" s="185"/>
      <c r="BJ34" s="185"/>
      <c r="BK34" s="185"/>
      <c r="BL34" s="185"/>
      <c r="BM34" s="185"/>
      <c r="BN34" s="185"/>
      <c r="BO34" s="185"/>
      <c r="BP34" s="185"/>
      <c r="BQ34" s="185"/>
      <c r="BR34" s="185"/>
      <c r="BS34" s="185"/>
      <c r="BT34" s="185"/>
      <c r="BU34" s="185"/>
      <c r="BV34" s="185"/>
      <c r="BW34" s="185" t="s">
        <v>1304</v>
      </c>
      <c r="BX34" s="16">
        <f>CW11</f>
        <v>69.282032302755084</v>
      </c>
      <c r="BY34" s="16">
        <f t="shared" si="11"/>
        <v>-999</v>
      </c>
      <c r="BZ34" s="16">
        <f t="shared" si="7"/>
        <v>-999</v>
      </c>
      <c r="CA34" s="197" t="str">
        <f t="shared" si="8"/>
        <v/>
      </c>
      <c r="CB34" s="197" t="e">
        <f t="shared" si="9"/>
        <v>#N/A</v>
      </c>
      <c r="CC34" s="16" t="e">
        <f t="shared" si="12"/>
        <v>#N/A</v>
      </c>
      <c r="CD34" s="16" t="e">
        <f t="shared" si="13"/>
        <v>#N/A</v>
      </c>
      <c r="CE34" s="16" t="e">
        <f t="shared" si="14"/>
        <v>#N/A</v>
      </c>
      <c r="CF34" s="16" t="e">
        <f t="shared" si="15"/>
        <v>#N/A</v>
      </c>
      <c r="CG34" s="16">
        <f t="shared" si="16"/>
        <v>0</v>
      </c>
      <c r="CH34" s="16">
        <v>20</v>
      </c>
      <c r="CQ34" s="196">
        <v>33</v>
      </c>
      <c r="CR34" s="34">
        <f t="shared" si="6"/>
        <v>0.5528268925845623</v>
      </c>
      <c r="CS34" s="197" t="str">
        <f t="shared" ref="CS34:CS65" si="23">IF(AND($CB$7,$CQ34&lt;=$T$18),IF($BY$12=1,$C$4+$D$4*NORMSINV(CR34),IF($BY$12=2,$CW$8+CR34*$CW$11,VLOOKUP(CR34,$BV$42:$BY$4042,4))),"")</f>
        <v/>
      </c>
      <c r="CT34" s="16">
        <f t="shared" ref="CT34:CT65" si="24">IF(AND($CB$4,CS34&lt;&gt;"",$M$4&lt;&gt;""),CS34,-999)</f>
        <v>-999</v>
      </c>
      <c r="CU34" s="16">
        <f t="shared" ref="CU34:CU65" si="25">IF(CT34=-999,-999,0)</f>
        <v>-999</v>
      </c>
      <c r="CV34" s="16" t="e">
        <f t="shared" si="20"/>
        <v>#N/A</v>
      </c>
      <c r="CW34" s="197" t="e">
        <f t="shared" si="17"/>
        <v>#N/A</v>
      </c>
      <c r="CX34" s="16" t="e">
        <f t="shared" si="18"/>
        <v>#N/A</v>
      </c>
      <c r="CY34" s="197" t="e">
        <f t="shared" si="10"/>
        <v>#N/A</v>
      </c>
      <c r="CZ34" s="16">
        <f t="shared" si="21"/>
        <v>19</v>
      </c>
      <c r="DA34" s="16">
        <f t="shared" si="22"/>
        <v>20</v>
      </c>
      <c r="DC34" s="16" t="e">
        <f>IF(ISNA(CY31),NA(),CY31)</f>
        <v>#N/A</v>
      </c>
      <c r="DD34" s="16">
        <f>CZ32</f>
        <v>17</v>
      </c>
    </row>
    <row r="35" spans="1:108" ht="12" customHeight="1">
      <c r="A35" s="211"/>
      <c r="B35" s="211"/>
      <c r="C35" s="211"/>
      <c r="D35" s="211"/>
      <c r="E35" s="211"/>
      <c r="F35" s="211"/>
      <c r="G35" s="211"/>
      <c r="H35" s="211"/>
      <c r="I35" s="211"/>
      <c r="J35" s="211"/>
      <c r="K35" s="211"/>
      <c r="L35" s="211"/>
      <c r="M35" s="211"/>
      <c r="N35" s="211"/>
      <c r="O35" s="211"/>
      <c r="S35" s="578">
        <v>8</v>
      </c>
      <c r="T35" s="559" t="s">
        <v>157</v>
      </c>
      <c r="U35" s="352"/>
      <c r="V35" s="352"/>
      <c r="W35" s="352"/>
      <c r="X35" s="352"/>
      <c r="Y35" s="352"/>
      <c r="Z35" s="352"/>
      <c r="AA35" s="352"/>
      <c r="AB35" s="352"/>
      <c r="AC35" s="352"/>
      <c r="AD35" s="352"/>
      <c r="AE35" s="352"/>
      <c r="AF35" s="352"/>
      <c r="AG35" s="352"/>
      <c r="AH35" s="352"/>
      <c r="AI35" s="476"/>
      <c r="AJ35" s="323">
        <f t="shared" si="19"/>
        <v>2.3748600000000002E-4</v>
      </c>
      <c r="AK35" s="25"/>
      <c r="AT35" s="201"/>
      <c r="AV35" s="180">
        <f t="shared" si="2"/>
        <v>2.3748600000000002E-4</v>
      </c>
      <c r="AW35" s="180"/>
      <c r="AX35" s="180"/>
      <c r="AY35" s="180"/>
      <c r="AZ35" s="180"/>
      <c r="BY35" s="16">
        <f t="shared" si="11"/>
        <v>-999</v>
      </c>
      <c r="BZ35" s="16">
        <f t="shared" si="7"/>
        <v>-999</v>
      </c>
      <c r="CA35" s="197" t="str">
        <f t="shared" si="8"/>
        <v/>
      </c>
      <c r="CB35" s="197" t="e">
        <f t="shared" si="9"/>
        <v>#N/A</v>
      </c>
      <c r="CC35" s="16" t="e">
        <f t="shared" si="12"/>
        <v>#N/A</v>
      </c>
      <c r="CD35" s="16" t="e">
        <f t="shared" si="13"/>
        <v>#N/A</v>
      </c>
      <c r="CE35" s="16" t="e">
        <f t="shared" si="14"/>
        <v>#N/A</v>
      </c>
      <c r="CF35" s="16" t="e">
        <f t="shared" si="15"/>
        <v>#N/A</v>
      </c>
      <c r="CG35" s="16">
        <f t="shared" si="16"/>
        <v>0</v>
      </c>
      <c r="CH35" s="16">
        <v>21</v>
      </c>
      <c r="CQ35" s="196">
        <v>34</v>
      </c>
      <c r="CR35" s="34">
        <f t="shared" ref="CR35:CR66" si="26">MOD(CR34*10000013,1)</f>
        <v>0.11259522661566734</v>
      </c>
      <c r="CS35" s="197" t="str">
        <f t="shared" si="23"/>
        <v/>
      </c>
      <c r="CT35" s="16">
        <f t="shared" si="24"/>
        <v>-999</v>
      </c>
      <c r="CU35" s="16">
        <f t="shared" si="25"/>
        <v>-999</v>
      </c>
      <c r="CV35" s="16" t="e">
        <f t="shared" si="20"/>
        <v>#N/A</v>
      </c>
      <c r="CW35" s="197" t="e">
        <f t="shared" si="17"/>
        <v>#N/A</v>
      </c>
      <c r="CX35" s="16" t="e">
        <f t="shared" si="18"/>
        <v>#N/A</v>
      </c>
      <c r="CY35" s="197" t="e">
        <f t="shared" si="10"/>
        <v>#N/A</v>
      </c>
      <c r="CZ35" s="16">
        <f t="shared" si="21"/>
        <v>20</v>
      </c>
      <c r="DA35" s="16">
        <f t="shared" si="22"/>
        <v>21</v>
      </c>
      <c r="DB35" s="16">
        <v>18</v>
      </c>
      <c r="DC35" s="16" t="e">
        <f>IF(ISNA(CY32),NA(),IF(CY32&lt;CW33,CW33,CX33))</f>
        <v>#N/A</v>
      </c>
      <c r="DD35" s="16">
        <f>DA33</f>
        <v>19</v>
      </c>
    </row>
    <row r="36" spans="1:108" ht="12" customHeight="1">
      <c r="A36" s="211"/>
      <c r="B36" s="211"/>
      <c r="C36" s="211"/>
      <c r="D36" s="211"/>
      <c r="E36" s="211"/>
      <c r="F36" s="211"/>
      <c r="G36" s="211"/>
      <c r="H36" s="211"/>
      <c r="I36" s="211"/>
      <c r="J36" s="211"/>
      <c r="K36" s="211"/>
      <c r="L36" s="211"/>
      <c r="M36" s="211"/>
      <c r="N36" s="211"/>
      <c r="O36" s="211"/>
      <c r="S36" s="240"/>
      <c r="T36" s="352"/>
      <c r="U36" s="352"/>
      <c r="V36" s="352"/>
      <c r="W36" s="352"/>
      <c r="X36" s="241"/>
      <c r="Y36" s="241" t="str">
        <f>IF(CW12,"Number capturing next mean ","")</f>
        <v/>
      </c>
      <c r="Z36" s="525" t="str">
        <f>IF(AND(NOT(CD1),$CB$7,$CW$12,$CB$6,BZ2=2),O5-P26,"")</f>
        <v/>
      </c>
      <c r="AA36" s="352"/>
      <c r="AB36" s="352"/>
      <c r="AC36" s="352" t="s">
        <v>222</v>
      </c>
      <c r="AD36" s="352"/>
      <c r="AE36" s="352"/>
      <c r="AF36" s="352"/>
      <c r="AG36" s="352"/>
      <c r="AH36" s="352"/>
      <c r="AI36" s="501"/>
      <c r="AJ36" s="323">
        <f t="shared" si="19"/>
        <v>2.3748600000000002E-4</v>
      </c>
      <c r="AK36" s="30"/>
      <c r="AV36" s="180">
        <f t="shared" si="2"/>
        <v>2.3748600000000002E-4</v>
      </c>
      <c r="AW36" s="180"/>
      <c r="AX36" s="180"/>
      <c r="AY36" s="180"/>
      <c r="AZ36" s="180"/>
      <c r="BW36" s="195" t="s">
        <v>1075</v>
      </c>
      <c r="BY36" s="16">
        <f t="shared" si="11"/>
        <v>-999</v>
      </c>
      <c r="BZ36" s="16">
        <f t="shared" si="7"/>
        <v>-999</v>
      </c>
      <c r="CA36" s="197" t="str">
        <f t="shared" si="8"/>
        <v/>
      </c>
      <c r="CB36" s="197" t="e">
        <f t="shared" si="9"/>
        <v>#N/A</v>
      </c>
      <c r="CC36" s="16" t="e">
        <f t="shared" si="12"/>
        <v>#N/A</v>
      </c>
      <c r="CD36" s="16" t="e">
        <f t="shared" si="13"/>
        <v>#N/A</v>
      </c>
      <c r="CE36" s="16" t="e">
        <f t="shared" si="14"/>
        <v>#N/A</v>
      </c>
      <c r="CF36" s="16" t="e">
        <f t="shared" si="15"/>
        <v>#N/A</v>
      </c>
      <c r="CG36" s="16">
        <f t="shared" si="16"/>
        <v>0</v>
      </c>
      <c r="CH36" s="16">
        <v>22</v>
      </c>
      <c r="CQ36" s="196">
        <v>35</v>
      </c>
      <c r="CR36" s="34">
        <f t="shared" si="26"/>
        <v>0.72989461943507195</v>
      </c>
      <c r="CS36" s="197" t="str">
        <f t="shared" si="23"/>
        <v/>
      </c>
      <c r="CT36" s="16">
        <f t="shared" si="24"/>
        <v>-999</v>
      </c>
      <c r="CU36" s="16">
        <f t="shared" si="25"/>
        <v>-999</v>
      </c>
      <c r="CV36" s="16" t="e">
        <f t="shared" si="20"/>
        <v>#N/A</v>
      </c>
      <c r="CW36" s="197" t="e">
        <f t="shared" si="17"/>
        <v>#N/A</v>
      </c>
      <c r="CX36" s="16" t="e">
        <f t="shared" si="18"/>
        <v>#N/A</v>
      </c>
      <c r="CY36" s="197" t="e">
        <f t="shared" si="10"/>
        <v>#N/A</v>
      </c>
      <c r="CZ36" s="16">
        <f t="shared" si="21"/>
        <v>21</v>
      </c>
      <c r="DA36" s="16">
        <f t="shared" si="22"/>
        <v>22</v>
      </c>
      <c r="DC36" s="16" t="e">
        <f>IF(ISNA(CY32),NA(),CY32)</f>
        <v>#N/A</v>
      </c>
      <c r="DD36" s="16">
        <f>CZ33</f>
        <v>18</v>
      </c>
    </row>
    <row r="37" spans="1:108" ht="12" customHeight="1">
      <c r="A37" s="211"/>
      <c r="B37" s="211"/>
      <c r="C37" s="211"/>
      <c r="D37" s="211"/>
      <c r="E37" s="211"/>
      <c r="F37" s="211"/>
      <c r="G37" s="211"/>
      <c r="H37" s="211"/>
      <c r="I37" s="211"/>
      <c r="J37" s="211"/>
      <c r="K37" s="211"/>
      <c r="L37" s="211"/>
      <c r="M37" s="211"/>
      <c r="N37" s="211"/>
      <c r="O37" s="211"/>
      <c r="S37" s="246"/>
      <c r="T37" s="247"/>
      <c r="U37" s="247"/>
      <c r="V37" s="247"/>
      <c r="W37" s="247"/>
      <c r="X37" s="556" t="str">
        <f>IF(CW12,"Percent capturing next mean ","")</f>
        <v/>
      </c>
      <c r="Y37" s="557" t="str">
        <f>IF(AND(Z18&lt;&gt;"",Z36&lt;&gt;"",Z18&gt;1),(Z36*100/O5),"")</f>
        <v/>
      </c>
      <c r="Z37" s="247"/>
      <c r="AA37" s="247"/>
      <c r="AB37" s="247"/>
      <c r="AC37" s="247" t="s">
        <v>223</v>
      </c>
      <c r="AD37" s="247"/>
      <c r="AE37" s="247"/>
      <c r="AF37" s="247"/>
      <c r="AG37" s="247"/>
      <c r="AH37" s="247"/>
      <c r="AI37" s="558"/>
      <c r="AJ37" s="323">
        <f t="shared" si="19"/>
        <v>2.3748600000000002E-4</v>
      </c>
      <c r="AK37" s="30"/>
      <c r="AV37" s="180">
        <f t="shared" si="2"/>
        <v>2.3748600000000002E-4</v>
      </c>
      <c r="AW37" s="180"/>
      <c r="AX37" s="180"/>
      <c r="AY37" s="180"/>
      <c r="AZ37" s="180"/>
      <c r="BW37" s="221" t="s">
        <v>74</v>
      </c>
      <c r="BY37" s="16">
        <f t="shared" si="11"/>
        <v>-999</v>
      </c>
      <c r="BZ37" s="16">
        <f t="shared" si="7"/>
        <v>-999</v>
      </c>
      <c r="CA37" s="197" t="str">
        <f t="shared" si="8"/>
        <v/>
      </c>
      <c r="CB37" s="197" t="e">
        <f t="shared" si="9"/>
        <v>#N/A</v>
      </c>
      <c r="CC37" s="16" t="e">
        <f t="shared" si="12"/>
        <v>#N/A</v>
      </c>
      <c r="CD37" s="16" t="e">
        <f t="shared" si="13"/>
        <v>#N/A</v>
      </c>
      <c r="CE37" s="16" t="e">
        <f t="shared" si="14"/>
        <v>#N/A</v>
      </c>
      <c r="CF37" s="16" t="e">
        <f t="shared" si="15"/>
        <v>#N/A</v>
      </c>
      <c r="CG37" s="16">
        <f t="shared" si="16"/>
        <v>0</v>
      </c>
      <c r="CH37" s="16">
        <v>23</v>
      </c>
      <c r="CQ37" s="196">
        <v>36</v>
      </c>
      <c r="CR37" s="34">
        <f t="shared" si="26"/>
        <v>0.68298077210783958</v>
      </c>
      <c r="CS37" s="197" t="str">
        <f t="shared" si="23"/>
        <v/>
      </c>
      <c r="CT37" s="16">
        <f t="shared" si="24"/>
        <v>-999</v>
      </c>
      <c r="CU37" s="16">
        <f t="shared" si="25"/>
        <v>-999</v>
      </c>
      <c r="CV37" s="16" t="e">
        <f t="shared" si="20"/>
        <v>#N/A</v>
      </c>
      <c r="CW37" s="197" t="e">
        <f t="shared" si="17"/>
        <v>#N/A</v>
      </c>
      <c r="CX37" s="16" t="e">
        <f t="shared" si="18"/>
        <v>#N/A</v>
      </c>
      <c r="CY37" s="197" t="e">
        <f t="shared" si="10"/>
        <v>#N/A</v>
      </c>
      <c r="CZ37" s="16">
        <f t="shared" si="21"/>
        <v>22</v>
      </c>
      <c r="DA37" s="16">
        <f t="shared" si="22"/>
        <v>23</v>
      </c>
      <c r="DB37" s="16">
        <v>19</v>
      </c>
      <c r="DC37" s="16" t="e">
        <f>IF(ISNA(CY33),NA(),IF(CY33&lt;CW34,CW34,CX34))</f>
        <v>#N/A</v>
      </c>
      <c r="DD37" s="16">
        <f>DA34</f>
        <v>20</v>
      </c>
    </row>
    <row r="38" spans="1:108" ht="12" customHeight="1">
      <c r="A38" s="211"/>
      <c r="B38" s="211"/>
      <c r="C38" s="211"/>
      <c r="D38" s="211"/>
      <c r="E38" s="211"/>
      <c r="F38" s="211"/>
      <c r="G38" s="211"/>
      <c r="H38" s="211"/>
      <c r="I38" s="211"/>
      <c r="J38" s="211"/>
      <c r="K38" s="211"/>
      <c r="L38" s="211"/>
      <c r="M38" s="211"/>
      <c r="N38" s="211"/>
      <c r="O38" s="211"/>
      <c r="AJ38" s="528"/>
      <c r="AK38" s="30"/>
      <c r="AV38" s="495"/>
      <c r="AW38" s="495"/>
      <c r="AX38" s="495"/>
      <c r="AY38" s="495"/>
      <c r="AZ38" s="495"/>
      <c r="BW38" s="221">
        <f>SUM(BW42:BW1042)/SUM(BZ42:BZ1042)</f>
        <v>50.000000000000504</v>
      </c>
      <c r="BY38" s="16">
        <f t="shared" si="11"/>
        <v>-999</v>
      </c>
      <c r="BZ38" s="16">
        <f t="shared" si="7"/>
        <v>-999</v>
      </c>
      <c r="CA38" s="197" t="str">
        <f t="shared" si="8"/>
        <v/>
      </c>
      <c r="CB38" s="197" t="e">
        <f t="shared" si="9"/>
        <v>#N/A</v>
      </c>
      <c r="CC38" s="16" t="e">
        <f t="shared" si="12"/>
        <v>#N/A</v>
      </c>
      <c r="CD38" s="16" t="e">
        <f t="shared" si="13"/>
        <v>#N/A</v>
      </c>
      <c r="CE38" s="16" t="e">
        <f t="shared" si="14"/>
        <v>#N/A</v>
      </c>
      <c r="CF38" s="16" t="e">
        <f t="shared" si="15"/>
        <v>#N/A</v>
      </c>
      <c r="CG38" s="16">
        <f t="shared" si="16"/>
        <v>0</v>
      </c>
      <c r="CH38" s="16">
        <v>24</v>
      </c>
      <c r="CQ38" s="196">
        <v>37</v>
      </c>
      <c r="CR38" s="34">
        <f t="shared" si="26"/>
        <v>0.59982843324542046</v>
      </c>
      <c r="CS38" s="197" t="str">
        <f t="shared" si="23"/>
        <v/>
      </c>
      <c r="CT38" s="16">
        <f t="shared" si="24"/>
        <v>-999</v>
      </c>
      <c r="CU38" s="16">
        <f t="shared" si="25"/>
        <v>-999</v>
      </c>
      <c r="CV38" s="16" t="e">
        <f t="shared" si="20"/>
        <v>#N/A</v>
      </c>
      <c r="CW38" s="197" t="e">
        <f t="shared" si="17"/>
        <v>#N/A</v>
      </c>
      <c r="CX38" s="16" t="e">
        <f t="shared" si="18"/>
        <v>#N/A</v>
      </c>
      <c r="CY38" s="197" t="e">
        <f t="shared" si="10"/>
        <v>#N/A</v>
      </c>
      <c r="CZ38" s="16">
        <f t="shared" si="21"/>
        <v>23</v>
      </c>
      <c r="DA38" s="16">
        <f t="shared" si="22"/>
        <v>24</v>
      </c>
      <c r="DC38" s="16" t="e">
        <f>IF(ISNA(CY33),NA(),CY33)</f>
        <v>#N/A</v>
      </c>
      <c r="DD38" s="16">
        <f>CZ34</f>
        <v>19</v>
      </c>
    </row>
    <row r="39" spans="1:108" ht="12" customHeight="1">
      <c r="A39" s="211"/>
      <c r="B39" s="211"/>
      <c r="C39" s="211"/>
      <c r="D39" s="211"/>
      <c r="E39" s="211"/>
      <c r="F39" s="211"/>
      <c r="G39" s="211"/>
      <c r="H39" s="211"/>
      <c r="I39" s="211"/>
      <c r="J39" s="211"/>
      <c r="K39" s="211"/>
      <c r="L39" s="211"/>
      <c r="M39" s="211"/>
      <c r="N39" s="211"/>
      <c r="O39" s="211"/>
      <c r="S39" s="30"/>
      <c r="T39" s="30"/>
      <c r="U39" s="30"/>
      <c r="V39" s="30"/>
      <c r="W39" s="30"/>
      <c r="X39" s="30"/>
      <c r="Y39" s="30"/>
      <c r="Z39" s="30"/>
      <c r="AA39" s="30"/>
      <c r="AB39" s="30"/>
      <c r="AC39" s="30"/>
      <c r="AD39" s="30"/>
      <c r="AE39" s="30"/>
      <c r="AF39" s="30"/>
      <c r="AG39" s="30"/>
      <c r="AH39" s="30"/>
      <c r="AI39" s="30"/>
      <c r="AV39" s="495"/>
      <c r="AW39" s="495"/>
      <c r="AX39" s="495"/>
      <c r="AY39" s="495"/>
      <c r="AZ39" s="495"/>
      <c r="BW39" s="221">
        <f>SUM(BW42:BW2042)/SUM(BZ42:BZ2042)</f>
        <v>50.35054021510539</v>
      </c>
      <c r="BX39" s="16" t="s">
        <v>72</v>
      </c>
      <c r="BY39" s="16">
        <f t="shared" si="11"/>
        <v>-999</v>
      </c>
      <c r="BZ39" s="16">
        <f t="shared" si="7"/>
        <v>-999</v>
      </c>
      <c r="CA39" s="197" t="str">
        <f t="shared" si="8"/>
        <v/>
      </c>
      <c r="CB39" s="197" t="e">
        <f t="shared" si="9"/>
        <v>#N/A</v>
      </c>
      <c r="CC39" s="16" t="e">
        <f t="shared" si="12"/>
        <v>#N/A</v>
      </c>
      <c r="CD39" s="16" t="e">
        <f t="shared" si="13"/>
        <v>#N/A</v>
      </c>
      <c r="CE39" s="16" t="e">
        <f t="shared" si="14"/>
        <v>#N/A</v>
      </c>
      <c r="CF39" s="16" t="e">
        <f t="shared" si="15"/>
        <v>#N/A</v>
      </c>
      <c r="CG39" s="16">
        <f t="shared" si="16"/>
        <v>0</v>
      </c>
      <c r="CH39" s="16">
        <v>25</v>
      </c>
      <c r="CQ39" s="196">
        <v>38</v>
      </c>
      <c r="CR39" s="34">
        <f t="shared" si="26"/>
        <v>0.1302238367497921</v>
      </c>
      <c r="CS39" s="197" t="str">
        <f t="shared" si="23"/>
        <v/>
      </c>
      <c r="CT39" s="16">
        <f t="shared" si="24"/>
        <v>-999</v>
      </c>
      <c r="CU39" s="16">
        <f t="shared" si="25"/>
        <v>-999</v>
      </c>
      <c r="CV39" s="16" t="e">
        <f t="shared" si="20"/>
        <v>#N/A</v>
      </c>
      <c r="CW39" s="197" t="e">
        <f t="shared" si="17"/>
        <v>#N/A</v>
      </c>
      <c r="CX39" s="16" t="e">
        <f t="shared" si="18"/>
        <v>#N/A</v>
      </c>
      <c r="CZ39" s="16">
        <f t="shared" si="21"/>
        <v>24</v>
      </c>
      <c r="DA39" s="16">
        <f t="shared" si="22"/>
        <v>25</v>
      </c>
      <c r="DB39" s="16">
        <v>20</v>
      </c>
      <c r="DC39" s="16" t="e">
        <f>IF(ISNA(CY34),NA(),IF(CY34&lt;CW35,CW35,CX35))</f>
        <v>#N/A</v>
      </c>
      <c r="DD39" s="16">
        <f>DA35</f>
        <v>21</v>
      </c>
    </row>
    <row r="40" spans="1:108" ht="12" customHeight="1">
      <c r="A40" s="211"/>
      <c r="B40" s="211"/>
      <c r="C40" s="211"/>
      <c r="D40" s="211"/>
      <c r="E40" s="211"/>
      <c r="F40" s="211"/>
      <c r="G40" s="211"/>
      <c r="H40" s="211"/>
      <c r="I40" s="211"/>
      <c r="J40" s="211"/>
      <c r="K40" s="211"/>
      <c r="L40" s="211"/>
      <c r="M40" s="211"/>
      <c r="N40" s="211"/>
      <c r="O40" s="211"/>
      <c r="AV40" s="495"/>
      <c r="AW40" s="495"/>
      <c r="AX40" s="495"/>
      <c r="AY40" s="495"/>
      <c r="AZ40" s="495"/>
      <c r="BV40" s="16">
        <f>IF(BY12&lt;3,SUM(BZ42:BZ4042),SUM(BU42:BU4042))</f>
        <v>9.9383406413234585</v>
      </c>
      <c r="BW40" s="221">
        <f>SUM(BW42:BW4042)/SUM(BZ42:BZ4042)</f>
        <v>50.350540215110222</v>
      </c>
      <c r="BX40" s="16">
        <f>SUM(BZ42:BZ1042)</f>
        <v>9.8766812826469934</v>
      </c>
      <c r="BY40" s="529" t="s">
        <v>1091</v>
      </c>
      <c r="BZ40" s="16">
        <f>MAX(BZ42:BZ1042)</f>
        <v>1.9947114020071634E-2</v>
      </c>
      <c r="CA40" s="18" t="s">
        <v>1092</v>
      </c>
      <c r="CB40" s="16">
        <v>40</v>
      </c>
      <c r="CC40" s="17" t="s">
        <v>1093</v>
      </c>
      <c r="CD40" s="16">
        <f>COUNT(M29:M628)*$P$23*$P$24</f>
        <v>0</v>
      </c>
      <c r="CQ40" s="196">
        <v>39</v>
      </c>
      <c r="CR40" s="34">
        <f t="shared" si="26"/>
        <v>6.0407798737287521E-2</v>
      </c>
      <c r="CS40" s="197" t="str">
        <f t="shared" si="23"/>
        <v/>
      </c>
      <c r="CT40" s="16">
        <f t="shared" si="24"/>
        <v>-999</v>
      </c>
      <c r="CU40" s="16">
        <f t="shared" si="25"/>
        <v>-999</v>
      </c>
      <c r="DC40" s="16" t="e">
        <f>IF(ISNA(CY34),NA(),CY34)</f>
        <v>#N/A</v>
      </c>
      <c r="DD40" s="16">
        <f>CZ35</f>
        <v>20</v>
      </c>
    </row>
    <row r="41" spans="1:108" ht="12" customHeight="1" thickBot="1">
      <c r="A41" s="211"/>
      <c r="B41" s="211"/>
      <c r="C41" s="211"/>
      <c r="D41" s="211"/>
      <c r="E41" s="211"/>
      <c r="F41" s="211"/>
      <c r="G41" s="211"/>
      <c r="H41" s="211"/>
      <c r="I41" s="211"/>
      <c r="J41" s="211"/>
      <c r="K41" s="211"/>
      <c r="L41" s="211"/>
      <c r="M41" s="211"/>
      <c r="N41" s="211"/>
      <c r="O41" s="211"/>
      <c r="AV41" s="495"/>
      <c r="AW41" s="495"/>
      <c r="AX41" s="495"/>
      <c r="AY41" s="495"/>
      <c r="AZ41" s="495"/>
      <c r="BS41" s="196"/>
      <c r="BT41" s="196"/>
      <c r="BU41" s="530" t="s">
        <v>779</v>
      </c>
      <c r="BV41" s="531" t="s">
        <v>71</v>
      </c>
      <c r="BW41" s="532" t="s">
        <v>1076</v>
      </c>
      <c r="BX41" s="531" t="s">
        <v>71</v>
      </c>
      <c r="BY41" s="533" t="s">
        <v>639</v>
      </c>
      <c r="BZ41" s="533" t="s">
        <v>70</v>
      </c>
      <c r="CA41" s="533" t="s">
        <v>1094</v>
      </c>
      <c r="CC41" s="529" t="s">
        <v>1103</v>
      </c>
      <c r="CD41" s="529"/>
      <c r="CQ41" s="196">
        <v>40</v>
      </c>
      <c r="CR41" s="34">
        <f t="shared" si="26"/>
        <v>0.77267425879836082</v>
      </c>
      <c r="CS41" s="197" t="str">
        <f t="shared" si="23"/>
        <v/>
      </c>
      <c r="CT41" s="16">
        <f t="shared" si="24"/>
        <v>-999</v>
      </c>
      <c r="CU41" s="16">
        <f t="shared" si="25"/>
        <v>-999</v>
      </c>
      <c r="DB41" s="16">
        <v>21</v>
      </c>
      <c r="DC41" s="16" t="e">
        <f>IF(ISNA(CY35),NA(),IF(CY35&lt;CW36,CW36,CX36))</f>
        <v>#N/A</v>
      </c>
      <c r="DD41" s="16">
        <f>DA36</f>
        <v>22</v>
      </c>
    </row>
    <row r="42" spans="1:108" ht="12" customHeight="1">
      <c r="A42" s="211"/>
      <c r="B42" s="211"/>
      <c r="C42" s="211"/>
      <c r="D42" s="211"/>
      <c r="E42" s="211"/>
      <c r="F42" s="211"/>
      <c r="G42" s="211"/>
      <c r="H42" s="211"/>
      <c r="I42" s="211"/>
      <c r="J42" s="211"/>
      <c r="K42" s="211"/>
      <c r="L42" s="211"/>
      <c r="M42" s="211"/>
      <c r="N42" s="211"/>
      <c r="O42" s="211"/>
      <c r="AV42" s="495"/>
      <c r="AW42" s="495"/>
      <c r="AX42" s="495"/>
      <c r="AY42" s="495"/>
      <c r="AZ42" s="495"/>
      <c r="BU42" s="16">
        <f>IF($BY$12&lt;3,0,IF(BY42&lt;=$BX$13,0,NORMDIST(LN((BY42-$BX$13)/$BX$12),0,$BW$8,FALSE)/((BY42-$BX$13)/$BX$12)))</f>
        <v>0</v>
      </c>
      <c r="BV42" s="16">
        <f>IF($BY$12=1,NORMDIST(BY42,$Y$6,$Y$8,TRUE),IF($BY$12=2,IF(BY42&lt;=$BX$31,0,IF(BY42&gt;=$BX$32,1,(BY42-$BX$31)*$BX$33)),SUM($BU$42:BU42)/$BV$40))</f>
        <v>6.2096653257759371E-3</v>
      </c>
      <c r="BW42" s="16">
        <f>BY42*BZ42</f>
        <v>0</v>
      </c>
      <c r="BX42" s="16">
        <f>IF($BY$12&lt;3,BV42,SUM($BZ$42:BZ42)/$BX$40)</f>
        <v>6.2096653257759371E-3</v>
      </c>
      <c r="BY42" s="16">
        <v>0</v>
      </c>
      <c r="BZ42" s="16">
        <f t="shared" ref="BZ42:BZ105" si="27">IF($BZ$5,IF($BY$12=1,NORMDIST(BY42,$Y$6,$Y$8,FALSE),IF($BY$12=2,IF(AND(BY42&gt;=$BX$31,BY42&lt;=$BX$32),$BX$33,0),IF(BY42&lt;=$BX$13,0,NORMDIST(LN((BY42-$BX$13)/$BX$12),0,$BW$8,FALSE)/((BY42-$BX$13)/$BX$12)))),-999)</f>
        <v>8.7641502467842691E-4</v>
      </c>
      <c r="CA42" s="16">
        <f>IF(AND($CD$1,$CD$3),26-$CD$40*NORMDIST(BY42,$Y$6,$Y$8/SQRT($T$18),FALSE),-999)</f>
        <v>-999</v>
      </c>
      <c r="CB42" s="16" t="s">
        <v>239</v>
      </c>
      <c r="CC42" s="16">
        <v>8</v>
      </c>
      <c r="CD42" s="16">
        <f>BZ40</f>
        <v>1.9947114020071634E-2</v>
      </c>
      <c r="CQ42" s="196">
        <v>41</v>
      </c>
      <c r="CR42" s="34">
        <f t="shared" si="26"/>
        <v>0.63274897262454033</v>
      </c>
      <c r="CS42" s="197" t="str">
        <f t="shared" si="23"/>
        <v/>
      </c>
      <c r="CT42" s="16">
        <f t="shared" si="24"/>
        <v>-999</v>
      </c>
      <c r="CU42" s="16">
        <f t="shared" si="25"/>
        <v>-999</v>
      </c>
      <c r="DC42" s="16" t="e">
        <f>IF(ISNA(CY35),NA(),CY35)</f>
        <v>#N/A</v>
      </c>
      <c r="DD42" s="16">
        <f>CZ36</f>
        <v>21</v>
      </c>
    </row>
    <row r="43" spans="1:108" ht="12" customHeight="1">
      <c r="A43" s="211"/>
      <c r="B43" s="211"/>
      <c r="C43" s="211"/>
      <c r="D43" s="211"/>
      <c r="E43" s="211"/>
      <c r="F43" s="211"/>
      <c r="G43" s="211"/>
      <c r="H43" s="211"/>
      <c r="I43" s="211"/>
      <c r="J43" s="211"/>
      <c r="K43" s="211"/>
      <c r="L43" s="252"/>
      <c r="M43" s="252"/>
      <c r="N43" s="252"/>
      <c r="O43" s="252"/>
      <c r="P43" s="197"/>
      <c r="AV43" s="495"/>
      <c r="AW43" s="495"/>
      <c r="AX43" s="495"/>
      <c r="AY43" s="495"/>
      <c r="AZ43" s="495"/>
      <c r="BU43" s="16">
        <f t="shared" ref="BU43:BU106" si="28">IF($BY$12&lt;3,0,IF(BY43&lt;=$BX$13,0,NORMDIST(LN((BY43-$BX$13)/$BX$12),0,$BW$8,FALSE)/((BY43-$BX$13)/$BX$12)))</f>
        <v>0</v>
      </c>
      <c r="BV43" s="16">
        <f>IF($BY$12=1,NORMDIST(BY43,$Y$6,$Y$8,TRUE),IF($BY$12=2,IF(BY43&lt;=$BX$31,0,IF(BY43&gt;=$BX$32,1,(BY43-$BX$31)*$BX$33)),SUM($BU$42:BU43)/$BV$40))</f>
        <v>6.297856508503008E-3</v>
      </c>
      <c r="BW43" s="16">
        <f t="shared" ref="BW43:BW106" si="29">BY43*BZ43</f>
        <v>8.8742787567805187E-5</v>
      </c>
      <c r="BX43" s="16">
        <f>IF($BY$12&lt;3,BV43,SUM($BZ$42:BZ43)/$BX$40)</f>
        <v>6.297856508503008E-3</v>
      </c>
      <c r="BY43" s="16">
        <f t="shared" ref="BY43:BY74" si="30">BY42+$BZ$1</f>
        <v>0.1</v>
      </c>
      <c r="BZ43" s="16">
        <f t="shared" si="27"/>
        <v>8.8742787567805187E-4</v>
      </c>
      <c r="CA43" s="16">
        <f t="shared" ref="CA43:CA106" si="31">IF(AND($CD$1,$CD$3),26-$CD$40*NORMDIST(BY43,$Y$6,$Y$8/SQRT($T$18),FALSE),-999)</f>
        <v>-999</v>
      </c>
      <c r="CB43" s="16">
        <f>MIN(CA42:CA4042)</f>
        <v>-999</v>
      </c>
      <c r="CQ43" s="196">
        <v>42</v>
      </c>
      <c r="CR43" s="34">
        <f t="shared" si="26"/>
        <v>0.9519820474088192</v>
      </c>
      <c r="CS43" s="197" t="str">
        <f t="shared" si="23"/>
        <v/>
      </c>
      <c r="CT43" s="16">
        <f t="shared" si="24"/>
        <v>-999</v>
      </c>
      <c r="CU43" s="16">
        <f t="shared" si="25"/>
        <v>-999</v>
      </c>
      <c r="DB43" s="16">
        <v>22</v>
      </c>
      <c r="DC43" s="16" t="e">
        <f>IF(ISNA(CY36),NA(),IF(CY36&lt;CW37,CW37,CX37))</f>
        <v>#N/A</v>
      </c>
      <c r="DD43" s="16">
        <f>DA37</f>
        <v>23</v>
      </c>
    </row>
    <row r="44" spans="1:108" ht="12" customHeight="1" thickBot="1">
      <c r="A44" s="211"/>
      <c r="B44" s="211"/>
      <c r="C44" s="211"/>
      <c r="D44" s="211"/>
      <c r="E44" s="211"/>
      <c r="F44" s="211"/>
      <c r="G44" s="211"/>
      <c r="H44" s="211"/>
      <c r="I44" s="211"/>
      <c r="J44" s="211"/>
      <c r="K44" s="211"/>
      <c r="L44" s="252"/>
      <c r="M44" s="534"/>
      <c r="N44" s="534"/>
      <c r="O44" s="534"/>
      <c r="P44" s="197"/>
      <c r="AV44" s="495"/>
      <c r="AW44" s="495"/>
      <c r="AX44" s="495"/>
      <c r="AY44" s="495"/>
      <c r="AZ44" s="495"/>
      <c r="BU44" s="16">
        <f t="shared" si="28"/>
        <v>0</v>
      </c>
      <c r="BV44" s="16">
        <f>IF($BY$12=1,NORMDIST(BY44,$Y$6,$Y$8,TRUE),IF($BY$12=2,IF(BY44&lt;=$BX$31,0,IF(BY44&gt;=$BX$32,1,(BY44-$BX$31)*$BX$33)),SUM($BU$42:BU44)/$BV$40))</f>
        <v>6.3871547649434479E-3</v>
      </c>
      <c r="BW44" s="16">
        <f t="shared" si="29"/>
        <v>1.7971132954039648E-4</v>
      </c>
      <c r="BX44" s="16">
        <f>IF($BY$12&lt;3,BV44,SUM($BZ$42:BZ44)/$BX$40)</f>
        <v>6.3871547649434479E-3</v>
      </c>
      <c r="BY44" s="16">
        <f t="shared" si="30"/>
        <v>0.2</v>
      </c>
      <c r="BZ44" s="16">
        <f t="shared" si="27"/>
        <v>8.9855664770198233E-4</v>
      </c>
      <c r="CA44" s="16">
        <f t="shared" si="31"/>
        <v>-999</v>
      </c>
      <c r="CB44" s="16" t="s">
        <v>240</v>
      </c>
      <c r="CC44" s="531" t="s">
        <v>992</v>
      </c>
      <c r="CD44" s="479"/>
      <c r="CQ44" s="196">
        <v>43</v>
      </c>
      <c r="CR44" s="34">
        <f t="shared" si="26"/>
        <v>0.84985480830073357</v>
      </c>
      <c r="CS44" s="197" t="str">
        <f t="shared" si="23"/>
        <v/>
      </c>
      <c r="CT44" s="16">
        <f t="shared" si="24"/>
        <v>-999</v>
      </c>
      <c r="CU44" s="16">
        <f t="shared" si="25"/>
        <v>-999</v>
      </c>
      <c r="DC44" s="16" t="e">
        <f>IF(ISNA(CY36),NA(),CY36)</f>
        <v>#N/A</v>
      </c>
      <c r="DD44" s="16">
        <f>CZ37</f>
        <v>22</v>
      </c>
    </row>
    <row r="45" spans="1:108" ht="12" customHeight="1">
      <c r="A45" s="211"/>
      <c r="B45" s="211"/>
      <c r="C45" s="211"/>
      <c r="D45" s="211"/>
      <c r="E45" s="211"/>
      <c r="F45" s="211"/>
      <c r="G45" s="211"/>
      <c r="H45" s="211"/>
      <c r="I45" s="211"/>
      <c r="J45" s="211"/>
      <c r="K45" s="211"/>
      <c r="L45" s="252"/>
      <c r="M45" s="252"/>
      <c r="N45" s="211"/>
      <c r="O45" s="252"/>
      <c r="P45" s="197"/>
      <c r="AV45" s="495"/>
      <c r="AW45" s="495"/>
      <c r="AX45" s="495"/>
      <c r="AY45" s="495"/>
      <c r="AZ45" s="495"/>
      <c r="BU45" s="16">
        <f t="shared" si="28"/>
        <v>0</v>
      </c>
      <c r="BV45" s="16">
        <f>IF($BY$12=1,NORMDIST(BY45,$Y$6,$Y$8,TRUE),IF($BY$12=2,IF(BY45&lt;=$BX$31,0,IF(BY45&gt;=$BX$32,1,(BY45-$BX$31)*$BX$33)),SUM($BU$42:BU45)/$BV$40))</f>
        <v>6.4775717318679149E-3</v>
      </c>
      <c r="BW45" s="16">
        <f t="shared" si="29"/>
        <v>2.7294067036048896E-4</v>
      </c>
      <c r="BX45" s="16">
        <f>IF($BY$12&lt;3,BV45,SUM($BZ$42:BZ45)/$BX$40)</f>
        <v>6.4775717318679149E-3</v>
      </c>
      <c r="BY45" s="16">
        <f t="shared" si="30"/>
        <v>0.30000000000000004</v>
      </c>
      <c r="BZ45" s="16">
        <f t="shared" si="27"/>
        <v>9.0980223453496298E-4</v>
      </c>
      <c r="CA45" s="16">
        <f t="shared" si="31"/>
        <v>-999</v>
      </c>
      <c r="CB45" s="16">
        <f>26-CB43+CB47</f>
        <v>1025.3</v>
      </c>
      <c r="CC45" s="16" t="e">
        <f>IF(AND($BZ$5,$BZ$6),$Y$6-5*$Y$8,NA())</f>
        <v>#N/A</v>
      </c>
      <c r="CD45" s="16">
        <v>0</v>
      </c>
      <c r="CQ45" s="196">
        <v>44</v>
      </c>
      <c r="CR45" s="34">
        <f t="shared" si="26"/>
        <v>0.13111984357237816</v>
      </c>
      <c r="CS45" s="197" t="str">
        <f t="shared" si="23"/>
        <v/>
      </c>
      <c r="CT45" s="16">
        <f t="shared" si="24"/>
        <v>-999</v>
      </c>
      <c r="CU45" s="16">
        <f t="shared" si="25"/>
        <v>-999</v>
      </c>
      <c r="DB45" s="16">
        <v>23</v>
      </c>
      <c r="DC45" s="16" t="e">
        <f>IF(ISNA(CY37),NA(),IF(CY37&lt;CW38,CW38,CX38))</f>
        <v>#N/A</v>
      </c>
      <c r="DD45" s="16">
        <f>DA38</f>
        <v>24</v>
      </c>
    </row>
    <row r="46" spans="1:108" ht="12" customHeight="1">
      <c r="A46" s="211"/>
      <c r="B46" s="211"/>
      <c r="C46" s="211"/>
      <c r="D46" s="211"/>
      <c r="E46" s="211"/>
      <c r="F46" s="211"/>
      <c r="G46" s="211"/>
      <c r="H46" s="211"/>
      <c r="I46" s="211"/>
      <c r="J46" s="211"/>
      <c r="K46" s="211"/>
      <c r="L46" s="252"/>
      <c r="M46" s="252"/>
      <c r="N46" s="211"/>
      <c r="O46" s="252"/>
      <c r="P46" s="197"/>
      <c r="AV46" s="495"/>
      <c r="AW46" s="495"/>
      <c r="AX46" s="495"/>
      <c r="AY46" s="495"/>
      <c r="AZ46" s="495"/>
      <c r="BU46" s="16">
        <f t="shared" si="28"/>
        <v>0</v>
      </c>
      <c r="BV46" s="16">
        <f>IF($BY$12=1,NORMDIST(BY46,$Y$6,$Y$8,TRUE),IF($BY$12=2,IF(BY46&lt;=$BX$31,0,IF(BY46&gt;=$BX$32,1,(BY46-$BX$31)*$BX$33)),SUM($BU$42:BU46)/$BV$40))</f>
        <v>6.5691191355465861E-3</v>
      </c>
      <c r="BW46" s="16">
        <f t="shared" si="29"/>
        <v>3.6846621293724072E-4</v>
      </c>
      <c r="BX46" s="16">
        <f>IF($BY$12&lt;3,BV46,SUM($BZ$42:BZ46)/$BX$40)</f>
        <v>6.5691191355465861E-3</v>
      </c>
      <c r="BY46" s="16">
        <f t="shared" si="30"/>
        <v>0.4</v>
      </c>
      <c r="BZ46" s="16">
        <f t="shared" si="27"/>
        <v>9.2116553234310172E-4</v>
      </c>
      <c r="CA46" s="16">
        <f t="shared" si="31"/>
        <v>-999</v>
      </c>
      <c r="CB46" s="16" t="s">
        <v>241</v>
      </c>
      <c r="CC46" s="16" t="e">
        <f>IF(AND($BZ$5,$BZ$6),$Y$6-4*$Y$8,NA())</f>
        <v>#N/A</v>
      </c>
      <c r="CD46" s="16">
        <v>0</v>
      </c>
      <c r="CQ46" s="196">
        <v>45</v>
      </c>
      <c r="CR46" s="34">
        <f t="shared" si="26"/>
        <v>0.14028174802660942</v>
      </c>
      <c r="CS46" s="197" t="str">
        <f t="shared" si="23"/>
        <v/>
      </c>
      <c r="CT46" s="16">
        <f t="shared" si="24"/>
        <v>-999</v>
      </c>
      <c r="CU46" s="16">
        <f t="shared" si="25"/>
        <v>-999</v>
      </c>
      <c r="DC46" s="16" t="e">
        <f>IF(ISNA(CY37),NA(),CY37)</f>
        <v>#N/A</v>
      </c>
      <c r="DD46" s="16">
        <f>CZ38</f>
        <v>23</v>
      </c>
    </row>
    <row r="47" spans="1:108" ht="12" customHeight="1">
      <c r="A47" s="211"/>
      <c r="B47" s="211"/>
      <c r="C47" s="211"/>
      <c r="D47" s="211"/>
      <c r="E47" s="211"/>
      <c r="F47" s="211"/>
      <c r="G47" s="211"/>
      <c r="H47" s="211"/>
      <c r="I47" s="211"/>
      <c r="J47" s="211"/>
      <c r="K47" s="211"/>
      <c r="L47" s="252"/>
      <c r="M47" s="252"/>
      <c r="N47" s="211"/>
      <c r="O47" s="252"/>
      <c r="P47" s="197"/>
      <c r="AV47" s="495"/>
      <c r="AW47" s="495"/>
      <c r="AX47" s="495"/>
      <c r="AY47" s="495"/>
      <c r="AZ47" s="495"/>
      <c r="BU47" s="16">
        <f t="shared" si="28"/>
        <v>0</v>
      </c>
      <c r="BV47" s="16">
        <f>IF($BY$12=1,NORMDIST(BY47,$Y$6,$Y$8,TRUE),IF($BY$12=2,IF(BY47&lt;=$BX$31,0,IF(BY47&gt;=$BX$32,1,(BY47-$BX$31)*$BX$33)),SUM($BU$42:BU47)/$BV$40))</f>
        <v>6.6618087919827484E-3</v>
      </c>
      <c r="BW47" s="16">
        <f t="shared" si="29"/>
        <v>4.6632371980674756E-4</v>
      </c>
      <c r="BX47" s="16">
        <f>IF($BY$12&lt;3,BV47,SUM($BZ$42:BZ47)/$BX$40)</f>
        <v>6.6618087919827484E-3</v>
      </c>
      <c r="BY47" s="16">
        <f t="shared" si="30"/>
        <v>0.5</v>
      </c>
      <c r="BZ47" s="16">
        <f t="shared" si="27"/>
        <v>9.3264743961349512E-4</v>
      </c>
      <c r="CA47" s="16">
        <f t="shared" si="31"/>
        <v>-999</v>
      </c>
      <c r="CB47" s="16">
        <v>0.3</v>
      </c>
      <c r="CC47" s="16" t="e">
        <f>IF(AND($BZ$5,$BZ$6),$Y$6-3*$Y$8,NA())</f>
        <v>#N/A</v>
      </c>
      <c r="CD47" s="16">
        <v>0</v>
      </c>
      <c r="CQ47" s="196">
        <v>46</v>
      </c>
      <c r="CR47" s="34">
        <f t="shared" si="26"/>
        <v>0.30392881855368614</v>
      </c>
      <c r="CS47" s="197" t="str">
        <f t="shared" si="23"/>
        <v/>
      </c>
      <c r="CT47" s="16">
        <f t="shared" si="24"/>
        <v>-999</v>
      </c>
      <c r="CU47" s="16">
        <f t="shared" si="25"/>
        <v>-999</v>
      </c>
      <c r="DB47" s="16">
        <v>24</v>
      </c>
      <c r="DC47" s="16" t="e">
        <f>IF(ISNA(CY38),NA(),IF(CY38&lt;CW39,CW39,CX39))</f>
        <v>#N/A</v>
      </c>
      <c r="DD47" s="16">
        <f>DA39</f>
        <v>25</v>
      </c>
    </row>
    <row r="48" spans="1:108" ht="12" customHeight="1">
      <c r="A48" s="211"/>
      <c r="B48" s="211"/>
      <c r="C48" s="211"/>
      <c r="D48" s="211"/>
      <c r="E48" s="211"/>
      <c r="F48" s="211"/>
      <c r="G48" s="211"/>
      <c r="H48" s="211"/>
      <c r="I48" s="211"/>
      <c r="J48" s="211"/>
      <c r="K48" s="211"/>
      <c r="L48" s="211"/>
      <c r="M48" s="211"/>
      <c r="N48" s="211"/>
      <c r="O48" s="211"/>
      <c r="AV48" s="495"/>
      <c r="AW48" s="495"/>
      <c r="AX48" s="495"/>
      <c r="AY48" s="495"/>
      <c r="AZ48" s="495"/>
      <c r="BU48" s="16">
        <f t="shared" si="28"/>
        <v>0</v>
      </c>
      <c r="BV48" s="16">
        <f>IF($BY$12=1,NORMDIST(BY48,$Y$6,$Y$8,TRUE),IF($BY$12=2,IF(BY48&lt;=$BX$31,0,IF(BY48&gt;=$BX$32,1,(BY48-$BX$31)*$BX$33)),SUM($BU$42:BU48)/$BV$40))</f>
        <v>6.7556526071406164E-3</v>
      </c>
      <c r="BW48" s="16">
        <f t="shared" si="29"/>
        <v>5.6654931425568524E-4</v>
      </c>
      <c r="BX48" s="16">
        <f>IF($BY$12&lt;3,BV48,SUM($BZ$42:BZ48)/$BX$40)</f>
        <v>6.7556526071406164E-3</v>
      </c>
      <c r="BY48" s="16">
        <f t="shared" si="30"/>
        <v>0.6</v>
      </c>
      <c r="BZ48" s="16">
        <f t="shared" si="27"/>
        <v>9.442488570928088E-4</v>
      </c>
      <c r="CA48" s="16">
        <f t="shared" si="31"/>
        <v>-999</v>
      </c>
      <c r="CC48" s="16" t="e">
        <f>IF(AND($BZ$5,$BZ$6),$Y$6-2*$Y$8,NA())</f>
        <v>#N/A</v>
      </c>
      <c r="CD48" s="16">
        <v>0</v>
      </c>
      <c r="CQ48" s="196">
        <v>47</v>
      </c>
      <c r="CR48" s="34">
        <f t="shared" si="26"/>
        <v>0.13661150261759758</v>
      </c>
      <c r="CS48" s="197" t="str">
        <f t="shared" si="23"/>
        <v/>
      </c>
      <c r="CT48" s="16">
        <f t="shared" si="24"/>
        <v>-999</v>
      </c>
      <c r="CU48" s="16">
        <f t="shared" si="25"/>
        <v>-999</v>
      </c>
      <c r="DC48" s="16" t="e">
        <f>IF(ISNA(CY38),NA(),CY38)</f>
        <v>#N/A</v>
      </c>
      <c r="DD48" s="16">
        <f>CZ39</f>
        <v>24</v>
      </c>
    </row>
    <row r="49" spans="1:99" ht="12" customHeight="1">
      <c r="A49" s="211"/>
      <c r="B49" s="211"/>
      <c r="C49" s="211"/>
      <c r="D49" s="211"/>
      <c r="E49" s="211"/>
      <c r="F49" s="211"/>
      <c r="G49" s="211"/>
      <c r="H49" s="211"/>
      <c r="I49" s="211"/>
      <c r="J49" s="211"/>
      <c r="K49" s="211"/>
      <c r="L49" s="211"/>
      <c r="M49" s="211"/>
      <c r="N49" s="211"/>
      <c r="O49" s="211"/>
      <c r="AV49" s="495"/>
      <c r="AW49" s="495"/>
      <c r="AX49" s="495"/>
      <c r="AY49" s="495"/>
      <c r="AZ49" s="495"/>
      <c r="BU49" s="16">
        <f t="shared" si="28"/>
        <v>0</v>
      </c>
      <c r="BV49" s="16">
        <f>IF($BY$12=1,NORMDIST(BY49,$Y$6,$Y$8,TRUE),IF($BY$12=2,IF(BY49&lt;=$BX$31,0,IF(BY49&gt;=$BX$32,1,(BY49-$BX$31)*$BX$33)),SUM($BU$42:BU49)/$BV$40))</f>
        <v>6.8506625771707075E-3</v>
      </c>
      <c r="BW49" s="16">
        <f t="shared" si="29"/>
        <v>6.6917948140736753E-4</v>
      </c>
      <c r="BX49" s="16">
        <f>IF($BY$12&lt;3,BV49,SUM($BZ$42:BZ49)/$BX$40)</f>
        <v>6.8506625771707075E-3</v>
      </c>
      <c r="BY49" s="16">
        <f t="shared" si="30"/>
        <v>0.7</v>
      </c>
      <c r="BZ49" s="16">
        <f t="shared" si="27"/>
        <v>9.559706877248108E-4</v>
      </c>
      <c r="CA49" s="16">
        <f t="shared" si="31"/>
        <v>-999</v>
      </c>
      <c r="CC49" s="16" t="e">
        <f>IF(AND($BZ$5,$BZ$6),$Y$6-1*$Y$8,NA())</f>
        <v>#N/A</v>
      </c>
      <c r="CD49" s="16">
        <v>0</v>
      </c>
      <c r="CQ49" s="196">
        <v>48</v>
      </c>
      <c r="CR49" s="34">
        <f t="shared" si="26"/>
        <v>0.80212550982832909</v>
      </c>
      <c r="CS49" s="197" t="str">
        <f t="shared" si="23"/>
        <v/>
      </c>
      <c r="CT49" s="16">
        <f t="shared" si="24"/>
        <v>-999</v>
      </c>
      <c r="CU49" s="16">
        <f t="shared" si="25"/>
        <v>-999</v>
      </c>
    </row>
    <row r="50" spans="1:99" ht="12" customHeight="1">
      <c r="A50" s="211"/>
      <c r="B50" s="211"/>
      <c r="C50" s="211"/>
      <c r="D50" s="211"/>
      <c r="E50" s="211"/>
      <c r="F50" s="211"/>
      <c r="G50" s="211"/>
      <c r="H50" s="211"/>
      <c r="I50" s="211"/>
      <c r="J50" s="211"/>
      <c r="K50" s="211"/>
      <c r="L50" s="211"/>
      <c r="M50" s="211"/>
      <c r="N50" s="211"/>
      <c r="O50" s="211"/>
      <c r="AV50" s="495"/>
      <c r="AW50" s="495"/>
      <c r="AX50" s="495"/>
      <c r="AY50" s="495"/>
      <c r="AZ50" s="495"/>
      <c r="BU50" s="16">
        <f t="shared" si="28"/>
        <v>0</v>
      </c>
      <c r="BV50" s="16">
        <f>IF($BY$12=1,NORMDIST(BY50,$Y$6,$Y$8,TRUE),IF($BY$12=2,IF(BY50&lt;=$BX$31,0,IF(BY50&gt;=$BX$32,1,(BY50-$BX$31)*$BX$33)),SUM($BU$42:BU50)/$BV$40))</f>
        <v>6.9468507886241149E-3</v>
      </c>
      <c r="BW50" s="16">
        <f t="shared" si="29"/>
        <v>7.7425106926947806E-4</v>
      </c>
      <c r="BX50" s="16">
        <f>IF($BY$12&lt;3,BV50,SUM($BZ$42:BZ50)/$BX$40)</f>
        <v>6.9468507886241149E-3</v>
      </c>
      <c r="BY50" s="16">
        <f t="shared" si="30"/>
        <v>0.79999999999999993</v>
      </c>
      <c r="BZ50" s="16">
        <f t="shared" si="27"/>
        <v>9.6781383658684763E-4</v>
      </c>
      <c r="CA50" s="16">
        <f t="shared" si="31"/>
        <v>-999</v>
      </c>
      <c r="CC50" s="16" t="e">
        <f>IF(AND($BZ$5,$BZ$6),$Y$6+1*$Y$8,NA())</f>
        <v>#N/A</v>
      </c>
      <c r="CD50" s="16">
        <v>0</v>
      </c>
      <c r="CQ50" s="196">
        <v>49</v>
      </c>
      <c r="CR50" s="34">
        <f t="shared" si="26"/>
        <v>0.52591491863131523</v>
      </c>
      <c r="CS50" s="197" t="str">
        <f t="shared" si="23"/>
        <v/>
      </c>
      <c r="CT50" s="16">
        <f t="shared" si="24"/>
        <v>-999</v>
      </c>
      <c r="CU50" s="16">
        <f t="shared" si="25"/>
        <v>-999</v>
      </c>
    </row>
    <row r="51" spans="1:99" ht="12" customHeight="1">
      <c r="A51" s="211"/>
      <c r="B51" s="211"/>
      <c r="C51" s="211"/>
      <c r="D51" s="211"/>
      <c r="E51" s="211"/>
      <c r="F51" s="211"/>
      <c r="G51" s="211"/>
      <c r="H51" s="211"/>
      <c r="I51" s="211"/>
      <c r="J51" s="211"/>
      <c r="K51" s="211"/>
      <c r="L51" s="211"/>
      <c r="M51" s="211"/>
      <c r="N51" s="211"/>
      <c r="O51" s="211"/>
      <c r="AV51" s="495"/>
      <c r="AW51" s="495"/>
      <c r="AX51" s="495"/>
      <c r="AY51" s="495"/>
      <c r="AZ51" s="495"/>
      <c r="BU51" s="16">
        <f t="shared" si="28"/>
        <v>0</v>
      </c>
      <c r="BV51" s="16">
        <f>IF($BY$12=1,NORMDIST(BY51,$Y$6,$Y$8,TRUE),IF($BY$12=2,IF(BY51&lt;=$BX$31,0,IF(BY51&gt;=$BX$32,1,(BY51-$BX$31)*$BX$33)),SUM($BU$42:BU51)/$BV$40))</f>
        <v>7.0442294186650045E-3</v>
      </c>
      <c r="BW51" s="16">
        <f t="shared" si="29"/>
        <v>8.8180128974273922E-4</v>
      </c>
      <c r="BX51" s="16">
        <f>IF($BY$12&lt;3,BV51,SUM($BZ$42:BZ51)/$BX$40)</f>
        <v>7.0442294186650045E-3</v>
      </c>
      <c r="BY51" s="16">
        <f t="shared" si="30"/>
        <v>0.89999999999999991</v>
      </c>
      <c r="BZ51" s="16">
        <f t="shared" si="27"/>
        <v>9.7977921082526595E-4</v>
      </c>
      <c r="CA51" s="16">
        <f t="shared" si="31"/>
        <v>-999</v>
      </c>
      <c r="CC51" s="16" t="e">
        <f>IF(AND($BZ$5,$BZ$6),$Y$6+2*$Y$8,NA())</f>
        <v>#N/A</v>
      </c>
      <c r="CD51" s="16">
        <v>0</v>
      </c>
      <c r="CQ51" s="196">
        <v>50</v>
      </c>
      <c r="CR51" s="34">
        <f t="shared" si="26"/>
        <v>2.3207094520330429E-2</v>
      </c>
      <c r="CS51" s="197" t="str">
        <f t="shared" si="23"/>
        <v/>
      </c>
      <c r="CT51" s="16">
        <f t="shared" si="24"/>
        <v>-999</v>
      </c>
      <c r="CU51" s="16">
        <f t="shared" si="25"/>
        <v>-999</v>
      </c>
    </row>
    <row r="52" spans="1:99" ht="12" customHeight="1">
      <c r="A52" s="211"/>
      <c r="B52" s="211"/>
      <c r="C52" s="211"/>
      <c r="D52" s="211"/>
      <c r="E52" s="211"/>
      <c r="F52" s="211"/>
      <c r="G52" s="211"/>
      <c r="H52" s="211"/>
      <c r="I52" s="211"/>
      <c r="J52" s="211"/>
      <c r="K52" s="211"/>
      <c r="L52" s="211"/>
      <c r="M52" s="211"/>
      <c r="N52" s="211"/>
      <c r="O52" s="211"/>
      <c r="AV52" s="495"/>
      <c r="AW52" s="495"/>
      <c r="AX52" s="495"/>
      <c r="AY52" s="495"/>
      <c r="AZ52" s="495"/>
      <c r="BU52" s="16">
        <f t="shared" si="28"/>
        <v>0</v>
      </c>
      <c r="BV52" s="16">
        <f>IF($BY$12=1,NORMDIST(BY52,$Y$6,$Y$8,TRUE),IF($BY$12=2,IF(BY52&lt;=$BX$31,0,IF(BY52&gt;=$BX$32,1,(BY52-$BX$31)*$BX$33)),SUM($BU$42:BU52)/$BV$40))</f>
        <v>7.1428107352713432E-3</v>
      </c>
      <c r="BW52" s="16">
        <f t="shared" si="29"/>
        <v>9.918677195897656E-4</v>
      </c>
      <c r="BX52" s="16">
        <f>IF($BY$12&lt;3,BV52,SUM($BZ$42:BZ52)/$BX$40)</f>
        <v>7.1428107352713432E-3</v>
      </c>
      <c r="BY52" s="16">
        <f t="shared" si="30"/>
        <v>0.99999999999999989</v>
      </c>
      <c r="BZ52" s="16">
        <f t="shared" si="27"/>
        <v>9.9186771958976582E-4</v>
      </c>
      <c r="CA52" s="16">
        <f t="shared" si="31"/>
        <v>-999</v>
      </c>
      <c r="CC52" s="16" t="e">
        <f>IF(AND($BZ$5,$BZ$6),$Y$6+3*$Y$8,NA())</f>
        <v>#N/A</v>
      </c>
      <c r="CD52" s="16">
        <v>0</v>
      </c>
      <c r="CQ52" s="196">
        <v>51</v>
      </c>
      <c r="CR52" s="34">
        <f t="shared" si="26"/>
        <v>0.24689553305506706</v>
      </c>
      <c r="CS52" s="197" t="str">
        <f t="shared" si="23"/>
        <v/>
      </c>
      <c r="CT52" s="16">
        <f t="shared" si="24"/>
        <v>-999</v>
      </c>
      <c r="CU52" s="16">
        <f t="shared" si="25"/>
        <v>-999</v>
      </c>
    </row>
    <row r="53" spans="1:99" ht="12" customHeight="1">
      <c r="A53" s="211"/>
      <c r="B53" s="211"/>
      <c r="C53" s="211"/>
      <c r="D53" s="211"/>
      <c r="E53" s="211"/>
      <c r="F53" s="211"/>
      <c r="G53" s="211"/>
      <c r="H53" s="211"/>
      <c r="I53" s="211"/>
      <c r="J53" s="211"/>
      <c r="K53" s="211"/>
      <c r="L53" s="211"/>
      <c r="M53" s="211"/>
      <c r="N53" s="211"/>
      <c r="O53" s="211"/>
      <c r="AV53" s="495"/>
      <c r="AW53" s="495"/>
      <c r="AX53" s="495"/>
      <c r="AY53" s="495"/>
      <c r="AZ53" s="495"/>
      <c r="BU53" s="16">
        <f t="shared" si="28"/>
        <v>0</v>
      </c>
      <c r="BV53" s="16">
        <f>IF($BY$12=1,NORMDIST(BY53,$Y$6,$Y$8,TRUE),IF($BY$12=2,IF(BY53&lt;=$BX$31,0,IF(BY53&gt;=$BX$32,1,(BY53-$BX$31)*$BX$33)),SUM($BU$42:BU53)/$BV$40))</f>
        <v>7.2426070974345169E-3</v>
      </c>
      <c r="BW53" s="16">
        <f t="shared" si="29"/>
        <v>1.1044883013633688E-3</v>
      </c>
      <c r="BX53" s="16">
        <f>IF($BY$12&lt;3,BV53,SUM($BZ$42:BZ53)/$BX$40)</f>
        <v>7.2426070974345169E-3</v>
      </c>
      <c r="BY53" s="16">
        <f t="shared" si="30"/>
        <v>1.0999999999999999</v>
      </c>
      <c r="BZ53" s="16">
        <f t="shared" si="27"/>
        <v>1.004080273966699E-3</v>
      </c>
      <c r="CA53" s="16">
        <f t="shared" si="31"/>
        <v>-999</v>
      </c>
      <c r="CC53" s="16" t="e">
        <f>IF(AND($BZ$5,$BZ$6),$Y$6+4*$Y$8,NA())</f>
        <v>#N/A</v>
      </c>
      <c r="CD53" s="16">
        <v>0</v>
      </c>
      <c r="CQ53" s="196">
        <v>52</v>
      </c>
      <c r="CR53" s="34">
        <f t="shared" si="26"/>
        <v>0.54019260033965111</v>
      </c>
      <c r="CS53" s="197" t="str">
        <f t="shared" si="23"/>
        <v/>
      </c>
      <c r="CT53" s="16">
        <f t="shared" si="24"/>
        <v>-999</v>
      </c>
      <c r="CU53" s="16">
        <f t="shared" si="25"/>
        <v>-999</v>
      </c>
    </row>
    <row r="54" spans="1:99" ht="12" customHeight="1">
      <c r="A54" s="211"/>
      <c r="B54" s="211"/>
      <c r="C54" s="211"/>
      <c r="D54" s="211"/>
      <c r="E54" s="211"/>
      <c r="F54" s="211"/>
      <c r="G54" s="211"/>
      <c r="H54" s="211"/>
      <c r="I54" s="211"/>
      <c r="J54" s="211"/>
      <c r="K54" s="211"/>
      <c r="L54" s="211"/>
      <c r="M54" s="211"/>
      <c r="N54" s="211"/>
      <c r="O54" s="211"/>
      <c r="AV54" s="495"/>
      <c r="AW54" s="495"/>
      <c r="AX54" s="495"/>
      <c r="AY54" s="495"/>
      <c r="AZ54" s="495"/>
      <c r="BU54" s="16">
        <f t="shared" si="28"/>
        <v>0</v>
      </c>
      <c r="BV54" s="16">
        <f>IF($BY$12=1,NORMDIST(BY54,$Y$6,$Y$8,TRUE),IF($BY$12=2,IF(BY54&lt;=$BX$31,0,IF(BY54&gt;=$BX$32,1,(BY54-$BX$31)*$BX$33)),SUM($BU$42:BU54)/$BV$40))</f>
        <v>7.3436309553484014E-3</v>
      </c>
      <c r="BW54" s="16">
        <f t="shared" si="29"/>
        <v>1.2197013442935508E-3</v>
      </c>
      <c r="BX54" s="16">
        <f>IF($BY$12&lt;3,BV54,SUM($BZ$42:BZ54)/$BX$40)</f>
        <v>7.3436309553484014E-3</v>
      </c>
      <c r="BY54" s="16">
        <f t="shared" si="30"/>
        <v>1.2</v>
      </c>
      <c r="BZ54" s="16">
        <f t="shared" si="27"/>
        <v>1.0164177869112923E-3</v>
      </c>
      <c r="CA54" s="16">
        <f t="shared" si="31"/>
        <v>-999</v>
      </c>
      <c r="CC54" s="16" t="e">
        <f>IF(AND($BZ$5,$BZ$6),$Y$6+5*$Y$8,NA())</f>
        <v>#N/A</v>
      </c>
      <c r="CD54" s="16">
        <v>0</v>
      </c>
      <c r="CQ54" s="196">
        <v>53</v>
      </c>
      <c r="CR54" s="34">
        <f t="shared" si="26"/>
        <v>2.5900315493345261E-2</v>
      </c>
      <c r="CS54" s="197" t="str">
        <f t="shared" si="23"/>
        <v/>
      </c>
      <c r="CT54" s="16">
        <f t="shared" si="24"/>
        <v>-999</v>
      </c>
      <c r="CU54" s="16">
        <f t="shared" si="25"/>
        <v>-999</v>
      </c>
    </row>
    <row r="55" spans="1:99" ht="12" customHeight="1">
      <c r="A55" s="211"/>
      <c r="B55" s="211"/>
      <c r="C55" s="211"/>
      <c r="D55" s="211"/>
      <c r="E55" s="211"/>
      <c r="F55" s="211"/>
      <c r="G55" s="211"/>
      <c r="H55" s="211"/>
      <c r="I55" s="211"/>
      <c r="J55" s="211"/>
      <c r="K55" s="211"/>
      <c r="L55" s="211"/>
      <c r="M55" s="211"/>
      <c r="N55" s="211"/>
      <c r="O55" s="211"/>
      <c r="AV55" s="495"/>
      <c r="AW55" s="495"/>
      <c r="AX55" s="495"/>
      <c r="AY55" s="495"/>
      <c r="AZ55" s="495"/>
      <c r="BU55" s="16">
        <f t="shared" si="28"/>
        <v>0</v>
      </c>
      <c r="BV55" s="16">
        <f>IF($BY$12=1,NORMDIST(BY55,$Y$6,$Y$8,TRUE),IF($BY$12=2,IF(BY55&lt;=$BX$31,0,IF(BY55&gt;=$BX$32,1,(BY55-$BX$31)*$BX$33)),SUM($BU$42:BU55)/$BV$40))</f>
        <v>7.4458948505924383E-3</v>
      </c>
      <c r="BW55" s="16">
        <f t="shared" si="29"/>
        <v>1.3375455251324448E-3</v>
      </c>
      <c r="BX55" s="16">
        <f>IF($BY$12&lt;3,BV55,SUM($BZ$42:BZ55)/$BX$40)</f>
        <v>7.4458948505924383E-3</v>
      </c>
      <c r="BY55" s="16">
        <f t="shared" si="30"/>
        <v>1.3</v>
      </c>
      <c r="BZ55" s="16">
        <f t="shared" si="27"/>
        <v>1.0288811731788037E-3</v>
      </c>
      <c r="CA55" s="16">
        <f t="shared" si="31"/>
        <v>-999</v>
      </c>
      <c r="CQ55" s="196">
        <v>54</v>
      </c>
      <c r="CR55" s="34">
        <f t="shared" si="26"/>
        <v>0.49163755401968956</v>
      </c>
      <c r="CS55" s="197" t="str">
        <f t="shared" si="23"/>
        <v/>
      </c>
      <c r="CT55" s="16">
        <f t="shared" si="24"/>
        <v>-999</v>
      </c>
      <c r="CU55" s="16">
        <f t="shared" si="25"/>
        <v>-999</v>
      </c>
    </row>
    <row r="56" spans="1:99" ht="12" customHeight="1">
      <c r="A56" s="211"/>
      <c r="B56" s="211"/>
      <c r="C56" s="211"/>
      <c r="D56" s="211"/>
      <c r="E56" s="211"/>
      <c r="F56" s="211"/>
      <c r="G56" s="211"/>
      <c r="H56" s="211"/>
      <c r="I56" s="211"/>
      <c r="J56" s="211"/>
      <c r="K56" s="211"/>
      <c r="L56" s="211"/>
      <c r="M56" s="211"/>
      <c r="N56" s="211"/>
      <c r="O56" s="211"/>
      <c r="AV56" s="495"/>
      <c r="AW56" s="495"/>
      <c r="AX56" s="495"/>
      <c r="AY56" s="495"/>
      <c r="AZ56" s="495"/>
      <c r="BU56" s="16">
        <f t="shared" si="28"/>
        <v>0</v>
      </c>
      <c r="BV56" s="16">
        <f>IF($BY$12=1,NORMDIST(BY56,$Y$6,$Y$8,TRUE),IF($BY$12=2,IF(BY56&lt;=$BX$31,0,IF(BY56&gt;=$BX$32,1,(BY56-$BX$31)*$BX$33)),SUM($BU$42:BU56)/$BV$40))</f>
        <v>7.5494114163092707E-3</v>
      </c>
      <c r="BW56" s="16">
        <f t="shared" si="29"/>
        <v>1.458059888956453E-3</v>
      </c>
      <c r="BX56" s="16">
        <f>IF($BY$12&lt;3,BV56,SUM($BZ$42:BZ56)/$BX$40)</f>
        <v>7.5494114163092707E-3</v>
      </c>
      <c r="BY56" s="16">
        <f t="shared" si="30"/>
        <v>1.4000000000000001</v>
      </c>
      <c r="BZ56" s="16">
        <f t="shared" si="27"/>
        <v>1.0414713492546092E-3</v>
      </c>
      <c r="CA56" s="16">
        <f t="shared" si="31"/>
        <v>-999</v>
      </c>
      <c r="CQ56" s="196">
        <v>55</v>
      </c>
      <c r="CR56" s="34">
        <f t="shared" si="26"/>
        <v>0.93148509785532951</v>
      </c>
      <c r="CS56" s="197" t="str">
        <f t="shared" si="23"/>
        <v/>
      </c>
      <c r="CT56" s="16">
        <f t="shared" si="24"/>
        <v>-999</v>
      </c>
      <c r="CU56" s="16">
        <f t="shared" si="25"/>
        <v>-999</v>
      </c>
    </row>
    <row r="57" spans="1:99" ht="12" customHeight="1">
      <c r="A57" s="211"/>
      <c r="B57" s="211"/>
      <c r="C57" s="211"/>
      <c r="D57" s="211"/>
      <c r="E57" s="211"/>
      <c r="F57" s="211"/>
      <c r="G57" s="211"/>
      <c r="H57" s="211"/>
      <c r="I57" s="211"/>
      <c r="J57" s="211"/>
      <c r="K57" s="211"/>
      <c r="L57" s="211"/>
      <c r="M57" s="211"/>
      <c r="N57" s="211"/>
      <c r="O57" s="211"/>
      <c r="AV57" s="495"/>
      <c r="AW57" s="495"/>
      <c r="AX57" s="495"/>
      <c r="AY57" s="495"/>
      <c r="AZ57" s="495"/>
      <c r="BU57" s="16">
        <f t="shared" si="28"/>
        <v>0</v>
      </c>
      <c r="BV57" s="16">
        <f>IF($BY$12=1,NORMDIST(BY57,$Y$6,$Y$8,TRUE),IF($BY$12=2,IF(BY57&lt;=$BX$31,0,IF(BY57&gt;=$BX$32,1,(BY57-$BX$31)*$BX$33)),SUM($BU$42:BU57)/$BV$40))</f>
        <v>7.6541933773733861E-3</v>
      </c>
      <c r="BW57" s="16">
        <f t="shared" si="29"/>
        <v>1.5812838499248082E-3</v>
      </c>
      <c r="BX57" s="16">
        <f>IF($BY$12&lt;3,BV57,SUM($BZ$42:BZ57)/$BX$40)</f>
        <v>7.6541933773733861E-3</v>
      </c>
      <c r="BY57" s="16">
        <f t="shared" si="30"/>
        <v>1.5000000000000002</v>
      </c>
      <c r="BZ57" s="16">
        <f t="shared" si="27"/>
        <v>1.0541892332832053E-3</v>
      </c>
      <c r="CA57" s="16">
        <f t="shared" si="31"/>
        <v>-999</v>
      </c>
      <c r="CQ57" s="196">
        <v>56</v>
      </c>
      <c r="CR57" s="34">
        <f t="shared" si="26"/>
        <v>8.7859567254781723E-2</v>
      </c>
      <c r="CS57" s="197" t="str">
        <f t="shared" si="23"/>
        <v/>
      </c>
      <c r="CT57" s="16">
        <f t="shared" si="24"/>
        <v>-999</v>
      </c>
      <c r="CU57" s="16">
        <f t="shared" si="25"/>
        <v>-999</v>
      </c>
    </row>
    <row r="58" spans="1:99" ht="12" customHeight="1" thickBot="1">
      <c r="A58" s="211"/>
      <c r="B58" s="211"/>
      <c r="C58" s="211"/>
      <c r="D58" s="211"/>
      <c r="E58" s="211"/>
      <c r="F58" s="211"/>
      <c r="G58" s="211"/>
      <c r="H58" s="211"/>
      <c r="I58" s="211"/>
      <c r="J58" s="211"/>
      <c r="K58" s="211"/>
      <c r="L58" s="211"/>
      <c r="M58" s="211"/>
      <c r="N58" s="211"/>
      <c r="O58" s="211"/>
      <c r="AV58" s="495"/>
      <c r="AW58" s="495"/>
      <c r="AX58" s="495"/>
      <c r="AY58" s="495"/>
      <c r="AZ58" s="495"/>
      <c r="BU58" s="16">
        <f t="shared" si="28"/>
        <v>0</v>
      </c>
      <c r="BV58" s="16">
        <f>IF($BY$12=1,NORMDIST(BY58,$Y$6,$Y$8,TRUE),IF($BY$12=2,IF(BY58&lt;=$BX$31,0,IF(BY58&gt;=$BX$32,1,(BY58-$BX$31)*$BX$33)),SUM($BU$42:BU58)/$BV$40))</f>
        <v>7.760253550553875E-3</v>
      </c>
      <c r="BW58" s="16">
        <f t="shared" si="29"/>
        <v>1.7072571919938228E-3</v>
      </c>
      <c r="BX58" s="16">
        <f>IF($BY$12&lt;3,BV58,SUM($BZ$42:BZ58)/$BX$40)</f>
        <v>7.760253550553875E-3</v>
      </c>
      <c r="BY58" s="16">
        <f t="shared" si="30"/>
        <v>1.6000000000000003</v>
      </c>
      <c r="BZ58" s="16">
        <f t="shared" si="27"/>
        <v>1.067035744996139E-3</v>
      </c>
      <c r="CA58" s="16">
        <f t="shared" si="31"/>
        <v>-999</v>
      </c>
      <c r="CC58" s="531" t="s">
        <v>1097</v>
      </c>
      <c r="CD58" s="479"/>
      <c r="CQ58" s="196">
        <v>57</v>
      </c>
      <c r="CR58" s="34">
        <f t="shared" si="26"/>
        <v>0.81472219154238701</v>
      </c>
      <c r="CS58" s="197" t="str">
        <f t="shared" si="23"/>
        <v/>
      </c>
      <c r="CT58" s="16">
        <f t="shared" si="24"/>
        <v>-999</v>
      </c>
      <c r="CU58" s="16">
        <f t="shared" si="25"/>
        <v>-999</v>
      </c>
    </row>
    <row r="59" spans="1:99" ht="12" customHeight="1">
      <c r="A59" s="211"/>
      <c r="B59" s="211"/>
      <c r="C59" s="211"/>
      <c r="D59" s="211"/>
      <c r="E59" s="211"/>
      <c r="F59" s="211"/>
      <c r="G59" s="211"/>
      <c r="H59" s="211"/>
      <c r="I59" s="211"/>
      <c r="J59" s="211"/>
      <c r="K59" s="211"/>
      <c r="L59" s="211"/>
      <c r="M59" s="211"/>
      <c r="N59" s="211"/>
      <c r="O59" s="211"/>
      <c r="AV59" s="495"/>
      <c r="AW59" s="495"/>
      <c r="AX59" s="495"/>
      <c r="AY59" s="495"/>
      <c r="AZ59" s="495"/>
      <c r="BU59" s="16">
        <f t="shared" si="28"/>
        <v>0</v>
      </c>
      <c r="BV59" s="16">
        <f>IF($BY$12=1,NORMDIST(BY59,$Y$6,$Y$8,TRUE),IF($BY$12=2,IF(BY59&lt;=$BX$31,0,IF(BY59&gt;=$BX$32,1,(BY59-$BX$31)*$BX$33)),SUM($BU$42:BU59)/$BV$40))</f>
        <v>7.8676048446686409E-3</v>
      </c>
      <c r="BW59" s="16">
        <f t="shared" si="29"/>
        <v>1.8360200695860572E-3</v>
      </c>
      <c r="BX59" s="16">
        <f>IF($BY$12&lt;3,BV59,SUM($BZ$42:BZ59)/$BX$40)</f>
        <v>7.8676048446686409E-3</v>
      </c>
      <c r="BY59" s="16">
        <f t="shared" si="30"/>
        <v>1.7000000000000004</v>
      </c>
      <c r="BZ59" s="16">
        <f t="shared" si="27"/>
        <v>1.0800118056388569E-3</v>
      </c>
      <c r="CA59" s="16">
        <f t="shared" si="31"/>
        <v>-999</v>
      </c>
      <c r="CB59" s="16">
        <v>-5</v>
      </c>
      <c r="CC59" s="16" t="e">
        <f>IF(AND($CD$1,$CD$3,$BZ$7),$Y$6+CB59*$Y$23,NA())</f>
        <v>#N/A</v>
      </c>
      <c r="CD59" s="16">
        <v>26</v>
      </c>
      <c r="CQ59" s="196">
        <v>58</v>
      </c>
      <c r="CR59" s="34">
        <f t="shared" si="26"/>
        <v>0.50681236013770103</v>
      </c>
      <c r="CS59" s="197" t="str">
        <f t="shared" si="23"/>
        <v/>
      </c>
      <c r="CT59" s="16">
        <f t="shared" si="24"/>
        <v>-999</v>
      </c>
      <c r="CU59" s="16">
        <f t="shared" si="25"/>
        <v>-999</v>
      </c>
    </row>
    <row r="60" spans="1:99" ht="12" customHeight="1">
      <c r="A60" s="211"/>
      <c r="B60" s="211"/>
      <c r="C60" s="211"/>
      <c r="D60" s="211"/>
      <c r="E60" s="211"/>
      <c r="F60" s="211"/>
      <c r="G60" s="211"/>
      <c r="H60" s="211"/>
      <c r="I60" s="211"/>
      <c r="J60" s="211"/>
      <c r="K60" s="211"/>
      <c r="L60" s="211"/>
      <c r="M60" s="211"/>
      <c r="N60" s="211"/>
      <c r="O60" s="211"/>
      <c r="AV60" s="495"/>
      <c r="AW60" s="495"/>
      <c r="AX60" s="495"/>
      <c r="AY60" s="495"/>
      <c r="AZ60" s="495"/>
      <c r="BU60" s="16">
        <f t="shared" si="28"/>
        <v>0</v>
      </c>
      <c r="BV60" s="16">
        <f>IF($BY$12=1,NORMDIST(BY60,$Y$6,$Y$8,TRUE),IF($BY$12=2,IF(BY60&lt;=$BX$31,0,IF(BY60&gt;=$BX$32,1,(BY60-$BX$31)*$BX$33)),SUM($BU$42:BU60)/$BV$40))</f>
        <v>7.9762602607335031E-3</v>
      </c>
      <c r="BW60" s="16">
        <f t="shared" si="29"/>
        <v>1.967613008213645E-3</v>
      </c>
      <c r="BX60" s="16">
        <f>IF($BY$12&lt;3,BV60,SUM($BZ$42:BZ60)/$BX$40)</f>
        <v>7.9762602607335031E-3</v>
      </c>
      <c r="BY60" s="16">
        <f t="shared" si="30"/>
        <v>1.8000000000000005</v>
      </c>
      <c r="BZ60" s="16">
        <f t="shared" si="27"/>
        <v>1.0931183378964692E-3</v>
      </c>
      <c r="CA60" s="16">
        <f t="shared" si="31"/>
        <v>-999</v>
      </c>
      <c r="CB60" s="16">
        <v>-4</v>
      </c>
      <c r="CC60" s="16" t="e">
        <f t="shared" ref="CC60:CC69" si="32">IF(AND($CD$1,$CD$3,$BZ$7),$Y$6+CB60*$Y$23,NA())</f>
        <v>#N/A</v>
      </c>
      <c r="CD60" s="16">
        <v>26</v>
      </c>
      <c r="CQ60" s="196">
        <v>59</v>
      </c>
      <c r="CR60" s="34">
        <f t="shared" si="26"/>
        <v>0.18993769213557243</v>
      </c>
      <c r="CS60" s="197" t="str">
        <f t="shared" si="23"/>
        <v/>
      </c>
      <c r="CT60" s="16">
        <f t="shared" si="24"/>
        <v>-999</v>
      </c>
      <c r="CU60" s="16">
        <f t="shared" si="25"/>
        <v>-999</v>
      </c>
    </row>
    <row r="61" spans="1:99" ht="12" customHeight="1">
      <c r="A61" s="211"/>
      <c r="B61" s="211"/>
      <c r="C61" s="211"/>
      <c r="D61" s="211"/>
      <c r="E61" s="211"/>
      <c r="F61" s="211"/>
      <c r="G61" s="211"/>
      <c r="H61" s="211"/>
      <c r="I61" s="211"/>
      <c r="J61" s="211"/>
      <c r="K61" s="211"/>
      <c r="L61" s="211"/>
      <c r="M61" s="211"/>
      <c r="N61" s="211"/>
      <c r="O61" s="211"/>
      <c r="AV61" s="495"/>
      <c r="AW61" s="495"/>
      <c r="AX61" s="495"/>
      <c r="AY61" s="495"/>
      <c r="AZ61" s="495"/>
      <c r="BU61" s="16">
        <f t="shared" si="28"/>
        <v>0</v>
      </c>
      <c r="BV61" s="16">
        <f>IF($BY$12=1,NORMDIST(BY61,$Y$6,$Y$8,TRUE),IF($BY$12=2,IF(BY61&lt;=$BX$31,0,IF(BY61&gt;=$BX$32,1,(BY61-$BX$31)*$BX$33)),SUM($BU$42:BU61)/$BV$40))</f>
        <v>8.0862328921018634E-3</v>
      </c>
      <c r="BW61" s="16">
        <f t="shared" si="29"/>
        <v>2.1020769050550236E-3</v>
      </c>
      <c r="BX61" s="16">
        <f>IF($BY$12&lt;3,BV61,SUM($BZ$42:BZ61)/$BX$40)</f>
        <v>8.0862328921018634E-3</v>
      </c>
      <c r="BY61" s="16">
        <f t="shared" si="30"/>
        <v>1.9000000000000006</v>
      </c>
      <c r="BZ61" s="16">
        <f t="shared" si="27"/>
        <v>1.1063562658184332E-3</v>
      </c>
      <c r="CA61" s="16">
        <f t="shared" si="31"/>
        <v>-999</v>
      </c>
      <c r="CB61" s="16">
        <v>-3</v>
      </c>
      <c r="CC61" s="16" t="e">
        <f t="shared" si="32"/>
        <v>#N/A</v>
      </c>
      <c r="CD61" s="16">
        <v>26</v>
      </c>
      <c r="CQ61" s="196">
        <v>60</v>
      </c>
      <c r="CR61" s="34">
        <f t="shared" si="26"/>
        <v>0.39054572209715843</v>
      </c>
      <c r="CS61" s="197" t="str">
        <f t="shared" si="23"/>
        <v/>
      </c>
      <c r="CT61" s="16">
        <f t="shared" si="24"/>
        <v>-999</v>
      </c>
      <c r="CU61" s="16">
        <f t="shared" si="25"/>
        <v>-999</v>
      </c>
    </row>
    <row r="62" spans="1:99" ht="12" customHeight="1">
      <c r="A62" s="211"/>
      <c r="B62" s="211"/>
      <c r="C62" s="211"/>
      <c r="D62" s="211"/>
      <c r="E62" s="211"/>
      <c r="F62" s="211"/>
      <c r="G62" s="211"/>
      <c r="H62" s="211"/>
      <c r="I62" s="211"/>
      <c r="J62" s="211"/>
      <c r="K62" s="211"/>
      <c r="L62" s="211"/>
      <c r="M62" s="211"/>
      <c r="N62" s="211"/>
      <c r="O62" s="211"/>
      <c r="AV62" s="495"/>
      <c r="AW62" s="495"/>
      <c r="AX62" s="495"/>
      <c r="AY62" s="495"/>
      <c r="AZ62" s="495"/>
      <c r="BU62" s="16">
        <f t="shared" si="28"/>
        <v>0</v>
      </c>
      <c r="BV62" s="16">
        <f>IF($BY$12=1,NORMDIST(BY62,$Y$6,$Y$8,TRUE),IF($BY$12=2,IF(BY62&lt;=$BX$31,0,IF(BY62&gt;=$BX$32,1,(BY62-$BX$31)*$BX$33)),SUM($BU$42:BU62)/$BV$40))</f>
        <v>8.1975359245960444E-3</v>
      </c>
      <c r="BW62" s="16">
        <f t="shared" si="29"/>
        <v>2.2394530294842902E-3</v>
      </c>
      <c r="BX62" s="16">
        <f>IF($BY$12&lt;3,BV62,SUM($BZ$42:BZ62)/$BX$40)</f>
        <v>8.1975359245960444E-3</v>
      </c>
      <c r="BY62" s="16">
        <f t="shared" si="30"/>
        <v>2.0000000000000004</v>
      </c>
      <c r="BZ62" s="16">
        <f t="shared" si="27"/>
        <v>1.1197265147421449E-3</v>
      </c>
      <c r="CA62" s="16">
        <f t="shared" si="31"/>
        <v>-999</v>
      </c>
      <c r="CB62" s="16">
        <v>-2</v>
      </c>
      <c r="CC62" s="16" t="e">
        <f t="shared" si="32"/>
        <v>#N/A</v>
      </c>
      <c r="CD62" s="16">
        <v>26</v>
      </c>
      <c r="CQ62" s="196">
        <v>61</v>
      </c>
      <c r="CR62" s="34">
        <f t="shared" si="26"/>
        <v>0.29806597158312798</v>
      </c>
      <c r="CS62" s="197" t="str">
        <f t="shared" si="23"/>
        <v/>
      </c>
      <c r="CT62" s="16">
        <f t="shared" si="24"/>
        <v>-999</v>
      </c>
      <c r="CU62" s="16">
        <f t="shared" si="25"/>
        <v>-999</v>
      </c>
    </row>
    <row r="63" spans="1:99" ht="12" customHeight="1">
      <c r="A63" s="211"/>
      <c r="B63" s="211"/>
      <c r="C63" s="211"/>
      <c r="D63" s="211"/>
      <c r="E63" s="211"/>
      <c r="F63" s="211"/>
      <c r="G63" s="211"/>
      <c r="H63" s="211"/>
      <c r="I63" s="211"/>
      <c r="J63" s="211"/>
      <c r="K63" s="211"/>
      <c r="L63" s="211"/>
      <c r="M63" s="211"/>
      <c r="N63" s="211"/>
      <c r="O63" s="211"/>
      <c r="AV63" s="495"/>
      <c r="AW63" s="495"/>
      <c r="AX63" s="495"/>
      <c r="AY63" s="495"/>
      <c r="AZ63" s="495"/>
      <c r="BU63" s="16">
        <f t="shared" si="28"/>
        <v>0</v>
      </c>
      <c r="BV63" s="16">
        <f>IF($BY$12=1,NORMDIST(BY63,$Y$6,$Y$8,TRUE),IF($BY$12=2,IF(BY63&lt;=$BX$31,0,IF(BY63&gt;=$BX$32,1,(BY63-$BX$31)*$BX$33)),SUM($BU$42:BU63)/$BV$40))</f>
        <v>8.3101826366340781E-3</v>
      </c>
      <c r="BW63" s="16">
        <f t="shared" si="29"/>
        <v>2.3797830235524338E-3</v>
      </c>
      <c r="BX63" s="16">
        <f>IF($BY$12&lt;3,BV63,SUM($BZ$42:BZ63)/$BX$40)</f>
        <v>8.3101826366340781E-3</v>
      </c>
      <c r="BY63" s="16">
        <f t="shared" si="30"/>
        <v>2.1000000000000005</v>
      </c>
      <c r="BZ63" s="16">
        <f t="shared" si="27"/>
        <v>1.1332300112154444E-3</v>
      </c>
      <c r="CA63" s="16">
        <f t="shared" si="31"/>
        <v>-999</v>
      </c>
      <c r="CB63" s="16">
        <v>-1</v>
      </c>
      <c r="CC63" s="16" t="e">
        <f t="shared" si="32"/>
        <v>#N/A</v>
      </c>
      <c r="CD63" s="16">
        <v>26</v>
      </c>
      <c r="CQ63" s="196">
        <v>62</v>
      </c>
      <c r="CR63" s="34">
        <f t="shared" si="26"/>
        <v>0.59068891033530235</v>
      </c>
      <c r="CS63" s="197" t="str">
        <f t="shared" si="23"/>
        <v/>
      </c>
      <c r="CT63" s="16">
        <f t="shared" si="24"/>
        <v>-999</v>
      </c>
      <c r="CU63" s="16">
        <f t="shared" si="25"/>
        <v>-999</v>
      </c>
    </row>
    <row r="64" spans="1:99" ht="12" customHeight="1">
      <c r="A64" s="211"/>
      <c r="B64" s="211"/>
      <c r="C64" s="211"/>
      <c r="D64" s="211"/>
      <c r="E64" s="211"/>
      <c r="F64" s="211"/>
      <c r="G64" s="211"/>
      <c r="H64" s="211"/>
      <c r="I64" s="211"/>
      <c r="J64" s="211"/>
      <c r="K64" s="211"/>
      <c r="L64" s="211"/>
      <c r="M64" s="211"/>
      <c r="N64" s="211"/>
      <c r="O64" s="211"/>
      <c r="AV64" s="495"/>
      <c r="AW64" s="495"/>
      <c r="AX64" s="495"/>
      <c r="AY64" s="495"/>
      <c r="AZ64" s="495"/>
      <c r="BU64" s="16">
        <f t="shared" si="28"/>
        <v>0</v>
      </c>
      <c r="BV64" s="16">
        <f>IF($BY$12=1,NORMDIST(BY64,$Y$6,$Y$8,TRUE),IF($BY$12=2,IF(BY64&lt;=$BX$31,0,IF(BY64&gt;=$BX$32,1,(BY64-$BX$31)*$BX$33)),SUM($BU$42:BU64)/$BV$40))</f>
        <v>8.4241863993455013E-3</v>
      </c>
      <c r="BW64" s="16">
        <f t="shared" si="29"/>
        <v>2.5231089024196776E-3</v>
      </c>
      <c r="BX64" s="16">
        <f>IF($BY$12&lt;3,BV64,SUM($BZ$42:BZ64)/$BX$40)</f>
        <v>8.4241863993455013E-3</v>
      </c>
      <c r="BY64" s="16">
        <f t="shared" si="30"/>
        <v>2.2000000000000006</v>
      </c>
      <c r="BZ64" s="16">
        <f t="shared" si="27"/>
        <v>1.146867682918035E-3</v>
      </c>
      <c r="CA64" s="16">
        <f t="shared" si="31"/>
        <v>-999</v>
      </c>
      <c r="CB64" s="16">
        <v>0</v>
      </c>
      <c r="CC64" s="16" t="e">
        <f t="shared" si="32"/>
        <v>#N/A</v>
      </c>
      <c r="CD64" s="16">
        <v>26</v>
      </c>
      <c r="CQ64" s="196">
        <v>63</v>
      </c>
      <c r="CR64" s="34">
        <f t="shared" si="26"/>
        <v>0.78230885788798332</v>
      </c>
      <c r="CS64" s="197" t="str">
        <f t="shared" si="23"/>
        <v/>
      </c>
      <c r="CT64" s="16">
        <f t="shared" si="24"/>
        <v>-999</v>
      </c>
      <c r="CU64" s="16">
        <f t="shared" si="25"/>
        <v>-999</v>
      </c>
    </row>
    <row r="65" spans="1:99" ht="12" customHeight="1">
      <c r="A65" s="211"/>
      <c r="B65" s="211"/>
      <c r="C65" s="211"/>
      <c r="D65" s="211"/>
      <c r="E65" s="211"/>
      <c r="F65" s="211"/>
      <c r="G65" s="211"/>
      <c r="H65" s="211"/>
      <c r="I65" s="211"/>
      <c r="J65" s="211"/>
      <c r="K65" s="211"/>
      <c r="L65" s="211"/>
      <c r="M65" s="211"/>
      <c r="N65" s="211"/>
      <c r="O65" s="211"/>
      <c r="AV65" s="495"/>
      <c r="AW65" s="495"/>
      <c r="AX65" s="495"/>
      <c r="AY65" s="495"/>
      <c r="AZ65" s="495"/>
      <c r="BU65" s="16">
        <f t="shared" si="28"/>
        <v>0</v>
      </c>
      <c r="BV65" s="16">
        <f>IF($BY$12=1,NORMDIST(BY65,$Y$6,$Y$8,TRUE),IF($BY$12=2,IF(BY65&lt;=$BX$31,0,IF(BY65&gt;=$BX$32,1,(BY65-$BX$31)*$BX$33)),SUM($BU$42:BU65)/$BV$40))</f>
        <v>8.5395606766818233E-3</v>
      </c>
      <c r="BW65" s="16">
        <f t="shared" si="29"/>
        <v>2.669473054738154E-3</v>
      </c>
      <c r="BX65" s="16">
        <f>IF($BY$12&lt;3,BV65,SUM($BZ$42:BZ65)/$BX$40)</f>
        <v>8.5395606766818233E-3</v>
      </c>
      <c r="BY65" s="16">
        <f t="shared" si="30"/>
        <v>2.3000000000000007</v>
      </c>
      <c r="BZ65" s="16">
        <f t="shared" si="27"/>
        <v>1.1606404585818057E-3</v>
      </c>
      <c r="CA65" s="16">
        <f t="shared" si="31"/>
        <v>-999</v>
      </c>
      <c r="CB65" s="16">
        <v>1</v>
      </c>
      <c r="CC65" s="16" t="e">
        <f t="shared" si="32"/>
        <v>#N/A</v>
      </c>
      <c r="CD65" s="16">
        <v>26</v>
      </c>
      <c r="CQ65" s="196">
        <v>64</v>
      </c>
      <c r="CR65" s="34">
        <f t="shared" si="26"/>
        <v>0.74889498576521873</v>
      </c>
      <c r="CS65" s="197" t="str">
        <f t="shared" si="23"/>
        <v/>
      </c>
      <c r="CT65" s="16">
        <f t="shared" si="24"/>
        <v>-999</v>
      </c>
      <c r="CU65" s="16">
        <f t="shared" si="25"/>
        <v>-999</v>
      </c>
    </row>
    <row r="66" spans="1:99" ht="12" customHeight="1">
      <c r="A66" s="211"/>
      <c r="B66" s="211"/>
      <c r="C66" s="211"/>
      <c r="D66" s="211"/>
      <c r="E66" s="211"/>
      <c r="F66" s="211"/>
      <c r="G66" s="211"/>
      <c r="H66" s="211"/>
      <c r="I66" s="211"/>
      <c r="J66" s="211"/>
      <c r="K66" s="211"/>
      <c r="L66" s="211"/>
      <c r="M66" s="211"/>
      <c r="N66" s="211"/>
      <c r="O66" s="211"/>
      <c r="AV66" s="495"/>
      <c r="AW66" s="495"/>
      <c r="AX66" s="495"/>
      <c r="AY66" s="495"/>
      <c r="AZ66" s="495"/>
      <c r="BU66" s="16">
        <f t="shared" si="28"/>
        <v>0</v>
      </c>
      <c r="BV66" s="16">
        <f>IF($BY$12=1,NORMDIST(BY66,$Y$6,$Y$8,TRUE),IF($BY$12=2,IF(BY66&lt;=$BX$31,0,IF(BY66&gt;=$BX$32,1,(BY66-$BX$31)*$BX$33)),SUM($BU$42:BU66)/$BV$40))</f>
        <v>8.6563190255166678E-3</v>
      </c>
      <c r="BW66" s="16">
        <f t="shared" si="29"/>
        <v>2.8189182429841633E-3</v>
      </c>
      <c r="BX66" s="16">
        <f>IF($BY$12&lt;3,BV66,SUM($BZ$42:BZ66)/$BX$40)</f>
        <v>8.6563190255166678E-3</v>
      </c>
      <c r="BY66" s="16">
        <f t="shared" si="30"/>
        <v>2.4000000000000008</v>
      </c>
      <c r="BZ66" s="16">
        <f t="shared" si="27"/>
        <v>1.1745492679100676E-3</v>
      </c>
      <c r="CA66" s="16">
        <f t="shared" si="31"/>
        <v>-999</v>
      </c>
      <c r="CB66" s="16">
        <v>2</v>
      </c>
      <c r="CC66" s="16" t="e">
        <f t="shared" si="32"/>
        <v>#N/A</v>
      </c>
      <c r="CD66" s="16">
        <v>26</v>
      </c>
      <c r="CQ66" s="196">
        <v>65</v>
      </c>
      <c r="CR66" s="34">
        <f t="shared" si="26"/>
        <v>0.59328700229525566</v>
      </c>
      <c r="CS66" s="197" t="str">
        <f t="shared" ref="CS66:CS97" si="33">IF(AND($CB$7,$CQ66&lt;=$T$18),IF($BY$12=1,$C$4+$D$4*NORMSINV(CR66),IF($BY$12=2,$CW$8+CR66*$CW$11,VLOOKUP(CR66,$BV$42:$BY$4042,4))),"")</f>
        <v/>
      </c>
      <c r="CT66" s="16">
        <f t="shared" ref="CT66:CT97" si="34">IF(AND($CB$4,CS66&lt;&gt;"",$M$4&lt;&gt;""),CS66,-999)</f>
        <v>-999</v>
      </c>
      <c r="CU66" s="16">
        <f t="shared" ref="CU66:CU97" si="35">IF(CT66=-999,-999,0)</f>
        <v>-999</v>
      </c>
    </row>
    <row r="67" spans="1:99" ht="12" customHeight="1">
      <c r="A67" s="211"/>
      <c r="B67" s="211"/>
      <c r="C67" s="211"/>
      <c r="D67" s="211"/>
      <c r="E67" s="211"/>
      <c r="F67" s="211"/>
      <c r="G67" s="211"/>
      <c r="H67" s="211"/>
      <c r="I67" s="211"/>
      <c r="J67" s="211"/>
      <c r="K67" s="211"/>
      <c r="L67" s="211"/>
      <c r="M67" s="211"/>
      <c r="N67" s="211"/>
      <c r="O67" s="211"/>
      <c r="AV67" s="495"/>
      <c r="AW67" s="495"/>
      <c r="AX67" s="495"/>
      <c r="AY67" s="495"/>
      <c r="AZ67" s="495"/>
      <c r="BU67" s="16">
        <f t="shared" si="28"/>
        <v>0</v>
      </c>
      <c r="BV67" s="16">
        <f>IF($BY$12=1,NORMDIST(BY67,$Y$6,$Y$8,TRUE),IF($BY$12=2,IF(BY67&lt;=$BX$31,0,IF(BY67&gt;=$BX$32,1,(BY67-$BX$31)*$BX$33)),SUM($BU$42:BU67)/$BV$40))</f>
        <v>8.7744750957382545E-3</v>
      </c>
      <c r="BW67" s="16">
        <f t="shared" si="29"/>
        <v>2.9714876037392262E-3</v>
      </c>
      <c r="BX67" s="16">
        <f>IF($BY$12&lt;3,BV67,SUM($BZ$42:BZ67)/$BX$40)</f>
        <v>8.7744750957382545E-3</v>
      </c>
      <c r="BY67" s="16">
        <f t="shared" si="30"/>
        <v>2.5000000000000009</v>
      </c>
      <c r="BZ67" s="16">
        <f t="shared" si="27"/>
        <v>1.1885950414956901E-3</v>
      </c>
      <c r="CA67" s="16">
        <f t="shared" si="31"/>
        <v>-999</v>
      </c>
      <c r="CB67" s="16">
        <v>3</v>
      </c>
      <c r="CC67" s="16" t="e">
        <f t="shared" si="32"/>
        <v>#N/A</v>
      </c>
      <c r="CD67" s="16">
        <v>26</v>
      </c>
      <c r="CQ67" s="196">
        <v>66</v>
      </c>
      <c r="CR67" s="34">
        <f t="shared" ref="CR67:CR101" si="36">MOD(CR66*10000013,1)</f>
        <v>0.73568358644843102</v>
      </c>
      <c r="CS67" s="197" t="str">
        <f t="shared" si="33"/>
        <v/>
      </c>
      <c r="CT67" s="16">
        <f t="shared" si="34"/>
        <v>-999</v>
      </c>
      <c r="CU67" s="16">
        <f t="shared" si="35"/>
        <v>-999</v>
      </c>
    </row>
    <row r="68" spans="1:99" ht="12" customHeight="1">
      <c r="A68" s="211"/>
      <c r="B68" s="211"/>
      <c r="C68" s="211"/>
      <c r="D68" s="211"/>
      <c r="E68" s="211"/>
      <c r="F68" s="211"/>
      <c r="G68" s="211"/>
      <c r="H68" s="211"/>
      <c r="I68" s="211"/>
      <c r="J68" s="211"/>
      <c r="K68" s="211"/>
      <c r="L68" s="211"/>
      <c r="M68" s="211"/>
      <c r="N68" s="211"/>
      <c r="O68" s="211"/>
      <c r="AV68" s="495"/>
      <c r="AW68" s="495"/>
      <c r="AX68" s="495"/>
      <c r="AY68" s="495"/>
      <c r="AZ68" s="495"/>
      <c r="BU68" s="16">
        <f t="shared" si="28"/>
        <v>0</v>
      </c>
      <c r="BV68" s="16">
        <f>IF($BY$12=1,NORMDIST(BY68,$Y$6,$Y$8,TRUE),IF($BY$12=2,IF(BY68&lt;=$BX$31,0,IF(BY68&gt;=$BX$32,1,(BY68-$BX$31)*$BX$33)),SUM($BU$42:BU68)/$BV$40))</f>
        <v>8.8940426303371067E-3</v>
      </c>
      <c r="BW68" s="16">
        <f t="shared" si="29"/>
        <v>3.1272246479191884E-3</v>
      </c>
      <c r="BX68" s="16">
        <f>IF($BY$12&lt;3,BV68,SUM($BZ$42:BZ68)/$BX$40)</f>
        <v>8.8940426303371067E-3</v>
      </c>
      <c r="BY68" s="16">
        <f t="shared" si="30"/>
        <v>2.600000000000001</v>
      </c>
      <c r="BZ68" s="16">
        <f t="shared" si="27"/>
        <v>1.2027787107381489E-3</v>
      </c>
      <c r="CA68" s="16">
        <f t="shared" si="31"/>
        <v>-999</v>
      </c>
      <c r="CB68" s="16">
        <v>4</v>
      </c>
      <c r="CC68" s="16" t="e">
        <f t="shared" si="32"/>
        <v>#N/A</v>
      </c>
      <c r="CD68" s="16">
        <v>26</v>
      </c>
      <c r="CQ68" s="196">
        <v>67</v>
      </c>
      <c r="CR68" s="34">
        <f t="shared" si="36"/>
        <v>0.42837093397974968</v>
      </c>
      <c r="CS68" s="197" t="str">
        <f t="shared" si="33"/>
        <v/>
      </c>
      <c r="CT68" s="16">
        <f t="shared" si="34"/>
        <v>-999</v>
      </c>
      <c r="CU68" s="16">
        <f t="shared" si="35"/>
        <v>-999</v>
      </c>
    </row>
    <row r="69" spans="1:99" ht="12" customHeight="1">
      <c r="A69" s="211"/>
      <c r="B69" s="211"/>
      <c r="C69" s="211"/>
      <c r="D69" s="211"/>
      <c r="E69" s="211"/>
      <c r="F69" s="211"/>
      <c r="G69" s="211"/>
      <c r="H69" s="211"/>
      <c r="I69" s="211"/>
      <c r="J69" s="211"/>
      <c r="K69" s="211"/>
      <c r="L69" s="211"/>
      <c r="M69" s="211"/>
      <c r="N69" s="211"/>
      <c r="O69" s="211"/>
      <c r="AV69" s="495"/>
      <c r="AW69" s="495"/>
      <c r="AX69" s="495"/>
      <c r="AY69" s="495"/>
      <c r="AZ69" s="495"/>
      <c r="BU69" s="16">
        <f t="shared" si="28"/>
        <v>0</v>
      </c>
      <c r="BV69" s="16">
        <f>IF($BY$12=1,NORMDIST(BY69,$Y$6,$Y$8,TRUE),IF($BY$12=2,IF(BY69&lt;=$BX$31,0,IF(BY69&gt;=$BX$32,1,(BY69-$BX$31)*$BX$33)),SUM($BU$42:BU69)/$BV$40))</f>
        <v>9.0150354654779941E-3</v>
      </c>
      <c r="BW69" s="16">
        <f t="shared" si="29"/>
        <v>3.2861732609505926E-3</v>
      </c>
      <c r="BX69" s="16">
        <f>IF($BY$12&lt;3,BV69,SUM($BZ$42:BZ69)/$BX$40)</f>
        <v>9.0150354654779941E-3</v>
      </c>
      <c r="BY69" s="16">
        <f t="shared" si="30"/>
        <v>2.7000000000000011</v>
      </c>
      <c r="BZ69" s="16">
        <f t="shared" si="27"/>
        <v>1.2171012077594782E-3</v>
      </c>
      <c r="CA69" s="16">
        <f t="shared" si="31"/>
        <v>-999</v>
      </c>
      <c r="CB69" s="16">
        <v>5</v>
      </c>
      <c r="CC69" s="16" t="e">
        <f t="shared" si="32"/>
        <v>#N/A</v>
      </c>
      <c r="CD69" s="16">
        <v>26</v>
      </c>
      <c r="CQ69" s="196">
        <v>68</v>
      </c>
      <c r="CR69" s="34">
        <f t="shared" si="36"/>
        <v>0.90861963853240013</v>
      </c>
      <c r="CS69" s="197" t="str">
        <f t="shared" si="33"/>
        <v/>
      </c>
      <c r="CT69" s="16">
        <f t="shared" si="34"/>
        <v>-999</v>
      </c>
      <c r="CU69" s="16">
        <f t="shared" si="35"/>
        <v>-999</v>
      </c>
    </row>
    <row r="70" spans="1:99" ht="12" customHeight="1">
      <c r="A70" s="211"/>
      <c r="B70" s="211"/>
      <c r="C70" s="211"/>
      <c r="D70" s="211"/>
      <c r="E70" s="211"/>
      <c r="F70" s="211"/>
      <c r="G70" s="211"/>
      <c r="H70" s="211"/>
      <c r="I70" s="211"/>
      <c r="J70" s="211"/>
      <c r="K70" s="211"/>
      <c r="L70" s="211"/>
      <c r="M70" s="211"/>
      <c r="N70" s="211"/>
      <c r="O70" s="211"/>
      <c r="AV70" s="495"/>
      <c r="AW70" s="495"/>
      <c r="AX70" s="495"/>
      <c r="AY70" s="495"/>
      <c r="AZ70" s="495"/>
      <c r="BU70" s="16">
        <f t="shared" si="28"/>
        <v>0</v>
      </c>
      <c r="BV70" s="16">
        <f>IF($BY$12=1,NORMDIST(BY70,$Y$6,$Y$8,TRUE),IF($BY$12=2,IF(BY70&lt;=$BX$31,0,IF(BY70&gt;=$BX$32,1,(BY70-$BX$31)*$BX$33)),SUM($BU$42:BU70)/$BV$40))</f>
        <v>9.1374675305728736E-3</v>
      </c>
      <c r="BW70" s="16">
        <f t="shared" si="29"/>
        <v>3.4483777028935518E-3</v>
      </c>
      <c r="BX70" s="16">
        <f>IF($BY$12&lt;3,BV70,SUM($BZ$42:BZ70)/$BX$40)</f>
        <v>9.1374675305728736E-3</v>
      </c>
      <c r="BY70" s="16">
        <f t="shared" si="30"/>
        <v>2.8000000000000012</v>
      </c>
      <c r="BZ70" s="16">
        <f t="shared" si="27"/>
        <v>1.2315634653191252E-3</v>
      </c>
      <c r="CA70" s="16">
        <f t="shared" si="31"/>
        <v>-999</v>
      </c>
      <c r="CQ70" s="196">
        <v>69</v>
      </c>
      <c r="CR70" s="34">
        <f t="shared" si="36"/>
        <v>0.19737930223345757</v>
      </c>
      <c r="CS70" s="197" t="str">
        <f t="shared" si="33"/>
        <v/>
      </c>
      <c r="CT70" s="16">
        <f t="shared" si="34"/>
        <v>-999</v>
      </c>
      <c r="CU70" s="16">
        <f t="shared" si="35"/>
        <v>-999</v>
      </c>
    </row>
    <row r="71" spans="1:99" ht="12" customHeight="1">
      <c r="A71" s="211"/>
      <c r="B71" s="211"/>
      <c r="C71" s="211"/>
      <c r="D71" s="211"/>
      <c r="E71" s="211"/>
      <c r="F71" s="211"/>
      <c r="G71" s="211"/>
      <c r="H71" s="211"/>
      <c r="I71" s="211"/>
      <c r="J71" s="211"/>
      <c r="K71" s="211"/>
      <c r="L71" s="211"/>
      <c r="M71" s="211"/>
      <c r="N71" s="211"/>
      <c r="O71" s="211"/>
      <c r="AV71" s="495"/>
      <c r="AW71" s="495"/>
      <c r="AX71" s="495"/>
      <c r="AY71" s="495"/>
      <c r="AZ71" s="495"/>
      <c r="BR71" s="196"/>
      <c r="BS71" s="196"/>
      <c r="BT71" s="196"/>
      <c r="BU71" s="16">
        <f t="shared" si="28"/>
        <v>0</v>
      </c>
      <c r="BV71" s="16">
        <f>IF($BY$12=1,NORMDIST(BY71,$Y$6,$Y$8,TRUE),IF($BY$12=2,IF(BY71&lt;=$BX$31,0,IF(BY71&gt;=$BX$32,1,(BY71-$BX$31)*$BX$33)),SUM($BU$42:BU71)/$BV$40))</f>
        <v>9.2613528483362906E-3</v>
      </c>
      <c r="BW71" s="16">
        <f t="shared" si="29"/>
        <v>3.6138826085103763E-3</v>
      </c>
      <c r="BX71" s="16">
        <f>IF($BY$12&lt;3,BV71,SUM($BZ$42:BZ71)/$BX$40)</f>
        <v>9.2613528483362906E-3</v>
      </c>
      <c r="BY71" s="16">
        <f t="shared" si="30"/>
        <v>2.9000000000000012</v>
      </c>
      <c r="BZ71" s="16">
        <f t="shared" si="27"/>
        <v>1.2461664167277154E-3</v>
      </c>
      <c r="CA71" s="16">
        <f t="shared" si="31"/>
        <v>-999</v>
      </c>
      <c r="CQ71" s="196">
        <v>70</v>
      </c>
      <c r="CR71" s="34">
        <f t="shared" si="36"/>
        <v>0.58826550468802452</v>
      </c>
      <c r="CS71" s="197" t="str">
        <f t="shared" si="33"/>
        <v/>
      </c>
      <c r="CT71" s="16">
        <f t="shared" si="34"/>
        <v>-999</v>
      </c>
      <c r="CU71" s="16">
        <f t="shared" si="35"/>
        <v>-999</v>
      </c>
    </row>
    <row r="72" spans="1:99" ht="12" customHeight="1">
      <c r="A72" s="211"/>
      <c r="B72" s="211"/>
      <c r="C72" s="211"/>
      <c r="D72" s="211"/>
      <c r="E72" s="211"/>
      <c r="F72" s="211"/>
      <c r="G72" s="211"/>
      <c r="H72" s="211"/>
      <c r="I72" s="211"/>
      <c r="J72" s="211"/>
      <c r="K72" s="211"/>
      <c r="L72" s="211"/>
      <c r="M72" s="211"/>
      <c r="N72" s="211"/>
      <c r="O72" s="211"/>
      <c r="AV72" s="495"/>
      <c r="AW72" s="495"/>
      <c r="AX72" s="495"/>
      <c r="AY72" s="495"/>
      <c r="AZ72" s="495"/>
      <c r="BU72" s="16">
        <f t="shared" si="28"/>
        <v>0</v>
      </c>
      <c r="BV72" s="16">
        <f>IF($BY$12=1,NORMDIST(BY72,$Y$6,$Y$8,TRUE),IF($BY$12=2,IF(BY72&lt;=$BX$31,0,IF(BY72&gt;=$BX$32,1,(BY72-$BX$31)*$BX$33)),SUM($BU$42:BU72)/$BV$40))</f>
        <v>9.3867055348385575E-3</v>
      </c>
      <c r="BW72" s="16">
        <f t="shared" si="29"/>
        <v>3.7827329872791604E-3</v>
      </c>
      <c r="BX72" s="16">
        <f>IF($BY$12&lt;3,BV72,SUM($BZ$42:BZ72)/$BX$40)</f>
        <v>9.3867055348385575E-3</v>
      </c>
      <c r="BY72" s="16">
        <f t="shared" si="30"/>
        <v>3.0000000000000013</v>
      </c>
      <c r="BZ72" s="16">
        <f t="shared" si="27"/>
        <v>1.2609109957597195E-3</v>
      </c>
      <c r="CA72" s="16">
        <f t="shared" si="31"/>
        <v>-999</v>
      </c>
      <c r="CQ72" s="196">
        <v>71</v>
      </c>
      <c r="CR72" s="34">
        <f t="shared" si="36"/>
        <v>0.69433180615305901</v>
      </c>
      <c r="CS72" s="197" t="str">
        <f t="shared" si="33"/>
        <v/>
      </c>
      <c r="CT72" s="16">
        <f t="shared" si="34"/>
        <v>-999</v>
      </c>
      <c r="CU72" s="16">
        <f t="shared" si="35"/>
        <v>-999</v>
      </c>
    </row>
    <row r="73" spans="1:99" ht="12" customHeight="1">
      <c r="A73" s="211"/>
      <c r="B73" s="211"/>
      <c r="C73" s="211"/>
      <c r="D73" s="211"/>
      <c r="E73" s="211"/>
      <c r="F73" s="211"/>
      <c r="G73" s="211"/>
      <c r="H73" s="211"/>
      <c r="I73" s="211"/>
      <c r="J73" s="211"/>
      <c r="K73" s="211"/>
      <c r="L73" s="211"/>
      <c r="M73" s="211"/>
      <c r="N73" s="211"/>
      <c r="O73" s="211"/>
      <c r="AV73" s="495"/>
      <c r="AW73" s="495"/>
      <c r="AX73" s="495"/>
      <c r="AY73" s="495"/>
      <c r="AZ73" s="495"/>
      <c r="BU73" s="16">
        <f t="shared" si="28"/>
        <v>0</v>
      </c>
      <c r="BV73" s="16">
        <f>IF($BY$12=1,NORMDIST(BY73,$Y$6,$Y$8,TRUE),IF($BY$12=2,IF(BY73&lt;=$BX$31,0,IF(BY73&gt;=$BX$32,1,(BY73-$BX$31)*$BX$33)),SUM($BU$42:BU73)/$BV$40))</f>
        <v>9.513539799546944E-3</v>
      </c>
      <c r="BW73" s="16">
        <f t="shared" si="29"/>
        <v>3.954974223351556E-3</v>
      </c>
      <c r="BX73" s="16">
        <f>IF($BY$12&lt;3,BV73,SUM($BZ$42:BZ73)/$BX$40)</f>
        <v>9.513539799546944E-3</v>
      </c>
      <c r="BY73" s="16">
        <f t="shared" si="30"/>
        <v>3.1000000000000014</v>
      </c>
      <c r="BZ73" s="16">
        <f t="shared" si="27"/>
        <v>1.2757981365650174E-3</v>
      </c>
      <c r="CA73" s="16">
        <f t="shared" si="31"/>
        <v>-999</v>
      </c>
      <c r="CQ73" s="196">
        <v>72</v>
      </c>
      <c r="CR73" s="34">
        <f t="shared" si="36"/>
        <v>8.7844070047140121E-2</v>
      </c>
      <c r="CS73" s="197" t="str">
        <f t="shared" si="33"/>
        <v/>
      </c>
      <c r="CT73" s="16">
        <f t="shared" si="34"/>
        <v>-999</v>
      </c>
      <c r="CU73" s="16">
        <f t="shared" si="35"/>
        <v>-999</v>
      </c>
    </row>
    <row r="74" spans="1:99" ht="12" customHeight="1">
      <c r="A74" s="211"/>
      <c r="B74" s="211"/>
      <c r="C74" s="211"/>
      <c r="D74" s="211"/>
      <c r="E74" s="211"/>
      <c r="F74" s="211"/>
      <c r="G74" s="211"/>
      <c r="H74" s="211"/>
      <c r="I74" s="211"/>
      <c r="J74" s="211"/>
      <c r="K74" s="211"/>
      <c r="L74" s="211"/>
      <c r="M74" s="211"/>
      <c r="N74" s="211"/>
      <c r="O74" s="211"/>
      <c r="S74"/>
      <c r="T74"/>
      <c r="U74"/>
      <c r="V74"/>
      <c r="W74"/>
      <c r="X74"/>
      <c r="Y74"/>
      <c r="Z74"/>
      <c r="AA74"/>
      <c r="AB74"/>
      <c r="AC74"/>
      <c r="AD74"/>
      <c r="AE74"/>
      <c r="AF74"/>
      <c r="AG74"/>
      <c r="AH74"/>
      <c r="AI74"/>
      <c r="AJ74"/>
      <c r="AK74"/>
      <c r="AV74" s="495"/>
      <c r="AW74" s="495"/>
      <c r="AX74" s="495"/>
      <c r="AY74" s="495"/>
      <c r="AZ74" s="495"/>
      <c r="BU74" s="16">
        <f t="shared" si="28"/>
        <v>0</v>
      </c>
      <c r="BV74" s="16">
        <f>IF($BY$12=1,NORMDIST(BY74,$Y$6,$Y$8,TRUE),IF($BY$12=2,IF(BY74&lt;=$BX$31,0,IF(BY74&gt;=$BX$32,1,(BY74-$BX$31)*$BX$33)),SUM($BU$42:BU74)/$BV$40))</f>
        <v>9.6418699453585388E-3</v>
      </c>
      <c r="BW74" s="16">
        <f t="shared" si="29"/>
        <v>4.1306520754540313E-3</v>
      </c>
      <c r="BX74" s="16">
        <f>IF($BY$12&lt;3,BV74,SUM($BZ$42:BZ74)/$BX$40)</f>
        <v>9.6418699453585388E-3</v>
      </c>
      <c r="BY74" s="16">
        <f t="shared" si="30"/>
        <v>3.2000000000000015</v>
      </c>
      <c r="BZ74" s="16">
        <f t="shared" si="27"/>
        <v>1.2908287735793843E-3</v>
      </c>
      <c r="CA74" s="16">
        <f t="shared" si="31"/>
        <v>-999</v>
      </c>
      <c r="CQ74" s="196">
        <v>73</v>
      </c>
      <c r="CR74" s="34">
        <f t="shared" si="36"/>
        <v>0.84244431182742119</v>
      </c>
      <c r="CS74" s="197" t="str">
        <f t="shared" si="33"/>
        <v/>
      </c>
      <c r="CT74" s="16">
        <f t="shared" si="34"/>
        <v>-999</v>
      </c>
      <c r="CU74" s="16">
        <f t="shared" si="35"/>
        <v>-999</v>
      </c>
    </row>
    <row r="75" spans="1:99" ht="12" customHeight="1">
      <c r="A75" s="211"/>
      <c r="B75" s="211"/>
      <c r="C75" s="211"/>
      <c r="D75" s="211"/>
      <c r="E75" s="211"/>
      <c r="F75" s="211"/>
      <c r="G75" s="211"/>
      <c r="H75" s="211"/>
      <c r="I75" s="211"/>
      <c r="J75" s="211"/>
      <c r="K75" s="211"/>
      <c r="L75" s="211"/>
      <c r="M75" s="211"/>
      <c r="N75" s="211"/>
      <c r="O75" s="211"/>
      <c r="S75"/>
      <c r="T75"/>
      <c r="U75"/>
      <c r="V75"/>
      <c r="W75"/>
      <c r="X75"/>
      <c r="Y75"/>
      <c r="Z75"/>
      <c r="AA75"/>
      <c r="AB75"/>
      <c r="AC75"/>
      <c r="AD75"/>
      <c r="AE75"/>
      <c r="AF75"/>
      <c r="AG75"/>
      <c r="AH75"/>
      <c r="AI75"/>
      <c r="AJ75"/>
      <c r="AK75"/>
      <c r="AV75" s="495"/>
      <c r="AW75" s="495"/>
      <c r="AX75" s="495"/>
      <c r="AY75" s="495"/>
      <c r="AZ75" s="495"/>
      <c r="BU75" s="16">
        <f t="shared" si="28"/>
        <v>0</v>
      </c>
      <c r="BV75" s="16">
        <f>IF($BY$12=1,NORMDIST(BY75,$Y$6,$Y$8,TRUE),IF($BY$12=2,IF(BY75&lt;=$BX$31,0,IF(BY75&gt;=$BX$32,1,(BY75-$BX$31)*$BX$33)),SUM($BU$42:BU75)/$BV$40))</f>
        <v>9.7717103686238982E-3</v>
      </c>
      <c r="BW75" s="16">
        <f t="shared" si="29"/>
        <v>4.3098126767317727E-3</v>
      </c>
      <c r="BX75" s="16">
        <f>IF($BY$12&lt;3,BV75,SUM($BZ$42:BZ75)/$BX$40)</f>
        <v>9.7717103686238982E-3</v>
      </c>
      <c r="BY75" s="16">
        <f t="shared" ref="BY75:BY106" si="37">BY74+$BZ$1</f>
        <v>3.3000000000000016</v>
      </c>
      <c r="BZ75" s="16">
        <f t="shared" si="27"/>
        <v>1.3060038414338699E-3</v>
      </c>
      <c r="CA75" s="16">
        <f t="shared" si="31"/>
        <v>-999</v>
      </c>
      <c r="CQ75" s="196">
        <v>74</v>
      </c>
      <c r="CR75" s="34">
        <f t="shared" si="36"/>
        <v>7.005026564002037E-2</v>
      </c>
      <c r="CS75" s="197" t="str">
        <f t="shared" si="33"/>
        <v/>
      </c>
      <c r="CT75" s="16">
        <f t="shared" si="34"/>
        <v>-999</v>
      </c>
      <c r="CU75" s="16">
        <f t="shared" si="35"/>
        <v>-999</v>
      </c>
    </row>
    <row r="76" spans="1:99" ht="12" customHeight="1">
      <c r="A76" s="211"/>
      <c r="B76" s="211"/>
      <c r="C76" s="211"/>
      <c r="D76" s="211"/>
      <c r="E76" s="211"/>
      <c r="F76" s="211"/>
      <c r="G76" s="211"/>
      <c r="H76" s="211"/>
      <c r="I76" s="211"/>
      <c r="J76" s="211"/>
      <c r="K76" s="211"/>
      <c r="L76" s="211"/>
      <c r="M76" s="211"/>
      <c r="N76" s="211"/>
      <c r="O76" s="211"/>
      <c r="S76"/>
      <c r="T76"/>
      <c r="U76"/>
      <c r="V76"/>
      <c r="W76"/>
      <c r="X76"/>
      <c r="Y76"/>
      <c r="Z76"/>
      <c r="AA76"/>
      <c r="AB76"/>
      <c r="AC76"/>
      <c r="AD76"/>
      <c r="AE76"/>
      <c r="AF76"/>
      <c r="AG76"/>
      <c r="AH76"/>
      <c r="AI76"/>
      <c r="AJ76"/>
      <c r="AK76"/>
      <c r="AV76" s="495"/>
      <c r="AW76" s="495"/>
      <c r="AX76" s="495"/>
      <c r="AY76" s="495"/>
      <c r="AZ76" s="495"/>
      <c r="BU76" s="16">
        <f t="shared" si="28"/>
        <v>0</v>
      </c>
      <c r="BV76" s="16">
        <f>IF($BY$12=1,NORMDIST(BY76,$Y$6,$Y$8,TRUE),IF($BY$12=2,IF(BY76&lt;=$BX$31,0,IF(BY76&gt;=$BX$32,1,(BY76-$BX$31)*$BX$33)),SUM($BU$42:BU76)/$BV$40))</f>
        <v>9.9030755591642539E-3</v>
      </c>
      <c r="BW76" s="16">
        <f t="shared" si="29"/>
        <v>4.4925025345344954E-3</v>
      </c>
      <c r="BX76" s="16">
        <f>IF($BY$12&lt;3,BV76,SUM($BZ$42:BZ76)/$BX$40)</f>
        <v>9.9030755591642539E-3</v>
      </c>
      <c r="BY76" s="16">
        <f t="shared" si="37"/>
        <v>3.4000000000000017</v>
      </c>
      <c r="BZ76" s="16">
        <f t="shared" si="27"/>
        <v>1.3213242748630863E-3</v>
      </c>
      <c r="CA76" s="16">
        <f t="shared" si="31"/>
        <v>-999</v>
      </c>
      <c r="CQ76" s="196">
        <v>75</v>
      </c>
      <c r="CR76" s="34">
        <f t="shared" si="36"/>
        <v>0.5670536570250988</v>
      </c>
      <c r="CS76" s="197" t="str">
        <f t="shared" si="33"/>
        <v/>
      </c>
      <c r="CT76" s="16">
        <f t="shared" si="34"/>
        <v>-999</v>
      </c>
      <c r="CU76" s="16">
        <f t="shared" si="35"/>
        <v>-999</v>
      </c>
    </row>
    <row r="77" spans="1:99" ht="12" customHeight="1">
      <c r="A77" s="211"/>
      <c r="B77" s="211"/>
      <c r="C77" s="211"/>
      <c r="D77" s="211"/>
      <c r="E77" s="211"/>
      <c r="F77" s="211"/>
      <c r="G77" s="211"/>
      <c r="H77" s="211"/>
      <c r="I77" s="211"/>
      <c r="J77" s="211"/>
      <c r="K77" s="211"/>
      <c r="L77" s="211"/>
      <c r="M77" s="211"/>
      <c r="N77" s="211"/>
      <c r="O77" s="211"/>
      <c r="S77"/>
      <c r="T77"/>
      <c r="U77"/>
      <c r="V77"/>
      <c r="W77"/>
      <c r="X77"/>
      <c r="Y77"/>
      <c r="Z77"/>
      <c r="AA77"/>
      <c r="AB77"/>
      <c r="AC77"/>
      <c r="AD77"/>
      <c r="AE77"/>
      <c r="AF77"/>
      <c r="AG77"/>
      <c r="AH77"/>
      <c r="AI77"/>
      <c r="AJ77"/>
      <c r="AK77"/>
      <c r="AV77" s="495"/>
      <c r="AW77" s="495"/>
      <c r="AX77" s="495"/>
      <c r="AY77" s="495"/>
      <c r="AZ77" s="495"/>
      <c r="BU77" s="16">
        <f t="shared" si="28"/>
        <v>0</v>
      </c>
      <c r="BV77" s="16">
        <f>IF($BY$12=1,NORMDIST(BY77,$Y$6,$Y$8,TRUE),IF($BY$12=2,IF(BY77&lt;=$BX$31,0,IF(BY77&gt;=$BX$32,1,(BY77-$BX$31)*$BX$33)),SUM($BU$42:BU77)/$BV$40))</f>
        <v>1.0035980100274067E-2</v>
      </c>
      <c r="BW77" s="16">
        <f t="shared" si="29"/>
        <v>4.6787685301434428E-3</v>
      </c>
      <c r="BX77" s="16">
        <f>IF($BY$12&lt;3,BV77,SUM($BZ$42:BZ77)/$BX$40)</f>
        <v>1.0035980100274067E-2</v>
      </c>
      <c r="BY77" s="16">
        <f t="shared" si="37"/>
        <v>3.5000000000000018</v>
      </c>
      <c r="BZ77" s="16">
        <f t="shared" si="27"/>
        <v>1.3367910086124115E-3</v>
      </c>
      <c r="CA77" s="16">
        <f t="shared" si="31"/>
        <v>-999</v>
      </c>
      <c r="CQ77" s="196">
        <v>76</v>
      </c>
      <c r="CR77" s="34">
        <f t="shared" si="36"/>
        <v>0.94194852933287621</v>
      </c>
      <c r="CS77" s="197" t="str">
        <f t="shared" si="33"/>
        <v/>
      </c>
      <c r="CT77" s="16">
        <f t="shared" si="34"/>
        <v>-999</v>
      </c>
      <c r="CU77" s="16">
        <f t="shared" si="35"/>
        <v>-999</v>
      </c>
    </row>
    <row r="78" spans="1:99" ht="12" customHeight="1">
      <c r="A78" s="211"/>
      <c r="B78" s="211"/>
      <c r="C78" s="211"/>
      <c r="D78" s="211"/>
      <c r="E78" s="211"/>
      <c r="F78" s="211"/>
      <c r="G78" s="211"/>
      <c r="H78" s="211"/>
      <c r="I78" s="211"/>
      <c r="J78" s="211"/>
      <c r="K78" s="211"/>
      <c r="L78" s="211"/>
      <c r="M78" s="211"/>
      <c r="N78" s="211"/>
      <c r="O78" s="211"/>
      <c r="S78"/>
      <c r="T78"/>
      <c r="U78"/>
      <c r="V78"/>
      <c r="W78"/>
      <c r="X78"/>
      <c r="Y78"/>
      <c r="Z78"/>
      <c r="AA78"/>
      <c r="AB78"/>
      <c r="AC78"/>
      <c r="AD78"/>
      <c r="AE78"/>
      <c r="AF78"/>
      <c r="AG78"/>
      <c r="AH78"/>
      <c r="AI78"/>
      <c r="AJ78"/>
      <c r="AK78"/>
      <c r="AV78" s="495"/>
      <c r="AW78" s="495"/>
      <c r="AX78" s="495"/>
      <c r="AY78" s="495"/>
      <c r="AZ78" s="495"/>
      <c r="BU78" s="16">
        <f t="shared" si="28"/>
        <v>0</v>
      </c>
      <c r="BV78" s="16">
        <f>IF($BY$12=1,NORMDIST(BY78,$Y$6,$Y$8,TRUE),IF($BY$12=2,IF(BY78&lt;=$BX$31,0,IF(BY78&gt;=$BX$32,1,(BY78-$BX$31)*$BX$33)),SUM($BU$42:BU78)/$BV$40))</f>
        <v>1.0170438668719806E-2</v>
      </c>
      <c r="BW78" s="16">
        <f t="shared" si="29"/>
        <v>4.8686579184387211E-3</v>
      </c>
      <c r="BX78" s="16">
        <f>IF($BY$12&lt;3,BV78,SUM($BZ$42:BZ78)/$BX$40)</f>
        <v>1.0170438668719806E-2</v>
      </c>
      <c r="BY78" s="16">
        <f t="shared" si="37"/>
        <v>3.6000000000000019</v>
      </c>
      <c r="BZ78" s="16">
        <f t="shared" si="27"/>
        <v>1.3524049773440884E-3</v>
      </c>
      <c r="CA78" s="16">
        <f t="shared" si="31"/>
        <v>-999</v>
      </c>
      <c r="CQ78" s="196">
        <v>77</v>
      </c>
      <c r="CR78" s="34">
        <f t="shared" si="36"/>
        <v>0.53865964338183403</v>
      </c>
      <c r="CS78" s="197" t="str">
        <f t="shared" si="33"/>
        <v/>
      </c>
      <c r="CT78" s="16">
        <f t="shared" si="34"/>
        <v>-999</v>
      </c>
      <c r="CU78" s="16">
        <f t="shared" si="35"/>
        <v>-999</v>
      </c>
    </row>
    <row r="79" spans="1:99" ht="12" customHeight="1">
      <c r="A79" s="211"/>
      <c r="B79" s="211"/>
      <c r="C79" s="211"/>
      <c r="D79" s="211"/>
      <c r="E79" s="211"/>
      <c r="F79" s="211"/>
      <c r="G79" s="211"/>
      <c r="H79" s="211"/>
      <c r="I79" s="211"/>
      <c r="J79" s="211"/>
      <c r="K79" s="211"/>
      <c r="L79" s="211"/>
      <c r="M79" s="211"/>
      <c r="N79" s="211"/>
      <c r="O79" s="211"/>
      <c r="S79"/>
      <c r="T79"/>
      <c r="U79"/>
      <c r="V79"/>
      <c r="W79"/>
      <c r="X79"/>
      <c r="Y79"/>
      <c r="Z79"/>
      <c r="AA79"/>
      <c r="AB79"/>
      <c r="AC79"/>
      <c r="AD79"/>
      <c r="AE79"/>
      <c r="AF79"/>
      <c r="AG79"/>
      <c r="AH79"/>
      <c r="AI79"/>
      <c r="AJ79"/>
      <c r="AK79"/>
      <c r="AV79" s="495"/>
      <c r="AW79" s="495"/>
      <c r="AX79" s="495"/>
      <c r="AY79" s="495"/>
      <c r="AZ79" s="495"/>
      <c r="BU79" s="16">
        <f t="shared" si="28"/>
        <v>0</v>
      </c>
      <c r="BV79" s="16">
        <f>IF($BY$12=1,NORMDIST(BY79,$Y$6,$Y$8,TRUE),IF($BY$12=2,IF(BY79&lt;=$BX$31,0,IF(BY79&gt;=$BX$32,1,(BY79-$BX$31)*$BX$33)),SUM($BU$42:BU79)/$BV$40))</f>
        <v>1.0306466034725514E-2</v>
      </c>
      <c r="BW79" s="16">
        <f t="shared" si="29"/>
        <v>5.0622183275063209E-3</v>
      </c>
      <c r="BX79" s="16">
        <f>IF($BY$12&lt;3,BV79,SUM($BZ$42:BZ79)/$BX$40)</f>
        <v>1.0306466034725514E-2</v>
      </c>
      <c r="BY79" s="16">
        <f t="shared" si="37"/>
        <v>3.700000000000002</v>
      </c>
      <c r="BZ79" s="16">
        <f t="shared" si="27"/>
        <v>1.3681671155422481E-3</v>
      </c>
      <c r="CA79" s="16">
        <f t="shared" si="31"/>
        <v>-999</v>
      </c>
      <c r="CQ79" s="196">
        <v>78</v>
      </c>
      <c r="CR79" s="34">
        <f t="shared" si="36"/>
        <v>0.43639370426535606</v>
      </c>
      <c r="CS79" s="197" t="str">
        <f t="shared" si="33"/>
        <v/>
      </c>
      <c r="CT79" s="16">
        <f t="shared" si="34"/>
        <v>-999</v>
      </c>
      <c r="CU79" s="16">
        <f t="shared" si="35"/>
        <v>-999</v>
      </c>
    </row>
    <row r="80" spans="1:99" ht="12" customHeight="1">
      <c r="A80" s="211"/>
      <c r="B80" s="211"/>
      <c r="C80" s="211"/>
      <c r="D80" s="211"/>
      <c r="E80" s="211"/>
      <c r="F80" s="211"/>
      <c r="G80" s="211"/>
      <c r="H80" s="211"/>
      <c r="I80" s="211"/>
      <c r="J80" s="211"/>
      <c r="K80" s="211"/>
      <c r="L80" s="211"/>
      <c r="M80" s="211"/>
      <c r="N80" s="211"/>
      <c r="O80" s="211"/>
      <c r="S80"/>
      <c r="T80"/>
      <c r="U80"/>
      <c r="V80"/>
      <c r="W80"/>
      <c r="X80"/>
      <c r="Y80"/>
      <c r="Z80"/>
      <c r="AA80"/>
      <c r="AB80"/>
      <c r="AC80"/>
      <c r="AD80"/>
      <c r="AE80"/>
      <c r="AF80"/>
      <c r="AG80"/>
      <c r="AH80"/>
      <c r="AI80"/>
      <c r="AJ80"/>
      <c r="AK80"/>
      <c r="AV80" s="495"/>
      <c r="AW80" s="495"/>
      <c r="AX80" s="495"/>
      <c r="AY80" s="495"/>
      <c r="AZ80" s="495"/>
      <c r="BU80" s="16">
        <f t="shared" si="28"/>
        <v>0</v>
      </c>
      <c r="BV80" s="16">
        <f>IF($BY$12=1,NORMDIST(BY80,$Y$6,$Y$8,TRUE),IF($BY$12=2,IF(BY80&lt;=$BX$31,0,IF(BY80&gt;=$BX$32,1,(BY80-$BX$31)*$BX$33)),SUM($BU$42:BU80)/$BV$40))</f>
        <v>1.0444077061951162E-2</v>
      </c>
      <c r="BW80" s="16">
        <f t="shared" si="29"/>
        <v>5.2594977581839533E-3</v>
      </c>
      <c r="BX80" s="16">
        <f>IF($BY$12&lt;3,BV80,SUM($BZ$42:BZ80)/$BX$40)</f>
        <v>1.0444077061951162E-2</v>
      </c>
      <c r="BY80" s="16">
        <f t="shared" si="37"/>
        <v>3.800000000000002</v>
      </c>
      <c r="BZ80" s="16">
        <f t="shared" si="27"/>
        <v>1.3840783574168289E-3</v>
      </c>
      <c r="CA80" s="16">
        <f t="shared" si="31"/>
        <v>-999</v>
      </c>
      <c r="CQ80" s="196">
        <v>79</v>
      </c>
      <c r="CR80" s="34">
        <f t="shared" si="36"/>
        <v>0.71577171608805656</v>
      </c>
      <c r="CS80" s="197" t="str">
        <f t="shared" si="33"/>
        <v/>
      </c>
      <c r="CT80" s="16">
        <f t="shared" si="34"/>
        <v>-999</v>
      </c>
      <c r="CU80" s="16">
        <f t="shared" si="35"/>
        <v>-999</v>
      </c>
    </row>
    <row r="81" spans="1:99" ht="12" customHeight="1">
      <c r="A81" s="211"/>
      <c r="B81" s="211"/>
      <c r="C81" s="211"/>
      <c r="D81" s="211"/>
      <c r="E81" s="211"/>
      <c r="F81" s="211"/>
      <c r="G81" s="211"/>
      <c r="H81" s="211"/>
      <c r="I81" s="211"/>
      <c r="J81" s="211"/>
      <c r="K81" s="211"/>
      <c r="L81" s="211"/>
      <c r="M81" s="211"/>
      <c r="N81" s="211"/>
      <c r="O81" s="211"/>
      <c r="S81"/>
      <c r="T81"/>
      <c r="U81"/>
      <c r="V81"/>
      <c r="W81"/>
      <c r="X81"/>
      <c r="Y81"/>
      <c r="Z81"/>
      <c r="AA81"/>
      <c r="AB81"/>
      <c r="AC81"/>
      <c r="AD81"/>
      <c r="AE81"/>
      <c r="AF81"/>
      <c r="AG81"/>
      <c r="AH81"/>
      <c r="AI81"/>
      <c r="AJ81"/>
      <c r="AK81"/>
      <c r="AV81" s="495"/>
      <c r="AW81" s="495"/>
      <c r="AX81" s="495"/>
      <c r="AY81" s="495"/>
      <c r="AZ81" s="495"/>
      <c r="BU81" s="16">
        <f t="shared" si="28"/>
        <v>0</v>
      </c>
      <c r="BV81" s="16">
        <f>IF($BY$12=1,NORMDIST(BY81,$Y$6,$Y$8,TRUE),IF($BY$12=2,IF(BY81&lt;=$BX$31,0,IF(BY81&gt;=$BX$32,1,(BY81-$BX$31)*$BX$33)),SUM($BU$42:BU81)/$BV$40))</f>
        <v>1.0583286707459783E-2</v>
      </c>
      <c r="BW81" s="16">
        <f t="shared" si="29"/>
        <v>5.4605445835450798E-3</v>
      </c>
      <c r="BX81" s="16">
        <f>IF($BY$12&lt;3,BV81,SUM($BZ$42:BZ81)/$BX$40)</f>
        <v>1.0583286707459783E-2</v>
      </c>
      <c r="BY81" s="16">
        <f t="shared" si="37"/>
        <v>3.9000000000000021</v>
      </c>
      <c r="BZ81" s="16">
        <f t="shared" si="27"/>
        <v>1.40013963680643E-3</v>
      </c>
      <c r="CA81" s="16">
        <f t="shared" si="31"/>
        <v>-999</v>
      </c>
      <c r="CQ81" s="196">
        <v>80</v>
      </c>
      <c r="CR81" s="34">
        <f t="shared" si="36"/>
        <v>0.46591287478804588</v>
      </c>
      <c r="CS81" s="197" t="str">
        <f t="shared" si="33"/>
        <v/>
      </c>
      <c r="CT81" s="16">
        <f t="shared" si="34"/>
        <v>-999</v>
      </c>
      <c r="CU81" s="16">
        <f t="shared" si="35"/>
        <v>-999</v>
      </c>
    </row>
    <row r="82" spans="1:99" ht="12" customHeight="1">
      <c r="A82" s="211"/>
      <c r="B82" s="211"/>
      <c r="C82" s="211"/>
      <c r="D82" s="211"/>
      <c r="E82" s="211"/>
      <c r="F82" s="211"/>
      <c r="G82" s="211"/>
      <c r="H82" s="211"/>
      <c r="I82" s="211"/>
      <c r="J82" s="211"/>
      <c r="K82" s="211"/>
      <c r="L82" s="211"/>
      <c r="M82" s="211"/>
      <c r="N82" s="211"/>
      <c r="O82" s="211"/>
      <c r="AV82" s="495"/>
      <c r="AW82" s="495"/>
      <c r="AX82" s="495"/>
      <c r="AY82" s="495"/>
      <c r="AZ82" s="495"/>
      <c r="BU82" s="16">
        <f t="shared" si="28"/>
        <v>0</v>
      </c>
      <c r="BV82" s="16">
        <f>IF($BY$12=1,NORMDIST(BY82,$Y$6,$Y$8,TRUE),IF($BY$12=2,IF(BY82&lt;=$BX$31,0,IF(BY82&gt;=$BX$32,1,(BY82-$BX$31)*$BX$33)),SUM($BU$42:BU82)/$BV$40))</f>
        <v>1.0724110021675948E-2</v>
      </c>
      <c r="BW82" s="16">
        <f t="shared" si="29"/>
        <v>5.6654075483202372E-3</v>
      </c>
      <c r="BX82" s="16">
        <f>IF($BY$12&lt;3,BV82,SUM($BZ$42:BZ82)/$BX$40)</f>
        <v>1.0724110021675948E-2</v>
      </c>
      <c r="BY82" s="16">
        <f t="shared" si="37"/>
        <v>4.0000000000000018</v>
      </c>
      <c r="BZ82" s="16">
        <f t="shared" si="27"/>
        <v>1.4163518870800587E-3</v>
      </c>
      <c r="CA82" s="16">
        <f t="shared" si="31"/>
        <v>-999</v>
      </c>
      <c r="CQ82" s="196">
        <v>81</v>
      </c>
      <c r="CR82" s="34">
        <f t="shared" si="36"/>
        <v>0.80474783107638359</v>
      </c>
      <c r="CS82" s="197" t="str">
        <f t="shared" si="33"/>
        <v/>
      </c>
      <c r="CT82" s="16">
        <f t="shared" si="34"/>
        <v>-999</v>
      </c>
      <c r="CU82" s="16">
        <f t="shared" si="35"/>
        <v>-999</v>
      </c>
    </row>
    <row r="83" spans="1:99" ht="12" customHeight="1">
      <c r="A83" s="211"/>
      <c r="B83" s="211"/>
      <c r="C83" s="211"/>
      <c r="D83" s="211"/>
      <c r="E83" s="211"/>
      <c r="F83" s="211"/>
      <c r="G83" s="211"/>
      <c r="H83" s="211"/>
      <c r="I83" s="211"/>
      <c r="J83" s="211"/>
      <c r="K83" s="211"/>
      <c r="L83" s="211"/>
      <c r="M83" s="211"/>
      <c r="N83" s="211"/>
      <c r="O83" s="211"/>
      <c r="AV83" s="495"/>
      <c r="AW83" s="495"/>
      <c r="AX83" s="495"/>
      <c r="AY83" s="495"/>
      <c r="AZ83" s="495"/>
      <c r="BU83" s="16">
        <f t="shared" si="28"/>
        <v>0</v>
      </c>
      <c r="BV83" s="16">
        <f>IF($BY$12=1,NORMDIST(BY83,$Y$6,$Y$8,TRUE),IF($BY$12=2,IF(BY83&lt;=$BX$31,0,IF(BY83&gt;=$BX$32,1,(BY83-$BX$31)*$BX$33)),SUM($BU$42:BU83)/$BV$40))</f>
        <v>1.0866562148332592E-2</v>
      </c>
      <c r="BW83" s="16">
        <f t="shared" si="29"/>
        <v>5.8741357682550325E-3</v>
      </c>
      <c r="BX83" s="16">
        <f>IF($BY$12&lt;3,BV83,SUM($BZ$42:BZ83)/$BX$40)</f>
        <v>1.0866562148332592E-2</v>
      </c>
      <c r="BY83" s="16">
        <f t="shared" si="37"/>
        <v>4.1000000000000014</v>
      </c>
      <c r="BZ83" s="16">
        <f t="shared" si="27"/>
        <v>1.4327160410378124E-3</v>
      </c>
      <c r="CA83" s="16">
        <f t="shared" si="31"/>
        <v>-999</v>
      </c>
      <c r="CQ83" s="196">
        <v>82</v>
      </c>
      <c r="CR83" s="34">
        <f t="shared" si="36"/>
        <v>0.7724856398999691</v>
      </c>
      <c r="CS83" s="197" t="str">
        <f t="shared" si="33"/>
        <v/>
      </c>
      <c r="CT83" s="16">
        <f t="shared" si="34"/>
        <v>-999</v>
      </c>
      <c r="CU83" s="16">
        <f t="shared" si="35"/>
        <v>-999</v>
      </c>
    </row>
    <row r="84" spans="1:99" ht="12" customHeight="1">
      <c r="A84" s="211"/>
      <c r="B84" s="211"/>
      <c r="C84" s="211"/>
      <c r="D84" s="211"/>
      <c r="E84" s="211"/>
      <c r="F84" s="211"/>
      <c r="G84" s="211"/>
      <c r="H84" s="211"/>
      <c r="I84" s="211"/>
      <c r="J84" s="211"/>
      <c r="K84" s="211"/>
      <c r="L84" s="211"/>
      <c r="M84" s="211"/>
      <c r="N84" s="211"/>
      <c r="O84" s="211"/>
      <c r="AV84" s="495"/>
      <c r="AW84" s="495"/>
      <c r="AX84" s="495"/>
      <c r="AY84" s="495"/>
      <c r="AZ84" s="495"/>
      <c r="BU84" s="16">
        <f t="shared" si="28"/>
        <v>0</v>
      </c>
      <c r="BV84" s="16">
        <f>IF($BY$12=1,NORMDIST(BY84,$Y$6,$Y$8,TRUE),IF($BY$12=2,IF(BY84&lt;=$BX$31,0,IF(BY84&gt;=$BX$32,1,(BY84-$BX$31)*$BX$33)),SUM($BU$42:BU84)/$BV$40))</f>
        <v>1.1010658324411615E-2</v>
      </c>
      <c r="BW84" s="16">
        <f t="shared" si="29"/>
        <v>6.0867787294039801E-3</v>
      </c>
      <c r="BX84" s="16">
        <f>IF($BY$12&lt;3,BV84,SUM($BZ$42:BZ84)/$BX$40)</f>
        <v>1.1010658324411615E-2</v>
      </c>
      <c r="BY84" s="16">
        <f t="shared" si="37"/>
        <v>4.2000000000000011</v>
      </c>
      <c r="BZ84" s="16">
        <f t="shared" si="27"/>
        <v>1.449233030810471E-3</v>
      </c>
      <c r="CA84" s="16">
        <f t="shared" si="31"/>
        <v>-999</v>
      </c>
      <c r="CQ84" s="196">
        <v>83</v>
      </c>
      <c r="CR84" s="34">
        <f t="shared" si="36"/>
        <v>0.4413130097091198</v>
      </c>
      <c r="CS84" s="197" t="str">
        <f t="shared" si="33"/>
        <v/>
      </c>
      <c r="CT84" s="16">
        <f t="shared" si="34"/>
        <v>-999</v>
      </c>
      <c r="CU84" s="16">
        <f t="shared" si="35"/>
        <v>-999</v>
      </c>
    </row>
    <row r="85" spans="1:99" ht="12" customHeight="1">
      <c r="A85" s="211"/>
      <c r="B85" s="211"/>
      <c r="C85" s="211"/>
      <c r="D85" s="211"/>
      <c r="E85" s="211"/>
      <c r="F85" s="211"/>
      <c r="G85" s="211"/>
      <c r="H85" s="211"/>
      <c r="I85" s="211"/>
      <c r="J85" s="211"/>
      <c r="K85" s="211"/>
      <c r="L85" s="211"/>
      <c r="M85" s="211"/>
      <c r="N85" s="211"/>
      <c r="O85" s="211"/>
      <c r="AV85" s="495"/>
      <c r="AW85" s="495"/>
      <c r="AX85" s="495"/>
      <c r="AY85" s="495"/>
      <c r="AZ85" s="495"/>
      <c r="BU85" s="16">
        <f t="shared" si="28"/>
        <v>0</v>
      </c>
      <c r="BV85" s="16">
        <f>IF($BY$12=1,NORMDIST(BY85,$Y$6,$Y$8,TRUE),IF($BY$12=2,IF(BY85&lt;=$BX$31,0,IF(BY85&gt;=$BX$32,1,(BY85-$BX$31)*$BX$33)),SUM($BU$42:BU85)/$BV$40))</f>
        <v>1.1156413880068272E-2</v>
      </c>
      <c r="BW85" s="16">
        <f t="shared" si="29"/>
        <v>6.3033862873594542E-3</v>
      </c>
      <c r="BX85" s="16">
        <f>IF($BY$12&lt;3,BV85,SUM($BZ$42:BZ85)/$BX$40)</f>
        <v>1.1156413880068272E-2</v>
      </c>
      <c r="BY85" s="16">
        <f t="shared" si="37"/>
        <v>4.3000000000000007</v>
      </c>
      <c r="BZ85" s="16">
        <f t="shared" si="27"/>
        <v>1.4659037877580124E-3</v>
      </c>
      <c r="CA85" s="16">
        <f t="shared" si="31"/>
        <v>-999</v>
      </c>
      <c r="CQ85" s="196">
        <v>84</v>
      </c>
      <c r="CR85" s="34">
        <f t="shared" si="36"/>
        <v>0.83416032418608665</v>
      </c>
      <c r="CS85" s="197" t="str">
        <f t="shared" si="33"/>
        <v/>
      </c>
      <c r="CT85" s="16">
        <f t="shared" si="34"/>
        <v>-999</v>
      </c>
      <c r="CU85" s="16">
        <f t="shared" si="35"/>
        <v>-999</v>
      </c>
    </row>
    <row r="86" spans="1:99" ht="12" customHeight="1">
      <c r="A86" s="211"/>
      <c r="B86" s="211"/>
      <c r="C86" s="211"/>
      <c r="D86" s="211"/>
      <c r="E86" s="211"/>
      <c r="F86" s="211"/>
      <c r="G86" s="211"/>
      <c r="H86" s="211"/>
      <c r="I86" s="211"/>
      <c r="J86" s="211"/>
      <c r="K86" s="211"/>
      <c r="L86" s="211"/>
      <c r="M86" s="211"/>
      <c r="N86" s="211"/>
      <c r="O86" s="211"/>
      <c r="AV86" s="495"/>
      <c r="AW86" s="495"/>
      <c r="AX86" s="495"/>
      <c r="AY86" s="495"/>
      <c r="AZ86" s="495"/>
      <c r="BU86" s="16">
        <f t="shared" si="28"/>
        <v>0</v>
      </c>
      <c r="BV86" s="16">
        <f>IF($BY$12=1,NORMDIST(BY86,$Y$6,$Y$8,TRUE),IF($BY$12=2,IF(BY86&lt;=$BX$31,0,IF(BY86&gt;=$BX$32,1,(BY86-$BX$31)*$BX$33)),SUM($BU$42:BU86)/$BV$40))</f>
        <v>1.1303844238552685E-2</v>
      </c>
      <c r="BW86" s="16">
        <f t="shared" si="29"/>
        <v>6.5240086664150789E-3</v>
      </c>
      <c r="BX86" s="16">
        <f>IF($BY$12&lt;3,BV86,SUM($BZ$42:BZ86)/$BX$40)</f>
        <v>1.1303844238552685E-2</v>
      </c>
      <c r="BY86" s="16">
        <f t="shared" si="37"/>
        <v>4.4000000000000004</v>
      </c>
      <c r="BZ86" s="16">
        <f t="shared" si="27"/>
        <v>1.4827292423670632E-3</v>
      </c>
      <c r="CA86" s="16">
        <f t="shared" si="31"/>
        <v>-999</v>
      </c>
      <c r="CQ86" s="196">
        <v>85</v>
      </c>
      <c r="CR86" s="34">
        <f t="shared" si="36"/>
        <v>8.594508096575737E-2</v>
      </c>
      <c r="CS86" s="197" t="str">
        <f t="shared" si="33"/>
        <v/>
      </c>
      <c r="CT86" s="16">
        <f t="shared" si="34"/>
        <v>-999</v>
      </c>
      <c r="CU86" s="16">
        <f t="shared" si="35"/>
        <v>-999</v>
      </c>
    </row>
    <row r="87" spans="1:99" ht="12" customHeight="1">
      <c r="A87" s="211"/>
      <c r="B87" s="211"/>
      <c r="C87" s="211"/>
      <c r="D87" s="211"/>
      <c r="E87" s="211"/>
      <c r="F87" s="211"/>
      <c r="G87" s="211"/>
      <c r="H87" s="211"/>
      <c r="I87" s="211"/>
      <c r="J87" s="211"/>
      <c r="K87" s="211"/>
      <c r="L87" s="211"/>
      <c r="M87" s="211"/>
      <c r="N87" s="211"/>
      <c r="O87" s="211"/>
      <c r="AV87" s="495"/>
      <c r="AW87" s="495"/>
      <c r="AX87" s="495"/>
      <c r="AY87" s="495"/>
      <c r="AZ87" s="495"/>
      <c r="BU87" s="16">
        <f t="shared" si="28"/>
        <v>0</v>
      </c>
      <c r="BV87" s="16">
        <f>IF($BY$12=1,NORMDIST(BY87,$Y$6,$Y$8,TRUE),IF($BY$12=2,IF(BY87&lt;=$BX$31,0,IF(BY87&gt;=$BX$32,1,(BY87-$BX$31)*$BX$33)),SUM($BU$42:BU87)/$BV$40))</f>
        <v>1.1452964916115249E-2</v>
      </c>
      <c r="BW87" s="16">
        <f t="shared" si="29"/>
        <v>6.7486964586626896E-3</v>
      </c>
      <c r="BX87" s="16">
        <f>IF($BY$12&lt;3,BV87,SUM($BZ$42:BZ87)/$BX$40)</f>
        <v>1.1452964916115249E-2</v>
      </c>
      <c r="BY87" s="16">
        <f t="shared" si="37"/>
        <v>4.5</v>
      </c>
      <c r="BZ87" s="16">
        <f t="shared" si="27"/>
        <v>1.4997103241472644E-3</v>
      </c>
      <c r="CA87" s="16">
        <f t="shared" si="31"/>
        <v>-999</v>
      </c>
      <c r="CQ87" s="196">
        <v>86</v>
      </c>
      <c r="CR87" s="34">
        <f t="shared" si="36"/>
        <v>0.92694362625479698</v>
      </c>
      <c r="CS87" s="197" t="str">
        <f t="shared" si="33"/>
        <v/>
      </c>
      <c r="CT87" s="16">
        <f t="shared" si="34"/>
        <v>-999</v>
      </c>
      <c r="CU87" s="16">
        <f t="shared" si="35"/>
        <v>-999</v>
      </c>
    </row>
    <row r="88" spans="1:99" ht="12" customHeight="1">
      <c r="A88" s="211"/>
      <c r="B88" s="211"/>
      <c r="C88" s="211"/>
      <c r="D88" s="211"/>
      <c r="E88" s="211"/>
      <c r="F88" s="211"/>
      <c r="G88" s="211"/>
      <c r="H88" s="211"/>
      <c r="I88" s="211"/>
      <c r="J88" s="211"/>
      <c r="K88" s="211"/>
      <c r="L88" s="211"/>
      <c r="M88" s="211"/>
      <c r="N88" s="211"/>
      <c r="O88" s="211"/>
      <c r="AV88" s="495"/>
      <c r="AW88" s="495"/>
      <c r="AX88" s="495"/>
      <c r="AY88" s="495"/>
      <c r="AZ88" s="495"/>
      <c r="BU88" s="16">
        <f t="shared" si="28"/>
        <v>0</v>
      </c>
      <c r="BV88" s="16">
        <f>IF($BY$12=1,NORMDIST(BY88,$Y$6,$Y$8,TRUE),IF($BY$12=2,IF(BY88&lt;=$BX$31,0,IF(BY88&gt;=$BX$32,1,(BY88-$BX$31)*$BX$33)),SUM($BU$42:BU88)/$BV$40))</f>
        <v>1.1603791521903495E-2</v>
      </c>
      <c r="BW88" s="16">
        <f t="shared" si="29"/>
        <v>6.9775006230222755E-3</v>
      </c>
      <c r="BX88" s="16">
        <f>IF($BY$12&lt;3,BV88,SUM($BZ$42:BZ88)/$BX$40)</f>
        <v>1.1603791521903495E-2</v>
      </c>
      <c r="BY88" s="16">
        <f t="shared" si="37"/>
        <v>4.5999999999999996</v>
      </c>
      <c r="BZ88" s="16">
        <f t="shared" si="27"/>
        <v>1.5168479615265816E-3</v>
      </c>
      <c r="CA88" s="16">
        <f t="shared" si="31"/>
        <v>-999</v>
      </c>
      <c r="CQ88" s="196">
        <v>87</v>
      </c>
      <c r="CR88" s="34">
        <f t="shared" si="36"/>
        <v>0.312815111130476</v>
      </c>
      <c r="CS88" s="197" t="str">
        <f t="shared" si="33"/>
        <v/>
      </c>
      <c r="CT88" s="16">
        <f t="shared" si="34"/>
        <v>-999</v>
      </c>
      <c r="CU88" s="16">
        <f t="shared" si="35"/>
        <v>-999</v>
      </c>
    </row>
    <row r="89" spans="1:99" ht="12" customHeight="1">
      <c r="A89" s="211"/>
      <c r="B89" s="211"/>
      <c r="C89" s="211"/>
      <c r="D89" s="211"/>
      <c r="E89" s="211"/>
      <c r="F89" s="211"/>
      <c r="G89" s="211"/>
      <c r="H89" s="211"/>
      <c r="I89" s="211"/>
      <c r="J89" s="211"/>
      <c r="K89" s="211"/>
      <c r="L89" s="211"/>
      <c r="M89" s="211"/>
      <c r="N89" s="211"/>
      <c r="O89" s="211"/>
      <c r="AV89" s="495"/>
      <c r="AW89" s="495"/>
      <c r="AX89" s="495"/>
      <c r="AY89" s="495"/>
      <c r="AZ89" s="495"/>
      <c r="BU89" s="16">
        <f t="shared" si="28"/>
        <v>0</v>
      </c>
      <c r="BV89" s="16">
        <f>IF($BY$12=1,NORMDIST(BY89,$Y$6,$Y$8,TRUE),IF($BY$12=2,IF(BY89&lt;=$BX$31,0,IF(BY89&gt;=$BX$32,1,(BY89-$BX$31)*$BX$33)),SUM($BU$42:BU89)/$BV$40))</f>
        <v>1.1756339757849954E-2</v>
      </c>
      <c r="BW89" s="16">
        <f t="shared" si="29"/>
        <v>7.2104724842040439E-3</v>
      </c>
      <c r="BX89" s="16">
        <f>IF($BY$12&lt;3,BV89,SUM($BZ$42:BZ89)/$BX$40)</f>
        <v>1.1756339757849954E-2</v>
      </c>
      <c r="BY89" s="16">
        <f t="shared" si="37"/>
        <v>4.6999999999999993</v>
      </c>
      <c r="BZ89" s="16">
        <f t="shared" si="27"/>
        <v>1.5341430817455415E-3</v>
      </c>
      <c r="CA89" s="16">
        <f t="shared" si="31"/>
        <v>-999</v>
      </c>
      <c r="CQ89" s="196">
        <v>88</v>
      </c>
      <c r="CR89" s="34">
        <f t="shared" si="36"/>
        <v>0.17790120467543602</v>
      </c>
      <c r="CS89" s="197" t="str">
        <f t="shared" si="33"/>
        <v/>
      </c>
      <c r="CT89" s="16">
        <f t="shared" si="34"/>
        <v>-999</v>
      </c>
      <c r="CU89" s="16">
        <f t="shared" si="35"/>
        <v>-999</v>
      </c>
    </row>
    <row r="90" spans="1:99" ht="12" customHeight="1">
      <c r="A90" s="211"/>
      <c r="B90" s="211"/>
      <c r="C90" s="211"/>
      <c r="D90" s="211"/>
      <c r="E90" s="211"/>
      <c r="F90" s="211"/>
      <c r="G90" s="211"/>
      <c r="H90" s="211"/>
      <c r="I90" s="211"/>
      <c r="J90" s="211"/>
      <c r="K90" s="211"/>
      <c r="L90" s="211"/>
      <c r="M90" s="211"/>
      <c r="N90" s="211"/>
      <c r="O90" s="211"/>
      <c r="AV90" s="495"/>
      <c r="AW90" s="495"/>
      <c r="AX90" s="495"/>
      <c r="AY90" s="495"/>
      <c r="AZ90" s="495"/>
      <c r="BU90" s="16">
        <f t="shared" si="28"/>
        <v>0</v>
      </c>
      <c r="BV90" s="16">
        <f>IF($BY$12=1,NORMDIST(BY90,$Y$6,$Y$8,TRUE),IF($BY$12=2,IF(BY90&lt;=$BX$31,0,IF(BY90&gt;=$BX$32,1,(BY90-$BX$31)*$BX$33)),SUM($BU$42:BU90)/$BV$40))</f>
        <v>1.1910625418547038E-2</v>
      </c>
      <c r="BW90" s="16">
        <f t="shared" si="29"/>
        <v>7.4476637316019754E-3</v>
      </c>
      <c r="BX90" s="16">
        <f>IF($BY$12&lt;3,BV90,SUM($BZ$42:BZ90)/$BX$40)</f>
        <v>1.1910625418547038E-2</v>
      </c>
      <c r="BY90" s="16">
        <f t="shared" si="37"/>
        <v>4.7999999999999989</v>
      </c>
      <c r="BZ90" s="16">
        <f t="shared" si="27"/>
        <v>1.551596610750412E-3</v>
      </c>
      <c r="CA90" s="16">
        <f t="shared" si="31"/>
        <v>-999</v>
      </c>
      <c r="CQ90" s="196">
        <v>89</v>
      </c>
      <c r="CR90" s="34">
        <f t="shared" si="36"/>
        <v>0.35947002097964287</v>
      </c>
      <c r="CS90" s="197" t="str">
        <f t="shared" si="33"/>
        <v/>
      </c>
      <c r="CT90" s="16">
        <f t="shared" si="34"/>
        <v>-999</v>
      </c>
      <c r="CU90" s="16">
        <f t="shared" si="35"/>
        <v>-999</v>
      </c>
    </row>
    <row r="91" spans="1:99" ht="12" customHeight="1">
      <c r="A91" s="211"/>
      <c r="B91" s="211"/>
      <c r="C91" s="211"/>
      <c r="D91" s="211"/>
      <c r="E91" s="211"/>
      <c r="F91" s="211"/>
      <c r="G91" s="211"/>
      <c r="H91" s="211"/>
      <c r="I91" s="211"/>
      <c r="J91" s="211"/>
      <c r="K91" s="211"/>
      <c r="L91" s="211"/>
      <c r="M91" s="211"/>
      <c r="N91" s="211"/>
      <c r="O91" s="211"/>
      <c r="AV91" s="495"/>
      <c r="AW91" s="495"/>
      <c r="AX91" s="495"/>
      <c r="AY91" s="495"/>
      <c r="AZ91" s="495"/>
      <c r="BU91" s="16">
        <f t="shared" si="28"/>
        <v>0</v>
      </c>
      <c r="BV91" s="16">
        <f>IF($BY$12=1,NORMDIST(BY91,$Y$6,$Y$8,TRUE),IF($BY$12=2,IF(BY91&lt;=$BX$31,0,IF(BY91&gt;=$BX$32,1,(BY91-$BX$31)*$BX$33)),SUM($BU$42:BU91)/$BV$40))</f>
        <v>1.2066664391112814E-2</v>
      </c>
      <c r="BW91" s="16">
        <f t="shared" si="29"/>
        <v>7.689126418118121E-3</v>
      </c>
      <c r="BX91" s="16">
        <f>IF($BY$12&lt;3,BV91,SUM($BZ$42:BZ91)/$BX$40)</f>
        <v>1.2066664391112814E-2</v>
      </c>
      <c r="BY91" s="16">
        <f t="shared" si="37"/>
        <v>4.8999999999999986</v>
      </c>
      <c r="BZ91" s="16">
        <f t="shared" si="27"/>
        <v>1.5692094730853313E-3</v>
      </c>
      <c r="CA91" s="16">
        <f t="shared" si="31"/>
        <v>-999</v>
      </c>
      <c r="CQ91" s="196">
        <v>90</v>
      </c>
      <c r="CR91" s="34">
        <f t="shared" si="36"/>
        <v>0.88290670141577721</v>
      </c>
      <c r="CS91" s="197" t="str">
        <f t="shared" si="33"/>
        <v/>
      </c>
      <c r="CT91" s="16">
        <f t="shared" si="34"/>
        <v>-999</v>
      </c>
      <c r="CU91" s="16">
        <f t="shared" si="35"/>
        <v>-999</v>
      </c>
    </row>
    <row r="92" spans="1:99" ht="12" customHeight="1">
      <c r="A92" s="211"/>
      <c r="B92" s="211"/>
      <c r="C92" s="211"/>
      <c r="D92" s="211"/>
      <c r="E92" s="211"/>
      <c r="F92" s="211"/>
      <c r="G92" s="211"/>
      <c r="H92" s="211"/>
      <c r="I92" s="211"/>
      <c r="J92" s="211"/>
      <c r="K92" s="211"/>
      <c r="L92" s="211"/>
      <c r="M92" s="211"/>
      <c r="N92" s="211"/>
      <c r="O92" s="211"/>
      <c r="AV92" s="495"/>
      <c r="AW92" s="495"/>
      <c r="AX92" s="495"/>
      <c r="AY92" s="495"/>
      <c r="AZ92" s="495"/>
      <c r="BU92" s="16">
        <f t="shared" si="28"/>
        <v>0</v>
      </c>
      <c r="BV92" s="16">
        <f>IF($BY$12=1,NORMDIST(BY92,$Y$6,$Y$8,TRUE),IF($BY$12=2,IF(BY92&lt;=$BX$31,0,IF(BY92&gt;=$BX$32,1,(BY92-$BX$31)*$BX$33)),SUM($BU$42:BU92)/$BV$40))</f>
        <v>1.2224472655044671E-2</v>
      </c>
      <c r="BW92" s="16">
        <f t="shared" si="29"/>
        <v>7.934912958916851E-3</v>
      </c>
      <c r="BX92" s="16">
        <f>IF($BY$12&lt;3,BV92,SUM($BZ$42:BZ92)/$BX$40)</f>
        <v>1.2224472655044671E-2</v>
      </c>
      <c r="BY92" s="16">
        <f t="shared" si="37"/>
        <v>4.9999999999999982</v>
      </c>
      <c r="BZ92" s="16">
        <f t="shared" si="27"/>
        <v>1.5869825917833706E-3</v>
      </c>
      <c r="CA92" s="16">
        <f t="shared" si="31"/>
        <v>-999</v>
      </c>
      <c r="CQ92" s="196">
        <v>91</v>
      </c>
      <c r="CR92" s="34">
        <f t="shared" si="36"/>
        <v>0.49194489046931267</v>
      </c>
      <c r="CS92" s="197" t="str">
        <f t="shared" si="33"/>
        <v/>
      </c>
      <c r="CT92" s="16">
        <f t="shared" si="34"/>
        <v>-999</v>
      </c>
      <c r="CU92" s="16">
        <f t="shared" si="35"/>
        <v>-999</v>
      </c>
    </row>
    <row r="93" spans="1:99" ht="12" customHeight="1">
      <c r="A93" s="211"/>
      <c r="B93" s="211"/>
      <c r="C93" s="211"/>
      <c r="D93" s="211"/>
      <c r="E93" s="211"/>
      <c r="F93" s="211"/>
      <c r="G93" s="211"/>
      <c r="H93" s="211"/>
      <c r="I93" s="211"/>
      <c r="J93" s="211"/>
      <c r="K93" s="211"/>
      <c r="L93" s="211"/>
      <c r="M93" s="211"/>
      <c r="N93" s="211"/>
      <c r="O93" s="211"/>
      <c r="AV93" s="495"/>
      <c r="AW93" s="495"/>
      <c r="AX93" s="495"/>
      <c r="AY93" s="495"/>
      <c r="AZ93" s="495"/>
      <c r="BU93" s="16">
        <f t="shared" si="28"/>
        <v>0</v>
      </c>
      <c r="BV93" s="16">
        <f>IF($BY$12=1,NORMDIST(BY93,$Y$6,$Y$8,TRUE),IF($BY$12=2,IF(BY93&lt;=$BX$31,0,IF(BY93&gt;=$BX$32,1,(BY93-$BX$31)*$BX$33)),SUM($BU$42:BU93)/$BV$40))</f>
        <v>1.2384066282063899E-2</v>
      </c>
      <c r="BW93" s="16">
        <f t="shared" si="29"/>
        <v>8.185076130108453E-3</v>
      </c>
      <c r="BX93" s="16">
        <f>IF($BY$12&lt;3,BV93,SUM($BZ$42:BZ93)/$BX$40)</f>
        <v>1.2384066282063899E-2</v>
      </c>
      <c r="BY93" s="16">
        <f t="shared" si="37"/>
        <v>5.0999999999999979</v>
      </c>
      <c r="BZ93" s="16">
        <f t="shared" si="27"/>
        <v>1.60491688825656E-3</v>
      </c>
      <c r="CA93" s="16">
        <f t="shared" si="31"/>
        <v>-999</v>
      </c>
      <c r="CQ93" s="196">
        <v>92</v>
      </c>
      <c r="CR93" s="34">
        <f t="shared" si="36"/>
        <v>0.29997670277953148</v>
      </c>
      <c r="CS93" s="197" t="str">
        <f t="shared" si="33"/>
        <v/>
      </c>
      <c r="CT93" s="16">
        <f t="shared" si="34"/>
        <v>-999</v>
      </c>
      <c r="CU93" s="16">
        <f t="shared" si="35"/>
        <v>-999</v>
      </c>
    </row>
    <row r="94" spans="1:99" ht="12" customHeight="1">
      <c r="A94" s="211"/>
      <c r="B94" s="211"/>
      <c r="C94" s="211"/>
      <c r="D94" s="211"/>
      <c r="E94" s="211"/>
      <c r="F94" s="211"/>
      <c r="G94" s="211"/>
      <c r="H94" s="211"/>
      <c r="I94" s="211"/>
      <c r="J94" s="211"/>
      <c r="K94" s="211"/>
      <c r="L94" s="211"/>
      <c r="M94" s="211"/>
      <c r="N94" s="211"/>
      <c r="O94" s="211"/>
      <c r="AV94" s="495"/>
      <c r="AW94" s="495"/>
      <c r="AX94" s="495"/>
      <c r="AY94" s="495"/>
      <c r="AZ94" s="495"/>
      <c r="BU94" s="16">
        <f t="shared" si="28"/>
        <v>0</v>
      </c>
      <c r="BV94" s="16">
        <f>IF($BY$12=1,NORMDIST(BY94,$Y$6,$Y$8,TRUE),IF($BY$12=2,IF(BY94&lt;=$BX$31,0,IF(BY94&gt;=$BX$32,1,(BY94-$BX$31)*$BX$33)),SUM($BU$42:BU94)/$BV$40))</f>
        <v>1.2545461435946592E-2</v>
      </c>
      <c r="BW94" s="16">
        <f t="shared" si="29"/>
        <v>8.4396690673613304E-3</v>
      </c>
      <c r="BX94" s="16">
        <f>IF($BY$12&lt;3,BV94,SUM($BZ$42:BZ94)/$BX$40)</f>
        <v>1.2545461435946592E-2</v>
      </c>
      <c r="BY94" s="16">
        <f t="shared" si="37"/>
        <v>5.1999999999999975</v>
      </c>
      <c r="BZ94" s="16">
        <f t="shared" si="27"/>
        <v>1.623013282184872E-3</v>
      </c>
      <c r="CA94" s="16">
        <f t="shared" si="31"/>
        <v>-999</v>
      </c>
      <c r="CQ94" s="196">
        <v>93</v>
      </c>
      <c r="CR94" s="34">
        <f t="shared" si="36"/>
        <v>0.92749245092272758</v>
      </c>
      <c r="CS94" s="197" t="str">
        <f t="shared" si="33"/>
        <v/>
      </c>
      <c r="CT94" s="16">
        <f t="shared" si="34"/>
        <v>-999</v>
      </c>
      <c r="CU94" s="16">
        <f t="shared" si="35"/>
        <v>-999</v>
      </c>
    </row>
    <row r="95" spans="1:99" ht="12" customHeight="1">
      <c r="A95" s="211"/>
      <c r="B95" s="211"/>
      <c r="C95" s="211"/>
      <c r="D95" s="211"/>
      <c r="E95" s="211"/>
      <c r="F95" s="211"/>
      <c r="G95" s="211"/>
      <c r="H95" s="211"/>
      <c r="I95" s="211"/>
      <c r="J95" s="211"/>
      <c r="K95" s="211"/>
      <c r="L95" s="211"/>
      <c r="M95" s="211"/>
      <c r="N95" s="211"/>
      <c r="O95" s="211"/>
      <c r="AV95" s="495"/>
      <c r="AW95" s="495"/>
      <c r="AX95" s="495"/>
      <c r="AY95" s="495"/>
      <c r="AZ95" s="495"/>
      <c r="BU95" s="16">
        <f t="shared" si="28"/>
        <v>0</v>
      </c>
      <c r="BV95" s="16">
        <f>IF($BY$12=1,NORMDIST(BY95,$Y$6,$Y$8,TRUE),IF($BY$12=2,IF(BY95&lt;=$BX$31,0,IF(BY95&gt;=$BX$32,1,(BY95-$BX$31)*$BX$33)),SUM($BU$42:BU95)/$BV$40))</f>
        <v>1.2708674372346018E-2</v>
      </c>
      <c r="BW95" s="16">
        <f t="shared" si="29"/>
        <v>8.6987452644420281E-3</v>
      </c>
      <c r="BX95" s="16">
        <f>IF($BY$12&lt;3,BV95,SUM($BZ$42:BZ95)/$BX$40)</f>
        <v>1.2708674372346018E-2</v>
      </c>
      <c r="BY95" s="16">
        <f t="shared" si="37"/>
        <v>5.2999999999999972</v>
      </c>
      <c r="BZ95" s="16">
        <f t="shared" si="27"/>
        <v>1.6412726914041573E-3</v>
      </c>
      <c r="CA95" s="16">
        <f t="shared" si="31"/>
        <v>-999</v>
      </c>
      <c r="CQ95" s="196">
        <v>94</v>
      </c>
      <c r="CR95" s="34">
        <f t="shared" si="36"/>
        <v>0.56662913784384727</v>
      </c>
      <c r="CS95" s="197" t="str">
        <f t="shared" si="33"/>
        <v/>
      </c>
      <c r="CT95" s="16">
        <f t="shared" si="34"/>
        <v>-999</v>
      </c>
      <c r="CU95" s="16">
        <f t="shared" si="35"/>
        <v>-999</v>
      </c>
    </row>
    <row r="96" spans="1:99" ht="12" customHeight="1">
      <c r="A96" s="211"/>
      <c r="B96" s="211"/>
      <c r="C96" s="211"/>
      <c r="D96" s="211"/>
      <c r="E96" s="211"/>
      <c r="F96" s="211"/>
      <c r="G96" s="211"/>
      <c r="H96" s="211"/>
      <c r="I96" s="211"/>
      <c r="J96" s="211"/>
      <c r="K96" s="211"/>
      <c r="L96" s="211"/>
      <c r="M96" s="211"/>
      <c r="N96" s="211"/>
      <c r="O96" s="211"/>
      <c r="AV96" s="495"/>
      <c r="AW96" s="495"/>
      <c r="AX96" s="495"/>
      <c r="AY96" s="495"/>
      <c r="AZ96" s="495"/>
      <c r="BU96" s="16">
        <f t="shared" si="28"/>
        <v>0</v>
      </c>
      <c r="BV96" s="16">
        <f>IF($BY$12=1,NORMDIST(BY96,$Y$6,$Y$8,TRUE),IF($BY$12=2,IF(BY96&lt;=$BX$31,0,IF(BY96&gt;=$BX$32,1,(BY96-$BX$31)*$BX$33)),SUM($BU$42:BU96)/$BV$40))</f>
        <v>1.2873721438601993E-2</v>
      </c>
      <c r="BW96" s="16">
        <f t="shared" si="29"/>
        <v>8.9623585716824966E-3</v>
      </c>
      <c r="BX96" s="16">
        <f>IF($BY$12&lt;3,BV96,SUM($BZ$42:BZ96)/$BX$40)</f>
        <v>1.2873721438601993E-2</v>
      </c>
      <c r="BY96" s="16">
        <f t="shared" si="37"/>
        <v>5.3999999999999968</v>
      </c>
      <c r="BZ96" s="16">
        <f t="shared" si="27"/>
        <v>1.659696031793056E-3</v>
      </c>
      <c r="CA96" s="16">
        <f t="shared" si="31"/>
        <v>-999</v>
      </c>
      <c r="CQ96" s="196">
        <v>95</v>
      </c>
      <c r="CR96" s="34">
        <f t="shared" si="36"/>
        <v>0.74461726471781731</v>
      </c>
      <c r="CS96" s="197" t="str">
        <f t="shared" si="33"/>
        <v/>
      </c>
      <c r="CT96" s="16">
        <f t="shared" si="34"/>
        <v>-999</v>
      </c>
      <c r="CU96" s="16">
        <f t="shared" si="35"/>
        <v>-999</v>
      </c>
    </row>
    <row r="97" spans="1:99" ht="12" customHeight="1">
      <c r="A97" s="211"/>
      <c r="B97" s="211"/>
      <c r="C97" s="211"/>
      <c r="D97" s="211"/>
      <c r="E97" s="211"/>
      <c r="F97" s="211"/>
      <c r="G97" s="211"/>
      <c r="H97" s="211"/>
      <c r="I97" s="211"/>
      <c r="J97" s="211"/>
      <c r="K97" s="211"/>
      <c r="L97" s="211"/>
      <c r="M97" s="211"/>
      <c r="N97" s="211"/>
      <c r="O97" s="211"/>
      <c r="AV97" s="495"/>
      <c r="AW97" s="495"/>
      <c r="AX97" s="495"/>
      <c r="AY97" s="495"/>
      <c r="AZ97" s="495"/>
      <c r="BU97" s="16">
        <f t="shared" si="28"/>
        <v>0</v>
      </c>
      <c r="BV97" s="16">
        <f>IF($BY$12=1,NORMDIST(BY97,$Y$6,$Y$8,TRUE),IF($BY$12=2,IF(BY97&lt;=$BX$31,0,IF(BY97&gt;=$BX$32,1,(BY97-$BX$31)*$BX$33)),SUM($BU$42:BU97)/$BV$40))</f>
        <v>1.3040619073539705E-2</v>
      </c>
      <c r="BW97" s="16">
        <f t="shared" si="29"/>
        <v>9.2305631943738215E-3</v>
      </c>
      <c r="BX97" s="16">
        <f>IF($BY$12&lt;3,BV97,SUM($BZ$42:BZ97)/$BX$40)</f>
        <v>1.3040619073539705E-2</v>
      </c>
      <c r="BY97" s="16">
        <f t="shared" si="37"/>
        <v>5.4999999999999964</v>
      </c>
      <c r="BZ97" s="16">
        <f t="shared" si="27"/>
        <v>1.6782842171588776E-3</v>
      </c>
      <c r="CA97" s="16">
        <f t="shared" si="31"/>
        <v>-999</v>
      </c>
      <c r="CQ97" s="196">
        <v>96</v>
      </c>
      <c r="CR97" s="34">
        <f t="shared" si="36"/>
        <v>0.32720261439681053</v>
      </c>
      <c r="CS97" s="197" t="str">
        <f t="shared" si="33"/>
        <v/>
      </c>
      <c r="CT97" s="16">
        <f t="shared" si="34"/>
        <v>-999</v>
      </c>
      <c r="CU97" s="16">
        <f t="shared" si="35"/>
        <v>-999</v>
      </c>
    </row>
    <row r="98" spans="1:99" ht="12" customHeight="1">
      <c r="A98" s="211"/>
      <c r="B98" s="211"/>
      <c r="C98" s="211"/>
      <c r="D98" s="211"/>
      <c r="E98" s="211"/>
      <c r="F98" s="211"/>
      <c r="G98" s="211"/>
      <c r="H98" s="211"/>
      <c r="I98" s="211"/>
      <c r="J98" s="211"/>
      <c r="K98" s="211"/>
      <c r="L98" s="211"/>
      <c r="M98" s="211"/>
      <c r="N98" s="211"/>
      <c r="O98" s="211"/>
      <c r="AV98" s="495"/>
      <c r="AW98" s="495"/>
      <c r="AX98" s="495"/>
      <c r="AY98" s="495"/>
      <c r="AZ98" s="495"/>
      <c r="BU98" s="16">
        <f t="shared" si="28"/>
        <v>0</v>
      </c>
      <c r="BV98" s="16">
        <f>IF($BY$12=1,NORMDIST(BY98,$Y$6,$Y$8,TRUE),IF($BY$12=2,IF(BY98&lt;=$BX$31,0,IF(BY98&gt;=$BX$32,1,(BY98-$BX$31)*$BX$33)),SUM($BU$42:BU98)/$BV$40))</f>
        <v>1.3209383807256225E-2</v>
      </c>
      <c r="BW98" s="16">
        <f t="shared" si="29"/>
        <v>9.5034136910857585E-3</v>
      </c>
      <c r="BX98" s="16">
        <f>IF($BY$12&lt;3,BV98,SUM($BZ$42:BZ98)/$BX$40)</f>
        <v>1.3209383807256225E-2</v>
      </c>
      <c r="BY98" s="16">
        <f t="shared" si="37"/>
        <v>5.5999999999999961</v>
      </c>
      <c r="BZ98" s="16">
        <f t="shared" si="27"/>
        <v>1.6970381591224582E-3</v>
      </c>
      <c r="CA98" s="16">
        <f t="shared" si="31"/>
        <v>-999</v>
      </c>
      <c r="CQ98" s="196">
        <v>97</v>
      </c>
      <c r="CR98" s="34">
        <f t="shared" si="36"/>
        <v>0.39760209247469902</v>
      </c>
      <c r="CS98" s="197" t="str">
        <f>IF(AND($CB$7,$CQ98&lt;=$T$18),IF($BY$12=1,$C$4+$D$4*NORMSINV(CR98),IF($BY$12=2,$CW$8+CR98*$CW$11,VLOOKUP(CR98,$BV$42:$BY$4042,4))),"")</f>
        <v/>
      </c>
      <c r="CT98" s="16">
        <f>IF(AND($CB$4,CS98&lt;&gt;"",$M$4&lt;&gt;""),CS98,-999)</f>
        <v>-999</v>
      </c>
      <c r="CU98" s="16">
        <f>IF(CT98=-999,-999,0)</f>
        <v>-999</v>
      </c>
    </row>
    <row r="99" spans="1:99" ht="12" customHeight="1">
      <c r="A99" s="211"/>
      <c r="B99" s="211"/>
      <c r="C99" s="211"/>
      <c r="D99" s="211"/>
      <c r="E99" s="211"/>
      <c r="F99" s="211"/>
      <c r="G99" s="211"/>
      <c r="H99" s="211"/>
      <c r="I99" s="211"/>
      <c r="J99" s="211"/>
      <c r="K99" s="211"/>
      <c r="L99" s="211"/>
      <c r="M99" s="211"/>
      <c r="N99" s="211"/>
      <c r="O99" s="211"/>
      <c r="AV99" s="495"/>
      <c r="AW99" s="495"/>
      <c r="AX99" s="495"/>
      <c r="AY99" s="495"/>
      <c r="AZ99" s="495"/>
      <c r="BU99" s="16">
        <f t="shared" si="28"/>
        <v>0</v>
      </c>
      <c r="BV99" s="16">
        <f>IF($BY$12=1,NORMDIST(BY99,$Y$6,$Y$8,TRUE),IF($BY$12=2,IF(BY99&lt;=$BX$31,0,IF(BY99&gt;=$BX$32,1,(BY99-$BX$31)*$BX$33)),SUM($BU$42:BU99)/$BV$40))</f>
        <v>1.3380032260897345E-2</v>
      </c>
      <c r="BW99" s="16">
        <f t="shared" si="29"/>
        <v>9.7809649719114468E-3</v>
      </c>
      <c r="BX99" s="16">
        <f>IF($BY$12&lt;3,BV99,SUM($BZ$42:BZ99)/$BX$40)</f>
        <v>1.3380032260897345E-2</v>
      </c>
      <c r="BY99" s="16">
        <f t="shared" si="37"/>
        <v>5.6999999999999957</v>
      </c>
      <c r="BZ99" s="16">
        <f t="shared" si="27"/>
        <v>1.7159587670020095E-3</v>
      </c>
      <c r="CA99" s="16">
        <f t="shared" si="31"/>
        <v>-999</v>
      </c>
      <c r="CQ99" s="196">
        <v>98</v>
      </c>
      <c r="CR99" s="34">
        <f t="shared" si="36"/>
        <v>9.3574192374944687E-2</v>
      </c>
      <c r="CS99" s="197" t="str">
        <f>IF(AND($CB$7,$CQ99&lt;=$T$18),IF($BY$12=1,$C$4+$D$4*NORMSINV(CR99),IF($BY$12=2,$CW$8+CR99*$CW$11,VLOOKUP(CR99,$BV$42:$BY$4042,4))),"")</f>
        <v/>
      </c>
      <c r="CT99" s="16">
        <f>IF(AND($CB$4,CS99&lt;&gt;"",$M$4&lt;&gt;""),CS99,-999)</f>
        <v>-999</v>
      </c>
      <c r="CU99" s="16">
        <f>IF(CT99=-999,-999,0)</f>
        <v>-999</v>
      </c>
    </row>
    <row r="100" spans="1:99" ht="12" customHeight="1">
      <c r="A100" s="211"/>
      <c r="B100" s="211"/>
      <c r="C100" s="211"/>
      <c r="D100" s="211"/>
      <c r="E100" s="211"/>
      <c r="F100" s="211"/>
      <c r="G100" s="211"/>
      <c r="H100" s="211"/>
      <c r="I100" s="211"/>
      <c r="J100" s="211"/>
      <c r="K100" s="211"/>
      <c r="L100" s="211"/>
      <c r="M100" s="211"/>
      <c r="N100" s="211"/>
      <c r="O100" s="211"/>
      <c r="AV100" s="495"/>
      <c r="AW100" s="495"/>
      <c r="AX100" s="495"/>
      <c r="AY100" s="495"/>
      <c r="AZ100" s="495"/>
      <c r="BU100" s="16">
        <f t="shared" si="28"/>
        <v>0</v>
      </c>
      <c r="BV100" s="16">
        <f>IF($BY$12=1,NORMDIST(BY100,$Y$6,$Y$8,TRUE),IF($BY$12=2,IF(BY100&lt;=$BX$31,0,IF(BY100&gt;=$BX$32,1,(BY100-$BX$31)*$BX$33)),SUM($BU$42:BU100)/$BV$40))</f>
        <v>1.3552581146419884E-2</v>
      </c>
      <c r="BW100" s="16">
        <f t="shared" si="29"/>
        <v>1.0063272296636444E-2</v>
      </c>
      <c r="BX100" s="16">
        <f>IF($BY$12&lt;3,BV100,SUM($BZ$42:BZ100)/$BX$40)</f>
        <v>1.3552581146419884E-2</v>
      </c>
      <c r="BY100" s="16">
        <f t="shared" si="37"/>
        <v>5.7999999999999954</v>
      </c>
      <c r="BZ100" s="16">
        <f t="shared" si="27"/>
        <v>1.73504694769594E-3</v>
      </c>
      <c r="CA100" s="16">
        <f t="shared" si="31"/>
        <v>-999</v>
      </c>
      <c r="CQ100" s="196">
        <v>99</v>
      </c>
      <c r="CR100" s="34">
        <f t="shared" si="36"/>
        <v>0.14021394774317741</v>
      </c>
      <c r="CS100" s="197" t="str">
        <f>IF(AND($CB$7,$CQ100&lt;=$T$18),IF($BY$12=1,$C$4+$D$4*NORMSINV(CR100),IF($BY$12=2,$CW$8+CR100*$CW$11,VLOOKUP(CR100,$BV$42:$BY$4042,4))),"")</f>
        <v/>
      </c>
      <c r="CT100" s="16">
        <f>IF(AND($CB$4,CS100&lt;&gt;"",$M$4&lt;&gt;""),CS100,-999)</f>
        <v>-999</v>
      </c>
      <c r="CU100" s="16">
        <f>IF(CT100=-999,-999,0)</f>
        <v>-999</v>
      </c>
    </row>
    <row r="101" spans="1:99" ht="12" customHeight="1">
      <c r="A101" s="211"/>
      <c r="B101" s="211"/>
      <c r="C101" s="211"/>
      <c r="D101" s="211"/>
      <c r="E101" s="211"/>
      <c r="F101" s="211"/>
      <c r="G101" s="211"/>
      <c r="H101" s="211"/>
      <c r="I101" s="211"/>
      <c r="J101" s="211"/>
      <c r="K101" s="211"/>
      <c r="L101" s="211"/>
      <c r="M101" s="211"/>
      <c r="N101" s="211"/>
      <c r="O101" s="211"/>
      <c r="AV101" s="495"/>
      <c r="AW101" s="495"/>
      <c r="AX101" s="495"/>
      <c r="AY101" s="495"/>
      <c r="AZ101" s="495"/>
      <c r="BD101" s="196"/>
      <c r="BE101" s="196"/>
      <c r="BF101" s="196"/>
      <c r="BG101" s="196"/>
      <c r="BH101" s="196"/>
      <c r="BI101" s="196"/>
      <c r="BJ101" s="196"/>
      <c r="BK101" s="196"/>
      <c r="BL101" s="196"/>
      <c r="BM101" s="196"/>
      <c r="BN101" s="196"/>
      <c r="BO101" s="196"/>
      <c r="BP101" s="196"/>
      <c r="BQ101" s="196"/>
      <c r="BU101" s="16">
        <f t="shared" si="28"/>
        <v>0</v>
      </c>
      <c r="BV101" s="16">
        <f>IF($BY$12=1,NORMDIST(BY101,$Y$6,$Y$8,TRUE),IF($BY$12=2,IF(BY101&lt;=$BX$31,0,IF(BY101&gt;=$BX$32,1,(BY101-$BX$31)*$BX$33)),SUM($BU$42:BU101)/$BV$40))</f>
        <v>1.3727047266345327E-2</v>
      </c>
      <c r="BW101" s="16">
        <f t="shared" si="29"/>
        <v>1.0350391272831669E-2</v>
      </c>
      <c r="BX101" s="16">
        <f>IF($BY$12&lt;3,BV101,SUM($BZ$42:BZ101)/$BX$40)</f>
        <v>1.3727047266345327E-2</v>
      </c>
      <c r="BY101" s="16">
        <f t="shared" si="37"/>
        <v>5.899999999999995</v>
      </c>
      <c r="BZ101" s="16">
        <f t="shared" si="27"/>
        <v>1.7543036055646911E-3</v>
      </c>
      <c r="CA101" s="16">
        <f t="shared" si="31"/>
        <v>-999</v>
      </c>
      <c r="CB101" s="197"/>
      <c r="CC101" s="197"/>
      <c r="CD101" s="197"/>
      <c r="CQ101" s="196">
        <v>100</v>
      </c>
      <c r="CR101" s="34">
        <f t="shared" si="36"/>
        <v>0.30021309480071068</v>
      </c>
      <c r="CS101" s="197" t="str">
        <f>IF(AND($CB$7,$CQ101&lt;=$T$18),IF($BY$12=1,$C$4+$D$4*NORMSINV(CR101),IF($BY$12=2,$CW$8+CR101*$CW$11,VLOOKUP(CR101,$BV$42:$BY$4042,4))),"")</f>
        <v/>
      </c>
      <c r="CT101" s="16">
        <f>IF(AND($CB$4,CS101&lt;&gt;"",$M$4&lt;&gt;""),CS101,-999)</f>
        <v>-999</v>
      </c>
      <c r="CU101" s="16">
        <f>IF(CT101=-999,-999,0)</f>
        <v>-999</v>
      </c>
    </row>
    <row r="102" spans="1:99" ht="12" customHeight="1">
      <c r="A102" s="211"/>
      <c r="B102" s="211"/>
      <c r="C102" s="211"/>
      <c r="D102" s="211"/>
      <c r="E102" s="211"/>
      <c r="F102" s="211"/>
      <c r="G102" s="211"/>
      <c r="H102" s="211"/>
      <c r="I102" s="211"/>
      <c r="J102" s="211"/>
      <c r="K102" s="211"/>
      <c r="L102" s="211"/>
      <c r="M102" s="211"/>
      <c r="N102" s="211"/>
      <c r="O102" s="211"/>
      <c r="AV102" s="495"/>
      <c r="AW102" s="495"/>
      <c r="AX102" s="495"/>
      <c r="AY102" s="495"/>
      <c r="AZ102" s="495"/>
      <c r="BU102" s="16">
        <f t="shared" si="28"/>
        <v>0</v>
      </c>
      <c r="BV102" s="16">
        <f>IF($BY$12=1,NORMDIST(BY102,$Y$6,$Y$8,TRUE),IF($BY$12=2,IF(BY102&lt;=$BX$31,0,IF(BY102&gt;=$BX$32,1,(BY102-$BX$31)*$BX$33)),SUM($BU$42:BU102)/$BV$40))</f>
        <v>1.390344751349859E-2</v>
      </c>
      <c r="BW102" s="16">
        <f t="shared" si="29"/>
        <v>1.0642377853869412E-2</v>
      </c>
      <c r="BX102" s="16">
        <f>IF($BY$12&lt;3,BV102,SUM($BZ$42:BZ102)/$BX$40)</f>
        <v>1.390344751349859E-2</v>
      </c>
      <c r="BY102" s="16">
        <f t="shared" si="37"/>
        <v>5.9999999999999947</v>
      </c>
      <c r="BZ102" s="16">
        <f t="shared" si="27"/>
        <v>1.7737296423115702E-3</v>
      </c>
      <c r="CA102" s="16">
        <f t="shared" si="31"/>
        <v>-999</v>
      </c>
      <c r="CB102" s="232"/>
      <c r="CC102" s="232"/>
      <c r="CD102" s="232"/>
      <c r="CE102" s="232"/>
      <c r="CF102" s="16" t="s">
        <v>243</v>
      </c>
      <c r="CG102" s="16" t="s">
        <v>246</v>
      </c>
      <c r="CH102" s="187" t="s">
        <v>252</v>
      </c>
      <c r="CK102" s="187" t="s">
        <v>254</v>
      </c>
    </row>
    <row r="103" spans="1:99" ht="12" customHeight="1">
      <c r="A103" s="211"/>
      <c r="B103" s="211"/>
      <c r="C103" s="211"/>
      <c r="D103" s="211"/>
      <c r="E103" s="211"/>
      <c r="F103" s="211"/>
      <c r="G103" s="211"/>
      <c r="H103" s="211"/>
      <c r="I103" s="211"/>
      <c r="J103" s="211"/>
      <c r="K103" s="211"/>
      <c r="L103" s="211"/>
      <c r="M103" s="211"/>
      <c r="N103" s="211"/>
      <c r="O103" s="211"/>
      <c r="AV103" s="495"/>
      <c r="AW103" s="495"/>
      <c r="AX103" s="495"/>
      <c r="AY103" s="495"/>
      <c r="AZ103" s="495"/>
      <c r="BU103" s="16">
        <f t="shared" si="28"/>
        <v>0</v>
      </c>
      <c r="BV103" s="16">
        <f>IF($BY$12=1,NORMDIST(BY103,$Y$6,$Y$8,TRUE),IF($BY$12=2,IF(BY103&lt;=$BX$31,0,IF(BY103&gt;=$BX$32,1,(BY103-$BX$31)*$BX$33)),SUM($BU$42:BU103)/$BV$40))</f>
        <v>1.4081798870737794E-2</v>
      </c>
      <c r="BW103" s="16">
        <f t="shared" si="29"/>
        <v>1.0939288336861761E-2</v>
      </c>
      <c r="BX103" s="16">
        <f>IF($BY$12&lt;3,BV103,SUM($BZ$42:BZ103)/$BX$40)</f>
        <v>1.4081798870737794E-2</v>
      </c>
      <c r="BY103" s="16">
        <f t="shared" si="37"/>
        <v>6.0999999999999943</v>
      </c>
      <c r="BZ103" s="16">
        <f t="shared" si="27"/>
        <v>1.7933259568625854E-3</v>
      </c>
      <c r="CA103" s="16">
        <f t="shared" si="31"/>
        <v>-999</v>
      </c>
      <c r="CB103" s="16" t="s">
        <v>1098</v>
      </c>
      <c r="CD103" s="16" t="e">
        <f>CD105</f>
        <v>#N/A</v>
      </c>
      <c r="CE103" s="187" t="e">
        <f>IF(AND($CB$7,$CB$4),CE105,NA())</f>
        <v>#N/A</v>
      </c>
      <c r="CF103" s="16">
        <f>MIN(CF105:CF704)</f>
        <v>99</v>
      </c>
      <c r="CG103" s="16">
        <f>MAX(CG105:CG704)</f>
        <v>0</v>
      </c>
      <c r="CH103" s="185">
        <f>SUM(CH105:CH4042)</f>
        <v>0</v>
      </c>
      <c r="CI103" s="185"/>
      <c r="CJ103" s="187"/>
      <c r="CK103" s="187" t="str">
        <f>IF(CH103&gt;1,STDEV(CK105:CK4042),"")</f>
        <v/>
      </c>
      <c r="CL103" s="187"/>
      <c r="CM103" s="187"/>
    </row>
    <row r="104" spans="1:99" ht="12" customHeight="1" thickBot="1">
      <c r="A104" s="211"/>
      <c r="B104" s="211"/>
      <c r="C104" s="211"/>
      <c r="D104" s="211"/>
      <c r="E104" s="211"/>
      <c r="F104" s="211"/>
      <c r="G104" s="211"/>
      <c r="H104" s="211"/>
      <c r="I104" s="211"/>
      <c r="J104" s="211"/>
      <c r="K104" s="211"/>
      <c r="L104" s="211"/>
      <c r="M104" s="211"/>
      <c r="N104" s="211"/>
      <c r="O104" s="211"/>
      <c r="AL104"/>
      <c r="AM104"/>
      <c r="AN104"/>
      <c r="AO104"/>
      <c r="AP104"/>
      <c r="AQ104"/>
      <c r="AR104"/>
      <c r="AV104" s="495"/>
      <c r="AW104" s="495"/>
      <c r="AX104" s="495"/>
      <c r="AY104" s="495"/>
      <c r="AZ104" s="495"/>
      <c r="BU104" s="16">
        <f t="shared" si="28"/>
        <v>0</v>
      </c>
      <c r="BV104" s="16">
        <f>IF($BY$12=1,NORMDIST(BY104,$Y$6,$Y$8,TRUE),IF($BY$12=2,IF(BY104&lt;=$BX$31,0,IF(BY104&gt;=$BX$32,1,(BY104-$BX$31)*$BX$33)),SUM($BU$42:BU104)/$BV$40))</f>
        <v>1.4262118410668823E-2</v>
      </c>
      <c r="BW104" s="16">
        <f t="shared" si="29"/>
        <v>1.124117936052091E-2</v>
      </c>
      <c r="BX104" s="16">
        <f>IF($BY$12&lt;3,BV104,SUM($BZ$42:BZ104)/$BX$40)</f>
        <v>1.4262118410668823E-2</v>
      </c>
      <c r="BY104" s="16">
        <f t="shared" si="37"/>
        <v>6.199999999999994</v>
      </c>
      <c r="BZ104" s="16">
        <f t="shared" si="27"/>
        <v>1.81309344524531E-3</v>
      </c>
      <c r="CA104" s="16">
        <f t="shared" si="31"/>
        <v>-999</v>
      </c>
      <c r="CB104" s="536" t="s">
        <v>1099</v>
      </c>
      <c r="CC104" s="536" t="s">
        <v>1100</v>
      </c>
      <c r="CD104" s="536" t="s">
        <v>1101</v>
      </c>
      <c r="CE104" s="536" t="s">
        <v>1102</v>
      </c>
      <c r="CF104" s="536" t="s">
        <v>247</v>
      </c>
      <c r="CG104" s="536" t="s">
        <v>244</v>
      </c>
      <c r="CH104" s="480" t="s">
        <v>250</v>
      </c>
      <c r="CI104" s="480" t="s">
        <v>640</v>
      </c>
      <c r="CJ104" s="536" t="s">
        <v>251</v>
      </c>
      <c r="CK104" s="536" t="s">
        <v>253</v>
      </c>
      <c r="CL104" s="187"/>
      <c r="CM104" s="187" t="e">
        <f>STDEV(CM101:CM103)</f>
        <v>#DIV/0!</v>
      </c>
    </row>
    <row r="105" spans="1:99" ht="12" customHeight="1">
      <c r="A105" s="211"/>
      <c r="B105" s="211"/>
      <c r="C105" s="211"/>
      <c r="D105" s="211"/>
      <c r="E105" s="211"/>
      <c r="F105" s="211"/>
      <c r="G105" s="211"/>
      <c r="H105" s="211"/>
      <c r="I105" s="211"/>
      <c r="J105" s="211"/>
      <c r="K105" s="211"/>
      <c r="L105" s="211"/>
      <c r="M105" s="211"/>
      <c r="N105" s="211"/>
      <c r="O105" s="211"/>
      <c r="AL105"/>
      <c r="AM105"/>
      <c r="AN105"/>
      <c r="AO105"/>
      <c r="AP105"/>
      <c r="AQ105"/>
      <c r="AR105"/>
      <c r="AV105" s="495"/>
      <c r="AW105" s="495"/>
      <c r="AX105" s="495"/>
      <c r="AY105" s="495"/>
      <c r="AZ105" s="495"/>
      <c r="BU105" s="16">
        <f t="shared" si="28"/>
        <v>0</v>
      </c>
      <c r="BV105" s="16">
        <f>IF($BY$12=1,NORMDIST(BY105,$Y$6,$Y$8,TRUE),IF($BY$12=2,IF(BY105&lt;=$BX$31,0,IF(BY105&gt;=$BX$32,1,(BY105-$BX$31)*$BX$33)),SUM($BU$42:BU105)/$BV$40))</f>
        <v>1.444442329535145E-2</v>
      </c>
      <c r="BW105" s="16">
        <f t="shared" si="29"/>
        <v>1.1548107902940594E-2</v>
      </c>
      <c r="BX105" s="16">
        <f>IF($BY$12&lt;3,BV105,SUM($BZ$42:BZ105)/$BX$40)</f>
        <v>1.444442329535145E-2</v>
      </c>
      <c r="BY105" s="16">
        <f t="shared" si="37"/>
        <v>6.2999999999999936</v>
      </c>
      <c r="BZ105" s="16">
        <f t="shared" si="27"/>
        <v>1.8330330004667629E-3</v>
      </c>
      <c r="CA105" s="16">
        <f t="shared" si="31"/>
        <v>-999</v>
      </c>
      <c r="CB105" s="16" t="str">
        <f>IF(M4="","",ROUND(M4/$P$24,0))</f>
        <v/>
      </c>
      <c r="CC105" s="16" t="e">
        <f>IF(CB105="",NA(),COUNTIF(CB105:$CB$704,CB105))</f>
        <v>#N/A</v>
      </c>
      <c r="CD105" s="16" t="e">
        <f>IF(CB105&lt;&gt;"",CB105*$P$24,NA())</f>
        <v>#N/A</v>
      </c>
      <c r="CE105" s="16" t="e">
        <f>IF(AND($CB$7,$CD$2,$CD$1),26+$P$23/2-CC105*$P$23,NA())</f>
        <v>#N/A</v>
      </c>
      <c r="CF105" s="16">
        <f>IF(ISNA(CJ105),99,CJ105)</f>
        <v>99</v>
      </c>
      <c r="CG105" s="16">
        <f>IF(ISNA(CJ105),0,CJ105)</f>
        <v>0</v>
      </c>
      <c r="CH105" s="34">
        <f>IF(ISNA(CE105),0,IF(CI105&gt;(CE105-$P$23),1,0))</f>
        <v>0</v>
      </c>
      <c r="CI105" s="16">
        <v>1</v>
      </c>
      <c r="CJ105" s="16" t="e">
        <f>IF(CH105=1,CE105,NA())</f>
        <v>#N/A</v>
      </c>
      <c r="CK105" s="16" t="str">
        <f>IF(CH105=1,M4,"")</f>
        <v/>
      </c>
    </row>
    <row r="106" spans="1:99" ht="12" customHeight="1">
      <c r="A106" s="211"/>
      <c r="B106" s="211"/>
      <c r="C106" s="211"/>
      <c r="D106" s="211"/>
      <c r="E106" s="211"/>
      <c r="F106" s="211"/>
      <c r="G106" s="211"/>
      <c r="H106" s="211"/>
      <c r="I106" s="211"/>
      <c r="J106" s="211"/>
      <c r="K106" s="211"/>
      <c r="L106" s="211"/>
      <c r="M106" s="211"/>
      <c r="N106" s="211"/>
      <c r="O106" s="211"/>
      <c r="AL106"/>
      <c r="AM106"/>
      <c r="AN106"/>
      <c r="AO106"/>
      <c r="AP106"/>
      <c r="AQ106"/>
      <c r="AR106"/>
      <c r="AV106" s="495"/>
      <c r="AW106" s="495"/>
      <c r="AX106" s="495"/>
      <c r="AY106" s="495"/>
      <c r="AZ106" s="495"/>
      <c r="BU106" s="16">
        <f t="shared" si="28"/>
        <v>0</v>
      </c>
      <c r="BV106" s="16">
        <f>IF($BY$12=1,NORMDIST(BY106,$Y$6,$Y$8,TRUE),IF($BY$12=2,IF(BY106&lt;=$BX$31,0,IF(BY106&gt;=$BX$32,1,(BY106-$BX$31)*$BX$33)),SUM($BU$42:BU106)/$BV$40))</f>
        <v>1.4628730775989141E-2</v>
      </c>
      <c r="BW106" s="16">
        <f t="shared" si="29"/>
        <v>1.1860131279298051E-2</v>
      </c>
      <c r="BX106" s="16">
        <f>IF($BY$12&lt;3,BV106,SUM($BZ$42:BZ106)/$BX$40)</f>
        <v>1.4628730775989141E-2</v>
      </c>
      <c r="BY106" s="16">
        <f t="shared" si="37"/>
        <v>6.3999999999999932</v>
      </c>
      <c r="BZ106" s="16">
        <f t="shared" ref="BZ106:BZ169" si="38">IF($BZ$5,IF($BY$12=1,NORMDIST(BY106,$Y$6,$Y$8,FALSE),IF($BY$12=2,IF(AND(BY106&gt;=$BX$31,BY106&lt;=$BX$32),$BX$33,0),IF(BY106&lt;=$BX$13,0,NORMDIST(LN((BY106-$BX$13)/$BX$12),0,$BW$8,FALSE)/((BY106-$BX$13)/$BX$12)))),-999)</f>
        <v>1.8531455123903225E-3</v>
      </c>
      <c r="CA106" s="16">
        <f t="shared" si="31"/>
        <v>-999</v>
      </c>
      <c r="CB106" s="16" t="str">
        <f t="shared" ref="CB106:CB169" si="39">IF(M5="","",ROUND(M5/$P$24,0))</f>
        <v/>
      </c>
      <c r="CC106" s="16" t="e">
        <f>IF(CB106="",NA(),COUNTIF(CB106:$CB$704,CB106))</f>
        <v>#N/A</v>
      </c>
      <c r="CD106" s="16" t="e">
        <f t="shared" ref="CD106:CD169" si="40">IF(CB106&lt;&gt;"",CB106*$P$24,NA())</f>
        <v>#N/A</v>
      </c>
      <c r="CE106" s="16" t="e">
        <f t="shared" ref="CE106:CE169" si="41">IF(AND($CB$7,$CD$2,$CD$1),26+$P$23/2-CC106*$P$23,NA())</f>
        <v>#N/A</v>
      </c>
      <c r="CF106" s="16">
        <f t="shared" ref="CF106:CF169" si="42">IF(ISNA(CJ106),99,CJ106)</f>
        <v>99</v>
      </c>
      <c r="CG106" s="16">
        <f t="shared" ref="CG106:CG169" si="43">IF(ISNA(CJ106),0,CJ106)</f>
        <v>0</v>
      </c>
      <c r="CH106" s="34">
        <f t="shared" ref="CH106:CH129" si="44">IF(ISNA(CE106),0,IF(CI106&gt;(CE106-$P$23),1,0))</f>
        <v>0</v>
      </c>
      <c r="CI106" s="16">
        <v>2</v>
      </c>
      <c r="CJ106" s="16" t="e">
        <f t="shared" ref="CJ106:CJ169" si="45">IF(CH106=1,CE106,NA())</f>
        <v>#N/A</v>
      </c>
      <c r="CK106" s="16" t="str">
        <f t="shared" ref="CK106:CK169" si="46">IF(CH106=1,M5,"")</f>
        <v/>
      </c>
    </row>
    <row r="107" spans="1:99" ht="12" customHeight="1">
      <c r="A107" s="211"/>
      <c r="B107" s="211"/>
      <c r="C107" s="211"/>
      <c r="D107" s="211"/>
      <c r="E107" s="211"/>
      <c r="F107" s="211"/>
      <c r="G107" s="211"/>
      <c r="H107" s="211"/>
      <c r="I107" s="211"/>
      <c r="J107" s="211"/>
      <c r="K107" s="211"/>
      <c r="L107" s="211"/>
      <c r="M107" s="211"/>
      <c r="N107" s="211"/>
      <c r="O107" s="211"/>
      <c r="AL107"/>
      <c r="AM107"/>
      <c r="AN107"/>
      <c r="AO107"/>
      <c r="AP107"/>
      <c r="AQ107"/>
      <c r="AR107"/>
      <c r="AV107" s="495"/>
      <c r="AW107" s="495"/>
      <c r="AX107" s="495"/>
      <c r="AY107" s="495"/>
      <c r="AZ107" s="495"/>
      <c r="BU107" s="16">
        <f t="shared" ref="BU107:BU170" si="47">IF($BY$12&lt;3,0,IF(BY107&lt;=$BX$13,0,NORMDIST(LN((BY107-$BX$13)/$BX$12),0,$BW$8,FALSE)/((BY107-$BX$13)/$BX$12)))</f>
        <v>0</v>
      </c>
      <c r="BV107" s="16">
        <f>IF($BY$12=1,NORMDIST(BY107,$Y$6,$Y$8,TRUE),IF($BY$12=2,IF(BY107&lt;=$BX$31,0,IF(BY107&gt;=$BX$32,1,(BY107-$BX$31)*$BX$33)),SUM($BU$42:BU107)/$BV$40))</f>
        <v>1.4815058192609976E-2</v>
      </c>
      <c r="BW107" s="16">
        <f t="shared" ref="BW107:BW170" si="48">BY107*BZ107</f>
        <v>1.2177307139475953E-2</v>
      </c>
      <c r="BX107" s="16">
        <f>IF($BY$12&lt;3,BV107,SUM($BZ$42:BZ107)/$BX$40)</f>
        <v>1.4815058192609976E-2</v>
      </c>
      <c r="BY107" s="16">
        <f t="shared" ref="BY107:BY138" si="49">BY106+$BZ$1</f>
        <v>6.4999999999999929</v>
      </c>
      <c r="BZ107" s="16">
        <f t="shared" si="38"/>
        <v>1.8734318676116872E-3</v>
      </c>
      <c r="CA107" s="16">
        <f t="shared" ref="CA107:CA170" si="50">IF(AND($CD$1,$CD$3),26-$CD$40*NORMDIST(BY107,$Y$6,$Y$8/SQRT($T$18),FALSE),-999)</f>
        <v>-999</v>
      </c>
      <c r="CB107" s="16" t="str">
        <f t="shared" si="39"/>
        <v/>
      </c>
      <c r="CC107" s="16" t="e">
        <f>IF(CB107="",NA(),COUNTIF(CB107:$CB$704,CB107))</f>
        <v>#N/A</v>
      </c>
      <c r="CD107" s="16" t="e">
        <f t="shared" si="40"/>
        <v>#N/A</v>
      </c>
      <c r="CE107" s="16" t="e">
        <f t="shared" si="41"/>
        <v>#N/A</v>
      </c>
      <c r="CF107" s="16">
        <f t="shared" si="42"/>
        <v>99</v>
      </c>
      <c r="CG107" s="16">
        <f t="shared" si="43"/>
        <v>0</v>
      </c>
      <c r="CH107" s="34">
        <f t="shared" si="44"/>
        <v>0</v>
      </c>
      <c r="CI107" s="16">
        <v>3</v>
      </c>
      <c r="CJ107" s="16" t="e">
        <f t="shared" si="45"/>
        <v>#N/A</v>
      </c>
      <c r="CK107" s="16" t="str">
        <f t="shared" si="46"/>
        <v/>
      </c>
    </row>
    <row r="108" spans="1:99" ht="12" customHeight="1">
      <c r="A108" s="211"/>
      <c r="B108" s="211"/>
      <c r="C108" s="211"/>
      <c r="D108" s="211"/>
      <c r="E108" s="211"/>
      <c r="F108" s="211"/>
      <c r="G108" s="211"/>
      <c r="H108" s="211"/>
      <c r="I108" s="211"/>
      <c r="J108" s="211"/>
      <c r="K108" s="211"/>
      <c r="L108" s="211"/>
      <c r="M108" s="211"/>
      <c r="N108" s="211"/>
      <c r="O108" s="211"/>
      <c r="AL108"/>
      <c r="AM108"/>
      <c r="AN108"/>
      <c r="AO108"/>
      <c r="AP108"/>
      <c r="AQ108"/>
      <c r="AR108"/>
      <c r="AV108" s="495"/>
      <c r="AW108" s="495"/>
      <c r="AX108" s="495"/>
      <c r="AY108" s="495"/>
      <c r="AZ108" s="495"/>
      <c r="BU108" s="16">
        <f t="shared" si="47"/>
        <v>0</v>
      </c>
      <c r="BV108" s="16">
        <f>IF($BY$12=1,NORMDIST(BY108,$Y$6,$Y$8,TRUE),IF($BY$12=2,IF(BY108&lt;=$BX$31,0,IF(BY108&gt;=$BX$32,1,(BY108-$BX$31)*$BX$33)),SUM($BU$42:BU108)/$BV$40))</f>
        <v>1.5003422973732361E-2</v>
      </c>
      <c r="BW108" s="16">
        <f t="shared" si="48"/>
        <v>1.2499693465603548E-2</v>
      </c>
      <c r="BX108" s="16">
        <f>IF($BY$12&lt;3,BV108,SUM($BZ$42:BZ108)/$BX$40)</f>
        <v>1.5003422973732361E-2</v>
      </c>
      <c r="BY108" s="16">
        <f t="shared" si="49"/>
        <v>6.5999999999999925</v>
      </c>
      <c r="BZ108" s="16">
        <f t="shared" si="38"/>
        <v>1.8938929493338731E-3</v>
      </c>
      <c r="CA108" s="16">
        <f t="shared" si="50"/>
        <v>-999</v>
      </c>
      <c r="CB108" s="16" t="str">
        <f t="shared" si="39"/>
        <v/>
      </c>
      <c r="CC108" s="16" t="e">
        <f>IF(CB108="",NA(),COUNTIF(CB108:$CB$704,CB108))</f>
        <v>#N/A</v>
      </c>
      <c r="CD108" s="16" t="e">
        <f t="shared" si="40"/>
        <v>#N/A</v>
      </c>
      <c r="CE108" s="16" t="e">
        <f t="shared" si="41"/>
        <v>#N/A</v>
      </c>
      <c r="CF108" s="16">
        <f t="shared" si="42"/>
        <v>99</v>
      </c>
      <c r="CG108" s="16">
        <f t="shared" si="43"/>
        <v>0</v>
      </c>
      <c r="CH108" s="34">
        <f t="shared" si="44"/>
        <v>0</v>
      </c>
      <c r="CI108" s="16">
        <v>4</v>
      </c>
      <c r="CJ108" s="16" t="e">
        <f t="shared" si="45"/>
        <v>#N/A</v>
      </c>
      <c r="CK108" s="16" t="str">
        <f t="shared" si="46"/>
        <v/>
      </c>
    </row>
    <row r="109" spans="1:99" ht="12" customHeight="1">
      <c r="A109" s="211"/>
      <c r="B109" s="211"/>
      <c r="C109" s="211"/>
      <c r="D109" s="211"/>
      <c r="E109" s="211"/>
      <c r="F109" s="211"/>
      <c r="G109" s="211"/>
      <c r="H109" s="211"/>
      <c r="I109" s="211"/>
      <c r="J109" s="211"/>
      <c r="K109" s="211"/>
      <c r="L109" s="211"/>
      <c r="M109" s="211"/>
      <c r="N109" s="211"/>
      <c r="O109" s="211"/>
      <c r="AL109"/>
      <c r="AM109"/>
      <c r="AN109"/>
      <c r="AO109"/>
      <c r="AP109"/>
      <c r="AQ109"/>
      <c r="AR109"/>
      <c r="AV109" s="495"/>
      <c r="AW109" s="495"/>
      <c r="AX109" s="495"/>
      <c r="AY109" s="495"/>
      <c r="AZ109" s="495"/>
      <c r="BU109" s="16">
        <f t="shared" si="47"/>
        <v>0</v>
      </c>
      <c r="BV109" s="16">
        <f>IF($BY$12=1,NORMDIST(BY109,$Y$6,$Y$8,TRUE),IF($BY$12=2,IF(BY109&lt;=$BX$31,0,IF(BY109&gt;=$BX$32,1,(BY109-$BX$31)*$BX$33)),SUM($BU$42:BU109)/$BV$40))</f>
        <v>1.5193842636020305E-2</v>
      </c>
      <c r="BW109" s="16">
        <f t="shared" si="48"/>
        <v>1.282734856951649E-2</v>
      </c>
      <c r="BX109" s="16">
        <f>IF($BY$12&lt;3,BV109,SUM($BZ$42:BZ109)/$BX$40)</f>
        <v>1.5193842636020305E-2</v>
      </c>
      <c r="BY109" s="16">
        <f t="shared" si="49"/>
        <v>6.6999999999999922</v>
      </c>
      <c r="BZ109" s="16">
        <f t="shared" si="38"/>
        <v>1.9145296372412694E-3</v>
      </c>
      <c r="CA109" s="16">
        <f t="shared" si="50"/>
        <v>-999</v>
      </c>
      <c r="CB109" s="16" t="str">
        <f t="shared" si="39"/>
        <v/>
      </c>
      <c r="CC109" s="16" t="e">
        <f>IF(CB109="",NA(),COUNTIF(CB109:$CB$704,CB109))</f>
        <v>#N/A</v>
      </c>
      <c r="CD109" s="16" t="e">
        <f t="shared" si="40"/>
        <v>#N/A</v>
      </c>
      <c r="CE109" s="16" t="e">
        <f t="shared" si="41"/>
        <v>#N/A</v>
      </c>
      <c r="CF109" s="16">
        <f t="shared" si="42"/>
        <v>99</v>
      </c>
      <c r="CG109" s="16">
        <f t="shared" si="43"/>
        <v>0</v>
      </c>
      <c r="CH109" s="34">
        <f t="shared" si="44"/>
        <v>0</v>
      </c>
      <c r="CI109" s="16">
        <v>5</v>
      </c>
      <c r="CJ109" s="16" t="e">
        <f t="shared" si="45"/>
        <v>#N/A</v>
      </c>
      <c r="CK109" s="16" t="str">
        <f t="shared" si="46"/>
        <v/>
      </c>
    </row>
    <row r="110" spans="1:99" ht="12" customHeight="1">
      <c r="A110" s="211"/>
      <c r="B110" s="211"/>
      <c r="C110" s="211"/>
      <c r="D110" s="211"/>
      <c r="E110" s="211"/>
      <c r="F110" s="211"/>
      <c r="G110" s="211"/>
      <c r="H110" s="211"/>
      <c r="I110" s="211"/>
      <c r="J110" s="211"/>
      <c r="K110" s="211"/>
      <c r="L110" s="211"/>
      <c r="M110" s="211"/>
      <c r="N110" s="211"/>
      <c r="O110" s="211"/>
      <c r="AL110"/>
      <c r="AM110"/>
      <c r="AN110"/>
      <c r="AO110"/>
      <c r="AP110"/>
      <c r="AQ110"/>
      <c r="AR110"/>
      <c r="BU110" s="16">
        <f t="shared" si="47"/>
        <v>0</v>
      </c>
      <c r="BV110" s="16">
        <f>IF($BY$12=1,NORMDIST(BY110,$Y$6,$Y$8,TRUE),IF($BY$12=2,IF(BY110&lt;=$BX$31,0,IF(BY110&gt;=$BX$32,1,(BY110-$BX$31)*$BX$33)),SUM($BU$42:BU110)/$BV$40))</f>
        <v>1.5386334783925593E-2</v>
      </c>
      <c r="BW110" s="16">
        <f t="shared" si="48"/>
        <v>1.3160331090134876E-2</v>
      </c>
      <c r="BX110" s="16">
        <f>IF($BY$12&lt;3,BV110,SUM($BZ$42:BZ110)/$BX$40)</f>
        <v>1.5386334783925593E-2</v>
      </c>
      <c r="BY110" s="16">
        <f t="shared" si="49"/>
        <v>6.7999999999999918</v>
      </c>
      <c r="BZ110" s="16">
        <f t="shared" si="38"/>
        <v>1.9353428073727783E-3</v>
      </c>
      <c r="CA110" s="16">
        <f t="shared" si="50"/>
        <v>-999</v>
      </c>
      <c r="CB110" s="16" t="str">
        <f t="shared" si="39"/>
        <v/>
      </c>
      <c r="CC110" s="16" t="e">
        <f>IF(CB110="",NA(),COUNTIF(CB110:$CB$704,CB110))</f>
        <v>#N/A</v>
      </c>
      <c r="CD110" s="16" t="e">
        <f t="shared" si="40"/>
        <v>#N/A</v>
      </c>
      <c r="CE110" s="16" t="e">
        <f t="shared" si="41"/>
        <v>#N/A</v>
      </c>
      <c r="CF110" s="16">
        <f t="shared" si="42"/>
        <v>99</v>
      </c>
      <c r="CG110" s="16">
        <f t="shared" si="43"/>
        <v>0</v>
      </c>
      <c r="CH110" s="34">
        <f t="shared" si="44"/>
        <v>0</v>
      </c>
      <c r="CI110" s="16">
        <v>6</v>
      </c>
      <c r="CJ110" s="16" t="e">
        <f t="shared" si="45"/>
        <v>#N/A</v>
      </c>
      <c r="CK110" s="16" t="str">
        <f t="shared" si="46"/>
        <v/>
      </c>
    </row>
    <row r="111" spans="1:99" ht="12" customHeight="1">
      <c r="A111" s="211"/>
      <c r="B111" s="211"/>
      <c r="C111" s="211"/>
      <c r="D111" s="211"/>
      <c r="E111" s="211"/>
      <c r="F111" s="211"/>
      <c r="G111" s="211"/>
      <c r="H111" s="211"/>
      <c r="I111" s="211"/>
      <c r="J111" s="211"/>
      <c r="K111" s="211"/>
      <c r="L111" s="211"/>
      <c r="M111" s="211"/>
      <c r="N111" s="211"/>
      <c r="O111" s="211"/>
      <c r="AL111"/>
      <c r="AM111"/>
      <c r="AN111"/>
      <c r="AO111"/>
      <c r="AP111"/>
      <c r="AQ111"/>
      <c r="AR111"/>
      <c r="BU111" s="16">
        <f t="shared" si="47"/>
        <v>0</v>
      </c>
      <c r="BV111" s="16">
        <f>IF($BY$12=1,NORMDIST(BY111,$Y$6,$Y$8,TRUE),IF($BY$12=2,IF(BY111&lt;=$BX$31,0,IF(BY111&gt;=$BX$32,1,(BY111-$BX$31)*$BX$33)),SUM($BU$42:BU111)/$BV$40))</f>
        <v>1.5580917109315418E-2</v>
      </c>
      <c r="BW111" s="16">
        <f t="shared" si="48"/>
        <v>1.3498699990758563E-2</v>
      </c>
      <c r="BX111" s="16">
        <f>IF($BY$12&lt;3,BV111,SUM($BZ$42:BZ111)/$BX$40)</f>
        <v>1.5580917109315418E-2</v>
      </c>
      <c r="BY111" s="16">
        <f t="shared" si="49"/>
        <v>6.8999999999999915</v>
      </c>
      <c r="BZ111" s="16">
        <f t="shared" si="38"/>
        <v>1.9563333319939972E-3</v>
      </c>
      <c r="CA111" s="16">
        <f t="shared" si="50"/>
        <v>-999</v>
      </c>
      <c r="CB111" s="16" t="str">
        <f t="shared" si="39"/>
        <v/>
      </c>
      <c r="CC111" s="16" t="e">
        <f>IF(CB111="",NA(),COUNTIF(CB111:$CB$704,CB111))</f>
        <v>#N/A</v>
      </c>
      <c r="CD111" s="16" t="e">
        <f t="shared" si="40"/>
        <v>#N/A</v>
      </c>
      <c r="CE111" s="16" t="e">
        <f t="shared" si="41"/>
        <v>#N/A</v>
      </c>
      <c r="CF111" s="16">
        <f t="shared" si="42"/>
        <v>99</v>
      </c>
      <c r="CG111" s="16">
        <f t="shared" si="43"/>
        <v>0</v>
      </c>
      <c r="CH111" s="34">
        <f t="shared" si="44"/>
        <v>0</v>
      </c>
      <c r="CI111" s="16">
        <v>7</v>
      </c>
      <c r="CJ111" s="16" t="e">
        <f t="shared" si="45"/>
        <v>#N/A</v>
      </c>
      <c r="CK111" s="16" t="str">
        <f t="shared" si="46"/>
        <v/>
      </c>
    </row>
    <row r="112" spans="1:99" ht="12" customHeight="1">
      <c r="A112" s="211"/>
      <c r="B112" s="211"/>
      <c r="C112" s="211"/>
      <c r="D112" s="211"/>
      <c r="E112" s="211"/>
      <c r="F112" s="211"/>
      <c r="G112" s="211"/>
      <c r="H112" s="211"/>
      <c r="I112" s="211"/>
      <c r="J112" s="211"/>
      <c r="K112" s="211"/>
      <c r="L112" s="211"/>
      <c r="M112" s="211"/>
      <c r="N112" s="211"/>
      <c r="O112" s="211"/>
      <c r="AM112" s="30"/>
      <c r="AN112" s="324" t="s">
        <v>255</v>
      </c>
      <c r="AO112" s="16">
        <v>99.9</v>
      </c>
      <c r="BU112" s="16">
        <f t="shared" si="47"/>
        <v>0</v>
      </c>
      <c r="BV112" s="16">
        <f>IF($BY$12=1,NORMDIST(BY112,$Y$6,$Y$8,TRUE),IF($BY$12=2,IF(BY112&lt;=$BX$31,0,IF(BY112&gt;=$BX$32,1,(BY112-$BX$31)*$BX$33)),SUM($BU$42:BU112)/$BV$40))</f>
        <v>1.5777607391090465E-2</v>
      </c>
      <c r="BW112" s="16">
        <f t="shared" si="48"/>
        <v>1.3842514556279549E-2</v>
      </c>
      <c r="BX112" s="16">
        <f>IF($BY$12&lt;3,BV112,SUM($BZ$42:BZ112)/$BX$40)</f>
        <v>1.5777607391090465E-2</v>
      </c>
      <c r="BY112" s="16">
        <f t="shared" si="49"/>
        <v>6.9999999999999911</v>
      </c>
      <c r="BZ112" s="16">
        <f t="shared" si="38"/>
        <v>1.9775020794685094E-3</v>
      </c>
      <c r="CA112" s="16">
        <f t="shared" si="50"/>
        <v>-999</v>
      </c>
      <c r="CB112" s="16" t="str">
        <f t="shared" si="39"/>
        <v/>
      </c>
      <c r="CC112" s="16" t="e">
        <f>IF(CB112="",NA(),COUNTIF(CB112:$CB$704,CB112))</f>
        <v>#N/A</v>
      </c>
      <c r="CD112" s="16" t="e">
        <f t="shared" si="40"/>
        <v>#N/A</v>
      </c>
      <c r="CE112" s="16" t="e">
        <f t="shared" si="41"/>
        <v>#N/A</v>
      </c>
      <c r="CF112" s="16">
        <f t="shared" si="42"/>
        <v>99</v>
      </c>
      <c r="CG112" s="16">
        <f t="shared" si="43"/>
        <v>0</v>
      </c>
      <c r="CH112" s="34">
        <f t="shared" si="44"/>
        <v>0</v>
      </c>
      <c r="CI112" s="16">
        <v>8</v>
      </c>
      <c r="CJ112" s="16" t="e">
        <f t="shared" si="45"/>
        <v>#N/A</v>
      </c>
      <c r="CK112" s="16" t="str">
        <f t="shared" si="46"/>
        <v/>
      </c>
    </row>
    <row r="113" spans="1:89" ht="12" customHeight="1">
      <c r="A113" s="211"/>
      <c r="B113" s="211"/>
      <c r="C113" s="211"/>
      <c r="D113" s="211"/>
      <c r="E113" s="211"/>
      <c r="F113" s="211"/>
      <c r="G113" s="211"/>
      <c r="H113" s="211"/>
      <c r="I113" s="211"/>
      <c r="J113" s="211"/>
      <c r="K113" s="211"/>
      <c r="L113" s="211"/>
      <c r="M113" s="211"/>
      <c r="N113" s="211"/>
      <c r="O113" s="211"/>
      <c r="AM113" s="197" t="s">
        <v>1095</v>
      </c>
      <c r="AN113" s="197"/>
      <c r="AO113" s="197"/>
      <c r="AR113" s="30"/>
      <c r="AS113" s="30"/>
      <c r="AT113" s="538" t="s">
        <v>1096</v>
      </c>
      <c r="AU113" s="197">
        <v>-0.5</v>
      </c>
      <c r="AV113" s="192"/>
      <c r="AW113" s="257"/>
      <c r="AX113" s="197"/>
      <c r="AY113" s="257"/>
      <c r="AZ113" s="257"/>
      <c r="BA113" s="257"/>
      <c r="BB113" s="257"/>
      <c r="BC113" s="257"/>
      <c r="BD113" s="257"/>
      <c r="BU113" s="16">
        <f t="shared" si="47"/>
        <v>0</v>
      </c>
      <c r="BV113" s="16">
        <f>IF($BY$12=1,NORMDIST(BY113,$Y$6,$Y$8,TRUE),IF($BY$12=2,IF(BY113&lt;=$BX$31,0,IF(BY113&gt;=$BX$32,1,(BY113-$BX$31)*$BX$33)),SUM($BU$42:BU113)/$BV$40))</f>
        <v>1.5976423494786673E-2</v>
      </c>
      <c r="BW113" s="16">
        <f t="shared" si="48"/>
        <v>1.4191834390310592E-2</v>
      </c>
      <c r="BX113" s="16">
        <f>IF($BY$12&lt;3,BV113,SUM($BZ$42:BZ113)/$BX$40)</f>
        <v>1.5976423494786673E-2</v>
      </c>
      <c r="BY113" s="16">
        <f t="shared" si="49"/>
        <v>7.0999999999999908</v>
      </c>
      <c r="BZ113" s="16">
        <f t="shared" si="38"/>
        <v>1.9988499141282549E-3</v>
      </c>
      <c r="CA113" s="16">
        <f t="shared" si="50"/>
        <v>-999</v>
      </c>
      <c r="CB113" s="16" t="str">
        <f t="shared" si="39"/>
        <v/>
      </c>
      <c r="CC113" s="16" t="e">
        <f>IF(CB113="",NA(),COUNTIF(CB113:$CB$704,CB113))</f>
        <v>#N/A</v>
      </c>
      <c r="CD113" s="16" t="e">
        <f t="shared" si="40"/>
        <v>#N/A</v>
      </c>
      <c r="CE113" s="16" t="e">
        <f t="shared" si="41"/>
        <v>#N/A</v>
      </c>
      <c r="CF113" s="16">
        <f t="shared" si="42"/>
        <v>99</v>
      </c>
      <c r="CG113" s="16">
        <f t="shared" si="43"/>
        <v>0</v>
      </c>
      <c r="CH113" s="34">
        <f t="shared" si="44"/>
        <v>0</v>
      </c>
      <c r="CI113" s="16">
        <v>9</v>
      </c>
      <c r="CJ113" s="16" t="e">
        <f t="shared" si="45"/>
        <v>#N/A</v>
      </c>
      <c r="CK113" s="16" t="str">
        <f t="shared" si="46"/>
        <v/>
      </c>
    </row>
    <row r="114" spans="1:89" ht="12" customHeight="1" thickBot="1">
      <c r="A114" s="211"/>
      <c r="B114" s="211"/>
      <c r="C114" s="211"/>
      <c r="D114" s="211"/>
      <c r="E114" s="211"/>
      <c r="F114" s="211"/>
      <c r="G114" s="211"/>
      <c r="H114" s="211"/>
      <c r="I114" s="211"/>
      <c r="J114" s="211"/>
      <c r="K114" s="211"/>
      <c r="L114" s="211"/>
      <c r="M114" s="211"/>
      <c r="N114" s="211"/>
      <c r="O114" s="211"/>
      <c r="AM114" s="535" t="s">
        <v>660</v>
      </c>
      <c r="AN114" s="535" t="s">
        <v>660</v>
      </c>
      <c r="AO114" s="479"/>
      <c r="AP114" s="536" t="s">
        <v>639</v>
      </c>
      <c r="AQ114" s="536" t="s">
        <v>640</v>
      </c>
      <c r="AR114" s="535" t="s">
        <v>660</v>
      </c>
      <c r="AS114" s="535" t="s">
        <v>660</v>
      </c>
      <c r="AT114" s="539"/>
      <c r="AU114" s="536" t="s">
        <v>639</v>
      </c>
      <c r="AV114" s="536" t="s">
        <v>640</v>
      </c>
      <c r="AW114" s="535" t="s">
        <v>660</v>
      </c>
      <c r="AX114" s="535" t="s">
        <v>660</v>
      </c>
      <c r="AY114" s="479"/>
      <c r="AZ114" s="536" t="s">
        <v>639</v>
      </c>
      <c r="BA114" s="536" t="s">
        <v>640</v>
      </c>
      <c r="BB114" s="535" t="s">
        <v>660</v>
      </c>
      <c r="BC114" s="535" t="s">
        <v>660</v>
      </c>
      <c r="BD114" s="479"/>
      <c r="BE114" s="536" t="s">
        <v>639</v>
      </c>
      <c r="BF114" s="536" t="s">
        <v>640</v>
      </c>
      <c r="BU114" s="16">
        <f t="shared" si="47"/>
        <v>0</v>
      </c>
      <c r="BV114" s="16">
        <f>IF($BY$12=1,NORMDIST(BY114,$Y$6,$Y$8,TRUE),IF($BY$12=2,IF(BY114&lt;=$BX$31,0,IF(BY114&gt;=$BX$32,1,(BY114-$BX$31)*$BX$33)),SUM($BU$42:BU114)/$BV$40))</f>
        <v>1.617738337216601E-2</v>
      </c>
      <c r="BW114" s="16">
        <f t="shared" si="48"/>
        <v>1.454671941222967E-2</v>
      </c>
      <c r="BX114" s="16">
        <f>IF($BY$12&lt;3,BV114,SUM($BZ$42:BZ114)/$BX$40)</f>
        <v>1.617738337216601E-2</v>
      </c>
      <c r="BY114" s="16">
        <f t="shared" si="49"/>
        <v>7.1999999999999904</v>
      </c>
      <c r="BZ114" s="16">
        <f t="shared" si="38"/>
        <v>2.0203776961430124E-3</v>
      </c>
      <c r="CA114" s="16">
        <f t="shared" si="50"/>
        <v>-999</v>
      </c>
      <c r="CB114" s="16" t="str">
        <f t="shared" si="39"/>
        <v/>
      </c>
      <c r="CC114" s="16" t="e">
        <f>IF(CB114="",NA(),COUNTIF(CB114:$CB$704,CB114))</f>
        <v>#N/A</v>
      </c>
      <c r="CD114" s="16" t="e">
        <f t="shared" si="40"/>
        <v>#N/A</v>
      </c>
      <c r="CE114" s="16" t="e">
        <f t="shared" si="41"/>
        <v>#N/A</v>
      </c>
      <c r="CF114" s="16">
        <f t="shared" si="42"/>
        <v>99</v>
      </c>
      <c r="CG114" s="16">
        <f t="shared" si="43"/>
        <v>0</v>
      </c>
      <c r="CH114" s="34">
        <f t="shared" si="44"/>
        <v>0</v>
      </c>
      <c r="CI114" s="16">
        <v>10</v>
      </c>
      <c r="CJ114" s="16" t="e">
        <f t="shared" si="45"/>
        <v>#N/A</v>
      </c>
      <c r="CK114" s="16" t="str">
        <f t="shared" si="46"/>
        <v/>
      </c>
    </row>
    <row r="115" spans="1:89" ht="12" customHeight="1">
      <c r="A115" s="211"/>
      <c r="B115" s="211"/>
      <c r="C115" s="211"/>
      <c r="D115" s="211"/>
      <c r="E115" s="211"/>
      <c r="F115" s="211"/>
      <c r="G115" s="211"/>
      <c r="H115" s="211"/>
      <c r="I115" s="211"/>
      <c r="J115" s="211"/>
      <c r="K115" s="211"/>
      <c r="L115" s="211"/>
      <c r="M115" s="211"/>
      <c r="N115" s="211"/>
      <c r="O115" s="211"/>
      <c r="AM115" s="537">
        <f>P18</f>
        <v>0.79871907868903769</v>
      </c>
      <c r="AN115" s="34">
        <f t="shared" ref="AN115:AN178" si="51">MOD(AM115*10000013,1)</f>
        <v>0.17023839987814426</v>
      </c>
      <c r="AO115" s="16">
        <f t="shared" ref="AO115:AO178" si="52">IF(VLOOKUP(AM115,$BX$42:$BY$4042,2)&gt;=$AO$112,NA(),VLOOKUP(AM115,$BX$42:$BY$4042,2))</f>
        <v>66.700000000000486</v>
      </c>
      <c r="AP115" s="16" t="e">
        <f t="shared" ref="AP115:AP178" si="53">IF(AND(AO115&lt;100,$P$16),AO115+AM116+$AU$113,NA())</f>
        <v>#N/A</v>
      </c>
      <c r="AQ115" s="16">
        <f t="shared" ref="AQ115:AQ178" si="54">IF(AN115*VLOOKUP(AO115,$BY$42:$BZ$1042,2)&lt;VLOOKUP(AO115,$BY$42:$BZ$1042,2)-$BZ$40/$CB$40,AN115*VLOOKUP(AO115,$BY$42:$BZ$1042,2),NA())</f>
        <v>2.3962775205158045E-3</v>
      </c>
      <c r="AR115" s="34">
        <f>MOD(AM515*10000013,1)</f>
        <v>0.7686931136995554</v>
      </c>
      <c r="AS115" s="34">
        <f t="shared" ref="AS115:AS178" si="55">MOD(AR115*10000013,1)</f>
        <v>0.13000603206455708</v>
      </c>
      <c r="AT115" s="540">
        <f t="shared" ref="AT115:AT178" si="56">IF(VLOOKUP(AR115,$BX$42:$BY$4042,2)&gt;=$AO$112,NA(),VLOOKUP(AR115,$BX$42:$BY$4042,2))</f>
        <v>64.600000000000605</v>
      </c>
      <c r="AU115" s="16" t="e">
        <f t="shared" ref="AU115:AU178" si="57">IF(AND(AT115&lt;100,$P$16),AT115+AR116+$AU$113,NA())</f>
        <v>#N/A</v>
      </c>
      <c r="AV115" s="16">
        <f t="shared" ref="AV115:AV178" si="58">IF(AS115*VLOOKUP(AT115,$BY$42:$BZ$1042,2)&lt;VLOOKUP(AT115,$BY$42:$BZ$1042,2)-$BZ$40/$CB$40,AS115*VLOOKUP(AT115,$BY$42:$BZ$1042,2),NA())</f>
        <v>1.9866703434097055E-3</v>
      </c>
      <c r="AW115" s="34">
        <f>MOD(AR515*10000013,1)</f>
        <v>0.2940115500241518</v>
      </c>
      <c r="AX115" s="34">
        <f t="shared" ref="AX115:AX178" si="59">MOD(AW115*10000013,1)</f>
        <v>0.32239166833460331</v>
      </c>
      <c r="AY115" s="16">
        <f t="shared" ref="AY115:AY178" si="60">IF(VLOOKUP(AW115,$BX$42:$BY$4042,2)&gt;=$AO$112,NA(),VLOOKUP(AW115,$BX$42:$BY$4042,2))</f>
        <v>39.100000000000286</v>
      </c>
      <c r="AZ115" s="16" t="e">
        <f t="shared" ref="AZ115:AZ178" si="61">IF(AND(AY115&lt;100,$P$16),AY115+AW116+$AU$113,NA())</f>
        <v>#N/A</v>
      </c>
      <c r="BA115" s="16">
        <f>IF(AX115*VLOOKUP(AY115,$BY$42:$BZ$1042,2)&lt;VLOOKUP(AY115,$BY$42:$BZ$1042,2)-$BZ$40/$CB$40,AX115*VLOOKUP(AY115,$BY$42:$BZ$1042,2),NA())</f>
        <v>5.5432660175451075E-3</v>
      </c>
      <c r="BB115" s="34">
        <f>MOD(AW515*10000013,1)</f>
        <v>0.77581349946558475</v>
      </c>
      <c r="BC115" s="34">
        <f t="shared" ref="BC115:BC178" si="62">MOD(BB115*10000013,1)</f>
        <v>8.0231340602040291E-2</v>
      </c>
      <c r="BD115" s="16">
        <f t="shared" ref="BD115:BD178" si="63">IF(VLOOKUP(BB115,$BX$42:$BY$4042,2)&gt;=$AO$112,NA(),VLOOKUP(BB115,$BX$42:$BY$4042,2))</f>
        <v>65.100000000000577</v>
      </c>
      <c r="BE115" s="16" t="e">
        <f t="shared" ref="BE115:BE178" si="64">IF(AND(BD115&lt;100,$P$16),BD115+BB116+$AU$113,NA())</f>
        <v>#N/A</v>
      </c>
      <c r="BF115" s="16">
        <f t="shared" ref="BF115:BF178" si="65">IF(BC115*VLOOKUP(BD115,$BY$42:$BZ$1042,2)&lt;VLOOKUP(BD115,$BY$42:$BZ$1042,2)-$BZ$40/$CB$40,BC115*VLOOKUP(BD115,$BY$42:$BZ$1042,2),NA())</f>
        <v>1.2034963102094719E-3</v>
      </c>
      <c r="BU115" s="16">
        <f t="shared" si="47"/>
        <v>0</v>
      </c>
      <c r="BV115" s="16">
        <f>IF($BY$12=1,NORMDIST(BY115,$Y$6,$Y$8,TRUE),IF($BY$12=2,IF(BY115&lt;=$BX$31,0,IF(BY115&gt;=$BX$32,1,(BY115-$BX$31)*$BX$33)),SUM($BU$42:BU115)/$BV$40))</f>
        <v>1.6380505060794581E-2</v>
      </c>
      <c r="BW115" s="16">
        <f t="shared" si="48"/>
        <v>1.4907229854139588E-2</v>
      </c>
      <c r="BX115" s="16">
        <f>IF($BY$12&lt;3,BV115,SUM($BZ$42:BZ115)/$BX$40)</f>
        <v>1.6380505060794581E-2</v>
      </c>
      <c r="BY115" s="16">
        <f t="shared" si="49"/>
        <v>7.2999999999999901</v>
      </c>
      <c r="BZ115" s="16">
        <f t="shared" si="38"/>
        <v>2.0420862813889874E-3</v>
      </c>
      <c r="CA115" s="16">
        <f t="shared" si="50"/>
        <v>-999</v>
      </c>
      <c r="CB115" s="16" t="str">
        <f t="shared" si="39"/>
        <v/>
      </c>
      <c r="CC115" s="16" t="e">
        <f>IF(CB115="",NA(),COUNTIF(CB115:$CB$704,CB115))</f>
        <v>#N/A</v>
      </c>
      <c r="CD115" s="16" t="e">
        <f t="shared" si="40"/>
        <v>#N/A</v>
      </c>
      <c r="CE115" s="16" t="e">
        <f t="shared" si="41"/>
        <v>#N/A</v>
      </c>
      <c r="CF115" s="16">
        <f t="shared" si="42"/>
        <v>99</v>
      </c>
      <c r="CG115" s="16">
        <f t="shared" si="43"/>
        <v>0</v>
      </c>
      <c r="CH115" s="34">
        <f t="shared" si="44"/>
        <v>0</v>
      </c>
      <c r="CI115" s="16">
        <v>11</v>
      </c>
      <c r="CJ115" s="16" t="e">
        <f t="shared" si="45"/>
        <v>#N/A</v>
      </c>
      <c r="CK115" s="16" t="str">
        <f t="shared" si="46"/>
        <v/>
      </c>
    </row>
    <row r="116" spans="1:89" ht="12" customHeight="1">
      <c r="A116" s="211"/>
      <c r="B116" s="211"/>
      <c r="C116" s="211"/>
      <c r="D116" s="211"/>
      <c r="E116" s="211"/>
      <c r="F116" s="211"/>
      <c r="G116" s="211"/>
      <c r="H116" s="211"/>
      <c r="I116" s="211"/>
      <c r="J116" s="211"/>
      <c r="K116" s="211"/>
      <c r="L116" s="211"/>
      <c r="M116" s="211"/>
      <c r="N116" s="211"/>
      <c r="O116" s="211"/>
      <c r="AM116" s="34">
        <f t="shared" ref="AM116:AM179" si="66">MOD(AN115*10000013,1)</f>
        <v>0.21188064105808735</v>
      </c>
      <c r="AN116" s="34">
        <f t="shared" si="51"/>
        <v>0.16502920724451542</v>
      </c>
      <c r="AO116" s="16">
        <f t="shared" si="52"/>
        <v>34.000000000000213</v>
      </c>
      <c r="AP116" s="16" t="e">
        <f t="shared" si="53"/>
        <v>#N/A</v>
      </c>
      <c r="AQ116" s="16">
        <f t="shared" si="54"/>
        <v>2.3903783648830308E-3</v>
      </c>
      <c r="AR116" s="34">
        <f t="shared" ref="AR116:AR179" si="67">MOD(AS115*10000013,1)</f>
        <v>1.0723987594246864E-2</v>
      </c>
      <c r="AS116" s="34">
        <f t="shared" si="55"/>
        <v>1.5354307368397713E-2</v>
      </c>
      <c r="AT116" s="540">
        <f t="shared" si="56"/>
        <v>3.9000000000000021</v>
      </c>
      <c r="AU116" s="16" t="e">
        <f t="shared" si="57"/>
        <v>#N/A</v>
      </c>
      <c r="AV116" s="16">
        <f t="shared" si="58"/>
        <v>2.1498174342202665E-5</v>
      </c>
      <c r="AW116" s="34">
        <f t="shared" ref="AW116:AW179" si="68">MOD(AX115*10000013,1)</f>
        <v>0.8744377214461565</v>
      </c>
      <c r="AX116" s="34">
        <f t="shared" si="59"/>
        <v>0.58215194381773472</v>
      </c>
      <c r="AY116" s="16">
        <f t="shared" si="60"/>
        <v>72.900000000000134</v>
      </c>
      <c r="AZ116" s="16" t="e">
        <f t="shared" si="61"/>
        <v>#N/A</v>
      </c>
      <c r="BA116" s="16">
        <f t="shared" ref="BA116:BA179" si="69">IF(AX116*VLOOKUP(AY116,$BY$42:$BZ$1042,2)&lt;VLOOKUP(AY116,$BY$42:$BZ$1042,2)-$BZ$40/$CB$40,AX116*VLOOKUP(AY116,$BY$42:$BZ$1042,2),NA())</f>
        <v>6.0288011623007027E-3</v>
      </c>
      <c r="BB116" s="34">
        <f t="shared" ref="BB116:BB179" si="70">MOD(BC115*10000013,1)</f>
        <v>0.44902783073484898</v>
      </c>
      <c r="BC116" s="34">
        <f t="shared" si="62"/>
        <v>0.14471028931438923</v>
      </c>
      <c r="BD116" s="16">
        <f t="shared" si="63"/>
        <v>47.400000000000404</v>
      </c>
      <c r="BE116" s="16" t="e">
        <f t="shared" si="64"/>
        <v>#N/A</v>
      </c>
      <c r="BF116" s="16">
        <f t="shared" si="65"/>
        <v>2.8622640348988154E-3</v>
      </c>
      <c r="BU116" s="16">
        <f t="shared" si="47"/>
        <v>0</v>
      </c>
      <c r="BV116" s="16">
        <f>IF($BY$12=1,NORMDIST(BY116,$Y$6,$Y$8,TRUE),IF($BY$12=2,IF(BY116&lt;=$BX$31,0,IF(BY116&gt;=$BX$32,1,(BY116-$BX$31)*$BX$33)),SUM($BU$42:BU116)/$BV$40))</f>
        <v>1.6585806683605098E-2</v>
      </c>
      <c r="BW116" s="16">
        <f t="shared" si="48"/>
        <v>1.5273426257742213E-2</v>
      </c>
      <c r="BX116" s="16">
        <f>IF($BY$12&lt;3,BV116,SUM($BZ$42:BZ116)/$BX$40)</f>
        <v>1.6585806683605098E-2</v>
      </c>
      <c r="BY116" s="16">
        <f t="shared" si="49"/>
        <v>7.3999999999999897</v>
      </c>
      <c r="BZ116" s="16">
        <f t="shared" si="38"/>
        <v>2.0639765213165181E-3</v>
      </c>
      <c r="CA116" s="16">
        <f t="shared" si="50"/>
        <v>-999</v>
      </c>
      <c r="CB116" s="16" t="str">
        <f t="shared" si="39"/>
        <v/>
      </c>
      <c r="CC116" s="16" t="e">
        <f>IF(CB116="",NA(),COUNTIF(CB116:$CB$704,CB116))</f>
        <v>#N/A</v>
      </c>
      <c r="CD116" s="16" t="e">
        <f t="shared" si="40"/>
        <v>#N/A</v>
      </c>
      <c r="CE116" s="16" t="e">
        <f t="shared" si="41"/>
        <v>#N/A</v>
      </c>
      <c r="CF116" s="16">
        <f t="shared" si="42"/>
        <v>99</v>
      </c>
      <c r="CG116" s="16">
        <f t="shared" si="43"/>
        <v>0</v>
      </c>
      <c r="CH116" s="34">
        <f t="shared" si="44"/>
        <v>0</v>
      </c>
      <c r="CI116" s="16">
        <v>12</v>
      </c>
      <c r="CJ116" s="16" t="e">
        <f t="shared" si="45"/>
        <v>#N/A</v>
      </c>
      <c r="CK116" s="16" t="str">
        <f t="shared" si="46"/>
        <v/>
      </c>
    </row>
    <row r="117" spans="1:89" ht="12" customHeight="1">
      <c r="A117" s="211"/>
      <c r="B117" s="211"/>
      <c r="C117" s="211"/>
      <c r="D117" s="211"/>
      <c r="E117" s="211"/>
      <c r="F117" s="211"/>
      <c r="G117" s="211"/>
      <c r="H117" s="211"/>
      <c r="I117" s="211"/>
      <c r="J117" s="211"/>
      <c r="K117" s="211"/>
      <c r="L117" s="211"/>
      <c r="M117" s="211"/>
      <c r="N117" s="211"/>
      <c r="O117" s="211"/>
      <c r="AM117" s="34">
        <f t="shared" si="66"/>
        <v>0.21782484836876392</v>
      </c>
      <c r="AN117" s="34">
        <f t="shared" si="51"/>
        <v>0.3154106680303812</v>
      </c>
      <c r="AO117" s="16">
        <f t="shared" si="52"/>
        <v>34.400000000000219</v>
      </c>
      <c r="AP117" s="16" t="e">
        <f t="shared" si="53"/>
        <v>#N/A</v>
      </c>
      <c r="AQ117" s="16">
        <f t="shared" si="54"/>
        <v>4.6413473025118824E-3</v>
      </c>
      <c r="AR117" s="34">
        <f t="shared" si="67"/>
        <v>0.27328997291624546</v>
      </c>
      <c r="AS117" s="34">
        <f t="shared" si="55"/>
        <v>0.28193210251629353</v>
      </c>
      <c r="AT117" s="540">
        <f t="shared" si="56"/>
        <v>37.900000000000269</v>
      </c>
      <c r="AU117" s="16" t="e">
        <f t="shared" si="57"/>
        <v>#N/A</v>
      </c>
      <c r="AV117" s="16">
        <f t="shared" si="58"/>
        <v>4.683206214681301E-3</v>
      </c>
      <c r="AW117" s="34">
        <f t="shared" si="68"/>
        <v>6.1526168137788773E-3</v>
      </c>
      <c r="AX117" s="34">
        <f t="shared" si="59"/>
        <v>0.24812180735170841</v>
      </c>
      <c r="AY117" s="16" t="e">
        <f t="shared" si="60"/>
        <v>#N/A</v>
      </c>
      <c r="AZ117" s="16" t="e">
        <f t="shared" si="61"/>
        <v>#N/A</v>
      </c>
      <c r="BA117" s="16" t="e">
        <f t="shared" si="69"/>
        <v>#N/A</v>
      </c>
      <c r="BB117" s="34">
        <f t="shared" si="70"/>
        <v>0.77437765337526798</v>
      </c>
      <c r="BC117" s="34">
        <f t="shared" si="62"/>
        <v>0.60066217370331287</v>
      </c>
      <c r="BD117" s="16">
        <f t="shared" si="63"/>
        <v>65.000000000000583</v>
      </c>
      <c r="BE117" s="16" t="e">
        <f t="shared" si="64"/>
        <v>#N/A</v>
      </c>
      <c r="BF117" s="16">
        <f t="shared" si="65"/>
        <v>9.0440932290767363E-3</v>
      </c>
      <c r="BU117" s="16">
        <f t="shared" si="47"/>
        <v>0</v>
      </c>
      <c r="BV117" s="16">
        <f>IF($BY$12=1,NORMDIST(BY117,$Y$6,$Y$8,TRUE),IF($BY$12=2,IF(BY117&lt;=$BX$31,0,IF(BY117&gt;=$BX$32,1,(BY117-$BX$31)*$BX$33)),SUM($BU$42:BU117)/$BV$40))</f>
        <v>1.6793306448448786E-2</v>
      </c>
      <c r="BW117" s="16">
        <f t="shared" si="48"/>
        <v>1.5645369471126935E-2</v>
      </c>
      <c r="BX117" s="16">
        <f>IF($BY$12&lt;3,BV117,SUM($BZ$42:BZ117)/$BX$40)</f>
        <v>1.6793306448448786E-2</v>
      </c>
      <c r="BY117" s="16">
        <f t="shared" si="49"/>
        <v>7.4999999999999893</v>
      </c>
      <c r="BZ117" s="16">
        <f t="shared" si="38"/>
        <v>2.0860492628169275E-3</v>
      </c>
      <c r="CA117" s="16">
        <f t="shared" si="50"/>
        <v>-999</v>
      </c>
      <c r="CB117" s="16" t="str">
        <f t="shared" si="39"/>
        <v/>
      </c>
      <c r="CC117" s="16" t="e">
        <f>IF(CB117="",NA(),COUNTIF(CB117:$CB$704,CB117))</f>
        <v>#N/A</v>
      </c>
      <c r="CD117" s="16" t="e">
        <f t="shared" si="40"/>
        <v>#N/A</v>
      </c>
      <c r="CE117" s="16" t="e">
        <f t="shared" si="41"/>
        <v>#N/A</v>
      </c>
      <c r="CF117" s="16">
        <f t="shared" si="42"/>
        <v>99</v>
      </c>
      <c r="CG117" s="16">
        <f t="shared" si="43"/>
        <v>0</v>
      </c>
      <c r="CH117" s="34">
        <f t="shared" si="44"/>
        <v>0</v>
      </c>
      <c r="CI117" s="16">
        <v>13</v>
      </c>
      <c r="CJ117" s="16" t="e">
        <f t="shared" si="45"/>
        <v>#N/A</v>
      </c>
      <c r="CK117" s="16" t="str">
        <f t="shared" si="46"/>
        <v/>
      </c>
    </row>
    <row r="118" spans="1:89" ht="12" customHeight="1">
      <c r="A118" s="211"/>
      <c r="B118" s="211"/>
      <c r="C118" s="211"/>
      <c r="D118" s="211"/>
      <c r="E118" s="211"/>
      <c r="F118" s="211"/>
      <c r="G118" s="211"/>
      <c r="H118" s="211"/>
      <c r="I118" s="211"/>
      <c r="J118" s="211"/>
      <c r="K118" s="211"/>
      <c r="L118" s="211"/>
      <c r="M118" s="211"/>
      <c r="N118" s="211"/>
      <c r="O118" s="211"/>
      <c r="AM118" s="34">
        <f t="shared" si="66"/>
        <v>0.78064249642193317</v>
      </c>
      <c r="AN118" s="34">
        <f t="shared" si="51"/>
        <v>0.11257178522646427</v>
      </c>
      <c r="AO118" s="16">
        <f t="shared" si="52"/>
        <v>65.40000000000056</v>
      </c>
      <c r="AP118" s="16" t="e">
        <f t="shared" si="53"/>
        <v>#N/A</v>
      </c>
      <c r="AQ118" s="16">
        <f t="shared" si="54"/>
        <v>1.6694100529229448E-3</v>
      </c>
      <c r="AR118" s="34">
        <f t="shared" si="67"/>
        <v>0.69028026796877384</v>
      </c>
      <c r="AS118" s="34">
        <f t="shared" si="55"/>
        <v>0.65333122201263905</v>
      </c>
      <c r="AT118" s="540">
        <f t="shared" si="56"/>
        <v>59.900000000000581</v>
      </c>
      <c r="AU118" s="16" t="e">
        <f t="shared" si="57"/>
        <v>#N/A</v>
      </c>
      <c r="AV118" s="16">
        <f t="shared" si="58"/>
        <v>1.152940726829318E-2</v>
      </c>
      <c r="AW118" s="34">
        <f t="shared" si="68"/>
        <v>0.29910057969391346</v>
      </c>
      <c r="AX118" s="34">
        <f t="shared" si="59"/>
        <v>0.6852466706186533</v>
      </c>
      <c r="AY118" s="16">
        <f t="shared" si="60"/>
        <v>39.40000000000029</v>
      </c>
      <c r="AZ118" s="16" t="e">
        <f t="shared" si="61"/>
        <v>#N/A</v>
      </c>
      <c r="BA118" s="16">
        <f t="shared" si="69"/>
        <v>1.1877645092815404E-2</v>
      </c>
      <c r="BB118" s="34">
        <f t="shared" si="70"/>
        <v>0.54564138688147068</v>
      </c>
      <c r="BC118" s="34">
        <f t="shared" si="62"/>
        <v>0.96215273626148701</v>
      </c>
      <c r="BD118" s="16">
        <f t="shared" si="63"/>
        <v>52.200000000000472</v>
      </c>
      <c r="BE118" s="16" t="e">
        <f t="shared" si="64"/>
        <v>#N/A</v>
      </c>
      <c r="BF118" s="16">
        <f t="shared" si="65"/>
        <v>1.9076408237847384E-2</v>
      </c>
      <c r="BU118" s="16">
        <f t="shared" si="47"/>
        <v>0</v>
      </c>
      <c r="BV118" s="16">
        <f>IF($BY$12=1,NORMDIST(BY118,$Y$6,$Y$8,TRUE),IF($BY$12=2,IF(BY118&lt;=$BX$31,0,IF(BY118&gt;=$BX$32,1,(BY118-$BX$31)*$BX$33)),SUM($BU$42:BU118)/$BV$40))</f>
        <v>1.7003022647632871E-2</v>
      </c>
      <c r="BW118" s="16">
        <f t="shared" si="48"/>
        <v>1.6023120645472677E-2</v>
      </c>
      <c r="BX118" s="16">
        <f>IF($BY$12&lt;3,BV118,SUM($BZ$42:BZ118)/$BX$40)</f>
        <v>1.7003022647632871E-2</v>
      </c>
      <c r="BY118" s="16">
        <f t="shared" si="49"/>
        <v>7.599999999999989</v>
      </c>
      <c r="BZ118" s="16">
        <f t="shared" si="38"/>
        <v>2.1083053480885133E-3</v>
      </c>
      <c r="CA118" s="16">
        <f t="shared" si="50"/>
        <v>-999</v>
      </c>
      <c r="CB118" s="16" t="str">
        <f t="shared" si="39"/>
        <v/>
      </c>
      <c r="CC118" s="16" t="e">
        <f>IF(CB118="",NA(),COUNTIF(CB118:$CB$704,CB118))</f>
        <v>#N/A</v>
      </c>
      <c r="CD118" s="16" t="e">
        <f t="shared" si="40"/>
        <v>#N/A</v>
      </c>
      <c r="CE118" s="16" t="e">
        <f t="shared" si="41"/>
        <v>#N/A</v>
      </c>
      <c r="CF118" s="16">
        <f t="shared" si="42"/>
        <v>99</v>
      </c>
      <c r="CG118" s="16">
        <f t="shared" si="43"/>
        <v>0</v>
      </c>
      <c r="CH118" s="34">
        <f t="shared" si="44"/>
        <v>0</v>
      </c>
      <c r="CI118" s="16">
        <v>14</v>
      </c>
      <c r="CJ118" s="16" t="e">
        <f t="shared" si="45"/>
        <v>#N/A</v>
      </c>
      <c r="CK118" s="16" t="str">
        <f t="shared" si="46"/>
        <v/>
      </c>
    </row>
    <row r="119" spans="1:89" ht="12" customHeight="1">
      <c r="A119" s="211"/>
      <c r="B119" s="211"/>
      <c r="C119" s="211"/>
      <c r="D119" s="211"/>
      <c r="E119" s="211"/>
      <c r="F119" s="211"/>
      <c r="G119" s="211"/>
      <c r="H119" s="211"/>
      <c r="I119" s="211"/>
      <c r="J119" s="211"/>
      <c r="K119" s="211"/>
      <c r="L119" s="211"/>
      <c r="M119" s="211"/>
      <c r="N119" s="211"/>
      <c r="O119" s="211"/>
      <c r="AM119" s="34">
        <f t="shared" si="66"/>
        <v>0.31569785065948963</v>
      </c>
      <c r="AN119" s="34">
        <f t="shared" si="51"/>
        <v>0.61066695488989353</v>
      </c>
      <c r="AO119" s="16">
        <f t="shared" si="52"/>
        <v>40.400000000000304</v>
      </c>
      <c r="AP119" s="16" t="e">
        <f t="shared" si="53"/>
        <v>#N/A</v>
      </c>
      <c r="AQ119" s="16">
        <f t="shared" si="54"/>
        <v>1.0855598327353154E-2</v>
      </c>
      <c r="AR119" s="34">
        <f t="shared" si="67"/>
        <v>0.71343227662146091</v>
      </c>
      <c r="AS119" s="34">
        <f t="shared" si="55"/>
        <v>4.0834205225110054E-2</v>
      </c>
      <c r="AT119" s="540">
        <f t="shared" si="56"/>
        <v>61.2000000000006</v>
      </c>
      <c r="AU119" s="16" t="e">
        <f t="shared" si="57"/>
        <v>#N/A</v>
      </c>
      <c r="AV119" s="16">
        <f t="shared" si="58"/>
        <v>6.9631668620455433E-4</v>
      </c>
      <c r="AW119" s="34">
        <f t="shared" si="68"/>
        <v>0.61439325101673603</v>
      </c>
      <c r="AX119" s="34">
        <f t="shared" si="59"/>
        <v>0.49727962352335453</v>
      </c>
      <c r="AY119" s="16">
        <f t="shared" si="60"/>
        <v>55.800000000000523</v>
      </c>
      <c r="AZ119" s="16" t="e">
        <f t="shared" si="61"/>
        <v>#N/A</v>
      </c>
      <c r="BA119" s="16">
        <f t="shared" si="69"/>
        <v>9.5108350845727503E-3</v>
      </c>
      <c r="BB119" s="34">
        <f t="shared" si="70"/>
        <v>0.87060044147074223</v>
      </c>
      <c r="BC119" s="34">
        <f t="shared" si="62"/>
        <v>0.73251316137611866</v>
      </c>
      <c r="BD119" s="16">
        <f t="shared" si="63"/>
        <v>72.500000000000156</v>
      </c>
      <c r="BE119" s="16" t="e">
        <f t="shared" si="64"/>
        <v>#N/A</v>
      </c>
      <c r="BF119" s="16">
        <f t="shared" si="65"/>
        <v>7.7601215809462156E-3</v>
      </c>
      <c r="BU119" s="16">
        <f t="shared" si="47"/>
        <v>0</v>
      </c>
      <c r="BV119" s="16">
        <f>IF($BY$12=1,NORMDIST(BY119,$Y$6,$Y$8,TRUE),IF($BY$12=2,IF(BY119&lt;=$BX$31,0,IF(BY119&gt;=$BX$32,1,(BY119-$BX$31)*$BX$33)),SUM($BU$42:BU119)/$BV$40))</f>
        <v>1.72149736574434E-2</v>
      </c>
      <c r="BW119" s="16">
        <f t="shared" si="48"/>
        <v>1.6406741231662962E-2</v>
      </c>
      <c r="BX119" s="16">
        <f>IF($BY$12&lt;3,BV119,SUM($BZ$42:BZ119)/$BX$40)</f>
        <v>1.72149736574434E-2</v>
      </c>
      <c r="BY119" s="16">
        <f t="shared" si="49"/>
        <v>7.6999999999999886</v>
      </c>
      <c r="BZ119" s="16">
        <f t="shared" si="38"/>
        <v>2.1307456145016864E-3</v>
      </c>
      <c r="CA119" s="16">
        <f t="shared" si="50"/>
        <v>-999</v>
      </c>
      <c r="CB119" s="16" t="str">
        <f t="shared" si="39"/>
        <v/>
      </c>
      <c r="CC119" s="16" t="e">
        <f>IF(CB119="",NA(),COUNTIF(CB119:$CB$704,CB119))</f>
        <v>#N/A</v>
      </c>
      <c r="CD119" s="16" t="e">
        <f t="shared" si="40"/>
        <v>#N/A</v>
      </c>
      <c r="CE119" s="16" t="e">
        <f t="shared" si="41"/>
        <v>#N/A</v>
      </c>
      <c r="CF119" s="16">
        <f t="shared" si="42"/>
        <v>99</v>
      </c>
      <c r="CG119" s="16">
        <f t="shared" si="43"/>
        <v>0</v>
      </c>
      <c r="CH119" s="34">
        <f t="shared" si="44"/>
        <v>0</v>
      </c>
      <c r="CI119" s="16">
        <v>15</v>
      </c>
      <c r="CJ119" s="16" t="e">
        <f t="shared" si="45"/>
        <v>#N/A</v>
      </c>
      <c r="CK119" s="16" t="str">
        <f t="shared" si="46"/>
        <v/>
      </c>
    </row>
    <row r="120" spans="1:89" ht="12" customHeight="1">
      <c r="A120" s="211"/>
      <c r="B120" s="211"/>
      <c r="C120" s="211"/>
      <c r="D120" s="211"/>
      <c r="E120" s="211"/>
      <c r="F120" s="211"/>
      <c r="G120" s="211"/>
      <c r="H120" s="211"/>
      <c r="I120" s="211"/>
      <c r="J120" s="211"/>
      <c r="K120" s="211"/>
      <c r="L120" s="211"/>
      <c r="M120" s="211"/>
      <c r="N120" s="211"/>
      <c r="O120" s="211"/>
      <c r="AM120" s="34">
        <f t="shared" si="66"/>
        <v>0.48756934888660908</v>
      </c>
      <c r="AN120" s="34">
        <f t="shared" si="51"/>
        <v>0.82726762630045414</v>
      </c>
      <c r="AO120" s="16">
        <f t="shared" si="52"/>
        <v>49.300000000000431</v>
      </c>
      <c r="AP120" s="16" t="e">
        <f t="shared" si="53"/>
        <v>#N/A</v>
      </c>
      <c r="AQ120" s="16">
        <f t="shared" si="54"/>
        <v>1.6491497530615819E-2</v>
      </c>
      <c r="AR120" s="34">
        <f t="shared" si="67"/>
        <v>0.58309576846659184</v>
      </c>
      <c r="AS120" s="34">
        <f t="shared" si="55"/>
        <v>0.26491090841591358</v>
      </c>
      <c r="AT120" s="540">
        <f t="shared" si="56"/>
        <v>54.100000000000499</v>
      </c>
      <c r="AU120" s="16" t="e">
        <f t="shared" si="57"/>
        <v>#N/A</v>
      </c>
      <c r="AV120" s="16">
        <f t="shared" si="58"/>
        <v>5.1743321001259945E-3</v>
      </c>
      <c r="AW120" s="34">
        <f t="shared" si="68"/>
        <v>0.69986865110695362</v>
      </c>
      <c r="AX120" s="34">
        <f t="shared" si="59"/>
        <v>0.60936200059950352</v>
      </c>
      <c r="AY120" s="16">
        <f t="shared" si="60"/>
        <v>60.400000000000588</v>
      </c>
      <c r="AZ120" s="16" t="e">
        <f t="shared" si="61"/>
        <v>#N/A</v>
      </c>
      <c r="BA120" s="16">
        <f t="shared" si="69"/>
        <v>1.0617904738437671E-2</v>
      </c>
      <c r="BB120" s="34">
        <f t="shared" si="70"/>
        <v>0.13643228448927402</v>
      </c>
      <c r="BC120" s="34">
        <f t="shared" si="62"/>
        <v>0.61851243861019611</v>
      </c>
      <c r="BD120" s="16">
        <f t="shared" si="63"/>
        <v>28.000000000000128</v>
      </c>
      <c r="BE120" s="16" t="e">
        <f t="shared" si="64"/>
        <v>#N/A</v>
      </c>
      <c r="BF120" s="16">
        <f t="shared" si="65"/>
        <v>6.7372140636471969E-3</v>
      </c>
      <c r="BU120" s="16">
        <f t="shared" si="47"/>
        <v>0</v>
      </c>
      <c r="BV120" s="16">
        <f>IF($BY$12=1,NORMDIST(BY120,$Y$6,$Y$8,TRUE),IF($BY$12=2,IF(BY120&lt;=$BX$31,0,IF(BY120&gt;=$BX$32,1,(BY120-$BX$31)*$BX$33)),SUM($BU$42:BU120)/$BV$40))</f>
        <v>1.742917793765697E-2</v>
      </c>
      <c r="BW120" s="16">
        <f t="shared" si="48"/>
        <v>1.6796292976813589E-2</v>
      </c>
      <c r="BX120" s="16">
        <f>IF($BY$12&lt;3,BV120,SUM($BZ$42:BZ120)/$BX$40)</f>
        <v>1.742917793765697E-2</v>
      </c>
      <c r="BY120" s="16">
        <f t="shared" si="49"/>
        <v>7.7999999999999883</v>
      </c>
      <c r="BZ120" s="16">
        <f t="shared" si="38"/>
        <v>2.1533708944632838E-3</v>
      </c>
      <c r="CA120" s="16">
        <f t="shared" si="50"/>
        <v>-999</v>
      </c>
      <c r="CB120" s="16" t="str">
        <f t="shared" si="39"/>
        <v/>
      </c>
      <c r="CC120" s="16" t="e">
        <f>IF(CB120="",NA(),COUNTIF(CB120:$CB$704,CB120))</f>
        <v>#N/A</v>
      </c>
      <c r="CD120" s="16" t="e">
        <f t="shared" si="40"/>
        <v>#N/A</v>
      </c>
      <c r="CE120" s="16" t="e">
        <f t="shared" si="41"/>
        <v>#N/A</v>
      </c>
      <c r="CF120" s="16">
        <f t="shared" si="42"/>
        <v>99</v>
      </c>
      <c r="CG120" s="16">
        <f t="shared" si="43"/>
        <v>0</v>
      </c>
      <c r="CH120" s="34">
        <f t="shared" si="44"/>
        <v>0</v>
      </c>
      <c r="CI120" s="16">
        <v>16</v>
      </c>
      <c r="CJ120" s="16" t="e">
        <f t="shared" si="45"/>
        <v>#N/A</v>
      </c>
      <c r="CK120" s="16" t="str">
        <f t="shared" si="46"/>
        <v/>
      </c>
    </row>
    <row r="121" spans="1:89" ht="12" customHeight="1">
      <c r="A121" s="211"/>
      <c r="B121" s="211"/>
      <c r="C121" s="211"/>
      <c r="D121" s="211"/>
      <c r="E121" s="211"/>
      <c r="F121" s="211"/>
      <c r="G121" s="211"/>
      <c r="H121" s="211"/>
      <c r="I121" s="211"/>
      <c r="J121" s="211"/>
      <c r="K121" s="211"/>
      <c r="L121" s="211"/>
      <c r="M121" s="211"/>
      <c r="N121" s="211"/>
      <c r="O121" s="211"/>
      <c r="AM121" s="34">
        <f t="shared" si="66"/>
        <v>1.7483683302998543E-2</v>
      </c>
      <c r="AN121" s="34">
        <f t="shared" si="51"/>
        <v>6.0317868366837502E-2</v>
      </c>
      <c r="AO121" s="16">
        <f t="shared" si="52"/>
        <v>7.7999999999999883</v>
      </c>
      <c r="AP121" s="16" t="e">
        <f t="shared" si="53"/>
        <v>#N/A</v>
      </c>
      <c r="AQ121" s="16">
        <f t="shared" si="54"/>
        <v>1.2988674215721547E-4</v>
      </c>
      <c r="AR121" s="34">
        <f t="shared" si="67"/>
        <v>0.52800094522535801</v>
      </c>
      <c r="AS121" s="34">
        <f t="shared" si="55"/>
        <v>0.31626586802303791</v>
      </c>
      <c r="AT121" s="540">
        <f t="shared" si="56"/>
        <v>51.40000000000046</v>
      </c>
      <c r="AU121" s="16" t="e">
        <f t="shared" si="57"/>
        <v>#N/A</v>
      </c>
      <c r="AV121" s="16">
        <f t="shared" si="58"/>
        <v>6.2931541995603852E-3</v>
      </c>
      <c r="AW121" s="34">
        <f t="shared" si="68"/>
        <v>0.92770104296505451</v>
      </c>
      <c r="AX121" s="34">
        <f t="shared" si="59"/>
        <v>0.48976410366594791</v>
      </c>
      <c r="AY121" s="16">
        <f t="shared" si="60"/>
        <v>79.099999999999781</v>
      </c>
      <c r="AZ121" s="16" t="e">
        <f t="shared" si="61"/>
        <v>#N/A</v>
      </c>
      <c r="BA121" s="16">
        <f t="shared" si="69"/>
        <v>3.389697035486995E-3</v>
      </c>
      <c r="BB121" s="34">
        <f t="shared" si="70"/>
        <v>0.42676366306841373</v>
      </c>
      <c r="BC121" s="34">
        <f t="shared" si="62"/>
        <v>0.1786117572337389</v>
      </c>
      <c r="BD121" s="16">
        <f t="shared" si="63"/>
        <v>46.300000000000388</v>
      </c>
      <c r="BE121" s="16" t="e">
        <f t="shared" si="64"/>
        <v>#N/A</v>
      </c>
      <c r="BF121" s="16">
        <f t="shared" si="65"/>
        <v>3.5023395550752086E-3</v>
      </c>
      <c r="BU121" s="16">
        <f t="shared" si="47"/>
        <v>0</v>
      </c>
      <c r="BV121" s="16">
        <f>IF($BY$12=1,NORMDIST(BY121,$Y$6,$Y$8,TRUE),IF($BY$12=2,IF(BY121&lt;=$BX$31,0,IF(BY121&gt;=$BX$32,1,(BY121-$BX$31)*$BX$33)),SUM($BU$42:BU121)/$BV$40))</f>
        <v>1.7645654031037128E-2</v>
      </c>
      <c r="BW121" s="16">
        <f t="shared" si="48"/>
        <v>1.7191837920712445E-2</v>
      </c>
      <c r="BX121" s="16">
        <f>IF($BY$12&lt;3,BV121,SUM($BZ$42:BZ121)/$BX$40)</f>
        <v>1.7645654031037128E-2</v>
      </c>
      <c r="BY121" s="16">
        <f t="shared" si="49"/>
        <v>7.8999999999999879</v>
      </c>
      <c r="BZ121" s="16">
        <f t="shared" si="38"/>
        <v>2.1761820152800598E-3</v>
      </c>
      <c r="CA121" s="16">
        <f t="shared" si="50"/>
        <v>-999</v>
      </c>
      <c r="CB121" s="16" t="str">
        <f t="shared" si="39"/>
        <v/>
      </c>
      <c r="CC121" s="16" t="e">
        <f>IF(CB121="",NA(),COUNTIF(CB121:$CB$704,CB121))</f>
        <v>#N/A</v>
      </c>
      <c r="CD121" s="16" t="e">
        <f t="shared" si="40"/>
        <v>#N/A</v>
      </c>
      <c r="CE121" s="16" t="e">
        <f t="shared" si="41"/>
        <v>#N/A</v>
      </c>
      <c r="CF121" s="16">
        <f t="shared" si="42"/>
        <v>99</v>
      </c>
      <c r="CG121" s="16">
        <f t="shared" si="43"/>
        <v>0</v>
      </c>
      <c r="CH121" s="34">
        <f t="shared" si="44"/>
        <v>0</v>
      </c>
      <c r="CI121" s="16">
        <v>17</v>
      </c>
      <c r="CJ121" s="16" t="e">
        <f t="shared" si="45"/>
        <v>#N/A</v>
      </c>
      <c r="CK121" s="16" t="str">
        <f t="shared" si="46"/>
        <v/>
      </c>
    </row>
    <row r="122" spans="1:89" ht="12" customHeight="1">
      <c r="A122" s="211"/>
      <c r="B122" s="211"/>
      <c r="C122" s="211"/>
      <c r="D122" s="211"/>
      <c r="E122" s="211"/>
      <c r="F122" s="211"/>
      <c r="G122" s="211"/>
      <c r="H122" s="211"/>
      <c r="I122" s="211"/>
      <c r="J122" s="211"/>
      <c r="K122" s="211"/>
      <c r="L122" s="211"/>
      <c r="M122" s="211"/>
      <c r="N122" s="211"/>
      <c r="O122" s="211"/>
      <c r="AM122" s="34">
        <f t="shared" si="66"/>
        <v>0.46780066378414631</v>
      </c>
      <c r="AN122" s="34">
        <f t="shared" si="51"/>
        <v>0.71925009228289127</v>
      </c>
      <c r="AO122" s="16">
        <f t="shared" si="52"/>
        <v>48.300000000000416</v>
      </c>
      <c r="AP122" s="16" t="e">
        <f t="shared" si="53"/>
        <v>#N/A</v>
      </c>
      <c r="AQ122" s="16">
        <f t="shared" si="54"/>
        <v>1.429522869614188E-2</v>
      </c>
      <c r="AR122" s="34">
        <f t="shared" si="67"/>
        <v>0.79168666340410709</v>
      </c>
      <c r="AS122" s="34">
        <f t="shared" si="55"/>
        <v>0.92596769519150257</v>
      </c>
      <c r="AT122" s="540">
        <f t="shared" si="56"/>
        <v>66.200000000000514</v>
      </c>
      <c r="AU122" s="16" t="e">
        <f t="shared" si="57"/>
        <v>#N/A</v>
      </c>
      <c r="AV122" s="16">
        <f t="shared" si="58"/>
        <v>1.3304715760963955E-2</v>
      </c>
      <c r="AW122" s="34">
        <f t="shared" si="68"/>
        <v>0.40359282679855824</v>
      </c>
      <c r="AX122" s="34">
        <f t="shared" si="59"/>
        <v>0.51469233073294163</v>
      </c>
      <c r="AY122" s="16">
        <f t="shared" si="60"/>
        <v>45.100000000000371</v>
      </c>
      <c r="AZ122" s="16" t="e">
        <f t="shared" si="61"/>
        <v>#N/A</v>
      </c>
      <c r="BA122" s="16">
        <f t="shared" si="69"/>
        <v>9.9630773955321963E-3</v>
      </c>
      <c r="BB122" s="34">
        <f t="shared" si="70"/>
        <v>0.89429023303091526</v>
      </c>
      <c r="BC122" s="34">
        <f t="shared" si="62"/>
        <v>0.9560821820050478</v>
      </c>
      <c r="BD122" s="16">
        <f t="shared" si="63"/>
        <v>74.90000000000002</v>
      </c>
      <c r="BE122" s="16" t="e">
        <f t="shared" si="64"/>
        <v>#N/A</v>
      </c>
      <c r="BF122" s="16" t="e">
        <f t="shared" si="65"/>
        <v>#N/A</v>
      </c>
      <c r="BU122" s="16">
        <f t="shared" si="47"/>
        <v>0</v>
      </c>
      <c r="BV122" s="16">
        <f>IF($BY$12=1,NORMDIST(BY122,$Y$6,$Y$8,TRUE),IF($BY$12=2,IF(BY122&lt;=$BX$31,0,IF(BY122&gt;=$BX$32,1,(BY122-$BX$31)*$BX$33)),SUM($BU$42:BU122)/$BV$40))</f>
        <v>1.7864420562816452E-2</v>
      </c>
      <c r="BW122" s="16">
        <f t="shared" si="48"/>
        <v>1.7593438392170827E-2</v>
      </c>
      <c r="BX122" s="16">
        <f>IF($BY$12&lt;3,BV122,SUM($BZ$42:BZ122)/$BX$40)</f>
        <v>1.7864420562816452E-2</v>
      </c>
      <c r="BY122" s="16">
        <f t="shared" si="49"/>
        <v>7.9999999999999876</v>
      </c>
      <c r="BZ122" s="16">
        <f t="shared" si="38"/>
        <v>2.1991797990213568E-3</v>
      </c>
      <c r="CA122" s="16">
        <f t="shared" si="50"/>
        <v>-999</v>
      </c>
      <c r="CB122" s="16" t="str">
        <f t="shared" si="39"/>
        <v/>
      </c>
      <c r="CC122" s="16" t="e">
        <f>IF(CB122="",NA(),COUNTIF(CB122:$CB$704,CB122))</f>
        <v>#N/A</v>
      </c>
      <c r="CD122" s="16" t="e">
        <f t="shared" si="40"/>
        <v>#N/A</v>
      </c>
      <c r="CE122" s="16" t="e">
        <f t="shared" si="41"/>
        <v>#N/A</v>
      </c>
      <c r="CF122" s="16">
        <f t="shared" si="42"/>
        <v>99</v>
      </c>
      <c r="CG122" s="16">
        <f t="shared" si="43"/>
        <v>0</v>
      </c>
      <c r="CH122" s="34">
        <f t="shared" si="44"/>
        <v>0</v>
      </c>
      <c r="CI122" s="16">
        <v>18</v>
      </c>
      <c r="CJ122" s="16" t="e">
        <f t="shared" si="45"/>
        <v>#N/A</v>
      </c>
      <c r="CK122" s="16" t="str">
        <f t="shared" si="46"/>
        <v/>
      </c>
    </row>
    <row r="123" spans="1:89" ht="12" customHeight="1">
      <c r="A123" s="211"/>
      <c r="B123" s="211"/>
      <c r="C123" s="211"/>
      <c r="D123" s="211"/>
      <c r="E123" s="211"/>
      <c r="F123" s="211"/>
      <c r="G123" s="211"/>
      <c r="H123" s="211"/>
      <c r="I123" s="211"/>
      <c r="J123" s="211"/>
      <c r="K123" s="211"/>
      <c r="L123" s="211"/>
      <c r="M123" s="211"/>
      <c r="N123" s="211"/>
      <c r="O123" s="211"/>
      <c r="AM123" s="34">
        <f t="shared" si="66"/>
        <v>0.27308011241257191</v>
      </c>
      <c r="AN123" s="34">
        <f t="shared" si="51"/>
        <v>0.67416718043386936</v>
      </c>
      <c r="AO123" s="16">
        <f t="shared" si="52"/>
        <v>37.900000000000269</v>
      </c>
      <c r="AP123" s="16" t="e">
        <f t="shared" si="53"/>
        <v>#N/A</v>
      </c>
      <c r="AQ123" s="16">
        <f t="shared" si="54"/>
        <v>1.1198667696806898E-2</v>
      </c>
      <c r="AR123" s="34">
        <f t="shared" si="67"/>
        <v>0.98949506320059299</v>
      </c>
      <c r="AS123" s="34">
        <f t="shared" si="55"/>
        <v>0.49544175155460835</v>
      </c>
      <c r="AT123" s="540">
        <f t="shared" si="56"/>
        <v>96.099999999998815</v>
      </c>
      <c r="AU123" s="16" t="e">
        <f t="shared" si="57"/>
        <v>#N/A</v>
      </c>
      <c r="AV123" s="16">
        <f t="shared" si="58"/>
        <v>6.9368763408050502E-4</v>
      </c>
      <c r="AW123" s="34">
        <f t="shared" si="68"/>
        <v>0.99832971580326557</v>
      </c>
      <c r="AX123" s="34">
        <f t="shared" si="59"/>
        <v>0.13631896115839481</v>
      </c>
      <c r="AY123" s="16" t="e">
        <f t="shared" si="60"/>
        <v>#N/A</v>
      </c>
      <c r="AZ123" s="16" t="e">
        <f t="shared" si="61"/>
        <v>#N/A</v>
      </c>
      <c r="BA123" s="16" t="e">
        <f t="shared" si="69"/>
        <v>#N/A</v>
      </c>
      <c r="BB123" s="34">
        <f t="shared" si="70"/>
        <v>0.24911884404718876</v>
      </c>
      <c r="BC123" s="34">
        <f t="shared" si="62"/>
        <v>0.67901686020195484</v>
      </c>
      <c r="BD123" s="16">
        <f t="shared" si="63"/>
        <v>36.400000000000247</v>
      </c>
      <c r="BE123" s="16" t="e">
        <f t="shared" si="64"/>
        <v>#N/A</v>
      </c>
      <c r="BF123" s="16">
        <f t="shared" si="65"/>
        <v>1.0748596107802972E-2</v>
      </c>
      <c r="BU123" s="16">
        <f t="shared" si="47"/>
        <v>0</v>
      </c>
      <c r="BV123" s="16">
        <f>IF($BY$12=1,NORMDIST(BY123,$Y$6,$Y$8,TRUE),IF($BY$12=2,IF(BY123&lt;=$BX$31,0,IF(BY123&gt;=$BX$32,1,(BY123-$BX$31)*$BX$33)),SUM($BU$42:BU123)/$BV$40))</f>
        <v>1.8085496240168197E-2</v>
      </c>
      <c r="BW123" s="16">
        <f t="shared" si="48"/>
        <v>1.8001157005286015E-2</v>
      </c>
      <c r="BX123" s="16">
        <f>IF($BY$12&lt;3,BV123,SUM($BZ$42:BZ123)/$BX$40)</f>
        <v>1.8085496240168197E-2</v>
      </c>
      <c r="BY123" s="16">
        <f t="shared" si="49"/>
        <v>8.0999999999999872</v>
      </c>
      <c r="BZ123" s="16">
        <f t="shared" si="38"/>
        <v>2.2223650623809932E-3</v>
      </c>
      <c r="CA123" s="16">
        <f t="shared" si="50"/>
        <v>-999</v>
      </c>
      <c r="CB123" s="16" t="str">
        <f t="shared" si="39"/>
        <v/>
      </c>
      <c r="CC123" s="16" t="e">
        <f>IF(CB123="",NA(),COUNTIF(CB123:$CB$704,CB123))</f>
        <v>#N/A</v>
      </c>
      <c r="CD123" s="16" t="e">
        <f t="shared" si="40"/>
        <v>#N/A</v>
      </c>
      <c r="CE123" s="16" t="e">
        <f t="shared" si="41"/>
        <v>#N/A</v>
      </c>
      <c r="CF123" s="16">
        <f t="shared" si="42"/>
        <v>99</v>
      </c>
      <c r="CG123" s="16">
        <f t="shared" si="43"/>
        <v>0</v>
      </c>
      <c r="CH123" s="34">
        <f t="shared" si="44"/>
        <v>0</v>
      </c>
      <c r="CI123" s="16">
        <v>19</v>
      </c>
      <c r="CJ123" s="16" t="e">
        <f t="shared" si="45"/>
        <v>#N/A</v>
      </c>
      <c r="CK123" s="16" t="str">
        <f t="shared" si="46"/>
        <v/>
      </c>
    </row>
    <row r="124" spans="1:89" ht="12" customHeight="1">
      <c r="A124" s="211"/>
      <c r="B124" s="211"/>
      <c r="C124" s="211"/>
      <c r="D124" s="211"/>
      <c r="E124" s="211"/>
      <c r="F124" s="211"/>
      <c r="G124" s="211"/>
      <c r="H124" s="211"/>
      <c r="I124" s="211"/>
      <c r="J124" s="211"/>
      <c r="K124" s="211"/>
      <c r="L124" s="211"/>
      <c r="M124" s="211"/>
      <c r="N124" s="211"/>
      <c r="O124" s="211"/>
      <c r="AM124" s="34">
        <f t="shared" si="66"/>
        <v>0.56851203925907612</v>
      </c>
      <c r="AN124" s="34">
        <f t="shared" si="51"/>
        <v>0.78324727155268192</v>
      </c>
      <c r="AO124" s="16">
        <f t="shared" si="52"/>
        <v>53.400000000000489</v>
      </c>
      <c r="AP124" s="16" t="e">
        <f t="shared" si="53"/>
        <v>#N/A</v>
      </c>
      <c r="AQ124" s="16">
        <f t="shared" si="54"/>
        <v>1.5399386016598486E-2</v>
      </c>
      <c r="AR124" s="34">
        <f t="shared" si="67"/>
        <v>0.95628885366022587</v>
      </c>
      <c r="AS124" s="34">
        <f t="shared" si="55"/>
        <v>0.96835735626518726</v>
      </c>
      <c r="AT124" s="540">
        <f t="shared" si="56"/>
        <v>84.099999999999497</v>
      </c>
      <c r="AU124" s="16" t="e">
        <f t="shared" si="57"/>
        <v>#N/A</v>
      </c>
      <c r="AV124" s="16" t="e">
        <f t="shared" si="58"/>
        <v>#N/A</v>
      </c>
      <c r="AW124" s="34">
        <f t="shared" si="68"/>
        <v>0.38373044319450855</v>
      </c>
      <c r="AX124" s="34">
        <f t="shared" si="59"/>
        <v>0.42044084705412388</v>
      </c>
      <c r="AY124" s="16">
        <f t="shared" si="60"/>
        <v>44.000000000000355</v>
      </c>
      <c r="AZ124" s="16" t="e">
        <f t="shared" si="61"/>
        <v>#N/A</v>
      </c>
      <c r="BA124" s="16">
        <f t="shared" si="69"/>
        <v>8.0175508094172728E-3</v>
      </c>
      <c r="BB124" s="34">
        <f t="shared" si="70"/>
        <v>0.42923873104155064</v>
      </c>
      <c r="BC124" s="34">
        <f t="shared" si="62"/>
        <v>0.89051900990307331</v>
      </c>
      <c r="BD124" s="16">
        <f t="shared" si="63"/>
        <v>46.400000000000389</v>
      </c>
      <c r="BE124" s="16" t="e">
        <f t="shared" si="64"/>
        <v>#N/A</v>
      </c>
      <c r="BF124" s="16">
        <f t="shared" si="65"/>
        <v>1.747783738520952E-2</v>
      </c>
      <c r="BU124" s="16">
        <f t="shared" si="47"/>
        <v>0</v>
      </c>
      <c r="BV124" s="16">
        <f>IF($BY$12=1,NORMDIST(BY124,$Y$6,$Y$8,TRUE),IF($BY$12=2,IF(BY124&lt;=$BX$31,0,IF(BY124&gt;=$BX$32,1,(BY124-$BX$31)*$BX$33)),SUM($BU$42:BU124)/$BV$40))</f>
        <v>1.8308899851658955E-2</v>
      </c>
      <c r="BW124" s="16">
        <f t="shared" si="48"/>
        <v>1.8415056655614454E-2</v>
      </c>
      <c r="BX124" s="16">
        <f>IF($BY$12&lt;3,BV124,SUM($BZ$42:BZ124)/$BX$40)</f>
        <v>1.8308899851658955E-2</v>
      </c>
      <c r="BY124" s="16">
        <f t="shared" si="49"/>
        <v>8.1999999999999869</v>
      </c>
      <c r="BZ124" s="16">
        <f t="shared" si="38"/>
        <v>2.2457386165383518E-3</v>
      </c>
      <c r="CA124" s="16">
        <f t="shared" si="50"/>
        <v>-999</v>
      </c>
      <c r="CB124" s="16" t="str">
        <f t="shared" si="39"/>
        <v/>
      </c>
      <c r="CC124" s="16" t="e">
        <f>IF(CB124="",NA(),COUNTIF(CB124:$CB$704,CB124))</f>
        <v>#N/A</v>
      </c>
      <c r="CD124" s="16" t="e">
        <f t="shared" si="40"/>
        <v>#N/A</v>
      </c>
      <c r="CE124" s="16" t="e">
        <f t="shared" si="41"/>
        <v>#N/A</v>
      </c>
      <c r="CF124" s="16">
        <f t="shared" si="42"/>
        <v>99</v>
      </c>
      <c r="CG124" s="16">
        <f t="shared" si="43"/>
        <v>0</v>
      </c>
      <c r="CH124" s="34">
        <f t="shared" si="44"/>
        <v>0</v>
      </c>
      <c r="CI124" s="16">
        <v>20</v>
      </c>
      <c r="CJ124" s="16" t="e">
        <f t="shared" si="45"/>
        <v>#N/A</v>
      </c>
      <c r="CK124" s="16" t="str">
        <f t="shared" si="46"/>
        <v/>
      </c>
    </row>
    <row r="125" spans="1:89" ht="12" customHeight="1">
      <c r="A125" s="211"/>
      <c r="B125" s="211"/>
      <c r="C125" s="211"/>
      <c r="D125" s="211"/>
      <c r="E125" s="211"/>
      <c r="F125" s="211"/>
      <c r="G125" s="211"/>
      <c r="H125" s="211"/>
      <c r="I125" s="211"/>
      <c r="J125" s="211"/>
      <c r="K125" s="211"/>
      <c r="L125" s="211"/>
      <c r="M125" s="211"/>
      <c r="N125" s="211"/>
      <c r="O125" s="211"/>
      <c r="AM125" s="34">
        <f t="shared" si="66"/>
        <v>0.89774134941399097</v>
      </c>
      <c r="AN125" s="34">
        <f t="shared" si="51"/>
        <v>0.16477745212614536</v>
      </c>
      <c r="AO125" s="16">
        <f t="shared" si="52"/>
        <v>75.3</v>
      </c>
      <c r="AP125" s="16" t="e">
        <f t="shared" si="53"/>
        <v>#N/A</v>
      </c>
      <c r="AQ125" s="16">
        <f t="shared" si="54"/>
        <v>1.4767038589699843E-3</v>
      </c>
      <c r="AR125" s="34">
        <f t="shared" si="67"/>
        <v>0.15129750408232212</v>
      </c>
      <c r="AS125" s="34">
        <f t="shared" si="55"/>
        <v>7.6907742768526077E-3</v>
      </c>
      <c r="AT125" s="540">
        <f t="shared" si="56"/>
        <v>29.300000000000146</v>
      </c>
      <c r="AU125" s="16" t="e">
        <f t="shared" si="57"/>
        <v>#N/A</v>
      </c>
      <c r="AV125" s="16">
        <f t="shared" si="58"/>
        <v>8.9791780224401872E-5</v>
      </c>
      <c r="AW125" s="34">
        <f t="shared" si="68"/>
        <v>0.93627225048840046</v>
      </c>
      <c r="AX125" s="34">
        <f t="shared" si="59"/>
        <v>0.67642326094210148</v>
      </c>
      <c r="AY125" s="16">
        <f t="shared" si="60"/>
        <v>80.399999999999707</v>
      </c>
      <c r="AZ125" s="16" t="e">
        <f t="shared" si="61"/>
        <v>#N/A</v>
      </c>
      <c r="BA125" s="16">
        <f t="shared" si="69"/>
        <v>4.2501241700990825E-3</v>
      </c>
      <c r="BB125" s="34">
        <f t="shared" si="70"/>
        <v>0.67577786184847355</v>
      </c>
      <c r="BC125" s="34">
        <f t="shared" si="62"/>
        <v>0.40359693951904774</v>
      </c>
      <c r="BD125" s="16">
        <f t="shared" si="63"/>
        <v>59.10000000000057</v>
      </c>
      <c r="BE125" s="16" t="e">
        <f t="shared" si="64"/>
        <v>#N/A</v>
      </c>
      <c r="BF125" s="16">
        <f t="shared" si="65"/>
        <v>7.258936995300524E-3</v>
      </c>
      <c r="BU125" s="16">
        <f t="shared" si="47"/>
        <v>0</v>
      </c>
      <c r="BV125" s="16">
        <f>IF($BY$12=1,NORMDIST(BY125,$Y$6,$Y$8,TRUE),IF($BY$12=2,IF(BY125&lt;=$BX$31,0,IF(BY125&gt;=$BX$32,1,(BY125-$BX$31)*$BX$33)),SUM($BU$42:BU125)/$BV$40))</f>
        <v>1.8534650266692987E-2</v>
      </c>
      <c r="BW125" s="16">
        <f t="shared" si="48"/>
        <v>1.8835200516255139E-2</v>
      </c>
      <c r="BX125" s="16">
        <f>IF($BY$12&lt;3,BV125,SUM($BZ$42:BZ125)/$BX$40)</f>
        <v>1.8534650266692987E-2</v>
      </c>
      <c r="BY125" s="16">
        <f t="shared" si="49"/>
        <v>8.2999999999999865</v>
      </c>
      <c r="BZ125" s="16">
        <f t="shared" si="38"/>
        <v>2.269301267018695E-3</v>
      </c>
      <c r="CA125" s="16">
        <f t="shared" si="50"/>
        <v>-999</v>
      </c>
      <c r="CB125" s="16" t="str">
        <f t="shared" si="39"/>
        <v/>
      </c>
      <c r="CC125" s="16" t="e">
        <f>IF(CB125="",NA(),COUNTIF(CB125:$CB$704,CB125))</f>
        <v>#N/A</v>
      </c>
      <c r="CD125" s="16" t="e">
        <f t="shared" si="40"/>
        <v>#N/A</v>
      </c>
      <c r="CE125" s="16" t="e">
        <f t="shared" si="41"/>
        <v>#N/A</v>
      </c>
      <c r="CF125" s="16">
        <f t="shared" si="42"/>
        <v>99</v>
      </c>
      <c r="CG125" s="16">
        <f t="shared" si="43"/>
        <v>0</v>
      </c>
      <c r="CH125" s="34">
        <f t="shared" si="44"/>
        <v>0</v>
      </c>
      <c r="CI125" s="16">
        <v>21</v>
      </c>
      <c r="CJ125" s="16" t="e">
        <f t="shared" si="45"/>
        <v>#N/A</v>
      </c>
      <c r="CK125" s="16" t="str">
        <f t="shared" si="46"/>
        <v/>
      </c>
    </row>
    <row r="126" spans="1:89" ht="12" customHeight="1">
      <c r="A126" s="211"/>
      <c r="B126" s="211"/>
      <c r="C126" s="211"/>
      <c r="D126" s="211"/>
      <c r="E126" s="211"/>
      <c r="F126" s="211"/>
      <c r="G126" s="211"/>
      <c r="H126" s="211"/>
      <c r="I126" s="211"/>
      <c r="J126" s="211"/>
      <c r="K126" s="211"/>
      <c r="L126" s="211"/>
      <c r="M126" s="211"/>
      <c r="N126" s="211"/>
      <c r="O126" s="211"/>
      <c r="AM126" s="34">
        <f t="shared" si="66"/>
        <v>0.66336833126842976</v>
      </c>
      <c r="AN126" s="34">
        <f t="shared" si="51"/>
        <v>0.93647260405123234</v>
      </c>
      <c r="AO126" s="16">
        <f t="shared" si="52"/>
        <v>58.40000000000056</v>
      </c>
      <c r="AP126" s="16" t="e">
        <f t="shared" si="53"/>
        <v>#N/A</v>
      </c>
      <c r="AQ126" s="16">
        <f t="shared" si="54"/>
        <v>1.710292430965886E-2</v>
      </c>
      <c r="AR126" s="34">
        <f t="shared" si="67"/>
        <v>0.84274859167635441</v>
      </c>
      <c r="AS126" s="34">
        <f t="shared" si="55"/>
        <v>0.87249523587524891</v>
      </c>
      <c r="AT126" s="540">
        <f t="shared" si="56"/>
        <v>70.100000000000293</v>
      </c>
      <c r="AU126" s="16" t="e">
        <f t="shared" si="57"/>
        <v>#N/A</v>
      </c>
      <c r="AV126" s="16">
        <f t="shared" si="58"/>
        <v>1.0503136081398896E-2</v>
      </c>
      <c r="AW126" s="34">
        <f t="shared" si="68"/>
        <v>0.40292340703308582</v>
      </c>
      <c r="AX126" s="34">
        <f t="shared" si="59"/>
        <v>0.30833514966070652</v>
      </c>
      <c r="AY126" s="16">
        <f t="shared" si="60"/>
        <v>45.000000000000369</v>
      </c>
      <c r="AZ126" s="16" t="e">
        <f t="shared" si="61"/>
        <v>#N/A</v>
      </c>
      <c r="BA126" s="16">
        <f t="shared" si="69"/>
        <v>5.9611685831715295E-3</v>
      </c>
      <c r="BB126" s="34">
        <f t="shared" si="70"/>
        <v>0.6419506911188364</v>
      </c>
      <c r="BC126" s="34">
        <f t="shared" si="62"/>
        <v>0.2565473485738039</v>
      </c>
      <c r="BD126" s="16">
        <f t="shared" si="63"/>
        <v>57.200000000000543</v>
      </c>
      <c r="BE126" s="16" t="e">
        <f t="shared" si="64"/>
        <v>#N/A</v>
      </c>
      <c r="BF126" s="16">
        <f t="shared" si="65"/>
        <v>4.7962887206050523E-3</v>
      </c>
      <c r="BU126" s="16">
        <f t="shared" si="47"/>
        <v>0</v>
      </c>
      <c r="BV126" s="16">
        <f>IF($BY$12=1,NORMDIST(BY126,$Y$6,$Y$8,TRUE),IF($BY$12=2,IF(BY126&lt;=$BX$31,0,IF(BY126&gt;=$BX$32,1,(BY126-$BX$31)*$BX$33)),SUM($BU$42:BU126)/$BV$40))</f>
        <v>1.8762766434937905E-2</v>
      </c>
      <c r="BW126" s="16">
        <f t="shared" si="48"/>
        <v>1.9261652033842992E-2</v>
      </c>
      <c r="BX126" s="16">
        <f>IF($BY$12&lt;3,BV126,SUM($BZ$42:BZ126)/$BX$40)</f>
        <v>1.8762766434937905E-2</v>
      </c>
      <c r="BY126" s="16">
        <f t="shared" si="49"/>
        <v>8.3999999999999861</v>
      </c>
      <c r="BZ126" s="16">
        <f t="shared" si="38"/>
        <v>2.293053813552741E-3</v>
      </c>
      <c r="CA126" s="16">
        <f t="shared" si="50"/>
        <v>-999</v>
      </c>
      <c r="CB126" s="16" t="str">
        <f t="shared" si="39"/>
        <v/>
      </c>
      <c r="CC126" s="16" t="e">
        <f>IF(CB126="",NA(),COUNTIF(CB126:$CB$704,CB126))</f>
        <v>#N/A</v>
      </c>
      <c r="CD126" s="16" t="e">
        <f t="shared" si="40"/>
        <v>#N/A</v>
      </c>
      <c r="CE126" s="16" t="e">
        <f t="shared" si="41"/>
        <v>#N/A</v>
      </c>
      <c r="CF126" s="16">
        <f t="shared" si="42"/>
        <v>99</v>
      </c>
      <c r="CG126" s="16">
        <f t="shared" si="43"/>
        <v>0</v>
      </c>
      <c r="CH126" s="34">
        <f t="shared" si="44"/>
        <v>0</v>
      </c>
      <c r="CI126" s="16">
        <v>22</v>
      </c>
      <c r="CJ126" s="16" t="e">
        <f t="shared" si="45"/>
        <v>#N/A</v>
      </c>
      <c r="CK126" s="16" t="str">
        <f t="shared" si="46"/>
        <v/>
      </c>
    </row>
    <row r="127" spans="1:89" ht="12" customHeight="1">
      <c r="A127" s="211"/>
      <c r="B127" s="211"/>
      <c r="C127" s="211"/>
      <c r="D127" s="211"/>
      <c r="E127" s="211"/>
      <c r="F127" s="211"/>
      <c r="G127" s="211"/>
      <c r="H127" s="211"/>
      <c r="I127" s="211"/>
      <c r="J127" s="211"/>
      <c r="K127" s="211"/>
      <c r="L127" s="211"/>
      <c r="M127" s="211"/>
      <c r="N127" s="211"/>
      <c r="O127" s="211"/>
      <c r="AM127" s="34">
        <f t="shared" si="66"/>
        <v>0.21465617604553699</v>
      </c>
      <c r="AN127" s="34">
        <f t="shared" si="51"/>
        <v>0.55098565854132175</v>
      </c>
      <c r="AO127" s="16">
        <f t="shared" si="52"/>
        <v>34.100000000000215</v>
      </c>
      <c r="AP127" s="16" t="e">
        <f t="shared" si="53"/>
        <v>#N/A</v>
      </c>
      <c r="AQ127" s="16">
        <f t="shared" si="54"/>
        <v>8.0126814992270059E-3</v>
      </c>
      <c r="AR127" s="34">
        <f t="shared" si="67"/>
        <v>0.70119055546820164</v>
      </c>
      <c r="AS127" s="34">
        <f t="shared" si="55"/>
        <v>0.67015923745930195</v>
      </c>
      <c r="AT127" s="540">
        <f t="shared" si="56"/>
        <v>60.50000000000059</v>
      </c>
      <c r="AU127" s="16" t="e">
        <f t="shared" si="57"/>
        <v>#N/A</v>
      </c>
      <c r="AV127" s="16">
        <f t="shared" si="58"/>
        <v>1.1646806767588568E-2</v>
      </c>
      <c r="AW127" s="34">
        <f t="shared" si="68"/>
        <v>0.50496401078999043</v>
      </c>
      <c r="AX127" s="34">
        <f t="shared" si="59"/>
        <v>0.67243204452097416</v>
      </c>
      <c r="AY127" s="16">
        <f t="shared" si="60"/>
        <v>50.200000000000443</v>
      </c>
      <c r="AZ127" s="16" t="e">
        <f t="shared" si="61"/>
        <v>#N/A</v>
      </c>
      <c r="BA127" s="16">
        <f t="shared" si="69"/>
        <v>1.341240802564268E-2</v>
      </c>
      <c r="BB127" s="34">
        <f t="shared" si="70"/>
        <v>0.82085357047617435</v>
      </c>
      <c r="BC127" s="34">
        <f t="shared" si="62"/>
        <v>0.37585815973579884</v>
      </c>
      <c r="BD127" s="16">
        <f t="shared" si="63"/>
        <v>68.300000000000395</v>
      </c>
      <c r="BE127" s="16" t="e">
        <f t="shared" si="64"/>
        <v>#N/A</v>
      </c>
      <c r="BF127" s="16">
        <f t="shared" si="65"/>
        <v>4.9329073022212656E-3</v>
      </c>
      <c r="BU127" s="16">
        <f t="shared" si="47"/>
        <v>0</v>
      </c>
      <c r="BV127" s="16">
        <f>IF($BY$12=1,NORMDIST(BY127,$Y$6,$Y$8,TRUE),IF($BY$12=2,IF(BY127&lt;=$BX$31,0,IF(BY127&gt;=$BX$32,1,(BY127-$BX$31)*$BX$33)),SUM($BU$42:BU127)/$BV$40))</f>
        <v>1.8993267385738588E-2</v>
      </c>
      <c r="BW127" s="16">
        <f t="shared" si="48"/>
        <v>1.9694474924451363E-2</v>
      </c>
      <c r="BX127" s="16">
        <f>IF($BY$12&lt;3,BV127,SUM($BZ$42:BZ127)/$BX$40)</f>
        <v>1.8993267385738588E-2</v>
      </c>
      <c r="BY127" s="16">
        <f t="shared" si="49"/>
        <v>8.4999999999999858</v>
      </c>
      <c r="BZ127" s="16">
        <f t="shared" si="38"/>
        <v>2.3169970499354584E-3</v>
      </c>
      <c r="CA127" s="16">
        <f t="shared" si="50"/>
        <v>-999</v>
      </c>
      <c r="CB127" s="16" t="str">
        <f t="shared" si="39"/>
        <v/>
      </c>
      <c r="CC127" s="16" t="e">
        <f>IF(CB127="",NA(),COUNTIF(CB127:$CB$704,CB127))</f>
        <v>#N/A</v>
      </c>
      <c r="CD127" s="16" t="e">
        <f t="shared" si="40"/>
        <v>#N/A</v>
      </c>
      <c r="CE127" s="16" t="e">
        <f t="shared" si="41"/>
        <v>#N/A</v>
      </c>
      <c r="CF127" s="16">
        <f t="shared" si="42"/>
        <v>99</v>
      </c>
      <c r="CG127" s="16">
        <f t="shared" si="43"/>
        <v>0</v>
      </c>
      <c r="CH127" s="34">
        <f t="shared" si="44"/>
        <v>0</v>
      </c>
      <c r="CI127" s="16">
        <v>23</v>
      </c>
      <c r="CJ127" s="16" t="e">
        <f t="shared" si="45"/>
        <v>#N/A</v>
      </c>
      <c r="CK127" s="16" t="str">
        <f t="shared" si="46"/>
        <v/>
      </c>
    </row>
    <row r="128" spans="1:89" ht="12" customHeight="1">
      <c r="A128" s="211"/>
      <c r="B128" s="211"/>
      <c r="C128" s="211"/>
      <c r="D128" s="211"/>
      <c r="E128" s="211"/>
      <c r="F128" s="211"/>
      <c r="G128" s="211"/>
      <c r="H128" s="211"/>
      <c r="I128" s="211"/>
      <c r="J128" s="211"/>
      <c r="K128" s="211"/>
      <c r="L128" s="211"/>
      <c r="M128" s="211"/>
      <c r="N128" s="211"/>
      <c r="O128" s="211"/>
      <c r="AM128" s="34">
        <f t="shared" si="66"/>
        <v>0.74822677858173847</v>
      </c>
      <c r="AN128" s="34">
        <f t="shared" si="51"/>
        <v>0.51276550628244877</v>
      </c>
      <c r="AO128" s="16">
        <f t="shared" si="52"/>
        <v>63.30000000000063</v>
      </c>
      <c r="AP128" s="16" t="e">
        <f t="shared" si="53"/>
        <v>#N/A</v>
      </c>
      <c r="AQ128" s="16">
        <f t="shared" si="54"/>
        <v>8.1991896904168183E-3</v>
      </c>
      <c r="AR128" s="34">
        <f t="shared" si="67"/>
        <v>8.6663106456398964E-2</v>
      </c>
      <c r="AS128" s="34">
        <f t="shared" si="55"/>
        <v>0.19118437357246876</v>
      </c>
      <c r="AT128" s="540">
        <f t="shared" si="56"/>
        <v>22.700000000000053</v>
      </c>
      <c r="AU128" s="16" t="e">
        <f t="shared" si="57"/>
        <v>#N/A</v>
      </c>
      <c r="AV128" s="16">
        <f t="shared" si="58"/>
        <v>1.5022364469259026E-3</v>
      </c>
      <c r="AW128" s="34">
        <f t="shared" si="68"/>
        <v>0.1868263203650713</v>
      </c>
      <c r="AX128" s="34">
        <f t="shared" si="59"/>
        <v>0.6323928777128458</v>
      </c>
      <c r="AY128" s="16">
        <f t="shared" si="60"/>
        <v>32.200000000000188</v>
      </c>
      <c r="AZ128" s="16" t="e">
        <f t="shared" si="61"/>
        <v>#N/A</v>
      </c>
      <c r="BA128" s="16">
        <f t="shared" si="69"/>
        <v>8.4891598361637871E-3</v>
      </c>
      <c r="BB128" s="34">
        <f t="shared" si="70"/>
        <v>0.48351406492292881</v>
      </c>
      <c r="BC128" s="34">
        <f t="shared" si="62"/>
        <v>0.93491213209927082</v>
      </c>
      <c r="BD128" s="16">
        <f t="shared" si="63"/>
        <v>49.100000000000428</v>
      </c>
      <c r="BE128" s="16" t="e">
        <f t="shared" si="64"/>
        <v>#N/A</v>
      </c>
      <c r="BF128" s="16">
        <f t="shared" si="65"/>
        <v>1.8629926544589528E-2</v>
      </c>
      <c r="BU128" s="16">
        <f t="shared" si="47"/>
        <v>0</v>
      </c>
      <c r="BV128" s="16">
        <f>IF($BY$12=1,NORMDIST(BY128,$Y$6,$Y$8,TRUE),IF($BY$12=2,IF(BY128&lt;=$BX$31,0,IF(BY128&gt;=$BX$32,1,(BY128-$BX$31)*$BX$33)),SUM($BU$42:BU128)/$BV$40))</f>
        <v>1.9226172227517435E-2</v>
      </c>
      <c r="BW128" s="16">
        <f t="shared" si="48"/>
        <v>2.0133733169403697E-2</v>
      </c>
      <c r="BX128" s="16">
        <f>IF($BY$12&lt;3,BV128,SUM($BZ$42:BZ128)/$BX$40)</f>
        <v>1.9226172227517435E-2</v>
      </c>
      <c r="BY128" s="16">
        <f t="shared" si="49"/>
        <v>8.5999999999999854</v>
      </c>
      <c r="BZ128" s="16">
        <f t="shared" si="38"/>
        <v>2.3411317638841549E-3</v>
      </c>
      <c r="CA128" s="16">
        <f t="shared" si="50"/>
        <v>-999</v>
      </c>
      <c r="CB128" s="16" t="str">
        <f t="shared" si="39"/>
        <v/>
      </c>
      <c r="CC128" s="16" t="e">
        <f>IF(CB128="",NA(),COUNTIF(CB128:$CB$704,CB128))</f>
        <v>#N/A</v>
      </c>
      <c r="CD128" s="16" t="e">
        <f t="shared" si="40"/>
        <v>#N/A</v>
      </c>
      <c r="CE128" s="16" t="e">
        <f t="shared" si="41"/>
        <v>#N/A</v>
      </c>
      <c r="CF128" s="16">
        <f t="shared" si="42"/>
        <v>99</v>
      </c>
      <c r="CG128" s="16">
        <f t="shared" si="43"/>
        <v>0</v>
      </c>
      <c r="CH128" s="34">
        <f t="shared" si="44"/>
        <v>0</v>
      </c>
      <c r="CI128" s="16">
        <v>24</v>
      </c>
      <c r="CJ128" s="16" t="e">
        <f t="shared" si="45"/>
        <v>#N/A</v>
      </c>
      <c r="CK128" s="16" t="str">
        <f t="shared" si="46"/>
        <v/>
      </c>
    </row>
    <row r="129" spans="1:89" ht="12" customHeight="1">
      <c r="A129" s="211"/>
      <c r="B129" s="211"/>
      <c r="C129" s="211"/>
      <c r="D129" s="211"/>
      <c r="E129" s="211"/>
      <c r="F129" s="211"/>
      <c r="G129" s="211"/>
      <c r="H129" s="211"/>
      <c r="I129" s="211"/>
      <c r="J129" s="211"/>
      <c r="K129" s="211"/>
      <c r="L129" s="211"/>
      <c r="M129" s="211"/>
      <c r="N129" s="211"/>
      <c r="O129" s="211"/>
      <c r="AM129" s="34">
        <f t="shared" si="66"/>
        <v>0.72877606935799122</v>
      </c>
      <c r="AN129" s="34">
        <f t="shared" si="51"/>
        <v>0.16766881383955479</v>
      </c>
      <c r="AO129" s="16">
        <f t="shared" si="52"/>
        <v>62.100000000000612</v>
      </c>
      <c r="AP129" s="16" t="e">
        <f t="shared" si="53"/>
        <v>#N/A</v>
      </c>
      <c r="AQ129" s="16">
        <f t="shared" si="54"/>
        <v>2.7851657330730684E-3</v>
      </c>
      <c r="AR129" s="34">
        <f t="shared" si="67"/>
        <v>0.22112154401838779</v>
      </c>
      <c r="AS129" s="34">
        <f t="shared" si="55"/>
        <v>0.31476395018398762</v>
      </c>
      <c r="AT129" s="540">
        <f t="shared" si="56"/>
        <v>34.600000000000222</v>
      </c>
      <c r="AU129" s="16" t="e">
        <f t="shared" si="57"/>
        <v>#N/A</v>
      </c>
      <c r="AV129" s="16">
        <f t="shared" si="58"/>
        <v>4.6678668342853107E-3</v>
      </c>
      <c r="AW129" s="34">
        <f t="shared" si="68"/>
        <v>0.99823586829006672</v>
      </c>
      <c r="AX129" s="34">
        <f t="shared" si="59"/>
        <v>0.65996695496141911</v>
      </c>
      <c r="AY129" s="16" t="e">
        <f t="shared" si="60"/>
        <v>#N/A</v>
      </c>
      <c r="AZ129" s="16" t="e">
        <f t="shared" si="61"/>
        <v>#N/A</v>
      </c>
      <c r="BA129" s="16" t="e">
        <f t="shared" si="69"/>
        <v>#N/A</v>
      </c>
      <c r="BB129" s="34">
        <f t="shared" si="70"/>
        <v>0.47485042549669743</v>
      </c>
      <c r="BC129" s="34">
        <f t="shared" si="62"/>
        <v>0.42802250571548939</v>
      </c>
      <c r="BD129" s="16">
        <f t="shared" si="63"/>
        <v>48.700000000000422</v>
      </c>
      <c r="BE129" s="16" t="e">
        <f t="shared" si="64"/>
        <v>#N/A</v>
      </c>
      <c r="BF129" s="16">
        <f t="shared" si="65"/>
        <v>8.519796630426419E-3</v>
      </c>
      <c r="BU129" s="16">
        <f t="shared" si="47"/>
        <v>0</v>
      </c>
      <c r="BV129" s="16">
        <f>IF($BY$12=1,NORMDIST(BY129,$Y$6,$Y$8,TRUE),IF($BY$12=2,IF(BY129&lt;=$BX$31,0,IF(BY129&gt;=$BX$32,1,(BY129-$BX$31)*$BX$33)),SUM($BU$42:BU129)/$BV$40))</f>
        <v>1.9461500147157862E-2</v>
      </c>
      <c r="BW129" s="16">
        <f t="shared" si="48"/>
        <v>2.0579491010993715E-2</v>
      </c>
      <c r="BX129" s="16">
        <f>IF($BY$12&lt;3,BV129,SUM($BZ$42:BZ129)/$BX$40)</f>
        <v>1.9461500147157862E-2</v>
      </c>
      <c r="BY129" s="16">
        <f t="shared" si="49"/>
        <v>8.6999999999999851</v>
      </c>
      <c r="BZ129" s="16">
        <f t="shared" si="38"/>
        <v>2.3654587368958334E-3</v>
      </c>
      <c r="CA129" s="16">
        <f t="shared" si="50"/>
        <v>-999</v>
      </c>
      <c r="CB129" s="16" t="str">
        <f t="shared" si="39"/>
        <v/>
      </c>
      <c r="CC129" s="16" t="e">
        <f>IF(CB129="",NA(),COUNTIF(CB129:$CB$704,CB129))</f>
        <v>#N/A</v>
      </c>
      <c r="CD129" s="16" t="e">
        <f t="shared" si="40"/>
        <v>#N/A</v>
      </c>
      <c r="CE129" s="16" t="e">
        <f t="shared" si="41"/>
        <v>#N/A</v>
      </c>
      <c r="CF129" s="16">
        <f t="shared" si="42"/>
        <v>99</v>
      </c>
      <c r="CG129" s="16">
        <f t="shared" si="43"/>
        <v>0</v>
      </c>
      <c r="CH129" s="34">
        <f t="shared" si="44"/>
        <v>0</v>
      </c>
      <c r="CI129" s="16">
        <v>25</v>
      </c>
      <c r="CJ129" s="16" t="e">
        <f t="shared" si="45"/>
        <v>#N/A</v>
      </c>
      <c r="CK129" s="16" t="str">
        <f t="shared" si="46"/>
        <v/>
      </c>
    </row>
    <row r="130" spans="1:89" ht="12" customHeight="1">
      <c r="A130" s="211"/>
      <c r="B130" s="211"/>
      <c r="C130" s="211"/>
      <c r="D130" s="211"/>
      <c r="E130" s="211"/>
      <c r="F130" s="211"/>
      <c r="G130" s="211"/>
      <c r="H130" s="211"/>
      <c r="I130" s="211"/>
      <c r="J130" s="211"/>
      <c r="K130" s="211"/>
      <c r="L130" s="211"/>
      <c r="M130" s="211"/>
      <c r="N130" s="211"/>
      <c r="O130" s="211"/>
      <c r="AM130" s="34">
        <f t="shared" si="66"/>
        <v>0.31809012778103352</v>
      </c>
      <c r="AN130" s="34">
        <f t="shared" si="51"/>
        <v>0.41298199631273746</v>
      </c>
      <c r="AO130" s="16">
        <f t="shared" si="52"/>
        <v>40.500000000000306</v>
      </c>
      <c r="AP130" s="16" t="e">
        <f t="shared" si="53"/>
        <v>#N/A</v>
      </c>
      <c r="AQ130" s="16">
        <f t="shared" si="54"/>
        <v>7.3589752652991995E-3</v>
      </c>
      <c r="AR130" s="34">
        <f t="shared" si="67"/>
        <v>0.59377122856676579</v>
      </c>
      <c r="AS130" s="34">
        <f t="shared" si="55"/>
        <v>4.6936292201280594E-3</v>
      </c>
      <c r="AT130" s="540">
        <f t="shared" si="56"/>
        <v>54.700000000000507</v>
      </c>
      <c r="AU130" s="16" t="e">
        <f t="shared" si="57"/>
        <v>#N/A</v>
      </c>
      <c r="AV130" s="16">
        <f t="shared" si="58"/>
        <v>9.107452035157055E-5</v>
      </c>
      <c r="AW130" s="34">
        <f t="shared" si="68"/>
        <v>0.12918460555374622</v>
      </c>
      <c r="AX130" s="34">
        <f t="shared" si="59"/>
        <v>0.73493733443319798</v>
      </c>
      <c r="AY130" s="16">
        <f t="shared" si="60"/>
        <v>27.300000000000118</v>
      </c>
      <c r="AZ130" s="16" t="e">
        <f t="shared" si="61"/>
        <v>#N/A</v>
      </c>
      <c r="BA130" s="16">
        <f t="shared" si="69"/>
        <v>7.6983185089009925E-3</v>
      </c>
      <c r="BB130" s="34">
        <f t="shared" si="70"/>
        <v>0.62144746817648411</v>
      </c>
      <c r="BC130" s="34">
        <f t="shared" si="62"/>
        <v>0.76058192737400532</v>
      </c>
      <c r="BD130" s="16">
        <f t="shared" si="63"/>
        <v>56.100000000000527</v>
      </c>
      <c r="BE130" s="16" t="e">
        <f t="shared" si="64"/>
        <v>#N/A</v>
      </c>
      <c r="BF130" s="16">
        <f t="shared" si="65"/>
        <v>1.4481913520621708E-2</v>
      </c>
      <c r="BU130" s="16">
        <f t="shared" si="47"/>
        <v>0</v>
      </c>
      <c r="BV130" s="16">
        <f>IF($BY$12=1,NORMDIST(BY130,$Y$6,$Y$8,TRUE),IF($BY$12=2,IF(BY130&lt;=$BX$31,0,IF(BY130&gt;=$BX$32,1,(BY130-$BX$31)*$BX$33)),SUM($BU$42:BU130)/$BV$40))</f>
        <v>1.9699270409376801E-2</v>
      </c>
      <c r="BW130" s="16">
        <f t="shared" si="48"/>
        <v>2.1031812948113817E-2</v>
      </c>
      <c r="BX130" s="16">
        <f>IF($BY$12&lt;3,BV130,SUM($BZ$42:BZ130)/$BX$40)</f>
        <v>1.9699270409376801E-2</v>
      </c>
      <c r="BY130" s="16">
        <f t="shared" si="49"/>
        <v>8.7999999999999847</v>
      </c>
      <c r="BZ130" s="16">
        <f t="shared" si="38"/>
        <v>2.3899787441038472E-3</v>
      </c>
      <c r="CA130" s="16">
        <f t="shared" si="50"/>
        <v>-999</v>
      </c>
      <c r="CB130" s="16" t="str">
        <f t="shared" si="39"/>
        <v/>
      </c>
      <c r="CC130" s="16" t="e">
        <f>IF(CB130="",NA(),COUNTIF(CB130:$CB$704,CB130))</f>
        <v>#N/A</v>
      </c>
      <c r="CD130" s="16" t="e">
        <f t="shared" si="40"/>
        <v>#N/A</v>
      </c>
      <c r="CE130" s="16" t="e">
        <f t="shared" si="41"/>
        <v>#N/A</v>
      </c>
      <c r="CF130" s="16">
        <f t="shared" si="42"/>
        <v>99</v>
      </c>
      <c r="CG130" s="16">
        <f t="shared" si="43"/>
        <v>0</v>
      </c>
      <c r="CH130" s="16">
        <f>IF(CB130="",0,1)</f>
        <v>0</v>
      </c>
      <c r="CJ130" s="16" t="e">
        <f t="shared" si="45"/>
        <v>#N/A</v>
      </c>
      <c r="CK130" s="16" t="str">
        <f t="shared" si="46"/>
        <v/>
      </c>
    </row>
    <row r="131" spans="1:89" ht="12" customHeight="1">
      <c r="A131" s="211"/>
      <c r="B131" s="211"/>
      <c r="C131" s="211"/>
      <c r="D131" s="211"/>
      <c r="E131" s="211"/>
      <c r="F131" s="211"/>
      <c r="G131" s="211"/>
      <c r="H131" s="211"/>
      <c r="I131" s="211"/>
      <c r="J131" s="211"/>
      <c r="K131" s="211"/>
      <c r="L131" s="211"/>
      <c r="M131" s="211"/>
      <c r="N131" s="211"/>
      <c r="O131" s="211"/>
      <c r="AM131" s="34">
        <f t="shared" si="66"/>
        <v>0.3318933267146349</v>
      </c>
      <c r="AN131" s="34">
        <f t="shared" si="51"/>
        <v>0.58175959624350071</v>
      </c>
      <c r="AO131" s="16">
        <f t="shared" si="52"/>
        <v>41.300000000000317</v>
      </c>
      <c r="AP131" s="16" t="e">
        <f t="shared" si="53"/>
        <v>#N/A</v>
      </c>
      <c r="AQ131" s="16">
        <f t="shared" si="54"/>
        <v>1.0556839996752198E-2</v>
      </c>
      <c r="AR131" s="34">
        <f t="shared" si="67"/>
        <v>0.35321846045553684</v>
      </c>
      <c r="AS131" s="34">
        <f t="shared" si="55"/>
        <v>0.19639535434544086</v>
      </c>
      <c r="AT131" s="540">
        <f t="shared" si="56"/>
        <v>42.400000000000333</v>
      </c>
      <c r="AU131" s="16" t="e">
        <f t="shared" si="57"/>
        <v>#N/A</v>
      </c>
      <c r="AV131" s="16">
        <f t="shared" si="58"/>
        <v>3.6446448826743891E-3</v>
      </c>
      <c r="AW131" s="34">
        <f t="shared" si="68"/>
        <v>0.89851732738316059</v>
      </c>
      <c r="AX131" s="34">
        <f t="shared" si="59"/>
        <v>0.95455686189234257</v>
      </c>
      <c r="AY131" s="16">
        <f t="shared" si="60"/>
        <v>75.399999999999991</v>
      </c>
      <c r="AZ131" s="16" t="e">
        <f t="shared" si="61"/>
        <v>#N/A</v>
      </c>
      <c r="BA131" s="16" t="e">
        <f t="shared" si="69"/>
        <v>#N/A</v>
      </c>
      <c r="BB131" s="34">
        <f t="shared" si="70"/>
        <v>0.16130510903894901</v>
      </c>
      <c r="BC131" s="34">
        <f t="shared" si="62"/>
        <v>0.18735590763390064</v>
      </c>
      <c r="BD131" s="16">
        <f t="shared" si="63"/>
        <v>30.200000000000159</v>
      </c>
      <c r="BE131" s="16" t="e">
        <f t="shared" si="64"/>
        <v>#N/A</v>
      </c>
      <c r="BF131" s="16">
        <f t="shared" si="65"/>
        <v>2.2893988005574365E-3</v>
      </c>
      <c r="BU131" s="16">
        <f t="shared" si="47"/>
        <v>0</v>
      </c>
      <c r="BV131" s="16">
        <f>IF($BY$12=1,NORMDIST(BY131,$Y$6,$Y$8,TRUE),IF($BY$12=2,IF(BY131&lt;=$BX$31,0,IF(BY131&gt;=$BX$32,1,(BY131-$BX$31)*$BX$33)),SUM($BU$42:BU131)/$BV$40))</f>
        <v>1.9939502356079997E-2</v>
      </c>
      <c r="BW131" s="16">
        <f t="shared" si="48"/>
        <v>2.1490763731791332E-2</v>
      </c>
      <c r="BX131" s="16">
        <f>IF($BY$12&lt;3,BV131,SUM($BZ$42:BZ131)/$BX$40)</f>
        <v>1.9939502356079997E-2</v>
      </c>
      <c r="BY131" s="16">
        <f t="shared" si="49"/>
        <v>8.8999999999999844</v>
      </c>
      <c r="BZ131" s="16">
        <f t="shared" si="38"/>
        <v>2.4146925541338616E-3</v>
      </c>
      <c r="CA131" s="16">
        <f t="shared" si="50"/>
        <v>-999</v>
      </c>
      <c r="CB131" s="16" t="str">
        <f t="shared" si="39"/>
        <v/>
      </c>
      <c r="CC131" s="16" t="e">
        <f>IF(CB131="",NA(),COUNTIF(CB131:$CB$704,CB131))</f>
        <v>#N/A</v>
      </c>
      <c r="CD131" s="16" t="e">
        <f t="shared" si="40"/>
        <v>#N/A</v>
      </c>
      <c r="CE131" s="16" t="e">
        <f t="shared" si="41"/>
        <v>#N/A</v>
      </c>
      <c r="CF131" s="16">
        <f t="shared" si="42"/>
        <v>99</v>
      </c>
      <c r="CG131" s="16">
        <f t="shared" si="43"/>
        <v>0</v>
      </c>
      <c r="CH131" s="16">
        <f t="shared" ref="CH131:CH194" si="71">IF(CB131="",0,1)</f>
        <v>0</v>
      </c>
      <c r="CJ131" s="16" t="e">
        <f t="shared" si="45"/>
        <v>#N/A</v>
      </c>
      <c r="CK131" s="16" t="str">
        <f t="shared" si="46"/>
        <v/>
      </c>
    </row>
    <row r="132" spans="1:89" ht="12" customHeight="1">
      <c r="A132" s="211"/>
      <c r="B132" s="211"/>
      <c r="C132" s="211"/>
      <c r="D132" s="211"/>
      <c r="E132" s="211"/>
      <c r="F132" s="211"/>
      <c r="G132" s="211"/>
      <c r="H132" s="211"/>
      <c r="I132" s="211"/>
      <c r="J132" s="211"/>
      <c r="K132" s="211"/>
      <c r="L132" s="211"/>
      <c r="M132" s="211"/>
      <c r="N132" s="211"/>
      <c r="O132" s="211"/>
      <c r="AM132" s="34">
        <f t="shared" si="66"/>
        <v>0.52530975826084614</v>
      </c>
      <c r="AN132" s="34">
        <f t="shared" si="51"/>
        <v>0.41163531877100468</v>
      </c>
      <c r="AO132" s="16">
        <f t="shared" si="52"/>
        <v>51.200000000000458</v>
      </c>
      <c r="AP132" s="16" t="e">
        <f t="shared" si="53"/>
        <v>#N/A</v>
      </c>
      <c r="AQ132" s="16">
        <f t="shared" si="54"/>
        <v>8.1961702460048805E-3</v>
      </c>
      <c r="AR132" s="34">
        <f t="shared" si="67"/>
        <v>9.6594015136361122E-2</v>
      </c>
      <c r="AS132" s="34">
        <f t="shared" si="55"/>
        <v>0.40708580799400806</v>
      </c>
      <c r="AT132" s="540">
        <f t="shared" si="56"/>
        <v>23.90000000000007</v>
      </c>
      <c r="AU132" s="16" t="e">
        <f t="shared" si="57"/>
        <v>#N/A</v>
      </c>
      <c r="AV132" s="16">
        <f t="shared" si="58"/>
        <v>3.4654437364649926E-3</v>
      </c>
      <c r="AW132" s="34">
        <f t="shared" si="68"/>
        <v>2.8162630274891853E-2</v>
      </c>
      <c r="AX132" s="34">
        <f t="shared" si="59"/>
        <v>0.66886311210691929</v>
      </c>
      <c r="AY132" s="16">
        <f t="shared" si="60"/>
        <v>11.799999999999974</v>
      </c>
      <c r="AZ132" s="16" t="e">
        <f t="shared" si="61"/>
        <v>#N/A</v>
      </c>
      <c r="BA132" s="16">
        <f t="shared" si="69"/>
        <v>2.1529922456958897E-3</v>
      </c>
      <c r="BB132" s="34">
        <f t="shared" si="70"/>
        <v>0.51196580566465855</v>
      </c>
      <c r="BC132" s="34">
        <f t="shared" si="62"/>
        <v>0.71220205910503864</v>
      </c>
      <c r="BD132" s="16">
        <f t="shared" si="63"/>
        <v>50.500000000000448</v>
      </c>
      <c r="BE132" s="16" t="e">
        <f t="shared" si="64"/>
        <v>#N/A</v>
      </c>
      <c r="BF132" s="16">
        <f t="shared" si="65"/>
        <v>1.4201936879496963E-2</v>
      </c>
      <c r="BU132" s="16">
        <f t="shared" si="47"/>
        <v>0</v>
      </c>
      <c r="BV132" s="16">
        <f>IF($BY$12=1,NORMDIST(BY132,$Y$6,$Y$8,TRUE),IF($BY$12=2,IF(BY132&lt;=$BX$31,0,IF(BY132&gt;=$BX$32,1,(BY132-$BX$31)*$BX$33)),SUM($BU$42:BU132)/$BV$40))</f>
        <v>2.0182215405704307E-2</v>
      </c>
      <c r="BW132" s="16">
        <f t="shared" si="48"/>
        <v>2.1956408360632163E-2</v>
      </c>
      <c r="BX132" s="16">
        <f>IF($BY$12&lt;3,BV132,SUM($BZ$42:BZ132)/$BX$40)</f>
        <v>2.0182215405704307E-2</v>
      </c>
      <c r="BY132" s="16">
        <f t="shared" si="49"/>
        <v>8.999999999999984</v>
      </c>
      <c r="BZ132" s="16">
        <f t="shared" si="38"/>
        <v>2.4396009289591337E-3</v>
      </c>
      <c r="CA132" s="16">
        <f t="shared" si="50"/>
        <v>-999</v>
      </c>
      <c r="CB132" s="16" t="str">
        <f t="shared" si="39"/>
        <v/>
      </c>
      <c r="CC132" s="16" t="e">
        <f>IF(CB132="",NA(),COUNTIF(CB132:$CB$704,CB132))</f>
        <v>#N/A</v>
      </c>
      <c r="CD132" s="16" t="e">
        <f t="shared" si="40"/>
        <v>#N/A</v>
      </c>
      <c r="CE132" s="16" t="e">
        <f t="shared" si="41"/>
        <v>#N/A</v>
      </c>
      <c r="CF132" s="16">
        <f t="shared" si="42"/>
        <v>99</v>
      </c>
      <c r="CG132" s="16">
        <f t="shared" si="43"/>
        <v>0</v>
      </c>
      <c r="CH132" s="16">
        <f t="shared" si="71"/>
        <v>0</v>
      </c>
      <c r="CJ132" s="16" t="e">
        <f t="shared" si="45"/>
        <v>#N/A</v>
      </c>
      <c r="CK132" s="16" t="str">
        <f t="shared" si="46"/>
        <v/>
      </c>
    </row>
    <row r="133" spans="1:89" ht="12" customHeight="1">
      <c r="A133" s="211"/>
      <c r="B133" s="211"/>
      <c r="C133" s="211"/>
      <c r="D133" s="211"/>
      <c r="E133" s="211"/>
      <c r="F133" s="211"/>
      <c r="G133" s="211"/>
      <c r="H133" s="211"/>
      <c r="I133" s="211"/>
      <c r="J133" s="211"/>
      <c r="K133" s="211"/>
      <c r="L133" s="211"/>
      <c r="M133" s="211"/>
      <c r="N133" s="211"/>
      <c r="O133" s="211"/>
      <c r="AM133" s="34">
        <f t="shared" si="66"/>
        <v>0.53896919079124928</v>
      </c>
      <c r="AN133" s="34">
        <f t="shared" si="51"/>
        <v>0.91451197303831577</v>
      </c>
      <c r="AO133" s="16">
        <f t="shared" si="52"/>
        <v>51.900000000000468</v>
      </c>
      <c r="AP133" s="16" t="e">
        <f t="shared" si="53"/>
        <v>#N/A</v>
      </c>
      <c r="AQ133" s="16">
        <f t="shared" si="54"/>
        <v>1.8159743587250463E-2</v>
      </c>
      <c r="AR133" s="34">
        <f t="shared" si="67"/>
        <v>0.37205558456480503</v>
      </c>
      <c r="AS133" s="34">
        <f t="shared" si="55"/>
        <v>0.68237064965069294</v>
      </c>
      <c r="AT133" s="540">
        <f t="shared" si="56"/>
        <v>43.400000000000347</v>
      </c>
      <c r="AU133" s="16" t="e">
        <f t="shared" si="57"/>
        <v>#N/A</v>
      </c>
      <c r="AV133" s="16">
        <f t="shared" si="58"/>
        <v>1.2890004654141942E-2</v>
      </c>
      <c r="AW133" s="34">
        <f t="shared" si="68"/>
        <v>0.81628965027630329</v>
      </c>
      <c r="AX133" s="34">
        <f t="shared" si="59"/>
        <v>0.11452848650515079</v>
      </c>
      <c r="AY133" s="16">
        <f t="shared" si="60"/>
        <v>68.000000000000412</v>
      </c>
      <c r="AZ133" s="16" t="e">
        <f t="shared" si="61"/>
        <v>#N/A</v>
      </c>
      <c r="BA133" s="16">
        <f t="shared" si="69"/>
        <v>1.5237170476124324E-3</v>
      </c>
      <c r="BB133" s="34">
        <f t="shared" si="70"/>
        <v>0.84967715479433537</v>
      </c>
      <c r="BC133" s="34">
        <f t="shared" si="62"/>
        <v>0.59374636597931385</v>
      </c>
      <c r="BD133" s="16">
        <f t="shared" si="63"/>
        <v>70.700000000000259</v>
      </c>
      <c r="BE133" s="16" t="e">
        <f t="shared" si="64"/>
        <v>#N/A</v>
      </c>
      <c r="BF133" s="16">
        <f t="shared" si="65"/>
        <v>6.9321424974741145E-3</v>
      </c>
      <c r="BU133" s="16">
        <f t="shared" si="47"/>
        <v>0</v>
      </c>
      <c r="BV133" s="16">
        <f>IF($BY$12=1,NORMDIST(BY133,$Y$6,$Y$8,TRUE),IF($BY$12=2,IF(BY133&lt;=$BX$31,0,IF(BY133&gt;=$BX$32,1,(BY133-$BX$31)*$BX$33)),SUM($BU$42:BU133)/$BV$40))</f>
        <v>2.0427429052545465E-2</v>
      </c>
      <c r="BW133" s="16">
        <f t="shared" si="48"/>
        <v>2.2428812076171693E-2</v>
      </c>
      <c r="BX133" s="16">
        <f>IF($BY$12&lt;3,BV133,SUM($BZ$42:BZ133)/$BX$40)</f>
        <v>2.0427429052545465E-2</v>
      </c>
      <c r="BY133" s="16">
        <f t="shared" si="49"/>
        <v>9.0999999999999837</v>
      </c>
      <c r="BZ133" s="16">
        <f t="shared" si="38"/>
        <v>2.4647046237551355E-3</v>
      </c>
      <c r="CA133" s="16">
        <f t="shared" si="50"/>
        <v>-999</v>
      </c>
      <c r="CB133" s="16" t="str">
        <f t="shared" si="39"/>
        <v/>
      </c>
      <c r="CC133" s="16" t="e">
        <f>IF(CB133="",NA(),COUNTIF(CB133:$CB$704,CB133))</f>
        <v>#N/A</v>
      </c>
      <c r="CD133" s="16" t="e">
        <f t="shared" si="40"/>
        <v>#N/A</v>
      </c>
      <c r="CE133" s="16" t="e">
        <f t="shared" si="41"/>
        <v>#N/A</v>
      </c>
      <c r="CF133" s="16">
        <f t="shared" si="42"/>
        <v>99</v>
      </c>
      <c r="CG133" s="16">
        <f t="shared" si="43"/>
        <v>0</v>
      </c>
      <c r="CH133" s="16">
        <f t="shared" si="71"/>
        <v>0</v>
      </c>
      <c r="CJ133" s="16" t="e">
        <f t="shared" si="45"/>
        <v>#N/A</v>
      </c>
      <c r="CK133" s="16" t="str">
        <f t="shared" si="46"/>
        <v/>
      </c>
    </row>
    <row r="134" spans="1:89" ht="12" customHeight="1">
      <c r="A134" s="211"/>
      <c r="B134" s="211"/>
      <c r="C134" s="211"/>
      <c r="D134" s="211"/>
      <c r="E134" s="211"/>
      <c r="F134" s="211"/>
      <c r="G134" s="211"/>
      <c r="H134" s="211"/>
      <c r="I134" s="211"/>
      <c r="J134" s="211"/>
      <c r="K134" s="211"/>
      <c r="L134" s="211"/>
      <c r="M134" s="211"/>
      <c r="N134" s="211"/>
      <c r="O134" s="211"/>
      <c r="AM134" s="34">
        <f t="shared" si="66"/>
        <v>0.61903880722820759</v>
      </c>
      <c r="AN134" s="34">
        <f t="shared" si="51"/>
        <v>0.11978656984865665</v>
      </c>
      <c r="AO134" s="16">
        <f t="shared" si="52"/>
        <v>56.000000000000526</v>
      </c>
      <c r="AP134" s="16" t="e">
        <f t="shared" si="53"/>
        <v>#N/A</v>
      </c>
      <c r="AQ134" s="16">
        <f t="shared" si="54"/>
        <v>2.2842569098044142E-3</v>
      </c>
      <c r="AR134" s="34">
        <f t="shared" si="67"/>
        <v>0.36732537485659122</v>
      </c>
      <c r="AS134" s="34">
        <f t="shared" si="55"/>
        <v>0.52379578538239002</v>
      </c>
      <c r="AT134" s="540">
        <f t="shared" si="56"/>
        <v>43.200000000000344</v>
      </c>
      <c r="AU134" s="16" t="e">
        <f t="shared" si="57"/>
        <v>#N/A</v>
      </c>
      <c r="AV134" s="16">
        <f t="shared" si="58"/>
        <v>9.8614289204053233E-3</v>
      </c>
      <c r="AW134" s="34">
        <f t="shared" si="68"/>
        <v>0.35392183251678944</v>
      </c>
      <c r="AX134" s="34">
        <f t="shared" si="59"/>
        <v>0.92615171708166599</v>
      </c>
      <c r="AY134" s="16">
        <f t="shared" si="60"/>
        <v>42.500000000000334</v>
      </c>
      <c r="AZ134" s="16" t="e">
        <f t="shared" si="61"/>
        <v>#N/A</v>
      </c>
      <c r="BA134" s="16">
        <f t="shared" si="69"/>
        <v>1.7219711684652635E-2</v>
      </c>
      <c r="BB134" s="34">
        <f t="shared" si="70"/>
        <v>0.37849589623510838</v>
      </c>
      <c r="BC134" s="34">
        <f t="shared" si="62"/>
        <v>0.88279773481190205</v>
      </c>
      <c r="BD134" s="16">
        <f t="shared" si="63"/>
        <v>43.800000000000352</v>
      </c>
      <c r="BE134" s="16" t="e">
        <f t="shared" si="64"/>
        <v>#N/A</v>
      </c>
      <c r="BF134" s="16">
        <f t="shared" si="65"/>
        <v>1.6783148234512907E-2</v>
      </c>
      <c r="BU134" s="16">
        <f t="shared" si="47"/>
        <v>0</v>
      </c>
      <c r="BV134" s="16">
        <f>IF($BY$12=1,NORMDIST(BY134,$Y$6,$Y$8,TRUE),IF($BY$12=2,IF(BY134&lt;=$BX$31,0,IF(BY134&gt;=$BX$32,1,(BY134-$BX$31)*$BX$33)),SUM($BU$42:BU134)/$BV$40))</f>
        <v>2.0675162866070074E-2</v>
      </c>
      <c r="BW134" s="16">
        <f t="shared" si="48"/>
        <v>2.2908040358132469E-2</v>
      </c>
      <c r="BX134" s="16">
        <f>IF($BY$12&lt;3,BV134,SUM($BZ$42:BZ134)/$BX$40)</f>
        <v>2.0675162866070074E-2</v>
      </c>
      <c r="BY134" s="16">
        <f t="shared" si="49"/>
        <v>9.1999999999999833</v>
      </c>
      <c r="BZ134" s="16">
        <f t="shared" si="38"/>
        <v>2.4900043867535338E-3</v>
      </c>
      <c r="CA134" s="16">
        <f t="shared" si="50"/>
        <v>-999</v>
      </c>
      <c r="CB134" s="16" t="str">
        <f t="shared" si="39"/>
        <v/>
      </c>
      <c r="CC134" s="16" t="e">
        <f>IF(CB134="",NA(),COUNTIF(CB134:$CB$704,CB134))</f>
        <v>#N/A</v>
      </c>
      <c r="CD134" s="16" t="e">
        <f t="shared" si="40"/>
        <v>#N/A</v>
      </c>
      <c r="CE134" s="16" t="e">
        <f t="shared" si="41"/>
        <v>#N/A</v>
      </c>
      <c r="CF134" s="16">
        <f t="shared" si="42"/>
        <v>99</v>
      </c>
      <c r="CG134" s="16">
        <f t="shared" si="43"/>
        <v>0</v>
      </c>
      <c r="CH134" s="16">
        <f t="shared" si="71"/>
        <v>0</v>
      </c>
      <c r="CJ134" s="16" t="e">
        <f t="shared" si="45"/>
        <v>#N/A</v>
      </c>
      <c r="CK134" s="16" t="str">
        <f t="shared" si="46"/>
        <v/>
      </c>
    </row>
    <row r="135" spans="1:89" ht="12" customHeight="1">
      <c r="A135" s="211"/>
      <c r="B135" s="211"/>
      <c r="C135" s="211"/>
      <c r="D135" s="211"/>
      <c r="E135" s="211"/>
      <c r="F135" s="211"/>
      <c r="G135" s="211"/>
      <c r="H135" s="211"/>
      <c r="I135" s="211"/>
      <c r="J135" s="211"/>
      <c r="K135" s="211"/>
      <c r="L135" s="211"/>
      <c r="M135" s="211"/>
      <c r="N135" s="211"/>
      <c r="O135" s="211"/>
      <c r="AM135" s="34">
        <f t="shared" si="66"/>
        <v>0.25571197457611561</v>
      </c>
      <c r="AN135" s="34">
        <f t="shared" si="51"/>
        <v>7.0016825571656227E-2</v>
      </c>
      <c r="AO135" s="16">
        <f t="shared" si="52"/>
        <v>36.800000000000253</v>
      </c>
      <c r="AP135" s="16" t="e">
        <f t="shared" si="53"/>
        <v>#N/A</v>
      </c>
      <c r="AQ135" s="16">
        <f t="shared" si="54"/>
        <v>1.123293249045225E-3</v>
      </c>
      <c r="AR135" s="34">
        <f t="shared" si="67"/>
        <v>0.66316911019384861</v>
      </c>
      <c r="AS135" s="34">
        <f t="shared" si="55"/>
        <v>0.72313691861927509</v>
      </c>
      <c r="AT135" s="540">
        <f t="shared" si="56"/>
        <v>58.40000000000056</v>
      </c>
      <c r="AU135" s="16" t="e">
        <f t="shared" si="57"/>
        <v>#N/A</v>
      </c>
      <c r="AV135" s="16">
        <f t="shared" si="58"/>
        <v>1.3206746178331116E-2</v>
      </c>
      <c r="AW135" s="34">
        <f t="shared" si="68"/>
        <v>0.21078898198902607</v>
      </c>
      <c r="AX135" s="34">
        <f t="shared" si="59"/>
        <v>0.56014702655375004</v>
      </c>
      <c r="AY135" s="16">
        <f t="shared" si="60"/>
        <v>33.900000000000212</v>
      </c>
      <c r="AZ135" s="16" t="e">
        <f t="shared" si="61"/>
        <v>#N/A</v>
      </c>
      <c r="BA135" s="16">
        <f t="shared" si="69"/>
        <v>8.0810029307941608E-3</v>
      </c>
      <c r="BB135" s="34">
        <f t="shared" si="70"/>
        <v>0.82448957301676273</v>
      </c>
      <c r="BC135" s="34">
        <f t="shared" si="62"/>
        <v>0.44853207655251026</v>
      </c>
      <c r="BD135" s="16">
        <f t="shared" si="63"/>
        <v>68.600000000000378</v>
      </c>
      <c r="BE135" s="16" t="e">
        <f t="shared" si="64"/>
        <v>#N/A</v>
      </c>
      <c r="BF135" s="16">
        <f t="shared" si="65"/>
        <v>5.805811460218465E-3</v>
      </c>
      <c r="BU135" s="16">
        <f t="shared" si="47"/>
        <v>0</v>
      </c>
      <c r="BV135" s="16">
        <f>IF($BY$12=1,NORMDIST(BY135,$Y$6,$Y$8,TRUE),IF($BY$12=2,IF(BY135&lt;=$BX$31,0,IF(BY135&gt;=$BX$32,1,(BY135-$BX$31)*$BX$33)),SUM($BU$42:BU135)/$BV$40))</f>
        <v>2.0925436490215388E-2</v>
      </c>
      <c r="BW135" s="16">
        <f t="shared" si="48"/>
        <v>2.3394158919588313E-2</v>
      </c>
      <c r="BX135" s="16">
        <f>IF($BY$12&lt;3,BV135,SUM($BZ$42:BZ135)/$BX$40)</f>
        <v>2.0925436490215388E-2</v>
      </c>
      <c r="BY135" s="16">
        <f t="shared" si="49"/>
        <v>9.2999999999999829</v>
      </c>
      <c r="BZ135" s="16">
        <f t="shared" si="38"/>
        <v>2.5155009590955221E-3</v>
      </c>
      <c r="CA135" s="16">
        <f t="shared" si="50"/>
        <v>-999</v>
      </c>
      <c r="CB135" s="16" t="str">
        <f t="shared" si="39"/>
        <v/>
      </c>
      <c r="CC135" s="16" t="e">
        <f>IF(CB135="",NA(),COUNTIF(CB135:$CB$704,CB135))</f>
        <v>#N/A</v>
      </c>
      <c r="CD135" s="16" t="e">
        <f t="shared" si="40"/>
        <v>#N/A</v>
      </c>
      <c r="CE135" s="16" t="e">
        <f t="shared" si="41"/>
        <v>#N/A</v>
      </c>
      <c r="CF135" s="16">
        <f t="shared" si="42"/>
        <v>99</v>
      </c>
      <c r="CG135" s="16">
        <f t="shared" si="43"/>
        <v>0</v>
      </c>
      <c r="CH135" s="16">
        <f t="shared" si="71"/>
        <v>0</v>
      </c>
      <c r="CJ135" s="16" t="e">
        <f t="shared" si="45"/>
        <v>#N/A</v>
      </c>
      <c r="CK135" s="16" t="str">
        <f t="shared" si="46"/>
        <v/>
      </c>
    </row>
    <row r="136" spans="1:89" ht="12" customHeight="1">
      <c r="A136" s="211"/>
      <c r="B136" s="211"/>
      <c r="C136" s="211"/>
      <c r="D136" s="211"/>
      <c r="E136" s="211"/>
      <c r="F136" s="211"/>
      <c r="G136" s="211"/>
      <c r="H136" s="211"/>
      <c r="I136" s="211"/>
      <c r="J136" s="211"/>
      <c r="K136" s="211"/>
      <c r="L136" s="211"/>
      <c r="M136" s="211"/>
      <c r="N136" s="211"/>
      <c r="O136" s="211"/>
      <c r="AM136" s="34">
        <f t="shared" si="66"/>
        <v>0.16593529470264912</v>
      </c>
      <c r="AN136" s="34">
        <f t="shared" si="51"/>
        <v>0.10418532229959965</v>
      </c>
      <c r="AO136" s="16">
        <f t="shared" si="52"/>
        <v>30.500000000000163</v>
      </c>
      <c r="AP136" s="16" t="e">
        <f t="shared" si="53"/>
        <v>#N/A</v>
      </c>
      <c r="AQ136" s="16">
        <f t="shared" si="54"/>
        <v>1.2919955379952746E-3</v>
      </c>
      <c r="AR136" s="34">
        <f t="shared" si="67"/>
        <v>0.58697269298136234</v>
      </c>
      <c r="AS136" s="34">
        <f t="shared" si="55"/>
        <v>0.56045863218605518</v>
      </c>
      <c r="AT136" s="540">
        <f t="shared" si="56"/>
        <v>54.300000000000502</v>
      </c>
      <c r="AU136" s="16" t="e">
        <f t="shared" si="57"/>
        <v>#N/A</v>
      </c>
      <c r="AV136" s="16">
        <f t="shared" si="58"/>
        <v>1.0924108412711971E-2</v>
      </c>
      <c r="AW136" s="34">
        <f t="shared" si="68"/>
        <v>0.54744884558022022</v>
      </c>
      <c r="AX136" s="34">
        <f t="shared" si="59"/>
        <v>0.57263719476759434</v>
      </c>
      <c r="AY136" s="16">
        <f t="shared" si="60"/>
        <v>52.300000000000473</v>
      </c>
      <c r="AZ136" s="16" t="e">
        <f t="shared" si="61"/>
        <v>#N/A</v>
      </c>
      <c r="BA136" s="16">
        <f t="shared" si="69"/>
        <v>1.1347177578159636E-2</v>
      </c>
      <c r="BB136" s="34">
        <f t="shared" si="70"/>
        <v>0.59644209779798985</v>
      </c>
      <c r="BC136" s="34">
        <f t="shared" si="62"/>
        <v>0.73172716982662678</v>
      </c>
      <c r="BD136" s="16">
        <f t="shared" si="63"/>
        <v>54.800000000000509</v>
      </c>
      <c r="BE136" s="16" t="e">
        <f t="shared" si="64"/>
        <v>#N/A</v>
      </c>
      <c r="BF136" s="16">
        <f t="shared" si="65"/>
        <v>1.4181480438160086E-2</v>
      </c>
      <c r="BU136" s="16">
        <f t="shared" si="47"/>
        <v>0</v>
      </c>
      <c r="BV136" s="16">
        <f>IF($BY$12=1,NORMDIST(BY136,$Y$6,$Y$8,TRUE),IF($BY$12=2,IF(BY136&lt;=$BX$31,0,IF(BY136&gt;=$BX$32,1,(BY136-$BX$31)*$BX$33)),SUM($BU$42:BU136)/$BV$40))</f>
        <v>2.1178269642672332E-2</v>
      </c>
      <c r="BW136" s="16">
        <f t="shared" si="48"/>
        <v>2.3887233702034768E-2</v>
      </c>
      <c r="BX136" s="16">
        <f>IF($BY$12&lt;3,BV136,SUM($BZ$42:BZ136)/$BX$40)</f>
        <v>2.1178269642672332E-2</v>
      </c>
      <c r="BY136" s="16">
        <f t="shared" si="49"/>
        <v>9.3999999999999826</v>
      </c>
      <c r="BZ136" s="16">
        <f t="shared" si="38"/>
        <v>2.5411950746845545E-3</v>
      </c>
      <c r="CA136" s="16">
        <f t="shared" si="50"/>
        <v>-999</v>
      </c>
      <c r="CB136" s="16" t="str">
        <f t="shared" si="39"/>
        <v/>
      </c>
      <c r="CC136" s="16" t="e">
        <f>IF(CB136="",NA(),COUNTIF(CB136:$CB$704,CB136))</f>
        <v>#N/A</v>
      </c>
      <c r="CD136" s="16" t="e">
        <f t="shared" si="40"/>
        <v>#N/A</v>
      </c>
      <c r="CE136" s="16" t="e">
        <f t="shared" si="41"/>
        <v>#N/A</v>
      </c>
      <c r="CF136" s="16">
        <f t="shared" si="42"/>
        <v>99</v>
      </c>
      <c r="CG136" s="16">
        <f t="shared" si="43"/>
        <v>0</v>
      </c>
      <c r="CH136" s="16">
        <f t="shared" si="71"/>
        <v>0</v>
      </c>
      <c r="CJ136" s="16" t="e">
        <f t="shared" si="45"/>
        <v>#N/A</v>
      </c>
      <c r="CK136" s="16" t="str">
        <f t="shared" si="46"/>
        <v/>
      </c>
    </row>
    <row r="137" spans="1:89" ht="12" customHeight="1">
      <c r="A137" s="211"/>
      <c r="B137" s="211"/>
      <c r="C137" s="211"/>
      <c r="D137" s="211"/>
      <c r="E137" s="211"/>
      <c r="F137" s="211"/>
      <c r="G137" s="211"/>
      <c r="H137" s="211"/>
      <c r="I137" s="211"/>
      <c r="J137" s="211"/>
      <c r="K137" s="211"/>
      <c r="L137" s="211"/>
      <c r="M137" s="211"/>
      <c r="N137" s="211"/>
      <c r="O137" s="211"/>
      <c r="AM137" s="34">
        <f t="shared" si="66"/>
        <v>0.57740518637001514</v>
      </c>
      <c r="AN137" s="34">
        <f t="shared" si="51"/>
        <v>0.36996757425367832</v>
      </c>
      <c r="AO137" s="16">
        <f t="shared" si="52"/>
        <v>53.900000000000496</v>
      </c>
      <c r="AP137" s="16" t="e">
        <f t="shared" si="53"/>
        <v>#N/A</v>
      </c>
      <c r="AQ137" s="16">
        <f t="shared" si="54"/>
        <v>7.2408026092676226E-3</v>
      </c>
      <c r="AR137" s="34">
        <f t="shared" si="67"/>
        <v>0.60782277025282383</v>
      </c>
      <c r="AS137" s="34">
        <f t="shared" si="55"/>
        <v>0.60422425158321857</v>
      </c>
      <c r="AT137" s="540">
        <f t="shared" si="56"/>
        <v>55.400000000000517</v>
      </c>
      <c r="AU137" s="16" t="e">
        <f t="shared" si="57"/>
        <v>#N/A</v>
      </c>
      <c r="AV137" s="16">
        <f t="shared" si="58"/>
        <v>1.1621125431762016E-2</v>
      </c>
      <c r="AW137" s="34">
        <f t="shared" si="68"/>
        <v>0.39195947535336018</v>
      </c>
      <c r="AX137" s="34">
        <f t="shared" si="59"/>
        <v>0.84900678135454655</v>
      </c>
      <c r="AY137" s="16">
        <f t="shared" si="60"/>
        <v>44.500000000000362</v>
      </c>
      <c r="AZ137" s="16" t="e">
        <f t="shared" si="61"/>
        <v>#N/A</v>
      </c>
      <c r="BA137" s="16">
        <f t="shared" si="69"/>
        <v>1.6306827203836236E-2</v>
      </c>
      <c r="BB137" s="34">
        <f t="shared" si="70"/>
        <v>0.21071947552263737</v>
      </c>
      <c r="BC137" s="34">
        <f t="shared" si="62"/>
        <v>0.49457955546677113</v>
      </c>
      <c r="BD137" s="16">
        <f t="shared" si="63"/>
        <v>33.900000000000212</v>
      </c>
      <c r="BE137" s="16" t="e">
        <f t="shared" si="64"/>
        <v>#N/A</v>
      </c>
      <c r="BF137" s="16">
        <f t="shared" si="65"/>
        <v>7.1350889101869392E-3</v>
      </c>
      <c r="BU137" s="16">
        <f t="shared" si="47"/>
        <v>0</v>
      </c>
      <c r="BV137" s="16">
        <f>IF($BY$12=1,NORMDIST(BY137,$Y$6,$Y$8,TRUE),IF($BY$12=2,IF(BY137&lt;=$BX$31,0,IF(BY137&gt;=$BX$32,1,(BY137-$BX$31)*$BX$33)),SUM($BU$42:BU137)/$BV$40))</f>
        <v>2.1433682114152974E-2</v>
      </c>
      <c r="BW137" s="16">
        <f t="shared" si="48"/>
        <v>2.438733087036541E-2</v>
      </c>
      <c r="BX137" s="16">
        <f>IF($BY$12&lt;3,BV137,SUM($BZ$42:BZ137)/$BX$40)</f>
        <v>2.1433682114152974E-2</v>
      </c>
      <c r="BY137" s="16">
        <f t="shared" si="49"/>
        <v>9.4999999999999822</v>
      </c>
      <c r="BZ137" s="16">
        <f t="shared" si="38"/>
        <v>2.5670874600384691E-3</v>
      </c>
      <c r="CA137" s="16">
        <f t="shared" si="50"/>
        <v>-999</v>
      </c>
      <c r="CB137" s="16" t="str">
        <f t="shared" si="39"/>
        <v/>
      </c>
      <c r="CC137" s="16" t="e">
        <f>IF(CB137="",NA(),COUNTIF(CB137:$CB$704,CB137))</f>
        <v>#N/A</v>
      </c>
      <c r="CD137" s="16" t="e">
        <f t="shared" si="40"/>
        <v>#N/A</v>
      </c>
      <c r="CE137" s="16" t="e">
        <f t="shared" si="41"/>
        <v>#N/A</v>
      </c>
      <c r="CF137" s="16">
        <f t="shared" si="42"/>
        <v>99</v>
      </c>
      <c r="CG137" s="16">
        <f t="shared" si="43"/>
        <v>0</v>
      </c>
      <c r="CH137" s="16">
        <f t="shared" si="71"/>
        <v>0</v>
      </c>
      <c r="CJ137" s="16" t="e">
        <f t="shared" si="45"/>
        <v>#N/A</v>
      </c>
      <c r="CK137" s="16" t="str">
        <f t="shared" si="46"/>
        <v/>
      </c>
    </row>
    <row r="138" spans="1:89" ht="12" customHeight="1">
      <c r="A138" s="211"/>
      <c r="B138" s="211"/>
      <c r="C138" s="211"/>
      <c r="D138" s="211"/>
      <c r="E138" s="211"/>
      <c r="F138" s="211"/>
      <c r="G138" s="211"/>
      <c r="H138" s="211"/>
      <c r="I138" s="211"/>
      <c r="J138" s="211"/>
      <c r="K138" s="211"/>
      <c r="L138" s="211"/>
      <c r="M138" s="211"/>
      <c r="N138" s="211"/>
      <c r="O138" s="211"/>
      <c r="AM138" s="34">
        <f t="shared" si="66"/>
        <v>0.55211524851620197</v>
      </c>
      <c r="AN138" s="34">
        <f t="shared" si="51"/>
        <v>0.66266025044023991</v>
      </c>
      <c r="AO138" s="16">
        <f t="shared" si="52"/>
        <v>52.600000000000477</v>
      </c>
      <c r="AP138" s="16" t="e">
        <f t="shared" si="53"/>
        <v>#N/A</v>
      </c>
      <c r="AQ138" s="16">
        <f t="shared" si="54"/>
        <v>1.3106936702140439E-2</v>
      </c>
      <c r="AR138" s="34">
        <f t="shared" si="67"/>
        <v>0.37074745632708073</v>
      </c>
      <c r="AS138" s="34">
        <f t="shared" si="55"/>
        <v>0.3829877395182848</v>
      </c>
      <c r="AT138" s="540">
        <f t="shared" si="56"/>
        <v>43.400000000000347</v>
      </c>
      <c r="AU138" s="16" t="e">
        <f t="shared" si="57"/>
        <v>#N/A</v>
      </c>
      <c r="AV138" s="16">
        <f t="shared" si="58"/>
        <v>7.2346513546517688E-3</v>
      </c>
      <c r="AW138" s="34">
        <f t="shared" si="68"/>
        <v>0.85063362307846546</v>
      </c>
      <c r="AX138" s="34">
        <f t="shared" si="59"/>
        <v>0.28902175463736057</v>
      </c>
      <c r="AY138" s="16">
        <f t="shared" si="60"/>
        <v>70.700000000000259</v>
      </c>
      <c r="AZ138" s="16" t="e">
        <f t="shared" si="61"/>
        <v>#N/A</v>
      </c>
      <c r="BA138" s="16">
        <f t="shared" si="69"/>
        <v>3.3744037906010306E-3</v>
      </c>
      <c r="BB138" s="34">
        <f t="shared" si="70"/>
        <v>0.98420193232595921</v>
      </c>
      <c r="BC138" s="34">
        <f t="shared" si="62"/>
        <v>0.11788471229374409</v>
      </c>
      <c r="BD138" s="16">
        <f t="shared" si="63"/>
        <v>92.899999999998997</v>
      </c>
      <c r="BE138" s="16" t="e">
        <f t="shared" si="64"/>
        <v>#N/A</v>
      </c>
      <c r="BF138" s="16">
        <f t="shared" si="65"/>
        <v>2.3563384704540993E-4</v>
      </c>
      <c r="BU138" s="16">
        <f t="shared" si="47"/>
        <v>0</v>
      </c>
      <c r="BV138" s="16">
        <f>IF($BY$12=1,NORMDIST(BY138,$Y$6,$Y$8,TRUE),IF($BY$12=2,IF(BY138&lt;=$BX$31,0,IF(BY138&gt;=$BX$32,1,(BY138-$BX$31)*$BX$33)),SUM($BU$42:BU138)/$BV$40))</f>
        <v>2.1691693767646791E-2</v>
      </c>
      <c r="BW138" s="16">
        <f t="shared" si="48"/>
        <v>2.4894516807753765E-2</v>
      </c>
      <c r="BX138" s="16">
        <f>IF($BY$12&lt;3,BV138,SUM($BZ$42:BZ138)/$BX$40)</f>
        <v>2.1691693767646791E-2</v>
      </c>
      <c r="BY138" s="16">
        <f t="shared" si="49"/>
        <v>9.5999999999999819</v>
      </c>
      <c r="BZ138" s="16">
        <f t="shared" si="38"/>
        <v>2.5931788341410221E-3</v>
      </c>
      <c r="CA138" s="16">
        <f t="shared" si="50"/>
        <v>-999</v>
      </c>
      <c r="CB138" s="16" t="str">
        <f t="shared" si="39"/>
        <v/>
      </c>
      <c r="CC138" s="16" t="e">
        <f>IF(CB138="",NA(),COUNTIF(CB138:$CB$704,CB138))</f>
        <v>#N/A</v>
      </c>
      <c r="CD138" s="16" t="e">
        <f t="shared" si="40"/>
        <v>#N/A</v>
      </c>
      <c r="CE138" s="16" t="e">
        <f t="shared" si="41"/>
        <v>#N/A</v>
      </c>
      <c r="CF138" s="16">
        <f t="shared" si="42"/>
        <v>99</v>
      </c>
      <c r="CG138" s="16">
        <f t="shared" si="43"/>
        <v>0</v>
      </c>
      <c r="CH138" s="16">
        <f t="shared" si="71"/>
        <v>0</v>
      </c>
      <c r="CJ138" s="16" t="e">
        <f t="shared" si="45"/>
        <v>#N/A</v>
      </c>
      <c r="CK138" s="16" t="str">
        <f t="shared" si="46"/>
        <v/>
      </c>
    </row>
    <row r="139" spans="1:89" ht="12" customHeight="1">
      <c r="A139" s="211"/>
      <c r="B139" s="211"/>
      <c r="C139" s="211"/>
      <c r="D139" s="211"/>
      <c r="E139" s="211"/>
      <c r="F139" s="211"/>
      <c r="G139" s="211"/>
      <c r="H139" s="211"/>
      <c r="I139" s="211"/>
      <c r="J139" s="211"/>
      <c r="K139" s="211"/>
      <c r="L139" s="211"/>
      <c r="M139" s="211"/>
      <c r="N139" s="211"/>
      <c r="O139" s="211"/>
      <c r="AM139" s="34">
        <f t="shared" si="66"/>
        <v>0.11898565478622913</v>
      </c>
      <c r="AN139" s="34">
        <f t="shared" si="51"/>
        <v>9.4675803557038307E-2</v>
      </c>
      <c r="AO139" s="16">
        <f t="shared" si="52"/>
        <v>26.300000000000104</v>
      </c>
      <c r="AP139" s="16" t="e">
        <f t="shared" si="53"/>
        <v>#N/A</v>
      </c>
      <c r="AQ139" s="16">
        <f t="shared" si="54"/>
        <v>9.3582681580304606E-4</v>
      </c>
      <c r="AR139" s="34">
        <f t="shared" si="67"/>
        <v>0.37402346171438694</v>
      </c>
      <c r="AS139" s="34">
        <f t="shared" si="55"/>
        <v>0.47944887168705463</v>
      </c>
      <c r="AT139" s="540">
        <f t="shared" si="56"/>
        <v>43.500000000000348</v>
      </c>
      <c r="AU139" s="16" t="e">
        <f t="shared" si="57"/>
        <v>#N/A</v>
      </c>
      <c r="AV139" s="16">
        <f t="shared" si="58"/>
        <v>9.0716480722337796E-3</v>
      </c>
      <c r="AW139" s="34">
        <f t="shared" si="68"/>
        <v>0.30365641601383686</v>
      </c>
      <c r="AX139" s="34">
        <f t="shared" si="59"/>
        <v>0.10767177678644657</v>
      </c>
      <c r="AY139" s="16">
        <f t="shared" si="60"/>
        <v>39.700000000000294</v>
      </c>
      <c r="AZ139" s="16" t="e">
        <f t="shared" si="61"/>
        <v>#N/A</v>
      </c>
      <c r="BA139" s="16">
        <f t="shared" si="69"/>
        <v>1.8810012015145446E-3</v>
      </c>
      <c r="BB139" s="34">
        <f t="shared" si="70"/>
        <v>0.65543870069086552</v>
      </c>
      <c r="BC139" s="34">
        <f t="shared" si="62"/>
        <v>0.52761176414787769</v>
      </c>
      <c r="BD139" s="16">
        <f t="shared" si="63"/>
        <v>58.000000000000554</v>
      </c>
      <c r="BE139" s="16" t="e">
        <f t="shared" si="64"/>
        <v>#N/A</v>
      </c>
      <c r="BF139" s="16">
        <f t="shared" si="65"/>
        <v>9.7151829204210338E-3</v>
      </c>
      <c r="BU139" s="16">
        <f t="shared" si="47"/>
        <v>0</v>
      </c>
      <c r="BV139" s="16">
        <f>IF($BY$12=1,NORMDIST(BY139,$Y$6,$Y$8,TRUE),IF($BY$12=2,IF(BY139&lt;=$BX$31,0,IF(BY139&gt;=$BX$32,1,(BY139-$BX$31)*$BX$33)),SUM($BU$42:BU139)/$BV$40))</f>
        <v>2.1952324537658274E-2</v>
      </c>
      <c r="BW139" s="16">
        <f t="shared" si="48"/>
        <v>2.5408858110440875E-2</v>
      </c>
      <c r="BX139" s="16">
        <f>IF($BY$12&lt;3,BV139,SUM($BZ$42:BZ139)/$BX$40)</f>
        <v>2.1952324537658274E-2</v>
      </c>
      <c r="BY139" s="16">
        <f t="shared" ref="BY139:BY170" si="72">BY138+$BZ$1</f>
        <v>9.6999999999999815</v>
      </c>
      <c r="BZ139" s="16">
        <f t="shared" si="38"/>
        <v>2.6194699082928785E-3</v>
      </c>
      <c r="CA139" s="16">
        <f t="shared" si="50"/>
        <v>-999</v>
      </c>
      <c r="CB139" s="16" t="str">
        <f t="shared" si="39"/>
        <v/>
      </c>
      <c r="CC139" s="16" t="e">
        <f>IF(CB139="",NA(),COUNTIF(CB139:$CB$704,CB139))</f>
        <v>#N/A</v>
      </c>
      <c r="CD139" s="16" t="e">
        <f t="shared" si="40"/>
        <v>#N/A</v>
      </c>
      <c r="CE139" s="16" t="e">
        <f t="shared" si="41"/>
        <v>#N/A</v>
      </c>
      <c r="CF139" s="16">
        <f t="shared" si="42"/>
        <v>99</v>
      </c>
      <c r="CG139" s="16">
        <f t="shared" si="43"/>
        <v>0</v>
      </c>
      <c r="CH139" s="16">
        <f t="shared" si="71"/>
        <v>0</v>
      </c>
      <c r="CJ139" s="16" t="e">
        <f t="shared" si="45"/>
        <v>#N/A</v>
      </c>
      <c r="CK139" s="16" t="str">
        <f t="shared" si="46"/>
        <v/>
      </c>
    </row>
    <row r="140" spans="1:89" ht="12" customHeight="1">
      <c r="A140" s="211"/>
      <c r="B140" s="211"/>
      <c r="C140" s="211"/>
      <c r="D140" s="211"/>
      <c r="E140" s="211"/>
      <c r="F140" s="211"/>
      <c r="G140" s="211"/>
      <c r="H140" s="211"/>
      <c r="I140" s="211"/>
      <c r="J140" s="211"/>
      <c r="K140" s="211"/>
      <c r="L140" s="211"/>
      <c r="M140" s="211"/>
      <c r="N140" s="211"/>
      <c r="O140" s="211"/>
      <c r="AM140" s="34">
        <f t="shared" si="66"/>
        <v>0.26635582931339741</v>
      </c>
      <c r="AN140" s="34">
        <f t="shared" si="51"/>
        <v>0.75575975514948368</v>
      </c>
      <c r="AO140" s="16">
        <f t="shared" si="52"/>
        <v>37.500000000000263</v>
      </c>
      <c r="AP140" s="16" t="e">
        <f t="shared" si="53"/>
        <v>#N/A</v>
      </c>
      <c r="AQ140" s="16">
        <f t="shared" si="54"/>
        <v>1.2400542662062542E-2</v>
      </c>
      <c r="AR140" s="34">
        <f t="shared" si="67"/>
        <v>0.94970587827265263</v>
      </c>
      <c r="AS140" s="34">
        <f t="shared" si="55"/>
        <v>0.12890294380486012</v>
      </c>
      <c r="AT140" s="540">
        <f t="shared" si="56"/>
        <v>82.799999999999571</v>
      </c>
      <c r="AU140" s="16" t="e">
        <f t="shared" si="57"/>
        <v>#N/A</v>
      </c>
      <c r="AV140" s="16">
        <f t="shared" si="58"/>
        <v>6.7004456145279328E-4</v>
      </c>
      <c r="AW140" s="34">
        <f t="shared" si="68"/>
        <v>0.1675975639373064</v>
      </c>
      <c r="AX140" s="34">
        <f t="shared" si="59"/>
        <v>0.81814139522612095</v>
      </c>
      <c r="AY140" s="16">
        <f t="shared" si="60"/>
        <v>30.700000000000166</v>
      </c>
      <c r="AZ140" s="16" t="e">
        <f t="shared" si="61"/>
        <v>#N/A</v>
      </c>
      <c r="BA140" s="16">
        <f t="shared" si="69"/>
        <v>1.0244611599078473E-2</v>
      </c>
      <c r="BB140" s="34">
        <f t="shared" si="70"/>
        <v>0.50043171085417271</v>
      </c>
      <c r="BC140" s="34">
        <f t="shared" si="62"/>
        <v>0.61415396817028522</v>
      </c>
      <c r="BD140" s="16">
        <f t="shared" si="63"/>
        <v>50.000000000000441</v>
      </c>
      <c r="BE140" s="16" t="e">
        <f t="shared" si="64"/>
        <v>#N/A</v>
      </c>
      <c r="BF140" s="16">
        <f t="shared" si="65"/>
        <v>1.2250599228972125E-2</v>
      </c>
      <c r="BU140" s="16">
        <f t="shared" si="47"/>
        <v>0</v>
      </c>
      <c r="BV140" s="16">
        <f>IF($BY$12=1,NORMDIST(BY140,$Y$6,$Y$8,TRUE),IF($BY$12=2,IF(BY140&lt;=$BX$31,0,IF(BY140&gt;=$BX$32,1,(BY140-$BX$31)*$BX$33)),SUM($BU$42:BU140)/$BV$40))</f>
        <v>2.2215594429431551E-2</v>
      </c>
      <c r="BW140" s="16">
        <f t="shared" si="48"/>
        <v>2.5930421582427643E-2</v>
      </c>
      <c r="BX140" s="16">
        <f>IF($BY$12&lt;3,BV140,SUM($BZ$42:BZ140)/$BX$40)</f>
        <v>2.2215594429431551E-2</v>
      </c>
      <c r="BY140" s="16">
        <f t="shared" si="72"/>
        <v>9.7999999999999812</v>
      </c>
      <c r="BZ140" s="16">
        <f t="shared" si="38"/>
        <v>2.6459613859620094E-3</v>
      </c>
      <c r="CA140" s="16">
        <f t="shared" si="50"/>
        <v>-999</v>
      </c>
      <c r="CB140" s="16" t="str">
        <f t="shared" si="39"/>
        <v/>
      </c>
      <c r="CC140" s="16" t="e">
        <f>IF(CB140="",NA(),COUNTIF(CB140:$CB$704,CB140))</f>
        <v>#N/A</v>
      </c>
      <c r="CD140" s="16" t="e">
        <f t="shared" si="40"/>
        <v>#N/A</v>
      </c>
      <c r="CE140" s="16" t="e">
        <f t="shared" si="41"/>
        <v>#N/A</v>
      </c>
      <c r="CF140" s="16">
        <f t="shared" si="42"/>
        <v>99</v>
      </c>
      <c r="CG140" s="16">
        <f t="shared" si="43"/>
        <v>0</v>
      </c>
      <c r="CH140" s="16">
        <f t="shared" si="71"/>
        <v>0</v>
      </c>
      <c r="CJ140" s="16" t="e">
        <f t="shared" si="45"/>
        <v>#N/A</v>
      </c>
      <c r="CK140" s="16" t="str">
        <f t="shared" si="46"/>
        <v/>
      </c>
    </row>
    <row r="141" spans="1:89" ht="12" customHeight="1">
      <c r="A141" s="211"/>
      <c r="B141" s="211"/>
      <c r="C141" s="211"/>
      <c r="D141" s="211"/>
      <c r="E141" s="211"/>
      <c r="F141" s="211"/>
      <c r="G141" s="211"/>
      <c r="H141" s="211"/>
      <c r="I141" s="211"/>
      <c r="J141" s="211"/>
      <c r="K141" s="211"/>
      <c r="L141" s="211"/>
      <c r="M141" s="211"/>
      <c r="N141" s="211"/>
      <c r="O141" s="211"/>
      <c r="AM141" s="34">
        <f t="shared" si="66"/>
        <v>0.37637165375053883</v>
      </c>
      <c r="AN141" s="34">
        <f t="shared" si="51"/>
        <v>0.43033688701689243</v>
      </c>
      <c r="AO141" s="16">
        <f t="shared" si="52"/>
        <v>43.60000000000035</v>
      </c>
      <c r="AP141" s="16" t="e">
        <f t="shared" si="53"/>
        <v>#N/A</v>
      </c>
      <c r="AQ141" s="16">
        <f t="shared" si="54"/>
        <v>8.1555408354464683E-3</v>
      </c>
      <c r="AR141" s="34">
        <f t="shared" si="67"/>
        <v>0.11378687061369419</v>
      </c>
      <c r="AS141" s="34">
        <f t="shared" si="55"/>
        <v>0.18536625988781452</v>
      </c>
      <c r="AT141" s="540">
        <f t="shared" si="56"/>
        <v>25.800000000000097</v>
      </c>
      <c r="AU141" s="16" t="e">
        <f t="shared" si="57"/>
        <v>#N/A</v>
      </c>
      <c r="AV141" s="16">
        <f t="shared" si="58"/>
        <v>1.7782199650378781E-3</v>
      </c>
      <c r="AW141" s="34">
        <f t="shared" si="68"/>
        <v>0.58809934742748737</v>
      </c>
      <c r="AX141" s="34">
        <f t="shared" si="59"/>
        <v>0.11956639029085636</v>
      </c>
      <c r="AY141" s="16">
        <f t="shared" si="60"/>
        <v>54.400000000000503</v>
      </c>
      <c r="AZ141" s="16" t="e">
        <f t="shared" si="61"/>
        <v>#N/A</v>
      </c>
      <c r="BA141" s="16">
        <f t="shared" si="69"/>
        <v>2.3279800904723613E-3</v>
      </c>
      <c r="BB141" s="34">
        <f t="shared" si="70"/>
        <v>0.66570443846285343</v>
      </c>
      <c r="BC141" s="34">
        <f t="shared" si="62"/>
        <v>3.8786234334111214E-2</v>
      </c>
      <c r="BD141" s="16">
        <f t="shared" si="63"/>
        <v>58.500000000000561</v>
      </c>
      <c r="BE141" s="16" t="e">
        <f t="shared" si="64"/>
        <v>#N/A</v>
      </c>
      <c r="BF141" s="16">
        <f t="shared" si="65"/>
        <v>7.068633535017388E-4</v>
      </c>
      <c r="BU141" s="16">
        <f t="shared" si="47"/>
        <v>0</v>
      </c>
      <c r="BV141" s="16">
        <f>IF($BY$12=1,NORMDIST(BY141,$Y$6,$Y$8,TRUE),IF($BY$12=2,IF(BY141&lt;=$BX$31,0,IF(BY141&gt;=$BX$32,1,(BY141-$BX$31)*$BX$33)),SUM($BU$42:BU141)/$BV$40))</f>
        <v>2.2481523518159574E-2</v>
      </c>
      <c r="BW141" s="16">
        <f t="shared" si="48"/>
        <v>2.6459274230072539E-2</v>
      </c>
      <c r="BX141" s="16">
        <f>IF($BY$12&lt;3,BV141,SUM($BZ$42:BZ141)/$BX$40)</f>
        <v>2.2481523518159574E-2</v>
      </c>
      <c r="BY141" s="16">
        <f t="shared" si="72"/>
        <v>9.8999999999999808</v>
      </c>
      <c r="BZ141" s="16">
        <f t="shared" si="38"/>
        <v>2.6726539626335949E-3</v>
      </c>
      <c r="CA141" s="16">
        <f t="shared" si="50"/>
        <v>-999</v>
      </c>
      <c r="CB141" s="16" t="str">
        <f t="shared" si="39"/>
        <v/>
      </c>
      <c r="CC141" s="16" t="e">
        <f>IF(CB141="",NA(),COUNTIF(CB141:$CB$704,CB141))</f>
        <v>#N/A</v>
      </c>
      <c r="CD141" s="16" t="e">
        <f t="shared" si="40"/>
        <v>#N/A</v>
      </c>
      <c r="CE141" s="16" t="e">
        <f t="shared" si="41"/>
        <v>#N/A</v>
      </c>
      <c r="CF141" s="16">
        <f t="shared" si="42"/>
        <v>99</v>
      </c>
      <c r="CG141" s="16">
        <f t="shared" si="43"/>
        <v>0</v>
      </c>
      <c r="CH141" s="16">
        <f t="shared" si="71"/>
        <v>0</v>
      </c>
      <c r="CJ141" s="16" t="e">
        <f t="shared" si="45"/>
        <v>#N/A</v>
      </c>
      <c r="CK141" s="16" t="str">
        <f t="shared" si="46"/>
        <v/>
      </c>
    </row>
    <row r="142" spans="1:89" ht="12" customHeight="1">
      <c r="A142" s="211"/>
      <c r="B142" s="211"/>
      <c r="C142" s="211"/>
      <c r="D142" s="211"/>
      <c r="E142" s="211"/>
      <c r="F142" s="211"/>
      <c r="G142" s="211"/>
      <c r="H142" s="211"/>
      <c r="I142" s="211"/>
      <c r="J142" s="211"/>
      <c r="K142" s="211"/>
      <c r="L142" s="211"/>
      <c r="M142" s="211"/>
      <c r="N142" s="211"/>
      <c r="O142" s="211"/>
      <c r="AM142" s="34">
        <f t="shared" si="66"/>
        <v>0.46454845555126667</v>
      </c>
      <c r="AN142" s="34">
        <f t="shared" si="51"/>
        <v>0.59464258886873722</v>
      </c>
      <c r="AO142" s="16">
        <f t="shared" si="52"/>
        <v>48.200000000000415</v>
      </c>
      <c r="AP142" s="16" t="e">
        <f t="shared" si="53"/>
        <v>#N/A</v>
      </c>
      <c r="AQ142" s="16">
        <f t="shared" si="54"/>
        <v>1.1813461984236549E-2</v>
      </c>
      <c r="AR142" s="34">
        <f t="shared" si="67"/>
        <v>8.6395237594842911E-3</v>
      </c>
      <c r="AS142" s="34">
        <f t="shared" si="55"/>
        <v>0.34990865178406239</v>
      </c>
      <c r="AT142" s="540">
        <f t="shared" si="56"/>
        <v>2.3000000000000007</v>
      </c>
      <c r="AU142" s="16" t="e">
        <f t="shared" si="57"/>
        <v>#N/A</v>
      </c>
      <c r="AV142" s="16">
        <f t="shared" si="58"/>
        <v>4.0611813806839555E-4</v>
      </c>
      <c r="AW142" s="34">
        <f t="shared" si="68"/>
        <v>0.4572716373950243</v>
      </c>
      <c r="AX142" s="34">
        <f t="shared" si="59"/>
        <v>0.31848152913153172</v>
      </c>
      <c r="AY142" s="16">
        <f t="shared" si="60"/>
        <v>47.800000000000409</v>
      </c>
      <c r="AZ142" s="16" t="e">
        <f t="shared" si="61"/>
        <v>#N/A</v>
      </c>
      <c r="BA142" s="16">
        <f t="shared" si="69"/>
        <v>6.3144690410939716E-3</v>
      </c>
      <c r="BB142" s="34">
        <f t="shared" si="70"/>
        <v>0.8475621584802866</v>
      </c>
      <c r="BC142" s="34">
        <f t="shared" si="62"/>
        <v>0.60311092622578144</v>
      </c>
      <c r="BD142" s="16">
        <f t="shared" si="63"/>
        <v>70.50000000000027</v>
      </c>
      <c r="BE142" s="16" t="e">
        <f t="shared" si="64"/>
        <v>#N/A</v>
      </c>
      <c r="BF142" s="16">
        <f t="shared" si="65"/>
        <v>7.1143781673900907E-3</v>
      </c>
      <c r="BU142" s="16">
        <f t="shared" si="47"/>
        <v>0</v>
      </c>
      <c r="BV142" s="16">
        <f>IF($BY$12=1,NORMDIST(BY142,$Y$6,$Y$8,TRUE),IF($BY$12=2,IF(BY142&lt;=$BX$31,0,IF(BY142&gt;=$BX$32,1,(BY142-$BX$31)*$BX$33)),SUM($BU$42:BU142)/$BV$40))</f>
        <v>2.2750131948179209E-2</v>
      </c>
      <c r="BW142" s="16">
        <f t="shared" si="48"/>
        <v>2.6995483256593913E-2</v>
      </c>
      <c r="BX142" s="16">
        <f>IF($BY$12&lt;3,BV142,SUM($BZ$42:BZ142)/$BX$40)</f>
        <v>2.2750131948179209E-2</v>
      </c>
      <c r="BY142" s="16">
        <f t="shared" si="72"/>
        <v>9.9999999999999805</v>
      </c>
      <c r="BZ142" s="16">
        <f t="shared" si="38"/>
        <v>2.6995483256593965E-3</v>
      </c>
      <c r="CA142" s="16">
        <f t="shared" si="50"/>
        <v>-999</v>
      </c>
      <c r="CB142" s="16" t="str">
        <f t="shared" si="39"/>
        <v/>
      </c>
      <c r="CC142" s="16" t="e">
        <f>IF(CB142="",NA(),COUNTIF(CB142:$CB$704,CB142))</f>
        <v>#N/A</v>
      </c>
      <c r="CD142" s="16" t="e">
        <f t="shared" si="40"/>
        <v>#N/A</v>
      </c>
      <c r="CE142" s="16" t="e">
        <f t="shared" si="41"/>
        <v>#N/A</v>
      </c>
      <c r="CF142" s="16">
        <f t="shared" si="42"/>
        <v>99</v>
      </c>
      <c r="CG142" s="16">
        <f t="shared" si="43"/>
        <v>0</v>
      </c>
      <c r="CH142" s="16">
        <f t="shared" si="71"/>
        <v>0</v>
      </c>
      <c r="CJ142" s="16" t="e">
        <f t="shared" si="45"/>
        <v>#N/A</v>
      </c>
      <c r="CK142" s="16" t="str">
        <f t="shared" si="46"/>
        <v/>
      </c>
    </row>
    <row r="143" spans="1:89" ht="12" customHeight="1">
      <c r="A143" s="211"/>
      <c r="B143" s="211"/>
      <c r="C143" s="211"/>
      <c r="D143" s="211"/>
      <c r="E143" s="211"/>
      <c r="F143" s="211"/>
      <c r="G143" s="211"/>
      <c r="H143" s="211"/>
      <c r="I143" s="211"/>
      <c r="J143" s="211"/>
      <c r="K143" s="211"/>
      <c r="L143" s="211"/>
      <c r="M143" s="211"/>
      <c r="N143" s="211"/>
      <c r="O143" s="211"/>
      <c r="AM143" s="34">
        <f t="shared" si="66"/>
        <v>0.61904102750122547</v>
      </c>
      <c r="AN143" s="34">
        <f t="shared" si="51"/>
        <v>0.32254561223089695</v>
      </c>
      <c r="AO143" s="16">
        <f t="shared" si="52"/>
        <v>56.000000000000526</v>
      </c>
      <c r="AP143" s="16" t="e">
        <f t="shared" si="53"/>
        <v>#N/A</v>
      </c>
      <c r="AQ143" s="16">
        <f t="shared" si="54"/>
        <v>6.1507483217559059E-3</v>
      </c>
      <c r="AR143" s="34">
        <f t="shared" si="67"/>
        <v>6.6653097048401833E-2</v>
      </c>
      <c r="AS143" s="34">
        <f t="shared" si="55"/>
        <v>0.83697427995502949</v>
      </c>
      <c r="AT143" s="540">
        <f t="shared" si="56"/>
        <v>19.900000000000013</v>
      </c>
      <c r="AU143" s="16" t="e">
        <f t="shared" si="57"/>
        <v>#N/A</v>
      </c>
      <c r="AV143" s="16">
        <f t="shared" si="58"/>
        <v>5.3795785485885404E-3</v>
      </c>
      <c r="AW143" s="34">
        <f t="shared" si="68"/>
        <v>0.43157519586384296</v>
      </c>
      <c r="AX143" s="34">
        <f t="shared" si="59"/>
        <v>0.56911597587168217</v>
      </c>
      <c r="AY143" s="16">
        <f t="shared" si="60"/>
        <v>46.500000000000391</v>
      </c>
      <c r="AZ143" s="16" t="e">
        <f t="shared" si="61"/>
        <v>#N/A</v>
      </c>
      <c r="BA143" s="16">
        <f t="shared" si="69"/>
        <v>1.1179714498856085E-2</v>
      </c>
      <c r="BB143" s="34">
        <f t="shared" si="70"/>
        <v>0.10269985534250736</v>
      </c>
      <c r="BC143" s="34">
        <f t="shared" si="62"/>
        <v>0.88852319307625294</v>
      </c>
      <c r="BD143" s="16">
        <f t="shared" si="63"/>
        <v>24.60000000000008</v>
      </c>
      <c r="BE143" s="16" t="e">
        <f t="shared" si="64"/>
        <v>#N/A</v>
      </c>
      <c r="BF143" s="16">
        <f t="shared" si="65"/>
        <v>7.9124695896004796E-3</v>
      </c>
      <c r="BU143" s="16">
        <f t="shared" si="47"/>
        <v>0</v>
      </c>
      <c r="BV143" s="16">
        <f>IF($BY$12=1,NORMDIST(BY143,$Y$6,$Y$8,TRUE),IF($BY$12=2,IF(BY143&lt;=$BX$31,0,IF(BY143&gt;=$BX$32,1,(BY143-$BX$31)*$BX$33)),SUM($BU$42:BU143)/$BV$40))</f>
        <v>2.3021439932148224E-2</v>
      </c>
      <c r="BW143" s="16">
        <f t="shared" si="48"/>
        <v>2.7539116056476742E-2</v>
      </c>
      <c r="BX143" s="16">
        <f>IF($BY$12&lt;3,BV143,SUM($BZ$42:BZ143)/$BX$40)</f>
        <v>2.3021439932148224E-2</v>
      </c>
      <c r="BY143" s="16">
        <f t="shared" si="72"/>
        <v>10.09999999999998</v>
      </c>
      <c r="BZ143" s="16">
        <f t="shared" si="38"/>
        <v>2.7266451541066135E-3</v>
      </c>
      <c r="CA143" s="16">
        <f t="shared" si="50"/>
        <v>-999</v>
      </c>
      <c r="CB143" s="16" t="str">
        <f t="shared" si="39"/>
        <v/>
      </c>
      <c r="CC143" s="16" t="e">
        <f>IF(CB143="",NA(),COUNTIF(CB143:$CB$704,CB143))</f>
        <v>#N/A</v>
      </c>
      <c r="CD143" s="16" t="e">
        <f t="shared" si="40"/>
        <v>#N/A</v>
      </c>
      <c r="CE143" s="16" t="e">
        <f t="shared" si="41"/>
        <v>#N/A</v>
      </c>
      <c r="CF143" s="16">
        <f t="shared" si="42"/>
        <v>99</v>
      </c>
      <c r="CG143" s="16">
        <f t="shared" si="43"/>
        <v>0</v>
      </c>
      <c r="CH143" s="16">
        <f t="shared" si="71"/>
        <v>0</v>
      </c>
      <c r="CJ143" s="16" t="e">
        <f t="shared" si="45"/>
        <v>#N/A</v>
      </c>
      <c r="CK143" s="16" t="str">
        <f t="shared" si="46"/>
        <v/>
      </c>
    </row>
    <row r="144" spans="1:89" ht="12" customHeight="1">
      <c r="A144" s="211"/>
      <c r="B144" s="211"/>
      <c r="C144" s="211"/>
      <c r="D144" s="211"/>
      <c r="E144" s="211"/>
      <c r="F144" s="211"/>
      <c r="G144" s="211"/>
      <c r="H144" s="211"/>
      <c r="I144" s="211"/>
      <c r="J144" s="211"/>
      <c r="K144" s="211"/>
      <c r="L144" s="211"/>
      <c r="M144" s="211"/>
      <c r="N144" s="211"/>
      <c r="O144" s="211"/>
      <c r="AM144" s="34">
        <f t="shared" si="66"/>
        <v>0.31540192849934101</v>
      </c>
      <c r="AN144" s="34">
        <f t="shared" si="51"/>
        <v>0.38521848060190678</v>
      </c>
      <c r="AO144" s="16">
        <f t="shared" si="52"/>
        <v>40.300000000000303</v>
      </c>
      <c r="AP144" s="16" t="e">
        <f t="shared" si="53"/>
        <v>#N/A</v>
      </c>
      <c r="AQ144" s="16">
        <f t="shared" si="54"/>
        <v>6.8313844110314452E-3</v>
      </c>
      <c r="AR144" s="34">
        <f t="shared" si="67"/>
        <v>0.68021593429148197</v>
      </c>
      <c r="AS144" s="34">
        <f t="shared" si="55"/>
        <v>0.18572196550667286</v>
      </c>
      <c r="AT144" s="540">
        <f t="shared" si="56"/>
        <v>59.300000000000573</v>
      </c>
      <c r="AU144" s="16" t="e">
        <f t="shared" si="57"/>
        <v>#N/A</v>
      </c>
      <c r="AV144" s="16">
        <f t="shared" si="58"/>
        <v>3.3249925699668204E-3</v>
      </c>
      <c r="AW144" s="34">
        <f t="shared" si="68"/>
        <v>0.1572245080024004</v>
      </c>
      <c r="AX144" s="34">
        <f t="shared" si="59"/>
        <v>0.12394260801374912</v>
      </c>
      <c r="AY144" s="16">
        <f t="shared" si="60"/>
        <v>29.800000000000153</v>
      </c>
      <c r="AZ144" s="16" t="e">
        <f t="shared" si="61"/>
        <v>#N/A</v>
      </c>
      <c r="BA144" s="16">
        <f t="shared" si="69"/>
        <v>1.4845293902483348E-3</v>
      </c>
      <c r="BB144" s="34">
        <f t="shared" si="70"/>
        <v>0.48156403936445713</v>
      </c>
      <c r="BC144" s="34">
        <f t="shared" si="62"/>
        <v>0.65397708304226398</v>
      </c>
      <c r="BD144" s="16">
        <f t="shared" si="63"/>
        <v>49.000000000000426</v>
      </c>
      <c r="BE144" s="16" t="e">
        <f t="shared" si="64"/>
        <v>#N/A</v>
      </c>
      <c r="BF144" s="16">
        <f t="shared" si="65"/>
        <v>1.3028659434781821E-2</v>
      </c>
      <c r="BU144" s="16">
        <f t="shared" si="47"/>
        <v>0</v>
      </c>
      <c r="BV144" s="16">
        <f>IF($BY$12=1,NORMDIST(BY144,$Y$6,$Y$8,TRUE),IF($BY$12=2,IF(BY144&lt;=$BX$31,0,IF(BY144&gt;=$BX$32,1,(BY144-$BX$31)*$BX$33)),SUM($BU$42:BU144)/$BV$40))</f>
        <v>2.329546775021174E-2</v>
      </c>
      <c r="BW144" s="16">
        <f t="shared" si="48"/>
        <v>2.8090240209784026E-2</v>
      </c>
      <c r="BX144" s="16">
        <f>IF($BY$12&lt;3,BV144,SUM($BZ$42:BZ144)/$BX$40)</f>
        <v>2.329546775021174E-2</v>
      </c>
      <c r="BY144" s="16">
        <f t="shared" si="72"/>
        <v>10.19999999999998</v>
      </c>
      <c r="BZ144" s="16">
        <f t="shared" si="38"/>
        <v>2.7539451186062826E-3</v>
      </c>
      <c r="CA144" s="16">
        <f t="shared" si="50"/>
        <v>-999</v>
      </c>
      <c r="CB144" s="16" t="str">
        <f t="shared" si="39"/>
        <v/>
      </c>
      <c r="CC144" s="16" t="e">
        <f>IF(CB144="",NA(),COUNTIF(CB144:$CB$704,CB144))</f>
        <v>#N/A</v>
      </c>
      <c r="CD144" s="16" t="e">
        <f t="shared" si="40"/>
        <v>#N/A</v>
      </c>
      <c r="CE144" s="16" t="e">
        <f t="shared" si="41"/>
        <v>#N/A</v>
      </c>
      <c r="CF144" s="16">
        <f t="shared" si="42"/>
        <v>99</v>
      </c>
      <c r="CG144" s="16">
        <f t="shared" si="43"/>
        <v>0</v>
      </c>
      <c r="CH144" s="16">
        <f t="shared" si="71"/>
        <v>0</v>
      </c>
      <c r="CJ144" s="16" t="e">
        <f t="shared" si="45"/>
        <v>#N/A</v>
      </c>
      <c r="CK144" s="16" t="str">
        <f t="shared" si="46"/>
        <v/>
      </c>
    </row>
    <row r="145" spans="1:89" ht="12" customHeight="1">
      <c r="A145" s="211"/>
      <c r="B145" s="211"/>
      <c r="C145" s="211"/>
      <c r="D145" s="211"/>
      <c r="E145" s="211"/>
      <c r="F145" s="211"/>
      <c r="G145" s="211"/>
      <c r="H145" s="211"/>
      <c r="I145" s="211"/>
      <c r="J145" s="211"/>
      <c r="K145" s="211"/>
      <c r="L145" s="211"/>
      <c r="M145" s="211"/>
      <c r="N145" s="211"/>
      <c r="O145" s="211"/>
      <c r="AM145" s="34">
        <f t="shared" si="66"/>
        <v>0.81385931558907032</v>
      </c>
      <c r="AN145" s="34">
        <f t="shared" si="51"/>
        <v>0.73606180585920811</v>
      </c>
      <c r="AO145" s="16">
        <f t="shared" si="52"/>
        <v>67.800000000000423</v>
      </c>
      <c r="AP145" s="16" t="e">
        <f t="shared" si="53"/>
        <v>#N/A</v>
      </c>
      <c r="AQ145" s="16">
        <f t="shared" si="54"/>
        <v>9.8807980599542999E-3</v>
      </c>
      <c r="AR145" s="34">
        <f t="shared" si="67"/>
        <v>6.9452280178666115E-2</v>
      </c>
      <c r="AS145" s="34">
        <f t="shared" si="55"/>
        <v>0.70466630347073078</v>
      </c>
      <c r="AT145" s="540">
        <f t="shared" si="56"/>
        <v>20.40000000000002</v>
      </c>
      <c r="AU145" s="16" t="e">
        <f t="shared" si="57"/>
        <v>#N/A</v>
      </c>
      <c r="AV145" s="16">
        <f t="shared" si="58"/>
        <v>4.7013681193823157E-3</v>
      </c>
      <c r="AW145" s="34">
        <f t="shared" si="68"/>
        <v>0.69139139540493488</v>
      </c>
      <c r="AX145" s="34">
        <f t="shared" si="59"/>
        <v>0.94213748909533024</v>
      </c>
      <c r="AY145" s="16">
        <f t="shared" si="60"/>
        <v>59.900000000000581</v>
      </c>
      <c r="AZ145" s="16" t="e">
        <f t="shared" si="61"/>
        <v>#N/A</v>
      </c>
      <c r="BA145" s="16">
        <f t="shared" si="69"/>
        <v>1.6626002934690683E-2</v>
      </c>
      <c r="BB145" s="34">
        <f t="shared" si="70"/>
        <v>0.33212471939623356</v>
      </c>
      <c r="BC145" s="34">
        <f t="shared" si="62"/>
        <v>0.51158368773758411</v>
      </c>
      <c r="BD145" s="16">
        <f t="shared" si="63"/>
        <v>41.300000000000317</v>
      </c>
      <c r="BE145" s="16" t="e">
        <f t="shared" si="64"/>
        <v>#N/A</v>
      </c>
      <c r="BF145" s="16">
        <f t="shared" si="65"/>
        <v>9.2834001729704182E-3</v>
      </c>
      <c r="BU145" s="16">
        <f t="shared" si="47"/>
        <v>0</v>
      </c>
      <c r="BV145" s="16">
        <f>IF($BY$12=1,NORMDIST(BY145,$Y$6,$Y$8,TRUE),IF($BY$12=2,IF(BY145&lt;=$BX$31,0,IF(BY145&gt;=$BX$32,1,(BY145-$BX$31)*$BX$33)),SUM($BU$42:BU145)/$BV$40))</f>
        <v>2.3572235749149129E-2</v>
      </c>
      <c r="BW145" s="16">
        <f t="shared" si="48"/>
        <v>2.8648923476372302E-2</v>
      </c>
      <c r="BX145" s="16">
        <f>IF($BY$12&lt;3,BV145,SUM($BZ$42:BZ145)/$BX$40)</f>
        <v>2.3572235749149129E-2</v>
      </c>
      <c r="BY145" s="16">
        <f t="shared" si="72"/>
        <v>10.299999999999979</v>
      </c>
      <c r="BZ145" s="16">
        <f t="shared" si="38"/>
        <v>2.7814488812011998E-3</v>
      </c>
      <c r="CA145" s="16">
        <f t="shared" si="50"/>
        <v>-999</v>
      </c>
      <c r="CB145" s="16" t="str">
        <f t="shared" si="39"/>
        <v/>
      </c>
      <c r="CC145" s="16" t="e">
        <f>IF(CB145="",NA(),COUNTIF(CB145:$CB$704,CB145))</f>
        <v>#N/A</v>
      </c>
      <c r="CD145" s="16" t="e">
        <f t="shared" si="40"/>
        <v>#N/A</v>
      </c>
      <c r="CE145" s="16" t="e">
        <f t="shared" si="41"/>
        <v>#N/A</v>
      </c>
      <c r="CF145" s="16">
        <f t="shared" si="42"/>
        <v>99</v>
      </c>
      <c r="CG145" s="16">
        <f t="shared" si="43"/>
        <v>0</v>
      </c>
      <c r="CH145" s="16">
        <f t="shared" si="71"/>
        <v>0</v>
      </c>
      <c r="CJ145" s="16" t="e">
        <f t="shared" si="45"/>
        <v>#N/A</v>
      </c>
      <c r="CK145" s="16" t="str">
        <f t="shared" si="46"/>
        <v/>
      </c>
    </row>
    <row r="146" spans="1:89" ht="12" customHeight="1">
      <c r="A146" s="211"/>
      <c r="B146" s="211"/>
      <c r="C146" s="211"/>
      <c r="D146" s="211"/>
      <c r="E146" s="211"/>
      <c r="F146" s="211"/>
      <c r="G146" s="211"/>
      <c r="H146" s="211"/>
      <c r="I146" s="211"/>
      <c r="J146" s="211"/>
      <c r="K146" s="211"/>
      <c r="L146" s="211"/>
      <c r="M146" s="211"/>
      <c r="N146" s="211"/>
      <c r="O146" s="211"/>
      <c r="AM146" s="34">
        <f t="shared" si="66"/>
        <v>0.62739555723965168</v>
      </c>
      <c r="AN146" s="34">
        <f t="shared" si="51"/>
        <v>0.7285387609153986</v>
      </c>
      <c r="AO146" s="16">
        <f t="shared" si="52"/>
        <v>56.400000000000531</v>
      </c>
      <c r="AP146" s="16" t="e">
        <f t="shared" si="53"/>
        <v>#N/A</v>
      </c>
      <c r="AQ146" s="16">
        <f t="shared" si="54"/>
        <v>1.3806921493619924E-2</v>
      </c>
      <c r="AR146" s="34">
        <f t="shared" si="67"/>
        <v>0.19536925293505192</v>
      </c>
      <c r="AS146" s="34">
        <f t="shared" si="55"/>
        <v>6.9150807335972786E-2</v>
      </c>
      <c r="AT146" s="540">
        <f t="shared" si="56"/>
        <v>32.800000000000196</v>
      </c>
      <c r="AU146" s="16" t="e">
        <f t="shared" si="57"/>
        <v>#N/A</v>
      </c>
      <c r="AV146" s="16">
        <f t="shared" si="58"/>
        <v>9.5296121535936847E-4</v>
      </c>
      <c r="AW146" s="34">
        <f t="shared" si="68"/>
        <v>0.13874066062271595</v>
      </c>
      <c r="AX146" s="34">
        <f t="shared" si="59"/>
        <v>0.40985574759542942</v>
      </c>
      <c r="AY146" s="16">
        <f t="shared" si="60"/>
        <v>28.200000000000131</v>
      </c>
      <c r="AZ146" s="16" t="e">
        <f t="shared" si="61"/>
        <v>#N/A</v>
      </c>
      <c r="BA146" s="16">
        <f t="shared" si="69"/>
        <v>4.5135521318670864E-3</v>
      </c>
      <c r="BB146" s="34">
        <f t="shared" si="70"/>
        <v>0.52796378172934055</v>
      </c>
      <c r="BC146" s="34">
        <f t="shared" si="62"/>
        <v>0.68082256801426411</v>
      </c>
      <c r="BD146" s="16">
        <f t="shared" si="63"/>
        <v>51.40000000000046</v>
      </c>
      <c r="BE146" s="16" t="e">
        <f t="shared" si="64"/>
        <v>#N/A</v>
      </c>
      <c r="BF146" s="16">
        <f t="shared" si="65"/>
        <v>1.3547214025455168E-2</v>
      </c>
      <c r="BU146" s="16">
        <f t="shared" si="47"/>
        <v>0</v>
      </c>
      <c r="BV146" s="16">
        <f>IF($BY$12=1,NORMDIST(BY146,$Y$6,$Y$8,TRUE),IF($BY$12=2,IF(BY146&lt;=$BX$31,0,IF(BY146&gt;=$BX$32,1,(BY146-$BX$31)*$BX$33)),SUM($BU$42:BU146)/$BV$40))</f>
        <v>2.3851764341508375E-2</v>
      </c>
      <c r="BW146" s="16">
        <f t="shared" si="48"/>
        <v>2.9215233790011248E-2</v>
      </c>
      <c r="BX146" s="16">
        <f>IF($BY$12&lt;3,BV146,SUM($BZ$42:BZ146)/$BX$40)</f>
        <v>2.3851764341508375E-2</v>
      </c>
      <c r="BY146" s="16">
        <f t="shared" si="72"/>
        <v>10.399999999999979</v>
      </c>
      <c r="BZ146" s="16">
        <f t="shared" si="38"/>
        <v>2.8091570951933949E-3</v>
      </c>
      <c r="CA146" s="16">
        <f t="shared" si="50"/>
        <v>-999</v>
      </c>
      <c r="CB146" s="16" t="str">
        <f t="shared" si="39"/>
        <v/>
      </c>
      <c r="CC146" s="16" t="e">
        <f>IF(CB146="",NA(),COUNTIF(CB146:$CB$704,CB146))</f>
        <v>#N/A</v>
      </c>
      <c r="CD146" s="16" t="e">
        <f t="shared" si="40"/>
        <v>#N/A</v>
      </c>
      <c r="CE146" s="16" t="e">
        <f t="shared" si="41"/>
        <v>#N/A</v>
      </c>
      <c r="CF146" s="16">
        <f t="shared" si="42"/>
        <v>99</v>
      </c>
      <c r="CG146" s="16">
        <f t="shared" si="43"/>
        <v>0</v>
      </c>
      <c r="CH146" s="16">
        <f t="shared" si="71"/>
        <v>0</v>
      </c>
      <c r="CJ146" s="16" t="e">
        <f t="shared" si="45"/>
        <v>#N/A</v>
      </c>
      <c r="CK146" s="16" t="str">
        <f t="shared" si="46"/>
        <v/>
      </c>
    </row>
    <row r="147" spans="1:89" ht="12" customHeight="1">
      <c r="A147" s="211"/>
      <c r="B147" s="211"/>
      <c r="C147" s="211"/>
      <c r="D147" s="211"/>
      <c r="E147" s="211"/>
      <c r="F147" s="211"/>
      <c r="G147" s="211"/>
      <c r="H147" s="211"/>
      <c r="I147" s="211"/>
      <c r="J147" s="211"/>
      <c r="K147" s="211"/>
      <c r="L147" s="211"/>
      <c r="M147" s="211"/>
      <c r="N147" s="211"/>
      <c r="O147" s="211"/>
      <c r="AM147" s="34">
        <f t="shared" si="66"/>
        <v>8.0157877877354622E-2</v>
      </c>
      <c r="AN147" s="34">
        <f t="shared" si="51"/>
        <v>0.82082595862448215</v>
      </c>
      <c r="AO147" s="16">
        <f t="shared" si="52"/>
        <v>21.900000000000041</v>
      </c>
      <c r="AP147" s="16" t="e">
        <f t="shared" si="53"/>
        <v>#N/A</v>
      </c>
      <c r="AQ147" s="16">
        <f t="shared" si="54"/>
        <v>6.1020683846902653E-3</v>
      </c>
      <c r="AR147" s="34">
        <f t="shared" si="67"/>
        <v>0.97232022322714329</v>
      </c>
      <c r="AS147" s="34">
        <f t="shared" si="55"/>
        <v>0.87243433482944965</v>
      </c>
      <c r="AT147" s="540">
        <f t="shared" si="56"/>
        <v>88.299999999999258</v>
      </c>
      <c r="AU147" s="16" t="e">
        <f t="shared" si="57"/>
        <v>#N/A</v>
      </c>
      <c r="AV147" s="16" t="e">
        <f t="shared" si="58"/>
        <v>#N/A</v>
      </c>
      <c r="AW147" s="34">
        <f t="shared" si="68"/>
        <v>0.80407901294529438</v>
      </c>
      <c r="AX147" s="34">
        <f t="shared" si="59"/>
        <v>0.58248011209070683</v>
      </c>
      <c r="AY147" s="16">
        <f t="shared" si="60"/>
        <v>67.100000000000463</v>
      </c>
      <c r="AZ147" s="16" t="e">
        <f t="shared" si="61"/>
        <v>#N/A</v>
      </c>
      <c r="BA147" s="16">
        <f t="shared" si="69"/>
        <v>8.0615974830133101E-3</v>
      </c>
      <c r="BB147" s="34">
        <f t="shared" si="70"/>
        <v>0.53083602525293827</v>
      </c>
      <c r="BC147" s="34">
        <f t="shared" si="62"/>
        <v>0.15339771099388599</v>
      </c>
      <c r="BD147" s="16">
        <f t="shared" si="63"/>
        <v>51.500000000000462</v>
      </c>
      <c r="BE147" s="16" t="e">
        <f t="shared" si="64"/>
        <v>#N/A</v>
      </c>
      <c r="BF147" s="16">
        <f t="shared" si="65"/>
        <v>3.0512479175992557E-3</v>
      </c>
      <c r="BU147" s="16">
        <f t="shared" si="47"/>
        <v>0</v>
      </c>
      <c r="BV147" s="16">
        <f>IF($BY$12=1,NORMDIST(BY147,$Y$6,$Y$8,TRUE),IF($BY$12=2,IF(BY147&lt;=$BX$31,0,IF(BY147&gt;=$BX$32,1,(BY147-$BX$31)*$BX$33)),SUM($BU$42:BU147)/$BV$40))</f>
        <v>2.413407400472467E-2</v>
      </c>
      <c r="BW147" s="16">
        <f t="shared" si="48"/>
        <v>2.9789239252407489E-2</v>
      </c>
      <c r="BX147" s="16">
        <f>IF($BY$12&lt;3,BV147,SUM($BZ$42:BZ147)/$BX$40)</f>
        <v>2.413407400472467E-2</v>
      </c>
      <c r="BY147" s="16">
        <f t="shared" si="72"/>
        <v>10.499999999999979</v>
      </c>
      <c r="BZ147" s="16">
        <f t="shared" si="38"/>
        <v>2.8370704049911952E-3</v>
      </c>
      <c r="CA147" s="16">
        <f t="shared" si="50"/>
        <v>-999</v>
      </c>
      <c r="CB147" s="16" t="str">
        <f t="shared" si="39"/>
        <v/>
      </c>
      <c r="CC147" s="16" t="e">
        <f>IF(CB147="",NA(),COUNTIF(CB147:$CB$704,CB147))</f>
        <v>#N/A</v>
      </c>
      <c r="CD147" s="16" t="e">
        <f t="shared" si="40"/>
        <v>#N/A</v>
      </c>
      <c r="CE147" s="16" t="e">
        <f t="shared" si="41"/>
        <v>#N/A</v>
      </c>
      <c r="CF147" s="16">
        <f t="shared" si="42"/>
        <v>99</v>
      </c>
      <c r="CG147" s="16">
        <f t="shared" si="43"/>
        <v>0</v>
      </c>
      <c r="CH147" s="16">
        <f t="shared" si="71"/>
        <v>0</v>
      </c>
      <c r="CJ147" s="16" t="e">
        <f t="shared" si="45"/>
        <v>#N/A</v>
      </c>
      <c r="CK147" s="16" t="str">
        <f t="shared" si="46"/>
        <v/>
      </c>
    </row>
    <row r="148" spans="1:89" ht="12" customHeight="1">
      <c r="A148" s="211"/>
      <c r="B148" s="211"/>
      <c r="C148" s="211"/>
      <c r="D148" s="211"/>
      <c r="E148" s="211"/>
      <c r="F148" s="211"/>
      <c r="G148" s="211"/>
      <c r="H148" s="211"/>
      <c r="I148" s="211"/>
      <c r="J148" s="211"/>
      <c r="K148" s="211"/>
      <c r="L148" s="211"/>
      <c r="M148" s="211"/>
      <c r="N148" s="211"/>
      <c r="O148" s="211"/>
      <c r="AM148" s="34">
        <f t="shared" si="66"/>
        <v>0.25698228366672993</v>
      </c>
      <c r="AN148" s="34">
        <f t="shared" si="51"/>
        <v>0.17743698693811893</v>
      </c>
      <c r="AO148" s="16">
        <f t="shared" si="52"/>
        <v>36.900000000000254</v>
      </c>
      <c r="AP148" s="16" t="e">
        <f t="shared" si="53"/>
        <v>#N/A</v>
      </c>
      <c r="AQ148" s="16">
        <f t="shared" si="54"/>
        <v>2.8560291070306495E-3</v>
      </c>
      <c r="AR148" s="34">
        <f t="shared" si="67"/>
        <v>0.68994084931910038</v>
      </c>
      <c r="AS148" s="34">
        <f t="shared" si="55"/>
        <v>0.46242204494774342</v>
      </c>
      <c r="AT148" s="540">
        <f t="shared" si="56"/>
        <v>59.900000000000581</v>
      </c>
      <c r="AU148" s="16" t="e">
        <f t="shared" si="57"/>
        <v>#N/A</v>
      </c>
      <c r="AV148" s="16">
        <f t="shared" si="58"/>
        <v>8.1604122172755558E-3</v>
      </c>
      <c r="AW148" s="34">
        <f t="shared" si="68"/>
        <v>0.6931485254317522</v>
      </c>
      <c r="AX148" s="34">
        <f t="shared" si="59"/>
        <v>0.26524835266172886</v>
      </c>
      <c r="AY148" s="16">
        <f t="shared" si="60"/>
        <v>60.000000000000583</v>
      </c>
      <c r="AZ148" s="16" t="e">
        <f t="shared" si="61"/>
        <v>#N/A</v>
      </c>
      <c r="BA148" s="16">
        <f t="shared" si="69"/>
        <v>4.6692373976771175E-3</v>
      </c>
      <c r="BB148" s="34">
        <f t="shared" si="70"/>
        <v>0.10410910286009312</v>
      </c>
      <c r="BC148" s="34">
        <f t="shared" si="62"/>
        <v>0.38201926834881306</v>
      </c>
      <c r="BD148" s="16">
        <f t="shared" si="63"/>
        <v>24.800000000000082</v>
      </c>
      <c r="BE148" s="16" t="e">
        <f t="shared" si="64"/>
        <v>#N/A</v>
      </c>
      <c r="BF148" s="16">
        <f t="shared" si="65"/>
        <v>3.4452629903616951E-3</v>
      </c>
      <c r="BU148" s="16">
        <f t="shared" si="47"/>
        <v>0</v>
      </c>
      <c r="BV148" s="16">
        <f>IF($BY$12=1,NORMDIST(BY148,$Y$6,$Y$8,TRUE),IF($BY$12=2,IF(BY148&lt;=$BX$31,0,IF(BY148&gt;=$BX$32,1,(BY148-$BX$31)*$BX$33)),SUM($BU$42:BU148)/$BV$40))</f>
        <v>2.4419185280222466E-2</v>
      </c>
      <c r="BW148" s="16">
        <f t="shared" si="48"/>
        <v>3.0371008127131963E-2</v>
      </c>
      <c r="BX148" s="16">
        <f>IF($BY$12&lt;3,BV148,SUM($BZ$42:BZ148)/$BX$40)</f>
        <v>2.4419185280222466E-2</v>
      </c>
      <c r="BY148" s="16">
        <f t="shared" si="72"/>
        <v>10.599999999999978</v>
      </c>
      <c r="BZ148" s="16">
        <f t="shared" si="38"/>
        <v>2.8651894459558514E-3</v>
      </c>
      <c r="CA148" s="16">
        <f t="shared" si="50"/>
        <v>-999</v>
      </c>
      <c r="CB148" s="16" t="str">
        <f t="shared" si="39"/>
        <v/>
      </c>
      <c r="CC148" s="16" t="e">
        <f>IF(CB148="",NA(),COUNTIF(CB148:$CB$704,CB148))</f>
        <v>#N/A</v>
      </c>
      <c r="CD148" s="16" t="e">
        <f t="shared" si="40"/>
        <v>#N/A</v>
      </c>
      <c r="CE148" s="16" t="e">
        <f t="shared" si="41"/>
        <v>#N/A</v>
      </c>
      <c r="CF148" s="16">
        <f t="shared" si="42"/>
        <v>99</v>
      </c>
      <c r="CG148" s="16">
        <f t="shared" si="43"/>
        <v>0</v>
      </c>
      <c r="CH148" s="16">
        <f t="shared" si="71"/>
        <v>0</v>
      </c>
      <c r="CJ148" s="16" t="e">
        <f t="shared" si="45"/>
        <v>#N/A</v>
      </c>
      <c r="CK148" s="16" t="str">
        <f t="shared" si="46"/>
        <v/>
      </c>
    </row>
    <row r="149" spans="1:89" ht="12" customHeight="1">
      <c r="A149" s="211"/>
      <c r="B149" s="211"/>
      <c r="C149" s="211"/>
      <c r="D149" s="211"/>
      <c r="E149" s="211"/>
      <c r="F149" s="211"/>
      <c r="G149" s="211"/>
      <c r="H149" s="211"/>
      <c r="I149" s="211"/>
      <c r="J149" s="211"/>
      <c r="K149" s="211"/>
      <c r="L149" s="211"/>
      <c r="M149" s="211"/>
      <c r="N149" s="211"/>
      <c r="O149" s="211"/>
      <c r="AM149" s="34">
        <f t="shared" si="66"/>
        <v>0.17606201954185963</v>
      </c>
      <c r="AN149" s="34">
        <f t="shared" si="51"/>
        <v>0.48422485031187534</v>
      </c>
      <c r="AO149" s="16">
        <f t="shared" si="52"/>
        <v>31.300000000000175</v>
      </c>
      <c r="AP149" s="16" t="e">
        <f t="shared" si="53"/>
        <v>#N/A</v>
      </c>
      <c r="AQ149" s="16">
        <f t="shared" si="54"/>
        <v>6.238664012142397E-3</v>
      </c>
      <c r="AR149" s="34">
        <f t="shared" si="67"/>
        <v>0.4609640184789896</v>
      </c>
      <c r="AS149" s="34">
        <f t="shared" si="55"/>
        <v>0.17732213623821735</v>
      </c>
      <c r="AT149" s="540">
        <f t="shared" si="56"/>
        <v>48.000000000000412</v>
      </c>
      <c r="AU149" s="16" t="e">
        <f t="shared" si="57"/>
        <v>#N/A</v>
      </c>
      <c r="AV149" s="16">
        <f t="shared" si="58"/>
        <v>3.5194236851913132E-3</v>
      </c>
      <c r="AW149" s="34">
        <f t="shared" si="68"/>
        <v>0.97484587319195271</v>
      </c>
      <c r="AX149" s="34">
        <f t="shared" si="59"/>
        <v>0.40491587854921818</v>
      </c>
      <c r="AY149" s="16">
        <f t="shared" si="60"/>
        <v>89.099999999999213</v>
      </c>
      <c r="AZ149" s="16" t="e">
        <f t="shared" si="61"/>
        <v>#N/A</v>
      </c>
      <c r="BA149" s="16">
        <f t="shared" si="69"/>
        <v>1.1948205795654953E-3</v>
      </c>
      <c r="BB149" s="34">
        <f t="shared" si="70"/>
        <v>0.64973861910402775</v>
      </c>
      <c r="BC149" s="34">
        <f t="shared" si="62"/>
        <v>0.63764232583343983</v>
      </c>
      <c r="BD149" s="16">
        <f t="shared" si="63"/>
        <v>57.600000000000549</v>
      </c>
      <c r="BE149" s="16" t="e">
        <f t="shared" si="64"/>
        <v>#N/A</v>
      </c>
      <c r="BF149" s="16">
        <f t="shared" si="65"/>
        <v>1.1833171143843567E-2</v>
      </c>
      <c r="BU149" s="16">
        <f t="shared" si="47"/>
        <v>0</v>
      </c>
      <c r="BV149" s="16">
        <f>IF($BY$12=1,NORMDIST(BY149,$Y$6,$Y$8,TRUE),IF($BY$12=2,IF(BY149&lt;=$BX$31,0,IF(BY149&gt;=$BX$32,1,(BY149-$BX$31)*$BX$33)),SUM($BU$42:BU149)/$BV$40))</f>
        <v>2.4707118772503867E-2</v>
      </c>
      <c r="BW149" s="16">
        <f t="shared" si="48"/>
        <v>3.096060883345142E-2</v>
      </c>
      <c r="BX149" s="16">
        <f>IF($BY$12&lt;3,BV149,SUM($BZ$42:BZ149)/$BX$40)</f>
        <v>2.4707118772503867E-2</v>
      </c>
      <c r="BY149" s="16">
        <f t="shared" si="72"/>
        <v>10.699999999999978</v>
      </c>
      <c r="BZ149" s="16">
        <f t="shared" si="38"/>
        <v>2.8935148442478021E-3</v>
      </c>
      <c r="CA149" s="16">
        <f t="shared" si="50"/>
        <v>-999</v>
      </c>
      <c r="CB149" s="16" t="str">
        <f t="shared" si="39"/>
        <v/>
      </c>
      <c r="CC149" s="16" t="e">
        <f>IF(CB149="",NA(),COUNTIF(CB149:$CB$704,CB149))</f>
        <v>#N/A</v>
      </c>
      <c r="CD149" s="16" t="e">
        <f t="shared" si="40"/>
        <v>#N/A</v>
      </c>
      <c r="CE149" s="16" t="e">
        <f t="shared" si="41"/>
        <v>#N/A</v>
      </c>
      <c r="CF149" s="16">
        <f t="shared" si="42"/>
        <v>99</v>
      </c>
      <c r="CG149" s="16">
        <f t="shared" si="43"/>
        <v>0</v>
      </c>
      <c r="CH149" s="16">
        <f t="shared" si="71"/>
        <v>0</v>
      </c>
      <c r="CJ149" s="16" t="e">
        <f t="shared" si="45"/>
        <v>#N/A</v>
      </c>
      <c r="CK149" s="16" t="str">
        <f t="shared" si="46"/>
        <v/>
      </c>
    </row>
    <row r="150" spans="1:89" ht="12" customHeight="1">
      <c r="A150" s="211"/>
      <c r="B150" s="211"/>
      <c r="C150" s="211"/>
      <c r="D150" s="211"/>
      <c r="E150" s="211"/>
      <c r="F150" s="211"/>
      <c r="G150" s="211"/>
      <c r="H150" s="211"/>
      <c r="I150" s="211"/>
      <c r="J150" s="211"/>
      <c r="K150" s="211"/>
      <c r="L150" s="211"/>
      <c r="M150" s="211"/>
      <c r="N150" s="211"/>
      <c r="O150" s="211"/>
      <c r="AM150" s="34">
        <f t="shared" si="66"/>
        <v>0.798041807487607</v>
      </c>
      <c r="AN150" s="34">
        <f t="shared" si="51"/>
        <v>0.44941956736147404</v>
      </c>
      <c r="AO150" s="16">
        <f t="shared" si="52"/>
        <v>66.600000000000492</v>
      </c>
      <c r="AP150" s="16" t="e">
        <f t="shared" si="53"/>
        <v>#N/A</v>
      </c>
      <c r="AQ150" s="16">
        <f t="shared" si="54"/>
        <v>6.3524215910221414E-3</v>
      </c>
      <c r="AR150" s="34">
        <f t="shared" si="67"/>
        <v>0.66756994463503361</v>
      </c>
      <c r="AS150" s="34">
        <f t="shared" si="55"/>
        <v>0.124759616330266</v>
      </c>
      <c r="AT150" s="540">
        <f t="shared" si="56"/>
        <v>58.600000000000563</v>
      </c>
      <c r="AU150" s="16" t="e">
        <f t="shared" si="57"/>
        <v>#N/A</v>
      </c>
      <c r="AV150" s="16">
        <f t="shared" si="58"/>
        <v>2.2688384618361817E-3</v>
      </c>
      <c r="AW150" s="34">
        <f t="shared" si="68"/>
        <v>4.9398602917790413E-2</v>
      </c>
      <c r="AX150" s="34">
        <f t="shared" si="59"/>
        <v>0.67135974206030369</v>
      </c>
      <c r="AY150" s="16">
        <f t="shared" si="60"/>
        <v>16.89999999999997</v>
      </c>
      <c r="AZ150" s="16" t="e">
        <f t="shared" si="61"/>
        <v>#N/A</v>
      </c>
      <c r="BA150" s="16">
        <f t="shared" si="69"/>
        <v>3.4045807858742953E-3</v>
      </c>
      <c r="BB150" s="34">
        <f t="shared" si="70"/>
        <v>0.54768463410437107</v>
      </c>
      <c r="BC150" s="34">
        <f t="shared" si="62"/>
        <v>0.46094395406544209</v>
      </c>
      <c r="BD150" s="16">
        <f t="shared" si="63"/>
        <v>52.300000000000473</v>
      </c>
      <c r="BE150" s="16" t="e">
        <f t="shared" si="64"/>
        <v>#N/A</v>
      </c>
      <c r="BF150" s="16">
        <f t="shared" si="65"/>
        <v>9.1339035398886395E-3</v>
      </c>
      <c r="BU150" s="16">
        <f t="shared" si="47"/>
        <v>0</v>
      </c>
      <c r="BV150" s="16">
        <f>IF($BY$12=1,NORMDIST(BY150,$Y$6,$Y$8,TRUE),IF($BY$12=2,IF(BY150&lt;=$BX$31,0,IF(BY150&gt;=$BX$32,1,(BY150-$BX$31)*$BX$33)),SUM($BU$42:BU150)/$BV$40))</f>
        <v>2.4997895148220373E-2</v>
      </c>
      <c r="BW150" s="16">
        <f t="shared" si="48"/>
        <v>3.1558109940063639E-2</v>
      </c>
      <c r="BX150" s="16">
        <f>IF($BY$12&lt;3,BV150,SUM($BZ$42:BZ150)/$BX$40)</f>
        <v>2.4997895148220373E-2</v>
      </c>
      <c r="BY150" s="16">
        <f t="shared" si="72"/>
        <v>10.799999999999978</v>
      </c>
      <c r="BZ150" s="16">
        <f t="shared" si="38"/>
        <v>2.9220472166725654E-3</v>
      </c>
      <c r="CA150" s="16">
        <f t="shared" si="50"/>
        <v>-999</v>
      </c>
      <c r="CB150" s="16" t="str">
        <f t="shared" si="39"/>
        <v/>
      </c>
      <c r="CC150" s="16" t="e">
        <f>IF(CB150="",NA(),COUNTIF(CB150:$CB$704,CB150))</f>
        <v>#N/A</v>
      </c>
      <c r="CD150" s="16" t="e">
        <f t="shared" si="40"/>
        <v>#N/A</v>
      </c>
      <c r="CE150" s="16" t="e">
        <f t="shared" si="41"/>
        <v>#N/A</v>
      </c>
      <c r="CF150" s="16">
        <f t="shared" si="42"/>
        <v>99</v>
      </c>
      <c r="CG150" s="16">
        <f t="shared" si="43"/>
        <v>0</v>
      </c>
      <c r="CH150" s="16">
        <f t="shared" si="71"/>
        <v>0</v>
      </c>
      <c r="CJ150" s="16" t="e">
        <f t="shared" si="45"/>
        <v>#N/A</v>
      </c>
      <c r="CK150" s="16" t="str">
        <f t="shared" si="46"/>
        <v/>
      </c>
    </row>
    <row r="151" spans="1:89" ht="12" customHeight="1">
      <c r="A151" s="211"/>
      <c r="B151" s="211"/>
      <c r="C151" s="211"/>
      <c r="D151" s="211"/>
      <c r="E151" s="211"/>
      <c r="F151" s="211"/>
      <c r="G151" s="211"/>
      <c r="H151" s="211"/>
      <c r="I151" s="211"/>
      <c r="J151" s="211"/>
      <c r="K151" s="211"/>
      <c r="L151" s="211"/>
      <c r="M151" s="211"/>
      <c r="N151" s="211"/>
      <c r="O151" s="211"/>
      <c r="AM151" s="34">
        <f t="shared" si="66"/>
        <v>0.51606911607086658</v>
      </c>
      <c r="AN151" s="34">
        <f t="shared" si="51"/>
        <v>0.86960717476904392</v>
      </c>
      <c r="AO151" s="16">
        <f t="shared" si="52"/>
        <v>50.800000000000452</v>
      </c>
      <c r="AP151" s="16" t="e">
        <f t="shared" si="53"/>
        <v>#N/A</v>
      </c>
      <c r="AQ151" s="16">
        <f t="shared" si="54"/>
        <v>1.7332282094305432E-2</v>
      </c>
      <c r="AR151" s="34">
        <f t="shared" si="67"/>
        <v>0.78517767228186131</v>
      </c>
      <c r="AS151" s="34">
        <f t="shared" si="55"/>
        <v>0.93012835271656513</v>
      </c>
      <c r="AT151" s="540">
        <f t="shared" si="56"/>
        <v>65.700000000000543</v>
      </c>
      <c r="AU151" s="16" t="e">
        <f t="shared" si="57"/>
        <v>#N/A</v>
      </c>
      <c r="AV151" s="16">
        <f t="shared" si="58"/>
        <v>1.3633626578017121E-2</v>
      </c>
      <c r="AW151" s="34">
        <f t="shared" si="68"/>
        <v>0.14827968366444111</v>
      </c>
      <c r="AX151" s="34">
        <f t="shared" si="59"/>
        <v>0.76428029872477055</v>
      </c>
      <c r="AY151" s="16">
        <f t="shared" si="60"/>
        <v>29.100000000000144</v>
      </c>
      <c r="AZ151" s="16" t="e">
        <f t="shared" si="61"/>
        <v>#N/A</v>
      </c>
      <c r="BA151" s="16">
        <f t="shared" si="69"/>
        <v>8.830850225599424E-3</v>
      </c>
      <c r="BB151" s="34">
        <f t="shared" si="70"/>
        <v>0.53292582370340824</v>
      </c>
      <c r="BC151" s="34">
        <f t="shared" si="62"/>
        <v>0.16506979055702686</v>
      </c>
      <c r="BD151" s="16">
        <f t="shared" si="63"/>
        <v>51.600000000000463</v>
      </c>
      <c r="BE151" s="16" t="e">
        <f t="shared" si="64"/>
        <v>#N/A</v>
      </c>
      <c r="BF151" s="16">
        <f t="shared" si="65"/>
        <v>3.2821462430047293E-3</v>
      </c>
      <c r="BU151" s="16">
        <f t="shared" si="47"/>
        <v>0</v>
      </c>
      <c r="BV151" s="16">
        <f>IF($BY$12=1,NORMDIST(BY151,$Y$6,$Y$8,TRUE),IF($BY$12=2,IF(BY151&lt;=$BX$31,0,IF(BY151&gt;=$BX$32,1,(BY151-$BX$31)*$BX$33)),SUM($BU$42:BU151)/$BV$40))</f>
        <v>2.529153513522997E-2</v>
      </c>
      <c r="BW151" s="16">
        <f t="shared" si="48"/>
        <v>3.2163580158736119E-2</v>
      </c>
      <c r="BX151" s="16">
        <f>IF($BY$12&lt;3,BV151,SUM($BZ$42:BZ151)/$BX$40)</f>
        <v>2.529153513522997E-2</v>
      </c>
      <c r="BY151" s="16">
        <f t="shared" si="72"/>
        <v>10.899999999999977</v>
      </c>
      <c r="BZ151" s="16">
        <f t="shared" si="38"/>
        <v>2.9507871705262557E-3</v>
      </c>
      <c r="CA151" s="16">
        <f t="shared" si="50"/>
        <v>-999</v>
      </c>
      <c r="CB151" s="16" t="str">
        <f t="shared" si="39"/>
        <v/>
      </c>
      <c r="CC151" s="16" t="e">
        <f>IF(CB151="",NA(),COUNTIF(CB151:$CB$704,CB151))</f>
        <v>#N/A</v>
      </c>
      <c r="CD151" s="16" t="e">
        <f t="shared" si="40"/>
        <v>#N/A</v>
      </c>
      <c r="CE151" s="16" t="e">
        <f t="shared" si="41"/>
        <v>#N/A</v>
      </c>
      <c r="CF151" s="16">
        <f t="shared" si="42"/>
        <v>99</v>
      </c>
      <c r="CG151" s="16">
        <f t="shared" si="43"/>
        <v>0</v>
      </c>
      <c r="CH151" s="16">
        <f t="shared" si="71"/>
        <v>0</v>
      </c>
      <c r="CJ151" s="16" t="e">
        <f t="shared" si="45"/>
        <v>#N/A</v>
      </c>
      <c r="CK151" s="16" t="str">
        <f t="shared" si="46"/>
        <v/>
      </c>
    </row>
    <row r="152" spans="1:89" ht="12" customHeight="1">
      <c r="A152" s="211"/>
      <c r="B152" s="211"/>
      <c r="C152" s="211"/>
      <c r="D152" s="211"/>
      <c r="E152" s="211"/>
      <c r="F152" s="211"/>
      <c r="G152" s="211"/>
      <c r="H152" s="211"/>
      <c r="I152" s="211"/>
      <c r="J152" s="211"/>
      <c r="K152" s="211"/>
      <c r="L152" s="211"/>
      <c r="M152" s="211"/>
      <c r="N152" s="211"/>
      <c r="O152" s="211"/>
      <c r="AM152" s="34">
        <f t="shared" si="66"/>
        <v>5.2583711221814156E-2</v>
      </c>
      <c r="AN152" s="34">
        <f t="shared" si="51"/>
        <v>0.79580638743937016</v>
      </c>
      <c r="AO152" s="16">
        <f t="shared" si="52"/>
        <v>17.499999999999979</v>
      </c>
      <c r="AP152" s="16" t="e">
        <f t="shared" si="53"/>
        <v>#N/A</v>
      </c>
      <c r="AQ152" s="16">
        <f t="shared" si="54"/>
        <v>4.2391917142523853E-3</v>
      </c>
      <c r="AR152" s="34">
        <f t="shared" si="67"/>
        <v>0.61883423663675785</v>
      </c>
      <c r="AS152" s="34">
        <f t="shared" si="55"/>
        <v>0.41121265478432178</v>
      </c>
      <c r="AT152" s="540">
        <f t="shared" si="56"/>
        <v>56.000000000000526</v>
      </c>
      <c r="AU152" s="16" t="e">
        <f t="shared" si="57"/>
        <v>#N/A</v>
      </c>
      <c r="AV152" s="16">
        <f t="shared" si="58"/>
        <v>7.841574804895694E-3</v>
      </c>
      <c r="AW152" s="34">
        <f t="shared" si="68"/>
        <v>0.92289158888161182</v>
      </c>
      <c r="AX152" s="34">
        <f t="shared" si="59"/>
        <v>0.88640677370131016</v>
      </c>
      <c r="AY152" s="16">
        <f t="shared" si="60"/>
        <v>78.399999999999821</v>
      </c>
      <c r="AZ152" s="16" t="e">
        <f t="shared" si="61"/>
        <v>#N/A</v>
      </c>
      <c r="BA152" s="16">
        <f t="shared" si="69"/>
        <v>6.4514515436522434E-3</v>
      </c>
      <c r="BB152" s="34">
        <f t="shared" si="70"/>
        <v>5.1477545872330666E-2</v>
      </c>
      <c r="BC152" s="34">
        <f t="shared" si="62"/>
        <v>0.12793140299618244</v>
      </c>
      <c r="BD152" s="16">
        <f t="shared" si="63"/>
        <v>17.299999999999976</v>
      </c>
      <c r="BE152" s="16" t="e">
        <f t="shared" si="64"/>
        <v>#N/A</v>
      </c>
      <c r="BF152" s="16">
        <f t="shared" si="65"/>
        <v>6.7046143104992559E-4</v>
      </c>
      <c r="BU152" s="16">
        <f t="shared" si="47"/>
        <v>0</v>
      </c>
      <c r="BV152" s="16">
        <f>IF($BY$12=1,NORMDIST(BY152,$Y$6,$Y$8,TRUE),IF($BY$12=2,IF(BY152&lt;=$BX$31,0,IF(BY152&gt;=$BX$32,1,(BY152-$BX$31)*$BX$33)),SUM($BU$42:BU152)/$BV$40))</f>
        <v>2.5588059521638562E-2</v>
      </c>
      <c r="BW152" s="16">
        <f t="shared" si="48"/>
        <v>3.2777088337848703E-2</v>
      </c>
      <c r="BX152" s="16">
        <f>IF($BY$12&lt;3,BV152,SUM($BZ$42:BZ152)/$BX$40)</f>
        <v>2.5588059521638562E-2</v>
      </c>
      <c r="BY152" s="16">
        <f t="shared" si="72"/>
        <v>10.999999999999977</v>
      </c>
      <c r="BZ152" s="16">
        <f t="shared" si="38"/>
        <v>2.9797353034407975E-3</v>
      </c>
      <c r="CA152" s="16">
        <f t="shared" si="50"/>
        <v>-999</v>
      </c>
      <c r="CB152" s="16" t="str">
        <f t="shared" si="39"/>
        <v/>
      </c>
      <c r="CC152" s="16" t="e">
        <f>IF(CB152="",NA(),COUNTIF(CB152:$CB$704,CB152))</f>
        <v>#N/A</v>
      </c>
      <c r="CD152" s="16" t="e">
        <f t="shared" si="40"/>
        <v>#N/A</v>
      </c>
      <c r="CE152" s="16" t="e">
        <f t="shared" si="41"/>
        <v>#N/A</v>
      </c>
      <c r="CF152" s="16">
        <f t="shared" si="42"/>
        <v>99</v>
      </c>
      <c r="CG152" s="16">
        <f t="shared" si="43"/>
        <v>0</v>
      </c>
      <c r="CH152" s="16">
        <f t="shared" si="71"/>
        <v>0</v>
      </c>
      <c r="CJ152" s="16" t="e">
        <f t="shared" si="45"/>
        <v>#N/A</v>
      </c>
      <c r="CK152" s="16" t="str">
        <f t="shared" si="46"/>
        <v/>
      </c>
    </row>
    <row r="153" spans="1:89" ht="12" customHeight="1">
      <c r="A153" s="211"/>
      <c r="B153" s="211"/>
      <c r="C153" s="211"/>
      <c r="D153" s="211"/>
      <c r="E153" s="211"/>
      <c r="F153" s="211"/>
      <c r="G153" s="211"/>
      <c r="H153" s="211"/>
      <c r="I153" s="211"/>
      <c r="J153" s="211"/>
      <c r="K153" s="211"/>
      <c r="L153" s="211"/>
      <c r="M153" s="211"/>
      <c r="N153" s="211"/>
      <c r="O153" s="211"/>
      <c r="AM153" s="34">
        <f t="shared" si="66"/>
        <v>0.21987673826515675</v>
      </c>
      <c r="AN153" s="34">
        <f t="shared" si="51"/>
        <v>0.24104916490614414</v>
      </c>
      <c r="AO153" s="16">
        <f t="shared" si="52"/>
        <v>34.50000000000022</v>
      </c>
      <c r="AP153" s="16" t="e">
        <f t="shared" si="53"/>
        <v>#N/A</v>
      </c>
      <c r="AQ153" s="16">
        <f t="shared" si="54"/>
        <v>3.5609152684031387E-3</v>
      </c>
      <c r="AR153" s="34">
        <f t="shared" si="67"/>
        <v>0.89360773004591465</v>
      </c>
      <c r="AS153" s="34">
        <f t="shared" si="55"/>
        <v>0.91735963709652424</v>
      </c>
      <c r="AT153" s="540">
        <f t="shared" si="56"/>
        <v>74.90000000000002</v>
      </c>
      <c r="AU153" s="16" t="e">
        <f t="shared" si="57"/>
        <v>#N/A</v>
      </c>
      <c r="AV153" s="16">
        <f t="shared" si="58"/>
        <v>8.4301644318057686E-3</v>
      </c>
      <c r="AW153" s="34">
        <f t="shared" si="68"/>
        <v>0.26030115969479084</v>
      </c>
      <c r="AX153" s="34">
        <f t="shared" si="59"/>
        <v>0.98086298443377018</v>
      </c>
      <c r="AY153" s="16">
        <f t="shared" si="60"/>
        <v>37.100000000000257</v>
      </c>
      <c r="AZ153" s="16" t="e">
        <f t="shared" si="61"/>
        <v>#N/A</v>
      </c>
      <c r="BA153" s="16" t="e">
        <f t="shared" si="69"/>
        <v>#N/A</v>
      </c>
      <c r="BB153" s="34">
        <f t="shared" si="70"/>
        <v>0.693070063367486</v>
      </c>
      <c r="BC153" s="34">
        <f t="shared" si="62"/>
        <v>0.64358568377792835</v>
      </c>
      <c r="BD153" s="16">
        <f t="shared" si="63"/>
        <v>60.000000000000583</v>
      </c>
      <c r="BE153" s="16" t="e">
        <f t="shared" si="64"/>
        <v>#N/A</v>
      </c>
      <c r="BF153" s="16">
        <f t="shared" si="65"/>
        <v>1.1329210203004907E-2</v>
      </c>
      <c r="BU153" s="16">
        <f t="shared" si="47"/>
        <v>0</v>
      </c>
      <c r="BV153" s="16">
        <f>IF($BY$12=1,NORMDIST(BY153,$Y$6,$Y$8,TRUE),IF($BY$12=2,IF(BY153&lt;=$BX$31,0,IF(BY153&gt;=$BX$32,1,(BY153-$BX$31)*$BX$33)),SUM($BU$42:BU153)/$BV$40))</f>
        <v>2.5887489154825194E-2</v>
      </c>
      <c r="BW153" s="16">
        <f t="shared" si="48"/>
        <v>3.3398703455839757E-2</v>
      </c>
      <c r="BX153" s="16">
        <f>IF($BY$12&lt;3,BV153,SUM($BZ$42:BZ153)/$BX$40)</f>
        <v>2.5887489154825194E-2</v>
      </c>
      <c r="BY153" s="16">
        <f t="shared" si="72"/>
        <v>11.099999999999977</v>
      </c>
      <c r="BZ153" s="16">
        <f t="shared" si="38"/>
        <v>3.0088922032288135E-3</v>
      </c>
      <c r="CA153" s="16">
        <f t="shared" si="50"/>
        <v>-999</v>
      </c>
      <c r="CB153" s="16" t="str">
        <f t="shared" si="39"/>
        <v/>
      </c>
      <c r="CC153" s="16" t="e">
        <f>IF(CB153="",NA(),COUNTIF(CB153:$CB$704,CB153))</f>
        <v>#N/A</v>
      </c>
      <c r="CD153" s="16" t="e">
        <f t="shared" si="40"/>
        <v>#N/A</v>
      </c>
      <c r="CE153" s="16" t="e">
        <f t="shared" si="41"/>
        <v>#N/A</v>
      </c>
      <c r="CF153" s="16">
        <f t="shared" si="42"/>
        <v>99</v>
      </c>
      <c r="CG153" s="16">
        <f t="shared" si="43"/>
        <v>0</v>
      </c>
      <c r="CH153" s="16">
        <f t="shared" si="71"/>
        <v>0</v>
      </c>
      <c r="CJ153" s="16" t="e">
        <f t="shared" si="45"/>
        <v>#N/A</v>
      </c>
      <c r="CK153" s="16" t="str">
        <f t="shared" si="46"/>
        <v/>
      </c>
    </row>
    <row r="154" spans="1:89" ht="12" customHeight="1">
      <c r="A154" s="211"/>
      <c r="B154" s="211"/>
      <c r="C154" s="211"/>
      <c r="D154" s="211"/>
      <c r="E154" s="211"/>
      <c r="F154" s="211"/>
      <c r="G154" s="211"/>
      <c r="H154" s="211"/>
      <c r="I154" s="211"/>
      <c r="J154" s="211"/>
      <c r="K154" s="211"/>
      <c r="L154" s="211"/>
      <c r="M154" s="211"/>
      <c r="N154" s="211"/>
      <c r="O154" s="211"/>
      <c r="AM154" s="34">
        <f t="shared" si="66"/>
        <v>0.78270058520138264</v>
      </c>
      <c r="AN154" s="34">
        <f t="shared" si="51"/>
        <v>2.7121433988213539E-2</v>
      </c>
      <c r="AO154" s="16">
        <f t="shared" si="52"/>
        <v>65.600000000000549</v>
      </c>
      <c r="AP154" s="16" t="e">
        <f t="shared" si="53"/>
        <v>#N/A</v>
      </c>
      <c r="AQ154" s="16">
        <f t="shared" si="54"/>
        <v>3.9909872189015542E-4</v>
      </c>
      <c r="AR154" s="34">
        <f t="shared" si="67"/>
        <v>0.29664052464067936</v>
      </c>
      <c r="AS154" s="34">
        <f t="shared" si="55"/>
        <v>0.10273361392319202</v>
      </c>
      <c r="AT154" s="540">
        <f t="shared" si="56"/>
        <v>39.300000000000288</v>
      </c>
      <c r="AU154" s="16" t="e">
        <f t="shared" si="57"/>
        <v>#N/A</v>
      </c>
      <c r="AV154" s="16">
        <f t="shared" si="58"/>
        <v>1.7759865275461756E-3</v>
      </c>
      <c r="AW154" s="34">
        <f t="shared" si="68"/>
        <v>0.59555649943649769</v>
      </c>
      <c r="AX154" s="34">
        <f t="shared" si="59"/>
        <v>0.73659946955740452</v>
      </c>
      <c r="AY154" s="16">
        <f t="shared" si="60"/>
        <v>54.800000000000509</v>
      </c>
      <c r="AZ154" s="16" t="e">
        <f t="shared" si="61"/>
        <v>#N/A</v>
      </c>
      <c r="BA154" s="16">
        <f t="shared" si="69"/>
        <v>1.4275909654636014E-2</v>
      </c>
      <c r="BB154" s="34">
        <f t="shared" si="70"/>
        <v>0.20439317263662815</v>
      </c>
      <c r="BC154" s="34">
        <f t="shared" si="62"/>
        <v>0.38347752578556538</v>
      </c>
      <c r="BD154" s="16">
        <f t="shared" si="63"/>
        <v>33.400000000000205</v>
      </c>
      <c r="BE154" s="16" t="e">
        <f t="shared" si="64"/>
        <v>#N/A</v>
      </c>
      <c r="BF154" s="16">
        <f t="shared" si="65"/>
        <v>5.4203490265761628E-3</v>
      </c>
      <c r="BU154" s="16">
        <f t="shared" si="47"/>
        <v>0</v>
      </c>
      <c r="BV154" s="16">
        <f>IF($BY$12=1,NORMDIST(BY154,$Y$6,$Y$8,TRUE),IF($BY$12=2,IF(BY154&lt;=$BX$31,0,IF(BY154&gt;=$BX$32,1,(BY154-$BX$31)*$BX$33)),SUM($BU$42:BU154)/$BV$40))</f>
        <v>2.6189844940452511E-2</v>
      </c>
      <c r="BW154" s="16">
        <f t="shared" si="48"/>
        <v>3.4028494614556121E-2</v>
      </c>
      <c r="BX154" s="16">
        <f>IF($BY$12&lt;3,BV154,SUM($BZ$42:BZ154)/$BX$40)</f>
        <v>2.6189844940452511E-2</v>
      </c>
      <c r="BY154" s="16">
        <f t="shared" si="72"/>
        <v>11.199999999999976</v>
      </c>
      <c r="BZ154" s="16">
        <f t="shared" si="38"/>
        <v>3.0382584477282315E-3</v>
      </c>
      <c r="CA154" s="16">
        <f t="shared" si="50"/>
        <v>-999</v>
      </c>
      <c r="CB154" s="16" t="str">
        <f t="shared" si="39"/>
        <v/>
      </c>
      <c r="CC154" s="16" t="e">
        <f>IF(CB154="",NA(),COUNTIF(CB154:$CB$704,CB154))</f>
        <v>#N/A</v>
      </c>
      <c r="CD154" s="16" t="e">
        <f t="shared" si="40"/>
        <v>#N/A</v>
      </c>
      <c r="CE154" s="16" t="e">
        <f t="shared" si="41"/>
        <v>#N/A</v>
      </c>
      <c r="CF154" s="16">
        <f t="shared" si="42"/>
        <v>99</v>
      </c>
      <c r="CG154" s="16">
        <f t="shared" si="43"/>
        <v>0</v>
      </c>
      <c r="CH154" s="16">
        <f t="shared" si="71"/>
        <v>0</v>
      </c>
      <c r="CJ154" s="16" t="e">
        <f t="shared" si="45"/>
        <v>#N/A</v>
      </c>
      <c r="CK154" s="16" t="str">
        <f t="shared" si="46"/>
        <v/>
      </c>
    </row>
    <row r="155" spans="1:89" ht="12" customHeight="1">
      <c r="A155" s="211"/>
      <c r="B155" s="211"/>
      <c r="C155" s="211"/>
      <c r="D155" s="211"/>
      <c r="E155" s="211"/>
      <c r="F155" s="211"/>
      <c r="G155" s="211"/>
      <c r="H155" s="211"/>
      <c r="I155" s="211"/>
      <c r="J155" s="211"/>
      <c r="K155" s="211"/>
      <c r="L155" s="211"/>
      <c r="M155" s="211"/>
      <c r="N155" s="211"/>
      <c r="O155" s="211"/>
      <c r="AM155" s="34">
        <f t="shared" si="66"/>
        <v>0.69246077723801136</v>
      </c>
      <c r="AN155" s="34">
        <f t="shared" si="51"/>
        <v>0.77437021769583225</v>
      </c>
      <c r="AO155" s="16">
        <f t="shared" si="52"/>
        <v>60.000000000000583</v>
      </c>
      <c r="AP155" s="16" t="e">
        <f t="shared" si="53"/>
        <v>#N/A</v>
      </c>
      <c r="AQ155" s="16">
        <f t="shared" si="54"/>
        <v>1.3631445186481045E-2</v>
      </c>
      <c r="AR155" s="34">
        <f t="shared" si="67"/>
        <v>0.47476890124380589</v>
      </c>
      <c r="AS155" s="34">
        <f t="shared" si="55"/>
        <v>0.18443377502262592</v>
      </c>
      <c r="AT155" s="540">
        <f t="shared" si="56"/>
        <v>48.700000000000422</v>
      </c>
      <c r="AU155" s="16" t="e">
        <f t="shared" si="57"/>
        <v>#N/A</v>
      </c>
      <c r="AV155" s="16">
        <f t="shared" si="58"/>
        <v>3.6711580208800419E-3</v>
      </c>
      <c r="AW155" s="34">
        <f t="shared" si="68"/>
        <v>0.27136714942753315</v>
      </c>
      <c r="AX155" s="34">
        <f t="shared" si="59"/>
        <v>2.2048274055123329E-2</v>
      </c>
      <c r="AY155" s="16">
        <f t="shared" si="60"/>
        <v>37.800000000000267</v>
      </c>
      <c r="AZ155" s="16" t="e">
        <f t="shared" si="61"/>
        <v>#N/A</v>
      </c>
      <c r="BA155" s="16">
        <f t="shared" si="69"/>
        <v>3.6513560199673137E-4</v>
      </c>
      <c r="BB155" s="34">
        <f t="shared" si="70"/>
        <v>0.24306348897516727</v>
      </c>
      <c r="BC155" s="34">
        <f t="shared" si="62"/>
        <v>4.9577029421925545E-2</v>
      </c>
      <c r="BD155" s="16">
        <f t="shared" si="63"/>
        <v>36.000000000000242</v>
      </c>
      <c r="BE155" s="16" t="e">
        <f t="shared" si="64"/>
        <v>#N/A</v>
      </c>
      <c r="BF155" s="16">
        <f t="shared" si="65"/>
        <v>7.7403112208180159E-4</v>
      </c>
      <c r="BU155" s="16">
        <f t="shared" si="47"/>
        <v>0</v>
      </c>
      <c r="BV155" s="16">
        <f>IF($BY$12=1,NORMDIST(BY155,$Y$6,$Y$8,TRUE),IF($BY$12=2,IF(BY155&lt;=$BX$31,0,IF(BY155&gt;=$BX$32,1,(BY155-$BX$31)*$BX$33)),SUM($BU$42:BU155)/$BV$40))</f>
        <v>2.6495147841462785E-2</v>
      </c>
      <c r="BW155" s="16">
        <f t="shared" si="48"/>
        <v>3.4666531032506699E-2</v>
      </c>
      <c r="BX155" s="16">
        <f>IF($BY$12&lt;3,BV155,SUM($BZ$42:BZ155)/$BX$40)</f>
        <v>2.6495147841462785E-2</v>
      </c>
      <c r="BY155" s="16">
        <f t="shared" si="72"/>
        <v>11.299999999999976</v>
      </c>
      <c r="BZ155" s="16">
        <f t="shared" si="38"/>
        <v>3.0678346046466172E-3</v>
      </c>
      <c r="CA155" s="16">
        <f t="shared" si="50"/>
        <v>-999</v>
      </c>
      <c r="CB155" s="16" t="str">
        <f t="shared" si="39"/>
        <v/>
      </c>
      <c r="CC155" s="16" t="e">
        <f>IF(CB155="",NA(),COUNTIF(CB155:$CB$704,CB155))</f>
        <v>#N/A</v>
      </c>
      <c r="CD155" s="16" t="e">
        <f t="shared" si="40"/>
        <v>#N/A</v>
      </c>
      <c r="CE155" s="16" t="e">
        <f t="shared" si="41"/>
        <v>#N/A</v>
      </c>
      <c r="CF155" s="16">
        <f t="shared" si="42"/>
        <v>99</v>
      </c>
      <c r="CG155" s="16">
        <f t="shared" si="43"/>
        <v>0</v>
      </c>
      <c r="CH155" s="16">
        <f t="shared" si="71"/>
        <v>0</v>
      </c>
      <c r="CJ155" s="16" t="e">
        <f t="shared" si="45"/>
        <v>#N/A</v>
      </c>
      <c r="CK155" s="16" t="str">
        <f t="shared" si="46"/>
        <v/>
      </c>
    </row>
    <row r="156" spans="1:89" ht="12" customHeight="1">
      <c r="A156" s="211"/>
      <c r="B156" s="211"/>
      <c r="C156" s="211"/>
      <c r="D156" s="211"/>
      <c r="E156" s="211"/>
      <c r="F156" s="211"/>
      <c r="G156" s="211"/>
      <c r="H156" s="211"/>
      <c r="I156" s="211"/>
      <c r="J156" s="211"/>
      <c r="K156" s="211"/>
      <c r="L156" s="211"/>
      <c r="M156" s="211"/>
      <c r="N156" s="211"/>
      <c r="O156" s="211"/>
      <c r="AM156" s="34">
        <f t="shared" si="66"/>
        <v>0.2437711525708437</v>
      </c>
      <c r="AN156" s="34">
        <f t="shared" si="51"/>
        <v>0.69473342038691044</v>
      </c>
      <c r="AO156" s="16">
        <f t="shared" si="52"/>
        <v>36.100000000000243</v>
      </c>
      <c r="AP156" s="16" t="e">
        <f t="shared" si="53"/>
        <v>#N/A</v>
      </c>
      <c r="AQ156" s="16">
        <f t="shared" si="54"/>
        <v>1.0884555930992945E-2</v>
      </c>
      <c r="AR156" s="34">
        <f t="shared" si="67"/>
        <v>0.14786533452570438</v>
      </c>
      <c r="AS156" s="34">
        <f t="shared" si="55"/>
        <v>0.26750639267265797</v>
      </c>
      <c r="AT156" s="540">
        <f t="shared" si="56"/>
        <v>29.000000000000142</v>
      </c>
      <c r="AU156" s="16" t="e">
        <f t="shared" si="57"/>
        <v>#N/A</v>
      </c>
      <c r="AV156" s="16">
        <f t="shared" si="58"/>
        <v>3.0747471097154044E-3</v>
      </c>
      <c r="AW156" s="34">
        <f t="shared" si="68"/>
        <v>2.7178796008229256E-2</v>
      </c>
      <c r="AX156" s="34">
        <f t="shared" si="59"/>
        <v>0.31340664066374302</v>
      </c>
      <c r="AY156" s="16">
        <f t="shared" si="60"/>
        <v>11.499999999999975</v>
      </c>
      <c r="AZ156" s="16" t="e">
        <f t="shared" si="61"/>
        <v>#N/A</v>
      </c>
      <c r="BA156" s="16">
        <f t="shared" si="69"/>
        <v>9.8021652488493403E-4</v>
      </c>
      <c r="BB156" s="34">
        <f t="shared" si="70"/>
        <v>0.93872063793241978</v>
      </c>
      <c r="BC156" s="34">
        <f t="shared" si="62"/>
        <v>0.58269249089062214</v>
      </c>
      <c r="BD156" s="16">
        <f t="shared" si="63"/>
        <v>80.799999999999685</v>
      </c>
      <c r="BE156" s="16" t="e">
        <f t="shared" si="64"/>
        <v>#N/A</v>
      </c>
      <c r="BF156" s="16">
        <f t="shared" si="65"/>
        <v>3.5508562818512969E-3</v>
      </c>
      <c r="BU156" s="16">
        <f t="shared" si="47"/>
        <v>0</v>
      </c>
      <c r="BV156" s="16">
        <f>IF($BY$12=1,NORMDIST(BY156,$Y$6,$Y$8,TRUE),IF($BY$12=2,IF(BY156&lt;=$BX$31,0,IF(BY156&gt;=$BX$32,1,(BY156-$BX$31)*$BX$33)),SUM($BU$42:BU156)/$BV$40))</f>
        <v>2.6803418877054952E-2</v>
      </c>
      <c r="BW156" s="16">
        <f t="shared" si="48"/>
        <v>3.5312882038019779E-2</v>
      </c>
      <c r="BX156" s="16">
        <f>IF($BY$12&lt;3,BV156,SUM($BZ$42:BZ156)/$BX$40)</f>
        <v>2.6803418877054952E-2</v>
      </c>
      <c r="BY156" s="16">
        <f t="shared" si="72"/>
        <v>11.399999999999975</v>
      </c>
      <c r="BZ156" s="16">
        <f t="shared" si="38"/>
        <v>3.0976212314052505E-3</v>
      </c>
      <c r="CA156" s="16">
        <f t="shared" si="50"/>
        <v>-999</v>
      </c>
      <c r="CB156" s="16" t="str">
        <f t="shared" si="39"/>
        <v/>
      </c>
      <c r="CC156" s="16" t="e">
        <f>IF(CB156="",NA(),COUNTIF(CB156:$CB$704,CB156))</f>
        <v>#N/A</v>
      </c>
      <c r="CD156" s="16" t="e">
        <f t="shared" si="40"/>
        <v>#N/A</v>
      </c>
      <c r="CE156" s="16" t="e">
        <f t="shared" si="41"/>
        <v>#N/A</v>
      </c>
      <c r="CF156" s="16">
        <f t="shared" si="42"/>
        <v>99</v>
      </c>
      <c r="CG156" s="16">
        <f t="shared" si="43"/>
        <v>0</v>
      </c>
      <c r="CH156" s="16">
        <f t="shared" si="71"/>
        <v>0</v>
      </c>
      <c r="CJ156" s="16" t="e">
        <f t="shared" si="45"/>
        <v>#N/A</v>
      </c>
      <c r="CK156" s="16" t="str">
        <f t="shared" si="46"/>
        <v/>
      </c>
    </row>
    <row r="157" spans="1:89" ht="12" customHeight="1">
      <c r="A157" s="211"/>
      <c r="B157" s="211"/>
      <c r="C157" s="211"/>
      <c r="D157" s="211"/>
      <c r="E157" s="211"/>
      <c r="F157" s="211"/>
      <c r="G157" s="211"/>
      <c r="H157" s="211"/>
      <c r="I157" s="211"/>
      <c r="J157" s="211"/>
      <c r="K157" s="211"/>
      <c r="L157" s="211"/>
      <c r="M157" s="211"/>
      <c r="N157" s="211"/>
      <c r="O157" s="211"/>
      <c r="AM157" s="34">
        <f t="shared" si="66"/>
        <v>0.23540356941521168</v>
      </c>
      <c r="AN157" s="34">
        <f t="shared" si="51"/>
        <v>0.7543985191732645</v>
      </c>
      <c r="AO157" s="16">
        <f t="shared" si="52"/>
        <v>35.500000000000234</v>
      </c>
      <c r="AP157" s="16" t="e">
        <f t="shared" si="53"/>
        <v>#N/A</v>
      </c>
      <c r="AQ157" s="16">
        <f t="shared" si="54"/>
        <v>1.1570253622192212E-2</v>
      </c>
      <c r="AR157" s="34">
        <f t="shared" si="67"/>
        <v>0.40430968441069126</v>
      </c>
      <c r="AS157" s="34">
        <f t="shared" si="55"/>
        <v>0.10013280995190144</v>
      </c>
      <c r="AT157" s="540">
        <f t="shared" si="56"/>
        <v>45.100000000000371</v>
      </c>
      <c r="AU157" s="16" t="e">
        <f t="shared" si="57"/>
        <v>#N/A</v>
      </c>
      <c r="AV157" s="16">
        <f t="shared" si="58"/>
        <v>1.9383054221193579E-3</v>
      </c>
      <c r="AW157" s="34">
        <f t="shared" si="68"/>
        <v>0.48092375881969929</v>
      </c>
      <c r="AX157" s="34">
        <f t="shared" si="59"/>
        <v>0.84020585753023624</v>
      </c>
      <c r="AY157" s="16">
        <f t="shared" si="60"/>
        <v>49.000000000000426</v>
      </c>
      <c r="AZ157" s="16" t="e">
        <f t="shared" si="61"/>
        <v>#N/A</v>
      </c>
      <c r="BA157" s="16">
        <f t="shared" si="69"/>
        <v>1.6738745525984765E-2</v>
      </c>
      <c r="BB157" s="34">
        <f t="shared" si="70"/>
        <v>0.48390860296785831</v>
      </c>
      <c r="BC157" s="34">
        <f t="shared" si="62"/>
        <v>0.32049042172729969</v>
      </c>
      <c r="BD157" s="16">
        <f t="shared" si="63"/>
        <v>49.100000000000428</v>
      </c>
      <c r="BE157" s="16" t="e">
        <f t="shared" si="64"/>
        <v>#N/A</v>
      </c>
      <c r="BF157" s="16">
        <f t="shared" si="65"/>
        <v>6.3863894905474717E-3</v>
      </c>
      <c r="BU157" s="16">
        <f t="shared" si="47"/>
        <v>0</v>
      </c>
      <c r="BV157" s="16">
        <f>IF($BY$12=1,NORMDIST(BY157,$Y$6,$Y$8,TRUE),IF($BY$12=2,IF(BY157&lt;=$BX$31,0,IF(BY157&gt;=$BX$32,1,(BY157-$BX$31)*$BX$33)),SUM($BU$42:BU157)/$BV$40))</f>
        <v>2.7114679121649443E-2</v>
      </c>
      <c r="BW157" s="16">
        <f t="shared" si="48"/>
        <v>3.5967617062304301E-2</v>
      </c>
      <c r="BX157" s="16">
        <f>IF($BY$12&lt;3,BV157,SUM($BZ$42:BZ157)/$BX$40)</f>
        <v>2.7114679121649443E-2</v>
      </c>
      <c r="BY157" s="16">
        <f t="shared" si="72"/>
        <v>11.499999999999975</v>
      </c>
      <c r="BZ157" s="16">
        <f t="shared" si="38"/>
        <v>3.1276188749829897E-3</v>
      </c>
      <c r="CA157" s="16">
        <f t="shared" si="50"/>
        <v>-999</v>
      </c>
      <c r="CB157" s="16" t="str">
        <f t="shared" si="39"/>
        <v/>
      </c>
      <c r="CC157" s="16" t="e">
        <f>IF(CB157="",NA(),COUNTIF(CB157:$CB$704,CB157))</f>
        <v>#N/A</v>
      </c>
      <c r="CD157" s="16" t="e">
        <f t="shared" si="40"/>
        <v>#N/A</v>
      </c>
      <c r="CE157" s="16" t="e">
        <f t="shared" si="41"/>
        <v>#N/A</v>
      </c>
      <c r="CF157" s="16">
        <f t="shared" si="42"/>
        <v>99</v>
      </c>
      <c r="CG157" s="16">
        <f t="shared" si="43"/>
        <v>0</v>
      </c>
      <c r="CH157" s="16">
        <f t="shared" si="71"/>
        <v>0</v>
      </c>
      <c r="CJ157" s="16" t="e">
        <f t="shared" si="45"/>
        <v>#N/A</v>
      </c>
      <c r="CK157" s="16" t="str">
        <f t="shared" si="46"/>
        <v/>
      </c>
    </row>
    <row r="158" spans="1:89" ht="12" customHeight="1">
      <c r="A158" s="211"/>
      <c r="B158" s="211"/>
      <c r="C158" s="211"/>
      <c r="D158" s="211"/>
      <c r="E158" s="211"/>
      <c r="F158" s="211"/>
      <c r="G158" s="211"/>
      <c r="H158" s="211"/>
      <c r="I158" s="211"/>
      <c r="J158" s="211"/>
      <c r="K158" s="211"/>
      <c r="L158" s="211"/>
      <c r="M158" s="211"/>
      <c r="N158" s="211"/>
      <c r="O158" s="211"/>
      <c r="AM158" s="34">
        <f t="shared" si="66"/>
        <v>0.99891339428722858</v>
      </c>
      <c r="AN158" s="34">
        <f t="shared" si="51"/>
        <v>0.9287464115768671</v>
      </c>
      <c r="AO158" s="16" t="e">
        <f t="shared" si="52"/>
        <v>#N/A</v>
      </c>
      <c r="AP158" s="16" t="e">
        <f t="shared" si="53"/>
        <v>#N/A</v>
      </c>
      <c r="AQ158" s="16" t="e">
        <f t="shared" si="54"/>
        <v>#N/A</v>
      </c>
      <c r="AR158" s="34">
        <f t="shared" si="67"/>
        <v>0.40124554373323917</v>
      </c>
      <c r="AS158" s="34">
        <f t="shared" si="55"/>
        <v>0.65352446027100086</v>
      </c>
      <c r="AT158" s="540">
        <f t="shared" si="56"/>
        <v>44.900000000000368</v>
      </c>
      <c r="AU158" s="16" t="e">
        <f t="shared" si="57"/>
        <v>#N/A</v>
      </c>
      <c r="AV158" s="16">
        <f t="shared" si="58"/>
        <v>1.2618912179337942E-2</v>
      </c>
      <c r="AW158" s="34">
        <f t="shared" si="68"/>
        <v>0.49797851033508778</v>
      </c>
      <c r="AX158" s="34">
        <f t="shared" si="59"/>
        <v>0.57707151211798191</v>
      </c>
      <c r="AY158" s="16">
        <f t="shared" si="60"/>
        <v>49.800000000000438</v>
      </c>
      <c r="AZ158" s="16" t="e">
        <f t="shared" si="61"/>
        <v>#N/A</v>
      </c>
      <c r="BA158" s="16">
        <f t="shared" si="69"/>
        <v>1.1510335718778436E-2</v>
      </c>
      <c r="BB158" s="34">
        <f t="shared" si="70"/>
        <v>0.38364847935736179</v>
      </c>
      <c r="BC158" s="34">
        <f t="shared" si="62"/>
        <v>0.78100384958088398</v>
      </c>
      <c r="BD158" s="16">
        <f t="shared" si="63"/>
        <v>44.000000000000355</v>
      </c>
      <c r="BE158" s="16" t="e">
        <f t="shared" si="64"/>
        <v>#N/A</v>
      </c>
      <c r="BF158" s="16">
        <f t="shared" si="65"/>
        <v>1.489326760289573E-2</v>
      </c>
      <c r="BU158" s="16">
        <f t="shared" si="47"/>
        <v>0</v>
      </c>
      <c r="BV158" s="16">
        <f>IF($BY$12=1,NORMDIST(BY158,$Y$6,$Y$8,TRUE),IF($BY$12=2,IF(BY158&lt;=$BX$31,0,IF(BY158&gt;=$BX$32,1,(BY158-$BX$31)*$BX$33)),SUM($BU$42:BU158)/$BV$40))</f>
        <v>2.7428949703836691E-2</v>
      </c>
      <c r="BW158" s="16">
        <f t="shared" si="48"/>
        <v>3.6630805632415046E-2</v>
      </c>
      <c r="BX158" s="16">
        <f>IF($BY$12&lt;3,BV158,SUM($BZ$42:BZ158)/$BX$40)</f>
        <v>2.7428949703836691E-2</v>
      </c>
      <c r="BY158" s="16">
        <f t="shared" si="72"/>
        <v>11.599999999999975</v>
      </c>
      <c r="BZ158" s="16">
        <f t="shared" si="38"/>
        <v>3.1578280717599245E-3</v>
      </c>
      <c r="CA158" s="16">
        <f t="shared" si="50"/>
        <v>-999</v>
      </c>
      <c r="CB158" s="16" t="str">
        <f t="shared" si="39"/>
        <v/>
      </c>
      <c r="CC158" s="16" t="e">
        <f>IF(CB158="",NA(),COUNTIF(CB158:$CB$704,CB158))</f>
        <v>#N/A</v>
      </c>
      <c r="CD158" s="16" t="e">
        <f t="shared" si="40"/>
        <v>#N/A</v>
      </c>
      <c r="CE158" s="16" t="e">
        <f t="shared" si="41"/>
        <v>#N/A</v>
      </c>
      <c r="CF158" s="16">
        <f t="shared" si="42"/>
        <v>99</v>
      </c>
      <c r="CG158" s="16">
        <f t="shared" si="43"/>
        <v>0</v>
      </c>
      <c r="CH158" s="16">
        <f t="shared" si="71"/>
        <v>0</v>
      </c>
      <c r="CJ158" s="16" t="e">
        <f t="shared" si="45"/>
        <v>#N/A</v>
      </c>
      <c r="CK158" s="16" t="str">
        <f t="shared" si="46"/>
        <v/>
      </c>
    </row>
    <row r="159" spans="1:89" ht="12" customHeight="1">
      <c r="A159" s="211"/>
      <c r="B159" s="211"/>
      <c r="C159" s="211"/>
      <c r="D159" s="211"/>
      <c r="E159" s="211"/>
      <c r="F159" s="211"/>
      <c r="G159" s="211"/>
      <c r="H159" s="211"/>
      <c r="I159" s="211"/>
      <c r="J159" s="211"/>
      <c r="K159" s="211"/>
      <c r="L159" s="211"/>
      <c r="M159" s="211"/>
      <c r="N159" s="211"/>
      <c r="O159" s="211"/>
      <c r="AM159" s="34">
        <f t="shared" si="66"/>
        <v>0.18947202153503895</v>
      </c>
      <c r="AN159" s="34">
        <f t="shared" si="51"/>
        <v>0.67848666943609715</v>
      </c>
      <c r="AO159" s="16">
        <f t="shared" si="52"/>
        <v>32.40000000000019</v>
      </c>
      <c r="AP159" s="16" t="e">
        <f t="shared" si="53"/>
        <v>#N/A</v>
      </c>
      <c r="AQ159" s="16">
        <f t="shared" si="54"/>
        <v>9.1888797047844414E-3</v>
      </c>
      <c r="AR159" s="34">
        <f t="shared" si="67"/>
        <v>9.8527992144227028E-2</v>
      </c>
      <c r="AS159" s="34">
        <f t="shared" si="55"/>
        <v>0.20230616815388203</v>
      </c>
      <c r="AT159" s="540">
        <f t="shared" si="56"/>
        <v>24.200000000000074</v>
      </c>
      <c r="AU159" s="16" t="e">
        <f t="shared" si="57"/>
        <v>#N/A</v>
      </c>
      <c r="AV159" s="16">
        <f t="shared" si="58"/>
        <v>1.7560402688257596E-3</v>
      </c>
      <c r="AW159" s="34">
        <f t="shared" si="68"/>
        <v>0.6231094766408205</v>
      </c>
      <c r="AX159" s="34">
        <f t="shared" si="59"/>
        <v>0.86683140136301517</v>
      </c>
      <c r="AY159" s="16">
        <f t="shared" si="60"/>
        <v>56.200000000000529</v>
      </c>
      <c r="AZ159" s="16" t="e">
        <f t="shared" si="61"/>
        <v>#N/A</v>
      </c>
      <c r="BA159" s="16">
        <f t="shared" si="69"/>
        <v>1.647960719621196E-2</v>
      </c>
      <c r="BB159" s="34">
        <f t="shared" si="70"/>
        <v>0.64885888434946537</v>
      </c>
      <c r="BC159" s="34">
        <f t="shared" si="62"/>
        <v>0.27866015024483204</v>
      </c>
      <c r="BD159" s="16">
        <f t="shared" si="63"/>
        <v>57.600000000000549</v>
      </c>
      <c r="BE159" s="16" t="e">
        <f t="shared" si="64"/>
        <v>#N/A</v>
      </c>
      <c r="BF159" s="16">
        <f t="shared" si="65"/>
        <v>5.1712897893129986E-3</v>
      </c>
      <c r="BU159" s="16">
        <f t="shared" si="47"/>
        <v>0</v>
      </c>
      <c r="BV159" s="16">
        <f>IF($BY$12=1,NORMDIST(BY159,$Y$6,$Y$8,TRUE),IF($BY$12=2,IF(BY159&lt;=$BX$31,0,IF(BY159&gt;=$BX$32,1,(BY159-$BX$31)*$BX$33)),SUM($BU$42:BU159)/$BV$40))</f>
        <v>2.7746251805307987E-2</v>
      </c>
      <c r="BW159" s="16">
        <f t="shared" si="48"/>
        <v>3.7302517364121567E-2</v>
      </c>
      <c r="BX159" s="16">
        <f>IF($BY$12&lt;3,BV159,SUM($BZ$42:BZ159)/$BX$40)</f>
        <v>2.7746251805307987E-2</v>
      </c>
      <c r="BY159" s="16">
        <f t="shared" si="72"/>
        <v>11.699999999999974</v>
      </c>
      <c r="BZ159" s="16">
        <f t="shared" si="38"/>
        <v>3.1882493473608243E-3</v>
      </c>
      <c r="CA159" s="16">
        <f t="shared" si="50"/>
        <v>-999</v>
      </c>
      <c r="CB159" s="16" t="str">
        <f t="shared" si="39"/>
        <v/>
      </c>
      <c r="CC159" s="16" t="e">
        <f>IF(CB159="",NA(),COUNTIF(CB159:$CB$704,CB159))</f>
        <v>#N/A</v>
      </c>
      <c r="CD159" s="16" t="e">
        <f t="shared" si="40"/>
        <v>#N/A</v>
      </c>
      <c r="CE159" s="16" t="e">
        <f t="shared" si="41"/>
        <v>#N/A</v>
      </c>
      <c r="CF159" s="16">
        <f t="shared" si="42"/>
        <v>99</v>
      </c>
      <c r="CG159" s="16">
        <f t="shared" si="43"/>
        <v>0</v>
      </c>
      <c r="CH159" s="16">
        <f t="shared" si="71"/>
        <v>0</v>
      </c>
      <c r="CJ159" s="16" t="e">
        <f t="shared" si="45"/>
        <v>#N/A</v>
      </c>
      <c r="CK159" s="16" t="str">
        <f t="shared" si="46"/>
        <v/>
      </c>
    </row>
    <row r="160" spans="1:89" ht="12" customHeight="1">
      <c r="A160" s="211"/>
      <c r="B160" s="211"/>
      <c r="C160" s="211"/>
      <c r="D160" s="211"/>
      <c r="E160" s="211"/>
      <c r="F160" s="211"/>
      <c r="G160" s="211"/>
      <c r="H160" s="211"/>
      <c r="I160" s="211"/>
      <c r="J160" s="211"/>
      <c r="K160" s="211"/>
      <c r="L160" s="211"/>
      <c r="M160" s="211"/>
      <c r="N160" s="211"/>
      <c r="O160" s="211"/>
      <c r="AM160" s="34">
        <f t="shared" si="66"/>
        <v>0.51468767412006855</v>
      </c>
      <c r="AN160" s="34">
        <f t="shared" si="51"/>
        <v>0.43214044906198978</v>
      </c>
      <c r="AO160" s="16">
        <f t="shared" si="52"/>
        <v>50.70000000000045</v>
      </c>
      <c r="AP160" s="16" t="e">
        <f t="shared" si="53"/>
        <v>#N/A</v>
      </c>
      <c r="AQ160" s="16">
        <f t="shared" si="54"/>
        <v>8.6146767043881519E-3</v>
      </c>
      <c r="AR160" s="34">
        <f t="shared" si="67"/>
        <v>0.31151900626718998</v>
      </c>
      <c r="AS160" s="34">
        <f t="shared" si="55"/>
        <v>0.11241898126900196</v>
      </c>
      <c r="AT160" s="540">
        <f t="shared" si="56"/>
        <v>40.1000000000003</v>
      </c>
      <c r="AU160" s="16" t="e">
        <f t="shared" si="57"/>
        <v>#N/A</v>
      </c>
      <c r="AV160" s="16">
        <f t="shared" si="58"/>
        <v>1.9838700127389596E-3</v>
      </c>
      <c r="AW160" s="34">
        <f t="shared" si="68"/>
        <v>0.2824383694678545</v>
      </c>
      <c r="AX160" s="34">
        <f t="shared" si="59"/>
        <v>0.36637734808027744</v>
      </c>
      <c r="AY160" s="16">
        <f t="shared" si="60"/>
        <v>38.400000000000276</v>
      </c>
      <c r="AZ160" s="16" t="e">
        <f t="shared" si="61"/>
        <v>#N/A</v>
      </c>
      <c r="BA160" s="16">
        <f t="shared" si="69"/>
        <v>6.1767546821750842E-3</v>
      </c>
      <c r="BB160" s="34">
        <f t="shared" si="70"/>
        <v>0.12503027357161045</v>
      </c>
      <c r="BC160" s="34">
        <f t="shared" si="62"/>
        <v>0.36110966093838215</v>
      </c>
      <c r="BD160" s="16">
        <f t="shared" si="63"/>
        <v>26.900000000000112</v>
      </c>
      <c r="BE160" s="16" t="e">
        <f t="shared" si="64"/>
        <v>#N/A</v>
      </c>
      <c r="BF160" s="16">
        <f t="shared" si="65"/>
        <v>3.6969138439103127E-3</v>
      </c>
      <c r="BU160" s="16">
        <f t="shared" si="47"/>
        <v>0</v>
      </c>
      <c r="BV160" s="16">
        <f>IF($BY$12=1,NORMDIST(BY160,$Y$6,$Y$8,TRUE),IF($BY$12=2,IF(BY160&lt;=$BX$31,0,IF(BY160&gt;=$BX$32,1,(BY160-$BX$31)*$BX$33)),SUM($BU$42:BU160)/$BV$40))</f>
        <v>2.8066606659772564E-2</v>
      </c>
      <c r="BW160" s="16">
        <f t="shared" si="48"/>
        <v>3.7982821954681729E-2</v>
      </c>
      <c r="BX160" s="16">
        <f>IF($BY$12&lt;3,BV160,SUM($BZ$42:BZ160)/$BX$40)</f>
        <v>2.8066606659772564E-2</v>
      </c>
      <c r="BY160" s="16">
        <f t="shared" si="72"/>
        <v>11.799999999999974</v>
      </c>
      <c r="BZ160" s="16">
        <f t="shared" si="38"/>
        <v>3.218883216498459E-3</v>
      </c>
      <c r="CA160" s="16">
        <f t="shared" si="50"/>
        <v>-999</v>
      </c>
      <c r="CB160" s="16" t="str">
        <f t="shared" si="39"/>
        <v/>
      </c>
      <c r="CC160" s="16" t="e">
        <f>IF(CB160="",NA(),COUNTIF(CB160:$CB$704,CB160))</f>
        <v>#N/A</v>
      </c>
      <c r="CD160" s="16" t="e">
        <f t="shared" si="40"/>
        <v>#N/A</v>
      </c>
      <c r="CE160" s="16" t="e">
        <f t="shared" si="41"/>
        <v>#N/A</v>
      </c>
      <c r="CF160" s="16">
        <f t="shared" si="42"/>
        <v>99</v>
      </c>
      <c r="CG160" s="16">
        <f t="shared" si="43"/>
        <v>0</v>
      </c>
      <c r="CH160" s="16">
        <f t="shared" si="71"/>
        <v>0</v>
      </c>
      <c r="CJ160" s="16" t="e">
        <f t="shared" si="45"/>
        <v>#N/A</v>
      </c>
      <c r="CK160" s="16" t="str">
        <f t="shared" si="46"/>
        <v/>
      </c>
    </row>
    <row r="161" spans="1:89" ht="12" customHeight="1">
      <c r="A161" s="211"/>
      <c r="B161" s="211"/>
      <c r="C161" s="211"/>
      <c r="D161" s="211"/>
      <c r="E161" s="211"/>
      <c r="F161" s="211"/>
      <c r="G161" s="211"/>
      <c r="H161" s="211"/>
      <c r="I161" s="211"/>
      <c r="J161" s="211"/>
      <c r="K161" s="211"/>
      <c r="L161" s="211"/>
      <c r="M161" s="211"/>
      <c r="N161" s="211"/>
      <c r="O161" s="211"/>
      <c r="AM161" s="34">
        <f t="shared" si="66"/>
        <v>0.10844573564827442</v>
      </c>
      <c r="AN161" s="34">
        <f t="shared" si="51"/>
        <v>0.76627730764448643</v>
      </c>
      <c r="AO161" s="16">
        <f t="shared" si="52"/>
        <v>25.30000000000009</v>
      </c>
      <c r="AP161" s="16" t="e">
        <f t="shared" si="53"/>
        <v>#N/A</v>
      </c>
      <c r="AQ161" s="16">
        <f t="shared" si="54"/>
        <v>7.1296405391723114E-3</v>
      </c>
      <c r="AR161" s="34">
        <f t="shared" si="67"/>
        <v>0.27413677610456944</v>
      </c>
      <c r="AS161" s="34">
        <f t="shared" si="55"/>
        <v>0.32482378371059895</v>
      </c>
      <c r="AT161" s="540">
        <f t="shared" si="56"/>
        <v>37.900000000000269</v>
      </c>
      <c r="AU161" s="16" t="e">
        <f t="shared" si="57"/>
        <v>#N/A</v>
      </c>
      <c r="AV161" s="16">
        <f t="shared" si="58"/>
        <v>5.3956848084082834E-3</v>
      </c>
      <c r="AW161" s="34">
        <f t="shared" si="68"/>
        <v>0.24370829947292805</v>
      </c>
      <c r="AX161" s="34">
        <f t="shared" si="59"/>
        <v>0.16293717361986637</v>
      </c>
      <c r="AY161" s="16">
        <f t="shared" si="60"/>
        <v>36.100000000000243</v>
      </c>
      <c r="AZ161" s="16" t="e">
        <f t="shared" si="61"/>
        <v>#N/A</v>
      </c>
      <c r="BA161" s="16">
        <f t="shared" si="69"/>
        <v>2.55277596767354E-3</v>
      </c>
      <c r="BB161" s="34">
        <f t="shared" si="70"/>
        <v>0.30380941368639469</v>
      </c>
      <c r="BC161" s="34">
        <f t="shared" si="62"/>
        <v>8.6386324837803841E-2</v>
      </c>
      <c r="BD161" s="16">
        <f t="shared" si="63"/>
        <v>39.700000000000294</v>
      </c>
      <c r="BE161" s="16" t="e">
        <f t="shared" si="64"/>
        <v>#N/A</v>
      </c>
      <c r="BF161" s="16">
        <f t="shared" si="65"/>
        <v>1.5091492465720033E-3</v>
      </c>
      <c r="BU161" s="16">
        <f t="shared" si="47"/>
        <v>0</v>
      </c>
      <c r="BV161" s="16">
        <f>IF($BY$12=1,NORMDIST(BY161,$Y$6,$Y$8,TRUE),IF($BY$12=2,IF(BY161&lt;=$BX$31,0,IF(BY161&gt;=$BX$32,1,(BY161-$BX$31)*$BX$33)),SUM($BU$42:BU161)/$BV$40))</f>
        <v>2.8390035551859372E-2</v>
      </c>
      <c r="BW161" s="16">
        <f t="shared" si="48"/>
        <v>3.8671789175519278E-2</v>
      </c>
      <c r="BX161" s="16">
        <f>IF($BY$12&lt;3,BV161,SUM($BZ$42:BZ161)/$BX$40)</f>
        <v>2.8390035551859372E-2</v>
      </c>
      <c r="BY161" s="16">
        <f t="shared" si="72"/>
        <v>11.899999999999974</v>
      </c>
      <c r="BZ161" s="16">
        <f t="shared" si="38"/>
        <v>3.2497301828167532E-3</v>
      </c>
      <c r="CA161" s="16">
        <f t="shared" si="50"/>
        <v>-999</v>
      </c>
      <c r="CB161" s="16" t="str">
        <f t="shared" si="39"/>
        <v/>
      </c>
      <c r="CC161" s="16" t="e">
        <f>IF(CB161="",NA(),COUNTIF(CB161:$CB$704,CB161))</f>
        <v>#N/A</v>
      </c>
      <c r="CD161" s="16" t="e">
        <f t="shared" si="40"/>
        <v>#N/A</v>
      </c>
      <c r="CE161" s="16" t="e">
        <f t="shared" si="41"/>
        <v>#N/A</v>
      </c>
      <c r="CF161" s="16">
        <f t="shared" si="42"/>
        <v>99</v>
      </c>
      <c r="CG161" s="16">
        <f t="shared" si="43"/>
        <v>0</v>
      </c>
      <c r="CH161" s="16">
        <f t="shared" si="71"/>
        <v>0</v>
      </c>
      <c r="CJ161" s="16" t="e">
        <f t="shared" si="45"/>
        <v>#N/A</v>
      </c>
      <c r="CK161" s="16" t="str">
        <f t="shared" si="46"/>
        <v/>
      </c>
    </row>
    <row r="162" spans="1:89" ht="12" customHeight="1">
      <c r="A162" s="211"/>
      <c r="B162" s="211"/>
      <c r="C162" s="211"/>
      <c r="D162" s="211"/>
      <c r="E162" s="211"/>
      <c r="F162" s="211"/>
      <c r="G162" s="211"/>
      <c r="H162" s="211"/>
      <c r="I162" s="211"/>
      <c r="J162" s="211"/>
      <c r="K162" s="211"/>
      <c r="L162" s="211"/>
      <c r="M162" s="211"/>
      <c r="N162" s="211"/>
      <c r="O162" s="211"/>
      <c r="AM162" s="34">
        <f t="shared" si="66"/>
        <v>3.8049863651394844E-2</v>
      </c>
      <c r="AN162" s="34">
        <f t="shared" si="51"/>
        <v>0.13116217590868473</v>
      </c>
      <c r="AO162" s="16">
        <f t="shared" si="52"/>
        <v>14.499999999999964</v>
      </c>
      <c r="AP162" s="16" t="e">
        <f t="shared" si="53"/>
        <v>#N/A</v>
      </c>
      <c r="AQ162" s="16">
        <f t="shared" si="54"/>
        <v>5.4142606178780677E-4</v>
      </c>
      <c r="AR162" s="34">
        <f t="shared" si="67"/>
        <v>5.9815177693963051E-2</v>
      </c>
      <c r="AS162" s="34">
        <f t="shared" si="55"/>
        <v>0.55453694052994251</v>
      </c>
      <c r="AT162" s="540">
        <f t="shared" si="56"/>
        <v>18.799999999999997</v>
      </c>
      <c r="AU162" s="16" t="e">
        <f t="shared" si="57"/>
        <v>#N/A</v>
      </c>
      <c r="AV162" s="16">
        <f t="shared" si="58"/>
        <v>3.2761292451817217E-3</v>
      </c>
      <c r="AW162" s="34">
        <f t="shared" si="68"/>
        <v>0.85438192076981068</v>
      </c>
      <c r="AX162" s="34">
        <f t="shared" si="59"/>
        <v>0.31466307677328587</v>
      </c>
      <c r="AY162" s="16">
        <f t="shared" si="60"/>
        <v>71.100000000000236</v>
      </c>
      <c r="AZ162" s="16" t="e">
        <f t="shared" si="61"/>
        <v>#N/A</v>
      </c>
      <c r="BA162" s="16">
        <f t="shared" si="69"/>
        <v>3.5977878198403868E-3</v>
      </c>
      <c r="BB162" s="34">
        <f t="shared" si="70"/>
        <v>0.371400261297822</v>
      </c>
      <c r="BC162" s="34">
        <f t="shared" si="62"/>
        <v>0.4411816168576479</v>
      </c>
      <c r="BD162" s="16">
        <f t="shared" si="63"/>
        <v>43.400000000000347</v>
      </c>
      <c r="BE162" s="16" t="e">
        <f t="shared" si="64"/>
        <v>#N/A</v>
      </c>
      <c r="BF162" s="16">
        <f t="shared" si="65"/>
        <v>8.3339356660900518E-3</v>
      </c>
      <c r="BU162" s="16">
        <f t="shared" si="47"/>
        <v>0</v>
      </c>
      <c r="BV162" s="16">
        <f>IF($BY$12=1,NORMDIST(BY162,$Y$6,$Y$8,TRUE),IF($BY$12=2,IF(BY162&lt;=$BX$31,0,IF(BY162&gt;=$BX$32,1,(BY162-$BX$31)*$BX$33)),SUM($BU$42:BU162)/$BV$40))</f>
        <v>2.8716559816001741E-2</v>
      </c>
      <c r="BW162" s="16">
        <f t="shared" si="48"/>
        <v>3.9369488864805749E-2</v>
      </c>
      <c r="BX162" s="16">
        <f>IF($BY$12&lt;3,BV162,SUM($BZ$42:BZ162)/$BX$40)</f>
        <v>2.8716559816001741E-2</v>
      </c>
      <c r="BY162" s="16">
        <f t="shared" si="72"/>
        <v>11.999999999999973</v>
      </c>
      <c r="BZ162" s="16">
        <f t="shared" si="38"/>
        <v>3.2807907387338198E-3</v>
      </c>
      <c r="CA162" s="16">
        <f t="shared" si="50"/>
        <v>-999</v>
      </c>
      <c r="CB162" s="16" t="str">
        <f t="shared" si="39"/>
        <v/>
      </c>
      <c r="CC162" s="16" t="e">
        <f>IF(CB162="",NA(),COUNTIF(CB162:$CB$704,CB162))</f>
        <v>#N/A</v>
      </c>
      <c r="CD162" s="16" t="e">
        <f t="shared" si="40"/>
        <v>#N/A</v>
      </c>
      <c r="CE162" s="16" t="e">
        <f t="shared" si="41"/>
        <v>#N/A</v>
      </c>
      <c r="CF162" s="16">
        <f t="shared" si="42"/>
        <v>99</v>
      </c>
      <c r="CG162" s="16">
        <f t="shared" si="43"/>
        <v>0</v>
      </c>
      <c r="CH162" s="16">
        <f t="shared" si="71"/>
        <v>0</v>
      </c>
      <c r="CJ162" s="16" t="e">
        <f t="shared" si="45"/>
        <v>#N/A</v>
      </c>
      <c r="CK162" s="16" t="str">
        <f t="shared" si="46"/>
        <v/>
      </c>
    </row>
    <row r="163" spans="1:89" ht="12" customHeight="1">
      <c r="A163" s="211"/>
      <c r="B163" s="211"/>
      <c r="C163" s="211"/>
      <c r="D163" s="211"/>
      <c r="E163" s="211"/>
      <c r="F163" s="211"/>
      <c r="G163" s="211"/>
      <c r="H163" s="211"/>
      <c r="I163" s="211"/>
      <c r="J163" s="211"/>
      <c r="K163" s="211"/>
      <c r="L163" s="211"/>
      <c r="M163" s="211"/>
      <c r="N163" s="211"/>
      <c r="O163" s="211"/>
      <c r="AM163" s="34">
        <f t="shared" si="66"/>
        <v>0.46419513411819935</v>
      </c>
      <c r="AN163" s="34">
        <f t="shared" si="51"/>
        <v>0.3757187370210886</v>
      </c>
      <c r="AO163" s="16">
        <f t="shared" si="52"/>
        <v>48.200000000000415</v>
      </c>
      <c r="AP163" s="16" t="e">
        <f t="shared" si="53"/>
        <v>#N/A</v>
      </c>
      <c r="AQ163" s="16">
        <f t="shared" si="54"/>
        <v>7.4642131250773451E-3</v>
      </c>
      <c r="AR163" s="34">
        <f t="shared" si="67"/>
        <v>0.61427965201437473</v>
      </c>
      <c r="AS163" s="34">
        <f t="shared" si="55"/>
        <v>0.50577922351658344</v>
      </c>
      <c r="AT163" s="540">
        <f t="shared" si="56"/>
        <v>55.800000000000523</v>
      </c>
      <c r="AU163" s="16" t="e">
        <f t="shared" si="57"/>
        <v>#N/A</v>
      </c>
      <c r="AV163" s="16">
        <f t="shared" si="58"/>
        <v>9.6733961266835776E-3</v>
      </c>
      <c r="AW163" s="34">
        <f t="shared" si="68"/>
        <v>0.85835285671055317</v>
      </c>
      <c r="AX163" s="34">
        <f t="shared" si="59"/>
        <v>0.72569266892969608</v>
      </c>
      <c r="AY163" s="16">
        <f t="shared" si="60"/>
        <v>71.400000000000219</v>
      </c>
      <c r="AZ163" s="16" t="e">
        <f t="shared" si="61"/>
        <v>#N/A</v>
      </c>
      <c r="BA163" s="16">
        <f t="shared" si="69"/>
        <v>8.1662172553155065E-3</v>
      </c>
      <c r="BB163" s="34">
        <f t="shared" si="70"/>
        <v>0.90393749810755253</v>
      </c>
      <c r="BC163" s="34">
        <f t="shared" si="62"/>
        <v>0.73226300068199635</v>
      </c>
      <c r="BD163" s="16">
        <f t="shared" si="63"/>
        <v>75.999999999999957</v>
      </c>
      <c r="BE163" s="16" t="e">
        <f t="shared" si="64"/>
        <v>#N/A</v>
      </c>
      <c r="BF163" s="16">
        <f t="shared" si="65"/>
        <v>6.2743439717788327E-3</v>
      </c>
      <c r="BU163" s="16">
        <f t="shared" si="47"/>
        <v>0</v>
      </c>
      <c r="BV163" s="16">
        <f>IF($BY$12=1,NORMDIST(BY163,$Y$6,$Y$8,TRUE),IF($BY$12=2,IF(BY163&lt;=$BX$31,0,IF(BY163&gt;=$BX$32,1,(BY163-$BX$31)*$BX$33)),SUM($BU$42:BU163)/$BV$40))</f>
        <v>2.9046200835306624E-2</v>
      </c>
      <c r="BW163" s="16">
        <f t="shared" si="48"/>
        <v>4.0075990919947534E-2</v>
      </c>
      <c r="BX163" s="16">
        <f>IF($BY$12&lt;3,BV163,SUM($BZ$42:BZ163)/$BX$40)</f>
        <v>2.9046200835306624E-2</v>
      </c>
      <c r="BY163" s="16">
        <f t="shared" si="72"/>
        <v>12.099999999999973</v>
      </c>
      <c r="BZ163" s="16">
        <f t="shared" si="38"/>
        <v>3.3120653652849276E-3</v>
      </c>
      <c r="CA163" s="16">
        <f t="shared" si="50"/>
        <v>-999</v>
      </c>
      <c r="CB163" s="16" t="str">
        <f t="shared" si="39"/>
        <v/>
      </c>
      <c r="CC163" s="16" t="e">
        <f>IF(CB163="",NA(),COUNTIF(CB163:$CB$704,CB163))</f>
        <v>#N/A</v>
      </c>
      <c r="CD163" s="16" t="e">
        <f t="shared" si="40"/>
        <v>#N/A</v>
      </c>
      <c r="CE163" s="16" t="e">
        <f t="shared" si="41"/>
        <v>#N/A</v>
      </c>
      <c r="CF163" s="16">
        <f t="shared" si="42"/>
        <v>99</v>
      </c>
      <c r="CG163" s="16">
        <f t="shared" si="43"/>
        <v>0</v>
      </c>
      <c r="CH163" s="16">
        <f t="shared" si="71"/>
        <v>0</v>
      </c>
      <c r="CJ163" s="16" t="e">
        <f t="shared" si="45"/>
        <v>#N/A</v>
      </c>
      <c r="CK163" s="16" t="str">
        <f t="shared" si="46"/>
        <v/>
      </c>
    </row>
    <row r="164" spans="1:89" ht="12" customHeight="1">
      <c r="A164" s="211"/>
      <c r="B164" s="211"/>
      <c r="C164" s="211"/>
      <c r="D164" s="211"/>
      <c r="E164" s="211"/>
      <c r="F164" s="211"/>
      <c r="G164" s="211"/>
      <c r="H164" s="211"/>
      <c r="I164" s="211"/>
      <c r="J164" s="211"/>
      <c r="K164" s="211"/>
      <c r="L164" s="211"/>
      <c r="M164" s="211"/>
      <c r="N164" s="211"/>
      <c r="O164" s="211"/>
      <c r="AM164" s="34">
        <f t="shared" si="66"/>
        <v>0.25455446727573872</v>
      </c>
      <c r="AN164" s="34">
        <f t="shared" si="51"/>
        <v>0.98196546174585819</v>
      </c>
      <c r="AO164" s="16">
        <f t="shared" si="52"/>
        <v>36.700000000000252</v>
      </c>
      <c r="AP164" s="16" t="e">
        <f t="shared" si="53"/>
        <v>#N/A</v>
      </c>
      <c r="AQ164" s="16" t="e">
        <f t="shared" si="54"/>
        <v>#N/A</v>
      </c>
      <c r="AR164" s="34">
        <f t="shared" si="67"/>
        <v>0.81029574014246464</v>
      </c>
      <c r="AS164" s="34">
        <f t="shared" si="55"/>
        <v>0.93526926822960377</v>
      </c>
      <c r="AT164" s="540">
        <f t="shared" si="56"/>
        <v>67.500000000000441</v>
      </c>
      <c r="AU164" s="16" t="e">
        <f t="shared" si="57"/>
        <v>#N/A</v>
      </c>
      <c r="AV164" s="16">
        <f t="shared" si="58"/>
        <v>1.2722233962585074E-2</v>
      </c>
      <c r="AW164" s="34">
        <f t="shared" si="68"/>
        <v>0.12330165691673756</v>
      </c>
      <c r="AX164" s="34">
        <f t="shared" si="59"/>
        <v>0.17208891548216343</v>
      </c>
      <c r="AY164" s="16">
        <f t="shared" si="60"/>
        <v>26.800000000000111</v>
      </c>
      <c r="AZ164" s="16" t="e">
        <f t="shared" si="61"/>
        <v>#N/A</v>
      </c>
      <c r="BA164" s="16">
        <f t="shared" si="69"/>
        <v>1.7516189717077695E-3</v>
      </c>
      <c r="BB164" s="34">
        <f t="shared" si="70"/>
        <v>0.52623897232115269</v>
      </c>
      <c r="BC164" s="34">
        <f t="shared" si="62"/>
        <v>0.56431816704571247</v>
      </c>
      <c r="BD164" s="16">
        <f t="shared" si="63"/>
        <v>51.300000000000459</v>
      </c>
      <c r="BE164" s="16" t="e">
        <f t="shared" si="64"/>
        <v>#N/A</v>
      </c>
      <c r="BF164" s="16">
        <f t="shared" si="65"/>
        <v>1.1232764524957714E-2</v>
      </c>
      <c r="BU164" s="16">
        <f t="shared" si="47"/>
        <v>0</v>
      </c>
      <c r="BV164" s="16">
        <f>IF($BY$12=1,NORMDIST(BY164,$Y$6,$Y$8,TRUE),IF($BY$12=2,IF(BY164&lt;=$BX$31,0,IF(BY164&gt;=$BX$32,1,(BY164-$BX$31)*$BX$33)),SUM($BU$42:BU164)/$BV$40))</f>
        <v>2.9378980040409397E-2</v>
      </c>
      <c r="BW164" s="16">
        <f t="shared" si="48"/>
        <v>4.0791365289977163E-2</v>
      </c>
      <c r="BX164" s="16">
        <f>IF($BY$12&lt;3,BV164,SUM($BZ$42:BZ164)/$BX$40)</f>
        <v>2.9378980040409397E-2</v>
      </c>
      <c r="BY164" s="16">
        <f t="shared" si="72"/>
        <v>12.199999999999973</v>
      </c>
      <c r="BZ164" s="16">
        <f t="shared" si="38"/>
        <v>3.3435545319653488E-3</v>
      </c>
      <c r="CA164" s="16">
        <f t="shared" si="50"/>
        <v>-999</v>
      </c>
      <c r="CB164" s="16" t="str">
        <f t="shared" si="39"/>
        <v/>
      </c>
      <c r="CC164" s="16" t="e">
        <f>IF(CB164="",NA(),COUNTIF(CB164:$CB$704,CB164))</f>
        <v>#N/A</v>
      </c>
      <c r="CD164" s="16" t="e">
        <f t="shared" si="40"/>
        <v>#N/A</v>
      </c>
      <c r="CE164" s="16" t="e">
        <f t="shared" si="41"/>
        <v>#N/A</v>
      </c>
      <c r="CF164" s="16">
        <f t="shared" si="42"/>
        <v>99</v>
      </c>
      <c r="CG164" s="16">
        <f t="shared" si="43"/>
        <v>0</v>
      </c>
      <c r="CH164" s="16">
        <f t="shared" si="71"/>
        <v>0</v>
      </c>
      <c r="CJ164" s="16" t="e">
        <f t="shared" si="45"/>
        <v>#N/A</v>
      </c>
      <c r="CK164" s="16" t="str">
        <f t="shared" si="46"/>
        <v/>
      </c>
    </row>
    <row r="165" spans="1:89" ht="12" customHeight="1">
      <c r="A165" s="211"/>
      <c r="B165" s="211"/>
      <c r="C165" s="211"/>
      <c r="D165" s="211"/>
      <c r="E165" s="211"/>
      <c r="F165" s="211"/>
      <c r="G165" s="211"/>
      <c r="H165" s="211"/>
      <c r="I165" s="211"/>
      <c r="J165" s="211"/>
      <c r="K165" s="211"/>
      <c r="L165" s="211"/>
      <c r="M165" s="211"/>
      <c r="N165" s="211"/>
      <c r="O165" s="211"/>
      <c r="AM165" s="34">
        <f t="shared" si="66"/>
        <v>0.38300958462059498</v>
      </c>
      <c r="AN165" s="34">
        <f t="shared" si="51"/>
        <v>0.82533054985105991</v>
      </c>
      <c r="AO165" s="16">
        <f t="shared" si="52"/>
        <v>44.000000000000355</v>
      </c>
      <c r="AP165" s="16" t="e">
        <f t="shared" si="53"/>
        <v>#N/A</v>
      </c>
      <c r="AQ165" s="16">
        <f t="shared" si="54"/>
        <v>1.5738550772026526E-2</v>
      </c>
      <c r="AR165" s="34">
        <f t="shared" si="67"/>
        <v>0.84079652465879917</v>
      </c>
      <c r="AS165" s="34">
        <f t="shared" si="55"/>
        <v>0.17694281227886677</v>
      </c>
      <c r="AT165" s="540">
        <f t="shared" si="56"/>
        <v>69.900000000000304</v>
      </c>
      <c r="AU165" s="16" t="e">
        <f t="shared" si="57"/>
        <v>#N/A</v>
      </c>
      <c r="AV165" s="16">
        <f t="shared" si="58"/>
        <v>2.1514526800909305E-3</v>
      </c>
      <c r="AW165" s="34">
        <f t="shared" si="68"/>
        <v>0.39197753556072712</v>
      </c>
      <c r="AX165" s="34">
        <f t="shared" si="59"/>
        <v>0.45131523348391056</v>
      </c>
      <c r="AY165" s="16">
        <f t="shared" si="60"/>
        <v>44.500000000000362</v>
      </c>
      <c r="AZ165" s="16" t="e">
        <f t="shared" si="61"/>
        <v>#N/A</v>
      </c>
      <c r="BA165" s="16">
        <f t="shared" si="69"/>
        <v>8.6683872125725564E-3</v>
      </c>
      <c r="BB165" s="34">
        <f t="shared" si="70"/>
        <v>6.5932963043451309E-3</v>
      </c>
      <c r="BC165" s="34">
        <f t="shared" si="62"/>
        <v>4.8756303265690804E-2</v>
      </c>
      <c r="BD165" s="16">
        <f t="shared" si="63"/>
        <v>0.4</v>
      </c>
      <c r="BE165" s="16" t="e">
        <f t="shared" si="64"/>
        <v>#N/A</v>
      </c>
      <c r="BF165" s="16">
        <f t="shared" si="65"/>
        <v>4.491262605282178E-5</v>
      </c>
      <c r="BU165" s="16">
        <f t="shared" si="47"/>
        <v>0</v>
      </c>
      <c r="BV165" s="16">
        <f>IF($BY$12=1,NORMDIST(BY165,$Y$6,$Y$8,TRUE),IF($BY$12=2,IF(BY165&lt;=$BX$31,0,IF(BY165&gt;=$BX$32,1,(BY165-$BX$31)*$BX$33)),SUM($BU$42:BU165)/$BV$40))</f>
        <v>2.9714918908310572E-2</v>
      </c>
      <c r="BW165" s="16">
        <f t="shared" si="48"/>
        <v>4.1515681967850215E-2</v>
      </c>
      <c r="BX165" s="16">
        <f>IF($BY$12&lt;3,BV165,SUM($BZ$42:BZ165)/$BX$40)</f>
        <v>2.9714918908310572E-2</v>
      </c>
      <c r="BY165" s="16">
        <f t="shared" si="72"/>
        <v>12.299999999999972</v>
      </c>
      <c r="BZ165" s="16">
        <f t="shared" si="38"/>
        <v>3.3752586965731957E-3</v>
      </c>
      <c r="CA165" s="16">
        <f t="shared" si="50"/>
        <v>-999</v>
      </c>
      <c r="CB165" s="16" t="str">
        <f t="shared" si="39"/>
        <v/>
      </c>
      <c r="CC165" s="16" t="e">
        <f>IF(CB165="",NA(),COUNTIF(CB165:$CB$704,CB165))</f>
        <v>#N/A</v>
      </c>
      <c r="CD165" s="16" t="e">
        <f t="shared" si="40"/>
        <v>#N/A</v>
      </c>
      <c r="CE165" s="16" t="e">
        <f t="shared" si="41"/>
        <v>#N/A</v>
      </c>
      <c r="CF165" s="16">
        <f t="shared" si="42"/>
        <v>99</v>
      </c>
      <c r="CG165" s="16">
        <f t="shared" si="43"/>
        <v>0</v>
      </c>
      <c r="CH165" s="16">
        <f t="shared" si="71"/>
        <v>0</v>
      </c>
      <c r="CJ165" s="16" t="e">
        <f t="shared" si="45"/>
        <v>#N/A</v>
      </c>
      <c r="CK165" s="16" t="str">
        <f t="shared" si="46"/>
        <v/>
      </c>
    </row>
    <row r="166" spans="1:89" ht="12" customHeight="1">
      <c r="A166" s="211"/>
      <c r="B166" s="211"/>
      <c r="C166" s="211"/>
      <c r="D166" s="211"/>
      <c r="E166" s="211"/>
      <c r="F166" s="211"/>
      <c r="G166" s="211"/>
      <c r="H166" s="211"/>
      <c r="I166" s="211"/>
      <c r="J166" s="211"/>
      <c r="K166" s="211"/>
      <c r="L166" s="211"/>
      <c r="M166" s="211"/>
      <c r="N166" s="211"/>
      <c r="O166" s="211"/>
      <c r="AM166" s="34">
        <f t="shared" si="66"/>
        <v>0.22780774720013142</v>
      </c>
      <c r="AN166" s="34">
        <f t="shared" si="51"/>
        <v>0.43350202776491642</v>
      </c>
      <c r="AO166" s="16">
        <f t="shared" si="52"/>
        <v>35.000000000000227</v>
      </c>
      <c r="AP166" s="16" t="e">
        <f t="shared" si="53"/>
        <v>#N/A</v>
      </c>
      <c r="AQ166" s="16">
        <f t="shared" si="54"/>
        <v>6.5271843737514388E-3</v>
      </c>
      <c r="AR166" s="34">
        <f t="shared" si="67"/>
        <v>0.42304522730410099</v>
      </c>
      <c r="AS166" s="34">
        <f t="shared" si="55"/>
        <v>0.77262896485626698</v>
      </c>
      <c r="AT166" s="540">
        <f t="shared" si="56"/>
        <v>46.100000000000385</v>
      </c>
      <c r="AU166" s="16" t="e">
        <f t="shared" si="57"/>
        <v>#N/A</v>
      </c>
      <c r="AV166" s="16">
        <f t="shared" si="58"/>
        <v>1.5121470674862598E-2</v>
      </c>
      <c r="AW166" s="34">
        <f t="shared" si="68"/>
        <v>0.20193714089691639</v>
      </c>
      <c r="AX166" s="34">
        <f t="shared" si="59"/>
        <v>3.4151995554566383E-2</v>
      </c>
      <c r="AY166" s="16">
        <f t="shared" si="60"/>
        <v>33.300000000000203</v>
      </c>
      <c r="AZ166" s="16" t="e">
        <f t="shared" si="61"/>
        <v>#N/A</v>
      </c>
      <c r="BA166" s="16">
        <f t="shared" si="69"/>
        <v>4.8072385129761813E-4</v>
      </c>
      <c r="BB166" s="34">
        <f t="shared" si="70"/>
        <v>0.66648885048925877</v>
      </c>
      <c r="BC166" s="34">
        <f t="shared" si="62"/>
        <v>0.16924764402210712</v>
      </c>
      <c r="BD166" s="16">
        <f t="shared" si="63"/>
        <v>58.600000000000563</v>
      </c>
      <c r="BE166" s="16" t="e">
        <f t="shared" si="64"/>
        <v>#N/A</v>
      </c>
      <c r="BF166" s="16">
        <f t="shared" si="65"/>
        <v>3.0778834981024217E-3</v>
      </c>
      <c r="BU166" s="16">
        <f t="shared" si="47"/>
        <v>0</v>
      </c>
      <c r="BV166" s="16">
        <f>IF($BY$12=1,NORMDIST(BY166,$Y$6,$Y$8,TRUE),IF($BY$12=2,IF(BY166&lt;=$BX$31,0,IF(BY166&gt;=$BX$32,1,(BY166-$BX$31)*$BX$33)),SUM($BU$42:BU166)/$BV$40))</f>
        <v>3.0054038961199625E-2</v>
      </c>
      <c r="BW166" s="16">
        <f t="shared" si="48"/>
        <v>4.2249010982647418E-2</v>
      </c>
      <c r="BX166" s="16">
        <f>IF($BY$12&lt;3,BV166,SUM($BZ$42:BZ166)/$BX$40)</f>
        <v>3.0054038961199625E-2</v>
      </c>
      <c r="BY166" s="16">
        <f t="shared" si="72"/>
        <v>12.399999999999972</v>
      </c>
      <c r="BZ166" s="16">
        <f t="shared" si="38"/>
        <v>3.407178305052219E-3</v>
      </c>
      <c r="CA166" s="16">
        <f t="shared" si="50"/>
        <v>-999</v>
      </c>
      <c r="CB166" s="16" t="str">
        <f t="shared" si="39"/>
        <v/>
      </c>
      <c r="CC166" s="16" t="e">
        <f>IF(CB166="",NA(),COUNTIF(CB166:$CB$704,CB166))</f>
        <v>#N/A</v>
      </c>
      <c r="CD166" s="16" t="e">
        <f t="shared" si="40"/>
        <v>#N/A</v>
      </c>
      <c r="CE166" s="16" t="e">
        <f t="shared" si="41"/>
        <v>#N/A</v>
      </c>
      <c r="CF166" s="16">
        <f t="shared" si="42"/>
        <v>99</v>
      </c>
      <c r="CG166" s="16">
        <f t="shared" si="43"/>
        <v>0</v>
      </c>
      <c r="CH166" s="16">
        <f t="shared" si="71"/>
        <v>0</v>
      </c>
      <c r="CJ166" s="16" t="e">
        <f t="shared" si="45"/>
        <v>#N/A</v>
      </c>
      <c r="CK166" s="16" t="str">
        <f t="shared" si="46"/>
        <v/>
      </c>
    </row>
    <row r="167" spans="1:89" ht="12" customHeight="1">
      <c r="A167" s="211"/>
      <c r="B167" s="211"/>
      <c r="C167" s="211"/>
      <c r="D167" s="211"/>
      <c r="E167" s="211"/>
      <c r="F167" s="211"/>
      <c r="G167" s="211"/>
      <c r="H167" s="211"/>
      <c r="I167" s="211"/>
      <c r="J167" s="211"/>
      <c r="K167" s="211"/>
      <c r="L167" s="211"/>
      <c r="M167" s="211"/>
      <c r="N167" s="211"/>
      <c r="O167" s="211"/>
      <c r="AM167" s="34">
        <f t="shared" si="66"/>
        <v>0.91317552514374256</v>
      </c>
      <c r="AN167" s="34">
        <f t="shared" si="51"/>
        <v>0.12271925248205662</v>
      </c>
      <c r="AO167" s="16">
        <f t="shared" si="52"/>
        <v>77.199999999999889</v>
      </c>
      <c r="AP167" s="16" t="e">
        <f t="shared" si="53"/>
        <v>#N/A</v>
      </c>
      <c r="AQ167" s="16">
        <f t="shared" si="54"/>
        <v>9.70861399919183E-4</v>
      </c>
      <c r="AR167" s="34">
        <f t="shared" si="67"/>
        <v>0.692739212885499</v>
      </c>
      <c r="AS167" s="34">
        <f t="shared" si="55"/>
        <v>0.13446475751698017</v>
      </c>
      <c r="AT167" s="540">
        <f t="shared" si="56"/>
        <v>60.000000000000583</v>
      </c>
      <c r="AU167" s="16" t="e">
        <f t="shared" si="57"/>
        <v>#N/A</v>
      </c>
      <c r="AV167" s="16">
        <f t="shared" si="58"/>
        <v>2.3670189396748612E-3</v>
      </c>
      <c r="AW167" s="34">
        <f t="shared" si="68"/>
        <v>0.39952160604298115</v>
      </c>
      <c r="AX167" s="34">
        <f t="shared" si="59"/>
        <v>0.25421069003641605</v>
      </c>
      <c r="AY167" s="16">
        <f t="shared" si="60"/>
        <v>44.900000000000368</v>
      </c>
      <c r="AZ167" s="16" t="e">
        <f t="shared" si="61"/>
        <v>#N/A</v>
      </c>
      <c r="BA167" s="16">
        <f t="shared" si="69"/>
        <v>4.9085574720312839E-3</v>
      </c>
      <c r="BB167" s="34">
        <f t="shared" si="70"/>
        <v>0.64044044353067875</v>
      </c>
      <c r="BC167" s="34">
        <f t="shared" si="62"/>
        <v>0.76103255338966846</v>
      </c>
      <c r="BD167" s="16">
        <f t="shared" si="63"/>
        <v>57.100000000000541</v>
      </c>
      <c r="BE167" s="16" t="e">
        <f t="shared" si="64"/>
        <v>#N/A</v>
      </c>
      <c r="BF167" s="16">
        <f t="shared" si="65"/>
        <v>1.4253362265079936E-2</v>
      </c>
      <c r="BU167" s="16">
        <f t="shared" si="47"/>
        <v>0</v>
      </c>
      <c r="BV167" s="16">
        <f>IF($BY$12=1,NORMDIST(BY167,$Y$6,$Y$8,TRUE),IF($BY$12=2,IF(BY167&lt;=$BX$31,0,IF(BY167&gt;=$BX$32,1,(BY167-$BX$31)*$BX$33)),SUM($BU$42:BU167)/$BV$40))</f>
        <v>3.0396361765261393E-2</v>
      </c>
      <c r="BW167" s="16">
        <f t="shared" si="48"/>
        <v>4.2991422391682223E-2</v>
      </c>
      <c r="BX167" s="16">
        <f>IF($BY$12&lt;3,BV167,SUM($BZ$42:BZ167)/$BX$40)</f>
        <v>3.0396361765261393E-2</v>
      </c>
      <c r="BY167" s="16">
        <f t="shared" si="72"/>
        <v>12.499999999999972</v>
      </c>
      <c r="BZ167" s="16">
        <f t="shared" si="38"/>
        <v>3.4393137913345854E-3</v>
      </c>
      <c r="CA167" s="16">
        <f t="shared" si="50"/>
        <v>-999</v>
      </c>
      <c r="CB167" s="16" t="str">
        <f t="shared" si="39"/>
        <v/>
      </c>
      <c r="CC167" s="16" t="e">
        <f>IF(CB167="",NA(),COUNTIF(CB167:$CB$704,CB167))</f>
        <v>#N/A</v>
      </c>
      <c r="CD167" s="16" t="e">
        <f t="shared" si="40"/>
        <v>#N/A</v>
      </c>
      <c r="CE167" s="16" t="e">
        <f t="shared" si="41"/>
        <v>#N/A</v>
      </c>
      <c r="CF167" s="16">
        <f t="shared" si="42"/>
        <v>99</v>
      </c>
      <c r="CG167" s="16">
        <f t="shared" si="43"/>
        <v>0</v>
      </c>
      <c r="CH167" s="16">
        <f t="shared" si="71"/>
        <v>0</v>
      </c>
      <c r="CJ167" s="16" t="e">
        <f t="shared" si="45"/>
        <v>#N/A</v>
      </c>
      <c r="CK167" s="16" t="str">
        <f t="shared" si="46"/>
        <v/>
      </c>
    </row>
    <row r="168" spans="1:89" ht="12" customHeight="1">
      <c r="A168" s="211"/>
      <c r="B168" s="211"/>
      <c r="C168" s="211"/>
      <c r="D168" s="211"/>
      <c r="E168" s="211"/>
      <c r="F168" s="211"/>
      <c r="G168" s="211"/>
      <c r="H168" s="211"/>
      <c r="I168" s="211"/>
      <c r="J168" s="211"/>
      <c r="K168" s="211"/>
      <c r="L168" s="211"/>
      <c r="M168" s="211"/>
      <c r="N168" s="211"/>
      <c r="O168" s="211"/>
      <c r="AM168" s="34">
        <f t="shared" si="66"/>
        <v>0.12017084844410419</v>
      </c>
      <c r="AN168" s="34">
        <f t="shared" si="51"/>
        <v>4.6662071719765663E-2</v>
      </c>
      <c r="AO168" s="16">
        <f t="shared" si="52"/>
        <v>26.500000000000107</v>
      </c>
      <c r="AP168" s="16" t="e">
        <f t="shared" si="53"/>
        <v>#N/A</v>
      </c>
      <c r="AQ168" s="16">
        <f t="shared" si="54"/>
        <v>4.6670792706632715E-4</v>
      </c>
      <c r="AR168" s="34">
        <f t="shared" si="67"/>
        <v>0.32321164943277836</v>
      </c>
      <c r="AS168" s="34">
        <f t="shared" si="55"/>
        <v>0.69607922621071339</v>
      </c>
      <c r="AT168" s="540">
        <f t="shared" si="56"/>
        <v>40.80000000000031</v>
      </c>
      <c r="AU168" s="16" t="e">
        <f t="shared" si="57"/>
        <v>#N/A</v>
      </c>
      <c r="AV168" s="16">
        <f t="shared" si="58"/>
        <v>1.2490803803858462E-2</v>
      </c>
      <c r="AW168" s="34">
        <f t="shared" si="68"/>
        <v>0.20510313101112843</v>
      </c>
      <c r="AX168" s="34">
        <f t="shared" si="59"/>
        <v>0.97645198740065098</v>
      </c>
      <c r="AY168" s="16">
        <f t="shared" si="60"/>
        <v>33.500000000000206</v>
      </c>
      <c r="AZ168" s="16" t="e">
        <f t="shared" si="61"/>
        <v>#N/A</v>
      </c>
      <c r="BA168" s="16" t="e">
        <f t="shared" si="69"/>
        <v>#N/A</v>
      </c>
      <c r="BB168" s="34">
        <f t="shared" si="70"/>
        <v>0.42731987871229649</v>
      </c>
      <c r="BC168" s="34">
        <f t="shared" si="62"/>
        <v>0.34228138811886311</v>
      </c>
      <c r="BD168" s="16">
        <f t="shared" si="63"/>
        <v>46.300000000000388</v>
      </c>
      <c r="BE168" s="16" t="e">
        <f t="shared" si="64"/>
        <v>#N/A</v>
      </c>
      <c r="BF168" s="16">
        <f t="shared" si="65"/>
        <v>6.7116838395244174E-3</v>
      </c>
      <c r="BU168" s="16">
        <f t="shared" si="47"/>
        <v>0</v>
      </c>
      <c r="BV168" s="16">
        <f>IF($BY$12=1,NORMDIST(BY168,$Y$6,$Y$8,TRUE),IF($BY$12=2,IF(BY168&lt;=$BX$31,0,IF(BY168&gt;=$BX$32,1,(BY168-$BX$31)*$BX$33)),SUM($BU$42:BU168)/$BV$40))</f>
        <v>3.0741908929466044E-2</v>
      </c>
      <c r="BW168" s="16">
        <f t="shared" si="48"/>
        <v>4.3742986272514536E-2</v>
      </c>
      <c r="BX168" s="16">
        <f>IF($BY$12&lt;3,BV168,SUM($BZ$42:BZ168)/$BX$40)</f>
        <v>3.0741908929466044E-2</v>
      </c>
      <c r="BY168" s="16">
        <f t="shared" si="72"/>
        <v>12.599999999999971</v>
      </c>
      <c r="BZ168" s="16">
        <f t="shared" si="38"/>
        <v>3.4716655771837011E-3</v>
      </c>
      <c r="CA168" s="16">
        <f t="shared" si="50"/>
        <v>-999</v>
      </c>
      <c r="CB168" s="16" t="str">
        <f t="shared" si="39"/>
        <v/>
      </c>
      <c r="CC168" s="16" t="e">
        <f>IF(CB168="",NA(),COUNTIF(CB168:$CB$704,CB168))</f>
        <v>#N/A</v>
      </c>
      <c r="CD168" s="16" t="e">
        <f t="shared" si="40"/>
        <v>#N/A</v>
      </c>
      <c r="CE168" s="16" t="e">
        <f t="shared" si="41"/>
        <v>#N/A</v>
      </c>
      <c r="CF168" s="16">
        <f t="shared" si="42"/>
        <v>99</v>
      </c>
      <c r="CG168" s="16">
        <f t="shared" si="43"/>
        <v>0</v>
      </c>
      <c r="CH168" s="16">
        <f t="shared" si="71"/>
        <v>0</v>
      </c>
      <c r="CJ168" s="16" t="e">
        <f t="shared" si="45"/>
        <v>#N/A</v>
      </c>
      <c r="CK168" s="16" t="str">
        <f t="shared" si="46"/>
        <v/>
      </c>
    </row>
    <row r="169" spans="1:89" ht="12" customHeight="1">
      <c r="A169" s="211"/>
      <c r="B169" s="211"/>
      <c r="C169" s="211"/>
      <c r="D169" s="211"/>
      <c r="E169" s="211"/>
      <c r="F169" s="211"/>
      <c r="G169" s="211"/>
      <c r="H169" s="211"/>
      <c r="I169" s="211"/>
      <c r="J169" s="211"/>
      <c r="K169" s="211"/>
      <c r="L169" s="211"/>
      <c r="M169" s="211"/>
      <c r="N169" s="211"/>
      <c r="O169" s="211"/>
      <c r="AM169" s="34">
        <f t="shared" si="66"/>
        <v>0.32380458898842335</v>
      </c>
      <c r="AN169" s="34">
        <f t="shared" si="51"/>
        <v>9.9343890324234962E-2</v>
      </c>
      <c r="AO169" s="16">
        <f t="shared" si="52"/>
        <v>40.80000000000031</v>
      </c>
      <c r="AP169" s="16" t="e">
        <f t="shared" si="53"/>
        <v>#N/A</v>
      </c>
      <c r="AQ169" s="16">
        <f t="shared" si="54"/>
        <v>1.7826778855434737E-3</v>
      </c>
      <c r="AR169" s="34">
        <f t="shared" si="67"/>
        <v>0.31113707460463047</v>
      </c>
      <c r="AS169" s="34">
        <f t="shared" si="55"/>
        <v>0.7908282745629549</v>
      </c>
      <c r="AT169" s="540">
        <f t="shared" si="56"/>
        <v>40.1000000000003</v>
      </c>
      <c r="AU169" s="16" t="e">
        <f t="shared" si="57"/>
        <v>#N/A</v>
      </c>
      <c r="AV169" s="16">
        <f t="shared" si="58"/>
        <v>1.3955832737688597E-2</v>
      </c>
      <c r="AW169" s="34">
        <f t="shared" si="68"/>
        <v>0.5678823459893465</v>
      </c>
      <c r="AX169" s="34">
        <f t="shared" si="59"/>
        <v>0.84236396290361881</v>
      </c>
      <c r="AY169" s="16">
        <f t="shared" si="60"/>
        <v>53.400000000000489</v>
      </c>
      <c r="AZ169" s="16" t="e">
        <f t="shared" si="61"/>
        <v>#N/A</v>
      </c>
      <c r="BA169" s="16">
        <f t="shared" si="69"/>
        <v>1.6561676372660011E-2</v>
      </c>
      <c r="BB169" s="34">
        <f t="shared" si="70"/>
        <v>0.33084667660295963</v>
      </c>
      <c r="BC169" s="34">
        <f t="shared" si="62"/>
        <v>6.7036392167210579E-2</v>
      </c>
      <c r="BD169" s="16">
        <f t="shared" si="63"/>
        <v>41.200000000000315</v>
      </c>
      <c r="BE169" s="16" t="e">
        <f t="shared" si="64"/>
        <v>#N/A</v>
      </c>
      <c r="BF169" s="16">
        <f t="shared" si="65"/>
        <v>1.2138107997435451E-3</v>
      </c>
      <c r="BU169" s="16">
        <f t="shared" si="47"/>
        <v>0</v>
      </c>
      <c r="BV169" s="16">
        <f>IF($BY$12=1,NORMDIST(BY169,$Y$6,$Y$8,TRUE),IF($BY$12=2,IF(BY169&lt;=$BX$31,0,IF(BY169&gt;=$BX$32,1,(BY169-$BX$31)*$BX$33)),SUM($BU$42:BU169)/$BV$40))</f>
        <v>3.1090702104345391E-2</v>
      </c>
      <c r="BW169" s="16">
        <f t="shared" si="48"/>
        <v>4.4503772714870521E-2</v>
      </c>
      <c r="BX169" s="16">
        <f>IF($BY$12&lt;3,BV169,SUM($BZ$42:BZ169)/$BX$40)</f>
        <v>3.1090702104345391E-2</v>
      </c>
      <c r="BY169" s="16">
        <f t="shared" si="72"/>
        <v>12.699999999999971</v>
      </c>
      <c r="BZ169" s="16">
        <f t="shared" si="38"/>
        <v>3.504234072037057E-3</v>
      </c>
      <c r="CA169" s="16">
        <f t="shared" si="50"/>
        <v>-999</v>
      </c>
      <c r="CB169" s="16" t="str">
        <f t="shared" si="39"/>
        <v/>
      </c>
      <c r="CC169" s="16" t="e">
        <f>IF(CB169="",NA(),COUNTIF(CB169:$CB$704,CB169))</f>
        <v>#N/A</v>
      </c>
      <c r="CD169" s="16" t="e">
        <f t="shared" si="40"/>
        <v>#N/A</v>
      </c>
      <c r="CE169" s="16" t="e">
        <f t="shared" si="41"/>
        <v>#N/A</v>
      </c>
      <c r="CF169" s="16">
        <f t="shared" si="42"/>
        <v>99</v>
      </c>
      <c r="CG169" s="16">
        <f t="shared" si="43"/>
        <v>0</v>
      </c>
      <c r="CH169" s="16">
        <f t="shared" si="71"/>
        <v>0</v>
      </c>
      <c r="CJ169" s="16" t="e">
        <f t="shared" si="45"/>
        <v>#N/A</v>
      </c>
      <c r="CK169" s="16" t="str">
        <f t="shared" si="46"/>
        <v/>
      </c>
    </row>
    <row r="170" spans="1:89" ht="12" customHeight="1">
      <c r="A170" s="211"/>
      <c r="B170" s="211"/>
      <c r="C170" s="211"/>
      <c r="D170" s="211"/>
      <c r="E170" s="211"/>
      <c r="F170" s="211"/>
      <c r="G170" s="211"/>
      <c r="H170" s="211"/>
      <c r="I170" s="211"/>
      <c r="J170" s="211"/>
      <c r="K170" s="211"/>
      <c r="L170" s="211"/>
      <c r="M170" s="211"/>
      <c r="N170" s="211"/>
      <c r="O170" s="211"/>
      <c r="AM170" s="34">
        <f t="shared" si="66"/>
        <v>0.1947129238396883</v>
      </c>
      <c r="AN170" s="34">
        <f t="shared" si="51"/>
        <v>0.76966489292681217</v>
      </c>
      <c r="AO170" s="16">
        <f t="shared" si="52"/>
        <v>32.700000000000195</v>
      </c>
      <c r="AP170" s="16" t="e">
        <f t="shared" si="53"/>
        <v>#N/A</v>
      </c>
      <c r="AQ170" s="16">
        <f t="shared" si="54"/>
        <v>1.0561041595687645E-2</v>
      </c>
      <c r="AR170" s="34">
        <f t="shared" si="67"/>
        <v>2.6397118344902992E-2</v>
      </c>
      <c r="AS170" s="34">
        <f t="shared" si="55"/>
        <v>0.52661156840622425</v>
      </c>
      <c r="AT170" s="540">
        <f t="shared" si="56"/>
        <v>11.199999999999976</v>
      </c>
      <c r="AU170" s="16" t="e">
        <f t="shared" si="57"/>
        <v>#N/A</v>
      </c>
      <c r="AV170" s="16">
        <f t="shared" si="58"/>
        <v>1.5999820463816242E-3</v>
      </c>
      <c r="AW170" s="34">
        <f t="shared" si="68"/>
        <v>0.57976770587265491</v>
      </c>
      <c r="AX170" s="34">
        <f t="shared" si="59"/>
        <v>0.59570672549307346</v>
      </c>
      <c r="AY170" s="16">
        <f t="shared" si="60"/>
        <v>54.000000000000497</v>
      </c>
      <c r="AZ170" s="16" t="e">
        <f t="shared" si="61"/>
        <v>#N/A</v>
      </c>
      <c r="BA170" s="16">
        <f t="shared" si="69"/>
        <v>1.1647338137805384E-2</v>
      </c>
      <c r="BB170" s="34">
        <f t="shared" si="70"/>
        <v>0.7931452039629221</v>
      </c>
      <c r="BC170" s="34">
        <f t="shared" si="62"/>
        <v>0.35051687248051167</v>
      </c>
      <c r="BD170" s="16">
        <f t="shared" si="63"/>
        <v>66.300000000000509</v>
      </c>
      <c r="BE170" s="16" t="e">
        <f t="shared" si="64"/>
        <v>#N/A</v>
      </c>
      <c r="BF170" s="16">
        <f t="shared" si="65"/>
        <v>5.01596355159354E-3</v>
      </c>
      <c r="BU170" s="16">
        <f t="shared" si="47"/>
        <v>0</v>
      </c>
      <c r="BV170" s="16">
        <f>IF($BY$12=1,NORMDIST(BY170,$Y$6,$Y$8,TRUE),IF($BY$12=2,IF(BY170&lt;=$BX$31,0,IF(BY170&gt;=$BX$32,1,(BY170-$BX$31)*$BX$33)),SUM($BU$42:BU170)/$BV$40))</f>
        <v>3.1442762980752548E-2</v>
      </c>
      <c r="BW170" s="16">
        <f t="shared" si="48"/>
        <v>4.5273851812469117E-2</v>
      </c>
      <c r="BX170" s="16">
        <f>IF($BY$12&lt;3,BV170,SUM($BZ$42:BZ170)/$BX$40)</f>
        <v>3.1442762980752548E-2</v>
      </c>
      <c r="BY170" s="16">
        <f t="shared" si="72"/>
        <v>12.799999999999971</v>
      </c>
      <c r="BZ170" s="16">
        <f t="shared" ref="BZ170:BZ233" si="73">IF($BZ$5,IF($BY$12=1,NORMDIST(BY170,$Y$6,$Y$8,FALSE),IF($BY$12=2,IF(AND(BY170&gt;=$BX$31,BY170&lt;=$BX$32),$BX$33,0),IF(BY170&lt;=$BX$13,0,NORMDIST(LN((BY170-$BX$13)/$BX$12),0,$BW$8,FALSE)/((BY170-$BX$13)/$BX$12)))),-999)</f>
        <v>3.5370196728491577E-3</v>
      </c>
      <c r="CA170" s="16">
        <f t="shared" si="50"/>
        <v>-999</v>
      </c>
      <c r="CB170" s="16" t="str">
        <f t="shared" ref="CB170:CB233" si="74">IF(M69="","",ROUND(M69/$P$24,0))</f>
        <v/>
      </c>
      <c r="CC170" s="16" t="e">
        <f>IF(CB170="",NA(),COUNTIF(CB170:$CB$704,CB170))</f>
        <v>#N/A</v>
      </c>
      <c r="CD170" s="16" t="e">
        <f t="shared" ref="CD170:CD233" si="75">IF(CB170&lt;&gt;"",CB170*$P$24,NA())</f>
        <v>#N/A</v>
      </c>
      <c r="CE170" s="16" t="e">
        <f t="shared" ref="CE170:CE233" si="76">IF(AND($CB$7,$CD$2,$CD$1),26+$P$23/2-CC170*$P$23,NA())</f>
        <v>#N/A</v>
      </c>
      <c r="CF170" s="16">
        <f t="shared" ref="CF170:CF233" si="77">IF(ISNA(CJ170),99,CJ170)</f>
        <v>99</v>
      </c>
      <c r="CG170" s="16">
        <f t="shared" ref="CG170:CG233" si="78">IF(ISNA(CJ170),0,CJ170)</f>
        <v>0</v>
      </c>
      <c r="CH170" s="16">
        <f t="shared" si="71"/>
        <v>0</v>
      </c>
      <c r="CJ170" s="16" t="e">
        <f t="shared" ref="CJ170:CJ233" si="79">IF(CH170=1,CE170,NA())</f>
        <v>#N/A</v>
      </c>
      <c r="CK170" s="16" t="str">
        <f t="shared" ref="CK170:CK233" si="80">IF(CH170=1,M69,"")</f>
        <v/>
      </c>
    </row>
    <row r="171" spans="1:89" ht="12" customHeight="1">
      <c r="A171" s="211"/>
      <c r="B171" s="211"/>
      <c r="C171" s="211"/>
      <c r="D171" s="211"/>
      <c r="E171" s="211"/>
      <c r="F171" s="211"/>
      <c r="G171" s="211"/>
      <c r="H171" s="211"/>
      <c r="I171" s="211"/>
      <c r="J171" s="211"/>
      <c r="K171" s="211"/>
      <c r="L171" s="211"/>
      <c r="M171" s="211"/>
      <c r="N171" s="211"/>
      <c r="O171" s="211"/>
      <c r="AM171" s="34">
        <f t="shared" si="66"/>
        <v>0.93491172976791859</v>
      </c>
      <c r="AN171" s="34">
        <f t="shared" si="51"/>
        <v>0.4515316728502512</v>
      </c>
      <c r="AO171" s="16">
        <f t="shared" si="52"/>
        <v>80.199999999999719</v>
      </c>
      <c r="AP171" s="16" t="e">
        <f t="shared" si="53"/>
        <v>#N/A</v>
      </c>
      <c r="AQ171" s="16">
        <f t="shared" si="54"/>
        <v>2.8803871549505679E-3</v>
      </c>
      <c r="AR171" s="34">
        <f t="shared" si="67"/>
        <v>0.53001263178884983</v>
      </c>
      <c r="AS171" s="34">
        <f t="shared" si="55"/>
        <v>0.20805271156132221</v>
      </c>
      <c r="AT171" s="540">
        <f t="shared" si="56"/>
        <v>51.500000000000462</v>
      </c>
      <c r="AU171" s="16" t="e">
        <f t="shared" si="57"/>
        <v>#N/A</v>
      </c>
      <c r="AV171" s="16">
        <f t="shared" si="58"/>
        <v>4.1383955392115673E-3</v>
      </c>
      <c r="AW171" s="34">
        <f t="shared" si="68"/>
        <v>0.99911816604435444</v>
      </c>
      <c r="AX171" s="34">
        <f t="shared" si="59"/>
        <v>0.64897970296442509</v>
      </c>
      <c r="AY171" s="16" t="e">
        <f t="shared" si="60"/>
        <v>#N/A</v>
      </c>
      <c r="AZ171" s="16" t="e">
        <f t="shared" si="61"/>
        <v>#N/A</v>
      </c>
      <c r="BA171" s="16" t="e">
        <f t="shared" si="69"/>
        <v>#N/A</v>
      </c>
      <c r="BB171" s="34">
        <f t="shared" si="70"/>
        <v>0.28152445890009403</v>
      </c>
      <c r="BC171" s="34">
        <f t="shared" si="62"/>
        <v>0.2488189060240984</v>
      </c>
      <c r="BD171" s="16">
        <f t="shared" si="63"/>
        <v>38.400000000000276</v>
      </c>
      <c r="BE171" s="16" t="e">
        <f t="shared" si="64"/>
        <v>#N/A</v>
      </c>
      <c r="BF171" s="16">
        <f t="shared" si="65"/>
        <v>4.1948372377576173E-3</v>
      </c>
      <c r="BU171" s="16">
        <f t="shared" ref="BU171:BU234" si="81">IF($BY$12&lt;3,0,IF(BY171&lt;=$BX$13,0,NORMDIST(LN((BY171-$BX$13)/$BX$12),0,$BW$8,FALSE)/((BY171-$BX$13)/$BX$12)))</f>
        <v>0</v>
      </c>
      <c r="BV171" s="16">
        <f>IF($BY$12=1,NORMDIST(BY171,$Y$6,$Y$8,TRUE),IF($BY$12=2,IF(BY171&lt;=$BX$31,0,IF(BY171&gt;=$BX$32,1,(BY171-$BX$31)*$BX$33)),SUM($BU$42:BU171)/$BV$40))</f>
        <v>3.1798113288605157E-2</v>
      </c>
      <c r="BW171" s="16">
        <f t="shared" ref="BW171:BW234" si="82">BY171*BZ171</f>
        <v>4.6053293654755481E-2</v>
      </c>
      <c r="BX171" s="16">
        <f>IF($BY$12&lt;3,BV171,SUM($BZ$42:BZ171)/$BX$40)</f>
        <v>3.1798113288605157E-2</v>
      </c>
      <c r="BY171" s="16">
        <f t="shared" ref="BY171:BY202" si="83">BY170+$BZ$1</f>
        <v>12.89999999999997</v>
      </c>
      <c r="BZ171" s="16">
        <f t="shared" si="73"/>
        <v>3.5700227639345414E-3</v>
      </c>
      <c r="CA171" s="16">
        <f t="shared" ref="CA171:CA234" si="84">IF(AND($CD$1,$CD$3),26-$CD$40*NORMDIST(BY171,$Y$6,$Y$8/SQRT($T$18),FALSE),-999)</f>
        <v>-999</v>
      </c>
      <c r="CB171" s="16" t="str">
        <f t="shared" si="74"/>
        <v/>
      </c>
      <c r="CC171" s="16" t="e">
        <f>IF(CB171="",NA(),COUNTIF(CB171:$CB$704,CB171))</f>
        <v>#N/A</v>
      </c>
      <c r="CD171" s="16" t="e">
        <f t="shared" si="75"/>
        <v>#N/A</v>
      </c>
      <c r="CE171" s="16" t="e">
        <f t="shared" si="76"/>
        <v>#N/A</v>
      </c>
      <c r="CF171" s="16">
        <f t="shared" si="77"/>
        <v>99</v>
      </c>
      <c r="CG171" s="16">
        <f t="shared" si="78"/>
        <v>0</v>
      </c>
      <c r="CH171" s="16">
        <f t="shared" si="71"/>
        <v>0</v>
      </c>
      <c r="CJ171" s="16" t="e">
        <f t="shared" si="79"/>
        <v>#N/A</v>
      </c>
      <c r="CK171" s="16" t="str">
        <f t="shared" si="80"/>
        <v/>
      </c>
    </row>
    <row r="172" spans="1:89" ht="12" customHeight="1">
      <c r="A172" s="211"/>
      <c r="B172" s="211"/>
      <c r="C172" s="211"/>
      <c r="D172" s="211"/>
      <c r="E172" s="211"/>
      <c r="F172" s="211"/>
      <c r="G172" s="211"/>
      <c r="H172" s="211"/>
      <c r="I172" s="211"/>
      <c r="J172" s="211"/>
      <c r="K172" s="211"/>
      <c r="L172" s="211"/>
      <c r="M172" s="211"/>
      <c r="N172" s="211"/>
      <c r="O172" s="211"/>
      <c r="AM172" s="34">
        <f t="shared" si="66"/>
        <v>0.59841425903141499</v>
      </c>
      <c r="AN172" s="34">
        <f t="shared" si="51"/>
        <v>0.3696995172649622</v>
      </c>
      <c r="AO172" s="16">
        <f t="shared" si="52"/>
        <v>54.90000000000051</v>
      </c>
      <c r="AP172" s="16" t="e">
        <f t="shared" si="53"/>
        <v>#N/A</v>
      </c>
      <c r="AQ172" s="16">
        <f t="shared" si="54"/>
        <v>7.15640137547114E-3</v>
      </c>
      <c r="AR172" s="34">
        <f t="shared" si="67"/>
        <v>0.82029847241938114</v>
      </c>
      <c r="AS172" s="34">
        <f t="shared" si="55"/>
        <v>0.38807395286858082</v>
      </c>
      <c r="AT172" s="540">
        <f t="shared" si="56"/>
        <v>68.300000000000395</v>
      </c>
      <c r="AU172" s="16" t="e">
        <f t="shared" si="57"/>
        <v>#N/A</v>
      </c>
      <c r="AV172" s="16">
        <f t="shared" si="58"/>
        <v>5.0932320779012259E-3</v>
      </c>
      <c r="AW172" s="34">
        <f t="shared" si="68"/>
        <v>0.46638038940727711</v>
      </c>
      <c r="AX172" s="34">
        <f t="shared" si="59"/>
        <v>0.95701783336699009</v>
      </c>
      <c r="AY172" s="16">
        <f t="shared" si="60"/>
        <v>48.300000000000416</v>
      </c>
      <c r="AZ172" s="16" t="e">
        <f t="shared" si="61"/>
        <v>#N/A</v>
      </c>
      <c r="BA172" s="16">
        <f t="shared" si="69"/>
        <v>1.9020906553998018E-2</v>
      </c>
      <c r="BB172" s="34">
        <f t="shared" si="70"/>
        <v>0.29488676227629185</v>
      </c>
      <c r="BC172" s="34">
        <f t="shared" si="62"/>
        <v>0.45629082806408405</v>
      </c>
      <c r="BD172" s="16">
        <f t="shared" si="63"/>
        <v>39.200000000000287</v>
      </c>
      <c r="BE172" s="16" t="e">
        <f t="shared" si="64"/>
        <v>#N/A</v>
      </c>
      <c r="BF172" s="16">
        <f t="shared" si="65"/>
        <v>7.8668645704078576E-3</v>
      </c>
      <c r="BU172" s="16">
        <f t="shared" si="81"/>
        <v>0</v>
      </c>
      <c r="BV172" s="16">
        <f>IF($BY$12=1,NORMDIST(BY172,$Y$6,$Y$8,TRUE),IF($BY$12=2,IF(BY172&lt;=$BX$31,0,IF(BY172&gt;=$BX$32,1,(BY172-$BX$31)*$BX$33)),SUM($BU$42:BU172)/$BV$40))</f>
        <v>3.2156774795613519E-2</v>
      </c>
      <c r="BW172" s="16">
        <f t="shared" si="82"/>
        <v>4.6842168318541461E-2</v>
      </c>
      <c r="BX172" s="16">
        <f>IF($BY$12&lt;3,BV172,SUM($BZ$42:BZ172)/$BX$40)</f>
        <v>3.2156774795613519E-2</v>
      </c>
      <c r="BY172" s="16">
        <f t="shared" si="83"/>
        <v>12.99999999999997</v>
      </c>
      <c r="BZ172" s="16">
        <f t="shared" si="73"/>
        <v>3.6032437168108901E-3</v>
      </c>
      <c r="CA172" s="16">
        <f t="shared" si="84"/>
        <v>-999</v>
      </c>
      <c r="CB172" s="16" t="str">
        <f t="shared" si="74"/>
        <v/>
      </c>
      <c r="CC172" s="16" t="e">
        <f>IF(CB172="",NA(),COUNTIF(CB172:$CB$704,CB172))</f>
        <v>#N/A</v>
      </c>
      <c r="CD172" s="16" t="e">
        <f t="shared" si="75"/>
        <v>#N/A</v>
      </c>
      <c r="CE172" s="16" t="e">
        <f t="shared" si="76"/>
        <v>#N/A</v>
      </c>
      <c r="CF172" s="16">
        <f t="shared" si="77"/>
        <v>99</v>
      </c>
      <c r="CG172" s="16">
        <f t="shared" si="78"/>
        <v>0</v>
      </c>
      <c r="CH172" s="16">
        <f t="shared" si="71"/>
        <v>0</v>
      </c>
      <c r="CJ172" s="16" t="e">
        <f t="shared" si="79"/>
        <v>#N/A</v>
      </c>
      <c r="CK172" s="16" t="str">
        <f t="shared" si="80"/>
        <v/>
      </c>
    </row>
    <row r="173" spans="1:89" ht="12" customHeight="1">
      <c r="A173" s="211"/>
      <c r="B173" s="211"/>
      <c r="C173" s="211"/>
      <c r="D173" s="211"/>
      <c r="E173" s="211"/>
      <c r="F173" s="211"/>
      <c r="G173" s="211"/>
      <c r="H173" s="211"/>
      <c r="I173" s="211"/>
      <c r="J173" s="211"/>
      <c r="K173" s="211"/>
      <c r="L173" s="211"/>
      <c r="M173" s="211"/>
      <c r="N173" s="211"/>
      <c r="O173" s="211"/>
      <c r="AM173" s="34">
        <f t="shared" si="66"/>
        <v>0.97874334640800953</v>
      </c>
      <c r="AN173" s="34">
        <f t="shared" si="51"/>
        <v>0.18774359859526157</v>
      </c>
      <c r="AO173" s="16">
        <f t="shared" si="52"/>
        <v>90.499999999999133</v>
      </c>
      <c r="AP173" s="16" t="e">
        <f t="shared" si="53"/>
        <v>#N/A</v>
      </c>
      <c r="AQ173" s="16">
        <f t="shared" si="54"/>
        <v>4.8195423765643494E-4</v>
      </c>
      <c r="AR173" s="34">
        <f t="shared" si="67"/>
        <v>0.57364719547331333</v>
      </c>
      <c r="AS173" s="34">
        <f t="shared" si="55"/>
        <v>0.41214667446911335</v>
      </c>
      <c r="AT173" s="540">
        <f t="shared" si="56"/>
        <v>53.700000000000493</v>
      </c>
      <c r="AU173" s="16" t="e">
        <f t="shared" si="57"/>
        <v>#N/A</v>
      </c>
      <c r="AV173" s="16">
        <f t="shared" si="58"/>
        <v>8.081649398907563E-3</v>
      </c>
      <c r="AW173" s="34">
        <f t="shared" si="68"/>
        <v>0.7749017346650362</v>
      </c>
      <c r="AX173" s="34">
        <f t="shared" si="59"/>
        <v>0.42037291266024113</v>
      </c>
      <c r="AY173" s="16">
        <f t="shared" si="60"/>
        <v>65.100000000000577</v>
      </c>
      <c r="AZ173" s="16" t="e">
        <f t="shared" si="61"/>
        <v>#N/A</v>
      </c>
      <c r="BA173" s="16">
        <f t="shared" si="69"/>
        <v>6.305730971242718E-3</v>
      </c>
      <c r="BB173" s="34">
        <f t="shared" si="70"/>
        <v>0.2124216053634882</v>
      </c>
      <c r="BC173" s="34">
        <f t="shared" si="62"/>
        <v>0.81511575169861317</v>
      </c>
      <c r="BD173" s="16">
        <f t="shared" si="63"/>
        <v>34.000000000000213</v>
      </c>
      <c r="BE173" s="16" t="e">
        <f t="shared" si="64"/>
        <v>#N/A</v>
      </c>
      <c r="BF173" s="16">
        <f t="shared" si="65"/>
        <v>1.1806607389495823E-2</v>
      </c>
      <c r="BU173" s="16">
        <f t="shared" si="81"/>
        <v>0</v>
      </c>
      <c r="BV173" s="16">
        <f>IF($BY$12=1,NORMDIST(BY173,$Y$6,$Y$8,TRUE),IF($BY$12=2,IF(BY173&lt;=$BX$31,0,IF(BY173&gt;=$BX$32,1,(BY173-$BX$31)*$BX$33)),SUM($BU$42:BU173)/$BV$40))</f>
        <v>3.2518769305993844E-2</v>
      </c>
      <c r="BW173" s="16">
        <f t="shared" si="82"/>
        <v>4.7640545859554309E-2</v>
      </c>
      <c r="BX173" s="16">
        <f>IF($BY$12&lt;3,BV173,SUM($BZ$42:BZ173)/$BX$40)</f>
        <v>3.2518769305993844E-2</v>
      </c>
      <c r="BY173" s="16">
        <f t="shared" si="83"/>
        <v>13.099999999999969</v>
      </c>
      <c r="BZ173" s="16">
        <f t="shared" si="73"/>
        <v>3.6366828900423224E-3</v>
      </c>
      <c r="CA173" s="16">
        <f t="shared" si="84"/>
        <v>-999</v>
      </c>
      <c r="CB173" s="16" t="str">
        <f t="shared" si="74"/>
        <v/>
      </c>
      <c r="CC173" s="16" t="e">
        <f>IF(CB173="",NA(),COUNTIF(CB173:$CB$704,CB173))</f>
        <v>#N/A</v>
      </c>
      <c r="CD173" s="16" t="e">
        <f t="shared" si="75"/>
        <v>#N/A</v>
      </c>
      <c r="CE173" s="16" t="e">
        <f t="shared" si="76"/>
        <v>#N/A</v>
      </c>
      <c r="CF173" s="16">
        <f t="shared" si="77"/>
        <v>99</v>
      </c>
      <c r="CG173" s="16">
        <f t="shared" si="78"/>
        <v>0</v>
      </c>
      <c r="CH173" s="16">
        <f t="shared" si="71"/>
        <v>0</v>
      </c>
      <c r="CJ173" s="16" t="e">
        <f t="shared" si="79"/>
        <v>#N/A</v>
      </c>
      <c r="CK173" s="16" t="str">
        <f t="shared" si="80"/>
        <v/>
      </c>
    </row>
    <row r="174" spans="1:89" ht="12" customHeight="1">
      <c r="A174" s="211"/>
      <c r="B174" s="211"/>
      <c r="C174" s="211"/>
      <c r="D174" s="211"/>
      <c r="E174" s="211"/>
      <c r="F174" s="211"/>
      <c r="G174" s="211"/>
      <c r="H174" s="211"/>
      <c r="I174" s="211"/>
      <c r="J174" s="211"/>
      <c r="K174" s="211"/>
      <c r="L174" s="211"/>
      <c r="M174" s="211"/>
      <c r="N174" s="211"/>
      <c r="O174" s="211"/>
      <c r="AM174" s="34">
        <f t="shared" si="66"/>
        <v>0.4266193974763155</v>
      </c>
      <c r="AN174" s="34">
        <f t="shared" si="51"/>
        <v>0.52081532217562199</v>
      </c>
      <c r="AO174" s="16">
        <f t="shared" si="52"/>
        <v>46.300000000000388</v>
      </c>
      <c r="AP174" s="16" t="e">
        <f t="shared" si="53"/>
        <v>#N/A</v>
      </c>
      <c r="AQ174" s="16">
        <f t="shared" si="54"/>
        <v>1.0212497385364512E-2</v>
      </c>
      <c r="AR174" s="34">
        <f t="shared" si="67"/>
        <v>0.10259790159761906</v>
      </c>
      <c r="AS174" s="34">
        <f t="shared" si="55"/>
        <v>0.34974891133606434</v>
      </c>
      <c r="AT174" s="540">
        <f t="shared" si="56"/>
        <v>24.60000000000008</v>
      </c>
      <c r="AU174" s="16" t="e">
        <f t="shared" si="57"/>
        <v>#N/A</v>
      </c>
      <c r="AV174" s="16">
        <f t="shared" si="58"/>
        <v>3.1145811910224244E-3</v>
      </c>
      <c r="AW174" s="34">
        <f t="shared" si="68"/>
        <v>0.59145027585327625</v>
      </c>
      <c r="AX174" s="34">
        <f t="shared" si="59"/>
        <v>0.44738634862005711</v>
      </c>
      <c r="AY174" s="16">
        <f t="shared" si="60"/>
        <v>54.600000000000506</v>
      </c>
      <c r="AZ174" s="16" t="e">
        <f t="shared" si="61"/>
        <v>#N/A</v>
      </c>
      <c r="BA174" s="16">
        <f t="shared" si="69"/>
        <v>8.6911192559483569E-3</v>
      </c>
      <c r="BB174" s="34">
        <f t="shared" si="70"/>
        <v>0.11349090375006199</v>
      </c>
      <c r="BC174" s="34">
        <f t="shared" si="62"/>
        <v>0.51288236863911152</v>
      </c>
      <c r="BD174" s="16">
        <f t="shared" si="63"/>
        <v>25.800000000000097</v>
      </c>
      <c r="BE174" s="16" t="e">
        <f t="shared" si="64"/>
        <v>#N/A</v>
      </c>
      <c r="BF174" s="16">
        <f t="shared" si="65"/>
        <v>4.9200845298488895E-3</v>
      </c>
      <c r="BU174" s="16">
        <f t="shared" si="81"/>
        <v>0</v>
      </c>
      <c r="BV174" s="16">
        <f>IF($BY$12=1,NORMDIST(BY174,$Y$6,$Y$8,TRUE),IF($BY$12=2,IF(BY174&lt;=$BX$31,0,IF(BY174&gt;=$BX$32,1,(BY174-$BX$31)*$BX$33)),SUM($BU$42:BU174)/$BV$40))</f>
        <v>3.2884118659163519E-2</v>
      </c>
      <c r="BW174" s="16">
        <f t="shared" si="82"/>
        <v>4.8448496303893272E-2</v>
      </c>
      <c r="BX174" s="16">
        <f>IF($BY$12&lt;3,BV174,SUM($BZ$42:BZ174)/$BX$40)</f>
        <v>3.2884118659163519E-2</v>
      </c>
      <c r="BY174" s="16">
        <f t="shared" si="83"/>
        <v>13.199999999999969</v>
      </c>
      <c r="BZ174" s="16">
        <f t="shared" si="73"/>
        <v>3.6703406290828325E-3</v>
      </c>
      <c r="CA174" s="16">
        <f t="shared" si="84"/>
        <v>-999</v>
      </c>
      <c r="CB174" s="16" t="str">
        <f t="shared" si="74"/>
        <v/>
      </c>
      <c r="CC174" s="16" t="e">
        <f>IF(CB174="",NA(),COUNTIF(CB174:$CB$704,CB174))</f>
        <v>#N/A</v>
      </c>
      <c r="CD174" s="16" t="e">
        <f t="shared" si="75"/>
        <v>#N/A</v>
      </c>
      <c r="CE174" s="16" t="e">
        <f t="shared" si="76"/>
        <v>#N/A</v>
      </c>
      <c r="CF174" s="16">
        <f t="shared" si="77"/>
        <v>99</v>
      </c>
      <c r="CG174" s="16">
        <f t="shared" si="78"/>
        <v>0</v>
      </c>
      <c r="CH174" s="16">
        <f t="shared" si="71"/>
        <v>0</v>
      </c>
      <c r="CJ174" s="16" t="e">
        <f t="shared" si="79"/>
        <v>#N/A</v>
      </c>
      <c r="CK174" s="16" t="str">
        <f t="shared" si="80"/>
        <v/>
      </c>
    </row>
    <row r="175" spans="1:89" ht="12" customHeight="1">
      <c r="A175" s="211"/>
      <c r="B175" s="211"/>
      <c r="C175" s="211"/>
      <c r="D175" s="211"/>
      <c r="E175" s="211"/>
      <c r="F175" s="211"/>
      <c r="G175" s="211"/>
      <c r="H175" s="211"/>
      <c r="I175" s="211"/>
      <c r="J175" s="211"/>
      <c r="K175" s="211"/>
      <c r="L175" s="211"/>
      <c r="M175" s="211"/>
      <c r="N175" s="211"/>
      <c r="O175" s="211"/>
      <c r="AM175" s="34">
        <f t="shared" si="66"/>
        <v>0.99235540814697742</v>
      </c>
      <c r="AN175" s="34">
        <f t="shared" si="51"/>
        <v>0.98209008015692234</v>
      </c>
      <c r="AO175" s="16">
        <f t="shared" si="52"/>
        <v>98.499999999998678</v>
      </c>
      <c r="AP175" s="16" t="e">
        <f t="shared" si="53"/>
        <v>#N/A</v>
      </c>
      <c r="AQ175" s="16" t="e">
        <f t="shared" si="54"/>
        <v>#N/A</v>
      </c>
      <c r="AR175" s="34">
        <f t="shared" si="67"/>
        <v>0.66009649075567722</v>
      </c>
      <c r="AS175" s="34">
        <f t="shared" si="55"/>
        <v>0.48881115205585957</v>
      </c>
      <c r="AT175" s="540">
        <f t="shared" si="56"/>
        <v>58.200000000000557</v>
      </c>
      <c r="AU175" s="16" t="e">
        <f t="shared" si="57"/>
        <v>#N/A</v>
      </c>
      <c r="AV175" s="16">
        <f t="shared" si="58"/>
        <v>8.964348348447778E-3</v>
      </c>
      <c r="AW175" s="34">
        <f t="shared" si="68"/>
        <v>0.30222310312092304</v>
      </c>
      <c r="AX175" s="34">
        <f t="shared" si="59"/>
        <v>0.96010957099497318</v>
      </c>
      <c r="AY175" s="16">
        <f t="shared" si="60"/>
        <v>39.600000000000293</v>
      </c>
      <c r="AZ175" s="16" t="e">
        <f t="shared" si="61"/>
        <v>#N/A</v>
      </c>
      <c r="BA175" s="16">
        <f t="shared" si="69"/>
        <v>1.6729549845999087E-2</v>
      </c>
      <c r="BB175" s="34">
        <f t="shared" si="70"/>
        <v>0.35386190749704838</v>
      </c>
      <c r="BC175" s="34">
        <f t="shared" si="62"/>
        <v>0.67517528124153614</v>
      </c>
      <c r="BD175" s="16">
        <f t="shared" si="63"/>
        <v>42.500000000000334</v>
      </c>
      <c r="BE175" s="16" t="e">
        <f t="shared" si="64"/>
        <v>#N/A</v>
      </c>
      <c r="BF175" s="16">
        <f t="shared" si="65"/>
        <v>1.2553368379231031E-2</v>
      </c>
      <c r="BU175" s="16">
        <f t="shared" si="81"/>
        <v>0</v>
      </c>
      <c r="BV175" s="16">
        <f>IF($BY$12=1,NORMDIST(BY175,$Y$6,$Y$8,TRUE),IF($BY$12=2,IF(BY175&lt;=$BX$31,0,IF(BY175&gt;=$BX$32,1,(BY175-$BX$31)*$BX$33)),SUM($BU$42:BU175)/$BV$40))</f>
        <v>3.3252844728425157E-2</v>
      </c>
      <c r="BW175" s="16">
        <f t="shared" si="82"/>
        <v>4.9266089639394606E-2</v>
      </c>
      <c r="BX175" s="16">
        <f>IF($BY$12&lt;3,BV175,SUM($BZ$42:BZ175)/$BX$40)</f>
        <v>3.3252844728425157E-2</v>
      </c>
      <c r="BY175" s="16">
        <f t="shared" si="83"/>
        <v>13.299999999999969</v>
      </c>
      <c r="BZ175" s="16">
        <f t="shared" si="73"/>
        <v>3.704217266119904E-3</v>
      </c>
      <c r="CA175" s="16">
        <f t="shared" si="84"/>
        <v>-999</v>
      </c>
      <c r="CB175" s="16" t="str">
        <f t="shared" si="74"/>
        <v/>
      </c>
      <c r="CC175" s="16" t="e">
        <f>IF(CB175="",NA(),COUNTIF(CB175:$CB$704,CB175))</f>
        <v>#N/A</v>
      </c>
      <c r="CD175" s="16" t="e">
        <f t="shared" si="75"/>
        <v>#N/A</v>
      </c>
      <c r="CE175" s="16" t="e">
        <f t="shared" si="76"/>
        <v>#N/A</v>
      </c>
      <c r="CF175" s="16">
        <f t="shared" si="77"/>
        <v>99</v>
      </c>
      <c r="CG175" s="16">
        <f t="shared" si="78"/>
        <v>0</v>
      </c>
      <c r="CH175" s="16">
        <f t="shared" si="71"/>
        <v>0</v>
      </c>
      <c r="CJ175" s="16" t="e">
        <f t="shared" si="79"/>
        <v>#N/A</v>
      </c>
      <c r="CK175" s="16" t="str">
        <f t="shared" si="80"/>
        <v/>
      </c>
    </row>
    <row r="176" spans="1:89" ht="12" customHeight="1">
      <c r="A176" s="211"/>
      <c r="B176" s="211"/>
      <c r="C176" s="211"/>
      <c r="D176" s="211"/>
      <c r="E176" s="211"/>
      <c r="F176" s="211"/>
      <c r="G176" s="211"/>
      <c r="H176" s="211"/>
      <c r="I176" s="211"/>
      <c r="J176" s="211"/>
      <c r="K176" s="211"/>
      <c r="L176" s="211"/>
      <c r="M176" s="211"/>
      <c r="N176" s="211"/>
      <c r="O176" s="211"/>
      <c r="AM176" s="34">
        <f t="shared" si="66"/>
        <v>0.56874026544392109</v>
      </c>
      <c r="AN176" s="34">
        <f t="shared" si="51"/>
        <v>4.8062661662697792E-2</v>
      </c>
      <c r="AO176" s="16">
        <f t="shared" si="52"/>
        <v>53.400000000000489</v>
      </c>
      <c r="AP176" s="16" t="e">
        <f t="shared" si="53"/>
        <v>#N/A</v>
      </c>
      <c r="AQ176" s="16">
        <f t="shared" si="54"/>
        <v>9.4495762297624585E-4</v>
      </c>
      <c r="AR176" s="34">
        <f t="shared" si="67"/>
        <v>0.87510357238352299</v>
      </c>
      <c r="AS176" s="34">
        <f t="shared" si="55"/>
        <v>0.10018167085945606</v>
      </c>
      <c r="AT176" s="540">
        <f t="shared" si="56"/>
        <v>73.000000000000128</v>
      </c>
      <c r="AU176" s="16" t="e">
        <f t="shared" si="57"/>
        <v>#N/A</v>
      </c>
      <c r="AV176" s="16">
        <f t="shared" si="58"/>
        <v>1.0315519745464426E-3</v>
      </c>
      <c r="AW176" s="34">
        <f t="shared" si="68"/>
        <v>0.1913741547614336</v>
      </c>
      <c r="AX176" s="34">
        <f t="shared" si="59"/>
        <v>3.5478347912430763E-2</v>
      </c>
      <c r="AY176" s="16">
        <f t="shared" si="60"/>
        <v>32.500000000000192</v>
      </c>
      <c r="AZ176" s="16" t="e">
        <f t="shared" si="61"/>
        <v>#N/A</v>
      </c>
      <c r="BA176" s="16">
        <f t="shared" si="69"/>
        <v>4.8260309418949167E-4</v>
      </c>
      <c r="BB176" s="34">
        <f t="shared" si="70"/>
        <v>0.58969401754438877</v>
      </c>
      <c r="BC176" s="34">
        <f t="shared" si="62"/>
        <v>0.84146611578762531</v>
      </c>
      <c r="BD176" s="16">
        <f t="shared" si="63"/>
        <v>54.500000000000504</v>
      </c>
      <c r="BE176" s="16" t="e">
        <f t="shared" si="64"/>
        <v>#N/A</v>
      </c>
      <c r="BF176" s="16">
        <f t="shared" si="65"/>
        <v>1.6365286908206669E-2</v>
      </c>
      <c r="BU176" s="16">
        <f t="shared" si="81"/>
        <v>0</v>
      </c>
      <c r="BV176" s="16">
        <f>IF($BY$12=1,NORMDIST(BY176,$Y$6,$Y$8,TRUE),IF($BY$12=2,IF(BY176&lt;=$BX$31,0,IF(BY176&gt;=$BX$32,1,(BY176-$BX$31)*$BX$33)),SUM($BU$42:BU176)/$BV$40))</f>
        <v>3.3624969419628337E-2</v>
      </c>
      <c r="BW176" s="16">
        <f t="shared" si="82"/>
        <v>5.0093395806906034E-2</v>
      </c>
      <c r="BX176" s="16">
        <f>IF($BY$12&lt;3,BV176,SUM($BZ$42:BZ176)/$BX$40)</f>
        <v>3.3624969419628337E-2</v>
      </c>
      <c r="BY176" s="16">
        <f t="shared" si="83"/>
        <v>13.399999999999968</v>
      </c>
      <c r="BZ176" s="16">
        <f t="shared" si="73"/>
        <v>3.7383131199183696E-3</v>
      </c>
      <c r="CA176" s="16">
        <f t="shared" si="84"/>
        <v>-999</v>
      </c>
      <c r="CB176" s="16" t="str">
        <f t="shared" si="74"/>
        <v/>
      </c>
      <c r="CC176" s="16" t="e">
        <f>IF(CB176="",NA(),COUNTIF(CB176:$CB$704,CB176))</f>
        <v>#N/A</v>
      </c>
      <c r="CD176" s="16" t="e">
        <f t="shared" si="75"/>
        <v>#N/A</v>
      </c>
      <c r="CE176" s="16" t="e">
        <f t="shared" si="76"/>
        <v>#N/A</v>
      </c>
      <c r="CF176" s="16">
        <f t="shared" si="77"/>
        <v>99</v>
      </c>
      <c r="CG176" s="16">
        <f t="shared" si="78"/>
        <v>0</v>
      </c>
      <c r="CH176" s="16">
        <f t="shared" si="71"/>
        <v>0</v>
      </c>
      <c r="CJ176" s="16" t="e">
        <f t="shared" si="79"/>
        <v>#N/A</v>
      </c>
      <c r="CK176" s="16" t="str">
        <f t="shared" si="80"/>
        <v/>
      </c>
    </row>
    <row r="177" spans="1:89" ht="12" customHeight="1">
      <c r="A177" s="211"/>
      <c r="B177" s="211"/>
      <c r="C177" s="211"/>
      <c r="D177" s="211"/>
      <c r="E177" s="211"/>
      <c r="F177" s="211"/>
      <c r="G177" s="211"/>
      <c r="H177" s="211"/>
      <c r="I177" s="211"/>
      <c r="J177" s="211"/>
      <c r="K177" s="211"/>
      <c r="L177" s="211"/>
      <c r="M177" s="211"/>
      <c r="N177" s="211"/>
      <c r="O177" s="211"/>
      <c r="AM177" s="34">
        <f t="shared" si="66"/>
        <v>0.24144157953560352</v>
      </c>
      <c r="AN177" s="34">
        <f t="shared" si="51"/>
        <v>0.93409656919538975</v>
      </c>
      <c r="AO177" s="16">
        <f t="shared" si="52"/>
        <v>35.90000000000024</v>
      </c>
      <c r="AP177" s="16" t="e">
        <f t="shared" si="53"/>
        <v>#N/A</v>
      </c>
      <c r="AQ177" s="16">
        <f t="shared" si="54"/>
        <v>1.4532630773831838E-2</v>
      </c>
      <c r="AR177" s="34">
        <f t="shared" si="67"/>
        <v>1.0956281796097755E-2</v>
      </c>
      <c r="AS177" s="34">
        <f t="shared" si="55"/>
        <v>0.96039264090359211</v>
      </c>
      <c r="AT177" s="540">
        <f t="shared" si="56"/>
        <v>4.1000000000000014</v>
      </c>
      <c r="AU177" s="16" t="e">
        <f t="shared" si="57"/>
        <v>#N/A</v>
      </c>
      <c r="AV177" s="16" t="e">
        <f t="shared" si="58"/>
        <v>#N/A</v>
      </c>
      <c r="AW177" s="34">
        <f t="shared" si="68"/>
        <v>0.94034283049404621</v>
      </c>
      <c r="AX177" s="34">
        <f t="shared" si="59"/>
        <v>0.5293972585350275</v>
      </c>
      <c r="AY177" s="16">
        <f t="shared" si="60"/>
        <v>81.099999999999667</v>
      </c>
      <c r="AZ177" s="16" t="e">
        <f t="shared" si="61"/>
        <v>#N/A</v>
      </c>
      <c r="BA177" s="16">
        <f t="shared" si="69"/>
        <v>3.1520587304630109E-3</v>
      </c>
      <c r="BB177" s="34">
        <f t="shared" si="70"/>
        <v>9.6935758367180824E-2</v>
      </c>
      <c r="BC177" s="34">
        <f t="shared" si="62"/>
        <v>0.84383666701614857</v>
      </c>
      <c r="BD177" s="16">
        <f t="shared" si="63"/>
        <v>24.000000000000071</v>
      </c>
      <c r="BE177" s="16" t="e">
        <f t="shared" si="64"/>
        <v>#N/A</v>
      </c>
      <c r="BF177" s="16">
        <f t="shared" si="65"/>
        <v>7.2303550772436229E-3</v>
      </c>
      <c r="BU177" s="16">
        <f t="shared" si="81"/>
        <v>0</v>
      </c>
      <c r="BV177" s="16">
        <f>IF($BY$12=1,NORMDIST(BY177,$Y$6,$Y$8,TRUE),IF($BY$12=2,IF(BY177&lt;=$BX$31,0,IF(BY177&gt;=$BX$32,1,(BY177-$BX$31)*$BX$33)),SUM($BU$42:BU177)/$BV$40))</f>
        <v>3.4000514669822346E-2</v>
      </c>
      <c r="BW177" s="16">
        <f t="shared" si="82"/>
        <v>5.0930484691470629E-2</v>
      </c>
      <c r="BX177" s="16">
        <f>IF($BY$12&lt;3,BV177,SUM($BZ$42:BZ177)/$BX$40)</f>
        <v>3.4000514669822346E-2</v>
      </c>
      <c r="BY177" s="16">
        <f t="shared" si="83"/>
        <v>13.499999999999968</v>
      </c>
      <c r="BZ177" s="16">
        <f t="shared" si="73"/>
        <v>3.7726284956645E-3</v>
      </c>
      <c r="CA177" s="16">
        <f t="shared" si="84"/>
        <v>-999</v>
      </c>
      <c r="CB177" s="16" t="str">
        <f t="shared" si="74"/>
        <v/>
      </c>
      <c r="CC177" s="16" t="e">
        <f>IF(CB177="",NA(),COUNTIF(CB177:$CB$704,CB177))</f>
        <v>#N/A</v>
      </c>
      <c r="CD177" s="16" t="e">
        <f t="shared" si="75"/>
        <v>#N/A</v>
      </c>
      <c r="CE177" s="16" t="e">
        <f t="shared" si="76"/>
        <v>#N/A</v>
      </c>
      <c r="CF177" s="16">
        <f t="shared" si="77"/>
        <v>99</v>
      </c>
      <c r="CG177" s="16">
        <f t="shared" si="78"/>
        <v>0</v>
      </c>
      <c r="CH177" s="16">
        <f t="shared" si="71"/>
        <v>0</v>
      </c>
      <c r="CJ177" s="16" t="e">
        <f t="shared" si="79"/>
        <v>#N/A</v>
      </c>
      <c r="CK177" s="16" t="str">
        <f t="shared" si="80"/>
        <v/>
      </c>
    </row>
    <row r="178" spans="1:89" ht="12" customHeight="1">
      <c r="A178" s="211"/>
      <c r="B178" s="211"/>
      <c r="C178" s="211"/>
      <c r="D178" s="211"/>
      <c r="E178" s="211"/>
      <c r="F178" s="211"/>
      <c r="G178" s="211"/>
      <c r="H178" s="211"/>
      <c r="I178" s="211"/>
      <c r="J178" s="211"/>
      <c r="K178" s="211"/>
      <c r="L178" s="211"/>
      <c r="M178" s="211"/>
      <c r="N178" s="211"/>
      <c r="O178" s="211"/>
      <c r="AM178" s="34">
        <f t="shared" si="66"/>
        <v>0.83520929701626301</v>
      </c>
      <c r="AN178" s="34">
        <f t="shared" si="51"/>
        <v>0.82788349129259586</v>
      </c>
      <c r="AO178" s="16">
        <f t="shared" si="52"/>
        <v>69.400000000000333</v>
      </c>
      <c r="AP178" s="16" t="e">
        <f t="shared" si="53"/>
        <v>#N/A</v>
      </c>
      <c r="AQ178" s="16">
        <f t="shared" si="54"/>
        <v>1.0316572953216753E-2</v>
      </c>
      <c r="AR178" s="34">
        <f t="shared" si="67"/>
        <v>0.89414025284349918</v>
      </c>
      <c r="AS178" s="34">
        <f t="shared" si="55"/>
        <v>0.15225827880203724</v>
      </c>
      <c r="AT178" s="540">
        <f t="shared" si="56"/>
        <v>74.90000000000002</v>
      </c>
      <c r="AU178" s="16" t="e">
        <f t="shared" si="57"/>
        <v>#N/A</v>
      </c>
      <c r="AV178" s="16">
        <f t="shared" si="58"/>
        <v>1.3991920665568202E-3</v>
      </c>
      <c r="AW178" s="34">
        <f t="shared" si="68"/>
        <v>0.4675146359950304</v>
      </c>
      <c r="AX178" s="34">
        <f t="shared" si="59"/>
        <v>0.43764057196676731</v>
      </c>
      <c r="AY178" s="16">
        <f t="shared" si="60"/>
        <v>48.300000000000416</v>
      </c>
      <c r="AZ178" s="16" t="e">
        <f t="shared" si="61"/>
        <v>#N/A</v>
      </c>
      <c r="BA178" s="16">
        <f t="shared" si="69"/>
        <v>8.6981873622264845E-3</v>
      </c>
      <c r="BB178" s="34">
        <f t="shared" si="70"/>
        <v>0.64003815688192844</v>
      </c>
      <c r="BC178" s="34">
        <f t="shared" si="62"/>
        <v>0.88931532390415668</v>
      </c>
      <c r="BD178" s="16">
        <f t="shared" si="63"/>
        <v>57.100000000000541</v>
      </c>
      <c r="BE178" s="16" t="e">
        <f t="shared" si="64"/>
        <v>#N/A</v>
      </c>
      <c r="BF178" s="16">
        <f t="shared" si="65"/>
        <v>1.6655967504983382E-2</v>
      </c>
      <c r="BU178" s="16">
        <f t="shared" si="81"/>
        <v>0</v>
      </c>
      <c r="BV178" s="16">
        <f>IF($BY$12=1,NORMDIST(BY178,$Y$6,$Y$8,TRUE),IF($BY$12=2,IF(BY178&lt;=$BX$31,0,IF(BY178&gt;=$BX$32,1,(BY178-$BX$31)*$BX$33)),SUM($BU$42:BU178)/$BV$40))</f>
        <v>3.4379502445889942E-2</v>
      </c>
      <c r="BW178" s="16">
        <f t="shared" si="82"/>
        <v>5.1777426113420677E-2</v>
      </c>
      <c r="BX178" s="16">
        <f>IF($BY$12&lt;3,BV178,SUM($BZ$42:BZ178)/$BX$40)</f>
        <v>3.4379502445889942E-2</v>
      </c>
      <c r="BY178" s="16">
        <f t="shared" si="83"/>
        <v>13.599999999999968</v>
      </c>
      <c r="BZ178" s="16">
        <f t="shared" si="73"/>
        <v>3.8071636848103531E-3</v>
      </c>
      <c r="CA178" s="16">
        <f t="shared" si="84"/>
        <v>-999</v>
      </c>
      <c r="CB178" s="16" t="str">
        <f t="shared" si="74"/>
        <v/>
      </c>
      <c r="CC178" s="16" t="e">
        <f>IF(CB178="",NA(),COUNTIF(CB178:$CB$704,CB178))</f>
        <v>#N/A</v>
      </c>
      <c r="CD178" s="16" t="e">
        <f t="shared" si="75"/>
        <v>#N/A</v>
      </c>
      <c r="CE178" s="16" t="e">
        <f t="shared" si="76"/>
        <v>#N/A</v>
      </c>
      <c r="CF178" s="16">
        <f t="shared" si="77"/>
        <v>99</v>
      </c>
      <c r="CG178" s="16">
        <f t="shared" si="78"/>
        <v>0</v>
      </c>
      <c r="CH178" s="16">
        <f t="shared" si="71"/>
        <v>0</v>
      </c>
      <c r="CJ178" s="16" t="e">
        <f t="shared" si="79"/>
        <v>#N/A</v>
      </c>
      <c r="CK178" s="16" t="str">
        <f t="shared" si="80"/>
        <v/>
      </c>
    </row>
    <row r="179" spans="1:89" ht="12" customHeight="1">
      <c r="A179" s="211"/>
      <c r="B179" s="211"/>
      <c r="C179" s="211"/>
      <c r="D179" s="211"/>
      <c r="E179" s="211"/>
      <c r="F179" s="211"/>
      <c r="G179" s="211"/>
      <c r="H179" s="211"/>
      <c r="I179" s="211"/>
      <c r="J179" s="211"/>
      <c r="K179" s="211"/>
      <c r="L179" s="211"/>
      <c r="M179" s="211"/>
      <c r="N179" s="211"/>
      <c r="O179" s="211"/>
      <c r="AM179" s="34">
        <f t="shared" si="66"/>
        <v>0.67541134543716908</v>
      </c>
      <c r="AN179" s="34">
        <f t="shared" ref="AN179:AN242" si="85">MOD(AM179*10000013,1)</f>
        <v>0.23471918143332005</v>
      </c>
      <c r="AO179" s="16">
        <f t="shared" ref="AO179:AO242" si="86">IF(VLOOKUP(AM179,$BX$42:$BY$4042,2)&gt;=$AO$112,NA(),VLOOKUP(AM179,$BX$42:$BY$4042,2))</f>
        <v>59.000000000000568</v>
      </c>
      <c r="AP179" s="16" t="e">
        <f t="shared" ref="AP179:AP242" si="87">IF(AND(AO179&lt;100,$P$16),AO179+AM180+$AU$113,NA())</f>
        <v>#N/A</v>
      </c>
      <c r="AQ179" s="16">
        <f t="shared" ref="AQ179:AQ242" si="88">IF(AN179*VLOOKUP(AO179,$BY$42:$BZ$1042,2)&lt;VLOOKUP(AO179,$BY$42:$BZ$1042,2)-$BZ$40/$CB$40,AN179*VLOOKUP(AO179,$BY$42:$BZ$1042,2),NA())</f>
        <v>4.2311296756819116E-3</v>
      </c>
      <c r="AR179" s="34">
        <f t="shared" si="67"/>
        <v>0.76737799681723118</v>
      </c>
      <c r="AS179" s="34">
        <f t="shared" ref="AS179:AS242" si="89">MOD(AR179*10000013,1)</f>
        <v>0.94408627040684223</v>
      </c>
      <c r="AT179" s="540">
        <f t="shared" ref="AT179:AT242" si="90">IF(VLOOKUP(AR179,$BX$42:$BY$4042,2)&gt;=$AO$112,NA(),VLOOKUP(AR179,$BX$42:$BY$4042,2))</f>
        <v>64.600000000000605</v>
      </c>
      <c r="AU179" s="16" t="e">
        <f t="shared" ref="AU179:AU242" si="91">IF(AND(AT179&lt;100,$P$16),AT179+AR180+$AU$113,NA())</f>
        <v>#N/A</v>
      </c>
      <c r="AV179" s="16">
        <f t="shared" ref="AV179:AV242" si="92">IF(AS179*VLOOKUP(AT179,$BY$42:$BZ$1042,2)&lt;VLOOKUP(AT179,$BY$42:$BZ$1042,2)-$BZ$40/$CB$40,AS179*VLOOKUP(AT179,$BY$42:$BZ$1042,2),NA())</f>
        <v>1.4426932083475856E-2</v>
      </c>
      <c r="AW179" s="34">
        <f t="shared" si="68"/>
        <v>0.40899510867893696</v>
      </c>
      <c r="AX179" s="34">
        <f t="shared" ref="AX179:AX242" si="93">MOD(AW179*10000013,1)</f>
        <v>0.40372578240931034</v>
      </c>
      <c r="AY179" s="16">
        <f t="shared" ref="AY179:AY242" si="94">IF(VLOOKUP(AW179,$BX$42:$BY$4042,2)&gt;=$AO$112,NA(),VLOOKUP(AW179,$BX$42:$BY$4042,2))</f>
        <v>45.300000000000374</v>
      </c>
      <c r="AZ179" s="16" t="e">
        <f t="shared" ref="AZ179:AZ242" si="95">IF(AND(AY179&lt;100,$P$16),AY179+AW180+$AU$113,NA())</f>
        <v>#N/A</v>
      </c>
      <c r="BA179" s="16">
        <f t="shared" si="69"/>
        <v>7.8338382224166538E-3</v>
      </c>
      <c r="BB179" s="34">
        <f t="shared" si="70"/>
        <v>0.80014077760279179</v>
      </c>
      <c r="BC179" s="34">
        <f t="shared" ref="BC179:BC242" si="96">MOD(BB179*10000013,1)</f>
        <v>0.1778580266982317</v>
      </c>
      <c r="BD179" s="16">
        <f t="shared" ref="BD179:BD242" si="97">IF(VLOOKUP(BB179,$BX$42:$BY$4042,2)&gt;=$AO$112,NA(),VLOOKUP(BB179,$BX$42:$BY$4042,2))</f>
        <v>66.80000000000048</v>
      </c>
      <c r="BE179" s="16" t="e">
        <f t="shared" ref="BE179:BE242" si="98">IF(AND(BD179&lt;100,$P$16),BD179+BB180+$AU$113,NA())</f>
        <v>#N/A</v>
      </c>
      <c r="BF179" s="16">
        <f t="shared" ref="BF179:BF242" si="99">IF(BC179*VLOOKUP(BD179,$BY$42:$BZ$1042,2)&lt;VLOOKUP(BD179,$BY$42:$BZ$1042,2)-$BZ$40/$CB$40,BC179*VLOOKUP(BD179,$BY$42:$BZ$1042,2),NA())</f>
        <v>2.4930698496498115E-3</v>
      </c>
      <c r="BU179" s="16">
        <f t="shared" si="81"/>
        <v>0</v>
      </c>
      <c r="BV179" s="16">
        <f>IF($BY$12=1,NORMDIST(BY179,$Y$6,$Y$8,TRUE),IF($BY$12=2,IF(BY179&lt;=$BX$31,0,IF(BY179&gt;=$BX$32,1,(BY179-$BX$31)*$BX$33)),SUM($BU$42:BU179)/$BV$40))</f>
        <v>3.4761954743165457E-2</v>
      </c>
      <c r="BW179" s="16">
        <f t="shared" si="82"/>
        <v>5.2634289819382535E-2</v>
      </c>
      <c r="BX179" s="16">
        <f>IF($BY$12&lt;3,BV179,SUM($BZ$42:BZ179)/$BX$40)</f>
        <v>3.4761954743165457E-2</v>
      </c>
      <c r="BY179" s="16">
        <f t="shared" si="83"/>
        <v>13.699999999999967</v>
      </c>
      <c r="BZ179" s="16">
        <f t="shared" si="73"/>
        <v>3.8419189649184426E-3</v>
      </c>
      <c r="CA179" s="16">
        <f t="shared" si="84"/>
        <v>-999</v>
      </c>
      <c r="CB179" s="16" t="str">
        <f t="shared" si="74"/>
        <v/>
      </c>
      <c r="CC179" s="16" t="e">
        <f>IF(CB179="",NA(),COUNTIF(CB179:$CB$704,CB179))</f>
        <v>#N/A</v>
      </c>
      <c r="CD179" s="16" t="e">
        <f t="shared" si="75"/>
        <v>#N/A</v>
      </c>
      <c r="CE179" s="16" t="e">
        <f t="shared" si="76"/>
        <v>#N/A</v>
      </c>
      <c r="CF179" s="16">
        <f t="shared" si="77"/>
        <v>99</v>
      </c>
      <c r="CG179" s="16">
        <f t="shared" si="78"/>
        <v>0</v>
      </c>
      <c r="CH179" s="16">
        <f t="shared" si="71"/>
        <v>0</v>
      </c>
      <c r="CJ179" s="16" t="e">
        <f t="shared" si="79"/>
        <v>#N/A</v>
      </c>
      <c r="CK179" s="16" t="str">
        <f t="shared" si="80"/>
        <v/>
      </c>
    </row>
    <row r="180" spans="1:89" ht="12" customHeight="1">
      <c r="A180" s="211"/>
      <c r="B180" s="211"/>
      <c r="C180" s="211"/>
      <c r="D180" s="211"/>
      <c r="E180" s="211"/>
      <c r="F180" s="211"/>
      <c r="G180" s="211"/>
      <c r="H180" s="211"/>
      <c r="I180" s="211"/>
      <c r="J180" s="211"/>
      <c r="K180" s="211"/>
      <c r="L180" s="211"/>
      <c r="M180" s="211"/>
      <c r="N180" s="211"/>
      <c r="O180" s="211"/>
      <c r="AM180" s="34">
        <f t="shared" ref="AM180:AM243" si="100">MOD(AN179*10000013,1)</f>
        <v>0.86568255908787251</v>
      </c>
      <c r="AN180" s="34">
        <f t="shared" si="85"/>
        <v>0.84475199319422245</v>
      </c>
      <c r="AO180" s="16">
        <f t="shared" si="86"/>
        <v>72.100000000000179</v>
      </c>
      <c r="AP180" s="16" t="e">
        <f t="shared" si="87"/>
        <v>#N/A</v>
      </c>
      <c r="AQ180" s="16">
        <f t="shared" si="88"/>
        <v>9.1509690276465466E-3</v>
      </c>
      <c r="AR180" s="34">
        <f t="shared" ref="AR180:AR243" si="101">MOD(AS179*10000013,1)</f>
        <v>0.9771899376064539</v>
      </c>
      <c r="AS180" s="34">
        <f t="shared" si="89"/>
        <v>7.9533727839589119E-2</v>
      </c>
      <c r="AT180" s="540">
        <f t="shared" si="90"/>
        <v>89.899999999999167</v>
      </c>
      <c r="AU180" s="16" t="e">
        <f t="shared" si="91"/>
        <v>#N/A</v>
      </c>
      <c r="AV180" s="16">
        <f t="shared" si="92"/>
        <v>2.1686025360186838E-4</v>
      </c>
      <c r="AW180" s="34">
        <f t="shared" ref="AW180:AW243" si="102">MOD(AX179*10000013,1)</f>
        <v>7.2528274729847908E-2</v>
      </c>
      <c r="AX180" s="34">
        <f t="shared" si="93"/>
        <v>0.690166050568223</v>
      </c>
      <c r="AY180" s="16">
        <f t="shared" si="94"/>
        <v>20.800000000000026</v>
      </c>
      <c r="AZ180" s="16" t="e">
        <f t="shared" si="95"/>
        <v>#N/A</v>
      </c>
      <c r="BA180" s="16">
        <f t="shared" ref="BA180:BA243" si="103">IF(AX180*VLOOKUP(AY180,$BY$42:$BZ$1042,2)&lt;VLOOKUP(AY180,$BY$42:$BZ$1042,2)-$BZ$40/$CB$40,AX180*VLOOKUP(AY180,$BY$42:$BZ$1042,2),NA())</f>
        <v>4.7420115099602823E-3</v>
      </c>
      <c r="BB180" s="34">
        <f t="shared" ref="BB180:BB243" si="104">MOD(BC179*10000013,1)</f>
        <v>0.57913666404783726</v>
      </c>
      <c r="BC180" s="34">
        <f t="shared" si="96"/>
        <v>0.16925500519573689</v>
      </c>
      <c r="BD180" s="16">
        <f t="shared" si="97"/>
        <v>53.900000000000496</v>
      </c>
      <c r="BE180" s="16" t="e">
        <f t="shared" si="98"/>
        <v>#N/A</v>
      </c>
      <c r="BF180" s="16">
        <f t="shared" si="99"/>
        <v>3.312566204552214E-3</v>
      </c>
      <c r="BU180" s="16">
        <f t="shared" si="81"/>
        <v>0</v>
      </c>
      <c r="BV180" s="16">
        <f>IF($BY$12=1,NORMDIST(BY180,$Y$6,$Y$8,TRUE),IF($BY$12=2,IF(BY180&lt;=$BX$31,0,IF(BY180&gt;=$BX$32,1,(BY180-$BX$31)*$BX$33)),SUM($BU$42:BU180)/$BV$40))</f>
        <v>3.5147893584038692E-2</v>
      </c>
      <c r="BW180" s="16">
        <f t="shared" si="82"/>
        <v>5.3501145473192152E-2</v>
      </c>
      <c r="BX180" s="16">
        <f>IF($BY$12&lt;3,BV180,SUM($BZ$42:BZ180)/$BX$40)</f>
        <v>3.5147893584038692E-2</v>
      </c>
      <c r="BY180" s="16">
        <f t="shared" si="83"/>
        <v>13.799999999999967</v>
      </c>
      <c r="BZ180" s="16">
        <f t="shared" si="73"/>
        <v>3.876894599506687E-3</v>
      </c>
      <c r="CA180" s="16">
        <f t="shared" si="84"/>
        <v>-999</v>
      </c>
      <c r="CB180" s="16" t="str">
        <f t="shared" si="74"/>
        <v/>
      </c>
      <c r="CC180" s="16" t="e">
        <f>IF(CB180="",NA(),COUNTIF(CB180:$CB$704,CB180))</f>
        <v>#N/A</v>
      </c>
      <c r="CD180" s="16" t="e">
        <f t="shared" si="75"/>
        <v>#N/A</v>
      </c>
      <c r="CE180" s="16" t="e">
        <f t="shared" si="76"/>
        <v>#N/A</v>
      </c>
      <c r="CF180" s="16">
        <f t="shared" si="77"/>
        <v>99</v>
      </c>
      <c r="CG180" s="16">
        <f t="shared" si="78"/>
        <v>0</v>
      </c>
      <c r="CH180" s="16">
        <f t="shared" si="71"/>
        <v>0</v>
      </c>
      <c r="CJ180" s="16" t="e">
        <f t="shared" si="79"/>
        <v>#N/A</v>
      </c>
      <c r="CK180" s="16" t="str">
        <f t="shared" si="80"/>
        <v/>
      </c>
    </row>
    <row r="181" spans="1:89" ht="12" customHeight="1">
      <c r="A181" s="211"/>
      <c r="B181" s="211"/>
      <c r="C181" s="211"/>
      <c r="D181" s="211"/>
      <c r="E181" s="211"/>
      <c r="F181" s="211"/>
      <c r="G181" s="211"/>
      <c r="H181" s="211"/>
      <c r="I181" s="211"/>
      <c r="J181" s="211"/>
      <c r="K181" s="211"/>
      <c r="L181" s="211"/>
      <c r="M181" s="211"/>
      <c r="N181" s="211"/>
      <c r="O181" s="211"/>
      <c r="AM181" s="34">
        <f t="shared" si="100"/>
        <v>0.91371813602745533</v>
      </c>
      <c r="AN181" s="34">
        <f t="shared" si="85"/>
        <v>0.23861032165586948</v>
      </c>
      <c r="AO181" s="16">
        <f t="shared" si="86"/>
        <v>77.199999999999889</v>
      </c>
      <c r="AP181" s="16" t="e">
        <f t="shared" si="87"/>
        <v>#N/A</v>
      </c>
      <c r="AQ181" s="16">
        <f t="shared" si="88"/>
        <v>1.8877034062104948E-3</v>
      </c>
      <c r="AR181" s="34">
        <f t="shared" si="101"/>
        <v>0.31233435310423374</v>
      </c>
      <c r="AS181" s="34">
        <f t="shared" si="89"/>
        <v>0.59138892777264118</v>
      </c>
      <c r="AT181" s="540">
        <f t="shared" si="90"/>
        <v>40.200000000000301</v>
      </c>
      <c r="AU181" s="16" t="e">
        <f t="shared" si="91"/>
        <v>#N/A</v>
      </c>
      <c r="AV181" s="16">
        <f t="shared" si="92"/>
        <v>1.0462035921068995E-2</v>
      </c>
      <c r="AW181" s="34">
        <f t="shared" si="102"/>
        <v>0.47784088738262653</v>
      </c>
      <c r="AX181" s="34">
        <f t="shared" si="93"/>
        <v>8.5757801309227943E-2</v>
      </c>
      <c r="AY181" s="16">
        <f t="shared" si="94"/>
        <v>48.800000000000423</v>
      </c>
      <c r="AZ181" s="16" t="e">
        <f t="shared" si="95"/>
        <v>#N/A</v>
      </c>
      <c r="BA181" s="16">
        <f t="shared" si="103"/>
        <v>1.7075442932157966E-3</v>
      </c>
      <c r="BB181" s="34">
        <f t="shared" si="104"/>
        <v>0.25227243639528751</v>
      </c>
      <c r="BC181" s="34">
        <f t="shared" si="96"/>
        <v>0.64349454827606678</v>
      </c>
      <c r="BD181" s="16">
        <f t="shared" si="97"/>
        <v>36.60000000000025</v>
      </c>
      <c r="BE181" s="16" t="e">
        <f t="shared" si="98"/>
        <v>#N/A</v>
      </c>
      <c r="BF181" s="16">
        <f t="shared" si="99"/>
        <v>1.0255280547101817E-2</v>
      </c>
      <c r="BU181" s="16">
        <f t="shared" si="81"/>
        <v>0</v>
      </c>
      <c r="BV181" s="16">
        <f>IF($BY$12=1,NORMDIST(BY181,$Y$6,$Y$8,TRUE),IF($BY$12=2,IF(BY181&lt;=$BX$31,0,IF(BY181&gt;=$BX$32,1,(BY181-$BX$31)*$BX$33)),SUM($BU$42:BU181)/$BV$40))</f>
        <v>3.5537341016542712E-2</v>
      </c>
      <c r="BW181" s="16">
        <f t="shared" si="82"/>
        <v>5.4378062646722895E-2</v>
      </c>
      <c r="BX181" s="16">
        <f>IF($BY$12&lt;3,BV181,SUM($BZ$42:BZ181)/$BX$40)</f>
        <v>3.5537341016542712E-2</v>
      </c>
      <c r="BY181" s="16">
        <f t="shared" si="83"/>
        <v>13.899999999999967</v>
      </c>
      <c r="BZ181" s="16">
        <f t="shared" si="73"/>
        <v>3.9120908378937431E-3</v>
      </c>
      <c r="CA181" s="16">
        <f t="shared" si="84"/>
        <v>-999</v>
      </c>
      <c r="CB181" s="16" t="str">
        <f t="shared" si="74"/>
        <v/>
      </c>
      <c r="CC181" s="16" t="e">
        <f>IF(CB181="",NA(),COUNTIF(CB181:$CB$704,CB181))</f>
        <v>#N/A</v>
      </c>
      <c r="CD181" s="16" t="e">
        <f t="shared" si="75"/>
        <v>#N/A</v>
      </c>
      <c r="CE181" s="16" t="e">
        <f t="shared" si="76"/>
        <v>#N/A</v>
      </c>
      <c r="CF181" s="16">
        <f t="shared" si="77"/>
        <v>99</v>
      </c>
      <c r="CG181" s="16">
        <f t="shared" si="78"/>
        <v>0</v>
      </c>
      <c r="CH181" s="16">
        <f t="shared" si="71"/>
        <v>0</v>
      </c>
      <c r="CJ181" s="16" t="e">
        <f t="shared" si="79"/>
        <v>#N/A</v>
      </c>
      <c r="CK181" s="16" t="str">
        <f t="shared" si="80"/>
        <v/>
      </c>
    </row>
    <row r="182" spans="1:89" ht="12" customHeight="1">
      <c r="A182" s="211"/>
      <c r="B182" s="211"/>
      <c r="C182" s="211"/>
      <c r="D182" s="211"/>
      <c r="E182" s="211"/>
      <c r="F182" s="211"/>
      <c r="G182" s="211"/>
      <c r="H182" s="211"/>
      <c r="I182" s="211"/>
      <c r="J182" s="211"/>
      <c r="K182" s="211"/>
      <c r="L182" s="211"/>
      <c r="M182" s="211"/>
      <c r="N182" s="211"/>
      <c r="O182" s="211"/>
      <c r="AM182" s="34">
        <f t="shared" si="100"/>
        <v>0.31849287636578083</v>
      </c>
      <c r="AN182" s="34">
        <f t="shared" si="85"/>
        <v>0.9040652010589838</v>
      </c>
      <c r="AO182" s="16">
        <f t="shared" si="86"/>
        <v>40.500000000000306</v>
      </c>
      <c r="AP182" s="16" t="e">
        <f t="shared" si="87"/>
        <v>#N/A</v>
      </c>
      <c r="AQ182" s="16">
        <f t="shared" si="88"/>
        <v>1.6109645244130014E-2</v>
      </c>
      <c r="AR182" s="34">
        <f t="shared" si="101"/>
        <v>0.96578247286379337</v>
      </c>
      <c r="AS182" s="34">
        <f t="shared" si="89"/>
        <v>0.28381008096039295</v>
      </c>
      <c r="AT182" s="540">
        <f t="shared" si="90"/>
        <v>86.399999999999366</v>
      </c>
      <c r="AU182" s="16" t="e">
        <f t="shared" si="91"/>
        <v>#N/A</v>
      </c>
      <c r="AV182" s="16">
        <f t="shared" si="92"/>
        <v>1.0805114336155601E-3</v>
      </c>
      <c r="AW182" s="34">
        <f t="shared" si="102"/>
        <v>0.12794369645416737</v>
      </c>
      <c r="AX182" s="34">
        <f t="shared" si="93"/>
        <v>0.62780972756445408</v>
      </c>
      <c r="AY182" s="16">
        <f t="shared" si="94"/>
        <v>27.200000000000117</v>
      </c>
      <c r="AZ182" s="16" t="e">
        <f t="shared" si="95"/>
        <v>#N/A</v>
      </c>
      <c r="BA182" s="16">
        <f t="shared" si="103"/>
        <v>6.5388828459514714E-3</v>
      </c>
      <c r="BB182" s="34">
        <f t="shared" si="104"/>
        <v>0.84818979538977146</v>
      </c>
      <c r="BC182" s="34">
        <f t="shared" si="96"/>
        <v>0.98036505468189716</v>
      </c>
      <c r="BD182" s="16">
        <f t="shared" si="97"/>
        <v>70.50000000000027</v>
      </c>
      <c r="BE182" s="16" t="e">
        <f t="shared" si="98"/>
        <v>#N/A</v>
      </c>
      <c r="BF182" s="16" t="e">
        <f t="shared" si="99"/>
        <v>#N/A</v>
      </c>
      <c r="BU182" s="16">
        <f t="shared" si="81"/>
        <v>0</v>
      </c>
      <c r="BV182" s="16">
        <f>IF($BY$12=1,NORMDIST(BY182,$Y$6,$Y$8,TRUE),IF($BY$12=2,IF(BY182&lt;=$BX$31,0,IF(BY182&gt;=$BX$32,1,(BY182-$BX$31)*$BX$33)),SUM($BU$42:BU182)/$BV$40))</f>
        <v>3.5930319112925768E-2</v>
      </c>
      <c r="BW182" s="16">
        <f t="shared" si="82"/>
        <v>5.5265110810625594E-2</v>
      </c>
      <c r="BX182" s="16">
        <f>IF($BY$12&lt;3,BV182,SUM($BZ$42:BZ182)/$BX$40)</f>
        <v>3.5930319112925768E-2</v>
      </c>
      <c r="BY182" s="16">
        <f t="shared" si="83"/>
        <v>13.999999999999966</v>
      </c>
      <c r="BZ182" s="16">
        <f t="shared" si="73"/>
        <v>3.9475079150446948E-3</v>
      </c>
      <c r="CA182" s="16">
        <f t="shared" si="84"/>
        <v>-999</v>
      </c>
      <c r="CB182" s="16" t="str">
        <f t="shared" si="74"/>
        <v/>
      </c>
      <c r="CC182" s="16" t="e">
        <f>IF(CB182="",NA(),COUNTIF(CB182:$CB$704,CB182))</f>
        <v>#N/A</v>
      </c>
      <c r="CD182" s="16" t="e">
        <f t="shared" si="75"/>
        <v>#N/A</v>
      </c>
      <c r="CE182" s="16" t="e">
        <f t="shared" si="76"/>
        <v>#N/A</v>
      </c>
      <c r="CF182" s="16">
        <f t="shared" si="77"/>
        <v>99</v>
      </c>
      <c r="CG182" s="16">
        <f t="shared" si="78"/>
        <v>0</v>
      </c>
      <c r="CH182" s="16">
        <f t="shared" si="71"/>
        <v>0</v>
      </c>
      <c r="CJ182" s="16" t="e">
        <f t="shared" si="79"/>
        <v>#N/A</v>
      </c>
      <c r="CK182" s="16" t="str">
        <f t="shared" si="80"/>
        <v/>
      </c>
    </row>
    <row r="183" spans="1:89" ht="12" customHeight="1">
      <c r="A183" s="211"/>
      <c r="B183" s="211"/>
      <c r="C183" s="211"/>
      <c r="D183" s="211"/>
      <c r="E183" s="211"/>
      <c r="F183" s="211"/>
      <c r="G183" s="211"/>
      <c r="H183" s="211"/>
      <c r="I183" s="211"/>
      <c r="J183" s="211"/>
      <c r="K183" s="211"/>
      <c r="L183" s="211"/>
      <c r="M183" s="211"/>
      <c r="N183" s="211"/>
      <c r="O183" s="211"/>
      <c r="AM183" s="34">
        <f t="shared" si="100"/>
        <v>0.76343745179474354</v>
      </c>
      <c r="AN183" s="34">
        <f t="shared" si="85"/>
        <v>0.44263430871069431</v>
      </c>
      <c r="AO183" s="16">
        <f t="shared" si="86"/>
        <v>64.300000000000622</v>
      </c>
      <c r="AP183" s="16" t="e">
        <f t="shared" si="87"/>
        <v>#N/A</v>
      </c>
      <c r="AQ183" s="16">
        <f t="shared" si="88"/>
        <v>6.8377630190522808E-3</v>
      </c>
      <c r="AR183" s="34">
        <f t="shared" si="101"/>
        <v>0.4991349820047617</v>
      </c>
      <c r="AS183" s="34">
        <f t="shared" si="89"/>
        <v>0.30880238302052021</v>
      </c>
      <c r="AT183" s="540">
        <f t="shared" si="90"/>
        <v>49.900000000000439</v>
      </c>
      <c r="AU183" s="16" t="e">
        <f t="shared" si="91"/>
        <v>#N/A</v>
      </c>
      <c r="AV183" s="16">
        <f t="shared" si="92"/>
        <v>6.159639347807078E-3</v>
      </c>
      <c r="AW183" s="34">
        <f t="shared" si="102"/>
        <v>0.43717099912464619</v>
      </c>
      <c r="AX183" s="34">
        <f t="shared" si="93"/>
        <v>0.67446945048868656</v>
      </c>
      <c r="AY183" s="16">
        <f t="shared" si="94"/>
        <v>46.800000000000395</v>
      </c>
      <c r="AZ183" s="16" t="e">
        <f t="shared" si="95"/>
        <v>#N/A</v>
      </c>
      <c r="BA183" s="16">
        <f t="shared" si="103"/>
        <v>1.3282608869600691E-2</v>
      </c>
      <c r="BB183" s="34">
        <f t="shared" si="104"/>
        <v>0.29156468249857426</v>
      </c>
      <c r="BC183" s="34">
        <f t="shared" si="96"/>
        <v>0.61532661505043507</v>
      </c>
      <c r="BD183" s="16">
        <f t="shared" si="97"/>
        <v>39.000000000000284</v>
      </c>
      <c r="BE183" s="16" t="e">
        <f t="shared" si="98"/>
        <v>#N/A</v>
      </c>
      <c r="BF183" s="16">
        <f t="shared" si="99"/>
        <v>1.0551124073071313E-2</v>
      </c>
      <c r="BU183" s="16">
        <f t="shared" si="81"/>
        <v>0</v>
      </c>
      <c r="BV183" s="16">
        <f>IF($BY$12=1,NORMDIST(BY183,$Y$6,$Y$8,TRUE),IF($BY$12=2,IF(BY183&lt;=$BX$31,0,IF(BY183&gt;=$BX$32,1,(BY183-$BX$31)*$BX$33)),SUM($BU$42:BU183)/$BV$40))</f>
        <v>3.6326849968208341E-2</v>
      </c>
      <c r="BW183" s="16">
        <f t="shared" si="82"/>
        <v>5.6162359324981481E-2</v>
      </c>
      <c r="BX183" s="16">
        <f>IF($BY$12&lt;3,BV183,SUM($BZ$42:BZ183)/$BX$40)</f>
        <v>3.6326849968208341E-2</v>
      </c>
      <c r="BY183" s="16">
        <f t="shared" si="83"/>
        <v>14.099999999999966</v>
      </c>
      <c r="BZ183" s="16">
        <f t="shared" si="73"/>
        <v>3.9831460514171361E-3</v>
      </c>
      <c r="CA183" s="16">
        <f t="shared" si="84"/>
        <v>-999</v>
      </c>
      <c r="CB183" s="16" t="str">
        <f t="shared" si="74"/>
        <v/>
      </c>
      <c r="CC183" s="16" t="e">
        <f>IF(CB183="",NA(),COUNTIF(CB183:$CB$704,CB183))</f>
        <v>#N/A</v>
      </c>
      <c r="CD183" s="16" t="e">
        <f t="shared" si="75"/>
        <v>#N/A</v>
      </c>
      <c r="CE183" s="16" t="e">
        <f t="shared" si="76"/>
        <v>#N/A</v>
      </c>
      <c r="CF183" s="16">
        <f t="shared" si="77"/>
        <v>99</v>
      </c>
      <c r="CG183" s="16">
        <f t="shared" si="78"/>
        <v>0</v>
      </c>
      <c r="CH183" s="16">
        <f t="shared" si="71"/>
        <v>0</v>
      </c>
      <c r="CJ183" s="16" t="e">
        <f t="shared" si="79"/>
        <v>#N/A</v>
      </c>
      <c r="CK183" s="16" t="str">
        <f t="shared" si="80"/>
        <v/>
      </c>
    </row>
    <row r="184" spans="1:89" ht="12" customHeight="1">
      <c r="A184" s="211"/>
      <c r="B184" s="211"/>
      <c r="C184" s="211"/>
      <c r="D184" s="211"/>
      <c r="E184" s="211"/>
      <c r="F184" s="211"/>
      <c r="G184" s="211"/>
      <c r="H184" s="211"/>
      <c r="I184" s="211"/>
      <c r="J184" s="211"/>
      <c r="K184" s="211"/>
      <c r="L184" s="211"/>
      <c r="M184" s="211"/>
      <c r="N184" s="211"/>
      <c r="O184" s="211"/>
      <c r="AM184" s="34">
        <f t="shared" si="100"/>
        <v>0.84135295636951923</v>
      </c>
      <c r="AN184" s="34">
        <f t="shared" si="85"/>
        <v>0.50128362514078617</v>
      </c>
      <c r="AO184" s="16">
        <f t="shared" si="86"/>
        <v>70.000000000000298</v>
      </c>
      <c r="AP184" s="16" t="e">
        <f t="shared" si="87"/>
        <v>#N/A</v>
      </c>
      <c r="AQ184" s="16">
        <f t="shared" si="88"/>
        <v>6.0647980982448443E-3</v>
      </c>
      <c r="AR184" s="34">
        <f t="shared" si="101"/>
        <v>0.84463618136942387</v>
      </c>
      <c r="AS184" s="34">
        <f t="shared" si="89"/>
        <v>0.79396459646522999</v>
      </c>
      <c r="AT184" s="540">
        <f t="shared" si="90"/>
        <v>70.200000000000287</v>
      </c>
      <c r="AU184" s="16" t="e">
        <f t="shared" si="91"/>
        <v>#N/A</v>
      </c>
      <c r="AV184" s="16">
        <f t="shared" si="92"/>
        <v>9.5097545320211117E-3</v>
      </c>
      <c r="AW184" s="34">
        <f t="shared" si="102"/>
        <v>0.27298972196877003</v>
      </c>
      <c r="AX184" s="34">
        <f t="shared" si="93"/>
        <v>0.7685540858656168</v>
      </c>
      <c r="AY184" s="16">
        <f t="shared" si="94"/>
        <v>37.900000000000269</v>
      </c>
      <c r="AZ184" s="16" t="e">
        <f t="shared" si="95"/>
        <v>#N/A</v>
      </c>
      <c r="BA184" s="16">
        <f t="shared" si="103"/>
        <v>1.276653931609846E-2</v>
      </c>
      <c r="BB184" s="34">
        <f t="shared" si="104"/>
        <v>0.14975034631788731</v>
      </c>
      <c r="BC184" s="34">
        <f t="shared" si="96"/>
        <v>0.40993337519466877</v>
      </c>
      <c r="BD184" s="16">
        <f t="shared" si="97"/>
        <v>29.200000000000145</v>
      </c>
      <c r="BE184" s="16" t="e">
        <f t="shared" si="98"/>
        <v>#N/A</v>
      </c>
      <c r="BF184" s="16">
        <f t="shared" si="99"/>
        <v>4.7613147601030404E-3</v>
      </c>
      <c r="BU184" s="16">
        <f t="shared" si="81"/>
        <v>0</v>
      </c>
      <c r="BV184" s="16">
        <f>IF($BY$12=1,NORMDIST(BY184,$Y$6,$Y$8,TRUE),IF($BY$12=2,IF(BY184&lt;=$BX$31,0,IF(BY184&gt;=$BX$32,1,(BY184-$BX$31)*$BX$33)),SUM($BU$42:BU184)/$BV$40))</f>
        <v>3.6726955698726194E-2</v>
      </c>
      <c r="BW184" s="16">
        <f t="shared" si="82"/>
        <v>5.7069877429869152E-2</v>
      </c>
      <c r="BX184" s="16">
        <f>IF($BY$12&lt;3,BV184,SUM($BZ$42:BZ184)/$BX$40)</f>
        <v>3.6726955698726194E-2</v>
      </c>
      <c r="BY184" s="16">
        <f t="shared" si="83"/>
        <v>14.199999999999966</v>
      </c>
      <c r="BZ184" s="16">
        <f t="shared" si="73"/>
        <v>4.0190054528076967E-3</v>
      </c>
      <c r="CA184" s="16">
        <f t="shared" si="84"/>
        <v>-999</v>
      </c>
      <c r="CB184" s="16" t="str">
        <f t="shared" si="74"/>
        <v/>
      </c>
      <c r="CC184" s="16" t="e">
        <f>IF(CB184="",NA(),COUNTIF(CB184:$CB$704,CB184))</f>
        <v>#N/A</v>
      </c>
      <c r="CD184" s="16" t="e">
        <f t="shared" si="75"/>
        <v>#N/A</v>
      </c>
      <c r="CE184" s="16" t="e">
        <f t="shared" si="76"/>
        <v>#N/A</v>
      </c>
      <c r="CF184" s="16">
        <f t="shared" si="77"/>
        <v>99</v>
      </c>
      <c r="CG184" s="16">
        <f t="shared" si="78"/>
        <v>0</v>
      </c>
      <c r="CH184" s="16">
        <f t="shared" si="71"/>
        <v>0</v>
      </c>
      <c r="CJ184" s="16" t="e">
        <f t="shared" si="79"/>
        <v>#N/A</v>
      </c>
      <c r="CK184" s="16" t="str">
        <f t="shared" si="80"/>
        <v/>
      </c>
    </row>
    <row r="185" spans="1:89" ht="12" customHeight="1">
      <c r="A185" s="211"/>
      <c r="B185" s="211"/>
      <c r="C185" s="211"/>
      <c r="D185" s="211"/>
      <c r="E185" s="211"/>
      <c r="F185" s="211"/>
      <c r="G185" s="211"/>
      <c r="H185" s="211"/>
      <c r="I185" s="211"/>
      <c r="J185" s="211"/>
      <c r="K185" s="211"/>
      <c r="L185" s="211"/>
      <c r="M185" s="211"/>
      <c r="N185" s="211"/>
      <c r="O185" s="211"/>
      <c r="AM185" s="34">
        <f t="shared" si="100"/>
        <v>0.76809498853981495</v>
      </c>
      <c r="AN185" s="34">
        <f t="shared" si="85"/>
        <v>0.87063300050795078</v>
      </c>
      <c r="AO185" s="16">
        <f t="shared" si="86"/>
        <v>64.600000000000605</v>
      </c>
      <c r="AP185" s="16" t="e">
        <f t="shared" si="87"/>
        <v>#N/A</v>
      </c>
      <c r="AQ185" s="16">
        <f t="shared" si="88"/>
        <v>1.3304465451603473E-2</v>
      </c>
      <c r="AR185" s="34">
        <f t="shared" si="101"/>
        <v>0.28619205392897129</v>
      </c>
      <c r="AS185" s="34">
        <f t="shared" si="89"/>
        <v>0.25978641398251057</v>
      </c>
      <c r="AT185" s="540">
        <f t="shared" si="90"/>
        <v>38.70000000000028</v>
      </c>
      <c r="AU185" s="16" t="e">
        <f t="shared" si="91"/>
        <v>#N/A</v>
      </c>
      <c r="AV185" s="16">
        <f t="shared" si="92"/>
        <v>4.4175113828478149E-3</v>
      </c>
      <c r="AW185" s="34">
        <f t="shared" si="102"/>
        <v>0.84985928423702717</v>
      </c>
      <c r="AX185" s="34">
        <f t="shared" si="93"/>
        <v>0.89054096676409245</v>
      </c>
      <c r="AY185" s="16">
        <f t="shared" si="94"/>
        <v>70.700000000000259</v>
      </c>
      <c r="AZ185" s="16" t="e">
        <f t="shared" si="95"/>
        <v>#N/A</v>
      </c>
      <c r="BA185" s="16">
        <f t="shared" si="103"/>
        <v>1.0397296278630409E-2</v>
      </c>
      <c r="BB185" s="34">
        <f t="shared" si="104"/>
        <v>8.1080565229058266E-2</v>
      </c>
      <c r="BC185" s="34">
        <f t="shared" si="96"/>
        <v>0.70633793063461781</v>
      </c>
      <c r="BD185" s="16">
        <f t="shared" si="97"/>
        <v>22.000000000000043</v>
      </c>
      <c r="BE185" s="16" t="e">
        <f t="shared" si="98"/>
        <v>#N/A</v>
      </c>
      <c r="BF185" s="16">
        <f t="shared" si="99"/>
        <v>5.287909411815909E-3</v>
      </c>
      <c r="BU185" s="16">
        <f t="shared" si="81"/>
        <v>0</v>
      </c>
      <c r="BV185" s="16">
        <f>IF($BY$12=1,NORMDIST(BY185,$Y$6,$Y$8,TRUE),IF($BY$12=2,IF(BY185&lt;=$BX$31,0,IF(BY185&gt;=$BX$32,1,(BY185-$BX$31)*$BX$33)),SUM($BU$42:BU185)/$BV$40))</f>
        <v>3.7130658440653552E-2</v>
      </c>
      <c r="BW185" s="16">
        <f t="shared" si="82"/>
        <v>5.7987734235845551E-2</v>
      </c>
      <c r="BX185" s="16">
        <f>IF($BY$12&lt;3,BV185,SUM($BZ$42:BZ185)/$BX$40)</f>
        <v>3.7130658440653552E-2</v>
      </c>
      <c r="BY185" s="16">
        <f t="shared" si="83"/>
        <v>14.299999999999965</v>
      </c>
      <c r="BZ185" s="16">
        <f t="shared" si="73"/>
        <v>4.0550863101989996E-3</v>
      </c>
      <c r="CA185" s="16">
        <f t="shared" si="84"/>
        <v>-999</v>
      </c>
      <c r="CB185" s="16" t="str">
        <f t="shared" si="74"/>
        <v/>
      </c>
      <c r="CC185" s="16" t="e">
        <f>IF(CB185="",NA(),COUNTIF(CB185:$CB$704,CB185))</f>
        <v>#N/A</v>
      </c>
      <c r="CD185" s="16" t="e">
        <f t="shared" si="75"/>
        <v>#N/A</v>
      </c>
      <c r="CE185" s="16" t="e">
        <f t="shared" si="76"/>
        <v>#N/A</v>
      </c>
      <c r="CF185" s="16">
        <f t="shared" si="77"/>
        <v>99</v>
      </c>
      <c r="CG185" s="16">
        <f t="shared" si="78"/>
        <v>0</v>
      </c>
      <c r="CH185" s="16">
        <f t="shared" si="71"/>
        <v>0</v>
      </c>
      <c r="CJ185" s="16" t="e">
        <f t="shared" si="79"/>
        <v>#N/A</v>
      </c>
      <c r="CK185" s="16" t="str">
        <f t="shared" si="80"/>
        <v/>
      </c>
    </row>
    <row r="186" spans="1:89" ht="12" customHeight="1">
      <c r="A186" s="211"/>
      <c r="B186" s="211"/>
      <c r="C186" s="211"/>
      <c r="D186" s="211"/>
      <c r="E186" s="211"/>
      <c r="F186" s="211"/>
      <c r="G186" s="211"/>
      <c r="H186" s="211"/>
      <c r="I186" s="211"/>
      <c r="J186" s="211"/>
      <c r="K186" s="211"/>
      <c r="L186" s="211"/>
      <c r="M186" s="211"/>
      <c r="N186" s="211"/>
      <c r="O186" s="211"/>
      <c r="AM186" s="34">
        <f t="shared" si="100"/>
        <v>0.32330851443111897</v>
      </c>
      <c r="AN186" s="34">
        <f t="shared" si="85"/>
        <v>0.3473218772560358</v>
      </c>
      <c r="AO186" s="16">
        <f t="shared" si="86"/>
        <v>40.80000000000031</v>
      </c>
      <c r="AP186" s="16" t="e">
        <f t="shared" si="87"/>
        <v>#N/A</v>
      </c>
      <c r="AQ186" s="16">
        <f t="shared" si="88"/>
        <v>6.2325224805368316E-3</v>
      </c>
      <c r="AR186" s="34">
        <f t="shared" si="101"/>
        <v>0.51704848743975163</v>
      </c>
      <c r="AS186" s="34">
        <f t="shared" si="89"/>
        <v>0.59602785296738148</v>
      </c>
      <c r="AT186" s="540">
        <f t="shared" si="90"/>
        <v>50.800000000000452</v>
      </c>
      <c r="AU186" s="16" t="e">
        <f t="shared" si="91"/>
        <v>#N/A</v>
      </c>
      <c r="AV186" s="16">
        <f t="shared" si="92"/>
        <v>1.187952811732206E-2</v>
      </c>
      <c r="AW186" s="34">
        <f t="shared" si="102"/>
        <v>0.24467349238693714</v>
      </c>
      <c r="AX186" s="34">
        <f t="shared" si="93"/>
        <v>0.10462477244436741</v>
      </c>
      <c r="AY186" s="16">
        <f t="shared" si="94"/>
        <v>36.100000000000243</v>
      </c>
      <c r="AZ186" s="16" t="e">
        <f t="shared" si="95"/>
        <v>#N/A</v>
      </c>
      <c r="BA186" s="16">
        <f t="shared" si="103"/>
        <v>1.6391815249134122E-3</v>
      </c>
      <c r="BB186" s="34">
        <f t="shared" si="104"/>
        <v>0.48873927630484104</v>
      </c>
      <c r="BC186" s="34">
        <f t="shared" si="96"/>
        <v>0.11665900237858295</v>
      </c>
      <c r="BD186" s="16">
        <f t="shared" si="97"/>
        <v>49.400000000000432</v>
      </c>
      <c r="BE186" s="16" t="e">
        <f t="shared" si="98"/>
        <v>#N/A</v>
      </c>
      <c r="BF186" s="16">
        <f t="shared" si="99"/>
        <v>2.3259635027980102E-3</v>
      </c>
      <c r="BU186" s="16">
        <f t="shared" si="81"/>
        <v>0</v>
      </c>
      <c r="BV186" s="16">
        <f>IF($BY$12=1,NORMDIST(BY186,$Y$6,$Y$8,TRUE),IF($BY$12=2,IF(BY186&lt;=$BX$31,0,IF(BY186&gt;=$BX$32,1,(BY186-$BX$31)*$BX$33)),SUM($BU$42:BU186)/$BV$40))</f>
        <v>3.7537980348516742E-2</v>
      </c>
      <c r="BW186" s="16">
        <f t="shared" si="82"/>
        <v>5.8915998714342478E-2</v>
      </c>
      <c r="BX186" s="16">
        <f>IF($BY$12&lt;3,BV186,SUM($BZ$42:BZ186)/$BX$40)</f>
        <v>3.7537980348516742E-2</v>
      </c>
      <c r="BY186" s="16">
        <f t="shared" si="83"/>
        <v>14.399999999999965</v>
      </c>
      <c r="BZ186" s="16">
        <f t="shared" si="73"/>
        <v>4.0913887996071267E-3</v>
      </c>
      <c r="CA186" s="16">
        <f t="shared" si="84"/>
        <v>-999</v>
      </c>
      <c r="CB186" s="16" t="str">
        <f t="shared" si="74"/>
        <v/>
      </c>
      <c r="CC186" s="16" t="e">
        <f>IF(CB186="",NA(),COUNTIF(CB186:$CB$704,CB186))</f>
        <v>#N/A</v>
      </c>
      <c r="CD186" s="16" t="e">
        <f t="shared" si="75"/>
        <v>#N/A</v>
      </c>
      <c r="CE186" s="16" t="e">
        <f t="shared" si="76"/>
        <v>#N/A</v>
      </c>
      <c r="CF186" s="16">
        <f t="shared" si="77"/>
        <v>99</v>
      </c>
      <c r="CG186" s="16">
        <f t="shared" si="78"/>
        <v>0</v>
      </c>
      <c r="CH186" s="16">
        <f t="shared" si="71"/>
        <v>0</v>
      </c>
      <c r="CJ186" s="16" t="e">
        <f t="shared" si="79"/>
        <v>#N/A</v>
      </c>
      <c r="CK186" s="16" t="str">
        <f t="shared" si="80"/>
        <v/>
      </c>
    </row>
    <row r="187" spans="1:89" ht="12" customHeight="1">
      <c r="A187" s="211"/>
      <c r="B187" s="211"/>
      <c r="C187" s="211"/>
      <c r="D187" s="211"/>
      <c r="E187" s="211"/>
      <c r="F187" s="211"/>
      <c r="G187" s="211"/>
      <c r="H187" s="211"/>
      <c r="I187" s="211"/>
      <c r="J187" s="211"/>
      <c r="K187" s="211"/>
      <c r="L187" s="211"/>
      <c r="M187" s="211"/>
      <c r="N187" s="211"/>
      <c r="O187" s="211"/>
      <c r="AM187" s="34">
        <f t="shared" si="100"/>
        <v>0.28774476237595081</v>
      </c>
      <c r="AN187" s="34">
        <f t="shared" si="85"/>
        <v>0.36444141902029514</v>
      </c>
      <c r="AO187" s="16">
        <f t="shared" si="86"/>
        <v>38.800000000000281</v>
      </c>
      <c r="AP187" s="16" t="e">
        <f t="shared" si="87"/>
        <v>#N/A</v>
      </c>
      <c r="AQ187" s="16">
        <f t="shared" si="88"/>
        <v>6.2145605579671144E-3</v>
      </c>
      <c r="AR187" s="34">
        <f t="shared" si="101"/>
        <v>0.27803590334951878</v>
      </c>
      <c r="AS187" s="34">
        <f t="shared" si="89"/>
        <v>0.6479619313031435</v>
      </c>
      <c r="AT187" s="540">
        <f t="shared" si="90"/>
        <v>38.200000000000273</v>
      </c>
      <c r="AU187" s="16" t="e">
        <f t="shared" si="91"/>
        <v>#N/A</v>
      </c>
      <c r="AV187" s="16">
        <f t="shared" si="92"/>
        <v>1.0860269606898645E-2</v>
      </c>
      <c r="AW187" s="34">
        <f t="shared" si="102"/>
        <v>8.4565715864300728E-2</v>
      </c>
      <c r="AX187" s="34">
        <f t="shared" si="93"/>
        <v>0.25799731351435184</v>
      </c>
      <c r="AY187" s="16">
        <f t="shared" si="94"/>
        <v>22.400000000000048</v>
      </c>
      <c r="AZ187" s="16" t="e">
        <f t="shared" si="95"/>
        <v>#N/A</v>
      </c>
      <c r="BA187" s="16">
        <f t="shared" si="103"/>
        <v>1.9859122202448335E-3</v>
      </c>
      <c r="BB187" s="34">
        <f t="shared" si="104"/>
        <v>0.54035286046564579</v>
      </c>
      <c r="BC187" s="34">
        <f t="shared" si="96"/>
        <v>0.62924364395439625</v>
      </c>
      <c r="BD187" s="16">
        <f t="shared" si="97"/>
        <v>52.000000000000469</v>
      </c>
      <c r="BE187" s="16" t="e">
        <f t="shared" si="98"/>
        <v>#N/A</v>
      </c>
      <c r="BF187" s="16">
        <f t="shared" si="99"/>
        <v>1.2488993372570738E-2</v>
      </c>
      <c r="BU187" s="16">
        <f t="shared" si="81"/>
        <v>0</v>
      </c>
      <c r="BV187" s="16">
        <f>IF($BY$12=1,NORMDIST(BY187,$Y$6,$Y$8,TRUE),IF($BY$12=2,IF(BY187&lt;=$BX$31,0,IF(BY187&gt;=$BX$32,1,(BY187-$BX$31)*$BX$33)),SUM($BU$42:BU187)/$BV$40))</f>
        <v>3.7948943593689166E-2</v>
      </c>
      <c r="BW187" s="16">
        <f t="shared" si="82"/>
        <v>5.9854739687978574E-2</v>
      </c>
      <c r="BX187" s="16">
        <f>IF($BY$12&lt;3,BV187,SUM($BZ$42:BZ187)/$BX$40)</f>
        <v>3.7948943593689166E-2</v>
      </c>
      <c r="BY187" s="16">
        <f t="shared" si="83"/>
        <v>14.499999999999964</v>
      </c>
      <c r="BZ187" s="16">
        <f t="shared" si="73"/>
        <v>4.1279130819295668E-3</v>
      </c>
      <c r="CA187" s="16">
        <f t="shared" si="84"/>
        <v>-999</v>
      </c>
      <c r="CB187" s="16" t="str">
        <f t="shared" si="74"/>
        <v/>
      </c>
      <c r="CC187" s="16" t="e">
        <f>IF(CB187="",NA(),COUNTIF(CB187:$CB$704,CB187))</f>
        <v>#N/A</v>
      </c>
      <c r="CD187" s="16" t="e">
        <f t="shared" si="75"/>
        <v>#N/A</v>
      </c>
      <c r="CE187" s="16" t="e">
        <f t="shared" si="76"/>
        <v>#N/A</v>
      </c>
      <c r="CF187" s="16">
        <f t="shared" si="77"/>
        <v>99</v>
      </c>
      <c r="CG187" s="16">
        <f t="shared" si="78"/>
        <v>0</v>
      </c>
      <c r="CH187" s="16">
        <f t="shared" si="71"/>
        <v>0</v>
      </c>
      <c r="CJ187" s="16" t="e">
        <f t="shared" si="79"/>
        <v>#N/A</v>
      </c>
      <c r="CK187" s="16" t="str">
        <f t="shared" si="80"/>
        <v/>
      </c>
    </row>
    <row r="188" spans="1:89" ht="12" customHeight="1">
      <c r="A188" s="211"/>
      <c r="B188" s="211"/>
      <c r="C188" s="211"/>
      <c r="D188" s="211"/>
      <c r="E188" s="211"/>
      <c r="F188" s="211"/>
      <c r="G188" s="211"/>
      <c r="H188" s="211"/>
      <c r="I188" s="211"/>
      <c r="J188" s="211"/>
      <c r="K188" s="211"/>
      <c r="L188" s="211"/>
      <c r="M188" s="211"/>
      <c r="N188" s="211"/>
      <c r="O188" s="211"/>
      <c r="AM188" s="34">
        <f t="shared" si="100"/>
        <v>0.92794139869511127</v>
      </c>
      <c r="AN188" s="34">
        <f t="shared" si="85"/>
        <v>5.0189295783638954E-2</v>
      </c>
      <c r="AO188" s="16">
        <f t="shared" si="86"/>
        <v>79.199999999999775</v>
      </c>
      <c r="AP188" s="16" t="e">
        <f t="shared" si="87"/>
        <v>#N/A</v>
      </c>
      <c r="AQ188" s="16">
        <f t="shared" si="88"/>
        <v>3.4484196678012961E-4</v>
      </c>
      <c r="AR188" s="34">
        <f t="shared" si="101"/>
        <v>0.7365365419536829</v>
      </c>
      <c r="AS188" s="34">
        <f t="shared" si="89"/>
        <v>0.99451187439262867</v>
      </c>
      <c r="AT188" s="540">
        <f t="shared" si="90"/>
        <v>62.60000000000062</v>
      </c>
      <c r="AU188" s="16" t="e">
        <f t="shared" si="91"/>
        <v>#N/A</v>
      </c>
      <c r="AV188" s="16" t="e">
        <f t="shared" si="92"/>
        <v>#N/A</v>
      </c>
      <c r="AW188" s="34">
        <f t="shared" si="102"/>
        <v>0.48910859413444996</v>
      </c>
      <c r="AX188" s="34">
        <f t="shared" si="93"/>
        <v>0.29975622333586216</v>
      </c>
      <c r="AY188" s="16">
        <f t="shared" si="94"/>
        <v>49.400000000000432</v>
      </c>
      <c r="AZ188" s="16" t="e">
        <f t="shared" si="95"/>
        <v>#N/A</v>
      </c>
      <c r="BA188" s="16">
        <f t="shared" si="103"/>
        <v>5.9765814982126516E-3</v>
      </c>
      <c r="BB188" s="34">
        <f t="shared" si="104"/>
        <v>0.61971133388578892</v>
      </c>
      <c r="BC188" s="34">
        <f t="shared" si="96"/>
        <v>0.39510522969067097</v>
      </c>
      <c r="BD188" s="16">
        <f t="shared" si="97"/>
        <v>56.000000000000526</v>
      </c>
      <c r="BE188" s="16" t="e">
        <f t="shared" si="98"/>
        <v>#N/A</v>
      </c>
      <c r="BF188" s="16">
        <f t="shared" si="99"/>
        <v>7.5344160214376212E-3</v>
      </c>
      <c r="BU188" s="16">
        <f t="shared" si="81"/>
        <v>0</v>
      </c>
      <c r="BV188" s="16">
        <f>IF($BY$12=1,NORMDIST(BY188,$Y$6,$Y$8,TRUE),IF($BY$12=2,IF(BY188&lt;=$BX$31,0,IF(BY188&gt;=$BX$32,1,(BY188-$BX$31)*$BX$33)),SUM($BU$42:BU188)/$BV$40))</f>
        <v>3.8363570362871191E-2</v>
      </c>
      <c r="BW188" s="16">
        <f t="shared" si="82"/>
        <v>6.0804025820788025E-2</v>
      </c>
      <c r="BX188" s="16">
        <f>IF($BY$12&lt;3,BV188,SUM($BZ$42:BZ188)/$BX$40)</f>
        <v>3.8363570362871191E-2</v>
      </c>
      <c r="BY188" s="16">
        <f t="shared" si="83"/>
        <v>14.599999999999964</v>
      </c>
      <c r="BZ188" s="16">
        <f t="shared" si="73"/>
        <v>4.1646593027937105E-3</v>
      </c>
      <c r="CA188" s="16">
        <f t="shared" si="84"/>
        <v>-999</v>
      </c>
      <c r="CB188" s="16" t="str">
        <f t="shared" si="74"/>
        <v/>
      </c>
      <c r="CC188" s="16" t="e">
        <f>IF(CB188="",NA(),COUNTIF(CB188:$CB$704,CB188))</f>
        <v>#N/A</v>
      </c>
      <c r="CD188" s="16" t="e">
        <f t="shared" si="75"/>
        <v>#N/A</v>
      </c>
      <c r="CE188" s="16" t="e">
        <f t="shared" si="76"/>
        <v>#N/A</v>
      </c>
      <c r="CF188" s="16">
        <f t="shared" si="77"/>
        <v>99</v>
      </c>
      <c r="CG188" s="16">
        <f t="shared" si="78"/>
        <v>0</v>
      </c>
      <c r="CH188" s="16">
        <f t="shared" si="71"/>
        <v>0</v>
      </c>
      <c r="CJ188" s="16" t="e">
        <f t="shared" si="79"/>
        <v>#N/A</v>
      </c>
      <c r="CK188" s="16" t="str">
        <f t="shared" si="80"/>
        <v/>
      </c>
    </row>
    <row r="189" spans="1:89" ht="12" customHeight="1">
      <c r="A189" s="211"/>
      <c r="B189" s="211"/>
      <c r="C189" s="211"/>
      <c r="D189" s="211"/>
      <c r="E189" s="211"/>
      <c r="F189" s="211"/>
      <c r="G189" s="211"/>
      <c r="H189" s="211"/>
      <c r="I189" s="211"/>
      <c r="J189" s="211"/>
      <c r="K189" s="211"/>
      <c r="L189" s="211"/>
      <c r="M189" s="211"/>
      <c r="N189" s="211"/>
      <c r="O189" s="211"/>
      <c r="AM189" s="34">
        <f t="shared" si="100"/>
        <v>0.61029723472893238</v>
      </c>
      <c r="AN189" s="34">
        <f t="shared" si="85"/>
        <v>0.28115337528288364</v>
      </c>
      <c r="AO189" s="16">
        <f t="shared" si="86"/>
        <v>55.60000000000052</v>
      </c>
      <c r="AP189" s="16" t="e">
        <f t="shared" si="87"/>
        <v>#N/A</v>
      </c>
      <c r="AQ189" s="16">
        <f t="shared" si="88"/>
        <v>5.3926101909350837E-3</v>
      </c>
      <c r="AR189" s="34">
        <f t="shared" si="101"/>
        <v>0.6725806538015604</v>
      </c>
      <c r="AS189" s="34">
        <f t="shared" si="89"/>
        <v>0.28156410343945026</v>
      </c>
      <c r="AT189" s="540">
        <f t="shared" si="90"/>
        <v>58.900000000000567</v>
      </c>
      <c r="AU189" s="16" t="e">
        <f t="shared" si="91"/>
        <v>#N/A</v>
      </c>
      <c r="AV189" s="16">
        <f t="shared" si="92"/>
        <v>5.0869418558085388E-3</v>
      </c>
      <c r="AW189" s="34">
        <f t="shared" si="102"/>
        <v>0.13018952496349812</v>
      </c>
      <c r="AX189" s="34">
        <f t="shared" si="93"/>
        <v>0.94209880568087101</v>
      </c>
      <c r="AY189" s="16">
        <f t="shared" si="94"/>
        <v>27.400000000000119</v>
      </c>
      <c r="AZ189" s="16" t="e">
        <f t="shared" si="95"/>
        <v>#N/A</v>
      </c>
      <c r="BA189" s="16">
        <f t="shared" si="103"/>
        <v>9.9243303332358368E-3</v>
      </c>
      <c r="BB189" s="34">
        <f t="shared" si="104"/>
        <v>0.43327469564974308</v>
      </c>
      <c r="BC189" s="34">
        <f t="shared" si="96"/>
        <v>0.58906847424805164</v>
      </c>
      <c r="BD189" s="16">
        <f t="shared" si="97"/>
        <v>46.600000000000392</v>
      </c>
      <c r="BE189" s="16" t="e">
        <f t="shared" si="98"/>
        <v>#N/A</v>
      </c>
      <c r="BF189" s="16">
        <f t="shared" si="99"/>
        <v>1.1581646249685502E-2</v>
      </c>
      <c r="BU189" s="16">
        <f t="shared" si="81"/>
        <v>0</v>
      </c>
      <c r="BV189" s="16">
        <f>IF($BY$12=1,NORMDIST(BY189,$Y$6,$Y$8,TRUE),IF($BY$12=2,IF(BY189&lt;=$BX$31,0,IF(BY189&gt;=$BX$32,1,(BY189-$BX$31)*$BX$33)),SUM($BU$42:BU189)/$BV$40))</f>
        <v>3.8781882856556482E-2</v>
      </c>
      <c r="BW189" s="16">
        <f t="shared" si="82"/>
        <v>6.1763925608366591E-2</v>
      </c>
      <c r="BX189" s="16">
        <f>IF($BY$12&lt;3,BV189,SUM($BZ$42:BZ189)/$BX$40)</f>
        <v>3.8781882856556482E-2</v>
      </c>
      <c r="BY189" s="16">
        <f t="shared" si="83"/>
        <v>14.699999999999964</v>
      </c>
      <c r="BZ189" s="16">
        <f t="shared" si="73"/>
        <v>4.2016275924059007E-3</v>
      </c>
      <c r="CA189" s="16">
        <f t="shared" si="84"/>
        <v>-999</v>
      </c>
      <c r="CB189" s="16" t="str">
        <f t="shared" si="74"/>
        <v/>
      </c>
      <c r="CC189" s="16" t="e">
        <f>IF(CB189="",NA(),COUNTIF(CB189:$CB$704,CB189))</f>
        <v>#N/A</v>
      </c>
      <c r="CD189" s="16" t="e">
        <f t="shared" si="75"/>
        <v>#N/A</v>
      </c>
      <c r="CE189" s="16" t="e">
        <f t="shared" si="76"/>
        <v>#N/A</v>
      </c>
      <c r="CF189" s="16">
        <f t="shared" si="77"/>
        <v>99</v>
      </c>
      <c r="CG189" s="16">
        <f t="shared" si="78"/>
        <v>0</v>
      </c>
      <c r="CH189" s="16">
        <f t="shared" si="71"/>
        <v>0</v>
      </c>
      <c r="CJ189" s="16" t="e">
        <f t="shared" si="79"/>
        <v>#N/A</v>
      </c>
      <c r="CK189" s="16" t="str">
        <f t="shared" si="80"/>
        <v/>
      </c>
    </row>
    <row r="190" spans="1:89" ht="12" customHeight="1">
      <c r="A190" s="211"/>
      <c r="B190" s="211"/>
      <c r="C190" s="211"/>
      <c r="D190" s="211"/>
      <c r="E190" s="211"/>
      <c r="F190" s="211"/>
      <c r="G190" s="211"/>
      <c r="H190" s="211"/>
      <c r="I190" s="211"/>
      <c r="J190" s="211"/>
      <c r="K190" s="211"/>
      <c r="L190" s="211"/>
      <c r="M190" s="211"/>
      <c r="N190" s="211"/>
      <c r="O190" s="211"/>
      <c r="AM190" s="34">
        <f t="shared" si="100"/>
        <v>0.40782271511852741</v>
      </c>
      <c r="AN190" s="34">
        <f t="shared" si="85"/>
        <v>0.45288057066500187</v>
      </c>
      <c r="AO190" s="16">
        <f t="shared" si="86"/>
        <v>45.300000000000374</v>
      </c>
      <c r="AP190" s="16" t="e">
        <f t="shared" si="87"/>
        <v>#N/A</v>
      </c>
      <c r="AQ190" s="16">
        <f t="shared" si="88"/>
        <v>8.7876308109262388E-3</v>
      </c>
      <c r="AR190" s="34">
        <f t="shared" si="101"/>
        <v>0.69472784735262394</v>
      </c>
      <c r="AS190" s="34">
        <f t="shared" si="89"/>
        <v>0.50498825497925282</v>
      </c>
      <c r="AT190" s="540">
        <f t="shared" si="90"/>
        <v>60.100000000000584</v>
      </c>
      <c r="AU190" s="16" t="e">
        <f t="shared" si="91"/>
        <v>#N/A</v>
      </c>
      <c r="AV190" s="16">
        <f t="shared" si="92"/>
        <v>8.8671360596748652E-3</v>
      </c>
      <c r="AW190" s="34">
        <f t="shared" si="102"/>
        <v>0.30409318394958973</v>
      </c>
      <c r="AX190" s="34">
        <f t="shared" si="93"/>
        <v>0.7927072886377573</v>
      </c>
      <c r="AY190" s="16">
        <f t="shared" si="94"/>
        <v>39.700000000000294</v>
      </c>
      <c r="AZ190" s="16" t="e">
        <f t="shared" si="95"/>
        <v>#N/A</v>
      </c>
      <c r="BA190" s="16">
        <f t="shared" si="103"/>
        <v>1.3848414198033851E-2</v>
      </c>
      <c r="BB190" s="34">
        <f t="shared" si="104"/>
        <v>0.40037068165838718</v>
      </c>
      <c r="BC190" s="34">
        <f t="shared" si="96"/>
        <v>2.1402733400464058E-2</v>
      </c>
      <c r="BD190" s="16">
        <f t="shared" si="97"/>
        <v>44.900000000000368</v>
      </c>
      <c r="BE190" s="16" t="e">
        <f t="shared" si="98"/>
        <v>#N/A</v>
      </c>
      <c r="BF190" s="16">
        <f t="shared" si="99"/>
        <v>4.1326565353995095E-4</v>
      </c>
      <c r="BU190" s="16">
        <f t="shared" si="81"/>
        <v>0</v>
      </c>
      <c r="BV190" s="16">
        <f>IF($BY$12=1,NORMDIST(BY190,$Y$6,$Y$8,TRUE),IF($BY$12=2,IF(BY190&lt;=$BX$31,0,IF(BY190&gt;=$BX$32,1,(BY190-$BX$31)*$BX$33)),SUM($BU$42:BU190)/$BV$40))</f>
        <v>3.9203903287482467E-2</v>
      </c>
      <c r="BW190" s="16">
        <f t="shared" si="82"/>
        <v>6.2734507367936079E-2</v>
      </c>
      <c r="BX190" s="16">
        <f>IF($BY$12&lt;3,BV190,SUM($BZ$42:BZ190)/$BX$40)</f>
        <v>3.9203903287482467E-2</v>
      </c>
      <c r="BY190" s="16">
        <f t="shared" si="83"/>
        <v>14.799999999999963</v>
      </c>
      <c r="BZ190" s="16">
        <f t="shared" si="73"/>
        <v>4.238818065401097E-3</v>
      </c>
      <c r="CA190" s="16">
        <f t="shared" si="84"/>
        <v>-999</v>
      </c>
      <c r="CB190" s="16" t="str">
        <f t="shared" si="74"/>
        <v/>
      </c>
      <c r="CC190" s="16" t="e">
        <f>IF(CB190="",NA(),COUNTIF(CB190:$CB$704,CB190))</f>
        <v>#N/A</v>
      </c>
      <c r="CD190" s="16" t="e">
        <f t="shared" si="75"/>
        <v>#N/A</v>
      </c>
      <c r="CE190" s="16" t="e">
        <f t="shared" si="76"/>
        <v>#N/A</v>
      </c>
      <c r="CF190" s="16">
        <f t="shared" si="77"/>
        <v>99</v>
      </c>
      <c r="CG190" s="16">
        <f t="shared" si="78"/>
        <v>0</v>
      </c>
      <c r="CH190" s="16">
        <f t="shared" si="71"/>
        <v>0</v>
      </c>
      <c r="CJ190" s="16" t="e">
        <f t="shared" si="79"/>
        <v>#N/A</v>
      </c>
      <c r="CK190" s="16" t="str">
        <f t="shared" si="80"/>
        <v/>
      </c>
    </row>
    <row r="191" spans="1:89" ht="12" customHeight="1">
      <c r="A191" s="211"/>
      <c r="B191" s="211"/>
      <c r="C191" s="211"/>
      <c r="D191" s="211"/>
      <c r="E191" s="211"/>
      <c r="F191" s="211"/>
      <c r="G191" s="211"/>
      <c r="H191" s="211"/>
      <c r="I191" s="211"/>
      <c r="J191" s="211"/>
      <c r="K191" s="211"/>
      <c r="L191" s="211"/>
      <c r="M191" s="211"/>
      <c r="N191" s="211"/>
      <c r="O191" s="211"/>
      <c r="AM191" s="34">
        <f t="shared" si="100"/>
        <v>0.5940974373370409</v>
      </c>
      <c r="AN191" s="34">
        <f t="shared" si="85"/>
        <v>9.6637094393372536E-2</v>
      </c>
      <c r="AO191" s="16">
        <f t="shared" si="86"/>
        <v>54.700000000000507</v>
      </c>
      <c r="AP191" s="16" t="e">
        <f t="shared" si="87"/>
        <v>#N/A</v>
      </c>
      <c r="AQ191" s="16">
        <f t="shared" si="88"/>
        <v>1.87513256954833E-3</v>
      </c>
      <c r="AR191" s="34">
        <f t="shared" si="101"/>
        <v>0.11463984288275242</v>
      </c>
      <c r="AS191" s="34">
        <f t="shared" si="89"/>
        <v>0.9191454816609621</v>
      </c>
      <c r="AT191" s="540">
        <f t="shared" si="90"/>
        <v>25.900000000000098</v>
      </c>
      <c r="AU191" s="16" t="e">
        <f t="shared" si="91"/>
        <v>#N/A</v>
      </c>
      <c r="AV191" s="16">
        <f t="shared" si="92"/>
        <v>8.870765612113864E-3</v>
      </c>
      <c r="AW191" s="34">
        <f t="shared" si="102"/>
        <v>0.19157232530415058</v>
      </c>
      <c r="AX191" s="34">
        <f t="shared" si="93"/>
        <v>0.74348173476755619</v>
      </c>
      <c r="AY191" s="16">
        <f t="shared" si="94"/>
        <v>32.500000000000192</v>
      </c>
      <c r="AZ191" s="16" t="e">
        <f t="shared" si="95"/>
        <v>#N/A</v>
      </c>
      <c r="BA191" s="16">
        <f t="shared" si="103"/>
        <v>1.0113396107333293E-2</v>
      </c>
      <c r="BB191" s="34">
        <f t="shared" si="104"/>
        <v>0.61224017478525639</v>
      </c>
      <c r="BC191" s="34">
        <f t="shared" si="96"/>
        <v>0.70697483606636524</v>
      </c>
      <c r="BD191" s="16">
        <f t="shared" si="97"/>
        <v>55.700000000000522</v>
      </c>
      <c r="BE191" s="16" t="e">
        <f t="shared" si="98"/>
        <v>#N/A</v>
      </c>
      <c r="BF191" s="16">
        <f t="shared" si="99"/>
        <v>1.3540859796571004E-2</v>
      </c>
      <c r="BU191" s="16">
        <f t="shared" si="81"/>
        <v>0</v>
      </c>
      <c r="BV191" s="16">
        <f>IF($BY$12=1,NORMDIST(BY191,$Y$6,$Y$8,TRUE),IF($BY$12=2,IF(BY191&lt;=$BX$31,0,IF(BY191&gt;=$BX$32,1,(BY191-$BX$31)*$BX$33)),SUM($BU$42:BU191)/$BV$40))</f>
        <v>3.9629653879064364E-2</v>
      </c>
      <c r="BW191" s="16">
        <f t="shared" si="82"/>
        <v>6.3715839228327284E-2</v>
      </c>
      <c r="BX191" s="16">
        <f>IF($BY$12&lt;3,BV191,SUM($BZ$42:BZ191)/$BX$40)</f>
        <v>3.9629653879064364E-2</v>
      </c>
      <c r="BY191" s="16">
        <f t="shared" si="83"/>
        <v>14.899999999999963</v>
      </c>
      <c r="BZ191" s="16">
        <f t="shared" si="73"/>
        <v>4.2762308206931166E-3</v>
      </c>
      <c r="CA191" s="16">
        <f t="shared" si="84"/>
        <v>-999</v>
      </c>
      <c r="CB191" s="16" t="str">
        <f t="shared" si="74"/>
        <v/>
      </c>
      <c r="CC191" s="16" t="e">
        <f>IF(CB191="",NA(),COUNTIF(CB191:$CB$704,CB191))</f>
        <v>#N/A</v>
      </c>
      <c r="CD191" s="16" t="e">
        <f t="shared" si="75"/>
        <v>#N/A</v>
      </c>
      <c r="CE191" s="16" t="e">
        <f t="shared" si="76"/>
        <v>#N/A</v>
      </c>
      <c r="CF191" s="16">
        <f t="shared" si="77"/>
        <v>99</v>
      </c>
      <c r="CG191" s="16">
        <f t="shared" si="78"/>
        <v>0</v>
      </c>
      <c r="CH191" s="16">
        <f t="shared" si="71"/>
        <v>0</v>
      </c>
      <c r="CJ191" s="16" t="e">
        <f t="shared" si="79"/>
        <v>#N/A</v>
      </c>
      <c r="CK191" s="16" t="str">
        <f t="shared" si="80"/>
        <v/>
      </c>
    </row>
    <row r="192" spans="1:89" ht="12" customHeight="1">
      <c r="A192" s="211"/>
      <c r="B192" s="211"/>
      <c r="C192" s="211"/>
      <c r="D192" s="211"/>
      <c r="E192" s="211"/>
      <c r="F192" s="211"/>
      <c r="G192" s="211"/>
      <c r="H192" s="211"/>
      <c r="I192" s="211"/>
      <c r="J192" s="211"/>
      <c r="K192" s="211"/>
      <c r="L192" s="211"/>
      <c r="M192" s="211"/>
      <c r="N192" s="211"/>
      <c r="O192" s="211"/>
      <c r="AM192" s="34">
        <f t="shared" si="100"/>
        <v>0.20021595247089863</v>
      </c>
      <c r="AN192" s="34">
        <f t="shared" si="85"/>
        <v>0.1275163684040308</v>
      </c>
      <c r="AO192" s="16">
        <f t="shared" si="86"/>
        <v>33.1000000000002</v>
      </c>
      <c r="AP192" s="16" t="e">
        <f t="shared" si="87"/>
        <v>#N/A</v>
      </c>
      <c r="AQ192" s="16">
        <f t="shared" si="88"/>
        <v>1.7799075579853962E-3</v>
      </c>
      <c r="AR192" s="34">
        <f t="shared" si="101"/>
        <v>0.765500882640481</v>
      </c>
      <c r="AS192" s="34">
        <f t="shared" si="89"/>
        <v>0.77791628427803516</v>
      </c>
      <c r="AT192" s="540">
        <f t="shared" si="90"/>
        <v>64.400000000000617</v>
      </c>
      <c r="AU192" s="16" t="e">
        <f t="shared" si="91"/>
        <v>#N/A</v>
      </c>
      <c r="AV192" s="16">
        <f t="shared" si="92"/>
        <v>1.1974125432750612E-2</v>
      </c>
      <c r="AW192" s="34">
        <f t="shared" si="102"/>
        <v>1.2938113883137703E-2</v>
      </c>
      <c r="AX192" s="34">
        <f t="shared" si="93"/>
        <v>0.30702685751020908</v>
      </c>
      <c r="AY192" s="16">
        <f t="shared" si="94"/>
        <v>5.3999999999999968</v>
      </c>
      <c r="AZ192" s="16" t="e">
        <f t="shared" si="95"/>
        <v>#N/A</v>
      </c>
      <c r="BA192" s="16">
        <f t="shared" si="103"/>
        <v>5.0957125706358603E-4</v>
      </c>
      <c r="BB192" s="34">
        <f t="shared" si="104"/>
        <v>0.55133652128279209</v>
      </c>
      <c r="BC192" s="34">
        <f t="shared" si="96"/>
        <v>0.38020269758999348</v>
      </c>
      <c r="BD192" s="16">
        <f t="shared" si="97"/>
        <v>52.500000000000476</v>
      </c>
      <c r="BE192" s="16" t="e">
        <f t="shared" si="98"/>
        <v>#N/A</v>
      </c>
      <c r="BF192" s="16">
        <f t="shared" si="99"/>
        <v>7.5249278192088325E-3</v>
      </c>
      <c r="BU192" s="16">
        <f t="shared" si="81"/>
        <v>0</v>
      </c>
      <c r="BV192" s="16">
        <f>IF($BY$12=1,NORMDIST(BY192,$Y$6,$Y$8,TRUE),IF($BY$12=2,IF(BY192&lt;=$BX$31,0,IF(BY192&gt;=$BX$32,1,(BY192-$BX$31)*$BX$33)),SUM($BU$42:BU192)/$BV$40))</f>
        <v>4.0059156863817114E-2</v>
      </c>
      <c r="BW192" s="16">
        <f t="shared" si="82"/>
        <v>6.4707989119883264E-2</v>
      </c>
      <c r="BX192" s="16">
        <f>IF($BY$12&lt;3,BV192,SUM($BZ$42:BZ192)/$BX$40)</f>
        <v>4.0059156863817114E-2</v>
      </c>
      <c r="BY192" s="16">
        <f t="shared" si="83"/>
        <v>14.999999999999963</v>
      </c>
      <c r="BZ192" s="16">
        <f t="shared" si="73"/>
        <v>4.3138659413255618E-3</v>
      </c>
      <c r="CA192" s="16">
        <f t="shared" si="84"/>
        <v>-999</v>
      </c>
      <c r="CB192" s="16" t="str">
        <f t="shared" si="74"/>
        <v/>
      </c>
      <c r="CC192" s="16" t="e">
        <f>IF(CB192="",NA(),COUNTIF(CB192:$CB$704,CB192))</f>
        <v>#N/A</v>
      </c>
      <c r="CD192" s="16" t="e">
        <f t="shared" si="75"/>
        <v>#N/A</v>
      </c>
      <c r="CE192" s="16" t="e">
        <f t="shared" si="76"/>
        <v>#N/A</v>
      </c>
      <c r="CF192" s="16">
        <f t="shared" si="77"/>
        <v>99</v>
      </c>
      <c r="CG192" s="16">
        <f t="shared" si="78"/>
        <v>0</v>
      </c>
      <c r="CH192" s="16">
        <f t="shared" si="71"/>
        <v>0</v>
      </c>
      <c r="CJ192" s="16" t="e">
        <f t="shared" si="79"/>
        <v>#N/A</v>
      </c>
      <c r="CK192" s="16" t="str">
        <f t="shared" si="80"/>
        <v/>
      </c>
    </row>
    <row r="193" spans="1:89" ht="12" customHeight="1">
      <c r="A193" s="211"/>
      <c r="B193" s="211"/>
      <c r="C193" s="211"/>
      <c r="D193" s="211"/>
      <c r="E193" s="211"/>
      <c r="F193" s="211"/>
      <c r="G193" s="211"/>
      <c r="H193" s="211"/>
      <c r="I193" s="211"/>
      <c r="J193" s="211"/>
      <c r="K193" s="211"/>
      <c r="L193" s="211"/>
      <c r="M193" s="211"/>
      <c r="N193" s="211"/>
      <c r="O193" s="211"/>
      <c r="AM193" s="34">
        <f t="shared" si="100"/>
        <v>0.34175309725105762</v>
      </c>
      <c r="AN193" s="34">
        <f t="shared" si="85"/>
        <v>0.41530084051191807</v>
      </c>
      <c r="AO193" s="16">
        <f t="shared" si="86"/>
        <v>41.800000000000324</v>
      </c>
      <c r="AP193" s="16" t="e">
        <f t="shared" si="87"/>
        <v>#N/A</v>
      </c>
      <c r="AQ193" s="16">
        <f t="shared" si="88"/>
        <v>7.6162366347292641E-3</v>
      </c>
      <c r="AR193" s="34">
        <f t="shared" si="101"/>
        <v>0.95569204725325108</v>
      </c>
      <c r="AS193" s="34">
        <f t="shared" si="89"/>
        <v>0.89652912504971027</v>
      </c>
      <c r="AT193" s="540">
        <f t="shared" si="90"/>
        <v>83.999999999999503</v>
      </c>
      <c r="AU193" s="16" t="e">
        <f t="shared" si="91"/>
        <v>#N/A</v>
      </c>
      <c r="AV193" s="16" t="e">
        <f t="shared" si="92"/>
        <v>#N/A</v>
      </c>
      <c r="AW193" s="34">
        <f t="shared" si="102"/>
        <v>0.56645123846828938</v>
      </c>
      <c r="AX193" s="34">
        <f t="shared" si="93"/>
        <v>0.74854899384081364</v>
      </c>
      <c r="AY193" s="16">
        <f t="shared" si="94"/>
        <v>53.300000000000487</v>
      </c>
      <c r="AZ193" s="16" t="e">
        <f t="shared" si="95"/>
        <v>#N/A</v>
      </c>
      <c r="BA193" s="16">
        <f t="shared" si="103"/>
        <v>1.4729515693184326E-2</v>
      </c>
      <c r="BB193" s="34">
        <f t="shared" si="104"/>
        <v>0.91853500343859196</v>
      </c>
      <c r="BC193" s="34">
        <f t="shared" si="96"/>
        <v>0.97534096427261829</v>
      </c>
      <c r="BD193" s="16">
        <f t="shared" si="97"/>
        <v>77.899999999999849</v>
      </c>
      <c r="BE193" s="16" t="e">
        <f t="shared" si="98"/>
        <v>#N/A</v>
      </c>
      <c r="BF193" s="16" t="e">
        <f t="shared" si="99"/>
        <v>#N/A</v>
      </c>
      <c r="BU193" s="16">
        <f t="shared" si="81"/>
        <v>0</v>
      </c>
      <c r="BV193" s="16">
        <f>IF($BY$12=1,NORMDIST(BY193,$Y$6,$Y$8,TRUE),IF($BY$12=2,IF(BY193&lt;=$BX$31,0,IF(BY193&gt;=$BX$32,1,(BY193-$BX$31)*$BX$33)),SUM($BU$42:BU193)/$BV$40))</f>
        <v>4.0492434481759765E-2</v>
      </c>
      <c r="BW193" s="16">
        <f t="shared" si="82"/>
        <v>6.5711024764283241E-2</v>
      </c>
      <c r="BX193" s="16">
        <f>IF($BY$12&lt;3,BV193,SUM($BZ$42:BZ193)/$BX$40)</f>
        <v>4.0492434481759765E-2</v>
      </c>
      <c r="BY193" s="16">
        <f t="shared" si="83"/>
        <v>15.099999999999962</v>
      </c>
      <c r="BZ193" s="16">
        <f t="shared" si="73"/>
        <v>4.3517234943234043E-3</v>
      </c>
      <c r="CA193" s="16">
        <f t="shared" si="84"/>
        <v>-999</v>
      </c>
      <c r="CB193" s="16" t="str">
        <f t="shared" si="74"/>
        <v/>
      </c>
      <c r="CC193" s="16" t="e">
        <f>IF(CB193="",NA(),COUNTIF(CB193:$CB$704,CB193))</f>
        <v>#N/A</v>
      </c>
      <c r="CD193" s="16" t="e">
        <f t="shared" si="75"/>
        <v>#N/A</v>
      </c>
      <c r="CE193" s="16" t="e">
        <f t="shared" si="76"/>
        <v>#N/A</v>
      </c>
      <c r="CF193" s="16">
        <f t="shared" si="77"/>
        <v>99</v>
      </c>
      <c r="CG193" s="16">
        <f t="shared" si="78"/>
        <v>0</v>
      </c>
      <c r="CH193" s="16">
        <f t="shared" si="71"/>
        <v>0</v>
      </c>
      <c r="CJ193" s="16" t="e">
        <f t="shared" si="79"/>
        <v>#N/A</v>
      </c>
      <c r="CK193" s="16" t="str">
        <f t="shared" si="80"/>
        <v/>
      </c>
    </row>
    <row r="194" spans="1:89" ht="12" customHeight="1">
      <c r="A194" s="211"/>
      <c r="B194" s="211"/>
      <c r="C194" s="211"/>
      <c r="D194" s="211"/>
      <c r="E194" s="211"/>
      <c r="F194" s="211"/>
      <c r="G194" s="211"/>
      <c r="H194" s="211"/>
      <c r="I194" s="211"/>
      <c r="J194" s="211"/>
      <c r="K194" s="211"/>
      <c r="L194" s="211"/>
      <c r="M194" s="211"/>
      <c r="N194" s="211"/>
      <c r="O194" s="211"/>
      <c r="AM194" s="34">
        <f t="shared" si="100"/>
        <v>0.80403010733425617</v>
      </c>
      <c r="AN194" s="34">
        <f t="shared" si="85"/>
        <v>0.525733957067132</v>
      </c>
      <c r="AO194" s="16">
        <f t="shared" si="86"/>
        <v>67.100000000000463</v>
      </c>
      <c r="AP194" s="16" t="e">
        <f t="shared" si="87"/>
        <v>#N/A</v>
      </c>
      <c r="AQ194" s="16">
        <f t="shared" si="88"/>
        <v>7.276223611849284E-3</v>
      </c>
      <c r="AR194" s="34">
        <f t="shared" si="101"/>
        <v>0.90537572838366032</v>
      </c>
      <c r="AS194" s="34">
        <f t="shared" si="89"/>
        <v>5.3721072152256966E-2</v>
      </c>
      <c r="AT194" s="540">
        <f t="shared" si="90"/>
        <v>76.199999999999946</v>
      </c>
      <c r="AU194" s="16" t="e">
        <f t="shared" si="91"/>
        <v>#N/A</v>
      </c>
      <c r="AV194" s="16">
        <f t="shared" si="92"/>
        <v>4.5433726733596654E-4</v>
      </c>
      <c r="AW194" s="34">
        <f t="shared" si="102"/>
        <v>0.66954505629837513</v>
      </c>
      <c r="AX194" s="34">
        <f t="shared" si="93"/>
        <v>0.26706948317587376</v>
      </c>
      <c r="AY194" s="16">
        <f t="shared" si="94"/>
        <v>58.700000000000564</v>
      </c>
      <c r="AZ194" s="16" t="e">
        <f t="shared" si="95"/>
        <v>#N/A</v>
      </c>
      <c r="BA194" s="16">
        <f t="shared" si="103"/>
        <v>4.8463485950352237E-3</v>
      </c>
      <c r="BB194" s="34">
        <f t="shared" si="104"/>
        <v>0.32215871848165989</v>
      </c>
      <c r="BC194" s="34">
        <f t="shared" si="96"/>
        <v>0.37287993915379047</v>
      </c>
      <c r="BD194" s="16">
        <f t="shared" si="97"/>
        <v>40.700000000000308</v>
      </c>
      <c r="BE194" s="16" t="e">
        <f t="shared" si="98"/>
        <v>#N/A</v>
      </c>
      <c r="BF194" s="16">
        <f t="shared" si="99"/>
        <v>6.6756940881691935E-3</v>
      </c>
      <c r="BU194" s="16">
        <f t="shared" si="81"/>
        <v>0</v>
      </c>
      <c r="BV194" s="16">
        <f>IF($BY$12=1,NORMDIST(BY194,$Y$6,$Y$8,TRUE),IF($BY$12=2,IF(BY194&lt;=$BX$31,0,IF(BY194&gt;=$BX$32,1,(BY194-$BX$31)*$BX$33)),SUM($BU$42:BU194)/$BV$40))</f>
        <v>4.0929508978807094E-2</v>
      </c>
      <c r="BW194" s="16">
        <f t="shared" si="82"/>
        <v>6.6725013664287874E-2</v>
      </c>
      <c r="BX194" s="16">
        <f>IF($BY$12&lt;3,BV194,SUM($BZ$42:BZ194)/$BX$40)</f>
        <v>4.0929508978807094E-2</v>
      </c>
      <c r="BY194" s="16">
        <f t="shared" si="83"/>
        <v>15.199999999999962</v>
      </c>
      <c r="BZ194" s="16">
        <f t="shared" si="73"/>
        <v>4.389803530545266E-3</v>
      </c>
      <c r="CA194" s="16">
        <f t="shared" si="84"/>
        <v>-999</v>
      </c>
      <c r="CB194" s="16" t="str">
        <f t="shared" si="74"/>
        <v/>
      </c>
      <c r="CC194" s="16" t="e">
        <f>IF(CB194="",NA(),COUNTIF(CB194:$CB$704,CB194))</f>
        <v>#N/A</v>
      </c>
      <c r="CD194" s="16" t="e">
        <f t="shared" si="75"/>
        <v>#N/A</v>
      </c>
      <c r="CE194" s="16" t="e">
        <f t="shared" si="76"/>
        <v>#N/A</v>
      </c>
      <c r="CF194" s="16">
        <f t="shared" si="77"/>
        <v>99</v>
      </c>
      <c r="CG194" s="16">
        <f t="shared" si="78"/>
        <v>0</v>
      </c>
      <c r="CH194" s="16">
        <f t="shared" si="71"/>
        <v>0</v>
      </c>
      <c r="CJ194" s="16" t="e">
        <f t="shared" si="79"/>
        <v>#N/A</v>
      </c>
      <c r="CK194" s="16" t="str">
        <f t="shared" si="80"/>
        <v/>
      </c>
    </row>
    <row r="195" spans="1:89" ht="12" customHeight="1">
      <c r="A195" s="211"/>
      <c r="B195" s="211"/>
      <c r="C195" s="211"/>
      <c r="D195" s="211"/>
      <c r="E195" s="211"/>
      <c r="F195" s="211"/>
      <c r="G195" s="211"/>
      <c r="H195" s="211"/>
      <c r="I195" s="211"/>
      <c r="J195" s="211"/>
      <c r="K195" s="211"/>
      <c r="L195" s="211"/>
      <c r="M195" s="211"/>
      <c r="N195" s="211"/>
      <c r="O195" s="211"/>
      <c r="AM195" s="34">
        <f t="shared" si="100"/>
        <v>0.4052127618342638</v>
      </c>
      <c r="AN195" s="34">
        <f t="shared" si="85"/>
        <v>0.88610854186117649</v>
      </c>
      <c r="AO195" s="16">
        <f t="shared" si="86"/>
        <v>45.200000000000372</v>
      </c>
      <c r="AP195" s="16" t="e">
        <f t="shared" si="87"/>
        <v>#N/A</v>
      </c>
      <c r="AQ195" s="16">
        <f t="shared" si="88"/>
        <v>1.7173519681479631E-2</v>
      </c>
      <c r="AR195" s="34">
        <f t="shared" si="101"/>
        <v>0.41989650763571262</v>
      </c>
      <c r="AS195" s="34">
        <f t="shared" si="89"/>
        <v>0.53501172550022602</v>
      </c>
      <c r="AT195" s="540">
        <f t="shared" si="90"/>
        <v>45.900000000000382</v>
      </c>
      <c r="AU195" s="16" t="e">
        <f t="shared" si="91"/>
        <v>#N/A</v>
      </c>
      <c r="AV195" s="16">
        <f t="shared" si="92"/>
        <v>1.0450035303390866E-2</v>
      </c>
      <c r="AW195" s="34">
        <f t="shared" si="102"/>
        <v>0.30366201885044575</v>
      </c>
      <c r="AX195" s="34">
        <f t="shared" si="93"/>
        <v>0.1361107025295496</v>
      </c>
      <c r="AY195" s="16">
        <f t="shared" si="94"/>
        <v>39.700000000000294</v>
      </c>
      <c r="AZ195" s="16" t="e">
        <f t="shared" si="95"/>
        <v>#N/A</v>
      </c>
      <c r="BA195" s="16">
        <f t="shared" si="103"/>
        <v>2.3778227000457487E-3</v>
      </c>
      <c r="BB195" s="34">
        <f t="shared" si="104"/>
        <v>0.23897711373865604</v>
      </c>
      <c r="BC195" s="34">
        <f t="shared" si="96"/>
        <v>0.24408903904259205</v>
      </c>
      <c r="BD195" s="16">
        <f t="shared" si="97"/>
        <v>35.800000000000239</v>
      </c>
      <c r="BE195" s="16" t="e">
        <f t="shared" si="98"/>
        <v>#N/A</v>
      </c>
      <c r="BF195" s="16">
        <f t="shared" si="99"/>
        <v>3.7841158485130777E-3</v>
      </c>
      <c r="BU195" s="16">
        <f t="shared" si="81"/>
        <v>0</v>
      </c>
      <c r="BV195" s="16">
        <f>IF($BY$12=1,NORMDIST(BY195,$Y$6,$Y$8,TRUE),IF($BY$12=2,IF(BY195&lt;=$BX$31,0,IF(BY195&gt;=$BX$32,1,(BY195-$BX$31)*$BX$33)),SUM($BU$42:BU195)/$BV$40))</f>
        <v>4.1370402605145906E-2</v>
      </c>
      <c r="BW195" s="16">
        <f t="shared" si="82"/>
        <v>6.7750023093407608E-2</v>
      </c>
      <c r="BX195" s="16">
        <f>IF($BY$12&lt;3,BV195,SUM($BZ$42:BZ195)/$BX$40)</f>
        <v>4.1370402605145906E-2</v>
      </c>
      <c r="BY195" s="16">
        <f t="shared" si="83"/>
        <v>15.299999999999962</v>
      </c>
      <c r="BZ195" s="16">
        <f t="shared" si="73"/>
        <v>4.4281060845364562E-3</v>
      </c>
      <c r="CA195" s="16">
        <f t="shared" si="84"/>
        <v>-999</v>
      </c>
      <c r="CB195" s="16" t="str">
        <f t="shared" si="74"/>
        <v/>
      </c>
      <c r="CC195" s="16" t="e">
        <f>IF(CB195="",NA(),COUNTIF(CB195:$CB$704,CB195))</f>
        <v>#N/A</v>
      </c>
      <c r="CD195" s="16" t="e">
        <f t="shared" si="75"/>
        <v>#N/A</v>
      </c>
      <c r="CE195" s="16" t="e">
        <f t="shared" si="76"/>
        <v>#N/A</v>
      </c>
      <c r="CF195" s="16">
        <f t="shared" si="77"/>
        <v>99</v>
      </c>
      <c r="CG195" s="16">
        <f t="shared" si="78"/>
        <v>0</v>
      </c>
      <c r="CH195" s="16">
        <f t="shared" ref="CH195:CH258" si="105">IF(CB195="",0,1)</f>
        <v>0</v>
      </c>
      <c r="CJ195" s="16" t="e">
        <f t="shared" si="79"/>
        <v>#N/A</v>
      </c>
      <c r="CK195" s="16" t="str">
        <f t="shared" si="80"/>
        <v/>
      </c>
    </row>
    <row r="196" spans="1:89" ht="12" customHeight="1">
      <c r="A196" s="211"/>
      <c r="B196" s="211"/>
      <c r="C196" s="211"/>
      <c r="D196" s="211"/>
      <c r="E196" s="211"/>
      <c r="F196" s="211"/>
      <c r="G196" s="211"/>
      <c r="H196" s="211"/>
      <c r="I196" s="211"/>
      <c r="J196" s="211"/>
      <c r="K196" s="211"/>
      <c r="L196" s="211"/>
      <c r="M196" s="211"/>
      <c r="N196" s="211"/>
      <c r="O196" s="211"/>
      <c r="AM196" s="34">
        <f t="shared" si="100"/>
        <v>0.93802280910313129</v>
      </c>
      <c r="AN196" s="34">
        <f t="shared" si="85"/>
        <v>0.28532783128321171</v>
      </c>
      <c r="AO196" s="16">
        <f t="shared" si="86"/>
        <v>80.69999999999969</v>
      </c>
      <c r="AP196" s="16" t="e">
        <f t="shared" si="87"/>
        <v>#N/A</v>
      </c>
      <c r="AQ196" s="16">
        <f t="shared" si="88"/>
        <v>1.7521708373145161E-3</v>
      </c>
      <c r="AR196" s="34">
        <f t="shared" si="101"/>
        <v>0.21015469171106815</v>
      </c>
      <c r="AS196" s="34">
        <f t="shared" si="89"/>
        <v>0.64912167377769947</v>
      </c>
      <c r="AT196" s="540">
        <f t="shared" si="90"/>
        <v>33.80000000000021</v>
      </c>
      <c r="AU196" s="16" t="e">
        <f t="shared" si="91"/>
        <v>#N/A</v>
      </c>
      <c r="AV196" s="16">
        <f t="shared" si="92"/>
        <v>9.3268689704208273E-3</v>
      </c>
      <c r="AW196" s="34">
        <f t="shared" si="102"/>
        <v>0.79473462887108326</v>
      </c>
      <c r="AX196" s="34">
        <f t="shared" si="93"/>
        <v>0.62026100791990757</v>
      </c>
      <c r="AY196" s="16">
        <f t="shared" si="94"/>
        <v>66.400000000000503</v>
      </c>
      <c r="AZ196" s="16" t="e">
        <f t="shared" si="95"/>
        <v>#N/A</v>
      </c>
      <c r="BA196" s="16">
        <f t="shared" si="103"/>
        <v>8.8398469505104032E-3</v>
      </c>
      <c r="BB196" s="34">
        <f t="shared" si="104"/>
        <v>0.56358342804014683</v>
      </c>
      <c r="BC196" s="34">
        <f t="shared" si="96"/>
        <v>0.6069860327988863</v>
      </c>
      <c r="BD196" s="16">
        <f t="shared" si="97"/>
        <v>53.200000000000486</v>
      </c>
      <c r="BE196" s="16" t="e">
        <f t="shared" si="98"/>
        <v>#N/A</v>
      </c>
      <c r="BF196" s="16">
        <f t="shared" si="99"/>
        <v>1.1953629711674249E-2</v>
      </c>
      <c r="BU196" s="16">
        <f t="shared" si="81"/>
        <v>0</v>
      </c>
      <c r="BV196" s="16">
        <f>IF($BY$12=1,NORMDIST(BY196,$Y$6,$Y$8,TRUE),IF($BY$12=2,IF(BY196&lt;=$BX$31,0,IF(BY196&gt;=$BX$32,1,(BY196-$BX$31)*$BX$33)),SUM($BU$42:BU196)/$BV$40))</f>
        <v>4.1815137613594899E-2</v>
      </c>
      <c r="BW196" s="16">
        <f t="shared" si="82"/>
        <v>6.8786120085493951E-2</v>
      </c>
      <c r="BX196" s="16">
        <f>IF($BY$12&lt;3,BV196,SUM($BZ$42:BZ196)/$BX$40)</f>
        <v>4.1815137613594899E-2</v>
      </c>
      <c r="BY196" s="16">
        <f t="shared" si="83"/>
        <v>15.399999999999961</v>
      </c>
      <c r="BZ196" s="16">
        <f t="shared" si="73"/>
        <v>4.4666311743827352E-3</v>
      </c>
      <c r="CA196" s="16">
        <f t="shared" si="84"/>
        <v>-999</v>
      </c>
      <c r="CB196" s="16" t="str">
        <f t="shared" si="74"/>
        <v/>
      </c>
      <c r="CC196" s="16" t="e">
        <f>IF(CB196="",NA(),COUNTIF(CB196:$CB$704,CB196))</f>
        <v>#N/A</v>
      </c>
      <c r="CD196" s="16" t="e">
        <f t="shared" si="75"/>
        <v>#N/A</v>
      </c>
      <c r="CE196" s="16" t="e">
        <f t="shared" si="76"/>
        <v>#N/A</v>
      </c>
      <c r="CF196" s="16">
        <f t="shared" si="77"/>
        <v>99</v>
      </c>
      <c r="CG196" s="16">
        <f t="shared" si="78"/>
        <v>0</v>
      </c>
      <c r="CH196" s="16">
        <f t="shared" si="105"/>
        <v>0</v>
      </c>
      <c r="CJ196" s="16" t="e">
        <f t="shared" si="79"/>
        <v>#N/A</v>
      </c>
      <c r="CK196" s="16" t="str">
        <f t="shared" si="80"/>
        <v/>
      </c>
    </row>
    <row r="197" spans="1:89" ht="12" customHeight="1">
      <c r="A197" s="211"/>
      <c r="B197" s="211"/>
      <c r="C197" s="211"/>
      <c r="D197" s="211"/>
      <c r="E197" s="211"/>
      <c r="F197" s="211"/>
      <c r="G197" s="211"/>
      <c r="H197" s="211"/>
      <c r="I197" s="211"/>
      <c r="J197" s="211"/>
      <c r="K197" s="211"/>
      <c r="L197" s="211"/>
      <c r="M197" s="211"/>
      <c r="N197" s="211"/>
      <c r="O197" s="211"/>
      <c r="AM197" s="34">
        <f t="shared" si="100"/>
        <v>2.2093923762440681E-2</v>
      </c>
      <c r="AN197" s="34">
        <f t="shared" si="85"/>
        <v>0.52484541572630405</v>
      </c>
      <c r="AO197" s="16">
        <f t="shared" si="86"/>
        <v>9.6999999999999815</v>
      </c>
      <c r="AP197" s="16" t="e">
        <f t="shared" si="87"/>
        <v>#N/A</v>
      </c>
      <c r="AQ197" s="16">
        <f t="shared" si="88"/>
        <v>1.3748167730005193E-3</v>
      </c>
      <c r="AR197" s="34">
        <f t="shared" si="101"/>
        <v>0.17635875381529331</v>
      </c>
      <c r="AS197" s="34">
        <f t="shared" si="89"/>
        <v>0.8308167327195406</v>
      </c>
      <c r="AT197" s="540">
        <f t="shared" si="90"/>
        <v>31.400000000000176</v>
      </c>
      <c r="AU197" s="16" t="e">
        <f t="shared" si="91"/>
        <v>#N/A</v>
      </c>
      <c r="AV197" s="16">
        <f t="shared" si="92"/>
        <v>1.075411449999116E-2</v>
      </c>
      <c r="AW197" s="34">
        <f t="shared" si="102"/>
        <v>0.14259217865765095</v>
      </c>
      <c r="AX197" s="34">
        <f t="shared" si="93"/>
        <v>0.64027483202517033</v>
      </c>
      <c r="AY197" s="16">
        <f t="shared" si="94"/>
        <v>28.600000000000136</v>
      </c>
      <c r="AZ197" s="16" t="e">
        <f t="shared" si="95"/>
        <v>#N/A</v>
      </c>
      <c r="BA197" s="16">
        <f t="shared" si="103"/>
        <v>7.205010613018638E-3</v>
      </c>
      <c r="BB197" s="34">
        <f t="shared" si="104"/>
        <v>0.2188072893768549</v>
      </c>
      <c r="BC197" s="34">
        <f t="shared" si="96"/>
        <v>0.73826331086456776</v>
      </c>
      <c r="BD197" s="16">
        <f t="shared" si="97"/>
        <v>34.400000000000219</v>
      </c>
      <c r="BE197" s="16" t="e">
        <f t="shared" si="98"/>
        <v>#N/A</v>
      </c>
      <c r="BF197" s="16">
        <f t="shared" si="99"/>
        <v>1.0863730284781299E-2</v>
      </c>
      <c r="BU197" s="16">
        <f t="shared" si="81"/>
        <v>0</v>
      </c>
      <c r="BV197" s="16">
        <f>IF($BY$12=1,NORMDIST(BY197,$Y$6,$Y$8,TRUE),IF($BY$12=2,IF(BY197&lt;=$BX$31,0,IF(BY197&gt;=$BX$32,1,(BY197-$BX$31)*$BX$33)),SUM($BU$42:BU197)/$BV$40))</f>
        <v>4.2263736257952322E-2</v>
      </c>
      <c r="BW197" s="16">
        <f t="shared" si="82"/>
        <v>6.9833371424255594E-2</v>
      </c>
      <c r="BX197" s="16">
        <f>IF($BY$12&lt;3,BV197,SUM($BZ$42:BZ197)/$BX$40)</f>
        <v>4.2263736257952322E-2</v>
      </c>
      <c r="BY197" s="16">
        <f t="shared" si="83"/>
        <v>15.499999999999961</v>
      </c>
      <c r="BZ197" s="16">
        <f t="shared" si="73"/>
        <v>4.5053788015648882E-3</v>
      </c>
      <c r="CA197" s="16">
        <f t="shared" si="84"/>
        <v>-999</v>
      </c>
      <c r="CB197" s="16" t="str">
        <f t="shared" si="74"/>
        <v/>
      </c>
      <c r="CC197" s="16" t="e">
        <f>IF(CB197="",NA(),COUNTIF(CB197:$CB$704,CB197))</f>
        <v>#N/A</v>
      </c>
      <c r="CD197" s="16" t="e">
        <f t="shared" si="75"/>
        <v>#N/A</v>
      </c>
      <c r="CE197" s="16" t="e">
        <f t="shared" si="76"/>
        <v>#N/A</v>
      </c>
      <c r="CF197" s="16">
        <f t="shared" si="77"/>
        <v>99</v>
      </c>
      <c r="CG197" s="16">
        <f t="shared" si="78"/>
        <v>0</v>
      </c>
      <c r="CH197" s="16">
        <f t="shared" si="105"/>
        <v>0</v>
      </c>
      <c r="CJ197" s="16" t="e">
        <f t="shared" si="79"/>
        <v>#N/A</v>
      </c>
      <c r="CK197" s="16" t="str">
        <f t="shared" si="80"/>
        <v/>
      </c>
    </row>
    <row r="198" spans="1:89" ht="12" customHeight="1">
      <c r="A198" s="211"/>
      <c r="B198" s="211"/>
      <c r="C198" s="211"/>
      <c r="D198" s="211"/>
      <c r="E198" s="211"/>
      <c r="F198" s="211"/>
      <c r="G198" s="211"/>
      <c r="H198" s="211"/>
      <c r="I198" s="211"/>
      <c r="J198" s="211"/>
      <c r="K198" s="211"/>
      <c r="L198" s="211"/>
      <c r="M198" s="211"/>
      <c r="N198" s="211"/>
      <c r="O198" s="211"/>
      <c r="AM198" s="34">
        <f t="shared" si="100"/>
        <v>0.98025344498455524</v>
      </c>
      <c r="AN198" s="34">
        <f t="shared" si="85"/>
        <v>0.19314033724367619</v>
      </c>
      <c r="AO198" s="16">
        <f t="shared" si="86"/>
        <v>91.099999999999099</v>
      </c>
      <c r="AP198" s="16" t="e">
        <f t="shared" si="87"/>
        <v>#N/A</v>
      </c>
      <c r="AQ198" s="16">
        <f t="shared" si="88"/>
        <v>4.6637453424525175E-4</v>
      </c>
      <c r="AR198" s="34">
        <f t="shared" si="101"/>
        <v>0.12781293131411076</v>
      </c>
      <c r="AS198" s="34">
        <f t="shared" si="89"/>
        <v>0.97470921464264393</v>
      </c>
      <c r="AT198" s="540">
        <f t="shared" si="90"/>
        <v>27.200000000000117</v>
      </c>
      <c r="AU198" s="16" t="e">
        <f t="shared" si="91"/>
        <v>#N/A</v>
      </c>
      <c r="AV198" s="16" t="e">
        <f t="shared" si="92"/>
        <v>#N/A</v>
      </c>
      <c r="AW198" s="34">
        <f t="shared" si="102"/>
        <v>0.64382451958954334</v>
      </c>
      <c r="AX198" s="34">
        <f t="shared" si="93"/>
        <v>0.56561418808996677</v>
      </c>
      <c r="AY198" s="16">
        <f t="shared" si="94"/>
        <v>57.300000000000544</v>
      </c>
      <c r="AZ198" s="16" t="e">
        <f t="shared" si="95"/>
        <v>#N/A</v>
      </c>
      <c r="BA198" s="16">
        <f t="shared" si="103"/>
        <v>1.0555308329072645E-2</v>
      </c>
      <c r="BB198" s="34">
        <f t="shared" si="104"/>
        <v>0.70606871880590916</v>
      </c>
      <c r="BC198" s="34">
        <f t="shared" si="96"/>
        <v>0.3669524360448122</v>
      </c>
      <c r="BD198" s="16">
        <f t="shared" si="97"/>
        <v>60.800000000000594</v>
      </c>
      <c r="BE198" s="16" t="e">
        <f t="shared" si="98"/>
        <v>#N/A</v>
      </c>
      <c r="BF198" s="16">
        <f t="shared" si="99"/>
        <v>6.3265902810132457E-3</v>
      </c>
      <c r="BU198" s="16">
        <f t="shared" si="81"/>
        <v>0</v>
      </c>
      <c r="BV198" s="16">
        <f>IF($BY$12=1,NORMDIST(BY198,$Y$6,$Y$8,TRUE),IF($BY$12=2,IF(BY198&lt;=$BX$31,0,IF(BY198&gt;=$BX$32,1,(BY198-$BX$31)*$BX$33)),SUM($BU$42:BU198)/$BV$40))</f>
        <v>4.2716220791328752E-2</v>
      </c>
      <c r="BW198" s="16">
        <f t="shared" si="82"/>
        <v>7.089184363270018E-2</v>
      </c>
      <c r="BX198" s="16">
        <f>IF($BY$12&lt;3,BV198,SUM($BZ$42:BZ198)/$BX$40)</f>
        <v>4.2716220791328752E-2</v>
      </c>
      <c r="BY198" s="16">
        <f t="shared" si="83"/>
        <v>15.599999999999961</v>
      </c>
      <c r="BZ198" s="16">
        <f t="shared" si="73"/>
        <v>4.5443489508141255E-3</v>
      </c>
      <c r="CA198" s="16">
        <f t="shared" si="84"/>
        <v>-999</v>
      </c>
      <c r="CB198" s="16" t="str">
        <f t="shared" si="74"/>
        <v/>
      </c>
      <c r="CC198" s="16" t="e">
        <f>IF(CB198="",NA(),COUNTIF(CB198:$CB$704,CB198))</f>
        <v>#N/A</v>
      </c>
      <c r="CD198" s="16" t="e">
        <f t="shared" si="75"/>
        <v>#N/A</v>
      </c>
      <c r="CE198" s="16" t="e">
        <f t="shared" si="76"/>
        <v>#N/A</v>
      </c>
      <c r="CF198" s="16">
        <f t="shared" si="77"/>
        <v>99</v>
      </c>
      <c r="CG198" s="16">
        <f t="shared" si="78"/>
        <v>0</v>
      </c>
      <c r="CH198" s="16">
        <f t="shared" si="105"/>
        <v>0</v>
      </c>
      <c r="CJ198" s="16" t="e">
        <f t="shared" si="79"/>
        <v>#N/A</v>
      </c>
      <c r="CK198" s="16" t="str">
        <f t="shared" si="80"/>
        <v/>
      </c>
    </row>
    <row r="199" spans="1:89" ht="12" customHeight="1">
      <c r="A199" s="211"/>
      <c r="B199" s="211"/>
      <c r="C199" s="211"/>
      <c r="D199" s="211"/>
      <c r="E199" s="211"/>
      <c r="F199" s="211"/>
      <c r="G199" s="211"/>
      <c r="H199" s="211"/>
      <c r="I199" s="211"/>
      <c r="J199" s="211"/>
      <c r="K199" s="211"/>
      <c r="L199" s="211"/>
      <c r="M199" s="211"/>
      <c r="N199" s="211"/>
      <c r="O199" s="211"/>
      <c r="AM199" s="34">
        <f t="shared" si="100"/>
        <v>0.88326114602386951</v>
      </c>
      <c r="AN199" s="34">
        <f t="shared" si="85"/>
        <v>0.94263359345495701</v>
      </c>
      <c r="AO199" s="16">
        <f t="shared" si="86"/>
        <v>73.800000000000082</v>
      </c>
      <c r="AP199" s="16" t="e">
        <f t="shared" si="87"/>
        <v>#N/A</v>
      </c>
      <c r="AQ199" s="16">
        <f t="shared" si="88"/>
        <v>9.2623412014987798E-3</v>
      </c>
      <c r="AR199" s="34">
        <f t="shared" si="101"/>
        <v>0.81764622963964939</v>
      </c>
      <c r="AS199" s="34">
        <f t="shared" si="89"/>
        <v>0.92579747922718525</v>
      </c>
      <c r="AT199" s="540">
        <f t="shared" si="90"/>
        <v>68.100000000000406</v>
      </c>
      <c r="AU199" s="16" t="e">
        <f t="shared" si="91"/>
        <v>#N/A</v>
      </c>
      <c r="AV199" s="16">
        <f t="shared" si="92"/>
        <v>1.2261597196106883E-2</v>
      </c>
      <c r="AW199" s="34">
        <f t="shared" si="102"/>
        <v>0.23388411290943623</v>
      </c>
      <c r="AX199" s="34">
        <f t="shared" si="93"/>
        <v>0.16958783008158207</v>
      </c>
      <c r="AY199" s="16">
        <f t="shared" si="94"/>
        <v>35.400000000000233</v>
      </c>
      <c r="AZ199" s="16" t="e">
        <f t="shared" si="95"/>
        <v>#N/A</v>
      </c>
      <c r="BA199" s="16">
        <f t="shared" si="103"/>
        <v>2.5915344640238844E-3</v>
      </c>
      <c r="BB199" s="34">
        <f t="shared" si="104"/>
        <v>0.13082979060709476</v>
      </c>
      <c r="BC199" s="34">
        <f t="shared" si="96"/>
        <v>0.60685822553932667</v>
      </c>
      <c r="BD199" s="16">
        <f t="shared" si="97"/>
        <v>27.500000000000121</v>
      </c>
      <c r="BE199" s="16" t="e">
        <f t="shared" si="98"/>
        <v>#N/A</v>
      </c>
      <c r="BF199" s="16">
        <f t="shared" si="99"/>
        <v>6.4289542644333153E-3</v>
      </c>
      <c r="BU199" s="16">
        <f t="shared" si="81"/>
        <v>0</v>
      </c>
      <c r="BV199" s="16">
        <f>IF($BY$12=1,NORMDIST(BY199,$Y$6,$Y$8,TRUE),IF($BY$12=2,IF(BY199&lt;=$BX$31,0,IF(BY199&gt;=$BX$32,1,(BY199-$BX$31)*$BX$33)),SUM($BU$42:BU199)/$BV$40))</f>
        <v>4.3172613464464216E-2</v>
      </c>
      <c r="BW199" s="16">
        <f t="shared" si="82"/>
        <v>7.1961602962502133E-2</v>
      </c>
      <c r="BX199" s="16">
        <f>IF($BY$12&lt;3,BV199,SUM($BZ$42:BZ199)/$BX$40)</f>
        <v>4.3172613464464216E-2</v>
      </c>
      <c r="BY199" s="16">
        <f t="shared" si="83"/>
        <v>15.69999999999996</v>
      </c>
      <c r="BZ199" s="16">
        <f t="shared" si="73"/>
        <v>4.5835415899682999E-3</v>
      </c>
      <c r="CA199" s="16">
        <f t="shared" si="84"/>
        <v>-999</v>
      </c>
      <c r="CB199" s="16" t="str">
        <f t="shared" si="74"/>
        <v/>
      </c>
      <c r="CC199" s="16" t="e">
        <f>IF(CB199="",NA(),COUNTIF(CB199:$CB$704,CB199))</f>
        <v>#N/A</v>
      </c>
      <c r="CD199" s="16" t="e">
        <f t="shared" si="75"/>
        <v>#N/A</v>
      </c>
      <c r="CE199" s="16" t="e">
        <f t="shared" si="76"/>
        <v>#N/A</v>
      </c>
      <c r="CF199" s="16">
        <f t="shared" si="77"/>
        <v>99</v>
      </c>
      <c r="CG199" s="16">
        <f t="shared" si="78"/>
        <v>0</v>
      </c>
      <c r="CH199" s="16">
        <f t="shared" si="105"/>
        <v>0</v>
      </c>
      <c r="CJ199" s="16" t="e">
        <f t="shared" si="79"/>
        <v>#N/A</v>
      </c>
      <c r="CK199" s="16" t="str">
        <f t="shared" si="80"/>
        <v/>
      </c>
    </row>
    <row r="200" spans="1:89" ht="12" customHeight="1">
      <c r="A200" s="211"/>
      <c r="B200" s="211"/>
      <c r="C200" s="211"/>
      <c r="D200" s="211"/>
      <c r="E200" s="211"/>
      <c r="F200" s="211"/>
      <c r="G200" s="211"/>
      <c r="H200" s="211"/>
      <c r="I200" s="211"/>
      <c r="J200" s="211"/>
      <c r="K200" s="211"/>
      <c r="L200" s="211"/>
      <c r="M200" s="211"/>
      <c r="N200" s="211"/>
      <c r="O200" s="211"/>
      <c r="AM200" s="34">
        <f t="shared" si="100"/>
        <v>0.18878628499805927</v>
      </c>
      <c r="AN200" s="34">
        <f t="shared" si="85"/>
        <v>0.30420229770243168</v>
      </c>
      <c r="AO200" s="16">
        <f t="shared" si="86"/>
        <v>32.300000000000189</v>
      </c>
      <c r="AP200" s="16" t="e">
        <f t="shared" si="87"/>
        <v>#N/A</v>
      </c>
      <c r="AQ200" s="16">
        <f t="shared" si="88"/>
        <v>4.1017332418735236E-3</v>
      </c>
      <c r="AR200" s="34">
        <f t="shared" si="101"/>
        <v>0.82763908244669437</v>
      </c>
      <c r="AS200" s="34">
        <f t="shared" si="89"/>
        <v>0.58377501554787159</v>
      </c>
      <c r="AT200" s="540">
        <f t="shared" si="90"/>
        <v>68.800000000000367</v>
      </c>
      <c r="AU200" s="16" t="e">
        <f t="shared" si="91"/>
        <v>#N/A</v>
      </c>
      <c r="AV200" s="16">
        <f t="shared" si="92"/>
        <v>7.4860766945448335E-3</v>
      </c>
      <c r="AW200" s="34">
        <f t="shared" si="102"/>
        <v>0.50545761175453663</v>
      </c>
      <c r="AX200" s="34">
        <f t="shared" si="93"/>
        <v>0.68849431909620762</v>
      </c>
      <c r="AY200" s="16">
        <f t="shared" si="94"/>
        <v>50.200000000000443</v>
      </c>
      <c r="AZ200" s="16" t="e">
        <f t="shared" si="95"/>
        <v>#N/A</v>
      </c>
      <c r="BA200" s="16">
        <f t="shared" si="103"/>
        <v>1.3732788028615928E-2</v>
      </c>
      <c r="BB200" s="34">
        <f t="shared" si="104"/>
        <v>0.14455019868910313</v>
      </c>
      <c r="BC200" s="34">
        <f t="shared" si="96"/>
        <v>0.86604361422359943</v>
      </c>
      <c r="BD200" s="16">
        <f t="shared" si="97"/>
        <v>28.700000000000138</v>
      </c>
      <c r="BE200" s="16" t="e">
        <f t="shared" si="98"/>
        <v>#N/A</v>
      </c>
      <c r="BF200" s="16">
        <f t="shared" si="99"/>
        <v>9.7977421216408692E-3</v>
      </c>
      <c r="BU200" s="16">
        <f t="shared" si="81"/>
        <v>0</v>
      </c>
      <c r="BV200" s="16">
        <f>IF($BY$12=1,NORMDIST(BY200,$Y$6,$Y$8,TRUE),IF($BY$12=2,IF(BY200&lt;=$BX$31,0,IF(BY200&gt;=$BX$32,1,(BY200-$BX$31)*$BX$33)),SUM($BU$42:BU200)/$BV$40))</f>
        <v>4.3632936524031773E-2</v>
      </c>
      <c r="BW200" s="16">
        <f t="shared" si="82"/>
        <v>7.3042715383298304E-2</v>
      </c>
      <c r="BX200" s="16">
        <f>IF($BY$12&lt;3,BV200,SUM($BZ$42:BZ200)/$BX$40)</f>
        <v>4.3632936524031773E-2</v>
      </c>
      <c r="BY200" s="16">
        <f t="shared" si="83"/>
        <v>15.79999999999996</v>
      </c>
      <c r="BZ200" s="16">
        <f t="shared" si="73"/>
        <v>4.6229566698290179E-3</v>
      </c>
      <c r="CA200" s="16">
        <f t="shared" si="84"/>
        <v>-999</v>
      </c>
      <c r="CB200" s="16" t="str">
        <f t="shared" si="74"/>
        <v/>
      </c>
      <c r="CC200" s="16" t="e">
        <f>IF(CB200="",NA(),COUNTIF(CB200:$CB$704,CB200))</f>
        <v>#N/A</v>
      </c>
      <c r="CD200" s="16" t="e">
        <f t="shared" si="75"/>
        <v>#N/A</v>
      </c>
      <c r="CE200" s="16" t="e">
        <f t="shared" si="76"/>
        <v>#N/A</v>
      </c>
      <c r="CF200" s="16">
        <f t="shared" si="77"/>
        <v>99</v>
      </c>
      <c r="CG200" s="16">
        <f t="shared" si="78"/>
        <v>0</v>
      </c>
      <c r="CH200" s="16">
        <f t="shared" si="105"/>
        <v>0</v>
      </c>
      <c r="CJ200" s="16" t="e">
        <f t="shared" si="79"/>
        <v>#N/A</v>
      </c>
      <c r="CK200" s="16" t="str">
        <f t="shared" si="80"/>
        <v/>
      </c>
    </row>
    <row r="201" spans="1:89" ht="12" customHeight="1">
      <c r="A201" s="211"/>
      <c r="B201" s="211"/>
      <c r="C201" s="211"/>
      <c r="D201" s="211"/>
      <c r="E201" s="211"/>
      <c r="F201" s="211"/>
      <c r="G201" s="211"/>
      <c r="H201" s="211"/>
      <c r="I201" s="211"/>
      <c r="J201" s="211"/>
      <c r="K201" s="211"/>
      <c r="L201" s="211"/>
      <c r="M201" s="211"/>
      <c r="N201" s="211"/>
      <c r="O201" s="211"/>
      <c r="AM201" s="34">
        <f t="shared" si="100"/>
        <v>0.93165418691933155</v>
      </c>
      <c r="AN201" s="34">
        <f t="shared" si="85"/>
        <v>0.9806977454572916</v>
      </c>
      <c r="AO201" s="16">
        <f t="shared" si="86"/>
        <v>79.699999999999747</v>
      </c>
      <c r="AP201" s="16" t="e">
        <f t="shared" si="87"/>
        <v>#N/A</v>
      </c>
      <c r="AQ201" s="16" t="e">
        <f t="shared" si="88"/>
        <v>#N/A</v>
      </c>
      <c r="AR201" s="34">
        <f t="shared" si="101"/>
        <v>0.74455391801893711</v>
      </c>
      <c r="AS201" s="34">
        <f t="shared" si="89"/>
        <v>0.85939030535519123</v>
      </c>
      <c r="AT201" s="540">
        <f t="shared" si="90"/>
        <v>63.100000000000627</v>
      </c>
      <c r="AU201" s="16" t="e">
        <f t="shared" si="91"/>
        <v>#N/A</v>
      </c>
      <c r="AV201" s="16">
        <f t="shared" si="92"/>
        <v>1.3832762654216504E-2</v>
      </c>
      <c r="AW201" s="34">
        <f t="shared" si="102"/>
        <v>0.14138822443783283</v>
      </c>
      <c r="AX201" s="34">
        <f t="shared" si="93"/>
        <v>8.2425246015191078E-2</v>
      </c>
      <c r="AY201" s="16">
        <f t="shared" si="94"/>
        <v>28.500000000000135</v>
      </c>
      <c r="AZ201" s="16" t="e">
        <f t="shared" si="95"/>
        <v>#N/A</v>
      </c>
      <c r="BA201" s="16">
        <f t="shared" si="103"/>
        <v>9.2257045399480155E-4</v>
      </c>
      <c r="BB201" s="34">
        <f t="shared" si="104"/>
        <v>0.4008029792457819</v>
      </c>
      <c r="BC201" s="34">
        <f t="shared" si="96"/>
        <v>2.896549180150032E-3</v>
      </c>
      <c r="BD201" s="16">
        <f t="shared" si="97"/>
        <v>44.900000000000368</v>
      </c>
      <c r="BE201" s="16" t="e">
        <f t="shared" si="98"/>
        <v>#N/A</v>
      </c>
      <c r="BF201" s="16">
        <f t="shared" si="99"/>
        <v>5.5929505243445096E-5</v>
      </c>
      <c r="BU201" s="16">
        <f t="shared" si="81"/>
        <v>0</v>
      </c>
      <c r="BV201" s="16">
        <f>IF($BY$12=1,NORMDIST(BY201,$Y$6,$Y$8,TRUE),IF($BY$12=2,IF(BY201&lt;=$BX$31,0,IF(BY201&gt;=$BX$32,1,(BY201-$BX$31)*$BX$33)),SUM($BU$42:BU201)/$BV$40))</f>
        <v>4.4097212210926995E-2</v>
      </c>
      <c r="BW201" s="16">
        <f t="shared" si="82"/>
        <v>7.413524657191245E-2</v>
      </c>
      <c r="BX201" s="16">
        <f>IF($BY$12&lt;3,BV201,SUM($BZ$42:BZ201)/$BX$40)</f>
        <v>4.4097212210926995E-2</v>
      </c>
      <c r="BY201" s="16">
        <f t="shared" si="83"/>
        <v>15.899999999999959</v>
      </c>
      <c r="BZ201" s="16">
        <f t="shared" si="73"/>
        <v>4.6625941240196625E-3</v>
      </c>
      <c r="CA201" s="16">
        <f t="shared" si="84"/>
        <v>-999</v>
      </c>
      <c r="CB201" s="16" t="str">
        <f t="shared" si="74"/>
        <v/>
      </c>
      <c r="CC201" s="16" t="e">
        <f>IF(CB201="",NA(),COUNTIF(CB201:$CB$704,CB201))</f>
        <v>#N/A</v>
      </c>
      <c r="CD201" s="16" t="e">
        <f t="shared" si="75"/>
        <v>#N/A</v>
      </c>
      <c r="CE201" s="16" t="e">
        <f t="shared" si="76"/>
        <v>#N/A</v>
      </c>
      <c r="CF201" s="16">
        <f t="shared" si="77"/>
        <v>99</v>
      </c>
      <c r="CG201" s="16">
        <f t="shared" si="78"/>
        <v>0</v>
      </c>
      <c r="CH201" s="16">
        <f t="shared" si="105"/>
        <v>0</v>
      </c>
      <c r="CJ201" s="16" t="e">
        <f t="shared" si="79"/>
        <v>#N/A</v>
      </c>
      <c r="CK201" s="16" t="str">
        <f t="shared" si="80"/>
        <v/>
      </c>
    </row>
    <row r="202" spans="1:89" ht="12" customHeight="1">
      <c r="A202" s="211"/>
      <c r="B202" s="211"/>
      <c r="C202" s="211"/>
      <c r="D202" s="211"/>
      <c r="E202" s="211"/>
      <c r="F202" s="211"/>
      <c r="G202" s="211"/>
      <c r="H202" s="211"/>
      <c r="I202" s="211"/>
      <c r="J202" s="211"/>
      <c r="K202" s="211"/>
      <c r="L202" s="211"/>
      <c r="M202" s="211"/>
      <c r="N202" s="211"/>
      <c r="O202" s="211"/>
      <c r="AM202" s="34">
        <f t="shared" si="100"/>
        <v>0.20364360697567463</v>
      </c>
      <c r="AN202" s="34">
        <f t="shared" si="85"/>
        <v>0.71712363697588444</v>
      </c>
      <c r="AO202" s="16">
        <f t="shared" si="86"/>
        <v>33.400000000000205</v>
      </c>
      <c r="AP202" s="16" t="e">
        <f t="shared" si="87"/>
        <v>#N/A</v>
      </c>
      <c r="AQ202" s="16">
        <f t="shared" si="88"/>
        <v>1.013634475619981E-2</v>
      </c>
      <c r="AR202" s="34">
        <f t="shared" si="101"/>
        <v>0.22562588192522526</v>
      </c>
      <c r="AS202" s="34">
        <f t="shared" si="89"/>
        <v>0.7523887176066637</v>
      </c>
      <c r="AT202" s="540">
        <f t="shared" si="90"/>
        <v>34.900000000000226</v>
      </c>
      <c r="AU202" s="16" t="e">
        <f t="shared" si="91"/>
        <v>#N/A</v>
      </c>
      <c r="AV202" s="16">
        <f t="shared" si="92"/>
        <v>1.1286076471964831E-2</v>
      </c>
      <c r="AW202" s="34">
        <f t="shared" si="102"/>
        <v>0.53168010897934437</v>
      </c>
      <c r="AX202" s="34">
        <f t="shared" si="93"/>
        <v>1.6348604112863541E-3</v>
      </c>
      <c r="AY202" s="16">
        <f t="shared" si="94"/>
        <v>51.500000000000462</v>
      </c>
      <c r="AZ202" s="16" t="e">
        <f t="shared" si="95"/>
        <v>#N/A</v>
      </c>
      <c r="BA202" s="16">
        <f t="shared" si="103"/>
        <v>3.2519158162026111E-5</v>
      </c>
      <c r="BB202" s="34">
        <f t="shared" si="104"/>
        <v>0.52945663966238499</v>
      </c>
      <c r="BC202" s="34">
        <f t="shared" si="96"/>
        <v>0.27956016547977924</v>
      </c>
      <c r="BD202" s="16">
        <f t="shared" si="97"/>
        <v>51.40000000000046</v>
      </c>
      <c r="BE202" s="16" t="e">
        <f t="shared" si="98"/>
        <v>#N/A</v>
      </c>
      <c r="BF202" s="16">
        <f t="shared" si="99"/>
        <v>5.5627729935457792E-3</v>
      </c>
      <c r="BU202" s="16">
        <f t="shared" si="81"/>
        <v>0</v>
      </c>
      <c r="BV202" s="16">
        <f>IF($BY$12=1,NORMDIST(BY202,$Y$6,$Y$8,TRUE),IF($BY$12=2,IF(BY202&lt;=$BX$31,0,IF(BY202&gt;=$BX$32,1,(BY202-$BX$31)*$BX$33)),SUM($BU$42:BU202)/$BV$40))</f>
        <v>4.4565462758543006E-2</v>
      </c>
      <c r="BW202" s="16">
        <f t="shared" si="82"/>
        <v>7.5239261901509077E-2</v>
      </c>
      <c r="BX202" s="16">
        <f>IF($BY$12&lt;3,BV202,SUM($BZ$42:BZ202)/$BX$40)</f>
        <v>4.4565462758543006E-2</v>
      </c>
      <c r="BY202" s="16">
        <f t="shared" si="83"/>
        <v>15.999999999999959</v>
      </c>
      <c r="BZ202" s="16">
        <f t="shared" si="73"/>
        <v>4.7024538688443295E-3</v>
      </c>
      <c r="CA202" s="16">
        <f t="shared" si="84"/>
        <v>-999</v>
      </c>
      <c r="CB202" s="16" t="str">
        <f t="shared" si="74"/>
        <v/>
      </c>
      <c r="CC202" s="16" t="e">
        <f>IF(CB202="",NA(),COUNTIF(CB202:$CB$704,CB202))</f>
        <v>#N/A</v>
      </c>
      <c r="CD202" s="16" t="e">
        <f t="shared" si="75"/>
        <v>#N/A</v>
      </c>
      <c r="CE202" s="16" t="e">
        <f t="shared" si="76"/>
        <v>#N/A</v>
      </c>
      <c r="CF202" s="16">
        <f t="shared" si="77"/>
        <v>99</v>
      </c>
      <c r="CG202" s="16">
        <f t="shared" si="78"/>
        <v>0</v>
      </c>
      <c r="CH202" s="16">
        <f t="shared" si="105"/>
        <v>0</v>
      </c>
      <c r="CJ202" s="16" t="e">
        <f t="shared" si="79"/>
        <v>#N/A</v>
      </c>
      <c r="CK202" s="16" t="str">
        <f t="shared" si="80"/>
        <v/>
      </c>
    </row>
    <row r="203" spans="1:89" ht="12" customHeight="1">
      <c r="A203" s="211"/>
      <c r="B203" s="211"/>
      <c r="C203" s="211"/>
      <c r="D203" s="211"/>
      <c r="E203" s="211"/>
      <c r="F203" s="211"/>
      <c r="G203" s="211"/>
      <c r="H203" s="211"/>
      <c r="I203" s="211"/>
      <c r="J203" s="211"/>
      <c r="K203" s="211"/>
      <c r="L203" s="211"/>
      <c r="M203" s="211"/>
      <c r="N203" s="211"/>
      <c r="O203" s="211"/>
      <c r="AM203" s="34">
        <f t="shared" si="100"/>
        <v>0.69236612506210804</v>
      </c>
      <c r="AN203" s="34">
        <f t="shared" si="85"/>
        <v>0.25138070620596409</v>
      </c>
      <c r="AO203" s="16">
        <f t="shared" si="86"/>
        <v>60.000000000000583</v>
      </c>
      <c r="AP203" s="16" t="e">
        <f t="shared" si="87"/>
        <v>#N/A</v>
      </c>
      <c r="AQ203" s="16">
        <f t="shared" si="88"/>
        <v>4.4251215236320906E-3</v>
      </c>
      <c r="AR203" s="34">
        <f t="shared" si="101"/>
        <v>0.95711996592581272</v>
      </c>
      <c r="AS203" s="34">
        <f t="shared" si="89"/>
        <v>0.10181768424808979</v>
      </c>
      <c r="AT203" s="540">
        <f t="shared" si="90"/>
        <v>84.299999999999486</v>
      </c>
      <c r="AU203" s="16" t="e">
        <f t="shared" si="91"/>
        <v>#N/A</v>
      </c>
      <c r="AV203" s="16">
        <f t="shared" si="92"/>
        <v>4.666855903454019E-4</v>
      </c>
      <c r="AW203" s="34">
        <f t="shared" si="102"/>
        <v>0.62536604888737202</v>
      </c>
      <c r="AX203" s="34">
        <f t="shared" si="93"/>
        <v>0.6186323557049036</v>
      </c>
      <c r="AY203" s="16">
        <f t="shared" si="94"/>
        <v>56.30000000000053</v>
      </c>
      <c r="AZ203" s="16" t="e">
        <f t="shared" si="95"/>
        <v>#N/A</v>
      </c>
      <c r="BA203" s="16">
        <f t="shared" si="103"/>
        <v>1.1742654038346833E-2</v>
      </c>
      <c r="BB203" s="34">
        <f t="shared" si="104"/>
        <v>0.28907994367182255</v>
      </c>
      <c r="BC203" s="34">
        <f t="shared" si="96"/>
        <v>0.1947574932128191</v>
      </c>
      <c r="BD203" s="16">
        <f t="shared" si="97"/>
        <v>38.800000000000281</v>
      </c>
      <c r="BE203" s="16" t="e">
        <f t="shared" si="98"/>
        <v>#N/A</v>
      </c>
      <c r="BF203" s="16">
        <f t="shared" si="99"/>
        <v>3.3210611432218473E-3</v>
      </c>
      <c r="BU203" s="16">
        <f t="shared" si="81"/>
        <v>0</v>
      </c>
      <c r="BV203" s="16">
        <f>IF($BY$12=1,NORMDIST(BY203,$Y$6,$Y$8,TRUE),IF($BY$12=2,IF(BY203&lt;=$BX$31,0,IF(BY203&gt;=$BX$32,1,(BY203-$BX$31)*$BX$33)),SUM($BU$42:BU203)/$BV$40))</f>
        <v>4.5037710391031549E-2</v>
      </c>
      <c r="BW203" s="16">
        <f t="shared" si="82"/>
        <v>7.6354826430678605E-2</v>
      </c>
      <c r="BX203" s="16">
        <f>IF($BY$12&lt;3,BV203,SUM($BZ$42:BZ203)/$BX$40)</f>
        <v>4.5037710391031549E-2</v>
      </c>
      <c r="BY203" s="16">
        <f t="shared" ref="BY203:BY234" si="106">BY202+$BZ$1</f>
        <v>16.099999999999959</v>
      </c>
      <c r="BZ203" s="16">
        <f t="shared" si="73"/>
        <v>4.7425358031477514E-3</v>
      </c>
      <c r="CA203" s="16">
        <f t="shared" si="84"/>
        <v>-999</v>
      </c>
      <c r="CB203" s="16" t="str">
        <f t="shared" si="74"/>
        <v/>
      </c>
      <c r="CC203" s="16" t="e">
        <f>IF(CB203="",NA(),COUNTIF(CB203:$CB$704,CB203))</f>
        <v>#N/A</v>
      </c>
      <c r="CD203" s="16" t="e">
        <f t="shared" si="75"/>
        <v>#N/A</v>
      </c>
      <c r="CE203" s="16" t="e">
        <f t="shared" si="76"/>
        <v>#N/A</v>
      </c>
      <c r="CF203" s="16">
        <f t="shared" si="77"/>
        <v>99</v>
      </c>
      <c r="CG203" s="16">
        <f t="shared" si="78"/>
        <v>0</v>
      </c>
      <c r="CH203" s="16">
        <f t="shared" si="105"/>
        <v>0</v>
      </c>
      <c r="CJ203" s="16" t="e">
        <f t="shared" si="79"/>
        <v>#N/A</v>
      </c>
      <c r="CK203" s="16" t="str">
        <f t="shared" si="80"/>
        <v/>
      </c>
    </row>
    <row r="204" spans="1:89" ht="12" customHeight="1">
      <c r="A204" s="211"/>
      <c r="B204" s="211"/>
      <c r="C204" s="211"/>
      <c r="D204" s="211"/>
      <c r="E204" s="211"/>
      <c r="F204" s="211"/>
      <c r="G204" s="211"/>
      <c r="H204" s="211"/>
      <c r="I204" s="211"/>
      <c r="J204" s="211"/>
      <c r="K204" s="211"/>
      <c r="L204" s="211"/>
      <c r="M204" s="211"/>
      <c r="N204" s="211"/>
      <c r="O204" s="211"/>
      <c r="AM204" s="34">
        <f t="shared" si="100"/>
        <v>0.33000882156193256</v>
      </c>
      <c r="AN204" s="34">
        <f t="shared" si="85"/>
        <v>0.50573400594294071</v>
      </c>
      <c r="AO204" s="16">
        <f t="shared" si="86"/>
        <v>41.200000000000315</v>
      </c>
      <c r="AP204" s="16" t="e">
        <f t="shared" si="87"/>
        <v>#N/A</v>
      </c>
      <c r="AQ204" s="16">
        <f t="shared" si="88"/>
        <v>9.1571962387225082E-3</v>
      </c>
      <c r="AR204" s="34">
        <f t="shared" si="101"/>
        <v>0.16611079312860966</v>
      </c>
      <c r="AS204" s="34">
        <f t="shared" si="89"/>
        <v>9.0726407244801521E-2</v>
      </c>
      <c r="AT204" s="540">
        <f t="shared" si="90"/>
        <v>30.600000000000165</v>
      </c>
      <c r="AU204" s="16" t="e">
        <f t="shared" si="91"/>
        <v>#N/A</v>
      </c>
      <c r="AV204" s="16">
        <f t="shared" si="92"/>
        <v>1.1305764747922345E-3</v>
      </c>
      <c r="AW204" s="34">
        <f t="shared" si="102"/>
        <v>0.59926966018974781</v>
      </c>
      <c r="AX204" s="34">
        <f t="shared" si="93"/>
        <v>0.39240306057035923</v>
      </c>
      <c r="AY204" s="16">
        <f t="shared" si="94"/>
        <v>55.000000000000512</v>
      </c>
      <c r="AZ204" s="16" t="e">
        <f t="shared" si="95"/>
        <v>#N/A</v>
      </c>
      <c r="BA204" s="16">
        <f t="shared" si="103"/>
        <v>7.5864876229207101E-3</v>
      </c>
      <c r="BB204" s="34">
        <f t="shared" si="104"/>
        <v>0.46397560276091099</v>
      </c>
      <c r="BC204" s="34">
        <f t="shared" si="96"/>
        <v>5.9291945770382881E-2</v>
      </c>
      <c r="BD204" s="16">
        <f t="shared" si="97"/>
        <v>48.100000000000414</v>
      </c>
      <c r="BE204" s="16" t="e">
        <f t="shared" si="98"/>
        <v>#N/A</v>
      </c>
      <c r="BF204" s="16">
        <f t="shared" si="99"/>
        <v>1.1773782779486968E-3</v>
      </c>
      <c r="BU204" s="16">
        <f t="shared" si="81"/>
        <v>0</v>
      </c>
      <c r="BV204" s="16">
        <f>IF($BY$12=1,NORMDIST(BY204,$Y$6,$Y$8,TRUE),IF($BY$12=2,IF(BY204&lt;=$BX$31,0,IF(BY204&gt;=$BX$32,1,(BY204-$BX$31)*$BX$33)),SUM($BU$42:BU204)/$BV$40))</f>
        <v>4.5513977321549715E-2</v>
      </c>
      <c r="BW204" s="16">
        <f t="shared" si="82"/>
        <v>7.7482004892453979E-2</v>
      </c>
      <c r="BX204" s="16">
        <f>IF($BY$12&lt;3,BV204,SUM($BZ$42:BZ204)/$BX$40)</f>
        <v>4.5513977321549715E-2</v>
      </c>
      <c r="BY204" s="16">
        <f t="shared" si="106"/>
        <v>16.19999999999996</v>
      </c>
      <c r="BZ204" s="16">
        <f t="shared" si="73"/>
        <v>4.7828398081761836E-3</v>
      </c>
      <c r="CA204" s="16">
        <f t="shared" si="84"/>
        <v>-999</v>
      </c>
      <c r="CB204" s="16" t="str">
        <f t="shared" si="74"/>
        <v/>
      </c>
      <c r="CC204" s="16" t="e">
        <f>IF(CB204="",NA(),COUNTIF(CB204:$CB$704,CB204))</f>
        <v>#N/A</v>
      </c>
      <c r="CD204" s="16" t="e">
        <f t="shared" si="75"/>
        <v>#N/A</v>
      </c>
      <c r="CE204" s="16" t="e">
        <f t="shared" si="76"/>
        <v>#N/A</v>
      </c>
      <c r="CF204" s="16">
        <f t="shared" si="77"/>
        <v>99</v>
      </c>
      <c r="CG204" s="16">
        <f t="shared" si="78"/>
        <v>0</v>
      </c>
      <c r="CH204" s="16">
        <f t="shared" si="105"/>
        <v>0</v>
      </c>
      <c r="CJ204" s="16" t="e">
        <f t="shared" si="79"/>
        <v>#N/A</v>
      </c>
      <c r="CK204" s="16" t="str">
        <f t="shared" si="80"/>
        <v/>
      </c>
    </row>
    <row r="205" spans="1:89" ht="12" customHeight="1">
      <c r="A205" s="211"/>
      <c r="B205" s="211"/>
      <c r="C205" s="211"/>
      <c r="D205" s="211"/>
      <c r="E205" s="211"/>
      <c r="F205" s="211"/>
      <c r="G205" s="211"/>
      <c r="H205" s="211"/>
      <c r="I205" s="211"/>
      <c r="J205" s="211"/>
      <c r="K205" s="211"/>
      <c r="L205" s="211"/>
      <c r="M205" s="211"/>
      <c r="N205" s="211"/>
      <c r="O205" s="211"/>
      <c r="AM205" s="34">
        <f t="shared" si="100"/>
        <v>0.63397148437798023</v>
      </c>
      <c r="AN205" s="34">
        <f t="shared" si="85"/>
        <v>8.5409099236130714E-2</v>
      </c>
      <c r="AO205" s="16">
        <f t="shared" si="86"/>
        <v>56.800000000000537</v>
      </c>
      <c r="AP205" s="16" t="e">
        <f t="shared" si="87"/>
        <v>#N/A</v>
      </c>
      <c r="AQ205" s="16">
        <f t="shared" si="88"/>
        <v>1.6079849910553548E-3</v>
      </c>
      <c r="AR205" s="34">
        <f t="shared" si="101"/>
        <v>0.25189130939543247</v>
      </c>
      <c r="AS205" s="34">
        <f t="shared" si="89"/>
        <v>0.36854134686291218</v>
      </c>
      <c r="AT205" s="540">
        <f t="shared" si="90"/>
        <v>36.60000000000025</v>
      </c>
      <c r="AU205" s="16" t="e">
        <f t="shared" si="91"/>
        <v>#N/A</v>
      </c>
      <c r="AV205" s="16">
        <f t="shared" si="92"/>
        <v>5.8733907154478E-3</v>
      </c>
      <c r="AW205" s="34">
        <f t="shared" si="102"/>
        <v>0.70694337971508503</v>
      </c>
      <c r="AX205" s="34">
        <f t="shared" si="93"/>
        <v>0.98741478659212589</v>
      </c>
      <c r="AY205" s="16">
        <f t="shared" si="94"/>
        <v>60.800000000000594</v>
      </c>
      <c r="AZ205" s="16" t="e">
        <f t="shared" si="95"/>
        <v>#N/A</v>
      </c>
      <c r="BA205" s="16" t="e">
        <f t="shared" si="103"/>
        <v>#N/A</v>
      </c>
      <c r="BB205" s="34">
        <f t="shared" si="104"/>
        <v>0.22849912382662296</v>
      </c>
      <c r="BC205" s="34">
        <f t="shared" si="96"/>
        <v>0.20875483937561512</v>
      </c>
      <c r="BD205" s="16">
        <f t="shared" si="97"/>
        <v>35.100000000000229</v>
      </c>
      <c r="BE205" s="16" t="e">
        <f t="shared" si="98"/>
        <v>#N/A</v>
      </c>
      <c r="BF205" s="16">
        <f t="shared" si="99"/>
        <v>3.1549644854631342E-3</v>
      </c>
      <c r="BU205" s="16">
        <f t="shared" si="81"/>
        <v>0</v>
      </c>
      <c r="BV205" s="16">
        <f>IF($BY$12=1,NORMDIST(BY205,$Y$6,$Y$8,TRUE),IF($BY$12=2,IF(BY205&lt;=$BX$31,0,IF(BY205&gt;=$BX$32,1,(BY205-$BX$31)*$BX$33)),SUM($BU$42:BU205)/$BV$40))</f>
        <v>4.5994285750494246E-2</v>
      </c>
      <c r="BW205" s="16">
        <f t="shared" si="82"/>
        <v>7.8620861683261031E-2</v>
      </c>
      <c r="BX205" s="16">
        <f>IF($BY$12&lt;3,BV205,SUM($BZ$42:BZ205)/$BX$40)</f>
        <v>4.5994285750494246E-2</v>
      </c>
      <c r="BY205" s="16">
        <f t="shared" si="106"/>
        <v>16.299999999999962</v>
      </c>
      <c r="BZ205" s="16">
        <f t="shared" si="73"/>
        <v>4.8233657474393383E-3</v>
      </c>
      <c r="CA205" s="16">
        <f t="shared" si="84"/>
        <v>-999</v>
      </c>
      <c r="CB205" s="16" t="str">
        <f t="shared" si="74"/>
        <v/>
      </c>
      <c r="CC205" s="16" t="e">
        <f>IF(CB205="",NA(),COUNTIF(CB205:$CB$704,CB205))</f>
        <v>#N/A</v>
      </c>
      <c r="CD205" s="16" t="e">
        <f t="shared" si="75"/>
        <v>#N/A</v>
      </c>
      <c r="CE205" s="16" t="e">
        <f t="shared" si="76"/>
        <v>#N/A</v>
      </c>
      <c r="CF205" s="16">
        <f t="shared" si="77"/>
        <v>99</v>
      </c>
      <c r="CG205" s="16">
        <f t="shared" si="78"/>
        <v>0</v>
      </c>
      <c r="CH205" s="16">
        <f t="shared" si="105"/>
        <v>0</v>
      </c>
      <c r="CJ205" s="16" t="e">
        <f t="shared" si="79"/>
        <v>#N/A</v>
      </c>
      <c r="CK205" s="16" t="str">
        <f t="shared" si="80"/>
        <v/>
      </c>
    </row>
    <row r="206" spans="1:89" ht="12" customHeight="1">
      <c r="A206" s="211"/>
      <c r="B206" s="211"/>
      <c r="C206" s="211"/>
      <c r="D206" s="211"/>
      <c r="E206" s="211"/>
      <c r="F206" s="211"/>
      <c r="G206" s="211"/>
      <c r="H206" s="211"/>
      <c r="I206" s="211"/>
      <c r="J206" s="211"/>
      <c r="K206" s="211"/>
      <c r="L206" s="211"/>
      <c r="M206" s="211"/>
      <c r="N206" s="211"/>
      <c r="O206" s="211"/>
      <c r="AM206" s="34">
        <f t="shared" si="100"/>
        <v>0.10267959721386433</v>
      </c>
      <c r="AN206" s="34">
        <f t="shared" si="85"/>
        <v>0.30697340704500675</v>
      </c>
      <c r="AO206" s="16">
        <f t="shared" si="86"/>
        <v>24.60000000000008</v>
      </c>
      <c r="AP206" s="16" t="e">
        <f t="shared" si="87"/>
        <v>#N/A</v>
      </c>
      <c r="AQ206" s="16">
        <f t="shared" si="88"/>
        <v>2.7336571143970309E-3</v>
      </c>
      <c r="AR206" s="34">
        <f t="shared" si="101"/>
        <v>0.25966663099825382</v>
      </c>
      <c r="AS206" s="34">
        <f t="shared" si="89"/>
        <v>0.68564874120056629</v>
      </c>
      <c r="AT206" s="540">
        <f t="shared" si="90"/>
        <v>37.100000000000257</v>
      </c>
      <c r="AU206" s="16" t="e">
        <f t="shared" si="91"/>
        <v>#N/A</v>
      </c>
      <c r="AV206" s="16">
        <f t="shared" si="92"/>
        <v>1.1108184186826001E-2</v>
      </c>
      <c r="AW206" s="34">
        <f t="shared" si="102"/>
        <v>0.70231348462402821</v>
      </c>
      <c r="AX206" s="34">
        <f t="shared" si="93"/>
        <v>0.9763155821710825</v>
      </c>
      <c r="AY206" s="16">
        <f t="shared" si="94"/>
        <v>60.600000000000591</v>
      </c>
      <c r="AZ206" s="16" t="e">
        <f t="shared" si="95"/>
        <v>#N/A</v>
      </c>
      <c r="BA206" s="16" t="e">
        <f t="shared" si="103"/>
        <v>#N/A</v>
      </c>
      <c r="BB206" s="34">
        <f t="shared" si="104"/>
        <v>0.10756906308233738</v>
      </c>
      <c r="BC206" s="34">
        <f t="shared" si="96"/>
        <v>2.9221193864941597E-2</v>
      </c>
      <c r="BD206" s="16">
        <f t="shared" si="97"/>
        <v>25.200000000000088</v>
      </c>
      <c r="BE206" s="16" t="e">
        <f t="shared" si="98"/>
        <v>#N/A</v>
      </c>
      <c r="BF206" s="16">
        <f t="shared" si="99"/>
        <v>2.7020440699419726E-4</v>
      </c>
      <c r="BU206" s="16">
        <f t="shared" si="81"/>
        <v>0</v>
      </c>
      <c r="BV206" s="16">
        <f>IF($BY$12=1,NORMDIST(BY206,$Y$6,$Y$8,TRUE),IF($BY$12=2,IF(BY206&lt;=$BX$31,0,IF(BY206&gt;=$BX$32,1,(BY206-$BX$31)*$BX$33)),SUM($BU$42:BU206)/$BV$40))</f>
        <v>4.6478657863719963E-2</v>
      </c>
      <c r="BW206" s="16">
        <f t="shared" si="82"/>
        <v>7.9771460851802922E-2</v>
      </c>
      <c r="BX206" s="16">
        <f>IF($BY$12&lt;3,BV206,SUM($BZ$42:BZ206)/$BX$40)</f>
        <v>4.6478657863719963E-2</v>
      </c>
      <c r="BY206" s="16">
        <f t="shared" si="106"/>
        <v>16.399999999999963</v>
      </c>
      <c r="BZ206" s="16">
        <f t="shared" si="73"/>
        <v>4.8641134665733596E-3</v>
      </c>
      <c r="CA206" s="16">
        <f t="shared" si="84"/>
        <v>-999</v>
      </c>
      <c r="CB206" s="16" t="str">
        <f t="shared" si="74"/>
        <v/>
      </c>
      <c r="CC206" s="16" t="e">
        <f>IF(CB206="",NA(),COUNTIF(CB206:$CB$704,CB206))</f>
        <v>#N/A</v>
      </c>
      <c r="CD206" s="16" t="e">
        <f t="shared" si="75"/>
        <v>#N/A</v>
      </c>
      <c r="CE206" s="16" t="e">
        <f t="shared" si="76"/>
        <v>#N/A</v>
      </c>
      <c r="CF206" s="16">
        <f t="shared" si="77"/>
        <v>99</v>
      </c>
      <c r="CG206" s="16">
        <f t="shared" si="78"/>
        <v>0</v>
      </c>
      <c r="CH206" s="16">
        <f t="shared" si="105"/>
        <v>0</v>
      </c>
      <c r="CJ206" s="16" t="e">
        <f t="shared" si="79"/>
        <v>#N/A</v>
      </c>
      <c r="CK206" s="16" t="str">
        <f t="shared" si="80"/>
        <v/>
      </c>
    </row>
    <row r="207" spans="1:89" ht="12" customHeight="1">
      <c r="A207" s="211"/>
      <c r="B207" s="211"/>
      <c r="C207" s="211"/>
      <c r="D207" s="211"/>
      <c r="E207" s="211"/>
      <c r="F207" s="211"/>
      <c r="G207" s="211"/>
      <c r="H207" s="211"/>
      <c r="I207" s="211"/>
      <c r="J207" s="211"/>
      <c r="K207" s="211"/>
      <c r="L207" s="211"/>
      <c r="M207" s="211"/>
      <c r="N207" s="211"/>
      <c r="O207" s="211"/>
      <c r="AM207" s="34">
        <f t="shared" si="100"/>
        <v>6.1104359105229378E-2</v>
      </c>
      <c r="AN207" s="34">
        <f t="shared" si="85"/>
        <v>0.38540896214544773</v>
      </c>
      <c r="AO207" s="16">
        <f t="shared" si="86"/>
        <v>19</v>
      </c>
      <c r="AP207" s="16" t="e">
        <f t="shared" si="87"/>
        <v>#N/A</v>
      </c>
      <c r="AQ207" s="16">
        <f t="shared" si="88"/>
        <v>2.3126272203368762E-3</v>
      </c>
      <c r="AR207" s="34">
        <f t="shared" si="101"/>
        <v>0.32543929852545261</v>
      </c>
      <c r="AS207" s="34">
        <f t="shared" si="89"/>
        <v>0.21596540696918964</v>
      </c>
      <c r="AT207" s="540">
        <f t="shared" si="90"/>
        <v>40.900000000000311</v>
      </c>
      <c r="AU207" s="16" t="e">
        <f t="shared" si="91"/>
        <v>#N/A</v>
      </c>
      <c r="AV207" s="16">
        <f t="shared" si="92"/>
        <v>3.8842694997191108E-3</v>
      </c>
      <c r="AW207" s="34">
        <f t="shared" si="102"/>
        <v>0.51381339319050312</v>
      </c>
      <c r="AX207" s="34">
        <f t="shared" si="93"/>
        <v>0.6114791426807642</v>
      </c>
      <c r="AY207" s="16">
        <f t="shared" si="94"/>
        <v>50.600000000000449</v>
      </c>
      <c r="AZ207" s="16" t="e">
        <f t="shared" si="95"/>
        <v>#N/A</v>
      </c>
      <c r="BA207" s="16">
        <f t="shared" si="103"/>
        <v>1.2191756654853619E-2</v>
      </c>
      <c r="BB207" s="34">
        <f t="shared" si="104"/>
        <v>0.31852493621408939</v>
      </c>
      <c r="BC207" s="34">
        <f t="shared" si="96"/>
        <v>0.50296506471931934</v>
      </c>
      <c r="BD207" s="16">
        <f t="shared" si="97"/>
        <v>40.500000000000306</v>
      </c>
      <c r="BE207" s="16" t="e">
        <f t="shared" si="98"/>
        <v>#N/A</v>
      </c>
      <c r="BF207" s="16">
        <f t="shared" si="99"/>
        <v>8.9623942535650043E-3</v>
      </c>
      <c r="BU207" s="16">
        <f t="shared" si="81"/>
        <v>0</v>
      </c>
      <c r="BV207" s="16">
        <f>IF($BY$12=1,NORMDIST(BY207,$Y$6,$Y$8,TRUE),IF($BY$12=2,IF(BY207&lt;=$BX$31,0,IF(BY207&gt;=$BX$32,1,(BY207-$BX$31)*$BX$33)),SUM($BU$42:BU207)/$BV$40))</f>
        <v>4.6967115830745754E-2</v>
      </c>
      <c r="BW207" s="16">
        <f t="shared" si="82"/>
        <v>8.093386608788028E-2</v>
      </c>
      <c r="BX207" s="16">
        <f>IF($BY$12&lt;3,BV207,SUM($BZ$42:BZ207)/$BX$40)</f>
        <v>4.6967115830745754E-2</v>
      </c>
      <c r="BY207" s="16">
        <f t="shared" si="106"/>
        <v>16.499999999999964</v>
      </c>
      <c r="BZ207" s="16">
        <f t="shared" si="73"/>
        <v>4.9050827932048758E-3</v>
      </c>
      <c r="CA207" s="16">
        <f t="shared" si="84"/>
        <v>-999</v>
      </c>
      <c r="CB207" s="16" t="str">
        <f t="shared" si="74"/>
        <v/>
      </c>
      <c r="CC207" s="16" t="e">
        <f>IF(CB207="",NA(),COUNTIF(CB207:$CB$704,CB207))</f>
        <v>#N/A</v>
      </c>
      <c r="CD207" s="16" t="e">
        <f t="shared" si="75"/>
        <v>#N/A</v>
      </c>
      <c r="CE207" s="16" t="e">
        <f t="shared" si="76"/>
        <v>#N/A</v>
      </c>
      <c r="CF207" s="16">
        <f t="shared" si="77"/>
        <v>99</v>
      </c>
      <c r="CG207" s="16">
        <f t="shared" si="78"/>
        <v>0</v>
      </c>
      <c r="CH207" s="16">
        <f t="shared" si="105"/>
        <v>0</v>
      </c>
      <c r="CJ207" s="16" t="e">
        <f t="shared" si="79"/>
        <v>#N/A</v>
      </c>
      <c r="CK207" s="16" t="str">
        <f t="shared" si="80"/>
        <v/>
      </c>
    </row>
    <row r="208" spans="1:89" ht="12" customHeight="1">
      <c r="A208" s="211"/>
      <c r="B208" s="211"/>
      <c r="C208" s="211"/>
      <c r="D208" s="211"/>
      <c r="E208" s="211"/>
      <c r="F208" s="211"/>
      <c r="G208" s="211"/>
      <c r="H208" s="211"/>
      <c r="I208" s="211"/>
      <c r="J208" s="211"/>
      <c r="K208" s="211"/>
      <c r="L208" s="211"/>
      <c r="M208" s="211"/>
      <c r="N208" s="211"/>
      <c r="O208" s="211"/>
      <c r="AM208" s="34">
        <f t="shared" si="100"/>
        <v>0.63177098520100117</v>
      </c>
      <c r="AN208" s="34">
        <f t="shared" si="85"/>
        <v>6.5032819285988808E-2</v>
      </c>
      <c r="AO208" s="16">
        <f t="shared" si="86"/>
        <v>56.700000000000536</v>
      </c>
      <c r="AP208" s="16" t="e">
        <f t="shared" si="87"/>
        <v>#N/A</v>
      </c>
      <c r="AQ208" s="16">
        <f t="shared" si="88"/>
        <v>1.2264315179387167E-3</v>
      </c>
      <c r="AR208" s="34">
        <f t="shared" si="101"/>
        <v>0.877242187038064</v>
      </c>
      <c r="AS208" s="34">
        <f t="shared" si="89"/>
        <v>0.27452907152473927</v>
      </c>
      <c r="AT208" s="540">
        <f t="shared" si="90"/>
        <v>73.200000000000117</v>
      </c>
      <c r="AU208" s="16" t="e">
        <f t="shared" si="91"/>
        <v>#N/A</v>
      </c>
      <c r="AV208" s="16">
        <f t="shared" si="92"/>
        <v>2.7943132108231993E-3</v>
      </c>
      <c r="AW208" s="34">
        <f t="shared" si="102"/>
        <v>0.3760364968329668</v>
      </c>
      <c r="AX208" s="34">
        <f t="shared" si="93"/>
        <v>0.8568041268736124</v>
      </c>
      <c r="AY208" s="16">
        <f t="shared" si="94"/>
        <v>43.60000000000035</v>
      </c>
      <c r="AZ208" s="16" t="e">
        <f t="shared" si="95"/>
        <v>#N/A</v>
      </c>
      <c r="BA208" s="16">
        <f t="shared" si="103"/>
        <v>1.6237745950935661E-2</v>
      </c>
      <c r="BB208" s="34">
        <f t="shared" si="104"/>
        <v>0.18573903478682041</v>
      </c>
      <c r="BC208" s="34">
        <f t="shared" si="96"/>
        <v>0.76247565634548664</v>
      </c>
      <c r="BD208" s="16">
        <f t="shared" si="97"/>
        <v>32.100000000000186</v>
      </c>
      <c r="BE208" s="16" t="e">
        <f t="shared" si="98"/>
        <v>#N/A</v>
      </c>
      <c r="BF208" s="16">
        <f t="shared" si="99"/>
        <v>1.0189800561991334E-2</v>
      </c>
      <c r="BU208" s="16">
        <f t="shared" si="81"/>
        <v>0</v>
      </c>
      <c r="BV208" s="16">
        <f>IF($BY$12=1,NORMDIST(BY208,$Y$6,$Y$8,TRUE),IF($BY$12=2,IF(BY208&lt;=$BX$31,0,IF(BY208&gt;=$BX$32,1,(BY208-$BX$31)*$BX$33)),SUM($BU$42:BU208)/$BV$40))</f>
        <v>4.745968180294724E-2</v>
      </c>
      <c r="BW208" s="16">
        <f t="shared" si="82"/>
        <v>8.2108140711148261E-2</v>
      </c>
      <c r="BX208" s="16">
        <f>IF($BY$12&lt;3,BV208,SUM($BZ$42:BZ208)/$BX$40)</f>
        <v>4.745968180294724E-2</v>
      </c>
      <c r="BY208" s="16">
        <f t="shared" si="106"/>
        <v>16.599999999999966</v>
      </c>
      <c r="BZ208" s="16">
        <f t="shared" si="73"/>
        <v>4.9462735368161707E-3</v>
      </c>
      <c r="CA208" s="16">
        <f t="shared" si="84"/>
        <v>-999</v>
      </c>
      <c r="CB208" s="16" t="str">
        <f t="shared" si="74"/>
        <v/>
      </c>
      <c r="CC208" s="16" t="e">
        <f>IF(CB208="",NA(),COUNTIF(CB208:$CB$704,CB208))</f>
        <v>#N/A</v>
      </c>
      <c r="CD208" s="16" t="e">
        <f t="shared" si="75"/>
        <v>#N/A</v>
      </c>
      <c r="CE208" s="16" t="e">
        <f t="shared" si="76"/>
        <v>#N/A</v>
      </c>
      <c r="CF208" s="16">
        <f t="shared" si="77"/>
        <v>99</v>
      </c>
      <c r="CG208" s="16">
        <f t="shared" si="78"/>
        <v>0</v>
      </c>
      <c r="CH208" s="16">
        <f t="shared" si="105"/>
        <v>0</v>
      </c>
      <c r="CJ208" s="16" t="e">
        <f t="shared" si="79"/>
        <v>#N/A</v>
      </c>
      <c r="CK208" s="16" t="str">
        <f t="shared" si="80"/>
        <v/>
      </c>
    </row>
    <row r="209" spans="1:89" ht="12" customHeight="1">
      <c r="A209" s="211"/>
      <c r="B209" s="211"/>
      <c r="C209" s="211"/>
      <c r="D209" s="211"/>
      <c r="E209" s="211"/>
      <c r="F209" s="211"/>
      <c r="G209" s="211"/>
      <c r="H209" s="211"/>
      <c r="I209" s="211"/>
      <c r="J209" s="211"/>
      <c r="K209" s="211"/>
      <c r="L209" s="211"/>
      <c r="M209" s="211"/>
      <c r="N209" s="211"/>
      <c r="O209" s="211"/>
      <c r="AM209" s="34">
        <f t="shared" si="100"/>
        <v>3.8286538794636726E-2</v>
      </c>
      <c r="AN209" s="34">
        <f t="shared" si="85"/>
        <v>0.88567137159407139</v>
      </c>
      <c r="AO209" s="16">
        <f t="shared" si="86"/>
        <v>14.499999999999964</v>
      </c>
      <c r="AP209" s="16" t="e">
        <f t="shared" si="87"/>
        <v>#N/A</v>
      </c>
      <c r="AQ209" s="16" t="e">
        <f t="shared" si="88"/>
        <v>#N/A</v>
      </c>
      <c r="AR209" s="34">
        <f t="shared" si="101"/>
        <v>0.2841253224760294</v>
      </c>
      <c r="AS209" s="34">
        <f t="shared" si="89"/>
        <v>0.91838948614895344</v>
      </c>
      <c r="AT209" s="540">
        <f t="shared" si="90"/>
        <v>38.500000000000277</v>
      </c>
      <c r="AU209" s="16" t="e">
        <f t="shared" si="91"/>
        <v>#N/A</v>
      </c>
      <c r="AV209" s="16">
        <f t="shared" si="92"/>
        <v>1.5527897901652798E-2</v>
      </c>
      <c r="AW209" s="34">
        <f t="shared" si="102"/>
        <v>0.40718977339565754</v>
      </c>
      <c r="AX209" s="34">
        <f t="shared" si="93"/>
        <v>2.742362953722477E-2</v>
      </c>
      <c r="AY209" s="16">
        <f t="shared" si="94"/>
        <v>45.300000000000374</v>
      </c>
      <c r="AZ209" s="16" t="e">
        <f t="shared" si="95"/>
        <v>#N/A</v>
      </c>
      <c r="BA209" s="16">
        <f t="shared" si="103"/>
        <v>5.3212424528365095E-4</v>
      </c>
      <c r="BB209" s="34">
        <f t="shared" si="104"/>
        <v>0.47563839890062809</v>
      </c>
      <c r="BC209" s="34">
        <f t="shared" si="96"/>
        <v>0.17230546660721302</v>
      </c>
      <c r="BD209" s="16">
        <f t="shared" si="97"/>
        <v>48.700000000000422</v>
      </c>
      <c r="BE209" s="16" t="e">
        <f t="shared" si="98"/>
        <v>#N/A</v>
      </c>
      <c r="BF209" s="16">
        <f t="shared" si="99"/>
        <v>3.4297437966497577E-3</v>
      </c>
      <c r="BU209" s="16">
        <f t="shared" si="81"/>
        <v>0</v>
      </c>
      <c r="BV209" s="16">
        <f>IF($BY$12=1,NORMDIST(BY209,$Y$6,$Y$8,TRUE),IF($BY$12=2,IF(BY209&lt;=$BX$31,0,IF(BY209&gt;=$BX$32,1,(BY209-$BX$31)*$BX$33)),SUM($BU$42:BU209)/$BV$40))</f>
        <v>4.795637791173557E-2</v>
      </c>
      <c r="BW209" s="16">
        <f t="shared" si="82"/>
        <v>8.3294347659811724E-2</v>
      </c>
      <c r="BX209" s="16">
        <f>IF($BY$12&lt;3,BV209,SUM($BZ$42:BZ209)/$BX$40)</f>
        <v>4.795637791173557E-2</v>
      </c>
      <c r="BY209" s="16">
        <f t="shared" si="106"/>
        <v>16.699999999999967</v>
      </c>
      <c r="BZ209" s="16">
        <f t="shared" si="73"/>
        <v>4.9876854886114902E-3</v>
      </c>
      <c r="CA209" s="16">
        <f t="shared" si="84"/>
        <v>-999</v>
      </c>
      <c r="CB209" s="16" t="str">
        <f t="shared" si="74"/>
        <v/>
      </c>
      <c r="CC209" s="16" t="e">
        <f>IF(CB209="",NA(),COUNTIF(CB209:$CB$704,CB209))</f>
        <v>#N/A</v>
      </c>
      <c r="CD209" s="16" t="e">
        <f t="shared" si="75"/>
        <v>#N/A</v>
      </c>
      <c r="CE209" s="16" t="e">
        <f t="shared" si="76"/>
        <v>#N/A</v>
      </c>
      <c r="CF209" s="16">
        <f t="shared" si="77"/>
        <v>99</v>
      </c>
      <c r="CG209" s="16">
        <f t="shared" si="78"/>
        <v>0</v>
      </c>
      <c r="CH209" s="16">
        <f t="shared" si="105"/>
        <v>0</v>
      </c>
      <c r="CJ209" s="16" t="e">
        <f t="shared" si="79"/>
        <v>#N/A</v>
      </c>
      <c r="CK209" s="16" t="str">
        <f t="shared" si="80"/>
        <v/>
      </c>
    </row>
    <row r="210" spans="1:89" ht="12" customHeight="1">
      <c r="A210" s="211"/>
      <c r="B210" s="211"/>
      <c r="C210" s="211"/>
      <c r="D210" s="211"/>
      <c r="E210" s="211"/>
      <c r="F210" s="211"/>
      <c r="G210" s="211"/>
      <c r="H210" s="211"/>
      <c r="I210" s="211"/>
      <c r="J210" s="211"/>
      <c r="K210" s="211"/>
      <c r="L210" s="211"/>
      <c r="M210" s="211"/>
      <c r="N210" s="211"/>
      <c r="O210" s="211"/>
      <c r="AM210" s="34">
        <f t="shared" si="100"/>
        <v>0.22966854460537434</v>
      </c>
      <c r="AN210" s="34">
        <f t="shared" si="85"/>
        <v>0.43174482323229313</v>
      </c>
      <c r="AO210" s="16">
        <f t="shared" si="86"/>
        <v>35.20000000000023</v>
      </c>
      <c r="AP210" s="16" t="e">
        <f t="shared" si="87"/>
        <v>#N/A</v>
      </c>
      <c r="AQ210" s="16">
        <f t="shared" si="88"/>
        <v>6.5493376342968456E-3</v>
      </c>
      <c r="AR210" s="34">
        <f t="shared" si="101"/>
        <v>0.80055285431444645</v>
      </c>
      <c r="AS210" s="34">
        <f t="shared" si="89"/>
        <v>0.95033157058060169</v>
      </c>
      <c r="AT210" s="540">
        <f t="shared" si="90"/>
        <v>66.80000000000048</v>
      </c>
      <c r="AU210" s="16" t="e">
        <f t="shared" si="91"/>
        <v>#N/A</v>
      </c>
      <c r="AV210" s="16">
        <f t="shared" si="92"/>
        <v>1.3320978702888115E-2</v>
      </c>
      <c r="AW210" s="34">
        <f t="shared" si="102"/>
        <v>0.65187943167984486</v>
      </c>
      <c r="AX210" s="34">
        <f t="shared" si="93"/>
        <v>0.7912310604006052</v>
      </c>
      <c r="AY210" s="16">
        <f t="shared" si="94"/>
        <v>57.800000000000551</v>
      </c>
      <c r="AZ210" s="16" t="e">
        <f t="shared" si="95"/>
        <v>#N/A</v>
      </c>
      <c r="BA210" s="16">
        <f t="shared" si="103"/>
        <v>1.4627001377947271E-2</v>
      </c>
      <c r="BB210" s="34">
        <f t="shared" si="104"/>
        <v>0.90604319609701633</v>
      </c>
      <c r="BC210" s="34">
        <f t="shared" si="96"/>
        <v>0.73953171260654926</v>
      </c>
      <c r="BD210" s="16">
        <f t="shared" si="97"/>
        <v>76.29999999999994</v>
      </c>
      <c r="BE210" s="16" t="e">
        <f t="shared" si="98"/>
        <v>#N/A</v>
      </c>
      <c r="BF210" s="16">
        <f t="shared" si="99"/>
        <v>6.2135591158811281E-3</v>
      </c>
      <c r="BU210" s="16">
        <f t="shared" si="81"/>
        <v>0</v>
      </c>
      <c r="BV210" s="16">
        <f>IF($BY$12=1,NORMDIST(BY210,$Y$6,$Y$8,TRUE),IF($BY$12=2,IF(BY210&lt;=$BX$31,0,IF(BY210&gt;=$BX$32,1,(BY210-$BX$31)*$BX$33)),SUM($BU$42:BU210)/$BV$40))</f>
        <v>4.8457226266722664E-2</v>
      </c>
      <c r="BW210" s="16">
        <f t="shared" si="82"/>
        <v>8.4492549479259688E-2</v>
      </c>
      <c r="BX210" s="16">
        <f>IF($BY$12&lt;3,BV210,SUM($BZ$42:BZ210)/$BX$40)</f>
        <v>4.8457226266722664E-2</v>
      </c>
      <c r="BY210" s="16">
        <f t="shared" si="106"/>
        <v>16.799999999999969</v>
      </c>
      <c r="BZ210" s="16">
        <f t="shared" si="73"/>
        <v>5.0293184213845146E-3</v>
      </c>
      <c r="CA210" s="16">
        <f t="shared" si="84"/>
        <v>-999</v>
      </c>
      <c r="CB210" s="16" t="str">
        <f t="shared" si="74"/>
        <v/>
      </c>
      <c r="CC210" s="16" t="e">
        <f>IF(CB210="",NA(),COUNTIF(CB210:$CB$704,CB210))</f>
        <v>#N/A</v>
      </c>
      <c r="CD210" s="16" t="e">
        <f t="shared" si="75"/>
        <v>#N/A</v>
      </c>
      <c r="CE210" s="16" t="e">
        <f t="shared" si="76"/>
        <v>#N/A</v>
      </c>
      <c r="CF210" s="16">
        <f t="shared" si="77"/>
        <v>99</v>
      </c>
      <c r="CG210" s="16">
        <f t="shared" si="78"/>
        <v>0</v>
      </c>
      <c r="CH210" s="16">
        <f t="shared" si="105"/>
        <v>0</v>
      </c>
      <c r="CJ210" s="16" t="e">
        <f t="shared" si="79"/>
        <v>#N/A</v>
      </c>
      <c r="CK210" s="16" t="str">
        <f t="shared" si="80"/>
        <v/>
      </c>
    </row>
    <row r="211" spans="1:89" ht="12" customHeight="1">
      <c r="A211" s="211"/>
      <c r="B211" s="211"/>
      <c r="C211" s="211"/>
      <c r="D211" s="211"/>
      <c r="E211" s="211"/>
      <c r="F211" s="211"/>
      <c r="G211" s="211"/>
      <c r="H211" s="211"/>
      <c r="I211" s="211"/>
      <c r="J211" s="211"/>
      <c r="K211" s="211"/>
      <c r="L211" s="211"/>
      <c r="M211" s="211"/>
      <c r="N211" s="211"/>
      <c r="O211" s="211"/>
      <c r="AM211" s="34">
        <f t="shared" si="100"/>
        <v>0.84500563330948353</v>
      </c>
      <c r="AN211" s="34">
        <f t="shared" si="85"/>
        <v>0.31816806830465794</v>
      </c>
      <c r="AO211" s="16">
        <f t="shared" si="86"/>
        <v>70.300000000000281</v>
      </c>
      <c r="AP211" s="16" t="e">
        <f t="shared" si="87"/>
        <v>#N/A</v>
      </c>
      <c r="AQ211" s="16">
        <f t="shared" si="88"/>
        <v>3.7916316959759515E-3</v>
      </c>
      <c r="AR211" s="34">
        <f t="shared" si="101"/>
        <v>6.0116434469819069E-2</v>
      </c>
      <c r="AS211" s="34">
        <f t="shared" si="89"/>
        <v>0.12621183879673481</v>
      </c>
      <c r="AT211" s="540">
        <f t="shared" si="90"/>
        <v>18.899999999999999</v>
      </c>
      <c r="AU211" s="16" t="e">
        <f t="shared" si="91"/>
        <v>#N/A</v>
      </c>
      <c r="AV211" s="16">
        <f t="shared" si="92"/>
        <v>7.5147183320879566E-4</v>
      </c>
      <c r="AW211" s="34">
        <f t="shared" si="102"/>
        <v>0.89000983722507954</v>
      </c>
      <c r="AX211" s="34">
        <f t="shared" si="93"/>
        <v>0.94237867929041386</v>
      </c>
      <c r="AY211" s="16">
        <f t="shared" si="94"/>
        <v>74.500000000000043</v>
      </c>
      <c r="AZ211" s="16" t="e">
        <f t="shared" si="95"/>
        <v>#N/A</v>
      </c>
      <c r="BA211" s="16">
        <f t="shared" si="103"/>
        <v>8.8766468795518257E-3</v>
      </c>
      <c r="BB211" s="34">
        <f t="shared" si="104"/>
        <v>0.7399777565151453</v>
      </c>
      <c r="BC211" s="34">
        <f t="shared" si="96"/>
        <v>0.1848622877150774</v>
      </c>
      <c r="BD211" s="16">
        <f t="shared" si="97"/>
        <v>62.800000000000622</v>
      </c>
      <c r="BE211" s="16" t="e">
        <f t="shared" si="98"/>
        <v>#N/A</v>
      </c>
      <c r="BF211" s="16">
        <f t="shared" si="99"/>
        <v>3.0045876894212423E-3</v>
      </c>
      <c r="BU211" s="16">
        <f t="shared" si="81"/>
        <v>0</v>
      </c>
      <c r="BV211" s="16">
        <f>IF($BY$12=1,NORMDIST(BY211,$Y$6,$Y$8,TRUE),IF($BY$12=2,IF(BY211&lt;=$BX$31,0,IF(BY211&gt;=$BX$32,1,(BY211-$BX$31)*$BX$33)),SUM($BU$42:BU211)/$BV$40))</f>
        <v>4.8962248953874132E-2</v>
      </c>
      <c r="BW211" s="16">
        <f t="shared" si="82"/>
        <v>8.5702808310640838E-2</v>
      </c>
      <c r="BX211" s="16">
        <f>IF($BY$12&lt;3,BV211,SUM($BZ$42:BZ211)/$BX$40)</f>
        <v>4.8962248953874132E-2</v>
      </c>
      <c r="BY211" s="16">
        <f t="shared" si="106"/>
        <v>16.89999999999997</v>
      </c>
      <c r="BZ211" s="16">
        <f t="shared" si="73"/>
        <v>5.0711720893870408E-3</v>
      </c>
      <c r="CA211" s="16">
        <f t="shared" si="84"/>
        <v>-999</v>
      </c>
      <c r="CB211" s="16" t="str">
        <f t="shared" si="74"/>
        <v/>
      </c>
      <c r="CC211" s="16" t="e">
        <f>IF(CB211="",NA(),COUNTIF(CB211:$CB$704,CB211))</f>
        <v>#N/A</v>
      </c>
      <c r="CD211" s="16" t="e">
        <f t="shared" si="75"/>
        <v>#N/A</v>
      </c>
      <c r="CE211" s="16" t="e">
        <f t="shared" si="76"/>
        <v>#N/A</v>
      </c>
      <c r="CF211" s="16">
        <f t="shared" si="77"/>
        <v>99</v>
      </c>
      <c r="CG211" s="16">
        <f t="shared" si="78"/>
        <v>0</v>
      </c>
      <c r="CH211" s="16">
        <f t="shared" si="105"/>
        <v>0</v>
      </c>
      <c r="CJ211" s="16" t="e">
        <f t="shared" si="79"/>
        <v>#N/A</v>
      </c>
      <c r="CK211" s="16" t="str">
        <f t="shared" si="80"/>
        <v/>
      </c>
    </row>
    <row r="212" spans="1:89" ht="12" customHeight="1">
      <c r="A212" s="211"/>
      <c r="B212" s="211"/>
      <c r="C212" s="211"/>
      <c r="D212" s="211"/>
      <c r="E212" s="211"/>
      <c r="F212" s="211"/>
      <c r="G212" s="211"/>
      <c r="H212" s="211"/>
      <c r="I212" s="211"/>
      <c r="J212" s="211"/>
      <c r="K212" s="211"/>
      <c r="L212" s="211"/>
      <c r="M212" s="211"/>
      <c r="N212" s="211"/>
      <c r="O212" s="211"/>
      <c r="AM212" s="34">
        <f t="shared" si="100"/>
        <v>0.81923146732151508</v>
      </c>
      <c r="AN212" s="34">
        <f t="shared" si="85"/>
        <v>0.32322422601282597</v>
      </c>
      <c r="AO212" s="16">
        <f t="shared" si="86"/>
        <v>68.200000000000401</v>
      </c>
      <c r="AP212" s="16" t="e">
        <f t="shared" si="87"/>
        <v>#N/A</v>
      </c>
      <c r="AQ212" s="16">
        <f t="shared" si="88"/>
        <v>4.2615181660537382E-3</v>
      </c>
      <c r="AR212" s="34">
        <f t="shared" si="101"/>
        <v>2.8721252456307411E-2</v>
      </c>
      <c r="AS212" s="34">
        <f t="shared" si="89"/>
        <v>0.89793935604393482</v>
      </c>
      <c r="AT212" s="540">
        <f t="shared" si="90"/>
        <v>11.999999999999973</v>
      </c>
      <c r="AU212" s="16" t="e">
        <f t="shared" si="91"/>
        <v>#N/A</v>
      </c>
      <c r="AV212" s="16" t="e">
        <f t="shared" si="92"/>
        <v>#N/A</v>
      </c>
      <c r="AW212" s="34">
        <f t="shared" si="102"/>
        <v>4.3826969340443611E-2</v>
      </c>
      <c r="AX212" s="34">
        <f t="shared" si="93"/>
        <v>0.26315503753721714</v>
      </c>
      <c r="AY212" s="16">
        <f t="shared" si="94"/>
        <v>15.79999999999996</v>
      </c>
      <c r="AZ212" s="16" t="e">
        <f t="shared" si="95"/>
        <v>#N/A</v>
      </c>
      <c r="BA212" s="16">
        <f t="shared" si="103"/>
        <v>1.2165543359817835E-3</v>
      </c>
      <c r="BB212" s="34">
        <f t="shared" si="104"/>
        <v>0.2803605142980814</v>
      </c>
      <c r="BC212" s="34">
        <f t="shared" si="96"/>
        <v>0.78766749985516071</v>
      </c>
      <c r="BD212" s="16">
        <f t="shared" si="97"/>
        <v>38.300000000000274</v>
      </c>
      <c r="BE212" s="16" t="e">
        <f t="shared" si="98"/>
        <v>#N/A</v>
      </c>
      <c r="BF212" s="16">
        <f t="shared" si="99"/>
        <v>1.3240664519618014E-2</v>
      </c>
      <c r="BU212" s="16">
        <f t="shared" si="81"/>
        <v>0</v>
      </c>
      <c r="BV212" s="16">
        <f>IF($BY$12=1,NORMDIST(BY212,$Y$6,$Y$8,TRUE),IF($BY$12=2,IF(BY212&lt;=$BX$31,0,IF(BY212&gt;=$BX$32,1,(BY212-$BX$31)*$BX$33)),SUM($BU$42:BU212)/$BV$40))</f>
        <v>4.9471468033647881E-2</v>
      </c>
      <c r="BW212" s="16">
        <f t="shared" si="82"/>
        <v>8.6925185879380945E-2</v>
      </c>
      <c r="BX212" s="16">
        <f>IF($BY$12&lt;3,BV212,SUM($BZ$42:BZ212)/$BX$40)</f>
        <v>4.9471468033647881E-2</v>
      </c>
      <c r="BY212" s="16">
        <f t="shared" si="106"/>
        <v>16.999999999999972</v>
      </c>
      <c r="BZ212" s="16">
        <f t="shared" si="73"/>
        <v>5.1132462281988878E-3</v>
      </c>
      <c r="CA212" s="16">
        <f t="shared" si="84"/>
        <v>-999</v>
      </c>
      <c r="CB212" s="16" t="str">
        <f t="shared" si="74"/>
        <v/>
      </c>
      <c r="CC212" s="16" t="e">
        <f>IF(CB212="",NA(),COUNTIF(CB212:$CB$704,CB212))</f>
        <v>#N/A</v>
      </c>
      <c r="CD212" s="16" t="e">
        <f t="shared" si="75"/>
        <v>#N/A</v>
      </c>
      <c r="CE212" s="16" t="e">
        <f t="shared" si="76"/>
        <v>#N/A</v>
      </c>
      <c r="CF212" s="16">
        <f t="shared" si="77"/>
        <v>99</v>
      </c>
      <c r="CG212" s="16">
        <f t="shared" si="78"/>
        <v>0</v>
      </c>
      <c r="CH212" s="16">
        <f t="shared" si="105"/>
        <v>0</v>
      </c>
      <c r="CJ212" s="16" t="e">
        <f t="shared" si="79"/>
        <v>#N/A</v>
      </c>
      <c r="CK212" s="16" t="str">
        <f t="shared" si="80"/>
        <v/>
      </c>
    </row>
    <row r="213" spans="1:89" ht="12" customHeight="1">
      <c r="A213" s="211"/>
      <c r="B213" s="211"/>
      <c r="C213" s="211"/>
      <c r="D213" s="211"/>
      <c r="E213" s="211"/>
      <c r="F213" s="211"/>
      <c r="G213" s="211"/>
      <c r="H213" s="211"/>
      <c r="I213" s="211"/>
      <c r="J213" s="211"/>
      <c r="K213" s="211"/>
      <c r="L213" s="211"/>
      <c r="M213" s="211"/>
      <c r="N213" s="211"/>
      <c r="O213" s="211"/>
      <c r="AM213" s="34">
        <f t="shared" si="100"/>
        <v>0.46204319782555103</v>
      </c>
      <c r="AN213" s="34">
        <f t="shared" si="85"/>
        <v>0.98481708206236362</v>
      </c>
      <c r="AO213" s="16">
        <f t="shared" si="86"/>
        <v>48.000000000000412</v>
      </c>
      <c r="AP213" s="16" t="e">
        <f t="shared" si="87"/>
        <v>#N/A</v>
      </c>
      <c r="AQ213" s="16" t="e">
        <f t="shared" si="88"/>
        <v>#N/A</v>
      </c>
      <c r="AR213" s="34">
        <f t="shared" si="101"/>
        <v>0.23365097679197788</v>
      </c>
      <c r="AS213" s="34">
        <f t="shared" si="89"/>
        <v>0.80538247711956501</v>
      </c>
      <c r="AT213" s="540">
        <f t="shared" si="90"/>
        <v>35.400000000000233</v>
      </c>
      <c r="AU213" s="16" t="e">
        <f t="shared" si="91"/>
        <v>#N/A</v>
      </c>
      <c r="AV213" s="16">
        <f t="shared" si="92"/>
        <v>1.2307348028288477E-2</v>
      </c>
      <c r="AW213" s="34">
        <f t="shared" si="102"/>
        <v>0.79638765938580036</v>
      </c>
      <c r="AX213" s="34">
        <f t="shared" si="93"/>
        <v>0.94689757563173771</v>
      </c>
      <c r="AY213" s="16">
        <f t="shared" si="94"/>
        <v>66.500000000000497</v>
      </c>
      <c r="AZ213" s="16" t="e">
        <f t="shared" si="95"/>
        <v>#N/A</v>
      </c>
      <c r="BA213" s="16">
        <f t="shared" si="103"/>
        <v>1.3439627566782355E-2</v>
      </c>
      <c r="BB213" s="34">
        <f t="shared" si="104"/>
        <v>0.23822910524904728</v>
      </c>
      <c r="BC213" s="34">
        <f t="shared" si="96"/>
        <v>0.14946884103119373</v>
      </c>
      <c r="BD213" s="16">
        <f t="shared" si="97"/>
        <v>35.700000000000237</v>
      </c>
      <c r="BE213" s="16" t="e">
        <f t="shared" si="98"/>
        <v>#N/A</v>
      </c>
      <c r="BF213" s="16">
        <f t="shared" si="99"/>
        <v>2.3089771705241502E-3</v>
      </c>
      <c r="BU213" s="16">
        <f t="shared" si="81"/>
        <v>0</v>
      </c>
      <c r="BV213" s="16">
        <f>IF($BY$12=1,NORMDIST(BY213,$Y$6,$Y$8,TRUE),IF($BY$12=2,IF(BY213&lt;=$BX$31,0,IF(BY213&gt;=$BX$32,1,(BY213-$BX$31)*$BX$33)),SUM($BU$42:BU213)/$BV$40))</f>
        <v>4.9984905539121272E-2</v>
      </c>
      <c r="BW213" s="16">
        <f t="shared" si="82"/>
        <v>8.8159743483643763E-2</v>
      </c>
      <c r="BX213" s="16">
        <f>IF($BY$12&lt;3,BV213,SUM($BZ$42:BZ213)/$BX$40)</f>
        <v>4.9984905539121272E-2</v>
      </c>
      <c r="BY213" s="16">
        <f t="shared" si="106"/>
        <v>17.099999999999973</v>
      </c>
      <c r="BZ213" s="16">
        <f t="shared" si="73"/>
        <v>5.1555405545990586E-3</v>
      </c>
      <c r="CA213" s="16">
        <f t="shared" si="84"/>
        <v>-999</v>
      </c>
      <c r="CB213" s="16" t="str">
        <f t="shared" si="74"/>
        <v/>
      </c>
      <c r="CC213" s="16" t="e">
        <f>IF(CB213="",NA(),COUNTIF(CB213:$CB$704,CB213))</f>
        <v>#N/A</v>
      </c>
      <c r="CD213" s="16" t="e">
        <f t="shared" si="75"/>
        <v>#N/A</v>
      </c>
      <c r="CE213" s="16" t="e">
        <f t="shared" si="76"/>
        <v>#N/A</v>
      </c>
      <c r="CF213" s="16">
        <f t="shared" si="77"/>
        <v>99</v>
      </c>
      <c r="CG213" s="16">
        <f t="shared" si="78"/>
        <v>0</v>
      </c>
      <c r="CH213" s="16">
        <f t="shared" si="105"/>
        <v>0</v>
      </c>
      <c r="CJ213" s="16" t="e">
        <f t="shared" si="79"/>
        <v>#N/A</v>
      </c>
      <c r="CK213" s="16" t="str">
        <f t="shared" si="80"/>
        <v/>
      </c>
    </row>
    <row r="214" spans="1:89" ht="12" customHeight="1">
      <c r="A214" s="211"/>
      <c r="B214" s="211"/>
      <c r="C214" s="211"/>
      <c r="D214" s="211"/>
      <c r="E214" s="211"/>
      <c r="F214" s="211"/>
      <c r="G214" s="211"/>
      <c r="H214" s="211"/>
      <c r="I214" s="211"/>
      <c r="J214" s="211"/>
      <c r="K214" s="211"/>
      <c r="L214" s="211"/>
      <c r="M214" s="211"/>
      <c r="N214" s="211"/>
      <c r="O214" s="211"/>
      <c r="AM214" s="34">
        <f t="shared" si="100"/>
        <v>0.62324570305645466</v>
      </c>
      <c r="AN214" s="34">
        <f t="shared" si="85"/>
        <v>0.13275868631899357</v>
      </c>
      <c r="AO214" s="16">
        <f t="shared" si="86"/>
        <v>56.200000000000529</v>
      </c>
      <c r="AP214" s="16" t="e">
        <f t="shared" si="87"/>
        <v>#N/A</v>
      </c>
      <c r="AQ214" s="16">
        <f t="shared" si="88"/>
        <v>2.5239175680322546E-3</v>
      </c>
      <c r="AR214" s="34">
        <f t="shared" si="101"/>
        <v>0.24116785265505314</v>
      </c>
      <c r="AS214" s="34">
        <f t="shared" si="89"/>
        <v>0.66173261590301991</v>
      </c>
      <c r="AT214" s="540">
        <f t="shared" si="90"/>
        <v>35.90000000000024</v>
      </c>
      <c r="AU214" s="16" t="e">
        <f t="shared" si="91"/>
        <v>#N/A</v>
      </c>
      <c r="AV214" s="16">
        <f t="shared" si="92"/>
        <v>1.0295205115895135E-2</v>
      </c>
      <c r="AW214" s="34">
        <f t="shared" si="102"/>
        <v>6.5985860303044319E-2</v>
      </c>
      <c r="AX214" s="34">
        <f t="shared" si="93"/>
        <v>0.46084662713110447</v>
      </c>
      <c r="AY214" s="16">
        <f t="shared" si="94"/>
        <v>19.800000000000011</v>
      </c>
      <c r="AZ214" s="16" t="e">
        <f t="shared" si="95"/>
        <v>#N/A</v>
      </c>
      <c r="BA214" s="16">
        <f t="shared" si="103"/>
        <v>2.9398086225303024E-3</v>
      </c>
      <c r="BB214" s="34">
        <f t="shared" si="104"/>
        <v>0.35340687073767185</v>
      </c>
      <c r="BC214" s="34">
        <f t="shared" si="96"/>
        <v>0.30166603811085224</v>
      </c>
      <c r="BD214" s="16">
        <f t="shared" si="97"/>
        <v>42.400000000000333</v>
      </c>
      <c r="BE214" s="16" t="e">
        <f t="shared" si="98"/>
        <v>#N/A</v>
      </c>
      <c r="BF214" s="16">
        <f t="shared" si="99"/>
        <v>5.5982260157922004E-3</v>
      </c>
      <c r="BU214" s="16">
        <f t="shared" si="81"/>
        <v>0</v>
      </c>
      <c r="BV214" s="16">
        <f>IF($BY$12=1,NORMDIST(BY214,$Y$6,$Y$8,TRUE),IF($BY$12=2,IF(BY214&lt;=$BX$31,0,IF(BY214&gt;=$BX$32,1,(BY214-$BX$31)*$BX$33)),SUM($BU$42:BU214)/$BV$40))</f>
        <v>5.0502583474103746E-2</v>
      </c>
      <c r="BW214" s="16">
        <f t="shared" si="82"/>
        <v>8.940654198273687E-2</v>
      </c>
      <c r="BX214" s="16">
        <f>IF($BY$12&lt;3,BV214,SUM($BZ$42:BZ214)/$BX$40)</f>
        <v>5.0502583474103746E-2</v>
      </c>
      <c r="BY214" s="16">
        <f t="shared" si="106"/>
        <v>17.199999999999974</v>
      </c>
      <c r="BZ214" s="16">
        <f t="shared" si="73"/>
        <v>5.1980547664381982E-3</v>
      </c>
      <c r="CA214" s="16">
        <f t="shared" si="84"/>
        <v>-999</v>
      </c>
      <c r="CB214" s="16" t="str">
        <f t="shared" si="74"/>
        <v/>
      </c>
      <c r="CC214" s="16" t="e">
        <f>IF(CB214="",NA(),COUNTIF(CB214:$CB$704,CB214))</f>
        <v>#N/A</v>
      </c>
      <c r="CD214" s="16" t="e">
        <f t="shared" si="75"/>
        <v>#N/A</v>
      </c>
      <c r="CE214" s="16" t="e">
        <f t="shared" si="76"/>
        <v>#N/A</v>
      </c>
      <c r="CF214" s="16">
        <f t="shared" si="77"/>
        <v>99</v>
      </c>
      <c r="CG214" s="16">
        <f t="shared" si="78"/>
        <v>0</v>
      </c>
      <c r="CH214" s="16">
        <f t="shared" si="105"/>
        <v>0</v>
      </c>
      <c r="CJ214" s="16" t="e">
        <f t="shared" si="79"/>
        <v>#N/A</v>
      </c>
      <c r="CK214" s="16" t="str">
        <f t="shared" si="80"/>
        <v/>
      </c>
    </row>
    <row r="215" spans="1:89" ht="12" customHeight="1">
      <c r="A215" s="211"/>
      <c r="B215" s="211"/>
      <c r="C215" s="211"/>
      <c r="D215" s="211"/>
      <c r="E215" s="211"/>
      <c r="F215" s="211"/>
      <c r="G215" s="211"/>
      <c r="H215" s="211"/>
      <c r="I215" s="211"/>
      <c r="J215" s="211"/>
      <c r="K215" s="211"/>
      <c r="L215" s="211"/>
      <c r="M215" s="211"/>
      <c r="N215" s="211"/>
      <c r="O215" s="211"/>
      <c r="AM215" s="34">
        <f t="shared" si="100"/>
        <v>0.58905285783112049</v>
      </c>
      <c r="AN215" s="34">
        <f t="shared" si="85"/>
        <v>0.2359983567148447</v>
      </c>
      <c r="AO215" s="16">
        <f t="shared" si="86"/>
        <v>54.500000000000504</v>
      </c>
      <c r="AP215" s="16" t="e">
        <f t="shared" si="87"/>
        <v>#N/A</v>
      </c>
      <c r="AQ215" s="16">
        <f t="shared" si="88"/>
        <v>4.5898233393375258E-3</v>
      </c>
      <c r="AR215" s="34">
        <f t="shared" si="101"/>
        <v>0.76155420579016209</v>
      </c>
      <c r="AS215" s="34">
        <f t="shared" si="89"/>
        <v>0.95810629613697529</v>
      </c>
      <c r="AT215" s="540">
        <f t="shared" si="90"/>
        <v>64.200000000000628</v>
      </c>
      <c r="AU215" s="16" t="e">
        <f t="shared" si="91"/>
        <v>#N/A</v>
      </c>
      <c r="AV215" s="16">
        <f t="shared" si="92"/>
        <v>1.4853535554045663E-2</v>
      </c>
      <c r="AW215" s="34">
        <f t="shared" si="102"/>
        <v>0.26231719739735126</v>
      </c>
      <c r="AX215" s="34">
        <f t="shared" si="93"/>
        <v>0.38409707881510258</v>
      </c>
      <c r="AY215" s="16">
        <f t="shared" si="94"/>
        <v>37.200000000000259</v>
      </c>
      <c r="AZ215" s="16" t="e">
        <f t="shared" si="95"/>
        <v>#N/A</v>
      </c>
      <c r="BA215" s="16">
        <f t="shared" si="103"/>
        <v>6.2427733033860204E-3</v>
      </c>
      <c r="BB215" s="34">
        <f t="shared" si="104"/>
        <v>0.30276701785624027</v>
      </c>
      <c r="BC215" s="34">
        <f t="shared" si="96"/>
        <v>0.11453363485634327</v>
      </c>
      <c r="BD215" s="16">
        <f t="shared" si="97"/>
        <v>39.600000000000293</v>
      </c>
      <c r="BE215" s="16" t="e">
        <f t="shared" si="98"/>
        <v>#N/A</v>
      </c>
      <c r="BF215" s="16">
        <f t="shared" si="99"/>
        <v>1.9957057103253116E-3</v>
      </c>
      <c r="BU215" s="16">
        <f t="shared" si="81"/>
        <v>0</v>
      </c>
      <c r="BV215" s="16">
        <f>IF($BY$12=1,NORMDIST(BY215,$Y$6,$Y$8,TRUE),IF($BY$12=2,IF(BY215&lt;=$BX$31,0,IF(BY215&gt;=$BX$32,1,(BY215-$BX$31)*$BX$33)),SUM($BU$42:BU215)/$BV$40))</f>
        <v>5.1024523811238121E-2</v>
      </c>
      <c r="BW215" s="16">
        <f t="shared" si="82"/>
        <v>9.0665641785463866E-2</v>
      </c>
      <c r="BX215" s="16">
        <f>IF($BY$12&lt;3,BV215,SUM($BZ$42:BZ215)/$BX$40)</f>
        <v>5.1024523811238121E-2</v>
      </c>
      <c r="BY215" s="16">
        <f t="shared" si="106"/>
        <v>17.299999999999976</v>
      </c>
      <c r="BZ215" s="16">
        <f t="shared" si="73"/>
        <v>5.2407885425123698E-3</v>
      </c>
      <c r="CA215" s="16">
        <f t="shared" si="84"/>
        <v>-999</v>
      </c>
      <c r="CB215" s="16" t="str">
        <f t="shared" si="74"/>
        <v/>
      </c>
      <c r="CC215" s="16" t="e">
        <f>IF(CB215="",NA(),COUNTIF(CB215:$CB$704,CB215))</f>
        <v>#N/A</v>
      </c>
      <c r="CD215" s="16" t="e">
        <f t="shared" si="75"/>
        <v>#N/A</v>
      </c>
      <c r="CE215" s="16" t="e">
        <f t="shared" si="76"/>
        <v>#N/A</v>
      </c>
      <c r="CF215" s="16">
        <f t="shared" si="77"/>
        <v>99</v>
      </c>
      <c r="CG215" s="16">
        <f t="shared" si="78"/>
        <v>0</v>
      </c>
      <c r="CH215" s="16">
        <f t="shared" si="105"/>
        <v>0</v>
      </c>
      <c r="CJ215" s="16" t="e">
        <f t="shared" si="79"/>
        <v>#N/A</v>
      </c>
      <c r="CK215" s="16" t="str">
        <f t="shared" si="80"/>
        <v/>
      </c>
    </row>
    <row r="216" spans="1:89" ht="12" customHeight="1">
      <c r="A216" s="211"/>
      <c r="B216" s="211"/>
      <c r="C216" s="211"/>
      <c r="D216" s="211"/>
      <c r="E216" s="211"/>
      <c r="F216" s="211"/>
      <c r="G216" s="211"/>
      <c r="H216" s="211"/>
      <c r="I216" s="211"/>
      <c r="J216" s="211"/>
      <c r="K216" s="211"/>
      <c r="L216" s="211"/>
      <c r="M216" s="211"/>
      <c r="N216" s="211"/>
      <c r="O216" s="211"/>
      <c r="AM216" s="34">
        <f t="shared" si="100"/>
        <v>0.63512708432972431</v>
      </c>
      <c r="AN216" s="34">
        <f t="shared" si="85"/>
        <v>9.9949339404702187E-2</v>
      </c>
      <c r="AO216" s="16">
        <f t="shared" si="86"/>
        <v>56.900000000000539</v>
      </c>
      <c r="AP216" s="16" t="e">
        <f t="shared" si="87"/>
        <v>#N/A</v>
      </c>
      <c r="AQ216" s="16">
        <f t="shared" si="88"/>
        <v>1.8785123208897255E-3</v>
      </c>
      <c r="AR216" s="34">
        <f t="shared" si="101"/>
        <v>0.41675160266458988</v>
      </c>
      <c r="AS216" s="34">
        <f t="shared" si="89"/>
        <v>0.44441673345863819</v>
      </c>
      <c r="AT216" s="540">
        <f t="shared" si="90"/>
        <v>45.700000000000379</v>
      </c>
      <c r="AU216" s="16" t="e">
        <f t="shared" si="91"/>
        <v>#N/A</v>
      </c>
      <c r="AV216" s="16">
        <f t="shared" si="92"/>
        <v>8.6622924475072832E-3</v>
      </c>
      <c r="AW216" s="34">
        <f t="shared" si="102"/>
        <v>0.78141305036842823</v>
      </c>
      <c r="AX216" s="34">
        <f t="shared" si="93"/>
        <v>0.66205393709242344</v>
      </c>
      <c r="AY216" s="16">
        <f t="shared" si="94"/>
        <v>65.500000000000554</v>
      </c>
      <c r="AZ216" s="16" t="e">
        <f t="shared" si="95"/>
        <v>#N/A</v>
      </c>
      <c r="BA216" s="16">
        <f t="shared" si="103"/>
        <v>9.7802370483908684E-3</v>
      </c>
      <c r="BB216" s="34">
        <f t="shared" si="104"/>
        <v>0.83750068582594395</v>
      </c>
      <c r="BC216" s="34">
        <f t="shared" si="96"/>
        <v>0.7457683552056551</v>
      </c>
      <c r="BD216" s="16">
        <f t="shared" si="97"/>
        <v>69.600000000000321</v>
      </c>
      <c r="BE216" s="16" t="e">
        <f t="shared" si="98"/>
        <v>#N/A</v>
      </c>
      <c r="BF216" s="16">
        <f t="shared" si="99"/>
        <v>9.2031353914663085E-3</v>
      </c>
      <c r="BU216" s="16">
        <f t="shared" si="81"/>
        <v>0</v>
      </c>
      <c r="BV216" s="16">
        <f>IF($BY$12=1,NORMDIST(BY216,$Y$6,$Y$8,TRUE),IF($BY$12=2,IF(BY216&lt;=$BX$31,0,IF(BY216&gt;=$BX$32,1,(BY216-$BX$31)*$BX$33)),SUM($BU$42:BU216)/$BV$40))</f>
        <v>5.1550748490089338E-2</v>
      </c>
      <c r="BW216" s="16">
        <f t="shared" si="82"/>
        <v>9.1937102838424045E-2</v>
      </c>
      <c r="BX216" s="16">
        <f>IF($BY$12&lt;3,BV216,SUM($BZ$42:BZ216)/$BX$40)</f>
        <v>5.1550748490089338E-2</v>
      </c>
      <c r="BY216" s="16">
        <f t="shared" si="106"/>
        <v>17.399999999999977</v>
      </c>
      <c r="BZ216" s="16">
        <f t="shared" si="73"/>
        <v>5.2837415424381706E-3</v>
      </c>
      <c r="CA216" s="16">
        <f t="shared" si="84"/>
        <v>-999</v>
      </c>
      <c r="CB216" s="16" t="str">
        <f t="shared" si="74"/>
        <v/>
      </c>
      <c r="CC216" s="16" t="e">
        <f>IF(CB216="",NA(),COUNTIF(CB216:$CB$704,CB216))</f>
        <v>#N/A</v>
      </c>
      <c r="CD216" s="16" t="e">
        <f t="shared" si="75"/>
        <v>#N/A</v>
      </c>
      <c r="CE216" s="16" t="e">
        <f t="shared" si="76"/>
        <v>#N/A</v>
      </c>
      <c r="CF216" s="16">
        <f t="shared" si="77"/>
        <v>99</v>
      </c>
      <c r="CG216" s="16">
        <f t="shared" si="78"/>
        <v>0</v>
      </c>
      <c r="CH216" s="16">
        <f t="shared" si="105"/>
        <v>0</v>
      </c>
      <c r="CJ216" s="16" t="e">
        <f t="shared" si="79"/>
        <v>#N/A</v>
      </c>
      <c r="CK216" s="16" t="str">
        <f t="shared" si="80"/>
        <v/>
      </c>
    </row>
    <row r="217" spans="1:89" ht="12" customHeight="1">
      <c r="A217" s="211"/>
      <c r="B217" s="211"/>
      <c r="C217" s="211"/>
      <c r="D217" s="211"/>
      <c r="E217" s="211"/>
      <c r="F217" s="211"/>
      <c r="G217" s="211"/>
      <c r="H217" s="211"/>
      <c r="I217" s="211"/>
      <c r="J217" s="211"/>
      <c r="K217" s="211"/>
      <c r="L217" s="211"/>
      <c r="M217" s="211"/>
      <c r="N217" s="211"/>
      <c r="O217" s="211"/>
      <c r="AM217" s="34">
        <f t="shared" si="100"/>
        <v>0.69338843412697315</v>
      </c>
      <c r="AN217" s="34">
        <f t="shared" si="85"/>
        <v>0.35531937517225742</v>
      </c>
      <c r="AO217" s="16">
        <f t="shared" si="86"/>
        <v>60.100000000000584</v>
      </c>
      <c r="AP217" s="16" t="e">
        <f t="shared" si="87"/>
        <v>#N/A</v>
      </c>
      <c r="AQ217" s="16">
        <f t="shared" si="88"/>
        <v>6.2390861831440204E-3</v>
      </c>
      <c r="AR217" s="34">
        <f t="shared" si="101"/>
        <v>0.11200391687452793</v>
      </c>
      <c r="AS217" s="34">
        <f t="shared" si="89"/>
        <v>0.62479619868099689</v>
      </c>
      <c r="AT217" s="540">
        <f t="shared" si="90"/>
        <v>25.600000000000094</v>
      </c>
      <c r="AU217" s="16" t="e">
        <f t="shared" si="91"/>
        <v>#N/A</v>
      </c>
      <c r="AV217" s="16">
        <f t="shared" si="92"/>
        <v>5.9212922330824352E-3</v>
      </c>
      <c r="AW217" s="34">
        <f t="shared" si="102"/>
        <v>0.9776254165917635</v>
      </c>
      <c r="AX217" s="34">
        <f t="shared" si="93"/>
        <v>0.87504805065691471</v>
      </c>
      <c r="AY217" s="16">
        <f t="shared" si="94"/>
        <v>90.099999999999156</v>
      </c>
      <c r="AZ217" s="16" t="e">
        <f t="shared" si="95"/>
        <v>#N/A</v>
      </c>
      <c r="BA217" s="16" t="e">
        <f t="shared" si="103"/>
        <v>#N/A</v>
      </c>
      <c r="BB217" s="34">
        <f t="shared" si="104"/>
        <v>0.24704516865313053</v>
      </c>
      <c r="BC217" s="34">
        <f t="shared" si="96"/>
        <v>0.89811849780380726</v>
      </c>
      <c r="BD217" s="16">
        <f t="shared" si="97"/>
        <v>36.300000000000246</v>
      </c>
      <c r="BE217" s="16" t="e">
        <f t="shared" si="98"/>
        <v>#N/A</v>
      </c>
      <c r="BF217" s="16">
        <f t="shared" si="99"/>
        <v>1.4168464857193282E-2</v>
      </c>
      <c r="BU217" s="16">
        <f t="shared" si="81"/>
        <v>0</v>
      </c>
      <c r="BV217" s="16">
        <f>IF($BY$12=1,NORMDIST(BY217,$Y$6,$Y$8,TRUE),IF($BY$12=2,IF(BY217&lt;=$BX$31,0,IF(BY217&gt;=$BX$32,1,(BY217-$BX$31)*$BX$33)),SUM($BU$42:BU217)/$BV$40))</f>
        <v>5.208127941521945E-2</v>
      </c>
      <c r="BW217" s="16">
        <f t="shared" si="82"/>
        <v>9.3220984614261634E-2</v>
      </c>
      <c r="BX217" s="16">
        <f>IF($BY$12&lt;3,BV217,SUM($BZ$42:BZ217)/$BX$40)</f>
        <v>5.208127941521945E-2</v>
      </c>
      <c r="BY217" s="16">
        <f t="shared" si="106"/>
        <v>17.499999999999979</v>
      </c>
      <c r="BZ217" s="16">
        <f t="shared" si="73"/>
        <v>5.3269134065292425E-3</v>
      </c>
      <c r="CA217" s="16">
        <f t="shared" si="84"/>
        <v>-999</v>
      </c>
      <c r="CB217" s="16" t="str">
        <f t="shared" si="74"/>
        <v/>
      </c>
      <c r="CC217" s="16" t="e">
        <f>IF(CB217="",NA(),COUNTIF(CB217:$CB$704,CB217))</f>
        <v>#N/A</v>
      </c>
      <c r="CD217" s="16" t="e">
        <f t="shared" si="75"/>
        <v>#N/A</v>
      </c>
      <c r="CE217" s="16" t="e">
        <f t="shared" si="76"/>
        <v>#N/A</v>
      </c>
      <c r="CF217" s="16">
        <f t="shared" si="77"/>
        <v>99</v>
      </c>
      <c r="CG217" s="16">
        <f t="shared" si="78"/>
        <v>0</v>
      </c>
      <c r="CH217" s="16">
        <f t="shared" si="105"/>
        <v>0</v>
      </c>
      <c r="CJ217" s="16" t="e">
        <f t="shared" si="79"/>
        <v>#N/A</v>
      </c>
      <c r="CK217" s="16" t="str">
        <f t="shared" si="80"/>
        <v/>
      </c>
    </row>
    <row r="218" spans="1:89" ht="12" customHeight="1">
      <c r="A218" s="211"/>
      <c r="B218" s="211"/>
      <c r="C218" s="211"/>
      <c r="D218" s="211"/>
      <c r="E218" s="211"/>
      <c r="F218" s="211"/>
      <c r="G218" s="211"/>
      <c r="H218" s="211"/>
      <c r="I218" s="211"/>
      <c r="J218" s="211"/>
      <c r="K218" s="211"/>
      <c r="L218" s="211"/>
      <c r="M218" s="211"/>
      <c r="N218" s="211"/>
      <c r="O218" s="211"/>
      <c r="AM218" s="34">
        <f t="shared" si="100"/>
        <v>0.37087445147335529</v>
      </c>
      <c r="AN218" s="34">
        <f t="shared" si="85"/>
        <v>0.33610142208635807</v>
      </c>
      <c r="AO218" s="16">
        <f t="shared" si="86"/>
        <v>43.400000000000347</v>
      </c>
      <c r="AP218" s="16" t="e">
        <f t="shared" si="87"/>
        <v>#N/A</v>
      </c>
      <c r="AQ218" s="16">
        <f t="shared" si="88"/>
        <v>6.3489672323606243E-3</v>
      </c>
      <c r="AR218" s="34">
        <f t="shared" si="101"/>
        <v>0.10916055180132389</v>
      </c>
      <c r="AS218" s="34">
        <f t="shared" si="89"/>
        <v>0.93710041232407093</v>
      </c>
      <c r="AT218" s="540">
        <f t="shared" si="90"/>
        <v>25.30000000000009</v>
      </c>
      <c r="AU218" s="16" t="e">
        <f t="shared" si="91"/>
        <v>#N/A</v>
      </c>
      <c r="AV218" s="16">
        <f t="shared" si="92"/>
        <v>8.7190225031177817E-3</v>
      </c>
      <c r="AW218" s="34">
        <f t="shared" si="102"/>
        <v>0.88219380564987659</v>
      </c>
      <c r="AX218" s="34">
        <f t="shared" si="93"/>
        <v>0.5250182393938303</v>
      </c>
      <c r="AY218" s="16">
        <f t="shared" si="94"/>
        <v>73.700000000000088</v>
      </c>
      <c r="AZ218" s="16" t="e">
        <f t="shared" si="95"/>
        <v>#N/A</v>
      </c>
      <c r="BA218" s="16">
        <f t="shared" si="103"/>
        <v>5.1895640570342773E-3</v>
      </c>
      <c r="BB218" s="34">
        <f t="shared" si="104"/>
        <v>0.65357854403555393</v>
      </c>
      <c r="BC218" s="34">
        <f t="shared" si="96"/>
        <v>0.93687661178410053</v>
      </c>
      <c r="BD218" s="16">
        <f t="shared" si="97"/>
        <v>57.800000000000551</v>
      </c>
      <c r="BE218" s="16" t="e">
        <f t="shared" si="98"/>
        <v>#N/A</v>
      </c>
      <c r="BF218" s="16">
        <f t="shared" si="99"/>
        <v>1.7319460998654859E-2</v>
      </c>
      <c r="BU218" s="16">
        <f t="shared" si="81"/>
        <v>0</v>
      </c>
      <c r="BV218" s="16">
        <f>IF($BY$12=1,NORMDIST(BY218,$Y$6,$Y$8,TRUE),IF($BY$12=2,IF(BY218&lt;=$BX$31,0,IF(BY218&gt;=$BX$32,1,(BY218-$BX$31)*$BX$33)),SUM($BU$42:BU218)/$BV$40))</f>
        <v>5.2616138454252059E-2</v>
      </c>
      <c r="BW218" s="16">
        <f t="shared" si="82"/>
        <v>9.4517346099865507E-2</v>
      </c>
      <c r="BX218" s="16">
        <f>IF($BY$12&lt;3,BV218,SUM($BZ$42:BZ218)/$BX$40)</f>
        <v>5.2616138454252059E-2</v>
      </c>
      <c r="BY218" s="16">
        <f t="shared" si="106"/>
        <v>17.59999999999998</v>
      </c>
      <c r="BZ218" s="16">
        <f t="shared" si="73"/>
        <v>5.3703037556741828E-3</v>
      </c>
      <c r="CA218" s="16">
        <f t="shared" si="84"/>
        <v>-999</v>
      </c>
      <c r="CB218" s="16" t="str">
        <f t="shared" si="74"/>
        <v/>
      </c>
      <c r="CC218" s="16" t="e">
        <f>IF(CB218="",NA(),COUNTIF(CB218:$CB$704,CB218))</f>
        <v>#N/A</v>
      </c>
      <c r="CD218" s="16" t="e">
        <f t="shared" si="75"/>
        <v>#N/A</v>
      </c>
      <c r="CE218" s="16" t="e">
        <f t="shared" si="76"/>
        <v>#N/A</v>
      </c>
      <c r="CF218" s="16">
        <f t="shared" si="77"/>
        <v>99</v>
      </c>
      <c r="CG218" s="16">
        <f t="shared" si="78"/>
        <v>0</v>
      </c>
      <c r="CH218" s="16">
        <f t="shared" si="105"/>
        <v>0</v>
      </c>
      <c r="CJ218" s="16" t="e">
        <f t="shared" si="79"/>
        <v>#N/A</v>
      </c>
      <c r="CK218" s="16" t="str">
        <f t="shared" si="80"/>
        <v/>
      </c>
    </row>
    <row r="219" spans="1:89" ht="12" customHeight="1">
      <c r="A219" s="211"/>
      <c r="B219" s="211"/>
      <c r="C219" s="211"/>
      <c r="D219" s="211"/>
      <c r="E219" s="211"/>
      <c r="F219" s="211"/>
      <c r="G219" s="211"/>
      <c r="H219" s="211"/>
      <c r="I219" s="211"/>
      <c r="J219" s="211"/>
      <c r="K219" s="211"/>
      <c r="L219" s="211"/>
      <c r="M219" s="211"/>
      <c r="N219" s="211"/>
      <c r="O219" s="211"/>
      <c r="AM219" s="34">
        <f t="shared" si="100"/>
        <v>0.59018206782639027</v>
      </c>
      <c r="AN219" s="34">
        <f t="shared" si="85"/>
        <v>0.35063078440725803</v>
      </c>
      <c r="AO219" s="16">
        <f t="shared" si="86"/>
        <v>54.500000000000504</v>
      </c>
      <c r="AP219" s="16" t="e">
        <f t="shared" si="87"/>
        <v>#N/A</v>
      </c>
      <c r="AQ219" s="16">
        <f t="shared" si="88"/>
        <v>6.8192566260416986E-3</v>
      </c>
      <c r="AR219" s="34">
        <f t="shared" si="101"/>
        <v>0.30554606951773167</v>
      </c>
      <c r="AS219" s="34">
        <f t="shared" si="89"/>
        <v>0.66727622039616108</v>
      </c>
      <c r="AT219" s="540">
        <f t="shared" si="90"/>
        <v>39.800000000000296</v>
      </c>
      <c r="AU219" s="16" t="e">
        <f t="shared" si="91"/>
        <v>#N/A</v>
      </c>
      <c r="AV219" s="16">
        <f t="shared" si="92"/>
        <v>1.1687072039041247E-2</v>
      </c>
      <c r="AW219" s="34">
        <f t="shared" si="102"/>
        <v>0.21917541511356831</v>
      </c>
      <c r="AX219" s="34">
        <f t="shared" si="93"/>
        <v>4.1607953608036041E-4</v>
      </c>
      <c r="AY219" s="16">
        <f t="shared" si="94"/>
        <v>34.50000000000022</v>
      </c>
      <c r="AZ219" s="16" t="e">
        <f t="shared" si="95"/>
        <v>#N/A</v>
      </c>
      <c r="BA219" s="16">
        <f t="shared" si="103"/>
        <v>6.1465633928893337E-6</v>
      </c>
      <c r="BB219" s="34">
        <f t="shared" si="104"/>
        <v>0.29723695851862431</v>
      </c>
      <c r="BC219" s="34">
        <f t="shared" si="96"/>
        <v>0.44926670379936695</v>
      </c>
      <c r="BD219" s="16">
        <f t="shared" si="97"/>
        <v>39.300000000000288</v>
      </c>
      <c r="BE219" s="16" t="e">
        <f t="shared" si="98"/>
        <v>#N/A</v>
      </c>
      <c r="BF219" s="16">
        <f t="shared" si="99"/>
        <v>7.7666070797362515E-3</v>
      </c>
      <c r="BU219" s="16">
        <f t="shared" si="81"/>
        <v>0</v>
      </c>
      <c r="BV219" s="16">
        <f>IF($BY$12=1,NORMDIST(BY219,$Y$6,$Y$8,TRUE),IF($BY$12=2,IF(BY219&lt;=$BX$31,0,IF(BY219&gt;=$BX$32,1,(BY219-$BX$31)*$BX$33)),SUM($BU$42:BU219)/$BV$40))</f>
        <v>5.3155347435922762E-2</v>
      </c>
      <c r="BW219" s="16">
        <f t="shared" si="82"/>
        <v>9.5826245784521022E-2</v>
      </c>
      <c r="BX219" s="16">
        <f>IF($BY$12&lt;3,BV219,SUM($BZ$42:BZ219)/$BX$40)</f>
        <v>5.3155347435922762E-2</v>
      </c>
      <c r="BY219" s="16">
        <f t="shared" si="106"/>
        <v>17.699999999999982</v>
      </c>
      <c r="BZ219" s="16">
        <f t="shared" si="73"/>
        <v>5.4139121912158824E-3</v>
      </c>
      <c r="CA219" s="16">
        <f t="shared" si="84"/>
        <v>-999</v>
      </c>
      <c r="CB219" s="16" t="str">
        <f t="shared" si="74"/>
        <v/>
      </c>
      <c r="CC219" s="16" t="e">
        <f>IF(CB219="",NA(),COUNTIF(CB219:$CB$704,CB219))</f>
        <v>#N/A</v>
      </c>
      <c r="CD219" s="16" t="e">
        <f t="shared" si="75"/>
        <v>#N/A</v>
      </c>
      <c r="CE219" s="16" t="e">
        <f t="shared" si="76"/>
        <v>#N/A</v>
      </c>
      <c r="CF219" s="16">
        <f t="shared" si="77"/>
        <v>99</v>
      </c>
      <c r="CG219" s="16">
        <f t="shared" si="78"/>
        <v>0</v>
      </c>
      <c r="CH219" s="16">
        <f t="shared" si="105"/>
        <v>0</v>
      </c>
      <c r="CJ219" s="16" t="e">
        <f t="shared" si="79"/>
        <v>#N/A</v>
      </c>
      <c r="CK219" s="16" t="str">
        <f t="shared" si="80"/>
        <v/>
      </c>
    </row>
    <row r="220" spans="1:89" ht="12" customHeight="1">
      <c r="A220" s="211"/>
      <c r="B220" s="211"/>
      <c r="C220" s="211"/>
      <c r="D220" s="211"/>
      <c r="E220" s="211"/>
      <c r="F220" s="211"/>
      <c r="G220" s="211"/>
      <c r="H220" s="211"/>
      <c r="I220" s="211"/>
      <c r="J220" s="211"/>
      <c r="K220" s="211"/>
      <c r="L220" s="211"/>
      <c r="M220" s="211"/>
      <c r="N220" s="211"/>
      <c r="O220" s="211"/>
      <c r="AM220" s="34">
        <f t="shared" si="100"/>
        <v>0.40227277763187885</v>
      </c>
      <c r="AN220" s="34">
        <f t="shared" si="85"/>
        <v>5.8648977428674698E-3</v>
      </c>
      <c r="AO220" s="16">
        <f t="shared" si="86"/>
        <v>45.000000000000369</v>
      </c>
      <c r="AP220" s="16" t="e">
        <f t="shared" si="87"/>
        <v>#N/A</v>
      </c>
      <c r="AQ220" s="16">
        <f t="shared" si="88"/>
        <v>1.1338844827379278E-4</v>
      </c>
      <c r="AR220" s="34">
        <f t="shared" si="101"/>
        <v>0.87855247594416142</v>
      </c>
      <c r="AS220" s="34">
        <f t="shared" si="89"/>
        <v>0.18062380142509937</v>
      </c>
      <c r="AT220" s="540">
        <f t="shared" si="90"/>
        <v>73.300000000000111</v>
      </c>
      <c r="AU220" s="16" t="e">
        <f t="shared" si="91"/>
        <v>#N/A</v>
      </c>
      <c r="AV220" s="16">
        <f t="shared" si="92"/>
        <v>1.8278366633328518E-3</v>
      </c>
      <c r="AW220" s="34">
        <f t="shared" si="102"/>
        <v>0.80076983757317066</v>
      </c>
      <c r="AX220" s="34">
        <f t="shared" si="93"/>
        <v>0.7857395950704813</v>
      </c>
      <c r="AY220" s="16">
        <f t="shared" si="94"/>
        <v>66.80000000000048</v>
      </c>
      <c r="AZ220" s="16" t="e">
        <f t="shared" si="95"/>
        <v>#N/A</v>
      </c>
      <c r="BA220" s="16">
        <f t="shared" si="103"/>
        <v>1.1013861620481728E-2</v>
      </c>
      <c r="BB220" s="34">
        <f t="shared" si="104"/>
        <v>0.87846081890165806</v>
      </c>
      <c r="BC220" s="34">
        <f t="shared" si="96"/>
        <v>0.6090072263032198</v>
      </c>
      <c r="BD220" s="16">
        <f t="shared" si="97"/>
        <v>73.300000000000111</v>
      </c>
      <c r="BE220" s="16" t="e">
        <f t="shared" si="98"/>
        <v>#N/A</v>
      </c>
      <c r="BF220" s="16">
        <f t="shared" si="99"/>
        <v>6.1628961836088748E-3</v>
      </c>
      <c r="BU220" s="16">
        <f t="shared" si="81"/>
        <v>0</v>
      </c>
      <c r="BV220" s="16">
        <f>IF($BY$12=1,NORMDIST(BY220,$Y$6,$Y$8,TRUE),IF($BY$12=2,IF(BY220&lt;=$BX$31,0,IF(BY220&gt;=$BX$32,1,(BY220-$BX$31)*$BX$33)),SUM($BU$42:BU220)/$BV$40))</f>
        <v>5.3698928148119607E-2</v>
      </c>
      <c r="BW220" s="16">
        <f t="shared" si="82"/>
        <v>9.7147741648015942E-2</v>
      </c>
      <c r="BX220" s="16">
        <f>IF($BY$12&lt;3,BV220,SUM($BZ$42:BZ220)/$BX$40)</f>
        <v>5.3698928148119607E-2</v>
      </c>
      <c r="BY220" s="16">
        <f t="shared" si="106"/>
        <v>17.799999999999983</v>
      </c>
      <c r="BZ220" s="16">
        <f t="shared" si="73"/>
        <v>5.4577382948323618E-3</v>
      </c>
      <c r="CA220" s="16">
        <f t="shared" si="84"/>
        <v>-999</v>
      </c>
      <c r="CB220" s="16" t="str">
        <f t="shared" si="74"/>
        <v/>
      </c>
      <c r="CC220" s="16" t="e">
        <f>IF(CB220="",NA(),COUNTIF(CB220:$CB$704,CB220))</f>
        <v>#N/A</v>
      </c>
      <c r="CD220" s="16" t="e">
        <f t="shared" si="75"/>
        <v>#N/A</v>
      </c>
      <c r="CE220" s="16" t="e">
        <f t="shared" si="76"/>
        <v>#N/A</v>
      </c>
      <c r="CF220" s="16">
        <f t="shared" si="77"/>
        <v>99</v>
      </c>
      <c r="CG220" s="16">
        <f t="shared" si="78"/>
        <v>0</v>
      </c>
      <c r="CH220" s="16">
        <f t="shared" si="105"/>
        <v>0</v>
      </c>
      <c r="CJ220" s="16" t="e">
        <f t="shared" si="79"/>
        <v>#N/A</v>
      </c>
      <c r="CK220" s="16" t="str">
        <f t="shared" si="80"/>
        <v/>
      </c>
    </row>
    <row r="221" spans="1:89" ht="12" customHeight="1">
      <c r="A221" s="211"/>
      <c r="B221" s="211"/>
      <c r="C221" s="211"/>
      <c r="D221" s="211"/>
      <c r="E221" s="211"/>
      <c r="F221" s="211"/>
      <c r="G221" s="211"/>
      <c r="H221" s="211"/>
      <c r="I221" s="211"/>
      <c r="J221" s="211"/>
      <c r="K221" s="211"/>
      <c r="L221" s="211"/>
      <c r="M221" s="211"/>
      <c r="N221" s="211"/>
      <c r="O221" s="211"/>
      <c r="AM221" s="34">
        <f t="shared" si="100"/>
        <v>5.3672345355153084E-2</v>
      </c>
      <c r="AN221" s="34">
        <f t="shared" si="85"/>
        <v>0.15129202045500278</v>
      </c>
      <c r="AO221" s="16">
        <f t="shared" si="86"/>
        <v>17.699999999999982</v>
      </c>
      <c r="AP221" s="16" t="e">
        <f t="shared" si="87"/>
        <v>#N/A</v>
      </c>
      <c r="AQ221" s="16">
        <f t="shared" si="88"/>
        <v>8.1908171397502227E-4</v>
      </c>
      <c r="AR221" s="34">
        <f t="shared" si="101"/>
        <v>0.36236041225492954</v>
      </c>
      <c r="AS221" s="34">
        <f t="shared" si="89"/>
        <v>0.83323465473949909</v>
      </c>
      <c r="AT221" s="540">
        <f t="shared" si="90"/>
        <v>42.90000000000034</v>
      </c>
      <c r="AU221" s="16" t="e">
        <f t="shared" si="91"/>
        <v>#N/A</v>
      </c>
      <c r="AV221" s="16">
        <f t="shared" si="92"/>
        <v>1.5605633862734445E-2</v>
      </c>
      <c r="AW221" s="34">
        <f t="shared" si="102"/>
        <v>0.16531954891979694</v>
      </c>
      <c r="AX221" s="34">
        <f t="shared" si="93"/>
        <v>0.63835210539400578</v>
      </c>
      <c r="AY221" s="16">
        <f t="shared" si="94"/>
        <v>30.500000000000163</v>
      </c>
      <c r="AZ221" s="16" t="e">
        <f t="shared" si="95"/>
        <v>#N/A</v>
      </c>
      <c r="BA221" s="16">
        <f t="shared" si="103"/>
        <v>7.9161637516200686E-3</v>
      </c>
      <c r="BB221" s="34">
        <f t="shared" si="104"/>
        <v>0.18012613989412785</v>
      </c>
      <c r="BC221" s="34">
        <f t="shared" si="96"/>
        <v>0.7405810970813036</v>
      </c>
      <c r="BD221" s="16">
        <f t="shared" si="97"/>
        <v>31.70000000000018</v>
      </c>
      <c r="BE221" s="16" t="e">
        <f t="shared" si="98"/>
        <v>#N/A</v>
      </c>
      <c r="BF221" s="16">
        <f t="shared" si="99"/>
        <v>9.7196716555187825E-3</v>
      </c>
      <c r="BU221" s="16">
        <f t="shared" si="81"/>
        <v>0</v>
      </c>
      <c r="BV221" s="16">
        <f>IF($BY$12=1,NORMDIST(BY221,$Y$6,$Y$8,TRUE),IF($BY$12=2,IF(BY221&lt;=$BX$31,0,IF(BY221&gt;=$BX$32,1,(BY221-$BX$31)*$BX$33)),SUM($BU$42:BU221)/$BV$40))</f>
        <v>5.424690233591023E-2</v>
      </c>
      <c r="BW221" s="16">
        <f t="shared" si="82"/>
        <v>9.8481891148701373E-2</v>
      </c>
      <c r="BX221" s="16">
        <f>IF($BY$12&lt;3,BV221,SUM($BZ$42:BZ221)/$BX$40)</f>
        <v>5.424690233591023E-2</v>
      </c>
      <c r="BY221" s="16">
        <f t="shared" si="106"/>
        <v>17.899999999999984</v>
      </c>
      <c r="BZ221" s="16">
        <f t="shared" si="73"/>
        <v>5.5017816284190762E-3</v>
      </c>
      <c r="CA221" s="16">
        <f t="shared" si="84"/>
        <v>-999</v>
      </c>
      <c r="CB221" s="16" t="str">
        <f t="shared" si="74"/>
        <v/>
      </c>
      <c r="CC221" s="16" t="e">
        <f>IF(CB221="",NA(),COUNTIF(CB221:$CB$704,CB221))</f>
        <v>#N/A</v>
      </c>
      <c r="CD221" s="16" t="e">
        <f t="shared" si="75"/>
        <v>#N/A</v>
      </c>
      <c r="CE221" s="16" t="e">
        <f t="shared" si="76"/>
        <v>#N/A</v>
      </c>
      <c r="CF221" s="16">
        <f t="shared" si="77"/>
        <v>99</v>
      </c>
      <c r="CG221" s="16">
        <f t="shared" si="78"/>
        <v>0</v>
      </c>
      <c r="CH221" s="16">
        <f t="shared" si="105"/>
        <v>0</v>
      </c>
      <c r="CJ221" s="16" t="e">
        <f t="shared" si="79"/>
        <v>#N/A</v>
      </c>
      <c r="CK221" s="16" t="str">
        <f t="shared" si="80"/>
        <v/>
      </c>
    </row>
    <row r="222" spans="1:89" ht="12" customHeight="1">
      <c r="A222" s="211"/>
      <c r="B222" s="211"/>
      <c r="C222" s="211"/>
      <c r="D222" s="211"/>
      <c r="E222" s="211"/>
      <c r="F222" s="211"/>
      <c r="G222" s="211"/>
      <c r="H222" s="211"/>
      <c r="I222" s="211"/>
      <c r="J222" s="211"/>
      <c r="K222" s="211"/>
      <c r="L222" s="211"/>
      <c r="M222" s="211"/>
      <c r="N222" s="211"/>
      <c r="O222" s="211"/>
      <c r="AM222" s="34">
        <f t="shared" si="100"/>
        <v>0.17134629376232624</v>
      </c>
      <c r="AN222" s="34">
        <f t="shared" si="85"/>
        <v>0.16512508131563663</v>
      </c>
      <c r="AO222" s="16">
        <f t="shared" si="86"/>
        <v>31.000000000000171</v>
      </c>
      <c r="AP222" s="16" t="e">
        <f t="shared" si="87"/>
        <v>#N/A</v>
      </c>
      <c r="AQ222" s="16">
        <f t="shared" si="88"/>
        <v>2.0975761179224542E-3</v>
      </c>
      <c r="AR222" s="34">
        <f t="shared" si="101"/>
        <v>0.37944550253450871</v>
      </c>
      <c r="AS222" s="34">
        <f t="shared" si="89"/>
        <v>0.95813662000000477</v>
      </c>
      <c r="AT222" s="540">
        <f t="shared" si="90"/>
        <v>43.800000000000352</v>
      </c>
      <c r="AU222" s="16" t="e">
        <f t="shared" si="91"/>
        <v>#N/A</v>
      </c>
      <c r="AV222" s="16">
        <f t="shared" si="92"/>
        <v>1.821543971881796E-2</v>
      </c>
      <c r="AW222" s="34">
        <f t="shared" si="102"/>
        <v>0.35251742787659168</v>
      </c>
      <c r="AX222" s="34">
        <f t="shared" si="93"/>
        <v>0.86149247922003269</v>
      </c>
      <c r="AY222" s="16">
        <f t="shared" si="94"/>
        <v>42.400000000000333</v>
      </c>
      <c r="AZ222" s="16" t="e">
        <f t="shared" si="95"/>
        <v>#N/A</v>
      </c>
      <c r="BA222" s="16">
        <f t="shared" si="103"/>
        <v>1.5987313785076063E-2</v>
      </c>
      <c r="BB222" s="34">
        <f t="shared" si="104"/>
        <v>0.59836729802191257</v>
      </c>
      <c r="BC222" s="34">
        <f t="shared" si="96"/>
        <v>0.75899400003254414</v>
      </c>
      <c r="BD222" s="16">
        <f t="shared" si="97"/>
        <v>54.90000000000051</v>
      </c>
      <c r="BE222" s="16" t="e">
        <f t="shared" si="98"/>
        <v>#N/A</v>
      </c>
      <c r="BF222" s="16">
        <f t="shared" si="99"/>
        <v>1.4692109272932557E-2</v>
      </c>
      <c r="BU222" s="16">
        <f t="shared" si="81"/>
        <v>0</v>
      </c>
      <c r="BV222" s="16">
        <f>IF($BY$12=1,NORMDIST(BY222,$Y$6,$Y$8,TRUE),IF($BY$12=2,IF(BY222&lt;=$BX$31,0,IF(BY222&gt;=$BX$32,1,(BY222-$BX$31)*$BX$33)),SUM($BU$42:BU222)/$BV$40))</f>
        <v>5.4799291699557884E-2</v>
      </c>
      <c r="BW222" s="16">
        <f t="shared" si="82"/>
        <v>9.9828751211509789E-2</v>
      </c>
      <c r="BX222" s="16">
        <f>IF($BY$12&lt;3,BV222,SUM($BZ$42:BZ222)/$BX$40)</f>
        <v>5.4799291699557884E-2</v>
      </c>
      <c r="BY222" s="16">
        <f t="shared" si="106"/>
        <v>17.999999999999986</v>
      </c>
      <c r="BZ222" s="16">
        <f t="shared" si="73"/>
        <v>5.5460417339727704E-3</v>
      </c>
      <c r="CA222" s="16">
        <f t="shared" si="84"/>
        <v>-999</v>
      </c>
      <c r="CB222" s="16" t="str">
        <f t="shared" si="74"/>
        <v/>
      </c>
      <c r="CC222" s="16" t="e">
        <f>IF(CB222="",NA(),COUNTIF(CB222:$CB$704,CB222))</f>
        <v>#N/A</v>
      </c>
      <c r="CD222" s="16" t="e">
        <f t="shared" si="75"/>
        <v>#N/A</v>
      </c>
      <c r="CE222" s="16" t="e">
        <f t="shared" si="76"/>
        <v>#N/A</v>
      </c>
      <c r="CF222" s="16">
        <f t="shared" si="77"/>
        <v>99</v>
      </c>
      <c r="CG222" s="16">
        <f t="shared" si="78"/>
        <v>0</v>
      </c>
      <c r="CH222" s="16">
        <f t="shared" si="105"/>
        <v>0</v>
      </c>
      <c r="CJ222" s="16" t="e">
        <f t="shared" si="79"/>
        <v>#N/A</v>
      </c>
      <c r="CK222" s="16" t="str">
        <f t="shared" si="80"/>
        <v/>
      </c>
    </row>
    <row r="223" spans="1:89" ht="12" customHeight="1">
      <c r="A223" s="211"/>
      <c r="B223" s="211"/>
      <c r="C223" s="211"/>
      <c r="D223" s="211"/>
      <c r="E223" s="211"/>
      <c r="F223" s="211"/>
      <c r="G223" s="211"/>
      <c r="H223" s="211"/>
      <c r="I223" s="211"/>
      <c r="J223" s="211"/>
      <c r="K223" s="211"/>
      <c r="L223" s="211"/>
      <c r="M223" s="211"/>
      <c r="N223" s="211"/>
      <c r="O223" s="211"/>
      <c r="AM223" s="34">
        <f t="shared" si="100"/>
        <v>0.95978242345154285</v>
      </c>
      <c r="AN223" s="34">
        <f t="shared" si="85"/>
        <v>0.71168693341314793</v>
      </c>
      <c r="AO223" s="16">
        <f t="shared" si="86"/>
        <v>84.899999999999451</v>
      </c>
      <c r="AP223" s="16" t="e">
        <f t="shared" si="87"/>
        <v>#N/A</v>
      </c>
      <c r="AQ223" s="16">
        <f t="shared" si="88"/>
        <v>3.0970647487371288E-3</v>
      </c>
      <c r="AR223" s="34">
        <f t="shared" si="101"/>
        <v>0.65577610768377781</v>
      </c>
      <c r="AS223" s="34">
        <f t="shared" si="89"/>
        <v>0.60192717798054218</v>
      </c>
      <c r="AT223" s="540">
        <f t="shared" si="90"/>
        <v>58.000000000000554</v>
      </c>
      <c r="AU223" s="16" t="e">
        <f t="shared" si="91"/>
        <v>#N/A</v>
      </c>
      <c r="AV223" s="16">
        <f t="shared" si="92"/>
        <v>1.1083590314363763E-2</v>
      </c>
      <c r="AW223" s="34">
        <f t="shared" si="102"/>
        <v>0.99160255677998066</v>
      </c>
      <c r="AX223" s="34">
        <f t="shared" si="93"/>
        <v>0.45863304473459721</v>
      </c>
      <c r="AY223" s="16">
        <f t="shared" si="94"/>
        <v>97.799999999998718</v>
      </c>
      <c r="AZ223" s="16" t="e">
        <f t="shared" si="95"/>
        <v>#N/A</v>
      </c>
      <c r="BA223" s="16">
        <f t="shared" si="103"/>
        <v>5.2599141732449155E-4</v>
      </c>
      <c r="BB223" s="34">
        <f t="shared" si="104"/>
        <v>0.8672474417835474</v>
      </c>
      <c r="BC223" s="34">
        <f t="shared" si="96"/>
        <v>0.69205221720039845</v>
      </c>
      <c r="BD223" s="16">
        <f t="shared" si="97"/>
        <v>72.200000000000173</v>
      </c>
      <c r="BE223" s="16" t="e">
        <f t="shared" si="98"/>
        <v>#N/A</v>
      </c>
      <c r="BF223" s="16">
        <f t="shared" si="99"/>
        <v>7.4554149283500614E-3</v>
      </c>
      <c r="BU223" s="16">
        <f t="shared" si="81"/>
        <v>0</v>
      </c>
      <c r="BV223" s="16">
        <f>IF($BY$12=1,NORMDIST(BY223,$Y$6,$Y$8,TRUE),IF($BY$12=2,IF(BY223&lt;=$BX$31,0,IF(BY223&gt;=$BX$32,1,(BY223-$BX$31)*$BX$33)),SUM($BU$42:BU223)/$BV$40))</f>
        <v>5.5356117892525591E-2</v>
      </c>
      <c r="BW223" s="16">
        <f t="shared" si="82"/>
        <v>0.10118837821593145</v>
      </c>
      <c r="BX223" s="16">
        <f>IF($BY$12&lt;3,BV223,SUM($BZ$42:BZ223)/$BX$40)</f>
        <v>5.5356117892525591E-2</v>
      </c>
      <c r="BY223" s="16">
        <f t="shared" si="106"/>
        <v>18.099999999999987</v>
      </c>
      <c r="BZ223" s="16">
        <f t="shared" si="73"/>
        <v>5.5905181334768798E-3</v>
      </c>
      <c r="CA223" s="16">
        <f t="shared" si="84"/>
        <v>-999</v>
      </c>
      <c r="CB223" s="16" t="str">
        <f t="shared" si="74"/>
        <v/>
      </c>
      <c r="CC223" s="16" t="e">
        <f>IF(CB223="",NA(),COUNTIF(CB223:$CB$704,CB223))</f>
        <v>#N/A</v>
      </c>
      <c r="CD223" s="16" t="e">
        <f t="shared" si="75"/>
        <v>#N/A</v>
      </c>
      <c r="CE223" s="16" t="e">
        <f t="shared" si="76"/>
        <v>#N/A</v>
      </c>
      <c r="CF223" s="16">
        <f t="shared" si="77"/>
        <v>99</v>
      </c>
      <c r="CG223" s="16">
        <f t="shared" si="78"/>
        <v>0</v>
      </c>
      <c r="CH223" s="16">
        <f t="shared" si="105"/>
        <v>0</v>
      </c>
      <c r="CJ223" s="16" t="e">
        <f t="shared" si="79"/>
        <v>#N/A</v>
      </c>
      <c r="CK223" s="16" t="str">
        <f t="shared" si="80"/>
        <v/>
      </c>
    </row>
    <row r="224" spans="1:89" ht="12" customHeight="1">
      <c r="A224" s="211"/>
      <c r="B224" s="211"/>
      <c r="C224" s="211"/>
      <c r="D224" s="211"/>
      <c r="E224" s="211"/>
      <c r="F224" s="211"/>
      <c r="G224" s="211"/>
      <c r="H224" s="211"/>
      <c r="I224" s="211"/>
      <c r="J224" s="211"/>
      <c r="K224" s="211"/>
      <c r="L224" s="211"/>
      <c r="M224" s="211"/>
      <c r="N224" s="211"/>
      <c r="O224" s="211"/>
      <c r="AM224" s="34">
        <f t="shared" si="100"/>
        <v>0.58606161363422871</v>
      </c>
      <c r="AN224" s="34">
        <f t="shared" si="85"/>
        <v>0.75514326430857182</v>
      </c>
      <c r="AO224" s="16">
        <f t="shared" si="86"/>
        <v>54.300000000000502</v>
      </c>
      <c r="AP224" s="16" t="e">
        <f t="shared" si="87"/>
        <v>#N/A</v>
      </c>
      <c r="AQ224" s="16">
        <f t="shared" si="88"/>
        <v>1.4718779250950217E-2</v>
      </c>
      <c r="AR224" s="34">
        <f t="shared" si="101"/>
        <v>0.60485873557627201</v>
      </c>
      <c r="AS224" s="34">
        <f t="shared" si="89"/>
        <v>0.21892628259956837</v>
      </c>
      <c r="AT224" s="540">
        <f t="shared" si="90"/>
        <v>55.300000000000516</v>
      </c>
      <c r="AU224" s="16" t="e">
        <f t="shared" si="91"/>
        <v>#N/A</v>
      </c>
      <c r="AV224" s="16">
        <f t="shared" si="92"/>
        <v>4.2162738213069959E-3</v>
      </c>
      <c r="AW224" s="34">
        <f t="shared" si="102"/>
        <v>0.40957555361092091</v>
      </c>
      <c r="AX224" s="34">
        <f t="shared" si="93"/>
        <v>0.86059140600264072</v>
      </c>
      <c r="AY224" s="16">
        <f t="shared" si="94"/>
        <v>45.400000000000375</v>
      </c>
      <c r="AZ224" s="16" t="e">
        <f t="shared" si="95"/>
        <v>#N/A</v>
      </c>
      <c r="BA224" s="16">
        <f t="shared" si="103"/>
        <v>1.6718218075458677E-2</v>
      </c>
      <c r="BB224" s="34">
        <f t="shared" si="104"/>
        <v>0.16868280805647373</v>
      </c>
      <c r="BC224" s="34">
        <f t="shared" si="96"/>
        <v>0.2734412420541048</v>
      </c>
      <c r="BD224" s="16">
        <f t="shared" si="97"/>
        <v>30.800000000000168</v>
      </c>
      <c r="BE224" s="16" t="e">
        <f t="shared" si="98"/>
        <v>#N/A</v>
      </c>
      <c r="BF224" s="16">
        <f t="shared" si="99"/>
        <v>3.4404970592878249E-3</v>
      </c>
      <c r="BU224" s="16">
        <f t="shared" si="81"/>
        <v>0</v>
      </c>
      <c r="BV224" s="16">
        <f>IF($BY$12=1,NORMDIST(BY224,$Y$6,$Y$8,TRUE),IF($BY$12=2,IF(BY224&lt;=$BX$31,0,IF(BY224&gt;=$BX$32,1,(BY224-$BX$31)*$BX$33)),SUM($BU$42:BU224)/$BV$40))</f>
        <v>5.5917402519469528E-2</v>
      </c>
      <c r="BW224" s="16">
        <f t="shared" si="82"/>
        <v>0.10256082798395105</v>
      </c>
      <c r="BX224" s="16">
        <f>IF($BY$12&lt;3,BV224,SUM($BZ$42:BZ224)/$BX$40)</f>
        <v>5.5917402519469528E-2</v>
      </c>
      <c r="BY224" s="16">
        <f t="shared" si="106"/>
        <v>18.199999999999989</v>
      </c>
      <c r="BZ224" s="16">
        <f t="shared" si="73"/>
        <v>5.6352103287885232E-3</v>
      </c>
      <c r="CA224" s="16">
        <f t="shared" si="84"/>
        <v>-999</v>
      </c>
      <c r="CB224" s="16" t="str">
        <f t="shared" si="74"/>
        <v/>
      </c>
      <c r="CC224" s="16" t="e">
        <f>IF(CB224="",NA(),COUNTIF(CB224:$CB$704,CB224))</f>
        <v>#N/A</v>
      </c>
      <c r="CD224" s="16" t="e">
        <f t="shared" si="75"/>
        <v>#N/A</v>
      </c>
      <c r="CE224" s="16" t="e">
        <f t="shared" si="76"/>
        <v>#N/A</v>
      </c>
      <c r="CF224" s="16">
        <f t="shared" si="77"/>
        <v>99</v>
      </c>
      <c r="CG224" s="16">
        <f t="shared" si="78"/>
        <v>0</v>
      </c>
      <c r="CH224" s="16">
        <f t="shared" si="105"/>
        <v>0</v>
      </c>
      <c r="CJ224" s="16" t="e">
        <f t="shared" si="79"/>
        <v>#N/A</v>
      </c>
      <c r="CK224" s="16" t="str">
        <f t="shared" si="80"/>
        <v/>
      </c>
    </row>
    <row r="225" spans="1:89" ht="12" customHeight="1">
      <c r="A225" s="211"/>
      <c r="B225" s="211"/>
      <c r="C225" s="211"/>
      <c r="D225" s="211"/>
      <c r="E225" s="211"/>
      <c r="F225" s="211"/>
      <c r="G225" s="211"/>
      <c r="H225" s="211"/>
      <c r="I225" s="211"/>
      <c r="J225" s="211"/>
      <c r="K225" s="211"/>
      <c r="L225" s="211"/>
      <c r="M225" s="211"/>
      <c r="N225" s="211"/>
      <c r="O225" s="211"/>
      <c r="AM225" s="34">
        <f t="shared" si="100"/>
        <v>0.45994815416634083</v>
      </c>
      <c r="AN225" s="34">
        <f t="shared" si="85"/>
        <v>0.52098941244184971</v>
      </c>
      <c r="AO225" s="16">
        <f t="shared" si="86"/>
        <v>47.900000000000411</v>
      </c>
      <c r="AP225" s="16" t="e">
        <f t="shared" si="87"/>
        <v>#N/A</v>
      </c>
      <c r="AQ225" s="16">
        <f t="shared" si="88"/>
        <v>1.0335105624712602E-2</v>
      </c>
      <c r="AR225" s="34">
        <f t="shared" si="101"/>
        <v>0.67203735746443272</v>
      </c>
      <c r="AS225" s="34">
        <f t="shared" si="89"/>
        <v>0.3111299742013216</v>
      </c>
      <c r="AT225" s="540">
        <f t="shared" si="90"/>
        <v>58.900000000000567</v>
      </c>
      <c r="AU225" s="16" t="e">
        <f t="shared" si="91"/>
        <v>#N/A</v>
      </c>
      <c r="AV225" s="16">
        <f t="shared" si="92"/>
        <v>5.6211003783075983E-3</v>
      </c>
      <c r="AW225" s="34">
        <f t="shared" si="102"/>
        <v>0.2477146852761507</v>
      </c>
      <c r="AX225" s="34">
        <f t="shared" si="93"/>
        <v>7.3052415624260902E-2</v>
      </c>
      <c r="AY225" s="16">
        <f t="shared" si="94"/>
        <v>36.300000000000246</v>
      </c>
      <c r="AZ225" s="16" t="e">
        <f t="shared" si="95"/>
        <v>#N/A</v>
      </c>
      <c r="BA225" s="16">
        <f t="shared" si="103"/>
        <v>1.1524543654722957E-3</v>
      </c>
      <c r="BB225" s="34">
        <f t="shared" si="104"/>
        <v>0.97527719475328922</v>
      </c>
      <c r="BC225" s="34">
        <f t="shared" si="96"/>
        <v>0.62613642401993275</v>
      </c>
      <c r="BD225" s="16">
        <f t="shared" si="97"/>
        <v>89.199999999999207</v>
      </c>
      <c r="BE225" s="16" t="e">
        <f t="shared" si="98"/>
        <v>#N/A</v>
      </c>
      <c r="BF225" s="16">
        <f t="shared" si="99"/>
        <v>1.8296001950649044E-3</v>
      </c>
      <c r="BU225" s="16">
        <f t="shared" si="81"/>
        <v>0</v>
      </c>
      <c r="BV225" s="16">
        <f>IF($BY$12=1,NORMDIST(BY225,$Y$6,$Y$8,TRUE),IF($BY$12=2,IF(BY225&lt;=$BX$31,0,IF(BY225&gt;=$BX$32,1,(BY225-$BX$31)*$BX$33)),SUM($BU$42:BU225)/$BV$40))</f>
        <v>5.648316713422008E-2</v>
      </c>
      <c r="BW225" s="16">
        <f t="shared" si="82"/>
        <v>0.10394615576794607</v>
      </c>
      <c r="BX225" s="16">
        <f>IF($BY$12&lt;3,BV225,SUM($BZ$42:BZ225)/$BX$40)</f>
        <v>5.648316713422008E-2</v>
      </c>
      <c r="BY225" s="16">
        <f t="shared" si="106"/>
        <v>18.29999999999999</v>
      </c>
      <c r="BZ225" s="16">
        <f t="shared" si="73"/>
        <v>5.6801178015271105E-3</v>
      </c>
      <c r="CA225" s="16">
        <f t="shared" si="84"/>
        <v>-999</v>
      </c>
      <c r="CB225" s="16" t="str">
        <f t="shared" si="74"/>
        <v/>
      </c>
      <c r="CC225" s="16" t="e">
        <f>IF(CB225="",NA(),COUNTIF(CB225:$CB$704,CB225))</f>
        <v>#N/A</v>
      </c>
      <c r="CD225" s="16" t="e">
        <f t="shared" si="75"/>
        <v>#N/A</v>
      </c>
      <c r="CE225" s="16" t="e">
        <f t="shared" si="76"/>
        <v>#N/A</v>
      </c>
      <c r="CF225" s="16">
        <f t="shared" si="77"/>
        <v>99</v>
      </c>
      <c r="CG225" s="16">
        <f t="shared" si="78"/>
        <v>0</v>
      </c>
      <c r="CH225" s="16">
        <f t="shared" si="105"/>
        <v>0</v>
      </c>
      <c r="CJ225" s="16" t="e">
        <f t="shared" si="79"/>
        <v>#N/A</v>
      </c>
      <c r="CK225" s="16" t="str">
        <f t="shared" si="80"/>
        <v/>
      </c>
    </row>
    <row r="226" spans="1:89" ht="12" customHeight="1">
      <c r="A226" s="211"/>
      <c r="B226" s="211"/>
      <c r="C226" s="211"/>
      <c r="D226" s="211"/>
      <c r="E226" s="211"/>
      <c r="F226" s="211"/>
      <c r="G226" s="211"/>
      <c r="H226" s="211"/>
      <c r="I226" s="211"/>
      <c r="J226" s="211"/>
      <c r="K226" s="211"/>
      <c r="L226" s="211"/>
      <c r="M226" s="211"/>
      <c r="N226" s="211"/>
      <c r="O226" s="211"/>
      <c r="AM226" s="34">
        <f t="shared" si="100"/>
        <v>0.8972808588296175</v>
      </c>
      <c r="AN226" s="34">
        <f t="shared" si="85"/>
        <v>0.25294733978807926</v>
      </c>
      <c r="AO226" s="16">
        <f t="shared" si="86"/>
        <v>75.3</v>
      </c>
      <c r="AP226" s="16" t="e">
        <f t="shared" si="87"/>
        <v>#N/A</v>
      </c>
      <c r="AQ226" s="16">
        <f t="shared" si="88"/>
        <v>2.266865447678448E-3</v>
      </c>
      <c r="AR226" s="34">
        <f t="shared" si="101"/>
        <v>0.78670288063585758</v>
      </c>
      <c r="AS226" s="34">
        <f t="shared" si="89"/>
        <v>3.3496024087071419E-2</v>
      </c>
      <c r="AT226" s="540">
        <f t="shared" si="90"/>
        <v>65.900000000000531</v>
      </c>
      <c r="AU226" s="16" t="e">
        <f t="shared" si="91"/>
        <v>#N/A</v>
      </c>
      <c r="AV226" s="16">
        <f t="shared" si="92"/>
        <v>4.871142621219476E-4</v>
      </c>
      <c r="AW226" s="34">
        <f t="shared" si="102"/>
        <v>0.10592401213943958</v>
      </c>
      <c r="AX226" s="34">
        <f t="shared" si="93"/>
        <v>0.49840655364096165</v>
      </c>
      <c r="AY226" s="16">
        <f t="shared" si="94"/>
        <v>25.000000000000085</v>
      </c>
      <c r="AZ226" s="16" t="e">
        <f t="shared" si="95"/>
        <v>#N/A</v>
      </c>
      <c r="BA226" s="16">
        <f t="shared" si="103"/>
        <v>4.551675058720831E-3</v>
      </c>
      <c r="BB226" s="34">
        <f t="shared" si="104"/>
        <v>0.37997283972799778</v>
      </c>
      <c r="BC226" s="34">
        <f t="shared" si="96"/>
        <v>0.33692689426243305</v>
      </c>
      <c r="BD226" s="16">
        <f t="shared" si="97"/>
        <v>43.800000000000352</v>
      </c>
      <c r="BE226" s="16" t="e">
        <f t="shared" si="98"/>
        <v>#N/A</v>
      </c>
      <c r="BF226" s="16">
        <f t="shared" si="99"/>
        <v>6.4054242411545345E-3</v>
      </c>
      <c r="BU226" s="16">
        <f t="shared" si="81"/>
        <v>0</v>
      </c>
      <c r="BV226" s="16">
        <f>IF($BY$12=1,NORMDIST(BY226,$Y$6,$Y$8,TRUE),IF($BY$12=2,IF(BY226&lt;=$BX$31,0,IF(BY226&gt;=$BX$32,1,(BY226-$BX$31)*$BX$33)),SUM($BU$42:BU226)/$BV$40))</f>
        <v>5.7053433237754136E-2</v>
      </c>
      <c r="BW226" s="16">
        <f t="shared" si="82"/>
        <v>0.10534441623854886</v>
      </c>
      <c r="BX226" s="16">
        <f>IF($BY$12&lt;3,BV226,SUM($BZ$42:BZ226)/$BX$40)</f>
        <v>5.7053433237754136E-2</v>
      </c>
      <c r="BY226" s="16">
        <f t="shared" si="106"/>
        <v>18.399999999999991</v>
      </c>
      <c r="BZ226" s="16">
        <f t="shared" si="73"/>
        <v>5.7252400129646141E-3</v>
      </c>
      <c r="CA226" s="16">
        <f t="shared" si="84"/>
        <v>-999</v>
      </c>
      <c r="CB226" s="16" t="str">
        <f t="shared" si="74"/>
        <v/>
      </c>
      <c r="CC226" s="16" t="e">
        <f>IF(CB226="",NA(),COUNTIF(CB226:$CB$704,CB226))</f>
        <v>#N/A</v>
      </c>
      <c r="CD226" s="16" t="e">
        <f t="shared" si="75"/>
        <v>#N/A</v>
      </c>
      <c r="CE226" s="16" t="e">
        <f t="shared" si="76"/>
        <v>#N/A</v>
      </c>
      <c r="CF226" s="16">
        <f t="shared" si="77"/>
        <v>99</v>
      </c>
      <c r="CG226" s="16">
        <f t="shared" si="78"/>
        <v>0</v>
      </c>
      <c r="CH226" s="16">
        <f t="shared" si="105"/>
        <v>0</v>
      </c>
      <c r="CJ226" s="16" t="e">
        <f t="shared" si="79"/>
        <v>#N/A</v>
      </c>
      <c r="CK226" s="16" t="str">
        <f t="shared" si="80"/>
        <v/>
      </c>
    </row>
    <row r="227" spans="1:89" ht="12" customHeight="1">
      <c r="A227" s="211"/>
      <c r="B227" s="211"/>
      <c r="C227" s="211"/>
      <c r="D227" s="211"/>
      <c r="E227" s="211"/>
      <c r="F227" s="211"/>
      <c r="G227" s="211"/>
      <c r="H227" s="211"/>
      <c r="I227" s="211"/>
      <c r="J227" s="211"/>
      <c r="K227" s="211"/>
      <c r="L227" s="211"/>
      <c r="M227" s="211"/>
      <c r="N227" s="211"/>
      <c r="O227" s="211"/>
      <c r="AM227" s="34">
        <f t="shared" si="100"/>
        <v>0.68619620986282825</v>
      </c>
      <c r="AN227" s="34">
        <f t="shared" si="85"/>
        <v>1.9179010763764381E-2</v>
      </c>
      <c r="AO227" s="16">
        <f t="shared" si="86"/>
        <v>59.700000000000578</v>
      </c>
      <c r="AP227" s="16" t="e">
        <f t="shared" si="87"/>
        <v>#N/A</v>
      </c>
      <c r="AQ227" s="16">
        <f t="shared" si="88"/>
        <v>3.4011658772409623E-4</v>
      </c>
      <c r="AR227" s="34">
        <f t="shared" si="101"/>
        <v>0.67631902731955051</v>
      </c>
      <c r="AS227" s="34">
        <f t="shared" si="89"/>
        <v>6.5342860296368599E-2</v>
      </c>
      <c r="AT227" s="540">
        <f t="shared" si="90"/>
        <v>59.10000000000057</v>
      </c>
      <c r="AU227" s="16" t="e">
        <f t="shared" si="91"/>
        <v>#N/A</v>
      </c>
      <c r="AV227" s="16">
        <f t="shared" si="92"/>
        <v>1.1752311763049885E-3</v>
      </c>
      <c r="AW227" s="34">
        <f t="shared" si="102"/>
        <v>1.5694813802838326E-2</v>
      </c>
      <c r="AX227" s="34">
        <f t="shared" si="93"/>
        <v>0.34206096269190311</v>
      </c>
      <c r="AY227" s="16">
        <f t="shared" si="94"/>
        <v>6.8999999999999915</v>
      </c>
      <c r="AZ227" s="16" t="e">
        <f t="shared" si="95"/>
        <v>#N/A</v>
      </c>
      <c r="BA227" s="16">
        <f t="shared" si="103"/>
        <v>6.6918526288812521E-4</v>
      </c>
      <c r="BB227" s="34">
        <f t="shared" si="104"/>
        <v>0.32267395593225956</v>
      </c>
      <c r="BC227" s="34">
        <f t="shared" si="96"/>
        <v>0.75408402271568775</v>
      </c>
      <c r="BD227" s="16">
        <f t="shared" si="97"/>
        <v>40.700000000000308</v>
      </c>
      <c r="BE227" s="16" t="e">
        <f t="shared" si="98"/>
        <v>#N/A</v>
      </c>
      <c r="BF227" s="16">
        <f t="shared" si="99"/>
        <v>1.3500415881450048E-2</v>
      </c>
      <c r="BU227" s="16">
        <f t="shared" si="81"/>
        <v>0</v>
      </c>
      <c r="BV227" s="16">
        <f>IF($BY$12=1,NORMDIST(BY227,$Y$6,$Y$8,TRUE),IF($BY$12=2,IF(BY227&lt;=$BX$31,0,IF(BY227&gt;=$BX$32,1,(BY227-$BX$31)*$BX$33)),SUM($BU$42:BU227)/$BV$40))</f>
        <v>5.7628222276153052E-2</v>
      </c>
      <c r="BW227" s="16">
        <f t="shared" si="82"/>
        <v>0.10675566347247362</v>
      </c>
      <c r="BX227" s="16">
        <f>IF($BY$12&lt;3,BV227,SUM($BZ$42:BZ227)/$BX$40)</f>
        <v>5.7628222276153052E-2</v>
      </c>
      <c r="BY227" s="16">
        <f t="shared" si="106"/>
        <v>18.499999999999993</v>
      </c>
      <c r="BZ227" s="16">
        <f t="shared" si="73"/>
        <v>5.7705764039174953E-3</v>
      </c>
      <c r="CA227" s="16">
        <f t="shared" si="84"/>
        <v>-999</v>
      </c>
      <c r="CB227" s="16" t="str">
        <f t="shared" si="74"/>
        <v/>
      </c>
      <c r="CC227" s="16" t="e">
        <f>IF(CB227="",NA(),COUNTIF(CB227:$CB$704,CB227))</f>
        <v>#N/A</v>
      </c>
      <c r="CD227" s="16" t="e">
        <f t="shared" si="75"/>
        <v>#N/A</v>
      </c>
      <c r="CE227" s="16" t="e">
        <f t="shared" si="76"/>
        <v>#N/A</v>
      </c>
      <c r="CF227" s="16">
        <f t="shared" si="77"/>
        <v>99</v>
      </c>
      <c r="CG227" s="16">
        <f t="shared" si="78"/>
        <v>0</v>
      </c>
      <c r="CH227" s="16">
        <f t="shared" si="105"/>
        <v>0</v>
      </c>
      <c r="CJ227" s="16" t="e">
        <f t="shared" si="79"/>
        <v>#N/A</v>
      </c>
      <c r="CK227" s="16" t="str">
        <f t="shared" si="80"/>
        <v/>
      </c>
    </row>
    <row r="228" spans="1:89" ht="12" customHeight="1">
      <c r="A228" s="211"/>
      <c r="B228" s="211"/>
      <c r="C228" s="211"/>
      <c r="D228" s="211"/>
      <c r="E228" s="211"/>
      <c r="F228" s="211"/>
      <c r="G228" s="211"/>
      <c r="H228" s="211"/>
      <c r="I228" s="211"/>
      <c r="J228" s="211"/>
      <c r="K228" s="211"/>
      <c r="L228" s="211"/>
      <c r="M228" s="211"/>
      <c r="N228" s="211"/>
      <c r="O228" s="211"/>
      <c r="AM228" s="34">
        <f t="shared" si="100"/>
        <v>0.35696478374302387</v>
      </c>
      <c r="AN228" s="34">
        <f t="shared" si="85"/>
        <v>0.47797242738306522</v>
      </c>
      <c r="AO228" s="16">
        <f t="shared" si="86"/>
        <v>42.600000000000335</v>
      </c>
      <c r="AP228" s="16" t="e">
        <f t="shared" si="87"/>
        <v>#N/A</v>
      </c>
      <c r="AQ228" s="16">
        <f t="shared" si="88"/>
        <v>8.9033912258107088E-3</v>
      </c>
      <c r="AR228" s="34">
        <f t="shared" si="101"/>
        <v>0.45242086984217167</v>
      </c>
      <c r="AS228" s="34">
        <f t="shared" si="89"/>
        <v>0.57989302463829517</v>
      </c>
      <c r="AT228" s="540">
        <f t="shared" si="90"/>
        <v>47.600000000000406</v>
      </c>
      <c r="AU228" s="16" t="e">
        <f t="shared" si="91"/>
        <v>#N/A</v>
      </c>
      <c r="AV228" s="16">
        <f t="shared" si="92"/>
        <v>1.1484207600820015E-2</v>
      </c>
      <c r="AW228" s="34">
        <f t="shared" si="102"/>
        <v>7.3711546137928963E-2</v>
      </c>
      <c r="AX228" s="34">
        <f t="shared" si="93"/>
        <v>0.41962938942015171</v>
      </c>
      <c r="AY228" s="16">
        <f t="shared" si="94"/>
        <v>21.000000000000028</v>
      </c>
      <c r="AZ228" s="16" t="e">
        <f t="shared" si="95"/>
        <v>#N/A</v>
      </c>
      <c r="BA228" s="16">
        <f t="shared" si="103"/>
        <v>2.9254581731986262E-3</v>
      </c>
      <c r="BB228" s="34">
        <f t="shared" si="104"/>
        <v>3.0249172821640968E-2</v>
      </c>
      <c r="BC228" s="34">
        <f t="shared" si="96"/>
        <v>0.12145565636456013</v>
      </c>
      <c r="BD228" s="16">
        <f t="shared" si="97"/>
        <v>12.399999999999972</v>
      </c>
      <c r="BE228" s="16" t="e">
        <f t="shared" si="98"/>
        <v>#N/A</v>
      </c>
      <c r="BF228" s="16">
        <f t="shared" si="99"/>
        <v>4.138210773912067E-4</v>
      </c>
      <c r="BU228" s="16">
        <f t="shared" si="81"/>
        <v>0</v>
      </c>
      <c r="BV228" s="16">
        <f>IF($BY$12=1,NORMDIST(BY228,$Y$6,$Y$8,TRUE),IF($BY$12=2,IF(BY228&lt;=$BX$31,0,IF(BY228&gt;=$BX$32,1,(BY228-$BX$31)*$BX$33)),SUM($BU$42:BU228)/$BV$40))</f>
        <v>5.8207555638552955E-2</v>
      </c>
      <c r="BW228" s="16">
        <f t="shared" si="82"/>
        <v>0.10817995094031048</v>
      </c>
      <c r="BX228" s="16">
        <f>IF($BY$12&lt;3,BV228,SUM($BZ$42:BZ228)/$BX$40)</f>
        <v>5.8207555638552955E-2</v>
      </c>
      <c r="BY228" s="16">
        <f t="shared" si="106"/>
        <v>18.599999999999994</v>
      </c>
      <c r="BZ228" s="16">
        <f t="shared" si="73"/>
        <v>5.8161263946403504E-3</v>
      </c>
      <c r="CA228" s="16">
        <f t="shared" si="84"/>
        <v>-999</v>
      </c>
      <c r="CB228" s="16" t="str">
        <f t="shared" si="74"/>
        <v/>
      </c>
      <c r="CC228" s="16" t="e">
        <f>IF(CB228="",NA(),COUNTIF(CB228:$CB$704,CB228))</f>
        <v>#N/A</v>
      </c>
      <c r="CD228" s="16" t="e">
        <f t="shared" si="75"/>
        <v>#N/A</v>
      </c>
      <c r="CE228" s="16" t="e">
        <f t="shared" si="76"/>
        <v>#N/A</v>
      </c>
      <c r="CF228" s="16">
        <f t="shared" si="77"/>
        <v>99</v>
      </c>
      <c r="CG228" s="16">
        <f t="shared" si="78"/>
        <v>0</v>
      </c>
      <c r="CH228" s="16">
        <f t="shared" si="105"/>
        <v>0</v>
      </c>
      <c r="CJ228" s="16" t="e">
        <f t="shared" si="79"/>
        <v>#N/A</v>
      </c>
      <c r="CK228" s="16" t="str">
        <f t="shared" si="80"/>
        <v/>
      </c>
    </row>
    <row r="229" spans="1:89" ht="12" customHeight="1">
      <c r="A229" s="211"/>
      <c r="B229" s="211"/>
      <c r="C229" s="211"/>
      <c r="D229" s="211"/>
      <c r="E229" s="211"/>
      <c r="F229" s="211"/>
      <c r="G229" s="211"/>
      <c r="H229" s="211"/>
      <c r="I229" s="211"/>
      <c r="J229" s="211"/>
      <c r="K229" s="211"/>
      <c r="L229" s="211"/>
      <c r="M229" s="211"/>
      <c r="N229" s="211"/>
      <c r="O229" s="211"/>
      <c r="AM229" s="34">
        <f t="shared" si="100"/>
        <v>0.48747220821678638</v>
      </c>
      <c r="AN229" s="34">
        <f t="shared" si="85"/>
        <v>0.41930657066404819</v>
      </c>
      <c r="AO229" s="16">
        <f t="shared" si="86"/>
        <v>49.300000000000431</v>
      </c>
      <c r="AP229" s="16" t="e">
        <f t="shared" si="87"/>
        <v>#N/A</v>
      </c>
      <c r="AQ229" s="16">
        <f t="shared" si="88"/>
        <v>8.3588346199415901E-3</v>
      </c>
      <c r="AR229" s="34">
        <f t="shared" si="101"/>
        <v>0.78499227203428745</v>
      </c>
      <c r="AS229" s="34">
        <f t="shared" si="89"/>
        <v>0.92524241097271442</v>
      </c>
      <c r="AT229" s="540">
        <f t="shared" si="90"/>
        <v>65.700000000000543</v>
      </c>
      <c r="AU229" s="16" t="e">
        <f t="shared" si="91"/>
        <v>#N/A</v>
      </c>
      <c r="AV229" s="16">
        <f t="shared" si="92"/>
        <v>1.3562009467300032E-2</v>
      </c>
      <c r="AW229" s="34">
        <f t="shared" si="102"/>
        <v>0.34938357956707478</v>
      </c>
      <c r="AX229" s="34">
        <f t="shared" si="93"/>
        <v>0.33765728212893009</v>
      </c>
      <c r="AY229" s="16">
        <f t="shared" si="94"/>
        <v>42.20000000000033</v>
      </c>
      <c r="AZ229" s="16" t="e">
        <f t="shared" si="95"/>
        <v>#N/A</v>
      </c>
      <c r="BA229" s="16">
        <f t="shared" si="103"/>
        <v>6.2420622472445309E-3</v>
      </c>
      <c r="BB229" s="34">
        <f t="shared" si="104"/>
        <v>0.14256913401186466</v>
      </c>
      <c r="BC229" s="34">
        <f t="shared" si="96"/>
        <v>0.19351738877594471</v>
      </c>
      <c r="BD229" s="16">
        <f t="shared" si="97"/>
        <v>28.600000000000136</v>
      </c>
      <c r="BE229" s="16" t="e">
        <f t="shared" si="98"/>
        <v>#N/A</v>
      </c>
      <c r="BF229" s="16">
        <f t="shared" si="99"/>
        <v>2.1776505497244397E-3</v>
      </c>
      <c r="BU229" s="16">
        <f t="shared" si="81"/>
        <v>0</v>
      </c>
      <c r="BV229" s="16">
        <f>IF($BY$12=1,NORMDIST(BY229,$Y$6,$Y$8,TRUE),IF($BY$12=2,IF(BY229&lt;=$BX$31,0,IF(BY229&gt;=$BX$32,1,(BY229-$BX$31)*$BX$33)),SUM($BU$42:BU229)/$BV$40))</f>
        <v>5.8791454655082842E-2</v>
      </c>
      <c r="BW229" s="16">
        <f t="shared" si="82"/>
        <v>0.10961733149428822</v>
      </c>
      <c r="BX229" s="16">
        <f>IF($BY$12&lt;3,BV229,SUM($BZ$42:BZ229)/$BX$40)</f>
        <v>5.8791454655082842E-2</v>
      </c>
      <c r="BY229" s="16">
        <f t="shared" si="106"/>
        <v>18.699999999999996</v>
      </c>
      <c r="BZ229" s="16">
        <f t="shared" si="73"/>
        <v>5.8618893847212968E-3</v>
      </c>
      <c r="CA229" s="16">
        <f t="shared" si="84"/>
        <v>-999</v>
      </c>
      <c r="CB229" s="16" t="str">
        <f t="shared" si="74"/>
        <v/>
      </c>
      <c r="CC229" s="16" t="e">
        <f>IF(CB229="",NA(),COUNTIF(CB229:$CB$704,CB229))</f>
        <v>#N/A</v>
      </c>
      <c r="CD229" s="16" t="e">
        <f t="shared" si="75"/>
        <v>#N/A</v>
      </c>
      <c r="CE229" s="16" t="e">
        <f t="shared" si="76"/>
        <v>#N/A</v>
      </c>
      <c r="CF229" s="16">
        <f t="shared" si="77"/>
        <v>99</v>
      </c>
      <c r="CG229" s="16">
        <f t="shared" si="78"/>
        <v>0</v>
      </c>
      <c r="CH229" s="16">
        <f t="shared" si="105"/>
        <v>0</v>
      </c>
      <c r="CJ229" s="16" t="e">
        <f t="shared" si="79"/>
        <v>#N/A</v>
      </c>
      <c r="CK229" s="16" t="str">
        <f t="shared" si="80"/>
        <v/>
      </c>
    </row>
    <row r="230" spans="1:89" ht="12" customHeight="1">
      <c r="A230" s="211"/>
      <c r="B230" s="211"/>
      <c r="C230" s="211"/>
      <c r="D230" s="211"/>
      <c r="E230" s="211"/>
      <c r="F230" s="211"/>
      <c r="G230" s="211"/>
      <c r="H230" s="211"/>
      <c r="I230" s="211"/>
      <c r="J230" s="211"/>
      <c r="K230" s="211"/>
      <c r="L230" s="211"/>
      <c r="M230" s="211"/>
      <c r="N230" s="211"/>
      <c r="O230" s="211"/>
      <c r="AM230" s="34">
        <f t="shared" si="100"/>
        <v>0.15762590058147907</v>
      </c>
      <c r="AN230" s="34">
        <f t="shared" si="85"/>
        <v>5.4951498284935951E-2</v>
      </c>
      <c r="AO230" s="16">
        <f t="shared" si="86"/>
        <v>29.900000000000155</v>
      </c>
      <c r="AP230" s="16" t="e">
        <f t="shared" si="87"/>
        <v>#N/A</v>
      </c>
      <c r="AQ230" s="16">
        <f t="shared" si="88"/>
        <v>6.6150855687420321E-4</v>
      </c>
      <c r="AR230" s="34">
        <f t="shared" si="101"/>
        <v>0.13787848688662052</v>
      </c>
      <c r="AS230" s="34">
        <f t="shared" si="89"/>
        <v>0.66128653474152088</v>
      </c>
      <c r="AT230" s="540">
        <f t="shared" si="90"/>
        <v>28.200000000000131</v>
      </c>
      <c r="AU230" s="16" t="e">
        <f t="shared" si="91"/>
        <v>#N/A</v>
      </c>
      <c r="AV230" s="16">
        <f t="shared" si="92"/>
        <v>7.2824433136993647E-3</v>
      </c>
      <c r="AW230" s="34">
        <f t="shared" si="102"/>
        <v>0.2108339685946703</v>
      </c>
      <c r="AX230" s="34">
        <f t="shared" si="93"/>
        <v>0.42678829468786716</v>
      </c>
      <c r="AY230" s="16">
        <f t="shared" si="94"/>
        <v>33.900000000000212</v>
      </c>
      <c r="AZ230" s="16" t="e">
        <f t="shared" si="95"/>
        <v>#N/A</v>
      </c>
      <c r="BA230" s="16">
        <f t="shared" si="103"/>
        <v>6.1570932214354132E-3</v>
      </c>
      <c r="BB230" s="34">
        <f t="shared" si="104"/>
        <v>0.40348550118505955</v>
      </c>
      <c r="BC230" s="34">
        <f t="shared" si="96"/>
        <v>0.25716211088001728</v>
      </c>
      <c r="BD230" s="16">
        <f t="shared" si="97"/>
        <v>45.100000000000371</v>
      </c>
      <c r="BE230" s="16" t="e">
        <f t="shared" si="98"/>
        <v>#N/A</v>
      </c>
      <c r="BF230" s="16">
        <f t="shared" si="99"/>
        <v>4.9779758914368878E-3</v>
      </c>
      <c r="BU230" s="16">
        <f t="shared" si="81"/>
        <v>0</v>
      </c>
      <c r="BV230" s="16">
        <f>IF($BY$12=1,NORMDIST(BY230,$Y$6,$Y$8,TRUE),IF($BY$12=2,IF(BY230&lt;=$BX$31,0,IF(BY230&gt;=$BX$32,1,(BY230-$BX$31)*$BX$33)),SUM($BU$42:BU230)/$BV$40))</f>
        <v>5.9379940594793013E-2</v>
      </c>
      <c r="BW230" s="16">
        <f t="shared" si="82"/>
        <v>0.1110678573560073</v>
      </c>
      <c r="BX230" s="16">
        <f>IF($BY$12&lt;3,BV230,SUM($BZ$42:BZ230)/$BX$40)</f>
        <v>5.9379940594793013E-2</v>
      </c>
      <c r="BY230" s="16">
        <f t="shared" si="106"/>
        <v>18.799999999999997</v>
      </c>
      <c r="BZ230" s="16">
        <f t="shared" si="73"/>
        <v>5.9078647529791127E-3</v>
      </c>
      <c r="CA230" s="16">
        <f t="shared" si="84"/>
        <v>-999</v>
      </c>
      <c r="CB230" s="16" t="str">
        <f t="shared" si="74"/>
        <v/>
      </c>
      <c r="CC230" s="16" t="e">
        <f>IF(CB230="",NA(),COUNTIF(CB230:$CB$704,CB230))</f>
        <v>#N/A</v>
      </c>
      <c r="CD230" s="16" t="e">
        <f t="shared" si="75"/>
        <v>#N/A</v>
      </c>
      <c r="CE230" s="16" t="e">
        <f t="shared" si="76"/>
        <v>#N/A</v>
      </c>
      <c r="CF230" s="16">
        <f t="shared" si="77"/>
        <v>99</v>
      </c>
      <c r="CG230" s="16">
        <f t="shared" si="78"/>
        <v>0</v>
      </c>
      <c r="CH230" s="16">
        <f t="shared" si="105"/>
        <v>0</v>
      </c>
      <c r="CJ230" s="16" t="e">
        <f t="shared" si="79"/>
        <v>#N/A</v>
      </c>
      <c r="CK230" s="16" t="str">
        <f t="shared" si="80"/>
        <v/>
      </c>
    </row>
    <row r="231" spans="1:89" ht="12" customHeight="1">
      <c r="A231" s="211"/>
      <c r="B231" s="211"/>
      <c r="C231" s="211"/>
      <c r="D231" s="211"/>
      <c r="E231" s="211"/>
      <c r="F231" s="211"/>
      <c r="G231" s="211"/>
      <c r="H231" s="211"/>
      <c r="I231" s="211"/>
      <c r="J231" s="211"/>
      <c r="K231" s="211"/>
      <c r="L231" s="211"/>
      <c r="M231" s="211"/>
      <c r="N231" s="211"/>
      <c r="O231" s="211"/>
      <c r="AM231" s="34">
        <f t="shared" si="100"/>
        <v>0.69721883721649647</v>
      </c>
      <c r="AN231" s="34">
        <f t="shared" si="85"/>
        <v>0.4360098484903574</v>
      </c>
      <c r="AO231" s="16">
        <f t="shared" si="86"/>
        <v>60.300000000000587</v>
      </c>
      <c r="AP231" s="16" t="e">
        <f t="shared" si="87"/>
        <v>#N/A</v>
      </c>
      <c r="AQ231" s="16">
        <f t="shared" si="88"/>
        <v>7.6169918743809045E-3</v>
      </c>
      <c r="AR231" s="34">
        <f t="shared" si="101"/>
        <v>0.94414016045629978</v>
      </c>
      <c r="AS231" s="34">
        <f t="shared" si="89"/>
        <v>0.87838508374989033</v>
      </c>
      <c r="AT231" s="540">
        <f t="shared" si="90"/>
        <v>81.799999999999628</v>
      </c>
      <c r="AU231" s="16" t="e">
        <f t="shared" si="91"/>
        <v>#N/A</v>
      </c>
      <c r="AV231" s="16">
        <f t="shared" si="92"/>
        <v>4.9498846966013052E-3</v>
      </c>
      <c r="AW231" s="34">
        <f t="shared" si="102"/>
        <v>0.4951265025883913</v>
      </c>
      <c r="AX231" s="34">
        <f t="shared" si="93"/>
        <v>0.46252844668924809</v>
      </c>
      <c r="AY231" s="16">
        <f t="shared" si="94"/>
        <v>49.700000000000436</v>
      </c>
      <c r="AZ231" s="16" t="e">
        <f t="shared" si="95"/>
        <v>#N/A</v>
      </c>
      <c r="BA231" s="16">
        <f t="shared" si="103"/>
        <v>9.2250697849066733E-3</v>
      </c>
      <c r="BB231" s="34">
        <f t="shared" si="104"/>
        <v>0.45190761424601078</v>
      </c>
      <c r="BC231" s="34">
        <f t="shared" si="96"/>
        <v>1.7259093001484871E-2</v>
      </c>
      <c r="BD231" s="16">
        <f t="shared" si="97"/>
        <v>47.500000000000405</v>
      </c>
      <c r="BE231" s="16" t="e">
        <f t="shared" si="98"/>
        <v>#N/A</v>
      </c>
      <c r="BF231" s="16">
        <f t="shared" si="99"/>
        <v>3.4158997262360513E-4</v>
      </c>
      <c r="BU231" s="16">
        <f t="shared" si="81"/>
        <v>0</v>
      </c>
      <c r="BV231" s="16">
        <f>IF($BY$12=1,NORMDIST(BY231,$Y$6,$Y$8,TRUE),IF($BY$12=2,IF(BY231&lt;=$BX$31,0,IF(BY231&gt;=$BX$32,1,(BY231-$BX$31)*$BX$33)),SUM($BU$42:BU231)/$BV$40))</f>
        <v>5.9973034663572844E-2</v>
      </c>
      <c r="BW231" s="16">
        <f t="shared" si="82"/>
        <v>0.1125315801041453</v>
      </c>
      <c r="BX231" s="16">
        <f>IF($BY$12&lt;3,BV231,SUM($BZ$42:BZ231)/$BX$40)</f>
        <v>5.9973034663572844E-2</v>
      </c>
      <c r="BY231" s="16">
        <f t="shared" si="106"/>
        <v>18.899999999999999</v>
      </c>
      <c r="BZ231" s="16">
        <f t="shared" si="73"/>
        <v>5.9540518573621857E-3</v>
      </c>
      <c r="CA231" s="16">
        <f t="shared" si="84"/>
        <v>-999</v>
      </c>
      <c r="CB231" s="16" t="str">
        <f t="shared" si="74"/>
        <v/>
      </c>
      <c r="CC231" s="16" t="e">
        <f>IF(CB231="",NA(),COUNTIF(CB231:$CB$704,CB231))</f>
        <v>#N/A</v>
      </c>
      <c r="CD231" s="16" t="e">
        <f t="shared" si="75"/>
        <v>#N/A</v>
      </c>
      <c r="CE231" s="16" t="e">
        <f t="shared" si="76"/>
        <v>#N/A</v>
      </c>
      <c r="CF231" s="16">
        <f t="shared" si="77"/>
        <v>99</v>
      </c>
      <c r="CG231" s="16">
        <f t="shared" si="78"/>
        <v>0</v>
      </c>
      <c r="CH231" s="16">
        <f t="shared" si="105"/>
        <v>0</v>
      </c>
      <c r="CJ231" s="16" t="e">
        <f t="shared" si="79"/>
        <v>#N/A</v>
      </c>
      <c r="CK231" s="16" t="str">
        <f t="shared" si="80"/>
        <v/>
      </c>
    </row>
    <row r="232" spans="1:89" ht="12" customHeight="1">
      <c r="A232" s="211"/>
      <c r="B232" s="211"/>
      <c r="C232" s="211"/>
      <c r="D232" s="211"/>
      <c r="E232" s="211"/>
      <c r="F232" s="211"/>
      <c r="G232" s="211"/>
      <c r="H232" s="211"/>
      <c r="I232" s="211"/>
      <c r="J232" s="211"/>
      <c r="K232" s="211"/>
      <c r="L232" s="211"/>
      <c r="M232" s="211"/>
      <c r="N232" s="211"/>
      <c r="O232" s="211"/>
      <c r="AM232" s="34">
        <f t="shared" si="100"/>
        <v>0.15303160436451435</v>
      </c>
      <c r="AN232" s="34">
        <f t="shared" si="85"/>
        <v>3.3056000247597694E-2</v>
      </c>
      <c r="AO232" s="16">
        <f t="shared" si="86"/>
        <v>29.500000000000149</v>
      </c>
      <c r="AP232" s="16" t="e">
        <f t="shared" si="87"/>
        <v>#N/A</v>
      </c>
      <c r="AQ232" s="16">
        <f t="shared" si="88"/>
        <v>3.8993305582183383E-4</v>
      </c>
      <c r="AR232" s="34">
        <f t="shared" si="101"/>
        <v>0.25650499202311039</v>
      </c>
      <c r="AS232" s="34">
        <f t="shared" si="89"/>
        <v>0.25479600019752979</v>
      </c>
      <c r="AT232" s="540">
        <f t="shared" si="90"/>
        <v>36.900000000000254</v>
      </c>
      <c r="AU232" s="16" t="e">
        <f t="shared" si="91"/>
        <v>#N/A</v>
      </c>
      <c r="AV232" s="16">
        <f t="shared" si="92"/>
        <v>4.1012012516472617E-3</v>
      </c>
      <c r="AW232" s="34">
        <f t="shared" si="102"/>
        <v>0.47976228781044483</v>
      </c>
      <c r="AX232" s="34">
        <f t="shared" si="93"/>
        <v>0.11501418985426426</v>
      </c>
      <c r="AY232" s="16">
        <f t="shared" si="94"/>
        <v>48.900000000000425</v>
      </c>
      <c r="AZ232" s="16" t="e">
        <f t="shared" si="95"/>
        <v>#N/A</v>
      </c>
      <c r="BA232" s="16">
        <f t="shared" si="103"/>
        <v>2.2907338025455574E-3</v>
      </c>
      <c r="BB232" s="34">
        <f t="shared" si="104"/>
        <v>0.15438305772840977</v>
      </c>
      <c r="BC232" s="34">
        <f t="shared" si="96"/>
        <v>0.58426384814083576</v>
      </c>
      <c r="BD232" s="16">
        <f t="shared" si="97"/>
        <v>29.600000000000151</v>
      </c>
      <c r="BE232" s="16" t="e">
        <f t="shared" si="98"/>
        <v>#N/A</v>
      </c>
      <c r="BF232" s="16">
        <f t="shared" si="99"/>
        <v>6.9273813401995897E-3</v>
      </c>
      <c r="BU232" s="16">
        <f t="shared" si="81"/>
        <v>0</v>
      </c>
      <c r="BV232" s="16">
        <f>IF($BY$12=1,NORMDIST(BY232,$Y$6,$Y$8,TRUE),IF($BY$12=2,IF(BY232&lt;=$BX$31,0,IF(BY232&gt;=$BX$32,1,(BY232-$BX$31)*$BX$33)),SUM($BU$42:BU232)/$BV$40))</f>
        <v>6.0570758002058911E-2</v>
      </c>
      <c r="BW232" s="16">
        <f t="shared" si="82"/>
        <v>0.1140085506621363</v>
      </c>
      <c r="BX232" s="16">
        <f>IF($BY$12&lt;3,BV232,SUM($BZ$42:BZ232)/$BX$40)</f>
        <v>6.0570758002058911E-2</v>
      </c>
      <c r="BY232" s="16">
        <f t="shared" si="106"/>
        <v>19</v>
      </c>
      <c r="BZ232" s="16">
        <f t="shared" si="73"/>
        <v>6.0004500348492789E-3</v>
      </c>
      <c r="CA232" s="16">
        <f t="shared" si="84"/>
        <v>-999</v>
      </c>
      <c r="CB232" s="16" t="str">
        <f t="shared" si="74"/>
        <v/>
      </c>
      <c r="CC232" s="16" t="e">
        <f>IF(CB232="",NA(),COUNTIF(CB232:$CB$704,CB232))</f>
        <v>#N/A</v>
      </c>
      <c r="CD232" s="16" t="e">
        <f t="shared" si="75"/>
        <v>#N/A</v>
      </c>
      <c r="CE232" s="16" t="e">
        <f t="shared" si="76"/>
        <v>#N/A</v>
      </c>
      <c r="CF232" s="16">
        <f t="shared" si="77"/>
        <v>99</v>
      </c>
      <c r="CG232" s="16">
        <f t="shared" si="78"/>
        <v>0</v>
      </c>
      <c r="CH232" s="16">
        <f t="shared" si="105"/>
        <v>0</v>
      </c>
      <c r="CJ232" s="16" t="e">
        <f t="shared" si="79"/>
        <v>#N/A</v>
      </c>
      <c r="CK232" s="16" t="str">
        <f t="shared" si="80"/>
        <v/>
      </c>
    </row>
    <row r="233" spans="1:89" ht="12" customHeight="1">
      <c r="A233" s="211"/>
      <c r="B233" s="211"/>
      <c r="C233" s="211"/>
      <c r="D233" s="211"/>
      <c r="E233" s="211"/>
      <c r="F233" s="211"/>
      <c r="G233" s="211"/>
      <c r="H233" s="211"/>
      <c r="I233" s="211"/>
      <c r="J233" s="211"/>
      <c r="K233" s="211"/>
      <c r="L233" s="211"/>
      <c r="M233" s="211"/>
      <c r="N233" s="211"/>
      <c r="O233" s="211"/>
      <c r="AM233" s="34">
        <f t="shared" si="100"/>
        <v>0.43220398016273975</v>
      </c>
      <c r="AN233" s="34">
        <f t="shared" si="85"/>
        <v>0.42027913965284824</v>
      </c>
      <c r="AO233" s="16">
        <f t="shared" si="86"/>
        <v>46.500000000000391</v>
      </c>
      <c r="AP233" s="16" t="e">
        <f t="shared" si="87"/>
        <v>#N/A</v>
      </c>
      <c r="AQ233" s="16">
        <f t="shared" si="88"/>
        <v>8.2559636178673994E-3</v>
      </c>
      <c r="AR233" s="34">
        <f t="shared" si="101"/>
        <v>0.31432330049574375</v>
      </c>
      <c r="AS233" s="34">
        <f t="shared" si="89"/>
        <v>9.1160343959927559E-2</v>
      </c>
      <c r="AT233" s="540">
        <f t="shared" si="90"/>
        <v>40.300000000000303</v>
      </c>
      <c r="AU233" s="16" t="e">
        <f t="shared" si="91"/>
        <v>#N/A</v>
      </c>
      <c r="AV233" s="16">
        <f t="shared" si="92"/>
        <v>1.6166185787843304E-3</v>
      </c>
      <c r="AW233" s="34">
        <f t="shared" si="102"/>
        <v>0.39372711069881916</v>
      </c>
      <c r="AX233" s="34">
        <f t="shared" si="93"/>
        <v>0.22544063068926334</v>
      </c>
      <c r="AY233" s="16">
        <f t="shared" si="94"/>
        <v>44.600000000000364</v>
      </c>
      <c r="AZ233" s="16" t="e">
        <f t="shared" si="95"/>
        <v>#N/A</v>
      </c>
      <c r="BA233" s="16">
        <f t="shared" si="103"/>
        <v>4.3359296482899734E-3</v>
      </c>
      <c r="BB233" s="34">
        <f t="shared" si="104"/>
        <v>7.6838383451104164E-2</v>
      </c>
      <c r="BC233" s="34">
        <f t="shared" si="96"/>
        <v>0.83341002650558949</v>
      </c>
      <c r="BD233" s="16">
        <f t="shared" si="97"/>
        <v>21.400000000000034</v>
      </c>
      <c r="BE233" s="16" t="e">
        <f t="shared" si="98"/>
        <v>#N/A</v>
      </c>
      <c r="BF233" s="16">
        <f t="shared" si="99"/>
        <v>5.9799065634633186E-3</v>
      </c>
      <c r="BU233" s="16">
        <f t="shared" si="81"/>
        <v>0</v>
      </c>
      <c r="BV233" s="16">
        <f>IF($BY$12=1,NORMDIST(BY233,$Y$6,$Y$8,TRUE),IF($BY$12=2,IF(BY233&lt;=$BX$31,0,IF(BY233&gt;=$BX$32,1,(BY233-$BX$31)*$BX$33)),SUM($BU$42:BU233)/$BV$40))</f>
        <v>6.1173131683533555E-2</v>
      </c>
      <c r="BW233" s="16">
        <f t="shared" si="82"/>
        <v>0.11549881928582623</v>
      </c>
      <c r="BX233" s="16">
        <f>IF($BY$12&lt;3,BV233,SUM($BZ$42:BZ233)/$BX$40)</f>
        <v>6.1173131683533555E-2</v>
      </c>
      <c r="BY233" s="16">
        <f t="shared" si="106"/>
        <v>19.100000000000001</v>
      </c>
      <c r="BZ233" s="16">
        <f t="shared" si="73"/>
        <v>6.0470586013521583E-3</v>
      </c>
      <c r="CA233" s="16">
        <f t="shared" si="84"/>
        <v>-999</v>
      </c>
      <c r="CB233" s="16" t="str">
        <f t="shared" si="74"/>
        <v/>
      </c>
      <c r="CC233" s="16" t="e">
        <f>IF(CB233="",NA(),COUNTIF(CB233:$CB$704,CB233))</f>
        <v>#N/A</v>
      </c>
      <c r="CD233" s="16" t="e">
        <f t="shared" si="75"/>
        <v>#N/A</v>
      </c>
      <c r="CE233" s="16" t="e">
        <f t="shared" si="76"/>
        <v>#N/A</v>
      </c>
      <c r="CF233" s="16">
        <f t="shared" si="77"/>
        <v>99</v>
      </c>
      <c r="CG233" s="16">
        <f t="shared" si="78"/>
        <v>0</v>
      </c>
      <c r="CH233" s="16">
        <f t="shared" si="105"/>
        <v>0</v>
      </c>
      <c r="CJ233" s="16" t="e">
        <f t="shared" si="79"/>
        <v>#N/A</v>
      </c>
      <c r="CK233" s="16" t="str">
        <f t="shared" si="80"/>
        <v/>
      </c>
    </row>
    <row r="234" spans="1:89" ht="12" customHeight="1">
      <c r="A234" s="211"/>
      <c r="B234" s="211"/>
      <c r="C234" s="211"/>
      <c r="D234" s="211"/>
      <c r="E234" s="211"/>
      <c r="F234" s="211"/>
      <c r="G234" s="211"/>
      <c r="H234" s="211"/>
      <c r="I234" s="211"/>
      <c r="J234" s="211"/>
      <c r="K234" s="211"/>
      <c r="L234" s="211"/>
      <c r="M234" s="211"/>
      <c r="N234" s="211"/>
      <c r="O234" s="211"/>
      <c r="AM234" s="34">
        <f t="shared" si="100"/>
        <v>0.86015729792416096</v>
      </c>
      <c r="AN234" s="34">
        <f t="shared" si="85"/>
        <v>0.1612864825874567</v>
      </c>
      <c r="AO234" s="16">
        <f t="shared" si="86"/>
        <v>71.600000000000207</v>
      </c>
      <c r="AP234" s="16" t="e">
        <f t="shared" si="87"/>
        <v>#N/A</v>
      </c>
      <c r="AQ234" s="16">
        <f t="shared" si="88"/>
        <v>1.7955499824730912E-3</v>
      </c>
      <c r="AR234" s="34">
        <f t="shared" si="101"/>
        <v>0.62468374706804752</v>
      </c>
      <c r="AS234" s="34">
        <f t="shared" si="89"/>
        <v>0.59156918711960316</v>
      </c>
      <c r="AT234" s="540">
        <f t="shared" si="90"/>
        <v>56.30000000000053</v>
      </c>
      <c r="AU234" s="16" t="e">
        <f t="shared" si="91"/>
        <v>#N/A</v>
      </c>
      <c r="AV234" s="16">
        <f t="shared" si="92"/>
        <v>1.1228950830055167E-2</v>
      </c>
      <c r="AW234" s="34">
        <f t="shared" si="102"/>
        <v>0.23762083239853382</v>
      </c>
      <c r="AX234" s="34">
        <f t="shared" si="93"/>
        <v>0.41305615939199924</v>
      </c>
      <c r="AY234" s="16">
        <f t="shared" si="94"/>
        <v>35.700000000000237</v>
      </c>
      <c r="AZ234" s="16" t="e">
        <f t="shared" si="95"/>
        <v>#N/A</v>
      </c>
      <c r="BA234" s="16">
        <f t="shared" si="103"/>
        <v>6.380843228599521E-3</v>
      </c>
      <c r="BB234" s="34">
        <f t="shared" si="104"/>
        <v>9.9386239424347878E-2</v>
      </c>
      <c r="BC234" s="34">
        <f t="shared" si="96"/>
        <v>0.68626459129154682</v>
      </c>
      <c r="BD234" s="16">
        <f t="shared" si="97"/>
        <v>24.200000000000074</v>
      </c>
      <c r="BE234" s="16" t="e">
        <f t="shared" si="98"/>
        <v>#N/A</v>
      </c>
      <c r="BF234" s="16">
        <f t="shared" si="99"/>
        <v>5.9568537547533161E-3</v>
      </c>
      <c r="BU234" s="16">
        <f t="shared" si="81"/>
        <v>0</v>
      </c>
      <c r="BV234" s="16">
        <f>IF($BY$12=1,NORMDIST(BY234,$Y$6,$Y$8,TRUE),IF($BY$12=2,IF(BY234&lt;=$BX$31,0,IF(BY234&gt;=$BX$32,1,(BY234-$BX$31)*$BX$33)),SUM($BU$42:BU234)/$BV$40))</f>
        <v>6.1780176711811796E-2</v>
      </c>
      <c r="BW234" s="16">
        <f t="shared" si="82"/>
        <v>0.11700243555110573</v>
      </c>
      <c r="BX234" s="16">
        <f>IF($BY$12&lt;3,BV234,SUM($BZ$42:BZ234)/$BX$40)</f>
        <v>6.1780176711811796E-2</v>
      </c>
      <c r="BY234" s="16">
        <f t="shared" si="106"/>
        <v>19.200000000000003</v>
      </c>
      <c r="BZ234" s="16">
        <f t="shared" ref="BZ234:BZ297" si="107">IF($BZ$5,IF($BY$12=1,NORMDIST(BY234,$Y$6,$Y$8,FALSE),IF($BY$12=2,IF(AND(BY234&gt;=$BX$31,BY234&lt;=$BX$32),$BX$33,0),IF(BY234&lt;=$BX$13,0,NORMDIST(LN((BY234-$BX$13)/$BX$12),0,$BW$8,FALSE)/((BY234-$BX$13)/$BX$12)))),-999)</f>
        <v>6.0938768516200894E-3</v>
      </c>
      <c r="CA234" s="16">
        <f t="shared" si="84"/>
        <v>-999</v>
      </c>
      <c r="CB234" s="16" t="str">
        <f t="shared" ref="CB234:CB297" si="108">IF(M133="","",ROUND(M133/$P$24,0))</f>
        <v/>
      </c>
      <c r="CC234" s="16" t="e">
        <f>IF(CB234="",NA(),COUNTIF(CB234:$CB$704,CB234))</f>
        <v>#N/A</v>
      </c>
      <c r="CD234" s="16" t="e">
        <f t="shared" ref="CD234:CD297" si="109">IF(CB234&lt;&gt;"",CB234*$P$24,NA())</f>
        <v>#N/A</v>
      </c>
      <c r="CE234" s="16" t="e">
        <f t="shared" ref="CE234:CE297" si="110">IF(AND($CB$7,$CD$2,$CD$1),26+$P$23/2-CC234*$P$23,NA())</f>
        <v>#N/A</v>
      </c>
      <c r="CF234" s="16">
        <f t="shared" ref="CF234:CF297" si="111">IF(ISNA(CJ234),99,CJ234)</f>
        <v>99</v>
      </c>
      <c r="CG234" s="16">
        <f t="shared" ref="CG234:CG297" si="112">IF(ISNA(CJ234),0,CJ234)</f>
        <v>0</v>
      </c>
      <c r="CH234" s="16">
        <f t="shared" si="105"/>
        <v>0</v>
      </c>
      <c r="CJ234" s="16" t="e">
        <f t="shared" ref="CJ234:CJ297" si="113">IF(CH234=1,CE234,NA())</f>
        <v>#N/A</v>
      </c>
      <c r="CK234" s="16" t="str">
        <f t="shared" ref="CK234:CK297" si="114">IF(CH234=1,M133,"")</f>
        <v/>
      </c>
    </row>
    <row r="235" spans="1:89" ht="12" customHeight="1">
      <c r="A235" s="211"/>
      <c r="B235" s="211"/>
      <c r="C235" s="211"/>
      <c r="D235" s="211"/>
      <c r="E235" s="211"/>
      <c r="F235" s="211"/>
      <c r="G235" s="211"/>
      <c r="H235" s="211"/>
      <c r="I235" s="211"/>
      <c r="J235" s="211"/>
      <c r="K235" s="211"/>
      <c r="L235" s="211"/>
      <c r="M235" s="211"/>
      <c r="N235" s="211"/>
      <c r="O235" s="211"/>
      <c r="AM235" s="34">
        <f t="shared" si="100"/>
        <v>0.92259884066879749</v>
      </c>
      <c r="AN235" s="34">
        <f t="shared" si="85"/>
        <v>0.40047290362417698</v>
      </c>
      <c r="AO235" s="16">
        <f t="shared" si="86"/>
        <v>78.399999999999821</v>
      </c>
      <c r="AP235" s="16" t="e">
        <f t="shared" si="87"/>
        <v>#N/A</v>
      </c>
      <c r="AQ235" s="16">
        <f t="shared" si="88"/>
        <v>2.91472449097923E-3</v>
      </c>
      <c r="AR235" s="34">
        <f t="shared" si="101"/>
        <v>0.56159546412527561</v>
      </c>
      <c r="AS235" s="34">
        <f t="shared" si="89"/>
        <v>0.94199378974735737</v>
      </c>
      <c r="AT235" s="540">
        <f t="shared" si="90"/>
        <v>53.100000000000485</v>
      </c>
      <c r="AU235" s="16" t="e">
        <f t="shared" si="91"/>
        <v>#N/A</v>
      </c>
      <c r="AV235" s="16">
        <f t="shared" si="92"/>
        <v>1.8565692256124058E-2</v>
      </c>
      <c r="AW235" s="34">
        <f t="shared" si="102"/>
        <v>0.9636500645428896</v>
      </c>
      <c r="AX235" s="34">
        <f t="shared" si="93"/>
        <v>0.17287973500788212</v>
      </c>
      <c r="AY235" s="16">
        <f t="shared" si="94"/>
        <v>85.7999999999994</v>
      </c>
      <c r="AZ235" s="16" t="e">
        <f t="shared" si="95"/>
        <v>#N/A</v>
      </c>
      <c r="BA235" s="16">
        <f t="shared" si="103"/>
        <v>6.9480459767666698E-4</v>
      </c>
      <c r="BB235" s="34">
        <f t="shared" si="104"/>
        <v>0.83435515500605106</v>
      </c>
      <c r="BC235" s="34">
        <f t="shared" si="96"/>
        <v>0.3966775257140398</v>
      </c>
      <c r="BD235" s="16">
        <f t="shared" si="97"/>
        <v>69.400000000000333</v>
      </c>
      <c r="BE235" s="16" t="e">
        <f t="shared" si="98"/>
        <v>#N/A</v>
      </c>
      <c r="BF235" s="16">
        <f t="shared" si="99"/>
        <v>4.9431504263249774E-3</v>
      </c>
      <c r="BU235" s="16">
        <f t="shared" ref="BU235:BU298" si="115">IF($BY$12&lt;3,0,IF(BY235&lt;=$BX$13,0,NORMDIST(LN((BY235-$BX$13)/$BX$12),0,$BW$8,FALSE)/((BY235-$BX$13)/$BX$12)))</f>
        <v>0</v>
      </c>
      <c r="BV235" s="16">
        <f>IF($BY$12=1,NORMDIST(BY235,$Y$6,$Y$8,TRUE),IF($BY$12=2,IF(BY235&lt;=$BX$31,0,IF(BY235&gt;=$BX$32,1,(BY235-$BX$31)*$BX$33)),SUM($BU$42:BU235)/$BV$40))</f>
        <v>6.2391914019122918E-2</v>
      </c>
      <c r="BW235" s="16">
        <f t="shared" ref="BW235:BW298" si="116">BY235*BZ235</f>
        <v>0.11851944834152292</v>
      </c>
      <c r="BX235" s="16">
        <f>IF($BY$12&lt;3,BV235,SUM($BZ$42:BZ235)/$BX$40)</f>
        <v>6.2391914019122918E-2</v>
      </c>
      <c r="BY235" s="16">
        <f t="shared" ref="BY235:BY242" si="117">BY234+$BZ$1</f>
        <v>19.300000000000004</v>
      </c>
      <c r="BZ235" s="16">
        <f t="shared" si="107"/>
        <v>6.1409040591462643E-3</v>
      </c>
      <c r="CA235" s="16">
        <f t="shared" ref="CA235:CA298" si="118">IF(AND($CD$1,$CD$3),26-$CD$40*NORMDIST(BY235,$Y$6,$Y$8/SQRT($T$18),FALSE),-999)</f>
        <v>-999</v>
      </c>
      <c r="CB235" s="16" t="str">
        <f t="shared" si="108"/>
        <v/>
      </c>
      <c r="CC235" s="16" t="e">
        <f>IF(CB235="",NA(),COUNTIF(CB235:$CB$704,CB235))</f>
        <v>#N/A</v>
      </c>
      <c r="CD235" s="16" t="e">
        <f t="shared" si="109"/>
        <v>#N/A</v>
      </c>
      <c r="CE235" s="16" t="e">
        <f t="shared" si="110"/>
        <v>#N/A</v>
      </c>
      <c r="CF235" s="16">
        <f t="shared" si="111"/>
        <v>99</v>
      </c>
      <c r="CG235" s="16">
        <f t="shared" si="112"/>
        <v>0</v>
      </c>
      <c r="CH235" s="16">
        <f t="shared" si="105"/>
        <v>0</v>
      </c>
      <c r="CJ235" s="16" t="e">
        <f t="shared" si="113"/>
        <v>#N/A</v>
      </c>
      <c r="CK235" s="16" t="str">
        <f t="shared" si="114"/>
        <v/>
      </c>
    </row>
    <row r="236" spans="1:89" ht="12" customHeight="1">
      <c r="A236" s="211"/>
      <c r="B236" s="211"/>
      <c r="C236" s="211"/>
      <c r="D236" s="211"/>
      <c r="E236" s="211"/>
      <c r="F236" s="211"/>
      <c r="G236" s="211"/>
      <c r="H236" s="211"/>
      <c r="I236" s="211"/>
      <c r="J236" s="211"/>
      <c r="K236" s="211"/>
      <c r="L236" s="211"/>
      <c r="M236" s="211"/>
      <c r="N236" s="211"/>
      <c r="O236" s="211"/>
      <c r="AM236" s="34">
        <f t="shared" si="100"/>
        <v>0.24238951690495014</v>
      </c>
      <c r="AN236" s="34">
        <f t="shared" si="85"/>
        <v>0.32011322118341923</v>
      </c>
      <c r="AO236" s="16">
        <f t="shared" si="86"/>
        <v>36.000000000000242</v>
      </c>
      <c r="AP236" s="16" t="e">
        <f t="shared" si="87"/>
        <v>#N/A</v>
      </c>
      <c r="AQ236" s="16">
        <f t="shared" si="88"/>
        <v>4.9978306218613766E-3</v>
      </c>
      <c r="AR236" s="34">
        <f t="shared" si="101"/>
        <v>0.14339284040033817</v>
      </c>
      <c r="AS236" s="34">
        <f t="shared" si="89"/>
        <v>0.26811030693352222</v>
      </c>
      <c r="AT236" s="540">
        <f t="shared" si="90"/>
        <v>28.600000000000136</v>
      </c>
      <c r="AU236" s="16" t="e">
        <f t="shared" si="91"/>
        <v>#N/A</v>
      </c>
      <c r="AV236" s="16">
        <f t="shared" si="92"/>
        <v>3.0170444163886362E-3</v>
      </c>
      <c r="AW236" s="34">
        <f t="shared" si="102"/>
        <v>0.59751537628471851</v>
      </c>
      <c r="AX236" s="34">
        <f t="shared" si="93"/>
        <v>0.53054707683622837</v>
      </c>
      <c r="AY236" s="16">
        <f t="shared" si="94"/>
        <v>54.90000000000051</v>
      </c>
      <c r="AZ236" s="16" t="e">
        <f t="shared" si="95"/>
        <v>#N/A</v>
      </c>
      <c r="BA236" s="16">
        <f t="shared" si="103"/>
        <v>1.0269983197467417E-2</v>
      </c>
      <c r="BB236" s="34">
        <f t="shared" si="104"/>
        <v>0.41394823230803013</v>
      </c>
      <c r="BC236" s="34">
        <f t="shared" si="96"/>
        <v>0.70440732128918171</v>
      </c>
      <c r="BD236" s="16">
        <f t="shared" si="97"/>
        <v>45.600000000000378</v>
      </c>
      <c r="BE236" s="16" t="e">
        <f t="shared" si="98"/>
        <v>#N/A</v>
      </c>
      <c r="BF236" s="16">
        <f t="shared" si="99"/>
        <v>1.3714942933002499E-2</v>
      </c>
      <c r="BU236" s="16">
        <f t="shared" si="115"/>
        <v>0</v>
      </c>
      <c r="BV236" s="16">
        <f>IF($BY$12=1,NORMDIST(BY236,$Y$6,$Y$8,TRUE),IF($BY$12=2,IF(BY236&lt;=$BX$31,0,IF(BY236&gt;=$BX$32,1,(BY236-$BX$31)*$BX$33)),SUM($BU$42:BU236)/$BV$40))</f>
        <v>6.3008364463978506E-2</v>
      </c>
      <c r="BW236" s="16">
        <f t="shared" si="116"/>
        <v>0.1200499058358775</v>
      </c>
      <c r="BX236" s="16">
        <f>IF($BY$12&lt;3,BV236,SUM($BZ$42:BZ236)/$BX$40)</f>
        <v>6.3008364463978506E-2</v>
      </c>
      <c r="BY236" s="16">
        <f t="shared" si="117"/>
        <v>19.400000000000006</v>
      </c>
      <c r="BZ236" s="16">
        <f t="shared" si="107"/>
        <v>6.1881394760761581E-3</v>
      </c>
      <c r="CA236" s="16">
        <f t="shared" si="118"/>
        <v>-999</v>
      </c>
      <c r="CB236" s="16" t="str">
        <f t="shared" si="108"/>
        <v/>
      </c>
      <c r="CC236" s="16" t="e">
        <f>IF(CB236="",NA(),COUNTIF(CB236:$CB$704,CB236))</f>
        <v>#N/A</v>
      </c>
      <c r="CD236" s="16" t="e">
        <f t="shared" si="109"/>
        <v>#N/A</v>
      </c>
      <c r="CE236" s="16" t="e">
        <f t="shared" si="110"/>
        <v>#N/A</v>
      </c>
      <c r="CF236" s="16">
        <f t="shared" si="111"/>
        <v>99</v>
      </c>
      <c r="CG236" s="16">
        <f t="shared" si="112"/>
        <v>0</v>
      </c>
      <c r="CH236" s="16">
        <f t="shared" si="105"/>
        <v>0</v>
      </c>
      <c r="CJ236" s="16" t="e">
        <f t="shared" si="113"/>
        <v>#N/A</v>
      </c>
      <c r="CK236" s="16" t="str">
        <f t="shared" si="114"/>
        <v/>
      </c>
    </row>
    <row r="237" spans="1:89" ht="12" customHeight="1">
      <c r="A237" s="211"/>
      <c r="B237" s="211"/>
      <c r="C237" s="211"/>
      <c r="D237" s="211"/>
      <c r="E237" s="211"/>
      <c r="F237" s="211"/>
      <c r="G237" s="211"/>
      <c r="H237" s="211"/>
      <c r="I237" s="211"/>
      <c r="J237" s="211"/>
      <c r="K237" s="211"/>
      <c r="L237" s="211"/>
      <c r="M237" s="211"/>
      <c r="N237" s="211"/>
      <c r="O237" s="211"/>
      <c r="AM237" s="34">
        <f t="shared" si="100"/>
        <v>0.37330606766045094</v>
      </c>
      <c r="AN237" s="34">
        <f t="shared" si="85"/>
        <v>0.52958338893949986</v>
      </c>
      <c r="AO237" s="16">
        <f t="shared" si="86"/>
        <v>43.500000000000348</v>
      </c>
      <c r="AP237" s="16" t="e">
        <f t="shared" si="87"/>
        <v>#N/A</v>
      </c>
      <c r="AQ237" s="16">
        <f t="shared" si="88"/>
        <v>1.0020242851871459E-2</v>
      </c>
      <c r="AR237" s="34">
        <f t="shared" si="101"/>
        <v>0.55476921238005161</v>
      </c>
      <c r="AS237" s="34">
        <f t="shared" si="89"/>
        <v>0.33580027706921101</v>
      </c>
      <c r="AT237" s="540">
        <f t="shared" si="90"/>
        <v>52.700000000000479</v>
      </c>
      <c r="AU237" s="16" t="e">
        <f t="shared" si="91"/>
        <v>#N/A</v>
      </c>
      <c r="AV237" s="16">
        <f t="shared" si="92"/>
        <v>6.6374859047411321E-3</v>
      </c>
      <c r="AW237" s="34">
        <f t="shared" si="102"/>
        <v>0.66547428257763386</v>
      </c>
      <c r="AX237" s="34">
        <f t="shared" si="93"/>
        <v>0.47694201208651066</v>
      </c>
      <c r="AY237" s="16">
        <f t="shared" si="94"/>
        <v>58.500000000000561</v>
      </c>
      <c r="AZ237" s="16" t="e">
        <f t="shared" si="95"/>
        <v>#N/A</v>
      </c>
      <c r="BA237" s="16">
        <f t="shared" si="103"/>
        <v>8.6920742855627151E-3</v>
      </c>
      <c r="BB237" s="34">
        <f t="shared" si="104"/>
        <v>0.37018699385225773</v>
      </c>
      <c r="BC237" s="34">
        <f t="shared" si="96"/>
        <v>0.75095349736511707</v>
      </c>
      <c r="BD237" s="16">
        <f t="shared" si="97"/>
        <v>43.300000000000345</v>
      </c>
      <c r="BE237" s="16" t="e">
        <f t="shared" si="98"/>
        <v>#N/A</v>
      </c>
      <c r="BF237" s="16">
        <f t="shared" si="99"/>
        <v>1.4161973105067715E-2</v>
      </c>
      <c r="BU237" s="16">
        <f t="shared" si="115"/>
        <v>0</v>
      </c>
      <c r="BV237" s="16">
        <f>IF($BY$12=1,NORMDIST(BY237,$Y$6,$Y$8,TRUE),IF($BY$12=2,IF(BY237&lt;=$BX$31,0,IF(BY237&gt;=$BX$32,1,(BY237-$BX$31)*$BX$33)),SUM($BU$42:BU237)/$BV$40))</f>
        <v>6.3629548829032823E-2</v>
      </c>
      <c r="BW237" s="16">
        <f t="shared" si="116"/>
        <v>0.12159385549579836</v>
      </c>
      <c r="BX237" s="16">
        <f>IF($BY$12&lt;3,BV237,SUM($BZ$42:BZ237)/$BX$40)</f>
        <v>6.3629548829032823E-2</v>
      </c>
      <c r="BY237" s="16">
        <f t="shared" si="117"/>
        <v>19.500000000000007</v>
      </c>
      <c r="BZ237" s="16">
        <f t="shared" si="107"/>
        <v>6.2355823331178622E-3</v>
      </c>
      <c r="CA237" s="16">
        <f t="shared" si="118"/>
        <v>-999</v>
      </c>
      <c r="CB237" s="16" t="str">
        <f t="shared" si="108"/>
        <v/>
      </c>
      <c r="CC237" s="16" t="e">
        <f>IF(CB237="",NA(),COUNTIF(CB237:$CB$704,CB237))</f>
        <v>#N/A</v>
      </c>
      <c r="CD237" s="16" t="e">
        <f t="shared" si="109"/>
        <v>#N/A</v>
      </c>
      <c r="CE237" s="16" t="e">
        <f t="shared" si="110"/>
        <v>#N/A</v>
      </c>
      <c r="CF237" s="16">
        <f t="shared" si="111"/>
        <v>99</v>
      </c>
      <c r="CG237" s="16">
        <f t="shared" si="112"/>
        <v>0</v>
      </c>
      <c r="CH237" s="16">
        <f t="shared" si="105"/>
        <v>0</v>
      </c>
      <c r="CJ237" s="16" t="e">
        <f t="shared" si="113"/>
        <v>#N/A</v>
      </c>
      <c r="CK237" s="16" t="str">
        <f t="shared" si="114"/>
        <v/>
      </c>
    </row>
    <row r="238" spans="1:89" ht="12" customHeight="1">
      <c r="A238" s="211"/>
      <c r="B238" s="211"/>
      <c r="C238" s="211"/>
      <c r="D238" s="211"/>
      <c r="E238" s="211"/>
      <c r="F238" s="211"/>
      <c r="G238" s="211"/>
      <c r="H238" s="211"/>
      <c r="I238" s="211"/>
      <c r="J238" s="211"/>
      <c r="K238" s="211"/>
      <c r="L238" s="211"/>
      <c r="M238" s="211"/>
      <c r="N238" s="211"/>
      <c r="O238" s="211"/>
      <c r="AM238" s="34">
        <f t="shared" si="100"/>
        <v>0.77397905476391315</v>
      </c>
      <c r="AN238" s="34">
        <f t="shared" si="85"/>
        <v>0.60936684347689152</v>
      </c>
      <c r="AO238" s="16">
        <f t="shared" si="86"/>
        <v>65.000000000000583</v>
      </c>
      <c r="AP238" s="16" t="e">
        <f t="shared" si="87"/>
        <v>#N/A</v>
      </c>
      <c r="AQ238" s="16">
        <f t="shared" si="88"/>
        <v>9.1751583242452844E-3</v>
      </c>
      <c r="AR238" s="34">
        <f t="shared" si="101"/>
        <v>0.13609571196138859</v>
      </c>
      <c r="AS238" s="34">
        <f t="shared" si="89"/>
        <v>0.88885814137756824</v>
      </c>
      <c r="AT238" s="540">
        <f t="shared" si="90"/>
        <v>28.000000000000128</v>
      </c>
      <c r="AU238" s="16" t="e">
        <f t="shared" si="91"/>
        <v>#N/A</v>
      </c>
      <c r="AV238" s="16">
        <f t="shared" si="92"/>
        <v>9.6819840586105602E-3</v>
      </c>
      <c r="AW238" s="34">
        <f t="shared" si="102"/>
        <v>0.32111126370728016</v>
      </c>
      <c r="AX238" s="34">
        <f t="shared" si="93"/>
        <v>0.81151922978460789</v>
      </c>
      <c r="AY238" s="16">
        <f t="shared" si="94"/>
        <v>40.700000000000308</v>
      </c>
      <c r="AZ238" s="16" t="e">
        <f t="shared" si="95"/>
        <v>#N/A</v>
      </c>
      <c r="BA238" s="16">
        <f t="shared" si="103"/>
        <v>1.4528682173149442E-2</v>
      </c>
      <c r="BB238" s="34">
        <f t="shared" si="104"/>
        <v>0.73604663647711277</v>
      </c>
      <c r="BC238" s="34">
        <f t="shared" si="96"/>
        <v>0.93337740190327168</v>
      </c>
      <c r="BD238" s="16">
        <f t="shared" si="97"/>
        <v>62.60000000000062</v>
      </c>
      <c r="BE238" s="16" t="e">
        <f t="shared" si="98"/>
        <v>#N/A</v>
      </c>
      <c r="BF238" s="16">
        <f t="shared" si="99"/>
        <v>1.5266926408229416E-2</v>
      </c>
      <c r="BU238" s="16">
        <f t="shared" si="115"/>
        <v>0</v>
      </c>
      <c r="BV238" s="16">
        <f>IF($BY$12=1,NORMDIST(BY238,$Y$6,$Y$8,TRUE),IF($BY$12=2,IF(BY238&lt;=$BX$31,0,IF(BY238&gt;=$BX$32,1,(BY238-$BX$31)*$BX$33)),SUM($BU$42:BU238)/$BV$40))</f>
        <v>6.4255487818935864E-2</v>
      </c>
      <c r="BW238" s="16">
        <f t="shared" si="116"/>
        <v>0.12315134405330648</v>
      </c>
      <c r="BX238" s="16">
        <f>IF($BY$12&lt;3,BV238,SUM($BZ$42:BZ238)/$BX$40)</f>
        <v>6.4255487818935864E-2</v>
      </c>
      <c r="BY238" s="16">
        <f t="shared" si="117"/>
        <v>19.600000000000009</v>
      </c>
      <c r="BZ238" s="16">
        <f t="shared" si="107"/>
        <v>6.2832318394544099E-3</v>
      </c>
      <c r="CA238" s="16">
        <f t="shared" si="118"/>
        <v>-999</v>
      </c>
      <c r="CB238" s="16" t="str">
        <f t="shared" si="108"/>
        <v/>
      </c>
      <c r="CC238" s="16" t="e">
        <f>IF(CB238="",NA(),COUNTIF(CB238:$CB$704,CB238))</f>
        <v>#N/A</v>
      </c>
      <c r="CD238" s="16" t="e">
        <f t="shared" si="109"/>
        <v>#N/A</v>
      </c>
      <c r="CE238" s="16" t="e">
        <f t="shared" si="110"/>
        <v>#N/A</v>
      </c>
      <c r="CF238" s="16">
        <f t="shared" si="111"/>
        <v>99</v>
      </c>
      <c r="CG238" s="16">
        <f t="shared" si="112"/>
        <v>0</v>
      </c>
      <c r="CH238" s="16">
        <f t="shared" si="105"/>
        <v>0</v>
      </c>
      <c r="CJ238" s="16" t="e">
        <f t="shared" si="113"/>
        <v>#N/A</v>
      </c>
      <c r="CK238" s="16" t="str">
        <f t="shared" si="114"/>
        <v/>
      </c>
    </row>
    <row r="239" spans="1:89" ht="12" customHeight="1">
      <c r="A239" s="211"/>
      <c r="B239" s="211"/>
      <c r="C239" s="211"/>
      <c r="D239" s="211"/>
      <c r="E239" s="211"/>
      <c r="F239" s="211"/>
      <c r="G239" s="211"/>
      <c r="H239" s="211"/>
      <c r="I239" s="211"/>
      <c r="J239" s="211"/>
      <c r="K239" s="211"/>
      <c r="L239" s="211"/>
      <c r="M239" s="211"/>
      <c r="N239" s="211"/>
      <c r="O239" s="211"/>
      <c r="AM239" s="34">
        <f t="shared" si="100"/>
        <v>0.35653788037598133</v>
      </c>
      <c r="AN239" s="34">
        <f t="shared" si="85"/>
        <v>0.43875225819647312</v>
      </c>
      <c r="AO239" s="16">
        <f t="shared" si="86"/>
        <v>42.600000000000335</v>
      </c>
      <c r="AP239" s="16" t="e">
        <f t="shared" si="87"/>
        <v>#N/A</v>
      </c>
      <c r="AQ239" s="16">
        <f t="shared" si="88"/>
        <v>8.1728208200603798E-3</v>
      </c>
      <c r="AR239" s="34">
        <f t="shared" si="101"/>
        <v>0.968931520357728</v>
      </c>
      <c r="AS239" s="34">
        <f t="shared" si="89"/>
        <v>0.79968704469501972</v>
      </c>
      <c r="AT239" s="540">
        <f t="shared" si="90"/>
        <v>87.299999999999315</v>
      </c>
      <c r="AU239" s="16" t="e">
        <f t="shared" si="91"/>
        <v>#N/A</v>
      </c>
      <c r="AV239" s="16">
        <f t="shared" si="92"/>
        <v>2.802290588987095E-3</v>
      </c>
      <c r="AW239" s="34">
        <f t="shared" si="102"/>
        <v>0.8475960660725832</v>
      </c>
      <c r="AX239" s="34">
        <f t="shared" si="93"/>
        <v>0.67947469092905521</v>
      </c>
      <c r="AY239" s="16">
        <f t="shared" si="94"/>
        <v>70.50000000000027</v>
      </c>
      <c r="AZ239" s="16" t="e">
        <f t="shared" si="95"/>
        <v>#N/A</v>
      </c>
      <c r="BA239" s="16">
        <f t="shared" si="103"/>
        <v>8.0151754780680637E-3</v>
      </c>
      <c r="BB239" s="34">
        <f t="shared" si="104"/>
        <v>0.15293894149363041</v>
      </c>
      <c r="BC239" s="34">
        <f t="shared" si="96"/>
        <v>0.40314254350960255</v>
      </c>
      <c r="BD239" s="16">
        <f t="shared" si="97"/>
        <v>29.500000000000149</v>
      </c>
      <c r="BE239" s="16" t="e">
        <f t="shared" si="98"/>
        <v>#N/A</v>
      </c>
      <c r="BF239" s="16">
        <f t="shared" si="99"/>
        <v>4.7555240423835052E-3</v>
      </c>
      <c r="BU239" s="16">
        <f t="shared" si="115"/>
        <v>0</v>
      </c>
      <c r="BV239" s="16">
        <f>IF($BY$12=1,NORMDIST(BY239,$Y$6,$Y$8,TRUE),IF($BY$12=2,IF(BY239&lt;=$BX$31,0,IF(BY239&gt;=$BX$32,1,(BY239-$BX$31)*$BX$33)),SUM($BU$42:BU239)/$BV$40))</f>
        <v>6.4886202058176412E-2</v>
      </c>
      <c r="BW239" s="16">
        <f t="shared" si="116"/>
        <v>0.12472241749836541</v>
      </c>
      <c r="BX239" s="16">
        <f>IF($BY$12&lt;3,BV239,SUM($BZ$42:BZ239)/$BX$40)</f>
        <v>6.4886202058176412E-2</v>
      </c>
      <c r="BY239" s="16">
        <f t="shared" si="117"/>
        <v>19.70000000000001</v>
      </c>
      <c r="BZ239" s="16">
        <f t="shared" si="107"/>
        <v>6.3310871826581395E-3</v>
      </c>
      <c r="CA239" s="16">
        <f t="shared" si="118"/>
        <v>-999</v>
      </c>
      <c r="CB239" s="16" t="str">
        <f t="shared" si="108"/>
        <v/>
      </c>
      <c r="CC239" s="16" t="e">
        <f>IF(CB239="",NA(),COUNTIF(CB239:$CB$704,CB239))</f>
        <v>#N/A</v>
      </c>
      <c r="CD239" s="16" t="e">
        <f t="shared" si="109"/>
        <v>#N/A</v>
      </c>
      <c r="CE239" s="16" t="e">
        <f t="shared" si="110"/>
        <v>#N/A</v>
      </c>
      <c r="CF239" s="16">
        <f t="shared" si="111"/>
        <v>99</v>
      </c>
      <c r="CG239" s="16">
        <f t="shared" si="112"/>
        <v>0</v>
      </c>
      <c r="CH239" s="16">
        <f t="shared" si="105"/>
        <v>0</v>
      </c>
      <c r="CJ239" s="16" t="e">
        <f t="shared" si="113"/>
        <v>#N/A</v>
      </c>
      <c r="CK239" s="16" t="str">
        <f t="shared" si="114"/>
        <v/>
      </c>
    </row>
    <row r="240" spans="1:89" ht="12" customHeight="1">
      <c r="A240" s="211"/>
      <c r="B240" s="211"/>
      <c r="C240" s="211"/>
      <c r="D240" s="211"/>
      <c r="E240" s="211"/>
      <c r="F240" s="211"/>
      <c r="G240" s="211"/>
      <c r="H240" s="211"/>
      <c r="I240" s="211"/>
      <c r="J240" s="211"/>
      <c r="K240" s="211"/>
      <c r="L240" s="211"/>
      <c r="M240" s="211"/>
      <c r="N240" s="211"/>
      <c r="O240" s="211"/>
      <c r="AM240" s="34">
        <f t="shared" si="100"/>
        <v>0.28574408777058125</v>
      </c>
      <c r="AN240" s="34">
        <f t="shared" si="85"/>
        <v>0.59237895347177982</v>
      </c>
      <c r="AO240" s="16">
        <f t="shared" si="86"/>
        <v>38.600000000000279</v>
      </c>
      <c r="AP240" s="16" t="e">
        <f t="shared" si="87"/>
        <v>#N/A</v>
      </c>
      <c r="AQ240" s="16">
        <f t="shared" si="88"/>
        <v>1.0044505287636851E-2</v>
      </c>
      <c r="AR240" s="34">
        <f t="shared" si="101"/>
        <v>0.84288177825510502</v>
      </c>
      <c r="AS240" s="34">
        <f t="shared" si="89"/>
        <v>0.74001416750252247</v>
      </c>
      <c r="AT240" s="540">
        <f t="shared" si="90"/>
        <v>70.100000000000293</v>
      </c>
      <c r="AU240" s="16" t="e">
        <f t="shared" si="91"/>
        <v>#N/A</v>
      </c>
      <c r="AV240" s="16">
        <f t="shared" si="92"/>
        <v>8.9083231447620575E-3</v>
      </c>
      <c r="AW240" s="34">
        <f t="shared" si="102"/>
        <v>0.74246153421700001</v>
      </c>
      <c r="AX240" s="34">
        <f t="shared" si="93"/>
        <v>0.99416994489729404</v>
      </c>
      <c r="AY240" s="16">
        <f t="shared" si="94"/>
        <v>63.000000000000625</v>
      </c>
      <c r="AZ240" s="16" t="e">
        <f t="shared" si="95"/>
        <v>#N/A</v>
      </c>
      <c r="BA240" s="16" t="e">
        <f t="shared" si="103"/>
        <v>#N/A</v>
      </c>
      <c r="BB240" s="34">
        <f t="shared" si="104"/>
        <v>0.67594909109175205</v>
      </c>
      <c r="BC240" s="34">
        <f t="shared" si="96"/>
        <v>0.69825570471584797</v>
      </c>
      <c r="BD240" s="16">
        <f t="shared" si="97"/>
        <v>59.10000000000057</v>
      </c>
      <c r="BE240" s="16" t="e">
        <f t="shared" si="98"/>
        <v>#N/A</v>
      </c>
      <c r="BF240" s="16">
        <f t="shared" si="99"/>
        <v>1.2558554515258644E-2</v>
      </c>
      <c r="BU240" s="16">
        <f t="shared" si="115"/>
        <v>0</v>
      </c>
      <c r="BV240" s="16">
        <f>IF($BY$12=1,NORMDIST(BY240,$Y$6,$Y$8,TRUE),IF($BY$12=2,IF(BY240&lt;=$BX$31,0,IF(BY240&gt;=$BX$32,1,(BY240-$BX$31)*$BX$33)),SUM($BU$42:BU240)/$BV$40))</f>
        <v>6.5521712088916439E-2</v>
      </c>
      <c r="BW240" s="16">
        <f t="shared" si="116"/>
        <v>0.12630712106642064</v>
      </c>
      <c r="BX240" s="16">
        <f>IF($BY$12&lt;3,BV240,SUM($BZ$42:BZ240)/$BX$40)</f>
        <v>6.5521712088916439E-2</v>
      </c>
      <c r="BY240" s="16">
        <f t="shared" si="117"/>
        <v>19.800000000000011</v>
      </c>
      <c r="BZ240" s="16">
        <f t="shared" si="107"/>
        <v>6.379147528607099E-3</v>
      </c>
      <c r="CA240" s="16">
        <f t="shared" si="118"/>
        <v>-999</v>
      </c>
      <c r="CB240" s="16" t="str">
        <f t="shared" si="108"/>
        <v/>
      </c>
      <c r="CC240" s="16" t="e">
        <f>IF(CB240="",NA(),COUNTIF(CB240:$CB$704,CB240))</f>
        <v>#N/A</v>
      </c>
      <c r="CD240" s="16" t="e">
        <f t="shared" si="109"/>
        <v>#N/A</v>
      </c>
      <c r="CE240" s="16" t="e">
        <f t="shared" si="110"/>
        <v>#N/A</v>
      </c>
      <c r="CF240" s="16">
        <f t="shared" si="111"/>
        <v>99</v>
      </c>
      <c r="CG240" s="16">
        <f t="shared" si="112"/>
        <v>0</v>
      </c>
      <c r="CH240" s="16">
        <f t="shared" si="105"/>
        <v>0</v>
      </c>
      <c r="CJ240" s="16" t="e">
        <f t="shared" si="113"/>
        <v>#N/A</v>
      </c>
      <c r="CK240" s="16" t="str">
        <f t="shared" si="114"/>
        <v/>
      </c>
    </row>
    <row r="241" spans="1:89" ht="12" customHeight="1">
      <c r="A241" s="211"/>
      <c r="B241" s="211"/>
      <c r="C241" s="211"/>
      <c r="D241" s="211"/>
      <c r="E241" s="211"/>
      <c r="F241" s="211"/>
      <c r="G241" s="211"/>
      <c r="H241" s="211"/>
      <c r="I241" s="211"/>
      <c r="J241" s="211"/>
      <c r="K241" s="211"/>
      <c r="L241" s="211"/>
      <c r="M241" s="211"/>
      <c r="N241" s="211"/>
      <c r="O241" s="211"/>
      <c r="AM241" s="34">
        <f t="shared" si="100"/>
        <v>0.23564419336616993</v>
      </c>
      <c r="AN241" s="34">
        <f t="shared" si="85"/>
        <v>0.99703621305525303</v>
      </c>
      <c r="AO241" s="16">
        <f t="shared" si="86"/>
        <v>35.500000000000234</v>
      </c>
      <c r="AP241" s="16" t="e">
        <f t="shared" si="87"/>
        <v>#N/A</v>
      </c>
      <c r="AQ241" s="16" t="e">
        <f t="shared" si="88"/>
        <v>#N/A</v>
      </c>
      <c r="AR241" s="34">
        <f t="shared" si="101"/>
        <v>0.29520940221846104</v>
      </c>
      <c r="AS241" s="34">
        <f t="shared" si="89"/>
        <v>0.85990683920681477</v>
      </c>
      <c r="AT241" s="540">
        <f t="shared" si="90"/>
        <v>39.200000000000287</v>
      </c>
      <c r="AU241" s="16" t="e">
        <f t="shared" si="91"/>
        <v>#N/A</v>
      </c>
      <c r="AV241" s="16">
        <f t="shared" si="92"/>
        <v>1.4825567885965518E-2</v>
      </c>
      <c r="AW241" s="34">
        <f t="shared" si="102"/>
        <v>0.37318222410976887</v>
      </c>
      <c r="AX241" s="34">
        <f t="shared" si="93"/>
        <v>9.2466602101922035E-2</v>
      </c>
      <c r="AY241" s="16">
        <f t="shared" si="94"/>
        <v>43.500000000000348</v>
      </c>
      <c r="AZ241" s="16" t="e">
        <f t="shared" si="95"/>
        <v>#N/A</v>
      </c>
      <c r="BA241" s="16">
        <f t="shared" si="103"/>
        <v>1.7495598013450443E-3</v>
      </c>
      <c r="BB241" s="34">
        <f t="shared" si="104"/>
        <v>0.12448264099657536</v>
      </c>
      <c r="BC241" s="34">
        <f t="shared" si="96"/>
        <v>2.8240086510777473E-2</v>
      </c>
      <c r="BD241" s="16">
        <f t="shared" si="97"/>
        <v>26.900000000000112</v>
      </c>
      <c r="BE241" s="16" t="e">
        <f t="shared" si="98"/>
        <v>#N/A</v>
      </c>
      <c r="BF241" s="16">
        <f t="shared" si="99"/>
        <v>2.8911208441120216E-4</v>
      </c>
      <c r="BU241" s="16">
        <f t="shared" si="115"/>
        <v>0</v>
      </c>
      <c r="BV241" s="16">
        <f>IF($BY$12=1,NORMDIST(BY241,$Y$6,$Y$8,TRUE),IF($BY$12=2,IF(BY241&lt;=$BX$31,0,IF(BY241&gt;=$BX$32,1,(BY241-$BX$31)*$BX$33)),SUM($BU$42:BU241)/$BV$40))</f>
        <v>6.6162038368817289E-2</v>
      </c>
      <c r="BW241" s="16">
        <f t="shared" si="116"/>
        <v>0.12790549922593081</v>
      </c>
      <c r="BX241" s="16">
        <f>IF($BY$12&lt;3,BV241,SUM($BZ$42:BZ241)/$BX$40)</f>
        <v>6.6162038368817289E-2</v>
      </c>
      <c r="BY241" s="16">
        <f t="shared" si="117"/>
        <v>19.900000000000013</v>
      </c>
      <c r="BZ241" s="16">
        <f t="shared" si="107"/>
        <v>6.4274120214035547E-3</v>
      </c>
      <c r="CA241" s="16">
        <f t="shared" si="118"/>
        <v>-999</v>
      </c>
      <c r="CB241" s="16" t="str">
        <f t="shared" si="108"/>
        <v/>
      </c>
      <c r="CC241" s="16" t="e">
        <f>IF(CB241="",NA(),COUNTIF(CB241:$CB$704,CB241))</f>
        <v>#N/A</v>
      </c>
      <c r="CD241" s="16" t="e">
        <f t="shared" si="109"/>
        <v>#N/A</v>
      </c>
      <c r="CE241" s="16" t="e">
        <f t="shared" si="110"/>
        <v>#N/A</v>
      </c>
      <c r="CF241" s="16">
        <f t="shared" si="111"/>
        <v>99</v>
      </c>
      <c r="CG241" s="16">
        <f t="shared" si="112"/>
        <v>0</v>
      </c>
      <c r="CH241" s="16">
        <f t="shared" si="105"/>
        <v>0</v>
      </c>
      <c r="CJ241" s="16" t="e">
        <f t="shared" si="113"/>
        <v>#N/A</v>
      </c>
      <c r="CK241" s="16" t="str">
        <f t="shared" si="114"/>
        <v/>
      </c>
    </row>
    <row r="242" spans="1:89" ht="12" customHeight="1">
      <c r="A242" s="211"/>
      <c r="B242" s="211"/>
      <c r="C242" s="211"/>
      <c r="D242" s="211"/>
      <c r="E242" s="211"/>
      <c r="F242" s="211"/>
      <c r="G242" s="211"/>
      <c r="H242" s="211"/>
      <c r="I242" s="211"/>
      <c r="J242" s="211"/>
      <c r="K242" s="211"/>
      <c r="L242" s="211"/>
      <c r="M242" s="211"/>
      <c r="N242" s="211"/>
      <c r="O242" s="211"/>
      <c r="AM242" s="34">
        <f t="shared" si="100"/>
        <v>9.2023300006985664E-2</v>
      </c>
      <c r="AN242" s="34">
        <f t="shared" si="85"/>
        <v>0.19637275673449039</v>
      </c>
      <c r="AO242" s="16">
        <f t="shared" si="86"/>
        <v>23.400000000000063</v>
      </c>
      <c r="AP242" s="16" t="e">
        <f t="shared" si="87"/>
        <v>#N/A</v>
      </c>
      <c r="AQ242" s="16">
        <f t="shared" si="88"/>
        <v>1.6175196025733265E-3</v>
      </c>
      <c r="AR242" s="34">
        <f t="shared" si="101"/>
        <v>0.57085705734789371</v>
      </c>
      <c r="AS242" s="34">
        <f t="shared" si="89"/>
        <v>0.99462068267166615</v>
      </c>
      <c r="AT242" s="540">
        <f t="shared" si="90"/>
        <v>53.50000000000049</v>
      </c>
      <c r="AU242" s="16" t="e">
        <f t="shared" si="91"/>
        <v>#N/A</v>
      </c>
      <c r="AV242" s="16" t="e">
        <f t="shared" si="92"/>
        <v>#N/A</v>
      </c>
      <c r="AW242" s="34">
        <f t="shared" si="102"/>
        <v>0.22308504767715931</v>
      </c>
      <c r="AX242" s="34">
        <f t="shared" si="93"/>
        <v>0.37687721289694309</v>
      </c>
      <c r="AY242" s="16">
        <f t="shared" si="94"/>
        <v>34.700000000000223</v>
      </c>
      <c r="AZ242" s="16" t="e">
        <f t="shared" si="95"/>
        <v>#N/A</v>
      </c>
      <c r="BA242" s="16">
        <f t="shared" si="103"/>
        <v>5.6104791866701826E-3</v>
      </c>
      <c r="BB242" s="34">
        <f t="shared" si="104"/>
        <v>0.23222889937460423</v>
      </c>
      <c r="BC242" s="34">
        <f t="shared" si="96"/>
        <v>1.2721734121441841E-2</v>
      </c>
      <c r="BD242" s="16">
        <f t="shared" si="97"/>
        <v>35.300000000000232</v>
      </c>
      <c r="BE242" s="16" t="e">
        <f t="shared" si="98"/>
        <v>#N/A</v>
      </c>
      <c r="BF242" s="16">
        <f t="shared" si="99"/>
        <v>1.9369482454700989E-4</v>
      </c>
      <c r="BU242" s="16">
        <f t="shared" si="115"/>
        <v>0</v>
      </c>
      <c r="BV242" s="16">
        <f>IF($BY$12=1,NORMDIST(BY242,$Y$6,$Y$8,TRUE),IF($BY$12=2,IF(BY242&lt;=$BX$31,0,IF(BY242&gt;=$BX$32,1,(BY242-$BX$31)*$BX$33)),SUM($BU$42:BU242)/$BV$40))</f>
        <v>6.6807201268858085E-2</v>
      </c>
      <c r="BW242" s="16">
        <f t="shared" si="116"/>
        <v>0.12951759566589194</v>
      </c>
      <c r="BX242" s="16">
        <f>IF($BY$12&lt;3,BV242,SUM($BZ$42:BZ242)/$BX$40)</f>
        <v>6.6807201268858085E-2</v>
      </c>
      <c r="BY242" s="16">
        <f t="shared" si="117"/>
        <v>20.000000000000014</v>
      </c>
      <c r="BZ242" s="16">
        <f t="shared" si="107"/>
        <v>6.4758797832945927E-3</v>
      </c>
      <c r="CA242" s="16">
        <f t="shared" si="118"/>
        <v>-999</v>
      </c>
      <c r="CB242" s="16" t="str">
        <f t="shared" si="108"/>
        <v/>
      </c>
      <c r="CC242" s="16" t="e">
        <f>IF(CB242="",NA(),COUNTIF(CB242:$CB$704,CB242))</f>
        <v>#N/A</v>
      </c>
      <c r="CD242" s="16" t="e">
        <f t="shared" si="109"/>
        <v>#N/A</v>
      </c>
      <c r="CE242" s="16" t="e">
        <f t="shared" si="110"/>
        <v>#N/A</v>
      </c>
      <c r="CF242" s="16">
        <f t="shared" si="111"/>
        <v>99</v>
      </c>
      <c r="CG242" s="16">
        <f t="shared" si="112"/>
        <v>0</v>
      </c>
      <c r="CH242" s="16">
        <f t="shared" si="105"/>
        <v>0</v>
      </c>
      <c r="CJ242" s="16" t="e">
        <f t="shared" si="113"/>
        <v>#N/A</v>
      </c>
      <c r="CK242" s="16" t="str">
        <f t="shared" si="114"/>
        <v/>
      </c>
    </row>
    <row r="243" spans="1:89" ht="12" customHeight="1">
      <c r="A243" s="211"/>
      <c r="B243" s="211"/>
      <c r="C243" s="211"/>
      <c r="D243" s="211"/>
      <c r="E243" s="211"/>
      <c r="F243" s="211"/>
      <c r="G243" s="211"/>
      <c r="H243" s="211"/>
      <c r="I243" s="211"/>
      <c r="J243" s="211"/>
      <c r="K243" s="211"/>
      <c r="L243" s="211"/>
      <c r="M243" s="211"/>
      <c r="N243" s="211"/>
      <c r="O243" s="211"/>
      <c r="AM243" s="34">
        <f t="shared" si="100"/>
        <v>0.12019074149429798</v>
      </c>
      <c r="AN243" s="34">
        <f t="shared" ref="AN243:AN306" si="119">MOD(AM243*10000013,1)</f>
        <v>0.97742261923849583</v>
      </c>
      <c r="AO243" s="16">
        <f t="shared" ref="AO243:AO306" si="120">IF(VLOOKUP(AM243,$BX$42:$BY$4042,2)&gt;=$AO$112,NA(),VLOOKUP(AM243,$BX$42:$BY$4042,2))</f>
        <v>26.500000000000107</v>
      </c>
      <c r="AP243" s="16" t="e">
        <f t="shared" ref="AP243:AP306" si="121">IF(AND(AO243&lt;100,$P$16),AO243+AM244+$AU$113,NA())</f>
        <v>#N/A</v>
      </c>
      <c r="AQ243" s="16" t="e">
        <f t="shared" ref="AQ243:AQ306" si="122">IF(AN243*VLOOKUP(AO243,$BY$42:$BZ$1042,2)&lt;VLOOKUP(AO243,$BY$42:$BZ$1042,2)-$BZ$40/$CB$40,AN243*VLOOKUP(AO243,$BY$42:$BZ$1042,2),NA())</f>
        <v>#N/A</v>
      </c>
      <c r="AR243" s="34">
        <f t="shared" si="101"/>
        <v>0.75678553618490696</v>
      </c>
      <c r="AS243" s="34">
        <f t="shared" ref="AS243:AS306" si="123">MOD(AR243*10000013,1)</f>
        <v>0.20006103999912739</v>
      </c>
      <c r="AT243" s="540">
        <f t="shared" ref="AT243:AT306" si="124">IF(VLOOKUP(AR243,$BX$42:$BY$4042,2)&gt;=$AO$112,NA(),VLOOKUP(AR243,$BX$42:$BY$4042,2))</f>
        <v>63.900000000000638</v>
      </c>
      <c r="AU243" s="16" t="e">
        <f t="shared" ref="AU243:AU306" si="125">IF(AND(AT243&lt;100,$P$16),AT243+AR244+$AU$113,NA())</f>
        <v>#N/A</v>
      </c>
      <c r="AV243" s="16">
        <f t="shared" ref="AV243:AV306" si="126">IF(AS243*VLOOKUP(AT243,$BY$42:$BZ$1042,2)&lt;VLOOKUP(AT243,$BY$42:$BZ$1042,2)-$BZ$40/$CB$40,AS243*VLOOKUP(AT243,$BY$42:$BZ$1042,2),NA())</f>
        <v>3.1344045292514043E-3</v>
      </c>
      <c r="AW243" s="34">
        <f t="shared" si="102"/>
        <v>2.8373198583722115E-2</v>
      </c>
      <c r="AX243" s="34">
        <f t="shared" ref="AX243:AX306" si="127">MOD(AW243*10000013,1)</f>
        <v>0.35468880273401737</v>
      </c>
      <c r="AY243" s="16">
        <f t="shared" ref="AY243:AY306" si="128">IF(VLOOKUP(AW243,$BX$42:$BY$4042,2)&gt;=$AO$112,NA(),VLOOKUP(AW243,$BX$42:$BY$4042,2))</f>
        <v>11.799999999999974</v>
      </c>
      <c r="AZ243" s="16" t="e">
        <f t="shared" ref="AZ243:AZ306" si="129">IF(AND(AY243&lt;100,$P$16),AY243+AW244+$AU$113,NA())</f>
        <v>#N/A</v>
      </c>
      <c r="BA243" s="16">
        <f t="shared" si="103"/>
        <v>1.1417018342004613E-3</v>
      </c>
      <c r="BB243" s="34">
        <f t="shared" si="104"/>
        <v>0.50659696198999882</v>
      </c>
      <c r="BC243" s="34">
        <f t="shared" ref="BC243:BC306" si="130">MOD(BB243*10000013,1)</f>
        <v>0.2056604940444231</v>
      </c>
      <c r="BD243" s="16">
        <f t="shared" ref="BD243:BD306" si="131">IF(VLOOKUP(BB243,$BX$42:$BY$4042,2)&gt;=$AO$112,NA(),VLOOKUP(BB243,$BX$42:$BY$4042,2))</f>
        <v>50.300000000000445</v>
      </c>
      <c r="BE243" s="16" t="e">
        <f t="shared" ref="BE243:BE306" si="132">IF(AND(BD243&lt;100,$P$16),BD243+BB244+$AU$113,NA())</f>
        <v>#N/A</v>
      </c>
      <c r="BF243" s="16">
        <f t="shared" ref="BF243:BF306" si="133">IF(BC243*VLOOKUP(BD243,$BY$42:$BZ$1042,2)&lt;VLOOKUP(BD243,$BY$42:$BZ$1042,2)-$BZ$40/$CB$40,BC243*VLOOKUP(BD243,$BY$42:$BZ$1042,2),NA())</f>
        <v>4.1018718375885098E-3</v>
      </c>
      <c r="BU243" s="16">
        <f t="shared" si="115"/>
        <v>0</v>
      </c>
      <c r="BV243" s="16">
        <f>IF($BY$12=1,NORMDIST(BY243,$Y$6,$Y$8,TRUE),IF($BY$12=2,IF(BY243&lt;=$BX$31,0,IF(BY243&gt;=$BX$32,1,(BY243-$BX$31)*$BX$33)),SUM($BU$42:BU243)/$BV$40))</f>
        <v>6.745722107114771E-2</v>
      </c>
      <c r="BW243" s="16">
        <f t="shared" si="116"/>
        <v>0.13114345328335711</v>
      </c>
      <c r="BX243" s="16">
        <f>IF($BY$12&lt;3,BV243,SUM($BZ$42:BZ243)/$BX$40)</f>
        <v>6.745722107114771E-2</v>
      </c>
      <c r="BY243" s="16">
        <f>BY242+$BZ$1</f>
        <v>20.100000000000016</v>
      </c>
      <c r="BZ243" s="16">
        <f t="shared" si="107"/>
        <v>6.5245499145948765E-3</v>
      </c>
      <c r="CA243" s="16">
        <f t="shared" si="118"/>
        <v>-999</v>
      </c>
      <c r="CB243" s="16" t="str">
        <f t="shared" si="108"/>
        <v/>
      </c>
      <c r="CC243" s="16" t="e">
        <f>IF(CB243="",NA(),COUNTIF(CB243:$CB$704,CB243))</f>
        <v>#N/A</v>
      </c>
      <c r="CD243" s="16" t="e">
        <f t="shared" si="109"/>
        <v>#N/A</v>
      </c>
      <c r="CE243" s="16" t="e">
        <f t="shared" si="110"/>
        <v>#N/A</v>
      </c>
      <c r="CF243" s="16">
        <f t="shared" si="111"/>
        <v>99</v>
      </c>
      <c r="CG243" s="16">
        <f t="shared" si="112"/>
        <v>0</v>
      </c>
      <c r="CH243" s="16">
        <f t="shared" si="105"/>
        <v>0</v>
      </c>
      <c r="CJ243" s="16" t="e">
        <f t="shared" si="113"/>
        <v>#N/A</v>
      </c>
      <c r="CK243" s="16" t="str">
        <f t="shared" si="114"/>
        <v/>
      </c>
    </row>
    <row r="244" spans="1:89" ht="12" customHeight="1">
      <c r="A244" s="211"/>
      <c r="B244" s="211"/>
      <c r="C244" s="211"/>
      <c r="D244" s="211"/>
      <c r="E244" s="211"/>
      <c r="F244" s="211"/>
      <c r="G244" s="211"/>
      <c r="H244" s="211"/>
      <c r="I244" s="211"/>
      <c r="J244" s="211"/>
      <c r="K244" s="211"/>
      <c r="L244" s="211"/>
      <c r="M244" s="211"/>
      <c r="N244" s="211"/>
      <c r="O244" s="211"/>
      <c r="AM244" s="34">
        <f t="shared" ref="AM244:AM307" si="134">MOD(AN243*10000013,1)</f>
        <v>0.89887900836765766</v>
      </c>
      <c r="AN244" s="34">
        <f t="shared" si="119"/>
        <v>0.76910368539392948</v>
      </c>
      <c r="AO244" s="16">
        <f t="shared" si="120"/>
        <v>75.499999999999986</v>
      </c>
      <c r="AP244" s="16" t="e">
        <f t="shared" si="121"/>
        <v>#N/A</v>
      </c>
      <c r="AQ244" s="16">
        <f t="shared" si="122"/>
        <v>6.8055774220514261E-3</v>
      </c>
      <c r="AR244" s="34">
        <f t="shared" ref="AR244:AR307" si="135">MOD(AS243*10000013,1)</f>
        <v>7.8479386866092682E-4</v>
      </c>
      <c r="AS244" s="34">
        <f t="shared" si="123"/>
        <v>0.94888892956078053</v>
      </c>
      <c r="AT244" s="540" t="e">
        <f t="shared" si="124"/>
        <v>#N/A</v>
      </c>
      <c r="AU244" s="16" t="e">
        <f t="shared" si="125"/>
        <v>#N/A</v>
      </c>
      <c r="AV244" s="16" t="e">
        <f t="shared" si="126"/>
        <v>#N/A</v>
      </c>
      <c r="AW244" s="34">
        <f t="shared" ref="AW244:AW307" si="136">MOD(AX243*10000013,1)</f>
        <v>0.63829460926353931</v>
      </c>
      <c r="AX244" s="34">
        <f t="shared" si="127"/>
        <v>0.39046531356871128</v>
      </c>
      <c r="AY244" s="16">
        <f t="shared" si="128"/>
        <v>57.00000000000054</v>
      </c>
      <c r="AZ244" s="16" t="e">
        <f t="shared" si="129"/>
        <v>#N/A</v>
      </c>
      <c r="BA244" s="16">
        <f t="shared" ref="BA244:BA307" si="137">IF(AX244*VLOOKUP(AY244,$BY$42:$BZ$1042,2)&lt;VLOOKUP(AY244,$BY$42:$BZ$1042,2)-$BZ$40/$CB$40,AX244*VLOOKUP(AY244,$BY$42:$BZ$1042,2),NA())</f>
        <v>7.3259169861276379E-3</v>
      </c>
      <c r="BB244" s="34">
        <f t="shared" ref="BB244:BB307" si="138">MOD(BC243*10000013,1)</f>
        <v>0.61403065361082554</v>
      </c>
      <c r="BC244" s="34">
        <f t="shared" si="130"/>
        <v>0.51850675232708454</v>
      </c>
      <c r="BD244" s="16">
        <f t="shared" si="131"/>
        <v>55.700000000000522</v>
      </c>
      <c r="BE244" s="16" t="e">
        <f t="shared" si="132"/>
        <v>#N/A</v>
      </c>
      <c r="BF244" s="16">
        <f t="shared" si="133"/>
        <v>9.9310850664808374E-3</v>
      </c>
      <c r="BU244" s="16">
        <f t="shared" si="115"/>
        <v>0</v>
      </c>
      <c r="BV244" s="16">
        <f>IF($BY$12=1,NORMDIST(BY244,$Y$6,$Y$8,TRUE),IF($BY$12=2,IF(BY244&lt;=$BX$31,0,IF(BY244&gt;=$BX$32,1,(BY244-$BX$31)*$BX$33)),SUM($BU$42:BU244)/$BV$40))</f>
        <v>6.8112117966725672E-2</v>
      </c>
      <c r="BW244" s="16">
        <f t="shared" si="116"/>
        <v>0.13278311417095365</v>
      </c>
      <c r="BX244" s="16">
        <f>IF($BY$12&lt;3,BV244,SUM($BZ$42:BZ244)/$BX$40)</f>
        <v>6.8112117966725672E-2</v>
      </c>
      <c r="BY244" s="16">
        <f>BY243+$BZ$1</f>
        <v>20.200000000000017</v>
      </c>
      <c r="BZ244" s="16">
        <f t="shared" si="107"/>
        <v>6.5734214936115608E-3</v>
      </c>
      <c r="CA244" s="16">
        <f t="shared" si="118"/>
        <v>-999</v>
      </c>
      <c r="CB244" s="16" t="str">
        <f t="shared" si="108"/>
        <v/>
      </c>
      <c r="CC244" s="16" t="e">
        <f>IF(CB244="",NA(),COUNTIF(CB244:$CB$704,CB244))</f>
        <v>#N/A</v>
      </c>
      <c r="CD244" s="16" t="e">
        <f t="shared" si="109"/>
        <v>#N/A</v>
      </c>
      <c r="CE244" s="16" t="e">
        <f t="shared" si="110"/>
        <v>#N/A</v>
      </c>
      <c r="CF244" s="16">
        <f t="shared" si="111"/>
        <v>99</v>
      </c>
      <c r="CG244" s="16">
        <f t="shared" si="112"/>
        <v>0</v>
      </c>
      <c r="CH244" s="16">
        <f t="shared" si="105"/>
        <v>0</v>
      </c>
      <c r="CJ244" s="16" t="e">
        <f t="shared" si="113"/>
        <v>#N/A</v>
      </c>
      <c r="CK244" s="16" t="str">
        <f t="shared" si="114"/>
        <v/>
      </c>
    </row>
    <row r="245" spans="1:89" ht="12" customHeight="1">
      <c r="A245" s="211"/>
      <c r="B245" s="211"/>
      <c r="C245" s="211"/>
      <c r="D245" s="211"/>
      <c r="E245" s="211"/>
      <c r="F245" s="211"/>
      <c r="G245" s="211"/>
      <c r="H245" s="211"/>
      <c r="I245" s="211"/>
      <c r="J245" s="211"/>
      <c r="K245" s="211"/>
      <c r="L245" s="211"/>
      <c r="M245" s="211"/>
      <c r="N245" s="211"/>
      <c r="O245" s="211"/>
      <c r="AM245" s="34">
        <f t="shared" si="134"/>
        <v>0.85228720493614674</v>
      </c>
      <c r="AN245" s="34">
        <f t="shared" si="119"/>
        <v>0.12909513153135777</v>
      </c>
      <c r="AO245" s="16">
        <f t="shared" si="120"/>
        <v>70.900000000000247</v>
      </c>
      <c r="AP245" s="16" t="e">
        <f t="shared" si="121"/>
        <v>#N/A</v>
      </c>
      <c r="AQ245" s="16">
        <f t="shared" si="122"/>
        <v>1.4916252235071599E-3</v>
      </c>
      <c r="AR245" s="34">
        <f t="shared" si="135"/>
        <v>0.63116388954222202</v>
      </c>
      <c r="AS245" s="34">
        <f t="shared" si="123"/>
        <v>0.10055278427898884</v>
      </c>
      <c r="AT245" s="540">
        <f t="shared" si="124"/>
        <v>56.600000000000534</v>
      </c>
      <c r="AU245" s="16" t="e">
        <f t="shared" si="125"/>
        <v>#N/A</v>
      </c>
      <c r="AV245" s="16">
        <f t="shared" si="126"/>
        <v>1.8994454963831863E-3</v>
      </c>
      <c r="AW245" s="34">
        <f t="shared" si="136"/>
        <v>0.21173618920147419</v>
      </c>
      <c r="AX245" s="34">
        <f t="shared" si="127"/>
        <v>0.64458520151674747</v>
      </c>
      <c r="AY245" s="16">
        <f t="shared" si="128"/>
        <v>33.900000000000212</v>
      </c>
      <c r="AZ245" s="16" t="e">
        <f t="shared" si="129"/>
        <v>#N/A</v>
      </c>
      <c r="BA245" s="16">
        <f t="shared" si="137"/>
        <v>9.2991565708214138E-3</v>
      </c>
      <c r="BB245" s="34">
        <f t="shared" si="138"/>
        <v>0.26385862566530704</v>
      </c>
      <c r="BC245" s="34">
        <f t="shared" si="130"/>
        <v>0.68681520409882069</v>
      </c>
      <c r="BD245" s="16">
        <f t="shared" si="131"/>
        <v>37.30000000000026</v>
      </c>
      <c r="BE245" s="16" t="e">
        <f t="shared" si="132"/>
        <v>#N/A</v>
      </c>
      <c r="BF245" s="16">
        <f t="shared" si="133"/>
        <v>1.1198523727991145E-2</v>
      </c>
      <c r="BU245" s="16">
        <f t="shared" si="115"/>
        <v>0</v>
      </c>
      <c r="BV245" s="16">
        <f>IF($BY$12=1,NORMDIST(BY245,$Y$6,$Y$8,TRUE),IF($BY$12=2,IF(BY245&lt;=$BX$31,0,IF(BY245&gt;=$BX$32,1,(BY245-$BX$31)*$BX$33)),SUM($BU$42:BU245)/$BV$40))</f>
        <v>6.8771912053359308E-2</v>
      </c>
      <c r="BW245" s="16">
        <f t="shared" si="116"/>
        <v>0.13443661960439962</v>
      </c>
      <c r="BX245" s="16">
        <f>IF($BY$12&lt;3,BV245,SUM($BZ$42:BZ245)/$BX$40)</f>
        <v>6.8771912053359308E-2</v>
      </c>
      <c r="BY245" s="16">
        <f>BY244+$BZ$1</f>
        <v>20.300000000000018</v>
      </c>
      <c r="BZ245" s="16">
        <f t="shared" si="107"/>
        <v>6.6224935765714045E-3</v>
      </c>
      <c r="CA245" s="16">
        <f t="shared" si="118"/>
        <v>-999</v>
      </c>
      <c r="CB245" s="16" t="str">
        <f t="shared" si="108"/>
        <v/>
      </c>
      <c r="CC245" s="16" t="e">
        <f>IF(CB245="",NA(),COUNTIF(CB245:$CB$704,CB245))</f>
        <v>#N/A</v>
      </c>
      <c r="CD245" s="16" t="e">
        <f t="shared" si="109"/>
        <v>#N/A</v>
      </c>
      <c r="CE245" s="16" t="e">
        <f t="shared" si="110"/>
        <v>#N/A</v>
      </c>
      <c r="CF245" s="16">
        <f t="shared" si="111"/>
        <v>99</v>
      </c>
      <c r="CG245" s="16">
        <f t="shared" si="112"/>
        <v>0</v>
      </c>
      <c r="CH245" s="16">
        <f t="shared" si="105"/>
        <v>0</v>
      </c>
      <c r="CJ245" s="16" t="e">
        <f t="shared" si="113"/>
        <v>#N/A</v>
      </c>
      <c r="CK245" s="16" t="str">
        <f t="shared" si="114"/>
        <v/>
      </c>
    </row>
    <row r="246" spans="1:89" ht="12" customHeight="1">
      <c r="A246" s="211"/>
      <c r="B246" s="211"/>
      <c r="C246" s="211"/>
      <c r="D246" s="211"/>
      <c r="E246" s="211"/>
      <c r="F246" s="211"/>
      <c r="G246" s="211"/>
      <c r="H246" s="211"/>
      <c r="I246" s="211"/>
      <c r="J246" s="211"/>
      <c r="K246" s="211"/>
      <c r="L246" s="211"/>
      <c r="M246" s="211"/>
      <c r="N246" s="211"/>
      <c r="O246" s="211"/>
      <c r="AM246" s="34">
        <f t="shared" si="134"/>
        <v>0.99355028755962849</v>
      </c>
      <c r="AN246" s="34">
        <f t="shared" si="119"/>
        <v>0.79175002314150333</v>
      </c>
      <c r="AO246" s="16">
        <f t="shared" si="120"/>
        <v>99.69999999999861</v>
      </c>
      <c r="AP246" s="16" t="e">
        <f t="shared" si="121"/>
        <v>#N/A</v>
      </c>
      <c r="AQ246" s="16" t="e">
        <f t="shared" si="122"/>
        <v>#N/A</v>
      </c>
      <c r="AR246" s="34">
        <f t="shared" si="135"/>
        <v>0.1499760840088129</v>
      </c>
      <c r="AS246" s="34">
        <f t="shared" si="123"/>
        <v>0.78977722115814686</v>
      </c>
      <c r="AT246" s="540">
        <f t="shared" si="124"/>
        <v>29.200000000000145</v>
      </c>
      <c r="AU246" s="16" t="e">
        <f t="shared" si="125"/>
        <v>#N/A</v>
      </c>
      <c r="AV246" s="16">
        <f t="shared" si="126"/>
        <v>9.1731441444789005E-3</v>
      </c>
      <c r="AW246" s="34">
        <f t="shared" si="136"/>
        <v>0.39477509446442127</v>
      </c>
      <c r="AX246" s="34">
        <f t="shared" si="127"/>
        <v>7.672044076025486E-2</v>
      </c>
      <c r="AY246" s="16">
        <f t="shared" si="128"/>
        <v>44.600000000000364</v>
      </c>
      <c r="AZ246" s="16" t="e">
        <f t="shared" si="129"/>
        <v>#N/A</v>
      </c>
      <c r="BA246" s="16">
        <f t="shared" si="137"/>
        <v>1.4755744459426156E-3</v>
      </c>
      <c r="BB246" s="34">
        <f t="shared" si="138"/>
        <v>0.96958586014807224</v>
      </c>
      <c r="BC246" s="34">
        <f t="shared" si="130"/>
        <v>0.20609690435230732</v>
      </c>
      <c r="BD246" s="16">
        <f t="shared" si="131"/>
        <v>87.399999999999309</v>
      </c>
      <c r="BE246" s="16" t="e">
        <f t="shared" si="132"/>
        <v>#N/A</v>
      </c>
      <c r="BF246" s="16">
        <f t="shared" si="133"/>
        <v>7.1549952840407492E-4</v>
      </c>
      <c r="BU246" s="16">
        <f t="shared" si="115"/>
        <v>0</v>
      </c>
      <c r="BV246" s="16">
        <f>IF($BY$12=1,NORMDIST(BY246,$Y$6,$Y$8,TRUE),IF($BY$12=2,IF(BY246&lt;=$BX$31,0,IF(BY246&gt;=$BX$32,1,(BY246-$BX$31)*$BX$33)),SUM($BU$42:BU246)/$BV$40))</f>
        <v>6.9436623333331893E-2</v>
      </c>
      <c r="BW246" s="16">
        <f t="shared" si="116"/>
        <v>0.13610401003002265</v>
      </c>
      <c r="BX246" s="16">
        <f>IF($BY$12&lt;3,BV246,SUM($BZ$42:BZ246)/$BX$40)</f>
        <v>6.9436623333331893E-2</v>
      </c>
      <c r="BY246" s="16">
        <f>BY245+$BZ$1</f>
        <v>20.40000000000002</v>
      </c>
      <c r="BZ246" s="16">
        <f t="shared" si="107"/>
        <v>6.6717651975501235E-3</v>
      </c>
      <c r="CA246" s="16">
        <f t="shared" si="118"/>
        <v>-999</v>
      </c>
      <c r="CB246" s="16" t="str">
        <f t="shared" si="108"/>
        <v/>
      </c>
      <c r="CC246" s="16" t="e">
        <f>IF(CB246="",NA(),COUNTIF(CB246:$CB$704,CB246))</f>
        <v>#N/A</v>
      </c>
      <c r="CD246" s="16" t="e">
        <f t="shared" si="109"/>
        <v>#N/A</v>
      </c>
      <c r="CE246" s="16" t="e">
        <f t="shared" si="110"/>
        <v>#N/A</v>
      </c>
      <c r="CF246" s="16">
        <f t="shared" si="111"/>
        <v>99</v>
      </c>
      <c r="CG246" s="16">
        <f t="shared" si="112"/>
        <v>0</v>
      </c>
      <c r="CH246" s="16">
        <f t="shared" si="105"/>
        <v>0</v>
      </c>
      <c r="CJ246" s="16" t="e">
        <f t="shared" si="113"/>
        <v>#N/A</v>
      </c>
      <c r="CK246" s="16" t="str">
        <f t="shared" si="114"/>
        <v/>
      </c>
    </row>
    <row r="247" spans="1:89" ht="12" customHeight="1">
      <c r="A247" s="211"/>
      <c r="B247" s="211"/>
      <c r="C247" s="211"/>
      <c r="D247" s="211"/>
      <c r="E247" s="211"/>
      <c r="F247" s="211"/>
      <c r="G247" s="211"/>
      <c r="H247" s="211"/>
      <c r="I247" s="211"/>
      <c r="J247" s="211"/>
      <c r="K247" s="211"/>
      <c r="L247" s="211"/>
      <c r="M247" s="211"/>
      <c r="N247" s="211"/>
      <c r="O247" s="211"/>
      <c r="AM247" s="34">
        <f t="shared" si="134"/>
        <v>0.52416533417999744</v>
      </c>
      <c r="AN247" s="34">
        <f t="shared" si="119"/>
        <v>0.15594931878149509</v>
      </c>
      <c r="AO247" s="16">
        <f t="shared" si="120"/>
        <v>51.200000000000458</v>
      </c>
      <c r="AP247" s="16" t="e">
        <f t="shared" si="121"/>
        <v>#N/A</v>
      </c>
      <c r="AQ247" s="16">
        <f t="shared" si="122"/>
        <v>3.105144549544068E-3</v>
      </c>
      <c r="AR247" s="34">
        <f t="shared" si="135"/>
        <v>0.47868534363806248</v>
      </c>
      <c r="AS247" s="34">
        <f t="shared" si="123"/>
        <v>0.65929009206593037</v>
      </c>
      <c r="AT247" s="540">
        <f t="shared" si="124"/>
        <v>48.900000000000425</v>
      </c>
      <c r="AU247" s="16" t="e">
        <f t="shared" si="125"/>
        <v>#N/A</v>
      </c>
      <c r="AV247" s="16">
        <f t="shared" si="126"/>
        <v>1.3131058884929448E-2</v>
      </c>
      <c r="AW247" s="34">
        <f t="shared" si="136"/>
        <v>0.40496827848255634</v>
      </c>
      <c r="AX247" s="34">
        <f t="shared" si="127"/>
        <v>4.9413183704018593E-2</v>
      </c>
      <c r="AY247" s="16">
        <f t="shared" si="128"/>
        <v>45.100000000000371</v>
      </c>
      <c r="AZ247" s="16" t="e">
        <f t="shared" si="129"/>
        <v>#N/A</v>
      </c>
      <c r="BA247" s="16">
        <f t="shared" si="137"/>
        <v>9.5650808105440961E-4</v>
      </c>
      <c r="BB247" s="34">
        <f t="shared" si="138"/>
        <v>0.72278282977640629</v>
      </c>
      <c r="BC247" s="34">
        <f t="shared" si="130"/>
        <v>0.69394084997475147</v>
      </c>
      <c r="BD247" s="16">
        <f t="shared" si="131"/>
        <v>61.800000000000608</v>
      </c>
      <c r="BE247" s="16" t="e">
        <f t="shared" si="132"/>
        <v>#N/A</v>
      </c>
      <c r="BF247" s="16">
        <f t="shared" si="133"/>
        <v>1.1630906628741708E-2</v>
      </c>
      <c r="BU247" s="16">
        <f t="shared" si="115"/>
        <v>0</v>
      </c>
      <c r="BV247" s="16">
        <f>IF($BY$12=1,NORMDIST(BY247,$Y$6,$Y$8,TRUE),IF($BY$12=2,IF(BY247&lt;=$BX$31,0,IF(BY247&gt;=$BX$32,1,(BY247-$BX$31)*$BX$33)),SUM($BU$42:BU247)/$BV$40))</f>
        <v>7.01062717112233E-2</v>
      </c>
      <c r="BW247" s="16">
        <f t="shared" si="116"/>
        <v>0.13778532505228136</v>
      </c>
      <c r="BX247" s="16">
        <f>IF($BY$12&lt;3,BV247,SUM($BZ$42:BZ247)/$BX$40)</f>
        <v>7.01062717112233E-2</v>
      </c>
      <c r="BY247" s="16">
        <f>BY246+$BZ$1</f>
        <v>20.500000000000021</v>
      </c>
      <c r="BZ247" s="16">
        <f t="shared" si="107"/>
        <v>6.7212353684039617E-3</v>
      </c>
      <c r="CA247" s="16">
        <f t="shared" si="118"/>
        <v>-999</v>
      </c>
      <c r="CB247" s="16" t="str">
        <f t="shared" si="108"/>
        <v/>
      </c>
      <c r="CC247" s="16" t="e">
        <f>IF(CB247="",NA(),COUNTIF(CB247:$CB$704,CB247))</f>
        <v>#N/A</v>
      </c>
      <c r="CD247" s="16" t="e">
        <f t="shared" si="109"/>
        <v>#N/A</v>
      </c>
      <c r="CE247" s="16" t="e">
        <f t="shared" si="110"/>
        <v>#N/A</v>
      </c>
      <c r="CF247" s="16">
        <f t="shared" si="111"/>
        <v>99</v>
      </c>
      <c r="CG247" s="16">
        <f t="shared" si="112"/>
        <v>0</v>
      </c>
      <c r="CH247" s="16">
        <f t="shared" si="105"/>
        <v>0</v>
      </c>
      <c r="CJ247" s="16" t="e">
        <f t="shared" si="113"/>
        <v>#N/A</v>
      </c>
      <c r="CK247" s="16" t="str">
        <f t="shared" si="114"/>
        <v/>
      </c>
    </row>
    <row r="248" spans="1:89" ht="12" customHeight="1">
      <c r="A248" s="211"/>
      <c r="B248" s="211"/>
      <c r="C248" s="211"/>
      <c r="D248" s="211"/>
      <c r="E248" s="211"/>
      <c r="F248" s="211"/>
      <c r="G248" s="211"/>
      <c r="H248" s="211"/>
      <c r="I248" s="211"/>
      <c r="J248" s="211"/>
      <c r="K248" s="211"/>
      <c r="L248" s="211"/>
      <c r="M248" s="211"/>
      <c r="N248" s="211"/>
      <c r="O248" s="211"/>
      <c r="AM248" s="34">
        <f t="shared" si="134"/>
        <v>0.21515609510242939</v>
      </c>
      <c r="AN248" s="34">
        <f t="shared" si="119"/>
        <v>0.7480535302311182</v>
      </c>
      <c r="AO248" s="16">
        <f t="shared" si="120"/>
        <v>34.200000000000216</v>
      </c>
      <c r="AP248" s="16" t="e">
        <f t="shared" si="121"/>
        <v>#N/A</v>
      </c>
      <c r="AQ248" s="16">
        <f t="shared" si="122"/>
        <v>1.0921722905880261E-2</v>
      </c>
      <c r="AR248" s="34">
        <f t="shared" si="135"/>
        <v>0.4914305005222559</v>
      </c>
      <c r="AS248" s="34">
        <f t="shared" si="123"/>
        <v>0.39381906576454639</v>
      </c>
      <c r="AT248" s="540">
        <f t="shared" si="124"/>
        <v>49.500000000000433</v>
      </c>
      <c r="AU248" s="16" t="e">
        <f t="shared" si="125"/>
        <v>#N/A</v>
      </c>
      <c r="AV248" s="16">
        <f t="shared" si="126"/>
        <v>7.8530993310504844E-3</v>
      </c>
      <c r="AW248" s="34">
        <f t="shared" si="136"/>
        <v>0.47941157408058643</v>
      </c>
      <c r="AX248" s="34">
        <f t="shared" si="127"/>
        <v>0.97315632738173008</v>
      </c>
      <c r="AY248" s="16">
        <f t="shared" si="128"/>
        <v>48.900000000000425</v>
      </c>
      <c r="AZ248" s="16" t="e">
        <f t="shared" si="129"/>
        <v>#N/A</v>
      </c>
      <c r="BA248" s="16">
        <f t="shared" si="137"/>
        <v>1.9382322277965151E-2</v>
      </c>
      <c r="BB248" s="34">
        <f t="shared" si="138"/>
        <v>0.52097856439650059</v>
      </c>
      <c r="BC248" s="34">
        <f t="shared" si="130"/>
        <v>0.41668634302914143</v>
      </c>
      <c r="BD248" s="16">
        <f t="shared" si="131"/>
        <v>51.000000000000455</v>
      </c>
      <c r="BE248" s="16" t="e">
        <f t="shared" si="132"/>
        <v>#N/A</v>
      </c>
      <c r="BF248" s="16">
        <f t="shared" si="133"/>
        <v>8.3013068733182194E-3</v>
      </c>
      <c r="BU248" s="16">
        <f t="shared" si="115"/>
        <v>0</v>
      </c>
      <c r="BV248" s="16">
        <f>IF($BY$12=1,NORMDIST(BY248,$Y$6,$Y$8,TRUE),IF($BY$12=2,IF(BY248&lt;=$BX$31,0,IF(BY248&gt;=$BX$32,1,(BY248-$BX$31)*$BX$33)),SUM($BU$42:BU248)/$BV$40))</f>
        <v>7.0780876991685782E-2</v>
      </c>
      <c r="BW248" s="16">
        <f t="shared" si="116"/>
        <v>0.13948060342129379</v>
      </c>
      <c r="BX248" s="16">
        <f>IF($BY$12&lt;3,BV248,SUM($BZ$42:BZ248)/$BX$40)</f>
        <v>7.0780876991685782E-2</v>
      </c>
      <c r="BY248" s="16">
        <f t="shared" ref="BY248:BY277" si="139">BY247+$BZ$1</f>
        <v>20.600000000000023</v>
      </c>
      <c r="BZ248" s="16">
        <f t="shared" si="107"/>
        <v>6.770903078703574E-3</v>
      </c>
      <c r="CA248" s="16">
        <f t="shared" si="118"/>
        <v>-999</v>
      </c>
      <c r="CB248" s="16" t="str">
        <f t="shared" si="108"/>
        <v/>
      </c>
      <c r="CC248" s="16" t="e">
        <f>IF(CB248="",NA(),COUNTIF(CB248:$CB$704,CB248))</f>
        <v>#N/A</v>
      </c>
      <c r="CD248" s="16" t="e">
        <f t="shared" si="109"/>
        <v>#N/A</v>
      </c>
      <c r="CE248" s="16" t="e">
        <f t="shared" si="110"/>
        <v>#N/A</v>
      </c>
      <c r="CF248" s="16">
        <f t="shared" si="111"/>
        <v>99</v>
      </c>
      <c r="CG248" s="16">
        <f t="shared" si="112"/>
        <v>0</v>
      </c>
      <c r="CH248" s="16">
        <f t="shared" si="105"/>
        <v>0</v>
      </c>
      <c r="CJ248" s="16" t="e">
        <f t="shared" si="113"/>
        <v>#N/A</v>
      </c>
      <c r="CK248" s="16" t="str">
        <f t="shared" si="114"/>
        <v/>
      </c>
    </row>
    <row r="249" spans="1:89" ht="12" customHeight="1">
      <c r="A249" s="211"/>
      <c r="B249" s="211"/>
      <c r="C249" s="211"/>
      <c r="D249" s="211"/>
      <c r="E249" s="211"/>
      <c r="F249" s="211"/>
      <c r="G249" s="211"/>
      <c r="H249" s="211"/>
      <c r="I249" s="211"/>
      <c r="J249" s="211"/>
      <c r="K249" s="211"/>
      <c r="L249" s="211"/>
      <c r="M249" s="211"/>
      <c r="N249" s="211"/>
      <c r="O249" s="211"/>
      <c r="AM249" s="34">
        <f t="shared" si="134"/>
        <v>2.7007075026631355E-2</v>
      </c>
      <c r="AN249" s="34">
        <f t="shared" si="119"/>
        <v>0.10135828889906406</v>
      </c>
      <c r="AO249" s="16">
        <f t="shared" si="120"/>
        <v>11.399999999999975</v>
      </c>
      <c r="AP249" s="16" t="e">
        <f t="shared" si="121"/>
        <v>#N/A</v>
      </c>
      <c r="AQ249" s="16">
        <f t="shared" si="122"/>
        <v>3.1396958767264795E-4</v>
      </c>
      <c r="AR249" s="34">
        <f t="shared" si="135"/>
        <v>0.77729331888258457</v>
      </c>
      <c r="AS249" s="34">
        <f t="shared" si="123"/>
        <v>0.29363899119198322</v>
      </c>
      <c r="AT249" s="540">
        <f t="shared" si="124"/>
        <v>65.200000000000571</v>
      </c>
      <c r="AU249" s="16" t="e">
        <f t="shared" si="125"/>
        <v>#N/A</v>
      </c>
      <c r="AV249" s="16">
        <f t="shared" si="126"/>
        <v>4.3880295863584964E-3</v>
      </c>
      <c r="AW249" s="34">
        <f t="shared" si="136"/>
        <v>0.92484955675899982</v>
      </c>
      <c r="AX249" s="34">
        <f t="shared" si="127"/>
        <v>0.59063423611223698</v>
      </c>
      <c r="AY249" s="16">
        <f t="shared" si="128"/>
        <v>78.699999999999804</v>
      </c>
      <c r="AZ249" s="16" t="e">
        <f t="shared" si="129"/>
        <v>#N/A</v>
      </c>
      <c r="BA249" s="16">
        <f t="shared" si="137"/>
        <v>4.2076892666371322E-3</v>
      </c>
      <c r="BB249" s="34">
        <f t="shared" si="138"/>
        <v>0.8472138736397028</v>
      </c>
      <c r="BC249" s="34">
        <f t="shared" si="130"/>
        <v>0.75017738528549671</v>
      </c>
      <c r="BD249" s="16">
        <f t="shared" si="131"/>
        <v>70.400000000000276</v>
      </c>
      <c r="BE249" s="16" t="e">
        <f t="shared" si="132"/>
        <v>#N/A</v>
      </c>
      <c r="BF249" s="16">
        <f t="shared" si="133"/>
        <v>8.8945513866770763E-3</v>
      </c>
      <c r="BU249" s="16">
        <f t="shared" si="115"/>
        <v>0</v>
      </c>
      <c r="BV249" s="16">
        <f>IF($BY$12=1,NORMDIST(BY249,$Y$6,$Y$8,TRUE),IF($BY$12=2,IF(BY249&lt;=$BX$31,0,IF(BY249&gt;=$BX$32,1,(BY249-$BX$31)*$BX$33)),SUM($BU$42:BU249)/$BV$40))</f>
        <v>7.1460458877211086E-2</v>
      </c>
      <c r="BW249" s="16">
        <f t="shared" si="116"/>
        <v>0.141189883020373</v>
      </c>
      <c r="BX249" s="16">
        <f>IF($BY$12&lt;3,BV249,SUM($BZ$42:BZ249)/$BX$40)</f>
        <v>7.1460458877211086E-2</v>
      </c>
      <c r="BY249" s="16">
        <f t="shared" si="139"/>
        <v>20.700000000000024</v>
      </c>
      <c r="BZ249" s="16">
        <f t="shared" si="107"/>
        <v>6.8207672956701855E-3</v>
      </c>
      <c r="CA249" s="16">
        <f t="shared" si="118"/>
        <v>-999</v>
      </c>
      <c r="CB249" s="16" t="str">
        <f t="shared" si="108"/>
        <v/>
      </c>
      <c r="CC249" s="16" t="e">
        <f>IF(CB249="",NA(),COUNTIF(CB249:$CB$704,CB249))</f>
        <v>#N/A</v>
      </c>
      <c r="CD249" s="16" t="e">
        <f t="shared" si="109"/>
        <v>#N/A</v>
      </c>
      <c r="CE249" s="16" t="e">
        <f t="shared" si="110"/>
        <v>#N/A</v>
      </c>
      <c r="CF249" s="16">
        <f t="shared" si="111"/>
        <v>99</v>
      </c>
      <c r="CG249" s="16">
        <f t="shared" si="112"/>
        <v>0</v>
      </c>
      <c r="CH249" s="16">
        <f t="shared" si="105"/>
        <v>0</v>
      </c>
      <c r="CJ249" s="16" t="e">
        <f t="shared" si="113"/>
        <v>#N/A</v>
      </c>
      <c r="CK249" s="16" t="str">
        <f t="shared" si="114"/>
        <v/>
      </c>
    </row>
    <row r="250" spans="1:89" ht="12" customHeight="1">
      <c r="A250" s="211"/>
      <c r="B250" s="211"/>
      <c r="C250" s="211"/>
      <c r="D250" s="211"/>
      <c r="E250" s="211"/>
      <c r="F250" s="211"/>
      <c r="G250" s="211"/>
      <c r="H250" s="211"/>
      <c r="I250" s="211"/>
      <c r="J250" s="211"/>
      <c r="K250" s="211"/>
      <c r="L250" s="211"/>
      <c r="M250" s="211"/>
      <c r="N250" s="211"/>
      <c r="O250" s="211"/>
      <c r="AM250" s="34">
        <f t="shared" si="134"/>
        <v>0.20664839632809162</v>
      </c>
      <c r="AN250" s="34">
        <f t="shared" si="119"/>
        <v>0.64971006847918034</v>
      </c>
      <c r="AO250" s="16">
        <f t="shared" si="120"/>
        <v>33.600000000000207</v>
      </c>
      <c r="AP250" s="16" t="e">
        <f t="shared" si="121"/>
        <v>#N/A</v>
      </c>
      <c r="AQ250" s="16">
        <f t="shared" si="122"/>
        <v>9.2595495996475301E-3</v>
      </c>
      <c r="AR250" s="34">
        <f t="shared" si="135"/>
        <v>0.72922671772539616</v>
      </c>
      <c r="AS250" s="34">
        <f t="shared" si="123"/>
        <v>0.65720129199326038</v>
      </c>
      <c r="AT250" s="540">
        <f t="shared" si="124"/>
        <v>62.200000000000614</v>
      </c>
      <c r="AU250" s="16" t="e">
        <f t="shared" si="125"/>
        <v>#N/A</v>
      </c>
      <c r="AV250" s="16">
        <f t="shared" si="126"/>
        <v>1.0883735787437808E-2</v>
      </c>
      <c r="AW250" s="34">
        <f t="shared" si="136"/>
        <v>3.9367439225316048E-2</v>
      </c>
      <c r="AX250" s="34">
        <f t="shared" si="127"/>
        <v>0.90402987040579319</v>
      </c>
      <c r="AY250" s="16">
        <f t="shared" si="128"/>
        <v>14.799999999999963</v>
      </c>
      <c r="AZ250" s="16" t="e">
        <f t="shared" si="129"/>
        <v>#N/A</v>
      </c>
      <c r="BA250" s="16" t="e">
        <f t="shared" si="137"/>
        <v>#N/A</v>
      </c>
      <c r="BB250" s="34">
        <f t="shared" si="138"/>
        <v>0.60516097582876682</v>
      </c>
      <c r="BC250" s="34">
        <f t="shared" si="130"/>
        <v>0.62538035400211811</v>
      </c>
      <c r="BD250" s="16">
        <f t="shared" si="131"/>
        <v>55.300000000000516</v>
      </c>
      <c r="BE250" s="16" t="e">
        <f t="shared" si="132"/>
        <v>#N/A</v>
      </c>
      <c r="BF250" s="16">
        <f t="shared" si="133"/>
        <v>1.2044121809539331E-2</v>
      </c>
      <c r="BU250" s="16">
        <f t="shared" si="115"/>
        <v>0</v>
      </c>
      <c r="BV250" s="16">
        <f>IF($BY$12=1,NORMDIST(BY250,$Y$6,$Y$8,TRUE),IF($BY$12=2,IF(BY250&lt;=$BX$31,0,IF(BY250&gt;=$BX$32,1,(BY250-$BX$31)*$BX$33)),SUM($BU$42:BU250)/$BV$40))</f>
        <v>7.2145036965894027E-2</v>
      </c>
      <c r="BW250" s="16">
        <f t="shared" si="116"/>
        <v>0.14291320085357345</v>
      </c>
      <c r="BX250" s="16">
        <f>IF($BY$12&lt;3,BV250,SUM($BZ$42:BZ250)/$BX$40)</f>
        <v>7.2145036965894027E-2</v>
      </c>
      <c r="BY250" s="16">
        <f t="shared" si="139"/>
        <v>20.800000000000026</v>
      </c>
      <c r="BZ250" s="16">
        <f t="shared" si="107"/>
        <v>6.8708269641141002E-3</v>
      </c>
      <c r="CA250" s="16">
        <f t="shared" si="118"/>
        <v>-999</v>
      </c>
      <c r="CB250" s="16" t="str">
        <f t="shared" si="108"/>
        <v/>
      </c>
      <c r="CC250" s="16" t="e">
        <f>IF(CB250="",NA(),COUNTIF(CB250:$CB$704,CB250))</f>
        <v>#N/A</v>
      </c>
      <c r="CD250" s="16" t="e">
        <f t="shared" si="109"/>
        <v>#N/A</v>
      </c>
      <c r="CE250" s="16" t="e">
        <f t="shared" si="110"/>
        <v>#N/A</v>
      </c>
      <c r="CF250" s="16">
        <f t="shared" si="111"/>
        <v>99</v>
      </c>
      <c r="CG250" s="16">
        <f t="shared" si="112"/>
        <v>0</v>
      </c>
      <c r="CH250" s="16">
        <f t="shared" si="105"/>
        <v>0</v>
      </c>
      <c r="CJ250" s="16" t="e">
        <f t="shared" si="113"/>
        <v>#N/A</v>
      </c>
      <c r="CK250" s="16" t="str">
        <f t="shared" si="114"/>
        <v/>
      </c>
    </row>
    <row r="251" spans="1:89" ht="12" customHeight="1">
      <c r="A251" s="211"/>
      <c r="B251" s="211"/>
      <c r="C251" s="211"/>
      <c r="D251" s="211"/>
      <c r="E251" s="211"/>
      <c r="F251" s="211"/>
      <c r="G251" s="211"/>
      <c r="H251" s="211"/>
      <c r="I251" s="211"/>
      <c r="J251" s="211"/>
      <c r="K251" s="211"/>
      <c r="L251" s="211"/>
      <c r="M251" s="211"/>
      <c r="N251" s="211"/>
      <c r="O251" s="211"/>
      <c r="AM251" s="34">
        <f t="shared" si="134"/>
        <v>0.13102269358932972</v>
      </c>
      <c r="AN251" s="34">
        <f t="shared" si="119"/>
        <v>0.63918831385672092</v>
      </c>
      <c r="AO251" s="16">
        <f t="shared" si="120"/>
        <v>27.500000000000121</v>
      </c>
      <c r="AP251" s="16" t="e">
        <f t="shared" si="121"/>
        <v>#N/A</v>
      </c>
      <c r="AQ251" s="16">
        <f t="shared" si="122"/>
        <v>6.7714537979493986E-3</v>
      </c>
      <c r="AR251" s="34">
        <f t="shared" si="135"/>
        <v>0.46354939974844456</v>
      </c>
      <c r="AS251" s="34">
        <f t="shared" si="123"/>
        <v>2.3626642301678658E-2</v>
      </c>
      <c r="AT251" s="540">
        <f t="shared" si="124"/>
        <v>48.100000000000414</v>
      </c>
      <c r="AU251" s="16" t="e">
        <f t="shared" si="125"/>
        <v>#N/A</v>
      </c>
      <c r="AV251" s="16">
        <f t="shared" si="126"/>
        <v>4.6916145296677818E-4</v>
      </c>
      <c r="AW251" s="34">
        <f t="shared" si="136"/>
        <v>0.45644624717533588</v>
      </c>
      <c r="AX251" s="34">
        <f t="shared" si="127"/>
        <v>0.40555457212030888</v>
      </c>
      <c r="AY251" s="16">
        <f t="shared" si="128"/>
        <v>47.800000000000409</v>
      </c>
      <c r="AZ251" s="16" t="e">
        <f t="shared" si="129"/>
        <v>#N/A</v>
      </c>
      <c r="BA251" s="16">
        <f t="shared" si="137"/>
        <v>8.0408487019985892E-3</v>
      </c>
      <c r="BB251" s="34">
        <f t="shared" si="138"/>
        <v>0.66996578313410282</v>
      </c>
      <c r="BC251" s="34">
        <f t="shared" si="130"/>
        <v>0.54089620895683765</v>
      </c>
      <c r="BD251" s="16">
        <f t="shared" si="131"/>
        <v>58.700000000000564</v>
      </c>
      <c r="BE251" s="16" t="e">
        <f t="shared" si="132"/>
        <v>#N/A</v>
      </c>
      <c r="BF251" s="16">
        <f t="shared" si="133"/>
        <v>9.8153167900938802E-3</v>
      </c>
      <c r="BU251" s="16">
        <f t="shared" si="115"/>
        <v>0</v>
      </c>
      <c r="BV251" s="16">
        <f>IF($BY$12=1,NORMDIST(BY251,$Y$6,$Y$8,TRUE),IF($BY$12=2,IF(BY251&lt;=$BX$31,0,IF(BY251&gt;=$BX$32,1,(BY251-$BX$31)*$BX$33)),SUM($BU$42:BU251)/$BV$40))</f>
        <v>7.283463074918628E-2</v>
      </c>
      <c r="BW251" s="16">
        <f t="shared" si="116"/>
        <v>0.14465059303324956</v>
      </c>
      <c r="BX251" s="16">
        <f>IF($BY$12&lt;3,BV251,SUM($BZ$42:BZ251)/$BX$40)</f>
        <v>7.283463074918628E-2</v>
      </c>
      <c r="BY251" s="16">
        <f t="shared" si="139"/>
        <v>20.900000000000027</v>
      </c>
      <c r="BZ251" s="16">
        <f t="shared" si="107"/>
        <v>6.9210810063755684E-3</v>
      </c>
      <c r="CA251" s="16">
        <f t="shared" si="118"/>
        <v>-999</v>
      </c>
      <c r="CB251" s="16" t="str">
        <f t="shared" si="108"/>
        <v/>
      </c>
      <c r="CC251" s="16" t="e">
        <f>IF(CB251="",NA(),COUNTIF(CB251:$CB$704,CB251))</f>
        <v>#N/A</v>
      </c>
      <c r="CD251" s="16" t="e">
        <f t="shared" si="109"/>
        <v>#N/A</v>
      </c>
      <c r="CE251" s="16" t="e">
        <f t="shared" si="110"/>
        <v>#N/A</v>
      </c>
      <c r="CF251" s="16">
        <f t="shared" si="111"/>
        <v>99</v>
      </c>
      <c r="CG251" s="16">
        <f t="shared" si="112"/>
        <v>0</v>
      </c>
      <c r="CH251" s="16">
        <f t="shared" si="105"/>
        <v>0</v>
      </c>
      <c r="CJ251" s="16" t="e">
        <f t="shared" si="113"/>
        <v>#N/A</v>
      </c>
      <c r="CK251" s="16" t="str">
        <f t="shared" si="114"/>
        <v/>
      </c>
    </row>
    <row r="252" spans="1:89" ht="12" customHeight="1">
      <c r="A252" s="211"/>
      <c r="B252" s="211"/>
      <c r="C252" s="211"/>
      <c r="D252" s="211"/>
      <c r="E252" s="211"/>
      <c r="F252" s="211"/>
      <c r="G252" s="211"/>
      <c r="H252" s="211"/>
      <c r="I252" s="211"/>
      <c r="J252" s="211"/>
      <c r="K252" s="211"/>
      <c r="L252" s="211"/>
      <c r="M252" s="211"/>
      <c r="N252" s="211"/>
      <c r="O252" s="211"/>
      <c r="AM252" s="34">
        <f t="shared" si="134"/>
        <v>0.44801528938114643</v>
      </c>
      <c r="AN252" s="34">
        <f t="shared" si="119"/>
        <v>0.71801022626459599</v>
      </c>
      <c r="AO252" s="16">
        <f t="shared" si="120"/>
        <v>47.300000000000402</v>
      </c>
      <c r="AP252" s="16" t="e">
        <f t="shared" si="121"/>
        <v>#N/A</v>
      </c>
      <c r="AQ252" s="16">
        <f t="shared" si="122"/>
        <v>1.4192313353300215E-2</v>
      </c>
      <c r="AR252" s="34">
        <f t="shared" si="135"/>
        <v>0.73016313649713993</v>
      </c>
      <c r="AS252" s="34">
        <f t="shared" si="123"/>
        <v>0.85709217377007008</v>
      </c>
      <c r="AT252" s="540">
        <f t="shared" si="124"/>
        <v>62.200000000000614</v>
      </c>
      <c r="AU252" s="16" t="e">
        <f t="shared" si="125"/>
        <v>#N/A</v>
      </c>
      <c r="AV252" s="16">
        <f t="shared" si="126"/>
        <v>1.4194075511479425E-2</v>
      </c>
      <c r="AW252" s="34">
        <f t="shared" si="136"/>
        <v>0.99341252632439137</v>
      </c>
      <c r="AX252" s="34">
        <f t="shared" si="127"/>
        <v>0.17760675586760044</v>
      </c>
      <c r="AY252" s="16">
        <f t="shared" si="128"/>
        <v>99.499999999998622</v>
      </c>
      <c r="AZ252" s="16" t="e">
        <f t="shared" si="129"/>
        <v>#N/A</v>
      </c>
      <c r="BA252" s="16">
        <f t="shared" si="137"/>
        <v>1.656444861180049E-4</v>
      </c>
      <c r="BB252" s="34">
        <f t="shared" si="138"/>
        <v>0.1212190929800272</v>
      </c>
      <c r="BC252" s="34">
        <f t="shared" si="130"/>
        <v>0.50564848072826862</v>
      </c>
      <c r="BD252" s="16">
        <f t="shared" si="131"/>
        <v>26.600000000000108</v>
      </c>
      <c r="BE252" s="16" t="e">
        <f t="shared" si="132"/>
        <v>#N/A</v>
      </c>
      <c r="BF252" s="16">
        <f t="shared" si="133"/>
        <v>5.0871661093002864E-3</v>
      </c>
      <c r="BU252" s="16">
        <f t="shared" si="115"/>
        <v>0</v>
      </c>
      <c r="BV252" s="16">
        <f>IF($BY$12=1,NORMDIST(BY252,$Y$6,$Y$8,TRUE),IF($BY$12=2,IF(BY252&lt;=$BX$31,0,IF(BY252&gt;=$BX$32,1,(BY252-$BX$31)*$BX$33)),SUM($BU$42:BU252)/$BV$40))</f>
        <v>7.3529259609648623E-2</v>
      </c>
      <c r="BW252" s="16">
        <f t="shared" si="116"/>
        <v>0.14640209476762875</v>
      </c>
      <c r="BX252" s="16">
        <f>IF($BY$12&lt;3,BV252,SUM($BZ$42:BZ252)/$BX$40)</f>
        <v>7.3529259609648623E-2</v>
      </c>
      <c r="BY252" s="16">
        <f t="shared" si="139"/>
        <v>21.000000000000028</v>
      </c>
      <c r="BZ252" s="16">
        <f t="shared" si="107"/>
        <v>6.9715283222680259E-3</v>
      </c>
      <c r="CA252" s="16">
        <f t="shared" si="118"/>
        <v>-999</v>
      </c>
      <c r="CB252" s="16" t="str">
        <f t="shared" si="108"/>
        <v/>
      </c>
      <c r="CC252" s="16" t="e">
        <f>IF(CB252="",NA(),COUNTIF(CB252:$CB$704,CB252))</f>
        <v>#N/A</v>
      </c>
      <c r="CD252" s="16" t="e">
        <f t="shared" si="109"/>
        <v>#N/A</v>
      </c>
      <c r="CE252" s="16" t="e">
        <f t="shared" si="110"/>
        <v>#N/A</v>
      </c>
      <c r="CF252" s="16">
        <f t="shared" si="111"/>
        <v>99</v>
      </c>
      <c r="CG252" s="16">
        <f t="shared" si="112"/>
        <v>0</v>
      </c>
      <c r="CH252" s="16">
        <f t="shared" si="105"/>
        <v>0</v>
      </c>
      <c r="CJ252" s="16" t="e">
        <f t="shared" si="113"/>
        <v>#N/A</v>
      </c>
      <c r="CK252" s="16" t="str">
        <f t="shared" si="114"/>
        <v/>
      </c>
    </row>
    <row r="253" spans="1:89" ht="12" customHeight="1">
      <c r="A253" s="211"/>
      <c r="B253" s="211"/>
      <c r="C253" s="211"/>
      <c r="D253" s="211"/>
      <c r="E253" s="211"/>
      <c r="F253" s="211"/>
      <c r="G253" s="211"/>
      <c r="H253" s="211"/>
      <c r="I253" s="211"/>
      <c r="J253" s="211"/>
      <c r="K253" s="211"/>
      <c r="L253" s="211"/>
      <c r="M253" s="211"/>
      <c r="N253" s="211"/>
      <c r="O253" s="211"/>
      <c r="AM253" s="34">
        <f t="shared" si="134"/>
        <v>0.59677890129387379</v>
      </c>
      <c r="AN253" s="34">
        <f t="shared" si="119"/>
        <v>0.77106445468962193</v>
      </c>
      <c r="AO253" s="16">
        <f t="shared" si="120"/>
        <v>54.90000000000051</v>
      </c>
      <c r="AP253" s="16" t="e">
        <f t="shared" si="121"/>
        <v>#N/A</v>
      </c>
      <c r="AQ253" s="16">
        <f t="shared" si="122"/>
        <v>1.4925761236964106E-2</v>
      </c>
      <c r="AR253" s="34">
        <f t="shared" si="135"/>
        <v>0.87989895977079868</v>
      </c>
      <c r="AS253" s="34">
        <f t="shared" si="123"/>
        <v>3.639446385204792E-2</v>
      </c>
      <c r="AT253" s="540">
        <f t="shared" si="124"/>
        <v>73.400000000000105</v>
      </c>
      <c r="AU253" s="16" t="e">
        <f t="shared" si="125"/>
        <v>#N/A</v>
      </c>
      <c r="AV253" s="16">
        <f t="shared" si="126"/>
        <v>3.6615295038092973E-4</v>
      </c>
      <c r="AW253" s="34">
        <f t="shared" si="136"/>
        <v>0.86756383068859577</v>
      </c>
      <c r="AX253" s="34">
        <f t="shared" si="127"/>
        <v>0.58521575666964054</v>
      </c>
      <c r="AY253" s="16">
        <f t="shared" si="128"/>
        <v>72.200000000000173</v>
      </c>
      <c r="AZ253" s="16" t="e">
        <f t="shared" si="129"/>
        <v>#N/A</v>
      </c>
      <c r="BA253" s="16">
        <f t="shared" si="137"/>
        <v>6.304475558550386E-3</v>
      </c>
      <c r="BB253" s="34">
        <f t="shared" si="138"/>
        <v>0.38071293570101261</v>
      </c>
      <c r="BC253" s="34">
        <f t="shared" si="130"/>
        <v>0.30627829022705555</v>
      </c>
      <c r="BD253" s="16">
        <f t="shared" si="131"/>
        <v>43.900000000000354</v>
      </c>
      <c r="BE253" s="16" t="e">
        <f t="shared" si="132"/>
        <v>#N/A</v>
      </c>
      <c r="BF253" s="16">
        <f t="shared" si="133"/>
        <v>5.8317132614841422E-3</v>
      </c>
      <c r="BU253" s="16">
        <f t="shared" si="115"/>
        <v>0</v>
      </c>
      <c r="BV253" s="16">
        <f>IF($BY$12=1,NORMDIST(BY253,$Y$6,$Y$8,TRUE),IF($BY$12=2,IF(BY253&lt;=$BX$31,0,IF(BY253&gt;=$BX$32,1,(BY253-$BX$31)*$BX$33)),SUM($BU$42:BU253)/$BV$40))</f>
        <v>7.4228942818693744E-2</v>
      </c>
      <c r="BW253" s="16">
        <f t="shared" si="116"/>
        <v>0.14816774034840133</v>
      </c>
      <c r="BX253" s="16">
        <f>IF($BY$12&lt;3,BV253,SUM($BZ$42:BZ253)/$BX$40)</f>
        <v>7.4228942818693744E-2</v>
      </c>
      <c r="BY253" s="16">
        <f t="shared" si="139"/>
        <v>21.10000000000003</v>
      </c>
      <c r="BZ253" s="16">
        <f t="shared" si="107"/>
        <v>7.0221677890237501E-3</v>
      </c>
      <c r="CA253" s="16">
        <f t="shared" si="118"/>
        <v>-999</v>
      </c>
      <c r="CB253" s="16" t="str">
        <f t="shared" si="108"/>
        <v/>
      </c>
      <c r="CC253" s="16" t="e">
        <f>IF(CB253="",NA(),COUNTIF(CB253:$CB$704,CB253))</f>
        <v>#N/A</v>
      </c>
      <c r="CD253" s="16" t="e">
        <f t="shared" si="109"/>
        <v>#N/A</v>
      </c>
      <c r="CE253" s="16" t="e">
        <f t="shared" si="110"/>
        <v>#N/A</v>
      </c>
      <c r="CF253" s="16">
        <f t="shared" si="111"/>
        <v>99</v>
      </c>
      <c r="CG253" s="16">
        <f t="shared" si="112"/>
        <v>0</v>
      </c>
      <c r="CH253" s="16">
        <f t="shared" si="105"/>
        <v>0</v>
      </c>
      <c r="CJ253" s="16" t="e">
        <f t="shared" si="113"/>
        <v>#N/A</v>
      </c>
      <c r="CK253" s="16" t="str">
        <f t="shared" si="114"/>
        <v/>
      </c>
    </row>
    <row r="254" spans="1:89" ht="12" customHeight="1">
      <c r="A254" s="211"/>
      <c r="B254" s="211"/>
      <c r="C254" s="211"/>
      <c r="D254" s="211"/>
      <c r="E254" s="211"/>
      <c r="F254" s="211"/>
      <c r="G254" s="211"/>
      <c r="H254" s="211"/>
      <c r="I254" s="211"/>
      <c r="J254" s="211"/>
      <c r="K254" s="211"/>
      <c r="L254" s="211"/>
      <c r="M254" s="211"/>
      <c r="N254" s="211"/>
      <c r="O254" s="211"/>
      <c r="AM254" s="34">
        <f t="shared" si="134"/>
        <v>0.57073413021862507</v>
      </c>
      <c r="AN254" s="34">
        <f t="shared" si="119"/>
        <v>0.7217299435287714</v>
      </c>
      <c r="AO254" s="16">
        <f t="shared" si="120"/>
        <v>53.50000000000049</v>
      </c>
      <c r="AP254" s="16" t="e">
        <f t="shared" si="121"/>
        <v>#N/A</v>
      </c>
      <c r="AQ254" s="16">
        <f t="shared" si="122"/>
        <v>1.4177663351601949E-2</v>
      </c>
      <c r="AR254" s="34">
        <f t="shared" si="135"/>
        <v>0.11164850927889347</v>
      </c>
      <c r="AS254" s="34">
        <f t="shared" si="123"/>
        <v>0.54421955533325672</v>
      </c>
      <c r="AT254" s="540">
        <f t="shared" si="124"/>
        <v>25.600000000000094</v>
      </c>
      <c r="AU254" s="16" t="e">
        <f t="shared" si="125"/>
        <v>#N/A</v>
      </c>
      <c r="AV254" s="16">
        <f t="shared" si="126"/>
        <v>5.15765466065471E-3</v>
      </c>
      <c r="AW254" s="34">
        <f t="shared" si="136"/>
        <v>0.17450124211609364</v>
      </c>
      <c r="AX254" s="34">
        <f t="shared" si="127"/>
        <v>0.68967708386480808</v>
      </c>
      <c r="AY254" s="16">
        <f t="shared" si="128"/>
        <v>31.200000000000173</v>
      </c>
      <c r="AZ254" s="16" t="e">
        <f t="shared" si="129"/>
        <v>#N/A</v>
      </c>
      <c r="BA254" s="16">
        <f t="shared" si="137"/>
        <v>8.8441187217247943E-3</v>
      </c>
      <c r="BB254" s="34">
        <f t="shared" si="138"/>
        <v>0.88388832844793797</v>
      </c>
      <c r="BC254" s="34">
        <f t="shared" si="130"/>
        <v>0.77502764947712421</v>
      </c>
      <c r="BD254" s="16">
        <f t="shared" si="131"/>
        <v>73.800000000000082</v>
      </c>
      <c r="BE254" s="16" t="e">
        <f t="shared" si="132"/>
        <v>#N/A</v>
      </c>
      <c r="BF254" s="16">
        <f t="shared" si="133"/>
        <v>7.6154410153596377E-3</v>
      </c>
      <c r="BU254" s="16">
        <f t="shared" si="115"/>
        <v>0</v>
      </c>
      <c r="BV254" s="16">
        <f>IF($BY$12=1,NORMDIST(BY254,$Y$6,$Y$8,TRUE),IF($BY$12=2,IF(BY254&lt;=$BX$31,0,IF(BY254&gt;=$BX$32,1,(BY254-$BX$31)*$BX$33)),SUM($BU$42:BU254)/$BV$40))</f>
        <v>7.4933699534327491E-2</v>
      </c>
      <c r="BW254" s="16">
        <f t="shared" si="116"/>
        <v>0.14994756313832963</v>
      </c>
      <c r="BX254" s="16">
        <f>IF($BY$12&lt;3,BV254,SUM($BZ$42:BZ254)/$BX$40)</f>
        <v>7.4933699534327491E-2</v>
      </c>
      <c r="BY254" s="16">
        <f t="shared" si="139"/>
        <v>21.200000000000031</v>
      </c>
      <c r="BZ254" s="16">
        <f t="shared" si="107"/>
        <v>7.0729982612419539E-3</v>
      </c>
      <c r="CA254" s="16">
        <f t="shared" si="118"/>
        <v>-999</v>
      </c>
      <c r="CB254" s="16" t="str">
        <f t="shared" si="108"/>
        <v/>
      </c>
      <c r="CC254" s="16" t="e">
        <f>IF(CB254="",NA(),COUNTIF(CB254:$CB$704,CB254))</f>
        <v>#N/A</v>
      </c>
      <c r="CD254" s="16" t="e">
        <f t="shared" si="109"/>
        <v>#N/A</v>
      </c>
      <c r="CE254" s="16" t="e">
        <f t="shared" si="110"/>
        <v>#N/A</v>
      </c>
      <c r="CF254" s="16">
        <f t="shared" si="111"/>
        <v>99</v>
      </c>
      <c r="CG254" s="16">
        <f t="shared" si="112"/>
        <v>0</v>
      </c>
      <c r="CH254" s="16">
        <f t="shared" si="105"/>
        <v>0</v>
      </c>
      <c r="CJ254" s="16" t="e">
        <f t="shared" si="113"/>
        <v>#N/A</v>
      </c>
      <c r="CK254" s="16" t="str">
        <f t="shared" si="114"/>
        <v/>
      </c>
    </row>
    <row r="255" spans="1:89" ht="12" customHeight="1">
      <c r="A255" s="211"/>
      <c r="B255" s="211"/>
      <c r="C255" s="211"/>
      <c r="D255" s="211"/>
      <c r="E255" s="211"/>
      <c r="F255" s="211"/>
      <c r="G255" s="211"/>
      <c r="H255" s="211"/>
      <c r="I255" s="211"/>
      <c r="J255" s="211"/>
      <c r="K255" s="211"/>
      <c r="L255" s="211"/>
      <c r="M255" s="211"/>
      <c r="N255" s="211"/>
      <c r="O255" s="211"/>
      <c r="AM255" s="34">
        <f t="shared" si="134"/>
        <v>0.81777697987854481</v>
      </c>
      <c r="AN255" s="34">
        <f t="shared" si="119"/>
        <v>0.42988618649542332</v>
      </c>
      <c r="AO255" s="16">
        <f t="shared" si="120"/>
        <v>68.100000000000406</v>
      </c>
      <c r="AP255" s="16" t="e">
        <f t="shared" si="121"/>
        <v>#N/A</v>
      </c>
      <c r="AQ255" s="16">
        <f t="shared" si="122"/>
        <v>5.6935683853637587E-3</v>
      </c>
      <c r="AR255" s="34">
        <f t="shared" si="135"/>
        <v>0.6281867865473032</v>
      </c>
      <c r="AS255" s="34">
        <f t="shared" si="123"/>
        <v>3.1901257112622261E-2</v>
      </c>
      <c r="AT255" s="540">
        <f t="shared" si="124"/>
        <v>56.500000000000533</v>
      </c>
      <c r="AU255" s="16" t="e">
        <f t="shared" si="125"/>
        <v>#N/A</v>
      </c>
      <c r="AV255" s="16">
        <f t="shared" si="126"/>
        <v>6.0360341775179873E-4</v>
      </c>
      <c r="AW255" s="34">
        <f t="shared" si="136"/>
        <v>0.80445017106831074</v>
      </c>
      <c r="AX255" s="34">
        <f t="shared" si="127"/>
        <v>0.16853533126413822</v>
      </c>
      <c r="AY255" s="16">
        <f t="shared" si="128"/>
        <v>67.100000000000463</v>
      </c>
      <c r="AZ255" s="16" t="e">
        <f t="shared" si="129"/>
        <v>#N/A</v>
      </c>
      <c r="BA255" s="16">
        <f t="shared" si="137"/>
        <v>2.3325500289462461E-3</v>
      </c>
      <c r="BB255" s="34">
        <f t="shared" si="138"/>
        <v>0.57013068534433842</v>
      </c>
      <c r="BC255" s="34">
        <f t="shared" si="130"/>
        <v>0.26514229364693165</v>
      </c>
      <c r="BD255" s="16">
        <f t="shared" si="131"/>
        <v>53.50000000000049</v>
      </c>
      <c r="BE255" s="16" t="e">
        <f t="shared" si="132"/>
        <v>#N/A</v>
      </c>
      <c r="BF255" s="16">
        <f t="shared" si="133"/>
        <v>5.2084553416452935E-3</v>
      </c>
      <c r="BU255" s="16">
        <f t="shared" si="115"/>
        <v>0</v>
      </c>
      <c r="BV255" s="16">
        <f>IF($BY$12=1,NORMDIST(BY255,$Y$6,$Y$8,TRUE),IF($BY$12=2,IF(BY255&lt;=$BX$31,0,IF(BY255&gt;=$BX$32,1,(BY255-$BX$31)*$BX$33)),SUM($BU$42:BU255)/$BV$40))</f>
        <v>7.5643548798880134E-2</v>
      </c>
      <c r="BW255" s="16">
        <f t="shared" si="116"/>
        <v>0.15174159555887815</v>
      </c>
      <c r="BX255" s="16">
        <f>IF($BY$12&lt;3,BV255,SUM($BZ$42:BZ255)/$BX$40)</f>
        <v>7.5643548798880134E-2</v>
      </c>
      <c r="BY255" s="16">
        <f t="shared" si="139"/>
        <v>21.300000000000033</v>
      </c>
      <c r="BZ255" s="16">
        <f t="shared" si="107"/>
        <v>7.1240185708393387E-3</v>
      </c>
      <c r="CA255" s="16">
        <f t="shared" si="118"/>
        <v>-999</v>
      </c>
      <c r="CB255" s="16" t="str">
        <f t="shared" si="108"/>
        <v/>
      </c>
      <c r="CC255" s="16" t="e">
        <f>IF(CB255="",NA(),COUNTIF(CB255:$CB$704,CB255))</f>
        <v>#N/A</v>
      </c>
      <c r="CD255" s="16" t="e">
        <f t="shared" si="109"/>
        <v>#N/A</v>
      </c>
      <c r="CE255" s="16" t="e">
        <f t="shared" si="110"/>
        <v>#N/A</v>
      </c>
      <c r="CF255" s="16">
        <f t="shared" si="111"/>
        <v>99</v>
      </c>
      <c r="CG255" s="16">
        <f t="shared" si="112"/>
        <v>0</v>
      </c>
      <c r="CH255" s="16">
        <f t="shared" si="105"/>
        <v>0</v>
      </c>
      <c r="CJ255" s="16" t="e">
        <f t="shared" si="113"/>
        <v>#N/A</v>
      </c>
      <c r="CK255" s="16" t="str">
        <f t="shared" si="114"/>
        <v/>
      </c>
    </row>
    <row r="256" spans="1:89" ht="12" customHeight="1">
      <c r="A256" s="211"/>
      <c r="B256" s="211"/>
      <c r="C256" s="211"/>
      <c r="D256" s="211"/>
      <c r="E256" s="211"/>
      <c r="F256" s="211"/>
      <c r="G256" s="211"/>
      <c r="H256" s="211"/>
      <c r="I256" s="211"/>
      <c r="J256" s="211"/>
      <c r="K256" s="211"/>
      <c r="L256" s="211"/>
      <c r="M256" s="211"/>
      <c r="N256" s="211"/>
      <c r="O256" s="211"/>
      <c r="AM256" s="34">
        <f t="shared" si="134"/>
        <v>0.45347465761005878</v>
      </c>
      <c r="AN256" s="34">
        <f t="shared" si="119"/>
        <v>0.47127113677561283</v>
      </c>
      <c r="AO256" s="16">
        <f t="shared" si="120"/>
        <v>47.600000000000406</v>
      </c>
      <c r="AP256" s="16" t="e">
        <f t="shared" si="121"/>
        <v>#N/A</v>
      </c>
      <c r="AQ256" s="16">
        <f t="shared" si="122"/>
        <v>9.3330585833161107E-3</v>
      </c>
      <c r="AR256" s="34">
        <f t="shared" si="135"/>
        <v>0.98584256507456303</v>
      </c>
      <c r="AS256" s="34">
        <f t="shared" si="123"/>
        <v>0.46669897623360157</v>
      </c>
      <c r="AT256" s="540">
        <f t="shared" si="124"/>
        <v>93.799999999998946</v>
      </c>
      <c r="AU256" s="16" t="e">
        <f t="shared" si="125"/>
        <v>#N/A</v>
      </c>
      <c r="AV256" s="16">
        <f t="shared" si="126"/>
        <v>8.4616885471193784E-4</v>
      </c>
      <c r="AW256" s="34">
        <f t="shared" si="136"/>
        <v>0.50360068865120411</v>
      </c>
      <c r="AX256" s="34">
        <f t="shared" si="127"/>
        <v>0.43332099355757236</v>
      </c>
      <c r="AY256" s="16">
        <f t="shared" si="128"/>
        <v>50.100000000000442</v>
      </c>
      <c r="AZ256" s="16" t="e">
        <f t="shared" si="129"/>
        <v>#N/A</v>
      </c>
      <c r="BA256" s="16">
        <f t="shared" si="137"/>
        <v>8.6433952226680696E-3</v>
      </c>
      <c r="BB256" s="34">
        <f t="shared" si="138"/>
        <v>0.38331913389265537</v>
      </c>
      <c r="BC256" s="34">
        <f t="shared" si="130"/>
        <v>0.32207529433071613</v>
      </c>
      <c r="BD256" s="16">
        <f t="shared" si="131"/>
        <v>44.000000000000355</v>
      </c>
      <c r="BE256" s="16" t="e">
        <f t="shared" si="132"/>
        <v>#N/A</v>
      </c>
      <c r="BF256" s="16">
        <f t="shared" si="133"/>
        <v>6.1417796459298886E-3</v>
      </c>
      <c r="BU256" s="16">
        <f t="shared" si="115"/>
        <v>0</v>
      </c>
      <c r="BV256" s="16">
        <f>IF($BY$12=1,NORMDIST(BY256,$Y$6,$Y$8,TRUE),IF($BY$12=2,IF(BY256&lt;=$BX$31,0,IF(BY256&gt;=$BX$32,1,(BY256-$BX$31)*$BX$33)),SUM($BU$42:BU256)/$BV$40))</f>
        <v>7.6358509536739394E-2</v>
      </c>
      <c r="BW256" s="16">
        <f t="shared" si="116"/>
        <v>0.15354986907786736</v>
      </c>
      <c r="BX256" s="16">
        <f>IF($BY$12&lt;3,BV256,SUM($BZ$42:BZ256)/$BX$40)</f>
        <v>7.6358509536739394E-2</v>
      </c>
      <c r="BY256" s="16">
        <f t="shared" si="139"/>
        <v>21.400000000000034</v>
      </c>
      <c r="BZ256" s="16">
        <f t="shared" si="107"/>
        <v>7.1752275270031357E-3</v>
      </c>
      <c r="CA256" s="16">
        <f t="shared" si="118"/>
        <v>-999</v>
      </c>
      <c r="CB256" s="16" t="str">
        <f t="shared" si="108"/>
        <v/>
      </c>
      <c r="CC256" s="16" t="e">
        <f>IF(CB256="",NA(),COUNTIF(CB256:$CB$704,CB256))</f>
        <v>#N/A</v>
      </c>
      <c r="CD256" s="16" t="e">
        <f t="shared" si="109"/>
        <v>#N/A</v>
      </c>
      <c r="CE256" s="16" t="e">
        <f t="shared" si="110"/>
        <v>#N/A</v>
      </c>
      <c r="CF256" s="16">
        <f t="shared" si="111"/>
        <v>99</v>
      </c>
      <c r="CG256" s="16">
        <f t="shared" si="112"/>
        <v>0</v>
      </c>
      <c r="CH256" s="16">
        <f t="shared" si="105"/>
        <v>0</v>
      </c>
      <c r="CJ256" s="16" t="e">
        <f t="shared" si="113"/>
        <v>#N/A</v>
      </c>
      <c r="CK256" s="16" t="str">
        <f t="shared" si="114"/>
        <v/>
      </c>
    </row>
    <row r="257" spans="1:89" ht="12" customHeight="1">
      <c r="A257" s="211"/>
      <c r="B257" s="211"/>
      <c r="C257" s="211"/>
      <c r="D257" s="211"/>
      <c r="E257" s="211"/>
      <c r="F257" s="211"/>
      <c r="G257" s="211"/>
      <c r="H257" s="211"/>
      <c r="I257" s="211"/>
      <c r="J257" s="211"/>
      <c r="K257" s="211"/>
      <c r="L257" s="211"/>
      <c r="M257" s="211"/>
      <c r="N257" s="211"/>
      <c r="O257" s="211"/>
      <c r="AM257" s="34">
        <f t="shared" si="134"/>
        <v>0.49428090639412403</v>
      </c>
      <c r="AN257" s="34">
        <f t="shared" si="119"/>
        <v>0.48959302343428135</v>
      </c>
      <c r="AO257" s="16">
        <f t="shared" si="120"/>
        <v>49.700000000000436</v>
      </c>
      <c r="AP257" s="16" t="e">
        <f t="shared" si="121"/>
        <v>#N/A</v>
      </c>
      <c r="AQ257" s="16">
        <f t="shared" si="122"/>
        <v>9.7648692522887045E-3</v>
      </c>
      <c r="AR257" s="34">
        <f t="shared" si="135"/>
        <v>0.82942270673811436</v>
      </c>
      <c r="AS257" s="34">
        <f t="shared" si="123"/>
        <v>0.84987633116543293</v>
      </c>
      <c r="AT257" s="540">
        <f t="shared" si="124"/>
        <v>69.000000000000355</v>
      </c>
      <c r="AU257" s="16" t="e">
        <f t="shared" si="125"/>
        <v>#N/A</v>
      </c>
      <c r="AV257" s="16">
        <f t="shared" si="126"/>
        <v>1.0795938940569112E-2</v>
      </c>
      <c r="AW257" s="34">
        <f t="shared" si="136"/>
        <v>0.56874863989651203</v>
      </c>
      <c r="AX257" s="34">
        <f t="shared" si="127"/>
        <v>0.79269743897020817</v>
      </c>
      <c r="AY257" s="16">
        <f t="shared" si="128"/>
        <v>53.400000000000489</v>
      </c>
      <c r="AZ257" s="16" t="e">
        <f t="shared" si="129"/>
        <v>#N/A</v>
      </c>
      <c r="BA257" s="16">
        <f t="shared" si="137"/>
        <v>1.558518529259913E-2</v>
      </c>
      <c r="BB257" s="34">
        <f t="shared" si="138"/>
        <v>0.13028598763048649</v>
      </c>
      <c r="BC257" s="34">
        <f t="shared" si="130"/>
        <v>0.5700227040797472</v>
      </c>
      <c r="BD257" s="16">
        <f t="shared" si="131"/>
        <v>27.400000000000119</v>
      </c>
      <c r="BE257" s="16" t="e">
        <f t="shared" si="132"/>
        <v>#N/A</v>
      </c>
      <c r="BF257" s="16">
        <f t="shared" si="133"/>
        <v>6.0047773955548868E-3</v>
      </c>
      <c r="BU257" s="16">
        <f t="shared" si="115"/>
        <v>0</v>
      </c>
      <c r="BV257" s="16">
        <f>IF($BY$12=1,NORMDIST(BY257,$Y$6,$Y$8,TRUE),IF($BY$12=2,IF(BY257&lt;=$BX$31,0,IF(BY257&gt;=$BX$32,1,(BY257-$BX$31)*$BX$33)),SUM($BU$42:BU257)/$BV$40))</f>
        <v>7.7078600552072052E-2</v>
      </c>
      <c r="BW257" s="16">
        <f t="shared" si="116"/>
        <v>0.15537241419715347</v>
      </c>
      <c r="BX257" s="16">
        <f>IF($BY$12&lt;3,BV257,SUM($BZ$42:BZ257)/$BX$40)</f>
        <v>7.7078600552072052E-2</v>
      </c>
      <c r="BY257" s="16">
        <f t="shared" si="139"/>
        <v>21.500000000000036</v>
      </c>
      <c r="BZ257" s="16">
        <f t="shared" si="107"/>
        <v>7.2266239161466617E-3</v>
      </c>
      <c r="CA257" s="16">
        <f t="shared" si="118"/>
        <v>-999</v>
      </c>
      <c r="CB257" s="16" t="str">
        <f t="shared" si="108"/>
        <v/>
      </c>
      <c r="CC257" s="16" t="e">
        <f>IF(CB257="",NA(),COUNTIF(CB257:$CB$704,CB257))</f>
        <v>#N/A</v>
      </c>
      <c r="CD257" s="16" t="e">
        <f t="shared" si="109"/>
        <v>#N/A</v>
      </c>
      <c r="CE257" s="16" t="e">
        <f t="shared" si="110"/>
        <v>#N/A</v>
      </c>
      <c r="CF257" s="16">
        <f t="shared" si="111"/>
        <v>99</v>
      </c>
      <c r="CG257" s="16">
        <f t="shared" si="112"/>
        <v>0</v>
      </c>
      <c r="CH257" s="16">
        <f t="shared" si="105"/>
        <v>0</v>
      </c>
      <c r="CJ257" s="16" t="e">
        <f t="shared" si="113"/>
        <v>#N/A</v>
      </c>
      <c r="CK257" s="16" t="str">
        <f t="shared" si="114"/>
        <v/>
      </c>
    </row>
    <row r="258" spans="1:89" ht="12" customHeight="1">
      <c r="A258" s="211"/>
      <c r="B258" s="211"/>
      <c r="C258" s="211"/>
      <c r="D258" s="211"/>
      <c r="E258" s="211"/>
      <c r="F258" s="211"/>
      <c r="G258" s="211"/>
      <c r="H258" s="211"/>
      <c r="I258" s="211"/>
      <c r="J258" s="211"/>
      <c r="K258" s="211"/>
      <c r="L258" s="211"/>
      <c r="M258" s="211"/>
      <c r="N258" s="211"/>
      <c r="O258" s="211"/>
      <c r="AM258" s="34">
        <f t="shared" si="134"/>
        <v>0.59905211813747883</v>
      </c>
      <c r="AN258" s="34">
        <f t="shared" si="119"/>
        <v>0.96905232407152653</v>
      </c>
      <c r="AO258" s="16">
        <f t="shared" si="120"/>
        <v>55.000000000000512</v>
      </c>
      <c r="AP258" s="16" t="e">
        <f t="shared" si="121"/>
        <v>#N/A</v>
      </c>
      <c r="AQ258" s="16">
        <f t="shared" si="122"/>
        <v>1.8735081861607956E-2</v>
      </c>
      <c r="AR258" s="34">
        <f t="shared" si="135"/>
        <v>0.36004663445055485</v>
      </c>
      <c r="AS258" s="34">
        <f t="shared" si="123"/>
        <v>2.5111796334385872E-2</v>
      </c>
      <c r="AT258" s="540">
        <f t="shared" si="124"/>
        <v>42.800000000000338</v>
      </c>
      <c r="AU258" s="16" t="e">
        <f t="shared" si="125"/>
        <v>#N/A</v>
      </c>
      <c r="AV258" s="16">
        <f t="shared" si="126"/>
        <v>4.6947834846984917E-4</v>
      </c>
      <c r="AW258" s="34">
        <f t="shared" si="136"/>
        <v>0.69476878829300404</v>
      </c>
      <c r="AX258" s="34">
        <f t="shared" si="127"/>
        <v>0.91492428816854954</v>
      </c>
      <c r="AY258" s="16">
        <f t="shared" si="128"/>
        <v>60.100000000000584</v>
      </c>
      <c r="AZ258" s="16" t="e">
        <f t="shared" si="129"/>
        <v>#N/A</v>
      </c>
      <c r="BA258" s="16">
        <f t="shared" si="137"/>
        <v>1.6065241255611009E-2</v>
      </c>
      <c r="BB258" s="34">
        <f t="shared" si="138"/>
        <v>0.45109262503683567</v>
      </c>
      <c r="BC258" s="34">
        <f t="shared" si="130"/>
        <v>0.11457248218357563</v>
      </c>
      <c r="BD258" s="16">
        <f t="shared" si="131"/>
        <v>47.500000000000405</v>
      </c>
      <c r="BE258" s="16" t="e">
        <f t="shared" si="132"/>
        <v>#N/A</v>
      </c>
      <c r="BF258" s="16">
        <f t="shared" si="133"/>
        <v>2.267605316753261E-3</v>
      </c>
      <c r="BU258" s="16">
        <f t="shared" si="115"/>
        <v>0</v>
      </c>
      <c r="BV258" s="16">
        <f>IF($BY$12=1,NORMDIST(BY258,$Y$6,$Y$8,TRUE),IF($BY$12=2,IF(BY258&lt;=$BX$31,0,IF(BY258&gt;=$BX$32,1,(BY258-$BX$31)*$BX$33)),SUM($BU$42:BU258)/$BV$40))</f>
        <v>7.7803840526546653E-2</v>
      </c>
      <c r="BW258" s="16">
        <f t="shared" si="116"/>
        <v>0.15720926044033606</v>
      </c>
      <c r="BX258" s="16">
        <f>IF($BY$12&lt;3,BV258,SUM($BZ$42:BZ258)/$BX$40)</f>
        <v>7.7803840526546653E-2</v>
      </c>
      <c r="BY258" s="16">
        <f t="shared" si="139"/>
        <v>21.600000000000037</v>
      </c>
      <c r="BZ258" s="16">
        <f t="shared" si="107"/>
        <v>7.2782065018673981E-3</v>
      </c>
      <c r="CA258" s="16">
        <f t="shared" si="118"/>
        <v>-999</v>
      </c>
      <c r="CB258" s="16" t="str">
        <f t="shared" si="108"/>
        <v/>
      </c>
      <c r="CC258" s="16" t="e">
        <f>IF(CB258="",NA(),COUNTIF(CB258:$CB$704,CB258))</f>
        <v>#N/A</v>
      </c>
      <c r="CD258" s="16" t="e">
        <f t="shared" si="109"/>
        <v>#N/A</v>
      </c>
      <c r="CE258" s="16" t="e">
        <f t="shared" si="110"/>
        <v>#N/A</v>
      </c>
      <c r="CF258" s="16">
        <f t="shared" si="111"/>
        <v>99</v>
      </c>
      <c r="CG258" s="16">
        <f t="shared" si="112"/>
        <v>0</v>
      </c>
      <c r="CH258" s="16">
        <f t="shared" si="105"/>
        <v>0</v>
      </c>
      <c r="CJ258" s="16" t="e">
        <f t="shared" si="113"/>
        <v>#N/A</v>
      </c>
      <c r="CK258" s="16" t="str">
        <f t="shared" si="114"/>
        <v/>
      </c>
    </row>
    <row r="259" spans="1:89" ht="12" customHeight="1">
      <c r="A259" s="211"/>
      <c r="B259" s="211"/>
      <c r="C259" s="211"/>
      <c r="D259" s="211"/>
      <c r="E259" s="211"/>
      <c r="F259" s="211"/>
      <c r="G259" s="211"/>
      <c r="H259" s="211"/>
      <c r="I259" s="211"/>
      <c r="J259" s="211"/>
      <c r="K259" s="211"/>
      <c r="L259" s="211"/>
      <c r="M259" s="211"/>
      <c r="N259" s="211"/>
      <c r="O259" s="211"/>
      <c r="AM259" s="34">
        <f t="shared" si="134"/>
        <v>0.83839547820389271</v>
      </c>
      <c r="AN259" s="34">
        <f t="shared" si="119"/>
        <v>0.68118014372885227</v>
      </c>
      <c r="AO259" s="16">
        <f t="shared" si="120"/>
        <v>69.700000000000315</v>
      </c>
      <c r="AP259" s="16" t="e">
        <f t="shared" si="121"/>
        <v>#N/A</v>
      </c>
      <c r="AQ259" s="16">
        <f t="shared" si="122"/>
        <v>8.3648925790897975E-3</v>
      </c>
      <c r="AR259" s="34">
        <f t="shared" si="135"/>
        <v>0.2897972110658884</v>
      </c>
      <c r="AS259" s="34">
        <f t="shared" si="123"/>
        <v>0.87802262790501118</v>
      </c>
      <c r="AT259" s="540">
        <f t="shared" si="124"/>
        <v>38.900000000000283</v>
      </c>
      <c r="AU259" s="16" t="e">
        <f t="shared" si="125"/>
        <v>#N/A</v>
      </c>
      <c r="AV259" s="16">
        <f t="shared" si="126"/>
        <v>1.5014089476123564E-2</v>
      </c>
      <c r="AW259" s="34">
        <f t="shared" si="136"/>
        <v>0.7757012415677309</v>
      </c>
      <c r="AX259" s="34">
        <f t="shared" si="127"/>
        <v>0.49979344941675663</v>
      </c>
      <c r="AY259" s="16">
        <f t="shared" si="128"/>
        <v>65.100000000000577</v>
      </c>
      <c r="AZ259" s="16" t="e">
        <f t="shared" si="129"/>
        <v>#N/A</v>
      </c>
      <c r="BA259" s="16">
        <f t="shared" si="137"/>
        <v>7.4970649589848034E-3</v>
      </c>
      <c r="BB259" s="34">
        <f t="shared" si="138"/>
        <v>0.31127802468836308</v>
      </c>
      <c r="BC259" s="34">
        <f t="shared" si="130"/>
        <v>0.29349795170128345</v>
      </c>
      <c r="BD259" s="16">
        <f t="shared" si="131"/>
        <v>40.1000000000003</v>
      </c>
      <c r="BE259" s="16" t="e">
        <f t="shared" si="132"/>
        <v>#N/A</v>
      </c>
      <c r="BF259" s="16">
        <f t="shared" si="133"/>
        <v>5.1793903361143047E-3</v>
      </c>
      <c r="BU259" s="16">
        <f t="shared" si="115"/>
        <v>0</v>
      </c>
      <c r="BV259" s="16">
        <f>IF($BY$12=1,NORMDIST(BY259,$Y$6,$Y$8,TRUE),IF($BY$12=2,IF(BY259&lt;=$BX$31,0,IF(BY259&gt;=$BX$32,1,(BY259-$BX$31)*$BX$33)),SUM($BU$42:BU259)/$BV$40))</f>
        <v>7.8534248017048558E-2</v>
      </c>
      <c r="BW259" s="16">
        <f t="shared" si="116"/>
        <v>0.15906043634049646</v>
      </c>
      <c r="BX259" s="16">
        <f>IF($BY$12&lt;3,BV259,SUM($BZ$42:BZ259)/$BX$40)</f>
        <v>7.8534248017048558E-2</v>
      </c>
      <c r="BY259" s="16">
        <f t="shared" si="139"/>
        <v>21.700000000000038</v>
      </c>
      <c r="BZ259" s="16">
        <f t="shared" si="107"/>
        <v>7.3299740249076579E-3</v>
      </c>
      <c r="CA259" s="16">
        <f t="shared" si="118"/>
        <v>-999</v>
      </c>
      <c r="CB259" s="16" t="str">
        <f t="shared" si="108"/>
        <v/>
      </c>
      <c r="CC259" s="16" t="e">
        <f>IF(CB259="",NA(),COUNTIF(CB259:$CB$704,CB259))</f>
        <v>#N/A</v>
      </c>
      <c r="CD259" s="16" t="e">
        <f t="shared" si="109"/>
        <v>#N/A</v>
      </c>
      <c r="CE259" s="16" t="e">
        <f t="shared" si="110"/>
        <v>#N/A</v>
      </c>
      <c r="CF259" s="16">
        <f t="shared" si="111"/>
        <v>99</v>
      </c>
      <c r="CG259" s="16">
        <f t="shared" si="112"/>
        <v>0</v>
      </c>
      <c r="CH259" s="16">
        <f t="shared" ref="CH259:CH322" si="140">IF(CB259="",0,1)</f>
        <v>0</v>
      </c>
      <c r="CJ259" s="16" t="e">
        <f t="shared" si="113"/>
        <v>#N/A</v>
      </c>
      <c r="CK259" s="16" t="str">
        <f t="shared" si="114"/>
        <v/>
      </c>
    </row>
    <row r="260" spans="1:89" ht="12" customHeight="1">
      <c r="A260" s="211"/>
      <c r="B260" s="211"/>
      <c r="C260" s="211"/>
      <c r="D260" s="211"/>
      <c r="E260" s="211"/>
      <c r="F260" s="211"/>
      <c r="G260" s="211"/>
      <c r="H260" s="211"/>
      <c r="I260" s="211"/>
      <c r="J260" s="211"/>
      <c r="K260" s="211"/>
      <c r="L260" s="211"/>
      <c r="M260" s="211"/>
      <c r="N260" s="211"/>
      <c r="O260" s="211"/>
      <c r="AM260" s="34">
        <f t="shared" si="134"/>
        <v>0.29263039119541645</v>
      </c>
      <c r="AN260" s="34">
        <f t="shared" si="119"/>
        <v>0.71614925004541874</v>
      </c>
      <c r="AO260" s="16">
        <f t="shared" si="120"/>
        <v>39.000000000000284</v>
      </c>
      <c r="AP260" s="16" t="e">
        <f t="shared" si="121"/>
        <v>#N/A</v>
      </c>
      <c r="AQ260" s="16">
        <f t="shared" si="122"/>
        <v>1.2279949228990924E-2</v>
      </c>
      <c r="AR260" s="34">
        <f t="shared" si="135"/>
        <v>0.69334427453577518</v>
      </c>
      <c r="AS260" s="34">
        <f t="shared" si="123"/>
        <v>0.75883332081139088</v>
      </c>
      <c r="AT260" s="540">
        <f t="shared" si="124"/>
        <v>60.100000000000584</v>
      </c>
      <c r="AU260" s="16" t="e">
        <f t="shared" si="125"/>
        <v>#N/A</v>
      </c>
      <c r="AV260" s="16">
        <f t="shared" si="126"/>
        <v>1.3324425342379405E-2</v>
      </c>
      <c r="AW260" s="34">
        <f t="shared" si="136"/>
        <v>0.99148240871727467</v>
      </c>
      <c r="AX260" s="34">
        <f t="shared" si="127"/>
        <v>0.97644405998289585</v>
      </c>
      <c r="AY260" s="16">
        <f t="shared" si="128"/>
        <v>97.699999999998724</v>
      </c>
      <c r="AZ260" s="16" t="e">
        <f t="shared" si="129"/>
        <v>#N/A</v>
      </c>
      <c r="BA260" s="16" t="e">
        <f t="shared" si="137"/>
        <v>#N/A</v>
      </c>
      <c r="BB260" s="34">
        <f t="shared" si="138"/>
        <v>0.33248620666563511</v>
      </c>
      <c r="BC260" s="34">
        <f t="shared" si="130"/>
        <v>0.38897703774273396</v>
      </c>
      <c r="BD260" s="16">
        <f t="shared" si="131"/>
        <v>41.300000000000317</v>
      </c>
      <c r="BE260" s="16" t="e">
        <f t="shared" si="132"/>
        <v>#N/A</v>
      </c>
      <c r="BF260" s="16">
        <f t="shared" si="133"/>
        <v>7.0585313527719209E-3</v>
      </c>
      <c r="BU260" s="16">
        <f t="shared" si="115"/>
        <v>0</v>
      </c>
      <c r="BV260" s="16">
        <f>IF($BY$12=1,NORMDIST(BY260,$Y$6,$Y$8,TRUE),IF($BY$12=2,IF(BY260&lt;=$BX$31,0,IF(BY260&gt;=$BX$32,1,(BY260-$BX$31)*$BX$33)),SUM($BU$42:BU260)/$BV$40))</f>
        <v>7.9269841453392775E-2</v>
      </c>
      <c r="BW260" s="16">
        <f t="shared" si="116"/>
        <v>0.16092596942796844</v>
      </c>
      <c r="BX260" s="16">
        <f>IF($BY$12&lt;3,BV260,SUM($BZ$42:BZ260)/$BX$40)</f>
        <v>7.9269841453392775E-2</v>
      </c>
      <c r="BY260" s="16">
        <f t="shared" si="139"/>
        <v>21.80000000000004</v>
      </c>
      <c r="BZ260" s="16">
        <f t="shared" si="107"/>
        <v>7.3819252031178048E-3</v>
      </c>
      <c r="CA260" s="16">
        <f t="shared" si="118"/>
        <v>-999</v>
      </c>
      <c r="CB260" s="16" t="str">
        <f t="shared" si="108"/>
        <v/>
      </c>
      <c r="CC260" s="16" t="e">
        <f>IF(CB260="",NA(),COUNTIF(CB260:$CB$704,CB260))</f>
        <v>#N/A</v>
      </c>
      <c r="CD260" s="16" t="e">
        <f t="shared" si="109"/>
        <v>#N/A</v>
      </c>
      <c r="CE260" s="16" t="e">
        <f t="shared" si="110"/>
        <v>#N/A</v>
      </c>
      <c r="CF260" s="16">
        <f t="shared" si="111"/>
        <v>99</v>
      </c>
      <c r="CG260" s="16">
        <f t="shared" si="112"/>
        <v>0</v>
      </c>
      <c r="CH260" s="16">
        <f t="shared" si="140"/>
        <v>0</v>
      </c>
      <c r="CJ260" s="16" t="e">
        <f t="shared" si="113"/>
        <v>#N/A</v>
      </c>
      <c r="CK260" s="16" t="str">
        <f t="shared" si="114"/>
        <v/>
      </c>
    </row>
    <row r="261" spans="1:89" ht="12" customHeight="1">
      <c r="A261" s="211"/>
      <c r="B261" s="211"/>
      <c r="C261" s="211"/>
      <c r="D261" s="211"/>
      <c r="E261" s="211"/>
      <c r="F261" s="211"/>
      <c r="G261" s="211"/>
      <c r="H261" s="211"/>
      <c r="I261" s="211"/>
      <c r="J261" s="211"/>
      <c r="K261" s="211"/>
      <c r="L261" s="211"/>
      <c r="M261" s="211"/>
      <c r="N261" s="211"/>
      <c r="O261" s="211"/>
      <c r="AM261" s="34">
        <f t="shared" si="134"/>
        <v>0.81039443798363209</v>
      </c>
      <c r="AN261" s="34">
        <f t="shared" si="119"/>
        <v>0.91496401466429234</v>
      </c>
      <c r="AO261" s="16">
        <f t="shared" si="120"/>
        <v>67.500000000000441</v>
      </c>
      <c r="AP261" s="16" t="e">
        <f t="shared" si="121"/>
        <v>#N/A</v>
      </c>
      <c r="AQ261" s="16">
        <f t="shared" si="122"/>
        <v>1.2446026676295744E-2</v>
      </c>
      <c r="AR261" s="34">
        <f t="shared" si="135"/>
        <v>7.2947079315781593E-2</v>
      </c>
      <c r="AS261" s="34">
        <f t="shared" si="123"/>
        <v>0.74146984703838825</v>
      </c>
      <c r="AT261" s="540">
        <f t="shared" si="124"/>
        <v>20.900000000000027</v>
      </c>
      <c r="AU261" s="16" t="e">
        <f t="shared" si="125"/>
        <v>#N/A</v>
      </c>
      <c r="AV261" s="16">
        <f t="shared" si="126"/>
        <v>5.1317728751375871E-3</v>
      </c>
      <c r="AW261" s="34">
        <f t="shared" si="136"/>
        <v>0.2936017382889986</v>
      </c>
      <c r="AX261" s="34">
        <f t="shared" si="127"/>
        <v>0.19971258379518986</v>
      </c>
      <c r="AY261" s="16">
        <f t="shared" si="128"/>
        <v>39.100000000000286</v>
      </c>
      <c r="AZ261" s="16" t="e">
        <f t="shared" si="129"/>
        <v>#N/A</v>
      </c>
      <c r="BA261" s="16">
        <f t="shared" si="137"/>
        <v>3.4338976089140498E-3</v>
      </c>
      <c r="BB261" s="34">
        <f t="shared" si="138"/>
        <v>0.43412883020937443</v>
      </c>
      <c r="BC261" s="34">
        <f t="shared" si="130"/>
        <v>0.94576853699982166</v>
      </c>
      <c r="BD261" s="16">
        <f t="shared" si="131"/>
        <v>46.600000000000392</v>
      </c>
      <c r="BE261" s="16" t="e">
        <f t="shared" si="132"/>
        <v>#N/A</v>
      </c>
      <c r="BF261" s="16">
        <f t="shared" si="133"/>
        <v>1.8594708609379902E-2</v>
      </c>
      <c r="BU261" s="16">
        <f t="shared" si="115"/>
        <v>0</v>
      </c>
      <c r="BV261" s="16">
        <f>IF($BY$12=1,NORMDIST(BY261,$Y$6,$Y$8,TRUE),IF($BY$12=2,IF(BY261&lt;=$BX$31,0,IF(BY261&gt;=$BX$32,1,(BY261-$BX$31)*$BX$33)),SUM($BU$42:BU261)/$BV$40))</f>
        <v>8.0010639136034012E-2</v>
      </c>
      <c r="BW261" s="16">
        <f t="shared" si="116"/>
        <v>0.16280588621814479</v>
      </c>
      <c r="BX261" s="16">
        <f>IF($BY$12&lt;3,BV261,SUM($BZ$42:BZ261)/$BX$40)</f>
        <v>8.0010639136034012E-2</v>
      </c>
      <c r="BY261" s="16">
        <f t="shared" si="139"/>
        <v>21.900000000000041</v>
      </c>
      <c r="BZ261" s="16">
        <f t="shared" si="107"/>
        <v>7.434058731422122E-3</v>
      </c>
      <c r="CA261" s="16">
        <f t="shared" si="118"/>
        <v>-999</v>
      </c>
      <c r="CB261" s="16" t="str">
        <f t="shared" si="108"/>
        <v/>
      </c>
      <c r="CC261" s="16" t="e">
        <f>IF(CB261="",NA(),COUNTIF(CB261:$CB$704,CB261))</f>
        <v>#N/A</v>
      </c>
      <c r="CD261" s="16" t="e">
        <f t="shared" si="109"/>
        <v>#N/A</v>
      </c>
      <c r="CE261" s="16" t="e">
        <f t="shared" si="110"/>
        <v>#N/A</v>
      </c>
      <c r="CF261" s="16">
        <f t="shared" si="111"/>
        <v>99</v>
      </c>
      <c r="CG261" s="16">
        <f t="shared" si="112"/>
        <v>0</v>
      </c>
      <c r="CH261" s="16">
        <f t="shared" si="140"/>
        <v>0</v>
      </c>
      <c r="CJ261" s="16" t="e">
        <f t="shared" si="113"/>
        <v>#N/A</v>
      </c>
      <c r="CK261" s="16" t="str">
        <f t="shared" si="114"/>
        <v/>
      </c>
    </row>
    <row r="262" spans="1:89" ht="12" customHeight="1">
      <c r="A262" s="211"/>
      <c r="B262" s="211"/>
      <c r="C262" s="211"/>
      <c r="D262" s="211"/>
      <c r="E262" s="211"/>
      <c r="F262" s="211"/>
      <c r="G262" s="211"/>
      <c r="H262" s="211"/>
      <c r="I262" s="211"/>
      <c r="J262" s="211"/>
      <c r="K262" s="211"/>
      <c r="L262" s="211"/>
      <c r="M262" s="211"/>
      <c r="N262" s="211"/>
      <c r="O262" s="211"/>
      <c r="AM262" s="34">
        <f t="shared" si="134"/>
        <v>4.1175113990902901E-2</v>
      </c>
      <c r="AN262" s="34">
        <f t="shared" si="119"/>
        <v>0.67518551088869572</v>
      </c>
      <c r="AO262" s="16">
        <f t="shared" si="120"/>
        <v>15.199999999999962</v>
      </c>
      <c r="AP262" s="16" t="e">
        <f t="shared" si="121"/>
        <v>#N/A</v>
      </c>
      <c r="AQ262" s="16">
        <f t="shared" si="122"/>
        <v>2.9639317394722056E-3</v>
      </c>
      <c r="AR262" s="34">
        <f t="shared" si="135"/>
        <v>0.10949189402163029</v>
      </c>
      <c r="AS262" s="34">
        <f t="shared" si="123"/>
        <v>0.36361092515289783</v>
      </c>
      <c r="AT262" s="540">
        <f t="shared" si="124"/>
        <v>25.400000000000091</v>
      </c>
      <c r="AU262" s="16" t="e">
        <f t="shared" si="125"/>
        <v>#N/A</v>
      </c>
      <c r="AV262" s="16">
        <f t="shared" si="126"/>
        <v>3.4040421811224516E-3</v>
      </c>
      <c r="AW262" s="34">
        <f t="shared" si="136"/>
        <v>0.43421548791229725</v>
      </c>
      <c r="AX262" s="34">
        <f t="shared" si="127"/>
        <v>0.52392431534826756</v>
      </c>
      <c r="AY262" s="16">
        <f t="shared" si="128"/>
        <v>46.600000000000392</v>
      </c>
      <c r="AZ262" s="16" t="e">
        <f t="shared" si="129"/>
        <v>#N/A</v>
      </c>
      <c r="BA262" s="16">
        <f t="shared" si="137"/>
        <v>1.0300850151110217E-2</v>
      </c>
      <c r="BB262" s="34">
        <f t="shared" si="138"/>
        <v>0.66498919762670994</v>
      </c>
      <c r="BC262" s="34">
        <f t="shared" si="130"/>
        <v>0.62112666852772236</v>
      </c>
      <c r="BD262" s="16">
        <f t="shared" si="131"/>
        <v>58.500000000000561</v>
      </c>
      <c r="BE262" s="16" t="e">
        <f t="shared" si="132"/>
        <v>#N/A</v>
      </c>
      <c r="BF262" s="16">
        <f t="shared" si="133"/>
        <v>1.1319781035787155E-2</v>
      </c>
      <c r="BU262" s="16">
        <f t="shared" si="115"/>
        <v>0</v>
      </c>
      <c r="BV262" s="16">
        <f>IF($BY$12=1,NORMDIST(BY262,$Y$6,$Y$8,TRUE),IF($BY$12=2,IF(BY262&lt;=$BX$31,0,IF(BY262&gt;=$BX$32,1,(BY262-$BX$31)*$BX$33)),SUM($BU$42:BU262)/$BV$40))</f>
        <v>8.07566592337714E-2</v>
      </c>
      <c r="BW262" s="16">
        <f t="shared" si="116"/>
        <v>0.16470021219932013</v>
      </c>
      <c r="BX262" s="16">
        <f>IF($BY$12&lt;3,BV262,SUM($BZ$42:BZ262)/$BX$40)</f>
        <v>8.07566592337714E-2</v>
      </c>
      <c r="BY262" s="16">
        <f t="shared" si="139"/>
        <v>22.000000000000043</v>
      </c>
      <c r="BZ262" s="16">
        <f t="shared" si="107"/>
        <v>7.4863732817872647E-3</v>
      </c>
      <c r="CA262" s="16">
        <f t="shared" si="118"/>
        <v>-999</v>
      </c>
      <c r="CB262" s="16" t="str">
        <f t="shared" si="108"/>
        <v/>
      </c>
      <c r="CC262" s="16" t="e">
        <f>IF(CB262="",NA(),COUNTIF(CB262:$CB$704,CB262))</f>
        <v>#N/A</v>
      </c>
      <c r="CD262" s="16" t="e">
        <f t="shared" si="109"/>
        <v>#N/A</v>
      </c>
      <c r="CE262" s="16" t="e">
        <f t="shared" si="110"/>
        <v>#N/A</v>
      </c>
      <c r="CF262" s="16">
        <f t="shared" si="111"/>
        <v>99</v>
      </c>
      <c r="CG262" s="16">
        <f t="shared" si="112"/>
        <v>0</v>
      </c>
      <c r="CH262" s="16">
        <f t="shared" si="140"/>
        <v>0</v>
      </c>
      <c r="CJ262" s="16" t="e">
        <f t="shared" si="113"/>
        <v>#N/A</v>
      </c>
      <c r="CK262" s="16" t="str">
        <f t="shared" si="114"/>
        <v/>
      </c>
    </row>
    <row r="263" spans="1:89" ht="12" customHeight="1">
      <c r="A263" s="211"/>
      <c r="B263" s="211"/>
      <c r="C263" s="211"/>
      <c r="D263" s="211"/>
      <c r="E263" s="211"/>
      <c r="F263" s="211"/>
      <c r="G263" s="211"/>
      <c r="H263" s="211"/>
      <c r="I263" s="211"/>
      <c r="J263" s="211"/>
      <c r="K263" s="211"/>
      <c r="L263" s="211"/>
      <c r="M263" s="211"/>
      <c r="N263" s="211"/>
      <c r="O263" s="211"/>
      <c r="AM263" s="34">
        <f t="shared" si="134"/>
        <v>0.88629859872162342</v>
      </c>
      <c r="AN263" s="34">
        <f t="shared" si="119"/>
        <v>0.50909801758825779</v>
      </c>
      <c r="AO263" s="16">
        <f t="shared" si="120"/>
        <v>74.100000000000065</v>
      </c>
      <c r="AP263" s="16" t="e">
        <f t="shared" si="121"/>
        <v>#N/A</v>
      </c>
      <c r="AQ263" s="16">
        <f t="shared" si="122"/>
        <v>4.9133562398156099E-3</v>
      </c>
      <c r="AR263" s="34">
        <f t="shared" si="135"/>
        <v>0.97847100533545017</v>
      </c>
      <c r="AS263" s="34">
        <f t="shared" si="123"/>
        <v>0.77347757108509541</v>
      </c>
      <c r="AT263" s="540">
        <f t="shared" si="124"/>
        <v>90.399999999999139</v>
      </c>
      <c r="AU263" s="16" t="e">
        <f t="shared" si="125"/>
        <v>#N/A</v>
      </c>
      <c r="AV263" s="16">
        <f t="shared" si="126"/>
        <v>2.0057656660208562E-3</v>
      </c>
      <c r="AW263" s="34">
        <f t="shared" si="136"/>
        <v>0.96449877507984638</v>
      </c>
      <c r="AX263" s="34">
        <f t="shared" si="127"/>
        <v>0.2892825398594141</v>
      </c>
      <c r="AY263" s="16">
        <f t="shared" si="128"/>
        <v>86.099999999999383</v>
      </c>
      <c r="AZ263" s="16" t="e">
        <f t="shared" si="129"/>
        <v>#N/A</v>
      </c>
      <c r="BA263" s="16">
        <f t="shared" si="137"/>
        <v>1.1316995737467121E-3</v>
      </c>
      <c r="BB263" s="34">
        <f t="shared" si="138"/>
        <v>0.7599239144474268</v>
      </c>
      <c r="BC263" s="34">
        <f t="shared" si="130"/>
        <v>2.3485155776143074E-2</v>
      </c>
      <c r="BD263" s="16">
        <f t="shared" si="131"/>
        <v>64.100000000000634</v>
      </c>
      <c r="BE263" s="16" t="e">
        <f t="shared" si="132"/>
        <v>#N/A</v>
      </c>
      <c r="BF263" s="16">
        <f t="shared" si="133"/>
        <v>3.6538095611954785E-4</v>
      </c>
      <c r="BU263" s="16">
        <f t="shared" si="115"/>
        <v>0</v>
      </c>
      <c r="BV263" s="16">
        <f>IF($BY$12=1,NORMDIST(BY263,$Y$6,$Y$8,TRUE),IF($BY$12=2,IF(BY263&lt;=$BX$31,0,IF(BY263&gt;=$BX$32,1,(BY263-$BX$31)*$BX$33)),SUM($BU$42:BU263)/$BV$40))</f>
        <v>8.1507919781451665E-2</v>
      </c>
      <c r="BW263" s="16">
        <f t="shared" si="116"/>
        <v>0.16660897182057488</v>
      </c>
      <c r="BX263" s="16">
        <f>IF($BY$12&lt;3,BV263,SUM($BZ$42:BZ263)/$BX$40)</f>
        <v>8.1507919781451665E-2</v>
      </c>
      <c r="BY263" s="16">
        <f t="shared" si="139"/>
        <v>22.100000000000044</v>
      </c>
      <c r="BZ263" s="16">
        <f t="shared" si="107"/>
        <v>7.5388675031934187E-3</v>
      </c>
      <c r="CA263" s="16">
        <f t="shared" si="118"/>
        <v>-999</v>
      </c>
      <c r="CB263" s="16" t="str">
        <f t="shared" si="108"/>
        <v/>
      </c>
      <c r="CC263" s="16" t="e">
        <f>IF(CB263="",NA(),COUNTIF(CB263:$CB$704,CB263))</f>
        <v>#N/A</v>
      </c>
      <c r="CD263" s="16" t="e">
        <f t="shared" si="109"/>
        <v>#N/A</v>
      </c>
      <c r="CE263" s="16" t="e">
        <f t="shared" si="110"/>
        <v>#N/A</v>
      </c>
      <c r="CF263" s="16">
        <f t="shared" si="111"/>
        <v>99</v>
      </c>
      <c r="CG263" s="16">
        <f t="shared" si="112"/>
        <v>0</v>
      </c>
      <c r="CH263" s="16">
        <f t="shared" si="140"/>
        <v>0</v>
      </c>
      <c r="CJ263" s="16" t="e">
        <f t="shared" si="113"/>
        <v>#N/A</v>
      </c>
      <c r="CK263" s="16" t="str">
        <f t="shared" si="114"/>
        <v/>
      </c>
    </row>
    <row r="264" spans="1:89" ht="12" customHeight="1">
      <c r="A264" s="211"/>
      <c r="B264" s="211"/>
      <c r="C264" s="211"/>
      <c r="D264" s="211"/>
      <c r="E264" s="211"/>
      <c r="F264" s="211"/>
      <c r="G264" s="211"/>
      <c r="H264" s="211"/>
      <c r="I264" s="211"/>
      <c r="J264" s="211"/>
      <c r="K264" s="211"/>
      <c r="L264" s="211"/>
      <c r="M264" s="211"/>
      <c r="N264" s="211"/>
      <c r="O264" s="211"/>
      <c r="AM264" s="34">
        <f t="shared" si="134"/>
        <v>0.79415680654346943</v>
      </c>
      <c r="AN264" s="34">
        <f t="shared" si="119"/>
        <v>0.38947317935526371</v>
      </c>
      <c r="AO264" s="16">
        <f t="shared" si="120"/>
        <v>66.400000000000503</v>
      </c>
      <c r="AP264" s="16" t="e">
        <f t="shared" si="121"/>
        <v>#N/A</v>
      </c>
      <c r="AQ264" s="16">
        <f t="shared" si="122"/>
        <v>5.5507008386279028E-3</v>
      </c>
      <c r="AR264" s="34">
        <f t="shared" si="135"/>
        <v>0.76605937816202641</v>
      </c>
      <c r="AS264" s="34">
        <f t="shared" si="123"/>
        <v>0.740392180159688</v>
      </c>
      <c r="AT264" s="540">
        <f t="shared" si="124"/>
        <v>64.500000000000611</v>
      </c>
      <c r="AU264" s="16" t="e">
        <f t="shared" si="125"/>
        <v>#N/A</v>
      </c>
      <c r="AV264" s="16">
        <f t="shared" si="126"/>
        <v>1.1355437592485071E-2</v>
      </c>
      <c r="AW264" s="34">
        <f t="shared" si="136"/>
        <v>0.15926715917885303</v>
      </c>
      <c r="AX264" s="34">
        <f t="shared" si="127"/>
        <v>0.6622615996748209</v>
      </c>
      <c r="AY264" s="16">
        <f t="shared" si="128"/>
        <v>30.000000000000156</v>
      </c>
      <c r="AZ264" s="16" t="e">
        <f t="shared" si="129"/>
        <v>#N/A</v>
      </c>
      <c r="BA264" s="16">
        <f t="shared" si="137"/>
        <v>8.0123959547262272E-3</v>
      </c>
      <c r="BB264" s="34">
        <f t="shared" si="138"/>
        <v>0.86306845583021641</v>
      </c>
      <c r="BC264" s="34">
        <f t="shared" si="130"/>
        <v>0.77819208987057209</v>
      </c>
      <c r="BD264" s="16">
        <f t="shared" si="131"/>
        <v>71.800000000000196</v>
      </c>
      <c r="BE264" s="16" t="e">
        <f t="shared" si="132"/>
        <v>#N/A</v>
      </c>
      <c r="BF264" s="16">
        <f t="shared" si="133"/>
        <v>8.5698702210331816E-3</v>
      </c>
      <c r="BU264" s="16">
        <f t="shared" si="115"/>
        <v>0</v>
      </c>
      <c r="BV264" s="16">
        <f>IF($BY$12=1,NORMDIST(BY264,$Y$6,$Y$8,TRUE),IF($BY$12=2,IF(BY264&lt;=$BX$31,0,IF(BY264&gt;=$BX$32,1,(BY264-$BX$31)*$BX$33)),SUM($BU$42:BU264)/$BV$40))</f>
        <v>8.2264438677669305E-2</v>
      </c>
      <c r="BW264" s="16">
        <f t="shared" si="116"/>
        <v>0.16853218847970031</v>
      </c>
      <c r="BX264" s="16">
        <f>IF($BY$12&lt;3,BV264,SUM($BZ$42:BZ264)/$BX$40)</f>
        <v>8.2264438677669305E-2</v>
      </c>
      <c r="BY264" s="16">
        <f t="shared" si="139"/>
        <v>22.200000000000045</v>
      </c>
      <c r="BZ264" s="16">
        <f t="shared" si="107"/>
        <v>7.5915400216081067E-3</v>
      </c>
      <c r="CA264" s="16">
        <f t="shared" si="118"/>
        <v>-999</v>
      </c>
      <c r="CB264" s="16" t="str">
        <f t="shared" si="108"/>
        <v/>
      </c>
      <c r="CC264" s="16" t="e">
        <f>IF(CB264="",NA(),COUNTIF(CB264:$CB$704,CB264))</f>
        <v>#N/A</v>
      </c>
      <c r="CD264" s="16" t="e">
        <f t="shared" si="109"/>
        <v>#N/A</v>
      </c>
      <c r="CE264" s="16" t="e">
        <f t="shared" si="110"/>
        <v>#N/A</v>
      </c>
      <c r="CF264" s="16">
        <f t="shared" si="111"/>
        <v>99</v>
      </c>
      <c r="CG264" s="16">
        <f t="shared" si="112"/>
        <v>0</v>
      </c>
      <c r="CH264" s="16">
        <f t="shared" si="140"/>
        <v>0</v>
      </c>
      <c r="CJ264" s="16" t="e">
        <f t="shared" si="113"/>
        <v>#N/A</v>
      </c>
      <c r="CK264" s="16" t="str">
        <f t="shared" si="114"/>
        <v/>
      </c>
    </row>
    <row r="265" spans="1:89" ht="12" customHeight="1">
      <c r="A265" s="211"/>
      <c r="B265" s="211"/>
      <c r="C265" s="211"/>
      <c r="D265" s="211"/>
      <c r="E265" s="211"/>
      <c r="F265" s="211"/>
      <c r="G265" s="211"/>
      <c r="H265" s="211"/>
      <c r="I265" s="211"/>
      <c r="J265" s="211"/>
      <c r="K265" s="211"/>
      <c r="L265" s="211"/>
      <c r="M265" s="211"/>
      <c r="N265" s="211"/>
      <c r="O265" s="211"/>
      <c r="AM265" s="34">
        <f t="shared" si="134"/>
        <v>0.85670396871864796</v>
      </c>
      <c r="AN265" s="34">
        <f t="shared" si="119"/>
        <v>0.82433807291090488</v>
      </c>
      <c r="AO265" s="16">
        <f t="shared" si="120"/>
        <v>71.300000000000225</v>
      </c>
      <c r="AP265" s="16" t="e">
        <f t="shared" si="121"/>
        <v>#N/A</v>
      </c>
      <c r="AQ265" s="16">
        <f t="shared" si="122"/>
        <v>9.3259181486742195E-3</v>
      </c>
      <c r="AR265" s="34">
        <f t="shared" si="135"/>
        <v>0.42669522203505039</v>
      </c>
      <c r="AS265" s="34">
        <f t="shared" si="123"/>
        <v>0.76738839037716389</v>
      </c>
      <c r="AT265" s="540">
        <f t="shared" si="124"/>
        <v>46.300000000000388</v>
      </c>
      <c r="AU265" s="16" t="e">
        <f t="shared" si="125"/>
        <v>#N/A</v>
      </c>
      <c r="AV265" s="16">
        <f t="shared" si="126"/>
        <v>1.5047468069004316E-2</v>
      </c>
      <c r="AW265" s="34">
        <f t="shared" si="136"/>
        <v>0.60614900477230549</v>
      </c>
      <c r="AX265" s="34">
        <f t="shared" si="127"/>
        <v>0.92766011692583561</v>
      </c>
      <c r="AY265" s="16">
        <f t="shared" si="128"/>
        <v>55.300000000000516</v>
      </c>
      <c r="AZ265" s="16" t="e">
        <f t="shared" si="129"/>
        <v>#N/A</v>
      </c>
      <c r="BA265" s="16">
        <f t="shared" si="137"/>
        <v>1.7865689855150808E-2</v>
      </c>
      <c r="BB265" s="34">
        <f t="shared" si="138"/>
        <v>1.520288921892643E-2</v>
      </c>
      <c r="BC265" s="34">
        <f t="shared" si="130"/>
        <v>8.9826824143528938E-2</v>
      </c>
      <c r="BD265" s="16">
        <f t="shared" si="131"/>
        <v>6.6999999999999922</v>
      </c>
      <c r="BE265" s="16" t="e">
        <f t="shared" si="132"/>
        <v>#N/A</v>
      </c>
      <c r="BF265" s="16">
        <f t="shared" si="133"/>
        <v>1.7197611704204577E-4</v>
      </c>
      <c r="BU265" s="16">
        <f t="shared" si="115"/>
        <v>0</v>
      </c>
      <c r="BV265" s="16">
        <f>IF($BY$12=1,NORMDIST(BY265,$Y$6,$Y$8,TRUE),IF($BY$12=2,IF(BY265&lt;=$BX$31,0,IF(BY265&gt;=$BX$32,1,(BY265-$BX$31)*$BX$33)),SUM($BU$42:BU265)/$BV$40))</f>
        <v>8.3026233682463424E-2</v>
      </c>
      <c r="BW265" s="16">
        <f t="shared" si="116"/>
        <v>0.17046988451116879</v>
      </c>
      <c r="BX265" s="16">
        <f>IF($BY$12&lt;3,BV265,SUM($BZ$42:BZ265)/$BX$40)</f>
        <v>8.3026233682463424E-2</v>
      </c>
      <c r="BY265" s="16">
        <f t="shared" si="139"/>
        <v>22.300000000000047</v>
      </c>
      <c r="BZ265" s="16">
        <f t="shared" si="107"/>
        <v>7.6443894399627101E-3</v>
      </c>
      <c r="CA265" s="16">
        <f t="shared" si="118"/>
        <v>-999</v>
      </c>
      <c r="CB265" s="16" t="str">
        <f t="shared" si="108"/>
        <v/>
      </c>
      <c r="CC265" s="16" t="e">
        <f>IF(CB265="",NA(),COUNTIF(CB265:$CB$704,CB265))</f>
        <v>#N/A</v>
      </c>
      <c r="CD265" s="16" t="e">
        <f t="shared" si="109"/>
        <v>#N/A</v>
      </c>
      <c r="CE265" s="16" t="e">
        <f t="shared" si="110"/>
        <v>#N/A</v>
      </c>
      <c r="CF265" s="16">
        <f t="shared" si="111"/>
        <v>99</v>
      </c>
      <c r="CG265" s="16">
        <f t="shared" si="112"/>
        <v>0</v>
      </c>
      <c r="CH265" s="16">
        <f t="shared" si="140"/>
        <v>0</v>
      </c>
      <c r="CJ265" s="16" t="e">
        <f t="shared" si="113"/>
        <v>#N/A</v>
      </c>
      <c r="CK265" s="16" t="str">
        <f t="shared" si="114"/>
        <v/>
      </c>
    </row>
    <row r="266" spans="1:89" ht="12" customHeight="1">
      <c r="A266" s="211"/>
      <c r="B266" s="211"/>
      <c r="C266" s="211"/>
      <c r="D266" s="211"/>
      <c r="E266" s="211"/>
      <c r="F266" s="211"/>
      <c r="G266" s="211"/>
      <c r="H266" s="211"/>
      <c r="I266" s="211"/>
      <c r="J266" s="211"/>
      <c r="K266" s="211"/>
      <c r="L266" s="211"/>
      <c r="M266" s="211"/>
      <c r="N266" s="211"/>
      <c r="O266" s="211"/>
      <c r="AM266" s="34">
        <f t="shared" si="134"/>
        <v>0.44550399668514729</v>
      </c>
      <c r="AN266" s="34">
        <f t="shared" si="119"/>
        <v>0.75840342976152897</v>
      </c>
      <c r="AO266" s="16">
        <f t="shared" si="120"/>
        <v>47.200000000000401</v>
      </c>
      <c r="AP266" s="16" t="e">
        <f t="shared" si="121"/>
        <v>#N/A</v>
      </c>
      <c r="AQ266" s="16">
        <f t="shared" si="122"/>
        <v>1.4980429759111631E-2</v>
      </c>
      <c r="AR266" s="34">
        <f t="shared" si="135"/>
        <v>0.87982071377336979</v>
      </c>
      <c r="AS266" s="34">
        <f t="shared" si="123"/>
        <v>0.57540297694504261</v>
      </c>
      <c r="AT266" s="540">
        <f t="shared" si="124"/>
        <v>73.400000000000105</v>
      </c>
      <c r="AU266" s="16" t="e">
        <f t="shared" si="125"/>
        <v>#N/A</v>
      </c>
      <c r="AV266" s="16">
        <f t="shared" si="126"/>
        <v>5.7889435745745194E-3</v>
      </c>
      <c r="AW266" s="34">
        <f t="shared" si="136"/>
        <v>0.22883987613022327</v>
      </c>
      <c r="AX266" s="34">
        <f t="shared" si="127"/>
        <v>0.73622062243521214</v>
      </c>
      <c r="AY266" s="16">
        <f t="shared" si="128"/>
        <v>35.100000000000229</v>
      </c>
      <c r="AZ266" s="16" t="e">
        <f t="shared" si="129"/>
        <v>#N/A</v>
      </c>
      <c r="BA266" s="16">
        <f t="shared" si="137"/>
        <v>1.1126687765399802E-2</v>
      </c>
      <c r="BB266" s="34">
        <f t="shared" si="138"/>
        <v>0.40918400324881077</v>
      </c>
      <c r="BC266" s="34">
        <f t="shared" si="130"/>
        <v>0.3518801499158144</v>
      </c>
      <c r="BD266" s="16">
        <f t="shared" si="131"/>
        <v>45.400000000000375</v>
      </c>
      <c r="BE266" s="16" t="e">
        <f t="shared" si="132"/>
        <v>#N/A</v>
      </c>
      <c r="BF266" s="16">
        <f t="shared" si="133"/>
        <v>6.8357748423758099E-3</v>
      </c>
      <c r="BU266" s="16">
        <f t="shared" si="115"/>
        <v>0</v>
      </c>
      <c r="BV266" s="16">
        <f>IF($BY$12=1,NORMDIST(BY266,$Y$6,$Y$8,TRUE),IF($BY$12=2,IF(BY266&lt;=$BX$31,0,IF(BY266&gt;=$BX$32,1,(BY266-$BX$31)*$BX$33)),SUM($BU$42:BU266)/$BV$40))</f>
        <v>8.3793322415014471E-2</v>
      </c>
      <c r="BW266" s="16">
        <f t="shared" si="116"/>
        <v>0.17242208117415064</v>
      </c>
      <c r="BX266" s="16">
        <f>IF($BY$12&lt;3,BV266,SUM($BZ$42:BZ266)/$BX$40)</f>
        <v>8.3793322415014471E-2</v>
      </c>
      <c r="BY266" s="16">
        <f t="shared" si="139"/>
        <v>22.400000000000048</v>
      </c>
      <c r="BZ266" s="16">
        <f t="shared" si="107"/>
        <v>7.6974143381317089E-3</v>
      </c>
      <c r="CA266" s="16">
        <f t="shared" si="118"/>
        <v>-999</v>
      </c>
      <c r="CB266" s="16" t="str">
        <f t="shared" si="108"/>
        <v/>
      </c>
      <c r="CC266" s="16" t="e">
        <f>IF(CB266="",NA(),COUNTIF(CB266:$CB$704,CB266))</f>
        <v>#N/A</v>
      </c>
      <c r="CD266" s="16" t="e">
        <f t="shared" si="109"/>
        <v>#N/A</v>
      </c>
      <c r="CE266" s="16" t="e">
        <f t="shared" si="110"/>
        <v>#N/A</v>
      </c>
      <c r="CF266" s="16">
        <f t="shared" si="111"/>
        <v>99</v>
      </c>
      <c r="CG266" s="16">
        <f t="shared" si="112"/>
        <v>0</v>
      </c>
      <c r="CH266" s="16">
        <f t="shared" si="140"/>
        <v>0</v>
      </c>
      <c r="CJ266" s="16" t="e">
        <f t="shared" si="113"/>
        <v>#N/A</v>
      </c>
      <c r="CK266" s="16" t="str">
        <f t="shared" si="114"/>
        <v/>
      </c>
    </row>
    <row r="267" spans="1:89" ht="12" customHeight="1">
      <c r="A267" s="211"/>
      <c r="B267" s="211"/>
      <c r="C267" s="211"/>
      <c r="D267" s="211"/>
      <c r="E267" s="211"/>
      <c r="F267" s="211"/>
      <c r="G267" s="211"/>
      <c r="H267" s="211"/>
      <c r="I267" s="211"/>
      <c r="J267" s="211"/>
      <c r="K267" s="211"/>
      <c r="L267" s="211"/>
      <c r="M267" s="211"/>
      <c r="N267" s="211"/>
      <c r="O267" s="211"/>
      <c r="AM267" s="34">
        <f t="shared" si="134"/>
        <v>0.15685987658798695</v>
      </c>
      <c r="AN267" s="34">
        <f t="shared" si="119"/>
        <v>0.80505826510488987</v>
      </c>
      <c r="AO267" s="16">
        <f t="shared" si="120"/>
        <v>29.800000000000153</v>
      </c>
      <c r="AP267" s="16" t="e">
        <f t="shared" si="121"/>
        <v>#N/A</v>
      </c>
      <c r="AQ267" s="16">
        <f t="shared" si="122"/>
        <v>9.6426295570443913E-3</v>
      </c>
      <c r="AR267" s="34">
        <f t="shared" si="135"/>
        <v>0.2496891263872385</v>
      </c>
      <c r="AS267" s="34">
        <f t="shared" si="123"/>
        <v>0.50983102805912495</v>
      </c>
      <c r="AT267" s="540">
        <f t="shared" si="124"/>
        <v>36.400000000000247</v>
      </c>
      <c r="AU267" s="16" t="e">
        <f t="shared" si="125"/>
        <v>#N/A</v>
      </c>
      <c r="AV267" s="16">
        <f t="shared" si="126"/>
        <v>8.0704443807236726E-3</v>
      </c>
      <c r="AW267" s="34">
        <f t="shared" si="136"/>
        <v>0.79522021301090717</v>
      </c>
      <c r="AX267" s="34">
        <f t="shared" si="127"/>
        <v>0.46797184087336063</v>
      </c>
      <c r="AY267" s="16">
        <f t="shared" si="128"/>
        <v>66.400000000000503</v>
      </c>
      <c r="AZ267" s="16" t="e">
        <f t="shared" si="129"/>
        <v>#N/A</v>
      </c>
      <c r="BA267" s="16">
        <f t="shared" si="137"/>
        <v>6.669449469896855E-3</v>
      </c>
      <c r="BB267" s="34">
        <f t="shared" si="138"/>
        <v>7.3600092902779579E-2</v>
      </c>
      <c r="BC267" s="34">
        <f t="shared" si="130"/>
        <v>0.88582900352776051</v>
      </c>
      <c r="BD267" s="16">
        <f t="shared" si="131"/>
        <v>21.000000000000028</v>
      </c>
      <c r="BE267" s="16" t="e">
        <f t="shared" si="132"/>
        <v>#N/A</v>
      </c>
      <c r="BF267" s="16">
        <f t="shared" si="133"/>
        <v>6.1755819867802455E-3</v>
      </c>
      <c r="BU267" s="16">
        <f t="shared" si="115"/>
        <v>0</v>
      </c>
      <c r="BV267" s="16">
        <f>IF($BY$12=1,NORMDIST(BY267,$Y$6,$Y$8,TRUE),IF($BY$12=2,IF(BY267&lt;=$BX$31,0,IF(BY267&gt;=$BX$32,1,(BY267-$BX$31)*$BX$33)),SUM($BU$42:BU267)/$BV$40))</f>
        <v>8.4565722351336081E-2</v>
      </c>
      <c r="BW267" s="16">
        <f t="shared" si="116"/>
        <v>0.17438879864058082</v>
      </c>
      <c r="BX267" s="16">
        <f>IF($BY$12&lt;3,BV267,SUM($BZ$42:BZ267)/$BX$40)</f>
        <v>8.4565722351336081E-2</v>
      </c>
      <c r="BY267" s="16">
        <f t="shared" si="139"/>
        <v>22.50000000000005</v>
      </c>
      <c r="BZ267" s="16">
        <f t="shared" si="107"/>
        <v>7.7506132729146865E-3</v>
      </c>
      <c r="CA267" s="16">
        <f t="shared" si="118"/>
        <v>-999</v>
      </c>
      <c r="CB267" s="16" t="str">
        <f t="shared" si="108"/>
        <v/>
      </c>
      <c r="CC267" s="16" t="e">
        <f>IF(CB267="",NA(),COUNTIF(CB267:$CB$704,CB267))</f>
        <v>#N/A</v>
      </c>
      <c r="CD267" s="16" t="e">
        <f t="shared" si="109"/>
        <v>#N/A</v>
      </c>
      <c r="CE267" s="16" t="e">
        <f t="shared" si="110"/>
        <v>#N/A</v>
      </c>
      <c r="CF267" s="16">
        <f t="shared" si="111"/>
        <v>99</v>
      </c>
      <c r="CG267" s="16">
        <f t="shared" si="112"/>
        <v>0</v>
      </c>
      <c r="CH267" s="16">
        <f t="shared" si="140"/>
        <v>0</v>
      </c>
      <c r="CJ267" s="16" t="e">
        <f t="shared" si="113"/>
        <v>#N/A</v>
      </c>
      <c r="CK267" s="16" t="str">
        <f t="shared" si="114"/>
        <v/>
      </c>
    </row>
    <row r="268" spans="1:89" ht="12" customHeight="1">
      <c r="A268" s="211"/>
      <c r="B268" s="211"/>
      <c r="C268" s="211"/>
      <c r="D268" s="211"/>
      <c r="E268" s="211"/>
      <c r="F268" s="211"/>
      <c r="G268" s="211"/>
      <c r="H268" s="211"/>
      <c r="I268" s="211"/>
      <c r="J268" s="211"/>
      <c r="K268" s="211"/>
      <c r="L268" s="211"/>
      <c r="M268" s="211"/>
      <c r="N268" s="211"/>
      <c r="O268" s="211"/>
      <c r="AM268" s="34">
        <f t="shared" si="134"/>
        <v>0.11680634506046772</v>
      </c>
      <c r="AN268" s="34">
        <f t="shared" si="119"/>
        <v>0.96908716298639774</v>
      </c>
      <c r="AO268" s="16">
        <f t="shared" si="120"/>
        <v>26.100000000000101</v>
      </c>
      <c r="AP268" s="16" t="e">
        <f t="shared" si="121"/>
        <v>#N/A</v>
      </c>
      <c r="AQ268" s="16" t="e">
        <f t="shared" si="122"/>
        <v>#N/A</v>
      </c>
      <c r="AR268" s="34">
        <f t="shared" si="135"/>
        <v>0.90839461423456669</v>
      </c>
      <c r="AS268" s="34">
        <f t="shared" si="123"/>
        <v>0.95147565193474293</v>
      </c>
      <c r="AT268" s="540">
        <f t="shared" si="124"/>
        <v>76.599999999999923</v>
      </c>
      <c r="AU268" s="16" t="e">
        <f t="shared" si="125"/>
        <v>#N/A</v>
      </c>
      <c r="AV268" s="16" t="e">
        <f t="shared" si="126"/>
        <v>#N/A</v>
      </c>
      <c r="AW268" s="34">
        <f t="shared" si="136"/>
        <v>0.49236753769218922</v>
      </c>
      <c r="AX268" s="34">
        <f t="shared" si="127"/>
        <v>0.77769988216459751</v>
      </c>
      <c r="AY268" s="16">
        <f t="shared" si="128"/>
        <v>49.600000000000435</v>
      </c>
      <c r="AZ268" s="16" t="e">
        <f t="shared" si="129"/>
        <v>#N/A</v>
      </c>
      <c r="BA268" s="16">
        <f t="shared" si="137"/>
        <v>1.5509765959525601E-2</v>
      </c>
      <c r="BB268" s="34">
        <f t="shared" si="138"/>
        <v>0.55105465091764927</v>
      </c>
      <c r="BC268" s="34">
        <f t="shared" si="130"/>
        <v>0.67288695462048054</v>
      </c>
      <c r="BD268" s="16">
        <f t="shared" si="131"/>
        <v>52.500000000000476</v>
      </c>
      <c r="BE268" s="16" t="e">
        <f t="shared" si="132"/>
        <v>#N/A</v>
      </c>
      <c r="BF268" s="16">
        <f t="shared" si="133"/>
        <v>1.3317700784613341E-2</v>
      </c>
      <c r="BU268" s="16">
        <f t="shared" si="115"/>
        <v>0</v>
      </c>
      <c r="BV268" s="16">
        <f>IF($BY$12=1,NORMDIST(BY268,$Y$6,$Y$8,TRUE),IF($BY$12=2,IF(BY268&lt;=$BX$31,0,IF(BY268&gt;=$BX$32,1,(BY268-$BX$31)*$BX$33)),SUM($BU$42:BU268)/$BV$40))</f>
        <v>8.5343450821967481E-2</v>
      </c>
      <c r="BW268" s="16">
        <f t="shared" si="116"/>
        <v>0.17637005598327657</v>
      </c>
      <c r="BX268" s="16">
        <f>IF($BY$12&lt;3,BV268,SUM($BZ$42:BZ268)/$BX$40)</f>
        <v>8.5343450821967481E-2</v>
      </c>
      <c r="BY268" s="16">
        <f t="shared" si="139"/>
        <v>22.600000000000051</v>
      </c>
      <c r="BZ268" s="16">
        <f t="shared" si="107"/>
        <v>7.8039847780210694E-3</v>
      </c>
      <c r="CA268" s="16">
        <f t="shared" si="118"/>
        <v>-999</v>
      </c>
      <c r="CB268" s="16" t="str">
        <f t="shared" si="108"/>
        <v/>
      </c>
      <c r="CC268" s="16" t="e">
        <f>IF(CB268="",NA(),COUNTIF(CB268:$CB$704,CB268))</f>
        <v>#N/A</v>
      </c>
      <c r="CD268" s="16" t="e">
        <f t="shared" si="109"/>
        <v>#N/A</v>
      </c>
      <c r="CE268" s="16" t="e">
        <f t="shared" si="110"/>
        <v>#N/A</v>
      </c>
      <c r="CF268" s="16">
        <f t="shared" si="111"/>
        <v>99</v>
      </c>
      <c r="CG268" s="16">
        <f t="shared" si="112"/>
        <v>0</v>
      </c>
      <c r="CH268" s="16">
        <f t="shared" si="140"/>
        <v>0</v>
      </c>
      <c r="CJ268" s="16" t="e">
        <f t="shared" si="113"/>
        <v>#N/A</v>
      </c>
      <c r="CK268" s="16" t="str">
        <f t="shared" si="114"/>
        <v/>
      </c>
    </row>
    <row r="269" spans="1:89" ht="12" customHeight="1">
      <c r="A269" s="211"/>
      <c r="B269" s="211"/>
      <c r="C269" s="211"/>
      <c r="D269" s="211"/>
      <c r="E269" s="211"/>
      <c r="F269" s="211"/>
      <c r="G269" s="211"/>
      <c r="H269" s="211"/>
      <c r="I269" s="211"/>
      <c r="J269" s="211"/>
      <c r="K269" s="211"/>
      <c r="L269" s="211"/>
      <c r="M269" s="211"/>
      <c r="N269" s="211"/>
      <c r="O269" s="211"/>
      <c r="AM269" s="34">
        <f t="shared" si="134"/>
        <v>0.22799709625542164</v>
      </c>
      <c r="AN269" s="34">
        <f t="shared" si="119"/>
        <v>0.926516467705369</v>
      </c>
      <c r="AO269" s="16">
        <f t="shared" si="120"/>
        <v>35.000000000000227</v>
      </c>
      <c r="AP269" s="16" t="e">
        <f t="shared" si="121"/>
        <v>#N/A</v>
      </c>
      <c r="AQ269" s="16">
        <f t="shared" si="122"/>
        <v>1.3950439496696849E-2</v>
      </c>
      <c r="AR269" s="34">
        <f t="shared" si="135"/>
        <v>0.88853090442717075</v>
      </c>
      <c r="AS269" s="34">
        <f t="shared" si="123"/>
        <v>0.59517346508800983</v>
      </c>
      <c r="AT269" s="540">
        <f t="shared" si="124"/>
        <v>74.300000000000054</v>
      </c>
      <c r="AU269" s="16" t="e">
        <f t="shared" si="125"/>
        <v>#N/A</v>
      </c>
      <c r="AV269" s="16">
        <f t="shared" si="126"/>
        <v>5.6749945003238675E-3</v>
      </c>
      <c r="AW269" s="34">
        <f t="shared" si="136"/>
        <v>0.93174444325268269</v>
      </c>
      <c r="AX269" s="34">
        <f t="shared" si="127"/>
        <v>0.54520458914339542</v>
      </c>
      <c r="AY269" s="16">
        <f t="shared" si="128"/>
        <v>79.699999999999747</v>
      </c>
      <c r="AZ269" s="16" t="e">
        <f t="shared" si="129"/>
        <v>#N/A</v>
      </c>
      <c r="BA269" s="16">
        <f t="shared" si="137"/>
        <v>3.6106138895194498E-3</v>
      </c>
      <c r="BB269" s="34">
        <f t="shared" si="138"/>
        <v>0.29373521544039249</v>
      </c>
      <c r="BC269" s="34">
        <f t="shared" si="130"/>
        <v>0.97296172566711903</v>
      </c>
      <c r="BD269" s="16">
        <f t="shared" si="131"/>
        <v>39.100000000000286</v>
      </c>
      <c r="BE269" s="16" t="e">
        <f t="shared" si="132"/>
        <v>#N/A</v>
      </c>
      <c r="BF269" s="16" t="e">
        <f t="shared" si="133"/>
        <v>#N/A</v>
      </c>
      <c r="BU269" s="16">
        <f t="shared" si="115"/>
        <v>0</v>
      </c>
      <c r="BV269" s="16">
        <f>IF($BY$12=1,NORMDIST(BY269,$Y$6,$Y$8,TRUE),IF($BY$12=2,IF(BY269&lt;=$BX$31,0,IF(BY269&gt;=$BX$32,1,(BY269-$BX$31)*$BX$33)),SUM($BU$42:BU269)/$BV$40))</f>
        <v>8.6126525009663668E-2</v>
      </c>
      <c r="BW269" s="16">
        <f t="shared" si="116"/>
        <v>0.17836587116411018</v>
      </c>
      <c r="BX269" s="16">
        <f>IF($BY$12&lt;3,BV269,SUM($BZ$42:BZ269)/$BX$40)</f>
        <v>8.6126525009663668E-2</v>
      </c>
      <c r="BY269" s="16">
        <f t="shared" si="139"/>
        <v>22.700000000000053</v>
      </c>
      <c r="BZ269" s="16">
        <f t="shared" si="107"/>
        <v>7.8575273640576985E-3</v>
      </c>
      <c r="CA269" s="16">
        <f t="shared" si="118"/>
        <v>-999</v>
      </c>
      <c r="CB269" s="16" t="str">
        <f t="shared" si="108"/>
        <v/>
      </c>
      <c r="CC269" s="16" t="e">
        <f>IF(CB269="",NA(),COUNTIF(CB269:$CB$704,CB269))</f>
        <v>#N/A</v>
      </c>
      <c r="CD269" s="16" t="e">
        <f t="shared" si="109"/>
        <v>#N/A</v>
      </c>
      <c r="CE269" s="16" t="e">
        <f t="shared" si="110"/>
        <v>#N/A</v>
      </c>
      <c r="CF269" s="16">
        <f t="shared" si="111"/>
        <v>99</v>
      </c>
      <c r="CG269" s="16">
        <f t="shared" si="112"/>
        <v>0</v>
      </c>
      <c r="CH269" s="16">
        <f t="shared" si="140"/>
        <v>0</v>
      </c>
      <c r="CJ269" s="16" t="e">
        <f t="shared" si="113"/>
        <v>#N/A</v>
      </c>
      <c r="CK269" s="16" t="str">
        <f t="shared" si="114"/>
        <v/>
      </c>
    </row>
    <row r="270" spans="1:89" ht="12" customHeight="1">
      <c r="A270" s="211"/>
      <c r="B270" s="211"/>
      <c r="C270" s="211"/>
      <c r="D270" s="211"/>
      <c r="E270" s="211"/>
      <c r="F270" s="211"/>
      <c r="G270" s="211"/>
      <c r="H270" s="211"/>
      <c r="I270" s="211"/>
      <c r="J270" s="211"/>
      <c r="K270" s="211"/>
      <c r="L270" s="211"/>
      <c r="M270" s="211"/>
      <c r="N270" s="211"/>
      <c r="O270" s="211"/>
      <c r="AM270" s="34">
        <f t="shared" si="134"/>
        <v>0.72176777012646198</v>
      </c>
      <c r="AN270" s="34">
        <f t="shared" si="119"/>
        <v>8.4245631471276283E-2</v>
      </c>
      <c r="AO270" s="16">
        <f t="shared" si="120"/>
        <v>61.700000000000607</v>
      </c>
      <c r="AP270" s="16" t="e">
        <f t="shared" si="121"/>
        <v>#N/A</v>
      </c>
      <c r="AQ270" s="16">
        <f t="shared" si="122"/>
        <v>1.4161662678219308E-3</v>
      </c>
      <c r="AR270" s="34">
        <f t="shared" si="135"/>
        <v>0.38813514448702335</v>
      </c>
      <c r="AS270" s="34">
        <f t="shared" si="123"/>
        <v>0.4906271118670702</v>
      </c>
      <c r="AT270" s="540">
        <f t="shared" si="124"/>
        <v>44.30000000000036</v>
      </c>
      <c r="AU270" s="16" t="e">
        <f t="shared" si="125"/>
        <v>#N/A</v>
      </c>
      <c r="AV270" s="16">
        <f t="shared" si="126"/>
        <v>9.3970995787536048E-3</v>
      </c>
      <c r="AW270" s="34">
        <f t="shared" si="136"/>
        <v>0.97909361310303211</v>
      </c>
      <c r="AX270" s="34">
        <f t="shared" si="127"/>
        <v>0.85924729146063328</v>
      </c>
      <c r="AY270" s="16">
        <f t="shared" si="128"/>
        <v>90.699999999999122</v>
      </c>
      <c r="AZ270" s="16" t="e">
        <f t="shared" si="129"/>
        <v>#N/A</v>
      </c>
      <c r="BA270" s="16" t="e">
        <f t="shared" si="137"/>
        <v>#N/A</v>
      </c>
      <c r="BB270" s="34">
        <f t="shared" si="138"/>
        <v>0.90517362393438816</v>
      </c>
      <c r="BC270" s="34">
        <f t="shared" si="130"/>
        <v>6.6009927541017532E-3</v>
      </c>
      <c r="BD270" s="16">
        <f t="shared" si="131"/>
        <v>76.199999999999946</v>
      </c>
      <c r="BE270" s="16" t="e">
        <f t="shared" si="132"/>
        <v>#N/A</v>
      </c>
      <c r="BF270" s="16">
        <f t="shared" si="133"/>
        <v>5.582682715458625E-5</v>
      </c>
      <c r="BU270" s="16">
        <f t="shared" si="115"/>
        <v>0</v>
      </c>
      <c r="BV270" s="16">
        <f>IF($BY$12=1,NORMDIST(BY270,$Y$6,$Y$8,TRUE),IF($BY$12=2,IF(BY270&lt;=$BX$31,0,IF(BY270&gt;=$BX$32,1,(BY270-$BX$31)*$BX$33)),SUM($BU$42:BU270)/$BV$40))</f>
        <v>8.6914961947085478E-2</v>
      </c>
      <c r="BW270" s="16">
        <f t="shared" si="116"/>
        <v>0.18037626102223772</v>
      </c>
      <c r="BX270" s="16">
        <f>IF($BY$12&lt;3,BV270,SUM($BZ$42:BZ270)/$BX$40)</f>
        <v>8.6914961947085478E-2</v>
      </c>
      <c r="BY270" s="16">
        <f t="shared" si="139"/>
        <v>22.800000000000054</v>
      </c>
      <c r="BZ270" s="16">
        <f t="shared" si="107"/>
        <v>7.9112395185191794E-3</v>
      </c>
      <c r="CA270" s="16">
        <f t="shared" si="118"/>
        <v>-999</v>
      </c>
      <c r="CB270" s="16" t="str">
        <f t="shared" si="108"/>
        <v/>
      </c>
      <c r="CC270" s="16" t="e">
        <f>IF(CB270="",NA(),COUNTIF(CB270:$CB$704,CB270))</f>
        <v>#N/A</v>
      </c>
      <c r="CD270" s="16" t="e">
        <f t="shared" si="109"/>
        <v>#N/A</v>
      </c>
      <c r="CE270" s="16" t="e">
        <f t="shared" si="110"/>
        <v>#N/A</v>
      </c>
      <c r="CF270" s="16">
        <f t="shared" si="111"/>
        <v>99</v>
      </c>
      <c r="CG270" s="16">
        <f t="shared" si="112"/>
        <v>0</v>
      </c>
      <c r="CH270" s="16">
        <f t="shared" si="140"/>
        <v>0</v>
      </c>
      <c r="CJ270" s="16" t="e">
        <f t="shared" si="113"/>
        <v>#N/A</v>
      </c>
      <c r="CK270" s="16" t="str">
        <f t="shared" si="114"/>
        <v/>
      </c>
    </row>
    <row r="271" spans="1:89" ht="12" customHeight="1">
      <c r="A271" s="211"/>
      <c r="B271" s="211"/>
      <c r="C271" s="211"/>
      <c r="D271" s="211"/>
      <c r="E271" s="211"/>
      <c r="F271" s="211"/>
      <c r="G271" s="211"/>
      <c r="H271" s="211"/>
      <c r="I271" s="211"/>
      <c r="J271" s="211"/>
      <c r="K271" s="211"/>
      <c r="L271" s="211"/>
      <c r="M271" s="211"/>
      <c r="N271" s="211"/>
      <c r="O271" s="211"/>
      <c r="AM271" s="34">
        <f t="shared" si="134"/>
        <v>0.40990597195923328</v>
      </c>
      <c r="AN271" s="34">
        <f t="shared" si="119"/>
        <v>4.8369968309998512E-2</v>
      </c>
      <c r="AO271" s="16">
        <f t="shared" si="120"/>
        <v>45.400000000000375</v>
      </c>
      <c r="AP271" s="16" t="e">
        <f t="shared" si="121"/>
        <v>#N/A</v>
      </c>
      <c r="AQ271" s="16">
        <f t="shared" si="122"/>
        <v>9.3965576796278079E-4</v>
      </c>
      <c r="AR271" s="34">
        <f t="shared" si="135"/>
        <v>0.4968231562525034</v>
      </c>
      <c r="AS271" s="34">
        <f t="shared" si="123"/>
        <v>2.12260652333498E-2</v>
      </c>
      <c r="AT271" s="540">
        <f t="shared" si="124"/>
        <v>49.800000000000438</v>
      </c>
      <c r="AU271" s="16" t="e">
        <f t="shared" si="125"/>
        <v>#N/A</v>
      </c>
      <c r="AV271" s="16">
        <f t="shared" si="126"/>
        <v>4.2337757399917611E-4</v>
      </c>
      <c r="AW271" s="34">
        <f t="shared" si="136"/>
        <v>8.4821121767163277E-2</v>
      </c>
      <c r="AX271" s="34">
        <f t="shared" si="127"/>
        <v>0.32034621573984623</v>
      </c>
      <c r="AY271" s="16">
        <f t="shared" si="128"/>
        <v>22.50000000000005</v>
      </c>
      <c r="AZ271" s="16" t="e">
        <f t="shared" si="129"/>
        <v>#N/A</v>
      </c>
      <c r="BA271" s="16">
        <f t="shared" si="137"/>
        <v>2.482879631641244E-3</v>
      </c>
      <c r="BB271" s="34">
        <f t="shared" si="138"/>
        <v>1.3353923335671425E-2</v>
      </c>
      <c r="BC271" s="34">
        <f t="shared" si="130"/>
        <v>0.40695771761238575</v>
      </c>
      <c r="BD271" s="16">
        <f t="shared" si="131"/>
        <v>5.5999999999999961</v>
      </c>
      <c r="BE271" s="16" t="e">
        <f t="shared" si="132"/>
        <v>#N/A</v>
      </c>
      <c r="BF271" s="16">
        <f t="shared" si="133"/>
        <v>6.9062277593760031E-4</v>
      </c>
      <c r="BU271" s="16">
        <f t="shared" si="115"/>
        <v>0</v>
      </c>
      <c r="BV271" s="16">
        <f>IF($BY$12=1,NORMDIST(BY271,$Y$6,$Y$8,TRUE),IF($BY$12=2,IF(BY271&lt;=$BX$31,0,IF(BY271&gt;=$BX$32,1,(BY271-$BX$31)*$BX$33)),SUM($BU$42:BU271)/$BV$40))</f>
        <v>8.7708778514486552E-2</v>
      </c>
      <c r="BW271" s="16">
        <f t="shared" si="116"/>
        <v>0.18240124126238735</v>
      </c>
      <c r="BX271" s="16">
        <f>IF($BY$12&lt;3,BV271,SUM($BZ$42:BZ271)/$BX$40)</f>
        <v>8.7708778514486552E-2</v>
      </c>
      <c r="BY271" s="16">
        <f t="shared" si="139"/>
        <v>22.900000000000055</v>
      </c>
      <c r="BZ271" s="16">
        <f t="shared" si="107"/>
        <v>7.9651197057810878E-3</v>
      </c>
      <c r="CA271" s="16">
        <f t="shared" si="118"/>
        <v>-999</v>
      </c>
      <c r="CB271" s="16" t="str">
        <f t="shared" si="108"/>
        <v/>
      </c>
      <c r="CC271" s="16" t="e">
        <f>IF(CB271="",NA(),COUNTIF(CB271:$CB$704,CB271))</f>
        <v>#N/A</v>
      </c>
      <c r="CD271" s="16" t="e">
        <f t="shared" si="109"/>
        <v>#N/A</v>
      </c>
      <c r="CE271" s="16" t="e">
        <f t="shared" si="110"/>
        <v>#N/A</v>
      </c>
      <c r="CF271" s="16">
        <f t="shared" si="111"/>
        <v>99</v>
      </c>
      <c r="CG271" s="16">
        <f t="shared" si="112"/>
        <v>0</v>
      </c>
      <c r="CH271" s="16">
        <f t="shared" si="140"/>
        <v>0</v>
      </c>
      <c r="CJ271" s="16" t="e">
        <f t="shared" si="113"/>
        <v>#N/A</v>
      </c>
      <c r="CK271" s="16" t="str">
        <f t="shared" si="114"/>
        <v/>
      </c>
    </row>
    <row r="272" spans="1:89" ht="12" customHeight="1">
      <c r="A272" s="211"/>
      <c r="B272" s="211"/>
      <c r="C272" s="211"/>
      <c r="D272" s="211"/>
      <c r="E272" s="211"/>
      <c r="F272" s="211"/>
      <c r="G272" s="211"/>
      <c r="H272" s="211"/>
      <c r="I272" s="211"/>
      <c r="J272" s="211"/>
      <c r="K272" s="211"/>
      <c r="L272" s="211"/>
      <c r="M272" s="211"/>
      <c r="N272" s="211"/>
      <c r="O272" s="211"/>
      <c r="AM272" s="34">
        <f t="shared" si="134"/>
        <v>0.31190957315266132</v>
      </c>
      <c r="AN272" s="34">
        <f t="shared" si="119"/>
        <v>0.78635106422007084</v>
      </c>
      <c r="AO272" s="16">
        <f t="shared" si="120"/>
        <v>40.1000000000003</v>
      </c>
      <c r="AP272" s="16" t="e">
        <f t="shared" si="121"/>
        <v>#N/A</v>
      </c>
      <c r="AQ272" s="16">
        <f t="shared" si="122"/>
        <v>1.387682291888657E-2</v>
      </c>
      <c r="AR272" s="34">
        <f t="shared" si="135"/>
        <v>0.92827234603464603</v>
      </c>
      <c r="AS272" s="34">
        <f t="shared" si="123"/>
        <v>0.52788695879280567</v>
      </c>
      <c r="AT272" s="540">
        <f t="shared" si="124"/>
        <v>79.199999999999775</v>
      </c>
      <c r="AU272" s="16" t="e">
        <f t="shared" si="125"/>
        <v>#N/A</v>
      </c>
      <c r="AV272" s="16">
        <f t="shared" si="126"/>
        <v>3.6270199504778505E-3</v>
      </c>
      <c r="AW272" s="34">
        <f t="shared" si="136"/>
        <v>0.32189926691353321</v>
      </c>
      <c r="AX272" s="34">
        <f t="shared" si="127"/>
        <v>0.85382580198347569</v>
      </c>
      <c r="AY272" s="16">
        <f t="shared" si="128"/>
        <v>40.700000000000308</v>
      </c>
      <c r="AZ272" s="16" t="e">
        <f t="shared" si="129"/>
        <v>#N/A</v>
      </c>
      <c r="BA272" s="16">
        <f t="shared" si="137"/>
        <v>1.5286099519225015E-2</v>
      </c>
      <c r="BB272" s="34">
        <f t="shared" si="138"/>
        <v>0.46657418645918369</v>
      </c>
      <c r="BC272" s="34">
        <f t="shared" si="130"/>
        <v>0.9300562608987093</v>
      </c>
      <c r="BD272" s="16">
        <f t="shared" si="131"/>
        <v>48.300000000000416</v>
      </c>
      <c r="BE272" s="16" t="e">
        <f t="shared" si="132"/>
        <v>#N/A</v>
      </c>
      <c r="BF272" s="16">
        <f t="shared" si="133"/>
        <v>1.8485040311397544E-2</v>
      </c>
      <c r="BU272" s="16">
        <f t="shared" si="115"/>
        <v>0</v>
      </c>
      <c r="BV272" s="16">
        <f>IF($BY$12=1,NORMDIST(BY272,$Y$6,$Y$8,TRUE),IF($BY$12=2,IF(BY272&lt;=$BX$31,0,IF(BY272&gt;=$BX$32,1,(BY272-$BX$31)*$BX$33)),SUM($BU$42:BU272)/$BV$40))</f>
        <v>8.85079914374024E-2</v>
      </c>
      <c r="BW272" s="16">
        <f t="shared" si="116"/>
        <v>0.18444082644320872</v>
      </c>
      <c r="BX272" s="16">
        <f>IF($BY$12&lt;3,BV272,SUM($BZ$42:BZ272)/$BX$40)</f>
        <v>8.85079914374024E-2</v>
      </c>
      <c r="BY272" s="16">
        <f t="shared" si="139"/>
        <v>23.000000000000057</v>
      </c>
      <c r="BZ272" s="16">
        <f t="shared" si="107"/>
        <v>8.019166367096011E-3</v>
      </c>
      <c r="CA272" s="16">
        <f t="shared" si="118"/>
        <v>-999</v>
      </c>
      <c r="CB272" s="16" t="str">
        <f t="shared" si="108"/>
        <v/>
      </c>
      <c r="CC272" s="16" t="e">
        <f>IF(CB272="",NA(),COUNTIF(CB272:$CB$704,CB272))</f>
        <v>#N/A</v>
      </c>
      <c r="CD272" s="16" t="e">
        <f t="shared" si="109"/>
        <v>#N/A</v>
      </c>
      <c r="CE272" s="16" t="e">
        <f t="shared" si="110"/>
        <v>#N/A</v>
      </c>
      <c r="CF272" s="16">
        <f t="shared" si="111"/>
        <v>99</v>
      </c>
      <c r="CG272" s="16">
        <f t="shared" si="112"/>
        <v>0</v>
      </c>
      <c r="CH272" s="16">
        <f t="shared" si="140"/>
        <v>0</v>
      </c>
      <c r="CJ272" s="16" t="e">
        <f t="shared" si="113"/>
        <v>#N/A</v>
      </c>
      <c r="CK272" s="16" t="str">
        <f t="shared" si="114"/>
        <v/>
      </c>
    </row>
    <row r="273" spans="1:89" ht="12" customHeight="1">
      <c r="A273" s="211"/>
      <c r="B273" s="211"/>
      <c r="C273" s="211"/>
      <c r="D273" s="211"/>
      <c r="E273" s="211"/>
      <c r="F273" s="211"/>
      <c r="G273" s="211"/>
      <c r="H273" s="211"/>
      <c r="I273" s="211"/>
      <c r="J273" s="211"/>
      <c r="K273" s="211"/>
      <c r="L273" s="211"/>
      <c r="M273" s="211"/>
      <c r="N273" s="211"/>
      <c r="O273" s="211"/>
      <c r="AM273" s="34">
        <f t="shared" si="134"/>
        <v>0.86476454325020313</v>
      </c>
      <c r="AN273" s="34">
        <f t="shared" si="119"/>
        <v>0.67444109357893467</v>
      </c>
      <c r="AO273" s="16">
        <f t="shared" si="120"/>
        <v>72.000000000000185</v>
      </c>
      <c r="AP273" s="16" t="e">
        <f t="shared" si="121"/>
        <v>#N/A</v>
      </c>
      <c r="AQ273" s="16">
        <f t="shared" si="122"/>
        <v>7.346423025819177E-3</v>
      </c>
      <c r="AR273" s="34">
        <f t="shared" si="135"/>
        <v>0.45045852102339268</v>
      </c>
      <c r="AS273" s="34">
        <f t="shared" si="123"/>
        <v>6.6194700077176094E-2</v>
      </c>
      <c r="AT273" s="540">
        <f t="shared" si="124"/>
        <v>47.500000000000405</v>
      </c>
      <c r="AU273" s="16" t="e">
        <f t="shared" si="125"/>
        <v>#N/A</v>
      </c>
      <c r="AV273" s="16">
        <f t="shared" si="126"/>
        <v>1.3101178483275442E-3</v>
      </c>
      <c r="AW273" s="34">
        <f t="shared" si="136"/>
        <v>0.1195701826363802</v>
      </c>
      <c r="AX273" s="34">
        <f t="shared" si="127"/>
        <v>0.3807761762291193</v>
      </c>
      <c r="AY273" s="16">
        <f t="shared" si="128"/>
        <v>26.400000000000105</v>
      </c>
      <c r="AZ273" s="16" t="e">
        <f t="shared" si="129"/>
        <v>#N/A</v>
      </c>
      <c r="BA273" s="16">
        <f t="shared" si="137"/>
        <v>3.7861169096641109E-3</v>
      </c>
      <c r="BB273" s="34">
        <f t="shared" si="138"/>
        <v>0.69971848465502262</v>
      </c>
      <c r="BC273" s="34">
        <f t="shared" si="130"/>
        <v>0.94289052672684193</v>
      </c>
      <c r="BD273" s="16">
        <f t="shared" si="131"/>
        <v>60.400000000000588</v>
      </c>
      <c r="BE273" s="16" t="e">
        <f t="shared" si="132"/>
        <v>#N/A</v>
      </c>
      <c r="BF273" s="16">
        <f t="shared" si="133"/>
        <v>1.6429514445783253E-2</v>
      </c>
      <c r="BU273" s="16">
        <f t="shared" si="115"/>
        <v>0</v>
      </c>
      <c r="BV273" s="16">
        <f>IF($BY$12=1,NORMDIST(BY273,$Y$6,$Y$8,TRUE),IF($BY$12=2,IF(BY273&lt;=$BX$31,0,IF(BY273&gt;=$BX$32,1,(BY273-$BX$31)*$BX$33)),SUM($BU$42:BU273)/$BV$40))</f>
        <v>8.9312617284337592E-2</v>
      </c>
      <c r="BW273" s="16">
        <f t="shared" si="116"/>
        <v>0.18649502996568648</v>
      </c>
      <c r="BX273" s="16">
        <f>IF($BY$12&lt;3,BV273,SUM($BZ$42:BZ273)/$BX$40)</f>
        <v>8.9312617284337592E-2</v>
      </c>
      <c r="BY273" s="16">
        <f t="shared" si="139"/>
        <v>23.100000000000058</v>
      </c>
      <c r="BZ273" s="16">
        <f t="shared" si="107"/>
        <v>8.0733779205924682E-3</v>
      </c>
      <c r="CA273" s="16">
        <f t="shared" si="118"/>
        <v>-999</v>
      </c>
      <c r="CB273" s="16" t="str">
        <f t="shared" si="108"/>
        <v/>
      </c>
      <c r="CC273" s="16" t="e">
        <f>IF(CB273="",NA(),COUNTIF(CB273:$CB$704,CB273))</f>
        <v>#N/A</v>
      </c>
      <c r="CD273" s="16" t="e">
        <f t="shared" si="109"/>
        <v>#N/A</v>
      </c>
      <c r="CE273" s="16" t="e">
        <f t="shared" si="110"/>
        <v>#N/A</v>
      </c>
      <c r="CF273" s="16">
        <f t="shared" si="111"/>
        <v>99</v>
      </c>
      <c r="CG273" s="16">
        <f t="shared" si="112"/>
        <v>0</v>
      </c>
      <c r="CH273" s="16">
        <f t="shared" si="140"/>
        <v>0</v>
      </c>
      <c r="CJ273" s="16" t="e">
        <f t="shared" si="113"/>
        <v>#N/A</v>
      </c>
      <c r="CK273" s="16" t="str">
        <f t="shared" si="114"/>
        <v/>
      </c>
    </row>
    <row r="274" spans="1:89" ht="12" customHeight="1">
      <c r="A274" s="211"/>
      <c r="B274" s="211"/>
      <c r="C274" s="211"/>
      <c r="D274" s="211"/>
      <c r="E274" s="211"/>
      <c r="F274" s="211"/>
      <c r="G274" s="211"/>
      <c r="H274" s="211"/>
      <c r="I274" s="211"/>
      <c r="J274" s="211"/>
      <c r="K274" s="211"/>
      <c r="L274" s="211"/>
      <c r="M274" s="211"/>
      <c r="N274" s="211"/>
      <c r="O274" s="211"/>
      <c r="AM274" s="34">
        <f t="shared" si="134"/>
        <v>0.70352356322109699</v>
      </c>
      <c r="AN274" s="34">
        <f t="shared" si="119"/>
        <v>0.77801729179918766</v>
      </c>
      <c r="AO274" s="16">
        <f t="shared" si="120"/>
        <v>60.600000000000591</v>
      </c>
      <c r="AP274" s="16" t="e">
        <f t="shared" si="121"/>
        <v>#N/A</v>
      </c>
      <c r="AQ274" s="16">
        <f t="shared" si="122"/>
        <v>1.3485674085393192E-2</v>
      </c>
      <c r="AR274" s="34">
        <f t="shared" si="135"/>
        <v>0.86130286194384098</v>
      </c>
      <c r="AS274" s="34">
        <f t="shared" si="123"/>
        <v>0.8163756150752306</v>
      </c>
      <c r="AT274" s="540">
        <f t="shared" si="124"/>
        <v>71.700000000000202</v>
      </c>
      <c r="AU274" s="16" t="e">
        <f t="shared" si="125"/>
        <v>#N/A</v>
      </c>
      <c r="AV274" s="16">
        <f t="shared" si="126"/>
        <v>9.0393860284096565E-3</v>
      </c>
      <c r="AW274" s="34">
        <f t="shared" si="136"/>
        <v>0.71238148398697376</v>
      </c>
      <c r="AX274" s="34">
        <f t="shared" si="127"/>
        <v>0.10082902945578098</v>
      </c>
      <c r="AY274" s="16">
        <f t="shared" si="128"/>
        <v>61.2000000000006</v>
      </c>
      <c r="AZ274" s="16" t="e">
        <f t="shared" si="129"/>
        <v>#N/A</v>
      </c>
      <c r="BA274" s="16">
        <f t="shared" si="137"/>
        <v>1.7193657933789648E-3</v>
      </c>
      <c r="BB274" s="34">
        <f t="shared" si="138"/>
        <v>0.52484526671469212</v>
      </c>
      <c r="BC274" s="34">
        <f t="shared" si="130"/>
        <v>0.49013538844883442</v>
      </c>
      <c r="BD274" s="16">
        <f t="shared" si="131"/>
        <v>51.200000000000458</v>
      </c>
      <c r="BE274" s="16" t="e">
        <f t="shared" si="132"/>
        <v>#N/A</v>
      </c>
      <c r="BF274" s="16">
        <f t="shared" si="133"/>
        <v>9.7592040918947302E-3</v>
      </c>
      <c r="BU274" s="16">
        <f t="shared" si="115"/>
        <v>0</v>
      </c>
      <c r="BV274" s="16">
        <f>IF($BY$12=1,NORMDIST(BY274,$Y$6,$Y$8,TRUE),IF($BY$12=2,IF(BY274&lt;=$BX$31,0,IF(BY274&gt;=$BX$32,1,(BY274-$BX$31)*$BX$33)),SUM($BU$42:BU274)/$BV$40))</f>
        <v>9.0122672464453046E-2</v>
      </c>
      <c r="BW274" s="16">
        <f t="shared" si="116"/>
        <v>0.18856386406162082</v>
      </c>
      <c r="BX274" s="16">
        <f>IF($BY$12&lt;3,BV274,SUM($BZ$42:BZ274)/$BX$40)</f>
        <v>9.0122672464453046E-2</v>
      </c>
      <c r="BY274" s="16">
        <f t="shared" si="139"/>
        <v>23.20000000000006</v>
      </c>
      <c r="BZ274" s="16">
        <f t="shared" si="107"/>
        <v>8.1277527612767381E-3</v>
      </c>
      <c r="CA274" s="16">
        <f t="shared" si="118"/>
        <v>-999</v>
      </c>
      <c r="CB274" s="16" t="str">
        <f t="shared" si="108"/>
        <v/>
      </c>
      <c r="CC274" s="16" t="e">
        <f>IF(CB274="",NA(),COUNTIF(CB274:$CB$704,CB274))</f>
        <v>#N/A</v>
      </c>
      <c r="CD274" s="16" t="e">
        <f t="shared" si="109"/>
        <v>#N/A</v>
      </c>
      <c r="CE274" s="16" t="e">
        <f t="shared" si="110"/>
        <v>#N/A</v>
      </c>
      <c r="CF274" s="16">
        <f t="shared" si="111"/>
        <v>99</v>
      </c>
      <c r="CG274" s="16">
        <f t="shared" si="112"/>
        <v>0</v>
      </c>
      <c r="CH274" s="16">
        <f t="shared" si="140"/>
        <v>0</v>
      </c>
      <c r="CJ274" s="16" t="e">
        <f t="shared" si="113"/>
        <v>#N/A</v>
      </c>
      <c r="CK274" s="16" t="str">
        <f t="shared" si="114"/>
        <v/>
      </c>
    </row>
    <row r="275" spans="1:89" ht="12" customHeight="1">
      <c r="A275" s="211"/>
      <c r="B275" s="211"/>
      <c r="C275" s="211"/>
      <c r="D275" s="211"/>
      <c r="E275" s="211"/>
      <c r="F275" s="211"/>
      <c r="G275" s="211"/>
      <c r="H275" s="211"/>
      <c r="I275" s="211"/>
      <c r="J275" s="211"/>
      <c r="K275" s="211"/>
      <c r="L275" s="211"/>
      <c r="M275" s="211"/>
      <c r="N275" s="211"/>
      <c r="O275" s="211"/>
      <c r="AM275" s="34">
        <f t="shared" si="134"/>
        <v>3.2216669991612434E-2</v>
      </c>
      <c r="AN275" s="34">
        <f t="shared" si="119"/>
        <v>0.11873283423483372</v>
      </c>
      <c r="AO275" s="16">
        <f t="shared" si="120"/>
        <v>12.99999999999997</v>
      </c>
      <c r="AP275" s="16" t="e">
        <f t="shared" si="121"/>
        <v>#N/A</v>
      </c>
      <c r="AQ275" s="16">
        <f t="shared" si="122"/>
        <v>4.2782333893581352E-4</v>
      </c>
      <c r="AR275" s="34">
        <f t="shared" si="135"/>
        <v>0.76363530196249485</v>
      </c>
      <c r="AS275" s="34">
        <f t="shared" si="123"/>
        <v>0.94688387401401997</v>
      </c>
      <c r="AT275" s="540">
        <f t="shared" si="124"/>
        <v>64.300000000000622</v>
      </c>
      <c r="AU275" s="16" t="e">
        <f t="shared" si="125"/>
        <v>#N/A</v>
      </c>
      <c r="AV275" s="16">
        <f t="shared" si="126"/>
        <v>1.4627351313839977E-2</v>
      </c>
      <c r="AW275" s="34">
        <f t="shared" si="136"/>
        <v>0.60533519275486469</v>
      </c>
      <c r="AX275" s="34">
        <f t="shared" si="127"/>
        <v>0.79690615274012089</v>
      </c>
      <c r="AY275" s="16">
        <f t="shared" si="128"/>
        <v>55.300000000000516</v>
      </c>
      <c r="AZ275" s="16" t="e">
        <f t="shared" si="129"/>
        <v>#N/A</v>
      </c>
      <c r="BA275" s="16">
        <f t="shared" si="137"/>
        <v>1.5347515656593305E-2</v>
      </c>
      <c r="BB275" s="34">
        <f t="shared" si="138"/>
        <v>0.25624839402735233</v>
      </c>
      <c r="BC275" s="34">
        <f t="shared" si="130"/>
        <v>0.27150264568626881</v>
      </c>
      <c r="BD275" s="16">
        <f t="shared" si="131"/>
        <v>36.900000000000254</v>
      </c>
      <c r="BE275" s="16" t="e">
        <f t="shared" si="132"/>
        <v>#N/A</v>
      </c>
      <c r="BF275" s="16">
        <f t="shared" si="133"/>
        <v>4.3701117342926947E-3</v>
      </c>
      <c r="BU275" s="16">
        <f t="shared" si="115"/>
        <v>0</v>
      </c>
      <c r="BV275" s="16">
        <f>IF($BY$12=1,NORMDIST(BY275,$Y$6,$Y$8,TRUE),IF($BY$12=2,IF(BY275&lt;=$BX$31,0,IF(BY275&gt;=$BX$32,1,(BY275-$BX$31)*$BX$33)),SUM($BU$42:BU275)/$BV$40))</f>
        <v>9.0938173225254548E-2</v>
      </c>
      <c r="BW275" s="16">
        <f t="shared" si="116"/>
        <v>0.19064733978217605</v>
      </c>
      <c r="BX275" s="16">
        <f>IF($BY$12&lt;3,BV275,SUM($BZ$42:BZ275)/$BX$40)</f>
        <v>9.0938173225254548E-2</v>
      </c>
      <c r="BY275" s="16">
        <f t="shared" si="139"/>
        <v>23.300000000000061</v>
      </c>
      <c r="BZ275" s="16">
        <f t="shared" si="107"/>
        <v>8.1822892610375775E-3</v>
      </c>
      <c r="CA275" s="16">
        <f t="shared" si="118"/>
        <v>-999</v>
      </c>
      <c r="CB275" s="16" t="str">
        <f t="shared" si="108"/>
        <v/>
      </c>
      <c r="CC275" s="16" t="e">
        <f>IF(CB275="",NA(),COUNTIF(CB275:$CB$704,CB275))</f>
        <v>#N/A</v>
      </c>
      <c r="CD275" s="16" t="e">
        <f t="shared" si="109"/>
        <v>#N/A</v>
      </c>
      <c r="CE275" s="16" t="e">
        <f t="shared" si="110"/>
        <v>#N/A</v>
      </c>
      <c r="CF275" s="16">
        <f t="shared" si="111"/>
        <v>99</v>
      </c>
      <c r="CG275" s="16">
        <f t="shared" si="112"/>
        <v>0</v>
      </c>
      <c r="CH275" s="16">
        <f t="shared" si="140"/>
        <v>0</v>
      </c>
      <c r="CJ275" s="16" t="e">
        <f t="shared" si="113"/>
        <v>#N/A</v>
      </c>
      <c r="CK275" s="16" t="str">
        <f t="shared" si="114"/>
        <v/>
      </c>
    </row>
    <row r="276" spans="1:89" ht="12" customHeight="1">
      <c r="A276" s="211"/>
      <c r="B276" s="211"/>
      <c r="C276" s="211"/>
      <c r="D276" s="211"/>
      <c r="E276" s="211"/>
      <c r="F276" s="211"/>
      <c r="G276" s="211"/>
      <c r="H276" s="211"/>
      <c r="I276" s="211"/>
      <c r="J276" s="211"/>
      <c r="K276" s="211"/>
      <c r="L276" s="211"/>
      <c r="M276" s="211"/>
      <c r="N276" s="211"/>
      <c r="O276" s="211"/>
      <c r="AM276" s="34">
        <f t="shared" si="134"/>
        <v>0.88587518222630024</v>
      </c>
      <c r="AN276" s="34">
        <f t="shared" si="119"/>
        <v>0.338640371337533</v>
      </c>
      <c r="AO276" s="16">
        <f t="shared" si="120"/>
        <v>74.000000000000071</v>
      </c>
      <c r="AP276" s="16" t="e">
        <f t="shared" si="121"/>
        <v>#N/A</v>
      </c>
      <c r="AQ276" s="16">
        <f t="shared" si="122"/>
        <v>3.2879618884042771E-3</v>
      </c>
      <c r="AR276" s="34">
        <f t="shared" si="135"/>
        <v>4.9630561843514442E-2</v>
      </c>
      <c r="AS276" s="34">
        <f t="shared" si="123"/>
        <v>0.26363244839012623</v>
      </c>
      <c r="AT276" s="540">
        <f t="shared" si="124"/>
        <v>16.999999999999972</v>
      </c>
      <c r="AU276" s="16" t="e">
        <f t="shared" si="125"/>
        <v>#N/A</v>
      </c>
      <c r="AV276" s="16">
        <f t="shared" si="126"/>
        <v>1.3480176223616509E-3</v>
      </c>
      <c r="AW276" s="34">
        <f t="shared" si="136"/>
        <v>0.88718119449913502</v>
      </c>
      <c r="AX276" s="34">
        <f t="shared" si="127"/>
        <v>0.47834687866270542</v>
      </c>
      <c r="AY276" s="16">
        <f t="shared" si="128"/>
        <v>74.20000000000006</v>
      </c>
      <c r="AZ276" s="16" t="e">
        <f t="shared" si="129"/>
        <v>#N/A</v>
      </c>
      <c r="BA276" s="16">
        <f t="shared" si="137"/>
        <v>4.5887853073496828E-3</v>
      </c>
      <c r="BB276" s="34">
        <f t="shared" si="138"/>
        <v>0.98639708198606968</v>
      </c>
      <c r="BC276" s="34">
        <f t="shared" si="130"/>
        <v>0.64302276261150837</v>
      </c>
      <c r="BD276" s="16">
        <f t="shared" si="131"/>
        <v>94.099999999998929</v>
      </c>
      <c r="BE276" s="16" t="e">
        <f t="shared" si="132"/>
        <v>#N/A</v>
      </c>
      <c r="BF276" s="16">
        <f t="shared" si="133"/>
        <v>1.1280571509096719E-3</v>
      </c>
      <c r="BU276" s="16">
        <f t="shared" si="115"/>
        <v>0</v>
      </c>
      <c r="BV276" s="16">
        <f>IF($BY$12=1,NORMDIST(BY276,$Y$6,$Y$8,TRUE),IF($BY$12=2,IF(BY276&lt;=$BX$31,0,IF(BY276&gt;=$BX$32,1,(BY276-$BX$31)*$BX$33)),SUM($BU$42:BU276)/$BV$40))</f>
        <v>9.1759135650281376E-2</v>
      </c>
      <c r="BW276" s="16">
        <f t="shared" si="116"/>
        <v>0.19274546698650116</v>
      </c>
      <c r="BX276" s="16">
        <f>IF($BY$12&lt;3,BV276,SUM($BZ$42:BZ276)/$BX$40)</f>
        <v>9.1759135650281376E-2</v>
      </c>
      <c r="BY276" s="16">
        <f t="shared" si="139"/>
        <v>23.400000000000063</v>
      </c>
      <c r="BZ276" s="16">
        <f t="shared" si="107"/>
        <v>8.2369857686538737E-3</v>
      </c>
      <c r="CA276" s="16">
        <f t="shared" si="118"/>
        <v>-999</v>
      </c>
      <c r="CB276" s="16" t="str">
        <f t="shared" si="108"/>
        <v/>
      </c>
      <c r="CC276" s="16" t="e">
        <f>IF(CB276="",NA(),COUNTIF(CB276:$CB$704,CB276))</f>
        <v>#N/A</v>
      </c>
      <c r="CD276" s="16" t="e">
        <f t="shared" si="109"/>
        <v>#N/A</v>
      </c>
      <c r="CE276" s="16" t="e">
        <f t="shared" si="110"/>
        <v>#N/A</v>
      </c>
      <c r="CF276" s="16">
        <f t="shared" si="111"/>
        <v>99</v>
      </c>
      <c r="CG276" s="16">
        <f t="shared" si="112"/>
        <v>0</v>
      </c>
      <c r="CH276" s="16">
        <f t="shared" si="140"/>
        <v>0</v>
      </c>
      <c r="CJ276" s="16" t="e">
        <f t="shared" si="113"/>
        <v>#N/A</v>
      </c>
      <c r="CK276" s="16" t="str">
        <f t="shared" si="114"/>
        <v/>
      </c>
    </row>
    <row r="277" spans="1:89" ht="12" customHeight="1">
      <c r="A277" s="211"/>
      <c r="B277" s="211"/>
      <c r="C277" s="211"/>
      <c r="D277" s="211"/>
      <c r="E277" s="211"/>
      <c r="F277" s="211"/>
      <c r="G277" s="211"/>
      <c r="H277" s="211"/>
      <c r="I277" s="211"/>
      <c r="J277" s="211"/>
      <c r="K277" s="211"/>
      <c r="L277" s="211"/>
      <c r="M277" s="211"/>
      <c r="N277" s="211"/>
      <c r="O277" s="211"/>
      <c r="AM277" s="34">
        <f t="shared" si="134"/>
        <v>0.11570015735924244</v>
      </c>
      <c r="AN277" s="34">
        <f t="shared" si="119"/>
        <v>7.7694470062851906E-2</v>
      </c>
      <c r="AO277" s="16">
        <f t="shared" si="120"/>
        <v>26.000000000000099</v>
      </c>
      <c r="AP277" s="16" t="e">
        <f t="shared" si="121"/>
        <v>#N/A</v>
      </c>
      <c r="AQ277" s="16">
        <f t="shared" si="122"/>
        <v>7.5435913177583202E-4</v>
      </c>
      <c r="AR277" s="34">
        <f t="shared" si="135"/>
        <v>0.91112309135496616</v>
      </c>
      <c r="AS277" s="34">
        <f t="shared" si="123"/>
        <v>0.75814984925091267</v>
      </c>
      <c r="AT277" s="540">
        <f t="shared" si="124"/>
        <v>76.899999999999906</v>
      </c>
      <c r="AU277" s="16" t="e">
        <f t="shared" si="125"/>
        <v>#N/A</v>
      </c>
      <c r="AV277" s="16">
        <f t="shared" si="126"/>
        <v>6.1208302534428412E-3</v>
      </c>
      <c r="AW277" s="34">
        <f t="shared" si="136"/>
        <v>5.1364768296480179E-3</v>
      </c>
      <c r="AX277" s="34">
        <f t="shared" si="127"/>
        <v>0.83507067896425724</v>
      </c>
      <c r="AY277" s="16" t="e">
        <f t="shared" si="128"/>
        <v>#N/A</v>
      </c>
      <c r="AZ277" s="16" t="e">
        <f t="shared" si="129"/>
        <v>#N/A</v>
      </c>
      <c r="BA277" s="16" t="e">
        <f t="shared" si="137"/>
        <v>#N/A</v>
      </c>
      <c r="BB277" s="34">
        <f t="shared" si="138"/>
        <v>0.98541099764406681</v>
      </c>
      <c r="BC277" s="34">
        <f t="shared" si="130"/>
        <v>0.78678363747894764</v>
      </c>
      <c r="BD277" s="16">
        <f t="shared" si="131"/>
        <v>93.599999999998957</v>
      </c>
      <c r="BE277" s="16" t="e">
        <f t="shared" si="132"/>
        <v>#N/A</v>
      </c>
      <c r="BF277" s="16" t="e">
        <f t="shared" si="133"/>
        <v>#N/A</v>
      </c>
      <c r="BU277" s="16">
        <f t="shared" si="115"/>
        <v>0</v>
      </c>
      <c r="BV277" s="16">
        <f>IF($BY$12=1,NORMDIST(BY277,$Y$6,$Y$8,TRUE),IF($BY$12=2,IF(BY277&lt;=$BX$31,0,IF(BY277&gt;=$BX$32,1,(BY277-$BX$31)*$BX$33)),SUM($BU$42:BU277)/$BV$40))</f>
        <v>9.2585575656795371E-2</v>
      </c>
      <c r="BW277" s="16">
        <f t="shared" si="116"/>
        <v>0.19485825433042439</v>
      </c>
      <c r="BX277" s="16">
        <f>IF($BY$12&lt;3,BV277,SUM($BZ$42:BZ277)/$BX$40)</f>
        <v>9.2585575656795371E-2</v>
      </c>
      <c r="BY277" s="16">
        <f t="shared" si="139"/>
        <v>23.500000000000064</v>
      </c>
      <c r="BZ277" s="16">
        <f t="shared" si="107"/>
        <v>8.2918406098052705E-3</v>
      </c>
      <c r="CA277" s="16">
        <f t="shared" si="118"/>
        <v>-999</v>
      </c>
      <c r="CB277" s="16" t="str">
        <f t="shared" si="108"/>
        <v/>
      </c>
      <c r="CC277" s="16" t="e">
        <f>IF(CB277="",NA(),COUNTIF(CB277:$CB$704,CB277))</f>
        <v>#N/A</v>
      </c>
      <c r="CD277" s="16" t="e">
        <f t="shared" si="109"/>
        <v>#N/A</v>
      </c>
      <c r="CE277" s="16" t="e">
        <f t="shared" si="110"/>
        <v>#N/A</v>
      </c>
      <c r="CF277" s="16">
        <f t="shared" si="111"/>
        <v>99</v>
      </c>
      <c r="CG277" s="16">
        <f t="shared" si="112"/>
        <v>0</v>
      </c>
      <c r="CH277" s="16">
        <f t="shared" si="140"/>
        <v>0</v>
      </c>
      <c r="CJ277" s="16" t="e">
        <f t="shared" si="113"/>
        <v>#N/A</v>
      </c>
      <c r="CK277" s="16" t="str">
        <f t="shared" si="114"/>
        <v/>
      </c>
    </row>
    <row r="278" spans="1:89" ht="12" customHeight="1">
      <c r="A278" s="211"/>
      <c r="B278" s="211"/>
      <c r="C278" s="211"/>
      <c r="D278" s="211"/>
      <c r="E278" s="211"/>
      <c r="F278" s="211"/>
      <c r="G278" s="211"/>
      <c r="H278" s="211"/>
      <c r="I278" s="211"/>
      <c r="J278" s="211"/>
      <c r="K278" s="211"/>
      <c r="L278" s="211"/>
      <c r="M278" s="211"/>
      <c r="N278" s="211"/>
      <c r="O278" s="211"/>
      <c r="AM278" s="34">
        <f t="shared" si="134"/>
        <v>0.71065662987530231</v>
      </c>
      <c r="AN278" s="34">
        <f t="shared" si="119"/>
        <v>0.5372892115265131</v>
      </c>
      <c r="AO278" s="16">
        <f t="shared" si="120"/>
        <v>61.100000000000598</v>
      </c>
      <c r="AP278" s="16" t="e">
        <f t="shared" si="121"/>
        <v>#N/A</v>
      </c>
      <c r="AQ278" s="16">
        <f t="shared" si="122"/>
        <v>9.1875858776699661E-3</v>
      </c>
      <c r="AR278" s="34">
        <f t="shared" si="135"/>
        <v>0.34845716692507267</v>
      </c>
      <c r="AS278" s="34">
        <f t="shared" si="123"/>
        <v>0.19919389672577381</v>
      </c>
      <c r="AT278" s="540">
        <f t="shared" si="124"/>
        <v>42.20000000000033</v>
      </c>
      <c r="AU278" s="16" t="e">
        <f t="shared" si="125"/>
        <v>#N/A</v>
      </c>
      <c r="AV278" s="16">
        <f t="shared" si="126"/>
        <v>3.6823749062776315E-3</v>
      </c>
      <c r="AW278" s="34">
        <f t="shared" si="136"/>
        <v>0.64556139893829823</v>
      </c>
      <c r="AX278" s="34">
        <f t="shared" si="127"/>
        <v>0.38168116845190525</v>
      </c>
      <c r="AY278" s="16">
        <f t="shared" si="128"/>
        <v>57.400000000000546</v>
      </c>
      <c r="AZ278" s="16" t="e">
        <f t="shared" si="129"/>
        <v>#N/A</v>
      </c>
      <c r="BA278" s="16">
        <f t="shared" si="137"/>
        <v>7.1097338916755659E-3</v>
      </c>
      <c r="BB278" s="34">
        <f t="shared" si="138"/>
        <v>0.60297676362097263</v>
      </c>
      <c r="BC278" s="34">
        <f t="shared" si="130"/>
        <v>0.4749076534062624</v>
      </c>
      <c r="BD278" s="16">
        <f t="shared" si="131"/>
        <v>55.200000000000514</v>
      </c>
      <c r="BE278" s="16" t="e">
        <f t="shared" si="132"/>
        <v>#N/A</v>
      </c>
      <c r="BF278" s="16">
        <f t="shared" si="133"/>
        <v>9.1581991910352645E-3</v>
      </c>
      <c r="BU278" s="16">
        <f t="shared" si="115"/>
        <v>0</v>
      </c>
      <c r="BV278" s="16">
        <f>IF($BY$12=1,NORMDIST(BY278,$Y$6,$Y$8,TRUE),IF($BY$12=2,IF(BY278&lt;=$BX$31,0,IF(BY278&gt;=$BX$32,1,(BY278-$BX$31)*$BX$33)),SUM($BU$42:BU278)/$BV$40))</f>
        <v>9.3417508993472342E-2</v>
      </c>
      <c r="BW278" s="16">
        <f t="shared" si="116"/>
        <v>0.19698570925522368</v>
      </c>
      <c r="BX278" s="16">
        <f>IF($BY$12&lt;3,BV278,SUM($BZ$42:BZ278)/$BX$40)</f>
        <v>9.3417508993472342E-2</v>
      </c>
      <c r="BY278" s="16">
        <f t="shared" ref="BY278:BY341" si="141">BY277+$BZ$1</f>
        <v>23.600000000000065</v>
      </c>
      <c r="BZ278" s="16">
        <f t="shared" si="107"/>
        <v>8.3468520870857259E-3</v>
      </c>
      <c r="CA278" s="16">
        <f t="shared" si="118"/>
        <v>-999</v>
      </c>
      <c r="CB278" s="16" t="str">
        <f t="shared" si="108"/>
        <v/>
      </c>
      <c r="CC278" s="16" t="e">
        <f>IF(CB278="",NA(),COUNTIF(CB278:$CB$704,CB278))</f>
        <v>#N/A</v>
      </c>
      <c r="CD278" s="16" t="e">
        <f t="shared" si="109"/>
        <v>#N/A</v>
      </c>
      <c r="CE278" s="16" t="e">
        <f t="shared" si="110"/>
        <v>#N/A</v>
      </c>
      <c r="CF278" s="16">
        <f t="shared" si="111"/>
        <v>99</v>
      </c>
      <c r="CG278" s="16">
        <f t="shared" si="112"/>
        <v>0</v>
      </c>
      <c r="CH278" s="16">
        <f t="shared" si="140"/>
        <v>0</v>
      </c>
      <c r="CJ278" s="16" t="e">
        <f t="shared" si="113"/>
        <v>#N/A</v>
      </c>
      <c r="CK278" s="16" t="str">
        <f t="shared" si="114"/>
        <v/>
      </c>
    </row>
    <row r="279" spans="1:89" ht="12" customHeight="1">
      <c r="A279" s="211"/>
      <c r="B279" s="211"/>
      <c r="C279" s="211"/>
      <c r="D279" s="211"/>
      <c r="E279" s="211"/>
      <c r="F279" s="211"/>
      <c r="G279" s="211"/>
      <c r="H279" s="211"/>
      <c r="I279" s="211"/>
      <c r="J279" s="211"/>
      <c r="K279" s="211"/>
      <c r="L279" s="211"/>
      <c r="M279" s="211"/>
      <c r="N279" s="211"/>
      <c r="O279" s="211"/>
      <c r="AM279" s="34">
        <f t="shared" si="134"/>
        <v>0.1000248808413744</v>
      </c>
      <c r="AN279" s="34">
        <f t="shared" si="119"/>
        <v>0.10873719491064548</v>
      </c>
      <c r="AO279" s="16">
        <f t="shared" si="120"/>
        <v>24.300000000000075</v>
      </c>
      <c r="AP279" s="16" t="e">
        <f t="shared" si="121"/>
        <v>#N/A</v>
      </c>
      <c r="AQ279" s="16">
        <f t="shared" si="122"/>
        <v>9.4994670907567753E-4</v>
      </c>
      <c r="AR279" s="34">
        <f t="shared" si="135"/>
        <v>0.55677839554846287</v>
      </c>
      <c r="AS279" s="34">
        <f t="shared" si="123"/>
        <v>0.19360377080738544</v>
      </c>
      <c r="AT279" s="540">
        <f t="shared" si="124"/>
        <v>52.80000000000048</v>
      </c>
      <c r="AU279" s="16" t="e">
        <f t="shared" si="125"/>
        <v>#N/A</v>
      </c>
      <c r="AV279" s="16">
        <f t="shared" si="126"/>
        <v>3.824175334480122E-3</v>
      </c>
      <c r="AW279" s="34">
        <f t="shared" si="136"/>
        <v>0.64637424238026142</v>
      </c>
      <c r="AX279" s="34">
        <f t="shared" si="127"/>
        <v>0.82666776515543461</v>
      </c>
      <c r="AY279" s="16">
        <f t="shared" si="128"/>
        <v>57.500000000000547</v>
      </c>
      <c r="AZ279" s="16" t="e">
        <f t="shared" si="129"/>
        <v>#N/A</v>
      </c>
      <c r="BA279" s="16">
        <f t="shared" si="137"/>
        <v>1.5370030970549155E-2</v>
      </c>
      <c r="BB279" s="34">
        <f t="shared" si="138"/>
        <v>0.7078621182590723</v>
      </c>
      <c r="BC279" s="34">
        <f t="shared" si="130"/>
        <v>0.38479826040565968</v>
      </c>
      <c r="BD279" s="16">
        <f t="shared" si="131"/>
        <v>60.900000000000595</v>
      </c>
      <c r="BE279" s="16" t="e">
        <f t="shared" si="132"/>
        <v>#N/A</v>
      </c>
      <c r="BF279" s="16">
        <f t="shared" si="133"/>
        <v>6.6162972868867072E-3</v>
      </c>
      <c r="BU279" s="16">
        <f t="shared" si="115"/>
        <v>0</v>
      </c>
      <c r="BV279" s="16">
        <f>IF($BY$12=1,NORMDIST(BY279,$Y$6,$Y$8,TRUE),IF($BY$12=2,IF(BY279&lt;=$BX$31,0,IF(BY279&gt;=$BX$32,1,(BY279-$BX$31)*$BX$33)),SUM($BU$42:BU279)/$BV$40))</f>
        <v>9.4254951238093465E-2</v>
      </c>
      <c r="BW279" s="16">
        <f t="shared" si="116"/>
        <v>0.19912783797647665</v>
      </c>
      <c r="BX279" s="16">
        <f>IF($BY$12&lt;3,BV279,SUM($BZ$42:BZ279)/$BX$40)</f>
        <v>9.4254951238093465E-2</v>
      </c>
      <c r="BY279" s="16">
        <f t="shared" si="141"/>
        <v>23.700000000000067</v>
      </c>
      <c r="BZ279" s="16">
        <f t="shared" si="107"/>
        <v>8.4020184800200886E-3</v>
      </c>
      <c r="CA279" s="16">
        <f t="shared" si="118"/>
        <v>-999</v>
      </c>
      <c r="CB279" s="16" t="str">
        <f t="shared" si="108"/>
        <v/>
      </c>
      <c r="CC279" s="16" t="e">
        <f>IF(CB279="",NA(),COUNTIF(CB279:$CB$704,CB279))</f>
        <v>#N/A</v>
      </c>
      <c r="CD279" s="16" t="e">
        <f t="shared" si="109"/>
        <v>#N/A</v>
      </c>
      <c r="CE279" s="16" t="e">
        <f t="shared" si="110"/>
        <v>#N/A</v>
      </c>
      <c r="CF279" s="16">
        <f t="shared" si="111"/>
        <v>99</v>
      </c>
      <c r="CG279" s="16">
        <f t="shared" si="112"/>
        <v>0</v>
      </c>
      <c r="CH279" s="16">
        <f t="shared" si="140"/>
        <v>0</v>
      </c>
      <c r="CJ279" s="16" t="e">
        <f t="shared" si="113"/>
        <v>#N/A</v>
      </c>
      <c r="CK279" s="16" t="str">
        <f t="shared" si="114"/>
        <v/>
      </c>
    </row>
    <row r="280" spans="1:89" ht="12" customHeight="1">
      <c r="A280" s="211"/>
      <c r="B280" s="211"/>
      <c r="C280" s="211"/>
      <c r="D280" s="211"/>
      <c r="E280" s="211"/>
      <c r="F280" s="211"/>
      <c r="G280" s="211"/>
      <c r="H280" s="211"/>
      <c r="I280" s="211"/>
      <c r="J280" s="211"/>
      <c r="K280" s="211"/>
      <c r="L280" s="211"/>
      <c r="M280" s="211"/>
      <c r="N280" s="211"/>
      <c r="O280" s="211"/>
      <c r="AM280" s="34">
        <f t="shared" si="134"/>
        <v>0.36268998868763447</v>
      </c>
      <c r="AN280" s="34">
        <f t="shared" si="119"/>
        <v>0.60184619762003422</v>
      </c>
      <c r="AO280" s="16">
        <f t="shared" si="120"/>
        <v>42.90000000000034</v>
      </c>
      <c r="AP280" s="16" t="e">
        <f t="shared" si="121"/>
        <v>#N/A</v>
      </c>
      <c r="AQ280" s="16">
        <f t="shared" si="122"/>
        <v>1.1271964444005909E-2</v>
      </c>
      <c r="AR280" s="34">
        <f t="shared" si="135"/>
        <v>0.22492287494242191</v>
      </c>
      <c r="AS280" s="34">
        <f t="shared" si="123"/>
        <v>0.6734215933829546</v>
      </c>
      <c r="AT280" s="540">
        <f t="shared" si="124"/>
        <v>34.800000000000225</v>
      </c>
      <c r="AU280" s="16" t="e">
        <f t="shared" si="125"/>
        <v>#N/A</v>
      </c>
      <c r="AV280" s="16">
        <f t="shared" si="126"/>
        <v>1.0063356585792039E-2</v>
      </c>
      <c r="AW280" s="34">
        <f t="shared" si="136"/>
        <v>0.39823529310524464</v>
      </c>
      <c r="AX280" s="34">
        <f t="shared" si="127"/>
        <v>0.10811125673353672</v>
      </c>
      <c r="AY280" s="16">
        <f t="shared" si="128"/>
        <v>44.800000000000367</v>
      </c>
      <c r="AZ280" s="16" t="e">
        <f t="shared" si="129"/>
        <v>#N/A</v>
      </c>
      <c r="BA280" s="16">
        <f t="shared" si="137"/>
        <v>2.0848356872276027E-3</v>
      </c>
      <c r="BB280" s="34">
        <f t="shared" si="138"/>
        <v>0.60643398202955723</v>
      </c>
      <c r="BC280" s="34">
        <f t="shared" si="130"/>
        <v>0.70393733866512775</v>
      </c>
      <c r="BD280" s="16">
        <f t="shared" si="131"/>
        <v>55.400000000000517</v>
      </c>
      <c r="BE280" s="16" t="e">
        <f t="shared" si="132"/>
        <v>#N/A</v>
      </c>
      <c r="BF280" s="16">
        <f t="shared" si="133"/>
        <v>1.3538920503924025E-2</v>
      </c>
      <c r="BU280" s="16">
        <f t="shared" si="115"/>
        <v>0</v>
      </c>
      <c r="BV280" s="16">
        <f>IF($BY$12=1,NORMDIST(BY280,$Y$6,$Y$8,TRUE),IF($BY$12=2,IF(BY280&lt;=$BX$31,0,IF(BY280&gt;=$BX$32,1,(BY280-$BX$31)*$BX$33)),SUM($BU$42:BU280)/$BV$40))</f>
        <v>9.5097917795239573E-2</v>
      </c>
      <c r="BW280" s="16">
        <f t="shared" si="116"/>
        <v>0.20128464547299163</v>
      </c>
      <c r="BX280" s="16">
        <f>IF($BY$12&lt;3,BV280,SUM($BZ$42:BZ280)/$BX$40)</f>
        <v>9.5097917795239573E-2</v>
      </c>
      <c r="BY280" s="16">
        <f t="shared" si="141"/>
        <v>23.800000000000068</v>
      </c>
      <c r="BZ280" s="16">
        <f t="shared" si="107"/>
        <v>8.4573380450836573E-3</v>
      </c>
      <c r="CA280" s="16">
        <f t="shared" si="118"/>
        <v>-999</v>
      </c>
      <c r="CB280" s="16" t="str">
        <f t="shared" si="108"/>
        <v/>
      </c>
      <c r="CC280" s="16" t="e">
        <f>IF(CB280="",NA(),COUNTIF(CB280:$CB$704,CB280))</f>
        <v>#N/A</v>
      </c>
      <c r="CD280" s="16" t="e">
        <f t="shared" si="109"/>
        <v>#N/A</v>
      </c>
      <c r="CE280" s="16" t="e">
        <f t="shared" si="110"/>
        <v>#N/A</v>
      </c>
      <c r="CF280" s="16">
        <f t="shared" si="111"/>
        <v>99</v>
      </c>
      <c r="CG280" s="16">
        <f t="shared" si="112"/>
        <v>0</v>
      </c>
      <c r="CH280" s="16">
        <f t="shared" si="140"/>
        <v>0</v>
      </c>
      <c r="CJ280" s="16" t="e">
        <f t="shared" si="113"/>
        <v>#N/A</v>
      </c>
      <c r="CK280" s="16" t="str">
        <f t="shared" si="114"/>
        <v/>
      </c>
    </row>
    <row r="281" spans="1:89" ht="12" customHeight="1">
      <c r="A281" s="211"/>
      <c r="B281" s="211"/>
      <c r="C281" s="211"/>
      <c r="D281" s="211"/>
      <c r="E281" s="211"/>
      <c r="F281" s="211"/>
      <c r="G281" s="211"/>
      <c r="H281" s="211"/>
      <c r="I281" s="211"/>
      <c r="J281" s="211"/>
      <c r="K281" s="211"/>
      <c r="L281" s="211"/>
      <c r="M281" s="211"/>
      <c r="N281" s="211"/>
      <c r="O281" s="211"/>
      <c r="AM281" s="34">
        <f t="shared" si="134"/>
        <v>0.80020091123878956</v>
      </c>
      <c r="AN281" s="34">
        <f t="shared" si="119"/>
        <v>0.5149997416883707</v>
      </c>
      <c r="AO281" s="16">
        <f t="shared" si="120"/>
        <v>66.80000000000048</v>
      </c>
      <c r="AP281" s="16" t="e">
        <f t="shared" si="121"/>
        <v>#N/A</v>
      </c>
      <c r="AQ281" s="16">
        <f t="shared" si="122"/>
        <v>7.2188495083167553E-3</v>
      </c>
      <c r="AR281" s="34">
        <f t="shared" si="135"/>
        <v>0.68831025995314121</v>
      </c>
      <c r="AS281" s="34">
        <f t="shared" si="123"/>
        <v>0.54756479151546955</v>
      </c>
      <c r="AT281" s="540">
        <f t="shared" si="124"/>
        <v>59.80000000000058</v>
      </c>
      <c r="AU281" s="16" t="e">
        <f t="shared" si="125"/>
        <v>#N/A</v>
      </c>
      <c r="AV281" s="16">
        <f t="shared" si="126"/>
        <v>9.6867598443604024E-3</v>
      </c>
      <c r="AW281" s="34">
        <f t="shared" si="136"/>
        <v>0.97278170473873615</v>
      </c>
      <c r="AX281" s="34">
        <f t="shared" si="127"/>
        <v>0.69354952313005924</v>
      </c>
      <c r="AY281" s="16">
        <f t="shared" si="128"/>
        <v>88.399999999999253</v>
      </c>
      <c r="AZ281" s="16" t="e">
        <f t="shared" si="129"/>
        <v>#N/A</v>
      </c>
      <c r="BA281" s="16">
        <f t="shared" si="137"/>
        <v>2.1901101532959726E-3</v>
      </c>
      <c r="BB281" s="34">
        <f t="shared" si="138"/>
        <v>0.53783668018877506</v>
      </c>
      <c r="BC281" s="34">
        <f t="shared" si="130"/>
        <v>0.79376459307968616</v>
      </c>
      <c r="BD281" s="16">
        <f t="shared" si="131"/>
        <v>51.800000000000466</v>
      </c>
      <c r="BE281" s="16" t="e">
        <f t="shared" si="132"/>
        <v>#N/A</v>
      </c>
      <c r="BF281" s="16">
        <f t="shared" si="133"/>
        <v>1.5769317604073855E-2</v>
      </c>
      <c r="BU281" s="16">
        <f t="shared" si="115"/>
        <v>0</v>
      </c>
      <c r="BV281" s="16">
        <f>IF($BY$12=1,NORMDIST(BY281,$Y$6,$Y$8,TRUE),IF($BY$12=2,IF(BY281&lt;=$BX$31,0,IF(BY281&gt;=$BX$32,1,(BY281-$BX$31)*$BX$33)),SUM($BU$42:BU281)/$BV$40))</f>
        <v>9.594642389398822E-2</v>
      </c>
      <c r="BW281" s="16">
        <f t="shared" si="116"/>
        <v>0.20345613547582247</v>
      </c>
      <c r="BX281" s="16">
        <f>IF($BY$12&lt;3,BV281,SUM($BZ$42:BZ281)/$BX$40)</f>
        <v>9.594642389398822E-2</v>
      </c>
      <c r="BY281" s="16">
        <f t="shared" si="141"/>
        <v>23.90000000000007</v>
      </c>
      <c r="BZ281" s="16">
        <f t="shared" si="107"/>
        <v>8.5128090157247649E-3</v>
      </c>
      <c r="CA281" s="16">
        <f t="shared" si="118"/>
        <v>-999</v>
      </c>
      <c r="CB281" s="16" t="str">
        <f t="shared" si="108"/>
        <v/>
      </c>
      <c r="CC281" s="16" t="e">
        <f>IF(CB281="",NA(),COUNTIF(CB281:$CB$704,CB281))</f>
        <v>#N/A</v>
      </c>
      <c r="CD281" s="16" t="e">
        <f t="shared" si="109"/>
        <v>#N/A</v>
      </c>
      <c r="CE281" s="16" t="e">
        <f t="shared" si="110"/>
        <v>#N/A</v>
      </c>
      <c r="CF281" s="16">
        <f t="shared" si="111"/>
        <v>99</v>
      </c>
      <c r="CG281" s="16">
        <f t="shared" si="112"/>
        <v>0</v>
      </c>
      <c r="CH281" s="16">
        <f t="shared" si="140"/>
        <v>0</v>
      </c>
      <c r="CJ281" s="16" t="e">
        <f t="shared" si="113"/>
        <v>#N/A</v>
      </c>
      <c r="CK281" s="16" t="str">
        <f t="shared" si="114"/>
        <v/>
      </c>
    </row>
    <row r="282" spans="1:89" ht="12" customHeight="1">
      <c r="A282" s="211"/>
      <c r="B282" s="211"/>
      <c r="C282" s="211"/>
      <c r="D282" s="211"/>
      <c r="E282" s="211"/>
      <c r="F282" s="211"/>
      <c r="G282" s="211"/>
      <c r="H282" s="211"/>
      <c r="I282" s="211"/>
      <c r="J282" s="211"/>
      <c r="K282" s="211"/>
      <c r="L282" s="211"/>
      <c r="M282" s="211"/>
      <c r="N282" s="211"/>
      <c r="O282" s="211"/>
      <c r="AM282" s="34">
        <f t="shared" si="134"/>
        <v>0.11188034899532795</v>
      </c>
      <c r="AN282" s="34">
        <f t="shared" si="119"/>
        <v>0.9443978164345026</v>
      </c>
      <c r="AO282" s="16">
        <f t="shared" si="120"/>
        <v>25.600000000000094</v>
      </c>
      <c r="AP282" s="16" t="e">
        <f t="shared" si="121"/>
        <v>#N/A</v>
      </c>
      <c r="AQ282" s="16">
        <f t="shared" si="122"/>
        <v>8.9502072310922876E-3</v>
      </c>
      <c r="AR282" s="34">
        <f t="shared" si="135"/>
        <v>3.3496985211968422E-2</v>
      </c>
      <c r="AS282" s="34">
        <f t="shared" si="123"/>
        <v>0.28758049197494984</v>
      </c>
      <c r="AT282" s="540">
        <f t="shared" si="124"/>
        <v>13.299999999999969</v>
      </c>
      <c r="AU282" s="16" t="e">
        <f t="shared" si="125"/>
        <v>#N/A</v>
      </c>
      <c r="AV282" s="16">
        <f t="shared" si="126"/>
        <v>1.0652606237728658E-3</v>
      </c>
      <c r="AW282" s="34">
        <f t="shared" si="136"/>
        <v>0.2474443931132555</v>
      </c>
      <c r="AX282" s="34">
        <f t="shared" si="127"/>
        <v>0.14790966548025608</v>
      </c>
      <c r="AY282" s="16">
        <f t="shared" si="128"/>
        <v>36.300000000000246</v>
      </c>
      <c r="AZ282" s="16" t="e">
        <f t="shared" si="129"/>
        <v>#N/A</v>
      </c>
      <c r="BA282" s="16">
        <f t="shared" si="137"/>
        <v>2.3333812882384425E-3</v>
      </c>
      <c r="BB282" s="34">
        <f t="shared" si="138"/>
        <v>0.24973657168447971</v>
      </c>
      <c r="BC282" s="34">
        <f t="shared" si="130"/>
        <v>0.96342022903263569</v>
      </c>
      <c r="BD282" s="16">
        <f t="shared" si="131"/>
        <v>36.400000000000247</v>
      </c>
      <c r="BE282" s="16" t="e">
        <f t="shared" si="132"/>
        <v>#N/A</v>
      </c>
      <c r="BF282" s="16">
        <f t="shared" si="133"/>
        <v>1.5250600582846947E-2</v>
      </c>
      <c r="BU282" s="16">
        <f t="shared" si="115"/>
        <v>0</v>
      </c>
      <c r="BV282" s="16">
        <f>IF($BY$12=1,NORMDIST(BY282,$Y$6,$Y$8,TRUE),IF($BY$12=2,IF(BY282&lt;=$BX$31,0,IF(BY282&gt;=$BX$32,1,(BY282-$BX$31)*$BX$33)),SUM($BU$42:BU282)/$BV$40))</f>
        <v>9.6800484585610969E-2</v>
      </c>
      <c r="BW282" s="16">
        <f t="shared" si="116"/>
        <v>0.20564231045737033</v>
      </c>
      <c r="BX282" s="16">
        <f>IF($BY$12&lt;3,BV282,SUM($BZ$42:BZ282)/$BX$40)</f>
        <v>9.6800484585610969E-2</v>
      </c>
      <c r="BY282" s="16">
        <f t="shared" si="141"/>
        <v>24.000000000000071</v>
      </c>
      <c r="BZ282" s="16">
        <f t="shared" si="107"/>
        <v>8.5684296023904056E-3</v>
      </c>
      <c r="CA282" s="16">
        <f t="shared" si="118"/>
        <v>-999</v>
      </c>
      <c r="CB282" s="16" t="str">
        <f t="shared" si="108"/>
        <v/>
      </c>
      <c r="CC282" s="16" t="e">
        <f>IF(CB282="",NA(),COUNTIF(CB282:$CB$704,CB282))</f>
        <v>#N/A</v>
      </c>
      <c r="CD282" s="16" t="e">
        <f t="shared" si="109"/>
        <v>#N/A</v>
      </c>
      <c r="CE282" s="16" t="e">
        <f t="shared" si="110"/>
        <v>#N/A</v>
      </c>
      <c r="CF282" s="16">
        <f t="shared" si="111"/>
        <v>99</v>
      </c>
      <c r="CG282" s="16">
        <f t="shared" si="112"/>
        <v>0</v>
      </c>
      <c r="CH282" s="16">
        <f t="shared" si="140"/>
        <v>0</v>
      </c>
      <c r="CJ282" s="16" t="e">
        <f t="shared" si="113"/>
        <v>#N/A</v>
      </c>
      <c r="CK282" s="16" t="str">
        <f t="shared" si="114"/>
        <v/>
      </c>
    </row>
    <row r="283" spans="1:89" ht="12" customHeight="1">
      <c r="A283" s="211"/>
      <c r="B283" s="211"/>
      <c r="C283" s="211"/>
      <c r="D283" s="211"/>
      <c r="E283" s="211"/>
      <c r="F283" s="211"/>
      <c r="G283" s="211"/>
      <c r="H283" s="211"/>
      <c r="I283" s="211"/>
      <c r="J283" s="211"/>
      <c r="K283" s="211"/>
      <c r="L283" s="211"/>
      <c r="M283" s="211"/>
      <c r="N283" s="211"/>
      <c r="O283" s="211"/>
      <c r="AM283" s="34">
        <f t="shared" si="134"/>
        <v>0.44151663966476917</v>
      </c>
      <c r="AN283" s="34">
        <f t="shared" si="119"/>
        <v>0.13636400736868382</v>
      </c>
      <c r="AO283" s="16">
        <f t="shared" si="120"/>
        <v>47.000000000000398</v>
      </c>
      <c r="AP283" s="16" t="e">
        <f t="shared" si="121"/>
        <v>#N/A</v>
      </c>
      <c r="AQ283" s="16">
        <f t="shared" si="122"/>
        <v>2.6896391193358491E-3</v>
      </c>
      <c r="AR283" s="34">
        <f t="shared" si="135"/>
        <v>0.65829589404165745</v>
      </c>
      <c r="AS283" s="34">
        <f t="shared" si="123"/>
        <v>0.49826319701969624</v>
      </c>
      <c r="AT283" s="540">
        <f t="shared" si="124"/>
        <v>58.100000000000556</v>
      </c>
      <c r="AU283" s="16" t="e">
        <f t="shared" si="125"/>
        <v>#N/A</v>
      </c>
      <c r="AV283" s="16">
        <f t="shared" si="126"/>
        <v>9.1563272104871092E-3</v>
      </c>
      <c r="AW283" s="34">
        <f t="shared" si="136"/>
        <v>0.57762821204960346</v>
      </c>
      <c r="AX283" s="34">
        <f t="shared" si="127"/>
        <v>0.62966279126703739</v>
      </c>
      <c r="AY283" s="16">
        <f t="shared" si="128"/>
        <v>53.900000000000496</v>
      </c>
      <c r="AZ283" s="16" t="e">
        <f t="shared" si="129"/>
        <v>#N/A</v>
      </c>
      <c r="BA283" s="16">
        <f t="shared" si="137"/>
        <v>1.2323415075395E-2</v>
      </c>
      <c r="BB283" s="34">
        <f t="shared" si="138"/>
        <v>0.81478933431208134</v>
      </c>
      <c r="BC283" s="34">
        <f t="shared" si="130"/>
        <v>0.93538215942680836</v>
      </c>
      <c r="BD283" s="16">
        <f t="shared" si="131"/>
        <v>67.900000000000418</v>
      </c>
      <c r="BE283" s="16" t="e">
        <f t="shared" si="132"/>
        <v>#N/A</v>
      </c>
      <c r="BF283" s="16">
        <f t="shared" si="133"/>
        <v>1.2500540278868827E-2</v>
      </c>
      <c r="BU283" s="16">
        <f t="shared" si="115"/>
        <v>0</v>
      </c>
      <c r="BV283" s="16">
        <f>IF($BY$12=1,NORMDIST(BY283,$Y$6,$Y$8,TRUE),IF($BY$12=2,IF(BY283&lt;=$BX$31,0,IF(BY283&gt;=$BX$32,1,(BY283-$BX$31)*$BX$33)),SUM($BU$42:BU283)/$BV$40))</f>
        <v>9.7660114741275117E-2</v>
      </c>
      <c r="BW283" s="16">
        <f t="shared" si="116"/>
        <v>0.207843171620574</v>
      </c>
      <c r="BX283" s="16">
        <f>IF($BY$12&lt;3,BV283,SUM($BZ$42:BZ283)/$BX$40)</f>
        <v>9.7660114741275117E-2</v>
      </c>
      <c r="BY283" s="16">
        <f t="shared" si="141"/>
        <v>24.100000000000072</v>
      </c>
      <c r="BZ283" s="16">
        <f t="shared" si="107"/>
        <v>8.6241979925549116E-3</v>
      </c>
      <c r="CA283" s="16">
        <f t="shared" si="118"/>
        <v>-999</v>
      </c>
      <c r="CB283" s="16" t="str">
        <f t="shared" si="108"/>
        <v/>
      </c>
      <c r="CC283" s="16" t="e">
        <f>IF(CB283="",NA(),COUNTIF(CB283:$CB$704,CB283))</f>
        <v>#N/A</v>
      </c>
      <c r="CD283" s="16" t="e">
        <f t="shared" si="109"/>
        <v>#N/A</v>
      </c>
      <c r="CE283" s="16" t="e">
        <f t="shared" si="110"/>
        <v>#N/A</v>
      </c>
      <c r="CF283" s="16">
        <f t="shared" si="111"/>
        <v>99</v>
      </c>
      <c r="CG283" s="16">
        <f t="shared" si="112"/>
        <v>0</v>
      </c>
      <c r="CH283" s="16">
        <f t="shared" si="140"/>
        <v>0</v>
      </c>
      <c r="CJ283" s="16" t="e">
        <f t="shared" si="113"/>
        <v>#N/A</v>
      </c>
      <c r="CK283" s="16" t="str">
        <f t="shared" si="114"/>
        <v/>
      </c>
    </row>
    <row r="284" spans="1:89" ht="12" customHeight="1">
      <c r="A284" s="211"/>
      <c r="B284" s="211"/>
      <c r="C284" s="211"/>
      <c r="D284" s="211"/>
      <c r="E284" s="211"/>
      <c r="F284" s="211"/>
      <c r="G284" s="211"/>
      <c r="H284" s="211"/>
      <c r="I284" s="211"/>
      <c r="J284" s="211"/>
      <c r="K284" s="211"/>
      <c r="L284" s="211"/>
      <c r="M284" s="211"/>
      <c r="N284" s="211"/>
      <c r="O284" s="211"/>
      <c r="AM284" s="34">
        <f t="shared" si="134"/>
        <v>0.84641893394291401</v>
      </c>
      <c r="AN284" s="34">
        <f t="shared" si="119"/>
        <v>0.3428752813488245</v>
      </c>
      <c r="AO284" s="16">
        <f t="shared" si="120"/>
        <v>70.400000000000276</v>
      </c>
      <c r="AP284" s="16" t="e">
        <f t="shared" si="121"/>
        <v>#N/A</v>
      </c>
      <c r="AQ284" s="16">
        <f t="shared" si="122"/>
        <v>4.0653342382719797E-3</v>
      </c>
      <c r="AR284" s="34">
        <f t="shared" si="135"/>
        <v>0.44761852361261845</v>
      </c>
      <c r="AS284" s="34">
        <f t="shared" si="123"/>
        <v>5.5166991427540779E-2</v>
      </c>
      <c r="AT284" s="540">
        <f t="shared" si="124"/>
        <v>47.300000000000402</v>
      </c>
      <c r="AU284" s="16" t="e">
        <f t="shared" si="125"/>
        <v>#N/A</v>
      </c>
      <c r="AV284" s="16">
        <f t="shared" si="126"/>
        <v>1.0904402200115175E-3</v>
      </c>
      <c r="AW284" s="34">
        <f t="shared" si="136"/>
        <v>9.8286660388112068E-2</v>
      </c>
      <c r="AX284" s="34">
        <f t="shared" si="127"/>
        <v>0.88160770572721958</v>
      </c>
      <c r="AY284" s="16">
        <f t="shared" si="128"/>
        <v>24.100000000000072</v>
      </c>
      <c r="AZ284" s="16" t="e">
        <f t="shared" si="129"/>
        <v>#N/A</v>
      </c>
      <c r="BA284" s="16">
        <f t="shared" si="137"/>
        <v>7.6031594059536283E-3</v>
      </c>
      <c r="BB284" s="34">
        <f t="shared" si="138"/>
        <v>0.75423615612089634</v>
      </c>
      <c r="BC284" s="34">
        <f t="shared" si="130"/>
        <v>0.36627899296581745</v>
      </c>
      <c r="BD284" s="16">
        <f t="shared" si="131"/>
        <v>63.700000000000635</v>
      </c>
      <c r="BE284" s="16" t="e">
        <f t="shared" si="132"/>
        <v>#N/A</v>
      </c>
      <c r="BF284" s="16">
        <f t="shared" si="133"/>
        <v>5.7783143899768968E-3</v>
      </c>
      <c r="BU284" s="16">
        <f t="shared" si="115"/>
        <v>0</v>
      </c>
      <c r="BV284" s="16">
        <f>IF($BY$12=1,NORMDIST(BY284,$Y$6,$Y$8,TRUE),IF($BY$12=2,IF(BY284&lt;=$BX$31,0,IF(BY284&gt;=$BX$32,1,(BY284-$BX$31)*$BX$33)),SUM($BU$42:BU284)/$BV$40))</f>
        <v>9.8525329049748533E-2</v>
      </c>
      <c r="BW284" s="16">
        <f t="shared" si="116"/>
        <v>0.21005871888819155</v>
      </c>
      <c r="BX284" s="16">
        <f>IF($BY$12&lt;3,BV284,SUM($BZ$42:BZ284)/$BX$40)</f>
        <v>9.8525329049748533E-2</v>
      </c>
      <c r="BY284" s="16">
        <f t="shared" si="141"/>
        <v>24.200000000000074</v>
      </c>
      <c r="BZ284" s="16">
        <f t="shared" si="107"/>
        <v>8.6801123507516901E-3</v>
      </c>
      <c r="CA284" s="16">
        <f t="shared" si="118"/>
        <v>-999</v>
      </c>
      <c r="CB284" s="16" t="str">
        <f t="shared" si="108"/>
        <v/>
      </c>
      <c r="CC284" s="16" t="e">
        <f>IF(CB284="",NA(),COUNTIF(CB284:$CB$704,CB284))</f>
        <v>#N/A</v>
      </c>
      <c r="CD284" s="16" t="e">
        <f t="shared" si="109"/>
        <v>#N/A</v>
      </c>
      <c r="CE284" s="16" t="e">
        <f t="shared" si="110"/>
        <v>#N/A</v>
      </c>
      <c r="CF284" s="16">
        <f t="shared" si="111"/>
        <v>99</v>
      </c>
      <c r="CG284" s="16">
        <f t="shared" si="112"/>
        <v>0</v>
      </c>
      <c r="CH284" s="16">
        <f t="shared" si="140"/>
        <v>0</v>
      </c>
      <c r="CJ284" s="16" t="e">
        <f t="shared" si="113"/>
        <v>#N/A</v>
      </c>
      <c r="CK284" s="16" t="str">
        <f t="shared" si="114"/>
        <v/>
      </c>
    </row>
    <row r="285" spans="1:89" ht="12" customHeight="1">
      <c r="A285" s="211"/>
      <c r="B285" s="211"/>
      <c r="C285" s="211"/>
      <c r="D285" s="211"/>
      <c r="E285" s="211"/>
      <c r="F285" s="211"/>
      <c r="G285" s="211"/>
      <c r="H285" s="211"/>
      <c r="I285" s="211"/>
      <c r="J285" s="211"/>
      <c r="K285" s="211"/>
      <c r="L285" s="211"/>
      <c r="M285" s="211"/>
      <c r="N285" s="211"/>
      <c r="O285" s="211"/>
      <c r="AM285" s="34">
        <f t="shared" si="134"/>
        <v>0.27086690254509449</v>
      </c>
      <c r="AN285" s="34">
        <f t="shared" si="119"/>
        <v>0.54672067798674107</v>
      </c>
      <c r="AO285" s="16">
        <f t="shared" si="120"/>
        <v>37.700000000000266</v>
      </c>
      <c r="AP285" s="16" t="e">
        <f t="shared" si="121"/>
        <v>#N/A</v>
      </c>
      <c r="AQ285" s="16">
        <f t="shared" si="122"/>
        <v>9.0264099729510106E-3</v>
      </c>
      <c r="AR285" s="34">
        <f t="shared" si="135"/>
        <v>0.63144629634916782</v>
      </c>
      <c r="AS285" s="34">
        <f t="shared" si="123"/>
        <v>0.17229353077709675</v>
      </c>
      <c r="AT285" s="540">
        <f t="shared" si="124"/>
        <v>56.700000000000536</v>
      </c>
      <c r="AU285" s="16" t="e">
        <f t="shared" si="125"/>
        <v>#N/A</v>
      </c>
      <c r="AV285" s="16">
        <f t="shared" si="126"/>
        <v>3.2492242963162031E-3</v>
      </c>
      <c r="AW285" s="34">
        <f t="shared" si="136"/>
        <v>0.5181723702698946</v>
      </c>
      <c r="AX285" s="34">
        <f t="shared" si="127"/>
        <v>0.43893975950777531</v>
      </c>
      <c r="AY285" s="16">
        <f t="shared" si="128"/>
        <v>50.900000000000453</v>
      </c>
      <c r="AZ285" s="16" t="e">
        <f t="shared" si="129"/>
        <v>#N/A</v>
      </c>
      <c r="BA285" s="16">
        <f t="shared" si="137"/>
        <v>8.746720891050901E-3</v>
      </c>
      <c r="BB285" s="34">
        <f t="shared" si="138"/>
        <v>0.69128508307039738</v>
      </c>
      <c r="BC285" s="34">
        <f t="shared" si="130"/>
        <v>0.8174100536853075</v>
      </c>
      <c r="BD285" s="16">
        <f t="shared" si="131"/>
        <v>59.900000000000581</v>
      </c>
      <c r="BE285" s="16" t="e">
        <f t="shared" si="132"/>
        <v>#N/A</v>
      </c>
      <c r="BF285" s="16">
        <f t="shared" si="133"/>
        <v>1.4424924290474189E-2</v>
      </c>
      <c r="BU285" s="16">
        <f t="shared" si="115"/>
        <v>0</v>
      </c>
      <c r="BV285" s="16">
        <f>IF($BY$12=1,NORMDIST(BY285,$Y$6,$Y$8,TRUE),IF($BY$12=2,IF(BY285&lt;=$BX$31,0,IF(BY285&gt;=$BX$32,1,(BY285-$BX$31)*$BX$33)),SUM($BU$42:BU285)/$BV$40))</f>
        <v>9.939614201510627E-2</v>
      </c>
      <c r="BW285" s="16">
        <f t="shared" si="116"/>
        <v>0.21228895089217642</v>
      </c>
      <c r="BX285" s="16">
        <f>IF($BY$12&lt;3,BV285,SUM($BZ$42:BZ285)/$BX$40)</f>
        <v>9.939614201510627E-2</v>
      </c>
      <c r="BY285" s="16">
        <f t="shared" si="141"/>
        <v>24.300000000000075</v>
      </c>
      <c r="BZ285" s="16">
        <f t="shared" si="107"/>
        <v>8.736170818608056E-3</v>
      </c>
      <c r="CA285" s="16">
        <f t="shared" si="118"/>
        <v>-999</v>
      </c>
      <c r="CB285" s="16" t="str">
        <f t="shared" si="108"/>
        <v/>
      </c>
      <c r="CC285" s="16" t="e">
        <f>IF(CB285="",NA(),COUNTIF(CB285:$CB$704,CB285))</f>
        <v>#N/A</v>
      </c>
      <c r="CD285" s="16" t="e">
        <f t="shared" si="109"/>
        <v>#N/A</v>
      </c>
      <c r="CE285" s="16" t="e">
        <f t="shared" si="110"/>
        <v>#N/A</v>
      </c>
      <c r="CF285" s="16">
        <f t="shared" si="111"/>
        <v>99</v>
      </c>
      <c r="CG285" s="16">
        <f t="shared" si="112"/>
        <v>0</v>
      </c>
      <c r="CH285" s="16">
        <f t="shared" si="140"/>
        <v>0</v>
      </c>
      <c r="CJ285" s="16" t="e">
        <f t="shared" si="113"/>
        <v>#N/A</v>
      </c>
      <c r="CK285" s="16" t="str">
        <f t="shared" si="114"/>
        <v/>
      </c>
    </row>
    <row r="286" spans="1:89" ht="12" customHeight="1">
      <c r="A286" s="211"/>
      <c r="B286" s="211"/>
      <c r="C286" s="211"/>
      <c r="D286" s="211"/>
      <c r="E286" s="211"/>
      <c r="F286" s="211"/>
      <c r="G286" s="211"/>
      <c r="H286" s="211"/>
      <c r="I286" s="211"/>
      <c r="J286" s="211"/>
      <c r="K286" s="211"/>
      <c r="L286" s="211"/>
      <c r="M286" s="211"/>
      <c r="N286" s="211"/>
      <c r="O286" s="211"/>
      <c r="AM286" s="34">
        <f t="shared" si="134"/>
        <v>0.8872362244874239</v>
      </c>
      <c r="AN286" s="34">
        <f t="shared" si="119"/>
        <v>0.77894515730440617</v>
      </c>
      <c r="AO286" s="16">
        <f t="shared" si="120"/>
        <v>74.20000000000006</v>
      </c>
      <c r="AP286" s="16" t="e">
        <f t="shared" si="121"/>
        <v>#N/A</v>
      </c>
      <c r="AQ286" s="16">
        <f t="shared" si="122"/>
        <v>7.4724269196915901E-3</v>
      </c>
      <c r="AR286" s="34">
        <f t="shared" si="135"/>
        <v>0.54758686758577824</v>
      </c>
      <c r="AS286" s="34">
        <f t="shared" si="123"/>
        <v>0.79448706097900867</v>
      </c>
      <c r="AT286" s="540">
        <f t="shared" si="124"/>
        <v>52.300000000000473</v>
      </c>
      <c r="AU286" s="16" t="e">
        <f t="shared" si="125"/>
        <v>#N/A</v>
      </c>
      <c r="AV286" s="16">
        <f t="shared" si="126"/>
        <v>1.5743276627599754E-2</v>
      </c>
      <c r="AW286" s="34">
        <f t="shared" si="136"/>
        <v>0.30129462666809559</v>
      </c>
      <c r="AX286" s="34">
        <f t="shared" si="127"/>
        <v>0.18351110257208347</v>
      </c>
      <c r="AY286" s="16">
        <f t="shared" si="128"/>
        <v>39.500000000000291</v>
      </c>
      <c r="AZ286" s="16" t="e">
        <f t="shared" si="129"/>
        <v>#N/A</v>
      </c>
      <c r="BA286" s="16">
        <f t="shared" si="137"/>
        <v>3.1892694032946583E-3</v>
      </c>
      <c r="BB286" s="34">
        <f t="shared" si="138"/>
        <v>0.16318377293646336</v>
      </c>
      <c r="BC286" s="34">
        <f t="shared" si="130"/>
        <v>0.85075368173420429</v>
      </c>
      <c r="BD286" s="16">
        <f t="shared" si="131"/>
        <v>30.300000000000161</v>
      </c>
      <c r="BE286" s="16" t="e">
        <f t="shared" si="132"/>
        <v>#N/A</v>
      </c>
      <c r="BF286" s="16">
        <f t="shared" si="133"/>
        <v>1.0447255728882027E-2</v>
      </c>
      <c r="BU286" s="16">
        <f t="shared" si="115"/>
        <v>0</v>
      </c>
      <c r="BV286" s="16">
        <f>IF($BY$12=1,NORMDIST(BY286,$Y$6,$Y$8,TRUE),IF($BY$12=2,IF(BY286&lt;=$BX$31,0,IF(BY286&gt;=$BX$32,1,(BY286-$BX$31)*$BX$33)),SUM($BU$42:BU286)/$BV$40))</f>
        <v>0.10027256795444273</v>
      </c>
      <c r="BW286" s="16">
        <f t="shared" si="116"/>
        <v>0.2145338649631498</v>
      </c>
      <c r="BX286" s="16">
        <f>IF($BY$12&lt;3,BV286,SUM($BZ$42:BZ286)/$BX$40)</f>
        <v>0.10027256795444273</v>
      </c>
      <c r="BY286" s="16">
        <f t="shared" si="141"/>
        <v>24.400000000000077</v>
      </c>
      <c r="BZ286" s="16">
        <f t="shared" si="107"/>
        <v>8.7923715148831606E-3</v>
      </c>
      <c r="CA286" s="16">
        <f t="shared" si="118"/>
        <v>-999</v>
      </c>
      <c r="CB286" s="16" t="str">
        <f t="shared" si="108"/>
        <v/>
      </c>
      <c r="CC286" s="16" t="e">
        <f>IF(CB286="",NA(),COUNTIF(CB286:$CB$704,CB286))</f>
        <v>#N/A</v>
      </c>
      <c r="CD286" s="16" t="e">
        <f t="shared" si="109"/>
        <v>#N/A</v>
      </c>
      <c r="CE286" s="16" t="e">
        <f t="shared" si="110"/>
        <v>#N/A</v>
      </c>
      <c r="CF286" s="16">
        <f t="shared" si="111"/>
        <v>99</v>
      </c>
      <c r="CG286" s="16">
        <f t="shared" si="112"/>
        <v>0</v>
      </c>
      <c r="CH286" s="16">
        <f t="shared" si="140"/>
        <v>0</v>
      </c>
      <c r="CJ286" s="16" t="e">
        <f t="shared" si="113"/>
        <v>#N/A</v>
      </c>
      <c r="CK286" s="16" t="str">
        <f t="shared" si="114"/>
        <v/>
      </c>
    </row>
    <row r="287" spans="1:89" ht="12" customHeight="1">
      <c r="A287" s="211"/>
      <c r="B287" s="211"/>
      <c r="C287" s="211"/>
      <c r="D287" s="211"/>
      <c r="E287" s="211"/>
      <c r="F287" s="211"/>
      <c r="G287" s="211"/>
      <c r="H287" s="211"/>
      <c r="I287" s="211"/>
      <c r="J287" s="211"/>
      <c r="K287" s="211"/>
      <c r="L287" s="211"/>
      <c r="M287" s="211"/>
      <c r="N287" s="211"/>
      <c r="O287" s="211"/>
      <c r="AM287" s="34">
        <f t="shared" si="134"/>
        <v>0.69933110661804676</v>
      </c>
      <c r="AN287" s="34">
        <f t="shared" si="119"/>
        <v>0.15748485364019871</v>
      </c>
      <c r="AO287" s="16">
        <f t="shared" si="120"/>
        <v>60.400000000000588</v>
      </c>
      <c r="AP287" s="16" t="e">
        <f t="shared" si="121"/>
        <v>#N/A</v>
      </c>
      <c r="AQ287" s="16">
        <f t="shared" si="122"/>
        <v>2.7441146183275669E-3</v>
      </c>
      <c r="AR287" s="34">
        <f t="shared" si="135"/>
        <v>0.93812187947332859</v>
      </c>
      <c r="AS287" s="34">
        <f t="shared" si="123"/>
        <v>0.99031771905720234</v>
      </c>
      <c r="AT287" s="540">
        <f t="shared" si="124"/>
        <v>80.69999999999969</v>
      </c>
      <c r="AU287" s="16" t="e">
        <f t="shared" si="125"/>
        <v>#N/A</v>
      </c>
      <c r="AV287" s="16" t="e">
        <f t="shared" si="126"/>
        <v>#N/A</v>
      </c>
      <c r="AW287" s="34">
        <f t="shared" si="136"/>
        <v>0.41136516816914082</v>
      </c>
      <c r="AX287" s="34">
        <f t="shared" si="127"/>
        <v>2.9438594356179237E-2</v>
      </c>
      <c r="AY287" s="16">
        <f t="shared" si="128"/>
        <v>45.500000000000377</v>
      </c>
      <c r="AZ287" s="16" t="e">
        <f t="shared" si="129"/>
        <v>#N/A</v>
      </c>
      <c r="BA287" s="16">
        <f t="shared" si="137"/>
        <v>5.7253766227086448E-4</v>
      </c>
      <c r="BB287" s="34">
        <f t="shared" si="138"/>
        <v>0.87713990546762943</v>
      </c>
      <c r="BC287" s="34">
        <f t="shared" si="130"/>
        <v>0.45749506540596485</v>
      </c>
      <c r="BD287" s="16">
        <f t="shared" si="131"/>
        <v>73.200000000000117</v>
      </c>
      <c r="BE287" s="16" t="e">
        <f t="shared" si="132"/>
        <v>#N/A</v>
      </c>
      <c r="BF287" s="16">
        <f t="shared" si="133"/>
        <v>4.656645280043171E-3</v>
      </c>
      <c r="BU287" s="16">
        <f t="shared" si="115"/>
        <v>0</v>
      </c>
      <c r="BV287" s="16">
        <f>IF($BY$12=1,NORMDIST(BY287,$Y$6,$Y$8,TRUE),IF($BY$12=2,IF(BY287&lt;=$BX$31,0,IF(BY287&gt;=$BX$32,1,(BY287-$BX$31)*$BX$33)),SUM($BU$42:BU287)/$BV$40))</f>
        <v>0.1011546209955867</v>
      </c>
      <c r="BW287" s="16">
        <f t="shared" si="116"/>
        <v>0.21679345711997186</v>
      </c>
      <c r="BX287" s="16">
        <f>IF($BY$12&lt;3,BV287,SUM($BZ$42:BZ287)/$BX$40)</f>
        <v>0.1011546209955867</v>
      </c>
      <c r="BY287" s="16">
        <f t="shared" si="141"/>
        <v>24.500000000000078</v>
      </c>
      <c r="BZ287" s="16">
        <f t="shared" si="107"/>
        <v>8.8487125355090276E-3</v>
      </c>
      <c r="CA287" s="16">
        <f t="shared" si="118"/>
        <v>-999</v>
      </c>
      <c r="CB287" s="16" t="str">
        <f t="shared" si="108"/>
        <v/>
      </c>
      <c r="CC287" s="16" t="e">
        <f>IF(CB287="",NA(),COUNTIF(CB287:$CB$704,CB287))</f>
        <v>#N/A</v>
      </c>
      <c r="CD287" s="16" t="e">
        <f t="shared" si="109"/>
        <v>#N/A</v>
      </c>
      <c r="CE287" s="16" t="e">
        <f t="shared" si="110"/>
        <v>#N/A</v>
      </c>
      <c r="CF287" s="16">
        <f t="shared" si="111"/>
        <v>99</v>
      </c>
      <c r="CG287" s="16">
        <f t="shared" si="112"/>
        <v>0</v>
      </c>
      <c r="CH287" s="16">
        <f t="shared" si="140"/>
        <v>0</v>
      </c>
      <c r="CJ287" s="16" t="e">
        <f t="shared" si="113"/>
        <v>#N/A</v>
      </c>
      <c r="CK287" s="16" t="str">
        <f t="shared" si="114"/>
        <v/>
      </c>
    </row>
    <row r="288" spans="1:89" ht="12" customHeight="1">
      <c r="A288" s="211"/>
      <c r="B288" s="211"/>
      <c r="C288" s="211"/>
      <c r="D288" s="211"/>
      <c r="E288" s="211"/>
      <c r="F288" s="211"/>
      <c r="G288" s="211"/>
      <c r="H288" s="211"/>
      <c r="I288" s="211"/>
      <c r="J288" s="211"/>
      <c r="K288" s="211"/>
      <c r="L288" s="211"/>
      <c r="M288" s="211"/>
      <c r="N288" s="211"/>
      <c r="O288" s="211"/>
      <c r="AM288" s="34">
        <f t="shared" si="134"/>
        <v>0.58370508439838886</v>
      </c>
      <c r="AN288" s="34">
        <f t="shared" si="119"/>
        <v>0.43214998580515385</v>
      </c>
      <c r="AO288" s="16">
        <f t="shared" si="120"/>
        <v>54.2000000000005</v>
      </c>
      <c r="AP288" s="16" t="e">
        <f t="shared" si="121"/>
        <v>#N/A</v>
      </c>
      <c r="AQ288" s="16">
        <f t="shared" si="122"/>
        <v>8.4321510926241641E-3</v>
      </c>
      <c r="AR288" s="34">
        <f t="shared" si="135"/>
        <v>6.4702371135354042E-2</v>
      </c>
      <c r="AS288" s="34">
        <f t="shared" si="123"/>
        <v>0.55248436518013477</v>
      </c>
      <c r="AT288" s="540">
        <f t="shared" si="124"/>
        <v>19.600000000000009</v>
      </c>
      <c r="AU288" s="16" t="e">
        <f t="shared" si="125"/>
        <v>#N/A</v>
      </c>
      <c r="AV288" s="16">
        <f t="shared" si="126"/>
        <v>3.4713873541005803E-3</v>
      </c>
      <c r="AW288" s="34">
        <f t="shared" si="136"/>
        <v>0.32626351900398731</v>
      </c>
      <c r="AX288" s="34">
        <f t="shared" si="127"/>
        <v>0.43146562017500401</v>
      </c>
      <c r="AY288" s="16">
        <f t="shared" si="128"/>
        <v>40.900000000000311</v>
      </c>
      <c r="AZ288" s="16" t="e">
        <f t="shared" si="129"/>
        <v>#N/A</v>
      </c>
      <c r="BA288" s="16">
        <f t="shared" si="137"/>
        <v>7.7601722060156248E-3</v>
      </c>
      <c r="BB288" s="34">
        <f t="shared" si="138"/>
        <v>0.60149549879133701</v>
      </c>
      <c r="BC288" s="34">
        <f t="shared" si="130"/>
        <v>0.80735485441982746</v>
      </c>
      <c r="BD288" s="16">
        <f t="shared" si="131"/>
        <v>55.100000000000513</v>
      </c>
      <c r="BE288" s="16" t="e">
        <f t="shared" si="132"/>
        <v>#N/A</v>
      </c>
      <c r="BF288" s="16">
        <f t="shared" si="133"/>
        <v>1.5589225231540936E-2</v>
      </c>
      <c r="BU288" s="16">
        <f t="shared" si="115"/>
        <v>0</v>
      </c>
      <c r="BV288" s="16">
        <f>IF($BY$12=1,NORMDIST(BY288,$Y$6,$Y$8,TRUE),IF($BY$12=2,IF(BY288&lt;=$BX$31,0,IF(BY288&gt;=$BX$32,1,(BY288-$BX$31)*$BX$33)),SUM($BU$42:BU288)/$BV$40))</f>
        <v>0.10204231507481987</v>
      </c>
      <c r="BW288" s="16">
        <f t="shared" si="116"/>
        <v>0.21906772205941491</v>
      </c>
      <c r="BX288" s="16">
        <f>IF($BY$12&lt;3,BV288,SUM($BZ$42:BZ288)/$BX$40)</f>
        <v>0.10204231507481987</v>
      </c>
      <c r="BY288" s="16">
        <f t="shared" si="141"/>
        <v>24.60000000000008</v>
      </c>
      <c r="BZ288" s="16">
        <f t="shared" si="107"/>
        <v>8.9051919536347231E-3</v>
      </c>
      <c r="CA288" s="16">
        <f t="shared" si="118"/>
        <v>-999</v>
      </c>
      <c r="CB288" s="16" t="str">
        <f t="shared" si="108"/>
        <v/>
      </c>
      <c r="CC288" s="16" t="e">
        <f>IF(CB288="",NA(),COUNTIF(CB288:$CB$704,CB288))</f>
        <v>#N/A</v>
      </c>
      <c r="CD288" s="16" t="e">
        <f t="shared" si="109"/>
        <v>#N/A</v>
      </c>
      <c r="CE288" s="16" t="e">
        <f t="shared" si="110"/>
        <v>#N/A</v>
      </c>
      <c r="CF288" s="16">
        <f t="shared" si="111"/>
        <v>99</v>
      </c>
      <c r="CG288" s="16">
        <f t="shared" si="112"/>
        <v>0</v>
      </c>
      <c r="CH288" s="16">
        <f t="shared" si="140"/>
        <v>0</v>
      </c>
      <c r="CJ288" s="16" t="e">
        <f t="shared" si="113"/>
        <v>#N/A</v>
      </c>
      <c r="CK288" s="16" t="str">
        <f t="shared" si="114"/>
        <v/>
      </c>
    </row>
    <row r="289" spans="1:89" ht="12" customHeight="1">
      <c r="A289" s="211"/>
      <c r="B289" s="211"/>
      <c r="C289" s="211"/>
      <c r="D289" s="211"/>
      <c r="E289" s="211"/>
      <c r="F289" s="211"/>
      <c r="G289" s="211"/>
      <c r="H289" s="211"/>
      <c r="I289" s="211"/>
      <c r="J289" s="211"/>
      <c r="K289" s="211"/>
      <c r="L289" s="211"/>
      <c r="M289" s="211"/>
      <c r="N289" s="211"/>
      <c r="O289" s="211"/>
      <c r="AM289" s="34">
        <f t="shared" si="134"/>
        <v>0.47600135393440723</v>
      </c>
      <c r="AN289" s="34">
        <f t="shared" si="119"/>
        <v>0.72736167348921299</v>
      </c>
      <c r="AO289" s="16">
        <f t="shared" si="120"/>
        <v>48.700000000000422</v>
      </c>
      <c r="AP289" s="16" t="e">
        <f t="shared" si="121"/>
        <v>#N/A</v>
      </c>
      <c r="AQ289" s="16">
        <f t="shared" si="122"/>
        <v>1.4478148817281829E-2</v>
      </c>
      <c r="AR289" s="34">
        <f t="shared" si="135"/>
        <v>0.834098095074296</v>
      </c>
      <c r="AS289" s="34">
        <f t="shared" si="123"/>
        <v>0.79401819594204426</v>
      </c>
      <c r="AT289" s="540">
        <f t="shared" si="124"/>
        <v>69.400000000000333</v>
      </c>
      <c r="AU289" s="16" t="e">
        <f t="shared" si="125"/>
        <v>#N/A</v>
      </c>
      <c r="AV289" s="16">
        <f t="shared" si="126"/>
        <v>9.8945645501735766E-3</v>
      </c>
      <c r="AW289" s="34">
        <f t="shared" si="136"/>
        <v>0.81080310232937336</v>
      </c>
      <c r="AX289" s="34">
        <f t="shared" si="127"/>
        <v>0.56373406387865543</v>
      </c>
      <c r="AY289" s="16">
        <f t="shared" si="128"/>
        <v>67.600000000000435</v>
      </c>
      <c r="AZ289" s="16" t="e">
        <f t="shared" si="129"/>
        <v>#N/A</v>
      </c>
      <c r="BA289" s="16">
        <f t="shared" si="137"/>
        <v>7.6347623790093844E-3</v>
      </c>
      <c r="BB289" s="34">
        <f t="shared" si="138"/>
        <v>3.9811382070183754E-2</v>
      </c>
      <c r="BC289" s="34">
        <f t="shared" si="130"/>
        <v>0.33824980445206165</v>
      </c>
      <c r="BD289" s="16">
        <f t="shared" si="131"/>
        <v>14.899999999999963</v>
      </c>
      <c r="BE289" s="16" t="e">
        <f t="shared" si="132"/>
        <v>#N/A</v>
      </c>
      <c r="BF289" s="16">
        <f t="shared" si="133"/>
        <v>1.4464342388913257E-3</v>
      </c>
      <c r="BU289" s="16">
        <f t="shared" si="115"/>
        <v>0</v>
      </c>
      <c r="BV289" s="16">
        <f>IF($BY$12=1,NORMDIST(BY289,$Y$6,$Y$8,TRUE),IF($BY$12=2,IF(BY289&lt;=$BX$31,0,IF(BY289&gt;=$BX$32,1,(BY289-$BX$31)*$BX$33)),SUM($BU$42:BU289)/$BV$40))</f>
        <v>0.10293566393460263</v>
      </c>
      <c r="BW289" s="16">
        <f t="shared" si="116"/>
        <v>0.22135665314594011</v>
      </c>
      <c r="BX289" s="16">
        <f>IF($BY$12&lt;3,BV289,SUM($BZ$42:BZ289)/$BX$40)</f>
        <v>0.10293566393460263</v>
      </c>
      <c r="BY289" s="16">
        <f t="shared" si="141"/>
        <v>24.700000000000081</v>
      </c>
      <c r="BZ289" s="16">
        <f t="shared" si="107"/>
        <v>8.9618078196736593E-3</v>
      </c>
      <c r="CA289" s="16">
        <f t="shared" si="118"/>
        <v>-999</v>
      </c>
      <c r="CB289" s="16" t="str">
        <f t="shared" si="108"/>
        <v/>
      </c>
      <c r="CC289" s="16" t="e">
        <f>IF(CB289="",NA(),COUNTIF(CB289:$CB$704,CB289))</f>
        <v>#N/A</v>
      </c>
      <c r="CD289" s="16" t="e">
        <f t="shared" si="109"/>
        <v>#N/A</v>
      </c>
      <c r="CE289" s="16" t="e">
        <f t="shared" si="110"/>
        <v>#N/A</v>
      </c>
      <c r="CF289" s="16">
        <f t="shared" si="111"/>
        <v>99</v>
      </c>
      <c r="CG289" s="16">
        <f t="shared" si="112"/>
        <v>0</v>
      </c>
      <c r="CH289" s="16">
        <f t="shared" si="140"/>
        <v>0</v>
      </c>
      <c r="CJ289" s="16" t="e">
        <f t="shared" si="113"/>
        <v>#N/A</v>
      </c>
      <c r="CK289" s="16" t="str">
        <f t="shared" si="114"/>
        <v/>
      </c>
    </row>
    <row r="290" spans="1:89" ht="12" customHeight="1">
      <c r="A290" s="211"/>
      <c r="B290" s="211"/>
      <c r="C290" s="211"/>
      <c r="D290" s="211"/>
      <c r="E290" s="211"/>
      <c r="F290" s="211"/>
      <c r="G290" s="211"/>
      <c r="H290" s="211"/>
      <c r="I290" s="211"/>
      <c r="J290" s="211"/>
      <c r="K290" s="211"/>
      <c r="L290" s="211"/>
      <c r="M290" s="211"/>
      <c r="N290" s="211"/>
      <c r="O290" s="211"/>
      <c r="AM290" s="34">
        <f t="shared" si="134"/>
        <v>0.19059388525784016</v>
      </c>
      <c r="AN290" s="34">
        <f t="shared" si="119"/>
        <v>0.33029890991747379</v>
      </c>
      <c r="AO290" s="16">
        <f t="shared" si="120"/>
        <v>32.40000000000019</v>
      </c>
      <c r="AP290" s="16" t="e">
        <f t="shared" si="121"/>
        <v>#N/A</v>
      </c>
      <c r="AQ290" s="16">
        <f t="shared" si="122"/>
        <v>4.4733037310454582E-3</v>
      </c>
      <c r="AR290" s="34">
        <f t="shared" si="135"/>
        <v>0.28165698982775211</v>
      </c>
      <c r="AS290" s="34">
        <f t="shared" si="123"/>
        <v>0.55981838889420033</v>
      </c>
      <c r="AT290" s="540">
        <f t="shared" si="124"/>
        <v>38.400000000000276</v>
      </c>
      <c r="AU290" s="16" t="e">
        <f t="shared" si="125"/>
        <v>#N/A</v>
      </c>
      <c r="AV290" s="16">
        <f t="shared" si="126"/>
        <v>9.4379766459041763E-3</v>
      </c>
      <c r="AW290" s="34">
        <f t="shared" si="136"/>
        <v>0.96732938475906849</v>
      </c>
      <c r="AX290" s="34">
        <f t="shared" si="127"/>
        <v>0.42287268675863743</v>
      </c>
      <c r="AY290" s="16">
        <f t="shared" si="128"/>
        <v>86.799999999999343</v>
      </c>
      <c r="AZ290" s="16" t="e">
        <f t="shared" si="129"/>
        <v>#N/A</v>
      </c>
      <c r="BA290" s="16">
        <f t="shared" si="137"/>
        <v>1.5520868031397438E-3</v>
      </c>
      <c r="BB290" s="34">
        <f t="shared" si="138"/>
        <v>0.44176807440817356</v>
      </c>
      <c r="BC290" s="34">
        <f t="shared" si="130"/>
        <v>0.48706670291721821</v>
      </c>
      <c r="BD290" s="16">
        <f t="shared" si="131"/>
        <v>47.000000000000398</v>
      </c>
      <c r="BE290" s="16" t="e">
        <f t="shared" si="132"/>
        <v>#N/A</v>
      </c>
      <c r="BF290" s="16">
        <f t="shared" si="133"/>
        <v>9.6068873537148158E-3</v>
      </c>
      <c r="BU290" s="16">
        <f t="shared" si="115"/>
        <v>0</v>
      </c>
      <c r="BV290" s="16">
        <f>IF($BY$12=1,NORMDIST(BY290,$Y$6,$Y$8,TRUE),IF($BY$12=2,IF(BY290&lt;=$BX$31,0,IF(BY290&gt;=$BX$32,1,(BY290-$BX$31)*$BX$33)),SUM($BU$42:BU290)/$BV$40))</f>
        <v>0.10383468112130134</v>
      </c>
      <c r="BW290" s="16">
        <f t="shared" si="116"/>
        <v>0.22366024240158147</v>
      </c>
      <c r="BX290" s="16">
        <f>IF($BY$12&lt;3,BV290,SUM($BZ$42:BZ290)/$BX$40)</f>
        <v>0.10383468112130134</v>
      </c>
      <c r="BY290" s="16">
        <f t="shared" si="141"/>
        <v>24.800000000000082</v>
      </c>
      <c r="BZ290" s="16">
        <f t="shared" si="107"/>
        <v>9.0185581613540615E-3</v>
      </c>
      <c r="CA290" s="16">
        <f t="shared" si="118"/>
        <v>-999</v>
      </c>
      <c r="CB290" s="16" t="str">
        <f t="shared" si="108"/>
        <v/>
      </c>
      <c r="CC290" s="16" t="e">
        <f>IF(CB290="",NA(),COUNTIF(CB290:$CB$704,CB290))</f>
        <v>#N/A</v>
      </c>
      <c r="CD290" s="16" t="e">
        <f t="shared" si="109"/>
        <v>#N/A</v>
      </c>
      <c r="CE290" s="16" t="e">
        <f t="shared" si="110"/>
        <v>#N/A</v>
      </c>
      <c r="CF290" s="16">
        <f t="shared" si="111"/>
        <v>99</v>
      </c>
      <c r="CG290" s="16">
        <f t="shared" si="112"/>
        <v>0</v>
      </c>
      <c r="CH290" s="16">
        <f t="shared" si="140"/>
        <v>0</v>
      </c>
      <c r="CJ290" s="16" t="e">
        <f t="shared" si="113"/>
        <v>#N/A</v>
      </c>
      <c r="CK290" s="16" t="str">
        <f t="shared" si="114"/>
        <v/>
      </c>
    </row>
    <row r="291" spans="1:89" ht="12" customHeight="1">
      <c r="A291" s="211"/>
      <c r="B291" s="211"/>
      <c r="C291" s="211"/>
      <c r="D291" s="211"/>
      <c r="E291" s="211"/>
      <c r="F291" s="211"/>
      <c r="G291" s="211"/>
      <c r="H291" s="211"/>
      <c r="I291" s="211"/>
      <c r="J291" s="211"/>
      <c r="K291" s="211"/>
      <c r="L291" s="211"/>
      <c r="M291" s="211"/>
      <c r="N291" s="211"/>
      <c r="O291" s="211"/>
      <c r="AM291" s="34">
        <f t="shared" si="134"/>
        <v>0.39306056685745716</v>
      </c>
      <c r="AN291" s="34">
        <f t="shared" si="119"/>
        <v>0.77836194075644016</v>
      </c>
      <c r="AO291" s="16">
        <f t="shared" si="120"/>
        <v>44.500000000000362</v>
      </c>
      <c r="AP291" s="16" t="e">
        <f t="shared" si="121"/>
        <v>#N/A</v>
      </c>
      <c r="AQ291" s="16">
        <f t="shared" si="122"/>
        <v>1.4949955581871181E-2</v>
      </c>
      <c r="AR291" s="34">
        <f t="shared" si="135"/>
        <v>0.1665810588747263</v>
      </c>
      <c r="AS291" s="34">
        <f t="shared" si="123"/>
        <v>0.75430102832615376</v>
      </c>
      <c r="AT291" s="540">
        <f t="shared" si="124"/>
        <v>30.600000000000165</v>
      </c>
      <c r="AU291" s="16" t="e">
        <f t="shared" si="125"/>
        <v>#N/A</v>
      </c>
      <c r="AV291" s="16">
        <f t="shared" si="126"/>
        <v>9.3996337277645701E-3</v>
      </c>
      <c r="AW291" s="34">
        <f t="shared" si="136"/>
        <v>0.36493130214512348</v>
      </c>
      <c r="AX291" s="34">
        <f t="shared" si="127"/>
        <v>0.76555816270411015</v>
      </c>
      <c r="AY291" s="16">
        <f t="shared" si="128"/>
        <v>43.000000000000341</v>
      </c>
      <c r="AZ291" s="16" t="e">
        <f t="shared" si="129"/>
        <v>#N/A</v>
      </c>
      <c r="BA291" s="16">
        <f t="shared" si="137"/>
        <v>1.4363415527909276E-2</v>
      </c>
      <c r="BB291" s="34">
        <f t="shared" si="138"/>
        <v>0.36103932000696659</v>
      </c>
      <c r="BC291" s="34">
        <f t="shared" si="130"/>
        <v>0.89358082599937916</v>
      </c>
      <c r="BD291" s="16">
        <f t="shared" si="131"/>
        <v>42.800000000000338</v>
      </c>
      <c r="BE291" s="16" t="e">
        <f t="shared" si="132"/>
        <v>#N/A</v>
      </c>
      <c r="BF291" s="16">
        <f t="shared" si="133"/>
        <v>1.6705967379962498E-2</v>
      </c>
      <c r="BU291" s="16">
        <f t="shared" si="115"/>
        <v>0</v>
      </c>
      <c r="BV291" s="16">
        <f>IF($BY$12=1,NORMDIST(BY291,$Y$6,$Y$8,TRUE),IF($BY$12=2,IF(BY291&lt;=$BX$31,0,IF(BY291&gt;=$BX$32,1,(BY291-$BX$31)*$BX$33)),SUM($BU$42:BU291)/$BV$40))</f>
        <v>0.10473937998292304</v>
      </c>
      <c r="BW291" s="16">
        <f t="shared" si="116"/>
        <v>0.22597848049593824</v>
      </c>
      <c r="BX291" s="16">
        <f>IF($BY$12&lt;3,BV291,SUM($BZ$42:BZ291)/$BX$40)</f>
        <v>0.10473937998292304</v>
      </c>
      <c r="BY291" s="16">
        <f t="shared" si="141"/>
        <v>24.900000000000084</v>
      </c>
      <c r="BZ291" s="16">
        <f t="shared" si="107"/>
        <v>9.07544098377259E-3</v>
      </c>
      <c r="CA291" s="16">
        <f t="shared" si="118"/>
        <v>-999</v>
      </c>
      <c r="CB291" s="16" t="str">
        <f t="shared" si="108"/>
        <v/>
      </c>
      <c r="CC291" s="16" t="e">
        <f>IF(CB291="",NA(),COUNTIF(CB291:$CB$704,CB291))</f>
        <v>#N/A</v>
      </c>
      <c r="CD291" s="16" t="e">
        <f t="shared" si="109"/>
        <v>#N/A</v>
      </c>
      <c r="CE291" s="16" t="e">
        <f t="shared" si="110"/>
        <v>#N/A</v>
      </c>
      <c r="CF291" s="16">
        <f t="shared" si="111"/>
        <v>99</v>
      </c>
      <c r="CG291" s="16">
        <f t="shared" si="112"/>
        <v>0</v>
      </c>
      <c r="CH291" s="16">
        <f t="shared" si="140"/>
        <v>0</v>
      </c>
      <c r="CJ291" s="16" t="e">
        <f t="shared" si="113"/>
        <v>#N/A</v>
      </c>
      <c r="CK291" s="16" t="str">
        <f t="shared" si="114"/>
        <v/>
      </c>
    </row>
    <row r="292" spans="1:89" ht="12" customHeight="1">
      <c r="A292" s="211"/>
      <c r="B292" s="211"/>
      <c r="C292" s="211"/>
      <c r="D292" s="211"/>
      <c r="E292" s="211"/>
      <c r="F292" s="211"/>
      <c r="G292" s="211"/>
      <c r="H292" s="211"/>
      <c r="I292" s="211"/>
      <c r="J292" s="211"/>
      <c r="K292" s="211"/>
      <c r="L292" s="211"/>
      <c r="M292" s="211"/>
      <c r="N292" s="211"/>
      <c r="O292" s="211"/>
      <c r="AM292" s="34">
        <f t="shared" si="134"/>
        <v>0.52626963146030903</v>
      </c>
      <c r="AN292" s="34">
        <f t="shared" si="119"/>
        <v>0.15610829927027225</v>
      </c>
      <c r="AO292" s="16">
        <f t="shared" si="120"/>
        <v>51.300000000000459</v>
      </c>
      <c r="AP292" s="16" t="e">
        <f t="shared" si="121"/>
        <v>#N/A</v>
      </c>
      <c r="AQ292" s="16">
        <f t="shared" si="122"/>
        <v>3.1073388533184548E-3</v>
      </c>
      <c r="AR292" s="34">
        <f t="shared" si="135"/>
        <v>8.91749057918787E-2</v>
      </c>
      <c r="AS292" s="34">
        <f t="shared" si="123"/>
        <v>0.21719256229698658</v>
      </c>
      <c r="AT292" s="540">
        <f t="shared" si="124"/>
        <v>23.000000000000057</v>
      </c>
      <c r="AU292" s="16" t="e">
        <f t="shared" si="125"/>
        <v>#N/A</v>
      </c>
      <c r="AV292" s="16">
        <f t="shared" si="126"/>
        <v>1.7417032907553998E-3</v>
      </c>
      <c r="AW292" s="34">
        <f t="shared" si="136"/>
        <v>0.57929721660912037</v>
      </c>
      <c r="AX292" s="34">
        <f t="shared" si="127"/>
        <v>0.69695501960813999</v>
      </c>
      <c r="AY292" s="16">
        <f t="shared" si="128"/>
        <v>54.000000000000497</v>
      </c>
      <c r="AZ292" s="16" t="e">
        <f t="shared" si="129"/>
        <v>#N/A</v>
      </c>
      <c r="BA292" s="16">
        <f t="shared" si="137"/>
        <v>1.3626958422364121E-2</v>
      </c>
      <c r="BB292" s="34">
        <f t="shared" si="138"/>
        <v>0.87654452957212925</v>
      </c>
      <c r="BC292" s="34">
        <f t="shared" si="130"/>
        <v>0.69080017693340778</v>
      </c>
      <c r="BD292" s="16">
        <f t="shared" si="131"/>
        <v>73.100000000000122</v>
      </c>
      <c r="BE292" s="16" t="e">
        <f t="shared" si="132"/>
        <v>#N/A</v>
      </c>
      <c r="BF292" s="16">
        <f t="shared" si="133"/>
        <v>7.0721695200410221E-3</v>
      </c>
      <c r="BU292" s="16">
        <f t="shared" si="115"/>
        <v>0</v>
      </c>
      <c r="BV292" s="16">
        <f>IF($BY$12=1,NORMDIST(BY292,$Y$6,$Y$8,TRUE),IF($BY$12=2,IF(BY292&lt;=$BX$31,0,IF(BY292&gt;=$BX$32,1,(BY292-$BX$31)*$BX$33)),SUM($BU$42:BU292)/$BV$40))</f>
        <v>0.10564977366685602</v>
      </c>
      <c r="BW292" s="16">
        <f t="shared" si="116"/>
        <v>0.22831135673627936</v>
      </c>
      <c r="BX292" s="16">
        <f>IF($BY$12&lt;3,BV292,SUM($BZ$42:BZ292)/$BX$40)</f>
        <v>0.10564977366685602</v>
      </c>
      <c r="BY292" s="16">
        <f t="shared" si="141"/>
        <v>25.000000000000085</v>
      </c>
      <c r="BZ292" s="16">
        <f t="shared" si="107"/>
        <v>9.1324542694511436E-3</v>
      </c>
      <c r="CA292" s="16">
        <f t="shared" si="118"/>
        <v>-999</v>
      </c>
      <c r="CB292" s="16" t="str">
        <f t="shared" si="108"/>
        <v/>
      </c>
      <c r="CC292" s="16" t="e">
        <f>IF(CB292="",NA(),COUNTIF(CB292:$CB$704,CB292))</f>
        <v>#N/A</v>
      </c>
      <c r="CD292" s="16" t="e">
        <f t="shared" si="109"/>
        <v>#N/A</v>
      </c>
      <c r="CE292" s="16" t="e">
        <f t="shared" si="110"/>
        <v>#N/A</v>
      </c>
      <c r="CF292" s="16">
        <f t="shared" si="111"/>
        <v>99</v>
      </c>
      <c r="CG292" s="16">
        <f t="shared" si="112"/>
        <v>0</v>
      </c>
      <c r="CH292" s="16">
        <f t="shared" si="140"/>
        <v>0</v>
      </c>
      <c r="CJ292" s="16" t="e">
        <f t="shared" si="113"/>
        <v>#N/A</v>
      </c>
      <c r="CK292" s="16" t="str">
        <f t="shared" si="114"/>
        <v/>
      </c>
    </row>
    <row r="293" spans="1:89" ht="12" customHeight="1">
      <c r="A293" s="211"/>
      <c r="B293" s="211"/>
      <c r="C293" s="211"/>
      <c r="D293" s="211"/>
      <c r="E293" s="211"/>
      <c r="F293" s="211"/>
      <c r="G293" s="211"/>
      <c r="H293" s="211"/>
      <c r="I293" s="211"/>
      <c r="J293" s="211"/>
      <c r="K293" s="211"/>
      <c r="L293" s="211"/>
      <c r="M293" s="211"/>
      <c r="N293" s="211"/>
      <c r="O293" s="211"/>
      <c r="AM293" s="34">
        <f t="shared" si="134"/>
        <v>2.2110613062977791E-2</v>
      </c>
      <c r="AN293" s="34">
        <f t="shared" si="119"/>
        <v>0.41806774772703648</v>
      </c>
      <c r="AO293" s="16">
        <f t="shared" si="120"/>
        <v>9.6999999999999815</v>
      </c>
      <c r="AP293" s="16" t="e">
        <f t="shared" si="121"/>
        <v>#N/A</v>
      </c>
      <c r="AQ293" s="16">
        <f t="shared" si="122"/>
        <v>1.0951158847987506E-3</v>
      </c>
      <c r="AR293" s="34">
        <f t="shared" si="135"/>
        <v>0.44647317565977573</v>
      </c>
      <c r="AS293" s="34">
        <f t="shared" si="123"/>
        <v>0.56074904091656208</v>
      </c>
      <c r="AT293" s="540">
        <f t="shared" si="124"/>
        <v>47.300000000000402</v>
      </c>
      <c r="AU293" s="16" t="e">
        <f t="shared" si="125"/>
        <v>#N/A</v>
      </c>
      <c r="AV293" s="16">
        <f t="shared" si="126"/>
        <v>1.108386177541386E-2</v>
      </c>
      <c r="AW293" s="34">
        <f t="shared" si="136"/>
        <v>0.25649665482342243</v>
      </c>
      <c r="AX293" s="34">
        <f t="shared" si="127"/>
        <v>0.88269073702394962</v>
      </c>
      <c r="AY293" s="16">
        <f t="shared" si="128"/>
        <v>36.900000000000254</v>
      </c>
      <c r="AZ293" s="16" t="e">
        <f t="shared" si="129"/>
        <v>#N/A</v>
      </c>
      <c r="BA293" s="16">
        <f t="shared" si="137"/>
        <v>1.4207806844273856E-2</v>
      </c>
      <c r="BB293" s="34">
        <f t="shared" si="138"/>
        <v>0.74973637796938419</v>
      </c>
      <c r="BC293" s="34">
        <f t="shared" si="130"/>
        <v>0.52626675553619862</v>
      </c>
      <c r="BD293" s="16">
        <f t="shared" si="131"/>
        <v>63.400000000000631</v>
      </c>
      <c r="BE293" s="16" t="e">
        <f t="shared" si="132"/>
        <v>#N/A</v>
      </c>
      <c r="BF293" s="16">
        <f t="shared" si="133"/>
        <v>8.3870379867169043E-3</v>
      </c>
      <c r="BU293" s="16">
        <f t="shared" si="115"/>
        <v>0</v>
      </c>
      <c r="BV293" s="16">
        <f>IF($BY$12=1,NORMDIST(BY293,$Y$6,$Y$8,TRUE),IF($BY$12=2,IF(BY293&lt;=$BX$31,0,IF(BY293&gt;=$BX$32,1,(BY293-$BX$31)*$BX$33)),SUM($BU$42:BU293)/$BV$40))</f>
        <v>0.10656587511761384</v>
      </c>
      <c r="BW293" s="16">
        <f t="shared" si="116"/>
        <v>0.23065885905776204</v>
      </c>
      <c r="BX293" s="16">
        <f>IF($BY$12&lt;3,BV293,SUM($BZ$42:BZ293)/$BX$40)</f>
        <v>0.10656587511761384</v>
      </c>
      <c r="BY293" s="16">
        <f t="shared" si="141"/>
        <v>25.100000000000087</v>
      </c>
      <c r="BZ293" s="16">
        <f t="shared" si="107"/>
        <v>9.1895959783968618E-3</v>
      </c>
      <c r="CA293" s="16">
        <f t="shared" si="118"/>
        <v>-999</v>
      </c>
      <c r="CB293" s="16" t="str">
        <f t="shared" si="108"/>
        <v/>
      </c>
      <c r="CC293" s="16" t="e">
        <f>IF(CB293="",NA(),COUNTIF(CB293:$CB$704,CB293))</f>
        <v>#N/A</v>
      </c>
      <c r="CD293" s="16" t="e">
        <f t="shared" si="109"/>
        <v>#N/A</v>
      </c>
      <c r="CE293" s="16" t="e">
        <f t="shared" si="110"/>
        <v>#N/A</v>
      </c>
      <c r="CF293" s="16">
        <f t="shared" si="111"/>
        <v>99</v>
      </c>
      <c r="CG293" s="16">
        <f t="shared" si="112"/>
        <v>0</v>
      </c>
      <c r="CH293" s="16">
        <f t="shared" si="140"/>
        <v>0</v>
      </c>
      <c r="CJ293" s="16" t="e">
        <f t="shared" si="113"/>
        <v>#N/A</v>
      </c>
      <c r="CK293" s="16" t="str">
        <f t="shared" si="114"/>
        <v/>
      </c>
    </row>
    <row r="294" spans="1:89" ht="12" customHeight="1">
      <c r="A294" s="211"/>
      <c r="B294" s="211"/>
      <c r="C294" s="211"/>
      <c r="D294" s="211"/>
      <c r="E294" s="211"/>
      <c r="F294" s="211"/>
      <c r="G294" s="211"/>
      <c r="H294" s="211"/>
      <c r="I294" s="211"/>
      <c r="J294" s="211"/>
      <c r="K294" s="211"/>
      <c r="L294" s="211"/>
      <c r="M294" s="211"/>
      <c r="N294" s="211"/>
      <c r="O294" s="211"/>
      <c r="AM294" s="34">
        <f t="shared" si="134"/>
        <v>0.91215108521282673</v>
      </c>
      <c r="AN294" s="34">
        <f t="shared" si="119"/>
        <v>0.71009237505495548</v>
      </c>
      <c r="AO294" s="16">
        <f t="shared" si="120"/>
        <v>76.999999999999901</v>
      </c>
      <c r="AP294" s="16" t="e">
        <f t="shared" si="121"/>
        <v>#N/A</v>
      </c>
      <c r="AQ294" s="16">
        <f t="shared" si="122"/>
        <v>5.6943488915720411E-3</v>
      </c>
      <c r="AR294" s="34">
        <f t="shared" si="135"/>
        <v>0.69890315271914005</v>
      </c>
      <c r="AS294" s="34">
        <f t="shared" si="123"/>
        <v>0.61293238587677479</v>
      </c>
      <c r="AT294" s="540">
        <f t="shared" si="124"/>
        <v>60.400000000000588</v>
      </c>
      <c r="AU294" s="16" t="e">
        <f t="shared" si="125"/>
        <v>#N/A</v>
      </c>
      <c r="AV294" s="16">
        <f t="shared" si="126"/>
        <v>1.0680117365277367E-2</v>
      </c>
      <c r="AW294" s="34">
        <f t="shared" si="136"/>
        <v>0.8452190775424242</v>
      </c>
      <c r="AX294" s="34">
        <f t="shared" si="127"/>
        <v>0.76327225007116795</v>
      </c>
      <c r="AY294" s="16">
        <f t="shared" si="128"/>
        <v>70.300000000000281</v>
      </c>
      <c r="AZ294" s="16" t="e">
        <f t="shared" si="129"/>
        <v>#N/A</v>
      </c>
      <c r="BA294" s="16">
        <f t="shared" si="137"/>
        <v>9.0959701627177855E-3</v>
      </c>
      <c r="BB294" s="34">
        <f t="shared" si="138"/>
        <v>0.39682980813086033</v>
      </c>
      <c r="BC294" s="34">
        <f t="shared" si="130"/>
        <v>0.24009610898792744</v>
      </c>
      <c r="BD294" s="16">
        <f t="shared" si="131"/>
        <v>44.700000000000365</v>
      </c>
      <c r="BE294" s="16" t="e">
        <f t="shared" si="132"/>
        <v>#N/A</v>
      </c>
      <c r="BF294" s="16">
        <f t="shared" si="133"/>
        <v>4.6239808528383483E-3</v>
      </c>
      <c r="BU294" s="16">
        <f t="shared" si="115"/>
        <v>0</v>
      </c>
      <c r="BV294" s="16">
        <f>IF($BY$12=1,NORMDIST(BY294,$Y$6,$Y$8,TRUE),IF($BY$12=2,IF(BY294&lt;=$BX$31,0,IF(BY294&gt;=$BX$32,1,(BY294-$BX$31)*$BX$33)),SUM($BU$42:BU294)/$BV$40))</f>
        <v>0.10748769707458772</v>
      </c>
      <c r="BW294" s="16">
        <f t="shared" si="116"/>
        <v>0.2330209740137667</v>
      </c>
      <c r="BX294" s="16">
        <f>IF($BY$12&lt;3,BV294,SUM($BZ$42:BZ294)/$BX$40)</f>
        <v>0.10748769707458772</v>
      </c>
      <c r="BY294" s="16">
        <f t="shared" si="141"/>
        <v>25.200000000000088</v>
      </c>
      <c r="BZ294" s="16">
        <f t="shared" si="107"/>
        <v>9.2468640481653125E-3</v>
      </c>
      <c r="CA294" s="16">
        <f t="shared" si="118"/>
        <v>-999</v>
      </c>
      <c r="CB294" s="16" t="str">
        <f t="shared" si="108"/>
        <v/>
      </c>
      <c r="CC294" s="16" t="e">
        <f>IF(CB294="",NA(),COUNTIF(CB294:$CB$704,CB294))</f>
        <v>#N/A</v>
      </c>
      <c r="CD294" s="16" t="e">
        <f t="shared" si="109"/>
        <v>#N/A</v>
      </c>
      <c r="CE294" s="16" t="e">
        <f t="shared" si="110"/>
        <v>#N/A</v>
      </c>
      <c r="CF294" s="16">
        <f t="shared" si="111"/>
        <v>99</v>
      </c>
      <c r="CG294" s="16">
        <f t="shared" si="112"/>
        <v>0</v>
      </c>
      <c r="CH294" s="16">
        <f t="shared" si="140"/>
        <v>0</v>
      </c>
      <c r="CJ294" s="16" t="e">
        <f t="shared" si="113"/>
        <v>#N/A</v>
      </c>
      <c r="CK294" s="16" t="str">
        <f t="shared" si="114"/>
        <v/>
      </c>
    </row>
    <row r="295" spans="1:89" ht="12" customHeight="1">
      <c r="A295" s="211"/>
      <c r="B295" s="211"/>
      <c r="C295" s="211"/>
      <c r="D295" s="211"/>
      <c r="E295" s="211"/>
      <c r="F295" s="211"/>
      <c r="G295" s="211"/>
      <c r="H295" s="211"/>
      <c r="I295" s="211"/>
      <c r="J295" s="211"/>
      <c r="K295" s="211"/>
      <c r="L295" s="211"/>
      <c r="M295" s="211"/>
      <c r="N295" s="211"/>
      <c r="O295" s="211"/>
      <c r="AM295" s="34">
        <f t="shared" si="134"/>
        <v>0.98175043053925037</v>
      </c>
      <c r="AN295" s="34">
        <f t="shared" si="119"/>
        <v>6.814810074865818E-2</v>
      </c>
      <c r="AO295" s="16">
        <f t="shared" si="120"/>
        <v>91.799999999999059</v>
      </c>
      <c r="AP295" s="16" t="e">
        <f t="shared" si="121"/>
        <v>#N/A</v>
      </c>
      <c r="AQ295" s="16">
        <f t="shared" si="122"/>
        <v>1.5304282149502306E-4</v>
      </c>
      <c r="AR295" s="34">
        <f t="shared" si="135"/>
        <v>0.82688876427710056</v>
      </c>
      <c r="AS295" s="34">
        <f t="shared" si="123"/>
        <v>0.39232494123280048</v>
      </c>
      <c r="AT295" s="540">
        <f t="shared" si="124"/>
        <v>68.800000000000367</v>
      </c>
      <c r="AU295" s="16" t="e">
        <f t="shared" si="125"/>
        <v>#N/A</v>
      </c>
      <c r="AV295" s="16">
        <f t="shared" si="126"/>
        <v>5.0310042756715016E-3</v>
      </c>
      <c r="AW295" s="34">
        <f t="shared" si="136"/>
        <v>0.42325093038380146</v>
      </c>
      <c r="AX295" s="34">
        <f t="shared" si="127"/>
        <v>0.80610010959208012</v>
      </c>
      <c r="AY295" s="16">
        <f t="shared" si="128"/>
        <v>46.100000000000385</v>
      </c>
      <c r="AZ295" s="16" t="e">
        <f t="shared" si="129"/>
        <v>#N/A</v>
      </c>
      <c r="BA295" s="16">
        <f t="shared" si="137"/>
        <v>1.5776549576377554E-2</v>
      </c>
      <c r="BB295" s="34">
        <f t="shared" si="138"/>
        <v>0.21112869121134281</v>
      </c>
      <c r="BC295" s="34">
        <f t="shared" si="130"/>
        <v>0.65678641386330128</v>
      </c>
      <c r="BD295" s="16">
        <f t="shared" si="131"/>
        <v>33.900000000000212</v>
      </c>
      <c r="BE295" s="16" t="e">
        <f t="shared" si="132"/>
        <v>#N/A</v>
      </c>
      <c r="BF295" s="16">
        <f t="shared" si="133"/>
        <v>9.4751782723706615E-3</v>
      </c>
      <c r="BU295" s="16">
        <f t="shared" si="115"/>
        <v>0</v>
      </c>
      <c r="BV295" s="16">
        <f>IF($BY$12=1,NORMDIST(BY295,$Y$6,$Y$8,TRUE),IF($BY$12=2,IF(BY295&lt;=$BX$31,0,IF(BY295&gt;=$BX$32,1,(BY295-$BX$31)*$BX$33)),SUM($BU$42:BU295)/$BV$40))</f>
        <v>0.10841525206980485</v>
      </c>
      <c r="BW295" s="16">
        <f t="shared" si="116"/>
        <v>0.23539768676635167</v>
      </c>
      <c r="BX295" s="16">
        <f>IF($BY$12&lt;3,BV295,SUM($BZ$42:BZ295)/$BX$40)</f>
        <v>0.10841525206980485</v>
      </c>
      <c r="BY295" s="16">
        <f t="shared" si="141"/>
        <v>25.30000000000009</v>
      </c>
      <c r="BZ295" s="16">
        <f t="shared" si="107"/>
        <v>9.3042563939269105E-3</v>
      </c>
      <c r="CA295" s="16">
        <f t="shared" si="118"/>
        <v>-999</v>
      </c>
      <c r="CB295" s="16" t="str">
        <f t="shared" si="108"/>
        <v/>
      </c>
      <c r="CC295" s="16" t="e">
        <f>IF(CB295="",NA(),COUNTIF(CB295:$CB$704,CB295))</f>
        <v>#N/A</v>
      </c>
      <c r="CD295" s="16" t="e">
        <f t="shared" si="109"/>
        <v>#N/A</v>
      </c>
      <c r="CE295" s="16" t="e">
        <f t="shared" si="110"/>
        <v>#N/A</v>
      </c>
      <c r="CF295" s="16">
        <f t="shared" si="111"/>
        <v>99</v>
      </c>
      <c r="CG295" s="16">
        <f t="shared" si="112"/>
        <v>0</v>
      </c>
      <c r="CH295" s="16">
        <f t="shared" si="140"/>
        <v>0</v>
      </c>
      <c r="CJ295" s="16" t="e">
        <f t="shared" si="113"/>
        <v>#N/A</v>
      </c>
      <c r="CK295" s="16" t="str">
        <f t="shared" si="114"/>
        <v/>
      </c>
    </row>
    <row r="296" spans="1:89" ht="12" customHeight="1">
      <c r="A296" s="211"/>
      <c r="B296" s="211"/>
      <c r="C296" s="211"/>
      <c r="D296" s="211"/>
      <c r="E296" s="211"/>
      <c r="F296" s="211"/>
      <c r="G296" s="211"/>
      <c r="H296" s="211"/>
      <c r="I296" s="211"/>
      <c r="J296" s="211"/>
      <c r="K296" s="211"/>
      <c r="L296" s="211"/>
      <c r="M296" s="211"/>
      <c r="N296" s="211"/>
      <c r="O296" s="211"/>
      <c r="AM296" s="34">
        <f t="shared" si="134"/>
        <v>0.89341189153492451</v>
      </c>
      <c r="AN296" s="34">
        <f t="shared" si="119"/>
        <v>0.52970383502542973</v>
      </c>
      <c r="AO296" s="16">
        <f t="shared" si="120"/>
        <v>74.800000000000026</v>
      </c>
      <c r="AP296" s="16" t="e">
        <f t="shared" si="121"/>
        <v>#N/A</v>
      </c>
      <c r="AQ296" s="16">
        <f t="shared" si="122"/>
        <v>4.898099348271903E-3</v>
      </c>
      <c r="AR296" s="34">
        <f t="shared" si="135"/>
        <v>0.51255224086344242</v>
      </c>
      <c r="AS296" s="34">
        <f t="shared" si="123"/>
        <v>7.1813555434346199E-2</v>
      </c>
      <c r="AT296" s="540">
        <f t="shared" si="124"/>
        <v>50.600000000000449</v>
      </c>
      <c r="AU296" s="16" t="e">
        <f t="shared" si="125"/>
        <v>#N/A</v>
      </c>
      <c r="AV296" s="16">
        <f t="shared" si="126"/>
        <v>1.4318287105214978E-3</v>
      </c>
      <c r="AW296" s="34">
        <f t="shared" si="136"/>
        <v>0.57522222585976124</v>
      </c>
      <c r="AX296" s="34">
        <f t="shared" si="127"/>
        <v>0.73648654855787754</v>
      </c>
      <c r="AY296" s="16">
        <f t="shared" si="128"/>
        <v>53.700000000000493</v>
      </c>
      <c r="AZ296" s="16" t="e">
        <f t="shared" si="129"/>
        <v>#N/A</v>
      </c>
      <c r="BA296" s="16">
        <f t="shared" si="137"/>
        <v>1.444152395533238E-2</v>
      </c>
      <c r="BB296" s="34">
        <f t="shared" si="138"/>
        <v>0.67685639299452305</v>
      </c>
      <c r="BC296" s="34">
        <f t="shared" si="130"/>
        <v>0.72907833941280842</v>
      </c>
      <c r="BD296" s="16">
        <f t="shared" si="131"/>
        <v>59.10000000000057</v>
      </c>
      <c r="BE296" s="16" t="e">
        <f t="shared" si="132"/>
        <v>#N/A</v>
      </c>
      <c r="BF296" s="16">
        <f t="shared" si="133"/>
        <v>1.3112918390170637E-2</v>
      </c>
      <c r="BU296" s="16">
        <f t="shared" si="115"/>
        <v>0</v>
      </c>
      <c r="BV296" s="16">
        <f>IF($BY$12=1,NORMDIST(BY296,$Y$6,$Y$8,TRUE),IF($BY$12=2,IF(BY296&lt;=$BX$31,0,IF(BY296&gt;=$BX$32,1,(BY296-$BX$31)*$BX$33)),SUM($BU$42:BU296)/$BV$40))</f>
        <v>0.10934855242569275</v>
      </c>
      <c r="BW296" s="16">
        <f t="shared" si="116"/>
        <v>0.23778898107682864</v>
      </c>
      <c r="BX296" s="16">
        <f>IF($BY$12&lt;3,BV296,SUM($BZ$42:BZ296)/$BX$40)</f>
        <v>0.10934855242569275</v>
      </c>
      <c r="BY296" s="16">
        <f t="shared" si="141"/>
        <v>25.400000000000091</v>
      </c>
      <c r="BZ296" s="16">
        <f t="shared" si="107"/>
        <v>9.3617709085365274E-3</v>
      </c>
      <c r="CA296" s="16">
        <f t="shared" si="118"/>
        <v>-999</v>
      </c>
      <c r="CB296" s="16" t="str">
        <f t="shared" si="108"/>
        <v/>
      </c>
      <c r="CC296" s="16" t="e">
        <f>IF(CB296="",NA(),COUNTIF(CB296:$CB$704,CB296))</f>
        <v>#N/A</v>
      </c>
      <c r="CD296" s="16" t="e">
        <f t="shared" si="109"/>
        <v>#N/A</v>
      </c>
      <c r="CE296" s="16" t="e">
        <f t="shared" si="110"/>
        <v>#N/A</v>
      </c>
      <c r="CF296" s="16">
        <f t="shared" si="111"/>
        <v>99</v>
      </c>
      <c r="CG296" s="16">
        <f t="shared" si="112"/>
        <v>0</v>
      </c>
      <c r="CH296" s="16">
        <f t="shared" si="140"/>
        <v>0</v>
      </c>
      <c r="CJ296" s="16" t="e">
        <f t="shared" si="113"/>
        <v>#N/A</v>
      </c>
      <c r="CK296" s="16" t="str">
        <f t="shared" si="114"/>
        <v/>
      </c>
    </row>
    <row r="297" spans="1:89" ht="12" customHeight="1">
      <c r="A297" s="211"/>
      <c r="B297" s="211"/>
      <c r="C297" s="211"/>
      <c r="D297" s="211"/>
      <c r="E297" s="211"/>
      <c r="F297" s="211"/>
      <c r="G297" s="211"/>
      <c r="H297" s="211"/>
      <c r="I297" s="211"/>
      <c r="J297" s="211"/>
      <c r="K297" s="211"/>
      <c r="L297" s="211"/>
      <c r="M297" s="211"/>
      <c r="N297" s="211"/>
      <c r="O297" s="211"/>
      <c r="AM297" s="34">
        <f t="shared" si="134"/>
        <v>0.23640415258705616</v>
      </c>
      <c r="AN297" s="34">
        <f t="shared" si="119"/>
        <v>0.59912454523146152</v>
      </c>
      <c r="AO297" s="16">
        <f t="shared" si="120"/>
        <v>35.600000000000236</v>
      </c>
      <c r="AP297" s="16" t="e">
        <f t="shared" si="121"/>
        <v>#N/A</v>
      </c>
      <c r="AQ297" s="16">
        <f t="shared" si="122"/>
        <v>9.2220623213967196E-3</v>
      </c>
      <c r="AR297" s="34">
        <f t="shared" si="135"/>
        <v>0.48791968263685703</v>
      </c>
      <c r="AS297" s="34">
        <f t="shared" si="123"/>
        <v>0.16932444460690022</v>
      </c>
      <c r="AT297" s="540">
        <f t="shared" si="124"/>
        <v>49.300000000000431</v>
      </c>
      <c r="AU297" s="16" t="e">
        <f t="shared" si="125"/>
        <v>#N/A</v>
      </c>
      <c r="AV297" s="16">
        <f t="shared" si="126"/>
        <v>3.3754658968044968E-3</v>
      </c>
      <c r="AW297" s="34">
        <f t="shared" si="136"/>
        <v>5.9903906658291817E-2</v>
      </c>
      <c r="AX297" s="34">
        <f t="shared" si="127"/>
        <v>0.84533370472490788</v>
      </c>
      <c r="AY297" s="16">
        <f t="shared" si="128"/>
        <v>18.799999999999997</v>
      </c>
      <c r="AZ297" s="16" t="e">
        <f t="shared" si="129"/>
        <v>#N/A</v>
      </c>
      <c r="BA297" s="16">
        <f t="shared" si="137"/>
        <v>4.9941171986495362E-3</v>
      </c>
      <c r="BB297" s="34">
        <f t="shared" si="138"/>
        <v>0.8721464965492487</v>
      </c>
      <c r="BC297" s="34">
        <f t="shared" si="130"/>
        <v>0.30339694209396839</v>
      </c>
      <c r="BD297" s="16">
        <f t="shared" si="131"/>
        <v>72.700000000000145</v>
      </c>
      <c r="BE297" s="16" t="e">
        <f t="shared" si="132"/>
        <v>#N/A</v>
      </c>
      <c r="BF297" s="16">
        <f t="shared" si="133"/>
        <v>3.178021016808506E-3</v>
      </c>
      <c r="BU297" s="16">
        <f t="shared" si="115"/>
        <v>0</v>
      </c>
      <c r="BV297" s="16">
        <f>IF($BY$12=1,NORMDIST(BY297,$Y$6,$Y$8,TRUE),IF($BY$12=2,IF(BY297&lt;=$BX$31,0,IF(BY297&gt;=$BX$32,1,(BY297-$BX$31)*$BX$33)),SUM($BU$42:BU297)/$BV$40))</f>
        <v>0.11028761025285216</v>
      </c>
      <c r="BW297" s="16">
        <f t="shared" si="116"/>
        <v>0.24019483929646332</v>
      </c>
      <c r="BX297" s="16">
        <f>IF($BY$12&lt;3,BV297,SUM($BZ$42:BZ297)/$BX$40)</f>
        <v>0.11028761025285216</v>
      </c>
      <c r="BY297" s="16">
        <f t="shared" si="141"/>
        <v>25.500000000000092</v>
      </c>
      <c r="BZ297" s="16">
        <f t="shared" si="107"/>
        <v>9.4194054626063704E-3</v>
      </c>
      <c r="CA297" s="16">
        <f t="shared" si="118"/>
        <v>-999</v>
      </c>
      <c r="CB297" s="16" t="str">
        <f t="shared" si="108"/>
        <v/>
      </c>
      <c r="CC297" s="16" t="e">
        <f>IF(CB297="",NA(),COUNTIF(CB297:$CB$704,CB297))</f>
        <v>#N/A</v>
      </c>
      <c r="CD297" s="16" t="e">
        <f t="shared" si="109"/>
        <v>#N/A</v>
      </c>
      <c r="CE297" s="16" t="e">
        <f t="shared" si="110"/>
        <v>#N/A</v>
      </c>
      <c r="CF297" s="16">
        <f t="shared" si="111"/>
        <v>99</v>
      </c>
      <c r="CG297" s="16">
        <f t="shared" si="112"/>
        <v>0</v>
      </c>
      <c r="CH297" s="16">
        <f t="shared" si="140"/>
        <v>0</v>
      </c>
      <c r="CJ297" s="16" t="e">
        <f t="shared" si="113"/>
        <v>#N/A</v>
      </c>
      <c r="CK297" s="16" t="str">
        <f t="shared" si="114"/>
        <v/>
      </c>
    </row>
    <row r="298" spans="1:89" ht="12" customHeight="1">
      <c r="A298" s="211"/>
      <c r="B298" s="211"/>
      <c r="C298" s="211"/>
      <c r="D298" s="211"/>
      <c r="E298" s="211"/>
      <c r="F298" s="211"/>
      <c r="G298" s="211"/>
      <c r="H298" s="211"/>
      <c r="I298" s="211"/>
      <c r="J298" s="211"/>
      <c r="K298" s="211"/>
      <c r="L298" s="211"/>
      <c r="M298" s="211"/>
      <c r="N298" s="211"/>
      <c r="O298" s="211"/>
      <c r="AM298" s="34">
        <f t="shared" si="134"/>
        <v>0.24093370325863361</v>
      </c>
      <c r="AN298" s="34">
        <f t="shared" si="119"/>
        <v>0.16472447849810123</v>
      </c>
      <c r="AO298" s="16">
        <f t="shared" si="120"/>
        <v>35.90000000000024</v>
      </c>
      <c r="AP298" s="16" t="e">
        <f t="shared" si="121"/>
        <v>#N/A</v>
      </c>
      <c r="AQ298" s="16">
        <f t="shared" si="122"/>
        <v>2.5627757390083794E-3</v>
      </c>
      <c r="AR298" s="34">
        <f t="shared" si="135"/>
        <v>0.64728678204119205</v>
      </c>
      <c r="AS298" s="34">
        <f t="shared" si="123"/>
        <v>0.23514008708298206</v>
      </c>
      <c r="AT298" s="540">
        <f t="shared" si="124"/>
        <v>57.500000000000547</v>
      </c>
      <c r="AU298" s="16" t="e">
        <f t="shared" si="125"/>
        <v>#N/A</v>
      </c>
      <c r="AV298" s="16">
        <f t="shared" si="126"/>
        <v>4.3719019577393523E-3</v>
      </c>
      <c r="AW298" s="34">
        <f t="shared" si="136"/>
        <v>3.6587240174412727E-2</v>
      </c>
      <c r="AX298" s="34">
        <f t="shared" si="127"/>
        <v>0.87737824954092503</v>
      </c>
      <c r="AY298" s="16">
        <f t="shared" si="128"/>
        <v>14.099999999999966</v>
      </c>
      <c r="AZ298" s="16" t="e">
        <f t="shared" si="129"/>
        <v>#N/A</v>
      </c>
      <c r="BA298" s="16" t="e">
        <f t="shared" si="137"/>
        <v>#N/A</v>
      </c>
      <c r="BB298" s="34">
        <f t="shared" si="138"/>
        <v>0.36509993113577366</v>
      </c>
      <c r="BC298" s="34">
        <f t="shared" si="130"/>
        <v>5.7656841352581978E-2</v>
      </c>
      <c r="BD298" s="16">
        <f t="shared" si="131"/>
        <v>43.100000000000342</v>
      </c>
      <c r="BE298" s="16" t="e">
        <f t="shared" si="132"/>
        <v>#N/A</v>
      </c>
      <c r="BF298" s="16">
        <f t="shared" si="133"/>
        <v>1.0836398470415066E-3</v>
      </c>
      <c r="BU298" s="16">
        <f t="shared" si="115"/>
        <v>0</v>
      </c>
      <c r="BV298" s="16">
        <f>IF($BY$12=1,NORMDIST(BY298,$Y$6,$Y$8,TRUE),IF($BY$12=2,IF(BY298&lt;=$BX$31,0,IF(BY298&gt;=$BX$32,1,(BY298-$BX$31)*$BX$33)),SUM($BU$42:BU298)/$BV$40))</f>
        <v>0.11123243744783573</v>
      </c>
      <c r="BW298" s="16">
        <f t="shared" si="116"/>
        <v>0.24261524235730172</v>
      </c>
      <c r="BX298" s="16">
        <f>IF($BY$12&lt;3,BV298,SUM($BZ$42:BZ298)/$BX$40)</f>
        <v>0.11123243744783573</v>
      </c>
      <c r="BY298" s="16">
        <f t="shared" si="141"/>
        <v>25.600000000000094</v>
      </c>
      <c r="BZ298" s="16">
        <f t="shared" ref="BZ298:BZ361" si="142">IF($BZ$5,IF($BY$12=1,NORMDIST(BY298,$Y$6,$Y$8,FALSE),IF($BY$12=2,IF(AND(BY298&gt;=$BX$31,BY298&lt;=$BX$32),$BX$33,0),IF(BY298&lt;=$BX$13,0,NORMDIST(LN((BY298-$BX$13)/$BX$12),0,$BW$8,FALSE)/((BY298-$BX$13)/$BX$12)))),-999)</f>
        <v>9.4771579045820637E-3</v>
      </c>
      <c r="CA298" s="16">
        <f t="shared" si="118"/>
        <v>-999</v>
      </c>
      <c r="CB298" s="16" t="str">
        <f t="shared" ref="CB298:CB361" si="143">IF(M197="","",ROUND(M197/$P$24,0))</f>
        <v/>
      </c>
      <c r="CC298" s="16" t="e">
        <f>IF(CB298="",NA(),COUNTIF(CB298:$CB$704,CB298))</f>
        <v>#N/A</v>
      </c>
      <c r="CD298" s="16" t="e">
        <f t="shared" ref="CD298:CD361" si="144">IF(CB298&lt;&gt;"",CB298*$P$24,NA())</f>
        <v>#N/A</v>
      </c>
      <c r="CE298" s="16" t="e">
        <f t="shared" ref="CE298:CE361" si="145">IF(AND($CB$7,$CD$2,$CD$1),26+$P$23/2-CC298*$P$23,NA())</f>
        <v>#N/A</v>
      </c>
      <c r="CF298" s="16">
        <f t="shared" ref="CF298:CF361" si="146">IF(ISNA(CJ298),99,CJ298)</f>
        <v>99</v>
      </c>
      <c r="CG298" s="16">
        <f t="shared" ref="CG298:CG361" si="147">IF(ISNA(CJ298),0,CJ298)</f>
        <v>0</v>
      </c>
      <c r="CH298" s="16">
        <f t="shared" si="140"/>
        <v>0</v>
      </c>
      <c r="CJ298" s="16" t="e">
        <f t="shared" ref="CJ298:CJ361" si="148">IF(CH298=1,CE298,NA())</f>
        <v>#N/A</v>
      </c>
      <c r="CK298" s="16" t="str">
        <f t="shared" ref="CK298:CK361" si="149">IF(CH298=1,M197,"")</f>
        <v/>
      </c>
    </row>
    <row r="299" spans="1:89" ht="12" customHeight="1">
      <c r="A299" s="211"/>
      <c r="B299" s="211"/>
      <c r="C299" s="211"/>
      <c r="D299" s="211"/>
      <c r="E299" s="211"/>
      <c r="F299" s="211"/>
      <c r="G299" s="211"/>
      <c r="H299" s="211"/>
      <c r="I299" s="211"/>
      <c r="J299" s="211"/>
      <c r="K299" s="211"/>
      <c r="L299" s="211"/>
      <c r="M299" s="211"/>
      <c r="N299" s="211"/>
      <c r="O299" s="211"/>
      <c r="AM299" s="34">
        <f t="shared" si="134"/>
        <v>0.9263992328196764</v>
      </c>
      <c r="AN299" s="34">
        <f t="shared" si="119"/>
        <v>0.37138679064810276</v>
      </c>
      <c r="AO299" s="16">
        <f t="shared" si="120"/>
        <v>78.899999999999793</v>
      </c>
      <c r="AP299" s="16" t="e">
        <f t="shared" si="121"/>
        <v>#N/A</v>
      </c>
      <c r="AQ299" s="16">
        <f t="shared" si="122"/>
        <v>2.6079403585580487E-3</v>
      </c>
      <c r="AR299" s="34">
        <f t="shared" si="135"/>
        <v>0.92765095271170139</v>
      </c>
      <c r="AS299" s="34">
        <f t="shared" si="123"/>
        <v>0.58657939918339252</v>
      </c>
      <c r="AT299" s="540">
        <f t="shared" si="124"/>
        <v>79.099999999999781</v>
      </c>
      <c r="AU299" s="16" t="e">
        <f t="shared" si="125"/>
        <v>#N/A</v>
      </c>
      <c r="AV299" s="16">
        <f t="shared" si="126"/>
        <v>4.0597635384194281E-3</v>
      </c>
      <c r="AW299" s="34">
        <f t="shared" si="136"/>
        <v>0.90132649429142475</v>
      </c>
      <c r="AX299" s="34">
        <f t="shared" si="127"/>
        <v>0.66015867330133915</v>
      </c>
      <c r="AY299" s="16">
        <f t="shared" si="128"/>
        <v>75.699999999999974</v>
      </c>
      <c r="AZ299" s="16" t="e">
        <f t="shared" si="129"/>
        <v>#N/A</v>
      </c>
      <c r="BA299" s="16">
        <f t="shared" si="137"/>
        <v>5.7672589373461503E-3</v>
      </c>
      <c r="BB299" s="34">
        <f t="shared" si="138"/>
        <v>0.16306475736200809</v>
      </c>
      <c r="BC299" s="34">
        <f t="shared" si="130"/>
        <v>0.69346192665398121</v>
      </c>
      <c r="BD299" s="16">
        <f t="shared" si="131"/>
        <v>30.300000000000161</v>
      </c>
      <c r="BE299" s="16" t="e">
        <f t="shared" si="132"/>
        <v>#N/A</v>
      </c>
      <c r="BF299" s="16">
        <f t="shared" si="133"/>
        <v>8.5157128808768575E-3</v>
      </c>
      <c r="BU299" s="16">
        <f t="shared" ref="BU299:BU362" si="150">IF($BY$12&lt;3,0,IF(BY299&lt;=$BX$13,0,NORMDIST(LN((BY299-$BX$13)/$BX$12),0,$BW$8,FALSE)/((BY299-$BX$13)/$BX$12)))</f>
        <v>0</v>
      </c>
      <c r="BV299" s="16">
        <f>IF($BY$12=1,NORMDIST(BY299,$Y$6,$Y$8,TRUE),IF($BY$12=2,IF(BY299&lt;=$BX$31,0,IF(BY299&gt;=$BX$32,1,(BY299-$BX$31)*$BX$33)),SUM($BU$42:BU299)/$BV$40))</f>
        <v>0.11218304569093518</v>
      </c>
      <c r="BW299" s="16">
        <f t="shared" ref="BW299:BW362" si="151">BY299*BZ299</f>
        <v>0.24505016976312685</v>
      </c>
      <c r="BX299" s="16">
        <f>IF($BY$12&lt;3,BV299,SUM($BZ$42:BZ299)/$BX$40)</f>
        <v>0.11218304569093518</v>
      </c>
      <c r="BY299" s="16">
        <f t="shared" si="141"/>
        <v>25.700000000000095</v>
      </c>
      <c r="BZ299" s="16">
        <f t="shared" si="142"/>
        <v>9.5350260608220213E-3</v>
      </c>
      <c r="CA299" s="16">
        <f t="shared" ref="CA299:CA362" si="152">IF(AND($CD$1,$CD$3),26-$CD$40*NORMDIST(BY299,$Y$6,$Y$8/SQRT($T$18),FALSE),-999)</f>
        <v>-999</v>
      </c>
      <c r="CB299" s="16" t="str">
        <f t="shared" si="143"/>
        <v/>
      </c>
      <c r="CC299" s="16" t="e">
        <f>IF(CB299="",NA(),COUNTIF(CB299:$CB$704,CB299))</f>
        <v>#N/A</v>
      </c>
      <c r="CD299" s="16" t="e">
        <f t="shared" si="144"/>
        <v>#N/A</v>
      </c>
      <c r="CE299" s="16" t="e">
        <f t="shared" si="145"/>
        <v>#N/A</v>
      </c>
      <c r="CF299" s="16">
        <f t="shared" si="146"/>
        <v>99</v>
      </c>
      <c r="CG299" s="16">
        <f t="shared" si="147"/>
        <v>0</v>
      </c>
      <c r="CH299" s="16">
        <f t="shared" si="140"/>
        <v>0</v>
      </c>
      <c r="CJ299" s="16" t="e">
        <f t="shared" si="148"/>
        <v>#N/A</v>
      </c>
      <c r="CK299" s="16" t="str">
        <f t="shared" si="149"/>
        <v/>
      </c>
    </row>
    <row r="300" spans="1:89" ht="12" customHeight="1">
      <c r="A300" s="211"/>
      <c r="B300" s="211"/>
      <c r="C300" s="211"/>
      <c r="D300" s="211"/>
      <c r="E300" s="211"/>
      <c r="F300" s="211"/>
      <c r="G300" s="211"/>
      <c r="H300" s="211"/>
      <c r="I300" s="211"/>
      <c r="J300" s="211"/>
      <c r="K300" s="211"/>
      <c r="L300" s="211"/>
      <c r="M300" s="211"/>
      <c r="N300" s="211"/>
      <c r="O300" s="211"/>
      <c r="AM300" s="34">
        <f t="shared" si="134"/>
        <v>0.7345093060284853</v>
      </c>
      <c r="AN300" s="34">
        <f t="shared" si="119"/>
        <v>0.60890583135187626</v>
      </c>
      <c r="AO300" s="16">
        <f t="shared" si="120"/>
        <v>62.500000000000618</v>
      </c>
      <c r="AP300" s="16" t="e">
        <f t="shared" si="121"/>
        <v>#N/A</v>
      </c>
      <c r="AQ300" s="16">
        <f t="shared" si="122"/>
        <v>9.9909563686199562E-3</v>
      </c>
      <c r="AR300" s="34">
        <f t="shared" si="135"/>
        <v>0.6173661146312952</v>
      </c>
      <c r="AS300" s="34">
        <f t="shared" si="123"/>
        <v>0.17207244224846363</v>
      </c>
      <c r="AT300" s="540">
        <f t="shared" si="124"/>
        <v>55.900000000000524</v>
      </c>
      <c r="AU300" s="16" t="e">
        <f t="shared" si="125"/>
        <v>#N/A</v>
      </c>
      <c r="AV300" s="16">
        <f t="shared" si="126"/>
        <v>3.2862012330241762E-3</v>
      </c>
      <c r="AW300" s="34">
        <f t="shared" si="136"/>
        <v>0.31507614441215992</v>
      </c>
      <c r="AX300" s="34">
        <f t="shared" si="127"/>
        <v>0.54011147655546665</v>
      </c>
      <c r="AY300" s="16">
        <f t="shared" si="128"/>
        <v>40.300000000000303</v>
      </c>
      <c r="AZ300" s="16" t="e">
        <f t="shared" si="129"/>
        <v>#N/A</v>
      </c>
      <c r="BA300" s="16">
        <f t="shared" si="137"/>
        <v>9.5782245841242938E-3</v>
      </c>
      <c r="BB300" s="34">
        <f t="shared" si="138"/>
        <v>0.28154485858976841</v>
      </c>
      <c r="BC300" s="34">
        <f t="shared" si="130"/>
        <v>0.24598084576427937</v>
      </c>
      <c r="BD300" s="16">
        <f t="shared" si="131"/>
        <v>38.400000000000276</v>
      </c>
      <c r="BE300" s="16" t="e">
        <f t="shared" si="132"/>
        <v>#N/A</v>
      </c>
      <c r="BF300" s="16">
        <f t="shared" si="133"/>
        <v>4.1469903878091014E-3</v>
      </c>
      <c r="BU300" s="16">
        <f t="shared" si="150"/>
        <v>0</v>
      </c>
      <c r="BV300" s="16">
        <f>IF($BY$12=1,NORMDIST(BY300,$Y$6,$Y$8,TRUE),IF($BY$12=2,IF(BY300&lt;=$BX$31,0,IF(BY300&gt;=$BX$32,1,(BY300-$BX$31)*$BX$33)),SUM($BU$42:BU300)/$BV$40))</f>
        <v>0.11313944644397833</v>
      </c>
      <c r="BW300" s="16">
        <f t="shared" si="151"/>
        <v>0.24749959958054552</v>
      </c>
      <c r="BX300" s="16">
        <f>IF($BY$12&lt;3,BV300,SUM($BZ$42:BZ300)/$BX$40)</f>
        <v>0.11313944644397833</v>
      </c>
      <c r="BY300" s="16">
        <f t="shared" si="141"/>
        <v>25.800000000000097</v>
      </c>
      <c r="BZ300" s="16">
        <f t="shared" si="142"/>
        <v>9.5930077356800227E-3</v>
      </c>
      <c r="CA300" s="16">
        <f t="shared" si="152"/>
        <v>-999</v>
      </c>
      <c r="CB300" s="16" t="str">
        <f t="shared" si="143"/>
        <v/>
      </c>
      <c r="CC300" s="16" t="e">
        <f>IF(CB300="",NA(),COUNTIF(CB300:$CB$704,CB300))</f>
        <v>#N/A</v>
      </c>
      <c r="CD300" s="16" t="e">
        <f t="shared" si="144"/>
        <v>#N/A</v>
      </c>
      <c r="CE300" s="16" t="e">
        <f t="shared" si="145"/>
        <v>#N/A</v>
      </c>
      <c r="CF300" s="16">
        <f t="shared" si="146"/>
        <v>99</v>
      </c>
      <c r="CG300" s="16">
        <f t="shared" si="147"/>
        <v>0</v>
      </c>
      <c r="CH300" s="16">
        <f t="shared" si="140"/>
        <v>0</v>
      </c>
      <c r="CJ300" s="16" t="e">
        <f t="shared" si="148"/>
        <v>#N/A</v>
      </c>
      <c r="CK300" s="16" t="str">
        <f t="shared" si="149"/>
        <v/>
      </c>
    </row>
    <row r="301" spans="1:89" ht="12" customHeight="1">
      <c r="A301" s="211"/>
      <c r="B301" s="211"/>
      <c r="C301" s="211"/>
      <c r="D301" s="211"/>
      <c r="E301" s="211"/>
      <c r="F301" s="211"/>
      <c r="G301" s="211"/>
      <c r="H301" s="211"/>
      <c r="I301" s="211"/>
      <c r="J301" s="211"/>
      <c r="K301" s="211"/>
      <c r="L301" s="211"/>
      <c r="M301" s="211"/>
      <c r="N301" s="211"/>
      <c r="O301" s="211"/>
      <c r="AM301" s="34">
        <f t="shared" si="134"/>
        <v>0.22929457016289234</v>
      </c>
      <c r="AN301" s="34">
        <f t="shared" si="119"/>
        <v>0.68245833553373814</v>
      </c>
      <c r="AO301" s="16">
        <f t="shared" si="120"/>
        <v>35.100000000000229</v>
      </c>
      <c r="AP301" s="16" t="e">
        <f t="shared" si="121"/>
        <v>#N/A</v>
      </c>
      <c r="AQ301" s="16">
        <f t="shared" si="122"/>
        <v>1.0314164777483655E-2</v>
      </c>
      <c r="AR301" s="34">
        <f t="shared" si="135"/>
        <v>0.65942638553678989</v>
      </c>
      <c r="AS301" s="34">
        <f t="shared" si="123"/>
        <v>0.42791091091930866</v>
      </c>
      <c r="AT301" s="540">
        <f t="shared" si="124"/>
        <v>58.200000000000557</v>
      </c>
      <c r="AU301" s="16" t="e">
        <f t="shared" si="125"/>
        <v>#N/A</v>
      </c>
      <c r="AV301" s="16">
        <f t="shared" si="126"/>
        <v>7.8474937641028527E-3</v>
      </c>
      <c r="AW301" s="34">
        <f t="shared" si="136"/>
        <v>0.78700386174023151</v>
      </c>
      <c r="AX301" s="34">
        <f t="shared" si="127"/>
        <v>0.84845251776278019</v>
      </c>
      <c r="AY301" s="16">
        <f t="shared" si="128"/>
        <v>65.900000000000531</v>
      </c>
      <c r="AZ301" s="16" t="e">
        <f t="shared" si="129"/>
        <v>#N/A</v>
      </c>
      <c r="BA301" s="16">
        <f t="shared" si="137"/>
        <v>1.2338578485052071E-2</v>
      </c>
      <c r="BB301" s="34">
        <f t="shared" si="138"/>
        <v>0.65539378859102726</v>
      </c>
      <c r="BC301" s="34">
        <f t="shared" si="130"/>
        <v>0.40602952428162098</v>
      </c>
      <c r="BD301" s="16">
        <f t="shared" si="131"/>
        <v>57.900000000000553</v>
      </c>
      <c r="BE301" s="16" t="e">
        <f t="shared" si="132"/>
        <v>#N/A</v>
      </c>
      <c r="BF301" s="16">
        <f t="shared" si="133"/>
        <v>7.4913016696839868E-3</v>
      </c>
      <c r="BU301" s="16">
        <f t="shared" si="150"/>
        <v>0</v>
      </c>
      <c r="BV301" s="16">
        <f>IF($BY$12=1,NORMDIST(BY301,$Y$6,$Y$8,TRUE),IF($BY$12=2,IF(BY301&lt;=$BX$31,0,IF(BY301&gt;=$BX$32,1,(BY301-$BX$31)*$BX$33)),SUM($BU$42:BU301)/$BV$40))</f>
        <v>0.11410165094813063</v>
      </c>
      <c r="BW301" s="16">
        <f t="shared" si="151"/>
        <v>0.2499635084302107</v>
      </c>
      <c r="BX301" s="16">
        <f>IF($BY$12&lt;3,BV301,SUM($BZ$42:BZ301)/$BX$40)</f>
        <v>0.11410165094813063</v>
      </c>
      <c r="BY301" s="16">
        <f t="shared" si="141"/>
        <v>25.900000000000098</v>
      </c>
      <c r="BZ301" s="16">
        <f t="shared" si="142"/>
        <v>9.65110071159111E-3</v>
      </c>
      <c r="CA301" s="16">
        <f t="shared" si="152"/>
        <v>-999</v>
      </c>
      <c r="CB301" s="16" t="str">
        <f t="shared" si="143"/>
        <v/>
      </c>
      <c r="CC301" s="16" t="e">
        <f>IF(CB301="",NA(),COUNTIF(CB301:$CB$704,CB301))</f>
        <v>#N/A</v>
      </c>
      <c r="CD301" s="16" t="e">
        <f t="shared" si="144"/>
        <v>#N/A</v>
      </c>
      <c r="CE301" s="16" t="e">
        <f t="shared" si="145"/>
        <v>#N/A</v>
      </c>
      <c r="CF301" s="16">
        <f t="shared" si="146"/>
        <v>99</v>
      </c>
      <c r="CG301" s="16">
        <f t="shared" si="147"/>
        <v>0</v>
      </c>
      <c r="CH301" s="16">
        <f t="shared" si="140"/>
        <v>0</v>
      </c>
      <c r="CJ301" s="16" t="e">
        <f t="shared" si="148"/>
        <v>#N/A</v>
      </c>
      <c r="CK301" s="16" t="str">
        <f t="shared" si="149"/>
        <v/>
      </c>
    </row>
    <row r="302" spans="1:89" ht="12" customHeight="1">
      <c r="A302" s="211"/>
      <c r="B302" s="211"/>
      <c r="C302" s="211"/>
      <c r="D302" s="211"/>
      <c r="E302" s="211"/>
      <c r="F302" s="211"/>
      <c r="G302" s="211"/>
      <c r="H302" s="211"/>
      <c r="I302" s="211"/>
      <c r="J302" s="211"/>
      <c r="K302" s="211"/>
      <c r="L302" s="211"/>
      <c r="M302" s="211"/>
      <c r="N302" s="211"/>
      <c r="O302" s="211"/>
      <c r="AM302" s="34">
        <f t="shared" si="134"/>
        <v>0.22729574330151081</v>
      </c>
      <c r="AN302" s="34">
        <f t="shared" si="119"/>
        <v>0.38785977102816105</v>
      </c>
      <c r="AO302" s="16">
        <f t="shared" si="120"/>
        <v>35.000000000000227</v>
      </c>
      <c r="AP302" s="16" t="e">
        <f t="shared" si="121"/>
        <v>#N/A</v>
      </c>
      <c r="AQ302" s="16">
        <f t="shared" si="122"/>
        <v>5.8399547741785907E-3</v>
      </c>
      <c r="AR302" s="34">
        <f t="shared" si="135"/>
        <v>0.67203492857515812</v>
      </c>
      <c r="AS302" s="34">
        <f t="shared" si="123"/>
        <v>2.2205652669072151E-2</v>
      </c>
      <c r="AT302" s="540">
        <f t="shared" si="124"/>
        <v>58.900000000000567</v>
      </c>
      <c r="AU302" s="16" t="e">
        <f t="shared" si="125"/>
        <v>#N/A</v>
      </c>
      <c r="AV302" s="16">
        <f t="shared" si="126"/>
        <v>4.0118346983155566E-4</v>
      </c>
      <c r="AW302" s="34">
        <f t="shared" si="136"/>
        <v>0.20751053281128407</v>
      </c>
      <c r="AX302" s="34">
        <f t="shared" si="127"/>
        <v>2.5749767199158669E-2</v>
      </c>
      <c r="AY302" s="16">
        <f t="shared" si="128"/>
        <v>33.600000000000207</v>
      </c>
      <c r="AZ302" s="16" t="e">
        <f t="shared" si="129"/>
        <v>#N/A</v>
      </c>
      <c r="BA302" s="16">
        <f t="shared" si="137"/>
        <v>3.6698099371939652E-4</v>
      </c>
      <c r="BB302" s="34">
        <f t="shared" si="138"/>
        <v>0.52120002545416355</v>
      </c>
      <c r="BC302" s="34">
        <f t="shared" si="130"/>
        <v>3.0141966417431831E-2</v>
      </c>
      <c r="BD302" s="16">
        <f t="shared" si="131"/>
        <v>51.000000000000455</v>
      </c>
      <c r="BE302" s="16" t="e">
        <f t="shared" si="132"/>
        <v>#N/A</v>
      </c>
      <c r="BF302" s="16">
        <f t="shared" si="133"/>
        <v>6.0049415389372277E-4</v>
      </c>
      <c r="BU302" s="16">
        <f t="shared" si="150"/>
        <v>0</v>
      </c>
      <c r="BV302" s="16">
        <f>IF($BY$12=1,NORMDIST(BY302,$Y$6,$Y$8,TRUE),IF($BY$12=2,IF(BY302&lt;=$BX$31,0,IF(BY302&gt;=$BX$32,1,(BY302-$BX$31)*$BX$33)),SUM($BU$42:BU302)/$BV$40))</f>
        <v>0.11506967022170933</v>
      </c>
      <c r="BW302" s="16">
        <f t="shared" si="151"/>
        <v>0.25244187147817926</v>
      </c>
      <c r="BX302" s="16">
        <f>IF($BY$12&lt;3,BV302,SUM($BZ$42:BZ302)/$BX$40)</f>
        <v>0.11506967022170933</v>
      </c>
      <c r="BY302" s="16">
        <f t="shared" si="141"/>
        <v>26.000000000000099</v>
      </c>
      <c r="BZ302" s="16">
        <f t="shared" si="142"/>
        <v>9.7093027491607035E-3</v>
      </c>
      <c r="CA302" s="16">
        <f t="shared" si="152"/>
        <v>-999</v>
      </c>
      <c r="CB302" s="16" t="str">
        <f t="shared" si="143"/>
        <v/>
      </c>
      <c r="CC302" s="16" t="e">
        <f>IF(CB302="",NA(),COUNTIF(CB302:$CB$704,CB302))</f>
        <v>#N/A</v>
      </c>
      <c r="CD302" s="16" t="e">
        <f t="shared" si="144"/>
        <v>#N/A</v>
      </c>
      <c r="CE302" s="16" t="e">
        <f t="shared" si="145"/>
        <v>#N/A</v>
      </c>
      <c r="CF302" s="16">
        <f t="shared" si="146"/>
        <v>99</v>
      </c>
      <c r="CG302" s="16">
        <f t="shared" si="147"/>
        <v>0</v>
      </c>
      <c r="CH302" s="16">
        <f t="shared" si="140"/>
        <v>0</v>
      </c>
      <c r="CJ302" s="16" t="e">
        <f t="shared" si="148"/>
        <v>#N/A</v>
      </c>
      <c r="CK302" s="16" t="str">
        <f t="shared" si="149"/>
        <v/>
      </c>
    </row>
    <row r="303" spans="1:89" ht="12" customHeight="1">
      <c r="A303" s="211"/>
      <c r="B303" s="211"/>
      <c r="C303" s="211"/>
      <c r="D303" s="211"/>
      <c r="E303" s="211"/>
      <c r="F303" s="211"/>
      <c r="G303" s="211"/>
      <c r="H303" s="211"/>
      <c r="I303" s="211"/>
      <c r="J303" s="211"/>
      <c r="K303" s="211"/>
      <c r="L303" s="211"/>
      <c r="M303" s="211"/>
      <c r="N303" s="211"/>
      <c r="O303" s="211"/>
      <c r="AM303" s="34">
        <f t="shared" si="134"/>
        <v>0.75245863385498524</v>
      </c>
      <c r="AN303" s="34">
        <f t="shared" si="119"/>
        <v>0.1205120924860239</v>
      </c>
      <c r="AO303" s="16">
        <f t="shared" si="120"/>
        <v>63.600000000000634</v>
      </c>
      <c r="AP303" s="16" t="e">
        <f t="shared" si="121"/>
        <v>#N/A</v>
      </c>
      <c r="AQ303" s="16">
        <f t="shared" si="122"/>
        <v>1.9076636887236759E-3</v>
      </c>
      <c r="AR303" s="34">
        <f t="shared" si="135"/>
        <v>0.81536420620977879</v>
      </c>
      <c r="AS303" s="34">
        <f t="shared" si="123"/>
        <v>0.66183246858417988</v>
      </c>
      <c r="AT303" s="540">
        <f t="shared" si="124"/>
        <v>67.900000000000418</v>
      </c>
      <c r="AU303" s="16" t="e">
        <f t="shared" si="125"/>
        <v>#N/A</v>
      </c>
      <c r="AV303" s="16">
        <f t="shared" si="126"/>
        <v>8.8447949835492815E-3</v>
      </c>
      <c r="AW303" s="34">
        <f t="shared" si="136"/>
        <v>6.7385602742433548E-3</v>
      </c>
      <c r="AX303" s="34">
        <f t="shared" si="127"/>
        <v>0.69034371711313725</v>
      </c>
      <c r="AY303" s="16">
        <f t="shared" si="128"/>
        <v>0.5</v>
      </c>
      <c r="AZ303" s="16" t="e">
        <f t="shared" si="129"/>
        <v>#N/A</v>
      </c>
      <c r="BA303" s="16" t="e">
        <f t="shared" si="137"/>
        <v>#N/A</v>
      </c>
      <c r="BB303" s="34">
        <f t="shared" si="138"/>
        <v>5.601988174021244E-2</v>
      </c>
      <c r="BC303" s="34">
        <f t="shared" si="130"/>
        <v>0.54566058702766895</v>
      </c>
      <c r="BD303" s="16">
        <f t="shared" si="131"/>
        <v>18.199999999999989</v>
      </c>
      <c r="BE303" s="16" t="e">
        <f t="shared" si="132"/>
        <v>#N/A</v>
      </c>
      <c r="BF303" s="16">
        <f t="shared" si="133"/>
        <v>3.0749121760311289E-3</v>
      </c>
      <c r="BU303" s="16">
        <f t="shared" si="150"/>
        <v>0</v>
      </c>
      <c r="BV303" s="16">
        <f>IF($BY$12=1,NORMDIST(BY303,$Y$6,$Y$8,TRUE),IF($BY$12=2,IF(BY303&lt;=$BX$31,0,IF(BY303&gt;=$BX$32,1,(BY303-$BX$31)*$BX$33)),SUM($BU$42:BU303)/$BV$40))</f>
        <v>0.11604351505800437</v>
      </c>
      <c r="BW303" s="16">
        <f t="shared" si="151"/>
        <v>0.25493466242740986</v>
      </c>
      <c r="BX303" s="16">
        <f>IF($BY$12&lt;3,BV303,SUM($BZ$42:BZ303)/$BX$40)</f>
        <v>0.11604351505800437</v>
      </c>
      <c r="BY303" s="16">
        <f t="shared" si="141"/>
        <v>26.100000000000101</v>
      </c>
      <c r="BZ303" s="16">
        <f t="shared" si="142"/>
        <v>9.7676115872570458E-3</v>
      </c>
      <c r="CA303" s="16">
        <f t="shared" si="152"/>
        <v>-999</v>
      </c>
      <c r="CB303" s="16" t="str">
        <f t="shared" si="143"/>
        <v/>
      </c>
      <c r="CC303" s="16" t="e">
        <f>IF(CB303="",NA(),COUNTIF(CB303:$CB$704,CB303))</f>
        <v>#N/A</v>
      </c>
      <c r="CD303" s="16" t="e">
        <f t="shared" si="144"/>
        <v>#N/A</v>
      </c>
      <c r="CE303" s="16" t="e">
        <f t="shared" si="145"/>
        <v>#N/A</v>
      </c>
      <c r="CF303" s="16">
        <f t="shared" si="146"/>
        <v>99</v>
      </c>
      <c r="CG303" s="16">
        <f t="shared" si="147"/>
        <v>0</v>
      </c>
      <c r="CH303" s="16">
        <f t="shared" si="140"/>
        <v>0</v>
      </c>
      <c r="CJ303" s="16" t="e">
        <f t="shared" si="148"/>
        <v>#N/A</v>
      </c>
      <c r="CK303" s="16" t="str">
        <f t="shared" si="149"/>
        <v/>
      </c>
    </row>
    <row r="304" spans="1:89" ht="12" customHeight="1">
      <c r="A304" s="211"/>
      <c r="B304" s="211"/>
      <c r="C304" s="211"/>
      <c r="D304" s="211"/>
      <c r="E304" s="211"/>
      <c r="F304" s="211"/>
      <c r="G304" s="211"/>
      <c r="H304" s="211"/>
      <c r="I304" s="211"/>
      <c r="J304" s="211"/>
      <c r="K304" s="211"/>
      <c r="L304" s="211"/>
      <c r="M304" s="211"/>
      <c r="N304" s="211"/>
      <c r="O304" s="211"/>
      <c r="AM304" s="34">
        <f t="shared" si="134"/>
        <v>0.4915174413472414</v>
      </c>
      <c r="AN304" s="34">
        <f t="shared" si="119"/>
        <v>0.80319915153086185</v>
      </c>
      <c r="AO304" s="16">
        <f t="shared" si="120"/>
        <v>49.500000000000433</v>
      </c>
      <c r="AP304" s="16" t="e">
        <f t="shared" si="121"/>
        <v>#N/A</v>
      </c>
      <c r="AQ304" s="16">
        <f t="shared" si="122"/>
        <v>1.6016499118299343E-2</v>
      </c>
      <c r="AR304" s="34">
        <f t="shared" si="135"/>
        <v>0.28966389037668705</v>
      </c>
      <c r="AS304" s="34">
        <f t="shared" si="123"/>
        <v>0.66939744539558887</v>
      </c>
      <c r="AT304" s="540">
        <f t="shared" si="124"/>
        <v>38.900000000000283</v>
      </c>
      <c r="AU304" s="16" t="e">
        <f t="shared" si="125"/>
        <v>#N/A</v>
      </c>
      <c r="AV304" s="16">
        <f t="shared" si="126"/>
        <v>1.1446622012736111E-2</v>
      </c>
      <c r="AW304" s="34">
        <f t="shared" si="136"/>
        <v>0.14559969492256641</v>
      </c>
      <c r="AX304" s="34">
        <f t="shared" si="127"/>
        <v>0.84202169813215733</v>
      </c>
      <c r="AY304" s="16">
        <f t="shared" si="128"/>
        <v>28.800000000000139</v>
      </c>
      <c r="AZ304" s="16" t="e">
        <f t="shared" si="129"/>
        <v>#N/A</v>
      </c>
      <c r="BA304" s="16">
        <f t="shared" si="137"/>
        <v>9.576718309763357E-3</v>
      </c>
      <c r="BB304" s="34">
        <f t="shared" si="138"/>
        <v>0.96386432088911533</v>
      </c>
      <c r="BC304" s="34">
        <f t="shared" si="130"/>
        <v>0.73912732489407063</v>
      </c>
      <c r="BD304" s="16">
        <f t="shared" si="131"/>
        <v>85.899999999999395</v>
      </c>
      <c r="BE304" s="16" t="e">
        <f t="shared" si="132"/>
        <v>#N/A</v>
      </c>
      <c r="BF304" s="16">
        <f t="shared" si="133"/>
        <v>2.9440520856464981E-3</v>
      </c>
      <c r="BU304" s="16">
        <f t="shared" si="150"/>
        <v>0</v>
      </c>
      <c r="BV304" s="16">
        <f>IF($BY$12=1,NORMDIST(BY304,$Y$6,$Y$8,TRUE),IF($BY$12=2,IF(BY304&lt;=$BX$31,0,IF(BY304&gt;=$BX$32,1,(BY304-$BX$31)*$BX$33)),SUM($BU$42:BU304)/$BV$40))</f>
        <v>0.11702319602310984</v>
      </c>
      <c r="BW304" s="16">
        <f t="shared" si="151"/>
        <v>0.25744185350940141</v>
      </c>
      <c r="BX304" s="16">
        <f>IF($BY$12&lt;3,BV304,SUM($BZ$42:BZ304)/$BX$40)</f>
        <v>0.11702319602310984</v>
      </c>
      <c r="BY304" s="16">
        <f t="shared" si="141"/>
        <v>26.200000000000102</v>
      </c>
      <c r="BZ304" s="16">
        <f t="shared" si="142"/>
        <v>9.8260249431068852E-3</v>
      </c>
      <c r="CA304" s="16">
        <f t="shared" si="152"/>
        <v>-999</v>
      </c>
      <c r="CB304" s="16" t="str">
        <f t="shared" si="143"/>
        <v/>
      </c>
      <c r="CC304" s="16" t="e">
        <f>IF(CB304="",NA(),COUNTIF(CB304:$CB$704,CB304))</f>
        <v>#N/A</v>
      </c>
      <c r="CD304" s="16" t="e">
        <f t="shared" si="144"/>
        <v>#N/A</v>
      </c>
      <c r="CE304" s="16" t="e">
        <f t="shared" si="145"/>
        <v>#N/A</v>
      </c>
      <c r="CF304" s="16">
        <f t="shared" si="146"/>
        <v>99</v>
      </c>
      <c r="CG304" s="16">
        <f t="shared" si="147"/>
        <v>0</v>
      </c>
      <c r="CH304" s="16">
        <f t="shared" si="140"/>
        <v>0</v>
      </c>
      <c r="CJ304" s="16" t="e">
        <f t="shared" si="148"/>
        <v>#N/A</v>
      </c>
      <c r="CK304" s="16" t="str">
        <f t="shared" si="149"/>
        <v/>
      </c>
    </row>
    <row r="305" spans="1:89" ht="12" customHeight="1">
      <c r="A305" s="211"/>
      <c r="B305" s="211"/>
      <c r="C305" s="211"/>
      <c r="D305" s="211"/>
      <c r="E305" s="211"/>
      <c r="F305" s="211"/>
      <c r="G305" s="211"/>
      <c r="H305" s="211"/>
      <c r="I305" s="211"/>
      <c r="J305" s="211"/>
      <c r="K305" s="211"/>
      <c r="L305" s="211"/>
      <c r="M305" s="211"/>
      <c r="N305" s="211"/>
      <c r="O305" s="211"/>
      <c r="AM305" s="34">
        <f t="shared" si="134"/>
        <v>0.95689758844673634</v>
      </c>
      <c r="AN305" s="34">
        <f t="shared" si="119"/>
        <v>0.32413601316511631</v>
      </c>
      <c r="AO305" s="16">
        <f t="shared" si="120"/>
        <v>84.299999999999486</v>
      </c>
      <c r="AP305" s="16" t="e">
        <f t="shared" si="121"/>
        <v>#N/A</v>
      </c>
      <c r="AQ305" s="16">
        <f t="shared" si="122"/>
        <v>1.4856908971488934E-3</v>
      </c>
      <c r="AR305" s="34">
        <f t="shared" si="135"/>
        <v>0.15612267889082432</v>
      </c>
      <c r="AS305" s="34">
        <f t="shared" si="123"/>
        <v>0.81850306876003742</v>
      </c>
      <c r="AT305" s="540">
        <f t="shared" si="124"/>
        <v>29.700000000000152</v>
      </c>
      <c r="AU305" s="16" t="e">
        <f t="shared" si="125"/>
        <v>#N/A</v>
      </c>
      <c r="AV305" s="16">
        <f t="shared" si="126"/>
        <v>9.7541597913984486E-3</v>
      </c>
      <c r="AW305" s="34">
        <f t="shared" si="136"/>
        <v>0.92760364897549152</v>
      </c>
      <c r="AX305" s="34">
        <f t="shared" si="127"/>
        <v>0.54860235191881657</v>
      </c>
      <c r="AY305" s="16">
        <f t="shared" si="128"/>
        <v>79.099999999999781</v>
      </c>
      <c r="AZ305" s="16" t="e">
        <f t="shared" si="129"/>
        <v>#N/A</v>
      </c>
      <c r="BA305" s="16">
        <f t="shared" si="137"/>
        <v>3.7969213179183405E-3</v>
      </c>
      <c r="BB305" s="34">
        <f t="shared" si="138"/>
        <v>0.85759592987596989</v>
      </c>
      <c r="BC305" s="34">
        <f t="shared" si="130"/>
        <v>0.44750678725540638</v>
      </c>
      <c r="BD305" s="16">
        <f t="shared" si="131"/>
        <v>71.300000000000225</v>
      </c>
      <c r="BE305" s="16" t="e">
        <f t="shared" si="132"/>
        <v>#N/A</v>
      </c>
      <c r="BF305" s="16">
        <f t="shared" si="133"/>
        <v>5.0627428309636653E-3</v>
      </c>
      <c r="BU305" s="16">
        <f t="shared" si="150"/>
        <v>0</v>
      </c>
      <c r="BV305" s="16">
        <f>IF($BY$12=1,NORMDIST(BY305,$Y$6,$Y$8,TRUE),IF($BY$12=2,IF(BY305&lt;=$BX$31,0,IF(BY305&gt;=$BX$32,1,(BY305-$BX$31)*$BX$33)),SUM($BU$42:BU305)/$BV$40))</f>
        <v>0.11800872345376412</v>
      </c>
      <c r="BW305" s="16">
        <f t="shared" si="151"/>
        <v>0.25996341547597573</v>
      </c>
      <c r="BX305" s="16">
        <f>IF($BY$12&lt;3,BV305,SUM($BZ$42:BZ305)/$BX$40)</f>
        <v>0.11800872345376412</v>
      </c>
      <c r="BY305" s="16">
        <f t="shared" si="141"/>
        <v>26.300000000000104</v>
      </c>
      <c r="BZ305" s="16">
        <f t="shared" si="142"/>
        <v>9.8845405123944748E-3</v>
      </c>
      <c r="CA305" s="16">
        <f t="shared" si="152"/>
        <v>-999</v>
      </c>
      <c r="CB305" s="16" t="str">
        <f t="shared" si="143"/>
        <v/>
      </c>
      <c r="CC305" s="16" t="e">
        <f>IF(CB305="",NA(),COUNTIF(CB305:$CB$704,CB305))</f>
        <v>#N/A</v>
      </c>
      <c r="CD305" s="16" t="e">
        <f t="shared" si="144"/>
        <v>#N/A</v>
      </c>
      <c r="CE305" s="16" t="e">
        <f t="shared" si="145"/>
        <v>#N/A</v>
      </c>
      <c r="CF305" s="16">
        <f t="shared" si="146"/>
        <v>99</v>
      </c>
      <c r="CG305" s="16">
        <f t="shared" si="147"/>
        <v>0</v>
      </c>
      <c r="CH305" s="16">
        <f t="shared" si="140"/>
        <v>0</v>
      </c>
      <c r="CJ305" s="16" t="e">
        <f t="shared" si="148"/>
        <v>#N/A</v>
      </c>
      <c r="CK305" s="16" t="str">
        <f t="shared" si="149"/>
        <v/>
      </c>
    </row>
    <row r="306" spans="1:89" ht="12" customHeight="1">
      <c r="A306" s="211"/>
      <c r="B306" s="211"/>
      <c r="C306" s="211"/>
      <c r="D306" s="211"/>
      <c r="E306" s="211"/>
      <c r="F306" s="211"/>
      <c r="G306" s="211"/>
      <c r="H306" s="211"/>
      <c r="I306" s="211"/>
      <c r="J306" s="211"/>
      <c r="K306" s="211"/>
      <c r="L306" s="211"/>
      <c r="M306" s="211"/>
      <c r="N306" s="211"/>
      <c r="O306" s="211"/>
      <c r="AM306" s="34">
        <f t="shared" si="134"/>
        <v>0.34541933424770832</v>
      </c>
      <c r="AN306" s="34">
        <f t="shared" si="119"/>
        <v>0.83292842842638493</v>
      </c>
      <c r="AO306" s="16">
        <f t="shared" si="120"/>
        <v>42.000000000000327</v>
      </c>
      <c r="AP306" s="16" t="e">
        <f t="shared" si="121"/>
        <v>#N/A</v>
      </c>
      <c r="AQ306" s="16">
        <f t="shared" si="122"/>
        <v>1.5337133459960666E-2</v>
      </c>
      <c r="AR306" s="34">
        <f t="shared" si="135"/>
        <v>0.32814026810228825</v>
      </c>
      <c r="AS306" s="34">
        <f t="shared" si="123"/>
        <v>0.94684636779129505</v>
      </c>
      <c r="AT306" s="540">
        <f t="shared" si="124"/>
        <v>41.000000000000313</v>
      </c>
      <c r="AU306" s="16" t="e">
        <f t="shared" si="125"/>
        <v>#N/A</v>
      </c>
      <c r="AV306" s="16">
        <f t="shared" si="126"/>
        <v>1.7068182244882112E-2</v>
      </c>
      <c r="AW306" s="34">
        <f t="shared" si="136"/>
        <v>0.65101874060928822</v>
      </c>
      <c r="AX306" s="34">
        <f t="shared" si="127"/>
        <v>0.86933651007711887</v>
      </c>
      <c r="AY306" s="16">
        <f t="shared" si="128"/>
        <v>57.70000000000055</v>
      </c>
      <c r="AZ306" s="16" t="e">
        <f t="shared" si="129"/>
        <v>#N/A</v>
      </c>
      <c r="BA306" s="16">
        <f t="shared" si="137"/>
        <v>1.610205625992446E-2</v>
      </c>
      <c r="BB306" s="34">
        <f t="shared" si="138"/>
        <v>0.69014229811728001</v>
      </c>
      <c r="BC306" s="34">
        <f t="shared" si="130"/>
        <v>0.953022675588727</v>
      </c>
      <c r="BD306" s="16">
        <f t="shared" si="131"/>
        <v>59.900000000000581</v>
      </c>
      <c r="BE306" s="16" t="e">
        <f t="shared" si="132"/>
        <v>#N/A</v>
      </c>
      <c r="BF306" s="16">
        <f t="shared" si="133"/>
        <v>1.6818095006897307E-2</v>
      </c>
      <c r="BU306" s="16">
        <f t="shared" si="150"/>
        <v>0</v>
      </c>
      <c r="BV306" s="16">
        <f>IF($BY$12=1,NORMDIST(BY306,$Y$6,$Y$8,TRUE),IF($BY$12=2,IF(BY306&lt;=$BX$31,0,IF(BY306&gt;=$BX$32,1,(BY306-$BX$31)*$BX$33)),SUM($BU$42:BU306)/$BV$40))</f>
        <v>0.11900010745520184</v>
      </c>
      <c r="BW306" s="16">
        <f t="shared" si="151"/>
        <v>0.26249931759120682</v>
      </c>
      <c r="BX306" s="16">
        <f>IF($BY$12&lt;3,BV306,SUM($BZ$42:BZ306)/$BX$40)</f>
        <v>0.11900010745520184</v>
      </c>
      <c r="BY306" s="16">
        <f t="shared" si="141"/>
        <v>26.400000000000105</v>
      </c>
      <c r="BZ306" s="16">
        <f t="shared" si="142"/>
        <v>9.9431559693638552E-3</v>
      </c>
      <c r="CA306" s="16">
        <f t="shared" si="152"/>
        <v>-999</v>
      </c>
      <c r="CB306" s="16" t="str">
        <f t="shared" si="143"/>
        <v/>
      </c>
      <c r="CC306" s="16" t="e">
        <f>IF(CB306="",NA(),COUNTIF(CB306:$CB$704,CB306))</f>
        <v>#N/A</v>
      </c>
      <c r="CD306" s="16" t="e">
        <f t="shared" si="144"/>
        <v>#N/A</v>
      </c>
      <c r="CE306" s="16" t="e">
        <f t="shared" si="145"/>
        <v>#N/A</v>
      </c>
      <c r="CF306" s="16">
        <f t="shared" si="146"/>
        <v>99</v>
      </c>
      <c r="CG306" s="16">
        <f t="shared" si="147"/>
        <v>0</v>
      </c>
      <c r="CH306" s="16">
        <f t="shared" si="140"/>
        <v>0</v>
      </c>
      <c r="CJ306" s="16" t="e">
        <f t="shared" si="148"/>
        <v>#N/A</v>
      </c>
      <c r="CK306" s="16" t="str">
        <f t="shared" si="149"/>
        <v/>
      </c>
    </row>
    <row r="307" spans="1:89" ht="12" customHeight="1">
      <c r="A307" s="211"/>
      <c r="B307" s="211"/>
      <c r="C307" s="211"/>
      <c r="D307" s="211"/>
      <c r="E307" s="211"/>
      <c r="F307" s="211"/>
      <c r="G307" s="211"/>
      <c r="H307" s="211"/>
      <c r="I307" s="211"/>
      <c r="J307" s="211"/>
      <c r="K307" s="211"/>
      <c r="L307" s="211"/>
      <c r="M307" s="211"/>
      <c r="N307" s="211"/>
      <c r="O307" s="211"/>
      <c r="AM307" s="34">
        <f t="shared" si="134"/>
        <v>0.11233341880142689</v>
      </c>
      <c r="AN307" s="34">
        <f t="shared" ref="AN307:AN370" si="153">MOD(AM307*10000013,1)</f>
        <v>0.64834871329367161</v>
      </c>
      <c r="AO307" s="16">
        <f t="shared" ref="AO307:AO370" si="154">IF(VLOOKUP(AM307,$BX$42:$BY$4042,2)&gt;=$AO$112,NA(),VLOOKUP(AM307,$BX$42:$BY$4042,2))</f>
        <v>25.700000000000095</v>
      </c>
      <c r="AP307" s="16" t="e">
        <f t="shared" ref="AP307:AP370" si="155">IF(AND(AO307&lt;100,$P$16),AO307+AM308+$AU$113,NA())</f>
        <v>#N/A</v>
      </c>
      <c r="AQ307" s="16">
        <f t="shared" ref="AQ307:AQ370" si="156">IF(AN307*VLOOKUP(AO307,$BY$42:$BZ$1042,2)&lt;VLOOKUP(AO307,$BY$42:$BZ$1042,2)-$BZ$40/$CB$40,AN307*VLOOKUP(AO307,$BY$42:$BZ$1042,2),NA())</f>
        <v>6.1820218777555837E-3</v>
      </c>
      <c r="AR307" s="34">
        <f t="shared" si="135"/>
        <v>0.98691573180258274</v>
      </c>
      <c r="AS307" s="34">
        <f t="shared" ref="AS307:AS370" si="157">MOD(AR307*10000013,1)</f>
        <v>0.14793034084141254</v>
      </c>
      <c r="AT307" s="540">
        <f t="shared" ref="AT307:AT370" si="158">IF(VLOOKUP(AR307,$BX$42:$BY$4042,2)&gt;=$AO$112,NA(),VLOOKUP(AR307,$BX$42:$BY$4042,2))</f>
        <v>94.399999999998911</v>
      </c>
      <c r="AU307" s="16" t="e">
        <f t="shared" ref="AU307:AU370" si="159">IF(AND(AT307&lt;100,$P$16),AT307+AR308+$AU$113,NA())</f>
        <v>#N/A</v>
      </c>
      <c r="AV307" s="16">
        <f t="shared" ref="AV307:AV370" si="160">IF(AS307*VLOOKUP(AT307,$BY$42:$BZ$1042,2)&lt;VLOOKUP(AT307,$BY$42:$BZ$1042,2)-$BZ$40/$CB$40,AS307*VLOOKUP(AT307,$BY$42:$BZ$1042,2),NA())</f>
        <v>2.5104343329989906E-4</v>
      </c>
      <c r="AW307" s="34">
        <f t="shared" si="136"/>
        <v>0.40214581973850727</v>
      </c>
      <c r="AX307" s="34">
        <f t="shared" ref="AX307:AX370" si="161">MOD(AW307*10000013,1)</f>
        <v>0.4252807293087244</v>
      </c>
      <c r="AY307" s="16">
        <f t="shared" ref="AY307:AY370" si="162">IF(VLOOKUP(AW307,$BX$42:$BY$4042,2)&gt;=$AO$112,NA(),VLOOKUP(AW307,$BX$42:$BY$4042,2))</f>
        <v>45.000000000000369</v>
      </c>
      <c r="AZ307" s="16" t="e">
        <f t="shared" ref="AZ307:AZ370" si="163">IF(AND(AY307&lt;100,$P$16),AY307+AW308+$AU$113,NA())</f>
        <v>#N/A</v>
      </c>
      <c r="BA307" s="16">
        <f t="shared" si="137"/>
        <v>8.2221249357173742E-3</v>
      </c>
      <c r="BB307" s="34">
        <f t="shared" si="138"/>
        <v>0.14518205262720585</v>
      </c>
      <c r="BC307" s="34">
        <f t="shared" ref="BC307:BC370" si="164">MOD(BB307*10000013,1)</f>
        <v>0.41363874264061451</v>
      </c>
      <c r="BD307" s="16">
        <f t="shared" ref="BD307:BD370" si="165">IF(VLOOKUP(BB307,$BX$42:$BY$4042,2)&gt;=$AO$112,NA(),VLOOKUP(BB307,$BX$42:$BY$4042,2))</f>
        <v>28.800000000000139</v>
      </c>
      <c r="BE307" s="16" t="e">
        <f t="shared" ref="BE307:BE370" si="166">IF(AND(BD307&lt;100,$P$16),BD307+BB308+$AU$113,NA())</f>
        <v>#N/A</v>
      </c>
      <c r="BF307" s="16">
        <f t="shared" ref="BF307:BF370" si="167">IF(BC307*VLOOKUP(BD307,$BY$42:$BZ$1042,2)&lt;VLOOKUP(BD307,$BY$42:$BZ$1042,2)-$BZ$40/$CB$40,BC307*VLOOKUP(BD307,$BY$42:$BZ$1042,2),NA())</f>
        <v>4.7045126379298245E-3</v>
      </c>
      <c r="BU307" s="16">
        <f t="shared" si="150"/>
        <v>0</v>
      </c>
      <c r="BV307" s="16">
        <f>IF($BY$12=1,NORMDIST(BY307,$Y$6,$Y$8,TRUE),IF($BY$12=2,IF(BY307&lt;=$BX$31,0,IF(BY307&gt;=$BX$32,1,(BY307-$BX$31)*$BX$33)),SUM($BU$42:BU307)/$BV$40))</f>
        <v>0.11999735789901367</v>
      </c>
      <c r="BW307" s="16">
        <f t="shared" si="151"/>
        <v>0.26504952762349898</v>
      </c>
      <c r="BX307" s="16">
        <f>IF($BY$12&lt;3,BV307,SUM($BZ$42:BZ307)/$BX$40)</f>
        <v>0.11999735789901367</v>
      </c>
      <c r="BY307" s="16">
        <f t="shared" si="141"/>
        <v>26.500000000000107</v>
      </c>
      <c r="BZ307" s="16">
        <f t="shared" si="142"/>
        <v>1.0001868966924449E-2</v>
      </c>
      <c r="CA307" s="16">
        <f t="shared" si="152"/>
        <v>-999</v>
      </c>
      <c r="CB307" s="16" t="str">
        <f t="shared" si="143"/>
        <v/>
      </c>
      <c r="CC307" s="16" t="e">
        <f>IF(CB307="",NA(),COUNTIF(CB307:$CB$704,CB307))</f>
        <v>#N/A</v>
      </c>
      <c r="CD307" s="16" t="e">
        <f t="shared" si="144"/>
        <v>#N/A</v>
      </c>
      <c r="CE307" s="16" t="e">
        <f t="shared" si="145"/>
        <v>#N/A</v>
      </c>
      <c r="CF307" s="16">
        <f t="shared" si="146"/>
        <v>99</v>
      </c>
      <c r="CG307" s="16">
        <f t="shared" si="147"/>
        <v>0</v>
      </c>
      <c r="CH307" s="16">
        <f t="shared" si="140"/>
        <v>0</v>
      </c>
      <c r="CJ307" s="16" t="e">
        <f t="shared" si="148"/>
        <v>#N/A</v>
      </c>
      <c r="CK307" s="16" t="str">
        <f t="shared" si="149"/>
        <v/>
      </c>
    </row>
    <row r="308" spans="1:89" ht="12" customHeight="1">
      <c r="A308" s="211"/>
      <c r="B308" s="211"/>
      <c r="C308" s="211"/>
      <c r="D308" s="211"/>
      <c r="E308" s="211"/>
      <c r="F308" s="211"/>
      <c r="G308" s="211"/>
      <c r="H308" s="211"/>
      <c r="I308" s="211"/>
      <c r="J308" s="211"/>
      <c r="K308" s="211"/>
      <c r="L308" s="211"/>
      <c r="M308" s="211"/>
      <c r="N308" s="211"/>
      <c r="O308" s="211"/>
      <c r="AM308" s="34">
        <f t="shared" ref="AM308:AM371" si="168">MOD(AN307*10000013,1)</f>
        <v>0.56146998889744282</v>
      </c>
      <c r="AN308" s="34">
        <f t="shared" si="153"/>
        <v>0.18808428384363651</v>
      </c>
      <c r="AO308" s="16">
        <f t="shared" si="154"/>
        <v>53.000000000000483</v>
      </c>
      <c r="AP308" s="16" t="e">
        <f t="shared" si="155"/>
        <v>#N/A</v>
      </c>
      <c r="AQ308" s="16">
        <f t="shared" si="156"/>
        <v>3.7097681222463454E-3</v>
      </c>
      <c r="AR308" s="34">
        <f t="shared" ref="AR308:AR371" si="169">MOD(AS307*10000013,1)</f>
        <v>0.33150855638086796</v>
      </c>
      <c r="AS308" s="34">
        <f t="shared" si="157"/>
        <v>0.87341991253197193</v>
      </c>
      <c r="AT308" s="540">
        <f t="shared" si="158"/>
        <v>41.200000000000315</v>
      </c>
      <c r="AU308" s="16" t="e">
        <f t="shared" si="159"/>
        <v>#N/A</v>
      </c>
      <c r="AV308" s="16">
        <f t="shared" si="160"/>
        <v>1.5814790866101054E-2</v>
      </c>
      <c r="AW308" s="34">
        <f t="shared" ref="AW308:AW371" si="170">MOD(AX307*10000013,1)</f>
        <v>0.82173672504723072</v>
      </c>
      <c r="AX308" s="34">
        <f t="shared" si="161"/>
        <v>0.93304973281919956</v>
      </c>
      <c r="AY308" s="16">
        <f t="shared" si="162"/>
        <v>68.400000000000389</v>
      </c>
      <c r="AZ308" s="16" t="e">
        <f t="shared" si="163"/>
        <v>#N/A</v>
      </c>
      <c r="BA308" s="16">
        <f t="shared" ref="BA308:BA371" si="171">IF(AX308*VLOOKUP(AY308,$BY$42:$BZ$1042,2)&lt;VLOOKUP(AY308,$BY$42:$BZ$1042,2)-$BZ$40/$CB$40,AX308*VLOOKUP(AY308,$BY$42:$BZ$1042,2),NA())</f>
        <v>1.2189655678510401E-2</v>
      </c>
      <c r="BB308" s="34">
        <f t="shared" ref="BB308:BB371" si="172">MOD(BC307*10000013,1)</f>
        <v>0.80370979942381382</v>
      </c>
      <c r="BC308" s="34">
        <f t="shared" si="164"/>
        <v>0.4424655307084322</v>
      </c>
      <c r="BD308" s="16">
        <f t="shared" si="165"/>
        <v>67.000000000000469</v>
      </c>
      <c r="BE308" s="16" t="e">
        <f t="shared" si="166"/>
        <v>#N/A</v>
      </c>
      <c r="BF308" s="16">
        <f t="shared" si="167"/>
        <v>6.1499365085435987E-3</v>
      </c>
      <c r="BU308" s="16">
        <f t="shared" si="150"/>
        <v>0</v>
      </c>
      <c r="BV308" s="16">
        <f>IF($BY$12=1,NORMDIST(BY308,$Y$6,$Y$8,TRUE),IF($BY$12=2,IF(BY308&lt;=$BX$31,0,IF(BY308&gt;=$BX$32,1,(BY308-$BX$31)*$BX$33)),SUM($BU$42:BU308)/$BV$40))</f>
        <v>0.12100048442101929</v>
      </c>
      <c r="BW308" s="16">
        <f t="shared" si="151"/>
        <v>0.26761401183781525</v>
      </c>
      <c r="BX308" s="16">
        <f>IF($BY$12&lt;3,BV308,SUM($BZ$42:BZ308)/$BX$40)</f>
        <v>0.12100048442101929</v>
      </c>
      <c r="BY308" s="16">
        <f t="shared" si="141"/>
        <v>26.600000000000108</v>
      </c>
      <c r="BZ308" s="16">
        <f t="shared" si="142"/>
        <v>1.006067713675993E-2</v>
      </c>
      <c r="CA308" s="16">
        <f t="shared" si="152"/>
        <v>-999</v>
      </c>
      <c r="CB308" s="16" t="str">
        <f t="shared" si="143"/>
        <v/>
      </c>
      <c r="CC308" s="16" t="e">
        <f>IF(CB308="",NA(),COUNTIF(CB308:$CB$704,CB308))</f>
        <v>#N/A</v>
      </c>
      <c r="CD308" s="16" t="e">
        <f t="shared" si="144"/>
        <v>#N/A</v>
      </c>
      <c r="CE308" s="16" t="e">
        <f t="shared" si="145"/>
        <v>#N/A</v>
      </c>
      <c r="CF308" s="16">
        <f t="shared" si="146"/>
        <v>99</v>
      </c>
      <c r="CG308" s="16">
        <f t="shared" si="147"/>
        <v>0</v>
      </c>
      <c r="CH308" s="16">
        <f t="shared" si="140"/>
        <v>0</v>
      </c>
      <c r="CJ308" s="16" t="e">
        <f t="shared" si="148"/>
        <v>#N/A</v>
      </c>
      <c r="CK308" s="16" t="str">
        <f t="shared" si="149"/>
        <v/>
      </c>
    </row>
    <row r="309" spans="1:89" ht="12" customHeight="1">
      <c r="A309" s="211"/>
      <c r="B309" s="211"/>
      <c r="C309" s="211"/>
      <c r="D309" s="211"/>
      <c r="E309" s="211"/>
      <c r="F309" s="211"/>
      <c r="G309" s="211"/>
      <c r="H309" s="211"/>
      <c r="I309" s="211"/>
      <c r="J309" s="211"/>
      <c r="K309" s="211"/>
      <c r="L309" s="211"/>
      <c r="M309" s="211"/>
      <c r="N309" s="211"/>
      <c r="O309" s="211"/>
      <c r="AM309" s="34">
        <f t="shared" si="168"/>
        <v>0.28353205509483814</v>
      </c>
      <c r="AN309" s="34">
        <f t="shared" si="153"/>
        <v>0.23686509765684605</v>
      </c>
      <c r="AO309" s="16">
        <f t="shared" si="154"/>
        <v>38.500000000000277</v>
      </c>
      <c r="AP309" s="16" t="e">
        <f t="shared" si="155"/>
        <v>#N/A</v>
      </c>
      <c r="AQ309" s="16">
        <f t="shared" si="156"/>
        <v>4.0048553564168178E-3</v>
      </c>
      <c r="AR309" s="34">
        <f t="shared" si="169"/>
        <v>0.4797785822302103</v>
      </c>
      <c r="AS309" s="34">
        <f t="shared" si="157"/>
        <v>5.9423672035336494E-2</v>
      </c>
      <c r="AT309" s="540">
        <f t="shared" si="158"/>
        <v>48.900000000000425</v>
      </c>
      <c r="AU309" s="16" t="e">
        <f t="shared" si="159"/>
        <v>#N/A</v>
      </c>
      <c r="AV309" s="16">
        <f t="shared" si="160"/>
        <v>1.1835393039346749E-3</v>
      </c>
      <c r="AW309" s="34">
        <f t="shared" si="170"/>
        <v>0.45783852227032185</v>
      </c>
      <c r="AX309" s="34">
        <f t="shared" si="161"/>
        <v>0.17460400797426701</v>
      </c>
      <c r="AY309" s="16">
        <f t="shared" si="162"/>
        <v>47.800000000000409</v>
      </c>
      <c r="AZ309" s="16" t="e">
        <f t="shared" si="163"/>
        <v>#N/A</v>
      </c>
      <c r="BA309" s="16">
        <f t="shared" si="171"/>
        <v>3.461838448876237E-3</v>
      </c>
      <c r="BB309" s="34">
        <f t="shared" si="172"/>
        <v>5.9136221185326576E-2</v>
      </c>
      <c r="BC309" s="34">
        <f t="shared" si="164"/>
        <v>0.98062414117157459</v>
      </c>
      <c r="BD309" s="16">
        <f t="shared" si="165"/>
        <v>18.699999999999996</v>
      </c>
      <c r="BE309" s="16" t="e">
        <f t="shared" si="166"/>
        <v>#N/A</v>
      </c>
      <c r="BF309" s="16" t="e">
        <f t="shared" si="167"/>
        <v>#N/A</v>
      </c>
      <c r="BU309" s="16">
        <f t="shared" si="150"/>
        <v>0</v>
      </c>
      <c r="BV309" s="16">
        <f>IF($BY$12=1,NORMDIST(BY309,$Y$6,$Y$8,TRUE),IF($BY$12=2,IF(BY309&lt;=$BX$31,0,IF(BY309&gt;=$BX$32,1,(BY309-$BX$31)*$BX$33)),SUM($BU$42:BU309)/$BV$40))</f>
        <v>0.12200949641915049</v>
      </c>
      <c r="BW309" s="16">
        <f t="shared" si="151"/>
        <v>0.27019273498806068</v>
      </c>
      <c r="BX309" s="16">
        <f>IF($BY$12&lt;3,BV309,SUM($BZ$42:BZ309)/$BX$40)</f>
        <v>0.12200949641915049</v>
      </c>
      <c r="BY309" s="16">
        <f t="shared" si="141"/>
        <v>26.700000000000109</v>
      </c>
      <c r="BZ309" s="16">
        <f t="shared" si="142"/>
        <v>1.0119578089440433E-2</v>
      </c>
      <c r="CA309" s="16">
        <f t="shared" si="152"/>
        <v>-999</v>
      </c>
      <c r="CB309" s="16" t="str">
        <f t="shared" si="143"/>
        <v/>
      </c>
      <c r="CC309" s="16" t="e">
        <f>IF(CB309="",NA(),COUNTIF(CB309:$CB$704,CB309))</f>
        <v>#N/A</v>
      </c>
      <c r="CD309" s="16" t="e">
        <f t="shared" si="144"/>
        <v>#N/A</v>
      </c>
      <c r="CE309" s="16" t="e">
        <f t="shared" si="145"/>
        <v>#N/A</v>
      </c>
      <c r="CF309" s="16">
        <f t="shared" si="146"/>
        <v>99</v>
      </c>
      <c r="CG309" s="16">
        <f t="shared" si="147"/>
        <v>0</v>
      </c>
      <c r="CH309" s="16">
        <f t="shared" si="140"/>
        <v>0</v>
      </c>
      <c r="CJ309" s="16" t="e">
        <f t="shared" si="148"/>
        <v>#N/A</v>
      </c>
      <c r="CK309" s="16" t="str">
        <f t="shared" si="149"/>
        <v/>
      </c>
    </row>
    <row r="310" spans="1:89" ht="12" customHeight="1">
      <c r="A310" s="211"/>
      <c r="B310" s="211"/>
      <c r="C310" s="211"/>
      <c r="D310" s="211"/>
      <c r="E310" s="211"/>
      <c r="F310" s="211"/>
      <c r="G310" s="211"/>
      <c r="H310" s="211"/>
      <c r="I310" s="211"/>
      <c r="J310" s="211"/>
      <c r="K310" s="211"/>
      <c r="L310" s="211"/>
      <c r="M310" s="211"/>
      <c r="N310" s="211"/>
      <c r="O310" s="211"/>
      <c r="AM310" s="34">
        <f t="shared" si="168"/>
        <v>5.5814730003476143E-2</v>
      </c>
      <c r="AN310" s="34">
        <f t="shared" si="153"/>
        <v>2.5626251474022865E-2</v>
      </c>
      <c r="AO310" s="16">
        <f t="shared" si="154"/>
        <v>18.099999999999987</v>
      </c>
      <c r="AP310" s="16" t="e">
        <f t="shared" si="155"/>
        <v>#N/A</v>
      </c>
      <c r="AQ310" s="16">
        <f t="shared" si="156"/>
        <v>1.4326402355856345E-4</v>
      </c>
      <c r="AR310" s="34">
        <f t="shared" si="169"/>
        <v>0.49286110140383244</v>
      </c>
      <c r="AS310" s="34">
        <f t="shared" si="157"/>
        <v>0.42123264260590076</v>
      </c>
      <c r="AT310" s="540">
        <f t="shared" si="158"/>
        <v>49.600000000000435</v>
      </c>
      <c r="AU310" s="16" t="e">
        <f t="shared" si="159"/>
        <v>#N/A</v>
      </c>
      <c r="AV310" s="16">
        <f t="shared" si="160"/>
        <v>8.4006952439620915E-3</v>
      </c>
      <c r="AW310" s="34">
        <f t="shared" si="170"/>
        <v>0.34959477372467518</v>
      </c>
      <c r="AX310" s="34">
        <f t="shared" si="161"/>
        <v>0.28197881020605564</v>
      </c>
      <c r="AY310" s="16">
        <f t="shared" si="162"/>
        <v>42.20000000000033</v>
      </c>
      <c r="AZ310" s="16" t="e">
        <f t="shared" si="163"/>
        <v>#N/A</v>
      </c>
      <c r="BA310" s="16">
        <f t="shared" si="171"/>
        <v>5.2127686232991358E-3</v>
      </c>
      <c r="BB310" s="34">
        <f t="shared" si="172"/>
        <v>0.15982958115637302</v>
      </c>
      <c r="BC310" s="34">
        <f t="shared" si="164"/>
        <v>0.88934828527271748</v>
      </c>
      <c r="BD310" s="16">
        <f t="shared" si="165"/>
        <v>30.000000000000156</v>
      </c>
      <c r="BE310" s="16" t="e">
        <f t="shared" si="166"/>
        <v>#N/A</v>
      </c>
      <c r="BF310" s="16">
        <f t="shared" si="167"/>
        <v>1.0759812446864945E-2</v>
      </c>
      <c r="BU310" s="16">
        <f t="shared" si="150"/>
        <v>0</v>
      </c>
      <c r="BV310" s="16">
        <f>IF($BY$12=1,NORMDIST(BY310,$Y$6,$Y$8,TRUE),IF($BY$12=2,IF(BY310&lt;=$BX$31,0,IF(BY310&gt;=$BX$32,1,(BY310-$BX$31)*$BX$33)),SUM($BU$42:BU310)/$BV$40))</f>
        <v>0.12302440305134477</v>
      </c>
      <c r="BW310" s="16">
        <f t="shared" si="151"/>
        <v>0.27278566030962043</v>
      </c>
      <c r="BX310" s="16">
        <f>IF($BY$12&lt;3,BV310,SUM($BZ$42:BZ310)/$BX$40)</f>
        <v>0.12302440305134477</v>
      </c>
      <c r="BY310" s="16">
        <f t="shared" si="141"/>
        <v>26.800000000000111</v>
      </c>
      <c r="BZ310" s="16">
        <f t="shared" si="142"/>
        <v>1.0178569414538034E-2</v>
      </c>
      <c r="CA310" s="16">
        <f t="shared" si="152"/>
        <v>-999</v>
      </c>
      <c r="CB310" s="16" t="str">
        <f t="shared" si="143"/>
        <v/>
      </c>
      <c r="CC310" s="16" t="e">
        <f>IF(CB310="",NA(),COUNTIF(CB310:$CB$704,CB310))</f>
        <v>#N/A</v>
      </c>
      <c r="CD310" s="16" t="e">
        <f t="shared" si="144"/>
        <v>#N/A</v>
      </c>
      <c r="CE310" s="16" t="e">
        <f t="shared" si="145"/>
        <v>#N/A</v>
      </c>
      <c r="CF310" s="16">
        <f t="shared" si="146"/>
        <v>99</v>
      </c>
      <c r="CG310" s="16">
        <f t="shared" si="147"/>
        <v>0</v>
      </c>
      <c r="CH310" s="16">
        <f t="shared" si="140"/>
        <v>0</v>
      </c>
      <c r="CJ310" s="16" t="e">
        <f t="shared" si="148"/>
        <v>#N/A</v>
      </c>
      <c r="CK310" s="16" t="str">
        <f t="shared" si="149"/>
        <v/>
      </c>
    </row>
    <row r="311" spans="1:89" ht="12" customHeight="1">
      <c r="A311" s="211"/>
      <c r="B311" s="211"/>
      <c r="C311" s="211"/>
      <c r="D311" s="211"/>
      <c r="E311" s="211"/>
      <c r="F311" s="211"/>
      <c r="G311" s="211"/>
      <c r="H311" s="211"/>
      <c r="I311" s="211"/>
      <c r="J311" s="211"/>
      <c r="K311" s="211"/>
      <c r="L311" s="211"/>
      <c r="M311" s="211"/>
      <c r="N311" s="211"/>
      <c r="O311" s="211"/>
      <c r="AM311" s="34">
        <f t="shared" si="168"/>
        <v>0.84788149781525135</v>
      </c>
      <c r="AN311" s="34">
        <f t="shared" si="153"/>
        <v>6.1198510229587555E-4</v>
      </c>
      <c r="AO311" s="16">
        <f t="shared" si="154"/>
        <v>70.50000000000027</v>
      </c>
      <c r="AP311" s="16" t="e">
        <f t="shared" si="155"/>
        <v>#N/A</v>
      </c>
      <c r="AQ311" s="16">
        <f t="shared" si="156"/>
        <v>7.2190591501766931E-6</v>
      </c>
      <c r="AR311" s="34">
        <f t="shared" si="169"/>
        <v>0.90208336152136326</v>
      </c>
      <c r="AS311" s="34">
        <f t="shared" si="157"/>
        <v>0.34229733236134052</v>
      </c>
      <c r="AT311" s="540">
        <f t="shared" si="158"/>
        <v>75.799999999999969</v>
      </c>
      <c r="AU311" s="16" t="e">
        <f t="shared" si="159"/>
        <v>#N/A</v>
      </c>
      <c r="AV311" s="16">
        <f t="shared" si="160"/>
        <v>2.9711793022590203E-3</v>
      </c>
      <c r="AW311" s="34">
        <f t="shared" si="170"/>
        <v>0.7677850890904665</v>
      </c>
      <c r="AX311" s="34">
        <f t="shared" si="161"/>
        <v>0.87211082316935062</v>
      </c>
      <c r="AY311" s="16">
        <f t="shared" si="162"/>
        <v>64.600000000000605</v>
      </c>
      <c r="AZ311" s="16" t="e">
        <f t="shared" si="163"/>
        <v>#N/A</v>
      </c>
      <c r="BA311" s="16">
        <f t="shared" si="171"/>
        <v>1.3327048607227852E-2</v>
      </c>
      <c r="BB311" s="34">
        <f t="shared" si="172"/>
        <v>0.41425488330423832</v>
      </c>
      <c r="BC311" s="34">
        <f t="shared" si="164"/>
        <v>0.21835586614906788</v>
      </c>
      <c r="BD311" s="16">
        <f t="shared" si="165"/>
        <v>45.600000000000378</v>
      </c>
      <c r="BE311" s="16" t="e">
        <f t="shared" si="166"/>
        <v>#N/A</v>
      </c>
      <c r="BF311" s="16">
        <f t="shared" si="167"/>
        <v>4.2514297520927702E-3</v>
      </c>
      <c r="BU311" s="16">
        <f t="shared" si="150"/>
        <v>0</v>
      </c>
      <c r="BV311" s="16">
        <f>IF($BY$12=1,NORMDIST(BY311,$Y$6,$Y$8,TRUE),IF($BY$12=2,IF(BY311&lt;=$BX$31,0,IF(BY311&gt;=$BX$32,1,(BY311-$BX$31)*$BX$33)),SUM($BU$42:BU311)/$BV$40))</f>
        <v>0.1240452132334513</v>
      </c>
      <c r="BW311" s="16">
        <f t="shared" si="151"/>
        <v>0.27539274951205733</v>
      </c>
      <c r="BX311" s="16">
        <f>IF($BY$12&lt;3,BV311,SUM($BZ$42:BZ311)/$BX$40)</f>
        <v>0.1240452132334513</v>
      </c>
      <c r="BY311" s="16">
        <f t="shared" si="141"/>
        <v>26.900000000000112</v>
      </c>
      <c r="BZ311" s="16">
        <f t="shared" si="142"/>
        <v>1.0237648680745583E-2</v>
      </c>
      <c r="CA311" s="16">
        <f t="shared" si="152"/>
        <v>-999</v>
      </c>
      <c r="CB311" s="16" t="str">
        <f t="shared" si="143"/>
        <v/>
      </c>
      <c r="CC311" s="16" t="e">
        <f>IF(CB311="",NA(),COUNTIF(CB311:$CB$704,CB311))</f>
        <v>#N/A</v>
      </c>
      <c r="CD311" s="16" t="e">
        <f t="shared" si="144"/>
        <v>#N/A</v>
      </c>
      <c r="CE311" s="16" t="e">
        <f t="shared" si="145"/>
        <v>#N/A</v>
      </c>
      <c r="CF311" s="16">
        <f t="shared" si="146"/>
        <v>99</v>
      </c>
      <c r="CG311" s="16">
        <f t="shared" si="147"/>
        <v>0</v>
      </c>
      <c r="CH311" s="16">
        <f t="shared" si="140"/>
        <v>0</v>
      </c>
      <c r="CJ311" s="16" t="e">
        <f t="shared" si="148"/>
        <v>#N/A</v>
      </c>
      <c r="CK311" s="16" t="str">
        <f t="shared" si="149"/>
        <v/>
      </c>
    </row>
    <row r="312" spans="1:89" ht="12" customHeight="1">
      <c r="A312" s="211"/>
      <c r="B312" s="211"/>
      <c r="C312" s="211"/>
      <c r="D312" s="211"/>
      <c r="E312" s="211"/>
      <c r="F312" s="211"/>
      <c r="G312" s="211"/>
      <c r="H312" s="211"/>
      <c r="I312" s="211"/>
      <c r="J312" s="211"/>
      <c r="K312" s="211"/>
      <c r="L312" s="211"/>
      <c r="M312" s="211"/>
      <c r="N312" s="211"/>
      <c r="O312" s="211"/>
      <c r="AM312" s="34">
        <f t="shared" si="168"/>
        <v>0.85897876508533955</v>
      </c>
      <c r="AN312" s="34">
        <f t="shared" si="153"/>
        <v>0.81757734157145023</v>
      </c>
      <c r="AO312" s="16">
        <f t="shared" si="154"/>
        <v>71.500000000000213</v>
      </c>
      <c r="AP312" s="16" t="e">
        <f t="shared" si="155"/>
        <v>#N/A</v>
      </c>
      <c r="AQ312" s="16">
        <f t="shared" si="156"/>
        <v>9.1509911787270651E-3</v>
      </c>
      <c r="AR312" s="34">
        <f t="shared" si="169"/>
        <v>0.77347872592508793</v>
      </c>
      <c r="AS312" s="34">
        <f t="shared" si="157"/>
        <v>0.3144743163138628</v>
      </c>
      <c r="AT312" s="540">
        <f t="shared" si="158"/>
        <v>65.000000000000583</v>
      </c>
      <c r="AU312" s="16" t="e">
        <f t="shared" si="159"/>
        <v>#N/A</v>
      </c>
      <c r="AV312" s="16">
        <f t="shared" si="160"/>
        <v>4.7349994046696139E-3</v>
      </c>
      <c r="AW312" s="34">
        <f t="shared" si="170"/>
        <v>0.56913420744240284</v>
      </c>
      <c r="AX312" s="34">
        <f t="shared" si="161"/>
        <v>0.47316872514784336</v>
      </c>
      <c r="AY312" s="16">
        <f t="shared" si="162"/>
        <v>53.400000000000489</v>
      </c>
      <c r="AZ312" s="16" t="e">
        <f t="shared" si="163"/>
        <v>#N/A</v>
      </c>
      <c r="BA312" s="16">
        <f t="shared" si="171"/>
        <v>9.3029469928301353E-3</v>
      </c>
      <c r="BB312" s="34">
        <f t="shared" si="172"/>
        <v>0.50011693872511387</v>
      </c>
      <c r="BC312" s="34">
        <f t="shared" si="164"/>
        <v>0.88877134211361408</v>
      </c>
      <c r="BD312" s="16">
        <f t="shared" si="165"/>
        <v>50.000000000000441</v>
      </c>
      <c r="BE312" s="16" t="e">
        <f t="shared" si="166"/>
        <v>#N/A</v>
      </c>
      <c r="BF312" s="16">
        <f t="shared" si="167"/>
        <v>1.7728423298912353E-2</v>
      </c>
      <c r="BU312" s="16">
        <f t="shared" si="150"/>
        <v>0</v>
      </c>
      <c r="BV312" s="16">
        <f>IF($BY$12=1,NORMDIST(BY312,$Y$6,$Y$8,TRUE),IF($BY$12=2,IF(BY312&lt;=$BX$31,0,IF(BY312&gt;=$BX$32,1,(BY312-$BX$31)*$BX$33)),SUM($BU$42:BU312)/$BV$40))</f>
        <v>0.12507193563715147</v>
      </c>
      <c r="BW312" s="16">
        <f t="shared" si="151"/>
        <v>0.27801396277196888</v>
      </c>
      <c r="BX312" s="16">
        <f>IF($BY$12&lt;3,BV312,SUM($BZ$42:BZ312)/$BX$40)</f>
        <v>0.12507193563715147</v>
      </c>
      <c r="BY312" s="16">
        <f t="shared" si="141"/>
        <v>27.000000000000114</v>
      </c>
      <c r="BZ312" s="16">
        <f t="shared" si="142"/>
        <v>1.0296813435998803E-2</v>
      </c>
      <c r="CA312" s="16">
        <f t="shared" si="152"/>
        <v>-999</v>
      </c>
      <c r="CB312" s="16" t="str">
        <f t="shared" si="143"/>
        <v/>
      </c>
      <c r="CC312" s="16" t="e">
        <f>IF(CB312="",NA(),COUNTIF(CB312:$CB$704,CB312))</f>
        <v>#N/A</v>
      </c>
      <c r="CD312" s="16" t="e">
        <f t="shared" si="144"/>
        <v>#N/A</v>
      </c>
      <c r="CE312" s="16" t="e">
        <f t="shared" si="145"/>
        <v>#N/A</v>
      </c>
      <c r="CF312" s="16">
        <f t="shared" si="146"/>
        <v>99</v>
      </c>
      <c r="CG312" s="16">
        <f t="shared" si="147"/>
        <v>0</v>
      </c>
      <c r="CH312" s="16">
        <f t="shared" si="140"/>
        <v>0</v>
      </c>
      <c r="CJ312" s="16" t="e">
        <f t="shared" si="148"/>
        <v>#N/A</v>
      </c>
      <c r="CK312" s="16" t="str">
        <f t="shared" si="149"/>
        <v/>
      </c>
    </row>
    <row r="313" spans="1:89" ht="12" customHeight="1">
      <c r="A313" s="211"/>
      <c r="B313" s="211"/>
      <c r="C313" s="211"/>
      <c r="D313" s="211"/>
      <c r="E313" s="211"/>
      <c r="F313" s="211"/>
      <c r="G313" s="211"/>
      <c r="H313" s="211"/>
      <c r="I313" s="211"/>
      <c r="J313" s="211"/>
      <c r="K313" s="211"/>
      <c r="L313" s="211"/>
      <c r="M313" s="211"/>
      <c r="N313" s="211"/>
      <c r="O313" s="211"/>
      <c r="AM313" s="34">
        <f t="shared" si="168"/>
        <v>4.4219942763447762E-2</v>
      </c>
      <c r="AN313" s="34">
        <f t="shared" si="153"/>
        <v>2.4937335401773453E-3</v>
      </c>
      <c r="AO313" s="16">
        <f t="shared" si="154"/>
        <v>15.899999999999959</v>
      </c>
      <c r="AP313" s="16" t="e">
        <f t="shared" si="155"/>
        <v>#N/A</v>
      </c>
      <c r="AQ313" s="16">
        <f t="shared" si="156"/>
        <v>1.1627267351301641E-5</v>
      </c>
      <c r="AR313" s="34">
        <f t="shared" si="169"/>
        <v>0.25130474008619785</v>
      </c>
      <c r="AS313" s="34">
        <f t="shared" si="157"/>
        <v>0.66782359965145588</v>
      </c>
      <c r="AT313" s="540">
        <f t="shared" si="158"/>
        <v>36.500000000000249</v>
      </c>
      <c r="AU313" s="16" t="e">
        <f t="shared" si="159"/>
        <v>#N/A</v>
      </c>
      <c r="AV313" s="16">
        <f t="shared" si="160"/>
        <v>1.0607282139380801E-2</v>
      </c>
      <c r="AW313" s="34">
        <f t="shared" si="170"/>
        <v>0.40267186053097248</v>
      </c>
      <c r="AX313" s="34">
        <f t="shared" si="161"/>
        <v>0.84004391171038151</v>
      </c>
      <c r="AY313" s="16">
        <f t="shared" si="162"/>
        <v>45.000000000000369</v>
      </c>
      <c r="AZ313" s="16" t="e">
        <f t="shared" si="163"/>
        <v>#N/A</v>
      </c>
      <c r="BA313" s="16">
        <f t="shared" si="171"/>
        <v>1.624090986863768E-2</v>
      </c>
      <c r="BB313" s="34">
        <f t="shared" si="172"/>
        <v>0.97516358830034733</v>
      </c>
      <c r="BC313" s="34">
        <f t="shared" si="164"/>
        <v>0.56013012118637562</v>
      </c>
      <c r="BD313" s="16">
        <f t="shared" si="165"/>
        <v>89.199999999999207</v>
      </c>
      <c r="BE313" s="16" t="e">
        <f t="shared" si="166"/>
        <v>#N/A</v>
      </c>
      <c r="BF313" s="16">
        <f t="shared" si="167"/>
        <v>1.6367266615872468E-3</v>
      </c>
      <c r="BU313" s="16">
        <f t="shared" si="150"/>
        <v>0</v>
      </c>
      <c r="BV313" s="16">
        <f>IF($BY$12=1,NORMDIST(BY313,$Y$6,$Y$8,TRUE),IF($BY$12=2,IF(BY313&lt;=$BX$31,0,IF(BY313&gt;=$BX$32,1,(BY313-$BX$31)*$BX$33)),SUM($BU$42:BU313)/$BV$40))</f>
        <v>0.1261045786878856</v>
      </c>
      <c r="BW313" s="16">
        <f t="shared" si="151"/>
        <v>0.28064925872600821</v>
      </c>
      <c r="BX313" s="16">
        <f>IF($BY$12&lt;3,BV313,SUM($BZ$42:BZ313)/$BX$40)</f>
        <v>0.1261045786878856</v>
      </c>
      <c r="BY313" s="16">
        <f t="shared" si="141"/>
        <v>27.100000000000115</v>
      </c>
      <c r="BZ313" s="16">
        <f t="shared" si="142"/>
        <v>1.0356061207601736E-2</v>
      </c>
      <c r="CA313" s="16">
        <f t="shared" si="152"/>
        <v>-999</v>
      </c>
      <c r="CB313" s="16" t="str">
        <f t="shared" si="143"/>
        <v/>
      </c>
      <c r="CC313" s="16" t="e">
        <f>IF(CB313="",NA(),COUNTIF(CB313:$CB$704,CB313))</f>
        <v>#N/A</v>
      </c>
      <c r="CD313" s="16" t="e">
        <f t="shared" si="144"/>
        <v>#N/A</v>
      </c>
      <c r="CE313" s="16" t="e">
        <f t="shared" si="145"/>
        <v>#N/A</v>
      </c>
      <c r="CF313" s="16">
        <f t="shared" si="146"/>
        <v>99</v>
      </c>
      <c r="CG313" s="16">
        <f t="shared" si="147"/>
        <v>0</v>
      </c>
      <c r="CH313" s="16">
        <f t="shared" si="140"/>
        <v>0</v>
      </c>
      <c r="CJ313" s="16" t="e">
        <f t="shared" si="148"/>
        <v>#N/A</v>
      </c>
      <c r="CK313" s="16" t="str">
        <f t="shared" si="149"/>
        <v/>
      </c>
    </row>
    <row r="314" spans="1:89" ht="12" customHeight="1">
      <c r="A314" s="211"/>
      <c r="B314" s="211"/>
      <c r="C314" s="211"/>
      <c r="D314" s="211"/>
      <c r="E314" s="211"/>
      <c r="F314" s="211"/>
      <c r="G314" s="211"/>
      <c r="H314" s="211"/>
      <c r="I314" s="211"/>
      <c r="J314" s="211"/>
      <c r="K314" s="211"/>
      <c r="L314" s="211"/>
      <c r="M314" s="211"/>
      <c r="N314" s="211"/>
      <c r="O314" s="211"/>
      <c r="AM314" s="34">
        <f t="shared" si="168"/>
        <v>0.36782030947506428</v>
      </c>
      <c r="AN314" s="34">
        <f t="shared" si="153"/>
        <v>0.87641466595232487</v>
      </c>
      <c r="AO314" s="16">
        <f t="shared" si="154"/>
        <v>43.200000000000344</v>
      </c>
      <c r="AP314" s="16" t="e">
        <f t="shared" si="155"/>
        <v>#N/A</v>
      </c>
      <c r="AQ314" s="16">
        <f t="shared" si="156"/>
        <v>1.650013454533648E-2</v>
      </c>
      <c r="AR314" s="34">
        <f t="shared" si="169"/>
        <v>0.67822135426104069</v>
      </c>
      <c r="AS314" s="34">
        <f t="shared" si="157"/>
        <v>0.35948801226913929</v>
      </c>
      <c r="AT314" s="540">
        <f t="shared" si="158"/>
        <v>59.200000000000571</v>
      </c>
      <c r="AU314" s="16" t="e">
        <f t="shared" si="159"/>
        <v>#N/A</v>
      </c>
      <c r="AV314" s="16">
        <f t="shared" si="160"/>
        <v>6.4508378673170073E-3</v>
      </c>
      <c r="AW314" s="34">
        <f t="shared" si="170"/>
        <v>3.7674667313694954E-2</v>
      </c>
      <c r="AX314" s="34">
        <f t="shared" si="161"/>
        <v>0.16290762461721897</v>
      </c>
      <c r="AY314" s="16">
        <f t="shared" si="162"/>
        <v>14.399999999999965</v>
      </c>
      <c r="AZ314" s="16" t="e">
        <f t="shared" si="163"/>
        <v>#N/A</v>
      </c>
      <c r="BA314" s="16">
        <f t="shared" si="171"/>
        <v>6.6651843072949195E-4</v>
      </c>
      <c r="BB314" s="34">
        <f t="shared" si="172"/>
        <v>0.4935553316026926</v>
      </c>
      <c r="BC314" s="34">
        <f t="shared" si="164"/>
        <v>0.73224623687565327</v>
      </c>
      <c r="BD314" s="16">
        <f t="shared" si="165"/>
        <v>49.600000000000435</v>
      </c>
      <c r="BE314" s="16" t="e">
        <f t="shared" si="166"/>
        <v>#N/A</v>
      </c>
      <c r="BF314" s="16">
        <f t="shared" si="167"/>
        <v>1.4603278229996007E-2</v>
      </c>
      <c r="BU314" s="16">
        <f t="shared" si="150"/>
        <v>0</v>
      </c>
      <c r="BV314" s="16">
        <f>IF($BY$12=1,NORMDIST(BY314,$Y$6,$Y$8,TRUE),IF($BY$12=2,IF(BY314&lt;=$BX$31,0,IF(BY314&gt;=$BX$32,1,(BY314-$BX$31)*$BX$33)),SUM($BU$42:BU314)/$BV$40))</f>
        <v>0.12714315056279957</v>
      </c>
      <c r="BW314" s="16">
        <f t="shared" si="151"/>
        <v>0.28329859446407041</v>
      </c>
      <c r="BX314" s="16">
        <f>IF($BY$12&lt;3,BV314,SUM($BZ$42:BZ314)/$BX$40)</f>
        <v>0.12714315056279957</v>
      </c>
      <c r="BY314" s="16">
        <f t="shared" si="141"/>
        <v>27.200000000000117</v>
      </c>
      <c r="BZ314" s="16">
        <f t="shared" si="142"/>
        <v>1.0415389502355484E-2</v>
      </c>
      <c r="CA314" s="16">
        <f t="shared" si="152"/>
        <v>-999</v>
      </c>
      <c r="CB314" s="16" t="str">
        <f t="shared" si="143"/>
        <v/>
      </c>
      <c r="CC314" s="16" t="e">
        <f>IF(CB314="",NA(),COUNTIF(CB314:$CB$704,CB314))</f>
        <v>#N/A</v>
      </c>
      <c r="CD314" s="16" t="e">
        <f t="shared" si="144"/>
        <v>#N/A</v>
      </c>
      <c r="CE314" s="16" t="e">
        <f t="shared" si="145"/>
        <v>#N/A</v>
      </c>
      <c r="CF314" s="16">
        <f t="shared" si="146"/>
        <v>99</v>
      </c>
      <c r="CG314" s="16">
        <f t="shared" si="147"/>
        <v>0</v>
      </c>
      <c r="CH314" s="16">
        <f t="shared" si="140"/>
        <v>0</v>
      </c>
      <c r="CJ314" s="16" t="e">
        <f t="shared" si="148"/>
        <v>#N/A</v>
      </c>
      <c r="CK314" s="16" t="str">
        <f t="shared" si="149"/>
        <v/>
      </c>
    </row>
    <row r="315" spans="1:89" ht="12" customHeight="1">
      <c r="A315" s="211"/>
      <c r="B315" s="211"/>
      <c r="C315" s="211"/>
      <c r="D315" s="211"/>
      <c r="E315" s="211"/>
      <c r="F315" s="211"/>
      <c r="G315" s="211"/>
      <c r="H315" s="211"/>
      <c r="I315" s="211"/>
      <c r="J315" s="211"/>
      <c r="K315" s="211"/>
      <c r="L315" s="211"/>
      <c r="M315" s="211"/>
      <c r="N315" s="211"/>
      <c r="O315" s="211"/>
      <c r="AM315" s="34">
        <f t="shared" si="168"/>
        <v>5.2913906052708626E-2</v>
      </c>
      <c r="AN315" s="34">
        <f t="shared" si="153"/>
        <v>0.74840786494314671</v>
      </c>
      <c r="AO315" s="16">
        <f t="shared" si="154"/>
        <v>17.59999999999998</v>
      </c>
      <c r="AP315" s="16" t="e">
        <f t="shared" si="155"/>
        <v>#N/A</v>
      </c>
      <c r="AQ315" s="16">
        <f t="shared" si="156"/>
        <v>4.0191775678802772E-3</v>
      </c>
      <c r="AR315" s="34">
        <f t="shared" si="169"/>
        <v>0.79603555239737034</v>
      </c>
      <c r="AS315" s="34">
        <f t="shared" si="157"/>
        <v>0.87243588455021381</v>
      </c>
      <c r="AT315" s="540">
        <f t="shared" si="158"/>
        <v>66.500000000000497</v>
      </c>
      <c r="AU315" s="16" t="e">
        <f t="shared" si="159"/>
        <v>#N/A</v>
      </c>
      <c r="AV315" s="16">
        <f t="shared" si="160"/>
        <v>1.2382768385935026E-2</v>
      </c>
      <c r="AW315" s="34">
        <f t="shared" si="170"/>
        <v>0.36397130973637104</v>
      </c>
      <c r="AX315" s="34">
        <f t="shared" si="161"/>
        <v>0.82899073697626591</v>
      </c>
      <c r="AY315" s="16">
        <f t="shared" si="162"/>
        <v>43.000000000000341</v>
      </c>
      <c r="AZ315" s="16" t="e">
        <f t="shared" si="163"/>
        <v>#N/A</v>
      </c>
      <c r="BA315" s="16">
        <f t="shared" si="171"/>
        <v>1.5553538586695191E-2</v>
      </c>
      <c r="BB315" s="34">
        <f t="shared" si="172"/>
        <v>0.88795761205255985</v>
      </c>
      <c r="BC315" s="34">
        <f t="shared" si="164"/>
        <v>0.66397455520927906</v>
      </c>
      <c r="BD315" s="16">
        <f t="shared" si="165"/>
        <v>74.300000000000054</v>
      </c>
      <c r="BE315" s="16" t="e">
        <f t="shared" si="166"/>
        <v>#N/A</v>
      </c>
      <c r="BF315" s="16">
        <f t="shared" si="167"/>
        <v>6.3310146876431285E-3</v>
      </c>
      <c r="BU315" s="16">
        <f t="shared" si="150"/>
        <v>0</v>
      </c>
      <c r="BV315" s="16">
        <f>IF($BY$12=1,NORMDIST(BY315,$Y$6,$Y$8,TRUE),IF($BY$12=2,IF(BY315&lt;=$BX$31,0,IF(BY315&gt;=$BX$32,1,(BY315-$BX$31)*$BX$33)),SUM($BU$42:BU315)/$BV$40))</f>
        <v>0.12818765918869857</v>
      </c>
      <c r="BW315" s="16">
        <f t="shared" si="151"/>
        <v>0.28596192552264582</v>
      </c>
      <c r="BX315" s="16">
        <f>IF($BY$12&lt;3,BV315,SUM($BZ$42:BZ315)/$BX$40)</f>
        <v>0.12818765918869857</v>
      </c>
      <c r="BY315" s="16">
        <f t="shared" si="141"/>
        <v>27.300000000000118</v>
      </c>
      <c r="BZ315" s="16">
        <f t="shared" si="142"/>
        <v>1.0474795806690277E-2</v>
      </c>
      <c r="CA315" s="16">
        <f t="shared" si="152"/>
        <v>-999</v>
      </c>
      <c r="CB315" s="16" t="str">
        <f t="shared" si="143"/>
        <v/>
      </c>
      <c r="CC315" s="16" t="e">
        <f>IF(CB315="",NA(),COUNTIF(CB315:$CB$704,CB315))</f>
        <v>#N/A</v>
      </c>
      <c r="CD315" s="16" t="e">
        <f t="shared" si="144"/>
        <v>#N/A</v>
      </c>
      <c r="CE315" s="16" t="e">
        <f t="shared" si="145"/>
        <v>#N/A</v>
      </c>
      <c r="CF315" s="16">
        <f t="shared" si="146"/>
        <v>99</v>
      </c>
      <c r="CG315" s="16">
        <f t="shared" si="147"/>
        <v>0</v>
      </c>
      <c r="CH315" s="16">
        <f t="shared" si="140"/>
        <v>0</v>
      </c>
      <c r="CJ315" s="16" t="e">
        <f t="shared" si="148"/>
        <v>#N/A</v>
      </c>
      <c r="CK315" s="16" t="str">
        <f t="shared" si="149"/>
        <v/>
      </c>
    </row>
    <row r="316" spans="1:89" ht="12" customHeight="1">
      <c r="A316" s="211"/>
      <c r="B316" s="211"/>
      <c r="C316" s="211"/>
      <c r="D316" s="211"/>
      <c r="E316" s="211"/>
      <c r="F316" s="211"/>
      <c r="G316" s="211"/>
      <c r="H316" s="211"/>
      <c r="I316" s="211"/>
      <c r="J316" s="211"/>
      <c r="K316" s="211"/>
      <c r="L316" s="211"/>
      <c r="M316" s="211"/>
      <c r="N316" s="211"/>
      <c r="O316" s="211"/>
      <c r="AM316" s="34">
        <f t="shared" si="168"/>
        <v>0.37873371131718159</v>
      </c>
      <c r="AN316" s="34">
        <f t="shared" si="153"/>
        <v>3.6710062995553017E-2</v>
      </c>
      <c r="AO316" s="16">
        <f t="shared" si="154"/>
        <v>43.800000000000352</v>
      </c>
      <c r="AP316" s="16" t="e">
        <f t="shared" si="155"/>
        <v>#N/A</v>
      </c>
      <c r="AQ316" s="16">
        <f t="shared" si="156"/>
        <v>6.9790667177453507E-4</v>
      </c>
      <c r="AR316" s="34">
        <f t="shared" si="169"/>
        <v>0.18716863729059696</v>
      </c>
      <c r="AS316" s="34">
        <f t="shared" si="157"/>
        <v>0.80609825439751148</v>
      </c>
      <c r="AT316" s="540">
        <f t="shared" si="158"/>
        <v>32.200000000000188</v>
      </c>
      <c r="AU316" s="16" t="e">
        <f t="shared" si="159"/>
        <v>#N/A</v>
      </c>
      <c r="AV316" s="16">
        <f t="shared" si="160"/>
        <v>1.0820958246687239E-2</v>
      </c>
      <c r="AW316" s="34">
        <f t="shared" si="170"/>
        <v>0.14664223976433277</v>
      </c>
      <c r="AX316" s="34">
        <f t="shared" si="161"/>
        <v>0.30399244464933872</v>
      </c>
      <c r="AY316" s="16">
        <f t="shared" si="162"/>
        <v>28.900000000000141</v>
      </c>
      <c r="AZ316" s="16" t="e">
        <f t="shared" si="163"/>
        <v>#N/A</v>
      </c>
      <c r="BA316" s="16">
        <f t="shared" si="171"/>
        <v>3.4757821791430725E-3</v>
      </c>
      <c r="BB316" s="34">
        <f t="shared" si="172"/>
        <v>0.18376200832426548</v>
      </c>
      <c r="BC316" s="34">
        <f t="shared" si="164"/>
        <v>0.47214876301586628</v>
      </c>
      <c r="BD316" s="16">
        <f t="shared" si="165"/>
        <v>31.900000000000183</v>
      </c>
      <c r="BE316" s="16" t="e">
        <f t="shared" si="166"/>
        <v>#N/A</v>
      </c>
      <c r="BF316" s="16">
        <f t="shared" si="167"/>
        <v>6.2533092589250553E-3</v>
      </c>
      <c r="BU316" s="16">
        <f t="shared" si="150"/>
        <v>0</v>
      </c>
      <c r="BV316" s="16">
        <f>IF($BY$12=1,NORMDIST(BY316,$Y$6,$Y$8,TRUE),IF($BY$12=2,IF(BY316&lt;=$BX$31,0,IF(BY316&gt;=$BX$32,1,(BY316-$BX$31)*$BX$33)),SUM($BU$42:BU316)/$BV$40))</f>
        <v>0.12923811224001902</v>
      </c>
      <c r="BW316" s="16">
        <f t="shared" si="151"/>
        <v>0.28863920587834418</v>
      </c>
      <c r="BX316" s="16">
        <f>IF($BY$12&lt;3,BV316,SUM($BZ$42:BZ316)/$BX$40)</f>
        <v>0.12923811224001902</v>
      </c>
      <c r="BY316" s="16">
        <f t="shared" si="141"/>
        <v>27.400000000000119</v>
      </c>
      <c r="BZ316" s="16">
        <f t="shared" si="142"/>
        <v>1.0534277586800837E-2</v>
      </c>
      <c r="CA316" s="16">
        <f t="shared" si="152"/>
        <v>-999</v>
      </c>
      <c r="CB316" s="16" t="str">
        <f t="shared" si="143"/>
        <v/>
      </c>
      <c r="CC316" s="16" t="e">
        <f>IF(CB316="",NA(),COUNTIF(CB316:$CB$704,CB316))</f>
        <v>#N/A</v>
      </c>
      <c r="CD316" s="16" t="e">
        <f t="shared" si="144"/>
        <v>#N/A</v>
      </c>
      <c r="CE316" s="16" t="e">
        <f t="shared" si="145"/>
        <v>#N/A</v>
      </c>
      <c r="CF316" s="16">
        <f t="shared" si="146"/>
        <v>99</v>
      </c>
      <c r="CG316" s="16">
        <f t="shared" si="147"/>
        <v>0</v>
      </c>
      <c r="CH316" s="16">
        <f t="shared" si="140"/>
        <v>0</v>
      </c>
      <c r="CJ316" s="16" t="e">
        <f t="shared" si="148"/>
        <v>#N/A</v>
      </c>
      <c r="CK316" s="16" t="str">
        <f t="shared" si="149"/>
        <v/>
      </c>
    </row>
    <row r="317" spans="1:89" ht="12" customHeight="1">
      <c r="A317" s="211"/>
      <c r="B317" s="211"/>
      <c r="C317" s="211"/>
      <c r="D317" s="211"/>
      <c r="E317" s="211"/>
      <c r="F317" s="211"/>
      <c r="G317" s="211"/>
      <c r="H317" s="211"/>
      <c r="I317" s="211"/>
      <c r="J317" s="211"/>
      <c r="K317" s="211"/>
      <c r="L317" s="211"/>
      <c r="M317" s="211"/>
      <c r="N317" s="211"/>
      <c r="O317" s="211"/>
      <c r="AM317" s="34">
        <f t="shared" si="168"/>
        <v>0.10718634910881519</v>
      </c>
      <c r="AN317" s="34">
        <f t="shared" si="153"/>
        <v>0.88451069034636021</v>
      </c>
      <c r="AO317" s="16">
        <f t="shared" si="154"/>
        <v>25.100000000000087</v>
      </c>
      <c r="AP317" s="16" t="e">
        <f t="shared" si="155"/>
        <v>#N/A</v>
      </c>
      <c r="AQ317" s="16">
        <f t="shared" si="156"/>
        <v>8.1282958828559435E-3</v>
      </c>
      <c r="AR317" s="34">
        <f t="shared" si="169"/>
        <v>2.3252421990036964E-2</v>
      </c>
      <c r="AS317" s="34">
        <f t="shared" si="157"/>
        <v>0.52218185551464558</v>
      </c>
      <c r="AT317" s="540">
        <f t="shared" si="158"/>
        <v>10.09999999999998</v>
      </c>
      <c r="AU317" s="16" t="e">
        <f t="shared" si="159"/>
        <v>#N/A</v>
      </c>
      <c r="AV317" s="16">
        <f t="shared" si="160"/>
        <v>1.4238046259014083E-3</v>
      </c>
      <c r="AW317" s="34">
        <f t="shared" si="170"/>
        <v>0.39839516766369343</v>
      </c>
      <c r="AX317" s="34">
        <f t="shared" si="161"/>
        <v>0.85577411390841007</v>
      </c>
      <c r="AY317" s="16">
        <f t="shared" si="162"/>
        <v>44.800000000000367</v>
      </c>
      <c r="AZ317" s="16" t="e">
        <f t="shared" si="163"/>
        <v>#N/A</v>
      </c>
      <c r="BA317" s="16">
        <f t="shared" si="171"/>
        <v>1.6502892175966906E-2</v>
      </c>
      <c r="BB317" s="34">
        <f t="shared" si="172"/>
        <v>0.76809258200228214</v>
      </c>
      <c r="BC317" s="34">
        <f t="shared" si="164"/>
        <v>0.80522638745605946</v>
      </c>
      <c r="BD317" s="16">
        <f t="shared" si="165"/>
        <v>64.600000000000605</v>
      </c>
      <c r="BE317" s="16" t="e">
        <f t="shared" si="166"/>
        <v>#N/A</v>
      </c>
      <c r="BF317" s="16">
        <f t="shared" si="167"/>
        <v>1.2304962764308612E-2</v>
      </c>
      <c r="BU317" s="16">
        <f t="shared" si="150"/>
        <v>0</v>
      </c>
      <c r="BV317" s="16">
        <f>IF($BY$12=1,NORMDIST(BY317,$Y$6,$Y$8,TRUE),IF($BY$12=2,IF(BY317&lt;=$BX$31,0,IF(BY317&gt;=$BX$32,1,(BY317-$BX$31)*$BX$33)),SUM($BU$42:BU317)/$BV$40))</f>
        <v>0.13029451713681017</v>
      </c>
      <c r="BW317" s="16">
        <f t="shared" si="151"/>
        <v>0.29133038794159</v>
      </c>
      <c r="BX317" s="16">
        <f>IF($BY$12&lt;3,BV317,SUM($BZ$42:BZ317)/$BX$40)</f>
        <v>0.13029451713681017</v>
      </c>
      <c r="BY317" s="16">
        <f t="shared" si="141"/>
        <v>27.500000000000121</v>
      </c>
      <c r="BZ317" s="16">
        <f t="shared" si="142"/>
        <v>1.0593832288785044E-2</v>
      </c>
      <c r="CA317" s="16">
        <f t="shared" si="152"/>
        <v>-999</v>
      </c>
      <c r="CB317" s="16" t="str">
        <f t="shared" si="143"/>
        <v/>
      </c>
      <c r="CC317" s="16" t="e">
        <f>IF(CB317="",NA(),COUNTIF(CB317:$CB$704,CB317))</f>
        <v>#N/A</v>
      </c>
      <c r="CD317" s="16" t="e">
        <f t="shared" si="144"/>
        <v>#N/A</v>
      </c>
      <c r="CE317" s="16" t="e">
        <f t="shared" si="145"/>
        <v>#N/A</v>
      </c>
      <c r="CF317" s="16">
        <f t="shared" si="146"/>
        <v>99</v>
      </c>
      <c r="CG317" s="16">
        <f t="shared" si="147"/>
        <v>0</v>
      </c>
      <c r="CH317" s="16">
        <f t="shared" si="140"/>
        <v>0</v>
      </c>
      <c r="CJ317" s="16" t="e">
        <f t="shared" si="148"/>
        <v>#N/A</v>
      </c>
      <c r="CK317" s="16" t="str">
        <f t="shared" si="149"/>
        <v/>
      </c>
    </row>
    <row r="318" spans="1:89" ht="12" customHeight="1">
      <c r="A318" s="211"/>
      <c r="B318" s="211"/>
      <c r="C318" s="211"/>
      <c r="D318" s="211"/>
      <c r="E318" s="211"/>
      <c r="F318" s="211"/>
      <c r="G318" s="211"/>
      <c r="H318" s="211"/>
      <c r="I318" s="211"/>
      <c r="J318" s="211"/>
      <c r="K318" s="211"/>
      <c r="L318" s="211"/>
      <c r="M318" s="211"/>
      <c r="N318" s="211"/>
      <c r="O318" s="211"/>
      <c r="AM318" s="34">
        <f t="shared" si="168"/>
        <v>0.40210257656872272</v>
      </c>
      <c r="AN318" s="34">
        <f t="shared" si="153"/>
        <v>0.99302072264254093</v>
      </c>
      <c r="AO318" s="16">
        <f t="shared" si="154"/>
        <v>45.000000000000369</v>
      </c>
      <c r="AP318" s="16" t="e">
        <f t="shared" si="155"/>
        <v>#N/A</v>
      </c>
      <c r="AQ318" s="16" t="e">
        <f t="shared" si="156"/>
        <v>#N/A</v>
      </c>
      <c r="AR318" s="34">
        <f t="shared" si="169"/>
        <v>0.343510577455163</v>
      </c>
      <c r="AS318" s="34">
        <f t="shared" si="157"/>
        <v>0.24018913693726063</v>
      </c>
      <c r="AT318" s="540">
        <f t="shared" si="158"/>
        <v>41.900000000000325</v>
      </c>
      <c r="AU318" s="16" t="e">
        <f t="shared" si="159"/>
        <v>#N/A</v>
      </c>
      <c r="AV318" s="16">
        <f t="shared" si="160"/>
        <v>4.4138325755477331E-3</v>
      </c>
      <c r="AW318" s="34">
        <f t="shared" si="170"/>
        <v>0.26414758153259754</v>
      </c>
      <c r="AX318" s="34">
        <f t="shared" si="161"/>
        <v>0.24924453534185886</v>
      </c>
      <c r="AY318" s="16">
        <f t="shared" si="162"/>
        <v>37.30000000000026</v>
      </c>
      <c r="AZ318" s="16" t="e">
        <f t="shared" si="163"/>
        <v>#N/A</v>
      </c>
      <c r="BA318" s="16">
        <f t="shared" si="171"/>
        <v>4.0639328110976605E-3</v>
      </c>
      <c r="BB318" s="34">
        <f t="shared" si="172"/>
        <v>0.34250363148748875</v>
      </c>
      <c r="BC318" s="34">
        <f t="shared" si="164"/>
        <v>0.76742209680378437</v>
      </c>
      <c r="BD318" s="16">
        <f t="shared" si="165"/>
        <v>41.800000000000324</v>
      </c>
      <c r="BE318" s="16" t="e">
        <f t="shared" si="166"/>
        <v>#N/A</v>
      </c>
      <c r="BF318" s="16">
        <f t="shared" si="167"/>
        <v>1.4073817622842008E-2</v>
      </c>
      <c r="BU318" s="16">
        <f t="shared" si="150"/>
        <v>0</v>
      </c>
      <c r="BV318" s="16">
        <f>IF($BY$12=1,NORMDIST(BY318,$Y$6,$Y$8,TRUE),IF($BY$12=2,IF(BY318&lt;=$BX$31,0,IF(BY318&gt;=$BX$32,1,(BY318-$BX$31)*$BX$33)),SUM($BU$42:BU318)/$BV$40))</f>
        <v>0.13135688104273191</v>
      </c>
      <c r="BW318" s="16">
        <f t="shared" si="151"/>
        <v>0.29403542255049397</v>
      </c>
      <c r="BX318" s="16">
        <f>IF($BY$12&lt;3,BV318,SUM($BZ$42:BZ318)/$BX$40)</f>
        <v>0.13135688104273191</v>
      </c>
      <c r="BY318" s="16">
        <f t="shared" si="141"/>
        <v>27.600000000000122</v>
      </c>
      <c r="BZ318" s="16">
        <f t="shared" si="142"/>
        <v>1.0653457338785966E-2</v>
      </c>
      <c r="CA318" s="16">
        <f t="shared" si="152"/>
        <v>-999</v>
      </c>
      <c r="CB318" s="16" t="str">
        <f t="shared" si="143"/>
        <v/>
      </c>
      <c r="CC318" s="16" t="e">
        <f>IF(CB318="",NA(),COUNTIF(CB318:$CB$704,CB318))</f>
        <v>#N/A</v>
      </c>
      <c r="CD318" s="16" t="e">
        <f t="shared" si="144"/>
        <v>#N/A</v>
      </c>
      <c r="CE318" s="16" t="e">
        <f t="shared" si="145"/>
        <v>#N/A</v>
      </c>
      <c r="CF318" s="16">
        <f t="shared" si="146"/>
        <v>99</v>
      </c>
      <c r="CG318" s="16">
        <f t="shared" si="147"/>
        <v>0</v>
      </c>
      <c r="CH318" s="16">
        <f t="shared" si="140"/>
        <v>0</v>
      </c>
      <c r="CJ318" s="16" t="e">
        <f t="shared" si="148"/>
        <v>#N/A</v>
      </c>
      <c r="CK318" s="16" t="str">
        <f t="shared" si="149"/>
        <v/>
      </c>
    </row>
    <row r="319" spans="1:89" ht="12" customHeight="1">
      <c r="A319" s="211"/>
      <c r="B319" s="211"/>
      <c r="C319" s="211"/>
      <c r="D319" s="211"/>
      <c r="E319" s="211"/>
      <c r="F319" s="211"/>
      <c r="G319" s="211"/>
      <c r="H319" s="211"/>
      <c r="I319" s="211"/>
      <c r="J319" s="211"/>
      <c r="K319" s="211"/>
      <c r="L319" s="211"/>
      <c r="M319" s="211"/>
      <c r="N319" s="211"/>
      <c r="O319" s="211"/>
      <c r="AM319" s="34">
        <f t="shared" si="168"/>
        <v>0.13569480367004871</v>
      </c>
      <c r="AN319" s="34">
        <f t="shared" si="153"/>
        <v>0.8007329348474741</v>
      </c>
      <c r="AO319" s="16">
        <f t="shared" si="154"/>
        <v>28.000000000000128</v>
      </c>
      <c r="AP319" s="16" t="e">
        <f t="shared" si="155"/>
        <v>#N/A</v>
      </c>
      <c r="AQ319" s="16">
        <f t="shared" si="156"/>
        <v>8.7220706539093452E-3</v>
      </c>
      <c r="AR319" s="34">
        <f t="shared" si="169"/>
        <v>0.49183138646185398</v>
      </c>
      <c r="AS319" s="34">
        <f t="shared" si="157"/>
        <v>0.25842656381428242</v>
      </c>
      <c r="AT319" s="540">
        <f t="shared" si="158"/>
        <v>49.500000000000433</v>
      </c>
      <c r="AU319" s="16" t="e">
        <f t="shared" si="159"/>
        <v>#N/A</v>
      </c>
      <c r="AV319" s="16">
        <f t="shared" si="160"/>
        <v>5.1532534908530023E-3</v>
      </c>
      <c r="AW319" s="34">
        <f t="shared" si="170"/>
        <v>0.59359754808247089</v>
      </c>
      <c r="AX319" s="34">
        <f t="shared" si="161"/>
        <v>0.19759283401072025</v>
      </c>
      <c r="AY319" s="16">
        <f t="shared" si="162"/>
        <v>54.700000000000507</v>
      </c>
      <c r="AZ319" s="16" t="e">
        <f t="shared" si="163"/>
        <v>#N/A</v>
      </c>
      <c r="BA319" s="16">
        <f t="shared" si="171"/>
        <v>3.8340635227984321E-3</v>
      </c>
      <c r="BB319" s="34">
        <f t="shared" si="172"/>
        <v>0.94452510215342045</v>
      </c>
      <c r="BC319" s="34">
        <f t="shared" si="164"/>
        <v>0.30036053247749805</v>
      </c>
      <c r="BD319" s="16">
        <f t="shared" si="165"/>
        <v>81.799999999999628</v>
      </c>
      <c r="BE319" s="16" t="e">
        <f t="shared" si="166"/>
        <v>#N/A</v>
      </c>
      <c r="BF319" s="16">
        <f t="shared" si="167"/>
        <v>1.6925947749776692E-3</v>
      </c>
      <c r="BU319" s="16">
        <f t="shared" si="150"/>
        <v>0</v>
      </c>
      <c r="BV319" s="16">
        <f>IF($BY$12=1,NORMDIST(BY319,$Y$6,$Y$8,TRUE),IF($BY$12=2,IF(BY319&lt;=$BX$31,0,IF(BY319&gt;=$BX$32,1,(BY319-$BX$31)*$BX$33)),SUM($BU$42:BU319)/$BV$40))</f>
        <v>0.13242521086306758</v>
      </c>
      <c r="BW319" s="16">
        <f t="shared" si="151"/>
        <v>0.29675425896489932</v>
      </c>
      <c r="BX319" s="16">
        <f>IF($BY$12&lt;3,BV319,SUM($BZ$42:BZ319)/$BX$40)</f>
        <v>0.13242521086306758</v>
      </c>
      <c r="BY319" s="16">
        <f t="shared" si="141"/>
        <v>27.700000000000124</v>
      </c>
      <c r="BZ319" s="16">
        <f t="shared" si="142"/>
        <v>1.0713150143137113E-2</v>
      </c>
      <c r="CA319" s="16">
        <f t="shared" si="152"/>
        <v>-999</v>
      </c>
      <c r="CB319" s="16" t="str">
        <f t="shared" si="143"/>
        <v/>
      </c>
      <c r="CC319" s="16" t="e">
        <f>IF(CB319="",NA(),COUNTIF(CB319:$CB$704,CB319))</f>
        <v>#N/A</v>
      </c>
      <c r="CD319" s="16" t="e">
        <f t="shared" si="144"/>
        <v>#N/A</v>
      </c>
      <c r="CE319" s="16" t="e">
        <f t="shared" si="145"/>
        <v>#N/A</v>
      </c>
      <c r="CF319" s="16">
        <f t="shared" si="146"/>
        <v>99</v>
      </c>
      <c r="CG319" s="16">
        <f t="shared" si="147"/>
        <v>0</v>
      </c>
      <c r="CH319" s="16">
        <f t="shared" si="140"/>
        <v>0</v>
      </c>
      <c r="CJ319" s="16" t="e">
        <f t="shared" si="148"/>
        <v>#N/A</v>
      </c>
      <c r="CK319" s="16" t="str">
        <f t="shared" si="149"/>
        <v/>
      </c>
    </row>
    <row r="320" spans="1:89" ht="12" customHeight="1">
      <c r="A320" s="211"/>
      <c r="B320" s="211"/>
      <c r="C320" s="211"/>
      <c r="D320" s="211"/>
      <c r="E320" s="211"/>
      <c r="F320" s="211"/>
      <c r="G320" s="211"/>
      <c r="H320" s="211"/>
      <c r="I320" s="211"/>
      <c r="J320" s="211"/>
      <c r="K320" s="211"/>
      <c r="L320" s="211"/>
      <c r="M320" s="211"/>
      <c r="N320" s="211"/>
      <c r="O320" s="211"/>
      <c r="AM320" s="34">
        <f t="shared" si="168"/>
        <v>0.75800289399921894</v>
      </c>
      <c r="AN320" s="34">
        <f t="shared" si="153"/>
        <v>0.79402981139719486</v>
      </c>
      <c r="AO320" s="16">
        <f t="shared" si="154"/>
        <v>63.900000000000638</v>
      </c>
      <c r="AP320" s="16" t="e">
        <f t="shared" si="155"/>
        <v>#N/A</v>
      </c>
      <c r="AQ320" s="16">
        <f t="shared" si="156"/>
        <v>1.244025641981498E-2</v>
      </c>
      <c r="AR320" s="34">
        <f t="shared" si="169"/>
        <v>0.99768815375864506</v>
      </c>
      <c r="AS320" s="34">
        <f t="shared" si="157"/>
        <v>0.50753244943916798</v>
      </c>
      <c r="AT320" s="540" t="e">
        <f t="shared" si="158"/>
        <v>#N/A</v>
      </c>
      <c r="AU320" s="16" t="e">
        <f t="shared" si="159"/>
        <v>#N/A</v>
      </c>
      <c r="AV320" s="16" t="e">
        <f t="shared" si="160"/>
        <v>#N/A</v>
      </c>
      <c r="AW320" s="34">
        <f t="shared" si="170"/>
        <v>0.90881404466927052</v>
      </c>
      <c r="AX320" s="34">
        <f t="shared" si="161"/>
        <v>0.26127528585493565</v>
      </c>
      <c r="AY320" s="16">
        <f t="shared" si="162"/>
        <v>76.599999999999923</v>
      </c>
      <c r="AZ320" s="16" t="e">
        <f t="shared" si="163"/>
        <v>#N/A</v>
      </c>
      <c r="BA320" s="16">
        <f t="shared" si="171"/>
        <v>2.1521208112880797E-3</v>
      </c>
      <c r="BB320" s="34">
        <f t="shared" si="172"/>
        <v>0.22946190275251865</v>
      </c>
      <c r="BC320" s="34">
        <f t="shared" si="164"/>
        <v>1.0529922321438789E-2</v>
      </c>
      <c r="BD320" s="16">
        <f t="shared" si="165"/>
        <v>35.100000000000229</v>
      </c>
      <c r="BE320" s="16" t="e">
        <f t="shared" si="166"/>
        <v>#N/A</v>
      </c>
      <c r="BF320" s="16">
        <f t="shared" si="167"/>
        <v>1.5914136916868785E-4</v>
      </c>
      <c r="BU320" s="16">
        <f t="shared" si="150"/>
        <v>0</v>
      </c>
      <c r="BV320" s="16">
        <f>IF($BY$12=1,NORMDIST(BY320,$Y$6,$Y$8,TRUE),IF($BY$12=2,IF(BY320&lt;=$BX$31,0,IF(BY320&gt;=$BX$32,1,(BY320-$BX$31)*$BX$33)),SUM($BU$42:BU320)/$BV$40))</f>
        <v>0.13349951324274856</v>
      </c>
      <c r="BW320" s="16">
        <f t="shared" si="151"/>
        <v>0.29948684486060873</v>
      </c>
      <c r="BX320" s="16">
        <f>IF($BY$12&lt;3,BV320,SUM($BZ$42:BZ320)/$BX$40)</f>
        <v>0.13349951324274856</v>
      </c>
      <c r="BY320" s="16">
        <f t="shared" si="141"/>
        <v>27.800000000000125</v>
      </c>
      <c r="BZ320" s="16">
        <f t="shared" si="142"/>
        <v>1.0772908088511057E-2</v>
      </c>
      <c r="CA320" s="16">
        <f t="shared" si="152"/>
        <v>-999</v>
      </c>
      <c r="CB320" s="16" t="str">
        <f t="shared" si="143"/>
        <v/>
      </c>
      <c r="CC320" s="16" t="e">
        <f>IF(CB320="",NA(),COUNTIF(CB320:$CB$704,CB320))</f>
        <v>#N/A</v>
      </c>
      <c r="CD320" s="16" t="e">
        <f t="shared" si="144"/>
        <v>#N/A</v>
      </c>
      <c r="CE320" s="16" t="e">
        <f t="shared" si="145"/>
        <v>#N/A</v>
      </c>
      <c r="CF320" s="16">
        <f t="shared" si="146"/>
        <v>99</v>
      </c>
      <c r="CG320" s="16">
        <f t="shared" si="147"/>
        <v>0</v>
      </c>
      <c r="CH320" s="16">
        <f t="shared" si="140"/>
        <v>0</v>
      </c>
      <c r="CJ320" s="16" t="e">
        <f t="shared" si="148"/>
        <v>#N/A</v>
      </c>
      <c r="CK320" s="16" t="str">
        <f t="shared" si="149"/>
        <v/>
      </c>
    </row>
    <row r="321" spans="1:89" ht="12" customHeight="1">
      <c r="A321" s="211"/>
      <c r="B321" s="211"/>
      <c r="C321" s="211"/>
      <c r="D321" s="211"/>
      <c r="E321" s="211"/>
      <c r="F321" s="211"/>
      <c r="G321" s="211"/>
      <c r="H321" s="211"/>
      <c r="I321" s="211"/>
      <c r="J321" s="211"/>
      <c r="K321" s="211"/>
      <c r="L321" s="211"/>
      <c r="M321" s="211"/>
      <c r="N321" s="211"/>
      <c r="O321" s="211"/>
      <c r="AM321" s="34">
        <f t="shared" si="168"/>
        <v>0.43635949678719044</v>
      </c>
      <c r="AN321" s="34">
        <f t="shared" si="153"/>
        <v>0.64054536260664463</v>
      </c>
      <c r="AO321" s="16">
        <f t="shared" si="154"/>
        <v>46.700000000000394</v>
      </c>
      <c r="AP321" s="16" t="e">
        <f t="shared" si="155"/>
        <v>#N/A</v>
      </c>
      <c r="AQ321" s="16">
        <f t="shared" si="156"/>
        <v>1.2604282482967997E-2</v>
      </c>
      <c r="AR321" s="34">
        <f t="shared" si="169"/>
        <v>9.2313522472977638E-2</v>
      </c>
      <c r="AS321" s="34">
        <f t="shared" si="157"/>
        <v>0.42480556853115559</v>
      </c>
      <c r="AT321" s="540">
        <f t="shared" si="158"/>
        <v>23.400000000000063</v>
      </c>
      <c r="AU321" s="16" t="e">
        <f t="shared" si="159"/>
        <v>#N/A</v>
      </c>
      <c r="AV321" s="16">
        <f t="shared" si="160"/>
        <v>3.4991174224360466E-3</v>
      </c>
      <c r="AW321" s="34">
        <f t="shared" si="170"/>
        <v>0.25512807257473469</v>
      </c>
      <c r="AX321" s="34">
        <f t="shared" si="161"/>
        <v>4.2412290349602699E-2</v>
      </c>
      <c r="AY321" s="16">
        <f t="shared" si="162"/>
        <v>36.800000000000253</v>
      </c>
      <c r="AZ321" s="16" t="e">
        <f t="shared" si="163"/>
        <v>#N/A</v>
      </c>
      <c r="BA321" s="16">
        <f t="shared" si="171"/>
        <v>6.8042844041105134E-4</v>
      </c>
      <c r="BB321" s="34">
        <f t="shared" si="172"/>
        <v>0.36010337807238102</v>
      </c>
      <c r="BC321" s="34">
        <f t="shared" si="164"/>
        <v>0.46206772513687611</v>
      </c>
      <c r="BD321" s="16">
        <f t="shared" si="165"/>
        <v>42.800000000000338</v>
      </c>
      <c r="BE321" s="16" t="e">
        <f t="shared" si="166"/>
        <v>#N/A</v>
      </c>
      <c r="BF321" s="16">
        <f t="shared" si="167"/>
        <v>8.6386011414657324E-3</v>
      </c>
      <c r="BU321" s="16">
        <f t="shared" si="150"/>
        <v>0</v>
      </c>
      <c r="BV321" s="16">
        <f>IF($BY$12=1,NORMDIST(BY321,$Y$6,$Y$8,TRUE),IF($BY$12=2,IF(BY321&lt;=$BX$31,0,IF(BY321&gt;=$BX$32,1,(BY321-$BX$31)*$BX$33)),SUM($BU$42:BU321)/$BV$40))</f>
        <v>0.13457979456439739</v>
      </c>
      <c r="BW321" s="16">
        <f t="shared" si="151"/>
        <v>0.30223312632379151</v>
      </c>
      <c r="BX321" s="16">
        <f>IF($BY$12&lt;3,BV321,SUM($BZ$42:BZ321)/$BX$40)</f>
        <v>0.13457979456439739</v>
      </c>
      <c r="BY321" s="16">
        <f t="shared" si="141"/>
        <v>27.900000000000126</v>
      </c>
      <c r="BZ321" s="16">
        <f t="shared" si="142"/>
        <v>1.083272854207133E-2</v>
      </c>
      <c r="CA321" s="16">
        <f t="shared" si="152"/>
        <v>-999</v>
      </c>
      <c r="CB321" s="16" t="str">
        <f t="shared" si="143"/>
        <v/>
      </c>
      <c r="CC321" s="16" t="e">
        <f>IF(CB321="",NA(),COUNTIF(CB321:$CB$704,CB321))</f>
        <v>#N/A</v>
      </c>
      <c r="CD321" s="16" t="e">
        <f t="shared" si="144"/>
        <v>#N/A</v>
      </c>
      <c r="CE321" s="16" t="e">
        <f t="shared" si="145"/>
        <v>#N/A</v>
      </c>
      <c r="CF321" s="16">
        <f t="shared" si="146"/>
        <v>99</v>
      </c>
      <c r="CG321" s="16">
        <f t="shared" si="147"/>
        <v>0</v>
      </c>
      <c r="CH321" s="16">
        <f t="shared" si="140"/>
        <v>0</v>
      </c>
      <c r="CJ321" s="16" t="e">
        <f t="shared" si="148"/>
        <v>#N/A</v>
      </c>
      <c r="CK321" s="16" t="str">
        <f t="shared" si="149"/>
        <v/>
      </c>
    </row>
    <row r="322" spans="1:89" ht="12" customHeight="1">
      <c r="A322" s="211"/>
      <c r="B322" s="211"/>
      <c r="C322" s="211"/>
      <c r="D322" s="211"/>
      <c r="E322" s="211"/>
      <c r="F322" s="211"/>
      <c r="G322" s="211"/>
      <c r="H322" s="211"/>
      <c r="I322" s="211"/>
      <c r="J322" s="211"/>
      <c r="K322" s="211"/>
      <c r="L322" s="211"/>
      <c r="M322" s="211"/>
      <c r="N322" s="211"/>
      <c r="O322" s="211"/>
      <c r="AM322" s="34">
        <f t="shared" si="168"/>
        <v>0.95315616019070148</v>
      </c>
      <c r="AN322" s="34">
        <f t="shared" si="153"/>
        <v>0.99293709732592106</v>
      </c>
      <c r="AO322" s="16">
        <f t="shared" si="154"/>
        <v>83.499999999999531</v>
      </c>
      <c r="AP322" s="16" t="e">
        <f t="shared" si="155"/>
        <v>#N/A</v>
      </c>
      <c r="AQ322" s="16" t="e">
        <f t="shared" si="156"/>
        <v>#N/A</v>
      </c>
      <c r="AR322" s="34">
        <f t="shared" si="169"/>
        <v>0.20778394676744938</v>
      </c>
      <c r="AS322" s="34">
        <f t="shared" si="157"/>
        <v>0.16886580176651478</v>
      </c>
      <c r="AT322" s="540">
        <f t="shared" si="158"/>
        <v>33.700000000000209</v>
      </c>
      <c r="AU322" s="16" t="e">
        <f t="shared" si="159"/>
        <v>#N/A</v>
      </c>
      <c r="AV322" s="16">
        <f t="shared" si="160"/>
        <v>2.4165019526087906E-3</v>
      </c>
      <c r="AW322" s="34">
        <f t="shared" si="170"/>
        <v>0.45485580153763294</v>
      </c>
      <c r="AX322" s="34">
        <f t="shared" si="161"/>
        <v>0.92850174941122532</v>
      </c>
      <c r="AY322" s="16">
        <f t="shared" si="162"/>
        <v>47.700000000000408</v>
      </c>
      <c r="AZ322" s="16" t="e">
        <f t="shared" si="163"/>
        <v>#N/A</v>
      </c>
      <c r="BA322" s="16">
        <f t="shared" si="171"/>
        <v>1.8398864636232908E-2</v>
      </c>
      <c r="BB322" s="34">
        <f t="shared" si="172"/>
        <v>0.25824918784201145</v>
      </c>
      <c r="BC322" s="34">
        <f t="shared" si="164"/>
        <v>0.23565955646336079</v>
      </c>
      <c r="BD322" s="16">
        <f t="shared" si="165"/>
        <v>37.000000000000256</v>
      </c>
      <c r="BE322" s="16" t="e">
        <f t="shared" si="166"/>
        <v>#N/A</v>
      </c>
      <c r="BF322" s="16">
        <f t="shared" si="167"/>
        <v>3.8055761514633173E-3</v>
      </c>
      <c r="BU322" s="16">
        <f t="shared" si="150"/>
        <v>0</v>
      </c>
      <c r="BV322" s="16">
        <f>IF($BY$12=1,NORMDIST(BY322,$Y$6,$Y$8,TRUE),IF($BY$12=2,IF(BY322&lt;=$BX$31,0,IF(BY322&gt;=$BX$32,1,(BY322-$BX$31)*$BX$33)),SUM($BU$42:BU322)/$BV$40))</f>
        <v>0.135666060946384</v>
      </c>
      <c r="BW322" s="16">
        <f t="shared" si="151"/>
        <v>0.30499304784557429</v>
      </c>
      <c r="BX322" s="16">
        <f>IF($BY$12&lt;3,BV322,SUM($BZ$42:BZ322)/$BX$40)</f>
        <v>0.135666060946384</v>
      </c>
      <c r="BY322" s="16">
        <f t="shared" si="141"/>
        <v>28.000000000000128</v>
      </c>
      <c r="BZ322" s="16">
        <f t="shared" si="142"/>
        <v>1.0892608851627603E-2</v>
      </c>
      <c r="CA322" s="16">
        <f t="shared" si="152"/>
        <v>-999</v>
      </c>
      <c r="CB322" s="16" t="str">
        <f t="shared" si="143"/>
        <v/>
      </c>
      <c r="CC322" s="16" t="e">
        <f>IF(CB322="",NA(),COUNTIF(CB322:$CB$704,CB322))</f>
        <v>#N/A</v>
      </c>
      <c r="CD322" s="16" t="e">
        <f t="shared" si="144"/>
        <v>#N/A</v>
      </c>
      <c r="CE322" s="16" t="e">
        <f t="shared" si="145"/>
        <v>#N/A</v>
      </c>
      <c r="CF322" s="16">
        <f t="shared" si="146"/>
        <v>99</v>
      </c>
      <c r="CG322" s="16">
        <f t="shared" si="147"/>
        <v>0</v>
      </c>
      <c r="CH322" s="16">
        <f t="shared" si="140"/>
        <v>0</v>
      </c>
      <c r="CJ322" s="16" t="e">
        <f t="shared" si="148"/>
        <v>#N/A</v>
      </c>
      <c r="CK322" s="16" t="str">
        <f t="shared" si="149"/>
        <v/>
      </c>
    </row>
    <row r="323" spans="1:89" ht="12" customHeight="1">
      <c r="A323" s="211"/>
      <c r="B323" s="211"/>
      <c r="C323" s="211"/>
      <c r="D323" s="211"/>
      <c r="E323" s="211"/>
      <c r="F323" s="211"/>
      <c r="G323" s="211"/>
      <c r="H323" s="211"/>
      <c r="I323" s="211"/>
      <c r="J323" s="211"/>
      <c r="K323" s="211"/>
      <c r="L323" s="211"/>
      <c r="M323" s="211"/>
      <c r="N323" s="211"/>
      <c r="O323" s="211"/>
      <c r="AM323" s="34">
        <f t="shared" si="168"/>
        <v>0.88144147582352161</v>
      </c>
      <c r="AN323" s="34">
        <f t="shared" si="153"/>
        <v>0.21697440184652805</v>
      </c>
      <c r="AO323" s="16">
        <f t="shared" si="154"/>
        <v>73.600000000000094</v>
      </c>
      <c r="AP323" s="16" t="e">
        <f t="shared" si="155"/>
        <v>#N/A</v>
      </c>
      <c r="AQ323" s="16">
        <f t="shared" si="156"/>
        <v>2.1574103189194319E-3</v>
      </c>
      <c r="AR323" s="34">
        <f t="shared" si="169"/>
        <v>0.21292057074606419</v>
      </c>
      <c r="AS323" s="34">
        <f t="shared" si="157"/>
        <v>0.47542806155979633</v>
      </c>
      <c r="AT323" s="540">
        <f t="shared" si="158"/>
        <v>34.000000000000213</v>
      </c>
      <c r="AU323" s="16" t="e">
        <f t="shared" si="159"/>
        <v>#N/A</v>
      </c>
      <c r="AV323" s="16">
        <f t="shared" si="160"/>
        <v>6.8863746689820189E-3</v>
      </c>
      <c r="AW323" s="34">
        <f t="shared" si="170"/>
        <v>0.56463499553501606</v>
      </c>
      <c r="AX323" s="34">
        <f t="shared" si="161"/>
        <v>0.29560510255396366</v>
      </c>
      <c r="AY323" s="16">
        <f t="shared" si="162"/>
        <v>53.200000000000486</v>
      </c>
      <c r="AZ323" s="16" t="e">
        <f t="shared" si="163"/>
        <v>#N/A</v>
      </c>
      <c r="BA323" s="16">
        <f t="shared" si="171"/>
        <v>5.8214748707114848E-3</v>
      </c>
      <c r="BB323" s="34">
        <f t="shared" si="172"/>
        <v>0.62820784188807011</v>
      </c>
      <c r="BC323" s="34">
        <f t="shared" si="164"/>
        <v>0.58558264560997486</v>
      </c>
      <c r="BD323" s="16">
        <f t="shared" si="165"/>
        <v>56.500000000000533</v>
      </c>
      <c r="BE323" s="16" t="e">
        <f t="shared" si="166"/>
        <v>#N/A</v>
      </c>
      <c r="BF323" s="16">
        <f t="shared" si="167"/>
        <v>1.1079804316754307E-2</v>
      </c>
      <c r="BU323" s="16">
        <f t="shared" si="150"/>
        <v>0</v>
      </c>
      <c r="BV323" s="16">
        <f>IF($BY$12=1,NORMDIST(BY323,$Y$6,$Y$8,TRUE),IF($BY$12=2,IF(BY323&lt;=$BX$31,0,IF(BY323&gt;=$BX$32,1,(BY323-$BX$31)*$BX$33)),SUM($BU$42:BU323)/$BV$40))</f>
        <v>0.13675831824089779</v>
      </c>
      <c r="BW323" s="16">
        <f t="shared" si="151"/>
        <v>0.30776655231681771</v>
      </c>
      <c r="BX323" s="16">
        <f>IF($BY$12&lt;3,BV323,SUM($BZ$42:BZ323)/$BX$40)</f>
        <v>0.13675831824089779</v>
      </c>
      <c r="BY323" s="16">
        <f t="shared" si="141"/>
        <v>28.100000000000129</v>
      </c>
      <c r="BZ323" s="16">
        <f t="shared" si="142"/>
        <v>1.0952546345794175E-2</v>
      </c>
      <c r="CA323" s="16">
        <f t="shared" si="152"/>
        <v>-999</v>
      </c>
      <c r="CB323" s="16" t="str">
        <f t="shared" si="143"/>
        <v/>
      </c>
      <c r="CC323" s="16" t="e">
        <f>IF(CB323="",NA(),COUNTIF(CB323:$CB$704,CB323))</f>
        <v>#N/A</v>
      </c>
      <c r="CD323" s="16" t="e">
        <f t="shared" si="144"/>
        <v>#N/A</v>
      </c>
      <c r="CE323" s="16" t="e">
        <f t="shared" si="145"/>
        <v>#N/A</v>
      </c>
      <c r="CF323" s="16">
        <f t="shared" si="146"/>
        <v>99</v>
      </c>
      <c r="CG323" s="16">
        <f t="shared" si="147"/>
        <v>0</v>
      </c>
      <c r="CH323" s="16">
        <f t="shared" ref="CH323:CH386" si="173">IF(CB323="",0,1)</f>
        <v>0</v>
      </c>
      <c r="CJ323" s="16" t="e">
        <f t="shared" si="148"/>
        <v>#N/A</v>
      </c>
      <c r="CK323" s="16" t="str">
        <f t="shared" si="149"/>
        <v/>
      </c>
    </row>
    <row r="324" spans="1:89" ht="12" customHeight="1">
      <c r="A324" s="211"/>
      <c r="B324" s="211"/>
      <c r="C324" s="211"/>
      <c r="D324" s="211"/>
      <c r="E324" s="211"/>
      <c r="F324" s="211"/>
      <c r="G324" s="211"/>
      <c r="H324" s="211"/>
      <c r="I324" s="211"/>
      <c r="J324" s="211"/>
      <c r="K324" s="211"/>
      <c r="L324" s="211"/>
      <c r="M324" s="211"/>
      <c r="N324" s="211"/>
      <c r="O324" s="211"/>
      <c r="AM324" s="34">
        <f t="shared" si="168"/>
        <v>0.83913250453770161</v>
      </c>
      <c r="AN324" s="34">
        <f t="shared" si="153"/>
        <v>0.95409957505762577</v>
      </c>
      <c r="AO324" s="16">
        <f t="shared" si="154"/>
        <v>69.80000000000031</v>
      </c>
      <c r="AP324" s="16" t="e">
        <f t="shared" si="155"/>
        <v>#N/A</v>
      </c>
      <c r="AQ324" s="16">
        <f t="shared" si="156"/>
        <v>1.1658636497427438E-2</v>
      </c>
      <c r="AR324" s="34">
        <f t="shared" si="169"/>
        <v>0.79616276361048222</v>
      </c>
      <c r="AS324" s="34">
        <f t="shared" si="157"/>
        <v>0.98622074909508228</v>
      </c>
      <c r="AT324" s="540">
        <f t="shared" si="158"/>
        <v>66.500000000000497</v>
      </c>
      <c r="AU324" s="16" t="e">
        <f t="shared" si="159"/>
        <v>#N/A</v>
      </c>
      <c r="AV324" s="16" t="e">
        <f t="shared" si="160"/>
        <v>#N/A</v>
      </c>
      <c r="AW324" s="34">
        <f t="shared" si="170"/>
        <v>0.86840596981346607</v>
      </c>
      <c r="AX324" s="34">
        <f t="shared" si="161"/>
        <v>0.98741226829588413</v>
      </c>
      <c r="AY324" s="16">
        <f t="shared" si="162"/>
        <v>72.300000000000168</v>
      </c>
      <c r="AZ324" s="16" t="e">
        <f t="shared" si="163"/>
        <v>#N/A</v>
      </c>
      <c r="BA324" s="16" t="e">
        <f t="shared" si="171"/>
        <v>#N/A</v>
      </c>
      <c r="BB324" s="34">
        <f t="shared" si="172"/>
        <v>6.867414154112339E-2</v>
      </c>
      <c r="BC324" s="34">
        <f t="shared" si="164"/>
        <v>0.30817507393658161</v>
      </c>
      <c r="BD324" s="16">
        <f t="shared" si="165"/>
        <v>20.200000000000017</v>
      </c>
      <c r="BE324" s="16" t="e">
        <f t="shared" si="166"/>
        <v>#N/A</v>
      </c>
      <c r="BF324" s="16">
        <f t="shared" si="167"/>
        <v>2.0257646548100575E-3</v>
      </c>
      <c r="BU324" s="16">
        <f t="shared" si="150"/>
        <v>0</v>
      </c>
      <c r="BV324" s="16">
        <f>IF($BY$12=1,NORMDIST(BY324,$Y$6,$Y$8,TRUE),IF($BY$12=2,IF(BY324&lt;=$BX$31,0,IF(BY324&gt;=$BX$32,1,(BY324-$BX$31)*$BX$33)),SUM($BU$42:BU324)/$BV$40))</f>
        <v>0.13785657203203705</v>
      </c>
      <c r="BW324" s="16">
        <f t="shared" si="151"/>
        <v>0.3105535810230805</v>
      </c>
      <c r="BX324" s="16">
        <f>IF($BY$12&lt;3,BV324,SUM($BZ$42:BZ324)/$BX$40)</f>
        <v>0.13785657203203705</v>
      </c>
      <c r="BY324" s="16">
        <f t="shared" si="141"/>
        <v>28.200000000000131</v>
      </c>
      <c r="BZ324" s="16">
        <f t="shared" si="142"/>
        <v>1.101253833415174E-2</v>
      </c>
      <c r="CA324" s="16">
        <f t="shared" si="152"/>
        <v>-999</v>
      </c>
      <c r="CB324" s="16" t="str">
        <f t="shared" si="143"/>
        <v/>
      </c>
      <c r="CC324" s="16" t="e">
        <f>IF(CB324="",NA(),COUNTIF(CB324:$CB$704,CB324))</f>
        <v>#N/A</v>
      </c>
      <c r="CD324" s="16" t="e">
        <f t="shared" si="144"/>
        <v>#N/A</v>
      </c>
      <c r="CE324" s="16" t="e">
        <f t="shared" si="145"/>
        <v>#N/A</v>
      </c>
      <c r="CF324" s="16">
        <f t="shared" si="146"/>
        <v>99</v>
      </c>
      <c r="CG324" s="16">
        <f t="shared" si="147"/>
        <v>0</v>
      </c>
      <c r="CH324" s="16">
        <f t="shared" si="173"/>
        <v>0</v>
      </c>
      <c r="CJ324" s="16" t="e">
        <f t="shared" si="148"/>
        <v>#N/A</v>
      </c>
      <c r="CK324" s="16" t="str">
        <f t="shared" si="149"/>
        <v/>
      </c>
    </row>
    <row r="325" spans="1:89" ht="12" customHeight="1">
      <c r="A325" s="211"/>
      <c r="B325" s="211"/>
      <c r="C325" s="211"/>
      <c r="D325" s="211"/>
      <c r="E325" s="211"/>
      <c r="F325" s="211"/>
      <c r="G325" s="211"/>
      <c r="H325" s="211"/>
      <c r="I325" s="211"/>
      <c r="J325" s="211"/>
      <c r="K325" s="211"/>
      <c r="L325" s="211"/>
      <c r="M325" s="211"/>
      <c r="N325" s="211"/>
      <c r="O325" s="211"/>
      <c r="AM325" s="34">
        <f t="shared" si="168"/>
        <v>0.15387073345482349</v>
      </c>
      <c r="AN325" s="34">
        <f t="shared" si="153"/>
        <v>0.33486776985228062</v>
      </c>
      <c r="AO325" s="16">
        <f t="shared" si="154"/>
        <v>29.600000000000151</v>
      </c>
      <c r="AP325" s="16" t="e">
        <f t="shared" si="155"/>
        <v>#N/A</v>
      </c>
      <c r="AQ325" s="16">
        <f t="shared" si="156"/>
        <v>3.9703923966724125E-3</v>
      </c>
      <c r="AR325" s="34">
        <f t="shared" si="169"/>
        <v>0.31182056106626987</v>
      </c>
      <c r="AS325" s="34">
        <f t="shared" si="157"/>
        <v>0.66432999260723591</v>
      </c>
      <c r="AT325" s="540">
        <f t="shared" si="158"/>
        <v>40.1000000000003</v>
      </c>
      <c r="AU325" s="16" t="e">
        <f t="shared" si="159"/>
        <v>#N/A</v>
      </c>
      <c r="AV325" s="16">
        <f t="shared" si="160"/>
        <v>1.1723503771511188E-2</v>
      </c>
      <c r="AW325" s="34">
        <f t="shared" si="170"/>
        <v>0.51931832917034626</v>
      </c>
      <c r="AX325" s="34">
        <f t="shared" si="161"/>
        <v>4.2841741815209389E-2</v>
      </c>
      <c r="AY325" s="16">
        <f t="shared" si="162"/>
        <v>50.900000000000453</v>
      </c>
      <c r="AZ325" s="16" t="e">
        <f t="shared" si="163"/>
        <v>#N/A</v>
      </c>
      <c r="BA325" s="16">
        <f t="shared" si="171"/>
        <v>8.5370429546941754E-4</v>
      </c>
      <c r="BB325" s="34">
        <f t="shared" si="172"/>
        <v>0.74564177729189396</v>
      </c>
      <c r="BC325" s="34">
        <f t="shared" si="164"/>
        <v>0.46626204438507557</v>
      </c>
      <c r="BD325" s="16">
        <f t="shared" si="165"/>
        <v>63.200000000000628</v>
      </c>
      <c r="BE325" s="16" t="e">
        <f t="shared" si="166"/>
        <v>#N/A</v>
      </c>
      <c r="BF325" s="16">
        <f t="shared" si="167"/>
        <v>7.480330655775776E-3</v>
      </c>
      <c r="BU325" s="16">
        <f t="shared" si="150"/>
        <v>0</v>
      </c>
      <c r="BV325" s="16">
        <f>IF($BY$12=1,NORMDIST(BY325,$Y$6,$Y$8,TRUE),IF($BY$12=2,IF(BY325&lt;=$BX$31,0,IF(BY325&gt;=$BX$32,1,(BY325-$BX$31)*$BX$33)),SUM($BU$42:BU325)/$BV$40))</f>
        <v>0.13896082763391249</v>
      </c>
      <c r="BW325" s="16">
        <f t="shared" si="151"/>
        <v>0.31335407363977341</v>
      </c>
      <c r="BX325" s="16">
        <f>IF($BY$12&lt;3,BV325,SUM($BZ$42:BZ325)/$BX$40)</f>
        <v>0.13896082763391249</v>
      </c>
      <c r="BY325" s="16">
        <f t="shared" si="141"/>
        <v>28.300000000000132</v>
      </c>
      <c r="BZ325" s="16">
        <f t="shared" si="142"/>
        <v>1.1072582107412436E-2</v>
      </c>
      <c r="CA325" s="16">
        <f t="shared" si="152"/>
        <v>-999</v>
      </c>
      <c r="CB325" s="16" t="str">
        <f t="shared" si="143"/>
        <v/>
      </c>
      <c r="CC325" s="16" t="e">
        <f>IF(CB325="",NA(),COUNTIF(CB325:$CB$704,CB325))</f>
        <v>#N/A</v>
      </c>
      <c r="CD325" s="16" t="e">
        <f t="shared" si="144"/>
        <v>#N/A</v>
      </c>
      <c r="CE325" s="16" t="e">
        <f t="shared" si="145"/>
        <v>#N/A</v>
      </c>
      <c r="CF325" s="16">
        <f t="shared" si="146"/>
        <v>99</v>
      </c>
      <c r="CG325" s="16">
        <f t="shared" si="147"/>
        <v>0</v>
      </c>
      <c r="CH325" s="16">
        <f t="shared" si="173"/>
        <v>0</v>
      </c>
      <c r="CJ325" s="16" t="e">
        <f t="shared" si="148"/>
        <v>#N/A</v>
      </c>
      <c r="CK325" s="16" t="str">
        <f t="shared" si="149"/>
        <v/>
      </c>
    </row>
    <row r="326" spans="1:89" ht="12" customHeight="1">
      <c r="A326" s="211"/>
      <c r="B326" s="211"/>
      <c r="C326" s="211"/>
      <c r="D326" s="211"/>
      <c r="E326" s="211"/>
      <c r="F326" s="211"/>
      <c r="G326" s="211"/>
      <c r="H326" s="211"/>
      <c r="I326" s="211"/>
      <c r="J326" s="211"/>
      <c r="K326" s="211"/>
      <c r="L326" s="211"/>
      <c r="M326" s="211"/>
      <c r="N326" s="211"/>
      <c r="O326" s="211"/>
      <c r="AM326" s="34">
        <f t="shared" si="168"/>
        <v>5.1803814247250557E-2</v>
      </c>
      <c r="AN326" s="34">
        <f t="shared" si="153"/>
        <v>0.81592209078371525</v>
      </c>
      <c r="AO326" s="16">
        <f t="shared" si="154"/>
        <v>17.399999999999977</v>
      </c>
      <c r="AP326" s="16" t="e">
        <f t="shared" si="155"/>
        <v>#N/A</v>
      </c>
      <c r="AQ326" s="16">
        <f t="shared" si="156"/>
        <v>4.3111214464669244E-3</v>
      </c>
      <c r="AR326" s="34">
        <f t="shared" si="169"/>
        <v>0.56236226297914982</v>
      </c>
      <c r="AS326" s="34">
        <f t="shared" si="157"/>
        <v>0.94050091691315174</v>
      </c>
      <c r="AT326" s="540">
        <f t="shared" si="158"/>
        <v>53.100000000000485</v>
      </c>
      <c r="AU326" s="16" t="e">
        <f t="shared" si="159"/>
        <v>#N/A</v>
      </c>
      <c r="AV326" s="16">
        <f t="shared" si="160"/>
        <v>1.853626932582552E-2</v>
      </c>
      <c r="AW326" s="34">
        <f t="shared" si="170"/>
        <v>0.97509473748505116</v>
      </c>
      <c r="AX326" s="34">
        <f t="shared" si="161"/>
        <v>5.1082098856568336E-2</v>
      </c>
      <c r="AY326" s="16">
        <f t="shared" si="162"/>
        <v>89.199999999999207</v>
      </c>
      <c r="AZ326" s="16" t="e">
        <f t="shared" si="163"/>
        <v>#N/A</v>
      </c>
      <c r="BA326" s="16">
        <f t="shared" si="171"/>
        <v>1.492643047856403E-4</v>
      </c>
      <c r="BB326" s="34">
        <f t="shared" si="172"/>
        <v>0.50525733269751072</v>
      </c>
      <c r="BC326" s="34">
        <f t="shared" si="164"/>
        <v>0.89532043226063251</v>
      </c>
      <c r="BD326" s="16">
        <f t="shared" si="165"/>
        <v>50.200000000000443</v>
      </c>
      <c r="BE326" s="16" t="e">
        <f t="shared" si="166"/>
        <v>#N/A</v>
      </c>
      <c r="BF326" s="16">
        <f t="shared" si="167"/>
        <v>1.7858165816188765E-2</v>
      </c>
      <c r="BU326" s="16">
        <f t="shared" si="150"/>
        <v>0</v>
      </c>
      <c r="BV326" s="16">
        <f>IF($BY$12=1,NORMDIST(BY326,$Y$6,$Y$8,TRUE),IF($BY$12=2,IF(BY326&lt;=$BX$31,0,IF(BY326&gt;=$BX$32,1,(BY326-$BX$31)*$BX$33)),SUM($BU$42:BU326)/$BV$40))</f>
        <v>0.14007109008877061</v>
      </c>
      <c r="BW326" s="16">
        <f t="shared" si="151"/>
        <v>0.31616796822750459</v>
      </c>
      <c r="BX326" s="16">
        <f>IF($BY$12&lt;3,BV326,SUM($BZ$42:BZ326)/$BX$40)</f>
        <v>0.14007109008877061</v>
      </c>
      <c r="BY326" s="16">
        <f t="shared" si="141"/>
        <v>28.400000000000134</v>
      </c>
      <c r="BZ326" s="16">
        <f t="shared" si="142"/>
        <v>1.1132674937588138E-2</v>
      </c>
      <c r="CA326" s="16">
        <f t="shared" si="152"/>
        <v>-999</v>
      </c>
      <c r="CB326" s="16" t="str">
        <f t="shared" si="143"/>
        <v/>
      </c>
      <c r="CC326" s="16" t="e">
        <f>IF(CB326="",NA(),COUNTIF(CB326:$CB$704,CB326))</f>
        <v>#N/A</v>
      </c>
      <c r="CD326" s="16" t="e">
        <f t="shared" si="144"/>
        <v>#N/A</v>
      </c>
      <c r="CE326" s="16" t="e">
        <f t="shared" si="145"/>
        <v>#N/A</v>
      </c>
      <c r="CF326" s="16">
        <f t="shared" si="146"/>
        <v>99</v>
      </c>
      <c r="CG326" s="16">
        <f t="shared" si="147"/>
        <v>0</v>
      </c>
      <c r="CH326" s="16">
        <f t="shared" si="173"/>
        <v>0</v>
      </c>
      <c r="CJ326" s="16" t="e">
        <f t="shared" si="148"/>
        <v>#N/A</v>
      </c>
      <c r="CK326" s="16" t="str">
        <f t="shared" si="149"/>
        <v/>
      </c>
    </row>
    <row r="327" spans="1:89" ht="12" customHeight="1">
      <c r="A327" s="211"/>
      <c r="B327" s="211"/>
      <c r="C327" s="211"/>
      <c r="D327" s="211"/>
      <c r="E327" s="211"/>
      <c r="F327" s="211"/>
      <c r="G327" s="211"/>
      <c r="H327" s="211"/>
      <c r="I327" s="211"/>
      <c r="J327" s="211"/>
      <c r="K327" s="211"/>
      <c r="L327" s="211"/>
      <c r="M327" s="211"/>
      <c r="N327" s="211"/>
      <c r="O327" s="211"/>
      <c r="AM327" s="34">
        <f t="shared" si="168"/>
        <v>0.51482433266937733</v>
      </c>
      <c r="AN327" s="34">
        <f t="shared" si="153"/>
        <v>1.9410097971558571E-2</v>
      </c>
      <c r="AO327" s="16">
        <f t="shared" si="154"/>
        <v>50.70000000000045</v>
      </c>
      <c r="AP327" s="16" t="e">
        <f t="shared" si="155"/>
        <v>#N/A</v>
      </c>
      <c r="AQ327" s="16">
        <f t="shared" si="156"/>
        <v>3.8693836503486185E-4</v>
      </c>
      <c r="AR327" s="34">
        <f t="shared" si="169"/>
        <v>0.39564343728125095</v>
      </c>
      <c r="AS327" s="34">
        <f t="shared" si="157"/>
        <v>0.51617719419300556</v>
      </c>
      <c r="AT327" s="540">
        <f t="shared" si="158"/>
        <v>44.700000000000365</v>
      </c>
      <c r="AU327" s="16" t="e">
        <f t="shared" si="159"/>
        <v>#N/A</v>
      </c>
      <c r="AV327" s="16">
        <f t="shared" si="160"/>
        <v>9.9409918498108308E-3</v>
      </c>
      <c r="AW327" s="34">
        <f t="shared" si="170"/>
        <v>0.65263296850025654</v>
      </c>
      <c r="AX327" s="34">
        <f t="shared" si="161"/>
        <v>0.16923115588724613</v>
      </c>
      <c r="AY327" s="16">
        <f t="shared" si="162"/>
        <v>57.800000000000551</v>
      </c>
      <c r="AZ327" s="16" t="e">
        <f t="shared" si="163"/>
        <v>#N/A</v>
      </c>
      <c r="BA327" s="16">
        <f t="shared" si="171"/>
        <v>3.1284721672845809E-3</v>
      </c>
      <c r="BB327" s="34">
        <f t="shared" si="172"/>
        <v>0.96177194453775883</v>
      </c>
      <c r="BC327" s="34">
        <f t="shared" si="164"/>
        <v>0.94841286726295948</v>
      </c>
      <c r="BD327" s="16">
        <f t="shared" si="165"/>
        <v>85.399999999999423</v>
      </c>
      <c r="BE327" s="16" t="e">
        <f t="shared" si="166"/>
        <v>#N/A</v>
      </c>
      <c r="BF327" s="16" t="e">
        <f t="shared" si="167"/>
        <v>#N/A</v>
      </c>
      <c r="BU327" s="16">
        <f t="shared" si="150"/>
        <v>0</v>
      </c>
      <c r="BV327" s="16">
        <f>IF($BY$12=1,NORMDIST(BY327,$Y$6,$Y$8,TRUE),IF($BY$12=2,IF(BY327&lt;=$BX$31,0,IF(BY327&gt;=$BX$32,1,(BY327-$BX$31)*$BX$33)),SUM($BU$42:BU327)/$BV$40))</f>
        <v>0.14118736416513045</v>
      </c>
      <c r="BW327" s="16">
        <f t="shared" si="151"/>
        <v>0.3189952012276201</v>
      </c>
      <c r="BX327" s="16">
        <f>IF($BY$12&lt;3,BV327,SUM($BZ$42:BZ327)/$BX$40)</f>
        <v>0.14118736416513045</v>
      </c>
      <c r="BY327" s="16">
        <f t="shared" si="141"/>
        <v>28.500000000000135</v>
      </c>
      <c r="BZ327" s="16">
        <f t="shared" si="142"/>
        <v>1.1192814078162056E-2</v>
      </c>
      <c r="CA327" s="16">
        <f t="shared" si="152"/>
        <v>-999</v>
      </c>
      <c r="CB327" s="16" t="str">
        <f t="shared" si="143"/>
        <v/>
      </c>
      <c r="CC327" s="16" t="e">
        <f>IF(CB327="",NA(),COUNTIF(CB327:$CB$704,CB327))</f>
        <v>#N/A</v>
      </c>
      <c r="CD327" s="16" t="e">
        <f t="shared" si="144"/>
        <v>#N/A</v>
      </c>
      <c r="CE327" s="16" t="e">
        <f t="shared" si="145"/>
        <v>#N/A</v>
      </c>
      <c r="CF327" s="16">
        <f t="shared" si="146"/>
        <v>99</v>
      </c>
      <c r="CG327" s="16">
        <f t="shared" si="147"/>
        <v>0</v>
      </c>
      <c r="CH327" s="16">
        <f t="shared" si="173"/>
        <v>0</v>
      </c>
      <c r="CJ327" s="16" t="e">
        <f t="shared" si="148"/>
        <v>#N/A</v>
      </c>
      <c r="CK327" s="16" t="str">
        <f t="shared" si="149"/>
        <v/>
      </c>
    </row>
    <row r="328" spans="1:89" ht="12" customHeight="1">
      <c r="A328" s="211"/>
      <c r="B328" s="211"/>
      <c r="C328" s="211"/>
      <c r="D328" s="211"/>
      <c r="E328" s="211"/>
      <c r="F328" s="211"/>
      <c r="G328" s="211"/>
      <c r="H328" s="211"/>
      <c r="I328" s="211"/>
      <c r="J328" s="211"/>
      <c r="K328" s="211"/>
      <c r="L328" s="211"/>
      <c r="M328" s="211"/>
      <c r="N328" s="211"/>
      <c r="O328" s="211"/>
      <c r="AM328" s="34">
        <f t="shared" si="168"/>
        <v>0.23204685933887959</v>
      </c>
      <c r="AN328" s="34">
        <f t="shared" si="153"/>
        <v>0.60999796725809574</v>
      </c>
      <c r="AO328" s="16">
        <f t="shared" si="154"/>
        <v>35.300000000000232</v>
      </c>
      <c r="AP328" s="16" t="e">
        <f t="shared" si="155"/>
        <v>#N/A</v>
      </c>
      <c r="AQ328" s="16">
        <f t="shared" si="156"/>
        <v>9.2875270080474207E-3</v>
      </c>
      <c r="AR328" s="34">
        <f t="shared" si="169"/>
        <v>0.65223358012735844</v>
      </c>
      <c r="AS328" s="34">
        <f t="shared" si="157"/>
        <v>0.2803101260215044</v>
      </c>
      <c r="AT328" s="540">
        <f t="shared" si="158"/>
        <v>57.800000000000551</v>
      </c>
      <c r="AU328" s="16" t="e">
        <f t="shared" si="159"/>
        <v>#N/A</v>
      </c>
      <c r="AV328" s="16">
        <f t="shared" si="160"/>
        <v>5.1819206863456717E-3</v>
      </c>
      <c r="AW328" s="34">
        <f t="shared" si="170"/>
        <v>0.75887748785316944</v>
      </c>
      <c r="AX328" s="34">
        <f t="shared" si="161"/>
        <v>0.74393903650343418</v>
      </c>
      <c r="AY328" s="16">
        <f t="shared" si="162"/>
        <v>64.000000000000639</v>
      </c>
      <c r="AZ328" s="16" t="e">
        <f t="shared" si="163"/>
        <v>#N/A</v>
      </c>
      <c r="BA328" s="16">
        <f t="shared" si="171"/>
        <v>1.1614894516663534E-2</v>
      </c>
      <c r="BB328" s="34">
        <f t="shared" si="172"/>
        <v>1.996869221329689E-3</v>
      </c>
      <c r="BC328" s="34">
        <f t="shared" si="164"/>
        <v>0.71817259676754475</v>
      </c>
      <c r="BD328" s="16" t="e">
        <f t="shared" si="165"/>
        <v>#N/A</v>
      </c>
      <c r="BE328" s="16" t="e">
        <f t="shared" si="166"/>
        <v>#N/A</v>
      </c>
      <c r="BF328" s="16" t="e">
        <f t="shared" si="167"/>
        <v>#N/A</v>
      </c>
      <c r="BU328" s="16">
        <f t="shared" si="150"/>
        <v>0</v>
      </c>
      <c r="BV328" s="16">
        <f>IF($BY$12=1,NORMDIST(BY328,$Y$6,$Y$8,TRUE),IF($BY$12=2,IF(BY328&lt;=$BX$31,0,IF(BY328&gt;=$BX$32,1,(BY328-$BX$31)*$BX$33)),SUM($BU$42:BU328)/$BV$40))</f>
        <v>0.1423096543559409</v>
      </c>
      <c r="BW328" s="16">
        <f t="shared" si="151"/>
        <v>0.32183570745793944</v>
      </c>
      <c r="BX328" s="16">
        <f>IF($BY$12&lt;3,BV328,SUM($BZ$42:BZ328)/$BX$40)</f>
        <v>0.1423096543559409</v>
      </c>
      <c r="BY328" s="16">
        <f t="shared" si="141"/>
        <v>28.600000000000136</v>
      </c>
      <c r="BZ328" s="16">
        <f t="shared" si="142"/>
        <v>1.1252996764263563E-2</v>
      </c>
      <c r="CA328" s="16">
        <f t="shared" si="152"/>
        <v>-999</v>
      </c>
      <c r="CB328" s="16" t="str">
        <f t="shared" si="143"/>
        <v/>
      </c>
      <c r="CC328" s="16" t="e">
        <f>IF(CB328="",NA(),COUNTIF(CB328:$CB$704,CB328))</f>
        <v>#N/A</v>
      </c>
      <c r="CD328" s="16" t="e">
        <f t="shared" si="144"/>
        <v>#N/A</v>
      </c>
      <c r="CE328" s="16" t="e">
        <f t="shared" si="145"/>
        <v>#N/A</v>
      </c>
      <c r="CF328" s="16">
        <f t="shared" si="146"/>
        <v>99</v>
      </c>
      <c r="CG328" s="16">
        <f t="shared" si="147"/>
        <v>0</v>
      </c>
      <c r="CH328" s="16">
        <f t="shared" si="173"/>
        <v>0</v>
      </c>
      <c r="CJ328" s="16" t="e">
        <f t="shared" si="148"/>
        <v>#N/A</v>
      </c>
      <c r="CK328" s="16" t="str">
        <f t="shared" si="149"/>
        <v/>
      </c>
    </row>
    <row r="329" spans="1:89" ht="12" customHeight="1">
      <c r="A329" s="211"/>
      <c r="B329" s="211"/>
      <c r="C329" s="211"/>
      <c r="D329" s="211"/>
      <c r="E329" s="211"/>
      <c r="F329" s="211"/>
      <c r="G329" s="211"/>
      <c r="H329" s="211"/>
      <c r="I329" s="211"/>
      <c r="J329" s="211"/>
      <c r="K329" s="211"/>
      <c r="L329" s="211"/>
      <c r="M329" s="211"/>
      <c r="N329" s="211"/>
      <c r="O329" s="211"/>
      <c r="AM329" s="34">
        <f t="shared" si="168"/>
        <v>0.60255453176796436</v>
      </c>
      <c r="AN329" s="34">
        <f t="shared" si="153"/>
        <v>0.15088855661451817</v>
      </c>
      <c r="AO329" s="16">
        <f t="shared" si="154"/>
        <v>55.100000000000513</v>
      </c>
      <c r="AP329" s="16" t="e">
        <f t="shared" si="155"/>
        <v>#N/A</v>
      </c>
      <c r="AQ329" s="16">
        <f t="shared" si="156"/>
        <v>2.9135090735488024E-3</v>
      </c>
      <c r="AR329" s="34">
        <f t="shared" si="169"/>
        <v>0.90424668230116367</v>
      </c>
      <c r="AS329" s="34">
        <f t="shared" si="157"/>
        <v>0.57821850664913654</v>
      </c>
      <c r="AT329" s="540">
        <f t="shared" si="158"/>
        <v>76.099999999999952</v>
      </c>
      <c r="AU329" s="16" t="e">
        <f t="shared" si="159"/>
        <v>#N/A</v>
      </c>
      <c r="AV329" s="16">
        <f t="shared" si="160"/>
        <v>4.9222637164616735E-3</v>
      </c>
      <c r="AW329" s="34">
        <f t="shared" si="170"/>
        <v>3.6241816356778145E-2</v>
      </c>
      <c r="AX329" s="34">
        <f t="shared" si="161"/>
        <v>0.63471139408648014</v>
      </c>
      <c r="AY329" s="16">
        <f t="shared" si="162"/>
        <v>13.999999999999966</v>
      </c>
      <c r="AZ329" s="16" t="e">
        <f t="shared" si="163"/>
        <v>#N/A</v>
      </c>
      <c r="BA329" s="16">
        <f t="shared" si="171"/>
        <v>2.5055282519254327E-3</v>
      </c>
      <c r="BB329" s="34">
        <f t="shared" si="172"/>
        <v>0.30391920544207096</v>
      </c>
      <c r="BC329" s="34">
        <f t="shared" si="164"/>
        <v>5.3703803569078445E-3</v>
      </c>
      <c r="BD329" s="16">
        <f t="shared" si="165"/>
        <v>39.700000000000294</v>
      </c>
      <c r="BE329" s="16" t="e">
        <f t="shared" si="166"/>
        <v>#N/A</v>
      </c>
      <c r="BF329" s="16">
        <f t="shared" si="167"/>
        <v>9.381931092276112E-5</v>
      </c>
      <c r="BU329" s="16">
        <f t="shared" si="150"/>
        <v>0</v>
      </c>
      <c r="BV329" s="16">
        <f>IF($BY$12=1,NORMDIST(BY329,$Y$6,$Y$8,TRUE),IF($BY$12=2,IF(BY329&lt;=$BX$31,0,IF(BY329&gt;=$BX$32,1,(BY329-$BX$31)*$BX$33)),SUM($BU$42:BU329)/$BV$40))</f>
        <v>0.14343796487675275</v>
      </c>
      <c r="BW329" s="16">
        <f t="shared" si="151"/>
        <v>0.32468942010868973</v>
      </c>
      <c r="BX329" s="16">
        <f>IF($BY$12&lt;3,BV329,SUM($BZ$42:BZ329)/$BX$40)</f>
        <v>0.14343796487675275</v>
      </c>
      <c r="BY329" s="16">
        <f t="shared" si="141"/>
        <v>28.700000000000138</v>
      </c>
      <c r="BZ329" s="16">
        <f t="shared" si="142"/>
        <v>1.1313220212846278E-2</v>
      </c>
      <c r="CA329" s="16">
        <f t="shared" si="152"/>
        <v>-999</v>
      </c>
      <c r="CB329" s="16" t="str">
        <f t="shared" si="143"/>
        <v/>
      </c>
      <c r="CC329" s="16" t="e">
        <f>IF(CB329="",NA(),COUNTIF(CB329:$CB$704,CB329))</f>
        <v>#N/A</v>
      </c>
      <c r="CD329" s="16" t="e">
        <f t="shared" si="144"/>
        <v>#N/A</v>
      </c>
      <c r="CE329" s="16" t="e">
        <f t="shared" si="145"/>
        <v>#N/A</v>
      </c>
      <c r="CF329" s="16">
        <f t="shared" si="146"/>
        <v>99</v>
      </c>
      <c r="CG329" s="16">
        <f t="shared" si="147"/>
        <v>0</v>
      </c>
      <c r="CH329" s="16">
        <f t="shared" si="173"/>
        <v>0</v>
      </c>
      <c r="CJ329" s="16" t="e">
        <f t="shared" si="148"/>
        <v>#N/A</v>
      </c>
      <c r="CK329" s="16" t="str">
        <f t="shared" si="149"/>
        <v/>
      </c>
    </row>
    <row r="330" spans="1:89" ht="12" customHeight="1">
      <c r="A330" s="211"/>
      <c r="B330" s="211"/>
      <c r="C330" s="211"/>
      <c r="D330" s="211"/>
      <c r="E330" s="211"/>
      <c r="F330" s="211"/>
      <c r="G330" s="211"/>
      <c r="H330" s="211"/>
      <c r="I330" s="211"/>
      <c r="J330" s="211"/>
      <c r="K330" s="211"/>
      <c r="L330" s="211"/>
      <c r="M330" s="211"/>
      <c r="N330" s="211"/>
      <c r="O330" s="211"/>
      <c r="AM330" s="34">
        <f t="shared" si="168"/>
        <v>0.52769641764461994</v>
      </c>
      <c r="AN330" s="34">
        <f t="shared" si="153"/>
        <v>3.64996287971735E-2</v>
      </c>
      <c r="AO330" s="16">
        <f t="shared" si="154"/>
        <v>51.300000000000459</v>
      </c>
      <c r="AP330" s="16" t="e">
        <f t="shared" si="155"/>
        <v>#N/A</v>
      </c>
      <c r="AQ330" s="16">
        <f t="shared" si="156"/>
        <v>7.2652584919139103E-4</v>
      </c>
      <c r="AR330" s="34">
        <f t="shared" si="169"/>
        <v>0.58333195187151432</v>
      </c>
      <c r="AS330" s="34">
        <f t="shared" si="157"/>
        <v>0.10203051753342152</v>
      </c>
      <c r="AT330" s="540">
        <f t="shared" si="158"/>
        <v>54.2000000000005</v>
      </c>
      <c r="AU330" s="16" t="e">
        <f t="shared" si="159"/>
        <v>#N/A</v>
      </c>
      <c r="AV330" s="16">
        <f t="shared" si="160"/>
        <v>1.9908290365844294E-3</v>
      </c>
      <c r="AW330" s="34">
        <f t="shared" si="170"/>
        <v>0.19211292453110218</v>
      </c>
      <c r="AX330" s="34">
        <f t="shared" si="161"/>
        <v>0.74277904070913792</v>
      </c>
      <c r="AY330" s="16">
        <f t="shared" si="162"/>
        <v>32.500000000000192</v>
      </c>
      <c r="AZ330" s="16" t="e">
        <f t="shared" si="163"/>
        <v>#N/A</v>
      </c>
      <c r="BA330" s="16">
        <f t="shared" si="171"/>
        <v>1.0103837535787114E-2</v>
      </c>
      <c r="BB330" s="34">
        <f t="shared" si="172"/>
        <v>0.87338402308523655</v>
      </c>
      <c r="BC330" s="34">
        <f t="shared" si="164"/>
        <v>0.58484466560184956</v>
      </c>
      <c r="BD330" s="16">
        <f t="shared" si="165"/>
        <v>72.800000000000139</v>
      </c>
      <c r="BE330" s="16" t="e">
        <f t="shared" si="166"/>
        <v>#N/A</v>
      </c>
      <c r="BF330" s="16">
        <f t="shared" si="167"/>
        <v>6.0913849906180191E-3</v>
      </c>
      <c r="BU330" s="16">
        <f t="shared" si="150"/>
        <v>0</v>
      </c>
      <c r="BV330" s="16">
        <f>IF($BY$12=1,NORMDIST(BY330,$Y$6,$Y$8,TRUE),IF($BY$12=2,IF(BY330&lt;=$BX$31,0,IF(BY330&gt;=$BX$32,1,(BY330-$BX$31)*$BX$33)),SUM($BU$42:BU330)/$BV$40))</f>
        <v>0.14457229966391127</v>
      </c>
      <c r="BW330" s="16">
        <f t="shared" si="151"/>
        <v>0.32755627073863963</v>
      </c>
      <c r="BX330" s="16">
        <f>IF($BY$12&lt;3,BV330,SUM($BZ$42:BZ330)/$BX$40)</f>
        <v>0.14457229966391127</v>
      </c>
      <c r="BY330" s="16">
        <f t="shared" si="141"/>
        <v>28.800000000000139</v>
      </c>
      <c r="BZ330" s="16">
        <f t="shared" si="142"/>
        <v>1.1373481622869377E-2</v>
      </c>
      <c r="CA330" s="16">
        <f t="shared" si="152"/>
        <v>-999</v>
      </c>
      <c r="CB330" s="16" t="str">
        <f t="shared" si="143"/>
        <v/>
      </c>
      <c r="CC330" s="16" t="e">
        <f>IF(CB330="",NA(),COUNTIF(CB330:$CB$704,CB330))</f>
        <v>#N/A</v>
      </c>
      <c r="CD330" s="16" t="e">
        <f t="shared" si="144"/>
        <v>#N/A</v>
      </c>
      <c r="CE330" s="16" t="e">
        <f t="shared" si="145"/>
        <v>#N/A</v>
      </c>
      <c r="CF330" s="16">
        <f t="shared" si="146"/>
        <v>99</v>
      </c>
      <c r="CG330" s="16">
        <f t="shared" si="147"/>
        <v>0</v>
      </c>
      <c r="CH330" s="16">
        <f t="shared" si="173"/>
        <v>0</v>
      </c>
      <c r="CJ330" s="16" t="e">
        <f t="shared" si="148"/>
        <v>#N/A</v>
      </c>
      <c r="CK330" s="16" t="str">
        <f t="shared" si="149"/>
        <v/>
      </c>
    </row>
    <row r="331" spans="1:89" ht="12" customHeight="1">
      <c r="A331" s="211"/>
      <c r="B331" s="211"/>
      <c r="C331" s="211"/>
      <c r="D331" s="211"/>
      <c r="E331" s="211"/>
      <c r="F331" s="211"/>
      <c r="G331" s="211"/>
      <c r="H331" s="211"/>
      <c r="I331" s="211"/>
      <c r="J331" s="211"/>
      <c r="K331" s="211"/>
      <c r="L331" s="211"/>
      <c r="M331" s="211"/>
      <c r="N331" s="211"/>
      <c r="O331" s="211"/>
      <c r="AM331" s="34">
        <f t="shared" si="168"/>
        <v>0.76246690936386585</v>
      </c>
      <c r="AN331" s="34">
        <f t="shared" si="153"/>
        <v>5.7084802538156509E-3</v>
      </c>
      <c r="AO331" s="16">
        <f t="shared" si="154"/>
        <v>64.200000000000628</v>
      </c>
      <c r="AP331" s="16" t="e">
        <f t="shared" si="155"/>
        <v>#N/A</v>
      </c>
      <c r="AQ331" s="16">
        <f t="shared" si="156"/>
        <v>8.8498650673198636E-5</v>
      </c>
      <c r="AR331" s="34">
        <f t="shared" si="169"/>
        <v>0.50173094309866428</v>
      </c>
      <c r="AS331" s="34">
        <f t="shared" si="157"/>
        <v>0.9534889031201601</v>
      </c>
      <c r="AT331" s="540">
        <f t="shared" si="158"/>
        <v>50.000000000000441</v>
      </c>
      <c r="AU331" s="16" t="e">
        <f t="shared" si="159"/>
        <v>#N/A</v>
      </c>
      <c r="AV331" s="16">
        <f t="shared" si="160"/>
        <v>1.9019351867410869E-2</v>
      </c>
      <c r="AW331" s="34">
        <f t="shared" si="170"/>
        <v>6.3218908384442329E-2</v>
      </c>
      <c r="AX331" s="34">
        <f t="shared" si="161"/>
        <v>0.90569023229181767</v>
      </c>
      <c r="AY331" s="16">
        <f t="shared" si="162"/>
        <v>19.400000000000006</v>
      </c>
      <c r="AZ331" s="16" t="e">
        <f t="shared" si="163"/>
        <v>#N/A</v>
      </c>
      <c r="BA331" s="16">
        <f t="shared" si="171"/>
        <v>5.6045374795415824E-3</v>
      </c>
      <c r="BB331" s="34">
        <f t="shared" si="172"/>
        <v>0.25899914838373661</v>
      </c>
      <c r="BC331" s="34">
        <f t="shared" si="164"/>
        <v>0.85082629509270191</v>
      </c>
      <c r="BD331" s="16">
        <f t="shared" si="165"/>
        <v>37.000000000000256</v>
      </c>
      <c r="BE331" s="16" t="e">
        <f t="shared" si="166"/>
        <v>#N/A</v>
      </c>
      <c r="BF331" s="16">
        <f t="shared" si="167"/>
        <v>1.3739668809680068E-2</v>
      </c>
      <c r="BU331" s="16">
        <f t="shared" si="150"/>
        <v>0</v>
      </c>
      <c r="BV331" s="16">
        <f>IF($BY$12=1,NORMDIST(BY331,$Y$6,$Y$8,TRUE),IF($BY$12=2,IF(BY331&lt;=$BX$31,0,IF(BY331&gt;=$BX$32,1,(BY331-$BX$31)*$BX$33)),SUM($BU$42:BU331)/$BV$40))</f>
        <v>0.14571266237276581</v>
      </c>
      <c r="BW331" s="16">
        <f t="shared" si="151"/>
        <v>0.33043618927143553</v>
      </c>
      <c r="BX331" s="16">
        <f>IF($BY$12&lt;3,BV331,SUM($BZ$42:BZ331)/$BX$40)</f>
        <v>0.14571266237276581</v>
      </c>
      <c r="BY331" s="16">
        <f t="shared" si="141"/>
        <v>28.900000000000141</v>
      </c>
      <c r="BZ331" s="16">
        <f t="shared" si="142"/>
        <v>1.1433778175482143E-2</v>
      </c>
      <c r="CA331" s="16">
        <f t="shared" si="152"/>
        <v>-999</v>
      </c>
      <c r="CB331" s="16" t="str">
        <f t="shared" si="143"/>
        <v/>
      </c>
      <c r="CC331" s="16" t="e">
        <f>IF(CB331="",NA(),COUNTIF(CB331:$CB$704,CB331))</f>
        <v>#N/A</v>
      </c>
      <c r="CD331" s="16" t="e">
        <f t="shared" si="144"/>
        <v>#N/A</v>
      </c>
      <c r="CE331" s="16" t="e">
        <f t="shared" si="145"/>
        <v>#N/A</v>
      </c>
      <c r="CF331" s="16">
        <f t="shared" si="146"/>
        <v>99</v>
      </c>
      <c r="CG331" s="16">
        <f t="shared" si="147"/>
        <v>0</v>
      </c>
      <c r="CH331" s="16">
        <f t="shared" si="173"/>
        <v>0</v>
      </c>
      <c r="CJ331" s="16" t="e">
        <f t="shared" si="148"/>
        <v>#N/A</v>
      </c>
      <c r="CK331" s="16" t="str">
        <f t="shared" si="149"/>
        <v/>
      </c>
    </row>
    <row r="332" spans="1:89" ht="12" customHeight="1">
      <c r="A332" s="211"/>
      <c r="B332" s="211"/>
      <c r="C332" s="211"/>
      <c r="D332" s="211"/>
      <c r="E332" s="211"/>
      <c r="F332" s="211"/>
      <c r="G332" s="211"/>
      <c r="H332" s="211"/>
      <c r="I332" s="211"/>
      <c r="J332" s="211"/>
      <c r="K332" s="211"/>
      <c r="L332" s="211"/>
      <c r="M332" s="211"/>
      <c r="N332" s="211"/>
      <c r="O332" s="211"/>
      <c r="AM332" s="34">
        <f t="shared" si="168"/>
        <v>0.87674839980900288</v>
      </c>
      <c r="AN332" s="34">
        <f t="shared" si="153"/>
        <v>0.39581922627985477</v>
      </c>
      <c r="AO332" s="16">
        <f t="shared" si="154"/>
        <v>73.100000000000122</v>
      </c>
      <c r="AP332" s="16" t="e">
        <f t="shared" si="155"/>
        <v>#N/A</v>
      </c>
      <c r="AQ332" s="16">
        <f t="shared" si="156"/>
        <v>4.0522581797376375E-3</v>
      </c>
      <c r="AR332" s="34">
        <f t="shared" si="169"/>
        <v>0.42655734159052372</v>
      </c>
      <c r="AS332" s="34">
        <f t="shared" si="157"/>
        <v>0.96115067787468433</v>
      </c>
      <c r="AT332" s="540">
        <f t="shared" si="158"/>
        <v>46.200000000000387</v>
      </c>
      <c r="AU332" s="16" t="e">
        <f t="shared" si="159"/>
        <v>#N/A</v>
      </c>
      <c r="AV332" s="16">
        <f t="shared" si="160"/>
        <v>1.8829228739852301E-2</v>
      </c>
      <c r="AW332" s="34">
        <f t="shared" si="170"/>
        <v>9.6891196444630623E-2</v>
      </c>
      <c r="AX332" s="34">
        <f t="shared" si="161"/>
        <v>0.22403186000883579</v>
      </c>
      <c r="AY332" s="16">
        <f t="shared" si="162"/>
        <v>24.000000000000071</v>
      </c>
      <c r="AZ332" s="16" t="e">
        <f t="shared" si="163"/>
        <v>#N/A</v>
      </c>
      <c r="BA332" s="16">
        <f t="shared" si="171"/>
        <v>1.9196012211782918E-3</v>
      </c>
      <c r="BB332" s="34">
        <f t="shared" si="172"/>
        <v>1.166885532438755E-2</v>
      </c>
      <c r="BC332" s="34">
        <f t="shared" si="164"/>
        <v>0.70493899472057819</v>
      </c>
      <c r="BD332" s="16">
        <f t="shared" si="165"/>
        <v>4.5999999999999996</v>
      </c>
      <c r="BE332" s="16" t="e">
        <f t="shared" si="166"/>
        <v>#N/A</v>
      </c>
      <c r="BF332" s="16" t="e">
        <f t="shared" si="167"/>
        <v>#N/A</v>
      </c>
      <c r="BU332" s="16">
        <f t="shared" si="150"/>
        <v>0</v>
      </c>
      <c r="BV332" s="16">
        <f>IF($BY$12=1,NORMDIST(BY332,$Y$6,$Y$8,TRUE),IF($BY$12=2,IF(BY332&lt;=$BX$31,0,IF(BY332&gt;=$BX$32,1,(BY332-$BX$31)*$BX$33)),SUM($BU$42:BU332)/$BV$40))</f>
        <v>0.14685905637589758</v>
      </c>
      <c r="BW332" s="16">
        <f t="shared" si="151"/>
        <v>0.33332910399214194</v>
      </c>
      <c r="BX332" s="16">
        <f>IF($BY$12&lt;3,BV332,SUM($BZ$42:BZ332)/$BX$40)</f>
        <v>0.14685905637589758</v>
      </c>
      <c r="BY332" s="16">
        <f t="shared" si="141"/>
        <v>29.000000000000142</v>
      </c>
      <c r="BZ332" s="16">
        <f t="shared" si="142"/>
        <v>1.1494107034211734E-2</v>
      </c>
      <c r="CA332" s="16">
        <f t="shared" si="152"/>
        <v>-999</v>
      </c>
      <c r="CB332" s="16" t="str">
        <f t="shared" si="143"/>
        <v/>
      </c>
      <c r="CC332" s="16" t="e">
        <f>IF(CB332="",NA(),COUNTIF(CB332:$CB$704,CB332))</f>
        <v>#N/A</v>
      </c>
      <c r="CD332" s="16" t="e">
        <f t="shared" si="144"/>
        <v>#N/A</v>
      </c>
      <c r="CE332" s="16" t="e">
        <f t="shared" si="145"/>
        <v>#N/A</v>
      </c>
      <c r="CF332" s="16">
        <f t="shared" si="146"/>
        <v>99</v>
      </c>
      <c r="CG332" s="16">
        <f t="shared" si="147"/>
        <v>0</v>
      </c>
      <c r="CH332" s="16">
        <f t="shared" si="173"/>
        <v>0</v>
      </c>
      <c r="CJ332" s="16" t="e">
        <f t="shared" si="148"/>
        <v>#N/A</v>
      </c>
      <c r="CK332" s="16" t="str">
        <f t="shared" si="149"/>
        <v/>
      </c>
    </row>
    <row r="333" spans="1:89" ht="12" customHeight="1">
      <c r="A333" s="211"/>
      <c r="B333" s="211"/>
      <c r="C333" s="211"/>
      <c r="D333" s="211"/>
      <c r="E333" s="211"/>
      <c r="F333" s="211"/>
      <c r="G333" s="211"/>
      <c r="H333" s="211"/>
      <c r="I333" s="211"/>
      <c r="J333" s="211"/>
      <c r="K333" s="211"/>
      <c r="L333" s="211"/>
      <c r="M333" s="211"/>
      <c r="N333" s="211"/>
      <c r="O333" s="211"/>
      <c r="AM333" s="34">
        <f t="shared" si="168"/>
        <v>0.40844848938286304</v>
      </c>
      <c r="AN333" s="34">
        <f t="shared" si="153"/>
        <v>0.20365899242460728</v>
      </c>
      <c r="AO333" s="16">
        <f t="shared" si="154"/>
        <v>45.300000000000374</v>
      </c>
      <c r="AP333" s="16" t="e">
        <f t="shared" si="155"/>
        <v>#N/A</v>
      </c>
      <c r="AQ333" s="16">
        <f t="shared" si="156"/>
        <v>3.9517704063231013E-3</v>
      </c>
      <c r="AR333" s="34">
        <f t="shared" si="169"/>
        <v>0.27370565570890903</v>
      </c>
      <c r="AS333" s="34">
        <f t="shared" si="157"/>
        <v>0.11526261456310749</v>
      </c>
      <c r="AT333" s="540">
        <f t="shared" si="158"/>
        <v>37.900000000000269</v>
      </c>
      <c r="AU333" s="16" t="e">
        <f t="shared" si="159"/>
        <v>#N/A</v>
      </c>
      <c r="AV333" s="16">
        <f t="shared" si="160"/>
        <v>1.9146403975445264E-3</v>
      </c>
      <c r="AW333" s="34">
        <f t="shared" si="170"/>
        <v>0.51250253804028034</v>
      </c>
      <c r="AX333" s="34">
        <f t="shared" si="161"/>
        <v>4.2935797944664955E-2</v>
      </c>
      <c r="AY333" s="16">
        <f t="shared" si="162"/>
        <v>50.600000000000449</v>
      </c>
      <c r="AZ333" s="16" t="e">
        <f t="shared" si="163"/>
        <v>#N/A</v>
      </c>
      <c r="BA333" s="16">
        <f t="shared" si="171"/>
        <v>8.5605994348134985E-4</v>
      </c>
      <c r="BB333" s="34">
        <f t="shared" si="172"/>
        <v>0.11141271330416203</v>
      </c>
      <c r="BC333" s="34">
        <f t="shared" si="164"/>
        <v>0.58140689320862293</v>
      </c>
      <c r="BD333" s="16">
        <f t="shared" si="165"/>
        <v>25.600000000000094</v>
      </c>
      <c r="BE333" s="16" t="e">
        <f t="shared" si="166"/>
        <v>#N/A</v>
      </c>
      <c r="BF333" s="16">
        <f t="shared" si="167"/>
        <v>5.5100849337506004E-3</v>
      </c>
      <c r="BU333" s="16">
        <f t="shared" si="150"/>
        <v>0</v>
      </c>
      <c r="BV333" s="16">
        <f>IF($BY$12=1,NORMDIST(BY333,$Y$6,$Y$8,TRUE),IF($BY$12=2,IF(BY333&lt;=$BX$31,0,IF(BY333&gt;=$BX$32,1,(BY333-$BX$31)*$BX$33)),SUM($BU$42:BU333)/$BV$40))</f>
        <v>0.14801148476136772</v>
      </c>
      <c r="BW333" s="16">
        <f t="shared" si="151"/>
        <v>0.33623494154398748</v>
      </c>
      <c r="BX333" s="16">
        <f>IF($BY$12&lt;3,BV333,SUM($BZ$42:BZ333)/$BX$40)</f>
        <v>0.14801148476136772</v>
      </c>
      <c r="BY333" s="16">
        <f t="shared" si="141"/>
        <v>29.100000000000144</v>
      </c>
      <c r="BZ333" s="16">
        <f t="shared" si="142"/>
        <v>1.1554465345154152E-2</v>
      </c>
      <c r="CA333" s="16">
        <f t="shared" si="152"/>
        <v>-999</v>
      </c>
      <c r="CB333" s="16" t="str">
        <f t="shared" si="143"/>
        <v/>
      </c>
      <c r="CC333" s="16" t="e">
        <f>IF(CB333="",NA(),COUNTIF(CB333:$CB$704,CB333))</f>
        <v>#N/A</v>
      </c>
      <c r="CD333" s="16" t="e">
        <f t="shared" si="144"/>
        <v>#N/A</v>
      </c>
      <c r="CE333" s="16" t="e">
        <f t="shared" si="145"/>
        <v>#N/A</v>
      </c>
      <c r="CF333" s="16">
        <f t="shared" si="146"/>
        <v>99</v>
      </c>
      <c r="CG333" s="16">
        <f t="shared" si="147"/>
        <v>0</v>
      </c>
      <c r="CH333" s="16">
        <f t="shared" si="173"/>
        <v>0</v>
      </c>
      <c r="CJ333" s="16" t="e">
        <f t="shared" si="148"/>
        <v>#N/A</v>
      </c>
      <c r="CK333" s="16" t="str">
        <f t="shared" si="149"/>
        <v/>
      </c>
    </row>
    <row r="334" spans="1:89" ht="12" customHeight="1">
      <c r="A334" s="211"/>
      <c r="B334" s="211"/>
      <c r="C334" s="211"/>
      <c r="D334" s="211"/>
      <c r="E334" s="211"/>
      <c r="F334" s="211"/>
      <c r="G334" s="211"/>
      <c r="H334" s="211"/>
      <c r="I334" s="211"/>
      <c r="J334" s="211"/>
      <c r="K334" s="211"/>
      <c r="L334" s="211"/>
      <c r="M334" s="211"/>
      <c r="N334" s="211"/>
      <c r="O334" s="211"/>
      <c r="AM334" s="34">
        <f t="shared" si="168"/>
        <v>0.57181297428905964</v>
      </c>
      <c r="AN334" s="34">
        <f t="shared" si="153"/>
        <v>0.17645926214754581</v>
      </c>
      <c r="AO334" s="16">
        <f t="shared" si="154"/>
        <v>53.600000000000492</v>
      </c>
      <c r="AP334" s="16" t="e">
        <f t="shared" si="155"/>
        <v>#N/A</v>
      </c>
      <c r="AQ334" s="16">
        <f t="shared" si="156"/>
        <v>3.4632907940556202E-3</v>
      </c>
      <c r="AR334" s="34">
        <f t="shared" si="169"/>
        <v>0.64404506422579288</v>
      </c>
      <c r="AS334" s="34">
        <f t="shared" si="157"/>
        <v>1.4843763783574104E-2</v>
      </c>
      <c r="AT334" s="540">
        <f t="shared" si="158"/>
        <v>57.300000000000544</v>
      </c>
      <c r="AU334" s="16" t="e">
        <f t="shared" si="159"/>
        <v>#N/A</v>
      </c>
      <c r="AV334" s="16">
        <f t="shared" si="160"/>
        <v>2.7700950011286664E-4</v>
      </c>
      <c r="AW334" s="34">
        <f t="shared" si="170"/>
        <v>0.53761202283203602</v>
      </c>
      <c r="AX334" s="34">
        <f t="shared" si="161"/>
        <v>0.21727665700018406</v>
      </c>
      <c r="AY334" s="16">
        <f t="shared" si="162"/>
        <v>51.800000000000466</v>
      </c>
      <c r="AZ334" s="16" t="e">
        <f t="shared" si="163"/>
        <v>#N/A</v>
      </c>
      <c r="BA334" s="16">
        <f t="shared" si="171"/>
        <v>4.3165248765931691E-3</v>
      </c>
      <c r="BB334" s="34">
        <f t="shared" si="172"/>
        <v>0.49037584103643894</v>
      </c>
      <c r="BC334" s="34">
        <f t="shared" si="164"/>
        <v>0.78525032289326191</v>
      </c>
      <c r="BD334" s="16">
        <f t="shared" si="165"/>
        <v>49.500000000000433</v>
      </c>
      <c r="BE334" s="16" t="e">
        <f t="shared" si="166"/>
        <v>#N/A</v>
      </c>
      <c r="BF334" s="16">
        <f t="shared" si="167"/>
        <v>1.5658583652999478E-2</v>
      </c>
      <c r="BU334" s="16">
        <f t="shared" si="150"/>
        <v>0</v>
      </c>
      <c r="BV334" s="16">
        <f>IF($BY$12=1,NORMDIST(BY334,$Y$6,$Y$8,TRUE),IF($BY$12=2,IF(BY334&lt;=$BX$31,0,IF(BY334&gt;=$BX$32,1,(BY334-$BX$31)*$BX$33)),SUM($BU$42:BU334)/$BV$40))</f>
        <v>0.14916995033098313</v>
      </c>
      <c r="BW334" s="16">
        <f t="shared" si="151"/>
        <v>0.33915362692531886</v>
      </c>
      <c r="BX334" s="16">
        <f>IF($BY$12&lt;3,BV334,SUM($BZ$42:BZ334)/$BX$40)</f>
        <v>0.14916995033098313</v>
      </c>
      <c r="BY334" s="16">
        <f t="shared" si="141"/>
        <v>29.200000000000145</v>
      </c>
      <c r="BZ334" s="16">
        <f t="shared" si="142"/>
        <v>1.1614850237168397E-2</v>
      </c>
      <c r="CA334" s="16">
        <f t="shared" si="152"/>
        <v>-999</v>
      </c>
      <c r="CB334" s="16" t="str">
        <f t="shared" si="143"/>
        <v/>
      </c>
      <c r="CC334" s="16" t="e">
        <f>IF(CB334="",NA(),COUNTIF(CB334:$CB$704,CB334))</f>
        <v>#N/A</v>
      </c>
      <c r="CD334" s="16" t="e">
        <f t="shared" si="144"/>
        <v>#N/A</v>
      </c>
      <c r="CE334" s="16" t="e">
        <f t="shared" si="145"/>
        <v>#N/A</v>
      </c>
      <c r="CF334" s="16">
        <f t="shared" si="146"/>
        <v>99</v>
      </c>
      <c r="CG334" s="16">
        <f t="shared" si="147"/>
        <v>0</v>
      </c>
      <c r="CH334" s="16">
        <f t="shared" si="173"/>
        <v>0</v>
      </c>
      <c r="CJ334" s="16" t="e">
        <f t="shared" si="148"/>
        <v>#N/A</v>
      </c>
      <c r="CK334" s="16" t="str">
        <f t="shared" si="149"/>
        <v/>
      </c>
    </row>
    <row r="335" spans="1:89" ht="12" customHeight="1">
      <c r="A335" s="211"/>
      <c r="B335" s="211"/>
      <c r="C335" s="211"/>
      <c r="D335" s="211"/>
      <c r="E335" s="211"/>
      <c r="F335" s="211"/>
      <c r="G335" s="211"/>
      <c r="H335" s="211"/>
      <c r="I335" s="211"/>
      <c r="J335" s="211"/>
      <c r="K335" s="211"/>
      <c r="L335" s="211"/>
      <c r="M335" s="211"/>
      <c r="N335" s="211"/>
      <c r="O335" s="211"/>
      <c r="AM335" s="34">
        <f t="shared" si="168"/>
        <v>0.91544586606323719</v>
      </c>
      <c r="AN335" s="34">
        <f t="shared" si="153"/>
        <v>0.56142863072454929</v>
      </c>
      <c r="AO335" s="16">
        <f t="shared" si="154"/>
        <v>77.499999999999872</v>
      </c>
      <c r="AP335" s="16" t="e">
        <f t="shared" si="155"/>
        <v>#N/A</v>
      </c>
      <c r="AQ335" s="16">
        <f t="shared" si="156"/>
        <v>4.3514161970880328E-3</v>
      </c>
      <c r="AR335" s="34">
        <f t="shared" si="169"/>
        <v>0.83080467022955418</v>
      </c>
      <c r="AS335" s="34">
        <f t="shared" si="157"/>
        <v>0.50275625474750996</v>
      </c>
      <c r="AT335" s="540">
        <f t="shared" si="158"/>
        <v>69.10000000000035</v>
      </c>
      <c r="AU335" s="16" t="e">
        <f t="shared" si="159"/>
        <v>#N/A</v>
      </c>
      <c r="AV335" s="16">
        <f t="shared" si="160"/>
        <v>6.3561456443960718E-3</v>
      </c>
      <c r="AW335" s="34">
        <f t="shared" si="170"/>
        <v>0.39459838159382343</v>
      </c>
      <c r="AX335" s="34">
        <f t="shared" si="161"/>
        <v>0.94571719504892826</v>
      </c>
      <c r="AY335" s="16">
        <f t="shared" si="162"/>
        <v>44.600000000000364</v>
      </c>
      <c r="AZ335" s="16" t="e">
        <f t="shared" si="163"/>
        <v>#N/A</v>
      </c>
      <c r="BA335" s="16">
        <f t="shared" si="171"/>
        <v>1.8189104654175232E-2</v>
      </c>
      <c r="BB335" s="34">
        <f t="shared" si="172"/>
        <v>0.43718681670725346</v>
      </c>
      <c r="BC335" s="34">
        <f t="shared" si="164"/>
        <v>0.85050115175545216</v>
      </c>
      <c r="BD335" s="16">
        <f t="shared" si="165"/>
        <v>46.800000000000395</v>
      </c>
      <c r="BE335" s="16" t="e">
        <f t="shared" si="166"/>
        <v>#N/A</v>
      </c>
      <c r="BF335" s="16">
        <f t="shared" si="167"/>
        <v>1.6749274757703891E-2</v>
      </c>
      <c r="BU335" s="16">
        <f t="shared" si="150"/>
        <v>0</v>
      </c>
      <c r="BV335" s="16">
        <f>IF($BY$12=1,NORMDIST(BY335,$Y$6,$Y$8,TRUE),IF($BY$12=2,IF(BY335&lt;=$BX$31,0,IF(BY335&gt;=$BX$32,1,(BY335-$BX$31)*$BX$33)),SUM($BU$42:BU335)/$BV$40))</f>
        <v>0.15033445559858316</v>
      </c>
      <c r="BW335" s="16">
        <f t="shared" si="151"/>
        <v>0.34208508348676486</v>
      </c>
      <c r="BX335" s="16">
        <f>IF($BY$12&lt;3,BV335,SUM($BZ$42:BZ335)/$BX$40)</f>
        <v>0.15033445559858316</v>
      </c>
      <c r="BY335" s="16">
        <f t="shared" si="141"/>
        <v>29.300000000000146</v>
      </c>
      <c r="BZ335" s="16">
        <f t="shared" si="142"/>
        <v>1.1675258822073828E-2</v>
      </c>
      <c r="CA335" s="16">
        <f t="shared" si="152"/>
        <v>-999</v>
      </c>
      <c r="CB335" s="16" t="str">
        <f t="shared" si="143"/>
        <v/>
      </c>
      <c r="CC335" s="16" t="e">
        <f>IF(CB335="",NA(),COUNTIF(CB335:$CB$704,CB335))</f>
        <v>#N/A</v>
      </c>
      <c r="CD335" s="16" t="e">
        <f t="shared" si="144"/>
        <v>#N/A</v>
      </c>
      <c r="CE335" s="16" t="e">
        <f t="shared" si="145"/>
        <v>#N/A</v>
      </c>
      <c r="CF335" s="16">
        <f t="shared" si="146"/>
        <v>99</v>
      </c>
      <c r="CG335" s="16">
        <f t="shared" si="147"/>
        <v>0</v>
      </c>
      <c r="CH335" s="16">
        <f t="shared" si="173"/>
        <v>0</v>
      </c>
      <c r="CJ335" s="16" t="e">
        <f t="shared" si="148"/>
        <v>#N/A</v>
      </c>
      <c r="CK335" s="16" t="str">
        <f t="shared" si="149"/>
        <v/>
      </c>
    </row>
    <row r="336" spans="1:89" ht="12" customHeight="1">
      <c r="A336" s="211"/>
      <c r="B336" s="211"/>
      <c r="C336" s="211"/>
      <c r="D336" s="211"/>
      <c r="E336" s="211"/>
      <c r="F336" s="211"/>
      <c r="G336" s="211"/>
      <c r="H336" s="211"/>
      <c r="I336" s="211"/>
      <c r="J336" s="211"/>
      <c r="K336" s="211"/>
      <c r="L336" s="211"/>
      <c r="M336" s="211"/>
      <c r="N336" s="211"/>
      <c r="O336" s="211"/>
      <c r="AM336" s="34">
        <f t="shared" si="168"/>
        <v>0.60581769235432148</v>
      </c>
      <c r="AN336" s="34">
        <f t="shared" si="153"/>
        <v>0.79917321540415287</v>
      </c>
      <c r="AO336" s="16">
        <f t="shared" si="154"/>
        <v>55.300000000000516</v>
      </c>
      <c r="AP336" s="16" t="e">
        <f t="shared" si="155"/>
        <v>#N/A</v>
      </c>
      <c r="AQ336" s="16">
        <f t="shared" si="156"/>
        <v>1.5391176732130333E-2</v>
      </c>
      <c r="AR336" s="34">
        <f t="shared" si="169"/>
        <v>8.3306411281228065E-2</v>
      </c>
      <c r="AS336" s="34">
        <f t="shared" si="157"/>
        <v>0.19579562731087208</v>
      </c>
      <c r="AT336" s="540">
        <f t="shared" si="158"/>
        <v>22.300000000000047</v>
      </c>
      <c r="AU336" s="16" t="e">
        <f t="shared" si="159"/>
        <v>#N/A</v>
      </c>
      <c r="AV336" s="16">
        <f t="shared" si="160"/>
        <v>1.4967380258061049E-3</v>
      </c>
      <c r="AW336" s="34">
        <f t="shared" si="170"/>
        <v>0.24481281824409962</v>
      </c>
      <c r="AX336" s="34">
        <f t="shared" si="161"/>
        <v>0.36500763334333897</v>
      </c>
      <c r="AY336" s="16">
        <f t="shared" si="162"/>
        <v>36.100000000000243</v>
      </c>
      <c r="AZ336" s="16" t="e">
        <f t="shared" si="163"/>
        <v>#N/A</v>
      </c>
      <c r="BA336" s="16">
        <f t="shared" si="171"/>
        <v>5.7186625600252946E-3</v>
      </c>
      <c r="BB336" s="34">
        <f t="shared" si="172"/>
        <v>0.57406949438154697</v>
      </c>
      <c r="BC336" s="34">
        <f t="shared" si="164"/>
        <v>0.40671889670193195</v>
      </c>
      <c r="BD336" s="16">
        <f t="shared" si="165"/>
        <v>53.700000000000493</v>
      </c>
      <c r="BE336" s="16" t="e">
        <f t="shared" si="166"/>
        <v>#N/A</v>
      </c>
      <c r="BF336" s="16">
        <f t="shared" si="167"/>
        <v>7.9752178791432735E-3</v>
      </c>
      <c r="BU336" s="16">
        <f t="shared" si="150"/>
        <v>0</v>
      </c>
      <c r="BV336" s="16">
        <f>IF($BY$12=1,NORMDIST(BY336,$Y$6,$Y$8,TRUE),IF($BY$12=2,IF(BY336&lt;=$BX$31,0,IF(BY336&gt;=$BX$32,1,(BY336-$BX$31)*$BX$33)),SUM($BU$42:BU336)/$BV$40))</f>
        <v>0.15150500278834544</v>
      </c>
      <c r="BW336" s="16">
        <f t="shared" si="151"/>
        <v>0.34502923292861165</v>
      </c>
      <c r="BX336" s="16">
        <f>IF($BY$12&lt;3,BV336,SUM($BZ$42:BZ336)/$BX$40)</f>
        <v>0.15150500278834544</v>
      </c>
      <c r="BY336" s="16">
        <f t="shared" si="141"/>
        <v>29.400000000000148</v>
      </c>
      <c r="BZ336" s="16">
        <f t="shared" si="142"/>
        <v>1.1735688194850678E-2</v>
      </c>
      <c r="CA336" s="16">
        <f t="shared" si="152"/>
        <v>-999</v>
      </c>
      <c r="CB336" s="16" t="str">
        <f t="shared" si="143"/>
        <v/>
      </c>
      <c r="CC336" s="16" t="e">
        <f>IF(CB336="",NA(),COUNTIF(CB336:$CB$704,CB336))</f>
        <v>#N/A</v>
      </c>
      <c r="CD336" s="16" t="e">
        <f t="shared" si="144"/>
        <v>#N/A</v>
      </c>
      <c r="CE336" s="16" t="e">
        <f t="shared" si="145"/>
        <v>#N/A</v>
      </c>
      <c r="CF336" s="16">
        <f t="shared" si="146"/>
        <v>99</v>
      </c>
      <c r="CG336" s="16">
        <f t="shared" si="147"/>
        <v>0</v>
      </c>
      <c r="CH336" s="16">
        <f t="shared" si="173"/>
        <v>0</v>
      </c>
      <c r="CJ336" s="16" t="e">
        <f t="shared" si="148"/>
        <v>#N/A</v>
      </c>
      <c r="CK336" s="16" t="str">
        <f t="shared" si="149"/>
        <v/>
      </c>
    </row>
    <row r="337" spans="1:89" ht="12" customHeight="1">
      <c r="A337" s="211"/>
      <c r="B337" s="211"/>
      <c r="C337" s="211"/>
      <c r="D337" s="211"/>
      <c r="E337" s="211"/>
      <c r="F337" s="211"/>
      <c r="G337" s="211"/>
      <c r="H337" s="211"/>
      <c r="I337" s="211"/>
      <c r="J337" s="211"/>
      <c r="K337" s="211"/>
      <c r="L337" s="211"/>
      <c r="M337" s="211"/>
      <c r="N337" s="211"/>
      <c r="O337" s="211"/>
      <c r="AM337" s="34">
        <f t="shared" si="168"/>
        <v>0.54329332895576954</v>
      </c>
      <c r="AN337" s="34">
        <f t="shared" si="153"/>
        <v>0.35237097181379795</v>
      </c>
      <c r="AO337" s="16">
        <f t="shared" si="154"/>
        <v>52.10000000000047</v>
      </c>
      <c r="AP337" s="16" t="e">
        <f t="shared" si="155"/>
        <v>#N/A</v>
      </c>
      <c r="AQ337" s="16">
        <f t="shared" si="156"/>
        <v>6.9901443787683338E-3</v>
      </c>
      <c r="AR337" s="34">
        <f t="shared" si="169"/>
        <v>0.81845187582075596</v>
      </c>
      <c r="AS337" s="34">
        <f t="shared" si="157"/>
        <v>0.39808194525539875</v>
      </c>
      <c r="AT337" s="540">
        <f t="shared" si="158"/>
        <v>68.100000000000406</v>
      </c>
      <c r="AU337" s="16" t="e">
        <f t="shared" si="159"/>
        <v>#N/A</v>
      </c>
      <c r="AV337" s="16">
        <f t="shared" si="160"/>
        <v>5.2723414929136707E-3</v>
      </c>
      <c r="AW337" s="34">
        <f t="shared" si="170"/>
        <v>7.8532623127102852E-2</v>
      </c>
      <c r="AX337" s="34">
        <f t="shared" si="161"/>
        <v>0.25219512917101383</v>
      </c>
      <c r="AY337" s="16">
        <f t="shared" si="162"/>
        <v>21.600000000000037</v>
      </c>
      <c r="AZ337" s="16" t="e">
        <f t="shared" si="163"/>
        <v>#N/A</v>
      </c>
      <c r="BA337" s="16">
        <f t="shared" si="171"/>
        <v>1.8355282288717613E-3</v>
      </c>
      <c r="BB337" s="34">
        <f t="shared" si="172"/>
        <v>0.25436497665941715</v>
      </c>
      <c r="BC337" s="34">
        <f t="shared" si="164"/>
        <v>7.3338868096470833E-2</v>
      </c>
      <c r="BD337" s="16">
        <f t="shared" si="165"/>
        <v>36.700000000000252</v>
      </c>
      <c r="BE337" s="16" t="e">
        <f t="shared" si="166"/>
        <v>#N/A</v>
      </c>
      <c r="BF337" s="16">
        <f t="shared" si="167"/>
        <v>1.1726984047016082E-3</v>
      </c>
      <c r="BU337" s="16">
        <f t="shared" si="150"/>
        <v>0</v>
      </c>
      <c r="BV337" s="16">
        <f>IF($BY$12=1,NORMDIST(BY337,$Y$6,$Y$8,TRUE),IF($BY$12=2,IF(BY337&lt;=$BX$31,0,IF(BY337&gt;=$BX$32,1,(BY337-$BX$31)*$BX$33)),SUM($BU$42:BU337)/$BV$40))</f>
        <v>0.15268159383311208</v>
      </c>
      <c r="BW337" s="16">
        <f t="shared" si="151"/>
        <v>0.34798599529839142</v>
      </c>
      <c r="BX337" s="16">
        <f>IF($BY$12&lt;3,BV337,SUM($BZ$42:BZ337)/$BX$40)</f>
        <v>0.15268159383311208</v>
      </c>
      <c r="BY337" s="16">
        <f t="shared" si="141"/>
        <v>29.500000000000149</v>
      </c>
      <c r="BZ337" s="16">
        <f t="shared" si="142"/>
        <v>1.1796135433843717E-2</v>
      </c>
      <c r="CA337" s="16">
        <f t="shared" si="152"/>
        <v>-999</v>
      </c>
      <c r="CB337" s="16" t="str">
        <f t="shared" si="143"/>
        <v/>
      </c>
      <c r="CC337" s="16" t="e">
        <f>IF(CB337="",NA(),COUNTIF(CB337:$CB$704,CB337))</f>
        <v>#N/A</v>
      </c>
      <c r="CD337" s="16" t="e">
        <f t="shared" si="144"/>
        <v>#N/A</v>
      </c>
      <c r="CE337" s="16" t="e">
        <f t="shared" si="145"/>
        <v>#N/A</v>
      </c>
      <c r="CF337" s="16">
        <f t="shared" si="146"/>
        <v>99</v>
      </c>
      <c r="CG337" s="16">
        <f t="shared" si="147"/>
        <v>0</v>
      </c>
      <c r="CH337" s="16">
        <f t="shared" si="173"/>
        <v>0</v>
      </c>
      <c r="CJ337" s="16" t="e">
        <f t="shared" si="148"/>
        <v>#N/A</v>
      </c>
      <c r="CK337" s="16" t="str">
        <f t="shared" si="149"/>
        <v/>
      </c>
    </row>
    <row r="338" spans="1:89" ht="12" customHeight="1">
      <c r="A338" s="211"/>
      <c r="B338" s="211"/>
      <c r="C338" s="211"/>
      <c r="D338" s="211"/>
      <c r="E338" s="211"/>
      <c r="F338" s="211"/>
      <c r="G338" s="211"/>
      <c r="H338" s="211"/>
      <c r="I338" s="211"/>
      <c r="J338" s="211"/>
      <c r="K338" s="211"/>
      <c r="L338" s="211"/>
      <c r="M338" s="211"/>
      <c r="N338" s="211"/>
      <c r="O338" s="211"/>
      <c r="AM338" s="34">
        <f t="shared" si="168"/>
        <v>0.29896061308681965</v>
      </c>
      <c r="AN338" s="34">
        <f t="shared" si="153"/>
        <v>1.7356166616082191E-2</v>
      </c>
      <c r="AO338" s="16">
        <f t="shared" si="154"/>
        <v>39.40000000000029</v>
      </c>
      <c r="AP338" s="16" t="e">
        <f t="shared" si="155"/>
        <v>#N/A</v>
      </c>
      <c r="AQ338" s="16">
        <f t="shared" si="156"/>
        <v>3.0084113659607981E-4</v>
      </c>
      <c r="AR338" s="34">
        <f t="shared" si="169"/>
        <v>0.62761927582323551</v>
      </c>
      <c r="AS338" s="34">
        <f t="shared" si="157"/>
        <v>0.9172829408198595</v>
      </c>
      <c r="AT338" s="540">
        <f t="shared" si="158"/>
        <v>56.500000000000533</v>
      </c>
      <c r="AU338" s="16" t="e">
        <f t="shared" si="159"/>
        <v>#N/A</v>
      </c>
      <c r="AV338" s="16">
        <f t="shared" si="160"/>
        <v>1.7355902815040396E-2</v>
      </c>
      <c r="AW338" s="34">
        <f t="shared" si="170"/>
        <v>0.57024681754410267</v>
      </c>
      <c r="AX338" s="34">
        <f t="shared" si="161"/>
        <v>0.58864965476095676</v>
      </c>
      <c r="AY338" s="16">
        <f t="shared" si="162"/>
        <v>53.50000000000049</v>
      </c>
      <c r="AZ338" s="16" t="e">
        <f t="shared" si="163"/>
        <v>#N/A</v>
      </c>
      <c r="BA338" s="16">
        <f t="shared" si="171"/>
        <v>1.1563434096184011E-2</v>
      </c>
      <c r="BB338" s="34">
        <f t="shared" si="172"/>
        <v>0.6343699935823679</v>
      </c>
      <c r="BC338" s="34">
        <f t="shared" si="164"/>
        <v>0.18263359554111958</v>
      </c>
      <c r="BD338" s="16">
        <f t="shared" si="165"/>
        <v>56.800000000000537</v>
      </c>
      <c r="BE338" s="16" t="e">
        <f t="shared" si="166"/>
        <v>#N/A</v>
      </c>
      <c r="BF338" s="16">
        <f t="shared" si="167"/>
        <v>3.438416786022747E-3</v>
      </c>
      <c r="BU338" s="16">
        <f t="shared" si="150"/>
        <v>0</v>
      </c>
      <c r="BV338" s="16">
        <f>IF($BY$12=1,NORMDIST(BY338,$Y$6,$Y$8,TRUE),IF($BY$12=2,IF(BY338&lt;=$BX$31,0,IF(BY338&gt;=$BX$32,1,(BY338-$BX$31)*$BX$33)),SUM($BU$42:BU338)/$BV$40))</f>
        <v>0.15386423037273667</v>
      </c>
      <c r="BW338" s="16">
        <f t="shared" si="151"/>
        <v>0.35095528898868622</v>
      </c>
      <c r="BX338" s="16">
        <f>IF($BY$12&lt;3,BV338,SUM($BZ$42:BZ338)/$BX$40)</f>
        <v>0.15386423037273667</v>
      </c>
      <c r="BY338" s="16">
        <f t="shared" si="141"/>
        <v>29.600000000000151</v>
      </c>
      <c r="BZ338" s="16">
        <f t="shared" si="142"/>
        <v>1.185659760096907E-2</v>
      </c>
      <c r="CA338" s="16">
        <f t="shared" si="152"/>
        <v>-999</v>
      </c>
      <c r="CB338" s="16" t="str">
        <f t="shared" si="143"/>
        <v/>
      </c>
      <c r="CC338" s="16" t="e">
        <f>IF(CB338="",NA(),COUNTIF(CB338:$CB$704,CB338))</f>
        <v>#N/A</v>
      </c>
      <c r="CD338" s="16" t="e">
        <f t="shared" si="144"/>
        <v>#N/A</v>
      </c>
      <c r="CE338" s="16" t="e">
        <f t="shared" si="145"/>
        <v>#N/A</v>
      </c>
      <c r="CF338" s="16">
        <f t="shared" si="146"/>
        <v>99</v>
      </c>
      <c r="CG338" s="16">
        <f t="shared" si="147"/>
        <v>0</v>
      </c>
      <c r="CH338" s="16">
        <f t="shared" si="173"/>
        <v>0</v>
      </c>
      <c r="CJ338" s="16" t="e">
        <f t="shared" si="148"/>
        <v>#N/A</v>
      </c>
      <c r="CK338" s="16" t="str">
        <f t="shared" si="149"/>
        <v/>
      </c>
    </row>
    <row r="339" spans="1:89" ht="12" customHeight="1">
      <c r="A339" s="211"/>
      <c r="B339" s="211"/>
      <c r="C339" s="211"/>
      <c r="D339" s="211"/>
      <c r="E339" s="211"/>
      <c r="F339" s="211"/>
      <c r="G339" s="211"/>
      <c r="H339" s="211"/>
      <c r="I339" s="211"/>
      <c r="J339" s="211"/>
      <c r="K339" s="211"/>
      <c r="L339" s="211"/>
      <c r="M339" s="211"/>
      <c r="N339" s="211"/>
      <c r="O339" s="211"/>
      <c r="AM339" s="34">
        <f t="shared" si="168"/>
        <v>0.89179098792374134</v>
      </c>
      <c r="AN339" s="34">
        <f t="shared" si="153"/>
        <v>0.4725202564150095</v>
      </c>
      <c r="AO339" s="16">
        <f t="shared" si="154"/>
        <v>74.700000000000031</v>
      </c>
      <c r="AP339" s="16" t="e">
        <f t="shared" si="155"/>
        <v>#N/A</v>
      </c>
      <c r="AQ339" s="16">
        <f t="shared" si="156"/>
        <v>4.3964496170093023E-3</v>
      </c>
      <c r="AR339" s="34">
        <f t="shared" si="169"/>
        <v>0.33287682570517063</v>
      </c>
      <c r="AS339" s="34">
        <f t="shared" si="157"/>
        <v>0.58445044048130512</v>
      </c>
      <c r="AT339" s="540">
        <f t="shared" si="158"/>
        <v>41.300000000000317</v>
      </c>
      <c r="AU339" s="16" t="e">
        <f t="shared" si="159"/>
        <v>#N/A</v>
      </c>
      <c r="AV339" s="16">
        <f t="shared" si="160"/>
        <v>1.0605669121803355E-2</v>
      </c>
      <c r="AW339" s="34">
        <f t="shared" si="170"/>
        <v>0.20005507953464985</v>
      </c>
      <c r="AX339" s="34">
        <f t="shared" si="161"/>
        <v>0.39606253243982792</v>
      </c>
      <c r="AY339" s="16">
        <f t="shared" si="162"/>
        <v>33.1000000000002</v>
      </c>
      <c r="AZ339" s="16" t="e">
        <f t="shared" si="163"/>
        <v>#N/A</v>
      </c>
      <c r="BA339" s="16">
        <f t="shared" si="171"/>
        <v>5.5283467036236758E-3</v>
      </c>
      <c r="BB339" s="34">
        <f t="shared" si="172"/>
        <v>0.32964793778955936</v>
      </c>
      <c r="BC339" s="34">
        <f t="shared" si="164"/>
        <v>0.66331878490746021</v>
      </c>
      <c r="BD339" s="16">
        <f t="shared" si="165"/>
        <v>41.100000000000314</v>
      </c>
      <c r="BE339" s="16" t="e">
        <f t="shared" si="166"/>
        <v>#N/A</v>
      </c>
      <c r="BF339" s="16">
        <f t="shared" si="167"/>
        <v>1.1983999556305353E-2</v>
      </c>
      <c r="BU339" s="16">
        <f t="shared" si="150"/>
        <v>0</v>
      </c>
      <c r="BV339" s="16">
        <f>IF($BY$12=1,NORMDIST(BY339,$Y$6,$Y$8,TRUE),IF($BY$12=2,IF(BY339&lt;=$BX$31,0,IF(BY339&gt;=$BX$32,1,(BY339-$BX$31)*$BX$33)),SUM($BU$42:BU339)/$BV$40))</f>
        <v>0.15505291375245145</v>
      </c>
      <c r="BW339" s="16">
        <f t="shared" si="151"/>
        <v>0.35393703073514932</v>
      </c>
      <c r="BX339" s="16">
        <f>IF($BY$12&lt;3,BV339,SUM($BZ$42:BZ339)/$BX$40)</f>
        <v>0.15505291375245145</v>
      </c>
      <c r="BY339" s="16">
        <f t="shared" si="141"/>
        <v>29.700000000000152</v>
      </c>
      <c r="BZ339" s="16">
        <f t="shared" si="142"/>
        <v>1.1917071741924159E-2</v>
      </c>
      <c r="CA339" s="16">
        <f t="shared" si="152"/>
        <v>-999</v>
      </c>
      <c r="CB339" s="16" t="str">
        <f t="shared" si="143"/>
        <v/>
      </c>
      <c r="CC339" s="16" t="e">
        <f>IF(CB339="",NA(),COUNTIF(CB339:$CB$704,CB339))</f>
        <v>#N/A</v>
      </c>
      <c r="CD339" s="16" t="e">
        <f t="shared" si="144"/>
        <v>#N/A</v>
      </c>
      <c r="CE339" s="16" t="e">
        <f t="shared" si="145"/>
        <v>#N/A</v>
      </c>
      <c r="CF339" s="16">
        <f t="shared" si="146"/>
        <v>99</v>
      </c>
      <c r="CG339" s="16">
        <f t="shared" si="147"/>
        <v>0</v>
      </c>
      <c r="CH339" s="16">
        <f t="shared" si="173"/>
        <v>0</v>
      </c>
      <c r="CJ339" s="16" t="e">
        <f t="shared" si="148"/>
        <v>#N/A</v>
      </c>
      <c r="CK339" s="16" t="str">
        <f t="shared" si="149"/>
        <v/>
      </c>
    </row>
    <row r="340" spans="1:89" ht="12" customHeight="1">
      <c r="A340" s="211"/>
      <c r="B340" s="211"/>
      <c r="C340" s="211"/>
      <c r="D340" s="211"/>
      <c r="E340" s="211"/>
      <c r="F340" s="211"/>
      <c r="G340" s="211"/>
      <c r="H340" s="211"/>
      <c r="I340" s="211"/>
      <c r="J340" s="211"/>
      <c r="K340" s="211"/>
      <c r="L340" s="211"/>
      <c r="M340" s="211"/>
      <c r="N340" s="211"/>
      <c r="O340" s="211"/>
      <c r="AM340" s="34">
        <f t="shared" si="168"/>
        <v>0.7069134283810854</v>
      </c>
      <c r="AN340" s="34">
        <f t="shared" si="153"/>
        <v>0.47368542291224003</v>
      </c>
      <c r="AO340" s="16">
        <f t="shared" si="154"/>
        <v>60.800000000000594</v>
      </c>
      <c r="AP340" s="16" t="e">
        <f t="shared" si="155"/>
        <v>#N/A</v>
      </c>
      <c r="AQ340" s="16">
        <f t="shared" si="156"/>
        <v>8.1667630419770699E-3</v>
      </c>
      <c r="AR340" s="34">
        <f t="shared" si="169"/>
        <v>2.6687774807214737E-3</v>
      </c>
      <c r="AS340" s="34">
        <f t="shared" si="157"/>
        <v>0.80950132198631763</v>
      </c>
      <c r="AT340" s="540" t="e">
        <f t="shared" si="158"/>
        <v>#N/A</v>
      </c>
      <c r="AU340" s="16" t="e">
        <f t="shared" si="159"/>
        <v>#N/A</v>
      </c>
      <c r="AV340" s="16" t="e">
        <f t="shared" si="160"/>
        <v>#N/A</v>
      </c>
      <c r="AW340" s="34">
        <f t="shared" si="170"/>
        <v>0.47321120090782642</v>
      </c>
      <c r="AX340" s="34">
        <f t="shared" si="161"/>
        <v>0.1608238760381937</v>
      </c>
      <c r="AY340" s="16">
        <f t="shared" si="162"/>
        <v>48.600000000000421</v>
      </c>
      <c r="AZ340" s="16" t="e">
        <f t="shared" si="163"/>
        <v>#N/A</v>
      </c>
      <c r="BA340" s="16">
        <f t="shared" si="171"/>
        <v>3.200122280680685E-3</v>
      </c>
      <c r="BB340" s="34">
        <f t="shared" si="172"/>
        <v>0.47221880592405796</v>
      </c>
      <c r="BC340" s="34">
        <f t="shared" si="164"/>
        <v>0.19808505661785603</v>
      </c>
      <c r="BD340" s="16">
        <f t="shared" si="165"/>
        <v>48.600000000000421</v>
      </c>
      <c r="BE340" s="16" t="e">
        <f t="shared" si="166"/>
        <v>#N/A</v>
      </c>
      <c r="BF340" s="16">
        <f t="shared" si="167"/>
        <v>3.9415565572002102E-3</v>
      </c>
      <c r="BU340" s="16">
        <f t="shared" si="150"/>
        <v>0</v>
      </c>
      <c r="BV340" s="16">
        <f>IF($BY$12=1,NORMDIST(BY340,$Y$6,$Y$8,TRUE),IF($BY$12=2,IF(BY340&lt;=$BX$31,0,IF(BY340&gt;=$BX$32,1,(BY340-$BX$31)*$BX$33)),SUM($BU$42:BU340)/$BV$40))</f>
        <v>0.15624764502125643</v>
      </c>
      <c r="BW340" s="16">
        <f t="shared" si="151"/>
        <v>0.35693113561474449</v>
      </c>
      <c r="BX340" s="16">
        <f>IF($BY$12&lt;3,BV340,SUM($BZ$42:BZ340)/$BX$40)</f>
        <v>0.15624764502125643</v>
      </c>
      <c r="BY340" s="16">
        <f t="shared" si="141"/>
        <v>29.800000000000153</v>
      </c>
      <c r="BZ340" s="16">
        <f t="shared" si="142"/>
        <v>1.197755488640076E-2</v>
      </c>
      <c r="CA340" s="16">
        <f t="shared" si="152"/>
        <v>-999</v>
      </c>
      <c r="CB340" s="16" t="str">
        <f t="shared" si="143"/>
        <v/>
      </c>
      <c r="CC340" s="16" t="e">
        <f>IF(CB340="",NA(),COUNTIF(CB340:$CB$704,CB340))</f>
        <v>#N/A</v>
      </c>
      <c r="CD340" s="16" t="e">
        <f t="shared" si="144"/>
        <v>#N/A</v>
      </c>
      <c r="CE340" s="16" t="e">
        <f t="shared" si="145"/>
        <v>#N/A</v>
      </c>
      <c r="CF340" s="16">
        <f t="shared" si="146"/>
        <v>99</v>
      </c>
      <c r="CG340" s="16">
        <f t="shared" si="147"/>
        <v>0</v>
      </c>
      <c r="CH340" s="16">
        <f t="shared" si="173"/>
        <v>0</v>
      </c>
      <c r="CJ340" s="16" t="e">
        <f t="shared" si="148"/>
        <v>#N/A</v>
      </c>
      <c r="CK340" s="16" t="str">
        <f t="shared" si="149"/>
        <v/>
      </c>
    </row>
    <row r="341" spans="1:89" ht="12" customHeight="1">
      <c r="A341" s="211"/>
      <c r="B341" s="211"/>
      <c r="C341" s="211"/>
      <c r="D341" s="211"/>
      <c r="E341" s="211"/>
      <c r="F341" s="211"/>
      <c r="G341" s="211"/>
      <c r="H341" s="211"/>
      <c r="I341" s="211"/>
      <c r="J341" s="211"/>
      <c r="K341" s="211"/>
      <c r="L341" s="211"/>
      <c r="M341" s="211"/>
      <c r="N341" s="211"/>
      <c r="O341" s="211"/>
      <c r="AM341" s="34">
        <f t="shared" si="168"/>
        <v>0.38703289814293385</v>
      </c>
      <c r="AN341" s="34">
        <f t="shared" si="153"/>
        <v>1.2857014313340187E-2</v>
      </c>
      <c r="AO341" s="16">
        <f t="shared" si="154"/>
        <v>44.200000000000358</v>
      </c>
      <c r="AP341" s="16" t="e">
        <f t="shared" si="155"/>
        <v>#N/A</v>
      </c>
      <c r="AQ341" s="16">
        <f t="shared" si="156"/>
        <v>2.4589976550372079E-4</v>
      </c>
      <c r="AR341" s="34">
        <f t="shared" si="169"/>
        <v>0.74338036216795444</v>
      </c>
      <c r="AS341" s="34">
        <f t="shared" si="157"/>
        <v>0.28562425263226032</v>
      </c>
      <c r="AT341" s="540">
        <f t="shared" si="158"/>
        <v>63.000000000000625</v>
      </c>
      <c r="AU341" s="16" t="e">
        <f t="shared" si="159"/>
        <v>#N/A</v>
      </c>
      <c r="AV341" s="16">
        <f t="shared" si="160"/>
        <v>4.6124369425511848E-3</v>
      </c>
      <c r="AW341" s="34">
        <f t="shared" si="170"/>
        <v>0.85109232552349567</v>
      </c>
      <c r="AX341" s="34">
        <f t="shared" si="161"/>
        <v>0.31943518854677677</v>
      </c>
      <c r="AY341" s="16">
        <f t="shared" si="162"/>
        <v>70.800000000000253</v>
      </c>
      <c r="AZ341" s="16" t="e">
        <f t="shared" si="163"/>
        <v>#N/A</v>
      </c>
      <c r="BA341" s="16">
        <f t="shared" si="171"/>
        <v>3.7101918754523845E-3</v>
      </c>
      <c r="BB341" s="34">
        <f t="shared" si="172"/>
        <v>0.14128429628908634</v>
      </c>
      <c r="BC341" s="34">
        <f t="shared" si="164"/>
        <v>0.79958671517670155</v>
      </c>
      <c r="BD341" s="16">
        <f t="shared" si="165"/>
        <v>28.500000000000135</v>
      </c>
      <c r="BE341" s="16" t="e">
        <f t="shared" si="166"/>
        <v>#N/A</v>
      </c>
      <c r="BF341" s="16">
        <f t="shared" si="167"/>
        <v>8.9496254423411387E-3</v>
      </c>
      <c r="BU341" s="16">
        <f t="shared" si="150"/>
        <v>0</v>
      </c>
      <c r="BV341" s="16">
        <f>IF($BY$12=1,NORMDIST(BY341,$Y$6,$Y$8,TRUE),IF($BY$12=2,IF(BY341&lt;=$BX$31,0,IF(BY341&gt;=$BX$32,1,(BY341-$BX$31)*$BX$33)),SUM($BU$42:BU341)/$BV$40))</f>
        <v>0.15744842493032962</v>
      </c>
      <c r="BW341" s="16">
        <f t="shared" si="151"/>
        <v>0.35993751704420573</v>
      </c>
      <c r="BX341" s="16">
        <f>IF($BY$12&lt;3,BV341,SUM($BZ$42:BZ341)/$BX$40)</f>
        <v>0.15744842493032962</v>
      </c>
      <c r="BY341" s="16">
        <f t="shared" si="141"/>
        <v>29.900000000000155</v>
      </c>
      <c r="BZ341" s="16">
        <f t="shared" si="142"/>
        <v>1.2038044048301133E-2</v>
      </c>
      <c r="CA341" s="16">
        <f t="shared" si="152"/>
        <v>-999</v>
      </c>
      <c r="CB341" s="16" t="str">
        <f t="shared" si="143"/>
        <v/>
      </c>
      <c r="CC341" s="16" t="e">
        <f>IF(CB341="",NA(),COUNTIF(CB341:$CB$704,CB341))</f>
        <v>#N/A</v>
      </c>
      <c r="CD341" s="16" t="e">
        <f t="shared" si="144"/>
        <v>#N/A</v>
      </c>
      <c r="CE341" s="16" t="e">
        <f t="shared" si="145"/>
        <v>#N/A</v>
      </c>
      <c r="CF341" s="16">
        <f t="shared" si="146"/>
        <v>99</v>
      </c>
      <c r="CG341" s="16">
        <f t="shared" si="147"/>
        <v>0</v>
      </c>
      <c r="CH341" s="16">
        <f t="shared" si="173"/>
        <v>0</v>
      </c>
      <c r="CJ341" s="16" t="e">
        <f t="shared" si="148"/>
        <v>#N/A</v>
      </c>
      <c r="CK341" s="16" t="str">
        <f t="shared" si="149"/>
        <v/>
      </c>
    </row>
    <row r="342" spans="1:89" ht="12" customHeight="1">
      <c r="A342" s="211"/>
      <c r="B342" s="211"/>
      <c r="C342" s="211"/>
      <c r="D342" s="211"/>
      <c r="E342" s="211"/>
      <c r="F342" s="211"/>
      <c r="G342" s="211"/>
      <c r="H342" s="211"/>
      <c r="I342" s="211"/>
      <c r="J342" s="211"/>
      <c r="K342" s="211"/>
      <c r="L342" s="211"/>
      <c r="M342" s="211"/>
      <c r="N342" s="211"/>
      <c r="O342" s="211"/>
      <c r="AM342" s="34">
        <f t="shared" si="168"/>
        <v>0.31027458794414997</v>
      </c>
      <c r="AN342" s="34">
        <f t="shared" si="153"/>
        <v>0.91301114298403263</v>
      </c>
      <c r="AO342" s="16">
        <f t="shared" si="154"/>
        <v>40.000000000000298</v>
      </c>
      <c r="AP342" s="16" t="e">
        <f t="shared" si="155"/>
        <v>#N/A</v>
      </c>
      <c r="AQ342" s="16">
        <f t="shared" si="156"/>
        <v>1.607197831970612E-2</v>
      </c>
      <c r="AR342" s="34">
        <f t="shared" si="169"/>
        <v>0.2394378874450922</v>
      </c>
      <c r="AS342" s="34">
        <f t="shared" si="157"/>
        <v>0.98714345879852772</v>
      </c>
      <c r="AT342" s="540">
        <f t="shared" si="158"/>
        <v>35.800000000000239</v>
      </c>
      <c r="AU342" s="16" t="e">
        <f t="shared" si="159"/>
        <v>#N/A</v>
      </c>
      <c r="AV342" s="16" t="e">
        <f t="shared" si="160"/>
        <v>#N/A</v>
      </c>
      <c r="AW342" s="34">
        <f t="shared" si="170"/>
        <v>3.8125218823552132E-2</v>
      </c>
      <c r="AX342" s="34">
        <f t="shared" si="161"/>
        <v>0.68386336602270603</v>
      </c>
      <c r="AY342" s="16">
        <f t="shared" si="162"/>
        <v>14.499999999999964</v>
      </c>
      <c r="AZ342" s="16" t="e">
        <f t="shared" si="163"/>
        <v>#N/A</v>
      </c>
      <c r="BA342" s="16">
        <f t="shared" si="171"/>
        <v>2.8229285348575161E-3</v>
      </c>
      <c r="BB342" s="34">
        <f t="shared" si="172"/>
        <v>0.54639431275427341</v>
      </c>
      <c r="BC342" s="34">
        <f t="shared" si="164"/>
        <v>0.23066879995167255</v>
      </c>
      <c r="BD342" s="16">
        <f t="shared" si="165"/>
        <v>52.300000000000473</v>
      </c>
      <c r="BE342" s="16" t="e">
        <f t="shared" si="166"/>
        <v>#N/A</v>
      </c>
      <c r="BF342" s="16">
        <f t="shared" si="167"/>
        <v>4.5708519437947116E-3</v>
      </c>
      <c r="BU342" s="16">
        <f t="shared" si="150"/>
        <v>0</v>
      </c>
      <c r="BV342" s="16">
        <f>IF($BY$12=1,NORMDIST(BY342,$Y$6,$Y$8,TRUE),IF($BY$12=2,IF(BY342&lt;=$BX$31,0,IF(BY342&gt;=$BX$32,1,(BY342-$BX$31)*$BX$33)),SUM($BU$42:BU342)/$BV$40))</f>
        <v>0.15865525393145896</v>
      </c>
      <c r="BW342" s="16">
        <f t="shared" si="151"/>
        <v>0.36295608677871977</v>
      </c>
      <c r="BX342" s="16">
        <f>IF($BY$12&lt;3,BV342,SUM($BZ$42:BZ342)/$BX$40)</f>
        <v>0.15865525393145896</v>
      </c>
      <c r="BY342" s="16">
        <f t="shared" ref="BY342:BY405" si="174">BY341+$BZ$1</f>
        <v>30.000000000000156</v>
      </c>
      <c r="BZ342" s="16">
        <f t="shared" si="142"/>
        <v>1.2098536225957262E-2</v>
      </c>
      <c r="CA342" s="16">
        <f t="shared" si="152"/>
        <v>-999</v>
      </c>
      <c r="CB342" s="16" t="str">
        <f t="shared" si="143"/>
        <v/>
      </c>
      <c r="CC342" s="16" t="e">
        <f>IF(CB342="",NA(),COUNTIF(CB342:$CB$704,CB342))</f>
        <v>#N/A</v>
      </c>
      <c r="CD342" s="16" t="e">
        <f t="shared" si="144"/>
        <v>#N/A</v>
      </c>
      <c r="CE342" s="16" t="e">
        <f t="shared" si="145"/>
        <v>#N/A</v>
      </c>
      <c r="CF342" s="16">
        <f t="shared" si="146"/>
        <v>99</v>
      </c>
      <c r="CG342" s="16">
        <f t="shared" si="147"/>
        <v>0</v>
      </c>
      <c r="CH342" s="16">
        <f t="shared" si="173"/>
        <v>0</v>
      </c>
      <c r="CJ342" s="16" t="e">
        <f t="shared" si="148"/>
        <v>#N/A</v>
      </c>
      <c r="CK342" s="16" t="str">
        <f t="shared" si="149"/>
        <v/>
      </c>
    </row>
    <row r="343" spans="1:89" ht="12" customHeight="1">
      <c r="A343" s="211"/>
      <c r="B343" s="211"/>
      <c r="C343" s="211"/>
      <c r="D343" s="211"/>
      <c r="E343" s="211"/>
      <c r="F343" s="211"/>
      <c r="G343" s="211"/>
      <c r="H343" s="211"/>
      <c r="I343" s="211"/>
      <c r="J343" s="211"/>
      <c r="K343" s="211"/>
      <c r="L343" s="211"/>
      <c r="M343" s="211"/>
      <c r="N343" s="211"/>
      <c r="O343" s="211"/>
      <c r="AM343" s="34">
        <f t="shared" si="168"/>
        <v>0.2989851851016283</v>
      </c>
      <c r="AN343" s="34">
        <f t="shared" si="153"/>
        <v>0.73782368935644627</v>
      </c>
      <c r="AO343" s="16">
        <f t="shared" si="154"/>
        <v>39.40000000000029</v>
      </c>
      <c r="AP343" s="16" t="e">
        <f t="shared" si="155"/>
        <v>#N/A</v>
      </c>
      <c r="AQ343" s="16">
        <f t="shared" si="156"/>
        <v>1.2788982856838407E-2</v>
      </c>
      <c r="AR343" s="34">
        <f t="shared" si="169"/>
        <v>0.42085024155676365</v>
      </c>
      <c r="AS343" s="34">
        <f t="shared" si="157"/>
        <v>0.8866207767277956</v>
      </c>
      <c r="AT343" s="540">
        <f t="shared" si="158"/>
        <v>46.000000000000384</v>
      </c>
      <c r="AU343" s="16" t="e">
        <f t="shared" si="159"/>
        <v>#N/A</v>
      </c>
      <c r="AV343" s="16">
        <f t="shared" si="160"/>
        <v>1.733532885331248E-2</v>
      </c>
      <c r="AW343" s="34">
        <f t="shared" si="170"/>
        <v>0.55045081861317158</v>
      </c>
      <c r="AX343" s="34">
        <f t="shared" si="161"/>
        <v>0.34199235774576664</v>
      </c>
      <c r="AY343" s="16">
        <f t="shared" si="162"/>
        <v>52.500000000000476</v>
      </c>
      <c r="AZ343" s="16" t="e">
        <f t="shared" si="163"/>
        <v>#N/A</v>
      </c>
      <c r="BA343" s="16">
        <f t="shared" si="171"/>
        <v>6.7686731921432573E-3</v>
      </c>
      <c r="BB343" s="34">
        <f t="shared" si="172"/>
        <v>0.99821112491190434</v>
      </c>
      <c r="BC343" s="34">
        <f t="shared" si="164"/>
        <v>0.22586366720497608</v>
      </c>
      <c r="BD343" s="16" t="e">
        <f t="shared" si="165"/>
        <v>#N/A</v>
      </c>
      <c r="BE343" s="16" t="e">
        <f t="shared" si="166"/>
        <v>#N/A</v>
      </c>
      <c r="BF343" s="16" t="e">
        <f t="shared" si="167"/>
        <v>#N/A</v>
      </c>
      <c r="BU343" s="16">
        <f t="shared" si="150"/>
        <v>0</v>
      </c>
      <c r="BV343" s="16">
        <f>IF($BY$12=1,NORMDIST(BY343,$Y$6,$Y$8,TRUE),IF($BY$12=2,IF(BY343&lt;=$BX$31,0,IF(BY343&gt;=$BX$32,1,(BY343-$BX$31)*$BX$33)),SUM($BU$42:BU343)/$BV$40))</f>
        <v>0.159868132175496</v>
      </c>
      <c r="BW343" s="16">
        <f t="shared" si="151"/>
        <v>0.36598675491083127</v>
      </c>
      <c r="BX343" s="16">
        <f>IF($BY$12&lt;3,BV343,SUM($BZ$42:BZ343)/$BX$40)</f>
        <v>0.159868132175496</v>
      </c>
      <c r="BY343" s="16">
        <f t="shared" si="174"/>
        <v>30.100000000000158</v>
      </c>
      <c r="BZ343" s="16">
        <f t="shared" si="142"/>
        <v>1.2159028402353134E-2</v>
      </c>
      <c r="CA343" s="16">
        <f t="shared" si="152"/>
        <v>-999</v>
      </c>
      <c r="CB343" s="16" t="str">
        <f t="shared" si="143"/>
        <v/>
      </c>
      <c r="CC343" s="16" t="e">
        <f>IF(CB343="",NA(),COUNTIF(CB343:$CB$704,CB343))</f>
        <v>#N/A</v>
      </c>
      <c r="CD343" s="16" t="e">
        <f t="shared" si="144"/>
        <v>#N/A</v>
      </c>
      <c r="CE343" s="16" t="e">
        <f t="shared" si="145"/>
        <v>#N/A</v>
      </c>
      <c r="CF343" s="16">
        <f t="shared" si="146"/>
        <v>99</v>
      </c>
      <c r="CG343" s="16">
        <f t="shared" si="147"/>
        <v>0</v>
      </c>
      <c r="CH343" s="16">
        <f t="shared" si="173"/>
        <v>0</v>
      </c>
      <c r="CJ343" s="16" t="e">
        <f t="shared" si="148"/>
        <v>#N/A</v>
      </c>
      <c r="CK343" s="16" t="str">
        <f t="shared" si="149"/>
        <v/>
      </c>
    </row>
    <row r="344" spans="1:89" ht="12" customHeight="1">
      <c r="A344" s="211"/>
      <c r="B344" s="211"/>
      <c r="C344" s="211"/>
      <c r="D344" s="211"/>
      <c r="E344" s="211"/>
      <c r="F344" s="211"/>
      <c r="G344" s="211"/>
      <c r="H344" s="211"/>
      <c r="I344" s="211"/>
      <c r="J344" s="211"/>
      <c r="K344" s="211"/>
      <c r="L344" s="211"/>
      <c r="M344" s="211"/>
      <c r="N344" s="211"/>
      <c r="O344" s="211"/>
      <c r="AM344" s="34">
        <f t="shared" si="168"/>
        <v>0.48527242429554462</v>
      </c>
      <c r="AN344" s="34">
        <f t="shared" si="153"/>
        <v>0.55149696208536625</v>
      </c>
      <c r="AO344" s="16">
        <f t="shared" si="154"/>
        <v>49.200000000000429</v>
      </c>
      <c r="AP344" s="16" t="e">
        <f t="shared" si="155"/>
        <v>#N/A</v>
      </c>
      <c r="AQ344" s="16">
        <f t="shared" si="156"/>
        <v>1.0991975685521127E-2</v>
      </c>
      <c r="AR344" s="34">
        <f t="shared" si="169"/>
        <v>0.29334805347025394</v>
      </c>
      <c r="AS344" s="34">
        <f t="shared" si="157"/>
        <v>0.348227234557271</v>
      </c>
      <c r="AT344" s="540">
        <f t="shared" si="158"/>
        <v>39.100000000000286</v>
      </c>
      <c r="AU344" s="16" t="e">
        <f t="shared" si="159"/>
        <v>#N/A</v>
      </c>
      <c r="AV344" s="16">
        <f t="shared" si="160"/>
        <v>5.9874878456895987E-3</v>
      </c>
      <c r="AW344" s="34">
        <f t="shared" si="170"/>
        <v>2.3358317092061043E-2</v>
      </c>
      <c r="AX344" s="34">
        <f t="shared" si="161"/>
        <v>0.47457873262465</v>
      </c>
      <c r="AY344" s="16">
        <f t="shared" si="162"/>
        <v>10.19999999999998</v>
      </c>
      <c r="AZ344" s="16" t="e">
        <f t="shared" si="163"/>
        <v>#N/A</v>
      </c>
      <c r="BA344" s="16">
        <f t="shared" si="171"/>
        <v>1.306963784106011E-3</v>
      </c>
      <c r="BB344" s="34">
        <f t="shared" si="172"/>
        <v>0.60827743448317051</v>
      </c>
      <c r="BC344" s="34">
        <f t="shared" si="164"/>
        <v>0.25243835337460041</v>
      </c>
      <c r="BD344" s="16">
        <f t="shared" si="165"/>
        <v>55.400000000000517</v>
      </c>
      <c r="BE344" s="16" t="e">
        <f t="shared" si="166"/>
        <v>#N/A</v>
      </c>
      <c r="BF344" s="16">
        <f t="shared" si="167"/>
        <v>4.855180441147279E-3</v>
      </c>
      <c r="BU344" s="16">
        <f t="shared" si="150"/>
        <v>0</v>
      </c>
      <c r="BV344" s="16">
        <f>IF($BY$12=1,NORMDIST(BY344,$Y$6,$Y$8,TRUE),IF($BY$12=2,IF(BY344&lt;=$BX$31,0,IF(BY344&gt;=$BX$32,1,(BY344-$BX$31)*$BX$33)),SUM($BU$42:BU344)/$BV$40))</f>
        <v>0.16108705951083291</v>
      </c>
      <c r="BW344" s="16">
        <f t="shared" si="151"/>
        <v>0.3690294298695741</v>
      </c>
      <c r="BX344" s="16">
        <f>IF($BY$12&lt;3,BV344,SUM($BZ$42:BZ344)/$BX$40)</f>
        <v>0.16108705951083291</v>
      </c>
      <c r="BY344" s="16">
        <f t="shared" si="174"/>
        <v>30.200000000000159</v>
      </c>
      <c r="BZ344" s="16">
        <f t="shared" si="142"/>
        <v>1.2219517545350072E-2</v>
      </c>
      <c r="CA344" s="16">
        <f t="shared" si="152"/>
        <v>-999</v>
      </c>
      <c r="CB344" s="16" t="str">
        <f t="shared" si="143"/>
        <v/>
      </c>
      <c r="CC344" s="16" t="e">
        <f>IF(CB344="",NA(),COUNTIF(CB344:$CB$704,CB344))</f>
        <v>#N/A</v>
      </c>
      <c r="CD344" s="16" t="e">
        <f t="shared" si="144"/>
        <v>#N/A</v>
      </c>
      <c r="CE344" s="16" t="e">
        <f t="shared" si="145"/>
        <v>#N/A</v>
      </c>
      <c r="CF344" s="16">
        <f t="shared" si="146"/>
        <v>99</v>
      </c>
      <c r="CG344" s="16">
        <f t="shared" si="147"/>
        <v>0</v>
      </c>
      <c r="CH344" s="16">
        <f t="shared" si="173"/>
        <v>0</v>
      </c>
      <c r="CJ344" s="16" t="e">
        <f t="shared" si="148"/>
        <v>#N/A</v>
      </c>
      <c r="CK344" s="16" t="str">
        <f t="shared" si="149"/>
        <v/>
      </c>
    </row>
    <row r="345" spans="1:89" ht="12" customHeight="1">
      <c r="A345" s="211"/>
      <c r="B345" s="211"/>
      <c r="C345" s="211"/>
      <c r="D345" s="211"/>
      <c r="E345" s="211"/>
      <c r="F345" s="211"/>
      <c r="G345" s="211"/>
      <c r="H345" s="211"/>
      <c r="I345" s="211"/>
      <c r="J345" s="211"/>
      <c r="K345" s="211"/>
      <c r="L345" s="211"/>
      <c r="M345" s="211"/>
      <c r="N345" s="211"/>
      <c r="O345" s="211"/>
      <c r="AM345" s="34">
        <f t="shared" si="168"/>
        <v>0.79031416960060596</v>
      </c>
      <c r="AN345" s="34">
        <f t="shared" si="153"/>
        <v>0.97009026445448399</v>
      </c>
      <c r="AO345" s="16">
        <f t="shared" si="154"/>
        <v>66.10000000000052</v>
      </c>
      <c r="AP345" s="16" t="e">
        <f t="shared" si="155"/>
        <v>#N/A</v>
      </c>
      <c r="AQ345" s="16" t="e">
        <f t="shared" si="156"/>
        <v>#N/A</v>
      </c>
      <c r="AR345" s="34">
        <f t="shared" si="169"/>
        <v>0.87252675928175449</v>
      </c>
      <c r="AS345" s="34">
        <f t="shared" si="157"/>
        <v>0.93566541559994221</v>
      </c>
      <c r="AT345" s="540">
        <f t="shared" si="158"/>
        <v>72.700000000000145</v>
      </c>
      <c r="AU345" s="16" t="e">
        <f t="shared" si="159"/>
        <v>#N/A</v>
      </c>
      <c r="AV345" s="16">
        <f t="shared" si="160"/>
        <v>9.8009041717912453E-3</v>
      </c>
      <c r="AW345" s="34">
        <f t="shared" si="170"/>
        <v>0.49577002413570881</v>
      </c>
      <c r="AX345" s="34">
        <f t="shared" si="161"/>
        <v>0.68636740185320377</v>
      </c>
      <c r="AY345" s="16">
        <f t="shared" si="162"/>
        <v>49.700000000000436</v>
      </c>
      <c r="AZ345" s="16" t="e">
        <f t="shared" si="163"/>
        <v>#N/A</v>
      </c>
      <c r="BA345" s="16">
        <f t="shared" si="171"/>
        <v>1.3689508668068858E-2</v>
      </c>
      <c r="BB345" s="34">
        <f t="shared" si="172"/>
        <v>0.81544459797441959</v>
      </c>
      <c r="BC345" s="34">
        <f t="shared" si="164"/>
        <v>0.58052396960556507</v>
      </c>
      <c r="BD345" s="16">
        <f t="shared" si="165"/>
        <v>67.900000000000418</v>
      </c>
      <c r="BE345" s="16" t="e">
        <f t="shared" si="166"/>
        <v>#N/A</v>
      </c>
      <c r="BF345" s="16">
        <f t="shared" si="167"/>
        <v>7.7581801104161675E-3</v>
      </c>
      <c r="BU345" s="16">
        <f t="shared" si="150"/>
        <v>0</v>
      </c>
      <c r="BV345" s="16">
        <f>IF($BY$12=1,NORMDIST(BY345,$Y$6,$Y$8,TRUE),IF($BY$12=2,IF(BY345&lt;=$BX$31,0,IF(BY345&gt;=$BX$32,1,(BY345-$BX$31)*$BX$33)),SUM($BU$42:BU345)/$BV$40))</f>
        <v>0.16231203548190121</v>
      </c>
      <c r="BW345" s="16">
        <f t="shared" si="151"/>
        <v>0.37208401841982913</v>
      </c>
      <c r="BX345" s="16">
        <f>IF($BY$12&lt;3,BV345,SUM($BZ$42:BZ345)/$BX$40)</f>
        <v>0.16231203548190121</v>
      </c>
      <c r="BY345" s="16">
        <f t="shared" si="174"/>
        <v>30.300000000000161</v>
      </c>
      <c r="BZ345" s="16">
        <f t="shared" si="142"/>
        <v>1.2280000607915087E-2</v>
      </c>
      <c r="CA345" s="16">
        <f t="shared" si="152"/>
        <v>-999</v>
      </c>
      <c r="CB345" s="16" t="str">
        <f t="shared" si="143"/>
        <v/>
      </c>
      <c r="CC345" s="16" t="e">
        <f>IF(CB345="",NA(),COUNTIF(CB345:$CB$704,CB345))</f>
        <v>#N/A</v>
      </c>
      <c r="CD345" s="16" t="e">
        <f t="shared" si="144"/>
        <v>#N/A</v>
      </c>
      <c r="CE345" s="16" t="e">
        <f t="shared" si="145"/>
        <v>#N/A</v>
      </c>
      <c r="CF345" s="16">
        <f t="shared" si="146"/>
        <v>99</v>
      </c>
      <c r="CG345" s="16">
        <f t="shared" si="147"/>
        <v>0</v>
      </c>
      <c r="CH345" s="16">
        <f t="shared" si="173"/>
        <v>0</v>
      </c>
      <c r="CJ345" s="16" t="e">
        <f t="shared" si="148"/>
        <v>#N/A</v>
      </c>
      <c r="CK345" s="16" t="str">
        <f t="shared" si="149"/>
        <v/>
      </c>
    </row>
    <row r="346" spans="1:89" ht="12" customHeight="1">
      <c r="A346" s="211"/>
      <c r="B346" s="211"/>
      <c r="C346" s="211"/>
      <c r="D346" s="211"/>
      <c r="E346" s="211"/>
      <c r="F346" s="211"/>
      <c r="G346" s="211"/>
      <c r="H346" s="211"/>
      <c r="I346" s="211"/>
      <c r="J346" s="211"/>
      <c r="K346" s="211"/>
      <c r="L346" s="211"/>
      <c r="M346" s="211"/>
      <c r="N346" s="211"/>
      <c r="O346" s="211"/>
      <c r="AM346" s="34">
        <f t="shared" si="168"/>
        <v>0.25571827776730061</v>
      </c>
      <c r="AN346" s="34">
        <f t="shared" si="153"/>
        <v>0.10201061703264713</v>
      </c>
      <c r="AO346" s="16">
        <f t="shared" si="154"/>
        <v>36.800000000000253</v>
      </c>
      <c r="AP346" s="16" t="e">
        <f t="shared" si="155"/>
        <v>#N/A</v>
      </c>
      <c r="AQ346" s="16">
        <f t="shared" si="156"/>
        <v>1.6365757303069893E-3</v>
      </c>
      <c r="AR346" s="34">
        <f t="shared" si="169"/>
        <v>0.31964982487261295</v>
      </c>
      <c r="AS346" s="34">
        <f t="shared" si="157"/>
        <v>0.40417385287582874</v>
      </c>
      <c r="AT346" s="540">
        <f t="shared" si="158"/>
        <v>40.600000000000307</v>
      </c>
      <c r="AU346" s="16" t="e">
        <f t="shared" si="159"/>
        <v>#N/A</v>
      </c>
      <c r="AV346" s="16">
        <f t="shared" si="160"/>
        <v>7.2190568020666958E-3</v>
      </c>
      <c r="AW346" s="34">
        <f t="shared" si="170"/>
        <v>0.94130826182663441</v>
      </c>
      <c r="AX346" s="34">
        <f t="shared" si="161"/>
        <v>0.85527374781668186</v>
      </c>
      <c r="AY346" s="16">
        <f t="shared" si="162"/>
        <v>81.299999999999656</v>
      </c>
      <c r="AZ346" s="16" t="e">
        <f t="shared" si="163"/>
        <v>#N/A</v>
      </c>
      <c r="BA346" s="16">
        <f t="shared" si="171"/>
        <v>5.0135201033575444E-3</v>
      </c>
      <c r="BB346" s="34">
        <f t="shared" si="172"/>
        <v>0.24286725558340549</v>
      </c>
      <c r="BC346" s="34">
        <f t="shared" si="164"/>
        <v>0.71310837753117085</v>
      </c>
      <c r="BD346" s="16">
        <f t="shared" si="165"/>
        <v>36.000000000000242</v>
      </c>
      <c r="BE346" s="16" t="e">
        <f t="shared" si="166"/>
        <v>#N/A</v>
      </c>
      <c r="BF346" s="16">
        <f t="shared" si="167"/>
        <v>1.1133544790044966E-2</v>
      </c>
      <c r="BU346" s="16">
        <f t="shared" si="150"/>
        <v>0</v>
      </c>
      <c r="BV346" s="16">
        <f>IF($BY$12=1,NORMDIST(BY346,$Y$6,$Y$8,TRUE),IF($BY$12=2,IF(BY346&lt;=$BX$31,0,IF(BY346&gt;=$BX$32,1,(BY346-$BX$31)*$BX$33)),SUM($BU$42:BU346)/$BV$40))</f>
        <v>0.16354305932769453</v>
      </c>
      <c r="BW346" s="16">
        <f t="shared" si="151"/>
        <v>0.37515042566190987</v>
      </c>
      <c r="BX346" s="16">
        <f>IF($BY$12&lt;3,BV346,SUM($BZ$42:BZ346)/$BX$40)</f>
        <v>0.16354305932769453</v>
      </c>
      <c r="BY346" s="16">
        <f t="shared" si="174"/>
        <v>30.400000000000162</v>
      </c>
      <c r="BZ346" s="16">
        <f t="shared" si="142"/>
        <v>1.2340474528352232E-2</v>
      </c>
      <c r="CA346" s="16">
        <f t="shared" si="152"/>
        <v>-999</v>
      </c>
      <c r="CB346" s="16" t="str">
        <f t="shared" si="143"/>
        <v/>
      </c>
      <c r="CC346" s="16" t="e">
        <f>IF(CB346="",NA(),COUNTIF(CB346:$CB$704,CB346))</f>
        <v>#N/A</v>
      </c>
      <c r="CD346" s="16" t="e">
        <f t="shared" si="144"/>
        <v>#N/A</v>
      </c>
      <c r="CE346" s="16" t="e">
        <f t="shared" si="145"/>
        <v>#N/A</v>
      </c>
      <c r="CF346" s="16">
        <f t="shared" si="146"/>
        <v>99</v>
      </c>
      <c r="CG346" s="16">
        <f t="shared" si="147"/>
        <v>0</v>
      </c>
      <c r="CH346" s="16">
        <f t="shared" si="173"/>
        <v>0</v>
      </c>
      <c r="CJ346" s="16" t="e">
        <f t="shared" si="148"/>
        <v>#N/A</v>
      </c>
      <c r="CK346" s="16" t="str">
        <f t="shared" si="149"/>
        <v/>
      </c>
    </row>
    <row r="347" spans="1:89" ht="12" customHeight="1">
      <c r="A347" s="211"/>
      <c r="B347" s="211"/>
      <c r="C347" s="211"/>
      <c r="D347" s="211"/>
      <c r="E347" s="211"/>
      <c r="F347" s="211"/>
      <c r="G347" s="211"/>
      <c r="H347" s="211"/>
      <c r="I347" s="211"/>
      <c r="J347" s="211"/>
      <c r="K347" s="211"/>
      <c r="L347" s="211"/>
      <c r="M347" s="211"/>
      <c r="N347" s="211"/>
      <c r="O347" s="211"/>
      <c r="AM347" s="34">
        <f t="shared" si="168"/>
        <v>0.49646449275314808</v>
      </c>
      <c r="AN347" s="34">
        <f t="shared" si="153"/>
        <v>0.3815698865801096</v>
      </c>
      <c r="AO347" s="16">
        <f t="shared" si="154"/>
        <v>49.800000000000438</v>
      </c>
      <c r="AP347" s="16" t="e">
        <f t="shared" si="155"/>
        <v>#N/A</v>
      </c>
      <c r="AQ347" s="16">
        <f t="shared" si="156"/>
        <v>7.6108374828513991E-3</v>
      </c>
      <c r="AR347" s="34">
        <f t="shared" si="169"/>
        <v>0.78301837481558323</v>
      </c>
      <c r="AS347" s="34">
        <f t="shared" si="157"/>
        <v>0.92739470489323139</v>
      </c>
      <c r="AT347" s="540">
        <f t="shared" si="158"/>
        <v>65.600000000000549</v>
      </c>
      <c r="AU347" s="16" t="e">
        <f t="shared" si="159"/>
        <v>#N/A</v>
      </c>
      <c r="AV347" s="16">
        <f t="shared" si="160"/>
        <v>1.3646846312456582E-2</v>
      </c>
      <c r="AW347" s="34">
        <f t="shared" si="170"/>
        <v>0.59672554023563862</v>
      </c>
      <c r="AX347" s="34">
        <f t="shared" si="161"/>
        <v>0.15978840924799442</v>
      </c>
      <c r="AY347" s="16">
        <f t="shared" si="162"/>
        <v>54.800000000000509</v>
      </c>
      <c r="AZ347" s="16" t="e">
        <f t="shared" si="163"/>
        <v>#N/A</v>
      </c>
      <c r="BA347" s="16">
        <f t="shared" si="171"/>
        <v>3.0968321164458862E-3</v>
      </c>
      <c r="BB347" s="34">
        <f t="shared" si="172"/>
        <v>4.5720616355538368E-2</v>
      </c>
      <c r="BC347" s="34">
        <f t="shared" si="164"/>
        <v>0.75792339630424976</v>
      </c>
      <c r="BD347" s="16">
        <f t="shared" si="165"/>
        <v>16.19999999999996</v>
      </c>
      <c r="BE347" s="16" t="e">
        <f t="shared" si="166"/>
        <v>#N/A</v>
      </c>
      <c r="BF347" s="16">
        <f t="shared" si="167"/>
        <v>3.6250261913920597E-3</v>
      </c>
      <c r="BU347" s="16">
        <f t="shared" si="150"/>
        <v>0</v>
      </c>
      <c r="BV347" s="16">
        <f>IF($BY$12=1,NORMDIST(BY347,$Y$6,$Y$8,TRUE),IF($BY$12=2,IF(BY347&lt;=$BX$31,0,IF(BY347&gt;=$BX$32,1,(BY347-$BX$31)*$BX$33)),SUM($BU$42:BU347)/$BV$40))</f>
        <v>0.16478012998031244</v>
      </c>
      <c r="BW347" s="16">
        <f t="shared" si="151"/>
        <v>0.37822855503137909</v>
      </c>
      <c r="BX347" s="16">
        <f>IF($BY$12&lt;3,BV347,SUM($BZ$42:BZ347)/$BX$40)</f>
        <v>0.16478012998031244</v>
      </c>
      <c r="BY347" s="16">
        <f t="shared" si="174"/>
        <v>30.500000000000163</v>
      </c>
      <c r="BZ347" s="16">
        <f t="shared" si="142"/>
        <v>1.2400936230536952E-2</v>
      </c>
      <c r="CA347" s="16">
        <f t="shared" si="152"/>
        <v>-999</v>
      </c>
      <c r="CB347" s="16" t="str">
        <f t="shared" si="143"/>
        <v/>
      </c>
      <c r="CC347" s="16" t="e">
        <f>IF(CB347="",NA(),COUNTIF(CB347:$CB$704,CB347))</f>
        <v>#N/A</v>
      </c>
      <c r="CD347" s="16" t="e">
        <f t="shared" si="144"/>
        <v>#N/A</v>
      </c>
      <c r="CE347" s="16" t="e">
        <f t="shared" si="145"/>
        <v>#N/A</v>
      </c>
      <c r="CF347" s="16">
        <f t="shared" si="146"/>
        <v>99</v>
      </c>
      <c r="CG347" s="16">
        <f t="shared" si="147"/>
        <v>0</v>
      </c>
      <c r="CH347" s="16">
        <f t="shared" si="173"/>
        <v>0</v>
      </c>
      <c r="CJ347" s="16" t="e">
        <f t="shared" si="148"/>
        <v>#N/A</v>
      </c>
      <c r="CK347" s="16" t="str">
        <f t="shared" si="149"/>
        <v/>
      </c>
    </row>
    <row r="348" spans="1:89" ht="12" customHeight="1">
      <c r="A348" s="211"/>
      <c r="B348" s="211"/>
      <c r="C348" s="211"/>
      <c r="D348" s="211"/>
      <c r="E348" s="211"/>
      <c r="F348" s="211"/>
      <c r="G348" s="211"/>
      <c r="H348" s="211"/>
      <c r="I348" s="211"/>
      <c r="J348" s="211"/>
      <c r="K348" s="211"/>
      <c r="L348" s="211"/>
      <c r="M348" s="211"/>
      <c r="N348" s="211"/>
      <c r="O348" s="211"/>
      <c r="AM348" s="34">
        <f t="shared" si="168"/>
        <v>0.82620962150394917</v>
      </c>
      <c r="AN348" s="34">
        <f t="shared" si="153"/>
        <v>0.95576457120478153</v>
      </c>
      <c r="AO348" s="16">
        <f t="shared" si="154"/>
        <v>68.700000000000372</v>
      </c>
      <c r="AP348" s="16" t="e">
        <f t="shared" si="155"/>
        <v>#N/A</v>
      </c>
      <c r="AQ348" s="16">
        <f t="shared" si="156"/>
        <v>1.2313895147296607E-2</v>
      </c>
      <c r="AR348" s="34">
        <f t="shared" si="169"/>
        <v>0.10506347753107548</v>
      </c>
      <c r="AS348" s="34">
        <f t="shared" si="157"/>
        <v>0.14113596267998219</v>
      </c>
      <c r="AT348" s="540">
        <f t="shared" si="158"/>
        <v>24.900000000000084</v>
      </c>
      <c r="AU348" s="16" t="e">
        <f t="shared" si="159"/>
        <v>#N/A</v>
      </c>
      <c r="AV348" s="16">
        <f t="shared" si="160"/>
        <v>1.2808710999901091E-3</v>
      </c>
      <c r="AW348" s="34">
        <f t="shared" si="170"/>
        <v>0.16972926445305347</v>
      </c>
      <c r="AX348" s="34">
        <f t="shared" si="161"/>
        <v>0.85101097263395786</v>
      </c>
      <c r="AY348" s="16">
        <f t="shared" si="162"/>
        <v>30.800000000000168</v>
      </c>
      <c r="AZ348" s="16" t="e">
        <f t="shared" si="163"/>
        <v>#N/A</v>
      </c>
      <c r="BA348" s="16">
        <f t="shared" si="171"/>
        <v>1.0707604773787089E-2</v>
      </c>
      <c r="BB348" s="34">
        <f t="shared" si="172"/>
        <v>0.81604664959013462</v>
      </c>
      <c r="BC348" s="34">
        <f t="shared" si="164"/>
        <v>0.10450779087841511</v>
      </c>
      <c r="BD348" s="16">
        <f t="shared" si="165"/>
        <v>68.000000000000412</v>
      </c>
      <c r="BE348" s="16" t="e">
        <f t="shared" si="166"/>
        <v>#N/A</v>
      </c>
      <c r="BF348" s="16">
        <f t="shared" si="167"/>
        <v>1.3903990826124688E-3</v>
      </c>
      <c r="BU348" s="16">
        <f t="shared" si="150"/>
        <v>0</v>
      </c>
      <c r="BV348" s="16">
        <f>IF($BY$12=1,NORMDIST(BY348,$Y$6,$Y$8,TRUE),IF($BY$12=2,IF(BY348&lt;=$BX$31,0,IF(BY348&gt;=$BX$32,1,(BY348-$BX$31)*$BX$33)),SUM($BU$42:BU348)/$BV$40))</f>
        <v>0.16602324606353169</v>
      </c>
      <c r="BW348" s="16">
        <f t="shared" si="151"/>
        <v>0.38131830829909596</v>
      </c>
      <c r="BX348" s="16">
        <f>IF($BY$12&lt;3,BV348,SUM($BZ$42:BZ348)/$BX$40)</f>
        <v>0.16602324606353169</v>
      </c>
      <c r="BY348" s="16">
        <f t="shared" si="174"/>
        <v>30.600000000000165</v>
      </c>
      <c r="BZ348" s="16">
        <f t="shared" si="142"/>
        <v>1.2461382624153396E-2</v>
      </c>
      <c r="CA348" s="16">
        <f t="shared" si="152"/>
        <v>-999</v>
      </c>
      <c r="CB348" s="16" t="str">
        <f t="shared" si="143"/>
        <v/>
      </c>
      <c r="CC348" s="16" t="e">
        <f>IF(CB348="",NA(),COUNTIF(CB348:$CB$704,CB348))</f>
        <v>#N/A</v>
      </c>
      <c r="CD348" s="16" t="e">
        <f t="shared" si="144"/>
        <v>#N/A</v>
      </c>
      <c r="CE348" s="16" t="e">
        <f t="shared" si="145"/>
        <v>#N/A</v>
      </c>
      <c r="CF348" s="16">
        <f t="shared" si="146"/>
        <v>99</v>
      </c>
      <c r="CG348" s="16">
        <f t="shared" si="147"/>
        <v>0</v>
      </c>
      <c r="CH348" s="16">
        <f t="shared" si="173"/>
        <v>0</v>
      </c>
      <c r="CJ348" s="16" t="e">
        <f t="shared" si="148"/>
        <v>#N/A</v>
      </c>
      <c r="CK348" s="16" t="str">
        <f t="shared" si="149"/>
        <v/>
      </c>
    </row>
    <row r="349" spans="1:89" ht="12" customHeight="1">
      <c r="A349" s="211"/>
      <c r="B349" s="211"/>
      <c r="C349" s="211"/>
      <c r="D349" s="211"/>
      <c r="E349" s="211"/>
      <c r="F349" s="211"/>
      <c r="G349" s="211"/>
      <c r="H349" s="211"/>
      <c r="I349" s="211"/>
      <c r="J349" s="211"/>
      <c r="K349" s="211"/>
      <c r="L349" s="211"/>
      <c r="M349" s="211"/>
      <c r="N349" s="211"/>
      <c r="O349" s="211"/>
      <c r="AM349" s="34">
        <f t="shared" si="168"/>
        <v>0.1369872409850359</v>
      </c>
      <c r="AN349" s="34">
        <f t="shared" si="153"/>
        <v>0.19068449176847935</v>
      </c>
      <c r="AO349" s="16">
        <f t="shared" si="154"/>
        <v>28.100000000000129</v>
      </c>
      <c r="AP349" s="16" t="e">
        <f t="shared" si="155"/>
        <v>#N/A</v>
      </c>
      <c r="AQ349" s="16">
        <f t="shared" si="156"/>
        <v>2.0884807335184779E-3</v>
      </c>
      <c r="AR349" s="34">
        <f t="shared" si="169"/>
        <v>0.46156733669340611</v>
      </c>
      <c r="AS349" s="34">
        <f t="shared" si="157"/>
        <v>0.3673094380646944</v>
      </c>
      <c r="AT349" s="540">
        <f t="shared" si="158"/>
        <v>48.000000000000412</v>
      </c>
      <c r="AU349" s="16" t="e">
        <f t="shared" si="159"/>
        <v>#N/A</v>
      </c>
      <c r="AV349" s="16">
        <f t="shared" si="160"/>
        <v>7.2902208576065206E-3</v>
      </c>
      <c r="AW349" s="34">
        <f t="shared" si="170"/>
        <v>0.78948222286999226</v>
      </c>
      <c r="AX349" s="34">
        <f t="shared" si="161"/>
        <v>0.49196881987154484</v>
      </c>
      <c r="AY349" s="16">
        <f t="shared" si="162"/>
        <v>66.000000000000526</v>
      </c>
      <c r="AZ349" s="16" t="e">
        <f t="shared" si="163"/>
        <v>#N/A</v>
      </c>
      <c r="BA349" s="16">
        <f t="shared" si="171"/>
        <v>7.1259605669409505E-3</v>
      </c>
      <c r="BB349" s="34">
        <f t="shared" si="172"/>
        <v>0.26738543249666691</v>
      </c>
      <c r="BC349" s="34">
        <f t="shared" si="164"/>
        <v>0.80097729153931141</v>
      </c>
      <c r="BD349" s="16">
        <f t="shared" si="165"/>
        <v>37.500000000000263</v>
      </c>
      <c r="BE349" s="16" t="e">
        <f t="shared" si="166"/>
        <v>#N/A</v>
      </c>
      <c r="BF349" s="16">
        <f t="shared" si="167"/>
        <v>1.3142474188919933E-2</v>
      </c>
      <c r="BU349" s="16">
        <f t="shared" si="150"/>
        <v>0</v>
      </c>
      <c r="BV349" s="16">
        <f>IF($BY$12=1,NORMDIST(BY349,$Y$6,$Y$8,TRUE),IF($BY$12=2,IF(BY349&lt;=$BX$31,0,IF(BY349&gt;=$BX$32,1,(BY349-$BX$31)*$BX$33)),SUM($BU$42:BU349)/$BV$40))</f>
        <v>0.16727240589139725</v>
      </c>
      <c r="BW349" s="16">
        <f t="shared" si="151"/>
        <v>0.38441958557149591</v>
      </c>
      <c r="BX349" s="16">
        <f>IF($BY$12&lt;3,BV349,SUM($BZ$42:BZ349)/$BX$40)</f>
        <v>0.16727240589139725</v>
      </c>
      <c r="BY349" s="16">
        <f t="shared" si="174"/>
        <v>30.700000000000166</v>
      </c>
      <c r="BZ349" s="16">
        <f t="shared" si="142"/>
        <v>1.2521810604934652E-2</v>
      </c>
      <c r="CA349" s="16">
        <f t="shared" si="152"/>
        <v>-999</v>
      </c>
      <c r="CB349" s="16" t="str">
        <f t="shared" si="143"/>
        <v/>
      </c>
      <c r="CC349" s="16" t="e">
        <f>IF(CB349="",NA(),COUNTIF(CB349:$CB$704,CB349))</f>
        <v>#N/A</v>
      </c>
      <c r="CD349" s="16" t="e">
        <f t="shared" si="144"/>
        <v>#N/A</v>
      </c>
      <c r="CE349" s="16" t="e">
        <f t="shared" si="145"/>
        <v>#N/A</v>
      </c>
      <c r="CF349" s="16">
        <f t="shared" si="146"/>
        <v>99</v>
      </c>
      <c r="CG349" s="16">
        <f t="shared" si="147"/>
        <v>0</v>
      </c>
      <c r="CH349" s="16">
        <f t="shared" si="173"/>
        <v>0</v>
      </c>
      <c r="CJ349" s="16" t="e">
        <f t="shared" si="148"/>
        <v>#N/A</v>
      </c>
      <c r="CK349" s="16" t="str">
        <f t="shared" si="149"/>
        <v/>
      </c>
    </row>
    <row r="350" spans="1:89" ht="12" customHeight="1">
      <c r="A350" s="211"/>
      <c r="B350" s="211"/>
      <c r="C350" s="211"/>
      <c r="D350" s="211"/>
      <c r="E350" s="211"/>
      <c r="F350" s="211"/>
      <c r="G350" s="211"/>
      <c r="H350" s="211"/>
      <c r="I350" s="211"/>
      <c r="J350" s="211"/>
      <c r="K350" s="211"/>
      <c r="L350" s="211"/>
      <c r="M350" s="211"/>
      <c r="N350" s="211"/>
      <c r="O350" s="211"/>
      <c r="AM350" s="34">
        <f t="shared" si="168"/>
        <v>0.39658318646252155</v>
      </c>
      <c r="AN350" s="34">
        <f t="shared" si="153"/>
        <v>2.0206639543175697E-2</v>
      </c>
      <c r="AO350" s="16">
        <f t="shared" si="154"/>
        <v>44.700000000000365</v>
      </c>
      <c r="AP350" s="16" t="e">
        <f t="shared" si="155"/>
        <v>#N/A</v>
      </c>
      <c r="AQ350" s="16">
        <f t="shared" si="156"/>
        <v>3.8915713687200478E-4</v>
      </c>
      <c r="AR350" s="34">
        <f t="shared" si="169"/>
        <v>0.15566963888704777</v>
      </c>
      <c r="AS350" s="34">
        <f t="shared" si="157"/>
        <v>0.41257578320801258</v>
      </c>
      <c r="AT350" s="540">
        <f t="shared" si="158"/>
        <v>29.700000000000152</v>
      </c>
      <c r="AU350" s="16" t="e">
        <f t="shared" si="159"/>
        <v>#N/A</v>
      </c>
      <c r="AV350" s="16">
        <f t="shared" si="160"/>
        <v>4.9166952074704345E-3</v>
      </c>
      <c r="AW350" s="34">
        <f t="shared" si="170"/>
        <v>0.59431010670959949</v>
      </c>
      <c r="AX350" s="34">
        <f t="shared" si="161"/>
        <v>0.79312738217413425</v>
      </c>
      <c r="AY350" s="16">
        <f t="shared" si="162"/>
        <v>54.700000000000507</v>
      </c>
      <c r="AZ350" s="16" t="e">
        <f t="shared" si="163"/>
        <v>#N/A</v>
      </c>
      <c r="BA350" s="16">
        <f t="shared" si="171"/>
        <v>1.5389732022171804E-2</v>
      </c>
      <c r="BB350" s="34">
        <f t="shared" si="172"/>
        <v>0.32809790410101414</v>
      </c>
      <c r="BC350" s="34">
        <f t="shared" si="164"/>
        <v>0.30628289468586445</v>
      </c>
      <c r="BD350" s="16">
        <f t="shared" si="165"/>
        <v>41.000000000000313</v>
      </c>
      <c r="BE350" s="16" t="e">
        <f t="shared" si="166"/>
        <v>#N/A</v>
      </c>
      <c r="BF350" s="16">
        <f t="shared" si="167"/>
        <v>5.5211620837528142E-3</v>
      </c>
      <c r="BU350" s="16">
        <f t="shared" si="150"/>
        <v>0</v>
      </c>
      <c r="BV350" s="16">
        <f>IF($BY$12=1,NORMDIST(BY350,$Y$6,$Y$8,TRUE),IF($BY$12=2,IF(BY350&lt;=$BX$31,0,IF(BY350&gt;=$BX$32,1,(BY350-$BX$31)*$BX$33)),SUM($BU$42:BU350)/$BV$40))</f>
        <v>0.16852760746684003</v>
      </c>
      <c r="BW350" s="16">
        <f t="shared" si="151"/>
        <v>0.3875322852911055</v>
      </c>
      <c r="BX350" s="16">
        <f>IF($BY$12&lt;3,BV350,SUM($BZ$42:BZ350)/$BX$40)</f>
        <v>0.16852760746684003</v>
      </c>
      <c r="BY350" s="16">
        <f t="shared" si="174"/>
        <v>30.800000000000168</v>
      </c>
      <c r="BZ350" s="16">
        <f t="shared" si="142"/>
        <v>1.2582217054905954E-2</v>
      </c>
      <c r="CA350" s="16">
        <f t="shared" si="152"/>
        <v>-999</v>
      </c>
      <c r="CB350" s="16" t="str">
        <f t="shared" si="143"/>
        <v/>
      </c>
      <c r="CC350" s="16" t="e">
        <f>IF(CB350="",NA(),COUNTIF(CB350:$CB$704,CB350))</f>
        <v>#N/A</v>
      </c>
      <c r="CD350" s="16" t="e">
        <f t="shared" si="144"/>
        <v>#N/A</v>
      </c>
      <c r="CE350" s="16" t="e">
        <f t="shared" si="145"/>
        <v>#N/A</v>
      </c>
      <c r="CF350" s="16">
        <f t="shared" si="146"/>
        <v>99</v>
      </c>
      <c r="CG350" s="16">
        <f t="shared" si="147"/>
        <v>0</v>
      </c>
      <c r="CH350" s="16">
        <f t="shared" si="173"/>
        <v>0</v>
      </c>
      <c r="CJ350" s="16" t="e">
        <f t="shared" si="148"/>
        <v>#N/A</v>
      </c>
      <c r="CK350" s="16" t="str">
        <f t="shared" si="149"/>
        <v/>
      </c>
    </row>
    <row r="351" spans="1:89" ht="12" customHeight="1">
      <c r="A351" s="211"/>
      <c r="B351" s="211"/>
      <c r="C351" s="211"/>
      <c r="D351" s="211"/>
      <c r="E351" s="211"/>
      <c r="F351" s="211"/>
      <c r="G351" s="211"/>
      <c r="H351" s="211"/>
      <c r="I351" s="211"/>
      <c r="J351" s="211"/>
      <c r="K351" s="211"/>
      <c r="L351" s="211"/>
      <c r="M351" s="211"/>
      <c r="N351" s="211"/>
      <c r="O351" s="211"/>
      <c r="AM351" s="34">
        <f t="shared" si="168"/>
        <v>0.65811807103455067</v>
      </c>
      <c r="AN351" s="34">
        <f t="shared" si="153"/>
        <v>0.26588043011724949</v>
      </c>
      <c r="AO351" s="16">
        <f t="shared" si="154"/>
        <v>58.100000000000556</v>
      </c>
      <c r="AP351" s="16" t="e">
        <f t="shared" si="155"/>
        <v>#N/A</v>
      </c>
      <c r="AQ351" s="16">
        <f t="shared" si="156"/>
        <v>4.8859482931514868E-3</v>
      </c>
      <c r="AR351" s="34">
        <f t="shared" si="169"/>
        <v>0.19556530751287937</v>
      </c>
      <c r="AS351" s="34">
        <f t="shared" si="157"/>
        <v>0.6174777913838625</v>
      </c>
      <c r="AT351" s="540">
        <f t="shared" si="158"/>
        <v>32.800000000000196</v>
      </c>
      <c r="AU351" s="16" t="e">
        <f t="shared" si="159"/>
        <v>#N/A</v>
      </c>
      <c r="AV351" s="16">
        <f t="shared" si="160"/>
        <v>8.5094073258704696E-3</v>
      </c>
      <c r="AW351" s="34">
        <f t="shared" si="170"/>
        <v>0.13239731080830097</v>
      </c>
      <c r="AX351" s="34">
        <f t="shared" si="161"/>
        <v>0.82924805022776127</v>
      </c>
      <c r="AY351" s="16">
        <f t="shared" si="162"/>
        <v>27.600000000000122</v>
      </c>
      <c r="AZ351" s="16" t="e">
        <f t="shared" si="163"/>
        <v>#N/A</v>
      </c>
      <c r="BA351" s="16">
        <f t="shared" si="171"/>
        <v>8.8343587263728963E-3</v>
      </c>
      <c r="BB351" s="34">
        <f t="shared" si="172"/>
        <v>0.92853627540171146</v>
      </c>
      <c r="BC351" s="34">
        <f t="shared" si="164"/>
        <v>0.82498869486153126</v>
      </c>
      <c r="BD351" s="16">
        <f t="shared" si="165"/>
        <v>79.199999999999775</v>
      </c>
      <c r="BE351" s="16" t="e">
        <f t="shared" si="166"/>
        <v>#N/A</v>
      </c>
      <c r="BF351" s="16">
        <f t="shared" si="167"/>
        <v>5.6683545697439903E-3</v>
      </c>
      <c r="BU351" s="16">
        <f t="shared" si="150"/>
        <v>0</v>
      </c>
      <c r="BV351" s="16">
        <f>IF($BY$12=1,NORMDIST(BY351,$Y$6,$Y$8,TRUE),IF($BY$12=2,IF(BY351&lt;=$BX$31,0,IF(BY351&gt;=$BX$32,1,(BY351-$BX$31)*$BX$33)),SUM($BU$42:BU351)/$BV$40))</f>
        <v>0.16978884848031828</v>
      </c>
      <c r="BW351" s="16">
        <f t="shared" si="151"/>
        <v>0.39065630423729159</v>
      </c>
      <c r="BX351" s="16">
        <f>IF($BY$12&lt;3,BV351,SUM($BZ$42:BZ351)/$BX$40)</f>
        <v>0.16978884848031828</v>
      </c>
      <c r="BY351" s="16">
        <f t="shared" si="174"/>
        <v>30.900000000000169</v>
      </c>
      <c r="BZ351" s="16">
        <f t="shared" si="142"/>
        <v>1.2642598842630727E-2</v>
      </c>
      <c r="CA351" s="16">
        <f t="shared" si="152"/>
        <v>-999</v>
      </c>
      <c r="CB351" s="16" t="str">
        <f t="shared" si="143"/>
        <v/>
      </c>
      <c r="CC351" s="16" t="e">
        <f>IF(CB351="",NA(),COUNTIF(CB351:$CB$704,CB351))</f>
        <v>#N/A</v>
      </c>
      <c r="CD351" s="16" t="e">
        <f t="shared" si="144"/>
        <v>#N/A</v>
      </c>
      <c r="CE351" s="16" t="e">
        <f t="shared" si="145"/>
        <v>#N/A</v>
      </c>
      <c r="CF351" s="16">
        <f t="shared" si="146"/>
        <v>99</v>
      </c>
      <c r="CG351" s="16">
        <f t="shared" si="147"/>
        <v>0</v>
      </c>
      <c r="CH351" s="16">
        <f t="shared" si="173"/>
        <v>0</v>
      </c>
      <c r="CJ351" s="16" t="e">
        <f t="shared" si="148"/>
        <v>#N/A</v>
      </c>
      <c r="CK351" s="16" t="str">
        <f t="shared" si="149"/>
        <v/>
      </c>
    </row>
    <row r="352" spans="1:89" ht="12" customHeight="1">
      <c r="A352" s="211"/>
      <c r="B352" s="211"/>
      <c r="C352" s="211"/>
      <c r="D352" s="211"/>
      <c r="E352" s="211"/>
      <c r="F352" s="211"/>
      <c r="G352" s="211"/>
      <c r="H352" s="211"/>
      <c r="I352" s="211"/>
      <c r="J352" s="211"/>
      <c r="K352" s="211"/>
      <c r="L352" s="211"/>
      <c r="M352" s="211"/>
      <c r="N352" s="211"/>
      <c r="O352" s="211"/>
      <c r="AM352" s="34">
        <f t="shared" si="168"/>
        <v>0.75761808641254902</v>
      </c>
      <c r="AN352" s="34">
        <f t="shared" si="153"/>
        <v>0.71316061355173588</v>
      </c>
      <c r="AO352" s="16">
        <f t="shared" si="154"/>
        <v>63.900000000000638</v>
      </c>
      <c r="AP352" s="16" t="e">
        <f t="shared" si="155"/>
        <v>#N/A</v>
      </c>
      <c r="AQ352" s="16">
        <f t="shared" si="156"/>
        <v>1.1173259207340027E-2</v>
      </c>
      <c r="AR352" s="34">
        <f t="shared" si="169"/>
        <v>0.94104991294443607</v>
      </c>
      <c r="AS352" s="34">
        <f t="shared" si="157"/>
        <v>0.36309322901070118</v>
      </c>
      <c r="AT352" s="540">
        <f t="shared" si="158"/>
        <v>81.199999999999662</v>
      </c>
      <c r="AU352" s="16" t="e">
        <f t="shared" si="159"/>
        <v>#N/A</v>
      </c>
      <c r="AV352" s="16">
        <f t="shared" si="160"/>
        <v>2.1451056897177512E-3</v>
      </c>
      <c r="AW352" s="34">
        <f t="shared" si="170"/>
        <v>0.28250226564705372</v>
      </c>
      <c r="AX352" s="34">
        <f t="shared" si="161"/>
        <v>0.32899999059736729</v>
      </c>
      <c r="AY352" s="16">
        <f t="shared" si="162"/>
        <v>38.400000000000276</v>
      </c>
      <c r="AZ352" s="16" t="e">
        <f t="shared" si="163"/>
        <v>#N/A</v>
      </c>
      <c r="BA352" s="16">
        <f t="shared" si="171"/>
        <v>5.5466099173592451E-3</v>
      </c>
      <c r="BB352" s="34">
        <f t="shared" si="172"/>
        <v>0.67346834577620029</v>
      </c>
      <c r="BC352" s="34">
        <f t="shared" si="164"/>
        <v>0.21285049803555012</v>
      </c>
      <c r="BD352" s="16">
        <f t="shared" si="165"/>
        <v>58.900000000000567</v>
      </c>
      <c r="BE352" s="16" t="e">
        <f t="shared" si="166"/>
        <v>#N/A</v>
      </c>
      <c r="BF352" s="16">
        <f t="shared" si="167"/>
        <v>3.8455118896914987E-3</v>
      </c>
      <c r="BU352" s="16">
        <f t="shared" si="150"/>
        <v>0</v>
      </c>
      <c r="BV352" s="16">
        <f>IF($BY$12=1,NORMDIST(BY352,$Y$6,$Y$8,TRUE),IF($BY$12=2,IF(BY352&lt;=$BX$31,0,IF(BY352&gt;=$BX$32,1,(BY352-$BX$31)*$BX$33)),SUM($BU$42:BU352)/$BV$40))</f>
        <v>0.17105612630848399</v>
      </c>
      <c r="BW352" s="16">
        <f t="shared" si="151"/>
        <v>0.39379153752724821</v>
      </c>
      <c r="BX352" s="16">
        <f>IF($BY$12&lt;3,BV352,SUM($BZ$42:BZ352)/$BX$40)</f>
        <v>0.17105612630848399</v>
      </c>
      <c r="BY352" s="16">
        <f t="shared" si="174"/>
        <v>31.000000000000171</v>
      </c>
      <c r="BZ352" s="16">
        <f t="shared" si="142"/>
        <v>1.2702952823459551E-2</v>
      </c>
      <c r="CA352" s="16">
        <f t="shared" si="152"/>
        <v>-999</v>
      </c>
      <c r="CB352" s="16" t="str">
        <f t="shared" si="143"/>
        <v/>
      </c>
      <c r="CC352" s="16" t="e">
        <f>IF(CB352="",NA(),COUNTIF(CB352:$CB$704,CB352))</f>
        <v>#N/A</v>
      </c>
      <c r="CD352" s="16" t="e">
        <f t="shared" si="144"/>
        <v>#N/A</v>
      </c>
      <c r="CE352" s="16" t="e">
        <f t="shared" si="145"/>
        <v>#N/A</v>
      </c>
      <c r="CF352" s="16">
        <f t="shared" si="146"/>
        <v>99</v>
      </c>
      <c r="CG352" s="16">
        <f t="shared" si="147"/>
        <v>0</v>
      </c>
      <c r="CH352" s="16">
        <f t="shared" si="173"/>
        <v>0</v>
      </c>
      <c r="CJ352" s="16" t="e">
        <f t="shared" si="148"/>
        <v>#N/A</v>
      </c>
      <c r="CK352" s="16" t="str">
        <f t="shared" si="149"/>
        <v/>
      </c>
    </row>
    <row r="353" spans="1:89" ht="12" customHeight="1">
      <c r="A353" s="211"/>
      <c r="B353" s="211"/>
      <c r="C353" s="211"/>
      <c r="D353" s="211"/>
      <c r="E353" s="211"/>
      <c r="F353" s="211"/>
      <c r="G353" s="211"/>
      <c r="H353" s="211"/>
      <c r="I353" s="211"/>
      <c r="J353" s="211"/>
      <c r="K353" s="211"/>
      <c r="L353" s="211"/>
      <c r="M353" s="211"/>
      <c r="N353" s="211"/>
      <c r="O353" s="211"/>
      <c r="AM353" s="34">
        <f t="shared" si="168"/>
        <v>0.40660533495247364</v>
      </c>
      <c r="AN353" s="34">
        <f t="shared" si="153"/>
        <v>0.63539409078657627</v>
      </c>
      <c r="AO353" s="16">
        <f t="shared" si="154"/>
        <v>45.200000000000372</v>
      </c>
      <c r="AP353" s="16" t="e">
        <f t="shared" si="155"/>
        <v>#N/A</v>
      </c>
      <c r="AQ353" s="16">
        <f t="shared" si="156"/>
        <v>1.2314465337056485E-2</v>
      </c>
      <c r="AR353" s="34">
        <f t="shared" si="169"/>
        <v>1.0318988934159279E-2</v>
      </c>
      <c r="AS353" s="34">
        <f t="shared" si="157"/>
        <v>2.3488448932766914E-2</v>
      </c>
      <c r="AT353" s="540">
        <f t="shared" si="158"/>
        <v>3.700000000000002</v>
      </c>
      <c r="AU353" s="16" t="e">
        <f t="shared" si="159"/>
        <v>#N/A</v>
      </c>
      <c r="AV353" s="16">
        <f t="shared" si="160"/>
        <v>3.2136123424905101E-5</v>
      </c>
      <c r="AW353" s="34">
        <f t="shared" si="170"/>
        <v>0.18297355063259602</v>
      </c>
      <c r="AX353" s="34">
        <f t="shared" si="161"/>
        <v>0.88498211838304996</v>
      </c>
      <c r="AY353" s="16">
        <f t="shared" si="162"/>
        <v>31.900000000000183</v>
      </c>
      <c r="AZ353" s="16" t="e">
        <f t="shared" si="163"/>
        <v>#N/A</v>
      </c>
      <c r="BA353" s="16">
        <f t="shared" si="171"/>
        <v>1.1721023771234292E-2</v>
      </c>
      <c r="BB353" s="34">
        <f t="shared" si="172"/>
        <v>0.74741197563707829</v>
      </c>
      <c r="BC353" s="34">
        <f t="shared" si="164"/>
        <v>0.47272646613419056</v>
      </c>
      <c r="BD353" s="16">
        <f t="shared" si="165"/>
        <v>63.30000000000063</v>
      </c>
      <c r="BE353" s="16" t="e">
        <f t="shared" si="166"/>
        <v>#N/A</v>
      </c>
      <c r="BF353" s="16">
        <f t="shared" si="167"/>
        <v>7.5589600314877872E-3</v>
      </c>
      <c r="BU353" s="16">
        <f t="shared" si="150"/>
        <v>0</v>
      </c>
      <c r="BV353" s="16">
        <f>IF($BY$12=1,NORMDIST(BY353,$Y$6,$Y$8,TRUE),IF($BY$12=2,IF(BY353&lt;=$BX$31,0,IF(BY353&gt;=$BX$32,1,(BY353-$BX$31)*$BX$33)),SUM($BU$42:BU353)/$BV$40))</f>
        <v>0.17232943801287393</v>
      </c>
      <c r="BW353" s="16">
        <f t="shared" si="151"/>
        <v>0.39693787861722146</v>
      </c>
      <c r="BX353" s="16">
        <f>IF($BY$12&lt;3,BV353,SUM($BZ$42:BZ353)/$BX$40)</f>
        <v>0.17232943801287393</v>
      </c>
      <c r="BY353" s="16">
        <f t="shared" si="174"/>
        <v>31.100000000000172</v>
      </c>
      <c r="BZ353" s="16">
        <f t="shared" si="142"/>
        <v>1.2763275839781971E-2</v>
      </c>
      <c r="CA353" s="16">
        <f t="shared" si="152"/>
        <v>-999</v>
      </c>
      <c r="CB353" s="16" t="str">
        <f t="shared" si="143"/>
        <v/>
      </c>
      <c r="CC353" s="16" t="e">
        <f>IF(CB353="",NA(),COUNTIF(CB353:$CB$704,CB353))</f>
        <v>#N/A</v>
      </c>
      <c r="CD353" s="16" t="e">
        <f t="shared" si="144"/>
        <v>#N/A</v>
      </c>
      <c r="CE353" s="16" t="e">
        <f t="shared" si="145"/>
        <v>#N/A</v>
      </c>
      <c r="CF353" s="16">
        <f t="shared" si="146"/>
        <v>99</v>
      </c>
      <c r="CG353" s="16">
        <f t="shared" si="147"/>
        <v>0</v>
      </c>
      <c r="CH353" s="16">
        <f t="shared" si="173"/>
        <v>0</v>
      </c>
      <c r="CJ353" s="16" t="e">
        <f t="shared" si="148"/>
        <v>#N/A</v>
      </c>
      <c r="CK353" s="16" t="str">
        <f t="shared" si="149"/>
        <v/>
      </c>
    </row>
    <row r="354" spans="1:89" ht="12" customHeight="1">
      <c r="A354" s="211"/>
      <c r="B354" s="211"/>
      <c r="C354" s="211"/>
      <c r="D354" s="211"/>
      <c r="E354" s="211"/>
      <c r="F354" s="211"/>
      <c r="G354" s="211"/>
      <c r="H354" s="211"/>
      <c r="I354" s="211"/>
      <c r="J354" s="211"/>
      <c r="K354" s="211"/>
      <c r="L354" s="211"/>
      <c r="M354" s="211"/>
      <c r="N354" s="211"/>
      <c r="O354" s="211"/>
      <c r="AM354" s="34">
        <f t="shared" si="168"/>
        <v>0.16798894293606281</v>
      </c>
      <c r="AN354" s="34">
        <f t="shared" si="153"/>
        <v>0.61321688629686832</v>
      </c>
      <c r="AO354" s="16">
        <f t="shared" si="154"/>
        <v>30.700000000000166</v>
      </c>
      <c r="AP354" s="16" t="e">
        <f t="shared" si="155"/>
        <v>#N/A</v>
      </c>
      <c r="AQ354" s="16">
        <f t="shared" si="156"/>
        <v>7.6785857099571329E-3</v>
      </c>
      <c r="AR354" s="34">
        <f t="shared" si="169"/>
        <v>0.79467750526964664</v>
      </c>
      <c r="AS354" s="34">
        <f t="shared" si="157"/>
        <v>0.38350403495132923</v>
      </c>
      <c r="AT354" s="540">
        <f t="shared" si="158"/>
        <v>66.400000000000503</v>
      </c>
      <c r="AU354" s="16" t="e">
        <f t="shared" si="159"/>
        <v>#N/A</v>
      </c>
      <c r="AV354" s="16">
        <f t="shared" si="160"/>
        <v>5.4656296794182782E-3</v>
      </c>
      <c r="AW354" s="34">
        <f t="shared" si="170"/>
        <v>0.6885980386286974</v>
      </c>
      <c r="AX354" s="34">
        <f t="shared" si="161"/>
        <v>0.33806147612631321</v>
      </c>
      <c r="AY354" s="16">
        <f t="shared" si="162"/>
        <v>59.80000000000058</v>
      </c>
      <c r="AZ354" s="16" t="e">
        <f t="shared" si="163"/>
        <v>#N/A</v>
      </c>
      <c r="BA354" s="16">
        <f t="shared" si="171"/>
        <v>5.9805166121113858E-3</v>
      </c>
      <c r="BB354" s="34">
        <f t="shared" si="172"/>
        <v>0.80678596533834934</v>
      </c>
      <c r="BC354" s="34">
        <f t="shared" si="164"/>
        <v>0.14160104282200336</v>
      </c>
      <c r="BD354" s="16">
        <f t="shared" si="165"/>
        <v>67.300000000000452</v>
      </c>
      <c r="BE354" s="16" t="e">
        <f t="shared" si="166"/>
        <v>#N/A</v>
      </c>
      <c r="BF354" s="16">
        <f t="shared" si="167"/>
        <v>1.9429943043771994E-3</v>
      </c>
      <c r="BU354" s="16">
        <f t="shared" si="150"/>
        <v>0</v>
      </c>
      <c r="BV354" s="16">
        <f>IF($BY$12=1,NORMDIST(BY354,$Y$6,$Y$8,TRUE),IF($BY$12=2,IF(BY354&lt;=$BX$31,0,IF(BY354&gt;=$BX$32,1,(BY354-$BX$31)*$BX$33)),SUM($BU$42:BU354)/$BV$40))</f>
        <v>0.17360878033862692</v>
      </c>
      <c r="BW354" s="16">
        <f t="shared" si="151"/>
        <v>0.40009521930397324</v>
      </c>
      <c r="BX354" s="16">
        <f>IF($BY$12&lt;3,BV354,SUM($BZ$42:BZ354)/$BX$40)</f>
        <v>0.17360878033862692</v>
      </c>
      <c r="BY354" s="16">
        <f t="shared" si="174"/>
        <v>31.200000000000173</v>
      </c>
      <c r="BZ354" s="16">
        <f t="shared" si="142"/>
        <v>1.2823564721281122E-2</v>
      </c>
      <c r="CA354" s="16">
        <f t="shared" si="152"/>
        <v>-999</v>
      </c>
      <c r="CB354" s="16" t="str">
        <f t="shared" si="143"/>
        <v/>
      </c>
      <c r="CC354" s="16" t="e">
        <f>IF(CB354="",NA(),COUNTIF(CB354:$CB$704,CB354))</f>
        <v>#N/A</v>
      </c>
      <c r="CD354" s="16" t="e">
        <f t="shared" si="144"/>
        <v>#N/A</v>
      </c>
      <c r="CE354" s="16" t="e">
        <f t="shared" si="145"/>
        <v>#N/A</v>
      </c>
      <c r="CF354" s="16">
        <f t="shared" si="146"/>
        <v>99</v>
      </c>
      <c r="CG354" s="16">
        <f t="shared" si="147"/>
        <v>0</v>
      </c>
      <c r="CH354" s="16">
        <f t="shared" si="173"/>
        <v>0</v>
      </c>
      <c r="CJ354" s="16" t="e">
        <f t="shared" si="148"/>
        <v>#N/A</v>
      </c>
      <c r="CK354" s="16" t="str">
        <f t="shared" si="149"/>
        <v/>
      </c>
    </row>
    <row r="355" spans="1:89" ht="12" customHeight="1">
      <c r="A355" s="211"/>
      <c r="B355" s="211"/>
      <c r="C355" s="211"/>
      <c r="D355" s="211"/>
      <c r="E355" s="211"/>
      <c r="F355" s="211"/>
      <c r="G355" s="211"/>
      <c r="H355" s="211"/>
      <c r="I355" s="211"/>
      <c r="J355" s="211"/>
      <c r="K355" s="211"/>
      <c r="L355" s="211"/>
      <c r="M355" s="211"/>
      <c r="N355" s="211"/>
      <c r="O355" s="211"/>
      <c r="AM355" s="34">
        <f t="shared" si="168"/>
        <v>0.83478820510208607</v>
      </c>
      <c r="AN355" s="34">
        <f t="shared" si="153"/>
        <v>0.90326752699911594</v>
      </c>
      <c r="AO355" s="16">
        <f t="shared" si="154"/>
        <v>69.400000000000333</v>
      </c>
      <c r="AP355" s="16" t="e">
        <f t="shared" si="155"/>
        <v>#N/A</v>
      </c>
      <c r="AQ355" s="16">
        <f t="shared" si="156"/>
        <v>1.1255962265908519E-2</v>
      </c>
      <c r="AR355" s="34">
        <f t="shared" si="169"/>
        <v>0.33506574667990208</v>
      </c>
      <c r="AS355" s="34">
        <f t="shared" si="157"/>
        <v>0.82265372760593891</v>
      </c>
      <c r="AT355" s="540">
        <f t="shared" si="158"/>
        <v>41.400000000000318</v>
      </c>
      <c r="AU355" s="16" t="e">
        <f t="shared" si="159"/>
        <v>#N/A</v>
      </c>
      <c r="AV355" s="16">
        <f t="shared" si="160"/>
        <v>1.496051745642071E-2</v>
      </c>
      <c r="AW355" s="34">
        <f t="shared" si="170"/>
        <v>0.15606232173740864</v>
      </c>
      <c r="AX355" s="34">
        <f t="shared" si="161"/>
        <v>0.24618426896631718</v>
      </c>
      <c r="AY355" s="16">
        <f t="shared" si="162"/>
        <v>29.700000000000152</v>
      </c>
      <c r="AZ355" s="16" t="e">
        <f t="shared" si="163"/>
        <v>#N/A</v>
      </c>
      <c r="BA355" s="16">
        <f t="shared" si="171"/>
        <v>2.933795595004755E-3</v>
      </c>
      <c r="BB355" s="34">
        <f t="shared" si="172"/>
        <v>0.26903359033167362</v>
      </c>
      <c r="BC355" s="34">
        <f t="shared" si="164"/>
        <v>0.40075341053307056</v>
      </c>
      <c r="BD355" s="16">
        <f t="shared" si="165"/>
        <v>37.600000000000264</v>
      </c>
      <c r="BE355" s="16" t="e">
        <f t="shared" si="166"/>
        <v>#N/A</v>
      </c>
      <c r="BF355" s="16">
        <f t="shared" si="167"/>
        <v>6.5960797485834777E-3</v>
      </c>
      <c r="BU355" s="16">
        <f t="shared" si="150"/>
        <v>0</v>
      </c>
      <c r="BV355" s="16">
        <f>IF($BY$12=1,NORMDIST(BY355,$Y$6,$Y$8,TRUE),IF($BY$12=2,IF(BY355&lt;=$BX$31,0,IF(BY355&gt;=$BX$32,1,(BY355-$BX$31)*$BX$33)),SUM($BU$42:BU355)/$BV$40))</f>
        <v>0.17489414971322437</v>
      </c>
      <c r="BW355" s="16">
        <f t="shared" si="151"/>
        <v>0.40326344972648592</v>
      </c>
      <c r="BX355" s="16">
        <f>IF($BY$12&lt;3,BV355,SUM($BZ$42:BZ355)/$BX$40)</f>
        <v>0.17489414971322437</v>
      </c>
      <c r="BY355" s="16">
        <f t="shared" si="174"/>
        <v>31.300000000000175</v>
      </c>
      <c r="BZ355" s="16">
        <f t="shared" si="142"/>
        <v>1.2883816285191172E-2</v>
      </c>
      <c r="CA355" s="16">
        <f t="shared" si="152"/>
        <v>-999</v>
      </c>
      <c r="CB355" s="16" t="str">
        <f t="shared" si="143"/>
        <v/>
      </c>
      <c r="CC355" s="16" t="e">
        <f>IF(CB355="",NA(),COUNTIF(CB355:$CB$704,CB355))</f>
        <v>#N/A</v>
      </c>
      <c r="CD355" s="16" t="e">
        <f t="shared" si="144"/>
        <v>#N/A</v>
      </c>
      <c r="CE355" s="16" t="e">
        <f t="shared" si="145"/>
        <v>#N/A</v>
      </c>
      <c r="CF355" s="16">
        <f t="shared" si="146"/>
        <v>99</v>
      </c>
      <c r="CG355" s="16">
        <f t="shared" si="147"/>
        <v>0</v>
      </c>
      <c r="CH355" s="16">
        <f t="shared" si="173"/>
        <v>0</v>
      </c>
      <c r="CJ355" s="16" t="e">
        <f t="shared" si="148"/>
        <v>#N/A</v>
      </c>
      <c r="CK355" s="16" t="str">
        <f t="shared" si="149"/>
        <v/>
      </c>
    </row>
    <row r="356" spans="1:89" ht="12" customHeight="1">
      <c r="A356" s="211"/>
      <c r="B356" s="211"/>
      <c r="C356" s="211"/>
      <c r="D356" s="211"/>
      <c r="E356" s="211"/>
      <c r="F356" s="211"/>
      <c r="G356" s="211"/>
      <c r="H356" s="211"/>
      <c r="I356" s="211"/>
      <c r="J356" s="211"/>
      <c r="K356" s="211"/>
      <c r="L356" s="211"/>
      <c r="M356" s="211"/>
      <c r="N356" s="211"/>
      <c r="O356" s="211"/>
      <c r="AM356" s="34">
        <f t="shared" si="168"/>
        <v>1.2469010427594185E-2</v>
      </c>
      <c r="AN356" s="34">
        <f t="shared" si="153"/>
        <v>0.26637307740747929</v>
      </c>
      <c r="AO356" s="16">
        <f t="shared" si="154"/>
        <v>5.0999999999999979</v>
      </c>
      <c r="AP356" s="16" t="e">
        <f t="shared" si="155"/>
        <v>#N/A</v>
      </c>
      <c r="AQ356" s="16">
        <f t="shared" si="156"/>
        <v>4.2750665050813545E-4</v>
      </c>
      <c r="AR356" s="34">
        <f t="shared" si="169"/>
        <v>0.97055784799158573</v>
      </c>
      <c r="AS356" s="34">
        <f t="shared" si="157"/>
        <v>9.7167881205677986E-2</v>
      </c>
      <c r="AT356" s="540">
        <f t="shared" si="158"/>
        <v>87.699999999999292</v>
      </c>
      <c r="AU356" s="16" t="e">
        <f t="shared" si="159"/>
        <v>#N/A</v>
      </c>
      <c r="AV356" s="16">
        <f t="shared" si="160"/>
        <v>3.2796673606707872E-4</v>
      </c>
      <c r="AW356" s="34">
        <f t="shared" si="170"/>
        <v>0.89005866833031178</v>
      </c>
      <c r="AX356" s="34">
        <f t="shared" si="161"/>
        <v>0.25406580604612827</v>
      </c>
      <c r="AY356" s="16">
        <f t="shared" si="162"/>
        <v>74.500000000000043</v>
      </c>
      <c r="AZ356" s="16" t="e">
        <f t="shared" si="163"/>
        <v>#N/A</v>
      </c>
      <c r="BA356" s="16">
        <f t="shared" si="171"/>
        <v>2.3931488413323708E-3</v>
      </c>
      <c r="BB356" s="34">
        <f t="shared" si="172"/>
        <v>0.31512504257261753</v>
      </c>
      <c r="BC356" s="34">
        <f t="shared" si="164"/>
        <v>0.52235172875225544</v>
      </c>
      <c r="BD356" s="16">
        <f t="shared" si="165"/>
        <v>40.300000000000303</v>
      </c>
      <c r="BE356" s="16" t="e">
        <f t="shared" si="166"/>
        <v>#N/A</v>
      </c>
      <c r="BF356" s="16">
        <f t="shared" si="167"/>
        <v>9.2632769105414018E-3</v>
      </c>
      <c r="BU356" s="16">
        <f t="shared" si="150"/>
        <v>0</v>
      </c>
      <c r="BV356" s="16">
        <f>IF($BY$12=1,NORMDIST(BY356,$Y$6,$Y$8,TRUE),IF($BY$12=2,IF(BY356&lt;=$BX$31,0,IF(BY356&gt;=$BX$32,1,(BY356-$BX$31)*$BX$33)),SUM($BU$42:BU356)/$BV$40))</f>
        <v>0.17618554224526028</v>
      </c>
      <c r="BW356" s="16">
        <f t="shared" si="151"/>
        <v>0.40644245836790927</v>
      </c>
      <c r="BX356" s="16">
        <f>IF($BY$12&lt;3,BV356,SUM($BZ$42:BZ356)/$BX$40)</f>
        <v>0.17618554224526028</v>
      </c>
      <c r="BY356" s="16">
        <f t="shared" si="174"/>
        <v>31.400000000000176</v>
      </c>
      <c r="BZ356" s="16">
        <f t="shared" si="142"/>
        <v>1.2944027336557548E-2</v>
      </c>
      <c r="CA356" s="16">
        <f t="shared" si="152"/>
        <v>-999</v>
      </c>
      <c r="CB356" s="16" t="str">
        <f t="shared" si="143"/>
        <v/>
      </c>
      <c r="CC356" s="16" t="e">
        <f>IF(CB356="",NA(),COUNTIF(CB356:$CB$704,CB356))</f>
        <v>#N/A</v>
      </c>
      <c r="CD356" s="16" t="e">
        <f t="shared" si="144"/>
        <v>#N/A</v>
      </c>
      <c r="CE356" s="16" t="e">
        <f t="shared" si="145"/>
        <v>#N/A</v>
      </c>
      <c r="CF356" s="16">
        <f t="shared" si="146"/>
        <v>99</v>
      </c>
      <c r="CG356" s="16">
        <f t="shared" si="147"/>
        <v>0</v>
      </c>
      <c r="CH356" s="16">
        <f t="shared" si="173"/>
        <v>0</v>
      </c>
      <c r="CJ356" s="16" t="e">
        <f t="shared" si="148"/>
        <v>#N/A</v>
      </c>
      <c r="CK356" s="16" t="str">
        <f t="shared" si="149"/>
        <v/>
      </c>
    </row>
    <row r="357" spans="1:89" ht="12" customHeight="1">
      <c r="A357" s="211"/>
      <c r="B357" s="211"/>
      <c r="C357" s="211"/>
      <c r="D357" s="211"/>
      <c r="E357" s="211"/>
      <c r="F357" s="211"/>
      <c r="G357" s="211"/>
      <c r="H357" s="211"/>
      <c r="I357" s="211"/>
      <c r="J357" s="211"/>
      <c r="K357" s="211"/>
      <c r="L357" s="211"/>
      <c r="M357" s="211"/>
      <c r="N357" s="211"/>
      <c r="O357" s="211"/>
      <c r="AM357" s="34">
        <f t="shared" si="168"/>
        <v>0.2369247991591692</v>
      </c>
      <c r="AN357" s="34">
        <f t="shared" si="153"/>
        <v>7.1614081040024757E-2</v>
      </c>
      <c r="AO357" s="16">
        <f t="shared" si="154"/>
        <v>35.600000000000236</v>
      </c>
      <c r="AP357" s="16" t="e">
        <f t="shared" si="155"/>
        <v>#N/A</v>
      </c>
      <c r="AQ357" s="16">
        <f t="shared" si="156"/>
        <v>1.1023242557781003E-3</v>
      </c>
      <c r="AR357" s="34">
        <f t="shared" si="169"/>
        <v>7.5239235535264015E-2</v>
      </c>
      <c r="AS357" s="34">
        <f t="shared" si="157"/>
        <v>0.33346270211040974</v>
      </c>
      <c r="AT357" s="540">
        <f t="shared" si="158"/>
        <v>21.200000000000031</v>
      </c>
      <c r="AU357" s="16" t="e">
        <f t="shared" si="159"/>
        <v>#N/A</v>
      </c>
      <c r="AV357" s="16">
        <f t="shared" si="160"/>
        <v>2.3585811122159715E-3</v>
      </c>
      <c r="AW357" s="34">
        <f t="shared" si="170"/>
        <v>0.36331676132977009</v>
      </c>
      <c r="AX357" s="34">
        <f t="shared" si="161"/>
        <v>0.33641559816896915</v>
      </c>
      <c r="AY357" s="16">
        <f t="shared" si="162"/>
        <v>43.000000000000341</v>
      </c>
      <c r="AZ357" s="16" t="e">
        <f t="shared" si="163"/>
        <v>#N/A</v>
      </c>
      <c r="BA357" s="16">
        <f t="shared" si="171"/>
        <v>6.3118352882596948E-3</v>
      </c>
      <c r="BB357" s="34">
        <f t="shared" si="172"/>
        <v>7.8095028176903725E-2</v>
      </c>
      <c r="BC357" s="34">
        <f t="shared" si="164"/>
        <v>0.29700440354645252</v>
      </c>
      <c r="BD357" s="16">
        <f t="shared" si="165"/>
        <v>21.600000000000037</v>
      </c>
      <c r="BE357" s="16" t="e">
        <f t="shared" si="166"/>
        <v>#N/A</v>
      </c>
      <c r="BF357" s="16">
        <f t="shared" si="167"/>
        <v>2.1616593809750391E-3</v>
      </c>
      <c r="BU357" s="16">
        <f t="shared" si="150"/>
        <v>0</v>
      </c>
      <c r="BV357" s="16">
        <f>IF($BY$12=1,NORMDIST(BY357,$Y$6,$Y$8,TRUE),IF($BY$12=2,IF(BY357&lt;=$BX$31,0,IF(BY357&gt;=$BX$32,1,(BY357-$BX$31)*$BX$33)),SUM($BU$42:BU357)/$BV$40))</f>
        <v>0.17748295372323475</v>
      </c>
      <c r="BW357" s="16">
        <f t="shared" si="151"/>
        <v>0.40963213205774884</v>
      </c>
      <c r="BX357" s="16">
        <f>IF($BY$12&lt;3,BV357,SUM($BZ$42:BZ357)/$BX$40)</f>
        <v>0.17748295372323475</v>
      </c>
      <c r="BY357" s="16">
        <f t="shared" si="174"/>
        <v>31.500000000000178</v>
      </c>
      <c r="BZ357" s="16">
        <f t="shared" si="142"/>
        <v>1.3004194668499889E-2</v>
      </c>
      <c r="CA357" s="16">
        <f t="shared" si="152"/>
        <v>-999</v>
      </c>
      <c r="CB357" s="16" t="str">
        <f t="shared" si="143"/>
        <v/>
      </c>
      <c r="CC357" s="16" t="e">
        <f>IF(CB357="",NA(),COUNTIF(CB357:$CB$704,CB357))</f>
        <v>#N/A</v>
      </c>
      <c r="CD357" s="16" t="e">
        <f t="shared" si="144"/>
        <v>#N/A</v>
      </c>
      <c r="CE357" s="16" t="e">
        <f t="shared" si="145"/>
        <v>#N/A</v>
      </c>
      <c r="CF357" s="16">
        <f t="shared" si="146"/>
        <v>99</v>
      </c>
      <c r="CG357" s="16">
        <f t="shared" si="147"/>
        <v>0</v>
      </c>
      <c r="CH357" s="16">
        <f t="shared" si="173"/>
        <v>0</v>
      </c>
      <c r="CJ357" s="16" t="e">
        <f t="shared" si="148"/>
        <v>#N/A</v>
      </c>
      <c r="CK357" s="16" t="str">
        <f t="shared" si="149"/>
        <v/>
      </c>
    </row>
    <row r="358" spans="1:89" ht="12" customHeight="1">
      <c r="A358" s="211"/>
      <c r="B358" s="211"/>
      <c r="C358" s="211"/>
      <c r="D358" s="211"/>
      <c r="E358" s="211"/>
      <c r="F358" s="211"/>
      <c r="G358" s="211"/>
      <c r="H358" s="211"/>
      <c r="I358" s="211"/>
      <c r="J358" s="211"/>
      <c r="K358" s="211"/>
      <c r="L358" s="211"/>
      <c r="M358" s="211"/>
      <c r="N358" s="211"/>
      <c r="O358" s="211"/>
      <c r="AM358" s="34">
        <f t="shared" si="168"/>
        <v>0.74138330109417439</v>
      </c>
      <c r="AN358" s="34">
        <f t="shared" si="153"/>
        <v>0.64892465807497501</v>
      </c>
      <c r="AO358" s="16">
        <f t="shared" si="154"/>
        <v>62.900000000000624</v>
      </c>
      <c r="AP358" s="16" t="e">
        <f t="shared" si="155"/>
        <v>#N/A</v>
      </c>
      <c r="AQ358" s="16">
        <f t="shared" si="156"/>
        <v>1.0513217908995048E-2</v>
      </c>
      <c r="AR358" s="34">
        <f t="shared" si="169"/>
        <v>0.35611922480165958</v>
      </c>
      <c r="AS358" s="34">
        <f t="shared" si="157"/>
        <v>0.87756651826202869</v>
      </c>
      <c r="AT358" s="540">
        <f t="shared" si="158"/>
        <v>42.600000000000335</v>
      </c>
      <c r="AU358" s="16" t="e">
        <f t="shared" si="159"/>
        <v>#N/A</v>
      </c>
      <c r="AV358" s="16">
        <f t="shared" si="160"/>
        <v>1.6346796574726912E-2</v>
      </c>
      <c r="AW358" s="34">
        <f t="shared" si="170"/>
        <v>0.35509246774017811</v>
      </c>
      <c r="AX358" s="34">
        <f t="shared" si="161"/>
        <v>0.29360386170446873</v>
      </c>
      <c r="AY358" s="16">
        <f t="shared" si="162"/>
        <v>42.500000000000334</v>
      </c>
      <c r="AZ358" s="16" t="e">
        <f t="shared" si="163"/>
        <v>#N/A</v>
      </c>
      <c r="BA358" s="16">
        <f t="shared" si="171"/>
        <v>5.4589045777321274E-3</v>
      </c>
      <c r="BB358" s="34">
        <f t="shared" si="172"/>
        <v>0.89652177132666111</v>
      </c>
      <c r="BC358" s="34">
        <f t="shared" si="164"/>
        <v>0.36804963834583759</v>
      </c>
      <c r="BD358" s="16">
        <f t="shared" si="165"/>
        <v>75.2</v>
      </c>
      <c r="BE358" s="16" t="e">
        <f t="shared" si="166"/>
        <v>#N/A</v>
      </c>
      <c r="BF358" s="16">
        <f t="shared" si="167"/>
        <v>3.3192770696872458E-3</v>
      </c>
      <c r="BU358" s="16">
        <f t="shared" si="150"/>
        <v>0</v>
      </c>
      <c r="BV358" s="16">
        <f>IF($BY$12=1,NORMDIST(BY358,$Y$6,$Y$8,TRUE),IF($BY$12=2,IF(BY358&lt;=$BX$31,0,IF(BY358&gt;=$BX$32,1,(BY358-$BX$31)*$BX$33)),SUM($BU$42:BU358)/$BV$40))</f>
        <v>0.17878637961437405</v>
      </c>
      <c r="BW358" s="16">
        <f t="shared" si="151"/>
        <v>0.41283235597429963</v>
      </c>
      <c r="BX358" s="16">
        <f>IF($BY$12&lt;3,BV358,SUM($BZ$42:BZ358)/$BX$40)</f>
        <v>0.17878637961437405</v>
      </c>
      <c r="BY358" s="16">
        <f t="shared" si="174"/>
        <v>31.600000000000179</v>
      </c>
      <c r="BZ358" s="16">
        <f t="shared" si="142"/>
        <v>1.3064315062477763E-2</v>
      </c>
      <c r="CA358" s="16">
        <f t="shared" si="152"/>
        <v>-999</v>
      </c>
      <c r="CB358" s="16" t="str">
        <f t="shared" si="143"/>
        <v/>
      </c>
      <c r="CC358" s="16" t="e">
        <f>IF(CB358="",NA(),COUNTIF(CB358:$CB$704,CB358))</f>
        <v>#N/A</v>
      </c>
      <c r="CD358" s="16" t="e">
        <f t="shared" si="144"/>
        <v>#N/A</v>
      </c>
      <c r="CE358" s="16" t="e">
        <f t="shared" si="145"/>
        <v>#N/A</v>
      </c>
      <c r="CF358" s="16">
        <f t="shared" si="146"/>
        <v>99</v>
      </c>
      <c r="CG358" s="16">
        <f t="shared" si="147"/>
        <v>0</v>
      </c>
      <c r="CH358" s="16">
        <f t="shared" si="173"/>
        <v>0</v>
      </c>
      <c r="CJ358" s="16" t="e">
        <f t="shared" si="148"/>
        <v>#N/A</v>
      </c>
      <c r="CK358" s="16" t="str">
        <f t="shared" si="149"/>
        <v/>
      </c>
    </row>
    <row r="359" spans="1:89" ht="12" customHeight="1">
      <c r="A359" s="211"/>
      <c r="B359" s="211"/>
      <c r="C359" s="211"/>
      <c r="D359" s="211"/>
      <c r="E359" s="211"/>
      <c r="F359" s="211"/>
      <c r="G359" s="211"/>
      <c r="H359" s="211"/>
      <c r="I359" s="211"/>
      <c r="J359" s="211"/>
      <c r="K359" s="211"/>
      <c r="L359" s="211"/>
      <c r="M359" s="211"/>
      <c r="N359" s="211"/>
      <c r="O359" s="211"/>
      <c r="AM359" s="34">
        <f t="shared" si="168"/>
        <v>1.677030511200428E-2</v>
      </c>
      <c r="AN359" s="34">
        <f t="shared" si="153"/>
        <v>0.26913400925695896</v>
      </c>
      <c r="AO359" s="16">
        <f t="shared" si="154"/>
        <v>7.3999999999999897</v>
      </c>
      <c r="AP359" s="16" t="e">
        <f t="shared" si="155"/>
        <v>#N/A</v>
      </c>
      <c r="AQ359" s="16">
        <f t="shared" si="156"/>
        <v>5.5548627619414568E-4</v>
      </c>
      <c r="AR359" s="34">
        <f t="shared" si="169"/>
        <v>0.59098502434790134</v>
      </c>
      <c r="AS359" s="34">
        <f t="shared" si="157"/>
        <v>0.92628432996571064</v>
      </c>
      <c r="AT359" s="540">
        <f t="shared" si="158"/>
        <v>54.600000000000506</v>
      </c>
      <c r="AU359" s="16" t="e">
        <f t="shared" si="159"/>
        <v>#N/A</v>
      </c>
      <c r="AV359" s="16">
        <f t="shared" si="160"/>
        <v>1.7994397016090118E-2</v>
      </c>
      <c r="AW359" s="34">
        <f t="shared" si="170"/>
        <v>0.43389488942921162</v>
      </c>
      <c r="AX359" s="34">
        <f t="shared" si="161"/>
        <v>0.53492567874491215</v>
      </c>
      <c r="AY359" s="16">
        <f t="shared" si="162"/>
        <v>46.600000000000392</v>
      </c>
      <c r="AZ359" s="16" t="e">
        <f t="shared" si="163"/>
        <v>#N/A</v>
      </c>
      <c r="BA359" s="16">
        <f t="shared" si="171"/>
        <v>1.0517147414831247E-2</v>
      </c>
      <c r="BB359" s="34">
        <f t="shared" si="172"/>
        <v>0.16810367442667484</v>
      </c>
      <c r="BC359" s="34">
        <f t="shared" si="164"/>
        <v>0.92961451597511768</v>
      </c>
      <c r="BD359" s="16">
        <f t="shared" si="165"/>
        <v>30.700000000000166</v>
      </c>
      <c r="BE359" s="16" t="e">
        <f t="shared" si="166"/>
        <v>#N/A</v>
      </c>
      <c r="BF359" s="16">
        <f t="shared" si="167"/>
        <v>1.1640456904638422E-2</v>
      </c>
      <c r="BU359" s="16">
        <f t="shared" si="150"/>
        <v>0</v>
      </c>
      <c r="BV359" s="16">
        <f>IF($BY$12=1,NORMDIST(BY359,$Y$6,$Y$8,TRUE),IF($BY$12=2,IF(BY359&lt;=$BX$31,0,IF(BY359&gt;=$BX$32,1,(BY359-$BX$31)*$BX$33)),SUM($BU$42:BU359)/$BV$40))</f>
        <v>0.18009581506347927</v>
      </c>
      <c r="BW359" s="16">
        <f t="shared" si="151"/>
        <v>0.41604301364732427</v>
      </c>
      <c r="BX359" s="16">
        <f>IF($BY$12&lt;3,BV359,SUM($BZ$42:BZ359)/$BX$40)</f>
        <v>0.18009581506347927</v>
      </c>
      <c r="BY359" s="16">
        <f t="shared" si="174"/>
        <v>31.70000000000018</v>
      </c>
      <c r="BZ359" s="16">
        <f t="shared" si="142"/>
        <v>1.312438528855905E-2</v>
      </c>
      <c r="CA359" s="16">
        <f t="shared" si="152"/>
        <v>-999</v>
      </c>
      <c r="CB359" s="16" t="str">
        <f t="shared" si="143"/>
        <v/>
      </c>
      <c r="CC359" s="16" t="e">
        <f>IF(CB359="",NA(),COUNTIF(CB359:$CB$704,CB359))</f>
        <v>#N/A</v>
      </c>
      <c r="CD359" s="16" t="e">
        <f t="shared" si="144"/>
        <v>#N/A</v>
      </c>
      <c r="CE359" s="16" t="e">
        <f t="shared" si="145"/>
        <v>#N/A</v>
      </c>
      <c r="CF359" s="16">
        <f t="shared" si="146"/>
        <v>99</v>
      </c>
      <c r="CG359" s="16">
        <f t="shared" si="147"/>
        <v>0</v>
      </c>
      <c r="CH359" s="16">
        <f t="shared" si="173"/>
        <v>0</v>
      </c>
      <c r="CJ359" s="16" t="e">
        <f t="shared" si="148"/>
        <v>#N/A</v>
      </c>
      <c r="CK359" s="16" t="str">
        <f t="shared" si="149"/>
        <v/>
      </c>
    </row>
    <row r="360" spans="1:89" ht="12" customHeight="1">
      <c r="A360" s="211"/>
      <c r="B360" s="211"/>
      <c r="C360" s="211"/>
      <c r="D360" s="211"/>
      <c r="E360" s="211"/>
      <c r="F360" s="211"/>
      <c r="G360" s="211"/>
      <c r="H360" s="211"/>
      <c r="I360" s="211"/>
      <c r="J360" s="211"/>
      <c r="K360" s="211"/>
      <c r="L360" s="211"/>
      <c r="M360" s="211"/>
      <c r="N360" s="211"/>
      <c r="O360" s="211"/>
      <c r="AM360" s="34">
        <f t="shared" si="168"/>
        <v>0.59131170995533466</v>
      </c>
      <c r="AN360" s="34">
        <f t="shared" si="153"/>
        <v>0.78660557605326176</v>
      </c>
      <c r="AO360" s="16">
        <f t="shared" si="154"/>
        <v>54.600000000000506</v>
      </c>
      <c r="AP360" s="16" t="e">
        <f t="shared" si="155"/>
        <v>#N/A</v>
      </c>
      <c r="AQ360" s="16">
        <f t="shared" si="156"/>
        <v>1.5280937583276007E-2</v>
      </c>
      <c r="AR360" s="34">
        <f t="shared" si="169"/>
        <v>0.34135339595377445</v>
      </c>
      <c r="AS360" s="34">
        <f t="shared" si="157"/>
        <v>0.39713189192116261</v>
      </c>
      <c r="AT360" s="540">
        <f t="shared" si="158"/>
        <v>41.800000000000324</v>
      </c>
      <c r="AU360" s="16" t="e">
        <f t="shared" si="159"/>
        <v>#N/A</v>
      </c>
      <c r="AV360" s="16">
        <f t="shared" si="160"/>
        <v>7.2830347762864733E-3</v>
      </c>
      <c r="AW360" s="34">
        <f t="shared" si="170"/>
        <v>0.74148294515907764</v>
      </c>
      <c r="AX360" s="34">
        <f t="shared" si="161"/>
        <v>9.0869063511490822E-2</v>
      </c>
      <c r="AY360" s="16">
        <f t="shared" si="162"/>
        <v>62.900000000000624</v>
      </c>
      <c r="AZ360" s="16" t="e">
        <f t="shared" si="163"/>
        <v>#N/A</v>
      </c>
      <c r="BA360" s="16">
        <f t="shared" si="171"/>
        <v>1.4721682309261823E-3</v>
      </c>
      <c r="BB360" s="34">
        <f t="shared" si="172"/>
        <v>0.24473988451063633</v>
      </c>
      <c r="BC360" s="34">
        <f t="shared" si="164"/>
        <v>2.6724861934781075E-2</v>
      </c>
      <c r="BD360" s="16">
        <f t="shared" si="165"/>
        <v>36.100000000000243</v>
      </c>
      <c r="BE360" s="16" t="e">
        <f t="shared" si="166"/>
        <v>#N/A</v>
      </c>
      <c r="BF360" s="16">
        <f t="shared" si="167"/>
        <v>4.1870485274076444E-4</v>
      </c>
      <c r="BU360" s="16">
        <f t="shared" si="150"/>
        <v>0</v>
      </c>
      <c r="BV360" s="16">
        <f>IF($BY$12=1,NORMDIST(BY360,$Y$6,$Y$8,TRUE),IF($BY$12=2,IF(BY360&lt;=$BX$31,0,IF(BY360&gt;=$BX$32,1,(BY360-$BX$31)*$BX$33)),SUM($BU$42:BU360)/$BV$40))</f>
        <v>0.18141125489179966</v>
      </c>
      <c r="BW360" s="16">
        <f t="shared" si="151"/>
        <v>0.41926398696097678</v>
      </c>
      <c r="BX360" s="16">
        <f>IF($BY$12&lt;3,BV360,SUM($BZ$42:BZ360)/$BX$40)</f>
        <v>0.18141125489179966</v>
      </c>
      <c r="BY360" s="16">
        <f t="shared" si="174"/>
        <v>31.800000000000182</v>
      </c>
      <c r="BZ360" s="16">
        <f t="shared" si="142"/>
        <v>1.3184402105691018E-2</v>
      </c>
      <c r="CA360" s="16">
        <f t="shared" si="152"/>
        <v>-999</v>
      </c>
      <c r="CB360" s="16" t="str">
        <f t="shared" si="143"/>
        <v/>
      </c>
      <c r="CC360" s="16" t="e">
        <f>IF(CB360="",NA(),COUNTIF(CB360:$CB$704,CB360))</f>
        <v>#N/A</v>
      </c>
      <c r="CD360" s="16" t="e">
        <f t="shared" si="144"/>
        <v>#N/A</v>
      </c>
      <c r="CE360" s="16" t="e">
        <f t="shared" si="145"/>
        <v>#N/A</v>
      </c>
      <c r="CF360" s="16">
        <f t="shared" si="146"/>
        <v>99</v>
      </c>
      <c r="CG360" s="16">
        <f t="shared" si="147"/>
        <v>0</v>
      </c>
      <c r="CH360" s="16">
        <f t="shared" si="173"/>
        <v>0</v>
      </c>
      <c r="CJ360" s="16" t="e">
        <f t="shared" si="148"/>
        <v>#N/A</v>
      </c>
      <c r="CK360" s="16" t="str">
        <f t="shared" si="149"/>
        <v/>
      </c>
    </row>
    <row r="361" spans="1:89" ht="12" customHeight="1">
      <c r="A361" s="211"/>
      <c r="B361" s="211"/>
      <c r="C361" s="211"/>
      <c r="D361" s="211"/>
      <c r="E361" s="211"/>
      <c r="F361" s="211"/>
      <c r="G361" s="211"/>
      <c r="H361" s="211"/>
      <c r="I361" s="211"/>
      <c r="J361" s="211"/>
      <c r="K361" s="211"/>
      <c r="L361" s="211"/>
      <c r="M361" s="211"/>
      <c r="N361" s="211"/>
      <c r="O361" s="211"/>
      <c r="AM361" s="34">
        <f t="shared" si="168"/>
        <v>0.98640510626137257</v>
      </c>
      <c r="AN361" s="34">
        <f t="shared" si="153"/>
        <v>0.88588010706007481</v>
      </c>
      <c r="AO361" s="16">
        <f t="shared" si="154"/>
        <v>94.099999999998929</v>
      </c>
      <c r="AP361" s="16" t="e">
        <f t="shared" si="155"/>
        <v>#N/A</v>
      </c>
      <c r="AQ361" s="16" t="e">
        <f t="shared" si="156"/>
        <v>#N/A</v>
      </c>
      <c r="AR361" s="34">
        <f t="shared" si="169"/>
        <v>8.1926221027970314E-2</v>
      </c>
      <c r="AS361" s="34">
        <f t="shared" si="157"/>
        <v>0.27532057650387287</v>
      </c>
      <c r="AT361" s="540">
        <f t="shared" si="158"/>
        <v>22.100000000000044</v>
      </c>
      <c r="AU361" s="16" t="e">
        <f t="shared" si="159"/>
        <v>#N/A</v>
      </c>
      <c r="AV361" s="16">
        <f t="shared" si="160"/>
        <v>2.0756053471655245E-3</v>
      </c>
      <c r="AW361" s="34">
        <f t="shared" si="170"/>
        <v>0.81641273386776447</v>
      </c>
      <c r="AX361" s="34">
        <f t="shared" si="161"/>
        <v>0.95204318501055241</v>
      </c>
      <c r="AY361" s="16">
        <f t="shared" si="162"/>
        <v>68.000000000000412</v>
      </c>
      <c r="AZ361" s="16" t="e">
        <f t="shared" si="163"/>
        <v>#N/A</v>
      </c>
      <c r="BA361" s="16">
        <f t="shared" si="171"/>
        <v>1.266623243989673E-2</v>
      </c>
      <c r="BB361" s="34">
        <f t="shared" si="172"/>
        <v>0.96677101589739323</v>
      </c>
      <c r="BC361" s="34">
        <f t="shared" si="164"/>
        <v>0.7269971389323473</v>
      </c>
      <c r="BD361" s="16">
        <f t="shared" si="165"/>
        <v>86.699999999999349</v>
      </c>
      <c r="BE361" s="16" t="e">
        <f t="shared" si="166"/>
        <v>#N/A</v>
      </c>
      <c r="BF361" s="16">
        <f t="shared" si="167"/>
        <v>2.6929553544531404E-3</v>
      </c>
      <c r="BU361" s="16">
        <f t="shared" si="150"/>
        <v>0</v>
      </c>
      <c r="BV361" s="16">
        <f>IF($BY$12=1,NORMDIST(BY361,$Y$6,$Y$8,TRUE),IF($BY$12=2,IF(BY361&lt;=$BX$31,0,IF(BY361&gt;=$BX$32,1,(BY361-$BX$31)*$BX$33)),SUM($BU$42:BU361)/$BV$40))</f>
        <v>0.18273269359593436</v>
      </c>
      <c r="BW361" s="16">
        <f t="shared" si="151"/>
        <v>0.42249515615697369</v>
      </c>
      <c r="BX361" s="16">
        <f>IF($BY$12&lt;3,BV361,SUM($BZ$42:BZ361)/$BX$40)</f>
        <v>0.18273269359593436</v>
      </c>
      <c r="BY361" s="16">
        <f t="shared" si="174"/>
        <v>31.900000000000183</v>
      </c>
      <c r="BZ361" s="16">
        <f t="shared" si="142"/>
        <v>1.3244362261974021E-2</v>
      </c>
      <c r="CA361" s="16">
        <f t="shared" si="152"/>
        <v>-999</v>
      </c>
      <c r="CB361" s="16" t="str">
        <f t="shared" si="143"/>
        <v/>
      </c>
      <c r="CC361" s="16" t="e">
        <f>IF(CB361="",NA(),COUNTIF(CB361:$CB$704,CB361))</f>
        <v>#N/A</v>
      </c>
      <c r="CD361" s="16" t="e">
        <f t="shared" si="144"/>
        <v>#N/A</v>
      </c>
      <c r="CE361" s="16" t="e">
        <f t="shared" si="145"/>
        <v>#N/A</v>
      </c>
      <c r="CF361" s="16">
        <f t="shared" si="146"/>
        <v>99</v>
      </c>
      <c r="CG361" s="16">
        <f t="shared" si="147"/>
        <v>0</v>
      </c>
      <c r="CH361" s="16">
        <f t="shared" si="173"/>
        <v>0</v>
      </c>
      <c r="CJ361" s="16" t="e">
        <f t="shared" si="148"/>
        <v>#N/A</v>
      </c>
      <c r="CK361" s="16" t="str">
        <f t="shared" si="149"/>
        <v/>
      </c>
    </row>
    <row r="362" spans="1:89" ht="12" customHeight="1">
      <c r="A362" s="211"/>
      <c r="B362" s="211"/>
      <c r="C362" s="211"/>
      <c r="D362" s="211"/>
      <c r="E362" s="211"/>
      <c r="F362" s="211"/>
      <c r="G362" s="211"/>
      <c r="H362" s="211"/>
      <c r="I362" s="211"/>
      <c r="J362" s="211"/>
      <c r="K362" s="211"/>
      <c r="L362" s="211"/>
      <c r="M362" s="211"/>
      <c r="N362" s="211"/>
      <c r="O362" s="211"/>
      <c r="AM362" s="34">
        <f t="shared" si="168"/>
        <v>0.58704213984310627</v>
      </c>
      <c r="AN362" s="34">
        <f t="shared" si="153"/>
        <v>2.9978880658745766E-2</v>
      </c>
      <c r="AO362" s="16">
        <f t="shared" si="154"/>
        <v>54.300000000000502</v>
      </c>
      <c r="AP362" s="16" t="e">
        <f t="shared" si="155"/>
        <v>#N/A</v>
      </c>
      <c r="AQ362" s="16">
        <f t="shared" si="156"/>
        <v>5.8432955369161889E-4</v>
      </c>
      <c r="AR362" s="34">
        <f t="shared" si="169"/>
        <v>0.34420622326433659</v>
      </c>
      <c r="AS362" s="34">
        <f t="shared" si="157"/>
        <v>0.70732426829636097</v>
      </c>
      <c r="AT362" s="540">
        <f t="shared" si="158"/>
        <v>41.900000000000325</v>
      </c>
      <c r="AU362" s="16" t="e">
        <f t="shared" si="159"/>
        <v>#N/A</v>
      </c>
      <c r="AV362" s="16">
        <f t="shared" si="160"/>
        <v>1.2998135289096933E-2</v>
      </c>
      <c r="AW362" s="34">
        <f t="shared" si="170"/>
        <v>0.22666692920029163</v>
      </c>
      <c r="AX362" s="34">
        <f t="shared" si="161"/>
        <v>0.23867299593985081</v>
      </c>
      <c r="AY362" s="16">
        <f t="shared" si="162"/>
        <v>35.000000000000227</v>
      </c>
      <c r="AZ362" s="16" t="e">
        <f t="shared" si="163"/>
        <v>#N/A</v>
      </c>
      <c r="BA362" s="16">
        <f t="shared" si="171"/>
        <v>3.5936686561010671E-3</v>
      </c>
      <c r="BB362" s="34">
        <f t="shared" si="172"/>
        <v>0.84028627909719944</v>
      </c>
      <c r="BC362" s="34">
        <f t="shared" si="164"/>
        <v>0.71469362266361713</v>
      </c>
      <c r="BD362" s="16">
        <f t="shared" si="165"/>
        <v>69.900000000000304</v>
      </c>
      <c r="BE362" s="16" t="e">
        <f t="shared" si="166"/>
        <v>#N/A</v>
      </c>
      <c r="BF362" s="16">
        <f t="shared" si="167"/>
        <v>8.6899800569473738E-3</v>
      </c>
      <c r="BU362" s="16">
        <f t="shared" si="150"/>
        <v>0</v>
      </c>
      <c r="BV362" s="16">
        <f>IF($BY$12=1,NORMDIST(BY362,$Y$6,$Y$8,TRUE),IF($BY$12=2,IF(BY362&lt;=$BX$31,0,IF(BY362&gt;=$BX$32,1,(BY362-$BX$31)*$BX$33)),SUM($BU$42:BU362)/$BV$40))</f>
        <v>0.18406012534676197</v>
      </c>
      <c r="BW362" s="16">
        <f t="shared" si="151"/>
        <v>0.42573639983801365</v>
      </c>
      <c r="BX362" s="16">
        <f>IF($BY$12&lt;3,BV362,SUM($BZ$42:BZ362)/$BX$40)</f>
        <v>0.18406012534676197</v>
      </c>
      <c r="BY362" s="16">
        <f t="shared" si="174"/>
        <v>32.000000000000185</v>
      </c>
      <c r="BZ362" s="16">
        <f t="shared" ref="BZ362:BZ425" si="175">IF($BZ$5,IF($BY$12=1,NORMDIST(BY362,$Y$6,$Y$8,FALSE),IF($BY$12=2,IF(AND(BY362&gt;=$BX$31,BY362&lt;=$BX$32),$BX$33,0),IF(BY362&lt;=$BX$13,0,NORMDIST(LN((BY362-$BX$13)/$BX$12),0,$BW$8,FALSE)/((BY362-$BX$13)/$BX$12)))),-999)</f>
        <v>1.330426249493785E-2</v>
      </c>
      <c r="CA362" s="16">
        <f t="shared" si="152"/>
        <v>-999</v>
      </c>
      <c r="CB362" s="16" t="str">
        <f t="shared" ref="CB362:CB425" si="176">IF(M261="","",ROUND(M261/$P$24,0))</f>
        <v/>
      </c>
      <c r="CC362" s="16" t="e">
        <f>IF(CB362="",NA(),COUNTIF(CB362:$CB$704,CB362))</f>
        <v>#N/A</v>
      </c>
      <c r="CD362" s="16" t="e">
        <f t="shared" ref="CD362:CD425" si="177">IF(CB362&lt;&gt;"",CB362*$P$24,NA())</f>
        <v>#N/A</v>
      </c>
      <c r="CE362" s="16" t="e">
        <f t="shared" ref="CE362:CE425" si="178">IF(AND($CB$7,$CD$2,$CD$1),26+$P$23/2-CC362*$P$23,NA())</f>
        <v>#N/A</v>
      </c>
      <c r="CF362" s="16">
        <f t="shared" ref="CF362:CF425" si="179">IF(ISNA(CJ362),99,CJ362)</f>
        <v>99</v>
      </c>
      <c r="CG362" s="16">
        <f t="shared" ref="CG362:CG425" si="180">IF(ISNA(CJ362),0,CJ362)</f>
        <v>0</v>
      </c>
      <c r="CH362" s="16">
        <f t="shared" si="173"/>
        <v>0</v>
      </c>
      <c r="CJ362" s="16" t="e">
        <f t="shared" ref="CJ362:CJ425" si="181">IF(CH362=1,CE362,NA())</f>
        <v>#N/A</v>
      </c>
      <c r="CK362" s="16" t="str">
        <f t="shared" ref="CK362:CK425" si="182">IF(CH362=1,M261,"")</f>
        <v/>
      </c>
    </row>
    <row r="363" spans="1:89" ht="12" customHeight="1">
      <c r="A363" s="211"/>
      <c r="B363" s="211"/>
      <c r="C363" s="211"/>
      <c r="D363" s="211"/>
      <c r="E363" s="211"/>
      <c r="F363" s="211"/>
      <c r="G363" s="211"/>
      <c r="H363" s="211"/>
      <c r="I363" s="211"/>
      <c r="J363" s="211"/>
      <c r="K363" s="211"/>
      <c r="L363" s="211"/>
      <c r="M363" s="211"/>
      <c r="N363" s="211"/>
      <c r="O363" s="211"/>
      <c r="AM363" s="34">
        <f t="shared" si="168"/>
        <v>0.19631290622055531</v>
      </c>
      <c r="AN363" s="34">
        <f t="shared" si="153"/>
        <v>0.61427333392202854</v>
      </c>
      <c r="AO363" s="16">
        <f t="shared" si="154"/>
        <v>32.900000000000198</v>
      </c>
      <c r="AP363" s="16" t="e">
        <f t="shared" si="155"/>
        <v>#N/A</v>
      </c>
      <c r="AQ363" s="16">
        <f t="shared" si="156"/>
        <v>8.501619643035991E-3</v>
      </c>
      <c r="AR363" s="34">
        <f t="shared" si="169"/>
        <v>0.87817909754812717</v>
      </c>
      <c r="AS363" s="34">
        <f t="shared" si="157"/>
        <v>0.39180953986942768</v>
      </c>
      <c r="AT363" s="540">
        <f t="shared" si="158"/>
        <v>73.300000000000111</v>
      </c>
      <c r="AU363" s="16" t="e">
        <f t="shared" si="159"/>
        <v>#N/A</v>
      </c>
      <c r="AV363" s="16">
        <f t="shared" si="160"/>
        <v>3.9649472348963471E-3</v>
      </c>
      <c r="AW363" s="34">
        <f t="shared" si="170"/>
        <v>6.2147455289959908E-2</v>
      </c>
      <c r="AX363" s="34">
        <f t="shared" si="161"/>
        <v>0.36081651784479618</v>
      </c>
      <c r="AY363" s="16">
        <f t="shared" si="162"/>
        <v>19.200000000000003</v>
      </c>
      <c r="AZ363" s="16" t="e">
        <f t="shared" si="163"/>
        <v>#N/A</v>
      </c>
      <c r="BA363" s="16">
        <f t="shared" si="171"/>
        <v>2.1987714257765702E-3</v>
      </c>
      <c r="BB363" s="34">
        <f t="shared" si="172"/>
        <v>0.51765326596796513</v>
      </c>
      <c r="BC363" s="34">
        <f t="shared" si="164"/>
        <v>0.38917210884392262</v>
      </c>
      <c r="BD363" s="16">
        <f t="shared" si="165"/>
        <v>50.800000000000452</v>
      </c>
      <c r="BE363" s="16" t="e">
        <f t="shared" si="166"/>
        <v>#N/A</v>
      </c>
      <c r="BF363" s="16">
        <f t="shared" si="167"/>
        <v>7.7566526236516513E-3</v>
      </c>
      <c r="BU363" s="16">
        <f t="shared" ref="BU363:BU426" si="183">IF($BY$12&lt;3,0,IF(BY363&lt;=$BX$13,0,NORMDIST(LN((BY363-$BX$13)/$BX$12),0,$BW$8,FALSE)/((BY363-$BX$13)/$BX$12)))</f>
        <v>0</v>
      </c>
      <c r="BV363" s="16">
        <f>IF($BY$12=1,NORMDIST(BY363,$Y$6,$Y$8,TRUE),IF($BY$12=2,IF(BY363&lt;=$BX$31,0,IF(BY363&gt;=$BX$32,1,(BY363-$BX$31)*$BX$33)),SUM($BU$42:BU363)/$BV$40))</f>
        <v>0.18539354398839702</v>
      </c>
      <c r="BW363" s="16">
        <f t="shared" ref="BW363:BW426" si="184">BY363*BZ363</f>
        <v>0.42898759497144429</v>
      </c>
      <c r="BX363" s="16">
        <f>IF($BY$12&lt;3,BV363,SUM($BZ$42:BZ363)/$BX$40)</f>
        <v>0.18539354398839702</v>
      </c>
      <c r="BY363" s="16">
        <f t="shared" si="174"/>
        <v>32.100000000000186</v>
      </c>
      <c r="BZ363" s="16">
        <f t="shared" si="175"/>
        <v>1.3364099531820616E-2</v>
      </c>
      <c r="CA363" s="16">
        <f t="shared" ref="CA363:CA426" si="185">IF(AND($CD$1,$CD$3),26-$CD$40*NORMDIST(BY363,$Y$6,$Y$8/SQRT($T$18),FALSE),-999)</f>
        <v>-999</v>
      </c>
      <c r="CB363" s="16" t="str">
        <f t="shared" si="176"/>
        <v/>
      </c>
      <c r="CC363" s="16" t="e">
        <f>IF(CB363="",NA(),COUNTIF(CB363:$CB$704,CB363))</f>
        <v>#N/A</v>
      </c>
      <c r="CD363" s="16" t="e">
        <f t="shared" si="177"/>
        <v>#N/A</v>
      </c>
      <c r="CE363" s="16" t="e">
        <f t="shared" si="178"/>
        <v>#N/A</v>
      </c>
      <c r="CF363" s="16">
        <f t="shared" si="179"/>
        <v>99</v>
      </c>
      <c r="CG363" s="16">
        <f t="shared" si="180"/>
        <v>0</v>
      </c>
      <c r="CH363" s="16">
        <f t="shared" si="173"/>
        <v>0</v>
      </c>
      <c r="CJ363" s="16" t="e">
        <f t="shared" si="181"/>
        <v>#N/A</v>
      </c>
      <c r="CK363" s="16" t="str">
        <f t="shared" si="182"/>
        <v/>
      </c>
    </row>
    <row r="364" spans="1:89" ht="12" customHeight="1">
      <c r="A364" s="211"/>
      <c r="B364" s="211"/>
      <c r="C364" s="211"/>
      <c r="D364" s="211"/>
      <c r="E364" s="211"/>
      <c r="F364" s="211"/>
      <c r="G364" s="211"/>
      <c r="H364" s="211"/>
      <c r="I364" s="211"/>
      <c r="J364" s="211"/>
      <c r="K364" s="211"/>
      <c r="L364" s="211"/>
      <c r="M364" s="211"/>
      <c r="N364" s="211"/>
      <c r="O364" s="211"/>
      <c r="AM364" s="34">
        <f t="shared" si="168"/>
        <v>0.32477362640202045</v>
      </c>
      <c r="AN364" s="34">
        <f t="shared" si="153"/>
        <v>0.48607734777033329</v>
      </c>
      <c r="AO364" s="16">
        <f t="shared" si="154"/>
        <v>40.900000000000311</v>
      </c>
      <c r="AP364" s="16" t="e">
        <f t="shared" si="155"/>
        <v>#N/A</v>
      </c>
      <c r="AQ364" s="16">
        <f t="shared" si="156"/>
        <v>8.742397418851534E-3</v>
      </c>
      <c r="AR364" s="34">
        <f t="shared" si="169"/>
        <v>0.49221829511225224</v>
      </c>
      <c r="AS364" s="34">
        <f t="shared" si="157"/>
        <v>0.34996035881340504</v>
      </c>
      <c r="AT364" s="540">
        <f t="shared" si="158"/>
        <v>49.600000000000435</v>
      </c>
      <c r="AU364" s="16" t="e">
        <f t="shared" si="159"/>
        <v>#N/A</v>
      </c>
      <c r="AV364" s="16">
        <f t="shared" si="160"/>
        <v>6.9793031795248994E-3</v>
      </c>
      <c r="AW364" s="34">
        <f t="shared" si="170"/>
        <v>0.86906269378960133</v>
      </c>
      <c r="AX364" s="34">
        <f t="shared" si="161"/>
        <v>0.23571103252470493</v>
      </c>
      <c r="AY364" s="16">
        <f t="shared" si="162"/>
        <v>72.400000000000162</v>
      </c>
      <c r="AZ364" s="16" t="e">
        <f t="shared" si="163"/>
        <v>#N/A</v>
      </c>
      <c r="BA364" s="16">
        <f t="shared" si="171"/>
        <v>2.5111374292830953E-3</v>
      </c>
      <c r="BB364" s="34">
        <f t="shared" si="172"/>
        <v>0.14767664112150669</v>
      </c>
      <c r="BC364" s="34">
        <f t="shared" si="164"/>
        <v>0.33101140148937702</v>
      </c>
      <c r="BD364" s="16">
        <f t="shared" si="165"/>
        <v>29.000000000000142</v>
      </c>
      <c r="BE364" s="16" t="e">
        <f t="shared" si="166"/>
        <v>#N/A</v>
      </c>
      <c r="BF364" s="16">
        <f t="shared" si="167"/>
        <v>3.804680478263333E-3</v>
      </c>
      <c r="BU364" s="16">
        <f t="shared" si="183"/>
        <v>0</v>
      </c>
      <c r="BV364" s="16">
        <f>IF($BY$12=1,NORMDIST(BY364,$Y$6,$Y$8,TRUE),IF($BY$12=2,IF(BY364&lt;=$BX$31,0,IF(BY364&gt;=$BX$32,1,(BY364-$BX$31)*$BX$33)),SUM($BU$42:BU364)/$BV$40))</f>
        <v>0.18673294303717514</v>
      </c>
      <c r="BW364" s="16">
        <f t="shared" si="184"/>
        <v>0.43224861689318</v>
      </c>
      <c r="BX364" s="16">
        <f>IF($BY$12&lt;3,BV364,SUM($BZ$42:BZ364)/$BX$40)</f>
        <v>0.18673294303717514</v>
      </c>
      <c r="BY364" s="16">
        <f t="shared" si="174"/>
        <v>32.200000000000188</v>
      </c>
      <c r="BZ364" s="16">
        <f t="shared" si="175"/>
        <v>1.3423870089850232E-2</v>
      </c>
      <c r="CA364" s="16">
        <f t="shared" si="185"/>
        <v>-999</v>
      </c>
      <c r="CB364" s="16" t="str">
        <f t="shared" si="176"/>
        <v/>
      </c>
      <c r="CC364" s="16" t="e">
        <f>IF(CB364="",NA(),COUNTIF(CB364:$CB$704,CB364))</f>
        <v>#N/A</v>
      </c>
      <c r="CD364" s="16" t="e">
        <f t="shared" si="177"/>
        <v>#N/A</v>
      </c>
      <c r="CE364" s="16" t="e">
        <f t="shared" si="178"/>
        <v>#N/A</v>
      </c>
      <c r="CF364" s="16">
        <f t="shared" si="179"/>
        <v>99</v>
      </c>
      <c r="CG364" s="16">
        <f t="shared" si="180"/>
        <v>0</v>
      </c>
      <c r="CH364" s="16">
        <f t="shared" si="173"/>
        <v>0</v>
      </c>
      <c r="CJ364" s="16" t="e">
        <f t="shared" si="181"/>
        <v>#N/A</v>
      </c>
      <c r="CK364" s="16" t="str">
        <f t="shared" si="182"/>
        <v/>
      </c>
    </row>
    <row r="365" spans="1:89" ht="12" customHeight="1">
      <c r="A365" s="211"/>
      <c r="B365" s="211"/>
      <c r="C365" s="211"/>
      <c r="D365" s="211"/>
      <c r="E365" s="211"/>
      <c r="F365" s="211"/>
      <c r="G365" s="211"/>
      <c r="H365" s="211"/>
      <c r="I365" s="211"/>
      <c r="J365" s="211"/>
      <c r="K365" s="211"/>
      <c r="L365" s="211"/>
      <c r="M365" s="211"/>
      <c r="N365" s="211"/>
      <c r="O365" s="211"/>
      <c r="AM365" s="34">
        <f t="shared" si="168"/>
        <v>0.79670885391533375</v>
      </c>
      <c r="AN365" s="34">
        <f t="shared" si="153"/>
        <v>0.89636843837797642</v>
      </c>
      <c r="AO365" s="16">
        <f t="shared" si="154"/>
        <v>66.500000000000497</v>
      </c>
      <c r="AP365" s="16" t="e">
        <f t="shared" si="155"/>
        <v>#N/A</v>
      </c>
      <c r="AQ365" s="16">
        <f t="shared" si="156"/>
        <v>1.2722450964541809E-2</v>
      </c>
      <c r="AR365" s="34">
        <f t="shared" si="169"/>
        <v>0.13761871494352818</v>
      </c>
      <c r="AS365" s="34">
        <f t="shared" si="157"/>
        <v>0.93847857601940632</v>
      </c>
      <c r="AT365" s="540">
        <f t="shared" si="158"/>
        <v>28.100000000000129</v>
      </c>
      <c r="AU365" s="16" t="e">
        <f t="shared" si="159"/>
        <v>#N/A</v>
      </c>
      <c r="AV365" s="16">
        <f t="shared" si="160"/>
        <v>1.027873009838747E-2</v>
      </c>
      <c r="AW365" s="34">
        <f t="shared" si="170"/>
        <v>0.38949047215282917</v>
      </c>
      <c r="AX365" s="34">
        <f t="shared" si="161"/>
        <v>0.78490442968904972</v>
      </c>
      <c r="AY365" s="16">
        <f t="shared" si="162"/>
        <v>44.30000000000036</v>
      </c>
      <c r="AZ365" s="16" t="e">
        <f t="shared" si="163"/>
        <v>#N/A</v>
      </c>
      <c r="BA365" s="16">
        <f t="shared" si="171"/>
        <v>1.5033464126196114E-2</v>
      </c>
      <c r="BB365" s="34">
        <f t="shared" si="172"/>
        <v>0.31804198957979679</v>
      </c>
      <c r="BC365" s="34">
        <f t="shared" si="164"/>
        <v>3.0343832448124886E-2</v>
      </c>
      <c r="BD365" s="16">
        <f t="shared" si="165"/>
        <v>40.500000000000306</v>
      </c>
      <c r="BE365" s="16" t="e">
        <f t="shared" si="166"/>
        <v>#N/A</v>
      </c>
      <c r="BF365" s="16">
        <f t="shared" si="167"/>
        <v>5.4070035602965375E-4</v>
      </c>
      <c r="BU365" s="16">
        <f t="shared" si="183"/>
        <v>0</v>
      </c>
      <c r="BV365" s="16">
        <f>IF($BY$12=1,NORMDIST(BY365,$Y$6,$Y$8,TRUE),IF($BY$12=2,IF(BY365&lt;=$BX$31,0,IF(BY365&gt;=$BX$32,1,(BY365-$BX$31)*$BX$33)),SUM($BU$42:BU365)/$BV$40))</f>
        <v>0.18807831568066591</v>
      </c>
      <c r="BW365" s="16">
        <f t="shared" si="184"/>
        <v>0.43551933931186915</v>
      </c>
      <c r="BX365" s="16">
        <f>IF($BY$12&lt;3,BV365,SUM($BZ$42:BZ365)/$BX$40)</f>
        <v>0.18807831568066591</v>
      </c>
      <c r="BY365" s="16">
        <f t="shared" si="174"/>
        <v>32.300000000000189</v>
      </c>
      <c r="BZ365" s="16">
        <f t="shared" si="175"/>
        <v>1.3483570876528378E-2</v>
      </c>
      <c r="CA365" s="16">
        <f t="shared" si="185"/>
        <v>-999</v>
      </c>
      <c r="CB365" s="16" t="str">
        <f t="shared" si="176"/>
        <v/>
      </c>
      <c r="CC365" s="16" t="e">
        <f>IF(CB365="",NA(),COUNTIF(CB365:$CB$704,CB365))</f>
        <v>#N/A</v>
      </c>
      <c r="CD365" s="16" t="e">
        <f t="shared" si="177"/>
        <v>#N/A</v>
      </c>
      <c r="CE365" s="16" t="e">
        <f t="shared" si="178"/>
        <v>#N/A</v>
      </c>
      <c r="CF365" s="16">
        <f t="shared" si="179"/>
        <v>99</v>
      </c>
      <c r="CG365" s="16">
        <f t="shared" si="180"/>
        <v>0</v>
      </c>
      <c r="CH365" s="16">
        <f t="shared" si="173"/>
        <v>0</v>
      </c>
      <c r="CJ365" s="16" t="e">
        <f t="shared" si="181"/>
        <v>#N/A</v>
      </c>
      <c r="CK365" s="16" t="str">
        <f t="shared" si="182"/>
        <v/>
      </c>
    </row>
    <row r="366" spans="1:89" ht="12" customHeight="1">
      <c r="A366" s="211"/>
      <c r="B366" s="211"/>
      <c r="C366" s="211"/>
      <c r="D366" s="211"/>
      <c r="E366" s="211"/>
      <c r="F366" s="211"/>
      <c r="G366" s="211"/>
      <c r="H366" s="211"/>
      <c r="I366" s="211"/>
      <c r="J366" s="211"/>
      <c r="K366" s="211"/>
      <c r="L366" s="211"/>
      <c r="M366" s="211"/>
      <c r="N366" s="211"/>
      <c r="O366" s="211"/>
      <c r="AM366" s="34">
        <f t="shared" si="168"/>
        <v>3.6569463089108467E-2</v>
      </c>
      <c r="AN366" s="34">
        <f t="shared" si="153"/>
        <v>0.10629410482943058</v>
      </c>
      <c r="AO366" s="16">
        <f t="shared" si="154"/>
        <v>14.099999999999966</v>
      </c>
      <c r="AP366" s="16" t="e">
        <f t="shared" si="155"/>
        <v>#N/A</v>
      </c>
      <c r="AQ366" s="16">
        <f t="shared" si="156"/>
        <v>4.2338494394026554E-4</v>
      </c>
      <c r="AR366" s="34">
        <f t="shared" si="169"/>
        <v>0.96041555143892765</v>
      </c>
      <c r="AS366" s="34">
        <f t="shared" si="157"/>
        <v>0.99979144521057606</v>
      </c>
      <c r="AT366" s="540">
        <f t="shared" si="158"/>
        <v>85.09999999999944</v>
      </c>
      <c r="AU366" s="16" t="e">
        <f t="shared" si="159"/>
        <v>#N/A</v>
      </c>
      <c r="AV366" s="16" t="e">
        <f t="shared" si="160"/>
        <v>#N/A</v>
      </c>
      <c r="AW366" s="34">
        <f t="shared" si="170"/>
        <v>0.50064808316528797</v>
      </c>
      <c r="AX366" s="34">
        <f t="shared" si="161"/>
        <v>0.34007796086370945</v>
      </c>
      <c r="AY366" s="16">
        <f t="shared" si="162"/>
        <v>50.000000000000441</v>
      </c>
      <c r="AZ366" s="16" t="e">
        <f t="shared" si="163"/>
        <v>#N/A</v>
      </c>
      <c r="BA366" s="16">
        <f t="shared" si="171"/>
        <v>6.7835738610618713E-3</v>
      </c>
      <c r="BB366" s="34">
        <f t="shared" si="172"/>
        <v>0.71895107068121433</v>
      </c>
      <c r="BC366" s="34">
        <f t="shared" si="164"/>
        <v>5.3176062181591988E-2</v>
      </c>
      <c r="BD366" s="16">
        <f t="shared" si="165"/>
        <v>61.500000000000604</v>
      </c>
      <c r="BE366" s="16" t="e">
        <f t="shared" si="166"/>
        <v>#N/A</v>
      </c>
      <c r="BF366" s="16">
        <f t="shared" si="167"/>
        <v>8.9908745343994251E-4</v>
      </c>
      <c r="BU366" s="16">
        <f t="shared" si="183"/>
        <v>0</v>
      </c>
      <c r="BV366" s="16">
        <f>IF($BY$12=1,NORMDIST(BY366,$Y$6,$Y$8,TRUE),IF($BY$12=2,IF(BY366&lt;=$BX$31,0,IF(BY366&gt;=$BX$32,1,(BY366-$BX$31)*$BX$33)),SUM($BU$42:BU366)/$BV$40))</f>
        <v>0.1894296547767147</v>
      </c>
      <c r="BW366" s="16">
        <f t="shared" si="184"/>
        <v>0.43879963431331381</v>
      </c>
      <c r="BX366" s="16">
        <f>IF($BY$12&lt;3,BV366,SUM($BZ$42:BZ366)/$BX$40)</f>
        <v>0.1894296547767147</v>
      </c>
      <c r="BY366" s="16">
        <f t="shared" si="174"/>
        <v>32.40000000000019</v>
      </c>
      <c r="BZ366" s="16">
        <f t="shared" si="175"/>
        <v>1.3543198589917014E-2</v>
      </c>
      <c r="CA366" s="16">
        <f t="shared" si="185"/>
        <v>-999</v>
      </c>
      <c r="CB366" s="16" t="str">
        <f t="shared" si="176"/>
        <v/>
      </c>
      <c r="CC366" s="16" t="e">
        <f>IF(CB366="",NA(),COUNTIF(CB366:$CB$704,CB366))</f>
        <v>#N/A</v>
      </c>
      <c r="CD366" s="16" t="e">
        <f t="shared" si="177"/>
        <v>#N/A</v>
      </c>
      <c r="CE366" s="16" t="e">
        <f t="shared" si="178"/>
        <v>#N/A</v>
      </c>
      <c r="CF366" s="16">
        <f t="shared" si="179"/>
        <v>99</v>
      </c>
      <c r="CG366" s="16">
        <f t="shared" si="180"/>
        <v>0</v>
      </c>
      <c r="CH366" s="16">
        <f t="shared" si="173"/>
        <v>0</v>
      </c>
      <c r="CJ366" s="16" t="e">
        <f t="shared" si="181"/>
        <v>#N/A</v>
      </c>
      <c r="CK366" s="16" t="str">
        <f t="shared" si="182"/>
        <v/>
      </c>
    </row>
    <row r="367" spans="1:89" ht="12" customHeight="1">
      <c r="A367" s="211"/>
      <c r="B367" s="211"/>
      <c r="C367" s="211"/>
      <c r="D367" s="211"/>
      <c r="E367" s="211"/>
      <c r="F367" s="211"/>
      <c r="G367" s="211"/>
      <c r="H367" s="211"/>
      <c r="I367" s="211"/>
      <c r="J367" s="211"/>
      <c r="K367" s="211"/>
      <c r="L367" s="211"/>
      <c r="M367" s="211"/>
      <c r="N367" s="211"/>
      <c r="O367" s="211"/>
      <c r="AM367" s="34">
        <f t="shared" si="168"/>
        <v>0.43011766858398914</v>
      </c>
      <c r="AN367" s="34">
        <f t="shared" si="153"/>
        <v>0.27736958302557468</v>
      </c>
      <c r="AO367" s="16">
        <f t="shared" si="154"/>
        <v>46.400000000000389</v>
      </c>
      <c r="AP367" s="16" t="e">
        <f t="shared" si="155"/>
        <v>#N/A</v>
      </c>
      <c r="AQ367" s="16">
        <f t="shared" si="156"/>
        <v>5.4438146898762065E-3</v>
      </c>
      <c r="AR367" s="34">
        <f t="shared" si="169"/>
        <v>0.44939454831182957</v>
      </c>
      <c r="AS367" s="34">
        <f t="shared" si="157"/>
        <v>0.32524742372334003</v>
      </c>
      <c r="AT367" s="540">
        <f t="shared" si="158"/>
        <v>47.400000000000404</v>
      </c>
      <c r="AU367" s="16" t="e">
        <f t="shared" si="159"/>
        <v>#N/A</v>
      </c>
      <c r="AV367" s="16">
        <f t="shared" si="160"/>
        <v>6.4331569494985716E-3</v>
      </c>
      <c r="AW367" s="34">
        <f t="shared" si="170"/>
        <v>2.9650585725903511E-2</v>
      </c>
      <c r="AX367" s="34">
        <f t="shared" si="161"/>
        <v>0.24271664954721928</v>
      </c>
      <c r="AY367" s="16">
        <f t="shared" si="162"/>
        <v>12.199999999999973</v>
      </c>
      <c r="AZ367" s="16" t="e">
        <f t="shared" si="163"/>
        <v>#N/A</v>
      </c>
      <c r="BA367" s="16">
        <f t="shared" si="171"/>
        <v>8.1153635357705031E-4</v>
      </c>
      <c r="BB367" s="34">
        <f t="shared" si="172"/>
        <v>0.31310472823679447</v>
      </c>
      <c r="BC367" s="34">
        <f t="shared" si="164"/>
        <v>0.35272941179573536</v>
      </c>
      <c r="BD367" s="16">
        <f t="shared" si="165"/>
        <v>40.200000000000301</v>
      </c>
      <c r="BE367" s="16" t="e">
        <f t="shared" si="166"/>
        <v>#N/A</v>
      </c>
      <c r="BF367" s="16">
        <f t="shared" si="167"/>
        <v>6.2400014665868761E-3</v>
      </c>
      <c r="BU367" s="16">
        <f t="shared" si="183"/>
        <v>0</v>
      </c>
      <c r="BV367" s="16">
        <f>IF($BY$12=1,NORMDIST(BY367,$Y$6,$Y$8,TRUE),IF($BY$12=2,IF(BY367&lt;=$BX$31,0,IF(BY367&gt;=$BX$32,1,(BY367-$BX$31)*$BX$33)),SUM($BU$42:BU367)/$BV$40))</f>
        <v>0.19078695285251324</v>
      </c>
      <c r="BW367" s="16">
        <f t="shared" si="184"/>
        <v>0.44208937236513945</v>
      </c>
      <c r="BX367" s="16">
        <f>IF($BY$12&lt;3,BV367,SUM($BZ$42:BZ367)/$BX$40)</f>
        <v>0.19078695285251324</v>
      </c>
      <c r="BY367" s="16">
        <f t="shared" si="174"/>
        <v>32.500000000000192</v>
      </c>
      <c r="BZ367" s="16">
        <f t="shared" si="175"/>
        <v>1.3602749918927287E-2</v>
      </c>
      <c r="CA367" s="16">
        <f t="shared" si="185"/>
        <v>-999</v>
      </c>
      <c r="CB367" s="16" t="str">
        <f t="shared" si="176"/>
        <v/>
      </c>
      <c r="CC367" s="16" t="e">
        <f>IF(CB367="",NA(),COUNTIF(CB367:$CB$704,CB367))</f>
        <v>#N/A</v>
      </c>
      <c r="CD367" s="16" t="e">
        <f t="shared" si="177"/>
        <v>#N/A</v>
      </c>
      <c r="CE367" s="16" t="e">
        <f t="shared" si="178"/>
        <v>#N/A</v>
      </c>
      <c r="CF367" s="16">
        <f t="shared" si="179"/>
        <v>99</v>
      </c>
      <c r="CG367" s="16">
        <f t="shared" si="180"/>
        <v>0</v>
      </c>
      <c r="CH367" s="16">
        <f t="shared" si="173"/>
        <v>0</v>
      </c>
      <c r="CJ367" s="16" t="e">
        <f t="shared" si="181"/>
        <v>#N/A</v>
      </c>
      <c r="CK367" s="16" t="str">
        <f t="shared" si="182"/>
        <v/>
      </c>
    </row>
    <row r="368" spans="1:89" ht="12" customHeight="1">
      <c r="A368" s="211"/>
      <c r="B368" s="211"/>
      <c r="C368" s="211"/>
      <c r="D368" s="211"/>
      <c r="E368" s="211"/>
      <c r="F368" s="211"/>
      <c r="G368" s="211"/>
      <c r="H368" s="211"/>
      <c r="I368" s="211"/>
      <c r="J368" s="211"/>
      <c r="K368" s="211"/>
      <c r="L368" s="211"/>
      <c r="M368" s="211"/>
      <c r="N368" s="211"/>
      <c r="O368" s="211"/>
      <c r="AM368" s="34">
        <f t="shared" si="168"/>
        <v>0.43606032617390156</v>
      </c>
      <c r="AN368" s="34">
        <f t="shared" si="153"/>
        <v>0.93052325583994389</v>
      </c>
      <c r="AO368" s="16">
        <f t="shared" si="154"/>
        <v>46.700000000000394</v>
      </c>
      <c r="AP368" s="16" t="e">
        <f t="shared" si="155"/>
        <v>#N/A</v>
      </c>
      <c r="AQ368" s="16">
        <f t="shared" si="156"/>
        <v>1.8310300344458519E-2</v>
      </c>
      <c r="AR368" s="34">
        <f t="shared" si="169"/>
        <v>0.46544990874826908</v>
      </c>
      <c r="AS368" s="34">
        <f t="shared" si="157"/>
        <v>0.13833150453865528</v>
      </c>
      <c r="AT368" s="540">
        <f t="shared" si="158"/>
        <v>48.200000000000415</v>
      </c>
      <c r="AU368" s="16" t="e">
        <f t="shared" si="159"/>
        <v>#N/A</v>
      </c>
      <c r="AV368" s="16">
        <f t="shared" si="160"/>
        <v>2.7481616700185283E-3</v>
      </c>
      <c r="AW368" s="34">
        <f t="shared" si="170"/>
        <v>0.65078863687813282</v>
      </c>
      <c r="AX368" s="34">
        <f t="shared" si="161"/>
        <v>0.82903360761702061</v>
      </c>
      <c r="AY368" s="16">
        <f t="shared" si="162"/>
        <v>57.70000000000055</v>
      </c>
      <c r="AZ368" s="16" t="e">
        <f t="shared" si="163"/>
        <v>#N/A</v>
      </c>
      <c r="BA368" s="16">
        <f t="shared" si="171"/>
        <v>1.5355556377165387E-2</v>
      </c>
      <c r="BB368" s="34">
        <f t="shared" si="172"/>
        <v>0.70343970693647861</v>
      </c>
      <c r="BC368" s="34">
        <f t="shared" si="164"/>
        <v>0.21408097632229328</v>
      </c>
      <c r="BD368" s="16">
        <f t="shared" si="165"/>
        <v>60.600000000000591</v>
      </c>
      <c r="BE368" s="16" t="e">
        <f t="shared" si="166"/>
        <v>#N/A</v>
      </c>
      <c r="BF368" s="16">
        <f t="shared" si="167"/>
        <v>3.7107482121494905E-3</v>
      </c>
      <c r="BU368" s="16">
        <f t="shared" si="183"/>
        <v>0</v>
      </c>
      <c r="BV368" s="16">
        <f>IF($BY$12=1,NORMDIST(BY368,$Y$6,$Y$8,TRUE),IF($BY$12=2,IF(BY368&lt;=$BX$31,0,IF(BY368&gt;=$BX$32,1,(BY368-$BX$31)*$BX$33)),SUM($BU$42:BU368)/$BV$40))</f>
        <v>0.19215020210369871</v>
      </c>
      <c r="BW368" s="16">
        <f t="shared" si="184"/>
        <v>0.44538842232171877</v>
      </c>
      <c r="BX368" s="16">
        <f>IF($BY$12&lt;3,BV368,SUM($BZ$42:BZ368)/$BX$40)</f>
        <v>0.19215020210369871</v>
      </c>
      <c r="BY368" s="16">
        <f t="shared" si="174"/>
        <v>32.600000000000193</v>
      </c>
      <c r="BZ368" s="16">
        <f t="shared" si="175"/>
        <v>1.3662221543610924E-2</v>
      </c>
      <c r="CA368" s="16">
        <f t="shared" si="185"/>
        <v>-999</v>
      </c>
      <c r="CB368" s="16" t="str">
        <f t="shared" si="176"/>
        <v/>
      </c>
      <c r="CC368" s="16" t="e">
        <f>IF(CB368="",NA(),COUNTIF(CB368:$CB$704,CB368))</f>
        <v>#N/A</v>
      </c>
      <c r="CD368" s="16" t="e">
        <f t="shared" si="177"/>
        <v>#N/A</v>
      </c>
      <c r="CE368" s="16" t="e">
        <f t="shared" si="178"/>
        <v>#N/A</v>
      </c>
      <c r="CF368" s="16">
        <f t="shared" si="179"/>
        <v>99</v>
      </c>
      <c r="CG368" s="16">
        <f t="shared" si="180"/>
        <v>0</v>
      </c>
      <c r="CH368" s="16">
        <f t="shared" si="173"/>
        <v>0</v>
      </c>
      <c r="CJ368" s="16" t="e">
        <f t="shared" si="181"/>
        <v>#N/A</v>
      </c>
      <c r="CK368" s="16" t="str">
        <f t="shared" si="182"/>
        <v/>
      </c>
    </row>
    <row r="369" spans="1:89" ht="12" customHeight="1">
      <c r="A369" s="211"/>
      <c r="B369" s="211"/>
      <c r="C369" s="211"/>
      <c r="D369" s="211"/>
      <c r="E369" s="211"/>
      <c r="F369" s="211"/>
      <c r="G369" s="211"/>
      <c r="H369" s="211"/>
      <c r="I369" s="211"/>
      <c r="J369" s="211"/>
      <c r="K369" s="211"/>
      <c r="L369" s="211"/>
      <c r="M369" s="211"/>
      <c r="N369" s="211"/>
      <c r="O369" s="211"/>
      <c r="AM369" s="34">
        <f t="shared" si="168"/>
        <v>0.65520176477730274</v>
      </c>
      <c r="AN369" s="34">
        <f t="shared" si="153"/>
        <v>0.16539596952497959</v>
      </c>
      <c r="AO369" s="16">
        <f t="shared" si="154"/>
        <v>57.900000000000553</v>
      </c>
      <c r="AP369" s="16" t="e">
        <f t="shared" si="155"/>
        <v>#N/A</v>
      </c>
      <c r="AQ369" s="16">
        <f t="shared" si="156"/>
        <v>3.0515788349472165E-3</v>
      </c>
      <c r="AR369" s="34">
        <f t="shared" si="169"/>
        <v>0.8436961118131876</v>
      </c>
      <c r="AS369" s="34">
        <f t="shared" si="157"/>
        <v>8.6181329563260078E-2</v>
      </c>
      <c r="AT369" s="540">
        <f t="shared" si="158"/>
        <v>70.100000000000293</v>
      </c>
      <c r="AU369" s="16" t="e">
        <f t="shared" si="159"/>
        <v>#N/A</v>
      </c>
      <c r="AV369" s="16">
        <f t="shared" si="160"/>
        <v>1.037454641423658E-3</v>
      </c>
      <c r="AW369" s="34">
        <f t="shared" si="170"/>
        <v>0.85360710509121418</v>
      </c>
      <c r="AX369" s="34">
        <f t="shared" si="161"/>
        <v>0.1478045079857111</v>
      </c>
      <c r="AY369" s="16">
        <f t="shared" si="162"/>
        <v>71.000000000000242</v>
      </c>
      <c r="AZ369" s="16" t="e">
        <f t="shared" si="163"/>
        <v>#N/A</v>
      </c>
      <c r="BA369" s="16">
        <f t="shared" si="171"/>
        <v>1.6988808349267324E-3</v>
      </c>
      <c r="BB369" s="34">
        <f t="shared" si="172"/>
        <v>0.54627562500536442</v>
      </c>
      <c r="BC369" s="34">
        <f t="shared" si="164"/>
        <v>0.35163676925003529</v>
      </c>
      <c r="BD369" s="16">
        <f t="shared" si="165"/>
        <v>52.300000000000473</v>
      </c>
      <c r="BE369" s="16" t="e">
        <f t="shared" si="166"/>
        <v>#N/A</v>
      </c>
      <c r="BF369" s="16">
        <f t="shared" si="167"/>
        <v>6.9679107472400154E-3</v>
      </c>
      <c r="BU369" s="16">
        <f t="shared" si="183"/>
        <v>0</v>
      </c>
      <c r="BV369" s="16">
        <f>IF($BY$12=1,NORMDIST(BY369,$Y$6,$Y$8,TRUE),IF($BY$12=2,IF(BY369&lt;=$BX$31,0,IF(BY369&gt;=$BX$32,1,(BY369-$BX$31)*$BX$33)),SUM($BU$42:BU369)/$BV$40))</f>
        <v>0.19351939439348331</v>
      </c>
      <c r="BW369" s="16">
        <f t="shared" si="184"/>
        <v>0.44869665142934773</v>
      </c>
      <c r="BX369" s="16">
        <f>IF($BY$12&lt;3,BV369,SUM($BZ$42:BZ369)/$BX$40)</f>
        <v>0.19351939439348331</v>
      </c>
      <c r="BY369" s="16">
        <f t="shared" si="174"/>
        <v>32.700000000000195</v>
      </c>
      <c r="BZ369" s="16">
        <f t="shared" si="175"/>
        <v>1.3721610135453977E-2</v>
      </c>
      <c r="CA369" s="16">
        <f t="shared" si="185"/>
        <v>-999</v>
      </c>
      <c r="CB369" s="16" t="str">
        <f t="shared" si="176"/>
        <v/>
      </c>
      <c r="CC369" s="16" t="e">
        <f>IF(CB369="",NA(),COUNTIF(CB369:$CB$704,CB369))</f>
        <v>#N/A</v>
      </c>
      <c r="CD369" s="16" t="e">
        <f t="shared" si="177"/>
        <v>#N/A</v>
      </c>
      <c r="CE369" s="16" t="e">
        <f t="shared" si="178"/>
        <v>#N/A</v>
      </c>
      <c r="CF369" s="16">
        <f t="shared" si="179"/>
        <v>99</v>
      </c>
      <c r="CG369" s="16">
        <f t="shared" si="180"/>
        <v>0</v>
      </c>
      <c r="CH369" s="16">
        <f t="shared" si="173"/>
        <v>0</v>
      </c>
      <c r="CJ369" s="16" t="e">
        <f t="shared" si="181"/>
        <v>#N/A</v>
      </c>
      <c r="CK369" s="16" t="str">
        <f t="shared" si="182"/>
        <v/>
      </c>
    </row>
    <row r="370" spans="1:89" ht="12" customHeight="1">
      <c r="A370" s="211"/>
      <c r="B370" s="211"/>
      <c r="C370" s="211"/>
      <c r="D370" s="211"/>
      <c r="E370" s="211"/>
      <c r="F370" s="211"/>
      <c r="G370" s="211"/>
      <c r="H370" s="211"/>
      <c r="I370" s="211"/>
      <c r="J370" s="211"/>
      <c r="K370" s="211"/>
      <c r="L370" s="211"/>
      <c r="M370" s="211"/>
      <c r="N370" s="211"/>
      <c r="O370" s="211"/>
      <c r="AM370" s="34">
        <f t="shared" si="168"/>
        <v>0.84539739973843098</v>
      </c>
      <c r="AN370" s="34">
        <f t="shared" si="153"/>
        <v>0.98755050636827946</v>
      </c>
      <c r="AO370" s="16">
        <f t="shared" si="154"/>
        <v>70.300000000000281</v>
      </c>
      <c r="AP370" s="16" t="e">
        <f t="shared" si="155"/>
        <v>#N/A</v>
      </c>
      <c r="AQ370" s="16" t="e">
        <f t="shared" si="156"/>
        <v>#N/A</v>
      </c>
      <c r="AR370" s="34">
        <f t="shared" si="169"/>
        <v>0.41598988510668278</v>
      </c>
      <c r="AS370" s="34">
        <f t="shared" si="157"/>
        <v>0.25893533416092396</v>
      </c>
      <c r="AT370" s="540">
        <f t="shared" si="158"/>
        <v>45.700000000000379</v>
      </c>
      <c r="AU370" s="16" t="e">
        <f t="shared" si="159"/>
        <v>#N/A</v>
      </c>
      <c r="AV370" s="16">
        <f t="shared" si="160"/>
        <v>5.0470052557183911E-3</v>
      </c>
      <c r="AW370" s="34">
        <f t="shared" si="170"/>
        <v>1.3157147914171219E-3</v>
      </c>
      <c r="AX370" s="34">
        <f t="shared" si="161"/>
        <v>0.16501846350729465</v>
      </c>
      <c r="AY370" s="16" t="e">
        <f t="shared" si="162"/>
        <v>#N/A</v>
      </c>
      <c r="AZ370" s="16" t="e">
        <f t="shared" si="163"/>
        <v>#N/A</v>
      </c>
      <c r="BA370" s="16" t="e">
        <f t="shared" si="171"/>
        <v>#N/A</v>
      </c>
      <c r="BB370" s="34">
        <f t="shared" si="172"/>
        <v>0.26377835310995579</v>
      </c>
      <c r="BC370" s="34">
        <f t="shared" si="164"/>
        <v>0.96021814830601215</v>
      </c>
      <c r="BD370" s="16">
        <f t="shared" si="165"/>
        <v>37.30000000000026</v>
      </c>
      <c r="BE370" s="16" t="e">
        <f t="shared" si="166"/>
        <v>#N/A</v>
      </c>
      <c r="BF370" s="16">
        <f t="shared" si="167"/>
        <v>1.5656359459837212E-2</v>
      </c>
      <c r="BU370" s="16">
        <f t="shared" si="183"/>
        <v>0</v>
      </c>
      <c r="BV370" s="16">
        <f>IF($BY$12=1,NORMDIST(BY370,$Y$6,$Y$8,TRUE),IF($BY$12=2,IF(BY370&lt;=$BX$31,0,IF(BY370&gt;=$BX$32,1,(BY370-$BX$31)*$BX$33)),SUM($BU$42:BU370)/$BV$40))</f>
        <v>0.19489452125181117</v>
      </c>
      <c r="BW370" s="16">
        <f t="shared" si="184"/>
        <v>0.45201392533167539</v>
      </c>
      <c r="BX370" s="16">
        <f>IF($BY$12&lt;3,BV370,SUM($BZ$42:BZ370)/$BX$40)</f>
        <v>0.19489452125181117</v>
      </c>
      <c r="BY370" s="16">
        <f t="shared" si="174"/>
        <v>32.800000000000196</v>
      </c>
      <c r="BZ370" s="16">
        <f t="shared" si="175"/>
        <v>1.3780912357672948E-2</v>
      </c>
      <c r="CA370" s="16">
        <f t="shared" si="185"/>
        <v>-999</v>
      </c>
      <c r="CB370" s="16" t="str">
        <f t="shared" si="176"/>
        <v/>
      </c>
      <c r="CC370" s="16" t="e">
        <f>IF(CB370="",NA(),COUNTIF(CB370:$CB$704,CB370))</f>
        <v>#N/A</v>
      </c>
      <c r="CD370" s="16" t="e">
        <f t="shared" si="177"/>
        <v>#N/A</v>
      </c>
      <c r="CE370" s="16" t="e">
        <f t="shared" si="178"/>
        <v>#N/A</v>
      </c>
      <c r="CF370" s="16">
        <f t="shared" si="179"/>
        <v>99</v>
      </c>
      <c r="CG370" s="16">
        <f t="shared" si="180"/>
        <v>0</v>
      </c>
      <c r="CH370" s="16">
        <f t="shared" si="173"/>
        <v>0</v>
      </c>
      <c r="CJ370" s="16" t="e">
        <f t="shared" si="181"/>
        <v>#N/A</v>
      </c>
      <c r="CK370" s="16" t="str">
        <f t="shared" si="182"/>
        <v/>
      </c>
    </row>
    <row r="371" spans="1:89" ht="12" customHeight="1">
      <c r="A371" s="211"/>
      <c r="B371" s="211"/>
      <c r="C371" s="211"/>
      <c r="D371" s="211"/>
      <c r="E371" s="211"/>
      <c r="F371" s="211"/>
      <c r="G371" s="211"/>
      <c r="H371" s="211"/>
      <c r="I371" s="211"/>
      <c r="J371" s="211"/>
      <c r="K371" s="211"/>
      <c r="L371" s="211"/>
      <c r="M371" s="211"/>
      <c r="N371" s="211"/>
      <c r="O371" s="211"/>
      <c r="AM371" s="34">
        <f t="shared" si="168"/>
        <v>0.90183937735855579</v>
      </c>
      <c r="AN371" s="34">
        <f t="shared" ref="AN371:AN434" si="186">MOD(AM371*10000013,1)</f>
        <v>0.49749746359884739</v>
      </c>
      <c r="AO371" s="16">
        <f t="shared" ref="AO371:AO434" si="187">IF(VLOOKUP(AM371,$BX$42:$BY$4042,2)&gt;=$AO$112,NA(),VLOOKUP(AM371,$BX$42:$BY$4042,2))</f>
        <v>75.799999999999969</v>
      </c>
      <c r="AP371" s="16" t="e">
        <f t="shared" ref="AP371:AP434" si="188">IF(AND(AO371&lt;100,$P$16),AO371+AM372+$AU$113,NA())</f>
        <v>#N/A</v>
      </c>
      <c r="AQ371" s="16">
        <f t="shared" ref="AQ371:AQ434" si="189">IF(AN371*VLOOKUP(AO371,$BY$42:$BZ$1042,2)&lt;VLOOKUP(AO371,$BY$42:$BZ$1042,2)-$BZ$40/$CB$40,AN371*VLOOKUP(AO371,$BY$42:$BZ$1042,2),NA())</f>
        <v>4.318333878251983E-3</v>
      </c>
      <c r="AR371" s="34">
        <f t="shared" si="169"/>
        <v>0.70776858367025852</v>
      </c>
      <c r="AS371" s="34">
        <f t="shared" ref="AS371:AS434" si="190">MOD(AR371*10000013,1)</f>
        <v>3.7694172933697701E-2</v>
      </c>
      <c r="AT371" s="540">
        <f t="shared" ref="AT371:AT434" si="191">IF(VLOOKUP(AR371,$BX$42:$BY$4042,2)&gt;=$AO$112,NA(),VLOOKUP(AR371,$BX$42:$BY$4042,2))</f>
        <v>60.900000000000595</v>
      </c>
      <c r="AU371" s="16" t="e">
        <f t="shared" ref="AU371:AU434" si="192">IF(AND(AT371&lt;100,$P$16),AT371+AR372+$AU$113,NA())</f>
        <v>#N/A</v>
      </c>
      <c r="AV371" s="16">
        <f t="shared" ref="AV371:AV434" si="193">IF(AS371*VLOOKUP(AT371,$BY$42:$BZ$1042,2)&lt;VLOOKUP(AT371,$BY$42:$BZ$1042,2)-$BZ$40/$CB$40,AS371*VLOOKUP(AT371,$BY$42:$BZ$1042,2),NA())</f>
        <v>6.4812105400306611E-4</v>
      </c>
      <c r="AW371" s="34">
        <f t="shared" si="170"/>
        <v>0.78031297214329243</v>
      </c>
      <c r="AX371" s="34">
        <f t="shared" ref="AX371:AX434" si="194">MOD(AW371*10000013,1)</f>
        <v>0.86550156213343143</v>
      </c>
      <c r="AY371" s="16">
        <f t="shared" ref="AY371:AY434" si="195">IF(VLOOKUP(AW371,$BX$42:$BY$4042,2)&gt;=$AO$112,NA(),VLOOKUP(AW371,$BX$42:$BY$4042,2))</f>
        <v>65.40000000000056</v>
      </c>
      <c r="AZ371" s="16" t="e">
        <f t="shared" ref="AZ371:AZ434" si="196">IF(AND(AY371&lt;100,$P$16),AY371+AW372+$AU$113,NA())</f>
        <v>#N/A</v>
      </c>
      <c r="BA371" s="16">
        <f t="shared" si="171"/>
        <v>1.2835161188386218E-2</v>
      </c>
      <c r="BB371" s="34">
        <f t="shared" si="172"/>
        <v>0.96589604951441288</v>
      </c>
      <c r="BC371" s="34">
        <f t="shared" ref="BC371:BC434" si="197">MOD(BB371*10000013,1)</f>
        <v>5.1792772486805916E-2</v>
      </c>
      <c r="BD371" s="16">
        <f t="shared" ref="BD371:BD434" si="198">IF(VLOOKUP(BB371,$BX$42:$BY$4042,2)&gt;=$AO$112,NA(),VLOOKUP(BB371,$BX$42:$BY$4042,2))</f>
        <v>86.399999999999366</v>
      </c>
      <c r="BE371" s="16" t="e">
        <f t="shared" ref="BE371:BE434" si="199">IF(AND(BD371&lt;100,$P$16),BD371+BB372+$AU$113,NA())</f>
        <v>#N/A</v>
      </c>
      <c r="BF371" s="16">
        <f t="shared" ref="BF371:BF434" si="200">IF(BC371*VLOOKUP(BD371,$BY$42:$BZ$1042,2)&lt;VLOOKUP(BD371,$BY$42:$BZ$1042,2)-$BZ$40/$CB$40,BC371*VLOOKUP(BD371,$BY$42:$BZ$1042,2),NA())</f>
        <v>1.9718356254742431E-4</v>
      </c>
      <c r="BU371" s="16">
        <f t="shared" si="183"/>
        <v>0</v>
      </c>
      <c r="BV371" s="16">
        <f>IF($BY$12=1,NORMDIST(BY371,$Y$6,$Y$8,TRUE),IF($BY$12=2,IF(BY371&lt;=$BX$31,0,IF(BY371&gt;=$BX$32,1,(BY371-$BX$31)*$BX$33)),SUM($BU$42:BU371)/$BV$40))</f>
        <v>0.19627557387454719</v>
      </c>
      <c r="BW371" s="16">
        <f t="shared" si="184"/>
        <v>0.45534010807538866</v>
      </c>
      <c r="BX371" s="16">
        <f>IF($BY$12&lt;3,BV371,SUM($BZ$42:BZ371)/$BX$40)</f>
        <v>0.19627557387454719</v>
      </c>
      <c r="BY371" s="16">
        <f t="shared" si="174"/>
        <v>32.900000000000198</v>
      </c>
      <c r="BZ371" s="16">
        <f t="shared" si="175"/>
        <v>1.384012486551325E-2</v>
      </c>
      <c r="CA371" s="16">
        <f t="shared" si="185"/>
        <v>-999</v>
      </c>
      <c r="CB371" s="16" t="str">
        <f t="shared" si="176"/>
        <v/>
      </c>
      <c r="CC371" s="16" t="e">
        <f>IF(CB371="",NA(),COUNTIF(CB371:$CB$704,CB371))</f>
        <v>#N/A</v>
      </c>
      <c r="CD371" s="16" t="e">
        <f t="shared" si="177"/>
        <v>#N/A</v>
      </c>
      <c r="CE371" s="16" t="e">
        <f t="shared" si="178"/>
        <v>#N/A</v>
      </c>
      <c r="CF371" s="16">
        <f t="shared" si="179"/>
        <v>99</v>
      </c>
      <c r="CG371" s="16">
        <f t="shared" si="180"/>
        <v>0</v>
      </c>
      <c r="CH371" s="16">
        <f t="shared" si="173"/>
        <v>0</v>
      </c>
      <c r="CJ371" s="16" t="e">
        <f t="shared" si="181"/>
        <v>#N/A</v>
      </c>
      <c r="CK371" s="16" t="str">
        <f t="shared" si="182"/>
        <v/>
      </c>
    </row>
    <row r="372" spans="1:89" ht="12" customHeight="1">
      <c r="A372" s="211"/>
      <c r="B372" s="211"/>
      <c r="C372" s="211"/>
      <c r="D372" s="211"/>
      <c r="E372" s="211"/>
      <c r="F372" s="211"/>
      <c r="G372" s="211"/>
      <c r="H372" s="211"/>
      <c r="I372" s="211"/>
      <c r="J372" s="211"/>
      <c r="K372" s="211"/>
      <c r="L372" s="211"/>
      <c r="M372" s="211"/>
      <c r="N372" s="211"/>
      <c r="O372" s="211"/>
      <c r="AM372" s="34">
        <f t="shared" ref="AM372:AM435" si="201">MOD(AN371*10000013,1)</f>
        <v>0.10345550067722797</v>
      </c>
      <c r="AN372" s="34">
        <f t="shared" si="186"/>
        <v>0.35169378854334354</v>
      </c>
      <c r="AO372" s="16">
        <f t="shared" si="187"/>
        <v>24.700000000000081</v>
      </c>
      <c r="AP372" s="16" t="e">
        <f t="shared" si="188"/>
        <v>#N/A</v>
      </c>
      <c r="AQ372" s="16">
        <f t="shared" si="189"/>
        <v>3.1518121442983904E-3</v>
      </c>
      <c r="AR372" s="34">
        <f t="shared" ref="AR372:AR435" si="202">MOD(AS371*10000013,1)</f>
        <v>0.21936122514307499</v>
      </c>
      <c r="AS372" s="34">
        <f t="shared" si="190"/>
        <v>0.10312667675316334</v>
      </c>
      <c r="AT372" s="540">
        <f t="shared" si="191"/>
        <v>34.50000000000022</v>
      </c>
      <c r="AU372" s="16" t="e">
        <f t="shared" si="192"/>
        <v>#N/A</v>
      </c>
      <c r="AV372" s="16">
        <f t="shared" si="193"/>
        <v>1.5234458828056869E-3</v>
      </c>
      <c r="AW372" s="34">
        <f t="shared" ref="AW372:AW435" si="203">MOD(AX371*10000013,1)</f>
        <v>0.87285462208092213</v>
      </c>
      <c r="AX372" s="34">
        <f t="shared" si="194"/>
        <v>0.56791930831968784</v>
      </c>
      <c r="AY372" s="16">
        <f t="shared" si="195"/>
        <v>72.700000000000145</v>
      </c>
      <c r="AZ372" s="16" t="e">
        <f t="shared" si="196"/>
        <v>#N/A</v>
      </c>
      <c r="BA372" s="16">
        <f t="shared" ref="BA372:BA435" si="204">IF(AX372*VLOOKUP(AY372,$BY$42:$BZ$1042,2)&lt;VLOOKUP(AY372,$BY$42:$BZ$1042,2)-$BZ$40/$CB$40,AX372*VLOOKUP(AY372,$BY$42:$BZ$1042,2),NA())</f>
        <v>5.9488387893254216E-3</v>
      </c>
      <c r="BB372" s="34">
        <f t="shared" ref="BB372:BB435" si="205">MOD(BC371*10000013,1)</f>
        <v>0.3981741014868021</v>
      </c>
      <c r="BC372" s="34">
        <f t="shared" si="197"/>
        <v>0.19113134033977985</v>
      </c>
      <c r="BD372" s="16">
        <f t="shared" si="198"/>
        <v>44.800000000000367</v>
      </c>
      <c r="BE372" s="16" t="e">
        <f t="shared" si="199"/>
        <v>#N/A</v>
      </c>
      <c r="BF372" s="16">
        <f t="shared" si="200"/>
        <v>3.6858089650197152E-3</v>
      </c>
      <c r="BU372" s="16">
        <f t="shared" si="183"/>
        <v>0</v>
      </c>
      <c r="BV372" s="16">
        <f>IF($BY$12=1,NORMDIST(BY372,$Y$6,$Y$8,TRUE),IF($BY$12=2,IF(BY372&lt;=$BX$31,0,IF(BY372&gt;=$BX$32,1,(BY372-$BX$31)*$BX$33)),SUM($BU$42:BU372)/$BV$40))</f>
        <v>0.19766254312269504</v>
      </c>
      <c r="BW372" s="16">
        <f t="shared" si="184"/>
        <v>0.45867506211615083</v>
      </c>
      <c r="BX372" s="16">
        <f>IF($BY$12&lt;3,BV372,SUM($BZ$42:BZ372)/$BX$40)</f>
        <v>0.19766254312269504</v>
      </c>
      <c r="BY372" s="16">
        <f t="shared" si="174"/>
        <v>33.000000000000199</v>
      </c>
      <c r="BZ372" s="16">
        <f t="shared" si="175"/>
        <v>1.3899244306549942E-2</v>
      </c>
      <c r="CA372" s="16">
        <f t="shared" si="185"/>
        <v>-999</v>
      </c>
      <c r="CB372" s="16" t="str">
        <f t="shared" si="176"/>
        <v/>
      </c>
      <c r="CC372" s="16" t="e">
        <f>IF(CB372="",NA(),COUNTIF(CB372:$CB$704,CB372))</f>
        <v>#N/A</v>
      </c>
      <c r="CD372" s="16" t="e">
        <f t="shared" si="177"/>
        <v>#N/A</v>
      </c>
      <c r="CE372" s="16" t="e">
        <f t="shared" si="178"/>
        <v>#N/A</v>
      </c>
      <c r="CF372" s="16">
        <f t="shared" si="179"/>
        <v>99</v>
      </c>
      <c r="CG372" s="16">
        <f t="shared" si="180"/>
        <v>0</v>
      </c>
      <c r="CH372" s="16">
        <f t="shared" si="173"/>
        <v>0</v>
      </c>
      <c r="CJ372" s="16" t="e">
        <f t="shared" si="181"/>
        <v>#N/A</v>
      </c>
      <c r="CK372" s="16" t="str">
        <f t="shared" si="182"/>
        <v/>
      </c>
    </row>
    <row r="373" spans="1:89" ht="12" customHeight="1">
      <c r="A373" s="211"/>
      <c r="B373" s="211"/>
      <c r="C373" s="211"/>
      <c r="D373" s="211"/>
      <c r="E373" s="211"/>
      <c r="F373" s="211"/>
      <c r="G373" s="211"/>
      <c r="H373" s="211"/>
      <c r="I373" s="211"/>
      <c r="J373" s="211"/>
      <c r="K373" s="211"/>
      <c r="L373" s="211"/>
      <c r="M373" s="211"/>
      <c r="N373" s="211"/>
      <c r="O373" s="211"/>
      <c r="AM373" s="34">
        <f t="shared" si="201"/>
        <v>0.45745268650352955</v>
      </c>
      <c r="AN373" s="34">
        <f t="shared" si="186"/>
        <v>0.81192022003233433</v>
      </c>
      <c r="AO373" s="16">
        <f t="shared" si="187"/>
        <v>47.800000000000409</v>
      </c>
      <c r="AP373" s="16" t="e">
        <f t="shared" si="188"/>
        <v>#N/A</v>
      </c>
      <c r="AQ373" s="16">
        <f t="shared" si="189"/>
        <v>1.6097778440127407E-2</v>
      </c>
      <c r="AR373" s="34">
        <f t="shared" si="202"/>
        <v>0.10817843116819859</v>
      </c>
      <c r="AS373" s="34">
        <f t="shared" si="190"/>
        <v>0.71800159104168415</v>
      </c>
      <c r="AT373" s="540">
        <f t="shared" si="191"/>
        <v>25.200000000000088</v>
      </c>
      <c r="AU373" s="16" t="e">
        <f t="shared" si="192"/>
        <v>#N/A</v>
      </c>
      <c r="AV373" s="16">
        <f t="shared" si="193"/>
        <v>6.6392630987288431E-3</v>
      </c>
      <c r="AW373" s="34">
        <f t="shared" si="203"/>
        <v>0.4661478865891695</v>
      </c>
      <c r="AX373" s="34">
        <f t="shared" si="194"/>
        <v>0.92581422068178654</v>
      </c>
      <c r="AY373" s="16">
        <f t="shared" si="195"/>
        <v>48.300000000000416</v>
      </c>
      <c r="AZ373" s="16" t="e">
        <f t="shared" si="196"/>
        <v>#N/A</v>
      </c>
      <c r="BA373" s="16">
        <f t="shared" si="204"/>
        <v>1.8400728977009433E-2</v>
      </c>
      <c r="BB373" s="34">
        <f t="shared" si="205"/>
        <v>0.88810522295534611</v>
      </c>
      <c r="BC373" s="34">
        <f t="shared" si="197"/>
        <v>0.7749213594943285</v>
      </c>
      <c r="BD373" s="16">
        <f t="shared" si="198"/>
        <v>74.300000000000054</v>
      </c>
      <c r="BE373" s="16" t="e">
        <f t="shared" si="199"/>
        <v>#N/A</v>
      </c>
      <c r="BF373" s="16">
        <f t="shared" si="200"/>
        <v>7.3888953578659855E-3</v>
      </c>
      <c r="BU373" s="16">
        <f t="shared" si="183"/>
        <v>0</v>
      </c>
      <c r="BV373" s="16">
        <f>IF($BY$12=1,NORMDIST(BY373,$Y$6,$Y$8,TRUE),IF($BY$12=2,IF(BY373&lt;=$BX$31,0,IF(BY373&gt;=$BX$32,1,(BY373-$BX$31)*$BX$33)),SUM($BU$42:BU373)/$BV$40))</f>
        <v>0.19905541952164507</v>
      </c>
      <c r="BW373" s="16">
        <f t="shared" si="184"/>
        <v>0.4620186483247955</v>
      </c>
      <c r="BX373" s="16">
        <f>IF($BY$12&lt;3,BV373,SUM($BZ$42:BZ373)/$BX$40)</f>
        <v>0.19905541952164507</v>
      </c>
      <c r="BY373" s="16">
        <f t="shared" si="174"/>
        <v>33.1000000000002</v>
      </c>
      <c r="BZ373" s="16">
        <f t="shared" si="175"/>
        <v>1.3958267320990717E-2</v>
      </c>
      <c r="CA373" s="16">
        <f t="shared" si="185"/>
        <v>-999</v>
      </c>
      <c r="CB373" s="16" t="str">
        <f t="shared" si="176"/>
        <v/>
      </c>
      <c r="CC373" s="16" t="e">
        <f>IF(CB373="",NA(),COUNTIF(CB373:$CB$704,CB373))</f>
        <v>#N/A</v>
      </c>
      <c r="CD373" s="16" t="e">
        <f t="shared" si="177"/>
        <v>#N/A</v>
      </c>
      <c r="CE373" s="16" t="e">
        <f t="shared" si="178"/>
        <v>#N/A</v>
      </c>
      <c r="CF373" s="16">
        <f t="shared" si="179"/>
        <v>99</v>
      </c>
      <c r="CG373" s="16">
        <f t="shared" si="180"/>
        <v>0</v>
      </c>
      <c r="CH373" s="16">
        <f t="shared" si="173"/>
        <v>0</v>
      </c>
      <c r="CJ373" s="16" t="e">
        <f t="shared" si="181"/>
        <v>#N/A</v>
      </c>
      <c r="CK373" s="16" t="str">
        <f t="shared" si="182"/>
        <v/>
      </c>
    </row>
    <row r="374" spans="1:89" ht="12" customHeight="1">
      <c r="A374" s="211"/>
      <c r="B374" s="211"/>
      <c r="C374" s="211"/>
      <c r="D374" s="211"/>
      <c r="E374" s="211"/>
      <c r="F374" s="211"/>
      <c r="G374" s="211"/>
      <c r="H374" s="211"/>
      <c r="I374" s="211"/>
      <c r="J374" s="211"/>
      <c r="K374" s="211"/>
      <c r="L374" s="211"/>
      <c r="M374" s="211"/>
      <c r="N374" s="211"/>
      <c r="O374" s="211"/>
      <c r="AM374" s="34">
        <f t="shared" si="201"/>
        <v>0.7552862036973238</v>
      </c>
      <c r="AN374" s="34">
        <f t="shared" si="186"/>
        <v>0.8556938860565424</v>
      </c>
      <c r="AO374" s="16">
        <f t="shared" si="187"/>
        <v>63.800000000000637</v>
      </c>
      <c r="AP374" s="16" t="e">
        <f t="shared" si="188"/>
        <v>#N/A</v>
      </c>
      <c r="AQ374" s="16">
        <f t="shared" si="189"/>
        <v>1.3452862325056835E-2</v>
      </c>
      <c r="AR374" s="34">
        <f t="shared" si="202"/>
        <v>0.24443752504885197</v>
      </c>
      <c r="AS374" s="34">
        <f t="shared" si="190"/>
        <v>0.42817634530365467</v>
      </c>
      <c r="AT374" s="540">
        <f t="shared" si="191"/>
        <v>36.100000000000243</v>
      </c>
      <c r="AU374" s="16" t="e">
        <f t="shared" si="192"/>
        <v>#N/A</v>
      </c>
      <c r="AV374" s="16">
        <f t="shared" si="193"/>
        <v>6.7083419942432741E-3</v>
      </c>
      <c r="AW374" s="34">
        <f t="shared" si="203"/>
        <v>0.24240273423492908</v>
      </c>
      <c r="AX374" s="34">
        <f t="shared" si="194"/>
        <v>0.49358483590185642</v>
      </c>
      <c r="AY374" s="16">
        <f t="shared" si="195"/>
        <v>36.000000000000242</v>
      </c>
      <c r="AZ374" s="16" t="e">
        <f t="shared" si="196"/>
        <v>#N/A</v>
      </c>
      <c r="BA374" s="16">
        <f t="shared" si="204"/>
        <v>7.7061903230271683E-3</v>
      </c>
      <c r="BB374" s="34">
        <f t="shared" si="205"/>
        <v>0.66892095841467381</v>
      </c>
      <c r="BC374" s="34">
        <f t="shared" si="197"/>
        <v>0.28011919744312763</v>
      </c>
      <c r="BD374" s="16">
        <f t="shared" si="198"/>
        <v>58.700000000000564</v>
      </c>
      <c r="BE374" s="16" t="e">
        <f t="shared" si="199"/>
        <v>#N/A</v>
      </c>
      <c r="BF374" s="16">
        <f t="shared" si="200"/>
        <v>5.0831538775132261E-3</v>
      </c>
      <c r="BU374" s="16">
        <f t="shared" si="183"/>
        <v>0</v>
      </c>
      <c r="BV374" s="16">
        <f>IF($BY$12=1,NORMDIST(BY374,$Y$6,$Y$8,TRUE),IF($BY$12=2,IF(BY374&lt;=$BX$31,0,IF(BY374&gt;=$BX$32,1,(BY374-$BX$31)*$BX$33)),SUM($BU$42:BU374)/$BV$40))</f>
        <v>0.20045419326045255</v>
      </c>
      <c r="BW374" s="16">
        <f t="shared" si="184"/>
        <v>0.46537072599377688</v>
      </c>
      <c r="BX374" s="16">
        <f>IF($BY$12&lt;3,BV374,SUM($BZ$42:BZ374)/$BX$40)</f>
        <v>0.20045419326045255</v>
      </c>
      <c r="BY374" s="16">
        <f t="shared" si="174"/>
        <v>33.200000000000202</v>
      </c>
      <c r="BZ374" s="16">
        <f t="shared" si="175"/>
        <v>1.4017190541981146E-2</v>
      </c>
      <c r="CA374" s="16">
        <f t="shared" si="185"/>
        <v>-999</v>
      </c>
      <c r="CB374" s="16" t="str">
        <f t="shared" si="176"/>
        <v/>
      </c>
      <c r="CC374" s="16" t="e">
        <f>IF(CB374="",NA(),COUNTIF(CB374:$CB$704,CB374))</f>
        <v>#N/A</v>
      </c>
      <c r="CD374" s="16" t="e">
        <f t="shared" si="177"/>
        <v>#N/A</v>
      </c>
      <c r="CE374" s="16" t="e">
        <f t="shared" si="178"/>
        <v>#N/A</v>
      </c>
      <c r="CF374" s="16">
        <f t="shared" si="179"/>
        <v>99</v>
      </c>
      <c r="CG374" s="16">
        <f t="shared" si="180"/>
        <v>0</v>
      </c>
      <c r="CH374" s="16">
        <f t="shared" si="173"/>
        <v>0</v>
      </c>
      <c r="CJ374" s="16" t="e">
        <f t="shared" si="181"/>
        <v>#N/A</v>
      </c>
      <c r="CK374" s="16" t="str">
        <f t="shared" si="182"/>
        <v/>
      </c>
    </row>
    <row r="375" spans="1:89" ht="12" customHeight="1">
      <c r="A375" s="211"/>
      <c r="B375" s="211"/>
      <c r="C375" s="211"/>
      <c r="D375" s="211"/>
      <c r="E375" s="211"/>
      <c r="F375" s="211"/>
      <c r="G375" s="211"/>
      <c r="H375" s="211"/>
      <c r="I375" s="211"/>
      <c r="J375" s="211"/>
      <c r="K375" s="211"/>
      <c r="L375" s="211"/>
      <c r="M375" s="211"/>
      <c r="N375" s="211"/>
      <c r="O375" s="211"/>
      <c r="AM375" s="34">
        <f t="shared" si="201"/>
        <v>0.98458594270050526</v>
      </c>
      <c r="AN375" s="34">
        <f t="shared" si="186"/>
        <v>0.22662230767309666</v>
      </c>
      <c r="AO375" s="16">
        <f t="shared" si="187"/>
        <v>93.099999999998985</v>
      </c>
      <c r="AP375" s="16" t="e">
        <f t="shared" si="188"/>
        <v>#N/A</v>
      </c>
      <c r="AQ375" s="16">
        <f t="shared" si="189"/>
        <v>4.4334877427432682E-4</v>
      </c>
      <c r="AR375" s="34">
        <f t="shared" si="202"/>
        <v>1.932903565466404E-2</v>
      </c>
      <c r="AS375" s="34">
        <f t="shared" si="190"/>
        <v>0.60782410390675068</v>
      </c>
      <c r="AT375" s="540">
        <f t="shared" si="191"/>
        <v>8.5999999999999854</v>
      </c>
      <c r="AU375" s="16" t="e">
        <f t="shared" si="192"/>
        <v>#N/A</v>
      </c>
      <c r="AV375" s="16">
        <f t="shared" si="193"/>
        <v>1.4229963165105172E-3</v>
      </c>
      <c r="AW375" s="34">
        <f t="shared" si="203"/>
        <v>0.77562143094837666</v>
      </c>
      <c r="AX375" s="34">
        <f t="shared" si="194"/>
        <v>0.39256236888468266</v>
      </c>
      <c r="AY375" s="16">
        <f t="shared" si="195"/>
        <v>65.100000000000577</v>
      </c>
      <c r="AZ375" s="16" t="e">
        <f t="shared" si="196"/>
        <v>#N/A</v>
      </c>
      <c r="BA375" s="16">
        <f t="shared" si="204"/>
        <v>5.8885637325096721E-3</v>
      </c>
      <c r="BB375" s="34">
        <f t="shared" si="205"/>
        <v>0.61598084308207035</v>
      </c>
      <c r="BC375" s="34">
        <f t="shared" si="197"/>
        <v>0.43857166357338428</v>
      </c>
      <c r="BD375" s="16">
        <f t="shared" si="198"/>
        <v>55.800000000000523</v>
      </c>
      <c r="BE375" s="16" t="e">
        <f t="shared" si="199"/>
        <v>#N/A</v>
      </c>
      <c r="BF375" s="16">
        <f t="shared" si="200"/>
        <v>8.3880025798348089E-3</v>
      </c>
      <c r="BU375" s="16">
        <f t="shared" si="183"/>
        <v>0</v>
      </c>
      <c r="BV375" s="16">
        <f>IF($BY$12=1,NORMDIST(BY375,$Y$6,$Y$8,TRUE),IF($BY$12=2,IF(BY375&lt;=$BX$31,0,IF(BY375&gt;=$BX$32,1,(BY375-$BX$31)*$BX$33)),SUM($BU$42:BU375)/$BV$40))</f>
        <v>0.20185885419114658</v>
      </c>
      <c r="BW375" s="16">
        <f t="shared" si="184"/>
        <v>0.46873115284387462</v>
      </c>
      <c r="BX375" s="16">
        <f>IF($BY$12&lt;3,BV375,SUM($BZ$42:BZ375)/$BX$40)</f>
        <v>0.20185885419114658</v>
      </c>
      <c r="BY375" s="16">
        <f t="shared" si="174"/>
        <v>33.300000000000203</v>
      </c>
      <c r="BZ375" s="16">
        <f t="shared" si="175"/>
        <v>1.4076010595912064E-2</v>
      </c>
      <c r="CA375" s="16">
        <f t="shared" si="185"/>
        <v>-999</v>
      </c>
      <c r="CB375" s="16" t="str">
        <f t="shared" si="176"/>
        <v/>
      </c>
      <c r="CC375" s="16" t="e">
        <f>IF(CB375="",NA(),COUNTIF(CB375:$CB$704,CB375))</f>
        <v>#N/A</v>
      </c>
      <c r="CD375" s="16" t="e">
        <f t="shared" si="177"/>
        <v>#N/A</v>
      </c>
      <c r="CE375" s="16" t="e">
        <f t="shared" si="178"/>
        <v>#N/A</v>
      </c>
      <c r="CF375" s="16">
        <f t="shared" si="179"/>
        <v>99</v>
      </c>
      <c r="CG375" s="16">
        <f t="shared" si="180"/>
        <v>0</v>
      </c>
      <c r="CH375" s="16">
        <f t="shared" si="173"/>
        <v>0</v>
      </c>
      <c r="CJ375" s="16" t="e">
        <f t="shared" si="181"/>
        <v>#N/A</v>
      </c>
      <c r="CK375" s="16" t="str">
        <f t="shared" si="182"/>
        <v/>
      </c>
    </row>
    <row r="376" spans="1:89" ht="12" customHeight="1">
      <c r="A376" s="211"/>
      <c r="B376" s="211"/>
      <c r="C376" s="211"/>
      <c r="D376" s="211"/>
      <c r="E376" s="211"/>
      <c r="F376" s="211"/>
      <c r="G376" s="211"/>
      <c r="H376" s="211"/>
      <c r="I376" s="211"/>
      <c r="J376" s="211"/>
      <c r="K376" s="211"/>
      <c r="L376" s="211"/>
      <c r="M376" s="211"/>
      <c r="N376" s="211"/>
      <c r="O376" s="211"/>
      <c r="AM376" s="34">
        <f t="shared" si="201"/>
        <v>2.2820966318249702E-2</v>
      </c>
      <c r="AN376" s="34">
        <f t="shared" si="186"/>
        <v>0.95985505916178226</v>
      </c>
      <c r="AO376" s="16">
        <f t="shared" si="187"/>
        <v>9.9999999999999805</v>
      </c>
      <c r="AP376" s="16" t="e">
        <f t="shared" si="188"/>
        <v>#N/A</v>
      </c>
      <c r="AQ376" s="16" t="e">
        <f t="shared" si="189"/>
        <v>#N/A</v>
      </c>
      <c r="AR376" s="34">
        <f t="shared" si="202"/>
        <v>0.94078085757791996</v>
      </c>
      <c r="AS376" s="34">
        <f t="shared" si="190"/>
        <v>0.80593034811317921</v>
      </c>
      <c r="AT376" s="540">
        <f t="shared" si="191"/>
        <v>81.199999999999662</v>
      </c>
      <c r="AU376" s="16" t="e">
        <f t="shared" si="192"/>
        <v>#N/A</v>
      </c>
      <c r="AV376" s="16">
        <f t="shared" si="193"/>
        <v>4.7613274969741633E-3</v>
      </c>
      <c r="AW376" s="34">
        <f t="shared" si="203"/>
        <v>0.79215762205421925</v>
      </c>
      <c r="AX376" s="34">
        <f t="shared" si="194"/>
        <v>0.51859127916395664</v>
      </c>
      <c r="AY376" s="16">
        <f t="shared" si="195"/>
        <v>66.200000000000514</v>
      </c>
      <c r="AZ376" s="16" t="e">
        <f t="shared" si="196"/>
        <v>#N/A</v>
      </c>
      <c r="BA376" s="16">
        <f t="shared" si="204"/>
        <v>7.4513501942032644E-3</v>
      </c>
      <c r="BB376" s="34">
        <f t="shared" si="205"/>
        <v>0.33716546930372715</v>
      </c>
      <c r="BC376" s="34">
        <f t="shared" si="197"/>
        <v>7.6188372448086739E-2</v>
      </c>
      <c r="BD376" s="16">
        <f t="shared" si="198"/>
        <v>41.50000000000032</v>
      </c>
      <c r="BE376" s="16" t="e">
        <f t="shared" si="199"/>
        <v>#N/A</v>
      </c>
      <c r="BF376" s="16">
        <f t="shared" si="200"/>
        <v>1.3885021160492392E-3</v>
      </c>
      <c r="BU376" s="16">
        <f t="shared" si="183"/>
        <v>0</v>
      </c>
      <c r="BV376" s="16">
        <f>IF($BY$12=1,NORMDIST(BY376,$Y$6,$Y$8,TRUE),IF($BY$12=2,IF(BY376&lt;=$BX$31,0,IF(BY376&gt;=$BX$32,1,(BY376-$BX$31)*$BX$33)),SUM($BU$42:BU376)/$BV$40))</f>
        <v>0.20326939182807136</v>
      </c>
      <c r="BW376" s="16">
        <f t="shared" si="184"/>
        <v>0.47209978503115591</v>
      </c>
      <c r="BX376" s="16">
        <f>IF($BY$12&lt;3,BV376,SUM($BZ$42:BZ376)/$BX$40)</f>
        <v>0.20326939182807136</v>
      </c>
      <c r="BY376" s="16">
        <f t="shared" si="174"/>
        <v>33.400000000000205</v>
      </c>
      <c r="BZ376" s="16">
        <f t="shared" si="175"/>
        <v>1.4134724102729132E-2</v>
      </c>
      <c r="CA376" s="16">
        <f t="shared" si="185"/>
        <v>-999</v>
      </c>
      <c r="CB376" s="16" t="str">
        <f t="shared" si="176"/>
        <v/>
      </c>
      <c r="CC376" s="16" t="e">
        <f>IF(CB376="",NA(),COUNTIF(CB376:$CB$704,CB376))</f>
        <v>#N/A</v>
      </c>
      <c r="CD376" s="16" t="e">
        <f t="shared" si="177"/>
        <v>#N/A</v>
      </c>
      <c r="CE376" s="16" t="e">
        <f t="shared" si="178"/>
        <v>#N/A</v>
      </c>
      <c r="CF376" s="16">
        <f t="shared" si="179"/>
        <v>99</v>
      </c>
      <c r="CG376" s="16">
        <f t="shared" si="180"/>
        <v>0</v>
      </c>
      <c r="CH376" s="16">
        <f t="shared" si="173"/>
        <v>0</v>
      </c>
      <c r="CJ376" s="16" t="e">
        <f t="shared" si="181"/>
        <v>#N/A</v>
      </c>
      <c r="CK376" s="16" t="str">
        <f t="shared" si="182"/>
        <v/>
      </c>
    </row>
    <row r="377" spans="1:89" ht="12" customHeight="1">
      <c r="A377" s="211"/>
      <c r="B377" s="211"/>
      <c r="C377" s="211"/>
      <c r="D377" s="211"/>
      <c r="E377" s="211"/>
      <c r="F377" s="211"/>
      <c r="G377" s="211"/>
      <c r="H377" s="211"/>
      <c r="I377" s="211"/>
      <c r="J377" s="211"/>
      <c r="K377" s="211"/>
      <c r="L377" s="211"/>
      <c r="M377" s="211"/>
      <c r="N377" s="211"/>
      <c r="O377" s="211"/>
      <c r="AM377" s="34">
        <f t="shared" si="201"/>
        <v>6.9733591750264168E-2</v>
      </c>
      <c r="AN377" s="34">
        <f t="shared" si="186"/>
        <v>0.82403933443129063</v>
      </c>
      <c r="AO377" s="16">
        <f t="shared" si="187"/>
        <v>20.40000000000002</v>
      </c>
      <c r="AP377" s="16" t="e">
        <f t="shared" si="188"/>
        <v>#N/A</v>
      </c>
      <c r="AQ377" s="16">
        <f t="shared" si="189"/>
        <v>5.4977969528710521E-3</v>
      </c>
      <c r="AR377" s="34">
        <f t="shared" si="202"/>
        <v>0.95822631753981113</v>
      </c>
      <c r="AS377" s="34">
        <f t="shared" si="190"/>
        <v>0.63234023936092854</v>
      </c>
      <c r="AT377" s="540">
        <f t="shared" si="191"/>
        <v>84.599999999999469</v>
      </c>
      <c r="AU377" s="16" t="e">
        <f t="shared" si="192"/>
        <v>#N/A</v>
      </c>
      <c r="AV377" s="16">
        <f t="shared" si="193"/>
        <v>2.8244306259463028E-3</v>
      </c>
      <c r="AW377" s="34">
        <f t="shared" si="203"/>
        <v>0.53332619555294514</v>
      </c>
      <c r="AX377" s="34">
        <f t="shared" si="194"/>
        <v>0.88876999355852604</v>
      </c>
      <c r="AY377" s="16">
        <f t="shared" si="195"/>
        <v>51.600000000000463</v>
      </c>
      <c r="AZ377" s="16" t="e">
        <f t="shared" si="196"/>
        <v>#N/A</v>
      </c>
      <c r="BA377" s="16">
        <f t="shared" si="204"/>
        <v>1.7671756203299287E-2</v>
      </c>
      <c r="BB377" s="34">
        <f t="shared" si="205"/>
        <v>0.71492970921099186</v>
      </c>
      <c r="BC377" s="34">
        <f t="shared" si="197"/>
        <v>0.38619613833725452</v>
      </c>
      <c r="BD377" s="16">
        <f t="shared" si="198"/>
        <v>61.300000000000601</v>
      </c>
      <c r="BE377" s="16" t="e">
        <f t="shared" si="199"/>
        <v>#N/A</v>
      </c>
      <c r="BF377" s="16">
        <f t="shared" si="200"/>
        <v>6.5670325517157438E-3</v>
      </c>
      <c r="BU377" s="16">
        <f t="shared" si="183"/>
        <v>0</v>
      </c>
      <c r="BV377" s="16">
        <f>IF($BY$12=1,NORMDIST(BY377,$Y$6,$Y$8,TRUE),IF($BY$12=2,IF(BY377&lt;=$BX$31,0,IF(BY377&gt;=$BX$32,1,(BY377-$BX$31)*$BX$33)),SUM($BU$42:BU377)/$BV$40))</f>
        <v>0.20468579534725551</v>
      </c>
      <c r="BW377" s="16">
        <f t="shared" si="184"/>
        <v>0.47547647715419322</v>
      </c>
      <c r="BX377" s="16">
        <f>IF($BY$12&lt;3,BV377,SUM($BZ$42:BZ377)/$BX$40)</f>
        <v>0.20468579534725551</v>
      </c>
      <c r="BY377" s="16">
        <f t="shared" si="174"/>
        <v>33.500000000000206</v>
      </c>
      <c r="BZ377" s="16">
        <f t="shared" si="175"/>
        <v>1.4193327676244486E-2</v>
      </c>
      <c r="CA377" s="16">
        <f t="shared" si="185"/>
        <v>-999</v>
      </c>
      <c r="CB377" s="16" t="str">
        <f t="shared" si="176"/>
        <v/>
      </c>
      <c r="CC377" s="16" t="e">
        <f>IF(CB377="",NA(),COUNTIF(CB377:$CB$704,CB377))</f>
        <v>#N/A</v>
      </c>
      <c r="CD377" s="16" t="e">
        <f t="shared" si="177"/>
        <v>#N/A</v>
      </c>
      <c r="CE377" s="16" t="e">
        <f t="shared" si="178"/>
        <v>#N/A</v>
      </c>
      <c r="CF377" s="16">
        <f t="shared" si="179"/>
        <v>99</v>
      </c>
      <c r="CG377" s="16">
        <f t="shared" si="180"/>
        <v>0</v>
      </c>
      <c r="CH377" s="16">
        <f t="shared" si="173"/>
        <v>0</v>
      </c>
      <c r="CJ377" s="16" t="e">
        <f t="shared" si="181"/>
        <v>#N/A</v>
      </c>
      <c r="CK377" s="16" t="str">
        <f t="shared" si="182"/>
        <v/>
      </c>
    </row>
    <row r="378" spans="1:89" ht="12" customHeight="1">
      <c r="A378" s="211"/>
      <c r="B378" s="211"/>
      <c r="C378" s="211"/>
      <c r="D378" s="211"/>
      <c r="E378" s="211"/>
      <c r="F378" s="211"/>
      <c r="G378" s="211"/>
      <c r="H378" s="211"/>
      <c r="I378" s="211"/>
      <c r="J378" s="211"/>
      <c r="K378" s="211"/>
      <c r="L378" s="211"/>
      <c r="M378" s="211"/>
      <c r="N378" s="211"/>
      <c r="O378" s="211"/>
      <c r="AM378" s="34">
        <f t="shared" si="201"/>
        <v>5.6824253872036934E-2</v>
      </c>
      <c r="AN378" s="34">
        <f t="shared" si="186"/>
        <v>0.2774356696754694</v>
      </c>
      <c r="AO378" s="16">
        <f t="shared" si="187"/>
        <v>18.29999999999999</v>
      </c>
      <c r="AP378" s="16" t="e">
        <f t="shared" si="188"/>
        <v>#N/A</v>
      </c>
      <c r="AQ378" s="16">
        <f t="shared" si="189"/>
        <v>1.5758672861022288E-3</v>
      </c>
      <c r="AR378" s="34">
        <f t="shared" si="202"/>
        <v>0.61403239704668522</v>
      </c>
      <c r="AS378" s="34">
        <f t="shared" si="190"/>
        <v>0.9528880137950182</v>
      </c>
      <c r="AT378" s="540">
        <f t="shared" si="191"/>
        <v>55.700000000000522</v>
      </c>
      <c r="AU378" s="16" t="e">
        <f t="shared" si="192"/>
        <v>#N/A</v>
      </c>
      <c r="AV378" s="16">
        <f t="shared" si="193"/>
        <v>1.8250894287021178E-2</v>
      </c>
      <c r="AW378" s="34">
        <f t="shared" si="203"/>
        <v>0.48959517665207386</v>
      </c>
      <c r="AX378" s="34">
        <f t="shared" si="194"/>
        <v>0.13125803507864475</v>
      </c>
      <c r="AY378" s="16">
        <f t="shared" si="195"/>
        <v>49.400000000000432</v>
      </c>
      <c r="AZ378" s="16" t="e">
        <f t="shared" si="196"/>
        <v>#N/A</v>
      </c>
      <c r="BA378" s="16">
        <f t="shared" si="204"/>
        <v>2.61704105827291E-3</v>
      </c>
      <c r="BB378" s="34">
        <f t="shared" si="205"/>
        <v>0.40392234362661839</v>
      </c>
      <c r="BC378" s="34">
        <f t="shared" si="197"/>
        <v>0.68725665099918842</v>
      </c>
      <c r="BD378" s="16">
        <f t="shared" si="198"/>
        <v>45.100000000000371</v>
      </c>
      <c r="BE378" s="16" t="e">
        <f t="shared" si="199"/>
        <v>#N/A</v>
      </c>
      <c r="BF378" s="16">
        <f t="shared" si="200"/>
        <v>1.3303464605249725E-2</v>
      </c>
      <c r="BU378" s="16">
        <f t="shared" si="183"/>
        <v>0</v>
      </c>
      <c r="BV378" s="16">
        <f>IF($BY$12=1,NORMDIST(BY378,$Y$6,$Y$8,TRUE),IF($BY$12=2,IF(BY378&lt;=$BX$31,0,IF(BY378&gt;=$BX$32,1,(BY378-$BX$31)*$BX$33)),SUM($BU$42:BU378)/$BV$40))</f>
        <v>0.20610805358581608</v>
      </c>
      <c r="BW378" s="16">
        <f t="shared" si="184"/>
        <v>0.47886108226153906</v>
      </c>
      <c r="BX378" s="16">
        <f>IF($BY$12&lt;3,BV378,SUM($BZ$42:BZ378)/$BX$40)</f>
        <v>0.20610805358581608</v>
      </c>
      <c r="BY378" s="16">
        <f t="shared" si="174"/>
        <v>33.600000000000207</v>
      </c>
      <c r="BZ378" s="16">
        <f t="shared" si="175"/>
        <v>1.425181792445048E-2</v>
      </c>
      <c r="CA378" s="16">
        <f t="shared" si="185"/>
        <v>-999</v>
      </c>
      <c r="CB378" s="16" t="str">
        <f t="shared" si="176"/>
        <v/>
      </c>
      <c r="CC378" s="16" t="e">
        <f>IF(CB378="",NA(),COUNTIF(CB378:$CB$704,CB378))</f>
        <v>#N/A</v>
      </c>
      <c r="CD378" s="16" t="e">
        <f t="shared" si="177"/>
        <v>#N/A</v>
      </c>
      <c r="CE378" s="16" t="e">
        <f t="shared" si="178"/>
        <v>#N/A</v>
      </c>
      <c r="CF378" s="16">
        <f t="shared" si="179"/>
        <v>99</v>
      </c>
      <c r="CG378" s="16">
        <f t="shared" si="180"/>
        <v>0</v>
      </c>
      <c r="CH378" s="16">
        <f t="shared" si="173"/>
        <v>0</v>
      </c>
      <c r="CJ378" s="16" t="e">
        <f t="shared" si="181"/>
        <v>#N/A</v>
      </c>
      <c r="CK378" s="16" t="str">
        <f t="shared" si="182"/>
        <v/>
      </c>
    </row>
    <row r="379" spans="1:89" ht="12" customHeight="1">
      <c r="A379" s="211"/>
      <c r="B379" s="211"/>
      <c r="C379" s="211"/>
      <c r="D379" s="211"/>
      <c r="E379" s="211"/>
      <c r="F379" s="211"/>
      <c r="G379" s="211"/>
      <c r="H379" s="211"/>
      <c r="I379" s="211"/>
      <c r="J379" s="211"/>
      <c r="K379" s="211"/>
      <c r="L379" s="211"/>
      <c r="M379" s="211"/>
      <c r="N379" s="211"/>
      <c r="O379" s="211"/>
      <c r="AM379" s="34">
        <f t="shared" si="201"/>
        <v>0.30341839976608753</v>
      </c>
      <c r="AN379" s="34">
        <f t="shared" si="186"/>
        <v>0.94210007227957249</v>
      </c>
      <c r="AO379" s="16">
        <f t="shared" si="187"/>
        <v>39.700000000000294</v>
      </c>
      <c r="AP379" s="16" t="e">
        <f t="shared" si="188"/>
        <v>#N/A</v>
      </c>
      <c r="AQ379" s="16">
        <f t="shared" si="189"/>
        <v>1.6458271803385723E-2</v>
      </c>
      <c r="AR379" s="34">
        <f t="shared" si="202"/>
        <v>0.52549436129629612</v>
      </c>
      <c r="AS379" s="34">
        <f t="shared" si="190"/>
        <v>0.44438965804874897</v>
      </c>
      <c r="AT379" s="540">
        <f t="shared" si="191"/>
        <v>51.200000000000458</v>
      </c>
      <c r="AU379" s="16" t="e">
        <f t="shared" si="192"/>
        <v>#N/A</v>
      </c>
      <c r="AV379" s="16">
        <f t="shared" si="193"/>
        <v>8.8483498058573307E-3</v>
      </c>
      <c r="AW379" s="34">
        <f t="shared" si="203"/>
        <v>5.7140903547406197E-2</v>
      </c>
      <c r="AX379" s="34">
        <f t="shared" si="194"/>
        <v>0.77830580808222294</v>
      </c>
      <c r="AY379" s="16">
        <f t="shared" si="195"/>
        <v>18.399999999999991</v>
      </c>
      <c r="AZ379" s="16" t="e">
        <f t="shared" si="196"/>
        <v>#N/A</v>
      </c>
      <c r="BA379" s="16">
        <f t="shared" si="204"/>
        <v>4.4559875547551002E-3</v>
      </c>
      <c r="BB379" s="34">
        <f t="shared" si="205"/>
        <v>0.44432834722101688</v>
      </c>
      <c r="BC379" s="34">
        <f t="shared" si="197"/>
        <v>0.24847868271172047</v>
      </c>
      <c r="BD379" s="16">
        <f t="shared" si="198"/>
        <v>47.100000000000399</v>
      </c>
      <c r="BE379" s="16" t="e">
        <f t="shared" si="199"/>
        <v>#N/A</v>
      </c>
      <c r="BF379" s="16">
        <f t="shared" si="200"/>
        <v>4.9046010348191074E-3</v>
      </c>
      <c r="BU379" s="16">
        <f t="shared" si="183"/>
        <v>0</v>
      </c>
      <c r="BV379" s="16">
        <f>IF($BY$12=1,NORMDIST(BY379,$Y$6,$Y$8,TRUE),IF($BY$12=2,IF(BY379&lt;=$BX$31,0,IF(BY379&gt;=$BX$32,1,(BY379-$BX$31)*$BX$33)),SUM($BU$42:BU379)/$BV$40))</f>
        <v>0.20753615504139078</v>
      </c>
      <c r="BW379" s="16">
        <f t="shared" si="184"/>
        <v>0.48225345185945823</v>
      </c>
      <c r="BX379" s="16">
        <f>IF($BY$12&lt;3,BV379,SUM($BZ$42:BZ379)/$BX$40)</f>
        <v>0.20753615504139078</v>
      </c>
      <c r="BY379" s="16">
        <f t="shared" si="174"/>
        <v>33.700000000000209</v>
      </c>
      <c r="BZ379" s="16">
        <f t="shared" si="175"/>
        <v>1.4310191449835467E-2</v>
      </c>
      <c r="CA379" s="16">
        <f t="shared" si="185"/>
        <v>-999</v>
      </c>
      <c r="CB379" s="16" t="str">
        <f t="shared" si="176"/>
        <v/>
      </c>
      <c r="CC379" s="16" t="e">
        <f>IF(CB379="",NA(),COUNTIF(CB379:$CB$704,CB379))</f>
        <v>#N/A</v>
      </c>
      <c r="CD379" s="16" t="e">
        <f t="shared" si="177"/>
        <v>#N/A</v>
      </c>
      <c r="CE379" s="16" t="e">
        <f t="shared" si="178"/>
        <v>#N/A</v>
      </c>
      <c r="CF379" s="16">
        <f t="shared" si="179"/>
        <v>99</v>
      </c>
      <c r="CG379" s="16">
        <f t="shared" si="180"/>
        <v>0</v>
      </c>
      <c r="CH379" s="16">
        <f t="shared" si="173"/>
        <v>0</v>
      </c>
      <c r="CJ379" s="16" t="e">
        <f t="shared" si="181"/>
        <v>#N/A</v>
      </c>
      <c r="CK379" s="16" t="str">
        <f t="shared" si="182"/>
        <v/>
      </c>
    </row>
    <row r="380" spans="1:89" ht="12" customHeight="1">
      <c r="A380" s="211"/>
      <c r="B380" s="211"/>
      <c r="C380" s="211"/>
      <c r="D380" s="211"/>
      <c r="E380" s="211"/>
      <c r="F380" s="211"/>
      <c r="G380" s="211"/>
      <c r="H380" s="211"/>
      <c r="I380" s="211"/>
      <c r="J380" s="211"/>
      <c r="K380" s="211"/>
      <c r="L380" s="211"/>
      <c r="M380" s="211"/>
      <c r="N380" s="211"/>
      <c r="O380" s="211"/>
      <c r="AM380" s="34">
        <f t="shared" si="201"/>
        <v>0.97009666450321674</v>
      </c>
      <c r="AN380" s="34">
        <f t="shared" si="186"/>
        <v>0.25628880597651005</v>
      </c>
      <c r="AO380" s="16">
        <f t="shared" si="187"/>
        <v>87.599999999999298</v>
      </c>
      <c r="AP380" s="16" t="e">
        <f t="shared" si="188"/>
        <v>#N/A</v>
      </c>
      <c r="AQ380" s="16">
        <f t="shared" si="189"/>
        <v>8.7322165955096233E-4</v>
      </c>
      <c r="AR380" s="34">
        <f t="shared" si="202"/>
        <v>0.35755304433405399</v>
      </c>
      <c r="AS380" s="34">
        <f t="shared" si="190"/>
        <v>9.1530116274952888E-2</v>
      </c>
      <c r="AT380" s="540">
        <f t="shared" si="191"/>
        <v>42.600000000000335</v>
      </c>
      <c r="AU380" s="16" t="e">
        <f t="shared" si="192"/>
        <v>#N/A</v>
      </c>
      <c r="AV380" s="16">
        <f t="shared" si="193"/>
        <v>1.7049695493977415E-3</v>
      </c>
      <c r="AW380" s="34">
        <f t="shared" si="203"/>
        <v>0.19879773445427418</v>
      </c>
      <c r="AX380" s="34">
        <f t="shared" si="194"/>
        <v>0.928913289681077</v>
      </c>
      <c r="AY380" s="16">
        <f t="shared" si="195"/>
        <v>33.000000000000199</v>
      </c>
      <c r="AZ380" s="16" t="e">
        <f t="shared" si="196"/>
        <v>#N/A</v>
      </c>
      <c r="BA380" s="16">
        <f t="shared" si="204"/>
        <v>1.2911192752878286E-2</v>
      </c>
      <c r="BB380" s="34">
        <f t="shared" si="205"/>
        <v>5.7340079918503761E-2</v>
      </c>
      <c r="BC380" s="34">
        <f t="shared" si="197"/>
        <v>0.54460607655346394</v>
      </c>
      <c r="BD380" s="16">
        <f t="shared" si="198"/>
        <v>18.399999999999991</v>
      </c>
      <c r="BE380" s="16" t="e">
        <f t="shared" si="199"/>
        <v>#N/A</v>
      </c>
      <c r="BF380" s="16">
        <f t="shared" si="200"/>
        <v>3.1180005007875617E-3</v>
      </c>
      <c r="BU380" s="16">
        <f t="shared" si="183"/>
        <v>0</v>
      </c>
      <c r="BV380" s="16">
        <f>IF($BY$12=1,NORMDIST(BY380,$Y$6,$Y$8,TRUE),IF($BY$12=2,IF(BY380&lt;=$BX$31,0,IF(BY380&gt;=$BX$32,1,(BY380-$BX$31)*$BX$33)),SUM($BU$42:BU380)/$BV$40))</f>
        <v>0.20897008787160454</v>
      </c>
      <c r="BW380" s="16">
        <f t="shared" si="184"/>
        <v>0.485653435919915</v>
      </c>
      <c r="BX380" s="16">
        <f>IF($BY$12&lt;3,BV380,SUM($BZ$42:BZ380)/$BX$40)</f>
        <v>0.20897008787160454</v>
      </c>
      <c r="BY380" s="16">
        <f t="shared" si="174"/>
        <v>33.80000000000021</v>
      </c>
      <c r="BZ380" s="16">
        <f t="shared" si="175"/>
        <v>1.4368444849701538E-2</v>
      </c>
      <c r="CA380" s="16">
        <f t="shared" si="185"/>
        <v>-999</v>
      </c>
      <c r="CB380" s="16" t="str">
        <f t="shared" si="176"/>
        <v/>
      </c>
      <c r="CC380" s="16" t="e">
        <f>IF(CB380="",NA(),COUNTIF(CB380:$CB$704,CB380))</f>
        <v>#N/A</v>
      </c>
      <c r="CD380" s="16" t="e">
        <f t="shared" si="177"/>
        <v>#N/A</v>
      </c>
      <c r="CE380" s="16" t="e">
        <f t="shared" si="178"/>
        <v>#N/A</v>
      </c>
      <c r="CF380" s="16">
        <f t="shared" si="179"/>
        <v>99</v>
      </c>
      <c r="CG380" s="16">
        <f t="shared" si="180"/>
        <v>0</v>
      </c>
      <c r="CH380" s="16">
        <f t="shared" si="173"/>
        <v>0</v>
      </c>
      <c r="CJ380" s="16" t="e">
        <f t="shared" si="181"/>
        <v>#N/A</v>
      </c>
      <c r="CK380" s="16" t="str">
        <f t="shared" si="182"/>
        <v/>
      </c>
    </row>
    <row r="381" spans="1:89" ht="12" customHeight="1">
      <c r="A381" s="211"/>
      <c r="B381" s="211"/>
      <c r="C381" s="211"/>
      <c r="D381" s="211"/>
      <c r="E381" s="211"/>
      <c r="F381" s="211"/>
      <c r="G381" s="211"/>
      <c r="H381" s="211"/>
      <c r="I381" s="211"/>
      <c r="J381" s="211"/>
      <c r="K381" s="211"/>
      <c r="L381" s="211"/>
      <c r="M381" s="211"/>
      <c r="N381" s="211"/>
      <c r="O381" s="211"/>
      <c r="AM381" s="34">
        <f t="shared" si="201"/>
        <v>0.3915195781737566</v>
      </c>
      <c r="AN381" s="34">
        <f t="shared" si="186"/>
        <v>0.87149208225309849</v>
      </c>
      <c r="AO381" s="16">
        <f t="shared" si="187"/>
        <v>44.400000000000361</v>
      </c>
      <c r="AP381" s="16" t="e">
        <f t="shared" si="188"/>
        <v>#N/A</v>
      </c>
      <c r="AQ381" s="16">
        <f t="shared" si="189"/>
        <v>1.6715492315711351E-2</v>
      </c>
      <c r="AR381" s="34">
        <f t="shared" si="202"/>
        <v>0.35264104045927525</v>
      </c>
      <c r="AS381" s="34">
        <f t="shared" si="190"/>
        <v>0.98892627842724323</v>
      </c>
      <c r="AT381" s="540">
        <f t="shared" si="191"/>
        <v>42.400000000000333</v>
      </c>
      <c r="AU381" s="16" t="e">
        <f t="shared" si="192"/>
        <v>#N/A</v>
      </c>
      <c r="AV381" s="16" t="e">
        <f t="shared" si="193"/>
        <v>#N/A</v>
      </c>
      <c r="AW381" s="34">
        <f t="shared" si="203"/>
        <v>0.97268353588879108</v>
      </c>
      <c r="AX381" s="34">
        <f t="shared" si="194"/>
        <v>3.7738773971796036E-3</v>
      </c>
      <c r="AY381" s="16">
        <f t="shared" si="195"/>
        <v>88.399999999999253</v>
      </c>
      <c r="AZ381" s="16" t="e">
        <f t="shared" si="196"/>
        <v>#N/A</v>
      </c>
      <c r="BA381" s="16">
        <f t="shared" si="204"/>
        <v>1.1917255984194914E-5</v>
      </c>
      <c r="BB381" s="34">
        <f t="shared" si="205"/>
        <v>0.84541363455355167</v>
      </c>
      <c r="BC381" s="34">
        <f t="shared" si="197"/>
        <v>0.33591276593506336</v>
      </c>
      <c r="BD381" s="16">
        <f t="shared" si="198"/>
        <v>70.300000000000281</v>
      </c>
      <c r="BE381" s="16" t="e">
        <f t="shared" si="199"/>
        <v>#N/A</v>
      </c>
      <c r="BF381" s="16">
        <f t="shared" si="200"/>
        <v>4.0030965306762402E-3</v>
      </c>
      <c r="BU381" s="16">
        <f t="shared" si="183"/>
        <v>0</v>
      </c>
      <c r="BV381" s="16">
        <f>IF($BY$12=1,NORMDIST(BY381,$Y$6,$Y$8,TRUE),IF($BY$12=2,IF(BY381&lt;=$BX$31,0,IF(BY381&gt;=$BX$32,1,(BY381-$BX$31)*$BX$33)),SUM($BU$42:BU381)/$BV$40))</f>
        <v>0.21040983989356676</v>
      </c>
      <c r="BW381" s="16">
        <f t="shared" si="184"/>
        <v>0.48906088288881905</v>
      </c>
      <c r="BX381" s="16">
        <f>IF($BY$12&lt;3,BV381,SUM($BZ$42:BZ381)/$BX$40)</f>
        <v>0.21040983989356676</v>
      </c>
      <c r="BY381" s="16">
        <f t="shared" si="174"/>
        <v>33.900000000000212</v>
      </c>
      <c r="BZ381" s="16">
        <f t="shared" si="175"/>
        <v>1.4426574716484248E-2</v>
      </c>
      <c r="CA381" s="16">
        <f t="shared" si="185"/>
        <v>-999</v>
      </c>
      <c r="CB381" s="16" t="str">
        <f t="shared" si="176"/>
        <v/>
      </c>
      <c r="CC381" s="16" t="e">
        <f>IF(CB381="",NA(),COUNTIF(CB381:$CB$704,CB381))</f>
        <v>#N/A</v>
      </c>
      <c r="CD381" s="16" t="e">
        <f t="shared" si="177"/>
        <v>#N/A</v>
      </c>
      <c r="CE381" s="16" t="e">
        <f t="shared" si="178"/>
        <v>#N/A</v>
      </c>
      <c r="CF381" s="16">
        <f t="shared" si="179"/>
        <v>99</v>
      </c>
      <c r="CG381" s="16">
        <f t="shared" si="180"/>
        <v>0</v>
      </c>
      <c r="CH381" s="16">
        <f t="shared" si="173"/>
        <v>0</v>
      </c>
      <c r="CJ381" s="16" t="e">
        <f t="shared" si="181"/>
        <v>#N/A</v>
      </c>
      <c r="CK381" s="16" t="str">
        <f t="shared" si="182"/>
        <v/>
      </c>
    </row>
    <row r="382" spans="1:89" ht="12" customHeight="1">
      <c r="A382" s="211"/>
      <c r="B382" s="211"/>
      <c r="C382" s="211"/>
      <c r="D382" s="211"/>
      <c r="E382" s="211"/>
      <c r="F382" s="211"/>
      <c r="G382" s="211"/>
      <c r="H382" s="211"/>
      <c r="I382" s="211"/>
      <c r="J382" s="211"/>
      <c r="K382" s="211"/>
      <c r="L382" s="211"/>
      <c r="M382" s="211"/>
      <c r="N382" s="211"/>
      <c r="O382" s="211"/>
      <c r="AM382" s="34">
        <f t="shared" si="201"/>
        <v>0.15192805416882038</v>
      </c>
      <c r="AN382" s="34">
        <f t="shared" si="186"/>
        <v>0.51675290800631046</v>
      </c>
      <c r="AO382" s="16">
        <f t="shared" si="187"/>
        <v>29.400000000000148</v>
      </c>
      <c r="AP382" s="16" t="e">
        <f t="shared" si="188"/>
        <v>#N/A</v>
      </c>
      <c r="AQ382" s="16">
        <f t="shared" si="189"/>
        <v>6.0644510021444159E-3</v>
      </c>
      <c r="AR382" s="34">
        <f t="shared" si="202"/>
        <v>0.64031405188143253</v>
      </c>
      <c r="AS382" s="34">
        <f t="shared" si="190"/>
        <v>0.84289699979126453</v>
      </c>
      <c r="AT382" s="540">
        <f t="shared" si="191"/>
        <v>57.100000000000541</v>
      </c>
      <c r="AU382" s="16" t="e">
        <f t="shared" si="192"/>
        <v>#N/A</v>
      </c>
      <c r="AV382" s="16">
        <f t="shared" si="193"/>
        <v>1.5786599714641063E-2</v>
      </c>
      <c r="AW382" s="34">
        <f t="shared" si="203"/>
        <v>0.82303220219910145</v>
      </c>
      <c r="AX382" s="34">
        <f t="shared" si="194"/>
        <v>0.72140964306890965</v>
      </c>
      <c r="AY382" s="16">
        <f t="shared" si="195"/>
        <v>68.500000000000384</v>
      </c>
      <c r="AZ382" s="16" t="e">
        <f t="shared" si="196"/>
        <v>#N/A</v>
      </c>
      <c r="BA382" s="16">
        <f t="shared" si="204"/>
        <v>9.3813514342008797E-3</v>
      </c>
      <c r="BB382" s="34">
        <f t="shared" si="205"/>
        <v>2.6216590777039528E-2</v>
      </c>
      <c r="BC382" s="34">
        <f t="shared" si="197"/>
        <v>0.24858607538044453</v>
      </c>
      <c r="BD382" s="16">
        <f t="shared" si="198"/>
        <v>11.199999999999976</v>
      </c>
      <c r="BE382" s="16" t="e">
        <f t="shared" si="199"/>
        <v>#N/A</v>
      </c>
      <c r="BF382" s="16">
        <f t="shared" si="200"/>
        <v>7.5526874351224257E-4</v>
      </c>
      <c r="BU382" s="16">
        <f t="shared" si="183"/>
        <v>0</v>
      </c>
      <c r="BV382" s="16">
        <f>IF($BY$12=1,NORMDIST(BY382,$Y$6,$Y$8,TRUE),IF($BY$12=2,IF(BY382&lt;=$BX$31,0,IF(BY382&gt;=$BX$32,1,(BY382-$BX$31)*$BX$33)),SUM($BU$42:BU382)/$BV$40))</f>
        <v>0.21185539858339986</v>
      </c>
      <c r="BW382" s="16">
        <f t="shared" si="184"/>
        <v>0.49247563969452796</v>
      </c>
      <c r="BX382" s="16">
        <f>IF($BY$12&lt;3,BV382,SUM($BZ$42:BZ382)/$BX$40)</f>
        <v>0.21185539858339986</v>
      </c>
      <c r="BY382" s="16">
        <f t="shared" si="174"/>
        <v>34.000000000000213</v>
      </c>
      <c r="BZ382" s="16">
        <f t="shared" si="175"/>
        <v>1.448457763807426E-2</v>
      </c>
      <c r="CA382" s="16">
        <f t="shared" si="185"/>
        <v>-999</v>
      </c>
      <c r="CB382" s="16" t="str">
        <f t="shared" si="176"/>
        <v/>
      </c>
      <c r="CC382" s="16" t="e">
        <f>IF(CB382="",NA(),COUNTIF(CB382:$CB$704,CB382))</f>
        <v>#N/A</v>
      </c>
      <c r="CD382" s="16" t="e">
        <f t="shared" si="177"/>
        <v>#N/A</v>
      </c>
      <c r="CE382" s="16" t="e">
        <f t="shared" si="178"/>
        <v>#N/A</v>
      </c>
      <c r="CF382" s="16">
        <f t="shared" si="179"/>
        <v>99</v>
      </c>
      <c r="CG382" s="16">
        <f t="shared" si="180"/>
        <v>0</v>
      </c>
      <c r="CH382" s="16">
        <f t="shared" si="173"/>
        <v>0</v>
      </c>
      <c r="CJ382" s="16" t="e">
        <f t="shared" si="181"/>
        <v>#N/A</v>
      </c>
      <c r="CK382" s="16" t="str">
        <f t="shared" si="182"/>
        <v/>
      </c>
    </row>
    <row r="383" spans="1:89" ht="12" customHeight="1">
      <c r="A383" s="211"/>
      <c r="B383" s="211"/>
      <c r="C383" s="211"/>
      <c r="D383" s="211"/>
      <c r="E383" s="211"/>
      <c r="F383" s="211"/>
      <c r="G383" s="211"/>
      <c r="H383" s="211"/>
      <c r="I383" s="211"/>
      <c r="J383" s="211"/>
      <c r="K383" s="211"/>
      <c r="L383" s="211"/>
      <c r="M383" s="211"/>
      <c r="N383" s="211"/>
      <c r="O383" s="211"/>
      <c r="AM383" s="34">
        <f t="shared" si="201"/>
        <v>0.79785090871155262</v>
      </c>
      <c r="AN383" s="34">
        <f t="shared" si="186"/>
        <v>0.45917733944952488</v>
      </c>
      <c r="AO383" s="16">
        <f t="shared" si="187"/>
        <v>66.600000000000492</v>
      </c>
      <c r="AP383" s="16" t="e">
        <f t="shared" si="188"/>
        <v>#N/A</v>
      </c>
      <c r="AQ383" s="16">
        <f t="shared" si="189"/>
        <v>6.4903450073440479E-3</v>
      </c>
      <c r="AR383" s="34">
        <f t="shared" si="202"/>
        <v>0.95557364262640476</v>
      </c>
      <c r="AS383" s="34">
        <f t="shared" si="190"/>
        <v>0.84872140176594257</v>
      </c>
      <c r="AT383" s="540">
        <f t="shared" si="191"/>
        <v>83.999999999999503</v>
      </c>
      <c r="AU383" s="16" t="e">
        <f t="shared" si="192"/>
        <v>#N/A</v>
      </c>
      <c r="AV383" s="16">
        <f t="shared" si="193"/>
        <v>3.9910732393054222E-3</v>
      </c>
      <c r="AW383" s="34">
        <f t="shared" si="203"/>
        <v>0.80901445634663105</v>
      </c>
      <c r="AX383" s="34">
        <f t="shared" si="194"/>
        <v>8.0654243007302284E-2</v>
      </c>
      <c r="AY383" s="16">
        <f t="shared" si="195"/>
        <v>67.400000000000446</v>
      </c>
      <c r="AZ383" s="16" t="e">
        <f t="shared" si="196"/>
        <v>#N/A</v>
      </c>
      <c r="BA383" s="16">
        <f t="shared" si="204"/>
        <v>1.1019161363979657E-3</v>
      </c>
      <c r="BB383" s="34">
        <f t="shared" si="205"/>
        <v>0.98542342521250248</v>
      </c>
      <c r="BC383" s="34">
        <f t="shared" si="197"/>
        <v>6.2629552558064461E-2</v>
      </c>
      <c r="BD383" s="16">
        <f t="shared" si="198"/>
        <v>93.599999999998957</v>
      </c>
      <c r="BE383" s="16" t="e">
        <f t="shared" si="199"/>
        <v>#N/A</v>
      </c>
      <c r="BF383" s="16">
        <f t="shared" si="200"/>
        <v>1.160616742660043E-4</v>
      </c>
      <c r="BU383" s="16">
        <f t="shared" si="183"/>
        <v>0</v>
      </c>
      <c r="BV383" s="16">
        <f>IF($BY$12=1,NORMDIST(BY383,$Y$6,$Y$8,TRUE),IF($BY$12=2,IF(BY383&lt;=$BX$31,0,IF(BY383&gt;=$BX$32,1,(BY383-$BX$31)*$BX$33)),SUM($BU$42:BU383)/$BV$40))</f>
        <v>0.21330675107580177</v>
      </c>
      <c r="BW383" s="16">
        <f t="shared" si="184"/>
        <v>0.49589755175660571</v>
      </c>
      <c r="BX383" s="16">
        <f>IF($BY$12&lt;3,BV383,SUM($BZ$42:BZ383)/$BX$40)</f>
        <v>0.21330675107580177</v>
      </c>
      <c r="BY383" s="16">
        <f t="shared" si="174"/>
        <v>34.100000000000215</v>
      </c>
      <c r="BZ383" s="16">
        <f t="shared" si="175"/>
        <v>1.4542450198140839E-2</v>
      </c>
      <c r="CA383" s="16">
        <f t="shared" si="185"/>
        <v>-999</v>
      </c>
      <c r="CB383" s="16" t="str">
        <f t="shared" si="176"/>
        <v/>
      </c>
      <c r="CC383" s="16" t="e">
        <f>IF(CB383="",NA(),COUNTIF(CB383:$CB$704,CB383))</f>
        <v>#N/A</v>
      </c>
      <c r="CD383" s="16" t="e">
        <f t="shared" si="177"/>
        <v>#N/A</v>
      </c>
      <c r="CE383" s="16" t="e">
        <f t="shared" si="178"/>
        <v>#N/A</v>
      </c>
      <c r="CF383" s="16">
        <f t="shared" si="179"/>
        <v>99</v>
      </c>
      <c r="CG383" s="16">
        <f t="shared" si="180"/>
        <v>0</v>
      </c>
      <c r="CH383" s="16">
        <f t="shared" si="173"/>
        <v>0</v>
      </c>
      <c r="CJ383" s="16" t="e">
        <f t="shared" si="181"/>
        <v>#N/A</v>
      </c>
      <c r="CK383" s="16" t="str">
        <f t="shared" si="182"/>
        <v/>
      </c>
    </row>
    <row r="384" spans="1:89" ht="12" customHeight="1">
      <c r="A384" s="211"/>
      <c r="B384" s="211"/>
      <c r="C384" s="211"/>
      <c r="D384" s="211"/>
      <c r="E384" s="211"/>
      <c r="F384" s="211"/>
      <c r="G384" s="211"/>
      <c r="H384" s="211"/>
      <c r="I384" s="211"/>
      <c r="J384" s="211"/>
      <c r="K384" s="211"/>
      <c r="L384" s="211"/>
      <c r="M384" s="211"/>
      <c r="N384" s="211"/>
      <c r="O384" s="211"/>
      <c r="AM384" s="34">
        <f t="shared" si="201"/>
        <v>0.3638006616383791</v>
      </c>
      <c r="AN384" s="34">
        <f t="shared" si="186"/>
        <v>0.34579239226877689</v>
      </c>
      <c r="AO384" s="16">
        <f t="shared" si="187"/>
        <v>43.000000000000341</v>
      </c>
      <c r="AP384" s="16" t="e">
        <f t="shared" si="188"/>
        <v>#N/A</v>
      </c>
      <c r="AQ384" s="16">
        <f t="shared" si="189"/>
        <v>6.4877628618087227E-3</v>
      </c>
      <c r="AR384" s="34">
        <f t="shared" si="202"/>
        <v>5.1037648692727089E-2</v>
      </c>
      <c r="AS384" s="34">
        <f t="shared" si="190"/>
        <v>0.15041670389473438</v>
      </c>
      <c r="AT384" s="540">
        <f t="shared" si="191"/>
        <v>17.299999999999976</v>
      </c>
      <c r="AU384" s="16" t="e">
        <f t="shared" si="192"/>
        <v>#N/A</v>
      </c>
      <c r="AV384" s="16">
        <f t="shared" si="193"/>
        <v>7.8830213837399971E-4</v>
      </c>
      <c r="AW384" s="34">
        <f t="shared" si="203"/>
        <v>0.47857818193733692</v>
      </c>
      <c r="AX384" s="34">
        <f t="shared" si="194"/>
        <v>4.0889734402298927E-2</v>
      </c>
      <c r="AY384" s="16">
        <f t="shared" si="195"/>
        <v>48.900000000000425</v>
      </c>
      <c r="AZ384" s="16" t="e">
        <f t="shared" si="196"/>
        <v>#N/A</v>
      </c>
      <c r="BA384" s="16">
        <f t="shared" si="204"/>
        <v>8.1439948315197648E-4</v>
      </c>
      <c r="BB384" s="34">
        <f t="shared" si="205"/>
        <v>0.33976482786238194</v>
      </c>
      <c r="BC384" s="34">
        <f t="shared" si="197"/>
        <v>0.69556658156216145</v>
      </c>
      <c r="BD384" s="16">
        <f t="shared" si="198"/>
        <v>41.700000000000323</v>
      </c>
      <c r="BE384" s="16" t="e">
        <f t="shared" si="199"/>
        <v>#N/A</v>
      </c>
      <c r="BF384" s="16">
        <f t="shared" si="200"/>
        <v>1.272977110889867E-2</v>
      </c>
      <c r="BU384" s="16">
        <f t="shared" si="183"/>
        <v>0</v>
      </c>
      <c r="BV384" s="16">
        <f>IF($BY$12=1,NORMDIST(BY384,$Y$6,$Y$8,TRUE),IF($BY$12=2,IF(BY384&lt;=$BX$31,0,IF(BY384&gt;=$BX$32,1,(BY384-$BX$31)*$BX$33)),SUM($BU$42:BU384)/$BV$40))</f>
        <v>0.21476388416364034</v>
      </c>
      <c r="BW384" s="16">
        <f t="shared" si="184"/>
        <v>0.49932646299483929</v>
      </c>
      <c r="BX384" s="16">
        <f>IF($BY$12&lt;3,BV384,SUM($BZ$42:BZ384)/$BX$40)</f>
        <v>0.21476388416364034</v>
      </c>
      <c r="BY384" s="16">
        <f t="shared" si="174"/>
        <v>34.200000000000216</v>
      </c>
      <c r="BZ384" s="16">
        <f t="shared" si="175"/>
        <v>1.4600188976457196E-2</v>
      </c>
      <c r="CA384" s="16">
        <f t="shared" si="185"/>
        <v>-999</v>
      </c>
      <c r="CB384" s="16" t="str">
        <f t="shared" si="176"/>
        <v/>
      </c>
      <c r="CC384" s="16" t="e">
        <f>IF(CB384="",NA(),COUNTIF(CB384:$CB$704,CB384))</f>
        <v>#N/A</v>
      </c>
      <c r="CD384" s="16" t="e">
        <f t="shared" si="177"/>
        <v>#N/A</v>
      </c>
      <c r="CE384" s="16" t="e">
        <f t="shared" si="178"/>
        <v>#N/A</v>
      </c>
      <c r="CF384" s="16">
        <f t="shared" si="179"/>
        <v>99</v>
      </c>
      <c r="CG384" s="16">
        <f t="shared" si="180"/>
        <v>0</v>
      </c>
      <c r="CH384" s="16">
        <f t="shared" si="173"/>
        <v>0</v>
      </c>
      <c r="CJ384" s="16" t="e">
        <f t="shared" si="181"/>
        <v>#N/A</v>
      </c>
      <c r="CK384" s="16" t="str">
        <f t="shared" si="182"/>
        <v/>
      </c>
    </row>
    <row r="385" spans="1:89" ht="12" customHeight="1">
      <c r="A385" s="211"/>
      <c r="B385" s="211"/>
      <c r="C385" s="211"/>
      <c r="D385" s="211"/>
      <c r="E385" s="211"/>
      <c r="F385" s="211"/>
      <c r="G385" s="211"/>
      <c r="H385" s="211"/>
      <c r="I385" s="211"/>
      <c r="J385" s="211"/>
      <c r="K385" s="211"/>
      <c r="L385" s="211"/>
      <c r="M385" s="211"/>
      <c r="N385" s="211"/>
      <c r="O385" s="211"/>
      <c r="AM385" s="34">
        <f t="shared" si="201"/>
        <v>0.41798886843025684</v>
      </c>
      <c r="AN385" s="34">
        <f t="shared" si="186"/>
        <v>0.11815785802900791</v>
      </c>
      <c r="AO385" s="16">
        <f t="shared" si="187"/>
        <v>45.800000000000381</v>
      </c>
      <c r="AP385" s="16" t="e">
        <f t="shared" si="188"/>
        <v>#N/A</v>
      </c>
      <c r="AQ385" s="16">
        <f t="shared" si="189"/>
        <v>2.3055072183449251E-3</v>
      </c>
      <c r="AR385" s="34">
        <f t="shared" si="202"/>
        <v>0.99436449445784092</v>
      </c>
      <c r="AS385" s="34">
        <f t="shared" si="190"/>
        <v>0.87131683714687824</v>
      </c>
      <c r="AT385" s="540" t="e">
        <f t="shared" si="191"/>
        <v>#N/A</v>
      </c>
      <c r="AU385" s="16" t="e">
        <f t="shared" si="192"/>
        <v>#N/A</v>
      </c>
      <c r="AV385" s="16" t="e">
        <f t="shared" si="193"/>
        <v>#N/A</v>
      </c>
      <c r="AW385" s="34">
        <f t="shared" si="203"/>
        <v>0.87558953650295734</v>
      </c>
      <c r="AX385" s="34">
        <f t="shared" si="194"/>
        <v>0.74769354797899723</v>
      </c>
      <c r="AY385" s="16">
        <f t="shared" si="195"/>
        <v>73.000000000000128</v>
      </c>
      <c r="AZ385" s="16" t="e">
        <f t="shared" si="196"/>
        <v>#N/A</v>
      </c>
      <c r="BA385" s="16">
        <f t="shared" si="204"/>
        <v>7.6988609708396466E-3</v>
      </c>
      <c r="BB385" s="34">
        <f t="shared" si="205"/>
        <v>0.85798717476427555</v>
      </c>
      <c r="BC385" s="34">
        <f t="shared" si="197"/>
        <v>0.90147602744400501</v>
      </c>
      <c r="BD385" s="16">
        <f t="shared" si="198"/>
        <v>71.400000000000219</v>
      </c>
      <c r="BE385" s="16" t="e">
        <f t="shared" si="199"/>
        <v>#N/A</v>
      </c>
      <c r="BF385" s="16">
        <f t="shared" si="200"/>
        <v>1.014430681988837E-2</v>
      </c>
      <c r="BU385" s="16">
        <f t="shared" si="183"/>
        <v>0</v>
      </c>
      <c r="BV385" s="16">
        <f>IF($BY$12=1,NORMDIST(BY385,$Y$6,$Y$8,TRUE),IF($BY$12=2,IF(BY385&lt;=$BX$31,0,IF(BY385&gt;=$BX$32,1,(BY385-$BX$31)*$BX$33)),SUM($BU$42:BU385)/$BV$40))</f>
        <v>0.21622678429757869</v>
      </c>
      <c r="BW385" s="16">
        <f t="shared" si="184"/>
        <v>0.50276221583851066</v>
      </c>
      <c r="BX385" s="16">
        <f>IF($BY$12&lt;3,BV385,SUM($BZ$42:BZ385)/$BX$40)</f>
        <v>0.21622678429757869</v>
      </c>
      <c r="BY385" s="16">
        <f t="shared" si="174"/>
        <v>34.300000000000217</v>
      </c>
      <c r="BZ385" s="16">
        <f t="shared" si="175"/>
        <v>1.4657790549227622E-2</v>
      </c>
      <c r="CA385" s="16">
        <f t="shared" si="185"/>
        <v>-999</v>
      </c>
      <c r="CB385" s="16" t="str">
        <f t="shared" si="176"/>
        <v/>
      </c>
      <c r="CC385" s="16" t="e">
        <f>IF(CB385="",NA(),COUNTIF(CB385:$CB$704,CB385))</f>
        <v>#N/A</v>
      </c>
      <c r="CD385" s="16" t="e">
        <f t="shared" si="177"/>
        <v>#N/A</v>
      </c>
      <c r="CE385" s="16" t="e">
        <f t="shared" si="178"/>
        <v>#N/A</v>
      </c>
      <c r="CF385" s="16">
        <f t="shared" si="179"/>
        <v>99</v>
      </c>
      <c r="CG385" s="16">
        <f t="shared" si="180"/>
        <v>0</v>
      </c>
      <c r="CH385" s="16">
        <f t="shared" si="173"/>
        <v>0</v>
      </c>
      <c r="CJ385" s="16" t="e">
        <f t="shared" si="181"/>
        <v>#N/A</v>
      </c>
      <c r="CK385" s="16" t="str">
        <f t="shared" si="182"/>
        <v/>
      </c>
    </row>
    <row r="386" spans="1:89" ht="12" customHeight="1">
      <c r="A386" s="211"/>
      <c r="B386" s="211"/>
      <c r="C386" s="211"/>
      <c r="D386" s="211"/>
      <c r="E386" s="211"/>
      <c r="F386" s="211"/>
      <c r="G386" s="211"/>
      <c r="H386" s="211"/>
      <c r="I386" s="211"/>
      <c r="J386" s="211"/>
      <c r="K386" s="211"/>
      <c r="L386" s="211"/>
      <c r="M386" s="211"/>
      <c r="N386" s="211"/>
      <c r="O386" s="211"/>
      <c r="AM386" s="34">
        <f t="shared" si="201"/>
        <v>0.11634223349392414</v>
      </c>
      <c r="AN386" s="34">
        <f t="shared" si="186"/>
        <v>0.84738827683031559</v>
      </c>
      <c r="AO386" s="16">
        <f t="shared" si="187"/>
        <v>26.100000000000101</v>
      </c>
      <c r="AP386" s="16" t="e">
        <f t="shared" si="188"/>
        <v>#N/A</v>
      </c>
      <c r="AQ386" s="16">
        <f t="shared" si="189"/>
        <v>8.2769595516735718E-3</v>
      </c>
      <c r="AR386" s="34">
        <f t="shared" si="202"/>
        <v>0.69858766533434391</v>
      </c>
      <c r="AS386" s="34">
        <f t="shared" si="190"/>
        <v>0.73498308844864368</v>
      </c>
      <c r="AT386" s="540">
        <f t="shared" si="191"/>
        <v>60.400000000000588</v>
      </c>
      <c r="AU386" s="16" t="e">
        <f t="shared" si="192"/>
        <v>#N/A</v>
      </c>
      <c r="AV386" s="16">
        <f t="shared" si="193"/>
        <v>1.2806805166440775E-2</v>
      </c>
      <c r="AW386" s="34">
        <f t="shared" si="203"/>
        <v>0.19980609603226185</v>
      </c>
      <c r="AX386" s="34">
        <f t="shared" si="194"/>
        <v>0.5578018669039011</v>
      </c>
      <c r="AY386" s="16">
        <f t="shared" si="195"/>
        <v>33.1000000000002</v>
      </c>
      <c r="AZ386" s="16" t="e">
        <f t="shared" si="196"/>
        <v>#N/A</v>
      </c>
      <c r="BA386" s="16">
        <f t="shared" si="204"/>
        <v>7.7859475703923355E-3</v>
      </c>
      <c r="BB386" s="34">
        <f t="shared" si="205"/>
        <v>0.99362840689718723</v>
      </c>
      <c r="BC386" s="34">
        <f t="shared" si="197"/>
        <v>0.98614116199314594</v>
      </c>
      <c r="BD386" s="16">
        <f t="shared" si="198"/>
        <v>99.799999999998604</v>
      </c>
      <c r="BE386" s="16" t="e">
        <f t="shared" si="199"/>
        <v>#N/A</v>
      </c>
      <c r="BF386" s="16" t="e">
        <f t="shared" si="200"/>
        <v>#N/A</v>
      </c>
      <c r="BU386" s="16">
        <f t="shared" si="183"/>
        <v>0</v>
      </c>
      <c r="BV386" s="16">
        <f>IF($BY$12=1,NORMDIST(BY386,$Y$6,$Y$8,TRUE),IF($BY$12=2,IF(BY386&lt;=$BX$31,0,IF(BY386&gt;=$BX$32,1,(BY386-$BX$31)*$BX$33)),SUM($BU$42:BU386)/$BV$40))</f>
        <v>0.21769543758573628</v>
      </c>
      <c r="BW386" s="16">
        <f t="shared" si="184"/>
        <v>0.50620465123592673</v>
      </c>
      <c r="BX386" s="16">
        <f>IF($BY$12&lt;3,BV386,SUM($BZ$42:BZ386)/$BX$40)</f>
        <v>0.21769543758573628</v>
      </c>
      <c r="BY386" s="16">
        <f t="shared" si="174"/>
        <v>34.400000000000219</v>
      </c>
      <c r="BZ386" s="16">
        <f t="shared" si="175"/>
        <v>1.4715251489416381E-2</v>
      </c>
      <c r="CA386" s="16">
        <f t="shared" si="185"/>
        <v>-999</v>
      </c>
      <c r="CB386" s="16" t="str">
        <f t="shared" si="176"/>
        <v/>
      </c>
      <c r="CC386" s="16" t="e">
        <f>IF(CB386="",NA(),COUNTIF(CB386:$CB$704,CB386))</f>
        <v>#N/A</v>
      </c>
      <c r="CD386" s="16" t="e">
        <f t="shared" si="177"/>
        <v>#N/A</v>
      </c>
      <c r="CE386" s="16" t="e">
        <f t="shared" si="178"/>
        <v>#N/A</v>
      </c>
      <c r="CF386" s="16">
        <f t="shared" si="179"/>
        <v>99</v>
      </c>
      <c r="CG386" s="16">
        <f t="shared" si="180"/>
        <v>0</v>
      </c>
      <c r="CH386" s="16">
        <f t="shared" si="173"/>
        <v>0</v>
      </c>
      <c r="CJ386" s="16" t="e">
        <f t="shared" si="181"/>
        <v>#N/A</v>
      </c>
      <c r="CK386" s="16" t="str">
        <f t="shared" si="182"/>
        <v/>
      </c>
    </row>
    <row r="387" spans="1:89" ht="12" customHeight="1">
      <c r="A387" s="211"/>
      <c r="B387" s="211"/>
      <c r="C387" s="211"/>
      <c r="D387" s="211"/>
      <c r="E387" s="211"/>
      <c r="F387" s="211"/>
      <c r="G387" s="211"/>
      <c r="H387" s="211"/>
      <c r="I387" s="211"/>
      <c r="J387" s="211"/>
      <c r="K387" s="211"/>
      <c r="L387" s="211"/>
      <c r="M387" s="211"/>
      <c r="N387" s="211"/>
      <c r="O387" s="211"/>
      <c r="AM387" s="34">
        <f t="shared" si="201"/>
        <v>0.78435075469315052</v>
      </c>
      <c r="AN387" s="34">
        <f t="shared" si="186"/>
        <v>0.74349131621420383</v>
      </c>
      <c r="AO387" s="16">
        <f t="shared" si="187"/>
        <v>65.700000000000543</v>
      </c>
      <c r="AP387" s="16" t="e">
        <f t="shared" si="188"/>
        <v>#N/A</v>
      </c>
      <c r="AQ387" s="16">
        <f t="shared" si="189"/>
        <v>1.089793998823704E-2</v>
      </c>
      <c r="AR387" s="34">
        <f t="shared" si="202"/>
        <v>0.43926658667623997</v>
      </c>
      <c r="AS387" s="34">
        <f t="shared" si="190"/>
        <v>0.57722802646458149</v>
      </c>
      <c r="AT387" s="540">
        <f t="shared" si="191"/>
        <v>46.900000000000396</v>
      </c>
      <c r="AU387" s="16" t="e">
        <f t="shared" si="192"/>
        <v>#N/A</v>
      </c>
      <c r="AV387" s="16">
        <f t="shared" si="193"/>
        <v>1.1376548356890471E-2</v>
      </c>
      <c r="AW387" s="34">
        <f t="shared" si="203"/>
        <v>0.92046328075230122</v>
      </c>
      <c r="AX387" s="34">
        <f t="shared" si="194"/>
        <v>0.77354566194117069</v>
      </c>
      <c r="AY387" s="16">
        <f t="shared" si="195"/>
        <v>78.099999999999838</v>
      </c>
      <c r="AZ387" s="16" t="e">
        <f t="shared" si="196"/>
        <v>#N/A</v>
      </c>
      <c r="BA387" s="16">
        <f t="shared" si="204"/>
        <v>5.7505838823075136E-3</v>
      </c>
      <c r="BB387" s="34">
        <f t="shared" si="205"/>
        <v>0.43976656533777714</v>
      </c>
      <c r="BC387" s="34">
        <f t="shared" si="197"/>
        <v>0.37034312076866627</v>
      </c>
      <c r="BD387" s="16">
        <f t="shared" si="198"/>
        <v>46.900000000000396</v>
      </c>
      <c r="BE387" s="16" t="e">
        <f t="shared" si="199"/>
        <v>#N/A</v>
      </c>
      <c r="BF387" s="16">
        <f t="shared" si="200"/>
        <v>7.2990676628640477E-3</v>
      </c>
      <c r="BU387" s="16">
        <f t="shared" si="183"/>
        <v>0</v>
      </c>
      <c r="BV387" s="16">
        <f>IF($BY$12=1,NORMDIST(BY387,$Y$6,$Y$8,TRUE),IF($BY$12=2,IF(BY387&lt;=$BX$31,0,IF(BY387&gt;=$BX$32,1,(BY387-$BX$31)*$BX$33)),SUM($BU$42:BU387)/$BV$40))</f>
        <v>0.21916982979338062</v>
      </c>
      <c r="BW387" s="16">
        <f t="shared" si="184"/>
        <v>0.50965360866420362</v>
      </c>
      <c r="BX387" s="16">
        <f>IF($BY$12&lt;3,BV387,SUM($BZ$42:BZ387)/$BX$40)</f>
        <v>0.21916982979338062</v>
      </c>
      <c r="BY387" s="16">
        <f t="shared" si="174"/>
        <v>34.50000000000022</v>
      </c>
      <c r="BZ387" s="16">
        <f t="shared" si="175"/>
        <v>1.477256836707827E-2</v>
      </c>
      <c r="CA387" s="16">
        <f t="shared" si="185"/>
        <v>-999</v>
      </c>
      <c r="CB387" s="16" t="str">
        <f t="shared" si="176"/>
        <v/>
      </c>
      <c r="CC387" s="16" t="e">
        <f>IF(CB387="",NA(),COUNTIF(CB387:$CB$704,CB387))</f>
        <v>#N/A</v>
      </c>
      <c r="CD387" s="16" t="e">
        <f t="shared" si="177"/>
        <v>#N/A</v>
      </c>
      <c r="CE387" s="16" t="e">
        <f t="shared" si="178"/>
        <v>#N/A</v>
      </c>
      <c r="CF387" s="16">
        <f t="shared" si="179"/>
        <v>99</v>
      </c>
      <c r="CG387" s="16">
        <f t="shared" si="180"/>
        <v>0</v>
      </c>
      <c r="CH387" s="16">
        <f t="shared" ref="CH387:CH450" si="206">IF(CB387="",0,1)</f>
        <v>0</v>
      </c>
      <c r="CJ387" s="16" t="e">
        <f t="shared" si="181"/>
        <v>#N/A</v>
      </c>
      <c r="CK387" s="16" t="str">
        <f t="shared" si="182"/>
        <v/>
      </c>
    </row>
    <row r="388" spans="1:89" ht="12" customHeight="1">
      <c r="A388" s="211"/>
      <c r="B388" s="211"/>
      <c r="C388" s="211"/>
      <c r="D388" s="211"/>
      <c r="E388" s="211"/>
      <c r="F388" s="211"/>
      <c r="G388" s="211"/>
      <c r="H388" s="211"/>
      <c r="I388" s="211"/>
      <c r="J388" s="211"/>
      <c r="K388" s="211"/>
      <c r="L388" s="211"/>
      <c r="M388" s="211"/>
      <c r="N388" s="211"/>
      <c r="O388" s="211"/>
      <c r="AM388" s="34">
        <f t="shared" si="201"/>
        <v>0.82752914912998676</v>
      </c>
      <c r="AN388" s="34">
        <f t="shared" si="186"/>
        <v>0.2491788063198328</v>
      </c>
      <c r="AO388" s="16">
        <f t="shared" si="187"/>
        <v>68.800000000000367</v>
      </c>
      <c r="AP388" s="16" t="e">
        <f t="shared" si="188"/>
        <v>#N/A</v>
      </c>
      <c r="AQ388" s="16">
        <f t="shared" si="189"/>
        <v>3.1953605500138677E-3</v>
      </c>
      <c r="AR388" s="34">
        <f t="shared" si="202"/>
        <v>0.76861015893518925</v>
      </c>
      <c r="AS388" s="34">
        <f t="shared" si="190"/>
        <v>0.58128395862877369</v>
      </c>
      <c r="AT388" s="540">
        <f t="shared" si="191"/>
        <v>64.600000000000605</v>
      </c>
      <c r="AU388" s="16" t="e">
        <f t="shared" si="192"/>
        <v>#N/A</v>
      </c>
      <c r="AV388" s="16">
        <f t="shared" si="193"/>
        <v>8.8828155383907908E-3</v>
      </c>
      <c r="AW388" s="34">
        <f t="shared" si="203"/>
        <v>0.67550531215965748</v>
      </c>
      <c r="AX388" s="34">
        <f t="shared" si="194"/>
        <v>0.90316563285887241</v>
      </c>
      <c r="AY388" s="16">
        <f t="shared" si="195"/>
        <v>59.10000000000057</v>
      </c>
      <c r="AZ388" s="16" t="e">
        <f t="shared" si="196"/>
        <v>#N/A</v>
      </c>
      <c r="BA388" s="16">
        <f t="shared" si="204"/>
        <v>1.6243984488722489E-2</v>
      </c>
      <c r="BB388" s="34">
        <f t="shared" si="205"/>
        <v>2.2147232666611671E-2</v>
      </c>
      <c r="BC388" s="34">
        <f t="shared" si="197"/>
        <v>0.61458014138042927</v>
      </c>
      <c r="BD388" s="16">
        <f t="shared" si="198"/>
        <v>9.6999999999999815</v>
      </c>
      <c r="BE388" s="16" t="e">
        <f t="shared" si="199"/>
        <v>#N/A</v>
      </c>
      <c r="BF388" s="16">
        <f t="shared" si="200"/>
        <v>1.6098741865804174E-3</v>
      </c>
      <c r="BU388" s="16">
        <f t="shared" si="183"/>
        <v>0</v>
      </c>
      <c r="BV388" s="16">
        <f>IF($BY$12=1,NORMDIST(BY388,$Y$6,$Y$8,TRUE),IF($BY$12=2,IF(BY388&lt;=$BX$31,0,IF(BY388&gt;=$BX$32,1,(BY388-$BX$31)*$BX$33)),SUM($BU$42:BU388)/$BV$40))</f>
        <v>0.22064994634265278</v>
      </c>
      <c r="BW388" s="16">
        <f t="shared" si="184"/>
        <v>0.51310892613930892</v>
      </c>
      <c r="BX388" s="16">
        <f>IF($BY$12&lt;3,BV388,SUM($BZ$42:BZ388)/$BX$40)</f>
        <v>0.22064994634265278</v>
      </c>
      <c r="BY388" s="16">
        <f t="shared" si="174"/>
        <v>34.600000000000222</v>
      </c>
      <c r="BZ388" s="16">
        <f t="shared" si="175"/>
        <v>1.4829737749690913E-2</v>
      </c>
      <c r="CA388" s="16">
        <f t="shared" si="185"/>
        <v>-999</v>
      </c>
      <c r="CB388" s="16" t="str">
        <f t="shared" si="176"/>
        <v/>
      </c>
      <c r="CC388" s="16" t="e">
        <f>IF(CB388="",NA(),COUNTIF(CB388:$CB$704,CB388))</f>
        <v>#N/A</v>
      </c>
      <c r="CD388" s="16" t="e">
        <f t="shared" si="177"/>
        <v>#N/A</v>
      </c>
      <c r="CE388" s="16" t="e">
        <f t="shared" si="178"/>
        <v>#N/A</v>
      </c>
      <c r="CF388" s="16">
        <f t="shared" si="179"/>
        <v>99</v>
      </c>
      <c r="CG388" s="16">
        <f t="shared" si="180"/>
        <v>0</v>
      </c>
      <c r="CH388" s="16">
        <f t="shared" si="206"/>
        <v>0</v>
      </c>
      <c r="CJ388" s="16" t="e">
        <f t="shared" si="181"/>
        <v>#N/A</v>
      </c>
      <c r="CK388" s="16" t="str">
        <f t="shared" si="182"/>
        <v/>
      </c>
    </row>
    <row r="389" spans="1:89" ht="12" customHeight="1">
      <c r="A389" s="211"/>
      <c r="B389" s="211"/>
      <c r="C389" s="211"/>
      <c r="D389" s="211"/>
      <c r="E389" s="211"/>
      <c r="F389" s="211"/>
      <c r="G389" s="211"/>
      <c r="H389" s="211"/>
      <c r="I389" s="211"/>
      <c r="J389" s="211"/>
      <c r="K389" s="211"/>
      <c r="L389" s="211"/>
      <c r="M389" s="211"/>
      <c r="N389" s="211"/>
      <c r="O389" s="211"/>
      <c r="AM389" s="34">
        <f t="shared" si="201"/>
        <v>0.3025228101760149</v>
      </c>
      <c r="AN389" s="34">
        <f t="shared" si="186"/>
        <v>3.4556681290268898E-2</v>
      </c>
      <c r="AO389" s="16">
        <f t="shared" si="187"/>
        <v>39.600000000000293</v>
      </c>
      <c r="AP389" s="16" t="e">
        <f t="shared" si="188"/>
        <v>#N/A</v>
      </c>
      <c r="AQ389" s="16">
        <f t="shared" si="189"/>
        <v>6.0213723477284698E-4</v>
      </c>
      <c r="AR389" s="34">
        <f t="shared" si="202"/>
        <v>0.14297919906675816</v>
      </c>
      <c r="AS389" s="34">
        <f t="shared" si="190"/>
        <v>0.84939716942608356</v>
      </c>
      <c r="AT389" s="540">
        <f t="shared" si="191"/>
        <v>28.600000000000136</v>
      </c>
      <c r="AU389" s="16" t="e">
        <f t="shared" si="192"/>
        <v>#N/A</v>
      </c>
      <c r="AV389" s="16">
        <f t="shared" si="193"/>
        <v>9.5582635991263484E-3</v>
      </c>
      <c r="AW389" s="34">
        <f t="shared" si="203"/>
        <v>6.9741951301693916E-2</v>
      </c>
      <c r="AX389" s="34">
        <f t="shared" si="194"/>
        <v>0.41966230608522892</v>
      </c>
      <c r="AY389" s="16">
        <f t="shared" si="195"/>
        <v>20.40000000000002</v>
      </c>
      <c r="AZ389" s="16" t="e">
        <f t="shared" si="196"/>
        <v>#N/A</v>
      </c>
      <c r="BA389" s="16">
        <f t="shared" si="204"/>
        <v>2.7998883684630578E-3</v>
      </c>
      <c r="BB389" s="34">
        <f t="shared" si="205"/>
        <v>0.40334613062441349</v>
      </c>
      <c r="BC389" s="34">
        <f t="shared" si="197"/>
        <v>0.54974383302032948</v>
      </c>
      <c r="BD389" s="16">
        <f t="shared" si="198"/>
        <v>45.100000000000371</v>
      </c>
      <c r="BE389" s="16" t="e">
        <f t="shared" si="199"/>
        <v>#N/A</v>
      </c>
      <c r="BF389" s="16">
        <f t="shared" si="200"/>
        <v>1.0641581444002504E-2</v>
      </c>
      <c r="BU389" s="16">
        <f t="shared" si="183"/>
        <v>0</v>
      </c>
      <c r="BV389" s="16">
        <f>IF($BY$12=1,NORMDIST(BY389,$Y$6,$Y$8,TRUE),IF($BY$12=2,IF(BY389&lt;=$BX$31,0,IF(BY389&gt;=$BX$32,1,(BY389-$BX$31)*$BX$33)),SUM($BU$42:BU389)/$BV$40))</f>
        <v>0.22213577231232717</v>
      </c>
      <c r="BW389" s="16">
        <f t="shared" si="184"/>
        <v>0.51657044022635756</v>
      </c>
      <c r="BX389" s="16">
        <f>IF($BY$12&lt;3,BV389,SUM($BZ$42:BZ389)/$BX$40)</f>
        <v>0.22213577231232717</v>
      </c>
      <c r="BY389" s="16">
        <f t="shared" si="174"/>
        <v>34.700000000000223</v>
      </c>
      <c r="BZ389" s="16">
        <f t="shared" si="175"/>
        <v>1.4886756202488596E-2</v>
      </c>
      <c r="CA389" s="16">
        <f t="shared" si="185"/>
        <v>-999</v>
      </c>
      <c r="CB389" s="16" t="str">
        <f t="shared" si="176"/>
        <v/>
      </c>
      <c r="CC389" s="16" t="e">
        <f>IF(CB389="",NA(),COUNTIF(CB389:$CB$704,CB389))</f>
        <v>#N/A</v>
      </c>
      <c r="CD389" s="16" t="e">
        <f t="shared" si="177"/>
        <v>#N/A</v>
      </c>
      <c r="CE389" s="16" t="e">
        <f t="shared" si="178"/>
        <v>#N/A</v>
      </c>
      <c r="CF389" s="16">
        <f t="shared" si="179"/>
        <v>99</v>
      </c>
      <c r="CG389" s="16">
        <f t="shared" si="180"/>
        <v>0</v>
      </c>
      <c r="CH389" s="16">
        <f t="shared" si="206"/>
        <v>0</v>
      </c>
      <c r="CJ389" s="16" t="e">
        <f t="shared" si="181"/>
        <v>#N/A</v>
      </c>
      <c r="CK389" s="16" t="str">
        <f t="shared" si="182"/>
        <v/>
      </c>
    </row>
    <row r="390" spans="1:89" ht="12" customHeight="1">
      <c r="A390" s="211"/>
      <c r="B390" s="211"/>
      <c r="C390" s="211"/>
      <c r="D390" s="211"/>
      <c r="E390" s="211"/>
      <c r="F390" s="211"/>
      <c r="G390" s="211"/>
      <c r="H390" s="211"/>
      <c r="I390" s="211"/>
      <c r="J390" s="211"/>
      <c r="K390" s="211"/>
      <c r="L390" s="211"/>
      <c r="M390" s="211"/>
      <c r="N390" s="211"/>
      <c r="O390" s="211"/>
      <c r="AM390" s="34">
        <f t="shared" si="201"/>
        <v>0.26213954575359821</v>
      </c>
      <c r="AN390" s="34">
        <f t="shared" si="186"/>
        <v>0.86535007692873478</v>
      </c>
      <c r="AO390" s="16">
        <f t="shared" si="187"/>
        <v>37.200000000000259</v>
      </c>
      <c r="AP390" s="16" t="e">
        <f t="shared" si="188"/>
        <v>#N/A</v>
      </c>
      <c r="AQ390" s="16">
        <f t="shared" si="189"/>
        <v>1.4064632761589573E-2</v>
      </c>
      <c r="AR390" s="34">
        <f t="shared" si="202"/>
        <v>0.73642403818666935</v>
      </c>
      <c r="AS390" s="34">
        <f t="shared" si="190"/>
        <v>0.95537918992340565</v>
      </c>
      <c r="AT390" s="540">
        <f t="shared" si="191"/>
        <v>62.60000000000062</v>
      </c>
      <c r="AU390" s="16" t="e">
        <f t="shared" si="192"/>
        <v>#N/A</v>
      </c>
      <c r="AV390" s="16">
        <f t="shared" si="193"/>
        <v>1.5626801928965088E-2</v>
      </c>
      <c r="AW390" s="34">
        <f t="shared" si="203"/>
        <v>0.51646226830780506</v>
      </c>
      <c r="AX390" s="34">
        <f t="shared" si="194"/>
        <v>0.39708753861486912</v>
      </c>
      <c r="AY390" s="16">
        <f t="shared" si="195"/>
        <v>50.800000000000452</v>
      </c>
      <c r="AZ390" s="16" t="e">
        <f t="shared" si="196"/>
        <v>#N/A</v>
      </c>
      <c r="BA390" s="16">
        <f t="shared" si="204"/>
        <v>7.9144163423377871E-3</v>
      </c>
      <c r="BB390" s="34">
        <f t="shared" si="205"/>
        <v>0.4768731240183115</v>
      </c>
      <c r="BC390" s="34">
        <f t="shared" si="197"/>
        <v>0.43953372724354267</v>
      </c>
      <c r="BD390" s="16">
        <f t="shared" si="198"/>
        <v>48.800000000000423</v>
      </c>
      <c r="BE390" s="16" t="e">
        <f t="shared" si="199"/>
        <v>#N/A</v>
      </c>
      <c r="BF390" s="16">
        <f t="shared" si="200"/>
        <v>8.7516621948401079E-3</v>
      </c>
      <c r="BU390" s="16">
        <f t="shared" si="183"/>
        <v>0</v>
      </c>
      <c r="BV390" s="16">
        <f>IF($BY$12=1,NORMDIST(BY390,$Y$6,$Y$8,TRUE),IF($BY$12=2,IF(BY390&lt;=$BX$31,0,IF(BY390&gt;=$BX$32,1,(BY390-$BX$31)*$BX$33)),SUM($BU$42:BU390)/$BV$40))</f>
        <v>0.22362729243760282</v>
      </c>
      <c r="BW390" s="16">
        <f t="shared" si="184"/>
        <v>0.5200379860501656</v>
      </c>
      <c r="BX390" s="16">
        <f>IF($BY$12&lt;3,BV390,SUM($BZ$42:BZ390)/$BX$40)</f>
        <v>0.22362729243760282</v>
      </c>
      <c r="BY390" s="16">
        <f t="shared" si="174"/>
        <v>34.800000000000225</v>
      </c>
      <c r="BZ390" s="16">
        <f t="shared" si="175"/>
        <v>1.4943620288797765E-2</v>
      </c>
      <c r="CA390" s="16">
        <f t="shared" si="185"/>
        <v>-999</v>
      </c>
      <c r="CB390" s="16" t="str">
        <f t="shared" si="176"/>
        <v/>
      </c>
      <c r="CC390" s="16" t="e">
        <f>IF(CB390="",NA(),COUNTIF(CB390:$CB$704,CB390))</f>
        <v>#N/A</v>
      </c>
      <c r="CD390" s="16" t="e">
        <f t="shared" si="177"/>
        <v>#N/A</v>
      </c>
      <c r="CE390" s="16" t="e">
        <f t="shared" si="178"/>
        <v>#N/A</v>
      </c>
      <c r="CF390" s="16">
        <f t="shared" si="179"/>
        <v>99</v>
      </c>
      <c r="CG390" s="16">
        <f t="shared" si="180"/>
        <v>0</v>
      </c>
      <c r="CH390" s="16">
        <f t="shared" si="206"/>
        <v>0</v>
      </c>
      <c r="CJ390" s="16" t="e">
        <f t="shared" si="181"/>
        <v>#N/A</v>
      </c>
      <c r="CK390" s="16" t="str">
        <f t="shared" si="182"/>
        <v/>
      </c>
    </row>
    <row r="391" spans="1:89" ht="12" customHeight="1">
      <c r="A391" s="211"/>
      <c r="B391" s="211"/>
      <c r="C391" s="211"/>
      <c r="D391" s="211"/>
      <c r="E391" s="211"/>
      <c r="F391" s="211"/>
      <c r="G391" s="211"/>
      <c r="H391" s="211"/>
      <c r="I391" s="211"/>
      <c r="J391" s="211"/>
      <c r="K391" s="211"/>
      <c r="L391" s="211"/>
      <c r="M391" s="211"/>
      <c r="N391" s="211"/>
      <c r="O391" s="211"/>
      <c r="AM391" s="34">
        <f t="shared" si="201"/>
        <v>1.8838347867131233E-2</v>
      </c>
      <c r="AN391" s="34">
        <f t="shared" si="186"/>
        <v>0.72356983460485935</v>
      </c>
      <c r="AO391" s="16">
        <f t="shared" si="187"/>
        <v>8.3999999999999861</v>
      </c>
      <c r="AP391" s="16" t="e">
        <f t="shared" si="188"/>
        <v>#N/A</v>
      </c>
      <c r="AQ391" s="16">
        <f t="shared" si="189"/>
        <v>1.6591845686123989E-3</v>
      </c>
      <c r="AR391" s="34">
        <f t="shared" si="202"/>
        <v>0.31916352547705173</v>
      </c>
      <c r="AS391" s="34">
        <f t="shared" si="190"/>
        <v>0.40389634855091572</v>
      </c>
      <c r="AT391" s="540">
        <f t="shared" si="191"/>
        <v>40.500000000000306</v>
      </c>
      <c r="AU391" s="16" t="e">
        <f t="shared" si="192"/>
        <v>#N/A</v>
      </c>
      <c r="AV391" s="16">
        <f t="shared" si="193"/>
        <v>7.1970770282200327E-3</v>
      </c>
      <c r="AW391" s="34">
        <f t="shared" si="203"/>
        <v>0.54828669317066669</v>
      </c>
      <c r="AX391" s="34">
        <f t="shared" si="194"/>
        <v>5.9433678165078163E-2</v>
      </c>
      <c r="AY391" s="16">
        <f t="shared" si="195"/>
        <v>52.400000000000475</v>
      </c>
      <c r="AZ391" s="16" t="e">
        <f t="shared" si="196"/>
        <v>#N/A</v>
      </c>
      <c r="BA391" s="16">
        <f t="shared" si="204"/>
        <v>1.177025191765004E-3</v>
      </c>
      <c r="BB391" s="34">
        <f t="shared" si="205"/>
        <v>0.98637388087809086</v>
      </c>
      <c r="BC391" s="34">
        <f t="shared" si="197"/>
        <v>0.63164135999977589</v>
      </c>
      <c r="BD391" s="16">
        <f t="shared" si="198"/>
        <v>94.099999999998929</v>
      </c>
      <c r="BE391" s="16" t="e">
        <f t="shared" si="199"/>
        <v>#N/A</v>
      </c>
      <c r="BF391" s="16">
        <f t="shared" si="200"/>
        <v>1.1080907152715238E-3</v>
      </c>
      <c r="BU391" s="16">
        <f t="shared" si="183"/>
        <v>0</v>
      </c>
      <c r="BV391" s="16">
        <f>IF($BY$12=1,NORMDIST(BY391,$Y$6,$Y$8,TRUE),IF($BY$12=2,IF(BY391&lt;=$BX$31,0,IF(BY391&gt;=$BX$32,1,(BY391-$BX$31)*$BX$33)),SUM($BU$42:BU391)/$BV$40))</f>
        <v>0.22512449110993038</v>
      </c>
      <c r="BW391" s="16">
        <f t="shared" si="184"/>
        <v>0.52351139730605478</v>
      </c>
      <c r="BX391" s="16">
        <f>IF($BY$12&lt;3,BV391,SUM($BZ$42:BZ391)/$BX$40)</f>
        <v>0.22512449110993038</v>
      </c>
      <c r="BY391" s="16">
        <f t="shared" si="174"/>
        <v>34.900000000000226</v>
      </c>
      <c r="BZ391" s="16">
        <f t="shared" si="175"/>
        <v>1.5000326570373965E-2</v>
      </c>
      <c r="CA391" s="16">
        <f t="shared" si="185"/>
        <v>-999</v>
      </c>
      <c r="CB391" s="16" t="str">
        <f t="shared" si="176"/>
        <v/>
      </c>
      <c r="CC391" s="16" t="e">
        <f>IF(CB391="",NA(),COUNTIF(CB391:$CB$704,CB391))</f>
        <v>#N/A</v>
      </c>
      <c r="CD391" s="16" t="e">
        <f t="shared" si="177"/>
        <v>#N/A</v>
      </c>
      <c r="CE391" s="16" t="e">
        <f t="shared" si="178"/>
        <v>#N/A</v>
      </c>
      <c r="CF391" s="16">
        <f t="shared" si="179"/>
        <v>99</v>
      </c>
      <c r="CG391" s="16">
        <f t="shared" si="180"/>
        <v>0</v>
      </c>
      <c r="CH391" s="16">
        <f t="shared" si="206"/>
        <v>0</v>
      </c>
      <c r="CJ391" s="16" t="e">
        <f t="shared" si="181"/>
        <v>#N/A</v>
      </c>
      <c r="CK391" s="16" t="str">
        <f t="shared" si="182"/>
        <v/>
      </c>
    </row>
    <row r="392" spans="1:89" ht="12" customHeight="1">
      <c r="A392" s="211"/>
      <c r="B392" s="211"/>
      <c r="C392" s="211"/>
      <c r="D392" s="211"/>
      <c r="E392" s="211"/>
      <c r="F392" s="211"/>
      <c r="G392" s="211"/>
      <c r="H392" s="211"/>
      <c r="I392" s="211"/>
      <c r="J392" s="211"/>
      <c r="K392" s="211"/>
      <c r="L392" s="211"/>
      <c r="M392" s="211"/>
      <c r="N392" s="211"/>
      <c r="O392" s="211"/>
      <c r="AM392" s="34">
        <f t="shared" si="201"/>
        <v>0.75245644338428974</v>
      </c>
      <c r="AN392" s="34">
        <f t="shared" si="186"/>
        <v>0.21577666141092777</v>
      </c>
      <c r="AO392" s="16">
        <f t="shared" si="187"/>
        <v>63.600000000000634</v>
      </c>
      <c r="AP392" s="16" t="e">
        <f t="shared" si="188"/>
        <v>#N/A</v>
      </c>
      <c r="AQ392" s="16">
        <f t="shared" si="189"/>
        <v>3.4156680326116471E-3</v>
      </c>
      <c r="AR392" s="34">
        <f t="shared" si="202"/>
        <v>0.73616168834269047</v>
      </c>
      <c r="AS392" s="34">
        <f t="shared" si="190"/>
        <v>0.45352885313332081</v>
      </c>
      <c r="AT392" s="540">
        <f t="shared" si="191"/>
        <v>62.60000000000062</v>
      </c>
      <c r="AU392" s="16" t="e">
        <f t="shared" si="192"/>
        <v>#N/A</v>
      </c>
      <c r="AV392" s="16">
        <f t="shared" si="193"/>
        <v>7.4182121944202017E-3</v>
      </c>
      <c r="AW392" s="34">
        <f t="shared" si="203"/>
        <v>0.55428859777748585</v>
      </c>
      <c r="AX392" s="34">
        <f t="shared" si="194"/>
        <v>0.18352662958204746</v>
      </c>
      <c r="AY392" s="16">
        <f t="shared" si="195"/>
        <v>52.700000000000479</v>
      </c>
      <c r="AZ392" s="16" t="e">
        <f t="shared" si="196"/>
        <v>#N/A</v>
      </c>
      <c r="BA392" s="16">
        <f t="shared" si="204"/>
        <v>3.627618856146494E-3</v>
      </c>
      <c r="BB392" s="34">
        <f t="shared" si="205"/>
        <v>0.81133543886244297</v>
      </c>
      <c r="BC392" s="34">
        <f t="shared" si="197"/>
        <v>0.9359851349145174</v>
      </c>
      <c r="BD392" s="16">
        <f t="shared" si="198"/>
        <v>67.600000000000435</v>
      </c>
      <c r="BE392" s="16" t="e">
        <f t="shared" si="199"/>
        <v>#N/A</v>
      </c>
      <c r="BF392" s="16">
        <f t="shared" si="200"/>
        <v>1.2676232559357231E-2</v>
      </c>
      <c r="BU392" s="16">
        <f t="shared" si="183"/>
        <v>0</v>
      </c>
      <c r="BV392" s="16">
        <f>IF($BY$12=1,NORMDIST(BY392,$Y$6,$Y$8,TRUE),IF($BY$12=2,IF(BY392&lt;=$BX$31,0,IF(BY392&gt;=$BX$32,1,(BY392-$BX$31)*$BX$33)),SUM($BU$42:BU392)/$BV$40))</f>
        <v>0.22662735237687159</v>
      </c>
      <c r="BW392" s="16">
        <f t="shared" si="184"/>
        <v>0.52699050627091559</v>
      </c>
      <c r="BX392" s="16">
        <f>IF($BY$12&lt;3,BV392,SUM($BZ$42:BZ392)/$BX$40)</f>
        <v>0.22662735237687159</v>
      </c>
      <c r="BY392" s="16">
        <f t="shared" si="174"/>
        <v>35.000000000000227</v>
      </c>
      <c r="BZ392" s="16">
        <f t="shared" si="175"/>
        <v>1.5056871607740349E-2</v>
      </c>
      <c r="CA392" s="16">
        <f t="shared" si="185"/>
        <v>-999</v>
      </c>
      <c r="CB392" s="16" t="str">
        <f t="shared" si="176"/>
        <v/>
      </c>
      <c r="CC392" s="16" t="e">
        <f>IF(CB392="",NA(),COUNTIF(CB392:$CB$704,CB392))</f>
        <v>#N/A</v>
      </c>
      <c r="CD392" s="16" t="e">
        <f t="shared" si="177"/>
        <v>#N/A</v>
      </c>
      <c r="CE392" s="16" t="e">
        <f t="shared" si="178"/>
        <v>#N/A</v>
      </c>
      <c r="CF392" s="16">
        <f t="shared" si="179"/>
        <v>99</v>
      </c>
      <c r="CG392" s="16">
        <f t="shared" si="180"/>
        <v>0</v>
      </c>
      <c r="CH392" s="16">
        <f t="shared" si="206"/>
        <v>0</v>
      </c>
      <c r="CJ392" s="16" t="e">
        <f t="shared" si="181"/>
        <v>#N/A</v>
      </c>
      <c r="CK392" s="16" t="str">
        <f t="shared" si="182"/>
        <v/>
      </c>
    </row>
    <row r="393" spans="1:89" ht="12" customHeight="1">
      <c r="A393" s="211"/>
      <c r="B393" s="211"/>
      <c r="C393" s="211"/>
      <c r="D393" s="211"/>
      <c r="E393" s="211"/>
      <c r="F393" s="211"/>
      <c r="G393" s="211"/>
      <c r="H393" s="211"/>
      <c r="I393" s="211"/>
      <c r="J393" s="211"/>
      <c r="K393" s="211"/>
      <c r="L393" s="211"/>
      <c r="M393" s="211"/>
      <c r="N393" s="211"/>
      <c r="O393" s="211"/>
      <c r="AM393" s="34">
        <f t="shared" si="201"/>
        <v>0.41920587606728077</v>
      </c>
      <c r="AN393" s="34">
        <f t="shared" si="186"/>
        <v>0.21034919656813145</v>
      </c>
      <c r="AO393" s="16">
        <f t="shared" si="187"/>
        <v>45.900000000000382</v>
      </c>
      <c r="AP393" s="16" t="e">
        <f t="shared" si="188"/>
        <v>#N/A</v>
      </c>
      <c r="AQ393" s="16">
        <f t="shared" si="189"/>
        <v>4.108613746963476E-3</v>
      </c>
      <c r="AR393" s="34">
        <f t="shared" si="202"/>
        <v>0.42720829881727695</v>
      </c>
      <c r="AS393" s="34">
        <f t="shared" si="190"/>
        <v>0.5418806541711092</v>
      </c>
      <c r="AT393" s="540">
        <f t="shared" si="191"/>
        <v>46.300000000000388</v>
      </c>
      <c r="AU393" s="16" t="e">
        <f t="shared" si="192"/>
        <v>#N/A</v>
      </c>
      <c r="AV393" s="16">
        <f t="shared" si="193"/>
        <v>1.0625560593695401E-2</v>
      </c>
      <c r="AW393" s="34">
        <f t="shared" si="203"/>
        <v>0.6816666591912508</v>
      </c>
      <c r="AX393" s="34">
        <f t="shared" si="194"/>
        <v>0.45357907749712467</v>
      </c>
      <c r="AY393" s="16">
        <f t="shared" si="195"/>
        <v>59.400000000000574</v>
      </c>
      <c r="AZ393" s="16" t="e">
        <f t="shared" si="196"/>
        <v>#N/A</v>
      </c>
      <c r="BA393" s="16">
        <f t="shared" si="204"/>
        <v>8.1014966737263418E-3</v>
      </c>
      <c r="BB393" s="34">
        <f t="shared" si="205"/>
        <v>0.51695192791521549</v>
      </c>
      <c r="BC393" s="34">
        <f t="shared" si="197"/>
        <v>0.99952721782028675</v>
      </c>
      <c r="BD393" s="16">
        <f t="shared" si="198"/>
        <v>50.800000000000452</v>
      </c>
      <c r="BE393" s="16" t="e">
        <f t="shared" si="199"/>
        <v>#N/A</v>
      </c>
      <c r="BF393" s="16" t="e">
        <f t="shared" si="200"/>
        <v>#N/A</v>
      </c>
      <c r="BU393" s="16">
        <f t="shared" si="183"/>
        <v>0</v>
      </c>
      <c r="BV393" s="16">
        <f>IF($BY$12=1,NORMDIST(BY393,$Y$6,$Y$8,TRUE),IF($BY$12=2,IF(BY393&lt;=$BX$31,0,IF(BY393&gt;=$BX$32,1,(BY393-$BX$31)*$BX$33)),SUM($BU$42:BU393)/$BV$40))</f>
        <v>0.22813585994199315</v>
      </c>
      <c r="BW393" s="16">
        <f t="shared" si="184"/>
        <v>0.53047514381452132</v>
      </c>
      <c r="BX393" s="16">
        <f>IF($BY$12&lt;3,BV393,SUM($BZ$42:BZ393)/$BX$40)</f>
        <v>0.22813585994199315</v>
      </c>
      <c r="BY393" s="16">
        <f t="shared" si="174"/>
        <v>35.100000000000229</v>
      </c>
      <c r="BZ393" s="16">
        <f t="shared" si="175"/>
        <v>1.5113251960527575E-2</v>
      </c>
      <c r="CA393" s="16">
        <f t="shared" si="185"/>
        <v>-999</v>
      </c>
      <c r="CB393" s="16" t="str">
        <f t="shared" si="176"/>
        <v/>
      </c>
      <c r="CC393" s="16" t="e">
        <f>IF(CB393="",NA(),COUNTIF(CB393:$CB$704,CB393))</f>
        <v>#N/A</v>
      </c>
      <c r="CD393" s="16" t="e">
        <f t="shared" si="177"/>
        <v>#N/A</v>
      </c>
      <c r="CE393" s="16" t="e">
        <f t="shared" si="178"/>
        <v>#N/A</v>
      </c>
      <c r="CF393" s="16">
        <f t="shared" si="179"/>
        <v>99</v>
      </c>
      <c r="CG393" s="16">
        <f t="shared" si="180"/>
        <v>0</v>
      </c>
      <c r="CH393" s="16">
        <f t="shared" si="206"/>
        <v>0</v>
      </c>
      <c r="CJ393" s="16" t="e">
        <f t="shared" si="181"/>
        <v>#N/A</v>
      </c>
      <c r="CK393" s="16" t="str">
        <f t="shared" si="182"/>
        <v/>
      </c>
    </row>
    <row r="394" spans="1:89" ht="12" customHeight="1">
      <c r="A394" s="211"/>
      <c r="B394" s="211"/>
      <c r="C394" s="211"/>
      <c r="D394" s="211"/>
      <c r="E394" s="211"/>
      <c r="F394" s="211"/>
      <c r="G394" s="211"/>
      <c r="H394" s="211"/>
      <c r="I394" s="211"/>
      <c r="J394" s="211"/>
      <c r="K394" s="211"/>
      <c r="L394" s="211"/>
      <c r="M394" s="211"/>
      <c r="N394" s="211"/>
      <c r="O394" s="211"/>
      <c r="AM394" s="34">
        <f t="shared" si="201"/>
        <v>0.7002208698540926</v>
      </c>
      <c r="AN394" s="34">
        <f t="shared" si="186"/>
        <v>0.80141223408281803</v>
      </c>
      <c r="AO394" s="16">
        <f t="shared" si="187"/>
        <v>60.50000000000059</v>
      </c>
      <c r="AP394" s="16" t="e">
        <f t="shared" si="188"/>
        <v>#N/A</v>
      </c>
      <c r="AQ394" s="16">
        <f t="shared" si="189"/>
        <v>1.3927874018316246E-2</v>
      </c>
      <c r="AR394" s="34">
        <f t="shared" si="202"/>
        <v>0.58615959621965885</v>
      </c>
      <c r="AS394" s="34">
        <f t="shared" si="190"/>
        <v>0.58227133937180042</v>
      </c>
      <c r="AT394" s="540">
        <f t="shared" si="191"/>
        <v>54.300000000000502</v>
      </c>
      <c r="AU394" s="16" t="e">
        <f t="shared" si="192"/>
        <v>#N/A</v>
      </c>
      <c r="AV394" s="16">
        <f t="shared" si="193"/>
        <v>1.1349268030902523E-2</v>
      </c>
      <c r="AW394" s="34">
        <f t="shared" si="203"/>
        <v>0.67149925418198109</v>
      </c>
      <c r="AX394" s="34">
        <f t="shared" si="194"/>
        <v>0.2713101152330637</v>
      </c>
      <c r="AY394" s="16">
        <f t="shared" si="195"/>
        <v>58.800000000000566</v>
      </c>
      <c r="AZ394" s="16" t="e">
        <f t="shared" si="196"/>
        <v>#N/A</v>
      </c>
      <c r="BA394" s="16">
        <f t="shared" si="204"/>
        <v>4.9125428338703397E-3</v>
      </c>
      <c r="BB394" s="34">
        <f t="shared" si="205"/>
        <v>0.17205669917166233</v>
      </c>
      <c r="BC394" s="34">
        <f t="shared" si="197"/>
        <v>0.22845371253788471</v>
      </c>
      <c r="BD394" s="16">
        <f t="shared" si="198"/>
        <v>31.000000000000171</v>
      </c>
      <c r="BE394" s="16" t="e">
        <f t="shared" si="199"/>
        <v>#N/A</v>
      </c>
      <c r="BF394" s="16">
        <f t="shared" si="200"/>
        <v>2.9020367327129391E-3</v>
      </c>
      <c r="BU394" s="16">
        <f t="shared" si="183"/>
        <v>0</v>
      </c>
      <c r="BV394" s="16">
        <f>IF($BY$12=1,NORMDIST(BY394,$Y$6,$Y$8,TRUE),IF($BY$12=2,IF(BY394&lt;=$BX$31,0,IF(BY394&gt;=$BX$32,1,(BY394-$BX$31)*$BX$33)),SUM($BU$42:BU394)/$BV$40))</f>
        <v>0.22964999716479406</v>
      </c>
      <c r="BW394" s="16">
        <f t="shared" si="184"/>
        <v>0.53396513941109613</v>
      </c>
      <c r="BX394" s="16">
        <f>IF($BY$12&lt;3,BV394,SUM($BZ$42:BZ394)/$BX$40)</f>
        <v>0.22964999716479406</v>
      </c>
      <c r="BY394" s="16">
        <f t="shared" si="174"/>
        <v>35.20000000000023</v>
      </c>
      <c r="BZ394" s="16">
        <f t="shared" si="175"/>
        <v>1.5169464187815132E-2</v>
      </c>
      <c r="CA394" s="16">
        <f t="shared" si="185"/>
        <v>-999</v>
      </c>
      <c r="CB394" s="16" t="str">
        <f t="shared" si="176"/>
        <v/>
      </c>
      <c r="CC394" s="16" t="e">
        <f>IF(CB394="",NA(),COUNTIF(CB394:$CB$704,CB394))</f>
        <v>#N/A</v>
      </c>
      <c r="CD394" s="16" t="e">
        <f t="shared" si="177"/>
        <v>#N/A</v>
      </c>
      <c r="CE394" s="16" t="e">
        <f t="shared" si="178"/>
        <v>#N/A</v>
      </c>
      <c r="CF394" s="16">
        <f t="shared" si="179"/>
        <v>99</v>
      </c>
      <c r="CG394" s="16">
        <f t="shared" si="180"/>
        <v>0</v>
      </c>
      <c r="CH394" s="16">
        <f t="shared" si="206"/>
        <v>0</v>
      </c>
      <c r="CJ394" s="16" t="e">
        <f t="shared" si="181"/>
        <v>#N/A</v>
      </c>
      <c r="CK394" s="16" t="str">
        <f t="shared" si="182"/>
        <v/>
      </c>
    </row>
    <row r="395" spans="1:89" ht="12" customHeight="1">
      <c r="A395" s="211"/>
      <c r="B395" s="211"/>
      <c r="C395" s="211"/>
      <c r="D395" s="211"/>
      <c r="E395" s="211"/>
      <c r="F395" s="211"/>
      <c r="G395" s="211"/>
      <c r="H395" s="211"/>
      <c r="I395" s="211"/>
      <c r="J395" s="211"/>
      <c r="K395" s="211"/>
      <c r="L395" s="211"/>
      <c r="M395" s="211"/>
      <c r="N395" s="211"/>
      <c r="O395" s="211"/>
      <c r="AM395" s="34">
        <f t="shared" si="201"/>
        <v>0.75918722338974476</v>
      </c>
      <c r="AN395" s="34">
        <f t="shared" si="186"/>
        <v>0.10333135165274143</v>
      </c>
      <c r="AO395" s="16">
        <f t="shared" si="187"/>
        <v>64.000000000000639</v>
      </c>
      <c r="AP395" s="16" t="e">
        <f t="shared" si="188"/>
        <v>#N/A</v>
      </c>
      <c r="AQ395" s="16">
        <f t="shared" si="189"/>
        <v>1.6132810496835885E-3</v>
      </c>
      <c r="AR395" s="34">
        <f t="shared" si="202"/>
        <v>0.96324541606009007</v>
      </c>
      <c r="AS395" s="34">
        <f t="shared" si="190"/>
        <v>0.68279130943119526</v>
      </c>
      <c r="AT395" s="540">
        <f t="shared" si="191"/>
        <v>85.699999999999406</v>
      </c>
      <c r="AU395" s="16" t="e">
        <f t="shared" si="192"/>
        <v>#N/A</v>
      </c>
      <c r="AV395" s="16">
        <f t="shared" si="193"/>
        <v>2.7687776915974443E-3</v>
      </c>
      <c r="AW395" s="34">
        <f t="shared" si="203"/>
        <v>0.67936213500797749</v>
      </c>
      <c r="AX395" s="34">
        <f t="shared" si="194"/>
        <v>0.1817875299602747</v>
      </c>
      <c r="AY395" s="16">
        <f t="shared" si="195"/>
        <v>59.300000000000573</v>
      </c>
      <c r="AZ395" s="16" t="e">
        <f t="shared" si="196"/>
        <v>#N/A</v>
      </c>
      <c r="BA395" s="16">
        <f t="shared" si="204"/>
        <v>3.2545541114727054E-3</v>
      </c>
      <c r="BB395" s="34">
        <f t="shared" si="205"/>
        <v>9.5277110114693642E-2</v>
      </c>
      <c r="BC395" s="34">
        <f t="shared" si="197"/>
        <v>0.33974936790764332</v>
      </c>
      <c r="BD395" s="16">
        <f t="shared" si="198"/>
        <v>23.800000000000068</v>
      </c>
      <c r="BE395" s="16" t="e">
        <f t="shared" si="199"/>
        <v>#N/A</v>
      </c>
      <c r="BF395" s="16">
        <f t="shared" si="200"/>
        <v>2.8733752549984365E-3</v>
      </c>
      <c r="BU395" s="16">
        <f t="shared" si="183"/>
        <v>0</v>
      </c>
      <c r="BV395" s="16">
        <f>IF($BY$12=1,NORMDIST(BY395,$Y$6,$Y$8,TRUE),IF($BY$12=2,IF(BY395&lt;=$BX$31,0,IF(BY395&gt;=$BX$32,1,(BY395-$BX$31)*$BX$33)),SUM($BU$42:BU395)/$BV$40))</f>
        <v>0.23116974706066851</v>
      </c>
      <c r="BW395" s="16">
        <f t="shared" si="184"/>
        <v>0.53746032115113573</v>
      </c>
      <c r="BX395" s="16">
        <f>IF($BY$12&lt;3,BV395,SUM($BZ$42:BZ395)/$BX$40)</f>
        <v>0.23116974706066851</v>
      </c>
      <c r="BY395" s="16">
        <f t="shared" si="174"/>
        <v>35.300000000000232</v>
      </c>
      <c r="BZ395" s="16">
        <f t="shared" si="175"/>
        <v>1.5225504848474E-2</v>
      </c>
      <c r="CA395" s="16">
        <f t="shared" si="185"/>
        <v>-999</v>
      </c>
      <c r="CB395" s="16" t="str">
        <f t="shared" si="176"/>
        <v/>
      </c>
      <c r="CC395" s="16" t="e">
        <f>IF(CB395="",NA(),COUNTIF(CB395:$CB$704,CB395))</f>
        <v>#N/A</v>
      </c>
      <c r="CD395" s="16" t="e">
        <f t="shared" si="177"/>
        <v>#N/A</v>
      </c>
      <c r="CE395" s="16" t="e">
        <f t="shared" si="178"/>
        <v>#N/A</v>
      </c>
      <c r="CF395" s="16">
        <f t="shared" si="179"/>
        <v>99</v>
      </c>
      <c r="CG395" s="16">
        <f t="shared" si="180"/>
        <v>0</v>
      </c>
      <c r="CH395" s="16">
        <f t="shared" si="206"/>
        <v>0</v>
      </c>
      <c r="CJ395" s="16" t="e">
        <f t="shared" si="181"/>
        <v>#N/A</v>
      </c>
      <c r="CK395" s="16" t="str">
        <f t="shared" si="182"/>
        <v/>
      </c>
    </row>
    <row r="396" spans="1:89" ht="12" customHeight="1">
      <c r="A396" s="211"/>
      <c r="B396" s="211"/>
      <c r="C396" s="211"/>
      <c r="D396" s="211"/>
      <c r="E396" s="211"/>
      <c r="F396" s="211"/>
      <c r="G396" s="211"/>
      <c r="H396" s="211"/>
      <c r="I396" s="211"/>
      <c r="J396" s="211"/>
      <c r="K396" s="211"/>
      <c r="L396" s="211"/>
      <c r="M396" s="211"/>
      <c r="N396" s="211"/>
      <c r="O396" s="211"/>
      <c r="AM396" s="34">
        <f t="shared" si="201"/>
        <v>0.85983498580753803</v>
      </c>
      <c r="AN396" s="34">
        <f t="shared" si="186"/>
        <v>3.5930195823311806E-2</v>
      </c>
      <c r="AO396" s="16">
        <f t="shared" si="187"/>
        <v>71.500000000000213</v>
      </c>
      <c r="AP396" s="16" t="e">
        <f t="shared" si="188"/>
        <v>#N/A</v>
      </c>
      <c r="AQ396" s="16">
        <f t="shared" si="189"/>
        <v>4.0216000164227636E-4</v>
      </c>
      <c r="AR396" s="34">
        <f t="shared" si="202"/>
        <v>0.97059897519648075</v>
      </c>
      <c r="AS396" s="34">
        <f t="shared" si="190"/>
        <v>0.36975148506462574</v>
      </c>
      <c r="AT396" s="540">
        <f t="shared" si="191"/>
        <v>87.699999999999292</v>
      </c>
      <c r="AU396" s="16" t="e">
        <f t="shared" si="192"/>
        <v>#N/A</v>
      </c>
      <c r="AV396" s="16">
        <f t="shared" si="193"/>
        <v>1.2480069155353193E-3</v>
      </c>
      <c r="AW396" s="34">
        <f t="shared" si="203"/>
        <v>0.66284063644707203</v>
      </c>
      <c r="AX396" s="34">
        <f t="shared" si="194"/>
        <v>0.98139899410307407</v>
      </c>
      <c r="AY396" s="16">
        <f t="shared" si="195"/>
        <v>58.40000000000056</v>
      </c>
      <c r="AZ396" s="16" t="e">
        <f t="shared" si="196"/>
        <v>#N/A</v>
      </c>
      <c r="BA396" s="16" t="e">
        <f t="shared" si="204"/>
        <v>#N/A</v>
      </c>
      <c r="BB396" s="34">
        <f t="shared" si="205"/>
        <v>9.5818215981125832E-2</v>
      </c>
      <c r="BC396" s="34">
        <f t="shared" si="197"/>
        <v>0.40544806607067585</v>
      </c>
      <c r="BD396" s="16">
        <f t="shared" si="198"/>
        <v>23.800000000000068</v>
      </c>
      <c r="BE396" s="16" t="e">
        <f t="shared" si="199"/>
        <v>#N/A</v>
      </c>
      <c r="BF396" s="16">
        <f t="shared" si="200"/>
        <v>3.4290113544851192E-3</v>
      </c>
      <c r="BU396" s="16">
        <f t="shared" si="183"/>
        <v>0</v>
      </c>
      <c r="BV396" s="16">
        <f>IF($BY$12=1,NORMDIST(BY396,$Y$6,$Y$8,TRUE),IF($BY$12=2,IF(BY396&lt;=$BX$31,0,IF(BY396&gt;=$BX$32,1,(BY396-$BX$31)*$BX$33)),SUM($BU$42:BU396)/$BV$40))</f>
        <v>0.23269509230090102</v>
      </c>
      <c r="BW396" s="16">
        <f t="shared" si="184"/>
        <v>0.5409605157534797</v>
      </c>
      <c r="BX396" s="16">
        <f>IF($BY$12&lt;3,BV396,SUM($BZ$42:BZ396)/$BX$40)</f>
        <v>0.23269509230090102</v>
      </c>
      <c r="BY396" s="16">
        <f t="shared" si="174"/>
        <v>35.400000000000233</v>
      </c>
      <c r="BZ396" s="16">
        <f t="shared" si="175"/>
        <v>1.5281370501510625E-2</v>
      </c>
      <c r="CA396" s="16">
        <f t="shared" si="185"/>
        <v>-999</v>
      </c>
      <c r="CB396" s="16" t="str">
        <f t="shared" si="176"/>
        <v/>
      </c>
      <c r="CC396" s="16" t="e">
        <f>IF(CB396="",NA(),COUNTIF(CB396:$CB$704,CB396))</f>
        <v>#N/A</v>
      </c>
      <c r="CD396" s="16" t="e">
        <f t="shared" si="177"/>
        <v>#N/A</v>
      </c>
      <c r="CE396" s="16" t="e">
        <f t="shared" si="178"/>
        <v>#N/A</v>
      </c>
      <c r="CF396" s="16">
        <f t="shared" si="179"/>
        <v>99</v>
      </c>
      <c r="CG396" s="16">
        <f t="shared" si="180"/>
        <v>0</v>
      </c>
      <c r="CH396" s="16">
        <f t="shared" si="206"/>
        <v>0</v>
      </c>
      <c r="CJ396" s="16" t="e">
        <f t="shared" si="181"/>
        <v>#N/A</v>
      </c>
      <c r="CK396" s="16" t="str">
        <f t="shared" si="182"/>
        <v/>
      </c>
    </row>
    <row r="397" spans="1:89" ht="12" customHeight="1">
      <c r="A397" s="211"/>
      <c r="B397" s="211"/>
      <c r="C397" s="211"/>
      <c r="D397" s="211"/>
      <c r="E397" s="211"/>
      <c r="F397" s="211"/>
      <c r="G397" s="211"/>
      <c r="H397" s="211"/>
      <c r="I397" s="211"/>
      <c r="J397" s="211"/>
      <c r="K397" s="211"/>
      <c r="L397" s="211"/>
      <c r="M397" s="211"/>
      <c r="N397" s="211"/>
      <c r="O397" s="211"/>
      <c r="AM397" s="34">
        <f t="shared" si="201"/>
        <v>0.42532566376030445</v>
      </c>
      <c r="AN397" s="34">
        <f t="shared" si="186"/>
        <v>0.16683667339384556</v>
      </c>
      <c r="AO397" s="16">
        <f t="shared" si="187"/>
        <v>46.200000000000387</v>
      </c>
      <c r="AP397" s="16" t="e">
        <f t="shared" si="188"/>
        <v>#N/A</v>
      </c>
      <c r="AQ397" s="16">
        <f t="shared" si="189"/>
        <v>3.2683802423935111E-3</v>
      </c>
      <c r="AR397" s="34">
        <f t="shared" si="202"/>
        <v>0.65741556324064732</v>
      </c>
      <c r="AS397" s="34">
        <f t="shared" si="190"/>
        <v>0.17880879528820515</v>
      </c>
      <c r="AT397" s="540">
        <f t="shared" si="191"/>
        <v>58.100000000000556</v>
      </c>
      <c r="AU397" s="16" t="e">
        <f t="shared" si="192"/>
        <v>#N/A</v>
      </c>
      <c r="AV397" s="16">
        <f t="shared" si="193"/>
        <v>3.2858775192804229E-3</v>
      </c>
      <c r="AW397" s="34">
        <f t="shared" si="203"/>
        <v>0.699217664077878</v>
      </c>
      <c r="AX397" s="34">
        <f t="shared" si="194"/>
        <v>0.73060841299593449</v>
      </c>
      <c r="AY397" s="16">
        <f t="shared" si="195"/>
        <v>60.400000000000588</v>
      </c>
      <c r="AZ397" s="16" t="e">
        <f t="shared" si="196"/>
        <v>#N/A</v>
      </c>
      <c r="BA397" s="16">
        <f t="shared" si="204"/>
        <v>1.2730578084389795E-2</v>
      </c>
      <c r="BB397" s="34">
        <f t="shared" si="205"/>
        <v>0.93153161741793156</v>
      </c>
      <c r="BC397" s="34">
        <f t="shared" si="197"/>
        <v>0.28409034200012684</v>
      </c>
      <c r="BD397" s="16">
        <f t="shared" si="198"/>
        <v>79.699999999999747</v>
      </c>
      <c r="BE397" s="16" t="e">
        <f t="shared" si="199"/>
        <v>#N/A</v>
      </c>
      <c r="BF397" s="16">
        <f t="shared" si="200"/>
        <v>1.8813864650618457E-3</v>
      </c>
      <c r="BU397" s="16">
        <f t="shared" si="183"/>
        <v>0</v>
      </c>
      <c r="BV397" s="16">
        <f>IF($BY$12=1,NORMDIST(BY397,$Y$6,$Y$8,TRUE),IF($BY$12=2,IF(BY397&lt;=$BX$31,0,IF(BY397&gt;=$BX$32,1,(BY397-$BX$31)*$BX$33)),SUM($BU$42:BU397)/$BV$40))</f>
        <v>0.23422601521269848</v>
      </c>
      <c r="BW397" s="16">
        <f t="shared" si="184"/>
        <v>0.54446554857763407</v>
      </c>
      <c r="BX397" s="16">
        <f>IF($BY$12&lt;3,BV397,SUM($BZ$42:BZ397)/$BX$40)</f>
        <v>0.23422601521269848</v>
      </c>
      <c r="BY397" s="16">
        <f t="shared" si="174"/>
        <v>35.500000000000234</v>
      </c>
      <c r="BZ397" s="16">
        <f t="shared" si="175"/>
        <v>1.5337057706412126E-2</v>
      </c>
      <c r="CA397" s="16">
        <f t="shared" si="185"/>
        <v>-999</v>
      </c>
      <c r="CB397" s="16" t="str">
        <f t="shared" si="176"/>
        <v/>
      </c>
      <c r="CC397" s="16" t="e">
        <f>IF(CB397="",NA(),COUNTIF(CB397:$CB$704,CB397))</f>
        <v>#N/A</v>
      </c>
      <c r="CD397" s="16" t="e">
        <f t="shared" si="177"/>
        <v>#N/A</v>
      </c>
      <c r="CE397" s="16" t="e">
        <f t="shared" si="178"/>
        <v>#N/A</v>
      </c>
      <c r="CF397" s="16">
        <f t="shared" si="179"/>
        <v>99</v>
      </c>
      <c r="CG397" s="16">
        <f t="shared" si="180"/>
        <v>0</v>
      </c>
      <c r="CH397" s="16">
        <f t="shared" si="206"/>
        <v>0</v>
      </c>
      <c r="CJ397" s="16" t="e">
        <f t="shared" si="181"/>
        <v>#N/A</v>
      </c>
      <c r="CK397" s="16" t="str">
        <f t="shared" si="182"/>
        <v/>
      </c>
    </row>
    <row r="398" spans="1:89" ht="12" customHeight="1">
      <c r="A398" s="211"/>
      <c r="B398" s="211"/>
      <c r="C398" s="211"/>
      <c r="D398" s="211"/>
      <c r="E398" s="211"/>
      <c r="F398" s="211"/>
      <c r="G398" s="211"/>
      <c r="H398" s="211"/>
      <c r="I398" s="211"/>
      <c r="J398" s="211"/>
      <c r="K398" s="211"/>
      <c r="L398" s="211"/>
      <c r="M398" s="211"/>
      <c r="N398" s="211"/>
      <c r="O398" s="211"/>
      <c r="AM398" s="34">
        <f t="shared" si="201"/>
        <v>0.9028152097016573</v>
      </c>
      <c r="AN398" s="34">
        <f t="shared" si="186"/>
        <v>0.83361429907381535</v>
      </c>
      <c r="AO398" s="16">
        <f t="shared" si="187"/>
        <v>75.899999999999963</v>
      </c>
      <c r="AP398" s="16" t="e">
        <f t="shared" si="188"/>
        <v>#N/A</v>
      </c>
      <c r="AQ398" s="16">
        <f t="shared" si="189"/>
        <v>7.1892547646374505E-3</v>
      </c>
      <c r="AR398" s="34">
        <f t="shared" si="202"/>
        <v>0.27739639021456242</v>
      </c>
      <c r="AS398" s="34">
        <f t="shared" si="190"/>
        <v>0.50829869695007801</v>
      </c>
      <c r="AT398" s="540">
        <f t="shared" si="191"/>
        <v>38.100000000000271</v>
      </c>
      <c r="AU398" s="16" t="e">
        <f t="shared" si="192"/>
        <v>#N/A</v>
      </c>
      <c r="AV398" s="16">
        <f t="shared" si="193"/>
        <v>8.4942201864864515E-3</v>
      </c>
      <c r="AW398" s="34">
        <f t="shared" si="203"/>
        <v>0.62786871381103992</v>
      </c>
      <c r="AX398" s="34">
        <f t="shared" si="194"/>
        <v>0.30040367878973484</v>
      </c>
      <c r="AY398" s="16">
        <f t="shared" si="195"/>
        <v>56.500000000000533</v>
      </c>
      <c r="AZ398" s="16" t="e">
        <f t="shared" si="196"/>
        <v>#N/A</v>
      </c>
      <c r="BA398" s="16">
        <f t="shared" si="204"/>
        <v>5.6839354819955782E-3</v>
      </c>
      <c r="BB398" s="34">
        <f t="shared" si="205"/>
        <v>0.11317571438848972</v>
      </c>
      <c r="BC398" s="34">
        <f t="shared" si="197"/>
        <v>0.61516918428242207</v>
      </c>
      <c r="BD398" s="16">
        <f t="shared" si="198"/>
        <v>25.800000000000097</v>
      </c>
      <c r="BE398" s="16" t="e">
        <f t="shared" si="199"/>
        <v>#N/A</v>
      </c>
      <c r="BF398" s="16">
        <f t="shared" si="200"/>
        <v>5.9013227435732443E-3</v>
      </c>
      <c r="BU398" s="16">
        <f t="shared" si="183"/>
        <v>0</v>
      </c>
      <c r="BV398" s="16">
        <f>IF($BY$12=1,NORMDIST(BY398,$Y$6,$Y$8,TRUE),IF($BY$12=2,IF(BY398&lt;=$BX$31,0,IF(BY398&gt;=$BX$32,1,(BY398-$BX$31)*$BX$33)),SUM($BU$42:BU398)/$BV$40))</f>
        <v>0.23576249777925473</v>
      </c>
      <c r="BW398" s="16">
        <f t="shared" si="184"/>
        <v>0.54797524363634653</v>
      </c>
      <c r="BX398" s="16">
        <f>IF($BY$12&lt;3,BV398,SUM($BZ$42:BZ398)/$BX$40)</f>
        <v>0.23576249777925473</v>
      </c>
      <c r="BY398" s="16">
        <f t="shared" si="174"/>
        <v>35.600000000000236</v>
      </c>
      <c r="BZ398" s="16">
        <f t="shared" si="175"/>
        <v>1.5392563023492777E-2</v>
      </c>
      <c r="CA398" s="16">
        <f t="shared" si="185"/>
        <v>-999</v>
      </c>
      <c r="CB398" s="16" t="str">
        <f t="shared" si="176"/>
        <v/>
      </c>
      <c r="CC398" s="16" t="e">
        <f>IF(CB398="",NA(),COUNTIF(CB398:$CB$704,CB398))</f>
        <v>#N/A</v>
      </c>
      <c r="CD398" s="16" t="e">
        <f t="shared" si="177"/>
        <v>#N/A</v>
      </c>
      <c r="CE398" s="16" t="e">
        <f t="shared" si="178"/>
        <v>#N/A</v>
      </c>
      <c r="CF398" s="16">
        <f t="shared" si="179"/>
        <v>99</v>
      </c>
      <c r="CG398" s="16">
        <f t="shared" si="180"/>
        <v>0</v>
      </c>
      <c r="CH398" s="16">
        <f t="shared" si="206"/>
        <v>0</v>
      </c>
      <c r="CJ398" s="16" t="e">
        <f t="shared" si="181"/>
        <v>#N/A</v>
      </c>
      <c r="CK398" s="16" t="str">
        <f t="shared" si="182"/>
        <v/>
      </c>
    </row>
    <row r="399" spans="1:89" ht="12" customHeight="1">
      <c r="A399" s="211"/>
      <c r="B399" s="211"/>
      <c r="C399" s="211"/>
      <c r="D399" s="211"/>
      <c r="E399" s="211"/>
      <c r="F399" s="211"/>
      <c r="G399" s="211"/>
      <c r="H399" s="211"/>
      <c r="I399" s="211"/>
      <c r="J399" s="211"/>
      <c r="K399" s="211"/>
      <c r="L399" s="211"/>
      <c r="M399" s="211"/>
      <c r="N399" s="211"/>
      <c r="O399" s="211"/>
      <c r="AM399" s="34">
        <f t="shared" si="201"/>
        <v>0.8277240414172411</v>
      </c>
      <c r="AN399" s="34">
        <f t="shared" si="186"/>
        <v>0.17458494938910007</v>
      </c>
      <c r="AO399" s="16">
        <f t="shared" si="187"/>
        <v>68.900000000000361</v>
      </c>
      <c r="AP399" s="16" t="e">
        <f t="shared" si="188"/>
        <v>#N/A</v>
      </c>
      <c r="AQ399" s="16">
        <f t="shared" si="189"/>
        <v>2.2282758665274028E-3</v>
      </c>
      <c r="AR399" s="34">
        <f t="shared" si="202"/>
        <v>0.57738384045660496</v>
      </c>
      <c r="AS399" s="34">
        <f t="shared" si="190"/>
        <v>0.91055597551167011</v>
      </c>
      <c r="AT399" s="540">
        <f t="shared" si="191"/>
        <v>53.900000000000496</v>
      </c>
      <c r="AU399" s="16" t="e">
        <f t="shared" si="192"/>
        <v>#N/A</v>
      </c>
      <c r="AV399" s="16">
        <f t="shared" si="193"/>
        <v>1.7820902539011026E-2</v>
      </c>
      <c r="AW399" s="34">
        <f t="shared" si="203"/>
        <v>0.69314517267048359</v>
      </c>
      <c r="AX399" s="34">
        <f t="shared" si="194"/>
        <v>0.73759208060801029</v>
      </c>
      <c r="AY399" s="16">
        <f t="shared" si="195"/>
        <v>60.000000000000583</v>
      </c>
      <c r="AZ399" s="16" t="e">
        <f t="shared" si="196"/>
        <v>#N/A</v>
      </c>
      <c r="BA399" s="16">
        <f t="shared" si="204"/>
        <v>1.2984029843900744E-2</v>
      </c>
      <c r="BB399" s="34">
        <f t="shared" si="205"/>
        <v>0.84002361632883549</v>
      </c>
      <c r="BC399" s="34">
        <f t="shared" si="197"/>
        <v>8.3595367148518562E-2</v>
      </c>
      <c r="BD399" s="16">
        <f t="shared" si="198"/>
        <v>69.80000000000031</v>
      </c>
      <c r="BE399" s="16" t="e">
        <f t="shared" si="199"/>
        <v>#N/A</v>
      </c>
      <c r="BF399" s="16">
        <f t="shared" si="200"/>
        <v>1.0214950555812801E-3</v>
      </c>
      <c r="BU399" s="16">
        <f t="shared" si="183"/>
        <v>0</v>
      </c>
      <c r="BV399" s="16">
        <f>IF($BY$12=1,NORMDIST(BY399,$Y$6,$Y$8,TRUE),IF($BY$12=2,IF(BY399&lt;=$BX$31,0,IF(BY399&gt;=$BX$32,1,(BY399-$BX$31)*$BX$33)),SUM($BU$42:BU399)/$BV$40))</f>
        <v>0.23730452163985105</v>
      </c>
      <c r="BW399" s="16">
        <f t="shared" si="184"/>
        <v>0.55148942360842745</v>
      </c>
      <c r="BX399" s="16">
        <f>IF($BY$12&lt;3,BV399,SUM($BZ$42:BZ399)/$BX$40)</f>
        <v>0.23730452163985105</v>
      </c>
      <c r="BY399" s="16">
        <f t="shared" si="174"/>
        <v>35.700000000000237</v>
      </c>
      <c r="BZ399" s="16">
        <f t="shared" si="175"/>
        <v>1.5447883014241564E-2</v>
      </c>
      <c r="CA399" s="16">
        <f t="shared" si="185"/>
        <v>-999</v>
      </c>
      <c r="CB399" s="16" t="str">
        <f t="shared" si="176"/>
        <v/>
      </c>
      <c r="CC399" s="16" t="e">
        <f>IF(CB399="",NA(),COUNTIF(CB399:$CB$704,CB399))</f>
        <v>#N/A</v>
      </c>
      <c r="CD399" s="16" t="e">
        <f t="shared" si="177"/>
        <v>#N/A</v>
      </c>
      <c r="CE399" s="16" t="e">
        <f t="shared" si="178"/>
        <v>#N/A</v>
      </c>
      <c r="CF399" s="16">
        <f t="shared" si="179"/>
        <v>99</v>
      </c>
      <c r="CG399" s="16">
        <f t="shared" si="180"/>
        <v>0</v>
      </c>
      <c r="CH399" s="16">
        <f t="shared" si="206"/>
        <v>0</v>
      </c>
      <c r="CJ399" s="16" t="e">
        <f t="shared" si="181"/>
        <v>#N/A</v>
      </c>
      <c r="CK399" s="16" t="str">
        <f t="shared" si="182"/>
        <v/>
      </c>
    </row>
    <row r="400" spans="1:89" ht="12" customHeight="1">
      <c r="A400" s="211"/>
      <c r="B400" s="211"/>
      <c r="C400" s="211"/>
      <c r="D400" s="211"/>
      <c r="E400" s="211"/>
      <c r="F400" s="211"/>
      <c r="G400" s="211"/>
      <c r="H400" s="211"/>
      <c r="I400" s="211"/>
      <c r="J400" s="211"/>
      <c r="K400" s="211"/>
      <c r="L400" s="211"/>
      <c r="M400" s="211"/>
      <c r="N400" s="211"/>
      <c r="O400" s="211"/>
      <c r="AM400" s="34">
        <f t="shared" si="201"/>
        <v>0.76349534280598164</v>
      </c>
      <c r="AN400" s="34">
        <f t="shared" si="186"/>
        <v>0.3534992728382349</v>
      </c>
      <c r="AO400" s="16">
        <f t="shared" si="187"/>
        <v>64.300000000000622</v>
      </c>
      <c r="AP400" s="16" t="e">
        <f t="shared" si="188"/>
        <v>#N/A</v>
      </c>
      <c r="AQ400" s="16">
        <f t="shared" si="189"/>
        <v>5.4608154124243446E-3</v>
      </c>
      <c r="AR400" s="34">
        <f t="shared" si="202"/>
        <v>0.5923443827778101</v>
      </c>
      <c r="AS400" s="34">
        <f t="shared" si="190"/>
        <v>0.52825507707893848</v>
      </c>
      <c r="AT400" s="540">
        <f t="shared" si="191"/>
        <v>54.600000000000506</v>
      </c>
      <c r="AU400" s="16" t="e">
        <f t="shared" si="192"/>
        <v>#N/A</v>
      </c>
      <c r="AV400" s="16">
        <f t="shared" si="193"/>
        <v>1.026210988916933E-2</v>
      </c>
      <c r="AW400" s="34">
        <f t="shared" si="203"/>
        <v>0.39477715082466602</v>
      </c>
      <c r="AX400" s="34">
        <f t="shared" si="194"/>
        <v>0.64034962095320225</v>
      </c>
      <c r="AY400" s="16">
        <f t="shared" si="195"/>
        <v>44.600000000000364</v>
      </c>
      <c r="AZ400" s="16" t="e">
        <f t="shared" si="196"/>
        <v>#N/A</v>
      </c>
      <c r="BA400" s="16">
        <f t="shared" si="204"/>
        <v>1.2315929467875056E-2</v>
      </c>
      <c r="BB400" s="34">
        <f t="shared" si="205"/>
        <v>0.75822495855391026</v>
      </c>
      <c r="BC400" s="34">
        <f t="shared" si="197"/>
        <v>0.44246356375515461</v>
      </c>
      <c r="BD400" s="16">
        <f t="shared" si="198"/>
        <v>64.000000000000639</v>
      </c>
      <c r="BE400" s="16" t="e">
        <f t="shared" si="199"/>
        <v>#N/A</v>
      </c>
      <c r="BF400" s="16">
        <f t="shared" si="200"/>
        <v>6.9080494077009323E-3</v>
      </c>
      <c r="BU400" s="16">
        <f t="shared" si="183"/>
        <v>0</v>
      </c>
      <c r="BV400" s="16">
        <f>IF($BY$12=1,NORMDIST(BY400,$Y$6,$Y$8,TRUE),IF($BY$12=2,IF(BY400&lt;=$BX$31,0,IF(BY400&gt;=$BX$32,1,(BY400-$BX$31)*$BX$33)),SUM($BU$42:BU400)/$BV$40))</f>
        <v>0.23885206808999038</v>
      </c>
      <c r="BW400" s="16">
        <f t="shared" si="184"/>
        <v>0.55500790985182324</v>
      </c>
      <c r="BX400" s="16">
        <f>IF($BY$12&lt;3,BV400,SUM($BZ$42:BZ400)/$BX$40)</f>
        <v>0.23885206808999038</v>
      </c>
      <c r="BY400" s="16">
        <f t="shared" si="174"/>
        <v>35.800000000000239</v>
      </c>
      <c r="BZ400" s="16">
        <f t="shared" si="175"/>
        <v>1.5503014241670936E-2</v>
      </c>
      <c r="CA400" s="16">
        <f t="shared" si="185"/>
        <v>-999</v>
      </c>
      <c r="CB400" s="16" t="str">
        <f t="shared" si="176"/>
        <v/>
      </c>
      <c r="CC400" s="16" t="e">
        <f>IF(CB400="",NA(),COUNTIF(CB400:$CB$704,CB400))</f>
        <v>#N/A</v>
      </c>
      <c r="CD400" s="16" t="e">
        <f t="shared" si="177"/>
        <v>#N/A</v>
      </c>
      <c r="CE400" s="16" t="e">
        <f t="shared" si="178"/>
        <v>#N/A</v>
      </c>
      <c r="CF400" s="16">
        <f t="shared" si="179"/>
        <v>99</v>
      </c>
      <c r="CG400" s="16">
        <f t="shared" si="180"/>
        <v>0</v>
      </c>
      <c r="CH400" s="16">
        <f t="shared" si="206"/>
        <v>0</v>
      </c>
      <c r="CJ400" s="16" t="e">
        <f t="shared" si="181"/>
        <v>#N/A</v>
      </c>
      <c r="CK400" s="16" t="str">
        <f t="shared" si="182"/>
        <v/>
      </c>
    </row>
    <row r="401" spans="1:89" ht="12" customHeight="1">
      <c r="A401" s="211"/>
      <c r="B401" s="211"/>
      <c r="C401" s="211"/>
      <c r="D401" s="211"/>
      <c r="E401" s="211"/>
      <c r="F401" s="211"/>
      <c r="G401" s="211"/>
      <c r="H401" s="211"/>
      <c r="I401" s="211"/>
      <c r="J401" s="211"/>
      <c r="K401" s="211"/>
      <c r="L401" s="211"/>
      <c r="M401" s="211"/>
      <c r="N401" s="211"/>
      <c r="O401" s="211"/>
      <c r="AM401" s="34">
        <f t="shared" si="201"/>
        <v>0.32387289591133595</v>
      </c>
      <c r="AN401" s="34">
        <f t="shared" si="186"/>
        <v>0.16946100629866123</v>
      </c>
      <c r="AO401" s="16">
        <f t="shared" si="187"/>
        <v>40.80000000000031</v>
      </c>
      <c r="AP401" s="16" t="e">
        <f t="shared" si="188"/>
        <v>#N/A</v>
      </c>
      <c r="AQ401" s="16">
        <f t="shared" si="189"/>
        <v>3.0408954934682151E-3</v>
      </c>
      <c r="AR401" s="34">
        <f t="shared" si="202"/>
        <v>0.63810538686811924</v>
      </c>
      <c r="AS401" s="34">
        <f t="shared" si="190"/>
        <v>0.16405122168362141</v>
      </c>
      <c r="AT401" s="540">
        <f t="shared" si="191"/>
        <v>57.00000000000054</v>
      </c>
      <c r="AU401" s="16" t="e">
        <f t="shared" si="192"/>
        <v>#N/A</v>
      </c>
      <c r="AV401" s="16">
        <f t="shared" si="193"/>
        <v>3.0779318668354497E-3</v>
      </c>
      <c r="AW401" s="34">
        <f t="shared" si="203"/>
        <v>0.53407709486782551</v>
      </c>
      <c r="AX401" s="34">
        <f t="shared" si="194"/>
        <v>0.89168048836290836</v>
      </c>
      <c r="AY401" s="16">
        <f t="shared" si="195"/>
        <v>51.700000000000465</v>
      </c>
      <c r="AZ401" s="16" t="e">
        <f t="shared" si="196"/>
        <v>#N/A</v>
      </c>
      <c r="BA401" s="16">
        <f t="shared" si="204"/>
        <v>1.7722314730022611E-2</v>
      </c>
      <c r="BB401" s="34">
        <f t="shared" si="205"/>
        <v>0.38957787491381168</v>
      </c>
      <c r="BC401" s="34">
        <f t="shared" si="197"/>
        <v>0.81365049071609974</v>
      </c>
      <c r="BD401" s="16">
        <f t="shared" si="198"/>
        <v>44.30000000000036</v>
      </c>
      <c r="BE401" s="16" t="e">
        <f t="shared" si="199"/>
        <v>#N/A</v>
      </c>
      <c r="BF401" s="16">
        <f t="shared" si="200"/>
        <v>1.5584044376317526E-2</v>
      </c>
      <c r="BU401" s="16">
        <f t="shared" si="183"/>
        <v>0</v>
      </c>
      <c r="BV401" s="16">
        <f>IF($BY$12=1,NORMDIST(BY401,$Y$6,$Y$8,TRUE),IF($BY$12=2,IF(BY401&lt;=$BX$31,0,IF(BY401&gt;=$BX$32,1,(BY401-$BX$31)*$BX$33)),SUM($BU$42:BU401)/$BV$40))</f>
        <v>0.24040511808156828</v>
      </c>
      <c r="BW401" s="16">
        <f t="shared" si="184"/>
        <v>0.55853052241693368</v>
      </c>
      <c r="BX401" s="16">
        <f>IF($BY$12&lt;3,BV401,SUM($BZ$42:BZ401)/$BX$40)</f>
        <v>0.24040511808156828</v>
      </c>
      <c r="BY401" s="16">
        <f t="shared" si="174"/>
        <v>35.90000000000024</v>
      </c>
      <c r="BZ401" s="16">
        <f t="shared" si="175"/>
        <v>1.5557953270666572E-2</v>
      </c>
      <c r="CA401" s="16">
        <f t="shared" si="185"/>
        <v>-999</v>
      </c>
      <c r="CB401" s="16" t="str">
        <f t="shared" si="176"/>
        <v/>
      </c>
      <c r="CC401" s="16" t="e">
        <f>IF(CB401="",NA(),COUNTIF(CB401:$CB$704,CB401))</f>
        <v>#N/A</v>
      </c>
      <c r="CD401" s="16" t="e">
        <f t="shared" si="177"/>
        <v>#N/A</v>
      </c>
      <c r="CE401" s="16" t="e">
        <f t="shared" si="178"/>
        <v>#N/A</v>
      </c>
      <c r="CF401" s="16">
        <f t="shared" si="179"/>
        <v>99</v>
      </c>
      <c r="CG401" s="16">
        <f t="shared" si="180"/>
        <v>0</v>
      </c>
      <c r="CH401" s="16">
        <f t="shared" si="206"/>
        <v>0</v>
      </c>
      <c r="CJ401" s="16" t="e">
        <f t="shared" si="181"/>
        <v>#N/A</v>
      </c>
      <c r="CK401" s="16" t="str">
        <f t="shared" si="182"/>
        <v/>
      </c>
    </row>
    <row r="402" spans="1:89" ht="12" customHeight="1">
      <c r="A402" s="211"/>
      <c r="B402" s="211"/>
      <c r="C402" s="211"/>
      <c r="D402" s="211"/>
      <c r="E402" s="211"/>
      <c r="F402" s="211"/>
      <c r="G402" s="211"/>
      <c r="H402" s="211"/>
      <c r="I402" s="211"/>
      <c r="J402" s="211"/>
      <c r="K402" s="211"/>
      <c r="L402" s="211"/>
      <c r="M402" s="211"/>
      <c r="N402" s="211"/>
      <c r="O402" s="211"/>
      <c r="AM402" s="34">
        <f t="shared" si="201"/>
        <v>0.2659796942025423</v>
      </c>
      <c r="AN402" s="34">
        <f t="shared" si="186"/>
        <v>0.39976144768297672</v>
      </c>
      <c r="AO402" s="16">
        <f t="shared" si="187"/>
        <v>37.400000000000261</v>
      </c>
      <c r="AP402" s="16" t="e">
        <f t="shared" si="188"/>
        <v>#N/A</v>
      </c>
      <c r="AQ402" s="16">
        <f t="shared" si="189"/>
        <v>6.5387576238490419E-3</v>
      </c>
      <c r="AR402" s="34">
        <f t="shared" si="202"/>
        <v>0.34950209595263004</v>
      </c>
      <c r="AS402" s="34">
        <f t="shared" si="190"/>
        <v>0.50305354781448841</v>
      </c>
      <c r="AT402" s="540">
        <f t="shared" si="191"/>
        <v>42.20000000000033</v>
      </c>
      <c r="AU402" s="16" t="e">
        <f t="shared" si="192"/>
        <v>#N/A</v>
      </c>
      <c r="AV402" s="16">
        <f t="shared" si="193"/>
        <v>9.2996411608745819E-3</v>
      </c>
      <c r="AW402" s="34">
        <f t="shared" si="203"/>
        <v>0.47547543235123158</v>
      </c>
      <c r="AX402" s="34">
        <f t="shared" si="194"/>
        <v>0.50469293631613255</v>
      </c>
      <c r="AY402" s="16">
        <f t="shared" si="195"/>
        <v>48.700000000000422</v>
      </c>
      <c r="AZ402" s="16" t="e">
        <f t="shared" si="196"/>
        <v>#N/A</v>
      </c>
      <c r="BA402" s="16">
        <f t="shared" si="204"/>
        <v>1.0045923101726742E-2</v>
      </c>
      <c r="BB402" s="34">
        <f t="shared" si="205"/>
        <v>0.48461737670004368</v>
      </c>
      <c r="BC402" s="34">
        <f t="shared" si="197"/>
        <v>6.7026333883404732E-2</v>
      </c>
      <c r="BD402" s="16">
        <f t="shared" si="198"/>
        <v>49.200000000000429</v>
      </c>
      <c r="BE402" s="16" t="e">
        <f t="shared" si="199"/>
        <v>#N/A</v>
      </c>
      <c r="BF402" s="16">
        <f t="shared" si="200"/>
        <v>1.3359127665003598E-3</v>
      </c>
      <c r="BU402" s="16">
        <f t="shared" si="183"/>
        <v>0</v>
      </c>
      <c r="BV402" s="16">
        <f>IF($BY$12=1,NORMDIST(BY402,$Y$6,$Y$8,TRUE),IF($BY$12=2,IF(BY402&lt;=$BX$31,0,IF(BY402&gt;=$BX$32,1,(BY402-$BX$31)*$BX$33)),SUM($BU$42:BU402)/$BV$40))</f>
        <v>0.24196365222307681</v>
      </c>
      <c r="BW402" s="16">
        <f t="shared" si="184"/>
        <v>0.56205708006017874</v>
      </c>
      <c r="BX402" s="16">
        <f>IF($BY$12&lt;3,BV402,SUM($BZ$42:BZ402)/$BX$40)</f>
        <v>0.24196365222307681</v>
      </c>
      <c r="BY402" s="16">
        <f t="shared" si="174"/>
        <v>36.000000000000242</v>
      </c>
      <c r="BZ402" s="16">
        <f t="shared" si="175"/>
        <v>1.5612696668338194E-2</v>
      </c>
      <c r="CA402" s="16">
        <f t="shared" si="185"/>
        <v>-999</v>
      </c>
      <c r="CB402" s="16" t="str">
        <f t="shared" si="176"/>
        <v/>
      </c>
      <c r="CC402" s="16" t="e">
        <f>IF(CB402="",NA(),COUNTIF(CB402:$CB$704,CB402))</f>
        <v>#N/A</v>
      </c>
      <c r="CD402" s="16" t="e">
        <f t="shared" si="177"/>
        <v>#N/A</v>
      </c>
      <c r="CE402" s="16" t="e">
        <f t="shared" si="178"/>
        <v>#N/A</v>
      </c>
      <c r="CF402" s="16">
        <f t="shared" si="179"/>
        <v>99</v>
      </c>
      <c r="CG402" s="16">
        <f t="shared" si="180"/>
        <v>0</v>
      </c>
      <c r="CH402" s="16">
        <f t="shared" si="206"/>
        <v>0</v>
      </c>
      <c r="CJ402" s="16" t="e">
        <f t="shared" si="181"/>
        <v>#N/A</v>
      </c>
      <c r="CK402" s="16" t="str">
        <f t="shared" si="182"/>
        <v/>
      </c>
    </row>
    <row r="403" spans="1:89" ht="12" customHeight="1">
      <c r="A403" s="211"/>
      <c r="B403" s="211"/>
      <c r="C403" s="211"/>
      <c r="D403" s="211"/>
      <c r="E403" s="211"/>
      <c r="F403" s="211"/>
      <c r="G403" s="211"/>
      <c r="H403" s="211"/>
      <c r="I403" s="211"/>
      <c r="J403" s="211"/>
      <c r="K403" s="211"/>
      <c r="L403" s="211"/>
      <c r="M403" s="211"/>
      <c r="N403" s="211"/>
      <c r="O403" s="211"/>
      <c r="AM403" s="34">
        <f t="shared" si="201"/>
        <v>0.67372858710587025</v>
      </c>
      <c r="AN403" s="34">
        <f t="shared" si="186"/>
        <v>0.62953033484518528</v>
      </c>
      <c r="AO403" s="16">
        <f t="shared" si="187"/>
        <v>59.000000000000568</v>
      </c>
      <c r="AP403" s="16" t="e">
        <f t="shared" si="188"/>
        <v>#N/A</v>
      </c>
      <c r="AQ403" s="16">
        <f t="shared" si="189"/>
        <v>1.1348132969959793E-2</v>
      </c>
      <c r="AR403" s="34">
        <f t="shared" si="202"/>
        <v>1.7841005697846413E-2</v>
      </c>
      <c r="AS403" s="34">
        <f t="shared" si="190"/>
        <v>0.28891153819859028</v>
      </c>
      <c r="AT403" s="540">
        <f t="shared" si="191"/>
        <v>7.8999999999999879</v>
      </c>
      <c r="AU403" s="16" t="e">
        <f t="shared" si="192"/>
        <v>#N/A</v>
      </c>
      <c r="AV403" s="16">
        <f t="shared" si="193"/>
        <v>6.2872409343467015E-4</v>
      </c>
      <c r="AW403" s="34">
        <f t="shared" si="203"/>
        <v>0.92416949756443501</v>
      </c>
      <c r="AX403" s="34">
        <f t="shared" si="194"/>
        <v>0.98984781838953495</v>
      </c>
      <c r="AY403" s="16">
        <f t="shared" si="195"/>
        <v>78.59999999999981</v>
      </c>
      <c r="AZ403" s="16" t="e">
        <f t="shared" si="196"/>
        <v>#N/A</v>
      </c>
      <c r="BA403" s="16" t="e">
        <f t="shared" si="204"/>
        <v>#N/A</v>
      </c>
      <c r="BB403" s="34">
        <f t="shared" si="205"/>
        <v>0.2101763878017664</v>
      </c>
      <c r="BC403" s="34">
        <f t="shared" si="197"/>
        <v>0.61031070537865162</v>
      </c>
      <c r="BD403" s="16">
        <f t="shared" si="198"/>
        <v>33.80000000000021</v>
      </c>
      <c r="BE403" s="16" t="e">
        <f t="shared" si="199"/>
        <v>#N/A</v>
      </c>
      <c r="BF403" s="16">
        <f t="shared" si="200"/>
        <v>8.7692157114155986E-3</v>
      </c>
      <c r="BU403" s="16">
        <f t="shared" si="183"/>
        <v>0</v>
      </c>
      <c r="BV403" s="16">
        <f>IF($BY$12=1,NORMDIST(BY403,$Y$6,$Y$8,TRUE),IF($BY$12=2,IF(BY403&lt;=$BX$31,0,IF(BY403&gt;=$BX$32,1,(BY403-$BX$31)*$BX$33)),SUM($BU$42:BU403)/$BV$40))</f>
        <v>0.24352765077984473</v>
      </c>
      <c r="BW403" s="16">
        <f t="shared" si="184"/>
        <v>0.56558740025780863</v>
      </c>
      <c r="BX403" s="16">
        <f>IF($BY$12&lt;3,BV403,SUM($BZ$42:BZ403)/$BX$40)</f>
        <v>0.24352765077984473</v>
      </c>
      <c r="BY403" s="16">
        <f t="shared" si="174"/>
        <v>36.100000000000243</v>
      </c>
      <c r="BZ403" s="16">
        <f t="shared" si="175"/>
        <v>1.5667241004371325E-2</v>
      </c>
      <c r="CA403" s="16">
        <f t="shared" si="185"/>
        <v>-999</v>
      </c>
      <c r="CB403" s="16" t="str">
        <f t="shared" si="176"/>
        <v/>
      </c>
      <c r="CC403" s="16" t="e">
        <f>IF(CB403="",NA(),COUNTIF(CB403:$CB$704,CB403))</f>
        <v>#N/A</v>
      </c>
      <c r="CD403" s="16" t="e">
        <f t="shared" si="177"/>
        <v>#N/A</v>
      </c>
      <c r="CE403" s="16" t="e">
        <f t="shared" si="178"/>
        <v>#N/A</v>
      </c>
      <c r="CF403" s="16">
        <f t="shared" si="179"/>
        <v>99</v>
      </c>
      <c r="CG403" s="16">
        <f t="shared" si="180"/>
        <v>0</v>
      </c>
      <c r="CH403" s="16">
        <f t="shared" si="206"/>
        <v>0</v>
      </c>
      <c r="CJ403" s="16" t="e">
        <f t="shared" si="181"/>
        <v>#N/A</v>
      </c>
      <c r="CK403" s="16" t="str">
        <f t="shared" si="182"/>
        <v/>
      </c>
    </row>
    <row r="404" spans="1:89" ht="12" customHeight="1">
      <c r="A404" s="211"/>
      <c r="B404" s="211"/>
      <c r="C404" s="211"/>
      <c r="D404" s="211"/>
      <c r="E404" s="211"/>
      <c r="F404" s="211"/>
      <c r="G404" s="211"/>
      <c r="H404" s="211"/>
      <c r="I404" s="211"/>
      <c r="J404" s="211"/>
      <c r="K404" s="211"/>
      <c r="L404" s="211"/>
      <c r="M404" s="211"/>
      <c r="N404" s="211"/>
      <c r="O404" s="211"/>
      <c r="AM404" s="34">
        <f t="shared" si="201"/>
        <v>0.53234620578587055</v>
      </c>
      <c r="AN404" s="34">
        <f t="shared" si="186"/>
        <v>0.97835938073694706</v>
      </c>
      <c r="AO404" s="16">
        <f t="shared" si="187"/>
        <v>51.600000000000463</v>
      </c>
      <c r="AP404" s="16" t="e">
        <f t="shared" si="188"/>
        <v>#N/A</v>
      </c>
      <c r="AQ404" s="16" t="e">
        <f t="shared" si="189"/>
        <v>#N/A</v>
      </c>
      <c r="AR404" s="34">
        <f t="shared" si="202"/>
        <v>0.1378358993679285</v>
      </c>
      <c r="AS404" s="34">
        <f t="shared" si="190"/>
        <v>0.78554597683250904</v>
      </c>
      <c r="AT404" s="540">
        <f t="shared" si="191"/>
        <v>28.100000000000129</v>
      </c>
      <c r="AU404" s="16" t="e">
        <f t="shared" si="192"/>
        <v>#N/A</v>
      </c>
      <c r="AV404" s="16">
        <f t="shared" si="193"/>
        <v>8.6037287180102118E-3</v>
      </c>
      <c r="AW404" s="34">
        <f t="shared" si="203"/>
        <v>5.191698856651783E-2</v>
      </c>
      <c r="AX404" s="34">
        <f t="shared" si="194"/>
        <v>0.56058602966368198</v>
      </c>
      <c r="AY404" s="16">
        <f t="shared" si="195"/>
        <v>17.399999999999977</v>
      </c>
      <c r="AZ404" s="16" t="e">
        <f t="shared" si="196"/>
        <v>#N/A</v>
      </c>
      <c r="BA404" s="16">
        <f t="shared" si="204"/>
        <v>2.9619916930444731E-3</v>
      </c>
      <c r="BB404" s="34">
        <f t="shared" si="205"/>
        <v>0.98782568611204624</v>
      </c>
      <c r="BC404" s="34">
        <f t="shared" si="197"/>
        <v>0.70285438187420368</v>
      </c>
      <c r="BD404" s="16">
        <f t="shared" si="198"/>
        <v>94.999999999998877</v>
      </c>
      <c r="BE404" s="16" t="e">
        <f t="shared" si="199"/>
        <v>#N/A</v>
      </c>
      <c r="BF404" s="16" t="e">
        <f t="shared" si="200"/>
        <v>#N/A</v>
      </c>
      <c r="BU404" s="16">
        <f t="shared" si="183"/>
        <v>0</v>
      </c>
      <c r="BV404" s="16">
        <f>IF($BY$12=1,NORMDIST(BY404,$Y$6,$Y$8,TRUE),IF($BY$12=2,IF(BY404&lt;=$BX$31,0,IF(BY404&gt;=$BX$32,1,(BY404-$BX$31)*$BX$33)),SUM($BU$42:BU404)/$BV$40))</f>
        <v>0.24509709367431332</v>
      </c>
      <c r="BW404" s="16">
        <f t="shared" si="184"/>
        <v>0.56912129921995958</v>
      </c>
      <c r="BX404" s="16">
        <f>IF($BY$12&lt;3,BV404,SUM($BZ$42:BZ404)/$BX$40)</f>
        <v>0.24509709367431332</v>
      </c>
      <c r="BY404" s="16">
        <f t="shared" si="174"/>
        <v>36.200000000000244</v>
      </c>
      <c r="BZ404" s="16">
        <f t="shared" si="175"/>
        <v>1.5721582851379992E-2</v>
      </c>
      <c r="CA404" s="16">
        <f t="shared" si="185"/>
        <v>-999</v>
      </c>
      <c r="CB404" s="16" t="str">
        <f t="shared" si="176"/>
        <v/>
      </c>
      <c r="CC404" s="16" t="e">
        <f>IF(CB404="",NA(),COUNTIF(CB404:$CB$704,CB404))</f>
        <v>#N/A</v>
      </c>
      <c r="CD404" s="16" t="e">
        <f t="shared" si="177"/>
        <v>#N/A</v>
      </c>
      <c r="CE404" s="16" t="e">
        <f t="shared" si="178"/>
        <v>#N/A</v>
      </c>
      <c r="CF404" s="16">
        <f t="shared" si="179"/>
        <v>99</v>
      </c>
      <c r="CG404" s="16">
        <f t="shared" si="180"/>
        <v>0</v>
      </c>
      <c r="CH404" s="16">
        <f t="shared" si="206"/>
        <v>0</v>
      </c>
      <c r="CJ404" s="16" t="e">
        <f t="shared" si="181"/>
        <v>#N/A</v>
      </c>
      <c r="CK404" s="16" t="str">
        <f t="shared" si="182"/>
        <v/>
      </c>
    </row>
    <row r="405" spans="1:89" ht="12" customHeight="1">
      <c r="A405" s="211"/>
      <c r="B405" s="211"/>
      <c r="C405" s="211"/>
      <c r="D405" s="211"/>
      <c r="E405" s="211"/>
      <c r="F405" s="211"/>
      <c r="G405" s="211"/>
      <c r="H405" s="211"/>
      <c r="I405" s="211"/>
      <c r="J405" s="211"/>
      <c r="K405" s="211"/>
      <c r="L405" s="211"/>
      <c r="M405" s="211"/>
      <c r="N405" s="211"/>
      <c r="O405" s="211"/>
      <c r="AM405" s="34">
        <f t="shared" si="201"/>
        <v>0.52604142017662525</v>
      </c>
      <c r="AN405" s="34">
        <f t="shared" si="186"/>
        <v>4.0304714813828468E-2</v>
      </c>
      <c r="AO405" s="16">
        <f t="shared" si="187"/>
        <v>51.300000000000459</v>
      </c>
      <c r="AP405" s="16" t="e">
        <f t="shared" si="188"/>
        <v>#N/A</v>
      </c>
      <c r="AQ405" s="16">
        <f t="shared" si="189"/>
        <v>8.0226616328769819E-4</v>
      </c>
      <c r="AR405" s="34">
        <f t="shared" si="202"/>
        <v>0.98042278923094273</v>
      </c>
      <c r="AS405" s="34">
        <f t="shared" si="190"/>
        <v>0.63780568726360798</v>
      </c>
      <c r="AT405" s="540">
        <f t="shared" si="191"/>
        <v>91.199999999999093</v>
      </c>
      <c r="AU405" s="16" t="e">
        <f t="shared" si="192"/>
        <v>#N/A</v>
      </c>
      <c r="AV405" s="16">
        <f t="shared" si="193"/>
        <v>1.5243420354287135E-3</v>
      </c>
      <c r="AW405" s="34">
        <f t="shared" si="203"/>
        <v>0.58425520546734333</v>
      </c>
      <c r="AX405" s="34">
        <f t="shared" si="194"/>
        <v>0.6499911043792963</v>
      </c>
      <c r="AY405" s="16">
        <f t="shared" si="195"/>
        <v>54.2000000000005</v>
      </c>
      <c r="AZ405" s="16" t="e">
        <f t="shared" si="196"/>
        <v>#N/A</v>
      </c>
      <c r="BA405" s="16">
        <f t="shared" si="204"/>
        <v>1.268268744884107E-2</v>
      </c>
      <c r="BB405" s="34">
        <f t="shared" si="205"/>
        <v>0.95584900118410587</v>
      </c>
      <c r="BC405" s="34">
        <f t="shared" si="197"/>
        <v>0.43787807412445545</v>
      </c>
      <c r="BD405" s="16">
        <f t="shared" si="198"/>
        <v>83.999999999999503</v>
      </c>
      <c r="BE405" s="16" t="e">
        <f t="shared" si="199"/>
        <v>#N/A</v>
      </c>
      <c r="BF405" s="16">
        <f t="shared" si="200"/>
        <v>2.0591014437487442E-3</v>
      </c>
      <c r="BU405" s="16">
        <f t="shared" si="183"/>
        <v>0</v>
      </c>
      <c r="BV405" s="16">
        <f>IF($BY$12=1,NORMDIST(BY405,$Y$6,$Y$8,TRUE),IF($BY$12=2,IF(BY405&lt;=$BX$31,0,IF(BY405&gt;=$BX$32,1,(BY405-$BX$31)*$BX$33)),SUM($BU$42:BU405)/$BV$40))</f>
        <v>0.24667196048634576</v>
      </c>
      <c r="BW405" s="16">
        <f t="shared" si="184"/>
        <v>0.57265859190495272</v>
      </c>
      <c r="BX405" s="16">
        <f>IF($BY$12&lt;3,BV405,SUM($BZ$42:BZ405)/$BX$40)</f>
        <v>0.24667196048634576</v>
      </c>
      <c r="BY405" s="16">
        <f t="shared" si="174"/>
        <v>36.300000000000246</v>
      </c>
      <c r="BZ405" s="16">
        <f t="shared" si="175"/>
        <v>1.5775718785260299E-2</v>
      </c>
      <c r="CA405" s="16">
        <f t="shared" si="185"/>
        <v>-999</v>
      </c>
      <c r="CB405" s="16" t="str">
        <f t="shared" si="176"/>
        <v/>
      </c>
      <c r="CC405" s="16" t="e">
        <f>IF(CB405="",NA(),COUNTIF(CB405:$CB$704,CB405))</f>
        <v>#N/A</v>
      </c>
      <c r="CD405" s="16" t="e">
        <f t="shared" si="177"/>
        <v>#N/A</v>
      </c>
      <c r="CE405" s="16" t="e">
        <f t="shared" si="178"/>
        <v>#N/A</v>
      </c>
      <c r="CF405" s="16">
        <f t="shared" si="179"/>
        <v>99</v>
      </c>
      <c r="CG405" s="16">
        <f t="shared" si="180"/>
        <v>0</v>
      </c>
      <c r="CH405" s="16">
        <f t="shared" si="206"/>
        <v>0</v>
      </c>
      <c r="CJ405" s="16" t="e">
        <f t="shared" si="181"/>
        <v>#N/A</v>
      </c>
      <c r="CK405" s="16" t="str">
        <f t="shared" si="182"/>
        <v/>
      </c>
    </row>
    <row r="406" spans="1:89" ht="12" customHeight="1">
      <c r="A406" s="211"/>
      <c r="B406" s="211"/>
      <c r="C406" s="211"/>
      <c r="D406" s="211"/>
      <c r="E406" s="211"/>
      <c r="F406" s="211"/>
      <c r="G406" s="211"/>
      <c r="H406" s="211"/>
      <c r="I406" s="211"/>
      <c r="J406" s="211"/>
      <c r="K406" s="211"/>
      <c r="L406" s="211"/>
      <c r="M406" s="211"/>
      <c r="N406" s="211"/>
      <c r="O406" s="211"/>
      <c r="AM406" s="34">
        <f t="shared" si="201"/>
        <v>0.67209957726299763</v>
      </c>
      <c r="AN406" s="34">
        <f t="shared" si="186"/>
        <v>0.50992448069155216</v>
      </c>
      <c r="AO406" s="16">
        <f t="shared" si="187"/>
        <v>58.900000000000567</v>
      </c>
      <c r="AP406" s="16" t="e">
        <f t="shared" si="188"/>
        <v>#N/A</v>
      </c>
      <c r="AQ406" s="16">
        <f t="shared" si="189"/>
        <v>9.2126665027422935E-3</v>
      </c>
      <c r="AR406" s="34">
        <f t="shared" si="202"/>
        <v>0.16411001421511173</v>
      </c>
      <c r="AS406" s="34">
        <f t="shared" si="190"/>
        <v>0.27558130212128162</v>
      </c>
      <c r="AT406" s="540">
        <f t="shared" si="191"/>
        <v>30.400000000000162</v>
      </c>
      <c r="AU406" s="16" t="e">
        <f t="shared" si="192"/>
        <v>#N/A</v>
      </c>
      <c r="AV406" s="16">
        <f t="shared" si="193"/>
        <v>3.4008040393178167E-3</v>
      </c>
      <c r="AW406" s="34">
        <f t="shared" si="203"/>
        <v>0.49367731995880604</v>
      </c>
      <c r="AX406" s="34">
        <f t="shared" si="194"/>
        <v>0.61739321984350681</v>
      </c>
      <c r="AY406" s="16">
        <f t="shared" si="195"/>
        <v>49.600000000000435</v>
      </c>
      <c r="AZ406" s="16" t="e">
        <f t="shared" si="196"/>
        <v>#N/A</v>
      </c>
      <c r="BA406" s="16">
        <f t="shared" si="204"/>
        <v>1.231275015513514E-2</v>
      </c>
      <c r="BB406" s="34">
        <f t="shared" si="205"/>
        <v>0.4336595181375742</v>
      </c>
      <c r="BC406" s="34">
        <f t="shared" si="197"/>
        <v>0.81894947774708271</v>
      </c>
      <c r="BD406" s="16">
        <f t="shared" si="198"/>
        <v>46.600000000000392</v>
      </c>
      <c r="BE406" s="16" t="e">
        <f t="shared" si="199"/>
        <v>#N/A</v>
      </c>
      <c r="BF406" s="16">
        <f t="shared" si="200"/>
        <v>1.6101325333593462E-2</v>
      </c>
      <c r="BU406" s="16">
        <f t="shared" si="183"/>
        <v>0</v>
      </c>
      <c r="BV406" s="16">
        <f>IF($BY$12=1,NORMDIST(BY406,$Y$6,$Y$8,TRUE),IF($BY$12=2,IF(BY406&lt;=$BX$31,0,IF(BY406&gt;=$BX$32,1,(BY406-$BX$31)*$BX$33)),SUM($BU$42:BU406)/$BV$40))</f>
        <v>0.24825223045357436</v>
      </c>
      <c r="BW406" s="16">
        <f t="shared" si="184"/>
        <v>0.57619909203383357</v>
      </c>
      <c r="BX406" s="16">
        <f>IF($BY$12&lt;3,BV406,SUM($BZ$42:BZ406)/$BX$40)</f>
        <v>0.24825223045357436</v>
      </c>
      <c r="BY406" s="16">
        <f t="shared" ref="BY406:BY469" si="207">BY405+$BZ$1</f>
        <v>36.400000000000247</v>
      </c>
      <c r="BZ406" s="16">
        <f t="shared" si="175"/>
        <v>1.582964538554477E-2</v>
      </c>
      <c r="CA406" s="16">
        <f t="shared" si="185"/>
        <v>-999</v>
      </c>
      <c r="CB406" s="16" t="str">
        <f t="shared" si="176"/>
        <v/>
      </c>
      <c r="CC406" s="16" t="e">
        <f>IF(CB406="",NA(),COUNTIF(CB406:$CB$704,CB406))</f>
        <v>#N/A</v>
      </c>
      <c r="CD406" s="16" t="e">
        <f t="shared" si="177"/>
        <v>#N/A</v>
      </c>
      <c r="CE406" s="16" t="e">
        <f t="shared" si="178"/>
        <v>#N/A</v>
      </c>
      <c r="CF406" s="16">
        <f t="shared" si="179"/>
        <v>99</v>
      </c>
      <c r="CG406" s="16">
        <f t="shared" si="180"/>
        <v>0</v>
      </c>
      <c r="CH406" s="16">
        <f t="shared" si="206"/>
        <v>0</v>
      </c>
      <c r="CJ406" s="16" t="e">
        <f t="shared" si="181"/>
        <v>#N/A</v>
      </c>
      <c r="CK406" s="16" t="str">
        <f t="shared" si="182"/>
        <v/>
      </c>
    </row>
    <row r="407" spans="1:89" ht="12" customHeight="1">
      <c r="A407" s="211"/>
      <c r="B407" s="211"/>
      <c r="C407" s="211"/>
      <c r="D407" s="211"/>
      <c r="E407" s="211"/>
      <c r="F407" s="211"/>
      <c r="G407" s="211"/>
      <c r="H407" s="211"/>
      <c r="I407" s="211"/>
      <c r="J407" s="211"/>
      <c r="K407" s="211"/>
      <c r="L407" s="211"/>
      <c r="M407" s="211"/>
      <c r="N407" s="211"/>
      <c r="O407" s="211"/>
      <c r="AM407" s="34">
        <f t="shared" si="201"/>
        <v>0.43593377061188221</v>
      </c>
      <c r="AN407" s="34">
        <f t="shared" si="186"/>
        <v>0.37325784005224705</v>
      </c>
      <c r="AO407" s="16">
        <f t="shared" si="187"/>
        <v>46.700000000000394</v>
      </c>
      <c r="AP407" s="16" t="e">
        <f t="shared" si="188"/>
        <v>#N/A</v>
      </c>
      <c r="AQ407" s="16">
        <f t="shared" si="189"/>
        <v>7.3447526586654967E-3</v>
      </c>
      <c r="AR407" s="34">
        <f t="shared" si="202"/>
        <v>0.60376974381506443</v>
      </c>
      <c r="AS407" s="34">
        <f t="shared" si="190"/>
        <v>0.28715731389820576</v>
      </c>
      <c r="AT407" s="540">
        <f t="shared" si="191"/>
        <v>55.200000000000514</v>
      </c>
      <c r="AU407" s="16" t="e">
        <f t="shared" si="192"/>
        <v>#N/A</v>
      </c>
      <c r="AV407" s="16">
        <f t="shared" si="193"/>
        <v>5.5375900156165577E-3</v>
      </c>
      <c r="AW407" s="34">
        <f t="shared" si="203"/>
        <v>0.22454692609608173</v>
      </c>
      <c r="AX407" s="34">
        <f t="shared" si="194"/>
        <v>0.18007085658609867</v>
      </c>
      <c r="AY407" s="16">
        <f t="shared" si="195"/>
        <v>34.800000000000225</v>
      </c>
      <c r="AZ407" s="16" t="e">
        <f t="shared" si="196"/>
        <v>#N/A</v>
      </c>
      <c r="BA407" s="16">
        <f t="shared" si="204"/>
        <v>2.6909105059012167E-3</v>
      </c>
      <c r="BB407" s="34">
        <f t="shared" si="205"/>
        <v>0.42381403781473637</v>
      </c>
      <c r="BC407" s="34">
        <f t="shared" si="197"/>
        <v>0.88772985525429249</v>
      </c>
      <c r="BD407" s="16">
        <f t="shared" si="198"/>
        <v>46.100000000000385</v>
      </c>
      <c r="BE407" s="16" t="e">
        <f t="shared" si="199"/>
        <v>#N/A</v>
      </c>
      <c r="BF407" s="16">
        <f t="shared" si="200"/>
        <v>1.7374162222775383E-2</v>
      </c>
      <c r="BU407" s="16">
        <f t="shared" si="183"/>
        <v>0</v>
      </c>
      <c r="BV407" s="16">
        <f>IF($BY$12=1,NORMDIST(BY407,$Y$6,$Y$8,TRUE),IF($BY$12=2,IF(BY407&lt;=$BX$31,0,IF(BY407&gt;=$BX$32,1,(BY407-$BX$31)*$BX$33)),SUM($BU$42:BU407)/$BV$40))</f>
        <v>0.24983788247178096</v>
      </c>
      <c r="BW407" s="16">
        <f t="shared" si="184"/>
        <v>0.57974261210515432</v>
      </c>
      <c r="BX407" s="16">
        <f>IF($BY$12&lt;3,BV407,SUM($BZ$42:BZ407)/$BX$40)</f>
        <v>0.24983788247178096</v>
      </c>
      <c r="BY407" s="16">
        <f t="shared" si="207"/>
        <v>36.500000000000249</v>
      </c>
      <c r="BZ407" s="16">
        <f t="shared" si="175"/>
        <v>1.5883359235757545E-2</v>
      </c>
      <c r="CA407" s="16">
        <f t="shared" si="185"/>
        <v>-999</v>
      </c>
      <c r="CB407" s="16" t="str">
        <f t="shared" si="176"/>
        <v/>
      </c>
      <c r="CC407" s="16" t="e">
        <f>IF(CB407="",NA(),COUNTIF(CB407:$CB$704,CB407))</f>
        <v>#N/A</v>
      </c>
      <c r="CD407" s="16" t="e">
        <f t="shared" si="177"/>
        <v>#N/A</v>
      </c>
      <c r="CE407" s="16" t="e">
        <f t="shared" si="178"/>
        <v>#N/A</v>
      </c>
      <c r="CF407" s="16">
        <f t="shared" si="179"/>
        <v>99</v>
      </c>
      <c r="CG407" s="16">
        <f t="shared" si="180"/>
        <v>0</v>
      </c>
      <c r="CH407" s="16">
        <f t="shared" si="206"/>
        <v>0</v>
      </c>
      <c r="CJ407" s="16" t="e">
        <f t="shared" si="181"/>
        <v>#N/A</v>
      </c>
      <c r="CK407" s="16" t="str">
        <f t="shared" si="182"/>
        <v/>
      </c>
    </row>
    <row r="408" spans="1:89" ht="12" customHeight="1">
      <c r="A408" s="211"/>
      <c r="B408" s="211"/>
      <c r="C408" s="211"/>
      <c r="D408" s="211"/>
      <c r="E408" s="211"/>
      <c r="F408" s="211"/>
      <c r="G408" s="211"/>
      <c r="H408" s="211"/>
      <c r="I408" s="211"/>
      <c r="J408" s="211"/>
      <c r="K408" s="211"/>
      <c r="L408" s="211"/>
      <c r="M408" s="211"/>
      <c r="N408" s="211"/>
      <c r="O408" s="211"/>
      <c r="AM408" s="34">
        <f t="shared" si="201"/>
        <v>0.25287439115345478</v>
      </c>
      <c r="AN408" s="34">
        <f t="shared" si="186"/>
        <v>0.19890163280069828</v>
      </c>
      <c r="AO408" s="16">
        <f t="shared" si="187"/>
        <v>36.60000000000025</v>
      </c>
      <c r="AP408" s="16" t="e">
        <f t="shared" si="188"/>
        <v>#N/A</v>
      </c>
      <c r="AQ408" s="16">
        <f t="shared" si="189"/>
        <v>3.1698668638490079E-3</v>
      </c>
      <c r="AR408" s="34">
        <f t="shared" si="202"/>
        <v>0.87202713824808598</v>
      </c>
      <c r="AS408" s="34">
        <f t="shared" si="190"/>
        <v>0.71883365698158741</v>
      </c>
      <c r="AT408" s="540">
        <f t="shared" si="191"/>
        <v>72.700000000000145</v>
      </c>
      <c r="AU408" s="16" t="e">
        <f t="shared" si="192"/>
        <v>#N/A</v>
      </c>
      <c r="AV408" s="16">
        <f t="shared" si="193"/>
        <v>7.529635775858458E-3</v>
      </c>
      <c r="AW408" s="34">
        <f t="shared" si="203"/>
        <v>0.90678212232887745</v>
      </c>
      <c r="AX408" s="34">
        <f t="shared" si="194"/>
        <v>1.1456364765763283E-2</v>
      </c>
      <c r="AY408" s="16">
        <f t="shared" si="195"/>
        <v>76.399999999999935</v>
      </c>
      <c r="AZ408" s="16" t="e">
        <f t="shared" si="196"/>
        <v>#N/A</v>
      </c>
      <c r="BA408" s="16">
        <f t="shared" si="204"/>
        <v>9.562458215552663E-5</v>
      </c>
      <c r="BB408" s="34">
        <f t="shared" si="205"/>
        <v>9.3031043186783791E-2</v>
      </c>
      <c r="BC408" s="34">
        <f t="shared" si="197"/>
        <v>0.64127139933407307</v>
      </c>
      <c r="BD408" s="16">
        <f t="shared" si="198"/>
        <v>23.500000000000064</v>
      </c>
      <c r="BE408" s="16" t="e">
        <f t="shared" si="199"/>
        <v>#N/A</v>
      </c>
      <c r="BF408" s="16">
        <f t="shared" si="200"/>
        <v>5.3173202309049197E-3</v>
      </c>
      <c r="BU408" s="16">
        <f t="shared" si="183"/>
        <v>0</v>
      </c>
      <c r="BV408" s="16">
        <f>IF($BY$12=1,NORMDIST(BY408,$Y$6,$Y$8,TRUE),IF($BY$12=2,IF(BY408&lt;=$BX$31,0,IF(BY408&gt;=$BX$32,1,(BY408-$BX$31)*$BX$33)),SUM($BU$42:BU408)/$BV$40))</f>
        <v>0.25142889509531419</v>
      </c>
      <c r="BW408" s="16">
        <f t="shared" si="184"/>
        <v>0.58328896340999359</v>
      </c>
      <c r="BX408" s="16">
        <f>IF($BY$12&lt;3,BV408,SUM($BZ$42:BZ408)/$BX$40)</f>
        <v>0.25142889509531419</v>
      </c>
      <c r="BY408" s="16">
        <f t="shared" si="207"/>
        <v>36.60000000000025</v>
      </c>
      <c r="BZ408" s="16">
        <f t="shared" si="175"/>
        <v>1.5936856923770209E-2</v>
      </c>
      <c r="CA408" s="16">
        <f t="shared" si="185"/>
        <v>-999</v>
      </c>
      <c r="CB408" s="16" t="str">
        <f t="shared" si="176"/>
        <v/>
      </c>
      <c r="CC408" s="16" t="e">
        <f>IF(CB408="",NA(),COUNTIF(CB408:$CB$704,CB408))</f>
        <v>#N/A</v>
      </c>
      <c r="CD408" s="16" t="e">
        <f t="shared" si="177"/>
        <v>#N/A</v>
      </c>
      <c r="CE408" s="16" t="e">
        <f t="shared" si="178"/>
        <v>#N/A</v>
      </c>
      <c r="CF408" s="16">
        <f t="shared" si="179"/>
        <v>99</v>
      </c>
      <c r="CG408" s="16">
        <f t="shared" si="180"/>
        <v>0</v>
      </c>
      <c r="CH408" s="16">
        <f t="shared" si="206"/>
        <v>0</v>
      </c>
      <c r="CJ408" s="16" t="e">
        <f t="shared" si="181"/>
        <v>#N/A</v>
      </c>
      <c r="CK408" s="16" t="str">
        <f t="shared" si="182"/>
        <v/>
      </c>
    </row>
    <row r="409" spans="1:89" ht="12" customHeight="1">
      <c r="A409" s="211"/>
      <c r="B409" s="211"/>
      <c r="C409" s="211"/>
      <c r="D409" s="211"/>
      <c r="E409" s="211"/>
      <c r="F409" s="211"/>
      <c r="G409" s="211"/>
      <c r="H409" s="211"/>
      <c r="I409" s="211"/>
      <c r="J409" s="211"/>
      <c r="K409" s="211"/>
      <c r="L409" s="211"/>
      <c r="M409" s="211"/>
      <c r="N409" s="211"/>
      <c r="O409" s="211"/>
      <c r="AM409" s="34">
        <f t="shared" si="201"/>
        <v>0.91372820921242237</v>
      </c>
      <c r="AN409" s="34">
        <f t="shared" si="186"/>
        <v>0.97059094347059727</v>
      </c>
      <c r="AO409" s="16">
        <f t="shared" si="187"/>
        <v>77.199999999999889</v>
      </c>
      <c r="AP409" s="16" t="e">
        <f t="shared" si="188"/>
        <v>#N/A</v>
      </c>
      <c r="AQ409" s="16" t="e">
        <f t="shared" si="189"/>
        <v>#N/A</v>
      </c>
      <c r="AR409" s="34">
        <f t="shared" si="202"/>
        <v>0.91465341486036777</v>
      </c>
      <c r="AS409" s="34">
        <f t="shared" si="190"/>
        <v>3.9098070934414864E-2</v>
      </c>
      <c r="AT409" s="540">
        <f t="shared" si="191"/>
        <v>77.299999999999883</v>
      </c>
      <c r="AU409" s="16" t="e">
        <f t="shared" si="192"/>
        <v>#N/A</v>
      </c>
      <c r="AV409" s="16">
        <f t="shared" si="193"/>
        <v>3.0721416224903511E-4</v>
      </c>
      <c r="AW409" s="34">
        <f t="shared" si="203"/>
        <v>0.79659037478268147</v>
      </c>
      <c r="AX409" s="34">
        <f t="shared" si="194"/>
        <v>0.1035016868263483</v>
      </c>
      <c r="AY409" s="16">
        <f t="shared" si="195"/>
        <v>66.500000000000497</v>
      </c>
      <c r="AZ409" s="16" t="e">
        <f t="shared" si="196"/>
        <v>#N/A</v>
      </c>
      <c r="BA409" s="16">
        <f t="shared" si="204"/>
        <v>1.4690333561703556E-3</v>
      </c>
      <c r="BB409" s="34">
        <f t="shared" si="205"/>
        <v>0.32986892201006413</v>
      </c>
      <c r="BC409" s="34">
        <f t="shared" si="197"/>
        <v>0.50839662738144398</v>
      </c>
      <c r="BD409" s="16">
        <f t="shared" si="198"/>
        <v>41.100000000000314</v>
      </c>
      <c r="BE409" s="16" t="e">
        <f t="shared" si="199"/>
        <v>#N/A</v>
      </c>
      <c r="BF409" s="16">
        <f t="shared" si="200"/>
        <v>9.1850631937347386E-3</v>
      </c>
      <c r="BU409" s="16">
        <f t="shared" si="183"/>
        <v>0</v>
      </c>
      <c r="BV409" s="16">
        <f>IF($BY$12=1,NORMDIST(BY409,$Y$6,$Y$8,TRUE),IF($BY$12=2,IF(BY409&lt;=$BX$31,0,IF(BY409&gt;=$BX$32,1,(BY409-$BX$31)*$BX$33)),SUM($BU$42:BU409)/$BV$40))</f>
        <v>0.25302524653754199</v>
      </c>
      <c r="BW409" s="16">
        <f t="shared" si="184"/>
        <v>0.58683795604721589</v>
      </c>
      <c r="BX409" s="16">
        <f>IF($BY$12&lt;3,BV409,SUM($BZ$42:BZ409)/$BX$40)</f>
        <v>0.25302524653754199</v>
      </c>
      <c r="BY409" s="16">
        <f t="shared" si="207"/>
        <v>36.700000000000252</v>
      </c>
      <c r="BZ409" s="16">
        <f t="shared" si="175"/>
        <v>1.5990135042158363E-2</v>
      </c>
      <c r="CA409" s="16">
        <f t="shared" si="185"/>
        <v>-999</v>
      </c>
      <c r="CB409" s="16" t="str">
        <f t="shared" si="176"/>
        <v/>
      </c>
      <c r="CC409" s="16" t="e">
        <f>IF(CB409="",NA(),COUNTIF(CB409:$CB$704,CB409))</f>
        <v>#N/A</v>
      </c>
      <c r="CD409" s="16" t="e">
        <f t="shared" si="177"/>
        <v>#N/A</v>
      </c>
      <c r="CE409" s="16" t="e">
        <f t="shared" si="178"/>
        <v>#N/A</v>
      </c>
      <c r="CF409" s="16">
        <f t="shared" si="179"/>
        <v>99</v>
      </c>
      <c r="CG409" s="16">
        <f t="shared" si="180"/>
        <v>0</v>
      </c>
      <c r="CH409" s="16">
        <f t="shared" si="206"/>
        <v>0</v>
      </c>
      <c r="CJ409" s="16" t="e">
        <f t="shared" si="181"/>
        <v>#N/A</v>
      </c>
      <c r="CK409" s="16" t="str">
        <f t="shared" si="182"/>
        <v/>
      </c>
    </row>
    <row r="410" spans="1:89" ht="12" customHeight="1">
      <c r="A410" s="211"/>
      <c r="B410" s="211"/>
      <c r="C410" s="211"/>
      <c r="D410" s="211"/>
      <c r="E410" s="211"/>
      <c r="F410" s="211"/>
      <c r="G410" s="211"/>
      <c r="H410" s="211"/>
      <c r="I410" s="211"/>
      <c r="J410" s="211"/>
      <c r="K410" s="211"/>
      <c r="L410" s="211"/>
      <c r="M410" s="211"/>
      <c r="N410" s="211"/>
      <c r="O410" s="211"/>
      <c r="AM410" s="34">
        <f t="shared" si="201"/>
        <v>5.2388237789273262E-2</v>
      </c>
      <c r="AN410" s="34">
        <f t="shared" si="186"/>
        <v>5.8939823880791664E-2</v>
      </c>
      <c r="AO410" s="16">
        <f t="shared" si="187"/>
        <v>17.499999999999979</v>
      </c>
      <c r="AP410" s="16" t="e">
        <f t="shared" si="188"/>
        <v>#N/A</v>
      </c>
      <c r="AQ410" s="16">
        <f t="shared" si="189"/>
        <v>3.1396733800906151E-4</v>
      </c>
      <c r="AR410" s="34">
        <f t="shared" si="202"/>
        <v>0.21761907078325748</v>
      </c>
      <c r="AS410" s="34">
        <f t="shared" si="190"/>
        <v>0.53688049502670765</v>
      </c>
      <c r="AT410" s="540">
        <f t="shared" si="191"/>
        <v>34.300000000000217</v>
      </c>
      <c r="AU410" s="16" t="e">
        <f t="shared" si="192"/>
        <v>#N/A</v>
      </c>
      <c r="AV410" s="16">
        <f t="shared" si="193"/>
        <v>7.869481846067122E-3</v>
      </c>
      <c r="AW410" s="34">
        <f t="shared" si="203"/>
        <v>0.21378541179001331</v>
      </c>
      <c r="AX410" s="34">
        <f t="shared" si="194"/>
        <v>0.89711048640310764</v>
      </c>
      <c r="AY410" s="16">
        <f t="shared" si="195"/>
        <v>34.100000000000215</v>
      </c>
      <c r="AZ410" s="16" t="e">
        <f t="shared" si="196"/>
        <v>#N/A</v>
      </c>
      <c r="BA410" s="16">
        <f t="shared" si="204"/>
        <v>1.3046184570747098E-2</v>
      </c>
      <c r="BB410" s="34">
        <f t="shared" si="205"/>
        <v>0.88297059573233128</v>
      </c>
      <c r="BC410" s="34">
        <f t="shared" si="197"/>
        <v>0.435941057279706</v>
      </c>
      <c r="BD410" s="16">
        <f t="shared" si="198"/>
        <v>73.700000000000088</v>
      </c>
      <c r="BE410" s="16" t="e">
        <f t="shared" si="199"/>
        <v>#N/A</v>
      </c>
      <c r="BF410" s="16">
        <f t="shared" si="200"/>
        <v>4.3090770416972851E-3</v>
      </c>
      <c r="BU410" s="16">
        <f t="shared" si="183"/>
        <v>0</v>
      </c>
      <c r="BV410" s="16">
        <f>IF($BY$12=1,NORMDIST(BY410,$Y$6,$Y$8,TRUE),IF($BY$12=2,IF(BY410&lt;=$BX$31,0,IF(BY410&gt;=$BX$32,1,(BY410-$BX$31)*$BX$33)),SUM($BU$42:BU410)/$BV$40))</f>
        <v>0.25462691467134024</v>
      </c>
      <c r="BW410" s="16">
        <f t="shared" si="184"/>
        <v>0.59038939893896636</v>
      </c>
      <c r="BX410" s="16">
        <f>IF($BY$12&lt;3,BV410,SUM($BZ$42:BZ410)/$BX$40)</f>
        <v>0.25462691467134024</v>
      </c>
      <c r="BY410" s="16">
        <f t="shared" si="207"/>
        <v>36.800000000000253</v>
      </c>
      <c r="BZ410" s="16">
        <f t="shared" si="175"/>
        <v>1.6043190188558758E-2</v>
      </c>
      <c r="CA410" s="16">
        <f t="shared" si="185"/>
        <v>-999</v>
      </c>
      <c r="CB410" s="16" t="str">
        <f t="shared" si="176"/>
        <v/>
      </c>
      <c r="CC410" s="16" t="e">
        <f>IF(CB410="",NA(),COUNTIF(CB410:$CB$704,CB410))</f>
        <v>#N/A</v>
      </c>
      <c r="CD410" s="16" t="e">
        <f t="shared" si="177"/>
        <v>#N/A</v>
      </c>
      <c r="CE410" s="16" t="e">
        <f t="shared" si="178"/>
        <v>#N/A</v>
      </c>
      <c r="CF410" s="16">
        <f t="shared" si="179"/>
        <v>99</v>
      </c>
      <c r="CG410" s="16">
        <f t="shared" si="180"/>
        <v>0</v>
      </c>
      <c r="CH410" s="16">
        <f t="shared" si="206"/>
        <v>0</v>
      </c>
      <c r="CJ410" s="16" t="e">
        <f t="shared" si="181"/>
        <v>#N/A</v>
      </c>
      <c r="CK410" s="16" t="str">
        <f t="shared" si="182"/>
        <v/>
      </c>
    </row>
    <row r="411" spans="1:89" ht="12" customHeight="1">
      <c r="A411" s="211"/>
      <c r="B411" s="211"/>
      <c r="C411" s="211"/>
      <c r="D411" s="211"/>
      <c r="E411" s="211"/>
      <c r="F411" s="211"/>
      <c r="G411" s="211"/>
      <c r="H411" s="211"/>
      <c r="I411" s="211"/>
      <c r="J411" s="211"/>
      <c r="K411" s="211"/>
      <c r="L411" s="211"/>
      <c r="M411" s="211"/>
      <c r="N411" s="211"/>
      <c r="O411" s="211"/>
      <c r="AM411" s="34">
        <f t="shared" si="201"/>
        <v>5.0256270915269852E-3</v>
      </c>
      <c r="AN411" s="34">
        <f t="shared" si="186"/>
        <v>0.33624842204153538</v>
      </c>
      <c r="AO411" s="16" t="e">
        <f t="shared" si="187"/>
        <v>#N/A</v>
      </c>
      <c r="AP411" s="16" t="e">
        <f t="shared" si="188"/>
        <v>#N/A</v>
      </c>
      <c r="AQ411" s="16" t="e">
        <f t="shared" si="189"/>
        <v>#N/A</v>
      </c>
      <c r="AR411" s="34">
        <f t="shared" si="202"/>
        <v>0.92971351183950901</v>
      </c>
      <c r="AS411" s="34">
        <f t="shared" si="190"/>
        <v>0.20467074401676655</v>
      </c>
      <c r="AT411" s="540">
        <f t="shared" si="191"/>
        <v>79.399999999999764</v>
      </c>
      <c r="AU411" s="16" t="e">
        <f t="shared" si="192"/>
        <v>#N/A</v>
      </c>
      <c r="AV411" s="16">
        <f t="shared" si="193"/>
        <v>1.3858057707836977E-3</v>
      </c>
      <c r="AW411" s="34">
        <f t="shared" si="203"/>
        <v>0.52646739967167377</v>
      </c>
      <c r="AX411" s="34">
        <f t="shared" si="194"/>
        <v>0.84079293347895145</v>
      </c>
      <c r="AY411" s="16">
        <f t="shared" si="195"/>
        <v>51.300000000000459</v>
      </c>
      <c r="AZ411" s="16" t="e">
        <f t="shared" si="196"/>
        <v>#N/A</v>
      </c>
      <c r="BA411" s="16">
        <f t="shared" si="204"/>
        <v>1.6736000340836898E-2</v>
      </c>
      <c r="BB411" s="34">
        <f t="shared" si="205"/>
        <v>0.2400308046489954</v>
      </c>
      <c r="BC411" s="34">
        <f t="shared" si="197"/>
        <v>0.16689041443169117</v>
      </c>
      <c r="BD411" s="16">
        <f t="shared" si="198"/>
        <v>35.800000000000239</v>
      </c>
      <c r="BE411" s="16" t="e">
        <f t="shared" si="199"/>
        <v>#N/A</v>
      </c>
      <c r="BF411" s="16">
        <f t="shared" si="200"/>
        <v>2.5873044717328727E-3</v>
      </c>
      <c r="BU411" s="16">
        <f t="shared" si="183"/>
        <v>0</v>
      </c>
      <c r="BV411" s="16">
        <f>IF($BY$12=1,NORMDIST(BY411,$Y$6,$Y$8,TRUE),IF($BY$12=2,IF(BY411&lt;=$BX$31,0,IF(BY411&gt;=$BX$32,1,(BY411-$BX$31)*$BX$33)),SUM($BU$42:BU411)/$BV$40))</f>
        <v>0.2562338770296162</v>
      </c>
      <c r="BW411" s="16">
        <f t="shared" si="184"/>
        <v>0.59394309984640081</v>
      </c>
      <c r="BX411" s="16">
        <f>IF($BY$12&lt;3,BV411,SUM($BZ$42:BZ411)/$BX$40)</f>
        <v>0.2562338770296162</v>
      </c>
      <c r="BY411" s="16">
        <f t="shared" si="207"/>
        <v>36.900000000000254</v>
      </c>
      <c r="BZ411" s="16">
        <f t="shared" si="175"/>
        <v>1.6096018966027012E-2</v>
      </c>
      <c r="CA411" s="16">
        <f t="shared" si="185"/>
        <v>-999</v>
      </c>
      <c r="CB411" s="16" t="str">
        <f t="shared" si="176"/>
        <v/>
      </c>
      <c r="CC411" s="16" t="e">
        <f>IF(CB411="",NA(),COUNTIF(CB411:$CB$704,CB411))</f>
        <v>#N/A</v>
      </c>
      <c r="CD411" s="16" t="e">
        <f t="shared" si="177"/>
        <v>#N/A</v>
      </c>
      <c r="CE411" s="16" t="e">
        <f t="shared" si="178"/>
        <v>#N/A</v>
      </c>
      <c r="CF411" s="16">
        <f t="shared" si="179"/>
        <v>99</v>
      </c>
      <c r="CG411" s="16">
        <f t="shared" si="180"/>
        <v>0</v>
      </c>
      <c r="CH411" s="16">
        <f t="shared" si="206"/>
        <v>0</v>
      </c>
      <c r="CJ411" s="16" t="e">
        <f t="shared" si="181"/>
        <v>#N/A</v>
      </c>
      <c r="CK411" s="16" t="str">
        <f t="shared" si="182"/>
        <v/>
      </c>
    </row>
    <row r="412" spans="1:89" ht="12" customHeight="1">
      <c r="A412" s="211"/>
      <c r="B412" s="211"/>
      <c r="C412" s="211"/>
      <c r="D412" s="211"/>
      <c r="E412" s="211"/>
      <c r="F412" s="211"/>
      <c r="G412" s="211"/>
      <c r="H412" s="211"/>
      <c r="I412" s="211"/>
      <c r="J412" s="211"/>
      <c r="K412" s="211"/>
      <c r="L412" s="211"/>
      <c r="M412" s="211"/>
      <c r="N412" s="211"/>
      <c r="O412" s="211"/>
      <c r="AM412" s="34">
        <f t="shared" si="201"/>
        <v>0.59164484031498432</v>
      </c>
      <c r="AN412" s="34">
        <f t="shared" si="186"/>
        <v>9.4532767310738564E-2</v>
      </c>
      <c r="AO412" s="16">
        <f t="shared" si="187"/>
        <v>54.600000000000506</v>
      </c>
      <c r="AP412" s="16" t="e">
        <f t="shared" si="188"/>
        <v>#N/A</v>
      </c>
      <c r="AQ412" s="16">
        <f t="shared" si="189"/>
        <v>1.8364341174616065E-3</v>
      </c>
      <c r="AR412" s="34">
        <f t="shared" si="202"/>
        <v>0.10088733769953251</v>
      </c>
      <c r="AS412" s="34">
        <f t="shared" si="190"/>
        <v>0.68853071518242359</v>
      </c>
      <c r="AT412" s="540">
        <f t="shared" si="191"/>
        <v>24.400000000000077</v>
      </c>
      <c r="AU412" s="16" t="e">
        <f t="shared" si="192"/>
        <v>#N/A</v>
      </c>
      <c r="AV412" s="16">
        <f t="shared" si="193"/>
        <v>6.053817847292072E-3</v>
      </c>
      <c r="AW412" s="34">
        <f t="shared" si="203"/>
        <v>0.26509764976799488</v>
      </c>
      <c r="AX412" s="34">
        <f t="shared" si="194"/>
        <v>0.94394939579069614</v>
      </c>
      <c r="AY412" s="16">
        <f t="shared" si="195"/>
        <v>37.400000000000261</v>
      </c>
      <c r="AZ412" s="16" t="e">
        <f t="shared" si="196"/>
        <v>#N/A</v>
      </c>
      <c r="BA412" s="16">
        <f t="shared" si="204"/>
        <v>1.543984879989954E-2</v>
      </c>
      <c r="BB412" s="34">
        <f t="shared" si="205"/>
        <v>0.3138922993093729</v>
      </c>
      <c r="BC412" s="34">
        <f t="shared" si="197"/>
        <v>7.3693620041012764E-2</v>
      </c>
      <c r="BD412" s="16">
        <f t="shared" si="198"/>
        <v>40.300000000000303</v>
      </c>
      <c r="BE412" s="16" t="e">
        <f t="shared" si="199"/>
        <v>#N/A</v>
      </c>
      <c r="BF412" s="16">
        <f t="shared" si="200"/>
        <v>1.3068673298177096E-3</v>
      </c>
      <c r="BU412" s="16">
        <f t="shared" si="183"/>
        <v>0</v>
      </c>
      <c r="BV412" s="16">
        <f>IF($BY$12=1,NORMDIST(BY412,$Y$6,$Y$8,TRUE),IF($BY$12=2,IF(BY412&lt;=$BX$31,0,IF(BY412&gt;=$BX$32,1,(BY412-$BX$31)*$BX$33)),SUM($BU$42:BU412)/$BV$40))</f>
        <v>0.25784611080586883</v>
      </c>
      <c r="BW412" s="16">
        <f t="shared" si="184"/>
        <v>0.59749886538565056</v>
      </c>
      <c r="BX412" s="16">
        <f>IF($BY$12&lt;3,BV412,SUM($BZ$42:BZ412)/$BX$40)</f>
        <v>0.25784611080586883</v>
      </c>
      <c r="BY412" s="16">
        <f t="shared" si="207"/>
        <v>37.000000000000256</v>
      </c>
      <c r="BZ412" s="16">
        <f t="shared" si="175"/>
        <v>1.6148617983395848E-2</v>
      </c>
      <c r="CA412" s="16">
        <f t="shared" si="185"/>
        <v>-999</v>
      </c>
      <c r="CB412" s="16" t="str">
        <f t="shared" si="176"/>
        <v/>
      </c>
      <c r="CC412" s="16" t="e">
        <f>IF(CB412="",NA(),COUNTIF(CB412:$CB$704,CB412))</f>
        <v>#N/A</v>
      </c>
      <c r="CD412" s="16" t="e">
        <f t="shared" si="177"/>
        <v>#N/A</v>
      </c>
      <c r="CE412" s="16" t="e">
        <f t="shared" si="178"/>
        <v>#N/A</v>
      </c>
      <c r="CF412" s="16">
        <f t="shared" si="179"/>
        <v>99</v>
      </c>
      <c r="CG412" s="16">
        <f t="shared" si="180"/>
        <v>0</v>
      </c>
      <c r="CH412" s="16">
        <f t="shared" si="206"/>
        <v>0</v>
      </c>
      <c r="CJ412" s="16" t="e">
        <f t="shared" si="181"/>
        <v>#N/A</v>
      </c>
      <c r="CK412" s="16" t="str">
        <f t="shared" si="182"/>
        <v/>
      </c>
    </row>
    <row r="413" spans="1:89" ht="12" customHeight="1">
      <c r="A413" s="211"/>
      <c r="B413" s="211"/>
      <c r="C413" s="211"/>
      <c r="D413" s="211"/>
      <c r="E413" s="211"/>
      <c r="F413" s="211"/>
      <c r="G413" s="211"/>
      <c r="H413" s="211"/>
      <c r="I413" s="211"/>
      <c r="J413" s="211"/>
      <c r="K413" s="211"/>
      <c r="L413" s="211"/>
      <c r="M413" s="211"/>
      <c r="N413" s="211"/>
      <c r="O413" s="211"/>
      <c r="AM413" s="34">
        <f t="shared" si="201"/>
        <v>0.9020333606749773</v>
      </c>
      <c r="AN413" s="34">
        <f t="shared" si="186"/>
        <v>0.33318346180021763</v>
      </c>
      <c r="AO413" s="16">
        <f t="shared" si="187"/>
        <v>75.799999999999969</v>
      </c>
      <c r="AP413" s="16" t="e">
        <f t="shared" si="188"/>
        <v>#N/A</v>
      </c>
      <c r="AQ413" s="16">
        <f t="shared" si="189"/>
        <v>2.8920698818382653E-3</v>
      </c>
      <c r="AR413" s="34">
        <f t="shared" si="202"/>
        <v>0.10272353328764439</v>
      </c>
      <c r="AS413" s="34">
        <f t="shared" si="190"/>
        <v>0.66828237660229206</v>
      </c>
      <c r="AT413" s="540">
        <f t="shared" si="191"/>
        <v>24.60000000000008</v>
      </c>
      <c r="AU413" s="16" t="e">
        <f t="shared" si="192"/>
        <v>#N/A</v>
      </c>
      <c r="AV413" s="16">
        <f t="shared" si="193"/>
        <v>5.951182842874621E-3</v>
      </c>
      <c r="AW413" s="34">
        <f t="shared" si="203"/>
        <v>0.22924910672008991</v>
      </c>
      <c r="AX413" s="34">
        <f t="shared" si="194"/>
        <v>4.7439286485314369E-2</v>
      </c>
      <c r="AY413" s="16">
        <f t="shared" si="195"/>
        <v>35.100000000000229</v>
      </c>
      <c r="AZ413" s="16" t="e">
        <f t="shared" si="196"/>
        <v>#N/A</v>
      </c>
      <c r="BA413" s="16">
        <f t="shared" si="204"/>
        <v>7.1696188948020673E-4</v>
      </c>
      <c r="BB413" s="34">
        <f t="shared" si="205"/>
        <v>0.15842718817293644</v>
      </c>
      <c r="BC413" s="34">
        <f t="shared" si="197"/>
        <v>0.94128281064331532</v>
      </c>
      <c r="BD413" s="16">
        <f t="shared" si="198"/>
        <v>29.900000000000155</v>
      </c>
      <c r="BE413" s="16" t="e">
        <f t="shared" si="199"/>
        <v>#N/A</v>
      </c>
      <c r="BF413" s="16">
        <f t="shared" si="200"/>
        <v>1.1331203936432924E-2</v>
      </c>
      <c r="BU413" s="16">
        <f t="shared" si="183"/>
        <v>0</v>
      </c>
      <c r="BV413" s="16">
        <f>IF($BY$12=1,NORMDIST(BY413,$Y$6,$Y$8,TRUE),IF($BY$12=2,IF(BY413&lt;=$BX$31,0,IF(BY413&gt;=$BX$32,1,(BY413-$BX$31)*$BX$33)),SUM($BU$42:BU413)/$BV$40))</f>
        <v>0.25946359285478393</v>
      </c>
      <c r="BW413" s="16">
        <f t="shared" si="184"/>
        <v>0.60105650104401753</v>
      </c>
      <c r="BX413" s="16">
        <f>IF($BY$12&lt;3,BV413,SUM($BZ$42:BZ413)/$BX$40)</f>
        <v>0.25946359285478393</v>
      </c>
      <c r="BY413" s="16">
        <f t="shared" si="207"/>
        <v>37.100000000000257</v>
      </c>
      <c r="BZ413" s="16">
        <f t="shared" si="175"/>
        <v>1.6200983855633785E-2</v>
      </c>
      <c r="CA413" s="16">
        <f t="shared" si="185"/>
        <v>-999</v>
      </c>
      <c r="CB413" s="16" t="str">
        <f t="shared" si="176"/>
        <v/>
      </c>
      <c r="CC413" s="16" t="e">
        <f>IF(CB413="",NA(),COUNTIF(CB413:$CB$704,CB413))</f>
        <v>#N/A</v>
      </c>
      <c r="CD413" s="16" t="e">
        <f t="shared" si="177"/>
        <v>#N/A</v>
      </c>
      <c r="CE413" s="16" t="e">
        <f t="shared" si="178"/>
        <v>#N/A</v>
      </c>
      <c r="CF413" s="16">
        <f t="shared" si="179"/>
        <v>99</v>
      </c>
      <c r="CG413" s="16">
        <f t="shared" si="180"/>
        <v>0</v>
      </c>
      <c r="CH413" s="16">
        <f t="shared" si="206"/>
        <v>0</v>
      </c>
      <c r="CJ413" s="16" t="e">
        <f t="shared" si="181"/>
        <v>#N/A</v>
      </c>
      <c r="CK413" s="16" t="str">
        <f t="shared" si="182"/>
        <v/>
      </c>
    </row>
    <row r="414" spans="1:89" ht="12" customHeight="1">
      <c r="A414" s="211"/>
      <c r="B414" s="211"/>
      <c r="C414" s="211"/>
      <c r="D414" s="211"/>
      <c r="E414" s="211"/>
      <c r="F414" s="211"/>
      <c r="G414" s="211"/>
      <c r="H414" s="211"/>
      <c r="I414" s="211"/>
      <c r="J414" s="211"/>
      <c r="K414" s="211"/>
      <c r="L414" s="211"/>
      <c r="M414" s="211"/>
      <c r="N414" s="211"/>
      <c r="O414" s="211"/>
      <c r="AM414" s="34">
        <f t="shared" si="201"/>
        <v>0.94938717968761921</v>
      </c>
      <c r="AN414" s="34">
        <f t="shared" si="186"/>
        <v>0.13890952803194523</v>
      </c>
      <c r="AO414" s="16">
        <f t="shared" si="187"/>
        <v>82.699999999999577</v>
      </c>
      <c r="AP414" s="16" t="e">
        <f t="shared" si="188"/>
        <v>#N/A</v>
      </c>
      <c r="AQ414" s="16">
        <f t="shared" si="189"/>
        <v>7.2799546295564599E-4</v>
      </c>
      <c r="AR414" s="34">
        <f t="shared" si="202"/>
        <v>0.4536938164383173</v>
      </c>
      <c r="AS414" s="34">
        <f t="shared" si="190"/>
        <v>6.2402786687016487E-2</v>
      </c>
      <c r="AT414" s="540">
        <f t="shared" si="191"/>
        <v>47.600000000000406</v>
      </c>
      <c r="AU414" s="16" t="e">
        <f t="shared" si="192"/>
        <v>#N/A</v>
      </c>
      <c r="AV414" s="16">
        <f t="shared" si="193"/>
        <v>1.2358254483753944E-3</v>
      </c>
      <c r="AW414" s="34">
        <f t="shared" si="203"/>
        <v>0.4815638680011034</v>
      </c>
      <c r="AX414" s="34">
        <f t="shared" si="194"/>
        <v>0.94034131802618504</v>
      </c>
      <c r="AY414" s="16">
        <f t="shared" si="195"/>
        <v>49.000000000000426</v>
      </c>
      <c r="AZ414" s="16" t="e">
        <f t="shared" si="196"/>
        <v>#N/A</v>
      </c>
      <c r="BA414" s="16">
        <f t="shared" si="204"/>
        <v>1.8733663766969139E-2</v>
      </c>
      <c r="BB414" s="34">
        <f t="shared" si="205"/>
        <v>0.34310969151556492</v>
      </c>
      <c r="BC414" s="34">
        <f t="shared" si="197"/>
        <v>0.3755816388875246</v>
      </c>
      <c r="BD414" s="16">
        <f t="shared" si="198"/>
        <v>41.900000000000325</v>
      </c>
      <c r="BE414" s="16" t="e">
        <f t="shared" si="199"/>
        <v>#N/A</v>
      </c>
      <c r="BF414" s="16">
        <f t="shared" si="200"/>
        <v>6.9018711405436309E-3</v>
      </c>
      <c r="BU414" s="16">
        <f t="shared" si="183"/>
        <v>0</v>
      </c>
      <c r="BV414" s="16">
        <f>IF($BY$12=1,NORMDIST(BY414,$Y$6,$Y$8,TRUE),IF($BY$12=2,IF(BY414&lt;=$BX$31,0,IF(BY414&gt;=$BX$32,1,(BY414-$BX$31)*$BX$33)),SUM($BU$42:BU414)/$BV$40))</f>
        <v>0.26108629969286579</v>
      </c>
      <c r="BW414" s="16">
        <f t="shared" si="184"/>
        <v>0.60461581119640195</v>
      </c>
      <c r="BX414" s="16">
        <f>IF($BY$12&lt;3,BV414,SUM($BZ$42:BZ414)/$BX$40)</f>
        <v>0.26108629969286579</v>
      </c>
      <c r="BY414" s="16">
        <f t="shared" si="207"/>
        <v>37.200000000000259</v>
      </c>
      <c r="BZ414" s="16">
        <f t="shared" si="175"/>
        <v>1.625311320420424E-2</v>
      </c>
      <c r="CA414" s="16">
        <f t="shared" si="185"/>
        <v>-999</v>
      </c>
      <c r="CB414" s="16" t="str">
        <f t="shared" si="176"/>
        <v/>
      </c>
      <c r="CC414" s="16" t="e">
        <f>IF(CB414="",NA(),COUNTIF(CB414:$CB$704,CB414))</f>
        <v>#N/A</v>
      </c>
      <c r="CD414" s="16" t="e">
        <f t="shared" si="177"/>
        <v>#N/A</v>
      </c>
      <c r="CE414" s="16" t="e">
        <f t="shared" si="178"/>
        <v>#N/A</v>
      </c>
      <c r="CF414" s="16">
        <f t="shared" si="179"/>
        <v>99</v>
      </c>
      <c r="CG414" s="16">
        <f t="shared" si="180"/>
        <v>0</v>
      </c>
      <c r="CH414" s="16">
        <f t="shared" si="206"/>
        <v>0</v>
      </c>
      <c r="CJ414" s="16" t="e">
        <f t="shared" si="181"/>
        <v>#N/A</v>
      </c>
      <c r="CK414" s="16" t="str">
        <f t="shared" si="182"/>
        <v/>
      </c>
    </row>
    <row r="415" spans="1:89" ht="12" customHeight="1">
      <c r="A415" s="211"/>
      <c r="B415" s="211"/>
      <c r="C415" s="211"/>
      <c r="D415" s="211"/>
      <c r="E415" s="211"/>
      <c r="F415" s="211"/>
      <c r="G415" s="211"/>
      <c r="H415" s="211"/>
      <c r="I415" s="211"/>
      <c r="J415" s="211"/>
      <c r="K415" s="211"/>
      <c r="L415" s="211"/>
      <c r="M415" s="211"/>
      <c r="N415" s="211"/>
      <c r="O415" s="211"/>
      <c r="AM415" s="34">
        <f t="shared" si="201"/>
        <v>8.6143316701054573E-2</v>
      </c>
      <c r="AN415" s="34">
        <f t="shared" si="186"/>
        <v>0.28687366284430027</v>
      </c>
      <c r="AO415" s="16">
        <f t="shared" si="187"/>
        <v>22.700000000000053</v>
      </c>
      <c r="AP415" s="16" t="e">
        <f t="shared" si="188"/>
        <v>#N/A</v>
      </c>
      <c r="AQ415" s="16">
        <f t="shared" si="189"/>
        <v>2.2541176558265514E-3</v>
      </c>
      <c r="AR415" s="34">
        <f t="shared" si="202"/>
        <v>0.67810639180243015</v>
      </c>
      <c r="AS415" s="34">
        <f t="shared" si="190"/>
        <v>0.73340739496052265</v>
      </c>
      <c r="AT415" s="540">
        <f t="shared" si="191"/>
        <v>59.200000000000571</v>
      </c>
      <c r="AU415" s="16" t="e">
        <f t="shared" si="192"/>
        <v>#N/A</v>
      </c>
      <c r="AV415" s="16">
        <f t="shared" si="193"/>
        <v>1.3160639671176616E-2</v>
      </c>
      <c r="AW415" s="34">
        <f t="shared" si="203"/>
        <v>0.40469898469746113</v>
      </c>
      <c r="AX415" s="34">
        <f t="shared" si="194"/>
        <v>0.1080614123493433</v>
      </c>
      <c r="AY415" s="16">
        <f t="shared" si="195"/>
        <v>45.100000000000371</v>
      </c>
      <c r="AZ415" s="16" t="e">
        <f t="shared" si="196"/>
        <v>#N/A</v>
      </c>
      <c r="BA415" s="16">
        <f t="shared" si="204"/>
        <v>2.0917821199586788E-3</v>
      </c>
      <c r="BB415" s="34">
        <f t="shared" si="205"/>
        <v>0.2714365515857935</v>
      </c>
      <c r="BC415" s="34">
        <f t="shared" si="197"/>
        <v>4.4533105567097664E-2</v>
      </c>
      <c r="BD415" s="16">
        <f t="shared" si="198"/>
        <v>37.800000000000267</v>
      </c>
      <c r="BE415" s="16" t="e">
        <f t="shared" si="199"/>
        <v>#N/A</v>
      </c>
      <c r="BF415" s="16">
        <f t="shared" si="200"/>
        <v>7.3750091591626133E-4</v>
      </c>
      <c r="BU415" s="16">
        <f t="shared" si="183"/>
        <v>0</v>
      </c>
      <c r="BV415" s="16">
        <f>IF($BY$12=1,NORMDIST(BY415,$Y$6,$Y$8,TRUE),IF($BY$12=2,IF(BY415&lt;=$BX$31,0,IF(BY415&gt;=$BX$32,1,(BY415-$BX$31)*$BX$33)),SUM($BU$42:BU415)/$BV$40))</f>
        <v>0.26271420749910512</v>
      </c>
      <c r="BW415" s="16">
        <f t="shared" si="184"/>
        <v>0.60817659912195565</v>
      </c>
      <c r="BX415" s="16">
        <f>IF($BY$12&lt;3,BV415,SUM($BZ$42:BZ415)/$BX$40)</f>
        <v>0.26271420749910512</v>
      </c>
      <c r="BY415" s="16">
        <f t="shared" si="207"/>
        <v>37.30000000000026</v>
      </c>
      <c r="BZ415" s="16">
        <f t="shared" si="175"/>
        <v>1.6305002657424971E-2</v>
      </c>
      <c r="CA415" s="16">
        <f t="shared" si="185"/>
        <v>-999</v>
      </c>
      <c r="CB415" s="16" t="str">
        <f t="shared" si="176"/>
        <v/>
      </c>
      <c r="CC415" s="16" t="e">
        <f>IF(CB415="",NA(),COUNTIF(CB415:$CB$704,CB415))</f>
        <v>#N/A</v>
      </c>
      <c r="CD415" s="16" t="e">
        <f t="shared" si="177"/>
        <v>#N/A</v>
      </c>
      <c r="CE415" s="16" t="e">
        <f t="shared" si="178"/>
        <v>#N/A</v>
      </c>
      <c r="CF415" s="16">
        <f t="shared" si="179"/>
        <v>99</v>
      </c>
      <c r="CG415" s="16">
        <f t="shared" si="180"/>
        <v>0</v>
      </c>
      <c r="CH415" s="16">
        <f t="shared" si="206"/>
        <v>0</v>
      </c>
      <c r="CJ415" s="16" t="e">
        <f t="shared" si="181"/>
        <v>#N/A</v>
      </c>
      <c r="CK415" s="16" t="str">
        <f t="shared" si="182"/>
        <v/>
      </c>
    </row>
    <row r="416" spans="1:89" ht="12" customHeight="1">
      <c r="A416" s="211"/>
      <c r="B416" s="211"/>
      <c r="C416" s="211"/>
      <c r="D416" s="211"/>
      <c r="E416" s="211"/>
      <c r="F416" s="211"/>
      <c r="G416" s="211"/>
      <c r="H416" s="211"/>
      <c r="I416" s="211"/>
      <c r="J416" s="211"/>
      <c r="K416" s="211"/>
      <c r="L416" s="211"/>
      <c r="M416" s="211"/>
      <c r="N416" s="211"/>
      <c r="O416" s="211"/>
      <c r="AM416" s="34">
        <f t="shared" si="201"/>
        <v>0.35780061967670918</v>
      </c>
      <c r="AN416" s="34">
        <f t="shared" si="186"/>
        <v>0.84817514754831791</v>
      </c>
      <c r="AO416" s="16">
        <f t="shared" si="187"/>
        <v>42.700000000000337</v>
      </c>
      <c r="AP416" s="16" t="e">
        <f t="shared" si="188"/>
        <v>#N/A</v>
      </c>
      <c r="AQ416" s="16">
        <f t="shared" si="189"/>
        <v>1.5828369209870838E-2</v>
      </c>
      <c r="AR416" s="34">
        <f t="shared" si="202"/>
        <v>0.4839013610035181</v>
      </c>
      <c r="AS416" s="34">
        <f t="shared" si="190"/>
        <v>0.90075287409126759</v>
      </c>
      <c r="AT416" s="540">
        <f t="shared" si="191"/>
        <v>49.100000000000428</v>
      </c>
      <c r="AU416" s="16" t="e">
        <f t="shared" si="192"/>
        <v>#N/A</v>
      </c>
      <c r="AV416" s="16">
        <f t="shared" si="193"/>
        <v>1.794923747696792E-2</v>
      </c>
      <c r="AW416" s="34">
        <f t="shared" si="203"/>
        <v>0.52829179354012012</v>
      </c>
      <c r="AX416" s="34">
        <f t="shared" si="194"/>
        <v>0.80319451726973057</v>
      </c>
      <c r="AY416" s="16">
        <f t="shared" si="195"/>
        <v>51.40000000000046</v>
      </c>
      <c r="AZ416" s="16" t="e">
        <f t="shared" si="196"/>
        <v>#N/A</v>
      </c>
      <c r="BA416" s="16">
        <f t="shared" si="204"/>
        <v>1.5982208200385647E-2</v>
      </c>
      <c r="BB416" s="34">
        <f t="shared" si="205"/>
        <v>0.63460134901106358</v>
      </c>
      <c r="BC416" s="34">
        <f t="shared" si="197"/>
        <v>0.73992817290127277</v>
      </c>
      <c r="BD416" s="16">
        <f t="shared" si="198"/>
        <v>56.800000000000537</v>
      </c>
      <c r="BE416" s="16" t="e">
        <f t="shared" si="199"/>
        <v>#N/A</v>
      </c>
      <c r="BF416" s="16">
        <f t="shared" si="200"/>
        <v>1.3930522709235392E-2</v>
      </c>
      <c r="BU416" s="16">
        <f t="shared" si="183"/>
        <v>0</v>
      </c>
      <c r="BV416" s="16">
        <f>IF($BY$12=1,NORMDIST(BY416,$Y$6,$Y$8,TRUE),IF($BY$12=2,IF(BY416&lt;=$BX$31,0,IF(BY416&gt;=$BX$32,1,(BY416-$BX$31)*$BX$33)),SUM($BU$42:BU416)/$BV$40))</f>
        <v>0.26434729211568198</v>
      </c>
      <c r="BW416" s="16">
        <f t="shared" si="184"/>
        <v>0.61173866702096613</v>
      </c>
      <c r="BX416" s="16">
        <f>IF($BY$12&lt;3,BV416,SUM($BZ$42:BZ416)/$BX$40)</f>
        <v>0.26434729211568198</v>
      </c>
      <c r="BY416" s="16">
        <f t="shared" si="207"/>
        <v>37.400000000000261</v>
      </c>
      <c r="BZ416" s="16">
        <f t="shared" si="175"/>
        <v>1.6356648850827857E-2</v>
      </c>
      <c r="CA416" s="16">
        <f t="shared" si="185"/>
        <v>-999</v>
      </c>
      <c r="CB416" s="16" t="str">
        <f t="shared" si="176"/>
        <v/>
      </c>
      <c r="CC416" s="16" t="e">
        <f>IF(CB416="",NA(),COUNTIF(CB416:$CB$704,CB416))</f>
        <v>#N/A</v>
      </c>
      <c r="CD416" s="16" t="e">
        <f t="shared" si="177"/>
        <v>#N/A</v>
      </c>
      <c r="CE416" s="16" t="e">
        <f t="shared" si="178"/>
        <v>#N/A</v>
      </c>
      <c r="CF416" s="16">
        <f t="shared" si="179"/>
        <v>99</v>
      </c>
      <c r="CG416" s="16">
        <f t="shared" si="180"/>
        <v>0</v>
      </c>
      <c r="CH416" s="16">
        <f t="shared" si="206"/>
        <v>0</v>
      </c>
      <c r="CJ416" s="16" t="e">
        <f t="shared" si="181"/>
        <v>#N/A</v>
      </c>
      <c r="CK416" s="16" t="str">
        <f t="shared" si="182"/>
        <v/>
      </c>
    </row>
    <row r="417" spans="1:89" ht="12" customHeight="1">
      <c r="A417" s="211"/>
      <c r="B417" s="211"/>
      <c r="C417" s="211"/>
      <c r="D417" s="211"/>
      <c r="E417" s="211"/>
      <c r="F417" s="211"/>
      <c r="G417" s="211"/>
      <c r="H417" s="211"/>
      <c r="I417" s="211"/>
      <c r="J417" s="211"/>
      <c r="K417" s="211"/>
      <c r="L417" s="211"/>
      <c r="M417" s="211"/>
      <c r="N417" s="211"/>
      <c r="O417" s="211"/>
      <c r="AM417" s="34">
        <f t="shared" si="201"/>
        <v>0.50176009722054005</v>
      </c>
      <c r="AN417" s="34">
        <f t="shared" si="186"/>
        <v>0.49508666433393955</v>
      </c>
      <c r="AO417" s="16">
        <f t="shared" si="187"/>
        <v>50.000000000000441</v>
      </c>
      <c r="AP417" s="16" t="e">
        <f t="shared" si="188"/>
        <v>#N/A</v>
      </c>
      <c r="AQ417" s="16">
        <f t="shared" si="189"/>
        <v>9.875550143286024E-3</v>
      </c>
      <c r="AR417" s="34">
        <f t="shared" si="202"/>
        <v>0.45070003904402256</v>
      </c>
      <c r="AS417" s="34">
        <f t="shared" si="190"/>
        <v>0.24954073317348957</v>
      </c>
      <c r="AT417" s="540">
        <f t="shared" si="191"/>
        <v>47.500000000000405</v>
      </c>
      <c r="AU417" s="16" t="e">
        <f t="shared" si="192"/>
        <v>#N/A</v>
      </c>
      <c r="AV417" s="16">
        <f t="shared" si="193"/>
        <v>4.9388813308945644E-3</v>
      </c>
      <c r="AW417" s="34">
        <f t="shared" si="203"/>
        <v>0.61422603018581867</v>
      </c>
      <c r="AX417" s="34">
        <f t="shared" si="194"/>
        <v>0.2867965791374445</v>
      </c>
      <c r="AY417" s="16">
        <f t="shared" si="195"/>
        <v>55.800000000000523</v>
      </c>
      <c r="AZ417" s="16" t="e">
        <f t="shared" si="196"/>
        <v>#N/A</v>
      </c>
      <c r="BA417" s="16">
        <f t="shared" si="204"/>
        <v>5.4851935168177034E-3</v>
      </c>
      <c r="BB417" s="34">
        <f t="shared" si="205"/>
        <v>0.34807897545397282</v>
      </c>
      <c r="BC417" s="34">
        <f t="shared" si="197"/>
        <v>0.27956640906631947</v>
      </c>
      <c r="BD417" s="16">
        <f t="shared" si="198"/>
        <v>42.100000000000328</v>
      </c>
      <c r="BE417" s="16" t="e">
        <f t="shared" si="199"/>
        <v>#N/A</v>
      </c>
      <c r="BF417" s="16">
        <f t="shared" si="200"/>
        <v>5.1580394571836595E-3</v>
      </c>
      <c r="BU417" s="16">
        <f t="shared" si="183"/>
        <v>0</v>
      </c>
      <c r="BV417" s="16">
        <f>IF($BY$12=1,NORMDIST(BY417,$Y$6,$Y$8,TRUE),IF($BY$12=2,IF(BY417&lt;=$BX$31,0,IF(BY417&gt;=$BX$32,1,(BY417-$BX$31)*$BX$33)),SUM($BU$42:BU417)/$BV$40))</f>
        <v>0.26598552904870487</v>
      </c>
      <c r="BW417" s="16">
        <f t="shared" si="184"/>
        <v>0.61530181603196243</v>
      </c>
      <c r="BX417" s="16">
        <f>IF($BY$12&lt;3,BV417,SUM($BZ$42:BZ417)/$BX$40)</f>
        <v>0.26598552904870487</v>
      </c>
      <c r="BY417" s="16">
        <f t="shared" si="207"/>
        <v>37.500000000000263</v>
      </c>
      <c r="BZ417" s="16">
        <f t="shared" si="175"/>
        <v>1.6408048427518883E-2</v>
      </c>
      <c r="CA417" s="16">
        <f t="shared" si="185"/>
        <v>-999</v>
      </c>
      <c r="CB417" s="16" t="str">
        <f t="shared" si="176"/>
        <v/>
      </c>
      <c r="CC417" s="16" t="e">
        <f>IF(CB417="",NA(),COUNTIF(CB417:$CB$704,CB417))</f>
        <v>#N/A</v>
      </c>
      <c r="CD417" s="16" t="e">
        <f t="shared" si="177"/>
        <v>#N/A</v>
      </c>
      <c r="CE417" s="16" t="e">
        <f t="shared" si="178"/>
        <v>#N/A</v>
      </c>
      <c r="CF417" s="16">
        <f t="shared" si="179"/>
        <v>99</v>
      </c>
      <c r="CG417" s="16">
        <f t="shared" si="180"/>
        <v>0</v>
      </c>
      <c r="CH417" s="16">
        <f t="shared" si="206"/>
        <v>0</v>
      </c>
      <c r="CJ417" s="16" t="e">
        <f t="shared" si="181"/>
        <v>#N/A</v>
      </c>
      <c r="CK417" s="16" t="str">
        <f t="shared" si="182"/>
        <v/>
      </c>
    </row>
    <row r="418" spans="1:89" ht="12" customHeight="1">
      <c r="A418" s="211"/>
      <c r="B418" s="211"/>
      <c r="C418" s="211"/>
      <c r="D418" s="211"/>
      <c r="E418" s="211"/>
      <c r="F418" s="211"/>
      <c r="G418" s="211"/>
      <c r="H418" s="211"/>
      <c r="I418" s="211"/>
      <c r="J418" s="211"/>
      <c r="K418" s="211"/>
      <c r="L418" s="211"/>
      <c r="M418" s="211"/>
      <c r="N418" s="211"/>
      <c r="O418" s="211"/>
      <c r="AM418" s="34">
        <f t="shared" si="201"/>
        <v>7.9466031864285469E-2</v>
      </c>
      <c r="AN418" s="34">
        <f t="shared" si="186"/>
        <v>0.35170126892626286</v>
      </c>
      <c r="AO418" s="16">
        <f t="shared" si="187"/>
        <v>21.80000000000004</v>
      </c>
      <c r="AP418" s="16" t="e">
        <f t="shared" si="188"/>
        <v>#N/A</v>
      </c>
      <c r="AQ418" s="16">
        <f t="shared" si="189"/>
        <v>2.5962324610552924E-3</v>
      </c>
      <c r="AR418" s="34">
        <f t="shared" si="202"/>
        <v>0.57576442696154118</v>
      </c>
      <c r="AS418" s="34">
        <f t="shared" si="190"/>
        <v>0.75455296225845814</v>
      </c>
      <c r="AT418" s="540">
        <f t="shared" si="191"/>
        <v>53.800000000000495</v>
      </c>
      <c r="AU418" s="16" t="e">
        <f t="shared" si="192"/>
        <v>#N/A</v>
      </c>
      <c r="AV418" s="16">
        <f t="shared" si="193"/>
        <v>1.4781917809301005E-2</v>
      </c>
      <c r="AW418" s="34">
        <f t="shared" si="203"/>
        <v>0.5197299737483263</v>
      </c>
      <c r="AX418" s="34">
        <f t="shared" si="194"/>
        <v>0.49397292174398899</v>
      </c>
      <c r="AY418" s="16">
        <f t="shared" si="195"/>
        <v>50.900000000000453</v>
      </c>
      <c r="AZ418" s="16" t="e">
        <f t="shared" si="196"/>
        <v>#N/A</v>
      </c>
      <c r="BA418" s="16">
        <f t="shared" si="204"/>
        <v>9.8433627408844124E-3</v>
      </c>
      <c r="BB418" s="34">
        <f t="shared" si="205"/>
        <v>0.72502651251852512</v>
      </c>
      <c r="BC418" s="34">
        <f t="shared" si="197"/>
        <v>0.55052991397678852</v>
      </c>
      <c r="BD418" s="16">
        <f t="shared" si="198"/>
        <v>61.90000000000061</v>
      </c>
      <c r="BE418" s="16" t="e">
        <f t="shared" si="199"/>
        <v>#N/A</v>
      </c>
      <c r="BF418" s="16">
        <f t="shared" si="200"/>
        <v>9.1999494325389636E-3</v>
      </c>
      <c r="BU418" s="16">
        <f t="shared" si="183"/>
        <v>0</v>
      </c>
      <c r="BV418" s="16">
        <f>IF($BY$12=1,NORMDIST(BY418,$Y$6,$Y$8,TRUE),IF($BY$12=2,IF(BY418&lt;=$BX$31,0,IF(BY418&gt;=$BX$32,1,(BY418-$BX$31)*$BX$33)),SUM($BU$42:BU418)/$BV$40))</f>
        <v>0.26762889346898744</v>
      </c>
      <c r="BW418" s="16">
        <f t="shared" si="184"/>
        <v>0.61886584624904717</v>
      </c>
      <c r="BX418" s="16">
        <f>IF($BY$12&lt;3,BV418,SUM($BZ$42:BZ418)/$BX$40)</f>
        <v>0.26762889346898744</v>
      </c>
      <c r="BY418" s="16">
        <f t="shared" si="207"/>
        <v>37.600000000000264</v>
      </c>
      <c r="BZ418" s="16">
        <f t="shared" si="175"/>
        <v>1.6459198038538372E-2</v>
      </c>
      <c r="CA418" s="16">
        <f t="shared" si="185"/>
        <v>-999</v>
      </c>
      <c r="CB418" s="16" t="str">
        <f t="shared" si="176"/>
        <v/>
      </c>
      <c r="CC418" s="16" t="e">
        <f>IF(CB418="",NA(),COUNTIF(CB418:$CB$704,CB418))</f>
        <v>#N/A</v>
      </c>
      <c r="CD418" s="16" t="e">
        <f t="shared" si="177"/>
        <v>#N/A</v>
      </c>
      <c r="CE418" s="16" t="e">
        <f t="shared" si="178"/>
        <v>#N/A</v>
      </c>
      <c r="CF418" s="16">
        <f t="shared" si="179"/>
        <v>99</v>
      </c>
      <c r="CG418" s="16">
        <f t="shared" si="180"/>
        <v>0</v>
      </c>
      <c r="CH418" s="16">
        <f t="shared" si="206"/>
        <v>0</v>
      </c>
      <c r="CJ418" s="16" t="e">
        <f t="shared" si="181"/>
        <v>#N/A</v>
      </c>
      <c r="CK418" s="16" t="str">
        <f t="shared" si="182"/>
        <v/>
      </c>
    </row>
    <row r="419" spans="1:89" ht="12" customHeight="1">
      <c r="A419" s="211"/>
      <c r="B419" s="211"/>
      <c r="C419" s="211"/>
      <c r="D419" s="211"/>
      <c r="E419" s="211"/>
      <c r="F419" s="211"/>
      <c r="G419" s="211"/>
      <c r="H419" s="211"/>
      <c r="I419" s="211"/>
      <c r="J419" s="211"/>
      <c r="K419" s="211"/>
      <c r="L419" s="211"/>
      <c r="M419" s="211"/>
      <c r="N419" s="211"/>
      <c r="O419" s="211"/>
      <c r="AM419" s="34">
        <f t="shared" si="201"/>
        <v>0.26137912459671497</v>
      </c>
      <c r="AN419" s="34">
        <f t="shared" si="186"/>
        <v>0.64389576949179173</v>
      </c>
      <c r="AO419" s="16">
        <f t="shared" si="187"/>
        <v>37.200000000000259</v>
      </c>
      <c r="AP419" s="16" t="e">
        <f t="shared" si="188"/>
        <v>#N/A</v>
      </c>
      <c r="AQ419" s="16">
        <f t="shared" si="189"/>
        <v>1.0465310833258289E-2</v>
      </c>
      <c r="AR419" s="34">
        <f t="shared" si="202"/>
        <v>0.43177309073507786</v>
      </c>
      <c r="AS419" s="34">
        <f t="shared" si="190"/>
        <v>0.52040095813572407</v>
      </c>
      <c r="AT419" s="540">
        <f t="shared" si="191"/>
        <v>46.500000000000391</v>
      </c>
      <c r="AU419" s="16" t="e">
        <f t="shared" si="192"/>
        <v>#N/A</v>
      </c>
      <c r="AV419" s="16">
        <f t="shared" si="193"/>
        <v>1.0222756667439457E-2</v>
      </c>
      <c r="AW419" s="34">
        <f t="shared" si="203"/>
        <v>0.63908787257969379</v>
      </c>
      <c r="AX419" s="34">
        <f t="shared" si="194"/>
        <v>3.3939281478524208E-2</v>
      </c>
      <c r="AY419" s="16">
        <f t="shared" si="195"/>
        <v>57.100000000000541</v>
      </c>
      <c r="AZ419" s="16" t="e">
        <f t="shared" si="196"/>
        <v>#N/A</v>
      </c>
      <c r="BA419" s="16">
        <f t="shared" si="204"/>
        <v>6.3564807021104037E-4</v>
      </c>
      <c r="BB419" s="34">
        <f t="shared" si="205"/>
        <v>0.29665676690638065</v>
      </c>
      <c r="BC419" s="34">
        <f t="shared" si="197"/>
        <v>0.52560177631676197</v>
      </c>
      <c r="BD419" s="16">
        <f t="shared" si="198"/>
        <v>39.300000000000288</v>
      </c>
      <c r="BE419" s="16" t="e">
        <f t="shared" si="199"/>
        <v>#N/A</v>
      </c>
      <c r="BF419" s="16">
        <f t="shared" si="200"/>
        <v>9.0862341734692896E-3</v>
      </c>
      <c r="BU419" s="16">
        <f t="shared" si="183"/>
        <v>0</v>
      </c>
      <c r="BV419" s="16">
        <f>IF($BY$12=1,NORMDIST(BY419,$Y$6,$Y$8,TRUE),IF($BY$12=2,IF(BY419&lt;=$BX$31,0,IF(BY419&gt;=$BX$32,1,(BY419-$BX$31)*$BX$33)),SUM($BU$42:BU419)/$BV$40))</f>
        <v>0.26927736021285842</v>
      </c>
      <c r="BW419" s="16">
        <f t="shared" si="184"/>
        <v>0.62243055673944758</v>
      </c>
      <c r="BX419" s="16">
        <f>IF($BY$12&lt;3,BV419,SUM($BZ$42:BZ419)/$BX$40)</f>
        <v>0.26927736021285842</v>
      </c>
      <c r="BY419" s="16">
        <f t="shared" si="207"/>
        <v>37.700000000000266</v>
      </c>
      <c r="BZ419" s="16">
        <f t="shared" si="175"/>
        <v>1.6510094343221305E-2</v>
      </c>
      <c r="CA419" s="16">
        <f t="shared" si="185"/>
        <v>-999</v>
      </c>
      <c r="CB419" s="16" t="str">
        <f t="shared" si="176"/>
        <v/>
      </c>
      <c r="CC419" s="16" t="e">
        <f>IF(CB419="",NA(),COUNTIF(CB419:$CB$704,CB419))</f>
        <v>#N/A</v>
      </c>
      <c r="CD419" s="16" t="e">
        <f t="shared" si="177"/>
        <v>#N/A</v>
      </c>
      <c r="CE419" s="16" t="e">
        <f t="shared" si="178"/>
        <v>#N/A</v>
      </c>
      <c r="CF419" s="16">
        <f t="shared" si="179"/>
        <v>99</v>
      </c>
      <c r="CG419" s="16">
        <f t="shared" si="180"/>
        <v>0</v>
      </c>
      <c r="CH419" s="16">
        <f t="shared" si="206"/>
        <v>0</v>
      </c>
      <c r="CJ419" s="16" t="e">
        <f t="shared" si="181"/>
        <v>#N/A</v>
      </c>
      <c r="CK419" s="16" t="str">
        <f t="shared" si="182"/>
        <v/>
      </c>
    </row>
    <row r="420" spans="1:89" ht="12" customHeight="1">
      <c r="A420" s="211"/>
      <c r="B420" s="211"/>
      <c r="C420" s="211"/>
      <c r="D420" s="211"/>
      <c r="E420" s="211"/>
      <c r="F420" s="211"/>
      <c r="G420" s="211"/>
      <c r="H420" s="211"/>
      <c r="I420" s="211"/>
      <c r="J420" s="211"/>
      <c r="K420" s="211"/>
      <c r="L420" s="211"/>
      <c r="M420" s="211"/>
      <c r="N420" s="211"/>
      <c r="O420" s="211"/>
      <c r="AM420" s="34">
        <f t="shared" si="201"/>
        <v>6.5562920644879341E-2</v>
      </c>
      <c r="AN420" s="34">
        <f t="shared" si="186"/>
        <v>5.8766761794686317E-2</v>
      </c>
      <c r="AO420" s="16">
        <f t="shared" si="187"/>
        <v>19.800000000000011</v>
      </c>
      <c r="AP420" s="16" t="e">
        <f t="shared" si="188"/>
        <v>#N/A</v>
      </c>
      <c r="AQ420" s="16">
        <f t="shared" si="189"/>
        <v>3.7488184326681529E-4</v>
      </c>
      <c r="AR420" s="34">
        <f t="shared" si="202"/>
        <v>0.34656969644129276</v>
      </c>
      <c r="AS420" s="34">
        <f t="shared" si="190"/>
        <v>0.46981898136436939</v>
      </c>
      <c r="AT420" s="540">
        <f t="shared" si="191"/>
        <v>42.100000000000328</v>
      </c>
      <c r="AU420" s="16" t="e">
        <f t="shared" si="192"/>
        <v>#N/A</v>
      </c>
      <c r="AV420" s="16">
        <f t="shared" si="193"/>
        <v>8.6682260994967366E-3</v>
      </c>
      <c r="AW420" s="34">
        <f t="shared" si="203"/>
        <v>0.25599590130150318</v>
      </c>
      <c r="AX420" s="34">
        <f t="shared" si="194"/>
        <v>0.34096174873411655</v>
      </c>
      <c r="AY420" s="16">
        <f t="shared" si="195"/>
        <v>36.800000000000253</v>
      </c>
      <c r="AZ420" s="16" t="e">
        <f t="shared" si="196"/>
        <v>#N/A</v>
      </c>
      <c r="BA420" s="16">
        <f t="shared" si="204"/>
        <v>5.470114181965015E-3</v>
      </c>
      <c r="BB420" s="34">
        <f t="shared" si="205"/>
        <v>0.59599071182310581</v>
      </c>
      <c r="BC420" s="34">
        <f t="shared" si="197"/>
        <v>0.8661103118211031</v>
      </c>
      <c r="BD420" s="16">
        <f t="shared" si="198"/>
        <v>54.800000000000509</v>
      </c>
      <c r="BE420" s="16" t="e">
        <f t="shared" si="199"/>
        <v>#N/A</v>
      </c>
      <c r="BF420" s="16">
        <f t="shared" si="200"/>
        <v>1.6785937369648223E-2</v>
      </c>
      <c r="BU420" s="16">
        <f t="shared" si="183"/>
        <v>0</v>
      </c>
      <c r="BV420" s="16">
        <f>IF($BY$12=1,NORMDIST(BY420,$Y$6,$Y$8,TRUE),IF($BY$12=2,IF(BY420&lt;=$BX$31,0,IF(BY420&gt;=$BX$32,1,(BY420-$BX$31)*$BX$33)),SUM($BU$42:BU420)/$BV$40))</f>
        <v>0.2709309037830101</v>
      </c>
      <c r="BW420" s="16">
        <f t="shared" si="184"/>
        <v>0.62599574556128856</v>
      </c>
      <c r="BX420" s="16">
        <f>IF($BY$12&lt;3,BV420,SUM($BZ$42:BZ420)/$BX$40)</f>
        <v>0.2709309037830101</v>
      </c>
      <c r="BY420" s="16">
        <f t="shared" si="207"/>
        <v>37.800000000000267</v>
      </c>
      <c r="BZ420" s="16">
        <f t="shared" si="175"/>
        <v>1.6560734009557782E-2</v>
      </c>
      <c r="CA420" s="16">
        <f t="shared" si="185"/>
        <v>-999</v>
      </c>
      <c r="CB420" s="16" t="str">
        <f t="shared" si="176"/>
        <v/>
      </c>
      <c r="CC420" s="16" t="e">
        <f>IF(CB420="",NA(),COUNTIF(CB420:$CB$704,CB420))</f>
        <v>#N/A</v>
      </c>
      <c r="CD420" s="16" t="e">
        <f t="shared" si="177"/>
        <v>#N/A</v>
      </c>
      <c r="CE420" s="16" t="e">
        <f t="shared" si="178"/>
        <v>#N/A</v>
      </c>
      <c r="CF420" s="16">
        <f t="shared" si="179"/>
        <v>99</v>
      </c>
      <c r="CG420" s="16">
        <f t="shared" si="180"/>
        <v>0</v>
      </c>
      <c r="CH420" s="16">
        <f t="shared" si="206"/>
        <v>0</v>
      </c>
      <c r="CJ420" s="16" t="e">
        <f t="shared" si="181"/>
        <v>#N/A</v>
      </c>
      <c r="CK420" s="16" t="str">
        <f t="shared" si="182"/>
        <v/>
      </c>
    </row>
    <row r="421" spans="1:89" ht="12" customHeight="1">
      <c r="A421" s="211"/>
      <c r="B421" s="211"/>
      <c r="C421" s="211"/>
      <c r="D421" s="211"/>
      <c r="E421" s="211"/>
      <c r="F421" s="211"/>
      <c r="G421" s="211"/>
      <c r="H421" s="211"/>
      <c r="I421" s="211"/>
      <c r="J421" s="211"/>
      <c r="K421" s="211"/>
      <c r="L421" s="211"/>
      <c r="M421" s="211"/>
      <c r="N421" s="211"/>
      <c r="O421" s="211"/>
      <c r="AM421" s="34">
        <f t="shared" si="201"/>
        <v>0.3819147665053606</v>
      </c>
      <c r="AN421" s="34">
        <f t="shared" si="186"/>
        <v>0.62994557060301304</v>
      </c>
      <c r="AO421" s="16">
        <f t="shared" si="187"/>
        <v>43.900000000000354</v>
      </c>
      <c r="AP421" s="16" t="e">
        <f t="shared" si="188"/>
        <v>#N/A</v>
      </c>
      <c r="AQ421" s="16">
        <f t="shared" si="189"/>
        <v>1.1994522809224783E-2</v>
      </c>
      <c r="AR421" s="34">
        <f t="shared" si="202"/>
        <v>0.9212904516607523</v>
      </c>
      <c r="AS421" s="34">
        <f t="shared" si="190"/>
        <v>0.49338339455425739</v>
      </c>
      <c r="AT421" s="540">
        <f t="shared" si="191"/>
        <v>78.199999999999832</v>
      </c>
      <c r="AU421" s="16" t="e">
        <f t="shared" si="192"/>
        <v>#N/A</v>
      </c>
      <c r="AV421" s="16">
        <f t="shared" si="193"/>
        <v>3.6421193150599214E-3</v>
      </c>
      <c r="AW421" s="34">
        <f t="shared" si="203"/>
        <v>0.91984389908611774</v>
      </c>
      <c r="AX421" s="34">
        <f t="shared" si="194"/>
        <v>0.94883186556398869</v>
      </c>
      <c r="AY421" s="16">
        <f t="shared" si="195"/>
        <v>77.999999999999844</v>
      </c>
      <c r="AZ421" s="16" t="e">
        <f t="shared" si="196"/>
        <v>#N/A</v>
      </c>
      <c r="BA421" s="16" t="e">
        <f t="shared" si="204"/>
        <v>#N/A</v>
      </c>
      <c r="BB421" s="34">
        <f t="shared" si="205"/>
        <v>0.37764508463442326</v>
      </c>
      <c r="BC421" s="34">
        <f t="shared" si="197"/>
        <v>0.75573033280670643</v>
      </c>
      <c r="BD421" s="16">
        <f t="shared" si="198"/>
        <v>43.700000000000351</v>
      </c>
      <c r="BE421" s="16" t="e">
        <f t="shared" si="199"/>
        <v>#N/A</v>
      </c>
      <c r="BF421" s="16">
        <f t="shared" si="200"/>
        <v>1.4344997901576211E-2</v>
      </c>
      <c r="BU421" s="16">
        <f t="shared" si="183"/>
        <v>0</v>
      </c>
      <c r="BV421" s="16">
        <f>IF($BY$12=1,NORMDIST(BY421,$Y$6,$Y$8,TRUE),IF($BY$12=2,IF(BY421&lt;=$BX$31,0,IF(BY421&gt;=$BX$32,1,(BY421-$BX$31)*$BX$33)),SUM($BU$42:BU421)/$BV$40))</f>
        <v>0.27258949834938151</v>
      </c>
      <c r="BW421" s="16">
        <f t="shared" si="184"/>
        <v>0.62956120978158137</v>
      </c>
      <c r="BX421" s="16">
        <f>IF($BY$12&lt;3,BV421,SUM($BZ$42:BZ421)/$BX$40)</f>
        <v>0.27258949834938151</v>
      </c>
      <c r="BY421" s="16">
        <f t="shared" si="207"/>
        <v>37.900000000000269</v>
      </c>
      <c r="BZ421" s="16">
        <f t="shared" si="175"/>
        <v>1.6611113714553479E-2</v>
      </c>
      <c r="CA421" s="16">
        <f t="shared" si="185"/>
        <v>-999</v>
      </c>
      <c r="CB421" s="16" t="str">
        <f t="shared" si="176"/>
        <v/>
      </c>
      <c r="CC421" s="16" t="e">
        <f>IF(CB421="",NA(),COUNTIF(CB421:$CB$704,CB421))</f>
        <v>#N/A</v>
      </c>
      <c r="CD421" s="16" t="e">
        <f t="shared" si="177"/>
        <v>#N/A</v>
      </c>
      <c r="CE421" s="16" t="e">
        <f t="shared" si="178"/>
        <v>#N/A</v>
      </c>
      <c r="CF421" s="16">
        <f t="shared" si="179"/>
        <v>99</v>
      </c>
      <c r="CG421" s="16">
        <f t="shared" si="180"/>
        <v>0</v>
      </c>
      <c r="CH421" s="16">
        <f t="shared" si="206"/>
        <v>0</v>
      </c>
      <c r="CJ421" s="16" t="e">
        <f t="shared" si="181"/>
        <v>#N/A</v>
      </c>
      <c r="CK421" s="16" t="str">
        <f t="shared" si="182"/>
        <v/>
      </c>
    </row>
    <row r="422" spans="1:89" ht="12" customHeight="1">
      <c r="A422" s="211"/>
      <c r="B422" s="211"/>
      <c r="C422" s="211"/>
      <c r="D422" s="211"/>
      <c r="E422" s="211"/>
      <c r="F422" s="211"/>
      <c r="G422" s="211"/>
      <c r="H422" s="211"/>
      <c r="I422" s="211"/>
      <c r="J422" s="211"/>
      <c r="K422" s="211"/>
      <c r="L422" s="211"/>
      <c r="M422" s="211"/>
      <c r="N422" s="211"/>
      <c r="O422" s="211"/>
      <c r="AM422" s="34">
        <f t="shared" si="201"/>
        <v>0.89532254822552204</v>
      </c>
      <c r="AN422" s="34">
        <f t="shared" si="186"/>
        <v>0.12144834734499454</v>
      </c>
      <c r="AO422" s="16">
        <f t="shared" si="187"/>
        <v>75.100000000000009</v>
      </c>
      <c r="AP422" s="16" t="e">
        <f t="shared" si="188"/>
        <v>#N/A</v>
      </c>
      <c r="AQ422" s="16">
        <f t="shared" si="189"/>
        <v>1.102197308906206E-3</v>
      </c>
      <c r="AR422" s="34">
        <f t="shared" si="202"/>
        <v>0.35952670313417912</v>
      </c>
      <c r="AS422" s="34">
        <f t="shared" si="190"/>
        <v>0.7051889318972826</v>
      </c>
      <c r="AT422" s="540">
        <f t="shared" si="191"/>
        <v>42.800000000000338</v>
      </c>
      <c r="AU422" s="16" t="e">
        <f t="shared" si="192"/>
        <v>#N/A</v>
      </c>
      <c r="AV422" s="16">
        <f t="shared" si="193"/>
        <v>1.3183881021407214E-2</v>
      </c>
      <c r="AW422" s="34">
        <f t="shared" si="203"/>
        <v>0.99045413918793201</v>
      </c>
      <c r="AX422" s="34">
        <f t="shared" si="194"/>
        <v>0.26778312958776951</v>
      </c>
      <c r="AY422" s="16">
        <f t="shared" si="195"/>
        <v>96.799999999998775</v>
      </c>
      <c r="AZ422" s="16" t="e">
        <f t="shared" si="196"/>
        <v>#N/A</v>
      </c>
      <c r="BA422" s="16">
        <f t="shared" si="204"/>
        <v>3.456621687510793E-4</v>
      </c>
      <c r="BB422" s="34">
        <f t="shared" si="205"/>
        <v>0.15256139077246189</v>
      </c>
      <c r="BC422" s="34">
        <f t="shared" si="197"/>
        <v>0.89102269895374775</v>
      </c>
      <c r="BD422" s="16">
        <f t="shared" si="198"/>
        <v>29.400000000000148</v>
      </c>
      <c r="BE422" s="16" t="e">
        <f t="shared" si="199"/>
        <v>#N/A</v>
      </c>
      <c r="BF422" s="16">
        <f t="shared" si="200"/>
        <v>1.0456764569455487E-2</v>
      </c>
      <c r="BU422" s="16">
        <f t="shared" si="183"/>
        <v>0</v>
      </c>
      <c r="BV422" s="16">
        <f>IF($BY$12=1,NORMDIST(BY422,$Y$6,$Y$8,TRUE),IF($BY$12=2,IF(BY422&lt;=$BX$31,0,IF(BY422&gt;=$BX$32,1,(BY422-$BX$31)*$BX$33)),SUM($BU$42:BU422)/$BV$40))</f>
        <v>0.2742531177500781</v>
      </c>
      <c r="BW422" s="16">
        <f t="shared" si="184"/>
        <v>0.63312674549442893</v>
      </c>
      <c r="BX422" s="16">
        <f>IF($BY$12&lt;3,BV422,SUM($BZ$42:BZ422)/$BX$40)</f>
        <v>0.2742531177500781</v>
      </c>
      <c r="BY422" s="16">
        <f t="shared" si="207"/>
        <v>38.00000000000027</v>
      </c>
      <c r="BZ422" s="16">
        <f t="shared" si="175"/>
        <v>1.6661230144590117E-2</v>
      </c>
      <c r="CA422" s="16">
        <f t="shared" si="185"/>
        <v>-999</v>
      </c>
      <c r="CB422" s="16" t="str">
        <f t="shared" si="176"/>
        <v/>
      </c>
      <c r="CC422" s="16" t="e">
        <f>IF(CB422="",NA(),COUNTIF(CB422:$CB$704,CB422))</f>
        <v>#N/A</v>
      </c>
      <c r="CD422" s="16" t="e">
        <f t="shared" si="177"/>
        <v>#N/A</v>
      </c>
      <c r="CE422" s="16" t="e">
        <f t="shared" si="178"/>
        <v>#N/A</v>
      </c>
      <c r="CF422" s="16">
        <f t="shared" si="179"/>
        <v>99</v>
      </c>
      <c r="CG422" s="16">
        <f t="shared" si="180"/>
        <v>0</v>
      </c>
      <c r="CH422" s="16">
        <f t="shared" si="206"/>
        <v>0</v>
      </c>
      <c r="CJ422" s="16" t="e">
        <f t="shared" si="181"/>
        <v>#N/A</v>
      </c>
      <c r="CK422" s="16" t="str">
        <f t="shared" si="182"/>
        <v/>
      </c>
    </row>
    <row r="423" spans="1:89" ht="12" customHeight="1">
      <c r="A423" s="211"/>
      <c r="B423" s="211"/>
      <c r="C423" s="211"/>
      <c r="D423" s="211"/>
      <c r="E423" s="211"/>
      <c r="F423" s="211"/>
      <c r="G423" s="211"/>
      <c r="H423" s="211"/>
      <c r="I423" s="211"/>
      <c r="J423" s="211"/>
      <c r="K423" s="211"/>
      <c r="L423" s="211"/>
      <c r="M423" s="211"/>
      <c r="N423" s="211"/>
      <c r="O423" s="211"/>
      <c r="AM423" s="34">
        <f t="shared" si="201"/>
        <v>5.2278460934758186E-2</v>
      </c>
      <c r="AN423" s="34">
        <f t="shared" si="186"/>
        <v>0.28896757401525974</v>
      </c>
      <c r="AO423" s="16">
        <f t="shared" si="187"/>
        <v>17.499999999999979</v>
      </c>
      <c r="AP423" s="16" t="e">
        <f t="shared" si="188"/>
        <v>#N/A</v>
      </c>
      <c r="AQ423" s="16">
        <f t="shared" si="189"/>
        <v>1.5393052440741183E-3</v>
      </c>
      <c r="AR423" s="34">
        <f t="shared" si="202"/>
        <v>0.48642894066870213</v>
      </c>
      <c r="AS423" s="34">
        <f t="shared" si="190"/>
        <v>0.7302632499486208</v>
      </c>
      <c r="AT423" s="540">
        <f t="shared" si="191"/>
        <v>49.300000000000431</v>
      </c>
      <c r="AU423" s="16" t="e">
        <f t="shared" si="192"/>
        <v>#N/A</v>
      </c>
      <c r="AV423" s="16">
        <f t="shared" si="193"/>
        <v>1.4557724973578542E-2</v>
      </c>
      <c r="AW423" s="34">
        <f t="shared" si="203"/>
        <v>0.77705837972462177</v>
      </c>
      <c r="AX423" s="34">
        <f t="shared" si="194"/>
        <v>0.89900515414774418</v>
      </c>
      <c r="AY423" s="16">
        <f t="shared" si="195"/>
        <v>65.200000000000571</v>
      </c>
      <c r="AZ423" s="16" t="e">
        <f t="shared" si="196"/>
        <v>#N/A</v>
      </c>
      <c r="BA423" s="16">
        <f t="shared" si="204"/>
        <v>1.3434391661255587E-2</v>
      </c>
      <c r="BB423" s="34">
        <f t="shared" si="205"/>
        <v>0.57283256389200687</v>
      </c>
      <c r="BC423" s="34">
        <f t="shared" si="197"/>
        <v>8.574339933693409E-2</v>
      </c>
      <c r="BD423" s="16">
        <f t="shared" si="198"/>
        <v>53.600000000000492</v>
      </c>
      <c r="BE423" s="16" t="e">
        <f t="shared" si="199"/>
        <v>#N/A</v>
      </c>
      <c r="BF423" s="16">
        <f t="shared" si="200"/>
        <v>1.6828491854756892E-3</v>
      </c>
      <c r="BU423" s="16">
        <f t="shared" si="183"/>
        <v>0</v>
      </c>
      <c r="BV423" s="16">
        <f>IF($BY$12=1,NORMDIST(BY423,$Y$6,$Y$8,TRUE),IF($BY$12=2,IF(BY423&lt;=$BX$31,0,IF(BY423&gt;=$BX$32,1,(BY423-$BX$31)*$BX$33)),SUM($BU$42:BU423)/$BV$40))</f>
        <v>0.27592173549232712</v>
      </c>
      <c r="BW423" s="16">
        <f t="shared" si="184"/>
        <v>0.63669214783944461</v>
      </c>
      <c r="BX423" s="16">
        <f>IF($BY$12&lt;3,BV423,SUM($BZ$42:BZ423)/$BX$40)</f>
        <v>0.27592173549232712</v>
      </c>
      <c r="BY423" s="16">
        <f t="shared" si="207"/>
        <v>38.100000000000271</v>
      </c>
      <c r="BZ423" s="16">
        <f t="shared" si="175"/>
        <v>1.6711079995785829E-2</v>
      </c>
      <c r="CA423" s="16">
        <f t="shared" si="185"/>
        <v>-999</v>
      </c>
      <c r="CB423" s="16" t="str">
        <f t="shared" si="176"/>
        <v/>
      </c>
      <c r="CC423" s="16" t="e">
        <f>IF(CB423="",NA(),COUNTIF(CB423:$CB$704,CB423))</f>
        <v>#N/A</v>
      </c>
      <c r="CD423" s="16" t="e">
        <f t="shared" si="177"/>
        <v>#N/A</v>
      </c>
      <c r="CE423" s="16" t="e">
        <f t="shared" si="178"/>
        <v>#N/A</v>
      </c>
      <c r="CF423" s="16">
        <f t="shared" si="179"/>
        <v>99</v>
      </c>
      <c r="CG423" s="16">
        <f t="shared" si="180"/>
        <v>0</v>
      </c>
      <c r="CH423" s="16">
        <f t="shared" si="206"/>
        <v>0</v>
      </c>
      <c r="CJ423" s="16" t="e">
        <f t="shared" si="181"/>
        <v>#N/A</v>
      </c>
      <c r="CK423" s="16" t="str">
        <f t="shared" si="182"/>
        <v/>
      </c>
    </row>
    <row r="424" spans="1:89" ht="12" customHeight="1">
      <c r="A424" s="211"/>
      <c r="B424" s="211"/>
      <c r="C424" s="211"/>
      <c r="D424" s="211"/>
      <c r="E424" s="211"/>
      <c r="F424" s="211"/>
      <c r="G424" s="211"/>
      <c r="H424" s="211"/>
      <c r="I424" s="211"/>
      <c r="J424" s="211"/>
      <c r="K424" s="211"/>
      <c r="L424" s="211"/>
      <c r="M424" s="211"/>
      <c r="N424" s="211"/>
      <c r="O424" s="211"/>
      <c r="AM424" s="34">
        <f t="shared" si="201"/>
        <v>0.49673105962574482</v>
      </c>
      <c r="AN424" s="34">
        <f t="shared" si="186"/>
        <v>5.3761223331093788E-2</v>
      </c>
      <c r="AO424" s="16">
        <f t="shared" si="187"/>
        <v>49.800000000000438</v>
      </c>
      <c r="AP424" s="16" t="e">
        <f t="shared" si="188"/>
        <v>#N/A</v>
      </c>
      <c r="AQ424" s="16">
        <f t="shared" si="189"/>
        <v>1.0723276339217351E-3</v>
      </c>
      <c r="AR424" s="34">
        <f t="shared" si="202"/>
        <v>0.99290845729410648</v>
      </c>
      <c r="AS424" s="34">
        <f t="shared" si="190"/>
        <v>0.48075100965797901</v>
      </c>
      <c r="AT424" s="540">
        <f t="shared" si="191"/>
        <v>98.99999999999865</v>
      </c>
      <c r="AU424" s="16" t="e">
        <f t="shared" si="192"/>
        <v>#N/A</v>
      </c>
      <c r="AV424" s="16">
        <f t="shared" si="193"/>
        <v>4.7684140764001613E-4</v>
      </c>
      <c r="AW424" s="34">
        <f t="shared" si="203"/>
        <v>0.22854444570839405</v>
      </c>
      <c r="AX424" s="34">
        <f t="shared" si="194"/>
        <v>0.4281617347151041</v>
      </c>
      <c r="AY424" s="16">
        <f t="shared" si="195"/>
        <v>35.100000000000229</v>
      </c>
      <c r="AZ424" s="16" t="e">
        <f t="shared" si="196"/>
        <v>#N/A</v>
      </c>
      <c r="BA424" s="16">
        <f t="shared" si="204"/>
        <v>6.4709161766059349E-3</v>
      </c>
      <c r="BB424" s="34">
        <f t="shared" si="205"/>
        <v>0.10803353227674961</v>
      </c>
      <c r="BC424" s="34">
        <f t="shared" si="197"/>
        <v>0.72720341570675373</v>
      </c>
      <c r="BD424" s="16">
        <f t="shared" si="198"/>
        <v>25.200000000000088</v>
      </c>
      <c r="BE424" s="16" t="e">
        <f t="shared" si="199"/>
        <v>#N/A</v>
      </c>
      <c r="BF424" s="16">
        <f t="shared" si="200"/>
        <v>6.7243511204017952E-3</v>
      </c>
      <c r="BU424" s="16">
        <f t="shared" si="183"/>
        <v>0</v>
      </c>
      <c r="BV424" s="16">
        <f>IF($BY$12=1,NORMDIST(BY424,$Y$6,$Y$8,TRUE),IF($BY$12=2,IF(BY424&lt;=$BX$31,0,IF(BY424&gt;=$BX$32,1,(BY424-$BX$31)*$BX$33)),SUM($BU$42:BU424)/$BV$40))</f>
        <v>0.27759532475346949</v>
      </c>
      <c r="BW424" s="16">
        <f t="shared" si="184"/>
        <v>0.64025721102038224</v>
      </c>
      <c r="BX424" s="16">
        <f>IF($BY$12&lt;3,BV424,SUM($BZ$42:BZ424)/$BX$40)</f>
        <v>0.27759532475346949</v>
      </c>
      <c r="BY424" s="16">
        <f t="shared" si="207"/>
        <v>38.200000000000273</v>
      </c>
      <c r="BZ424" s="16">
        <f t="shared" si="175"/>
        <v>1.6760659974355437E-2</v>
      </c>
      <c r="CA424" s="16">
        <f t="shared" si="185"/>
        <v>-999</v>
      </c>
      <c r="CB424" s="16" t="str">
        <f t="shared" si="176"/>
        <v/>
      </c>
      <c r="CC424" s="16" t="e">
        <f>IF(CB424="",NA(),COUNTIF(CB424:$CB$704,CB424))</f>
        <v>#N/A</v>
      </c>
      <c r="CD424" s="16" t="e">
        <f t="shared" si="177"/>
        <v>#N/A</v>
      </c>
      <c r="CE424" s="16" t="e">
        <f t="shared" si="178"/>
        <v>#N/A</v>
      </c>
      <c r="CF424" s="16">
        <f t="shared" si="179"/>
        <v>99</v>
      </c>
      <c r="CG424" s="16">
        <f t="shared" si="180"/>
        <v>0</v>
      </c>
      <c r="CH424" s="16">
        <f t="shared" si="206"/>
        <v>0</v>
      </c>
      <c r="CJ424" s="16" t="e">
        <f t="shared" si="181"/>
        <v>#N/A</v>
      </c>
      <c r="CK424" s="16" t="str">
        <f t="shared" si="182"/>
        <v/>
      </c>
    </row>
    <row r="425" spans="1:89" ht="12" customHeight="1">
      <c r="A425" s="211"/>
      <c r="B425" s="211"/>
      <c r="C425" s="211"/>
      <c r="D425" s="211"/>
      <c r="E425" s="211"/>
      <c r="F425" s="211"/>
      <c r="G425" s="211"/>
      <c r="H425" s="211"/>
      <c r="I425" s="211"/>
      <c r="J425" s="211"/>
      <c r="K425" s="211"/>
      <c r="L425" s="211"/>
      <c r="M425" s="211"/>
      <c r="N425" s="211"/>
      <c r="O425" s="211"/>
      <c r="AM425" s="34">
        <f t="shared" si="201"/>
        <v>0.93220684118568897</v>
      </c>
      <c r="AN425" s="34">
        <f t="shared" si="186"/>
        <v>0.53054582513868809</v>
      </c>
      <c r="AO425" s="16">
        <f t="shared" si="187"/>
        <v>79.799999999999741</v>
      </c>
      <c r="AP425" s="16" t="e">
        <f t="shared" si="188"/>
        <v>#N/A</v>
      </c>
      <c r="AQ425" s="16">
        <f t="shared" si="189"/>
        <v>3.487501330312595E-3</v>
      </c>
      <c r="AR425" s="34">
        <f t="shared" si="202"/>
        <v>0.3463429156690836</v>
      </c>
      <c r="AS425" s="34">
        <f t="shared" si="190"/>
        <v>0.65914873965084553</v>
      </c>
      <c r="AT425" s="540">
        <f t="shared" si="191"/>
        <v>42.000000000000327</v>
      </c>
      <c r="AU425" s="16" t="e">
        <f t="shared" si="192"/>
        <v>#N/A</v>
      </c>
      <c r="AV425" s="16">
        <f t="shared" si="193"/>
        <v>1.2137239941598859E-2</v>
      </c>
      <c r="AW425" s="34">
        <f t="shared" si="203"/>
        <v>0.91325359232723713</v>
      </c>
      <c r="AX425" s="34">
        <f t="shared" si="194"/>
        <v>0.79556907154619694</v>
      </c>
      <c r="AY425" s="16">
        <f t="shared" si="195"/>
        <v>77.199999999999889</v>
      </c>
      <c r="AZ425" s="16" t="e">
        <f t="shared" si="196"/>
        <v>#N/A</v>
      </c>
      <c r="BA425" s="16">
        <f t="shared" si="204"/>
        <v>6.2939374785279103E-3</v>
      </c>
      <c r="BB425" s="34">
        <f t="shared" si="205"/>
        <v>0.61071194149553776</v>
      </c>
      <c r="BC425" s="34">
        <f t="shared" si="197"/>
        <v>0.3542106170207262</v>
      </c>
      <c r="BD425" s="16">
        <f t="shared" si="198"/>
        <v>55.60000000000052</v>
      </c>
      <c r="BE425" s="16" t="e">
        <f t="shared" si="199"/>
        <v>#N/A</v>
      </c>
      <c r="BF425" s="16">
        <f t="shared" si="200"/>
        <v>6.7938710718357803E-3</v>
      </c>
      <c r="BU425" s="16">
        <f t="shared" si="183"/>
        <v>0</v>
      </c>
      <c r="BV425" s="16">
        <f>IF($BY$12=1,NORMDIST(BY425,$Y$6,$Y$8,TRUE),IF($BY$12=2,IF(BY425&lt;=$BX$31,0,IF(BY425&gt;=$BX$32,1,(BY425-$BX$31)*$BX$33)),SUM($BU$42:BU425)/$BV$40))</f>
        <v>0.27927385838198771</v>
      </c>
      <c r="BW425" s="16">
        <f t="shared" si="184"/>
        <v>0.64382172832397455</v>
      </c>
      <c r="BX425" s="16">
        <f>IF($BY$12&lt;3,BV425,SUM($BZ$42:BZ425)/$BX$40)</f>
        <v>0.27927385838198771</v>
      </c>
      <c r="BY425" s="16">
        <f t="shared" si="207"/>
        <v>38.300000000000274</v>
      </c>
      <c r="BZ425" s="16">
        <f t="shared" si="175"/>
        <v>1.6809966796970496E-2</v>
      </c>
      <c r="CA425" s="16">
        <f t="shared" si="185"/>
        <v>-999</v>
      </c>
      <c r="CB425" s="16" t="str">
        <f t="shared" si="176"/>
        <v/>
      </c>
      <c r="CC425" s="16" t="e">
        <f>IF(CB425="",NA(),COUNTIF(CB425:$CB$704,CB425))</f>
        <v>#N/A</v>
      </c>
      <c r="CD425" s="16" t="e">
        <f t="shared" si="177"/>
        <v>#N/A</v>
      </c>
      <c r="CE425" s="16" t="e">
        <f t="shared" si="178"/>
        <v>#N/A</v>
      </c>
      <c r="CF425" s="16">
        <f t="shared" si="179"/>
        <v>99</v>
      </c>
      <c r="CG425" s="16">
        <f t="shared" si="180"/>
        <v>0</v>
      </c>
      <c r="CH425" s="16">
        <f t="shared" si="206"/>
        <v>0</v>
      </c>
      <c r="CJ425" s="16" t="e">
        <f t="shared" si="181"/>
        <v>#N/A</v>
      </c>
      <c r="CK425" s="16" t="str">
        <f t="shared" si="182"/>
        <v/>
      </c>
    </row>
    <row r="426" spans="1:89" ht="12" customHeight="1">
      <c r="A426" s="211"/>
      <c r="B426" s="211"/>
      <c r="C426" s="211"/>
      <c r="D426" s="211"/>
      <c r="E426" s="211"/>
      <c r="F426" s="211"/>
      <c r="G426" s="211"/>
      <c r="H426" s="211"/>
      <c r="I426" s="211"/>
      <c r="J426" s="211"/>
      <c r="K426" s="211"/>
      <c r="L426" s="211"/>
      <c r="M426" s="211"/>
      <c r="N426" s="211"/>
      <c r="O426" s="211"/>
      <c r="AM426" s="34">
        <f t="shared" si="201"/>
        <v>0.14848260767757893</v>
      </c>
      <c r="AN426" s="34">
        <f t="shared" si="186"/>
        <v>7.0496890693902969E-3</v>
      </c>
      <c r="AO426" s="16">
        <f t="shared" si="187"/>
        <v>29.100000000000144</v>
      </c>
      <c r="AP426" s="16" t="e">
        <f t="shared" si="188"/>
        <v>#N/A</v>
      </c>
      <c r="AQ426" s="16">
        <f t="shared" si="189"/>
        <v>8.1455388046382203E-5</v>
      </c>
      <c r="AR426" s="34">
        <f t="shared" si="202"/>
        <v>0.96544207073748112</v>
      </c>
      <c r="AS426" s="34">
        <f t="shared" si="190"/>
        <v>0.25812173075973988</v>
      </c>
      <c r="AT426" s="540">
        <f t="shared" si="191"/>
        <v>86.299999999999372</v>
      </c>
      <c r="AU426" s="16" t="e">
        <f t="shared" si="192"/>
        <v>#N/A</v>
      </c>
      <c r="AV426" s="16">
        <f t="shared" si="193"/>
        <v>9.9168277266347641E-4</v>
      </c>
      <c r="AW426" s="34">
        <f t="shared" si="203"/>
        <v>5.785989947617054E-2</v>
      </c>
      <c r="AX426" s="34">
        <f t="shared" si="194"/>
        <v>0.74694039858877659</v>
      </c>
      <c r="AY426" s="16">
        <f t="shared" si="195"/>
        <v>18.499999999999993</v>
      </c>
      <c r="AZ426" s="16" t="e">
        <f t="shared" si="196"/>
        <v>#N/A</v>
      </c>
      <c r="BA426" s="16">
        <f t="shared" si="204"/>
        <v>4.3102766392291228E-3</v>
      </c>
      <c r="BB426" s="34">
        <f t="shared" si="205"/>
        <v>0.77494528330862522</v>
      </c>
      <c r="BC426" s="34">
        <f t="shared" si="197"/>
        <v>0.90737493522465229</v>
      </c>
      <c r="BD426" s="16">
        <f t="shared" si="198"/>
        <v>65.100000000000577</v>
      </c>
      <c r="BE426" s="16" t="e">
        <f t="shared" si="199"/>
        <v>#N/A</v>
      </c>
      <c r="BF426" s="16">
        <f t="shared" si="200"/>
        <v>1.3610920350141295E-2</v>
      </c>
      <c r="BU426" s="16">
        <f t="shared" si="183"/>
        <v>0</v>
      </c>
      <c r="BV426" s="16">
        <f>IF($BY$12=1,NORMDIST(BY426,$Y$6,$Y$8,TRUE),IF($BY$12=2,IF(BY426&lt;=$BX$31,0,IF(BY426&gt;=$BX$32,1,(BY426-$BX$31)*$BX$33)),SUM($BU$42:BU426)/$BV$40))</f>
        <v>0.28095730889856896</v>
      </c>
      <c r="BW426" s="16">
        <f t="shared" si="184"/>
        <v>0.64738549213898033</v>
      </c>
      <c r="BX426" s="16">
        <f>IF($BY$12&lt;3,BV426,SUM($BZ$42:BZ426)/$BX$40)</f>
        <v>0.28095730889856896</v>
      </c>
      <c r="BY426" s="16">
        <f t="shared" si="207"/>
        <v>38.400000000000276</v>
      </c>
      <c r="BZ426" s="16">
        <f t="shared" ref="BZ426:BZ489" si="208">IF($BZ$5,IF($BY$12=1,NORMDIST(BY426,$Y$6,$Y$8,FALSE),IF($BY$12=2,IF(AND(BY426&gt;=$BX$31,BY426&lt;=$BX$32),$BX$33,0),IF(BY426&lt;=$BX$13,0,NORMDIST(LN((BY426-$BX$13)/$BX$12),0,$BW$8,FALSE)/((BY426-$BX$13)/$BX$12)))),-999)</f>
        <v>1.6858997191119159E-2</v>
      </c>
      <c r="CA426" s="16">
        <f t="shared" si="185"/>
        <v>-999</v>
      </c>
      <c r="CB426" s="16" t="str">
        <f t="shared" ref="CB426:CB489" si="209">IF(M325="","",ROUND(M325/$P$24,0))</f>
        <v/>
      </c>
      <c r="CC426" s="16" t="e">
        <f>IF(CB426="",NA(),COUNTIF(CB426:$CB$704,CB426))</f>
        <v>#N/A</v>
      </c>
      <c r="CD426" s="16" t="e">
        <f t="shared" ref="CD426:CD489" si="210">IF(CB426&lt;&gt;"",CB426*$P$24,NA())</f>
        <v>#N/A</v>
      </c>
      <c r="CE426" s="16" t="e">
        <f t="shared" ref="CE426:CE489" si="211">IF(AND($CB$7,$CD$2,$CD$1),26+$P$23/2-CC426*$P$23,NA())</f>
        <v>#N/A</v>
      </c>
      <c r="CF426" s="16">
        <f t="shared" ref="CF426:CF489" si="212">IF(ISNA(CJ426),99,CJ426)</f>
        <v>99</v>
      </c>
      <c r="CG426" s="16">
        <f t="shared" ref="CG426:CG489" si="213">IF(ISNA(CJ426),0,CJ426)</f>
        <v>0</v>
      </c>
      <c r="CH426" s="16">
        <f t="shared" si="206"/>
        <v>0</v>
      </c>
      <c r="CJ426" s="16" t="e">
        <f t="shared" ref="CJ426:CJ489" si="214">IF(CH426=1,CE426,NA())</f>
        <v>#N/A</v>
      </c>
      <c r="CK426" s="16" t="str">
        <f t="shared" ref="CK426:CK489" si="215">IF(CH426=1,M325,"")</f>
        <v/>
      </c>
    </row>
    <row r="427" spans="1:89" ht="12" customHeight="1">
      <c r="A427" s="211"/>
      <c r="B427" s="211"/>
      <c r="C427" s="211"/>
      <c r="D427" s="211"/>
      <c r="E427" s="211"/>
      <c r="F427" s="211"/>
      <c r="G427" s="211"/>
      <c r="H427" s="211"/>
      <c r="I427" s="211"/>
      <c r="J427" s="211"/>
      <c r="K427" s="211"/>
      <c r="L427" s="211"/>
      <c r="M427" s="211"/>
      <c r="N427" s="211"/>
      <c r="O427" s="211"/>
      <c r="AM427" s="34">
        <f t="shared" si="201"/>
        <v>0.98233986087143421</v>
      </c>
      <c r="AN427" s="34">
        <f t="shared" si="186"/>
        <v>0.37913253344595432</v>
      </c>
      <c r="AO427" s="16">
        <f t="shared" si="187"/>
        <v>91.999999999999048</v>
      </c>
      <c r="AP427" s="16" t="e">
        <f t="shared" si="188"/>
        <v>#N/A</v>
      </c>
      <c r="AQ427" s="16">
        <f t="shared" si="189"/>
        <v>8.3378060870621597E-4</v>
      </c>
      <c r="AR427" s="34">
        <f t="shared" si="202"/>
        <v>0.66317989863455296</v>
      </c>
      <c r="AS427" s="34">
        <f t="shared" si="190"/>
        <v>0.60768421180546284</v>
      </c>
      <c r="AT427" s="540">
        <f t="shared" si="191"/>
        <v>58.40000000000056</v>
      </c>
      <c r="AU427" s="16" t="e">
        <f t="shared" si="192"/>
        <v>#N/A</v>
      </c>
      <c r="AV427" s="16">
        <f t="shared" si="193"/>
        <v>1.1098217965717389E-2</v>
      </c>
      <c r="AW427" s="34">
        <f t="shared" si="203"/>
        <v>0.69611294753849506</v>
      </c>
      <c r="AX427" s="34">
        <f t="shared" si="194"/>
        <v>0.52485326863825321</v>
      </c>
      <c r="AY427" s="16">
        <f t="shared" si="195"/>
        <v>60.200000000000585</v>
      </c>
      <c r="AZ427" s="16" t="e">
        <f t="shared" si="196"/>
        <v>#N/A</v>
      </c>
      <c r="BA427" s="16">
        <f t="shared" si="204"/>
        <v>9.1925918727624491E-3</v>
      </c>
      <c r="BB427" s="34">
        <f t="shared" si="205"/>
        <v>0.14812068082392216</v>
      </c>
      <c r="BC427" s="34">
        <f t="shared" si="197"/>
        <v>0.73380807228386402</v>
      </c>
      <c r="BD427" s="16">
        <f t="shared" si="198"/>
        <v>29.100000000000144</v>
      </c>
      <c r="BE427" s="16" t="e">
        <f t="shared" si="199"/>
        <v>#N/A</v>
      </c>
      <c r="BF427" s="16">
        <f t="shared" si="200"/>
        <v>8.4787599411982797E-3</v>
      </c>
      <c r="BU427" s="16">
        <f t="shared" ref="BU427:BU490" si="216">IF($BY$12&lt;3,0,IF(BY427&lt;=$BX$13,0,NORMDIST(LN((BY427-$BX$13)/$BX$12),0,$BW$8,FALSE)/((BY427-$BX$13)/$BX$12)))</f>
        <v>0</v>
      </c>
      <c r="BV427" s="16">
        <f>IF($BY$12=1,NORMDIST(BY427,$Y$6,$Y$8,TRUE),IF($BY$12=2,IF(BY427&lt;=$BX$31,0,IF(BY427&gt;=$BX$32,1,(BY427-$BX$31)*$BX$33)),SUM($BU$42:BU427)/$BV$40))</f>
        <v>0.2826456484972053</v>
      </c>
      <c r="BW427" s="16">
        <f t="shared" ref="BW427:BW490" si="217">BY427*BZ427</f>
        <v>0.65094829397543441</v>
      </c>
      <c r="BX427" s="16">
        <f>IF($BY$12&lt;3,BV427,SUM($BZ$42:BZ427)/$BX$40)</f>
        <v>0.2826456484972053</v>
      </c>
      <c r="BY427" s="16">
        <f t="shared" si="207"/>
        <v>38.500000000000277</v>
      </c>
      <c r="BZ427" s="16">
        <f t="shared" si="208"/>
        <v>1.6907747895465706E-2</v>
      </c>
      <c r="CA427" s="16">
        <f t="shared" ref="CA427:CA490" si="218">IF(AND($CD$1,$CD$3),26-$CD$40*NORMDIST(BY427,$Y$6,$Y$8/SQRT($T$18),FALSE),-999)</f>
        <v>-999</v>
      </c>
      <c r="CB427" s="16" t="str">
        <f t="shared" si="209"/>
        <v/>
      </c>
      <c r="CC427" s="16" t="e">
        <f>IF(CB427="",NA(),COUNTIF(CB427:$CB$704,CB427))</f>
        <v>#N/A</v>
      </c>
      <c r="CD427" s="16" t="e">
        <f t="shared" si="210"/>
        <v>#N/A</v>
      </c>
      <c r="CE427" s="16" t="e">
        <f t="shared" si="211"/>
        <v>#N/A</v>
      </c>
      <c r="CF427" s="16">
        <f t="shared" si="212"/>
        <v>99</v>
      </c>
      <c r="CG427" s="16">
        <f t="shared" si="213"/>
        <v>0</v>
      </c>
      <c r="CH427" s="16">
        <f t="shared" si="206"/>
        <v>0</v>
      </c>
      <c r="CJ427" s="16" t="e">
        <f t="shared" si="214"/>
        <v>#N/A</v>
      </c>
      <c r="CK427" s="16" t="str">
        <f t="shared" si="215"/>
        <v/>
      </c>
    </row>
    <row r="428" spans="1:89" ht="12" customHeight="1">
      <c r="A428" s="211"/>
      <c r="B428" s="211"/>
      <c r="C428" s="211"/>
      <c r="D428" s="211"/>
      <c r="E428" s="211"/>
      <c r="F428" s="211"/>
      <c r="G428" s="211"/>
      <c r="H428" s="211"/>
      <c r="I428" s="211"/>
      <c r="J428" s="211"/>
      <c r="K428" s="211"/>
      <c r="L428" s="211"/>
      <c r="M428" s="211"/>
      <c r="N428" s="211"/>
      <c r="O428" s="211"/>
      <c r="AM428" s="34">
        <f t="shared" si="201"/>
        <v>0.26318247802555561</v>
      </c>
      <c r="AN428" s="34">
        <f t="shared" si="186"/>
        <v>0.20162777043879032</v>
      </c>
      <c r="AO428" s="16">
        <f t="shared" si="187"/>
        <v>37.30000000000026</v>
      </c>
      <c r="AP428" s="16" t="e">
        <f t="shared" si="188"/>
        <v>#N/A</v>
      </c>
      <c r="AQ428" s="16">
        <f t="shared" si="189"/>
        <v>3.2875413328151484E-3</v>
      </c>
      <c r="AR428" s="34">
        <f t="shared" si="202"/>
        <v>1.7949381843209267E-2</v>
      </c>
      <c r="AS428" s="34">
        <f t="shared" si="190"/>
        <v>5.1774056628346443E-2</v>
      </c>
      <c r="AT428" s="540">
        <f t="shared" si="191"/>
        <v>7.9999999999999876</v>
      </c>
      <c r="AU428" s="16" t="e">
        <f t="shared" si="192"/>
        <v>#N/A</v>
      </c>
      <c r="AV428" s="16">
        <f t="shared" si="193"/>
        <v>1.1386045945044728E-4</v>
      </c>
      <c r="AW428" s="34">
        <f t="shared" si="203"/>
        <v>0.50947502441704273</v>
      </c>
      <c r="AX428" s="34">
        <f t="shared" si="194"/>
        <v>0.86734574474394321</v>
      </c>
      <c r="AY428" s="16">
        <f t="shared" si="195"/>
        <v>50.400000000000446</v>
      </c>
      <c r="AZ428" s="16" t="e">
        <f t="shared" si="196"/>
        <v>#N/A</v>
      </c>
      <c r="BA428" s="16">
        <f t="shared" si="204"/>
        <v>1.7297584602336151E-2</v>
      </c>
      <c r="BB428" s="34">
        <f t="shared" si="205"/>
        <v>0.26234357990324497</v>
      </c>
      <c r="BC428" s="34">
        <f t="shared" si="197"/>
        <v>0.20949898846447468</v>
      </c>
      <c r="BD428" s="16">
        <f t="shared" si="198"/>
        <v>37.200000000000259</v>
      </c>
      <c r="BE428" s="16" t="e">
        <f t="shared" si="199"/>
        <v>#N/A</v>
      </c>
      <c r="BF428" s="16">
        <f t="shared" si="200"/>
        <v>3.4050107756793853E-3</v>
      </c>
      <c r="BU428" s="16">
        <f t="shared" si="216"/>
        <v>0</v>
      </c>
      <c r="BV428" s="16">
        <f>IF($BY$12=1,NORMDIST(BY428,$Y$6,$Y$8,TRUE),IF($BY$12=2,IF(BY428&lt;=$BX$31,0,IF(BY428&gt;=$BX$32,1,(BY428-$BX$31)*$BX$33)),SUM($BU$42:BU428)/$BV$40))</f>
        <v>0.28433884904632889</v>
      </c>
      <c r="BW428" s="16">
        <f t="shared" si="217"/>
        <v>0.65450992448410072</v>
      </c>
      <c r="BX428" s="16">
        <f>IF($BY$12&lt;3,BV428,SUM($BZ$42:BZ428)/$BX$40)</f>
        <v>0.28433884904632889</v>
      </c>
      <c r="BY428" s="16">
        <f t="shared" si="207"/>
        <v>38.600000000000279</v>
      </c>
      <c r="BZ428" s="16">
        <f t="shared" si="208"/>
        <v>1.6956215660209741E-2</v>
      </c>
      <c r="CA428" s="16">
        <f t="shared" si="218"/>
        <v>-999</v>
      </c>
      <c r="CB428" s="16" t="str">
        <f t="shared" si="209"/>
        <v/>
      </c>
      <c r="CC428" s="16" t="e">
        <f>IF(CB428="",NA(),COUNTIF(CB428:$CB$704,CB428))</f>
        <v>#N/A</v>
      </c>
      <c r="CD428" s="16" t="e">
        <f t="shared" si="210"/>
        <v>#N/A</v>
      </c>
      <c r="CE428" s="16" t="e">
        <f t="shared" si="211"/>
        <v>#N/A</v>
      </c>
      <c r="CF428" s="16">
        <f t="shared" si="212"/>
        <v>99</v>
      </c>
      <c r="CG428" s="16">
        <f t="shared" si="213"/>
        <v>0</v>
      </c>
      <c r="CH428" s="16">
        <f t="shared" si="206"/>
        <v>0</v>
      </c>
      <c r="CJ428" s="16" t="e">
        <f t="shared" si="214"/>
        <v>#N/A</v>
      </c>
      <c r="CK428" s="16" t="str">
        <f t="shared" si="215"/>
        <v/>
      </c>
    </row>
    <row r="429" spans="1:89" ht="12" customHeight="1">
      <c r="A429" s="211"/>
      <c r="B429" s="211"/>
      <c r="C429" s="211"/>
      <c r="D429" s="211"/>
      <c r="E429" s="211"/>
      <c r="F429" s="211"/>
      <c r="G429" s="211"/>
      <c r="H429" s="211"/>
      <c r="I429" s="211"/>
      <c r="J429" s="211"/>
      <c r="K429" s="211"/>
      <c r="L429" s="211"/>
      <c r="M429" s="211"/>
      <c r="N429" s="211"/>
      <c r="O429" s="211"/>
      <c r="AM429" s="34">
        <f t="shared" si="201"/>
        <v>0.32554891891777515</v>
      </c>
      <c r="AN429" s="34">
        <f t="shared" si="186"/>
        <v>0.4213136974722147</v>
      </c>
      <c r="AO429" s="16">
        <f t="shared" si="187"/>
        <v>40.900000000000311</v>
      </c>
      <c r="AP429" s="16" t="e">
        <f t="shared" si="188"/>
        <v>#N/A</v>
      </c>
      <c r="AQ429" s="16">
        <f t="shared" si="189"/>
        <v>7.5775836874591501E-3</v>
      </c>
      <c r="AR429" s="34">
        <f t="shared" si="202"/>
        <v>0.23934620060026646</v>
      </c>
      <c r="AS429" s="34">
        <f t="shared" si="190"/>
        <v>0.11750327236950397</v>
      </c>
      <c r="AT429" s="540">
        <f t="shared" si="191"/>
        <v>35.800000000000239</v>
      </c>
      <c r="AU429" s="16" t="e">
        <f t="shared" si="192"/>
        <v>#N/A</v>
      </c>
      <c r="AV429" s="16">
        <f t="shared" si="193"/>
        <v>1.8216549049873592E-3</v>
      </c>
      <c r="AW429" s="34">
        <f t="shared" si="203"/>
        <v>0.72293411381542683</v>
      </c>
      <c r="AX429" s="34">
        <f t="shared" si="194"/>
        <v>0.53629774786531925</v>
      </c>
      <c r="AY429" s="16">
        <f t="shared" si="195"/>
        <v>61.800000000000608</v>
      </c>
      <c r="AZ429" s="16" t="e">
        <f t="shared" si="196"/>
        <v>#N/A</v>
      </c>
      <c r="BA429" s="16">
        <f t="shared" si="204"/>
        <v>8.9887041969829874E-3</v>
      </c>
      <c r="BB429" s="34">
        <f t="shared" si="205"/>
        <v>0.60813159681856632</v>
      </c>
      <c r="BC429" s="34">
        <f t="shared" si="197"/>
        <v>0.87389642186462879</v>
      </c>
      <c r="BD429" s="16">
        <f t="shared" si="198"/>
        <v>55.400000000000517</v>
      </c>
      <c r="BE429" s="16" t="e">
        <f t="shared" si="199"/>
        <v>#N/A</v>
      </c>
      <c r="BF429" s="16">
        <f t="shared" si="200"/>
        <v>1.6807766166694729E-2</v>
      </c>
      <c r="BU429" s="16">
        <f t="shared" si="216"/>
        <v>0</v>
      </c>
      <c r="BV429" s="16">
        <f>IF($BY$12=1,NORMDIST(BY429,$Y$6,$Y$8,TRUE),IF($BY$12=2,IF(BY429&lt;=$BX$31,0,IF(BY429&gt;=$BX$32,1,(BY429-$BX$31)*$BX$33)),SUM($BU$42:BU429)/$BV$40))</f>
        <v>0.28603688208998346</v>
      </c>
      <c r="BW429" s="16">
        <f t="shared" si="217"/>
        <v>0.65807017347612706</v>
      </c>
      <c r="BX429" s="16">
        <f>IF($BY$12&lt;3,BV429,SUM($BZ$42:BZ429)/$BX$40)</f>
        <v>0.28603688208998346</v>
      </c>
      <c r="BY429" s="16">
        <f t="shared" si="207"/>
        <v>38.70000000000028</v>
      </c>
      <c r="BZ429" s="16">
        <f t="shared" si="208"/>
        <v>1.700439724744502E-2</v>
      </c>
      <c r="CA429" s="16">
        <f t="shared" si="218"/>
        <v>-999</v>
      </c>
      <c r="CB429" s="16" t="str">
        <f t="shared" si="209"/>
        <v/>
      </c>
      <c r="CC429" s="16" t="e">
        <f>IF(CB429="",NA(),COUNTIF(CB429:$CB$704,CB429))</f>
        <v>#N/A</v>
      </c>
      <c r="CD429" s="16" t="e">
        <f t="shared" si="210"/>
        <v>#N/A</v>
      </c>
      <c r="CE429" s="16" t="e">
        <f t="shared" si="211"/>
        <v>#N/A</v>
      </c>
      <c r="CF429" s="16">
        <f t="shared" si="212"/>
        <v>99</v>
      </c>
      <c r="CG429" s="16">
        <f t="shared" si="213"/>
        <v>0</v>
      </c>
      <c r="CH429" s="16">
        <f t="shared" si="206"/>
        <v>0</v>
      </c>
      <c r="CJ429" s="16" t="e">
        <f t="shared" si="214"/>
        <v>#N/A</v>
      </c>
      <c r="CK429" s="16" t="str">
        <f t="shared" si="215"/>
        <v/>
      </c>
    </row>
    <row r="430" spans="1:89" ht="12" customHeight="1">
      <c r="A430" s="211"/>
      <c r="B430" s="211"/>
      <c r="C430" s="211"/>
      <c r="D430" s="211"/>
      <c r="E430" s="211"/>
      <c r="F430" s="211"/>
      <c r="G430" s="211"/>
      <c r="H430" s="211"/>
      <c r="I430" s="211"/>
      <c r="J430" s="211"/>
      <c r="K430" s="211"/>
      <c r="L430" s="211"/>
      <c r="M430" s="211"/>
      <c r="N430" s="211"/>
      <c r="O430" s="211"/>
      <c r="AM430" s="34">
        <f t="shared" si="201"/>
        <v>0.45180021412670612</v>
      </c>
      <c r="AN430" s="34">
        <f t="shared" si="186"/>
        <v>1.4669844880700111E-2</v>
      </c>
      <c r="AO430" s="16">
        <f t="shared" si="187"/>
        <v>47.500000000000405</v>
      </c>
      <c r="AP430" s="16" t="e">
        <f t="shared" si="188"/>
        <v>#N/A</v>
      </c>
      <c r="AQ430" s="16">
        <f t="shared" si="189"/>
        <v>2.903438732707311E-4</v>
      </c>
      <c r="AR430" s="34">
        <f t="shared" si="202"/>
        <v>0.25123758055269718</v>
      </c>
      <c r="AS430" s="34">
        <f t="shared" si="190"/>
        <v>7.1615519002079964E-2</v>
      </c>
      <c r="AT430" s="540">
        <f t="shared" si="191"/>
        <v>36.500000000000249</v>
      </c>
      <c r="AU430" s="16" t="e">
        <f t="shared" si="192"/>
        <v>#N/A</v>
      </c>
      <c r="AV430" s="16">
        <f t="shared" si="193"/>
        <v>1.1374950151652567E-3</v>
      </c>
      <c r="AW430" s="34">
        <f t="shared" si="203"/>
        <v>0.45052391476929188</v>
      </c>
      <c r="AX430" s="34">
        <f t="shared" si="194"/>
        <v>4.503810778260231E-3</v>
      </c>
      <c r="AY430" s="16">
        <f t="shared" si="195"/>
        <v>47.500000000000405</v>
      </c>
      <c r="AZ430" s="16" t="e">
        <f t="shared" si="196"/>
        <v>#N/A</v>
      </c>
      <c r="BA430" s="16">
        <f t="shared" si="204"/>
        <v>8.9138902045168323E-5</v>
      </c>
      <c r="BB430" s="34">
        <f t="shared" si="205"/>
        <v>0.57929977215826511</v>
      </c>
      <c r="BC430" s="34">
        <f t="shared" si="197"/>
        <v>0.25247968919575214</v>
      </c>
      <c r="BD430" s="16">
        <f t="shared" si="198"/>
        <v>54.000000000000497</v>
      </c>
      <c r="BE430" s="16" t="e">
        <f t="shared" si="199"/>
        <v>#N/A</v>
      </c>
      <c r="BF430" s="16">
        <f t="shared" si="200"/>
        <v>4.9365168918596115E-3</v>
      </c>
      <c r="BU430" s="16">
        <f t="shared" si="216"/>
        <v>0</v>
      </c>
      <c r="BV430" s="16">
        <f>IF($BY$12=1,NORMDIST(BY430,$Y$6,$Y$8,TRUE),IF($BY$12=2,IF(BY430&lt;=$BX$31,0,IF(BY430&gt;=$BX$32,1,(BY430-$BX$31)*$BX$33)),SUM($BU$42:BU430)/$BV$40))</f>
        <v>0.28773971884903182</v>
      </c>
      <c r="BW430" s="16">
        <f t="shared" si="217"/>
        <v>0.66162882994289396</v>
      </c>
      <c r="BX430" s="16">
        <f>IF($BY$12&lt;3,BV430,SUM($BZ$42:BZ430)/$BX$40)</f>
        <v>0.28773971884903182</v>
      </c>
      <c r="BY430" s="16">
        <f t="shared" si="207"/>
        <v>38.800000000000281</v>
      </c>
      <c r="BZ430" s="16">
        <f t="shared" si="208"/>
        <v>1.7052289431517761E-2</v>
      </c>
      <c r="CA430" s="16">
        <f t="shared" si="218"/>
        <v>-999</v>
      </c>
      <c r="CB430" s="16" t="str">
        <f t="shared" si="209"/>
        <v/>
      </c>
      <c r="CC430" s="16" t="e">
        <f>IF(CB430="",NA(),COUNTIF(CB430:$CB$704,CB430))</f>
        <v>#N/A</v>
      </c>
      <c r="CD430" s="16" t="e">
        <f t="shared" si="210"/>
        <v>#N/A</v>
      </c>
      <c r="CE430" s="16" t="e">
        <f t="shared" si="211"/>
        <v>#N/A</v>
      </c>
      <c r="CF430" s="16">
        <f t="shared" si="212"/>
        <v>99</v>
      </c>
      <c r="CG430" s="16">
        <f t="shared" si="213"/>
        <v>0</v>
      </c>
      <c r="CH430" s="16">
        <f t="shared" si="206"/>
        <v>0</v>
      </c>
      <c r="CJ430" s="16" t="e">
        <f t="shared" si="214"/>
        <v>#N/A</v>
      </c>
      <c r="CK430" s="16" t="str">
        <f t="shared" si="215"/>
        <v/>
      </c>
    </row>
    <row r="431" spans="1:89" ht="12" customHeight="1">
      <c r="A431" s="211"/>
      <c r="B431" s="211"/>
      <c r="C431" s="211"/>
      <c r="D431" s="211"/>
      <c r="E431" s="211"/>
      <c r="F431" s="211"/>
      <c r="G431" s="211"/>
      <c r="H431" s="211"/>
      <c r="I431" s="211"/>
      <c r="J431" s="211"/>
      <c r="K431" s="211"/>
      <c r="L431" s="211"/>
      <c r="M431" s="211"/>
      <c r="N431" s="211"/>
      <c r="O431" s="211"/>
      <c r="AM431" s="34">
        <f t="shared" si="201"/>
        <v>0.63951498456299305</v>
      </c>
      <c r="AN431" s="34">
        <f t="shared" si="186"/>
        <v>0.15932472981512547</v>
      </c>
      <c r="AO431" s="16">
        <f t="shared" si="187"/>
        <v>57.100000000000541</v>
      </c>
      <c r="AP431" s="16" t="e">
        <f t="shared" si="188"/>
        <v>#N/A</v>
      </c>
      <c r="AQ431" s="16">
        <f t="shared" si="189"/>
        <v>2.983989425585319E-3</v>
      </c>
      <c r="AR431" s="34">
        <f t="shared" si="202"/>
        <v>0.12102254666388035</v>
      </c>
      <c r="AS431" s="34">
        <f t="shared" si="190"/>
        <v>3.9931910112500191E-2</v>
      </c>
      <c r="AT431" s="540">
        <f t="shared" si="191"/>
        <v>26.600000000000108</v>
      </c>
      <c r="AU431" s="16" t="e">
        <f t="shared" si="192"/>
        <v>#N/A</v>
      </c>
      <c r="AV431" s="16">
        <f t="shared" si="193"/>
        <v>4.0174205509598335E-4</v>
      </c>
      <c r="AW431" s="34">
        <f t="shared" si="203"/>
        <v>0.16633214242756367</v>
      </c>
      <c r="AX431" s="34">
        <f t="shared" si="194"/>
        <v>0.58659348823130131</v>
      </c>
      <c r="AY431" s="16">
        <f t="shared" si="195"/>
        <v>30.600000000000165</v>
      </c>
      <c r="AZ431" s="16" t="e">
        <f t="shared" si="196"/>
        <v>#N/A</v>
      </c>
      <c r="BA431" s="16">
        <f t="shared" si="204"/>
        <v>7.3097659016870672E-3</v>
      </c>
      <c r="BB431" s="34">
        <f t="shared" si="205"/>
        <v>0.1741934809833765</v>
      </c>
      <c r="BC431" s="34">
        <f t="shared" si="197"/>
        <v>7.4349017813801765E-2</v>
      </c>
      <c r="BD431" s="16">
        <f t="shared" si="198"/>
        <v>31.200000000000173</v>
      </c>
      <c r="BE431" s="16" t="e">
        <f t="shared" si="199"/>
        <v>#N/A</v>
      </c>
      <c r="BF431" s="16">
        <f t="shared" si="200"/>
        <v>9.5341944189897005E-4</v>
      </c>
      <c r="BU431" s="16">
        <f t="shared" si="216"/>
        <v>0</v>
      </c>
      <c r="BV431" s="16">
        <f>IF($BY$12=1,NORMDIST(BY431,$Y$6,$Y$8,TRUE),IF($BY$12=2,IF(BY431&lt;=$BX$31,0,IF(BY431&gt;=$BX$32,1,(BY431-$BX$31)*$BX$33)),SUM($BU$42:BU431)/$BV$40))</f>
        <v>0.2894473302223991</v>
      </c>
      <c r="BW431" s="16">
        <f t="shared" si="217"/>
        <v>0.66518568207606155</v>
      </c>
      <c r="BX431" s="16">
        <f>IF($BY$12&lt;3,BV431,SUM($BZ$42:BZ431)/$BX$40)</f>
        <v>0.2894473302223991</v>
      </c>
      <c r="BY431" s="16">
        <f t="shared" si="207"/>
        <v>38.900000000000283</v>
      </c>
      <c r="BZ431" s="16">
        <f t="shared" si="208"/>
        <v>1.7099888999384492E-2</v>
      </c>
      <c r="CA431" s="16">
        <f t="shared" si="218"/>
        <v>-999</v>
      </c>
      <c r="CB431" s="16" t="str">
        <f t="shared" si="209"/>
        <v/>
      </c>
      <c r="CC431" s="16" t="e">
        <f>IF(CB431="",NA(),COUNTIF(CB431:$CB$704,CB431))</f>
        <v>#N/A</v>
      </c>
      <c r="CD431" s="16" t="e">
        <f t="shared" si="210"/>
        <v>#N/A</v>
      </c>
      <c r="CE431" s="16" t="e">
        <f t="shared" si="211"/>
        <v>#N/A</v>
      </c>
      <c r="CF431" s="16">
        <f t="shared" si="212"/>
        <v>99</v>
      </c>
      <c r="CG431" s="16">
        <f t="shared" si="213"/>
        <v>0</v>
      </c>
      <c r="CH431" s="16">
        <f t="shared" si="206"/>
        <v>0</v>
      </c>
      <c r="CJ431" s="16" t="e">
        <f t="shared" si="214"/>
        <v>#N/A</v>
      </c>
      <c r="CK431" s="16" t="str">
        <f t="shared" si="215"/>
        <v/>
      </c>
    </row>
    <row r="432" spans="1:89" ht="12" customHeight="1">
      <c r="A432" s="211"/>
      <c r="B432" s="211"/>
      <c r="C432" s="211"/>
      <c r="D432" s="211"/>
      <c r="E432" s="211"/>
      <c r="F432" s="211"/>
      <c r="G432" s="211"/>
      <c r="H432" s="211"/>
      <c r="I432" s="211"/>
      <c r="J432" s="211"/>
      <c r="K432" s="211"/>
      <c r="L432" s="211"/>
      <c r="M432" s="211"/>
      <c r="N432" s="211"/>
      <c r="O432" s="211"/>
      <c r="AM432" s="34">
        <f t="shared" si="201"/>
        <v>0.36937274225056171</v>
      </c>
      <c r="AN432" s="34">
        <f t="shared" si="186"/>
        <v>0.22435126639902592</v>
      </c>
      <c r="AO432" s="16">
        <f t="shared" si="187"/>
        <v>43.300000000000345</v>
      </c>
      <c r="AP432" s="16" t="e">
        <f t="shared" si="188"/>
        <v>#N/A</v>
      </c>
      <c r="AQ432" s="16">
        <f t="shared" si="189"/>
        <v>4.2309631847763937E-3</v>
      </c>
      <c r="AR432" s="34">
        <f t="shared" si="202"/>
        <v>0.62023983336985111</v>
      </c>
      <c r="AS432" s="34">
        <f t="shared" si="190"/>
        <v>0.39681634493172169</v>
      </c>
      <c r="AT432" s="540">
        <f t="shared" si="191"/>
        <v>56.100000000000527</v>
      </c>
      <c r="AU432" s="16" t="e">
        <f t="shared" si="192"/>
        <v>#N/A</v>
      </c>
      <c r="AV432" s="16">
        <f t="shared" si="193"/>
        <v>7.5556094406704849E-3</v>
      </c>
      <c r="AW432" s="34">
        <f t="shared" si="203"/>
        <v>0.50802836008369923</v>
      </c>
      <c r="AX432" s="34">
        <f t="shared" si="194"/>
        <v>0.20520567335188389</v>
      </c>
      <c r="AY432" s="16">
        <f t="shared" si="195"/>
        <v>50.400000000000446</v>
      </c>
      <c r="AZ432" s="16" t="e">
        <f t="shared" si="196"/>
        <v>#N/A</v>
      </c>
      <c r="BA432" s="16">
        <f t="shared" si="204"/>
        <v>4.0924423935825797E-3</v>
      </c>
      <c r="BB432" s="34">
        <f t="shared" si="205"/>
        <v>0.1446752492338419</v>
      </c>
      <c r="BC432" s="34">
        <f t="shared" si="197"/>
        <v>0.37311665900051594</v>
      </c>
      <c r="BD432" s="16">
        <f t="shared" si="198"/>
        <v>28.800000000000139</v>
      </c>
      <c r="BE432" s="16" t="e">
        <f t="shared" si="199"/>
        <v>#N/A</v>
      </c>
      <c r="BF432" s="16">
        <f t="shared" si="200"/>
        <v>4.243635464328788E-3</v>
      </c>
      <c r="BU432" s="16">
        <f t="shared" si="216"/>
        <v>0</v>
      </c>
      <c r="BV432" s="16">
        <f>IF($BY$12=1,NORMDIST(BY432,$Y$6,$Y$8,TRUE),IF($BY$12=2,IF(BY432&lt;=$BX$31,0,IF(BY432&gt;=$BX$32,1,(BY432-$BX$31)*$BX$33)),SUM($BU$42:BU432)/$BV$40))</f>
        <v>0.29115968678835125</v>
      </c>
      <c r="BW432" s="16">
        <f t="shared" si="217"/>
        <v>0.66874051728780859</v>
      </c>
      <c r="BX432" s="16">
        <f>IF($BY$12&lt;3,BV432,SUM($BZ$42:BZ432)/$BX$40)</f>
        <v>0.29115968678835125</v>
      </c>
      <c r="BY432" s="16">
        <f t="shared" si="207"/>
        <v>39.000000000000284</v>
      </c>
      <c r="BZ432" s="16">
        <f t="shared" si="208"/>
        <v>1.7147192750969327E-2</v>
      </c>
      <c r="CA432" s="16">
        <f t="shared" si="218"/>
        <v>-999</v>
      </c>
      <c r="CB432" s="16" t="str">
        <f t="shared" si="209"/>
        <v/>
      </c>
      <c r="CC432" s="16" t="e">
        <f>IF(CB432="",NA(),COUNTIF(CB432:$CB$704,CB432))</f>
        <v>#N/A</v>
      </c>
      <c r="CD432" s="16" t="e">
        <f t="shared" si="210"/>
        <v>#N/A</v>
      </c>
      <c r="CE432" s="16" t="e">
        <f t="shared" si="211"/>
        <v>#N/A</v>
      </c>
      <c r="CF432" s="16">
        <f t="shared" si="212"/>
        <v>99</v>
      </c>
      <c r="CG432" s="16">
        <f t="shared" si="213"/>
        <v>0</v>
      </c>
      <c r="CH432" s="16">
        <f t="shared" si="206"/>
        <v>0</v>
      </c>
      <c r="CJ432" s="16" t="e">
        <f t="shared" si="214"/>
        <v>#N/A</v>
      </c>
      <c r="CK432" s="16" t="str">
        <f t="shared" si="215"/>
        <v/>
      </c>
    </row>
    <row r="433" spans="1:89" ht="12" customHeight="1">
      <c r="A433" s="211"/>
      <c r="B433" s="211"/>
      <c r="C433" s="211"/>
      <c r="D433" s="211"/>
      <c r="E433" s="211"/>
      <c r="F433" s="211"/>
      <c r="G433" s="211"/>
      <c r="H433" s="211"/>
      <c r="I433" s="211"/>
      <c r="J433" s="211"/>
      <c r="K433" s="211"/>
      <c r="L433" s="211"/>
      <c r="M433" s="211"/>
      <c r="N433" s="211"/>
      <c r="O433" s="211"/>
      <c r="AM433" s="34">
        <f t="shared" si="201"/>
        <v>0.58055672235786915</v>
      </c>
      <c r="AN433" s="34">
        <f t="shared" si="186"/>
        <v>0.77081608213484287</v>
      </c>
      <c r="AO433" s="16">
        <f t="shared" si="187"/>
        <v>54.000000000000497</v>
      </c>
      <c r="AP433" s="16" t="e">
        <f t="shared" si="188"/>
        <v>#N/A</v>
      </c>
      <c r="AQ433" s="16">
        <f t="shared" si="189"/>
        <v>1.5071099865880688E-2</v>
      </c>
      <c r="AR433" s="34">
        <f t="shared" si="202"/>
        <v>0.60792970098555088</v>
      </c>
      <c r="AS433" s="34">
        <f t="shared" si="190"/>
        <v>0.91294162161648273</v>
      </c>
      <c r="AT433" s="540">
        <f t="shared" si="191"/>
        <v>55.400000000000517</v>
      </c>
      <c r="AU433" s="16" t="e">
        <f t="shared" si="192"/>
        <v>#N/A</v>
      </c>
      <c r="AV433" s="16">
        <f t="shared" si="193"/>
        <v>1.755872768906918E-2</v>
      </c>
      <c r="AW433" s="34">
        <f t="shared" si="203"/>
        <v>0.40119259245693684</v>
      </c>
      <c r="AX433" s="34">
        <f t="shared" si="194"/>
        <v>0.14007307030260563</v>
      </c>
      <c r="AY433" s="16">
        <f t="shared" si="195"/>
        <v>44.900000000000368</v>
      </c>
      <c r="AZ433" s="16" t="e">
        <f t="shared" si="196"/>
        <v>#N/A</v>
      </c>
      <c r="BA433" s="16">
        <f t="shared" si="204"/>
        <v>2.7046727097342943E-3</v>
      </c>
      <c r="BB433" s="34">
        <f t="shared" si="205"/>
        <v>0.44052172638475895</v>
      </c>
      <c r="BC433" s="34">
        <f t="shared" si="197"/>
        <v>0.99063003249466419</v>
      </c>
      <c r="BD433" s="16">
        <f t="shared" si="198"/>
        <v>47.000000000000398</v>
      </c>
      <c r="BE433" s="16" t="e">
        <f t="shared" si="199"/>
        <v>#N/A</v>
      </c>
      <c r="BF433" s="16" t="e">
        <f t="shared" si="200"/>
        <v>#N/A</v>
      </c>
      <c r="BU433" s="16">
        <f t="shared" si="216"/>
        <v>0</v>
      </c>
      <c r="BV433" s="16">
        <f>IF($BY$12=1,NORMDIST(BY433,$Y$6,$Y$8,TRUE),IF($BY$12=2,IF(BY433&lt;=$BX$31,0,IF(BY433&gt;=$BX$32,1,(BY433-$BX$31)*$BX$33)),SUM($BU$42:BU433)/$BV$40))</f>
        <v>0.29287675880580999</v>
      </c>
      <c r="BW433" s="16">
        <f t="shared" si="217"/>
        <v>0.67229312223125992</v>
      </c>
      <c r="BX433" s="16">
        <f>IF($BY$12&lt;3,BV433,SUM($BZ$42:BZ433)/$BX$40)</f>
        <v>0.29287675880580999</v>
      </c>
      <c r="BY433" s="16">
        <f t="shared" si="207"/>
        <v>39.100000000000286</v>
      </c>
      <c r="BZ433" s="16">
        <f t="shared" si="208"/>
        <v>1.7194197499520589E-2</v>
      </c>
      <c r="CA433" s="16">
        <f t="shared" si="218"/>
        <v>-999</v>
      </c>
      <c r="CB433" s="16" t="str">
        <f t="shared" si="209"/>
        <v/>
      </c>
      <c r="CC433" s="16" t="e">
        <f>IF(CB433="",NA(),COUNTIF(CB433:$CB$704,CB433))</f>
        <v>#N/A</v>
      </c>
      <c r="CD433" s="16" t="e">
        <f t="shared" si="210"/>
        <v>#N/A</v>
      </c>
      <c r="CE433" s="16" t="e">
        <f t="shared" si="211"/>
        <v>#N/A</v>
      </c>
      <c r="CF433" s="16">
        <f t="shared" si="212"/>
        <v>99</v>
      </c>
      <c r="CG433" s="16">
        <f t="shared" si="213"/>
        <v>0</v>
      </c>
      <c r="CH433" s="16">
        <f t="shared" si="206"/>
        <v>0</v>
      </c>
      <c r="CJ433" s="16" t="e">
        <f t="shared" si="214"/>
        <v>#N/A</v>
      </c>
      <c r="CK433" s="16" t="str">
        <f t="shared" si="215"/>
        <v/>
      </c>
    </row>
    <row r="434" spans="1:89" ht="12" customHeight="1">
      <c r="A434" s="211"/>
      <c r="B434" s="211"/>
      <c r="C434" s="211"/>
      <c r="D434" s="211"/>
      <c r="E434" s="211"/>
      <c r="F434" s="211"/>
      <c r="G434" s="211"/>
      <c r="H434" s="211"/>
      <c r="I434" s="211"/>
      <c r="J434" s="211"/>
      <c r="K434" s="211"/>
      <c r="L434" s="211"/>
      <c r="M434" s="211"/>
      <c r="N434" s="211"/>
      <c r="O434" s="211"/>
      <c r="AM434" s="34">
        <f t="shared" si="201"/>
        <v>0.84195749647915363</v>
      </c>
      <c r="AN434" s="34">
        <f t="shared" si="186"/>
        <v>0.91023899056017399</v>
      </c>
      <c r="AO434" s="16">
        <f t="shared" si="187"/>
        <v>70.000000000000298</v>
      </c>
      <c r="AP434" s="16" t="e">
        <f t="shared" si="188"/>
        <v>#N/A</v>
      </c>
      <c r="AQ434" s="16">
        <f t="shared" si="189"/>
        <v>1.1012559401570785E-2</v>
      </c>
      <c r="AR434" s="34">
        <f t="shared" si="202"/>
        <v>8.4405908361077309E-2</v>
      </c>
      <c r="AS434" s="34">
        <f t="shared" si="190"/>
        <v>0.18088758178055286</v>
      </c>
      <c r="AT434" s="540">
        <f t="shared" si="191"/>
        <v>22.400000000000048</v>
      </c>
      <c r="AU434" s="16" t="e">
        <f t="shared" si="192"/>
        <v>#N/A</v>
      </c>
      <c r="AV434" s="16">
        <f t="shared" si="193"/>
        <v>1.3923666655875997E-3</v>
      </c>
      <c r="AW434" s="34">
        <f t="shared" si="203"/>
        <v>0.52397597022354603</v>
      </c>
      <c r="AX434" s="34">
        <f t="shared" si="194"/>
        <v>0.51392307318747044</v>
      </c>
      <c r="AY434" s="16">
        <f t="shared" si="195"/>
        <v>51.200000000000458</v>
      </c>
      <c r="AZ434" s="16" t="e">
        <f t="shared" si="196"/>
        <v>#N/A</v>
      </c>
      <c r="BA434" s="16">
        <f t="shared" si="204"/>
        <v>1.0232846427684229E-2</v>
      </c>
      <c r="BB434" s="34">
        <f t="shared" si="205"/>
        <v>0.20313706435263157</v>
      </c>
      <c r="BC434" s="34">
        <f t="shared" si="197"/>
        <v>0.28430815227329731</v>
      </c>
      <c r="BD434" s="16">
        <f t="shared" si="198"/>
        <v>33.300000000000203</v>
      </c>
      <c r="BE434" s="16" t="e">
        <f t="shared" si="199"/>
        <v>#N/A</v>
      </c>
      <c r="BF434" s="16">
        <f t="shared" si="200"/>
        <v>4.0019245639031139E-3</v>
      </c>
      <c r="BU434" s="16">
        <f t="shared" si="216"/>
        <v>0</v>
      </c>
      <c r="BV434" s="16">
        <f>IF($BY$12=1,NORMDIST(BY434,$Y$6,$Y$8,TRUE),IF($BY$12=2,IF(BY434&lt;=$BX$31,0,IF(BY434&gt;=$BX$32,1,(BY434-$BX$31)*$BX$33)),SUM($BU$42:BU434)/$BV$40))</f>
        <v>0.29459851621570299</v>
      </c>
      <c r="BW434" s="16">
        <f t="shared" si="217"/>
        <v>0.67584328282110351</v>
      </c>
      <c r="BX434" s="16">
        <f>IF($BY$12&lt;3,BV434,SUM($BZ$42:BZ434)/$BX$40)</f>
        <v>0.29459851621570299</v>
      </c>
      <c r="BY434" s="16">
        <f t="shared" si="207"/>
        <v>39.200000000000287</v>
      </c>
      <c r="BZ434" s="16">
        <f t="shared" si="208"/>
        <v>1.7240900071966801E-2</v>
      </c>
      <c r="CA434" s="16">
        <f t="shared" si="218"/>
        <v>-999</v>
      </c>
      <c r="CB434" s="16" t="str">
        <f t="shared" si="209"/>
        <v/>
      </c>
      <c r="CC434" s="16" t="e">
        <f>IF(CB434="",NA(),COUNTIF(CB434:$CB$704,CB434))</f>
        <v>#N/A</v>
      </c>
      <c r="CD434" s="16" t="e">
        <f t="shared" si="210"/>
        <v>#N/A</v>
      </c>
      <c r="CE434" s="16" t="e">
        <f t="shared" si="211"/>
        <v>#N/A</v>
      </c>
      <c r="CF434" s="16">
        <f t="shared" si="212"/>
        <v>99</v>
      </c>
      <c r="CG434" s="16">
        <f t="shared" si="213"/>
        <v>0</v>
      </c>
      <c r="CH434" s="16">
        <f t="shared" si="206"/>
        <v>0</v>
      </c>
      <c r="CJ434" s="16" t="e">
        <f t="shared" si="214"/>
        <v>#N/A</v>
      </c>
      <c r="CK434" s="16" t="str">
        <f t="shared" si="215"/>
        <v/>
      </c>
    </row>
    <row r="435" spans="1:89" ht="12" customHeight="1">
      <c r="A435" s="211"/>
      <c r="B435" s="211"/>
      <c r="C435" s="211"/>
      <c r="D435" s="211"/>
      <c r="E435" s="211"/>
      <c r="F435" s="211"/>
      <c r="G435" s="211"/>
      <c r="H435" s="211"/>
      <c r="I435" s="211"/>
      <c r="J435" s="211"/>
      <c r="K435" s="211"/>
      <c r="L435" s="211"/>
      <c r="M435" s="211"/>
      <c r="N435" s="211"/>
      <c r="O435" s="211"/>
      <c r="AM435" s="34">
        <f t="shared" si="201"/>
        <v>0.7387086171656847</v>
      </c>
      <c r="AN435" s="34">
        <f t="shared" ref="AN435:AN498" si="219">MOD(AM435*10000013,1)</f>
        <v>0.77486887015402317</v>
      </c>
      <c r="AO435" s="16">
        <f t="shared" ref="AO435:AO498" si="220">IF(VLOOKUP(AM435,$BX$42:$BY$4042,2)&gt;=$AO$112,NA(),VLOOKUP(AM435,$BX$42:$BY$4042,2))</f>
        <v>62.700000000000621</v>
      </c>
      <c r="AP435" s="16" t="e">
        <f t="shared" ref="AP435:AP498" si="221">IF(AND(AO435&lt;100,$P$16),AO435+AM436+$AU$113,NA())</f>
        <v>#N/A</v>
      </c>
      <c r="AQ435" s="16">
        <f t="shared" ref="AQ435:AQ498" si="222">IF(AN435*VLOOKUP(AO435,$BY$42:$BZ$1042,2)&lt;VLOOKUP(AO435,$BY$42:$BZ$1042,2)-$BZ$40/$CB$40,AN435*VLOOKUP(AO435,$BY$42:$BZ$1042,2),NA())</f>
        <v>1.263423898701688E-2</v>
      </c>
      <c r="AR435" s="34">
        <f t="shared" si="202"/>
        <v>0.1693440917879343</v>
      </c>
      <c r="AS435" s="34">
        <f t="shared" ref="AS435:AS498" si="223">MOD(AR435*10000013,1)</f>
        <v>0.11935253627598286</v>
      </c>
      <c r="AT435" s="540">
        <f t="shared" ref="AT435:AT498" si="224">IF(VLOOKUP(AR435,$BX$42:$BY$4042,2)&gt;=$AO$112,NA(),VLOOKUP(AR435,$BX$42:$BY$4042,2))</f>
        <v>30.800000000000168</v>
      </c>
      <c r="AU435" s="16" t="e">
        <f t="shared" ref="AU435:AU498" si="225">IF(AND(AT435&lt;100,$P$16),AT435+AR436+$AU$113,NA())</f>
        <v>#N/A</v>
      </c>
      <c r="AV435" s="16">
        <f t="shared" ref="AV435:AV498" si="226">IF(AS435*VLOOKUP(AT435,$BY$42:$BZ$1042,2)&lt;VLOOKUP(AT435,$BY$42:$BZ$1042,2)-$BZ$40/$CB$40,AS435*VLOOKUP(AT435,$BY$42:$BZ$1042,2),NA())</f>
        <v>1.5017195174779532E-3</v>
      </c>
      <c r="AW435" s="34">
        <f t="shared" si="203"/>
        <v>0.41287465579807758</v>
      </c>
      <c r="AX435" s="34">
        <f t="shared" ref="AX435:AX498" si="227">MOD(AW435*10000013,1)</f>
        <v>0.92535130120813847</v>
      </c>
      <c r="AY435" s="16">
        <f t="shared" ref="AY435:AY498" si="228">IF(VLOOKUP(AW435,$BX$42:$BY$4042,2)&gt;=$AO$112,NA(),VLOOKUP(AW435,$BX$42:$BY$4042,2))</f>
        <v>45.500000000000377</v>
      </c>
      <c r="AZ435" s="16" t="e">
        <f t="shared" ref="AZ435:AZ498" si="229">IF(AND(AY435&lt;100,$P$16),AY435+AW436+$AU$113,NA())</f>
        <v>#N/A</v>
      </c>
      <c r="BA435" s="16">
        <f t="shared" si="204"/>
        <v>1.7996731242088129E-2</v>
      </c>
      <c r="BB435" s="34">
        <f t="shared" si="205"/>
        <v>0.21873895265161991</v>
      </c>
      <c r="BC435" s="34">
        <f t="shared" ref="BC435:BC498" si="230">MOD(BB435*10000013,1)</f>
        <v>0.37012258358299732</v>
      </c>
      <c r="BD435" s="16">
        <f t="shared" ref="BD435:BD498" si="231">IF(VLOOKUP(BB435,$BX$42:$BY$4042,2)&gt;=$AO$112,NA(),VLOOKUP(BB435,$BX$42:$BY$4042,2))</f>
        <v>34.400000000000219</v>
      </c>
      <c r="BE435" s="16" t="e">
        <f t="shared" ref="BE435:BE498" si="232">IF(AND(BD435&lt;100,$P$16),BD435+BB436+$AU$113,NA())</f>
        <v>#N/A</v>
      </c>
      <c r="BF435" s="16">
        <f t="shared" ref="BF435:BF498" si="233">IF(BC435*VLOOKUP(BD435,$BY$42:$BZ$1042,2)&lt;VLOOKUP(BD435,$BY$42:$BZ$1042,2)-$BZ$40/$CB$40,BC435*VLOOKUP(BD435,$BY$42:$BZ$1042,2),NA())</f>
        <v>5.4464468993363404E-3</v>
      </c>
      <c r="BU435" s="16">
        <f t="shared" si="216"/>
        <v>0</v>
      </c>
      <c r="BV435" s="16">
        <f>IF($BY$12=1,NORMDIST(BY435,$Y$6,$Y$8,TRUE),IF($BY$12=2,IF(BY435&lt;=$BX$31,0,IF(BY435&gt;=$BX$32,1,(BY435-$BX$31)*$BX$33)),SUM($BU$42:BU435)/$BV$40))</f>
        <v>0.29632492864234938</v>
      </c>
      <c r="BW435" s="16">
        <f t="shared" si="217"/>
        <v>0.6793907842543907</v>
      </c>
      <c r="BX435" s="16">
        <f>IF($BY$12&lt;3,BV435,SUM($BZ$42:BZ435)/$BX$40)</f>
        <v>0.29632492864234938</v>
      </c>
      <c r="BY435" s="16">
        <f t="shared" si="207"/>
        <v>39.300000000000288</v>
      </c>
      <c r="BZ435" s="16">
        <f t="shared" si="208"/>
        <v>1.72872973092719E-2</v>
      </c>
      <c r="CA435" s="16">
        <f t="shared" si="218"/>
        <v>-999</v>
      </c>
      <c r="CB435" s="16" t="str">
        <f t="shared" si="209"/>
        <v/>
      </c>
      <c r="CC435" s="16" t="e">
        <f>IF(CB435="",NA(),COUNTIF(CB435:$CB$704,CB435))</f>
        <v>#N/A</v>
      </c>
      <c r="CD435" s="16" t="e">
        <f t="shared" si="210"/>
        <v>#N/A</v>
      </c>
      <c r="CE435" s="16" t="e">
        <f t="shared" si="211"/>
        <v>#N/A</v>
      </c>
      <c r="CF435" s="16">
        <f t="shared" si="212"/>
        <v>99</v>
      </c>
      <c r="CG435" s="16">
        <f t="shared" si="213"/>
        <v>0</v>
      </c>
      <c r="CH435" s="16">
        <f t="shared" si="206"/>
        <v>0</v>
      </c>
      <c r="CJ435" s="16" t="e">
        <f t="shared" si="214"/>
        <v>#N/A</v>
      </c>
      <c r="CK435" s="16" t="str">
        <f t="shared" si="215"/>
        <v/>
      </c>
    </row>
    <row r="436" spans="1:89" ht="12" customHeight="1">
      <c r="A436" s="211"/>
      <c r="B436" s="211"/>
      <c r="C436" s="211"/>
      <c r="D436" s="211"/>
      <c r="E436" s="211"/>
      <c r="F436" s="211"/>
      <c r="G436" s="211"/>
      <c r="H436" s="211"/>
      <c r="I436" s="211"/>
      <c r="J436" s="211"/>
      <c r="K436" s="211"/>
      <c r="L436" s="211"/>
      <c r="M436" s="211"/>
      <c r="N436" s="211"/>
      <c r="O436" s="211"/>
      <c r="AM436" s="34">
        <f t="shared" ref="AM436:AM499" si="234">MOD(AN435*10000013,1)</f>
        <v>0.77483554370701313</v>
      </c>
      <c r="AN436" s="34">
        <f t="shared" si="219"/>
        <v>0.50993219949305058</v>
      </c>
      <c r="AO436" s="16">
        <f t="shared" si="220"/>
        <v>65.000000000000583</v>
      </c>
      <c r="AP436" s="16" t="e">
        <f t="shared" si="221"/>
        <v>#N/A</v>
      </c>
      <c r="AQ436" s="16">
        <f t="shared" si="222"/>
        <v>7.6779836564192664E-3</v>
      </c>
      <c r="AR436" s="34">
        <f t="shared" ref="AR436:AR499" si="235">MOD(AS435*10000013,1)</f>
        <v>0.91434280015528202</v>
      </c>
      <c r="AS436" s="34">
        <f t="shared" si="223"/>
        <v>0.88800922222435474</v>
      </c>
      <c r="AT436" s="540">
        <f t="shared" si="224"/>
        <v>77.299999999999883</v>
      </c>
      <c r="AU436" s="16" t="e">
        <f t="shared" si="225"/>
        <v>#N/A</v>
      </c>
      <c r="AV436" s="16">
        <f t="shared" si="226"/>
        <v>6.9775567631634918E-3</v>
      </c>
      <c r="AW436" s="34">
        <f t="shared" ref="AW436:AW499" si="236">MOD(AX435*10000013,1)</f>
        <v>4.1648300364613533E-2</v>
      </c>
      <c r="AX436" s="34">
        <f t="shared" si="227"/>
        <v>0.54507404007017612</v>
      </c>
      <c r="AY436" s="16">
        <f t="shared" si="228"/>
        <v>15.299999999999962</v>
      </c>
      <c r="AZ436" s="16" t="e">
        <f t="shared" si="229"/>
        <v>#N/A</v>
      </c>
      <c r="BA436" s="16">
        <f t="shared" ref="BA436:BA499" si="237">IF(AX436*VLOOKUP(AY436,$BY$42:$BZ$1042,2)&lt;VLOOKUP(AY436,$BY$42:$BZ$1042,2)-$BZ$40/$CB$40,AX436*VLOOKUP(AY436,$BY$42:$BZ$1042,2),NA())</f>
        <v>2.4136456733576152E-3</v>
      </c>
      <c r="BB436" s="34">
        <f t="shared" ref="BB436:BB499" si="238">MOD(BC435*10000013,1)</f>
        <v>0.64742355979979038</v>
      </c>
      <c r="BC436" s="34">
        <f t="shared" si="230"/>
        <v>1.450418122112751E-2</v>
      </c>
      <c r="BD436" s="16">
        <f t="shared" si="231"/>
        <v>57.500000000000547</v>
      </c>
      <c r="BE436" s="16" t="e">
        <f t="shared" si="232"/>
        <v>#N/A</v>
      </c>
      <c r="BF436" s="16">
        <f t="shared" si="233"/>
        <v>2.6967268347432275E-4</v>
      </c>
      <c r="BU436" s="16">
        <f t="shared" si="216"/>
        <v>0</v>
      </c>
      <c r="BV436" s="16">
        <f>IF($BY$12=1,NORMDIST(BY436,$Y$6,$Y$8,TRUE),IF($BY$12=2,IF(BY436&lt;=$BX$31,0,IF(BY436&gt;=$BX$32,1,(BY436-$BX$31)*$BX$33)),SUM($BU$42:BU436)/$BV$40))</f>
        <v>0.29805596539488144</v>
      </c>
      <c r="BW436" s="16">
        <f t="shared" si="217"/>
        <v>0.68293541103151967</v>
      </c>
      <c r="BX436" s="16">
        <f>IF($BY$12&lt;3,BV436,SUM($BZ$42:BZ436)/$BX$40)</f>
        <v>0.29805596539488144</v>
      </c>
      <c r="BY436" s="16">
        <f t="shared" si="207"/>
        <v>39.40000000000029</v>
      </c>
      <c r="BZ436" s="16">
        <f t="shared" si="208"/>
        <v>1.7333386066789712E-2</v>
      </c>
      <c r="CA436" s="16">
        <f t="shared" si="218"/>
        <v>-999</v>
      </c>
      <c r="CB436" s="16" t="str">
        <f t="shared" si="209"/>
        <v/>
      </c>
      <c r="CC436" s="16" t="e">
        <f>IF(CB436="",NA(),COUNTIF(CB436:$CB$704,CB436))</f>
        <v>#N/A</v>
      </c>
      <c r="CD436" s="16" t="e">
        <f t="shared" si="210"/>
        <v>#N/A</v>
      </c>
      <c r="CE436" s="16" t="e">
        <f t="shared" si="211"/>
        <v>#N/A</v>
      </c>
      <c r="CF436" s="16">
        <f t="shared" si="212"/>
        <v>99</v>
      </c>
      <c r="CG436" s="16">
        <f t="shared" si="213"/>
        <v>0</v>
      </c>
      <c r="CH436" s="16">
        <f t="shared" si="206"/>
        <v>0</v>
      </c>
      <c r="CJ436" s="16" t="e">
        <f t="shared" si="214"/>
        <v>#N/A</v>
      </c>
      <c r="CK436" s="16" t="str">
        <f t="shared" si="215"/>
        <v/>
      </c>
    </row>
    <row r="437" spans="1:89" ht="12" customHeight="1">
      <c r="A437" s="211"/>
      <c r="B437" s="211"/>
      <c r="C437" s="211"/>
      <c r="D437" s="211"/>
      <c r="E437" s="211"/>
      <c r="F437" s="211"/>
      <c r="G437" s="211"/>
      <c r="H437" s="211"/>
      <c r="I437" s="211"/>
      <c r="J437" s="211"/>
      <c r="K437" s="211"/>
      <c r="L437" s="211"/>
      <c r="M437" s="211"/>
      <c r="N437" s="211"/>
      <c r="O437" s="211"/>
      <c r="AM437" s="34">
        <f t="shared" si="234"/>
        <v>0.62404909916222095</v>
      </c>
      <c r="AN437" s="34">
        <f t="shared" si="219"/>
        <v>0.10426049865782261</v>
      </c>
      <c r="AO437" s="16">
        <f t="shared" si="220"/>
        <v>56.30000000000053</v>
      </c>
      <c r="AP437" s="16" t="e">
        <f t="shared" si="221"/>
        <v>#N/A</v>
      </c>
      <c r="AQ437" s="16">
        <f t="shared" si="222"/>
        <v>1.9790348084999633E-3</v>
      </c>
      <c r="AR437" s="34">
        <f t="shared" si="235"/>
        <v>0.76636343635618687</v>
      </c>
      <c r="AS437" s="34">
        <f t="shared" si="223"/>
        <v>0.32628654129803181</v>
      </c>
      <c r="AT437" s="540">
        <f t="shared" si="224"/>
        <v>64.500000000000611</v>
      </c>
      <c r="AU437" s="16" t="e">
        <f t="shared" si="225"/>
        <v>#N/A</v>
      </c>
      <c r="AV437" s="16">
        <f t="shared" si="226"/>
        <v>5.0042755127133846E-3</v>
      </c>
      <c r="AW437" s="34">
        <f t="shared" si="236"/>
        <v>0.48666428215801716</v>
      </c>
      <c r="AX437" s="34">
        <f t="shared" si="227"/>
        <v>0.14821583963930607</v>
      </c>
      <c r="AY437" s="16">
        <f t="shared" si="228"/>
        <v>49.300000000000431</v>
      </c>
      <c r="AZ437" s="16" t="e">
        <f t="shared" si="229"/>
        <v>#N/A</v>
      </c>
      <c r="BA437" s="16">
        <f t="shared" si="237"/>
        <v>2.9546679643934525E-3</v>
      </c>
      <c r="BB437" s="34">
        <f t="shared" si="238"/>
        <v>7.6563097536563873E-4</v>
      </c>
      <c r="BC437" s="34">
        <f t="shared" si="230"/>
        <v>0.31970685906708241</v>
      </c>
      <c r="BD437" s="16" t="e">
        <f t="shared" si="231"/>
        <v>#N/A</v>
      </c>
      <c r="BE437" s="16" t="e">
        <f t="shared" si="232"/>
        <v>#N/A</v>
      </c>
      <c r="BF437" s="16" t="e">
        <f t="shared" si="233"/>
        <v>#N/A</v>
      </c>
      <c r="BU437" s="16">
        <f t="shared" si="216"/>
        <v>0</v>
      </c>
      <c r="BV437" s="16">
        <f>IF($BY$12=1,NORMDIST(BY437,$Y$6,$Y$8,TRUE),IF($BY$12=2,IF(BY437&lt;=$BX$31,0,IF(BY437&gt;=$BX$32,1,(BY437-$BX$31)*$BX$33)),SUM($BU$42:BU437)/$BV$40))</f>
        <v>0.29979159546870093</v>
      </c>
      <c r="BW437" s="16">
        <f t="shared" si="217"/>
        <v>0.6864769469773977</v>
      </c>
      <c r="BX437" s="16">
        <f>IF($BY$12&lt;3,BV437,SUM($BZ$42:BZ437)/$BX$40)</f>
        <v>0.29979159546870093</v>
      </c>
      <c r="BY437" s="16">
        <f t="shared" si="207"/>
        <v>39.500000000000291</v>
      </c>
      <c r="BZ437" s="16">
        <f t="shared" si="208"/>
        <v>1.7379163214617535E-2</v>
      </c>
      <c r="CA437" s="16">
        <f t="shared" si="218"/>
        <v>-999</v>
      </c>
      <c r="CB437" s="16" t="str">
        <f t="shared" si="209"/>
        <v/>
      </c>
      <c r="CC437" s="16" t="e">
        <f>IF(CB437="",NA(),COUNTIF(CB437:$CB$704,CB437))</f>
        <v>#N/A</v>
      </c>
      <c r="CD437" s="16" t="e">
        <f t="shared" si="210"/>
        <v>#N/A</v>
      </c>
      <c r="CE437" s="16" t="e">
        <f t="shared" si="211"/>
        <v>#N/A</v>
      </c>
      <c r="CF437" s="16">
        <f t="shared" si="212"/>
        <v>99</v>
      </c>
      <c r="CG437" s="16">
        <f t="shared" si="213"/>
        <v>0</v>
      </c>
      <c r="CH437" s="16">
        <f t="shared" si="206"/>
        <v>0</v>
      </c>
      <c r="CJ437" s="16" t="e">
        <f t="shared" si="214"/>
        <v>#N/A</v>
      </c>
      <c r="CK437" s="16" t="str">
        <f t="shared" si="215"/>
        <v/>
      </c>
    </row>
    <row r="438" spans="1:89" ht="12" customHeight="1">
      <c r="A438" s="211"/>
      <c r="B438" s="211"/>
      <c r="C438" s="211"/>
      <c r="D438" s="211"/>
      <c r="E438" s="211"/>
      <c r="F438" s="211"/>
      <c r="G438" s="211"/>
      <c r="H438" s="211"/>
      <c r="I438" s="211"/>
      <c r="J438" s="211"/>
      <c r="K438" s="211"/>
      <c r="L438" s="211"/>
      <c r="M438" s="211"/>
      <c r="N438" s="211"/>
      <c r="O438" s="211"/>
      <c r="AM438" s="34">
        <f t="shared" si="234"/>
        <v>0.34196470864117146</v>
      </c>
      <c r="AN438" s="34">
        <f t="shared" si="219"/>
        <v>0.53195292688906193</v>
      </c>
      <c r="AO438" s="16">
        <f t="shared" si="220"/>
        <v>41.800000000000324</v>
      </c>
      <c r="AP438" s="16" t="e">
        <f t="shared" si="221"/>
        <v>#N/A</v>
      </c>
      <c r="AQ438" s="16">
        <f t="shared" si="222"/>
        <v>9.7555289431389067E-3</v>
      </c>
      <c r="AR438" s="34">
        <f t="shared" si="235"/>
        <v>0.6547053549438715</v>
      </c>
      <c r="AS438" s="34">
        <f t="shared" si="223"/>
        <v>6.0608329251408577E-2</v>
      </c>
      <c r="AT438" s="540">
        <f t="shared" si="224"/>
        <v>57.900000000000553</v>
      </c>
      <c r="AU438" s="16" t="e">
        <f t="shared" si="225"/>
        <v>#N/A</v>
      </c>
      <c r="AV438" s="16">
        <f t="shared" si="226"/>
        <v>1.118232175162997E-3</v>
      </c>
      <c r="AW438" s="34">
        <f t="shared" si="236"/>
        <v>0.32319897599518299</v>
      </c>
      <c r="AX438" s="34">
        <f t="shared" si="227"/>
        <v>0.9615385178476572</v>
      </c>
      <c r="AY438" s="16">
        <f t="shared" si="228"/>
        <v>40.80000000000031</v>
      </c>
      <c r="AZ438" s="16" t="e">
        <f t="shared" si="229"/>
        <v>#N/A</v>
      </c>
      <c r="BA438" s="16">
        <f t="shared" si="237"/>
        <v>1.7254341925515563E-2</v>
      </c>
      <c r="BB438" s="34">
        <f t="shared" si="238"/>
        <v>0.74685999192297459</v>
      </c>
      <c r="BC438" s="34">
        <f t="shared" si="230"/>
        <v>0.62840964086353779</v>
      </c>
      <c r="BD438" s="16">
        <f t="shared" si="231"/>
        <v>63.200000000000628</v>
      </c>
      <c r="BE438" s="16" t="e">
        <f t="shared" si="232"/>
        <v>#N/A</v>
      </c>
      <c r="BF438" s="16">
        <f t="shared" si="233"/>
        <v>1.008169538469735E-2</v>
      </c>
      <c r="BU438" s="16">
        <f t="shared" si="216"/>
        <v>0</v>
      </c>
      <c r="BV438" s="16">
        <f>IF($BY$12=1,NORMDIST(BY438,$Y$6,$Y$8,TRUE),IF($BY$12=2,IF(BY438&lt;=$BX$31,0,IF(BY438&gt;=$BX$32,1,(BY438-$BX$31)*$BX$33)),SUM($BU$42:BU438)/$BV$40))</f>
        <v>0.3015317875469713</v>
      </c>
      <c r="BW438" s="16">
        <f t="shared" si="217"/>
        <v>0.69001517526277978</v>
      </c>
      <c r="BX438" s="16">
        <f>IF($BY$12&lt;3,BV438,SUM($BZ$42:BZ438)/$BX$40)</f>
        <v>0.3015317875469713</v>
      </c>
      <c r="BY438" s="16">
        <f t="shared" si="207"/>
        <v>39.600000000000293</v>
      </c>
      <c r="BZ438" s="16">
        <f t="shared" si="208"/>
        <v>1.7424625637948856E-2</v>
      </c>
      <c r="CA438" s="16">
        <f t="shared" si="218"/>
        <v>-999</v>
      </c>
      <c r="CB438" s="16" t="str">
        <f t="shared" si="209"/>
        <v/>
      </c>
      <c r="CC438" s="16" t="e">
        <f>IF(CB438="",NA(),COUNTIF(CB438:$CB$704,CB438))</f>
        <v>#N/A</v>
      </c>
      <c r="CD438" s="16" t="e">
        <f t="shared" si="210"/>
        <v>#N/A</v>
      </c>
      <c r="CE438" s="16" t="e">
        <f t="shared" si="211"/>
        <v>#N/A</v>
      </c>
      <c r="CF438" s="16">
        <f t="shared" si="212"/>
        <v>99</v>
      </c>
      <c r="CG438" s="16">
        <f t="shared" si="213"/>
        <v>0</v>
      </c>
      <c r="CH438" s="16">
        <f t="shared" si="206"/>
        <v>0</v>
      </c>
      <c r="CJ438" s="16" t="e">
        <f t="shared" si="214"/>
        <v>#N/A</v>
      </c>
      <c r="CK438" s="16" t="str">
        <f t="shared" si="215"/>
        <v/>
      </c>
    </row>
    <row r="439" spans="1:89" ht="12" customHeight="1">
      <c r="A439" s="211"/>
      <c r="B439" s="211"/>
      <c r="C439" s="211"/>
      <c r="D439" s="211"/>
      <c r="E439" s="211"/>
      <c r="F439" s="211"/>
      <c r="G439" s="211"/>
      <c r="H439" s="211"/>
      <c r="I439" s="211"/>
      <c r="J439" s="211"/>
      <c r="K439" s="211"/>
      <c r="L439" s="211"/>
      <c r="M439" s="211"/>
      <c r="N439" s="211"/>
      <c r="O439" s="211"/>
      <c r="AM439" s="34">
        <f t="shared" si="234"/>
        <v>0.18427866883575916</v>
      </c>
      <c r="AN439" s="34">
        <f t="shared" si="219"/>
        <v>8.3980286493897438E-2</v>
      </c>
      <c r="AO439" s="16">
        <f t="shared" si="220"/>
        <v>32.000000000000185</v>
      </c>
      <c r="AP439" s="16" t="e">
        <f t="shared" si="221"/>
        <v>#N/A</v>
      </c>
      <c r="AQ439" s="16">
        <f t="shared" si="222"/>
        <v>1.1172957759148954E-3</v>
      </c>
      <c r="AR439" s="34">
        <f t="shared" si="235"/>
        <v>8.0422366037964821E-2</v>
      </c>
      <c r="AS439" s="34">
        <f t="shared" si="223"/>
        <v>0.70587040670216084</v>
      </c>
      <c r="AT439" s="540">
        <f t="shared" si="224"/>
        <v>21.900000000000041</v>
      </c>
      <c r="AU439" s="16" t="e">
        <f t="shared" si="225"/>
        <v>#N/A</v>
      </c>
      <c r="AV439" s="16">
        <f t="shared" si="226"/>
        <v>5.2474820601966831E-3</v>
      </c>
      <c r="AW439" s="34">
        <f t="shared" si="236"/>
        <v>0.67847730405628681</v>
      </c>
      <c r="AX439" s="34">
        <f t="shared" si="227"/>
        <v>0.86076782085001469</v>
      </c>
      <c r="AY439" s="16">
        <f t="shared" si="228"/>
        <v>59.200000000000571</v>
      </c>
      <c r="AZ439" s="16" t="e">
        <f t="shared" si="229"/>
        <v>#N/A</v>
      </c>
      <c r="BA439" s="16">
        <f t="shared" si="237"/>
        <v>1.5446060686858384E-2</v>
      </c>
      <c r="BB439" s="34">
        <f t="shared" si="238"/>
        <v>0.57796070910990238</v>
      </c>
      <c r="BC439" s="34">
        <f t="shared" si="230"/>
        <v>0.60458824224770069</v>
      </c>
      <c r="BD439" s="16">
        <f t="shared" si="231"/>
        <v>53.900000000000496</v>
      </c>
      <c r="BE439" s="16" t="e">
        <f t="shared" si="232"/>
        <v>#N/A</v>
      </c>
      <c r="BF439" s="16">
        <f t="shared" si="233"/>
        <v>1.1832669743640788E-2</v>
      </c>
      <c r="BU439" s="16">
        <f t="shared" si="216"/>
        <v>0</v>
      </c>
      <c r="BV439" s="16">
        <f>IF($BY$12=1,NORMDIST(BY439,$Y$6,$Y$8,TRUE),IF($BY$12=2,IF(BY439&lt;=$BX$31,0,IF(BY439&gt;=$BX$32,1,(BY439-$BX$31)*$BX$33)),SUM($BU$42:BU439)/$BV$40))</f>
        <v>0.30327651000214484</v>
      </c>
      <c r="BW439" s="16">
        <f t="shared" si="217"/>
        <v>0.69354987842578208</v>
      </c>
      <c r="BX439" s="16">
        <f>IF($BY$12&lt;3,BV439,SUM($BZ$42:BZ439)/$BX$40)</f>
        <v>0.30327651000214484</v>
      </c>
      <c r="BY439" s="16">
        <f t="shared" si="207"/>
        <v>39.700000000000294</v>
      </c>
      <c r="BZ439" s="16">
        <f t="shared" si="208"/>
        <v>1.7469770237425113E-2</v>
      </c>
      <c r="CA439" s="16">
        <f t="shared" si="218"/>
        <v>-999</v>
      </c>
      <c r="CB439" s="16" t="str">
        <f t="shared" si="209"/>
        <v/>
      </c>
      <c r="CC439" s="16" t="e">
        <f>IF(CB439="",NA(),COUNTIF(CB439:$CB$704,CB439))</f>
        <v>#N/A</v>
      </c>
      <c r="CD439" s="16" t="e">
        <f t="shared" si="210"/>
        <v>#N/A</v>
      </c>
      <c r="CE439" s="16" t="e">
        <f t="shared" si="211"/>
        <v>#N/A</v>
      </c>
      <c r="CF439" s="16">
        <f t="shared" si="212"/>
        <v>99</v>
      </c>
      <c r="CG439" s="16">
        <f t="shared" si="213"/>
        <v>0</v>
      </c>
      <c r="CH439" s="16">
        <f t="shared" si="206"/>
        <v>0</v>
      </c>
      <c r="CJ439" s="16" t="e">
        <f t="shared" si="214"/>
        <v>#N/A</v>
      </c>
      <c r="CK439" s="16" t="str">
        <f t="shared" si="215"/>
        <v/>
      </c>
    </row>
    <row r="440" spans="1:89" ht="12" customHeight="1">
      <c r="A440" s="211"/>
      <c r="B440" s="211"/>
      <c r="C440" s="211"/>
      <c r="D440" s="211"/>
      <c r="E440" s="211"/>
      <c r="F440" s="211"/>
      <c r="G440" s="211"/>
      <c r="H440" s="211"/>
      <c r="I440" s="211"/>
      <c r="J440" s="211"/>
      <c r="K440" s="211"/>
      <c r="L440" s="211"/>
      <c r="M440" s="211"/>
      <c r="N440" s="211"/>
      <c r="O440" s="211"/>
      <c r="AM440" s="34">
        <f t="shared" si="234"/>
        <v>0.95668269880115986</v>
      </c>
      <c r="AN440" s="34">
        <f t="shared" si="219"/>
        <v>0.4248866830021143</v>
      </c>
      <c r="AO440" s="16">
        <f t="shared" si="220"/>
        <v>84.199999999999491</v>
      </c>
      <c r="AP440" s="16" t="e">
        <f t="shared" si="221"/>
        <v>#N/A</v>
      </c>
      <c r="AQ440" s="16">
        <f t="shared" si="222"/>
        <v>1.9642327251062435E-3</v>
      </c>
      <c r="AR440" s="34">
        <f t="shared" si="235"/>
        <v>0.24333689548075199</v>
      </c>
      <c r="AS440" s="34">
        <f t="shared" si="223"/>
        <v>0.11818716116249561</v>
      </c>
      <c r="AT440" s="540">
        <f t="shared" si="224"/>
        <v>36.000000000000242</v>
      </c>
      <c r="AU440" s="16" t="e">
        <f t="shared" si="225"/>
        <v>#N/A</v>
      </c>
      <c r="AV440" s="16">
        <f t="shared" si="226"/>
        <v>1.8452202973220444E-3</v>
      </c>
      <c r="AW440" s="34">
        <f t="shared" si="236"/>
        <v>0.39848181791603565</v>
      </c>
      <c r="AX440" s="34">
        <f t="shared" si="227"/>
        <v>0.35942398943006992</v>
      </c>
      <c r="AY440" s="16">
        <f t="shared" si="228"/>
        <v>44.800000000000367</v>
      </c>
      <c r="AZ440" s="16" t="e">
        <f t="shared" si="229"/>
        <v>#N/A</v>
      </c>
      <c r="BA440" s="16">
        <f t="shared" si="237"/>
        <v>6.9311927605876849E-3</v>
      </c>
      <c r="BB440" s="34">
        <f t="shared" si="238"/>
        <v>0.28212415613234043</v>
      </c>
      <c r="BC440" s="34">
        <f t="shared" si="230"/>
        <v>0.22893743403255939</v>
      </c>
      <c r="BD440" s="16">
        <f t="shared" si="231"/>
        <v>38.400000000000276</v>
      </c>
      <c r="BE440" s="16" t="e">
        <f t="shared" si="232"/>
        <v>#N/A</v>
      </c>
      <c r="BF440" s="16">
        <f t="shared" si="233"/>
        <v>3.8596555572969465E-3</v>
      </c>
      <c r="BU440" s="16">
        <f t="shared" si="216"/>
        <v>0</v>
      </c>
      <c r="BV440" s="16">
        <f>IF($BY$12=1,NORMDIST(BY440,$Y$6,$Y$8,TRUE),IF($BY$12=2,IF(BY440&lt;=$BX$31,0,IF(BY440&gt;=$BX$32,1,(BY440-$BX$31)*$BX$33)),SUM($BU$42:BU440)/$BV$40))</f>
        <v>0.30502573089752461</v>
      </c>
      <c r="BW440" s="16">
        <f t="shared" si="217"/>
        <v>0.69708083839356483</v>
      </c>
      <c r="BX440" s="16">
        <f>IF($BY$12&lt;3,BV440,SUM($BZ$42:BZ440)/$BX$40)</f>
        <v>0.30502573089752461</v>
      </c>
      <c r="BY440" s="16">
        <f t="shared" si="207"/>
        <v>39.800000000000296</v>
      </c>
      <c r="BZ440" s="16">
        <f t="shared" si="208"/>
        <v>1.7514593929486424E-2</v>
      </c>
      <c r="CA440" s="16">
        <f t="shared" si="218"/>
        <v>-999</v>
      </c>
      <c r="CB440" s="16" t="str">
        <f t="shared" si="209"/>
        <v/>
      </c>
      <c r="CC440" s="16" t="e">
        <f>IF(CB440="",NA(),COUNTIF(CB440:$CB$704,CB440))</f>
        <v>#N/A</v>
      </c>
      <c r="CD440" s="16" t="e">
        <f t="shared" si="210"/>
        <v>#N/A</v>
      </c>
      <c r="CE440" s="16" t="e">
        <f t="shared" si="211"/>
        <v>#N/A</v>
      </c>
      <c r="CF440" s="16">
        <f t="shared" si="212"/>
        <v>99</v>
      </c>
      <c r="CG440" s="16">
        <f t="shared" si="213"/>
        <v>0</v>
      </c>
      <c r="CH440" s="16">
        <f t="shared" si="206"/>
        <v>0</v>
      </c>
      <c r="CJ440" s="16" t="e">
        <f t="shared" si="214"/>
        <v>#N/A</v>
      </c>
      <c r="CK440" s="16" t="str">
        <f t="shared" si="215"/>
        <v/>
      </c>
    </row>
    <row r="441" spans="1:89" ht="12" customHeight="1">
      <c r="A441" s="211"/>
      <c r="B441" s="211"/>
      <c r="C441" s="211"/>
      <c r="D441" s="211"/>
      <c r="E441" s="211"/>
      <c r="F441" s="211"/>
      <c r="G441" s="211"/>
      <c r="H441" s="211"/>
      <c r="I441" s="211"/>
      <c r="J441" s="211"/>
      <c r="K441" s="211"/>
      <c r="L441" s="211"/>
      <c r="M441" s="211"/>
      <c r="N441" s="211"/>
      <c r="O441" s="211"/>
      <c r="AM441" s="34">
        <f t="shared" si="234"/>
        <v>0.35354802198708057</v>
      </c>
      <c r="AN441" s="34">
        <f t="shared" si="219"/>
        <v>0.81599509157240391</v>
      </c>
      <c r="AO441" s="16">
        <f t="shared" si="220"/>
        <v>42.400000000000333</v>
      </c>
      <c r="AP441" s="16" t="e">
        <f t="shared" si="221"/>
        <v>#N/A</v>
      </c>
      <c r="AQ441" s="16">
        <f t="shared" si="222"/>
        <v>1.5142987188769113E-2</v>
      </c>
      <c r="AR441" s="34">
        <f t="shared" si="235"/>
        <v>0.14805805124342442</v>
      </c>
      <c r="AS441" s="34">
        <f t="shared" si="223"/>
        <v>0.43718891032040119</v>
      </c>
      <c r="AT441" s="540">
        <f t="shared" si="224"/>
        <v>29.100000000000144</v>
      </c>
      <c r="AU441" s="16" t="e">
        <f t="shared" si="225"/>
        <v>#N/A</v>
      </c>
      <c r="AV441" s="16">
        <f t="shared" si="226"/>
        <v>5.0514841135827814E-3</v>
      </c>
      <c r="AW441" s="34">
        <f t="shared" si="236"/>
        <v>0.56681256182491779</v>
      </c>
      <c r="AX441" s="34">
        <f t="shared" si="227"/>
        <v>0.98681248165667057</v>
      </c>
      <c r="AY441" s="16">
        <f t="shared" si="228"/>
        <v>53.300000000000487</v>
      </c>
      <c r="AZ441" s="16" t="e">
        <f t="shared" si="229"/>
        <v>#N/A</v>
      </c>
      <c r="BA441" s="16" t="e">
        <f t="shared" si="237"/>
        <v>#N/A</v>
      </c>
      <c r="BB441" s="34">
        <f t="shared" si="238"/>
        <v>0.31651223637163639</v>
      </c>
      <c r="BC441" s="34">
        <f t="shared" si="230"/>
        <v>0.47837543673813343</v>
      </c>
      <c r="BD441" s="16">
        <f t="shared" si="231"/>
        <v>40.400000000000304</v>
      </c>
      <c r="BE441" s="16" t="e">
        <f t="shared" si="232"/>
        <v>#N/A</v>
      </c>
      <c r="BF441" s="16">
        <f t="shared" si="233"/>
        <v>8.5039014299335223E-3</v>
      </c>
      <c r="BU441" s="16">
        <f t="shared" si="216"/>
        <v>0</v>
      </c>
      <c r="BV441" s="16">
        <f>IF($BY$12=1,NORMDIST(BY441,$Y$6,$Y$8,TRUE),IF($BY$12=2,IF(BY441&lt;=$BX$31,0,IF(BY441&gt;=$BX$32,1,(BY441-$BX$31)*$BX$33)),SUM($BU$42:BU441)/$BV$40))</f>
        <v>0.30677941798886299</v>
      </c>
      <c r="BW441" s="16">
        <f t="shared" si="217"/>
        <v>0.70060783650418423</v>
      </c>
      <c r="BX441" s="16">
        <f>IF($BY$12&lt;3,BV441,SUM($BZ$42:BZ441)/$BX$40)</f>
        <v>0.30677941798886299</v>
      </c>
      <c r="BY441" s="16">
        <f t="shared" si="207"/>
        <v>39.900000000000297</v>
      </c>
      <c r="BZ441" s="16">
        <f t="shared" si="208"/>
        <v>1.7559093646721279E-2</v>
      </c>
      <c r="CA441" s="16">
        <f t="shared" si="218"/>
        <v>-999</v>
      </c>
      <c r="CB441" s="16" t="str">
        <f t="shared" si="209"/>
        <v/>
      </c>
      <c r="CC441" s="16" t="e">
        <f>IF(CB441="",NA(),COUNTIF(CB441:$CB$704,CB441))</f>
        <v>#N/A</v>
      </c>
      <c r="CD441" s="16" t="e">
        <f t="shared" si="210"/>
        <v>#N/A</v>
      </c>
      <c r="CE441" s="16" t="e">
        <f t="shared" si="211"/>
        <v>#N/A</v>
      </c>
      <c r="CF441" s="16">
        <f t="shared" si="212"/>
        <v>99</v>
      </c>
      <c r="CG441" s="16">
        <f t="shared" si="213"/>
        <v>0</v>
      </c>
      <c r="CH441" s="16">
        <f t="shared" si="206"/>
        <v>0</v>
      </c>
      <c r="CJ441" s="16" t="e">
        <f t="shared" si="214"/>
        <v>#N/A</v>
      </c>
      <c r="CK441" s="16" t="str">
        <f t="shared" si="215"/>
        <v/>
      </c>
    </row>
    <row r="442" spans="1:89" ht="12" customHeight="1">
      <c r="A442" s="211"/>
      <c r="B442" s="211"/>
      <c r="C442" s="211"/>
      <c r="D442" s="211"/>
      <c r="E442" s="211"/>
      <c r="F442" s="211"/>
      <c r="G442" s="211"/>
      <c r="H442" s="211"/>
      <c r="I442" s="211"/>
      <c r="J442" s="211"/>
      <c r="K442" s="211"/>
      <c r="L442" s="211"/>
      <c r="M442" s="211"/>
      <c r="N442" s="211"/>
      <c r="O442" s="211"/>
      <c r="AM442" s="34">
        <f t="shared" si="234"/>
        <v>0.52366022951900959</v>
      </c>
      <c r="AN442" s="34">
        <f t="shared" si="219"/>
        <v>0.10277307964861393</v>
      </c>
      <c r="AO442" s="16">
        <f t="shared" si="220"/>
        <v>51.100000000000456</v>
      </c>
      <c r="AP442" s="16" t="e">
        <f t="shared" si="221"/>
        <v>#N/A</v>
      </c>
      <c r="AQ442" s="16">
        <f t="shared" si="222"/>
        <v>2.0469280168046817E-3</v>
      </c>
      <c r="AR442" s="34">
        <f t="shared" si="235"/>
        <v>0.78665984608232975</v>
      </c>
      <c r="AS442" s="34">
        <f t="shared" si="223"/>
        <v>0.6874012965708971</v>
      </c>
      <c r="AT442" s="540">
        <f t="shared" si="224"/>
        <v>65.800000000000537</v>
      </c>
      <c r="AU442" s="16" t="e">
        <f t="shared" si="225"/>
        <v>#N/A</v>
      </c>
      <c r="AV442" s="16">
        <f t="shared" si="226"/>
        <v>1.0036188832596497E-2</v>
      </c>
      <c r="AW442" s="34">
        <f t="shared" si="236"/>
        <v>0.64512896724045277</v>
      </c>
      <c r="AX442" s="34">
        <f t="shared" si="227"/>
        <v>5.9081101790070534E-2</v>
      </c>
      <c r="AY442" s="16">
        <f t="shared" si="228"/>
        <v>57.400000000000546</v>
      </c>
      <c r="AZ442" s="16" t="e">
        <f t="shared" si="229"/>
        <v>#N/A</v>
      </c>
      <c r="BA442" s="16">
        <f t="shared" si="237"/>
        <v>1.1005282588557367E-3</v>
      </c>
      <c r="BB442" s="34">
        <f t="shared" si="238"/>
        <v>0.58626201190054417</v>
      </c>
      <c r="BC442" s="34">
        <f t="shared" si="230"/>
        <v>0.74041159637272358</v>
      </c>
      <c r="BD442" s="16">
        <f t="shared" si="231"/>
        <v>54.300000000000502</v>
      </c>
      <c r="BE442" s="16" t="e">
        <f t="shared" si="232"/>
        <v>#N/A</v>
      </c>
      <c r="BF442" s="16">
        <f t="shared" si="233"/>
        <v>1.4431638812050071E-2</v>
      </c>
      <c r="BU442" s="16">
        <f t="shared" si="216"/>
        <v>0</v>
      </c>
      <c r="BV442" s="16">
        <f>IF($BY$12=1,NORMDIST(BY442,$Y$6,$Y$8,TRUE),IF($BY$12=2,IF(BY442&lt;=$BX$31,0,IF(BY442&gt;=$BX$32,1,(BY442-$BX$31)*$BX$33)),SUM($BU$42:BU442)/$BV$40))</f>
        <v>0.30853753872599221</v>
      </c>
      <c r="BW442" s="16">
        <f t="shared" si="217"/>
        <v>0.70413065352860948</v>
      </c>
      <c r="BX442" s="16">
        <f>IF($BY$12&lt;3,BV442,SUM($BZ$42:BZ442)/$BX$40)</f>
        <v>0.30853753872599221</v>
      </c>
      <c r="BY442" s="16">
        <f t="shared" si="207"/>
        <v>40.000000000000298</v>
      </c>
      <c r="BZ442" s="16">
        <f t="shared" si="208"/>
        <v>1.7603266338215105E-2</v>
      </c>
      <c r="CA442" s="16">
        <f t="shared" si="218"/>
        <v>-999</v>
      </c>
      <c r="CB442" s="16" t="str">
        <f t="shared" si="209"/>
        <v/>
      </c>
      <c r="CC442" s="16" t="e">
        <f>IF(CB442="",NA(),COUNTIF(CB442:$CB$704,CB442))</f>
        <v>#N/A</v>
      </c>
      <c r="CD442" s="16" t="e">
        <f t="shared" si="210"/>
        <v>#N/A</v>
      </c>
      <c r="CE442" s="16" t="e">
        <f t="shared" si="211"/>
        <v>#N/A</v>
      </c>
      <c r="CF442" s="16">
        <f t="shared" si="212"/>
        <v>99</v>
      </c>
      <c r="CG442" s="16">
        <f t="shared" si="213"/>
        <v>0</v>
      </c>
      <c r="CH442" s="16">
        <f t="shared" si="206"/>
        <v>0</v>
      </c>
      <c r="CJ442" s="16" t="e">
        <f t="shared" si="214"/>
        <v>#N/A</v>
      </c>
      <c r="CK442" s="16" t="str">
        <f t="shared" si="215"/>
        <v/>
      </c>
    </row>
    <row r="443" spans="1:89" ht="12" customHeight="1">
      <c r="A443" s="211"/>
      <c r="B443" s="211"/>
      <c r="C443" s="211"/>
      <c r="D443" s="211"/>
      <c r="E443" s="211"/>
      <c r="F443" s="211"/>
      <c r="G443" s="211"/>
      <c r="H443" s="211"/>
      <c r="I443" s="211"/>
      <c r="J443" s="211"/>
      <c r="K443" s="211"/>
      <c r="L443" s="211"/>
      <c r="M443" s="211"/>
      <c r="N443" s="211"/>
      <c r="O443" s="211"/>
      <c r="AM443" s="34">
        <f t="shared" si="234"/>
        <v>0.13253617472946644</v>
      </c>
      <c r="AN443" s="34">
        <f t="shared" si="219"/>
        <v>0.47026493586599827</v>
      </c>
      <c r="AO443" s="16">
        <f t="shared" si="220"/>
        <v>27.700000000000124</v>
      </c>
      <c r="AP443" s="16" t="e">
        <f t="shared" si="221"/>
        <v>#N/A</v>
      </c>
      <c r="AQ443" s="16">
        <f t="shared" si="222"/>
        <v>5.0380188649851842E-3</v>
      </c>
      <c r="AR443" s="34">
        <f t="shared" si="235"/>
        <v>0.9019258264452219</v>
      </c>
      <c r="AS443" s="34">
        <f t="shared" si="223"/>
        <v>0.98948796279728413</v>
      </c>
      <c r="AT443" s="540">
        <f t="shared" si="224"/>
        <v>75.799999999999969</v>
      </c>
      <c r="AU443" s="16" t="e">
        <f t="shared" si="225"/>
        <v>#N/A</v>
      </c>
      <c r="AV443" s="16" t="e">
        <f t="shared" si="226"/>
        <v>#N/A</v>
      </c>
      <c r="AW443" s="34">
        <f t="shared" si="236"/>
        <v>0.78595502860844135</v>
      </c>
      <c r="AX443" s="34">
        <f t="shared" si="227"/>
        <v>0.50349978543817997</v>
      </c>
      <c r="AY443" s="16">
        <f t="shared" si="228"/>
        <v>65.800000000000537</v>
      </c>
      <c r="AZ443" s="16" t="e">
        <f t="shared" si="229"/>
        <v>#N/A</v>
      </c>
      <c r="BA443" s="16">
        <f t="shared" si="237"/>
        <v>7.3511920170028595E-3</v>
      </c>
      <c r="BB443" s="34">
        <f t="shared" si="238"/>
        <v>0.58907798863947392</v>
      </c>
      <c r="BC443" s="34">
        <f t="shared" si="230"/>
        <v>0.54440859146416187</v>
      </c>
      <c r="BD443" s="16">
        <f t="shared" si="231"/>
        <v>54.500000000000504</v>
      </c>
      <c r="BE443" s="16" t="e">
        <f t="shared" si="232"/>
        <v>#N/A</v>
      </c>
      <c r="BF443" s="16">
        <f t="shared" si="233"/>
        <v>1.058795194178953E-2</v>
      </c>
      <c r="BU443" s="16">
        <f t="shared" si="216"/>
        <v>0</v>
      </c>
      <c r="BV443" s="16">
        <f>IF($BY$12=1,NORMDIST(BY443,$Y$6,$Y$8,TRUE),IF($BY$12=2,IF(BY443&lt;=$BX$31,0,IF(BY443&gt;=$BX$32,1,(BY443-$BX$31)*$BX$33)),SUM($BU$42:BU443)/$BV$40))</f>
        <v>0.31030006025449308</v>
      </c>
      <c r="BW443" s="16">
        <f t="shared" si="217"/>
        <v>0.70764906969290076</v>
      </c>
      <c r="BX443" s="16">
        <f>IF($BY$12&lt;3,BV443,SUM($BZ$42:BZ443)/$BX$40)</f>
        <v>0.31030006025449308</v>
      </c>
      <c r="BY443" s="16">
        <f t="shared" si="207"/>
        <v>40.1000000000003</v>
      </c>
      <c r="BZ443" s="16">
        <f t="shared" si="208"/>
        <v>1.7647108969897643E-2</v>
      </c>
      <c r="CA443" s="16">
        <f t="shared" si="218"/>
        <v>-999</v>
      </c>
      <c r="CB443" s="16" t="str">
        <f t="shared" si="209"/>
        <v/>
      </c>
      <c r="CC443" s="16" t="e">
        <f>IF(CB443="",NA(),COUNTIF(CB443:$CB$704,CB443))</f>
        <v>#N/A</v>
      </c>
      <c r="CD443" s="16" t="e">
        <f t="shared" si="210"/>
        <v>#N/A</v>
      </c>
      <c r="CE443" s="16" t="e">
        <f t="shared" si="211"/>
        <v>#N/A</v>
      </c>
      <c r="CF443" s="16">
        <f t="shared" si="212"/>
        <v>99</v>
      </c>
      <c r="CG443" s="16">
        <f t="shared" si="213"/>
        <v>0</v>
      </c>
      <c r="CH443" s="16">
        <f t="shared" si="206"/>
        <v>0</v>
      </c>
      <c r="CJ443" s="16" t="e">
        <f t="shared" si="214"/>
        <v>#N/A</v>
      </c>
      <c r="CK443" s="16" t="str">
        <f t="shared" si="215"/>
        <v/>
      </c>
    </row>
    <row r="444" spans="1:89" ht="12" customHeight="1">
      <c r="A444" s="211"/>
      <c r="B444" s="211"/>
      <c r="C444" s="211"/>
      <c r="D444" s="211"/>
      <c r="E444" s="211"/>
      <c r="F444" s="211"/>
      <c r="G444" s="211"/>
      <c r="H444" s="211"/>
      <c r="I444" s="211"/>
      <c r="J444" s="211"/>
      <c r="K444" s="211"/>
      <c r="L444" s="211"/>
      <c r="M444" s="211"/>
      <c r="N444" s="211"/>
      <c r="O444" s="211"/>
      <c r="AM444" s="34">
        <f t="shared" si="234"/>
        <v>0.4721041489392519</v>
      </c>
      <c r="AN444" s="34">
        <f t="shared" si="219"/>
        <v>0.62674645520746708</v>
      </c>
      <c r="AO444" s="16">
        <f t="shared" si="220"/>
        <v>48.600000000000421</v>
      </c>
      <c r="AP444" s="16" t="e">
        <f t="shared" si="221"/>
        <v>#N/A</v>
      </c>
      <c r="AQ444" s="16">
        <f t="shared" si="222"/>
        <v>1.2471191125692888E-2</v>
      </c>
      <c r="AR444" s="34">
        <f t="shared" si="235"/>
        <v>0.49131635762751102</v>
      </c>
      <c r="AS444" s="34">
        <f t="shared" si="223"/>
        <v>0.96338775940239429</v>
      </c>
      <c r="AT444" s="540">
        <f t="shared" si="224"/>
        <v>49.500000000000433</v>
      </c>
      <c r="AU444" s="16" t="e">
        <f t="shared" si="225"/>
        <v>#N/A</v>
      </c>
      <c r="AV444" s="16">
        <f t="shared" si="226"/>
        <v>1.9210801168850523E-2</v>
      </c>
      <c r="AW444" s="34">
        <f t="shared" si="236"/>
        <v>0.39987901039421558</v>
      </c>
      <c r="AX444" s="34">
        <f t="shared" si="227"/>
        <v>0.30236929096281528</v>
      </c>
      <c r="AY444" s="16">
        <f t="shared" si="228"/>
        <v>44.900000000000368</v>
      </c>
      <c r="AZ444" s="16" t="e">
        <f t="shared" si="229"/>
        <v>#N/A</v>
      </c>
      <c r="BA444" s="16">
        <f t="shared" si="237"/>
        <v>5.8384525145489157E-3</v>
      </c>
      <c r="BB444" s="34">
        <f t="shared" si="238"/>
        <v>0.99195330776274204</v>
      </c>
      <c r="BC444" s="34">
        <f t="shared" si="230"/>
        <v>0.97302042134106159</v>
      </c>
      <c r="BD444" s="16">
        <f t="shared" si="231"/>
        <v>98.099999999998701</v>
      </c>
      <c r="BE444" s="16" t="e">
        <f t="shared" si="232"/>
        <v>#N/A</v>
      </c>
      <c r="BF444" s="16" t="e">
        <f t="shared" si="233"/>
        <v>#N/A</v>
      </c>
      <c r="BU444" s="16">
        <f t="shared" si="216"/>
        <v>0</v>
      </c>
      <c r="BV444" s="16">
        <f>IF($BY$12=1,NORMDIST(BY444,$Y$6,$Y$8,TRUE),IF($BY$12=2,IF(BY444&lt;=$BX$31,0,IF(BY444&gt;=$BX$32,1,(BY444-$BX$31)*$BX$33)),SUM($BU$42:BU444)/$BV$40))</f>
        <v>0.31206694941739588</v>
      </c>
      <c r="BW444" s="16">
        <f t="shared" si="217"/>
        <v>0.71116286470054768</v>
      </c>
      <c r="BX444" s="16">
        <f>IF($BY$12&lt;3,BV444,SUM($BZ$42:BZ444)/$BX$40)</f>
        <v>0.31206694941739588</v>
      </c>
      <c r="BY444" s="16">
        <f t="shared" si="207"/>
        <v>40.200000000000301</v>
      </c>
      <c r="BZ444" s="16">
        <f t="shared" si="208"/>
        <v>1.7690618524889113E-2</v>
      </c>
      <c r="CA444" s="16">
        <f t="shared" si="218"/>
        <v>-999</v>
      </c>
      <c r="CB444" s="16" t="str">
        <f t="shared" si="209"/>
        <v/>
      </c>
      <c r="CC444" s="16" t="e">
        <f>IF(CB444="",NA(),COUNTIF(CB444:$CB$704,CB444))</f>
        <v>#N/A</v>
      </c>
      <c r="CD444" s="16" t="e">
        <f t="shared" si="210"/>
        <v>#N/A</v>
      </c>
      <c r="CE444" s="16" t="e">
        <f t="shared" si="211"/>
        <v>#N/A</v>
      </c>
      <c r="CF444" s="16">
        <f t="shared" si="212"/>
        <v>99</v>
      </c>
      <c r="CG444" s="16">
        <f t="shared" si="213"/>
        <v>0</v>
      </c>
      <c r="CH444" s="16">
        <f t="shared" si="206"/>
        <v>0</v>
      </c>
      <c r="CJ444" s="16" t="e">
        <f t="shared" si="214"/>
        <v>#N/A</v>
      </c>
      <c r="CK444" s="16" t="str">
        <f t="shared" si="215"/>
        <v/>
      </c>
    </row>
    <row r="445" spans="1:89" ht="12" customHeight="1">
      <c r="A445" s="211"/>
      <c r="B445" s="211"/>
      <c r="C445" s="211"/>
      <c r="D445" s="211"/>
      <c r="E445" s="211"/>
      <c r="F445" s="211"/>
      <c r="G445" s="211"/>
      <c r="H445" s="211"/>
      <c r="I445" s="211"/>
      <c r="J445" s="211"/>
      <c r="K445" s="211"/>
      <c r="L445" s="211"/>
      <c r="M445" s="211"/>
      <c r="N445" s="211"/>
      <c r="O445" s="211"/>
      <c r="AM445" s="34">
        <f t="shared" si="234"/>
        <v>0.69977858848869801</v>
      </c>
      <c r="AN445" s="34">
        <f t="shared" si="219"/>
        <v>0.98200863040983677</v>
      </c>
      <c r="AO445" s="16">
        <f t="shared" si="220"/>
        <v>60.400000000000588</v>
      </c>
      <c r="AP445" s="16" t="e">
        <f t="shared" si="221"/>
        <v>#N/A</v>
      </c>
      <c r="AQ445" s="16" t="e">
        <f t="shared" si="222"/>
        <v>#N/A</v>
      </c>
      <c r="AR445" s="34">
        <f t="shared" si="235"/>
        <v>0.11806481517851353</v>
      </c>
      <c r="AS445" s="34">
        <f t="shared" si="223"/>
        <v>0.68662773258984089</v>
      </c>
      <c r="AT445" s="540">
        <f t="shared" si="224"/>
        <v>26.300000000000104</v>
      </c>
      <c r="AU445" s="16" t="e">
        <f t="shared" si="225"/>
        <v>#N/A</v>
      </c>
      <c r="AV445" s="16">
        <f t="shared" si="226"/>
        <v>6.7869996397178422E-3</v>
      </c>
      <c r="AW445" s="34">
        <f t="shared" si="236"/>
        <v>0.84042893536388874</v>
      </c>
      <c r="AX445" s="34">
        <f t="shared" si="227"/>
        <v>0.27921504713594913</v>
      </c>
      <c r="AY445" s="16">
        <f t="shared" si="228"/>
        <v>69.900000000000304</v>
      </c>
      <c r="AZ445" s="16" t="e">
        <f t="shared" si="229"/>
        <v>#N/A</v>
      </c>
      <c r="BA445" s="16">
        <f t="shared" si="237"/>
        <v>3.3949836884902967E-3</v>
      </c>
      <c r="BB445" s="34">
        <f t="shared" si="238"/>
        <v>0.86267609335482121</v>
      </c>
      <c r="BC445" s="34">
        <f t="shared" si="230"/>
        <v>0.14833742566406727</v>
      </c>
      <c r="BD445" s="16">
        <f t="shared" si="231"/>
        <v>71.800000000000196</v>
      </c>
      <c r="BE445" s="16" t="e">
        <f t="shared" si="232"/>
        <v>#N/A</v>
      </c>
      <c r="BF445" s="16">
        <f t="shared" si="233"/>
        <v>1.6335715865148962E-3</v>
      </c>
      <c r="BU445" s="16">
        <f t="shared" si="216"/>
        <v>0</v>
      </c>
      <c r="BV445" s="16">
        <f>IF($BY$12=1,NORMDIST(BY445,$Y$6,$Y$8,TRUE),IF($BY$12=2,IF(BY445&lt;=$BX$31,0,IF(BY445&gt;=$BX$32,1,(BY445-$BX$31)*$BX$33)),SUM($BU$42:BU445)/$BV$40))</f>
        <v>0.31383817275691661</v>
      </c>
      <c r="BW445" s="16">
        <f t="shared" si="217"/>
        <v>0.71467181775496202</v>
      </c>
      <c r="BX445" s="16">
        <f>IF($BY$12&lt;3,BV445,SUM($BZ$42:BZ445)/$BX$40)</f>
        <v>0.31383817275691661</v>
      </c>
      <c r="BY445" s="16">
        <f t="shared" si="207"/>
        <v>40.300000000000303</v>
      </c>
      <c r="BZ445" s="16">
        <f t="shared" si="208"/>
        <v>1.7733792003845079E-2</v>
      </c>
      <c r="CA445" s="16">
        <f t="shared" si="218"/>
        <v>-999</v>
      </c>
      <c r="CB445" s="16" t="str">
        <f t="shared" si="209"/>
        <v/>
      </c>
      <c r="CC445" s="16" t="e">
        <f>IF(CB445="",NA(),COUNTIF(CB445:$CB$704,CB445))</f>
        <v>#N/A</v>
      </c>
      <c r="CD445" s="16" t="e">
        <f t="shared" si="210"/>
        <v>#N/A</v>
      </c>
      <c r="CE445" s="16" t="e">
        <f t="shared" si="211"/>
        <v>#N/A</v>
      </c>
      <c r="CF445" s="16">
        <f t="shared" si="212"/>
        <v>99</v>
      </c>
      <c r="CG445" s="16">
        <f t="shared" si="213"/>
        <v>0</v>
      </c>
      <c r="CH445" s="16">
        <f t="shared" si="206"/>
        <v>0</v>
      </c>
      <c r="CJ445" s="16" t="e">
        <f t="shared" si="214"/>
        <v>#N/A</v>
      </c>
      <c r="CK445" s="16" t="str">
        <f t="shared" si="215"/>
        <v/>
      </c>
    </row>
    <row r="446" spans="1:89" ht="12" customHeight="1">
      <c r="A446" s="211"/>
      <c r="B446" s="211"/>
      <c r="C446" s="211"/>
      <c r="D446" s="211"/>
      <c r="E446" s="211"/>
      <c r="F446" s="211"/>
      <c r="G446" s="211"/>
      <c r="H446" s="211"/>
      <c r="I446" s="211"/>
      <c r="J446" s="211"/>
      <c r="K446" s="211"/>
      <c r="L446" s="211"/>
      <c r="M446" s="211"/>
      <c r="N446" s="211"/>
      <c r="O446" s="211"/>
      <c r="AM446" s="34">
        <f t="shared" si="234"/>
        <v>7.0210563018918037E-2</v>
      </c>
      <c r="AN446" s="34">
        <f t="shared" si="219"/>
        <v>0.54292649962007999</v>
      </c>
      <c r="AO446" s="16">
        <f t="shared" si="220"/>
        <v>20.500000000000021</v>
      </c>
      <c r="AP446" s="16" t="e">
        <f t="shared" si="221"/>
        <v>#N/A</v>
      </c>
      <c r="AQ446" s="16">
        <f t="shared" si="222"/>
        <v>3.6491367916902419E-3</v>
      </c>
      <c r="AR446" s="34">
        <f t="shared" si="235"/>
        <v>0.25205893255770206</v>
      </c>
      <c r="AS446" s="34">
        <f t="shared" si="223"/>
        <v>0.60234314389526844</v>
      </c>
      <c r="AT446" s="540">
        <f t="shared" si="224"/>
        <v>36.60000000000025</v>
      </c>
      <c r="AU446" s="16" t="e">
        <f t="shared" si="225"/>
        <v>#N/A</v>
      </c>
      <c r="AV446" s="16">
        <f t="shared" si="226"/>
        <v>9.5994565032728237E-3</v>
      </c>
      <c r="AW446" s="34">
        <f t="shared" si="236"/>
        <v>0.10115510411560535</v>
      </c>
      <c r="AX446" s="34">
        <f t="shared" si="227"/>
        <v>0.35617240704596043</v>
      </c>
      <c r="AY446" s="16">
        <f t="shared" si="228"/>
        <v>24.500000000000078</v>
      </c>
      <c r="AZ446" s="16" t="e">
        <f t="shared" si="229"/>
        <v>#N/A</v>
      </c>
      <c r="BA446" s="16">
        <f t="shared" si="237"/>
        <v>3.151667243030014E-3</v>
      </c>
      <c r="BB446" s="34">
        <f t="shared" si="238"/>
        <v>0.18502720631659031</v>
      </c>
      <c r="BC446" s="34">
        <f t="shared" si="230"/>
        <v>0.46851958520710468</v>
      </c>
      <c r="BD446" s="16">
        <f t="shared" si="231"/>
        <v>32.000000000000185</v>
      </c>
      <c r="BE446" s="16" t="e">
        <f t="shared" si="232"/>
        <v>#N/A</v>
      </c>
      <c r="BF446" s="16">
        <f t="shared" si="233"/>
        <v>6.2333075456147214E-3</v>
      </c>
      <c r="BU446" s="16">
        <f t="shared" si="216"/>
        <v>0</v>
      </c>
      <c r="BV446" s="16">
        <f>IF($BY$12=1,NORMDIST(BY446,$Y$6,$Y$8,TRUE),IF($BY$12=2,IF(BY446&lt;=$BX$31,0,IF(BY446&gt;=$BX$32,1,(BY446-$BX$31)*$BX$33)),SUM($BU$42:BU446)/$BV$40))</f>
        <v>0.31561369651622795</v>
      </c>
      <c r="BW446" s="16">
        <f t="shared" si="217"/>
        <v>0.71817570758212468</v>
      </c>
      <c r="BX446" s="16">
        <f>IF($BY$12&lt;3,BV446,SUM($BZ$42:BZ446)/$BX$40)</f>
        <v>0.31561369651622795</v>
      </c>
      <c r="BY446" s="16">
        <f t="shared" si="207"/>
        <v>40.400000000000304</v>
      </c>
      <c r="BZ446" s="16">
        <f t="shared" si="208"/>
        <v>1.7776626425299983E-2</v>
      </c>
      <c r="CA446" s="16">
        <f t="shared" si="218"/>
        <v>-999</v>
      </c>
      <c r="CB446" s="16" t="str">
        <f t="shared" si="209"/>
        <v/>
      </c>
      <c r="CC446" s="16" t="e">
        <f>IF(CB446="",NA(),COUNTIF(CB446:$CB$704,CB446))</f>
        <v>#N/A</v>
      </c>
      <c r="CD446" s="16" t="e">
        <f t="shared" si="210"/>
        <v>#N/A</v>
      </c>
      <c r="CE446" s="16" t="e">
        <f t="shared" si="211"/>
        <v>#N/A</v>
      </c>
      <c r="CF446" s="16">
        <f t="shared" si="212"/>
        <v>99</v>
      </c>
      <c r="CG446" s="16">
        <f t="shared" si="213"/>
        <v>0</v>
      </c>
      <c r="CH446" s="16">
        <f t="shared" si="206"/>
        <v>0</v>
      </c>
      <c r="CJ446" s="16" t="e">
        <f t="shared" si="214"/>
        <v>#N/A</v>
      </c>
      <c r="CK446" s="16" t="str">
        <f t="shared" si="215"/>
        <v/>
      </c>
    </row>
    <row r="447" spans="1:89" ht="12" customHeight="1">
      <c r="A447" s="211"/>
      <c r="B447" s="211"/>
      <c r="C447" s="211"/>
      <c r="D447" s="211"/>
      <c r="E447" s="211"/>
      <c r="F447" s="211"/>
      <c r="G447" s="211"/>
      <c r="H447" s="211"/>
      <c r="I447" s="211"/>
      <c r="J447" s="211"/>
      <c r="K447" s="211"/>
      <c r="L447" s="211"/>
      <c r="M447" s="211"/>
      <c r="N447" s="211"/>
      <c r="O447" s="211"/>
      <c r="AM447" s="34">
        <f t="shared" si="234"/>
        <v>5.4245295003056526E-2</v>
      </c>
      <c r="AN447" s="34">
        <f t="shared" si="219"/>
        <v>0.65521940030157566</v>
      </c>
      <c r="AO447" s="16">
        <f t="shared" si="220"/>
        <v>17.799999999999983</v>
      </c>
      <c r="AP447" s="16" t="e">
        <f t="shared" si="221"/>
        <v>#N/A</v>
      </c>
      <c r="AQ447" s="16">
        <f t="shared" si="222"/>
        <v>3.5760160125430044E-3</v>
      </c>
      <c r="AR447" s="34">
        <f t="shared" si="235"/>
        <v>0.26941355504095554</v>
      </c>
      <c r="AS447" s="34">
        <f t="shared" si="223"/>
        <v>5.278577096760273E-2</v>
      </c>
      <c r="AT447" s="540">
        <f t="shared" si="224"/>
        <v>37.700000000000266</v>
      </c>
      <c r="AU447" s="16" t="e">
        <f t="shared" si="225"/>
        <v>#N/A</v>
      </c>
      <c r="AV447" s="16">
        <f t="shared" si="226"/>
        <v>8.7149805865479322E-4</v>
      </c>
      <c r="AW447" s="34">
        <f t="shared" si="236"/>
        <v>0.70070089586079121</v>
      </c>
      <c r="AX447" s="34">
        <f t="shared" si="227"/>
        <v>6.7719558253884315E-2</v>
      </c>
      <c r="AY447" s="16">
        <f t="shared" si="228"/>
        <v>60.50000000000059</v>
      </c>
      <c r="AZ447" s="16" t="e">
        <f t="shared" si="229"/>
        <v>#N/A</v>
      </c>
      <c r="BA447" s="16">
        <f t="shared" si="237"/>
        <v>1.1769092557160283E-3</v>
      </c>
      <c r="BB447" s="34">
        <f t="shared" si="238"/>
        <v>0.94282565452158451</v>
      </c>
      <c r="BC447" s="34">
        <f t="shared" si="230"/>
        <v>0.80194935388863087</v>
      </c>
      <c r="BD447" s="16">
        <f t="shared" si="231"/>
        <v>81.499999999999645</v>
      </c>
      <c r="BE447" s="16" t="e">
        <f t="shared" si="232"/>
        <v>#N/A</v>
      </c>
      <c r="BF447" s="16">
        <f t="shared" si="233"/>
        <v>4.6277100186867468E-3</v>
      </c>
      <c r="BU447" s="16">
        <f t="shared" si="216"/>
        <v>0</v>
      </c>
      <c r="BV447" s="16">
        <f>IF($BY$12=1,NORMDIST(BY447,$Y$6,$Y$8,TRUE),IF($BY$12=2,IF(BY447&lt;=$BX$31,0,IF(BY447&gt;=$BX$32,1,(BY447-$BX$31)*$BX$33)),SUM($BU$42:BU447)/$BV$40))</f>
        <v>0.31739348664126454</v>
      </c>
      <c r="BW447" s="16">
        <f t="shared" si="217"/>
        <v>0.72167431245338176</v>
      </c>
      <c r="BX447" s="16">
        <f>IF($BY$12&lt;3,BV447,SUM($BZ$42:BZ447)/$BX$40)</f>
        <v>0.31739348664126454</v>
      </c>
      <c r="BY447" s="16">
        <f t="shared" si="207"/>
        <v>40.500000000000306</v>
      </c>
      <c r="BZ447" s="16">
        <f t="shared" si="208"/>
        <v>1.7819118826009291E-2</v>
      </c>
      <c r="CA447" s="16">
        <f t="shared" si="218"/>
        <v>-999</v>
      </c>
      <c r="CB447" s="16" t="str">
        <f t="shared" si="209"/>
        <v/>
      </c>
      <c r="CC447" s="16" t="e">
        <f>IF(CB447="",NA(),COUNTIF(CB447:$CB$704,CB447))</f>
        <v>#N/A</v>
      </c>
      <c r="CD447" s="16" t="e">
        <f t="shared" si="210"/>
        <v>#N/A</v>
      </c>
      <c r="CE447" s="16" t="e">
        <f t="shared" si="211"/>
        <v>#N/A</v>
      </c>
      <c r="CF447" s="16">
        <f t="shared" si="212"/>
        <v>99</v>
      </c>
      <c r="CG447" s="16">
        <f t="shared" si="213"/>
        <v>0</v>
      </c>
      <c r="CH447" s="16">
        <f t="shared" si="206"/>
        <v>0</v>
      </c>
      <c r="CJ447" s="16" t="e">
        <f t="shared" si="214"/>
        <v>#N/A</v>
      </c>
      <c r="CK447" s="16" t="str">
        <f t="shared" si="215"/>
        <v/>
      </c>
    </row>
    <row r="448" spans="1:89" ht="12" customHeight="1">
      <c r="A448" s="211"/>
      <c r="B448" s="211"/>
      <c r="C448" s="211"/>
      <c r="D448" s="211"/>
      <c r="E448" s="211"/>
      <c r="F448" s="211"/>
      <c r="G448" s="211"/>
      <c r="H448" s="211"/>
      <c r="I448" s="211"/>
      <c r="J448" s="211"/>
      <c r="K448" s="211"/>
      <c r="L448" s="211"/>
      <c r="M448" s="211"/>
      <c r="N448" s="211"/>
      <c r="O448" s="211"/>
      <c r="AM448" s="34">
        <f t="shared" si="234"/>
        <v>0.52086796052753925</v>
      </c>
      <c r="AN448" s="34">
        <f t="shared" si="219"/>
        <v>0.37655887939035892</v>
      </c>
      <c r="AO448" s="16">
        <f t="shared" si="220"/>
        <v>51.000000000000455</v>
      </c>
      <c r="AP448" s="16" t="e">
        <f t="shared" si="221"/>
        <v>#N/A</v>
      </c>
      <c r="AQ448" s="16">
        <f t="shared" si="222"/>
        <v>7.5018796895716285E-3</v>
      </c>
      <c r="AR448" s="34">
        <f t="shared" si="235"/>
        <v>0.39589104987680912</v>
      </c>
      <c r="AS448" s="34">
        <f t="shared" si="223"/>
        <v>0.64535173960030079</v>
      </c>
      <c r="AT448" s="540">
        <f t="shared" si="224"/>
        <v>44.700000000000365</v>
      </c>
      <c r="AU448" s="16" t="e">
        <f t="shared" si="225"/>
        <v>#N/A</v>
      </c>
      <c r="AV448" s="16">
        <f t="shared" si="226"/>
        <v>1.2428748220187764E-2</v>
      </c>
      <c r="AW448" s="34">
        <f t="shared" si="236"/>
        <v>0.46289310045540333</v>
      </c>
      <c r="AX448" s="34">
        <f t="shared" si="227"/>
        <v>2.2164339199662209E-2</v>
      </c>
      <c r="AY448" s="16">
        <f t="shared" si="228"/>
        <v>48.100000000000414</v>
      </c>
      <c r="AZ448" s="16" t="e">
        <f t="shared" si="229"/>
        <v>#N/A</v>
      </c>
      <c r="BA448" s="16">
        <f t="shared" si="237"/>
        <v>4.4012405360804158E-4</v>
      </c>
      <c r="BB448" s="34">
        <f t="shared" si="238"/>
        <v>0.96422790922224522</v>
      </c>
      <c r="BC448" s="34">
        <f t="shared" si="230"/>
        <v>0.6271852720528841</v>
      </c>
      <c r="BD448" s="16">
        <f t="shared" si="231"/>
        <v>85.999999999999389</v>
      </c>
      <c r="BE448" s="16" t="e">
        <f t="shared" si="232"/>
        <v>#N/A</v>
      </c>
      <c r="BF448" s="16">
        <f t="shared" si="233"/>
        <v>2.475818825628365E-3</v>
      </c>
      <c r="BU448" s="16">
        <f t="shared" si="216"/>
        <v>0</v>
      </c>
      <c r="BV448" s="16">
        <f>IF($BY$12=1,NORMDIST(BY448,$Y$6,$Y$8,TRUE),IF($BY$12=2,IF(BY448&lt;=$BX$31,0,IF(BY448&gt;=$BX$32,1,(BY448-$BX$31)*$BX$33)),SUM($BU$42:BU448)/$BV$40))</f>
        <v>0.31917750878256124</v>
      </c>
      <c r="BW448" s="16">
        <f t="shared" si="217"/>
        <v>0.72516741020838626</v>
      </c>
      <c r="BX448" s="16">
        <f>IF($BY$12&lt;3,BV448,SUM($BZ$42:BZ448)/$BX$40)</f>
        <v>0.31917750878256124</v>
      </c>
      <c r="BY448" s="16">
        <f t="shared" si="207"/>
        <v>40.600000000000307</v>
      </c>
      <c r="BZ448" s="16">
        <f t="shared" si="208"/>
        <v>1.7861266261290167E-2</v>
      </c>
      <c r="CA448" s="16">
        <f t="shared" si="218"/>
        <v>-999</v>
      </c>
      <c r="CB448" s="16" t="str">
        <f t="shared" si="209"/>
        <v/>
      </c>
      <c r="CC448" s="16" t="e">
        <f>IF(CB448="",NA(),COUNTIF(CB448:$CB$704,CB448))</f>
        <v>#N/A</v>
      </c>
      <c r="CD448" s="16" t="e">
        <f t="shared" si="210"/>
        <v>#N/A</v>
      </c>
      <c r="CE448" s="16" t="e">
        <f t="shared" si="211"/>
        <v>#N/A</v>
      </c>
      <c r="CF448" s="16">
        <f t="shared" si="212"/>
        <v>99</v>
      </c>
      <c r="CG448" s="16">
        <f t="shared" si="213"/>
        <v>0</v>
      </c>
      <c r="CH448" s="16">
        <f t="shared" si="206"/>
        <v>0</v>
      </c>
      <c r="CJ448" s="16" t="e">
        <f t="shared" si="214"/>
        <v>#N/A</v>
      </c>
      <c r="CK448" s="16" t="str">
        <f t="shared" si="215"/>
        <v/>
      </c>
    </row>
    <row r="449" spans="1:89" ht="12" customHeight="1">
      <c r="A449" s="211"/>
      <c r="B449" s="211"/>
      <c r="C449" s="211"/>
      <c r="D449" s="211"/>
      <c r="E449" s="211"/>
      <c r="F449" s="211"/>
      <c r="G449" s="211"/>
      <c r="H449" s="211"/>
      <c r="I449" s="211"/>
      <c r="J449" s="211"/>
      <c r="K449" s="211"/>
      <c r="L449" s="211"/>
      <c r="M449" s="211"/>
      <c r="N449" s="211"/>
      <c r="O449" s="211"/>
      <c r="AM449" s="34">
        <f t="shared" si="234"/>
        <v>0.68916902132332325</v>
      </c>
      <c r="AN449" s="34">
        <f t="shared" si="219"/>
        <v>0.17243050970137119</v>
      </c>
      <c r="AO449" s="16">
        <f t="shared" si="220"/>
        <v>59.80000000000058</v>
      </c>
      <c r="AP449" s="16" t="e">
        <f t="shared" si="221"/>
        <v>#N/A</v>
      </c>
      <c r="AQ449" s="16">
        <f t="shared" si="222"/>
        <v>3.0504023691790834E-3</v>
      </c>
      <c r="AR449" s="34">
        <f t="shared" si="235"/>
        <v>0.7855756226927042</v>
      </c>
      <c r="AS449" s="34">
        <f t="shared" si="223"/>
        <v>0.4394101370126009</v>
      </c>
      <c r="AT449" s="540">
        <f t="shared" si="224"/>
        <v>65.800000000000537</v>
      </c>
      <c r="AU449" s="16" t="e">
        <f t="shared" si="225"/>
        <v>#N/A</v>
      </c>
      <c r="AV449" s="16">
        <f t="shared" si="226"/>
        <v>6.4154710385547304E-3</v>
      </c>
      <c r="AW449" s="34">
        <f t="shared" si="236"/>
        <v>0.68013303168118</v>
      </c>
      <c r="AX449" s="34">
        <f t="shared" si="227"/>
        <v>0.15854121185839176</v>
      </c>
      <c r="AY449" s="16">
        <f t="shared" si="228"/>
        <v>59.300000000000573</v>
      </c>
      <c r="AZ449" s="16" t="e">
        <f t="shared" si="229"/>
        <v>#N/A</v>
      </c>
      <c r="BA449" s="16">
        <f t="shared" si="237"/>
        <v>2.8383737487623567E-3</v>
      </c>
      <c r="BB449" s="34">
        <f t="shared" si="238"/>
        <v>0.87393737770617008</v>
      </c>
      <c r="BC449" s="34">
        <f t="shared" si="230"/>
        <v>0.13824761100113392</v>
      </c>
      <c r="BD449" s="16">
        <f t="shared" si="231"/>
        <v>72.900000000000134</v>
      </c>
      <c r="BE449" s="16" t="e">
        <f t="shared" si="232"/>
        <v>#N/A</v>
      </c>
      <c r="BF449" s="16">
        <f t="shared" si="233"/>
        <v>1.4317007213324377E-3</v>
      </c>
      <c r="BU449" s="16">
        <f t="shared" si="216"/>
        <v>0</v>
      </c>
      <c r="BV449" s="16">
        <f>IF($BY$12=1,NORMDIST(BY449,$Y$6,$Y$8,TRUE),IF($BY$12=2,IF(BY449&lt;=$BX$31,0,IF(BY449&gt;=$BX$32,1,(BY449-$BX$31)*$BX$33)),SUM($BU$42:BU449)/$BV$40))</f>
        <v>0.32096572829712744</v>
      </c>
      <c r="BW449" s="16">
        <f t="shared" si="217"/>
        <v>0.72865477827818481</v>
      </c>
      <c r="BX449" s="16">
        <f>IF($BY$12&lt;3,BV449,SUM($BZ$42:BZ449)/$BX$40)</f>
        <v>0.32096572829712744</v>
      </c>
      <c r="BY449" s="16">
        <f t="shared" si="207"/>
        <v>40.700000000000308</v>
      </c>
      <c r="BZ449" s="16">
        <f t="shared" si="208"/>
        <v>1.790306580536067E-2</v>
      </c>
      <c r="CA449" s="16">
        <f t="shared" si="218"/>
        <v>-999</v>
      </c>
      <c r="CB449" s="16" t="str">
        <f t="shared" si="209"/>
        <v/>
      </c>
      <c r="CC449" s="16" t="e">
        <f>IF(CB449="",NA(),COUNTIF(CB449:$CB$704,CB449))</f>
        <v>#N/A</v>
      </c>
      <c r="CD449" s="16" t="e">
        <f t="shared" si="210"/>
        <v>#N/A</v>
      </c>
      <c r="CE449" s="16" t="e">
        <f t="shared" si="211"/>
        <v>#N/A</v>
      </c>
      <c r="CF449" s="16">
        <f t="shared" si="212"/>
        <v>99</v>
      </c>
      <c r="CG449" s="16">
        <f t="shared" si="213"/>
        <v>0</v>
      </c>
      <c r="CH449" s="16">
        <f t="shared" si="206"/>
        <v>0</v>
      </c>
      <c r="CJ449" s="16" t="e">
        <f t="shared" si="214"/>
        <v>#N/A</v>
      </c>
      <c r="CK449" s="16" t="str">
        <f t="shared" si="215"/>
        <v/>
      </c>
    </row>
    <row r="450" spans="1:89" ht="12" customHeight="1">
      <c r="A450" s="211"/>
      <c r="B450" s="211"/>
      <c r="C450" s="211"/>
      <c r="D450" s="211"/>
      <c r="E450" s="211"/>
      <c r="F450" s="211"/>
      <c r="G450" s="211"/>
      <c r="H450" s="211"/>
      <c r="I450" s="211"/>
      <c r="J450" s="211"/>
      <c r="K450" s="211"/>
      <c r="L450" s="211"/>
      <c r="M450" s="211"/>
      <c r="N450" s="211"/>
      <c r="O450" s="211"/>
      <c r="AM450" s="34">
        <f t="shared" si="234"/>
        <v>0.3386103380471468</v>
      </c>
      <c r="AN450" s="34">
        <f t="shared" si="219"/>
        <v>0.78240586258471012</v>
      </c>
      <c r="AO450" s="16">
        <f t="shared" si="220"/>
        <v>41.600000000000321</v>
      </c>
      <c r="AP450" s="16" t="e">
        <f t="shared" si="221"/>
        <v>#N/A</v>
      </c>
      <c r="AQ450" s="16">
        <f t="shared" si="222"/>
        <v>1.4289182822146737E-2</v>
      </c>
      <c r="AR450" s="34">
        <f t="shared" si="235"/>
        <v>8.2457790151238441E-2</v>
      </c>
      <c r="AS450" s="34">
        <f t="shared" si="223"/>
        <v>0.97346365638077259</v>
      </c>
      <c r="AT450" s="540">
        <f t="shared" si="224"/>
        <v>22.200000000000045</v>
      </c>
      <c r="AU450" s="16" t="e">
        <f t="shared" si="225"/>
        <v>#N/A</v>
      </c>
      <c r="AV450" s="16" t="e">
        <f t="shared" si="226"/>
        <v>#N/A</v>
      </c>
      <c r="AW450" s="34">
        <f t="shared" si="236"/>
        <v>0.17961967177689075</v>
      </c>
      <c r="AX450" s="34">
        <f t="shared" si="227"/>
        <v>5.2824640646576881E-2</v>
      </c>
      <c r="AY450" s="16">
        <f t="shared" si="228"/>
        <v>31.600000000000179</v>
      </c>
      <c r="AZ450" s="16" t="e">
        <f t="shared" si="229"/>
        <v>#N/A</v>
      </c>
      <c r="BA450" s="16">
        <f t="shared" si="237"/>
        <v>6.901177484690494E-4</v>
      </c>
      <c r="BB450" s="34">
        <f t="shared" si="238"/>
        <v>0.90723028220236301</v>
      </c>
      <c r="BC450" s="34">
        <f t="shared" si="230"/>
        <v>0.6160172987729311</v>
      </c>
      <c r="BD450" s="16">
        <f t="shared" si="231"/>
        <v>76.399999999999935</v>
      </c>
      <c r="BE450" s="16" t="e">
        <f t="shared" si="232"/>
        <v>#N/A</v>
      </c>
      <c r="BF450" s="16">
        <f t="shared" si="233"/>
        <v>5.1418052759437515E-3</v>
      </c>
      <c r="BU450" s="16">
        <f t="shared" si="216"/>
        <v>0</v>
      </c>
      <c r="BV450" s="16">
        <f>IF($BY$12=1,NORMDIST(BY450,$Y$6,$Y$8,TRUE),IF($BY$12=2,IF(BY450&lt;=$BX$31,0,IF(BY450&gt;=$BX$32,1,(BY450-$BX$31)*$BX$33)),SUM($BU$42:BU450)/$BV$40))</f>
        <v>0.32275811025035328</v>
      </c>
      <c r="BW450" s="16">
        <f t="shared" si="217"/>
        <v>0.73213619370844174</v>
      </c>
      <c r="BX450" s="16">
        <f>IF($BY$12&lt;3,BV450,SUM($BZ$42:BZ450)/$BX$40)</f>
        <v>0.32275811025035328</v>
      </c>
      <c r="BY450" s="16">
        <f t="shared" si="207"/>
        <v>40.80000000000031</v>
      </c>
      <c r="BZ450" s="16">
        <f t="shared" si="208"/>
        <v>1.7944514551677358E-2</v>
      </c>
      <c r="CA450" s="16">
        <f t="shared" si="218"/>
        <v>-999</v>
      </c>
      <c r="CB450" s="16" t="str">
        <f t="shared" si="209"/>
        <v/>
      </c>
      <c r="CC450" s="16" t="e">
        <f>IF(CB450="",NA(),COUNTIF(CB450:$CB$704,CB450))</f>
        <v>#N/A</v>
      </c>
      <c r="CD450" s="16" t="e">
        <f t="shared" si="210"/>
        <v>#N/A</v>
      </c>
      <c r="CE450" s="16" t="e">
        <f t="shared" si="211"/>
        <v>#N/A</v>
      </c>
      <c r="CF450" s="16">
        <f t="shared" si="212"/>
        <v>99</v>
      </c>
      <c r="CG450" s="16">
        <f t="shared" si="213"/>
        <v>0</v>
      </c>
      <c r="CH450" s="16">
        <f t="shared" si="206"/>
        <v>0</v>
      </c>
      <c r="CJ450" s="16" t="e">
        <f t="shared" si="214"/>
        <v>#N/A</v>
      </c>
      <c r="CK450" s="16" t="str">
        <f t="shared" si="215"/>
        <v/>
      </c>
    </row>
    <row r="451" spans="1:89" ht="12" customHeight="1">
      <c r="A451" s="211"/>
      <c r="B451" s="211"/>
      <c r="C451" s="211"/>
      <c r="D451" s="211"/>
      <c r="E451" s="211"/>
      <c r="F451" s="211"/>
      <c r="G451" s="211"/>
      <c r="H451" s="211"/>
      <c r="I451" s="211"/>
      <c r="J451" s="211"/>
      <c r="K451" s="211"/>
      <c r="L451" s="211"/>
      <c r="M451" s="211"/>
      <c r="N451" s="211"/>
      <c r="O451" s="211"/>
      <c r="AM451" s="34">
        <f t="shared" si="234"/>
        <v>0.79712331481277943</v>
      </c>
      <c r="AN451" s="34">
        <f t="shared" si="219"/>
        <v>0.51073088683187962</v>
      </c>
      <c r="AO451" s="16">
        <f t="shared" si="220"/>
        <v>66.600000000000492</v>
      </c>
      <c r="AP451" s="16" t="e">
        <f t="shared" si="221"/>
        <v>#N/A</v>
      </c>
      <c r="AQ451" s="16">
        <f t="shared" si="222"/>
        <v>7.2190401761105848E-3</v>
      </c>
      <c r="AR451" s="34">
        <f t="shared" si="235"/>
        <v>0.21883525885641575</v>
      </c>
      <c r="AS451" s="34">
        <f t="shared" si="223"/>
        <v>0.43342252261936665</v>
      </c>
      <c r="AT451" s="540">
        <f t="shared" si="224"/>
        <v>34.400000000000219</v>
      </c>
      <c r="AU451" s="16" t="e">
        <f t="shared" si="225"/>
        <v>#N/A</v>
      </c>
      <c r="AV451" s="16">
        <f t="shared" si="226"/>
        <v>6.3779214215212397E-3</v>
      </c>
      <c r="AW451" s="34">
        <f t="shared" si="236"/>
        <v>9.3186097219586372E-2</v>
      </c>
      <c r="AX451" s="34">
        <f t="shared" si="227"/>
        <v>0.18361512757837772</v>
      </c>
      <c r="AY451" s="16">
        <f t="shared" si="228"/>
        <v>23.500000000000064</v>
      </c>
      <c r="AZ451" s="16" t="e">
        <f t="shared" si="229"/>
        <v>#N/A</v>
      </c>
      <c r="BA451" s="16">
        <f t="shared" si="237"/>
        <v>1.5225073714289681E-3</v>
      </c>
      <c r="BB451" s="34">
        <f t="shared" si="238"/>
        <v>0.99595419503748417</v>
      </c>
      <c r="BC451" s="34">
        <f t="shared" si="230"/>
        <v>0.89777937717735767</v>
      </c>
      <c r="BD451" s="16" t="e">
        <f t="shared" si="231"/>
        <v>#N/A</v>
      </c>
      <c r="BE451" s="16" t="e">
        <f t="shared" si="232"/>
        <v>#N/A</v>
      </c>
      <c r="BF451" s="16" t="e">
        <f t="shared" si="233"/>
        <v>#N/A</v>
      </c>
      <c r="BU451" s="16">
        <f t="shared" si="216"/>
        <v>0</v>
      </c>
      <c r="BV451" s="16">
        <f>IF($BY$12=1,NORMDIST(BY451,$Y$6,$Y$8,TRUE),IF($BY$12=2,IF(BY451&lt;=$BX$31,0,IF(BY451&gt;=$BX$32,1,(BY451-$BX$31)*$BX$33)),SUM($BU$42:BU451)/$BV$40))</f>
        <v>0.32455461941795016</v>
      </c>
      <c r="BW451" s="16">
        <f t="shared" si="217"/>
        <v>0.73561143318280264</v>
      </c>
      <c r="BX451" s="16">
        <f>IF($BY$12&lt;3,BV451,SUM($BZ$42:BZ451)/$BX$40)</f>
        <v>0.32455461941795016</v>
      </c>
      <c r="BY451" s="16">
        <f t="shared" si="207"/>
        <v>40.900000000000311</v>
      </c>
      <c r="BZ451" s="16">
        <f t="shared" si="208"/>
        <v>1.7985609613271322E-2</v>
      </c>
      <c r="CA451" s="16">
        <f t="shared" si="218"/>
        <v>-999</v>
      </c>
      <c r="CB451" s="16" t="str">
        <f t="shared" si="209"/>
        <v/>
      </c>
      <c r="CC451" s="16" t="e">
        <f>IF(CB451="",NA(),COUNTIF(CB451:$CB$704,CB451))</f>
        <v>#N/A</v>
      </c>
      <c r="CD451" s="16" t="e">
        <f t="shared" si="210"/>
        <v>#N/A</v>
      </c>
      <c r="CE451" s="16" t="e">
        <f t="shared" si="211"/>
        <v>#N/A</v>
      </c>
      <c r="CF451" s="16">
        <f t="shared" si="212"/>
        <v>99</v>
      </c>
      <c r="CG451" s="16">
        <f t="shared" si="213"/>
        <v>0</v>
      </c>
      <c r="CH451" s="16">
        <f t="shared" ref="CH451:CH514" si="239">IF(CB451="",0,1)</f>
        <v>0</v>
      </c>
      <c r="CJ451" s="16" t="e">
        <f t="shared" si="214"/>
        <v>#N/A</v>
      </c>
      <c r="CK451" s="16" t="str">
        <f t="shared" si="215"/>
        <v/>
      </c>
    </row>
    <row r="452" spans="1:89" ht="12" customHeight="1">
      <c r="A452" s="211"/>
      <c r="B452" s="211"/>
      <c r="C452" s="211"/>
      <c r="D452" s="211"/>
      <c r="E452" s="211"/>
      <c r="F452" s="211"/>
      <c r="G452" s="211"/>
      <c r="H452" s="211"/>
      <c r="I452" s="211"/>
      <c r="J452" s="211"/>
      <c r="K452" s="211"/>
      <c r="L452" s="211"/>
      <c r="M452" s="211"/>
      <c r="N452" s="211"/>
      <c r="O452" s="211"/>
      <c r="AM452" s="34">
        <f t="shared" si="234"/>
        <v>0.50782032497227192</v>
      </c>
      <c r="AN452" s="34">
        <f t="shared" si="219"/>
        <v>0.85138694383203983</v>
      </c>
      <c r="AO452" s="16">
        <f t="shared" si="220"/>
        <v>50.300000000000445</v>
      </c>
      <c r="AP452" s="16" t="e">
        <f t="shared" si="221"/>
        <v>#N/A</v>
      </c>
      <c r="AQ452" s="16">
        <f t="shared" si="222"/>
        <v>1.6980801996132784E-2</v>
      </c>
      <c r="AR452" s="34">
        <f t="shared" si="235"/>
        <v>0.86068646050989628</v>
      </c>
      <c r="AS452" s="34">
        <f t="shared" si="223"/>
        <v>0.7940229494124651</v>
      </c>
      <c r="AT452" s="540">
        <f t="shared" si="224"/>
        <v>71.600000000000207</v>
      </c>
      <c r="AU452" s="16" t="e">
        <f t="shared" si="225"/>
        <v>#N/A</v>
      </c>
      <c r="AV452" s="16">
        <f t="shared" si="226"/>
        <v>8.8395993887937993E-3</v>
      </c>
      <c r="AW452" s="34">
        <f t="shared" si="236"/>
        <v>0.66278043575584888</v>
      </c>
      <c r="AX452" s="34">
        <f t="shared" si="227"/>
        <v>0.97370415367186069</v>
      </c>
      <c r="AY452" s="16">
        <f t="shared" si="228"/>
        <v>58.40000000000056</v>
      </c>
      <c r="AZ452" s="16" t="e">
        <f t="shared" si="229"/>
        <v>#N/A</v>
      </c>
      <c r="BA452" s="16" t="e">
        <f t="shared" si="237"/>
        <v>#N/A</v>
      </c>
      <c r="BB452" s="34">
        <f t="shared" si="238"/>
        <v>0.44290548004209995</v>
      </c>
      <c r="BC452" s="34">
        <f t="shared" si="230"/>
        <v>0.55819224007427692</v>
      </c>
      <c r="BD452" s="16">
        <f t="shared" si="231"/>
        <v>47.100000000000399</v>
      </c>
      <c r="BE452" s="16" t="e">
        <f t="shared" si="232"/>
        <v>#N/A</v>
      </c>
      <c r="BF452" s="16">
        <f t="shared" si="233"/>
        <v>1.1017887765738544E-2</v>
      </c>
      <c r="BU452" s="16">
        <f t="shared" si="216"/>
        <v>0</v>
      </c>
      <c r="BV452" s="16">
        <f>IF($BY$12=1,NORMDIST(BY452,$Y$6,$Y$8,TRUE),IF($BY$12=2,IF(BY452&lt;=$BX$31,0,IF(BY452&gt;=$BX$32,1,(BY452-$BX$31)*$BX$33)),SUM($BU$42:BU452)/$BV$40))</f>
        <v>0.32635522028792574</v>
      </c>
      <c r="BW452" s="16">
        <f t="shared" si="217"/>
        <v>0.73908027304638901</v>
      </c>
      <c r="BX452" s="16">
        <f>IF($BY$12&lt;3,BV452,SUM($BZ$42:BZ452)/$BX$40)</f>
        <v>0.32635522028792574</v>
      </c>
      <c r="BY452" s="16">
        <f t="shared" si="207"/>
        <v>41.000000000000313</v>
      </c>
      <c r="BZ452" s="16">
        <f t="shared" si="208"/>
        <v>1.8026348123082521E-2</v>
      </c>
      <c r="CA452" s="16">
        <f t="shared" si="218"/>
        <v>-999</v>
      </c>
      <c r="CB452" s="16" t="str">
        <f t="shared" si="209"/>
        <v/>
      </c>
      <c r="CC452" s="16" t="e">
        <f>IF(CB452="",NA(),COUNTIF(CB452:$CB$704,CB452))</f>
        <v>#N/A</v>
      </c>
      <c r="CD452" s="16" t="e">
        <f t="shared" si="210"/>
        <v>#N/A</v>
      </c>
      <c r="CE452" s="16" t="e">
        <f t="shared" si="211"/>
        <v>#N/A</v>
      </c>
      <c r="CF452" s="16">
        <f t="shared" si="212"/>
        <v>99</v>
      </c>
      <c r="CG452" s="16">
        <f t="shared" si="213"/>
        <v>0</v>
      </c>
      <c r="CH452" s="16">
        <f t="shared" si="239"/>
        <v>0</v>
      </c>
      <c r="CJ452" s="16" t="e">
        <f t="shared" si="214"/>
        <v>#N/A</v>
      </c>
      <c r="CK452" s="16" t="str">
        <f t="shared" si="215"/>
        <v/>
      </c>
    </row>
    <row r="453" spans="1:89" ht="12" customHeight="1">
      <c r="A453" s="211"/>
      <c r="B453" s="211"/>
      <c r="C453" s="211"/>
      <c r="D453" s="211"/>
      <c r="E453" s="211"/>
      <c r="F453" s="211"/>
      <c r="G453" s="211"/>
      <c r="H453" s="211"/>
      <c r="I453" s="211"/>
      <c r="J453" s="211"/>
      <c r="K453" s="211"/>
      <c r="L453" s="211"/>
      <c r="M453" s="211"/>
      <c r="N453" s="211"/>
      <c r="O453" s="211"/>
      <c r="AM453" s="34">
        <f t="shared" si="234"/>
        <v>0.50635066814720631</v>
      </c>
      <c r="AN453" s="34">
        <f t="shared" si="219"/>
        <v>0.26403074897825718</v>
      </c>
      <c r="AO453" s="16">
        <f t="shared" si="220"/>
        <v>50.300000000000445</v>
      </c>
      <c r="AP453" s="16" t="e">
        <f t="shared" si="221"/>
        <v>#N/A</v>
      </c>
      <c r="AQ453" s="16">
        <f t="shared" si="222"/>
        <v>5.2660589897123343E-3</v>
      </c>
      <c r="AR453" s="34">
        <f t="shared" si="235"/>
        <v>0.81642299331724644</v>
      </c>
      <c r="AS453" s="34">
        <f t="shared" si="223"/>
        <v>0.54667137749493122</v>
      </c>
      <c r="AT453" s="540">
        <f t="shared" si="224"/>
        <v>68.000000000000412</v>
      </c>
      <c r="AU453" s="16" t="e">
        <f t="shared" si="225"/>
        <v>#N/A</v>
      </c>
      <c r="AV453" s="16">
        <f t="shared" si="226"/>
        <v>7.2730595046616294E-3</v>
      </c>
      <c r="AW453" s="34">
        <f t="shared" si="236"/>
        <v>0.19487260468304157</v>
      </c>
      <c r="AX453" s="34">
        <f t="shared" si="227"/>
        <v>0.58017427660524845</v>
      </c>
      <c r="AY453" s="16">
        <f t="shared" si="228"/>
        <v>32.700000000000195</v>
      </c>
      <c r="AZ453" s="16" t="e">
        <f t="shared" si="229"/>
        <v>#N/A</v>
      </c>
      <c r="BA453" s="16">
        <f t="shared" si="237"/>
        <v>7.9609252341962568E-3</v>
      </c>
      <c r="BB453" s="34">
        <f t="shared" si="238"/>
        <v>0.65724189020693302</v>
      </c>
      <c r="BC453" s="34">
        <f t="shared" si="230"/>
        <v>0.44621390290558338</v>
      </c>
      <c r="BD453" s="16">
        <f t="shared" si="231"/>
        <v>58.000000000000554</v>
      </c>
      <c r="BE453" s="16" t="e">
        <f t="shared" si="232"/>
        <v>#N/A</v>
      </c>
      <c r="BF453" s="16">
        <f t="shared" si="233"/>
        <v>8.2163628314165429E-3</v>
      </c>
      <c r="BU453" s="16">
        <f t="shared" si="216"/>
        <v>0</v>
      </c>
      <c r="BV453" s="16">
        <f>IF($BY$12=1,NORMDIST(BY453,$Y$6,$Y$8,TRUE),IF($BY$12=2,IF(BY453&lt;=$BX$31,0,IF(BY453&gt;=$BX$32,1,(BY453-$BX$31)*$BX$33)),SUM($BU$42:BU453)/$BV$40))</f>
        <v>0.32815987706259053</v>
      </c>
      <c r="BW453" s="16">
        <f t="shared" si="217"/>
        <v>0.74254248932942324</v>
      </c>
      <c r="BX453" s="16">
        <f>IF($BY$12&lt;3,BV453,SUM($BZ$42:BZ453)/$BX$40)</f>
        <v>0.32815987706259053</v>
      </c>
      <c r="BY453" s="16">
        <f t="shared" si="207"/>
        <v>41.100000000000314</v>
      </c>
      <c r="BZ453" s="16">
        <f t="shared" si="208"/>
        <v>1.8066727234292399E-2</v>
      </c>
      <c r="CA453" s="16">
        <f t="shared" si="218"/>
        <v>-999</v>
      </c>
      <c r="CB453" s="16" t="str">
        <f t="shared" si="209"/>
        <v/>
      </c>
      <c r="CC453" s="16" t="e">
        <f>IF(CB453="",NA(),COUNTIF(CB453:$CB$704,CB453))</f>
        <v>#N/A</v>
      </c>
      <c r="CD453" s="16" t="e">
        <f t="shared" si="210"/>
        <v>#N/A</v>
      </c>
      <c r="CE453" s="16" t="e">
        <f t="shared" si="211"/>
        <v>#N/A</v>
      </c>
      <c r="CF453" s="16">
        <f t="shared" si="212"/>
        <v>99</v>
      </c>
      <c r="CG453" s="16">
        <f t="shared" si="213"/>
        <v>0</v>
      </c>
      <c r="CH453" s="16">
        <f t="shared" si="239"/>
        <v>0</v>
      </c>
      <c r="CJ453" s="16" t="e">
        <f t="shared" si="214"/>
        <v>#N/A</v>
      </c>
      <c r="CK453" s="16" t="str">
        <f t="shared" si="215"/>
        <v/>
      </c>
    </row>
    <row r="454" spans="1:89" ht="12" customHeight="1">
      <c r="A454" s="211"/>
      <c r="B454" s="211"/>
      <c r="C454" s="211"/>
      <c r="D454" s="211"/>
      <c r="E454" s="211"/>
      <c r="F454" s="211"/>
      <c r="G454" s="211"/>
      <c r="H454" s="211"/>
      <c r="I454" s="211"/>
      <c r="J454" s="211"/>
      <c r="K454" s="211"/>
      <c r="L454" s="211"/>
      <c r="M454" s="211"/>
      <c r="N454" s="211"/>
      <c r="O454" s="211"/>
      <c r="AM454" s="34">
        <f t="shared" si="234"/>
        <v>0.92218230850994587</v>
      </c>
      <c r="AN454" s="34">
        <f t="shared" si="219"/>
        <v>7.3469469323754311E-2</v>
      </c>
      <c r="AO454" s="16">
        <f t="shared" si="220"/>
        <v>78.299999999999827</v>
      </c>
      <c r="AP454" s="16" t="e">
        <f t="shared" si="221"/>
        <v>#N/A</v>
      </c>
      <c r="AQ454" s="16">
        <f t="shared" si="222"/>
        <v>5.3852930176687401E-4</v>
      </c>
      <c r="AR454" s="34">
        <f t="shared" si="235"/>
        <v>0.88167721964418888</v>
      </c>
      <c r="AS454" s="34">
        <f t="shared" si="223"/>
        <v>0.65824574418365955</v>
      </c>
      <c r="AT454" s="540">
        <f t="shared" si="224"/>
        <v>73.600000000000094</v>
      </c>
      <c r="AU454" s="16" t="e">
        <f t="shared" si="225"/>
        <v>#N/A</v>
      </c>
      <c r="AV454" s="16">
        <f t="shared" si="226"/>
        <v>6.5450401005880312E-3</v>
      </c>
      <c r="AW454" s="34">
        <f t="shared" si="236"/>
        <v>0.30831808038055897</v>
      </c>
      <c r="AX454" s="34">
        <f t="shared" si="227"/>
        <v>0.8119406346231699</v>
      </c>
      <c r="AY454" s="16">
        <f t="shared" si="228"/>
        <v>39.900000000000297</v>
      </c>
      <c r="AZ454" s="16" t="e">
        <f t="shared" si="229"/>
        <v>#N/A</v>
      </c>
      <c r="BA454" s="16">
        <f t="shared" si="237"/>
        <v>1.4256941638926546E-2</v>
      </c>
      <c r="BB454" s="34">
        <f t="shared" si="238"/>
        <v>0.82983657158911228</v>
      </c>
      <c r="BC454" s="34">
        <f t="shared" si="230"/>
        <v>0.50376655347645283</v>
      </c>
      <c r="BD454" s="16">
        <f t="shared" si="231"/>
        <v>69.000000000000355</v>
      </c>
      <c r="BE454" s="16" t="e">
        <f t="shared" si="232"/>
        <v>#N/A</v>
      </c>
      <c r="BF454" s="16">
        <f t="shared" si="233"/>
        <v>6.3993227628480337E-3</v>
      </c>
      <c r="BU454" s="16">
        <f t="shared" si="216"/>
        <v>0</v>
      </c>
      <c r="BV454" s="16">
        <f>IF($BY$12=1,NORMDIST(BY454,$Y$6,$Y$8,TRUE),IF($BY$12=2,IF(BY454&lt;=$BX$31,0,IF(BY454&gt;=$BX$32,1,(BY454-$BX$31)*$BX$33)),SUM($BU$42:BU454)/$BV$40))</f>
        <v>0.32996855366059941</v>
      </c>
      <c r="BW454" s="16">
        <f t="shared" si="217"/>
        <v>0.74599785777098071</v>
      </c>
      <c r="BX454" s="16">
        <f>IF($BY$12&lt;3,BV454,SUM($BZ$42:BZ454)/$BX$40)</f>
        <v>0.32996855366059941</v>
      </c>
      <c r="BY454" s="16">
        <f t="shared" si="207"/>
        <v>41.200000000000315</v>
      </c>
      <c r="BZ454" s="16">
        <f t="shared" si="208"/>
        <v>1.8106744120654734E-2</v>
      </c>
      <c r="CA454" s="16">
        <f t="shared" si="218"/>
        <v>-999</v>
      </c>
      <c r="CB454" s="16" t="str">
        <f t="shared" si="209"/>
        <v/>
      </c>
      <c r="CC454" s="16" t="e">
        <f>IF(CB454="",NA(),COUNTIF(CB454:$CB$704,CB454))</f>
        <v>#N/A</v>
      </c>
      <c r="CD454" s="16" t="e">
        <f t="shared" si="210"/>
        <v>#N/A</v>
      </c>
      <c r="CE454" s="16" t="e">
        <f t="shared" si="211"/>
        <v>#N/A</v>
      </c>
      <c r="CF454" s="16">
        <f t="shared" si="212"/>
        <v>99</v>
      </c>
      <c r="CG454" s="16">
        <f t="shared" si="213"/>
        <v>0</v>
      </c>
      <c r="CH454" s="16">
        <f t="shared" si="239"/>
        <v>0</v>
      </c>
      <c r="CJ454" s="16" t="e">
        <f t="shared" si="214"/>
        <v>#N/A</v>
      </c>
      <c r="CK454" s="16" t="str">
        <f t="shared" si="215"/>
        <v/>
      </c>
    </row>
    <row r="455" spans="1:89" ht="12" customHeight="1">
      <c r="A455" s="211"/>
      <c r="B455" s="211"/>
      <c r="C455" s="211"/>
      <c r="D455" s="211"/>
      <c r="E455" s="211"/>
      <c r="F455" s="211"/>
      <c r="G455" s="211"/>
      <c r="H455" s="211"/>
      <c r="I455" s="211"/>
      <c r="J455" s="211"/>
      <c r="K455" s="211"/>
      <c r="L455" s="211"/>
      <c r="M455" s="211"/>
      <c r="N455" s="211"/>
      <c r="O455" s="211"/>
      <c r="AM455" s="34">
        <f t="shared" si="234"/>
        <v>0.64834064431488514</v>
      </c>
      <c r="AN455" s="34">
        <f t="shared" si="219"/>
        <v>0.87157722748816013</v>
      </c>
      <c r="AO455" s="16">
        <f t="shared" si="220"/>
        <v>57.600000000000549</v>
      </c>
      <c r="AP455" s="16" t="e">
        <f t="shared" si="221"/>
        <v>#N/A</v>
      </c>
      <c r="AQ455" s="16">
        <f t="shared" si="222"/>
        <v>1.6174463457179752E-2</v>
      </c>
      <c r="AR455" s="34">
        <f t="shared" si="235"/>
        <v>0.99903126992285252</v>
      </c>
      <c r="AS455" s="34">
        <f t="shared" si="223"/>
        <v>0.68663503415882587</v>
      </c>
      <c r="AT455" s="540" t="e">
        <f t="shared" si="224"/>
        <v>#N/A</v>
      </c>
      <c r="AU455" s="16" t="e">
        <f t="shared" si="225"/>
        <v>#N/A</v>
      </c>
      <c r="AV455" s="16" t="e">
        <f t="shared" si="226"/>
        <v>#N/A</v>
      </c>
      <c r="AW455" s="34">
        <f t="shared" si="236"/>
        <v>0.90145994909107685</v>
      </c>
      <c r="AX455" s="34">
        <f t="shared" si="227"/>
        <v>0.20989010669291019</v>
      </c>
      <c r="AY455" s="16">
        <f t="shared" si="228"/>
        <v>75.699999999999974</v>
      </c>
      <c r="AZ455" s="16" t="e">
        <f t="shared" si="229"/>
        <v>#N/A</v>
      </c>
      <c r="BA455" s="16">
        <f t="shared" si="237"/>
        <v>1.8336358252051277E-3</v>
      </c>
      <c r="BB455" s="34">
        <f t="shared" si="238"/>
        <v>8.372972346842289E-2</v>
      </c>
      <c r="BC455" s="34">
        <f t="shared" si="230"/>
        <v>0.32317063398659229</v>
      </c>
      <c r="BD455" s="16">
        <f t="shared" si="231"/>
        <v>22.300000000000047</v>
      </c>
      <c r="BE455" s="16" t="e">
        <f t="shared" si="232"/>
        <v>#N/A</v>
      </c>
      <c r="BF455" s="16">
        <f t="shared" si="233"/>
        <v>2.47044218175316E-3</v>
      </c>
      <c r="BU455" s="16">
        <f t="shared" si="216"/>
        <v>0</v>
      </c>
      <c r="BV455" s="16">
        <f>IF($BY$12=1,NORMDIST(BY455,$Y$6,$Y$8,TRUE),IF($BY$12=2,IF(BY455&lt;=$BX$31,0,IF(BY455&gt;=$BX$32,1,(BY455-$BX$31)*$BX$33)),SUM($BU$42:BU455)/$BV$40))</f>
        <v>0.3317812137190248</v>
      </c>
      <c r="BW455" s="16">
        <f t="shared" si="217"/>
        <v>0.74944615384286417</v>
      </c>
      <c r="BX455" s="16">
        <f>IF($BY$12&lt;3,BV455,SUM($BZ$42:BZ455)/$BX$40)</f>
        <v>0.3317812137190248</v>
      </c>
      <c r="BY455" s="16">
        <f t="shared" si="207"/>
        <v>41.300000000000317</v>
      </c>
      <c r="BZ455" s="16">
        <f t="shared" si="208"/>
        <v>1.8146395976824659E-2</v>
      </c>
      <c r="CA455" s="16">
        <f t="shared" si="218"/>
        <v>-999</v>
      </c>
      <c r="CB455" s="16" t="str">
        <f t="shared" si="209"/>
        <v/>
      </c>
      <c r="CC455" s="16" t="e">
        <f>IF(CB455="",NA(),COUNTIF(CB455:$CB$704,CB455))</f>
        <v>#N/A</v>
      </c>
      <c r="CD455" s="16" t="e">
        <f t="shared" si="210"/>
        <v>#N/A</v>
      </c>
      <c r="CE455" s="16" t="e">
        <f t="shared" si="211"/>
        <v>#N/A</v>
      </c>
      <c r="CF455" s="16">
        <f t="shared" si="212"/>
        <v>99</v>
      </c>
      <c r="CG455" s="16">
        <f t="shared" si="213"/>
        <v>0</v>
      </c>
      <c r="CH455" s="16">
        <f t="shared" si="239"/>
        <v>0</v>
      </c>
      <c r="CJ455" s="16" t="e">
        <f t="shared" si="214"/>
        <v>#N/A</v>
      </c>
      <c r="CK455" s="16" t="str">
        <f t="shared" si="215"/>
        <v/>
      </c>
    </row>
    <row r="456" spans="1:89" ht="12" customHeight="1">
      <c r="A456" s="211"/>
      <c r="B456" s="211"/>
      <c r="C456" s="211"/>
      <c r="D456" s="211"/>
      <c r="E456" s="211"/>
      <c r="F456" s="211"/>
      <c r="G456" s="211"/>
      <c r="H456" s="211"/>
      <c r="I456" s="211"/>
      <c r="J456" s="211"/>
      <c r="K456" s="211"/>
      <c r="L456" s="211"/>
      <c r="M456" s="211"/>
      <c r="N456" s="211"/>
      <c r="O456" s="211"/>
      <c r="AM456" s="34">
        <f t="shared" si="234"/>
        <v>0.6053855586796999</v>
      </c>
      <c r="AN456" s="34">
        <f t="shared" si="219"/>
        <v>0.4568092618137598</v>
      </c>
      <c r="AO456" s="16">
        <f t="shared" si="220"/>
        <v>55.300000000000516</v>
      </c>
      <c r="AP456" s="16" t="e">
        <f t="shared" si="221"/>
        <v>#N/A</v>
      </c>
      <c r="AQ456" s="16">
        <f t="shared" si="222"/>
        <v>8.797632285378814E-3</v>
      </c>
      <c r="AR456" s="34">
        <f t="shared" si="235"/>
        <v>0.2678437028080225</v>
      </c>
      <c r="AS456" s="34">
        <f t="shared" si="223"/>
        <v>0.51004836149513721</v>
      </c>
      <c r="AT456" s="540">
        <f t="shared" si="224"/>
        <v>37.600000000000264</v>
      </c>
      <c r="AU456" s="16" t="e">
        <f t="shared" si="225"/>
        <v>#N/A</v>
      </c>
      <c r="AV456" s="16">
        <f t="shared" si="226"/>
        <v>8.394986991080473E-3</v>
      </c>
      <c r="AW456" s="34">
        <f t="shared" si="236"/>
        <v>0.79550048895180225</v>
      </c>
      <c r="AX456" s="34">
        <f t="shared" si="227"/>
        <v>0.23102437891066074</v>
      </c>
      <c r="AY456" s="16">
        <f t="shared" si="228"/>
        <v>66.500000000000497</v>
      </c>
      <c r="AZ456" s="16" t="e">
        <f t="shared" si="229"/>
        <v>#N/A</v>
      </c>
      <c r="BA456" s="16">
        <f t="shared" si="237"/>
        <v>3.2790047110797778E-3</v>
      </c>
      <c r="BB456" s="34">
        <f t="shared" si="238"/>
        <v>0.54108416475355625</v>
      </c>
      <c r="BC456" s="34">
        <f t="shared" si="230"/>
        <v>0.68162970431149006</v>
      </c>
      <c r="BD456" s="16">
        <f t="shared" si="231"/>
        <v>52.000000000000469</v>
      </c>
      <c r="BE456" s="16" t="e">
        <f t="shared" si="232"/>
        <v>#N/A</v>
      </c>
      <c r="BF456" s="16">
        <f t="shared" si="233"/>
        <v>1.3528732378122381E-2</v>
      </c>
      <c r="BU456" s="16">
        <f t="shared" si="216"/>
        <v>0</v>
      </c>
      <c r="BV456" s="16">
        <f>IF($BY$12=1,NORMDIST(BY456,$Y$6,$Y$8,TRUE),IF($BY$12=2,IF(BY456&lt;=$BX$31,0,IF(BY456&gt;=$BX$32,1,(BY456-$BX$31)*$BX$33)),SUM($BU$42:BU456)/$BV$40))</f>
        <v>0.3335978205954635</v>
      </c>
      <c r="BW456" s="16">
        <f t="shared" si="217"/>
        <v>0.75288715277359775</v>
      </c>
      <c r="BX456" s="16">
        <f>IF($BY$12&lt;3,BV456,SUM($BZ$42:BZ456)/$BX$40)</f>
        <v>0.3335978205954635</v>
      </c>
      <c r="BY456" s="16">
        <f t="shared" si="207"/>
        <v>41.400000000000318</v>
      </c>
      <c r="BZ456" s="16">
        <f t="shared" si="208"/>
        <v>1.8185680018685795E-2</v>
      </c>
      <c r="CA456" s="16">
        <f t="shared" si="218"/>
        <v>-999</v>
      </c>
      <c r="CB456" s="16" t="str">
        <f t="shared" si="209"/>
        <v/>
      </c>
      <c r="CC456" s="16" t="e">
        <f>IF(CB456="",NA(),COUNTIF(CB456:$CB$704,CB456))</f>
        <v>#N/A</v>
      </c>
      <c r="CD456" s="16" t="e">
        <f t="shared" si="210"/>
        <v>#N/A</v>
      </c>
      <c r="CE456" s="16" t="e">
        <f t="shared" si="211"/>
        <v>#N/A</v>
      </c>
      <c r="CF456" s="16">
        <f t="shared" si="212"/>
        <v>99</v>
      </c>
      <c r="CG456" s="16">
        <f t="shared" si="213"/>
        <v>0</v>
      </c>
      <c r="CH456" s="16">
        <f t="shared" si="239"/>
        <v>0</v>
      </c>
      <c r="CJ456" s="16" t="e">
        <f t="shared" si="214"/>
        <v>#N/A</v>
      </c>
      <c r="CK456" s="16" t="str">
        <f t="shared" si="215"/>
        <v/>
      </c>
    </row>
    <row r="457" spans="1:89" ht="12" customHeight="1">
      <c r="A457" s="211"/>
      <c r="B457" s="211"/>
      <c r="C457" s="211"/>
      <c r="D457" s="211"/>
      <c r="E457" s="211"/>
      <c r="F457" s="211"/>
      <c r="G457" s="211"/>
      <c r="H457" s="211"/>
      <c r="I457" s="211"/>
      <c r="J457" s="211"/>
      <c r="K457" s="211"/>
      <c r="L457" s="211"/>
      <c r="M457" s="211"/>
      <c r="N457" s="211"/>
      <c r="O457" s="211"/>
      <c r="AM457" s="34">
        <f t="shared" si="234"/>
        <v>0.55665800161659718</v>
      </c>
      <c r="AN457" s="34">
        <f t="shared" si="219"/>
        <v>0.25271999277174473</v>
      </c>
      <c r="AO457" s="16">
        <f t="shared" si="220"/>
        <v>52.80000000000048</v>
      </c>
      <c r="AP457" s="16" t="e">
        <f t="shared" si="221"/>
        <v>#N/A</v>
      </c>
      <c r="AQ457" s="16">
        <f t="shared" si="222"/>
        <v>4.9918736544093886E-3</v>
      </c>
      <c r="AR457" s="34">
        <f t="shared" si="235"/>
        <v>0.24558007158339024</v>
      </c>
      <c r="AS457" s="34">
        <f t="shared" si="223"/>
        <v>0.90837483294308186</v>
      </c>
      <c r="AT457" s="540">
        <f t="shared" si="224"/>
        <v>36.200000000000244</v>
      </c>
      <c r="AU457" s="16" t="e">
        <f t="shared" si="225"/>
        <v>#N/A</v>
      </c>
      <c r="AV457" s="16">
        <f t="shared" si="226"/>
        <v>1.4281090196223121E-2</v>
      </c>
      <c r="AW457" s="34">
        <f t="shared" si="236"/>
        <v>0.79242353327572346</v>
      </c>
      <c r="AX457" s="34">
        <f t="shared" si="227"/>
        <v>0.6342631671577692</v>
      </c>
      <c r="AY457" s="16">
        <f t="shared" si="228"/>
        <v>66.200000000000514</v>
      </c>
      <c r="AZ457" s="16" t="e">
        <f t="shared" si="229"/>
        <v>#N/A</v>
      </c>
      <c r="BA457" s="16">
        <f t="shared" si="237"/>
        <v>9.1133753375031643E-3</v>
      </c>
      <c r="BB457" s="34">
        <f t="shared" si="238"/>
        <v>0.90430105663836002</v>
      </c>
      <c r="BC457" s="34">
        <f t="shared" si="230"/>
        <v>0.32229733653366566</v>
      </c>
      <c r="BD457" s="16">
        <f t="shared" si="231"/>
        <v>76.099999999999952</v>
      </c>
      <c r="BE457" s="16" t="e">
        <f t="shared" si="232"/>
        <v>#N/A</v>
      </c>
      <c r="BF457" s="16">
        <f t="shared" si="233"/>
        <v>2.7436556721878642E-3</v>
      </c>
      <c r="BU457" s="16">
        <f t="shared" si="216"/>
        <v>0</v>
      </c>
      <c r="BV457" s="16">
        <f>IF($BY$12=1,NORMDIST(BY457,$Y$6,$Y$8,TRUE),IF($BY$12=2,IF(BY457&lt;=$BX$31,0,IF(BY457&gt;=$BX$32,1,(BY457-$BX$31)*$BX$33)),SUM($BU$42:BU457)/$BV$40))</f>
        <v>0.33541833737017535</v>
      </c>
      <c r="BW457" s="16">
        <f t="shared" si="217"/>
        <v>0.75632062957253676</v>
      </c>
      <c r="BX457" s="16">
        <f>IF($BY$12&lt;3,BV457,SUM($BZ$42:BZ457)/$BX$40)</f>
        <v>0.33541833737017535</v>
      </c>
      <c r="BY457" s="16">
        <f t="shared" si="207"/>
        <v>41.50000000000032</v>
      </c>
      <c r="BZ457" s="16">
        <f t="shared" si="208"/>
        <v>1.8224593483675444E-2</v>
      </c>
      <c r="CA457" s="16">
        <f t="shared" si="218"/>
        <v>-999</v>
      </c>
      <c r="CB457" s="16" t="str">
        <f t="shared" si="209"/>
        <v/>
      </c>
      <c r="CC457" s="16" t="e">
        <f>IF(CB457="",NA(),COUNTIF(CB457:$CB$704,CB457))</f>
        <v>#N/A</v>
      </c>
      <c r="CD457" s="16" t="e">
        <f t="shared" si="210"/>
        <v>#N/A</v>
      </c>
      <c r="CE457" s="16" t="e">
        <f t="shared" si="211"/>
        <v>#N/A</v>
      </c>
      <c r="CF457" s="16">
        <f t="shared" si="212"/>
        <v>99</v>
      </c>
      <c r="CG457" s="16">
        <f t="shared" si="213"/>
        <v>0</v>
      </c>
      <c r="CH457" s="16">
        <f t="shared" si="239"/>
        <v>0</v>
      </c>
      <c r="CJ457" s="16" t="e">
        <f t="shared" si="214"/>
        <v>#N/A</v>
      </c>
      <c r="CK457" s="16" t="str">
        <f t="shared" si="215"/>
        <v/>
      </c>
    </row>
    <row r="458" spans="1:89" ht="12" customHeight="1">
      <c r="A458" s="211"/>
      <c r="B458" s="211"/>
      <c r="C458" s="211"/>
      <c r="D458" s="211"/>
      <c r="E458" s="211"/>
      <c r="F458" s="211"/>
      <c r="G458" s="211"/>
      <c r="H458" s="211"/>
      <c r="I458" s="211"/>
      <c r="J458" s="211"/>
      <c r="K458" s="211"/>
      <c r="L458" s="211"/>
      <c r="M458" s="211"/>
      <c r="N458" s="211"/>
      <c r="O458" s="211"/>
      <c r="AM458" s="34">
        <f t="shared" si="234"/>
        <v>0.21307735331356525</v>
      </c>
      <c r="AN458" s="34">
        <f t="shared" si="219"/>
        <v>0.30314124561846256</v>
      </c>
      <c r="AO458" s="16">
        <f t="shared" si="220"/>
        <v>34.000000000000213</v>
      </c>
      <c r="AP458" s="16" t="e">
        <f t="shared" si="221"/>
        <v>#N/A</v>
      </c>
      <c r="AQ458" s="16">
        <f t="shared" si="222"/>
        <v>4.3908729074631598E-3</v>
      </c>
      <c r="AR458" s="34">
        <f t="shared" si="235"/>
        <v>0.13830364681780338</v>
      </c>
      <c r="AS458" s="34">
        <f t="shared" si="223"/>
        <v>0.26612544246017933</v>
      </c>
      <c r="AT458" s="540">
        <f t="shared" si="224"/>
        <v>28.200000000000131</v>
      </c>
      <c r="AU458" s="16" t="e">
        <f t="shared" si="225"/>
        <v>#N/A</v>
      </c>
      <c r="AV458" s="16">
        <f t="shared" si="226"/>
        <v>2.930716636785818E-3</v>
      </c>
      <c r="AW458" s="34">
        <f t="shared" si="236"/>
        <v>0.91699886508285999</v>
      </c>
      <c r="AX458" s="34">
        <f t="shared" si="227"/>
        <v>0.57181384600698948</v>
      </c>
      <c r="AY458" s="16">
        <f t="shared" si="228"/>
        <v>77.699999999999861</v>
      </c>
      <c r="AZ458" s="16" t="e">
        <f t="shared" si="229"/>
        <v>#N/A</v>
      </c>
      <c r="BA458" s="16">
        <f t="shared" si="237"/>
        <v>4.3711677260403212E-3</v>
      </c>
      <c r="BB458" s="34">
        <f t="shared" si="238"/>
        <v>0.55520203150808811</v>
      </c>
      <c r="BC458" s="34">
        <f t="shared" si="230"/>
        <v>0.53270729072391987</v>
      </c>
      <c r="BD458" s="16">
        <f t="shared" si="231"/>
        <v>52.700000000000479</v>
      </c>
      <c r="BE458" s="16" t="e">
        <f t="shared" si="232"/>
        <v>#N/A</v>
      </c>
      <c r="BF458" s="16">
        <f t="shared" si="233"/>
        <v>1.0529583728735553E-2</v>
      </c>
      <c r="BU458" s="16">
        <f t="shared" si="216"/>
        <v>0</v>
      </c>
      <c r="BV458" s="16">
        <f>IF($BY$12=1,NORMDIST(BY458,$Y$6,$Y$8,TRUE),IF($BY$12=2,IF(BY458&lt;=$BX$31,0,IF(BY458&gt;=$BX$32,1,(BY458-$BX$31)*$BX$33)),SUM($BU$42:BU458)/$BV$40))</f>
        <v>0.3372427268482554</v>
      </c>
      <c r="BW458" s="16">
        <f t="shared" si="217"/>
        <v>0.75974635905409083</v>
      </c>
      <c r="BX458" s="16">
        <f>IF($BY$12&lt;3,BV458,SUM($BZ$42:BZ458)/$BX$40)</f>
        <v>0.3372427268482554</v>
      </c>
      <c r="BY458" s="16">
        <f t="shared" si="207"/>
        <v>41.600000000000321</v>
      </c>
      <c r="BZ458" s="16">
        <f t="shared" si="208"/>
        <v>1.8263133631107813E-2</v>
      </c>
      <c r="CA458" s="16">
        <f t="shared" si="218"/>
        <v>-999</v>
      </c>
      <c r="CB458" s="16" t="str">
        <f t="shared" si="209"/>
        <v/>
      </c>
      <c r="CC458" s="16" t="e">
        <f>IF(CB458="",NA(),COUNTIF(CB458:$CB$704,CB458))</f>
        <v>#N/A</v>
      </c>
      <c r="CD458" s="16" t="e">
        <f t="shared" si="210"/>
        <v>#N/A</v>
      </c>
      <c r="CE458" s="16" t="e">
        <f t="shared" si="211"/>
        <v>#N/A</v>
      </c>
      <c r="CF458" s="16">
        <f t="shared" si="212"/>
        <v>99</v>
      </c>
      <c r="CG458" s="16">
        <f t="shared" si="213"/>
        <v>0</v>
      </c>
      <c r="CH458" s="16">
        <f t="shared" si="239"/>
        <v>0</v>
      </c>
      <c r="CJ458" s="16" t="e">
        <f t="shared" si="214"/>
        <v>#N/A</v>
      </c>
      <c r="CK458" s="16" t="str">
        <f t="shared" si="215"/>
        <v/>
      </c>
    </row>
    <row r="459" spans="1:89" ht="12" customHeight="1">
      <c r="A459" s="211"/>
      <c r="B459" s="211"/>
      <c r="C459" s="211"/>
      <c r="D459" s="211"/>
      <c r="E459" s="211"/>
      <c r="F459" s="211"/>
      <c r="G459" s="211"/>
      <c r="H459" s="211"/>
      <c r="I459" s="211"/>
      <c r="J459" s="211"/>
      <c r="K459" s="211"/>
      <c r="L459" s="211"/>
      <c r="M459" s="211"/>
      <c r="N459" s="211"/>
      <c r="O459" s="211"/>
      <c r="AM459" s="34">
        <f t="shared" si="234"/>
        <v>0.39702081866562366</v>
      </c>
      <c r="AN459" s="34">
        <f t="shared" si="219"/>
        <v>0.34792687930166721</v>
      </c>
      <c r="AO459" s="16">
        <f t="shared" si="220"/>
        <v>44.700000000000365</v>
      </c>
      <c r="AP459" s="16" t="e">
        <f t="shared" si="221"/>
        <v>#N/A</v>
      </c>
      <c r="AQ459" s="16">
        <f t="shared" si="222"/>
        <v>6.7006801353852955E-3</v>
      </c>
      <c r="AR459" s="34">
        <f t="shared" si="235"/>
        <v>0.88423254527151585</v>
      </c>
      <c r="AS459" s="34">
        <f t="shared" si="223"/>
        <v>0.94773824699223042</v>
      </c>
      <c r="AT459" s="540">
        <f t="shared" si="224"/>
        <v>73.900000000000077</v>
      </c>
      <c r="AU459" s="16" t="e">
        <f t="shared" si="225"/>
        <v>#N/A</v>
      </c>
      <c r="AV459" s="16">
        <f t="shared" si="226"/>
        <v>9.2571390830078915E-3</v>
      </c>
      <c r="AW459" s="34">
        <f t="shared" si="236"/>
        <v>0.89364989288151264</v>
      </c>
      <c r="AX459" s="34">
        <f t="shared" si="227"/>
        <v>0.54626373387873173</v>
      </c>
      <c r="AY459" s="16">
        <f t="shared" si="228"/>
        <v>74.90000000000002</v>
      </c>
      <c r="AZ459" s="16" t="e">
        <f t="shared" si="229"/>
        <v>#N/A</v>
      </c>
      <c r="BA459" s="16">
        <f t="shared" si="237"/>
        <v>5.0199430119960134E-3</v>
      </c>
      <c r="BB459" s="34">
        <f t="shared" si="238"/>
        <v>0.83243397809565067</v>
      </c>
      <c r="BC459" s="34">
        <f t="shared" si="230"/>
        <v>0.60259822197258472</v>
      </c>
      <c r="BD459" s="16">
        <f t="shared" si="231"/>
        <v>69.200000000000344</v>
      </c>
      <c r="BE459" s="16" t="e">
        <f t="shared" si="232"/>
        <v>#N/A</v>
      </c>
      <c r="BF459" s="16">
        <f t="shared" si="233"/>
        <v>7.5820216257592738E-3</v>
      </c>
      <c r="BU459" s="16">
        <f t="shared" si="216"/>
        <v>0</v>
      </c>
      <c r="BV459" s="16">
        <f>IF($BY$12=1,NORMDIST(BY459,$Y$6,$Y$8,TRUE),IF($BY$12=2,IF(BY459&lt;=$BX$31,0,IF(BY459&gt;=$BX$32,1,(BY459-$BX$31)*$BX$33)),SUM($BU$42:BU459)/$BV$40))</f>
        <v>0.33907095156183709</v>
      </c>
      <c r="BW459" s="16">
        <f t="shared" si="217"/>
        <v>0.76316411586205468</v>
      </c>
      <c r="BX459" s="16">
        <f>IF($BY$12&lt;3,BV459,SUM($BZ$42:BZ459)/$BX$40)</f>
        <v>0.33907095156183709</v>
      </c>
      <c r="BY459" s="16">
        <f t="shared" si="207"/>
        <v>41.700000000000323</v>
      </c>
      <c r="BZ459" s="16">
        <f t="shared" si="208"/>
        <v>1.8301297742495174E-2</v>
      </c>
      <c r="CA459" s="16">
        <f t="shared" si="218"/>
        <v>-999</v>
      </c>
      <c r="CB459" s="16" t="str">
        <f t="shared" si="209"/>
        <v/>
      </c>
      <c r="CC459" s="16" t="e">
        <f>IF(CB459="",NA(),COUNTIF(CB459:$CB$704,CB459))</f>
        <v>#N/A</v>
      </c>
      <c r="CD459" s="16" t="e">
        <f t="shared" si="210"/>
        <v>#N/A</v>
      </c>
      <c r="CE459" s="16" t="e">
        <f t="shared" si="211"/>
        <v>#N/A</v>
      </c>
      <c r="CF459" s="16">
        <f t="shared" si="212"/>
        <v>99</v>
      </c>
      <c r="CG459" s="16">
        <f t="shared" si="213"/>
        <v>0</v>
      </c>
      <c r="CH459" s="16">
        <f t="shared" si="239"/>
        <v>0</v>
      </c>
      <c r="CJ459" s="16" t="e">
        <f t="shared" si="214"/>
        <v>#N/A</v>
      </c>
      <c r="CK459" s="16" t="str">
        <f t="shared" si="215"/>
        <v/>
      </c>
    </row>
    <row r="460" spans="1:89" ht="12" customHeight="1">
      <c r="A460" s="211"/>
      <c r="B460" s="211"/>
      <c r="C460" s="211"/>
      <c r="D460" s="211"/>
      <c r="E460" s="211"/>
      <c r="F460" s="211"/>
      <c r="G460" s="211"/>
      <c r="H460" s="211"/>
      <c r="I460" s="211"/>
      <c r="J460" s="211"/>
      <c r="K460" s="211"/>
      <c r="L460" s="211"/>
      <c r="M460" s="211"/>
      <c r="N460" s="211"/>
      <c r="O460" s="211"/>
      <c r="AM460" s="34">
        <f t="shared" si="234"/>
        <v>0.31606610305607319</v>
      </c>
      <c r="AN460" s="34">
        <f t="shared" si="219"/>
        <v>0.13942007161676884</v>
      </c>
      <c r="AO460" s="16">
        <f t="shared" si="220"/>
        <v>40.400000000000304</v>
      </c>
      <c r="AP460" s="16" t="e">
        <f t="shared" si="221"/>
        <v>#N/A</v>
      </c>
      <c r="AQ460" s="16">
        <f t="shared" si="222"/>
        <v>2.4784185293198692E-3</v>
      </c>
      <c r="AR460" s="34">
        <f t="shared" si="235"/>
        <v>0.79051951505243778</v>
      </c>
      <c r="AS460" s="34">
        <f t="shared" si="223"/>
        <v>0.42727807350456715</v>
      </c>
      <c r="AT460" s="540">
        <f t="shared" si="224"/>
        <v>66.10000000000052</v>
      </c>
      <c r="AU460" s="16" t="e">
        <f t="shared" si="225"/>
        <v>#N/A</v>
      </c>
      <c r="AV460" s="16">
        <f t="shared" si="226"/>
        <v>6.1641590521289043E-3</v>
      </c>
      <c r="AW460" s="34">
        <f t="shared" si="236"/>
        <v>0.44021585769951344</v>
      </c>
      <c r="AX460" s="34">
        <f t="shared" si="227"/>
        <v>0.29980128444731236</v>
      </c>
      <c r="AY460" s="16">
        <f t="shared" si="228"/>
        <v>46.900000000000396</v>
      </c>
      <c r="AZ460" s="16" t="e">
        <f t="shared" si="229"/>
        <v>#N/A</v>
      </c>
      <c r="BA460" s="16">
        <f t="shared" si="237"/>
        <v>5.9087633545146373E-3</v>
      </c>
      <c r="BB460" s="34">
        <f t="shared" si="238"/>
        <v>5.3502732887864113E-2</v>
      </c>
      <c r="BC460" s="34">
        <f t="shared" si="230"/>
        <v>2.4414168670773506E-2</v>
      </c>
      <c r="BD460" s="16">
        <f t="shared" si="231"/>
        <v>17.699999999999982</v>
      </c>
      <c r="BE460" s="16" t="e">
        <f t="shared" si="232"/>
        <v>#N/A</v>
      </c>
      <c r="BF460" s="16">
        <f t="shared" si="233"/>
        <v>1.3217616540510155E-4</v>
      </c>
      <c r="BU460" s="16">
        <f t="shared" si="216"/>
        <v>0</v>
      </c>
      <c r="BV460" s="16">
        <f>IF($BY$12=1,NORMDIST(BY460,$Y$6,$Y$8,TRUE),IF($BY$12=2,IF(BY460&lt;=$BX$31,0,IF(BY460&gt;=$BX$32,1,(BY460-$BX$31)*$BX$33)),SUM($BU$42:BU460)/$BV$40))</f>
        <v>0.34090297377232859</v>
      </c>
      <c r="BW460" s="16">
        <f t="shared" si="217"/>
        <v>0.76657367449404346</v>
      </c>
      <c r="BX460" s="16">
        <f>IF($BY$12&lt;3,BV460,SUM($BZ$42:BZ460)/$BX$40)</f>
        <v>0.34090297377232859</v>
      </c>
      <c r="BY460" s="16">
        <f t="shared" si="207"/>
        <v>41.800000000000324</v>
      </c>
      <c r="BZ460" s="16">
        <f t="shared" si="208"/>
        <v>1.8339083121866925E-2</v>
      </c>
      <c r="CA460" s="16">
        <f t="shared" si="218"/>
        <v>-999</v>
      </c>
      <c r="CB460" s="16" t="str">
        <f t="shared" si="209"/>
        <v/>
      </c>
      <c r="CC460" s="16" t="e">
        <f>IF(CB460="",NA(),COUNTIF(CB460:$CB$704,CB460))</f>
        <v>#N/A</v>
      </c>
      <c r="CD460" s="16" t="e">
        <f t="shared" si="210"/>
        <v>#N/A</v>
      </c>
      <c r="CE460" s="16" t="e">
        <f t="shared" si="211"/>
        <v>#N/A</v>
      </c>
      <c r="CF460" s="16">
        <f t="shared" si="212"/>
        <v>99</v>
      </c>
      <c r="CG460" s="16">
        <f t="shared" si="213"/>
        <v>0</v>
      </c>
      <c r="CH460" s="16">
        <f t="shared" si="239"/>
        <v>0</v>
      </c>
      <c r="CJ460" s="16" t="e">
        <f t="shared" si="214"/>
        <v>#N/A</v>
      </c>
      <c r="CK460" s="16" t="str">
        <f t="shared" si="215"/>
        <v/>
      </c>
    </row>
    <row r="461" spans="1:89" ht="12" customHeight="1">
      <c r="A461" s="211"/>
      <c r="B461" s="211"/>
      <c r="C461" s="211"/>
      <c r="D461" s="211"/>
      <c r="E461" s="211"/>
      <c r="F461" s="211"/>
      <c r="G461" s="211"/>
      <c r="H461" s="211"/>
      <c r="I461" s="211"/>
      <c r="J461" s="211"/>
      <c r="K461" s="211"/>
      <c r="L461" s="211"/>
      <c r="M461" s="211"/>
      <c r="N461" s="211"/>
      <c r="O461" s="211"/>
      <c r="AM461" s="34">
        <f t="shared" si="234"/>
        <v>0.52862861938774586</v>
      </c>
      <c r="AN461" s="34">
        <f t="shared" si="219"/>
        <v>6.6049510613083839E-2</v>
      </c>
      <c r="AO461" s="16">
        <f t="shared" si="220"/>
        <v>51.40000000000046</v>
      </c>
      <c r="AP461" s="16" t="e">
        <f t="shared" si="221"/>
        <v>#N/A</v>
      </c>
      <c r="AQ461" s="16">
        <f t="shared" si="222"/>
        <v>1.3142732021381412E-3</v>
      </c>
      <c r="AR461" s="34">
        <f t="shared" si="235"/>
        <v>0.2896606270223856</v>
      </c>
      <c r="AS461" s="34">
        <f t="shared" si="223"/>
        <v>3.5812007263302803E-2</v>
      </c>
      <c r="AT461" s="540">
        <f t="shared" si="224"/>
        <v>38.900000000000283</v>
      </c>
      <c r="AU461" s="16" t="e">
        <f t="shared" si="225"/>
        <v>#N/A</v>
      </c>
      <c r="AV461" s="16">
        <f t="shared" si="226"/>
        <v>6.1238134904762918E-4</v>
      </c>
      <c r="AW461" s="34">
        <f t="shared" si="236"/>
        <v>0.74188982136547565</v>
      </c>
      <c r="AX461" s="34">
        <f t="shared" si="227"/>
        <v>0.85822243429720402</v>
      </c>
      <c r="AY461" s="16">
        <f t="shared" si="228"/>
        <v>62.900000000000624</v>
      </c>
      <c r="AZ461" s="16" t="e">
        <f t="shared" si="229"/>
        <v>#N/A</v>
      </c>
      <c r="BA461" s="16">
        <f t="shared" si="237"/>
        <v>1.3904047802591336E-2</v>
      </c>
      <c r="BB461" s="34">
        <f t="shared" si="238"/>
        <v>4.091927781701088E-3</v>
      </c>
      <c r="BC461" s="34">
        <f t="shared" si="230"/>
        <v>0.33101207204163074</v>
      </c>
      <c r="BD461" s="16" t="e">
        <f t="shared" si="231"/>
        <v>#N/A</v>
      </c>
      <c r="BE461" s="16" t="e">
        <f t="shared" si="232"/>
        <v>#N/A</v>
      </c>
      <c r="BF461" s="16" t="e">
        <f t="shared" si="233"/>
        <v>#N/A</v>
      </c>
      <c r="BU461" s="16">
        <f t="shared" si="216"/>
        <v>0</v>
      </c>
      <c r="BV461" s="16">
        <f>IF($BY$12=1,NORMDIST(BY461,$Y$6,$Y$8,TRUE),IF($BY$12=2,IF(BY461&lt;=$BX$31,0,IF(BY461&gt;=$BX$32,1,(BY461-$BX$31)*$BX$33)),SUM($BU$42:BU461)/$BV$40))</f>
        <v>0.34273875547267973</v>
      </c>
      <c r="BW461" s="16">
        <f t="shared" si="217"/>
        <v>0.76997480932603213</v>
      </c>
      <c r="BX461" s="16">
        <f>IF($BY$12&lt;3,BV461,SUM($BZ$42:BZ461)/$BX$40)</f>
        <v>0.34273875547267973</v>
      </c>
      <c r="BY461" s="16">
        <f t="shared" si="207"/>
        <v>41.900000000000325</v>
      </c>
      <c r="BZ461" s="16">
        <f t="shared" si="208"/>
        <v>1.8376487096086542E-2</v>
      </c>
      <c r="CA461" s="16">
        <f t="shared" si="218"/>
        <v>-999</v>
      </c>
      <c r="CB461" s="16" t="str">
        <f t="shared" si="209"/>
        <v/>
      </c>
      <c r="CC461" s="16" t="e">
        <f>IF(CB461="",NA(),COUNTIF(CB461:$CB$704,CB461))</f>
        <v>#N/A</v>
      </c>
      <c r="CD461" s="16" t="e">
        <f t="shared" si="210"/>
        <v>#N/A</v>
      </c>
      <c r="CE461" s="16" t="e">
        <f t="shared" si="211"/>
        <v>#N/A</v>
      </c>
      <c r="CF461" s="16">
        <f t="shared" si="212"/>
        <v>99</v>
      </c>
      <c r="CG461" s="16">
        <f t="shared" si="213"/>
        <v>0</v>
      </c>
      <c r="CH461" s="16">
        <f t="shared" si="239"/>
        <v>0</v>
      </c>
      <c r="CJ461" s="16" t="e">
        <f t="shared" si="214"/>
        <v>#N/A</v>
      </c>
      <c r="CK461" s="16" t="str">
        <f t="shared" si="215"/>
        <v/>
      </c>
    </row>
    <row r="462" spans="1:89" ht="12" customHeight="1">
      <c r="A462" s="211"/>
      <c r="B462" s="211"/>
      <c r="C462" s="211"/>
      <c r="D462" s="211"/>
      <c r="E462" s="211"/>
      <c r="F462" s="211"/>
      <c r="G462" s="211"/>
      <c r="H462" s="211"/>
      <c r="I462" s="211"/>
      <c r="J462" s="211"/>
      <c r="K462" s="211"/>
      <c r="L462" s="211"/>
      <c r="M462" s="211"/>
      <c r="N462" s="211"/>
      <c r="O462" s="211"/>
      <c r="AM462" s="34">
        <f t="shared" si="234"/>
        <v>0.96477447636425495</v>
      </c>
      <c r="AN462" s="34">
        <f t="shared" si="219"/>
        <v>0.30571074225008488</v>
      </c>
      <c r="AO462" s="16">
        <f t="shared" si="220"/>
        <v>86.099999999999383</v>
      </c>
      <c r="AP462" s="16" t="e">
        <f t="shared" si="221"/>
        <v>#N/A</v>
      </c>
      <c r="AQ462" s="16">
        <f t="shared" si="222"/>
        <v>1.1959681938023233E-3</v>
      </c>
      <c r="AR462" s="34">
        <f t="shared" si="235"/>
        <v>0.53818912245333195</v>
      </c>
      <c r="AS462" s="34">
        <f t="shared" si="223"/>
        <v>0.22099191136658192</v>
      </c>
      <c r="AT462" s="540">
        <f t="shared" si="224"/>
        <v>51.900000000000468</v>
      </c>
      <c r="AU462" s="16" t="e">
        <f t="shared" si="225"/>
        <v>#N/A</v>
      </c>
      <c r="AV462" s="16">
        <f t="shared" si="226"/>
        <v>4.388303886214257E-3</v>
      </c>
      <c r="AW462" s="34">
        <f t="shared" si="236"/>
        <v>0.49986368604004383</v>
      </c>
      <c r="AX462" s="34">
        <f t="shared" si="227"/>
        <v>0.35862835682928562</v>
      </c>
      <c r="AY462" s="16">
        <f t="shared" si="228"/>
        <v>49.900000000000439</v>
      </c>
      <c r="AZ462" s="16" t="e">
        <f t="shared" si="229"/>
        <v>#N/A</v>
      </c>
      <c r="BA462" s="16">
        <f t="shared" si="237"/>
        <v>7.1535113050545125E-3</v>
      </c>
      <c r="BB462" s="34">
        <f t="shared" si="238"/>
        <v>2.3573243990540504E-2</v>
      </c>
      <c r="BC462" s="34">
        <f t="shared" si="230"/>
        <v>0.74635757692158222</v>
      </c>
      <c r="BD462" s="16">
        <f t="shared" si="231"/>
        <v>10.299999999999979</v>
      </c>
      <c r="BE462" s="16" t="e">
        <f t="shared" si="232"/>
        <v>#N/A</v>
      </c>
      <c r="BF462" s="16">
        <f t="shared" si="233"/>
        <v>2.0759554473045731E-3</v>
      </c>
      <c r="BU462" s="16">
        <f t="shared" si="216"/>
        <v>0</v>
      </c>
      <c r="BV462" s="16">
        <f>IF($BY$12=1,NORMDIST(BY462,$Y$6,$Y$8,TRUE),IF($BY$12=2,IF(BY462&lt;=$BX$31,0,IF(BY462&gt;=$BX$32,1,(BY462-$BX$31)*$BX$33)),SUM($BU$42:BU462)/$BV$40))</f>
        <v>0.34457825838968181</v>
      </c>
      <c r="BW462" s="16">
        <f t="shared" si="217"/>
        <v>0.77336729463698994</v>
      </c>
      <c r="BX462" s="16">
        <f>IF($BY$12&lt;3,BV462,SUM($BZ$42:BZ462)/$BX$40)</f>
        <v>0.34457825838968181</v>
      </c>
      <c r="BY462" s="16">
        <f t="shared" si="207"/>
        <v>42.000000000000327</v>
      </c>
      <c r="BZ462" s="16">
        <f t="shared" si="208"/>
        <v>1.8413507015166284E-2</v>
      </c>
      <c r="CA462" s="16">
        <f t="shared" si="218"/>
        <v>-999</v>
      </c>
      <c r="CB462" s="16" t="str">
        <f t="shared" si="209"/>
        <v/>
      </c>
      <c r="CC462" s="16" t="e">
        <f>IF(CB462="",NA(),COUNTIF(CB462:$CB$704,CB462))</f>
        <v>#N/A</v>
      </c>
      <c r="CD462" s="16" t="e">
        <f t="shared" si="210"/>
        <v>#N/A</v>
      </c>
      <c r="CE462" s="16" t="e">
        <f t="shared" si="211"/>
        <v>#N/A</v>
      </c>
      <c r="CF462" s="16">
        <f t="shared" si="212"/>
        <v>99</v>
      </c>
      <c r="CG462" s="16">
        <f t="shared" si="213"/>
        <v>0</v>
      </c>
      <c r="CH462" s="16">
        <f t="shared" si="239"/>
        <v>0</v>
      </c>
      <c r="CJ462" s="16" t="e">
        <f t="shared" si="214"/>
        <v>#N/A</v>
      </c>
      <c r="CK462" s="16" t="str">
        <f t="shared" si="215"/>
        <v/>
      </c>
    </row>
    <row r="463" spans="1:89" ht="12" customHeight="1">
      <c r="A463" s="211"/>
      <c r="B463" s="211"/>
      <c r="C463" s="211"/>
      <c r="D463" s="211"/>
      <c r="E463" s="211"/>
      <c r="F463" s="211"/>
      <c r="G463" s="211"/>
      <c r="H463" s="211"/>
      <c r="I463" s="211"/>
      <c r="J463" s="211"/>
      <c r="K463" s="211"/>
      <c r="L463" s="211"/>
      <c r="M463" s="211"/>
      <c r="N463" s="211"/>
      <c r="O463" s="211"/>
      <c r="AM463" s="34">
        <f t="shared" si="234"/>
        <v>0.396740498021245</v>
      </c>
      <c r="AN463" s="34">
        <f t="shared" si="219"/>
        <v>0.13783892430365086</v>
      </c>
      <c r="AO463" s="16">
        <f t="shared" si="220"/>
        <v>44.700000000000365</v>
      </c>
      <c r="AP463" s="16" t="e">
        <f t="shared" si="221"/>
        <v>#N/A</v>
      </c>
      <c r="AQ463" s="16">
        <f t="shared" si="222"/>
        <v>2.6546225569526582E-3</v>
      </c>
      <c r="AR463" s="34">
        <f t="shared" si="235"/>
        <v>0.98656066693365574</v>
      </c>
      <c r="AS463" s="34">
        <f t="shared" si="223"/>
        <v>0.49462522752583027</v>
      </c>
      <c r="AT463" s="540">
        <f t="shared" si="224"/>
        <v>94.199999999998923</v>
      </c>
      <c r="AU463" s="16" t="e">
        <f t="shared" si="225"/>
        <v>#N/A</v>
      </c>
      <c r="AV463" s="16">
        <f t="shared" si="226"/>
        <v>8.5819799127220407E-4</v>
      </c>
      <c r="AW463" s="34">
        <f t="shared" si="236"/>
        <v>0.23046149499714375</v>
      </c>
      <c r="AX463" s="34">
        <f t="shared" si="227"/>
        <v>0.94597087241709232</v>
      </c>
      <c r="AY463" s="16">
        <f t="shared" si="228"/>
        <v>35.20000000000023</v>
      </c>
      <c r="AZ463" s="16" t="e">
        <f t="shared" si="229"/>
        <v>#N/A</v>
      </c>
      <c r="BA463" s="16">
        <f t="shared" si="237"/>
        <v>1.4349871271847319E-2</v>
      </c>
      <c r="BB463" s="34">
        <f t="shared" si="238"/>
        <v>0.47186432220041752</v>
      </c>
      <c r="BC463" s="34">
        <f t="shared" si="230"/>
        <v>0.35624036379158497</v>
      </c>
      <c r="BD463" s="16">
        <f t="shared" si="231"/>
        <v>48.500000000000419</v>
      </c>
      <c r="BE463" s="16" t="e">
        <f t="shared" si="232"/>
        <v>#N/A</v>
      </c>
      <c r="BF463" s="16">
        <f t="shared" si="233"/>
        <v>7.086009700804482E-3</v>
      </c>
      <c r="BU463" s="16">
        <f t="shared" si="216"/>
        <v>0</v>
      </c>
      <c r="BV463" s="16">
        <f>IF($BY$12=1,NORMDIST(BY463,$Y$6,$Y$8,TRUE),IF($BY$12=2,IF(BY463&lt;=$BX$31,0,IF(BY463&gt;=$BX$32,1,(BY463-$BX$31)*$BX$33)),SUM($BU$42:BU463)/$BV$40))</f>
        <v>0.34642144398629782</v>
      </c>
      <c r="BW463" s="16">
        <f t="shared" si="217"/>
        <v>0.77675090463361085</v>
      </c>
      <c r="BX463" s="16">
        <f>IF($BY$12&lt;3,BV463,SUM($BZ$42:BZ463)/$BX$40)</f>
        <v>0.34642144398629782</v>
      </c>
      <c r="BY463" s="16">
        <f t="shared" si="207"/>
        <v>42.100000000000328</v>
      </c>
      <c r="BZ463" s="16">
        <f t="shared" si="208"/>
        <v>1.8450140252579687E-2</v>
      </c>
      <c r="CA463" s="16">
        <f t="shared" si="218"/>
        <v>-999</v>
      </c>
      <c r="CB463" s="16" t="str">
        <f t="shared" si="209"/>
        <v/>
      </c>
      <c r="CC463" s="16" t="e">
        <f>IF(CB463="",NA(),COUNTIF(CB463:$CB$704,CB463))</f>
        <v>#N/A</v>
      </c>
      <c r="CD463" s="16" t="e">
        <f t="shared" si="210"/>
        <v>#N/A</v>
      </c>
      <c r="CE463" s="16" t="e">
        <f t="shared" si="211"/>
        <v>#N/A</v>
      </c>
      <c r="CF463" s="16">
        <f t="shared" si="212"/>
        <v>99</v>
      </c>
      <c r="CG463" s="16">
        <f t="shared" si="213"/>
        <v>0</v>
      </c>
      <c r="CH463" s="16">
        <f t="shared" si="239"/>
        <v>0</v>
      </c>
      <c r="CJ463" s="16" t="e">
        <f t="shared" si="214"/>
        <v>#N/A</v>
      </c>
      <c r="CK463" s="16" t="str">
        <f t="shared" si="215"/>
        <v/>
      </c>
    </row>
    <row r="464" spans="1:89" ht="12" customHeight="1">
      <c r="A464" s="211"/>
      <c r="B464" s="211"/>
      <c r="C464" s="211"/>
      <c r="D464" s="211"/>
      <c r="E464" s="211"/>
      <c r="F464" s="211"/>
      <c r="G464" s="211"/>
      <c r="H464" s="211"/>
      <c r="I464" s="211"/>
      <c r="J464" s="211"/>
      <c r="K464" s="211"/>
      <c r="L464" s="211"/>
      <c r="M464" s="211"/>
      <c r="N464" s="211"/>
      <c r="O464" s="211"/>
      <c r="AM464" s="34">
        <f t="shared" si="234"/>
        <v>3.4942524507641792E-2</v>
      </c>
      <c r="AN464" s="34">
        <f t="shared" si="219"/>
        <v>0.69932923652231693</v>
      </c>
      <c r="AO464" s="16">
        <f t="shared" si="220"/>
        <v>13.699999999999967</v>
      </c>
      <c r="AP464" s="16" t="e">
        <f t="shared" si="221"/>
        <v>#N/A</v>
      </c>
      <c r="AQ464" s="16">
        <f t="shared" si="222"/>
        <v>2.6867662565170248E-3</v>
      </c>
      <c r="AR464" s="34">
        <f t="shared" si="235"/>
        <v>0.70538626052439213</v>
      </c>
      <c r="AS464" s="34">
        <f t="shared" si="223"/>
        <v>0.77526530809700489</v>
      </c>
      <c r="AT464" s="540">
        <f t="shared" si="224"/>
        <v>60.700000000000593</v>
      </c>
      <c r="AU464" s="16" t="e">
        <f t="shared" si="225"/>
        <v>#N/A</v>
      </c>
      <c r="AV464" s="16">
        <f t="shared" si="226"/>
        <v>1.3402241874636888E-2</v>
      </c>
      <c r="AW464" s="34">
        <f t="shared" si="236"/>
        <v>2.179226465523243E-2</v>
      </c>
      <c r="AX464" s="34">
        <f t="shared" si="227"/>
        <v>0.92985176481306553</v>
      </c>
      <c r="AY464" s="16">
        <f t="shared" si="228"/>
        <v>9.5999999999999819</v>
      </c>
      <c r="AZ464" s="16" t="e">
        <f t="shared" si="229"/>
        <v>#N/A</v>
      </c>
      <c r="BA464" s="16" t="e">
        <f t="shared" si="237"/>
        <v>#N/A</v>
      </c>
      <c r="BB464" s="34">
        <f t="shared" si="238"/>
        <v>0.26904057897627354</v>
      </c>
      <c r="BC464" s="34">
        <f t="shared" si="230"/>
        <v>0.28729026205837727</v>
      </c>
      <c r="BD464" s="16">
        <f t="shared" si="231"/>
        <v>37.600000000000264</v>
      </c>
      <c r="BE464" s="16" t="e">
        <f t="shared" si="232"/>
        <v>#N/A</v>
      </c>
      <c r="BF464" s="16">
        <f t="shared" si="233"/>
        <v>4.7285673177624183E-3</v>
      </c>
      <c r="BU464" s="16">
        <f t="shared" si="216"/>
        <v>0</v>
      </c>
      <c r="BV464" s="16">
        <f>IF($BY$12=1,NORMDIST(BY464,$Y$6,$Y$8,TRUE),IF($BY$12=2,IF(BY464&lt;=$BX$31,0,IF(BY464&gt;=$BX$32,1,(BY464-$BX$31)*$BX$33)),SUM($BU$42:BU464)/$BV$40))</f>
        <v>0.34826827346402367</v>
      </c>
      <c r="BW464" s="16">
        <f t="shared" si="217"/>
        <v>0.7801254134751332</v>
      </c>
      <c r="BX464" s="16">
        <f>IF($BY$12&lt;3,BV464,SUM($BZ$42:BZ464)/$BX$40)</f>
        <v>0.34826827346402367</v>
      </c>
      <c r="BY464" s="16">
        <f t="shared" si="207"/>
        <v>42.20000000000033</v>
      </c>
      <c r="BZ464" s="16">
        <f t="shared" si="208"/>
        <v>1.8486384205571731E-2</v>
      </c>
      <c r="CA464" s="16">
        <f t="shared" si="218"/>
        <v>-999</v>
      </c>
      <c r="CB464" s="16" t="str">
        <f t="shared" si="209"/>
        <v/>
      </c>
      <c r="CC464" s="16" t="e">
        <f>IF(CB464="",NA(),COUNTIF(CB464:$CB$704,CB464))</f>
        <v>#N/A</v>
      </c>
      <c r="CD464" s="16" t="e">
        <f t="shared" si="210"/>
        <v>#N/A</v>
      </c>
      <c r="CE464" s="16" t="e">
        <f t="shared" si="211"/>
        <v>#N/A</v>
      </c>
      <c r="CF464" s="16">
        <f t="shared" si="212"/>
        <v>99</v>
      </c>
      <c r="CG464" s="16">
        <f t="shared" si="213"/>
        <v>0</v>
      </c>
      <c r="CH464" s="16">
        <f t="shared" si="239"/>
        <v>0</v>
      </c>
      <c r="CJ464" s="16" t="e">
        <f t="shared" si="214"/>
        <v>#N/A</v>
      </c>
      <c r="CK464" s="16" t="str">
        <f t="shared" si="215"/>
        <v/>
      </c>
    </row>
    <row r="465" spans="1:89" ht="12" customHeight="1">
      <c r="A465" s="211"/>
      <c r="B465" s="211"/>
      <c r="C465" s="211"/>
      <c r="D465" s="211"/>
      <c r="E465" s="211"/>
      <c r="F465" s="211"/>
      <c r="G465" s="211"/>
      <c r="H465" s="211"/>
      <c r="I465" s="211"/>
      <c r="J465" s="211"/>
      <c r="K465" s="211"/>
      <c r="L465" s="211"/>
      <c r="M465" s="211"/>
      <c r="N465" s="211"/>
      <c r="O465" s="211"/>
      <c r="AM465" s="34">
        <f t="shared" si="234"/>
        <v>0.45650324411690235</v>
      </c>
      <c r="AN465" s="34">
        <f t="shared" si="219"/>
        <v>0.37571119703352451</v>
      </c>
      <c r="AO465" s="16">
        <f t="shared" si="220"/>
        <v>47.800000000000409</v>
      </c>
      <c r="AP465" s="16" t="e">
        <f t="shared" si="221"/>
        <v>#N/A</v>
      </c>
      <c r="AQ465" s="16">
        <f t="shared" si="222"/>
        <v>7.4491501234934983E-3</v>
      </c>
      <c r="AR465" s="34">
        <f t="shared" si="235"/>
        <v>0.15941905416548252</v>
      </c>
      <c r="AS465" s="34">
        <f t="shared" si="223"/>
        <v>0.61410252936184406</v>
      </c>
      <c r="AT465" s="540">
        <f t="shared" si="224"/>
        <v>30.000000000000156</v>
      </c>
      <c r="AU465" s="16" t="e">
        <f t="shared" si="225"/>
        <v>#N/A</v>
      </c>
      <c r="AV465" s="16">
        <f t="shared" si="226"/>
        <v>7.4297416979362532E-3</v>
      </c>
      <c r="AW465" s="34">
        <f t="shared" si="236"/>
        <v>0.73620359785854816</v>
      </c>
      <c r="AX465" s="34">
        <f t="shared" si="227"/>
        <v>0.54923225380480289</v>
      </c>
      <c r="AY465" s="16">
        <f t="shared" si="228"/>
        <v>62.60000000000062</v>
      </c>
      <c r="AZ465" s="16" t="e">
        <f t="shared" si="229"/>
        <v>#N/A</v>
      </c>
      <c r="BA465" s="16">
        <f t="shared" si="237"/>
        <v>8.9835991130336745E-3</v>
      </c>
      <c r="BB465" s="34">
        <f t="shared" si="238"/>
        <v>0.35535717941820621</v>
      </c>
      <c r="BC465" s="34">
        <f t="shared" si="230"/>
        <v>0.41382539458572865</v>
      </c>
      <c r="BD465" s="16">
        <f t="shared" si="231"/>
        <v>42.500000000000334</v>
      </c>
      <c r="BE465" s="16" t="e">
        <f t="shared" si="232"/>
        <v>#N/A</v>
      </c>
      <c r="BF465" s="16">
        <f t="shared" si="233"/>
        <v>7.694154047468562E-3</v>
      </c>
      <c r="BU465" s="16">
        <f t="shared" si="216"/>
        <v>0</v>
      </c>
      <c r="BV465" s="16">
        <f>IF($BY$12=1,NORMDIST(BY465,$Y$6,$Y$8,TRUE),IF($BY$12=2,IF(BY465&lt;=$BX$31,0,IF(BY465&gt;=$BX$32,1,(BY465-$BX$31)*$BX$33)),SUM($BU$42:BU465)/$BV$40))</f>
        <v>0.35011870776528187</v>
      </c>
      <c r="BW465" s="16">
        <f t="shared" si="217"/>
        <v>0.78349059529824605</v>
      </c>
      <c r="BX465" s="16">
        <f>IF($BY$12&lt;3,BV465,SUM($BZ$42:BZ465)/$BX$40)</f>
        <v>0.35011870776528187</v>
      </c>
      <c r="BY465" s="16">
        <f t="shared" si="207"/>
        <v>42.300000000000331</v>
      </c>
      <c r="BZ465" s="16">
        <f t="shared" si="208"/>
        <v>1.8522236295466666E-2</v>
      </c>
      <c r="CA465" s="16">
        <f t="shared" si="218"/>
        <v>-999</v>
      </c>
      <c r="CB465" s="16" t="str">
        <f t="shared" si="209"/>
        <v/>
      </c>
      <c r="CC465" s="16" t="e">
        <f>IF(CB465="",NA(),COUNTIF(CB465:$CB$704,CB465))</f>
        <v>#N/A</v>
      </c>
      <c r="CD465" s="16" t="e">
        <f t="shared" si="210"/>
        <v>#N/A</v>
      </c>
      <c r="CE465" s="16" t="e">
        <f t="shared" si="211"/>
        <v>#N/A</v>
      </c>
      <c r="CF465" s="16">
        <f t="shared" si="212"/>
        <v>99</v>
      </c>
      <c r="CG465" s="16">
        <f t="shared" si="213"/>
        <v>0</v>
      </c>
      <c r="CH465" s="16">
        <f t="shared" si="239"/>
        <v>0</v>
      </c>
      <c r="CJ465" s="16" t="e">
        <f t="shared" si="214"/>
        <v>#N/A</v>
      </c>
      <c r="CK465" s="16" t="str">
        <f t="shared" si="215"/>
        <v/>
      </c>
    </row>
    <row r="466" spans="1:89" ht="12" customHeight="1">
      <c r="A466" s="211"/>
      <c r="B466" s="211"/>
      <c r="C466" s="211"/>
      <c r="D466" s="211"/>
      <c r="E466" s="211"/>
      <c r="F466" s="211"/>
      <c r="G466" s="211"/>
      <c r="H466" s="211"/>
      <c r="I466" s="211"/>
      <c r="J466" s="211"/>
      <c r="K466" s="211"/>
      <c r="L466" s="211"/>
      <c r="M466" s="211"/>
      <c r="N466" s="211"/>
      <c r="O466" s="211"/>
      <c r="AM466" s="34">
        <f t="shared" si="234"/>
        <v>0.85458080656826496</v>
      </c>
      <c r="AN466" s="34">
        <f t="shared" si="219"/>
        <v>0.17523313499987125</v>
      </c>
      <c r="AO466" s="16">
        <f t="shared" si="220"/>
        <v>71.100000000000236</v>
      </c>
      <c r="AP466" s="16" t="e">
        <f t="shared" si="221"/>
        <v>#N/A</v>
      </c>
      <c r="AQ466" s="16">
        <f t="shared" si="222"/>
        <v>2.0035767945828045E-3</v>
      </c>
      <c r="AR466" s="34">
        <f t="shared" si="235"/>
        <v>0.27695132233202457</v>
      </c>
      <c r="AS466" s="34">
        <f t="shared" si="223"/>
        <v>0.82368743605911732</v>
      </c>
      <c r="AT466" s="540">
        <f t="shared" si="224"/>
        <v>38.100000000000271</v>
      </c>
      <c r="AU466" s="16" t="e">
        <f t="shared" si="225"/>
        <v>#N/A</v>
      </c>
      <c r="AV466" s="16">
        <f t="shared" si="226"/>
        <v>1.3764706635507634E-2</v>
      </c>
      <c r="AW466" s="34">
        <f t="shared" si="236"/>
        <v>0.67806732840836048</v>
      </c>
      <c r="AX466" s="34">
        <f t="shared" si="227"/>
        <v>9.8958874121308327E-2</v>
      </c>
      <c r="AY466" s="16">
        <f t="shared" si="228"/>
        <v>59.200000000000571</v>
      </c>
      <c r="AZ466" s="16" t="e">
        <f t="shared" si="229"/>
        <v>#N/A</v>
      </c>
      <c r="BA466" s="16">
        <f t="shared" si="237"/>
        <v>1.7757689566873891E-3</v>
      </c>
      <c r="BB466" s="34">
        <f t="shared" si="238"/>
        <v>0.32558741606771946</v>
      </c>
      <c r="BC466" s="34">
        <f t="shared" si="230"/>
        <v>0.39331360347568989</v>
      </c>
      <c r="BD466" s="16">
        <f t="shared" si="231"/>
        <v>40.900000000000311</v>
      </c>
      <c r="BE466" s="16" t="e">
        <f t="shared" si="232"/>
        <v>#N/A</v>
      </c>
      <c r="BF466" s="16">
        <f t="shared" si="233"/>
        <v>7.0739849277027533E-3</v>
      </c>
      <c r="BU466" s="16">
        <f t="shared" si="216"/>
        <v>0</v>
      </c>
      <c r="BV466" s="16">
        <f>IF($BY$12=1,NORMDIST(BY466,$Y$6,$Y$8,TRUE),IF($BY$12=2,IF(BY466&lt;=$BX$31,0,IF(BY466&gt;=$BX$32,1,(BY466-$BX$31)*$BX$33)),SUM($BU$42:BU466)/$BV$40))</f>
        <v>0.35197270757584342</v>
      </c>
      <c r="BW466" s="16">
        <f t="shared" si="217"/>
        <v>0.78684622424207895</v>
      </c>
      <c r="BX466" s="16">
        <f>IF($BY$12&lt;3,BV466,SUM($BZ$42:BZ466)/$BX$40)</f>
        <v>0.35197270757584342</v>
      </c>
      <c r="BY466" s="16">
        <f t="shared" si="207"/>
        <v>42.400000000000333</v>
      </c>
      <c r="BZ466" s="16">
        <f t="shared" si="208"/>
        <v>1.8557693967973413E-2</v>
      </c>
      <c r="CA466" s="16">
        <f t="shared" si="218"/>
        <v>-999</v>
      </c>
      <c r="CB466" s="16" t="str">
        <f t="shared" si="209"/>
        <v/>
      </c>
      <c r="CC466" s="16" t="e">
        <f>IF(CB466="",NA(),COUNTIF(CB466:$CB$704,CB466))</f>
        <v>#N/A</v>
      </c>
      <c r="CD466" s="16" t="e">
        <f t="shared" si="210"/>
        <v>#N/A</v>
      </c>
      <c r="CE466" s="16" t="e">
        <f t="shared" si="211"/>
        <v>#N/A</v>
      </c>
      <c r="CF466" s="16">
        <f t="shared" si="212"/>
        <v>99</v>
      </c>
      <c r="CG466" s="16">
        <f t="shared" si="213"/>
        <v>0</v>
      </c>
      <c r="CH466" s="16">
        <f t="shared" si="239"/>
        <v>0</v>
      </c>
      <c r="CJ466" s="16" t="e">
        <f t="shared" si="214"/>
        <v>#N/A</v>
      </c>
      <c r="CK466" s="16" t="str">
        <f t="shared" si="215"/>
        <v/>
      </c>
    </row>
    <row r="467" spans="1:89" ht="12" customHeight="1">
      <c r="A467" s="211"/>
      <c r="B467" s="211"/>
      <c r="C467" s="211"/>
      <c r="D467" s="211"/>
      <c r="E467" s="211"/>
      <c r="F467" s="211"/>
      <c r="G467" s="211"/>
      <c r="H467" s="211"/>
      <c r="I467" s="211"/>
      <c r="J467" s="211"/>
      <c r="K467" s="211"/>
      <c r="L467" s="211"/>
      <c r="M467" s="211"/>
      <c r="N467" s="211"/>
      <c r="O467" s="211"/>
      <c r="AM467" s="34">
        <f t="shared" si="234"/>
        <v>0.62802946753799915</v>
      </c>
      <c r="AN467" s="34">
        <f t="shared" si="219"/>
        <v>0.83976306952536106</v>
      </c>
      <c r="AO467" s="16">
        <f t="shared" si="220"/>
        <v>56.500000000000533</v>
      </c>
      <c r="AP467" s="16" t="e">
        <f t="shared" si="221"/>
        <v>#N/A</v>
      </c>
      <c r="AQ467" s="16">
        <f t="shared" si="222"/>
        <v>1.5889149981700636E-2</v>
      </c>
      <c r="AR467" s="34">
        <f t="shared" si="235"/>
        <v>6.8527841940522194E-2</v>
      </c>
      <c r="AS467" s="34">
        <f t="shared" si="223"/>
        <v>0.31026716716587543</v>
      </c>
      <c r="AT467" s="540">
        <f t="shared" si="224"/>
        <v>20.200000000000017</v>
      </c>
      <c r="AU467" s="16" t="e">
        <f t="shared" si="225"/>
        <v>#N/A</v>
      </c>
      <c r="AV467" s="16">
        <f t="shared" si="226"/>
        <v>2.0395168654101367E-3</v>
      </c>
      <c r="AW467" s="34">
        <f t="shared" si="236"/>
        <v>2.7678446844220161E-2</v>
      </c>
      <c r="AX467" s="34">
        <f t="shared" si="227"/>
        <v>0.82826201058924198</v>
      </c>
      <c r="AY467" s="16">
        <f t="shared" si="228"/>
        <v>11.599999999999975</v>
      </c>
      <c r="AZ467" s="16" t="e">
        <f t="shared" si="229"/>
        <v>#N/A</v>
      </c>
      <c r="BA467" s="16">
        <f t="shared" si="237"/>
        <v>2.6155090278110241E-3</v>
      </c>
      <c r="BB467" s="34">
        <f t="shared" si="238"/>
        <v>0.14783374406397343</v>
      </c>
      <c r="BC467" s="34">
        <f t="shared" si="230"/>
        <v>0.36247840709984303</v>
      </c>
      <c r="BD467" s="16">
        <f t="shared" si="231"/>
        <v>29.000000000000142</v>
      </c>
      <c r="BE467" s="16" t="e">
        <f t="shared" si="232"/>
        <v>#N/A</v>
      </c>
      <c r="BF467" s="16">
        <f t="shared" si="233"/>
        <v>4.1663656087961706E-3</v>
      </c>
      <c r="BU467" s="16">
        <f t="shared" si="216"/>
        <v>0</v>
      </c>
      <c r="BV467" s="16">
        <f>IF($BY$12=1,NORMDIST(BY467,$Y$6,$Y$8,TRUE),IF($BY$12=2,IF(BY467&lt;=$BX$31,0,IF(BY467&gt;=$BX$32,1,(BY467-$BX$31)*$BX$33)),SUM($BU$42:BU467)/$BV$40))</f>
        <v>0.35383023332728247</v>
      </c>
      <c r="BW467" s="16">
        <f t="shared" si="217"/>
        <v>0.79019207447327011</v>
      </c>
      <c r="BX467" s="16">
        <f>IF($BY$12&lt;3,BV467,SUM($BZ$42:BZ467)/$BX$40)</f>
        <v>0.35383023332728247</v>
      </c>
      <c r="BY467" s="16">
        <f t="shared" si="207"/>
        <v>42.500000000000334</v>
      </c>
      <c r="BZ467" s="16">
        <f t="shared" si="208"/>
        <v>1.8592754693488561E-2</v>
      </c>
      <c r="CA467" s="16">
        <f t="shared" si="218"/>
        <v>-999</v>
      </c>
      <c r="CB467" s="16" t="str">
        <f t="shared" si="209"/>
        <v/>
      </c>
      <c r="CC467" s="16" t="e">
        <f>IF(CB467="",NA(),COUNTIF(CB467:$CB$704,CB467))</f>
        <v>#N/A</v>
      </c>
      <c r="CD467" s="16" t="e">
        <f t="shared" si="210"/>
        <v>#N/A</v>
      </c>
      <c r="CE467" s="16" t="e">
        <f t="shared" si="211"/>
        <v>#N/A</v>
      </c>
      <c r="CF467" s="16">
        <f t="shared" si="212"/>
        <v>99</v>
      </c>
      <c r="CG467" s="16">
        <f t="shared" si="213"/>
        <v>0</v>
      </c>
      <c r="CH467" s="16">
        <f t="shared" si="239"/>
        <v>0</v>
      </c>
      <c r="CJ467" s="16" t="e">
        <f t="shared" si="214"/>
        <v>#N/A</v>
      </c>
      <c r="CK467" s="16" t="str">
        <f t="shared" si="215"/>
        <v/>
      </c>
    </row>
    <row r="468" spans="1:89" ht="12" customHeight="1">
      <c r="A468" s="211"/>
      <c r="B468" s="211"/>
      <c r="C468" s="211"/>
      <c r="D468" s="211"/>
      <c r="E468" s="211"/>
      <c r="F468" s="211"/>
      <c r="G468" s="211"/>
      <c r="H468" s="211"/>
      <c r="I468" s="211"/>
      <c r="J468" s="211"/>
      <c r="K468" s="211"/>
      <c r="L468" s="211"/>
      <c r="M468" s="211"/>
      <c r="N468" s="211"/>
      <c r="O468" s="211"/>
      <c r="AM468" s="34">
        <f t="shared" si="234"/>
        <v>0.61217351444065571</v>
      </c>
      <c r="AN468" s="34">
        <f t="shared" si="219"/>
        <v>0.10266224481165409</v>
      </c>
      <c r="AO468" s="16">
        <f t="shared" si="220"/>
        <v>55.60000000000052</v>
      </c>
      <c r="AP468" s="16" t="e">
        <f t="shared" si="221"/>
        <v>#N/A</v>
      </c>
      <c r="AQ468" s="16">
        <f t="shared" si="222"/>
        <v>1.9690941538175514E-3</v>
      </c>
      <c r="AR468" s="34">
        <f t="shared" si="235"/>
        <v>0.70513192750513554</v>
      </c>
      <c r="AS468" s="34">
        <f t="shared" si="223"/>
        <v>0.44176641292870045</v>
      </c>
      <c r="AT468" s="540">
        <f t="shared" si="224"/>
        <v>60.700000000000593</v>
      </c>
      <c r="AU468" s="16" t="e">
        <f t="shared" si="225"/>
        <v>#N/A</v>
      </c>
      <c r="AV468" s="16">
        <f t="shared" si="226"/>
        <v>7.6369473215488429E-3</v>
      </c>
      <c r="AW468" s="34">
        <f t="shared" si="236"/>
        <v>0.87329855747520924</v>
      </c>
      <c r="AX468" s="34">
        <f t="shared" si="227"/>
        <v>0.92763333953917027</v>
      </c>
      <c r="AY468" s="16">
        <f t="shared" si="228"/>
        <v>72.800000000000139</v>
      </c>
      <c r="AZ468" s="16" t="e">
        <f t="shared" si="229"/>
        <v>#N/A</v>
      </c>
      <c r="BA468" s="16">
        <f t="shared" si="237"/>
        <v>9.6616625466710952E-3</v>
      </c>
      <c r="BB468" s="34">
        <f t="shared" si="238"/>
        <v>0.78321772255003452</v>
      </c>
      <c r="BC468" s="34">
        <f t="shared" si="230"/>
        <v>0.40733073838055134</v>
      </c>
      <c r="BD468" s="16">
        <f t="shared" si="231"/>
        <v>65.600000000000549</v>
      </c>
      <c r="BE468" s="16" t="e">
        <f t="shared" si="232"/>
        <v>#N/A</v>
      </c>
      <c r="BF468" s="16">
        <f t="shared" si="233"/>
        <v>5.9939742546393036E-3</v>
      </c>
      <c r="BU468" s="16">
        <f t="shared" si="216"/>
        <v>0</v>
      </c>
      <c r="BV468" s="16">
        <f>IF($BY$12=1,NORMDIST(BY468,$Y$6,$Y$8,TRUE),IF($BY$12=2,IF(BY468&lt;=$BX$31,0,IF(BY468&gt;=$BX$32,1,(BY468-$BX$31)*$BX$33)),SUM($BU$42:BU468)/$BV$40))</f>
        <v>0.35569124519945949</v>
      </c>
      <c r="BW468" s="16">
        <f t="shared" si="217"/>
        <v>0.79352792021110918</v>
      </c>
      <c r="BX468" s="16">
        <f>IF($BY$12&lt;3,BV468,SUM($BZ$42:BZ468)/$BX$40)</f>
        <v>0.35569124519945949</v>
      </c>
      <c r="BY468" s="16">
        <f t="shared" si="207"/>
        <v>42.600000000000335</v>
      </c>
      <c r="BZ468" s="16">
        <f t="shared" si="208"/>
        <v>1.8627415967396782E-2</v>
      </c>
      <c r="CA468" s="16">
        <f t="shared" si="218"/>
        <v>-999</v>
      </c>
      <c r="CB468" s="16" t="str">
        <f t="shared" si="209"/>
        <v/>
      </c>
      <c r="CC468" s="16" t="e">
        <f>IF(CB468="",NA(),COUNTIF(CB468:$CB$704,CB468))</f>
        <v>#N/A</v>
      </c>
      <c r="CD468" s="16" t="e">
        <f t="shared" si="210"/>
        <v>#N/A</v>
      </c>
      <c r="CE468" s="16" t="e">
        <f t="shared" si="211"/>
        <v>#N/A</v>
      </c>
      <c r="CF468" s="16">
        <f t="shared" si="212"/>
        <v>99</v>
      </c>
      <c r="CG468" s="16">
        <f t="shared" si="213"/>
        <v>0</v>
      </c>
      <c r="CH468" s="16">
        <f t="shared" si="239"/>
        <v>0</v>
      </c>
      <c r="CJ468" s="16" t="e">
        <f t="shared" si="214"/>
        <v>#N/A</v>
      </c>
      <c r="CK468" s="16" t="str">
        <f t="shared" si="215"/>
        <v/>
      </c>
    </row>
    <row r="469" spans="1:89" ht="12" customHeight="1">
      <c r="A469" s="211"/>
      <c r="B469" s="211"/>
      <c r="C469" s="211"/>
      <c r="D469" s="211"/>
      <c r="E469" s="211"/>
      <c r="F469" s="211"/>
      <c r="G469" s="211"/>
      <c r="H469" s="211"/>
      <c r="I469" s="211"/>
      <c r="J469" s="211"/>
      <c r="K469" s="211"/>
      <c r="L469" s="211"/>
      <c r="M469" s="211"/>
      <c r="N469" s="211"/>
      <c r="O469" s="211"/>
      <c r="AM469" s="34">
        <f t="shared" si="234"/>
        <v>0.78272572346031666</v>
      </c>
      <c r="AN469" s="34">
        <f t="shared" si="219"/>
        <v>0.41003757156431675</v>
      </c>
      <c r="AO469" s="16">
        <f t="shared" si="220"/>
        <v>65.600000000000549</v>
      </c>
      <c r="AP469" s="16" t="e">
        <f t="shared" si="221"/>
        <v>#N/A</v>
      </c>
      <c r="AQ469" s="16">
        <f t="shared" si="222"/>
        <v>6.0338059856783078E-3</v>
      </c>
      <c r="AR469" s="34">
        <f t="shared" si="235"/>
        <v>0.87225037254393101</v>
      </c>
      <c r="AS469" s="34">
        <f t="shared" si="223"/>
        <v>6.4694153144955635E-2</v>
      </c>
      <c r="AT469" s="540">
        <f t="shared" si="224"/>
        <v>72.700000000000145</v>
      </c>
      <c r="AU469" s="16" t="e">
        <f t="shared" si="225"/>
        <v>#N/A</v>
      </c>
      <c r="AV469" s="16">
        <f t="shared" si="226"/>
        <v>6.7765804408014994E-4</v>
      </c>
      <c r="AW469" s="34">
        <f t="shared" si="236"/>
        <v>0.45462511666119099</v>
      </c>
      <c r="AX469" s="34">
        <f t="shared" si="227"/>
        <v>7.6738426461815834E-2</v>
      </c>
      <c r="AY469" s="16">
        <f t="shared" si="228"/>
        <v>47.700000000000408</v>
      </c>
      <c r="AZ469" s="16" t="e">
        <f t="shared" si="229"/>
        <v>#N/A</v>
      </c>
      <c r="BA469" s="16">
        <f t="shared" si="237"/>
        <v>1.5206217131672251E-3</v>
      </c>
      <c r="BB469" s="34">
        <f t="shared" si="238"/>
        <v>0.6791051123291254</v>
      </c>
      <c r="BC469" s="34">
        <f t="shared" si="230"/>
        <v>0.95165771432220936</v>
      </c>
      <c r="BD469" s="16">
        <f t="shared" si="231"/>
        <v>59.300000000000573</v>
      </c>
      <c r="BE469" s="16" t="e">
        <f t="shared" si="232"/>
        <v>#N/A</v>
      </c>
      <c r="BF469" s="16">
        <f t="shared" si="233"/>
        <v>1.7037590683689291E-2</v>
      </c>
      <c r="BU469" s="16">
        <f t="shared" si="216"/>
        <v>0</v>
      </c>
      <c r="BV469" s="16">
        <f>IF($BY$12=1,NORMDIST(BY469,$Y$6,$Y$8,TRUE),IF($BY$12=2,IF(BY469&lt;=$BX$31,0,IF(BY469&gt;=$BX$32,1,(BY469-$BX$31)*$BX$33)),SUM($BU$42:BU469)/$BV$40))</f>
        <v>0.35755570312303553</v>
      </c>
      <c r="BW469" s="16">
        <f t="shared" si="217"/>
        <v>0.79685353575275297</v>
      </c>
      <c r="BX469" s="16">
        <f>IF($BY$12&lt;3,BV469,SUM($BZ$42:BZ469)/$BX$40)</f>
        <v>0.35755570312303553</v>
      </c>
      <c r="BY469" s="16">
        <f t="shared" si="207"/>
        <v>42.700000000000337</v>
      </c>
      <c r="BZ469" s="16">
        <f t="shared" si="208"/>
        <v>1.8661675310368775E-2</v>
      </c>
      <c r="CA469" s="16">
        <f t="shared" si="218"/>
        <v>-999</v>
      </c>
      <c r="CB469" s="16" t="str">
        <f t="shared" si="209"/>
        <v/>
      </c>
      <c r="CC469" s="16" t="e">
        <f>IF(CB469="",NA(),COUNTIF(CB469:$CB$704,CB469))</f>
        <v>#N/A</v>
      </c>
      <c r="CD469" s="16" t="e">
        <f t="shared" si="210"/>
        <v>#N/A</v>
      </c>
      <c r="CE469" s="16" t="e">
        <f t="shared" si="211"/>
        <v>#N/A</v>
      </c>
      <c r="CF469" s="16">
        <f t="shared" si="212"/>
        <v>99</v>
      </c>
      <c r="CG469" s="16">
        <f t="shared" si="213"/>
        <v>0</v>
      </c>
      <c r="CH469" s="16">
        <f t="shared" si="239"/>
        <v>0</v>
      </c>
      <c r="CJ469" s="16" t="e">
        <f t="shared" si="214"/>
        <v>#N/A</v>
      </c>
      <c r="CK469" s="16" t="str">
        <f t="shared" si="215"/>
        <v/>
      </c>
    </row>
    <row r="470" spans="1:89" ht="12" customHeight="1">
      <c r="A470" s="211"/>
      <c r="B470" s="211"/>
      <c r="C470" s="211"/>
      <c r="D470" s="211"/>
      <c r="E470" s="211"/>
      <c r="F470" s="211"/>
      <c r="G470" s="211"/>
      <c r="H470" s="211"/>
      <c r="I470" s="211"/>
      <c r="J470" s="211"/>
      <c r="K470" s="211"/>
      <c r="L470" s="211"/>
      <c r="M470" s="211"/>
      <c r="N470" s="211"/>
      <c r="O470" s="211"/>
      <c r="AM470" s="34">
        <f t="shared" si="234"/>
        <v>4.6131597831845284E-2</v>
      </c>
      <c r="AN470" s="34">
        <f t="shared" si="219"/>
        <v>0.57802922464907169</v>
      </c>
      <c r="AO470" s="16">
        <f t="shared" si="220"/>
        <v>16.299999999999962</v>
      </c>
      <c r="AP470" s="16" t="e">
        <f t="shared" si="221"/>
        <v>#N/A</v>
      </c>
      <c r="AQ470" s="16">
        <f t="shared" si="222"/>
        <v>2.7880463631912507E-3</v>
      </c>
      <c r="AR470" s="34">
        <f t="shared" si="235"/>
        <v>0.37247354723513126</v>
      </c>
      <c r="AS470" s="34">
        <f t="shared" si="223"/>
        <v>0.31450742669403553</v>
      </c>
      <c r="AT470" s="540">
        <f t="shared" si="224"/>
        <v>43.400000000000347</v>
      </c>
      <c r="AU470" s="16" t="e">
        <f t="shared" si="225"/>
        <v>#N/A</v>
      </c>
      <c r="AV470" s="16">
        <f t="shared" si="226"/>
        <v>5.9410559289494302E-3</v>
      </c>
      <c r="AW470" s="34">
        <f t="shared" si="236"/>
        <v>0.26221770234405994</v>
      </c>
      <c r="AX470" s="34">
        <f t="shared" si="227"/>
        <v>0.43227072991430759</v>
      </c>
      <c r="AY470" s="16">
        <f t="shared" si="228"/>
        <v>37.200000000000259</v>
      </c>
      <c r="AZ470" s="16" t="e">
        <f t="shared" si="229"/>
        <v>#N/A</v>
      </c>
      <c r="BA470" s="16">
        <f t="shared" si="237"/>
        <v>7.0257451081612377E-3</v>
      </c>
      <c r="BB470" s="34">
        <f t="shared" si="238"/>
        <v>0.51477237977087498</v>
      </c>
      <c r="BC470" s="34">
        <f t="shared" si="230"/>
        <v>0.48974968679249287</v>
      </c>
      <c r="BD470" s="16">
        <f t="shared" si="231"/>
        <v>50.70000000000045</v>
      </c>
      <c r="BE470" s="16" t="e">
        <f t="shared" si="232"/>
        <v>#N/A</v>
      </c>
      <c r="BF470" s="16">
        <f t="shared" si="233"/>
        <v>9.7631111064714719E-3</v>
      </c>
      <c r="BU470" s="16">
        <f t="shared" si="216"/>
        <v>0</v>
      </c>
      <c r="BV470" s="16">
        <f>IF($BY$12=1,NORMDIST(BY470,$Y$6,$Y$8,TRUE),IF($BY$12=2,IF(BY470&lt;=$BX$31,0,IF(BY470&gt;=$BX$32,1,(BY470-$BX$31)*$BX$33)),SUM($BU$42:BU470)/$BV$40))</f>
        <v>0.35942356678201504</v>
      </c>
      <c r="BW470" s="16">
        <f t="shared" si="217"/>
        <v>0.80016869549850578</v>
      </c>
      <c r="BX470" s="16">
        <f>IF($BY$12&lt;3,BV470,SUM($BZ$42:BZ470)/$BX$40)</f>
        <v>0.35942356678201504</v>
      </c>
      <c r="BY470" s="16">
        <f t="shared" ref="BY470:BY533" si="240">BY469+$BZ$1</f>
        <v>42.800000000000338</v>
      </c>
      <c r="BZ470" s="16">
        <f t="shared" si="208"/>
        <v>1.8695530268656529E-2</v>
      </c>
      <c r="CA470" s="16">
        <f t="shared" si="218"/>
        <v>-999</v>
      </c>
      <c r="CB470" s="16" t="str">
        <f t="shared" si="209"/>
        <v/>
      </c>
      <c r="CC470" s="16" t="e">
        <f>IF(CB470="",NA(),COUNTIF(CB470:$CB$704,CB470))</f>
        <v>#N/A</v>
      </c>
      <c r="CD470" s="16" t="e">
        <f t="shared" si="210"/>
        <v>#N/A</v>
      </c>
      <c r="CE470" s="16" t="e">
        <f t="shared" si="211"/>
        <v>#N/A</v>
      </c>
      <c r="CF470" s="16">
        <f t="shared" si="212"/>
        <v>99</v>
      </c>
      <c r="CG470" s="16">
        <f t="shared" si="213"/>
        <v>0</v>
      </c>
      <c r="CH470" s="16">
        <f t="shared" si="239"/>
        <v>0</v>
      </c>
      <c r="CJ470" s="16" t="e">
        <f t="shared" si="214"/>
        <v>#N/A</v>
      </c>
      <c r="CK470" s="16" t="str">
        <f t="shared" si="215"/>
        <v/>
      </c>
    </row>
    <row r="471" spans="1:89" ht="12" customHeight="1">
      <c r="A471" s="211"/>
      <c r="B471" s="211"/>
      <c r="C471" s="211"/>
      <c r="D471" s="211"/>
      <c r="E471" s="211"/>
      <c r="F471" s="211"/>
      <c r="G471" s="211"/>
      <c r="H471" s="211"/>
      <c r="I471" s="211"/>
      <c r="J471" s="211"/>
      <c r="K471" s="211"/>
      <c r="L471" s="211"/>
      <c r="M471" s="211"/>
      <c r="N471" s="211"/>
      <c r="O471" s="211"/>
      <c r="AM471" s="34">
        <f t="shared" si="234"/>
        <v>0.76087063737213612</v>
      </c>
      <c r="AN471" s="34">
        <f t="shared" si="219"/>
        <v>0.26503964699804783</v>
      </c>
      <c r="AO471" s="16">
        <f t="shared" si="220"/>
        <v>64.100000000000634</v>
      </c>
      <c r="AP471" s="16" t="e">
        <f t="shared" si="221"/>
        <v>#N/A</v>
      </c>
      <c r="AQ471" s="16">
        <f t="shared" si="222"/>
        <v>4.1234744428694653E-3</v>
      </c>
      <c r="AR471" s="34">
        <f t="shared" si="235"/>
        <v>0.35553690232336521</v>
      </c>
      <c r="AS471" s="34">
        <f t="shared" si="223"/>
        <v>0.64521338231861591</v>
      </c>
      <c r="AT471" s="540">
        <f t="shared" si="224"/>
        <v>42.500000000000334</v>
      </c>
      <c r="AU471" s="16" t="e">
        <f t="shared" si="225"/>
        <v>#N/A</v>
      </c>
      <c r="AV471" s="16">
        <f t="shared" si="226"/>
        <v>1.1996294142406076E-2</v>
      </c>
      <c r="AW471" s="34">
        <f t="shared" si="236"/>
        <v>0.91866256482899189</v>
      </c>
      <c r="AX471" s="34">
        <f t="shared" si="227"/>
        <v>0.5909032616764307</v>
      </c>
      <c r="AY471" s="16">
        <f t="shared" si="228"/>
        <v>77.899999999999849</v>
      </c>
      <c r="AZ471" s="16" t="e">
        <f t="shared" si="229"/>
        <v>#N/A</v>
      </c>
      <c r="BA471" s="16">
        <f t="shared" si="237"/>
        <v>4.4547413969834746E-3</v>
      </c>
      <c r="BB471" s="34">
        <f t="shared" si="238"/>
        <v>0.2346708569675684</v>
      </c>
      <c r="BC471" s="34">
        <f t="shared" si="230"/>
        <v>0.62039682455360889</v>
      </c>
      <c r="BD471" s="16">
        <f t="shared" si="231"/>
        <v>35.500000000000234</v>
      </c>
      <c r="BE471" s="16" t="e">
        <f t="shared" si="232"/>
        <v>#N/A</v>
      </c>
      <c r="BF471" s="16">
        <f t="shared" si="233"/>
        <v>9.5150618990535382E-3</v>
      </c>
      <c r="BU471" s="16">
        <f t="shared" si="216"/>
        <v>0</v>
      </c>
      <c r="BV471" s="16">
        <f>IF($BY$12=1,NORMDIST(BY471,$Y$6,$Y$8,TRUE),IF($BY$12=2,IF(BY471&lt;=$BX$31,0,IF(BY471&gt;=$BX$32,1,(BY471-$BX$31)*$BX$33)),SUM($BU$42:BU471)/$BV$40))</f>
        <v>0.36129479561631928</v>
      </c>
      <c r="BW471" s="16">
        <f t="shared" si="217"/>
        <v>0.80347317397716556</v>
      </c>
      <c r="BX471" s="16">
        <f>IF($BY$12&lt;3,BV471,SUM($BZ$42:BZ471)/$BX$40)</f>
        <v>0.36129479561631928</v>
      </c>
      <c r="BY471" s="16">
        <f t="shared" si="240"/>
        <v>42.90000000000034</v>
      </c>
      <c r="BZ471" s="16">
        <f t="shared" si="208"/>
        <v>1.8728978414385995E-2</v>
      </c>
      <c r="CA471" s="16">
        <f t="shared" si="218"/>
        <v>-999</v>
      </c>
      <c r="CB471" s="16" t="str">
        <f t="shared" si="209"/>
        <v/>
      </c>
      <c r="CC471" s="16" t="e">
        <f>IF(CB471="",NA(),COUNTIF(CB471:$CB$704,CB471))</f>
        <v>#N/A</v>
      </c>
      <c r="CD471" s="16" t="e">
        <f t="shared" si="210"/>
        <v>#N/A</v>
      </c>
      <c r="CE471" s="16" t="e">
        <f t="shared" si="211"/>
        <v>#N/A</v>
      </c>
      <c r="CF471" s="16">
        <f t="shared" si="212"/>
        <v>99</v>
      </c>
      <c r="CG471" s="16">
        <f t="shared" si="213"/>
        <v>0</v>
      </c>
      <c r="CH471" s="16">
        <f t="shared" si="239"/>
        <v>0</v>
      </c>
      <c r="CJ471" s="16" t="e">
        <f t="shared" si="214"/>
        <v>#N/A</v>
      </c>
      <c r="CK471" s="16" t="str">
        <f t="shared" si="215"/>
        <v/>
      </c>
    </row>
    <row r="472" spans="1:89" ht="12" customHeight="1">
      <c r="A472" s="211"/>
      <c r="B472" s="211"/>
      <c r="C472" s="211"/>
      <c r="D472" s="211"/>
      <c r="E472" s="211"/>
      <c r="F472" s="211"/>
      <c r="G472" s="211"/>
      <c r="H472" s="211"/>
      <c r="I472" s="211"/>
      <c r="J472" s="211"/>
      <c r="K472" s="211"/>
      <c r="L472" s="211"/>
      <c r="M472" s="211"/>
      <c r="N472" s="211"/>
      <c r="O472" s="211"/>
      <c r="AM472" s="34">
        <f t="shared" si="234"/>
        <v>0.91549588926136494</v>
      </c>
      <c r="AN472" s="34">
        <f t="shared" si="219"/>
        <v>0.79406020976603031</v>
      </c>
      <c r="AO472" s="16">
        <f t="shared" si="220"/>
        <v>77.499999999999872</v>
      </c>
      <c r="AP472" s="16" t="e">
        <f t="shared" si="221"/>
        <v>#N/A</v>
      </c>
      <c r="AQ472" s="16">
        <f t="shared" si="222"/>
        <v>6.1544536013060473E-3</v>
      </c>
      <c r="AR472" s="34">
        <f t="shared" si="235"/>
        <v>0.21096012927591801</v>
      </c>
      <c r="AS472" s="34">
        <f t="shared" si="223"/>
        <v>3.5240860655903816E-2</v>
      </c>
      <c r="AT472" s="540">
        <f t="shared" si="224"/>
        <v>33.900000000000212</v>
      </c>
      <c r="AU472" s="16" t="e">
        <f t="shared" si="225"/>
        <v>#N/A</v>
      </c>
      <c r="AV472" s="16">
        <f t="shared" si="226"/>
        <v>5.0840490932560652E-4</v>
      </c>
      <c r="AW472" s="34">
        <f t="shared" si="236"/>
        <v>0.29850670881569386</v>
      </c>
      <c r="AX472" s="34">
        <f t="shared" si="227"/>
        <v>0.96874415315687656</v>
      </c>
      <c r="AY472" s="16">
        <f t="shared" si="228"/>
        <v>39.40000000000029</v>
      </c>
      <c r="AZ472" s="16" t="e">
        <f t="shared" si="229"/>
        <v>#N/A</v>
      </c>
      <c r="BA472" s="16">
        <f t="shared" si="237"/>
        <v>1.6791616406613401E-2</v>
      </c>
      <c r="BB472" s="34">
        <f t="shared" si="238"/>
        <v>0.31069480814039707</v>
      </c>
      <c r="BC472" s="34">
        <f t="shared" si="230"/>
        <v>0.12043647654354572</v>
      </c>
      <c r="BD472" s="16">
        <f t="shared" si="231"/>
        <v>40.1000000000003</v>
      </c>
      <c r="BE472" s="16" t="e">
        <f t="shared" si="232"/>
        <v>#N/A</v>
      </c>
      <c r="BF472" s="16">
        <f t="shared" si="233"/>
        <v>2.1253556255144729E-3</v>
      </c>
      <c r="BU472" s="16">
        <f t="shared" si="216"/>
        <v>0</v>
      </c>
      <c r="BV472" s="16">
        <f>IF($BY$12=1,NORMDIST(BY472,$Y$6,$Y$8,TRUE),IF($BY$12=2,IF(BY472&lt;=$BX$31,0,IF(BY472&gt;=$BX$32,1,(BY472-$BX$31)*$BX$33)),SUM($BU$42:BU472)/$BV$40))</f>
        <v>0.36316934882438734</v>
      </c>
      <c r="BW472" s="16">
        <f t="shared" si="217"/>
        <v>0.80676674587142749</v>
      </c>
      <c r="BX472" s="16">
        <f>IF($BY$12&lt;3,BV472,SUM($BZ$42:BZ472)/$BX$40)</f>
        <v>0.36316934882438734</v>
      </c>
      <c r="BY472" s="16">
        <f t="shared" si="240"/>
        <v>43.000000000000341</v>
      </c>
      <c r="BZ472" s="16">
        <f t="shared" si="208"/>
        <v>1.8762017345847003E-2</v>
      </c>
      <c r="CA472" s="16">
        <f t="shared" si="218"/>
        <v>-999</v>
      </c>
      <c r="CB472" s="16" t="str">
        <f t="shared" si="209"/>
        <v/>
      </c>
      <c r="CC472" s="16" t="e">
        <f>IF(CB472="",NA(),COUNTIF(CB472:$CB$704,CB472))</f>
        <v>#N/A</v>
      </c>
      <c r="CD472" s="16" t="e">
        <f t="shared" si="210"/>
        <v>#N/A</v>
      </c>
      <c r="CE472" s="16" t="e">
        <f t="shared" si="211"/>
        <v>#N/A</v>
      </c>
      <c r="CF472" s="16">
        <f t="shared" si="212"/>
        <v>99</v>
      </c>
      <c r="CG472" s="16">
        <f t="shared" si="213"/>
        <v>0</v>
      </c>
      <c r="CH472" s="16">
        <f t="shared" si="239"/>
        <v>0</v>
      </c>
      <c r="CJ472" s="16" t="e">
        <f t="shared" si="214"/>
        <v>#N/A</v>
      </c>
      <c r="CK472" s="16" t="str">
        <f t="shared" si="215"/>
        <v/>
      </c>
    </row>
    <row r="473" spans="1:89" ht="12" customHeight="1">
      <c r="A473" s="211"/>
      <c r="B473" s="211"/>
      <c r="C473" s="211"/>
      <c r="D473" s="211"/>
      <c r="E473" s="211"/>
      <c r="F473" s="211"/>
      <c r="G473" s="211"/>
      <c r="H473" s="211"/>
      <c r="I473" s="211"/>
      <c r="J473" s="211"/>
      <c r="K473" s="211"/>
      <c r="L473" s="211"/>
      <c r="M473" s="211"/>
      <c r="N473" s="211"/>
      <c r="O473" s="211"/>
      <c r="AM473" s="34">
        <f t="shared" si="234"/>
        <v>0.42044303007423878</v>
      </c>
      <c r="AN473" s="34">
        <f t="shared" si="219"/>
        <v>0.76650177873671055</v>
      </c>
      <c r="AO473" s="16">
        <f t="shared" si="220"/>
        <v>45.900000000000382</v>
      </c>
      <c r="AP473" s="16" t="e">
        <f t="shared" si="221"/>
        <v>#N/A</v>
      </c>
      <c r="AQ473" s="16">
        <f t="shared" si="222"/>
        <v>1.4971579623645344E-2</v>
      </c>
      <c r="AR473" s="34">
        <f t="shared" si="235"/>
        <v>6.4690226688981056E-2</v>
      </c>
      <c r="AS473" s="34">
        <f t="shared" si="223"/>
        <v>0.10786275751888752</v>
      </c>
      <c r="AT473" s="540">
        <f t="shared" si="224"/>
        <v>19.600000000000009</v>
      </c>
      <c r="AU473" s="16" t="e">
        <f t="shared" si="225"/>
        <v>#N/A</v>
      </c>
      <c r="AV473" s="16">
        <f t="shared" si="226"/>
        <v>6.7772671233402458E-4</v>
      </c>
      <c r="AW473" s="34">
        <f t="shared" si="236"/>
        <v>0.12524275667965412</v>
      </c>
      <c r="AX473" s="34">
        <f t="shared" si="227"/>
        <v>0.19495237804949284</v>
      </c>
      <c r="AY473" s="16">
        <f t="shared" si="228"/>
        <v>27.000000000000114</v>
      </c>
      <c r="AZ473" s="16" t="e">
        <f t="shared" si="229"/>
        <v>#N/A</v>
      </c>
      <c r="BA473" s="16">
        <f t="shared" si="237"/>
        <v>2.0073882656799361E-3</v>
      </c>
      <c r="BB473" s="34">
        <f t="shared" si="238"/>
        <v>0.33110965229570866</v>
      </c>
      <c r="BC473" s="34">
        <f t="shared" si="230"/>
        <v>0.82738256640732288</v>
      </c>
      <c r="BD473" s="16">
        <f t="shared" si="231"/>
        <v>41.200000000000315</v>
      </c>
      <c r="BE473" s="16" t="e">
        <f t="shared" si="232"/>
        <v>#N/A</v>
      </c>
      <c r="BF473" s="16">
        <f t="shared" si="233"/>
        <v>1.4981204419828019E-2</v>
      </c>
      <c r="BU473" s="16">
        <f t="shared" si="216"/>
        <v>0</v>
      </c>
      <c r="BV473" s="16">
        <f>IF($BY$12=1,NORMDIST(BY473,$Y$6,$Y$8,TRUE),IF($BY$12=2,IF(BY473&lt;=$BX$31,0,IF(BY473&gt;=$BX$32,1,(BY473-$BX$31)*$BX$33)),SUM($BU$42:BU473)/$BV$40))</f>
        <v>0.36504718536580805</v>
      </c>
      <c r="BW473" s="16">
        <f t="shared" si="217"/>
        <v>0.81004918604334497</v>
      </c>
      <c r="BX473" s="16">
        <f>IF($BY$12&lt;3,BV473,SUM($BZ$42:BZ473)/$BX$40)</f>
        <v>0.36504718536580805</v>
      </c>
      <c r="BY473" s="16">
        <f t="shared" si="240"/>
        <v>43.100000000000342</v>
      </c>
      <c r="BZ473" s="16">
        <f t="shared" si="208"/>
        <v>1.8794644687780478E-2</v>
      </c>
      <c r="CA473" s="16">
        <f t="shared" si="218"/>
        <v>-999</v>
      </c>
      <c r="CB473" s="16" t="str">
        <f t="shared" si="209"/>
        <v/>
      </c>
      <c r="CC473" s="16" t="e">
        <f>IF(CB473="",NA(),COUNTIF(CB473:$CB$704,CB473))</f>
        <v>#N/A</v>
      </c>
      <c r="CD473" s="16" t="e">
        <f t="shared" si="210"/>
        <v>#N/A</v>
      </c>
      <c r="CE473" s="16" t="e">
        <f t="shared" si="211"/>
        <v>#N/A</v>
      </c>
      <c r="CF473" s="16">
        <f t="shared" si="212"/>
        <v>99</v>
      </c>
      <c r="CG473" s="16">
        <f t="shared" si="213"/>
        <v>0</v>
      </c>
      <c r="CH473" s="16">
        <f t="shared" si="239"/>
        <v>0</v>
      </c>
      <c r="CJ473" s="16" t="e">
        <f t="shared" si="214"/>
        <v>#N/A</v>
      </c>
      <c r="CK473" s="16" t="str">
        <f t="shared" si="215"/>
        <v/>
      </c>
    </row>
    <row r="474" spans="1:89" ht="12" customHeight="1">
      <c r="A474" s="211"/>
      <c r="B474" s="211"/>
      <c r="C474" s="211"/>
      <c r="D474" s="211"/>
      <c r="E474" s="211"/>
      <c r="F474" s="211"/>
      <c r="G474" s="211"/>
      <c r="H474" s="211"/>
      <c r="I474" s="211"/>
      <c r="J474" s="211"/>
      <c r="K474" s="211"/>
      <c r="L474" s="211"/>
      <c r="M474" s="211"/>
      <c r="N474" s="211"/>
      <c r="O474" s="211"/>
      <c r="AM474" s="34">
        <f t="shared" si="234"/>
        <v>0.75189022906124592</v>
      </c>
      <c r="AN474" s="34">
        <f t="shared" si="219"/>
        <v>6.5185436978936195E-2</v>
      </c>
      <c r="AO474" s="16">
        <f t="shared" si="220"/>
        <v>63.600000000000634</v>
      </c>
      <c r="AP474" s="16" t="e">
        <f t="shared" si="221"/>
        <v>#N/A</v>
      </c>
      <c r="AQ474" s="16">
        <f t="shared" si="222"/>
        <v>1.031862351678306E-3</v>
      </c>
      <c r="AR474" s="34">
        <f t="shared" si="235"/>
        <v>0.97740472294390202</v>
      </c>
      <c r="AS474" s="34">
        <f t="shared" si="223"/>
        <v>0.93570041842758656</v>
      </c>
      <c r="AT474" s="540">
        <f t="shared" si="224"/>
        <v>89.999999999999162</v>
      </c>
      <c r="AU474" s="16" t="e">
        <f t="shared" si="225"/>
        <v>#N/A</v>
      </c>
      <c r="AV474" s="16" t="e">
        <f t="shared" si="226"/>
        <v>#N/A</v>
      </c>
      <c r="AW474" s="34">
        <f t="shared" si="236"/>
        <v>0.31487584300339222</v>
      </c>
      <c r="AX474" s="34">
        <f t="shared" si="227"/>
        <v>0.52341988123953342</v>
      </c>
      <c r="AY474" s="16">
        <f t="shared" si="228"/>
        <v>40.300000000000303</v>
      </c>
      <c r="AZ474" s="16" t="e">
        <f t="shared" si="229"/>
        <v>#N/A</v>
      </c>
      <c r="BA474" s="16">
        <f t="shared" si="237"/>
        <v>9.2822193045791791E-3</v>
      </c>
      <c r="BB474" s="34">
        <f t="shared" si="238"/>
        <v>0.42004659213125706</v>
      </c>
      <c r="BC474" s="34">
        <f t="shared" si="230"/>
        <v>0.38191826827824116</v>
      </c>
      <c r="BD474" s="16">
        <f t="shared" si="231"/>
        <v>45.900000000000382</v>
      </c>
      <c r="BE474" s="16" t="e">
        <f t="shared" si="232"/>
        <v>#N/A</v>
      </c>
      <c r="BF474" s="16">
        <f t="shared" si="233"/>
        <v>7.4597605926972118E-3</v>
      </c>
      <c r="BU474" s="16">
        <f t="shared" si="216"/>
        <v>0</v>
      </c>
      <c r="BV474" s="16">
        <f>IF($BY$12=1,NORMDIST(BY474,$Y$6,$Y$8,TRUE),IF($BY$12=2,IF(BY474&lt;=$BX$31,0,IF(BY474&gt;=$BX$32,1,(BY474-$BX$31)*$BX$33)),SUM($BU$42:BU474)/$BV$40))</f>
        <v>0.36692826396397837</v>
      </c>
      <c r="BW474" s="16">
        <f t="shared" si="217"/>
        <v>0.8133202695598396</v>
      </c>
      <c r="BX474" s="16">
        <f>IF($BY$12&lt;3,BV474,SUM($BZ$42:BZ474)/$BX$40)</f>
        <v>0.36692826396397837</v>
      </c>
      <c r="BY474" s="16">
        <f t="shared" si="240"/>
        <v>43.200000000000344</v>
      </c>
      <c r="BZ474" s="16">
        <f t="shared" si="208"/>
        <v>1.8826858091662804E-2</v>
      </c>
      <c r="CA474" s="16">
        <f t="shared" si="218"/>
        <v>-999</v>
      </c>
      <c r="CB474" s="16" t="str">
        <f t="shared" si="209"/>
        <v/>
      </c>
      <c r="CC474" s="16" t="e">
        <f>IF(CB474="",NA(),COUNTIF(CB474:$CB$704,CB474))</f>
        <v>#N/A</v>
      </c>
      <c r="CD474" s="16" t="e">
        <f t="shared" si="210"/>
        <v>#N/A</v>
      </c>
      <c r="CE474" s="16" t="e">
        <f t="shared" si="211"/>
        <v>#N/A</v>
      </c>
      <c r="CF474" s="16">
        <f t="shared" si="212"/>
        <v>99</v>
      </c>
      <c r="CG474" s="16">
        <f t="shared" si="213"/>
        <v>0</v>
      </c>
      <c r="CH474" s="16">
        <f t="shared" si="239"/>
        <v>0</v>
      </c>
      <c r="CJ474" s="16" t="e">
        <f t="shared" si="214"/>
        <v>#N/A</v>
      </c>
      <c r="CK474" s="16" t="str">
        <f t="shared" si="215"/>
        <v/>
      </c>
    </row>
    <row r="475" spans="1:89" ht="12" customHeight="1">
      <c r="A475" s="211"/>
      <c r="B475" s="211"/>
      <c r="C475" s="211"/>
      <c r="D475" s="211"/>
      <c r="E475" s="211"/>
      <c r="F475" s="211"/>
      <c r="G475" s="211"/>
      <c r="H475" s="211"/>
      <c r="I475" s="211"/>
      <c r="J475" s="211"/>
      <c r="K475" s="211"/>
      <c r="L475" s="211"/>
      <c r="M475" s="211"/>
      <c r="N475" s="211"/>
      <c r="O475" s="211"/>
      <c r="AM475" s="34">
        <f t="shared" si="234"/>
        <v>0.21720004267990589</v>
      </c>
      <c r="AN475" s="34">
        <f t="shared" si="219"/>
        <v>0.25039961375296116</v>
      </c>
      <c r="AO475" s="16">
        <f t="shared" si="220"/>
        <v>34.300000000000217</v>
      </c>
      <c r="AP475" s="16" t="e">
        <f t="shared" si="221"/>
        <v>#N/A</v>
      </c>
      <c r="AQ475" s="16">
        <f t="shared" si="222"/>
        <v>3.6703050919984011E-3</v>
      </c>
      <c r="AR475" s="34">
        <f t="shared" si="235"/>
        <v>0.34838130511343479</v>
      </c>
      <c r="AS475" s="34">
        <f t="shared" si="223"/>
        <v>0.5800913143903017</v>
      </c>
      <c r="AT475" s="540">
        <f t="shared" si="224"/>
        <v>42.20000000000033</v>
      </c>
      <c r="AU475" s="16" t="e">
        <f t="shared" si="225"/>
        <v>#N/A</v>
      </c>
      <c r="AV475" s="16">
        <f t="shared" si="226"/>
        <v>1.0723790912134219E-2</v>
      </c>
      <c r="AW475" s="34">
        <f t="shared" si="236"/>
        <v>0.61685379035770893</v>
      </c>
      <c r="AX475" s="34">
        <f t="shared" si="227"/>
        <v>0.92267636395990849</v>
      </c>
      <c r="AY475" s="16">
        <f t="shared" si="228"/>
        <v>55.900000000000524</v>
      </c>
      <c r="AZ475" s="16" t="e">
        <f t="shared" si="229"/>
        <v>#N/A</v>
      </c>
      <c r="BA475" s="16">
        <f t="shared" si="237"/>
        <v>1.7621067995008288E-2</v>
      </c>
      <c r="BB475" s="34">
        <f t="shared" si="238"/>
        <v>0.64771989919245243</v>
      </c>
      <c r="BC475" s="34">
        <f t="shared" si="230"/>
        <v>0.41228321380913258</v>
      </c>
      <c r="BD475" s="16">
        <f t="shared" si="231"/>
        <v>57.500000000000547</v>
      </c>
      <c r="BE475" s="16" t="e">
        <f t="shared" si="232"/>
        <v>#N/A</v>
      </c>
      <c r="BF475" s="16">
        <f t="shared" si="233"/>
        <v>7.6654806585961721E-3</v>
      </c>
      <c r="BU475" s="16">
        <f t="shared" si="216"/>
        <v>0</v>
      </c>
      <c r="BV475" s="16">
        <f>IF($BY$12=1,NORMDIST(BY475,$Y$6,$Y$8,TRUE),IF($BY$12=2,IF(BY475&lt;=$BX$31,0,IF(BY475&gt;=$BX$32,1,(BY475-$BX$31)*$BX$33)),SUM($BU$42:BU475)/$BV$40))</f>
        <v>0.36881254310879175</v>
      </c>
      <c r="BW475" s="16">
        <f t="shared" si="217"/>
        <v>0.81657977171826091</v>
      </c>
      <c r="BX475" s="16">
        <f>IF($BY$12&lt;3,BV475,SUM($BZ$42:BZ475)/$BX$40)</f>
        <v>0.36881254310879175</v>
      </c>
      <c r="BY475" s="16">
        <f t="shared" si="240"/>
        <v>43.300000000000345</v>
      </c>
      <c r="BZ475" s="16">
        <f t="shared" si="208"/>
        <v>1.8858655235987398E-2</v>
      </c>
      <c r="CA475" s="16">
        <f t="shared" si="218"/>
        <v>-999</v>
      </c>
      <c r="CB475" s="16" t="str">
        <f t="shared" si="209"/>
        <v/>
      </c>
      <c r="CC475" s="16" t="e">
        <f>IF(CB475="",NA(),COUNTIF(CB475:$CB$704,CB475))</f>
        <v>#N/A</v>
      </c>
      <c r="CD475" s="16" t="e">
        <f t="shared" si="210"/>
        <v>#N/A</v>
      </c>
      <c r="CE475" s="16" t="e">
        <f t="shared" si="211"/>
        <v>#N/A</v>
      </c>
      <c r="CF475" s="16">
        <f t="shared" si="212"/>
        <v>99</v>
      </c>
      <c r="CG475" s="16">
        <f t="shared" si="213"/>
        <v>0</v>
      </c>
      <c r="CH475" s="16">
        <f t="shared" si="239"/>
        <v>0</v>
      </c>
      <c r="CJ475" s="16" t="e">
        <f t="shared" si="214"/>
        <v>#N/A</v>
      </c>
      <c r="CK475" s="16" t="str">
        <f t="shared" si="215"/>
        <v/>
      </c>
    </row>
    <row r="476" spans="1:89" ht="12" customHeight="1">
      <c r="A476" s="211"/>
      <c r="B476" s="211"/>
      <c r="C476" s="211"/>
      <c r="D476" s="211"/>
      <c r="E476" s="211"/>
      <c r="F476" s="211"/>
      <c r="G476" s="211"/>
      <c r="H476" s="211"/>
      <c r="I476" s="211"/>
      <c r="J476" s="211"/>
      <c r="K476" s="211"/>
      <c r="L476" s="211"/>
      <c r="M476" s="211"/>
      <c r="N476" s="211"/>
      <c r="O476" s="211"/>
      <c r="AM476" s="34">
        <f t="shared" si="234"/>
        <v>0.39272459037601948</v>
      </c>
      <c r="AN476" s="34">
        <f t="shared" si="219"/>
        <v>9.1798696666955948E-3</v>
      </c>
      <c r="AO476" s="16">
        <f t="shared" si="220"/>
        <v>44.500000000000362</v>
      </c>
      <c r="AP476" s="16" t="e">
        <f t="shared" si="221"/>
        <v>#N/A</v>
      </c>
      <c r="AQ476" s="16">
        <f t="shared" si="222"/>
        <v>1.7631725882061021E-4</v>
      </c>
      <c r="AR476" s="34">
        <f t="shared" si="235"/>
        <v>0.68509010411798954</v>
      </c>
      <c r="AS476" s="34">
        <f t="shared" si="223"/>
        <v>0.947351248934865</v>
      </c>
      <c r="AT476" s="540">
        <f t="shared" si="224"/>
        <v>59.600000000000577</v>
      </c>
      <c r="AU476" s="16" t="e">
        <f t="shared" si="225"/>
        <v>#N/A</v>
      </c>
      <c r="AV476" s="16">
        <f t="shared" si="226"/>
        <v>1.6840709245856109E-2</v>
      </c>
      <c r="AW476" s="34">
        <f t="shared" si="236"/>
        <v>0.63439181633293629</v>
      </c>
      <c r="AX476" s="34">
        <f t="shared" si="227"/>
        <v>0.41042297519743443</v>
      </c>
      <c r="AY476" s="16">
        <f t="shared" si="228"/>
        <v>56.800000000000537</v>
      </c>
      <c r="AZ476" s="16" t="e">
        <f t="shared" si="229"/>
        <v>#N/A</v>
      </c>
      <c r="BA476" s="16">
        <f t="shared" si="237"/>
        <v>7.726975111600024E-3</v>
      </c>
      <c r="BB476" s="34">
        <f t="shared" si="238"/>
        <v>0.49777310527861118</v>
      </c>
      <c r="BC476" s="34">
        <f t="shared" si="230"/>
        <v>0.52383648045361042</v>
      </c>
      <c r="BD476" s="16">
        <f t="shared" si="231"/>
        <v>49.800000000000438</v>
      </c>
      <c r="BE476" s="16" t="e">
        <f t="shared" si="232"/>
        <v>#N/A</v>
      </c>
      <c r="BF476" s="16">
        <f t="shared" si="233"/>
        <v>1.0448503565242084E-2</v>
      </c>
      <c r="BU476" s="16">
        <f t="shared" si="216"/>
        <v>0</v>
      </c>
      <c r="BV476" s="16">
        <f>IF($BY$12=1,NORMDIST(BY476,$Y$6,$Y$8,TRUE),IF($BY$12=2,IF(BY476&lt;=$BX$31,0,IF(BY476&gt;=$BX$32,1,(BY476-$BX$31)*$BX$33)),SUM($BU$42:BU476)/$BV$40))</f>
        <v>0.37069998105935309</v>
      </c>
      <c r="BW476" s="16">
        <f t="shared" si="217"/>
        <v>0.81982746807198736</v>
      </c>
      <c r="BX476" s="16">
        <f>IF($BY$12&lt;3,BV476,SUM($BZ$42:BZ476)/$BX$40)</f>
        <v>0.37069998105935309</v>
      </c>
      <c r="BY476" s="16">
        <f t="shared" si="240"/>
        <v>43.400000000000347</v>
      </c>
      <c r="BZ476" s="16">
        <f t="shared" si="208"/>
        <v>1.8890033826543338E-2</v>
      </c>
      <c r="CA476" s="16">
        <f t="shared" si="218"/>
        <v>-999</v>
      </c>
      <c r="CB476" s="16" t="str">
        <f t="shared" si="209"/>
        <v/>
      </c>
      <c r="CC476" s="16" t="e">
        <f>IF(CB476="",NA(),COUNTIF(CB476:$CB$704,CB476))</f>
        <v>#N/A</v>
      </c>
      <c r="CD476" s="16" t="e">
        <f t="shared" si="210"/>
        <v>#N/A</v>
      </c>
      <c r="CE476" s="16" t="e">
        <f t="shared" si="211"/>
        <v>#N/A</v>
      </c>
      <c r="CF476" s="16">
        <f t="shared" si="212"/>
        <v>99</v>
      </c>
      <c r="CG476" s="16">
        <f t="shared" si="213"/>
        <v>0</v>
      </c>
      <c r="CH476" s="16">
        <f t="shared" si="239"/>
        <v>0</v>
      </c>
      <c r="CJ476" s="16" t="e">
        <f t="shared" si="214"/>
        <v>#N/A</v>
      </c>
      <c r="CK476" s="16" t="str">
        <f t="shared" si="215"/>
        <v/>
      </c>
    </row>
    <row r="477" spans="1:89" ht="12" customHeight="1">
      <c r="A477" s="211"/>
      <c r="B477" s="211"/>
      <c r="C477" s="211"/>
      <c r="D477" s="211"/>
      <c r="E477" s="211"/>
      <c r="F477" s="211"/>
      <c r="G477" s="211"/>
      <c r="H477" s="211"/>
      <c r="I477" s="211"/>
      <c r="J477" s="211"/>
      <c r="K477" s="211"/>
      <c r="L477" s="211"/>
      <c r="M477" s="211"/>
      <c r="N477" s="211"/>
      <c r="O477" s="211"/>
      <c r="AM477" s="34">
        <f t="shared" si="234"/>
        <v>0.81600526161491871</v>
      </c>
      <c r="AN477" s="34">
        <f t="shared" si="219"/>
        <v>0.22421758808195591</v>
      </c>
      <c r="AO477" s="16">
        <f t="shared" si="220"/>
        <v>68.000000000000412</v>
      </c>
      <c r="AP477" s="16" t="e">
        <f t="shared" si="221"/>
        <v>#N/A</v>
      </c>
      <c r="AQ477" s="16">
        <f t="shared" si="222"/>
        <v>2.9830496478241097E-3</v>
      </c>
      <c r="AR477" s="34">
        <f t="shared" si="235"/>
        <v>0.80491488613188267</v>
      </c>
      <c r="AS477" s="34">
        <f t="shared" si="223"/>
        <v>0.32521234638988972</v>
      </c>
      <c r="AT477" s="540">
        <f t="shared" si="224"/>
        <v>67.100000000000463</v>
      </c>
      <c r="AU477" s="16" t="e">
        <f t="shared" si="225"/>
        <v>#N/A</v>
      </c>
      <c r="AV477" s="16">
        <f t="shared" si="226"/>
        <v>4.5009794818424943E-3</v>
      </c>
      <c r="AW477" s="34">
        <f t="shared" si="236"/>
        <v>8.7473021820187569E-2</v>
      </c>
      <c r="AX477" s="34">
        <f t="shared" si="227"/>
        <v>0.3553511593490839</v>
      </c>
      <c r="AY477" s="16">
        <f t="shared" si="228"/>
        <v>22.800000000000054</v>
      </c>
      <c r="AZ477" s="16" t="e">
        <f t="shared" si="229"/>
        <v>#N/A</v>
      </c>
      <c r="BA477" s="16">
        <f t="shared" si="237"/>
        <v>2.8112681347940787E-3</v>
      </c>
      <c r="BB477" s="34">
        <f t="shared" si="238"/>
        <v>0.61441035009920597</v>
      </c>
      <c r="BC477" s="34">
        <f t="shared" si="230"/>
        <v>0.48832661099731922</v>
      </c>
      <c r="BD477" s="16">
        <f t="shared" si="231"/>
        <v>55.800000000000523</v>
      </c>
      <c r="BE477" s="16" t="e">
        <f t="shared" si="232"/>
        <v>#N/A</v>
      </c>
      <c r="BF477" s="16">
        <f t="shared" si="233"/>
        <v>9.3396021974459439E-3</v>
      </c>
      <c r="BU477" s="16">
        <f t="shared" si="216"/>
        <v>0</v>
      </c>
      <c r="BV477" s="16">
        <f>IF($BY$12=1,NORMDIST(BY477,$Y$6,$Y$8,TRUE),IF($BY$12=2,IF(BY477&lt;=$BX$31,0,IF(BY477&gt;=$BX$32,1,(BY477-$BX$31)*$BX$33)),SUM($BU$42:BU477)/$BV$40))</f>
        <v>0.37259053584672264</v>
      </c>
      <c r="BW477" s="16">
        <f t="shared" si="217"/>
        <v>0.82306313445606838</v>
      </c>
      <c r="BX477" s="16">
        <f>IF($BY$12&lt;3,BV477,SUM($BZ$42:BZ477)/$BX$40)</f>
        <v>0.37259053584672264</v>
      </c>
      <c r="BY477" s="16">
        <f t="shared" si="240"/>
        <v>43.500000000000348</v>
      </c>
      <c r="BZ477" s="16">
        <f t="shared" si="208"/>
        <v>1.8920991596691077E-2</v>
      </c>
      <c r="CA477" s="16">
        <f t="shared" si="218"/>
        <v>-999</v>
      </c>
      <c r="CB477" s="16" t="str">
        <f t="shared" si="209"/>
        <v/>
      </c>
      <c r="CC477" s="16" t="e">
        <f>IF(CB477="",NA(),COUNTIF(CB477:$CB$704,CB477))</f>
        <v>#N/A</v>
      </c>
      <c r="CD477" s="16" t="e">
        <f t="shared" si="210"/>
        <v>#N/A</v>
      </c>
      <c r="CE477" s="16" t="e">
        <f t="shared" si="211"/>
        <v>#N/A</v>
      </c>
      <c r="CF477" s="16">
        <f t="shared" si="212"/>
        <v>99</v>
      </c>
      <c r="CG477" s="16">
        <f t="shared" si="213"/>
        <v>0</v>
      </c>
      <c r="CH477" s="16">
        <f t="shared" si="239"/>
        <v>0</v>
      </c>
      <c r="CJ477" s="16" t="e">
        <f t="shared" si="214"/>
        <v>#N/A</v>
      </c>
      <c r="CK477" s="16" t="str">
        <f t="shared" si="215"/>
        <v/>
      </c>
    </row>
    <row r="478" spans="1:89" ht="12" customHeight="1">
      <c r="A478" s="211"/>
      <c r="B478" s="211"/>
      <c r="C478" s="211"/>
      <c r="D478" s="211"/>
      <c r="E478" s="211"/>
      <c r="F478" s="211"/>
      <c r="G478" s="211"/>
      <c r="H478" s="211"/>
      <c r="I478" s="211"/>
      <c r="J478" s="211"/>
      <c r="K478" s="211"/>
      <c r="L478" s="211"/>
      <c r="M478" s="211"/>
      <c r="N478" s="211"/>
      <c r="O478" s="211"/>
      <c r="AM478" s="34">
        <f t="shared" si="234"/>
        <v>0.79564820416271687</v>
      </c>
      <c r="AN478" s="34">
        <f t="shared" si="219"/>
        <v>0.38505382277071476</v>
      </c>
      <c r="AO478" s="16">
        <f t="shared" si="220"/>
        <v>66.500000000000497</v>
      </c>
      <c r="AP478" s="16" t="e">
        <f t="shared" si="221"/>
        <v>#N/A</v>
      </c>
      <c r="AQ478" s="16">
        <f t="shared" si="222"/>
        <v>5.465195079575165E-3</v>
      </c>
      <c r="AR478" s="34">
        <f t="shared" si="235"/>
        <v>0.69165940023958683</v>
      </c>
      <c r="AS478" s="34">
        <f t="shared" si="223"/>
        <v>0.99396807141602039</v>
      </c>
      <c r="AT478" s="540">
        <f t="shared" si="224"/>
        <v>60.000000000000583</v>
      </c>
      <c r="AU478" s="16" t="e">
        <f t="shared" si="225"/>
        <v>#N/A</v>
      </c>
      <c r="AV478" s="16" t="e">
        <f t="shared" si="226"/>
        <v>#N/A</v>
      </c>
      <c r="AW478" s="34">
        <f t="shared" si="236"/>
        <v>0.21305591054260731</v>
      </c>
      <c r="AX478" s="34">
        <f t="shared" si="227"/>
        <v>0.87515291012823582</v>
      </c>
      <c r="AY478" s="16">
        <f t="shared" si="228"/>
        <v>34.000000000000213</v>
      </c>
      <c r="AZ478" s="16" t="e">
        <f t="shared" si="229"/>
        <v>#N/A</v>
      </c>
      <c r="BA478" s="16">
        <f t="shared" si="237"/>
        <v>1.2676220271939057E-2</v>
      </c>
      <c r="BB478" s="34">
        <f t="shared" si="238"/>
        <v>0.4582191351801157</v>
      </c>
      <c r="BC478" s="34">
        <f t="shared" si="230"/>
        <v>0.30864991433918476</v>
      </c>
      <c r="BD478" s="16">
        <f t="shared" si="231"/>
        <v>47.900000000000411</v>
      </c>
      <c r="BE478" s="16" t="e">
        <f t="shared" si="232"/>
        <v>#N/A</v>
      </c>
      <c r="BF478" s="16">
        <f t="shared" si="233"/>
        <v>6.1228297342990927E-3</v>
      </c>
      <c r="BU478" s="16">
        <f t="shared" si="216"/>
        <v>0</v>
      </c>
      <c r="BV478" s="16">
        <f>IF($BY$12=1,NORMDIST(BY478,$Y$6,$Y$8,TRUE),IF($BY$12=2,IF(BY478&lt;=$BX$31,0,IF(BY478&gt;=$BX$32,1,(BY478-$BX$31)*$BX$33)),SUM($BU$42:BU478)/$BV$40))</f>
        <v>0.3744841652766866</v>
      </c>
      <c r="BW478" s="16">
        <f t="shared" si="217"/>
        <v>0.82628654701290083</v>
      </c>
      <c r="BX478" s="16">
        <f>IF($BY$12&lt;3,BV478,SUM($BZ$42:BZ478)/$BX$40)</f>
        <v>0.3744841652766866</v>
      </c>
      <c r="BY478" s="16">
        <f t="shared" si="240"/>
        <v>43.60000000000035</v>
      </c>
      <c r="BZ478" s="16">
        <f t="shared" si="208"/>
        <v>1.8951526307635188E-2</v>
      </c>
      <c r="CA478" s="16">
        <f t="shared" si="218"/>
        <v>-999</v>
      </c>
      <c r="CB478" s="16" t="str">
        <f t="shared" si="209"/>
        <v/>
      </c>
      <c r="CC478" s="16" t="e">
        <f>IF(CB478="",NA(),COUNTIF(CB478:$CB$704,CB478))</f>
        <v>#N/A</v>
      </c>
      <c r="CD478" s="16" t="e">
        <f t="shared" si="210"/>
        <v>#N/A</v>
      </c>
      <c r="CE478" s="16" t="e">
        <f t="shared" si="211"/>
        <v>#N/A</v>
      </c>
      <c r="CF478" s="16">
        <f t="shared" si="212"/>
        <v>99</v>
      </c>
      <c r="CG478" s="16">
        <f t="shared" si="213"/>
        <v>0</v>
      </c>
      <c r="CH478" s="16">
        <f t="shared" si="239"/>
        <v>0</v>
      </c>
      <c r="CJ478" s="16" t="e">
        <f t="shared" si="214"/>
        <v>#N/A</v>
      </c>
      <c r="CK478" s="16" t="str">
        <f t="shared" si="215"/>
        <v/>
      </c>
    </row>
    <row r="479" spans="1:89" ht="12" customHeight="1">
      <c r="A479" s="211"/>
      <c r="B479" s="211"/>
      <c r="C479" s="211"/>
      <c r="D479" s="211"/>
      <c r="E479" s="211"/>
      <c r="F479" s="211"/>
      <c r="G479" s="211"/>
      <c r="H479" s="211"/>
      <c r="I479" s="211"/>
      <c r="J479" s="211"/>
      <c r="K479" s="211"/>
      <c r="L479" s="211"/>
      <c r="M479" s="211"/>
      <c r="N479" s="211"/>
      <c r="O479" s="211"/>
      <c r="AM479" s="34">
        <f t="shared" si="234"/>
        <v>0.23340684361755848</v>
      </c>
      <c r="AN479" s="34">
        <f t="shared" si="219"/>
        <v>0.47046455182135105</v>
      </c>
      <c r="AO479" s="16">
        <f t="shared" si="220"/>
        <v>35.400000000000233</v>
      </c>
      <c r="AP479" s="16" t="e">
        <f t="shared" si="221"/>
        <v>#N/A</v>
      </c>
      <c r="AQ479" s="16">
        <f t="shared" si="222"/>
        <v>7.1893431242092106E-3</v>
      </c>
      <c r="AR479" s="34">
        <f t="shared" si="235"/>
        <v>0.63574513234198093</v>
      </c>
      <c r="AS479" s="34">
        <f t="shared" si="223"/>
        <v>0.58810652978718281</v>
      </c>
      <c r="AT479" s="540">
        <f t="shared" si="224"/>
        <v>56.900000000000539</v>
      </c>
      <c r="AU479" s="16" t="e">
        <f t="shared" si="225"/>
        <v>#N/A</v>
      </c>
      <c r="AV479" s="16">
        <f t="shared" si="226"/>
        <v>1.1053253265913519E-2</v>
      </c>
      <c r="AW479" s="34">
        <f t="shared" si="236"/>
        <v>0.47827018983662128</v>
      </c>
      <c r="AX479" s="34">
        <f t="shared" si="227"/>
        <v>0.11587868072092533</v>
      </c>
      <c r="AY479" s="16">
        <f t="shared" si="228"/>
        <v>48.900000000000425</v>
      </c>
      <c r="AZ479" s="16" t="e">
        <f t="shared" si="229"/>
        <v>#N/A</v>
      </c>
      <c r="BA479" s="16">
        <f t="shared" si="237"/>
        <v>2.3079518384484464E-3</v>
      </c>
      <c r="BB479" s="34">
        <f t="shared" si="238"/>
        <v>0.15584073401987553</v>
      </c>
      <c r="BC479" s="34">
        <f t="shared" si="230"/>
        <v>0.36612829752266407</v>
      </c>
      <c r="BD479" s="16">
        <f t="shared" si="231"/>
        <v>29.700000000000152</v>
      </c>
      <c r="BE479" s="16" t="e">
        <f t="shared" si="232"/>
        <v>#N/A</v>
      </c>
      <c r="BF479" s="16">
        <f t="shared" si="233"/>
        <v>4.3631771883261413E-3</v>
      </c>
      <c r="BU479" s="16">
        <f t="shared" si="216"/>
        <v>0</v>
      </c>
      <c r="BV479" s="16">
        <f>IF($BY$12=1,NORMDIST(BY479,$Y$6,$Y$8,TRUE),IF($BY$12=2,IF(BY479&lt;=$BX$31,0,IF(BY479&gt;=$BX$32,1,(BY479-$BX$31)*$BX$33)),SUM($BU$42:BU479)/$BV$40))</f>
        <v>0.37638082693255526</v>
      </c>
      <c r="BW479" s="16">
        <f t="shared" si="217"/>
        <v>0.82949748221793551</v>
      </c>
      <c r="BX479" s="16">
        <f>IF($BY$12&lt;3,BV479,SUM($BZ$42:BZ479)/$BX$40)</f>
        <v>0.37638082693255526</v>
      </c>
      <c r="BY479" s="16">
        <f t="shared" si="240"/>
        <v>43.700000000000351</v>
      </c>
      <c r="BZ479" s="16">
        <f t="shared" si="208"/>
        <v>1.8981635748694024E-2</v>
      </c>
      <c r="CA479" s="16">
        <f t="shared" si="218"/>
        <v>-999</v>
      </c>
      <c r="CB479" s="16" t="str">
        <f t="shared" si="209"/>
        <v/>
      </c>
      <c r="CC479" s="16" t="e">
        <f>IF(CB479="",NA(),COUNTIF(CB479:$CB$704,CB479))</f>
        <v>#N/A</v>
      </c>
      <c r="CD479" s="16" t="e">
        <f t="shared" si="210"/>
        <v>#N/A</v>
      </c>
      <c r="CE479" s="16" t="e">
        <f t="shared" si="211"/>
        <v>#N/A</v>
      </c>
      <c r="CF479" s="16">
        <f t="shared" si="212"/>
        <v>99</v>
      </c>
      <c r="CG479" s="16">
        <f t="shared" si="213"/>
        <v>0</v>
      </c>
      <c r="CH479" s="16">
        <f t="shared" si="239"/>
        <v>0</v>
      </c>
      <c r="CJ479" s="16" t="e">
        <f t="shared" si="214"/>
        <v>#N/A</v>
      </c>
      <c r="CK479" s="16" t="str">
        <f t="shared" si="215"/>
        <v/>
      </c>
    </row>
    <row r="480" spans="1:89" ht="12" customHeight="1">
      <c r="A480" s="211"/>
      <c r="B480" s="211"/>
      <c r="C480" s="211"/>
      <c r="D480" s="211"/>
      <c r="E480" s="211"/>
      <c r="F480" s="211"/>
      <c r="G480" s="211"/>
      <c r="H480" s="211"/>
      <c r="I480" s="211"/>
      <c r="J480" s="211"/>
      <c r="K480" s="211"/>
      <c r="L480" s="211"/>
      <c r="M480" s="211"/>
      <c r="N480" s="211"/>
      <c r="O480" s="211"/>
      <c r="AM480" s="34">
        <f t="shared" si="234"/>
        <v>0.63425268419086933</v>
      </c>
      <c r="AN480" s="34">
        <f t="shared" si="219"/>
        <v>8.719358779489994E-2</v>
      </c>
      <c r="AO480" s="16">
        <f t="shared" si="220"/>
        <v>56.800000000000537</v>
      </c>
      <c r="AP480" s="16" t="e">
        <f t="shared" si="221"/>
        <v>#N/A</v>
      </c>
      <c r="AQ480" s="16">
        <f t="shared" si="222"/>
        <v>1.6415813039174982E-3</v>
      </c>
      <c r="AR480" s="34">
        <f t="shared" si="235"/>
        <v>0.94325671531260014</v>
      </c>
      <c r="AS480" s="34">
        <f t="shared" si="223"/>
        <v>0.41546330042183399</v>
      </c>
      <c r="AT480" s="540">
        <f t="shared" si="224"/>
        <v>81.599999999999639</v>
      </c>
      <c r="AU480" s="16" t="e">
        <f t="shared" si="225"/>
        <v>#N/A</v>
      </c>
      <c r="AV480" s="16">
        <f t="shared" si="226"/>
        <v>2.3786271114934919E-3</v>
      </c>
      <c r="AW480" s="34">
        <f t="shared" si="236"/>
        <v>0.31363210268318653</v>
      </c>
      <c r="AX480" s="34">
        <f t="shared" si="227"/>
        <v>0.10404920019209385</v>
      </c>
      <c r="AY480" s="16">
        <f t="shared" si="228"/>
        <v>40.200000000000301</v>
      </c>
      <c r="AZ480" s="16" t="e">
        <f t="shared" si="229"/>
        <v>#N/A</v>
      </c>
      <c r="BA480" s="16">
        <f t="shared" si="237"/>
        <v>1.8406947084181513E-3</v>
      </c>
      <c r="BB480" s="34">
        <f t="shared" si="238"/>
        <v>0.73489450849592686</v>
      </c>
      <c r="BC480" s="34">
        <f t="shared" si="230"/>
        <v>0.63858787901699543</v>
      </c>
      <c r="BD480" s="16">
        <f t="shared" si="231"/>
        <v>62.500000000000618</v>
      </c>
      <c r="BE480" s="16" t="e">
        <f t="shared" si="232"/>
        <v>#N/A</v>
      </c>
      <c r="BF480" s="16">
        <f t="shared" si="233"/>
        <v>1.0477980844137142E-2</v>
      </c>
      <c r="BU480" s="16">
        <f t="shared" si="216"/>
        <v>0</v>
      </c>
      <c r="BV480" s="16">
        <f>IF($BY$12=1,NORMDIST(BY480,$Y$6,$Y$8,TRUE),IF($BY$12=2,IF(BY480&lt;=$BX$31,0,IF(BY480&gt;=$BX$32,1,(BY480-$BX$31)*$BX$33)),SUM($BU$42:BU480)/$BV$40))</f>
        <v>0.37828047817798738</v>
      </c>
      <c r="BW480" s="16">
        <f t="shared" si="217"/>
        <v>0.83269571690541277</v>
      </c>
      <c r="BX480" s="16">
        <f>IF($BY$12&lt;3,BV480,SUM($BZ$42:BZ480)/$BX$40)</f>
        <v>0.37828047817798738</v>
      </c>
      <c r="BY480" s="16">
        <f t="shared" si="240"/>
        <v>43.800000000000352</v>
      </c>
      <c r="BZ480" s="16">
        <f t="shared" si="208"/>
        <v>1.9011317737566348E-2</v>
      </c>
      <c r="CA480" s="16">
        <f t="shared" si="218"/>
        <v>-999</v>
      </c>
      <c r="CB480" s="16" t="str">
        <f t="shared" si="209"/>
        <v/>
      </c>
      <c r="CC480" s="16" t="e">
        <f>IF(CB480="",NA(),COUNTIF(CB480:$CB$704,CB480))</f>
        <v>#N/A</v>
      </c>
      <c r="CD480" s="16" t="e">
        <f t="shared" si="210"/>
        <v>#N/A</v>
      </c>
      <c r="CE480" s="16" t="e">
        <f t="shared" si="211"/>
        <v>#N/A</v>
      </c>
      <c r="CF480" s="16">
        <f t="shared" si="212"/>
        <v>99</v>
      </c>
      <c r="CG480" s="16">
        <f t="shared" si="213"/>
        <v>0</v>
      </c>
      <c r="CH480" s="16">
        <f t="shared" si="239"/>
        <v>0</v>
      </c>
      <c r="CJ480" s="16" t="e">
        <f t="shared" si="214"/>
        <v>#N/A</v>
      </c>
      <c r="CK480" s="16" t="str">
        <f t="shared" si="215"/>
        <v/>
      </c>
    </row>
    <row r="481" spans="1:89" ht="12" customHeight="1">
      <c r="A481" s="211"/>
      <c r="B481" s="211"/>
      <c r="C481" s="211"/>
      <c r="D481" s="211"/>
      <c r="E481" s="211"/>
      <c r="F481" s="211"/>
      <c r="G481" s="211"/>
      <c r="H481" s="211"/>
      <c r="I481" s="211"/>
      <c r="J481" s="211"/>
      <c r="K481" s="211"/>
      <c r="L481" s="211"/>
      <c r="M481" s="211"/>
      <c r="N481" s="211"/>
      <c r="O481" s="211"/>
      <c r="AM481" s="34">
        <f t="shared" si="234"/>
        <v>1.1465640738606453E-2</v>
      </c>
      <c r="AN481" s="34">
        <f t="shared" si="219"/>
        <v>0.55643939413130283</v>
      </c>
      <c r="AO481" s="16">
        <f t="shared" si="220"/>
        <v>4.5</v>
      </c>
      <c r="AP481" s="16" t="e">
        <f t="shared" si="221"/>
        <v>#N/A</v>
      </c>
      <c r="AQ481" s="16">
        <f t="shared" si="222"/>
        <v>8.3449790414096361E-4</v>
      </c>
      <c r="AR481" s="34">
        <f t="shared" si="235"/>
        <v>0.40524124540388584</v>
      </c>
      <c r="AS481" s="34">
        <f t="shared" si="223"/>
        <v>0.72217504866421223</v>
      </c>
      <c r="AT481" s="540">
        <f t="shared" si="224"/>
        <v>45.200000000000372</v>
      </c>
      <c r="AU481" s="16" t="e">
        <f t="shared" si="225"/>
        <v>#N/A</v>
      </c>
      <c r="AV481" s="16">
        <f t="shared" si="226"/>
        <v>1.3996352394548278E-2</v>
      </c>
      <c r="AW481" s="34">
        <f t="shared" si="236"/>
        <v>0.35456054098904133</v>
      </c>
      <c r="AX481" s="34">
        <f t="shared" si="227"/>
        <v>1.9177446141839027E-2</v>
      </c>
      <c r="AY481" s="16">
        <f t="shared" si="228"/>
        <v>42.500000000000334</v>
      </c>
      <c r="AZ481" s="16" t="e">
        <f t="shared" si="229"/>
        <v>#N/A</v>
      </c>
      <c r="BA481" s="16">
        <f t="shared" si="237"/>
        <v>3.5656155176280166E-4</v>
      </c>
      <c r="BB481" s="34">
        <f t="shared" si="238"/>
        <v>9.1812381520867348E-2</v>
      </c>
      <c r="BC481" s="34">
        <f t="shared" si="230"/>
        <v>8.7696332484483719E-3</v>
      </c>
      <c r="BD481" s="16">
        <f t="shared" si="231"/>
        <v>23.400000000000063</v>
      </c>
      <c r="BE481" s="16" t="e">
        <f t="shared" si="232"/>
        <v>#N/A</v>
      </c>
      <c r="BF481" s="16">
        <f t="shared" si="233"/>
        <v>7.2235344263783078E-5</v>
      </c>
      <c r="BU481" s="16">
        <f t="shared" si="216"/>
        <v>0</v>
      </c>
      <c r="BV481" s="16">
        <f>IF($BY$12=1,NORMDIST(BY481,$Y$6,$Y$8,TRUE),IF($BY$12=2,IF(BY481&lt;=$BX$31,0,IF(BY481&gt;=$BX$32,1,(BY481-$BX$31)*$BX$33)),SUM($BU$42:BU481)/$BV$40))</f>
        <v>0.3801830761598417</v>
      </c>
      <c r="BW481" s="16">
        <f t="shared" si="217"/>
        <v>0.83588102829411925</v>
      </c>
      <c r="BX481" s="16">
        <f>IF($BY$12&lt;3,BV481,SUM($BZ$42:BZ481)/$BX$40)</f>
        <v>0.3801830761598417</v>
      </c>
      <c r="BY481" s="16">
        <f t="shared" si="240"/>
        <v>43.900000000000354</v>
      </c>
      <c r="BZ481" s="16">
        <f t="shared" si="208"/>
        <v>1.9040570120594819E-2</v>
      </c>
      <c r="CA481" s="16">
        <f t="shared" si="218"/>
        <v>-999</v>
      </c>
      <c r="CB481" s="16" t="str">
        <f t="shared" si="209"/>
        <v/>
      </c>
      <c r="CC481" s="16" t="e">
        <f>IF(CB481="",NA(),COUNTIF(CB481:$CB$704,CB481))</f>
        <v>#N/A</v>
      </c>
      <c r="CD481" s="16" t="e">
        <f t="shared" si="210"/>
        <v>#N/A</v>
      </c>
      <c r="CE481" s="16" t="e">
        <f t="shared" si="211"/>
        <v>#N/A</v>
      </c>
      <c r="CF481" s="16">
        <f t="shared" si="212"/>
        <v>99</v>
      </c>
      <c r="CG481" s="16">
        <f t="shared" si="213"/>
        <v>0</v>
      </c>
      <c r="CH481" s="16">
        <f t="shared" si="239"/>
        <v>0</v>
      </c>
      <c r="CJ481" s="16" t="e">
        <f t="shared" si="214"/>
        <v>#N/A</v>
      </c>
      <c r="CK481" s="16" t="str">
        <f t="shared" si="215"/>
        <v/>
      </c>
    </row>
    <row r="482" spans="1:89" ht="12" customHeight="1">
      <c r="A482" s="211"/>
      <c r="B482" s="211"/>
      <c r="C482" s="211"/>
      <c r="D482" s="211"/>
      <c r="E482" s="211"/>
      <c r="F482" s="211"/>
      <c r="G482" s="211"/>
      <c r="H482" s="211"/>
      <c r="I482" s="211"/>
      <c r="J482" s="211"/>
      <c r="K482" s="211"/>
      <c r="L482" s="211"/>
      <c r="M482" s="211"/>
      <c r="N482" s="211"/>
      <c r="O482" s="211"/>
      <c r="AM482" s="34">
        <f t="shared" si="234"/>
        <v>0.17502515204250813</v>
      </c>
      <c r="AN482" s="34">
        <f t="shared" si="219"/>
        <v>0.79575205780565739</v>
      </c>
      <c r="AO482" s="16">
        <f t="shared" si="220"/>
        <v>31.300000000000175</v>
      </c>
      <c r="AP482" s="16" t="e">
        <f t="shared" si="221"/>
        <v>#N/A</v>
      </c>
      <c r="AQ482" s="16">
        <f t="shared" si="222"/>
        <v>1.0252323321330916E-2</v>
      </c>
      <c r="AR482" s="34">
        <f t="shared" si="235"/>
        <v>0.87491775490343571</v>
      </c>
      <c r="AS482" s="34">
        <f t="shared" si="223"/>
        <v>0.92296517081558704</v>
      </c>
      <c r="AT482" s="540">
        <f t="shared" si="224"/>
        <v>72.900000000000134</v>
      </c>
      <c r="AU482" s="16" t="e">
        <f t="shared" si="225"/>
        <v>#N/A</v>
      </c>
      <c r="AV482" s="16">
        <f t="shared" si="226"/>
        <v>9.5582838014506757E-3</v>
      </c>
      <c r="AW482" s="34">
        <f t="shared" si="236"/>
        <v>0.71072519011795521</v>
      </c>
      <c r="AX482" s="34">
        <f t="shared" si="227"/>
        <v>0.14060702361166477</v>
      </c>
      <c r="AY482" s="16">
        <f t="shared" si="228"/>
        <v>61.100000000000598</v>
      </c>
      <c r="AZ482" s="16" t="e">
        <f t="shared" si="229"/>
        <v>#N/A</v>
      </c>
      <c r="BA482" s="16">
        <f t="shared" si="237"/>
        <v>2.4043644962932435E-3</v>
      </c>
      <c r="BB482" s="34">
        <f t="shared" si="238"/>
        <v>0.4464897159487009</v>
      </c>
      <c r="BC482" s="34">
        <f t="shared" si="230"/>
        <v>0.96385331638157368</v>
      </c>
      <c r="BD482" s="16">
        <f t="shared" si="231"/>
        <v>47.300000000000402</v>
      </c>
      <c r="BE482" s="16" t="e">
        <f t="shared" si="232"/>
        <v>#N/A</v>
      </c>
      <c r="BF482" s="16">
        <f t="shared" si="233"/>
        <v>1.9051690062787358E-2</v>
      </c>
      <c r="BU482" s="16">
        <f t="shared" si="216"/>
        <v>0</v>
      </c>
      <c r="BV482" s="16">
        <f>IF($BY$12=1,NORMDIST(BY482,$Y$6,$Y$8,TRUE),IF($BY$12=2,IF(BY482&lt;=$BX$31,0,IF(BY482&gt;=$BX$32,1,(BY482-$BX$31)*$BX$33)),SUM($BU$42:BU482)/$BV$40))</f>
        <v>0.3820885778110541</v>
      </c>
      <c r="BW482" s="16">
        <f t="shared" si="217"/>
        <v>0.83905319401316403</v>
      </c>
      <c r="BX482" s="16">
        <f>IF($BY$12&lt;3,BV482,SUM($BZ$42:BZ482)/$BX$40)</f>
        <v>0.3820885778110541</v>
      </c>
      <c r="BY482" s="16">
        <f t="shared" si="240"/>
        <v>44.000000000000355</v>
      </c>
      <c r="BZ482" s="16">
        <f t="shared" si="208"/>
        <v>1.9069390773026301E-2</v>
      </c>
      <c r="CA482" s="16">
        <f t="shared" si="218"/>
        <v>-999</v>
      </c>
      <c r="CB482" s="16" t="str">
        <f t="shared" si="209"/>
        <v/>
      </c>
      <c r="CC482" s="16" t="e">
        <f>IF(CB482="",NA(),COUNTIF(CB482:$CB$704,CB482))</f>
        <v>#N/A</v>
      </c>
      <c r="CD482" s="16" t="e">
        <f t="shared" si="210"/>
        <v>#N/A</v>
      </c>
      <c r="CE482" s="16" t="e">
        <f t="shared" si="211"/>
        <v>#N/A</v>
      </c>
      <c r="CF482" s="16">
        <f t="shared" si="212"/>
        <v>99</v>
      </c>
      <c r="CG482" s="16">
        <f t="shared" si="213"/>
        <v>0</v>
      </c>
      <c r="CH482" s="16">
        <f t="shared" si="239"/>
        <v>0</v>
      </c>
      <c r="CJ482" s="16" t="e">
        <f t="shared" si="214"/>
        <v>#N/A</v>
      </c>
      <c r="CK482" s="16" t="str">
        <f t="shared" si="215"/>
        <v/>
      </c>
    </row>
    <row r="483" spans="1:89" ht="12" customHeight="1">
      <c r="A483" s="211"/>
      <c r="B483" s="211"/>
      <c r="C483" s="211"/>
      <c r="D483" s="211"/>
      <c r="E483" s="211"/>
      <c r="F483" s="211"/>
      <c r="G483" s="211"/>
      <c r="H483" s="211"/>
      <c r="I483" s="211"/>
      <c r="J483" s="211"/>
      <c r="K483" s="211"/>
      <c r="L483" s="211"/>
      <c r="M483" s="211"/>
      <c r="N483" s="211"/>
      <c r="O483" s="211"/>
      <c r="AM483" s="34">
        <f t="shared" si="234"/>
        <v>0.92283332534134388</v>
      </c>
      <c r="AN483" s="34">
        <f t="shared" si="219"/>
        <v>0.25024666823446751</v>
      </c>
      <c r="AO483" s="16">
        <f t="shared" si="220"/>
        <v>78.399999999999821</v>
      </c>
      <c r="AP483" s="16" t="e">
        <f t="shared" si="221"/>
        <v>#N/A</v>
      </c>
      <c r="AQ483" s="16">
        <f t="shared" si="222"/>
        <v>1.8213469278147733E-3</v>
      </c>
      <c r="AR483" s="34">
        <f t="shared" si="235"/>
        <v>0.70670309104025364</v>
      </c>
      <c r="AS483" s="34">
        <f t="shared" si="223"/>
        <v>9.7542719915509224E-2</v>
      </c>
      <c r="AT483" s="540">
        <f t="shared" si="224"/>
        <v>60.800000000000594</v>
      </c>
      <c r="AU483" s="16" t="e">
        <f t="shared" si="225"/>
        <v>#N/A</v>
      </c>
      <c r="AV483" s="16">
        <f t="shared" si="226"/>
        <v>1.6817242868111006E-3</v>
      </c>
      <c r="AW483" s="34">
        <f t="shared" si="236"/>
        <v>6.4007954671978951E-2</v>
      </c>
      <c r="AX483" s="34">
        <f t="shared" si="227"/>
        <v>0.37882320024073124</v>
      </c>
      <c r="AY483" s="16">
        <f t="shared" si="228"/>
        <v>19.500000000000007</v>
      </c>
      <c r="AZ483" s="16" t="e">
        <f t="shared" si="229"/>
        <v>#N/A</v>
      </c>
      <c r="BA483" s="16">
        <f t="shared" si="237"/>
        <v>2.3621832547962738E-3</v>
      </c>
      <c r="BB483" s="34">
        <f t="shared" si="238"/>
        <v>0.69390884973108768</v>
      </c>
      <c r="BC483" s="34">
        <f t="shared" si="230"/>
        <v>0.51812592335045338</v>
      </c>
      <c r="BD483" s="16">
        <f t="shared" si="231"/>
        <v>60.100000000000584</v>
      </c>
      <c r="BE483" s="16" t="e">
        <f t="shared" si="232"/>
        <v>#N/A</v>
      </c>
      <c r="BF483" s="16">
        <f t="shared" si="233"/>
        <v>9.0978216089043391E-3</v>
      </c>
      <c r="BU483" s="16">
        <f t="shared" si="216"/>
        <v>0</v>
      </c>
      <c r="BV483" s="16">
        <f>IF($BY$12=1,NORMDIST(BY483,$Y$6,$Y$8,TRUE),IF($BY$12=2,IF(BY483&lt;=$BX$31,0,IF(BY483&gt;=$BX$32,1,(BY483-$BX$31)*$BX$33)),SUM($BU$42:BU483)/$BV$40))</f>
        <v>0.38399693985354133</v>
      </c>
      <c r="BW483" s="16">
        <f t="shared" si="217"/>
        <v>0.84221199212777009</v>
      </c>
      <c r="BX483" s="16">
        <f>IF($BY$12&lt;3,BV483,SUM($BZ$42:BZ483)/$BX$40)</f>
        <v>0.38399693985354133</v>
      </c>
      <c r="BY483" s="16">
        <f t="shared" si="240"/>
        <v>44.100000000000357</v>
      </c>
      <c r="BZ483" s="16">
        <f t="shared" si="208"/>
        <v>1.9097777599269009E-2</v>
      </c>
      <c r="CA483" s="16">
        <f t="shared" si="218"/>
        <v>-999</v>
      </c>
      <c r="CB483" s="16" t="str">
        <f t="shared" si="209"/>
        <v/>
      </c>
      <c r="CC483" s="16" t="e">
        <f>IF(CB483="",NA(),COUNTIF(CB483:$CB$704,CB483))</f>
        <v>#N/A</v>
      </c>
      <c r="CD483" s="16" t="e">
        <f t="shared" si="210"/>
        <v>#N/A</v>
      </c>
      <c r="CE483" s="16" t="e">
        <f t="shared" si="211"/>
        <v>#N/A</v>
      </c>
      <c r="CF483" s="16">
        <f t="shared" si="212"/>
        <v>99</v>
      </c>
      <c r="CG483" s="16">
        <f t="shared" si="213"/>
        <v>0</v>
      </c>
      <c r="CH483" s="16">
        <f t="shared" si="239"/>
        <v>0</v>
      </c>
      <c r="CJ483" s="16" t="e">
        <f t="shared" si="214"/>
        <v>#N/A</v>
      </c>
      <c r="CK483" s="16" t="str">
        <f t="shared" si="215"/>
        <v/>
      </c>
    </row>
    <row r="484" spans="1:89" ht="12" customHeight="1">
      <c r="A484" s="211"/>
      <c r="B484" s="211"/>
      <c r="C484" s="211"/>
      <c r="D484" s="211"/>
      <c r="E484" s="211"/>
      <c r="F484" s="211"/>
      <c r="G484" s="211"/>
      <c r="H484" s="211"/>
      <c r="I484" s="211"/>
      <c r="J484" s="211"/>
      <c r="K484" s="211"/>
      <c r="L484" s="211"/>
      <c r="M484" s="211"/>
      <c r="N484" s="211"/>
      <c r="O484" s="211"/>
      <c r="AM484" s="34">
        <f t="shared" si="234"/>
        <v>0.9355513621121645</v>
      </c>
      <c r="AN484" s="34">
        <f t="shared" si="219"/>
        <v>0.78328935243189335</v>
      </c>
      <c r="AO484" s="16">
        <f t="shared" si="220"/>
        <v>80.299999999999713</v>
      </c>
      <c r="AP484" s="16" t="e">
        <f t="shared" si="221"/>
        <v>#N/A</v>
      </c>
      <c r="AQ484" s="16">
        <f t="shared" si="222"/>
        <v>4.9590731794942567E-3</v>
      </c>
      <c r="AR484" s="34">
        <f t="shared" si="235"/>
        <v>0.46721045114099979</v>
      </c>
      <c r="AS484" s="34">
        <f t="shared" si="223"/>
        <v>0.5851458627730608</v>
      </c>
      <c r="AT484" s="540">
        <f t="shared" si="224"/>
        <v>48.300000000000416</v>
      </c>
      <c r="AU484" s="16" t="e">
        <f t="shared" si="225"/>
        <v>#N/A</v>
      </c>
      <c r="AV484" s="16">
        <f t="shared" si="226"/>
        <v>1.1629882315888762E-2</v>
      </c>
      <c r="AW484" s="34">
        <f t="shared" si="236"/>
        <v>0.92710891552269459</v>
      </c>
      <c r="AX484" s="34">
        <f t="shared" si="227"/>
        <v>0.20764284767210484</v>
      </c>
      <c r="AY484" s="16">
        <f t="shared" si="228"/>
        <v>78.999999999999787</v>
      </c>
      <c r="AZ484" s="16" t="e">
        <f t="shared" si="229"/>
        <v>#N/A</v>
      </c>
      <c r="BA484" s="16">
        <f t="shared" si="237"/>
        <v>1.4475879934624839E-3</v>
      </c>
      <c r="BB484" s="34">
        <f t="shared" si="238"/>
        <v>0.96914153732359409</v>
      </c>
      <c r="BC484" s="34">
        <f t="shared" si="230"/>
        <v>0.97207592613995075</v>
      </c>
      <c r="BD484" s="16">
        <f t="shared" si="231"/>
        <v>87.299999999999315</v>
      </c>
      <c r="BE484" s="16" t="e">
        <f t="shared" si="232"/>
        <v>#N/A</v>
      </c>
      <c r="BF484" s="16" t="e">
        <f t="shared" si="233"/>
        <v>#N/A</v>
      </c>
      <c r="BU484" s="16">
        <f t="shared" si="216"/>
        <v>0</v>
      </c>
      <c r="BV484" s="16">
        <f>IF($BY$12=1,NORMDIST(BY484,$Y$6,$Y$8,TRUE),IF($BY$12=2,IF(BY484&lt;=$BX$31,0,IF(BY484&gt;=$BX$32,1,(BY484-$BX$31)*$BX$33)),SUM($BU$42:BU484)/$BV$40))</f>
        <v>0.38590811880112952</v>
      </c>
      <c r="BW484" s="16">
        <f t="shared" si="217"/>
        <v>0.84535720116507329</v>
      </c>
      <c r="BX484" s="16">
        <f>IF($BY$12&lt;3,BV484,SUM($BZ$42:BZ484)/$BX$40)</f>
        <v>0.38590811880112952</v>
      </c>
      <c r="BY484" s="16">
        <f t="shared" si="240"/>
        <v>44.200000000000358</v>
      </c>
      <c r="BZ484" s="16">
        <f t="shared" si="208"/>
        <v>1.91257285331463E-2</v>
      </c>
      <c r="CA484" s="16">
        <f t="shared" si="218"/>
        <v>-999</v>
      </c>
      <c r="CB484" s="16" t="str">
        <f t="shared" si="209"/>
        <v/>
      </c>
      <c r="CC484" s="16" t="e">
        <f>IF(CB484="",NA(),COUNTIF(CB484:$CB$704,CB484))</f>
        <v>#N/A</v>
      </c>
      <c r="CD484" s="16" t="e">
        <f t="shared" si="210"/>
        <v>#N/A</v>
      </c>
      <c r="CE484" s="16" t="e">
        <f t="shared" si="211"/>
        <v>#N/A</v>
      </c>
      <c r="CF484" s="16">
        <f t="shared" si="212"/>
        <v>99</v>
      </c>
      <c r="CG484" s="16">
        <f t="shared" si="213"/>
        <v>0</v>
      </c>
      <c r="CH484" s="16">
        <f t="shared" si="239"/>
        <v>0</v>
      </c>
      <c r="CJ484" s="16" t="e">
        <f t="shared" si="214"/>
        <v>#N/A</v>
      </c>
      <c r="CK484" s="16" t="str">
        <f t="shared" si="215"/>
        <v/>
      </c>
    </row>
    <row r="485" spans="1:89" ht="12" customHeight="1">
      <c r="A485" s="211"/>
      <c r="B485" s="211"/>
      <c r="C485" s="211"/>
      <c r="D485" s="211"/>
      <c r="E485" s="211"/>
      <c r="F485" s="211"/>
      <c r="G485" s="211"/>
      <c r="H485" s="211"/>
      <c r="I485" s="211"/>
      <c r="J485" s="211"/>
      <c r="K485" s="211"/>
      <c r="L485" s="211"/>
      <c r="M485" s="211"/>
      <c r="N485" s="211"/>
      <c r="O485" s="211"/>
      <c r="AM485" s="34">
        <f t="shared" si="234"/>
        <v>0.70708051510155201</v>
      </c>
      <c r="AN485" s="34">
        <f t="shared" si="219"/>
        <v>0.34306221641600132</v>
      </c>
      <c r="AO485" s="16">
        <f t="shared" si="220"/>
        <v>60.800000000000594</v>
      </c>
      <c r="AP485" s="16" t="e">
        <f t="shared" si="221"/>
        <v>#N/A</v>
      </c>
      <c r="AQ485" s="16">
        <f t="shared" si="222"/>
        <v>5.9147013916955871E-3</v>
      </c>
      <c r="AR485" s="34">
        <f t="shared" si="235"/>
        <v>0.23462682403624058</v>
      </c>
      <c r="AS485" s="34">
        <f t="shared" si="223"/>
        <v>0.29051111824810505</v>
      </c>
      <c r="AT485" s="540">
        <f t="shared" si="224"/>
        <v>35.500000000000234</v>
      </c>
      <c r="AU485" s="16" t="e">
        <f t="shared" si="225"/>
        <v>#N/A</v>
      </c>
      <c r="AV485" s="16">
        <f t="shared" si="226"/>
        <v>4.4555857849255037E-3</v>
      </c>
      <c r="AW485" s="34">
        <f t="shared" si="236"/>
        <v>0.1760780680924654</v>
      </c>
      <c r="AX485" s="34">
        <f t="shared" si="227"/>
        <v>0.96993953920900822</v>
      </c>
      <c r="AY485" s="16">
        <f t="shared" si="228"/>
        <v>31.300000000000175</v>
      </c>
      <c r="AZ485" s="16" t="e">
        <f t="shared" si="229"/>
        <v>#N/A</v>
      </c>
      <c r="BA485" s="16" t="e">
        <f t="shared" si="237"/>
        <v>#N/A</v>
      </c>
      <c r="BB485" s="34">
        <f t="shared" si="238"/>
        <v>0.89838654734194279</v>
      </c>
      <c r="BC485" s="34">
        <f t="shared" si="230"/>
        <v>0.15244454331696033</v>
      </c>
      <c r="BD485" s="16">
        <f t="shared" si="231"/>
        <v>75.399999999999991</v>
      </c>
      <c r="BE485" s="16" t="e">
        <f t="shared" si="232"/>
        <v>#N/A</v>
      </c>
      <c r="BF485" s="16">
        <f t="shared" si="233"/>
        <v>1.3575479205217087E-3</v>
      </c>
      <c r="BU485" s="16">
        <f t="shared" si="216"/>
        <v>0</v>
      </c>
      <c r="BV485" s="16">
        <f>IF($BY$12=1,NORMDIST(BY485,$Y$6,$Y$8,TRUE),IF($BY$12=2,IF(BY485&lt;=$BX$31,0,IF(BY485&gt;=$BX$32,1,(BY485-$BX$31)*$BX$33)),SUM($BU$42:BU485)/$BV$40))</f>
        <v>0.3878220709625082</v>
      </c>
      <c r="BW485" s="16">
        <f t="shared" si="217"/>
        <v>0.84848860013993177</v>
      </c>
      <c r="BX485" s="16">
        <f>IF($BY$12&lt;3,BV485,SUM($BZ$42:BZ485)/$BX$40)</f>
        <v>0.3878220709625082</v>
      </c>
      <c r="BY485" s="16">
        <f t="shared" si="240"/>
        <v>44.30000000000036</v>
      </c>
      <c r="BZ485" s="16">
        <f t="shared" si="208"/>
        <v>1.9153241538147289E-2</v>
      </c>
      <c r="CA485" s="16">
        <f t="shared" si="218"/>
        <v>-999</v>
      </c>
      <c r="CB485" s="16" t="str">
        <f t="shared" si="209"/>
        <v/>
      </c>
      <c r="CC485" s="16" t="e">
        <f>IF(CB485="",NA(),COUNTIF(CB485:$CB$704,CB485))</f>
        <v>#N/A</v>
      </c>
      <c r="CD485" s="16" t="e">
        <f t="shared" si="210"/>
        <v>#N/A</v>
      </c>
      <c r="CE485" s="16" t="e">
        <f t="shared" si="211"/>
        <v>#N/A</v>
      </c>
      <c r="CF485" s="16">
        <f t="shared" si="212"/>
        <v>99</v>
      </c>
      <c r="CG485" s="16">
        <f t="shared" si="213"/>
        <v>0</v>
      </c>
      <c r="CH485" s="16">
        <f t="shared" si="239"/>
        <v>0</v>
      </c>
      <c r="CJ485" s="16" t="e">
        <f t="shared" si="214"/>
        <v>#N/A</v>
      </c>
      <c r="CK485" s="16" t="str">
        <f t="shared" si="215"/>
        <v/>
      </c>
    </row>
    <row r="486" spans="1:89" ht="12" customHeight="1">
      <c r="A486" s="211"/>
      <c r="B486" s="211"/>
      <c r="C486" s="211"/>
      <c r="D486" s="211"/>
      <c r="E486" s="211"/>
      <c r="F486" s="211"/>
      <c r="G486" s="211"/>
      <c r="H486" s="211"/>
      <c r="I486" s="211"/>
      <c r="J486" s="211"/>
      <c r="K486" s="211"/>
      <c r="L486" s="211"/>
      <c r="M486" s="211"/>
      <c r="N486" s="211"/>
      <c r="O486" s="211"/>
      <c r="AJ486" s="540"/>
      <c r="AM486" s="34">
        <f t="shared" si="234"/>
        <v>0.6239688266068697</v>
      </c>
      <c r="AN486" s="34">
        <f t="shared" si="219"/>
        <v>0.37766344286501408</v>
      </c>
      <c r="AO486" s="16">
        <f t="shared" si="220"/>
        <v>56.30000000000053</v>
      </c>
      <c r="AP486" s="16" t="e">
        <f t="shared" si="221"/>
        <v>#N/A</v>
      </c>
      <c r="AQ486" s="16">
        <f t="shared" si="222"/>
        <v>7.1686699080613144E-3</v>
      </c>
      <c r="AR486" s="34">
        <f t="shared" si="235"/>
        <v>0.95912558771669865</v>
      </c>
      <c r="AS486" s="34">
        <f t="shared" si="223"/>
        <v>0.34579962678253651</v>
      </c>
      <c r="AT486" s="540">
        <f t="shared" si="224"/>
        <v>84.799999999999457</v>
      </c>
      <c r="AU486" s="16" t="e">
        <f t="shared" si="225"/>
        <v>#N/A</v>
      </c>
      <c r="AV486" s="16">
        <f t="shared" si="226"/>
        <v>1.5179924225112911E-3</v>
      </c>
      <c r="AW486" s="34">
        <f t="shared" si="236"/>
        <v>1.3040918856859207E-3</v>
      </c>
      <c r="AX486" s="34">
        <f t="shared" si="227"/>
        <v>0.93581005372107029</v>
      </c>
      <c r="AY486" s="16" t="e">
        <f t="shared" si="228"/>
        <v>#N/A</v>
      </c>
      <c r="AZ486" s="16" t="e">
        <f t="shared" si="229"/>
        <v>#N/A</v>
      </c>
      <c r="BA486" s="16" t="e">
        <f t="shared" si="237"/>
        <v>#N/A</v>
      </c>
      <c r="BB486" s="34">
        <f t="shared" si="238"/>
        <v>0.41494866646826267</v>
      </c>
      <c r="BC486" s="34">
        <f t="shared" si="230"/>
        <v>5.9015290811657906E-2</v>
      </c>
      <c r="BD486" s="16">
        <f t="shared" si="231"/>
        <v>45.700000000000379</v>
      </c>
      <c r="BE486" s="16" t="e">
        <f t="shared" si="232"/>
        <v>#N/A</v>
      </c>
      <c r="BF486" s="16">
        <f t="shared" si="233"/>
        <v>1.1502890629406246E-3</v>
      </c>
      <c r="BU486" s="16">
        <f t="shared" si="216"/>
        <v>0</v>
      </c>
      <c r="BV486" s="16">
        <f>IF($BY$12=1,NORMDIST(BY486,$Y$6,$Y$8,TRUE),IF($BY$12=2,IF(BY486&lt;=$BX$31,0,IF(BY486&gt;=$BX$32,1,(BY486-$BX$31)*$BX$33)),SUM($BU$42:BU486)/$BV$40))</f>
        <v>0.38973875244420975</v>
      </c>
      <c r="BW486" s="16">
        <f t="shared" si="217"/>
        <v>0.85160596858073334</v>
      </c>
      <c r="BX486" s="16">
        <f>IF($BY$12&lt;3,BV486,SUM($BZ$42:BZ486)/$BX$40)</f>
        <v>0.38973875244420975</v>
      </c>
      <c r="BY486" s="16">
        <f t="shared" si="240"/>
        <v>44.400000000000361</v>
      </c>
      <c r="BZ486" s="16">
        <f t="shared" si="208"/>
        <v>1.9180314607674019E-2</v>
      </c>
      <c r="CA486" s="16">
        <f t="shared" si="218"/>
        <v>-999</v>
      </c>
      <c r="CB486" s="16" t="str">
        <f t="shared" si="209"/>
        <v/>
      </c>
      <c r="CC486" s="16" t="e">
        <f>IF(CB486="",NA(),COUNTIF(CB486:$CB$704,CB486))</f>
        <v>#N/A</v>
      </c>
      <c r="CD486" s="16" t="e">
        <f t="shared" si="210"/>
        <v>#N/A</v>
      </c>
      <c r="CE486" s="16" t="e">
        <f t="shared" si="211"/>
        <v>#N/A</v>
      </c>
      <c r="CF486" s="16">
        <f t="shared" si="212"/>
        <v>99</v>
      </c>
      <c r="CG486" s="16">
        <f t="shared" si="213"/>
        <v>0</v>
      </c>
      <c r="CH486" s="16">
        <f t="shared" si="239"/>
        <v>0</v>
      </c>
      <c r="CJ486" s="16" t="e">
        <f t="shared" si="214"/>
        <v>#N/A</v>
      </c>
      <c r="CK486" s="16" t="str">
        <f t="shared" si="215"/>
        <v/>
      </c>
    </row>
    <row r="487" spans="1:89" ht="12" customHeight="1">
      <c r="A487" s="211"/>
      <c r="B487" s="211"/>
      <c r="C487" s="211"/>
      <c r="D487" s="211"/>
      <c r="E487" s="211"/>
      <c r="F487" s="211"/>
      <c r="G487" s="211"/>
      <c r="H487" s="211"/>
      <c r="I487" s="211"/>
      <c r="J487" s="211"/>
      <c r="K487" s="211"/>
      <c r="L487" s="211"/>
      <c r="M487" s="211"/>
      <c r="N487" s="211"/>
      <c r="O487" s="211"/>
      <c r="AM487" s="34">
        <f t="shared" si="234"/>
        <v>0.33827489800751209</v>
      </c>
      <c r="AN487" s="34">
        <f t="shared" si="219"/>
        <v>0.37764879502356052</v>
      </c>
      <c r="AO487" s="16">
        <f t="shared" si="220"/>
        <v>41.600000000000321</v>
      </c>
      <c r="AP487" s="16" t="e">
        <f t="shared" si="221"/>
        <v>#N/A</v>
      </c>
      <c r="AQ487" s="16">
        <f t="shared" si="222"/>
        <v>6.8970504091421291E-3</v>
      </c>
      <c r="AR487" s="34">
        <f t="shared" si="235"/>
        <v>0.76322051323950291</v>
      </c>
      <c r="AS487" s="34">
        <f t="shared" si="223"/>
        <v>5.4261701181530952E-2</v>
      </c>
      <c r="AT487" s="540">
        <f t="shared" si="224"/>
        <v>64.300000000000622</v>
      </c>
      <c r="AU487" s="16" t="e">
        <f t="shared" si="225"/>
        <v>#N/A</v>
      </c>
      <c r="AV487" s="16">
        <f t="shared" si="226"/>
        <v>8.3822841200599757E-4</v>
      </c>
      <c r="AW487" s="34">
        <f t="shared" si="236"/>
        <v>0.70274140127003193</v>
      </c>
      <c r="AX487" s="34">
        <f t="shared" si="227"/>
        <v>0.14833853580057621</v>
      </c>
      <c r="AY487" s="16">
        <f t="shared" si="228"/>
        <v>60.600000000000591</v>
      </c>
      <c r="AZ487" s="16" t="e">
        <f t="shared" si="229"/>
        <v>#N/A</v>
      </c>
      <c r="BA487" s="16">
        <f t="shared" si="237"/>
        <v>2.5712091096136347E-3</v>
      </c>
      <c r="BB487" s="34">
        <f t="shared" si="238"/>
        <v>0.67531535960733891</v>
      </c>
      <c r="BC487" s="34">
        <f t="shared" si="230"/>
        <v>0.3751730639487505</v>
      </c>
      <c r="BD487" s="16">
        <f t="shared" si="231"/>
        <v>59.000000000000568</v>
      </c>
      <c r="BE487" s="16" t="e">
        <f t="shared" si="232"/>
        <v>#N/A</v>
      </c>
      <c r="BF487" s="16">
        <f t="shared" si="233"/>
        <v>6.7630002571435442E-3</v>
      </c>
      <c r="BU487" s="16">
        <f t="shared" si="216"/>
        <v>0</v>
      </c>
      <c r="BV487" s="16">
        <f>IF($BY$12=1,NORMDIST(BY487,$Y$6,$Y$8,TRUE),IF($BY$12=2,IF(BY487&lt;=$BX$31,0,IF(BY487&gt;=$BX$32,1,(BY487-$BX$31)*$BX$33)),SUM($BU$42:BU487)/$BV$40))</f>
        <v>0.39165811915361215</v>
      </c>
      <c r="BW487" s="16">
        <f t="shared" si="217"/>
        <v>0.85470908655520417</v>
      </c>
      <c r="BX487" s="16">
        <f>IF($BY$12&lt;3,BV487,SUM($BZ$42:BZ487)/$BX$40)</f>
        <v>0.39165811915361215</v>
      </c>
      <c r="BY487" s="16">
        <f t="shared" si="240"/>
        <v>44.500000000000362</v>
      </c>
      <c r="BZ487" s="16">
        <f t="shared" si="208"/>
        <v>1.9206945765285331E-2</v>
      </c>
      <c r="CA487" s="16">
        <f t="shared" si="218"/>
        <v>-999</v>
      </c>
      <c r="CB487" s="16" t="str">
        <f t="shared" si="209"/>
        <v/>
      </c>
      <c r="CC487" s="16" t="e">
        <f>IF(CB487="",NA(),COUNTIF(CB487:$CB$704,CB487))</f>
        <v>#N/A</v>
      </c>
      <c r="CD487" s="16" t="e">
        <f t="shared" si="210"/>
        <v>#N/A</v>
      </c>
      <c r="CE487" s="16" t="e">
        <f t="shared" si="211"/>
        <v>#N/A</v>
      </c>
      <c r="CF487" s="16">
        <f t="shared" si="212"/>
        <v>99</v>
      </c>
      <c r="CG487" s="16">
        <f t="shared" si="213"/>
        <v>0</v>
      </c>
      <c r="CH487" s="16">
        <f t="shared" si="239"/>
        <v>0</v>
      </c>
      <c r="CJ487" s="16" t="e">
        <f t="shared" si="214"/>
        <v>#N/A</v>
      </c>
      <c r="CK487" s="16" t="str">
        <f t="shared" si="215"/>
        <v/>
      </c>
    </row>
    <row r="488" spans="1:89" ht="12" customHeight="1">
      <c r="A488" s="211"/>
      <c r="B488" s="211"/>
      <c r="C488" s="211"/>
      <c r="D488" s="211"/>
      <c r="E488" s="211"/>
      <c r="F488" s="211"/>
      <c r="G488" s="211"/>
      <c r="H488" s="211"/>
      <c r="I488" s="211"/>
      <c r="J488" s="211"/>
      <c r="K488" s="211"/>
      <c r="L488" s="211"/>
      <c r="M488" s="211"/>
      <c r="N488" s="211"/>
      <c r="O488" s="211"/>
      <c r="AM488" s="34">
        <f t="shared" si="234"/>
        <v>0.85966994054615498</v>
      </c>
      <c r="AN488" s="34">
        <f t="shared" si="219"/>
        <v>0.58117077685892582</v>
      </c>
      <c r="AO488" s="16">
        <f t="shared" si="220"/>
        <v>71.500000000000213</v>
      </c>
      <c r="AP488" s="16" t="e">
        <f t="shared" si="221"/>
        <v>#N/A</v>
      </c>
      <c r="AQ488" s="16">
        <f t="shared" si="222"/>
        <v>6.5049364530428422E-3</v>
      </c>
      <c r="AR488" s="34">
        <f t="shared" si="235"/>
        <v>0.71721742488443851</v>
      </c>
      <c r="AS488" s="34">
        <f t="shared" si="223"/>
        <v>0.57267090864479542</v>
      </c>
      <c r="AT488" s="540">
        <f t="shared" si="224"/>
        <v>61.400000000000603</v>
      </c>
      <c r="AU488" s="16" t="e">
        <f t="shared" si="225"/>
        <v>#N/A</v>
      </c>
      <c r="AV488" s="16">
        <f t="shared" si="226"/>
        <v>9.7103314293091776E-3</v>
      </c>
      <c r="AW488" s="34">
        <f t="shared" si="236"/>
        <v>0.28640672750771046</v>
      </c>
      <c r="AX488" s="34">
        <f t="shared" si="227"/>
        <v>0.99836456216871738</v>
      </c>
      <c r="AY488" s="16">
        <f t="shared" si="228"/>
        <v>38.70000000000028</v>
      </c>
      <c r="AZ488" s="16" t="e">
        <f t="shared" si="229"/>
        <v>#N/A</v>
      </c>
      <c r="BA488" s="16" t="e">
        <f t="shared" si="237"/>
        <v>#N/A</v>
      </c>
      <c r="BB488" s="34">
        <f t="shared" si="238"/>
        <v>0.51673733629286289</v>
      </c>
      <c r="BC488" s="34">
        <f t="shared" si="230"/>
        <v>8.0514000728726387E-2</v>
      </c>
      <c r="BD488" s="16">
        <f t="shared" si="231"/>
        <v>50.800000000000452</v>
      </c>
      <c r="BE488" s="16" t="e">
        <f t="shared" si="232"/>
        <v>#N/A</v>
      </c>
      <c r="BF488" s="16">
        <f t="shared" si="233"/>
        <v>1.6047376489758409E-3</v>
      </c>
      <c r="BU488" s="16">
        <f t="shared" si="216"/>
        <v>0</v>
      </c>
      <c r="BV488" s="16">
        <f>IF($BY$12=1,NORMDIST(BY488,$Y$6,$Y$8,TRUE),IF($BY$12=2,IF(BY488&lt;=$BX$31,0,IF(BY488&gt;=$BX$32,1,(BY488-$BX$31)*$BX$33)),SUM($BU$42:BU488)/$BV$40))</f>
        <v>0.39358012680196752</v>
      </c>
      <c r="BW488" s="16">
        <f t="shared" si="217"/>
        <v>0.85779773469620735</v>
      </c>
      <c r="BX488" s="16">
        <f>IF($BY$12&lt;3,BV488,SUM($BZ$42:BZ488)/$BX$40)</f>
        <v>0.39358012680196752</v>
      </c>
      <c r="BY488" s="16">
        <f t="shared" si="240"/>
        <v>44.600000000000364</v>
      </c>
      <c r="BZ488" s="16">
        <f t="shared" si="208"/>
        <v>1.9233133064937229E-2</v>
      </c>
      <c r="CA488" s="16">
        <f t="shared" si="218"/>
        <v>-999</v>
      </c>
      <c r="CB488" s="16" t="str">
        <f t="shared" si="209"/>
        <v/>
      </c>
      <c r="CC488" s="16" t="e">
        <f>IF(CB488="",NA(),COUNTIF(CB488:$CB$704,CB488))</f>
        <v>#N/A</v>
      </c>
      <c r="CD488" s="16" t="e">
        <f t="shared" si="210"/>
        <v>#N/A</v>
      </c>
      <c r="CE488" s="16" t="e">
        <f t="shared" si="211"/>
        <v>#N/A</v>
      </c>
      <c r="CF488" s="16">
        <f t="shared" si="212"/>
        <v>99</v>
      </c>
      <c r="CG488" s="16">
        <f t="shared" si="213"/>
        <v>0</v>
      </c>
      <c r="CH488" s="16">
        <f t="shared" si="239"/>
        <v>0</v>
      </c>
      <c r="CJ488" s="16" t="e">
        <f t="shared" si="214"/>
        <v>#N/A</v>
      </c>
      <c r="CK488" s="16" t="str">
        <f t="shared" si="215"/>
        <v/>
      </c>
    </row>
    <row r="489" spans="1:89" ht="12" customHeight="1">
      <c r="A489" s="211"/>
      <c r="B489" s="211"/>
      <c r="C489" s="211"/>
      <c r="D489" s="211"/>
      <c r="E489" s="211"/>
      <c r="F489" s="211"/>
      <c r="G489" s="211"/>
      <c r="H489" s="211"/>
      <c r="I489" s="211"/>
      <c r="J489" s="211"/>
      <c r="K489" s="211"/>
      <c r="L489" s="211"/>
      <c r="M489" s="211"/>
      <c r="N489" s="211"/>
      <c r="O489" s="211"/>
      <c r="AM489" s="34">
        <f t="shared" si="234"/>
        <v>0.32380935736000538</v>
      </c>
      <c r="AN489" s="34">
        <f t="shared" si="219"/>
        <v>0.78312169946730137</v>
      </c>
      <c r="AO489" s="16">
        <f t="shared" si="220"/>
        <v>40.80000000000031</v>
      </c>
      <c r="AP489" s="16" t="e">
        <f t="shared" si="221"/>
        <v>#N/A</v>
      </c>
      <c r="AQ489" s="16">
        <f t="shared" si="222"/>
        <v>1.4052738731825292E-2</v>
      </c>
      <c r="AR489" s="34">
        <f t="shared" si="235"/>
        <v>0.53116976656019688</v>
      </c>
      <c r="AS489" s="34">
        <f t="shared" si="223"/>
        <v>0.57080893404781818</v>
      </c>
      <c r="AT489" s="540">
        <f t="shared" si="224"/>
        <v>51.500000000000462</v>
      </c>
      <c r="AU489" s="16" t="e">
        <f t="shared" si="225"/>
        <v>#N/A</v>
      </c>
      <c r="AV489" s="16">
        <f t="shared" si="226"/>
        <v>1.1354012782041283E-2</v>
      </c>
      <c r="AW489" s="34">
        <f t="shared" si="236"/>
        <v>0.60042648203670979</v>
      </c>
      <c r="AX489" s="34">
        <f t="shared" si="227"/>
        <v>0.62591136433184147</v>
      </c>
      <c r="AY489" s="16">
        <f t="shared" si="228"/>
        <v>55.000000000000512</v>
      </c>
      <c r="AZ489" s="16" t="e">
        <f t="shared" si="229"/>
        <v>#N/A</v>
      </c>
      <c r="BA489" s="16">
        <f t="shared" si="237"/>
        <v>1.2100998426584681E-2</v>
      </c>
      <c r="BB489" s="34">
        <f t="shared" si="238"/>
        <v>5.3969273343682289E-2</v>
      </c>
      <c r="BC489" s="34">
        <f t="shared" si="230"/>
        <v>0.43503737635910511</v>
      </c>
      <c r="BD489" s="16">
        <f t="shared" si="231"/>
        <v>17.799999999999983</v>
      </c>
      <c r="BE489" s="16" t="e">
        <f t="shared" si="232"/>
        <v>#N/A</v>
      </c>
      <c r="BF489" s="16">
        <f t="shared" si="233"/>
        <v>2.3743201486384866E-3</v>
      </c>
      <c r="BU489" s="16">
        <f t="shared" si="216"/>
        <v>0</v>
      </c>
      <c r="BV489" s="16">
        <f>IF($BY$12=1,NORMDIST(BY489,$Y$6,$Y$8,TRUE),IF($BY$12=2,IF(BY489&lt;=$BX$31,0,IF(BY489&gt;=$BX$32,1,(BY489-$BX$31)*$BX$33)),SUM($BU$42:BU489)/$BV$40))</f>
        <v>0.39550473090745308</v>
      </c>
      <c r="BW489" s="16">
        <f t="shared" si="217"/>
        <v>0.86087169422753451</v>
      </c>
      <c r="BX489" s="16">
        <f>IF($BY$12&lt;3,BV489,SUM($BZ$42:BZ489)/$BX$40)</f>
        <v>0.39550473090745308</v>
      </c>
      <c r="BY489" s="16">
        <f t="shared" si="240"/>
        <v>44.700000000000365</v>
      </c>
      <c r="BZ489" s="16">
        <f t="shared" si="208"/>
        <v>1.9258874591219853E-2</v>
      </c>
      <c r="CA489" s="16">
        <f t="shared" si="218"/>
        <v>-999</v>
      </c>
      <c r="CB489" s="16" t="str">
        <f t="shared" si="209"/>
        <v/>
      </c>
      <c r="CC489" s="16" t="e">
        <f>IF(CB489="",NA(),COUNTIF(CB489:$CB$704,CB489))</f>
        <v>#N/A</v>
      </c>
      <c r="CD489" s="16" t="e">
        <f t="shared" si="210"/>
        <v>#N/A</v>
      </c>
      <c r="CE489" s="16" t="e">
        <f t="shared" si="211"/>
        <v>#N/A</v>
      </c>
      <c r="CF489" s="16">
        <f t="shared" si="212"/>
        <v>99</v>
      </c>
      <c r="CG489" s="16">
        <f t="shared" si="213"/>
        <v>0</v>
      </c>
      <c r="CH489" s="16">
        <f t="shared" si="239"/>
        <v>0</v>
      </c>
      <c r="CJ489" s="16" t="e">
        <f t="shared" si="214"/>
        <v>#N/A</v>
      </c>
      <c r="CK489" s="16" t="str">
        <f t="shared" si="215"/>
        <v/>
      </c>
    </row>
    <row r="490" spans="1:89" ht="12" customHeight="1">
      <c r="A490" s="211"/>
      <c r="B490" s="211"/>
      <c r="C490" s="211"/>
      <c r="D490" s="211"/>
      <c r="E490" s="211"/>
      <c r="F490" s="211"/>
      <c r="G490" s="211"/>
      <c r="H490" s="211"/>
      <c r="I490" s="211"/>
      <c r="J490" s="211"/>
      <c r="K490" s="211"/>
      <c r="L490" s="211"/>
      <c r="M490" s="211"/>
      <c r="N490" s="211"/>
      <c r="O490" s="211"/>
      <c r="AM490" s="34">
        <f t="shared" si="234"/>
        <v>0.17525510676205158</v>
      </c>
      <c r="AN490" s="34">
        <f t="shared" si="219"/>
        <v>0.34593690373003483</v>
      </c>
      <c r="AO490" s="16">
        <f t="shared" si="220"/>
        <v>31.300000000000175</v>
      </c>
      <c r="AP490" s="16" t="e">
        <f t="shared" si="221"/>
        <v>#N/A</v>
      </c>
      <c r="AQ490" s="16">
        <f t="shared" si="222"/>
        <v>4.4569875139256337E-3</v>
      </c>
      <c r="AR490" s="34">
        <f t="shared" si="235"/>
        <v>0.76099432446062565</v>
      </c>
      <c r="AS490" s="34">
        <f t="shared" si="223"/>
        <v>0.13753247447311878</v>
      </c>
      <c r="AT490" s="540">
        <f t="shared" si="224"/>
        <v>64.100000000000634</v>
      </c>
      <c r="AU490" s="16" t="e">
        <f t="shared" si="225"/>
        <v>#N/A</v>
      </c>
      <c r="AV490" s="16">
        <f t="shared" si="226"/>
        <v>2.1397238110518594E-3</v>
      </c>
      <c r="AW490" s="34">
        <f t="shared" si="236"/>
        <v>0.78016615100204945</v>
      </c>
      <c r="AX490" s="34">
        <f t="shared" si="227"/>
        <v>0.65218045748770237</v>
      </c>
      <c r="AY490" s="16">
        <f t="shared" si="228"/>
        <v>65.40000000000056</v>
      </c>
      <c r="AZ490" s="16" t="e">
        <f t="shared" si="229"/>
        <v>#N/A</v>
      </c>
      <c r="BA490" s="16">
        <f t="shared" si="237"/>
        <v>9.6716651500157787E-3</v>
      </c>
      <c r="BB490" s="34">
        <f t="shared" si="238"/>
        <v>0.419076943770051</v>
      </c>
      <c r="BC490" s="34">
        <f t="shared" si="230"/>
        <v>0.88570077903568745</v>
      </c>
      <c r="BD490" s="16">
        <f t="shared" si="231"/>
        <v>45.900000000000382</v>
      </c>
      <c r="BE490" s="16" t="e">
        <f t="shared" si="232"/>
        <v>#N/A</v>
      </c>
      <c r="BF490" s="16">
        <f t="shared" si="233"/>
        <v>1.7299816000312721E-2</v>
      </c>
      <c r="BU490" s="16">
        <f t="shared" si="216"/>
        <v>0</v>
      </c>
      <c r="BV490" s="16">
        <f>IF($BY$12=1,NORMDIST(BY490,$Y$6,$Y$8,TRUE),IF($BY$12=2,IF(BY490&lt;=$BX$31,0,IF(BY490&gt;=$BX$32,1,(BY490-$BX$31)*$BX$33)),SUM($BU$42:BU490)/$BV$40))</f>
        <v>0.39743188679824659</v>
      </c>
      <c r="BW490" s="16">
        <f t="shared" si="217"/>
        <v>0.86393074698967909</v>
      </c>
      <c r="BX490" s="16">
        <f>IF($BY$12&lt;3,BV490,SUM($BZ$42:BZ490)/$BX$40)</f>
        <v>0.39743188679824659</v>
      </c>
      <c r="BY490" s="16">
        <f t="shared" si="240"/>
        <v>44.800000000000367</v>
      </c>
      <c r="BZ490" s="16">
        <f t="shared" ref="BZ490:BZ553" si="241">IF($BZ$5,IF($BY$12=1,NORMDIST(BY490,$Y$6,$Y$8,FALSE),IF($BY$12=2,IF(AND(BY490&gt;=$BX$31,BY490&lt;=$BX$32),$BX$33,0),IF(BY490&lt;=$BX$13,0,NORMDIST(LN((BY490-$BX$13)/$BX$12),0,$BW$8,FALSE)/((BY490-$BX$13)/$BX$12)))),-999)</f>
        <v>1.9284168459590894E-2</v>
      </c>
      <c r="CA490" s="16">
        <f t="shared" si="218"/>
        <v>-999</v>
      </c>
      <c r="CB490" s="16" t="str">
        <f t="shared" ref="CB490:CB553" si="242">IF(M389="","",ROUND(M389/$P$24,0))</f>
        <v/>
      </c>
      <c r="CC490" s="16" t="e">
        <f>IF(CB490="",NA(),COUNTIF(CB490:$CB$704,CB490))</f>
        <v>#N/A</v>
      </c>
      <c r="CD490" s="16" t="e">
        <f t="shared" ref="CD490:CD553" si="243">IF(CB490&lt;&gt;"",CB490*$P$24,NA())</f>
        <v>#N/A</v>
      </c>
      <c r="CE490" s="16" t="e">
        <f t="shared" ref="CE490:CE553" si="244">IF(AND($CB$7,$CD$2,$CD$1),26+$P$23/2-CC490*$P$23,NA())</f>
        <v>#N/A</v>
      </c>
      <c r="CF490" s="16">
        <f t="shared" ref="CF490:CF553" si="245">IF(ISNA(CJ490),99,CJ490)</f>
        <v>99</v>
      </c>
      <c r="CG490" s="16">
        <f t="shared" ref="CG490:CG553" si="246">IF(ISNA(CJ490),0,CJ490)</f>
        <v>0</v>
      </c>
      <c r="CH490" s="16">
        <f t="shared" si="239"/>
        <v>0</v>
      </c>
      <c r="CJ490" s="16" t="e">
        <f t="shared" ref="CJ490:CJ553" si="247">IF(CH490=1,CE490,NA())</f>
        <v>#N/A</v>
      </c>
      <c r="CK490" s="16" t="str">
        <f t="shared" ref="CK490:CK553" si="248">IF(CH490=1,M389,"")</f>
        <v/>
      </c>
    </row>
    <row r="491" spans="1:89" ht="12" customHeight="1">
      <c r="A491" s="211"/>
      <c r="B491" s="211"/>
      <c r="C491" s="211"/>
      <c r="D491" s="211"/>
      <c r="E491" s="211"/>
      <c r="F491" s="211"/>
      <c r="G491" s="211"/>
      <c r="H491" s="211"/>
      <c r="I491" s="211"/>
      <c r="J491" s="211"/>
      <c r="K491" s="211"/>
      <c r="L491" s="211"/>
      <c r="M491" s="211"/>
      <c r="N491" s="211"/>
      <c r="O491" s="211"/>
      <c r="AM491" s="34">
        <f t="shared" si="234"/>
        <v>0.53448009677231312</v>
      </c>
      <c r="AN491" s="34">
        <f t="shared" si="219"/>
        <v>0.9159643892198801</v>
      </c>
      <c r="AO491" s="16">
        <f t="shared" si="220"/>
        <v>51.700000000000465</v>
      </c>
      <c r="AP491" s="16" t="e">
        <f t="shared" si="221"/>
        <v>#N/A</v>
      </c>
      <c r="AQ491" s="16">
        <f t="shared" si="222"/>
        <v>1.8204961753790123E-2</v>
      </c>
      <c r="AR491" s="34">
        <f t="shared" si="235"/>
        <v>0.53265335597097874</v>
      </c>
      <c r="AS491" s="34">
        <f t="shared" si="223"/>
        <v>0.48420341499149799</v>
      </c>
      <c r="AT491" s="540">
        <f t="shared" si="224"/>
        <v>51.600000000000463</v>
      </c>
      <c r="AU491" s="16" t="e">
        <f t="shared" si="225"/>
        <v>#N/A</v>
      </c>
      <c r="AV491" s="16">
        <f t="shared" si="226"/>
        <v>9.6276030520277001E-3</v>
      </c>
      <c r="AW491" s="34">
        <f t="shared" si="236"/>
        <v>5.322297103703022E-2</v>
      </c>
      <c r="AX491" s="34">
        <f t="shared" si="227"/>
        <v>0.40226892568171024</v>
      </c>
      <c r="AY491" s="16">
        <f t="shared" si="228"/>
        <v>17.699999999999982</v>
      </c>
      <c r="AZ491" s="16" t="e">
        <f t="shared" si="229"/>
        <v>#N/A</v>
      </c>
      <c r="BA491" s="16">
        <f t="shared" si="237"/>
        <v>2.1778486408955268E-3</v>
      </c>
      <c r="BB491" s="34">
        <f t="shared" si="238"/>
        <v>0.30446700192987919</v>
      </c>
      <c r="BC491" s="34">
        <f t="shared" si="230"/>
        <v>0.97736981697380543</v>
      </c>
      <c r="BD491" s="16">
        <f t="shared" si="231"/>
        <v>39.700000000000294</v>
      </c>
      <c r="BE491" s="16" t="e">
        <f t="shared" si="232"/>
        <v>#N/A</v>
      </c>
      <c r="BF491" s="16" t="e">
        <f t="shared" si="233"/>
        <v>#N/A</v>
      </c>
      <c r="BU491" s="16">
        <f t="shared" ref="BU491:BU554" si="249">IF($BY$12&lt;3,0,IF(BY491&lt;=$BX$13,0,NORMDIST(LN((BY491-$BX$13)/$BX$12),0,$BW$8,FALSE)/((BY491-$BX$13)/$BX$12)))</f>
        <v>0</v>
      </c>
      <c r="BV491" s="16">
        <f>IF($BY$12=1,NORMDIST(BY491,$Y$6,$Y$8,TRUE),IF($BY$12=2,IF(BY491&lt;=$BX$31,0,IF(BY491&gt;=$BX$32,1,(BY491-$BX$31)*$BX$33)),SUM($BU$42:BU491)/$BV$40))</f>
        <v>0.39936154961562464</v>
      </c>
      <c r="BW491" s="16">
        <f t="shared" ref="BW491:BW554" si="250">BY491*BZ491</f>
        <v>0.8669746754655937</v>
      </c>
      <c r="BX491" s="16">
        <f>IF($BY$12&lt;3,BV491,SUM($BZ$42:BZ491)/$BX$40)</f>
        <v>0.39936154961562464</v>
      </c>
      <c r="BY491" s="16">
        <f t="shared" si="240"/>
        <v>44.900000000000368</v>
      </c>
      <c r="BZ491" s="16">
        <f t="shared" si="241"/>
        <v>1.9309012816605492E-2</v>
      </c>
      <c r="CA491" s="16">
        <f t="shared" ref="CA491:CA554" si="251">IF(AND($CD$1,$CD$3),26-$CD$40*NORMDIST(BY491,$Y$6,$Y$8/SQRT($T$18),FALSE),-999)</f>
        <v>-999</v>
      </c>
      <c r="CB491" s="16" t="str">
        <f t="shared" si="242"/>
        <v/>
      </c>
      <c r="CC491" s="16" t="e">
        <f>IF(CB491="",NA(),COUNTIF(CB491:$CB$704,CB491))</f>
        <v>#N/A</v>
      </c>
      <c r="CD491" s="16" t="e">
        <f t="shared" si="243"/>
        <v>#N/A</v>
      </c>
      <c r="CE491" s="16" t="e">
        <f t="shared" si="244"/>
        <v>#N/A</v>
      </c>
      <c r="CF491" s="16">
        <f t="shared" si="245"/>
        <v>99</v>
      </c>
      <c r="CG491" s="16">
        <f t="shared" si="246"/>
        <v>0</v>
      </c>
      <c r="CH491" s="16">
        <f t="shared" si="239"/>
        <v>0</v>
      </c>
      <c r="CJ491" s="16" t="e">
        <f t="shared" si="247"/>
        <v>#N/A</v>
      </c>
      <c r="CK491" s="16" t="str">
        <f t="shared" si="248"/>
        <v/>
      </c>
    </row>
    <row r="492" spans="1:89" ht="12" customHeight="1">
      <c r="A492" s="211"/>
      <c r="B492" s="211"/>
      <c r="C492" s="211"/>
      <c r="D492" s="211"/>
      <c r="E492" s="211"/>
      <c r="F492" s="211"/>
      <c r="G492" s="211"/>
      <c r="H492" s="211"/>
      <c r="I492" s="211"/>
      <c r="J492" s="211"/>
      <c r="K492" s="211"/>
      <c r="L492" s="211"/>
      <c r="M492" s="211"/>
      <c r="N492" s="211"/>
      <c r="O492" s="211"/>
      <c r="AM492" s="34">
        <f t="shared" si="234"/>
        <v>0.79973586089909077</v>
      </c>
      <c r="AN492" s="34">
        <f t="shared" si="219"/>
        <v>5.5570993572473526E-3</v>
      </c>
      <c r="AO492" s="16">
        <f t="shared" si="220"/>
        <v>66.80000000000048</v>
      </c>
      <c r="AP492" s="16" t="e">
        <f t="shared" si="221"/>
        <v>#N/A</v>
      </c>
      <c r="AQ492" s="16">
        <f t="shared" si="222"/>
        <v>7.7894920551254849E-5</v>
      </c>
      <c r="AR492" s="34">
        <f t="shared" si="235"/>
        <v>0.4445593748241663</v>
      </c>
      <c r="AS492" s="34">
        <f t="shared" si="223"/>
        <v>0.52751353569328785</v>
      </c>
      <c r="AT492" s="540">
        <f t="shared" si="224"/>
        <v>47.200000000000401</v>
      </c>
      <c r="AU492" s="16" t="e">
        <f t="shared" si="225"/>
        <v>#N/A</v>
      </c>
      <c r="AV492" s="16">
        <f t="shared" si="226"/>
        <v>1.0419757029472737E-2</v>
      </c>
      <c r="AW492" s="34">
        <f t="shared" si="236"/>
        <v>0.48631313629448414</v>
      </c>
      <c r="AX492" s="34">
        <f t="shared" si="227"/>
        <v>0.6850156132131815</v>
      </c>
      <c r="AY492" s="16">
        <f t="shared" si="228"/>
        <v>49.300000000000431</v>
      </c>
      <c r="AZ492" s="16" t="e">
        <f t="shared" si="229"/>
        <v>#N/A</v>
      </c>
      <c r="BA492" s="16">
        <f t="shared" si="237"/>
        <v>1.3655717853070617E-2</v>
      </c>
      <c r="BB492" s="34">
        <f t="shared" si="238"/>
        <v>0.87554567493498325</v>
      </c>
      <c r="BC492" s="34">
        <f t="shared" si="230"/>
        <v>0.13144360668957233</v>
      </c>
      <c r="BD492" s="16">
        <f t="shared" si="231"/>
        <v>73.000000000000128</v>
      </c>
      <c r="BE492" s="16" t="e">
        <f t="shared" si="232"/>
        <v>#N/A</v>
      </c>
      <c r="BF492" s="16">
        <f t="shared" si="233"/>
        <v>1.3534502954373117E-3</v>
      </c>
      <c r="BU492" s="16">
        <f t="shared" si="249"/>
        <v>0</v>
      </c>
      <c r="BV492" s="16">
        <f>IF($BY$12=1,NORMDIST(BY492,$Y$6,$Y$8,TRUE),IF($BY$12=2,IF(BY492&lt;=$BX$31,0,IF(BY492&gt;=$BX$32,1,(BY492-$BX$31)*$BX$33)),SUM($BU$42:BU492)/$BV$40))</f>
        <v>0.4012936743170834</v>
      </c>
      <c r="BW492" s="16">
        <f t="shared" si="250"/>
        <v>0.87000326280642182</v>
      </c>
      <c r="BX492" s="16">
        <f>IF($BY$12&lt;3,BV492,SUM($BZ$42:BZ492)/$BX$40)</f>
        <v>0.4012936743170834</v>
      </c>
      <c r="BY492" s="16">
        <f t="shared" si="240"/>
        <v>45.000000000000369</v>
      </c>
      <c r="BZ492" s="16">
        <f t="shared" si="241"/>
        <v>1.9333405840142547E-2</v>
      </c>
      <c r="CA492" s="16">
        <f t="shared" si="251"/>
        <v>-999</v>
      </c>
      <c r="CB492" s="16" t="str">
        <f t="shared" si="242"/>
        <v/>
      </c>
      <c r="CC492" s="16" t="e">
        <f>IF(CB492="",NA(),COUNTIF(CB492:$CB$704,CB492))</f>
        <v>#N/A</v>
      </c>
      <c r="CD492" s="16" t="e">
        <f t="shared" si="243"/>
        <v>#N/A</v>
      </c>
      <c r="CE492" s="16" t="e">
        <f t="shared" si="244"/>
        <v>#N/A</v>
      </c>
      <c r="CF492" s="16">
        <f t="shared" si="245"/>
        <v>99</v>
      </c>
      <c r="CG492" s="16">
        <f t="shared" si="246"/>
        <v>0</v>
      </c>
      <c r="CH492" s="16">
        <f t="shared" si="239"/>
        <v>0</v>
      </c>
      <c r="CJ492" s="16" t="e">
        <f t="shared" si="247"/>
        <v>#N/A</v>
      </c>
      <c r="CK492" s="16" t="str">
        <f t="shared" si="248"/>
        <v/>
      </c>
    </row>
    <row r="493" spans="1:89" ht="12" customHeight="1">
      <c r="A493" s="211"/>
      <c r="B493" s="211"/>
      <c r="C493" s="211"/>
      <c r="D493" s="211"/>
      <c r="E493" s="211"/>
      <c r="F493" s="211"/>
      <c r="G493" s="211"/>
      <c r="H493" s="211"/>
      <c r="I493" s="211"/>
      <c r="J493" s="211"/>
      <c r="K493" s="211"/>
      <c r="L493" s="211"/>
      <c r="M493" s="211"/>
      <c r="N493" s="211"/>
      <c r="O493" s="211"/>
      <c r="AM493" s="34">
        <f t="shared" si="234"/>
        <v>6.581476517021656E-2</v>
      </c>
      <c r="AN493" s="34">
        <f t="shared" si="219"/>
        <v>0.50729411281645298</v>
      </c>
      <c r="AO493" s="16">
        <f t="shared" si="220"/>
        <v>19.800000000000011</v>
      </c>
      <c r="AP493" s="16" t="e">
        <f t="shared" si="221"/>
        <v>#N/A</v>
      </c>
      <c r="AQ493" s="16">
        <f t="shared" si="222"/>
        <v>3.236103986050007E-3</v>
      </c>
      <c r="AR493" s="34">
        <f t="shared" si="235"/>
        <v>0.21460884250700474</v>
      </c>
      <c r="AS493" s="34">
        <f t="shared" si="223"/>
        <v>0.21498499996960163</v>
      </c>
      <c r="AT493" s="540">
        <f t="shared" si="224"/>
        <v>34.100000000000215</v>
      </c>
      <c r="AU493" s="16" t="e">
        <f t="shared" si="225"/>
        <v>#N/A</v>
      </c>
      <c r="AV493" s="16">
        <f t="shared" si="226"/>
        <v>3.1264086554052416E-3</v>
      </c>
      <c r="AW493" s="34">
        <f t="shared" si="236"/>
        <v>3.7334786728024483E-2</v>
      </c>
      <c r="AX493" s="34">
        <f t="shared" si="227"/>
        <v>0.35263247229158878</v>
      </c>
      <c r="AY493" s="16">
        <f t="shared" si="228"/>
        <v>14.299999999999965</v>
      </c>
      <c r="AZ493" s="16" t="e">
        <f t="shared" si="229"/>
        <v>#N/A</v>
      </c>
      <c r="BA493" s="16">
        <f t="shared" si="237"/>
        <v>1.4299551109212497E-3</v>
      </c>
      <c r="BB493" s="34">
        <f t="shared" si="238"/>
        <v>0.77566261030733585</v>
      </c>
      <c r="BC493" s="34">
        <f t="shared" si="230"/>
        <v>0.1866872925311327</v>
      </c>
      <c r="BD493" s="16">
        <f t="shared" si="231"/>
        <v>65.100000000000577</v>
      </c>
      <c r="BE493" s="16" t="e">
        <f t="shared" si="232"/>
        <v>#N/A</v>
      </c>
      <c r="BF493" s="16">
        <f t="shared" si="233"/>
        <v>2.8003703545058422E-3</v>
      </c>
      <c r="BU493" s="16">
        <f t="shared" si="249"/>
        <v>0</v>
      </c>
      <c r="BV493" s="16">
        <f>IF($BY$12=1,NORMDIST(BY493,$Y$6,$Y$8,TRUE),IF($BY$12=2,IF(BY493&lt;=$BX$31,0,IF(BY493&gt;=$BX$32,1,(BY493-$BX$31)*$BX$33)),SUM($BU$42:BU493)/$BV$40))</f>
        <v>0.40322821567948275</v>
      </c>
      <c r="BW493" s="16">
        <f t="shared" si="250"/>
        <v>0.87301629285720228</v>
      </c>
      <c r="BX493" s="16">
        <f>IF($BY$12&lt;3,BV493,SUM($BZ$42:BZ493)/$BX$40)</f>
        <v>0.40322821567948275</v>
      </c>
      <c r="BY493" s="16">
        <f t="shared" si="240"/>
        <v>45.100000000000371</v>
      </c>
      <c r="BZ493" s="16">
        <f t="shared" si="241"/>
        <v>1.9357345739627385E-2</v>
      </c>
      <c r="CA493" s="16">
        <f t="shared" si="251"/>
        <v>-999</v>
      </c>
      <c r="CB493" s="16" t="str">
        <f t="shared" si="242"/>
        <v/>
      </c>
      <c r="CC493" s="16" t="e">
        <f>IF(CB493="",NA(),COUNTIF(CB493:$CB$704,CB493))</f>
        <v>#N/A</v>
      </c>
      <c r="CD493" s="16" t="e">
        <f t="shared" si="243"/>
        <v>#N/A</v>
      </c>
      <c r="CE493" s="16" t="e">
        <f t="shared" si="244"/>
        <v>#N/A</v>
      </c>
      <c r="CF493" s="16">
        <f t="shared" si="245"/>
        <v>99</v>
      </c>
      <c r="CG493" s="16">
        <f t="shared" si="246"/>
        <v>0</v>
      </c>
      <c r="CH493" s="16">
        <f t="shared" si="239"/>
        <v>0</v>
      </c>
      <c r="CJ493" s="16" t="e">
        <f t="shared" si="247"/>
        <v>#N/A</v>
      </c>
      <c r="CK493" s="16" t="str">
        <f t="shared" si="248"/>
        <v/>
      </c>
    </row>
    <row r="494" spans="1:89" ht="12" customHeight="1">
      <c r="A494" s="211"/>
      <c r="B494" s="211"/>
      <c r="C494" s="211"/>
      <c r="D494" s="211"/>
      <c r="E494" s="211"/>
      <c r="F494" s="211"/>
      <c r="G494" s="211"/>
      <c r="H494" s="211"/>
      <c r="I494" s="211"/>
      <c r="J494" s="211"/>
      <c r="K494" s="211"/>
      <c r="L494" s="211"/>
      <c r="M494" s="211"/>
      <c r="N494" s="211"/>
      <c r="O494" s="211"/>
      <c r="AM494" s="34">
        <f t="shared" si="234"/>
        <v>0.72298799641430378</v>
      </c>
      <c r="AN494" s="34">
        <f t="shared" si="219"/>
        <v>0.36298699118196964</v>
      </c>
      <c r="AO494" s="16">
        <f t="shared" si="220"/>
        <v>61.800000000000608</v>
      </c>
      <c r="AP494" s="16" t="e">
        <f t="shared" si="221"/>
        <v>#N/A</v>
      </c>
      <c r="AQ494" s="16">
        <f t="shared" si="222"/>
        <v>6.0839015343151911E-3</v>
      </c>
      <c r="AR494" s="34">
        <f t="shared" si="235"/>
        <v>0.79450101591646671</v>
      </c>
      <c r="AS494" s="34">
        <f t="shared" si="223"/>
        <v>0.48767787404358387</v>
      </c>
      <c r="AT494" s="540">
        <f t="shared" si="224"/>
        <v>66.400000000000503</v>
      </c>
      <c r="AU494" s="16" t="e">
        <f t="shared" si="225"/>
        <v>#N/A</v>
      </c>
      <c r="AV494" s="16">
        <f t="shared" si="226"/>
        <v>6.9502962666520493E-3</v>
      </c>
      <c r="AW494" s="34">
        <f t="shared" si="236"/>
        <v>0.30713802762329578</v>
      </c>
      <c r="AX494" s="34">
        <f t="shared" si="227"/>
        <v>0.26902731694281101</v>
      </c>
      <c r="AY494" s="16">
        <f t="shared" si="228"/>
        <v>39.900000000000297</v>
      </c>
      <c r="AZ494" s="16" t="e">
        <f t="shared" si="229"/>
        <v>#N/A</v>
      </c>
      <c r="BA494" s="16">
        <f t="shared" si="237"/>
        <v>4.7238758517249846E-3</v>
      </c>
      <c r="BB494" s="34">
        <f t="shared" si="238"/>
        <v>0.3522461298853159</v>
      </c>
      <c r="BC494" s="34">
        <f t="shared" si="230"/>
        <v>0.8780528474599123</v>
      </c>
      <c r="BD494" s="16">
        <f t="shared" si="231"/>
        <v>42.400000000000333</v>
      </c>
      <c r="BE494" s="16" t="e">
        <f t="shared" si="232"/>
        <v>#N/A</v>
      </c>
      <c r="BF494" s="16">
        <f t="shared" si="233"/>
        <v>1.6294636030868694E-2</v>
      </c>
      <c r="BU494" s="16">
        <f t="shared" si="249"/>
        <v>0</v>
      </c>
      <c r="BV494" s="16">
        <f>IF($BY$12=1,NORMDIST(BY494,$Y$6,$Y$8,TRUE),IF($BY$12=2,IF(BY494&lt;=$BX$31,0,IF(BY494&gt;=$BX$32,1,(BY494-$BX$31)*$BX$33)),SUM($BU$42:BU494)/$BV$40))</f>
        <v>0.4051651283022113</v>
      </c>
      <c r="BW494" s="16">
        <f t="shared" si="250"/>
        <v>0.87601355018254301</v>
      </c>
      <c r="BX494" s="16">
        <f>IF($BY$12&lt;3,BV494,SUM($BZ$42:BZ494)/$BX$40)</f>
        <v>0.4051651283022113</v>
      </c>
      <c r="BY494" s="16">
        <f t="shared" si="240"/>
        <v>45.200000000000372</v>
      </c>
      <c r="BZ494" s="16">
        <f t="shared" si="241"/>
        <v>1.9380830756250793E-2</v>
      </c>
      <c r="CA494" s="16">
        <f t="shared" si="251"/>
        <v>-999</v>
      </c>
      <c r="CB494" s="16" t="str">
        <f t="shared" si="242"/>
        <v/>
      </c>
      <c r="CC494" s="16" t="e">
        <f>IF(CB494="",NA(),COUNTIF(CB494:$CB$704,CB494))</f>
        <v>#N/A</v>
      </c>
      <c r="CD494" s="16" t="e">
        <f t="shared" si="243"/>
        <v>#N/A</v>
      </c>
      <c r="CE494" s="16" t="e">
        <f t="shared" si="244"/>
        <v>#N/A</v>
      </c>
      <c r="CF494" s="16">
        <f t="shared" si="245"/>
        <v>99</v>
      </c>
      <c r="CG494" s="16">
        <f t="shared" si="246"/>
        <v>0</v>
      </c>
      <c r="CH494" s="16">
        <f t="shared" si="239"/>
        <v>0</v>
      </c>
      <c r="CJ494" s="16" t="e">
        <f t="shared" si="247"/>
        <v>#N/A</v>
      </c>
      <c r="CK494" s="16" t="str">
        <f t="shared" si="248"/>
        <v/>
      </c>
    </row>
    <row r="495" spans="1:89" ht="12" customHeight="1">
      <c r="A495" s="211"/>
      <c r="B495" s="211"/>
      <c r="C495" s="211"/>
      <c r="D495" s="211"/>
      <c r="E495" s="211"/>
      <c r="F495" s="211"/>
      <c r="G495" s="211"/>
      <c r="H495" s="211"/>
      <c r="I495" s="211"/>
      <c r="J495" s="211"/>
      <c r="K495" s="211"/>
      <c r="L495" s="211"/>
      <c r="M495" s="211"/>
      <c r="N495" s="211"/>
      <c r="O495" s="211"/>
      <c r="AM495" s="34">
        <f t="shared" si="234"/>
        <v>0.63065058179199696</v>
      </c>
      <c r="AN495" s="34">
        <f t="shared" si="219"/>
        <v>1.6377532854676247E-2</v>
      </c>
      <c r="AO495" s="16">
        <f t="shared" si="220"/>
        <v>56.600000000000534</v>
      </c>
      <c r="AP495" s="16" t="e">
        <f t="shared" si="221"/>
        <v>#N/A</v>
      </c>
      <c r="AQ495" s="16">
        <f t="shared" si="222"/>
        <v>3.0937214962015462E-4</v>
      </c>
      <c r="AR495" s="34">
        <f t="shared" si="235"/>
        <v>8.0248201265931129E-2</v>
      </c>
      <c r="AS495" s="34">
        <f t="shared" si="223"/>
        <v>5.5885927751660347E-2</v>
      </c>
      <c r="AT495" s="540">
        <f t="shared" si="224"/>
        <v>21.900000000000041</v>
      </c>
      <c r="AU495" s="16" t="e">
        <f t="shared" si="225"/>
        <v>#N/A</v>
      </c>
      <c r="AV495" s="16">
        <f t="shared" si="226"/>
        <v>4.1545926916585645E-4</v>
      </c>
      <c r="AW495" s="34">
        <f t="shared" si="236"/>
        <v>0.66678323037922382</v>
      </c>
      <c r="AX495" s="34">
        <f t="shared" si="227"/>
        <v>0.97197423316538334</v>
      </c>
      <c r="AY495" s="16">
        <f t="shared" si="228"/>
        <v>58.600000000000563</v>
      </c>
      <c r="AZ495" s="16" t="e">
        <f t="shared" si="229"/>
        <v>#N/A</v>
      </c>
      <c r="BA495" s="16">
        <f t="shared" si="237"/>
        <v>1.7676012390752827E-2</v>
      </c>
      <c r="BB495" s="34">
        <f t="shared" si="238"/>
        <v>0.88928613997995853</v>
      </c>
      <c r="BC495" s="34">
        <f t="shared" si="230"/>
        <v>0.96051940508186817</v>
      </c>
      <c r="BD495" s="16">
        <f t="shared" si="231"/>
        <v>74.400000000000048</v>
      </c>
      <c r="BE495" s="16" t="e">
        <f t="shared" si="232"/>
        <v>#N/A</v>
      </c>
      <c r="BF495" s="16" t="e">
        <f t="shared" si="233"/>
        <v>#N/A</v>
      </c>
      <c r="BU495" s="16">
        <f t="shared" si="249"/>
        <v>0</v>
      </c>
      <c r="BV495" s="16">
        <f>IF($BY$12=1,NORMDIST(BY495,$Y$6,$Y$8,TRUE),IF($BY$12=2,IF(BY495&lt;=$BX$31,0,IF(BY495&gt;=$BX$32,1,(BY495-$BX$31)*$BX$33)),SUM($BU$42:BU495)/$BV$40))</f>
        <v>0.40710436661037419</v>
      </c>
      <c r="BW495" s="16">
        <f t="shared" si="250"/>
        <v>0.87899482009225671</v>
      </c>
      <c r="BX495" s="16">
        <f>IF($BY$12&lt;3,BV495,SUM($BZ$42:BZ495)/$BX$40)</f>
        <v>0.40710436661037419</v>
      </c>
      <c r="BY495" s="16">
        <f t="shared" si="240"/>
        <v>45.300000000000374</v>
      </c>
      <c r="BZ495" s="16">
        <f t="shared" si="241"/>
        <v>1.9403859163184316E-2</v>
      </c>
      <c r="CA495" s="16">
        <f t="shared" si="251"/>
        <v>-999</v>
      </c>
      <c r="CB495" s="16" t="str">
        <f t="shared" si="242"/>
        <v/>
      </c>
      <c r="CC495" s="16" t="e">
        <f>IF(CB495="",NA(),COUNTIF(CB495:$CB$704,CB495))</f>
        <v>#N/A</v>
      </c>
      <c r="CD495" s="16" t="e">
        <f t="shared" si="243"/>
        <v>#N/A</v>
      </c>
      <c r="CE495" s="16" t="e">
        <f t="shared" si="244"/>
        <v>#N/A</v>
      </c>
      <c r="CF495" s="16">
        <f t="shared" si="245"/>
        <v>99</v>
      </c>
      <c r="CG495" s="16">
        <f t="shared" si="246"/>
        <v>0</v>
      </c>
      <c r="CH495" s="16">
        <f t="shared" si="239"/>
        <v>0</v>
      </c>
      <c r="CJ495" s="16" t="e">
        <f t="shared" si="247"/>
        <v>#N/A</v>
      </c>
      <c r="CK495" s="16" t="str">
        <f t="shared" si="248"/>
        <v/>
      </c>
    </row>
    <row r="496" spans="1:89" ht="12" customHeight="1">
      <c r="A496" s="211"/>
      <c r="B496" s="211"/>
      <c r="C496" s="211"/>
      <c r="D496" s="211"/>
      <c r="E496" s="211"/>
      <c r="F496" s="211"/>
      <c r="G496" s="211"/>
      <c r="H496" s="211"/>
      <c r="I496" s="211"/>
      <c r="J496" s="211"/>
      <c r="K496" s="211"/>
      <c r="L496" s="211"/>
      <c r="M496" s="211"/>
      <c r="N496" s="211"/>
      <c r="O496" s="211"/>
      <c r="AM496" s="34">
        <f t="shared" si="234"/>
        <v>0.54145468957722187</v>
      </c>
      <c r="AN496" s="34">
        <f t="shared" si="219"/>
        <v>0.93468318320810795</v>
      </c>
      <c r="AO496" s="16">
        <f t="shared" si="220"/>
        <v>52.000000000000469</v>
      </c>
      <c r="AP496" s="16" t="e">
        <f t="shared" si="221"/>
        <v>#N/A</v>
      </c>
      <c r="AQ496" s="16">
        <f t="shared" si="222"/>
        <v>1.8551243532919003E-2</v>
      </c>
      <c r="AR496" s="34">
        <f t="shared" si="235"/>
        <v>4.0336642414331436E-3</v>
      </c>
      <c r="AS496" s="34">
        <f t="shared" si="223"/>
        <v>0.69485196657478809</v>
      </c>
      <c r="AT496" s="540" t="e">
        <f t="shared" si="224"/>
        <v>#N/A</v>
      </c>
      <c r="AU496" s="16" t="e">
        <f t="shared" si="225"/>
        <v>#N/A</v>
      </c>
      <c r="AV496" s="16" t="e">
        <f t="shared" si="226"/>
        <v>#N/A</v>
      </c>
      <c r="AW496" s="34">
        <f t="shared" si="236"/>
        <v>0.96731886453926563</v>
      </c>
      <c r="AX496" s="34">
        <f t="shared" si="227"/>
        <v>0.22053789533674717</v>
      </c>
      <c r="AY496" s="16">
        <f t="shared" si="228"/>
        <v>86.799999999999343</v>
      </c>
      <c r="AZ496" s="16" t="e">
        <f t="shared" si="229"/>
        <v>#N/A</v>
      </c>
      <c r="BA496" s="16">
        <f t="shared" si="237"/>
        <v>8.0944919750693199E-4</v>
      </c>
      <c r="BB496" s="34">
        <f t="shared" si="238"/>
        <v>0.53757094778120518</v>
      </c>
      <c r="BC496" s="34">
        <f t="shared" si="230"/>
        <v>0.46623437292873859</v>
      </c>
      <c r="BD496" s="16">
        <f t="shared" si="231"/>
        <v>51.800000000000466</v>
      </c>
      <c r="BE496" s="16" t="e">
        <f t="shared" si="232"/>
        <v>#N/A</v>
      </c>
      <c r="BF496" s="16">
        <f t="shared" si="233"/>
        <v>9.2624412435985334E-3</v>
      </c>
      <c r="BU496" s="16">
        <f t="shared" si="249"/>
        <v>0</v>
      </c>
      <c r="BV496" s="16">
        <f>IF($BY$12=1,NORMDIST(BY496,$Y$6,$Y$8,TRUE),IF($BY$12=2,IF(BY496&lt;=$BX$31,0,IF(BY496&gt;=$BX$32,1,(BY496-$BX$31)*$BX$33)),SUM($BU$42:BU496)/$BV$40))</f>
        <v>0.40904588485800142</v>
      </c>
      <c r="BW496" s="16">
        <f t="shared" si="250"/>
        <v>0.88195988866695851</v>
      </c>
      <c r="BX496" s="16">
        <f>IF($BY$12&lt;3,BV496,SUM($BZ$42:BZ496)/$BX$40)</f>
        <v>0.40904588485800142</v>
      </c>
      <c r="BY496" s="16">
        <f t="shared" si="240"/>
        <v>45.400000000000375</v>
      </c>
      <c r="BZ496" s="16">
        <f t="shared" si="241"/>
        <v>1.9426429265791877E-2</v>
      </c>
      <c r="CA496" s="16">
        <f t="shared" si="251"/>
        <v>-999</v>
      </c>
      <c r="CB496" s="16" t="str">
        <f t="shared" si="242"/>
        <v/>
      </c>
      <c r="CC496" s="16" t="e">
        <f>IF(CB496="",NA(),COUNTIF(CB496:$CB$704,CB496))</f>
        <v>#N/A</v>
      </c>
      <c r="CD496" s="16" t="e">
        <f t="shared" si="243"/>
        <v>#N/A</v>
      </c>
      <c r="CE496" s="16" t="e">
        <f t="shared" si="244"/>
        <v>#N/A</v>
      </c>
      <c r="CF496" s="16">
        <f t="shared" si="245"/>
        <v>99</v>
      </c>
      <c r="CG496" s="16">
        <f t="shared" si="246"/>
        <v>0</v>
      </c>
      <c r="CH496" s="16">
        <f t="shared" si="239"/>
        <v>0</v>
      </c>
      <c r="CJ496" s="16" t="e">
        <f t="shared" si="247"/>
        <v>#N/A</v>
      </c>
      <c r="CK496" s="16" t="str">
        <f t="shared" si="248"/>
        <v/>
      </c>
    </row>
    <row r="497" spans="1:89" ht="12" customHeight="1">
      <c r="A497" s="211"/>
      <c r="B497" s="211"/>
      <c r="C497" s="211"/>
      <c r="D497" s="211"/>
      <c r="E497" s="211"/>
      <c r="F497" s="211"/>
      <c r="G497" s="211"/>
      <c r="H497" s="211"/>
      <c r="I497" s="211"/>
      <c r="J497" s="211"/>
      <c r="K497" s="211"/>
      <c r="L497" s="211"/>
      <c r="M497" s="211"/>
      <c r="N497" s="211"/>
      <c r="O497" s="211"/>
      <c r="AM497" s="34">
        <f t="shared" si="234"/>
        <v>0.98296246118843555</v>
      </c>
      <c r="AN497" s="34">
        <f t="shared" si="219"/>
        <v>0.39039635099470615</v>
      </c>
      <c r="AO497" s="16">
        <f t="shared" si="220"/>
        <v>92.299999999999031</v>
      </c>
      <c r="AP497" s="16" t="e">
        <f t="shared" si="221"/>
        <v>#N/A</v>
      </c>
      <c r="AQ497" s="16">
        <f t="shared" si="222"/>
        <v>8.3183531279951736E-4</v>
      </c>
      <c r="AR497" s="34">
        <f t="shared" si="235"/>
        <v>0.69882344640791416</v>
      </c>
      <c r="AS497" s="34">
        <f t="shared" si="223"/>
        <v>0.54878394491970539</v>
      </c>
      <c r="AT497" s="540">
        <f t="shared" si="224"/>
        <v>60.400000000000588</v>
      </c>
      <c r="AU497" s="16" t="e">
        <f t="shared" si="225"/>
        <v>#N/A</v>
      </c>
      <c r="AV497" s="16">
        <f t="shared" si="226"/>
        <v>9.5623547963423917E-3</v>
      </c>
      <c r="AW497" s="34">
        <f t="shared" si="236"/>
        <v>0.82036011107265949</v>
      </c>
      <c r="AX497" s="34">
        <f t="shared" si="227"/>
        <v>0.77540803886950016</v>
      </c>
      <c r="AY497" s="16">
        <f t="shared" si="228"/>
        <v>68.300000000000395</v>
      </c>
      <c r="AZ497" s="16" t="e">
        <f t="shared" si="229"/>
        <v>#N/A</v>
      </c>
      <c r="BA497" s="16">
        <f t="shared" si="237"/>
        <v>1.0176753857969022E-2</v>
      </c>
      <c r="BB497" s="34">
        <f t="shared" si="238"/>
        <v>0.79033423401415348</v>
      </c>
      <c r="BC497" s="34">
        <f t="shared" si="230"/>
        <v>0.6144865769892931</v>
      </c>
      <c r="BD497" s="16">
        <f t="shared" si="231"/>
        <v>66.10000000000052</v>
      </c>
      <c r="BE497" s="16" t="e">
        <f t="shared" si="232"/>
        <v>#N/A</v>
      </c>
      <c r="BF497" s="16">
        <f t="shared" si="233"/>
        <v>8.8649365152124251E-3</v>
      </c>
      <c r="BU497" s="16">
        <f t="shared" si="249"/>
        <v>0</v>
      </c>
      <c r="BV497" s="16">
        <f>IF($BY$12=1,NORMDIST(BY497,$Y$6,$Y$8,TRUE),IF($BY$12=2,IF(BY497&lt;=$BX$31,0,IF(BY497&gt;=$BX$32,1,(BY497-$BX$31)*$BX$33)),SUM($BU$42:BU497)/$BV$40))</f>
        <v>0.41098963713127767</v>
      </c>
      <c r="BW497" s="16">
        <f t="shared" si="250"/>
        <v>0.88490854278361586</v>
      </c>
      <c r="BX497" s="16">
        <f>IF($BY$12&lt;3,BV497,SUM($BZ$42:BZ497)/$BX$40)</f>
        <v>0.41098963713127767</v>
      </c>
      <c r="BY497" s="16">
        <f t="shared" si="240"/>
        <v>45.500000000000377</v>
      </c>
      <c r="BZ497" s="16">
        <f t="shared" si="241"/>
        <v>1.944853940183755E-2</v>
      </c>
      <c r="CA497" s="16">
        <f t="shared" si="251"/>
        <v>-999</v>
      </c>
      <c r="CB497" s="16" t="str">
        <f t="shared" si="242"/>
        <v/>
      </c>
      <c r="CC497" s="16" t="e">
        <f>IF(CB497="",NA(),COUNTIF(CB497:$CB$704,CB497))</f>
        <v>#N/A</v>
      </c>
      <c r="CD497" s="16" t="e">
        <f t="shared" si="243"/>
        <v>#N/A</v>
      </c>
      <c r="CE497" s="16" t="e">
        <f t="shared" si="244"/>
        <v>#N/A</v>
      </c>
      <c r="CF497" s="16">
        <f t="shared" si="245"/>
        <v>99</v>
      </c>
      <c r="CG497" s="16">
        <f t="shared" si="246"/>
        <v>0</v>
      </c>
      <c r="CH497" s="16">
        <f t="shared" si="239"/>
        <v>0</v>
      </c>
      <c r="CJ497" s="16" t="e">
        <f t="shared" si="247"/>
        <v>#N/A</v>
      </c>
      <c r="CK497" s="16" t="str">
        <f t="shared" si="248"/>
        <v/>
      </c>
    </row>
    <row r="498" spans="1:89" ht="12" customHeight="1">
      <c r="A498" s="211"/>
      <c r="B498" s="211"/>
      <c r="C498" s="211"/>
      <c r="D498" s="211"/>
      <c r="E498" s="211"/>
      <c r="F498" s="211"/>
      <c r="G498" s="211"/>
      <c r="H498" s="211"/>
      <c r="I498" s="211"/>
      <c r="J498" s="211"/>
      <c r="K498" s="211"/>
      <c r="L498" s="211"/>
      <c r="M498" s="211"/>
      <c r="N498" s="211"/>
      <c r="O498" s="211"/>
      <c r="AM498" s="34">
        <f t="shared" si="234"/>
        <v>0.58509962446987629</v>
      </c>
      <c r="AN498" s="34">
        <f t="shared" si="219"/>
        <v>0.85099388100206852</v>
      </c>
      <c r="AO498" s="16">
        <f t="shared" si="220"/>
        <v>54.2000000000005</v>
      </c>
      <c r="AP498" s="16" t="e">
        <f t="shared" si="221"/>
        <v>#N/A</v>
      </c>
      <c r="AQ498" s="16">
        <f t="shared" si="222"/>
        <v>1.6604672496144491E-2</v>
      </c>
      <c r="AR498" s="34">
        <f t="shared" si="235"/>
        <v>0.58338833786547184</v>
      </c>
      <c r="AS498" s="34">
        <f t="shared" si="223"/>
        <v>0.96270311065018177</v>
      </c>
      <c r="AT498" s="540">
        <f t="shared" si="224"/>
        <v>54.2000000000005</v>
      </c>
      <c r="AU498" s="16" t="e">
        <f t="shared" si="225"/>
        <v>#N/A</v>
      </c>
      <c r="AV498" s="16">
        <f t="shared" si="226"/>
        <v>1.8784353472133797E-2</v>
      </c>
      <c r="AW498" s="34">
        <f t="shared" si="236"/>
        <v>0.46899950690567493</v>
      </c>
      <c r="AX498" s="34">
        <f t="shared" si="227"/>
        <v>0.16605033911764622</v>
      </c>
      <c r="AY498" s="16">
        <f t="shared" si="228"/>
        <v>48.400000000000418</v>
      </c>
      <c r="AZ498" s="16" t="e">
        <f t="shared" si="229"/>
        <v>#N/A</v>
      </c>
      <c r="BA498" s="16">
        <f t="shared" si="237"/>
        <v>3.3016428678169516E-3</v>
      </c>
      <c r="BB498" s="34">
        <f t="shared" si="238"/>
        <v>0.75821843184530735</v>
      </c>
      <c r="BC498" s="34">
        <f t="shared" si="230"/>
        <v>0.17529268749058247</v>
      </c>
      <c r="BD498" s="16">
        <f t="shared" si="231"/>
        <v>64.000000000000639</v>
      </c>
      <c r="BE498" s="16" t="e">
        <f t="shared" si="232"/>
        <v>#N/A</v>
      </c>
      <c r="BF498" s="16">
        <f t="shared" si="233"/>
        <v>2.7367915579681805E-3</v>
      </c>
      <c r="BU498" s="16">
        <f t="shared" si="249"/>
        <v>0</v>
      </c>
      <c r="BV498" s="16">
        <f>IF($BY$12=1,NORMDIST(BY498,$Y$6,$Y$8,TRUE),IF($BY$12=2,IF(BY498&lt;=$BX$31,0,IF(BY498&gt;=$BX$32,1,(BY498-$BX$31)*$BX$33)),SUM($BU$42:BU498)/$BV$40))</f>
        <v>0.41293557735179276</v>
      </c>
      <c r="BW498" s="16">
        <f t="shared" si="250"/>
        <v>0.88784057014105322</v>
      </c>
      <c r="BX498" s="16">
        <f>IF($BY$12&lt;3,BV498,SUM($BZ$42:BZ498)/$BX$40)</f>
        <v>0.41293557735179276</v>
      </c>
      <c r="BY498" s="16">
        <f t="shared" si="240"/>
        <v>45.600000000000378</v>
      </c>
      <c r="BZ498" s="16">
        <f t="shared" si="241"/>
        <v>1.9470187941689601E-2</v>
      </c>
      <c r="CA498" s="16">
        <f t="shared" si="251"/>
        <v>-999</v>
      </c>
      <c r="CB498" s="16" t="str">
        <f t="shared" si="242"/>
        <v/>
      </c>
      <c r="CC498" s="16" t="e">
        <f>IF(CB498="",NA(),COUNTIF(CB498:$CB$704,CB498))</f>
        <v>#N/A</v>
      </c>
      <c r="CD498" s="16" t="e">
        <f t="shared" si="243"/>
        <v>#N/A</v>
      </c>
      <c r="CE498" s="16" t="e">
        <f t="shared" si="244"/>
        <v>#N/A</v>
      </c>
      <c r="CF498" s="16">
        <f t="shared" si="245"/>
        <v>99</v>
      </c>
      <c r="CG498" s="16">
        <f t="shared" si="246"/>
        <v>0</v>
      </c>
      <c r="CH498" s="16">
        <f t="shared" si="239"/>
        <v>0</v>
      </c>
      <c r="CJ498" s="16" t="e">
        <f t="shared" si="247"/>
        <v>#N/A</v>
      </c>
      <c r="CK498" s="16" t="str">
        <f t="shared" si="248"/>
        <v/>
      </c>
    </row>
    <row r="499" spans="1:89" ht="12" customHeight="1">
      <c r="A499" s="211"/>
      <c r="B499" s="211"/>
      <c r="C499" s="211"/>
      <c r="D499" s="211"/>
      <c r="E499" s="211"/>
      <c r="F499" s="211"/>
      <c r="G499" s="211"/>
      <c r="H499" s="211"/>
      <c r="I499" s="211"/>
      <c r="J499" s="211"/>
      <c r="K499" s="211"/>
      <c r="L499" s="211"/>
      <c r="M499" s="211"/>
      <c r="N499" s="211"/>
      <c r="O499" s="211"/>
      <c r="AM499" s="34">
        <f t="shared" si="234"/>
        <v>0.87294113822281361</v>
      </c>
      <c r="AN499" s="34">
        <f t="shared" ref="AN499:AN514" si="252">MOD(AM499*10000013,1)</f>
        <v>0.73046293295919895</v>
      </c>
      <c r="AO499" s="16">
        <f t="shared" ref="AO499:AO514" si="253">IF(VLOOKUP(AM499,$BX$42:$BY$4042,2)&gt;=$AO$112,NA(),VLOOKUP(AM499,$BX$42:$BY$4042,2))</f>
        <v>72.800000000000139</v>
      </c>
      <c r="AP499" s="16" t="e">
        <f t="shared" ref="AP499:AP514" si="254">IF(AND(AO499&lt;100,$P$16),AO499+AM500+$AU$113,NA())</f>
        <v>#N/A</v>
      </c>
      <c r="AQ499" s="16">
        <f t="shared" ref="AQ499:AQ514" si="255">IF(AN499*VLOOKUP(AO499,$BY$42:$BZ$1042,2)&lt;VLOOKUP(AO499,$BY$42:$BZ$1042,2)-$BZ$40/$CB$40,AN499*VLOOKUP(AO499,$BY$42:$BZ$1042,2),NA())</f>
        <v>7.6080559638029279E-3</v>
      </c>
      <c r="AR499" s="34">
        <f t="shared" si="235"/>
        <v>0.62164225615561008</v>
      </c>
      <c r="AS499" s="34">
        <f t="shared" ref="AS499:AS514" si="256">MOD(AR499*10000013,1)</f>
        <v>0.64290543086826801</v>
      </c>
      <c r="AT499" s="540">
        <f t="shared" ref="AT499:AT514" si="257">IF(VLOOKUP(AR499,$BX$42:$BY$4042,2)&gt;=$AO$112,NA(),VLOOKUP(AR499,$BX$42:$BY$4042,2))</f>
        <v>56.100000000000527</v>
      </c>
      <c r="AU499" s="16" t="e">
        <f t="shared" ref="AU499:AU514" si="258">IF(AND(AT499&lt;100,$P$16),AT499+AR500+$AU$113,NA())</f>
        <v>#N/A</v>
      </c>
      <c r="AV499" s="16">
        <f t="shared" ref="AV499:AV514" si="259">IF(AS499*VLOOKUP(AT499,$BY$42:$BZ$1042,2)&lt;VLOOKUP(AT499,$BY$42:$BZ$1042,2)-$BZ$40/$CB$40,AS499*VLOOKUP(AT499,$BY$42:$BZ$1042,2),NA())</f>
        <v>1.2241285937358317E-2</v>
      </c>
      <c r="AW499" s="34">
        <f t="shared" si="236"/>
        <v>0.54983087070286274</v>
      </c>
      <c r="AX499" s="34">
        <f t="shared" ref="AX499:AX514" si="260">MOD(AW499*10000013,1)</f>
        <v>0.8548299465328455</v>
      </c>
      <c r="AY499" s="16">
        <f t="shared" ref="AY499:AY514" si="261">IF(VLOOKUP(AW499,$BX$42:$BY$4042,2)&gt;=$AO$112,NA(),VLOOKUP(AW499,$BX$42:$BY$4042,2))</f>
        <v>52.500000000000476</v>
      </c>
      <c r="AZ499" s="16" t="e">
        <f t="shared" ref="AZ499:AZ514" si="262">IF(AND(AY499&lt;100,$P$16),AY499+AW500+$AU$113,NA())</f>
        <v>#N/A</v>
      </c>
      <c r="BA499" s="16">
        <f t="shared" si="237"/>
        <v>1.6918695438333221E-2</v>
      </c>
      <c r="BB499" s="34">
        <f t="shared" si="238"/>
        <v>0.15371076203882694</v>
      </c>
      <c r="BC499" s="34">
        <f t="shared" ref="BC499:BC514" si="263">MOD(BB499*10000013,1)</f>
        <v>0.61862817592918873</v>
      </c>
      <c r="BD499" s="16">
        <f t="shared" ref="BD499:BD514" si="264">IF(VLOOKUP(BB499,$BX$42:$BY$4042,2)&gt;=$AO$112,NA(),VLOOKUP(BB499,$BX$42:$BY$4042,2))</f>
        <v>29.500000000000149</v>
      </c>
      <c r="BE499" s="16" t="e">
        <f t="shared" ref="BE499:BE514" si="265">IF(AND(BD499&lt;100,$P$16),BD499+BB500+$AU$113,NA())</f>
        <v>#N/A</v>
      </c>
      <c r="BF499" s="16">
        <f t="shared" ref="BF499:BF514" si="266">IF(BC499*VLOOKUP(BD499,$BY$42:$BZ$1042,2)&lt;VLOOKUP(BD499,$BY$42:$BZ$1042,2)-$BZ$40/$CB$40,BC499*VLOOKUP(BD499,$BY$42:$BZ$1042,2),NA())</f>
        <v>7.2974217464524078E-3</v>
      </c>
      <c r="BU499" s="16">
        <f t="shared" si="249"/>
        <v>0</v>
      </c>
      <c r="BV499" s="16">
        <f>IF($BY$12=1,NORMDIST(BY499,$Y$6,$Y$8,TRUE),IF($BY$12=2,IF(BY499&lt;=$BX$31,0,IF(BY499&gt;=$BX$32,1,(BY499-$BX$31)*$BX$33)),SUM($BU$42:BU499)/$BV$40))</f>
        <v>0.41488365927981163</v>
      </c>
      <c r="BW499" s="16">
        <f t="shared" si="250"/>
        <v>0.8907557592853993</v>
      </c>
      <c r="BX499" s="16">
        <f>IF($BY$12&lt;3,BV499,SUM($BZ$42:BZ499)/$BX$40)</f>
        <v>0.41488365927981163</v>
      </c>
      <c r="BY499" s="16">
        <f t="shared" si="240"/>
        <v>45.700000000000379</v>
      </c>
      <c r="BZ499" s="16">
        <f t="shared" si="241"/>
        <v>1.949137328852061E-2</v>
      </c>
      <c r="CA499" s="16">
        <f t="shared" si="251"/>
        <v>-999</v>
      </c>
      <c r="CB499" s="16" t="str">
        <f t="shared" si="242"/>
        <v/>
      </c>
      <c r="CC499" s="16" t="e">
        <f>IF(CB499="",NA(),COUNTIF(CB499:$CB$704,CB499))</f>
        <v>#N/A</v>
      </c>
      <c r="CD499" s="16" t="e">
        <f t="shared" si="243"/>
        <v>#N/A</v>
      </c>
      <c r="CE499" s="16" t="e">
        <f t="shared" si="244"/>
        <v>#N/A</v>
      </c>
      <c r="CF499" s="16">
        <f t="shared" si="245"/>
        <v>99</v>
      </c>
      <c r="CG499" s="16">
        <f t="shared" si="246"/>
        <v>0</v>
      </c>
      <c r="CH499" s="16">
        <f t="shared" si="239"/>
        <v>0</v>
      </c>
      <c r="CJ499" s="16" t="e">
        <f t="shared" si="247"/>
        <v>#N/A</v>
      </c>
      <c r="CK499" s="16" t="str">
        <f t="shared" si="248"/>
        <v/>
      </c>
    </row>
    <row r="500" spans="1:89" ht="12" customHeight="1">
      <c r="A500" s="211"/>
      <c r="B500" s="211"/>
      <c r="C500" s="211"/>
      <c r="D500" s="211"/>
      <c r="E500" s="211"/>
      <c r="F500" s="211"/>
      <c r="G500" s="211"/>
      <c r="H500" s="211"/>
      <c r="I500" s="211"/>
      <c r="J500" s="211"/>
      <c r="K500" s="211"/>
      <c r="L500" s="211"/>
      <c r="M500" s="211"/>
      <c r="N500" s="211"/>
      <c r="O500" s="211"/>
      <c r="AM500" s="34">
        <f t="shared" ref="AM500:AM515" si="267">MOD(AN499*10000013,1)</f>
        <v>0.82561011798679829</v>
      </c>
      <c r="AN500" s="34">
        <f t="shared" si="252"/>
        <v>0.91279951669275761</v>
      </c>
      <c r="AO500" s="16">
        <f t="shared" si="253"/>
        <v>68.700000000000372</v>
      </c>
      <c r="AP500" s="16" t="e">
        <f t="shared" si="254"/>
        <v>#N/A</v>
      </c>
      <c r="AQ500" s="16">
        <f t="shared" si="255"/>
        <v>1.1760341278280481E-2</v>
      </c>
      <c r="AR500" s="34">
        <f t="shared" ref="AR500:AR515" si="268">MOD(AS499*10000013,1)</f>
        <v>0.66645328141748905</v>
      </c>
      <c r="AS500" s="34">
        <f t="shared" si="256"/>
        <v>0.47806754894554615</v>
      </c>
      <c r="AT500" s="540">
        <f t="shared" si="257"/>
        <v>58.600000000000563</v>
      </c>
      <c r="AU500" s="16" t="e">
        <f t="shared" si="258"/>
        <v>#N/A</v>
      </c>
      <c r="AV500" s="16">
        <f t="shared" si="259"/>
        <v>8.6939834724409481E-3</v>
      </c>
      <c r="AW500" s="34">
        <f t="shared" ref="AW500:AW515" si="269">MOD(AX499*10000013,1)</f>
        <v>0.57811775989830494</v>
      </c>
      <c r="AX500" s="34">
        <f t="shared" si="260"/>
        <v>0.11451392807066441</v>
      </c>
      <c r="AY500" s="16">
        <f t="shared" si="261"/>
        <v>53.900000000000496</v>
      </c>
      <c r="AZ500" s="16" t="e">
        <f t="shared" si="262"/>
        <v>#N/A</v>
      </c>
      <c r="BA500" s="16">
        <f t="shared" ref="BA500:BA514" si="270">IF(AX500*VLOOKUP(AY500,$BY$42:$BZ$1042,2)&lt;VLOOKUP(AY500,$BY$42:$BZ$1042,2)-$BZ$40/$CB$40,AX500*VLOOKUP(AY500,$BY$42:$BZ$1042,2),NA())</f>
        <v>2.2412038429157222E-3</v>
      </c>
      <c r="BB500" s="34">
        <f t="shared" ref="BB500:BB515" si="271">MOD(BC499*10000013,1)</f>
        <v>0.80145817436277866</v>
      </c>
      <c r="BC500" s="34">
        <f t="shared" si="263"/>
        <v>0.16258405335247517</v>
      </c>
      <c r="BD500" s="16">
        <f t="shared" si="264"/>
        <v>66.900000000000475</v>
      </c>
      <c r="BE500" s="16" t="e">
        <f t="shared" si="265"/>
        <v>#N/A</v>
      </c>
      <c r="BF500" s="16">
        <f t="shared" si="266"/>
        <v>2.2693916788240004E-3</v>
      </c>
      <c r="BU500" s="16">
        <f t="shared" si="249"/>
        <v>0</v>
      </c>
      <c r="BV500" s="16">
        <f>IF($BY$12=1,NORMDIST(BY500,$Y$6,$Y$8,TRUE),IF($BY$12=2,IF(BY500&lt;=$BX$31,0,IF(BY500&gt;=$BX$32,1,(BY500-$BX$31)*$BX$33)),SUM($BU$42:BU500)/$BV$40))</f>
        <v>0.41683383651756512</v>
      </c>
      <c r="BW500" s="16">
        <f t="shared" si="250"/>
        <v>0.89365389963548092</v>
      </c>
      <c r="BX500" s="16">
        <f>IF($BY$12&lt;3,BV500,SUM($BZ$42:BZ500)/$BX$40)</f>
        <v>0.41683383651756512</v>
      </c>
      <c r="BY500" s="16">
        <f t="shared" si="240"/>
        <v>45.800000000000381</v>
      </c>
      <c r="BZ500" s="16">
        <f t="shared" si="241"/>
        <v>1.9512093878503788E-2</v>
      </c>
      <c r="CA500" s="16">
        <f t="shared" si="251"/>
        <v>-999</v>
      </c>
      <c r="CB500" s="16" t="str">
        <f t="shared" si="242"/>
        <v/>
      </c>
      <c r="CC500" s="16" t="e">
        <f>IF(CB500="",NA(),COUNTIF(CB500:$CB$704,CB500))</f>
        <v>#N/A</v>
      </c>
      <c r="CD500" s="16" t="e">
        <f t="shared" si="243"/>
        <v>#N/A</v>
      </c>
      <c r="CE500" s="16" t="e">
        <f t="shared" si="244"/>
        <v>#N/A</v>
      </c>
      <c r="CF500" s="16">
        <f t="shared" si="245"/>
        <v>99</v>
      </c>
      <c r="CG500" s="16">
        <f t="shared" si="246"/>
        <v>0</v>
      </c>
      <c r="CH500" s="16">
        <f t="shared" si="239"/>
        <v>0</v>
      </c>
      <c r="CJ500" s="16" t="e">
        <f t="shared" si="247"/>
        <v>#N/A</v>
      </c>
      <c r="CK500" s="16" t="str">
        <f t="shared" si="248"/>
        <v/>
      </c>
    </row>
    <row r="501" spans="1:89" ht="12" customHeight="1">
      <c r="A501" s="211"/>
      <c r="B501" s="211"/>
      <c r="C501" s="211"/>
      <c r="D501" s="211"/>
      <c r="E501" s="211"/>
      <c r="F501" s="211"/>
      <c r="G501" s="211"/>
      <c r="H501" s="211"/>
      <c r="I501" s="211"/>
      <c r="J501" s="211"/>
      <c r="K501" s="211"/>
      <c r="L501" s="211"/>
      <c r="M501" s="211"/>
      <c r="N501" s="211"/>
      <c r="O501" s="211"/>
      <c r="AM501" s="34">
        <f t="shared" si="267"/>
        <v>3.3321293070912361E-2</v>
      </c>
      <c r="AN501" s="34">
        <f t="shared" si="252"/>
        <v>0.36388593353331089</v>
      </c>
      <c r="AO501" s="16">
        <f t="shared" si="253"/>
        <v>13.299999999999969</v>
      </c>
      <c r="AP501" s="16" t="e">
        <f t="shared" si="254"/>
        <v>#N/A</v>
      </c>
      <c r="AQ501" s="16">
        <f t="shared" si="255"/>
        <v>1.3479125578922499E-3</v>
      </c>
      <c r="AR501" s="34">
        <f t="shared" si="268"/>
        <v>0.70433359779417515</v>
      </c>
      <c r="AS501" s="34">
        <f t="shared" si="256"/>
        <v>0.13427852280437946</v>
      </c>
      <c r="AT501" s="540">
        <f t="shared" si="257"/>
        <v>60.700000000000593</v>
      </c>
      <c r="AU501" s="16" t="e">
        <f t="shared" si="258"/>
        <v>#N/A</v>
      </c>
      <c r="AV501" s="16">
        <f t="shared" si="259"/>
        <v>2.3213127459691001E-3</v>
      </c>
      <c r="AW501" s="34">
        <f t="shared" si="269"/>
        <v>0.76938770897686481</v>
      </c>
      <c r="AX501" s="34">
        <f t="shared" si="260"/>
        <v>9.18088648468256E-2</v>
      </c>
      <c r="AY501" s="16">
        <f t="shared" si="261"/>
        <v>64.7000000000006</v>
      </c>
      <c r="AZ501" s="16" t="e">
        <f t="shared" si="262"/>
        <v>#N/A</v>
      </c>
      <c r="BA501" s="16">
        <f t="shared" si="270"/>
        <v>1.3978363168581946E-3</v>
      </c>
      <c r="BB501" s="34">
        <f t="shared" si="271"/>
        <v>0.64711744524538517</v>
      </c>
      <c r="BC501" s="34">
        <f t="shared" si="263"/>
        <v>0.86498063988983631</v>
      </c>
      <c r="BD501" s="16">
        <f t="shared" si="264"/>
        <v>57.500000000000547</v>
      </c>
      <c r="BE501" s="16" t="e">
        <f t="shared" si="265"/>
        <v>#N/A</v>
      </c>
      <c r="BF501" s="16">
        <f t="shared" si="266"/>
        <v>1.6082372852088227E-2</v>
      </c>
      <c r="BU501" s="16">
        <f t="shared" si="249"/>
        <v>0</v>
      </c>
      <c r="BV501" s="16">
        <f>IF($BY$12=1,NORMDIST(BY501,$Y$6,$Y$8,TRUE),IF($BY$12=2,IF(BY501&lt;=$BX$31,0,IF(BY501&gt;=$BX$32,1,(BY501-$BX$31)*$BX$33)),SUM($BU$42:BU501)/$BV$40))</f>
        <v>0.41878606251255934</v>
      </c>
      <c r="BW501" s="16">
        <f t="shared" si="250"/>
        <v>0.89653478150815247</v>
      </c>
      <c r="BX501" s="16">
        <f>IF($BY$12&lt;3,BV501,SUM($BZ$42:BZ501)/$BX$40)</f>
        <v>0.41878606251255934</v>
      </c>
      <c r="BY501" s="16">
        <f t="shared" si="240"/>
        <v>45.900000000000382</v>
      </c>
      <c r="BZ501" s="16">
        <f t="shared" si="241"/>
        <v>1.9532348181005337E-2</v>
      </c>
      <c r="CA501" s="16">
        <f t="shared" si="251"/>
        <v>-999</v>
      </c>
      <c r="CB501" s="16" t="str">
        <f t="shared" si="242"/>
        <v/>
      </c>
      <c r="CC501" s="16" t="e">
        <f>IF(CB501="",NA(),COUNTIF(CB501:$CB$704,CB501))</f>
        <v>#N/A</v>
      </c>
      <c r="CD501" s="16" t="e">
        <f t="shared" si="243"/>
        <v>#N/A</v>
      </c>
      <c r="CE501" s="16" t="e">
        <f t="shared" si="244"/>
        <v>#N/A</v>
      </c>
      <c r="CF501" s="16">
        <f t="shared" si="245"/>
        <v>99</v>
      </c>
      <c r="CG501" s="16">
        <f t="shared" si="246"/>
        <v>0</v>
      </c>
      <c r="CH501" s="16">
        <f t="shared" si="239"/>
        <v>0</v>
      </c>
      <c r="CJ501" s="16" t="e">
        <f t="shared" si="247"/>
        <v>#N/A</v>
      </c>
      <c r="CK501" s="16" t="str">
        <f t="shared" si="248"/>
        <v/>
      </c>
    </row>
    <row r="502" spans="1:89" ht="12" customHeight="1">
      <c r="A502" s="211"/>
      <c r="B502" s="211"/>
      <c r="C502" s="211"/>
      <c r="D502" s="211"/>
      <c r="E502" s="211"/>
      <c r="F502" s="211"/>
      <c r="G502" s="211"/>
      <c r="H502" s="211"/>
      <c r="I502" s="211"/>
      <c r="J502" s="211"/>
      <c r="K502" s="211"/>
      <c r="L502" s="211"/>
      <c r="M502" s="211"/>
      <c r="N502" s="211"/>
      <c r="O502" s="211"/>
      <c r="AM502" s="34">
        <f t="shared" si="267"/>
        <v>6.5850244835019112E-2</v>
      </c>
      <c r="AN502" s="34">
        <f t="shared" si="252"/>
        <v>0.30440337397158146</v>
      </c>
      <c r="AO502" s="16">
        <f t="shared" si="253"/>
        <v>19.800000000000011</v>
      </c>
      <c r="AP502" s="16" t="e">
        <f t="shared" si="254"/>
        <v>#N/A</v>
      </c>
      <c r="AQ502" s="16">
        <f t="shared" si="255"/>
        <v>1.9418340307704764E-3</v>
      </c>
      <c r="AR502" s="34">
        <f t="shared" si="268"/>
        <v>0.97366459108889103</v>
      </c>
      <c r="AS502" s="34">
        <f t="shared" si="256"/>
        <v>0.56852859444916248</v>
      </c>
      <c r="AT502" s="540">
        <f t="shared" si="257"/>
        <v>88.699999999999235</v>
      </c>
      <c r="AU502" s="16" t="e">
        <f t="shared" si="258"/>
        <v>#N/A</v>
      </c>
      <c r="AV502" s="16">
        <f t="shared" si="259"/>
        <v>1.7441516957823759E-3</v>
      </c>
      <c r="AW502" s="34">
        <f t="shared" si="269"/>
        <v>0.8419834990054369</v>
      </c>
      <c r="AX502" s="34">
        <f t="shared" si="260"/>
        <v>0.93583985604345798</v>
      </c>
      <c r="AY502" s="16">
        <f t="shared" si="261"/>
        <v>70.000000000000298</v>
      </c>
      <c r="AZ502" s="16" t="e">
        <f t="shared" si="262"/>
        <v>#N/A</v>
      </c>
      <c r="BA502" s="16">
        <f t="shared" si="270"/>
        <v>1.1322292400036149E-2</v>
      </c>
      <c r="BB502" s="34">
        <f t="shared" si="271"/>
        <v>0.64364668168127537</v>
      </c>
      <c r="BC502" s="34">
        <f t="shared" si="263"/>
        <v>0.18421961553394794</v>
      </c>
      <c r="BD502" s="16">
        <f t="shared" si="264"/>
        <v>57.300000000000544</v>
      </c>
      <c r="BE502" s="16" t="e">
        <f t="shared" si="265"/>
        <v>#N/A</v>
      </c>
      <c r="BF502" s="16">
        <f t="shared" si="266"/>
        <v>3.4378466508954496E-3</v>
      </c>
      <c r="BU502" s="16">
        <f t="shared" si="249"/>
        <v>0</v>
      </c>
      <c r="BV502" s="16">
        <f>IF($BY$12=1,NORMDIST(BY502,$Y$6,$Y$8,TRUE),IF($BY$12=2,IF(BY502&lt;=$BX$31,0,IF(BY502&gt;=$BX$32,1,(BY502-$BX$31)*$BX$33)),SUM($BU$42:BU502)/$BV$40))</f>
        <v>0.42074029056090445</v>
      </c>
      <c r="BW502" s="16">
        <f t="shared" si="250"/>
        <v>0.89939819614355931</v>
      </c>
      <c r="BX502" s="16">
        <f>IF($BY$12&lt;3,BV502,SUM($BZ$42:BZ502)/$BX$40)</f>
        <v>0.42074029056090445</v>
      </c>
      <c r="BY502" s="16">
        <f t="shared" si="240"/>
        <v>46.000000000000384</v>
      </c>
      <c r="BZ502" s="16">
        <f t="shared" si="241"/>
        <v>1.9552134698772865E-2</v>
      </c>
      <c r="CA502" s="16">
        <f t="shared" si="251"/>
        <v>-999</v>
      </c>
      <c r="CB502" s="16" t="str">
        <f t="shared" si="242"/>
        <v/>
      </c>
      <c r="CC502" s="16" t="e">
        <f>IF(CB502="",NA(),COUNTIF(CB502:$CB$704,CB502))</f>
        <v>#N/A</v>
      </c>
      <c r="CD502" s="16" t="e">
        <f t="shared" si="243"/>
        <v>#N/A</v>
      </c>
      <c r="CE502" s="16" t="e">
        <f t="shared" si="244"/>
        <v>#N/A</v>
      </c>
      <c r="CF502" s="16">
        <f t="shared" si="245"/>
        <v>99</v>
      </c>
      <c r="CG502" s="16">
        <f t="shared" si="246"/>
        <v>0</v>
      </c>
      <c r="CH502" s="16">
        <f t="shared" si="239"/>
        <v>0</v>
      </c>
      <c r="CJ502" s="16" t="e">
        <f t="shared" si="247"/>
        <v>#N/A</v>
      </c>
      <c r="CK502" s="16" t="str">
        <f t="shared" si="248"/>
        <v/>
      </c>
    </row>
    <row r="503" spans="1:89" ht="12" customHeight="1">
      <c r="A503" s="211"/>
      <c r="B503" s="211"/>
      <c r="C503" s="211"/>
      <c r="D503" s="211"/>
      <c r="E503" s="211"/>
      <c r="F503" s="211"/>
      <c r="G503" s="211"/>
      <c r="H503" s="211"/>
      <c r="I503" s="211"/>
      <c r="J503" s="211"/>
      <c r="K503" s="211"/>
      <c r="L503" s="211"/>
      <c r="M503" s="211"/>
      <c r="N503" s="211"/>
      <c r="O503" s="211"/>
      <c r="AM503" s="34">
        <f t="shared" si="267"/>
        <v>0.69695967622101307</v>
      </c>
      <c r="AN503" s="34">
        <f t="shared" si="252"/>
        <v>0.82268592156469822</v>
      </c>
      <c r="AO503" s="16">
        <f t="shared" si="253"/>
        <v>60.300000000000587</v>
      </c>
      <c r="AP503" s="16" t="e">
        <f t="shared" si="254"/>
        <v>#N/A</v>
      </c>
      <c r="AQ503" s="16">
        <f t="shared" si="255"/>
        <v>1.4372134027299288E-2</v>
      </c>
      <c r="AR503" s="34">
        <f t="shared" si="268"/>
        <v>0.3353633526712656</v>
      </c>
      <c r="AS503" s="34">
        <f t="shared" si="256"/>
        <v>0.88643624074757099</v>
      </c>
      <c r="AT503" s="540">
        <f t="shared" si="257"/>
        <v>41.400000000000318</v>
      </c>
      <c r="AU503" s="16" t="e">
        <f t="shared" si="258"/>
        <v>#N/A</v>
      </c>
      <c r="AV503" s="16">
        <f t="shared" si="259"/>
        <v>1.6120445831202052E-2</v>
      </c>
      <c r="AW503" s="34">
        <f t="shared" si="269"/>
        <v>0.72635270841419697</v>
      </c>
      <c r="AX503" s="34">
        <f t="shared" si="260"/>
        <v>0.52672717906534672</v>
      </c>
      <c r="AY503" s="16">
        <f t="shared" si="261"/>
        <v>62.000000000000611</v>
      </c>
      <c r="AZ503" s="16" t="e">
        <f t="shared" si="262"/>
        <v>#N/A</v>
      </c>
      <c r="BA503" s="16">
        <f t="shared" si="270"/>
        <v>8.775922753818239E-3</v>
      </c>
      <c r="BB503" s="34">
        <f t="shared" si="271"/>
        <v>0.55019448138773441</v>
      </c>
      <c r="BC503" s="34">
        <f t="shared" si="263"/>
        <v>0.9664056021720171</v>
      </c>
      <c r="BD503" s="16">
        <f t="shared" si="264"/>
        <v>52.500000000000476</v>
      </c>
      <c r="BE503" s="16" t="e">
        <f t="shared" si="265"/>
        <v>#N/A</v>
      </c>
      <c r="BF503" s="16">
        <f t="shared" si="266"/>
        <v>1.9126987910710894E-2</v>
      </c>
      <c r="BU503" s="16">
        <f t="shared" si="249"/>
        <v>0</v>
      </c>
      <c r="BV503" s="16">
        <f>IF($BY$12=1,NORMDIST(BY503,$Y$6,$Y$8,TRUE),IF($BY$12=2,IF(BY503&lt;=$BX$31,0,IF(BY503&gt;=$BX$32,1,(BY503-$BX$31)*$BX$33)),SUM($BU$42:BU503)/$BV$40))</f>
        <v>0.42269647381066244</v>
      </c>
      <c r="BW503" s="16">
        <f t="shared" si="250"/>
        <v>0.90224393573033324</v>
      </c>
      <c r="BX503" s="16">
        <f>IF($BY$12&lt;3,BV503,SUM($BZ$42:BZ503)/$BX$40)</f>
        <v>0.42269647381066244</v>
      </c>
      <c r="BY503" s="16">
        <f t="shared" si="240"/>
        <v>46.100000000000385</v>
      </c>
      <c r="BZ503" s="16">
        <f t="shared" si="241"/>
        <v>1.9571451968119862E-2</v>
      </c>
      <c r="CA503" s="16">
        <f t="shared" si="251"/>
        <v>-999</v>
      </c>
      <c r="CB503" s="16" t="str">
        <f t="shared" si="242"/>
        <v/>
      </c>
      <c r="CC503" s="16" t="e">
        <f>IF(CB503="",NA(),COUNTIF(CB503:$CB$704,CB503))</f>
        <v>#N/A</v>
      </c>
      <c r="CD503" s="16" t="e">
        <f t="shared" si="243"/>
        <v>#N/A</v>
      </c>
      <c r="CE503" s="16" t="e">
        <f t="shared" si="244"/>
        <v>#N/A</v>
      </c>
      <c r="CF503" s="16">
        <f t="shared" si="245"/>
        <v>99</v>
      </c>
      <c r="CG503" s="16">
        <f t="shared" si="246"/>
        <v>0</v>
      </c>
      <c r="CH503" s="16">
        <f t="shared" si="239"/>
        <v>0</v>
      </c>
      <c r="CJ503" s="16" t="e">
        <f t="shared" si="247"/>
        <v>#N/A</v>
      </c>
      <c r="CK503" s="16" t="str">
        <f t="shared" si="248"/>
        <v/>
      </c>
    </row>
    <row r="504" spans="1:89" ht="12" customHeight="1">
      <c r="A504" s="211"/>
      <c r="B504" s="211"/>
      <c r="C504" s="211"/>
      <c r="D504" s="211"/>
      <c r="E504" s="211"/>
      <c r="F504" s="211"/>
      <c r="G504" s="211"/>
      <c r="H504" s="211"/>
      <c r="I504" s="211"/>
      <c r="J504" s="211"/>
      <c r="K504" s="211"/>
      <c r="L504" s="211"/>
      <c r="M504" s="211"/>
      <c r="N504" s="211"/>
      <c r="O504" s="211"/>
      <c r="AM504" s="34">
        <f t="shared" si="267"/>
        <v>0.91056396253407001</v>
      </c>
      <c r="AN504" s="34">
        <f t="shared" si="252"/>
        <v>0.46267221309244633</v>
      </c>
      <c r="AO504" s="16">
        <f t="shared" si="253"/>
        <v>76.799999999999912</v>
      </c>
      <c r="AP504" s="16" t="e">
        <f t="shared" si="254"/>
        <v>#N/A</v>
      </c>
      <c r="AQ504" s="16">
        <f t="shared" si="255"/>
        <v>3.7604853575281573E-3</v>
      </c>
      <c r="AR504" s="34">
        <f t="shared" si="268"/>
        <v>0.93114683963358402</v>
      </c>
      <c r="AS504" s="34">
        <f t="shared" si="256"/>
        <v>0.50124475546181202</v>
      </c>
      <c r="AT504" s="540">
        <f t="shared" si="257"/>
        <v>79.599999999999753</v>
      </c>
      <c r="AU504" s="16" t="e">
        <f t="shared" si="258"/>
        <v>#N/A</v>
      </c>
      <c r="AV504" s="16">
        <f t="shared" si="259"/>
        <v>3.344187314944696E-3</v>
      </c>
      <c r="AW504" s="34">
        <f t="shared" si="269"/>
        <v>0.63810679502785206</v>
      </c>
      <c r="AX504" s="34">
        <f t="shared" si="260"/>
        <v>0.2456668559461832</v>
      </c>
      <c r="AY504" s="16">
        <f t="shared" si="261"/>
        <v>57.00000000000054</v>
      </c>
      <c r="AZ504" s="16" t="e">
        <f t="shared" si="262"/>
        <v>#N/A</v>
      </c>
      <c r="BA504" s="16">
        <f t="shared" si="270"/>
        <v>4.6092058125619152E-3</v>
      </c>
      <c r="BB504" s="34">
        <f t="shared" si="271"/>
        <v>0.58499299921095371</v>
      </c>
      <c r="BC504" s="34">
        <f t="shared" si="263"/>
        <v>0.59701852686703205</v>
      </c>
      <c r="BD504" s="16">
        <f t="shared" si="264"/>
        <v>54.2000000000005</v>
      </c>
      <c r="BE504" s="16" t="e">
        <f t="shared" si="265"/>
        <v>#N/A</v>
      </c>
      <c r="BF504" s="16">
        <f t="shared" si="266"/>
        <v>1.164908154343546E-2</v>
      </c>
      <c r="BU504" s="16">
        <f t="shared" si="249"/>
        <v>0</v>
      </c>
      <c r="BV504" s="16">
        <f>IF($BY$12=1,NORMDIST(BY504,$Y$6,$Y$8,TRUE),IF($BY$12=2,IF(BY504&lt;=$BX$31,0,IF(BY504&gt;=$BX$32,1,(BY504-$BX$31)*$BX$33)),SUM($BU$42:BU504)/$BV$40))</f>
        <v>0.42465456526521217</v>
      </c>
      <c r="BW504" s="16">
        <f t="shared" si="250"/>
        <v>0.90507179343071043</v>
      </c>
      <c r="BX504" s="16">
        <f>IF($BY$12&lt;3,BV504,SUM($BZ$42:BZ504)/$BX$40)</f>
        <v>0.42465456526521217</v>
      </c>
      <c r="BY504" s="16">
        <f t="shared" si="240"/>
        <v>46.200000000000387</v>
      </c>
      <c r="BZ504" s="16">
        <f t="shared" si="241"/>
        <v>1.9590298559106122E-2</v>
      </c>
      <c r="CA504" s="16">
        <f t="shared" si="251"/>
        <v>-999</v>
      </c>
      <c r="CB504" s="16" t="str">
        <f t="shared" si="242"/>
        <v/>
      </c>
      <c r="CC504" s="16" t="e">
        <f>IF(CB504="",NA(),COUNTIF(CB504:$CB$704,CB504))</f>
        <v>#N/A</v>
      </c>
      <c r="CD504" s="16" t="e">
        <f t="shared" si="243"/>
        <v>#N/A</v>
      </c>
      <c r="CE504" s="16" t="e">
        <f t="shared" si="244"/>
        <v>#N/A</v>
      </c>
      <c r="CF504" s="16">
        <f t="shared" si="245"/>
        <v>99</v>
      </c>
      <c r="CG504" s="16">
        <f t="shared" si="246"/>
        <v>0</v>
      </c>
      <c r="CH504" s="16">
        <f t="shared" si="239"/>
        <v>0</v>
      </c>
      <c r="CJ504" s="16" t="e">
        <f t="shared" si="247"/>
        <v>#N/A</v>
      </c>
      <c r="CK504" s="16" t="str">
        <f t="shared" si="248"/>
        <v/>
      </c>
    </row>
    <row r="505" spans="1:89" ht="12" customHeight="1">
      <c r="A505" s="211"/>
      <c r="B505" s="211"/>
      <c r="C505" s="211"/>
      <c r="D505" s="211"/>
      <c r="E505" s="211"/>
      <c r="F505" s="211"/>
      <c r="G505" s="211"/>
      <c r="H505" s="211"/>
      <c r="I505" s="211"/>
      <c r="J505" s="211"/>
      <c r="K505" s="211"/>
      <c r="L505" s="211"/>
      <c r="M505" s="211"/>
      <c r="N505" s="211"/>
      <c r="O505" s="211"/>
      <c r="AM505" s="34">
        <f t="shared" si="267"/>
        <v>0.14566323347389698</v>
      </c>
      <c r="AN505" s="34">
        <f t="shared" si="252"/>
        <v>0.22836100496351719</v>
      </c>
      <c r="AO505" s="16">
        <f t="shared" si="253"/>
        <v>28.800000000000139</v>
      </c>
      <c r="AP505" s="16" t="e">
        <f t="shared" si="254"/>
        <v>#N/A</v>
      </c>
      <c r="AQ505" s="16">
        <f t="shared" si="255"/>
        <v>2.5972596933325452E-3</v>
      </c>
      <c r="AR505" s="34">
        <f t="shared" si="268"/>
        <v>7.0799941197037697E-2</v>
      </c>
      <c r="AS505" s="34">
        <f t="shared" si="256"/>
        <v>0.33236961252987385</v>
      </c>
      <c r="AT505" s="540">
        <f t="shared" si="257"/>
        <v>20.600000000000023</v>
      </c>
      <c r="AU505" s="16" t="e">
        <f t="shared" si="258"/>
        <v>#N/A</v>
      </c>
      <c r="AV505" s="16">
        <f t="shared" si="259"/>
        <v>2.250442432746037E-3</v>
      </c>
      <c r="AW505" s="34">
        <f t="shared" si="269"/>
        <v>0.75313095934689045</v>
      </c>
      <c r="AX505" s="34">
        <f t="shared" si="260"/>
        <v>0.3841713760048151</v>
      </c>
      <c r="AY505" s="16">
        <f t="shared" si="261"/>
        <v>63.600000000000634</v>
      </c>
      <c r="AZ505" s="16" t="e">
        <f t="shared" si="262"/>
        <v>#N/A</v>
      </c>
      <c r="BA505" s="16">
        <f t="shared" si="270"/>
        <v>6.0812966494328243E-3</v>
      </c>
      <c r="BB505" s="34">
        <f t="shared" si="271"/>
        <v>2.9911169782280922E-2</v>
      </c>
      <c r="BC505" s="34">
        <f t="shared" si="263"/>
        <v>8.6668016389012337E-2</v>
      </c>
      <c r="BD505" s="16">
        <f t="shared" si="264"/>
        <v>12.299999999999972</v>
      </c>
      <c r="BE505" s="16" t="e">
        <f t="shared" si="265"/>
        <v>#N/A</v>
      </c>
      <c r="BF505" s="16">
        <f t="shared" si="266"/>
        <v>2.9252697603176212E-4</v>
      </c>
      <c r="BU505" s="16">
        <f t="shared" si="249"/>
        <v>0</v>
      </c>
      <c r="BV505" s="16">
        <f>IF($BY$12=1,NORMDIST(BY505,$Y$6,$Y$8,TRUE),IF($BY$12=2,IF(BY505&lt;=$BX$31,0,IF(BY505&gt;=$BX$32,1,(BY505-$BX$31)*$BX$33)),SUM($BU$42:BU505)/$BV$40))</f>
        <v>0.42661451778663317</v>
      </c>
      <c r="BW505" s="16">
        <f t="shared" si="250"/>
        <v>0.90788156340557291</v>
      </c>
      <c r="BX505" s="16">
        <f>IF($BY$12&lt;3,BV505,SUM($BZ$42:BZ505)/$BX$40)</f>
        <v>0.42661451778663317</v>
      </c>
      <c r="BY505" s="16">
        <f t="shared" si="240"/>
        <v>46.300000000000388</v>
      </c>
      <c r="BZ505" s="16">
        <f t="shared" si="241"/>
        <v>1.9608673075714154E-2</v>
      </c>
      <c r="CA505" s="16">
        <f t="shared" si="251"/>
        <v>-999</v>
      </c>
      <c r="CB505" s="16" t="str">
        <f t="shared" si="242"/>
        <v/>
      </c>
      <c r="CC505" s="16" t="e">
        <f>IF(CB505="",NA(),COUNTIF(CB505:$CB$704,CB505))</f>
        <v>#N/A</v>
      </c>
      <c r="CD505" s="16" t="e">
        <f t="shared" si="243"/>
        <v>#N/A</v>
      </c>
      <c r="CE505" s="16" t="e">
        <f t="shared" si="244"/>
        <v>#N/A</v>
      </c>
      <c r="CF505" s="16">
        <f t="shared" si="245"/>
        <v>99</v>
      </c>
      <c r="CG505" s="16">
        <f t="shared" si="246"/>
        <v>0</v>
      </c>
      <c r="CH505" s="16">
        <f t="shared" si="239"/>
        <v>0</v>
      </c>
      <c r="CJ505" s="16" t="e">
        <f t="shared" si="247"/>
        <v>#N/A</v>
      </c>
      <c r="CK505" s="16" t="str">
        <f t="shared" si="248"/>
        <v/>
      </c>
    </row>
    <row r="506" spans="1:89" ht="12" customHeight="1">
      <c r="A506" s="211"/>
      <c r="B506" s="211"/>
      <c r="C506" s="211"/>
      <c r="D506" s="211"/>
      <c r="E506" s="211"/>
      <c r="F506" s="211"/>
      <c r="G506" s="211"/>
      <c r="H506" s="211"/>
      <c r="I506" s="211"/>
      <c r="J506" s="211"/>
      <c r="K506" s="211"/>
      <c r="L506" s="211"/>
      <c r="M506" s="211"/>
      <c r="N506" s="211"/>
      <c r="O506" s="211"/>
      <c r="AM506" s="34">
        <f t="shared" si="267"/>
        <v>1.8328236415982246E-2</v>
      </c>
      <c r="AN506" s="34">
        <f t="shared" si="252"/>
        <v>0.60242689587175846</v>
      </c>
      <c r="AO506" s="16">
        <f t="shared" si="253"/>
        <v>8.1999999999999869</v>
      </c>
      <c r="AP506" s="16" t="e">
        <f t="shared" si="254"/>
        <v>#N/A</v>
      </c>
      <c r="AQ506" s="16">
        <f t="shared" si="255"/>
        <v>1.3528933437005365E-3</v>
      </c>
      <c r="AR506" s="34">
        <f t="shared" si="268"/>
        <v>0.44610370136797428</v>
      </c>
      <c r="AS506" s="34">
        <f t="shared" si="256"/>
        <v>0.81302786059677601</v>
      </c>
      <c r="AT506" s="540">
        <f t="shared" si="257"/>
        <v>47.200000000000401</v>
      </c>
      <c r="AU506" s="16" t="e">
        <f t="shared" si="258"/>
        <v>#N/A</v>
      </c>
      <c r="AV506" s="16">
        <f t="shared" si="259"/>
        <v>1.6059403583789843E-2</v>
      </c>
      <c r="AW506" s="34">
        <f t="shared" si="269"/>
        <v>0.75427603907883167</v>
      </c>
      <c r="AX506" s="34">
        <f t="shared" si="260"/>
        <v>0.19637682475149632</v>
      </c>
      <c r="AY506" s="16">
        <f t="shared" si="261"/>
        <v>63.700000000000635</v>
      </c>
      <c r="AZ506" s="16" t="e">
        <f t="shared" si="262"/>
        <v>#N/A</v>
      </c>
      <c r="BA506" s="16">
        <f t="shared" si="270"/>
        <v>3.0979855632218569E-3</v>
      </c>
      <c r="BB506" s="34">
        <f t="shared" si="271"/>
        <v>0.29057433642446995</v>
      </c>
      <c r="BC506" s="34">
        <f t="shared" si="263"/>
        <v>0.14171107299625874</v>
      </c>
      <c r="BD506" s="16">
        <f t="shared" si="264"/>
        <v>38.900000000000283</v>
      </c>
      <c r="BE506" s="16" t="e">
        <f t="shared" si="265"/>
        <v>#N/A</v>
      </c>
      <c r="BF506" s="16">
        <f t="shared" si="266"/>
        <v>2.4232436182196975E-3</v>
      </c>
      <c r="BU506" s="16">
        <f t="shared" si="249"/>
        <v>0</v>
      </c>
      <c r="BV506" s="16">
        <f>IF($BY$12=1,NORMDIST(BY506,$Y$6,$Y$8,TRUE),IF($BY$12=2,IF(BY506&lt;=$BX$31,0,IF(BY506&gt;=$BX$32,1,(BY506-$BX$31)*$BX$33)),SUM($BU$42:BU506)/$BV$40))</f>
        <v>0.42857628409910697</v>
      </c>
      <c r="BW506" s="16">
        <f t="shared" si="250"/>
        <v>0.9106730408394057</v>
      </c>
      <c r="BX506" s="16">
        <f>IF($BY$12&lt;3,BV506,SUM($BZ$42:BZ506)/$BX$40)</f>
        <v>0.42857628409910697</v>
      </c>
      <c r="BY506" s="16">
        <f t="shared" si="240"/>
        <v>46.400000000000389</v>
      </c>
      <c r="BZ506" s="16">
        <f t="shared" si="241"/>
        <v>1.9626574156021509E-2</v>
      </c>
      <c r="CA506" s="16">
        <f t="shared" si="251"/>
        <v>-999</v>
      </c>
      <c r="CB506" s="16" t="str">
        <f t="shared" si="242"/>
        <v/>
      </c>
      <c r="CC506" s="16" t="e">
        <f>IF(CB506="",NA(),COUNTIF(CB506:$CB$704,CB506))</f>
        <v>#N/A</v>
      </c>
      <c r="CD506" s="16" t="e">
        <f t="shared" si="243"/>
        <v>#N/A</v>
      </c>
      <c r="CE506" s="16" t="e">
        <f t="shared" si="244"/>
        <v>#N/A</v>
      </c>
      <c r="CF506" s="16">
        <f t="shared" si="245"/>
        <v>99</v>
      </c>
      <c r="CG506" s="16">
        <f t="shared" si="246"/>
        <v>0</v>
      </c>
      <c r="CH506" s="16">
        <f t="shared" si="239"/>
        <v>0</v>
      </c>
      <c r="CJ506" s="16" t="e">
        <f t="shared" si="247"/>
        <v>#N/A</v>
      </c>
      <c r="CK506" s="16" t="str">
        <f t="shared" si="248"/>
        <v/>
      </c>
    </row>
    <row r="507" spans="1:89" ht="12" customHeight="1">
      <c r="A507" s="211"/>
      <c r="B507" s="211"/>
      <c r="C507" s="211"/>
      <c r="D507" s="211"/>
      <c r="E507" s="211"/>
      <c r="F507" s="211"/>
      <c r="G507" s="211"/>
      <c r="H507" s="211"/>
      <c r="I507" s="211"/>
      <c r="J507" s="211"/>
      <c r="K507" s="211"/>
      <c r="L507" s="211"/>
      <c r="M507" s="211"/>
      <c r="N507" s="211"/>
      <c r="O507" s="211"/>
      <c r="AM507" s="34">
        <f t="shared" si="267"/>
        <v>0.79026723094284534</v>
      </c>
      <c r="AN507" s="34">
        <f t="shared" si="252"/>
        <v>0.58290245570242405</v>
      </c>
      <c r="AO507" s="16">
        <f t="shared" si="253"/>
        <v>66.10000000000052</v>
      </c>
      <c r="AP507" s="16" t="e">
        <f t="shared" si="254"/>
        <v>#N/A</v>
      </c>
      <c r="AQ507" s="16">
        <f t="shared" si="255"/>
        <v>8.4092858296129207E-3</v>
      </c>
      <c r="AR507" s="34">
        <f t="shared" si="268"/>
        <v>0.17532994784414768</v>
      </c>
      <c r="AS507" s="34">
        <f t="shared" si="256"/>
        <v>0.75773079879581928</v>
      </c>
      <c r="AT507" s="540">
        <f t="shared" si="257"/>
        <v>31.300000000000175</v>
      </c>
      <c r="AU507" s="16" t="e">
        <f t="shared" si="258"/>
        <v>#N/A</v>
      </c>
      <c r="AV507" s="16">
        <f t="shared" si="259"/>
        <v>9.7624644053164924E-3</v>
      </c>
      <c r="AW507" s="34">
        <f t="shared" si="269"/>
        <v>0.80041368491947651</v>
      </c>
      <c r="AX507" s="34">
        <f t="shared" si="260"/>
        <v>0.254572669044137</v>
      </c>
      <c r="AY507" s="16">
        <f t="shared" si="261"/>
        <v>66.80000000000048</v>
      </c>
      <c r="AZ507" s="16" t="e">
        <f t="shared" si="262"/>
        <v>#N/A</v>
      </c>
      <c r="BA507" s="16">
        <f t="shared" si="270"/>
        <v>3.5683936087722709E-3</v>
      </c>
      <c r="BB507" s="34">
        <f t="shared" si="271"/>
        <v>0.57220653630793095</v>
      </c>
      <c r="BC507" s="34">
        <f t="shared" si="263"/>
        <v>0.80176428146660328</v>
      </c>
      <c r="BD507" s="16">
        <f t="shared" si="264"/>
        <v>53.600000000000492</v>
      </c>
      <c r="BE507" s="16" t="e">
        <f t="shared" si="265"/>
        <v>#N/A</v>
      </c>
      <c r="BF507" s="16">
        <f t="shared" si="266"/>
        <v>1.5735886125853468E-2</v>
      </c>
      <c r="BU507" s="16">
        <f t="shared" si="249"/>
        <v>0</v>
      </c>
      <c r="BV507" s="16">
        <f>IF($BY$12=1,NORMDIST(BY507,$Y$6,$Y$8,TRUE),IF($BY$12=2,IF(BY507&lt;=$BX$31,0,IF(BY507&gt;=$BX$32,1,(BY507-$BX$31)*$BX$33)),SUM($BU$42:BU507)/$BV$40))</f>
        <v>0.430539816792334</v>
      </c>
      <c r="BW507" s="16">
        <f t="shared" si="250"/>
        <v>0.91344602196516744</v>
      </c>
      <c r="BX507" s="16">
        <f>IF($BY$12&lt;3,BV507,SUM($BZ$42:BZ507)/$BX$40)</f>
        <v>0.430539816792334</v>
      </c>
      <c r="BY507" s="16">
        <f t="shared" si="240"/>
        <v>46.500000000000391</v>
      </c>
      <c r="BZ507" s="16">
        <f t="shared" si="241"/>
        <v>1.9644000472369028E-2</v>
      </c>
      <c r="CA507" s="16">
        <f t="shared" si="251"/>
        <v>-999</v>
      </c>
      <c r="CB507" s="16" t="str">
        <f t="shared" si="242"/>
        <v/>
      </c>
      <c r="CC507" s="16" t="e">
        <f>IF(CB507="",NA(),COUNTIF(CB507:$CB$704,CB507))</f>
        <v>#N/A</v>
      </c>
      <c r="CD507" s="16" t="e">
        <f t="shared" si="243"/>
        <v>#N/A</v>
      </c>
      <c r="CE507" s="16" t="e">
        <f t="shared" si="244"/>
        <v>#N/A</v>
      </c>
      <c r="CF507" s="16">
        <f t="shared" si="245"/>
        <v>99</v>
      </c>
      <c r="CG507" s="16">
        <f t="shared" si="246"/>
        <v>0</v>
      </c>
      <c r="CH507" s="16">
        <f t="shared" si="239"/>
        <v>0</v>
      </c>
      <c r="CJ507" s="16" t="e">
        <f t="shared" si="247"/>
        <v>#N/A</v>
      </c>
      <c r="CK507" s="16" t="str">
        <f t="shared" si="248"/>
        <v/>
      </c>
    </row>
    <row r="508" spans="1:89" ht="12" customHeight="1">
      <c r="A508" s="211"/>
      <c r="B508" s="211"/>
      <c r="C508" s="211"/>
      <c r="D508" s="211"/>
      <c r="E508" s="211"/>
      <c r="F508" s="211"/>
      <c r="G508" s="211"/>
      <c r="H508" s="211"/>
      <c r="I508" s="211"/>
      <c r="J508" s="211"/>
      <c r="K508" s="211"/>
      <c r="L508" s="211"/>
      <c r="M508" s="211"/>
      <c r="N508" s="211"/>
      <c r="O508" s="211"/>
      <c r="AM508" s="34">
        <f t="shared" si="267"/>
        <v>0.13475616462528706</v>
      </c>
      <c r="AN508" s="34">
        <f t="shared" si="252"/>
        <v>0.39808301068842411</v>
      </c>
      <c r="AO508" s="16">
        <f t="shared" si="253"/>
        <v>27.900000000000126</v>
      </c>
      <c r="AP508" s="16" t="e">
        <f t="shared" si="254"/>
        <v>#N/A</v>
      </c>
      <c r="AQ508" s="16">
        <f t="shared" si="255"/>
        <v>4.3123251919981783E-3</v>
      </c>
      <c r="AR508" s="34">
        <f t="shared" si="268"/>
        <v>0.83845857717096806</v>
      </c>
      <c r="AS508" s="34">
        <f t="shared" si="256"/>
        <v>0.6716711837798357</v>
      </c>
      <c r="AT508" s="540">
        <f t="shared" si="257"/>
        <v>69.700000000000315</v>
      </c>
      <c r="AU508" s="16" t="e">
        <f t="shared" si="258"/>
        <v>#N/A</v>
      </c>
      <c r="AV508" s="16">
        <f t="shared" si="259"/>
        <v>8.2481225451352357E-3</v>
      </c>
      <c r="AW508" s="34">
        <f t="shared" si="269"/>
        <v>0.99988606758415699</v>
      </c>
      <c r="AX508" s="34">
        <f t="shared" si="260"/>
        <v>0.67436044849455357</v>
      </c>
      <c r="AY508" s="16" t="e">
        <f t="shared" si="261"/>
        <v>#N/A</v>
      </c>
      <c r="AZ508" s="16" t="e">
        <f t="shared" si="262"/>
        <v>#N/A</v>
      </c>
      <c r="BA508" s="16" t="e">
        <f t="shared" si="270"/>
        <v>#N/A</v>
      </c>
      <c r="BB508" s="34">
        <f t="shared" si="271"/>
        <v>0.23760169185698032</v>
      </c>
      <c r="BC508" s="34">
        <f t="shared" si="263"/>
        <v>7.3917973786592484E-3</v>
      </c>
      <c r="BD508" s="16">
        <f t="shared" si="264"/>
        <v>35.700000000000237</v>
      </c>
      <c r="BE508" s="16" t="e">
        <f t="shared" si="265"/>
        <v>#N/A</v>
      </c>
      <c r="BF508" s="16">
        <f t="shared" si="266"/>
        <v>1.1418762117050552E-4</v>
      </c>
      <c r="BU508" s="16">
        <f t="shared" si="249"/>
        <v>0</v>
      </c>
      <c r="BV508" s="16">
        <f>IF($BY$12=1,NORMDIST(BY508,$Y$6,$Y$8,TRUE),IF($BY$12=2,IF(BY508&lt;=$BX$31,0,IF(BY508&gt;=$BX$32,1,(BY508-$BX$31)*$BX$33)),SUM($BU$42:BU508)/$BV$40))</f>
        <v>0.43250506832496927</v>
      </c>
      <c r="BW508" s="16">
        <f t="shared" si="250"/>
        <v>0.91620030408906916</v>
      </c>
      <c r="BX508" s="16">
        <f>IF($BY$12&lt;3,BV508,SUM($BZ$42:BZ508)/$BX$40)</f>
        <v>0.43250506832496927</v>
      </c>
      <c r="BY508" s="16">
        <f t="shared" si="240"/>
        <v>46.600000000000392</v>
      </c>
      <c r="BZ508" s="16">
        <f t="shared" si="241"/>
        <v>1.9660950731524924E-2</v>
      </c>
      <c r="CA508" s="16">
        <f t="shared" si="251"/>
        <v>-999</v>
      </c>
      <c r="CB508" s="16" t="str">
        <f t="shared" si="242"/>
        <v/>
      </c>
      <c r="CC508" s="16" t="e">
        <f>IF(CB508="",NA(),COUNTIF(CB508:$CB$704,CB508))</f>
        <v>#N/A</v>
      </c>
      <c r="CD508" s="16" t="e">
        <f t="shared" si="243"/>
        <v>#N/A</v>
      </c>
      <c r="CE508" s="16" t="e">
        <f t="shared" si="244"/>
        <v>#N/A</v>
      </c>
      <c r="CF508" s="16">
        <f t="shared" si="245"/>
        <v>99</v>
      </c>
      <c r="CG508" s="16">
        <f t="shared" si="246"/>
        <v>0</v>
      </c>
      <c r="CH508" s="16">
        <f t="shared" si="239"/>
        <v>0</v>
      </c>
      <c r="CJ508" s="16" t="e">
        <f t="shared" si="247"/>
        <v>#N/A</v>
      </c>
      <c r="CK508" s="16" t="str">
        <f t="shared" si="248"/>
        <v/>
      </c>
    </row>
    <row r="509" spans="1:89" ht="12" customHeight="1">
      <c r="A509" s="211"/>
      <c r="B509" s="211"/>
      <c r="C509" s="211"/>
      <c r="D509" s="211"/>
      <c r="E509" s="211"/>
      <c r="F509" s="211"/>
      <c r="G509" s="211"/>
      <c r="H509" s="211"/>
      <c r="I509" s="211"/>
      <c r="J509" s="211"/>
      <c r="K509" s="211"/>
      <c r="L509" s="211"/>
      <c r="M509" s="211"/>
      <c r="N509" s="211"/>
      <c r="O509" s="211"/>
      <c r="AM509" s="34">
        <f t="shared" si="267"/>
        <v>0.28196338005363941</v>
      </c>
      <c r="AN509" s="34">
        <f t="shared" si="252"/>
        <v>0.46606033481657505</v>
      </c>
      <c r="AO509" s="16">
        <f t="shared" si="253"/>
        <v>38.400000000000276</v>
      </c>
      <c r="AP509" s="16" t="e">
        <f t="shared" si="254"/>
        <v>#N/A</v>
      </c>
      <c r="AQ509" s="16">
        <f t="shared" si="255"/>
        <v>7.8573098755646935E-3</v>
      </c>
      <c r="AR509" s="34">
        <f t="shared" si="268"/>
        <v>0.56952374614775181</v>
      </c>
      <c r="AS509" s="34">
        <f t="shared" si="256"/>
        <v>0.86528621800243855</v>
      </c>
      <c r="AT509" s="540">
        <f t="shared" si="257"/>
        <v>53.50000000000049</v>
      </c>
      <c r="AU509" s="16" t="e">
        <f t="shared" si="258"/>
        <v>#N/A</v>
      </c>
      <c r="AV509" s="16">
        <f t="shared" si="259"/>
        <v>1.6997682875174183E-2</v>
      </c>
      <c r="AW509" s="34">
        <f t="shared" si="269"/>
        <v>0.2516313660889864</v>
      </c>
      <c r="AX509" s="34">
        <f t="shared" si="260"/>
        <v>0.93209762312471867</v>
      </c>
      <c r="AY509" s="16">
        <f t="shared" si="261"/>
        <v>36.60000000000025</v>
      </c>
      <c r="AZ509" s="16" t="e">
        <f t="shared" si="262"/>
        <v>#N/A</v>
      </c>
      <c r="BA509" s="16">
        <f t="shared" si="270"/>
        <v>1.4854706458724927E-2</v>
      </c>
      <c r="BB509" s="34">
        <f t="shared" si="271"/>
        <v>6.9879958406090736E-2</v>
      </c>
      <c r="BC509" s="34">
        <f t="shared" si="263"/>
        <v>0.49250036664307117</v>
      </c>
      <c r="BD509" s="16">
        <f t="shared" si="264"/>
        <v>20.40000000000002</v>
      </c>
      <c r="BE509" s="16" t="e">
        <f t="shared" si="265"/>
        <v>#N/A</v>
      </c>
      <c r="BF509" s="16">
        <f t="shared" si="266"/>
        <v>3.2858468059499182E-3</v>
      </c>
      <c r="BU509" s="16">
        <f t="shared" si="249"/>
        <v>0</v>
      </c>
      <c r="BV509" s="16">
        <f>IF($BY$12=1,NORMDIST(BY509,$Y$6,$Y$8,TRUE),IF($BY$12=2,IF(BY509&lt;=$BX$31,0,IF(BY509&gt;=$BX$32,1,(BY509-$BX$31)*$BX$33)),SUM($BU$42:BU509)/$BV$40))</f>
        <v>0.43447199102807255</v>
      </c>
      <c r="BW509" s="16">
        <f t="shared" si="250"/>
        <v>0.91893568561525707</v>
      </c>
      <c r="BX509" s="16">
        <f>IF($BY$12&lt;3,BV509,SUM($BZ$42:BZ509)/$BX$40)</f>
        <v>0.43447199102807255</v>
      </c>
      <c r="BY509" s="16">
        <f t="shared" si="240"/>
        <v>46.700000000000394</v>
      </c>
      <c r="BZ509" s="16">
        <f t="shared" si="241"/>
        <v>1.9677423674844739E-2</v>
      </c>
      <c r="CA509" s="16">
        <f t="shared" si="251"/>
        <v>-999</v>
      </c>
      <c r="CB509" s="16" t="str">
        <f t="shared" si="242"/>
        <v/>
      </c>
      <c r="CC509" s="16" t="e">
        <f>IF(CB509="",NA(),COUNTIF(CB509:$CB$704,CB509))</f>
        <v>#N/A</v>
      </c>
      <c r="CD509" s="16" t="e">
        <f t="shared" si="243"/>
        <v>#N/A</v>
      </c>
      <c r="CE509" s="16" t="e">
        <f t="shared" si="244"/>
        <v>#N/A</v>
      </c>
      <c r="CF509" s="16">
        <f t="shared" si="245"/>
        <v>99</v>
      </c>
      <c r="CG509" s="16">
        <f t="shared" si="246"/>
        <v>0</v>
      </c>
      <c r="CH509" s="16">
        <f t="shared" si="239"/>
        <v>0</v>
      </c>
      <c r="CJ509" s="16" t="e">
        <f t="shared" si="247"/>
        <v>#N/A</v>
      </c>
      <c r="CK509" s="16" t="str">
        <f t="shared" si="248"/>
        <v/>
      </c>
    </row>
    <row r="510" spans="1:89" ht="12" customHeight="1">
      <c r="A510" s="211"/>
      <c r="B510" s="211"/>
      <c r="C510" s="211"/>
      <c r="D510" s="211"/>
      <c r="E510" s="211"/>
      <c r="F510" s="211"/>
      <c r="G510" s="211"/>
      <c r="H510" s="211"/>
      <c r="I510" s="211"/>
      <c r="J510" s="211"/>
      <c r="K510" s="211"/>
      <c r="L510" s="211"/>
      <c r="M510" s="211"/>
      <c r="N510" s="211"/>
      <c r="O510" s="211"/>
      <c r="AM510" s="34">
        <f t="shared" si="267"/>
        <v>0.40695010311901569</v>
      </c>
      <c r="AN510" s="34">
        <f t="shared" si="252"/>
        <v>0.32154149748384953</v>
      </c>
      <c r="AO510" s="16">
        <f t="shared" si="253"/>
        <v>45.200000000000372</v>
      </c>
      <c r="AP510" s="16" t="e">
        <f t="shared" si="254"/>
        <v>#N/A</v>
      </c>
      <c r="AQ510" s="16">
        <f t="shared" si="255"/>
        <v>6.2317413438459281E-3</v>
      </c>
      <c r="AR510" s="34">
        <f t="shared" si="268"/>
        <v>0.4287452194839716</v>
      </c>
      <c r="AS510" s="34">
        <f t="shared" si="256"/>
        <v>0.76852756924927235</v>
      </c>
      <c r="AT510" s="540">
        <f t="shared" si="257"/>
        <v>46.400000000000389</v>
      </c>
      <c r="AU510" s="16" t="e">
        <f t="shared" si="258"/>
        <v>#N/A</v>
      </c>
      <c r="AV510" s="16">
        <f t="shared" si="259"/>
        <v>1.5083563328817799E-2</v>
      </c>
      <c r="AW510" s="34">
        <f t="shared" si="269"/>
        <v>0.34851628728210926</v>
      </c>
      <c r="AX510" s="34">
        <f t="shared" si="260"/>
        <v>0.40353282727301121</v>
      </c>
      <c r="AY510" s="16">
        <f t="shared" si="261"/>
        <v>42.20000000000033</v>
      </c>
      <c r="AZ510" s="16" t="e">
        <f t="shared" si="262"/>
        <v>#N/A</v>
      </c>
      <c r="BA510" s="16">
        <f t="shared" si="270"/>
        <v>7.4598628845295003E-3</v>
      </c>
      <c r="BB510" s="34">
        <f t="shared" si="271"/>
        <v>6.893547810614109E-2</v>
      </c>
      <c r="BC510" s="34">
        <f t="shared" si="263"/>
        <v>0.67722262628376484</v>
      </c>
      <c r="BD510" s="16">
        <f t="shared" si="264"/>
        <v>20.300000000000018</v>
      </c>
      <c r="BE510" s="16" t="e">
        <f t="shared" si="265"/>
        <v>#N/A</v>
      </c>
      <c r="BF510" s="16">
        <f t="shared" si="266"/>
        <v>4.4849024924730491E-3</v>
      </c>
      <c r="BU510" s="16">
        <f t="shared" si="249"/>
        <v>0</v>
      </c>
      <c r="BV510" s="16">
        <f>IF($BY$12=1,NORMDIST(BY510,$Y$6,$Y$8,TRUE),IF($BY$12=2,IF(BY510&lt;=$BX$31,0,IF(BY510&gt;=$BX$32,1,(BY510-$BX$31)*$BX$33)),SUM($BU$42:BU510)/$BV$40))</f>
        <v>0.43644053710857489</v>
      </c>
      <c r="BW510" s="16">
        <f t="shared" si="250"/>
        <v>0.92165196607039601</v>
      </c>
      <c r="BX510" s="16">
        <f>IF($BY$12&lt;3,BV510,SUM($BZ$42:BZ510)/$BX$40)</f>
        <v>0.43644053710857489</v>
      </c>
      <c r="BY510" s="16">
        <f t="shared" si="240"/>
        <v>46.800000000000395</v>
      </c>
      <c r="BZ510" s="16">
        <f t="shared" si="241"/>
        <v>1.9693418078427099E-2</v>
      </c>
      <c r="CA510" s="16">
        <f t="shared" si="251"/>
        <v>-999</v>
      </c>
      <c r="CB510" s="16" t="str">
        <f t="shared" si="242"/>
        <v/>
      </c>
      <c r="CC510" s="16" t="e">
        <f>IF(CB510="",NA(),COUNTIF(CB510:$CB$704,CB510))</f>
        <v>#N/A</v>
      </c>
      <c r="CD510" s="16" t="e">
        <f t="shared" si="243"/>
        <v>#N/A</v>
      </c>
      <c r="CE510" s="16" t="e">
        <f t="shared" si="244"/>
        <v>#N/A</v>
      </c>
      <c r="CF510" s="16">
        <f t="shared" si="245"/>
        <v>99</v>
      </c>
      <c r="CG510" s="16">
        <f t="shared" si="246"/>
        <v>0</v>
      </c>
      <c r="CH510" s="16">
        <f t="shared" si="239"/>
        <v>0</v>
      </c>
      <c r="CJ510" s="16" t="e">
        <f t="shared" si="247"/>
        <v>#N/A</v>
      </c>
      <c r="CK510" s="16" t="str">
        <f t="shared" si="248"/>
        <v/>
      </c>
    </row>
    <row r="511" spans="1:89" ht="12" customHeight="1">
      <c r="A511" s="211"/>
      <c r="B511" s="211"/>
      <c r="C511" s="211"/>
      <c r="D511" s="211"/>
      <c r="E511" s="211"/>
      <c r="F511" s="211"/>
      <c r="G511" s="211"/>
      <c r="H511" s="211"/>
      <c r="I511" s="211"/>
      <c r="J511" s="211"/>
      <c r="K511" s="211"/>
      <c r="L511" s="211"/>
      <c r="M511" s="211"/>
      <c r="N511" s="211"/>
      <c r="O511" s="211"/>
      <c r="AM511" s="34">
        <f t="shared" si="267"/>
        <v>0.15487796254456043</v>
      </c>
      <c r="AN511" s="34">
        <f t="shared" si="252"/>
        <v>0.63885911740362644</v>
      </c>
      <c r="AO511" s="16">
        <f t="shared" si="253"/>
        <v>29.600000000000151</v>
      </c>
      <c r="AP511" s="16" t="e">
        <f t="shared" si="254"/>
        <v>#N/A</v>
      </c>
      <c r="AQ511" s="16">
        <f t="shared" si="255"/>
        <v>7.5746954787650547E-3</v>
      </c>
      <c r="AR511" s="34">
        <f t="shared" si="268"/>
        <v>0.68335112370550632</v>
      </c>
      <c r="AS511" s="34">
        <f t="shared" si="256"/>
        <v>0.12061967141926289</v>
      </c>
      <c r="AT511" s="540">
        <f t="shared" si="257"/>
        <v>59.500000000000576</v>
      </c>
      <c r="AU511" s="16" t="e">
        <f t="shared" si="258"/>
        <v>#N/A</v>
      </c>
      <c r="AV511" s="16">
        <f t="shared" si="259"/>
        <v>2.149336257773997E-3</v>
      </c>
      <c r="AW511" s="34">
        <f t="shared" si="269"/>
        <v>0.51865686662495136</v>
      </c>
      <c r="AX511" s="34">
        <f t="shared" si="260"/>
        <v>0.40878877975046635</v>
      </c>
      <c r="AY511" s="16">
        <f t="shared" si="261"/>
        <v>50.900000000000453</v>
      </c>
      <c r="AZ511" s="16" t="e">
        <f t="shared" si="262"/>
        <v>#N/A</v>
      </c>
      <c r="BA511" s="16">
        <f t="shared" si="270"/>
        <v>8.1459044946856143E-3</v>
      </c>
      <c r="BB511" s="34">
        <f t="shared" si="271"/>
        <v>6.6731790080666542E-2</v>
      </c>
      <c r="BC511" s="34">
        <f t="shared" si="263"/>
        <v>0.76831993646919727</v>
      </c>
      <c r="BD511" s="16">
        <f t="shared" si="264"/>
        <v>19.900000000000013</v>
      </c>
      <c r="BE511" s="16" t="e">
        <f t="shared" si="265"/>
        <v>#N/A</v>
      </c>
      <c r="BF511" s="16">
        <f t="shared" si="266"/>
        <v>4.9383087959461343E-3</v>
      </c>
      <c r="BU511" s="16">
        <f t="shared" si="249"/>
        <v>0</v>
      </c>
      <c r="BV511" s="16">
        <f>IF($BY$12=1,NORMDIST(BY511,$Y$6,$Y$8,TRUE),IF($BY$12=2,IF(BY511&lt;=$BX$31,0,IF(BY511&gt;=$BX$32,1,(BY511-$BX$31)*$BX$33)),SUM($BU$42:BU511)/$BV$40))</f>
        <v>0.43841065865276097</v>
      </c>
      <c r="BW511" s="16">
        <f t="shared" si="250"/>
        <v>0.92434894612814966</v>
      </c>
      <c r="BX511" s="16">
        <f>IF($BY$12&lt;3,BV511,SUM($BZ$42:BZ511)/$BX$40)</f>
        <v>0.43841065865276097</v>
      </c>
      <c r="BY511" s="16">
        <f t="shared" si="240"/>
        <v>46.900000000000396</v>
      </c>
      <c r="BZ511" s="16">
        <f t="shared" si="241"/>
        <v>1.9708932753265285E-2</v>
      </c>
      <c r="CA511" s="16">
        <f t="shared" si="251"/>
        <v>-999</v>
      </c>
      <c r="CB511" s="16" t="str">
        <f t="shared" si="242"/>
        <v/>
      </c>
      <c r="CC511" s="16" t="e">
        <f>IF(CB511="",NA(),COUNTIF(CB511:$CB$704,CB511))</f>
        <v>#N/A</v>
      </c>
      <c r="CD511" s="16" t="e">
        <f t="shared" si="243"/>
        <v>#N/A</v>
      </c>
      <c r="CE511" s="16" t="e">
        <f t="shared" si="244"/>
        <v>#N/A</v>
      </c>
      <c r="CF511" s="16">
        <f t="shared" si="245"/>
        <v>99</v>
      </c>
      <c r="CG511" s="16">
        <f t="shared" si="246"/>
        <v>0</v>
      </c>
      <c r="CH511" s="16">
        <f t="shared" si="239"/>
        <v>0</v>
      </c>
      <c r="CJ511" s="16" t="e">
        <f t="shared" si="247"/>
        <v>#N/A</v>
      </c>
      <c r="CK511" s="16" t="str">
        <f t="shared" si="248"/>
        <v/>
      </c>
    </row>
    <row r="512" spans="1:89" ht="12" customHeight="1">
      <c r="A512" s="211"/>
      <c r="B512" s="211"/>
      <c r="C512" s="211"/>
      <c r="D512" s="211"/>
      <c r="E512" s="211"/>
      <c r="F512" s="211"/>
      <c r="G512" s="211"/>
      <c r="H512" s="211"/>
      <c r="I512" s="211"/>
      <c r="J512" s="211"/>
      <c r="K512" s="211"/>
      <c r="L512" s="211"/>
      <c r="M512" s="211"/>
      <c r="N512" s="211"/>
      <c r="O512" s="211"/>
      <c r="AM512" s="34">
        <f t="shared" si="267"/>
        <v>0.47920479066669941</v>
      </c>
      <c r="AN512" s="34">
        <f t="shared" si="252"/>
        <v>0.13632927276194096</v>
      </c>
      <c r="AO512" s="16">
        <f t="shared" si="253"/>
        <v>48.900000000000425</v>
      </c>
      <c r="AP512" s="16" t="e">
        <f t="shared" si="254"/>
        <v>#N/A</v>
      </c>
      <c r="AQ512" s="16">
        <f t="shared" si="255"/>
        <v>2.7152656014700683E-3</v>
      </c>
      <c r="AR512" s="34">
        <f t="shared" si="268"/>
        <v>0.28224835731089115</v>
      </c>
      <c r="AS512" s="34">
        <f t="shared" si="256"/>
        <v>0.2423375565558672</v>
      </c>
      <c r="AT512" s="540">
        <f t="shared" si="257"/>
        <v>38.400000000000276</v>
      </c>
      <c r="AU512" s="16" t="e">
        <f t="shared" si="258"/>
        <v>#N/A</v>
      </c>
      <c r="AV512" s="16">
        <f t="shared" si="259"/>
        <v>4.0855681852780459E-3</v>
      </c>
      <c r="AW512" s="34">
        <f t="shared" si="269"/>
        <v>0.11175880022346973</v>
      </c>
      <c r="AX512" s="34">
        <f t="shared" si="260"/>
        <v>0.45509910024702549</v>
      </c>
      <c r="AY512" s="16">
        <f t="shared" si="261"/>
        <v>25.600000000000094</v>
      </c>
      <c r="AZ512" s="16" t="e">
        <f t="shared" si="262"/>
        <v>#N/A</v>
      </c>
      <c r="BA512" s="16">
        <f t="shared" si="270"/>
        <v>4.3130460352742827E-3</v>
      </c>
      <c r="BB512" s="34">
        <f t="shared" si="271"/>
        <v>0.3528511468321085</v>
      </c>
      <c r="BC512" s="34">
        <f t="shared" si="263"/>
        <v>5.5385993793606758E-2</v>
      </c>
      <c r="BD512" s="16">
        <f t="shared" si="264"/>
        <v>42.400000000000333</v>
      </c>
      <c r="BE512" s="16" t="e">
        <f t="shared" si="265"/>
        <v>#N/A</v>
      </c>
      <c r="BF512" s="16">
        <f t="shared" si="266"/>
        <v>1.0278363229338291E-3</v>
      </c>
      <c r="BU512" s="16">
        <f t="shared" si="249"/>
        <v>0</v>
      </c>
      <c r="BV512" s="16">
        <f>IF($BY$12=1,NORMDIST(BY512,$Y$6,$Y$8,TRUE),IF($BY$12=2,IF(BY512&lt;=$BX$31,0,IF(BY512&gt;=$BX$32,1,(BY512-$BX$31)*$BX$33)),SUM($BU$42:BU512)/$BV$40))</f>
        <v>0.44038230762976538</v>
      </c>
      <c r="BW512" s="16">
        <f t="shared" si="250"/>
        <v>0.92702642763354948</v>
      </c>
      <c r="BX512" s="16">
        <f>IF($BY$12&lt;3,BV512,SUM($BZ$42:BZ512)/$BX$40)</f>
        <v>0.44038230762976538</v>
      </c>
      <c r="BY512" s="16">
        <f t="shared" si="240"/>
        <v>47.000000000000398</v>
      </c>
      <c r="BZ512" s="16">
        <f t="shared" si="241"/>
        <v>1.9723966545394503E-2</v>
      </c>
      <c r="CA512" s="16">
        <f t="shared" si="251"/>
        <v>-999</v>
      </c>
      <c r="CB512" s="16" t="str">
        <f t="shared" si="242"/>
        <v/>
      </c>
      <c r="CC512" s="16" t="e">
        <f>IF(CB512="",NA(),COUNTIF(CB512:$CB$704,CB512))</f>
        <v>#N/A</v>
      </c>
      <c r="CD512" s="16" t="e">
        <f t="shared" si="243"/>
        <v>#N/A</v>
      </c>
      <c r="CE512" s="16" t="e">
        <f t="shared" si="244"/>
        <v>#N/A</v>
      </c>
      <c r="CF512" s="16">
        <f t="shared" si="245"/>
        <v>99</v>
      </c>
      <c r="CG512" s="16">
        <f t="shared" si="246"/>
        <v>0</v>
      </c>
      <c r="CH512" s="16">
        <f t="shared" si="239"/>
        <v>0</v>
      </c>
      <c r="CJ512" s="16" t="e">
        <f t="shared" si="247"/>
        <v>#N/A</v>
      </c>
      <c r="CK512" s="16" t="str">
        <f t="shared" si="248"/>
        <v/>
      </c>
    </row>
    <row r="513" spans="1:89" ht="12" customHeight="1">
      <c r="A513" s="211"/>
      <c r="B513" s="211"/>
      <c r="C513" s="211"/>
      <c r="D513" s="211"/>
      <c r="E513" s="211"/>
      <c r="F513" s="211"/>
      <c r="G513" s="211"/>
      <c r="H513" s="211"/>
      <c r="I513" s="211"/>
      <c r="J513" s="211"/>
      <c r="K513" s="211"/>
      <c r="L513" s="211"/>
      <c r="M513" s="211"/>
      <c r="N513" s="211"/>
      <c r="O513" s="211"/>
      <c r="AM513" s="34">
        <f t="shared" si="267"/>
        <v>0.49989995546638966</v>
      </c>
      <c r="AN513" s="34">
        <f t="shared" si="252"/>
        <v>5.3363317623734474E-2</v>
      </c>
      <c r="AO513" s="16">
        <f t="shared" si="253"/>
        <v>49.900000000000439</v>
      </c>
      <c r="AP513" s="16" t="e">
        <f t="shared" si="254"/>
        <v>#N/A</v>
      </c>
      <c r="AQ513" s="16">
        <f t="shared" si="255"/>
        <v>1.064430875660825E-3</v>
      </c>
      <c r="AR513" s="34">
        <f t="shared" si="268"/>
        <v>0.71594690717756748</v>
      </c>
      <c r="AS513" s="34">
        <f t="shared" si="256"/>
        <v>0.37908546812832355</v>
      </c>
      <c r="AT513" s="540">
        <f t="shared" si="257"/>
        <v>61.400000000000603</v>
      </c>
      <c r="AU513" s="16" t="e">
        <f t="shared" si="258"/>
        <v>#N/A</v>
      </c>
      <c r="AV513" s="16">
        <f t="shared" si="259"/>
        <v>6.4278549512352592E-3</v>
      </c>
      <c r="AW513" s="34">
        <f t="shared" si="269"/>
        <v>0.91875855810940266</v>
      </c>
      <c r="AX513" s="34">
        <f t="shared" si="260"/>
        <v>0.52495528198778629</v>
      </c>
      <c r="AY513" s="16">
        <f t="shared" si="261"/>
        <v>77.899999999999849</v>
      </c>
      <c r="AZ513" s="16" t="e">
        <f t="shared" si="262"/>
        <v>#N/A</v>
      </c>
      <c r="BA513" s="16">
        <f t="shared" si="270"/>
        <v>3.9575683160074891E-3</v>
      </c>
      <c r="BB513" s="34">
        <f t="shared" si="271"/>
        <v>0.65795398689806461</v>
      </c>
      <c r="BC513" s="34">
        <f t="shared" si="263"/>
        <v>0.42238247580826283</v>
      </c>
      <c r="BD513" s="16">
        <f t="shared" si="264"/>
        <v>58.100000000000556</v>
      </c>
      <c r="BE513" s="16" t="e">
        <f t="shared" si="265"/>
        <v>#N/A</v>
      </c>
      <c r="BF513" s="16">
        <f t="shared" si="266"/>
        <v>7.7619061163034884E-3</v>
      </c>
      <c r="BU513" s="16">
        <f t="shared" si="249"/>
        <v>0</v>
      </c>
      <c r="BV513" s="16">
        <f>IF($BY$12=1,NORMDIST(BY513,$Y$6,$Y$8,TRUE),IF($BY$12=2,IF(BY513&lt;=$BX$31,0,IF(BY513&gt;=$BX$32,1,(BY513-$BX$31)*$BX$33)),SUM($BU$42:BU513)/$BV$40))</f>
        <v>0.44235543589508441</v>
      </c>
      <c r="BW513" s="16">
        <f t="shared" si="250"/>
        <v>0.92968421362725451</v>
      </c>
      <c r="BX513" s="16">
        <f>IF($BY$12&lt;3,BV513,SUM($BZ$42:BZ513)/$BX$40)</f>
        <v>0.44235543589508441</v>
      </c>
      <c r="BY513" s="16">
        <f t="shared" si="240"/>
        <v>47.100000000000399</v>
      </c>
      <c r="BZ513" s="16">
        <f t="shared" si="241"/>
        <v>1.973851833603496E-2</v>
      </c>
      <c r="CA513" s="16">
        <f t="shared" si="251"/>
        <v>-999</v>
      </c>
      <c r="CB513" s="16" t="str">
        <f t="shared" si="242"/>
        <v/>
      </c>
      <c r="CC513" s="16" t="e">
        <f>IF(CB513="",NA(),COUNTIF(CB513:$CB$704,CB513))</f>
        <v>#N/A</v>
      </c>
      <c r="CD513" s="16" t="e">
        <f t="shared" si="243"/>
        <v>#N/A</v>
      </c>
      <c r="CE513" s="16" t="e">
        <f t="shared" si="244"/>
        <v>#N/A</v>
      </c>
      <c r="CF513" s="16">
        <f t="shared" si="245"/>
        <v>99</v>
      </c>
      <c r="CG513" s="16">
        <f t="shared" si="246"/>
        <v>0</v>
      </c>
      <c r="CH513" s="16">
        <f t="shared" si="239"/>
        <v>0</v>
      </c>
      <c r="CJ513" s="16" t="e">
        <f t="shared" si="247"/>
        <v>#N/A</v>
      </c>
      <c r="CK513" s="16" t="str">
        <f t="shared" si="248"/>
        <v/>
      </c>
    </row>
    <row r="514" spans="1:89" ht="12" customHeight="1">
      <c r="A514" s="211"/>
      <c r="B514" s="211"/>
      <c r="C514" s="211"/>
      <c r="D514" s="211"/>
      <c r="E514" s="211"/>
      <c r="F514" s="211"/>
      <c r="G514" s="211"/>
      <c r="H514" s="211"/>
      <c r="I514" s="211"/>
      <c r="J514" s="211"/>
      <c r="K514" s="211"/>
      <c r="L514" s="211"/>
      <c r="M514" s="211"/>
      <c r="N514" s="211"/>
      <c r="O514" s="211"/>
      <c r="AM514" s="34">
        <f t="shared" si="267"/>
        <v>0.86996047385036945</v>
      </c>
      <c r="AN514" s="34">
        <f t="shared" si="252"/>
        <v>4.7989854589104652E-2</v>
      </c>
      <c r="AO514" s="16">
        <f t="shared" si="253"/>
        <v>72.500000000000156</v>
      </c>
      <c r="AP514" s="16" t="e">
        <f t="shared" si="254"/>
        <v>#N/A</v>
      </c>
      <c r="AQ514" s="16">
        <f t="shared" si="255"/>
        <v>5.0839647108014813E-4</v>
      </c>
      <c r="AR514" s="34">
        <f t="shared" si="268"/>
        <v>0.60939432121813297</v>
      </c>
      <c r="AS514" s="34">
        <f t="shared" si="256"/>
        <v>0.1343075055629015</v>
      </c>
      <c r="AT514" s="540">
        <f t="shared" si="257"/>
        <v>55.500000000000519</v>
      </c>
      <c r="AU514" s="16" t="e">
        <f t="shared" si="258"/>
        <v>#N/A</v>
      </c>
      <c r="AV514" s="16">
        <f t="shared" si="259"/>
        <v>2.5796369752173758E-3</v>
      </c>
      <c r="AW514" s="34">
        <f t="shared" si="269"/>
        <v>0.64429652877151966</v>
      </c>
      <c r="AX514" s="34">
        <f t="shared" si="260"/>
        <v>0.66357007063925266</v>
      </c>
      <c r="AY514" s="16">
        <f t="shared" si="261"/>
        <v>57.300000000000544</v>
      </c>
      <c r="AZ514" s="16" t="e">
        <f t="shared" si="262"/>
        <v>#N/A</v>
      </c>
      <c r="BA514" s="16">
        <f t="shared" si="270"/>
        <v>1.2383329203948008E-2</v>
      </c>
      <c r="BB514" s="34">
        <f t="shared" si="271"/>
        <v>0.2490548137575388</v>
      </c>
      <c r="BC514" s="34">
        <f t="shared" si="263"/>
        <v>0.37528796680271626</v>
      </c>
      <c r="BD514" s="16">
        <f t="shared" si="264"/>
        <v>36.400000000000247</v>
      </c>
      <c r="BE514" s="16" t="e">
        <f t="shared" si="265"/>
        <v>#N/A</v>
      </c>
      <c r="BF514" s="16">
        <f t="shared" si="266"/>
        <v>5.9406754319490957E-3</v>
      </c>
      <c r="BU514" s="16">
        <f t="shared" si="249"/>
        <v>0</v>
      </c>
      <c r="BV514" s="16">
        <f>IF($BY$12=1,NORMDIST(BY514,$Y$6,$Y$8,TRUE),IF($BY$12=2,IF(BY514&lt;=$BX$31,0,IF(BY514&gt;=$BX$32,1,(BY514-$BX$31)*$BX$33)),SUM($BU$42:BU514)/$BV$40))</f>
        <v>0.44432999519410155</v>
      </c>
      <c r="BW514" s="16">
        <f t="shared" si="250"/>
        <v>0.93232210836969287</v>
      </c>
      <c r="BX514" s="16">
        <f>IF($BY$12&lt;3,BV514,SUM($BZ$42:BZ514)/$BX$40)</f>
        <v>0.44432999519410155</v>
      </c>
      <c r="BY514" s="16">
        <f t="shared" si="240"/>
        <v>47.200000000000401</v>
      </c>
      <c r="BZ514" s="16">
        <f t="shared" si="241"/>
        <v>1.9752587041730614E-2</v>
      </c>
      <c r="CA514" s="16">
        <f t="shared" si="251"/>
        <v>-999</v>
      </c>
      <c r="CB514" s="16" t="str">
        <f t="shared" si="242"/>
        <v/>
      </c>
      <c r="CC514" s="16" t="e">
        <f>IF(CB514="",NA(),COUNTIF(CB514:$CB$704,CB514))</f>
        <v>#N/A</v>
      </c>
      <c r="CD514" s="16" t="e">
        <f t="shared" si="243"/>
        <v>#N/A</v>
      </c>
      <c r="CE514" s="16" t="e">
        <f t="shared" si="244"/>
        <v>#N/A</v>
      </c>
      <c r="CF514" s="16">
        <f t="shared" si="245"/>
        <v>99</v>
      </c>
      <c r="CG514" s="16">
        <f t="shared" si="246"/>
        <v>0</v>
      </c>
      <c r="CH514" s="16">
        <f t="shared" si="239"/>
        <v>0</v>
      </c>
      <c r="CJ514" s="16" t="e">
        <f t="shared" si="247"/>
        <v>#N/A</v>
      </c>
      <c r="CK514" s="16" t="str">
        <f t="shared" si="248"/>
        <v/>
      </c>
    </row>
    <row r="515" spans="1:89" ht="12" customHeight="1">
      <c r="A515" s="211"/>
      <c r="B515" s="211"/>
      <c r="C515" s="211"/>
      <c r="D515" s="211"/>
      <c r="E515" s="211"/>
      <c r="F515" s="211"/>
      <c r="G515" s="211"/>
      <c r="H515" s="211"/>
      <c r="I515" s="211"/>
      <c r="J515" s="211"/>
      <c r="K515" s="211"/>
      <c r="L515" s="211"/>
      <c r="M515" s="211"/>
      <c r="N515" s="211"/>
      <c r="O515" s="211"/>
      <c r="AM515" s="34">
        <f t="shared" si="267"/>
        <v>0.16975915618240833</v>
      </c>
      <c r="AN515" s="34"/>
      <c r="AR515" s="34">
        <f t="shared" si="268"/>
        <v>0.80162658728659153</v>
      </c>
      <c r="AS515" s="34"/>
      <c r="AW515" s="34">
        <f t="shared" si="269"/>
        <v>0.33280344493687153</v>
      </c>
      <c r="AX515" s="34"/>
      <c r="BB515" s="34">
        <f t="shared" si="271"/>
        <v>0.5467707309871912</v>
      </c>
      <c r="BC515" s="34"/>
      <c r="BU515" s="16">
        <f t="shared" si="249"/>
        <v>0</v>
      </c>
      <c r="BV515" s="16">
        <f>IF($BY$12=1,NORMDIST(BY515,$Y$6,$Y$8,TRUE),IF($BY$12=2,IF(BY515&lt;=$BX$31,0,IF(BY515&gt;=$BX$32,1,(BY515-$BX$31)*$BX$33)),SUM($BU$42:BU515)/$BV$40))</f>
        <v>0.44630593716562628</v>
      </c>
      <c r="BW515" s="16">
        <f t="shared" si="250"/>
        <v>0.93493991736508297</v>
      </c>
      <c r="BX515" s="16">
        <f>IF($BY$12&lt;3,BV515,SUM($BZ$42:BZ515)/$BX$40)</f>
        <v>0.44630593716562628</v>
      </c>
      <c r="BY515" s="16">
        <f t="shared" si="240"/>
        <v>47.300000000000402</v>
      </c>
      <c r="BZ515" s="16">
        <f t="shared" si="241"/>
        <v>1.9766171614483616E-2</v>
      </c>
      <c r="CA515" s="16">
        <f t="shared" si="251"/>
        <v>-999</v>
      </c>
      <c r="CB515" s="16" t="str">
        <f t="shared" si="242"/>
        <v/>
      </c>
      <c r="CC515" s="16" t="e">
        <f>IF(CB515="",NA(),COUNTIF(CB515:$CB$704,CB515))</f>
        <v>#N/A</v>
      </c>
      <c r="CD515" s="16" t="e">
        <f t="shared" si="243"/>
        <v>#N/A</v>
      </c>
      <c r="CE515" s="16" t="e">
        <f t="shared" si="244"/>
        <v>#N/A</v>
      </c>
      <c r="CF515" s="16">
        <f t="shared" si="245"/>
        <v>99</v>
      </c>
      <c r="CG515" s="16">
        <f t="shared" si="246"/>
        <v>0</v>
      </c>
      <c r="CH515" s="16">
        <f t="shared" ref="CH515:CH578" si="272">IF(CB515="",0,1)</f>
        <v>0</v>
      </c>
      <c r="CJ515" s="16" t="e">
        <f t="shared" si="247"/>
        <v>#N/A</v>
      </c>
      <c r="CK515" s="16" t="str">
        <f t="shared" si="248"/>
        <v/>
      </c>
    </row>
    <row r="516" spans="1:89" ht="12" customHeight="1">
      <c r="A516" s="211"/>
      <c r="B516" s="211"/>
      <c r="C516" s="211"/>
      <c r="D516" s="211"/>
      <c r="E516" s="211"/>
      <c r="F516" s="211"/>
      <c r="G516" s="211"/>
      <c r="H516" s="211"/>
      <c r="I516" s="211"/>
      <c r="J516" s="211"/>
      <c r="K516" s="211"/>
      <c r="L516" s="211"/>
      <c r="M516" s="211"/>
      <c r="N516" s="211"/>
      <c r="O516" s="211"/>
      <c r="BU516" s="16">
        <f t="shared" si="249"/>
        <v>0</v>
      </c>
      <c r="BV516" s="16">
        <f>IF($BY$12=1,NORMDIST(BY516,$Y$6,$Y$8,TRUE),IF($BY$12=2,IF(BY516&lt;=$BX$31,0,IF(BY516&gt;=$BX$32,1,(BY516-$BX$31)*$BX$33)),SUM($BU$42:BU516)/$BV$40))</f>
        <v>0.44828321334544685</v>
      </c>
      <c r="BW516" s="16">
        <f t="shared" si="250"/>
        <v>0.93753744738532951</v>
      </c>
      <c r="BX516" s="16">
        <f>IF($BY$12&lt;3,BV516,SUM($BZ$42:BZ516)/$BX$40)</f>
        <v>0.44828321334544685</v>
      </c>
      <c r="BY516" s="16">
        <f t="shared" si="240"/>
        <v>47.400000000000404</v>
      </c>
      <c r="BZ516" s="16">
        <f t="shared" si="241"/>
        <v>1.9779271041884421E-2</v>
      </c>
      <c r="CA516" s="16">
        <f t="shared" si="251"/>
        <v>-999</v>
      </c>
      <c r="CB516" s="16" t="str">
        <f t="shared" si="242"/>
        <v/>
      </c>
      <c r="CC516" s="16" t="e">
        <f>IF(CB516="",NA(),COUNTIF(CB516:$CB$704,CB516))</f>
        <v>#N/A</v>
      </c>
      <c r="CD516" s="16" t="e">
        <f t="shared" si="243"/>
        <v>#N/A</v>
      </c>
      <c r="CE516" s="16" t="e">
        <f t="shared" si="244"/>
        <v>#N/A</v>
      </c>
      <c r="CF516" s="16">
        <f t="shared" si="245"/>
        <v>99</v>
      </c>
      <c r="CG516" s="16">
        <f t="shared" si="246"/>
        <v>0</v>
      </c>
      <c r="CH516" s="16">
        <f t="shared" si="272"/>
        <v>0</v>
      </c>
      <c r="CJ516" s="16" t="e">
        <f t="shared" si="247"/>
        <v>#N/A</v>
      </c>
      <c r="CK516" s="16" t="str">
        <f t="shared" si="248"/>
        <v/>
      </c>
    </row>
    <row r="517" spans="1:89" ht="12" customHeight="1">
      <c r="A517" s="211"/>
      <c r="B517" s="211"/>
      <c r="C517" s="211"/>
      <c r="D517" s="211"/>
      <c r="E517" s="211"/>
      <c r="F517" s="211"/>
      <c r="G517" s="211"/>
      <c r="H517" s="211"/>
      <c r="I517" s="211"/>
      <c r="J517" s="211"/>
      <c r="K517" s="211"/>
      <c r="L517" s="211"/>
      <c r="M517" s="211"/>
      <c r="N517" s="211"/>
      <c r="O517" s="211"/>
      <c r="BU517" s="16">
        <f t="shared" si="249"/>
        <v>0</v>
      </c>
      <c r="BV517" s="16">
        <f>IF($BY$12=1,NORMDIST(BY517,$Y$6,$Y$8,TRUE),IF($BY$12=2,IF(BY517&lt;=$BX$31,0,IF(BY517&gt;=$BX$32,1,(BY517-$BX$31)*$BX$33)),SUM($BU$42:BU517)/$BV$40))</f>
        <v>0.45026177516989518</v>
      </c>
      <c r="BW517" s="16">
        <f t="shared" si="250"/>
        <v>0.94011450649379047</v>
      </c>
      <c r="BX517" s="16">
        <f>IF($BY$12&lt;3,BV517,SUM($BZ$42:BZ517)/$BX$40)</f>
        <v>0.45026177516989518</v>
      </c>
      <c r="BY517" s="16">
        <f t="shared" si="240"/>
        <v>47.500000000000405</v>
      </c>
      <c r="BZ517" s="16">
        <f t="shared" si="241"/>
        <v>1.9791884347237526E-2</v>
      </c>
      <c r="CA517" s="16">
        <f t="shared" si="251"/>
        <v>-999</v>
      </c>
      <c r="CB517" s="16" t="str">
        <f t="shared" si="242"/>
        <v/>
      </c>
      <c r="CC517" s="16" t="e">
        <f>IF(CB517="",NA(),COUNTIF(CB517:$CB$704,CB517))</f>
        <v>#N/A</v>
      </c>
      <c r="CD517" s="16" t="e">
        <f t="shared" si="243"/>
        <v>#N/A</v>
      </c>
      <c r="CE517" s="16" t="e">
        <f t="shared" si="244"/>
        <v>#N/A</v>
      </c>
      <c r="CF517" s="16">
        <f t="shared" si="245"/>
        <v>99</v>
      </c>
      <c r="CG517" s="16">
        <f t="shared" si="246"/>
        <v>0</v>
      </c>
      <c r="CH517" s="16">
        <f t="shared" si="272"/>
        <v>0</v>
      </c>
      <c r="CJ517" s="16" t="e">
        <f t="shared" si="247"/>
        <v>#N/A</v>
      </c>
      <c r="CK517" s="16" t="str">
        <f t="shared" si="248"/>
        <v/>
      </c>
    </row>
    <row r="518" spans="1:89" ht="12" customHeight="1">
      <c r="A518" s="211"/>
      <c r="B518" s="211"/>
      <c r="C518" s="211"/>
      <c r="D518" s="211"/>
      <c r="E518" s="211"/>
      <c r="F518" s="211"/>
      <c r="G518" s="211"/>
      <c r="H518" s="211"/>
      <c r="I518" s="211"/>
      <c r="J518" s="211"/>
      <c r="K518" s="211"/>
      <c r="L518" s="211"/>
      <c r="M518" s="211"/>
      <c r="N518" s="211"/>
      <c r="O518" s="211"/>
      <c r="BU518" s="16">
        <f t="shared" si="249"/>
        <v>0</v>
      </c>
      <c r="BV518" s="16">
        <f>IF($BY$12=1,NORMDIST(BY518,$Y$6,$Y$8,TRUE),IF($BY$12=2,IF(BY518&lt;=$BX$31,0,IF(BY518&gt;=$BX$32,1,(BY518-$BX$31)*$BX$33)),SUM($BU$42:BU518)/$BV$40))</f>
        <v>0.45224157397942422</v>
      </c>
      <c r="BW518" s="16">
        <f t="shared" si="250"/>
        <v>0.94267090406891163</v>
      </c>
      <c r="BX518" s="16">
        <f>IF($BY$12&lt;3,BV518,SUM($BZ$42:BZ518)/$BX$40)</f>
        <v>0.45224157397942422</v>
      </c>
      <c r="BY518" s="16">
        <f t="shared" si="240"/>
        <v>47.600000000000406</v>
      </c>
      <c r="BZ518" s="16">
        <f t="shared" si="241"/>
        <v>1.9804010589682848E-2</v>
      </c>
      <c r="CA518" s="16">
        <f t="shared" si="251"/>
        <v>-999</v>
      </c>
      <c r="CB518" s="16" t="str">
        <f t="shared" si="242"/>
        <v/>
      </c>
      <c r="CC518" s="16" t="e">
        <f>IF(CB518="",NA(),COUNTIF(CB518:$CB$704,CB518))</f>
        <v>#N/A</v>
      </c>
      <c r="CD518" s="16" t="e">
        <f t="shared" si="243"/>
        <v>#N/A</v>
      </c>
      <c r="CE518" s="16" t="e">
        <f t="shared" si="244"/>
        <v>#N/A</v>
      </c>
      <c r="CF518" s="16">
        <f t="shared" si="245"/>
        <v>99</v>
      </c>
      <c r="CG518" s="16">
        <f t="shared" si="246"/>
        <v>0</v>
      </c>
      <c r="CH518" s="16">
        <f t="shared" si="272"/>
        <v>0</v>
      </c>
      <c r="CJ518" s="16" t="e">
        <f t="shared" si="247"/>
        <v>#N/A</v>
      </c>
      <c r="CK518" s="16" t="str">
        <f t="shared" si="248"/>
        <v/>
      </c>
    </row>
    <row r="519" spans="1:89" ht="12" customHeight="1">
      <c r="A519" s="211"/>
      <c r="B519" s="211"/>
      <c r="C519" s="211"/>
      <c r="D519" s="211"/>
      <c r="E519" s="211"/>
      <c r="F519" s="211"/>
      <c r="G519" s="211"/>
      <c r="H519" s="211"/>
      <c r="I519" s="211"/>
      <c r="J519" s="211"/>
      <c r="K519" s="211"/>
      <c r="L519" s="211"/>
      <c r="M519" s="211"/>
      <c r="N519" s="211"/>
      <c r="O519" s="211"/>
      <c r="BU519" s="16">
        <f t="shared" si="249"/>
        <v>0</v>
      </c>
      <c r="BV519" s="16">
        <f>IF($BY$12=1,NORMDIST(BY519,$Y$6,$Y$8,TRUE),IF($BY$12=2,IF(BY519&lt;=$BX$31,0,IF(BY519&gt;=$BX$32,1,(BY519-$BX$31)*$BX$33)),SUM($BU$42:BU519)/$BV$40))</f>
        <v>0.45422256102219782</v>
      </c>
      <c r="BW519" s="16">
        <f t="shared" si="250"/>
        <v>0.94520645082772414</v>
      </c>
      <c r="BX519" s="16">
        <f>IF($BY$12&lt;3,BV519,SUM($BZ$42:BZ519)/$BX$40)</f>
        <v>0.45422256102219782</v>
      </c>
      <c r="BY519" s="16">
        <f t="shared" si="240"/>
        <v>47.700000000000408</v>
      </c>
      <c r="BZ519" s="16">
        <f t="shared" si="241"/>
        <v>1.9815648864312706E-2</v>
      </c>
      <c r="CA519" s="16">
        <f t="shared" si="251"/>
        <v>-999</v>
      </c>
      <c r="CB519" s="16" t="str">
        <f t="shared" si="242"/>
        <v/>
      </c>
      <c r="CC519" s="16" t="e">
        <f>IF(CB519="",NA(),COUNTIF(CB519:$CB$704,CB519))</f>
        <v>#N/A</v>
      </c>
      <c r="CD519" s="16" t="e">
        <f t="shared" si="243"/>
        <v>#N/A</v>
      </c>
      <c r="CE519" s="16" t="e">
        <f t="shared" si="244"/>
        <v>#N/A</v>
      </c>
      <c r="CF519" s="16">
        <f t="shared" si="245"/>
        <v>99</v>
      </c>
      <c r="CG519" s="16">
        <f t="shared" si="246"/>
        <v>0</v>
      </c>
      <c r="CH519" s="16">
        <f t="shared" si="272"/>
        <v>0</v>
      </c>
      <c r="CJ519" s="16" t="e">
        <f t="shared" si="247"/>
        <v>#N/A</v>
      </c>
      <c r="CK519" s="16" t="str">
        <f t="shared" si="248"/>
        <v/>
      </c>
    </row>
    <row r="520" spans="1:89" ht="12" customHeight="1">
      <c r="A520" s="211"/>
      <c r="B520" s="211"/>
      <c r="C520" s="211"/>
      <c r="D520" s="211"/>
      <c r="E520" s="211"/>
      <c r="F520" s="211"/>
      <c r="G520" s="211"/>
      <c r="H520" s="211"/>
      <c r="I520" s="211"/>
      <c r="J520" s="211"/>
      <c r="K520" s="211"/>
      <c r="L520" s="211"/>
      <c r="M520" s="211"/>
      <c r="N520" s="211"/>
      <c r="O520" s="211"/>
      <c r="BU520" s="16">
        <f t="shared" si="249"/>
        <v>0</v>
      </c>
      <c r="BV520" s="16">
        <f>IF($BY$12=1,NORMDIST(BY520,$Y$6,$Y$8,TRUE),IF($BY$12=2,IF(BY520&lt;=$BX$31,0,IF(BY520&gt;=$BX$32,1,(BY520-$BX$31)*$BX$33)),SUM($BU$42:BU520)/$BV$40))</f>
        <v>0.45620468745769138</v>
      </c>
      <c r="BW520" s="16">
        <f t="shared" si="250"/>
        <v>0.94772095884919927</v>
      </c>
      <c r="BX520" s="16">
        <f>IF($BY$12&lt;3,BV520,SUM($BZ$42:BZ520)/$BX$40)</f>
        <v>0.45620468745769138</v>
      </c>
      <c r="BY520" s="16">
        <f t="shared" si="240"/>
        <v>47.800000000000409</v>
      </c>
      <c r="BZ520" s="16">
        <f t="shared" si="241"/>
        <v>1.9826798302284333E-2</v>
      </c>
      <c r="CA520" s="16">
        <f t="shared" si="251"/>
        <v>-999</v>
      </c>
      <c r="CB520" s="16" t="str">
        <f t="shared" si="242"/>
        <v/>
      </c>
      <c r="CC520" s="16" t="e">
        <f>IF(CB520="",NA(),COUNTIF(CB520:$CB$704,CB520))</f>
        <v>#N/A</v>
      </c>
      <c r="CD520" s="16" t="e">
        <f t="shared" si="243"/>
        <v>#N/A</v>
      </c>
      <c r="CE520" s="16" t="e">
        <f t="shared" si="244"/>
        <v>#N/A</v>
      </c>
      <c r="CF520" s="16">
        <f t="shared" si="245"/>
        <v>99</v>
      </c>
      <c r="CG520" s="16">
        <f t="shared" si="246"/>
        <v>0</v>
      </c>
      <c r="CH520" s="16">
        <f t="shared" si="272"/>
        <v>0</v>
      </c>
      <c r="CJ520" s="16" t="e">
        <f t="shared" si="247"/>
        <v>#N/A</v>
      </c>
      <c r="CK520" s="16" t="str">
        <f t="shared" si="248"/>
        <v/>
      </c>
    </row>
    <row r="521" spans="1:89" ht="12" customHeight="1">
      <c r="A521" s="211"/>
      <c r="B521" s="211"/>
      <c r="C521" s="211"/>
      <c r="D521" s="211"/>
      <c r="E521" s="211"/>
      <c r="F521" s="211"/>
      <c r="G521" s="211"/>
      <c r="H521" s="211"/>
      <c r="I521" s="211"/>
      <c r="J521" s="211"/>
      <c r="K521" s="211"/>
      <c r="L521" s="211"/>
      <c r="M521" s="211"/>
      <c r="N521" s="211"/>
      <c r="O521" s="211"/>
      <c r="BU521" s="16">
        <f t="shared" si="249"/>
        <v>0</v>
      </c>
      <c r="BV521" s="16">
        <f>IF($BY$12=1,NORMDIST(BY521,$Y$6,$Y$8,TRUE),IF($BY$12=2,IF(BY521&lt;=$BX$31,0,IF(BY521&gt;=$BX$32,1,(BY521-$BX$31)*$BX$33)),SUM($BU$42:BU521)/$BV$40))</f>
        <v>0.45818790436030354</v>
      </c>
      <c r="BW521" s="16">
        <f t="shared" si="250"/>
        <v>0.95021424159745882</v>
      </c>
      <c r="BX521" s="16">
        <f>IF($BY$12&lt;3,BV521,SUM($BZ$42:BZ521)/$BX$40)</f>
        <v>0.45818790436030354</v>
      </c>
      <c r="BY521" s="16">
        <f t="shared" si="240"/>
        <v>47.900000000000411</v>
      </c>
      <c r="BZ521" s="16">
        <f t="shared" si="241"/>
        <v>1.9837458070927988E-2</v>
      </c>
      <c r="CA521" s="16">
        <f t="shared" si="251"/>
        <v>-999</v>
      </c>
      <c r="CB521" s="16" t="str">
        <f t="shared" si="242"/>
        <v/>
      </c>
      <c r="CC521" s="16" t="e">
        <f>IF(CB521="",NA(),COUNTIF(CB521:$CB$704,CB521))</f>
        <v>#N/A</v>
      </c>
      <c r="CD521" s="16" t="e">
        <f t="shared" si="243"/>
        <v>#N/A</v>
      </c>
      <c r="CE521" s="16" t="e">
        <f t="shared" si="244"/>
        <v>#N/A</v>
      </c>
      <c r="CF521" s="16">
        <f t="shared" si="245"/>
        <v>99</v>
      </c>
      <c r="CG521" s="16">
        <f t="shared" si="246"/>
        <v>0</v>
      </c>
      <c r="CH521" s="16">
        <f t="shared" si="272"/>
        <v>0</v>
      </c>
      <c r="CJ521" s="16" t="e">
        <f t="shared" si="247"/>
        <v>#N/A</v>
      </c>
      <c r="CK521" s="16" t="str">
        <f t="shared" si="248"/>
        <v/>
      </c>
    </row>
    <row r="522" spans="1:89" ht="12" customHeight="1">
      <c r="A522" s="211"/>
      <c r="B522" s="211"/>
      <c r="C522" s="211"/>
      <c r="D522" s="211"/>
      <c r="E522" s="211"/>
      <c r="F522" s="211"/>
      <c r="G522" s="211"/>
      <c r="H522" s="211"/>
      <c r="I522" s="211"/>
      <c r="J522" s="211"/>
      <c r="K522" s="211"/>
      <c r="L522" s="211"/>
      <c r="M522" s="211"/>
      <c r="N522" s="211"/>
      <c r="O522" s="211"/>
      <c r="BU522" s="16">
        <f t="shared" si="249"/>
        <v>0</v>
      </c>
      <c r="BV522" s="16">
        <f>IF($BY$12=1,NORMDIST(BY522,$Y$6,$Y$8,TRUE),IF($BY$12=2,IF(BY522&lt;=$BX$31,0,IF(BY522&gt;=$BX$32,1,(BY522-$BX$31)*$BX$33)),SUM($BU$42:BU522)/$BV$40))</f>
        <v>0.46017216272297923</v>
      </c>
      <c r="BW522" s="16">
        <f t="shared" si="250"/>
        <v>0.95268611394483826</v>
      </c>
      <c r="BX522" s="16">
        <f>IF($BY$12&lt;3,BV522,SUM($BZ$42:BZ522)/$BX$40)</f>
        <v>0.46017216272297923</v>
      </c>
      <c r="BY522" s="16">
        <f t="shared" si="240"/>
        <v>48.000000000000412</v>
      </c>
      <c r="BZ522" s="16">
        <f t="shared" si="241"/>
        <v>1.9847627373850627E-2</v>
      </c>
      <c r="CA522" s="16">
        <f t="shared" si="251"/>
        <v>-999</v>
      </c>
      <c r="CB522" s="16" t="str">
        <f t="shared" si="242"/>
        <v/>
      </c>
      <c r="CC522" s="16" t="e">
        <f>IF(CB522="",NA(),COUNTIF(CB522:$CB$704,CB522))</f>
        <v>#N/A</v>
      </c>
      <c r="CD522" s="16" t="e">
        <f t="shared" si="243"/>
        <v>#N/A</v>
      </c>
      <c r="CE522" s="16" t="e">
        <f t="shared" si="244"/>
        <v>#N/A</v>
      </c>
      <c r="CF522" s="16">
        <f t="shared" si="245"/>
        <v>99</v>
      </c>
      <c r="CG522" s="16">
        <f t="shared" si="246"/>
        <v>0</v>
      </c>
      <c r="CH522" s="16">
        <f t="shared" si="272"/>
        <v>0</v>
      </c>
      <c r="CJ522" s="16" t="e">
        <f t="shared" si="247"/>
        <v>#N/A</v>
      </c>
      <c r="CK522" s="16" t="str">
        <f t="shared" si="248"/>
        <v/>
      </c>
    </row>
    <row r="523" spans="1:89" ht="12" customHeight="1">
      <c r="A523" s="211"/>
      <c r="B523" s="211"/>
      <c r="C523" s="211"/>
      <c r="D523" s="211"/>
      <c r="E523" s="211"/>
      <c r="F523" s="211"/>
      <c r="G523" s="211"/>
      <c r="H523" s="211"/>
      <c r="I523" s="211"/>
      <c r="J523" s="211"/>
      <c r="K523" s="211"/>
      <c r="L523" s="211"/>
      <c r="M523" s="211"/>
      <c r="N523" s="211"/>
      <c r="O523" s="211"/>
      <c r="BU523" s="16">
        <f t="shared" si="249"/>
        <v>0</v>
      </c>
      <c r="BV523" s="16">
        <f>IF($BY$12=1,NORMDIST(BY523,$Y$6,$Y$8,TRUE),IF($BY$12=2,IF(BY523&lt;=$BX$31,0,IF(BY523&gt;=$BX$32,1,(BY523-$BX$31)*$BX$33)),SUM($BU$42:BU523)/$BV$40))</f>
        <v>0.46215741346084194</v>
      </c>
      <c r="BW523" s="16">
        <f t="shared" si="250"/>
        <v>0.95513639219479274</v>
      </c>
      <c r="BX523" s="16">
        <f>IF($BY$12&lt;3,BV523,SUM($BZ$42:BZ523)/$BX$40)</f>
        <v>0.46215741346084194</v>
      </c>
      <c r="BY523" s="16">
        <f t="shared" si="240"/>
        <v>48.100000000000414</v>
      </c>
      <c r="BZ523" s="16">
        <f t="shared" si="241"/>
        <v>1.9857305451035021E-2</v>
      </c>
      <c r="CA523" s="16">
        <f t="shared" si="251"/>
        <v>-999</v>
      </c>
      <c r="CB523" s="16" t="str">
        <f t="shared" si="242"/>
        <v/>
      </c>
      <c r="CC523" s="16" t="e">
        <f>IF(CB523="",NA(),COUNTIF(CB523:$CB$704,CB523))</f>
        <v>#N/A</v>
      </c>
      <c r="CD523" s="16" t="e">
        <f t="shared" si="243"/>
        <v>#N/A</v>
      </c>
      <c r="CE523" s="16" t="e">
        <f t="shared" si="244"/>
        <v>#N/A</v>
      </c>
      <c r="CF523" s="16">
        <f t="shared" si="245"/>
        <v>99</v>
      </c>
      <c r="CG523" s="16">
        <f t="shared" si="246"/>
        <v>0</v>
      </c>
      <c r="CH523" s="16">
        <f t="shared" si="272"/>
        <v>0</v>
      </c>
      <c r="CJ523" s="16" t="e">
        <f t="shared" si="247"/>
        <v>#N/A</v>
      </c>
      <c r="CK523" s="16" t="str">
        <f t="shared" si="248"/>
        <v/>
      </c>
    </row>
    <row r="524" spans="1:89" ht="12" customHeight="1">
      <c r="A524" s="211"/>
      <c r="B524" s="211"/>
      <c r="C524" s="211"/>
      <c r="D524" s="211"/>
      <c r="E524" s="211"/>
      <c r="F524" s="211"/>
      <c r="G524" s="211"/>
      <c r="H524" s="211"/>
      <c r="I524" s="211"/>
      <c r="J524" s="211"/>
      <c r="K524" s="211"/>
      <c r="L524" s="211"/>
      <c r="M524" s="211"/>
      <c r="N524" s="211"/>
      <c r="O524" s="211"/>
      <c r="BU524" s="16">
        <f t="shared" si="249"/>
        <v>0</v>
      </c>
      <c r="BV524" s="16">
        <f>IF($BY$12=1,NORMDIST(BY524,$Y$6,$Y$8,TRUE),IF($BY$12=2,IF(BY524&lt;=$BX$31,0,IF(BY524&gt;=$BX$32,1,(BY524-$BX$31)*$BX$33)),SUM($BU$42:BU524)/$BV$40))</f>
        <v>0.46414360741483618</v>
      </c>
      <c r="BW524" s="16">
        <f t="shared" si="250"/>
        <v>0.95756489410464884</v>
      </c>
      <c r="BX524" s="16">
        <f>IF($BY$12&lt;3,BV524,SUM($BZ$42:BZ524)/$BX$40)</f>
        <v>0.46414360741483618</v>
      </c>
      <c r="BY524" s="16">
        <f t="shared" si="240"/>
        <v>48.200000000000415</v>
      </c>
      <c r="BZ524" s="16">
        <f t="shared" si="241"/>
        <v>1.9866491578934452E-2</v>
      </c>
      <c r="CA524" s="16">
        <f t="shared" si="251"/>
        <v>-999</v>
      </c>
      <c r="CB524" s="16" t="str">
        <f t="shared" si="242"/>
        <v/>
      </c>
      <c r="CC524" s="16" t="e">
        <f>IF(CB524="",NA(),COUNTIF(CB524:$CB$704,CB524))</f>
        <v>#N/A</v>
      </c>
      <c r="CD524" s="16" t="e">
        <f t="shared" si="243"/>
        <v>#N/A</v>
      </c>
      <c r="CE524" s="16" t="e">
        <f t="shared" si="244"/>
        <v>#N/A</v>
      </c>
      <c r="CF524" s="16">
        <f t="shared" si="245"/>
        <v>99</v>
      </c>
      <c r="CG524" s="16">
        <f t="shared" si="246"/>
        <v>0</v>
      </c>
      <c r="CH524" s="16">
        <f t="shared" si="272"/>
        <v>0</v>
      </c>
      <c r="CJ524" s="16" t="e">
        <f t="shared" si="247"/>
        <v>#N/A</v>
      </c>
      <c r="CK524" s="16" t="str">
        <f t="shared" si="248"/>
        <v/>
      </c>
    </row>
    <row r="525" spans="1:89" ht="12" customHeight="1">
      <c r="A525" s="211"/>
      <c r="B525" s="211"/>
      <c r="C525" s="211"/>
      <c r="D525" s="211"/>
      <c r="E525" s="211"/>
      <c r="F525" s="211"/>
      <c r="G525" s="211"/>
      <c r="H525" s="211"/>
      <c r="I525" s="211"/>
      <c r="J525" s="211"/>
      <c r="K525" s="211"/>
      <c r="L525" s="211"/>
      <c r="M525" s="211"/>
      <c r="N525" s="211"/>
      <c r="O525" s="211"/>
      <c r="BU525" s="16">
        <f t="shared" si="249"/>
        <v>0</v>
      </c>
      <c r="BV525" s="16">
        <f>IF($BY$12=1,NORMDIST(BY525,$Y$6,$Y$8,TRUE),IF($BY$12=2,IF(BY525&lt;=$BX$31,0,IF(BY525&gt;=$BX$32,1,(BY525-$BX$31)*$BX$33)),SUM($BU$42:BU525)/$BV$40))</f>
        <v>0.4661306953553791</v>
      </c>
      <c r="BW525" s="16">
        <f t="shared" si="250"/>
        <v>0.95997143890819447</v>
      </c>
      <c r="BX525" s="16">
        <f>IF($BY$12&lt;3,BV525,SUM($BZ$42:BZ525)/$BX$40)</f>
        <v>0.4661306953553791</v>
      </c>
      <c r="BY525" s="16">
        <f t="shared" si="240"/>
        <v>48.300000000000416</v>
      </c>
      <c r="BZ525" s="16">
        <f t="shared" si="241"/>
        <v>1.9875185070562861E-2</v>
      </c>
      <c r="CA525" s="16">
        <f t="shared" si="251"/>
        <v>-999</v>
      </c>
      <c r="CB525" s="16" t="str">
        <f t="shared" si="242"/>
        <v/>
      </c>
      <c r="CC525" s="16" t="e">
        <f>IF(CB525="",NA(),COUNTIF(CB525:$CB$704,CB525))</f>
        <v>#N/A</v>
      </c>
      <c r="CD525" s="16" t="e">
        <f t="shared" si="243"/>
        <v>#N/A</v>
      </c>
      <c r="CE525" s="16" t="e">
        <f t="shared" si="244"/>
        <v>#N/A</v>
      </c>
      <c r="CF525" s="16">
        <f t="shared" si="245"/>
        <v>99</v>
      </c>
      <c r="CG525" s="16">
        <f t="shared" si="246"/>
        <v>0</v>
      </c>
      <c r="CH525" s="16">
        <f t="shared" si="272"/>
        <v>0</v>
      </c>
      <c r="CJ525" s="16" t="e">
        <f t="shared" si="247"/>
        <v>#N/A</v>
      </c>
      <c r="CK525" s="16" t="str">
        <f t="shared" si="248"/>
        <v/>
      </c>
    </row>
    <row r="526" spans="1:89" ht="12" customHeight="1">
      <c r="A526" s="211"/>
      <c r="B526" s="211"/>
      <c r="C526" s="211"/>
      <c r="D526" s="211"/>
      <c r="E526" s="211"/>
      <c r="F526" s="211"/>
      <c r="G526" s="211"/>
      <c r="H526" s="211"/>
      <c r="I526" s="211"/>
      <c r="J526" s="211"/>
      <c r="K526" s="211"/>
      <c r="L526" s="211"/>
      <c r="M526" s="211"/>
      <c r="N526" s="211"/>
      <c r="O526" s="211"/>
      <c r="BU526" s="16">
        <f t="shared" si="249"/>
        <v>0</v>
      </c>
      <c r="BV526" s="16">
        <f>IF($BY$12=1,NORMDIST(BY526,$Y$6,$Y$8,TRUE),IF($BY$12=2,IF(BY526&lt;=$BX$31,0,IF(BY526&gt;=$BX$32,1,(BY526-$BX$31)*$BX$33)),SUM($BU$42:BU526)/$BV$40))</f>
        <v>0.46811862798602089</v>
      </c>
      <c r="BW526" s="16">
        <f t="shared" si="250"/>
        <v>0.96235584733810331</v>
      </c>
      <c r="BX526" s="16">
        <f>IF($BY$12&lt;3,BV526,SUM($BZ$42:BZ526)/$BX$40)</f>
        <v>0.46811862798602089</v>
      </c>
      <c r="BY526" s="16">
        <f t="shared" si="240"/>
        <v>48.400000000000418</v>
      </c>
      <c r="BZ526" s="16">
        <f t="shared" si="241"/>
        <v>1.9883385275580475E-2</v>
      </c>
      <c r="CA526" s="16">
        <f t="shared" si="251"/>
        <v>-999</v>
      </c>
      <c r="CB526" s="16" t="str">
        <f t="shared" si="242"/>
        <v/>
      </c>
      <c r="CC526" s="16" t="e">
        <f>IF(CB526="",NA(),COUNTIF(CB526:$CB$704,CB526))</f>
        <v>#N/A</v>
      </c>
      <c r="CD526" s="16" t="e">
        <f t="shared" si="243"/>
        <v>#N/A</v>
      </c>
      <c r="CE526" s="16" t="e">
        <f t="shared" si="244"/>
        <v>#N/A</v>
      </c>
      <c r="CF526" s="16">
        <f t="shared" si="245"/>
        <v>99</v>
      </c>
      <c r="CG526" s="16">
        <f t="shared" si="246"/>
        <v>0</v>
      </c>
      <c r="CH526" s="16">
        <f t="shared" si="272"/>
        <v>0</v>
      </c>
      <c r="CJ526" s="16" t="e">
        <f t="shared" si="247"/>
        <v>#N/A</v>
      </c>
      <c r="CK526" s="16" t="str">
        <f t="shared" si="248"/>
        <v/>
      </c>
    </row>
    <row r="527" spans="1:89" ht="12" customHeight="1">
      <c r="A527" s="211"/>
      <c r="B527" s="211"/>
      <c r="C527" s="211"/>
      <c r="D527" s="211"/>
      <c r="E527" s="211"/>
      <c r="F527" s="211"/>
      <c r="G527" s="211"/>
      <c r="H527" s="211"/>
      <c r="I527" s="211"/>
      <c r="J527" s="211"/>
      <c r="K527" s="211"/>
      <c r="L527" s="211"/>
      <c r="M527" s="211"/>
      <c r="N527" s="211"/>
      <c r="O527" s="211"/>
      <c r="BU527" s="16">
        <f t="shared" si="249"/>
        <v>0</v>
      </c>
      <c r="BV527" s="16">
        <f>IF($BY$12=1,NORMDIST(BY527,$Y$6,$Y$8,TRUE),IF($BY$12=2,IF(BY527&lt;=$BX$31,0,IF(BY527&gt;=$BX$32,1,(BY527-$BX$31)*$BX$33)),SUM($BU$42:BU527)/$BV$40))</f>
        <v>0.47010735594711361</v>
      </c>
      <c r="BW527" s="16">
        <f t="shared" si="250"/>
        <v>0.96471794164819036</v>
      </c>
      <c r="BX527" s="16">
        <f>IF($BY$12&lt;3,BV527,SUM($BZ$42:BZ527)/$BX$40)</f>
        <v>0.47010735594711361</v>
      </c>
      <c r="BY527" s="16">
        <f t="shared" si="240"/>
        <v>48.500000000000419</v>
      </c>
      <c r="BZ527" s="16">
        <f t="shared" si="241"/>
        <v>1.9891091580374887E-2</v>
      </c>
      <c r="CA527" s="16">
        <f t="shared" si="251"/>
        <v>-999</v>
      </c>
      <c r="CB527" s="16" t="str">
        <f t="shared" si="242"/>
        <v/>
      </c>
      <c r="CC527" s="16" t="e">
        <f>IF(CB527="",NA(),COUNTIF(CB527:$CB$704,CB527))</f>
        <v>#N/A</v>
      </c>
      <c r="CD527" s="16" t="e">
        <f t="shared" si="243"/>
        <v>#N/A</v>
      </c>
      <c r="CE527" s="16" t="e">
        <f t="shared" si="244"/>
        <v>#N/A</v>
      </c>
      <c r="CF527" s="16">
        <f t="shared" si="245"/>
        <v>99</v>
      </c>
      <c r="CG527" s="16">
        <f t="shared" si="246"/>
        <v>0</v>
      </c>
      <c r="CH527" s="16">
        <f t="shared" si="272"/>
        <v>0</v>
      </c>
      <c r="CJ527" s="16" t="e">
        <f t="shared" si="247"/>
        <v>#N/A</v>
      </c>
      <c r="CK527" s="16" t="str">
        <f t="shared" si="248"/>
        <v/>
      </c>
    </row>
    <row r="528" spans="1:89" ht="12" customHeight="1">
      <c r="A528" s="211"/>
      <c r="B528" s="211"/>
      <c r="C528" s="211"/>
      <c r="D528" s="211"/>
      <c r="E528" s="211"/>
      <c r="F528" s="211"/>
      <c r="G528" s="211"/>
      <c r="H528" s="211"/>
      <c r="I528" s="211"/>
      <c r="J528" s="211"/>
      <c r="K528" s="211"/>
      <c r="L528" s="211"/>
      <c r="M528" s="211"/>
      <c r="N528" s="211"/>
      <c r="O528" s="211"/>
      <c r="BU528" s="16">
        <f t="shared" si="249"/>
        <v>0</v>
      </c>
      <c r="BV528" s="16">
        <f>IF($BY$12=1,NORMDIST(BY528,$Y$6,$Y$8,TRUE),IF($BY$12=2,IF(BY528&lt;=$BX$31,0,IF(BY528&gt;=$BX$32,1,(BY528-$BX$31)*$BX$33)),SUM($BU$42:BU528)/$BV$40))</f>
        <v>0.47209682981948731</v>
      </c>
      <c r="BW528" s="16">
        <f t="shared" si="250"/>
        <v>0.96705754563549473</v>
      </c>
      <c r="BX528" s="16">
        <f>IF($BY$12&lt;3,BV528,SUM($BZ$42:BZ528)/$BX$40)</f>
        <v>0.47209682981948731</v>
      </c>
      <c r="BY528" s="16">
        <f t="shared" si="240"/>
        <v>48.600000000000421</v>
      </c>
      <c r="BZ528" s="16">
        <f t="shared" si="241"/>
        <v>1.9898303408137578E-2</v>
      </c>
      <c r="CA528" s="16">
        <f t="shared" si="251"/>
        <v>-999</v>
      </c>
      <c r="CB528" s="16" t="str">
        <f t="shared" si="242"/>
        <v/>
      </c>
      <c r="CC528" s="16" t="e">
        <f>IF(CB528="",NA(),COUNTIF(CB528:$CB$704,CB528))</f>
        <v>#N/A</v>
      </c>
      <c r="CD528" s="16" t="e">
        <f t="shared" si="243"/>
        <v>#N/A</v>
      </c>
      <c r="CE528" s="16" t="e">
        <f t="shared" si="244"/>
        <v>#N/A</v>
      </c>
      <c r="CF528" s="16">
        <f t="shared" si="245"/>
        <v>99</v>
      </c>
      <c r="CG528" s="16">
        <f t="shared" si="246"/>
        <v>0</v>
      </c>
      <c r="CH528" s="16">
        <f t="shared" si="272"/>
        <v>0</v>
      </c>
      <c r="CJ528" s="16" t="e">
        <f t="shared" si="247"/>
        <v>#N/A</v>
      </c>
      <c r="CK528" s="16" t="str">
        <f t="shared" si="248"/>
        <v/>
      </c>
    </row>
    <row r="529" spans="1:89" ht="12" customHeight="1">
      <c r="A529" s="211"/>
      <c r="B529" s="211"/>
      <c r="C529" s="211"/>
      <c r="D529" s="211"/>
      <c r="E529" s="211"/>
      <c r="F529" s="211"/>
      <c r="G529" s="211"/>
      <c r="H529" s="211"/>
      <c r="I529" s="211"/>
      <c r="J529" s="211"/>
      <c r="K529" s="211"/>
      <c r="L529" s="211"/>
      <c r="M529" s="211"/>
      <c r="N529" s="211"/>
      <c r="O529" s="211"/>
      <c r="BU529" s="16">
        <f t="shared" si="249"/>
        <v>0</v>
      </c>
      <c r="BV529" s="16">
        <f>IF($BY$12=1,NORMDIST(BY529,$Y$6,$Y$8,TRUE),IF($BY$12=2,IF(BY529&lt;=$BX$31,0,IF(BY529&gt;=$BX$32,1,(BY529-$BX$31)*$BX$33)),SUM($BU$42:BU529)/$BV$40))</f>
        <v>0.47408700012813465</v>
      </c>
      <c r="BW529" s="16">
        <f t="shared" si="250"/>
        <v>0.96937448466218623</v>
      </c>
      <c r="BX529" s="16">
        <f>IF($BY$12&lt;3,BV529,SUM($BZ$42:BZ529)/$BX$40)</f>
        <v>0.47408700012813465</v>
      </c>
      <c r="BY529" s="16">
        <f t="shared" si="240"/>
        <v>48.700000000000422</v>
      </c>
      <c r="BZ529" s="16">
        <f t="shared" si="241"/>
        <v>1.9905020218935889E-2</v>
      </c>
      <c r="CA529" s="16">
        <f t="shared" si="251"/>
        <v>-999</v>
      </c>
      <c r="CB529" s="16" t="str">
        <f t="shared" si="242"/>
        <v/>
      </c>
      <c r="CC529" s="16" t="e">
        <f>IF(CB529="",NA(),COUNTIF(CB529:$CB$704,CB529))</f>
        <v>#N/A</v>
      </c>
      <c r="CD529" s="16" t="e">
        <f t="shared" si="243"/>
        <v>#N/A</v>
      </c>
      <c r="CE529" s="16" t="e">
        <f t="shared" si="244"/>
        <v>#N/A</v>
      </c>
      <c r="CF529" s="16">
        <f t="shared" si="245"/>
        <v>99</v>
      </c>
      <c r="CG529" s="16">
        <f t="shared" si="246"/>
        <v>0</v>
      </c>
      <c r="CH529" s="16">
        <f t="shared" si="272"/>
        <v>0</v>
      </c>
      <c r="CJ529" s="16" t="e">
        <f t="shared" si="247"/>
        <v>#N/A</v>
      </c>
      <c r="CK529" s="16" t="str">
        <f t="shared" si="248"/>
        <v/>
      </c>
    </row>
    <row r="530" spans="1:89" ht="12" customHeight="1">
      <c r="A530" s="211"/>
      <c r="B530" s="211"/>
      <c r="C530" s="211"/>
      <c r="D530" s="211"/>
      <c r="E530" s="211"/>
      <c r="F530" s="211"/>
      <c r="G530" s="211"/>
      <c r="H530" s="211"/>
      <c r="I530" s="211"/>
      <c r="J530" s="211"/>
      <c r="K530" s="211"/>
      <c r="L530" s="211"/>
      <c r="M530" s="211"/>
      <c r="N530" s="211"/>
      <c r="O530" s="211"/>
      <c r="BU530" s="16">
        <f t="shared" si="249"/>
        <v>0</v>
      </c>
      <c r="BV530" s="16">
        <f>IF($BY$12=1,NORMDIST(BY530,$Y$6,$Y$8,TRUE),IF($BY$12=2,IF(BY530&lt;=$BX$31,0,IF(BY530&gt;=$BX$32,1,(BY530-$BX$31)*$BX$33)),SUM($BU$42:BU530)/$BV$40))</f>
        <v>0.4760778173459016</v>
      </c>
      <c r="BW530" s="16">
        <f t="shared" si="250"/>
        <v>0.97166858567729031</v>
      </c>
      <c r="BX530" s="16">
        <f>IF($BY$12&lt;3,BV530,SUM($BZ$42:BZ530)/$BX$40)</f>
        <v>0.4760778173459016</v>
      </c>
      <c r="BY530" s="16">
        <f t="shared" si="240"/>
        <v>48.800000000000423</v>
      </c>
      <c r="BZ530" s="16">
        <f t="shared" si="241"/>
        <v>1.9911241509780367E-2</v>
      </c>
      <c r="CA530" s="16">
        <f t="shared" si="251"/>
        <v>-999</v>
      </c>
      <c r="CB530" s="16" t="str">
        <f t="shared" si="242"/>
        <v/>
      </c>
      <c r="CC530" s="16" t="e">
        <f>IF(CB530="",NA(),COUNTIF(CB530:$CB$704,CB530))</f>
        <v>#N/A</v>
      </c>
      <c r="CD530" s="16" t="e">
        <f t="shared" si="243"/>
        <v>#N/A</v>
      </c>
      <c r="CE530" s="16" t="e">
        <f t="shared" si="244"/>
        <v>#N/A</v>
      </c>
      <c r="CF530" s="16">
        <f t="shared" si="245"/>
        <v>99</v>
      </c>
      <c r="CG530" s="16">
        <f t="shared" si="246"/>
        <v>0</v>
      </c>
      <c r="CH530" s="16">
        <f t="shared" si="272"/>
        <v>0</v>
      </c>
      <c r="CJ530" s="16" t="e">
        <f t="shared" si="247"/>
        <v>#N/A</v>
      </c>
      <c r="CK530" s="16" t="str">
        <f t="shared" si="248"/>
        <v/>
      </c>
    </row>
    <row r="531" spans="1:89" ht="12" customHeight="1">
      <c r="A531" s="211"/>
      <c r="B531" s="211"/>
      <c r="C531" s="211"/>
      <c r="D531" s="211"/>
      <c r="E531" s="211"/>
      <c r="F531" s="211"/>
      <c r="G531" s="211"/>
      <c r="H531" s="211"/>
      <c r="I531" s="211"/>
      <c r="J531" s="211"/>
      <c r="K531" s="211"/>
      <c r="L531" s="211"/>
      <c r="M531" s="211"/>
      <c r="N531" s="211"/>
      <c r="O531" s="211"/>
      <c r="BU531" s="16">
        <f t="shared" si="249"/>
        <v>0</v>
      </c>
      <c r="BV531" s="16">
        <f>IF($BY$12=1,NORMDIST(BY531,$Y$6,$Y$8,TRUE),IF($BY$12=2,IF(BY531&lt;=$BX$31,0,IF(BY531&gt;=$BX$32,1,(BY531-$BX$31)*$BX$33)),SUM($BU$42:BU531)/$BV$40))</f>
        <v>0.47806923189718498</v>
      </c>
      <c r="BW531" s="16">
        <f t="shared" si="250"/>
        <v>0.97393967723823072</v>
      </c>
      <c r="BX531" s="16">
        <f>IF($BY$12&lt;3,BV531,SUM($BZ$42:BZ531)/$BX$40)</f>
        <v>0.47806923189718498</v>
      </c>
      <c r="BY531" s="16">
        <f t="shared" si="240"/>
        <v>48.900000000000425</v>
      </c>
      <c r="BZ531" s="16">
        <f t="shared" si="241"/>
        <v>1.9916966814687572E-2</v>
      </c>
      <c r="CA531" s="16">
        <f t="shared" si="251"/>
        <v>-999</v>
      </c>
      <c r="CB531" s="16" t="str">
        <f t="shared" si="242"/>
        <v/>
      </c>
      <c r="CC531" s="16" t="e">
        <f>IF(CB531="",NA(),COUNTIF(CB531:$CB$704,CB531))</f>
        <v>#N/A</v>
      </c>
      <c r="CD531" s="16" t="e">
        <f t="shared" si="243"/>
        <v>#N/A</v>
      </c>
      <c r="CE531" s="16" t="e">
        <f t="shared" si="244"/>
        <v>#N/A</v>
      </c>
      <c r="CF531" s="16">
        <f t="shared" si="245"/>
        <v>99</v>
      </c>
      <c r="CG531" s="16">
        <f t="shared" si="246"/>
        <v>0</v>
      </c>
      <c r="CH531" s="16">
        <f t="shared" si="272"/>
        <v>0</v>
      </c>
      <c r="CJ531" s="16" t="e">
        <f t="shared" si="247"/>
        <v>#N/A</v>
      </c>
      <c r="CK531" s="16" t="str">
        <f t="shared" si="248"/>
        <v/>
      </c>
    </row>
    <row r="532" spans="1:89" ht="12" customHeight="1">
      <c r="A532" s="211"/>
      <c r="B532" s="211"/>
      <c r="C532" s="211"/>
      <c r="D532" s="211"/>
      <c r="E532" s="211"/>
      <c r="F532" s="211"/>
      <c r="G532" s="211"/>
      <c r="H532" s="211"/>
      <c r="I532" s="211"/>
      <c r="J532" s="211"/>
      <c r="K532" s="211"/>
      <c r="L532" s="211"/>
      <c r="M532" s="211"/>
      <c r="N532" s="211"/>
      <c r="O532" s="211"/>
      <c r="BU532" s="16">
        <f t="shared" si="249"/>
        <v>0</v>
      </c>
      <c r="BV532" s="16">
        <f>IF($BY$12=1,NORMDIST(BY532,$Y$6,$Y$8,TRUE),IF($BY$12=2,IF(BY532&lt;=$BX$31,0,IF(BY532&gt;=$BX$32,1,(BY532-$BX$31)*$BX$33)),SUM($BU$42:BU532)/$BV$40))</f>
        <v>0.48006119416163606</v>
      </c>
      <c r="BW532" s="16">
        <f t="shared" si="250"/>
        <v>0.97618758953218121</v>
      </c>
      <c r="BX532" s="16">
        <f>IF($BY$12&lt;3,BV532,SUM($BZ$42:BZ532)/$BX$40)</f>
        <v>0.48006119416163606</v>
      </c>
      <c r="BY532" s="16">
        <f t="shared" si="240"/>
        <v>49.000000000000426</v>
      </c>
      <c r="BZ532" s="16">
        <f t="shared" si="241"/>
        <v>1.9922195704738219E-2</v>
      </c>
      <c r="CA532" s="16">
        <f t="shared" si="251"/>
        <v>-999</v>
      </c>
      <c r="CB532" s="16" t="str">
        <f t="shared" si="242"/>
        <v/>
      </c>
      <c r="CC532" s="16" t="e">
        <f>IF(CB532="",NA(),COUNTIF(CB532:$CB$704,CB532))</f>
        <v>#N/A</v>
      </c>
      <c r="CD532" s="16" t="e">
        <f t="shared" si="243"/>
        <v>#N/A</v>
      </c>
      <c r="CE532" s="16" t="e">
        <f t="shared" si="244"/>
        <v>#N/A</v>
      </c>
      <c r="CF532" s="16">
        <f t="shared" si="245"/>
        <v>99</v>
      </c>
      <c r="CG532" s="16">
        <f t="shared" si="246"/>
        <v>0</v>
      </c>
      <c r="CH532" s="16">
        <f t="shared" si="272"/>
        <v>0</v>
      </c>
      <c r="CJ532" s="16" t="e">
        <f t="shared" si="247"/>
        <v>#N/A</v>
      </c>
      <c r="CK532" s="16" t="str">
        <f t="shared" si="248"/>
        <v/>
      </c>
    </row>
    <row r="533" spans="1:89" ht="12" customHeight="1">
      <c r="A533" s="211"/>
      <c r="B533" s="211"/>
      <c r="C533" s="211"/>
      <c r="D533" s="211"/>
      <c r="E533" s="211"/>
      <c r="F533" s="211"/>
      <c r="G533" s="211"/>
      <c r="H533" s="211"/>
      <c r="I533" s="211"/>
      <c r="J533" s="211"/>
      <c r="K533" s="211"/>
      <c r="L533" s="211"/>
      <c r="M533" s="211"/>
      <c r="N533" s="211"/>
      <c r="O533" s="211"/>
      <c r="BU533" s="16">
        <f t="shared" si="249"/>
        <v>0</v>
      </c>
      <c r="BV533" s="16">
        <f>IF($BY$12=1,NORMDIST(BY533,$Y$6,$Y$8,TRUE),IF($BY$12=2,IF(BY533&lt;=$BX$31,0,IF(BY533&gt;=$BX$32,1,(BY533-$BX$31)*$BX$33)),SUM($BU$42:BU533)/$BV$40))</f>
        <v>0.48205365447786941</v>
      </c>
      <c r="BW533" s="16">
        <f t="shared" si="250"/>
        <v>0.97841215439722851</v>
      </c>
      <c r="BX533" s="16">
        <f>IF($BY$12&lt;3,BV533,SUM($BZ$42:BZ533)/$BX$40)</f>
        <v>0.48205365447786941</v>
      </c>
      <c r="BY533" s="16">
        <f t="shared" si="240"/>
        <v>49.100000000000428</v>
      </c>
      <c r="BZ533" s="16">
        <f t="shared" si="241"/>
        <v>1.9926927788130752E-2</v>
      </c>
      <c r="CA533" s="16">
        <f t="shared" si="251"/>
        <v>-999</v>
      </c>
      <c r="CB533" s="16" t="str">
        <f t="shared" si="242"/>
        <v/>
      </c>
      <c r="CC533" s="16" t="e">
        <f>IF(CB533="",NA(),COUNTIF(CB533:$CB$704,CB533))</f>
        <v>#N/A</v>
      </c>
      <c r="CD533" s="16" t="e">
        <f t="shared" si="243"/>
        <v>#N/A</v>
      </c>
      <c r="CE533" s="16" t="e">
        <f t="shared" si="244"/>
        <v>#N/A</v>
      </c>
      <c r="CF533" s="16">
        <f t="shared" si="245"/>
        <v>99</v>
      </c>
      <c r="CG533" s="16">
        <f t="shared" si="246"/>
        <v>0</v>
      </c>
      <c r="CH533" s="16">
        <f t="shared" si="272"/>
        <v>0</v>
      </c>
      <c r="CJ533" s="16" t="e">
        <f t="shared" si="247"/>
        <v>#N/A</v>
      </c>
      <c r="CK533" s="16" t="str">
        <f t="shared" si="248"/>
        <v/>
      </c>
    </row>
    <row r="534" spans="1:89" ht="12" customHeight="1">
      <c r="A534" s="211"/>
      <c r="B534" s="211"/>
      <c r="C534" s="211"/>
      <c r="D534" s="211"/>
      <c r="E534" s="211"/>
      <c r="F534" s="211"/>
      <c r="G534" s="211"/>
      <c r="H534" s="211"/>
      <c r="I534" s="211"/>
      <c r="J534" s="211"/>
      <c r="K534" s="211"/>
      <c r="L534" s="211"/>
      <c r="M534" s="211"/>
      <c r="N534" s="211"/>
      <c r="O534" s="211"/>
      <c r="BU534" s="16">
        <f t="shared" si="249"/>
        <v>0</v>
      </c>
      <c r="BV534" s="16">
        <f>IF($BY$12=1,NORMDIST(BY534,$Y$6,$Y$8,TRUE),IF($BY$12=2,IF(BY534&lt;=$BX$31,0,IF(BY534&gt;=$BX$32,1,(BY534-$BX$31)*$BX$33)),SUM($BU$42:BU534)/$BV$40))</f>
        <v>0.48404656314717776</v>
      </c>
      <c r="BW534" s="16">
        <f t="shared" si="250"/>
        <v>0.98061320534333762</v>
      </c>
      <c r="BX534" s="16">
        <f>IF($BY$12&lt;3,BV534,SUM($BZ$42:BZ534)/$BX$40)</f>
        <v>0.48404656314717776</v>
      </c>
      <c r="BY534" s="16">
        <f t="shared" ref="BY534:BY597" si="273">BY533+$BZ$1</f>
        <v>49.200000000000429</v>
      </c>
      <c r="BZ534" s="16">
        <f t="shared" si="241"/>
        <v>1.9931162710230266E-2</v>
      </c>
      <c r="CA534" s="16">
        <f t="shared" si="251"/>
        <v>-999</v>
      </c>
      <c r="CB534" s="16" t="str">
        <f t="shared" si="242"/>
        <v/>
      </c>
      <c r="CC534" s="16" t="e">
        <f>IF(CB534="",NA(),COUNTIF(CB534:$CB$704,CB534))</f>
        <v>#N/A</v>
      </c>
      <c r="CD534" s="16" t="e">
        <f t="shared" si="243"/>
        <v>#N/A</v>
      </c>
      <c r="CE534" s="16" t="e">
        <f t="shared" si="244"/>
        <v>#N/A</v>
      </c>
      <c r="CF534" s="16">
        <f t="shared" si="245"/>
        <v>99</v>
      </c>
      <c r="CG534" s="16">
        <f t="shared" si="246"/>
        <v>0</v>
      </c>
      <c r="CH534" s="16">
        <f t="shared" si="272"/>
        <v>0</v>
      </c>
      <c r="CJ534" s="16" t="e">
        <f t="shared" si="247"/>
        <v>#N/A</v>
      </c>
      <c r="CK534" s="16" t="str">
        <f t="shared" si="248"/>
        <v/>
      </c>
    </row>
    <row r="535" spans="1:89" ht="12" customHeight="1">
      <c r="A535" s="211"/>
      <c r="B535" s="211"/>
      <c r="C535" s="211"/>
      <c r="D535" s="211"/>
      <c r="E535" s="211"/>
      <c r="F535" s="211"/>
      <c r="G535" s="211"/>
      <c r="H535" s="211"/>
      <c r="I535" s="211"/>
      <c r="J535" s="211"/>
      <c r="K535" s="211"/>
      <c r="L535" s="211"/>
      <c r="M535" s="211"/>
      <c r="N535" s="211"/>
      <c r="O535" s="211"/>
      <c r="BU535" s="16">
        <f t="shared" si="249"/>
        <v>0</v>
      </c>
      <c r="BV535" s="16">
        <f>IF($BY$12=1,NORMDIST(BY535,$Y$6,$Y$8,TRUE),IF($BY$12=2,IF(BY535&lt;=$BX$31,0,IF(BY535&gt;=$BX$32,1,(BY535-$BX$31)*$BX$33)),SUM($BU$42:BU535)/$BV$40))</f>
        <v>0.48603987043725028</v>
      </c>
      <c r="BW535" s="16">
        <f t="shared" si="250"/>
        <v>0.98279057757311949</v>
      </c>
      <c r="BX535" s="16">
        <f>IF($BY$12&lt;3,BV535,SUM($BZ$42:BZ535)/$BX$40)</f>
        <v>0.48603987043725028</v>
      </c>
      <c r="BY535" s="16">
        <f t="shared" si="273"/>
        <v>49.300000000000431</v>
      </c>
      <c r="BZ535" s="16">
        <f t="shared" si="241"/>
        <v>1.9934900153612798E-2</v>
      </c>
      <c r="CA535" s="16">
        <f t="shared" si="251"/>
        <v>-999</v>
      </c>
      <c r="CB535" s="16" t="str">
        <f t="shared" si="242"/>
        <v/>
      </c>
      <c r="CC535" s="16" t="e">
        <f>IF(CB535="",NA(),COUNTIF(CB535:$CB$704,CB535))</f>
        <v>#N/A</v>
      </c>
      <c r="CD535" s="16" t="e">
        <f t="shared" si="243"/>
        <v>#N/A</v>
      </c>
      <c r="CE535" s="16" t="e">
        <f t="shared" si="244"/>
        <v>#N/A</v>
      </c>
      <c r="CF535" s="16">
        <f t="shared" si="245"/>
        <v>99</v>
      </c>
      <c r="CG535" s="16">
        <f t="shared" si="246"/>
        <v>0</v>
      </c>
      <c r="CH535" s="16">
        <f t="shared" si="272"/>
        <v>0</v>
      </c>
      <c r="CJ535" s="16" t="e">
        <f t="shared" si="247"/>
        <v>#N/A</v>
      </c>
      <c r="CK535" s="16" t="str">
        <f t="shared" si="248"/>
        <v/>
      </c>
    </row>
    <row r="536" spans="1:89" ht="12" customHeight="1">
      <c r="A536" s="211"/>
      <c r="B536" s="211"/>
      <c r="C536" s="211"/>
      <c r="D536" s="211"/>
      <c r="E536" s="211"/>
      <c r="F536" s="211"/>
      <c r="G536" s="211"/>
      <c r="H536" s="211"/>
      <c r="I536" s="211"/>
      <c r="J536" s="211"/>
      <c r="K536" s="211"/>
      <c r="L536" s="211"/>
      <c r="M536" s="211"/>
      <c r="N536" s="211"/>
      <c r="O536" s="211"/>
      <c r="BU536" s="16">
        <f t="shared" si="249"/>
        <v>0</v>
      </c>
      <c r="BV536" s="16">
        <f>IF($BY$12=1,NORMDIST(BY536,$Y$6,$Y$8,TRUE),IF($BY$12=2,IF(BY536&lt;=$BX$31,0,IF(BY536&gt;=$BX$32,1,(BY536-$BX$31)*$BX$33)),SUM($BU$42:BU536)/$BV$40))</f>
        <v>0.48803352658589594</v>
      </c>
      <c r="BW536" s="16">
        <f t="shared" si="250"/>
        <v>0.9849441080023954</v>
      </c>
      <c r="BX536" s="16">
        <f>IF($BY$12&lt;3,BV536,SUM($BZ$42:BZ536)/$BX$40)</f>
        <v>0.48803352658589594</v>
      </c>
      <c r="BY536" s="16">
        <f t="shared" si="273"/>
        <v>49.400000000000432</v>
      </c>
      <c r="BZ536" s="16">
        <f t="shared" si="241"/>
        <v>1.9938139838104996E-2</v>
      </c>
      <c r="CA536" s="16">
        <f t="shared" si="251"/>
        <v>-999</v>
      </c>
      <c r="CB536" s="16" t="str">
        <f t="shared" si="242"/>
        <v/>
      </c>
      <c r="CC536" s="16" t="e">
        <f>IF(CB536="",NA(),COUNTIF(CB536:$CB$704,CB536))</f>
        <v>#N/A</v>
      </c>
      <c r="CD536" s="16" t="e">
        <f t="shared" si="243"/>
        <v>#N/A</v>
      </c>
      <c r="CE536" s="16" t="e">
        <f t="shared" si="244"/>
        <v>#N/A</v>
      </c>
      <c r="CF536" s="16">
        <f t="shared" si="245"/>
        <v>99</v>
      </c>
      <c r="CG536" s="16">
        <f t="shared" si="246"/>
        <v>0</v>
      </c>
      <c r="CH536" s="16">
        <f t="shared" si="272"/>
        <v>0</v>
      </c>
      <c r="CJ536" s="16" t="e">
        <f t="shared" si="247"/>
        <v>#N/A</v>
      </c>
      <c r="CK536" s="16" t="str">
        <f t="shared" si="248"/>
        <v/>
      </c>
    </row>
    <row r="537" spans="1:89" ht="12" customHeight="1">
      <c r="A537" s="211"/>
      <c r="B537" s="211"/>
      <c r="C537" s="211"/>
      <c r="D537" s="211"/>
      <c r="E537" s="211"/>
      <c r="F537" s="211"/>
      <c r="G537" s="211"/>
      <c r="H537" s="211"/>
      <c r="I537" s="211"/>
      <c r="J537" s="211"/>
      <c r="K537" s="211"/>
      <c r="L537" s="211"/>
      <c r="M537" s="211"/>
      <c r="N537" s="211"/>
      <c r="O537" s="211"/>
      <c r="BU537" s="16">
        <f t="shared" si="249"/>
        <v>0</v>
      </c>
      <c r="BV537" s="16">
        <f>IF($BY$12=1,NORMDIST(BY537,$Y$6,$Y$8,TRUE),IF($BY$12=2,IF(BY537&lt;=$BX$31,0,IF(BY537&gt;=$BX$32,1,(BY537-$BX$31)*$BX$33)),SUM($BU$42:BU537)/$BV$40))</f>
        <v>0.49002748180477063</v>
      </c>
      <c r="BW537" s="16">
        <f t="shared" si="250"/>
        <v>0.98707363528055414</v>
      </c>
      <c r="BX537" s="16">
        <f>IF($BY$12&lt;3,BV537,SUM($BZ$42:BZ537)/$BX$40)</f>
        <v>0.49002748180477063</v>
      </c>
      <c r="BY537" s="16">
        <f t="shared" si="273"/>
        <v>49.500000000000433</v>
      </c>
      <c r="BZ537" s="16">
        <f t="shared" si="241"/>
        <v>1.99408815208191E-2</v>
      </c>
      <c r="CA537" s="16">
        <f t="shared" si="251"/>
        <v>-999</v>
      </c>
      <c r="CB537" s="16" t="str">
        <f t="shared" si="242"/>
        <v/>
      </c>
      <c r="CC537" s="16" t="e">
        <f>IF(CB537="",NA(),COUNTIF(CB537:$CB$704,CB537))</f>
        <v>#N/A</v>
      </c>
      <c r="CD537" s="16" t="e">
        <f t="shared" si="243"/>
        <v>#N/A</v>
      </c>
      <c r="CE537" s="16" t="e">
        <f t="shared" si="244"/>
        <v>#N/A</v>
      </c>
      <c r="CF537" s="16">
        <f t="shared" si="245"/>
        <v>99</v>
      </c>
      <c r="CG537" s="16">
        <f t="shared" si="246"/>
        <v>0</v>
      </c>
      <c r="CH537" s="16">
        <f t="shared" si="272"/>
        <v>0</v>
      </c>
      <c r="CJ537" s="16" t="e">
        <f t="shared" si="247"/>
        <v>#N/A</v>
      </c>
      <c r="CK537" s="16" t="str">
        <f t="shared" si="248"/>
        <v/>
      </c>
    </row>
    <row r="538" spans="1:89" ht="12" customHeight="1">
      <c r="A538" s="211"/>
      <c r="B538" s="211"/>
      <c r="C538" s="211"/>
      <c r="D538" s="211"/>
      <c r="E538" s="211"/>
      <c r="F538" s="211"/>
      <c r="G538" s="211"/>
      <c r="H538" s="211"/>
      <c r="I538" s="211"/>
      <c r="J538" s="211"/>
      <c r="K538" s="211"/>
      <c r="L538" s="211"/>
      <c r="M538" s="211"/>
      <c r="N538" s="211"/>
      <c r="O538" s="211"/>
      <c r="BU538" s="16">
        <f t="shared" si="249"/>
        <v>0</v>
      </c>
      <c r="BV538" s="16">
        <f>IF($BY$12=1,NORMDIST(BY538,$Y$6,$Y$8,TRUE),IF($BY$12=2,IF(BY538&lt;=$BX$31,0,IF(BY538&gt;=$BX$32,1,(BY538-$BX$31)*$BX$33)),SUM($BU$42:BU538)/$BV$40))</f>
        <v>0.49202168628310672</v>
      </c>
      <c r="BW538" s="16">
        <f t="shared" si="250"/>
        <v>0.98917899981070101</v>
      </c>
      <c r="BX538" s="16">
        <f>IF($BY$12&lt;3,BV538,SUM($BZ$42:BZ538)/$BX$40)</f>
        <v>0.49202168628310672</v>
      </c>
      <c r="BY538" s="16">
        <f t="shared" si="273"/>
        <v>49.600000000000435</v>
      </c>
      <c r="BZ538" s="16">
        <f t="shared" si="241"/>
        <v>1.9943124996183312E-2</v>
      </c>
      <c r="CA538" s="16">
        <f t="shared" si="251"/>
        <v>-999</v>
      </c>
      <c r="CB538" s="16" t="str">
        <f t="shared" si="242"/>
        <v/>
      </c>
      <c r="CC538" s="16" t="e">
        <f>IF(CB538="",NA(),COUNTIF(CB538:$CB$704,CB538))</f>
        <v>#N/A</v>
      </c>
      <c r="CD538" s="16" t="e">
        <f t="shared" si="243"/>
        <v>#N/A</v>
      </c>
      <c r="CE538" s="16" t="e">
        <f t="shared" si="244"/>
        <v>#N/A</v>
      </c>
      <c r="CF538" s="16">
        <f t="shared" si="245"/>
        <v>99</v>
      </c>
      <c r="CG538" s="16">
        <f t="shared" si="246"/>
        <v>0</v>
      </c>
      <c r="CH538" s="16">
        <f t="shared" si="272"/>
        <v>0</v>
      </c>
      <c r="CJ538" s="16" t="e">
        <f t="shared" si="247"/>
        <v>#N/A</v>
      </c>
      <c r="CK538" s="16" t="str">
        <f t="shared" si="248"/>
        <v/>
      </c>
    </row>
    <row r="539" spans="1:89" ht="12" customHeight="1">
      <c r="A539" s="211"/>
      <c r="B539" s="211"/>
      <c r="C539" s="211"/>
      <c r="D539" s="211"/>
      <c r="E539" s="211"/>
      <c r="F539" s="211"/>
      <c r="G539" s="211"/>
      <c r="H539" s="211"/>
      <c r="I539" s="211"/>
      <c r="J539" s="211"/>
      <c r="K539" s="211"/>
      <c r="L539" s="211"/>
      <c r="M539" s="211"/>
      <c r="N539" s="211"/>
      <c r="O539" s="211"/>
      <c r="BU539" s="16">
        <f t="shared" si="249"/>
        <v>0</v>
      </c>
      <c r="BV539" s="16">
        <f>IF($BY$12=1,NORMDIST(BY539,$Y$6,$Y$8,TRUE),IF($BY$12=2,IF(BY539&lt;=$BX$31,0,IF(BY539&gt;=$BX$32,1,(BY539-$BX$31)*$BX$33)),SUM($BU$42:BU539)/$BV$40))</f>
        <v>0.49401609019144643</v>
      </c>
      <c r="BW539" s="16">
        <f t="shared" si="250"/>
        <v>0.99126004376959242</v>
      </c>
      <c r="BX539" s="16">
        <f>IF($BY$12&lt;3,BV539,SUM($BZ$42:BZ539)/$BX$40)</f>
        <v>0.49401609019144643</v>
      </c>
      <c r="BY539" s="16">
        <f t="shared" si="273"/>
        <v>49.700000000000436</v>
      </c>
      <c r="BZ539" s="16">
        <f t="shared" si="241"/>
        <v>1.994487009596748E-2</v>
      </c>
      <c r="CA539" s="16">
        <f t="shared" si="251"/>
        <v>-999</v>
      </c>
      <c r="CB539" s="16" t="str">
        <f t="shared" si="242"/>
        <v/>
      </c>
      <c r="CC539" s="16" t="e">
        <f>IF(CB539="",NA(),COUNTIF(CB539:$CB$704,CB539))</f>
        <v>#N/A</v>
      </c>
      <c r="CD539" s="16" t="e">
        <f t="shared" si="243"/>
        <v>#N/A</v>
      </c>
      <c r="CE539" s="16" t="e">
        <f t="shared" si="244"/>
        <v>#N/A</v>
      </c>
      <c r="CF539" s="16">
        <f t="shared" si="245"/>
        <v>99</v>
      </c>
      <c r="CG539" s="16">
        <f t="shared" si="246"/>
        <v>0</v>
      </c>
      <c r="CH539" s="16">
        <f t="shared" si="272"/>
        <v>0</v>
      </c>
      <c r="CJ539" s="16" t="e">
        <f t="shared" si="247"/>
        <v>#N/A</v>
      </c>
      <c r="CK539" s="16" t="str">
        <f t="shared" si="248"/>
        <v/>
      </c>
    </row>
    <row r="540" spans="1:89" ht="12" customHeight="1">
      <c r="A540" s="211"/>
      <c r="B540" s="211"/>
      <c r="C540" s="211"/>
      <c r="D540" s="211"/>
      <c r="E540" s="211"/>
      <c r="F540" s="211"/>
      <c r="G540" s="211"/>
      <c r="H540" s="211"/>
      <c r="I540" s="211"/>
      <c r="J540" s="211"/>
      <c r="K540" s="211"/>
      <c r="L540" s="211"/>
      <c r="M540" s="211"/>
      <c r="N540" s="211"/>
      <c r="O540" s="211"/>
      <c r="BU540" s="16">
        <f t="shared" si="249"/>
        <v>0</v>
      </c>
      <c r="BV540" s="16">
        <f>IF($BY$12=1,NORMDIST(BY540,$Y$6,$Y$8,TRUE),IF($BY$12=2,IF(BY540&lt;=$BX$31,0,IF(BY540&gt;=$BX$32,1,(BY540-$BX$31)*$BX$33)),SUM($BU$42:BU540)/$BV$40))</f>
        <v>0.49601064368537717</v>
      </c>
      <c r="BW540" s="16">
        <f t="shared" si="250"/>
        <v>0.99331661112735326</v>
      </c>
      <c r="BX540" s="16">
        <f>IF($BY$12&lt;3,BV540,SUM($BZ$42:BZ540)/$BX$40)</f>
        <v>0.49601064368537717</v>
      </c>
      <c r="BY540" s="16">
        <f t="shared" si="273"/>
        <v>49.800000000000438</v>
      </c>
      <c r="BZ540" s="16">
        <f t="shared" si="241"/>
        <v>1.9946116689304107E-2</v>
      </c>
      <c r="CA540" s="16">
        <f t="shared" si="251"/>
        <v>-999</v>
      </c>
      <c r="CB540" s="16" t="str">
        <f t="shared" si="242"/>
        <v/>
      </c>
      <c r="CC540" s="16" t="e">
        <f>IF(CB540="",NA(),COUNTIF(CB540:$CB$704,CB540))</f>
        <v>#N/A</v>
      </c>
      <c r="CD540" s="16" t="e">
        <f t="shared" si="243"/>
        <v>#N/A</v>
      </c>
      <c r="CE540" s="16" t="e">
        <f t="shared" si="244"/>
        <v>#N/A</v>
      </c>
      <c r="CF540" s="16">
        <f t="shared" si="245"/>
        <v>99</v>
      </c>
      <c r="CG540" s="16">
        <f t="shared" si="246"/>
        <v>0</v>
      </c>
      <c r="CH540" s="16">
        <f t="shared" si="272"/>
        <v>0</v>
      </c>
      <c r="CJ540" s="16" t="e">
        <f t="shared" si="247"/>
        <v>#N/A</v>
      </c>
      <c r="CK540" s="16" t="str">
        <f t="shared" si="248"/>
        <v/>
      </c>
    </row>
    <row r="541" spans="1:89" ht="12" customHeight="1">
      <c r="A541" s="211"/>
      <c r="B541" s="211"/>
      <c r="C541" s="211"/>
      <c r="D541" s="211"/>
      <c r="E541" s="211"/>
      <c r="F541" s="211"/>
      <c r="G541" s="211"/>
      <c r="H541" s="211"/>
      <c r="I541" s="211"/>
      <c r="J541" s="211"/>
      <c r="K541" s="211"/>
      <c r="L541" s="211"/>
      <c r="M541" s="211"/>
      <c r="N541" s="211"/>
      <c r="O541" s="211"/>
      <c r="BU541" s="16">
        <f t="shared" si="249"/>
        <v>0</v>
      </c>
      <c r="BV541" s="16">
        <f>IF($BY$12=1,NORMDIST(BY541,$Y$6,$Y$8,TRUE),IF($BY$12=2,IF(BY541&lt;=$BX$31,0,IF(BY541&gt;=$BX$32,1,(BY541-$BX$31)*$BX$33)),SUM($BU$42:BU541)/$BV$40))</f>
        <v>0.49800529690926798</v>
      </c>
      <c r="BW541" s="16">
        <f t="shared" si="250"/>
        <v>0.99534854766697556</v>
      </c>
      <c r="BX541" s="16">
        <f>IF($BY$12&lt;3,BV541,SUM($BZ$42:BZ541)/$BX$40)</f>
        <v>0.49800529690926798</v>
      </c>
      <c r="BY541" s="16">
        <f t="shared" si="273"/>
        <v>49.900000000000439</v>
      </c>
      <c r="BZ541" s="16">
        <f t="shared" si="241"/>
        <v>1.9946864682704745E-2</v>
      </c>
      <c r="CA541" s="16">
        <f t="shared" si="251"/>
        <v>-999</v>
      </c>
      <c r="CB541" s="16" t="str">
        <f t="shared" si="242"/>
        <v/>
      </c>
      <c r="CC541" s="16" t="e">
        <f>IF(CB541="",NA(),COUNTIF(CB541:$CB$704,CB541))</f>
        <v>#N/A</v>
      </c>
      <c r="CD541" s="16" t="e">
        <f t="shared" si="243"/>
        <v>#N/A</v>
      </c>
      <c r="CE541" s="16" t="e">
        <f t="shared" si="244"/>
        <v>#N/A</v>
      </c>
      <c r="CF541" s="16">
        <f t="shared" si="245"/>
        <v>99</v>
      </c>
      <c r="CG541" s="16">
        <f t="shared" si="246"/>
        <v>0</v>
      </c>
      <c r="CH541" s="16">
        <f t="shared" si="272"/>
        <v>0</v>
      </c>
      <c r="CJ541" s="16" t="e">
        <f t="shared" si="247"/>
        <v>#N/A</v>
      </c>
      <c r="CK541" s="16" t="str">
        <f t="shared" si="248"/>
        <v/>
      </c>
    </row>
    <row r="542" spans="1:89" ht="12" customHeight="1">
      <c r="A542" s="211"/>
      <c r="B542" s="211"/>
      <c r="C542" s="211"/>
      <c r="D542" s="211"/>
      <c r="E542" s="211"/>
      <c r="F542" s="211"/>
      <c r="G542" s="211"/>
      <c r="H542" s="211"/>
      <c r="I542" s="211"/>
      <c r="J542" s="211"/>
      <c r="K542" s="211"/>
      <c r="L542" s="211"/>
      <c r="M542" s="211"/>
      <c r="N542" s="211"/>
      <c r="O542" s="211"/>
      <c r="BU542" s="16">
        <f t="shared" si="249"/>
        <v>0</v>
      </c>
      <c r="BV542" s="16">
        <f>IF($BY$12=1,NORMDIST(BY542,$Y$6,$Y$8,TRUE),IF($BY$12=2,IF(BY542&lt;=$BX$31,0,IF(BY542&gt;=$BX$32,1,(BY542-$BX$31)*$BX$33)),SUM($BU$42:BU542)/$BV$40))</f>
        <v>0.50000000000000877</v>
      </c>
      <c r="BW542" s="16">
        <f t="shared" si="250"/>
        <v>0.9973557010035905</v>
      </c>
      <c r="BX542" s="16">
        <f>IF($BY$12&lt;3,BV542,SUM($BZ$42:BZ542)/$BX$40)</f>
        <v>0.50000000000000877</v>
      </c>
      <c r="BY542" s="16">
        <f t="shared" si="273"/>
        <v>50.000000000000441</v>
      </c>
      <c r="BZ542" s="16">
        <f t="shared" si="241"/>
        <v>1.9947114020071634E-2</v>
      </c>
      <c r="CA542" s="16">
        <f t="shared" si="251"/>
        <v>-999</v>
      </c>
      <c r="CB542" s="16" t="str">
        <f t="shared" si="242"/>
        <v/>
      </c>
      <c r="CC542" s="16" t="e">
        <f>IF(CB542="",NA(),COUNTIF(CB542:$CB$704,CB542))</f>
        <v>#N/A</v>
      </c>
      <c r="CD542" s="16" t="e">
        <f t="shared" si="243"/>
        <v>#N/A</v>
      </c>
      <c r="CE542" s="16" t="e">
        <f t="shared" si="244"/>
        <v>#N/A</v>
      </c>
      <c r="CF542" s="16">
        <f t="shared" si="245"/>
        <v>99</v>
      </c>
      <c r="CG542" s="16">
        <f t="shared" si="246"/>
        <v>0</v>
      </c>
      <c r="CH542" s="16">
        <f t="shared" si="272"/>
        <v>0</v>
      </c>
      <c r="CJ542" s="16" t="e">
        <f t="shared" si="247"/>
        <v>#N/A</v>
      </c>
      <c r="CK542" s="16" t="str">
        <f t="shared" si="248"/>
        <v/>
      </c>
    </row>
    <row r="543" spans="1:89" ht="12" customHeight="1">
      <c r="A543" s="211"/>
      <c r="B543" s="211"/>
      <c r="C543" s="211"/>
      <c r="D543" s="211"/>
      <c r="E543" s="211"/>
      <c r="F543" s="211"/>
      <c r="G543" s="211"/>
      <c r="H543" s="211"/>
      <c r="I543" s="211"/>
      <c r="J543" s="211"/>
      <c r="K543" s="211"/>
      <c r="L543" s="211"/>
      <c r="M543" s="211"/>
      <c r="N543" s="211"/>
      <c r="O543" s="211"/>
      <c r="BU543" s="16">
        <f t="shared" si="249"/>
        <v>0</v>
      </c>
      <c r="BV543" s="16">
        <f>IF($BY$12=1,NORMDIST(BY543,$Y$6,$Y$8,TRUE),IF($BY$12=2,IF(BY543&lt;=$BX$31,0,IF(BY543&gt;=$BX$32,1,(BY543-$BX$31)*$BX$33)),SUM($BU$42:BU543)/$BV$40))</f>
        <v>0.50199470309074967</v>
      </c>
      <c r="BW543" s="16">
        <f t="shared" si="250"/>
        <v>0.99933792060351634</v>
      </c>
      <c r="BX543" s="16">
        <f>IF($BY$12&lt;3,BV543,SUM($BZ$42:BZ543)/$BX$40)</f>
        <v>0.50199470309074967</v>
      </c>
      <c r="BY543" s="16">
        <f t="shared" si="273"/>
        <v>50.100000000000442</v>
      </c>
      <c r="BZ543" s="16">
        <f t="shared" si="241"/>
        <v>1.9946864682704742E-2</v>
      </c>
      <c r="CA543" s="16">
        <f t="shared" si="251"/>
        <v>-999</v>
      </c>
      <c r="CB543" s="16" t="str">
        <f t="shared" si="242"/>
        <v/>
      </c>
      <c r="CC543" s="16" t="e">
        <f>IF(CB543="",NA(),COUNTIF(CB543:$CB$704,CB543))</f>
        <v>#N/A</v>
      </c>
      <c r="CD543" s="16" t="e">
        <f t="shared" si="243"/>
        <v>#N/A</v>
      </c>
      <c r="CE543" s="16" t="e">
        <f t="shared" si="244"/>
        <v>#N/A</v>
      </c>
      <c r="CF543" s="16">
        <f t="shared" si="245"/>
        <v>99</v>
      </c>
      <c r="CG543" s="16">
        <f t="shared" si="246"/>
        <v>0</v>
      </c>
      <c r="CH543" s="16">
        <f t="shared" si="272"/>
        <v>0</v>
      </c>
      <c r="CJ543" s="16" t="e">
        <f t="shared" si="247"/>
        <v>#N/A</v>
      </c>
      <c r="CK543" s="16" t="str">
        <f t="shared" si="248"/>
        <v/>
      </c>
    </row>
    <row r="544" spans="1:89" ht="12" customHeight="1">
      <c r="A544" s="211"/>
      <c r="B544" s="211"/>
      <c r="C544" s="211"/>
      <c r="D544" s="211"/>
      <c r="E544" s="211"/>
      <c r="F544" s="211"/>
      <c r="G544" s="211"/>
      <c r="H544" s="211"/>
      <c r="I544" s="211"/>
      <c r="J544" s="211"/>
      <c r="K544" s="211"/>
      <c r="L544" s="211"/>
      <c r="M544" s="211"/>
      <c r="N544" s="211"/>
      <c r="O544" s="211"/>
      <c r="BU544" s="16">
        <f t="shared" si="249"/>
        <v>0</v>
      </c>
      <c r="BV544" s="16">
        <f>IF($BY$12=1,NORMDIST(BY544,$Y$6,$Y$8,TRUE),IF($BY$12=2,IF(BY544&lt;=$BX$31,0,IF(BY544&gt;=$BX$32,1,(BY544-$BX$31)*$BX$33)),SUM($BU$42:BU544)/$BV$40))</f>
        <v>0.50398935631464048</v>
      </c>
      <c r="BW544" s="16">
        <f t="shared" si="250"/>
        <v>1.0012950578030746</v>
      </c>
      <c r="BX544" s="16">
        <f>IF($BY$12&lt;3,BV544,SUM($BZ$42:BZ544)/$BX$40)</f>
        <v>0.50398935631464048</v>
      </c>
      <c r="BY544" s="16">
        <f t="shared" si="273"/>
        <v>50.200000000000443</v>
      </c>
      <c r="BZ544" s="16">
        <f t="shared" si="241"/>
        <v>1.99461166893041E-2</v>
      </c>
      <c r="CA544" s="16">
        <f t="shared" si="251"/>
        <v>-999</v>
      </c>
      <c r="CB544" s="16" t="str">
        <f t="shared" si="242"/>
        <v/>
      </c>
      <c r="CC544" s="16" t="e">
        <f>IF(CB544="",NA(),COUNTIF(CB544:$CB$704,CB544))</f>
        <v>#N/A</v>
      </c>
      <c r="CD544" s="16" t="e">
        <f t="shared" si="243"/>
        <v>#N/A</v>
      </c>
      <c r="CE544" s="16" t="e">
        <f t="shared" si="244"/>
        <v>#N/A</v>
      </c>
      <c r="CF544" s="16">
        <f t="shared" si="245"/>
        <v>99</v>
      </c>
      <c r="CG544" s="16">
        <f t="shared" si="246"/>
        <v>0</v>
      </c>
      <c r="CH544" s="16">
        <f t="shared" si="272"/>
        <v>0</v>
      </c>
      <c r="CJ544" s="16" t="e">
        <f t="shared" si="247"/>
        <v>#N/A</v>
      </c>
      <c r="CK544" s="16" t="str">
        <f t="shared" si="248"/>
        <v/>
      </c>
    </row>
    <row r="545" spans="1:89" ht="12" customHeight="1">
      <c r="A545" s="211"/>
      <c r="B545" s="211"/>
      <c r="C545" s="211"/>
      <c r="D545" s="211"/>
      <c r="E545" s="211"/>
      <c r="F545" s="211"/>
      <c r="G545" s="211"/>
      <c r="H545" s="211"/>
      <c r="I545" s="211"/>
      <c r="J545" s="211"/>
      <c r="K545" s="211"/>
      <c r="L545" s="211"/>
      <c r="M545" s="211"/>
      <c r="N545" s="211"/>
      <c r="O545" s="211"/>
      <c r="BU545" s="16">
        <f t="shared" si="249"/>
        <v>0</v>
      </c>
      <c r="BV545" s="16">
        <f>IF($BY$12=1,NORMDIST(BY545,$Y$6,$Y$8,TRUE),IF($BY$12=2,IF(BY545&lt;=$BX$31,0,IF(BY545&gt;=$BX$32,1,(BY545-$BX$31)*$BX$33)),SUM($BU$42:BU545)/$BV$40))</f>
        <v>0.50598390980857111</v>
      </c>
      <c r="BW545" s="16">
        <f t="shared" si="250"/>
        <v>1.0032269658271724</v>
      </c>
      <c r="BX545" s="16">
        <f>IF($BY$12&lt;3,BV545,SUM($BZ$42:BZ545)/$BX$40)</f>
        <v>0.50598390980857111</v>
      </c>
      <c r="BY545" s="16">
        <f t="shared" si="273"/>
        <v>50.300000000000445</v>
      </c>
      <c r="BZ545" s="16">
        <f t="shared" si="241"/>
        <v>1.9944870095967467E-2</v>
      </c>
      <c r="CA545" s="16">
        <f t="shared" si="251"/>
        <v>-999</v>
      </c>
      <c r="CB545" s="16" t="str">
        <f t="shared" si="242"/>
        <v/>
      </c>
      <c r="CC545" s="16" t="e">
        <f>IF(CB545="",NA(),COUNTIF(CB545:$CB$704,CB545))</f>
        <v>#N/A</v>
      </c>
      <c r="CD545" s="16" t="e">
        <f t="shared" si="243"/>
        <v>#N/A</v>
      </c>
      <c r="CE545" s="16" t="e">
        <f t="shared" si="244"/>
        <v>#N/A</v>
      </c>
      <c r="CF545" s="16">
        <f t="shared" si="245"/>
        <v>99</v>
      </c>
      <c r="CG545" s="16">
        <f t="shared" si="246"/>
        <v>0</v>
      </c>
      <c r="CH545" s="16">
        <f t="shared" si="272"/>
        <v>0</v>
      </c>
      <c r="CJ545" s="16" t="e">
        <f t="shared" si="247"/>
        <v>#N/A</v>
      </c>
      <c r="CK545" s="16" t="str">
        <f t="shared" si="248"/>
        <v/>
      </c>
    </row>
    <row r="546" spans="1:89" ht="12" customHeight="1">
      <c r="A546" s="211"/>
      <c r="B546" s="211"/>
      <c r="C546" s="211"/>
      <c r="D546" s="211"/>
      <c r="E546" s="211"/>
      <c r="F546" s="211"/>
      <c r="G546" s="211"/>
      <c r="H546" s="211"/>
      <c r="I546" s="211"/>
      <c r="J546" s="211"/>
      <c r="K546" s="211"/>
      <c r="L546" s="211"/>
      <c r="M546" s="211"/>
      <c r="N546" s="211"/>
      <c r="O546" s="211"/>
      <c r="BU546" s="16">
        <f t="shared" si="249"/>
        <v>0</v>
      </c>
      <c r="BV546" s="16">
        <f>IF($BY$12=1,NORMDIST(BY546,$Y$6,$Y$8,TRUE),IF($BY$12=2,IF(BY546&lt;=$BX$31,0,IF(BY546&gt;=$BX$32,1,(BY546-$BX$31)*$BX$33)),SUM($BU$42:BU546)/$BV$40))</f>
        <v>0.50797831371691093</v>
      </c>
      <c r="BW546" s="16">
        <f t="shared" si="250"/>
        <v>1.0051334998076469</v>
      </c>
      <c r="BX546" s="16">
        <f>IF($BY$12&lt;3,BV546,SUM($BZ$42:BZ546)/$BX$40)</f>
        <v>0.50797831371691093</v>
      </c>
      <c r="BY546" s="16">
        <f t="shared" si="273"/>
        <v>50.400000000000446</v>
      </c>
      <c r="BZ546" s="16">
        <f t="shared" si="241"/>
        <v>1.9943124996183295E-2</v>
      </c>
      <c r="CA546" s="16">
        <f t="shared" si="251"/>
        <v>-999</v>
      </c>
      <c r="CB546" s="16" t="str">
        <f t="shared" si="242"/>
        <v/>
      </c>
      <c r="CC546" s="16" t="e">
        <f>IF(CB546="",NA(),COUNTIF(CB546:$CB$704,CB546))</f>
        <v>#N/A</v>
      </c>
      <c r="CD546" s="16" t="e">
        <f t="shared" si="243"/>
        <v>#N/A</v>
      </c>
      <c r="CE546" s="16" t="e">
        <f t="shared" si="244"/>
        <v>#N/A</v>
      </c>
      <c r="CF546" s="16">
        <f t="shared" si="245"/>
        <v>99</v>
      </c>
      <c r="CG546" s="16">
        <f t="shared" si="246"/>
        <v>0</v>
      </c>
      <c r="CH546" s="16">
        <f t="shared" si="272"/>
        <v>0</v>
      </c>
      <c r="CJ546" s="16" t="e">
        <f t="shared" si="247"/>
        <v>#N/A</v>
      </c>
      <c r="CK546" s="16" t="str">
        <f t="shared" si="248"/>
        <v/>
      </c>
    </row>
    <row r="547" spans="1:89" ht="12" customHeight="1">
      <c r="A547" s="211"/>
      <c r="B547" s="211"/>
      <c r="C547" s="211"/>
      <c r="D547" s="211"/>
      <c r="E547" s="211"/>
      <c r="F547" s="211"/>
      <c r="G547" s="211"/>
      <c r="H547" s="211"/>
      <c r="I547" s="211"/>
      <c r="J547" s="211"/>
      <c r="K547" s="211"/>
      <c r="L547" s="211"/>
      <c r="M547" s="211"/>
      <c r="N547" s="211"/>
      <c r="O547" s="211"/>
      <c r="BU547" s="16">
        <f t="shared" si="249"/>
        <v>0</v>
      </c>
      <c r="BV547" s="16">
        <f>IF($BY$12=1,NORMDIST(BY547,$Y$6,$Y$8,TRUE),IF($BY$12=2,IF(BY547&lt;=$BX$31,0,IF(BY547&gt;=$BX$32,1,(BY547-$BX$31)*$BX$33)),SUM($BU$42:BU547)/$BV$40))</f>
        <v>0.50997251819524692</v>
      </c>
      <c r="BW547" s="16">
        <f t="shared" si="250"/>
        <v>1.0070145168013724</v>
      </c>
      <c r="BX547" s="16">
        <f>IF($BY$12&lt;3,BV547,SUM($BZ$42:BZ547)/$BX$40)</f>
        <v>0.50997251819524692</v>
      </c>
      <c r="BY547" s="16">
        <f t="shared" si="273"/>
        <v>50.500000000000448</v>
      </c>
      <c r="BZ547" s="16">
        <f t="shared" si="241"/>
        <v>1.9940881520819079E-2</v>
      </c>
      <c r="CA547" s="16">
        <f t="shared" si="251"/>
        <v>-999</v>
      </c>
      <c r="CB547" s="16" t="str">
        <f t="shared" si="242"/>
        <v/>
      </c>
      <c r="CC547" s="16" t="e">
        <f>IF(CB547="",NA(),COUNTIF(CB547:$CB$704,CB547))</f>
        <v>#N/A</v>
      </c>
      <c r="CD547" s="16" t="e">
        <f t="shared" si="243"/>
        <v>#N/A</v>
      </c>
      <c r="CE547" s="16" t="e">
        <f t="shared" si="244"/>
        <v>#N/A</v>
      </c>
      <c r="CF547" s="16">
        <f t="shared" si="245"/>
        <v>99</v>
      </c>
      <c r="CG547" s="16">
        <f t="shared" si="246"/>
        <v>0</v>
      </c>
      <c r="CH547" s="16">
        <f t="shared" si="272"/>
        <v>0</v>
      </c>
      <c r="CJ547" s="16" t="e">
        <f t="shared" si="247"/>
        <v>#N/A</v>
      </c>
      <c r="CK547" s="16" t="str">
        <f t="shared" si="248"/>
        <v/>
      </c>
    </row>
    <row r="548" spans="1:89" ht="12" customHeight="1">
      <c r="A548" s="211"/>
      <c r="B548" s="211"/>
      <c r="C548" s="211"/>
      <c r="D548" s="211"/>
      <c r="E548" s="211"/>
      <c r="F548" s="211"/>
      <c r="G548" s="211"/>
      <c r="H548" s="211"/>
      <c r="I548" s="211"/>
      <c r="J548" s="211"/>
      <c r="K548" s="211"/>
      <c r="L548" s="211"/>
      <c r="M548" s="211"/>
      <c r="N548" s="211"/>
      <c r="O548" s="211"/>
      <c r="BU548" s="16">
        <f t="shared" si="249"/>
        <v>0</v>
      </c>
      <c r="BV548" s="16">
        <f>IF($BY$12=1,NORMDIST(BY548,$Y$6,$Y$8,TRUE),IF($BY$12=2,IF(BY548&lt;=$BX$31,0,IF(BY548&gt;=$BX$32,1,(BY548-$BX$31)*$BX$33)),SUM($BU$42:BU548)/$BV$40))</f>
        <v>0.5119664734141216</v>
      </c>
      <c r="BW548" s="16">
        <f t="shared" si="250"/>
        <v>1.0088698758081205</v>
      </c>
      <c r="BX548" s="16">
        <f>IF($BY$12&lt;3,BV548,SUM($BZ$42:BZ548)/$BX$40)</f>
        <v>0.5119664734141216</v>
      </c>
      <c r="BY548" s="16">
        <f t="shared" si="273"/>
        <v>50.600000000000449</v>
      </c>
      <c r="BZ548" s="16">
        <f t="shared" si="241"/>
        <v>1.9938139838104971E-2</v>
      </c>
      <c r="CA548" s="16">
        <f t="shared" si="251"/>
        <v>-999</v>
      </c>
      <c r="CB548" s="16" t="str">
        <f t="shared" si="242"/>
        <v/>
      </c>
      <c r="CC548" s="16" t="e">
        <f>IF(CB548="",NA(),COUNTIF(CB548:$CB$704,CB548))</f>
        <v>#N/A</v>
      </c>
      <c r="CD548" s="16" t="e">
        <f t="shared" si="243"/>
        <v>#N/A</v>
      </c>
      <c r="CE548" s="16" t="e">
        <f t="shared" si="244"/>
        <v>#N/A</v>
      </c>
      <c r="CF548" s="16">
        <f t="shared" si="245"/>
        <v>99</v>
      </c>
      <c r="CG548" s="16">
        <f t="shared" si="246"/>
        <v>0</v>
      </c>
      <c r="CH548" s="16">
        <f t="shared" si="272"/>
        <v>0</v>
      </c>
      <c r="CJ548" s="16" t="e">
        <f t="shared" si="247"/>
        <v>#N/A</v>
      </c>
      <c r="CK548" s="16" t="str">
        <f t="shared" si="248"/>
        <v/>
      </c>
    </row>
    <row r="549" spans="1:89" ht="12" customHeight="1">
      <c r="A549" s="211"/>
      <c r="B549" s="211"/>
      <c r="C549" s="211"/>
      <c r="D549" s="211"/>
      <c r="E549" s="211"/>
      <c r="F549" s="211"/>
      <c r="G549" s="211"/>
      <c r="H549" s="211"/>
      <c r="I549" s="211"/>
      <c r="J549" s="211"/>
      <c r="K549" s="211"/>
      <c r="L549" s="211"/>
      <c r="M549" s="211"/>
      <c r="N549" s="211"/>
      <c r="O549" s="211"/>
      <c r="BU549" s="16">
        <f t="shared" si="249"/>
        <v>0</v>
      </c>
      <c r="BV549" s="16">
        <f>IF($BY$12=1,NORMDIST(BY549,$Y$6,$Y$8,TRUE),IF($BY$12=2,IF(BY549&lt;=$BX$31,0,IF(BY549&gt;=$BX$32,1,(BY549-$BX$31)*$BX$33)),SUM($BU$42:BU549)/$BV$40))</f>
        <v>0.51396012956276727</v>
      </c>
      <c r="BW549" s="16">
        <f t="shared" si="250"/>
        <v>1.0106994377881764</v>
      </c>
      <c r="BX549" s="16">
        <f>IF($BY$12&lt;3,BV549,SUM($BZ$42:BZ549)/$BX$40)</f>
        <v>0.51396012956276727</v>
      </c>
      <c r="BY549" s="16">
        <f t="shared" si="273"/>
        <v>50.70000000000045</v>
      </c>
      <c r="BZ549" s="16">
        <f t="shared" si="241"/>
        <v>1.993490015361277E-2</v>
      </c>
      <c r="CA549" s="16">
        <f t="shared" si="251"/>
        <v>-999</v>
      </c>
      <c r="CB549" s="16" t="str">
        <f t="shared" si="242"/>
        <v/>
      </c>
      <c r="CC549" s="16" t="e">
        <f>IF(CB549="",NA(),COUNTIF(CB549:$CB$704,CB549))</f>
        <v>#N/A</v>
      </c>
      <c r="CD549" s="16" t="e">
        <f t="shared" si="243"/>
        <v>#N/A</v>
      </c>
      <c r="CE549" s="16" t="e">
        <f t="shared" si="244"/>
        <v>#N/A</v>
      </c>
      <c r="CF549" s="16">
        <f t="shared" si="245"/>
        <v>99</v>
      </c>
      <c r="CG549" s="16">
        <f t="shared" si="246"/>
        <v>0</v>
      </c>
      <c r="CH549" s="16">
        <f t="shared" si="272"/>
        <v>0</v>
      </c>
      <c r="CJ549" s="16" t="e">
        <f t="shared" si="247"/>
        <v>#N/A</v>
      </c>
      <c r="CK549" s="16" t="str">
        <f t="shared" si="248"/>
        <v/>
      </c>
    </row>
    <row r="550" spans="1:89" ht="12" customHeight="1">
      <c r="A550" s="211"/>
      <c r="B550" s="211"/>
      <c r="C550" s="211"/>
      <c r="D550" s="211"/>
      <c r="E550" s="211"/>
      <c r="F550" s="211"/>
      <c r="G550" s="211"/>
      <c r="H550" s="211"/>
      <c r="I550" s="211"/>
      <c r="J550" s="211"/>
      <c r="K550" s="211"/>
      <c r="L550" s="211"/>
      <c r="M550" s="211"/>
      <c r="N550" s="211"/>
      <c r="O550" s="211"/>
      <c r="BU550" s="16">
        <f t="shared" si="249"/>
        <v>0</v>
      </c>
      <c r="BV550" s="16">
        <f>IF($BY$12=1,NORMDIST(BY550,$Y$6,$Y$8,TRUE),IF($BY$12=2,IF(BY550&lt;=$BX$31,0,IF(BY550&gt;=$BX$32,1,(BY550-$BX$31)*$BX$33)),SUM($BU$42:BU550)/$BV$40))</f>
        <v>0.51595343685283979</v>
      </c>
      <c r="BW550" s="16">
        <f t="shared" si="250"/>
        <v>1.0125030656797047</v>
      </c>
      <c r="BX550" s="16">
        <f>IF($BY$12&lt;3,BV550,SUM($BZ$42:BZ550)/$BX$40)</f>
        <v>0.51595343685283979</v>
      </c>
      <c r="BY550" s="16">
        <f t="shared" si="273"/>
        <v>50.800000000000452</v>
      </c>
      <c r="BZ550" s="16">
        <f t="shared" si="241"/>
        <v>1.9931162710230231E-2</v>
      </c>
      <c r="CA550" s="16">
        <f t="shared" si="251"/>
        <v>-999</v>
      </c>
      <c r="CB550" s="16" t="str">
        <f t="shared" si="242"/>
        <v/>
      </c>
      <c r="CC550" s="16" t="e">
        <f>IF(CB550="",NA(),COUNTIF(CB550:$CB$704,CB550))</f>
        <v>#N/A</v>
      </c>
      <c r="CD550" s="16" t="e">
        <f t="shared" si="243"/>
        <v>#N/A</v>
      </c>
      <c r="CE550" s="16" t="e">
        <f t="shared" si="244"/>
        <v>#N/A</v>
      </c>
      <c r="CF550" s="16">
        <f t="shared" si="245"/>
        <v>99</v>
      </c>
      <c r="CG550" s="16">
        <f t="shared" si="246"/>
        <v>0</v>
      </c>
      <c r="CH550" s="16">
        <f t="shared" si="272"/>
        <v>0</v>
      </c>
      <c r="CJ550" s="16" t="e">
        <f t="shared" si="247"/>
        <v>#N/A</v>
      </c>
      <c r="CK550" s="16" t="str">
        <f t="shared" si="248"/>
        <v/>
      </c>
    </row>
    <row r="551" spans="1:89" ht="12" customHeight="1">
      <c r="A551" s="211"/>
      <c r="B551" s="211"/>
      <c r="C551" s="211"/>
      <c r="D551" s="211"/>
      <c r="E551" s="211"/>
      <c r="F551" s="211"/>
      <c r="G551" s="211"/>
      <c r="H551" s="211"/>
      <c r="I551" s="211"/>
      <c r="J551" s="211"/>
      <c r="K551" s="211"/>
      <c r="L551" s="211"/>
      <c r="M551" s="211"/>
      <c r="N551" s="211"/>
      <c r="O551" s="211"/>
      <c r="BU551" s="16">
        <f t="shared" si="249"/>
        <v>0</v>
      </c>
      <c r="BV551" s="16">
        <f>IF($BY$12=1,NORMDIST(BY551,$Y$6,$Y$8,TRUE),IF($BY$12=2,IF(BY551&lt;=$BX$31,0,IF(BY551&gt;=$BX$32,1,(BY551-$BX$31)*$BX$33)),SUM($BU$42:BU551)/$BV$40))</f>
        <v>0.51794634552214813</v>
      </c>
      <c r="BW551" s="16">
        <f t="shared" si="250"/>
        <v>1.0142806244158624</v>
      </c>
      <c r="BX551" s="16">
        <f>IF($BY$12&lt;3,BV551,SUM($BZ$42:BZ551)/$BX$40)</f>
        <v>0.51794634552214813</v>
      </c>
      <c r="BY551" s="16">
        <f t="shared" si="273"/>
        <v>50.900000000000453</v>
      </c>
      <c r="BZ551" s="16">
        <f t="shared" si="241"/>
        <v>1.9926927788130714E-2</v>
      </c>
      <c r="CA551" s="16">
        <f t="shared" si="251"/>
        <v>-999</v>
      </c>
      <c r="CB551" s="16" t="str">
        <f t="shared" si="242"/>
        <v/>
      </c>
      <c r="CC551" s="16" t="e">
        <f>IF(CB551="",NA(),COUNTIF(CB551:$CB$704,CB551))</f>
        <v>#N/A</v>
      </c>
      <c r="CD551" s="16" t="e">
        <f t="shared" si="243"/>
        <v>#N/A</v>
      </c>
      <c r="CE551" s="16" t="e">
        <f t="shared" si="244"/>
        <v>#N/A</v>
      </c>
      <c r="CF551" s="16">
        <f t="shared" si="245"/>
        <v>99</v>
      </c>
      <c r="CG551" s="16">
        <f t="shared" si="246"/>
        <v>0</v>
      </c>
      <c r="CH551" s="16">
        <f t="shared" si="272"/>
        <v>0</v>
      </c>
      <c r="CJ551" s="16" t="e">
        <f t="shared" si="247"/>
        <v>#N/A</v>
      </c>
      <c r="CK551" s="16" t="str">
        <f t="shared" si="248"/>
        <v/>
      </c>
    </row>
    <row r="552" spans="1:89" ht="12" customHeight="1">
      <c r="A552" s="211"/>
      <c r="B552" s="211"/>
      <c r="C552" s="211"/>
      <c r="D552" s="211"/>
      <c r="E552" s="211"/>
      <c r="F552" s="211"/>
      <c r="G552" s="211"/>
      <c r="H552" s="211"/>
      <c r="I552" s="211"/>
      <c r="J552" s="211"/>
      <c r="K552" s="211"/>
      <c r="L552" s="211"/>
      <c r="M552" s="211"/>
      <c r="N552" s="211"/>
      <c r="O552" s="211"/>
      <c r="BU552" s="16">
        <f t="shared" si="249"/>
        <v>0</v>
      </c>
      <c r="BV552" s="16">
        <f>IF($BY$12=1,NORMDIST(BY552,$Y$6,$Y$8,TRUE),IF($BY$12=2,IF(BY552&lt;=$BX$31,0,IF(BY552&gt;=$BX$32,1,(BY552-$BX$31)*$BX$33)),SUM($BU$42:BU552)/$BV$40))</f>
        <v>0.51993880583838148</v>
      </c>
      <c r="BW552" s="16">
        <f t="shared" si="250"/>
        <v>1.016031980941656</v>
      </c>
      <c r="BX552" s="16">
        <f>IF($BY$12&lt;3,BV552,SUM($BZ$42:BZ552)/$BX$40)</f>
        <v>0.51993880583838148</v>
      </c>
      <c r="BY552" s="16">
        <f t="shared" si="273"/>
        <v>51.000000000000455</v>
      </c>
      <c r="BZ552" s="16">
        <f t="shared" si="241"/>
        <v>1.9922195704738174E-2</v>
      </c>
      <c r="CA552" s="16">
        <f t="shared" si="251"/>
        <v>-999</v>
      </c>
      <c r="CB552" s="16" t="str">
        <f t="shared" si="242"/>
        <v/>
      </c>
      <c r="CC552" s="16" t="e">
        <f>IF(CB552="",NA(),COUNTIF(CB552:$CB$704,CB552))</f>
        <v>#N/A</v>
      </c>
      <c r="CD552" s="16" t="e">
        <f t="shared" si="243"/>
        <v>#N/A</v>
      </c>
      <c r="CE552" s="16" t="e">
        <f t="shared" si="244"/>
        <v>#N/A</v>
      </c>
      <c r="CF552" s="16">
        <f t="shared" si="245"/>
        <v>99</v>
      </c>
      <c r="CG552" s="16">
        <f t="shared" si="246"/>
        <v>0</v>
      </c>
      <c r="CH552" s="16">
        <f t="shared" si="272"/>
        <v>0</v>
      </c>
      <c r="CJ552" s="16" t="e">
        <f t="shared" si="247"/>
        <v>#N/A</v>
      </c>
      <c r="CK552" s="16" t="str">
        <f t="shared" si="248"/>
        <v/>
      </c>
    </row>
    <row r="553" spans="1:89" ht="12" customHeight="1">
      <c r="A553" s="211"/>
      <c r="B553" s="211"/>
      <c r="C553" s="211"/>
      <c r="D553" s="211"/>
      <c r="E553" s="211"/>
      <c r="F553" s="211"/>
      <c r="G553" s="211"/>
      <c r="H553" s="211"/>
      <c r="I553" s="211"/>
      <c r="J553" s="211"/>
      <c r="K553" s="211"/>
      <c r="L553" s="211"/>
      <c r="M553" s="211"/>
      <c r="N553" s="211"/>
      <c r="O553" s="211"/>
      <c r="BU553" s="16">
        <f t="shared" si="249"/>
        <v>0</v>
      </c>
      <c r="BV553" s="16">
        <f>IF($BY$12=1,NORMDIST(BY553,$Y$6,$Y$8,TRUE),IF($BY$12=2,IF(BY553&lt;=$BX$31,0,IF(BY553&gt;=$BX$32,1,(BY553-$BX$31)*$BX$33)),SUM($BU$42:BU553)/$BV$40))</f>
        <v>0.52193076810283257</v>
      </c>
      <c r="BW553" s="16">
        <f t="shared" si="250"/>
        <v>1.0177570042305417</v>
      </c>
      <c r="BX553" s="16">
        <f>IF($BY$12&lt;3,BV553,SUM($BZ$42:BZ553)/$BX$40)</f>
        <v>0.52193076810283257</v>
      </c>
      <c r="BY553" s="16">
        <f t="shared" si="273"/>
        <v>51.100000000000456</v>
      </c>
      <c r="BZ553" s="16">
        <f t="shared" si="241"/>
        <v>1.9916966814687527E-2</v>
      </c>
      <c r="CA553" s="16">
        <f t="shared" si="251"/>
        <v>-999</v>
      </c>
      <c r="CB553" s="16" t="str">
        <f t="shared" si="242"/>
        <v/>
      </c>
      <c r="CC553" s="16" t="e">
        <f>IF(CB553="",NA(),COUNTIF(CB553:$CB$704,CB553))</f>
        <v>#N/A</v>
      </c>
      <c r="CD553" s="16" t="e">
        <f t="shared" si="243"/>
        <v>#N/A</v>
      </c>
      <c r="CE553" s="16" t="e">
        <f t="shared" si="244"/>
        <v>#N/A</v>
      </c>
      <c r="CF553" s="16">
        <f t="shared" si="245"/>
        <v>99</v>
      </c>
      <c r="CG553" s="16">
        <f t="shared" si="246"/>
        <v>0</v>
      </c>
      <c r="CH553" s="16">
        <f t="shared" si="272"/>
        <v>0</v>
      </c>
      <c r="CJ553" s="16" t="e">
        <f t="shared" si="247"/>
        <v>#N/A</v>
      </c>
      <c r="CK553" s="16" t="str">
        <f t="shared" si="248"/>
        <v/>
      </c>
    </row>
    <row r="554" spans="1:89" ht="12" customHeight="1">
      <c r="A554" s="211"/>
      <c r="B554" s="211"/>
      <c r="C554" s="211"/>
      <c r="D554" s="211"/>
      <c r="E554" s="211"/>
      <c r="F554" s="211"/>
      <c r="G554" s="211"/>
      <c r="H554" s="211"/>
      <c r="I554" s="211"/>
      <c r="J554" s="211"/>
      <c r="K554" s="211"/>
      <c r="L554" s="211"/>
      <c r="M554" s="211"/>
      <c r="N554" s="211"/>
      <c r="O554" s="211"/>
      <c r="BU554" s="16">
        <f t="shared" si="249"/>
        <v>0</v>
      </c>
      <c r="BV554" s="16">
        <f>IF($BY$12=1,NORMDIST(BY554,$Y$6,$Y$8,TRUE),IF($BY$12=2,IF(BY554&lt;=$BX$31,0,IF(BY554&gt;=$BX$32,1,(BY554-$BX$31)*$BX$33)),SUM($BU$42:BU554)/$BV$40))</f>
        <v>0.52392218265411594</v>
      </c>
      <c r="BW554" s="16">
        <f t="shared" si="250"/>
        <v>1.0194555653007613</v>
      </c>
      <c r="BX554" s="16">
        <f>IF($BY$12&lt;3,BV554,SUM($BZ$42:BZ554)/$BX$40)</f>
        <v>0.52392218265411594</v>
      </c>
      <c r="BY554" s="16">
        <f t="shared" si="273"/>
        <v>51.200000000000458</v>
      </c>
      <c r="BZ554" s="16">
        <f t="shared" ref="BZ554:BZ617" si="274">IF($BZ$5,IF($BY$12=1,NORMDIST(BY554,$Y$6,$Y$8,FALSE),IF($BY$12=2,IF(AND(BY554&gt;=$BX$31,BY554&lt;=$BX$32),$BX$33,0),IF(BY554&lt;=$BX$13,0,NORMDIST(LN((BY554-$BX$13)/$BX$12),0,$BW$8,FALSE)/((BY554-$BX$13)/$BX$12)))),-999)</f>
        <v>1.9911241509780315E-2</v>
      </c>
      <c r="CA554" s="16">
        <f t="shared" si="251"/>
        <v>-999</v>
      </c>
      <c r="CB554" s="16" t="str">
        <f t="shared" ref="CB554:CB617" si="275">IF(M453="","",ROUND(M453/$P$24,0))</f>
        <v/>
      </c>
      <c r="CC554" s="16" t="e">
        <f>IF(CB554="",NA(),COUNTIF(CB554:$CB$704,CB554))</f>
        <v>#N/A</v>
      </c>
      <c r="CD554" s="16" t="e">
        <f t="shared" ref="CD554:CD617" si="276">IF(CB554&lt;&gt;"",CB554*$P$24,NA())</f>
        <v>#N/A</v>
      </c>
      <c r="CE554" s="16" t="e">
        <f t="shared" ref="CE554:CE617" si="277">IF(AND($CB$7,$CD$2,$CD$1),26+$P$23/2-CC554*$P$23,NA())</f>
        <v>#N/A</v>
      </c>
      <c r="CF554" s="16">
        <f t="shared" ref="CF554:CF617" si="278">IF(ISNA(CJ554),99,CJ554)</f>
        <v>99</v>
      </c>
      <c r="CG554" s="16">
        <f t="shared" ref="CG554:CG617" si="279">IF(ISNA(CJ554),0,CJ554)</f>
        <v>0</v>
      </c>
      <c r="CH554" s="16">
        <f t="shared" si="272"/>
        <v>0</v>
      </c>
      <c r="CJ554" s="16" t="e">
        <f t="shared" ref="CJ554:CJ617" si="280">IF(CH554=1,CE554,NA())</f>
        <v>#N/A</v>
      </c>
      <c r="CK554" s="16" t="str">
        <f t="shared" ref="CK554:CK617" si="281">IF(CH554=1,M453,"")</f>
        <v/>
      </c>
    </row>
    <row r="555" spans="1:89" ht="12" customHeight="1">
      <c r="A555" s="211"/>
      <c r="B555" s="211"/>
      <c r="C555" s="211"/>
      <c r="D555" s="211"/>
      <c r="E555" s="211"/>
      <c r="F555" s="211"/>
      <c r="G555" s="211"/>
      <c r="H555" s="211"/>
      <c r="I555" s="211"/>
      <c r="J555" s="211"/>
      <c r="K555" s="211"/>
      <c r="L555" s="211"/>
      <c r="M555" s="211"/>
      <c r="N555" s="211"/>
      <c r="O555" s="211"/>
      <c r="BU555" s="16">
        <f t="shared" ref="BU555:BU618" si="282">IF($BY$12&lt;3,0,IF(BY555&lt;=$BX$13,0,NORMDIST(LN((BY555-$BX$13)/$BX$12),0,$BW$8,FALSE)/((BY555-$BX$13)/$BX$12)))</f>
        <v>0</v>
      </c>
      <c r="BV555" s="16">
        <f>IF($BY$12=1,NORMDIST(BY555,$Y$6,$Y$8,TRUE),IF($BY$12=2,IF(BY555&lt;=$BX$31,0,IF(BY555&gt;=$BX$32,1,(BY555-$BX$31)*$BX$33)),SUM($BU$42:BU555)/$BV$40))</f>
        <v>0.52591299987188289</v>
      </c>
      <c r="BW555" s="16">
        <f t="shared" ref="BW555:BW618" si="283">BY555*BZ555</f>
        <v>1.0211275372314172</v>
      </c>
      <c r="BX555" s="16">
        <f>IF($BY$12&lt;3,BV555,SUM($BZ$42:BZ555)/$BX$40)</f>
        <v>0.52591299987188289</v>
      </c>
      <c r="BY555" s="16">
        <f t="shared" si="273"/>
        <v>51.300000000000459</v>
      </c>
      <c r="BZ555" s="16">
        <f t="shared" si="274"/>
        <v>1.990502021893583E-2</v>
      </c>
      <c r="CA555" s="16">
        <f t="shared" ref="CA555:CA618" si="284">IF(AND($CD$1,$CD$3),26-$CD$40*NORMDIST(BY555,$Y$6,$Y$8/SQRT($T$18),FALSE),-999)</f>
        <v>-999</v>
      </c>
      <c r="CB555" s="16" t="str">
        <f t="shared" si="275"/>
        <v/>
      </c>
      <c r="CC555" s="16" t="e">
        <f>IF(CB555="",NA(),COUNTIF(CB555:$CB$704,CB555))</f>
        <v>#N/A</v>
      </c>
      <c r="CD555" s="16" t="e">
        <f t="shared" si="276"/>
        <v>#N/A</v>
      </c>
      <c r="CE555" s="16" t="e">
        <f t="shared" si="277"/>
        <v>#N/A</v>
      </c>
      <c r="CF555" s="16">
        <f t="shared" si="278"/>
        <v>99</v>
      </c>
      <c r="CG555" s="16">
        <f t="shared" si="279"/>
        <v>0</v>
      </c>
      <c r="CH555" s="16">
        <f t="shared" si="272"/>
        <v>0</v>
      </c>
      <c r="CJ555" s="16" t="e">
        <f t="shared" si="280"/>
        <v>#N/A</v>
      </c>
      <c r="CK555" s="16" t="str">
        <f t="shared" si="281"/>
        <v/>
      </c>
    </row>
    <row r="556" spans="1:89" ht="12" customHeight="1">
      <c r="A556" s="211"/>
      <c r="B556" s="211"/>
      <c r="C556" s="211"/>
      <c r="D556" s="211"/>
      <c r="E556" s="211"/>
      <c r="F556" s="211"/>
      <c r="G556" s="211"/>
      <c r="H556" s="211"/>
      <c r="I556" s="211"/>
      <c r="J556" s="211"/>
      <c r="K556" s="211"/>
      <c r="L556" s="211"/>
      <c r="M556" s="211"/>
      <c r="N556" s="211"/>
      <c r="O556" s="211"/>
      <c r="BU556" s="16">
        <f t="shared" si="282"/>
        <v>0</v>
      </c>
      <c r="BV556" s="16">
        <f>IF($BY$12=1,NORMDIST(BY556,$Y$6,$Y$8,TRUE),IF($BY$12=2,IF(BY556&lt;=$BX$31,0,IF(BY556&gt;=$BX$32,1,(BY556-$BX$31)*$BX$33)),SUM($BU$42:BU556)/$BV$40))</f>
        <v>0.52790317018053023</v>
      </c>
      <c r="BW556" s="16">
        <f t="shared" si="283"/>
        <v>1.0227727951782775</v>
      </c>
      <c r="BX556" s="16">
        <f>IF($BY$12&lt;3,BV556,SUM($BZ$42:BZ556)/$BX$40)</f>
        <v>0.52790317018053023</v>
      </c>
      <c r="BY556" s="16">
        <f t="shared" si="273"/>
        <v>51.40000000000046</v>
      </c>
      <c r="BZ556" s="16">
        <f t="shared" si="274"/>
        <v>1.9898303408137516E-2</v>
      </c>
      <c r="CA556" s="16">
        <f t="shared" si="284"/>
        <v>-999</v>
      </c>
      <c r="CB556" s="16" t="str">
        <f t="shared" si="275"/>
        <v/>
      </c>
      <c r="CC556" s="16" t="e">
        <f>IF(CB556="",NA(),COUNTIF(CB556:$CB$704,CB556))</f>
        <v>#N/A</v>
      </c>
      <c r="CD556" s="16" t="e">
        <f t="shared" si="276"/>
        <v>#N/A</v>
      </c>
      <c r="CE556" s="16" t="e">
        <f t="shared" si="277"/>
        <v>#N/A</v>
      </c>
      <c r="CF556" s="16">
        <f t="shared" si="278"/>
        <v>99</v>
      </c>
      <c r="CG556" s="16">
        <f t="shared" si="279"/>
        <v>0</v>
      </c>
      <c r="CH556" s="16">
        <f t="shared" si="272"/>
        <v>0</v>
      </c>
      <c r="CJ556" s="16" t="e">
        <f t="shared" si="280"/>
        <v>#N/A</v>
      </c>
      <c r="CK556" s="16" t="str">
        <f t="shared" si="281"/>
        <v/>
      </c>
    </row>
    <row r="557" spans="1:89" ht="12" customHeight="1">
      <c r="A557" s="211"/>
      <c r="B557" s="211"/>
      <c r="C557" s="211"/>
      <c r="D557" s="211"/>
      <c r="E557" s="211"/>
      <c r="F557" s="211"/>
      <c r="G557" s="211"/>
      <c r="H557" s="211"/>
      <c r="I557" s="211"/>
      <c r="J557" s="211"/>
      <c r="K557" s="211"/>
      <c r="L557" s="211"/>
      <c r="M557" s="211"/>
      <c r="N557" s="211"/>
      <c r="O557" s="211"/>
      <c r="BU557" s="16">
        <f t="shared" si="282"/>
        <v>0</v>
      </c>
      <c r="BV557" s="16">
        <f>IF($BY$12=1,NORMDIST(BY557,$Y$6,$Y$8,TRUE),IF($BY$12=2,IF(BY557&lt;=$BX$31,0,IF(BY557&gt;=$BX$32,1,(BY557-$BX$31)*$BX$33)),SUM($BU$42:BU557)/$BV$40))</f>
        <v>0.52989264405290393</v>
      </c>
      <c r="BW557" s="16">
        <f t="shared" si="283"/>
        <v>1.0243912163893125</v>
      </c>
      <c r="BX557" s="16">
        <f>IF($BY$12&lt;3,BV557,SUM($BZ$42:BZ557)/$BX$40)</f>
        <v>0.52989264405290393</v>
      </c>
      <c r="BY557" s="16">
        <f t="shared" si="273"/>
        <v>51.500000000000462</v>
      </c>
      <c r="BZ557" s="16">
        <f t="shared" si="274"/>
        <v>1.9891091580374821E-2</v>
      </c>
      <c r="CA557" s="16">
        <f t="shared" si="284"/>
        <v>-999</v>
      </c>
      <c r="CB557" s="16" t="str">
        <f t="shared" si="275"/>
        <v/>
      </c>
      <c r="CC557" s="16" t="e">
        <f>IF(CB557="",NA(),COUNTIF(CB557:$CB$704,CB557))</f>
        <v>#N/A</v>
      </c>
      <c r="CD557" s="16" t="e">
        <f t="shared" si="276"/>
        <v>#N/A</v>
      </c>
      <c r="CE557" s="16" t="e">
        <f t="shared" si="277"/>
        <v>#N/A</v>
      </c>
      <c r="CF557" s="16">
        <f t="shared" si="278"/>
        <v>99</v>
      </c>
      <c r="CG557" s="16">
        <f t="shared" si="279"/>
        <v>0</v>
      </c>
      <c r="CH557" s="16">
        <f t="shared" si="272"/>
        <v>0</v>
      </c>
      <c r="CJ557" s="16" t="e">
        <f t="shared" si="280"/>
        <v>#N/A</v>
      </c>
      <c r="CK557" s="16" t="str">
        <f t="shared" si="281"/>
        <v/>
      </c>
    </row>
    <row r="558" spans="1:89" ht="12" customHeight="1">
      <c r="A558" s="211"/>
      <c r="B558" s="211"/>
      <c r="C558" s="211"/>
      <c r="D558" s="211"/>
      <c r="E558" s="211"/>
      <c r="F558" s="211"/>
      <c r="G558" s="211"/>
      <c r="H558" s="211"/>
      <c r="I558" s="211"/>
      <c r="J558" s="211"/>
      <c r="K558" s="211"/>
      <c r="L558" s="211"/>
      <c r="M558" s="211"/>
      <c r="N558" s="211"/>
      <c r="O558" s="211"/>
      <c r="BU558" s="16">
        <f t="shared" si="282"/>
        <v>0</v>
      </c>
      <c r="BV558" s="16">
        <f>IF($BY$12=1,NORMDIST(BY558,$Y$6,$Y$8,TRUE),IF($BY$12=2,IF(BY558&lt;=$BX$31,0,IF(BY558&gt;=$BX$32,1,(BY558-$BX$31)*$BX$33)),SUM($BU$42:BU558)/$BV$40))</f>
        <v>0.53188137201399655</v>
      </c>
      <c r="BW558" s="16">
        <f t="shared" si="283"/>
        <v>1.0259826802199581</v>
      </c>
      <c r="BX558" s="16">
        <f>IF($BY$12&lt;3,BV558,SUM($BZ$42:BZ558)/$BX$40)</f>
        <v>0.53188137201399655</v>
      </c>
      <c r="BY558" s="16">
        <f t="shared" si="273"/>
        <v>51.600000000000463</v>
      </c>
      <c r="BZ558" s="16">
        <f t="shared" si="274"/>
        <v>1.9883385275580406E-2</v>
      </c>
      <c r="CA558" s="16">
        <f t="shared" si="284"/>
        <v>-999</v>
      </c>
      <c r="CB558" s="16" t="str">
        <f t="shared" si="275"/>
        <v/>
      </c>
      <c r="CC558" s="16" t="e">
        <f>IF(CB558="",NA(),COUNTIF(CB558:$CB$704,CB558))</f>
        <v>#N/A</v>
      </c>
      <c r="CD558" s="16" t="e">
        <f t="shared" si="276"/>
        <v>#N/A</v>
      </c>
      <c r="CE558" s="16" t="e">
        <f t="shared" si="277"/>
        <v>#N/A</v>
      </c>
      <c r="CF558" s="16">
        <f t="shared" si="278"/>
        <v>99</v>
      </c>
      <c r="CG558" s="16">
        <f t="shared" si="279"/>
        <v>0</v>
      </c>
      <c r="CH558" s="16">
        <f t="shared" si="272"/>
        <v>0</v>
      </c>
      <c r="CJ558" s="16" t="e">
        <f t="shared" si="280"/>
        <v>#N/A</v>
      </c>
      <c r="CK558" s="16" t="str">
        <f t="shared" si="281"/>
        <v/>
      </c>
    </row>
    <row r="559" spans="1:89" ht="12" customHeight="1">
      <c r="A559" s="211"/>
      <c r="B559" s="211"/>
      <c r="C559" s="211"/>
      <c r="D559" s="211"/>
      <c r="E559" s="211"/>
      <c r="F559" s="211"/>
      <c r="G559" s="211"/>
      <c r="H559" s="211"/>
      <c r="I559" s="211"/>
      <c r="J559" s="211"/>
      <c r="K559" s="211"/>
      <c r="L559" s="211"/>
      <c r="M559" s="211"/>
      <c r="N559" s="211"/>
      <c r="O559" s="211"/>
      <c r="BU559" s="16">
        <f t="shared" si="282"/>
        <v>0</v>
      </c>
      <c r="BV559" s="16">
        <f>IF($BY$12=1,NORMDIST(BY559,$Y$6,$Y$8,TRUE),IF($BY$12=2,IF(BY559&lt;=$BX$31,0,IF(BY559&gt;=$BX$32,1,(BY559-$BX$31)*$BX$33)),SUM($BU$42:BU559)/$BV$40))</f>
        <v>0.53386930464463844</v>
      </c>
      <c r="BW559" s="16">
        <f t="shared" si="283"/>
        <v>1.0275470681481054</v>
      </c>
      <c r="BX559" s="16">
        <f>IF($BY$12&lt;3,BV559,SUM($BZ$42:BZ559)/$BX$40)</f>
        <v>0.53386930464463844</v>
      </c>
      <c r="BY559" s="16">
        <f t="shared" si="273"/>
        <v>51.700000000000465</v>
      </c>
      <c r="BZ559" s="16">
        <f t="shared" si="274"/>
        <v>1.9875185070562788E-2</v>
      </c>
      <c r="CA559" s="16">
        <f t="shared" si="284"/>
        <v>-999</v>
      </c>
      <c r="CB559" s="16" t="str">
        <f t="shared" si="275"/>
        <v/>
      </c>
      <c r="CC559" s="16" t="e">
        <f>IF(CB559="",NA(),COUNTIF(CB559:$CB$704,CB559))</f>
        <v>#N/A</v>
      </c>
      <c r="CD559" s="16" t="e">
        <f t="shared" si="276"/>
        <v>#N/A</v>
      </c>
      <c r="CE559" s="16" t="e">
        <f t="shared" si="277"/>
        <v>#N/A</v>
      </c>
      <c r="CF559" s="16">
        <f t="shared" si="278"/>
        <v>99</v>
      </c>
      <c r="CG559" s="16">
        <f t="shared" si="279"/>
        <v>0</v>
      </c>
      <c r="CH559" s="16">
        <f t="shared" si="272"/>
        <v>0</v>
      </c>
      <c r="CJ559" s="16" t="e">
        <f t="shared" si="280"/>
        <v>#N/A</v>
      </c>
      <c r="CK559" s="16" t="str">
        <f t="shared" si="281"/>
        <v/>
      </c>
    </row>
    <row r="560" spans="1:89" ht="12" customHeight="1">
      <c r="A560" s="211"/>
      <c r="B560" s="211"/>
      <c r="C560" s="211"/>
      <c r="D560" s="211"/>
      <c r="E560" s="211"/>
      <c r="F560" s="211"/>
      <c r="G560" s="211"/>
      <c r="H560" s="211"/>
      <c r="I560" s="211"/>
      <c r="J560" s="211"/>
      <c r="K560" s="211"/>
      <c r="L560" s="211"/>
      <c r="M560" s="211"/>
      <c r="N560" s="211"/>
      <c r="O560" s="211"/>
      <c r="BU560" s="16">
        <f t="shared" si="282"/>
        <v>0</v>
      </c>
      <c r="BV560" s="16">
        <f>IF($BY$12=1,NORMDIST(BY560,$Y$6,$Y$8,TRUE),IF($BY$12=2,IF(BY560&lt;=$BX$31,0,IF(BY560&gt;=$BX$32,1,(BY560-$BX$31)*$BX$33)),SUM($BU$42:BU560)/$BV$40))</f>
        <v>0.53585639258518136</v>
      </c>
      <c r="BW560" s="16">
        <f t="shared" si="283"/>
        <v>1.0290842637888098</v>
      </c>
      <c r="BX560" s="16">
        <f>IF($BY$12&lt;3,BV560,SUM($BZ$42:BZ560)/$BX$40)</f>
        <v>0.53585639258518136</v>
      </c>
      <c r="BY560" s="16">
        <f t="shared" si="273"/>
        <v>51.800000000000466</v>
      </c>
      <c r="BZ560" s="16">
        <f t="shared" si="274"/>
        <v>1.9866491578934373E-2</v>
      </c>
      <c r="CA560" s="16">
        <f t="shared" si="284"/>
        <v>-999</v>
      </c>
      <c r="CB560" s="16" t="str">
        <f t="shared" si="275"/>
        <v/>
      </c>
      <c r="CC560" s="16" t="e">
        <f>IF(CB560="",NA(),COUNTIF(CB560:$CB$704,CB560))</f>
        <v>#N/A</v>
      </c>
      <c r="CD560" s="16" t="e">
        <f t="shared" si="276"/>
        <v>#N/A</v>
      </c>
      <c r="CE560" s="16" t="e">
        <f t="shared" si="277"/>
        <v>#N/A</v>
      </c>
      <c r="CF560" s="16">
        <f t="shared" si="278"/>
        <v>99</v>
      </c>
      <c r="CG560" s="16">
        <f t="shared" si="279"/>
        <v>0</v>
      </c>
      <c r="CH560" s="16">
        <f t="shared" si="272"/>
        <v>0</v>
      </c>
      <c r="CJ560" s="16" t="e">
        <f t="shared" si="280"/>
        <v>#N/A</v>
      </c>
      <c r="CK560" s="16" t="str">
        <f t="shared" si="281"/>
        <v/>
      </c>
    </row>
    <row r="561" spans="1:89" ht="12" customHeight="1">
      <c r="A561" s="211"/>
      <c r="B561" s="211"/>
      <c r="C561" s="211"/>
      <c r="D561" s="211"/>
      <c r="E561" s="211"/>
      <c r="F561" s="211"/>
      <c r="G561" s="211"/>
      <c r="H561" s="211"/>
      <c r="I561" s="211"/>
      <c r="J561" s="211"/>
      <c r="K561" s="211"/>
      <c r="L561" s="211"/>
      <c r="M561" s="211"/>
      <c r="N561" s="211"/>
      <c r="O561" s="211"/>
      <c r="BU561" s="16">
        <f t="shared" si="282"/>
        <v>0</v>
      </c>
      <c r="BV561" s="16">
        <f>IF($BY$12=1,NORMDIST(BY561,$Y$6,$Y$8,TRUE),IF($BY$12=2,IF(BY561&lt;=$BX$31,0,IF(BY561&gt;=$BX$32,1,(BY561-$BX$31)*$BX$33)),SUM($BU$42:BU561)/$BV$40))</f>
        <v>0.5378425865391756</v>
      </c>
      <c r="BW561" s="16">
        <f t="shared" si="283"/>
        <v>1.0305941529087226</v>
      </c>
      <c r="BX561" s="16">
        <f>IF($BY$12&lt;3,BV561,SUM($BZ$42:BZ561)/$BX$40)</f>
        <v>0.5378425865391756</v>
      </c>
      <c r="BY561" s="16">
        <f t="shared" si="273"/>
        <v>51.900000000000468</v>
      </c>
      <c r="BZ561" s="16">
        <f t="shared" si="274"/>
        <v>1.9857305451034937E-2</v>
      </c>
      <c r="CA561" s="16">
        <f t="shared" si="284"/>
        <v>-999</v>
      </c>
      <c r="CB561" s="16" t="str">
        <f t="shared" si="275"/>
        <v/>
      </c>
      <c r="CC561" s="16" t="e">
        <f>IF(CB561="",NA(),COUNTIF(CB561:$CB$704,CB561))</f>
        <v>#N/A</v>
      </c>
      <c r="CD561" s="16" t="e">
        <f t="shared" si="276"/>
        <v>#N/A</v>
      </c>
      <c r="CE561" s="16" t="e">
        <f t="shared" si="277"/>
        <v>#N/A</v>
      </c>
      <c r="CF561" s="16">
        <f t="shared" si="278"/>
        <v>99</v>
      </c>
      <c r="CG561" s="16">
        <f t="shared" si="279"/>
        <v>0</v>
      </c>
      <c r="CH561" s="16">
        <f t="shared" si="272"/>
        <v>0</v>
      </c>
      <c r="CJ561" s="16" t="e">
        <f t="shared" si="280"/>
        <v>#N/A</v>
      </c>
      <c r="CK561" s="16" t="str">
        <f t="shared" si="281"/>
        <v/>
      </c>
    </row>
    <row r="562" spans="1:89" ht="12" customHeight="1">
      <c r="A562" s="211"/>
      <c r="B562" s="211"/>
      <c r="C562" s="211"/>
      <c r="D562" s="211"/>
      <c r="E562" s="211"/>
      <c r="F562" s="211"/>
      <c r="G562" s="211"/>
      <c r="H562" s="211"/>
      <c r="I562" s="211"/>
      <c r="J562" s="211"/>
      <c r="K562" s="211"/>
      <c r="L562" s="211"/>
      <c r="M562" s="211"/>
      <c r="N562" s="211"/>
      <c r="O562" s="211"/>
      <c r="BU562" s="16">
        <f t="shared" si="282"/>
        <v>0</v>
      </c>
      <c r="BV562" s="16">
        <f>IF($BY$12=1,NORMDIST(BY562,$Y$6,$Y$8,TRUE),IF($BY$12=2,IF(BY562&lt;=$BX$31,0,IF(BY562&gt;=$BX$32,1,(BY562-$BX$31)*$BX$33)),SUM($BU$42:BU562)/$BV$40))</f>
        <v>0.53982783727703831</v>
      </c>
      <c r="BW562" s="16">
        <f t="shared" si="283"/>
        <v>1.0320766234402374</v>
      </c>
      <c r="BX562" s="16">
        <f>IF($BY$12&lt;3,BV562,SUM($BZ$42:BZ562)/$BX$40)</f>
        <v>0.53982783727703831</v>
      </c>
      <c r="BY562" s="16">
        <f t="shared" si="273"/>
        <v>52.000000000000469</v>
      </c>
      <c r="BZ562" s="16">
        <f t="shared" si="274"/>
        <v>1.984762737385054E-2</v>
      </c>
      <c r="CA562" s="16">
        <f t="shared" si="284"/>
        <v>-999</v>
      </c>
      <c r="CB562" s="16" t="str">
        <f t="shared" si="275"/>
        <v/>
      </c>
      <c r="CC562" s="16" t="e">
        <f>IF(CB562="",NA(),COUNTIF(CB562:$CB$704,CB562))</f>
        <v>#N/A</v>
      </c>
      <c r="CD562" s="16" t="e">
        <f t="shared" si="276"/>
        <v>#N/A</v>
      </c>
      <c r="CE562" s="16" t="e">
        <f t="shared" si="277"/>
        <v>#N/A</v>
      </c>
      <c r="CF562" s="16">
        <f t="shared" si="278"/>
        <v>99</v>
      </c>
      <c r="CG562" s="16">
        <f t="shared" si="279"/>
        <v>0</v>
      </c>
      <c r="CH562" s="16">
        <f t="shared" si="272"/>
        <v>0</v>
      </c>
      <c r="CJ562" s="16" t="e">
        <f t="shared" si="280"/>
        <v>#N/A</v>
      </c>
      <c r="CK562" s="16" t="str">
        <f t="shared" si="281"/>
        <v/>
      </c>
    </row>
    <row r="563" spans="1:89" ht="12" customHeight="1">
      <c r="A563" s="211"/>
      <c r="B563" s="211"/>
      <c r="C563" s="211"/>
      <c r="D563" s="211"/>
      <c r="E563" s="211"/>
      <c r="F563" s="211"/>
      <c r="G563" s="211"/>
      <c r="H563" s="211"/>
      <c r="I563" s="211"/>
      <c r="J563" s="211"/>
      <c r="K563" s="211"/>
      <c r="L563" s="211"/>
      <c r="M563" s="211"/>
      <c r="N563" s="211"/>
      <c r="O563" s="211"/>
      <c r="BU563" s="16">
        <f t="shared" si="282"/>
        <v>0</v>
      </c>
      <c r="BV563" s="16">
        <f>IF($BY$12=1,NORMDIST(BY563,$Y$6,$Y$8,TRUE),IF($BY$12=2,IF(BY563&lt;=$BX$31,0,IF(BY563&gt;=$BX$32,1,(BY563-$BX$31)*$BX$33)),SUM($BU$42:BU563)/$BV$40))</f>
        <v>0.541812095639714</v>
      </c>
      <c r="BW563" s="16">
        <f t="shared" si="283"/>
        <v>1.033531565495353</v>
      </c>
      <c r="BX563" s="16">
        <f>IF($BY$12&lt;3,BV563,SUM($BZ$42:BZ563)/$BX$40)</f>
        <v>0.541812095639714</v>
      </c>
      <c r="BY563" s="16">
        <f t="shared" si="273"/>
        <v>52.10000000000047</v>
      </c>
      <c r="BZ563" s="16">
        <f t="shared" si="274"/>
        <v>1.9837458070927901E-2</v>
      </c>
      <c r="CA563" s="16">
        <f t="shared" si="284"/>
        <v>-999</v>
      </c>
      <c r="CB563" s="16" t="str">
        <f t="shared" si="275"/>
        <v/>
      </c>
      <c r="CC563" s="16" t="e">
        <f>IF(CB563="",NA(),COUNTIF(CB563:$CB$704,CB563))</f>
        <v>#N/A</v>
      </c>
      <c r="CD563" s="16" t="e">
        <f t="shared" si="276"/>
        <v>#N/A</v>
      </c>
      <c r="CE563" s="16" t="e">
        <f t="shared" si="277"/>
        <v>#N/A</v>
      </c>
      <c r="CF563" s="16">
        <f t="shared" si="278"/>
        <v>99</v>
      </c>
      <c r="CG563" s="16">
        <f t="shared" si="279"/>
        <v>0</v>
      </c>
      <c r="CH563" s="16">
        <f t="shared" si="272"/>
        <v>0</v>
      </c>
      <c r="CJ563" s="16" t="e">
        <f t="shared" si="280"/>
        <v>#N/A</v>
      </c>
      <c r="CK563" s="16" t="str">
        <f t="shared" si="281"/>
        <v/>
      </c>
    </row>
    <row r="564" spans="1:89" ht="12" customHeight="1">
      <c r="A564" s="211"/>
      <c r="B564" s="211"/>
      <c r="C564" s="211"/>
      <c r="D564" s="211"/>
      <c r="E564" s="211"/>
      <c r="F564" s="211"/>
      <c r="G564" s="211"/>
      <c r="H564" s="211"/>
      <c r="I564" s="211"/>
      <c r="J564" s="211"/>
      <c r="K564" s="211"/>
      <c r="L564" s="211"/>
      <c r="M564" s="211"/>
      <c r="N564" s="211"/>
      <c r="O564" s="211"/>
      <c r="BU564" s="16">
        <f t="shared" si="282"/>
        <v>0</v>
      </c>
      <c r="BV564" s="16">
        <f>IF($BY$12=1,NORMDIST(BY564,$Y$6,$Y$8,TRUE),IF($BY$12=2,IF(BY564&lt;=$BX$31,0,IF(BY564&gt;=$BX$32,1,(BY564-$BX$31)*$BX$33)),SUM($BU$42:BU564)/$BV$40))</f>
        <v>0.54379531254232616</v>
      </c>
      <c r="BW564" s="16">
        <f t="shared" si="283"/>
        <v>1.0349588713792464</v>
      </c>
      <c r="BX564" s="16">
        <f>IF($BY$12&lt;3,BV564,SUM($BZ$42:BZ564)/$BX$40)</f>
        <v>0.54379531254232616</v>
      </c>
      <c r="BY564" s="16">
        <f t="shared" si="273"/>
        <v>52.200000000000472</v>
      </c>
      <c r="BZ564" s="16">
        <f t="shared" si="274"/>
        <v>1.9826798302284235E-2</v>
      </c>
      <c r="CA564" s="16">
        <f t="shared" si="284"/>
        <v>-999</v>
      </c>
      <c r="CB564" s="16" t="str">
        <f t="shared" si="275"/>
        <v/>
      </c>
      <c r="CC564" s="16" t="e">
        <f>IF(CB564="",NA(),COUNTIF(CB564:$CB$704,CB564))</f>
        <v>#N/A</v>
      </c>
      <c r="CD564" s="16" t="e">
        <f t="shared" si="276"/>
        <v>#N/A</v>
      </c>
      <c r="CE564" s="16" t="e">
        <f t="shared" si="277"/>
        <v>#N/A</v>
      </c>
      <c r="CF564" s="16">
        <f t="shared" si="278"/>
        <v>99</v>
      </c>
      <c r="CG564" s="16">
        <f t="shared" si="279"/>
        <v>0</v>
      </c>
      <c r="CH564" s="16">
        <f t="shared" si="272"/>
        <v>0</v>
      </c>
      <c r="CJ564" s="16" t="e">
        <f t="shared" si="280"/>
        <v>#N/A</v>
      </c>
      <c r="CK564" s="16" t="str">
        <f t="shared" si="281"/>
        <v/>
      </c>
    </row>
    <row r="565" spans="1:89" ht="12" customHeight="1">
      <c r="A565" s="211"/>
      <c r="B565" s="211"/>
      <c r="C565" s="211"/>
      <c r="D565" s="211"/>
      <c r="E565" s="211"/>
      <c r="F565" s="211"/>
      <c r="G565" s="211"/>
      <c r="H565" s="211"/>
      <c r="I565" s="211"/>
      <c r="J565" s="211"/>
      <c r="K565" s="211"/>
      <c r="L565" s="211"/>
      <c r="M565" s="211"/>
      <c r="N565" s="211"/>
      <c r="O565" s="211"/>
      <c r="BU565" s="16">
        <f t="shared" si="282"/>
        <v>0</v>
      </c>
      <c r="BV565" s="16">
        <f>IF($BY$12=1,NORMDIST(BY565,$Y$6,$Y$8,TRUE),IF($BY$12=2,IF(BY565&lt;=$BX$31,0,IF(BY565&gt;=$BX$32,1,(BY565-$BX$31)*$BX$33)),SUM($BU$42:BU565)/$BV$40))</f>
        <v>0.54577743897781961</v>
      </c>
      <c r="BW565" s="16">
        <f t="shared" si="283"/>
        <v>1.0363584356035587</v>
      </c>
      <c r="BX565" s="16">
        <f>IF($BY$12&lt;3,BV565,SUM($BZ$42:BZ565)/$BX$40)</f>
        <v>0.54577743897781961</v>
      </c>
      <c r="BY565" s="16">
        <f t="shared" si="273"/>
        <v>52.300000000000473</v>
      </c>
      <c r="BZ565" s="16">
        <f t="shared" si="274"/>
        <v>1.9815648864312606E-2</v>
      </c>
      <c r="CA565" s="16">
        <f t="shared" si="284"/>
        <v>-999</v>
      </c>
      <c r="CB565" s="16" t="str">
        <f t="shared" si="275"/>
        <v/>
      </c>
      <c r="CC565" s="16" t="e">
        <f>IF(CB565="",NA(),COUNTIF(CB565:$CB$704,CB565))</f>
        <v>#N/A</v>
      </c>
      <c r="CD565" s="16" t="e">
        <f t="shared" si="276"/>
        <v>#N/A</v>
      </c>
      <c r="CE565" s="16" t="e">
        <f t="shared" si="277"/>
        <v>#N/A</v>
      </c>
      <c r="CF565" s="16">
        <f t="shared" si="278"/>
        <v>99</v>
      </c>
      <c r="CG565" s="16">
        <f t="shared" si="279"/>
        <v>0</v>
      </c>
      <c r="CH565" s="16">
        <f t="shared" si="272"/>
        <v>0</v>
      </c>
      <c r="CJ565" s="16" t="e">
        <f t="shared" si="280"/>
        <v>#N/A</v>
      </c>
      <c r="CK565" s="16" t="str">
        <f t="shared" si="281"/>
        <v/>
      </c>
    </row>
    <row r="566" spans="1:89" ht="12" customHeight="1">
      <c r="A566" s="211"/>
      <c r="B566" s="211"/>
      <c r="C566" s="211"/>
      <c r="D566" s="211"/>
      <c r="E566" s="211"/>
      <c r="F566" s="211"/>
      <c r="G566" s="211"/>
      <c r="H566" s="211"/>
      <c r="I566" s="211"/>
      <c r="J566" s="211"/>
      <c r="K566" s="211"/>
      <c r="L566" s="211"/>
      <c r="M566" s="211"/>
      <c r="N566" s="211"/>
      <c r="O566" s="211"/>
      <c r="BU566" s="16">
        <f t="shared" si="282"/>
        <v>0</v>
      </c>
      <c r="BV566" s="16">
        <f>IF($BY$12=1,NORMDIST(BY566,$Y$6,$Y$8,TRUE),IF($BY$12=2,IF(BY566&lt;=$BX$31,0,IF(BY566&gt;=$BX$32,1,(BY566-$BX$31)*$BX$33)),SUM($BU$42:BU566)/$BV$40))</f>
        <v>0.54775842602059321</v>
      </c>
      <c r="BW566" s="16">
        <f t="shared" si="283"/>
        <v>1.0377301548993851</v>
      </c>
      <c r="BX566" s="16">
        <f>IF($BY$12&lt;3,BV566,SUM($BZ$42:BZ566)/$BX$40)</f>
        <v>0.54775842602059321</v>
      </c>
      <c r="BY566" s="16">
        <f t="shared" si="273"/>
        <v>52.400000000000475</v>
      </c>
      <c r="BZ566" s="16">
        <f t="shared" si="274"/>
        <v>1.9804010589682744E-2</v>
      </c>
      <c r="CA566" s="16">
        <f t="shared" si="284"/>
        <v>-999</v>
      </c>
      <c r="CB566" s="16" t="str">
        <f t="shared" si="275"/>
        <v/>
      </c>
      <c r="CC566" s="16" t="e">
        <f>IF(CB566="",NA(),COUNTIF(CB566:$CB$704,CB566))</f>
        <v>#N/A</v>
      </c>
      <c r="CD566" s="16" t="e">
        <f t="shared" si="276"/>
        <v>#N/A</v>
      </c>
      <c r="CE566" s="16" t="e">
        <f t="shared" si="277"/>
        <v>#N/A</v>
      </c>
      <c r="CF566" s="16">
        <f t="shared" si="278"/>
        <v>99</v>
      </c>
      <c r="CG566" s="16">
        <f t="shared" si="279"/>
        <v>0</v>
      </c>
      <c r="CH566" s="16">
        <f t="shared" si="272"/>
        <v>0</v>
      </c>
      <c r="CJ566" s="16" t="e">
        <f t="shared" si="280"/>
        <v>#N/A</v>
      </c>
      <c r="CK566" s="16" t="str">
        <f t="shared" si="281"/>
        <v/>
      </c>
    </row>
    <row r="567" spans="1:89" ht="12" customHeight="1">
      <c r="A567" s="211"/>
      <c r="B567" s="211"/>
      <c r="C567" s="211"/>
      <c r="D567" s="211"/>
      <c r="E567" s="211"/>
      <c r="F567" s="211"/>
      <c r="G567" s="211"/>
      <c r="H567" s="211"/>
      <c r="I567" s="211"/>
      <c r="J567" s="211"/>
      <c r="K567" s="211"/>
      <c r="L567" s="211"/>
      <c r="M567" s="211"/>
      <c r="N567" s="211"/>
      <c r="O567" s="211"/>
      <c r="BU567" s="16">
        <f t="shared" si="282"/>
        <v>0</v>
      </c>
      <c r="BV567" s="16">
        <f>IF($BY$12=1,NORMDIST(BY567,$Y$6,$Y$8,TRUE),IF($BY$12=2,IF(BY567&lt;=$BX$31,0,IF(BY567&gt;=$BX$32,1,(BY567-$BX$31)*$BX$33)),SUM($BU$42:BU567)/$BV$40))</f>
        <v>0.54973822483012236</v>
      </c>
      <c r="BW567" s="16">
        <f t="shared" si="283"/>
        <v>1.0390739282299737</v>
      </c>
      <c r="BX567" s="16">
        <f>IF($BY$12&lt;3,BV567,SUM($BZ$42:BZ567)/$BX$40)</f>
        <v>0.54973822483012236</v>
      </c>
      <c r="BY567" s="16">
        <f t="shared" si="273"/>
        <v>52.500000000000476</v>
      </c>
      <c r="BZ567" s="16">
        <f t="shared" si="274"/>
        <v>1.9791884347237415E-2</v>
      </c>
      <c r="CA567" s="16">
        <f t="shared" si="284"/>
        <v>-999</v>
      </c>
      <c r="CB567" s="16" t="str">
        <f t="shared" si="275"/>
        <v/>
      </c>
      <c r="CC567" s="16" t="e">
        <f>IF(CB567="",NA(),COUNTIF(CB567:$CB$704,CB567))</f>
        <v>#N/A</v>
      </c>
      <c r="CD567" s="16" t="e">
        <f t="shared" si="276"/>
        <v>#N/A</v>
      </c>
      <c r="CE567" s="16" t="e">
        <f t="shared" si="277"/>
        <v>#N/A</v>
      </c>
      <c r="CF567" s="16">
        <f t="shared" si="278"/>
        <v>99</v>
      </c>
      <c r="CG567" s="16">
        <f t="shared" si="279"/>
        <v>0</v>
      </c>
      <c r="CH567" s="16">
        <f t="shared" si="272"/>
        <v>0</v>
      </c>
      <c r="CJ567" s="16" t="e">
        <f t="shared" si="280"/>
        <v>#N/A</v>
      </c>
      <c r="CK567" s="16" t="str">
        <f t="shared" si="281"/>
        <v/>
      </c>
    </row>
    <row r="568" spans="1:89" ht="12" customHeight="1">
      <c r="A568" s="211"/>
      <c r="B568" s="211"/>
      <c r="C568" s="211"/>
      <c r="D568" s="211"/>
      <c r="E568" s="211"/>
      <c r="F568" s="211"/>
      <c r="G568" s="211"/>
      <c r="H568" s="211"/>
      <c r="I568" s="211"/>
      <c r="J568" s="211"/>
      <c r="K568" s="211"/>
      <c r="L568" s="211"/>
      <c r="M568" s="211"/>
      <c r="N568" s="211"/>
      <c r="O568" s="211"/>
      <c r="BU568" s="16">
        <f t="shared" si="282"/>
        <v>0</v>
      </c>
      <c r="BV568" s="16">
        <f>IF($BY$12=1,NORMDIST(BY568,$Y$6,$Y$8,TRUE),IF($BY$12=2,IF(BY568&lt;=$BX$31,0,IF(BY568&gt;=$BX$32,1,(BY568-$BX$31)*$BX$33)),SUM($BU$42:BU568)/$BV$40))</f>
        <v>0.55171678665457058</v>
      </c>
      <c r="BW568" s="16">
        <f t="shared" si="283"/>
        <v>1.0403896568031239</v>
      </c>
      <c r="BX568" s="16">
        <f>IF($BY$12&lt;3,BV568,SUM($BZ$42:BZ568)/$BX$40)</f>
        <v>0.55171678665457058</v>
      </c>
      <c r="BY568" s="16">
        <f t="shared" si="273"/>
        <v>52.600000000000477</v>
      </c>
      <c r="BZ568" s="16">
        <f t="shared" si="274"/>
        <v>1.9779271041884306E-2</v>
      </c>
      <c r="CA568" s="16">
        <f t="shared" si="284"/>
        <v>-999</v>
      </c>
      <c r="CB568" s="16" t="str">
        <f t="shared" si="275"/>
        <v/>
      </c>
      <c r="CC568" s="16" t="e">
        <f>IF(CB568="",NA(),COUNTIF(CB568:$CB$704,CB568))</f>
        <v>#N/A</v>
      </c>
      <c r="CD568" s="16" t="e">
        <f t="shared" si="276"/>
        <v>#N/A</v>
      </c>
      <c r="CE568" s="16" t="e">
        <f t="shared" si="277"/>
        <v>#N/A</v>
      </c>
      <c r="CF568" s="16">
        <f t="shared" si="278"/>
        <v>99</v>
      </c>
      <c r="CG568" s="16">
        <f t="shared" si="279"/>
        <v>0</v>
      </c>
      <c r="CH568" s="16">
        <f t="shared" si="272"/>
        <v>0</v>
      </c>
      <c r="CJ568" s="16" t="e">
        <f t="shared" si="280"/>
        <v>#N/A</v>
      </c>
      <c r="CK568" s="16" t="str">
        <f t="shared" si="281"/>
        <v/>
      </c>
    </row>
    <row r="569" spans="1:89" ht="12" customHeight="1">
      <c r="A569" s="211"/>
      <c r="B569" s="211"/>
      <c r="C569" s="211"/>
      <c r="D569" s="211"/>
      <c r="E569" s="211"/>
      <c r="F569" s="211"/>
      <c r="G569" s="211"/>
      <c r="H569" s="211"/>
      <c r="I569" s="211"/>
      <c r="J569" s="211"/>
      <c r="K569" s="211"/>
      <c r="L569" s="211"/>
      <c r="M569" s="211"/>
      <c r="N569" s="211"/>
      <c r="O569" s="211"/>
      <c r="BU569" s="16">
        <f t="shared" si="282"/>
        <v>0</v>
      </c>
      <c r="BV569" s="16">
        <f>IF($BY$12=1,NORMDIST(BY569,$Y$6,$Y$8,TRUE),IF($BY$12=2,IF(BY569&lt;=$BX$31,0,IF(BY569&gt;=$BX$32,1,(BY569-$BX$31)*$BX$33)),SUM($BU$42:BU569)/$BV$40))</f>
        <v>0.55369406283439115</v>
      </c>
      <c r="BW569" s="16">
        <f t="shared" si="283"/>
        <v>1.0416772440832898</v>
      </c>
      <c r="BX569" s="16">
        <f>IF($BY$12&lt;3,BV569,SUM($BZ$42:BZ569)/$BX$40)</f>
        <v>0.55369406283439115</v>
      </c>
      <c r="BY569" s="16">
        <f t="shared" si="273"/>
        <v>52.700000000000479</v>
      </c>
      <c r="BZ569" s="16">
        <f t="shared" si="274"/>
        <v>1.9766171614483498E-2</v>
      </c>
      <c r="CA569" s="16">
        <f t="shared" si="284"/>
        <v>-999</v>
      </c>
      <c r="CB569" s="16" t="str">
        <f t="shared" si="275"/>
        <v/>
      </c>
      <c r="CC569" s="16" t="e">
        <f>IF(CB569="",NA(),COUNTIF(CB569:$CB$704,CB569))</f>
        <v>#N/A</v>
      </c>
      <c r="CD569" s="16" t="e">
        <f t="shared" si="276"/>
        <v>#N/A</v>
      </c>
      <c r="CE569" s="16" t="e">
        <f t="shared" si="277"/>
        <v>#N/A</v>
      </c>
      <c r="CF569" s="16">
        <f t="shared" si="278"/>
        <v>99</v>
      </c>
      <c r="CG569" s="16">
        <f t="shared" si="279"/>
        <v>0</v>
      </c>
      <c r="CH569" s="16">
        <f t="shared" si="272"/>
        <v>0</v>
      </c>
      <c r="CJ569" s="16" t="e">
        <f t="shared" si="280"/>
        <v>#N/A</v>
      </c>
      <c r="CK569" s="16" t="str">
        <f t="shared" si="281"/>
        <v/>
      </c>
    </row>
    <row r="570" spans="1:89" ht="12" customHeight="1">
      <c r="A570" s="211"/>
      <c r="B570" s="211"/>
      <c r="C570" s="211"/>
      <c r="D570" s="211"/>
      <c r="E570" s="211"/>
      <c r="F570" s="211"/>
      <c r="G570" s="211"/>
      <c r="H570" s="211"/>
      <c r="I570" s="211"/>
      <c r="J570" s="211"/>
      <c r="K570" s="211"/>
      <c r="L570" s="211"/>
      <c r="M570" s="211"/>
      <c r="N570" s="211"/>
      <c r="O570" s="211"/>
      <c r="BU570" s="16">
        <f t="shared" si="282"/>
        <v>0</v>
      </c>
      <c r="BV570" s="16">
        <f>IF($BY$12=1,NORMDIST(BY570,$Y$6,$Y$8,TRUE),IF($BY$12=2,IF(BY570&lt;=$BX$31,0,IF(BY570&gt;=$BX$32,1,(BY570-$BX$31)*$BX$33)),SUM($BU$42:BU570)/$BV$40))</f>
        <v>0.55567000480591588</v>
      </c>
      <c r="BW570" s="16">
        <f t="shared" si="283"/>
        <v>1.0429365958033796</v>
      </c>
      <c r="BX570" s="16">
        <f>IF($BY$12&lt;3,BV570,SUM($BZ$42:BZ570)/$BX$40)</f>
        <v>0.55567000480591588</v>
      </c>
      <c r="BY570" s="16">
        <f t="shared" si="273"/>
        <v>52.80000000000048</v>
      </c>
      <c r="BZ570" s="16">
        <f t="shared" si="274"/>
        <v>1.9752587041730493E-2</v>
      </c>
      <c r="CA570" s="16">
        <f t="shared" si="284"/>
        <v>-999</v>
      </c>
      <c r="CB570" s="16" t="str">
        <f t="shared" si="275"/>
        <v/>
      </c>
      <c r="CC570" s="16" t="e">
        <f>IF(CB570="",NA(),COUNTIF(CB570:$CB$704,CB570))</f>
        <v>#N/A</v>
      </c>
      <c r="CD570" s="16" t="e">
        <f t="shared" si="276"/>
        <v>#N/A</v>
      </c>
      <c r="CE570" s="16" t="e">
        <f t="shared" si="277"/>
        <v>#N/A</v>
      </c>
      <c r="CF570" s="16">
        <f t="shared" si="278"/>
        <v>99</v>
      </c>
      <c r="CG570" s="16">
        <f t="shared" si="279"/>
        <v>0</v>
      </c>
      <c r="CH570" s="16">
        <f t="shared" si="272"/>
        <v>0</v>
      </c>
      <c r="CJ570" s="16" t="e">
        <f t="shared" si="280"/>
        <v>#N/A</v>
      </c>
      <c r="CK570" s="16" t="str">
        <f t="shared" si="281"/>
        <v/>
      </c>
    </row>
    <row r="571" spans="1:89" ht="12" customHeight="1">
      <c r="A571" s="211"/>
      <c r="B571" s="211"/>
      <c r="C571" s="211"/>
      <c r="D571" s="211"/>
      <c r="E571" s="211"/>
      <c r="F571" s="211"/>
      <c r="G571" s="211"/>
      <c r="H571" s="211"/>
      <c r="I571" s="211"/>
      <c r="J571" s="211"/>
      <c r="K571" s="211"/>
      <c r="L571" s="211"/>
      <c r="M571" s="211"/>
      <c r="N571" s="211"/>
      <c r="O571" s="211"/>
      <c r="BU571" s="16">
        <f t="shared" si="282"/>
        <v>0</v>
      </c>
      <c r="BV571" s="16">
        <f>IF($BY$12=1,NORMDIST(BY571,$Y$6,$Y$8,TRUE),IF($BY$12=2,IF(BY571&lt;=$BX$31,0,IF(BY571&gt;=$BX$32,1,(BY571-$BX$31)*$BX$33)),SUM($BU$42:BU571)/$BV$40))</f>
        <v>0.55764456410493302</v>
      </c>
      <c r="BW571" s="16">
        <f t="shared" si="283"/>
        <v>1.0441676199762522</v>
      </c>
      <c r="BX571" s="16">
        <f>IF($BY$12&lt;3,BV571,SUM($BZ$42:BZ571)/$BX$40)</f>
        <v>0.55764456410493302</v>
      </c>
      <c r="BY571" s="16">
        <f t="shared" si="273"/>
        <v>52.900000000000482</v>
      </c>
      <c r="BZ571" s="16">
        <f t="shared" si="274"/>
        <v>1.9738518336034832E-2</v>
      </c>
      <c r="CA571" s="16">
        <f t="shared" si="284"/>
        <v>-999</v>
      </c>
      <c r="CB571" s="16" t="str">
        <f t="shared" si="275"/>
        <v/>
      </c>
      <c r="CC571" s="16" t="e">
        <f>IF(CB571="",NA(),COUNTIF(CB571:$CB$704,CB571))</f>
        <v>#N/A</v>
      </c>
      <c r="CD571" s="16" t="e">
        <f t="shared" si="276"/>
        <v>#N/A</v>
      </c>
      <c r="CE571" s="16" t="e">
        <f t="shared" si="277"/>
        <v>#N/A</v>
      </c>
      <c r="CF571" s="16">
        <f t="shared" si="278"/>
        <v>99</v>
      </c>
      <c r="CG571" s="16">
        <f t="shared" si="279"/>
        <v>0</v>
      </c>
      <c r="CH571" s="16">
        <f t="shared" si="272"/>
        <v>0</v>
      </c>
      <c r="CJ571" s="16" t="e">
        <f t="shared" si="280"/>
        <v>#N/A</v>
      </c>
      <c r="CK571" s="16" t="str">
        <f t="shared" si="281"/>
        <v/>
      </c>
    </row>
    <row r="572" spans="1:89" ht="12" customHeight="1">
      <c r="A572" s="211"/>
      <c r="B572" s="211"/>
      <c r="C572" s="211"/>
      <c r="D572" s="211"/>
      <c r="E572" s="211"/>
      <c r="F572" s="211"/>
      <c r="G572" s="211"/>
      <c r="H572" s="211"/>
      <c r="I572" s="211"/>
      <c r="J572" s="211"/>
      <c r="K572" s="211"/>
      <c r="L572" s="211"/>
      <c r="M572" s="211"/>
      <c r="N572" s="211"/>
      <c r="O572" s="211"/>
      <c r="BU572" s="16">
        <f t="shared" si="282"/>
        <v>0</v>
      </c>
      <c r="BV572" s="16">
        <f>IF($BY$12=1,NORMDIST(BY572,$Y$6,$Y$8,TRUE),IF($BY$12=2,IF(BY572&lt;=$BX$31,0,IF(BY572&gt;=$BX$32,1,(BY572-$BX$31)*$BX$33)),SUM($BU$42:BU572)/$BV$40))</f>
        <v>0.55961769237025205</v>
      </c>
      <c r="BW572" s="16">
        <f t="shared" si="283"/>
        <v>1.0453702269059113</v>
      </c>
      <c r="BX572" s="16">
        <f>IF($BY$12&lt;3,BV572,SUM($BZ$42:BZ572)/$BX$40)</f>
        <v>0.55961769237025205</v>
      </c>
      <c r="BY572" s="16">
        <f t="shared" si="273"/>
        <v>53.000000000000483</v>
      </c>
      <c r="BZ572" s="16">
        <f t="shared" si="274"/>
        <v>1.9723966545394371E-2</v>
      </c>
      <c r="CA572" s="16">
        <f t="shared" si="284"/>
        <v>-999</v>
      </c>
      <c r="CB572" s="16" t="str">
        <f t="shared" si="275"/>
        <v/>
      </c>
      <c r="CC572" s="16" t="e">
        <f>IF(CB572="",NA(),COUNTIF(CB572:$CB$704,CB572))</f>
        <v>#N/A</v>
      </c>
      <c r="CD572" s="16" t="e">
        <f t="shared" si="276"/>
        <v>#N/A</v>
      </c>
      <c r="CE572" s="16" t="e">
        <f t="shared" si="277"/>
        <v>#N/A</v>
      </c>
      <c r="CF572" s="16">
        <f t="shared" si="278"/>
        <v>99</v>
      </c>
      <c r="CG572" s="16">
        <f t="shared" si="279"/>
        <v>0</v>
      </c>
      <c r="CH572" s="16">
        <f t="shared" si="272"/>
        <v>0</v>
      </c>
      <c r="CJ572" s="16" t="e">
        <f t="shared" si="280"/>
        <v>#N/A</v>
      </c>
      <c r="CK572" s="16" t="str">
        <f t="shared" si="281"/>
        <v/>
      </c>
    </row>
    <row r="573" spans="1:89" ht="12" customHeight="1">
      <c r="A573" s="211"/>
      <c r="B573" s="211"/>
      <c r="C573" s="211"/>
      <c r="D573" s="211"/>
      <c r="E573" s="211"/>
      <c r="F573" s="211"/>
      <c r="G573" s="211"/>
      <c r="H573" s="211"/>
      <c r="I573" s="211"/>
      <c r="J573" s="211"/>
      <c r="K573" s="211"/>
      <c r="L573" s="211"/>
      <c r="M573" s="211"/>
      <c r="N573" s="211"/>
      <c r="O573" s="211"/>
      <c r="BU573" s="16">
        <f t="shared" si="282"/>
        <v>0</v>
      </c>
      <c r="BV573" s="16">
        <f>IF($BY$12=1,NORMDIST(BY573,$Y$6,$Y$8,TRUE),IF($BY$12=2,IF(BY573&lt;=$BX$31,0,IF(BY573&gt;=$BX$32,1,(BY573-$BX$31)*$BX$33)),SUM($BU$42:BU573)/$BV$40))</f>
        <v>0.56158934134725635</v>
      </c>
      <c r="BW573" s="16">
        <f t="shared" si="283"/>
        <v>1.0465443291983889</v>
      </c>
      <c r="BX573" s="16">
        <f>IF($BY$12&lt;3,BV573,SUM($BZ$42:BZ573)/$BX$40)</f>
        <v>0.56158934134725635</v>
      </c>
      <c r="BY573" s="16">
        <f t="shared" si="273"/>
        <v>53.100000000000485</v>
      </c>
      <c r="BZ573" s="16">
        <f t="shared" si="274"/>
        <v>1.970893275326515E-2</v>
      </c>
      <c r="CA573" s="16">
        <f t="shared" si="284"/>
        <v>-999</v>
      </c>
      <c r="CB573" s="16" t="str">
        <f t="shared" si="275"/>
        <v/>
      </c>
      <c r="CC573" s="16" t="e">
        <f>IF(CB573="",NA(),COUNTIF(CB573:$CB$704,CB573))</f>
        <v>#N/A</v>
      </c>
      <c r="CD573" s="16" t="e">
        <f t="shared" si="276"/>
        <v>#N/A</v>
      </c>
      <c r="CE573" s="16" t="e">
        <f t="shared" si="277"/>
        <v>#N/A</v>
      </c>
      <c r="CF573" s="16">
        <f t="shared" si="278"/>
        <v>99</v>
      </c>
      <c r="CG573" s="16">
        <f t="shared" si="279"/>
        <v>0</v>
      </c>
      <c r="CH573" s="16">
        <f t="shared" si="272"/>
        <v>0</v>
      </c>
      <c r="CJ573" s="16" t="e">
        <f t="shared" si="280"/>
        <v>#N/A</v>
      </c>
      <c r="CK573" s="16" t="str">
        <f t="shared" si="281"/>
        <v/>
      </c>
    </row>
    <row r="574" spans="1:89" ht="12" customHeight="1">
      <c r="A574" s="211"/>
      <c r="B574" s="211"/>
      <c r="C574" s="211"/>
      <c r="D574" s="211"/>
      <c r="E574" s="211"/>
      <c r="F574" s="211"/>
      <c r="G574" s="211"/>
      <c r="H574" s="211"/>
      <c r="I574" s="211"/>
      <c r="J574" s="211"/>
      <c r="K574" s="211"/>
      <c r="L574" s="211"/>
      <c r="M574" s="211"/>
      <c r="N574" s="211"/>
      <c r="O574" s="211"/>
      <c r="BU574" s="16">
        <f t="shared" si="282"/>
        <v>0</v>
      </c>
      <c r="BV574" s="16">
        <f>IF($BY$12=1,NORMDIST(BY574,$Y$6,$Y$8,TRUE),IF($BY$12=2,IF(BY574&lt;=$BX$31,0,IF(BY574&gt;=$BX$32,1,(BY574-$BX$31)*$BX$33)),SUM($BU$42:BU574)/$BV$40))</f>
        <v>0.56355946289144243</v>
      </c>
      <c r="BW574" s="16">
        <f t="shared" si="283"/>
        <v>1.0476898417723239</v>
      </c>
      <c r="BX574" s="16">
        <f>IF($BY$12&lt;3,BV574,SUM($BZ$42:BZ574)/$BX$40)</f>
        <v>0.56355946289144243</v>
      </c>
      <c r="BY574" s="16">
        <f t="shared" si="273"/>
        <v>53.200000000000486</v>
      </c>
      <c r="BZ574" s="16">
        <f t="shared" si="274"/>
        <v>1.9693418078426964E-2</v>
      </c>
      <c r="CA574" s="16">
        <f t="shared" si="284"/>
        <v>-999</v>
      </c>
      <c r="CB574" s="16" t="str">
        <f t="shared" si="275"/>
        <v/>
      </c>
      <c r="CC574" s="16" t="e">
        <f>IF(CB574="",NA(),COUNTIF(CB574:$CB$704,CB574))</f>
        <v>#N/A</v>
      </c>
      <c r="CD574" s="16" t="e">
        <f t="shared" si="276"/>
        <v>#N/A</v>
      </c>
      <c r="CE574" s="16" t="e">
        <f t="shared" si="277"/>
        <v>#N/A</v>
      </c>
      <c r="CF574" s="16">
        <f t="shared" si="278"/>
        <v>99</v>
      </c>
      <c r="CG574" s="16">
        <f t="shared" si="279"/>
        <v>0</v>
      </c>
      <c r="CH574" s="16">
        <f t="shared" si="272"/>
        <v>0</v>
      </c>
      <c r="CJ574" s="16" t="e">
        <f t="shared" si="280"/>
        <v>#N/A</v>
      </c>
      <c r="CK574" s="16" t="str">
        <f t="shared" si="281"/>
        <v/>
      </c>
    </row>
    <row r="575" spans="1:89" ht="12" customHeight="1">
      <c r="A575" s="211"/>
      <c r="B575" s="211"/>
      <c r="C575" s="211"/>
      <c r="D575" s="211"/>
      <c r="E575" s="211"/>
      <c r="F575" s="211"/>
      <c r="G575" s="211"/>
      <c r="H575" s="211"/>
      <c r="I575" s="211"/>
      <c r="J575" s="211"/>
      <c r="K575" s="211"/>
      <c r="L575" s="211"/>
      <c r="M575" s="211"/>
      <c r="N575" s="211"/>
      <c r="O575" s="211"/>
      <c r="BU575" s="16">
        <f t="shared" si="282"/>
        <v>0</v>
      </c>
      <c r="BV575" s="16">
        <f>IF($BY$12=1,NORMDIST(BY575,$Y$6,$Y$8,TRUE),IF($BY$12=2,IF(BY575&lt;=$BX$31,0,IF(BY575&gt;=$BX$32,1,(BY575-$BX$31)*$BX$33)),SUM($BU$42:BU575)/$BV$40))</f>
        <v>0.56552800897194477</v>
      </c>
      <c r="BW575" s="16">
        <f t="shared" si="283"/>
        <v>1.0488066818692263</v>
      </c>
      <c r="BX575" s="16">
        <f>IF($BY$12&lt;3,BV575,SUM($BZ$42:BZ575)/$BX$40)</f>
        <v>0.56552800897194477</v>
      </c>
      <c r="BY575" s="16">
        <f t="shared" si="273"/>
        <v>53.300000000000487</v>
      </c>
      <c r="BZ575" s="16">
        <f t="shared" si="274"/>
        <v>1.9677423674844593E-2</v>
      </c>
      <c r="CA575" s="16">
        <f t="shared" si="284"/>
        <v>-999</v>
      </c>
      <c r="CB575" s="16" t="str">
        <f t="shared" si="275"/>
        <v/>
      </c>
      <c r="CC575" s="16" t="e">
        <f>IF(CB575="",NA(),COUNTIF(CB575:$CB$704,CB575))</f>
        <v>#N/A</v>
      </c>
      <c r="CD575" s="16" t="e">
        <f t="shared" si="276"/>
        <v>#N/A</v>
      </c>
      <c r="CE575" s="16" t="e">
        <f t="shared" si="277"/>
        <v>#N/A</v>
      </c>
      <c r="CF575" s="16">
        <f t="shared" si="278"/>
        <v>99</v>
      </c>
      <c r="CG575" s="16">
        <f t="shared" si="279"/>
        <v>0</v>
      </c>
      <c r="CH575" s="16">
        <f t="shared" si="272"/>
        <v>0</v>
      </c>
      <c r="CJ575" s="16" t="e">
        <f t="shared" si="280"/>
        <v>#N/A</v>
      </c>
      <c r="CK575" s="16" t="str">
        <f t="shared" si="281"/>
        <v/>
      </c>
    </row>
    <row r="576" spans="1:89" ht="12" customHeight="1">
      <c r="A576" s="211"/>
      <c r="B576" s="211"/>
      <c r="C576" s="211"/>
      <c r="D576" s="211"/>
      <c r="E576" s="211"/>
      <c r="F576" s="211"/>
      <c r="G576" s="211"/>
      <c r="H576" s="211"/>
      <c r="I576" s="211"/>
      <c r="J576" s="211"/>
      <c r="K576" s="211"/>
      <c r="L576" s="211"/>
      <c r="M576" s="211"/>
      <c r="N576" s="211"/>
      <c r="O576" s="211"/>
      <c r="BU576" s="16">
        <f t="shared" si="282"/>
        <v>0</v>
      </c>
      <c r="BV576" s="16">
        <f>IF($BY$12=1,NORMDIST(BY576,$Y$6,$Y$8,TRUE),IF($BY$12=2,IF(BY576&lt;=$BX$31,0,IF(BY576&gt;=$BX$32,1,(BY576-$BX$31)*$BX$33)),SUM($BU$42:BU576)/$BV$40))</f>
        <v>0.56749493167504805</v>
      </c>
      <c r="BW576" s="16">
        <f t="shared" si="283"/>
        <v>1.0498947690634326</v>
      </c>
      <c r="BX576" s="16">
        <f>IF($BY$12&lt;3,BV576,SUM($BZ$42:BZ576)/$BX$40)</f>
        <v>0.56749493167504805</v>
      </c>
      <c r="BY576" s="16">
        <f t="shared" si="273"/>
        <v>53.400000000000489</v>
      </c>
      <c r="BZ576" s="16">
        <f t="shared" si="274"/>
        <v>1.9660950731524775E-2</v>
      </c>
      <c r="CA576" s="16">
        <f t="shared" si="284"/>
        <v>-999</v>
      </c>
      <c r="CB576" s="16" t="str">
        <f t="shared" si="275"/>
        <v/>
      </c>
      <c r="CC576" s="16" t="e">
        <f>IF(CB576="",NA(),COUNTIF(CB576:$CB$704,CB576))</f>
        <v>#N/A</v>
      </c>
      <c r="CD576" s="16" t="e">
        <f t="shared" si="276"/>
        <v>#N/A</v>
      </c>
      <c r="CE576" s="16" t="e">
        <f t="shared" si="277"/>
        <v>#N/A</v>
      </c>
      <c r="CF576" s="16">
        <f t="shared" si="278"/>
        <v>99</v>
      </c>
      <c r="CG576" s="16">
        <f t="shared" si="279"/>
        <v>0</v>
      </c>
      <c r="CH576" s="16">
        <f t="shared" si="272"/>
        <v>0</v>
      </c>
      <c r="CJ576" s="16" t="e">
        <f t="shared" si="280"/>
        <v>#N/A</v>
      </c>
      <c r="CK576" s="16" t="str">
        <f t="shared" si="281"/>
        <v/>
      </c>
    </row>
    <row r="577" spans="1:89" ht="12" customHeight="1">
      <c r="A577" s="211"/>
      <c r="B577" s="211"/>
      <c r="C577" s="211"/>
      <c r="D577" s="211"/>
      <c r="E577" s="211"/>
      <c r="F577" s="211"/>
      <c r="G577" s="211"/>
      <c r="H577" s="211"/>
      <c r="I577" s="211"/>
      <c r="J577" s="211"/>
      <c r="K577" s="211"/>
      <c r="L577" s="211"/>
      <c r="M577" s="211"/>
      <c r="N577" s="211"/>
      <c r="O577" s="211"/>
      <c r="BU577" s="16">
        <f t="shared" si="282"/>
        <v>0</v>
      </c>
      <c r="BV577" s="16">
        <f>IF($BY$12=1,NORMDIST(BY577,$Y$6,$Y$8,TRUE),IF($BY$12=2,IF(BY577&lt;=$BX$31,0,IF(BY577&gt;=$BX$32,1,(BY577-$BX$31)*$BX$33)),SUM($BU$42:BU577)/$BV$40))</f>
        <v>0.56946018320768332</v>
      </c>
      <c r="BW577" s="16">
        <f t="shared" si="283"/>
        <v>1.0509540252717446</v>
      </c>
      <c r="BX577" s="16">
        <f>IF($BY$12&lt;3,BV577,SUM($BZ$42:BZ577)/$BX$40)</f>
        <v>0.56946018320768332</v>
      </c>
      <c r="BY577" s="16">
        <f t="shared" si="273"/>
        <v>53.50000000000049</v>
      </c>
      <c r="BZ577" s="16">
        <f t="shared" si="274"/>
        <v>1.9644000472368878E-2</v>
      </c>
      <c r="CA577" s="16">
        <f t="shared" si="284"/>
        <v>-999</v>
      </c>
      <c r="CB577" s="16" t="str">
        <f t="shared" si="275"/>
        <v/>
      </c>
      <c r="CC577" s="16" t="e">
        <f>IF(CB577="",NA(),COUNTIF(CB577:$CB$704,CB577))</f>
        <v>#N/A</v>
      </c>
      <c r="CD577" s="16" t="e">
        <f t="shared" si="276"/>
        <v>#N/A</v>
      </c>
      <c r="CE577" s="16" t="e">
        <f t="shared" si="277"/>
        <v>#N/A</v>
      </c>
      <c r="CF577" s="16">
        <f t="shared" si="278"/>
        <v>99</v>
      </c>
      <c r="CG577" s="16">
        <f t="shared" si="279"/>
        <v>0</v>
      </c>
      <c r="CH577" s="16">
        <f t="shared" si="272"/>
        <v>0</v>
      </c>
      <c r="CJ577" s="16" t="e">
        <f t="shared" si="280"/>
        <v>#N/A</v>
      </c>
      <c r="CK577" s="16" t="str">
        <f t="shared" si="281"/>
        <v/>
      </c>
    </row>
    <row r="578" spans="1:89" ht="12" customHeight="1">
      <c r="A578" s="211"/>
      <c r="B578" s="211"/>
      <c r="C578" s="211"/>
      <c r="D578" s="211"/>
      <c r="E578" s="211"/>
      <c r="F578" s="211"/>
      <c r="G578" s="211"/>
      <c r="H578" s="211"/>
      <c r="I578" s="211"/>
      <c r="J578" s="211"/>
      <c r="K578" s="211"/>
      <c r="L578" s="211"/>
      <c r="M578" s="211"/>
      <c r="N578" s="211"/>
      <c r="O578" s="211"/>
      <c r="BU578" s="16">
        <f t="shared" si="282"/>
        <v>0</v>
      </c>
      <c r="BV578" s="16">
        <f>IF($BY$12=1,NORMDIST(BY578,$Y$6,$Y$8,TRUE),IF($BY$12=2,IF(BY578&lt;=$BX$31,0,IF(BY578&gt;=$BX$32,1,(BY578-$BX$31)*$BX$33)),SUM($BU$42:BU578)/$BV$40))</f>
        <v>0.57142371590091035</v>
      </c>
      <c r="BW578" s="16">
        <f t="shared" si="283"/>
        <v>1.0519843747627544</v>
      </c>
      <c r="BX578" s="16">
        <f>IF($BY$12&lt;3,BV578,SUM($BZ$42:BZ578)/$BX$40)</f>
        <v>0.57142371590091035</v>
      </c>
      <c r="BY578" s="16">
        <f t="shared" si="273"/>
        <v>53.600000000000492</v>
      </c>
      <c r="BZ578" s="16">
        <f t="shared" si="274"/>
        <v>1.9626574156021356E-2</v>
      </c>
      <c r="CA578" s="16">
        <f t="shared" si="284"/>
        <v>-999</v>
      </c>
      <c r="CB578" s="16" t="str">
        <f t="shared" si="275"/>
        <v/>
      </c>
      <c r="CC578" s="16" t="e">
        <f>IF(CB578="",NA(),COUNTIF(CB578:$CB$704,CB578))</f>
        <v>#N/A</v>
      </c>
      <c r="CD578" s="16" t="e">
        <f t="shared" si="276"/>
        <v>#N/A</v>
      </c>
      <c r="CE578" s="16" t="e">
        <f t="shared" si="277"/>
        <v>#N/A</v>
      </c>
      <c r="CF578" s="16">
        <f t="shared" si="278"/>
        <v>99</v>
      </c>
      <c r="CG578" s="16">
        <f t="shared" si="279"/>
        <v>0</v>
      </c>
      <c r="CH578" s="16">
        <f t="shared" si="272"/>
        <v>0</v>
      </c>
      <c r="CJ578" s="16" t="e">
        <f t="shared" si="280"/>
        <v>#N/A</v>
      </c>
      <c r="CK578" s="16" t="str">
        <f t="shared" si="281"/>
        <v/>
      </c>
    </row>
    <row r="579" spans="1:89" ht="12" customHeight="1">
      <c r="A579" s="211"/>
      <c r="B579" s="211"/>
      <c r="C579" s="211"/>
      <c r="D579" s="211"/>
      <c r="E579" s="211"/>
      <c r="F579" s="211"/>
      <c r="G579" s="211"/>
      <c r="H579" s="211"/>
      <c r="I579" s="211"/>
      <c r="J579" s="211"/>
      <c r="K579" s="211"/>
      <c r="L579" s="211"/>
      <c r="M579" s="211"/>
      <c r="N579" s="211"/>
      <c r="O579" s="211"/>
      <c r="BU579" s="16">
        <f t="shared" si="282"/>
        <v>0</v>
      </c>
      <c r="BV579" s="16">
        <f>IF($BY$12=1,NORMDIST(BY579,$Y$6,$Y$8,TRUE),IF($BY$12=2,IF(BY579&lt;=$BX$31,0,IF(BY579&gt;=$BX$32,1,(BY579-$BX$31)*$BX$33)),SUM($BU$42:BU579)/$BV$40))</f>
        <v>0.57338548221338403</v>
      </c>
      <c r="BW579" s="16">
        <f t="shared" si="283"/>
        <v>1.0529857441658512</v>
      </c>
      <c r="BX579" s="16">
        <f>IF($BY$12&lt;3,BV579,SUM($BZ$42:BZ579)/$BX$40)</f>
        <v>0.57338548221338403</v>
      </c>
      <c r="BY579" s="16">
        <f t="shared" si="273"/>
        <v>53.700000000000493</v>
      </c>
      <c r="BZ579" s="16">
        <f t="shared" si="274"/>
        <v>1.9608673075713994E-2</v>
      </c>
      <c r="CA579" s="16">
        <f t="shared" si="284"/>
        <v>-999</v>
      </c>
      <c r="CB579" s="16" t="str">
        <f t="shared" si="275"/>
        <v/>
      </c>
      <c r="CC579" s="16" t="e">
        <f>IF(CB579="",NA(),COUNTIF(CB579:$CB$704,CB579))</f>
        <v>#N/A</v>
      </c>
      <c r="CD579" s="16" t="e">
        <f t="shared" si="276"/>
        <v>#N/A</v>
      </c>
      <c r="CE579" s="16" t="e">
        <f t="shared" si="277"/>
        <v>#N/A</v>
      </c>
      <c r="CF579" s="16">
        <f t="shared" si="278"/>
        <v>99</v>
      </c>
      <c r="CG579" s="16">
        <f t="shared" si="279"/>
        <v>0</v>
      </c>
      <c r="CH579" s="16">
        <f t="shared" ref="CH579:CH642" si="285">IF(CB579="",0,1)</f>
        <v>0</v>
      </c>
      <c r="CJ579" s="16" t="e">
        <f t="shared" si="280"/>
        <v>#N/A</v>
      </c>
      <c r="CK579" s="16" t="str">
        <f t="shared" si="281"/>
        <v/>
      </c>
    </row>
    <row r="580" spans="1:89" ht="12" customHeight="1">
      <c r="A580" s="211"/>
      <c r="B580" s="211"/>
      <c r="C580" s="211"/>
      <c r="D580" s="211"/>
      <c r="E580" s="211"/>
      <c r="F580" s="211"/>
      <c r="G580" s="211"/>
      <c r="H580" s="211"/>
      <c r="I580" s="211"/>
      <c r="J580" s="211"/>
      <c r="K580" s="211"/>
      <c r="L580" s="211"/>
      <c r="M580" s="211"/>
      <c r="N580" s="211"/>
      <c r="O580" s="211"/>
      <c r="BU580" s="16">
        <f t="shared" si="282"/>
        <v>0</v>
      </c>
      <c r="BV580" s="16">
        <f>IF($BY$12=1,NORMDIST(BY580,$Y$6,$Y$8,TRUE),IF($BY$12=2,IF(BY580&lt;=$BX$31,0,IF(BY580&gt;=$BX$32,1,(BY580-$BX$31)*$BX$33)),SUM($BU$42:BU580)/$BV$40))</f>
        <v>0.57534543473480515</v>
      </c>
      <c r="BW580" s="16">
        <f t="shared" si="283"/>
        <v>1.0539580624799103</v>
      </c>
      <c r="BX580" s="16">
        <f>IF($BY$12&lt;3,BV580,SUM($BZ$42:BZ580)/$BX$40)</f>
        <v>0.57534543473480515</v>
      </c>
      <c r="BY580" s="16">
        <f t="shared" si="273"/>
        <v>53.800000000000495</v>
      </c>
      <c r="BZ580" s="16">
        <f t="shared" si="274"/>
        <v>1.9590298559105958E-2</v>
      </c>
      <c r="CA580" s="16">
        <f t="shared" si="284"/>
        <v>-999</v>
      </c>
      <c r="CB580" s="16" t="str">
        <f t="shared" si="275"/>
        <v/>
      </c>
      <c r="CC580" s="16" t="e">
        <f>IF(CB580="",NA(),COUNTIF(CB580:$CB$704,CB580))</f>
        <v>#N/A</v>
      </c>
      <c r="CD580" s="16" t="e">
        <f t="shared" si="276"/>
        <v>#N/A</v>
      </c>
      <c r="CE580" s="16" t="e">
        <f t="shared" si="277"/>
        <v>#N/A</v>
      </c>
      <c r="CF580" s="16">
        <f t="shared" si="278"/>
        <v>99</v>
      </c>
      <c r="CG580" s="16">
        <f t="shared" si="279"/>
        <v>0</v>
      </c>
      <c r="CH580" s="16">
        <f t="shared" si="285"/>
        <v>0</v>
      </c>
      <c r="CJ580" s="16" t="e">
        <f t="shared" si="280"/>
        <v>#N/A</v>
      </c>
      <c r="CK580" s="16" t="str">
        <f t="shared" si="281"/>
        <v/>
      </c>
    </row>
    <row r="581" spans="1:89" ht="12" customHeight="1">
      <c r="A581" s="211"/>
      <c r="B581" s="211"/>
      <c r="C581" s="211"/>
      <c r="D581" s="211"/>
      <c r="E581" s="211"/>
      <c r="F581" s="211"/>
      <c r="G581" s="211"/>
      <c r="H581" s="211"/>
      <c r="I581" s="211"/>
      <c r="J581" s="211"/>
      <c r="K581" s="211"/>
      <c r="L581" s="211"/>
      <c r="M581" s="211"/>
      <c r="N581" s="211"/>
      <c r="O581" s="211"/>
      <c r="BU581" s="16">
        <f t="shared" si="282"/>
        <v>0</v>
      </c>
      <c r="BV581" s="16">
        <f>IF($BY$12=1,NORMDIST(BY581,$Y$6,$Y$8,TRUE),IF($BY$12=2,IF(BY581&lt;=$BX$31,0,IF(BY581&gt;=$BX$32,1,(BY581-$BX$31)*$BX$33)),SUM($BU$42:BU581)/$BV$40))</f>
        <v>0.57730352618935477</v>
      </c>
      <c r="BW581" s="16">
        <f t="shared" si="283"/>
        <v>1.0549012610816613</v>
      </c>
      <c r="BX581" s="16">
        <f>IF($BY$12&lt;3,BV581,SUM($BZ$42:BZ581)/$BX$40)</f>
        <v>0.57730352618935477</v>
      </c>
      <c r="BY581" s="16">
        <f t="shared" si="273"/>
        <v>53.900000000000496</v>
      </c>
      <c r="BZ581" s="16">
        <f t="shared" si="274"/>
        <v>1.9571451968119696E-2</v>
      </c>
      <c r="CA581" s="16">
        <f t="shared" si="284"/>
        <v>-999</v>
      </c>
      <c r="CB581" s="16" t="str">
        <f t="shared" si="275"/>
        <v/>
      </c>
      <c r="CC581" s="16" t="e">
        <f>IF(CB581="",NA(),COUNTIF(CB581:$CB$704,CB581))</f>
        <v>#N/A</v>
      </c>
      <c r="CD581" s="16" t="e">
        <f t="shared" si="276"/>
        <v>#N/A</v>
      </c>
      <c r="CE581" s="16" t="e">
        <f t="shared" si="277"/>
        <v>#N/A</v>
      </c>
      <c r="CF581" s="16">
        <f t="shared" si="278"/>
        <v>99</v>
      </c>
      <c r="CG581" s="16">
        <f t="shared" si="279"/>
        <v>0</v>
      </c>
      <c r="CH581" s="16">
        <f t="shared" si="285"/>
        <v>0</v>
      </c>
      <c r="CJ581" s="16" t="e">
        <f t="shared" si="280"/>
        <v>#N/A</v>
      </c>
      <c r="CK581" s="16" t="str">
        <f t="shared" si="281"/>
        <v/>
      </c>
    </row>
    <row r="582" spans="1:89" ht="12" customHeight="1">
      <c r="A582" s="211"/>
      <c r="B582" s="211"/>
      <c r="C582" s="211"/>
      <c r="D582" s="211"/>
      <c r="E582" s="211"/>
      <c r="F582" s="211"/>
      <c r="G582" s="211"/>
      <c r="H582" s="211"/>
      <c r="I582" s="211"/>
      <c r="J582" s="211"/>
      <c r="K582" s="211"/>
      <c r="L582" s="211"/>
      <c r="M582" s="211"/>
      <c r="N582" s="211"/>
      <c r="O582" s="211"/>
      <c r="BU582" s="16">
        <f t="shared" si="282"/>
        <v>0</v>
      </c>
      <c r="BV582" s="16">
        <f>IF($BY$12=1,NORMDIST(BY582,$Y$6,$Y$8,TRUE),IF($BY$12=2,IF(BY582&lt;=$BX$31,0,IF(BY582&gt;=$BX$32,1,(BY582-$BX$31)*$BX$33)),SUM($BU$42:BU582)/$BV$40))</f>
        <v>0.57925970943911276</v>
      </c>
      <c r="BW582" s="16">
        <f t="shared" si="283"/>
        <v>1.0558152737337354</v>
      </c>
      <c r="BX582" s="16">
        <f>IF($BY$12&lt;3,BV582,SUM($BZ$42:BZ582)/$BX$40)</f>
        <v>0.57925970943911276</v>
      </c>
      <c r="BY582" s="16">
        <f t="shared" si="273"/>
        <v>54.000000000000497</v>
      </c>
      <c r="BZ582" s="16">
        <f t="shared" si="274"/>
        <v>1.9552134698772698E-2</v>
      </c>
      <c r="CA582" s="16">
        <f t="shared" si="284"/>
        <v>-999</v>
      </c>
      <c r="CB582" s="16" t="str">
        <f t="shared" si="275"/>
        <v/>
      </c>
      <c r="CC582" s="16" t="e">
        <f>IF(CB582="",NA(),COUNTIF(CB582:$CB$704,CB582))</f>
        <v>#N/A</v>
      </c>
      <c r="CD582" s="16" t="e">
        <f t="shared" si="276"/>
        <v>#N/A</v>
      </c>
      <c r="CE582" s="16" t="e">
        <f t="shared" si="277"/>
        <v>#N/A</v>
      </c>
      <c r="CF582" s="16">
        <f t="shared" si="278"/>
        <v>99</v>
      </c>
      <c r="CG582" s="16">
        <f t="shared" si="279"/>
        <v>0</v>
      </c>
      <c r="CH582" s="16">
        <f t="shared" si="285"/>
        <v>0</v>
      </c>
      <c r="CJ582" s="16" t="e">
        <f t="shared" si="280"/>
        <v>#N/A</v>
      </c>
      <c r="CK582" s="16" t="str">
        <f t="shared" si="281"/>
        <v/>
      </c>
    </row>
    <row r="583" spans="1:89" ht="12" customHeight="1">
      <c r="A583" s="211"/>
      <c r="B583" s="211"/>
      <c r="C583" s="211"/>
      <c r="D583" s="211"/>
      <c r="E583" s="211"/>
      <c r="F583" s="211"/>
      <c r="G583" s="211"/>
      <c r="H583" s="211"/>
      <c r="I583" s="211"/>
      <c r="J583" s="211"/>
      <c r="K583" s="211"/>
      <c r="L583" s="211"/>
      <c r="M583" s="211"/>
      <c r="N583" s="211"/>
      <c r="O583" s="211"/>
      <c r="BU583" s="16">
        <f t="shared" si="282"/>
        <v>0</v>
      </c>
      <c r="BV583" s="16">
        <f>IF($BY$12=1,NORMDIST(BY583,$Y$6,$Y$8,TRUE),IF($BY$12=2,IF(BY583&lt;=$BX$31,0,IF(BY583&gt;=$BX$32,1,(BY583-$BX$31)*$BX$33)),SUM($BU$42:BU583)/$BV$40))</f>
        <v>0.58121393748745787</v>
      </c>
      <c r="BW583" s="16">
        <f t="shared" si="283"/>
        <v>1.0567000365923889</v>
      </c>
      <c r="BX583" s="16">
        <f>IF($BY$12&lt;3,BV583,SUM($BZ$42:BZ583)/$BX$40)</f>
        <v>0.58121393748745787</v>
      </c>
      <c r="BY583" s="16">
        <f t="shared" si="273"/>
        <v>54.100000000000499</v>
      </c>
      <c r="BZ583" s="16">
        <f t="shared" si="274"/>
        <v>1.953234818100516E-2</v>
      </c>
      <c r="CA583" s="16">
        <f t="shared" si="284"/>
        <v>-999</v>
      </c>
      <c r="CB583" s="16" t="str">
        <f t="shared" si="275"/>
        <v/>
      </c>
      <c r="CC583" s="16" t="e">
        <f>IF(CB583="",NA(),COUNTIF(CB583:$CB$704,CB583))</f>
        <v>#N/A</v>
      </c>
      <c r="CD583" s="16" t="e">
        <f t="shared" si="276"/>
        <v>#N/A</v>
      </c>
      <c r="CE583" s="16" t="e">
        <f t="shared" si="277"/>
        <v>#N/A</v>
      </c>
      <c r="CF583" s="16">
        <f t="shared" si="278"/>
        <v>99</v>
      </c>
      <c r="CG583" s="16">
        <f t="shared" si="279"/>
        <v>0</v>
      </c>
      <c r="CH583" s="16">
        <f t="shared" si="285"/>
        <v>0</v>
      </c>
      <c r="CJ583" s="16" t="e">
        <f t="shared" si="280"/>
        <v>#N/A</v>
      </c>
      <c r="CK583" s="16" t="str">
        <f t="shared" si="281"/>
        <v/>
      </c>
    </row>
    <row r="584" spans="1:89" ht="12" customHeight="1">
      <c r="A584" s="211"/>
      <c r="B584" s="211"/>
      <c r="C584" s="211"/>
      <c r="D584" s="211"/>
      <c r="E584" s="211"/>
      <c r="F584" s="211"/>
      <c r="G584" s="211"/>
      <c r="H584" s="211"/>
      <c r="I584" s="211"/>
      <c r="J584" s="211"/>
      <c r="K584" s="211"/>
      <c r="L584" s="211"/>
      <c r="M584" s="211"/>
      <c r="N584" s="211"/>
      <c r="O584" s="211"/>
      <c r="BU584" s="16">
        <f t="shared" si="282"/>
        <v>0</v>
      </c>
      <c r="BV584" s="16">
        <f>IF($BY$12=1,NORMDIST(BY584,$Y$6,$Y$8,TRUE),IF($BY$12=2,IF(BY584&lt;=$BX$31,0,IF(BY584&gt;=$BX$32,1,(BY584-$BX$31)*$BX$33)),SUM($BU$42:BU584)/$BV$40))</f>
        <v>0.58316616348245209</v>
      </c>
      <c r="BW584" s="16">
        <f t="shared" si="283"/>
        <v>1.0575554882149054</v>
      </c>
      <c r="BX584" s="16">
        <f>IF($BY$12&lt;3,BV584,SUM($BZ$42:BZ584)/$BX$40)</f>
        <v>0.58316616348245209</v>
      </c>
      <c r="BY584" s="16">
        <f t="shared" si="273"/>
        <v>54.2000000000005</v>
      </c>
      <c r="BZ584" s="16">
        <f t="shared" si="274"/>
        <v>1.9512093878503611E-2</v>
      </c>
      <c r="CA584" s="16">
        <f t="shared" si="284"/>
        <v>-999</v>
      </c>
      <c r="CB584" s="16" t="str">
        <f t="shared" si="275"/>
        <v/>
      </c>
      <c r="CC584" s="16" t="e">
        <f>IF(CB584="",NA(),COUNTIF(CB584:$CB$704,CB584))</f>
        <v>#N/A</v>
      </c>
      <c r="CD584" s="16" t="e">
        <f t="shared" si="276"/>
        <v>#N/A</v>
      </c>
      <c r="CE584" s="16" t="e">
        <f t="shared" si="277"/>
        <v>#N/A</v>
      </c>
      <c r="CF584" s="16">
        <f t="shared" si="278"/>
        <v>99</v>
      </c>
      <c r="CG584" s="16">
        <f t="shared" si="279"/>
        <v>0</v>
      </c>
      <c r="CH584" s="16">
        <f t="shared" si="285"/>
        <v>0</v>
      </c>
      <c r="CJ584" s="16" t="e">
        <f t="shared" si="280"/>
        <v>#N/A</v>
      </c>
      <c r="CK584" s="16" t="str">
        <f t="shared" si="281"/>
        <v/>
      </c>
    </row>
    <row r="585" spans="1:89" ht="12" customHeight="1">
      <c r="A585" s="211"/>
      <c r="B585" s="211"/>
      <c r="C585" s="211"/>
      <c r="D585" s="211"/>
      <c r="E585" s="211"/>
      <c r="F585" s="211"/>
      <c r="G585" s="211"/>
      <c r="H585" s="211"/>
      <c r="I585" s="211"/>
      <c r="J585" s="211"/>
      <c r="K585" s="211"/>
      <c r="L585" s="211"/>
      <c r="M585" s="211"/>
      <c r="N585" s="211"/>
      <c r="O585" s="211"/>
      <c r="BU585" s="16">
        <f t="shared" si="282"/>
        <v>0</v>
      </c>
      <c r="BV585" s="16">
        <f>IF($BY$12=1,NORMDIST(BY585,$Y$6,$Y$8,TRUE),IF($BY$12=2,IF(BY585&lt;=$BX$31,0,IF(BY585&gt;=$BX$32,1,(BY585-$BX$31)*$BX$33)),SUM($BU$42:BU585)/$BV$40))</f>
        <v>0.58511634072020557</v>
      </c>
      <c r="BW585" s="16">
        <f t="shared" si="283"/>
        <v>1.058381569566669</v>
      </c>
      <c r="BX585" s="16">
        <f>IF($BY$12&lt;3,BV585,SUM($BZ$42:BZ585)/$BX$40)</f>
        <v>0.58511634072020557</v>
      </c>
      <c r="BY585" s="16">
        <f t="shared" si="273"/>
        <v>54.300000000000502</v>
      </c>
      <c r="BZ585" s="16">
        <f t="shared" si="274"/>
        <v>1.9491373288520426E-2</v>
      </c>
      <c r="CA585" s="16">
        <f t="shared" si="284"/>
        <v>-999</v>
      </c>
      <c r="CB585" s="16" t="str">
        <f t="shared" si="275"/>
        <v/>
      </c>
      <c r="CC585" s="16" t="e">
        <f>IF(CB585="",NA(),COUNTIF(CB585:$CB$704,CB585))</f>
        <v>#N/A</v>
      </c>
      <c r="CD585" s="16" t="e">
        <f t="shared" si="276"/>
        <v>#N/A</v>
      </c>
      <c r="CE585" s="16" t="e">
        <f t="shared" si="277"/>
        <v>#N/A</v>
      </c>
      <c r="CF585" s="16">
        <f t="shared" si="278"/>
        <v>99</v>
      </c>
      <c r="CG585" s="16">
        <f t="shared" si="279"/>
        <v>0</v>
      </c>
      <c r="CH585" s="16">
        <f t="shared" si="285"/>
        <v>0</v>
      </c>
      <c r="CJ585" s="16" t="e">
        <f t="shared" si="280"/>
        <v>#N/A</v>
      </c>
      <c r="CK585" s="16" t="str">
        <f t="shared" si="281"/>
        <v/>
      </c>
    </row>
    <row r="586" spans="1:89" ht="12" customHeight="1">
      <c r="A586" s="211"/>
      <c r="B586" s="211"/>
      <c r="C586" s="211"/>
      <c r="D586" s="211"/>
      <c r="E586" s="211"/>
      <c r="F586" s="211"/>
      <c r="G586" s="211"/>
      <c r="H586" s="211"/>
      <c r="I586" s="211"/>
      <c r="J586" s="211"/>
      <c r="K586" s="211"/>
      <c r="L586" s="211"/>
      <c r="M586" s="211"/>
      <c r="N586" s="211"/>
      <c r="O586" s="211"/>
      <c r="BU586" s="16">
        <f t="shared" si="282"/>
        <v>0</v>
      </c>
      <c r="BV586" s="16">
        <f>IF($BY$12=1,NORMDIST(BY586,$Y$6,$Y$8,TRUE),IF($BY$12=2,IF(BY586&lt;=$BX$31,0,IF(BY586&gt;=$BX$32,1,(BY586-$BX$31)*$BX$33)),SUM($BU$42:BU586)/$BV$40))</f>
        <v>0.58706442264822445</v>
      </c>
      <c r="BW586" s="16">
        <f t="shared" si="283"/>
        <v>1.0591782240279137</v>
      </c>
      <c r="BX586" s="16">
        <f>IF($BY$12&lt;3,BV586,SUM($BZ$42:BZ586)/$BX$40)</f>
        <v>0.58706442264822445</v>
      </c>
      <c r="BY586" s="16">
        <f t="shared" si="273"/>
        <v>54.400000000000503</v>
      </c>
      <c r="BZ586" s="16">
        <f t="shared" si="274"/>
        <v>1.947018794168941E-2</v>
      </c>
      <c r="CA586" s="16">
        <f t="shared" si="284"/>
        <v>-999</v>
      </c>
      <c r="CB586" s="16" t="str">
        <f t="shared" si="275"/>
        <v/>
      </c>
      <c r="CC586" s="16" t="e">
        <f>IF(CB586="",NA(),COUNTIF(CB586:$CB$704,CB586))</f>
        <v>#N/A</v>
      </c>
      <c r="CD586" s="16" t="e">
        <f t="shared" si="276"/>
        <v>#N/A</v>
      </c>
      <c r="CE586" s="16" t="e">
        <f t="shared" si="277"/>
        <v>#N/A</v>
      </c>
      <c r="CF586" s="16">
        <f t="shared" si="278"/>
        <v>99</v>
      </c>
      <c r="CG586" s="16">
        <f t="shared" si="279"/>
        <v>0</v>
      </c>
      <c r="CH586" s="16">
        <f t="shared" si="285"/>
        <v>0</v>
      </c>
      <c r="CJ586" s="16" t="e">
        <f t="shared" si="280"/>
        <v>#N/A</v>
      </c>
      <c r="CK586" s="16" t="str">
        <f t="shared" si="281"/>
        <v/>
      </c>
    </row>
    <row r="587" spans="1:89" ht="12" customHeight="1">
      <c r="A587" s="211"/>
      <c r="B587" s="211"/>
      <c r="C587" s="211"/>
      <c r="D587" s="211"/>
      <c r="E587" s="211"/>
      <c r="F587" s="211"/>
      <c r="G587" s="211"/>
      <c r="H587" s="211"/>
      <c r="I587" s="211"/>
      <c r="J587" s="211"/>
      <c r="K587" s="211"/>
      <c r="L587" s="211"/>
      <c r="M587" s="211"/>
      <c r="N587" s="211"/>
      <c r="O587" s="211"/>
      <c r="BU587" s="16">
        <f t="shared" si="282"/>
        <v>0</v>
      </c>
      <c r="BV587" s="16">
        <f>IF($BY$12=1,NORMDIST(BY587,$Y$6,$Y$8,TRUE),IF($BY$12=2,IF(BY587&lt;=$BX$31,0,IF(BY587&gt;=$BX$32,1,(BY587-$BX$31)*$BX$33)),SUM($BU$42:BU587)/$BV$40))</f>
        <v>0.58901036286873942</v>
      </c>
      <c r="BW587" s="16">
        <f t="shared" si="283"/>
        <v>1.0599453974001458</v>
      </c>
      <c r="BX587" s="16">
        <f>IF($BY$12&lt;3,BV587,SUM($BZ$42:BZ587)/$BX$40)</f>
        <v>0.58901036286873942</v>
      </c>
      <c r="BY587" s="16">
        <f t="shared" si="273"/>
        <v>54.500000000000504</v>
      </c>
      <c r="BZ587" s="16">
        <f t="shared" si="274"/>
        <v>1.9448539401837359E-2</v>
      </c>
      <c r="CA587" s="16">
        <f t="shared" si="284"/>
        <v>-999</v>
      </c>
      <c r="CB587" s="16" t="str">
        <f t="shared" si="275"/>
        <v/>
      </c>
      <c r="CC587" s="16" t="e">
        <f>IF(CB587="",NA(),COUNTIF(CB587:$CB$704,CB587))</f>
        <v>#N/A</v>
      </c>
      <c r="CD587" s="16" t="e">
        <f t="shared" si="276"/>
        <v>#N/A</v>
      </c>
      <c r="CE587" s="16" t="e">
        <f t="shared" si="277"/>
        <v>#N/A</v>
      </c>
      <c r="CF587" s="16">
        <f t="shared" si="278"/>
        <v>99</v>
      </c>
      <c r="CG587" s="16">
        <f t="shared" si="279"/>
        <v>0</v>
      </c>
      <c r="CH587" s="16">
        <f t="shared" si="285"/>
        <v>0</v>
      </c>
      <c r="CJ587" s="16" t="e">
        <f t="shared" si="280"/>
        <v>#N/A</v>
      </c>
      <c r="CK587" s="16" t="str">
        <f t="shared" si="281"/>
        <v/>
      </c>
    </row>
    <row r="588" spans="1:89" ht="12" customHeight="1">
      <c r="A588" s="211"/>
      <c r="B588" s="211"/>
      <c r="C588" s="211"/>
      <c r="D588" s="211"/>
      <c r="E588" s="211"/>
      <c r="F588" s="211"/>
      <c r="G588" s="211"/>
      <c r="H588" s="211"/>
      <c r="I588" s="211"/>
      <c r="J588" s="211"/>
      <c r="K588" s="211"/>
      <c r="L588" s="211"/>
      <c r="M588" s="211"/>
      <c r="N588" s="211"/>
      <c r="O588" s="211"/>
      <c r="BU588" s="16">
        <f t="shared" si="282"/>
        <v>0</v>
      </c>
      <c r="BV588" s="16">
        <f>IF($BY$12=1,NORMDIST(BY588,$Y$6,$Y$8,TRUE),IF($BY$12=2,IF(BY588&lt;=$BX$31,0,IF(BY588&gt;=$BX$32,1,(BY588-$BX$31)*$BX$33)),SUM($BU$42:BU588)/$BV$40))</f>
        <v>0.59095411514201568</v>
      </c>
      <c r="BW588" s="16">
        <f t="shared" si="283"/>
        <v>1.0606830379122354</v>
      </c>
      <c r="BX588" s="16">
        <f>IF($BY$12&lt;3,BV588,SUM($BZ$42:BZ588)/$BX$40)</f>
        <v>0.59095411514201568</v>
      </c>
      <c r="BY588" s="16">
        <f t="shared" si="273"/>
        <v>54.600000000000506</v>
      </c>
      <c r="BZ588" s="16">
        <f t="shared" si="274"/>
        <v>1.9426429265791679E-2</v>
      </c>
      <c r="CA588" s="16">
        <f t="shared" si="284"/>
        <v>-999</v>
      </c>
      <c r="CB588" s="16" t="str">
        <f t="shared" si="275"/>
        <v/>
      </c>
      <c r="CC588" s="16" t="e">
        <f>IF(CB588="",NA(),COUNTIF(CB588:$CB$704,CB588))</f>
        <v>#N/A</v>
      </c>
      <c r="CD588" s="16" t="e">
        <f t="shared" si="276"/>
        <v>#N/A</v>
      </c>
      <c r="CE588" s="16" t="e">
        <f t="shared" si="277"/>
        <v>#N/A</v>
      </c>
      <c r="CF588" s="16">
        <f t="shared" si="278"/>
        <v>99</v>
      </c>
      <c r="CG588" s="16">
        <f t="shared" si="279"/>
        <v>0</v>
      </c>
      <c r="CH588" s="16">
        <f t="shared" si="285"/>
        <v>0</v>
      </c>
      <c r="CJ588" s="16" t="e">
        <f t="shared" si="280"/>
        <v>#N/A</v>
      </c>
      <c r="CK588" s="16" t="str">
        <f t="shared" si="281"/>
        <v/>
      </c>
    </row>
    <row r="589" spans="1:89" ht="12" customHeight="1">
      <c r="A589" s="211"/>
      <c r="B589" s="211"/>
      <c r="C589" s="211"/>
      <c r="D589" s="211"/>
      <c r="E589" s="211"/>
      <c r="F589" s="211"/>
      <c r="G589" s="211"/>
      <c r="H589" s="211"/>
      <c r="I589" s="211"/>
      <c r="J589" s="211"/>
      <c r="K589" s="211"/>
      <c r="L589" s="211"/>
      <c r="M589" s="211"/>
      <c r="N589" s="211"/>
      <c r="O589" s="211"/>
      <c r="BU589" s="16">
        <f t="shared" si="282"/>
        <v>0</v>
      </c>
      <c r="BV589" s="16">
        <f>IF($BY$12=1,NORMDIST(BY589,$Y$6,$Y$8,TRUE),IF($BY$12=2,IF(BY589&lt;=$BX$31,0,IF(BY589&gt;=$BX$32,1,(BY589-$BX$31)*$BX$33)),SUM($BU$42:BU589)/$BV$40))</f>
        <v>0.59289563338964291</v>
      </c>
      <c r="BW589" s="16">
        <f t="shared" si="283"/>
        <v>1.061391096226181</v>
      </c>
      <c r="BX589" s="16">
        <f>IF($BY$12&lt;3,BV589,SUM($BZ$42:BZ589)/$BX$40)</f>
        <v>0.59289563338964291</v>
      </c>
      <c r="BY589" s="16">
        <f t="shared" si="273"/>
        <v>54.700000000000507</v>
      </c>
      <c r="BZ589" s="16">
        <f t="shared" si="274"/>
        <v>1.9403859163184115E-2</v>
      </c>
      <c r="CA589" s="16">
        <f t="shared" si="284"/>
        <v>-999</v>
      </c>
      <c r="CB589" s="16" t="str">
        <f t="shared" si="275"/>
        <v/>
      </c>
      <c r="CC589" s="16" t="e">
        <f>IF(CB589="",NA(),COUNTIF(CB589:$CB$704,CB589))</f>
        <v>#N/A</v>
      </c>
      <c r="CD589" s="16" t="e">
        <f t="shared" si="276"/>
        <v>#N/A</v>
      </c>
      <c r="CE589" s="16" t="e">
        <f t="shared" si="277"/>
        <v>#N/A</v>
      </c>
      <c r="CF589" s="16">
        <f t="shared" si="278"/>
        <v>99</v>
      </c>
      <c r="CG589" s="16">
        <f t="shared" si="279"/>
        <v>0</v>
      </c>
      <c r="CH589" s="16">
        <f t="shared" si="285"/>
        <v>0</v>
      </c>
      <c r="CJ589" s="16" t="e">
        <f t="shared" si="280"/>
        <v>#N/A</v>
      </c>
      <c r="CK589" s="16" t="str">
        <f t="shared" si="281"/>
        <v/>
      </c>
    </row>
    <row r="590" spans="1:89" ht="12" customHeight="1">
      <c r="A590" s="211"/>
      <c r="B590" s="211"/>
      <c r="C590" s="211"/>
      <c r="D590" s="211"/>
      <c r="E590" s="211"/>
      <c r="F590" s="211"/>
      <c r="G590" s="211"/>
      <c r="H590" s="211"/>
      <c r="I590" s="211"/>
      <c r="J590" s="211"/>
      <c r="K590" s="211"/>
      <c r="L590" s="211"/>
      <c r="M590" s="211"/>
      <c r="N590" s="211"/>
      <c r="O590" s="211"/>
      <c r="BU590" s="16">
        <f t="shared" si="282"/>
        <v>0</v>
      </c>
      <c r="BV590" s="16">
        <f>IF($BY$12=1,NORMDIST(BY590,$Y$6,$Y$8,TRUE),IF($BY$12=2,IF(BY590&lt;=$BX$31,0,IF(BY590&gt;=$BX$32,1,(BY590-$BX$31)*$BX$33)),SUM($BU$42:BU590)/$BV$40))</f>
        <v>0.59483487169780569</v>
      </c>
      <c r="BW590" s="16">
        <f t="shared" si="283"/>
        <v>1.0620695254425421</v>
      </c>
      <c r="BX590" s="16">
        <f>IF($BY$12&lt;3,BV590,SUM($BZ$42:BZ590)/$BX$40)</f>
        <v>0.59483487169780569</v>
      </c>
      <c r="BY590" s="16">
        <f t="shared" si="273"/>
        <v>54.800000000000509</v>
      </c>
      <c r="BZ590" s="16">
        <f t="shared" si="274"/>
        <v>1.9380830756250588E-2</v>
      </c>
      <c r="CA590" s="16">
        <f t="shared" si="284"/>
        <v>-999</v>
      </c>
      <c r="CB590" s="16" t="str">
        <f t="shared" si="275"/>
        <v/>
      </c>
      <c r="CC590" s="16" t="e">
        <f>IF(CB590="",NA(),COUNTIF(CB590:$CB$704,CB590))</f>
        <v>#N/A</v>
      </c>
      <c r="CD590" s="16" t="e">
        <f t="shared" si="276"/>
        <v>#N/A</v>
      </c>
      <c r="CE590" s="16" t="e">
        <f t="shared" si="277"/>
        <v>#N/A</v>
      </c>
      <c r="CF590" s="16">
        <f t="shared" si="278"/>
        <v>99</v>
      </c>
      <c r="CG590" s="16">
        <f t="shared" si="279"/>
        <v>0</v>
      </c>
      <c r="CH590" s="16">
        <f t="shared" si="285"/>
        <v>0</v>
      </c>
      <c r="CJ590" s="16" t="e">
        <f t="shared" si="280"/>
        <v>#N/A</v>
      </c>
      <c r="CK590" s="16" t="str">
        <f t="shared" si="281"/>
        <v/>
      </c>
    </row>
    <row r="591" spans="1:89" ht="12" customHeight="1">
      <c r="A591" s="211"/>
      <c r="B591" s="211"/>
      <c r="C591" s="211"/>
      <c r="D591" s="211"/>
      <c r="E591" s="211"/>
      <c r="F591" s="211"/>
      <c r="G591" s="211"/>
      <c r="H591" s="211"/>
      <c r="I591" s="211"/>
      <c r="J591" s="211"/>
      <c r="K591" s="211"/>
      <c r="L591" s="211"/>
      <c r="M591" s="211"/>
      <c r="N591" s="211"/>
      <c r="O591" s="211"/>
      <c r="BU591" s="16">
        <f t="shared" si="282"/>
        <v>0</v>
      </c>
      <c r="BV591" s="16">
        <f>IF($BY$12=1,NORMDIST(BY591,$Y$6,$Y$8,TRUE),IF($BY$12=2,IF(BY591&lt;=$BX$31,0,IF(BY591&gt;=$BX$32,1,(BY591-$BX$31)*$BX$33)),SUM($BU$42:BU591)/$BV$40))</f>
        <v>0.59677178432053424</v>
      </c>
      <c r="BW591" s="16">
        <f t="shared" si="283"/>
        <v>1.0627182811055418</v>
      </c>
      <c r="BX591" s="16">
        <f>IF($BY$12&lt;3,BV591,SUM($BZ$42:BZ591)/$BX$40)</f>
        <v>0.59677178432053424</v>
      </c>
      <c r="BY591" s="16">
        <f t="shared" si="273"/>
        <v>54.90000000000051</v>
      </c>
      <c r="BZ591" s="16">
        <f t="shared" si="274"/>
        <v>1.9357345739627177E-2</v>
      </c>
      <c r="CA591" s="16">
        <f t="shared" si="284"/>
        <v>-999</v>
      </c>
      <c r="CB591" s="16" t="str">
        <f t="shared" si="275"/>
        <v/>
      </c>
      <c r="CC591" s="16" t="e">
        <f>IF(CB591="",NA(),COUNTIF(CB591:$CB$704,CB591))</f>
        <v>#N/A</v>
      </c>
      <c r="CD591" s="16" t="e">
        <f t="shared" si="276"/>
        <v>#N/A</v>
      </c>
      <c r="CE591" s="16" t="e">
        <f t="shared" si="277"/>
        <v>#N/A</v>
      </c>
      <c r="CF591" s="16">
        <f t="shared" si="278"/>
        <v>99</v>
      </c>
      <c r="CG591" s="16">
        <f t="shared" si="279"/>
        <v>0</v>
      </c>
      <c r="CH591" s="16">
        <f t="shared" si="285"/>
        <v>0</v>
      </c>
      <c r="CJ591" s="16" t="e">
        <f t="shared" si="280"/>
        <v>#N/A</v>
      </c>
      <c r="CK591" s="16" t="str">
        <f t="shared" si="281"/>
        <v/>
      </c>
    </row>
    <row r="592" spans="1:89" ht="12" customHeight="1">
      <c r="A592" s="211"/>
      <c r="B592" s="211"/>
      <c r="C592" s="211"/>
      <c r="D592" s="211"/>
      <c r="E592" s="211"/>
      <c r="F592" s="211"/>
      <c r="G592" s="211"/>
      <c r="H592" s="211"/>
      <c r="I592" s="211"/>
      <c r="J592" s="211"/>
      <c r="K592" s="211"/>
      <c r="L592" s="211"/>
      <c r="M592" s="211"/>
      <c r="N592" s="211"/>
      <c r="O592" s="211"/>
      <c r="BU592" s="16">
        <f t="shared" si="282"/>
        <v>0</v>
      </c>
      <c r="BV592" s="16">
        <f>IF($BY$12=1,NORMDIST(BY592,$Y$6,$Y$8,TRUE),IF($BY$12=2,IF(BY592&lt;=$BX$31,0,IF(BY592&gt;=$BX$32,1,(BY592-$BX$31)*$BX$33)),SUM($BU$42:BU592)/$BV$40))</f>
        <v>0.59870632568293358</v>
      </c>
      <c r="BW592" s="16">
        <f t="shared" si="283"/>
        <v>1.0633373212078383</v>
      </c>
      <c r="BX592" s="16">
        <f>IF($BY$12&lt;3,BV592,SUM($BZ$42:BZ592)/$BX$40)</f>
        <v>0.59870632568293358</v>
      </c>
      <c r="BY592" s="16">
        <f t="shared" si="273"/>
        <v>55.000000000000512</v>
      </c>
      <c r="BZ592" s="16">
        <f t="shared" si="274"/>
        <v>1.9333405840142336E-2</v>
      </c>
      <c r="CA592" s="16">
        <f t="shared" si="284"/>
        <v>-999</v>
      </c>
      <c r="CB592" s="16" t="str">
        <f t="shared" si="275"/>
        <v/>
      </c>
      <c r="CC592" s="16" t="e">
        <f>IF(CB592="",NA(),COUNTIF(CB592:$CB$704,CB592))</f>
        <v>#N/A</v>
      </c>
      <c r="CD592" s="16" t="e">
        <f t="shared" si="276"/>
        <v>#N/A</v>
      </c>
      <c r="CE592" s="16" t="e">
        <f t="shared" si="277"/>
        <v>#N/A</v>
      </c>
      <c r="CF592" s="16">
        <f t="shared" si="278"/>
        <v>99</v>
      </c>
      <c r="CG592" s="16">
        <f t="shared" si="279"/>
        <v>0</v>
      </c>
      <c r="CH592" s="16">
        <f t="shared" si="285"/>
        <v>0</v>
      </c>
      <c r="CJ592" s="16" t="e">
        <f t="shared" si="280"/>
        <v>#N/A</v>
      </c>
      <c r="CK592" s="16" t="str">
        <f t="shared" si="281"/>
        <v/>
      </c>
    </row>
    <row r="593" spans="1:89" ht="12" customHeight="1">
      <c r="A593" s="211"/>
      <c r="B593" s="211"/>
      <c r="C593" s="211"/>
      <c r="D593" s="211"/>
      <c r="E593" s="211"/>
      <c r="F593" s="211"/>
      <c r="G593" s="211"/>
      <c r="H593" s="211"/>
      <c r="I593" s="211"/>
      <c r="J593" s="211"/>
      <c r="K593" s="211"/>
      <c r="L593" s="211"/>
      <c r="M593" s="211"/>
      <c r="N593" s="211"/>
      <c r="O593" s="211"/>
      <c r="BU593" s="16">
        <f t="shared" si="282"/>
        <v>0</v>
      </c>
      <c r="BV593" s="16">
        <f>IF($BY$12=1,NORMDIST(BY593,$Y$6,$Y$8,TRUE),IF($BY$12=2,IF(BY593&lt;=$BX$31,0,IF(BY593&gt;=$BX$32,1,(BY593-$BX$31)*$BX$33)),SUM($BU$42:BU593)/$BV$40))</f>
        <v>0.60063845038439245</v>
      </c>
      <c r="BW593" s="16">
        <f t="shared" si="283"/>
        <v>1.0639266061949606</v>
      </c>
      <c r="BX593" s="16">
        <f>IF($BY$12&lt;3,BV593,SUM($BZ$42:BZ593)/$BX$40)</f>
        <v>0.60063845038439245</v>
      </c>
      <c r="BY593" s="16">
        <f t="shared" si="273"/>
        <v>55.100000000000513</v>
      </c>
      <c r="BZ593" s="16">
        <f t="shared" si="274"/>
        <v>1.9309012816605277E-2</v>
      </c>
      <c r="CA593" s="16">
        <f t="shared" si="284"/>
        <v>-999</v>
      </c>
      <c r="CB593" s="16" t="str">
        <f t="shared" si="275"/>
        <v/>
      </c>
      <c r="CC593" s="16" t="e">
        <f>IF(CB593="",NA(),COUNTIF(CB593:$CB$704,CB593))</f>
        <v>#N/A</v>
      </c>
      <c r="CD593" s="16" t="e">
        <f t="shared" si="276"/>
        <v>#N/A</v>
      </c>
      <c r="CE593" s="16" t="e">
        <f t="shared" si="277"/>
        <v>#N/A</v>
      </c>
      <c r="CF593" s="16">
        <f t="shared" si="278"/>
        <v>99</v>
      </c>
      <c r="CG593" s="16">
        <f t="shared" si="279"/>
        <v>0</v>
      </c>
      <c r="CH593" s="16">
        <f t="shared" si="285"/>
        <v>0</v>
      </c>
      <c r="CJ593" s="16" t="e">
        <f t="shared" si="280"/>
        <v>#N/A</v>
      </c>
      <c r="CK593" s="16" t="str">
        <f t="shared" si="281"/>
        <v/>
      </c>
    </row>
    <row r="594" spans="1:89" ht="12" customHeight="1">
      <c r="A594" s="211"/>
      <c r="B594" s="211"/>
      <c r="C594" s="211"/>
      <c r="D594" s="211"/>
      <c r="E594" s="211"/>
      <c r="F594" s="211"/>
      <c r="G594" s="211"/>
      <c r="H594" s="211"/>
      <c r="I594" s="211"/>
      <c r="J594" s="211"/>
      <c r="K594" s="211"/>
      <c r="L594" s="211"/>
      <c r="M594" s="211"/>
      <c r="N594" s="211"/>
      <c r="O594" s="211"/>
      <c r="BU594" s="16">
        <f t="shared" si="282"/>
        <v>0</v>
      </c>
      <c r="BV594" s="16">
        <f>IF($BY$12=1,NORMDIST(BY594,$Y$6,$Y$8,TRUE),IF($BY$12=2,IF(BY594&lt;=$BX$31,0,IF(BY594&gt;=$BX$32,1,(BY594-$BX$31)*$BX$33)),SUM($BU$42:BU594)/$BV$40))</f>
        <v>0.60256811320177039</v>
      </c>
      <c r="BW594" s="16">
        <f t="shared" si="283"/>
        <v>1.0644860989694149</v>
      </c>
      <c r="BX594" s="16">
        <f>IF($BY$12&lt;3,BV594,SUM($BZ$42:BZ594)/$BX$40)</f>
        <v>0.60256811320177039</v>
      </c>
      <c r="BY594" s="16">
        <f t="shared" si="273"/>
        <v>55.200000000000514</v>
      </c>
      <c r="BZ594" s="16">
        <f t="shared" si="274"/>
        <v>1.9284168459590672E-2</v>
      </c>
      <c r="CA594" s="16">
        <f t="shared" si="284"/>
        <v>-999</v>
      </c>
      <c r="CB594" s="16" t="str">
        <f t="shared" si="275"/>
        <v/>
      </c>
      <c r="CC594" s="16" t="e">
        <f>IF(CB594="",NA(),COUNTIF(CB594:$CB$704,CB594))</f>
        <v>#N/A</v>
      </c>
      <c r="CD594" s="16" t="e">
        <f t="shared" si="276"/>
        <v>#N/A</v>
      </c>
      <c r="CE594" s="16" t="e">
        <f t="shared" si="277"/>
        <v>#N/A</v>
      </c>
      <c r="CF594" s="16">
        <f t="shared" si="278"/>
        <v>99</v>
      </c>
      <c r="CG594" s="16">
        <f t="shared" si="279"/>
        <v>0</v>
      </c>
      <c r="CH594" s="16">
        <f t="shared" si="285"/>
        <v>0</v>
      </c>
      <c r="CJ594" s="16" t="e">
        <f t="shared" si="280"/>
        <v>#N/A</v>
      </c>
      <c r="CK594" s="16" t="str">
        <f t="shared" si="281"/>
        <v/>
      </c>
    </row>
    <row r="595" spans="1:89" ht="12" customHeight="1">
      <c r="A595" s="211"/>
      <c r="B595" s="211"/>
      <c r="C595" s="211"/>
      <c r="D595" s="211"/>
      <c r="E595" s="211"/>
      <c r="F595" s="211"/>
      <c r="G595" s="211"/>
      <c r="H595" s="211"/>
      <c r="I595" s="211"/>
      <c r="J595" s="211"/>
      <c r="K595" s="211"/>
      <c r="L595" s="211"/>
      <c r="M595" s="211"/>
      <c r="N595" s="211"/>
      <c r="O595" s="211"/>
      <c r="BU595" s="16">
        <f t="shared" si="282"/>
        <v>0</v>
      </c>
      <c r="BV595" s="16">
        <f>IF($BY$12=1,NORMDIST(BY595,$Y$6,$Y$8,TRUE),IF($BY$12=2,IF(BY595&lt;=$BX$31,0,IF(BY595&gt;=$BX$32,1,(BY595-$BX$31)*$BX$33)),SUM($BU$42:BU595)/$BV$40))</f>
        <v>0.6044952690925639</v>
      </c>
      <c r="BW595" s="16">
        <f t="shared" si="283"/>
        <v>1.0650157648944556</v>
      </c>
      <c r="BX595" s="16">
        <f>IF($BY$12&lt;3,BV595,SUM($BZ$42:BZ595)/$BX$40)</f>
        <v>0.6044952690925639</v>
      </c>
      <c r="BY595" s="16">
        <f t="shared" si="273"/>
        <v>55.300000000000516</v>
      </c>
      <c r="BZ595" s="16">
        <f t="shared" si="274"/>
        <v>1.9258874591219631E-2</v>
      </c>
      <c r="CA595" s="16">
        <f t="shared" si="284"/>
        <v>-999</v>
      </c>
      <c r="CB595" s="16" t="str">
        <f t="shared" si="275"/>
        <v/>
      </c>
      <c r="CC595" s="16" t="e">
        <f>IF(CB595="",NA(),COUNTIF(CB595:$CB$704,CB595))</f>
        <v>#N/A</v>
      </c>
      <c r="CD595" s="16" t="e">
        <f t="shared" si="276"/>
        <v>#N/A</v>
      </c>
      <c r="CE595" s="16" t="e">
        <f t="shared" si="277"/>
        <v>#N/A</v>
      </c>
      <c r="CF595" s="16">
        <f t="shared" si="278"/>
        <v>99</v>
      </c>
      <c r="CG595" s="16">
        <f t="shared" si="279"/>
        <v>0</v>
      </c>
      <c r="CH595" s="16">
        <f t="shared" si="285"/>
        <v>0</v>
      </c>
      <c r="CJ595" s="16" t="e">
        <f t="shared" si="280"/>
        <v>#N/A</v>
      </c>
      <c r="CK595" s="16" t="str">
        <f t="shared" si="281"/>
        <v/>
      </c>
    </row>
    <row r="596" spans="1:89" ht="12" customHeight="1">
      <c r="A596" s="211"/>
      <c r="B596" s="211"/>
      <c r="C596" s="211"/>
      <c r="D596" s="211"/>
      <c r="E596" s="211"/>
      <c r="F596" s="211"/>
      <c r="G596" s="211"/>
      <c r="H596" s="211"/>
      <c r="I596" s="211"/>
      <c r="J596" s="211"/>
      <c r="K596" s="211"/>
      <c r="L596" s="211"/>
      <c r="M596" s="211"/>
      <c r="N596" s="211"/>
      <c r="O596" s="211"/>
      <c r="BU596" s="16">
        <f t="shared" si="282"/>
        <v>0</v>
      </c>
      <c r="BV596" s="16">
        <f>IF($BY$12=1,NORMDIST(BY596,$Y$6,$Y$8,TRUE),IF($BY$12=2,IF(BY596&lt;=$BX$31,0,IF(BY596&gt;=$BX$32,1,(BY596-$BX$31)*$BX$33)),SUM($BU$42:BU596)/$BV$40))</f>
        <v>0.60641987319804946</v>
      </c>
      <c r="BW596" s="16">
        <f t="shared" si="283"/>
        <v>1.06551557179752</v>
      </c>
      <c r="BX596" s="16">
        <f>IF($BY$12&lt;3,BV596,SUM($BZ$42:BZ596)/$BX$40)</f>
        <v>0.60641987319804946</v>
      </c>
      <c r="BY596" s="16">
        <f t="shared" si="273"/>
        <v>55.400000000000517</v>
      </c>
      <c r="BZ596" s="16">
        <f t="shared" si="274"/>
        <v>1.9233133064937003E-2</v>
      </c>
      <c r="CA596" s="16">
        <f t="shared" si="284"/>
        <v>-999</v>
      </c>
      <c r="CB596" s="16" t="str">
        <f t="shared" si="275"/>
        <v/>
      </c>
      <c r="CC596" s="16" t="e">
        <f>IF(CB596="",NA(),COUNTIF(CB596:$CB$704,CB596))</f>
        <v>#N/A</v>
      </c>
      <c r="CD596" s="16" t="e">
        <f t="shared" si="276"/>
        <v>#N/A</v>
      </c>
      <c r="CE596" s="16" t="e">
        <f t="shared" si="277"/>
        <v>#N/A</v>
      </c>
      <c r="CF596" s="16">
        <f t="shared" si="278"/>
        <v>99</v>
      </c>
      <c r="CG596" s="16">
        <f t="shared" si="279"/>
        <v>0</v>
      </c>
      <c r="CH596" s="16">
        <f t="shared" si="285"/>
        <v>0</v>
      </c>
      <c r="CJ596" s="16" t="e">
        <f t="shared" si="280"/>
        <v>#N/A</v>
      </c>
      <c r="CK596" s="16" t="str">
        <f t="shared" si="281"/>
        <v/>
      </c>
    </row>
    <row r="597" spans="1:89" ht="12" customHeight="1">
      <c r="A597" s="211"/>
      <c r="B597" s="211"/>
      <c r="C597" s="211"/>
      <c r="D597" s="211"/>
      <c r="E597" s="211"/>
      <c r="F597" s="211"/>
      <c r="G597" s="211"/>
      <c r="H597" s="211"/>
      <c r="I597" s="211"/>
      <c r="J597" s="211"/>
      <c r="K597" s="211"/>
      <c r="L597" s="211"/>
      <c r="M597" s="211"/>
      <c r="N597" s="211"/>
      <c r="O597" s="211"/>
      <c r="BU597" s="16">
        <f t="shared" si="282"/>
        <v>0</v>
      </c>
      <c r="BV597" s="16">
        <f>IF($BY$12=1,NORMDIST(BY597,$Y$6,$Y$8,TRUE),IF($BY$12=2,IF(BY597&lt;=$BX$31,0,IF(BY597&gt;=$BX$32,1,(BY597-$BX$31)*$BX$33)),SUM($BU$42:BU597)/$BV$40))</f>
        <v>0.60834188084640473</v>
      </c>
      <c r="BW597" s="16">
        <f t="shared" si="283"/>
        <v>1.065985489973333</v>
      </c>
      <c r="BX597" s="16">
        <f>IF($BY$12&lt;3,BV597,SUM($BZ$42:BZ597)/$BX$40)</f>
        <v>0.60834188084640473</v>
      </c>
      <c r="BY597" s="16">
        <f t="shared" si="273"/>
        <v>55.500000000000519</v>
      </c>
      <c r="BZ597" s="16">
        <f t="shared" si="274"/>
        <v>1.9206945765285099E-2</v>
      </c>
      <c r="CA597" s="16">
        <f t="shared" si="284"/>
        <v>-999</v>
      </c>
      <c r="CB597" s="16" t="str">
        <f t="shared" si="275"/>
        <v/>
      </c>
      <c r="CC597" s="16" t="e">
        <f>IF(CB597="",NA(),COUNTIF(CB597:$CB$704,CB597))</f>
        <v>#N/A</v>
      </c>
      <c r="CD597" s="16" t="e">
        <f t="shared" si="276"/>
        <v>#N/A</v>
      </c>
      <c r="CE597" s="16" t="e">
        <f t="shared" si="277"/>
        <v>#N/A</v>
      </c>
      <c r="CF597" s="16">
        <f t="shared" si="278"/>
        <v>99</v>
      </c>
      <c r="CG597" s="16">
        <f t="shared" si="279"/>
        <v>0</v>
      </c>
      <c r="CH597" s="16">
        <f t="shared" si="285"/>
        <v>0</v>
      </c>
      <c r="CJ597" s="16" t="e">
        <f t="shared" si="280"/>
        <v>#N/A</v>
      </c>
      <c r="CK597" s="16" t="str">
        <f t="shared" si="281"/>
        <v/>
      </c>
    </row>
    <row r="598" spans="1:89" ht="12" customHeight="1">
      <c r="A598" s="211"/>
      <c r="B598" s="211"/>
      <c r="C598" s="211"/>
      <c r="D598" s="211"/>
      <c r="E598" s="211"/>
      <c r="F598" s="211"/>
      <c r="G598" s="211"/>
      <c r="H598" s="211"/>
      <c r="I598" s="211"/>
      <c r="J598" s="211"/>
      <c r="K598" s="211"/>
      <c r="L598" s="211"/>
      <c r="M598" s="211"/>
      <c r="N598" s="211"/>
      <c r="O598" s="211"/>
      <c r="BU598" s="16">
        <f t="shared" si="282"/>
        <v>0</v>
      </c>
      <c r="BV598" s="16">
        <f>IF($BY$12=1,NORMDIST(BY598,$Y$6,$Y$8,TRUE),IF($BY$12=2,IF(BY598&lt;=$BX$31,0,IF(BY598&gt;=$BX$32,1,(BY598-$BX$31)*$BX$33)),SUM($BU$42:BU598)/$BV$40))</f>
        <v>0.61026124755580713</v>
      </c>
      <c r="BW598" s="16">
        <f t="shared" si="283"/>
        <v>1.0664254921866725</v>
      </c>
      <c r="BX598" s="16">
        <f>IF($BY$12&lt;3,BV598,SUM($BZ$42:BZ598)/$BX$40)</f>
        <v>0.61026124755580713</v>
      </c>
      <c r="BY598" s="16">
        <f t="shared" ref="BY598:BY661" si="286">BY597+$BZ$1</f>
        <v>55.60000000000052</v>
      </c>
      <c r="BZ598" s="16">
        <f t="shared" si="274"/>
        <v>1.9180314607673787E-2</v>
      </c>
      <c r="CA598" s="16">
        <f t="shared" si="284"/>
        <v>-999</v>
      </c>
      <c r="CB598" s="16" t="str">
        <f t="shared" si="275"/>
        <v/>
      </c>
      <c r="CC598" s="16" t="e">
        <f>IF(CB598="",NA(),COUNTIF(CB598:$CB$704,CB598))</f>
        <v>#N/A</v>
      </c>
      <c r="CD598" s="16" t="e">
        <f t="shared" si="276"/>
        <v>#N/A</v>
      </c>
      <c r="CE598" s="16" t="e">
        <f t="shared" si="277"/>
        <v>#N/A</v>
      </c>
      <c r="CF598" s="16">
        <f t="shared" si="278"/>
        <v>99</v>
      </c>
      <c r="CG598" s="16">
        <f t="shared" si="279"/>
        <v>0</v>
      </c>
      <c r="CH598" s="16">
        <f t="shared" si="285"/>
        <v>0</v>
      </c>
      <c r="CJ598" s="16" t="e">
        <f t="shared" si="280"/>
        <v>#N/A</v>
      </c>
      <c r="CK598" s="16" t="str">
        <f t="shared" si="281"/>
        <v/>
      </c>
    </row>
    <row r="599" spans="1:89" ht="12" customHeight="1">
      <c r="A599" s="211"/>
      <c r="B599" s="211"/>
      <c r="C599" s="211"/>
      <c r="D599" s="211"/>
      <c r="E599" s="211"/>
      <c r="F599" s="211"/>
      <c r="G599" s="211"/>
      <c r="H599" s="211"/>
      <c r="I599" s="211"/>
      <c r="J599" s="211"/>
      <c r="K599" s="211"/>
      <c r="L599" s="211"/>
      <c r="M599" s="211"/>
      <c r="N599" s="211"/>
      <c r="O599" s="211"/>
      <c r="BU599" s="16">
        <f t="shared" si="282"/>
        <v>0</v>
      </c>
      <c r="BV599" s="16">
        <f>IF($BY$12=1,NORMDIST(BY599,$Y$6,$Y$8,TRUE),IF($BY$12=2,IF(BY599&lt;=$BX$31,0,IF(BY599&gt;=$BX$32,1,(BY599-$BX$31)*$BX$33)),SUM($BU$42:BU599)/$BV$40))</f>
        <v>0.61217792903750867</v>
      </c>
      <c r="BW599" s="16">
        <f t="shared" si="283"/>
        <v>1.0668355536748004</v>
      </c>
      <c r="BX599" s="16">
        <f>IF($BY$12&lt;3,BV599,SUM($BZ$42:BZ599)/$BX$40)</f>
        <v>0.61217792903750867</v>
      </c>
      <c r="BY599" s="16">
        <f t="shared" si="286"/>
        <v>55.700000000000522</v>
      </c>
      <c r="BZ599" s="16">
        <f t="shared" si="274"/>
        <v>1.9153241538147046E-2</v>
      </c>
      <c r="CA599" s="16">
        <f t="shared" si="284"/>
        <v>-999</v>
      </c>
      <c r="CB599" s="16" t="str">
        <f t="shared" si="275"/>
        <v/>
      </c>
      <c r="CC599" s="16" t="e">
        <f>IF(CB599="",NA(),COUNTIF(CB599:$CB$704,CB599))</f>
        <v>#N/A</v>
      </c>
      <c r="CD599" s="16" t="e">
        <f t="shared" si="276"/>
        <v>#N/A</v>
      </c>
      <c r="CE599" s="16" t="e">
        <f t="shared" si="277"/>
        <v>#N/A</v>
      </c>
      <c r="CF599" s="16">
        <f t="shared" si="278"/>
        <v>99</v>
      </c>
      <c r="CG599" s="16">
        <f t="shared" si="279"/>
        <v>0</v>
      </c>
      <c r="CH599" s="16">
        <f t="shared" si="285"/>
        <v>0</v>
      </c>
      <c r="CJ599" s="16" t="e">
        <f t="shared" si="280"/>
        <v>#N/A</v>
      </c>
      <c r="CK599" s="16" t="str">
        <f t="shared" si="281"/>
        <v/>
      </c>
    </row>
    <row r="600" spans="1:89" ht="12" customHeight="1">
      <c r="A600" s="211"/>
      <c r="B600" s="211"/>
      <c r="C600" s="211"/>
      <c r="D600" s="211"/>
      <c r="E600" s="211"/>
      <c r="F600" s="211"/>
      <c r="G600" s="211"/>
      <c r="H600" s="211"/>
      <c r="I600" s="211"/>
      <c r="J600" s="211"/>
      <c r="K600" s="211"/>
      <c r="L600" s="211"/>
      <c r="M600" s="211"/>
      <c r="N600" s="211"/>
      <c r="O600" s="211"/>
      <c r="BU600" s="16">
        <f t="shared" si="282"/>
        <v>0</v>
      </c>
      <c r="BV600" s="16">
        <f>IF($BY$12=1,NORMDIST(BY600,$Y$6,$Y$8,TRUE),IF($BY$12=2,IF(BY600&lt;=$BX$31,0,IF(BY600&gt;=$BX$32,1,(BY600-$BX$31)*$BX$33)),SUM($BU$42:BU600)/$BV$40))</f>
        <v>0.61409188119888736</v>
      </c>
      <c r="BW600" s="16">
        <f t="shared" si="283"/>
        <v>1.0672156521495599</v>
      </c>
      <c r="BX600" s="16">
        <f>IF($BY$12&lt;3,BV600,SUM($BZ$42:BZ600)/$BX$40)</f>
        <v>0.61409188119888736</v>
      </c>
      <c r="BY600" s="16">
        <f t="shared" si="286"/>
        <v>55.800000000000523</v>
      </c>
      <c r="BZ600" s="16">
        <f t="shared" si="274"/>
        <v>1.9125728533146057E-2</v>
      </c>
      <c r="CA600" s="16">
        <f t="shared" si="284"/>
        <v>-999</v>
      </c>
      <c r="CB600" s="16" t="str">
        <f t="shared" si="275"/>
        <v/>
      </c>
      <c r="CC600" s="16" t="e">
        <f>IF(CB600="",NA(),COUNTIF(CB600:$CB$704,CB600))</f>
        <v>#N/A</v>
      </c>
      <c r="CD600" s="16" t="e">
        <f t="shared" si="276"/>
        <v>#N/A</v>
      </c>
      <c r="CE600" s="16" t="e">
        <f t="shared" si="277"/>
        <v>#N/A</v>
      </c>
      <c r="CF600" s="16">
        <f t="shared" si="278"/>
        <v>99</v>
      </c>
      <c r="CG600" s="16">
        <f t="shared" si="279"/>
        <v>0</v>
      </c>
      <c r="CH600" s="16">
        <f t="shared" si="285"/>
        <v>0</v>
      </c>
      <c r="CJ600" s="16" t="e">
        <f t="shared" si="280"/>
        <v>#N/A</v>
      </c>
      <c r="CK600" s="16" t="str">
        <f t="shared" si="281"/>
        <v/>
      </c>
    </row>
    <row r="601" spans="1:89" ht="12" customHeight="1">
      <c r="A601" s="211"/>
      <c r="B601" s="211"/>
      <c r="C601" s="211"/>
      <c r="D601" s="211"/>
      <c r="E601" s="211"/>
      <c r="F601" s="211"/>
      <c r="G601" s="211"/>
      <c r="H601" s="211"/>
      <c r="I601" s="211"/>
      <c r="J601" s="211"/>
      <c r="K601" s="211"/>
      <c r="L601" s="211"/>
      <c r="M601" s="211"/>
      <c r="N601" s="211"/>
      <c r="O601" s="211"/>
      <c r="BU601" s="16">
        <f t="shared" si="282"/>
        <v>0</v>
      </c>
      <c r="BV601" s="16">
        <f>IF($BY$12=1,NORMDIST(BY601,$Y$6,$Y$8,TRUE),IF($BY$12=2,IF(BY601&lt;=$BX$31,0,IF(BY601&gt;=$BX$32,1,(BY601-$BX$31)*$BX$33)),SUM($BU$42:BU601)/$BV$40))</f>
        <v>0.61600306014647543</v>
      </c>
      <c r="BW601" s="16">
        <f t="shared" si="283"/>
        <v>1.0675657677991337</v>
      </c>
      <c r="BX601" s="16">
        <f>IF($BY$12&lt;3,BV601,SUM($BZ$42:BZ601)/$BX$40)</f>
        <v>0.61600306014647543</v>
      </c>
      <c r="BY601" s="16">
        <f t="shared" si="286"/>
        <v>55.900000000000524</v>
      </c>
      <c r="BZ601" s="16">
        <f t="shared" si="274"/>
        <v>1.9097777599268759E-2</v>
      </c>
      <c r="CA601" s="16">
        <f t="shared" si="284"/>
        <v>-999</v>
      </c>
      <c r="CB601" s="16" t="str">
        <f t="shared" si="275"/>
        <v/>
      </c>
      <c r="CC601" s="16" t="e">
        <f>IF(CB601="",NA(),COUNTIF(CB601:$CB$704,CB601))</f>
        <v>#N/A</v>
      </c>
      <c r="CD601" s="16" t="e">
        <f t="shared" si="276"/>
        <v>#N/A</v>
      </c>
      <c r="CE601" s="16" t="e">
        <f t="shared" si="277"/>
        <v>#N/A</v>
      </c>
      <c r="CF601" s="16">
        <f t="shared" si="278"/>
        <v>99</v>
      </c>
      <c r="CG601" s="16">
        <f t="shared" si="279"/>
        <v>0</v>
      </c>
      <c r="CH601" s="16">
        <f t="shared" si="285"/>
        <v>0</v>
      </c>
      <c r="CJ601" s="16" t="e">
        <f t="shared" si="280"/>
        <v>#N/A</v>
      </c>
      <c r="CK601" s="16" t="str">
        <f t="shared" si="281"/>
        <v/>
      </c>
    </row>
    <row r="602" spans="1:89" ht="12" customHeight="1">
      <c r="A602" s="211"/>
      <c r="B602" s="211"/>
      <c r="C602" s="211"/>
      <c r="D602" s="211"/>
      <c r="E602" s="211"/>
      <c r="F602" s="211"/>
      <c r="G602" s="211"/>
      <c r="H602" s="211"/>
      <c r="I602" s="211"/>
      <c r="J602" s="211"/>
      <c r="K602" s="211"/>
      <c r="L602" s="211"/>
      <c r="M602" s="211"/>
      <c r="N602" s="211"/>
      <c r="O602" s="211"/>
      <c r="BU602" s="16">
        <f t="shared" si="282"/>
        <v>0</v>
      </c>
      <c r="BV602" s="16">
        <f>IF($BY$12=1,NORMDIST(BY602,$Y$6,$Y$8,TRUE),IF($BY$12=2,IF(BY602&lt;=$BX$31,0,IF(BY602&gt;=$BX$32,1,(BY602-$BX$31)*$BX$33)),SUM($BU$42:BU602)/$BV$40))</f>
        <v>0.61791142218896267</v>
      </c>
      <c r="BW602" s="16">
        <f t="shared" si="283"/>
        <v>1.0678858832894691</v>
      </c>
      <c r="BX602" s="16">
        <f>IF($BY$12&lt;3,BV602,SUM($BZ$42:BZ602)/$BX$40)</f>
        <v>0.61791142218896267</v>
      </c>
      <c r="BY602" s="16">
        <f t="shared" si="286"/>
        <v>56.000000000000526</v>
      </c>
      <c r="BZ602" s="16">
        <f t="shared" si="274"/>
        <v>1.9069390773026055E-2</v>
      </c>
      <c r="CA602" s="16">
        <f t="shared" si="284"/>
        <v>-999</v>
      </c>
      <c r="CB602" s="16" t="str">
        <f t="shared" si="275"/>
        <v/>
      </c>
      <c r="CC602" s="16" t="e">
        <f>IF(CB602="",NA(),COUNTIF(CB602:$CB$704,CB602))</f>
        <v>#N/A</v>
      </c>
      <c r="CD602" s="16" t="e">
        <f t="shared" si="276"/>
        <v>#N/A</v>
      </c>
      <c r="CE602" s="16" t="e">
        <f t="shared" si="277"/>
        <v>#N/A</v>
      </c>
      <c r="CF602" s="16">
        <f t="shared" si="278"/>
        <v>99</v>
      </c>
      <c r="CG602" s="16">
        <f t="shared" si="279"/>
        <v>0</v>
      </c>
      <c r="CH602" s="16">
        <f t="shared" si="285"/>
        <v>0</v>
      </c>
      <c r="CJ602" s="16" t="e">
        <f t="shared" si="280"/>
        <v>#N/A</v>
      </c>
      <c r="CK602" s="16" t="str">
        <f t="shared" si="281"/>
        <v/>
      </c>
    </row>
    <row r="603" spans="1:89" ht="12" customHeight="1">
      <c r="A603" s="211"/>
      <c r="B603" s="211"/>
      <c r="C603" s="211"/>
      <c r="D603" s="211"/>
      <c r="E603" s="211"/>
      <c r="F603" s="211"/>
      <c r="G603" s="211"/>
      <c r="H603" s="211"/>
      <c r="I603" s="211"/>
      <c r="J603" s="211"/>
      <c r="K603" s="211"/>
      <c r="L603" s="211"/>
      <c r="M603" s="211"/>
      <c r="N603" s="211"/>
      <c r="O603" s="211"/>
      <c r="BU603" s="16">
        <f t="shared" si="282"/>
        <v>0</v>
      </c>
      <c r="BV603" s="16">
        <f>IF($BY$12=1,NORMDIST(BY603,$Y$6,$Y$8,TRUE),IF($BY$12=2,IF(BY603&lt;=$BX$31,0,IF(BY603&gt;=$BX$32,1,(BY603-$BX$31)*$BX$33)),SUM($BU$42:BU603)/$BV$40))</f>
        <v>0.61981692384017506</v>
      </c>
      <c r="BW603" s="16">
        <f t="shared" si="283"/>
        <v>1.068175983765365</v>
      </c>
      <c r="BX603" s="16">
        <f>IF($BY$12&lt;3,BV603,SUM($BZ$42:BZ603)/$BX$40)</f>
        <v>0.61981692384017506</v>
      </c>
      <c r="BY603" s="16">
        <f t="shared" si="286"/>
        <v>56.100000000000527</v>
      </c>
      <c r="BZ603" s="16">
        <f t="shared" si="274"/>
        <v>1.9040570120594562E-2</v>
      </c>
      <c r="CA603" s="16">
        <f t="shared" si="284"/>
        <v>-999</v>
      </c>
      <c r="CB603" s="16" t="str">
        <f t="shared" si="275"/>
        <v/>
      </c>
      <c r="CC603" s="16" t="e">
        <f>IF(CB603="",NA(),COUNTIF(CB603:$CB$704,CB603))</f>
        <v>#N/A</v>
      </c>
      <c r="CD603" s="16" t="e">
        <f t="shared" si="276"/>
        <v>#N/A</v>
      </c>
      <c r="CE603" s="16" t="e">
        <f t="shared" si="277"/>
        <v>#N/A</v>
      </c>
      <c r="CF603" s="16">
        <f t="shared" si="278"/>
        <v>99</v>
      </c>
      <c r="CG603" s="16">
        <f t="shared" si="279"/>
        <v>0</v>
      </c>
      <c r="CH603" s="16">
        <f t="shared" si="285"/>
        <v>0</v>
      </c>
      <c r="CJ603" s="16" t="e">
        <f t="shared" si="280"/>
        <v>#N/A</v>
      </c>
      <c r="CK603" s="16" t="str">
        <f t="shared" si="281"/>
        <v/>
      </c>
    </row>
    <row r="604" spans="1:89" ht="12" customHeight="1">
      <c r="A604" s="211"/>
      <c r="B604" s="211"/>
      <c r="C604" s="211"/>
      <c r="D604" s="211"/>
      <c r="E604" s="211"/>
      <c r="F604" s="211"/>
      <c r="G604" s="211"/>
      <c r="H604" s="211"/>
      <c r="I604" s="211"/>
      <c r="J604" s="211"/>
      <c r="K604" s="211"/>
      <c r="L604" s="211"/>
      <c r="M604" s="211"/>
      <c r="N604" s="211"/>
      <c r="O604" s="211"/>
      <c r="BU604" s="16">
        <f t="shared" si="282"/>
        <v>0</v>
      </c>
      <c r="BV604" s="16">
        <f>IF($BY$12=1,NORMDIST(BY604,$Y$6,$Y$8,TRUE),IF($BY$12=2,IF(BY604&lt;=$BX$31,0,IF(BY604&gt;=$BX$32,1,(BY604-$BX$31)*$BX$33)),SUM($BU$42:BU604)/$BV$40))</f>
        <v>0.62171952182202928</v>
      </c>
      <c r="BW604" s="16">
        <f t="shared" si="283"/>
        <v>1.0684360568512241</v>
      </c>
      <c r="BX604" s="16">
        <f>IF($BY$12&lt;3,BV604,SUM($BZ$42:BZ604)/$BX$40)</f>
        <v>0.62171952182202928</v>
      </c>
      <c r="BY604" s="16">
        <f t="shared" si="286"/>
        <v>56.200000000000529</v>
      </c>
      <c r="BZ604" s="16">
        <f t="shared" si="274"/>
        <v>1.9011317737566088E-2</v>
      </c>
      <c r="CA604" s="16">
        <f t="shared" si="284"/>
        <v>-999</v>
      </c>
      <c r="CB604" s="16" t="str">
        <f t="shared" si="275"/>
        <v/>
      </c>
      <c r="CC604" s="16" t="e">
        <f>IF(CB604="",NA(),COUNTIF(CB604:$CB$704,CB604))</f>
        <v>#N/A</v>
      </c>
      <c r="CD604" s="16" t="e">
        <f t="shared" si="276"/>
        <v>#N/A</v>
      </c>
      <c r="CE604" s="16" t="e">
        <f t="shared" si="277"/>
        <v>#N/A</v>
      </c>
      <c r="CF604" s="16">
        <f t="shared" si="278"/>
        <v>99</v>
      </c>
      <c r="CG604" s="16">
        <f t="shared" si="279"/>
        <v>0</v>
      </c>
      <c r="CH604" s="16">
        <f t="shared" si="285"/>
        <v>0</v>
      </c>
      <c r="CJ604" s="16" t="e">
        <f t="shared" si="280"/>
        <v>#N/A</v>
      </c>
      <c r="CK604" s="16" t="str">
        <f t="shared" si="281"/>
        <v/>
      </c>
    </row>
    <row r="605" spans="1:89" ht="12" customHeight="1">
      <c r="A605" s="211"/>
      <c r="B605" s="211"/>
      <c r="C605" s="211"/>
      <c r="D605" s="211"/>
      <c r="E605" s="211"/>
      <c r="F605" s="211"/>
      <c r="G605" s="211"/>
      <c r="H605" s="211"/>
      <c r="I605" s="211"/>
      <c r="J605" s="211"/>
      <c r="K605" s="211"/>
      <c r="L605" s="211"/>
      <c r="M605" s="211"/>
      <c r="N605" s="211"/>
      <c r="O605" s="211"/>
      <c r="BU605" s="16">
        <f t="shared" si="282"/>
        <v>0</v>
      </c>
      <c r="BV605" s="16">
        <f>IF($BY$12=1,NORMDIST(BY605,$Y$6,$Y$8,TRUE),IF($BY$12=2,IF(BY605&lt;=$BX$31,0,IF(BY605&gt;=$BX$32,1,(BY605-$BX$31)*$BX$33)),SUM($BU$42:BU605)/$BV$40))</f>
        <v>0.6236191730674614</v>
      </c>
      <c r="BW605" s="16">
        <f t="shared" si="283"/>
        <v>1.0686660926514688</v>
      </c>
      <c r="BX605" s="16">
        <f>IF($BY$12&lt;3,BV605,SUM($BZ$42:BZ605)/$BX$40)</f>
        <v>0.6236191730674614</v>
      </c>
      <c r="BY605" s="16">
        <f t="shared" si="286"/>
        <v>56.30000000000053</v>
      </c>
      <c r="BZ605" s="16">
        <f t="shared" si="274"/>
        <v>1.898163574869376E-2</v>
      </c>
      <c r="CA605" s="16">
        <f t="shared" si="284"/>
        <v>-999</v>
      </c>
      <c r="CB605" s="16" t="str">
        <f t="shared" si="275"/>
        <v/>
      </c>
      <c r="CC605" s="16" t="e">
        <f>IF(CB605="",NA(),COUNTIF(CB605:$CB$704,CB605))</f>
        <v>#N/A</v>
      </c>
      <c r="CD605" s="16" t="e">
        <f t="shared" si="276"/>
        <v>#N/A</v>
      </c>
      <c r="CE605" s="16" t="e">
        <f t="shared" si="277"/>
        <v>#N/A</v>
      </c>
      <c r="CF605" s="16">
        <f t="shared" si="278"/>
        <v>99</v>
      </c>
      <c r="CG605" s="16">
        <f t="shared" si="279"/>
        <v>0</v>
      </c>
      <c r="CH605" s="16">
        <f t="shared" si="285"/>
        <v>0</v>
      </c>
      <c r="CJ605" s="16" t="e">
        <f t="shared" si="280"/>
        <v>#N/A</v>
      </c>
      <c r="CK605" s="16" t="str">
        <f t="shared" si="281"/>
        <v/>
      </c>
    </row>
    <row r="606" spans="1:89" ht="12" customHeight="1">
      <c r="A606" s="211"/>
      <c r="B606" s="211"/>
      <c r="C606" s="211"/>
      <c r="D606" s="211"/>
      <c r="E606" s="211"/>
      <c r="F606" s="211"/>
      <c r="G606" s="211"/>
      <c r="H606" s="211"/>
      <c r="I606" s="211"/>
      <c r="J606" s="211"/>
      <c r="K606" s="211"/>
      <c r="L606" s="211"/>
      <c r="M606" s="211"/>
      <c r="N606" s="211"/>
      <c r="O606" s="211"/>
      <c r="BU606" s="16">
        <f t="shared" si="282"/>
        <v>0</v>
      </c>
      <c r="BV606" s="16">
        <f>IF($BY$12=1,NORMDIST(BY606,$Y$6,$Y$8,TRUE),IF($BY$12=2,IF(BY606&lt;=$BX$31,0,IF(BY606&gt;=$BX$32,1,(BY606-$BX$31)*$BX$33)),SUM($BU$42:BU606)/$BV$40))</f>
        <v>0.62551583472333006</v>
      </c>
      <c r="BW606" s="16">
        <f t="shared" si="283"/>
        <v>1.0688660837506196</v>
      </c>
      <c r="BX606" s="16">
        <f>IF($BY$12&lt;3,BV606,SUM($BZ$42:BZ606)/$BX$40)</f>
        <v>0.62551583472333006</v>
      </c>
      <c r="BY606" s="16">
        <f t="shared" si="286"/>
        <v>56.400000000000531</v>
      </c>
      <c r="BZ606" s="16">
        <f t="shared" si="274"/>
        <v>1.8951526307634921E-2</v>
      </c>
      <c r="CA606" s="16">
        <f t="shared" si="284"/>
        <v>-999</v>
      </c>
      <c r="CB606" s="16" t="str">
        <f t="shared" si="275"/>
        <v/>
      </c>
      <c r="CC606" s="16" t="e">
        <f>IF(CB606="",NA(),COUNTIF(CB606:$CB$704,CB606))</f>
        <v>#N/A</v>
      </c>
      <c r="CD606" s="16" t="e">
        <f t="shared" si="276"/>
        <v>#N/A</v>
      </c>
      <c r="CE606" s="16" t="e">
        <f t="shared" si="277"/>
        <v>#N/A</v>
      </c>
      <c r="CF606" s="16">
        <f t="shared" si="278"/>
        <v>99</v>
      </c>
      <c r="CG606" s="16">
        <f t="shared" si="279"/>
        <v>0</v>
      </c>
      <c r="CH606" s="16">
        <f t="shared" si="285"/>
        <v>0</v>
      </c>
      <c r="CJ606" s="16" t="e">
        <f t="shared" si="280"/>
        <v>#N/A</v>
      </c>
      <c r="CK606" s="16" t="str">
        <f t="shared" si="281"/>
        <v/>
      </c>
    </row>
    <row r="607" spans="1:89" ht="12" customHeight="1">
      <c r="A607" s="211"/>
      <c r="B607" s="211"/>
      <c r="C607" s="211"/>
      <c r="D607" s="211"/>
      <c r="E607" s="211"/>
      <c r="F607" s="211"/>
      <c r="G607" s="211"/>
      <c r="H607" s="211"/>
      <c r="I607" s="211"/>
      <c r="J607" s="211"/>
      <c r="K607" s="211"/>
      <c r="L607" s="211"/>
      <c r="M607" s="211"/>
      <c r="N607" s="211"/>
      <c r="O607" s="211"/>
      <c r="BU607" s="16">
        <f t="shared" si="282"/>
        <v>0</v>
      </c>
      <c r="BV607" s="16">
        <f>IF($BY$12=1,NORMDIST(BY607,$Y$6,$Y$8,TRUE),IF($BY$12=2,IF(BY607&lt;=$BX$31,0,IF(BY607&gt;=$BX$32,1,(BY607-$BX$31)*$BX$33)),SUM($BU$42:BU607)/$BV$40))</f>
        <v>0.62740946415329413</v>
      </c>
      <c r="BW607" s="16">
        <f t="shared" si="283"/>
        <v>1.0690360252130409</v>
      </c>
      <c r="BX607" s="16">
        <f>IF($BY$12&lt;3,BV607,SUM($BZ$42:BZ607)/$BX$40)</f>
        <v>0.62740946415329413</v>
      </c>
      <c r="BY607" s="16">
        <f t="shared" si="286"/>
        <v>56.500000000000533</v>
      </c>
      <c r="BZ607" s="16">
        <f t="shared" si="274"/>
        <v>1.8920991596690809E-2</v>
      </c>
      <c r="CA607" s="16">
        <f t="shared" si="284"/>
        <v>-999</v>
      </c>
      <c r="CB607" s="16" t="str">
        <f t="shared" si="275"/>
        <v/>
      </c>
      <c r="CC607" s="16" t="e">
        <f>IF(CB607="",NA(),COUNTIF(CB607:$CB$704,CB607))</f>
        <v>#N/A</v>
      </c>
      <c r="CD607" s="16" t="e">
        <f t="shared" si="276"/>
        <v>#N/A</v>
      </c>
      <c r="CE607" s="16" t="e">
        <f t="shared" si="277"/>
        <v>#N/A</v>
      </c>
      <c r="CF607" s="16">
        <f t="shared" si="278"/>
        <v>99</v>
      </c>
      <c r="CG607" s="16">
        <f t="shared" si="279"/>
        <v>0</v>
      </c>
      <c r="CH607" s="16">
        <f t="shared" si="285"/>
        <v>0</v>
      </c>
      <c r="CJ607" s="16" t="e">
        <f t="shared" si="280"/>
        <v>#N/A</v>
      </c>
      <c r="CK607" s="16" t="str">
        <f t="shared" si="281"/>
        <v/>
      </c>
    </row>
    <row r="608" spans="1:89" ht="12" customHeight="1">
      <c r="A608" s="211"/>
      <c r="B608" s="211"/>
      <c r="C608" s="211"/>
      <c r="D608" s="211"/>
      <c r="E608" s="211"/>
      <c r="F608" s="211"/>
      <c r="G608" s="211"/>
      <c r="H608" s="211"/>
      <c r="I608" s="211"/>
      <c r="J608" s="211"/>
      <c r="K608" s="211"/>
      <c r="L608" s="211"/>
      <c r="M608" s="211"/>
      <c r="N608" s="211"/>
      <c r="O608" s="211"/>
      <c r="BU608" s="16">
        <f t="shared" si="282"/>
        <v>0</v>
      </c>
      <c r="BV608" s="16">
        <f>IF($BY$12=1,NORMDIST(BY608,$Y$6,$Y$8,TRUE),IF($BY$12=2,IF(BY608&lt;=$BX$31,0,IF(BY608&gt;=$BX$32,1,(BY608-$BX$31)*$BX$33)),SUM($BU$42:BU608)/$BV$40))</f>
        <v>0.62930001894066356</v>
      </c>
      <c r="BW608" s="16">
        <f t="shared" si="283"/>
        <v>1.0691759145823474</v>
      </c>
      <c r="BX608" s="16">
        <f>IF($BY$12&lt;3,BV608,SUM($BZ$42:BZ608)/$BX$40)</f>
        <v>0.62930001894066356</v>
      </c>
      <c r="BY608" s="16">
        <f t="shared" si="286"/>
        <v>56.600000000000534</v>
      </c>
      <c r="BZ608" s="16">
        <f t="shared" si="274"/>
        <v>1.889003382654306E-2</v>
      </c>
      <c r="CA608" s="16">
        <f t="shared" si="284"/>
        <v>-999</v>
      </c>
      <c r="CB608" s="16" t="str">
        <f t="shared" si="275"/>
        <v/>
      </c>
      <c r="CC608" s="16" t="e">
        <f>IF(CB608="",NA(),COUNTIF(CB608:$CB$704,CB608))</f>
        <v>#N/A</v>
      </c>
      <c r="CD608" s="16" t="e">
        <f t="shared" si="276"/>
        <v>#N/A</v>
      </c>
      <c r="CE608" s="16" t="e">
        <f t="shared" si="277"/>
        <v>#N/A</v>
      </c>
      <c r="CF608" s="16">
        <f t="shared" si="278"/>
        <v>99</v>
      </c>
      <c r="CG608" s="16">
        <f t="shared" si="279"/>
        <v>0</v>
      </c>
      <c r="CH608" s="16">
        <f t="shared" si="285"/>
        <v>0</v>
      </c>
      <c r="CJ608" s="16" t="e">
        <f t="shared" si="280"/>
        <v>#N/A</v>
      </c>
      <c r="CK608" s="16" t="str">
        <f t="shared" si="281"/>
        <v/>
      </c>
    </row>
    <row r="609" spans="1:89" ht="12" customHeight="1">
      <c r="A609" s="211"/>
      <c r="B609" s="211"/>
      <c r="C609" s="211"/>
      <c r="D609" s="211"/>
      <c r="E609" s="211"/>
      <c r="F609" s="211"/>
      <c r="G609" s="211"/>
      <c r="H609" s="211"/>
      <c r="I609" s="211"/>
      <c r="J609" s="211"/>
      <c r="K609" s="211"/>
      <c r="L609" s="211"/>
      <c r="M609" s="211"/>
      <c r="N609" s="211"/>
      <c r="O609" s="211"/>
      <c r="BU609" s="16">
        <f t="shared" si="282"/>
        <v>0</v>
      </c>
      <c r="BV609" s="16">
        <f>IF($BY$12=1,NORMDIST(BY609,$Y$6,$Y$8,TRUE),IF($BY$12=2,IF(BY609&lt;=$BX$31,0,IF(BY609&gt;=$BX$32,1,(BY609-$BX$31)*$BX$33)),SUM($BU$42:BU609)/$BV$40))</f>
        <v>0.63118745689122491</v>
      </c>
      <c r="BW609" s="16">
        <f t="shared" si="283"/>
        <v>1.0692857518804797</v>
      </c>
      <c r="BX609" s="16">
        <f>IF($BY$12&lt;3,BV609,SUM($BZ$42:BZ609)/$BX$40)</f>
        <v>0.63118745689122491</v>
      </c>
      <c r="BY609" s="16">
        <f t="shared" si="286"/>
        <v>56.700000000000536</v>
      </c>
      <c r="BZ609" s="16">
        <f t="shared" si="274"/>
        <v>1.8858655235987117E-2</v>
      </c>
      <c r="CA609" s="16">
        <f t="shared" si="284"/>
        <v>-999</v>
      </c>
      <c r="CB609" s="16" t="str">
        <f t="shared" si="275"/>
        <v/>
      </c>
      <c r="CC609" s="16" t="e">
        <f>IF(CB609="",NA(),COUNTIF(CB609:$CB$704,CB609))</f>
        <v>#N/A</v>
      </c>
      <c r="CD609" s="16" t="e">
        <f t="shared" si="276"/>
        <v>#N/A</v>
      </c>
      <c r="CE609" s="16" t="e">
        <f t="shared" si="277"/>
        <v>#N/A</v>
      </c>
      <c r="CF609" s="16">
        <f t="shared" si="278"/>
        <v>99</v>
      </c>
      <c r="CG609" s="16">
        <f t="shared" si="279"/>
        <v>0</v>
      </c>
      <c r="CH609" s="16">
        <f t="shared" si="285"/>
        <v>0</v>
      </c>
      <c r="CJ609" s="16" t="e">
        <f t="shared" si="280"/>
        <v>#N/A</v>
      </c>
      <c r="CK609" s="16" t="str">
        <f t="shared" si="281"/>
        <v/>
      </c>
    </row>
    <row r="610" spans="1:89" ht="12" customHeight="1">
      <c r="A610" s="211"/>
      <c r="B610" s="211"/>
      <c r="C610" s="211"/>
      <c r="D610" s="211"/>
      <c r="E610" s="211"/>
      <c r="F610" s="211"/>
      <c r="G610" s="211"/>
      <c r="H610" s="211"/>
      <c r="I610" s="211"/>
      <c r="J610" s="211"/>
      <c r="K610" s="211"/>
      <c r="L610" s="211"/>
      <c r="M610" s="211"/>
      <c r="N610" s="211"/>
      <c r="O610" s="211"/>
      <c r="BU610" s="16">
        <f t="shared" si="282"/>
        <v>0</v>
      </c>
      <c r="BV610" s="16">
        <f>IF($BY$12=1,NORMDIST(BY610,$Y$6,$Y$8,TRUE),IF($BY$12=2,IF(BY610&lt;=$BX$31,0,IF(BY610&gt;=$BX$32,1,(BY610-$BX$31)*$BX$33)),SUM($BU$42:BU610)/$BV$40))</f>
        <v>0.63307173603603817</v>
      </c>
      <c r="BW610" s="16">
        <f t="shared" si="283"/>
        <v>1.0693655396064412</v>
      </c>
      <c r="BX610" s="16">
        <f>IF($BY$12&lt;3,BV610,SUM($BZ$42:BZ610)/$BX$40)</f>
        <v>0.63307173603603817</v>
      </c>
      <c r="BY610" s="16">
        <f t="shared" si="286"/>
        <v>56.800000000000537</v>
      </c>
      <c r="BZ610" s="16">
        <f t="shared" si="274"/>
        <v>1.882685809166252E-2</v>
      </c>
      <c r="CA610" s="16">
        <f t="shared" si="284"/>
        <v>-999</v>
      </c>
      <c r="CB610" s="16" t="str">
        <f t="shared" si="275"/>
        <v/>
      </c>
      <c r="CC610" s="16" t="e">
        <f>IF(CB610="",NA(),COUNTIF(CB610:$CB$704,CB610))</f>
        <v>#N/A</v>
      </c>
      <c r="CD610" s="16" t="e">
        <f t="shared" si="276"/>
        <v>#N/A</v>
      </c>
      <c r="CE610" s="16" t="e">
        <f t="shared" si="277"/>
        <v>#N/A</v>
      </c>
      <c r="CF610" s="16">
        <f t="shared" si="278"/>
        <v>99</v>
      </c>
      <c r="CG610" s="16">
        <f t="shared" si="279"/>
        <v>0</v>
      </c>
      <c r="CH610" s="16">
        <f t="shared" si="285"/>
        <v>0</v>
      </c>
      <c r="CJ610" s="16" t="e">
        <f t="shared" si="280"/>
        <v>#N/A</v>
      </c>
      <c r="CK610" s="16" t="str">
        <f t="shared" si="281"/>
        <v/>
      </c>
    </row>
    <row r="611" spans="1:89" ht="12" customHeight="1">
      <c r="A611" s="211"/>
      <c r="B611" s="211"/>
      <c r="C611" s="211"/>
      <c r="D611" s="211"/>
      <c r="E611" s="211"/>
      <c r="F611" s="211"/>
      <c r="G611" s="211"/>
      <c r="H611" s="211"/>
      <c r="I611" s="211"/>
      <c r="J611" s="211"/>
      <c r="K611" s="211"/>
      <c r="L611" s="211"/>
      <c r="M611" s="211"/>
      <c r="N611" s="211"/>
      <c r="O611" s="211"/>
      <c r="BU611" s="16">
        <f t="shared" si="282"/>
        <v>0</v>
      </c>
      <c r="BV611" s="16">
        <f>IF($BY$12=1,NORMDIST(BY611,$Y$6,$Y$8,TRUE),IF($BY$12=2,IF(BY611&lt;=$BX$31,0,IF(BY611&gt;=$BX$32,1,(BY611-$BX$31)*$BX$33)),SUM($BU$42:BU611)/$BV$40))</f>
        <v>0.6349528146342085</v>
      </c>
      <c r="BW611" s="16">
        <f t="shared" si="283"/>
        <v>1.0694152827347032</v>
      </c>
      <c r="BX611" s="16">
        <f>IF($BY$12&lt;3,BV611,SUM($BZ$42:BZ611)/$BX$40)</f>
        <v>0.6349528146342085</v>
      </c>
      <c r="BY611" s="16">
        <f t="shared" si="286"/>
        <v>56.900000000000539</v>
      </c>
      <c r="BZ611" s="16">
        <f t="shared" si="274"/>
        <v>1.8794644687780193E-2</v>
      </c>
      <c r="CA611" s="16">
        <f t="shared" si="284"/>
        <v>-999</v>
      </c>
      <c r="CB611" s="16" t="str">
        <f t="shared" si="275"/>
        <v/>
      </c>
      <c r="CC611" s="16" t="e">
        <f>IF(CB611="",NA(),COUNTIF(CB611:$CB$704,CB611))</f>
        <v>#N/A</v>
      </c>
      <c r="CD611" s="16" t="e">
        <f t="shared" si="276"/>
        <v>#N/A</v>
      </c>
      <c r="CE611" s="16" t="e">
        <f t="shared" si="277"/>
        <v>#N/A</v>
      </c>
      <c r="CF611" s="16">
        <f t="shared" si="278"/>
        <v>99</v>
      </c>
      <c r="CG611" s="16">
        <f t="shared" si="279"/>
        <v>0</v>
      </c>
      <c r="CH611" s="16">
        <f t="shared" si="285"/>
        <v>0</v>
      </c>
      <c r="CJ611" s="16" t="e">
        <f t="shared" si="280"/>
        <v>#N/A</v>
      </c>
      <c r="CK611" s="16" t="str">
        <f t="shared" si="281"/>
        <v/>
      </c>
    </row>
    <row r="612" spans="1:89" ht="12" customHeight="1">
      <c r="A612" s="211"/>
      <c r="B612" s="211"/>
      <c r="C612" s="211"/>
      <c r="D612" s="211"/>
      <c r="E612" s="211"/>
      <c r="F612" s="211"/>
      <c r="G612" s="211"/>
      <c r="H612" s="211"/>
      <c r="I612" s="211"/>
      <c r="J612" s="211"/>
      <c r="K612" s="211"/>
      <c r="L612" s="211"/>
      <c r="M612" s="211"/>
      <c r="N612" s="211"/>
      <c r="O612" s="211"/>
      <c r="BU612" s="16">
        <f t="shared" si="282"/>
        <v>0</v>
      </c>
      <c r="BV612" s="16">
        <f>IF($BY$12=1,NORMDIST(BY612,$Y$6,$Y$8,TRUE),IF($BY$12=2,IF(BY612&lt;=$BX$31,0,IF(BY612&gt;=$BX$32,1,(BY612-$BX$31)*$BX$33)),SUM($BU$42:BU612)/$BV$40))</f>
        <v>0.6368306511756292</v>
      </c>
      <c r="BW612" s="16">
        <f t="shared" si="283"/>
        <v>1.0694349887132728</v>
      </c>
      <c r="BX612" s="16">
        <f>IF($BY$12&lt;3,BV612,SUM($BZ$42:BZ612)/$BX$40)</f>
        <v>0.6368306511756292</v>
      </c>
      <c r="BY612" s="16">
        <f t="shared" si="286"/>
        <v>57.00000000000054</v>
      </c>
      <c r="BZ612" s="16">
        <f t="shared" si="274"/>
        <v>1.8762017345846715E-2</v>
      </c>
      <c r="CA612" s="16">
        <f t="shared" si="284"/>
        <v>-999</v>
      </c>
      <c r="CB612" s="16" t="str">
        <f t="shared" si="275"/>
        <v/>
      </c>
      <c r="CC612" s="16" t="e">
        <f>IF(CB612="",NA(),COUNTIF(CB612:$CB$704,CB612))</f>
        <v>#N/A</v>
      </c>
      <c r="CD612" s="16" t="e">
        <f t="shared" si="276"/>
        <v>#N/A</v>
      </c>
      <c r="CE612" s="16" t="e">
        <f t="shared" si="277"/>
        <v>#N/A</v>
      </c>
      <c r="CF612" s="16">
        <f t="shared" si="278"/>
        <v>99</v>
      </c>
      <c r="CG612" s="16">
        <f t="shared" si="279"/>
        <v>0</v>
      </c>
      <c r="CH612" s="16">
        <f t="shared" si="285"/>
        <v>0</v>
      </c>
      <c r="CJ612" s="16" t="e">
        <f t="shared" si="280"/>
        <v>#N/A</v>
      </c>
      <c r="CK612" s="16" t="str">
        <f t="shared" si="281"/>
        <v/>
      </c>
    </row>
    <row r="613" spans="1:89" ht="12" customHeight="1">
      <c r="A613" s="211"/>
      <c r="B613" s="211"/>
      <c r="C613" s="211"/>
      <c r="D613" s="211"/>
      <c r="E613" s="211"/>
      <c r="F613" s="211"/>
      <c r="G613" s="211"/>
      <c r="H613" s="211"/>
      <c r="I613" s="211"/>
      <c r="J613" s="211"/>
      <c r="K613" s="211"/>
      <c r="L613" s="211"/>
      <c r="M613" s="211"/>
      <c r="N613" s="211"/>
      <c r="O613" s="211"/>
      <c r="BU613" s="16">
        <f t="shared" si="282"/>
        <v>0</v>
      </c>
      <c r="BV613" s="16">
        <f>IF($BY$12=1,NORMDIST(BY613,$Y$6,$Y$8,TRUE),IF($BY$12=2,IF(BY613&lt;=$BX$31,0,IF(BY613&gt;=$BX$32,1,(BY613-$BX$31)*$BX$33)),SUM($BU$42:BU613)/$BV$40))</f>
        <v>0.63870520438369727</v>
      </c>
      <c r="BW613" s="16">
        <f t="shared" si="283"/>
        <v>1.0694246674614338</v>
      </c>
      <c r="BX613" s="16">
        <f>IF($BY$12&lt;3,BV613,SUM($BZ$42:BZ613)/$BX$40)</f>
        <v>0.63870520438369727</v>
      </c>
      <c r="BY613" s="16">
        <f t="shared" si="286"/>
        <v>57.100000000000541</v>
      </c>
      <c r="BZ613" s="16">
        <f t="shared" si="274"/>
        <v>1.8728978414385703E-2</v>
      </c>
      <c r="CA613" s="16">
        <f t="shared" si="284"/>
        <v>-999</v>
      </c>
      <c r="CB613" s="16" t="str">
        <f t="shared" si="275"/>
        <v/>
      </c>
      <c r="CC613" s="16" t="e">
        <f>IF(CB613="",NA(),COUNTIF(CB613:$CB$704,CB613))</f>
        <v>#N/A</v>
      </c>
      <c r="CD613" s="16" t="e">
        <f t="shared" si="276"/>
        <v>#N/A</v>
      </c>
      <c r="CE613" s="16" t="e">
        <f t="shared" si="277"/>
        <v>#N/A</v>
      </c>
      <c r="CF613" s="16">
        <f t="shared" si="278"/>
        <v>99</v>
      </c>
      <c r="CG613" s="16">
        <f t="shared" si="279"/>
        <v>0</v>
      </c>
      <c r="CH613" s="16">
        <f t="shared" si="285"/>
        <v>0</v>
      </c>
      <c r="CJ613" s="16" t="e">
        <f t="shared" si="280"/>
        <v>#N/A</v>
      </c>
      <c r="CK613" s="16" t="str">
        <f t="shared" si="281"/>
        <v/>
      </c>
    </row>
    <row r="614" spans="1:89" ht="12" customHeight="1">
      <c r="A614" s="211"/>
      <c r="B614" s="211"/>
      <c r="C614" s="211"/>
      <c r="D614" s="211"/>
      <c r="E614" s="211"/>
      <c r="F614" s="211"/>
      <c r="G614" s="211"/>
      <c r="H614" s="211"/>
      <c r="I614" s="211"/>
      <c r="J614" s="211"/>
      <c r="K614" s="211"/>
      <c r="L614" s="211"/>
      <c r="M614" s="211"/>
      <c r="N614" s="211"/>
      <c r="O614" s="211"/>
      <c r="BU614" s="16">
        <f t="shared" si="282"/>
        <v>0</v>
      </c>
      <c r="BV614" s="16">
        <f>IF($BY$12=1,NORMDIST(BY614,$Y$6,$Y$8,TRUE),IF($BY$12=2,IF(BY614&lt;=$BX$31,0,IF(BY614&gt;=$BX$32,1,(BY614-$BX$31)*$BX$33)),SUM($BU$42:BU614)/$BV$40))</f>
        <v>0.6405764332180014</v>
      </c>
      <c r="BW614" s="16">
        <f t="shared" si="283"/>
        <v>1.0693843313671467</v>
      </c>
      <c r="BX614" s="16">
        <f>IF($BY$12&lt;3,BV614,SUM($BZ$42:BZ614)/$BX$40)</f>
        <v>0.6405764332180014</v>
      </c>
      <c r="BY614" s="16">
        <f t="shared" si="286"/>
        <v>57.200000000000543</v>
      </c>
      <c r="BZ614" s="16">
        <f t="shared" si="274"/>
        <v>1.8695530268656235E-2</v>
      </c>
      <c r="CA614" s="16">
        <f t="shared" si="284"/>
        <v>-999</v>
      </c>
      <c r="CB614" s="16" t="str">
        <f t="shared" si="275"/>
        <v/>
      </c>
      <c r="CC614" s="16" t="e">
        <f>IF(CB614="",NA(),COUNTIF(CB614:$CB$704,CB614))</f>
        <v>#N/A</v>
      </c>
      <c r="CD614" s="16" t="e">
        <f t="shared" si="276"/>
        <v>#N/A</v>
      </c>
      <c r="CE614" s="16" t="e">
        <f t="shared" si="277"/>
        <v>#N/A</v>
      </c>
      <c r="CF614" s="16">
        <f t="shared" si="278"/>
        <v>99</v>
      </c>
      <c r="CG614" s="16">
        <f t="shared" si="279"/>
        <v>0</v>
      </c>
      <c r="CH614" s="16">
        <f t="shared" si="285"/>
        <v>0</v>
      </c>
      <c r="CJ614" s="16" t="e">
        <f t="shared" si="280"/>
        <v>#N/A</v>
      </c>
      <c r="CK614" s="16" t="str">
        <f t="shared" si="281"/>
        <v/>
      </c>
    </row>
    <row r="615" spans="1:89" ht="12" customHeight="1">
      <c r="A615" s="211"/>
      <c r="B615" s="211"/>
      <c r="C615" s="211"/>
      <c r="D615" s="211"/>
      <c r="E615" s="211"/>
      <c r="F615" s="211"/>
      <c r="G615" s="211"/>
      <c r="H615" s="211"/>
      <c r="I615" s="211"/>
      <c r="J615" s="211"/>
      <c r="K615" s="211"/>
      <c r="L615" s="211"/>
      <c r="M615" s="211"/>
      <c r="N615" s="211"/>
      <c r="O615" s="211"/>
      <c r="BU615" s="16">
        <f t="shared" si="282"/>
        <v>0</v>
      </c>
      <c r="BV615" s="16">
        <f>IF($BY$12=1,NORMDIST(BY615,$Y$6,$Y$8,TRUE),IF($BY$12=2,IF(BY615&lt;=$BX$31,0,IF(BY615&gt;=$BX$32,1,(BY615-$BX$31)*$BX$33)),SUM($BU$42:BU615)/$BV$40))</f>
        <v>0.6424442968769809</v>
      </c>
      <c r="BW615" s="16">
        <f t="shared" si="283"/>
        <v>1.069313995284124</v>
      </c>
      <c r="BX615" s="16">
        <f>IF($BY$12&lt;3,BV615,SUM($BZ$42:BZ615)/$BX$40)</f>
        <v>0.6424442968769809</v>
      </c>
      <c r="BY615" s="16">
        <f t="shared" si="286"/>
        <v>57.300000000000544</v>
      </c>
      <c r="BZ615" s="16">
        <f t="shared" si="274"/>
        <v>1.8661675310368477E-2</v>
      </c>
      <c r="CA615" s="16">
        <f t="shared" si="284"/>
        <v>-999</v>
      </c>
      <c r="CB615" s="16" t="str">
        <f t="shared" si="275"/>
        <v/>
      </c>
      <c r="CC615" s="16" t="e">
        <f>IF(CB615="",NA(),COUNTIF(CB615:$CB$704,CB615))</f>
        <v>#N/A</v>
      </c>
      <c r="CD615" s="16" t="e">
        <f t="shared" si="276"/>
        <v>#N/A</v>
      </c>
      <c r="CE615" s="16" t="e">
        <f t="shared" si="277"/>
        <v>#N/A</v>
      </c>
      <c r="CF615" s="16">
        <f t="shared" si="278"/>
        <v>99</v>
      </c>
      <c r="CG615" s="16">
        <f t="shared" si="279"/>
        <v>0</v>
      </c>
      <c r="CH615" s="16">
        <f t="shared" si="285"/>
        <v>0</v>
      </c>
      <c r="CJ615" s="16" t="e">
        <f t="shared" si="280"/>
        <v>#N/A</v>
      </c>
      <c r="CK615" s="16" t="str">
        <f t="shared" si="281"/>
        <v/>
      </c>
    </row>
    <row r="616" spans="1:89" ht="12" customHeight="1">
      <c r="A616" s="211"/>
      <c r="B616" s="211"/>
      <c r="C616" s="211"/>
      <c r="D616" s="211"/>
      <c r="E616" s="211"/>
      <c r="F616" s="211"/>
      <c r="G616" s="211"/>
      <c r="H616" s="211"/>
      <c r="I616" s="211"/>
      <c r="J616" s="211"/>
      <c r="K616" s="211"/>
      <c r="L616" s="211"/>
      <c r="M616" s="211"/>
      <c r="N616" s="211"/>
      <c r="O616" s="211"/>
      <c r="BU616" s="16">
        <f t="shared" si="282"/>
        <v>0</v>
      </c>
      <c r="BV616" s="16">
        <f>IF($BY$12=1,NORMDIST(BY616,$Y$6,$Y$8,TRUE),IF($BY$12=2,IF(BY616&lt;=$BX$31,0,IF(BY616&gt;=$BX$32,1,(BY616-$BX$31)*$BX$33)),SUM($BU$42:BU616)/$BV$40))</f>
        <v>0.64430875480055694</v>
      </c>
      <c r="BW616" s="16">
        <f t="shared" si="283"/>
        <v>1.069213676528568</v>
      </c>
      <c r="BX616" s="16">
        <f>IF($BY$12&lt;3,BV616,SUM($BZ$42:BZ616)/$BX$40)</f>
        <v>0.64430875480055694</v>
      </c>
      <c r="BY616" s="16">
        <f t="shared" si="286"/>
        <v>57.400000000000546</v>
      </c>
      <c r="BZ616" s="16">
        <f t="shared" si="274"/>
        <v>1.862741596739648E-2</v>
      </c>
      <c r="CA616" s="16">
        <f t="shared" si="284"/>
        <v>-999</v>
      </c>
      <c r="CB616" s="16" t="str">
        <f t="shared" si="275"/>
        <v/>
      </c>
      <c r="CC616" s="16" t="e">
        <f>IF(CB616="",NA(),COUNTIF(CB616:$CB$704,CB616))</f>
        <v>#N/A</v>
      </c>
      <c r="CD616" s="16" t="e">
        <f t="shared" si="276"/>
        <v>#N/A</v>
      </c>
      <c r="CE616" s="16" t="e">
        <f t="shared" si="277"/>
        <v>#N/A</v>
      </c>
      <c r="CF616" s="16">
        <f t="shared" si="278"/>
        <v>99</v>
      </c>
      <c r="CG616" s="16">
        <f t="shared" si="279"/>
        <v>0</v>
      </c>
      <c r="CH616" s="16">
        <f t="shared" si="285"/>
        <v>0</v>
      </c>
      <c r="CJ616" s="16" t="e">
        <f t="shared" si="280"/>
        <v>#N/A</v>
      </c>
      <c r="CK616" s="16" t="str">
        <f t="shared" si="281"/>
        <v/>
      </c>
    </row>
    <row r="617" spans="1:89" ht="12" customHeight="1">
      <c r="A617" s="211"/>
      <c r="B617" s="211"/>
      <c r="C617" s="211"/>
      <c r="D617" s="211"/>
      <c r="E617" s="211"/>
      <c r="F617" s="211"/>
      <c r="G617" s="211"/>
      <c r="H617" s="211"/>
      <c r="I617" s="211"/>
      <c r="J617" s="211"/>
      <c r="K617" s="211"/>
      <c r="L617" s="211"/>
      <c r="M617" s="211"/>
      <c r="N617" s="211"/>
      <c r="O617" s="211"/>
      <c r="BU617" s="16">
        <f t="shared" si="282"/>
        <v>0</v>
      </c>
      <c r="BV617" s="16">
        <f>IF($BY$12=1,NORMDIST(BY617,$Y$6,$Y$8,TRUE),IF($BY$12=2,IF(BY617&lt;=$BX$31,0,IF(BY617&gt;=$BX$32,1,(BY617-$BX$31)*$BX$33)),SUM($BU$42:BU617)/$BV$40))</f>
        <v>0.64616976667273396</v>
      </c>
      <c r="BW617" s="16">
        <f t="shared" si="283"/>
        <v>1.0690833948755849</v>
      </c>
      <c r="BX617" s="16">
        <f>IF($BY$12&lt;3,BV617,SUM($BZ$42:BZ617)/$BX$40)</f>
        <v>0.64616976667273396</v>
      </c>
      <c r="BY617" s="16">
        <f t="shared" si="286"/>
        <v>57.500000000000547</v>
      </c>
      <c r="BZ617" s="16">
        <f t="shared" si="274"/>
        <v>1.8592754693488256E-2</v>
      </c>
      <c r="CA617" s="16">
        <f t="shared" si="284"/>
        <v>-999</v>
      </c>
      <c r="CB617" s="16" t="str">
        <f t="shared" si="275"/>
        <v/>
      </c>
      <c r="CC617" s="16" t="e">
        <f>IF(CB617="",NA(),COUNTIF(CB617:$CB$704,CB617))</f>
        <v>#N/A</v>
      </c>
      <c r="CD617" s="16" t="e">
        <f t="shared" si="276"/>
        <v>#N/A</v>
      </c>
      <c r="CE617" s="16" t="e">
        <f t="shared" si="277"/>
        <v>#N/A</v>
      </c>
      <c r="CF617" s="16">
        <f t="shared" si="278"/>
        <v>99</v>
      </c>
      <c r="CG617" s="16">
        <f t="shared" si="279"/>
        <v>0</v>
      </c>
      <c r="CH617" s="16">
        <f t="shared" si="285"/>
        <v>0</v>
      </c>
      <c r="CJ617" s="16" t="e">
        <f t="shared" si="280"/>
        <v>#N/A</v>
      </c>
      <c r="CK617" s="16" t="str">
        <f t="shared" si="281"/>
        <v/>
      </c>
    </row>
    <row r="618" spans="1:89" ht="12" customHeight="1">
      <c r="A618" s="211"/>
      <c r="B618" s="211"/>
      <c r="C618" s="211"/>
      <c r="D618" s="211"/>
      <c r="E618" s="211"/>
      <c r="F618" s="211"/>
      <c r="G618" s="211"/>
      <c r="H618" s="211"/>
      <c r="I618" s="211"/>
      <c r="J618" s="211"/>
      <c r="K618" s="211"/>
      <c r="L618" s="211"/>
      <c r="M618" s="211"/>
      <c r="N618" s="211"/>
      <c r="O618" s="211"/>
      <c r="BU618" s="16">
        <f t="shared" si="282"/>
        <v>0</v>
      </c>
      <c r="BV618" s="16">
        <f>IF($BY$12=1,NORMDIST(BY618,$Y$6,$Y$8,TRUE),IF($BY$12=2,IF(BY618&lt;=$BX$31,0,IF(BY618&gt;=$BX$32,1,(BY618-$BX$31)*$BX$33)),SUM($BU$42:BU618)/$BV$40))</f>
        <v>0.64802729242417301</v>
      </c>
      <c r="BW618" s="16">
        <f t="shared" si="283"/>
        <v>1.068923172555261</v>
      </c>
      <c r="BX618" s="16">
        <f>IF($BY$12&lt;3,BV618,SUM($BZ$42:BZ618)/$BX$40)</f>
        <v>0.64802729242417301</v>
      </c>
      <c r="BY618" s="16">
        <f t="shared" si="286"/>
        <v>57.600000000000549</v>
      </c>
      <c r="BZ618" s="16">
        <f t="shared" ref="BZ618:BZ681" si="287">IF($BZ$5,IF($BY$12=1,NORMDIST(BY618,$Y$6,$Y$8,FALSE),IF($BY$12=2,IF(AND(BY618&gt;=$BX$31,BY618&lt;=$BX$32),$BX$33,0),IF(BY618&lt;=$BX$13,0,NORMDIST(LN((BY618-$BX$13)/$BX$12),0,$BW$8,FALSE)/((BY618-$BX$13)/$BX$12)))),-999)</f>
        <v>1.8557693967973105E-2</v>
      </c>
      <c r="CA618" s="16">
        <f t="shared" si="284"/>
        <v>-999</v>
      </c>
      <c r="CB618" s="16" t="str">
        <f t="shared" ref="CB618:CB681" si="288">IF(M517="","",ROUND(M517/$P$24,0))</f>
        <v/>
      </c>
      <c r="CC618" s="16" t="e">
        <f>IF(CB618="",NA(),COUNTIF(CB618:$CB$704,CB618))</f>
        <v>#N/A</v>
      </c>
      <c r="CD618" s="16" t="e">
        <f t="shared" ref="CD618:CD681" si="289">IF(CB618&lt;&gt;"",CB618*$P$24,NA())</f>
        <v>#N/A</v>
      </c>
      <c r="CE618" s="16" t="e">
        <f t="shared" ref="CE618:CE681" si="290">IF(AND($CB$7,$CD$2,$CD$1),26+$P$23/2-CC618*$P$23,NA())</f>
        <v>#N/A</v>
      </c>
      <c r="CF618" s="16">
        <f t="shared" ref="CF618:CF681" si="291">IF(ISNA(CJ618),99,CJ618)</f>
        <v>99</v>
      </c>
      <c r="CG618" s="16">
        <f t="shared" ref="CG618:CG681" si="292">IF(ISNA(CJ618),0,CJ618)</f>
        <v>0</v>
      </c>
      <c r="CH618" s="16">
        <f t="shared" si="285"/>
        <v>0</v>
      </c>
      <c r="CJ618" s="16" t="e">
        <f t="shared" ref="CJ618:CJ681" si="293">IF(CH618=1,CE618,NA())</f>
        <v>#N/A</v>
      </c>
      <c r="CK618" s="16" t="str">
        <f t="shared" ref="CK618:CK681" si="294">IF(CH618=1,M517,"")</f>
        <v/>
      </c>
    </row>
    <row r="619" spans="1:89" ht="12" customHeight="1">
      <c r="A619" s="211"/>
      <c r="B619" s="211"/>
      <c r="C619" s="211"/>
      <c r="D619" s="211"/>
      <c r="E619" s="211"/>
      <c r="F619" s="211"/>
      <c r="G619" s="211"/>
      <c r="H619" s="211"/>
      <c r="I619" s="211"/>
      <c r="J619" s="211"/>
      <c r="K619" s="211"/>
      <c r="L619" s="211"/>
      <c r="M619" s="211"/>
      <c r="N619" s="211"/>
      <c r="O619" s="211"/>
      <c r="BU619" s="16">
        <f t="shared" ref="BU619:BU682" si="295">IF($BY$12&lt;3,0,IF(BY619&lt;=$BX$13,0,NORMDIST(LN((BY619-$BX$13)/$BX$12),0,$BW$8,FALSE)/((BY619-$BX$13)/$BX$12)))</f>
        <v>0</v>
      </c>
      <c r="BV619" s="16">
        <f>IF($BY$12=1,NORMDIST(BY619,$Y$6,$Y$8,TRUE),IF($BY$12=2,IF(BY619&lt;=$BX$31,0,IF(BY619&gt;=$BX$32,1,(BY619-$BX$31)*$BX$33)),SUM($BU$42:BU619)/$BV$40))</f>
        <v>0.64988129223473445</v>
      </c>
      <c r="BW619" s="16">
        <f t="shared" ref="BW619:BW682" si="296">BY619*BZ619</f>
        <v>1.0687330342484187</v>
      </c>
      <c r="BX619" s="16">
        <f>IF($BY$12&lt;3,BV619,SUM($BZ$42:BZ619)/$BX$40)</f>
        <v>0.64988129223473445</v>
      </c>
      <c r="BY619" s="16">
        <f t="shared" si="286"/>
        <v>57.70000000000055</v>
      </c>
      <c r="BZ619" s="16">
        <f t="shared" si="287"/>
        <v>1.852223629546635E-2</v>
      </c>
      <c r="CA619" s="16">
        <f t="shared" ref="CA619:CA682" si="297">IF(AND($CD$1,$CD$3),26-$CD$40*NORMDIST(BY619,$Y$6,$Y$8/SQRT($T$18),FALSE),-999)</f>
        <v>-999</v>
      </c>
      <c r="CB619" s="16" t="str">
        <f t="shared" si="288"/>
        <v/>
      </c>
      <c r="CC619" s="16" t="e">
        <f>IF(CB619="",NA(),COUNTIF(CB619:$CB$704,CB619))</f>
        <v>#N/A</v>
      </c>
      <c r="CD619" s="16" t="e">
        <f t="shared" si="289"/>
        <v>#N/A</v>
      </c>
      <c r="CE619" s="16" t="e">
        <f t="shared" si="290"/>
        <v>#N/A</v>
      </c>
      <c r="CF619" s="16">
        <f t="shared" si="291"/>
        <v>99</v>
      </c>
      <c r="CG619" s="16">
        <f t="shared" si="292"/>
        <v>0</v>
      </c>
      <c r="CH619" s="16">
        <f t="shared" si="285"/>
        <v>0</v>
      </c>
      <c r="CJ619" s="16" t="e">
        <f t="shared" si="293"/>
        <v>#N/A</v>
      </c>
      <c r="CK619" s="16" t="str">
        <f t="shared" si="294"/>
        <v/>
      </c>
    </row>
    <row r="620" spans="1:89" ht="12" customHeight="1">
      <c r="A620" s="211"/>
      <c r="B620" s="211"/>
      <c r="C620" s="211"/>
      <c r="D620" s="211"/>
      <c r="E620" s="211"/>
      <c r="F620" s="211"/>
      <c r="G620" s="211"/>
      <c r="H620" s="211"/>
      <c r="I620" s="211"/>
      <c r="J620" s="211"/>
      <c r="K620" s="211"/>
      <c r="L620" s="211"/>
      <c r="M620" s="211"/>
      <c r="N620" s="211"/>
      <c r="O620" s="211"/>
      <c r="BU620" s="16">
        <f t="shared" si="295"/>
        <v>0</v>
      </c>
      <c r="BV620" s="16">
        <f>IF($BY$12=1,NORMDIST(BY620,$Y$6,$Y$8,TRUE),IF($BY$12=2,IF(BY620&lt;=$BX$31,0,IF(BY620&gt;=$BX$32,1,(BY620-$BX$31)*$BX$33)),SUM($BU$42:BU620)/$BV$40))</f>
        <v>0.65173172653599254</v>
      </c>
      <c r="BW620" s="16">
        <f t="shared" si="296"/>
        <v>1.0685130070820381</v>
      </c>
      <c r="BX620" s="16">
        <f>IF($BY$12&lt;3,BV620,SUM($BZ$42:BZ620)/$BX$40)</f>
        <v>0.65173172653599254</v>
      </c>
      <c r="BY620" s="16">
        <f t="shared" si="286"/>
        <v>57.800000000000551</v>
      </c>
      <c r="BZ620" s="16">
        <f t="shared" si="287"/>
        <v>1.8486384205571416E-2</v>
      </c>
      <c r="CA620" s="16">
        <f t="shared" si="297"/>
        <v>-999</v>
      </c>
      <c r="CB620" s="16" t="str">
        <f t="shared" si="288"/>
        <v/>
      </c>
      <c r="CC620" s="16" t="e">
        <f>IF(CB620="",NA(),COUNTIF(CB620:$CB$704,CB620))</f>
        <v>#N/A</v>
      </c>
      <c r="CD620" s="16" t="e">
        <f t="shared" si="289"/>
        <v>#N/A</v>
      </c>
      <c r="CE620" s="16" t="e">
        <f t="shared" si="290"/>
        <v>#N/A</v>
      </c>
      <c r="CF620" s="16">
        <f t="shared" si="291"/>
        <v>99</v>
      </c>
      <c r="CG620" s="16">
        <f t="shared" si="292"/>
        <v>0</v>
      </c>
      <c r="CH620" s="16">
        <f t="shared" si="285"/>
        <v>0</v>
      </c>
      <c r="CJ620" s="16" t="e">
        <f t="shared" si="293"/>
        <v>#N/A</v>
      </c>
      <c r="CK620" s="16" t="str">
        <f t="shared" si="294"/>
        <v/>
      </c>
    </row>
    <row r="621" spans="1:89" ht="12" customHeight="1">
      <c r="A621" s="211"/>
      <c r="B621" s="211"/>
      <c r="C621" s="211"/>
      <c r="D621" s="211"/>
      <c r="E621" s="211"/>
      <c r="F621" s="211"/>
      <c r="G621" s="211"/>
      <c r="H621" s="211"/>
      <c r="I621" s="211"/>
      <c r="J621" s="211"/>
      <c r="K621" s="211"/>
      <c r="L621" s="211"/>
      <c r="M621" s="211"/>
      <c r="N621" s="211"/>
      <c r="O621" s="211"/>
      <c r="BU621" s="16">
        <f t="shared" si="295"/>
        <v>0</v>
      </c>
      <c r="BV621" s="16">
        <f>IF($BY$12=1,NORMDIST(BY621,$Y$6,$Y$8,TRUE),IF($BY$12=2,IF(BY621&lt;=$BX$31,0,IF(BY621&gt;=$BX$32,1,(BY621-$BX$31)*$BX$33)),SUM($BU$42:BU621)/$BV$40))</f>
        <v>0.65357855601371839</v>
      </c>
      <c r="BW621" s="16">
        <f t="shared" si="296"/>
        <v>1.0682631206243556</v>
      </c>
      <c r="BX621" s="16">
        <f>IF($BY$12&lt;3,BV621,SUM($BZ$42:BZ621)/$BX$40)</f>
        <v>0.65357855601371839</v>
      </c>
      <c r="BY621" s="16">
        <f t="shared" si="286"/>
        <v>57.900000000000553</v>
      </c>
      <c r="BZ621" s="16">
        <f t="shared" si="287"/>
        <v>1.8450140252579367E-2</v>
      </c>
      <c r="CA621" s="16">
        <f t="shared" si="297"/>
        <v>-999</v>
      </c>
      <c r="CB621" s="16" t="str">
        <f t="shared" si="288"/>
        <v/>
      </c>
      <c r="CC621" s="16" t="e">
        <f>IF(CB621="",NA(),COUNTIF(CB621:$CB$704,CB621))</f>
        <v>#N/A</v>
      </c>
      <c r="CD621" s="16" t="e">
        <f t="shared" si="289"/>
        <v>#N/A</v>
      </c>
      <c r="CE621" s="16" t="e">
        <f t="shared" si="290"/>
        <v>#N/A</v>
      </c>
      <c r="CF621" s="16">
        <f t="shared" si="291"/>
        <v>99</v>
      </c>
      <c r="CG621" s="16">
        <f t="shared" si="292"/>
        <v>0</v>
      </c>
      <c r="CH621" s="16">
        <f t="shared" si="285"/>
        <v>0</v>
      </c>
      <c r="CJ621" s="16" t="e">
        <f t="shared" si="293"/>
        <v>#N/A</v>
      </c>
      <c r="CK621" s="16" t="str">
        <f t="shared" si="294"/>
        <v/>
      </c>
    </row>
    <row r="622" spans="1:89" ht="12" customHeight="1">
      <c r="A622" s="211"/>
      <c r="B622" s="211"/>
      <c r="C622" s="211"/>
      <c r="D622" s="211"/>
      <c r="E622" s="211"/>
      <c r="F622" s="211"/>
      <c r="G622" s="211"/>
      <c r="H622" s="211"/>
      <c r="I622" s="211"/>
      <c r="J622" s="211"/>
      <c r="K622" s="211"/>
      <c r="L622" s="211"/>
      <c r="M622" s="211"/>
      <c r="N622" s="211"/>
      <c r="O622" s="211"/>
      <c r="BU622" s="16">
        <f t="shared" si="295"/>
        <v>0</v>
      </c>
      <c r="BV622" s="16">
        <f>IF($BY$12=1,NORMDIST(BY622,$Y$6,$Y$8,TRUE),IF($BY$12=2,IF(BY622&lt;=$BX$31,0,IF(BY622&gt;=$BX$32,1,(BY622-$BX$31)*$BX$33)),SUM($BU$42:BU622)/$BV$40))</f>
        <v>0.6554217416103344</v>
      </c>
      <c r="BW622" s="16">
        <f t="shared" si="296"/>
        <v>1.0679834068796359</v>
      </c>
      <c r="BX622" s="16">
        <f>IF($BY$12&lt;3,BV622,SUM($BZ$42:BZ622)/$BX$40)</f>
        <v>0.6554217416103344</v>
      </c>
      <c r="BY622" s="16">
        <f t="shared" si="286"/>
        <v>58.000000000000554</v>
      </c>
      <c r="BZ622" s="16">
        <f t="shared" si="287"/>
        <v>1.8413507015165961E-2</v>
      </c>
      <c r="CA622" s="16">
        <f t="shared" si="297"/>
        <v>-999</v>
      </c>
      <c r="CB622" s="16" t="str">
        <f t="shared" si="288"/>
        <v/>
      </c>
      <c r="CC622" s="16" t="e">
        <f>IF(CB622="",NA(),COUNTIF(CB622:$CB$704,CB622))</f>
        <v>#N/A</v>
      </c>
      <c r="CD622" s="16" t="e">
        <f t="shared" si="289"/>
        <v>#N/A</v>
      </c>
      <c r="CE622" s="16" t="e">
        <f t="shared" si="290"/>
        <v>#N/A</v>
      </c>
      <c r="CF622" s="16">
        <f t="shared" si="291"/>
        <v>99</v>
      </c>
      <c r="CG622" s="16">
        <f t="shared" si="292"/>
        <v>0</v>
      </c>
      <c r="CH622" s="16">
        <f t="shared" si="285"/>
        <v>0</v>
      </c>
      <c r="CJ622" s="16" t="e">
        <f t="shared" si="293"/>
        <v>#N/A</v>
      </c>
      <c r="CK622" s="16" t="str">
        <f t="shared" si="294"/>
        <v/>
      </c>
    </row>
    <row r="623" spans="1:89" ht="12" customHeight="1">
      <c r="A623" s="211"/>
      <c r="B623" s="211"/>
      <c r="C623" s="211"/>
      <c r="D623" s="211"/>
      <c r="E623" s="211"/>
      <c r="F623" s="211"/>
      <c r="G623" s="211"/>
      <c r="H623" s="211"/>
      <c r="I623" s="211"/>
      <c r="J623" s="211"/>
      <c r="K623" s="211"/>
      <c r="L623" s="211"/>
      <c r="M623" s="211"/>
      <c r="N623" s="211"/>
      <c r="O623" s="211"/>
      <c r="BU623" s="16">
        <f t="shared" si="295"/>
        <v>0</v>
      </c>
      <c r="BV623" s="16">
        <f>IF($BY$12=1,NORMDIST(BY623,$Y$6,$Y$8,TRUE),IF($BY$12=2,IF(BY623&lt;=$BX$31,0,IF(BY623&gt;=$BX$32,1,(BY623-$BX$31)*$BX$33)),SUM($BU$42:BU623)/$BV$40))</f>
        <v>0.65726124452733647</v>
      </c>
      <c r="BW623" s="16">
        <f t="shared" si="296"/>
        <v>1.0676739002826192</v>
      </c>
      <c r="BX623" s="16">
        <f>IF($BY$12&lt;3,BV623,SUM($BZ$42:BZ623)/$BX$40)</f>
        <v>0.65726124452733647</v>
      </c>
      <c r="BY623" s="16">
        <f t="shared" si="286"/>
        <v>58.100000000000556</v>
      </c>
      <c r="BZ623" s="16">
        <f t="shared" si="287"/>
        <v>1.8376487096086212E-2</v>
      </c>
      <c r="CA623" s="16">
        <f t="shared" si="297"/>
        <v>-999</v>
      </c>
      <c r="CB623" s="16" t="str">
        <f t="shared" si="288"/>
        <v/>
      </c>
      <c r="CC623" s="16" t="e">
        <f>IF(CB623="",NA(),COUNTIF(CB623:$CB$704,CB623))</f>
        <v>#N/A</v>
      </c>
      <c r="CD623" s="16" t="e">
        <f t="shared" si="289"/>
        <v>#N/A</v>
      </c>
      <c r="CE623" s="16" t="e">
        <f t="shared" si="290"/>
        <v>#N/A</v>
      </c>
      <c r="CF623" s="16">
        <f t="shared" si="291"/>
        <v>99</v>
      </c>
      <c r="CG623" s="16">
        <f t="shared" si="292"/>
        <v>0</v>
      </c>
      <c r="CH623" s="16">
        <f t="shared" si="285"/>
        <v>0</v>
      </c>
      <c r="CJ623" s="16" t="e">
        <f t="shared" si="293"/>
        <v>#N/A</v>
      </c>
      <c r="CK623" s="16" t="str">
        <f t="shared" si="294"/>
        <v/>
      </c>
    </row>
    <row r="624" spans="1:89" ht="12" customHeight="1">
      <c r="A624" s="211"/>
      <c r="B624" s="211"/>
      <c r="C624" s="211"/>
      <c r="D624" s="211"/>
      <c r="E624" s="211"/>
      <c r="F624" s="211"/>
      <c r="G624" s="211"/>
      <c r="H624" s="211"/>
      <c r="I624" s="211"/>
      <c r="J624" s="211"/>
      <c r="K624" s="211"/>
      <c r="L624" s="211"/>
      <c r="M624" s="211"/>
      <c r="N624" s="211"/>
      <c r="O624" s="211"/>
      <c r="BU624" s="16">
        <f t="shared" si="295"/>
        <v>0</v>
      </c>
      <c r="BV624" s="16">
        <f>IF($BY$12=1,NORMDIST(BY624,$Y$6,$Y$8,TRUE),IF($BY$12=2,IF(BY624&lt;=$BX$31,0,IF(BY624&gt;=$BX$32,1,(BY624-$BX$31)*$BX$33)),SUM($BU$42:BU624)/$BV$40))</f>
        <v>0.65909702622768762</v>
      </c>
      <c r="BW624" s="16">
        <f t="shared" si="296"/>
        <v>1.0673346376926458</v>
      </c>
      <c r="BX624" s="16">
        <f>IF($BY$12&lt;3,BV624,SUM($BZ$42:BZ624)/$BX$40)</f>
        <v>0.65909702622768762</v>
      </c>
      <c r="BY624" s="16">
        <f t="shared" si="286"/>
        <v>58.200000000000557</v>
      </c>
      <c r="BZ624" s="16">
        <f t="shared" si="287"/>
        <v>1.8339083121866592E-2</v>
      </c>
      <c r="CA624" s="16">
        <f t="shared" si="297"/>
        <v>-999</v>
      </c>
      <c r="CB624" s="16" t="str">
        <f t="shared" si="288"/>
        <v/>
      </c>
      <c r="CC624" s="16" t="e">
        <f>IF(CB624="",NA(),COUNTIF(CB624:$CB$704,CB624))</f>
        <v>#N/A</v>
      </c>
      <c r="CD624" s="16" t="e">
        <f t="shared" si="289"/>
        <v>#N/A</v>
      </c>
      <c r="CE624" s="16" t="e">
        <f t="shared" si="290"/>
        <v>#N/A</v>
      </c>
      <c r="CF624" s="16">
        <f t="shared" si="291"/>
        <v>99</v>
      </c>
      <c r="CG624" s="16">
        <f t="shared" si="292"/>
        <v>0</v>
      </c>
      <c r="CH624" s="16">
        <f t="shared" si="285"/>
        <v>0</v>
      </c>
      <c r="CJ624" s="16" t="e">
        <f t="shared" si="293"/>
        <v>#N/A</v>
      </c>
      <c r="CK624" s="16" t="str">
        <f t="shared" si="294"/>
        <v/>
      </c>
    </row>
    <row r="625" spans="1:89" ht="12" customHeight="1">
      <c r="A625" s="211"/>
      <c r="B625" s="211"/>
      <c r="C625" s="211"/>
      <c r="D625" s="211"/>
      <c r="E625" s="211"/>
      <c r="F625" s="211"/>
      <c r="G625" s="211"/>
      <c r="H625" s="211"/>
      <c r="I625" s="211"/>
      <c r="J625" s="211"/>
      <c r="K625" s="211"/>
      <c r="L625" s="211"/>
      <c r="M625" s="211"/>
      <c r="N625" s="211"/>
      <c r="O625" s="211"/>
      <c r="BU625" s="16">
        <f t="shared" si="295"/>
        <v>0</v>
      </c>
      <c r="BV625" s="16">
        <f>IF($BY$12=1,NORMDIST(BY625,$Y$6,$Y$8,TRUE),IF($BY$12=2,IF(BY625&lt;=$BX$31,0,IF(BY625&gt;=$BX$32,1,(BY625-$BX$31)*$BX$33)),SUM($BU$42:BU625)/$BV$40))</f>
        <v>0.66092904843817901</v>
      </c>
      <c r="BW625" s="16">
        <f t="shared" si="296"/>
        <v>1.0669656583874592</v>
      </c>
      <c r="BX625" s="16">
        <f>IF($BY$12&lt;3,BV625,SUM($BZ$42:BZ625)/$BX$40)</f>
        <v>0.66092904843817901</v>
      </c>
      <c r="BY625" s="16">
        <f t="shared" si="286"/>
        <v>58.300000000000558</v>
      </c>
      <c r="BZ625" s="16">
        <f t="shared" si="287"/>
        <v>1.8301297742494838E-2</v>
      </c>
      <c r="CA625" s="16">
        <f t="shared" si="297"/>
        <v>-999</v>
      </c>
      <c r="CB625" s="16" t="str">
        <f t="shared" si="288"/>
        <v/>
      </c>
      <c r="CC625" s="16" t="e">
        <f>IF(CB625="",NA(),COUNTIF(CB625:$CB$704,CB625))</f>
        <v>#N/A</v>
      </c>
      <c r="CD625" s="16" t="e">
        <f t="shared" si="289"/>
        <v>#N/A</v>
      </c>
      <c r="CE625" s="16" t="e">
        <f t="shared" si="290"/>
        <v>#N/A</v>
      </c>
      <c r="CF625" s="16">
        <f t="shared" si="291"/>
        <v>99</v>
      </c>
      <c r="CG625" s="16">
        <f t="shared" si="292"/>
        <v>0</v>
      </c>
      <c r="CH625" s="16">
        <f t="shared" si="285"/>
        <v>0</v>
      </c>
      <c r="CJ625" s="16" t="e">
        <f t="shared" si="293"/>
        <v>#N/A</v>
      </c>
      <c r="CK625" s="16" t="str">
        <f t="shared" si="294"/>
        <v/>
      </c>
    </row>
    <row r="626" spans="1:89" ht="12" customHeight="1">
      <c r="A626" s="211"/>
      <c r="B626" s="211"/>
      <c r="C626" s="211"/>
      <c r="D626" s="211"/>
      <c r="E626" s="211"/>
      <c r="F626" s="211"/>
      <c r="G626" s="211"/>
      <c r="H626" s="211"/>
      <c r="I626" s="211"/>
      <c r="J626" s="211"/>
      <c r="K626" s="211"/>
      <c r="L626" s="211"/>
      <c r="M626" s="211"/>
      <c r="N626" s="211"/>
      <c r="O626" s="211"/>
      <c r="BU626" s="16">
        <f t="shared" si="295"/>
        <v>0</v>
      </c>
      <c r="BV626" s="16">
        <f>IF($BY$12=1,NORMDIST(BY626,$Y$6,$Y$8,TRUE),IF($BY$12=2,IF(BY626&lt;=$BX$31,0,IF(BY626&gt;=$BX$32,1,(BY626-$BX$31)*$BX$33)),SUM($BU$42:BU626)/$BV$40))</f>
        <v>0.6627572731517607</v>
      </c>
      <c r="BW626" s="16">
        <f t="shared" si="296"/>
        <v>1.066567004056687</v>
      </c>
      <c r="BX626" s="16">
        <f>IF($BY$12&lt;3,BV626,SUM($BZ$42:BZ626)/$BX$40)</f>
        <v>0.6627572731517607</v>
      </c>
      <c r="BY626" s="16">
        <f t="shared" si="286"/>
        <v>58.40000000000056</v>
      </c>
      <c r="BZ626" s="16">
        <f t="shared" si="287"/>
        <v>1.826313363110748E-2</v>
      </c>
      <c r="CA626" s="16">
        <f t="shared" si="297"/>
        <v>-999</v>
      </c>
      <c r="CB626" s="16" t="str">
        <f t="shared" si="288"/>
        <v/>
      </c>
      <c r="CC626" s="16" t="e">
        <f>IF(CB626="",NA(),COUNTIF(CB626:$CB$704,CB626))</f>
        <v>#N/A</v>
      </c>
      <c r="CD626" s="16" t="e">
        <f t="shared" si="289"/>
        <v>#N/A</v>
      </c>
      <c r="CE626" s="16" t="e">
        <f t="shared" si="290"/>
        <v>#N/A</v>
      </c>
      <c r="CF626" s="16">
        <f t="shared" si="291"/>
        <v>99</v>
      </c>
      <c r="CG626" s="16">
        <f t="shared" si="292"/>
        <v>0</v>
      </c>
      <c r="CH626" s="16">
        <f t="shared" si="285"/>
        <v>0</v>
      </c>
      <c r="CJ626" s="16" t="e">
        <f t="shared" si="293"/>
        <v>#N/A</v>
      </c>
      <c r="CK626" s="16" t="str">
        <f t="shared" si="294"/>
        <v/>
      </c>
    </row>
    <row r="627" spans="1:89" ht="12" customHeight="1">
      <c r="A627" s="211"/>
      <c r="B627" s="211"/>
      <c r="C627" s="211"/>
      <c r="D627" s="211"/>
      <c r="E627" s="211"/>
      <c r="F627" s="211"/>
      <c r="G627" s="211"/>
      <c r="H627" s="211"/>
      <c r="I627" s="211"/>
      <c r="J627" s="211"/>
      <c r="K627" s="211"/>
      <c r="L627" s="211"/>
      <c r="M627" s="211"/>
      <c r="N627" s="211"/>
      <c r="O627" s="211"/>
      <c r="BU627" s="16">
        <f t="shared" si="295"/>
        <v>0</v>
      </c>
      <c r="BV627" s="16">
        <f>IF($BY$12=1,NORMDIST(BY627,$Y$6,$Y$8,TRUE),IF($BY$12=2,IF(BY627&lt;=$BX$31,0,IF(BY627&gt;=$BX$32,1,(BY627-$BX$31)*$BX$33)),SUM($BU$42:BU627)/$BV$40))</f>
        <v>0.66458166262984064</v>
      </c>
      <c r="BW627" s="16">
        <f t="shared" si="296"/>
        <v>1.0661387187950038</v>
      </c>
      <c r="BX627" s="16">
        <f>IF($BY$12&lt;3,BV627,SUM($BZ$42:BZ627)/$BX$40)</f>
        <v>0.66458166262984064</v>
      </c>
      <c r="BY627" s="16">
        <f t="shared" si="286"/>
        <v>58.500000000000561</v>
      </c>
      <c r="BZ627" s="16">
        <f t="shared" si="287"/>
        <v>1.8224593483675104E-2</v>
      </c>
      <c r="CA627" s="16">
        <f t="shared" si="297"/>
        <v>-999</v>
      </c>
      <c r="CB627" s="16" t="str">
        <f t="shared" si="288"/>
        <v/>
      </c>
      <c r="CC627" s="16" t="e">
        <f>IF(CB627="",NA(),COUNTIF(CB627:$CB$704,CB627))</f>
        <v>#N/A</v>
      </c>
      <c r="CD627" s="16" t="e">
        <f t="shared" si="289"/>
        <v>#N/A</v>
      </c>
      <c r="CE627" s="16" t="e">
        <f t="shared" si="290"/>
        <v>#N/A</v>
      </c>
      <c r="CF627" s="16">
        <f t="shared" si="291"/>
        <v>99</v>
      </c>
      <c r="CG627" s="16">
        <f t="shared" si="292"/>
        <v>0</v>
      </c>
      <c r="CH627" s="16">
        <f t="shared" si="285"/>
        <v>0</v>
      </c>
      <c r="CJ627" s="16" t="e">
        <f t="shared" si="293"/>
        <v>#N/A</v>
      </c>
      <c r="CK627" s="16" t="str">
        <f t="shared" si="294"/>
        <v/>
      </c>
    </row>
    <row r="628" spans="1:89" ht="12" customHeight="1">
      <c r="A628" s="211"/>
      <c r="B628" s="211"/>
      <c r="C628" s="211"/>
      <c r="D628" s="211"/>
      <c r="E628" s="211"/>
      <c r="F628" s="211"/>
      <c r="G628" s="211"/>
      <c r="H628" s="211"/>
      <c r="I628" s="211"/>
      <c r="J628" s="211"/>
      <c r="K628" s="211"/>
      <c r="L628" s="211"/>
      <c r="M628" s="211"/>
      <c r="N628" s="211"/>
      <c r="O628" s="211"/>
      <c r="BU628" s="16">
        <f t="shared" si="295"/>
        <v>0</v>
      </c>
      <c r="BV628" s="16">
        <f>IF($BY$12=1,NORMDIST(BY628,$Y$6,$Y$8,TRUE),IF($BY$12=2,IF(BY628&lt;=$BX$31,0,IF(BY628&gt;=$BX$32,1,(BY628-$BX$31)*$BX$33)),SUM($BU$42:BU628)/$BV$40))</f>
        <v>0.66640217940455249</v>
      </c>
      <c r="BW628" s="16">
        <f t="shared" si="296"/>
        <v>1.0656808490949776</v>
      </c>
      <c r="BX628" s="16">
        <f>IF($BY$12&lt;3,BV628,SUM($BZ$42:BZ628)/$BX$40)</f>
        <v>0.66640217940455249</v>
      </c>
      <c r="BY628" s="16">
        <f t="shared" si="286"/>
        <v>58.600000000000563</v>
      </c>
      <c r="BZ628" s="16">
        <f t="shared" si="287"/>
        <v>1.8185680018685452E-2</v>
      </c>
      <c r="CA628" s="16">
        <f t="shared" si="297"/>
        <v>-999</v>
      </c>
      <c r="CB628" s="16" t="str">
        <f t="shared" si="288"/>
        <v/>
      </c>
      <c r="CC628" s="16" t="e">
        <f>IF(CB628="",NA(),COUNTIF(CB628:$CB$704,CB628))</f>
        <v>#N/A</v>
      </c>
      <c r="CD628" s="16" t="e">
        <f t="shared" si="289"/>
        <v>#N/A</v>
      </c>
      <c r="CE628" s="16" t="e">
        <f t="shared" si="290"/>
        <v>#N/A</v>
      </c>
      <c r="CF628" s="16">
        <f t="shared" si="291"/>
        <v>99</v>
      </c>
      <c r="CG628" s="16">
        <f t="shared" si="292"/>
        <v>0</v>
      </c>
      <c r="CH628" s="16">
        <f t="shared" si="285"/>
        <v>0</v>
      </c>
      <c r="CJ628" s="16" t="e">
        <f t="shared" si="293"/>
        <v>#N/A</v>
      </c>
      <c r="CK628" s="16" t="str">
        <f t="shared" si="294"/>
        <v/>
      </c>
    </row>
    <row r="629" spans="1:89" ht="12" customHeight="1">
      <c r="A629" s="211"/>
      <c r="B629" s="211"/>
      <c r="C629" s="211"/>
      <c r="D629" s="211"/>
      <c r="E629" s="211"/>
      <c r="F629" s="211"/>
      <c r="G629" s="211"/>
      <c r="H629" s="211"/>
      <c r="I629" s="211"/>
      <c r="J629" s="211"/>
      <c r="K629" s="211"/>
      <c r="L629" s="211"/>
      <c r="M629" s="211"/>
      <c r="N629" s="211"/>
      <c r="O629" s="211"/>
      <c r="BU629" s="16">
        <f t="shared" si="295"/>
        <v>0</v>
      </c>
      <c r="BV629" s="16">
        <f>IF($BY$12=1,NORMDIST(BY629,$Y$6,$Y$8,TRUE),IF($BY$12=2,IF(BY629&lt;=$BX$31,0,IF(BY629&gt;=$BX$32,1,(BY629-$BX$31)*$BX$33)),SUM($BU$42:BU629)/$BV$40))</f>
        <v>0.66821878628099118</v>
      </c>
      <c r="BW629" s="16">
        <f t="shared" si="296"/>
        <v>1.0651934438395974</v>
      </c>
      <c r="BX629" s="16">
        <f>IF($BY$12&lt;3,BV629,SUM($BZ$42:BZ629)/$BX$40)</f>
        <v>0.66821878628099118</v>
      </c>
      <c r="BY629" s="16">
        <f t="shared" si="286"/>
        <v>58.700000000000564</v>
      </c>
      <c r="BZ629" s="16">
        <f t="shared" si="287"/>
        <v>1.8146395976824312E-2</v>
      </c>
      <c r="CA629" s="16">
        <f t="shared" si="297"/>
        <v>-999</v>
      </c>
      <c r="CB629" s="16" t="str">
        <f t="shared" si="288"/>
        <v/>
      </c>
      <c r="CC629" s="16" t="e">
        <f>IF(CB629="",NA(),COUNTIF(CB629:$CB$704,CB629))</f>
        <v>#N/A</v>
      </c>
      <c r="CD629" s="16" t="e">
        <f t="shared" si="289"/>
        <v>#N/A</v>
      </c>
      <c r="CE629" s="16" t="e">
        <f t="shared" si="290"/>
        <v>#N/A</v>
      </c>
      <c r="CF629" s="16">
        <f t="shared" si="291"/>
        <v>99</v>
      </c>
      <c r="CG629" s="16">
        <f t="shared" si="292"/>
        <v>0</v>
      </c>
      <c r="CH629" s="16">
        <f t="shared" si="285"/>
        <v>0</v>
      </c>
      <c r="CJ629" s="16" t="e">
        <f t="shared" si="293"/>
        <v>#N/A</v>
      </c>
      <c r="CK629" s="16" t="str">
        <f t="shared" si="294"/>
        <v/>
      </c>
    </row>
    <row r="630" spans="1:89" ht="12" customHeight="1">
      <c r="A630" s="211"/>
      <c r="B630" s="211"/>
      <c r="C630" s="211"/>
      <c r="D630" s="211"/>
      <c r="E630" s="211"/>
      <c r="F630" s="211"/>
      <c r="G630" s="211"/>
      <c r="H630" s="211"/>
      <c r="I630" s="211"/>
      <c r="J630" s="211"/>
      <c r="K630" s="211"/>
      <c r="L630" s="211"/>
      <c r="M630" s="211"/>
      <c r="N630" s="211"/>
      <c r="O630" s="211"/>
      <c r="BU630" s="16">
        <f t="shared" si="295"/>
        <v>0</v>
      </c>
      <c r="BV630" s="16">
        <f>IF($BY$12=1,NORMDIST(BY630,$Y$6,$Y$8,TRUE),IF($BY$12=2,IF(BY630&lt;=$BX$31,0,IF(BY630&gt;=$BX$32,1,(BY630-$BX$31)*$BX$33)),SUM($BU$42:BU630)/$BV$40))</f>
        <v>0.67003144633941658</v>
      </c>
      <c r="BW630" s="16">
        <f t="shared" si="296"/>
        <v>1.064676554294488</v>
      </c>
      <c r="BX630" s="16">
        <f>IF($BY$12&lt;3,BV630,SUM($BZ$42:BZ630)/$BX$40)</f>
        <v>0.67003144633941658</v>
      </c>
      <c r="BY630" s="16">
        <f t="shared" si="286"/>
        <v>58.800000000000566</v>
      </c>
      <c r="BZ630" s="16">
        <f t="shared" si="287"/>
        <v>1.8106744120654383E-2</v>
      </c>
      <c r="CA630" s="16">
        <f t="shared" si="297"/>
        <v>-999</v>
      </c>
      <c r="CB630" s="16" t="str">
        <f t="shared" si="288"/>
        <v/>
      </c>
      <c r="CC630" s="16" t="e">
        <f>IF(CB630="",NA(),COUNTIF(CB630:$CB$704,CB630))</f>
        <v>#N/A</v>
      </c>
      <c r="CD630" s="16" t="e">
        <f t="shared" si="289"/>
        <v>#N/A</v>
      </c>
      <c r="CE630" s="16" t="e">
        <f t="shared" si="290"/>
        <v>#N/A</v>
      </c>
      <c r="CF630" s="16">
        <f t="shared" si="291"/>
        <v>99</v>
      </c>
      <c r="CG630" s="16">
        <f t="shared" si="292"/>
        <v>0</v>
      </c>
      <c r="CH630" s="16">
        <f t="shared" si="285"/>
        <v>0</v>
      </c>
      <c r="CJ630" s="16" t="e">
        <f t="shared" si="293"/>
        <v>#N/A</v>
      </c>
      <c r="CK630" s="16" t="str">
        <f t="shared" si="294"/>
        <v/>
      </c>
    </row>
    <row r="631" spans="1:89" ht="12" customHeight="1">
      <c r="A631" s="211"/>
      <c r="B631" s="211"/>
      <c r="C631" s="211"/>
      <c r="D631" s="211"/>
      <c r="E631" s="211"/>
      <c r="F631" s="211"/>
      <c r="G631" s="211"/>
      <c r="H631" s="211"/>
      <c r="I631" s="211"/>
      <c r="J631" s="211"/>
      <c r="K631" s="211"/>
      <c r="L631" s="211"/>
      <c r="M631" s="211"/>
      <c r="N631" s="211"/>
      <c r="O631" s="211"/>
      <c r="BU631" s="16">
        <f t="shared" si="295"/>
        <v>0</v>
      </c>
      <c r="BV631" s="16">
        <f>IF($BY$12=1,NORMDIST(BY631,$Y$6,$Y$8,TRUE),IF($BY$12=2,IF(BY631&lt;=$BX$31,0,IF(BY631&gt;=$BX$32,1,(BY631-$BX$31)*$BX$33)),SUM($BU$42:BU631)/$BV$40))</f>
        <v>0.67184012293742545</v>
      </c>
      <c r="BW631" s="16">
        <f t="shared" si="296"/>
        <v>1.0641302340998118</v>
      </c>
      <c r="BX631" s="16">
        <f>IF($BY$12&lt;3,BV631,SUM($BZ$42:BZ631)/$BX$40)</f>
        <v>0.67184012293742545</v>
      </c>
      <c r="BY631" s="16">
        <f t="shared" si="286"/>
        <v>58.900000000000567</v>
      </c>
      <c r="BZ631" s="16">
        <f t="shared" si="287"/>
        <v>1.8066727234292045E-2</v>
      </c>
      <c r="CA631" s="16">
        <f t="shared" si="297"/>
        <v>-999</v>
      </c>
      <c r="CB631" s="16" t="str">
        <f t="shared" si="288"/>
        <v/>
      </c>
      <c r="CC631" s="16" t="e">
        <f>IF(CB631="",NA(),COUNTIF(CB631:$CB$704,CB631))</f>
        <v>#N/A</v>
      </c>
      <c r="CD631" s="16" t="e">
        <f t="shared" si="289"/>
        <v>#N/A</v>
      </c>
      <c r="CE631" s="16" t="e">
        <f t="shared" si="290"/>
        <v>#N/A</v>
      </c>
      <c r="CF631" s="16">
        <f t="shared" si="291"/>
        <v>99</v>
      </c>
      <c r="CG631" s="16">
        <f t="shared" si="292"/>
        <v>0</v>
      </c>
      <c r="CH631" s="16">
        <f t="shared" si="285"/>
        <v>0</v>
      </c>
      <c r="CJ631" s="16" t="e">
        <f t="shared" si="293"/>
        <v>#N/A</v>
      </c>
      <c r="CK631" s="16" t="str">
        <f t="shared" si="294"/>
        <v/>
      </c>
    </row>
    <row r="632" spans="1:89" ht="12" customHeight="1">
      <c r="A632" s="211"/>
      <c r="B632" s="211"/>
      <c r="C632" s="211"/>
      <c r="D632" s="211"/>
      <c r="E632" s="211"/>
      <c r="F632" s="211"/>
      <c r="G632" s="211"/>
      <c r="H632" s="211"/>
      <c r="I632" s="211"/>
      <c r="J632" s="211"/>
      <c r="K632" s="211"/>
      <c r="L632" s="211"/>
      <c r="M632" s="211"/>
      <c r="N632" s="211"/>
      <c r="O632" s="211"/>
      <c r="BU632" s="16">
        <f t="shared" si="295"/>
        <v>0</v>
      </c>
      <c r="BV632" s="16">
        <f>IF($BY$12=1,NORMDIST(BY632,$Y$6,$Y$8,TRUE),IF($BY$12=2,IF(BY632&lt;=$BX$31,0,IF(BY632&gt;=$BX$32,1,(BY632-$BX$31)*$BX$33)),SUM($BU$42:BU632)/$BV$40))</f>
        <v>0.67364477971209014</v>
      </c>
      <c r="BW632" s="16">
        <f t="shared" si="296"/>
        <v>1.0635545392618582</v>
      </c>
      <c r="BX632" s="16">
        <f>IF($BY$12&lt;3,BV632,SUM($BZ$42:BZ632)/$BX$40)</f>
        <v>0.67364477971209014</v>
      </c>
      <c r="BY632" s="16">
        <f t="shared" si="286"/>
        <v>59.000000000000568</v>
      </c>
      <c r="BZ632" s="16">
        <f t="shared" si="287"/>
        <v>1.8026348123082167E-2</v>
      </c>
      <c r="CA632" s="16">
        <f t="shared" si="297"/>
        <v>-999</v>
      </c>
      <c r="CB632" s="16" t="str">
        <f t="shared" si="288"/>
        <v/>
      </c>
      <c r="CC632" s="16" t="e">
        <f>IF(CB632="",NA(),COUNTIF(CB632:$CB$704,CB632))</f>
        <v>#N/A</v>
      </c>
      <c r="CD632" s="16" t="e">
        <f t="shared" si="289"/>
        <v>#N/A</v>
      </c>
      <c r="CE632" s="16" t="e">
        <f t="shared" si="290"/>
        <v>#N/A</v>
      </c>
      <c r="CF632" s="16">
        <f t="shared" si="291"/>
        <v>99</v>
      </c>
      <c r="CG632" s="16">
        <f t="shared" si="292"/>
        <v>0</v>
      </c>
      <c r="CH632" s="16">
        <f t="shared" si="285"/>
        <v>0</v>
      </c>
      <c r="CJ632" s="16" t="e">
        <f t="shared" si="293"/>
        <v>#N/A</v>
      </c>
      <c r="CK632" s="16" t="str">
        <f t="shared" si="294"/>
        <v/>
      </c>
    </row>
    <row r="633" spans="1:89" ht="12" customHeight="1">
      <c r="A633" s="211"/>
      <c r="B633" s="211"/>
      <c r="C633" s="211"/>
      <c r="D633" s="211"/>
      <c r="E633" s="211"/>
      <c r="F633" s="211"/>
      <c r="G633" s="211"/>
      <c r="H633" s="211"/>
      <c r="I633" s="211"/>
      <c r="J633" s="211"/>
      <c r="K633" s="211"/>
      <c r="L633" s="211"/>
      <c r="M633" s="211"/>
      <c r="N633" s="211"/>
      <c r="O633" s="211"/>
      <c r="BU633" s="16">
        <f t="shared" si="295"/>
        <v>0</v>
      </c>
      <c r="BV633" s="16">
        <f>IF($BY$12=1,NORMDIST(BY633,$Y$6,$Y$8,TRUE),IF($BY$12=2,IF(BY633&lt;=$BX$31,0,IF(BY633&gt;=$BX$32,1,(BY633-$BX$31)*$BX$33)),SUM($BU$42:BU633)/$BV$40))</f>
        <v>0.67544538058206571</v>
      </c>
      <c r="BW633" s="16">
        <f t="shared" si="296"/>
        <v>1.062949528144324</v>
      </c>
      <c r="BX633" s="16">
        <f>IF($BY$12&lt;3,BV633,SUM($BZ$42:BZ633)/$BX$40)</f>
        <v>0.67544538058206571</v>
      </c>
      <c r="BY633" s="16">
        <f t="shared" si="286"/>
        <v>59.10000000000057</v>
      </c>
      <c r="BZ633" s="16">
        <f t="shared" si="287"/>
        <v>1.7985609613270961E-2</v>
      </c>
      <c r="CA633" s="16">
        <f t="shared" si="297"/>
        <v>-999</v>
      </c>
      <c r="CB633" s="16" t="str">
        <f t="shared" si="288"/>
        <v/>
      </c>
      <c r="CC633" s="16" t="e">
        <f>IF(CB633="",NA(),COUNTIF(CB633:$CB$704,CB633))</f>
        <v>#N/A</v>
      </c>
      <c r="CD633" s="16" t="e">
        <f t="shared" si="289"/>
        <v>#N/A</v>
      </c>
      <c r="CE633" s="16" t="e">
        <f t="shared" si="290"/>
        <v>#N/A</v>
      </c>
      <c r="CF633" s="16">
        <f t="shared" si="291"/>
        <v>99</v>
      </c>
      <c r="CG633" s="16">
        <f t="shared" si="292"/>
        <v>0</v>
      </c>
      <c r="CH633" s="16">
        <f t="shared" si="285"/>
        <v>0</v>
      </c>
      <c r="CJ633" s="16" t="e">
        <f t="shared" si="293"/>
        <v>#N/A</v>
      </c>
      <c r="CK633" s="16" t="str">
        <f t="shared" si="294"/>
        <v/>
      </c>
    </row>
    <row r="634" spans="1:89" ht="12" customHeight="1">
      <c r="A634" s="211"/>
      <c r="B634" s="211"/>
      <c r="C634" s="211"/>
      <c r="D634" s="211"/>
      <c r="E634" s="211"/>
      <c r="F634" s="211"/>
      <c r="G634" s="211"/>
      <c r="H634" s="211"/>
      <c r="I634" s="211"/>
      <c r="J634" s="211"/>
      <c r="K634" s="211"/>
      <c r="L634" s="211"/>
      <c r="M634" s="211"/>
      <c r="N634" s="211"/>
      <c r="O634" s="211"/>
      <c r="BU634" s="16">
        <f t="shared" si="295"/>
        <v>0</v>
      </c>
      <c r="BV634" s="16">
        <f>IF($BY$12=1,NORMDIST(BY634,$Y$6,$Y$8,TRUE),IF($BY$12=2,IF(BY634&lt;=$BX$31,0,IF(BY634&gt;=$BX$32,1,(BY634-$BX$31)*$BX$33)),SUM($BU$42:BU634)/$BV$40))</f>
        <v>0.67724188974966248</v>
      </c>
      <c r="BW634" s="16">
        <f t="shared" si="296"/>
        <v>1.0623152614592883</v>
      </c>
      <c r="BX634" s="16">
        <f>IF($BY$12&lt;3,BV634,SUM($BZ$42:BZ634)/$BX$40)</f>
        <v>0.67724188974966248</v>
      </c>
      <c r="BY634" s="16">
        <f t="shared" si="286"/>
        <v>59.200000000000571</v>
      </c>
      <c r="BZ634" s="16">
        <f t="shared" si="287"/>
        <v>1.7944514551676994E-2</v>
      </c>
      <c r="CA634" s="16">
        <f t="shared" si="297"/>
        <v>-999</v>
      </c>
      <c r="CB634" s="16" t="str">
        <f t="shared" si="288"/>
        <v/>
      </c>
      <c r="CC634" s="16" t="e">
        <f>IF(CB634="",NA(),COUNTIF(CB634:$CB$704,CB634))</f>
        <v>#N/A</v>
      </c>
      <c r="CD634" s="16" t="e">
        <f t="shared" si="289"/>
        <v>#N/A</v>
      </c>
      <c r="CE634" s="16" t="e">
        <f t="shared" si="290"/>
        <v>#N/A</v>
      </c>
      <c r="CF634" s="16">
        <f t="shared" si="291"/>
        <v>99</v>
      </c>
      <c r="CG634" s="16">
        <f t="shared" si="292"/>
        <v>0</v>
      </c>
      <c r="CH634" s="16">
        <f t="shared" si="285"/>
        <v>0</v>
      </c>
      <c r="CJ634" s="16" t="e">
        <f t="shared" si="293"/>
        <v>#N/A</v>
      </c>
      <c r="CK634" s="16" t="str">
        <f t="shared" si="294"/>
        <v/>
      </c>
    </row>
    <row r="635" spans="1:89" ht="12" customHeight="1">
      <c r="A635" s="211"/>
      <c r="B635" s="211"/>
      <c r="C635" s="211"/>
      <c r="D635" s="211"/>
      <c r="E635" s="211"/>
      <c r="F635" s="211"/>
      <c r="G635" s="211"/>
      <c r="H635" s="211"/>
      <c r="I635" s="211"/>
      <c r="J635" s="211"/>
      <c r="K635" s="211"/>
      <c r="L635" s="211"/>
      <c r="M635" s="211"/>
      <c r="N635" s="211"/>
      <c r="O635" s="211"/>
      <c r="P635" s="211"/>
      <c r="BU635" s="16">
        <f t="shared" si="295"/>
        <v>0</v>
      </c>
      <c r="BV635" s="16">
        <f>IF($BY$12=1,NORMDIST(BY635,$Y$6,$Y$8,TRUE),IF($BY$12=2,IF(BY635&lt;=$BX$31,0,IF(BY635&gt;=$BX$32,1,(BY635-$BX$31)*$BX$33)),SUM($BU$42:BU635)/$BV$40))</f>
        <v>0.67903427170288821</v>
      </c>
      <c r="BW635" s="16">
        <f t="shared" si="296"/>
        <v>1.0616518022578763</v>
      </c>
      <c r="BX635" s="16">
        <f>IF($BY$12&lt;3,BV635,SUM($BZ$42:BZ635)/$BX$40)</f>
        <v>0.67903427170288821</v>
      </c>
      <c r="BY635" s="16">
        <f t="shared" si="286"/>
        <v>59.300000000000573</v>
      </c>
      <c r="BZ635" s="16">
        <f t="shared" si="287"/>
        <v>1.7903065805360302E-2</v>
      </c>
      <c r="CA635" s="16">
        <f t="shared" si="297"/>
        <v>-999</v>
      </c>
      <c r="CB635" s="16" t="str">
        <f t="shared" si="288"/>
        <v/>
      </c>
      <c r="CC635" s="16" t="e">
        <f>IF(CB635="",NA(),COUNTIF(CB635:$CB$704,CB635))</f>
        <v>#N/A</v>
      </c>
      <c r="CD635" s="16" t="e">
        <f t="shared" si="289"/>
        <v>#N/A</v>
      </c>
      <c r="CE635" s="16" t="e">
        <f t="shared" si="290"/>
        <v>#N/A</v>
      </c>
      <c r="CF635" s="16">
        <f t="shared" si="291"/>
        <v>99</v>
      </c>
      <c r="CG635" s="16">
        <f t="shared" si="292"/>
        <v>0</v>
      </c>
      <c r="CH635" s="16">
        <f t="shared" si="285"/>
        <v>0</v>
      </c>
      <c r="CJ635" s="16" t="e">
        <f t="shared" si="293"/>
        <v>#N/A</v>
      </c>
      <c r="CK635" s="16" t="str">
        <f t="shared" si="294"/>
        <v/>
      </c>
    </row>
    <row r="636" spans="1:89" ht="12" customHeight="1">
      <c r="A636" s="211"/>
      <c r="B636" s="211"/>
      <c r="C636" s="211"/>
      <c r="D636" s="211"/>
      <c r="E636" s="211"/>
      <c r="F636" s="211"/>
      <c r="G636" s="211"/>
      <c r="H636" s="211"/>
      <c r="I636" s="211"/>
      <c r="J636" s="211"/>
      <c r="K636" s="211"/>
      <c r="L636" s="211"/>
      <c r="M636" s="211"/>
      <c r="N636" s="211"/>
      <c r="O636" s="211"/>
      <c r="P636" s="211"/>
      <c r="BU636" s="16">
        <f t="shared" si="295"/>
        <v>0</v>
      </c>
      <c r="BV636" s="16">
        <f>IF($BY$12=1,NORMDIST(BY636,$Y$6,$Y$8,TRUE),IF($BY$12=2,IF(BY636&lt;=$BX$31,0,IF(BY636&gt;=$BX$32,1,(BY636-$BX$31)*$BX$33)),SUM($BU$42:BU636)/$BV$40))</f>
        <v>0.68082249121745442</v>
      </c>
      <c r="BW636" s="16">
        <f t="shared" si="296"/>
        <v>1.060959215920624</v>
      </c>
      <c r="BX636" s="16">
        <f>IF($BY$12&lt;3,BV636,SUM($BZ$42:BZ636)/$BX$40)</f>
        <v>0.68082249121745442</v>
      </c>
      <c r="BY636" s="16">
        <f t="shared" si="286"/>
        <v>59.400000000000574</v>
      </c>
      <c r="BZ636" s="16">
        <f t="shared" si="287"/>
        <v>1.7861266261289796E-2</v>
      </c>
      <c r="CA636" s="16">
        <f t="shared" si="297"/>
        <v>-999</v>
      </c>
      <c r="CB636" s="16" t="str">
        <f t="shared" si="288"/>
        <v/>
      </c>
      <c r="CC636" s="16" t="e">
        <f>IF(CB636="",NA(),COUNTIF(CB636:$CB$704,CB636))</f>
        <v>#N/A</v>
      </c>
      <c r="CD636" s="16" t="e">
        <f t="shared" si="289"/>
        <v>#N/A</v>
      </c>
      <c r="CE636" s="16" t="e">
        <f t="shared" si="290"/>
        <v>#N/A</v>
      </c>
      <c r="CF636" s="16">
        <f t="shared" si="291"/>
        <v>99</v>
      </c>
      <c r="CG636" s="16">
        <f t="shared" si="292"/>
        <v>0</v>
      </c>
      <c r="CH636" s="16">
        <f t="shared" si="285"/>
        <v>0</v>
      </c>
      <c r="CJ636" s="16" t="e">
        <f t="shared" si="293"/>
        <v>#N/A</v>
      </c>
      <c r="CK636" s="16" t="str">
        <f t="shared" si="294"/>
        <v/>
      </c>
    </row>
    <row r="637" spans="1:89" ht="12" customHeight="1">
      <c r="A637" s="211"/>
      <c r="B637" s="211"/>
      <c r="C637" s="211"/>
      <c r="D637" s="211"/>
      <c r="E637" s="211"/>
      <c r="F637" s="211"/>
      <c r="G637" s="211"/>
      <c r="H637" s="211"/>
      <c r="I637" s="211"/>
      <c r="J637" s="211"/>
      <c r="K637" s="211"/>
      <c r="L637" s="211"/>
      <c r="M637" s="211"/>
      <c r="N637" s="211"/>
      <c r="O637" s="211"/>
      <c r="P637" s="211"/>
      <c r="BU637" s="16">
        <f t="shared" si="295"/>
        <v>0</v>
      </c>
      <c r="BV637" s="16">
        <f>IF($BY$12=1,NORMDIST(BY637,$Y$6,$Y$8,TRUE),IF($BY$12=2,IF(BY637&lt;=$BX$31,0,IF(BY637&gt;=$BX$32,1,(BY637-$BX$31)*$BX$33)),SUM($BU$42:BU637)/$BV$40))</f>
        <v>0.68260651335875122</v>
      </c>
      <c r="BW637" s="16">
        <f t="shared" si="296"/>
        <v>1.0602375701475408</v>
      </c>
      <c r="BX637" s="16">
        <f>IF($BY$12&lt;3,BV637,SUM($BZ$42:BZ637)/$BX$40)</f>
        <v>0.68260651335875122</v>
      </c>
      <c r="BY637" s="16">
        <f t="shared" si="286"/>
        <v>59.500000000000576</v>
      </c>
      <c r="BZ637" s="16">
        <f t="shared" si="287"/>
        <v>1.7819118826008916E-2</v>
      </c>
      <c r="CA637" s="16">
        <f t="shared" si="297"/>
        <v>-999</v>
      </c>
      <c r="CB637" s="16" t="str">
        <f t="shared" si="288"/>
        <v/>
      </c>
      <c r="CC637" s="16" t="e">
        <f>IF(CB637="",NA(),COUNTIF(CB637:$CB$704,CB637))</f>
        <v>#N/A</v>
      </c>
      <c r="CD637" s="16" t="e">
        <f t="shared" si="289"/>
        <v>#N/A</v>
      </c>
      <c r="CE637" s="16" t="e">
        <f t="shared" si="290"/>
        <v>#N/A</v>
      </c>
      <c r="CF637" s="16">
        <f t="shared" si="291"/>
        <v>99</v>
      </c>
      <c r="CG637" s="16">
        <f t="shared" si="292"/>
        <v>0</v>
      </c>
      <c r="CH637" s="16">
        <f t="shared" si="285"/>
        <v>0</v>
      </c>
      <c r="CJ637" s="16" t="e">
        <f t="shared" si="293"/>
        <v>#N/A</v>
      </c>
      <c r="CK637" s="16" t="str">
        <f t="shared" si="294"/>
        <v/>
      </c>
    </row>
    <row r="638" spans="1:89" ht="12" customHeight="1">
      <c r="BU638" s="16">
        <f t="shared" si="295"/>
        <v>0</v>
      </c>
      <c r="BV638" s="16">
        <f>IF($BY$12=1,NORMDIST(BY638,$Y$6,$Y$8,TRUE),IF($BY$12=2,IF(BY638&lt;=$BX$31,0,IF(BY638&gt;=$BX$32,1,(BY638-$BX$31)*$BX$33)),SUM($BU$42:BU638)/$BV$40))</f>
        <v>0.68438630348378759</v>
      </c>
      <c r="BW638" s="16">
        <f t="shared" si="296"/>
        <v>1.0594869349478668</v>
      </c>
      <c r="BX638" s="16">
        <f>IF($BY$12&lt;3,BV638,SUM($BZ$42:BZ638)/$BX$40)</f>
        <v>0.68438630348378759</v>
      </c>
      <c r="BY638" s="16">
        <f t="shared" si="286"/>
        <v>59.600000000000577</v>
      </c>
      <c r="BZ638" s="16">
        <f t="shared" si="287"/>
        <v>1.7776626425299608E-2</v>
      </c>
      <c r="CA638" s="16">
        <f t="shared" si="297"/>
        <v>-999</v>
      </c>
      <c r="CB638" s="16" t="str">
        <f t="shared" si="288"/>
        <v/>
      </c>
      <c r="CC638" s="16" t="e">
        <f>IF(CB638="",NA(),COUNTIF(CB638:$CB$704,CB638))</f>
        <v>#N/A</v>
      </c>
      <c r="CD638" s="16" t="e">
        <f t="shared" si="289"/>
        <v>#N/A</v>
      </c>
      <c r="CE638" s="16" t="e">
        <f t="shared" si="290"/>
        <v>#N/A</v>
      </c>
      <c r="CF638" s="16">
        <f t="shared" si="291"/>
        <v>99</v>
      </c>
      <c r="CG638" s="16">
        <f t="shared" si="292"/>
        <v>0</v>
      </c>
      <c r="CH638" s="16">
        <f t="shared" si="285"/>
        <v>0</v>
      </c>
      <c r="CJ638" s="16" t="e">
        <f t="shared" si="293"/>
        <v>#N/A</v>
      </c>
      <c r="CK638" s="16" t="str">
        <f t="shared" si="294"/>
        <v/>
      </c>
    </row>
    <row r="639" spans="1:89" ht="12" customHeight="1">
      <c r="BU639" s="16">
        <f t="shared" si="295"/>
        <v>0</v>
      </c>
      <c r="BV639" s="16">
        <f>IF($BY$12=1,NORMDIST(BY639,$Y$6,$Y$8,TRUE),IF($BY$12=2,IF(BY639&lt;=$BX$31,0,IF(BY639&gt;=$BX$32,1,(BY639-$BX$31)*$BX$33)),SUM($BU$42:BU639)/$BV$40))</f>
        <v>0.68616182724309893</v>
      </c>
      <c r="BW639" s="16">
        <f t="shared" si="296"/>
        <v>1.0587073826295388</v>
      </c>
      <c r="BX639" s="16">
        <f>IF($BY$12&lt;3,BV639,SUM($BZ$42:BZ639)/$BX$40)</f>
        <v>0.68616182724309893</v>
      </c>
      <c r="BY639" s="16">
        <f t="shared" si="286"/>
        <v>59.700000000000578</v>
      </c>
      <c r="BZ639" s="16">
        <f t="shared" si="287"/>
        <v>1.7733792003844701E-2</v>
      </c>
      <c r="CA639" s="16">
        <f t="shared" si="297"/>
        <v>-999</v>
      </c>
      <c r="CB639" s="16" t="str">
        <f t="shared" si="288"/>
        <v/>
      </c>
      <c r="CC639" s="16" t="e">
        <f>IF(CB639="",NA(),COUNTIF(CB639:$CB$704,CB639))</f>
        <v>#N/A</v>
      </c>
      <c r="CD639" s="16" t="e">
        <f t="shared" si="289"/>
        <v>#N/A</v>
      </c>
      <c r="CE639" s="16" t="e">
        <f t="shared" si="290"/>
        <v>#N/A</v>
      </c>
      <c r="CF639" s="16">
        <f t="shared" si="291"/>
        <v>99</v>
      </c>
      <c r="CG639" s="16">
        <f t="shared" si="292"/>
        <v>0</v>
      </c>
      <c r="CH639" s="16">
        <f t="shared" si="285"/>
        <v>0</v>
      </c>
      <c r="CJ639" s="16" t="e">
        <f t="shared" si="293"/>
        <v>#N/A</v>
      </c>
      <c r="CK639" s="16" t="str">
        <f t="shared" si="294"/>
        <v/>
      </c>
    </row>
    <row r="640" spans="1:89" ht="12" customHeight="1">
      <c r="BU640" s="16">
        <f t="shared" si="295"/>
        <v>0</v>
      </c>
      <c r="BV640" s="16">
        <f>IF($BY$12=1,NORMDIST(BY640,$Y$6,$Y$8,TRUE),IF($BY$12=2,IF(BY640&lt;=$BX$31,0,IF(BY640&gt;=$BX$32,1,(BY640-$BX$31)*$BX$33)),SUM($BU$42:BU640)/$BV$40))</f>
        <v>0.68793305058261967</v>
      </c>
      <c r="BW640" s="16">
        <f t="shared" si="296"/>
        <v>1.0578989877883564</v>
      </c>
      <c r="BX640" s="16">
        <f>IF($BY$12&lt;3,BV640,SUM($BZ$42:BZ640)/$BX$40)</f>
        <v>0.68793305058261967</v>
      </c>
      <c r="BY640" s="16">
        <f t="shared" si="286"/>
        <v>59.80000000000058</v>
      </c>
      <c r="BZ640" s="16">
        <f t="shared" si="287"/>
        <v>1.7690618524888731E-2</v>
      </c>
      <c r="CA640" s="16">
        <f t="shared" si="297"/>
        <v>-999</v>
      </c>
      <c r="CB640" s="16" t="str">
        <f t="shared" si="288"/>
        <v/>
      </c>
      <c r="CC640" s="16" t="e">
        <f>IF(CB640="",NA(),COUNTIF(CB640:$CB$704,CB640))</f>
        <v>#N/A</v>
      </c>
      <c r="CD640" s="16" t="e">
        <f t="shared" si="289"/>
        <v>#N/A</v>
      </c>
      <c r="CE640" s="16" t="e">
        <f t="shared" si="290"/>
        <v>#N/A</v>
      </c>
      <c r="CF640" s="16">
        <f t="shared" si="291"/>
        <v>99</v>
      </c>
      <c r="CG640" s="16">
        <f t="shared" si="292"/>
        <v>0</v>
      </c>
      <c r="CH640" s="16">
        <f t="shared" si="285"/>
        <v>0</v>
      </c>
      <c r="CJ640" s="16" t="e">
        <f t="shared" si="293"/>
        <v>#N/A</v>
      </c>
      <c r="CK640" s="16" t="str">
        <f t="shared" si="294"/>
        <v/>
      </c>
    </row>
    <row r="641" spans="73:89" ht="12" customHeight="1">
      <c r="BU641" s="16">
        <f t="shared" si="295"/>
        <v>0</v>
      </c>
      <c r="BV641" s="16">
        <f>IF($BY$12=1,NORMDIST(BY641,$Y$6,$Y$8,TRUE),IF($BY$12=2,IF(BY641&lt;=$BX$31,0,IF(BY641&gt;=$BX$32,1,(BY641-$BX$31)*$BX$33)),SUM($BU$42:BU641)/$BV$40))</f>
        <v>0.68969993974552246</v>
      </c>
      <c r="BW641" s="16">
        <f t="shared" si="296"/>
        <v>1.0570618272968559</v>
      </c>
      <c r="BX641" s="16">
        <f>IF($BY$12&lt;3,BV641,SUM($BZ$42:BZ641)/$BX$40)</f>
        <v>0.68969993974552246</v>
      </c>
      <c r="BY641" s="16">
        <f t="shared" si="286"/>
        <v>59.900000000000581</v>
      </c>
      <c r="BZ641" s="16">
        <f t="shared" si="287"/>
        <v>1.7647108969897258E-2</v>
      </c>
      <c r="CA641" s="16">
        <f t="shared" si="297"/>
        <v>-999</v>
      </c>
      <c r="CB641" s="16" t="str">
        <f t="shared" si="288"/>
        <v/>
      </c>
      <c r="CC641" s="16" t="e">
        <f>IF(CB641="",NA(),COUNTIF(CB641:$CB$704,CB641))</f>
        <v>#N/A</v>
      </c>
      <c r="CD641" s="16" t="e">
        <f t="shared" si="289"/>
        <v>#N/A</v>
      </c>
      <c r="CE641" s="16" t="e">
        <f t="shared" si="290"/>
        <v>#N/A</v>
      </c>
      <c r="CF641" s="16">
        <f t="shared" si="291"/>
        <v>99</v>
      </c>
      <c r="CG641" s="16">
        <f t="shared" si="292"/>
        <v>0</v>
      </c>
      <c r="CH641" s="16">
        <f t="shared" si="285"/>
        <v>0</v>
      </c>
      <c r="CJ641" s="16" t="e">
        <f t="shared" si="293"/>
        <v>#N/A</v>
      </c>
      <c r="CK641" s="16" t="str">
        <f t="shared" si="294"/>
        <v/>
      </c>
    </row>
    <row r="642" spans="73:89" ht="12" customHeight="1">
      <c r="BU642" s="16">
        <f t="shared" si="295"/>
        <v>0</v>
      </c>
      <c r="BV642" s="16">
        <f>IF($BY$12=1,NORMDIST(BY642,$Y$6,$Y$8,TRUE),IF($BY$12=2,IF(BY642&lt;=$BX$31,0,IF(BY642&gt;=$BX$32,1,(BY642-$BX$31)*$BX$33)),SUM($BU$42:BU642)/$BV$40))</f>
        <v>0.69146246127402333</v>
      </c>
      <c r="BW642" s="16">
        <f t="shared" si="296"/>
        <v>1.0561959802928933</v>
      </c>
      <c r="BX642" s="16">
        <f>IF($BY$12&lt;3,BV642,SUM($BZ$42:BZ642)/$BX$40)</f>
        <v>0.69146246127402333</v>
      </c>
      <c r="BY642" s="16">
        <f t="shared" si="286"/>
        <v>60.000000000000583</v>
      </c>
      <c r="BZ642" s="16">
        <f t="shared" si="287"/>
        <v>1.7603266338214716E-2</v>
      </c>
      <c r="CA642" s="16">
        <f t="shared" si="297"/>
        <v>-999</v>
      </c>
      <c r="CB642" s="16" t="str">
        <f t="shared" si="288"/>
        <v/>
      </c>
      <c r="CC642" s="16" t="e">
        <f>IF(CB642="",NA(),COUNTIF(CB642:$CB$704,CB642))</f>
        <v>#N/A</v>
      </c>
      <c r="CD642" s="16" t="e">
        <f t="shared" si="289"/>
        <v>#N/A</v>
      </c>
      <c r="CE642" s="16" t="e">
        <f t="shared" si="290"/>
        <v>#N/A</v>
      </c>
      <c r="CF642" s="16">
        <f t="shared" si="291"/>
        <v>99</v>
      </c>
      <c r="CG642" s="16">
        <f t="shared" si="292"/>
        <v>0</v>
      </c>
      <c r="CH642" s="16">
        <f t="shared" si="285"/>
        <v>0</v>
      </c>
      <c r="CJ642" s="16" t="e">
        <f t="shared" si="293"/>
        <v>#N/A</v>
      </c>
      <c r="CK642" s="16" t="str">
        <f t="shared" si="294"/>
        <v/>
      </c>
    </row>
    <row r="643" spans="73:89" ht="12" customHeight="1">
      <c r="BU643" s="16">
        <f t="shared" si="295"/>
        <v>0</v>
      </c>
      <c r="BV643" s="16">
        <f>IF($BY$12=1,NORMDIST(BY643,$Y$6,$Y$8,TRUE),IF($BY$12=2,IF(BY643&lt;=$BX$31,0,IF(BY643&gt;=$BX$32,1,(BY643-$BX$31)*$BX$33)),SUM($BU$42:BU643)/$BV$40))</f>
        <v>0.69322058201115255</v>
      </c>
      <c r="BW643" s="16">
        <f t="shared" si="296"/>
        <v>1.0553015281679354</v>
      </c>
      <c r="BX643" s="16">
        <f>IF($BY$12&lt;3,BV643,SUM($BZ$42:BZ643)/$BX$40)</f>
        <v>0.69322058201115255</v>
      </c>
      <c r="BY643" s="16">
        <f t="shared" si="286"/>
        <v>60.100000000000584</v>
      </c>
      <c r="BZ643" s="16">
        <f t="shared" si="287"/>
        <v>1.7559093646720886E-2</v>
      </c>
      <c r="CA643" s="16">
        <f t="shared" si="297"/>
        <v>-999</v>
      </c>
      <c r="CB643" s="16" t="str">
        <f t="shared" si="288"/>
        <v/>
      </c>
      <c r="CC643" s="16" t="e">
        <f>IF(CB643="",NA(),COUNTIF(CB643:$CB$704,CB643))</f>
        <v>#N/A</v>
      </c>
      <c r="CD643" s="16" t="e">
        <f t="shared" si="289"/>
        <v>#N/A</v>
      </c>
      <c r="CE643" s="16" t="e">
        <f t="shared" si="290"/>
        <v>#N/A</v>
      </c>
      <c r="CF643" s="16">
        <f t="shared" si="291"/>
        <v>99</v>
      </c>
      <c r="CG643" s="16">
        <f t="shared" si="292"/>
        <v>0</v>
      </c>
      <c r="CH643" s="16">
        <f t="shared" ref="CH643:CH706" si="298">IF(CB643="",0,1)</f>
        <v>0</v>
      </c>
      <c r="CJ643" s="16" t="e">
        <f t="shared" si="293"/>
        <v>#N/A</v>
      </c>
      <c r="CK643" s="16" t="str">
        <f t="shared" si="294"/>
        <v/>
      </c>
    </row>
    <row r="644" spans="73:89" ht="12" customHeight="1">
      <c r="BU644" s="16">
        <f t="shared" si="295"/>
        <v>0</v>
      </c>
      <c r="BV644" s="16">
        <f>IF($BY$12=1,NORMDIST(BY644,$Y$6,$Y$8,TRUE),IF($BY$12=2,IF(BY644&lt;=$BX$31,0,IF(BY644&gt;=$BX$32,1,(BY644-$BX$31)*$BX$33)),SUM($BU$42:BU644)/$BV$40))</f>
        <v>0.69497426910249083</v>
      </c>
      <c r="BW644" s="16">
        <f t="shared" si="296"/>
        <v>1.0543785545550692</v>
      </c>
      <c r="BX644" s="16">
        <f>IF($BY$12&lt;3,BV644,SUM($BZ$42:BZ644)/$BX$40)</f>
        <v>0.69497426910249083</v>
      </c>
      <c r="BY644" s="16">
        <f t="shared" si="286"/>
        <v>60.200000000000585</v>
      </c>
      <c r="BZ644" s="16">
        <f t="shared" si="287"/>
        <v>1.7514593929486028E-2</v>
      </c>
      <c r="CA644" s="16">
        <f t="shared" si="297"/>
        <v>-999</v>
      </c>
      <c r="CB644" s="16" t="str">
        <f t="shared" si="288"/>
        <v/>
      </c>
      <c r="CC644" s="16" t="e">
        <f>IF(CB644="",NA(),COUNTIF(CB644:$CB$704,CB644))</f>
        <v>#N/A</v>
      </c>
      <c r="CD644" s="16" t="e">
        <f t="shared" si="289"/>
        <v>#N/A</v>
      </c>
      <c r="CE644" s="16" t="e">
        <f t="shared" si="290"/>
        <v>#N/A</v>
      </c>
      <c r="CF644" s="16">
        <f t="shared" si="291"/>
        <v>99</v>
      </c>
      <c r="CG644" s="16">
        <f t="shared" si="292"/>
        <v>0</v>
      </c>
      <c r="CH644" s="16">
        <f t="shared" si="298"/>
        <v>0</v>
      </c>
      <c r="CJ644" s="16" t="e">
        <f t="shared" si="293"/>
        <v>#N/A</v>
      </c>
      <c r="CK644" s="16" t="str">
        <f t="shared" si="294"/>
        <v/>
      </c>
    </row>
    <row r="645" spans="73:89" ht="12" customHeight="1">
      <c r="BU645" s="16">
        <f t="shared" si="295"/>
        <v>0</v>
      </c>
      <c r="BV645" s="16">
        <f>IF($BY$12=1,NORMDIST(BY645,$Y$6,$Y$8,TRUE),IF($BY$12=2,IF(BY645&lt;=$BX$31,0,IF(BY645&gt;=$BX$32,1,(BY645-$BX$31)*$BX$33)),SUM($BU$42:BU645)/$BV$40))</f>
        <v>0.6967234899978707</v>
      </c>
      <c r="BW645" s="16">
        <f t="shared" si="296"/>
        <v>1.0534271453167205</v>
      </c>
      <c r="BX645" s="16">
        <f>IF($BY$12&lt;3,BV645,SUM($BZ$42:BZ645)/$BX$40)</f>
        <v>0.6967234899978707</v>
      </c>
      <c r="BY645" s="16">
        <f t="shared" si="286"/>
        <v>60.300000000000587</v>
      </c>
      <c r="BZ645" s="16">
        <f t="shared" si="287"/>
        <v>1.7469770237424714E-2</v>
      </c>
      <c r="CA645" s="16">
        <f t="shared" si="297"/>
        <v>-999</v>
      </c>
      <c r="CB645" s="16" t="str">
        <f t="shared" si="288"/>
        <v/>
      </c>
      <c r="CC645" s="16" t="e">
        <f>IF(CB645="",NA(),COUNTIF(CB645:$CB$704,CB645))</f>
        <v>#N/A</v>
      </c>
      <c r="CD645" s="16" t="e">
        <f t="shared" si="289"/>
        <v>#N/A</v>
      </c>
      <c r="CE645" s="16" t="e">
        <f t="shared" si="290"/>
        <v>#N/A</v>
      </c>
      <c r="CF645" s="16">
        <f t="shared" si="291"/>
        <v>99</v>
      </c>
      <c r="CG645" s="16">
        <f t="shared" si="292"/>
        <v>0</v>
      </c>
      <c r="CH645" s="16">
        <f t="shared" si="298"/>
        <v>0</v>
      </c>
      <c r="CJ645" s="16" t="e">
        <f t="shared" si="293"/>
        <v>#N/A</v>
      </c>
      <c r="CK645" s="16" t="str">
        <f t="shared" si="294"/>
        <v/>
      </c>
    </row>
    <row r="646" spans="73:89" ht="12" customHeight="1">
      <c r="BU646" s="16">
        <f t="shared" si="295"/>
        <v>0</v>
      </c>
      <c r="BV646" s="16">
        <f>IF($BY$12=1,NORMDIST(BY646,$Y$6,$Y$8,TRUE),IF($BY$12=2,IF(BY646&lt;=$BX$31,0,IF(BY646&gt;=$BX$32,1,(BY646-$BX$31)*$BX$33)),SUM($BU$42:BU646)/$BV$40))</f>
        <v>0.69846821245304402</v>
      </c>
      <c r="BW646" s="16">
        <f t="shared" si="296"/>
        <v>1.0524473885320971</v>
      </c>
      <c r="BX646" s="16">
        <f>IF($BY$12&lt;3,BV646,SUM($BZ$42:BZ646)/$BX$40)</f>
        <v>0.69846821245304402</v>
      </c>
      <c r="BY646" s="16">
        <f t="shared" si="286"/>
        <v>60.400000000000588</v>
      </c>
      <c r="BZ646" s="16">
        <f t="shared" si="287"/>
        <v>1.7424625637948457E-2</v>
      </c>
      <c r="CA646" s="16">
        <f t="shared" si="297"/>
        <v>-999</v>
      </c>
      <c r="CB646" s="16" t="str">
        <f t="shared" si="288"/>
        <v/>
      </c>
      <c r="CC646" s="16" t="e">
        <f>IF(CB646="",NA(),COUNTIF(CB646:$CB$704,CB646))</f>
        <v>#N/A</v>
      </c>
      <c r="CD646" s="16" t="e">
        <f t="shared" si="289"/>
        <v>#N/A</v>
      </c>
      <c r="CE646" s="16" t="e">
        <f t="shared" si="290"/>
        <v>#N/A</v>
      </c>
      <c r="CF646" s="16">
        <f t="shared" si="291"/>
        <v>99</v>
      </c>
      <c r="CG646" s="16">
        <f t="shared" si="292"/>
        <v>0</v>
      </c>
      <c r="CH646" s="16">
        <f t="shared" si="298"/>
        <v>0</v>
      </c>
      <c r="CJ646" s="16" t="e">
        <f t="shared" si="293"/>
        <v>#N/A</v>
      </c>
      <c r="CK646" s="16" t="str">
        <f t="shared" si="294"/>
        <v/>
      </c>
    </row>
    <row r="647" spans="73:89" ht="12" customHeight="1">
      <c r="BU647" s="16">
        <f t="shared" si="295"/>
        <v>0</v>
      </c>
      <c r="BV647" s="16">
        <f>IF($BY$12=1,NORMDIST(BY647,$Y$6,$Y$8,TRUE),IF($BY$12=2,IF(BY647&lt;=$BX$31,0,IF(BY647&gt;=$BX$32,1,(BY647-$BX$31)*$BX$33)),SUM($BU$42:BU647)/$BV$40))</f>
        <v>0.70020840453131439</v>
      </c>
      <c r="BW647" s="16">
        <f t="shared" si="296"/>
        <v>1.0514393744843469</v>
      </c>
      <c r="BX647" s="16">
        <f>IF($BY$12&lt;3,BV647,SUM($BZ$42:BZ647)/$BX$40)</f>
        <v>0.70020840453131439</v>
      </c>
      <c r="BY647" s="16">
        <f t="shared" si="286"/>
        <v>60.50000000000059</v>
      </c>
      <c r="BZ647" s="16">
        <f t="shared" si="287"/>
        <v>1.7379163214617133E-2</v>
      </c>
      <c r="CA647" s="16">
        <f t="shared" si="297"/>
        <v>-999</v>
      </c>
      <c r="CB647" s="16" t="str">
        <f t="shared" si="288"/>
        <v/>
      </c>
      <c r="CC647" s="16" t="e">
        <f>IF(CB647="",NA(),COUNTIF(CB647:$CB$704,CB647))</f>
        <v>#N/A</v>
      </c>
      <c r="CD647" s="16" t="e">
        <f t="shared" si="289"/>
        <v>#N/A</v>
      </c>
      <c r="CE647" s="16" t="e">
        <f t="shared" si="290"/>
        <v>#N/A</v>
      </c>
      <c r="CF647" s="16">
        <f t="shared" si="291"/>
        <v>99</v>
      </c>
      <c r="CG647" s="16">
        <f t="shared" si="292"/>
        <v>0</v>
      </c>
      <c r="CH647" s="16">
        <f t="shared" si="298"/>
        <v>0</v>
      </c>
      <c r="CJ647" s="16" t="e">
        <f t="shared" si="293"/>
        <v>#N/A</v>
      </c>
      <c r="CK647" s="16" t="str">
        <f t="shared" si="294"/>
        <v/>
      </c>
    </row>
    <row r="648" spans="73:89" ht="12" customHeight="1">
      <c r="BU648" s="16">
        <f t="shared" si="295"/>
        <v>0</v>
      </c>
      <c r="BV648" s="16">
        <f>IF($BY$12=1,NORMDIST(BY648,$Y$6,$Y$8,TRUE),IF($BY$12=2,IF(BY648&lt;=$BX$31,0,IF(BY648&gt;=$BX$32,1,(BY648-$BX$31)*$BX$33)),SUM($BU$42:BU648)/$BV$40))</f>
        <v>0.70194403460513377</v>
      </c>
      <c r="BW648" s="16">
        <f t="shared" si="296"/>
        <v>1.0504031956474424</v>
      </c>
      <c r="BX648" s="16">
        <f>IF($BY$12&lt;3,BV648,SUM($BZ$42:BZ648)/$BX$40)</f>
        <v>0.70194403460513377</v>
      </c>
      <c r="BY648" s="16">
        <f t="shared" si="286"/>
        <v>60.600000000000591</v>
      </c>
      <c r="BZ648" s="16">
        <f t="shared" si="287"/>
        <v>1.7333386066789309E-2</v>
      </c>
      <c r="CA648" s="16">
        <f t="shared" si="297"/>
        <v>-999</v>
      </c>
      <c r="CB648" s="16" t="str">
        <f t="shared" si="288"/>
        <v/>
      </c>
      <c r="CC648" s="16" t="e">
        <f>IF(CB648="",NA(),COUNTIF(CB648:$CB$704,CB648))</f>
        <v>#N/A</v>
      </c>
      <c r="CD648" s="16" t="e">
        <f t="shared" si="289"/>
        <v>#N/A</v>
      </c>
      <c r="CE648" s="16" t="e">
        <f t="shared" si="290"/>
        <v>#N/A</v>
      </c>
      <c r="CF648" s="16">
        <f t="shared" si="291"/>
        <v>99</v>
      </c>
      <c r="CG648" s="16">
        <f t="shared" si="292"/>
        <v>0</v>
      </c>
      <c r="CH648" s="16">
        <f t="shared" si="298"/>
        <v>0</v>
      </c>
      <c r="CJ648" s="16" t="e">
        <f t="shared" si="293"/>
        <v>#N/A</v>
      </c>
      <c r="CK648" s="16" t="str">
        <f t="shared" si="294"/>
        <v/>
      </c>
    </row>
    <row r="649" spans="73:89" ht="12" customHeight="1">
      <c r="BU649" s="16">
        <f t="shared" si="295"/>
        <v>0</v>
      </c>
      <c r="BV649" s="16">
        <f>IF($BY$12=1,NORMDIST(BY649,$Y$6,$Y$8,TRUE),IF($BY$12=2,IF(BY649&lt;=$BX$31,0,IF(BY649&gt;=$BX$32,1,(BY649-$BX$31)*$BX$33)),SUM($BU$42:BU649)/$BV$40))</f>
        <v>0.70367507135766583</v>
      </c>
      <c r="BW649" s="16">
        <f t="shared" si="296"/>
        <v>1.0493389466727898</v>
      </c>
      <c r="BX649" s="16">
        <f>IF($BY$12&lt;3,BV649,SUM($BZ$42:BZ649)/$BX$40)</f>
        <v>0.70367507135766583</v>
      </c>
      <c r="BY649" s="16">
        <f t="shared" si="286"/>
        <v>60.700000000000593</v>
      </c>
      <c r="BZ649" s="16">
        <f t="shared" si="287"/>
        <v>1.7287297309271494E-2</v>
      </c>
      <c r="CA649" s="16">
        <f t="shared" si="297"/>
        <v>-999</v>
      </c>
      <c r="CB649" s="16" t="str">
        <f t="shared" si="288"/>
        <v/>
      </c>
      <c r="CC649" s="16" t="e">
        <f>IF(CB649="",NA(),COUNTIF(CB649:$CB$704,CB649))</f>
        <v>#N/A</v>
      </c>
      <c r="CD649" s="16" t="e">
        <f t="shared" si="289"/>
        <v>#N/A</v>
      </c>
      <c r="CE649" s="16" t="e">
        <f t="shared" si="290"/>
        <v>#N/A</v>
      </c>
      <c r="CF649" s="16">
        <f t="shared" si="291"/>
        <v>99</v>
      </c>
      <c r="CG649" s="16">
        <f t="shared" si="292"/>
        <v>0</v>
      </c>
      <c r="CH649" s="16">
        <f t="shared" si="298"/>
        <v>0</v>
      </c>
      <c r="CJ649" s="16" t="e">
        <f t="shared" si="293"/>
        <v>#N/A</v>
      </c>
      <c r="CK649" s="16" t="str">
        <f t="shared" si="294"/>
        <v/>
      </c>
    </row>
    <row r="650" spans="73:89" ht="12" customHeight="1">
      <c r="BU650" s="16">
        <f t="shared" si="295"/>
        <v>0</v>
      </c>
      <c r="BV650" s="16">
        <f>IF($BY$12=1,NORMDIST(BY650,$Y$6,$Y$8,TRUE),IF($BY$12=2,IF(BY650&lt;=$BX$31,0,IF(BY650&gt;=$BX$32,1,(BY650-$BX$31)*$BX$33)),SUM($BU$42:BU650)/$BV$40))</f>
        <v>0.70540148378431211</v>
      </c>
      <c r="BW650" s="16">
        <f t="shared" si="296"/>
        <v>1.0482467243755669</v>
      </c>
      <c r="BX650" s="16">
        <f>IF($BY$12&lt;3,BV650,SUM($BZ$42:BZ650)/$BX$40)</f>
        <v>0.70540148378431211</v>
      </c>
      <c r="BY650" s="16">
        <f t="shared" si="286"/>
        <v>60.800000000000594</v>
      </c>
      <c r="BZ650" s="16">
        <f t="shared" si="287"/>
        <v>1.7240900071966391E-2</v>
      </c>
      <c r="CA650" s="16">
        <f t="shared" si="297"/>
        <v>-999</v>
      </c>
      <c r="CB650" s="16" t="str">
        <f t="shared" si="288"/>
        <v/>
      </c>
      <c r="CC650" s="16" t="e">
        <f>IF(CB650="",NA(),COUNTIF(CB650:$CB$704,CB650))</f>
        <v>#N/A</v>
      </c>
      <c r="CD650" s="16" t="e">
        <f t="shared" si="289"/>
        <v>#N/A</v>
      </c>
      <c r="CE650" s="16" t="e">
        <f t="shared" si="290"/>
        <v>#N/A</v>
      </c>
      <c r="CF650" s="16">
        <f t="shared" si="291"/>
        <v>99</v>
      </c>
      <c r="CG650" s="16">
        <f t="shared" si="292"/>
        <v>0</v>
      </c>
      <c r="CH650" s="16">
        <f t="shared" si="298"/>
        <v>0</v>
      </c>
      <c r="CJ650" s="16" t="e">
        <f t="shared" si="293"/>
        <v>#N/A</v>
      </c>
      <c r="CK650" s="16" t="str">
        <f t="shared" si="294"/>
        <v/>
      </c>
    </row>
    <row r="651" spans="73:89" ht="12" customHeight="1">
      <c r="BU651" s="16">
        <f t="shared" si="295"/>
        <v>0</v>
      </c>
      <c r="BV651" s="16">
        <f>IF($BY$12=1,NORMDIST(BY651,$Y$6,$Y$8,TRUE),IF($BY$12=2,IF(BY651&lt;=$BX$31,0,IF(BY651&gt;=$BX$32,1,(BY651-$BX$31)*$BX$33)),SUM($BU$42:BU651)/$BV$40))</f>
        <v>0.70712324119420511</v>
      </c>
      <c r="BW651" s="16">
        <f t="shared" si="296"/>
        <v>1.0471266277207889</v>
      </c>
      <c r="BX651" s="16">
        <f>IF($BY$12&lt;3,BV651,SUM($BZ$42:BZ651)/$BX$40)</f>
        <v>0.70712324119420511</v>
      </c>
      <c r="BY651" s="16">
        <f t="shared" si="286"/>
        <v>60.900000000000595</v>
      </c>
      <c r="BZ651" s="16">
        <f t="shared" si="287"/>
        <v>1.7194197499520177E-2</v>
      </c>
      <c r="CA651" s="16">
        <f t="shared" si="297"/>
        <v>-999</v>
      </c>
      <c r="CB651" s="16" t="str">
        <f t="shared" si="288"/>
        <v/>
      </c>
      <c r="CC651" s="16" t="e">
        <f>IF(CB651="",NA(),COUNTIF(CB651:$CB$704,CB651))</f>
        <v>#N/A</v>
      </c>
      <c r="CD651" s="16" t="e">
        <f t="shared" si="289"/>
        <v>#N/A</v>
      </c>
      <c r="CE651" s="16" t="e">
        <f t="shared" si="290"/>
        <v>#N/A</v>
      </c>
      <c r="CF651" s="16">
        <f t="shared" si="291"/>
        <v>99</v>
      </c>
      <c r="CG651" s="16">
        <f t="shared" si="292"/>
        <v>0</v>
      </c>
      <c r="CH651" s="16">
        <f t="shared" si="298"/>
        <v>0</v>
      </c>
      <c r="CJ651" s="16" t="e">
        <f t="shared" si="293"/>
        <v>#N/A</v>
      </c>
      <c r="CK651" s="16" t="str">
        <f t="shared" si="294"/>
        <v/>
      </c>
    </row>
    <row r="652" spans="73:89" ht="12" customHeight="1">
      <c r="BU652" s="16">
        <f t="shared" si="295"/>
        <v>0</v>
      </c>
      <c r="BV652" s="16">
        <f>IF($BY$12=1,NORMDIST(BY652,$Y$6,$Y$8,TRUE),IF($BY$12=2,IF(BY652&lt;=$BX$31,0,IF(BY652&gt;=$BX$32,1,(BY652-$BX$31)*$BX$33)),SUM($BU$42:BU652)/$BV$40))</f>
        <v>0.70884031321166385</v>
      </c>
      <c r="BW652" s="16">
        <f t="shared" si="296"/>
        <v>1.0459787578091138</v>
      </c>
      <c r="BX652" s="16">
        <f>IF($BY$12&lt;3,BV652,SUM($BZ$42:BZ652)/$BX$40)</f>
        <v>0.70884031321166385</v>
      </c>
      <c r="BY652" s="16">
        <f t="shared" si="286"/>
        <v>61.000000000000597</v>
      </c>
      <c r="BZ652" s="16">
        <f t="shared" si="287"/>
        <v>1.7147192750968911E-2</v>
      </c>
      <c r="CA652" s="16">
        <f t="shared" si="297"/>
        <v>-999</v>
      </c>
      <c r="CB652" s="16" t="str">
        <f t="shared" si="288"/>
        <v/>
      </c>
      <c r="CC652" s="16" t="e">
        <f>IF(CB652="",NA(),COUNTIF(CB652:$CB$704,CB652))</f>
        <v>#N/A</v>
      </c>
      <c r="CD652" s="16" t="e">
        <f t="shared" si="289"/>
        <v>#N/A</v>
      </c>
      <c r="CE652" s="16" t="e">
        <f t="shared" si="290"/>
        <v>#N/A</v>
      </c>
      <c r="CF652" s="16">
        <f t="shared" si="291"/>
        <v>99</v>
      </c>
      <c r="CG652" s="16">
        <f t="shared" si="292"/>
        <v>0</v>
      </c>
      <c r="CH652" s="16">
        <f t="shared" si="298"/>
        <v>0</v>
      </c>
      <c r="CJ652" s="16" t="e">
        <f t="shared" si="293"/>
        <v>#N/A</v>
      </c>
      <c r="CK652" s="16" t="str">
        <f t="shared" si="294"/>
        <v/>
      </c>
    </row>
    <row r="653" spans="73:89" ht="12" customHeight="1">
      <c r="BU653" s="16">
        <f t="shared" si="295"/>
        <v>0</v>
      </c>
      <c r="BV653" s="16">
        <f>IF($BY$12=1,NORMDIST(BY653,$Y$6,$Y$8,TRUE),IF($BY$12=2,IF(BY653&lt;=$BX$31,0,IF(BY653&gt;=$BX$32,1,(BY653-$BX$31)*$BX$33)),SUM($BU$42:BU653)/$BV$40))</f>
        <v>0.710552669777616</v>
      </c>
      <c r="BW653" s="16">
        <f t="shared" si="296"/>
        <v>1.0448032178623772</v>
      </c>
      <c r="BX653" s="16">
        <f>IF($BY$12&lt;3,BV653,SUM($BZ$42:BZ653)/$BX$40)</f>
        <v>0.710552669777616</v>
      </c>
      <c r="BY653" s="16">
        <f t="shared" si="286"/>
        <v>61.100000000000598</v>
      </c>
      <c r="BZ653" s="16">
        <f t="shared" si="287"/>
        <v>1.7099888999384076E-2</v>
      </c>
      <c r="CA653" s="16">
        <f t="shared" si="297"/>
        <v>-999</v>
      </c>
      <c r="CB653" s="16" t="str">
        <f t="shared" si="288"/>
        <v/>
      </c>
      <c r="CC653" s="16" t="e">
        <f>IF(CB653="",NA(),COUNTIF(CB653:$CB$704,CB653))</f>
        <v>#N/A</v>
      </c>
      <c r="CD653" s="16" t="e">
        <f t="shared" si="289"/>
        <v>#N/A</v>
      </c>
      <c r="CE653" s="16" t="e">
        <f t="shared" si="290"/>
        <v>#N/A</v>
      </c>
      <c r="CF653" s="16">
        <f t="shared" si="291"/>
        <v>99</v>
      </c>
      <c r="CG653" s="16">
        <f t="shared" si="292"/>
        <v>0</v>
      </c>
      <c r="CH653" s="16">
        <f t="shared" si="298"/>
        <v>0</v>
      </c>
      <c r="CJ653" s="16" t="e">
        <f t="shared" si="293"/>
        <v>#N/A</v>
      </c>
      <c r="CK653" s="16" t="str">
        <f t="shared" si="294"/>
        <v/>
      </c>
    </row>
    <row r="654" spans="73:89" ht="12" customHeight="1">
      <c r="BU654" s="16">
        <f t="shared" si="295"/>
        <v>0</v>
      </c>
      <c r="BV654" s="16">
        <f>IF($BY$12=1,NORMDIST(BY654,$Y$6,$Y$8,TRUE),IF($BY$12=2,IF(BY654&lt;=$BX$31,0,IF(BY654&gt;=$BX$32,1,(BY654-$BX$31)*$BX$33)),SUM($BU$42:BU654)/$BV$40))</f>
        <v>0.71226028115098317</v>
      </c>
      <c r="BW654" s="16">
        <f t="shared" si="296"/>
        <v>1.0436001132088715</v>
      </c>
      <c r="BX654" s="16">
        <f>IF($BY$12&lt;3,BV654,SUM($BZ$42:BZ654)/$BX$40)</f>
        <v>0.71226028115098317</v>
      </c>
      <c r="BY654" s="16">
        <f t="shared" si="286"/>
        <v>61.2000000000006</v>
      </c>
      <c r="BZ654" s="16">
        <f t="shared" si="287"/>
        <v>1.7052289431517341E-2</v>
      </c>
      <c r="CA654" s="16">
        <f t="shared" si="297"/>
        <v>-999</v>
      </c>
      <c r="CB654" s="16" t="str">
        <f t="shared" si="288"/>
        <v/>
      </c>
      <c r="CC654" s="16" t="e">
        <f>IF(CB654="",NA(),COUNTIF(CB654:$CB$704,CB654))</f>
        <v>#N/A</v>
      </c>
      <c r="CD654" s="16" t="e">
        <f t="shared" si="289"/>
        <v>#N/A</v>
      </c>
      <c r="CE654" s="16" t="e">
        <f t="shared" si="290"/>
        <v>#N/A</v>
      </c>
      <c r="CF654" s="16">
        <f t="shared" si="291"/>
        <v>99</v>
      </c>
      <c r="CG654" s="16">
        <f t="shared" si="292"/>
        <v>0</v>
      </c>
      <c r="CH654" s="16">
        <f t="shared" si="298"/>
        <v>0</v>
      </c>
      <c r="CJ654" s="16" t="e">
        <f t="shared" si="293"/>
        <v>#N/A</v>
      </c>
      <c r="CK654" s="16" t="str">
        <f t="shared" si="294"/>
        <v/>
      </c>
    </row>
    <row r="655" spans="73:89" ht="12" customHeight="1">
      <c r="BU655" s="16">
        <f t="shared" si="295"/>
        <v>0</v>
      </c>
      <c r="BV655" s="16">
        <f>IF($BY$12=1,NORMDIST(BY655,$Y$6,$Y$8,TRUE),IF($BY$12=2,IF(BY655&lt;=$BX$31,0,IF(BY655&gt;=$BX$32,1,(BY655-$BX$31)*$BX$33)),SUM($BU$42:BU655)/$BV$40))</f>
        <v>0.71396311791003153</v>
      </c>
      <c r="BW655" s="16">
        <f t="shared" si="296"/>
        <v>1.0423695512683639</v>
      </c>
      <c r="BX655" s="16">
        <f>IF($BY$12&lt;3,BV655,SUM($BZ$42:BZ655)/$BX$40)</f>
        <v>0.71396311791003153</v>
      </c>
      <c r="BY655" s="16">
        <f t="shared" si="286"/>
        <v>61.300000000000601</v>
      </c>
      <c r="BZ655" s="16">
        <f t="shared" si="287"/>
        <v>1.7004397247444597E-2</v>
      </c>
      <c r="CA655" s="16">
        <f t="shared" si="297"/>
        <v>-999</v>
      </c>
      <c r="CB655" s="16" t="str">
        <f t="shared" si="288"/>
        <v/>
      </c>
      <c r="CC655" s="16" t="e">
        <f>IF(CB655="",NA(),COUNTIF(CB655:$CB$704,CB655))</f>
        <v>#N/A</v>
      </c>
      <c r="CD655" s="16" t="e">
        <f t="shared" si="289"/>
        <v>#N/A</v>
      </c>
      <c r="CE655" s="16" t="e">
        <f t="shared" si="290"/>
        <v>#N/A</v>
      </c>
      <c r="CF655" s="16">
        <f t="shared" si="291"/>
        <v>99</v>
      </c>
      <c r="CG655" s="16">
        <f t="shared" si="292"/>
        <v>0</v>
      </c>
      <c r="CH655" s="16">
        <f t="shared" si="298"/>
        <v>0</v>
      </c>
      <c r="CJ655" s="16" t="e">
        <f t="shared" si="293"/>
        <v>#N/A</v>
      </c>
      <c r="CK655" s="16" t="str">
        <f t="shared" si="294"/>
        <v/>
      </c>
    </row>
    <row r="656" spans="73:89" ht="12" customHeight="1">
      <c r="BU656" s="16">
        <f t="shared" si="295"/>
        <v>0</v>
      </c>
      <c r="BV656" s="16">
        <f>IF($BY$12=1,NORMDIST(BY656,$Y$6,$Y$8,TRUE),IF($BY$12=2,IF(BY656&lt;=$BX$31,0,IF(BY656&gt;=$BX$32,1,(BY656-$BX$31)*$BX$33)),SUM($BU$42:BU656)/$BV$40))</f>
        <v>0.7156611509536861</v>
      </c>
      <c r="BW656" s="16">
        <f t="shared" si="296"/>
        <v>1.0411116415368622</v>
      </c>
      <c r="BX656" s="16">
        <f>IF($BY$12&lt;3,BV656,SUM($BZ$42:BZ656)/$BX$40)</f>
        <v>0.7156611509536861</v>
      </c>
      <c r="BY656" s="16">
        <f t="shared" si="286"/>
        <v>61.400000000000603</v>
      </c>
      <c r="BZ656" s="16">
        <f t="shared" si="287"/>
        <v>1.6956215660209314E-2</v>
      </c>
      <c r="CA656" s="16">
        <f t="shared" si="297"/>
        <v>-999</v>
      </c>
      <c r="CB656" s="16" t="str">
        <f t="shared" si="288"/>
        <v/>
      </c>
      <c r="CC656" s="16" t="e">
        <f>IF(CB656="",NA(),COUNTIF(CB656:$CB$704,CB656))</f>
        <v>#N/A</v>
      </c>
      <c r="CD656" s="16" t="e">
        <f t="shared" si="289"/>
        <v>#N/A</v>
      </c>
      <c r="CE656" s="16" t="e">
        <f t="shared" si="290"/>
        <v>#N/A</v>
      </c>
      <c r="CF656" s="16">
        <f t="shared" si="291"/>
        <v>99</v>
      </c>
      <c r="CG656" s="16">
        <f t="shared" si="292"/>
        <v>0</v>
      </c>
      <c r="CH656" s="16">
        <f t="shared" si="298"/>
        <v>0</v>
      </c>
      <c r="CJ656" s="16" t="e">
        <f t="shared" si="293"/>
        <v>#N/A</v>
      </c>
      <c r="CK656" s="16" t="str">
        <f t="shared" si="294"/>
        <v/>
      </c>
    </row>
    <row r="657" spans="73:89" ht="12" customHeight="1">
      <c r="BU657" s="16">
        <f t="shared" si="295"/>
        <v>0</v>
      </c>
      <c r="BV657" s="16">
        <f>IF($BY$12=1,NORMDIST(BY657,$Y$6,$Y$8,TRUE),IF($BY$12=2,IF(BY657&lt;=$BX$31,0,IF(BY657&gt;=$BX$32,1,(BY657-$BX$31)*$BX$33)),SUM($BU$42:BU657)/$BV$40))</f>
        <v>0.71735435150280957</v>
      </c>
      <c r="BW657" s="16">
        <f t="shared" si="296"/>
        <v>1.0398264955711247</v>
      </c>
      <c r="BX657" s="16">
        <f>IF($BY$12&lt;3,BV657,SUM($BZ$42:BZ657)/$BX$40)</f>
        <v>0.71735435150280957</v>
      </c>
      <c r="BY657" s="16">
        <f t="shared" si="286"/>
        <v>61.500000000000604</v>
      </c>
      <c r="BZ657" s="16">
        <f t="shared" si="287"/>
        <v>1.6907747895465276E-2</v>
      </c>
      <c r="CA657" s="16">
        <f t="shared" si="297"/>
        <v>-999</v>
      </c>
      <c r="CB657" s="16" t="str">
        <f t="shared" si="288"/>
        <v/>
      </c>
      <c r="CC657" s="16" t="e">
        <f>IF(CB657="",NA(),COUNTIF(CB657:$CB$704,CB657))</f>
        <v>#N/A</v>
      </c>
      <c r="CD657" s="16" t="e">
        <f t="shared" si="289"/>
        <v>#N/A</v>
      </c>
      <c r="CE657" s="16" t="e">
        <f t="shared" si="290"/>
        <v>#N/A</v>
      </c>
      <c r="CF657" s="16">
        <f t="shared" si="291"/>
        <v>99</v>
      </c>
      <c r="CG657" s="16">
        <f t="shared" si="292"/>
        <v>0</v>
      </c>
      <c r="CH657" s="16">
        <f t="shared" si="298"/>
        <v>0</v>
      </c>
      <c r="CJ657" s="16" t="e">
        <f t="shared" si="293"/>
        <v>#N/A</v>
      </c>
      <c r="CK657" s="16" t="str">
        <f t="shared" si="294"/>
        <v/>
      </c>
    </row>
    <row r="658" spans="73:89" ht="12" customHeight="1">
      <c r="BU658" s="16">
        <f t="shared" si="295"/>
        <v>0</v>
      </c>
      <c r="BV658" s="16">
        <f>IF($BY$12=1,NORMDIST(BY658,$Y$6,$Y$8,TRUE),IF($BY$12=2,IF(BY658&lt;=$BX$31,0,IF(BY658&gt;=$BX$32,1,(BY658-$BX$31)*$BX$33)),SUM($BU$42:BU658)/$BV$40))</f>
        <v>0.71904269110144581</v>
      </c>
      <c r="BW658" s="16">
        <f t="shared" si="296"/>
        <v>1.0385142269729239</v>
      </c>
      <c r="BX658" s="16">
        <f>IF($BY$12&lt;3,BV658,SUM($BZ$42:BZ658)/$BX$40)</f>
        <v>0.71904269110144581</v>
      </c>
      <c r="BY658" s="16">
        <f t="shared" si="286"/>
        <v>61.600000000000605</v>
      </c>
      <c r="BZ658" s="16">
        <f t="shared" si="287"/>
        <v>1.6858997191118729E-2</v>
      </c>
      <c r="CA658" s="16">
        <f t="shared" si="297"/>
        <v>-999</v>
      </c>
      <c r="CB658" s="16" t="str">
        <f t="shared" si="288"/>
        <v/>
      </c>
      <c r="CC658" s="16" t="e">
        <f>IF(CB658="",NA(),COUNTIF(CB658:$CB$704,CB658))</f>
        <v>#N/A</v>
      </c>
      <c r="CD658" s="16" t="e">
        <f t="shared" si="289"/>
        <v>#N/A</v>
      </c>
      <c r="CE658" s="16" t="e">
        <f t="shared" si="290"/>
        <v>#N/A</v>
      </c>
      <c r="CF658" s="16">
        <f t="shared" si="291"/>
        <v>99</v>
      </c>
      <c r="CG658" s="16">
        <f t="shared" si="292"/>
        <v>0</v>
      </c>
      <c r="CH658" s="16">
        <f t="shared" si="298"/>
        <v>0</v>
      </c>
      <c r="CJ658" s="16" t="e">
        <f t="shared" si="293"/>
        <v>#N/A</v>
      </c>
      <c r="CK658" s="16" t="str">
        <f t="shared" si="294"/>
        <v/>
      </c>
    </row>
    <row r="659" spans="73:89" ht="12" customHeight="1">
      <c r="BU659" s="16">
        <f t="shared" si="295"/>
        <v>0</v>
      </c>
      <c r="BV659" s="16">
        <f>IF($BY$12=1,NORMDIST(BY659,$Y$6,$Y$8,TRUE),IF($BY$12=2,IF(BY659&lt;=$BX$31,0,IF(BY659&gt;=$BX$32,1,(BY659-$BX$31)*$BX$33)),SUM($BU$42:BU659)/$BV$40))</f>
        <v>0.72072614161802717</v>
      </c>
      <c r="BW659" s="16">
        <f t="shared" si="296"/>
        <v>1.0371749513730633</v>
      </c>
      <c r="BX659" s="16">
        <f>IF($BY$12&lt;3,BV659,SUM($BZ$42:BZ659)/$BX$40)</f>
        <v>0.72072614161802717</v>
      </c>
      <c r="BY659" s="16">
        <f t="shared" si="286"/>
        <v>61.700000000000607</v>
      </c>
      <c r="BZ659" s="16">
        <f t="shared" si="287"/>
        <v>1.6809966796970065E-2</v>
      </c>
      <c r="CA659" s="16">
        <f t="shared" si="297"/>
        <v>-999</v>
      </c>
      <c r="CB659" s="16" t="str">
        <f t="shared" si="288"/>
        <v/>
      </c>
      <c r="CC659" s="16" t="e">
        <f>IF(CB659="",NA(),COUNTIF(CB659:$CB$704,CB659))</f>
        <v>#N/A</v>
      </c>
      <c r="CD659" s="16" t="e">
        <f t="shared" si="289"/>
        <v>#N/A</v>
      </c>
      <c r="CE659" s="16" t="e">
        <f t="shared" si="290"/>
        <v>#N/A</v>
      </c>
      <c r="CF659" s="16">
        <f t="shared" si="291"/>
        <v>99</v>
      </c>
      <c r="CG659" s="16">
        <f t="shared" si="292"/>
        <v>0</v>
      </c>
      <c r="CH659" s="16">
        <f t="shared" si="298"/>
        <v>0</v>
      </c>
      <c r="CJ659" s="16" t="e">
        <f t="shared" si="293"/>
        <v>#N/A</v>
      </c>
      <c r="CK659" s="16" t="str">
        <f t="shared" si="294"/>
        <v/>
      </c>
    </row>
    <row r="660" spans="73:89" ht="12" customHeight="1">
      <c r="BU660" s="16">
        <f t="shared" si="295"/>
        <v>0</v>
      </c>
      <c r="BV660" s="16">
        <f>IF($BY$12=1,NORMDIST(BY660,$Y$6,$Y$8,TRUE),IF($BY$12=2,IF(BY660&lt;=$BX$31,0,IF(BY660&gt;=$BX$32,1,(BY660-$BX$31)*$BX$33)),SUM($BU$42:BU660)/$BV$40))</f>
        <v>0.72240467524654517</v>
      </c>
      <c r="BW660" s="16">
        <f t="shared" si="296"/>
        <v>1.0358087864151495</v>
      </c>
      <c r="BX660" s="16">
        <f>IF($BY$12&lt;3,BV660,SUM($BZ$42:BZ660)/$BX$40)</f>
        <v>0.72240467524654517</v>
      </c>
      <c r="BY660" s="16">
        <f t="shared" si="286"/>
        <v>61.800000000000608</v>
      </c>
      <c r="BZ660" s="16">
        <f t="shared" si="287"/>
        <v>1.6760659974355004E-2</v>
      </c>
      <c r="CA660" s="16">
        <f t="shared" si="297"/>
        <v>-999</v>
      </c>
      <c r="CB660" s="16" t="str">
        <f t="shared" si="288"/>
        <v/>
      </c>
      <c r="CC660" s="16" t="e">
        <f>IF(CB660="",NA(),COUNTIF(CB660:$CB$704,CB660))</f>
        <v>#N/A</v>
      </c>
      <c r="CD660" s="16" t="e">
        <f t="shared" si="289"/>
        <v>#N/A</v>
      </c>
      <c r="CE660" s="16" t="e">
        <f t="shared" si="290"/>
        <v>#N/A</v>
      </c>
      <c r="CF660" s="16">
        <f t="shared" si="291"/>
        <v>99</v>
      </c>
      <c r="CG660" s="16">
        <f t="shared" si="292"/>
        <v>0</v>
      </c>
      <c r="CH660" s="16">
        <f t="shared" si="298"/>
        <v>0</v>
      </c>
      <c r="CJ660" s="16" t="e">
        <f t="shared" si="293"/>
        <v>#N/A</v>
      </c>
      <c r="CK660" s="16" t="str">
        <f t="shared" si="294"/>
        <v/>
      </c>
    </row>
    <row r="661" spans="73:89" ht="12" customHeight="1">
      <c r="BU661" s="16">
        <f t="shared" si="295"/>
        <v>0</v>
      </c>
      <c r="BV661" s="16">
        <f>IF($BY$12=1,NORMDIST(BY661,$Y$6,$Y$8,TRUE),IF($BY$12=2,IF(BY661&lt;=$BX$31,0,IF(BY661&gt;=$BX$32,1,(BY661-$BX$31)*$BX$33)),SUM($BU$42:BU661)/$BV$40))</f>
        <v>0.72407826450768764</v>
      </c>
      <c r="BW661" s="16">
        <f t="shared" si="296"/>
        <v>1.034415851739126</v>
      </c>
      <c r="BX661" s="16">
        <f>IF($BY$12&lt;3,BV661,SUM($BZ$42:BZ661)/$BX$40)</f>
        <v>0.72407826450768764</v>
      </c>
      <c r="BY661" s="16">
        <f t="shared" si="286"/>
        <v>61.90000000000061</v>
      </c>
      <c r="BZ661" s="16">
        <f t="shared" si="287"/>
        <v>1.6711079995785392E-2</v>
      </c>
      <c r="CA661" s="16">
        <f t="shared" si="297"/>
        <v>-999</v>
      </c>
      <c r="CB661" s="16" t="str">
        <f t="shared" si="288"/>
        <v/>
      </c>
      <c r="CC661" s="16" t="e">
        <f>IF(CB661="",NA(),COUNTIF(CB661:$CB$704,CB661))</f>
        <v>#N/A</v>
      </c>
      <c r="CD661" s="16" t="e">
        <f t="shared" si="289"/>
        <v>#N/A</v>
      </c>
      <c r="CE661" s="16" t="e">
        <f t="shared" si="290"/>
        <v>#N/A</v>
      </c>
      <c r="CF661" s="16">
        <f t="shared" si="291"/>
        <v>99</v>
      </c>
      <c r="CG661" s="16">
        <f t="shared" si="292"/>
        <v>0</v>
      </c>
      <c r="CH661" s="16">
        <f t="shared" si="298"/>
        <v>0</v>
      </c>
      <c r="CJ661" s="16" t="e">
        <f t="shared" si="293"/>
        <v>#N/A</v>
      </c>
      <c r="CK661" s="16" t="str">
        <f t="shared" si="294"/>
        <v/>
      </c>
    </row>
    <row r="662" spans="73:89" ht="12" customHeight="1">
      <c r="BU662" s="16">
        <f t="shared" si="295"/>
        <v>0</v>
      </c>
      <c r="BV662" s="16">
        <f>IF($BY$12=1,NORMDIST(BY662,$Y$6,$Y$8,TRUE),IF($BY$12=2,IF(BY662&lt;=$BX$31,0,IF(BY662&gt;=$BX$32,1,(BY662-$BX$31)*$BX$33)),SUM($BU$42:BU662)/$BV$40))</f>
        <v>0.72574688224993655</v>
      </c>
      <c r="BW662" s="16">
        <f t="shared" si="296"/>
        <v>1.0329962689645702</v>
      </c>
      <c r="BX662" s="16">
        <f>IF($BY$12&lt;3,BV662,SUM($BZ$42:BZ662)/$BX$40)</f>
        <v>0.72574688224993655</v>
      </c>
      <c r="BY662" s="16">
        <f t="shared" ref="BY662:BY725" si="299">BY661+$BZ$1</f>
        <v>62.000000000000611</v>
      </c>
      <c r="BZ662" s="16">
        <f t="shared" si="287"/>
        <v>1.6661230144589676E-2</v>
      </c>
      <c r="CA662" s="16">
        <f t="shared" si="297"/>
        <v>-999</v>
      </c>
      <c r="CB662" s="16" t="str">
        <f t="shared" si="288"/>
        <v/>
      </c>
      <c r="CC662" s="16" t="e">
        <f>IF(CB662="",NA(),COUNTIF(CB662:$CB$704,CB662))</f>
        <v>#N/A</v>
      </c>
      <c r="CD662" s="16" t="e">
        <f t="shared" si="289"/>
        <v>#N/A</v>
      </c>
      <c r="CE662" s="16" t="e">
        <f t="shared" si="290"/>
        <v>#N/A</v>
      </c>
      <c r="CF662" s="16">
        <f t="shared" si="291"/>
        <v>99</v>
      </c>
      <c r="CG662" s="16">
        <f t="shared" si="292"/>
        <v>0</v>
      </c>
      <c r="CH662" s="16">
        <f t="shared" si="298"/>
        <v>0</v>
      </c>
      <c r="CJ662" s="16" t="e">
        <f t="shared" si="293"/>
        <v>#N/A</v>
      </c>
      <c r="CK662" s="16" t="str">
        <f t="shared" si="294"/>
        <v/>
      </c>
    </row>
    <row r="663" spans="73:89" ht="12" customHeight="1">
      <c r="BU663" s="16">
        <f t="shared" si="295"/>
        <v>0</v>
      </c>
      <c r="BV663" s="16">
        <f>IF($BY$12=1,NORMDIST(BY663,$Y$6,$Y$8,TRUE),IF($BY$12=2,IF(BY663&lt;=$BX$31,0,IF(BY663&gt;=$BX$32,1,(BY663-$BX$31)*$BX$33)),SUM($BU$42:BU663)/$BV$40))</f>
        <v>0.72741050165063315</v>
      </c>
      <c r="BW663" s="16">
        <f t="shared" si="296"/>
        <v>1.0315501616737537</v>
      </c>
      <c r="BX663" s="16">
        <f>IF($BY$12&lt;3,BV663,SUM($BZ$42:BZ663)/$BX$40)</f>
        <v>0.72741050165063315</v>
      </c>
      <c r="BY663" s="16">
        <f t="shared" si="299"/>
        <v>62.100000000000612</v>
      </c>
      <c r="BZ663" s="16">
        <f t="shared" si="287"/>
        <v>1.6611113714553035E-2</v>
      </c>
      <c r="CA663" s="16">
        <f t="shared" si="297"/>
        <v>-999</v>
      </c>
      <c r="CB663" s="16" t="str">
        <f t="shared" si="288"/>
        <v/>
      </c>
      <c r="CC663" s="16" t="e">
        <f>IF(CB663="",NA(),COUNTIF(CB663:$CB$704,CB663))</f>
        <v>#N/A</v>
      </c>
      <c r="CD663" s="16" t="e">
        <f t="shared" si="289"/>
        <v>#N/A</v>
      </c>
      <c r="CE663" s="16" t="e">
        <f t="shared" si="290"/>
        <v>#N/A</v>
      </c>
      <c r="CF663" s="16">
        <f t="shared" si="291"/>
        <v>99</v>
      </c>
      <c r="CG663" s="16">
        <f t="shared" si="292"/>
        <v>0</v>
      </c>
      <c r="CH663" s="16">
        <f t="shared" si="298"/>
        <v>0</v>
      </c>
      <c r="CJ663" s="16" t="e">
        <f t="shared" si="293"/>
        <v>#N/A</v>
      </c>
      <c r="CK663" s="16" t="str">
        <f t="shared" si="294"/>
        <v/>
      </c>
    </row>
    <row r="664" spans="73:89" ht="12" customHeight="1">
      <c r="BU664" s="16">
        <f t="shared" si="295"/>
        <v>0</v>
      </c>
      <c r="BV664" s="16">
        <f>IF($BY$12=1,NORMDIST(BY664,$Y$6,$Y$8,TRUE),IF($BY$12=2,IF(BY664&lt;=$BX$31,0,IF(BY664&gt;=$BX$32,1,(BY664-$BX$31)*$BX$33)),SUM($BU$42:BU664)/$BV$40))</f>
        <v>0.72906909621700455</v>
      </c>
      <c r="BW664" s="16">
        <f t="shared" si="296"/>
        <v>1.0300776553944764</v>
      </c>
      <c r="BX664" s="16">
        <f>IF($BY$12&lt;3,BV664,SUM($BZ$42:BZ664)/$BX$40)</f>
        <v>0.72906909621700455</v>
      </c>
      <c r="BY664" s="16">
        <f t="shared" si="299"/>
        <v>62.200000000000614</v>
      </c>
      <c r="BZ664" s="16">
        <f t="shared" si="287"/>
        <v>1.6560734009557335E-2</v>
      </c>
      <c r="CA664" s="16">
        <f t="shared" si="297"/>
        <v>-999</v>
      </c>
      <c r="CB664" s="16" t="str">
        <f t="shared" si="288"/>
        <v/>
      </c>
      <c r="CC664" s="16" t="e">
        <f>IF(CB664="",NA(),COUNTIF(CB664:$CB$704,CB664))</f>
        <v>#N/A</v>
      </c>
      <c r="CD664" s="16" t="e">
        <f t="shared" si="289"/>
        <v>#N/A</v>
      </c>
      <c r="CE664" s="16" t="e">
        <f t="shared" si="290"/>
        <v>#N/A</v>
      </c>
      <c r="CF664" s="16">
        <f t="shared" si="291"/>
        <v>99</v>
      </c>
      <c r="CG664" s="16">
        <f t="shared" si="292"/>
        <v>0</v>
      </c>
      <c r="CH664" s="16">
        <f t="shared" si="298"/>
        <v>0</v>
      </c>
      <c r="CJ664" s="16" t="e">
        <f t="shared" si="293"/>
        <v>#N/A</v>
      </c>
      <c r="CK664" s="16" t="str">
        <f t="shared" si="294"/>
        <v/>
      </c>
    </row>
    <row r="665" spans="73:89" ht="12" customHeight="1">
      <c r="BU665" s="16">
        <f t="shared" si="295"/>
        <v>0</v>
      </c>
      <c r="BV665" s="16">
        <f>IF($BY$12=1,NORMDIST(BY665,$Y$6,$Y$8,TRUE),IF($BY$12=2,IF(BY665&lt;=$BX$31,0,IF(BY665&gt;=$BX$32,1,(BY665-$BX$31)*$BX$33)),SUM($BU$42:BU665)/$BV$40))</f>
        <v>0.73072263978715613</v>
      </c>
      <c r="BW665" s="16">
        <f t="shared" si="296"/>
        <v>1.0285788775826696</v>
      </c>
      <c r="BX665" s="16">
        <f>IF($BY$12&lt;3,BV665,SUM($BZ$42:BZ665)/$BX$40)</f>
        <v>0.73072263978715613</v>
      </c>
      <c r="BY665" s="16">
        <f t="shared" si="299"/>
        <v>62.300000000000615</v>
      </c>
      <c r="BZ665" s="16">
        <f t="shared" si="287"/>
        <v>1.6510094343220857E-2</v>
      </c>
      <c r="CA665" s="16">
        <f t="shared" si="297"/>
        <v>-999</v>
      </c>
      <c r="CB665" s="16" t="str">
        <f t="shared" si="288"/>
        <v/>
      </c>
      <c r="CC665" s="16" t="e">
        <f>IF(CB665="",NA(),COUNTIF(CB665:$CB$704,CB665))</f>
        <v>#N/A</v>
      </c>
      <c r="CD665" s="16" t="e">
        <f t="shared" si="289"/>
        <v>#N/A</v>
      </c>
      <c r="CE665" s="16" t="e">
        <f t="shared" si="290"/>
        <v>#N/A</v>
      </c>
      <c r="CF665" s="16">
        <f t="shared" si="291"/>
        <v>99</v>
      </c>
      <c r="CG665" s="16">
        <f t="shared" si="292"/>
        <v>0</v>
      </c>
      <c r="CH665" s="16">
        <f t="shared" si="298"/>
        <v>0</v>
      </c>
      <c r="CJ665" s="16" t="e">
        <f t="shared" si="293"/>
        <v>#N/A</v>
      </c>
      <c r="CK665" s="16" t="str">
        <f t="shared" si="294"/>
        <v/>
      </c>
    </row>
    <row r="666" spans="73:89" ht="12" customHeight="1">
      <c r="BU666" s="16">
        <f t="shared" si="295"/>
        <v>0</v>
      </c>
      <c r="BV666" s="16">
        <f>IF($BY$12=1,NORMDIST(BY666,$Y$6,$Y$8,TRUE),IF($BY$12=2,IF(BY666&lt;=$BX$31,0,IF(BY666&gt;=$BX$32,1,(BY666-$BX$31)*$BX$33)),SUM($BU$42:BU666)/$BV$40))</f>
        <v>0.73237110653102711</v>
      </c>
      <c r="BW666" s="16">
        <f t="shared" si="296"/>
        <v>1.0270539576047766</v>
      </c>
      <c r="BX666" s="16">
        <f>IF($BY$12&lt;3,BV666,SUM($BZ$42:BZ666)/$BX$40)</f>
        <v>0.73237110653102711</v>
      </c>
      <c r="BY666" s="16">
        <f t="shared" si="299"/>
        <v>62.400000000000617</v>
      </c>
      <c r="BZ666" s="16">
        <f t="shared" si="287"/>
        <v>1.6459198038537924E-2</v>
      </c>
      <c r="CA666" s="16">
        <f t="shared" si="297"/>
        <v>-999</v>
      </c>
      <c r="CB666" s="16" t="str">
        <f t="shared" si="288"/>
        <v/>
      </c>
      <c r="CC666" s="16" t="e">
        <f>IF(CB666="",NA(),COUNTIF(CB666:$CB$704,CB666))</f>
        <v>#N/A</v>
      </c>
      <c r="CD666" s="16" t="e">
        <f t="shared" si="289"/>
        <v>#N/A</v>
      </c>
      <c r="CE666" s="16" t="e">
        <f t="shared" si="290"/>
        <v>#N/A</v>
      </c>
      <c r="CF666" s="16">
        <f t="shared" si="291"/>
        <v>99</v>
      </c>
      <c r="CG666" s="16">
        <f t="shared" si="292"/>
        <v>0</v>
      </c>
      <c r="CH666" s="16">
        <f t="shared" si="298"/>
        <v>0</v>
      </c>
      <c r="CJ666" s="16" t="e">
        <f t="shared" si="293"/>
        <v>#N/A</v>
      </c>
      <c r="CK666" s="16" t="str">
        <f t="shared" si="294"/>
        <v/>
      </c>
    </row>
    <row r="667" spans="73:89" ht="12" customHeight="1">
      <c r="BU667" s="16">
        <f t="shared" si="295"/>
        <v>0</v>
      </c>
      <c r="BV667" s="16">
        <f>IF($BY$12=1,NORMDIST(BY667,$Y$6,$Y$8,TRUE),IF($BY$12=2,IF(BY667&lt;=$BX$31,0,IF(BY667&gt;=$BX$32,1,(BY667-$BX$31)*$BX$33)),SUM($BU$42:BU667)/$BV$40))</f>
        <v>0.73401447095130956</v>
      </c>
      <c r="BW667" s="16">
        <f t="shared" si="296"/>
        <v>1.0255030267199121</v>
      </c>
      <c r="BX667" s="16">
        <f>IF($BY$12&lt;3,BV667,SUM($BZ$42:BZ667)/$BX$40)</f>
        <v>0.73401447095130956</v>
      </c>
      <c r="BY667" s="16">
        <f t="shared" si="299"/>
        <v>62.500000000000618</v>
      </c>
      <c r="BZ667" s="16">
        <f t="shared" si="287"/>
        <v>1.6408048427518432E-2</v>
      </c>
      <c r="CA667" s="16">
        <f t="shared" si="297"/>
        <v>-999</v>
      </c>
      <c r="CB667" s="16" t="str">
        <f t="shared" si="288"/>
        <v/>
      </c>
      <c r="CC667" s="16" t="e">
        <f>IF(CB667="",NA(),COUNTIF(CB667:$CB$704,CB667))</f>
        <v>#N/A</v>
      </c>
      <c r="CD667" s="16" t="e">
        <f t="shared" si="289"/>
        <v>#N/A</v>
      </c>
      <c r="CE667" s="16" t="e">
        <f t="shared" si="290"/>
        <v>#N/A</v>
      </c>
      <c r="CF667" s="16">
        <f t="shared" si="291"/>
        <v>99</v>
      </c>
      <c r="CG667" s="16">
        <f t="shared" si="292"/>
        <v>0</v>
      </c>
      <c r="CH667" s="16">
        <f t="shared" si="298"/>
        <v>0</v>
      </c>
      <c r="CJ667" s="16" t="e">
        <f t="shared" si="293"/>
        <v>#N/A</v>
      </c>
      <c r="CK667" s="16" t="str">
        <f t="shared" si="294"/>
        <v/>
      </c>
    </row>
    <row r="668" spans="73:89" ht="12" customHeight="1">
      <c r="BU668" s="16">
        <f t="shared" si="295"/>
        <v>0</v>
      </c>
      <c r="BV668" s="16">
        <f>IF($BY$12=1,NORMDIST(BY668,$Y$6,$Y$8,TRUE),IF($BY$12=2,IF(BY668&lt;=$BX$31,0,IF(BY668&gt;=$BX$32,1,(BY668-$BX$31)*$BX$33)),SUM($BU$42:BU668)/$BV$40))</f>
        <v>0.73565270788433246</v>
      </c>
      <c r="BW668" s="16">
        <f t="shared" si="296"/>
        <v>1.0239262180618056</v>
      </c>
      <c r="BX668" s="16">
        <f>IF($BY$12&lt;3,BV668,SUM($BZ$42:BZ668)/$BX$40)</f>
        <v>0.73565270788433246</v>
      </c>
      <c r="BY668" s="16">
        <f t="shared" si="299"/>
        <v>62.60000000000062</v>
      </c>
      <c r="BZ668" s="16">
        <f t="shared" si="287"/>
        <v>1.6356648850827403E-2</v>
      </c>
      <c r="CA668" s="16">
        <f t="shared" si="297"/>
        <v>-999</v>
      </c>
      <c r="CB668" s="16" t="str">
        <f t="shared" si="288"/>
        <v/>
      </c>
      <c r="CC668" s="16" t="e">
        <f>IF(CB668="",NA(),COUNTIF(CB668:$CB$704,CB668))</f>
        <v>#N/A</v>
      </c>
      <c r="CD668" s="16" t="e">
        <f t="shared" si="289"/>
        <v>#N/A</v>
      </c>
      <c r="CE668" s="16" t="e">
        <f t="shared" si="290"/>
        <v>#N/A</v>
      </c>
      <c r="CF668" s="16">
        <f t="shared" si="291"/>
        <v>99</v>
      </c>
      <c r="CG668" s="16">
        <f t="shared" si="292"/>
        <v>0</v>
      </c>
      <c r="CH668" s="16">
        <f t="shared" si="298"/>
        <v>0</v>
      </c>
      <c r="CJ668" s="16" t="e">
        <f t="shared" si="293"/>
        <v>#N/A</v>
      </c>
      <c r="CK668" s="16" t="str">
        <f t="shared" si="294"/>
        <v/>
      </c>
    </row>
    <row r="669" spans="73:89" ht="12" customHeight="1">
      <c r="BU669" s="16">
        <f t="shared" si="295"/>
        <v>0</v>
      </c>
      <c r="BV669" s="16">
        <f>IF($BY$12=1,NORMDIST(BY669,$Y$6,$Y$8,TRUE),IF($BY$12=2,IF(BY669&lt;=$BX$31,0,IF(BY669&gt;=$BX$32,1,(BY669-$BX$31)*$BX$33)),SUM($BU$42:BU669)/$BV$40))</f>
        <v>0.73728579250090931</v>
      </c>
      <c r="BW669" s="16">
        <f t="shared" si="296"/>
        <v>1.0223236666205273</v>
      </c>
      <c r="BX669" s="16">
        <f>IF($BY$12&lt;3,BV669,SUM($BZ$42:BZ669)/$BX$40)</f>
        <v>0.73728579250090931</v>
      </c>
      <c r="BY669" s="16">
        <f t="shared" si="299"/>
        <v>62.700000000000621</v>
      </c>
      <c r="BZ669" s="16">
        <f t="shared" si="287"/>
        <v>1.6305002657424517E-2</v>
      </c>
      <c r="CA669" s="16">
        <f t="shared" si="297"/>
        <v>-999</v>
      </c>
      <c r="CB669" s="16" t="str">
        <f t="shared" si="288"/>
        <v/>
      </c>
      <c r="CC669" s="16" t="e">
        <f>IF(CB669="",NA(),COUNTIF(CB669:$CB$704,CB669))</f>
        <v>#N/A</v>
      </c>
      <c r="CD669" s="16" t="e">
        <f t="shared" si="289"/>
        <v>#N/A</v>
      </c>
      <c r="CE669" s="16" t="e">
        <f t="shared" si="290"/>
        <v>#N/A</v>
      </c>
      <c r="CF669" s="16">
        <f t="shared" si="291"/>
        <v>99</v>
      </c>
      <c r="CG669" s="16">
        <f t="shared" si="292"/>
        <v>0</v>
      </c>
      <c r="CH669" s="16">
        <f t="shared" si="298"/>
        <v>0</v>
      </c>
      <c r="CJ669" s="16" t="e">
        <f t="shared" si="293"/>
        <v>#N/A</v>
      </c>
      <c r="CK669" s="16" t="str">
        <f t="shared" si="294"/>
        <v/>
      </c>
    </row>
    <row r="670" spans="73:89" ht="12" customHeight="1">
      <c r="BU670" s="16">
        <f t="shared" si="295"/>
        <v>0</v>
      </c>
      <c r="BV670" s="16">
        <f>IF($BY$12=1,NORMDIST(BY670,$Y$6,$Y$8,TRUE),IF($BY$12=2,IF(BY670&lt;=$BX$31,0,IF(BY670&gt;=$BX$32,1,(BY670-$BX$31)*$BX$33)),SUM($BU$42:BU670)/$BV$40))</f>
        <v>0.73891370030714854</v>
      </c>
      <c r="BW670" s="16">
        <f t="shared" si="296"/>
        <v>1.0206955092240073</v>
      </c>
      <c r="BX670" s="16">
        <f>IF($BY$12&lt;3,BV670,SUM($BZ$42:BZ670)/$BX$40)</f>
        <v>0.73891370030714854</v>
      </c>
      <c r="BY670" s="16">
        <f t="shared" si="299"/>
        <v>62.800000000000622</v>
      </c>
      <c r="BZ670" s="16">
        <f t="shared" si="287"/>
        <v>1.6253113204203778E-2</v>
      </c>
      <c r="CA670" s="16">
        <f t="shared" si="297"/>
        <v>-999</v>
      </c>
      <c r="CB670" s="16" t="str">
        <f t="shared" si="288"/>
        <v/>
      </c>
      <c r="CC670" s="16" t="e">
        <f>IF(CB670="",NA(),COUNTIF(CB670:$CB$704,CB670))</f>
        <v>#N/A</v>
      </c>
      <c r="CD670" s="16" t="e">
        <f t="shared" si="289"/>
        <v>#N/A</v>
      </c>
      <c r="CE670" s="16" t="e">
        <f t="shared" si="290"/>
        <v>#N/A</v>
      </c>
      <c r="CF670" s="16">
        <f t="shared" si="291"/>
        <v>99</v>
      </c>
      <c r="CG670" s="16">
        <f t="shared" si="292"/>
        <v>0</v>
      </c>
      <c r="CH670" s="16">
        <f t="shared" si="298"/>
        <v>0</v>
      </c>
      <c r="CJ670" s="16" t="e">
        <f t="shared" si="293"/>
        <v>#N/A</v>
      </c>
      <c r="CK670" s="16" t="str">
        <f t="shared" si="294"/>
        <v/>
      </c>
    </row>
    <row r="671" spans="73:89" ht="12" customHeight="1">
      <c r="BU671" s="16">
        <f t="shared" si="295"/>
        <v>0</v>
      </c>
      <c r="BV671" s="16">
        <f>IF($BY$12=1,NORMDIST(BY671,$Y$6,$Y$8,TRUE),IF($BY$12=2,IF(BY671&lt;=$BX$31,0,IF(BY671&gt;=$BX$32,1,(BY671-$BX$31)*$BX$33)),SUM($BU$42:BU671)/$BV$40))</f>
        <v>0.74053640714523039</v>
      </c>
      <c r="BW671" s="16">
        <f t="shared" si="296"/>
        <v>1.0190418845193463</v>
      </c>
      <c r="BX671" s="16">
        <f>IF($BY$12&lt;3,BV671,SUM($BZ$42:BZ671)/$BX$40)</f>
        <v>0.74053640714523039</v>
      </c>
      <c r="BY671" s="16">
        <f t="shared" si="299"/>
        <v>62.900000000000624</v>
      </c>
      <c r="BZ671" s="16">
        <f t="shared" si="287"/>
        <v>1.6200983855633327E-2</v>
      </c>
      <c r="CA671" s="16">
        <f t="shared" si="297"/>
        <v>-999</v>
      </c>
      <c r="CB671" s="16" t="str">
        <f t="shared" si="288"/>
        <v/>
      </c>
      <c r="CC671" s="16" t="e">
        <f>IF(CB671="",NA(),COUNTIF(CB671:$CB$704,CB671))</f>
        <v>#N/A</v>
      </c>
      <c r="CD671" s="16" t="e">
        <f t="shared" si="289"/>
        <v>#N/A</v>
      </c>
      <c r="CE671" s="16" t="e">
        <f t="shared" si="290"/>
        <v>#N/A</v>
      </c>
      <c r="CF671" s="16">
        <f t="shared" si="291"/>
        <v>99</v>
      </c>
      <c r="CG671" s="16">
        <f t="shared" si="292"/>
        <v>0</v>
      </c>
      <c r="CH671" s="16">
        <f t="shared" si="298"/>
        <v>0</v>
      </c>
      <c r="CJ671" s="16" t="e">
        <f t="shared" si="293"/>
        <v>#N/A</v>
      </c>
      <c r="CK671" s="16" t="str">
        <f t="shared" si="294"/>
        <v/>
      </c>
    </row>
    <row r="672" spans="73:89" ht="12" customHeight="1">
      <c r="BU672" s="16">
        <f t="shared" si="295"/>
        <v>0</v>
      </c>
      <c r="BV672" s="16">
        <f>IF($BY$12=1,NORMDIST(BY672,$Y$6,$Y$8,TRUE),IF($BY$12=2,IF(BY672&lt;=$BX$31,0,IF(BY672&gt;=$BX$32,1,(BY672-$BX$31)*$BX$33)),SUM($BU$42:BU672)/$BV$40))</f>
        <v>0.74215388919414538</v>
      </c>
      <c r="BW672" s="16">
        <f t="shared" si="296"/>
        <v>1.0173629329539193</v>
      </c>
      <c r="BX672" s="16">
        <f>IF($BY$12&lt;3,BV672,SUM($BZ$42:BZ672)/$BX$40)</f>
        <v>0.74215388919414538</v>
      </c>
      <c r="BY672" s="16">
        <f t="shared" si="299"/>
        <v>63.000000000000625</v>
      </c>
      <c r="BZ672" s="16">
        <f t="shared" si="287"/>
        <v>1.6148617983395383E-2</v>
      </c>
      <c r="CA672" s="16">
        <f t="shared" si="297"/>
        <v>-999</v>
      </c>
      <c r="CB672" s="16" t="str">
        <f t="shared" si="288"/>
        <v/>
      </c>
      <c r="CC672" s="16" t="e">
        <f>IF(CB672="",NA(),COUNTIF(CB672:$CB$704,CB672))</f>
        <v>#N/A</v>
      </c>
      <c r="CD672" s="16" t="e">
        <f t="shared" si="289"/>
        <v>#N/A</v>
      </c>
      <c r="CE672" s="16" t="e">
        <f t="shared" si="290"/>
        <v>#N/A</v>
      </c>
      <c r="CF672" s="16">
        <f t="shared" si="291"/>
        <v>99</v>
      </c>
      <c r="CG672" s="16">
        <f t="shared" si="292"/>
        <v>0</v>
      </c>
      <c r="CH672" s="16">
        <f t="shared" si="298"/>
        <v>0</v>
      </c>
      <c r="CJ672" s="16" t="e">
        <f t="shared" si="293"/>
        <v>#N/A</v>
      </c>
      <c r="CK672" s="16" t="str">
        <f t="shared" si="294"/>
        <v/>
      </c>
    </row>
    <row r="673" spans="73:89" ht="12" customHeight="1">
      <c r="BU673" s="16">
        <f t="shared" si="295"/>
        <v>0</v>
      </c>
      <c r="BV673" s="16">
        <f>IF($BY$12=1,NORMDIST(BY673,$Y$6,$Y$8,TRUE),IF($BY$12=2,IF(BY673&lt;=$BX$31,0,IF(BY673&gt;=$BX$32,1,(BY673-$BX$31)*$BX$33)),SUM($BU$42:BU673)/$BV$40))</f>
        <v>0.7437661229703979</v>
      </c>
      <c r="BW673" s="16">
        <f t="shared" si="296"/>
        <v>1.0156587967562851</v>
      </c>
      <c r="BX673" s="16">
        <f>IF($BY$12&lt;3,BV673,SUM($BZ$42:BZ673)/$BX$40)</f>
        <v>0.7437661229703979</v>
      </c>
      <c r="BY673" s="16">
        <f t="shared" si="299"/>
        <v>63.100000000000627</v>
      </c>
      <c r="BZ673" s="16">
        <f t="shared" si="287"/>
        <v>1.6096018966026547E-2</v>
      </c>
      <c r="CA673" s="16">
        <f t="shared" si="297"/>
        <v>-999</v>
      </c>
      <c r="CB673" s="16" t="str">
        <f t="shared" si="288"/>
        <v/>
      </c>
      <c r="CC673" s="16" t="e">
        <f>IF(CB673="",NA(),COUNTIF(CB673:$CB$704,CB673))</f>
        <v>#N/A</v>
      </c>
      <c r="CD673" s="16" t="e">
        <f t="shared" si="289"/>
        <v>#N/A</v>
      </c>
      <c r="CE673" s="16" t="e">
        <f t="shared" si="290"/>
        <v>#N/A</v>
      </c>
      <c r="CF673" s="16">
        <f t="shared" si="291"/>
        <v>99</v>
      </c>
      <c r="CG673" s="16">
        <f t="shared" si="292"/>
        <v>0</v>
      </c>
      <c r="CH673" s="16">
        <f t="shared" si="298"/>
        <v>0</v>
      </c>
      <c r="CJ673" s="16" t="e">
        <f t="shared" si="293"/>
        <v>#N/A</v>
      </c>
      <c r="CK673" s="16" t="str">
        <f t="shared" si="294"/>
        <v/>
      </c>
    </row>
    <row r="674" spans="73:89" ht="12" customHeight="1">
      <c r="BU674" s="16">
        <f t="shared" si="295"/>
        <v>0</v>
      </c>
      <c r="BV674" s="16">
        <f>IF($BY$12=1,NORMDIST(BY674,$Y$6,$Y$8,TRUE),IF($BY$12=2,IF(BY674&lt;=$BX$31,0,IF(BY674&gt;=$BX$32,1,(BY674-$BX$31)*$BX$33)),SUM($BU$42:BU674)/$BV$40))</f>
        <v>0.74537308532867397</v>
      </c>
      <c r="BW674" s="16">
        <f t="shared" si="296"/>
        <v>1.0139296199168941</v>
      </c>
      <c r="BX674" s="16">
        <f>IF($BY$12&lt;3,BV674,SUM($BZ$42:BZ674)/$BX$40)</f>
        <v>0.74537308532867397</v>
      </c>
      <c r="BY674" s="16">
        <f t="shared" si="299"/>
        <v>63.200000000000628</v>
      </c>
      <c r="BZ674" s="16">
        <f t="shared" si="287"/>
        <v>1.6043190188558293E-2</v>
      </c>
      <c r="CA674" s="16">
        <f t="shared" si="297"/>
        <v>-999</v>
      </c>
      <c r="CB674" s="16" t="str">
        <f t="shared" si="288"/>
        <v/>
      </c>
      <c r="CC674" s="16" t="e">
        <f>IF(CB674="",NA(),COUNTIF(CB674:$CB$704,CB674))</f>
        <v>#N/A</v>
      </c>
      <c r="CD674" s="16" t="e">
        <f t="shared" si="289"/>
        <v>#N/A</v>
      </c>
      <c r="CE674" s="16" t="e">
        <f t="shared" si="290"/>
        <v>#N/A</v>
      </c>
      <c r="CF674" s="16">
        <f t="shared" si="291"/>
        <v>99</v>
      </c>
      <c r="CG674" s="16">
        <f t="shared" si="292"/>
        <v>0</v>
      </c>
      <c r="CH674" s="16">
        <f t="shared" si="298"/>
        <v>0</v>
      </c>
      <c r="CJ674" s="16" t="e">
        <f t="shared" si="293"/>
        <v>#N/A</v>
      </c>
      <c r="CK674" s="16" t="str">
        <f t="shared" si="294"/>
        <v/>
      </c>
    </row>
    <row r="675" spans="73:89" ht="12" customHeight="1">
      <c r="BU675" s="16">
        <f t="shared" si="295"/>
        <v>0</v>
      </c>
      <c r="BV675" s="16">
        <f>IF($BY$12=1,NORMDIST(BY675,$Y$6,$Y$8,TRUE),IF($BY$12=2,IF(BY675&lt;=$BX$31,0,IF(BY675&gt;=$BX$32,1,(BY675-$BX$31)*$BX$33)),SUM($BU$42:BU675)/$BV$40))</f>
        <v>0.74697475346247211</v>
      </c>
      <c r="BW675" s="16">
        <f t="shared" si="296"/>
        <v>1.0121755481686048</v>
      </c>
      <c r="BX675" s="16">
        <f>IF($BY$12&lt;3,BV675,SUM($BZ$42:BZ675)/$BX$40)</f>
        <v>0.74697475346247211</v>
      </c>
      <c r="BY675" s="16">
        <f t="shared" si="299"/>
        <v>63.30000000000063</v>
      </c>
      <c r="BZ675" s="16">
        <f t="shared" si="287"/>
        <v>1.5990135042157894E-2</v>
      </c>
      <c r="CA675" s="16">
        <f t="shared" si="297"/>
        <v>-999</v>
      </c>
      <c r="CB675" s="16" t="str">
        <f t="shared" si="288"/>
        <v/>
      </c>
      <c r="CC675" s="16" t="e">
        <f>IF(CB675="",NA(),COUNTIF(CB675:$CB$704,CB675))</f>
        <v>#N/A</v>
      </c>
      <c r="CD675" s="16" t="e">
        <f t="shared" si="289"/>
        <v>#N/A</v>
      </c>
      <c r="CE675" s="16" t="e">
        <f t="shared" si="290"/>
        <v>#N/A</v>
      </c>
      <c r="CF675" s="16">
        <f t="shared" si="291"/>
        <v>99</v>
      </c>
      <c r="CG675" s="16">
        <f t="shared" si="292"/>
        <v>0</v>
      </c>
      <c r="CH675" s="16">
        <f t="shared" si="298"/>
        <v>0</v>
      </c>
      <c r="CJ675" s="16" t="e">
        <f t="shared" si="293"/>
        <v>#N/A</v>
      </c>
      <c r="CK675" s="16" t="str">
        <f t="shared" si="294"/>
        <v/>
      </c>
    </row>
    <row r="676" spans="73:89" ht="12" customHeight="1">
      <c r="BU676" s="16">
        <f t="shared" si="295"/>
        <v>0</v>
      </c>
      <c r="BV676" s="16">
        <f>IF($BY$12=1,NORMDIST(BY676,$Y$6,$Y$8,TRUE),IF($BY$12=2,IF(BY676&lt;=$BX$31,0,IF(BY676&gt;=$BX$32,1,(BY676-$BX$31)*$BX$33)),SUM($BU$42:BU676)/$BV$40))</f>
        <v>0.74857110490469991</v>
      </c>
      <c r="BW676" s="16">
        <f t="shared" si="296"/>
        <v>1.0103967289670115</v>
      </c>
      <c r="BX676" s="16">
        <f>IF($BY$12&lt;3,BV676,SUM($BZ$42:BZ676)/$BX$40)</f>
        <v>0.74857110490469991</v>
      </c>
      <c r="BY676" s="16">
        <f t="shared" si="299"/>
        <v>63.400000000000631</v>
      </c>
      <c r="BZ676" s="16">
        <f t="shared" si="287"/>
        <v>1.5936856923769741E-2</v>
      </c>
      <c r="CA676" s="16">
        <f t="shared" si="297"/>
        <v>-999</v>
      </c>
      <c r="CB676" s="16" t="str">
        <f t="shared" si="288"/>
        <v/>
      </c>
      <c r="CC676" s="16" t="e">
        <f>IF(CB676="",NA(),COUNTIF(CB676:$CB$704,CB676))</f>
        <v>#N/A</v>
      </c>
      <c r="CD676" s="16" t="e">
        <f t="shared" si="289"/>
        <v>#N/A</v>
      </c>
      <c r="CE676" s="16" t="e">
        <f t="shared" si="290"/>
        <v>#N/A</v>
      </c>
      <c r="CF676" s="16">
        <f t="shared" si="291"/>
        <v>99</v>
      </c>
      <c r="CG676" s="16">
        <f t="shared" si="292"/>
        <v>0</v>
      </c>
      <c r="CH676" s="16">
        <f t="shared" si="298"/>
        <v>0</v>
      </c>
      <c r="CJ676" s="16" t="e">
        <f t="shared" si="293"/>
        <v>#N/A</v>
      </c>
      <c r="CK676" s="16" t="str">
        <f t="shared" si="294"/>
        <v/>
      </c>
    </row>
    <row r="677" spans="73:89" ht="12" customHeight="1">
      <c r="BU677" s="16">
        <f t="shared" si="295"/>
        <v>0</v>
      </c>
      <c r="BV677" s="16">
        <f>IF($BY$12=1,NORMDIST(BY677,$Y$6,$Y$8,TRUE),IF($BY$12=2,IF(BY677&lt;=$BX$31,0,IF(BY677&gt;=$BX$32,1,(BY677-$BX$31)*$BX$33)),SUM($BU$42:BU677)/$BV$40))</f>
        <v>0.75016211752823303</v>
      </c>
      <c r="BW677" s="16">
        <f t="shared" si="296"/>
        <v>1.0085933114705841</v>
      </c>
      <c r="BX677" s="16">
        <f>IF($BY$12&lt;3,BV677,SUM($BZ$42:BZ677)/$BX$40)</f>
        <v>0.75016211752823303</v>
      </c>
      <c r="BY677" s="16">
        <f t="shared" si="299"/>
        <v>63.500000000000632</v>
      </c>
      <c r="BZ677" s="16">
        <f t="shared" si="287"/>
        <v>1.588335923575707E-2</v>
      </c>
      <c r="CA677" s="16">
        <f t="shared" si="297"/>
        <v>-999</v>
      </c>
      <c r="CB677" s="16" t="str">
        <f t="shared" si="288"/>
        <v/>
      </c>
      <c r="CC677" s="16" t="e">
        <f>IF(CB677="",NA(),COUNTIF(CB677:$CB$704,CB677))</f>
        <v>#N/A</v>
      </c>
      <c r="CD677" s="16" t="e">
        <f t="shared" si="289"/>
        <v>#N/A</v>
      </c>
      <c r="CE677" s="16" t="e">
        <f t="shared" si="290"/>
        <v>#N/A</v>
      </c>
      <c r="CF677" s="16">
        <f t="shared" si="291"/>
        <v>99</v>
      </c>
      <c r="CG677" s="16">
        <f t="shared" si="292"/>
        <v>0</v>
      </c>
      <c r="CH677" s="16">
        <f t="shared" si="298"/>
        <v>0</v>
      </c>
      <c r="CJ677" s="16" t="e">
        <f t="shared" si="293"/>
        <v>#N/A</v>
      </c>
      <c r="CK677" s="16" t="str">
        <f t="shared" si="294"/>
        <v/>
      </c>
    </row>
    <row r="678" spans="73:89" ht="12" customHeight="1">
      <c r="BU678" s="16">
        <f t="shared" si="295"/>
        <v>0</v>
      </c>
      <c r="BV678" s="16">
        <f>IF($BY$12=1,NORMDIST(BY678,$Y$6,$Y$8,TRUE),IF($BY$12=2,IF(BY678&lt;=$BX$31,0,IF(BY678&gt;=$BX$32,1,(BY678-$BX$31)*$BX$33)),SUM($BU$42:BU678)/$BV$40))</f>
        <v>0.75174776954643951</v>
      </c>
      <c r="BW678" s="16">
        <f t="shared" si="296"/>
        <v>1.0067654465206273</v>
      </c>
      <c r="BX678" s="16">
        <f>IF($BY$12&lt;3,BV678,SUM($BZ$42:BZ678)/$BX$40)</f>
        <v>0.75174776954643951</v>
      </c>
      <c r="BY678" s="16">
        <f t="shared" si="299"/>
        <v>63.600000000000634</v>
      </c>
      <c r="BZ678" s="16">
        <f t="shared" si="287"/>
        <v>1.5829645385544298E-2</v>
      </c>
      <c r="CA678" s="16">
        <f t="shared" si="297"/>
        <v>-999</v>
      </c>
      <c r="CB678" s="16" t="str">
        <f t="shared" si="288"/>
        <v/>
      </c>
      <c r="CC678" s="16" t="e">
        <f>IF(CB678="",NA(),COUNTIF(CB678:$CB$704,CB678))</f>
        <v>#N/A</v>
      </c>
      <c r="CD678" s="16" t="e">
        <f t="shared" si="289"/>
        <v>#N/A</v>
      </c>
      <c r="CE678" s="16" t="e">
        <f t="shared" si="290"/>
        <v>#N/A</v>
      </c>
      <c r="CF678" s="16">
        <f t="shared" si="291"/>
        <v>99</v>
      </c>
      <c r="CG678" s="16">
        <f t="shared" si="292"/>
        <v>0</v>
      </c>
      <c r="CH678" s="16">
        <f t="shared" si="298"/>
        <v>0</v>
      </c>
      <c r="CJ678" s="16" t="e">
        <f t="shared" si="293"/>
        <v>#N/A</v>
      </c>
      <c r="CK678" s="16" t="str">
        <f t="shared" si="294"/>
        <v/>
      </c>
    </row>
    <row r="679" spans="73:89" ht="12" customHeight="1">
      <c r="BU679" s="16">
        <f t="shared" si="295"/>
        <v>0</v>
      </c>
      <c r="BV679" s="16">
        <f>IF($BY$12=1,NORMDIST(BY679,$Y$6,$Y$8,TRUE),IF($BY$12=2,IF(BY679&lt;=$BX$31,0,IF(BY679&gt;=$BX$32,1,(BY679-$BX$31)*$BX$33)),SUM($BU$42:BU679)/$BV$40))</f>
        <v>0.753328039513668</v>
      </c>
      <c r="BW679" s="16">
        <f t="shared" si="296"/>
        <v>1.0049132866210608</v>
      </c>
      <c r="BX679" s="16">
        <f>IF($BY$12&lt;3,BV679,SUM($BZ$42:BZ679)/$BX$40)</f>
        <v>0.753328039513668</v>
      </c>
      <c r="BY679" s="16">
        <f t="shared" si="299"/>
        <v>63.700000000000635</v>
      </c>
      <c r="BZ679" s="16">
        <f t="shared" si="287"/>
        <v>1.5775718785259824E-2</v>
      </c>
      <c r="CA679" s="16">
        <f t="shared" si="297"/>
        <v>-999</v>
      </c>
      <c r="CB679" s="16" t="str">
        <f t="shared" si="288"/>
        <v/>
      </c>
      <c r="CC679" s="16" t="e">
        <f>IF(CB679="",NA(),COUNTIF(CB679:$CB$704,CB679))</f>
        <v>#N/A</v>
      </c>
      <c r="CD679" s="16" t="e">
        <f t="shared" si="289"/>
        <v>#N/A</v>
      </c>
      <c r="CE679" s="16" t="e">
        <f t="shared" si="290"/>
        <v>#N/A</v>
      </c>
      <c r="CF679" s="16">
        <f t="shared" si="291"/>
        <v>99</v>
      </c>
      <c r="CG679" s="16">
        <f t="shared" si="292"/>
        <v>0</v>
      </c>
      <c r="CH679" s="16">
        <f t="shared" si="298"/>
        <v>0</v>
      </c>
      <c r="CJ679" s="16" t="e">
        <f t="shared" si="293"/>
        <v>#N/A</v>
      </c>
      <c r="CK679" s="16" t="str">
        <f t="shared" si="294"/>
        <v/>
      </c>
    </row>
    <row r="680" spans="73:89" ht="12" customHeight="1">
      <c r="BU680" s="16">
        <f t="shared" si="295"/>
        <v>0</v>
      </c>
      <c r="BV680" s="16">
        <f>IF($BY$12=1,NORMDIST(BY680,$Y$6,$Y$8,TRUE),IF($BY$12=2,IF(BY680&lt;=$BX$31,0,IF(BY680&gt;=$BX$32,1,(BY680-$BX$31)*$BX$33)),SUM($BU$42:BU680)/$BV$40))</f>
        <v>0.75490290632570056</v>
      </c>
      <c r="BW680" s="16">
        <f t="shared" si="296"/>
        <v>1.0030369859180233</v>
      </c>
      <c r="BX680" s="16">
        <f>IF($BY$12&lt;3,BV680,SUM($BZ$42:BZ680)/$BX$40)</f>
        <v>0.75490290632570056</v>
      </c>
      <c r="BY680" s="16">
        <f t="shared" si="299"/>
        <v>63.800000000000637</v>
      </c>
      <c r="BZ680" s="16">
        <f t="shared" si="287"/>
        <v>1.5721582851379517E-2</v>
      </c>
      <c r="CA680" s="16">
        <f t="shared" si="297"/>
        <v>-999</v>
      </c>
      <c r="CB680" s="16" t="str">
        <f t="shared" si="288"/>
        <v/>
      </c>
      <c r="CC680" s="16" t="e">
        <f>IF(CB680="",NA(),COUNTIF(CB680:$CB$704,CB680))</f>
        <v>#N/A</v>
      </c>
      <c r="CD680" s="16" t="e">
        <f t="shared" si="289"/>
        <v>#N/A</v>
      </c>
      <c r="CE680" s="16" t="e">
        <f t="shared" si="290"/>
        <v>#N/A</v>
      </c>
      <c r="CF680" s="16">
        <f t="shared" si="291"/>
        <v>99</v>
      </c>
      <c r="CG680" s="16">
        <f t="shared" si="292"/>
        <v>0</v>
      </c>
      <c r="CH680" s="16">
        <f t="shared" si="298"/>
        <v>0</v>
      </c>
      <c r="CJ680" s="16" t="e">
        <f t="shared" si="293"/>
        <v>#N/A</v>
      </c>
      <c r="CK680" s="16" t="str">
        <f t="shared" si="294"/>
        <v/>
      </c>
    </row>
    <row r="681" spans="73:89" ht="12" customHeight="1">
      <c r="BU681" s="16">
        <f t="shared" si="295"/>
        <v>0</v>
      </c>
      <c r="BV681" s="16">
        <f>IF($BY$12=1,NORMDIST(BY681,$Y$6,$Y$8,TRUE),IF($BY$12=2,IF(BY681&lt;=$BX$31,0,IF(BY681&gt;=$BX$32,1,(BY681-$BX$31)*$BX$33)),SUM($BU$42:BU681)/$BV$40))</f>
        <v>0.75647234922016904</v>
      </c>
      <c r="BW681" s="16">
        <f t="shared" si="296"/>
        <v>1.001136700179307</v>
      </c>
      <c r="BX681" s="16">
        <f>IF($BY$12&lt;3,BV681,SUM($BZ$42:BZ681)/$BX$40)</f>
        <v>0.75647234922016904</v>
      </c>
      <c r="BY681" s="16">
        <f t="shared" si="299"/>
        <v>63.900000000000638</v>
      </c>
      <c r="BZ681" s="16">
        <f t="shared" si="287"/>
        <v>1.5667241004370846E-2</v>
      </c>
      <c r="CA681" s="16">
        <f t="shared" si="297"/>
        <v>-999</v>
      </c>
      <c r="CB681" s="16" t="str">
        <f t="shared" si="288"/>
        <v/>
      </c>
      <c r="CC681" s="16" t="e">
        <f>IF(CB681="",NA(),COUNTIF(CB681:$CB$704,CB681))</f>
        <v>#N/A</v>
      </c>
      <c r="CD681" s="16" t="e">
        <f t="shared" si="289"/>
        <v>#N/A</v>
      </c>
      <c r="CE681" s="16" t="e">
        <f t="shared" si="290"/>
        <v>#N/A</v>
      </c>
      <c r="CF681" s="16">
        <f t="shared" si="291"/>
        <v>99</v>
      </c>
      <c r="CG681" s="16">
        <f t="shared" si="292"/>
        <v>0</v>
      </c>
      <c r="CH681" s="16">
        <f t="shared" si="298"/>
        <v>0</v>
      </c>
      <c r="CJ681" s="16" t="e">
        <f t="shared" si="293"/>
        <v>#N/A</v>
      </c>
      <c r="CK681" s="16" t="str">
        <f t="shared" si="294"/>
        <v/>
      </c>
    </row>
    <row r="682" spans="73:89" ht="12" customHeight="1">
      <c r="BU682" s="16">
        <f t="shared" si="295"/>
        <v>0</v>
      </c>
      <c r="BV682" s="16">
        <f>IF($BY$12=1,NORMDIST(BY682,$Y$6,$Y$8,TRUE),IF($BY$12=2,IF(BY682&lt;=$BX$31,0,IF(BY682&gt;=$BX$32,1,(BY682-$BX$31)*$BX$33)),SUM($BU$42:BU682)/$BV$40))</f>
        <v>0.75803634777693696</v>
      </c>
      <c r="BW682" s="16">
        <f t="shared" si="296"/>
        <v>0.99921258677362346</v>
      </c>
      <c r="BX682" s="16">
        <f>IF($BY$12&lt;3,BV682,SUM($BZ$42:BZ682)/$BX$40)</f>
        <v>0.75803634777693696</v>
      </c>
      <c r="BY682" s="16">
        <f t="shared" si="299"/>
        <v>64.000000000000639</v>
      </c>
      <c r="BZ682" s="16">
        <f t="shared" ref="BZ682:BZ745" si="300">IF($BZ$5,IF($BY$12=1,NORMDIST(BY682,$Y$6,$Y$8,FALSE),IF($BY$12=2,IF(AND(BY682&gt;=$BX$31,BY682&lt;=$BX$32),$BX$33,0),IF(BY682&lt;=$BX$13,0,NORMDIST(LN((BY682-$BX$13)/$BX$12),0,$BW$8,FALSE)/((BY682-$BX$13)/$BX$12)))),-999)</f>
        <v>1.561269666833771E-2</v>
      </c>
      <c r="CA682" s="16">
        <f t="shared" si="297"/>
        <v>-999</v>
      </c>
      <c r="CB682" s="16" t="str">
        <f t="shared" ref="CB682:CB704" si="301">IF(M581="","",ROUND(M581/$P$24,0))</f>
        <v/>
      </c>
      <c r="CC682" s="16" t="e">
        <f>IF(CB682="",NA(),COUNTIF(CB682:$CB$704,CB682))</f>
        <v>#N/A</v>
      </c>
      <c r="CD682" s="16" t="e">
        <f t="shared" ref="CD682:CD704" si="302">IF(CB682&lt;&gt;"",CB682*$P$24,NA())</f>
        <v>#N/A</v>
      </c>
      <c r="CE682" s="16" t="e">
        <f t="shared" ref="CE682:CE745" si="303">IF(AND($CB$7,$CD$2,$CD$1),26+$P$23/2-CC682*$P$23,NA())</f>
        <v>#N/A</v>
      </c>
      <c r="CF682" s="16">
        <f t="shared" ref="CF682:CF745" si="304">IF(ISNA(CJ682),99,CJ682)</f>
        <v>99</v>
      </c>
      <c r="CG682" s="16">
        <f t="shared" ref="CG682:CG745" si="305">IF(ISNA(CJ682),0,CJ682)</f>
        <v>0</v>
      </c>
      <c r="CH682" s="16">
        <f t="shared" si="298"/>
        <v>0</v>
      </c>
      <c r="CJ682" s="16" t="e">
        <f t="shared" ref="CJ682:CJ745" si="306">IF(CH682=1,CE682,NA())</f>
        <v>#N/A</v>
      </c>
      <c r="CK682" s="16" t="str">
        <f t="shared" ref="CK682:CK745" si="307">IF(CH682=1,M581,"")</f>
        <v/>
      </c>
    </row>
    <row r="683" spans="73:89" ht="12" customHeight="1">
      <c r="BU683" s="16">
        <f t="shared" ref="BU683:BU746" si="308">IF($BY$12&lt;3,0,IF(BY683&lt;=$BX$13,0,NORMDIST(LN((BY683-$BX$13)/$BX$12),0,$BW$8,FALSE)/((BY683-$BX$13)/$BX$12)))</f>
        <v>0</v>
      </c>
      <c r="BV683" s="16">
        <f>IF($BY$12=1,NORMDIST(BY683,$Y$6,$Y$8,TRUE),IF($BY$12=2,IF(BY683&lt;=$BX$31,0,IF(BY683&gt;=$BX$32,1,(BY683-$BX$31)*$BX$33)),SUM($BU$42:BU683)/$BV$40))</f>
        <v>0.75959488191844526</v>
      </c>
      <c r="BW683" s="16">
        <f t="shared" ref="BW683:BW746" si="309">BY683*BZ683</f>
        <v>0.99726480464970646</v>
      </c>
      <c r="BX683" s="16">
        <f>IF($BY$12&lt;3,BV683,SUM($BZ$42:BZ683)/$BX$40)</f>
        <v>0.75959488191844526</v>
      </c>
      <c r="BY683" s="16">
        <f t="shared" si="299"/>
        <v>64.100000000000634</v>
      </c>
      <c r="BZ683" s="16">
        <f t="shared" si="300"/>
        <v>1.5557953270666093E-2</v>
      </c>
      <c r="CA683" s="16">
        <f t="shared" ref="CA683:CA746" si="310">IF(AND($CD$1,$CD$3),26-$CD$40*NORMDIST(BY683,$Y$6,$Y$8/SQRT($T$18),FALSE),-999)</f>
        <v>-999</v>
      </c>
      <c r="CB683" s="16" t="str">
        <f t="shared" si="301"/>
        <v/>
      </c>
      <c r="CC683" s="16" t="e">
        <f>IF(CB683="",NA(),COUNTIF(CB683:$CB$704,CB683))</f>
        <v>#N/A</v>
      </c>
      <c r="CD683" s="16" t="e">
        <f t="shared" si="302"/>
        <v>#N/A</v>
      </c>
      <c r="CE683" s="16" t="e">
        <f t="shared" si="303"/>
        <v>#N/A</v>
      </c>
      <c r="CF683" s="16">
        <f t="shared" si="304"/>
        <v>99</v>
      </c>
      <c r="CG683" s="16">
        <f t="shared" si="305"/>
        <v>0</v>
      </c>
      <c r="CH683" s="16">
        <f t="shared" si="298"/>
        <v>0</v>
      </c>
      <c r="CJ683" s="16" t="e">
        <f t="shared" si="306"/>
        <v>#N/A</v>
      </c>
      <c r="CK683" s="16" t="str">
        <f t="shared" si="307"/>
        <v/>
      </c>
    </row>
    <row r="684" spans="73:89" ht="12" customHeight="1">
      <c r="BU684" s="16">
        <f t="shared" si="308"/>
        <v>0</v>
      </c>
      <c r="BV684" s="16">
        <f>IF($BY$12=1,NORMDIST(BY684,$Y$6,$Y$8,TRUE),IF($BY$12=2,IF(BY684&lt;=$BX$31,0,IF(BY684&gt;=$BX$32,1,(BY684-$BX$31)*$BX$33)),SUM($BU$42:BU684)/$BV$40))</f>
        <v>0.76114793191002306</v>
      </c>
      <c r="BW684" s="16">
        <f t="shared" si="309"/>
        <v>0.99529351431525326</v>
      </c>
      <c r="BX684" s="16">
        <f>IF($BY$12&lt;3,BV684,SUM($BZ$42:BZ684)/$BX$40)</f>
        <v>0.76114793191002306</v>
      </c>
      <c r="BY684" s="16">
        <f t="shared" si="299"/>
        <v>64.200000000000628</v>
      </c>
      <c r="BZ684" s="16">
        <f t="shared" si="300"/>
        <v>1.550301424167046E-2</v>
      </c>
      <c r="CA684" s="16">
        <f t="shared" si="310"/>
        <v>-999</v>
      </c>
      <c r="CB684" s="16" t="str">
        <f t="shared" si="301"/>
        <v/>
      </c>
      <c r="CC684" s="16" t="e">
        <f>IF(CB684="",NA(),COUNTIF(CB684:$CB$704,CB684))</f>
        <v>#N/A</v>
      </c>
      <c r="CD684" s="16" t="e">
        <f t="shared" si="302"/>
        <v>#N/A</v>
      </c>
      <c r="CE684" s="16" t="e">
        <f t="shared" si="303"/>
        <v>#N/A</v>
      </c>
      <c r="CF684" s="16">
        <f t="shared" si="304"/>
        <v>99</v>
      </c>
      <c r="CG684" s="16">
        <f t="shared" si="305"/>
        <v>0</v>
      </c>
      <c r="CH684" s="16">
        <f t="shared" si="298"/>
        <v>0</v>
      </c>
      <c r="CJ684" s="16" t="e">
        <f t="shared" si="306"/>
        <v>#N/A</v>
      </c>
      <c r="CK684" s="16" t="str">
        <f t="shared" si="307"/>
        <v/>
      </c>
    </row>
    <row r="685" spans="73:89" ht="12" customHeight="1">
      <c r="BU685" s="16">
        <f t="shared" si="308"/>
        <v>0</v>
      </c>
      <c r="BV685" s="16">
        <f>IF($BY$12=1,NORMDIST(BY685,$Y$6,$Y$8,TRUE),IF($BY$12=2,IF(BY685&lt;=$BX$31,0,IF(BY685&gt;=$BX$32,1,(BY685-$BX$31)*$BX$33)),SUM($BU$42:BU685)/$BV$40))</f>
        <v>0.76269547836016227</v>
      </c>
      <c r="BW685" s="16">
        <f t="shared" si="309"/>
        <v>0.99329887781571158</v>
      </c>
      <c r="BX685" s="16">
        <f>IF($BY$12&lt;3,BV685,SUM($BZ$42:BZ685)/$BX$40)</f>
        <v>0.76269547836016227</v>
      </c>
      <c r="BY685" s="16">
        <f t="shared" si="299"/>
        <v>64.300000000000622</v>
      </c>
      <c r="BZ685" s="16">
        <f t="shared" si="300"/>
        <v>1.5447883014241088E-2</v>
      </c>
      <c r="CA685" s="16">
        <f t="shared" si="310"/>
        <v>-999</v>
      </c>
      <c r="CB685" s="16" t="str">
        <f t="shared" si="301"/>
        <v/>
      </c>
      <c r="CC685" s="16" t="e">
        <f>IF(CB685="",NA(),COUNTIF(CB685:$CB$704,CB685))</f>
        <v>#N/A</v>
      </c>
      <c r="CD685" s="16" t="e">
        <f t="shared" si="302"/>
        <v>#N/A</v>
      </c>
      <c r="CE685" s="16" t="e">
        <f t="shared" si="303"/>
        <v>#N/A</v>
      </c>
      <c r="CF685" s="16">
        <f t="shared" si="304"/>
        <v>99</v>
      </c>
      <c r="CG685" s="16">
        <f t="shared" si="305"/>
        <v>0</v>
      </c>
      <c r="CH685" s="16">
        <f t="shared" si="298"/>
        <v>0</v>
      </c>
      <c r="CJ685" s="16" t="e">
        <f t="shared" si="306"/>
        <v>#N/A</v>
      </c>
      <c r="CK685" s="16" t="str">
        <f t="shared" si="307"/>
        <v/>
      </c>
    </row>
    <row r="686" spans="73:89" ht="12" customHeight="1">
      <c r="BU686" s="16">
        <f t="shared" si="308"/>
        <v>0</v>
      </c>
      <c r="BV686" s="16">
        <f>IF($BY$12=1,NORMDIST(BY686,$Y$6,$Y$8,TRUE),IF($BY$12=2,IF(BY686&lt;=$BX$31,0,IF(BY686&gt;=$BX$32,1,(BY686-$BX$31)*$BX$33)),SUM($BU$42:BU686)/$BV$40))</f>
        <v>0.76423750222075837</v>
      </c>
      <c r="BW686" s="16">
        <f t="shared" si="309"/>
        <v>0.99128105871291383</v>
      </c>
      <c r="BX686" s="16">
        <f>IF($BY$12&lt;3,BV686,SUM($BZ$42:BZ686)/$BX$40)</f>
        <v>0.76423750222075837</v>
      </c>
      <c r="BY686" s="16">
        <f t="shared" si="299"/>
        <v>64.400000000000617</v>
      </c>
      <c r="BZ686" s="16">
        <f t="shared" si="300"/>
        <v>1.5392563023492303E-2</v>
      </c>
      <c r="CA686" s="16">
        <f t="shared" si="310"/>
        <v>-999</v>
      </c>
      <c r="CB686" s="16" t="str">
        <f t="shared" si="301"/>
        <v/>
      </c>
      <c r="CC686" s="16" t="e">
        <f>IF(CB686="",NA(),COUNTIF(CB686:$CB$704,CB686))</f>
        <v>#N/A</v>
      </c>
      <c r="CD686" s="16" t="e">
        <f t="shared" si="302"/>
        <v>#N/A</v>
      </c>
      <c r="CE686" s="16" t="e">
        <f t="shared" si="303"/>
        <v>#N/A</v>
      </c>
      <c r="CF686" s="16">
        <f t="shared" si="304"/>
        <v>99</v>
      </c>
      <c r="CG686" s="16">
        <f t="shared" si="305"/>
        <v>0</v>
      </c>
      <c r="CH686" s="16">
        <f t="shared" si="298"/>
        <v>0</v>
      </c>
      <c r="CJ686" s="16" t="e">
        <f t="shared" si="306"/>
        <v>#N/A</v>
      </c>
      <c r="CK686" s="16" t="str">
        <f t="shared" si="307"/>
        <v/>
      </c>
    </row>
    <row r="687" spans="73:89" ht="12" customHeight="1">
      <c r="BU687" s="16">
        <f t="shared" si="308"/>
        <v>0</v>
      </c>
      <c r="BV687" s="16">
        <f>IF($BY$12=1,NORMDIST(BY687,$Y$6,$Y$8,TRUE),IF($BY$12=2,IF(BY687&lt;=$BX$31,0,IF(BY687&gt;=$BX$32,1,(BY687-$BX$31)*$BX$33)),SUM($BU$42:BU687)/$BV$40))</f>
        <v>0.7657739847873144</v>
      </c>
      <c r="BW687" s="16">
        <f t="shared" si="309"/>
        <v>0.98924022206356133</v>
      </c>
      <c r="BX687" s="16">
        <f>IF($BY$12&lt;3,BV687,SUM($BZ$42:BZ687)/$BX$40)</f>
        <v>0.7657739847873144</v>
      </c>
      <c r="BY687" s="16">
        <f t="shared" si="299"/>
        <v>64.500000000000611</v>
      </c>
      <c r="BZ687" s="16">
        <f t="shared" si="300"/>
        <v>1.5337057706411658E-2</v>
      </c>
      <c r="CA687" s="16">
        <f t="shared" si="310"/>
        <v>-999</v>
      </c>
      <c r="CB687" s="16" t="str">
        <f t="shared" si="301"/>
        <v/>
      </c>
      <c r="CC687" s="16" t="e">
        <f>IF(CB687="",NA(),COUNTIF(CB687:$CB$704,CB687))</f>
        <v>#N/A</v>
      </c>
      <c r="CD687" s="16" t="e">
        <f t="shared" si="302"/>
        <v>#N/A</v>
      </c>
      <c r="CE687" s="16" t="e">
        <f t="shared" si="303"/>
        <v>#N/A</v>
      </c>
      <c r="CF687" s="16">
        <f t="shared" si="304"/>
        <v>99</v>
      </c>
      <c r="CG687" s="16">
        <f t="shared" si="305"/>
        <v>0</v>
      </c>
      <c r="CH687" s="16">
        <f t="shared" si="298"/>
        <v>0</v>
      </c>
      <c r="CJ687" s="16" t="e">
        <f t="shared" si="306"/>
        <v>#N/A</v>
      </c>
      <c r="CK687" s="16" t="str">
        <f t="shared" si="307"/>
        <v/>
      </c>
    </row>
    <row r="688" spans="73:89" ht="12" customHeight="1">
      <c r="BU688" s="16">
        <f t="shared" si="308"/>
        <v>0</v>
      </c>
      <c r="BV688" s="16">
        <f>IF($BY$12=1,NORMDIST(BY688,$Y$6,$Y$8,TRUE),IF($BY$12=2,IF(BY688&lt;=$BX$31,0,IF(BY688&gt;=$BX$32,1,(BY688-$BX$31)*$BX$33)),SUM($BU$42:BU688)/$BV$40))</f>
        <v>0.76730490769911175</v>
      </c>
      <c r="BW688" s="16">
        <f t="shared" si="309"/>
        <v>0.98717653439756514</v>
      </c>
      <c r="BX688" s="16">
        <f>IF($BY$12&lt;3,BV688,SUM($BZ$42:BZ688)/$BX$40)</f>
        <v>0.76730490769911175</v>
      </c>
      <c r="BY688" s="16">
        <f t="shared" si="299"/>
        <v>64.600000000000605</v>
      </c>
      <c r="BZ688" s="16">
        <f t="shared" si="300"/>
        <v>1.5281370501510154E-2</v>
      </c>
      <c r="CA688" s="16">
        <f t="shared" si="310"/>
        <v>-999</v>
      </c>
      <c r="CB688" s="16" t="str">
        <f t="shared" si="301"/>
        <v/>
      </c>
      <c r="CC688" s="16" t="e">
        <f>IF(CB688="",NA(),COUNTIF(CB688:$CB$704,CB688))</f>
        <v>#N/A</v>
      </c>
      <c r="CD688" s="16" t="e">
        <f t="shared" si="302"/>
        <v>#N/A</v>
      </c>
      <c r="CE688" s="16" t="e">
        <f t="shared" si="303"/>
        <v>#N/A</v>
      </c>
      <c r="CF688" s="16">
        <f t="shared" si="304"/>
        <v>99</v>
      </c>
      <c r="CG688" s="16">
        <f t="shared" si="305"/>
        <v>0</v>
      </c>
      <c r="CH688" s="16">
        <f t="shared" si="298"/>
        <v>0</v>
      </c>
      <c r="CJ688" s="16" t="e">
        <f t="shared" si="306"/>
        <v>#N/A</v>
      </c>
      <c r="CK688" s="16" t="str">
        <f t="shared" si="307"/>
        <v/>
      </c>
    </row>
    <row r="689" spans="73:89" ht="12" customHeight="1">
      <c r="BU689" s="16">
        <f t="shared" si="308"/>
        <v>0</v>
      </c>
      <c r="BV689" s="16">
        <f>IF($BY$12=1,NORMDIST(BY689,$Y$6,$Y$8,TRUE),IF($BY$12=2,IF(BY689&lt;=$BX$31,0,IF(BY689&gt;=$BX$32,1,(BY689-$BX$31)*$BX$33)),SUM($BU$42:BU689)/$BV$40))</f>
        <v>0.76883025293934415</v>
      </c>
      <c r="BW689" s="16">
        <f t="shared" si="309"/>
        <v>0.98509016369624691</v>
      </c>
      <c r="BX689" s="16">
        <f>IF($BY$12&lt;3,BV689,SUM($BZ$42:BZ689)/$BX$40)</f>
        <v>0.76883025293934415</v>
      </c>
      <c r="BY689" s="16">
        <f t="shared" si="299"/>
        <v>64.7000000000006</v>
      </c>
      <c r="BZ689" s="16">
        <f t="shared" si="300"/>
        <v>1.5225504848473535E-2</v>
      </c>
      <c r="CA689" s="16">
        <f t="shared" si="310"/>
        <v>-999</v>
      </c>
      <c r="CB689" s="16" t="str">
        <f t="shared" si="301"/>
        <v/>
      </c>
      <c r="CC689" s="16" t="e">
        <f>IF(CB689="",NA(),COUNTIF(CB689:$CB$704,CB689))</f>
        <v>#N/A</v>
      </c>
      <c r="CD689" s="16" t="e">
        <f t="shared" si="302"/>
        <v>#N/A</v>
      </c>
      <c r="CE689" s="16" t="e">
        <f t="shared" si="303"/>
        <v>#N/A</v>
      </c>
      <c r="CF689" s="16">
        <f t="shared" si="304"/>
        <v>99</v>
      </c>
      <c r="CG689" s="16">
        <f t="shared" si="305"/>
        <v>0</v>
      </c>
      <c r="CH689" s="16">
        <f t="shared" si="298"/>
        <v>0</v>
      </c>
      <c r="CJ689" s="16" t="e">
        <f t="shared" si="306"/>
        <v>#N/A</v>
      </c>
      <c r="CK689" s="16" t="str">
        <f t="shared" si="307"/>
        <v/>
      </c>
    </row>
    <row r="690" spans="73:89" ht="12" customHeight="1">
      <c r="BU690" s="16">
        <f t="shared" si="308"/>
        <v>0</v>
      </c>
      <c r="BV690" s="16">
        <f>IF($BY$12=1,NORMDIST(BY690,$Y$6,$Y$8,TRUE),IF($BY$12=2,IF(BY690&lt;=$BX$31,0,IF(BY690&gt;=$BX$32,1,(BY690-$BX$31)*$BX$33)),SUM($BU$42:BU690)/$BV$40))</f>
        <v>0.77035000283521848</v>
      </c>
      <c r="BW690" s="16">
        <f t="shared" si="309"/>
        <v>0.9829812793703997</v>
      </c>
      <c r="BX690" s="16">
        <f>IF($BY$12&lt;3,BV690,SUM($BZ$42:BZ690)/$BX$40)</f>
        <v>0.77035000283521848</v>
      </c>
      <c r="BY690" s="16">
        <f t="shared" si="299"/>
        <v>64.800000000000594</v>
      </c>
      <c r="BZ690" s="16">
        <f t="shared" si="300"/>
        <v>1.5169464187814671E-2</v>
      </c>
      <c r="CA690" s="16">
        <f t="shared" si="310"/>
        <v>-999</v>
      </c>
      <c r="CB690" s="16" t="str">
        <f t="shared" si="301"/>
        <v/>
      </c>
      <c r="CC690" s="16" t="e">
        <f>IF(CB690="",NA(),COUNTIF(CB690:$CB$704,CB690))</f>
        <v>#N/A</v>
      </c>
      <c r="CD690" s="16" t="e">
        <f t="shared" si="302"/>
        <v>#N/A</v>
      </c>
      <c r="CE690" s="16" t="e">
        <f t="shared" si="303"/>
        <v>#N/A</v>
      </c>
      <c r="CF690" s="16">
        <f t="shared" si="304"/>
        <v>99</v>
      </c>
      <c r="CG690" s="16">
        <f t="shared" si="305"/>
        <v>0</v>
      </c>
      <c r="CH690" s="16">
        <f t="shared" si="298"/>
        <v>0</v>
      </c>
      <c r="CJ690" s="16" t="e">
        <f t="shared" si="306"/>
        <v>#N/A</v>
      </c>
      <c r="CK690" s="16" t="str">
        <f t="shared" si="307"/>
        <v/>
      </c>
    </row>
    <row r="691" spans="73:89" ht="12" customHeight="1">
      <c r="BU691" s="16">
        <f t="shared" si="308"/>
        <v>0</v>
      </c>
      <c r="BV691" s="16">
        <f>IF($BY$12=1,NORMDIST(BY691,$Y$6,$Y$8,TRUE),IF($BY$12=2,IF(BY691&lt;=$BX$31,0,IF(BY691&gt;=$BX$32,1,(BY691-$BX$31)*$BX$33)),SUM($BU$42:BU691)/$BV$40))</f>
        <v>0.77186414005801907</v>
      </c>
      <c r="BW691" s="16">
        <f t="shared" si="309"/>
        <v>0.98085005223821864</v>
      </c>
      <c r="BX691" s="16">
        <f>IF($BY$12&lt;3,BV691,SUM($BZ$42:BZ691)/$BX$40)</f>
        <v>0.77186414005801907</v>
      </c>
      <c r="BY691" s="16">
        <f t="shared" si="299"/>
        <v>64.900000000000588</v>
      </c>
      <c r="BZ691" s="16">
        <f t="shared" si="300"/>
        <v>1.5113251960527116E-2</v>
      </c>
      <c r="CA691" s="16">
        <f t="shared" si="310"/>
        <v>-999</v>
      </c>
      <c r="CB691" s="16" t="str">
        <f t="shared" si="301"/>
        <v/>
      </c>
      <c r="CC691" s="16" t="e">
        <f>IF(CB691="",NA(),COUNTIF(CB691:$CB$704,CB691))</f>
        <v>#N/A</v>
      </c>
      <c r="CD691" s="16" t="e">
        <f t="shared" si="302"/>
        <v>#N/A</v>
      </c>
      <c r="CE691" s="16" t="e">
        <f t="shared" si="303"/>
        <v>#N/A</v>
      </c>
      <c r="CF691" s="16">
        <f t="shared" si="304"/>
        <v>99</v>
      </c>
      <c r="CG691" s="16">
        <f t="shared" si="305"/>
        <v>0</v>
      </c>
      <c r="CH691" s="16">
        <f t="shared" si="298"/>
        <v>0</v>
      </c>
      <c r="CJ691" s="16" t="e">
        <f t="shared" si="306"/>
        <v>#N/A</v>
      </c>
      <c r="CK691" s="16" t="str">
        <f t="shared" si="307"/>
        <v/>
      </c>
    </row>
    <row r="692" spans="73:89" ht="12" customHeight="1">
      <c r="BU692" s="16">
        <f t="shared" si="308"/>
        <v>0</v>
      </c>
      <c r="BV692" s="16">
        <f>IF($BY$12=1,NORMDIST(BY692,$Y$6,$Y$8,TRUE),IF($BY$12=2,IF(BY692&lt;=$BX$31,0,IF(BY692&gt;=$BX$32,1,(BY692-$BX$31)*$BX$33)),SUM($BU$42:BU692)/$BV$40))</f>
        <v>0.77337264762314051</v>
      </c>
      <c r="BW692" s="16">
        <f t="shared" si="309"/>
        <v>0.97869665450310162</v>
      </c>
      <c r="BX692" s="16">
        <f>IF($BY$12&lt;3,BV692,SUM($BZ$42:BZ692)/$BX$40)</f>
        <v>0.77337264762314051</v>
      </c>
      <c r="BY692" s="16">
        <f t="shared" si="299"/>
        <v>65.000000000000583</v>
      </c>
      <c r="BZ692" s="16">
        <f t="shared" si="300"/>
        <v>1.5056871607739889E-2</v>
      </c>
      <c r="CA692" s="16">
        <f t="shared" si="310"/>
        <v>-999</v>
      </c>
      <c r="CB692" s="16" t="str">
        <f t="shared" si="301"/>
        <v/>
      </c>
      <c r="CC692" s="16" t="e">
        <f>IF(CB692="",NA(),COUNTIF(CB692:$CB$704,CB692))</f>
        <v>#N/A</v>
      </c>
      <c r="CD692" s="16" t="e">
        <f t="shared" si="302"/>
        <v>#N/A</v>
      </c>
      <c r="CE692" s="16" t="e">
        <f t="shared" si="303"/>
        <v>#N/A</v>
      </c>
      <c r="CF692" s="16">
        <f t="shared" si="304"/>
        <v>99</v>
      </c>
      <c r="CG692" s="16">
        <f t="shared" si="305"/>
        <v>0</v>
      </c>
      <c r="CH692" s="16">
        <f t="shared" si="298"/>
        <v>0</v>
      </c>
      <c r="CJ692" s="16" t="e">
        <f t="shared" si="306"/>
        <v>#N/A</v>
      </c>
      <c r="CK692" s="16" t="str">
        <f t="shared" si="307"/>
        <v/>
      </c>
    </row>
    <row r="693" spans="73:89" ht="12" customHeight="1">
      <c r="BU693" s="16">
        <f t="shared" si="308"/>
        <v>0</v>
      </c>
      <c r="BV693" s="16">
        <f>IF($BY$12=1,NORMDIST(BY693,$Y$6,$Y$8,TRUE),IF($BY$12=2,IF(BY693&lt;=$BX$31,0,IF(BY693&gt;=$BX$32,1,(BY693-$BX$31)*$BX$33)),SUM($BU$42:BU693)/$BV$40))</f>
        <v>0.77487550889008161</v>
      </c>
      <c r="BW693" s="16">
        <f t="shared" si="309"/>
        <v>0.9765212597313242</v>
      </c>
      <c r="BX693" s="16">
        <f>IF($BY$12&lt;3,BV693,SUM($BZ$42:BZ693)/$BX$40)</f>
        <v>0.77487550889008161</v>
      </c>
      <c r="BY693" s="16">
        <f t="shared" si="299"/>
        <v>65.100000000000577</v>
      </c>
      <c r="BZ693" s="16">
        <f t="shared" si="300"/>
        <v>1.500032657037351E-2</v>
      </c>
      <c r="CA693" s="16">
        <f t="shared" si="310"/>
        <v>-999</v>
      </c>
      <c r="CB693" s="16" t="str">
        <f t="shared" si="301"/>
        <v/>
      </c>
      <c r="CC693" s="16" t="e">
        <f>IF(CB693="",NA(),COUNTIF(CB693:$CB$704,CB693))</f>
        <v>#N/A</v>
      </c>
      <c r="CD693" s="16" t="e">
        <f t="shared" si="302"/>
        <v>#N/A</v>
      </c>
      <c r="CE693" s="16" t="e">
        <f t="shared" si="303"/>
        <v>#N/A</v>
      </c>
      <c r="CF693" s="16">
        <f t="shared" si="304"/>
        <v>99</v>
      </c>
      <c r="CG693" s="16">
        <f t="shared" si="305"/>
        <v>0</v>
      </c>
      <c r="CH693" s="16">
        <f t="shared" si="298"/>
        <v>0</v>
      </c>
      <c r="CJ693" s="16" t="e">
        <f t="shared" si="306"/>
        <v>#N/A</v>
      </c>
      <c r="CK693" s="16" t="str">
        <f t="shared" si="307"/>
        <v/>
      </c>
    </row>
    <row r="694" spans="73:89" ht="12" customHeight="1">
      <c r="BU694" s="16">
        <f t="shared" si="308"/>
        <v>0</v>
      </c>
      <c r="BV694" s="16">
        <f>IF($BY$12=1,NORMDIST(BY694,$Y$6,$Y$8,TRUE),IF($BY$12=2,IF(BY694&lt;=$BX$31,0,IF(BY694&gt;=$BX$32,1,(BY694-$BX$31)*$BX$33)),SUM($BU$42:BU694)/$BV$40))</f>
        <v>0.77637270756240895</v>
      </c>
      <c r="BW694" s="16">
        <f t="shared" si="309"/>
        <v>0.9743240428295934</v>
      </c>
      <c r="BX694" s="16">
        <f>IF($BY$12&lt;3,BV694,SUM($BZ$42:BZ694)/$BX$40)</f>
        <v>0.77637270756240895</v>
      </c>
      <c r="BY694" s="16">
        <f t="shared" si="299"/>
        <v>65.200000000000571</v>
      </c>
      <c r="BZ694" s="16">
        <f t="shared" si="300"/>
        <v>1.4943620288797314E-2</v>
      </c>
      <c r="CA694" s="16">
        <f t="shared" si="310"/>
        <v>-999</v>
      </c>
      <c r="CB694" s="16" t="str">
        <f t="shared" si="301"/>
        <v/>
      </c>
      <c r="CC694" s="16" t="e">
        <f>IF(CB694="",NA(),COUNTIF(CB694:$CB$704,CB694))</f>
        <v>#N/A</v>
      </c>
      <c r="CD694" s="16" t="e">
        <f t="shared" si="302"/>
        <v>#N/A</v>
      </c>
      <c r="CE694" s="16" t="e">
        <f t="shared" si="303"/>
        <v>#N/A</v>
      </c>
      <c r="CF694" s="16">
        <f t="shared" si="304"/>
        <v>99</v>
      </c>
      <c r="CG694" s="16">
        <f t="shared" si="305"/>
        <v>0</v>
      </c>
      <c r="CH694" s="16">
        <f t="shared" si="298"/>
        <v>0</v>
      </c>
      <c r="CJ694" s="16" t="e">
        <f t="shared" si="306"/>
        <v>#N/A</v>
      </c>
      <c r="CK694" s="16" t="str">
        <f t="shared" si="307"/>
        <v/>
      </c>
    </row>
    <row r="695" spans="73:89" ht="12" customHeight="1">
      <c r="BU695" s="16">
        <f t="shared" si="308"/>
        <v>0</v>
      </c>
      <c r="BV695" s="16">
        <f>IF($BY$12=1,NORMDIST(BY695,$Y$6,$Y$8,TRUE),IF($BY$12=2,IF(BY695&lt;=$BX$31,0,IF(BY695&gt;=$BX$32,1,(BY695-$BX$31)*$BX$33)),SUM($BU$42:BU695)/$BV$40))</f>
        <v>0.7778642276876846</v>
      </c>
      <c r="BW695" s="16">
        <f t="shared" si="309"/>
        <v>0.97210518002248469</v>
      </c>
      <c r="BX695" s="16">
        <f>IF($BY$12&lt;3,BV695,SUM($BZ$42:BZ695)/$BX$40)</f>
        <v>0.7778642276876846</v>
      </c>
      <c r="BY695" s="16">
        <f t="shared" si="299"/>
        <v>65.300000000000566</v>
      </c>
      <c r="BZ695" s="16">
        <f t="shared" si="300"/>
        <v>1.488675620248815E-2</v>
      </c>
      <c r="CA695" s="16">
        <f t="shared" si="310"/>
        <v>-999</v>
      </c>
      <c r="CB695" s="16" t="str">
        <f t="shared" si="301"/>
        <v/>
      </c>
      <c r="CC695" s="16" t="e">
        <f>IF(CB695="",NA(),COUNTIF(CB695:$CB$704,CB695))</f>
        <v>#N/A</v>
      </c>
      <c r="CD695" s="16" t="e">
        <f t="shared" si="302"/>
        <v>#N/A</v>
      </c>
      <c r="CE695" s="16" t="e">
        <f t="shared" si="303"/>
        <v>#N/A</v>
      </c>
      <c r="CF695" s="16">
        <f t="shared" si="304"/>
        <v>99</v>
      </c>
      <c r="CG695" s="16">
        <f t="shared" si="305"/>
        <v>0</v>
      </c>
      <c r="CH695" s="16">
        <f t="shared" si="298"/>
        <v>0</v>
      </c>
      <c r="CJ695" s="16" t="e">
        <f t="shared" si="306"/>
        <v>#N/A</v>
      </c>
      <c r="CK695" s="16" t="str">
        <f t="shared" si="307"/>
        <v/>
      </c>
    </row>
    <row r="696" spans="73:89" ht="12" customHeight="1">
      <c r="BU696" s="16">
        <f t="shared" si="308"/>
        <v>0</v>
      </c>
      <c r="BV696" s="16">
        <f>IF($BY$12=1,NORMDIST(BY696,$Y$6,$Y$8,TRUE),IF($BY$12=2,IF(BY696&lt;=$BX$31,0,IF(BY696&gt;=$BX$32,1,(BY696-$BX$31)*$BX$33)),SUM($BU$42:BU696)/$BV$40))</f>
        <v>0.77935005365735865</v>
      </c>
      <c r="BW696" s="16">
        <f t="shared" si="309"/>
        <v>0.96986484882976487</v>
      </c>
      <c r="BX696" s="16">
        <f>IF($BY$12&lt;3,BV696,SUM($BZ$42:BZ696)/$BX$40)</f>
        <v>0.77935005365735865</v>
      </c>
      <c r="BY696" s="16">
        <f t="shared" si="299"/>
        <v>65.40000000000056</v>
      </c>
      <c r="BZ696" s="16">
        <f t="shared" si="300"/>
        <v>1.4829737749690467E-2</v>
      </c>
      <c r="CA696" s="16">
        <f t="shared" si="310"/>
        <v>-999</v>
      </c>
      <c r="CB696" s="16" t="str">
        <f t="shared" si="301"/>
        <v/>
      </c>
      <c r="CC696" s="16" t="e">
        <f>IF(CB696="",NA(),COUNTIF(CB696:$CB$704,CB696))</f>
        <v>#N/A</v>
      </c>
      <c r="CD696" s="16" t="e">
        <f t="shared" si="302"/>
        <v>#N/A</v>
      </c>
      <c r="CE696" s="16" t="e">
        <f t="shared" si="303"/>
        <v>#N/A</v>
      </c>
      <c r="CF696" s="16">
        <f t="shared" si="304"/>
        <v>99</v>
      </c>
      <c r="CG696" s="16">
        <f t="shared" si="305"/>
        <v>0</v>
      </c>
      <c r="CH696" s="16">
        <f t="shared" si="298"/>
        <v>0</v>
      </c>
      <c r="CJ696" s="16" t="e">
        <f t="shared" si="306"/>
        <v>#N/A</v>
      </c>
      <c r="CK696" s="16" t="str">
        <f t="shared" si="307"/>
        <v/>
      </c>
    </row>
    <row r="697" spans="73:89" ht="12" customHeight="1">
      <c r="BU697" s="16">
        <f t="shared" si="308"/>
        <v>0</v>
      </c>
      <c r="BV697" s="16">
        <f>IF($BY$12=1,NORMDIST(BY697,$Y$6,$Y$8,TRUE),IF($BY$12=2,IF(BY697&lt;=$BX$31,0,IF(BY697&gt;=$BX$32,1,(BY697-$BX$31)*$BX$33)),SUM($BU$42:BU697)/$BV$40))</f>
        <v>0.7808301702066307</v>
      </c>
      <c r="BW697" s="16">
        <f t="shared" si="309"/>
        <v>0.96760322804360588</v>
      </c>
      <c r="BX697" s="16">
        <f>IF($BY$12&lt;3,BV697,SUM($BZ$42:BZ697)/$BX$40)</f>
        <v>0.7808301702066307</v>
      </c>
      <c r="BY697" s="16">
        <f t="shared" si="299"/>
        <v>65.500000000000554</v>
      </c>
      <c r="BZ697" s="16">
        <f t="shared" si="300"/>
        <v>1.4772568367077828E-2</v>
      </c>
      <c r="CA697" s="16">
        <f t="shared" si="310"/>
        <v>-999</v>
      </c>
      <c r="CB697" s="16" t="str">
        <f t="shared" si="301"/>
        <v/>
      </c>
      <c r="CC697" s="16" t="e">
        <f>IF(CB697="",NA(),COUNTIF(CB697:$CB$704,CB697))</f>
        <v>#N/A</v>
      </c>
      <c r="CD697" s="16" t="e">
        <f t="shared" si="302"/>
        <v>#N/A</v>
      </c>
      <c r="CE697" s="16" t="e">
        <f t="shared" si="303"/>
        <v>#N/A</v>
      </c>
      <c r="CF697" s="16">
        <f t="shared" si="304"/>
        <v>99</v>
      </c>
      <c r="CG697" s="16">
        <f t="shared" si="305"/>
        <v>0</v>
      </c>
      <c r="CH697" s="16">
        <f t="shared" si="298"/>
        <v>0</v>
      </c>
      <c r="CJ697" s="16" t="e">
        <f t="shared" si="306"/>
        <v>#N/A</v>
      </c>
      <c r="CK697" s="16" t="str">
        <f t="shared" si="307"/>
        <v/>
      </c>
    </row>
    <row r="698" spans="73:89" ht="12" customHeight="1">
      <c r="BU698" s="16">
        <f t="shared" si="308"/>
        <v>0</v>
      </c>
      <c r="BV698" s="16">
        <f>IF($BY$12=1,NORMDIST(BY698,$Y$6,$Y$8,TRUE),IF($BY$12=2,IF(BY698&lt;=$BX$31,0,IF(BY698&gt;=$BX$32,1,(BY698-$BX$31)*$BX$33)),SUM($BU$42:BU698)/$BV$40))</f>
        <v>0.78230456241427493</v>
      </c>
      <c r="BW698" s="16">
        <f t="shared" si="309"/>
        <v>0.96532049770569384</v>
      </c>
      <c r="BX698" s="16">
        <f>IF($BY$12&lt;3,BV698,SUM($BZ$42:BZ698)/$BX$40)</f>
        <v>0.78230456241427493</v>
      </c>
      <c r="BY698" s="16">
        <f t="shared" si="299"/>
        <v>65.600000000000549</v>
      </c>
      <c r="BZ698" s="16">
        <f t="shared" si="300"/>
        <v>1.4715251489415942E-2</v>
      </c>
      <c r="CA698" s="16">
        <f t="shared" si="310"/>
        <v>-999</v>
      </c>
      <c r="CB698" s="16" t="str">
        <f t="shared" si="301"/>
        <v/>
      </c>
      <c r="CC698" s="16" t="e">
        <f>IF(CB698="",NA(),COUNTIF(CB698:$CB$704,CB698))</f>
        <v>#N/A</v>
      </c>
      <c r="CD698" s="16" t="e">
        <f t="shared" si="302"/>
        <v>#N/A</v>
      </c>
      <c r="CE698" s="16" t="e">
        <f t="shared" si="303"/>
        <v>#N/A</v>
      </c>
      <c r="CF698" s="16">
        <f t="shared" si="304"/>
        <v>99</v>
      </c>
      <c r="CG698" s="16">
        <f t="shared" si="305"/>
        <v>0</v>
      </c>
      <c r="CH698" s="16">
        <f t="shared" si="298"/>
        <v>0</v>
      </c>
      <c r="CJ698" s="16" t="e">
        <f t="shared" si="306"/>
        <v>#N/A</v>
      </c>
      <c r="CK698" s="16" t="str">
        <f t="shared" si="307"/>
        <v/>
      </c>
    </row>
    <row r="699" spans="73:89" ht="12" customHeight="1">
      <c r="BU699" s="16">
        <f t="shared" si="308"/>
        <v>0</v>
      </c>
      <c r="BV699" s="16">
        <f>IF($BY$12=1,NORMDIST(BY699,$Y$6,$Y$8,TRUE),IF($BY$12=2,IF(BY699&lt;=$BX$31,0,IF(BY699&gt;=$BX$32,1,(BY699-$BX$31)*$BX$33)),SUM($BU$42:BU699)/$BV$40))</f>
        <v>0.78377321570243241</v>
      </c>
      <c r="BW699" s="16">
        <f t="shared" si="309"/>
        <v>0.96301683908423419</v>
      </c>
      <c r="BX699" s="16">
        <f>IF($BY$12&lt;3,BV699,SUM($BZ$42:BZ699)/$BX$40)</f>
        <v>0.78377321570243241</v>
      </c>
      <c r="BY699" s="16">
        <f t="shared" si="299"/>
        <v>65.700000000000543</v>
      </c>
      <c r="BZ699" s="16">
        <f t="shared" si="300"/>
        <v>1.4657790549227188E-2</v>
      </c>
      <c r="CA699" s="16">
        <f t="shared" si="310"/>
        <v>-999</v>
      </c>
      <c r="CB699" s="16" t="str">
        <f t="shared" si="301"/>
        <v/>
      </c>
      <c r="CC699" s="16" t="e">
        <f>IF(CB699="",NA(),COUNTIF(CB699:$CB$704,CB699))</f>
        <v>#N/A</v>
      </c>
      <c r="CD699" s="16" t="e">
        <f t="shared" si="302"/>
        <v>#N/A</v>
      </c>
      <c r="CE699" s="16" t="e">
        <f t="shared" si="303"/>
        <v>#N/A</v>
      </c>
      <c r="CF699" s="16">
        <f t="shared" si="304"/>
        <v>99</v>
      </c>
      <c r="CG699" s="16">
        <f t="shared" si="305"/>
        <v>0</v>
      </c>
      <c r="CH699" s="16">
        <f t="shared" si="298"/>
        <v>0</v>
      </c>
      <c r="CJ699" s="16" t="e">
        <f t="shared" si="306"/>
        <v>#N/A</v>
      </c>
      <c r="CK699" s="16" t="str">
        <f t="shared" si="307"/>
        <v/>
      </c>
    </row>
    <row r="700" spans="73:89" ht="12" customHeight="1">
      <c r="BU700" s="16">
        <f t="shared" si="308"/>
        <v>0</v>
      </c>
      <c r="BV700" s="16">
        <f>IF($BY$12=1,NORMDIST(BY700,$Y$6,$Y$8,TRUE),IF($BY$12=2,IF(BY700&lt;=$BX$31,0,IF(BY700&gt;=$BX$32,1,(BY700-$BX$31)*$BX$33)),SUM($BU$42:BU700)/$BV$40))</f>
        <v>0.78523611583637076</v>
      </c>
      <c r="BW700" s="16">
        <f t="shared" si="309"/>
        <v>0.96069243465086274</v>
      </c>
      <c r="BX700" s="16">
        <f>IF($BY$12&lt;3,BV700,SUM($BZ$42:BZ700)/$BX$40)</f>
        <v>0.78523611583637076</v>
      </c>
      <c r="BY700" s="16">
        <f t="shared" si="299"/>
        <v>65.800000000000537</v>
      </c>
      <c r="BZ700" s="16">
        <f t="shared" si="300"/>
        <v>1.4600188976456761E-2</v>
      </c>
      <c r="CA700" s="16">
        <f t="shared" si="310"/>
        <v>-999</v>
      </c>
      <c r="CB700" s="16" t="str">
        <f t="shared" si="301"/>
        <v/>
      </c>
      <c r="CC700" s="16" t="e">
        <f>IF(CB700="",NA(),COUNTIF(CB700:$CB$704,CB700))</f>
        <v>#N/A</v>
      </c>
      <c r="CD700" s="16" t="e">
        <f t="shared" si="302"/>
        <v>#N/A</v>
      </c>
      <c r="CE700" s="16" t="e">
        <f t="shared" si="303"/>
        <v>#N/A</v>
      </c>
      <c r="CF700" s="16">
        <f t="shared" si="304"/>
        <v>99</v>
      </c>
      <c r="CG700" s="16">
        <f t="shared" si="305"/>
        <v>0</v>
      </c>
      <c r="CH700" s="16">
        <f t="shared" si="298"/>
        <v>0</v>
      </c>
      <c r="CJ700" s="16" t="e">
        <f t="shared" si="306"/>
        <v>#N/A</v>
      </c>
      <c r="CK700" s="16" t="str">
        <f t="shared" si="307"/>
        <v/>
      </c>
    </row>
    <row r="701" spans="73:89" ht="12" customHeight="1">
      <c r="BU701" s="16">
        <f t="shared" si="308"/>
        <v>0</v>
      </c>
      <c r="BV701" s="16">
        <f>IF($BY$12=1,NORMDIST(BY701,$Y$6,$Y$8,TRUE),IF($BY$12=2,IF(BY701&lt;=$BX$31,0,IF(BY701&gt;=$BX$32,1,(BY701-$BX$31)*$BX$33)),SUM($BU$42:BU701)/$BV$40))</f>
        <v>0.78669324892420911</v>
      </c>
      <c r="BW701" s="16">
        <f t="shared" si="309"/>
        <v>0.95834746805746052</v>
      </c>
      <c r="BX701" s="16">
        <f>IF($BY$12&lt;3,BV701,SUM($BZ$42:BZ701)/$BX$40)</f>
        <v>0.78669324892420911</v>
      </c>
      <c r="BY701" s="16">
        <f t="shared" si="299"/>
        <v>65.900000000000531</v>
      </c>
      <c r="BZ701" s="16">
        <f t="shared" si="300"/>
        <v>1.4542450198140407E-2</v>
      </c>
      <c r="CA701" s="16">
        <f t="shared" si="310"/>
        <v>-999</v>
      </c>
      <c r="CB701" s="16" t="str">
        <f t="shared" si="301"/>
        <v/>
      </c>
      <c r="CC701" s="16" t="e">
        <f>IF(CB701="",NA(),COUNTIF(CB701:$CB$704,CB701))</f>
        <v>#N/A</v>
      </c>
      <c r="CD701" s="16" t="e">
        <f t="shared" si="302"/>
        <v>#N/A</v>
      </c>
      <c r="CE701" s="16" t="e">
        <f t="shared" si="303"/>
        <v>#N/A</v>
      </c>
      <c r="CF701" s="16">
        <f t="shared" si="304"/>
        <v>99</v>
      </c>
      <c r="CG701" s="16">
        <f t="shared" si="305"/>
        <v>0</v>
      </c>
      <c r="CH701" s="16">
        <f t="shared" si="298"/>
        <v>0</v>
      </c>
      <c r="CJ701" s="16" t="e">
        <f t="shared" si="306"/>
        <v>#N/A</v>
      </c>
      <c r="CK701" s="16" t="str">
        <f t="shared" si="307"/>
        <v/>
      </c>
    </row>
    <row r="702" spans="73:89" ht="12" customHeight="1">
      <c r="BU702" s="16">
        <f t="shared" si="308"/>
        <v>0</v>
      </c>
      <c r="BV702" s="16">
        <f>IF($BY$12=1,NORMDIST(BY702,$Y$6,$Y$8,TRUE),IF($BY$12=2,IF(BY702&lt;=$BX$31,0,IF(BY702&gt;=$BX$32,1,(BY702-$BX$31)*$BX$33)),SUM($BU$42:BU702)/$BV$40))</f>
        <v>0.78814460141661091</v>
      </c>
      <c r="BW702" s="16">
        <f t="shared" si="309"/>
        <v>0.95598212411288042</v>
      </c>
      <c r="BX702" s="16">
        <f>IF($BY$12&lt;3,BV702,SUM($BZ$42:BZ702)/$BX$40)</f>
        <v>0.78814460141661091</v>
      </c>
      <c r="BY702" s="16">
        <f t="shared" si="299"/>
        <v>66.000000000000526</v>
      </c>
      <c r="BZ702" s="16">
        <f t="shared" si="300"/>
        <v>1.448457763807383E-2</v>
      </c>
      <c r="CA702" s="16">
        <f t="shared" si="310"/>
        <v>-999</v>
      </c>
      <c r="CB702" s="16" t="str">
        <f t="shared" si="301"/>
        <v/>
      </c>
      <c r="CC702" s="16" t="e">
        <f>IF(CB702="",NA(),COUNTIF(CB702:$CB$704,CB702))</f>
        <v>#N/A</v>
      </c>
      <c r="CD702" s="16" t="e">
        <f t="shared" si="302"/>
        <v>#N/A</v>
      </c>
      <c r="CE702" s="16" t="e">
        <f t="shared" si="303"/>
        <v>#N/A</v>
      </c>
      <c r="CF702" s="16">
        <f t="shared" si="304"/>
        <v>99</v>
      </c>
      <c r="CG702" s="16">
        <f t="shared" si="305"/>
        <v>0</v>
      </c>
      <c r="CH702" s="16">
        <f t="shared" si="298"/>
        <v>0</v>
      </c>
      <c r="CJ702" s="16" t="e">
        <f t="shared" si="306"/>
        <v>#N/A</v>
      </c>
      <c r="CK702" s="16" t="str">
        <f t="shared" si="307"/>
        <v/>
      </c>
    </row>
    <row r="703" spans="73:89" ht="12" customHeight="1">
      <c r="BU703" s="16">
        <f t="shared" si="308"/>
        <v>0</v>
      </c>
      <c r="BV703" s="16">
        <f>IF($BY$12=1,NORMDIST(BY703,$Y$6,$Y$8,TRUE),IF($BY$12=2,IF(BY703&lt;=$BX$31,0,IF(BY703&gt;=$BX$32,1,(BY703-$BX$31)*$BX$33)),SUM($BU$42:BU703)/$BV$40))</f>
        <v>0.78959016010644389</v>
      </c>
      <c r="BW703" s="16">
        <f t="shared" si="309"/>
        <v>0.95359658875958808</v>
      </c>
      <c r="BX703" s="16">
        <f>IF($BY$12&lt;3,BV703,SUM($BZ$42:BZ703)/$BX$40)</f>
        <v>0.78959016010644389</v>
      </c>
      <c r="BY703" s="16">
        <f t="shared" si="299"/>
        <v>66.10000000000052</v>
      </c>
      <c r="BZ703" s="16">
        <f t="shared" si="300"/>
        <v>1.4426574716483821E-2</v>
      </c>
      <c r="CA703" s="16">
        <f t="shared" si="310"/>
        <v>-999</v>
      </c>
      <c r="CB703" s="16" t="str">
        <f t="shared" si="301"/>
        <v/>
      </c>
      <c r="CC703" s="16" t="e">
        <f>IF(CB703="",NA(),COUNTIF(CB703:$CB$704,CB703))</f>
        <v>#N/A</v>
      </c>
      <c r="CD703" s="16" t="e">
        <f t="shared" si="302"/>
        <v>#N/A</v>
      </c>
      <c r="CE703" s="16" t="e">
        <f t="shared" si="303"/>
        <v>#N/A</v>
      </c>
      <c r="CF703" s="16">
        <f t="shared" si="304"/>
        <v>99</v>
      </c>
      <c r="CG703" s="16">
        <f t="shared" si="305"/>
        <v>0</v>
      </c>
      <c r="CH703" s="16">
        <f t="shared" si="298"/>
        <v>0</v>
      </c>
      <c r="CJ703" s="16" t="e">
        <f t="shared" si="306"/>
        <v>#N/A</v>
      </c>
      <c r="CK703" s="16" t="str">
        <f t="shared" si="307"/>
        <v/>
      </c>
    </row>
    <row r="704" spans="73:89" ht="12" customHeight="1">
      <c r="BU704" s="16">
        <f t="shared" si="308"/>
        <v>0</v>
      </c>
      <c r="BV704" s="16">
        <f>IF($BY$12=1,NORMDIST(BY704,$Y$6,$Y$8,TRUE),IF($BY$12=2,IF(BY704&lt;=$BX$31,0,IF(BY704&gt;=$BX$32,1,(BY704-$BX$31)*$BX$33)),SUM($BU$42:BU704)/$BV$40))</f>
        <v>0.79102991212840579</v>
      </c>
      <c r="BW704" s="16">
        <f t="shared" si="309"/>
        <v>0.951191049050221</v>
      </c>
      <c r="BX704" s="16">
        <f>IF($BY$12&lt;3,BV704,SUM($BZ$42:BZ704)/$BX$40)</f>
        <v>0.79102991212840579</v>
      </c>
      <c r="BY704" s="16">
        <f t="shared" si="299"/>
        <v>66.200000000000514</v>
      </c>
      <c r="BZ704" s="16">
        <f t="shared" si="300"/>
        <v>1.4368444849701113E-2</v>
      </c>
      <c r="CA704" s="16">
        <f t="shared" si="310"/>
        <v>-999</v>
      </c>
      <c r="CB704" s="16" t="str">
        <f t="shared" si="301"/>
        <v/>
      </c>
      <c r="CC704" s="16" t="e">
        <f>IF(CB704="",NA(),COUNTIF(CB704:$CB$704,CB704))</f>
        <v>#N/A</v>
      </c>
      <c r="CD704" s="16" t="e">
        <f t="shared" si="302"/>
        <v>#N/A</v>
      </c>
      <c r="CE704" s="16" t="e">
        <f t="shared" si="303"/>
        <v>#N/A</v>
      </c>
      <c r="CF704" s="16">
        <f t="shared" si="304"/>
        <v>99</v>
      </c>
      <c r="CG704" s="16">
        <f t="shared" si="305"/>
        <v>0</v>
      </c>
      <c r="CH704" s="16">
        <f t="shared" si="298"/>
        <v>0</v>
      </c>
      <c r="CJ704" s="16" t="e">
        <f t="shared" si="306"/>
        <v>#N/A</v>
      </c>
      <c r="CK704" s="16" t="str">
        <f t="shared" si="307"/>
        <v/>
      </c>
    </row>
    <row r="705" spans="73:89" ht="12" customHeight="1">
      <c r="BU705" s="16">
        <f t="shared" si="308"/>
        <v>0</v>
      </c>
      <c r="BV705" s="16">
        <f>IF($BY$12=1,NORMDIST(BY705,$Y$6,$Y$8,TRUE),IF($BY$12=2,IF(BY705&lt;=$BX$31,0,IF(BY705&gt;=$BX$32,1,(BY705-$BX$31)*$BX$33)),SUM($BU$42:BU705)/$BV$40))</f>
        <v>0.79246384495861943</v>
      </c>
      <c r="BW705" s="16">
        <f t="shared" si="309"/>
        <v>0.948765693124071</v>
      </c>
      <c r="BX705" s="16">
        <f>IF($BY$12&lt;3,BV705,SUM($BZ$42:BZ705)/$BX$40)</f>
        <v>0.79246384495861943</v>
      </c>
      <c r="BY705" s="16">
        <f t="shared" si="299"/>
        <v>66.300000000000509</v>
      </c>
      <c r="BZ705" s="16">
        <f t="shared" si="300"/>
        <v>1.4310191449835049E-2</v>
      </c>
      <c r="CA705" s="16">
        <f t="shared" si="310"/>
        <v>-999</v>
      </c>
      <c r="CE705" s="16" t="e">
        <f t="shared" si="303"/>
        <v>#N/A</v>
      </c>
      <c r="CF705" s="16">
        <f t="shared" si="304"/>
        <v>99</v>
      </c>
      <c r="CG705" s="16">
        <f t="shared" si="305"/>
        <v>0</v>
      </c>
      <c r="CH705" s="16">
        <f t="shared" si="298"/>
        <v>0</v>
      </c>
      <c r="CJ705" s="16" t="e">
        <f t="shared" si="306"/>
        <v>#N/A</v>
      </c>
      <c r="CK705" s="16" t="str">
        <f t="shared" si="307"/>
        <v/>
      </c>
    </row>
    <row r="706" spans="73:89" ht="12" customHeight="1">
      <c r="BU706" s="16">
        <f t="shared" si="308"/>
        <v>0</v>
      </c>
      <c r="BV706" s="16">
        <f>IF($BY$12=1,NORMDIST(BY706,$Y$6,$Y$8,TRUE),IF($BY$12=2,IF(BY706&lt;=$BX$31,0,IF(BY706&gt;=$BX$32,1,(BY706-$BX$31)*$BX$33)),SUM($BU$42:BU706)/$BV$40))</f>
        <v>0.79389194641419414</v>
      </c>
      <c r="BW706" s="16">
        <f t="shared" si="309"/>
        <v>0.94632071018349151</v>
      </c>
      <c r="BX706" s="16">
        <f>IF($BY$12&lt;3,BV706,SUM($BZ$42:BZ706)/$BX$40)</f>
        <v>0.79389194641419414</v>
      </c>
      <c r="BY706" s="16">
        <f t="shared" si="299"/>
        <v>66.400000000000503</v>
      </c>
      <c r="BZ706" s="16">
        <f t="shared" si="300"/>
        <v>1.4251817924450065E-2</v>
      </c>
      <c r="CA706" s="16">
        <f t="shared" si="310"/>
        <v>-999</v>
      </c>
      <c r="CE706" s="16" t="e">
        <f t="shared" si="303"/>
        <v>#N/A</v>
      </c>
      <c r="CF706" s="16">
        <f t="shared" si="304"/>
        <v>99</v>
      </c>
      <c r="CG706" s="16">
        <f t="shared" si="305"/>
        <v>0</v>
      </c>
      <c r="CH706" s="16">
        <f t="shared" si="298"/>
        <v>0</v>
      </c>
      <c r="CJ706" s="16" t="e">
        <f t="shared" si="306"/>
        <v>#N/A</v>
      </c>
      <c r="CK706" s="16" t="str">
        <f t="shared" si="307"/>
        <v/>
      </c>
    </row>
    <row r="707" spans="73:89" ht="12" customHeight="1">
      <c r="BU707" s="16">
        <f t="shared" si="308"/>
        <v>0</v>
      </c>
      <c r="BV707" s="16">
        <f>IF($BY$12=1,NORMDIST(BY707,$Y$6,$Y$8,TRUE),IF($BY$12=2,IF(BY707&lt;=$BX$31,0,IF(BY707&gt;=$BX$32,1,(BY707-$BX$31)*$BX$33)),SUM($BU$42:BU707)/$BV$40))</f>
        <v>0.79531420465275438</v>
      </c>
      <c r="BW707" s="16">
        <f t="shared" si="309"/>
        <v>0.94385629047023767</v>
      </c>
      <c r="BX707" s="16">
        <f>IF($BY$12&lt;3,BV707,SUM($BZ$42:BZ707)/$BX$40)</f>
        <v>0.79531420465275438</v>
      </c>
      <c r="BY707" s="16">
        <f t="shared" si="299"/>
        <v>66.500000000000497</v>
      </c>
      <c r="BZ707" s="16">
        <f t="shared" si="300"/>
        <v>1.419332767624407E-2</v>
      </c>
      <c r="CA707" s="16">
        <f t="shared" si="310"/>
        <v>-999</v>
      </c>
      <c r="CE707" s="16" t="e">
        <f t="shared" si="303"/>
        <v>#N/A</v>
      </c>
      <c r="CF707" s="16">
        <f t="shared" si="304"/>
        <v>99</v>
      </c>
      <c r="CG707" s="16">
        <f t="shared" si="305"/>
        <v>0</v>
      </c>
      <c r="CH707" s="16">
        <f t="shared" ref="CH707:CH770" si="311">IF(CB707="",0,1)</f>
        <v>0</v>
      </c>
      <c r="CJ707" s="16" t="e">
        <f t="shared" si="306"/>
        <v>#N/A</v>
      </c>
      <c r="CK707" s="16" t="str">
        <f t="shared" si="307"/>
        <v/>
      </c>
    </row>
    <row r="708" spans="73:89" ht="12" customHeight="1">
      <c r="BU708" s="16">
        <f t="shared" si="308"/>
        <v>0</v>
      </c>
      <c r="BV708" s="16">
        <f>IF($BY$12=1,NORMDIST(BY708,$Y$6,$Y$8,TRUE),IF($BY$12=2,IF(BY708&lt;=$BX$31,0,IF(BY708&gt;=$BX$32,1,(BY708-$BX$31)*$BX$33)),SUM($BU$42:BU708)/$BV$40))</f>
        <v>0.79673060817193853</v>
      </c>
      <c r="BW708" s="16">
        <f t="shared" si="309"/>
        <v>0.94137262524173992</v>
      </c>
      <c r="BX708" s="16">
        <f>IF($BY$12&lt;3,BV708,SUM($BZ$42:BZ708)/$BX$40)</f>
        <v>0.79673060817193853</v>
      </c>
      <c r="BY708" s="16">
        <f t="shared" si="299"/>
        <v>66.600000000000492</v>
      </c>
      <c r="BZ708" s="16">
        <f t="shared" si="300"/>
        <v>1.4134724102728723E-2</v>
      </c>
      <c r="CA708" s="16">
        <f t="shared" si="310"/>
        <v>-999</v>
      </c>
      <c r="CE708" s="16" t="e">
        <f t="shared" si="303"/>
        <v>#N/A</v>
      </c>
      <c r="CF708" s="16">
        <f t="shared" si="304"/>
        <v>99</v>
      </c>
      <c r="CG708" s="16">
        <f t="shared" si="305"/>
        <v>0</v>
      </c>
      <c r="CH708" s="16">
        <f t="shared" si="311"/>
        <v>0</v>
      </c>
      <c r="CJ708" s="16" t="e">
        <f t="shared" si="306"/>
        <v>#N/A</v>
      </c>
      <c r="CK708" s="16" t="str">
        <f t="shared" si="307"/>
        <v/>
      </c>
    </row>
    <row r="709" spans="73:89" ht="12" customHeight="1">
      <c r="BU709" s="16">
        <f t="shared" si="308"/>
        <v>0</v>
      </c>
      <c r="BV709" s="16">
        <f>IF($BY$12=1,NORMDIST(BY709,$Y$6,$Y$8,TRUE),IF($BY$12=2,IF(BY709&lt;=$BX$31,0,IF(BY709&gt;=$BX$32,1,(BY709-$BX$31)*$BX$33)),SUM($BU$42:BU709)/$BV$40))</f>
        <v>0.79814114580886308</v>
      </c>
      <c r="BW709" s="16">
        <f t="shared" si="309"/>
        <v>0.93886990674731441</v>
      </c>
      <c r="BX709" s="16">
        <f>IF($BY$12&lt;3,BV709,SUM($BZ$42:BZ709)/$BX$40)</f>
        <v>0.79814114580886308</v>
      </c>
      <c r="BY709" s="16">
        <f t="shared" si="299"/>
        <v>66.700000000000486</v>
      </c>
      <c r="BZ709" s="16">
        <f t="shared" si="300"/>
        <v>1.4076010595911658E-2</v>
      </c>
      <c r="CA709" s="16">
        <f t="shared" si="310"/>
        <v>-999</v>
      </c>
      <c r="CE709" s="16" t="e">
        <f t="shared" si="303"/>
        <v>#N/A</v>
      </c>
      <c r="CF709" s="16">
        <f t="shared" si="304"/>
        <v>99</v>
      </c>
      <c r="CG709" s="16">
        <f t="shared" si="305"/>
        <v>0</v>
      </c>
      <c r="CH709" s="16">
        <f t="shared" si="311"/>
        <v>0</v>
      </c>
      <c r="CJ709" s="16" t="e">
        <f t="shared" si="306"/>
        <v>#N/A</v>
      </c>
      <c r="CK709" s="16" t="str">
        <f t="shared" si="307"/>
        <v/>
      </c>
    </row>
    <row r="710" spans="73:89" ht="12" customHeight="1">
      <c r="BU710" s="16">
        <f t="shared" si="308"/>
        <v>0</v>
      </c>
      <c r="BV710" s="16">
        <f>IF($BY$12=1,NORMDIST(BY710,$Y$6,$Y$8,TRUE),IF($BY$12=2,IF(BY710&lt;=$BX$31,0,IF(BY710&gt;=$BX$32,1,(BY710-$BX$31)*$BX$33)),SUM($BU$42:BU710)/$BV$40))</f>
        <v>0.79954580673955711</v>
      </c>
      <c r="BW710" s="16">
        <f t="shared" si="309"/>
        <v>0.93634832820432035</v>
      </c>
      <c r="BX710" s="16">
        <f>IF($BY$12&lt;3,BV710,SUM($BZ$42:BZ710)/$BX$40)</f>
        <v>0.79954580673955711</v>
      </c>
      <c r="BY710" s="16">
        <f t="shared" si="299"/>
        <v>66.80000000000048</v>
      </c>
      <c r="BZ710" s="16">
        <f t="shared" si="300"/>
        <v>1.4017190541980742E-2</v>
      </c>
      <c r="CA710" s="16">
        <f t="shared" si="310"/>
        <v>-999</v>
      </c>
      <c r="CE710" s="16" t="e">
        <f t="shared" si="303"/>
        <v>#N/A</v>
      </c>
      <c r="CF710" s="16">
        <f t="shared" si="304"/>
        <v>99</v>
      </c>
      <c r="CG710" s="16">
        <f t="shared" si="305"/>
        <v>0</v>
      </c>
      <c r="CH710" s="16">
        <f t="shared" si="311"/>
        <v>0</v>
      </c>
      <c r="CJ710" s="16" t="e">
        <f t="shared" si="306"/>
        <v>#N/A</v>
      </c>
      <c r="CK710" s="16" t="str">
        <f t="shared" si="307"/>
        <v/>
      </c>
    </row>
    <row r="711" spans="73:89" ht="12" customHeight="1">
      <c r="BU711" s="16">
        <f t="shared" si="308"/>
        <v>0</v>
      </c>
      <c r="BV711" s="16">
        <f>IF($BY$12=1,NORMDIST(BY711,$Y$6,$Y$8,TRUE),IF($BY$12=2,IF(BY711&lt;=$BX$31,0,IF(BY711&gt;=$BX$32,1,(BY711-$BX$31)*$BX$33)),SUM($BU$42:BU711)/$BV$40))</f>
        <v>0.80094458047836425</v>
      </c>
      <c r="BW711" s="16">
        <f t="shared" si="309"/>
        <v>0.93380808377425883</v>
      </c>
      <c r="BX711" s="16">
        <f>IF($BY$12&lt;3,BV711,SUM($BZ$42:BZ711)/$BX$40)</f>
        <v>0.80094458047836425</v>
      </c>
      <c r="BY711" s="16">
        <f t="shared" si="299"/>
        <v>66.900000000000475</v>
      </c>
      <c r="BZ711" s="16">
        <f t="shared" si="300"/>
        <v>1.3958267320990318E-2</v>
      </c>
      <c r="CA711" s="16">
        <f t="shared" si="310"/>
        <v>-999</v>
      </c>
      <c r="CE711" s="16" t="e">
        <f t="shared" si="303"/>
        <v>#N/A</v>
      </c>
      <c r="CF711" s="16">
        <f t="shared" si="304"/>
        <v>99</v>
      </c>
      <c r="CG711" s="16">
        <f t="shared" si="305"/>
        <v>0</v>
      </c>
      <c r="CH711" s="16">
        <f t="shared" si="311"/>
        <v>0</v>
      </c>
      <c r="CJ711" s="16" t="e">
        <f t="shared" si="306"/>
        <v>#N/A</v>
      </c>
      <c r="CK711" s="16" t="str">
        <f t="shared" si="307"/>
        <v/>
      </c>
    </row>
    <row r="712" spans="73:89" ht="12" customHeight="1">
      <c r="BU712" s="16">
        <f t="shared" si="308"/>
        <v>0</v>
      </c>
      <c r="BV712" s="16">
        <f>IF($BY$12=1,NORMDIST(BY712,$Y$6,$Y$8,TRUE),IF($BY$12=2,IF(BY712&lt;=$BX$31,0,IF(BY712&gt;=$BX$32,1,(BY712-$BX$31)*$BX$33)),SUM($BU$42:BU712)/$BV$40))</f>
        <v>0.80233745687731417</v>
      </c>
      <c r="BW712" s="16">
        <f t="shared" si="309"/>
        <v>0.93124936853882601</v>
      </c>
      <c r="BX712" s="16">
        <f>IF($BY$12&lt;3,BV712,SUM($BZ$42:BZ712)/$BX$40)</f>
        <v>0.80233745687731417</v>
      </c>
      <c r="BY712" s="16">
        <f t="shared" si="299"/>
        <v>67.000000000000469</v>
      </c>
      <c r="BZ712" s="16">
        <f t="shared" si="300"/>
        <v>1.3899244306549544E-2</v>
      </c>
      <c r="CA712" s="16">
        <f t="shared" si="310"/>
        <v>-999</v>
      </c>
      <c r="CE712" s="16" t="e">
        <f t="shared" si="303"/>
        <v>#N/A</v>
      </c>
      <c r="CF712" s="16">
        <f t="shared" si="304"/>
        <v>99</v>
      </c>
      <c r="CG712" s="16">
        <f t="shared" si="305"/>
        <v>0</v>
      </c>
      <c r="CH712" s="16">
        <f t="shared" si="311"/>
        <v>0</v>
      </c>
      <c r="CJ712" s="16" t="e">
        <f t="shared" si="306"/>
        <v>#N/A</v>
      </c>
      <c r="CK712" s="16" t="str">
        <f t="shared" si="307"/>
        <v/>
      </c>
    </row>
    <row r="713" spans="73:89" ht="12" customHeight="1">
      <c r="BU713" s="16">
        <f t="shared" si="308"/>
        <v>0</v>
      </c>
      <c r="BV713" s="16">
        <f>IF($BY$12=1,NORMDIST(BY713,$Y$6,$Y$8,TRUE),IF($BY$12=2,IF(BY713&lt;=$BX$31,0,IF(BY713&gt;=$BX$32,1,(BY713-$BX$31)*$BX$33)),SUM($BU$42:BU713)/$BV$40))</f>
        <v>0.80372442612546191</v>
      </c>
      <c r="BW713" s="16">
        <f t="shared" si="309"/>
        <v>0.92867237847591932</v>
      </c>
      <c r="BX713" s="16">
        <f>IF($BY$12&lt;3,BV713,SUM($BZ$42:BZ713)/$BX$40)</f>
        <v>0.80372442612546191</v>
      </c>
      <c r="BY713" s="16">
        <f t="shared" si="299"/>
        <v>67.100000000000463</v>
      </c>
      <c r="BZ713" s="16">
        <f t="shared" si="300"/>
        <v>1.384012486551286E-2</v>
      </c>
      <c r="CA713" s="16">
        <f t="shared" si="310"/>
        <v>-999</v>
      </c>
      <c r="CE713" s="16" t="e">
        <f t="shared" si="303"/>
        <v>#N/A</v>
      </c>
      <c r="CF713" s="16">
        <f t="shared" si="304"/>
        <v>99</v>
      </c>
      <c r="CG713" s="16">
        <f t="shared" si="305"/>
        <v>0</v>
      </c>
      <c r="CH713" s="16">
        <f t="shared" si="311"/>
        <v>0</v>
      </c>
      <c r="CJ713" s="16" t="e">
        <f t="shared" si="306"/>
        <v>#N/A</v>
      </c>
      <c r="CK713" s="16" t="str">
        <f t="shared" si="307"/>
        <v/>
      </c>
    </row>
    <row r="714" spans="73:89" ht="12" customHeight="1">
      <c r="BU714" s="16">
        <f t="shared" si="308"/>
        <v>0</v>
      </c>
      <c r="BV714" s="16">
        <f>IF($BY$12=1,NORMDIST(BY714,$Y$6,$Y$8,TRUE),IF($BY$12=2,IF(BY714&lt;=$BX$31,0,IF(BY714&gt;=$BX$32,1,(BY714-$BX$31)*$BX$33)),SUM($BU$42:BU714)/$BV$40))</f>
        <v>0.80510547874819793</v>
      </c>
      <c r="BW714" s="16">
        <f t="shared" si="309"/>
        <v>0.92607731043560237</v>
      </c>
      <c r="BX714" s="16">
        <f>IF($BY$12&lt;3,BV714,SUM($BZ$42:BZ714)/$BX$40)</f>
        <v>0.80510547874819793</v>
      </c>
      <c r="BY714" s="16">
        <f t="shared" si="299"/>
        <v>67.200000000000458</v>
      </c>
      <c r="BZ714" s="16">
        <f t="shared" si="300"/>
        <v>1.3780912357672561E-2</v>
      </c>
      <c r="CA714" s="16">
        <f t="shared" si="310"/>
        <v>-999</v>
      </c>
      <c r="CE714" s="16" t="e">
        <f t="shared" si="303"/>
        <v>#N/A</v>
      </c>
      <c r="CF714" s="16">
        <f t="shared" si="304"/>
        <v>99</v>
      </c>
      <c r="CG714" s="16">
        <f t="shared" si="305"/>
        <v>0</v>
      </c>
      <c r="CH714" s="16">
        <f t="shared" si="311"/>
        <v>0</v>
      </c>
      <c r="CJ714" s="16" t="e">
        <f t="shared" si="306"/>
        <v>#N/A</v>
      </c>
      <c r="CK714" s="16" t="str">
        <f t="shared" si="307"/>
        <v/>
      </c>
    </row>
    <row r="715" spans="73:89" ht="12" customHeight="1">
      <c r="BU715" s="16">
        <f t="shared" si="308"/>
        <v>0</v>
      </c>
      <c r="BV715" s="16">
        <f>IF($BY$12=1,NORMDIST(BY715,$Y$6,$Y$8,TRUE),IF($BY$12=2,IF(BY715&lt;=$BX$31,0,IF(BY715&gt;=$BX$32,1,(BY715-$BX$31)*$BX$33)),SUM($BU$42:BU715)/$BV$40))</f>
        <v>0.80648060560652568</v>
      </c>
      <c r="BW715" s="16">
        <f t="shared" si="309"/>
        <v>0.92346436211603289</v>
      </c>
      <c r="BX715" s="16">
        <f>IF($BY$12&lt;3,BV715,SUM($BZ$42:BZ715)/$BX$40)</f>
        <v>0.80648060560652568</v>
      </c>
      <c r="BY715" s="16">
        <f t="shared" si="299"/>
        <v>67.300000000000452</v>
      </c>
      <c r="BZ715" s="16">
        <f t="shared" si="300"/>
        <v>1.3721610135453591E-2</v>
      </c>
      <c r="CA715" s="16">
        <f t="shared" si="310"/>
        <v>-999</v>
      </c>
      <c r="CE715" s="16" t="e">
        <f t="shared" si="303"/>
        <v>#N/A</v>
      </c>
      <c r="CF715" s="16">
        <f t="shared" si="304"/>
        <v>99</v>
      </c>
      <c r="CG715" s="16">
        <f t="shared" si="305"/>
        <v>0</v>
      </c>
      <c r="CH715" s="16">
        <f t="shared" si="311"/>
        <v>0</v>
      </c>
      <c r="CJ715" s="16" t="e">
        <f t="shared" si="306"/>
        <v>#N/A</v>
      </c>
      <c r="CK715" s="16" t="str">
        <f t="shared" si="307"/>
        <v/>
      </c>
    </row>
    <row r="716" spans="73:89" ht="12" customHeight="1">
      <c r="BU716" s="16">
        <f t="shared" si="308"/>
        <v>0</v>
      </c>
      <c r="BV716" s="16">
        <f>IF($BY$12=1,NORMDIST(BY716,$Y$6,$Y$8,TRUE),IF($BY$12=2,IF(BY716&lt;=$BX$31,0,IF(BY716&gt;=$BX$32,1,(BY716-$BX$31)*$BX$33)),SUM($BU$42:BU716)/$BV$40))</f>
        <v>0.80784979789631006</v>
      </c>
      <c r="BW716" s="16">
        <f t="shared" si="309"/>
        <v>0.92083373203935703</v>
      </c>
      <c r="BX716" s="16">
        <f>IF($BY$12&lt;3,BV716,SUM($BZ$42:BZ716)/$BX$40)</f>
        <v>0.80784979789631006</v>
      </c>
      <c r="BY716" s="16">
        <f t="shared" si="299"/>
        <v>67.400000000000446</v>
      </c>
      <c r="BZ716" s="16">
        <f t="shared" si="300"/>
        <v>1.3662221543610548E-2</v>
      </c>
      <c r="CA716" s="16">
        <f t="shared" si="310"/>
        <v>-999</v>
      </c>
      <c r="CE716" s="16" t="e">
        <f t="shared" si="303"/>
        <v>#N/A</v>
      </c>
      <c r="CF716" s="16">
        <f t="shared" si="304"/>
        <v>99</v>
      </c>
      <c r="CG716" s="16">
        <f t="shared" si="305"/>
        <v>0</v>
      </c>
      <c r="CH716" s="16">
        <f t="shared" si="311"/>
        <v>0</v>
      </c>
      <c r="CJ716" s="16" t="e">
        <f t="shared" si="306"/>
        <v>#N/A</v>
      </c>
      <c r="CK716" s="16" t="str">
        <f t="shared" si="307"/>
        <v/>
      </c>
    </row>
    <row r="717" spans="73:89" ht="12" customHeight="1">
      <c r="BU717" s="16">
        <f t="shared" si="308"/>
        <v>0</v>
      </c>
      <c r="BV717" s="16">
        <f>IF($BY$12=1,NORMDIST(BY717,$Y$6,$Y$8,TRUE),IF($BY$12=2,IF(BY717&lt;=$BX$31,0,IF(BY717&gt;=$BX$32,1,(BY717-$BX$31)*$BX$33)),SUM($BU$42:BU717)/$BV$40))</f>
        <v>0.80921304714749531</v>
      </c>
      <c r="BW717" s="16">
        <f t="shared" si="309"/>
        <v>0.91818561952757249</v>
      </c>
      <c r="BX717" s="16">
        <f>IF($BY$12&lt;3,BV717,SUM($BZ$42:BZ717)/$BX$40)</f>
        <v>0.80921304714749531</v>
      </c>
      <c r="BY717" s="16">
        <f t="shared" si="299"/>
        <v>67.500000000000441</v>
      </c>
      <c r="BZ717" s="16">
        <f t="shared" si="300"/>
        <v>1.3602749918926911E-2</v>
      </c>
      <c r="CA717" s="16">
        <f t="shared" si="310"/>
        <v>-999</v>
      </c>
      <c r="CE717" s="16" t="e">
        <f t="shared" si="303"/>
        <v>#N/A</v>
      </c>
      <c r="CF717" s="16">
        <f t="shared" si="304"/>
        <v>99</v>
      </c>
      <c r="CG717" s="16">
        <f t="shared" si="305"/>
        <v>0</v>
      </c>
      <c r="CH717" s="16">
        <f t="shared" si="311"/>
        <v>0</v>
      </c>
      <c r="CJ717" s="16" t="e">
        <f t="shared" si="306"/>
        <v>#N/A</v>
      </c>
      <c r="CK717" s="16" t="str">
        <f t="shared" si="307"/>
        <v/>
      </c>
    </row>
    <row r="718" spans="73:89" ht="12" customHeight="1">
      <c r="BU718" s="16">
        <f t="shared" si="308"/>
        <v>0</v>
      </c>
      <c r="BV718" s="16">
        <f>IF($BY$12=1,NORMDIST(BY718,$Y$6,$Y$8,TRUE),IF($BY$12=2,IF(BY718&lt;=$BX$31,0,IF(BY718&gt;=$BX$32,1,(BY718-$BX$31)*$BX$33)),SUM($BU$42:BU718)/$BV$40))</f>
        <v>0.81057034522329374</v>
      </c>
      <c r="BW718" s="16">
        <f t="shared" si="309"/>
        <v>0.91552022467837091</v>
      </c>
      <c r="BX718" s="16">
        <f>IF($BY$12&lt;3,BV718,SUM($BZ$42:BZ718)/$BX$40)</f>
        <v>0.81057034522329374</v>
      </c>
      <c r="BY718" s="16">
        <f t="shared" si="299"/>
        <v>67.600000000000435</v>
      </c>
      <c r="BZ718" s="16">
        <f t="shared" si="300"/>
        <v>1.3543198589916643E-2</v>
      </c>
      <c r="CA718" s="16">
        <f t="shared" si="310"/>
        <v>-999</v>
      </c>
      <c r="CE718" s="16" t="e">
        <f t="shared" si="303"/>
        <v>#N/A</v>
      </c>
      <c r="CF718" s="16">
        <f t="shared" si="304"/>
        <v>99</v>
      </c>
      <c r="CG718" s="16">
        <f t="shared" si="305"/>
        <v>0</v>
      </c>
      <c r="CH718" s="16">
        <f t="shared" si="311"/>
        <v>0</v>
      </c>
      <c r="CJ718" s="16" t="e">
        <f t="shared" si="306"/>
        <v>#N/A</v>
      </c>
      <c r="CK718" s="16" t="str">
        <f t="shared" si="307"/>
        <v/>
      </c>
    </row>
    <row r="719" spans="73:89" ht="12" customHeight="1">
      <c r="BU719" s="16">
        <f t="shared" si="308"/>
        <v>0</v>
      </c>
      <c r="BV719" s="16">
        <f>IF($BY$12=1,NORMDIST(BY719,$Y$6,$Y$8,TRUE),IF($BY$12=2,IF(BY719&lt;=$BX$31,0,IF(BY719&gt;=$BX$32,1,(BY719-$BX$31)*$BX$33)),SUM($BU$42:BU719)/$BV$40))</f>
        <v>0.81192168431934242</v>
      </c>
      <c r="BW719" s="16">
        <f t="shared" si="309"/>
        <v>0.91283774834095188</v>
      </c>
      <c r="BX719" s="16">
        <f>IF($BY$12&lt;3,BV719,SUM($BZ$42:BZ719)/$BX$40)</f>
        <v>0.81192168431934242</v>
      </c>
      <c r="BY719" s="16">
        <f t="shared" si="299"/>
        <v>67.700000000000429</v>
      </c>
      <c r="BZ719" s="16">
        <f t="shared" si="300"/>
        <v>1.3483570876528007E-2</v>
      </c>
      <c r="CA719" s="16">
        <f t="shared" si="310"/>
        <v>-999</v>
      </c>
      <c r="CE719" s="16" t="e">
        <f t="shared" si="303"/>
        <v>#N/A</v>
      </c>
      <c r="CF719" s="16">
        <f t="shared" si="304"/>
        <v>99</v>
      </c>
      <c r="CG719" s="16">
        <f t="shared" si="305"/>
        <v>0</v>
      </c>
      <c r="CH719" s="16">
        <f t="shared" si="311"/>
        <v>0</v>
      </c>
      <c r="CJ719" s="16" t="e">
        <f t="shared" si="306"/>
        <v>#N/A</v>
      </c>
      <c r="CK719" s="16" t="str">
        <f t="shared" si="307"/>
        <v/>
      </c>
    </row>
    <row r="720" spans="73:89" ht="12" customHeight="1">
      <c r="BU720" s="16">
        <f t="shared" si="308"/>
        <v>0</v>
      </c>
      <c r="BV720" s="16">
        <f>IF($BY$12=1,NORMDIST(BY720,$Y$6,$Y$8,TRUE),IF($BY$12=2,IF(BY720&lt;=$BX$31,0,IF(BY720&gt;=$BX$32,1,(BY720-$BX$31)*$BX$33)),SUM($BU$42:BU720)/$BV$40))</f>
        <v>0.81326705696283308</v>
      </c>
      <c r="BW720" s="16">
        <f t="shared" si="309"/>
        <v>0.91013839209182634</v>
      </c>
      <c r="BX720" s="16">
        <f>IF($BY$12&lt;3,BV720,SUM($BZ$42:BZ720)/$BX$40)</f>
        <v>0.81326705696283308</v>
      </c>
      <c r="BY720" s="16">
        <f t="shared" si="299"/>
        <v>67.800000000000423</v>
      </c>
      <c r="BZ720" s="16">
        <f t="shared" si="300"/>
        <v>1.3423870089849863E-2</v>
      </c>
      <c r="CA720" s="16">
        <f t="shared" si="310"/>
        <v>-999</v>
      </c>
      <c r="CE720" s="16" t="e">
        <f t="shared" si="303"/>
        <v>#N/A</v>
      </c>
      <c r="CF720" s="16">
        <f t="shared" si="304"/>
        <v>99</v>
      </c>
      <c r="CG720" s="16">
        <f t="shared" si="305"/>
        <v>0</v>
      </c>
      <c r="CH720" s="16">
        <f t="shared" si="311"/>
        <v>0</v>
      </c>
      <c r="CJ720" s="16" t="e">
        <f t="shared" si="306"/>
        <v>#N/A</v>
      </c>
      <c r="CK720" s="16" t="str">
        <f t="shared" si="307"/>
        <v/>
      </c>
    </row>
    <row r="721" spans="73:89" ht="12" customHeight="1">
      <c r="BU721" s="16">
        <f t="shared" si="308"/>
        <v>0</v>
      </c>
      <c r="BV721" s="16">
        <f>IF($BY$12=1,NORMDIST(BY721,$Y$6,$Y$8,TRUE),IF($BY$12=2,IF(BY721&lt;=$BX$31,0,IF(BY721&gt;=$BX$32,1,(BY721-$BX$31)*$BX$33)),SUM($BU$42:BU721)/$BV$40))</f>
        <v>0.81460645601161108</v>
      </c>
      <c r="BW721" s="16">
        <f t="shared" si="309"/>
        <v>0.9074223582106008</v>
      </c>
      <c r="BX721" s="16">
        <f>IF($BY$12&lt;3,BV721,SUM($BZ$42:BZ721)/$BX$40)</f>
        <v>0.81460645601161108</v>
      </c>
      <c r="BY721" s="16">
        <f t="shared" si="299"/>
        <v>67.900000000000418</v>
      </c>
      <c r="BZ721" s="16">
        <f t="shared" si="300"/>
        <v>1.3364099531820254E-2</v>
      </c>
      <c r="CA721" s="16">
        <f t="shared" si="310"/>
        <v>-999</v>
      </c>
      <c r="CE721" s="16" t="e">
        <f t="shared" si="303"/>
        <v>#N/A</v>
      </c>
      <c r="CF721" s="16">
        <f t="shared" si="304"/>
        <v>99</v>
      </c>
      <c r="CG721" s="16">
        <f t="shared" si="305"/>
        <v>0</v>
      </c>
      <c r="CH721" s="16">
        <f t="shared" si="311"/>
        <v>0</v>
      </c>
      <c r="CJ721" s="16" t="e">
        <f t="shared" si="306"/>
        <v>#N/A</v>
      </c>
      <c r="CK721" s="16" t="str">
        <f t="shared" si="307"/>
        <v/>
      </c>
    </row>
    <row r="722" spans="73:89" ht="12" customHeight="1">
      <c r="BU722" s="16">
        <f t="shared" si="308"/>
        <v>0</v>
      </c>
      <c r="BV722" s="16">
        <f>IF($BY$12=1,NORMDIST(BY722,$Y$6,$Y$8,TRUE),IF($BY$12=2,IF(BY722&lt;=$BX$31,0,IF(BY722&gt;=$BX$32,1,(BY722-$BX$31)*$BX$33)),SUM($BU$42:BU722)/$BV$40))</f>
        <v>0.81593987465324591</v>
      </c>
      <c r="BW722" s="16">
        <f t="shared" si="309"/>
        <v>0.90468984965575494</v>
      </c>
      <c r="BX722" s="16">
        <f>IF($BY$12&lt;3,BV722,SUM($BZ$42:BZ722)/$BX$40)</f>
        <v>0.81593987465324591</v>
      </c>
      <c r="BY722" s="16">
        <f t="shared" si="299"/>
        <v>68.000000000000412</v>
      </c>
      <c r="BZ722" s="16">
        <f t="shared" si="300"/>
        <v>1.3304262494937493E-2</v>
      </c>
      <c r="CA722" s="16">
        <f t="shared" si="310"/>
        <v>-999</v>
      </c>
      <c r="CE722" s="16" t="e">
        <f t="shared" si="303"/>
        <v>#N/A</v>
      </c>
      <c r="CF722" s="16">
        <f t="shared" si="304"/>
        <v>99</v>
      </c>
      <c r="CG722" s="16">
        <f t="shared" si="305"/>
        <v>0</v>
      </c>
      <c r="CH722" s="16">
        <f t="shared" si="311"/>
        <v>0</v>
      </c>
      <c r="CJ722" s="16" t="e">
        <f t="shared" si="306"/>
        <v>#N/A</v>
      </c>
      <c r="CK722" s="16" t="str">
        <f t="shared" si="307"/>
        <v/>
      </c>
    </row>
    <row r="723" spans="73:89" ht="12" customHeight="1">
      <c r="BU723" s="16">
        <f t="shared" si="308"/>
        <v>0</v>
      </c>
      <c r="BV723" s="16">
        <f>IF($BY$12=1,NORMDIST(BY723,$Y$6,$Y$8,TRUE),IF($BY$12=2,IF(BY723&lt;=$BX$31,0,IF(BY723&gt;=$BX$32,1,(BY723-$BX$31)*$BX$33)),SUM($BU$42:BU723)/$BV$40))</f>
        <v>0.81726730640407341</v>
      </c>
      <c r="BW723" s="16">
        <f t="shared" si="309"/>
        <v>0.90194107004041213</v>
      </c>
      <c r="BX723" s="16">
        <f>IF($BY$12&lt;3,BV723,SUM($BZ$42:BZ723)/$BX$40)</f>
        <v>0.81726730640407341</v>
      </c>
      <c r="BY723" s="16">
        <f t="shared" si="299"/>
        <v>68.100000000000406</v>
      </c>
      <c r="BZ723" s="16">
        <f t="shared" si="300"/>
        <v>1.3244362261973668E-2</v>
      </c>
      <c r="CA723" s="16">
        <f t="shared" si="310"/>
        <v>-999</v>
      </c>
      <c r="CE723" s="16" t="e">
        <f t="shared" si="303"/>
        <v>#N/A</v>
      </c>
      <c r="CF723" s="16">
        <f t="shared" si="304"/>
        <v>99</v>
      </c>
      <c r="CG723" s="16">
        <f t="shared" si="305"/>
        <v>0</v>
      </c>
      <c r="CH723" s="16">
        <f t="shared" si="311"/>
        <v>0</v>
      </c>
      <c r="CJ723" s="16" t="e">
        <f t="shared" si="306"/>
        <v>#N/A</v>
      </c>
      <c r="CK723" s="16" t="str">
        <f t="shared" si="307"/>
        <v/>
      </c>
    </row>
    <row r="724" spans="73:89" ht="12" customHeight="1">
      <c r="BU724" s="16">
        <f t="shared" si="308"/>
        <v>0</v>
      </c>
      <c r="BV724" s="16">
        <f>IF($BY$12=1,NORMDIST(BY724,$Y$6,$Y$8,TRUE),IF($BY$12=2,IF(BY724&lt;=$BX$31,0,IF(BY724&gt;=$BX$32,1,(BY724-$BX$31)*$BX$33)),SUM($BU$42:BU724)/$BV$40))</f>
        <v>0.81858874510820789</v>
      </c>
      <c r="BW724" s="16">
        <f t="shared" si="309"/>
        <v>0.89917622360810867</v>
      </c>
      <c r="BX724" s="16">
        <f>IF($BY$12&lt;3,BV724,SUM($BZ$42:BZ724)/$BX$40)</f>
        <v>0.81858874510820789</v>
      </c>
      <c r="BY724" s="16">
        <f t="shared" si="299"/>
        <v>68.200000000000401</v>
      </c>
      <c r="BZ724" s="16">
        <f t="shared" si="300"/>
        <v>1.3184402105690666E-2</v>
      </c>
      <c r="CA724" s="16">
        <f t="shared" si="310"/>
        <v>-999</v>
      </c>
      <c r="CE724" s="16" t="e">
        <f t="shared" si="303"/>
        <v>#N/A</v>
      </c>
      <c r="CF724" s="16">
        <f t="shared" si="304"/>
        <v>99</v>
      </c>
      <c r="CG724" s="16">
        <f t="shared" si="305"/>
        <v>0</v>
      </c>
      <c r="CH724" s="16">
        <f t="shared" si="311"/>
        <v>0</v>
      </c>
      <c r="CJ724" s="16" t="e">
        <f t="shared" si="306"/>
        <v>#N/A</v>
      </c>
      <c r="CK724" s="16" t="str">
        <f t="shared" si="307"/>
        <v/>
      </c>
    </row>
    <row r="725" spans="73:89" ht="12" customHeight="1">
      <c r="BU725" s="16">
        <f t="shared" si="308"/>
        <v>0</v>
      </c>
      <c r="BV725" s="16">
        <f>IF($BY$12=1,NORMDIST(BY725,$Y$6,$Y$8,TRUE),IF($BY$12=2,IF(BY725&lt;=$BX$31,0,IF(BY725&gt;=$BX$32,1,(BY725-$BX$31)*$BX$33)),SUM($BU$42:BU725)/$BV$40))</f>
        <v>0.81990418493652828</v>
      </c>
      <c r="BW725" s="16">
        <f t="shared" si="309"/>
        <v>0.89639551520856464</v>
      </c>
      <c r="BX725" s="16">
        <f>IF($BY$12&lt;3,BV725,SUM($BZ$42:BZ725)/$BX$40)</f>
        <v>0.81990418493652828</v>
      </c>
      <c r="BY725" s="16">
        <f t="shared" si="299"/>
        <v>68.300000000000395</v>
      </c>
      <c r="BZ725" s="16">
        <f t="shared" si="300"/>
        <v>1.3124385288558704E-2</v>
      </c>
      <c r="CA725" s="16">
        <f t="shared" si="310"/>
        <v>-999</v>
      </c>
      <c r="CE725" s="16" t="e">
        <f t="shared" si="303"/>
        <v>#N/A</v>
      </c>
      <c r="CF725" s="16">
        <f t="shared" si="304"/>
        <v>99</v>
      </c>
      <c r="CG725" s="16">
        <f t="shared" si="305"/>
        <v>0</v>
      </c>
      <c r="CH725" s="16">
        <f t="shared" si="311"/>
        <v>0</v>
      </c>
      <c r="CJ725" s="16" t="e">
        <f t="shared" si="306"/>
        <v>#N/A</v>
      </c>
      <c r="CK725" s="16" t="str">
        <f t="shared" si="307"/>
        <v/>
      </c>
    </row>
    <row r="726" spans="73:89" ht="12" customHeight="1">
      <c r="BU726" s="16">
        <f t="shared" si="308"/>
        <v>0</v>
      </c>
      <c r="BV726" s="16">
        <f>IF($BY$12=1,NORMDIST(BY726,$Y$6,$Y$8,TRUE),IF($BY$12=2,IF(BY726&lt;=$BX$31,0,IF(BY726&gt;=$BX$32,1,(BY726-$BX$31)*$BX$33)),SUM($BU$42:BU726)/$BV$40))</f>
        <v>0.82121362038563328</v>
      </c>
      <c r="BW726" s="16">
        <f t="shared" si="309"/>
        <v>0.89359915027346071</v>
      </c>
      <c r="BX726" s="16">
        <f>IF($BY$12&lt;3,BV726,SUM($BZ$42:BZ726)/$BX$40)</f>
        <v>0.82121362038563328</v>
      </c>
      <c r="BY726" s="16">
        <f t="shared" ref="BY726:BY789" si="312">BY725+$BZ$1</f>
        <v>68.400000000000389</v>
      </c>
      <c r="BZ726" s="16">
        <f t="shared" si="300"/>
        <v>1.3064315062477421E-2</v>
      </c>
      <c r="CA726" s="16">
        <f t="shared" si="310"/>
        <v>-999</v>
      </c>
      <c r="CE726" s="16" t="e">
        <f t="shared" si="303"/>
        <v>#N/A</v>
      </c>
      <c r="CF726" s="16">
        <f t="shared" si="304"/>
        <v>99</v>
      </c>
      <c r="CG726" s="16">
        <f t="shared" si="305"/>
        <v>0</v>
      </c>
      <c r="CH726" s="16">
        <f t="shared" si="311"/>
        <v>0</v>
      </c>
      <c r="CJ726" s="16" t="e">
        <f t="shared" si="306"/>
        <v>#N/A</v>
      </c>
      <c r="CK726" s="16" t="str">
        <f t="shared" si="307"/>
        <v/>
      </c>
    </row>
    <row r="727" spans="73:89" ht="12" customHeight="1">
      <c r="BU727" s="16">
        <f t="shared" si="308"/>
        <v>0</v>
      </c>
      <c r="BV727" s="16">
        <f>IF($BY$12=1,NORMDIST(BY727,$Y$6,$Y$8,TRUE),IF($BY$12=2,IF(BY727&lt;=$BX$31,0,IF(BY727&gt;=$BX$32,1,(BY727-$BX$31)*$BX$33)),SUM($BU$42:BU727)/$BV$40))</f>
        <v>0.82251704627677258</v>
      </c>
      <c r="BW727" s="16">
        <f t="shared" si="309"/>
        <v>0.89078733479222427</v>
      </c>
      <c r="BX727" s="16">
        <f>IF($BY$12&lt;3,BV727,SUM($BZ$42:BZ727)/$BX$40)</f>
        <v>0.82251704627677258</v>
      </c>
      <c r="BY727" s="16">
        <f t="shared" si="312"/>
        <v>68.500000000000384</v>
      </c>
      <c r="BZ727" s="16">
        <f t="shared" si="300"/>
        <v>1.3004194668499551E-2</v>
      </c>
      <c r="CA727" s="16">
        <f t="shared" si="310"/>
        <v>-999</v>
      </c>
      <c r="CE727" s="16" t="e">
        <f t="shared" si="303"/>
        <v>#N/A</v>
      </c>
      <c r="CF727" s="16">
        <f t="shared" si="304"/>
        <v>99</v>
      </c>
      <c r="CG727" s="16">
        <f t="shared" si="305"/>
        <v>0</v>
      </c>
      <c r="CH727" s="16">
        <f t="shared" si="311"/>
        <v>0</v>
      </c>
      <c r="CJ727" s="16" t="e">
        <f t="shared" si="306"/>
        <v>#N/A</v>
      </c>
      <c r="CK727" s="16" t="str">
        <f t="shared" si="307"/>
        <v/>
      </c>
    </row>
    <row r="728" spans="73:89" ht="12" customHeight="1">
      <c r="BU728" s="16">
        <f t="shared" si="308"/>
        <v>0</v>
      </c>
      <c r="BV728" s="16">
        <f>IF($BY$12=1,NORMDIST(BY728,$Y$6,$Y$8,TRUE),IF($BY$12=2,IF(BY728&lt;=$BX$31,0,IF(BY728&gt;=$BX$32,1,(BY728-$BX$31)*$BX$33)),SUM($BU$42:BU728)/$BV$40))</f>
        <v>0.82381445775474704</v>
      </c>
      <c r="BW728" s="16">
        <f t="shared" si="309"/>
        <v>0.88796027528782973</v>
      </c>
      <c r="BX728" s="16">
        <f>IF($BY$12&lt;3,BV728,SUM($BZ$42:BZ728)/$BX$40)</f>
        <v>0.82381445775474704</v>
      </c>
      <c r="BY728" s="16">
        <f t="shared" si="312"/>
        <v>68.600000000000378</v>
      </c>
      <c r="BZ728" s="16">
        <f t="shared" si="300"/>
        <v>1.2944027336557213E-2</v>
      </c>
      <c r="CA728" s="16">
        <f t="shared" si="310"/>
        <v>-999</v>
      </c>
      <c r="CE728" s="16" t="e">
        <f t="shared" si="303"/>
        <v>#N/A</v>
      </c>
      <c r="CF728" s="16">
        <f t="shared" si="304"/>
        <v>99</v>
      </c>
      <c r="CG728" s="16">
        <f t="shared" si="305"/>
        <v>0</v>
      </c>
      <c r="CH728" s="16">
        <f t="shared" si="311"/>
        <v>0</v>
      </c>
      <c r="CJ728" s="16" t="e">
        <f t="shared" si="306"/>
        <v>#N/A</v>
      </c>
      <c r="CK728" s="16" t="str">
        <f t="shared" si="307"/>
        <v/>
      </c>
    </row>
    <row r="729" spans="73:89" ht="12" customHeight="1">
      <c r="BU729" s="16">
        <f t="shared" si="308"/>
        <v>0</v>
      </c>
      <c r="BV729" s="16">
        <f>IF($BY$12=1,NORMDIST(BY729,$Y$6,$Y$8,TRUE),IF($BY$12=2,IF(BY729&lt;=$BX$31,0,IF(BY729&gt;=$BX$32,1,(BY729-$BX$31)*$BX$33)),SUM($BU$42:BU729)/$BV$40))</f>
        <v>0.82510585028678274</v>
      </c>
      <c r="BW729" s="16">
        <f t="shared" si="309"/>
        <v>0.88511817879261567</v>
      </c>
      <c r="BX729" s="16">
        <f>IF($BY$12&lt;3,BV729,SUM($BZ$42:BZ729)/$BX$40)</f>
        <v>0.82510585028678274</v>
      </c>
      <c r="BY729" s="16">
        <f t="shared" si="312"/>
        <v>68.700000000000372</v>
      </c>
      <c r="BZ729" s="16">
        <f t="shared" si="300"/>
        <v>1.2883816285190842E-2</v>
      </c>
      <c r="CA729" s="16">
        <f t="shared" si="310"/>
        <v>-999</v>
      </c>
      <c r="CE729" s="16" t="e">
        <f t="shared" si="303"/>
        <v>#N/A</v>
      </c>
      <c r="CF729" s="16">
        <f t="shared" si="304"/>
        <v>99</v>
      </c>
      <c r="CG729" s="16">
        <f t="shared" si="305"/>
        <v>0</v>
      </c>
      <c r="CH729" s="16">
        <f t="shared" si="311"/>
        <v>0</v>
      </c>
      <c r="CJ729" s="16" t="e">
        <f t="shared" si="306"/>
        <v>#N/A</v>
      </c>
      <c r="CK729" s="16" t="str">
        <f t="shared" si="307"/>
        <v/>
      </c>
    </row>
    <row r="730" spans="73:89" ht="12" customHeight="1">
      <c r="BU730" s="16">
        <f t="shared" si="308"/>
        <v>0</v>
      </c>
      <c r="BV730" s="16">
        <f>IF($BY$12=1,NORMDIST(BY730,$Y$6,$Y$8,TRUE),IF($BY$12=2,IF(BY730&lt;=$BX$31,0,IF(BY730&gt;=$BX$32,1,(BY730-$BX$31)*$BX$33)),SUM($BU$42:BU730)/$BV$40))</f>
        <v>0.82639121966138007</v>
      </c>
      <c r="BW730" s="16">
        <f t="shared" si="309"/>
        <v>0.88226125282412338</v>
      </c>
      <c r="BX730" s="16">
        <f>IF($BY$12&lt;3,BV730,SUM($BZ$42:BZ730)/$BX$40)</f>
        <v>0.82639121966138007</v>
      </c>
      <c r="BY730" s="16">
        <f t="shared" si="312"/>
        <v>68.800000000000367</v>
      </c>
      <c r="BZ730" s="16">
        <f t="shared" si="300"/>
        <v>1.2823564721280795E-2</v>
      </c>
      <c r="CA730" s="16">
        <f t="shared" si="310"/>
        <v>-999</v>
      </c>
      <c r="CE730" s="16" t="e">
        <f t="shared" si="303"/>
        <v>#N/A</v>
      </c>
      <c r="CF730" s="16">
        <f t="shared" si="304"/>
        <v>99</v>
      </c>
      <c r="CG730" s="16">
        <f t="shared" si="305"/>
        <v>0</v>
      </c>
      <c r="CH730" s="16">
        <f t="shared" si="311"/>
        <v>0</v>
      </c>
      <c r="CJ730" s="16" t="e">
        <f t="shared" si="306"/>
        <v>#N/A</v>
      </c>
      <c r="CK730" s="16" t="str">
        <f t="shared" si="307"/>
        <v/>
      </c>
    </row>
    <row r="731" spans="73:89" ht="12" customHeight="1">
      <c r="BU731" s="16">
        <f t="shared" si="308"/>
        <v>0</v>
      </c>
      <c r="BV731" s="16">
        <f>IF($BY$12=1,NORMDIST(BY731,$Y$6,$Y$8,TRUE),IF($BY$12=2,IF(BY731&lt;=$BX$31,0,IF(BY731&gt;=$BX$32,1,(BY731-$BX$31)*$BX$33)),SUM($BU$42:BU731)/$BV$40))</f>
        <v>0.82767056198713274</v>
      </c>
      <c r="BW731" s="16">
        <f t="shared" si="309"/>
        <v>0.87938970536096017</v>
      </c>
      <c r="BX731" s="16">
        <f>IF($BY$12&lt;3,BV731,SUM($BZ$42:BZ731)/$BX$40)</f>
        <v>0.82767056198713274</v>
      </c>
      <c r="BY731" s="16">
        <f t="shared" si="312"/>
        <v>68.900000000000361</v>
      </c>
      <c r="BZ731" s="16">
        <f t="shared" si="300"/>
        <v>1.2763275839781648E-2</v>
      </c>
      <c r="CA731" s="16">
        <f t="shared" si="310"/>
        <v>-999</v>
      </c>
      <c r="CE731" s="16" t="e">
        <f t="shared" si="303"/>
        <v>#N/A</v>
      </c>
      <c r="CF731" s="16">
        <f t="shared" si="304"/>
        <v>99</v>
      </c>
      <c r="CG731" s="16">
        <f t="shared" si="305"/>
        <v>0</v>
      </c>
      <c r="CH731" s="16">
        <f t="shared" si="311"/>
        <v>0</v>
      </c>
      <c r="CJ731" s="16" t="e">
        <f t="shared" si="306"/>
        <v>#N/A</v>
      </c>
      <c r="CK731" s="16" t="str">
        <f t="shared" si="307"/>
        <v/>
      </c>
    </row>
    <row r="732" spans="73:89" ht="12" customHeight="1">
      <c r="BU732" s="16">
        <f t="shared" si="308"/>
        <v>0</v>
      </c>
      <c r="BV732" s="16">
        <f>IF($BY$12=1,NORMDIST(BY732,$Y$6,$Y$8,TRUE),IF($BY$12=2,IF(BY732&lt;=$BX$31,0,IF(BY732&gt;=$BX$32,1,(BY732-$BX$31)*$BX$33)),SUM($BU$42:BU732)/$BV$40))</f>
        <v>0.82894387369152267</v>
      </c>
      <c r="BW732" s="16">
        <f t="shared" si="309"/>
        <v>0.87650374481869175</v>
      </c>
      <c r="BX732" s="16">
        <f>IF($BY$12&lt;3,BV732,SUM($BZ$42:BZ732)/$BX$40)</f>
        <v>0.82894387369152267</v>
      </c>
      <c r="BY732" s="16">
        <f t="shared" si="312"/>
        <v>69.000000000000355</v>
      </c>
      <c r="BZ732" s="16">
        <f t="shared" si="300"/>
        <v>1.2702952823459235E-2</v>
      </c>
      <c r="CA732" s="16">
        <f t="shared" si="310"/>
        <v>-999</v>
      </c>
      <c r="CE732" s="16" t="e">
        <f t="shared" si="303"/>
        <v>#N/A</v>
      </c>
      <c r="CF732" s="16">
        <f t="shared" si="304"/>
        <v>99</v>
      </c>
      <c r="CG732" s="16">
        <f t="shared" si="305"/>
        <v>0</v>
      </c>
      <c r="CH732" s="16">
        <f t="shared" si="311"/>
        <v>0</v>
      </c>
      <c r="CJ732" s="16" t="e">
        <f t="shared" si="306"/>
        <v>#N/A</v>
      </c>
      <c r="CK732" s="16" t="str">
        <f t="shared" si="307"/>
        <v/>
      </c>
    </row>
    <row r="733" spans="73:89" ht="12" customHeight="1">
      <c r="BU733" s="16">
        <f t="shared" si="308"/>
        <v>0</v>
      </c>
      <c r="BV733" s="16">
        <f>IF($BY$12=1,NORMDIST(BY733,$Y$6,$Y$8,TRUE),IF($BY$12=2,IF(BY733&lt;=$BX$31,0,IF(BY733&gt;=$BX$32,1,(BY733-$BX$31)*$BX$33)),SUM($BU$42:BU733)/$BV$40))</f>
        <v>0.83021115151968827</v>
      </c>
      <c r="BW733" s="16">
        <f t="shared" si="309"/>
        <v>0.8736035800257661</v>
      </c>
      <c r="BX733" s="16">
        <f>IF($BY$12&lt;3,BV733,SUM($BZ$42:BZ733)/$BX$40)</f>
        <v>0.83021115151968827</v>
      </c>
      <c r="BY733" s="16">
        <f t="shared" si="312"/>
        <v>69.10000000000035</v>
      </c>
      <c r="BZ733" s="16">
        <f t="shared" si="300"/>
        <v>1.2642598842630415E-2</v>
      </c>
      <c r="CA733" s="16">
        <f t="shared" si="310"/>
        <v>-999</v>
      </c>
      <c r="CE733" s="16" t="e">
        <f t="shared" si="303"/>
        <v>#N/A</v>
      </c>
      <c r="CF733" s="16">
        <f t="shared" si="304"/>
        <v>99</v>
      </c>
      <c r="CG733" s="16">
        <f t="shared" si="305"/>
        <v>0</v>
      </c>
      <c r="CH733" s="16">
        <f t="shared" si="311"/>
        <v>0</v>
      </c>
      <c r="CJ733" s="16" t="e">
        <f t="shared" si="306"/>
        <v>#N/A</v>
      </c>
      <c r="CK733" s="16" t="str">
        <f t="shared" si="307"/>
        <v/>
      </c>
    </row>
    <row r="734" spans="73:89" ht="12" customHeight="1">
      <c r="BU734" s="16">
        <f t="shared" si="308"/>
        <v>0</v>
      </c>
      <c r="BV734" s="16">
        <f>IF($BY$12=1,NORMDIST(BY734,$Y$6,$Y$8,TRUE),IF($BY$12=2,IF(BY734&lt;=$BX$31,0,IF(BY734&gt;=$BX$32,1,(BY734-$BX$31)*$BX$33)),SUM($BU$42:BU734)/$BV$40))</f>
        <v>0.83147239253316652</v>
      </c>
      <c r="BW734" s="16">
        <f t="shared" si="309"/>
        <v>0.87068942019947504</v>
      </c>
      <c r="BX734" s="16">
        <f>IF($BY$12&lt;3,BV734,SUM($BZ$42:BZ734)/$BX$40)</f>
        <v>0.83147239253316652</v>
      </c>
      <c r="BY734" s="16">
        <f t="shared" si="312"/>
        <v>69.200000000000344</v>
      </c>
      <c r="BZ734" s="16">
        <f t="shared" si="300"/>
        <v>1.2582217054905646E-2</v>
      </c>
      <c r="CA734" s="16">
        <f t="shared" si="310"/>
        <v>-999</v>
      </c>
      <c r="CE734" s="16" t="e">
        <f t="shared" si="303"/>
        <v>#N/A</v>
      </c>
      <c r="CF734" s="16">
        <f t="shared" si="304"/>
        <v>99</v>
      </c>
      <c r="CG734" s="16">
        <f t="shared" si="305"/>
        <v>0</v>
      </c>
      <c r="CH734" s="16">
        <f t="shared" si="311"/>
        <v>0</v>
      </c>
      <c r="CJ734" s="16" t="e">
        <f t="shared" si="306"/>
        <v>#N/A</v>
      </c>
      <c r="CK734" s="16" t="str">
        <f t="shared" si="307"/>
        <v/>
      </c>
    </row>
    <row r="735" spans="73:89" ht="12" customHeight="1">
      <c r="BU735" s="16">
        <f t="shared" si="308"/>
        <v>0</v>
      </c>
      <c r="BV735" s="16">
        <f>IF($BY$12=1,NORMDIST(BY735,$Y$6,$Y$8,TRUE),IF($BY$12=2,IF(BY735&lt;=$BX$31,0,IF(BY735&gt;=$BX$32,1,(BY735-$BX$31)*$BX$33)),SUM($BU$42:BU735)/$BV$40))</f>
        <v>0.83272759410860908</v>
      </c>
      <c r="BW735" s="16">
        <f t="shared" si="309"/>
        <v>0.86776147492195477</v>
      </c>
      <c r="BX735" s="16">
        <f>IF($BY$12&lt;3,BV735,SUM($BZ$42:BZ735)/$BX$40)</f>
        <v>0.83272759410860908</v>
      </c>
      <c r="BY735" s="16">
        <f t="shared" si="312"/>
        <v>69.300000000000338</v>
      </c>
      <c r="BZ735" s="16">
        <f t="shared" si="300"/>
        <v>1.252181060493435E-2</v>
      </c>
      <c r="CA735" s="16">
        <f t="shared" si="310"/>
        <v>-999</v>
      </c>
      <c r="CE735" s="16" t="e">
        <f t="shared" si="303"/>
        <v>#N/A</v>
      </c>
      <c r="CF735" s="16">
        <f t="shared" si="304"/>
        <v>99</v>
      </c>
      <c r="CG735" s="16">
        <f t="shared" si="305"/>
        <v>0</v>
      </c>
      <c r="CH735" s="16">
        <f t="shared" si="311"/>
        <v>0</v>
      </c>
      <c r="CJ735" s="16" t="e">
        <f t="shared" si="306"/>
        <v>#N/A</v>
      </c>
      <c r="CK735" s="16" t="str">
        <f t="shared" si="307"/>
        <v/>
      </c>
    </row>
    <row r="736" spans="73:89" ht="12" customHeight="1">
      <c r="BU736" s="16">
        <f t="shared" si="308"/>
        <v>0</v>
      </c>
      <c r="BV736" s="16">
        <f>IF($BY$12=1,NORMDIST(BY736,$Y$6,$Y$8,TRUE),IF($BY$12=2,IF(BY736&lt;=$BX$31,0,IF(BY736&gt;=$BX$32,1,(BY736-$BX$31)*$BX$33)),SUM($BU$42:BU736)/$BV$40))</f>
        <v>0.83397675393647464</v>
      </c>
      <c r="BW736" s="16">
        <f t="shared" si="309"/>
        <v>0.86481995411622881</v>
      </c>
      <c r="BX736" s="16">
        <f>IF($BY$12&lt;3,BV736,SUM($BZ$42:BZ736)/$BX$40)</f>
        <v>0.83397675393647464</v>
      </c>
      <c r="BY736" s="16">
        <f t="shared" si="312"/>
        <v>69.400000000000333</v>
      </c>
      <c r="BZ736" s="16">
        <f t="shared" si="300"/>
        <v>1.2461382624153094E-2</v>
      </c>
      <c r="CA736" s="16">
        <f t="shared" si="310"/>
        <v>-999</v>
      </c>
      <c r="CE736" s="16" t="e">
        <f t="shared" si="303"/>
        <v>#N/A</v>
      </c>
      <c r="CF736" s="16">
        <f t="shared" si="304"/>
        <v>99</v>
      </c>
      <c r="CG736" s="16">
        <f t="shared" si="305"/>
        <v>0</v>
      </c>
      <c r="CH736" s="16">
        <f t="shared" si="311"/>
        <v>0</v>
      </c>
      <c r="CJ736" s="16" t="e">
        <f t="shared" si="306"/>
        <v>#N/A</v>
      </c>
      <c r="CK736" s="16" t="str">
        <f t="shared" si="307"/>
        <v/>
      </c>
    </row>
    <row r="737" spans="73:89" ht="12" customHeight="1">
      <c r="BU737" s="16">
        <f t="shared" si="308"/>
        <v>0</v>
      </c>
      <c r="BV737" s="16">
        <f>IF($BY$12=1,NORMDIST(BY737,$Y$6,$Y$8,TRUE),IF($BY$12=2,IF(BY737&lt;=$BX$31,0,IF(BY737&gt;=$BX$32,1,(BY737-$BX$31)*$BX$33)),SUM($BU$42:BU737)/$BV$40))</f>
        <v>0.83521987001969356</v>
      </c>
      <c r="BW737" s="16">
        <f t="shared" si="309"/>
        <v>0.86186506802230167</v>
      </c>
      <c r="BX737" s="16">
        <f>IF($BY$12&lt;3,BV737,SUM($BZ$42:BZ737)/$BX$40)</f>
        <v>0.83521987001969356</v>
      </c>
      <c r="BY737" s="16">
        <f t="shared" si="312"/>
        <v>69.500000000000327</v>
      </c>
      <c r="BZ737" s="16">
        <f t="shared" si="300"/>
        <v>1.2400936230536657E-2</v>
      </c>
      <c r="CA737" s="16">
        <f t="shared" si="310"/>
        <v>-999</v>
      </c>
      <c r="CE737" s="16" t="e">
        <f t="shared" si="303"/>
        <v>#N/A</v>
      </c>
      <c r="CF737" s="16">
        <f t="shared" si="304"/>
        <v>99</v>
      </c>
      <c r="CG737" s="16">
        <f t="shared" si="305"/>
        <v>0</v>
      </c>
      <c r="CH737" s="16">
        <f t="shared" si="311"/>
        <v>0</v>
      </c>
      <c r="CJ737" s="16" t="e">
        <f t="shared" si="306"/>
        <v>#N/A</v>
      </c>
      <c r="CK737" s="16" t="str">
        <f t="shared" si="307"/>
        <v/>
      </c>
    </row>
    <row r="738" spans="73:89" ht="12" customHeight="1">
      <c r="BU738" s="16">
        <f t="shared" si="308"/>
        <v>0</v>
      </c>
      <c r="BV738" s="16">
        <f>IF($BY$12=1,NORMDIST(BY738,$Y$6,$Y$8,TRUE),IF($BY$12=2,IF(BY738&lt;=$BX$31,0,IF(BY738&gt;=$BX$32,1,(BY738-$BX$31)*$BX$33)),SUM($BU$42:BU738)/$BV$40))</f>
        <v>0.83645694067231147</v>
      </c>
      <c r="BW738" s="16">
        <f t="shared" si="309"/>
        <v>0.85889702717329908</v>
      </c>
      <c r="BX738" s="16">
        <f>IF($BY$12&lt;3,BV738,SUM($BZ$42:BZ738)/$BX$40)</f>
        <v>0.83645694067231147</v>
      </c>
      <c r="BY738" s="16">
        <f t="shared" si="312"/>
        <v>69.600000000000321</v>
      </c>
      <c r="BZ738" s="16">
        <f t="shared" si="300"/>
        <v>1.2340474528351941E-2</v>
      </c>
      <c r="CA738" s="16">
        <f t="shared" si="310"/>
        <v>-999</v>
      </c>
      <c r="CE738" s="16" t="e">
        <f t="shared" si="303"/>
        <v>#N/A</v>
      </c>
      <c r="CF738" s="16">
        <f t="shared" si="304"/>
        <v>99</v>
      </c>
      <c r="CG738" s="16">
        <f t="shared" si="305"/>
        <v>0</v>
      </c>
      <c r="CH738" s="16">
        <f t="shared" si="311"/>
        <v>0</v>
      </c>
      <c r="CJ738" s="16" t="e">
        <f t="shared" si="306"/>
        <v>#N/A</v>
      </c>
      <c r="CK738" s="16" t="str">
        <f t="shared" si="307"/>
        <v/>
      </c>
    </row>
    <row r="739" spans="73:89" ht="12" customHeight="1">
      <c r="BU739" s="16">
        <f t="shared" si="308"/>
        <v>0</v>
      </c>
      <c r="BV739" s="16">
        <f>IF($BY$12=1,NORMDIST(BY739,$Y$6,$Y$8,TRUE),IF($BY$12=2,IF(BY739&lt;=$BX$31,0,IF(BY739&gt;=$BX$32,1,(BY739-$BX$31)*$BX$33)),SUM($BU$42:BU739)/$BV$40))</f>
        <v>0.83768796451810457</v>
      </c>
      <c r="BW739" s="16">
        <f t="shared" si="309"/>
        <v>0.85591604237166552</v>
      </c>
      <c r="BX739" s="16">
        <f>IF($BY$12&lt;3,BV739,SUM($BZ$42:BZ739)/$BX$40)</f>
        <v>0.83768796451810457</v>
      </c>
      <c r="BY739" s="16">
        <f t="shared" si="312"/>
        <v>69.700000000000315</v>
      </c>
      <c r="BZ739" s="16">
        <f t="shared" si="300"/>
        <v>1.2280000607914801E-2</v>
      </c>
      <c r="CA739" s="16">
        <f t="shared" si="310"/>
        <v>-999</v>
      </c>
      <c r="CE739" s="16" t="e">
        <f t="shared" si="303"/>
        <v>#N/A</v>
      </c>
      <c r="CF739" s="16">
        <f t="shared" si="304"/>
        <v>99</v>
      </c>
      <c r="CG739" s="16">
        <f t="shared" si="305"/>
        <v>0</v>
      </c>
      <c r="CH739" s="16">
        <f t="shared" si="311"/>
        <v>0</v>
      </c>
      <c r="CJ739" s="16" t="e">
        <f t="shared" si="306"/>
        <v>#N/A</v>
      </c>
      <c r="CK739" s="16" t="str">
        <f t="shared" si="307"/>
        <v/>
      </c>
    </row>
    <row r="740" spans="73:89" ht="12" customHeight="1">
      <c r="BU740" s="16">
        <f t="shared" si="308"/>
        <v>0</v>
      </c>
      <c r="BV740" s="16">
        <f>IF($BY$12=1,NORMDIST(BY740,$Y$6,$Y$8,TRUE),IF($BY$12=2,IF(BY740&lt;=$BX$31,0,IF(BY740&gt;=$BX$32,1,(BY740-$BX$31)*$BX$33)),SUM($BU$42:BU740)/$BV$40))</f>
        <v>0.83891294048917286</v>
      </c>
      <c r="BW740" s="16">
        <f t="shared" si="309"/>
        <v>0.85292232466541917</v>
      </c>
      <c r="BX740" s="16">
        <f>IF($BY$12&lt;3,BV740,SUM($BZ$42:BZ740)/$BX$40)</f>
        <v>0.83891294048917286</v>
      </c>
      <c r="BY740" s="16">
        <f t="shared" si="312"/>
        <v>69.80000000000031</v>
      </c>
      <c r="BZ740" s="16">
        <f t="shared" si="300"/>
        <v>1.2219517545349791E-2</v>
      </c>
      <c r="CA740" s="16">
        <f t="shared" si="310"/>
        <v>-999</v>
      </c>
      <c r="CE740" s="16" t="e">
        <f t="shared" si="303"/>
        <v>#N/A</v>
      </c>
      <c r="CF740" s="16">
        <f t="shared" si="304"/>
        <v>99</v>
      </c>
      <c r="CG740" s="16">
        <f t="shared" si="305"/>
        <v>0</v>
      </c>
      <c r="CH740" s="16">
        <f t="shared" si="311"/>
        <v>0</v>
      </c>
      <c r="CJ740" s="16" t="e">
        <f t="shared" si="306"/>
        <v>#N/A</v>
      </c>
      <c r="CK740" s="16" t="str">
        <f t="shared" si="307"/>
        <v/>
      </c>
    </row>
    <row r="741" spans="73:89" ht="12" customHeight="1">
      <c r="BU741" s="16">
        <f t="shared" si="308"/>
        <v>0</v>
      </c>
      <c r="BV741" s="16">
        <f>IF($BY$12=1,NORMDIST(BY741,$Y$6,$Y$8,TRUE),IF($BY$12=2,IF(BY741&lt;=$BX$31,0,IF(BY741&gt;=$BX$32,1,(BY741-$BX$31)*$BX$33)),SUM($BU$42:BU741)/$BV$40))</f>
        <v>0.84013186782450955</v>
      </c>
      <c r="BW741" s="16">
        <f t="shared" si="309"/>
        <v>0.84991608532446827</v>
      </c>
      <c r="BX741" s="16">
        <f>IF($BY$12&lt;3,BV741,SUM($BZ$42:BZ741)/$BX$40)</f>
        <v>0.84013186782450955</v>
      </c>
      <c r="BY741" s="16">
        <f t="shared" si="312"/>
        <v>69.900000000000304</v>
      </c>
      <c r="BZ741" s="16">
        <f t="shared" si="300"/>
        <v>1.2159028402352855E-2</v>
      </c>
      <c r="CA741" s="16">
        <f t="shared" si="310"/>
        <v>-999</v>
      </c>
      <c r="CE741" s="16" t="e">
        <f t="shared" si="303"/>
        <v>#N/A</v>
      </c>
      <c r="CF741" s="16">
        <f t="shared" si="304"/>
        <v>99</v>
      </c>
      <c r="CG741" s="16">
        <f t="shared" si="305"/>
        <v>0</v>
      </c>
      <c r="CH741" s="16">
        <f t="shared" si="311"/>
        <v>0</v>
      </c>
      <c r="CJ741" s="16" t="e">
        <f t="shared" si="306"/>
        <v>#N/A</v>
      </c>
      <c r="CK741" s="16" t="str">
        <f t="shared" si="307"/>
        <v/>
      </c>
    </row>
    <row r="742" spans="73:89" ht="12" customHeight="1">
      <c r="BU742" s="16">
        <f t="shared" si="308"/>
        <v>0</v>
      </c>
      <c r="BV742" s="16">
        <f>IF($BY$12=1,NORMDIST(BY742,$Y$6,$Y$8,TRUE),IF($BY$12=2,IF(BY742&lt;=$BX$31,0,IF(BY742&gt;=$BX$32,1,(BY742-$BX$31)*$BX$33)),SUM($BU$42:BU742)/$BV$40))</f>
        <v>0.84134474606854659</v>
      </c>
      <c r="BW742" s="16">
        <f t="shared" si="309"/>
        <v>0.84689753581699279</v>
      </c>
      <c r="BX742" s="16">
        <f>IF($BY$12&lt;3,BV742,SUM($BZ$42:BZ742)/$BX$40)</f>
        <v>0.84134474606854659</v>
      </c>
      <c r="BY742" s="16">
        <f t="shared" si="312"/>
        <v>70.000000000000298</v>
      </c>
      <c r="BZ742" s="16">
        <f t="shared" si="300"/>
        <v>1.2098536225956988E-2</v>
      </c>
      <c r="CA742" s="16">
        <f t="shared" si="310"/>
        <v>-999</v>
      </c>
      <c r="CE742" s="16" t="e">
        <f t="shared" si="303"/>
        <v>#N/A</v>
      </c>
      <c r="CF742" s="16">
        <f t="shared" si="304"/>
        <v>99</v>
      </c>
      <c r="CG742" s="16">
        <f t="shared" si="305"/>
        <v>0</v>
      </c>
      <c r="CH742" s="16">
        <f t="shared" si="311"/>
        <v>0</v>
      </c>
      <c r="CJ742" s="16" t="e">
        <f t="shared" si="306"/>
        <v>#N/A</v>
      </c>
      <c r="CK742" s="16" t="str">
        <f t="shared" si="307"/>
        <v/>
      </c>
    </row>
    <row r="743" spans="73:89" ht="12" customHeight="1">
      <c r="BU743" s="16">
        <f t="shared" si="308"/>
        <v>0</v>
      </c>
      <c r="BV743" s="16">
        <f>IF($BY$12=1,NORMDIST(BY743,$Y$6,$Y$8,TRUE),IF($BY$12=2,IF(BY743&lt;=$BX$31,0,IF(BY743&gt;=$BX$32,1,(BY743-$BX$31)*$BX$33)),SUM($BU$42:BU743)/$BV$40))</f>
        <v>0.84255157506967571</v>
      </c>
      <c r="BW743" s="16">
        <f t="shared" si="309"/>
        <v>0.84386688778589392</v>
      </c>
      <c r="BX743" s="16">
        <f>IF($BY$12&lt;3,BV743,SUM($BZ$42:BZ743)/$BX$40)</f>
        <v>0.84255157506967571</v>
      </c>
      <c r="BY743" s="16">
        <f t="shared" si="312"/>
        <v>70.100000000000293</v>
      </c>
      <c r="BZ743" s="16">
        <f t="shared" si="300"/>
        <v>1.2038044048300861E-2</v>
      </c>
      <c r="CA743" s="16">
        <f t="shared" si="310"/>
        <v>-999</v>
      </c>
      <c r="CE743" s="16" t="e">
        <f t="shared" si="303"/>
        <v>#N/A</v>
      </c>
      <c r="CF743" s="16">
        <f t="shared" si="304"/>
        <v>99</v>
      </c>
      <c r="CG743" s="16">
        <f t="shared" si="305"/>
        <v>0</v>
      </c>
      <c r="CH743" s="16">
        <f t="shared" si="311"/>
        <v>0</v>
      </c>
      <c r="CJ743" s="16" t="e">
        <f t="shared" si="306"/>
        <v>#N/A</v>
      </c>
      <c r="CK743" s="16" t="str">
        <f t="shared" si="307"/>
        <v/>
      </c>
    </row>
    <row r="744" spans="73:89" ht="12" customHeight="1">
      <c r="BU744" s="16">
        <f t="shared" si="308"/>
        <v>0</v>
      </c>
      <c r="BV744" s="16">
        <f>IF($BY$12=1,NORMDIST(BY744,$Y$6,$Y$8,TRUE),IF($BY$12=2,IF(BY744&lt;=$BX$31,0,IF(BY744&gt;=$BX$32,1,(BY744-$BX$31)*$BX$33)),SUM($BU$42:BU744)/$BV$40))</f>
        <v>0.8437523549787489</v>
      </c>
      <c r="BW744" s="16">
        <f t="shared" si="309"/>
        <v>0.84082435302531811</v>
      </c>
      <c r="BX744" s="16">
        <f>IF($BY$12&lt;3,BV744,SUM($BZ$42:BZ744)/$BX$40)</f>
        <v>0.8437523549787489</v>
      </c>
      <c r="BY744" s="16">
        <f t="shared" si="312"/>
        <v>70.200000000000287</v>
      </c>
      <c r="BZ744" s="16">
        <f t="shared" si="300"/>
        <v>1.1977554886400494E-2</v>
      </c>
      <c r="CA744" s="16">
        <f t="shared" si="310"/>
        <v>-999</v>
      </c>
      <c r="CE744" s="16" t="e">
        <f t="shared" si="303"/>
        <v>#N/A</v>
      </c>
      <c r="CF744" s="16">
        <f t="shared" si="304"/>
        <v>99</v>
      </c>
      <c r="CG744" s="16">
        <f t="shared" si="305"/>
        <v>0</v>
      </c>
      <c r="CH744" s="16">
        <f t="shared" si="311"/>
        <v>0</v>
      </c>
      <c r="CJ744" s="16" t="e">
        <f t="shared" si="306"/>
        <v>#N/A</v>
      </c>
      <c r="CK744" s="16" t="str">
        <f t="shared" si="307"/>
        <v/>
      </c>
    </row>
    <row r="745" spans="73:89" ht="12" customHeight="1">
      <c r="BU745" s="16">
        <f t="shared" si="308"/>
        <v>0</v>
      </c>
      <c r="BV745" s="16">
        <f>IF($BY$12=1,NORMDIST(BY745,$Y$6,$Y$8,TRUE),IF($BY$12=2,IF(BY745&lt;=$BX$31,0,IF(BY745&gt;=$BX$32,1,(BY745-$BX$31)*$BX$33)),SUM($BU$42:BU745)/$BV$40))</f>
        <v>0.84494708624755377</v>
      </c>
      <c r="BW745" s="16">
        <f t="shared" si="309"/>
        <v>0.83777014345725331</v>
      </c>
      <c r="BX745" s="16">
        <f>IF($BY$12&lt;3,BV745,SUM($BZ$42:BZ745)/$BX$40)</f>
        <v>0.84494708624755377</v>
      </c>
      <c r="BY745" s="16">
        <f t="shared" si="312"/>
        <v>70.300000000000281</v>
      </c>
      <c r="BZ745" s="16">
        <f t="shared" si="300"/>
        <v>1.1917071741923897E-2</v>
      </c>
      <c r="CA745" s="16">
        <f t="shared" si="310"/>
        <v>-999</v>
      </c>
      <c r="CE745" s="16" t="e">
        <f t="shared" si="303"/>
        <v>#N/A</v>
      </c>
      <c r="CF745" s="16">
        <f t="shared" si="304"/>
        <v>99</v>
      </c>
      <c r="CG745" s="16">
        <f t="shared" si="305"/>
        <v>0</v>
      </c>
      <c r="CH745" s="16">
        <f t="shared" si="311"/>
        <v>0</v>
      </c>
      <c r="CJ745" s="16" t="e">
        <f t="shared" si="306"/>
        <v>#N/A</v>
      </c>
      <c r="CK745" s="16" t="str">
        <f t="shared" si="307"/>
        <v/>
      </c>
    </row>
    <row r="746" spans="73:89" ht="12" customHeight="1">
      <c r="BU746" s="16">
        <f t="shared" si="308"/>
        <v>0</v>
      </c>
      <c r="BV746" s="16">
        <f>IF($BY$12=1,NORMDIST(BY746,$Y$6,$Y$8,TRUE),IF($BY$12=2,IF(BY746&lt;=$BX$31,0,IF(BY746&gt;=$BX$32,1,(BY746-$BX$31)*$BX$33)),SUM($BU$42:BU746)/$BV$40))</f>
        <v>0.84613576962726833</v>
      </c>
      <c r="BW746" s="16">
        <f t="shared" si="309"/>
        <v>0.83470447110820767</v>
      </c>
      <c r="BX746" s="16">
        <f>IF($BY$12&lt;3,BV746,SUM($BZ$42:BZ746)/$BX$40)</f>
        <v>0.84613576962726833</v>
      </c>
      <c r="BY746" s="16">
        <f t="shared" si="312"/>
        <v>70.400000000000276</v>
      </c>
      <c r="BZ746" s="16">
        <f t="shared" ref="BZ746:BZ809" si="313">IF($BZ$5,IF($BY$12=1,NORMDIST(BY746,$Y$6,$Y$8,FALSE),IF($BY$12=2,IF(AND(BY746&gt;=$BX$31,BY746&lt;=$BX$32),$BX$33,0),IF(BY746&lt;=$BX$13,0,NORMDIST(LN((BY746-$BX$13)/$BX$12),0,$BW$8,FALSE)/((BY746-$BX$13)/$BX$12)))),-999)</f>
        <v>1.1856597600968813E-2</v>
      </c>
      <c r="CA746" s="16">
        <f t="shared" si="310"/>
        <v>-999</v>
      </c>
      <c r="CE746" s="16" t="e">
        <f t="shared" ref="CE746:CE809" si="314">IF(AND($CB$7,$CD$2,$CD$1),26+$P$23/2-CC746*$P$23,NA())</f>
        <v>#N/A</v>
      </c>
      <c r="CF746" s="16">
        <f t="shared" ref="CF746:CF809" si="315">IF(ISNA(CJ746),99,CJ746)</f>
        <v>99</v>
      </c>
      <c r="CG746" s="16">
        <f t="shared" ref="CG746:CG809" si="316">IF(ISNA(CJ746),0,CJ746)</f>
        <v>0</v>
      </c>
      <c r="CH746" s="16">
        <f t="shared" si="311"/>
        <v>0</v>
      </c>
      <c r="CJ746" s="16" t="e">
        <f t="shared" ref="CJ746:CJ809" si="317">IF(CH746=1,CE746,NA())</f>
        <v>#N/A</v>
      </c>
      <c r="CK746" s="16" t="str">
        <f t="shared" ref="CK746:CK809" si="318">IF(CH746=1,M645,"")</f>
        <v/>
      </c>
    </row>
    <row r="747" spans="73:89" ht="12" customHeight="1">
      <c r="BU747" s="16">
        <f t="shared" ref="BU747:BU810" si="319">IF($BY$12&lt;3,0,IF(BY747&lt;=$BX$13,0,NORMDIST(LN((BY747-$BX$13)/$BX$12),0,$BW$8,FALSE)/((BY747-$BX$13)/$BX$12)))</f>
        <v>0</v>
      </c>
      <c r="BV747" s="16">
        <f>IF($BY$12=1,NORMDIST(BY747,$Y$6,$Y$8,TRUE),IF($BY$12=2,IF(BY747&lt;=$BX$31,0,IF(BY747&gt;=$BX$32,1,(BY747-$BX$31)*$BX$33)),SUM($BU$42:BU747)/$BV$40))</f>
        <v>0.8473184061668928</v>
      </c>
      <c r="BW747" s="16">
        <f t="shared" ref="BW747:BW810" si="320">BY747*BZ747</f>
        <v>0.83162754808596728</v>
      </c>
      <c r="BX747" s="16">
        <f>IF($BY$12&lt;3,BV747,SUM($BZ$42:BZ747)/$BX$40)</f>
        <v>0.8473184061668928</v>
      </c>
      <c r="BY747" s="16">
        <f t="shared" si="312"/>
        <v>70.50000000000027</v>
      </c>
      <c r="BZ747" s="16">
        <f t="shared" si="313"/>
        <v>1.1796135433843462E-2</v>
      </c>
      <c r="CA747" s="16">
        <f t="shared" ref="CA747:CA810" si="321">IF(AND($CD$1,$CD$3),26-$CD$40*NORMDIST(BY747,$Y$6,$Y$8/SQRT($T$18),FALSE),-999)</f>
        <v>-999</v>
      </c>
      <c r="CE747" s="16" t="e">
        <f t="shared" si="314"/>
        <v>#N/A</v>
      </c>
      <c r="CF747" s="16">
        <f t="shared" si="315"/>
        <v>99</v>
      </c>
      <c r="CG747" s="16">
        <f t="shared" si="316"/>
        <v>0</v>
      </c>
      <c r="CH747" s="16">
        <f t="shared" si="311"/>
        <v>0</v>
      </c>
      <c r="CJ747" s="16" t="e">
        <f t="shared" si="317"/>
        <v>#N/A</v>
      </c>
      <c r="CK747" s="16" t="str">
        <f t="shared" si="318"/>
        <v/>
      </c>
    </row>
    <row r="748" spans="73:89" ht="12" customHeight="1">
      <c r="BU748" s="16">
        <f t="shared" si="319"/>
        <v>0</v>
      </c>
      <c r="BV748" s="16">
        <f>IF($BY$12=1,NORMDIST(BY748,$Y$6,$Y$8,TRUE),IF($BY$12=2,IF(BY748&lt;=$BX$31,0,IF(BY748&gt;=$BX$32,1,(BY748-$BX$31)*$BX$33)),SUM($BU$42:BU748)/$BV$40))</f>
        <v>0.84849499721165933</v>
      </c>
      <c r="BW748" s="16">
        <f t="shared" si="320"/>
        <v>0.82853958655644333</v>
      </c>
      <c r="BX748" s="16">
        <f>IF($BY$12&lt;3,BV748,SUM($BZ$42:BZ748)/$BX$40)</f>
        <v>0.84849499721165933</v>
      </c>
      <c r="BY748" s="16">
        <f t="shared" si="312"/>
        <v>70.600000000000264</v>
      </c>
      <c r="BZ748" s="16">
        <f t="shared" si="313"/>
        <v>1.1735688194850429E-2</v>
      </c>
      <c r="CA748" s="16">
        <f t="shared" si="321"/>
        <v>-999</v>
      </c>
      <c r="CE748" s="16" t="e">
        <f t="shared" si="314"/>
        <v>#N/A</v>
      </c>
      <c r="CF748" s="16">
        <f t="shared" si="315"/>
        <v>99</v>
      </c>
      <c r="CG748" s="16">
        <f t="shared" si="316"/>
        <v>0</v>
      </c>
      <c r="CH748" s="16">
        <f t="shared" si="311"/>
        <v>0</v>
      </c>
      <c r="CJ748" s="16" t="e">
        <f t="shared" si="317"/>
        <v>#N/A</v>
      </c>
      <c r="CK748" s="16" t="str">
        <f t="shared" si="318"/>
        <v/>
      </c>
    </row>
    <row r="749" spans="73:89" ht="12" customHeight="1">
      <c r="BU749" s="16">
        <f t="shared" si="319"/>
        <v>0</v>
      </c>
      <c r="BV749" s="16">
        <f>IF($BY$12=1,NORMDIST(BY749,$Y$6,$Y$8,TRUE),IF($BY$12=2,IF(BY749&lt;=$BX$31,0,IF(BY749&gt;=$BX$32,1,(BY749-$BX$31)*$BX$33)),SUM($BU$42:BU749)/$BV$40))</f>
        <v>0.84966554440142161</v>
      </c>
      <c r="BW749" s="16">
        <f t="shared" si="320"/>
        <v>0.82544079872060538</v>
      </c>
      <c r="BX749" s="16">
        <f>IF($BY$12&lt;3,BV749,SUM($BZ$42:BZ749)/$BX$40)</f>
        <v>0.84966554440142161</v>
      </c>
      <c r="BY749" s="16">
        <f t="shared" si="312"/>
        <v>70.700000000000259</v>
      </c>
      <c r="BZ749" s="16">
        <f t="shared" si="313"/>
        <v>1.1675258822073584E-2</v>
      </c>
      <c r="CA749" s="16">
        <f t="shared" si="321"/>
        <v>-999</v>
      </c>
      <c r="CE749" s="16" t="e">
        <f t="shared" si="314"/>
        <v>#N/A</v>
      </c>
      <c r="CF749" s="16">
        <f t="shared" si="315"/>
        <v>99</v>
      </c>
      <c r="CG749" s="16">
        <f t="shared" si="316"/>
        <v>0</v>
      </c>
      <c r="CH749" s="16">
        <f t="shared" si="311"/>
        <v>0</v>
      </c>
      <c r="CJ749" s="16" t="e">
        <f t="shared" si="317"/>
        <v>#N/A</v>
      </c>
      <c r="CK749" s="16" t="str">
        <f t="shared" si="318"/>
        <v/>
      </c>
    </row>
    <row r="750" spans="73:89" ht="12" customHeight="1">
      <c r="BU750" s="16">
        <f t="shared" si="319"/>
        <v>0</v>
      </c>
      <c r="BV750" s="16">
        <f>IF($BY$12=1,NORMDIST(BY750,$Y$6,$Y$8,TRUE),IF($BY$12=2,IF(BY750&lt;=$BX$31,0,IF(BY750&gt;=$BX$32,1,(BY750-$BX$31)*$BX$33)),SUM($BU$42:BU750)/$BV$40))</f>
        <v>0.85083004966902165</v>
      </c>
      <c r="BW750" s="16">
        <f t="shared" si="320"/>
        <v>0.82233139679150824</v>
      </c>
      <c r="BX750" s="16">
        <f>IF($BY$12&lt;3,BV750,SUM($BZ$42:BZ750)/$BX$40)</f>
        <v>0.85083004966902165</v>
      </c>
      <c r="BY750" s="16">
        <f t="shared" si="312"/>
        <v>70.800000000000253</v>
      </c>
      <c r="BZ750" s="16">
        <f t="shared" si="313"/>
        <v>1.1614850237168154E-2</v>
      </c>
      <c r="CA750" s="16">
        <f t="shared" si="321"/>
        <v>-999</v>
      </c>
      <c r="CE750" s="16" t="e">
        <f t="shared" si="314"/>
        <v>#N/A</v>
      </c>
      <c r="CF750" s="16">
        <f t="shared" si="315"/>
        <v>99</v>
      </c>
      <c r="CG750" s="16">
        <f t="shared" si="316"/>
        <v>0</v>
      </c>
      <c r="CH750" s="16">
        <f t="shared" si="311"/>
        <v>0</v>
      </c>
      <c r="CJ750" s="16" t="e">
        <f t="shared" si="317"/>
        <v>#N/A</v>
      </c>
      <c r="CK750" s="16" t="str">
        <f t="shared" si="318"/>
        <v/>
      </c>
    </row>
    <row r="751" spans="73:89" ht="12" customHeight="1">
      <c r="BU751" s="16">
        <f t="shared" si="319"/>
        <v>0</v>
      </c>
      <c r="BV751" s="16">
        <f>IF($BY$12=1,NORMDIST(BY751,$Y$6,$Y$8,TRUE),IF($BY$12=2,IF(BY751&lt;=$BX$31,0,IF(BY751&gt;=$BX$32,1,(BY751-$BX$31)*$BX$33)),SUM($BU$42:BU751)/$BV$40))</f>
        <v>0.85198851523863683</v>
      </c>
      <c r="BW751" s="16">
        <f t="shared" si="320"/>
        <v>0.81921159297141544</v>
      </c>
      <c r="BX751" s="16">
        <f>IF($BY$12&lt;3,BV751,SUM($BZ$42:BZ751)/$BX$40)</f>
        <v>0.85198851523863683</v>
      </c>
      <c r="BY751" s="16">
        <f t="shared" si="312"/>
        <v>70.900000000000247</v>
      </c>
      <c r="BZ751" s="16">
        <f t="shared" si="313"/>
        <v>1.1554465345153916E-2</v>
      </c>
      <c r="CA751" s="16">
        <f t="shared" si="321"/>
        <v>-999</v>
      </c>
      <c r="CE751" s="16" t="e">
        <f t="shared" si="314"/>
        <v>#N/A</v>
      </c>
      <c r="CF751" s="16">
        <f t="shared" si="315"/>
        <v>99</v>
      </c>
      <c r="CG751" s="16">
        <f t="shared" si="316"/>
        <v>0</v>
      </c>
      <c r="CH751" s="16">
        <f t="shared" si="311"/>
        <v>0</v>
      </c>
      <c r="CJ751" s="16" t="e">
        <f t="shared" si="317"/>
        <v>#N/A</v>
      </c>
      <c r="CK751" s="16" t="str">
        <f t="shared" si="318"/>
        <v/>
      </c>
    </row>
    <row r="752" spans="73:89" ht="12" customHeight="1">
      <c r="BU752" s="16">
        <f t="shared" si="319"/>
        <v>0</v>
      </c>
      <c r="BV752" s="16">
        <f>IF($BY$12=1,NORMDIST(BY752,$Y$6,$Y$8,TRUE),IF($BY$12=2,IF(BY752&lt;=$BX$31,0,IF(BY752&gt;=$BX$32,1,(BY752-$BX$31)*$BX$33)),SUM($BU$42:BU752)/$BV$40))</f>
        <v>0.85314094362410686</v>
      </c>
      <c r="BW752" s="16">
        <f t="shared" si="320"/>
        <v>0.81608159942901959</v>
      </c>
      <c r="BX752" s="16">
        <f>IF($BY$12&lt;3,BV752,SUM($BZ$42:BZ752)/$BX$40)</f>
        <v>0.85314094362410686</v>
      </c>
      <c r="BY752" s="16">
        <f t="shared" si="312"/>
        <v>71.000000000000242</v>
      </c>
      <c r="BZ752" s="16">
        <f t="shared" si="313"/>
        <v>1.1494107034211505E-2</v>
      </c>
      <c r="CA752" s="16">
        <f t="shared" si="321"/>
        <v>-999</v>
      </c>
      <c r="CE752" s="16" t="e">
        <f t="shared" si="314"/>
        <v>#N/A</v>
      </c>
      <c r="CF752" s="16">
        <f t="shared" si="315"/>
        <v>99</v>
      </c>
      <c r="CG752" s="16">
        <f t="shared" si="316"/>
        <v>0</v>
      </c>
      <c r="CH752" s="16">
        <f t="shared" si="311"/>
        <v>0</v>
      </c>
      <c r="CJ752" s="16" t="e">
        <f t="shared" si="317"/>
        <v>#N/A</v>
      </c>
      <c r="CK752" s="16" t="str">
        <f t="shared" si="318"/>
        <v/>
      </c>
    </row>
    <row r="753" spans="73:89" ht="12" customHeight="1">
      <c r="BU753" s="16">
        <f t="shared" si="319"/>
        <v>0</v>
      </c>
      <c r="BV753" s="16">
        <f>IF($BY$12=1,NORMDIST(BY753,$Y$6,$Y$8,TRUE),IF($BY$12=2,IF(BY753&lt;=$BX$31,0,IF(BY753&gt;=$BX$32,1,(BY753-$BX$31)*$BX$33)),SUM($BU$42:BU753)/$BV$40))</f>
        <v>0.85428733762723841</v>
      </c>
      <c r="BW753" s="16">
        <f t="shared" si="320"/>
        <v>0.81294162827676708</v>
      </c>
      <c r="BX753" s="16">
        <f>IF($BY$12&lt;3,BV753,SUM($BZ$42:BZ753)/$BX$40)</f>
        <v>0.85428733762723841</v>
      </c>
      <c r="BY753" s="16">
        <f t="shared" si="312"/>
        <v>71.100000000000236</v>
      </c>
      <c r="BZ753" s="16">
        <f t="shared" si="313"/>
        <v>1.1433778175481918E-2</v>
      </c>
      <c r="CA753" s="16">
        <f t="shared" si="321"/>
        <v>-999</v>
      </c>
      <c r="CE753" s="16" t="e">
        <f t="shared" si="314"/>
        <v>#N/A</v>
      </c>
      <c r="CF753" s="16">
        <f t="shared" si="315"/>
        <v>99</v>
      </c>
      <c r="CG753" s="16">
        <f t="shared" si="316"/>
        <v>0</v>
      </c>
      <c r="CH753" s="16">
        <f t="shared" si="311"/>
        <v>0</v>
      </c>
      <c r="CJ753" s="16" t="e">
        <f t="shared" si="317"/>
        <v>#N/A</v>
      </c>
      <c r="CK753" s="16" t="str">
        <f t="shared" si="318"/>
        <v/>
      </c>
    </row>
    <row r="754" spans="73:89" ht="12" customHeight="1">
      <c r="BU754" s="16">
        <f t="shared" si="319"/>
        <v>0</v>
      </c>
      <c r="BV754" s="16">
        <f>IF($BY$12=1,NORMDIST(BY754,$Y$6,$Y$8,TRUE),IF($BY$12=2,IF(BY754&lt;=$BX$31,0,IF(BY754&gt;=$BX$32,1,(BY754-$BX$31)*$BX$33)),SUM($BU$42:BU754)/$BV$40))</f>
        <v>0.85542770033609294</v>
      </c>
      <c r="BW754" s="16">
        <f t="shared" si="320"/>
        <v>0.80979189154828646</v>
      </c>
      <c r="BX754" s="16">
        <f>IF($BY$12&lt;3,BV754,SUM($BZ$42:BZ754)/$BX$40)</f>
        <v>0.85542770033609294</v>
      </c>
      <c r="BY754" s="16">
        <f t="shared" si="312"/>
        <v>71.20000000000023</v>
      </c>
      <c r="BZ754" s="16">
        <f t="shared" si="313"/>
        <v>1.1373481622869155E-2</v>
      </c>
      <c r="CA754" s="16">
        <f t="shared" si="321"/>
        <v>-999</v>
      </c>
      <c r="CE754" s="16" t="e">
        <f t="shared" si="314"/>
        <v>#N/A</v>
      </c>
      <c r="CF754" s="16">
        <f t="shared" si="315"/>
        <v>99</v>
      </c>
      <c r="CG754" s="16">
        <f t="shared" si="316"/>
        <v>0</v>
      </c>
      <c r="CH754" s="16">
        <f t="shared" si="311"/>
        <v>0</v>
      </c>
      <c r="CJ754" s="16" t="e">
        <f t="shared" si="317"/>
        <v>#N/A</v>
      </c>
      <c r="CK754" s="16" t="str">
        <f t="shared" si="318"/>
        <v/>
      </c>
    </row>
    <row r="755" spans="73:89" ht="12" customHeight="1">
      <c r="BU755" s="16">
        <f t="shared" si="319"/>
        <v>0</v>
      </c>
      <c r="BV755" s="16">
        <f>IF($BY$12=1,NORMDIST(BY755,$Y$6,$Y$8,TRUE),IF($BY$12=2,IF(BY755&lt;=$BX$31,0,IF(BY755&gt;=$BX$32,1,(BY755-$BX$31)*$BX$33)),SUM($BU$42:BU755)/$BV$40))</f>
        <v>0.85656203512325146</v>
      </c>
      <c r="BW755" s="16">
        <f t="shared" si="320"/>
        <v>0.80663260117592672</v>
      </c>
      <c r="BX755" s="16">
        <f>IF($BY$12&lt;3,BV755,SUM($BZ$42:BZ755)/$BX$40)</f>
        <v>0.85656203512325146</v>
      </c>
      <c r="BY755" s="16">
        <f t="shared" si="312"/>
        <v>71.300000000000225</v>
      </c>
      <c r="BZ755" s="16">
        <f t="shared" si="313"/>
        <v>1.1313220212846061E-2</v>
      </c>
      <c r="CA755" s="16">
        <f t="shared" si="321"/>
        <v>-999</v>
      </c>
      <c r="CE755" s="16" t="e">
        <f t="shared" si="314"/>
        <v>#N/A</v>
      </c>
      <c r="CF755" s="16">
        <f t="shared" si="315"/>
        <v>99</v>
      </c>
      <c r="CG755" s="16">
        <f t="shared" si="316"/>
        <v>0</v>
      </c>
      <c r="CH755" s="16">
        <f t="shared" si="311"/>
        <v>0</v>
      </c>
      <c r="CJ755" s="16" t="e">
        <f t="shared" si="317"/>
        <v>#N/A</v>
      </c>
      <c r="CK755" s="16" t="str">
        <f t="shared" si="318"/>
        <v/>
      </c>
    </row>
    <row r="756" spans="73:89" ht="12" customHeight="1">
      <c r="BU756" s="16">
        <f t="shared" si="319"/>
        <v>0</v>
      </c>
      <c r="BV756" s="16">
        <f>IF($BY$12=1,NORMDIST(BY756,$Y$6,$Y$8,TRUE),IF($BY$12=2,IF(BY756&lt;=$BX$31,0,IF(BY756&gt;=$BX$32,1,(BY756-$BX$31)*$BX$33)),SUM($BU$42:BU756)/$BV$40))</f>
        <v>0.85769034564406321</v>
      </c>
      <c r="BW756" s="16">
        <f t="shared" si="320"/>
        <v>0.80346396896840577</v>
      </c>
      <c r="BX756" s="16">
        <f>IF($BY$12&lt;3,BV756,SUM($BZ$42:BZ756)/$BX$40)</f>
        <v>0.85769034564406321</v>
      </c>
      <c r="BY756" s="16">
        <f t="shared" si="312"/>
        <v>71.400000000000219</v>
      </c>
      <c r="BZ756" s="16">
        <f t="shared" si="313"/>
        <v>1.1252996764263352E-2</v>
      </c>
      <c r="CA756" s="16">
        <f t="shared" si="321"/>
        <v>-999</v>
      </c>
      <c r="CE756" s="16" t="e">
        <f t="shared" si="314"/>
        <v>#N/A</v>
      </c>
      <c r="CF756" s="16">
        <f t="shared" si="315"/>
        <v>99</v>
      </c>
      <c r="CG756" s="16">
        <f t="shared" si="316"/>
        <v>0</v>
      </c>
      <c r="CH756" s="16">
        <f t="shared" si="311"/>
        <v>0</v>
      </c>
      <c r="CJ756" s="16" t="e">
        <f t="shared" si="317"/>
        <v>#N/A</v>
      </c>
      <c r="CK756" s="16" t="str">
        <f t="shared" si="318"/>
        <v/>
      </c>
    </row>
    <row r="757" spans="73:89" ht="12" customHeight="1">
      <c r="BU757" s="16">
        <f t="shared" si="319"/>
        <v>0</v>
      </c>
      <c r="BV757" s="16">
        <f>IF($BY$12=1,NORMDIST(BY757,$Y$6,$Y$8,TRUE),IF($BY$12=2,IF(BY757&lt;=$BX$31,0,IF(BY757&gt;=$BX$32,1,(BY757-$BX$31)*$BX$33)),SUM($BU$42:BU757)/$BV$40))</f>
        <v>0.85881263583487333</v>
      </c>
      <c r="BW757" s="16">
        <f t="shared" si="320"/>
        <v>0.80028620658857452</v>
      </c>
      <c r="BX757" s="16">
        <f>IF($BY$12&lt;3,BV757,SUM($BZ$42:BZ757)/$BX$40)</f>
        <v>0.85881263583487333</v>
      </c>
      <c r="BY757" s="16">
        <f t="shared" si="312"/>
        <v>71.500000000000213</v>
      </c>
      <c r="BZ757" s="16">
        <f t="shared" si="313"/>
        <v>1.1192814078161847E-2</v>
      </c>
      <c r="CA757" s="16">
        <f t="shared" si="321"/>
        <v>-999</v>
      </c>
      <c r="CE757" s="16" t="e">
        <f t="shared" si="314"/>
        <v>#N/A</v>
      </c>
      <c r="CF757" s="16">
        <f t="shared" si="315"/>
        <v>99</v>
      </c>
      <c r="CG757" s="16">
        <f t="shared" si="316"/>
        <v>0</v>
      </c>
      <c r="CH757" s="16">
        <f t="shared" si="311"/>
        <v>0</v>
      </c>
      <c r="CJ757" s="16" t="e">
        <f t="shared" si="317"/>
        <v>#N/A</v>
      </c>
      <c r="CK757" s="16" t="str">
        <f t="shared" si="318"/>
        <v/>
      </c>
    </row>
    <row r="758" spans="73:89" ht="12" customHeight="1">
      <c r="BU758" s="16">
        <f t="shared" si="319"/>
        <v>0</v>
      </c>
      <c r="BV758" s="16">
        <f>IF($BY$12=1,NORMDIST(BY758,$Y$6,$Y$8,TRUE),IF($BY$12=2,IF(BY758&lt;=$BX$31,0,IF(BY758&gt;=$BX$32,1,(BY758-$BX$31)*$BX$33)),SUM($BU$42:BU758)/$BV$40))</f>
        <v>0.85992890991123316</v>
      </c>
      <c r="BW758" s="16">
        <f t="shared" si="320"/>
        <v>0.79709952553129804</v>
      </c>
      <c r="BX758" s="16">
        <f>IF($BY$12&lt;3,BV758,SUM($BZ$42:BZ758)/$BX$40)</f>
        <v>0.85992890991123316</v>
      </c>
      <c r="BY758" s="16">
        <f t="shared" si="312"/>
        <v>71.600000000000207</v>
      </c>
      <c r="BZ758" s="16">
        <f t="shared" si="313"/>
        <v>1.113267493758793E-2</v>
      </c>
      <c r="CA758" s="16">
        <f t="shared" si="321"/>
        <v>-999</v>
      </c>
      <c r="CE758" s="16" t="e">
        <f t="shared" si="314"/>
        <v>#N/A</v>
      </c>
      <c r="CF758" s="16">
        <f t="shared" si="315"/>
        <v>99</v>
      </c>
      <c r="CG758" s="16">
        <f t="shared" si="316"/>
        <v>0</v>
      </c>
      <c r="CH758" s="16">
        <f t="shared" si="311"/>
        <v>0</v>
      </c>
      <c r="CJ758" s="16" t="e">
        <f t="shared" si="317"/>
        <v>#N/A</v>
      </c>
      <c r="CK758" s="16" t="str">
        <f t="shared" si="318"/>
        <v/>
      </c>
    </row>
    <row r="759" spans="73:89" ht="12" customHeight="1">
      <c r="BU759" s="16">
        <f t="shared" si="319"/>
        <v>0</v>
      </c>
      <c r="BV759" s="16">
        <f>IF($BY$12=1,NORMDIST(BY759,$Y$6,$Y$8,TRUE),IF($BY$12=2,IF(BY759&lt;=$BX$31,0,IF(BY759&gt;=$BX$32,1,(BY759-$BX$31)*$BX$33)),SUM($BU$42:BU759)/$BV$40))</f>
        <v>0.86103917236609129</v>
      </c>
      <c r="BW759" s="16">
        <f t="shared" si="320"/>
        <v>0.79390413710145946</v>
      </c>
      <c r="BX759" s="16">
        <f>IF($BY$12&lt;3,BV759,SUM($BZ$42:BZ759)/$BX$40)</f>
        <v>0.86103917236609129</v>
      </c>
      <c r="BY759" s="16">
        <f t="shared" si="312"/>
        <v>71.700000000000202</v>
      </c>
      <c r="BZ759" s="16">
        <f t="shared" si="313"/>
        <v>1.1072582107412235E-2</v>
      </c>
      <c r="CA759" s="16">
        <f t="shared" si="321"/>
        <v>-999</v>
      </c>
      <c r="CE759" s="16" t="e">
        <f t="shared" si="314"/>
        <v>#N/A</v>
      </c>
      <c r="CF759" s="16">
        <f t="shared" si="315"/>
        <v>99</v>
      </c>
      <c r="CG759" s="16">
        <f t="shared" si="316"/>
        <v>0</v>
      </c>
      <c r="CH759" s="16">
        <f t="shared" si="311"/>
        <v>0</v>
      </c>
      <c r="CJ759" s="16" t="e">
        <f t="shared" si="317"/>
        <v>#N/A</v>
      </c>
      <c r="CK759" s="16" t="str">
        <f t="shared" si="318"/>
        <v/>
      </c>
    </row>
    <row r="760" spans="73:89" ht="12" customHeight="1">
      <c r="BU760" s="16">
        <f t="shared" si="319"/>
        <v>0</v>
      </c>
      <c r="BV760" s="16">
        <f>IF($BY$12=1,NORMDIST(BY760,$Y$6,$Y$8,TRUE),IF($BY$12=2,IF(BY760&lt;=$BX$31,0,IF(BY760&gt;=$BX$32,1,(BY760-$BX$31)*$BX$33)),SUM($BU$42:BU760)/$BV$40))</f>
        <v>0.86214342796796661</v>
      </c>
      <c r="BW760" s="16">
        <f t="shared" si="320"/>
        <v>0.7907002523920833</v>
      </c>
      <c r="BX760" s="16">
        <f>IF($BY$12&lt;3,BV760,SUM($BZ$42:BZ760)/$BX$40)</f>
        <v>0.86214342796796661</v>
      </c>
      <c r="BY760" s="16">
        <f t="shared" si="312"/>
        <v>71.800000000000196</v>
      </c>
      <c r="BZ760" s="16">
        <f t="shared" si="313"/>
        <v>1.1012538334151547E-2</v>
      </c>
      <c r="CA760" s="16">
        <f t="shared" si="321"/>
        <v>-999</v>
      </c>
      <c r="CE760" s="16" t="e">
        <f t="shared" si="314"/>
        <v>#N/A</v>
      </c>
      <c r="CF760" s="16">
        <f t="shared" si="315"/>
        <v>99</v>
      </c>
      <c r="CG760" s="16">
        <f t="shared" si="316"/>
        <v>0</v>
      </c>
      <c r="CH760" s="16">
        <f t="shared" si="311"/>
        <v>0</v>
      </c>
      <c r="CJ760" s="16" t="e">
        <f t="shared" si="317"/>
        <v>#N/A</v>
      </c>
      <c r="CK760" s="16" t="str">
        <f t="shared" si="318"/>
        <v/>
      </c>
    </row>
    <row r="761" spans="73:89" ht="12" customHeight="1">
      <c r="BU761" s="16">
        <f t="shared" si="319"/>
        <v>0</v>
      </c>
      <c r="BV761" s="16">
        <f>IF($BY$12=1,NORMDIST(BY761,$Y$6,$Y$8,TRUE),IF($BY$12=2,IF(BY761&lt;=$BX$31,0,IF(BY761&gt;=$BX$32,1,(BY761-$BX$31)*$BX$33)),SUM($BU$42:BU761)/$BV$40))</f>
        <v>0.86324168175910565</v>
      </c>
      <c r="BW761" s="16">
        <f t="shared" si="320"/>
        <v>0.78748808226258926</v>
      </c>
      <c r="BX761" s="16">
        <f>IF($BY$12&lt;3,BV761,SUM($BZ$42:BZ761)/$BX$40)</f>
        <v>0.86324168175910565</v>
      </c>
      <c r="BY761" s="16">
        <f t="shared" si="312"/>
        <v>71.90000000000019</v>
      </c>
      <c r="BZ761" s="16">
        <f t="shared" si="313"/>
        <v>1.0952546345793981E-2</v>
      </c>
      <c r="CA761" s="16">
        <f t="shared" si="321"/>
        <v>-999</v>
      </c>
      <c r="CE761" s="16" t="e">
        <f t="shared" si="314"/>
        <v>#N/A</v>
      </c>
      <c r="CF761" s="16">
        <f t="shared" si="315"/>
        <v>99</v>
      </c>
      <c r="CG761" s="16">
        <f t="shared" si="316"/>
        <v>0</v>
      </c>
      <c r="CH761" s="16">
        <f t="shared" si="311"/>
        <v>0</v>
      </c>
      <c r="CJ761" s="16" t="e">
        <f t="shared" si="317"/>
        <v>#N/A</v>
      </c>
      <c r="CK761" s="16" t="str">
        <f t="shared" si="318"/>
        <v/>
      </c>
    </row>
    <row r="762" spans="73:89" ht="12" customHeight="1">
      <c r="BU762" s="16">
        <f t="shared" si="319"/>
        <v>0</v>
      </c>
      <c r="BV762" s="16">
        <f>IF($BY$12=1,NORMDIST(BY762,$Y$6,$Y$8,TRUE),IF($BY$12=2,IF(BY762&lt;=$BX$31,0,IF(BY762&gt;=$BX$32,1,(BY762-$BX$31)*$BX$33)),SUM($BU$42:BU762)/$BV$40))</f>
        <v>0.86433393905361933</v>
      </c>
      <c r="BW762" s="16">
        <f t="shared" si="320"/>
        <v>0.78426783731717586</v>
      </c>
      <c r="BX762" s="16">
        <f>IF($BY$12&lt;3,BV762,SUM($BZ$42:BZ762)/$BX$40)</f>
        <v>0.86433393905361933</v>
      </c>
      <c r="BY762" s="16">
        <f t="shared" si="312"/>
        <v>72.000000000000185</v>
      </c>
      <c r="BZ762" s="16">
        <f t="shared" si="313"/>
        <v>1.0892608851627414E-2</v>
      </c>
      <c r="CA762" s="16">
        <f t="shared" si="321"/>
        <v>-999</v>
      </c>
      <c r="CE762" s="16" t="e">
        <f t="shared" si="314"/>
        <v>#N/A</v>
      </c>
      <c r="CF762" s="16">
        <f t="shared" si="315"/>
        <v>99</v>
      </c>
      <c r="CG762" s="16">
        <f t="shared" si="316"/>
        <v>0</v>
      </c>
      <c r="CH762" s="16">
        <f t="shared" si="311"/>
        <v>0</v>
      </c>
      <c r="CJ762" s="16" t="e">
        <f t="shared" si="317"/>
        <v>#N/A</v>
      </c>
      <c r="CK762" s="16" t="str">
        <f t="shared" si="318"/>
        <v/>
      </c>
    </row>
    <row r="763" spans="73:89" ht="12" customHeight="1">
      <c r="BU763" s="16">
        <f t="shared" si="319"/>
        <v>0</v>
      </c>
      <c r="BV763" s="16">
        <f>IF($BY$12=1,NORMDIST(BY763,$Y$6,$Y$8,TRUE),IF($BY$12=2,IF(BY763&lt;=$BX$31,0,IF(BY763&gt;=$BX$32,1,(BY763-$BX$31)*$BX$33)),SUM($BU$42:BU763)/$BV$40))</f>
        <v>0.86542020543560583</v>
      </c>
      <c r="BW763" s="16">
        <f t="shared" si="320"/>
        <v>0.78103972788333176</v>
      </c>
      <c r="BX763" s="16">
        <f>IF($BY$12&lt;3,BV763,SUM($BZ$42:BZ763)/$BX$40)</f>
        <v>0.86542020543560583</v>
      </c>
      <c r="BY763" s="16">
        <f t="shared" si="312"/>
        <v>72.100000000000179</v>
      </c>
      <c r="BZ763" s="16">
        <f t="shared" si="313"/>
        <v>1.0832728542071148E-2</v>
      </c>
      <c r="CA763" s="16">
        <f t="shared" si="321"/>
        <v>-999</v>
      </c>
      <c r="CE763" s="16" t="e">
        <f t="shared" si="314"/>
        <v>#N/A</v>
      </c>
      <c r="CF763" s="16">
        <f t="shared" si="315"/>
        <v>99</v>
      </c>
      <c r="CG763" s="16">
        <f t="shared" si="316"/>
        <v>0</v>
      </c>
      <c r="CH763" s="16">
        <f t="shared" si="311"/>
        <v>0</v>
      </c>
      <c r="CJ763" s="16" t="e">
        <f t="shared" si="317"/>
        <v>#N/A</v>
      </c>
      <c r="CK763" s="16" t="str">
        <f t="shared" si="318"/>
        <v/>
      </c>
    </row>
    <row r="764" spans="73:89" ht="12" customHeight="1">
      <c r="BU764" s="16">
        <f t="shared" si="319"/>
        <v>0</v>
      </c>
      <c r="BV764" s="16">
        <f>IF($BY$12=1,NORMDIST(BY764,$Y$6,$Y$8,TRUE),IF($BY$12=2,IF(BY764&lt;=$BX$31,0,IF(BY764&gt;=$BX$32,1,(BY764-$BX$31)*$BX$33)),SUM($BU$42:BU764)/$BV$40))</f>
        <v>0.86650048675725455</v>
      </c>
      <c r="BW764" s="16">
        <f t="shared" si="320"/>
        <v>0.77780396399048746</v>
      </c>
      <c r="BX764" s="16">
        <f>IF($BY$12&lt;3,BV764,SUM($BZ$42:BZ764)/$BX$40)</f>
        <v>0.86650048675725455</v>
      </c>
      <c r="BY764" s="16">
        <f t="shared" si="312"/>
        <v>72.200000000000173</v>
      </c>
      <c r="BZ764" s="16">
        <f t="shared" si="313"/>
        <v>1.077290808851088E-2</v>
      </c>
      <c r="CA764" s="16">
        <f t="shared" si="321"/>
        <v>-999</v>
      </c>
      <c r="CE764" s="16" t="e">
        <f t="shared" si="314"/>
        <v>#N/A</v>
      </c>
      <c r="CF764" s="16">
        <f t="shared" si="315"/>
        <v>99</v>
      </c>
      <c r="CG764" s="16">
        <f t="shared" si="316"/>
        <v>0</v>
      </c>
      <c r="CH764" s="16">
        <f t="shared" si="311"/>
        <v>0</v>
      </c>
      <c r="CJ764" s="16" t="e">
        <f t="shared" si="317"/>
        <v>#N/A</v>
      </c>
      <c r="CK764" s="16" t="str">
        <f t="shared" si="318"/>
        <v/>
      </c>
    </row>
    <row r="765" spans="73:89" ht="12" customHeight="1">
      <c r="BU765" s="16">
        <f t="shared" si="319"/>
        <v>0</v>
      </c>
      <c r="BV765" s="16">
        <f>IF($BY$12=1,NORMDIST(BY765,$Y$6,$Y$8,TRUE),IF($BY$12=2,IF(BY765&lt;=$BX$31,0,IF(BY765&gt;=$BX$32,1,(BY765-$BX$31)*$BX$33)),SUM($BU$42:BU765)/$BV$40))</f>
        <v>0.86757478913693553</v>
      </c>
      <c r="BW765" s="16">
        <f t="shared" si="320"/>
        <v>0.77456075534880253</v>
      </c>
      <c r="BX765" s="16">
        <f>IF($BY$12&lt;3,BV765,SUM($BZ$42:BZ765)/$BX$40)</f>
        <v>0.86757478913693553</v>
      </c>
      <c r="BY765" s="16">
        <f t="shared" si="312"/>
        <v>72.300000000000168</v>
      </c>
      <c r="BZ765" s="16">
        <f t="shared" si="313"/>
        <v>1.0713150143136939E-2</v>
      </c>
      <c r="CA765" s="16">
        <f t="shared" si="321"/>
        <v>-999</v>
      </c>
      <c r="CE765" s="16" t="e">
        <f t="shared" si="314"/>
        <v>#N/A</v>
      </c>
      <c r="CF765" s="16">
        <f t="shared" si="315"/>
        <v>99</v>
      </c>
      <c r="CG765" s="16">
        <f t="shared" si="316"/>
        <v>0</v>
      </c>
      <c r="CH765" s="16">
        <f t="shared" si="311"/>
        <v>0</v>
      </c>
      <c r="CJ765" s="16" t="e">
        <f t="shared" si="317"/>
        <v>#N/A</v>
      </c>
      <c r="CK765" s="16" t="str">
        <f t="shared" si="318"/>
        <v/>
      </c>
    </row>
    <row r="766" spans="73:89" ht="12" customHeight="1">
      <c r="BU766" s="16">
        <f t="shared" si="319"/>
        <v>0</v>
      </c>
      <c r="BV766" s="16">
        <f>IF($BY$12=1,NORMDIST(BY766,$Y$6,$Y$8,TRUE),IF($BY$12=2,IF(BY766&lt;=$BX$31,0,IF(BY766&gt;=$BX$32,1,(BY766-$BX$31)*$BX$33)),SUM($BU$42:BU766)/$BV$40))</f>
        <v>0.86864311895727109</v>
      </c>
      <c r="BW766" s="16">
        <f t="shared" si="320"/>
        <v>0.77131031132809336</v>
      </c>
      <c r="BX766" s="16">
        <f>IF($BY$12&lt;3,BV766,SUM($BZ$42:BZ766)/$BX$40)</f>
        <v>0.86864311895727109</v>
      </c>
      <c r="BY766" s="16">
        <f t="shared" si="312"/>
        <v>72.400000000000162</v>
      </c>
      <c r="BZ766" s="16">
        <f t="shared" si="313"/>
        <v>1.0653457338785796E-2</v>
      </c>
      <c r="CA766" s="16">
        <f t="shared" si="321"/>
        <v>-999</v>
      </c>
      <c r="CE766" s="16" t="e">
        <f t="shared" si="314"/>
        <v>#N/A</v>
      </c>
      <c r="CF766" s="16">
        <f t="shared" si="315"/>
        <v>99</v>
      </c>
      <c r="CG766" s="16">
        <f t="shared" si="316"/>
        <v>0</v>
      </c>
      <c r="CH766" s="16">
        <f t="shared" si="311"/>
        <v>0</v>
      </c>
      <c r="CJ766" s="16" t="e">
        <f t="shared" si="317"/>
        <v>#N/A</v>
      </c>
      <c r="CK766" s="16" t="str">
        <f t="shared" si="318"/>
        <v/>
      </c>
    </row>
    <row r="767" spans="73:89" ht="12" customHeight="1">
      <c r="BU767" s="16">
        <f t="shared" si="319"/>
        <v>0</v>
      </c>
      <c r="BV767" s="16">
        <f>IF($BY$12=1,NORMDIST(BY767,$Y$6,$Y$8,TRUE),IF($BY$12=2,IF(BY767&lt;=$BX$31,0,IF(BY767&gt;=$BX$32,1,(BY767-$BX$31)*$BX$33)),SUM($BU$42:BU767)/$BV$40))</f>
        <v>0.86970548286319282</v>
      </c>
      <c r="BW767" s="16">
        <f t="shared" si="320"/>
        <v>0.76805284093690551</v>
      </c>
      <c r="BX767" s="16">
        <f>IF($BY$12&lt;3,BV767,SUM($BZ$42:BZ767)/$BX$40)</f>
        <v>0.86970548286319282</v>
      </c>
      <c r="BY767" s="16">
        <f t="shared" si="312"/>
        <v>72.500000000000156</v>
      </c>
      <c r="BZ767" s="16">
        <f t="shared" si="313"/>
        <v>1.0593832288784881E-2</v>
      </c>
      <c r="CA767" s="16">
        <f t="shared" si="321"/>
        <v>-999</v>
      </c>
      <c r="CE767" s="16" t="e">
        <f t="shared" si="314"/>
        <v>#N/A</v>
      </c>
      <c r="CF767" s="16">
        <f t="shared" si="315"/>
        <v>99</v>
      </c>
      <c r="CG767" s="16">
        <f t="shared" si="316"/>
        <v>0</v>
      </c>
      <c r="CH767" s="16">
        <f t="shared" si="311"/>
        <v>0</v>
      </c>
      <c r="CJ767" s="16" t="e">
        <f t="shared" si="317"/>
        <v>#N/A</v>
      </c>
      <c r="CK767" s="16" t="str">
        <f t="shared" si="318"/>
        <v/>
      </c>
    </row>
    <row r="768" spans="73:89" ht="12" customHeight="1">
      <c r="BU768" s="16">
        <f t="shared" si="319"/>
        <v>0</v>
      </c>
      <c r="BV768" s="16">
        <f>IF($BY$12=1,NORMDIST(BY768,$Y$6,$Y$8,TRUE),IF($BY$12=2,IF(BY768&lt;=$BX$31,0,IF(BY768&gt;=$BX$32,1,(BY768-$BX$31)*$BX$33)),SUM($BU$42:BU768)/$BV$40))</f>
        <v>0.87076188775998375</v>
      </c>
      <c r="BW768" s="16">
        <f t="shared" si="320"/>
        <v>0.76478855280173053</v>
      </c>
      <c r="BX768" s="16">
        <f>IF($BY$12&lt;3,BV768,SUM($BZ$42:BZ768)/$BX$40)</f>
        <v>0.87076188775998375</v>
      </c>
      <c r="BY768" s="16">
        <f t="shared" si="312"/>
        <v>72.600000000000151</v>
      </c>
      <c r="BZ768" s="16">
        <f t="shared" si="313"/>
        <v>1.0534277586800674E-2</v>
      </c>
      <c r="CA768" s="16">
        <f t="shared" si="321"/>
        <v>-999</v>
      </c>
      <c r="CE768" s="16" t="e">
        <f t="shared" si="314"/>
        <v>#N/A</v>
      </c>
      <c r="CF768" s="16">
        <f t="shared" si="315"/>
        <v>99</v>
      </c>
      <c r="CG768" s="16">
        <f t="shared" si="316"/>
        <v>0</v>
      </c>
      <c r="CH768" s="16">
        <f t="shared" si="311"/>
        <v>0</v>
      </c>
      <c r="CJ768" s="16" t="e">
        <f t="shared" si="317"/>
        <v>#N/A</v>
      </c>
      <c r="CK768" s="16" t="str">
        <f t="shared" si="318"/>
        <v/>
      </c>
    </row>
    <row r="769" spans="73:89" ht="12" customHeight="1">
      <c r="BU769" s="16">
        <f t="shared" si="319"/>
        <v>0</v>
      </c>
      <c r="BV769" s="16">
        <f>IF($BY$12=1,NORMDIST(BY769,$Y$6,$Y$8,TRUE),IF($BY$12=2,IF(BY769&lt;=$BX$31,0,IF(BY769&gt;=$BX$32,1,(BY769-$BX$31)*$BX$33)),SUM($BU$42:BU769)/$BV$40))</f>
        <v>0.87181234081130421</v>
      </c>
      <c r="BW769" s="16">
        <f t="shared" si="320"/>
        <v>0.76151765514637348</v>
      </c>
      <c r="BX769" s="16">
        <f>IF($BY$12&lt;3,BV769,SUM($BZ$42:BZ769)/$BX$40)</f>
        <v>0.87181234081130421</v>
      </c>
      <c r="BY769" s="16">
        <f t="shared" si="312"/>
        <v>72.700000000000145</v>
      </c>
      <c r="BZ769" s="16">
        <f t="shared" si="313"/>
        <v>1.0474795806690123E-2</v>
      </c>
      <c r="CA769" s="16">
        <f t="shared" si="321"/>
        <v>-999</v>
      </c>
      <c r="CE769" s="16" t="e">
        <f t="shared" si="314"/>
        <v>#N/A</v>
      </c>
      <c r="CF769" s="16">
        <f t="shared" si="315"/>
        <v>99</v>
      </c>
      <c r="CG769" s="16">
        <f t="shared" si="316"/>
        <v>0</v>
      </c>
      <c r="CH769" s="16">
        <f t="shared" si="311"/>
        <v>0</v>
      </c>
      <c r="CJ769" s="16" t="e">
        <f t="shared" si="317"/>
        <v>#N/A</v>
      </c>
      <c r="CK769" s="16" t="str">
        <f t="shared" si="318"/>
        <v/>
      </c>
    </row>
    <row r="770" spans="73:89" ht="12" customHeight="1">
      <c r="BU770" s="16">
        <f t="shared" si="319"/>
        <v>0</v>
      </c>
      <c r="BV770" s="16">
        <f>IF($BY$12=1,NORMDIST(BY770,$Y$6,$Y$8,TRUE),IF($BY$12=2,IF(BY770&lt;=$BX$31,0,IF(BY770&gt;=$BX$32,1,(BY770-$BX$31)*$BX$33)),SUM($BU$42:BU770)/$BV$40))</f>
        <v>0.8728568494372031</v>
      </c>
      <c r="BW770" s="16">
        <f t="shared" si="320"/>
        <v>0.75824035577146975</v>
      </c>
      <c r="BX770" s="16">
        <f>IF($BY$12&lt;3,BV770,SUM($BZ$42:BZ770)/$BX$40)</f>
        <v>0.8728568494372031</v>
      </c>
      <c r="BY770" s="16">
        <f t="shared" si="312"/>
        <v>72.800000000000139</v>
      </c>
      <c r="BZ770" s="16">
        <f t="shared" si="313"/>
        <v>1.0415389502355333E-2</v>
      </c>
      <c r="CA770" s="16">
        <f t="shared" si="321"/>
        <v>-999</v>
      </c>
      <c r="CE770" s="16" t="e">
        <f t="shared" si="314"/>
        <v>#N/A</v>
      </c>
      <c r="CF770" s="16">
        <f t="shared" si="315"/>
        <v>99</v>
      </c>
      <c r="CG770" s="16">
        <f t="shared" si="316"/>
        <v>0</v>
      </c>
      <c r="CH770" s="16">
        <f t="shared" si="311"/>
        <v>0</v>
      </c>
      <c r="CJ770" s="16" t="e">
        <f t="shared" si="317"/>
        <v>#N/A</v>
      </c>
      <c r="CK770" s="16" t="str">
        <f t="shared" si="318"/>
        <v/>
      </c>
    </row>
    <row r="771" spans="73:89" ht="12" customHeight="1">
      <c r="BU771" s="16">
        <f t="shared" si="319"/>
        <v>0</v>
      </c>
      <c r="BV771" s="16">
        <f>IF($BY$12=1,NORMDIST(BY771,$Y$6,$Y$8,TRUE),IF($BY$12=2,IF(BY771&lt;=$BX$31,0,IF(BY771&gt;=$BX$32,1,(BY771-$BX$31)*$BX$33)),SUM($BU$42:BU771)/$BV$40))</f>
        <v>0.87389542131211695</v>
      </c>
      <c r="BW771" s="16">
        <f t="shared" si="320"/>
        <v>0.75495686203415735</v>
      </c>
      <c r="BX771" s="16">
        <f>IF($BY$12&lt;3,BV771,SUM($BZ$42:BZ771)/$BX$40)</f>
        <v>0.87389542131211695</v>
      </c>
      <c r="BY771" s="16">
        <f t="shared" si="312"/>
        <v>72.900000000000134</v>
      </c>
      <c r="BZ771" s="16">
        <f t="shared" si="313"/>
        <v>1.035606120760159E-2</v>
      </c>
      <c r="CA771" s="16">
        <f t="shared" si="321"/>
        <v>-999</v>
      </c>
      <c r="CE771" s="16" t="e">
        <f t="shared" si="314"/>
        <v>#N/A</v>
      </c>
      <c r="CF771" s="16">
        <f t="shared" si="315"/>
        <v>99</v>
      </c>
      <c r="CG771" s="16">
        <f t="shared" si="316"/>
        <v>0</v>
      </c>
      <c r="CH771" s="16">
        <f t="shared" ref="CH771:CH834" si="322">IF(CB771="",0,1)</f>
        <v>0</v>
      </c>
      <c r="CJ771" s="16" t="e">
        <f t="shared" si="317"/>
        <v>#N/A</v>
      </c>
      <c r="CK771" s="16" t="str">
        <f t="shared" si="318"/>
        <v/>
      </c>
    </row>
    <row r="772" spans="73:89" ht="12" customHeight="1">
      <c r="BU772" s="16">
        <f t="shared" si="319"/>
        <v>0</v>
      </c>
      <c r="BV772" s="16">
        <f>IF($BY$12=1,NORMDIST(BY772,$Y$6,$Y$8,TRUE),IF($BY$12=2,IF(BY772&lt;=$BX$31,0,IF(BY772&gt;=$BX$32,1,(BY772-$BX$31)*$BX$33)),SUM($BU$42:BU772)/$BV$40))</f>
        <v>0.87492806436285098</v>
      </c>
      <c r="BW772" s="16">
        <f t="shared" si="320"/>
        <v>0.75166738082790341</v>
      </c>
      <c r="BX772" s="16">
        <f>IF($BY$12&lt;3,BV772,SUM($BZ$42:BZ772)/$BX$40)</f>
        <v>0.87492806436285098</v>
      </c>
      <c r="BY772" s="16">
        <f t="shared" si="312"/>
        <v>73.000000000000128</v>
      </c>
      <c r="BZ772" s="16">
        <f t="shared" si="313"/>
        <v>1.0296813435998659E-2</v>
      </c>
      <c r="CA772" s="16">
        <f t="shared" si="321"/>
        <v>-999</v>
      </c>
      <c r="CE772" s="16" t="e">
        <f t="shared" si="314"/>
        <v>#N/A</v>
      </c>
      <c r="CF772" s="16">
        <f t="shared" si="315"/>
        <v>99</v>
      </c>
      <c r="CG772" s="16">
        <f t="shared" si="316"/>
        <v>0</v>
      </c>
      <c r="CH772" s="16">
        <f t="shared" si="322"/>
        <v>0</v>
      </c>
      <c r="CJ772" s="16" t="e">
        <f t="shared" si="317"/>
        <v>#N/A</v>
      </c>
      <c r="CK772" s="16" t="str">
        <f t="shared" si="318"/>
        <v/>
      </c>
    </row>
    <row r="773" spans="73:89" ht="12" customHeight="1">
      <c r="BU773" s="16">
        <f t="shared" si="319"/>
        <v>0</v>
      </c>
      <c r="BV773" s="16">
        <f>IF($BY$12=1,NORMDIST(BY773,$Y$6,$Y$8,TRUE),IF($BY$12=2,IF(BY773&lt;=$BX$31,0,IF(BY773&gt;=$BX$32,1,(BY773-$BX$31)*$BX$33)),SUM($BU$42:BU773)/$BV$40))</f>
        <v>0.87595478676655103</v>
      </c>
      <c r="BW773" s="16">
        <f t="shared" si="320"/>
        <v>0.7483721185624933</v>
      </c>
      <c r="BX773" s="16">
        <f>IF($BY$12&lt;3,BV773,SUM($BZ$42:BZ773)/$BX$40)</f>
        <v>0.87595478676655103</v>
      </c>
      <c r="BY773" s="16">
        <f t="shared" si="312"/>
        <v>73.100000000000122</v>
      </c>
      <c r="BZ773" s="16">
        <f t="shared" si="313"/>
        <v>1.0237648680745445E-2</v>
      </c>
      <c r="CA773" s="16">
        <f t="shared" si="321"/>
        <v>-999</v>
      </c>
      <c r="CE773" s="16" t="e">
        <f t="shared" si="314"/>
        <v>#N/A</v>
      </c>
      <c r="CF773" s="16">
        <f t="shared" si="315"/>
        <v>99</v>
      </c>
      <c r="CG773" s="16">
        <f t="shared" si="316"/>
        <v>0</v>
      </c>
      <c r="CH773" s="16">
        <f t="shared" si="322"/>
        <v>0</v>
      </c>
      <c r="CJ773" s="16" t="e">
        <f t="shared" si="317"/>
        <v>#N/A</v>
      </c>
      <c r="CK773" s="16" t="str">
        <f t="shared" si="318"/>
        <v/>
      </c>
    </row>
    <row r="774" spans="73:89" ht="12" customHeight="1">
      <c r="BU774" s="16">
        <f t="shared" si="319"/>
        <v>0</v>
      </c>
      <c r="BV774" s="16">
        <f>IF($BY$12=1,NORMDIST(BY774,$Y$6,$Y$8,TRUE),IF($BY$12=2,IF(BY774&lt;=$BX$31,0,IF(BY774&gt;=$BX$32,1,(BY774-$BX$31)*$BX$33)),SUM($BU$42:BU774)/$BV$40))</f>
        <v>0.87697559694865779</v>
      </c>
      <c r="BW774" s="16">
        <f t="shared" si="320"/>
        <v>0.74507128114417565</v>
      </c>
      <c r="BX774" s="16">
        <f>IF($BY$12&lt;3,BV774,SUM($BZ$42:BZ774)/$BX$40)</f>
        <v>0.87697559694865779</v>
      </c>
      <c r="BY774" s="16">
        <f t="shared" si="312"/>
        <v>73.200000000000117</v>
      </c>
      <c r="BZ774" s="16">
        <f t="shared" si="313"/>
        <v>1.0178569414537902E-2</v>
      </c>
      <c r="CA774" s="16">
        <f t="shared" si="321"/>
        <v>-999</v>
      </c>
      <c r="CE774" s="16" t="e">
        <f t="shared" si="314"/>
        <v>#N/A</v>
      </c>
      <c r="CF774" s="16">
        <f t="shared" si="315"/>
        <v>99</v>
      </c>
      <c r="CG774" s="16">
        <f t="shared" si="316"/>
        <v>0</v>
      </c>
      <c r="CH774" s="16">
        <f t="shared" si="322"/>
        <v>0</v>
      </c>
      <c r="CJ774" s="16" t="e">
        <f t="shared" si="317"/>
        <v>#N/A</v>
      </c>
      <c r="CK774" s="16" t="str">
        <f t="shared" si="318"/>
        <v/>
      </c>
    </row>
    <row r="775" spans="73:89" ht="12" customHeight="1">
      <c r="BU775" s="16">
        <f t="shared" si="319"/>
        <v>0</v>
      </c>
      <c r="BV775" s="16">
        <f>IF($BY$12=1,NORMDIST(BY775,$Y$6,$Y$8,TRUE),IF($BY$12=2,IF(BY775&lt;=$BX$31,0,IF(BY775&gt;=$BX$32,1,(BY775-$BX$31)*$BX$33)),SUM($BU$42:BU775)/$BV$40))</f>
        <v>0.87799050358085184</v>
      </c>
      <c r="BW775" s="16">
        <f t="shared" si="320"/>
        <v>0.74176507395597535</v>
      </c>
      <c r="BX775" s="16">
        <f>IF($BY$12&lt;3,BV775,SUM($BZ$42:BZ775)/$BX$40)</f>
        <v>0.87799050358085184</v>
      </c>
      <c r="BY775" s="16">
        <f t="shared" si="312"/>
        <v>73.300000000000111</v>
      </c>
      <c r="BZ775" s="16">
        <f t="shared" si="313"/>
        <v>1.0119578089440303E-2</v>
      </c>
      <c r="CA775" s="16">
        <f t="shared" si="321"/>
        <v>-999</v>
      </c>
      <c r="CE775" s="16" t="e">
        <f t="shared" si="314"/>
        <v>#N/A</v>
      </c>
      <c r="CF775" s="16">
        <f t="shared" si="315"/>
        <v>99</v>
      </c>
      <c r="CG775" s="16">
        <f t="shared" si="316"/>
        <v>0</v>
      </c>
      <c r="CH775" s="16">
        <f t="shared" si="322"/>
        <v>0</v>
      </c>
      <c r="CJ775" s="16" t="e">
        <f t="shared" si="317"/>
        <v>#N/A</v>
      </c>
      <c r="CK775" s="16" t="str">
        <f t="shared" si="318"/>
        <v/>
      </c>
    </row>
    <row r="776" spans="73:89" ht="12" customHeight="1">
      <c r="BU776" s="16">
        <f t="shared" si="319"/>
        <v>0</v>
      </c>
      <c r="BV776" s="16">
        <f>IF($BY$12=1,NORMDIST(BY776,$Y$6,$Y$8,TRUE),IF($BY$12=2,IF(BY776&lt;=$BX$31,0,IF(BY776&gt;=$BX$32,1,(BY776-$BX$31)*$BX$33)),SUM($BU$42:BU776)/$BV$40))</f>
        <v>0.87899951557898282</v>
      </c>
      <c r="BW776" s="16">
        <f t="shared" si="320"/>
        <v>0.73845370183817072</v>
      </c>
      <c r="BX776" s="16">
        <f>IF($BY$12&lt;3,BV776,SUM($BZ$42:BZ776)/$BX$40)</f>
        <v>0.87899951557898282</v>
      </c>
      <c r="BY776" s="16">
        <f t="shared" si="312"/>
        <v>73.400000000000105</v>
      </c>
      <c r="BZ776" s="16">
        <f t="shared" si="313"/>
        <v>1.0060677136759805E-2</v>
      </c>
      <c r="CA776" s="16">
        <f t="shared" si="321"/>
        <v>-999</v>
      </c>
      <c r="CE776" s="16" t="e">
        <f t="shared" si="314"/>
        <v>#N/A</v>
      </c>
      <c r="CF776" s="16">
        <f t="shared" si="315"/>
        <v>99</v>
      </c>
      <c r="CG776" s="16">
        <f t="shared" si="316"/>
        <v>0</v>
      </c>
      <c r="CH776" s="16">
        <f t="shared" si="322"/>
        <v>0</v>
      </c>
      <c r="CJ776" s="16" t="e">
        <f t="shared" si="317"/>
        <v>#N/A</v>
      </c>
      <c r="CK776" s="16" t="str">
        <f t="shared" si="318"/>
        <v/>
      </c>
    </row>
    <row r="777" spans="73:89" ht="12" customHeight="1">
      <c r="BU777" s="16">
        <f t="shared" si="319"/>
        <v>0</v>
      </c>
      <c r="BV777" s="16">
        <f>IF($BY$12=1,NORMDIST(BY777,$Y$6,$Y$8,TRUE),IF($BY$12=2,IF(BY777&lt;=$BX$31,0,IF(BY777&gt;=$BX$32,1,(BY777-$BX$31)*$BX$33)),SUM($BU$42:BU777)/$BV$40))</f>
        <v>0.88000264210098833</v>
      </c>
      <c r="BW777" s="16">
        <f t="shared" si="320"/>
        <v>0.7351373690689389</v>
      </c>
      <c r="BX777" s="16">
        <f>IF($BY$12&lt;3,BV777,SUM($BZ$42:BZ777)/$BX$40)</f>
        <v>0.88000264210098833</v>
      </c>
      <c r="BY777" s="16">
        <f t="shared" si="312"/>
        <v>73.500000000000099</v>
      </c>
      <c r="BZ777" s="16">
        <f t="shared" si="313"/>
        <v>1.0001868966924326E-2</v>
      </c>
      <c r="CA777" s="16">
        <f t="shared" si="321"/>
        <v>-999</v>
      </c>
      <c r="CE777" s="16" t="e">
        <f t="shared" si="314"/>
        <v>#N/A</v>
      </c>
      <c r="CF777" s="16">
        <f t="shared" si="315"/>
        <v>99</v>
      </c>
      <c r="CG777" s="16">
        <f t="shared" si="316"/>
        <v>0</v>
      </c>
      <c r="CH777" s="16">
        <f t="shared" si="322"/>
        <v>0</v>
      </c>
      <c r="CJ777" s="16" t="e">
        <f t="shared" si="317"/>
        <v>#N/A</v>
      </c>
      <c r="CK777" s="16" t="str">
        <f t="shared" si="318"/>
        <v/>
      </c>
    </row>
    <row r="778" spans="73:89" ht="12" customHeight="1">
      <c r="BU778" s="16">
        <f t="shared" si="319"/>
        <v>0</v>
      </c>
      <c r="BV778" s="16">
        <f>IF($BY$12=1,NORMDIST(BY778,$Y$6,$Y$8,TRUE),IF($BY$12=2,IF(BY778&lt;=$BX$31,0,IF(BY778&gt;=$BX$32,1,(BY778-$BX$31)*$BX$33)),SUM($BU$42:BU778)/$BV$40))</f>
        <v>0.88099989254480016</v>
      </c>
      <c r="BW778" s="16">
        <f t="shared" si="320"/>
        <v>0.73181627934517213</v>
      </c>
      <c r="BX778" s="16">
        <f>IF($BY$12&lt;3,BV778,SUM($BZ$42:BZ778)/$BX$40)</f>
        <v>0.88099989254480016</v>
      </c>
      <c r="BY778" s="16">
        <f t="shared" si="312"/>
        <v>73.600000000000094</v>
      </c>
      <c r="BZ778" s="16">
        <f t="shared" si="313"/>
        <v>9.943155969363739E-3</v>
      </c>
      <c r="CA778" s="16">
        <f t="shared" si="321"/>
        <v>-999</v>
      </c>
      <c r="CE778" s="16" t="e">
        <f t="shared" si="314"/>
        <v>#N/A</v>
      </c>
      <c r="CF778" s="16">
        <f t="shared" si="315"/>
        <v>99</v>
      </c>
      <c r="CG778" s="16">
        <f t="shared" si="316"/>
        <v>0</v>
      </c>
      <c r="CH778" s="16">
        <f t="shared" si="322"/>
        <v>0</v>
      </c>
      <c r="CJ778" s="16" t="e">
        <f t="shared" si="317"/>
        <v>#N/A</v>
      </c>
      <c r="CK778" s="16" t="str">
        <f t="shared" si="318"/>
        <v/>
      </c>
    </row>
    <row r="779" spans="73:89" ht="12" customHeight="1">
      <c r="BU779" s="16">
        <f t="shared" si="319"/>
        <v>0</v>
      </c>
      <c r="BV779" s="16">
        <f>IF($BY$12=1,NORMDIST(BY779,$Y$6,$Y$8,TRUE),IF($BY$12=2,IF(BY779&lt;=$BX$31,0,IF(BY779&gt;=$BX$32,1,(BY779-$BX$31)*$BX$33)),SUM($BU$42:BU779)/$BV$40))</f>
        <v>0.88199127654623777</v>
      </c>
      <c r="BW779" s="16">
        <f t="shared" si="320"/>
        <v>0.7284906357634654</v>
      </c>
      <c r="BX779" s="16">
        <f>IF($BY$12&lt;3,BV779,SUM($BZ$42:BZ779)/$BX$40)</f>
        <v>0.88199127654623777</v>
      </c>
      <c r="BY779" s="16">
        <f t="shared" si="312"/>
        <v>73.700000000000088</v>
      </c>
      <c r="BZ779" s="16">
        <f t="shared" si="313"/>
        <v>9.884540512394362E-3</v>
      </c>
      <c r="CA779" s="16">
        <f t="shared" si="321"/>
        <v>-999</v>
      </c>
      <c r="CE779" s="16" t="e">
        <f t="shared" si="314"/>
        <v>#N/A</v>
      </c>
      <c r="CF779" s="16">
        <f t="shared" si="315"/>
        <v>99</v>
      </c>
      <c r="CG779" s="16">
        <f t="shared" si="316"/>
        <v>0</v>
      </c>
      <c r="CH779" s="16">
        <f t="shared" si="322"/>
        <v>0</v>
      </c>
      <c r="CJ779" s="16" t="e">
        <f t="shared" si="317"/>
        <v>#N/A</v>
      </c>
      <c r="CK779" s="16" t="str">
        <f t="shared" si="318"/>
        <v/>
      </c>
    </row>
    <row r="780" spans="73:89" ht="12" customHeight="1">
      <c r="BU780" s="16">
        <f t="shared" si="319"/>
        <v>0</v>
      </c>
      <c r="BV780" s="16">
        <f>IF($BY$12=1,NORMDIST(BY780,$Y$6,$Y$8,TRUE),IF($BY$12=2,IF(BY780&lt;=$BX$31,0,IF(BY780&gt;=$BX$32,1,(BY780-$BX$31)*$BX$33)),SUM($BU$42:BU780)/$BV$40))</f>
        <v>0.88297680397689193</v>
      </c>
      <c r="BW780" s="16">
        <f t="shared" si="320"/>
        <v>0.72516064080128084</v>
      </c>
      <c r="BX780" s="16">
        <f>IF($BY$12&lt;3,BV780,SUM($BZ$42:BZ780)/$BX$40)</f>
        <v>0.88297680397689193</v>
      </c>
      <c r="BY780" s="16">
        <f t="shared" si="312"/>
        <v>73.800000000000082</v>
      </c>
      <c r="BZ780" s="16">
        <f t="shared" si="313"/>
        <v>9.8260249431067759E-3</v>
      </c>
      <c r="CA780" s="16">
        <f t="shared" si="321"/>
        <v>-999</v>
      </c>
      <c r="CE780" s="16" t="e">
        <f t="shared" si="314"/>
        <v>#N/A</v>
      </c>
      <c r="CF780" s="16">
        <f t="shared" si="315"/>
        <v>99</v>
      </c>
      <c r="CG780" s="16">
        <f t="shared" si="316"/>
        <v>0</v>
      </c>
      <c r="CH780" s="16">
        <f t="shared" si="322"/>
        <v>0</v>
      </c>
      <c r="CJ780" s="16" t="e">
        <f t="shared" si="317"/>
        <v>#N/A</v>
      </c>
      <c r="CK780" s="16" t="str">
        <f t="shared" si="318"/>
        <v/>
      </c>
    </row>
    <row r="781" spans="73:89" ht="12" customHeight="1">
      <c r="BU781" s="16">
        <f t="shared" si="319"/>
        <v>0</v>
      </c>
      <c r="BV781" s="16">
        <f>IF($BY$12=1,NORMDIST(BY781,$Y$6,$Y$8,TRUE),IF($BY$12=2,IF(BY781&lt;=$BX$31,0,IF(BY781&gt;=$BX$32,1,(BY781-$BX$31)*$BX$33)),SUM($BU$42:BU781)/$BV$40))</f>
        <v>0.8839564849419973</v>
      </c>
      <c r="BW781" s="16">
        <f t="shared" si="320"/>
        <v>0.72182649629828877</v>
      </c>
      <c r="BX781" s="16">
        <f>IF($BY$12&lt;3,BV781,SUM($BZ$42:BZ781)/$BX$40)</f>
        <v>0.8839564849419973</v>
      </c>
      <c r="BY781" s="16">
        <f t="shared" si="312"/>
        <v>73.900000000000077</v>
      </c>
      <c r="BZ781" s="16">
        <f t="shared" si="313"/>
        <v>9.7676115872569417E-3</v>
      </c>
      <c r="CA781" s="16">
        <f t="shared" si="321"/>
        <v>-999</v>
      </c>
      <c r="CE781" s="16" t="e">
        <f t="shared" si="314"/>
        <v>#N/A</v>
      </c>
      <c r="CF781" s="16">
        <f t="shared" si="315"/>
        <v>99</v>
      </c>
      <c r="CG781" s="16">
        <f t="shared" si="316"/>
        <v>0</v>
      </c>
      <c r="CH781" s="16">
        <f t="shared" si="322"/>
        <v>0</v>
      </c>
      <c r="CJ781" s="16" t="e">
        <f t="shared" si="317"/>
        <v>#N/A</v>
      </c>
      <c r="CK781" s="16" t="str">
        <f t="shared" si="318"/>
        <v/>
      </c>
    </row>
    <row r="782" spans="73:89" ht="12" customHeight="1">
      <c r="BU782" s="16">
        <f t="shared" si="319"/>
        <v>0</v>
      </c>
      <c r="BV782" s="16">
        <f>IF($BY$12=1,NORMDIST(BY782,$Y$6,$Y$8,TRUE),IF($BY$12=2,IF(BY782&lt;=$BX$31,0,IF(BY782&gt;=$BX$32,1,(BY782-$BX$31)*$BX$33)),SUM($BU$42:BU782)/$BV$40))</f>
        <v>0.88493032977829245</v>
      </c>
      <c r="BW782" s="16">
        <f t="shared" si="320"/>
        <v>0.71848840343788545</v>
      </c>
      <c r="BX782" s="16">
        <f>IF($BY$12&lt;3,BV782,SUM($BZ$42:BZ782)/$BX$40)</f>
        <v>0.88493032977829245</v>
      </c>
      <c r="BY782" s="16">
        <f t="shared" si="312"/>
        <v>74.000000000000071</v>
      </c>
      <c r="BZ782" s="16">
        <f t="shared" si="313"/>
        <v>9.7093027491606046E-3</v>
      </c>
      <c r="CA782" s="16">
        <f t="shared" si="321"/>
        <v>-999</v>
      </c>
      <c r="CE782" s="16" t="e">
        <f t="shared" si="314"/>
        <v>#N/A</v>
      </c>
      <c r="CF782" s="16">
        <f t="shared" si="315"/>
        <v>99</v>
      </c>
      <c r="CG782" s="16">
        <f t="shared" si="316"/>
        <v>0</v>
      </c>
      <c r="CH782" s="16">
        <f t="shared" si="322"/>
        <v>0</v>
      </c>
      <c r="CJ782" s="16" t="e">
        <f t="shared" si="317"/>
        <v>#N/A</v>
      </c>
      <c r="CK782" s="16" t="str">
        <f t="shared" si="318"/>
        <v/>
      </c>
    </row>
    <row r="783" spans="73:89" ht="12" customHeight="1">
      <c r="BU783" s="16">
        <f t="shared" si="319"/>
        <v>0</v>
      </c>
      <c r="BV783" s="16">
        <f>IF($BY$12=1,NORMDIST(BY783,$Y$6,$Y$8,TRUE),IF($BY$12=2,IF(BY783&lt;=$BX$31,0,IF(BY783&gt;=$BX$32,1,(BY783-$BX$31)*$BX$33)),SUM($BU$42:BU783)/$BV$40))</f>
        <v>0.88589834905187093</v>
      </c>
      <c r="BW783" s="16">
        <f t="shared" si="320"/>
        <v>0.71514656272889476</v>
      </c>
      <c r="BX783" s="16">
        <f>IF($BY$12&lt;3,BV783,SUM($BZ$42:BZ783)/$BX$40)</f>
        <v>0.88589834905187093</v>
      </c>
      <c r="BY783" s="16">
        <f t="shared" si="312"/>
        <v>74.100000000000065</v>
      </c>
      <c r="BZ783" s="16">
        <f t="shared" si="313"/>
        <v>9.6511007115910145E-3</v>
      </c>
      <c r="CA783" s="16">
        <f t="shared" si="321"/>
        <v>-999</v>
      </c>
      <c r="CE783" s="16" t="e">
        <f t="shared" si="314"/>
        <v>#N/A</v>
      </c>
      <c r="CF783" s="16">
        <f t="shared" si="315"/>
        <v>99</v>
      </c>
      <c r="CG783" s="16">
        <f t="shared" si="316"/>
        <v>0</v>
      </c>
      <c r="CH783" s="16">
        <f t="shared" si="322"/>
        <v>0</v>
      </c>
      <c r="CJ783" s="16" t="e">
        <f t="shared" si="317"/>
        <v>#N/A</v>
      </c>
      <c r="CK783" s="16" t="str">
        <f t="shared" si="318"/>
        <v/>
      </c>
    </row>
    <row r="784" spans="73:89" ht="12" customHeight="1">
      <c r="BU784" s="16">
        <f t="shared" si="319"/>
        <v>0</v>
      </c>
      <c r="BV784" s="16">
        <f>IF($BY$12=1,NORMDIST(BY784,$Y$6,$Y$8,TRUE),IF($BY$12=2,IF(BY784&lt;=$BX$31,0,IF(BY784&gt;=$BX$32,1,(BY784-$BX$31)*$BX$33)),SUM($BU$42:BU784)/$BV$40))</f>
        <v>0.88686055355602333</v>
      </c>
      <c r="BW784" s="16">
        <f t="shared" si="320"/>
        <v>0.71180117398745157</v>
      </c>
      <c r="BX784" s="16">
        <f>IF($BY$12&lt;3,BV784,SUM($BZ$42:BZ784)/$BX$40)</f>
        <v>0.88686055355602333</v>
      </c>
      <c r="BY784" s="16">
        <f t="shared" si="312"/>
        <v>74.20000000000006</v>
      </c>
      <c r="BZ784" s="16">
        <f t="shared" si="313"/>
        <v>9.5930077356799325E-3</v>
      </c>
      <c r="CA784" s="16">
        <f t="shared" si="321"/>
        <v>-999</v>
      </c>
      <c r="CE784" s="16" t="e">
        <f t="shared" si="314"/>
        <v>#N/A</v>
      </c>
      <c r="CF784" s="16">
        <f t="shared" si="315"/>
        <v>99</v>
      </c>
      <c r="CG784" s="16">
        <f t="shared" si="316"/>
        <v>0</v>
      </c>
      <c r="CH784" s="16">
        <f t="shared" si="322"/>
        <v>0</v>
      </c>
      <c r="CJ784" s="16" t="e">
        <f t="shared" si="317"/>
        <v>#N/A</v>
      </c>
      <c r="CK784" s="16" t="str">
        <f t="shared" si="318"/>
        <v/>
      </c>
    </row>
    <row r="785" spans="73:89" ht="12" customHeight="1">
      <c r="BU785" s="16">
        <f t="shared" si="319"/>
        <v>0</v>
      </c>
      <c r="BV785" s="16">
        <f>IF($BY$12=1,NORMDIST(BY785,$Y$6,$Y$8,TRUE),IF($BY$12=2,IF(BY785&lt;=$BX$31,0,IF(BY785&gt;=$BX$32,1,(BY785-$BX$31)*$BX$33)),SUM($BU$42:BU785)/$BV$40))</f>
        <v>0.88781695430906626</v>
      </c>
      <c r="BW785" s="16">
        <f t="shared" si="320"/>
        <v>0.70845243631907029</v>
      </c>
      <c r="BX785" s="16">
        <f>IF($BY$12&lt;3,BV785,SUM($BZ$42:BZ785)/$BX$40)</f>
        <v>0.88781695430906626</v>
      </c>
      <c r="BY785" s="16">
        <f t="shared" si="312"/>
        <v>74.300000000000054</v>
      </c>
      <c r="BZ785" s="16">
        <f t="shared" si="313"/>
        <v>9.5350260608219346E-3</v>
      </c>
      <c r="CA785" s="16">
        <f t="shared" si="321"/>
        <v>-999</v>
      </c>
      <c r="CE785" s="16" t="e">
        <f t="shared" si="314"/>
        <v>#N/A</v>
      </c>
      <c r="CF785" s="16">
        <f t="shared" si="315"/>
        <v>99</v>
      </c>
      <c r="CG785" s="16">
        <f t="shared" si="316"/>
        <v>0</v>
      </c>
      <c r="CH785" s="16">
        <f t="shared" si="322"/>
        <v>0</v>
      </c>
      <c r="CJ785" s="16" t="e">
        <f t="shared" si="317"/>
        <v>#N/A</v>
      </c>
      <c r="CK785" s="16" t="str">
        <f t="shared" si="318"/>
        <v/>
      </c>
    </row>
    <row r="786" spans="73:89" ht="12" customHeight="1">
      <c r="BU786" s="16">
        <f t="shared" si="319"/>
        <v>0</v>
      </c>
      <c r="BV786" s="16">
        <f>IF($BY$12=1,NORMDIST(BY786,$Y$6,$Y$8,TRUE),IF($BY$12=2,IF(BY786&lt;=$BX$31,0,IF(BY786&gt;=$BX$32,1,(BY786-$BX$31)*$BX$33)),SUM($BU$42:BU786)/$BV$40))</f>
        <v>0.88876756255216571</v>
      </c>
      <c r="BW786" s="16">
        <f t="shared" si="320"/>
        <v>0.70510054810089995</v>
      </c>
      <c r="BX786" s="16">
        <f>IF($BY$12&lt;3,BV786,SUM($BZ$42:BZ786)/$BX$40)</f>
        <v>0.88876756255216571</v>
      </c>
      <c r="BY786" s="16">
        <f t="shared" si="312"/>
        <v>74.400000000000048</v>
      </c>
      <c r="BZ786" s="16">
        <f t="shared" si="313"/>
        <v>9.4771579045819822E-3</v>
      </c>
      <c r="CA786" s="16">
        <f t="shared" si="321"/>
        <v>-999</v>
      </c>
      <c r="CE786" s="16" t="e">
        <f t="shared" si="314"/>
        <v>#N/A</v>
      </c>
      <c r="CF786" s="16">
        <f t="shared" si="315"/>
        <v>99</v>
      </c>
      <c r="CG786" s="16">
        <f t="shared" si="316"/>
        <v>0</v>
      </c>
      <c r="CH786" s="16">
        <f t="shared" si="322"/>
        <v>0</v>
      </c>
      <c r="CJ786" s="16" t="e">
        <f t="shared" si="317"/>
        <v>#N/A</v>
      </c>
      <c r="CK786" s="16" t="str">
        <f t="shared" si="318"/>
        <v/>
      </c>
    </row>
    <row r="787" spans="73:89" ht="12" customHeight="1">
      <c r="BU787" s="16">
        <f t="shared" si="319"/>
        <v>0</v>
      </c>
      <c r="BV787" s="16">
        <f>IF($BY$12=1,NORMDIST(BY787,$Y$6,$Y$8,TRUE),IF($BY$12=2,IF(BY787&lt;=$BX$31,0,IF(BY787&gt;=$BX$32,1,(BY787-$BX$31)*$BX$33)),SUM($BU$42:BU787)/$BV$40))</f>
        <v>0.88971238974714906</v>
      </c>
      <c r="BW787" s="16">
        <f t="shared" si="320"/>
        <v>0.70174570696416905</v>
      </c>
      <c r="BX787" s="16">
        <f>IF($BY$12&lt;3,BV787,SUM($BZ$42:BZ787)/$BX$40)</f>
        <v>0.88971238974714906</v>
      </c>
      <c r="BY787" s="16">
        <f t="shared" si="312"/>
        <v>74.500000000000043</v>
      </c>
      <c r="BZ787" s="16">
        <f t="shared" si="313"/>
        <v>9.4194054626062906E-3</v>
      </c>
      <c r="CA787" s="16">
        <f t="shared" si="321"/>
        <v>-999</v>
      </c>
      <c r="CE787" s="16" t="e">
        <f t="shared" si="314"/>
        <v>#N/A</v>
      </c>
      <c r="CF787" s="16">
        <f t="shared" si="315"/>
        <v>99</v>
      </c>
      <c r="CG787" s="16">
        <f t="shared" si="316"/>
        <v>0</v>
      </c>
      <c r="CH787" s="16">
        <f t="shared" si="322"/>
        <v>0</v>
      </c>
      <c r="CJ787" s="16" t="e">
        <f t="shared" si="317"/>
        <v>#N/A</v>
      </c>
      <c r="CK787" s="16" t="str">
        <f t="shared" si="318"/>
        <v/>
      </c>
    </row>
    <row r="788" spans="73:89" ht="12" customHeight="1">
      <c r="BU788" s="16">
        <f t="shared" si="319"/>
        <v>0</v>
      </c>
      <c r="BV788" s="16">
        <f>IF($BY$12=1,NORMDIST(BY788,$Y$6,$Y$8,TRUE),IF($BY$12=2,IF(BY788&lt;=$BX$31,0,IF(BY788&gt;=$BX$32,1,(BY788-$BX$31)*$BX$33)),SUM($BU$42:BU788)/$BV$40))</f>
        <v>0.89065144757430836</v>
      </c>
      <c r="BW788" s="16">
        <f t="shared" si="320"/>
        <v>0.69838810977681987</v>
      </c>
      <c r="BX788" s="16">
        <f>IF($BY$12&lt;3,BV788,SUM($BZ$42:BZ788)/$BX$40)</f>
        <v>0.89065144757430836</v>
      </c>
      <c r="BY788" s="16">
        <f t="shared" si="312"/>
        <v>74.600000000000037</v>
      </c>
      <c r="BZ788" s="16">
        <f t="shared" si="313"/>
        <v>9.3617709085364546E-3</v>
      </c>
      <c r="CA788" s="16">
        <f t="shared" si="321"/>
        <v>-999</v>
      </c>
      <c r="CE788" s="16" t="e">
        <f t="shared" si="314"/>
        <v>#N/A</v>
      </c>
      <c r="CF788" s="16">
        <f t="shared" si="315"/>
        <v>99</v>
      </c>
      <c r="CG788" s="16">
        <f t="shared" si="316"/>
        <v>0</v>
      </c>
      <c r="CH788" s="16">
        <f t="shared" si="322"/>
        <v>0</v>
      </c>
      <c r="CJ788" s="16" t="e">
        <f t="shared" si="317"/>
        <v>#N/A</v>
      </c>
      <c r="CK788" s="16" t="str">
        <f t="shared" si="318"/>
        <v/>
      </c>
    </row>
    <row r="789" spans="73:89" ht="12" customHeight="1">
      <c r="BU789" s="16">
        <f t="shared" si="319"/>
        <v>0</v>
      </c>
      <c r="BV789" s="16">
        <f>IF($BY$12=1,NORMDIST(BY789,$Y$6,$Y$8,TRUE),IF($BY$12=2,IF(BY789&lt;=$BX$31,0,IF(BY789&gt;=$BX$32,1,(BY789-$BX$31)*$BX$33)),SUM($BU$42:BU789)/$BV$40))</f>
        <v>0.89158474793019638</v>
      </c>
      <c r="BW789" s="16">
        <f t="shared" si="320"/>
        <v>0.69502795262633532</v>
      </c>
      <c r="BX789" s="16">
        <f>IF($BY$12&lt;3,BV789,SUM($BZ$42:BZ789)/$BX$40)</f>
        <v>0.89158474793019638</v>
      </c>
      <c r="BY789" s="16">
        <f t="shared" si="312"/>
        <v>74.700000000000031</v>
      </c>
      <c r="BZ789" s="16">
        <f t="shared" si="313"/>
        <v>9.3042563939268411E-3</v>
      </c>
      <c r="CA789" s="16">
        <f t="shared" si="321"/>
        <v>-999</v>
      </c>
      <c r="CE789" s="16" t="e">
        <f t="shared" si="314"/>
        <v>#N/A</v>
      </c>
      <c r="CF789" s="16">
        <f t="shared" si="315"/>
        <v>99</v>
      </c>
      <c r="CG789" s="16">
        <f t="shared" si="316"/>
        <v>0</v>
      </c>
      <c r="CH789" s="16">
        <f t="shared" si="322"/>
        <v>0</v>
      </c>
      <c r="CJ789" s="16" t="e">
        <f t="shared" si="317"/>
        <v>#N/A</v>
      </c>
      <c r="CK789" s="16" t="str">
        <f t="shared" si="318"/>
        <v/>
      </c>
    </row>
    <row r="790" spans="73:89" ht="12" customHeight="1">
      <c r="BU790" s="16">
        <f t="shared" si="319"/>
        <v>0</v>
      </c>
      <c r="BV790" s="16">
        <f>IF($BY$12=1,NORMDIST(BY790,$Y$6,$Y$8,TRUE),IF($BY$12=2,IF(BY790&lt;=$BX$31,0,IF(BY790&gt;=$BX$32,1,(BY790-$BX$31)*$BX$33)),SUM($BU$42:BU790)/$BV$40))</f>
        <v>0.89251230292541339</v>
      </c>
      <c r="BW790" s="16">
        <f t="shared" si="320"/>
        <v>0.69166543080276099</v>
      </c>
      <c r="BX790" s="16">
        <f>IF($BY$12&lt;3,BV790,SUM($BZ$42:BZ790)/$BX$40)</f>
        <v>0.89251230292541339</v>
      </c>
      <c r="BY790" s="16">
        <f t="shared" ref="BY790:BY853" si="323">BY789+$BZ$1</f>
        <v>74.800000000000026</v>
      </c>
      <c r="BZ790" s="16">
        <f t="shared" si="313"/>
        <v>9.24686404816525E-3</v>
      </c>
      <c r="CA790" s="16">
        <f t="shared" si="321"/>
        <v>-999</v>
      </c>
      <c r="CE790" s="16" t="e">
        <f t="shared" si="314"/>
        <v>#N/A</v>
      </c>
      <c r="CF790" s="16">
        <f t="shared" si="315"/>
        <v>99</v>
      </c>
      <c r="CG790" s="16">
        <f t="shared" si="316"/>
        <v>0</v>
      </c>
      <c r="CH790" s="16">
        <f t="shared" si="322"/>
        <v>0</v>
      </c>
      <c r="CJ790" s="16" t="e">
        <f t="shared" si="317"/>
        <v>#N/A</v>
      </c>
      <c r="CK790" s="16" t="str">
        <f t="shared" si="318"/>
        <v/>
      </c>
    </row>
    <row r="791" spans="73:89" ht="12" customHeight="1">
      <c r="BU791" s="16">
        <f t="shared" si="319"/>
        <v>0</v>
      </c>
      <c r="BV791" s="16">
        <f>IF($BY$12=1,NORMDIST(BY791,$Y$6,$Y$8,TRUE),IF($BY$12=2,IF(BY791&lt;=$BX$31,0,IF(BY791&gt;=$BX$32,1,(BY791-$BX$31)*$BX$33)),SUM($BU$42:BU791)/$BV$40))</f>
        <v>0.89343412488238716</v>
      </c>
      <c r="BW791" s="16">
        <f t="shared" si="320"/>
        <v>0.68830073878192055</v>
      </c>
      <c r="BX791" s="16">
        <f>IF($BY$12&lt;3,BV791,SUM($BZ$42:BZ791)/$BX$40)</f>
        <v>0.89343412488238716</v>
      </c>
      <c r="BY791" s="16">
        <f t="shared" si="323"/>
        <v>74.90000000000002</v>
      </c>
      <c r="BZ791" s="16">
        <f t="shared" si="313"/>
        <v>9.1895959783968011E-3</v>
      </c>
      <c r="CA791" s="16">
        <f t="shared" si="321"/>
        <v>-999</v>
      </c>
      <c r="CE791" s="16" t="e">
        <f t="shared" si="314"/>
        <v>#N/A</v>
      </c>
      <c r="CF791" s="16">
        <f t="shared" si="315"/>
        <v>99</v>
      </c>
      <c r="CG791" s="16">
        <f t="shared" si="316"/>
        <v>0</v>
      </c>
      <c r="CH791" s="16">
        <f t="shared" si="322"/>
        <v>0</v>
      </c>
      <c r="CJ791" s="16" t="e">
        <f t="shared" si="317"/>
        <v>#N/A</v>
      </c>
      <c r="CK791" s="16" t="str">
        <f t="shared" si="318"/>
        <v/>
      </c>
    </row>
    <row r="792" spans="73:89" ht="12" customHeight="1">
      <c r="BU792" s="16">
        <f t="shared" si="319"/>
        <v>0</v>
      </c>
      <c r="BV792" s="16">
        <f>IF($BY$12=1,NORMDIST(BY792,$Y$6,$Y$8,TRUE),IF($BY$12=2,IF(BY792&lt;=$BX$31,0,IF(BY792&gt;=$BX$32,1,(BY792-$BX$31)*$BX$33)),SUM($BU$42:BU792)/$BV$40))</f>
        <v>0.89435022633314487</v>
      </c>
      <c r="BW792" s="16">
        <f t="shared" si="320"/>
        <v>0.68493407020883179</v>
      </c>
      <c r="BX792" s="16">
        <f>IF($BY$12&lt;3,BV792,SUM($BZ$42:BZ792)/$BX$40)</f>
        <v>0.89435022633314487</v>
      </c>
      <c r="BY792" s="16">
        <f t="shared" si="323"/>
        <v>75.000000000000014</v>
      </c>
      <c r="BZ792" s="16">
        <f t="shared" si="313"/>
        <v>9.1324542694510881E-3</v>
      </c>
      <c r="CA792" s="16">
        <f t="shared" si="321"/>
        <v>-999</v>
      </c>
      <c r="CE792" s="16" t="e">
        <f t="shared" si="314"/>
        <v>#N/A</v>
      </c>
      <c r="CF792" s="16">
        <f t="shared" si="315"/>
        <v>99</v>
      </c>
      <c r="CG792" s="16">
        <f t="shared" si="316"/>
        <v>0</v>
      </c>
      <c r="CH792" s="16">
        <f t="shared" si="322"/>
        <v>0</v>
      </c>
      <c r="CJ792" s="16" t="e">
        <f t="shared" si="317"/>
        <v>#N/A</v>
      </c>
      <c r="CK792" s="16" t="str">
        <f t="shared" si="318"/>
        <v/>
      </c>
    </row>
    <row r="793" spans="73:89" ht="12" customHeight="1">
      <c r="BU793" s="16">
        <f t="shared" si="319"/>
        <v>0</v>
      </c>
      <c r="BV793" s="16">
        <f>IF($BY$12=1,NORMDIST(BY793,$Y$6,$Y$8,TRUE),IF($BY$12=2,IF(BY793&lt;=$BX$31,0,IF(BY793&gt;=$BX$32,1,(BY793-$BX$31)*$BX$33)),SUM($BU$42:BU793)/$BV$40))</f>
        <v>0.89526062001707785</v>
      </c>
      <c r="BW793" s="16">
        <f t="shared" si="320"/>
        <v>0.68156561788131753</v>
      </c>
      <c r="BX793" s="16">
        <f>IF($BY$12&lt;3,BV793,SUM($BZ$42:BZ793)/$BX$40)</f>
        <v>0.89526062001707785</v>
      </c>
      <c r="BY793" s="16">
        <f t="shared" si="323"/>
        <v>75.100000000000009</v>
      </c>
      <c r="BZ793" s="16">
        <f t="shared" si="313"/>
        <v>9.0754409837725362E-3</v>
      </c>
      <c r="CA793" s="16">
        <f t="shared" si="321"/>
        <v>-999</v>
      </c>
      <c r="CE793" s="16" t="e">
        <f t="shared" si="314"/>
        <v>#N/A</v>
      </c>
      <c r="CF793" s="16">
        <f t="shared" si="315"/>
        <v>99</v>
      </c>
      <c r="CG793" s="16">
        <f t="shared" si="316"/>
        <v>0</v>
      </c>
      <c r="CH793" s="16">
        <f t="shared" si="322"/>
        <v>0</v>
      </c>
      <c r="CJ793" s="16" t="e">
        <f t="shared" si="317"/>
        <v>#N/A</v>
      </c>
      <c r="CK793" s="16" t="str">
        <f t="shared" si="318"/>
        <v/>
      </c>
    </row>
    <row r="794" spans="73:89" ht="12" customHeight="1">
      <c r="BU794" s="16">
        <f t="shared" si="319"/>
        <v>0</v>
      </c>
      <c r="BV794" s="16">
        <f>IF($BY$12=1,NORMDIST(BY794,$Y$6,$Y$8,TRUE),IF($BY$12=2,IF(BY794&lt;=$BX$31,0,IF(BY794&gt;=$BX$32,1,(BY794-$BX$31)*$BX$33)),SUM($BU$42:BU794)/$BV$40))</f>
        <v>0.89616531887869955</v>
      </c>
      <c r="BW794" s="16">
        <f t="shared" si="320"/>
        <v>0.67819557373382167</v>
      </c>
      <c r="BX794" s="16">
        <f>IF($BY$12&lt;3,BV794,SUM($BZ$42:BZ794)/$BX$40)</f>
        <v>0.89616531887869955</v>
      </c>
      <c r="BY794" s="16">
        <f t="shared" si="323"/>
        <v>75.2</v>
      </c>
      <c r="BZ794" s="16">
        <f t="shared" si="313"/>
        <v>9.0185581613540112E-3</v>
      </c>
      <c r="CA794" s="16">
        <f t="shared" si="321"/>
        <v>-999</v>
      </c>
      <c r="CE794" s="16" t="e">
        <f t="shared" si="314"/>
        <v>#N/A</v>
      </c>
      <c r="CF794" s="16">
        <f t="shared" si="315"/>
        <v>99</v>
      </c>
      <c r="CG794" s="16">
        <f t="shared" si="316"/>
        <v>0</v>
      </c>
      <c r="CH794" s="16">
        <f t="shared" si="322"/>
        <v>0</v>
      </c>
      <c r="CJ794" s="16" t="e">
        <f t="shared" si="317"/>
        <v>#N/A</v>
      </c>
      <c r="CK794" s="16" t="str">
        <f t="shared" si="318"/>
        <v/>
      </c>
    </row>
    <row r="795" spans="73:89" ht="12" customHeight="1">
      <c r="BU795" s="16">
        <f t="shared" si="319"/>
        <v>0</v>
      </c>
      <c r="BV795" s="16">
        <f>IF($BY$12=1,NORMDIST(BY795,$Y$6,$Y$8,TRUE),IF($BY$12=2,IF(BY795&lt;=$BX$31,0,IF(BY795&gt;=$BX$32,1,(BY795-$BX$31)*$BX$33)),SUM($BU$42:BU795)/$BV$40))</f>
        <v>0.89706433606539804</v>
      </c>
      <c r="BW795" s="16">
        <f t="shared" si="320"/>
        <v>0.67482412882142329</v>
      </c>
      <c r="BX795" s="16">
        <f>IF($BY$12&lt;3,BV795,SUM($BZ$42:BZ795)/$BX$40)</f>
        <v>0.89706433606539804</v>
      </c>
      <c r="BY795" s="16">
        <f t="shared" si="323"/>
        <v>75.3</v>
      </c>
      <c r="BZ795" s="16">
        <f t="shared" si="313"/>
        <v>8.9618078196736159E-3</v>
      </c>
      <c r="CA795" s="16">
        <f t="shared" si="321"/>
        <v>-999</v>
      </c>
      <c r="CE795" s="16" t="e">
        <f t="shared" si="314"/>
        <v>#N/A</v>
      </c>
      <c r="CF795" s="16">
        <f t="shared" si="315"/>
        <v>99</v>
      </c>
      <c r="CG795" s="16">
        <f t="shared" si="316"/>
        <v>0</v>
      </c>
      <c r="CH795" s="16">
        <f t="shared" si="322"/>
        <v>0</v>
      </c>
      <c r="CJ795" s="16" t="e">
        <f t="shared" si="317"/>
        <v>#N/A</v>
      </c>
      <c r="CK795" s="16" t="str">
        <f t="shared" si="318"/>
        <v/>
      </c>
    </row>
    <row r="796" spans="73:89" ht="12" customHeight="1">
      <c r="BU796" s="16">
        <f t="shared" si="319"/>
        <v>0</v>
      </c>
      <c r="BV796" s="16">
        <f>IF($BY$12=1,NORMDIST(BY796,$Y$6,$Y$8,TRUE),IF($BY$12=2,IF(BY796&lt;=$BX$31,0,IF(BY796&gt;=$BX$32,1,(BY796-$BX$31)*$BX$33)),SUM($BU$42:BU796)/$BV$40))</f>
        <v>0.8979576849251808</v>
      </c>
      <c r="BW796" s="16">
        <f t="shared" si="320"/>
        <v>0.67145147330405486</v>
      </c>
      <c r="BX796" s="16">
        <f>IF($BY$12&lt;3,BV796,SUM($BZ$42:BZ796)/$BX$40)</f>
        <v>0.8979576849251808</v>
      </c>
      <c r="BY796" s="16">
        <f t="shared" si="323"/>
        <v>75.399999999999991</v>
      </c>
      <c r="BZ796" s="16">
        <f t="shared" si="313"/>
        <v>8.9051919536346814E-3</v>
      </c>
      <c r="CA796" s="16">
        <f t="shared" si="321"/>
        <v>-999</v>
      </c>
      <c r="CE796" s="16" t="e">
        <f t="shared" si="314"/>
        <v>#N/A</v>
      </c>
      <c r="CF796" s="16">
        <f t="shared" si="315"/>
        <v>99</v>
      </c>
      <c r="CG796" s="16">
        <f t="shared" si="316"/>
        <v>0</v>
      </c>
      <c r="CH796" s="16">
        <f t="shared" si="322"/>
        <v>0</v>
      </c>
      <c r="CJ796" s="16" t="e">
        <f t="shared" si="317"/>
        <v>#N/A</v>
      </c>
      <c r="CK796" s="16" t="str">
        <f t="shared" si="318"/>
        <v/>
      </c>
    </row>
    <row r="797" spans="73:89" ht="12" customHeight="1">
      <c r="BU797" s="16">
        <f t="shared" si="319"/>
        <v>0</v>
      </c>
      <c r="BV797" s="16">
        <f>IF($BY$12=1,NORMDIST(BY797,$Y$6,$Y$8,TRUE),IF($BY$12=2,IF(BY797&lt;=$BX$31,0,IF(BY797&gt;=$BX$32,1,(BY797-$BX$31)*$BX$33)),SUM($BU$42:BU797)/$BV$40))</f>
        <v>0.89884537900441386</v>
      </c>
      <c r="BW797" s="16">
        <f t="shared" si="320"/>
        <v>0.66807779643092857</v>
      </c>
      <c r="BX797" s="16">
        <f>IF($BY$12&lt;3,BV797,SUM($BZ$42:BZ797)/$BX$40)</f>
        <v>0.89884537900441386</v>
      </c>
      <c r="BY797" s="16">
        <f t="shared" si="323"/>
        <v>75.499999999999986</v>
      </c>
      <c r="BZ797" s="16">
        <f t="shared" si="313"/>
        <v>8.8487125355089895E-3</v>
      </c>
      <c r="CA797" s="16">
        <f t="shared" si="321"/>
        <v>-999</v>
      </c>
      <c r="CE797" s="16" t="e">
        <f t="shared" si="314"/>
        <v>#N/A</v>
      </c>
      <c r="CF797" s="16">
        <f t="shared" si="315"/>
        <v>99</v>
      </c>
      <c r="CG797" s="16">
        <f t="shared" si="316"/>
        <v>0</v>
      </c>
      <c r="CH797" s="16">
        <f t="shared" si="322"/>
        <v>0</v>
      </c>
      <c r="CJ797" s="16" t="e">
        <f t="shared" si="317"/>
        <v>#N/A</v>
      </c>
      <c r="CK797" s="16" t="str">
        <f t="shared" si="318"/>
        <v/>
      </c>
    </row>
    <row r="798" spans="73:89" ht="12" customHeight="1">
      <c r="BU798" s="16">
        <f t="shared" si="319"/>
        <v>0</v>
      </c>
      <c r="BV798" s="16">
        <f>IF($BY$12=1,NORMDIST(BY798,$Y$6,$Y$8,TRUE),IF($BY$12=2,IF(BY798&lt;=$BX$31,0,IF(BY798&gt;=$BX$32,1,(BY798-$BX$31)*$BX$33)),SUM($BU$42:BU798)/$BV$40))</f>
        <v>0.89972743204555772</v>
      </c>
      <c r="BW798" s="16">
        <f t="shared" si="320"/>
        <v>0.66470328652516431</v>
      </c>
      <c r="BX798" s="16">
        <f>IF($BY$12&lt;3,BV798,SUM($BZ$42:BZ798)/$BX$40)</f>
        <v>0.89972743204555772</v>
      </c>
      <c r="BY798" s="16">
        <f t="shared" si="323"/>
        <v>75.59999999999998</v>
      </c>
      <c r="BZ798" s="16">
        <f t="shared" si="313"/>
        <v>8.7923715148831277E-3</v>
      </c>
      <c r="CA798" s="16">
        <f t="shared" si="321"/>
        <v>-999</v>
      </c>
      <c r="CE798" s="16" t="e">
        <f t="shared" si="314"/>
        <v>#N/A</v>
      </c>
      <c r="CF798" s="16">
        <f t="shared" si="315"/>
        <v>99</v>
      </c>
      <c r="CG798" s="16">
        <f t="shared" si="316"/>
        <v>0</v>
      </c>
      <c r="CH798" s="16">
        <f t="shared" si="322"/>
        <v>0</v>
      </c>
      <c r="CJ798" s="16" t="e">
        <f t="shared" si="317"/>
        <v>#N/A</v>
      </c>
      <c r="CK798" s="16" t="str">
        <f t="shared" si="318"/>
        <v/>
      </c>
    </row>
    <row r="799" spans="73:89" ht="12" customHeight="1">
      <c r="BU799" s="16">
        <f t="shared" si="319"/>
        <v>0</v>
      </c>
      <c r="BV799" s="16">
        <f>IF($BY$12=1,NORMDIST(BY799,$Y$6,$Y$8,TRUE),IF($BY$12=2,IF(BY799&lt;=$BX$31,0,IF(BY799&gt;=$BX$32,1,(BY799-$BX$31)*$BX$33)),SUM($BU$42:BU799)/$BV$40))</f>
        <v>0.90060385798489428</v>
      </c>
      <c r="BW799" s="16">
        <f t="shared" si="320"/>
        <v>0.66132813096862753</v>
      </c>
      <c r="BX799" s="16">
        <f>IF($BY$12&lt;3,BV799,SUM($BZ$42:BZ799)/$BX$40)</f>
        <v>0.90060385798489428</v>
      </c>
      <c r="BY799" s="16">
        <f t="shared" si="323"/>
        <v>75.699999999999974</v>
      </c>
      <c r="BZ799" s="16">
        <f t="shared" si="313"/>
        <v>8.7361708186080283E-3</v>
      </c>
      <c r="CA799" s="16">
        <f t="shared" si="321"/>
        <v>-999</v>
      </c>
      <c r="CE799" s="16" t="e">
        <f t="shared" si="314"/>
        <v>#N/A</v>
      </c>
      <c r="CF799" s="16">
        <f t="shared" si="315"/>
        <v>99</v>
      </c>
      <c r="CG799" s="16">
        <f t="shared" si="316"/>
        <v>0</v>
      </c>
      <c r="CH799" s="16">
        <f t="shared" si="322"/>
        <v>0</v>
      </c>
      <c r="CJ799" s="16" t="e">
        <f t="shared" si="317"/>
        <v>#N/A</v>
      </c>
      <c r="CK799" s="16" t="str">
        <f t="shared" si="318"/>
        <v/>
      </c>
    </row>
    <row r="800" spans="73:89" ht="12" customHeight="1">
      <c r="BU800" s="16">
        <f t="shared" si="319"/>
        <v>0</v>
      </c>
      <c r="BV800" s="16">
        <f>IF($BY$12=1,NORMDIST(BY800,$Y$6,$Y$8,TRUE),IF($BY$12=2,IF(BY800&lt;=$BX$31,0,IF(BY800&gt;=$BX$32,1,(BY800-$BX$31)*$BX$33)),SUM($BU$42:BU800)/$BV$40))</f>
        <v>0.90147467095025191</v>
      </c>
      <c r="BW800" s="16">
        <f t="shared" si="320"/>
        <v>0.65795251618697614</v>
      </c>
      <c r="BX800" s="16">
        <f>IF($BY$12&lt;3,BV800,SUM($BZ$42:BZ800)/$BX$40)</f>
        <v>0.90147467095025191</v>
      </c>
      <c r="BY800" s="16">
        <f t="shared" si="323"/>
        <v>75.799999999999969</v>
      </c>
      <c r="BZ800" s="16">
        <f t="shared" si="313"/>
        <v>8.6801123507516675E-3</v>
      </c>
      <c r="CA800" s="16">
        <f t="shared" si="321"/>
        <v>-999</v>
      </c>
      <c r="CE800" s="16" t="e">
        <f t="shared" si="314"/>
        <v>#N/A</v>
      </c>
      <c r="CF800" s="16">
        <f t="shared" si="315"/>
        <v>99</v>
      </c>
      <c r="CG800" s="16">
        <f t="shared" si="316"/>
        <v>0</v>
      </c>
      <c r="CH800" s="16">
        <f t="shared" si="322"/>
        <v>0</v>
      </c>
      <c r="CJ800" s="16" t="e">
        <f t="shared" si="317"/>
        <v>#N/A</v>
      </c>
      <c r="CK800" s="16" t="str">
        <f t="shared" si="318"/>
        <v/>
      </c>
    </row>
    <row r="801" spans="73:89" ht="12" customHeight="1">
      <c r="BU801" s="16">
        <f t="shared" si="319"/>
        <v>0</v>
      </c>
      <c r="BV801" s="16">
        <f>IF($BY$12=1,NORMDIST(BY801,$Y$6,$Y$8,TRUE),IF($BY$12=2,IF(BY801&lt;=$BX$31,0,IF(BY801&gt;=$BX$32,1,(BY801-$BX$31)*$BX$33)),SUM($BU$42:BU801)/$BV$40))</f>
        <v>0.90233988525872522</v>
      </c>
      <c r="BW801" s="16">
        <f t="shared" si="320"/>
        <v>0.65457662763491586</v>
      </c>
      <c r="BX801" s="16">
        <f>IF($BY$12&lt;3,BV801,SUM($BZ$42:BZ801)/$BX$40)</f>
        <v>0.90233988525872522</v>
      </c>
      <c r="BY801" s="16">
        <f t="shared" si="323"/>
        <v>75.899999999999963</v>
      </c>
      <c r="BZ801" s="16">
        <f t="shared" si="313"/>
        <v>8.6241979925548908E-3</v>
      </c>
      <c r="CA801" s="16">
        <f t="shared" si="321"/>
        <v>-999</v>
      </c>
      <c r="CE801" s="16" t="e">
        <f t="shared" si="314"/>
        <v>#N/A</v>
      </c>
      <c r="CF801" s="16">
        <f t="shared" si="315"/>
        <v>99</v>
      </c>
      <c r="CG801" s="16">
        <f t="shared" si="316"/>
        <v>0</v>
      </c>
      <c r="CH801" s="16">
        <f t="shared" si="322"/>
        <v>0</v>
      </c>
      <c r="CJ801" s="16" t="e">
        <f t="shared" si="317"/>
        <v>#N/A</v>
      </c>
      <c r="CK801" s="16" t="str">
        <f t="shared" si="318"/>
        <v/>
      </c>
    </row>
    <row r="802" spans="73:89" ht="12" customHeight="1">
      <c r="BU802" s="16">
        <f t="shared" si="319"/>
        <v>0</v>
      </c>
      <c r="BV802" s="16">
        <f>IF($BY$12=1,NORMDIST(BY802,$Y$6,$Y$8,TRUE),IF($BY$12=2,IF(BY802&lt;=$BX$31,0,IF(BY802&gt;=$BX$32,1,(BY802-$BX$31)*$BX$33)),SUM($BU$42:BU802)/$BV$40))</f>
        <v>0.90319951541438925</v>
      </c>
      <c r="BW802" s="16">
        <f t="shared" si="320"/>
        <v>0.65120064978166936</v>
      </c>
      <c r="BX802" s="16">
        <f>IF($BY$12&lt;3,BV802,SUM($BZ$42:BZ802)/$BX$40)</f>
        <v>0.90319951541438925</v>
      </c>
      <c r="BY802" s="16">
        <f t="shared" si="323"/>
        <v>75.999999999999957</v>
      </c>
      <c r="BZ802" s="16">
        <f t="shared" si="313"/>
        <v>8.5684296023903917E-3</v>
      </c>
      <c r="CA802" s="16">
        <f t="shared" si="321"/>
        <v>-999</v>
      </c>
      <c r="CE802" s="16" t="e">
        <f t="shared" si="314"/>
        <v>#N/A</v>
      </c>
      <c r="CF802" s="16">
        <f t="shared" si="315"/>
        <v>99</v>
      </c>
      <c r="CG802" s="16">
        <f t="shared" si="316"/>
        <v>0</v>
      </c>
      <c r="CH802" s="16">
        <f t="shared" si="322"/>
        <v>0</v>
      </c>
      <c r="CJ802" s="16" t="e">
        <f t="shared" si="317"/>
        <v>#N/A</v>
      </c>
      <c r="CK802" s="16" t="str">
        <f t="shared" si="318"/>
        <v/>
      </c>
    </row>
    <row r="803" spans="73:89" ht="12" customHeight="1">
      <c r="BU803" s="16">
        <f t="shared" si="319"/>
        <v>0</v>
      </c>
      <c r="BV803" s="16">
        <f>IF($BY$12=1,NORMDIST(BY803,$Y$6,$Y$8,TRUE),IF($BY$12=2,IF(BY803&lt;=$BX$31,0,IF(BY803&gt;=$BX$32,1,(BY803-$BX$31)*$BX$33)),SUM($BU$42:BU803)/$BV$40))</f>
        <v>0.904053576106012</v>
      </c>
      <c r="BW803" s="16">
        <f t="shared" si="320"/>
        <v>0.6478247660966534</v>
      </c>
      <c r="BX803" s="16">
        <f>IF($BY$12&lt;3,BV803,SUM($BZ$42:BZ803)/$BX$40)</f>
        <v>0.904053576106012</v>
      </c>
      <c r="BY803" s="16">
        <f t="shared" si="323"/>
        <v>76.099999999999952</v>
      </c>
      <c r="BZ803" s="16">
        <f t="shared" si="313"/>
        <v>8.5128090157247545E-3</v>
      </c>
      <c r="CA803" s="16">
        <f t="shared" si="321"/>
        <v>-999</v>
      </c>
      <c r="CE803" s="16" t="e">
        <f t="shared" si="314"/>
        <v>#N/A</v>
      </c>
      <c r="CF803" s="16">
        <f t="shared" si="315"/>
        <v>99</v>
      </c>
      <c r="CG803" s="16">
        <f t="shared" si="316"/>
        <v>0</v>
      </c>
      <c r="CH803" s="16">
        <f t="shared" si="322"/>
        <v>0</v>
      </c>
      <c r="CJ803" s="16" t="e">
        <f t="shared" si="317"/>
        <v>#N/A</v>
      </c>
      <c r="CK803" s="16" t="str">
        <f t="shared" si="318"/>
        <v/>
      </c>
    </row>
    <row r="804" spans="73:89" ht="12" customHeight="1">
      <c r="BU804" s="16">
        <f t="shared" si="319"/>
        <v>0</v>
      </c>
      <c r="BV804" s="16">
        <f>IF($BY$12=1,NORMDIST(BY804,$Y$6,$Y$8,TRUE),IF($BY$12=2,IF(BY804&lt;=$BX$31,0,IF(BY804&gt;=$BX$32,1,(BY804-$BX$31)*$BX$33)),SUM($BU$42:BU804)/$BV$40))</f>
        <v>0.90490208220476065</v>
      </c>
      <c r="BW804" s="16">
        <f t="shared" si="320"/>
        <v>0.64444915903537359</v>
      </c>
      <c r="BX804" s="16">
        <f>IF($BY$12&lt;3,BV804,SUM($BZ$42:BZ804)/$BX$40)</f>
        <v>0.90490208220476065</v>
      </c>
      <c r="BY804" s="16">
        <f t="shared" si="323"/>
        <v>76.199999999999946</v>
      </c>
      <c r="BZ804" s="16">
        <f t="shared" si="313"/>
        <v>8.4573380450836486E-3</v>
      </c>
      <c r="CA804" s="16">
        <f t="shared" si="321"/>
        <v>-999</v>
      </c>
      <c r="CE804" s="16" t="e">
        <f t="shared" si="314"/>
        <v>#N/A</v>
      </c>
      <c r="CF804" s="16">
        <f t="shared" si="315"/>
        <v>99</v>
      </c>
      <c r="CG804" s="16">
        <f t="shared" si="316"/>
        <v>0</v>
      </c>
      <c r="CH804" s="16">
        <f t="shared" si="322"/>
        <v>0</v>
      </c>
      <c r="CJ804" s="16" t="e">
        <f t="shared" si="317"/>
        <v>#N/A</v>
      </c>
      <c r="CK804" s="16" t="str">
        <f t="shared" si="318"/>
        <v/>
      </c>
    </row>
    <row r="805" spans="73:89" ht="12" customHeight="1">
      <c r="BU805" s="16">
        <f t="shared" si="319"/>
        <v>0</v>
      </c>
      <c r="BV805" s="16">
        <f>IF($BY$12=1,NORMDIST(BY805,$Y$6,$Y$8,TRUE),IF($BY$12=2,IF(BY805&lt;=$BX$31,0,IF(BY805&gt;=$BX$32,1,(BY805-$BX$31)*$BX$33)),SUM($BU$42:BU805)/$BV$40))</f>
        <v>0.90574504876190653</v>
      </c>
      <c r="BW805" s="16">
        <f t="shared" si="320"/>
        <v>0.64107401002553188</v>
      </c>
      <c r="BX805" s="16">
        <f>IF($BY$12&lt;3,BV805,SUM($BZ$42:BZ805)/$BX$40)</f>
        <v>0.90574504876190653</v>
      </c>
      <c r="BY805" s="16">
        <f t="shared" si="323"/>
        <v>76.29999999999994</v>
      </c>
      <c r="BZ805" s="16">
        <f t="shared" si="313"/>
        <v>8.4020184800200834E-3</v>
      </c>
      <c r="CA805" s="16">
        <f t="shared" si="321"/>
        <v>-999</v>
      </c>
      <c r="CE805" s="16" t="e">
        <f t="shared" si="314"/>
        <v>#N/A</v>
      </c>
      <c r="CF805" s="16">
        <f t="shared" si="315"/>
        <v>99</v>
      </c>
      <c r="CG805" s="16">
        <f t="shared" si="316"/>
        <v>0</v>
      </c>
      <c r="CH805" s="16">
        <f t="shared" si="322"/>
        <v>0</v>
      </c>
      <c r="CJ805" s="16" t="e">
        <f t="shared" si="317"/>
        <v>#N/A</v>
      </c>
      <c r="CK805" s="16" t="str">
        <f t="shared" si="318"/>
        <v/>
      </c>
    </row>
    <row r="806" spans="73:89" ht="12" customHeight="1">
      <c r="BU806" s="16">
        <f t="shared" si="319"/>
        <v>0</v>
      </c>
      <c r="BV806" s="16">
        <f>IF($BY$12=1,NORMDIST(BY806,$Y$6,$Y$8,TRUE),IF($BY$12=2,IF(BY806&lt;=$BX$31,0,IF(BY806&gt;=$BX$32,1,(BY806-$BX$31)*$BX$33)),SUM($BU$42:BU806)/$BV$40))</f>
        <v>0.90658249100652766</v>
      </c>
      <c r="BW806" s="16">
        <f t="shared" si="320"/>
        <v>0.63769949945334892</v>
      </c>
      <c r="BX806" s="16">
        <f>IF($BY$12&lt;3,BV806,SUM($BZ$42:BZ806)/$BX$40)</f>
        <v>0.90658249100652766</v>
      </c>
      <c r="BY806" s="16">
        <f t="shared" si="323"/>
        <v>76.399999999999935</v>
      </c>
      <c r="BZ806" s="16">
        <f t="shared" si="313"/>
        <v>8.3468520870857259E-3</v>
      </c>
      <c r="CA806" s="16">
        <f t="shared" si="321"/>
        <v>-999</v>
      </c>
      <c r="CE806" s="16" t="e">
        <f t="shared" si="314"/>
        <v>#N/A</v>
      </c>
      <c r="CF806" s="16">
        <f t="shared" si="315"/>
        <v>99</v>
      </c>
      <c r="CG806" s="16">
        <f t="shared" si="316"/>
        <v>0</v>
      </c>
      <c r="CH806" s="16">
        <f t="shared" si="322"/>
        <v>0</v>
      </c>
      <c r="CJ806" s="16" t="e">
        <f t="shared" si="317"/>
        <v>#N/A</v>
      </c>
      <c r="CK806" s="16" t="str">
        <f t="shared" si="318"/>
        <v/>
      </c>
    </row>
    <row r="807" spans="73:89" ht="12" customHeight="1">
      <c r="BU807" s="16">
        <f t="shared" si="319"/>
        <v>0</v>
      </c>
      <c r="BV807" s="16">
        <f>IF($BY$12=1,NORMDIST(BY807,$Y$6,$Y$8,TRUE),IF($BY$12=2,IF(BY807&lt;=$BX$31,0,IF(BY807&gt;=$BX$32,1,(BY807-$BX$31)*$BX$33)),SUM($BU$42:BU807)/$BV$40))</f>
        <v>0.90741442434320452</v>
      </c>
      <c r="BW807" s="16">
        <f t="shared" si="320"/>
        <v>0.63432580665010285</v>
      </c>
      <c r="BX807" s="16">
        <f>IF($BY$12&lt;3,BV807,SUM($BZ$42:BZ807)/$BX$40)</f>
        <v>0.90741442434320452</v>
      </c>
      <c r="BY807" s="16">
        <f t="shared" si="323"/>
        <v>76.499999999999929</v>
      </c>
      <c r="BZ807" s="16">
        <f t="shared" si="313"/>
        <v>8.291840609805274E-3</v>
      </c>
      <c r="CA807" s="16">
        <f t="shared" si="321"/>
        <v>-999</v>
      </c>
      <c r="CE807" s="16" t="e">
        <f t="shared" si="314"/>
        <v>#N/A</v>
      </c>
      <c r="CF807" s="16">
        <f t="shared" si="315"/>
        <v>99</v>
      </c>
      <c r="CG807" s="16">
        <f t="shared" si="316"/>
        <v>0</v>
      </c>
      <c r="CH807" s="16">
        <f t="shared" si="322"/>
        <v>0</v>
      </c>
      <c r="CJ807" s="16" t="e">
        <f t="shared" si="317"/>
        <v>#N/A</v>
      </c>
      <c r="CK807" s="16" t="str">
        <f t="shared" si="318"/>
        <v/>
      </c>
    </row>
    <row r="808" spans="73:89" ht="12" customHeight="1">
      <c r="BU808" s="16">
        <f t="shared" si="319"/>
        <v>0</v>
      </c>
      <c r="BV808" s="16">
        <f>IF($BY$12=1,NORMDIST(BY808,$Y$6,$Y$8,TRUE),IF($BY$12=2,IF(BY808&lt;=$BX$31,0,IF(BY808&gt;=$BX$32,1,(BY808-$BX$31)*$BX$33)),SUM($BU$42:BU808)/$BV$40))</f>
        <v>0.9082408643497184</v>
      </c>
      <c r="BW808" s="16">
        <f t="shared" si="320"/>
        <v>0.63095310987888664</v>
      </c>
      <c r="BX808" s="16">
        <f>IF($BY$12&lt;3,BV808,SUM($BZ$42:BZ808)/$BX$40)</f>
        <v>0.9082408643497184</v>
      </c>
      <c r="BY808" s="16">
        <f t="shared" si="323"/>
        <v>76.599999999999923</v>
      </c>
      <c r="BZ808" s="16">
        <f t="shared" si="313"/>
        <v>8.2369857686538806E-3</v>
      </c>
      <c r="CA808" s="16">
        <f t="shared" si="321"/>
        <v>-999</v>
      </c>
      <c r="CE808" s="16" t="e">
        <f t="shared" si="314"/>
        <v>#N/A</v>
      </c>
      <c r="CF808" s="16">
        <f t="shared" si="315"/>
        <v>99</v>
      </c>
      <c r="CG808" s="16">
        <f t="shared" si="316"/>
        <v>0</v>
      </c>
      <c r="CH808" s="16">
        <f t="shared" si="322"/>
        <v>0</v>
      </c>
      <c r="CJ808" s="16" t="e">
        <f t="shared" si="317"/>
        <v>#N/A</v>
      </c>
      <c r="CK808" s="16" t="str">
        <f t="shared" si="318"/>
        <v/>
      </c>
    </row>
    <row r="809" spans="73:89" ht="12" customHeight="1">
      <c r="BU809" s="16">
        <f t="shared" si="319"/>
        <v>0</v>
      </c>
      <c r="BV809" s="16">
        <f>IF($BY$12=1,NORMDIST(BY809,$Y$6,$Y$8,TRUE),IF($BY$12=2,IF(BY809&lt;=$BX$31,0,IF(BY809&gt;=$BX$32,1,(BY809-$BX$31)*$BX$33)),SUM($BU$42:BU809)/$BV$40))</f>
        <v>0.90906182677474534</v>
      </c>
      <c r="BW809" s="16">
        <f t="shared" si="320"/>
        <v>0.62758158632158234</v>
      </c>
      <c r="BX809" s="16">
        <f>IF($BY$12&lt;3,BV809,SUM($BZ$42:BZ809)/$BX$40)</f>
        <v>0.90906182677474534</v>
      </c>
      <c r="BY809" s="16">
        <f t="shared" si="323"/>
        <v>76.699999999999918</v>
      </c>
      <c r="BZ809" s="16">
        <f t="shared" si="313"/>
        <v>8.182289261037588E-3</v>
      </c>
      <c r="CA809" s="16">
        <f t="shared" si="321"/>
        <v>-999</v>
      </c>
      <c r="CE809" s="16" t="e">
        <f t="shared" si="314"/>
        <v>#N/A</v>
      </c>
      <c r="CF809" s="16">
        <f t="shared" si="315"/>
        <v>99</v>
      </c>
      <c r="CG809" s="16">
        <f t="shared" si="316"/>
        <v>0</v>
      </c>
      <c r="CH809" s="16">
        <f t="shared" si="322"/>
        <v>0</v>
      </c>
      <c r="CJ809" s="16" t="e">
        <f t="shared" si="317"/>
        <v>#N/A</v>
      </c>
      <c r="CK809" s="16" t="str">
        <f t="shared" si="318"/>
        <v/>
      </c>
    </row>
    <row r="810" spans="73:89" ht="12" customHeight="1">
      <c r="BU810" s="16">
        <f t="shared" si="319"/>
        <v>0</v>
      </c>
      <c r="BV810" s="16">
        <f>IF($BY$12=1,NORMDIST(BY810,$Y$6,$Y$8,TRUE),IF($BY$12=2,IF(BY810&lt;=$BX$31,0,IF(BY810&gt;=$BX$32,1,(BY810-$BX$31)*$BX$33)),SUM($BU$42:BU810)/$BV$40))</f>
        <v>0.90987732753554684</v>
      </c>
      <c r="BW810" s="16">
        <f t="shared" si="320"/>
        <v>0.62421141206605402</v>
      </c>
      <c r="BX810" s="16">
        <f>IF($BY$12&lt;3,BV810,SUM($BZ$42:BZ810)/$BX$40)</f>
        <v>0.90987732753554684</v>
      </c>
      <c r="BY810" s="16">
        <f t="shared" si="323"/>
        <v>76.799999999999912</v>
      </c>
      <c r="BZ810" s="16">
        <f t="shared" ref="BZ810:BZ873" si="324">IF($BZ$5,IF($BY$12=1,NORMDIST(BY810,$Y$6,$Y$8,FALSE),IF($BY$12=2,IF(AND(BY810&gt;=$BX$31,BY810&lt;=$BX$32),$BX$33,0),IF(BY810&lt;=$BX$13,0,NORMDIST(LN((BY810-$BX$13)/$BX$12),0,$BW$8,FALSE)/((BY810-$BX$13)/$BX$12)))),-999)</f>
        <v>8.1277527612767537E-3</v>
      </c>
      <c r="CA810" s="16">
        <f t="shared" si="321"/>
        <v>-999</v>
      </c>
      <c r="CE810" s="16" t="e">
        <f t="shared" ref="CE810:CE873" si="325">IF(AND($CB$7,$CD$2,$CD$1),26+$P$23/2-CC810*$P$23,NA())</f>
        <v>#N/A</v>
      </c>
      <c r="CF810" s="16">
        <f t="shared" ref="CF810:CF873" si="326">IF(ISNA(CJ810),99,CJ810)</f>
        <v>99</v>
      </c>
      <c r="CG810" s="16">
        <f t="shared" ref="CG810:CG873" si="327">IF(ISNA(CJ810),0,CJ810)</f>
        <v>0</v>
      </c>
      <c r="CH810" s="16">
        <f t="shared" si="322"/>
        <v>0</v>
      </c>
      <c r="CJ810" s="16" t="e">
        <f t="shared" ref="CJ810:CJ873" si="328">IF(CH810=1,CE810,NA())</f>
        <v>#N/A</v>
      </c>
      <c r="CK810" s="16" t="str">
        <f t="shared" ref="CK810:CK873" si="329">IF(CH810=1,M709,"")</f>
        <v/>
      </c>
    </row>
    <row r="811" spans="73:89" ht="12" customHeight="1">
      <c r="BU811" s="16">
        <f t="shared" ref="BU811:BU874" si="330">IF($BY$12&lt;3,0,IF(BY811&lt;=$BX$13,0,NORMDIST(LN((BY811-$BX$13)/$BX$12),0,$BW$8,FALSE)/((BY811-$BX$13)/$BX$12)))</f>
        <v>0</v>
      </c>
      <c r="BV811" s="16">
        <f>IF($BY$12=1,NORMDIST(BY811,$Y$6,$Y$8,TRUE),IF($BY$12=2,IF(BY811&lt;=$BX$31,0,IF(BY811&gt;=$BX$32,1,(BY811-$BX$31)*$BX$33)),SUM($BU$42:BU811)/$BV$40))</f>
        <v>0.91068738271566207</v>
      </c>
      <c r="BW811" s="16">
        <f t="shared" ref="BW811:BW874" si="331">BY811*BZ811</f>
        <v>0.62084276209356148</v>
      </c>
      <c r="BX811" s="16">
        <f>IF($BY$12&lt;3,BV811,SUM($BZ$42:BZ811)/$BX$40)</f>
        <v>0.91068738271566207</v>
      </c>
      <c r="BY811" s="16">
        <f t="shared" si="323"/>
        <v>76.899999999999906</v>
      </c>
      <c r="BZ811" s="16">
        <f t="shared" si="324"/>
        <v>8.0733779205924873E-3</v>
      </c>
      <c r="CA811" s="16">
        <f t="shared" ref="CA811:CA874" si="332">IF(AND($CD$1,$CD$3),26-$CD$40*NORMDIST(BY811,$Y$6,$Y$8/SQRT($T$18),FALSE),-999)</f>
        <v>-999</v>
      </c>
      <c r="CE811" s="16" t="e">
        <f t="shared" si="325"/>
        <v>#N/A</v>
      </c>
      <c r="CF811" s="16">
        <f t="shared" si="326"/>
        <v>99</v>
      </c>
      <c r="CG811" s="16">
        <f t="shared" si="327"/>
        <v>0</v>
      </c>
      <c r="CH811" s="16">
        <f t="shared" si="322"/>
        <v>0</v>
      </c>
      <c r="CJ811" s="16" t="e">
        <f t="shared" si="328"/>
        <v>#N/A</v>
      </c>
      <c r="CK811" s="16" t="str">
        <f t="shared" si="329"/>
        <v/>
      </c>
    </row>
    <row r="812" spans="73:89" ht="12" customHeight="1">
      <c r="BU812" s="16">
        <f t="shared" si="330"/>
        <v>0</v>
      </c>
      <c r="BV812" s="16">
        <f>IF($BY$12=1,NORMDIST(BY812,$Y$6,$Y$8,TRUE),IF($BY$12=2,IF(BY812&lt;=$BX$31,0,IF(BY812&gt;=$BX$32,1,(BY812-$BX$31)*$BX$33)),SUM($BU$42:BU812)/$BV$40))</f>
        <v>0.91149200856259727</v>
      </c>
      <c r="BW812" s="16">
        <f t="shared" si="331"/>
        <v>0.61747581026639375</v>
      </c>
      <c r="BX812" s="16">
        <f>IF($BY$12&lt;3,BV812,SUM($BZ$42:BZ812)/$BX$40)</f>
        <v>0.91149200856259727</v>
      </c>
      <c r="BY812" s="16">
        <f t="shared" si="323"/>
        <v>76.999999999999901</v>
      </c>
      <c r="BZ812" s="16">
        <f t="shared" si="324"/>
        <v>8.0191663670960336E-3</v>
      </c>
      <c r="CA812" s="16">
        <f t="shared" si="332"/>
        <v>-999</v>
      </c>
      <c r="CE812" s="16" t="e">
        <f t="shared" si="325"/>
        <v>#N/A</v>
      </c>
      <c r="CF812" s="16">
        <f t="shared" si="326"/>
        <v>99</v>
      </c>
      <c r="CG812" s="16">
        <f t="shared" si="327"/>
        <v>0</v>
      </c>
      <c r="CH812" s="16">
        <f t="shared" si="322"/>
        <v>0</v>
      </c>
      <c r="CJ812" s="16" t="e">
        <f t="shared" si="328"/>
        <v>#N/A</v>
      </c>
      <c r="CK812" s="16" t="str">
        <f t="shared" si="329"/>
        <v/>
      </c>
    </row>
    <row r="813" spans="73:89" ht="12" customHeight="1">
      <c r="BU813" s="16">
        <f t="shared" si="330"/>
        <v>0</v>
      </c>
      <c r="BV813" s="16">
        <f>IF($BY$12=1,NORMDIST(BY813,$Y$6,$Y$8,TRUE),IF($BY$12=2,IF(BY813&lt;=$BX$31,0,IF(BY813&gt;=$BX$32,1,(BY813-$BX$31)*$BX$33)),SUM($BU$42:BU813)/$BV$40))</f>
        <v>0.912291221485513</v>
      </c>
      <c r="BW813" s="16">
        <f t="shared" si="331"/>
        <v>0.61411072931572319</v>
      </c>
      <c r="BX813" s="16">
        <f>IF($BY$12&lt;3,BV813,SUM($BZ$42:BZ813)/$BX$40)</f>
        <v>0.912291221485513</v>
      </c>
      <c r="BY813" s="16">
        <f t="shared" si="323"/>
        <v>77.099999999999895</v>
      </c>
      <c r="BZ813" s="16">
        <f t="shared" si="324"/>
        <v>7.9651197057811155E-3</v>
      </c>
      <c r="CA813" s="16">
        <f t="shared" si="332"/>
        <v>-999</v>
      </c>
      <c r="CE813" s="16" t="e">
        <f t="shared" si="325"/>
        <v>#N/A</v>
      </c>
      <c r="CF813" s="16">
        <f t="shared" si="326"/>
        <v>99</v>
      </c>
      <c r="CG813" s="16">
        <f t="shared" si="327"/>
        <v>0</v>
      </c>
      <c r="CH813" s="16">
        <f t="shared" si="322"/>
        <v>0</v>
      </c>
      <c r="CJ813" s="16" t="e">
        <f t="shared" si="328"/>
        <v>#N/A</v>
      </c>
      <c r="CK813" s="16" t="str">
        <f t="shared" si="329"/>
        <v/>
      </c>
    </row>
    <row r="814" spans="73:89" ht="12" customHeight="1">
      <c r="BU814" s="16">
        <f t="shared" si="330"/>
        <v>0</v>
      </c>
      <c r="BV814" s="16">
        <f>IF($BY$12=1,NORMDIST(BY814,$Y$6,$Y$8,TRUE),IF($BY$12=2,IF(BY814&lt;=$BX$31,0,IF(BY814&gt;=$BX$32,1,(BY814-$BX$31)*$BX$33)),SUM($BU$42:BU814)/$BV$40))</f>
        <v>0.91308503805291419</v>
      </c>
      <c r="BW814" s="16">
        <f t="shared" si="331"/>
        <v>0.61074769082968217</v>
      </c>
      <c r="BX814" s="16">
        <f>IF($BY$12&lt;3,BV814,SUM($BZ$42:BZ814)/$BX$40)</f>
        <v>0.91308503805291419</v>
      </c>
      <c r="BY814" s="16">
        <f t="shared" si="323"/>
        <v>77.199999999999889</v>
      </c>
      <c r="BZ814" s="16">
        <f t="shared" si="324"/>
        <v>7.9112395185192107E-3</v>
      </c>
      <c r="CA814" s="16">
        <f t="shared" si="332"/>
        <v>-999</v>
      </c>
      <c r="CE814" s="16" t="e">
        <f t="shared" si="325"/>
        <v>#N/A</v>
      </c>
      <c r="CF814" s="16">
        <f t="shared" si="326"/>
        <v>99</v>
      </c>
      <c r="CG814" s="16">
        <f t="shared" si="327"/>
        <v>0</v>
      </c>
      <c r="CH814" s="16">
        <f t="shared" si="322"/>
        <v>0</v>
      </c>
      <c r="CJ814" s="16" t="e">
        <f t="shared" si="328"/>
        <v>#N/A</v>
      </c>
      <c r="CK814" s="16" t="str">
        <f t="shared" si="329"/>
        <v/>
      </c>
    </row>
    <row r="815" spans="73:89" ht="12" customHeight="1">
      <c r="BU815" s="16">
        <f t="shared" si="330"/>
        <v>0</v>
      </c>
      <c r="BV815" s="16">
        <f>IF($BY$12=1,NORMDIST(BY815,$Y$6,$Y$8,TRUE),IF($BY$12=2,IF(BY815&lt;=$BX$31,0,IF(BY815&gt;=$BX$32,1,(BY815-$BX$31)*$BX$33)),SUM($BU$42:BU815)/$BV$40))</f>
        <v>0.91387347499033578</v>
      </c>
      <c r="BW815" s="16">
        <f t="shared" si="331"/>
        <v>0.60738686524166186</v>
      </c>
      <c r="BX815" s="16">
        <f>IF($BY$12&lt;3,BV815,SUM($BZ$42:BZ815)/$BX$40)</f>
        <v>0.91387347499033578</v>
      </c>
      <c r="BY815" s="16">
        <f t="shared" si="323"/>
        <v>77.299999999999883</v>
      </c>
      <c r="BZ815" s="16">
        <f t="shared" si="324"/>
        <v>7.8575273640577332E-3</v>
      </c>
      <c r="CA815" s="16">
        <f t="shared" si="332"/>
        <v>-999</v>
      </c>
      <c r="CE815" s="16" t="e">
        <f t="shared" si="325"/>
        <v>#N/A</v>
      </c>
      <c r="CF815" s="16">
        <f t="shared" si="326"/>
        <v>99</v>
      </c>
      <c r="CG815" s="16">
        <f t="shared" si="327"/>
        <v>0</v>
      </c>
      <c r="CH815" s="16">
        <f t="shared" si="322"/>
        <v>0</v>
      </c>
      <c r="CJ815" s="16" t="e">
        <f t="shared" si="328"/>
        <v>#N/A</v>
      </c>
      <c r="CK815" s="16" t="str">
        <f t="shared" si="329"/>
        <v/>
      </c>
    </row>
    <row r="816" spans="73:89" ht="12" customHeight="1">
      <c r="BU816" s="16">
        <f t="shared" si="330"/>
        <v>0</v>
      </c>
      <c r="BV816" s="16">
        <f>IF($BY$12=1,NORMDIST(BY816,$Y$6,$Y$8,TRUE),IF($BY$12=2,IF(BY816&lt;=$BX$31,0,IF(BY816&gt;=$BX$32,1,(BY816-$BX$31)*$BX$33)),SUM($BU$42:BU816)/$BV$40))</f>
        <v>0.91465654917803196</v>
      </c>
      <c r="BW816" s="16">
        <f t="shared" si="331"/>
        <v>0.60402842181883276</v>
      </c>
      <c r="BX816" s="16">
        <f>IF($BY$12&lt;3,BV816,SUM($BZ$42:BZ816)/$BX$40)</f>
        <v>0.91465654917803196</v>
      </c>
      <c r="BY816" s="16">
        <f t="shared" si="323"/>
        <v>77.399999999999878</v>
      </c>
      <c r="BZ816" s="16">
        <f t="shared" si="324"/>
        <v>7.8039847780211075E-3</v>
      </c>
      <c r="CA816" s="16">
        <f t="shared" si="332"/>
        <v>-999</v>
      </c>
      <c r="CE816" s="16" t="e">
        <f t="shared" si="325"/>
        <v>#N/A</v>
      </c>
      <c r="CF816" s="16">
        <f t="shared" si="326"/>
        <v>99</v>
      </c>
      <c r="CG816" s="16">
        <f t="shared" si="327"/>
        <v>0</v>
      </c>
      <c r="CH816" s="16">
        <f t="shared" si="322"/>
        <v>0</v>
      </c>
      <c r="CJ816" s="16" t="e">
        <f t="shared" si="328"/>
        <v>#N/A</v>
      </c>
      <c r="CK816" s="16" t="str">
        <f t="shared" si="329"/>
        <v/>
      </c>
    </row>
    <row r="817" spans="73:89" ht="12" customHeight="1">
      <c r="BU817" s="16">
        <f t="shared" si="330"/>
        <v>0</v>
      </c>
      <c r="BV817" s="16">
        <f>IF($BY$12=1,NORMDIST(BY817,$Y$6,$Y$8,TRUE),IF($BY$12=2,IF(BY817&lt;=$BX$31,0,IF(BY817&gt;=$BX$32,1,(BY817-$BX$31)*$BX$33)),SUM($BU$42:BU817)/$BV$40))</f>
        <v>0.91543427764866325</v>
      </c>
      <c r="BW817" s="16">
        <f t="shared" si="331"/>
        <v>0.60067252865089038</v>
      </c>
      <c r="BX817" s="16">
        <f>IF($BY$12&lt;3,BV817,SUM($BZ$42:BZ817)/$BX$40)</f>
        <v>0.91543427764866325</v>
      </c>
      <c r="BY817" s="16">
        <f t="shared" si="323"/>
        <v>77.499999999999872</v>
      </c>
      <c r="BZ817" s="16">
        <f t="shared" si="324"/>
        <v>7.7506132729147272E-3</v>
      </c>
      <c r="CA817" s="16">
        <f t="shared" si="332"/>
        <v>-999</v>
      </c>
      <c r="CE817" s="16" t="e">
        <f t="shared" si="325"/>
        <v>#N/A</v>
      </c>
      <c r="CF817" s="16">
        <f t="shared" si="326"/>
        <v>99</v>
      </c>
      <c r="CG817" s="16">
        <f t="shared" si="327"/>
        <v>0</v>
      </c>
      <c r="CH817" s="16">
        <f t="shared" si="322"/>
        <v>0</v>
      </c>
      <c r="CJ817" s="16" t="e">
        <f t="shared" si="328"/>
        <v>#N/A</v>
      </c>
      <c r="CK817" s="16" t="str">
        <f t="shared" si="329"/>
        <v/>
      </c>
    </row>
    <row r="818" spans="73:89" ht="12" customHeight="1">
      <c r="BU818" s="16">
        <f t="shared" si="330"/>
        <v>0</v>
      </c>
      <c r="BV818" s="16">
        <f>IF($BY$12=1,NORMDIST(BY818,$Y$6,$Y$8,TRUE),IF($BY$12=2,IF(BY818&lt;=$BX$31,0,IF(BY818&gt;=$BX$32,1,(BY818-$BX$31)*$BX$33)),SUM($BU$42:BU818)/$BV$40))</f>
        <v>0.91620667758498486</v>
      </c>
      <c r="BW818" s="16">
        <f t="shared" si="331"/>
        <v>0.59731935263902325</v>
      </c>
      <c r="BX818" s="16">
        <f>IF($BY$12&lt;3,BV818,SUM($BZ$42:BZ818)/$BX$40)</f>
        <v>0.91620667758498486</v>
      </c>
      <c r="BY818" s="16">
        <f t="shared" si="323"/>
        <v>77.599999999999866</v>
      </c>
      <c r="BZ818" s="16">
        <f t="shared" si="324"/>
        <v>7.6974143381317557E-3</v>
      </c>
      <c r="CA818" s="16">
        <f t="shared" si="332"/>
        <v>-999</v>
      </c>
      <c r="CE818" s="16" t="e">
        <f t="shared" si="325"/>
        <v>#N/A</v>
      </c>
      <c r="CF818" s="16">
        <f t="shared" si="326"/>
        <v>99</v>
      </c>
      <c r="CG818" s="16">
        <f t="shared" si="327"/>
        <v>0</v>
      </c>
      <c r="CH818" s="16">
        <f t="shared" si="322"/>
        <v>0</v>
      </c>
      <c r="CJ818" s="16" t="e">
        <f t="shared" si="328"/>
        <v>#N/A</v>
      </c>
      <c r="CK818" s="16" t="str">
        <f t="shared" si="329"/>
        <v/>
      </c>
    </row>
    <row r="819" spans="73:89" ht="12" customHeight="1">
      <c r="BU819" s="16">
        <f t="shared" si="330"/>
        <v>0</v>
      </c>
      <c r="BV819" s="16">
        <f>IF($BY$12=1,NORMDIST(BY819,$Y$6,$Y$8,TRUE),IF($BY$12=2,IF(BY819&lt;=$BX$31,0,IF(BY819&gt;=$BX$32,1,(BY819-$BX$31)*$BX$33)),SUM($BU$42:BU819)/$BV$40))</f>
        <v>0.91697376631753591</v>
      </c>
      <c r="BW819" s="16">
        <f t="shared" si="331"/>
        <v>0.59396905948510526</v>
      </c>
      <c r="BX819" s="16">
        <f>IF($BY$12&lt;3,BV819,SUM($BZ$42:BZ819)/$BX$40)</f>
        <v>0.91697376631753591</v>
      </c>
      <c r="BY819" s="16">
        <f t="shared" si="323"/>
        <v>77.699999999999861</v>
      </c>
      <c r="BZ819" s="16">
        <f t="shared" si="324"/>
        <v>7.6443894399627578E-3</v>
      </c>
      <c r="CA819" s="16">
        <f t="shared" si="332"/>
        <v>-999</v>
      </c>
      <c r="CE819" s="16" t="e">
        <f t="shared" si="325"/>
        <v>#N/A</v>
      </c>
      <c r="CF819" s="16">
        <f t="shared" si="326"/>
        <v>99</v>
      </c>
      <c r="CG819" s="16">
        <f t="shared" si="327"/>
        <v>0</v>
      </c>
      <c r="CH819" s="16">
        <f t="shared" si="322"/>
        <v>0</v>
      </c>
      <c r="CJ819" s="16" t="e">
        <f t="shared" si="328"/>
        <v>#N/A</v>
      </c>
      <c r="CK819" s="16" t="str">
        <f t="shared" si="329"/>
        <v/>
      </c>
    </row>
    <row r="820" spans="73:89" ht="12" customHeight="1">
      <c r="BU820" s="16">
        <f t="shared" si="330"/>
        <v>0</v>
      </c>
      <c r="BV820" s="16">
        <f>IF($BY$12=1,NORMDIST(BY820,$Y$6,$Y$8,TRUE),IF($BY$12=2,IF(BY820&lt;=$BX$31,0,IF(BY820&gt;=$BX$32,1,(BY820-$BX$31)*$BX$33)),SUM($BU$42:BU820)/$BV$40))</f>
        <v>0.91773556132232992</v>
      </c>
      <c r="BW820" s="16">
        <f t="shared" si="331"/>
        <v>0.59062181368111355</v>
      </c>
      <c r="BX820" s="16">
        <f>IF($BY$12&lt;3,BV820,SUM($BZ$42:BZ820)/$BX$40)</f>
        <v>0.91773556132232992</v>
      </c>
      <c r="BY820" s="16">
        <f t="shared" si="323"/>
        <v>77.799999999999855</v>
      </c>
      <c r="BZ820" s="16">
        <f t="shared" si="324"/>
        <v>7.5915400216081579E-3</v>
      </c>
      <c r="CA820" s="16">
        <f t="shared" si="332"/>
        <v>-999</v>
      </c>
      <c r="CE820" s="16" t="e">
        <f t="shared" si="325"/>
        <v>#N/A</v>
      </c>
      <c r="CF820" s="16">
        <f t="shared" si="326"/>
        <v>99</v>
      </c>
      <c r="CG820" s="16">
        <f t="shared" si="327"/>
        <v>0</v>
      </c>
      <c r="CH820" s="16">
        <f t="shared" si="322"/>
        <v>0</v>
      </c>
      <c r="CJ820" s="16" t="e">
        <f t="shared" si="328"/>
        <v>#N/A</v>
      </c>
      <c r="CK820" s="16" t="str">
        <f t="shared" si="329"/>
        <v/>
      </c>
    </row>
    <row r="821" spans="73:89" ht="12" customHeight="1">
      <c r="BU821" s="16">
        <f t="shared" si="330"/>
        <v>0</v>
      </c>
      <c r="BV821" s="16">
        <f>IF($BY$12=1,NORMDIST(BY821,$Y$6,$Y$8,TRUE),IF($BY$12=2,IF(BY821&lt;=$BX$31,0,IF(BY821&gt;=$BX$32,1,(BY821-$BX$31)*$BX$33)),SUM($BU$42:BU821)/$BV$40))</f>
        <v>0.91849208021854745</v>
      </c>
      <c r="BW821" s="16">
        <f t="shared" si="331"/>
        <v>0.58727777849877061</v>
      </c>
      <c r="BX821" s="16">
        <f>IF($BY$12&lt;3,BV821,SUM($BZ$42:BZ821)/$BX$40)</f>
        <v>0.91849208021854745</v>
      </c>
      <c r="BY821" s="16">
        <f t="shared" si="323"/>
        <v>77.899999999999849</v>
      </c>
      <c r="BZ821" s="16">
        <f t="shared" si="324"/>
        <v>7.5388675031934759E-3</v>
      </c>
      <c r="CA821" s="16">
        <f t="shared" si="332"/>
        <v>-999</v>
      </c>
      <c r="CE821" s="16" t="e">
        <f t="shared" si="325"/>
        <v>#N/A</v>
      </c>
      <c r="CF821" s="16">
        <f t="shared" si="326"/>
        <v>99</v>
      </c>
      <c r="CG821" s="16">
        <f t="shared" si="327"/>
        <v>0</v>
      </c>
      <c r="CH821" s="16">
        <f t="shared" si="322"/>
        <v>0</v>
      </c>
      <c r="CJ821" s="16" t="e">
        <f t="shared" si="328"/>
        <v>#N/A</v>
      </c>
      <c r="CK821" s="16" t="str">
        <f t="shared" si="329"/>
        <v/>
      </c>
    </row>
    <row r="822" spans="73:89" ht="12" customHeight="1">
      <c r="BU822" s="16">
        <f t="shared" si="330"/>
        <v>0</v>
      </c>
      <c r="BV822" s="16">
        <f>IF($BY$12=1,NORMDIST(BY822,$Y$6,$Y$8,TRUE),IF($BY$12=2,IF(BY822&lt;=$BX$31,0,IF(BY822&gt;=$BX$32,1,(BY822-$BX$31)*$BX$33)),SUM($BU$42:BU822)/$BV$40))</f>
        <v>0.91924334076622771</v>
      </c>
      <c r="BW822" s="16">
        <f t="shared" si="331"/>
        <v>0.58393711597941012</v>
      </c>
      <c r="BX822" s="16">
        <f>IF($BY$12&lt;3,BV822,SUM($BZ$42:BZ822)/$BX$40)</f>
        <v>0.91924334076622771</v>
      </c>
      <c r="BY822" s="16">
        <f t="shared" si="323"/>
        <v>77.999999999999844</v>
      </c>
      <c r="BZ822" s="16">
        <f t="shared" si="324"/>
        <v>7.4863732817873237E-3</v>
      </c>
      <c r="CA822" s="16">
        <f t="shared" si="332"/>
        <v>-999</v>
      </c>
      <c r="CE822" s="16" t="e">
        <f t="shared" si="325"/>
        <v>#N/A</v>
      </c>
      <c r="CF822" s="16">
        <f t="shared" si="326"/>
        <v>99</v>
      </c>
      <c r="CG822" s="16">
        <f t="shared" si="327"/>
        <v>0</v>
      </c>
      <c r="CH822" s="16">
        <f t="shared" si="322"/>
        <v>0</v>
      </c>
      <c r="CJ822" s="16" t="e">
        <f t="shared" si="328"/>
        <v>#N/A</v>
      </c>
      <c r="CK822" s="16" t="str">
        <f t="shared" si="329"/>
        <v/>
      </c>
    </row>
    <row r="823" spans="73:89" ht="12" customHeight="1">
      <c r="BU823" s="16">
        <f t="shared" si="330"/>
        <v>0</v>
      </c>
      <c r="BV823" s="16">
        <f>IF($BY$12=1,NORMDIST(BY823,$Y$6,$Y$8,TRUE),IF($BY$12=2,IF(BY823&lt;=$BX$31,0,IF(BY823&gt;=$BX$32,1,(BY823-$BX$31)*$BX$33)),SUM($BU$42:BU823)/$BV$40))</f>
        <v>0.9199893608639651</v>
      </c>
      <c r="BW823" s="16">
        <f t="shared" si="331"/>
        <v>0.58059998692407144</v>
      </c>
      <c r="BX823" s="16">
        <f>IF($BY$12&lt;3,BV823,SUM($BZ$42:BZ823)/$BX$40)</f>
        <v>0.9199893608639651</v>
      </c>
      <c r="BY823" s="16">
        <f t="shared" si="323"/>
        <v>78.099999999999838</v>
      </c>
      <c r="BZ823" s="16">
        <f t="shared" si="324"/>
        <v>7.4340587314221844E-3</v>
      </c>
      <c r="CA823" s="16">
        <f t="shared" si="332"/>
        <v>-999</v>
      </c>
      <c r="CE823" s="16" t="e">
        <f t="shared" si="325"/>
        <v>#N/A</v>
      </c>
      <c r="CF823" s="16">
        <f t="shared" si="326"/>
        <v>99</v>
      </c>
      <c r="CG823" s="16">
        <f t="shared" si="327"/>
        <v>0</v>
      </c>
      <c r="CH823" s="16">
        <f t="shared" si="322"/>
        <v>0</v>
      </c>
      <c r="CJ823" s="16" t="e">
        <f t="shared" si="328"/>
        <v>#N/A</v>
      </c>
      <c r="CK823" s="16" t="str">
        <f t="shared" si="329"/>
        <v/>
      </c>
    </row>
    <row r="824" spans="73:89" ht="12" customHeight="1">
      <c r="BU824" s="16">
        <f t="shared" si="330"/>
        <v>0</v>
      </c>
      <c r="BV824" s="16">
        <f>IF($BY$12=1,NORMDIST(BY824,$Y$6,$Y$8,TRUE),IF($BY$12=2,IF(BY824&lt;=$BX$31,0,IF(BY824&gt;=$BX$32,1,(BY824-$BX$31)*$BX$33)),SUM($BU$42:BU824)/$BV$40))</f>
        <v>0.92073015854660634</v>
      </c>
      <c r="BW824" s="16">
        <f t="shared" si="331"/>
        <v>0.57726655088381629</v>
      </c>
      <c r="BX824" s="16">
        <f>IF($BY$12&lt;3,BV824,SUM($BZ$42:BZ824)/$BX$40)</f>
        <v>0.92073015854660634</v>
      </c>
      <c r="BY824" s="16">
        <f t="shared" si="323"/>
        <v>78.199999999999832</v>
      </c>
      <c r="BZ824" s="16">
        <f t="shared" si="324"/>
        <v>7.3819252031178716E-3</v>
      </c>
      <c r="CA824" s="16">
        <f t="shared" si="332"/>
        <v>-999</v>
      </c>
      <c r="CE824" s="16" t="e">
        <f t="shared" si="325"/>
        <v>#N/A</v>
      </c>
      <c r="CF824" s="16">
        <f t="shared" si="326"/>
        <v>99</v>
      </c>
      <c r="CG824" s="16">
        <f t="shared" si="327"/>
        <v>0</v>
      </c>
      <c r="CH824" s="16">
        <f t="shared" si="322"/>
        <v>0</v>
      </c>
      <c r="CJ824" s="16" t="e">
        <f t="shared" si="328"/>
        <v>#N/A</v>
      </c>
      <c r="CK824" s="16" t="str">
        <f t="shared" si="329"/>
        <v/>
      </c>
    </row>
    <row r="825" spans="73:89" ht="12" customHeight="1">
      <c r="BU825" s="16">
        <f t="shared" si="330"/>
        <v>0</v>
      </c>
      <c r="BV825" s="16">
        <f>IF($BY$12=1,NORMDIST(BY825,$Y$6,$Y$8,TRUE),IF($BY$12=2,IF(BY825&lt;=$BX$31,0,IF(BY825&gt;=$BX$32,1,(BY825-$BX$31)*$BX$33)),SUM($BU$42:BU825)/$BV$40))</f>
        <v>0.92146575198295055</v>
      </c>
      <c r="BW825" s="16">
        <f t="shared" si="331"/>
        <v>0.57393696615027368</v>
      </c>
      <c r="BX825" s="16">
        <f>IF($BY$12&lt;3,BV825,SUM($BZ$42:BZ825)/$BX$40)</f>
        <v>0.92146575198295055</v>
      </c>
      <c r="BY825" s="16">
        <f t="shared" si="323"/>
        <v>78.299999999999827</v>
      </c>
      <c r="BZ825" s="16">
        <f t="shared" si="324"/>
        <v>7.3299740249077256E-3</v>
      </c>
      <c r="CA825" s="16">
        <f t="shared" si="332"/>
        <v>-999</v>
      </c>
      <c r="CE825" s="16" t="e">
        <f t="shared" si="325"/>
        <v>#N/A</v>
      </c>
      <c r="CF825" s="16">
        <f t="shared" si="326"/>
        <v>99</v>
      </c>
      <c r="CG825" s="16">
        <f t="shared" si="327"/>
        <v>0</v>
      </c>
      <c r="CH825" s="16">
        <f t="shared" si="322"/>
        <v>0</v>
      </c>
      <c r="CJ825" s="16" t="e">
        <f t="shared" si="328"/>
        <v>#N/A</v>
      </c>
      <c r="CK825" s="16" t="str">
        <f t="shared" si="329"/>
        <v/>
      </c>
    </row>
    <row r="826" spans="73:89" ht="12" customHeight="1">
      <c r="BU826" s="16">
        <f t="shared" si="330"/>
        <v>0</v>
      </c>
      <c r="BV826" s="16">
        <f>IF($BY$12=1,NORMDIST(BY826,$Y$6,$Y$8,TRUE),IF($BY$12=2,IF(BY826&lt;=$BX$31,0,IF(BY826&gt;=$BX$32,1,(BY826-$BX$31)*$BX$33)),SUM($BU$42:BU826)/$BV$40))</f>
        <v>0.92219615947345235</v>
      </c>
      <c r="BW826" s="16">
        <f t="shared" si="331"/>
        <v>0.57061138974640846</v>
      </c>
      <c r="BX826" s="16">
        <f>IF($BY$12&lt;3,BV826,SUM($BZ$42:BZ826)/$BX$40)</f>
        <v>0.92219615947345235</v>
      </c>
      <c r="BY826" s="16">
        <f t="shared" si="323"/>
        <v>78.399999999999821</v>
      </c>
      <c r="BZ826" s="16">
        <f t="shared" si="324"/>
        <v>7.2782065018674709E-3</v>
      </c>
      <c r="CA826" s="16">
        <f t="shared" si="332"/>
        <v>-999</v>
      </c>
      <c r="CE826" s="16" t="e">
        <f t="shared" si="325"/>
        <v>#N/A</v>
      </c>
      <c r="CF826" s="16">
        <f t="shared" si="326"/>
        <v>99</v>
      </c>
      <c r="CG826" s="16">
        <f t="shared" si="327"/>
        <v>0</v>
      </c>
      <c r="CH826" s="16">
        <f t="shared" si="322"/>
        <v>0</v>
      </c>
      <c r="CJ826" s="16" t="e">
        <f t="shared" si="328"/>
        <v>#N/A</v>
      </c>
      <c r="CK826" s="16" t="str">
        <f t="shared" si="329"/>
        <v/>
      </c>
    </row>
    <row r="827" spans="73:89" ht="12" customHeight="1">
      <c r="BU827" s="16">
        <f t="shared" si="330"/>
        <v>0</v>
      </c>
      <c r="BV827" s="16">
        <f>IF($BY$12=1,NORMDIST(BY827,$Y$6,$Y$8,TRUE),IF($BY$12=2,IF(BY827&lt;=$BX$31,0,IF(BY827&gt;=$BX$32,1,(BY827-$BX$31)*$BX$33)),SUM($BU$42:BU827)/$BV$40))</f>
        <v>0.92292139944792684</v>
      </c>
      <c r="BW827" s="16">
        <f t="shared" si="331"/>
        <v>0.56728997741751774</v>
      </c>
      <c r="BX827" s="16">
        <f>IF($BY$12&lt;3,BV827,SUM($BZ$42:BZ827)/$BX$40)</f>
        <v>0.92292139944792684</v>
      </c>
      <c r="BY827" s="16">
        <f t="shared" si="323"/>
        <v>78.499999999999815</v>
      </c>
      <c r="BZ827" s="16">
        <f t="shared" si="324"/>
        <v>7.2266239161467398E-3</v>
      </c>
      <c r="CA827" s="16">
        <f t="shared" si="332"/>
        <v>-999</v>
      </c>
      <c r="CE827" s="16" t="e">
        <f t="shared" si="325"/>
        <v>#N/A</v>
      </c>
      <c r="CF827" s="16">
        <f t="shared" si="326"/>
        <v>99</v>
      </c>
      <c r="CG827" s="16">
        <f t="shared" si="327"/>
        <v>0</v>
      </c>
      <c r="CH827" s="16">
        <f t="shared" si="322"/>
        <v>0</v>
      </c>
      <c r="CJ827" s="16" t="e">
        <f t="shared" si="328"/>
        <v>#N/A</v>
      </c>
      <c r="CK827" s="16" t="str">
        <f t="shared" si="329"/>
        <v/>
      </c>
    </row>
    <row r="828" spans="73:89" ht="12" customHeight="1">
      <c r="BU828" s="16">
        <f t="shared" si="330"/>
        <v>0</v>
      </c>
      <c r="BV828" s="16">
        <f>IF($BY$12=1,NORMDIST(BY828,$Y$6,$Y$8,TRUE),IF($BY$12=2,IF(BY828&lt;=$BX$31,0,IF(BY828&gt;=$BX$32,1,(BY828-$BX$31)*$BX$33)),SUM($BU$42:BU828)/$BV$40))</f>
        <v>0.9236414904632595</v>
      </c>
      <c r="BW828" s="16">
        <f t="shared" si="331"/>
        <v>0.56397288362245146</v>
      </c>
      <c r="BX828" s="16">
        <f>IF($BY$12&lt;3,BV828,SUM($BZ$42:BZ828)/$BX$40)</f>
        <v>0.9236414904632595</v>
      </c>
      <c r="BY828" s="16">
        <f t="shared" si="323"/>
        <v>78.59999999999981</v>
      </c>
      <c r="BZ828" s="16">
        <f t="shared" si="324"/>
        <v>7.1752275270032173E-3</v>
      </c>
      <c r="CA828" s="16">
        <f t="shared" si="332"/>
        <v>-999</v>
      </c>
      <c r="CE828" s="16" t="e">
        <f t="shared" si="325"/>
        <v>#N/A</v>
      </c>
      <c r="CF828" s="16">
        <f t="shared" si="326"/>
        <v>99</v>
      </c>
      <c r="CG828" s="16">
        <f t="shared" si="327"/>
        <v>0</v>
      </c>
      <c r="CH828" s="16">
        <f t="shared" si="322"/>
        <v>0</v>
      </c>
      <c r="CJ828" s="16" t="e">
        <f t="shared" si="328"/>
        <v>#N/A</v>
      </c>
      <c r="CK828" s="16" t="str">
        <f t="shared" si="329"/>
        <v/>
      </c>
    </row>
    <row r="829" spans="73:89" ht="12" customHeight="1">
      <c r="BU829" s="16">
        <f t="shared" si="330"/>
        <v>0</v>
      </c>
      <c r="BV829" s="16">
        <f>IF($BY$12=1,NORMDIST(BY829,$Y$6,$Y$8,TRUE),IF($BY$12=2,IF(BY829&lt;=$BX$31,0,IF(BY829&gt;=$BX$32,1,(BY829-$BX$31)*$BX$33)),SUM($BU$42:BU829)/$BV$40))</f>
        <v>0.92435645120111865</v>
      </c>
      <c r="BW829" s="16">
        <f t="shared" si="331"/>
        <v>0.5606602615250611</v>
      </c>
      <c r="BX829" s="16">
        <f>IF($BY$12&lt;3,BV829,SUM($BZ$42:BZ829)/$BX$40)</f>
        <v>0.92435645120111865</v>
      </c>
      <c r="BY829" s="16">
        <f t="shared" si="323"/>
        <v>78.699999999999804</v>
      </c>
      <c r="BZ829" s="16">
        <f t="shared" si="324"/>
        <v>7.1240185708394219E-3</v>
      </c>
      <c r="CA829" s="16">
        <f t="shared" si="332"/>
        <v>-999</v>
      </c>
      <c r="CE829" s="16" t="e">
        <f t="shared" si="325"/>
        <v>#N/A</v>
      </c>
      <c r="CF829" s="16">
        <f t="shared" si="326"/>
        <v>99</v>
      </c>
      <c r="CG829" s="16">
        <f t="shared" si="327"/>
        <v>0</v>
      </c>
      <c r="CH829" s="16">
        <f t="shared" si="322"/>
        <v>0</v>
      </c>
      <c r="CJ829" s="16" t="e">
        <f t="shared" si="328"/>
        <v>#N/A</v>
      </c>
      <c r="CK829" s="16" t="str">
        <f t="shared" si="329"/>
        <v/>
      </c>
    </row>
    <row r="830" spans="73:89" ht="12" customHeight="1">
      <c r="BU830" s="16">
        <f t="shared" si="330"/>
        <v>0</v>
      </c>
      <c r="BV830" s="16">
        <f>IF($BY$12=1,NORMDIST(BY830,$Y$6,$Y$8,TRUE),IF($BY$12=2,IF(BY830&lt;=$BX$31,0,IF(BY830&gt;=$BX$32,1,(BY830-$BX$31)*$BX$33)),SUM($BU$42:BU830)/$BV$40))</f>
        <v>0.92506630046567151</v>
      </c>
      <c r="BW830" s="16">
        <f t="shared" si="331"/>
        <v>0.55735226298587148</v>
      </c>
      <c r="BX830" s="16">
        <f>IF($BY$12&lt;3,BV830,SUM($BZ$42:BZ830)/$BX$40)</f>
        <v>0.92506630046567151</v>
      </c>
      <c r="BY830" s="16">
        <f t="shared" si="323"/>
        <v>78.799999999999798</v>
      </c>
      <c r="BZ830" s="16">
        <f t="shared" si="324"/>
        <v>7.0729982612420424E-3</v>
      </c>
      <c r="CA830" s="16">
        <f t="shared" si="332"/>
        <v>-999</v>
      </c>
      <c r="CE830" s="16" t="e">
        <f t="shared" si="325"/>
        <v>#N/A</v>
      </c>
      <c r="CF830" s="16">
        <f t="shared" si="326"/>
        <v>99</v>
      </c>
      <c r="CG830" s="16">
        <f t="shared" si="327"/>
        <v>0</v>
      </c>
      <c r="CH830" s="16">
        <f t="shared" si="322"/>
        <v>0</v>
      </c>
      <c r="CJ830" s="16" t="e">
        <f t="shared" si="328"/>
        <v>#N/A</v>
      </c>
      <c r="CK830" s="16" t="str">
        <f t="shared" si="329"/>
        <v/>
      </c>
    </row>
    <row r="831" spans="73:89" ht="12" customHeight="1">
      <c r="BU831" s="16">
        <f t="shared" si="330"/>
        <v>0</v>
      </c>
      <c r="BV831" s="16">
        <f>IF($BY$12=1,NORMDIST(BY831,$Y$6,$Y$8,TRUE),IF($BY$12=2,IF(BY831&lt;=$BX$31,0,IF(BY831&gt;=$BX$32,1,(BY831-$BX$31)*$BX$33)),SUM($BU$42:BU831)/$BV$40))</f>
        <v>0.92577105718130492</v>
      </c>
      <c r="BW831" s="16">
        <f t="shared" si="331"/>
        <v>0.5540490385539798</v>
      </c>
      <c r="BX831" s="16">
        <f>IF($BY$12&lt;3,BV831,SUM($BZ$42:BZ831)/$BX$40)</f>
        <v>0.92577105718130492</v>
      </c>
      <c r="BY831" s="16">
        <f t="shared" si="323"/>
        <v>78.899999999999793</v>
      </c>
      <c r="BZ831" s="16">
        <f t="shared" si="324"/>
        <v>7.022167789023843E-3</v>
      </c>
      <c r="CA831" s="16">
        <f t="shared" si="332"/>
        <v>-999</v>
      </c>
      <c r="CE831" s="16" t="e">
        <f t="shared" si="325"/>
        <v>#N/A</v>
      </c>
      <c r="CF831" s="16">
        <f t="shared" si="326"/>
        <v>99</v>
      </c>
      <c r="CG831" s="16">
        <f t="shared" si="327"/>
        <v>0</v>
      </c>
      <c r="CH831" s="16">
        <f t="shared" si="322"/>
        <v>0</v>
      </c>
      <c r="CJ831" s="16" t="e">
        <f t="shared" si="328"/>
        <v>#N/A</v>
      </c>
      <c r="CK831" s="16" t="str">
        <f t="shared" si="329"/>
        <v/>
      </c>
    </row>
    <row r="832" spans="73:89" ht="12" customHeight="1">
      <c r="BU832" s="16">
        <f t="shared" si="330"/>
        <v>0</v>
      </c>
      <c r="BV832" s="16">
        <f>IF($BY$12=1,NORMDIST(BY832,$Y$6,$Y$8,TRUE),IF($BY$12=2,IF(BY832&lt;=$BX$31,0,IF(BY832&gt;=$BX$32,1,(BY832-$BX$31)*$BX$33)),SUM($BU$42:BU832)/$BV$40))</f>
        <v>0.92647074039035004</v>
      </c>
      <c r="BW832" s="16">
        <f t="shared" si="331"/>
        <v>0.55075073745918002</v>
      </c>
      <c r="BX832" s="16">
        <f>IF($BY$12&lt;3,BV832,SUM($BZ$42:BZ832)/$BX$40)</f>
        <v>0.92647074039035004</v>
      </c>
      <c r="BY832" s="16">
        <f t="shared" si="323"/>
        <v>78.999999999999787</v>
      </c>
      <c r="BZ832" s="16">
        <f t="shared" si="324"/>
        <v>6.9715283222681204E-3</v>
      </c>
      <c r="CA832" s="16">
        <f t="shared" si="332"/>
        <v>-999</v>
      </c>
      <c r="CE832" s="16" t="e">
        <f t="shared" si="325"/>
        <v>#N/A</v>
      </c>
      <c r="CF832" s="16">
        <f t="shared" si="326"/>
        <v>99</v>
      </c>
      <c r="CG832" s="16">
        <f t="shared" si="327"/>
        <v>0</v>
      </c>
      <c r="CH832" s="16">
        <f t="shared" si="322"/>
        <v>0</v>
      </c>
      <c r="CJ832" s="16" t="e">
        <f t="shared" si="328"/>
        <v>#N/A</v>
      </c>
      <c r="CK832" s="16" t="str">
        <f t="shared" si="329"/>
        <v/>
      </c>
    </row>
    <row r="833" spans="73:89" ht="12" customHeight="1">
      <c r="BU833" s="16">
        <f t="shared" si="330"/>
        <v>0</v>
      </c>
      <c r="BV833" s="16">
        <f>IF($BY$12=1,NORMDIST(BY833,$Y$6,$Y$8,TRUE),IF($BY$12=2,IF(BY833&lt;=$BX$31,0,IF(BY833&gt;=$BX$32,1,(BY833-$BX$31)*$BX$33)),SUM($BU$42:BU833)/$BV$40))</f>
        <v>0.92716536925081239</v>
      </c>
      <c r="BW833" s="16">
        <f t="shared" si="331"/>
        <v>0.54745750760431366</v>
      </c>
      <c r="BX833" s="16">
        <f>IF($BY$12&lt;3,BV833,SUM($BZ$42:BZ833)/$BX$40)</f>
        <v>0.92716536925081239</v>
      </c>
      <c r="BY833" s="16">
        <f t="shared" si="323"/>
        <v>79.099999999999781</v>
      </c>
      <c r="BZ833" s="16">
        <f t="shared" si="324"/>
        <v>6.9210810063756664E-3</v>
      </c>
      <c r="CA833" s="16">
        <f t="shared" si="332"/>
        <v>-999</v>
      </c>
      <c r="CE833" s="16" t="e">
        <f t="shared" si="325"/>
        <v>#N/A</v>
      </c>
      <c r="CF833" s="16">
        <f t="shared" si="326"/>
        <v>99</v>
      </c>
      <c r="CG833" s="16">
        <f t="shared" si="327"/>
        <v>0</v>
      </c>
      <c r="CH833" s="16">
        <f t="shared" si="322"/>
        <v>0</v>
      </c>
      <c r="CJ833" s="16" t="e">
        <f t="shared" si="328"/>
        <v>#N/A</v>
      </c>
      <c r="CK833" s="16" t="str">
        <f t="shared" si="329"/>
        <v/>
      </c>
    </row>
    <row r="834" spans="73:89" ht="12" customHeight="1">
      <c r="BU834" s="16">
        <f t="shared" si="330"/>
        <v>0</v>
      </c>
      <c r="BV834" s="16">
        <f>IF($BY$12=1,NORMDIST(BY834,$Y$6,$Y$8,TRUE),IF($BY$12=2,IF(BY834&lt;=$BX$31,0,IF(BY834&gt;=$BX$32,1,(BY834-$BX$31)*$BX$33)),SUM($BU$42:BU834)/$BV$40))</f>
        <v>0.92785496303410475</v>
      </c>
      <c r="BW834" s="16">
        <f t="shared" si="331"/>
        <v>0.544169495557843</v>
      </c>
      <c r="BX834" s="16">
        <f>IF($BY$12&lt;3,BV834,SUM($BZ$42:BZ834)/$BX$40)</f>
        <v>0.92785496303410475</v>
      </c>
      <c r="BY834" s="16">
        <f t="shared" si="323"/>
        <v>79.199999999999775</v>
      </c>
      <c r="BZ834" s="16">
        <f t="shared" si="324"/>
        <v>6.8708269641141991E-3</v>
      </c>
      <c r="CA834" s="16">
        <f t="shared" si="332"/>
        <v>-999</v>
      </c>
      <c r="CE834" s="16" t="e">
        <f t="shared" si="325"/>
        <v>#N/A</v>
      </c>
      <c r="CF834" s="16">
        <f t="shared" si="326"/>
        <v>99</v>
      </c>
      <c r="CG834" s="16">
        <f t="shared" si="327"/>
        <v>0</v>
      </c>
      <c r="CH834" s="16">
        <f t="shared" si="322"/>
        <v>0</v>
      </c>
      <c r="CJ834" s="16" t="e">
        <f t="shared" si="328"/>
        <v>#N/A</v>
      </c>
      <c r="CK834" s="16" t="str">
        <f t="shared" si="329"/>
        <v/>
      </c>
    </row>
    <row r="835" spans="73:89" ht="12" customHeight="1">
      <c r="BU835" s="16">
        <f t="shared" si="330"/>
        <v>0</v>
      </c>
      <c r="BV835" s="16">
        <f>IF($BY$12=1,NORMDIST(BY835,$Y$6,$Y$8,TRUE),IF($BY$12=2,IF(BY835&lt;=$BX$31,0,IF(BY835&gt;=$BX$32,1,(BY835-$BX$31)*$BX$33)),SUM($BU$42:BU835)/$BV$40))</f>
        <v>0.92853954112278747</v>
      </c>
      <c r="BW835" s="16">
        <f t="shared" si="331"/>
        <v>0.54088684654665231</v>
      </c>
      <c r="BX835" s="16">
        <f>IF($BY$12&lt;3,BV835,SUM($BZ$42:BZ835)/$BX$40)</f>
        <v>0.92853954112278747</v>
      </c>
      <c r="BY835" s="16">
        <f t="shared" si="323"/>
        <v>79.29999999999977</v>
      </c>
      <c r="BZ835" s="16">
        <f t="shared" si="324"/>
        <v>6.8207672956702879E-3</v>
      </c>
      <c r="CA835" s="16">
        <f t="shared" si="332"/>
        <v>-999</v>
      </c>
      <c r="CE835" s="16" t="e">
        <f t="shared" si="325"/>
        <v>#N/A</v>
      </c>
      <c r="CF835" s="16">
        <f t="shared" si="326"/>
        <v>99</v>
      </c>
      <c r="CG835" s="16">
        <f t="shared" si="327"/>
        <v>0</v>
      </c>
      <c r="CH835" s="16">
        <f t="shared" ref="CH835:CH898" si="333">IF(CB835="",0,1)</f>
        <v>0</v>
      </c>
      <c r="CJ835" s="16" t="e">
        <f t="shared" si="328"/>
        <v>#N/A</v>
      </c>
      <c r="CK835" s="16" t="str">
        <f t="shared" si="329"/>
        <v/>
      </c>
    </row>
    <row r="836" spans="73:89" ht="12" customHeight="1">
      <c r="BU836" s="16">
        <f t="shared" si="330"/>
        <v>0</v>
      </c>
      <c r="BV836" s="16">
        <f>IF($BY$12=1,NORMDIST(BY836,$Y$6,$Y$8,TRUE),IF($BY$12=2,IF(BY836&lt;=$BX$31,0,IF(BY836&gt;=$BX$32,1,(BY836-$BX$31)*$BX$33)),SUM($BU$42:BU836)/$BV$40))</f>
        <v>0.92921912300831278</v>
      </c>
      <c r="BW836" s="16">
        <f t="shared" si="331"/>
        <v>0.53760970444907075</v>
      </c>
      <c r="BX836" s="16">
        <f>IF($BY$12&lt;3,BV836,SUM($BZ$42:BZ836)/$BX$40)</f>
        <v>0.92921912300831278</v>
      </c>
      <c r="BY836" s="16">
        <f t="shared" si="323"/>
        <v>79.399999999999764</v>
      </c>
      <c r="BZ836" s="16">
        <f t="shared" si="324"/>
        <v>6.7709030787036816E-3</v>
      </c>
      <c r="CA836" s="16">
        <f t="shared" si="332"/>
        <v>-999</v>
      </c>
      <c r="CE836" s="16" t="e">
        <f t="shared" si="325"/>
        <v>#N/A</v>
      </c>
      <c r="CF836" s="16">
        <f t="shared" si="326"/>
        <v>99</v>
      </c>
      <c r="CG836" s="16">
        <f t="shared" si="327"/>
        <v>0</v>
      </c>
      <c r="CH836" s="16">
        <f t="shared" si="333"/>
        <v>0</v>
      </c>
      <c r="CJ836" s="16" t="e">
        <f t="shared" si="328"/>
        <v>#N/A</v>
      </c>
      <c r="CK836" s="16" t="str">
        <f t="shared" si="329"/>
        <v/>
      </c>
    </row>
    <row r="837" spans="73:89" ht="12" customHeight="1">
      <c r="BU837" s="16">
        <f t="shared" si="330"/>
        <v>0</v>
      </c>
      <c r="BV837" s="16">
        <f>IF($BY$12=1,NORMDIST(BY837,$Y$6,$Y$8,TRUE),IF($BY$12=2,IF(BY837&lt;=$BX$31,0,IF(BY837&gt;=$BX$32,1,(BY837-$BX$31)*$BX$33)),SUM($BU$42:BU837)/$BV$40))</f>
        <v>0.92989372828877515</v>
      </c>
      <c r="BW837" s="16">
        <f t="shared" si="331"/>
        <v>0.53433821178812213</v>
      </c>
      <c r="BX837" s="16">
        <f>IF($BY$12&lt;3,BV837,SUM($BZ$42:BZ837)/$BX$40)</f>
        <v>0.92989372828877515</v>
      </c>
      <c r="BY837" s="16">
        <f t="shared" si="323"/>
        <v>79.499999999999758</v>
      </c>
      <c r="BZ837" s="16">
        <f t="shared" si="324"/>
        <v>6.7212353684040728E-3</v>
      </c>
      <c r="CA837" s="16">
        <f t="shared" si="332"/>
        <v>-999</v>
      </c>
      <c r="CE837" s="16" t="e">
        <f t="shared" si="325"/>
        <v>#N/A</v>
      </c>
      <c r="CF837" s="16">
        <f t="shared" si="326"/>
        <v>99</v>
      </c>
      <c r="CG837" s="16">
        <f t="shared" si="327"/>
        <v>0</v>
      </c>
      <c r="CH837" s="16">
        <f t="shared" si="333"/>
        <v>0</v>
      </c>
      <c r="CJ837" s="16" t="e">
        <f t="shared" si="328"/>
        <v>#N/A</v>
      </c>
      <c r="CK837" s="16" t="str">
        <f t="shared" si="329"/>
        <v/>
      </c>
    </row>
    <row r="838" spans="73:89" ht="12" customHeight="1">
      <c r="BU838" s="16">
        <f t="shared" si="330"/>
        <v>0</v>
      </c>
      <c r="BV838" s="16">
        <f>IF($BY$12=1,NORMDIST(BY838,$Y$6,$Y$8,TRUE),IF($BY$12=2,IF(BY838&lt;=$BX$31,0,IF(BY838&gt;=$BX$32,1,(BY838-$BX$31)*$BX$33)),SUM($BU$42:BU838)/$BV$40))</f>
        <v>0.93056337666666655</v>
      </c>
      <c r="BW838" s="16">
        <f t="shared" si="331"/>
        <v>0.5310725097249972</v>
      </c>
      <c r="BX838" s="16">
        <f>IF($BY$12&lt;3,BV838,SUM($BZ$42:BZ838)/$BX$40)</f>
        <v>0.93056337666666655</v>
      </c>
      <c r="BY838" s="16">
        <f t="shared" si="323"/>
        <v>79.599999999999753</v>
      </c>
      <c r="BZ838" s="16">
        <f t="shared" si="324"/>
        <v>6.6717651975502362E-3</v>
      </c>
      <c r="CA838" s="16">
        <f t="shared" si="332"/>
        <v>-999</v>
      </c>
      <c r="CE838" s="16" t="e">
        <f t="shared" si="325"/>
        <v>#N/A</v>
      </c>
      <c r="CF838" s="16">
        <f t="shared" si="326"/>
        <v>99</v>
      </c>
      <c r="CG838" s="16">
        <f t="shared" si="327"/>
        <v>0</v>
      </c>
      <c r="CH838" s="16">
        <f t="shared" si="333"/>
        <v>0</v>
      </c>
      <c r="CJ838" s="16" t="e">
        <f t="shared" si="328"/>
        <v>#N/A</v>
      </c>
      <c r="CK838" s="16" t="str">
        <f t="shared" si="329"/>
        <v/>
      </c>
    </row>
    <row r="839" spans="73:89" ht="12" customHeight="1">
      <c r="BU839" s="16">
        <f t="shared" si="330"/>
        <v>0</v>
      </c>
      <c r="BV839" s="16">
        <f>IF($BY$12=1,NORMDIST(BY839,$Y$6,$Y$8,TRUE),IF($BY$12=2,IF(BY839&lt;=$BX$31,0,IF(BY839&gt;=$BX$32,1,(BY839-$BX$31)*$BX$33)),SUM($BU$42:BU839)/$BV$40))</f>
        <v>0.93122808794663914</v>
      </c>
      <c r="BW839" s="16">
        <f t="shared" si="331"/>
        <v>0.52781273805274831</v>
      </c>
      <c r="BX839" s="16">
        <f>IF($BY$12&lt;3,BV839,SUM($BZ$42:BZ839)/$BX$40)</f>
        <v>0.93122808794663914</v>
      </c>
      <c r="BY839" s="16">
        <f t="shared" si="323"/>
        <v>79.699999999999747</v>
      </c>
      <c r="BZ839" s="16">
        <f t="shared" si="324"/>
        <v>6.6224935765715181E-3</v>
      </c>
      <c r="CA839" s="16">
        <f t="shared" si="332"/>
        <v>-999</v>
      </c>
      <c r="CE839" s="16" t="e">
        <f t="shared" si="325"/>
        <v>#N/A</v>
      </c>
      <c r="CF839" s="16">
        <f t="shared" si="326"/>
        <v>99</v>
      </c>
      <c r="CG839" s="16">
        <f t="shared" si="327"/>
        <v>0</v>
      </c>
      <c r="CH839" s="16">
        <f t="shared" si="333"/>
        <v>0</v>
      </c>
      <c r="CJ839" s="16" t="e">
        <f t="shared" si="328"/>
        <v>#N/A</v>
      </c>
      <c r="CK839" s="16" t="str">
        <f t="shared" si="329"/>
        <v/>
      </c>
    </row>
    <row r="840" spans="73:89" ht="12" customHeight="1">
      <c r="BU840" s="16">
        <f t="shared" si="330"/>
        <v>0</v>
      </c>
      <c r="BV840" s="16">
        <f>IF($BY$12=1,NORMDIST(BY840,$Y$6,$Y$8,TRUE),IF($BY$12=2,IF(BY840&lt;=$BX$31,0,IF(BY840&gt;=$BX$32,1,(BY840-$BX$31)*$BX$33)),SUM($BU$42:BU840)/$BV$40))</f>
        <v>0.93188788203327289</v>
      </c>
      <c r="BW840" s="16">
        <f t="shared" si="331"/>
        <v>0.52455903519021019</v>
      </c>
      <c r="BX840" s="16">
        <f>IF($BY$12&lt;3,BV840,SUM($BZ$42:BZ840)/$BX$40)</f>
        <v>0.93188788203327289</v>
      </c>
      <c r="BY840" s="16">
        <f t="shared" si="323"/>
        <v>79.799999999999741</v>
      </c>
      <c r="BZ840" s="16">
        <f t="shared" si="324"/>
        <v>6.5734214936116779E-3</v>
      </c>
      <c r="CA840" s="16">
        <f t="shared" si="332"/>
        <v>-999</v>
      </c>
      <c r="CE840" s="16" t="e">
        <f t="shared" si="325"/>
        <v>#N/A</v>
      </c>
      <c r="CF840" s="16">
        <f t="shared" si="326"/>
        <v>99</v>
      </c>
      <c r="CG840" s="16">
        <f t="shared" si="327"/>
        <v>0</v>
      </c>
      <c r="CH840" s="16">
        <f t="shared" si="333"/>
        <v>0</v>
      </c>
      <c r="CJ840" s="16" t="e">
        <f t="shared" si="328"/>
        <v>#N/A</v>
      </c>
      <c r="CK840" s="16" t="str">
        <f t="shared" si="329"/>
        <v/>
      </c>
    </row>
    <row r="841" spans="73:89" ht="12" customHeight="1">
      <c r="BU841" s="16">
        <f t="shared" si="330"/>
        <v>0</v>
      </c>
      <c r="BV841" s="16">
        <f>IF($BY$12=1,NORMDIST(BY841,$Y$6,$Y$8,TRUE),IF($BY$12=2,IF(BY841&lt;=$BX$31,0,IF(BY841&gt;=$BX$32,1,(BY841-$BX$31)*$BX$33)),SUM($BU$42:BU841)/$BV$40))</f>
        <v>0.93254277892885074</v>
      </c>
      <c r="BW841" s="16">
        <f t="shared" si="331"/>
        <v>0.52131153817613873</v>
      </c>
      <c r="BX841" s="16">
        <f>IF($BY$12&lt;3,BV841,SUM($BZ$42:BZ841)/$BX$40)</f>
        <v>0.93254277892885074</v>
      </c>
      <c r="BY841" s="16">
        <f t="shared" si="323"/>
        <v>79.899999999999736</v>
      </c>
      <c r="BZ841" s="16">
        <f t="shared" si="324"/>
        <v>6.5245499145949988E-3</v>
      </c>
      <c r="CA841" s="16">
        <f t="shared" si="332"/>
        <v>-999</v>
      </c>
      <c r="CE841" s="16" t="e">
        <f t="shared" si="325"/>
        <v>#N/A</v>
      </c>
      <c r="CF841" s="16">
        <f t="shared" si="326"/>
        <v>99</v>
      </c>
      <c r="CG841" s="16">
        <f t="shared" si="327"/>
        <v>0</v>
      </c>
      <c r="CH841" s="16">
        <f t="shared" si="333"/>
        <v>0</v>
      </c>
      <c r="CJ841" s="16" t="e">
        <f t="shared" si="328"/>
        <v>#N/A</v>
      </c>
      <c r="CK841" s="16" t="str">
        <f t="shared" si="329"/>
        <v/>
      </c>
    </row>
    <row r="842" spans="73:89" ht="12" customHeight="1">
      <c r="BU842" s="16">
        <f t="shared" si="330"/>
        <v>0</v>
      </c>
      <c r="BV842" s="16">
        <f>IF($BY$12=1,NORMDIST(BY842,$Y$6,$Y$8,TRUE),IF($BY$12=2,IF(BY842&lt;=$BX$31,0,IF(BY842&gt;=$BX$32,1,(BY842-$BX$31)*$BX$33)),SUM($BU$42:BU842)/$BV$40))</f>
        <v>0.93319279873114014</v>
      </c>
      <c r="BW842" s="16">
        <f t="shared" si="331"/>
        <v>0.51807038266357563</v>
      </c>
      <c r="BX842" s="16">
        <f>IF($BY$12&lt;3,BV842,SUM($BZ$42:BZ842)/$BX$40)</f>
        <v>0.93319279873114014</v>
      </c>
      <c r="BY842" s="16">
        <f t="shared" si="323"/>
        <v>79.99999999999973</v>
      </c>
      <c r="BZ842" s="16">
        <f t="shared" si="324"/>
        <v>6.4758797832947176E-3</v>
      </c>
      <c r="CA842" s="16">
        <f t="shared" si="332"/>
        <v>-999</v>
      </c>
      <c r="CE842" s="16" t="e">
        <f t="shared" si="325"/>
        <v>#N/A</v>
      </c>
      <c r="CF842" s="16">
        <f t="shared" si="326"/>
        <v>99</v>
      </c>
      <c r="CG842" s="16">
        <f t="shared" si="327"/>
        <v>0</v>
      </c>
      <c r="CH842" s="16">
        <f t="shared" si="333"/>
        <v>0</v>
      </c>
      <c r="CJ842" s="16" t="e">
        <f t="shared" si="328"/>
        <v>#N/A</v>
      </c>
      <c r="CK842" s="16" t="str">
        <f t="shared" si="329"/>
        <v/>
      </c>
    </row>
    <row r="843" spans="73:89" ht="12" customHeight="1">
      <c r="BU843" s="16">
        <f t="shared" si="330"/>
        <v>0</v>
      </c>
      <c r="BV843" s="16">
        <f>IF($BY$12=1,NORMDIST(BY843,$Y$6,$Y$8,TRUE),IF($BY$12=2,IF(BY843&lt;=$BX$31,0,IF(BY843&gt;=$BX$32,1,(BY843-$BX$31)*$BX$33)),SUM($BU$42:BU843)/$BV$40))</f>
        <v>0.93383796163118094</v>
      </c>
      <c r="BW843" s="16">
        <f t="shared" si="331"/>
        <v>0.51483570291443315</v>
      </c>
      <c r="BX843" s="16">
        <f>IF($BY$12&lt;3,BV843,SUM($BZ$42:BZ843)/$BX$40)</f>
        <v>0.93383796163118094</v>
      </c>
      <c r="BY843" s="16">
        <f t="shared" si="323"/>
        <v>80.099999999999724</v>
      </c>
      <c r="BZ843" s="16">
        <f t="shared" si="324"/>
        <v>6.4274120214036822E-3</v>
      </c>
      <c r="CA843" s="16">
        <f t="shared" si="332"/>
        <v>-999</v>
      </c>
      <c r="CE843" s="16" t="e">
        <f t="shared" si="325"/>
        <v>#N/A</v>
      </c>
      <c r="CF843" s="16">
        <f t="shared" si="326"/>
        <v>99</v>
      </c>
      <c r="CG843" s="16">
        <f t="shared" si="327"/>
        <v>0</v>
      </c>
      <c r="CH843" s="16">
        <f t="shared" si="333"/>
        <v>0</v>
      </c>
      <c r="CJ843" s="16" t="e">
        <f t="shared" si="328"/>
        <v>#N/A</v>
      </c>
      <c r="CK843" s="16" t="str">
        <f t="shared" si="329"/>
        <v/>
      </c>
    </row>
    <row r="844" spans="73:89" ht="12" customHeight="1">
      <c r="BU844" s="16">
        <f t="shared" si="330"/>
        <v>0</v>
      </c>
      <c r="BV844" s="16">
        <f>IF($BY$12=1,NORMDIST(BY844,$Y$6,$Y$8,TRUE),IF($BY$12=2,IF(BY844&lt;=$BX$31,0,IF(BY844&gt;=$BX$32,1,(BY844-$BX$31)*$BX$33)),SUM($BU$42:BU844)/$BV$40))</f>
        <v>0.93447828791108167</v>
      </c>
      <c r="BW844" s="16">
        <f t="shared" si="331"/>
        <v>0.51160763179429802</v>
      </c>
      <c r="BX844" s="16">
        <f>IF($BY$12&lt;3,BV844,SUM($BZ$42:BZ844)/$BX$40)</f>
        <v>0.93447828791108167</v>
      </c>
      <c r="BY844" s="16">
        <f t="shared" si="323"/>
        <v>80.199999999999719</v>
      </c>
      <c r="BZ844" s="16">
        <f t="shared" si="324"/>
        <v>6.3791475286072291E-3</v>
      </c>
      <c r="CA844" s="16">
        <f t="shared" si="332"/>
        <v>-999</v>
      </c>
      <c r="CE844" s="16" t="e">
        <f t="shared" si="325"/>
        <v>#N/A</v>
      </c>
      <c r="CF844" s="16">
        <f t="shared" si="326"/>
        <v>99</v>
      </c>
      <c r="CG844" s="16">
        <f t="shared" si="327"/>
        <v>0</v>
      </c>
      <c r="CH844" s="16">
        <f t="shared" si="333"/>
        <v>0</v>
      </c>
      <c r="CJ844" s="16" t="e">
        <f t="shared" si="328"/>
        <v>#N/A</v>
      </c>
      <c r="CK844" s="16" t="str">
        <f t="shared" si="329"/>
        <v/>
      </c>
    </row>
    <row r="845" spans="73:89" ht="12" customHeight="1">
      <c r="BU845" s="16">
        <f t="shared" si="330"/>
        <v>0</v>
      </c>
      <c r="BV845" s="16">
        <f>IF($BY$12=1,NORMDIST(BY845,$Y$6,$Y$8,TRUE),IF($BY$12=2,IF(BY845&lt;=$BX$31,0,IF(BY845&gt;=$BX$32,1,(BY845-$BX$31)*$BX$33)),SUM($BU$42:BU845)/$BV$40))</f>
        <v>0.9351137979418217</v>
      </c>
      <c r="BW845" s="16">
        <f t="shared" si="331"/>
        <v>0.50838630076745728</v>
      </c>
      <c r="BX845" s="16">
        <f>IF($BY$12&lt;3,BV845,SUM($BZ$42:BZ845)/$BX$40)</f>
        <v>0.9351137979418217</v>
      </c>
      <c r="BY845" s="16">
        <f t="shared" si="323"/>
        <v>80.299999999999713</v>
      </c>
      <c r="BZ845" s="16">
        <f t="shared" si="324"/>
        <v>6.3310871826582705E-3</v>
      </c>
      <c r="CA845" s="16">
        <f t="shared" si="332"/>
        <v>-999</v>
      </c>
      <c r="CE845" s="16" t="e">
        <f t="shared" si="325"/>
        <v>#N/A</v>
      </c>
      <c r="CF845" s="16">
        <f t="shared" si="326"/>
        <v>99</v>
      </c>
      <c r="CG845" s="16">
        <f t="shared" si="327"/>
        <v>0</v>
      </c>
      <c r="CH845" s="16">
        <f t="shared" si="333"/>
        <v>0</v>
      </c>
      <c r="CJ845" s="16" t="e">
        <f t="shared" si="328"/>
        <v>#N/A</v>
      </c>
      <c r="CK845" s="16" t="str">
        <f t="shared" si="329"/>
        <v/>
      </c>
    </row>
    <row r="846" spans="73:89" ht="12" customHeight="1">
      <c r="BU846" s="16">
        <f t="shared" si="330"/>
        <v>0</v>
      </c>
      <c r="BV846" s="16">
        <f>IF($BY$12=1,NORMDIST(BY846,$Y$6,$Y$8,TRUE),IF($BY$12=2,IF(BY846&lt;=$BX$31,0,IF(BY846&gt;=$BX$32,1,(BY846-$BX$31)*$BX$33)),SUM($BU$42:BU846)/$BV$40))</f>
        <v>0.93574451218106236</v>
      </c>
      <c r="BW846" s="16">
        <f t="shared" si="331"/>
        <v>0.50517183989214365</v>
      </c>
      <c r="BX846" s="16">
        <f>IF($BY$12&lt;3,BV846,SUM($BZ$42:BZ846)/$BX$40)</f>
        <v>0.93574451218106236</v>
      </c>
      <c r="BY846" s="16">
        <f t="shared" si="323"/>
        <v>80.399999999999707</v>
      </c>
      <c r="BZ846" s="16">
        <f t="shared" si="324"/>
        <v>6.283231839454546E-3</v>
      </c>
      <c r="CA846" s="16">
        <f t="shared" si="332"/>
        <v>-999</v>
      </c>
      <c r="CE846" s="16" t="e">
        <f t="shared" si="325"/>
        <v>#N/A</v>
      </c>
      <c r="CF846" s="16">
        <f t="shared" si="326"/>
        <v>99</v>
      </c>
      <c r="CG846" s="16">
        <f t="shared" si="327"/>
        <v>0</v>
      </c>
      <c r="CH846" s="16">
        <f t="shared" si="333"/>
        <v>0</v>
      </c>
      <c r="CJ846" s="16" t="e">
        <f t="shared" si="328"/>
        <v>#N/A</v>
      </c>
      <c r="CK846" s="16" t="str">
        <f t="shared" si="329"/>
        <v/>
      </c>
    </row>
    <row r="847" spans="73:89" ht="12" customHeight="1">
      <c r="BU847" s="16">
        <f t="shared" si="330"/>
        <v>0</v>
      </c>
      <c r="BV847" s="16">
        <f>IF($BY$12=1,NORMDIST(BY847,$Y$6,$Y$8,TRUE),IF($BY$12=2,IF(BY847&lt;=$BX$31,0,IF(BY847&gt;=$BX$32,1,(BY847-$BX$31)*$BX$33)),SUM($BU$42:BU847)/$BV$40))</f>
        <v>0.9363704511709654</v>
      </c>
      <c r="BW847" s="16">
        <f t="shared" si="331"/>
        <v>0.50196437781599712</v>
      </c>
      <c r="BX847" s="16">
        <f>IF($BY$12&lt;3,BV847,SUM($BZ$42:BZ847)/$BX$40)</f>
        <v>0.9363704511709654</v>
      </c>
      <c r="BY847" s="16">
        <f t="shared" si="323"/>
        <v>80.499999999999702</v>
      </c>
      <c r="BZ847" s="16">
        <f t="shared" si="324"/>
        <v>6.2355823331180001E-3</v>
      </c>
      <c r="CA847" s="16">
        <f t="shared" si="332"/>
        <v>-999</v>
      </c>
      <c r="CE847" s="16" t="e">
        <f t="shared" si="325"/>
        <v>#N/A</v>
      </c>
      <c r="CF847" s="16">
        <f t="shared" si="326"/>
        <v>99</v>
      </c>
      <c r="CG847" s="16">
        <f t="shared" si="327"/>
        <v>0</v>
      </c>
      <c r="CH847" s="16">
        <f t="shared" si="333"/>
        <v>0</v>
      </c>
      <c r="CJ847" s="16" t="e">
        <f t="shared" si="328"/>
        <v>#N/A</v>
      </c>
      <c r="CK847" s="16" t="str">
        <f t="shared" si="329"/>
        <v/>
      </c>
    </row>
    <row r="848" spans="73:89" ht="12" customHeight="1">
      <c r="BU848" s="16">
        <f t="shared" si="330"/>
        <v>0</v>
      </c>
      <c r="BV848" s="16">
        <f>IF($BY$12=1,NORMDIST(BY848,$Y$6,$Y$8,TRUE),IF($BY$12=2,IF(BY848&lt;=$BX$31,0,IF(BY848&gt;=$BX$32,1,(BY848-$BX$31)*$BX$33)),SUM($BU$42:BU848)/$BV$40))</f>
        <v>0.93699163553601961</v>
      </c>
      <c r="BW848" s="16">
        <f t="shared" si="331"/>
        <v>0.49876404177174788</v>
      </c>
      <c r="BX848" s="16">
        <f>IF($BY$12&lt;3,BV848,SUM($BZ$42:BZ848)/$BX$40)</f>
        <v>0.93699163553601961</v>
      </c>
      <c r="BY848" s="16">
        <f t="shared" si="323"/>
        <v>80.599999999999696</v>
      </c>
      <c r="BZ848" s="16">
        <f t="shared" si="324"/>
        <v>6.1881394760762995E-3</v>
      </c>
      <c r="CA848" s="16">
        <f t="shared" si="332"/>
        <v>-999</v>
      </c>
      <c r="CE848" s="16" t="e">
        <f t="shared" si="325"/>
        <v>#N/A</v>
      </c>
      <c r="CF848" s="16">
        <f t="shared" si="326"/>
        <v>99</v>
      </c>
      <c r="CG848" s="16">
        <f t="shared" si="327"/>
        <v>0</v>
      </c>
      <c r="CH848" s="16">
        <f t="shared" si="333"/>
        <v>0</v>
      </c>
      <c r="CJ848" s="16" t="e">
        <f t="shared" si="328"/>
        <v>#N/A</v>
      </c>
      <c r="CK848" s="16" t="str">
        <f t="shared" si="329"/>
        <v/>
      </c>
    </row>
    <row r="849" spans="73:89" ht="12" customHeight="1">
      <c r="BU849" s="16">
        <f t="shared" si="330"/>
        <v>0</v>
      </c>
      <c r="BV849" s="16">
        <f>IF($BY$12=1,NORMDIST(BY849,$Y$6,$Y$8,TRUE),IF($BY$12=2,IF(BY849&lt;=$BX$31,0,IF(BY849&gt;=$BX$32,1,(BY849-$BX$31)*$BX$33)),SUM($BU$42:BU849)/$BV$40))</f>
        <v>0.93760808598087508</v>
      </c>
      <c r="BW849" s="16">
        <f t="shared" si="331"/>
        <v>0.49557095757311315</v>
      </c>
      <c r="BX849" s="16">
        <f>IF($BY$12&lt;3,BV849,SUM($BZ$42:BZ849)/$BX$40)</f>
        <v>0.93760808598087508</v>
      </c>
      <c r="BY849" s="16">
        <f t="shared" si="323"/>
        <v>80.69999999999969</v>
      </c>
      <c r="BZ849" s="16">
        <f t="shared" si="324"/>
        <v>6.1409040591464074E-3</v>
      </c>
      <c r="CA849" s="16">
        <f t="shared" si="332"/>
        <v>-999</v>
      </c>
      <c r="CE849" s="16" t="e">
        <f t="shared" si="325"/>
        <v>#N/A</v>
      </c>
      <c r="CF849" s="16">
        <f t="shared" si="326"/>
        <v>99</v>
      </c>
      <c r="CG849" s="16">
        <f t="shared" si="327"/>
        <v>0</v>
      </c>
      <c r="CH849" s="16">
        <f t="shared" si="333"/>
        <v>0</v>
      </c>
      <c r="CJ849" s="16" t="e">
        <f t="shared" si="328"/>
        <v>#N/A</v>
      </c>
      <c r="CK849" s="16" t="str">
        <f t="shared" si="329"/>
        <v/>
      </c>
    </row>
    <row r="850" spans="73:89" ht="12" customHeight="1">
      <c r="BU850" s="16">
        <f t="shared" si="330"/>
        <v>0</v>
      </c>
      <c r="BV850" s="16">
        <f>IF($BY$12=1,NORMDIST(BY850,$Y$6,$Y$8,TRUE),IF($BY$12=2,IF(BY850&lt;=$BX$31,0,IF(BY850&gt;=$BX$32,1,(BY850-$BX$31)*$BX$33)),SUM($BU$42:BU850)/$BV$40))</f>
        <v>0.93821982328818621</v>
      </c>
      <c r="BW850" s="16">
        <f t="shared" si="331"/>
        <v>0.49238524961091307</v>
      </c>
      <c r="BX850" s="16">
        <f>IF($BY$12&lt;3,BV850,SUM($BZ$42:BZ850)/$BX$40)</f>
        <v>0.93821982328818621</v>
      </c>
      <c r="BY850" s="16">
        <f t="shared" si="323"/>
        <v>80.799999999999685</v>
      </c>
      <c r="BZ850" s="16">
        <f t="shared" si="324"/>
        <v>6.0938768516202351E-3</v>
      </c>
      <c r="CA850" s="16">
        <f t="shared" si="332"/>
        <v>-999</v>
      </c>
      <c r="CE850" s="16" t="e">
        <f t="shared" si="325"/>
        <v>#N/A</v>
      </c>
      <c r="CF850" s="16">
        <f t="shared" si="326"/>
        <v>99</v>
      </c>
      <c r="CG850" s="16">
        <f t="shared" si="327"/>
        <v>0</v>
      </c>
      <c r="CH850" s="16">
        <f t="shared" si="333"/>
        <v>0</v>
      </c>
      <c r="CJ850" s="16" t="e">
        <f t="shared" si="328"/>
        <v>#N/A</v>
      </c>
      <c r="CK850" s="16" t="str">
        <f t="shared" si="329"/>
        <v/>
      </c>
    </row>
    <row r="851" spans="73:89" ht="12" customHeight="1">
      <c r="BU851" s="16">
        <f t="shared" si="330"/>
        <v>0</v>
      </c>
      <c r="BV851" s="16">
        <f>IF($BY$12=1,NORMDIST(BY851,$Y$6,$Y$8,TRUE),IF($BY$12=2,IF(BY851&lt;=$BX$31,0,IF(BY851&gt;=$BX$32,1,(BY851-$BX$31)*$BX$33)),SUM($BU$42:BU851)/$BV$40))</f>
        <v>0.93882686831646467</v>
      </c>
      <c r="BW851" s="16">
        <f t="shared" si="331"/>
        <v>0.48920704084939975</v>
      </c>
      <c r="BX851" s="16">
        <f>IF($BY$12&lt;3,BV851,SUM($BZ$42:BZ851)/$BX$40)</f>
        <v>0.93882686831646467</v>
      </c>
      <c r="BY851" s="16">
        <f t="shared" si="323"/>
        <v>80.899999999999679</v>
      </c>
      <c r="BZ851" s="16">
        <f t="shared" si="324"/>
        <v>6.0470586013523075E-3</v>
      </c>
      <c r="CA851" s="16">
        <f t="shared" si="332"/>
        <v>-999</v>
      </c>
      <c r="CE851" s="16" t="e">
        <f t="shared" si="325"/>
        <v>#N/A</v>
      </c>
      <c r="CF851" s="16">
        <f t="shared" si="326"/>
        <v>99</v>
      </c>
      <c r="CG851" s="16">
        <f t="shared" si="327"/>
        <v>0</v>
      </c>
      <c r="CH851" s="16">
        <f t="shared" si="333"/>
        <v>0</v>
      </c>
      <c r="CJ851" s="16" t="e">
        <f t="shared" si="328"/>
        <v>#N/A</v>
      </c>
      <c r="CK851" s="16" t="str">
        <f t="shared" si="329"/>
        <v/>
      </c>
    </row>
    <row r="852" spans="73:89" ht="12" customHeight="1">
      <c r="BU852" s="16">
        <f t="shared" si="330"/>
        <v>0</v>
      </c>
      <c r="BV852" s="16">
        <f>IF($BY$12=1,NORMDIST(BY852,$Y$6,$Y$8,TRUE),IF($BY$12=2,IF(BY852&lt;=$BX$31,0,IF(BY852&gt;=$BX$32,1,(BY852-$BX$31)*$BX$33)),SUM($BU$42:BU852)/$BV$40))</f>
        <v>0.93942924199793909</v>
      </c>
      <c r="BW852" s="16">
        <f t="shared" si="331"/>
        <v>0.48603645282280206</v>
      </c>
      <c r="BX852" s="16">
        <f>IF($BY$12&lt;3,BV852,SUM($BZ$42:BZ852)/$BX$40)</f>
        <v>0.93942924199793909</v>
      </c>
      <c r="BY852" s="16">
        <f t="shared" si="323"/>
        <v>80.999999999999673</v>
      </c>
      <c r="BZ852" s="16">
        <f t="shared" si="324"/>
        <v>6.0004500348494324E-3</v>
      </c>
      <c r="CA852" s="16">
        <f t="shared" si="332"/>
        <v>-999</v>
      </c>
      <c r="CE852" s="16" t="e">
        <f t="shared" si="325"/>
        <v>#N/A</v>
      </c>
      <c r="CF852" s="16">
        <f t="shared" si="326"/>
        <v>99</v>
      </c>
      <c r="CG852" s="16">
        <f t="shared" si="327"/>
        <v>0</v>
      </c>
      <c r="CH852" s="16">
        <f t="shared" si="333"/>
        <v>0</v>
      </c>
      <c r="CJ852" s="16" t="e">
        <f t="shared" si="328"/>
        <v>#N/A</v>
      </c>
      <c r="CK852" s="16" t="str">
        <f t="shared" si="329"/>
        <v/>
      </c>
    </row>
    <row r="853" spans="73:89" ht="12" customHeight="1">
      <c r="BU853" s="16">
        <f t="shared" si="330"/>
        <v>0</v>
      </c>
      <c r="BV853" s="16">
        <f>IF($BY$12=1,NORMDIST(BY853,$Y$6,$Y$8,TRUE),IF($BY$12=2,IF(BY853&lt;=$BX$31,0,IF(BY853&gt;=$BX$32,1,(BY853-$BX$31)*$BX$33)),SUM($BU$42:BU853)/$BV$40))</f>
        <v>0.94002696533642505</v>
      </c>
      <c r="BW853" s="16">
        <f t="shared" si="331"/>
        <v>0.48287360563208376</v>
      </c>
      <c r="BX853" s="16">
        <f>IF($BY$12&lt;3,BV853,SUM($BZ$42:BZ853)/$BX$40)</f>
        <v>0.94002696533642505</v>
      </c>
      <c r="BY853" s="16">
        <f t="shared" si="323"/>
        <v>81.099999999999667</v>
      </c>
      <c r="BZ853" s="16">
        <f t="shared" si="324"/>
        <v>5.9540518573623392E-3</v>
      </c>
      <c r="CA853" s="16">
        <f t="shared" si="332"/>
        <v>-999</v>
      </c>
      <c r="CE853" s="16" t="e">
        <f t="shared" si="325"/>
        <v>#N/A</v>
      </c>
      <c r="CF853" s="16">
        <f t="shared" si="326"/>
        <v>99</v>
      </c>
      <c r="CG853" s="16">
        <f t="shared" si="327"/>
        <v>0</v>
      </c>
      <c r="CH853" s="16">
        <f t="shared" si="333"/>
        <v>0</v>
      </c>
      <c r="CJ853" s="16" t="e">
        <f t="shared" si="328"/>
        <v>#N/A</v>
      </c>
      <c r="CK853" s="16" t="str">
        <f t="shared" si="329"/>
        <v/>
      </c>
    </row>
    <row r="854" spans="73:89" ht="12" customHeight="1">
      <c r="BU854" s="16">
        <f t="shared" si="330"/>
        <v>0</v>
      </c>
      <c r="BV854" s="16">
        <f>IF($BY$12=1,NORMDIST(BY854,$Y$6,$Y$8,TRUE),IF($BY$12=2,IF(BY854&lt;=$BX$31,0,IF(BY854&gt;=$BX$32,1,(BY854-$BX$31)*$BX$33)),SUM($BU$42:BU854)/$BV$40))</f>
        <v>0.94062005940520499</v>
      </c>
      <c r="BW854" s="16">
        <f t="shared" si="331"/>
        <v>0.47971861794191462</v>
      </c>
      <c r="BX854" s="16">
        <f>IF($BY$12&lt;3,BV854,SUM($BZ$42:BZ854)/$BX$40)</f>
        <v>0.94062005940520499</v>
      </c>
      <c r="BY854" s="16">
        <f t="shared" ref="BY854:BY917" si="334">BY853+$BZ$1</f>
        <v>81.199999999999662</v>
      </c>
      <c r="BZ854" s="16">
        <f t="shared" si="324"/>
        <v>5.9078647529792689E-3</v>
      </c>
      <c r="CA854" s="16">
        <f t="shared" si="332"/>
        <v>-999</v>
      </c>
      <c r="CE854" s="16" t="e">
        <f t="shared" si="325"/>
        <v>#N/A</v>
      </c>
      <c r="CF854" s="16">
        <f t="shared" si="326"/>
        <v>99</v>
      </c>
      <c r="CG854" s="16">
        <f t="shared" si="327"/>
        <v>0</v>
      </c>
      <c r="CH854" s="16">
        <f t="shared" si="333"/>
        <v>0</v>
      </c>
      <c r="CJ854" s="16" t="e">
        <f t="shared" si="328"/>
        <v>#N/A</v>
      </c>
      <c r="CK854" s="16" t="str">
        <f t="shared" si="329"/>
        <v/>
      </c>
    </row>
    <row r="855" spans="73:89" ht="12" customHeight="1">
      <c r="BU855" s="16">
        <f t="shared" si="330"/>
        <v>0</v>
      </c>
      <c r="BV855" s="16">
        <f>IF($BY$12=1,NORMDIST(BY855,$Y$6,$Y$8,TRUE),IF($BY$12=2,IF(BY855&lt;=$BX$31,0,IF(BY855&gt;=$BX$32,1,(BY855-$BX$31)*$BX$33)),SUM($BU$42:BU855)/$BV$40))</f>
        <v>0.94120854534491516</v>
      </c>
      <c r="BW855" s="16">
        <f t="shared" si="331"/>
        <v>0.47657160697785245</v>
      </c>
      <c r="BX855" s="16">
        <f>IF($BY$12&lt;3,BV855,SUM($BZ$42:BZ855)/$BX$40)</f>
        <v>0.94120854534491516</v>
      </c>
      <c r="BY855" s="16">
        <f t="shared" si="334"/>
        <v>81.299999999999656</v>
      </c>
      <c r="BZ855" s="16">
        <f t="shared" si="324"/>
        <v>5.8618893847214573E-3</v>
      </c>
      <c r="CA855" s="16">
        <f t="shared" si="332"/>
        <v>-999</v>
      </c>
      <c r="CE855" s="16" t="e">
        <f t="shared" si="325"/>
        <v>#N/A</v>
      </c>
      <c r="CF855" s="16">
        <f t="shared" si="326"/>
        <v>99</v>
      </c>
      <c r="CG855" s="16">
        <f t="shared" si="327"/>
        <v>0</v>
      </c>
      <c r="CH855" s="16">
        <f t="shared" si="333"/>
        <v>0</v>
      </c>
      <c r="CJ855" s="16" t="e">
        <f t="shared" si="328"/>
        <v>#N/A</v>
      </c>
      <c r="CK855" s="16" t="str">
        <f t="shared" si="329"/>
        <v/>
      </c>
    </row>
    <row r="856" spans="73:89" ht="12" customHeight="1">
      <c r="BU856" s="16">
        <f t="shared" si="330"/>
        <v>0</v>
      </c>
      <c r="BV856" s="16">
        <f>IF($BY$12=1,NORMDIST(BY856,$Y$6,$Y$8,TRUE),IF($BY$12=2,IF(BY856&lt;=$BX$31,0,IF(BY856&gt;=$BX$32,1,(BY856-$BX$31)*$BX$33)),SUM($BU$42:BU856)/$BV$40))</f>
        <v>0.94179244436144494</v>
      </c>
      <c r="BW856" s="16">
        <f t="shared" si="331"/>
        <v>0.47343268852373577</v>
      </c>
      <c r="BX856" s="16">
        <f>IF($BY$12&lt;3,BV856,SUM($BZ$42:BZ856)/$BX$40)</f>
        <v>0.94179244436144494</v>
      </c>
      <c r="BY856" s="16">
        <f t="shared" si="334"/>
        <v>81.39999999999965</v>
      </c>
      <c r="BZ856" s="16">
        <f t="shared" si="324"/>
        <v>5.8161263946405134E-3</v>
      </c>
      <c r="CA856" s="16">
        <f t="shared" si="332"/>
        <v>-999</v>
      </c>
      <c r="CE856" s="16" t="e">
        <f t="shared" si="325"/>
        <v>#N/A</v>
      </c>
      <c r="CF856" s="16">
        <f t="shared" si="326"/>
        <v>99</v>
      </c>
      <c r="CG856" s="16">
        <f t="shared" si="327"/>
        <v>0</v>
      </c>
      <c r="CH856" s="16">
        <f t="shared" si="333"/>
        <v>0</v>
      </c>
      <c r="CJ856" s="16" t="e">
        <f t="shared" si="328"/>
        <v>#N/A</v>
      </c>
      <c r="CK856" s="16" t="str">
        <f t="shared" si="329"/>
        <v/>
      </c>
    </row>
    <row r="857" spans="73:89" ht="12" customHeight="1">
      <c r="BU857" s="16">
        <f t="shared" si="330"/>
        <v>0</v>
      </c>
      <c r="BV857" s="16">
        <f>IF($BY$12=1,NORMDIST(BY857,$Y$6,$Y$8,TRUE),IF($BY$12=2,IF(BY857&lt;=$BX$31,0,IF(BY857&gt;=$BX$32,1,(BY857-$BX$31)*$BX$33)),SUM($BU$42:BU857)/$BV$40))</f>
        <v>0.94237177772384473</v>
      </c>
      <c r="BW857" s="16">
        <f t="shared" si="331"/>
        <v>0.47030197691928727</v>
      </c>
      <c r="BX857" s="16">
        <f>IF($BY$12&lt;3,BV857,SUM($BZ$42:BZ857)/$BX$40)</f>
        <v>0.94237177772384473</v>
      </c>
      <c r="BY857" s="16">
        <f t="shared" si="334"/>
        <v>81.499999999999645</v>
      </c>
      <c r="BZ857" s="16">
        <f t="shared" si="324"/>
        <v>5.7705764039176601E-3</v>
      </c>
      <c r="CA857" s="16">
        <f t="shared" si="332"/>
        <v>-999</v>
      </c>
      <c r="CE857" s="16" t="e">
        <f t="shared" si="325"/>
        <v>#N/A</v>
      </c>
      <c r="CF857" s="16">
        <f t="shared" si="326"/>
        <v>99</v>
      </c>
      <c r="CG857" s="16">
        <f t="shared" si="327"/>
        <v>0</v>
      </c>
      <c r="CH857" s="16">
        <f t="shared" si="333"/>
        <v>0</v>
      </c>
      <c r="CJ857" s="16" t="e">
        <f t="shared" si="328"/>
        <v>#N/A</v>
      </c>
      <c r="CK857" s="16" t="str">
        <f t="shared" si="329"/>
        <v/>
      </c>
    </row>
    <row r="858" spans="73:89" ht="12" customHeight="1">
      <c r="BU858" s="16">
        <f t="shared" si="330"/>
        <v>0</v>
      </c>
      <c r="BV858" s="16">
        <f>IF($BY$12=1,NORMDIST(BY858,$Y$6,$Y$8,TRUE),IF($BY$12=2,IF(BY858&lt;=$BX$31,0,IF(BY858&gt;=$BX$32,1,(BY858-$BX$31)*$BX$33)),SUM($BU$42:BU858)/$BV$40))</f>
        <v>0.94294656676224364</v>
      </c>
      <c r="BW858" s="16">
        <f t="shared" si="331"/>
        <v>0.46717958505792412</v>
      </c>
      <c r="BX858" s="16">
        <f>IF($BY$12&lt;3,BV858,SUM($BZ$42:BZ858)/$BX$40)</f>
        <v>0.94294656676224364</v>
      </c>
      <c r="BY858" s="16">
        <f t="shared" si="334"/>
        <v>81.599999999999639</v>
      </c>
      <c r="BZ858" s="16">
        <f t="shared" si="324"/>
        <v>5.7252400129647815E-3</v>
      </c>
      <c r="CA858" s="16">
        <f t="shared" si="332"/>
        <v>-999</v>
      </c>
      <c r="CE858" s="16" t="e">
        <f t="shared" si="325"/>
        <v>#N/A</v>
      </c>
      <c r="CF858" s="16">
        <f t="shared" si="326"/>
        <v>99</v>
      </c>
      <c r="CG858" s="16">
        <f t="shared" si="327"/>
        <v>0</v>
      </c>
      <c r="CH858" s="16">
        <f t="shared" si="333"/>
        <v>0</v>
      </c>
      <c r="CJ858" s="16" t="e">
        <f t="shared" si="328"/>
        <v>#N/A</v>
      </c>
      <c r="CK858" s="16" t="str">
        <f t="shared" si="329"/>
        <v/>
      </c>
    </row>
    <row r="859" spans="73:89" ht="12" customHeight="1">
      <c r="BU859" s="16">
        <f t="shared" si="330"/>
        <v>0</v>
      </c>
      <c r="BV859" s="16">
        <f>IF($BY$12=1,NORMDIST(BY859,$Y$6,$Y$8,TRUE),IF($BY$12=2,IF(BY859&lt;=$BX$31,0,IF(BY859&gt;=$BX$32,1,(BY859-$BX$31)*$BX$33)),SUM($BU$42:BU859)/$BV$40))</f>
        <v>0.9435168328657777</v>
      </c>
      <c r="BW859" s="16">
        <f t="shared" si="331"/>
        <v>0.46406562438477661</v>
      </c>
      <c r="BX859" s="16">
        <f>IF($BY$12&lt;3,BV859,SUM($BZ$42:BZ859)/$BX$40)</f>
        <v>0.9435168328657777</v>
      </c>
      <c r="BY859" s="16">
        <f t="shared" si="334"/>
        <v>81.699999999999633</v>
      </c>
      <c r="BZ859" s="16">
        <f t="shared" si="324"/>
        <v>5.6801178015272787E-3</v>
      </c>
      <c r="CA859" s="16">
        <f t="shared" si="332"/>
        <v>-999</v>
      </c>
      <c r="CE859" s="16" t="e">
        <f t="shared" si="325"/>
        <v>#N/A</v>
      </c>
      <c r="CF859" s="16">
        <f t="shared" si="326"/>
        <v>99</v>
      </c>
      <c r="CG859" s="16">
        <f t="shared" si="327"/>
        <v>0</v>
      </c>
      <c r="CH859" s="16">
        <f t="shared" si="333"/>
        <v>0</v>
      </c>
      <c r="CJ859" s="16" t="e">
        <f t="shared" si="328"/>
        <v>#N/A</v>
      </c>
      <c r="CK859" s="16" t="str">
        <f t="shared" si="329"/>
        <v/>
      </c>
    </row>
    <row r="860" spans="73:89" ht="12" customHeight="1">
      <c r="BU860" s="16">
        <f t="shared" si="330"/>
        <v>0</v>
      </c>
      <c r="BV860" s="16">
        <f>IF($BY$12=1,NORMDIST(BY860,$Y$6,$Y$8,TRUE),IF($BY$12=2,IF(BY860&lt;=$BX$31,0,IF(BY860&gt;=$BX$32,1,(BY860-$BX$31)*$BX$33)),SUM($BU$42:BU860)/$BV$40))</f>
        <v>0.94408259748052847</v>
      </c>
      <c r="BW860" s="16">
        <f t="shared" si="331"/>
        <v>0.46096020489491313</v>
      </c>
      <c r="BX860" s="16">
        <f>IF($BY$12&lt;3,BV860,SUM($BZ$42:BZ860)/$BX$40)</f>
        <v>0.94408259748052847</v>
      </c>
      <c r="BY860" s="16">
        <f t="shared" si="334"/>
        <v>81.799999999999628</v>
      </c>
      <c r="BZ860" s="16">
        <f t="shared" si="324"/>
        <v>5.6352103287886949E-3</v>
      </c>
      <c r="CA860" s="16">
        <f t="shared" si="332"/>
        <v>-999</v>
      </c>
      <c r="CE860" s="16" t="e">
        <f t="shared" si="325"/>
        <v>#N/A</v>
      </c>
      <c r="CF860" s="16">
        <f t="shared" si="326"/>
        <v>99</v>
      </c>
      <c r="CG860" s="16">
        <f t="shared" si="327"/>
        <v>0</v>
      </c>
      <c r="CH860" s="16">
        <f t="shared" si="333"/>
        <v>0</v>
      </c>
      <c r="CJ860" s="16" t="e">
        <f t="shared" si="328"/>
        <v>#N/A</v>
      </c>
      <c r="CK860" s="16" t="str">
        <f t="shared" si="329"/>
        <v/>
      </c>
    </row>
    <row r="861" spans="73:89" ht="12" customHeight="1">
      <c r="BU861" s="16">
        <f t="shared" si="330"/>
        <v>0</v>
      </c>
      <c r="BV861" s="16">
        <f>IF($BY$12=1,NORMDIST(BY861,$Y$6,$Y$8,TRUE),IF($BY$12=2,IF(BY861&lt;=$BX$31,0,IF(BY861&gt;=$BX$32,1,(BY861-$BX$31)*$BX$33)),SUM($BU$42:BU861)/$BV$40))</f>
        <v>0.94464388210747219</v>
      </c>
      <c r="BW861" s="16">
        <f t="shared" si="331"/>
        <v>0.45786343513176869</v>
      </c>
      <c r="BX861" s="16">
        <f>IF($BY$12&lt;3,BV861,SUM($BZ$42:BZ861)/$BX$40)</f>
        <v>0.94464388210747219</v>
      </c>
      <c r="BY861" s="16">
        <f t="shared" si="334"/>
        <v>81.899999999999622</v>
      </c>
      <c r="BZ861" s="16">
        <f t="shared" si="324"/>
        <v>5.590518133477055E-3</v>
      </c>
      <c r="CA861" s="16">
        <f t="shared" si="332"/>
        <v>-999</v>
      </c>
      <c r="CE861" s="16" t="e">
        <f t="shared" si="325"/>
        <v>#N/A</v>
      </c>
      <c r="CF861" s="16">
        <f t="shared" si="326"/>
        <v>99</v>
      </c>
      <c r="CG861" s="16">
        <f t="shared" si="327"/>
        <v>0</v>
      </c>
      <c r="CH861" s="16">
        <f t="shared" si="333"/>
        <v>0</v>
      </c>
      <c r="CJ861" s="16" t="e">
        <f t="shared" si="328"/>
        <v>#N/A</v>
      </c>
      <c r="CK861" s="16" t="str">
        <f t="shared" si="329"/>
        <v/>
      </c>
    </row>
    <row r="862" spans="73:89" ht="12" customHeight="1">
      <c r="BU862" s="16">
        <f t="shared" si="330"/>
        <v>0</v>
      </c>
      <c r="BV862" s="16">
        <f>IF($BY$12=1,NORMDIST(BY862,$Y$6,$Y$8,TRUE),IF($BY$12=2,IF(BY862&lt;=$BX$31,0,IF(BY862&gt;=$BX$32,1,(BY862-$BX$31)*$BX$33)),SUM($BU$42:BU862)/$BV$40))</f>
        <v>0.9452007083004399</v>
      </c>
      <c r="BW862" s="16">
        <f t="shared" si="331"/>
        <v>0.45477542218577954</v>
      </c>
      <c r="BX862" s="16">
        <f>IF($BY$12&lt;3,BV862,SUM($BZ$42:BZ862)/$BX$40)</f>
        <v>0.9452007083004399</v>
      </c>
      <c r="BY862" s="16">
        <f t="shared" si="334"/>
        <v>81.999999999999616</v>
      </c>
      <c r="BZ862" s="16">
        <f t="shared" si="324"/>
        <v>5.5460417339729473E-3</v>
      </c>
      <c r="CA862" s="16">
        <f t="shared" si="332"/>
        <v>-999</v>
      </c>
      <c r="CE862" s="16" t="e">
        <f t="shared" si="325"/>
        <v>#N/A</v>
      </c>
      <c r="CF862" s="16">
        <f t="shared" si="326"/>
        <v>99</v>
      </c>
      <c r="CG862" s="16">
        <f t="shared" si="327"/>
        <v>0</v>
      </c>
      <c r="CH862" s="16">
        <f t="shared" si="333"/>
        <v>0</v>
      </c>
      <c r="CJ862" s="16" t="e">
        <f t="shared" si="328"/>
        <v>#N/A</v>
      </c>
      <c r="CK862" s="16" t="str">
        <f t="shared" si="329"/>
        <v/>
      </c>
    </row>
    <row r="863" spans="73:89" ht="12" customHeight="1">
      <c r="BU863" s="16">
        <f t="shared" si="330"/>
        <v>0</v>
      </c>
      <c r="BV863" s="16">
        <f>IF($BY$12=1,NORMDIST(BY863,$Y$6,$Y$8,TRUE),IF($BY$12=2,IF(BY863&lt;=$BX$31,0,IF(BY863&gt;=$BX$32,1,(BY863-$BX$31)*$BX$33)),SUM($BU$42:BU863)/$BV$40))</f>
        <v>0.94575309766408755</v>
      </c>
      <c r="BW863" s="16">
        <f t="shared" si="331"/>
        <v>0.45169627169321863</v>
      </c>
      <c r="BX863" s="16">
        <f>IF($BY$12&lt;3,BV863,SUM($BZ$42:BZ863)/$BX$40)</f>
        <v>0.94575309766408755</v>
      </c>
      <c r="BY863" s="16">
        <f t="shared" si="334"/>
        <v>82.099999999999611</v>
      </c>
      <c r="BZ863" s="16">
        <f t="shared" si="324"/>
        <v>5.501781628419254E-3</v>
      </c>
      <c r="CA863" s="16">
        <f t="shared" si="332"/>
        <v>-999</v>
      </c>
      <c r="CE863" s="16" t="e">
        <f t="shared" si="325"/>
        <v>#N/A</v>
      </c>
      <c r="CF863" s="16">
        <f t="shared" si="326"/>
        <v>99</v>
      </c>
      <c r="CG863" s="16">
        <f t="shared" si="327"/>
        <v>0</v>
      </c>
      <c r="CH863" s="16">
        <f t="shared" si="333"/>
        <v>0</v>
      </c>
      <c r="CJ863" s="16" t="e">
        <f t="shared" si="328"/>
        <v>#N/A</v>
      </c>
      <c r="CK863" s="16" t="str">
        <f t="shared" si="329"/>
        <v/>
      </c>
    </row>
    <row r="864" spans="73:89" ht="12" customHeight="1">
      <c r="BU864" s="16">
        <f t="shared" si="330"/>
        <v>0</v>
      </c>
      <c r="BV864" s="16">
        <f>IF($BY$12=1,NORMDIST(BY864,$Y$6,$Y$8,TRUE),IF($BY$12=2,IF(BY864&lt;=$BX$31,0,IF(BY864&gt;=$BX$32,1,(BY864-$BX$31)*$BX$33)),SUM($BU$42:BU864)/$BV$40))</f>
        <v>0.94630107185187806</v>
      </c>
      <c r="BW864" s="16">
        <f t="shared" si="331"/>
        <v>0.44862608783523272</v>
      </c>
      <c r="BX864" s="16">
        <f>IF($BY$12&lt;3,BV864,SUM($BZ$42:BZ864)/$BX$40)</f>
        <v>0.94630107185187806</v>
      </c>
      <c r="BY864" s="16">
        <f t="shared" si="334"/>
        <v>82.199999999999605</v>
      </c>
      <c r="BZ864" s="16">
        <f t="shared" si="324"/>
        <v>5.4577382948325414E-3</v>
      </c>
      <c r="CA864" s="16">
        <f t="shared" si="332"/>
        <v>-999</v>
      </c>
      <c r="CE864" s="16" t="e">
        <f t="shared" si="325"/>
        <v>#N/A</v>
      </c>
      <c r="CF864" s="16">
        <f t="shared" si="326"/>
        <v>99</v>
      </c>
      <c r="CG864" s="16">
        <f t="shared" si="327"/>
        <v>0</v>
      </c>
      <c r="CH864" s="16">
        <f t="shared" si="333"/>
        <v>0</v>
      </c>
      <c r="CJ864" s="16" t="e">
        <f t="shared" si="328"/>
        <v>#N/A</v>
      </c>
      <c r="CK864" s="16" t="str">
        <f t="shared" si="329"/>
        <v/>
      </c>
    </row>
    <row r="865" spans="73:89" ht="12" customHeight="1">
      <c r="BU865" s="16">
        <f t="shared" si="330"/>
        <v>0</v>
      </c>
      <c r="BV865" s="16">
        <f>IF($BY$12=1,NORMDIST(BY865,$Y$6,$Y$8,TRUE),IF($BY$12=2,IF(BY865&lt;=$BX$31,0,IF(BY865&gt;=$BX$32,1,(BY865-$BX$31)*$BX$33)),SUM($BU$42:BU865)/$BV$40))</f>
        <v>0.94684465256407513</v>
      </c>
      <c r="BW865" s="16">
        <f t="shared" si="331"/>
        <v>0.44556497333708001</v>
      </c>
      <c r="BX865" s="16">
        <f>IF($BY$12&lt;3,BV865,SUM($BZ$42:BZ865)/$BX$40)</f>
        <v>0.94684465256407513</v>
      </c>
      <c r="BY865" s="16">
        <f t="shared" si="334"/>
        <v>82.299999999999599</v>
      </c>
      <c r="BZ865" s="16">
        <f t="shared" si="324"/>
        <v>5.4139121912160654E-3</v>
      </c>
      <c r="CA865" s="16">
        <f t="shared" si="332"/>
        <v>-999</v>
      </c>
      <c r="CE865" s="16" t="e">
        <f t="shared" si="325"/>
        <v>#N/A</v>
      </c>
      <c r="CF865" s="16">
        <f t="shared" si="326"/>
        <v>99</v>
      </c>
      <c r="CG865" s="16">
        <f t="shared" si="327"/>
        <v>0</v>
      </c>
      <c r="CH865" s="16">
        <f t="shared" si="333"/>
        <v>0</v>
      </c>
      <c r="CJ865" s="16" t="e">
        <f t="shared" si="328"/>
        <v>#N/A</v>
      </c>
      <c r="CK865" s="16" t="str">
        <f t="shared" si="329"/>
        <v/>
      </c>
    </row>
    <row r="866" spans="73:89" ht="12" customHeight="1">
      <c r="BU866" s="16">
        <f t="shared" si="330"/>
        <v>0</v>
      </c>
      <c r="BV866" s="16">
        <f>IF($BY$12=1,NORMDIST(BY866,$Y$6,$Y$8,TRUE),IF($BY$12=2,IF(BY866&lt;=$BX$31,0,IF(BY866&gt;=$BX$32,1,(BY866-$BX$31)*$BX$33)),SUM($BU$42:BU866)/$BV$40))</f>
        <v>0.94738386154574572</v>
      </c>
      <c r="BW866" s="16">
        <f t="shared" si="331"/>
        <v>0.44251302946756571</v>
      </c>
      <c r="BX866" s="16">
        <f>IF($BY$12&lt;3,BV866,SUM($BZ$42:BZ866)/$BX$40)</f>
        <v>0.94738386154574572</v>
      </c>
      <c r="BY866" s="16">
        <f t="shared" si="334"/>
        <v>82.399999999999594</v>
      </c>
      <c r="BZ866" s="16">
        <f t="shared" si="324"/>
        <v>5.3703037556743676E-3</v>
      </c>
      <c r="CA866" s="16">
        <f t="shared" si="332"/>
        <v>-999</v>
      </c>
      <c r="CE866" s="16" t="e">
        <f t="shared" si="325"/>
        <v>#N/A</v>
      </c>
      <c r="CF866" s="16">
        <f t="shared" si="326"/>
        <v>99</v>
      </c>
      <c r="CG866" s="16">
        <f t="shared" si="327"/>
        <v>0</v>
      </c>
      <c r="CH866" s="16">
        <f t="shared" si="333"/>
        <v>0</v>
      </c>
      <c r="CJ866" s="16" t="e">
        <f t="shared" si="328"/>
        <v>#N/A</v>
      </c>
      <c r="CK866" s="16" t="str">
        <f t="shared" si="329"/>
        <v/>
      </c>
    </row>
    <row r="867" spans="73:89" ht="12" customHeight="1">
      <c r="BU867" s="16">
        <f t="shared" si="330"/>
        <v>0</v>
      </c>
      <c r="BV867" s="16">
        <f>IF($BY$12=1,NORMDIST(BY867,$Y$6,$Y$8,TRUE),IF($BY$12=2,IF(BY867&lt;=$BX$31,0,IF(BY867&gt;=$BX$32,1,(BY867-$BX$31)*$BX$33)),SUM($BU$42:BU867)/$BV$40))</f>
        <v>0.94791872058477822</v>
      </c>
      <c r="BW867" s="16">
        <f t="shared" si="331"/>
        <v>0.43947035603867585</v>
      </c>
      <c r="BX867" s="16">
        <f>IF($BY$12&lt;3,BV867,SUM($BZ$42:BZ867)/$BX$40)</f>
        <v>0.94791872058477822</v>
      </c>
      <c r="BY867" s="16">
        <f t="shared" si="334"/>
        <v>82.499999999999588</v>
      </c>
      <c r="BZ867" s="16">
        <f t="shared" si="324"/>
        <v>5.3269134065294307E-3</v>
      </c>
      <c r="CA867" s="16">
        <f t="shared" si="332"/>
        <v>-999</v>
      </c>
      <c r="CE867" s="16" t="e">
        <f t="shared" si="325"/>
        <v>#N/A</v>
      </c>
      <c r="CF867" s="16">
        <f t="shared" si="326"/>
        <v>99</v>
      </c>
      <c r="CG867" s="16">
        <f t="shared" si="327"/>
        <v>0</v>
      </c>
      <c r="CH867" s="16">
        <f t="shared" si="333"/>
        <v>0</v>
      </c>
      <c r="CJ867" s="16" t="e">
        <f t="shared" si="328"/>
        <v>#N/A</v>
      </c>
      <c r="CK867" s="16" t="str">
        <f t="shared" si="329"/>
        <v/>
      </c>
    </row>
    <row r="868" spans="73:89" ht="12" customHeight="1">
      <c r="BU868" s="16">
        <f t="shared" si="330"/>
        <v>0</v>
      </c>
      <c r="BV868" s="16">
        <f>IF($BY$12=1,NORMDIST(BY868,$Y$6,$Y$8,TRUE),IF($BY$12=2,IF(BY868&lt;=$BX$31,0,IF(BY868&gt;=$BX$32,1,(BY868-$BX$31)*$BX$33)),SUM($BU$42:BU868)/$BV$40))</f>
        <v>0.94844925150990844</v>
      </c>
      <c r="BW868" s="16">
        <f t="shared" si="331"/>
        <v>0.43643705140540628</v>
      </c>
      <c r="BX868" s="16">
        <f>IF($BY$12&lt;3,BV868,SUM($BZ$42:BZ868)/$BX$40)</f>
        <v>0.94844925150990844</v>
      </c>
      <c r="BY868" s="16">
        <f t="shared" si="334"/>
        <v>82.599999999999582</v>
      </c>
      <c r="BZ868" s="16">
        <f t="shared" si="324"/>
        <v>5.2837415424383596E-3</v>
      </c>
      <c r="CA868" s="16">
        <f t="shared" si="332"/>
        <v>-999</v>
      </c>
      <c r="CE868" s="16" t="e">
        <f t="shared" si="325"/>
        <v>#N/A</v>
      </c>
      <c r="CF868" s="16">
        <f t="shared" si="326"/>
        <v>99</v>
      </c>
      <c r="CG868" s="16">
        <f t="shared" si="327"/>
        <v>0</v>
      </c>
      <c r="CH868" s="16">
        <f t="shared" si="333"/>
        <v>0</v>
      </c>
      <c r="CJ868" s="16" t="e">
        <f t="shared" si="328"/>
        <v>#N/A</v>
      </c>
      <c r="CK868" s="16" t="str">
        <f t="shared" si="329"/>
        <v/>
      </c>
    </row>
    <row r="869" spans="73:89" ht="12" customHeight="1">
      <c r="BU869" s="16">
        <f t="shared" si="330"/>
        <v>0</v>
      </c>
      <c r="BV869" s="16">
        <f>IF($BY$12=1,NORMDIST(BY869,$Y$6,$Y$8,TRUE),IF($BY$12=2,IF(BY869&lt;=$BX$31,0,IF(BY869&gt;=$BX$32,1,(BY869-$BX$31)*$BX$33)),SUM($BU$42:BU869)/$BV$40))</f>
        <v>0.94897547618875966</v>
      </c>
      <c r="BW869" s="16">
        <f t="shared" si="331"/>
        <v>0.43341321246578662</v>
      </c>
      <c r="BX869" s="16">
        <f>IF($BY$12&lt;3,BV869,SUM($BZ$42:BZ869)/$BX$40)</f>
        <v>0.94897547618875966</v>
      </c>
      <c r="BY869" s="16">
        <f t="shared" si="334"/>
        <v>82.699999999999577</v>
      </c>
      <c r="BZ869" s="16">
        <f t="shared" si="324"/>
        <v>5.2407885425125615E-3</v>
      </c>
      <c r="CA869" s="16">
        <f t="shared" si="332"/>
        <v>-999</v>
      </c>
      <c r="CE869" s="16" t="e">
        <f t="shared" si="325"/>
        <v>#N/A</v>
      </c>
      <c r="CF869" s="16">
        <f t="shared" si="326"/>
        <v>99</v>
      </c>
      <c r="CG869" s="16">
        <f t="shared" si="327"/>
        <v>0</v>
      </c>
      <c r="CH869" s="16">
        <f t="shared" si="333"/>
        <v>0</v>
      </c>
      <c r="CJ869" s="16" t="e">
        <f t="shared" si="328"/>
        <v>#N/A</v>
      </c>
      <c r="CK869" s="16" t="str">
        <f t="shared" si="329"/>
        <v/>
      </c>
    </row>
    <row r="870" spans="73:89" ht="12" customHeight="1">
      <c r="BU870" s="16">
        <f t="shared" si="330"/>
        <v>0</v>
      </c>
      <c r="BV870" s="16">
        <f>IF($BY$12=1,NORMDIST(BY870,$Y$6,$Y$8,TRUE),IF($BY$12=2,IF(BY870&lt;=$BX$31,0,IF(BY870&gt;=$BX$32,1,(BY870-$BX$31)*$BX$33)),SUM($BU$42:BU870)/$BV$40))</f>
        <v>0.94949741652589392</v>
      </c>
      <c r="BW870" s="16">
        <f t="shared" si="331"/>
        <v>0.43039893466109658</v>
      </c>
      <c r="BX870" s="16">
        <f>IF($BY$12&lt;3,BV870,SUM($BZ$42:BZ870)/$BX$40)</f>
        <v>0.94949741652589392</v>
      </c>
      <c r="BY870" s="16">
        <f t="shared" si="334"/>
        <v>82.799999999999571</v>
      </c>
      <c r="BZ870" s="16">
        <f t="shared" si="324"/>
        <v>5.1980547664383916E-3</v>
      </c>
      <c r="CA870" s="16">
        <f t="shared" si="332"/>
        <v>-999</v>
      </c>
      <c r="CE870" s="16" t="e">
        <f t="shared" si="325"/>
        <v>#N/A</v>
      </c>
      <c r="CF870" s="16">
        <f t="shared" si="326"/>
        <v>99</v>
      </c>
      <c r="CG870" s="16">
        <f t="shared" si="327"/>
        <v>0</v>
      </c>
      <c r="CH870" s="16">
        <f t="shared" si="333"/>
        <v>0</v>
      </c>
      <c r="CJ870" s="16" t="e">
        <f t="shared" si="328"/>
        <v>#N/A</v>
      </c>
      <c r="CK870" s="16" t="str">
        <f t="shared" si="329"/>
        <v/>
      </c>
    </row>
    <row r="871" spans="73:89" ht="12" customHeight="1">
      <c r="BU871" s="16">
        <f t="shared" si="330"/>
        <v>0</v>
      </c>
      <c r="BV871" s="16">
        <f>IF($BY$12=1,NORMDIST(BY871,$Y$6,$Y$8,TRUE),IF($BY$12=2,IF(BY871&lt;=$BX$31,0,IF(BY871&gt;=$BX$32,1,(BY871-$BX$31)*$BX$33)),SUM($BU$42:BU871)/$BV$40))</f>
        <v>0.95001509446087629</v>
      </c>
      <c r="BW871" s="16">
        <f t="shared" si="331"/>
        <v>0.42739431197627592</v>
      </c>
      <c r="BX871" s="16">
        <f>IF($BY$12&lt;3,BV871,SUM($BZ$42:BZ871)/$BX$40)</f>
        <v>0.95001509446087629</v>
      </c>
      <c r="BY871" s="16">
        <f t="shared" si="334"/>
        <v>82.899999999999565</v>
      </c>
      <c r="BZ871" s="16">
        <f t="shared" si="324"/>
        <v>5.1555405545992538E-3</v>
      </c>
      <c r="CA871" s="16">
        <f t="shared" si="332"/>
        <v>-999</v>
      </c>
      <c r="CE871" s="16" t="e">
        <f t="shared" si="325"/>
        <v>#N/A</v>
      </c>
      <c r="CF871" s="16">
        <f t="shared" si="326"/>
        <v>99</v>
      </c>
      <c r="CG871" s="16">
        <f t="shared" si="327"/>
        <v>0</v>
      </c>
      <c r="CH871" s="16">
        <f t="shared" si="333"/>
        <v>0</v>
      </c>
      <c r="CJ871" s="16" t="e">
        <f t="shared" si="328"/>
        <v>#N/A</v>
      </c>
      <c r="CK871" s="16" t="str">
        <f t="shared" si="329"/>
        <v/>
      </c>
    </row>
    <row r="872" spans="73:89" ht="12" customHeight="1">
      <c r="BU872" s="16">
        <f t="shared" si="330"/>
        <v>0</v>
      </c>
      <c r="BV872" s="16">
        <f>IF($BY$12=1,NORMDIST(BY872,$Y$6,$Y$8,TRUE),IF($BY$12=2,IF(BY872&lt;=$BX$31,0,IF(BY872&gt;=$BX$32,1,(BY872-$BX$31)*$BX$33)),SUM($BU$42:BU872)/$BV$40))</f>
        <v>0.95052853196634945</v>
      </c>
      <c r="BW872" s="16">
        <f t="shared" si="331"/>
        <v>0.4243994369405219</v>
      </c>
      <c r="BX872" s="16">
        <f>IF($BY$12&lt;3,BV872,SUM($BZ$42:BZ872)/$BX$40)</f>
        <v>0.95052853196634945</v>
      </c>
      <c r="BY872" s="16">
        <f t="shared" si="334"/>
        <v>82.999999999999559</v>
      </c>
      <c r="BZ872" s="16">
        <f t="shared" si="324"/>
        <v>5.1132462281990865E-3</v>
      </c>
      <c r="CA872" s="16">
        <f t="shared" si="332"/>
        <v>-999</v>
      </c>
      <c r="CE872" s="16" t="e">
        <f t="shared" si="325"/>
        <v>#N/A</v>
      </c>
      <c r="CF872" s="16">
        <f t="shared" si="326"/>
        <v>99</v>
      </c>
      <c r="CG872" s="16">
        <f t="shared" si="327"/>
        <v>0</v>
      </c>
      <c r="CH872" s="16">
        <f t="shared" si="333"/>
        <v>0</v>
      </c>
      <c r="CJ872" s="16" t="e">
        <f t="shared" si="328"/>
        <v>#N/A</v>
      </c>
      <c r="CK872" s="16" t="str">
        <f t="shared" si="329"/>
        <v/>
      </c>
    </row>
    <row r="873" spans="73:89" ht="12" customHeight="1">
      <c r="BU873" s="16">
        <f t="shared" si="330"/>
        <v>0</v>
      </c>
      <c r="BV873" s="16">
        <f>IF($BY$12=1,NORMDIST(BY873,$Y$6,$Y$8,TRUE),IF($BY$12=2,IF(BY873&lt;=$BX$31,0,IF(BY873&gt;=$BX$32,1,(BY873-$BX$31)*$BX$33)),SUM($BU$42:BU873)/$BV$40))</f>
        <v>0.95103775104612343</v>
      </c>
      <c r="BW873" s="16">
        <f t="shared" si="331"/>
        <v>0.42141440062807733</v>
      </c>
      <c r="BX873" s="16">
        <f>IF($BY$12&lt;3,BV873,SUM($BZ$42:BZ873)/$BX$40)</f>
        <v>0.95103775104612343</v>
      </c>
      <c r="BY873" s="16">
        <f t="shared" si="334"/>
        <v>83.099999999999554</v>
      </c>
      <c r="BZ873" s="16">
        <f t="shared" si="324"/>
        <v>5.0711720893872395E-3</v>
      </c>
      <c r="CA873" s="16">
        <f t="shared" si="332"/>
        <v>-999</v>
      </c>
      <c r="CE873" s="16" t="e">
        <f t="shared" si="325"/>
        <v>#N/A</v>
      </c>
      <c r="CF873" s="16">
        <f t="shared" si="326"/>
        <v>99</v>
      </c>
      <c r="CG873" s="16">
        <f t="shared" si="327"/>
        <v>0</v>
      </c>
      <c r="CH873" s="16">
        <f t="shared" si="333"/>
        <v>0</v>
      </c>
      <c r="CJ873" s="16" t="e">
        <f t="shared" si="328"/>
        <v>#N/A</v>
      </c>
      <c r="CK873" s="16" t="str">
        <f t="shared" si="329"/>
        <v/>
      </c>
    </row>
    <row r="874" spans="73:89" ht="12" customHeight="1">
      <c r="BU874" s="16">
        <f t="shared" si="330"/>
        <v>0</v>
      </c>
      <c r="BV874" s="16">
        <f>IF($BY$12=1,NORMDIST(BY874,$Y$6,$Y$8,TRUE),IF($BY$12=2,IF(BY874&lt;=$BX$31,0,IF(BY874&gt;=$BX$32,1,(BY874-$BX$31)*$BX$33)),SUM($BU$42:BU874)/$BV$40))</f>
        <v>0.95154277373327489</v>
      </c>
      <c r="BW874" s="16">
        <f t="shared" si="331"/>
        <v>0.41843929265920615</v>
      </c>
      <c r="BX874" s="16">
        <f>IF($BY$12&lt;3,BV874,SUM($BZ$42:BZ874)/$BX$40)</f>
        <v>0.95154277373327489</v>
      </c>
      <c r="BY874" s="16">
        <f t="shared" si="334"/>
        <v>83.199999999999548</v>
      </c>
      <c r="BZ874" s="16">
        <f t="shared" ref="BZ874:BZ937" si="335">IF($BZ$5,IF($BY$12=1,NORMDIST(BY874,$Y$6,$Y$8,FALSE),IF($BY$12=2,IF(AND(BY874&gt;=$BX$31,BY874&lt;=$BX$32),$BX$33,0),IF(BY874&lt;=$BX$13,0,NORMDIST(LN((BY874-$BX$13)/$BX$12),0,$BW$8,FALSE)/((BY874-$BX$13)/$BX$12)))),-999)</f>
        <v>5.0293184213847167E-3</v>
      </c>
      <c r="CA874" s="16">
        <f t="shared" si="332"/>
        <v>-999</v>
      </c>
      <c r="CE874" s="16" t="e">
        <f t="shared" ref="CE874:CE937" si="336">IF(AND($CB$7,$CD$2,$CD$1),26+$P$23/2-CC874*$P$23,NA())</f>
        <v>#N/A</v>
      </c>
      <c r="CF874" s="16">
        <f t="shared" ref="CF874:CF937" si="337">IF(ISNA(CJ874),99,CJ874)</f>
        <v>99</v>
      </c>
      <c r="CG874" s="16">
        <f t="shared" ref="CG874:CG937" si="338">IF(ISNA(CJ874),0,CJ874)</f>
        <v>0</v>
      </c>
      <c r="CH874" s="16">
        <f t="shared" si="333"/>
        <v>0</v>
      </c>
      <c r="CJ874" s="16" t="e">
        <f t="shared" ref="CJ874:CJ937" si="339">IF(CH874=1,CE874,NA())</f>
        <v>#N/A</v>
      </c>
      <c r="CK874" s="16" t="str">
        <f t="shared" ref="CK874:CK937" si="340">IF(CH874=1,M773,"")</f>
        <v/>
      </c>
    </row>
    <row r="875" spans="73:89" ht="12" customHeight="1">
      <c r="BU875" s="16">
        <f t="shared" ref="BU875:BU938" si="341">IF($BY$12&lt;3,0,IF(BY875&lt;=$BX$13,0,NORMDIST(LN((BY875-$BX$13)/$BX$12),0,$BW$8,FALSE)/((BY875-$BX$13)/$BX$12)))</f>
        <v>0</v>
      </c>
      <c r="BV875" s="16">
        <f>IF($BY$12=1,NORMDIST(BY875,$Y$6,$Y$8,TRUE),IF($BY$12=2,IF(BY875&lt;=$BX$31,0,IF(BY875&gt;=$BX$32,1,(BY875-$BX$31)*$BX$33)),SUM($BU$42:BU875)/$BV$40))</f>
        <v>0.95204362208826221</v>
      </c>
      <c r="BW875" s="16">
        <f t="shared" ref="BW875:BW938" si="342">BY875*BZ875</f>
        <v>0.41547420120135176</v>
      </c>
      <c r="BX875" s="16">
        <f>IF($BY$12&lt;3,BV875,SUM($BZ$42:BZ875)/$BX$40)</f>
        <v>0.95204362208826221</v>
      </c>
      <c r="BY875" s="16">
        <f t="shared" si="334"/>
        <v>83.299999999999542</v>
      </c>
      <c r="BZ875" s="16">
        <f t="shared" si="335"/>
        <v>4.9876854886116932E-3</v>
      </c>
      <c r="CA875" s="16">
        <f t="shared" ref="CA875:CA938" si="343">IF(AND($CD$1,$CD$3),26-$CD$40*NORMDIST(BY875,$Y$6,$Y$8/SQRT($T$18),FALSE),-999)</f>
        <v>-999</v>
      </c>
      <c r="CE875" s="16" t="e">
        <f t="shared" si="336"/>
        <v>#N/A</v>
      </c>
      <c r="CF875" s="16">
        <f t="shared" si="337"/>
        <v>99</v>
      </c>
      <c r="CG875" s="16">
        <f t="shared" si="338"/>
        <v>0</v>
      </c>
      <c r="CH875" s="16">
        <f t="shared" si="333"/>
        <v>0</v>
      </c>
      <c r="CJ875" s="16" t="e">
        <f t="shared" si="339"/>
        <v>#N/A</v>
      </c>
      <c r="CK875" s="16" t="str">
        <f t="shared" si="340"/>
        <v/>
      </c>
    </row>
    <row r="876" spans="73:89" ht="12" customHeight="1">
      <c r="BU876" s="16">
        <f t="shared" si="341"/>
        <v>0</v>
      </c>
      <c r="BV876" s="16">
        <f>IF($BY$12=1,NORMDIST(BY876,$Y$6,$Y$8,TRUE),IF($BY$12=2,IF(BY876&lt;=$BX$31,0,IF(BY876&gt;=$BX$32,1,(BY876-$BX$31)*$BX$33)),SUM($BU$42:BU876)/$BV$40))</f>
        <v>0.95254031819705032</v>
      </c>
      <c r="BW876" s="16">
        <f t="shared" si="342"/>
        <v>0.4125192129704835</v>
      </c>
      <c r="BX876" s="16">
        <f>IF($BY$12&lt;3,BV876,SUM($BZ$42:BZ876)/$BX$40)</f>
        <v>0.95254031819705032</v>
      </c>
      <c r="BY876" s="16">
        <f t="shared" si="334"/>
        <v>83.399999999999537</v>
      </c>
      <c r="BZ876" s="16">
        <f t="shared" si="335"/>
        <v>4.9462735368163762E-3</v>
      </c>
      <c r="CA876" s="16">
        <f t="shared" si="343"/>
        <v>-999</v>
      </c>
      <c r="CE876" s="16" t="e">
        <f t="shared" si="336"/>
        <v>#N/A</v>
      </c>
      <c r="CF876" s="16">
        <f t="shared" si="337"/>
        <v>99</v>
      </c>
      <c r="CG876" s="16">
        <f t="shared" si="338"/>
        <v>0</v>
      </c>
      <c r="CH876" s="16">
        <f t="shared" si="333"/>
        <v>0</v>
      </c>
      <c r="CJ876" s="16" t="e">
        <f t="shared" si="339"/>
        <v>#N/A</v>
      </c>
      <c r="CK876" s="16" t="str">
        <f t="shared" si="340"/>
        <v/>
      </c>
    </row>
    <row r="877" spans="73:89" ht="12" customHeight="1">
      <c r="BU877" s="16">
        <f t="shared" si="341"/>
        <v>0</v>
      </c>
      <c r="BV877" s="16">
        <f>IF($BY$12=1,NORMDIST(BY877,$Y$6,$Y$8,TRUE),IF($BY$12=2,IF(BY877&lt;=$BX$31,0,IF(BY877&gt;=$BX$32,1,(BY877-$BX$31)*$BX$33)),SUM($BU$42:BU877)/$BV$40))</f>
        <v>0.9530328841692518</v>
      </c>
      <c r="BW877" s="16">
        <f t="shared" si="342"/>
        <v>0.40957441323262206</v>
      </c>
      <c r="BX877" s="16">
        <f>IF($BY$12&lt;3,BV877,SUM($BZ$42:BZ877)/$BX$40)</f>
        <v>0.9530328841692518</v>
      </c>
      <c r="BY877" s="16">
        <f t="shared" si="334"/>
        <v>83.499999999999531</v>
      </c>
      <c r="BZ877" s="16">
        <f t="shared" si="335"/>
        <v>4.9050827932050822E-3</v>
      </c>
      <c r="CA877" s="16">
        <f t="shared" si="343"/>
        <v>-999</v>
      </c>
      <c r="CE877" s="16" t="e">
        <f t="shared" si="336"/>
        <v>#N/A</v>
      </c>
      <c r="CF877" s="16">
        <f t="shared" si="337"/>
        <v>99</v>
      </c>
      <c r="CG877" s="16">
        <f t="shared" si="338"/>
        <v>0</v>
      </c>
      <c r="CH877" s="16">
        <f t="shared" si="333"/>
        <v>0</v>
      </c>
      <c r="CJ877" s="16" t="e">
        <f t="shared" si="339"/>
        <v>#N/A</v>
      </c>
      <c r="CK877" s="16" t="str">
        <f t="shared" si="340"/>
        <v/>
      </c>
    </row>
    <row r="878" spans="73:89" ht="12" customHeight="1">
      <c r="BU878" s="16">
        <f t="shared" si="341"/>
        <v>0</v>
      </c>
      <c r="BV878" s="16">
        <f>IF($BY$12=1,NORMDIST(BY878,$Y$6,$Y$8,TRUE),IF($BY$12=2,IF(BY878&lt;=$BX$31,0,IF(BY878&gt;=$BX$32,1,(BY878-$BX$31)*$BX$33)),SUM($BU$42:BU878)/$BV$40))</f>
        <v>0.95352134213627759</v>
      </c>
      <c r="BW878" s="16">
        <f t="shared" si="342"/>
        <v>0.40663988580554794</v>
      </c>
      <c r="BX878" s="16">
        <f>IF($BY$12&lt;3,BV878,SUM($BZ$42:BZ878)/$BX$40)</f>
        <v>0.95352134213627759</v>
      </c>
      <c r="BY878" s="16">
        <f t="shared" si="334"/>
        <v>83.599999999999525</v>
      </c>
      <c r="BZ878" s="16">
        <f t="shared" si="335"/>
        <v>4.8641134665735677E-3</v>
      </c>
      <c r="CA878" s="16">
        <f t="shared" si="343"/>
        <v>-999</v>
      </c>
      <c r="CE878" s="16" t="e">
        <f t="shared" si="336"/>
        <v>#N/A</v>
      </c>
      <c r="CF878" s="16">
        <f t="shared" si="337"/>
        <v>99</v>
      </c>
      <c r="CG878" s="16">
        <f t="shared" si="338"/>
        <v>0</v>
      </c>
      <c r="CH878" s="16">
        <f t="shared" si="333"/>
        <v>0</v>
      </c>
      <c r="CJ878" s="16" t="e">
        <f t="shared" si="339"/>
        <v>#N/A</v>
      </c>
      <c r="CK878" s="16" t="str">
        <f t="shared" si="340"/>
        <v/>
      </c>
    </row>
    <row r="879" spans="73:89" ht="12" customHeight="1">
      <c r="BU879" s="16">
        <f t="shared" si="341"/>
        <v>0</v>
      </c>
      <c r="BV879" s="16">
        <f>IF($BY$12=1,NORMDIST(BY879,$Y$6,$Y$8,TRUE),IF($BY$12=2,IF(BY879&lt;=$BX$31,0,IF(BY879&gt;=$BX$32,1,(BY879-$BX$31)*$BX$33)),SUM($BU$42:BU879)/$BV$40))</f>
        <v>0.95400571424950331</v>
      </c>
      <c r="BW879" s="16">
        <f t="shared" si="342"/>
        <v>0.40371571306068793</v>
      </c>
      <c r="BX879" s="16">
        <f>IF($BY$12&lt;3,BV879,SUM($BZ$42:BZ879)/$BX$40)</f>
        <v>0.95400571424950331</v>
      </c>
      <c r="BY879" s="16">
        <f t="shared" si="334"/>
        <v>83.69999999999952</v>
      </c>
      <c r="BZ879" s="16">
        <f t="shared" si="335"/>
        <v>4.8233657474395491E-3</v>
      </c>
      <c r="CA879" s="16">
        <f t="shared" si="343"/>
        <v>-999</v>
      </c>
      <c r="CE879" s="16" t="e">
        <f t="shared" si="336"/>
        <v>#N/A</v>
      </c>
      <c r="CF879" s="16">
        <f t="shared" si="337"/>
        <v>99</v>
      </c>
      <c r="CG879" s="16">
        <f t="shared" si="338"/>
        <v>0</v>
      </c>
      <c r="CH879" s="16">
        <f t="shared" si="333"/>
        <v>0</v>
      </c>
      <c r="CJ879" s="16" t="e">
        <f t="shared" si="339"/>
        <v>#N/A</v>
      </c>
      <c r="CK879" s="16" t="str">
        <f t="shared" si="340"/>
        <v/>
      </c>
    </row>
    <row r="880" spans="73:89" ht="12" customHeight="1">
      <c r="BU880" s="16">
        <f t="shared" si="341"/>
        <v>0</v>
      </c>
      <c r="BV880" s="16">
        <f>IF($BY$12=1,NORMDIST(BY880,$Y$6,$Y$8,TRUE),IF($BY$12=2,IF(BY880&lt;=$BX$31,0,IF(BY880&gt;=$BX$32,1,(BY880-$BX$31)*$BX$33)),SUM($BU$42:BU880)/$BV$40))</f>
        <v>0.95448602267844773</v>
      </c>
      <c r="BW880" s="16">
        <f t="shared" si="342"/>
        <v>0.40080197592517958</v>
      </c>
      <c r="BX880" s="16">
        <f>IF($BY$12&lt;3,BV880,SUM($BZ$42:BZ880)/$BX$40)</f>
        <v>0.95448602267844773</v>
      </c>
      <c r="BY880" s="16">
        <f t="shared" si="334"/>
        <v>83.799999999999514</v>
      </c>
      <c r="BZ880" s="16">
        <f t="shared" si="335"/>
        <v>4.7828398081763953E-3</v>
      </c>
      <c r="CA880" s="16">
        <f t="shared" si="343"/>
        <v>-999</v>
      </c>
      <c r="CE880" s="16" t="e">
        <f t="shared" si="336"/>
        <v>#N/A</v>
      </c>
      <c r="CF880" s="16">
        <f t="shared" si="337"/>
        <v>99</v>
      </c>
      <c r="CG880" s="16">
        <f t="shared" si="338"/>
        <v>0</v>
      </c>
      <c r="CH880" s="16">
        <f t="shared" si="333"/>
        <v>0</v>
      </c>
      <c r="CJ880" s="16" t="e">
        <f t="shared" si="339"/>
        <v>#N/A</v>
      </c>
      <c r="CK880" s="16" t="str">
        <f t="shared" si="340"/>
        <v/>
      </c>
    </row>
    <row r="881" spans="73:89" ht="12" customHeight="1">
      <c r="BU881" s="16">
        <f t="shared" si="341"/>
        <v>0</v>
      </c>
      <c r="BV881" s="16">
        <f>IF($BY$12=1,NORMDIST(BY881,$Y$6,$Y$8,TRUE),IF($BY$12=2,IF(BY881&lt;=$BX$31,0,IF(BY881&gt;=$BX$32,1,(BY881-$BX$31)*$BX$33)),SUM($BU$42:BU881)/$BV$40))</f>
        <v>0.95496228960896612</v>
      </c>
      <c r="BW881" s="16">
        <f t="shared" si="342"/>
        <v>0.39789875388411189</v>
      </c>
      <c r="BX881" s="16">
        <f>IF($BY$12&lt;3,BV881,SUM($BZ$42:BZ881)/$BX$40)</f>
        <v>0.95496228960896612</v>
      </c>
      <c r="BY881" s="16">
        <f t="shared" si="334"/>
        <v>83.899999999999508</v>
      </c>
      <c r="BZ881" s="16">
        <f t="shared" si="335"/>
        <v>4.7425358031479648E-3</v>
      </c>
      <c r="CA881" s="16">
        <f t="shared" si="343"/>
        <v>-999</v>
      </c>
      <c r="CE881" s="16" t="e">
        <f t="shared" si="336"/>
        <v>#N/A</v>
      </c>
      <c r="CF881" s="16">
        <f t="shared" si="337"/>
        <v>99</v>
      </c>
      <c r="CG881" s="16">
        <f t="shared" si="338"/>
        <v>0</v>
      </c>
      <c r="CH881" s="16">
        <f t="shared" si="333"/>
        <v>0</v>
      </c>
      <c r="CJ881" s="16" t="e">
        <f t="shared" si="339"/>
        <v>#N/A</v>
      </c>
      <c r="CK881" s="16" t="str">
        <f t="shared" si="340"/>
        <v/>
      </c>
    </row>
    <row r="882" spans="73:89" ht="12" customHeight="1">
      <c r="BU882" s="16">
        <f t="shared" si="341"/>
        <v>0</v>
      </c>
      <c r="BV882" s="16">
        <f>IF($BY$12=1,NORMDIST(BY882,$Y$6,$Y$8,TRUE),IF($BY$12=2,IF(BY882&lt;=$BX$31,0,IF(BY882&gt;=$BX$32,1,(BY882-$BX$31)*$BX$33)),SUM($BU$42:BU882)/$BV$40))</f>
        <v>0.95543453724145455</v>
      </c>
      <c r="BW882" s="16">
        <f t="shared" si="342"/>
        <v>0.39500612498293947</v>
      </c>
      <c r="BX882" s="16">
        <f>IF($BY$12&lt;3,BV882,SUM($BZ$42:BZ882)/$BX$40)</f>
        <v>0.95543453724145455</v>
      </c>
      <c r="BY882" s="16">
        <f t="shared" si="334"/>
        <v>83.999999999999503</v>
      </c>
      <c r="BZ882" s="16">
        <f t="shared" si="335"/>
        <v>4.7024538688445455E-3</v>
      </c>
      <c r="CA882" s="16">
        <f t="shared" si="343"/>
        <v>-999</v>
      </c>
      <c r="CE882" s="16" t="e">
        <f t="shared" si="336"/>
        <v>#N/A</v>
      </c>
      <c r="CF882" s="16">
        <f t="shared" si="337"/>
        <v>99</v>
      </c>
      <c r="CG882" s="16">
        <f t="shared" si="338"/>
        <v>0</v>
      </c>
      <c r="CH882" s="16">
        <f t="shared" si="333"/>
        <v>0</v>
      </c>
      <c r="CJ882" s="16" t="e">
        <f t="shared" si="339"/>
        <v>#N/A</v>
      </c>
      <c r="CK882" s="16" t="str">
        <f t="shared" si="340"/>
        <v/>
      </c>
    </row>
    <row r="883" spans="73:89" ht="12" customHeight="1">
      <c r="BU883" s="16">
        <f t="shared" si="341"/>
        <v>0</v>
      </c>
      <c r="BV883" s="16">
        <f>IF($BY$12=1,NORMDIST(BY883,$Y$6,$Y$8,TRUE),IF($BY$12=2,IF(BY883&lt;=$BX$31,0,IF(BY883&gt;=$BX$32,1,(BY883-$BX$31)*$BX$33)),SUM($BU$42:BU883)/$BV$40))</f>
        <v>0.95590278778907045</v>
      </c>
      <c r="BW883" s="16">
        <f t="shared" si="342"/>
        <v>0.39212416583006937</v>
      </c>
      <c r="BX883" s="16">
        <f>IF($BY$12&lt;3,BV883,SUM($BZ$42:BZ883)/$BX$40)</f>
        <v>0.95590278778907045</v>
      </c>
      <c r="BY883" s="16">
        <f t="shared" si="334"/>
        <v>84.099999999999497</v>
      </c>
      <c r="BZ883" s="16">
        <f t="shared" si="335"/>
        <v>4.6625941240198776E-3</v>
      </c>
      <c r="CA883" s="16">
        <f t="shared" si="343"/>
        <v>-999</v>
      </c>
      <c r="CE883" s="16" t="e">
        <f t="shared" si="336"/>
        <v>#N/A</v>
      </c>
      <c r="CF883" s="16">
        <f t="shared" si="337"/>
        <v>99</v>
      </c>
      <c r="CG883" s="16">
        <f t="shared" si="338"/>
        <v>0</v>
      </c>
      <c r="CH883" s="16">
        <f t="shared" si="333"/>
        <v>0</v>
      </c>
      <c r="CJ883" s="16" t="e">
        <f t="shared" si="339"/>
        <v>#N/A</v>
      </c>
      <c r="CK883" s="16" t="str">
        <f t="shared" si="340"/>
        <v/>
      </c>
    </row>
    <row r="884" spans="73:89" ht="12" customHeight="1">
      <c r="BU884" s="16">
        <f t="shared" si="341"/>
        <v>0</v>
      </c>
      <c r="BV884" s="16">
        <f>IF($BY$12=1,NORMDIST(BY884,$Y$6,$Y$8,TRUE),IF($BY$12=2,IF(BY884&lt;=$BX$31,0,IF(BY884&gt;=$BX$32,1,(BY884-$BX$31)*$BX$33)),SUM($BU$42:BU884)/$BV$40))</f>
        <v>0.95636706347596578</v>
      </c>
      <c r="BW884" s="16">
        <f t="shared" si="342"/>
        <v>0.38925295159961909</v>
      </c>
      <c r="BX884" s="16">
        <f>IF($BY$12&lt;3,BV884,SUM($BZ$42:BZ884)/$BX$40)</f>
        <v>0.95636706347596578</v>
      </c>
      <c r="BY884" s="16">
        <f t="shared" si="334"/>
        <v>84.199999999999491</v>
      </c>
      <c r="BZ884" s="16">
        <f t="shared" si="335"/>
        <v>4.622956669829233E-3</v>
      </c>
      <c r="CA884" s="16">
        <f t="shared" si="343"/>
        <v>-999</v>
      </c>
      <c r="CE884" s="16" t="e">
        <f t="shared" si="336"/>
        <v>#N/A</v>
      </c>
      <c r="CF884" s="16">
        <f t="shared" si="337"/>
        <v>99</v>
      </c>
      <c r="CG884" s="16">
        <f t="shared" si="338"/>
        <v>0</v>
      </c>
      <c r="CH884" s="16">
        <f t="shared" si="333"/>
        <v>0</v>
      </c>
      <c r="CJ884" s="16" t="e">
        <f t="shared" si="339"/>
        <v>#N/A</v>
      </c>
      <c r="CK884" s="16" t="str">
        <f t="shared" si="340"/>
        <v/>
      </c>
    </row>
    <row r="885" spans="73:89" ht="12" customHeight="1">
      <c r="BU885" s="16">
        <f t="shared" si="341"/>
        <v>0</v>
      </c>
      <c r="BV885" s="16">
        <f>IF($BY$12=1,NORMDIST(BY885,$Y$6,$Y$8,TRUE),IF($BY$12=2,IF(BY885&lt;=$BX$31,0,IF(BY885&gt;=$BX$32,1,(BY885-$BX$31)*$BX$33)),SUM($BU$42:BU885)/$BV$40))</f>
        <v>0.95682738653553323</v>
      </c>
      <c r="BW885" s="16">
        <f t="shared" si="342"/>
        <v>0.38639255603434358</v>
      </c>
      <c r="BX885" s="16">
        <f>IF($BY$12&lt;3,BV885,SUM($BZ$42:BZ885)/$BX$40)</f>
        <v>0.95682738653553323</v>
      </c>
      <c r="BY885" s="16">
        <f t="shared" si="334"/>
        <v>84.299999999999486</v>
      </c>
      <c r="BZ885" s="16">
        <f t="shared" si="335"/>
        <v>4.5835415899685168E-3</v>
      </c>
      <c r="CA885" s="16">
        <f t="shared" si="343"/>
        <v>-999</v>
      </c>
      <c r="CE885" s="16" t="e">
        <f t="shared" si="336"/>
        <v>#N/A</v>
      </c>
      <c r="CF885" s="16">
        <f t="shared" si="337"/>
        <v>99</v>
      </c>
      <c r="CG885" s="16">
        <f t="shared" si="338"/>
        <v>0</v>
      </c>
      <c r="CH885" s="16">
        <f t="shared" si="333"/>
        <v>0</v>
      </c>
      <c r="CJ885" s="16" t="e">
        <f t="shared" si="339"/>
        <v>#N/A</v>
      </c>
      <c r="CK885" s="16" t="str">
        <f t="shared" si="340"/>
        <v/>
      </c>
    </row>
    <row r="886" spans="73:89" ht="12" customHeight="1">
      <c r="BU886" s="16">
        <f t="shared" si="341"/>
        <v>0</v>
      </c>
      <c r="BV886" s="16">
        <f>IF($BY$12=1,NORMDIST(BY886,$Y$6,$Y$8,TRUE),IF($BY$12=2,IF(BY886&lt;=$BX$31,0,IF(BY886&gt;=$BX$32,1,(BY886-$BX$31)*$BX$33)),SUM($BU$42:BU886)/$BV$40))</f>
        <v>0.95728377920866858</v>
      </c>
      <c r="BW886" s="16">
        <f t="shared" si="342"/>
        <v>0.38354305144872841</v>
      </c>
      <c r="BX886" s="16">
        <f>IF($BY$12&lt;3,BV886,SUM($BZ$42:BZ886)/$BX$40)</f>
        <v>0.95728377920866858</v>
      </c>
      <c r="BY886" s="16">
        <f t="shared" si="334"/>
        <v>84.39999999999948</v>
      </c>
      <c r="BZ886" s="16">
        <f t="shared" si="335"/>
        <v>4.5443489508143458E-3</v>
      </c>
      <c r="CA886" s="16">
        <f t="shared" si="343"/>
        <v>-999</v>
      </c>
      <c r="CE886" s="16" t="e">
        <f t="shared" si="336"/>
        <v>#N/A</v>
      </c>
      <c r="CF886" s="16">
        <f t="shared" si="337"/>
        <v>99</v>
      </c>
      <c r="CG886" s="16">
        <f t="shared" si="338"/>
        <v>0</v>
      </c>
      <c r="CH886" s="16">
        <f t="shared" si="333"/>
        <v>0</v>
      </c>
      <c r="CJ886" s="16" t="e">
        <f t="shared" si="339"/>
        <v>#N/A</v>
      </c>
      <c r="CK886" s="16" t="str">
        <f t="shared" si="340"/>
        <v/>
      </c>
    </row>
    <row r="887" spans="73:89" ht="12" customHeight="1">
      <c r="BU887" s="16">
        <f t="shared" si="341"/>
        <v>0</v>
      </c>
      <c r="BV887" s="16">
        <f>IF($BY$12=1,NORMDIST(BY887,$Y$6,$Y$8,TRUE),IF($BY$12=2,IF(BY887&lt;=$BX$31,0,IF(BY887&gt;=$BX$32,1,(BY887-$BX$31)*$BX$33)),SUM($BU$42:BU887)/$BV$40))</f>
        <v>0.95773626374204524</v>
      </c>
      <c r="BW887" s="16">
        <f t="shared" si="342"/>
        <v>0.38070450873224942</v>
      </c>
      <c r="BX887" s="16">
        <f>IF($BY$12&lt;3,BV887,SUM($BZ$42:BZ887)/$BX$40)</f>
        <v>0.95773626374204524</v>
      </c>
      <c r="BY887" s="16">
        <f t="shared" si="334"/>
        <v>84.499999999999474</v>
      </c>
      <c r="BZ887" s="16">
        <f t="shared" si="335"/>
        <v>4.5053788015651103E-3</v>
      </c>
      <c r="CA887" s="16">
        <f t="shared" si="343"/>
        <v>-999</v>
      </c>
      <c r="CE887" s="16" t="e">
        <f t="shared" si="336"/>
        <v>#N/A</v>
      </c>
      <c r="CF887" s="16">
        <f t="shared" si="337"/>
        <v>99</v>
      </c>
      <c r="CG887" s="16">
        <f t="shared" si="338"/>
        <v>0</v>
      </c>
      <c r="CH887" s="16">
        <f t="shared" si="333"/>
        <v>0</v>
      </c>
      <c r="CJ887" s="16" t="e">
        <f t="shared" si="339"/>
        <v>#N/A</v>
      </c>
      <c r="CK887" s="16" t="str">
        <f t="shared" si="340"/>
        <v/>
      </c>
    </row>
    <row r="888" spans="73:89" ht="12" customHeight="1">
      <c r="BU888" s="16">
        <f t="shared" si="341"/>
        <v>0</v>
      </c>
      <c r="BV888" s="16">
        <f>IF($BY$12=1,NORMDIST(BY888,$Y$6,$Y$8,TRUE),IF($BY$12=2,IF(BY888&lt;=$BX$31,0,IF(BY888&gt;=$BX$32,1,(BY888-$BX$31)*$BX$33)),SUM($BU$42:BU888)/$BV$40))</f>
        <v>0.95818486238640266</v>
      </c>
      <c r="BW888" s="16">
        <f t="shared" si="342"/>
        <v>0.37787699735279562</v>
      </c>
      <c r="BX888" s="16">
        <f>IF($BY$12&lt;3,BV888,SUM($BZ$42:BZ888)/$BX$40)</f>
        <v>0.95818486238640266</v>
      </c>
      <c r="BY888" s="16">
        <f t="shared" si="334"/>
        <v>84.599999999999469</v>
      </c>
      <c r="BZ888" s="16">
        <f t="shared" si="335"/>
        <v>4.4666311743829547E-3</v>
      </c>
      <c r="CA888" s="16">
        <f t="shared" si="343"/>
        <v>-999</v>
      </c>
      <c r="CE888" s="16" t="e">
        <f t="shared" si="336"/>
        <v>#N/A</v>
      </c>
      <c r="CF888" s="16">
        <f t="shared" si="337"/>
        <v>99</v>
      </c>
      <c r="CG888" s="16">
        <f t="shared" si="338"/>
        <v>0</v>
      </c>
      <c r="CH888" s="16">
        <f t="shared" si="333"/>
        <v>0</v>
      </c>
      <c r="CJ888" s="16" t="e">
        <f t="shared" si="339"/>
        <v>#N/A</v>
      </c>
      <c r="CK888" s="16" t="str">
        <f t="shared" si="340"/>
        <v/>
      </c>
    </row>
    <row r="889" spans="73:89" ht="12" customHeight="1">
      <c r="BU889" s="16">
        <f t="shared" si="341"/>
        <v>0</v>
      </c>
      <c r="BV889" s="16">
        <f>IF($BY$12=1,NORMDIST(BY889,$Y$6,$Y$8,TRUE),IF($BY$12=2,IF(BY889&lt;=$BX$31,0,IF(BY889&gt;=$BX$32,1,(BY889-$BX$31)*$BX$33)),SUM($BU$42:BU889)/$BV$40))</f>
        <v>0.95862959739485154</v>
      </c>
      <c r="BW889" s="16">
        <f t="shared" si="342"/>
        <v>0.37506058536025427</v>
      </c>
      <c r="BX889" s="16">
        <f>IF($BY$12&lt;3,BV889,SUM($BZ$42:BZ889)/$BX$40)</f>
        <v>0.95862959739485154</v>
      </c>
      <c r="BY889" s="16">
        <f t="shared" si="334"/>
        <v>84.699999999999463</v>
      </c>
      <c r="BZ889" s="16">
        <f t="shared" si="335"/>
        <v>4.4281060845366782E-3</v>
      </c>
      <c r="CA889" s="16">
        <f t="shared" si="343"/>
        <v>-999</v>
      </c>
      <c r="CE889" s="16" t="e">
        <f t="shared" si="336"/>
        <v>#N/A</v>
      </c>
      <c r="CF889" s="16">
        <f t="shared" si="337"/>
        <v>99</v>
      </c>
      <c r="CG889" s="16">
        <f t="shared" si="338"/>
        <v>0</v>
      </c>
      <c r="CH889" s="16">
        <f t="shared" si="333"/>
        <v>0</v>
      </c>
      <c r="CJ889" s="16" t="e">
        <f t="shared" si="339"/>
        <v>#N/A</v>
      </c>
      <c r="CK889" s="16" t="str">
        <f t="shared" si="340"/>
        <v/>
      </c>
    </row>
    <row r="890" spans="73:89" ht="12" customHeight="1">
      <c r="BU890" s="16">
        <f t="shared" si="341"/>
        <v>0</v>
      </c>
      <c r="BV890" s="16">
        <f>IF($BY$12=1,NORMDIST(BY890,$Y$6,$Y$8,TRUE),IF($BY$12=2,IF(BY890&lt;=$BX$31,0,IF(BY890&gt;=$BX$32,1,(BY890-$BX$31)*$BX$33)),SUM($BU$42:BU890)/$BV$40))</f>
        <v>0.95907049102119013</v>
      </c>
      <c r="BW890" s="16">
        <f t="shared" si="342"/>
        <v>0.37225533939025507</v>
      </c>
      <c r="BX890" s="16">
        <f>IF($BY$12&lt;3,BV890,SUM($BZ$42:BZ890)/$BX$40)</f>
        <v>0.95907049102119013</v>
      </c>
      <c r="BY890" s="16">
        <f t="shared" si="334"/>
        <v>84.799999999999457</v>
      </c>
      <c r="BZ890" s="16">
        <f t="shared" si="335"/>
        <v>4.3898035305454889E-3</v>
      </c>
      <c r="CA890" s="16">
        <f t="shared" si="343"/>
        <v>-999</v>
      </c>
      <c r="CE890" s="16" t="e">
        <f t="shared" si="336"/>
        <v>#N/A</v>
      </c>
      <c r="CF890" s="16">
        <f t="shared" si="337"/>
        <v>99</v>
      </c>
      <c r="CG890" s="16">
        <f t="shared" si="338"/>
        <v>0</v>
      </c>
      <c r="CH890" s="16">
        <f t="shared" si="333"/>
        <v>0</v>
      </c>
      <c r="CJ890" s="16" t="e">
        <f t="shared" si="339"/>
        <v>#N/A</v>
      </c>
      <c r="CK890" s="16" t="str">
        <f t="shared" si="340"/>
        <v/>
      </c>
    </row>
    <row r="891" spans="73:89" ht="12" customHeight="1">
      <c r="BU891" s="16">
        <f t="shared" si="341"/>
        <v>0</v>
      </c>
      <c r="BV891" s="16">
        <f>IF($BY$12=1,NORMDIST(BY891,$Y$6,$Y$8,TRUE),IF($BY$12=2,IF(BY891&lt;=$BX$31,0,IF(BY891&gt;=$BX$32,1,(BY891-$BX$31)*$BX$33)),SUM($BU$42:BU891)/$BV$40))</f>
        <v>0.95950756551823768</v>
      </c>
      <c r="BW891" s="16">
        <f t="shared" si="342"/>
        <v>0.36946132466807335</v>
      </c>
      <c r="BX891" s="16">
        <f>IF($BY$12&lt;3,BV891,SUM($BZ$42:BZ891)/$BX$40)</f>
        <v>0.95950756551823768</v>
      </c>
      <c r="BY891" s="16">
        <f t="shared" si="334"/>
        <v>84.899999999999451</v>
      </c>
      <c r="BZ891" s="16">
        <f t="shared" si="335"/>
        <v>4.3517234943236246E-3</v>
      </c>
      <c r="CA891" s="16">
        <f t="shared" si="343"/>
        <v>-999</v>
      </c>
      <c r="CE891" s="16" t="e">
        <f t="shared" si="336"/>
        <v>#N/A</v>
      </c>
      <c r="CF891" s="16">
        <f t="shared" si="337"/>
        <v>99</v>
      </c>
      <c r="CG891" s="16">
        <f t="shared" si="338"/>
        <v>0</v>
      </c>
      <c r="CH891" s="16">
        <f t="shared" si="333"/>
        <v>0</v>
      </c>
      <c r="CJ891" s="16" t="e">
        <f t="shared" si="339"/>
        <v>#N/A</v>
      </c>
      <c r="CK891" s="16" t="str">
        <f t="shared" si="340"/>
        <v/>
      </c>
    </row>
    <row r="892" spans="73:89" ht="12" customHeight="1">
      <c r="BU892" s="16">
        <f t="shared" si="341"/>
        <v>0</v>
      </c>
      <c r="BV892" s="16">
        <f>IF($BY$12=1,NORMDIST(BY892,$Y$6,$Y$8,TRUE),IF($BY$12=2,IF(BY892&lt;=$BX$31,0,IF(BY892&gt;=$BX$32,1,(BY892-$BX$31)*$BX$33)),SUM($BU$42:BU892)/$BV$40))</f>
        <v>0.95994084313618044</v>
      </c>
      <c r="BW892" s="16">
        <f t="shared" si="342"/>
        <v>0.3666786050126894</v>
      </c>
      <c r="BX892" s="16">
        <f>IF($BY$12&lt;3,BV892,SUM($BZ$42:BZ892)/$BX$40)</f>
        <v>0.95994084313618044</v>
      </c>
      <c r="BY892" s="16">
        <f t="shared" si="334"/>
        <v>84.999999999999446</v>
      </c>
      <c r="BZ892" s="16">
        <f t="shared" si="335"/>
        <v>4.3138659413257856E-3</v>
      </c>
      <c r="CA892" s="16">
        <f t="shared" si="343"/>
        <v>-999</v>
      </c>
      <c r="CE892" s="16" t="e">
        <f t="shared" si="336"/>
        <v>#N/A</v>
      </c>
      <c r="CF892" s="16">
        <f t="shared" si="337"/>
        <v>99</v>
      </c>
      <c r="CG892" s="16">
        <f t="shared" si="338"/>
        <v>0</v>
      </c>
      <c r="CH892" s="16">
        <f t="shared" si="333"/>
        <v>0</v>
      </c>
      <c r="CJ892" s="16" t="e">
        <f t="shared" si="339"/>
        <v>#N/A</v>
      </c>
      <c r="CK892" s="16" t="str">
        <f t="shared" si="340"/>
        <v/>
      </c>
    </row>
    <row r="893" spans="73:89" ht="12" customHeight="1">
      <c r="BU893" s="16">
        <f t="shared" si="341"/>
        <v>0</v>
      </c>
      <c r="BV893" s="16">
        <f>IF($BY$12=1,NORMDIST(BY893,$Y$6,$Y$8,TRUE),IF($BY$12=2,IF(BY893&lt;=$BX$31,0,IF(BY893&gt;=$BX$32,1,(BY893-$BX$31)*$BX$33)),SUM($BU$42:BU893)/$BV$40))</f>
        <v>0.96037034612093297</v>
      </c>
      <c r="BW893" s="16">
        <f t="shared" si="342"/>
        <v>0.36390724284100084</v>
      </c>
      <c r="BX893" s="16">
        <f>IF($BY$12&lt;3,BV893,SUM($BZ$42:BZ893)/$BX$40)</f>
        <v>0.96037034612093297</v>
      </c>
      <c r="BY893" s="16">
        <f t="shared" si="334"/>
        <v>85.09999999999944</v>
      </c>
      <c r="BZ893" s="16">
        <f t="shared" si="335"/>
        <v>4.2762308206933403E-3</v>
      </c>
      <c r="CA893" s="16">
        <f t="shared" si="343"/>
        <v>-999</v>
      </c>
      <c r="CE893" s="16" t="e">
        <f t="shared" si="336"/>
        <v>#N/A</v>
      </c>
      <c r="CF893" s="16">
        <f t="shared" si="337"/>
        <v>99</v>
      </c>
      <c r="CG893" s="16">
        <f t="shared" si="338"/>
        <v>0</v>
      </c>
      <c r="CH893" s="16">
        <f t="shared" si="333"/>
        <v>0</v>
      </c>
      <c r="CJ893" s="16" t="e">
        <f t="shared" si="339"/>
        <v>#N/A</v>
      </c>
      <c r="CK893" s="16" t="str">
        <f t="shared" si="340"/>
        <v/>
      </c>
    </row>
    <row r="894" spans="73:89" ht="12" customHeight="1">
      <c r="BU894" s="16">
        <f t="shared" si="341"/>
        <v>0</v>
      </c>
      <c r="BV894" s="16">
        <f>IF($BY$12=1,NORMDIST(BY894,$Y$6,$Y$8,TRUE),IF($BY$12=2,IF(BY894&lt;=$BX$31,0,IF(BY894&gt;=$BX$32,1,(BY894-$BX$31)*$BX$33)),SUM($BU$42:BU894)/$BV$40))</f>
        <v>0.96079609671251498</v>
      </c>
      <c r="BW894" s="16">
        <f t="shared" si="342"/>
        <v>0.36114729917219029</v>
      </c>
      <c r="BX894" s="16">
        <f>IF($BY$12&lt;3,BV894,SUM($BZ$42:BZ894)/$BX$40)</f>
        <v>0.96079609671251498</v>
      </c>
      <c r="BY894" s="16">
        <f t="shared" si="334"/>
        <v>85.199999999999434</v>
      </c>
      <c r="BZ894" s="16">
        <f t="shared" si="335"/>
        <v>4.2388180654013225E-3</v>
      </c>
      <c r="CA894" s="16">
        <f t="shared" si="343"/>
        <v>-999</v>
      </c>
      <c r="CE894" s="16" t="e">
        <f t="shared" si="336"/>
        <v>#N/A</v>
      </c>
      <c r="CF894" s="16">
        <f t="shared" si="337"/>
        <v>99</v>
      </c>
      <c r="CG894" s="16">
        <f t="shared" si="338"/>
        <v>0</v>
      </c>
      <c r="CH894" s="16">
        <f t="shared" si="333"/>
        <v>0</v>
      </c>
      <c r="CJ894" s="16" t="e">
        <f t="shared" si="339"/>
        <v>#N/A</v>
      </c>
      <c r="CK894" s="16" t="str">
        <f t="shared" si="340"/>
        <v/>
      </c>
    </row>
    <row r="895" spans="73:89" ht="12" customHeight="1">
      <c r="BU895" s="16">
        <f t="shared" si="341"/>
        <v>0</v>
      </c>
      <c r="BV895" s="16">
        <f>IF($BY$12=1,NORMDIST(BY895,$Y$6,$Y$8,TRUE),IF($BY$12=2,IF(BY895&lt;=$BX$31,0,IF(BY895&gt;=$BX$32,1,(BY895-$BX$31)*$BX$33)),SUM($BU$42:BU895)/$BV$40))</f>
        <v>0.96121811714344085</v>
      </c>
      <c r="BW895" s="16">
        <f t="shared" si="342"/>
        <v>0.35839883363224029</v>
      </c>
      <c r="BX895" s="16">
        <f>IF($BY$12&lt;3,BV895,SUM($BZ$42:BZ895)/$BX$40)</f>
        <v>0.96121811714344085</v>
      </c>
      <c r="BY895" s="16">
        <f t="shared" si="334"/>
        <v>85.299999999999429</v>
      </c>
      <c r="BZ895" s="16">
        <f t="shared" si="335"/>
        <v>4.2016275924061279E-3</v>
      </c>
      <c r="CA895" s="16">
        <f t="shared" si="343"/>
        <v>-999</v>
      </c>
      <c r="CE895" s="16" t="e">
        <f t="shared" si="336"/>
        <v>#N/A</v>
      </c>
      <c r="CF895" s="16">
        <f t="shared" si="337"/>
        <v>99</v>
      </c>
      <c r="CG895" s="16">
        <f t="shared" si="338"/>
        <v>0</v>
      </c>
      <c r="CH895" s="16">
        <f t="shared" si="333"/>
        <v>0</v>
      </c>
      <c r="CJ895" s="16" t="e">
        <f t="shared" si="339"/>
        <v>#N/A</v>
      </c>
      <c r="CK895" s="16" t="str">
        <f t="shared" si="340"/>
        <v/>
      </c>
    </row>
    <row r="896" spans="73:89" ht="12" customHeight="1">
      <c r="BU896" s="16">
        <f t="shared" si="341"/>
        <v>0</v>
      </c>
      <c r="BV896" s="16">
        <f>IF($BY$12=1,NORMDIST(BY896,$Y$6,$Y$8,TRUE),IF($BY$12=2,IF(BY896&lt;=$BX$31,0,IF(BY896&gt;=$BX$32,1,(BY896-$BX$31)*$BX$33)),SUM($BU$42:BU896)/$BV$40))</f>
        <v>0.96163642963712626</v>
      </c>
      <c r="BW896" s="16">
        <f t="shared" si="342"/>
        <v>0.35566190445859963</v>
      </c>
      <c r="BX896" s="16">
        <f>IF($BY$12&lt;3,BV896,SUM($BZ$42:BZ896)/$BX$40)</f>
        <v>0.96163642963712626</v>
      </c>
      <c r="BY896" s="16">
        <f t="shared" si="334"/>
        <v>85.399999999999423</v>
      </c>
      <c r="BZ896" s="16">
        <f t="shared" si="335"/>
        <v>4.1646593027939351E-3</v>
      </c>
      <c r="CA896" s="16">
        <f t="shared" si="343"/>
        <v>-999</v>
      </c>
      <c r="CE896" s="16" t="e">
        <f t="shared" si="336"/>
        <v>#N/A</v>
      </c>
      <c r="CF896" s="16">
        <f t="shared" si="337"/>
        <v>99</v>
      </c>
      <c r="CG896" s="16">
        <f t="shared" si="338"/>
        <v>0</v>
      </c>
      <c r="CH896" s="16">
        <f t="shared" si="333"/>
        <v>0</v>
      </c>
      <c r="CJ896" s="16" t="e">
        <f t="shared" si="339"/>
        <v>#N/A</v>
      </c>
      <c r="CK896" s="16" t="str">
        <f t="shared" si="340"/>
        <v/>
      </c>
    </row>
    <row r="897" spans="73:89" ht="12" customHeight="1">
      <c r="BU897" s="16">
        <f t="shared" si="341"/>
        <v>0</v>
      </c>
      <c r="BV897" s="16">
        <f>IF($BY$12=1,NORMDIST(BY897,$Y$6,$Y$8,TRUE),IF($BY$12=2,IF(BY897&lt;=$BX$31,0,IF(BY897&gt;=$BX$32,1,(BY897-$BX$31)*$BX$33)),SUM($BU$42:BU897)/$BV$40))</f>
        <v>0.9620510564063085</v>
      </c>
      <c r="BW897" s="16">
        <f t="shared" si="342"/>
        <v>0.35293656850499494</v>
      </c>
      <c r="BX897" s="16">
        <f>IF($BY$12&lt;3,BV897,SUM($BZ$42:BZ897)/$BX$40)</f>
        <v>0.9620510564063085</v>
      </c>
      <c r="BY897" s="16">
        <f t="shared" si="334"/>
        <v>85.499999999999417</v>
      </c>
      <c r="BZ897" s="16">
        <f t="shared" si="335"/>
        <v>4.1279130819297932E-3</v>
      </c>
      <c r="CA897" s="16">
        <f t="shared" si="343"/>
        <v>-999</v>
      </c>
      <c r="CE897" s="16" t="e">
        <f t="shared" si="336"/>
        <v>#N/A</v>
      </c>
      <c r="CF897" s="16">
        <f t="shared" si="337"/>
        <v>99</v>
      </c>
      <c r="CG897" s="16">
        <f t="shared" si="338"/>
        <v>0</v>
      </c>
      <c r="CH897" s="16">
        <f t="shared" si="333"/>
        <v>0</v>
      </c>
      <c r="CJ897" s="16" t="e">
        <f t="shared" si="339"/>
        <v>#N/A</v>
      </c>
      <c r="CK897" s="16" t="str">
        <f t="shared" si="340"/>
        <v/>
      </c>
    </row>
    <row r="898" spans="73:89" ht="12" customHeight="1">
      <c r="BU898" s="16">
        <f t="shared" si="341"/>
        <v>0</v>
      </c>
      <c r="BV898" s="16">
        <f>IF($BY$12=1,NORMDIST(BY898,$Y$6,$Y$8,TRUE),IF($BY$12=2,IF(BY898&lt;=$BX$31,0,IF(BY898&gt;=$BX$32,1,(BY898-$BX$31)*$BX$33)),SUM($BU$42:BU898)/$BV$40))</f>
        <v>0.96246201965148059</v>
      </c>
      <c r="BW898" s="16">
        <f t="shared" si="342"/>
        <v>0.35022288124638706</v>
      </c>
      <c r="BX898" s="16">
        <f>IF($BY$12&lt;3,BV898,SUM($BZ$42:BZ898)/$BX$40)</f>
        <v>0.96246201965148059</v>
      </c>
      <c r="BY898" s="16">
        <f t="shared" si="334"/>
        <v>85.599999999999412</v>
      </c>
      <c r="BZ898" s="16">
        <f t="shared" si="335"/>
        <v>4.0913887996073539E-3</v>
      </c>
      <c r="CA898" s="16">
        <f t="shared" si="343"/>
        <v>-999</v>
      </c>
      <c r="CE898" s="16" t="e">
        <f t="shared" si="336"/>
        <v>#N/A</v>
      </c>
      <c r="CF898" s="16">
        <f t="shared" si="337"/>
        <v>99</v>
      </c>
      <c r="CG898" s="16">
        <f t="shared" si="338"/>
        <v>0</v>
      </c>
      <c r="CH898" s="16">
        <f t="shared" si="333"/>
        <v>0</v>
      </c>
      <c r="CJ898" s="16" t="e">
        <f t="shared" si="339"/>
        <v>#N/A</v>
      </c>
      <c r="CK898" s="16" t="str">
        <f t="shared" si="340"/>
        <v/>
      </c>
    </row>
    <row r="899" spans="73:89" ht="12" customHeight="1">
      <c r="BU899" s="16">
        <f t="shared" si="341"/>
        <v>0</v>
      </c>
      <c r="BV899" s="16">
        <f>IF($BY$12=1,NORMDIST(BY899,$Y$6,$Y$8,TRUE),IF($BY$12=2,IF(BY899&lt;=$BX$31,0,IF(BY899&gt;=$BX$32,1,(BY899-$BX$31)*$BX$33)),SUM($BU$42:BU899)/$BV$40))</f>
        <v>0.96286934155934401</v>
      </c>
      <c r="BW899" s="16">
        <f t="shared" si="342"/>
        <v>0.34752089678407133</v>
      </c>
      <c r="BX899" s="16">
        <f>IF($BY$12&lt;3,BV899,SUM($BZ$42:BZ899)/$BX$40)</f>
        <v>0.96286934155934401</v>
      </c>
      <c r="BY899" s="16">
        <f t="shared" si="334"/>
        <v>85.699999999999406</v>
      </c>
      <c r="BZ899" s="16">
        <f t="shared" si="335"/>
        <v>4.0550863101992268E-3</v>
      </c>
      <c r="CA899" s="16">
        <f t="shared" si="343"/>
        <v>-999</v>
      </c>
      <c r="CE899" s="16" t="e">
        <f t="shared" si="336"/>
        <v>#N/A</v>
      </c>
      <c r="CF899" s="16">
        <f t="shared" si="337"/>
        <v>99</v>
      </c>
      <c r="CG899" s="16">
        <f t="shared" si="338"/>
        <v>0</v>
      </c>
      <c r="CH899" s="16">
        <f t="shared" ref="CH899:CH962" si="344">IF(CB899="",0,1)</f>
        <v>0</v>
      </c>
      <c r="CJ899" s="16" t="e">
        <f t="shared" si="339"/>
        <v>#N/A</v>
      </c>
      <c r="CK899" s="16" t="str">
        <f t="shared" si="340"/>
        <v/>
      </c>
    </row>
    <row r="900" spans="73:89" ht="12" customHeight="1">
      <c r="BU900" s="16">
        <f t="shared" si="341"/>
        <v>0</v>
      </c>
      <c r="BV900" s="16">
        <f>IF($BY$12=1,NORMDIST(BY900,$Y$6,$Y$8,TRUE),IF($BY$12=2,IF(BY900&lt;=$BX$31,0,IF(BY900&gt;=$BX$32,1,(BY900-$BX$31)*$BX$33)),SUM($BU$42:BU900)/$BV$40))</f>
        <v>0.96327304430127136</v>
      </c>
      <c r="BW900" s="16">
        <f t="shared" si="342"/>
        <v>0.34483066785091737</v>
      </c>
      <c r="BX900" s="16">
        <f>IF($BY$12&lt;3,BV900,SUM($BZ$42:BZ900)/$BX$40)</f>
        <v>0.96327304430127136</v>
      </c>
      <c r="BY900" s="16">
        <f t="shared" si="334"/>
        <v>85.7999999999994</v>
      </c>
      <c r="BZ900" s="16">
        <f t="shared" si="335"/>
        <v>4.0190054528079231E-3</v>
      </c>
      <c r="CA900" s="16">
        <f t="shared" si="343"/>
        <v>-999</v>
      </c>
      <c r="CE900" s="16" t="e">
        <f t="shared" si="336"/>
        <v>#N/A</v>
      </c>
      <c r="CF900" s="16">
        <f t="shared" si="337"/>
        <v>99</v>
      </c>
      <c r="CG900" s="16">
        <f t="shared" si="338"/>
        <v>0</v>
      </c>
      <c r="CH900" s="16">
        <f t="shared" si="344"/>
        <v>0</v>
      </c>
      <c r="CJ900" s="16" t="e">
        <f t="shared" si="339"/>
        <v>#N/A</v>
      </c>
      <c r="CK900" s="16" t="str">
        <f t="shared" si="340"/>
        <v/>
      </c>
    </row>
    <row r="901" spans="73:89" ht="12" customHeight="1">
      <c r="BU901" s="16">
        <f t="shared" si="341"/>
        <v>0</v>
      </c>
      <c r="BV901" s="16">
        <f>IF($BY$12=1,NORMDIST(BY901,$Y$6,$Y$8,TRUE),IF($BY$12=2,IF(BY901&lt;=$BX$31,0,IF(BY901&gt;=$BX$32,1,(BY901-$BX$31)*$BX$33)),SUM($BU$42:BU901)/$BV$40))</f>
        <v>0.96367315003178888</v>
      </c>
      <c r="BW901" s="16">
        <f t="shared" si="342"/>
        <v>0.3421522458167493</v>
      </c>
      <c r="BX901" s="16">
        <f>IF($BY$12&lt;3,BV901,SUM($BZ$42:BZ901)/$BX$40)</f>
        <v>0.96367315003178888</v>
      </c>
      <c r="BY901" s="16">
        <f t="shared" si="334"/>
        <v>85.899999999999395</v>
      </c>
      <c r="BZ901" s="16">
        <f t="shared" si="335"/>
        <v>3.9831460514173659E-3</v>
      </c>
      <c r="CA901" s="16">
        <f t="shared" si="343"/>
        <v>-999</v>
      </c>
      <c r="CE901" s="16" t="e">
        <f t="shared" si="336"/>
        <v>#N/A</v>
      </c>
      <c r="CF901" s="16">
        <f t="shared" si="337"/>
        <v>99</v>
      </c>
      <c r="CG901" s="16">
        <f t="shared" si="338"/>
        <v>0</v>
      </c>
      <c r="CH901" s="16">
        <f t="shared" si="344"/>
        <v>0</v>
      </c>
      <c r="CJ901" s="16" t="e">
        <f t="shared" si="339"/>
        <v>#N/A</v>
      </c>
      <c r="CK901" s="16" t="str">
        <f t="shared" si="340"/>
        <v/>
      </c>
    </row>
    <row r="902" spans="73:89" ht="12" customHeight="1">
      <c r="BU902" s="16">
        <f t="shared" si="341"/>
        <v>0</v>
      </c>
      <c r="BV902" s="16">
        <f>IF($BY$12=1,NORMDIST(BY902,$Y$6,$Y$8,TRUE),IF($BY$12=2,IF(BY902&lt;=$BX$31,0,IF(BY902&gt;=$BX$32,1,(BY902-$BX$31)*$BX$33)),SUM($BU$42:BU902)/$BV$40))</f>
        <v>0.96406968088707168</v>
      </c>
      <c r="BW902" s="16">
        <f t="shared" si="342"/>
        <v>0.3394856806938612</v>
      </c>
      <c r="BX902" s="16">
        <f>IF($BY$12&lt;3,BV902,SUM($BZ$42:BZ902)/$BX$40)</f>
        <v>0.96406968088707168</v>
      </c>
      <c r="BY902" s="16">
        <f t="shared" si="334"/>
        <v>85.999999999999389</v>
      </c>
      <c r="BZ902" s="16">
        <f t="shared" si="335"/>
        <v>3.9475079150449255E-3</v>
      </c>
      <c r="CA902" s="16">
        <f t="shared" si="343"/>
        <v>-999</v>
      </c>
      <c r="CE902" s="16" t="e">
        <f t="shared" si="336"/>
        <v>#N/A</v>
      </c>
      <c r="CF902" s="16">
        <f t="shared" si="337"/>
        <v>99</v>
      </c>
      <c r="CG902" s="16">
        <f t="shared" si="338"/>
        <v>0</v>
      </c>
      <c r="CH902" s="16">
        <f t="shared" si="344"/>
        <v>0</v>
      </c>
      <c r="CJ902" s="16" t="e">
        <f t="shared" si="339"/>
        <v>#N/A</v>
      </c>
      <c r="CK902" s="16" t="str">
        <f t="shared" si="340"/>
        <v/>
      </c>
    </row>
    <row r="903" spans="73:89" ht="12" customHeight="1">
      <c r="BU903" s="16">
        <f t="shared" si="341"/>
        <v>0</v>
      </c>
      <c r="BV903" s="16">
        <f>IF($BY$12=1,NORMDIST(BY903,$Y$6,$Y$8,TRUE),IF($BY$12=2,IF(BY903&lt;=$BX$31,0,IF(BY903&gt;=$BX$32,1,(BY903-$BX$31)*$BX$33)),SUM($BU$42:BU903)/$BV$40))</f>
        <v>0.96446265898345462</v>
      </c>
      <c r="BW903" s="16">
        <f t="shared" si="342"/>
        <v>0.33683102114266872</v>
      </c>
      <c r="BX903" s="16">
        <f>IF($BY$12&lt;3,BV903,SUM($BZ$42:BZ903)/$BX$40)</f>
        <v>0.96446265898345462</v>
      </c>
      <c r="BY903" s="16">
        <f t="shared" si="334"/>
        <v>86.099999999999383</v>
      </c>
      <c r="BZ903" s="16">
        <f t="shared" si="335"/>
        <v>3.9120908378939738E-3</v>
      </c>
      <c r="CA903" s="16">
        <f t="shared" si="343"/>
        <v>-999</v>
      </c>
      <c r="CE903" s="16" t="e">
        <f t="shared" si="336"/>
        <v>#N/A</v>
      </c>
      <c r="CF903" s="16">
        <f t="shared" si="337"/>
        <v>99</v>
      </c>
      <c r="CG903" s="16">
        <f t="shared" si="338"/>
        <v>0</v>
      </c>
      <c r="CH903" s="16">
        <f t="shared" si="344"/>
        <v>0</v>
      </c>
      <c r="CJ903" s="16" t="e">
        <f t="shared" si="339"/>
        <v>#N/A</v>
      </c>
      <c r="CK903" s="16" t="str">
        <f t="shared" si="340"/>
        <v/>
      </c>
    </row>
    <row r="904" spans="73:89" ht="12" customHeight="1">
      <c r="BU904" s="16">
        <f t="shared" si="341"/>
        <v>0</v>
      </c>
      <c r="BV904" s="16">
        <f>IF($BY$12=1,NORMDIST(BY904,$Y$6,$Y$8,TRUE),IF($BY$12=2,IF(BY904&lt;=$BX$31,0,IF(BY904&gt;=$BX$32,1,(BY904-$BX$31)*$BX$33)),SUM($BU$42:BU904)/$BV$40))</f>
        <v>0.96485210641595875</v>
      </c>
      <c r="BW904" s="16">
        <f t="shared" si="342"/>
        <v>0.33418831447749381</v>
      </c>
      <c r="BX904" s="16">
        <f>IF($BY$12&lt;3,BV904,SUM($BZ$42:BZ904)/$BX$40)</f>
        <v>0.96485210641595875</v>
      </c>
      <c r="BY904" s="16">
        <f t="shared" si="334"/>
        <v>86.199999999999378</v>
      </c>
      <c r="BZ904" s="16">
        <f t="shared" si="335"/>
        <v>3.8768945995069164E-3</v>
      </c>
      <c r="CA904" s="16">
        <f t="shared" si="343"/>
        <v>-999</v>
      </c>
      <c r="CE904" s="16" t="e">
        <f t="shared" si="336"/>
        <v>#N/A</v>
      </c>
      <c r="CF904" s="16">
        <f t="shared" si="337"/>
        <v>99</v>
      </c>
      <c r="CG904" s="16">
        <f t="shared" si="338"/>
        <v>0</v>
      </c>
      <c r="CH904" s="16">
        <f t="shared" si="344"/>
        <v>0</v>
      </c>
      <c r="CJ904" s="16" t="e">
        <f t="shared" si="339"/>
        <v>#N/A</v>
      </c>
      <c r="CK904" s="16" t="str">
        <f t="shared" si="340"/>
        <v/>
      </c>
    </row>
    <row r="905" spans="73:89" ht="12" customHeight="1">
      <c r="BU905" s="16">
        <f t="shared" si="341"/>
        <v>0</v>
      </c>
      <c r="BV905" s="16">
        <f>IF($BY$12=1,NORMDIST(BY905,$Y$6,$Y$8,TRUE),IF($BY$12=2,IF(BY905&lt;=$BX$31,0,IF(BY905&gt;=$BX$32,1,(BY905-$BX$31)*$BX$33)),SUM($BU$42:BU905)/$BV$40))</f>
        <v>0.9652380452568321</v>
      </c>
      <c r="BW905" s="16">
        <f t="shared" si="342"/>
        <v>0.33155760667247908</v>
      </c>
      <c r="BX905" s="16">
        <f>IF($BY$12&lt;3,BV905,SUM($BZ$42:BZ905)/$BX$40)</f>
        <v>0.9652380452568321</v>
      </c>
      <c r="BY905" s="16">
        <f t="shared" si="334"/>
        <v>86.299999999999372</v>
      </c>
      <c r="BZ905" s="16">
        <f t="shared" si="335"/>
        <v>3.8419189649186733E-3</v>
      </c>
      <c r="CA905" s="16">
        <f t="shared" si="343"/>
        <v>-999</v>
      </c>
      <c r="CE905" s="16" t="e">
        <f t="shared" si="336"/>
        <v>#N/A</v>
      </c>
      <c r="CF905" s="16">
        <f t="shared" si="337"/>
        <v>99</v>
      </c>
      <c r="CG905" s="16">
        <f t="shared" si="338"/>
        <v>0</v>
      </c>
      <c r="CH905" s="16">
        <f t="shared" si="344"/>
        <v>0</v>
      </c>
      <c r="CJ905" s="16" t="e">
        <f t="shared" si="339"/>
        <v>#N/A</v>
      </c>
      <c r="CK905" s="16" t="str">
        <f t="shared" si="340"/>
        <v/>
      </c>
    </row>
    <row r="906" spans="73:89" ht="12" customHeight="1">
      <c r="BU906" s="16">
        <f t="shared" si="341"/>
        <v>0</v>
      </c>
      <c r="BV906" s="16">
        <f>IF($BY$12=1,NORMDIST(BY906,$Y$6,$Y$8,TRUE),IF($BY$12=2,IF(BY906&lt;=$BX$31,0,IF(BY906&gt;=$BX$32,1,(BY906-$BX$31)*$BX$33)),SUM($BU$42:BU906)/$BV$40))</f>
        <v>0.96562049755410762</v>
      </c>
      <c r="BW906" s="16">
        <f t="shared" si="342"/>
        <v>0.32893894236763216</v>
      </c>
      <c r="BX906" s="16">
        <f>IF($BY$12&lt;3,BV906,SUM($BZ$42:BZ906)/$BX$40)</f>
        <v>0.96562049755410762</v>
      </c>
      <c r="BY906" s="16">
        <f t="shared" si="334"/>
        <v>86.399999999999366</v>
      </c>
      <c r="BZ906" s="16">
        <f t="shared" si="335"/>
        <v>3.8071636848105851E-3</v>
      </c>
      <c r="CA906" s="16">
        <f t="shared" si="343"/>
        <v>-999</v>
      </c>
      <c r="CE906" s="16" t="e">
        <f t="shared" si="336"/>
        <v>#N/A</v>
      </c>
      <c r="CF906" s="16">
        <f t="shared" si="337"/>
        <v>99</v>
      </c>
      <c r="CG906" s="16">
        <f t="shared" si="338"/>
        <v>0</v>
      </c>
      <c r="CH906" s="16">
        <f t="shared" si="344"/>
        <v>0</v>
      </c>
      <c r="CJ906" s="16" t="e">
        <f t="shared" si="339"/>
        <v>#N/A</v>
      </c>
      <c r="CK906" s="16" t="str">
        <f t="shared" si="340"/>
        <v/>
      </c>
    </row>
    <row r="907" spans="73:89" ht="12" customHeight="1">
      <c r="BU907" s="16">
        <f t="shared" si="341"/>
        <v>0</v>
      </c>
      <c r="BV907" s="16">
        <f>IF($BY$12=1,NORMDIST(BY907,$Y$6,$Y$8,TRUE),IF($BY$12=2,IF(BY907&lt;=$BX$31,0,IF(BY907&gt;=$BX$32,1,(BY907-$BX$31)*$BX$33)),SUM($BU$42:BU907)/$BV$40))</f>
        <v>0.96599948533017499</v>
      </c>
      <c r="BW907" s="16">
        <f t="shared" si="342"/>
        <v>0.32633236487499673</v>
      </c>
      <c r="BX907" s="16">
        <f>IF($BY$12&lt;3,BV907,SUM($BZ$42:BZ907)/$BX$40)</f>
        <v>0.96599948533017499</v>
      </c>
      <c r="BY907" s="16">
        <f t="shared" si="334"/>
        <v>86.499999999999361</v>
      </c>
      <c r="BZ907" s="16">
        <f t="shared" si="335"/>
        <v>3.7726284956647298E-3</v>
      </c>
      <c r="CA907" s="16">
        <f t="shared" si="343"/>
        <v>-999</v>
      </c>
      <c r="CE907" s="16" t="e">
        <f t="shared" si="336"/>
        <v>#N/A</v>
      </c>
      <c r="CF907" s="16">
        <f t="shared" si="337"/>
        <v>99</v>
      </c>
      <c r="CG907" s="16">
        <f t="shared" si="338"/>
        <v>0</v>
      </c>
      <c r="CH907" s="16">
        <f t="shared" si="344"/>
        <v>0</v>
      </c>
      <c r="CJ907" s="16" t="e">
        <f t="shared" si="339"/>
        <v>#N/A</v>
      </c>
      <c r="CK907" s="16" t="str">
        <f t="shared" si="340"/>
        <v/>
      </c>
    </row>
    <row r="908" spans="73:89" ht="12" customHeight="1">
      <c r="BU908" s="16">
        <f t="shared" si="341"/>
        <v>0</v>
      </c>
      <c r="BV908" s="16">
        <f>IF($BY$12=1,NORMDIST(BY908,$Y$6,$Y$8,TRUE),IF($BY$12=2,IF(BY908&lt;=$BX$31,0,IF(BY908&gt;=$BX$32,1,(BY908-$BX$31)*$BX$33)),SUM($BU$42:BU908)/$BV$40))</f>
        <v>0.96637503058036933</v>
      </c>
      <c r="BW908" s="16">
        <f t="shared" si="342"/>
        <v>0.3237379161849484</v>
      </c>
      <c r="BX908" s="16">
        <f>IF($BY$12&lt;3,BV908,SUM($BZ$42:BZ908)/$BX$40)</f>
        <v>0.96637503058036933</v>
      </c>
      <c r="BY908" s="16">
        <f t="shared" si="334"/>
        <v>86.599999999999355</v>
      </c>
      <c r="BZ908" s="16">
        <f t="shared" si="335"/>
        <v>3.7383131199186007E-3</v>
      </c>
      <c r="CA908" s="16">
        <f t="shared" si="343"/>
        <v>-999</v>
      </c>
      <c r="CE908" s="16" t="e">
        <f t="shared" si="336"/>
        <v>#N/A</v>
      </c>
      <c r="CF908" s="16">
        <f t="shared" si="337"/>
        <v>99</v>
      </c>
      <c r="CG908" s="16">
        <f t="shared" si="338"/>
        <v>0</v>
      </c>
      <c r="CH908" s="16">
        <f t="shared" si="344"/>
        <v>0</v>
      </c>
      <c r="CJ908" s="16" t="e">
        <f t="shared" si="339"/>
        <v>#N/A</v>
      </c>
      <c r="CK908" s="16" t="str">
        <f t="shared" si="340"/>
        <v/>
      </c>
    </row>
    <row r="909" spans="73:89" ht="12" customHeight="1">
      <c r="BU909" s="16">
        <f t="shared" si="341"/>
        <v>0</v>
      </c>
      <c r="BV909" s="16">
        <f>IF($BY$12=1,NORMDIST(BY909,$Y$6,$Y$8,TRUE),IF($BY$12=2,IF(BY909&lt;=$BX$31,0,IF(BY909&gt;=$BX$32,1,(BY909-$BX$31)*$BX$33)),SUM($BU$42:BU909)/$BV$40))</f>
        <v>0.9667471552715724</v>
      </c>
      <c r="BW909" s="16">
        <f t="shared" si="342"/>
        <v>0.3211556369726134</v>
      </c>
      <c r="BX909" s="16">
        <f>IF($BY$12&lt;3,BV909,SUM($BZ$42:BZ909)/$BX$40)</f>
        <v>0.9667471552715724</v>
      </c>
      <c r="BY909" s="16">
        <f t="shared" si="334"/>
        <v>86.699999999999349</v>
      </c>
      <c r="BZ909" s="16">
        <f t="shared" si="335"/>
        <v>3.7042172661201364E-3</v>
      </c>
      <c r="CA909" s="16">
        <f t="shared" si="343"/>
        <v>-999</v>
      </c>
      <c r="CE909" s="16" t="e">
        <f t="shared" si="336"/>
        <v>#N/A</v>
      </c>
      <c r="CF909" s="16">
        <f t="shared" si="337"/>
        <v>99</v>
      </c>
      <c r="CG909" s="16">
        <f t="shared" si="338"/>
        <v>0</v>
      </c>
      <c r="CH909" s="16">
        <f t="shared" si="344"/>
        <v>0</v>
      </c>
      <c r="CJ909" s="16" t="e">
        <f t="shared" si="339"/>
        <v>#N/A</v>
      </c>
      <c r="CK909" s="16" t="str">
        <f t="shared" si="340"/>
        <v/>
      </c>
    </row>
    <row r="910" spans="73:89" ht="12" customHeight="1">
      <c r="BU910" s="16">
        <f t="shared" si="341"/>
        <v>0</v>
      </c>
      <c r="BV910" s="16">
        <f>IF($BY$12=1,NORMDIST(BY910,$Y$6,$Y$8,TRUE),IF($BY$12=2,IF(BY910&lt;=$BX$31,0,IF(BY910&gt;=$BX$32,1,(BY910-$BX$31)*$BX$33)),SUM($BU$42:BU910)/$BV$40))</f>
        <v>0.96711588134083382</v>
      </c>
      <c r="BW910" s="16">
        <f t="shared" si="342"/>
        <v>0.31858556660440773</v>
      </c>
      <c r="BX910" s="16">
        <f>IF($BY$12&lt;3,BV910,SUM($BZ$42:BZ910)/$BX$40)</f>
        <v>0.96711588134083382</v>
      </c>
      <c r="BY910" s="16">
        <f t="shared" si="334"/>
        <v>86.799999999999343</v>
      </c>
      <c r="BZ910" s="16">
        <f t="shared" si="335"/>
        <v>3.6703406290830663E-3</v>
      </c>
      <c r="CA910" s="16">
        <f t="shared" si="343"/>
        <v>-999</v>
      </c>
      <c r="CE910" s="16" t="e">
        <f t="shared" si="336"/>
        <v>#N/A</v>
      </c>
      <c r="CF910" s="16">
        <f t="shared" si="337"/>
        <v>99</v>
      </c>
      <c r="CG910" s="16">
        <f t="shared" si="338"/>
        <v>0</v>
      </c>
      <c r="CH910" s="16">
        <f t="shared" si="344"/>
        <v>0</v>
      </c>
      <c r="CJ910" s="16" t="e">
        <f t="shared" si="339"/>
        <v>#N/A</v>
      </c>
      <c r="CK910" s="16" t="str">
        <f t="shared" si="340"/>
        <v/>
      </c>
    </row>
    <row r="911" spans="73:89" ht="12" customHeight="1">
      <c r="BU911" s="16">
        <f t="shared" si="341"/>
        <v>0</v>
      </c>
      <c r="BV911" s="16">
        <f>IF($BY$12=1,NORMDIST(BY911,$Y$6,$Y$8,TRUE),IF($BY$12=2,IF(BY911&lt;=$BX$31,0,IF(BY911&gt;=$BX$32,1,(BY911-$BX$31)*$BX$33)),SUM($BU$42:BU911)/$BV$40))</f>
        <v>0.96748123069400371</v>
      </c>
      <c r="BW911" s="16">
        <f t="shared" si="342"/>
        <v>0.31602774314469578</v>
      </c>
      <c r="BX911" s="16">
        <f>IF($BY$12&lt;3,BV911,SUM($BZ$42:BZ911)/$BX$40)</f>
        <v>0.96748123069400371</v>
      </c>
      <c r="BY911" s="16">
        <f t="shared" si="334"/>
        <v>86.899999999999338</v>
      </c>
      <c r="BZ911" s="16">
        <f t="shared" si="335"/>
        <v>3.6366828900425566E-3</v>
      </c>
      <c r="CA911" s="16">
        <f t="shared" si="343"/>
        <v>-999</v>
      </c>
      <c r="CE911" s="16" t="e">
        <f t="shared" si="336"/>
        <v>#N/A</v>
      </c>
      <c r="CF911" s="16">
        <f t="shared" si="337"/>
        <v>99</v>
      </c>
      <c r="CG911" s="16">
        <f t="shared" si="338"/>
        <v>0</v>
      </c>
      <c r="CH911" s="16">
        <f t="shared" si="344"/>
        <v>0</v>
      </c>
      <c r="CJ911" s="16" t="e">
        <f t="shared" si="339"/>
        <v>#N/A</v>
      </c>
      <c r="CK911" s="16" t="str">
        <f t="shared" si="340"/>
        <v/>
      </c>
    </row>
    <row r="912" spans="73:89" ht="12" customHeight="1">
      <c r="BU912" s="16">
        <f t="shared" si="341"/>
        <v>0</v>
      </c>
      <c r="BV912" s="16">
        <f>IF($BY$12=1,NORMDIST(BY912,$Y$6,$Y$8,TRUE),IF($BY$12=2,IF(BY912&lt;=$BX$31,0,IF(BY912&gt;=$BX$32,1,(BY912-$BX$31)*$BX$33)),SUM($BU$42:BU912)/$BV$40))</f>
        <v>0.96784322520438393</v>
      </c>
      <c r="BW912" s="16">
        <f t="shared" si="342"/>
        <v>0.31348220336256516</v>
      </c>
      <c r="BX912" s="16">
        <f>IF($BY$12&lt;3,BV912,SUM($BZ$42:BZ912)/$BX$40)</f>
        <v>0.96784322520438393</v>
      </c>
      <c r="BY912" s="16">
        <f t="shared" si="334"/>
        <v>86.999999999999332</v>
      </c>
      <c r="BZ912" s="16">
        <f t="shared" si="335"/>
        <v>3.6032437168111212E-3</v>
      </c>
      <c r="CA912" s="16">
        <f t="shared" si="343"/>
        <v>-999</v>
      </c>
      <c r="CE912" s="16" t="e">
        <f t="shared" si="336"/>
        <v>#N/A</v>
      </c>
      <c r="CF912" s="16">
        <f t="shared" si="337"/>
        <v>99</v>
      </c>
      <c r="CG912" s="16">
        <f t="shared" si="338"/>
        <v>0</v>
      </c>
      <c r="CH912" s="16">
        <f t="shared" si="344"/>
        <v>0</v>
      </c>
      <c r="CJ912" s="16" t="e">
        <f t="shared" si="339"/>
        <v>#N/A</v>
      </c>
      <c r="CK912" s="16" t="str">
        <f t="shared" si="340"/>
        <v/>
      </c>
    </row>
    <row r="913" spans="73:89" ht="12" customHeight="1">
      <c r="BU913" s="16">
        <f t="shared" si="341"/>
        <v>0</v>
      </c>
      <c r="BV913" s="16">
        <f>IF($BY$12=1,NORMDIST(BY913,$Y$6,$Y$8,TRUE),IF($BY$12=2,IF(BY913&lt;=$BX$31,0,IF(BY913&gt;=$BX$32,1,(BY913-$BX$31)*$BX$33)),SUM($BU$42:BU913)/$BV$40))</f>
        <v>0.9682018867113924</v>
      </c>
      <c r="BW913" s="16">
        <f t="shared" si="342"/>
        <v>0.31094898273871641</v>
      </c>
      <c r="BX913" s="16">
        <f>IF($BY$12&lt;3,BV913,SUM($BZ$42:BZ913)/$BX$40)</f>
        <v>0.9682018867113924</v>
      </c>
      <c r="BY913" s="16">
        <f t="shared" si="334"/>
        <v>87.099999999999326</v>
      </c>
      <c r="BZ913" s="16">
        <f t="shared" si="335"/>
        <v>3.5700227639347739E-3</v>
      </c>
      <c r="CA913" s="16">
        <f t="shared" si="343"/>
        <v>-999</v>
      </c>
      <c r="CE913" s="16" t="e">
        <f t="shared" si="336"/>
        <v>#N/A</v>
      </c>
      <c r="CF913" s="16">
        <f t="shared" si="337"/>
        <v>99</v>
      </c>
      <c r="CG913" s="16">
        <f t="shared" si="338"/>
        <v>0</v>
      </c>
      <c r="CH913" s="16">
        <f t="shared" si="344"/>
        <v>0</v>
      </c>
      <c r="CJ913" s="16" t="e">
        <f t="shared" si="339"/>
        <v>#N/A</v>
      </c>
      <c r="CK913" s="16" t="str">
        <f t="shared" si="340"/>
        <v/>
      </c>
    </row>
    <row r="914" spans="73:89" ht="12" customHeight="1">
      <c r="BU914" s="16">
        <f t="shared" si="341"/>
        <v>0</v>
      </c>
      <c r="BV914" s="16">
        <f>IF($BY$12=1,NORMDIST(BY914,$Y$6,$Y$8,TRUE),IF($BY$12=2,IF(BY914&lt;=$BX$31,0,IF(BY914&gt;=$BX$32,1,(BY914-$BX$31)*$BX$33)),SUM($BU$42:BU914)/$BV$40))</f>
        <v>0.96855723701924501</v>
      </c>
      <c r="BW914" s="16">
        <f t="shared" si="342"/>
        <v>0.30842811547246463</v>
      </c>
      <c r="BX914" s="16">
        <f>IF($BY$12&lt;3,BV914,SUM($BZ$42:BZ914)/$BX$40)</f>
        <v>0.96855723701924501</v>
      </c>
      <c r="BY914" s="16">
        <f t="shared" si="334"/>
        <v>87.199999999999321</v>
      </c>
      <c r="BZ914" s="16">
        <f t="shared" si="335"/>
        <v>3.5370196728493927E-3</v>
      </c>
      <c r="CA914" s="16">
        <f t="shared" si="343"/>
        <v>-999</v>
      </c>
      <c r="CE914" s="16" t="e">
        <f t="shared" si="336"/>
        <v>#N/A</v>
      </c>
      <c r="CF914" s="16">
        <f t="shared" si="337"/>
        <v>99</v>
      </c>
      <c r="CG914" s="16">
        <f t="shared" si="338"/>
        <v>0</v>
      </c>
      <c r="CH914" s="16">
        <f t="shared" si="344"/>
        <v>0</v>
      </c>
      <c r="CJ914" s="16" t="e">
        <f t="shared" si="339"/>
        <v>#N/A</v>
      </c>
      <c r="CK914" s="16" t="str">
        <f t="shared" si="340"/>
        <v/>
      </c>
    </row>
    <row r="915" spans="73:89" ht="12" customHeight="1">
      <c r="BU915" s="16">
        <f t="shared" si="341"/>
        <v>0</v>
      </c>
      <c r="BV915" s="16">
        <f>IF($BY$12=1,NORMDIST(BY915,$Y$6,$Y$8,TRUE),IF($BY$12=2,IF(BY915&lt;=$BX$31,0,IF(BY915&gt;=$BX$32,1,(BY915-$BX$31)*$BX$33)),SUM($BU$42:BU915)/$BV$40))</f>
        <v>0.96890929789565217</v>
      </c>
      <c r="BW915" s="16">
        <f t="shared" si="342"/>
        <v>0.30591963448885295</v>
      </c>
      <c r="BX915" s="16">
        <f>IF($BY$12&lt;3,BV915,SUM($BZ$42:BZ915)/$BX$40)</f>
        <v>0.96890929789565217</v>
      </c>
      <c r="BY915" s="16">
        <f t="shared" si="334"/>
        <v>87.299999999999315</v>
      </c>
      <c r="BZ915" s="16">
        <f t="shared" si="335"/>
        <v>3.5042340720372895E-3</v>
      </c>
      <c r="CA915" s="16">
        <f t="shared" si="343"/>
        <v>-999</v>
      </c>
      <c r="CE915" s="16" t="e">
        <f t="shared" si="336"/>
        <v>#N/A</v>
      </c>
      <c r="CF915" s="16">
        <f t="shared" si="337"/>
        <v>99</v>
      </c>
      <c r="CG915" s="16">
        <f t="shared" si="338"/>
        <v>0</v>
      </c>
      <c r="CH915" s="16">
        <f t="shared" si="344"/>
        <v>0</v>
      </c>
      <c r="CJ915" s="16" t="e">
        <f t="shared" si="339"/>
        <v>#N/A</v>
      </c>
      <c r="CK915" s="16" t="str">
        <f t="shared" si="340"/>
        <v/>
      </c>
    </row>
    <row r="916" spans="73:89" ht="12" customHeight="1">
      <c r="BU916" s="16">
        <f t="shared" si="341"/>
        <v>0</v>
      </c>
      <c r="BV916" s="16">
        <f>IF($BY$12=1,NORMDIST(BY916,$Y$6,$Y$8,TRUE),IF($BY$12=2,IF(BY916&lt;=$BX$31,0,IF(BY916&gt;=$BX$32,1,(BY916-$BX$31)*$BX$33)),SUM($BU$42:BU916)/$BV$40))</f>
        <v>0.96925809107053174</v>
      </c>
      <c r="BW916" s="16">
        <f t="shared" si="342"/>
        <v>0.3034235714458734</v>
      </c>
      <c r="BX916" s="16">
        <f>IF($BY$12&lt;3,BV916,SUM($BZ$42:BZ916)/$BX$40)</f>
        <v>0.96925809107053174</v>
      </c>
      <c r="BY916" s="16">
        <f t="shared" si="334"/>
        <v>87.399999999999309</v>
      </c>
      <c r="BZ916" s="16">
        <f t="shared" si="335"/>
        <v>3.4716655771839335E-3</v>
      </c>
      <c r="CA916" s="16">
        <f t="shared" si="343"/>
        <v>-999</v>
      </c>
      <c r="CE916" s="16" t="e">
        <f t="shared" si="336"/>
        <v>#N/A</v>
      </c>
      <c r="CF916" s="16">
        <f t="shared" si="337"/>
        <v>99</v>
      </c>
      <c r="CG916" s="16">
        <f t="shared" si="338"/>
        <v>0</v>
      </c>
      <c r="CH916" s="16">
        <f t="shared" si="344"/>
        <v>0</v>
      </c>
      <c r="CJ916" s="16" t="e">
        <f t="shared" si="339"/>
        <v>#N/A</v>
      </c>
      <c r="CK916" s="16" t="str">
        <f t="shared" si="340"/>
        <v/>
      </c>
    </row>
    <row r="917" spans="73:89" ht="12" customHeight="1">
      <c r="BU917" s="16">
        <f t="shared" si="341"/>
        <v>0</v>
      </c>
      <c r="BV917" s="16">
        <f>IF($BY$12=1,NORMDIST(BY917,$Y$6,$Y$8,TRUE),IF($BY$12=2,IF(BY917&lt;=$BX$31,0,IF(BY917&gt;=$BX$32,1,(BY917-$BX$31)*$BX$33)),SUM($BU$42:BU917)/$BV$40))</f>
        <v>0.96960363823473616</v>
      </c>
      <c r="BW917" s="16">
        <f t="shared" si="342"/>
        <v>0.30093995674179425</v>
      </c>
      <c r="BX917" s="16">
        <f>IF($BY$12&lt;3,BV917,SUM($BZ$42:BZ917)/$BX$40)</f>
        <v>0.96960363823473616</v>
      </c>
      <c r="BY917" s="16">
        <f t="shared" si="334"/>
        <v>87.499999999999304</v>
      </c>
      <c r="BZ917" s="16">
        <f t="shared" si="335"/>
        <v>3.4393137913348187E-3</v>
      </c>
      <c r="CA917" s="16">
        <f t="shared" si="343"/>
        <v>-999</v>
      </c>
      <c r="CE917" s="16" t="e">
        <f t="shared" si="336"/>
        <v>#N/A</v>
      </c>
      <c r="CF917" s="16">
        <f t="shared" si="337"/>
        <v>99</v>
      </c>
      <c r="CG917" s="16">
        <f t="shared" si="338"/>
        <v>0</v>
      </c>
      <c r="CH917" s="16">
        <f t="shared" si="344"/>
        <v>0</v>
      </c>
      <c r="CJ917" s="16" t="e">
        <f t="shared" si="339"/>
        <v>#N/A</v>
      </c>
      <c r="CK917" s="16" t="str">
        <f t="shared" si="340"/>
        <v/>
      </c>
    </row>
    <row r="918" spans="73:89" ht="12" customHeight="1">
      <c r="BU918" s="16">
        <f t="shared" si="341"/>
        <v>0</v>
      </c>
      <c r="BV918" s="16">
        <f>IF($BY$12=1,NORMDIST(BY918,$Y$6,$Y$8,TRUE),IF($BY$12=2,IF(BY918&lt;=$BX$31,0,IF(BY918&gt;=$BX$32,1,(BY918-$BX$31)*$BX$33)),SUM($BU$42:BU918)/$BV$40))</f>
        <v>0.96994596103879771</v>
      </c>
      <c r="BW918" s="16">
        <f t="shared" si="342"/>
        <v>0.29846881952259241</v>
      </c>
      <c r="BX918" s="16">
        <f>IF($BY$12&lt;3,BV918,SUM($BZ$42:BZ918)/$BX$40)</f>
        <v>0.96994596103879771</v>
      </c>
      <c r="BY918" s="16">
        <f t="shared" ref="BY918:BY981" si="345">BY917+$BZ$1</f>
        <v>87.599999999999298</v>
      </c>
      <c r="BZ918" s="16">
        <f t="shared" si="335"/>
        <v>3.4071783050524523E-3</v>
      </c>
      <c r="CA918" s="16">
        <f t="shared" si="343"/>
        <v>-999</v>
      </c>
      <c r="CE918" s="16" t="e">
        <f t="shared" si="336"/>
        <v>#N/A</v>
      </c>
      <c r="CF918" s="16">
        <f t="shared" si="337"/>
        <v>99</v>
      </c>
      <c r="CG918" s="16">
        <f t="shared" si="338"/>
        <v>0</v>
      </c>
      <c r="CH918" s="16">
        <f t="shared" si="344"/>
        <v>0</v>
      </c>
      <c r="CJ918" s="16" t="e">
        <f t="shared" si="339"/>
        <v>#N/A</v>
      </c>
      <c r="CK918" s="16" t="str">
        <f t="shared" si="340"/>
        <v/>
      </c>
    </row>
    <row r="919" spans="73:89" ht="12" customHeight="1">
      <c r="BU919" s="16">
        <f t="shared" si="341"/>
        <v>0</v>
      </c>
      <c r="BV919" s="16">
        <f>IF($BY$12=1,NORMDIST(BY919,$Y$6,$Y$8,TRUE),IF($BY$12=2,IF(BY919&lt;=$BX$31,0,IF(BY919&gt;=$BX$32,1,(BY919-$BX$31)*$BX$33)),SUM($BU$42:BU919)/$BV$40))</f>
        <v>0.97028508109168699</v>
      </c>
      <c r="BW919" s="16">
        <f t="shared" si="342"/>
        <v>0.29601018768948756</v>
      </c>
      <c r="BX919" s="16">
        <f>IF($BY$12&lt;3,BV919,SUM($BZ$42:BZ919)/$BX$40)</f>
        <v>0.97028508109168699</v>
      </c>
      <c r="BY919" s="16">
        <f t="shared" si="345"/>
        <v>87.699999999999292</v>
      </c>
      <c r="BZ919" s="16">
        <f t="shared" si="335"/>
        <v>3.3752586965734317E-3</v>
      </c>
      <c r="CA919" s="16">
        <f t="shared" si="343"/>
        <v>-999</v>
      </c>
      <c r="CE919" s="16" t="e">
        <f t="shared" si="336"/>
        <v>#N/A</v>
      </c>
      <c r="CF919" s="16">
        <f t="shared" si="337"/>
        <v>99</v>
      </c>
      <c r="CG919" s="16">
        <f t="shared" si="338"/>
        <v>0</v>
      </c>
      <c r="CH919" s="16">
        <f t="shared" si="344"/>
        <v>0</v>
      </c>
      <c r="CJ919" s="16" t="e">
        <f t="shared" si="339"/>
        <v>#N/A</v>
      </c>
      <c r="CK919" s="16" t="str">
        <f t="shared" si="340"/>
        <v/>
      </c>
    </row>
    <row r="920" spans="73:89" ht="12" customHeight="1">
      <c r="BU920" s="16">
        <f t="shared" si="341"/>
        <v>0</v>
      </c>
      <c r="BV920" s="16">
        <f>IF($BY$12=1,NORMDIST(BY920,$Y$6,$Y$8,TRUE),IF($BY$12=2,IF(BY920&lt;=$BX$31,0,IF(BY920&gt;=$BX$32,1,(BY920-$BX$31)*$BX$33)),SUM($BU$42:BU920)/$BV$40))</f>
        <v>0.97062101995958816</v>
      </c>
      <c r="BW920" s="16">
        <f t="shared" si="342"/>
        <v>0.29356408790657573</v>
      </c>
      <c r="BX920" s="16">
        <f>IF($BY$12&lt;3,BV920,SUM($BZ$42:BZ920)/$BX$40)</f>
        <v>0.97062101995958816</v>
      </c>
      <c r="BY920" s="16">
        <f t="shared" si="345"/>
        <v>87.799999999999287</v>
      </c>
      <c r="BZ920" s="16">
        <f t="shared" si="335"/>
        <v>3.3435545319655821E-3</v>
      </c>
      <c r="CA920" s="16">
        <f t="shared" si="343"/>
        <v>-999</v>
      </c>
      <c r="CE920" s="16" t="e">
        <f t="shared" si="336"/>
        <v>#N/A</v>
      </c>
      <c r="CF920" s="16">
        <f t="shared" si="337"/>
        <v>99</v>
      </c>
      <c r="CG920" s="16">
        <f t="shared" si="338"/>
        <v>0</v>
      </c>
      <c r="CH920" s="16">
        <f t="shared" si="344"/>
        <v>0</v>
      </c>
      <c r="CJ920" s="16" t="e">
        <f t="shared" si="339"/>
        <v>#N/A</v>
      </c>
      <c r="CK920" s="16" t="str">
        <f t="shared" si="340"/>
        <v/>
      </c>
    </row>
    <row r="921" spans="73:89" ht="12" customHeight="1">
      <c r="BU921" s="16">
        <f t="shared" si="341"/>
        <v>0</v>
      </c>
      <c r="BV921" s="16">
        <f>IF($BY$12=1,NORMDIST(BY921,$Y$6,$Y$8,TRUE),IF($BY$12=2,IF(BY921&lt;=$BX$31,0,IF(BY921&gt;=$BX$32,1,(BY921-$BX$31)*$BX$33)),SUM($BU$42:BU921)/$BV$40))</f>
        <v>0.97095379916469082</v>
      </c>
      <c r="BW921" s="16">
        <f t="shared" si="342"/>
        <v>0.29113054560856338</v>
      </c>
      <c r="BX921" s="16">
        <f>IF($BY$12&lt;3,BV921,SUM($BZ$42:BZ921)/$BX$40)</f>
        <v>0.97095379916469082</v>
      </c>
      <c r="BY921" s="16">
        <f t="shared" si="345"/>
        <v>87.899999999999281</v>
      </c>
      <c r="BZ921" s="16">
        <f t="shared" si="335"/>
        <v>3.3120653652851622E-3</v>
      </c>
      <c r="CA921" s="16">
        <f t="shared" si="343"/>
        <v>-999</v>
      </c>
      <c r="CE921" s="16" t="e">
        <f t="shared" si="336"/>
        <v>#N/A</v>
      </c>
      <c r="CF921" s="16">
        <f t="shared" si="337"/>
        <v>99</v>
      </c>
      <c r="CG921" s="16">
        <f t="shared" si="338"/>
        <v>0</v>
      </c>
      <c r="CH921" s="16">
        <f t="shared" si="344"/>
        <v>0</v>
      </c>
      <c r="CJ921" s="16" t="e">
        <f t="shared" si="339"/>
        <v>#N/A</v>
      </c>
      <c r="CK921" s="16" t="str">
        <f t="shared" si="340"/>
        <v/>
      </c>
    </row>
    <row r="922" spans="73:89" ht="12" customHeight="1">
      <c r="BU922" s="16">
        <f t="shared" si="341"/>
        <v>0</v>
      </c>
      <c r="BV922" s="16">
        <f>IF($BY$12=1,NORMDIST(BY922,$Y$6,$Y$8,TRUE),IF($BY$12=2,IF(BY922&lt;=$BX$31,0,IF(BY922&gt;=$BX$32,1,(BY922-$BX$31)*$BX$33)),SUM($BU$42:BU922)/$BV$40))</f>
        <v>0.97128344018399559</v>
      </c>
      <c r="BW922" s="16">
        <f t="shared" si="342"/>
        <v>0.28870958500859439</v>
      </c>
      <c r="BX922" s="16">
        <f>IF($BY$12&lt;3,BV922,SUM($BZ$42:BZ922)/$BX$40)</f>
        <v>0.97128344018399559</v>
      </c>
      <c r="BY922" s="16">
        <f t="shared" si="345"/>
        <v>87.999999999999275</v>
      </c>
      <c r="BZ922" s="16">
        <f t="shared" si="335"/>
        <v>3.2807907387340544E-3</v>
      </c>
      <c r="CA922" s="16">
        <f t="shared" si="343"/>
        <v>-999</v>
      </c>
      <c r="CE922" s="16" t="e">
        <f t="shared" si="336"/>
        <v>#N/A</v>
      </c>
      <c r="CF922" s="16">
        <f t="shared" si="337"/>
        <v>99</v>
      </c>
      <c r="CG922" s="16">
        <f t="shared" si="338"/>
        <v>0</v>
      </c>
      <c r="CH922" s="16">
        <f t="shared" si="344"/>
        <v>0</v>
      </c>
      <c r="CJ922" s="16" t="e">
        <f t="shared" si="339"/>
        <v>#N/A</v>
      </c>
      <c r="CK922" s="16" t="str">
        <f t="shared" si="340"/>
        <v/>
      </c>
    </row>
    <row r="923" spans="73:89" ht="12" customHeight="1">
      <c r="BU923" s="16">
        <f t="shared" si="341"/>
        <v>0</v>
      </c>
      <c r="BV923" s="16">
        <f>IF($BY$12=1,NORMDIST(BY923,$Y$6,$Y$8,TRUE),IF($BY$12=2,IF(BY923&lt;=$BX$31,0,IF(BY923&gt;=$BX$32,1,(BY923-$BX$31)*$BX$33)),SUM($BU$42:BU923)/$BV$40))</f>
        <v>0.97160996444813819</v>
      </c>
      <c r="BW923" s="16">
        <f t="shared" si="342"/>
        <v>0.28630122910617412</v>
      </c>
      <c r="BX923" s="16">
        <f>IF($BY$12&lt;3,BV923,SUM($BZ$42:BZ923)/$BX$40)</f>
        <v>0.97160996444813819</v>
      </c>
      <c r="BY923" s="16">
        <f t="shared" si="345"/>
        <v>88.09999999999927</v>
      </c>
      <c r="BZ923" s="16">
        <f t="shared" si="335"/>
        <v>3.2497301828169865E-3</v>
      </c>
      <c r="CA923" s="16">
        <f t="shared" si="343"/>
        <v>-999</v>
      </c>
      <c r="CE923" s="16" t="e">
        <f t="shared" si="336"/>
        <v>#N/A</v>
      </c>
      <c r="CF923" s="16">
        <f t="shared" si="337"/>
        <v>99</v>
      </c>
      <c r="CG923" s="16">
        <f t="shared" si="338"/>
        <v>0</v>
      </c>
      <c r="CH923" s="16">
        <f t="shared" si="344"/>
        <v>0</v>
      </c>
      <c r="CJ923" s="16" t="e">
        <f t="shared" si="339"/>
        <v>#N/A</v>
      </c>
      <c r="CK923" s="16" t="str">
        <f t="shared" si="340"/>
        <v/>
      </c>
    </row>
    <row r="924" spans="73:89" ht="12" customHeight="1">
      <c r="BU924" s="16">
        <f t="shared" si="341"/>
        <v>0</v>
      </c>
      <c r="BV924" s="16">
        <f>IF($BY$12=1,NORMDIST(BY924,$Y$6,$Y$8,TRUE),IF($BY$12=2,IF(BY924&lt;=$BX$31,0,IF(BY924&gt;=$BX$32,1,(BY924-$BX$31)*$BX$33)),SUM($BU$42:BU924)/$BV$40))</f>
        <v>0.9719333933402251</v>
      </c>
      <c r="BW924" s="16">
        <f t="shared" si="342"/>
        <v>0.28390549969518236</v>
      </c>
      <c r="BX924" s="16">
        <f>IF($BY$12&lt;3,BV924,SUM($BZ$42:BZ924)/$BX$40)</f>
        <v>0.9719333933402251</v>
      </c>
      <c r="BY924" s="16">
        <f t="shared" si="345"/>
        <v>88.199999999999264</v>
      </c>
      <c r="BZ924" s="16">
        <f t="shared" si="335"/>
        <v>3.2188832164986932E-3</v>
      </c>
      <c r="CA924" s="16">
        <f t="shared" si="343"/>
        <v>-999</v>
      </c>
      <c r="CE924" s="16" t="e">
        <f t="shared" si="336"/>
        <v>#N/A</v>
      </c>
      <c r="CF924" s="16">
        <f t="shared" si="337"/>
        <v>99</v>
      </c>
      <c r="CG924" s="16">
        <f t="shared" si="338"/>
        <v>0</v>
      </c>
      <c r="CH924" s="16">
        <f t="shared" si="344"/>
        <v>0</v>
      </c>
      <c r="CJ924" s="16" t="e">
        <f t="shared" si="339"/>
        <v>#N/A</v>
      </c>
      <c r="CK924" s="16" t="str">
        <f t="shared" si="340"/>
        <v/>
      </c>
    </row>
    <row r="925" spans="73:89" ht="12" customHeight="1">
      <c r="BU925" s="16">
        <f t="shared" si="341"/>
        <v>0</v>
      </c>
      <c r="BV925" s="16">
        <f>IF($BY$12=1,NORMDIST(BY925,$Y$6,$Y$8,TRUE),IF($BY$12=2,IF(BY925&lt;=$BX$31,0,IF(BY925&gt;=$BX$32,1,(BY925-$BX$31)*$BX$33)),SUM($BU$42:BU925)/$BV$40))</f>
        <v>0.97225374819468968</v>
      </c>
      <c r="BW925" s="16">
        <f t="shared" si="342"/>
        <v>0.28152241737197908</v>
      </c>
      <c r="BX925" s="16">
        <f>IF($BY$12&lt;3,BV925,SUM($BZ$42:BZ925)/$BX$40)</f>
        <v>0.97225374819468968</v>
      </c>
      <c r="BY925" s="16">
        <f t="shared" si="345"/>
        <v>88.299999999999258</v>
      </c>
      <c r="BZ925" s="16">
        <f t="shared" si="335"/>
        <v>3.1882493473610581E-3</v>
      </c>
      <c r="CA925" s="16">
        <f t="shared" si="343"/>
        <v>-999</v>
      </c>
      <c r="CE925" s="16" t="e">
        <f t="shared" si="336"/>
        <v>#N/A</v>
      </c>
      <c r="CF925" s="16">
        <f t="shared" si="337"/>
        <v>99</v>
      </c>
      <c r="CG925" s="16">
        <f t="shared" si="338"/>
        <v>0</v>
      </c>
      <c r="CH925" s="16">
        <f t="shared" si="344"/>
        <v>0</v>
      </c>
      <c r="CJ925" s="16" t="e">
        <f t="shared" si="339"/>
        <v>#N/A</v>
      </c>
      <c r="CK925" s="16" t="str">
        <f t="shared" si="340"/>
        <v/>
      </c>
    </row>
    <row r="926" spans="73:89" ht="12" customHeight="1">
      <c r="BU926" s="16">
        <f t="shared" si="341"/>
        <v>0</v>
      </c>
      <c r="BV926" s="16">
        <f>IF($BY$12=1,NORMDIST(BY926,$Y$6,$Y$8,TRUE),IF($BY$12=2,IF(BY926&lt;=$BX$31,0,IF(BY926&gt;=$BX$32,1,(BY926-$BX$31)*$BX$33)),SUM($BU$42:BU926)/$BV$40))</f>
        <v>0.97257105029616087</v>
      </c>
      <c r="BW926" s="16">
        <f t="shared" si="342"/>
        <v>0.27915200154359565</v>
      </c>
      <c r="BX926" s="16">
        <f>IF($BY$12&lt;3,BV926,SUM($BZ$42:BZ926)/$BX$40)</f>
        <v>0.97257105029616087</v>
      </c>
      <c r="BY926" s="16">
        <f t="shared" si="345"/>
        <v>88.399999999999253</v>
      </c>
      <c r="BZ926" s="16">
        <f t="shared" si="335"/>
        <v>3.1578280717601587E-3</v>
      </c>
      <c r="CA926" s="16">
        <f t="shared" si="343"/>
        <v>-999</v>
      </c>
      <c r="CE926" s="16" t="e">
        <f t="shared" si="336"/>
        <v>#N/A</v>
      </c>
      <c r="CF926" s="16">
        <f t="shared" si="337"/>
        <v>99</v>
      </c>
      <c r="CG926" s="16">
        <f t="shared" si="338"/>
        <v>0</v>
      </c>
      <c r="CH926" s="16">
        <f t="shared" si="344"/>
        <v>0</v>
      </c>
      <c r="CJ926" s="16" t="e">
        <f t="shared" si="339"/>
        <v>#N/A</v>
      </c>
      <c r="CK926" s="16" t="str">
        <f t="shared" si="340"/>
        <v/>
      </c>
    </row>
    <row r="927" spans="73:89" ht="12" customHeight="1">
      <c r="BU927" s="16">
        <f t="shared" si="341"/>
        <v>0</v>
      </c>
      <c r="BV927" s="16">
        <f>IF($BY$12=1,NORMDIST(BY927,$Y$6,$Y$8,TRUE),IF($BY$12=2,IF(BY927&lt;=$BX$31,0,IF(BY927&gt;=$BX$32,1,(BY927-$BX$31)*$BX$33)),SUM($BU$42:BU927)/$BV$40))</f>
        <v>0.972885320878348</v>
      </c>
      <c r="BW927" s="16">
        <f t="shared" si="342"/>
        <v>0.27679427043601312</v>
      </c>
      <c r="BX927" s="16">
        <f>IF($BY$12&lt;3,BV927,SUM($BZ$42:BZ927)/$BX$40)</f>
        <v>0.972885320878348</v>
      </c>
      <c r="BY927" s="16">
        <f t="shared" si="345"/>
        <v>88.499999999999247</v>
      </c>
      <c r="BZ927" s="16">
        <f t="shared" si="335"/>
        <v>3.1276188749832256E-3</v>
      </c>
      <c r="CA927" s="16">
        <f t="shared" si="343"/>
        <v>-999</v>
      </c>
      <c r="CE927" s="16" t="e">
        <f t="shared" si="336"/>
        <v>#N/A</v>
      </c>
      <c r="CF927" s="16">
        <f t="shared" si="337"/>
        <v>99</v>
      </c>
      <c r="CG927" s="16">
        <f t="shared" si="338"/>
        <v>0</v>
      </c>
      <c r="CH927" s="16">
        <f t="shared" si="344"/>
        <v>0</v>
      </c>
      <c r="CJ927" s="16" t="e">
        <f t="shared" si="339"/>
        <v>#N/A</v>
      </c>
      <c r="CK927" s="16" t="str">
        <f t="shared" si="340"/>
        <v/>
      </c>
    </row>
    <row r="928" spans="73:89" ht="12" customHeight="1">
      <c r="BU928" s="16">
        <f t="shared" si="341"/>
        <v>0</v>
      </c>
      <c r="BV928" s="16">
        <f>IF($BY$12=1,NORMDIST(BY928,$Y$6,$Y$8,TRUE),IF($BY$12=2,IF(BY928&lt;=$BX$31,0,IF(BY928&gt;=$BX$32,1,(BY928-$BX$31)*$BX$33)),SUM($BU$42:BU928)/$BV$40))</f>
        <v>0.97319658112294261</v>
      </c>
      <c r="BW928" s="16">
        <f t="shared" si="342"/>
        <v>0.27444924110252361</v>
      </c>
      <c r="BX928" s="16">
        <f>IF($BY$12&lt;3,BV928,SUM($BZ$42:BZ928)/$BX$40)</f>
        <v>0.97319658112294261</v>
      </c>
      <c r="BY928" s="16">
        <f t="shared" si="345"/>
        <v>88.599999999999241</v>
      </c>
      <c r="BZ928" s="16">
        <f t="shared" si="335"/>
        <v>3.0976212314054847E-3</v>
      </c>
      <c r="CA928" s="16">
        <f t="shared" si="343"/>
        <v>-999</v>
      </c>
      <c r="CE928" s="16" t="e">
        <f t="shared" si="336"/>
        <v>#N/A</v>
      </c>
      <c r="CF928" s="16">
        <f t="shared" si="337"/>
        <v>99</v>
      </c>
      <c r="CG928" s="16">
        <f t="shared" si="338"/>
        <v>0</v>
      </c>
      <c r="CH928" s="16">
        <f t="shared" si="344"/>
        <v>0</v>
      </c>
      <c r="CJ928" s="16" t="e">
        <f t="shared" si="339"/>
        <v>#N/A</v>
      </c>
      <c r="CK928" s="16" t="str">
        <f t="shared" si="340"/>
        <v/>
      </c>
    </row>
    <row r="929" spans="73:89" ht="12" customHeight="1">
      <c r="BU929" s="16">
        <f t="shared" si="341"/>
        <v>0</v>
      </c>
      <c r="BV929" s="16">
        <f>IF($BY$12=1,NORMDIST(BY929,$Y$6,$Y$8,TRUE),IF($BY$12=2,IF(BY929&lt;=$BX$31,0,IF(BY929&gt;=$BX$32,1,(BY929-$BX$31)*$BX$33)),SUM($BU$42:BU929)/$BV$40))</f>
        <v>0.97350485215853455</v>
      </c>
      <c r="BW929" s="16">
        <f t="shared" si="342"/>
        <v>0.2721169294321733</v>
      </c>
      <c r="BX929" s="16">
        <f>IF($BY$12&lt;3,BV929,SUM($BZ$42:BZ929)/$BX$40)</f>
        <v>0.97350485215853455</v>
      </c>
      <c r="BY929" s="16">
        <f t="shared" si="345"/>
        <v>88.699999999999235</v>
      </c>
      <c r="BZ929" s="16">
        <f t="shared" si="335"/>
        <v>3.0678346046468506E-3</v>
      </c>
      <c r="CA929" s="16">
        <f t="shared" si="343"/>
        <v>-999</v>
      </c>
      <c r="CE929" s="16" t="e">
        <f t="shared" si="336"/>
        <v>#N/A</v>
      </c>
      <c r="CF929" s="16">
        <f t="shared" si="337"/>
        <v>99</v>
      </c>
      <c r="CG929" s="16">
        <f t="shared" si="338"/>
        <v>0</v>
      </c>
      <c r="CH929" s="16">
        <f t="shared" si="344"/>
        <v>0</v>
      </c>
      <c r="CJ929" s="16" t="e">
        <f t="shared" si="339"/>
        <v>#N/A</v>
      </c>
      <c r="CK929" s="16" t="str">
        <f t="shared" si="340"/>
        <v/>
      </c>
    </row>
    <row r="930" spans="73:89" ht="12" customHeight="1">
      <c r="BU930" s="16">
        <f t="shared" si="341"/>
        <v>0</v>
      </c>
      <c r="BV930" s="16">
        <f>IF($BY$12=1,NORMDIST(BY930,$Y$6,$Y$8,TRUE),IF($BY$12=2,IF(BY930&lt;=$BX$31,0,IF(BY930&gt;=$BX$32,1,(BY930-$BX$31)*$BX$33)),SUM($BU$42:BU930)/$BV$40))</f>
        <v>0.97381015505954494</v>
      </c>
      <c r="BW930" s="16">
        <f t="shared" si="342"/>
        <v>0.26979735015828543</v>
      </c>
      <c r="BX930" s="16">
        <f>IF($BY$12&lt;3,BV930,SUM($BZ$42:BZ930)/$BX$40)</f>
        <v>0.97381015505954494</v>
      </c>
      <c r="BY930" s="16">
        <f t="shared" si="345"/>
        <v>88.79999999999923</v>
      </c>
      <c r="BZ930" s="16">
        <f t="shared" si="335"/>
        <v>3.0382584477284657E-3</v>
      </c>
      <c r="CA930" s="16">
        <f t="shared" si="343"/>
        <v>-999</v>
      </c>
      <c r="CE930" s="16" t="e">
        <f t="shared" si="336"/>
        <v>#N/A</v>
      </c>
      <c r="CF930" s="16">
        <f t="shared" si="337"/>
        <v>99</v>
      </c>
      <c r="CG930" s="16">
        <f t="shared" si="338"/>
        <v>0</v>
      </c>
      <c r="CH930" s="16">
        <f t="shared" si="344"/>
        <v>0</v>
      </c>
      <c r="CJ930" s="16" t="e">
        <f t="shared" si="339"/>
        <v>#N/A</v>
      </c>
      <c r="CK930" s="16" t="str">
        <f t="shared" si="340"/>
        <v/>
      </c>
    </row>
    <row r="931" spans="73:89" ht="12" customHeight="1">
      <c r="BU931" s="16">
        <f t="shared" si="341"/>
        <v>0</v>
      </c>
      <c r="BV931" s="16">
        <f>IF($BY$12=1,NORMDIST(BY931,$Y$6,$Y$8,TRUE),IF($BY$12=2,IF(BY931&lt;=$BX$31,0,IF(BY931&gt;=$BX$32,1,(BY931-$BX$31)*$BX$33)),SUM($BU$42:BU931)/$BV$40))</f>
        <v>0.97411251084517259</v>
      </c>
      <c r="BW931" s="16">
        <f t="shared" si="342"/>
        <v>0.26749051686705994</v>
      </c>
      <c r="BX931" s="16">
        <f>IF($BY$12&lt;3,BV931,SUM($BZ$42:BZ931)/$BX$40)</f>
        <v>0.97411251084517259</v>
      </c>
      <c r="BY931" s="16">
        <f t="shared" si="345"/>
        <v>88.899999999999224</v>
      </c>
      <c r="BZ931" s="16">
        <f t="shared" si="335"/>
        <v>3.0088922032290469E-3</v>
      </c>
      <c r="CA931" s="16">
        <f t="shared" si="343"/>
        <v>-999</v>
      </c>
      <c r="CE931" s="16" t="e">
        <f t="shared" si="336"/>
        <v>#N/A</v>
      </c>
      <c r="CF931" s="16">
        <f t="shared" si="337"/>
        <v>99</v>
      </c>
      <c r="CG931" s="16">
        <f t="shared" si="338"/>
        <v>0</v>
      </c>
      <c r="CH931" s="16">
        <f t="shared" si="344"/>
        <v>0</v>
      </c>
      <c r="CJ931" s="16" t="e">
        <f t="shared" si="339"/>
        <v>#N/A</v>
      </c>
      <c r="CK931" s="16" t="str">
        <f t="shared" si="340"/>
        <v/>
      </c>
    </row>
    <row r="932" spans="73:89" ht="12" customHeight="1">
      <c r="BU932" s="16">
        <f t="shared" si="341"/>
        <v>0</v>
      </c>
      <c r="BV932" s="16">
        <f>IF($BY$12=1,NORMDIST(BY932,$Y$6,$Y$8,TRUE),IF($BY$12=2,IF(BY932&lt;=$BX$31,0,IF(BY932&gt;=$BX$32,1,(BY932-$BX$31)*$BX$33)),SUM($BU$42:BU932)/$BV$40))</f>
        <v>0.97441194047835888</v>
      </c>
      <c r="BW932" s="16">
        <f t="shared" si="342"/>
        <v>0.26519644200624937</v>
      </c>
      <c r="BX932" s="16">
        <f>IF($BY$12&lt;3,BV932,SUM($BZ$42:BZ932)/$BX$40)</f>
        <v>0.97441194047835888</v>
      </c>
      <c r="BY932" s="16">
        <f t="shared" si="345"/>
        <v>88.999999999999218</v>
      </c>
      <c r="BZ932" s="16">
        <f t="shared" si="335"/>
        <v>2.9797353034410304E-3</v>
      </c>
      <c r="CA932" s="16">
        <f t="shared" si="343"/>
        <v>-999</v>
      </c>
      <c r="CE932" s="16" t="e">
        <f t="shared" si="336"/>
        <v>#N/A</v>
      </c>
      <c r="CF932" s="16">
        <f t="shared" si="337"/>
        <v>99</v>
      </c>
      <c r="CG932" s="16">
        <f t="shared" si="338"/>
        <v>0</v>
      </c>
      <c r="CH932" s="16">
        <f t="shared" si="344"/>
        <v>0</v>
      </c>
      <c r="CJ932" s="16" t="e">
        <f t="shared" si="339"/>
        <v>#N/A</v>
      </c>
      <c r="CK932" s="16" t="str">
        <f t="shared" si="340"/>
        <v/>
      </c>
    </row>
    <row r="933" spans="73:89" ht="12" customHeight="1">
      <c r="BU933" s="16">
        <f t="shared" si="341"/>
        <v>0</v>
      </c>
      <c r="BV933" s="16">
        <f>IF($BY$12=1,NORMDIST(BY933,$Y$6,$Y$8,TRUE),IF($BY$12=2,IF(BY933&lt;=$BX$31,0,IF(BY933&gt;=$BX$32,1,(BY933-$BX$31)*$BX$33)),SUM($BU$42:BU933)/$BV$40))</f>
        <v>0.9747084648647677</v>
      </c>
      <c r="BW933" s="16">
        <f t="shared" si="342"/>
        <v>0.26291513689390794</v>
      </c>
      <c r="BX933" s="16">
        <f>IF($BY$12&lt;3,BV933,SUM($BZ$42:BZ933)/$BX$40)</f>
        <v>0.9747084648647677</v>
      </c>
      <c r="BY933" s="16">
        <f t="shared" si="345"/>
        <v>89.099999999999213</v>
      </c>
      <c r="BZ933" s="16">
        <f t="shared" si="335"/>
        <v>2.9507871705264899E-3</v>
      </c>
      <c r="CA933" s="16">
        <f t="shared" si="343"/>
        <v>-999</v>
      </c>
      <c r="CE933" s="16" t="e">
        <f t="shared" si="336"/>
        <v>#N/A</v>
      </c>
      <c r="CF933" s="16">
        <f t="shared" si="337"/>
        <v>99</v>
      </c>
      <c r="CG933" s="16">
        <f t="shared" si="338"/>
        <v>0</v>
      </c>
      <c r="CH933" s="16">
        <f t="shared" si="344"/>
        <v>0</v>
      </c>
      <c r="CJ933" s="16" t="e">
        <f t="shared" si="339"/>
        <v>#N/A</v>
      </c>
      <c r="CK933" s="16" t="str">
        <f t="shared" si="340"/>
        <v/>
      </c>
    </row>
    <row r="934" spans="73:89" ht="12" customHeight="1">
      <c r="BU934" s="16">
        <f t="shared" si="341"/>
        <v>0</v>
      </c>
      <c r="BV934" s="16">
        <f>IF($BY$12=1,NORMDIST(BY934,$Y$6,$Y$8,TRUE),IF($BY$12=2,IF(BY934&lt;=$BX$31,0,IF(BY934&gt;=$BX$32,1,(BY934-$BX$31)*$BX$33)),SUM($BU$42:BU934)/$BV$40))</f>
        <v>0.97500210485177741</v>
      </c>
      <c r="BW934" s="16">
        <f t="shared" si="342"/>
        <v>0.26064661172721143</v>
      </c>
      <c r="BX934" s="16">
        <f>IF($BY$12&lt;3,BV934,SUM($BZ$42:BZ934)/$BX$40)</f>
        <v>0.97500210485177741</v>
      </c>
      <c r="BY934" s="16">
        <f t="shared" si="345"/>
        <v>89.199999999999207</v>
      </c>
      <c r="BZ934" s="16">
        <f t="shared" si="335"/>
        <v>2.9220472166727996E-3</v>
      </c>
      <c r="CA934" s="16">
        <f t="shared" si="343"/>
        <v>-999</v>
      </c>
      <c r="CE934" s="16" t="e">
        <f t="shared" si="336"/>
        <v>#N/A</v>
      </c>
      <c r="CF934" s="16">
        <f t="shared" si="337"/>
        <v>99</v>
      </c>
      <c r="CG934" s="16">
        <f t="shared" si="338"/>
        <v>0</v>
      </c>
      <c r="CH934" s="16">
        <f t="shared" si="344"/>
        <v>0</v>
      </c>
      <c r="CJ934" s="16" t="e">
        <f t="shared" si="339"/>
        <v>#N/A</v>
      </c>
      <c r="CK934" s="16" t="str">
        <f t="shared" si="340"/>
        <v/>
      </c>
    </row>
    <row r="935" spans="73:89" ht="12" customHeight="1">
      <c r="BU935" s="16">
        <f t="shared" si="341"/>
        <v>0</v>
      </c>
      <c r="BV935" s="16">
        <f>IF($BY$12=1,NORMDIST(BY935,$Y$6,$Y$8,TRUE),IF($BY$12=2,IF(BY935&lt;=$BX$31,0,IF(BY935&gt;=$BX$32,1,(BY935-$BX$31)*$BX$33)),SUM($BU$42:BU935)/$BV$40))</f>
        <v>0.97529288122749369</v>
      </c>
      <c r="BW935" s="16">
        <f t="shared" si="342"/>
        <v>0.25839087559134738</v>
      </c>
      <c r="BX935" s="16">
        <f>IF($BY$12&lt;3,BV935,SUM($BZ$42:BZ935)/$BX$40)</f>
        <v>0.97529288122749369</v>
      </c>
      <c r="BY935" s="16">
        <f t="shared" si="345"/>
        <v>89.299999999999201</v>
      </c>
      <c r="BZ935" s="16">
        <f t="shared" si="335"/>
        <v>2.8935148442480367E-3</v>
      </c>
      <c r="CA935" s="16">
        <f t="shared" si="343"/>
        <v>-999</v>
      </c>
      <c r="CE935" s="16" t="e">
        <f t="shared" si="336"/>
        <v>#N/A</v>
      </c>
      <c r="CF935" s="16">
        <f t="shared" si="337"/>
        <v>99</v>
      </c>
      <c r="CG935" s="16">
        <f t="shared" si="338"/>
        <v>0</v>
      </c>
      <c r="CH935" s="16">
        <f t="shared" si="344"/>
        <v>0</v>
      </c>
      <c r="CJ935" s="16" t="e">
        <f t="shared" si="339"/>
        <v>#N/A</v>
      </c>
      <c r="CK935" s="16" t="str">
        <f t="shared" si="340"/>
        <v/>
      </c>
    </row>
    <row r="936" spans="73:89" ht="12" customHeight="1">
      <c r="BU936" s="16">
        <f t="shared" si="341"/>
        <v>0</v>
      </c>
      <c r="BV936" s="16">
        <f>IF($BY$12=1,NORMDIST(BY936,$Y$6,$Y$8,TRUE),IF($BY$12=2,IF(BY936&lt;=$BX$31,0,IF(BY936&gt;=$BX$32,1,(BY936-$BX$31)*$BX$33)),SUM($BU$42:BU936)/$BV$40))</f>
        <v>0.97558081471977531</v>
      </c>
      <c r="BW936" s="16">
        <f t="shared" si="342"/>
        <v>0.2561479364684715</v>
      </c>
      <c r="BX936" s="16">
        <f>IF($BY$12&lt;3,BV936,SUM($BZ$42:BZ936)/$BX$40)</f>
        <v>0.97558081471977531</v>
      </c>
      <c r="BY936" s="16">
        <f t="shared" si="345"/>
        <v>89.399999999999196</v>
      </c>
      <c r="BZ936" s="16">
        <f t="shared" si="335"/>
        <v>2.8651894459560826E-3</v>
      </c>
      <c r="CA936" s="16">
        <f t="shared" si="343"/>
        <v>-999</v>
      </c>
      <c r="CE936" s="16" t="e">
        <f t="shared" si="336"/>
        <v>#N/A</v>
      </c>
      <c r="CF936" s="16">
        <f t="shared" si="337"/>
        <v>99</v>
      </c>
      <c r="CG936" s="16">
        <f t="shared" si="338"/>
        <v>0</v>
      </c>
      <c r="CH936" s="16">
        <f t="shared" si="344"/>
        <v>0</v>
      </c>
      <c r="CJ936" s="16" t="e">
        <f t="shared" si="339"/>
        <v>#N/A</v>
      </c>
      <c r="CK936" s="16" t="str">
        <f t="shared" si="340"/>
        <v/>
      </c>
    </row>
    <row r="937" spans="73:89" ht="12" customHeight="1">
      <c r="BU937" s="16">
        <f t="shared" si="341"/>
        <v>0</v>
      </c>
      <c r="BV937" s="16">
        <f>IF($BY$12=1,NORMDIST(BY937,$Y$6,$Y$8,TRUE),IF($BY$12=2,IF(BY937&lt;=$BX$31,0,IF(BY937&gt;=$BX$32,1,(BY937-$BX$31)*$BX$33)),SUM($BU$42:BU937)/$BV$40))</f>
        <v>0.97586592599527289</v>
      </c>
      <c r="BW937" s="16">
        <f t="shared" si="342"/>
        <v>0.25391780124673041</v>
      </c>
      <c r="BX937" s="16">
        <f>IF($BY$12&lt;3,BV937,SUM($BZ$42:BZ937)/$BX$40)</f>
        <v>0.97586592599527289</v>
      </c>
      <c r="BY937" s="16">
        <f t="shared" si="345"/>
        <v>89.49999999999919</v>
      </c>
      <c r="BZ937" s="16">
        <f t="shared" si="335"/>
        <v>2.8370704049914268E-3</v>
      </c>
      <c r="CA937" s="16">
        <f t="shared" si="343"/>
        <v>-999</v>
      </c>
      <c r="CE937" s="16" t="e">
        <f t="shared" si="336"/>
        <v>#N/A</v>
      </c>
      <c r="CF937" s="16">
        <f t="shared" si="337"/>
        <v>99</v>
      </c>
      <c r="CG937" s="16">
        <f t="shared" si="338"/>
        <v>0</v>
      </c>
      <c r="CH937" s="16">
        <f t="shared" si="344"/>
        <v>0</v>
      </c>
      <c r="CJ937" s="16" t="e">
        <f t="shared" si="339"/>
        <v>#N/A</v>
      </c>
      <c r="CK937" s="16" t="str">
        <f t="shared" si="340"/>
        <v/>
      </c>
    </row>
    <row r="938" spans="73:89" ht="12" customHeight="1">
      <c r="BU938" s="16">
        <f t="shared" si="341"/>
        <v>0</v>
      </c>
      <c r="BV938" s="16">
        <f>IF($BY$12=1,NORMDIST(BY938,$Y$6,$Y$8,TRUE),IF($BY$12=2,IF(BY938&lt;=$BX$31,0,IF(BY938&gt;=$BX$32,1,(BY938-$BX$31)*$BX$33)),SUM($BU$42:BU938)/$BV$40))</f>
        <v>0.97614823565848918</v>
      </c>
      <c r="BW938" s="16">
        <f t="shared" si="342"/>
        <v>0.25170047572934684</v>
      </c>
      <c r="BX938" s="16">
        <f>IF($BY$12&lt;3,BV938,SUM($BZ$42:BZ938)/$BX$40)</f>
        <v>0.97614823565848918</v>
      </c>
      <c r="BY938" s="16">
        <f t="shared" si="345"/>
        <v>89.599999999999184</v>
      </c>
      <c r="BZ938" s="16">
        <f t="shared" ref="BZ938:BZ1001" si="346">IF($BZ$5,IF($BY$12=1,NORMDIST(BY938,$Y$6,$Y$8,FALSE),IF($BY$12=2,IF(AND(BY938&gt;=$BX$31,BY938&lt;=$BX$32),$BX$33,0),IF(BY938&lt;=$BX$13,0,NORMDIST(LN((BY938-$BX$13)/$BX$12),0,$BW$8,FALSE)/((BY938-$BX$13)/$BX$12)))),-999)</f>
        <v>2.8091570951936286E-3</v>
      </c>
      <c r="CA938" s="16">
        <f t="shared" si="343"/>
        <v>-999</v>
      </c>
      <c r="CE938" s="16" t="e">
        <f t="shared" ref="CE938:CE1001" si="347">IF(AND($CB$7,$CD$2,$CD$1),26+$P$23/2-CC938*$P$23,NA())</f>
        <v>#N/A</v>
      </c>
      <c r="CF938" s="16">
        <f t="shared" ref="CF938:CF1001" si="348">IF(ISNA(CJ938),99,CJ938)</f>
        <v>99</v>
      </c>
      <c r="CG938" s="16">
        <f t="shared" ref="CG938:CG1001" si="349">IF(ISNA(CJ938),0,CJ938)</f>
        <v>0</v>
      </c>
      <c r="CH938" s="16">
        <f t="shared" si="344"/>
        <v>0</v>
      </c>
      <c r="CJ938" s="16" t="e">
        <f t="shared" ref="CJ938:CJ1001" si="350">IF(CH938=1,CE938,NA())</f>
        <v>#N/A</v>
      </c>
      <c r="CK938" s="16" t="str">
        <f t="shared" ref="CK938:CK1001" si="351">IF(CH938=1,M837,"")</f>
        <v/>
      </c>
    </row>
    <row r="939" spans="73:89" ht="12" customHeight="1">
      <c r="BU939" s="16">
        <f t="shared" ref="BU939:BU1002" si="352">IF($BY$12&lt;3,0,IF(BY939&lt;=$BX$13,0,NORMDIST(LN((BY939-$BX$13)/$BX$12),0,$BW$8,FALSE)/((BY939-$BX$13)/$BX$12)))</f>
        <v>0</v>
      </c>
      <c r="BV939" s="16">
        <f>IF($BY$12=1,NORMDIST(BY939,$Y$6,$Y$8,TRUE),IF($BY$12=2,IF(BY939&lt;=$BX$31,0,IF(BY939&gt;=$BX$32,1,(BY939-$BX$31)*$BX$33)),SUM($BU$42:BU939)/$BV$40))</f>
        <v>0.97642776425084854</v>
      </c>
      <c r="BW939" s="16">
        <f t="shared" ref="BW939:BW1002" si="353">BY939*BZ939</f>
        <v>0.24949596464376611</v>
      </c>
      <c r="BX939" s="16">
        <f>IF($BY$12&lt;3,BV939,SUM($BZ$42:BZ939)/$BX$40)</f>
        <v>0.97642776425084854</v>
      </c>
      <c r="BY939" s="16">
        <f t="shared" si="345"/>
        <v>89.699999999999179</v>
      </c>
      <c r="BZ939" s="16">
        <f t="shared" si="346"/>
        <v>2.7814488812014314E-3</v>
      </c>
      <c r="CA939" s="16">
        <f t="shared" ref="CA939:CA1002" si="354">IF(AND($CD$1,$CD$3),26-$CD$40*NORMDIST(BY939,$Y$6,$Y$8/SQRT($T$18),FALSE),-999)</f>
        <v>-999</v>
      </c>
      <c r="CE939" s="16" t="e">
        <f t="shared" si="347"/>
        <v>#N/A</v>
      </c>
      <c r="CF939" s="16">
        <f t="shared" si="348"/>
        <v>99</v>
      </c>
      <c r="CG939" s="16">
        <f t="shared" si="349"/>
        <v>0</v>
      </c>
      <c r="CH939" s="16">
        <f t="shared" si="344"/>
        <v>0</v>
      </c>
      <c r="CJ939" s="16" t="e">
        <f t="shared" si="350"/>
        <v>#N/A</v>
      </c>
      <c r="CK939" s="16" t="str">
        <f t="shared" si="351"/>
        <v/>
      </c>
    </row>
    <row r="940" spans="73:89" ht="12" customHeight="1">
      <c r="BU940" s="16">
        <f t="shared" si="352"/>
        <v>0</v>
      </c>
      <c r="BV940" s="16">
        <f>IF($BY$12=1,NORMDIST(BY940,$Y$6,$Y$8,TRUE),IF($BY$12=2,IF(BY940&lt;=$BX$31,0,IF(BY940&gt;=$BX$32,1,(BY940-$BX$31)*$BX$33)),SUM($BU$42:BU940)/$BV$40))</f>
        <v>0.97670453224978593</v>
      </c>
      <c r="BW940" s="16">
        <f t="shared" si="353"/>
        <v>0.24730427165086277</v>
      </c>
      <c r="BX940" s="16">
        <f>IF($BY$12&lt;3,BV940,SUM($BZ$42:BZ940)/$BX$40)</f>
        <v>0.97670453224978593</v>
      </c>
      <c r="BY940" s="16">
        <f t="shared" si="345"/>
        <v>89.799999999999173</v>
      </c>
      <c r="BZ940" s="16">
        <f t="shared" si="346"/>
        <v>2.7539451186065151E-3</v>
      </c>
      <c r="CA940" s="16">
        <f t="shared" si="354"/>
        <v>-999</v>
      </c>
      <c r="CE940" s="16" t="e">
        <f t="shared" si="347"/>
        <v>#N/A</v>
      </c>
      <c r="CF940" s="16">
        <f t="shared" si="348"/>
        <v>99</v>
      </c>
      <c r="CG940" s="16">
        <f t="shared" si="349"/>
        <v>0</v>
      </c>
      <c r="CH940" s="16">
        <f t="shared" si="344"/>
        <v>0</v>
      </c>
      <c r="CJ940" s="16" t="e">
        <f t="shared" si="350"/>
        <v>#N/A</v>
      </c>
      <c r="CK940" s="16" t="str">
        <f t="shared" si="351"/>
        <v/>
      </c>
    </row>
    <row r="941" spans="73:89" ht="12" customHeight="1">
      <c r="BU941" s="16">
        <f t="shared" si="352"/>
        <v>0</v>
      </c>
      <c r="BV941" s="16">
        <f>IF($BY$12=1,NORMDIST(BY941,$Y$6,$Y$8,TRUE),IF($BY$12=2,IF(BY941&lt;=$BX$31,0,IF(BY941&gt;=$BX$32,1,(BY941-$BX$31)*$BX$33)),SUM($BU$42:BU941)/$BV$40))</f>
        <v>0.97697856006784933</v>
      </c>
      <c r="BW941" s="16">
        <f t="shared" si="353"/>
        <v>0.24512539935420313</v>
      </c>
      <c r="BX941" s="16">
        <f>IF($BY$12&lt;3,BV941,SUM($BZ$42:BZ941)/$BX$40)</f>
        <v>0.97697856006784933</v>
      </c>
      <c r="BY941" s="16">
        <f t="shared" si="345"/>
        <v>89.899999999999167</v>
      </c>
      <c r="BZ941" s="16">
        <f t="shared" si="346"/>
        <v>2.7266451541068455E-3</v>
      </c>
      <c r="CA941" s="16">
        <f t="shared" si="354"/>
        <v>-999</v>
      </c>
      <c r="CE941" s="16" t="e">
        <f t="shared" si="347"/>
        <v>#N/A</v>
      </c>
      <c r="CF941" s="16">
        <f t="shared" si="348"/>
        <v>99</v>
      </c>
      <c r="CG941" s="16">
        <f t="shared" si="349"/>
        <v>0</v>
      </c>
      <c r="CH941" s="16">
        <f t="shared" si="344"/>
        <v>0</v>
      </c>
      <c r="CJ941" s="16" t="e">
        <f t="shared" si="350"/>
        <v>#N/A</v>
      </c>
      <c r="CK941" s="16" t="str">
        <f t="shared" si="351"/>
        <v/>
      </c>
    </row>
    <row r="942" spans="73:89" ht="12" customHeight="1">
      <c r="BU942" s="16">
        <f t="shared" si="352"/>
        <v>0</v>
      </c>
      <c r="BV942" s="16">
        <f>IF($BY$12=1,NORMDIST(BY942,$Y$6,$Y$8,TRUE),IF($BY$12=2,IF(BY942&lt;=$BX$31,0,IF(BY942&gt;=$BX$32,1,(BY942-$BX$31)*$BX$33)),SUM($BU$42:BU942)/$BV$40))</f>
        <v>0.97724986805181846</v>
      </c>
      <c r="BW942" s="16">
        <f t="shared" si="353"/>
        <v>0.24295934930936436</v>
      </c>
      <c r="BX942" s="16">
        <f>IF($BY$12&lt;3,BV942,SUM($BZ$42:BZ942)/$BX$40)</f>
        <v>0.97724986805181846</v>
      </c>
      <c r="BY942" s="16">
        <f t="shared" si="345"/>
        <v>89.999999999999162</v>
      </c>
      <c r="BZ942" s="16">
        <f t="shared" si="346"/>
        <v>2.699548325659629E-3</v>
      </c>
      <c r="CA942" s="16">
        <f t="shared" si="354"/>
        <v>-999</v>
      </c>
      <c r="CE942" s="16" t="e">
        <f t="shared" si="347"/>
        <v>#N/A</v>
      </c>
      <c r="CF942" s="16">
        <f t="shared" si="348"/>
        <v>99</v>
      </c>
      <c r="CG942" s="16">
        <f t="shared" si="349"/>
        <v>0</v>
      </c>
      <c r="CH942" s="16">
        <f t="shared" si="344"/>
        <v>0</v>
      </c>
      <c r="CJ942" s="16" t="e">
        <f t="shared" si="350"/>
        <v>#N/A</v>
      </c>
      <c r="CK942" s="16" t="str">
        <f t="shared" si="351"/>
        <v/>
      </c>
    </row>
    <row r="943" spans="73:89" ht="12" customHeight="1">
      <c r="BU943" s="16">
        <f t="shared" si="352"/>
        <v>0</v>
      </c>
      <c r="BV943" s="16">
        <f>IF($BY$12=1,NORMDIST(BY943,$Y$6,$Y$8,TRUE),IF($BY$12=2,IF(BY943&lt;=$BX$31,0,IF(BY943&gt;=$BX$32,1,(BY943-$BX$31)*$BX$33)),SUM($BU$42:BU943)/$BV$40))</f>
        <v>0.97751847648183798</v>
      </c>
      <c r="BW943" s="16">
        <f t="shared" si="353"/>
        <v>0.24080612203330562</v>
      </c>
      <c r="BX943" s="16">
        <f>IF($BY$12&lt;3,BV943,SUM($BZ$42:BZ943)/$BX$40)</f>
        <v>0.97751847648183798</v>
      </c>
      <c r="BY943" s="16">
        <f t="shared" si="345"/>
        <v>90.099999999999156</v>
      </c>
      <c r="BZ943" s="16">
        <f t="shared" si="346"/>
        <v>2.6726539626338278E-3</v>
      </c>
      <c r="CA943" s="16">
        <f t="shared" si="354"/>
        <v>-999</v>
      </c>
      <c r="CE943" s="16" t="e">
        <f t="shared" si="347"/>
        <v>#N/A</v>
      </c>
      <c r="CF943" s="16">
        <f t="shared" si="348"/>
        <v>99</v>
      </c>
      <c r="CG943" s="16">
        <f t="shared" si="349"/>
        <v>0</v>
      </c>
      <c r="CH943" s="16">
        <f t="shared" si="344"/>
        <v>0</v>
      </c>
      <c r="CJ943" s="16" t="e">
        <f t="shared" si="350"/>
        <v>#N/A</v>
      </c>
      <c r="CK943" s="16" t="str">
        <f t="shared" si="351"/>
        <v/>
      </c>
    </row>
    <row r="944" spans="73:89" ht="12" customHeight="1">
      <c r="BU944" s="16">
        <f t="shared" si="352"/>
        <v>0</v>
      </c>
      <c r="BV944" s="16">
        <f>IF($BY$12=1,NORMDIST(BY944,$Y$6,$Y$8,TRUE),IF($BY$12=2,IF(BY944&lt;=$BX$31,0,IF(BY944&gt;=$BX$32,1,(BY944-$BX$31)*$BX$33)),SUM($BU$42:BU944)/$BV$40))</f>
        <v>0.97778440557056612</v>
      </c>
      <c r="BW944" s="16">
        <f t="shared" si="353"/>
        <v>0.23866571701379177</v>
      </c>
      <c r="BX944" s="16">
        <f>IF($BY$12&lt;3,BV944,SUM($BZ$42:BZ944)/$BX$40)</f>
        <v>0.97778440557056612</v>
      </c>
      <c r="BY944" s="16">
        <f t="shared" si="345"/>
        <v>90.19999999999915</v>
      </c>
      <c r="BZ944" s="16">
        <f t="shared" si="346"/>
        <v>2.6459613859622397E-3</v>
      </c>
      <c r="CA944" s="16">
        <f t="shared" si="354"/>
        <v>-999</v>
      </c>
      <c r="CE944" s="16" t="e">
        <f t="shared" si="347"/>
        <v>#N/A</v>
      </c>
      <c r="CF944" s="16">
        <f t="shared" si="348"/>
        <v>99</v>
      </c>
      <c r="CG944" s="16">
        <f t="shared" si="349"/>
        <v>0</v>
      </c>
      <c r="CH944" s="16">
        <f t="shared" si="344"/>
        <v>0</v>
      </c>
      <c r="CJ944" s="16" t="e">
        <f t="shared" si="350"/>
        <v>#N/A</v>
      </c>
      <c r="CK944" s="16" t="str">
        <f t="shared" si="351"/>
        <v/>
      </c>
    </row>
    <row r="945" spans="73:89" ht="12" customHeight="1">
      <c r="BU945" s="16">
        <f t="shared" si="352"/>
        <v>0</v>
      </c>
      <c r="BV945" s="16">
        <f>IF($BY$12=1,NORMDIST(BY945,$Y$6,$Y$8,TRUE),IF($BY$12=2,IF(BY945&lt;=$BX$31,0,IF(BY945&gt;=$BX$32,1,(BY945-$BX$31)*$BX$33)),SUM($BU$42:BU945)/$BV$40))</f>
        <v>0.97804767546233951</v>
      </c>
      <c r="BW945" s="16">
        <f t="shared" si="353"/>
        <v>0.23653813271886548</v>
      </c>
      <c r="BX945" s="16">
        <f>IF($BY$12&lt;3,BV945,SUM($BZ$42:BZ945)/$BX$40)</f>
        <v>0.97804767546233951</v>
      </c>
      <c r="BY945" s="16">
        <f t="shared" si="345"/>
        <v>90.299999999999145</v>
      </c>
      <c r="BZ945" s="16">
        <f t="shared" si="346"/>
        <v>2.6194699082931088E-3</v>
      </c>
      <c r="CA945" s="16">
        <f t="shared" si="354"/>
        <v>-999</v>
      </c>
      <c r="CE945" s="16" t="e">
        <f t="shared" si="347"/>
        <v>#N/A</v>
      </c>
      <c r="CF945" s="16">
        <f t="shared" si="348"/>
        <v>99</v>
      </c>
      <c r="CG945" s="16">
        <f t="shared" si="349"/>
        <v>0</v>
      </c>
      <c r="CH945" s="16">
        <f t="shared" si="344"/>
        <v>0</v>
      </c>
      <c r="CJ945" s="16" t="e">
        <f t="shared" si="350"/>
        <v>#N/A</v>
      </c>
      <c r="CK945" s="16" t="str">
        <f t="shared" si="351"/>
        <v/>
      </c>
    </row>
    <row r="946" spans="73:89" ht="12" customHeight="1">
      <c r="BU946" s="16">
        <f t="shared" si="352"/>
        <v>0</v>
      </c>
      <c r="BV946" s="16">
        <f>IF($BY$12=1,NORMDIST(BY946,$Y$6,$Y$8,TRUE),IF($BY$12=2,IF(BY946&lt;=$BX$31,0,IF(BY946&gt;=$BX$32,1,(BY946-$BX$31)*$BX$33)),SUM($BU$42:BU946)/$BV$40))</f>
        <v>0.97830830623235077</v>
      </c>
      <c r="BW946" s="16">
        <f t="shared" si="353"/>
        <v>0.23442336660636706</v>
      </c>
      <c r="BX946" s="16">
        <f>IF($BY$12&lt;3,BV946,SUM($BZ$42:BZ946)/$BX$40)</f>
        <v>0.97830830623235077</v>
      </c>
      <c r="BY946" s="16">
        <f t="shared" si="345"/>
        <v>90.399999999999139</v>
      </c>
      <c r="BZ946" s="16">
        <f t="shared" si="346"/>
        <v>2.5931788341412533E-3</v>
      </c>
      <c r="CA946" s="16">
        <f t="shared" si="354"/>
        <v>-999</v>
      </c>
      <c r="CE946" s="16" t="e">
        <f t="shared" si="347"/>
        <v>#N/A</v>
      </c>
      <c r="CF946" s="16">
        <f t="shared" si="348"/>
        <v>99</v>
      </c>
      <c r="CG946" s="16">
        <f t="shared" si="349"/>
        <v>0</v>
      </c>
      <c r="CH946" s="16">
        <f t="shared" si="344"/>
        <v>0</v>
      </c>
      <c r="CJ946" s="16" t="e">
        <f t="shared" si="350"/>
        <v>#N/A</v>
      </c>
      <c r="CK946" s="16" t="str">
        <f t="shared" si="351"/>
        <v/>
      </c>
    </row>
    <row r="947" spans="73:89" ht="12" customHeight="1">
      <c r="BU947" s="16">
        <f t="shared" si="352"/>
        <v>0</v>
      </c>
      <c r="BV947" s="16">
        <f>IF($BY$12=1,NORMDIST(BY947,$Y$6,$Y$8,TRUE),IF($BY$12=2,IF(BY947&lt;=$BX$31,0,IF(BY947&gt;=$BX$32,1,(BY947-$BX$31)*$BX$33)),SUM($BU$42:BU947)/$BV$40))</f>
        <v>0.97856631788584481</v>
      </c>
      <c r="BW947" s="16">
        <f t="shared" si="353"/>
        <v>0.23232141513349996</v>
      </c>
      <c r="BX947" s="16">
        <f>IF($BY$12&lt;3,BV947,SUM($BZ$42:BZ947)/$BX$40)</f>
        <v>0.97856631788584481</v>
      </c>
      <c r="BY947" s="16">
        <f t="shared" si="345"/>
        <v>90.499999999999133</v>
      </c>
      <c r="BZ947" s="16">
        <f t="shared" si="346"/>
        <v>2.5670874600386981E-3</v>
      </c>
      <c r="CA947" s="16">
        <f t="shared" si="354"/>
        <v>-999</v>
      </c>
      <c r="CE947" s="16" t="e">
        <f t="shared" si="347"/>
        <v>#N/A</v>
      </c>
      <c r="CF947" s="16">
        <f t="shared" si="348"/>
        <v>99</v>
      </c>
      <c r="CG947" s="16">
        <f t="shared" si="349"/>
        <v>0</v>
      </c>
      <c r="CH947" s="16">
        <f t="shared" si="344"/>
        <v>0</v>
      </c>
      <c r="CJ947" s="16" t="e">
        <f t="shared" si="350"/>
        <v>#N/A</v>
      </c>
      <c r="CK947" s="16" t="str">
        <f t="shared" si="351"/>
        <v/>
      </c>
    </row>
    <row r="948" spans="73:89" ht="12" customHeight="1">
      <c r="BU948" s="16">
        <f t="shared" si="352"/>
        <v>0</v>
      </c>
      <c r="BV948" s="16">
        <f>IF($BY$12=1,NORMDIST(BY948,$Y$6,$Y$8,TRUE),IF($BY$12=2,IF(BY948&lt;=$BX$31,0,IF(BY948&gt;=$BX$32,1,(BY948-$BX$31)*$BX$33)),SUM($BU$42:BU948)/$BV$40))</f>
        <v>0.97882173035732556</v>
      </c>
      <c r="BW948" s="16">
        <f t="shared" si="353"/>
        <v>0.2302322737664392</v>
      </c>
      <c r="BX948" s="16">
        <f>IF($BY$12&lt;3,BV948,SUM($BZ$42:BZ948)/$BX$40)</f>
        <v>0.97882173035732556</v>
      </c>
      <c r="BY948" s="16">
        <f t="shared" si="345"/>
        <v>90.599999999999127</v>
      </c>
      <c r="BZ948" s="16">
        <f t="shared" si="346"/>
        <v>2.541195074684784E-3</v>
      </c>
      <c r="CA948" s="16">
        <f t="shared" si="354"/>
        <v>-999</v>
      </c>
      <c r="CE948" s="16" t="e">
        <f t="shared" si="347"/>
        <v>#N/A</v>
      </c>
      <c r="CF948" s="16">
        <f t="shared" si="348"/>
        <v>99</v>
      </c>
      <c r="CG948" s="16">
        <f t="shared" si="349"/>
        <v>0</v>
      </c>
      <c r="CH948" s="16">
        <f t="shared" si="344"/>
        <v>0</v>
      </c>
      <c r="CJ948" s="16" t="e">
        <f t="shared" si="350"/>
        <v>#N/A</v>
      </c>
      <c r="CK948" s="16" t="str">
        <f t="shared" si="351"/>
        <v/>
      </c>
    </row>
    <row r="949" spans="73:89" ht="12" customHeight="1">
      <c r="BU949" s="16">
        <f t="shared" si="352"/>
        <v>0</v>
      </c>
      <c r="BV949" s="16">
        <f>IF($BY$12=1,NORMDIST(BY949,$Y$6,$Y$8,TRUE),IF($BY$12=2,IF(BY949&lt;=$BX$31,0,IF(BY949&gt;=$BX$32,1,(BY949-$BX$31)*$BX$33)),SUM($BU$42:BU949)/$BV$40))</f>
        <v>0.97907456350978217</v>
      </c>
      <c r="BW949" s="16">
        <f t="shared" si="353"/>
        <v>0.22815593698998235</v>
      </c>
      <c r="BX949" s="16">
        <f>IF($BY$12&lt;3,BV949,SUM($BZ$42:BZ949)/$BX$40)</f>
        <v>0.97907456350978217</v>
      </c>
      <c r="BY949" s="16">
        <f t="shared" si="345"/>
        <v>90.699999999999122</v>
      </c>
      <c r="BZ949" s="16">
        <f t="shared" si="346"/>
        <v>2.5155009590957502E-3</v>
      </c>
      <c r="CA949" s="16">
        <f t="shared" si="354"/>
        <v>-999</v>
      </c>
      <c r="CE949" s="16" t="e">
        <f t="shared" si="347"/>
        <v>#N/A</v>
      </c>
      <c r="CF949" s="16">
        <f t="shared" si="348"/>
        <v>99</v>
      </c>
      <c r="CG949" s="16">
        <f t="shared" si="349"/>
        <v>0</v>
      </c>
      <c r="CH949" s="16">
        <f t="shared" si="344"/>
        <v>0</v>
      </c>
      <c r="CJ949" s="16" t="e">
        <f t="shared" si="350"/>
        <v>#N/A</v>
      </c>
      <c r="CK949" s="16" t="str">
        <f t="shared" si="351"/>
        <v/>
      </c>
    </row>
    <row r="950" spans="73:89" ht="12" customHeight="1">
      <c r="BU950" s="16">
        <f t="shared" si="352"/>
        <v>0</v>
      </c>
      <c r="BV950" s="16">
        <f>IF($BY$12=1,NORMDIST(BY950,$Y$6,$Y$8,TRUE),IF($BY$12=2,IF(BY950&lt;=$BX$31,0,IF(BY950&gt;=$BX$32,1,(BY950-$BX$31)*$BX$33)),SUM($BU$42:BU950)/$BV$40))</f>
        <v>0.97932483713392771</v>
      </c>
      <c r="BW950" s="16">
        <f t="shared" si="353"/>
        <v>0.22609239831723946</v>
      </c>
      <c r="BX950" s="16">
        <f>IF($BY$12&lt;3,BV950,SUM($BZ$42:BZ950)/$BX$40)</f>
        <v>0.97932483713392771</v>
      </c>
      <c r="BY950" s="16">
        <f t="shared" si="345"/>
        <v>90.799999999999116</v>
      </c>
      <c r="BZ950" s="16">
        <f t="shared" si="346"/>
        <v>2.4900043867537628E-3</v>
      </c>
      <c r="CA950" s="16">
        <f t="shared" si="354"/>
        <v>-999</v>
      </c>
      <c r="CE950" s="16" t="e">
        <f t="shared" si="347"/>
        <v>#N/A</v>
      </c>
      <c r="CF950" s="16">
        <f t="shared" si="348"/>
        <v>99</v>
      </c>
      <c r="CG950" s="16">
        <f t="shared" si="349"/>
        <v>0</v>
      </c>
      <c r="CH950" s="16">
        <f t="shared" si="344"/>
        <v>0</v>
      </c>
      <c r="CJ950" s="16" t="e">
        <f t="shared" si="350"/>
        <v>#N/A</v>
      </c>
      <c r="CK950" s="16" t="str">
        <f t="shared" si="351"/>
        <v/>
      </c>
    </row>
    <row r="951" spans="73:89" ht="12" customHeight="1">
      <c r="BU951" s="16">
        <f t="shared" si="352"/>
        <v>0</v>
      </c>
      <c r="BV951" s="16">
        <f>IF($BY$12=1,NORMDIST(BY951,$Y$6,$Y$8,TRUE),IF($BY$12=2,IF(BY951&lt;=$BX$31,0,IF(BY951&gt;=$BX$32,1,(BY951-$BX$31)*$BX$33)),SUM($BU$42:BU951)/$BV$40))</f>
        <v>0.97957257094745231</v>
      </c>
      <c r="BW951" s="16">
        <f t="shared" si="353"/>
        <v>0.22404165029936043</v>
      </c>
      <c r="BX951" s="16">
        <f>IF($BY$12&lt;3,BV951,SUM($BZ$42:BZ951)/$BX$40)</f>
        <v>0.97957257094745231</v>
      </c>
      <c r="BY951" s="16">
        <f t="shared" si="345"/>
        <v>90.89999999999911</v>
      </c>
      <c r="BZ951" s="16">
        <f t="shared" si="346"/>
        <v>2.4647046237553645E-3</v>
      </c>
      <c r="CA951" s="16">
        <f t="shared" si="354"/>
        <v>-999</v>
      </c>
      <c r="CE951" s="16" t="e">
        <f t="shared" si="347"/>
        <v>#N/A</v>
      </c>
      <c r="CF951" s="16">
        <f t="shared" si="348"/>
        <v>99</v>
      </c>
      <c r="CG951" s="16">
        <f t="shared" si="349"/>
        <v>0</v>
      </c>
      <c r="CH951" s="16">
        <f t="shared" si="344"/>
        <v>0</v>
      </c>
      <c r="CJ951" s="16" t="e">
        <f t="shared" si="350"/>
        <v>#N/A</v>
      </c>
      <c r="CK951" s="16" t="str">
        <f t="shared" si="351"/>
        <v/>
      </c>
    </row>
    <row r="952" spans="73:89" ht="12" customHeight="1">
      <c r="BU952" s="16">
        <f t="shared" si="352"/>
        <v>0</v>
      </c>
      <c r="BV952" s="16">
        <f>IF($BY$12=1,NORMDIST(BY952,$Y$6,$Y$8,TRUE),IF($BY$12=2,IF(BY952&lt;=$BX$31,0,IF(BY952&gt;=$BX$32,1,(BY952-$BX$31)*$BX$33)),SUM($BU$42:BU952)/$BV$40))</f>
        <v>0.97981778459429336</v>
      </c>
      <c r="BW952" s="16">
        <f t="shared" si="353"/>
        <v>0.22200368453529967</v>
      </c>
      <c r="BX952" s="16">
        <f>IF($BY$12&lt;3,BV952,SUM($BZ$42:BZ952)/$BX$40)</f>
        <v>0.97981778459429336</v>
      </c>
      <c r="BY952" s="16">
        <f t="shared" si="345"/>
        <v>90.999999999999105</v>
      </c>
      <c r="BZ952" s="16">
        <f t="shared" si="346"/>
        <v>2.4396009289593609E-3</v>
      </c>
      <c r="CA952" s="16">
        <f t="shared" si="354"/>
        <v>-999</v>
      </c>
      <c r="CE952" s="16" t="e">
        <f t="shared" si="347"/>
        <v>#N/A</v>
      </c>
      <c r="CF952" s="16">
        <f t="shared" si="348"/>
        <v>99</v>
      </c>
      <c r="CG952" s="16">
        <f t="shared" si="349"/>
        <v>0</v>
      </c>
      <c r="CH952" s="16">
        <f t="shared" si="344"/>
        <v>0</v>
      </c>
      <c r="CJ952" s="16" t="e">
        <f t="shared" si="350"/>
        <v>#N/A</v>
      </c>
      <c r="CK952" s="16" t="str">
        <f t="shared" si="351"/>
        <v/>
      </c>
    </row>
    <row r="953" spans="73:89" ht="12" customHeight="1">
      <c r="BU953" s="16">
        <f t="shared" si="352"/>
        <v>0</v>
      </c>
      <c r="BV953" s="16">
        <f>IF($BY$12=1,NORMDIST(BY953,$Y$6,$Y$8,TRUE),IF($BY$12=2,IF(BY953&lt;=$BX$31,0,IF(BY953&gt;=$BX$32,1,(BY953-$BX$31)*$BX$33)),SUM($BU$42:BU953)/$BV$40))</f>
        <v>0.98006049764391778</v>
      </c>
      <c r="BW953" s="16">
        <f t="shared" si="353"/>
        <v>0.21997849168161332</v>
      </c>
      <c r="BX953" s="16">
        <f>IF($BY$12&lt;3,BV953,SUM($BZ$42:BZ953)/$BX$40)</f>
        <v>0.98006049764391778</v>
      </c>
      <c r="BY953" s="16">
        <f t="shared" si="345"/>
        <v>91.099999999999099</v>
      </c>
      <c r="BZ953" s="16">
        <f t="shared" si="346"/>
        <v>2.4146925541340888E-3</v>
      </c>
      <c r="CA953" s="16">
        <f t="shared" si="354"/>
        <v>-999</v>
      </c>
      <c r="CE953" s="16" t="e">
        <f t="shared" si="347"/>
        <v>#N/A</v>
      </c>
      <c r="CF953" s="16">
        <f t="shared" si="348"/>
        <v>99</v>
      </c>
      <c r="CG953" s="16">
        <f t="shared" si="349"/>
        <v>0</v>
      </c>
      <c r="CH953" s="16">
        <f t="shared" si="344"/>
        <v>0</v>
      </c>
      <c r="CJ953" s="16" t="e">
        <f t="shared" si="350"/>
        <v>#N/A</v>
      </c>
      <c r="CK953" s="16" t="str">
        <f t="shared" si="351"/>
        <v/>
      </c>
    </row>
    <row r="954" spans="73:89" ht="12" customHeight="1">
      <c r="BU954" s="16">
        <f t="shared" si="352"/>
        <v>0</v>
      </c>
      <c r="BV954" s="16">
        <f>IF($BY$12=1,NORMDIST(BY954,$Y$6,$Y$8,TRUE),IF($BY$12=2,IF(BY954&lt;=$BX$31,0,IF(BY954&gt;=$BX$32,1,(BY954-$BX$31)*$BX$33)),SUM($BU$42:BU954)/$BV$40))</f>
        <v>0.98030072959062098</v>
      </c>
      <c r="BW954" s="16">
        <f t="shared" si="353"/>
        <v>0.21796606146228939</v>
      </c>
      <c r="BX954" s="16">
        <f>IF($BY$12&lt;3,BV954,SUM($BZ$42:BZ954)/$BX$40)</f>
        <v>0.98030072959062098</v>
      </c>
      <c r="BY954" s="16">
        <f t="shared" si="345"/>
        <v>91.199999999999093</v>
      </c>
      <c r="BZ954" s="16">
        <f t="shared" si="346"/>
        <v>2.389978744104074E-3</v>
      </c>
      <c r="CA954" s="16">
        <f t="shared" si="354"/>
        <v>-999</v>
      </c>
      <c r="CE954" s="16" t="e">
        <f t="shared" si="347"/>
        <v>#N/A</v>
      </c>
      <c r="CF954" s="16">
        <f t="shared" si="348"/>
        <v>99</v>
      </c>
      <c r="CG954" s="16">
        <f t="shared" si="349"/>
        <v>0</v>
      </c>
      <c r="CH954" s="16">
        <f t="shared" si="344"/>
        <v>0</v>
      </c>
      <c r="CJ954" s="16" t="e">
        <f t="shared" si="350"/>
        <v>#N/A</v>
      </c>
      <c r="CK954" s="16" t="str">
        <f t="shared" si="351"/>
        <v/>
      </c>
    </row>
    <row r="955" spans="73:89" ht="12" customHeight="1">
      <c r="BU955" s="16">
        <f t="shared" si="352"/>
        <v>0</v>
      </c>
      <c r="BV955" s="16">
        <f>IF($BY$12=1,NORMDIST(BY955,$Y$6,$Y$8,TRUE),IF($BY$12=2,IF(BY955&lt;=$BX$31,0,IF(BY955&gt;=$BX$32,1,(BY955-$BX$31)*$BX$33)),SUM($BU$42:BU955)/$BV$40))</f>
        <v>0.98053849985284014</v>
      </c>
      <c r="BW955" s="16">
        <f t="shared" si="353"/>
        <v>0.21596638267860807</v>
      </c>
      <c r="BX955" s="16">
        <f>IF($BY$12&lt;3,BV955,SUM($BZ$42:BZ955)/$BX$40)</f>
        <v>0.98053849985284014</v>
      </c>
      <c r="BY955" s="16">
        <f t="shared" si="345"/>
        <v>91.299999999999088</v>
      </c>
      <c r="BZ955" s="16">
        <f t="shared" si="346"/>
        <v>2.3654587368960593E-3</v>
      </c>
      <c r="CA955" s="16">
        <f t="shared" si="354"/>
        <v>-999</v>
      </c>
      <c r="CE955" s="16" t="e">
        <f t="shared" si="347"/>
        <v>#N/A</v>
      </c>
      <c r="CF955" s="16">
        <f t="shared" si="348"/>
        <v>99</v>
      </c>
      <c r="CG955" s="16">
        <f t="shared" si="349"/>
        <v>0</v>
      </c>
      <c r="CH955" s="16">
        <f t="shared" si="344"/>
        <v>0</v>
      </c>
      <c r="CJ955" s="16" t="e">
        <f t="shared" si="350"/>
        <v>#N/A</v>
      </c>
      <c r="CK955" s="16" t="str">
        <f t="shared" si="351"/>
        <v/>
      </c>
    </row>
    <row r="956" spans="73:89" ht="12" customHeight="1">
      <c r="BU956" s="16">
        <f t="shared" si="352"/>
        <v>0</v>
      </c>
      <c r="BV956" s="16">
        <f>IF($BY$12=1,NORMDIST(BY956,$Y$6,$Y$8,TRUE),IF($BY$12=2,IF(BY956&lt;=$BX$31,0,IF(BY956&gt;=$BX$32,1,(BY956-$BX$31)*$BX$33)),SUM($BU$42:BU956)/$BV$40))</f>
        <v>0.98077382777248046</v>
      </c>
      <c r="BW956" s="16">
        <f t="shared" si="353"/>
        <v>0.21397944321903015</v>
      </c>
      <c r="BX956" s="16">
        <f>IF($BY$12&lt;3,BV956,SUM($BZ$42:BZ956)/$BX$40)</f>
        <v>0.98077382777248046</v>
      </c>
      <c r="BY956" s="16">
        <f t="shared" si="345"/>
        <v>91.399999999999082</v>
      </c>
      <c r="BZ956" s="16">
        <f t="shared" si="346"/>
        <v>2.3411317638843796E-3</v>
      </c>
      <c r="CA956" s="16">
        <f t="shared" si="354"/>
        <v>-999</v>
      </c>
      <c r="CE956" s="16" t="e">
        <f t="shared" si="347"/>
        <v>#N/A</v>
      </c>
      <c r="CF956" s="16">
        <f t="shared" si="348"/>
        <v>99</v>
      </c>
      <c r="CG956" s="16">
        <f t="shared" si="349"/>
        <v>0</v>
      </c>
      <c r="CH956" s="16">
        <f t="shared" si="344"/>
        <v>0</v>
      </c>
      <c r="CJ956" s="16" t="e">
        <f t="shared" si="350"/>
        <v>#N/A</v>
      </c>
      <c r="CK956" s="16" t="str">
        <f t="shared" si="351"/>
        <v/>
      </c>
    </row>
    <row r="957" spans="73:89" ht="12" customHeight="1">
      <c r="BU957" s="16">
        <f t="shared" si="352"/>
        <v>0</v>
      </c>
      <c r="BV957" s="16">
        <f>IF($BY$12=1,NORMDIST(BY957,$Y$6,$Y$8,TRUE),IF($BY$12=2,IF(BY957&lt;=$BX$31,0,IF(BY957&gt;=$BX$32,1,(BY957-$BX$31)*$BX$33)),SUM($BU$42:BU957)/$BV$40))</f>
        <v>0.9810067326142593</v>
      </c>
      <c r="BW957" s="16">
        <f t="shared" si="353"/>
        <v>0.21200523006911295</v>
      </c>
      <c r="BX957" s="16">
        <f>IF($BY$12&lt;3,BV957,SUM($BZ$42:BZ957)/$BX$40)</f>
        <v>0.9810067326142593</v>
      </c>
      <c r="BY957" s="16">
        <f t="shared" si="345"/>
        <v>91.499999999999076</v>
      </c>
      <c r="BZ957" s="16">
        <f t="shared" si="346"/>
        <v>2.316997049935684E-3</v>
      </c>
      <c r="CA957" s="16">
        <f t="shared" si="354"/>
        <v>-999</v>
      </c>
      <c r="CE957" s="16" t="e">
        <f t="shared" si="347"/>
        <v>#N/A</v>
      </c>
      <c r="CF957" s="16">
        <f t="shared" si="348"/>
        <v>99</v>
      </c>
      <c r="CG957" s="16">
        <f t="shared" si="349"/>
        <v>0</v>
      </c>
      <c r="CH957" s="16">
        <f t="shared" si="344"/>
        <v>0</v>
      </c>
      <c r="CJ957" s="16" t="e">
        <f t="shared" si="350"/>
        <v>#N/A</v>
      </c>
      <c r="CK957" s="16" t="str">
        <f t="shared" si="351"/>
        <v/>
      </c>
    </row>
    <row r="958" spans="73:89" ht="12" customHeight="1">
      <c r="BU958" s="16">
        <f t="shared" si="352"/>
        <v>0</v>
      </c>
      <c r="BV958" s="16">
        <f>IF($BY$12=1,NORMDIST(BY958,$Y$6,$Y$8,TRUE),IF($BY$12=2,IF(BY958&lt;=$BX$31,0,IF(BY958&gt;=$BX$32,1,(BY958-$BX$31)*$BX$33)),SUM($BU$42:BU958)/$BV$40))</f>
        <v>0.9812372335650601</v>
      </c>
      <c r="BW958" s="16">
        <f t="shared" si="353"/>
        <v>0.21004372932144957</v>
      </c>
      <c r="BX958" s="16">
        <f>IF($BY$12&lt;3,BV958,SUM($BZ$42:BZ958)/$BX$40)</f>
        <v>0.9812372335650601</v>
      </c>
      <c r="BY958" s="16">
        <f t="shared" si="345"/>
        <v>91.599999999999071</v>
      </c>
      <c r="BZ958" s="16">
        <f t="shared" si="346"/>
        <v>2.2930538135529661E-3</v>
      </c>
      <c r="CA958" s="16">
        <f t="shared" si="354"/>
        <v>-999</v>
      </c>
      <c r="CE958" s="16" t="e">
        <f t="shared" si="347"/>
        <v>#N/A</v>
      </c>
      <c r="CF958" s="16">
        <f t="shared" si="348"/>
        <v>99</v>
      </c>
      <c r="CG958" s="16">
        <f t="shared" si="349"/>
        <v>0</v>
      </c>
      <c r="CH958" s="16">
        <f t="shared" si="344"/>
        <v>0</v>
      </c>
      <c r="CJ958" s="16" t="e">
        <f t="shared" si="350"/>
        <v>#N/A</v>
      </c>
      <c r="CK958" s="16" t="str">
        <f t="shared" si="351"/>
        <v/>
      </c>
    </row>
    <row r="959" spans="73:89" ht="12" customHeight="1">
      <c r="BU959" s="16">
        <f t="shared" si="352"/>
        <v>0</v>
      </c>
      <c r="BV959" s="16">
        <f>IF($BY$12=1,NORMDIST(BY959,$Y$6,$Y$8,TRUE),IF($BY$12=2,IF(BY959&lt;=$BX$31,0,IF(BY959&gt;=$BX$32,1,(BY959-$BX$31)*$BX$33)),SUM($BU$42:BU959)/$BV$40))</f>
        <v>0.98146534973330479</v>
      </c>
      <c r="BW959" s="16">
        <f t="shared" si="353"/>
        <v>0.20809492618563286</v>
      </c>
      <c r="BX959" s="16">
        <f>IF($BY$12&lt;3,BV959,SUM($BZ$42:BZ959)/$BX$40)</f>
        <v>0.98146534973330479</v>
      </c>
      <c r="BY959" s="16">
        <f t="shared" si="345"/>
        <v>91.699999999999065</v>
      </c>
      <c r="BZ959" s="16">
        <f t="shared" si="346"/>
        <v>2.26930126701892E-3</v>
      </c>
      <c r="CA959" s="16">
        <f t="shared" si="354"/>
        <v>-999</v>
      </c>
      <c r="CE959" s="16" t="e">
        <f t="shared" si="347"/>
        <v>#N/A</v>
      </c>
      <c r="CF959" s="16">
        <f t="shared" si="348"/>
        <v>99</v>
      </c>
      <c r="CG959" s="16">
        <f t="shared" si="349"/>
        <v>0</v>
      </c>
      <c r="CH959" s="16">
        <f t="shared" si="344"/>
        <v>0</v>
      </c>
      <c r="CJ959" s="16" t="e">
        <f t="shared" si="350"/>
        <v>#N/A</v>
      </c>
      <c r="CK959" s="16" t="str">
        <f t="shared" si="351"/>
        <v/>
      </c>
    </row>
    <row r="960" spans="73:89" ht="12" customHeight="1">
      <c r="BU960" s="16">
        <f t="shared" si="352"/>
        <v>0</v>
      </c>
      <c r="BV960" s="16">
        <f>IF($BY$12=1,NORMDIST(BY960,$Y$6,$Y$8,TRUE),IF($BY$12=2,IF(BY960&lt;=$BX$31,0,IF(BY960&gt;=$BX$32,1,(BY960-$BX$31)*$BX$33)),SUM($BU$42:BU960)/$BV$40))</f>
        <v>0.98169110014833871</v>
      </c>
      <c r="BW960" s="16">
        <f t="shared" si="353"/>
        <v>0.20615880499823908</v>
      </c>
      <c r="BX960" s="16">
        <f>IF($BY$12&lt;3,BV960,SUM($BZ$42:BZ960)/$BX$40)</f>
        <v>0.98169110014833871</v>
      </c>
      <c r="BY960" s="16">
        <f t="shared" si="345"/>
        <v>91.799999999999059</v>
      </c>
      <c r="BZ960" s="16">
        <f t="shared" si="346"/>
        <v>2.2457386165385751E-3</v>
      </c>
      <c r="CA960" s="16">
        <f t="shared" si="354"/>
        <v>-999</v>
      </c>
      <c r="CE960" s="16" t="e">
        <f t="shared" si="347"/>
        <v>#N/A</v>
      </c>
      <c r="CF960" s="16">
        <f t="shared" si="348"/>
        <v>99</v>
      </c>
      <c r="CG960" s="16">
        <f t="shared" si="349"/>
        <v>0</v>
      </c>
      <c r="CH960" s="16">
        <f t="shared" si="344"/>
        <v>0</v>
      </c>
      <c r="CJ960" s="16" t="e">
        <f t="shared" si="350"/>
        <v>#N/A</v>
      </c>
      <c r="CK960" s="16" t="str">
        <f t="shared" si="351"/>
        <v/>
      </c>
    </row>
    <row r="961" spans="73:89" ht="12" customHeight="1">
      <c r="BU961" s="16">
        <f t="shared" si="352"/>
        <v>0</v>
      </c>
      <c r="BV961" s="16">
        <f>IF($BY$12=1,NORMDIST(BY961,$Y$6,$Y$8,TRUE),IF($BY$12=2,IF(BY961&lt;=$BX$31,0,IF(BY961&gt;=$BX$32,1,(BY961-$BX$31)*$BX$33)),SUM($BU$42:BU961)/$BV$40))</f>
        <v>0.9819145037598298</v>
      </c>
      <c r="BW961" s="16">
        <f t="shared" si="353"/>
        <v>0.20423534923283171</v>
      </c>
      <c r="BX961" s="16">
        <f>IF($BY$12&lt;3,BV961,SUM($BZ$42:BZ961)/$BX$40)</f>
        <v>0.9819145037598298</v>
      </c>
      <c r="BY961" s="16">
        <f t="shared" si="345"/>
        <v>91.899999999999054</v>
      </c>
      <c r="BZ961" s="16">
        <f t="shared" si="346"/>
        <v>2.2223650623812165E-3</v>
      </c>
      <c r="CA961" s="16">
        <f t="shared" si="354"/>
        <v>-999</v>
      </c>
      <c r="CE961" s="16" t="e">
        <f t="shared" si="347"/>
        <v>#N/A</v>
      </c>
      <c r="CF961" s="16">
        <f t="shared" si="348"/>
        <v>99</v>
      </c>
      <c r="CG961" s="16">
        <f t="shared" si="349"/>
        <v>0</v>
      </c>
      <c r="CH961" s="16">
        <f t="shared" si="344"/>
        <v>0</v>
      </c>
      <c r="CJ961" s="16" t="e">
        <f t="shared" si="350"/>
        <v>#N/A</v>
      </c>
      <c r="CK961" s="16" t="str">
        <f t="shared" si="351"/>
        <v/>
      </c>
    </row>
    <row r="962" spans="73:89" ht="12" customHeight="1">
      <c r="BU962" s="16">
        <f t="shared" si="352"/>
        <v>0</v>
      </c>
      <c r="BV962" s="16">
        <f>IF($BY$12=1,NORMDIST(BY962,$Y$6,$Y$8,TRUE),IF($BY$12=2,IF(BY962&lt;=$BX$31,0,IF(BY962&gt;=$BX$32,1,(BY962-$BX$31)*$BX$33)),SUM($BU$42:BU962)/$BV$40))</f>
        <v>0.98213557943718133</v>
      </c>
      <c r="BW962" s="16">
        <f t="shared" si="353"/>
        <v>0.20232454150998319</v>
      </c>
      <c r="BX962" s="16">
        <f>IF($BY$12&lt;3,BV962,SUM($BZ$42:BZ962)/$BX$40)</f>
        <v>0.98213557943718133</v>
      </c>
      <c r="BY962" s="16">
        <f t="shared" si="345"/>
        <v>91.999999999999048</v>
      </c>
      <c r="BZ962" s="16">
        <f t="shared" si="346"/>
        <v>2.1991797990215793E-3</v>
      </c>
      <c r="CA962" s="16">
        <f t="shared" si="354"/>
        <v>-999</v>
      </c>
      <c r="CE962" s="16" t="e">
        <f t="shared" si="347"/>
        <v>#N/A</v>
      </c>
      <c r="CF962" s="16">
        <f t="shared" si="348"/>
        <v>99</v>
      </c>
      <c r="CG962" s="16">
        <f t="shared" si="349"/>
        <v>0</v>
      </c>
      <c r="CH962" s="16">
        <f t="shared" si="344"/>
        <v>0</v>
      </c>
      <c r="CJ962" s="16" t="e">
        <f t="shared" si="350"/>
        <v>#N/A</v>
      </c>
      <c r="CK962" s="16" t="str">
        <f t="shared" si="351"/>
        <v/>
      </c>
    </row>
    <row r="963" spans="73:89" ht="12" customHeight="1">
      <c r="BU963" s="16">
        <f t="shared" si="352"/>
        <v>0</v>
      </c>
      <c r="BV963" s="16">
        <f>IF($BY$12=1,NORMDIST(BY963,$Y$6,$Y$8,TRUE),IF($BY$12=2,IF(BY963&lt;=$BX$31,0,IF(BY963&gt;=$BX$32,1,(BY963-$BX$31)*$BX$33)),SUM($BU$42:BU963)/$BV$40))</f>
        <v>0.98235434596896098</v>
      </c>
      <c r="BW963" s="16">
        <f t="shared" si="353"/>
        <v>0.20042636360731178</v>
      </c>
      <c r="BX963" s="16">
        <f>IF($BY$12&lt;3,BV963,SUM($BZ$42:BZ963)/$BX$40)</f>
        <v>0.98235434596896098</v>
      </c>
      <c r="BY963" s="16">
        <f t="shared" si="345"/>
        <v>92.099999999999042</v>
      </c>
      <c r="BZ963" s="16">
        <f t="shared" si="346"/>
        <v>2.176182015280281E-3</v>
      </c>
      <c r="CA963" s="16">
        <f t="shared" si="354"/>
        <v>-999</v>
      </c>
      <c r="CE963" s="16" t="e">
        <f t="shared" si="347"/>
        <v>#N/A</v>
      </c>
      <c r="CF963" s="16">
        <f t="shared" si="348"/>
        <v>99</v>
      </c>
      <c r="CG963" s="16">
        <f t="shared" si="349"/>
        <v>0</v>
      </c>
      <c r="CH963" s="16">
        <f t="shared" ref="CH963:CH1026" si="355">IF(CB963="",0,1)</f>
        <v>0</v>
      </c>
      <c r="CJ963" s="16" t="e">
        <f t="shared" si="350"/>
        <v>#N/A</v>
      </c>
      <c r="CK963" s="16" t="str">
        <f t="shared" si="351"/>
        <v/>
      </c>
    </row>
    <row r="964" spans="73:89" ht="12" customHeight="1">
      <c r="BU964" s="16">
        <f t="shared" si="352"/>
        <v>0</v>
      </c>
      <c r="BV964" s="16">
        <f>IF($BY$12=1,NORMDIST(BY964,$Y$6,$Y$8,TRUE),IF($BY$12=2,IF(BY964&lt;=$BX$31,0,IF(BY964&gt;=$BX$32,1,(BY964-$BX$31)*$BX$33)),SUM($BU$42:BU964)/$BV$40))</f>
        <v>0.98257082206234081</v>
      </c>
      <c r="BW964" s="16">
        <f t="shared" si="353"/>
        <v>0.19854079646953307</v>
      </c>
      <c r="BX964" s="16">
        <f>IF($BY$12&lt;3,BV964,SUM($BZ$42:BZ964)/$BX$40)</f>
        <v>0.98257082206234081</v>
      </c>
      <c r="BY964" s="16">
        <f t="shared" si="345"/>
        <v>92.199999999999037</v>
      </c>
      <c r="BZ964" s="16">
        <f t="shared" si="346"/>
        <v>2.1533708944635049E-3</v>
      </c>
      <c r="CA964" s="16">
        <f t="shared" si="354"/>
        <v>-999</v>
      </c>
      <c r="CE964" s="16" t="e">
        <f t="shared" si="347"/>
        <v>#N/A</v>
      </c>
      <c r="CF964" s="16">
        <f t="shared" si="348"/>
        <v>99</v>
      </c>
      <c r="CG964" s="16">
        <f t="shared" si="349"/>
        <v>0</v>
      </c>
      <c r="CH964" s="16">
        <f t="shared" si="355"/>
        <v>0</v>
      </c>
      <c r="CJ964" s="16" t="e">
        <f t="shared" si="350"/>
        <v>#N/A</v>
      </c>
      <c r="CK964" s="16" t="str">
        <f t="shared" si="351"/>
        <v/>
      </c>
    </row>
    <row r="965" spans="73:89" ht="12" customHeight="1">
      <c r="BU965" s="16">
        <f t="shared" si="352"/>
        <v>0</v>
      </c>
      <c r="BV965" s="16">
        <f>IF($BY$12=1,NORMDIST(BY965,$Y$6,$Y$8,TRUE),IF($BY$12=2,IF(BY965&lt;=$BX$31,0,IF(BY965&gt;=$BX$32,1,(BY965-$BX$31)*$BX$33)),SUM($BU$42:BU965)/$BV$40))</f>
        <v>0.9827850263425546</v>
      </c>
      <c r="BW965" s="16">
        <f t="shared" si="353"/>
        <v>0.19666782021852397</v>
      </c>
      <c r="BX965" s="16">
        <f>IF($BY$12&lt;3,BV965,SUM($BZ$42:BZ965)/$BX$40)</f>
        <v>0.9827850263425546</v>
      </c>
      <c r="BY965" s="16">
        <f t="shared" si="345"/>
        <v>92.299999999999031</v>
      </c>
      <c r="BZ965" s="16">
        <f t="shared" si="346"/>
        <v>2.1307456145019071E-3</v>
      </c>
      <c r="CA965" s="16">
        <f t="shared" si="354"/>
        <v>-999</v>
      </c>
      <c r="CE965" s="16" t="e">
        <f t="shared" si="347"/>
        <v>#N/A</v>
      </c>
      <c r="CF965" s="16">
        <f t="shared" si="348"/>
        <v>99</v>
      </c>
      <c r="CG965" s="16">
        <f t="shared" si="349"/>
        <v>0</v>
      </c>
      <c r="CH965" s="16">
        <f t="shared" si="355"/>
        <v>0</v>
      </c>
      <c r="CJ965" s="16" t="e">
        <f t="shared" si="350"/>
        <v>#N/A</v>
      </c>
      <c r="CK965" s="16" t="str">
        <f t="shared" si="351"/>
        <v/>
      </c>
    </row>
    <row r="966" spans="73:89" ht="12" customHeight="1">
      <c r="BU966" s="16">
        <f t="shared" si="352"/>
        <v>0</v>
      </c>
      <c r="BV966" s="16">
        <f>IF($BY$12=1,NORMDIST(BY966,$Y$6,$Y$8,TRUE),IF($BY$12=2,IF(BY966&lt;=$BX$31,0,IF(BY966&gt;=$BX$32,1,(BY966-$BX$31)*$BX$33)),SUM($BU$42:BU966)/$BV$40))</f>
        <v>0.98299697735236502</v>
      </c>
      <c r="BW966" s="16">
        <f t="shared" si="353"/>
        <v>0.19480741416339697</v>
      </c>
      <c r="BX966" s="16">
        <f>IF($BY$12&lt;3,BV966,SUM($BZ$42:BZ966)/$BX$40)</f>
        <v>0.98299697735236502</v>
      </c>
      <c r="BY966" s="16">
        <f t="shared" si="345"/>
        <v>92.399999999999025</v>
      </c>
      <c r="BZ966" s="16">
        <f t="shared" si="346"/>
        <v>2.108305348088734E-3</v>
      </c>
      <c r="CA966" s="16">
        <f t="shared" si="354"/>
        <v>-999</v>
      </c>
      <c r="CE966" s="16" t="e">
        <f t="shared" si="347"/>
        <v>#N/A</v>
      </c>
      <c r="CF966" s="16">
        <f t="shared" si="348"/>
        <v>99</v>
      </c>
      <c r="CG966" s="16">
        <f t="shared" si="349"/>
        <v>0</v>
      </c>
      <c r="CH966" s="16">
        <f t="shared" si="355"/>
        <v>0</v>
      </c>
      <c r="CJ966" s="16" t="e">
        <f t="shared" si="350"/>
        <v>#N/A</v>
      </c>
      <c r="CK966" s="16" t="str">
        <f t="shared" si="351"/>
        <v/>
      </c>
    </row>
    <row r="967" spans="73:89" ht="12" customHeight="1">
      <c r="BU967" s="16">
        <f t="shared" si="352"/>
        <v>0</v>
      </c>
      <c r="BV967" s="16">
        <f>IF($BY$12=1,NORMDIST(BY967,$Y$6,$Y$8,TRUE),IF($BY$12=2,IF(BY967&lt;=$BX$31,0,IF(BY967&gt;=$BX$32,1,(BY967-$BX$31)*$BX$33)),SUM($BU$42:BU967)/$BV$40))</f>
        <v>0.98320669355154899</v>
      </c>
      <c r="BW967" s="16">
        <f t="shared" si="353"/>
        <v>0.19295955681058413</v>
      </c>
      <c r="BX967" s="16">
        <f>IF($BY$12&lt;3,BV967,SUM($BZ$42:BZ967)/$BX$40)</f>
        <v>0.98320669355154899</v>
      </c>
      <c r="BY967" s="16">
        <f t="shared" si="345"/>
        <v>92.499999999999019</v>
      </c>
      <c r="BZ967" s="16">
        <f t="shared" si="346"/>
        <v>2.0860492628171478E-3</v>
      </c>
      <c r="CA967" s="16">
        <f t="shared" si="354"/>
        <v>-999</v>
      </c>
      <c r="CE967" s="16" t="e">
        <f t="shared" si="347"/>
        <v>#N/A</v>
      </c>
      <c r="CF967" s="16">
        <f t="shared" si="348"/>
        <v>99</v>
      </c>
      <c r="CG967" s="16">
        <f t="shared" si="349"/>
        <v>0</v>
      </c>
      <c r="CH967" s="16">
        <f t="shared" si="355"/>
        <v>0</v>
      </c>
      <c r="CJ967" s="16" t="e">
        <f t="shared" si="350"/>
        <v>#N/A</v>
      </c>
      <c r="CK967" s="16" t="str">
        <f t="shared" si="351"/>
        <v/>
      </c>
    </row>
    <row r="968" spans="73:89" ht="12" customHeight="1">
      <c r="BU968" s="16">
        <f t="shared" si="352"/>
        <v>0</v>
      </c>
      <c r="BV968" s="16">
        <f>IF($BY$12=1,NORMDIST(BY968,$Y$6,$Y$8,TRUE),IF($BY$12=2,IF(BY968&lt;=$BX$31,0,IF(BY968&gt;=$BX$32,1,(BY968-$BX$31)*$BX$33)),SUM($BU$42:BU968)/$BV$40))</f>
        <v>0.9834141933163929</v>
      </c>
      <c r="BW968" s="16">
        <f t="shared" si="353"/>
        <v>0.19112422587392783</v>
      </c>
      <c r="BX968" s="16">
        <f>IF($BY$12&lt;3,BV968,SUM($BZ$42:BZ968)/$BX$40)</f>
        <v>0.9834141933163929</v>
      </c>
      <c r="BY968" s="16">
        <f t="shared" si="345"/>
        <v>92.599999999999014</v>
      </c>
      <c r="BZ968" s="16">
        <f t="shared" si="346"/>
        <v>2.0639765213167371E-3</v>
      </c>
      <c r="CA968" s="16">
        <f t="shared" si="354"/>
        <v>-999</v>
      </c>
      <c r="CE968" s="16" t="e">
        <f t="shared" si="347"/>
        <v>#N/A</v>
      </c>
      <c r="CF968" s="16">
        <f t="shared" si="348"/>
        <v>99</v>
      </c>
      <c r="CG968" s="16">
        <f t="shared" si="349"/>
        <v>0</v>
      </c>
      <c r="CH968" s="16">
        <f t="shared" si="355"/>
        <v>0</v>
      </c>
      <c r="CJ968" s="16" t="e">
        <f t="shared" si="350"/>
        <v>#N/A</v>
      </c>
      <c r="CK968" s="16" t="str">
        <f t="shared" si="351"/>
        <v/>
      </c>
    </row>
    <row r="969" spans="73:89" ht="12" customHeight="1">
      <c r="BU969" s="16">
        <f t="shared" si="352"/>
        <v>0</v>
      </c>
      <c r="BV969" s="16">
        <f>IF($BY$12=1,NORMDIST(BY969,$Y$6,$Y$8,TRUE),IF($BY$12=2,IF(BY969&lt;=$BX$31,0,IF(BY969&gt;=$BX$32,1,(BY969-$BX$31)*$BX$33)),SUM($BU$42:BU969)/$BV$40))</f>
        <v>0.98361949493920364</v>
      </c>
      <c r="BW969" s="16">
        <f t="shared" si="353"/>
        <v>0.18930139828477729</v>
      </c>
      <c r="BX969" s="16">
        <f>IF($BY$12&lt;3,BV969,SUM($BZ$42:BZ969)/$BX$40)</f>
        <v>0.98361949493920364</v>
      </c>
      <c r="BY969" s="16">
        <f t="shared" si="345"/>
        <v>92.699999999999008</v>
      </c>
      <c r="BZ969" s="16">
        <f t="shared" si="346"/>
        <v>2.0420862813892052E-3</v>
      </c>
      <c r="CA969" s="16">
        <f t="shared" si="354"/>
        <v>-999</v>
      </c>
      <c r="CE969" s="16" t="e">
        <f t="shared" si="347"/>
        <v>#N/A</v>
      </c>
      <c r="CF969" s="16">
        <f t="shared" si="348"/>
        <v>99</v>
      </c>
      <c r="CG969" s="16">
        <f t="shared" si="349"/>
        <v>0</v>
      </c>
      <c r="CH969" s="16">
        <f t="shared" si="355"/>
        <v>0</v>
      </c>
      <c r="CJ969" s="16" t="e">
        <f t="shared" si="350"/>
        <v>#N/A</v>
      </c>
      <c r="CK969" s="16" t="str">
        <f t="shared" si="351"/>
        <v/>
      </c>
    </row>
    <row r="970" spans="73:89" ht="12" customHeight="1">
      <c r="BU970" s="16">
        <f t="shared" si="352"/>
        <v>0</v>
      </c>
      <c r="BV970" s="16">
        <f>IF($BY$12=1,NORMDIST(BY970,$Y$6,$Y$8,TRUE),IF($BY$12=2,IF(BY970&lt;=$BX$31,0,IF(BY970&gt;=$BX$32,1,(BY970-$BX$31)*$BX$33)),SUM($BU$42:BU970)/$BV$40))</f>
        <v>0.98382261662783188</v>
      </c>
      <c r="BW970" s="16">
        <f t="shared" si="353"/>
        <v>0.18749105020208978</v>
      </c>
      <c r="BX970" s="16">
        <f>IF($BY$12&lt;3,BV970,SUM($BZ$42:BZ970)/$BX$40)</f>
        <v>0.98382261662783188</v>
      </c>
      <c r="BY970" s="16">
        <f t="shared" si="345"/>
        <v>92.799999999999002</v>
      </c>
      <c r="BZ970" s="16">
        <f t="shared" si="346"/>
        <v>2.0203776961432306E-3</v>
      </c>
      <c r="CA970" s="16">
        <f t="shared" si="354"/>
        <v>-999</v>
      </c>
      <c r="CE970" s="16" t="e">
        <f t="shared" si="347"/>
        <v>#N/A</v>
      </c>
      <c r="CF970" s="16">
        <f t="shared" si="348"/>
        <v>99</v>
      </c>
      <c r="CG970" s="16">
        <f t="shared" si="349"/>
        <v>0</v>
      </c>
      <c r="CH970" s="16">
        <f t="shared" si="355"/>
        <v>0</v>
      </c>
      <c r="CJ970" s="16" t="e">
        <f t="shared" si="350"/>
        <v>#N/A</v>
      </c>
      <c r="CK970" s="16" t="str">
        <f t="shared" si="351"/>
        <v/>
      </c>
    </row>
    <row r="971" spans="73:89" ht="12" customHeight="1">
      <c r="BU971" s="16">
        <f t="shared" si="352"/>
        <v>0</v>
      </c>
      <c r="BV971" s="16">
        <f>IF($BY$12=1,NORMDIST(BY971,$Y$6,$Y$8,TRUE),IF($BY$12=2,IF(BY971&lt;=$BX$31,0,IF(BY971&gt;=$BX$32,1,(BY971-$BX$31)*$BX$33)),SUM($BU$42:BU971)/$BV$40))</f>
        <v>0.98402357650521144</v>
      </c>
      <c r="BW971" s="16">
        <f t="shared" si="353"/>
        <v>0.18569315702253297</v>
      </c>
      <c r="BX971" s="16">
        <f>IF($BY$12&lt;3,BV971,SUM($BZ$42:BZ971)/$BX$40)</f>
        <v>0.98402357650521144</v>
      </c>
      <c r="BY971" s="16">
        <f t="shared" si="345"/>
        <v>92.899999999998997</v>
      </c>
      <c r="BZ971" s="16">
        <f t="shared" si="346"/>
        <v>1.9988499141284713E-3</v>
      </c>
      <c r="CA971" s="16">
        <f t="shared" si="354"/>
        <v>-999</v>
      </c>
      <c r="CE971" s="16" t="e">
        <f t="shared" si="347"/>
        <v>#N/A</v>
      </c>
      <c r="CF971" s="16">
        <f t="shared" si="348"/>
        <v>99</v>
      </c>
      <c r="CG971" s="16">
        <f t="shared" si="349"/>
        <v>0</v>
      </c>
      <c r="CH971" s="16">
        <f t="shared" si="355"/>
        <v>0</v>
      </c>
      <c r="CJ971" s="16" t="e">
        <f t="shared" si="350"/>
        <v>#N/A</v>
      </c>
      <c r="CK971" s="16" t="str">
        <f t="shared" si="351"/>
        <v/>
      </c>
    </row>
    <row r="972" spans="73:89" ht="12" customHeight="1">
      <c r="BU972" s="16">
        <f t="shared" si="352"/>
        <v>0</v>
      </c>
      <c r="BV972" s="16">
        <f>IF($BY$12=1,NORMDIST(BY972,$Y$6,$Y$8,TRUE),IF($BY$12=2,IF(BY972&lt;=$BX$31,0,IF(BY972&gt;=$BX$32,1,(BY972-$BX$31)*$BX$33)),SUM($BU$42:BU972)/$BV$40))</f>
        <v>0.98422239260890754</v>
      </c>
      <c r="BW972" s="16">
        <f t="shared" si="353"/>
        <v>0.18390769339058946</v>
      </c>
      <c r="BX972" s="16">
        <f>IF($BY$12&lt;3,BV972,SUM($BZ$42:BZ972)/$BX$40)</f>
        <v>0.98422239260890754</v>
      </c>
      <c r="BY972" s="16">
        <f t="shared" si="345"/>
        <v>92.999999999998991</v>
      </c>
      <c r="BZ972" s="16">
        <f t="shared" si="346"/>
        <v>1.9775020794687253E-3</v>
      </c>
      <c r="CA972" s="16">
        <f t="shared" si="354"/>
        <v>-999</v>
      </c>
      <c r="CE972" s="16" t="e">
        <f t="shared" si="347"/>
        <v>#N/A</v>
      </c>
      <c r="CF972" s="16">
        <f t="shared" si="348"/>
        <v>99</v>
      </c>
      <c r="CG972" s="16">
        <f t="shared" si="349"/>
        <v>0</v>
      </c>
      <c r="CH972" s="16">
        <f t="shared" si="355"/>
        <v>0</v>
      </c>
      <c r="CJ972" s="16" t="e">
        <f t="shared" si="350"/>
        <v>#N/A</v>
      </c>
      <c r="CK972" s="16" t="str">
        <f t="shared" si="351"/>
        <v/>
      </c>
    </row>
    <row r="973" spans="73:89" ht="12" customHeight="1">
      <c r="BU973" s="16">
        <f t="shared" si="352"/>
        <v>0</v>
      </c>
      <c r="BV973" s="16">
        <f>IF($BY$12=1,NORMDIST(BY973,$Y$6,$Y$8,TRUE),IF($BY$12=2,IF(BY973&lt;=$BX$31,0,IF(BY973&gt;=$BX$32,1,(BY973-$BX$31)*$BX$33)),SUM($BU$42:BU973)/$BV$40))</f>
        <v>0.9844190828906827</v>
      </c>
      <c r="BW973" s="16">
        <f t="shared" si="353"/>
        <v>0.18213463320865922</v>
      </c>
      <c r="BX973" s="16">
        <f>IF($BY$12&lt;3,BV973,SUM($BZ$42:BZ973)/$BX$40)</f>
        <v>0.9844190828906827</v>
      </c>
      <c r="BY973" s="16">
        <f t="shared" si="345"/>
        <v>93.099999999998985</v>
      </c>
      <c r="BZ973" s="16">
        <f t="shared" si="346"/>
        <v>1.9563333319942127E-3</v>
      </c>
      <c r="CA973" s="16">
        <f t="shared" si="354"/>
        <v>-999</v>
      </c>
      <c r="CE973" s="16" t="e">
        <f t="shared" si="347"/>
        <v>#N/A</v>
      </c>
      <c r="CF973" s="16">
        <f t="shared" si="348"/>
        <v>99</v>
      </c>
      <c r="CG973" s="16">
        <f t="shared" si="349"/>
        <v>0</v>
      </c>
      <c r="CH973" s="16">
        <f t="shared" si="355"/>
        <v>0</v>
      </c>
      <c r="CJ973" s="16" t="e">
        <f t="shared" si="350"/>
        <v>#N/A</v>
      </c>
      <c r="CK973" s="16" t="str">
        <f t="shared" si="351"/>
        <v/>
      </c>
    </row>
    <row r="974" spans="73:89" ht="12" customHeight="1">
      <c r="BU974" s="16">
        <f t="shared" si="352"/>
        <v>0</v>
      </c>
      <c r="BV974" s="16">
        <f>IF($BY$12=1,NORMDIST(BY974,$Y$6,$Y$8,TRUE),IF($BY$12=2,IF(BY974&lt;=$BX$31,0,IF(BY974&gt;=$BX$32,1,(BY974-$BX$31)*$BX$33)),SUM($BU$42:BU974)/$BV$40))</f>
        <v>0.98461366521607263</v>
      </c>
      <c r="BW974" s="16">
        <f t="shared" si="353"/>
        <v>0.18037394964716108</v>
      </c>
      <c r="BX974" s="16">
        <f>IF($BY$12&lt;3,BV974,SUM($BZ$42:BZ974)/$BX$40)</f>
        <v>0.98461366521607263</v>
      </c>
      <c r="BY974" s="16">
        <f t="shared" si="345"/>
        <v>93.19999999999898</v>
      </c>
      <c r="BZ974" s="16">
        <f t="shared" si="346"/>
        <v>1.9353428073729943E-3</v>
      </c>
      <c r="CA974" s="16">
        <f t="shared" si="354"/>
        <v>-999</v>
      </c>
      <c r="CE974" s="16" t="e">
        <f t="shared" si="347"/>
        <v>#N/A</v>
      </c>
      <c r="CF974" s="16">
        <f t="shared" si="348"/>
        <v>99</v>
      </c>
      <c r="CG974" s="16">
        <f t="shared" si="349"/>
        <v>0</v>
      </c>
      <c r="CH974" s="16">
        <f t="shared" si="355"/>
        <v>0</v>
      </c>
      <c r="CJ974" s="16" t="e">
        <f t="shared" si="350"/>
        <v>#N/A</v>
      </c>
      <c r="CK974" s="16" t="str">
        <f t="shared" si="351"/>
        <v/>
      </c>
    </row>
    <row r="975" spans="73:89" ht="12" customHeight="1">
      <c r="BU975" s="16">
        <f t="shared" si="352"/>
        <v>0</v>
      </c>
      <c r="BV975" s="16">
        <f>IF($BY$12=1,NORMDIST(BY975,$Y$6,$Y$8,TRUE),IF($BY$12=2,IF(BY975&lt;=$BX$31,0,IF(BY975&gt;=$BX$32,1,(BY975-$BX$31)*$BX$33)),SUM($BU$42:BU975)/$BV$40))</f>
        <v>0.98480615736397792</v>
      </c>
      <c r="BW975" s="16">
        <f t="shared" si="353"/>
        <v>0.17862561515462855</v>
      </c>
      <c r="BX975" s="16">
        <f>IF($BY$12&lt;3,BV975,SUM($BZ$42:BZ975)/$BX$40)</f>
        <v>0.98480615736397792</v>
      </c>
      <c r="BY975" s="16">
        <f t="shared" si="345"/>
        <v>93.299999999998974</v>
      </c>
      <c r="BZ975" s="16">
        <f t="shared" si="346"/>
        <v>1.9145296372414847E-3</v>
      </c>
      <c r="CA975" s="16">
        <f t="shared" si="354"/>
        <v>-999</v>
      </c>
      <c r="CE975" s="16" t="e">
        <f t="shared" si="347"/>
        <v>#N/A</v>
      </c>
      <c r="CF975" s="16">
        <f t="shared" si="348"/>
        <v>99</v>
      </c>
      <c r="CG975" s="16">
        <f t="shared" si="349"/>
        <v>0</v>
      </c>
      <c r="CH975" s="16">
        <f t="shared" si="355"/>
        <v>0</v>
      </c>
      <c r="CJ975" s="16" t="e">
        <f t="shared" si="350"/>
        <v>#N/A</v>
      </c>
      <c r="CK975" s="16" t="str">
        <f t="shared" si="351"/>
        <v/>
      </c>
    </row>
    <row r="976" spans="73:89" ht="12" customHeight="1">
      <c r="BU976" s="16">
        <f t="shared" si="352"/>
        <v>0</v>
      </c>
      <c r="BV976" s="16">
        <f>IF($BY$12=1,NORMDIST(BY976,$Y$6,$Y$8,TRUE),IF($BY$12=2,IF(BY976&lt;=$BX$31,0,IF(BY976&gt;=$BX$32,1,(BY976-$BX$31)*$BX$33)),SUM($BU$42:BU976)/$BV$40))</f>
        <v>0.98499657702626586</v>
      </c>
      <c r="BW976" s="16">
        <f t="shared" si="353"/>
        <v>0.17688960146780164</v>
      </c>
      <c r="BX976" s="16">
        <f>IF($BY$12&lt;3,BV976,SUM($BZ$42:BZ976)/$BX$40)</f>
        <v>0.98499657702626586</v>
      </c>
      <c r="BY976" s="16">
        <f t="shared" si="345"/>
        <v>93.399999999998968</v>
      </c>
      <c r="BZ976" s="16">
        <f t="shared" si="346"/>
        <v>1.8938929493340856E-3</v>
      </c>
      <c r="CA976" s="16">
        <f t="shared" si="354"/>
        <v>-999</v>
      </c>
      <c r="CE976" s="16" t="e">
        <f t="shared" si="347"/>
        <v>#N/A</v>
      </c>
      <c r="CF976" s="16">
        <f t="shared" si="348"/>
        <v>99</v>
      </c>
      <c r="CG976" s="16">
        <f t="shared" si="349"/>
        <v>0</v>
      </c>
      <c r="CH976" s="16">
        <f t="shared" si="355"/>
        <v>0</v>
      </c>
      <c r="CJ976" s="16" t="e">
        <f t="shared" si="350"/>
        <v>#N/A</v>
      </c>
      <c r="CK976" s="16" t="str">
        <f t="shared" si="351"/>
        <v/>
      </c>
    </row>
    <row r="977" spans="73:89" ht="12" customHeight="1">
      <c r="BU977" s="16">
        <f t="shared" si="352"/>
        <v>0</v>
      </c>
      <c r="BV977" s="16">
        <f>IF($BY$12=1,NORMDIST(BY977,$Y$6,$Y$8,TRUE),IF($BY$12=2,IF(BY977&lt;=$BX$31,0,IF(BY977&gt;=$BX$32,1,(BY977-$BX$31)*$BX$33)),SUM($BU$42:BU977)/$BV$40))</f>
        <v>0.98518494180738814</v>
      </c>
      <c r="BW977" s="16">
        <f t="shared" si="353"/>
        <v>0.17516587962171074</v>
      </c>
      <c r="BX977" s="16">
        <f>IF($BY$12&lt;3,BV977,SUM($BZ$42:BZ977)/$BX$40)</f>
        <v>0.98518494180738814</v>
      </c>
      <c r="BY977" s="16">
        <f t="shared" si="345"/>
        <v>93.499999999998963</v>
      </c>
      <c r="BZ977" s="16">
        <f t="shared" si="346"/>
        <v>1.8734318676119003E-3</v>
      </c>
      <c r="CA977" s="16">
        <f t="shared" si="354"/>
        <v>-999</v>
      </c>
      <c r="CE977" s="16" t="e">
        <f t="shared" si="347"/>
        <v>#N/A</v>
      </c>
      <c r="CF977" s="16">
        <f t="shared" si="348"/>
        <v>99</v>
      </c>
      <c r="CG977" s="16">
        <f t="shared" si="349"/>
        <v>0</v>
      </c>
      <c r="CH977" s="16">
        <f t="shared" si="355"/>
        <v>0</v>
      </c>
      <c r="CJ977" s="16" t="e">
        <f t="shared" si="350"/>
        <v>#N/A</v>
      </c>
      <c r="CK977" s="16" t="str">
        <f t="shared" si="351"/>
        <v/>
      </c>
    </row>
    <row r="978" spans="73:89" ht="12" customHeight="1">
      <c r="BU978" s="16">
        <f t="shared" si="352"/>
        <v>0</v>
      </c>
      <c r="BV978" s="16">
        <f>IF($BY$12=1,NORMDIST(BY978,$Y$6,$Y$8,TRUE),IF($BY$12=2,IF(BY978&lt;=$BX$31,0,IF(BY978&gt;=$BX$32,1,(BY978-$BX$31)*$BX$33)),SUM($BU$42:BU978)/$BV$40))</f>
        <v>0.98537126922400875</v>
      </c>
      <c r="BW978" s="16">
        <f t="shared" si="353"/>
        <v>0.17345441995975214</v>
      </c>
      <c r="BX978" s="16">
        <f>IF($BY$12&lt;3,BV978,SUM($BZ$42:BZ978)/$BX$40)</f>
        <v>0.98537126922400875</v>
      </c>
      <c r="BY978" s="16">
        <f t="shared" si="345"/>
        <v>93.599999999998957</v>
      </c>
      <c r="BZ978" s="16">
        <f t="shared" si="346"/>
        <v>1.853145512390535E-3</v>
      </c>
      <c r="CA978" s="16">
        <f t="shared" si="354"/>
        <v>-999</v>
      </c>
      <c r="CE978" s="16" t="e">
        <f t="shared" si="347"/>
        <v>#N/A</v>
      </c>
      <c r="CF978" s="16">
        <f t="shared" si="348"/>
        <v>99</v>
      </c>
      <c r="CG978" s="16">
        <f t="shared" si="349"/>
        <v>0</v>
      </c>
      <c r="CH978" s="16">
        <f t="shared" si="355"/>
        <v>0</v>
      </c>
      <c r="CJ978" s="16" t="e">
        <f t="shared" si="350"/>
        <v>#N/A</v>
      </c>
      <c r="CK978" s="16" t="str">
        <f t="shared" si="351"/>
        <v/>
      </c>
    </row>
    <row r="979" spans="73:89" ht="12" customHeight="1">
      <c r="BU979" s="16">
        <f t="shared" si="352"/>
        <v>0</v>
      </c>
      <c r="BV979" s="16">
        <f>IF($BY$12=1,NORMDIST(BY979,$Y$6,$Y$8,TRUE),IF($BY$12=2,IF(BY979&lt;=$BX$31,0,IF(BY979&gt;=$BX$32,1,(BY979-$BX$31)*$BX$33)),SUM($BU$42:BU979)/$BV$40))</f>
        <v>0.98555557670464655</v>
      </c>
      <c r="BW979" s="16">
        <f t="shared" si="353"/>
        <v>0.17175519214375345</v>
      </c>
      <c r="BX979" s="16">
        <f>IF($BY$12&lt;3,BV979,SUM($BZ$42:BZ979)/$BX$40)</f>
        <v>0.98555557670464655</v>
      </c>
      <c r="BY979" s="16">
        <f t="shared" si="345"/>
        <v>93.699999999998951</v>
      </c>
      <c r="BZ979" s="16">
        <f t="shared" si="346"/>
        <v>1.833033000466973E-3</v>
      </c>
      <c r="CA979" s="16">
        <f t="shared" si="354"/>
        <v>-999</v>
      </c>
      <c r="CE979" s="16" t="e">
        <f t="shared" si="347"/>
        <v>#N/A</v>
      </c>
      <c r="CF979" s="16">
        <f t="shared" si="348"/>
        <v>99</v>
      </c>
      <c r="CG979" s="16">
        <f t="shared" si="349"/>
        <v>0</v>
      </c>
      <c r="CH979" s="16">
        <f t="shared" si="355"/>
        <v>0</v>
      </c>
      <c r="CJ979" s="16" t="e">
        <f t="shared" si="350"/>
        <v>#N/A</v>
      </c>
      <c r="CK979" s="16" t="str">
        <f t="shared" si="351"/>
        <v/>
      </c>
    </row>
    <row r="980" spans="73:89" ht="12" customHeight="1">
      <c r="BU980" s="16">
        <f t="shared" si="352"/>
        <v>0</v>
      </c>
      <c r="BV980" s="16">
        <f>IF($BY$12=1,NORMDIST(BY980,$Y$6,$Y$8,TRUE),IF($BY$12=2,IF(BY980&lt;=$BX$31,0,IF(BY980&gt;=$BX$32,1,(BY980-$BX$31)*$BX$33)),SUM($BU$42:BU980)/$BV$40))</f>
        <v>0.9857378815893294</v>
      </c>
      <c r="BW980" s="16">
        <f t="shared" si="353"/>
        <v>0.17006816516402787</v>
      </c>
      <c r="BX980" s="16">
        <f>IF($BY$12&lt;3,BV980,SUM($BZ$42:BZ980)/$BX$40)</f>
        <v>0.9857378815893294</v>
      </c>
      <c r="BY980" s="16">
        <f t="shared" si="345"/>
        <v>93.799999999998946</v>
      </c>
      <c r="BZ980" s="16">
        <f t="shared" si="346"/>
        <v>1.8130934452455201E-3</v>
      </c>
      <c r="CA980" s="16">
        <f t="shared" si="354"/>
        <v>-999</v>
      </c>
      <c r="CE980" s="16" t="e">
        <f t="shared" si="347"/>
        <v>#N/A</v>
      </c>
      <c r="CF980" s="16">
        <f t="shared" si="348"/>
        <v>99</v>
      </c>
      <c r="CG980" s="16">
        <f t="shared" si="349"/>
        <v>0</v>
      </c>
      <c r="CH980" s="16">
        <f t="shared" si="355"/>
        <v>0</v>
      </c>
      <c r="CJ980" s="16" t="e">
        <f t="shared" si="350"/>
        <v>#N/A</v>
      </c>
      <c r="CK980" s="16" t="str">
        <f t="shared" si="351"/>
        <v/>
      </c>
    </row>
    <row r="981" spans="73:89" ht="12" customHeight="1">
      <c r="BU981" s="16">
        <f t="shared" si="352"/>
        <v>0</v>
      </c>
      <c r="BV981" s="16">
        <f>IF($BY$12=1,NORMDIST(BY981,$Y$6,$Y$8,TRUE),IF($BY$12=2,IF(BY981&lt;=$BX$31,0,IF(BY981&gt;=$BX$32,1,(BY981-$BX$31)*$BX$33)),SUM($BU$42:BU981)/$BV$40))</f>
        <v>0.98591820112926021</v>
      </c>
      <c r="BW981" s="16">
        <f t="shared" si="353"/>
        <v>0.16839330734941463</v>
      </c>
      <c r="BX981" s="16">
        <f>IF($BY$12&lt;3,BV981,SUM($BZ$42:BZ981)/$BX$40)</f>
        <v>0.98591820112926021</v>
      </c>
      <c r="BY981" s="16">
        <f t="shared" si="345"/>
        <v>93.89999999999894</v>
      </c>
      <c r="BZ981" s="16">
        <f t="shared" si="346"/>
        <v>1.7933259568627957E-3</v>
      </c>
      <c r="CA981" s="16">
        <f t="shared" si="354"/>
        <v>-999</v>
      </c>
      <c r="CE981" s="16" t="e">
        <f t="shared" si="347"/>
        <v>#N/A</v>
      </c>
      <c r="CF981" s="16">
        <f t="shared" si="348"/>
        <v>99</v>
      </c>
      <c r="CG981" s="16">
        <f t="shared" si="349"/>
        <v>0</v>
      </c>
      <c r="CH981" s="16">
        <f t="shared" si="355"/>
        <v>0</v>
      </c>
      <c r="CJ981" s="16" t="e">
        <f t="shared" si="350"/>
        <v>#N/A</v>
      </c>
      <c r="CK981" s="16" t="str">
        <f t="shared" si="351"/>
        <v/>
      </c>
    </row>
    <row r="982" spans="73:89" ht="12" customHeight="1">
      <c r="BU982" s="16">
        <f t="shared" si="352"/>
        <v>0</v>
      </c>
      <c r="BV982" s="16">
        <f>IF($BY$12=1,NORMDIST(BY982,$Y$6,$Y$8,TRUE),IF($BY$12=2,IF(BY982&lt;=$BX$31,0,IF(BY982&gt;=$BX$32,1,(BY982-$BX$31)*$BX$33)),SUM($BU$42:BU982)/$BV$40))</f>
        <v>0.98609655248649952</v>
      </c>
      <c r="BW982" s="16">
        <f t="shared" si="353"/>
        <v>0.16673058637730542</v>
      </c>
      <c r="BX982" s="16">
        <f>IF($BY$12&lt;3,BV982,SUM($BZ$42:BZ982)/$BX$40)</f>
        <v>0.98609655248649952</v>
      </c>
      <c r="BY982" s="16">
        <f t="shared" ref="BY982:BY1042" si="356">BY981+$BZ$1</f>
        <v>93.999999999998934</v>
      </c>
      <c r="BZ982" s="16">
        <f t="shared" si="346"/>
        <v>1.7737296423117799E-3</v>
      </c>
      <c r="CA982" s="16">
        <f t="shared" si="354"/>
        <v>-999</v>
      </c>
      <c r="CE982" s="16" t="e">
        <f t="shared" si="347"/>
        <v>#N/A</v>
      </c>
      <c r="CF982" s="16">
        <f t="shared" si="348"/>
        <v>99</v>
      </c>
      <c r="CG982" s="16">
        <f t="shared" si="349"/>
        <v>0</v>
      </c>
      <c r="CH982" s="16">
        <f t="shared" si="355"/>
        <v>0</v>
      </c>
      <c r="CJ982" s="16" t="e">
        <f t="shared" si="350"/>
        <v>#N/A</v>
      </c>
      <c r="CK982" s="16" t="str">
        <f t="shared" si="351"/>
        <v/>
      </c>
    </row>
    <row r="983" spans="73:89" ht="12" customHeight="1">
      <c r="BU983" s="16">
        <f t="shared" si="352"/>
        <v>0</v>
      </c>
      <c r="BV983" s="16">
        <f>IF($BY$12=1,NORMDIST(BY983,$Y$6,$Y$8,TRUE),IF($BY$12=2,IF(BY983&lt;=$BX$31,0,IF(BY983&gt;=$BX$32,1,(BY983-$BX$31)*$BX$33)),SUM($BU$42:BU983)/$BV$40))</f>
        <v>0.98627295273365267</v>
      </c>
      <c r="BW983" s="16">
        <f t="shared" si="353"/>
        <v>0.16507996928365523</v>
      </c>
      <c r="BX983" s="16">
        <f>IF($BY$12&lt;3,BV983,SUM($BZ$42:BZ983)/$BX$40)</f>
        <v>0.98627295273365267</v>
      </c>
      <c r="BY983" s="16">
        <f t="shared" si="356"/>
        <v>94.099999999998929</v>
      </c>
      <c r="BZ983" s="16">
        <f t="shared" si="346"/>
        <v>1.7543036055649001E-3</v>
      </c>
      <c r="CA983" s="16">
        <f t="shared" si="354"/>
        <v>-999</v>
      </c>
      <c r="CE983" s="16" t="e">
        <f t="shared" si="347"/>
        <v>#N/A</v>
      </c>
      <c r="CF983" s="16">
        <f t="shared" si="348"/>
        <v>99</v>
      </c>
      <c r="CG983" s="16">
        <f t="shared" si="349"/>
        <v>0</v>
      </c>
      <c r="CH983" s="16">
        <f t="shared" si="355"/>
        <v>0</v>
      </c>
      <c r="CJ983" s="16" t="e">
        <f t="shared" si="350"/>
        <v>#N/A</v>
      </c>
      <c r="CK983" s="16" t="str">
        <f t="shared" si="351"/>
        <v/>
      </c>
    </row>
    <row r="984" spans="73:89" ht="12" customHeight="1">
      <c r="BU984" s="16">
        <f t="shared" si="352"/>
        <v>0</v>
      </c>
      <c r="BV984" s="16">
        <f>IF($BY$12=1,NORMDIST(BY984,$Y$6,$Y$8,TRUE),IF($BY$12=2,IF(BY984&lt;=$BX$31,0,IF(BY984&gt;=$BX$32,1,(BY984-$BX$31)*$BX$33)),SUM($BU$42:BU984)/$BV$40))</f>
        <v>0.98644741885357834</v>
      </c>
      <c r="BW984" s="16">
        <f t="shared" si="353"/>
        <v>0.16344142247297519</v>
      </c>
      <c r="BX984" s="16">
        <f>IF($BY$12&lt;3,BV984,SUM($BZ$42:BZ984)/$BX$40)</f>
        <v>0.98644741885357834</v>
      </c>
      <c r="BY984" s="16">
        <f t="shared" si="356"/>
        <v>94.199999999998923</v>
      </c>
      <c r="BZ984" s="16">
        <f t="shared" si="346"/>
        <v>1.7350469476961471E-3</v>
      </c>
      <c r="CA984" s="16">
        <f t="shared" si="354"/>
        <v>-999</v>
      </c>
      <c r="CE984" s="16" t="e">
        <f t="shared" si="347"/>
        <v>#N/A</v>
      </c>
      <c r="CF984" s="16">
        <f t="shared" si="348"/>
        <v>99</v>
      </c>
      <c r="CG984" s="16">
        <f t="shared" si="349"/>
        <v>0</v>
      </c>
      <c r="CH984" s="16">
        <f t="shared" si="355"/>
        <v>0</v>
      </c>
      <c r="CJ984" s="16" t="e">
        <f t="shared" si="350"/>
        <v>#N/A</v>
      </c>
      <c r="CK984" s="16" t="str">
        <f t="shared" si="351"/>
        <v/>
      </c>
    </row>
    <row r="985" spans="73:89" ht="12" customHeight="1">
      <c r="BU985" s="16">
        <f t="shared" si="352"/>
        <v>0</v>
      </c>
      <c r="BV985" s="16">
        <f>IF($BY$12=1,NORMDIST(BY985,$Y$6,$Y$8,TRUE),IF($BY$12=2,IF(BY985&lt;=$BX$31,0,IF(BY985&gt;=$BX$32,1,(BY985-$BX$31)*$BX$33)),SUM($BU$42:BU985)/$BV$40))</f>
        <v>0.98661996773910066</v>
      </c>
      <c r="BW985" s="16">
        <f t="shared" si="353"/>
        <v>0.16181491172830711</v>
      </c>
      <c r="BX985" s="16">
        <f>IF($BY$12&lt;3,BV985,SUM($BZ$42:BZ985)/$BX$40)</f>
        <v>0.98661996773910066</v>
      </c>
      <c r="BY985" s="16">
        <f t="shared" si="356"/>
        <v>94.299999999998917</v>
      </c>
      <c r="BZ985" s="16">
        <f t="shared" si="346"/>
        <v>1.7159587670022161E-3</v>
      </c>
      <c r="CA985" s="16">
        <f t="shared" si="354"/>
        <v>-999</v>
      </c>
      <c r="CE985" s="16" t="e">
        <f t="shared" si="347"/>
        <v>#N/A</v>
      </c>
      <c r="CF985" s="16">
        <f t="shared" si="348"/>
        <v>99</v>
      </c>
      <c r="CG985" s="16">
        <f t="shared" si="349"/>
        <v>0</v>
      </c>
      <c r="CH985" s="16">
        <f t="shared" si="355"/>
        <v>0</v>
      </c>
      <c r="CJ985" s="16" t="e">
        <f t="shared" si="350"/>
        <v>#N/A</v>
      </c>
      <c r="CK985" s="16" t="str">
        <f t="shared" si="351"/>
        <v/>
      </c>
    </row>
    <row r="986" spans="73:89" ht="12" customHeight="1">
      <c r="BU986" s="16">
        <f t="shared" si="352"/>
        <v>0</v>
      </c>
      <c r="BV986" s="16">
        <f>IF($BY$12=1,NORMDIST(BY986,$Y$6,$Y$8,TRUE),IF($BY$12=2,IF(BY986&lt;=$BX$31,0,IF(BY986&gt;=$BX$32,1,(BY986-$BX$31)*$BX$33)),SUM($BU$42:BU986)/$BV$40))</f>
        <v>0.986790616192742</v>
      </c>
      <c r="BW986" s="16">
        <f t="shared" si="353"/>
        <v>0.16020040222117768</v>
      </c>
      <c r="BX986" s="16">
        <f>IF($BY$12&lt;3,BV986,SUM($BZ$42:BZ986)/$BX$40)</f>
        <v>0.986790616192742</v>
      </c>
      <c r="BY986" s="16">
        <f t="shared" si="356"/>
        <v>94.399999999998911</v>
      </c>
      <c r="BZ986" s="16">
        <f t="shared" si="346"/>
        <v>1.6970381591226644E-3</v>
      </c>
      <c r="CA986" s="16">
        <f t="shared" si="354"/>
        <v>-999</v>
      </c>
      <c r="CE986" s="16" t="e">
        <f t="shared" si="347"/>
        <v>#N/A</v>
      </c>
      <c r="CF986" s="16">
        <f t="shared" si="348"/>
        <v>99</v>
      </c>
      <c r="CG986" s="16">
        <f t="shared" si="349"/>
        <v>0</v>
      </c>
      <c r="CH986" s="16">
        <f t="shared" si="355"/>
        <v>0</v>
      </c>
      <c r="CJ986" s="16" t="e">
        <f t="shared" si="350"/>
        <v>#N/A</v>
      </c>
      <c r="CK986" s="16" t="str">
        <f t="shared" si="351"/>
        <v/>
      </c>
    </row>
    <row r="987" spans="73:89" ht="12" customHeight="1">
      <c r="BU987" s="16">
        <f t="shared" si="352"/>
        <v>0</v>
      </c>
      <c r="BV987" s="16">
        <f>IF($BY$12=1,NORMDIST(BY987,$Y$6,$Y$8,TRUE),IF($BY$12=2,IF(BY987&lt;=$BX$31,0,IF(BY987&gt;=$BX$32,1,(BY987-$BX$31)*$BX$33)),SUM($BU$42:BU987)/$BV$40))</f>
        <v>0.98695938092645852</v>
      </c>
      <c r="BW987" s="16">
        <f t="shared" si="353"/>
        <v>0.15859785852153133</v>
      </c>
      <c r="BX987" s="16">
        <f>IF($BY$12&lt;3,BV987,SUM($BZ$42:BZ987)/$BX$40)</f>
        <v>0.98695938092645852</v>
      </c>
      <c r="BY987" s="16">
        <f t="shared" si="356"/>
        <v>94.499999999998906</v>
      </c>
      <c r="BZ987" s="16">
        <f t="shared" si="346"/>
        <v>1.678284217159081E-3</v>
      </c>
      <c r="CA987" s="16">
        <f t="shared" si="354"/>
        <v>-999</v>
      </c>
      <c r="CE987" s="16" t="e">
        <f t="shared" si="347"/>
        <v>#N/A</v>
      </c>
      <c r="CF987" s="16">
        <f t="shared" si="348"/>
        <v>99</v>
      </c>
      <c r="CG987" s="16">
        <f t="shared" si="349"/>
        <v>0</v>
      </c>
      <c r="CH987" s="16">
        <f t="shared" si="355"/>
        <v>0</v>
      </c>
      <c r="CJ987" s="16" t="e">
        <f t="shared" si="350"/>
        <v>#N/A</v>
      </c>
      <c r="CK987" s="16" t="str">
        <f t="shared" si="351"/>
        <v/>
      </c>
    </row>
    <row r="988" spans="73:89" ht="12" customHeight="1">
      <c r="BU988" s="16">
        <f t="shared" si="352"/>
        <v>0</v>
      </c>
      <c r="BV988" s="16">
        <f>IF($BY$12=1,NORMDIST(BY988,$Y$6,$Y$8,TRUE),IF($BY$12=2,IF(BY988&lt;=$BX$31,0,IF(BY988&gt;=$BX$32,1,(BY988-$BX$31)*$BX$33)),SUM($BU$42:BU988)/$BV$40))</f>
        <v>0.98712627856139612</v>
      </c>
      <c r="BW988" s="16">
        <f t="shared" si="353"/>
        <v>0.15700724460764048</v>
      </c>
      <c r="BX988" s="16">
        <f>IF($BY$12&lt;3,BV988,SUM($BZ$42:BZ988)/$BX$40)</f>
        <v>0.98712627856139612</v>
      </c>
      <c r="BY988" s="16">
        <f t="shared" si="356"/>
        <v>94.5999999999989</v>
      </c>
      <c r="BZ988" s="16">
        <f t="shared" si="346"/>
        <v>1.659696031793259E-3</v>
      </c>
      <c r="CA988" s="16">
        <f t="shared" si="354"/>
        <v>-999</v>
      </c>
      <c r="CE988" s="16" t="e">
        <f t="shared" si="347"/>
        <v>#N/A</v>
      </c>
      <c r="CF988" s="16">
        <f t="shared" si="348"/>
        <v>99</v>
      </c>
      <c r="CG988" s="16">
        <f t="shared" si="349"/>
        <v>0</v>
      </c>
      <c r="CH988" s="16">
        <f t="shared" si="355"/>
        <v>0</v>
      </c>
      <c r="CJ988" s="16" t="e">
        <f t="shared" si="350"/>
        <v>#N/A</v>
      </c>
      <c r="CK988" s="16" t="str">
        <f t="shared" si="351"/>
        <v/>
      </c>
    </row>
    <row r="989" spans="73:89" ht="12" customHeight="1">
      <c r="BU989" s="16">
        <f t="shared" si="352"/>
        <v>0</v>
      </c>
      <c r="BV989" s="16">
        <f>IF($BY$12=1,NORMDIST(BY989,$Y$6,$Y$8,TRUE),IF($BY$12=2,IF(BY989&lt;=$BX$31,0,IF(BY989&gt;=$BX$32,1,(BY989-$BX$31)*$BX$33)),SUM($BU$42:BU989)/$BV$40))</f>
        <v>0.98729132562765232</v>
      </c>
      <c r="BW989" s="16">
        <f t="shared" si="353"/>
        <v>0.15542852387599115</v>
      </c>
      <c r="BX989" s="16">
        <f>IF($BY$12&lt;3,BV989,SUM($BZ$42:BZ989)/$BX$40)</f>
        <v>0.98729132562765232</v>
      </c>
      <c r="BY989" s="16">
        <f t="shared" si="356"/>
        <v>94.699999999998894</v>
      </c>
      <c r="BZ989" s="16">
        <f t="shared" si="346"/>
        <v>1.6412726914043607E-3</v>
      </c>
      <c r="CA989" s="16">
        <f t="shared" si="354"/>
        <v>-999</v>
      </c>
      <c r="CE989" s="16" t="e">
        <f t="shared" si="347"/>
        <v>#N/A</v>
      </c>
      <c r="CF989" s="16">
        <f t="shared" si="348"/>
        <v>99</v>
      </c>
      <c r="CG989" s="16">
        <f t="shared" si="349"/>
        <v>0</v>
      </c>
      <c r="CH989" s="16">
        <f t="shared" si="355"/>
        <v>0</v>
      </c>
      <c r="CJ989" s="16" t="e">
        <f t="shared" si="350"/>
        <v>#N/A</v>
      </c>
      <c r="CK989" s="16" t="str">
        <f t="shared" si="351"/>
        <v/>
      </c>
    </row>
    <row r="990" spans="73:89" ht="12" customHeight="1">
      <c r="BU990" s="16">
        <f t="shared" si="352"/>
        <v>0</v>
      </c>
      <c r="BV990" s="16">
        <f>IF($BY$12=1,NORMDIST(BY990,$Y$6,$Y$8,TRUE),IF($BY$12=2,IF(BY990&lt;=$BX$31,0,IF(BY990&gt;=$BX$32,1,(BY990-$BX$31)*$BX$33)),SUM($BU$42:BU990)/$BV$40))</f>
        <v>0.98745453856405163</v>
      </c>
      <c r="BW990" s="16">
        <f t="shared" si="353"/>
        <v>0.15386165915114328</v>
      </c>
      <c r="BX990" s="16">
        <f>IF($BY$12&lt;3,BV990,SUM($BZ$42:BZ990)/$BX$40)</f>
        <v>0.98745453856405163</v>
      </c>
      <c r="BY990" s="16">
        <f t="shared" si="356"/>
        <v>94.799999999998889</v>
      </c>
      <c r="BZ990" s="16">
        <f t="shared" si="346"/>
        <v>1.6230132821850748E-3</v>
      </c>
      <c r="CA990" s="16">
        <f t="shared" si="354"/>
        <v>-999</v>
      </c>
      <c r="CE990" s="16" t="e">
        <f t="shared" si="347"/>
        <v>#N/A</v>
      </c>
      <c r="CF990" s="16">
        <f t="shared" si="348"/>
        <v>99</v>
      </c>
      <c r="CG990" s="16">
        <f t="shared" si="349"/>
        <v>0</v>
      </c>
      <c r="CH990" s="16">
        <f t="shared" si="355"/>
        <v>0</v>
      </c>
      <c r="CJ990" s="16" t="e">
        <f t="shared" si="350"/>
        <v>#N/A</v>
      </c>
      <c r="CK990" s="16" t="str">
        <f t="shared" si="351"/>
        <v/>
      </c>
    </row>
    <row r="991" spans="73:89" ht="12" customHeight="1">
      <c r="BU991" s="16">
        <f t="shared" si="352"/>
        <v>0</v>
      </c>
      <c r="BV991" s="16">
        <f>IF($BY$12=1,NORMDIST(BY991,$Y$6,$Y$8,TRUE),IF($BY$12=2,IF(BY991&lt;=$BX$31,0,IF(BY991&gt;=$BX$32,1,(BY991-$BX$31)*$BX$33)),SUM($BU$42:BU991)/$BV$40))</f>
        <v>0.98761593371793421</v>
      </c>
      <c r="BW991" s="16">
        <f t="shared" si="353"/>
        <v>0.15230661269556489</v>
      </c>
      <c r="BX991" s="16">
        <f>IF($BY$12&lt;3,BV991,SUM($BZ$42:BZ991)/$BX$40)</f>
        <v>0.98761593371793421</v>
      </c>
      <c r="BY991" s="16">
        <f t="shared" si="356"/>
        <v>94.899999999998883</v>
      </c>
      <c r="BZ991" s="16">
        <f t="shared" si="346"/>
        <v>1.6049168882567618E-3</v>
      </c>
      <c r="CA991" s="16">
        <f t="shared" si="354"/>
        <v>-999</v>
      </c>
      <c r="CE991" s="16" t="e">
        <f t="shared" si="347"/>
        <v>#N/A</v>
      </c>
      <c r="CF991" s="16">
        <f t="shared" si="348"/>
        <v>99</v>
      </c>
      <c r="CG991" s="16">
        <f t="shared" si="349"/>
        <v>0</v>
      </c>
      <c r="CH991" s="16">
        <f t="shared" si="355"/>
        <v>0</v>
      </c>
      <c r="CJ991" s="16" t="e">
        <f t="shared" si="350"/>
        <v>#N/A</v>
      </c>
      <c r="CK991" s="16" t="str">
        <f t="shared" si="351"/>
        <v/>
      </c>
    </row>
    <row r="992" spans="73:89" ht="12" customHeight="1">
      <c r="BU992" s="16">
        <f t="shared" si="352"/>
        <v>0</v>
      </c>
      <c r="BV992" s="16">
        <f>IF($BY$12=1,NORMDIST(BY992,$Y$6,$Y$8,TRUE),IF($BY$12=2,IF(BY992&lt;=$BX$31,0,IF(BY992&gt;=$BX$32,1,(BY992-$BX$31)*$BX$33)),SUM($BU$42:BU992)/$BV$40))</f>
        <v>0.98777552734495355</v>
      </c>
      <c r="BW992" s="16">
        <f t="shared" si="353"/>
        <v>0.15076334621943746</v>
      </c>
      <c r="BX992" s="16">
        <f>IF($BY$12&lt;3,BV992,SUM($BZ$42:BZ992)/$BX$40)</f>
        <v>0.98777552734495355</v>
      </c>
      <c r="BY992" s="16">
        <f t="shared" si="356"/>
        <v>94.999999999998877</v>
      </c>
      <c r="BZ992" s="16">
        <f t="shared" si="346"/>
        <v>1.586982591783571E-3</v>
      </c>
      <c r="CA992" s="16">
        <f t="shared" si="354"/>
        <v>-999</v>
      </c>
      <c r="CE992" s="16" t="e">
        <f t="shared" si="347"/>
        <v>#N/A</v>
      </c>
      <c r="CF992" s="16">
        <f t="shared" si="348"/>
        <v>99</v>
      </c>
      <c r="CG992" s="16">
        <f t="shared" si="349"/>
        <v>0</v>
      </c>
      <c r="CH992" s="16">
        <f t="shared" si="355"/>
        <v>0</v>
      </c>
      <c r="CJ992" s="16" t="e">
        <f t="shared" si="350"/>
        <v>#N/A</v>
      </c>
      <c r="CK992" s="16" t="str">
        <f t="shared" si="351"/>
        <v/>
      </c>
    </row>
    <row r="993" spans="73:89" ht="12" customHeight="1">
      <c r="BU993" s="16">
        <f t="shared" si="352"/>
        <v>0</v>
      </c>
      <c r="BV993" s="16">
        <f>IF($BY$12=1,NORMDIST(BY993,$Y$6,$Y$8,TRUE),IF($BY$12=2,IF(BY993&lt;=$BX$31,0,IF(BY993&gt;=$BX$32,1,(BY993-$BX$31)*$BX$33)),SUM($BU$42:BU993)/$BV$40))</f>
        <v>0.98793333560888541</v>
      </c>
      <c r="BW993" s="16">
        <f t="shared" si="353"/>
        <v>0.14923182089043233</v>
      </c>
      <c r="BX993" s="16">
        <f>IF($BY$12&lt;3,BV993,SUM($BZ$42:BZ993)/$BX$40)</f>
        <v>0.98793333560888541</v>
      </c>
      <c r="BY993" s="16">
        <f t="shared" si="356"/>
        <v>95.099999999998872</v>
      </c>
      <c r="BZ993" s="16">
        <f t="shared" si="346"/>
        <v>1.5692094730855319E-3</v>
      </c>
      <c r="CA993" s="16">
        <f t="shared" si="354"/>
        <v>-999</v>
      </c>
      <c r="CE993" s="16" t="e">
        <f t="shared" si="347"/>
        <v>#N/A</v>
      </c>
      <c r="CF993" s="16">
        <f t="shared" si="348"/>
        <v>99</v>
      </c>
      <c r="CG993" s="16">
        <f t="shared" si="349"/>
        <v>0</v>
      </c>
      <c r="CH993" s="16">
        <f t="shared" si="355"/>
        <v>0</v>
      </c>
      <c r="CJ993" s="16" t="e">
        <f t="shared" si="350"/>
        <v>#N/A</v>
      </c>
      <c r="CK993" s="16" t="str">
        <f t="shared" si="351"/>
        <v/>
      </c>
    </row>
    <row r="994" spans="73:89" ht="12" customHeight="1">
      <c r="BU994" s="16">
        <f t="shared" si="352"/>
        <v>0</v>
      </c>
      <c r="BV994" s="16">
        <f>IF($BY$12=1,NORMDIST(BY994,$Y$6,$Y$8,TRUE),IF($BY$12=2,IF(BY994&lt;=$BX$31,0,IF(BY994&gt;=$BX$32,1,(BY994-$BX$31)*$BX$33)),SUM($BU$42:BU994)/$BV$40))</f>
        <v>0.98808937458145119</v>
      </c>
      <c r="BW994" s="16">
        <f t="shared" si="353"/>
        <v>0.14771199734345644</v>
      </c>
      <c r="BX994" s="16">
        <f>IF($BY$12&lt;3,BV994,SUM($BZ$42:BZ994)/$BX$40)</f>
        <v>0.98808937458145119</v>
      </c>
      <c r="BY994" s="16">
        <f t="shared" si="356"/>
        <v>95.199999999998866</v>
      </c>
      <c r="BZ994" s="16">
        <f t="shared" si="346"/>
        <v>1.5515966107506112E-3</v>
      </c>
      <c r="CA994" s="16">
        <f t="shared" si="354"/>
        <v>-999</v>
      </c>
      <c r="CE994" s="16" t="e">
        <f t="shared" si="347"/>
        <v>#N/A</v>
      </c>
      <c r="CF994" s="16">
        <f t="shared" si="348"/>
        <v>99</v>
      </c>
      <c r="CG994" s="16">
        <f t="shared" si="349"/>
        <v>0</v>
      </c>
      <c r="CH994" s="16">
        <f t="shared" si="355"/>
        <v>0</v>
      </c>
      <c r="CJ994" s="16" t="e">
        <f t="shared" si="350"/>
        <v>#N/A</v>
      </c>
      <c r="CK994" s="16" t="str">
        <f t="shared" si="351"/>
        <v/>
      </c>
    </row>
    <row r="995" spans="73:89" ht="12" customHeight="1">
      <c r="BU995" s="16">
        <f t="shared" si="352"/>
        <v>0</v>
      </c>
      <c r="BV995" s="16">
        <f>IF($BY$12=1,NORMDIST(BY995,$Y$6,$Y$8,TRUE),IF($BY$12=2,IF(BY995&lt;=$BX$31,0,IF(BY995&gt;=$BX$32,1,(BY995-$BX$31)*$BX$33)),SUM($BU$42:BU995)/$BV$40))</f>
        <v>0.98824366024214838</v>
      </c>
      <c r="BW995" s="16">
        <f t="shared" si="353"/>
        <v>0.1462038356903671</v>
      </c>
      <c r="BX995" s="16">
        <f>IF($BY$12&lt;3,BV995,SUM($BZ$42:BZ995)/$BX$40)</f>
        <v>0.98824366024214838</v>
      </c>
      <c r="BY995" s="16">
        <f t="shared" si="356"/>
        <v>95.29999999999886</v>
      </c>
      <c r="BZ995" s="16">
        <f t="shared" si="346"/>
        <v>1.5341430817457382E-3</v>
      </c>
      <c r="CA995" s="16">
        <f t="shared" si="354"/>
        <v>-999</v>
      </c>
      <c r="CE995" s="16" t="e">
        <f t="shared" si="347"/>
        <v>#N/A</v>
      </c>
      <c r="CF995" s="16">
        <f t="shared" si="348"/>
        <v>99</v>
      </c>
      <c r="CG995" s="16">
        <f t="shared" si="349"/>
        <v>0</v>
      </c>
      <c r="CH995" s="16">
        <f t="shared" si="355"/>
        <v>0</v>
      </c>
      <c r="CJ995" s="16" t="e">
        <f t="shared" si="350"/>
        <v>#N/A</v>
      </c>
      <c r="CK995" s="16" t="str">
        <f t="shared" si="351"/>
        <v/>
      </c>
    </row>
    <row r="996" spans="73:89" ht="12" customHeight="1">
      <c r="BU996" s="16">
        <f t="shared" si="352"/>
        <v>0</v>
      </c>
      <c r="BV996" s="16">
        <f>IF($BY$12=1,NORMDIST(BY996,$Y$6,$Y$8,TRUE),IF($BY$12=2,IF(BY996&lt;=$BX$31,0,IF(BY996&gt;=$BX$32,1,(BY996-$BX$31)*$BX$33)),SUM($BU$42:BU996)/$BV$40))</f>
        <v>0.98839620847809462</v>
      </c>
      <c r="BW996" s="16">
        <f t="shared" si="353"/>
        <v>0.14470729552965295</v>
      </c>
      <c r="BX996" s="16">
        <f>IF($BY$12&lt;3,BV996,SUM($BZ$42:BZ996)/$BX$40)</f>
        <v>0.98839620847809462</v>
      </c>
      <c r="BY996" s="16">
        <f t="shared" si="356"/>
        <v>95.399999999998855</v>
      </c>
      <c r="BZ996" s="16">
        <f t="shared" si="346"/>
        <v>1.5168479615267785E-3</v>
      </c>
      <c r="CA996" s="16">
        <f t="shared" si="354"/>
        <v>-999</v>
      </c>
      <c r="CE996" s="16" t="e">
        <f t="shared" si="347"/>
        <v>#N/A</v>
      </c>
      <c r="CF996" s="16">
        <f t="shared" si="348"/>
        <v>99</v>
      </c>
      <c r="CG996" s="16">
        <f t="shared" si="349"/>
        <v>0</v>
      </c>
      <c r="CH996" s="16">
        <f t="shared" si="355"/>
        <v>0</v>
      </c>
      <c r="CJ996" s="16" t="e">
        <f t="shared" si="350"/>
        <v>#N/A</v>
      </c>
      <c r="CK996" s="16" t="str">
        <f t="shared" si="351"/>
        <v/>
      </c>
    </row>
    <row r="997" spans="73:89" ht="12" customHeight="1">
      <c r="BU997" s="16">
        <f t="shared" si="352"/>
        <v>0</v>
      </c>
      <c r="BV997" s="16">
        <f>IF($BY$12=1,NORMDIST(BY997,$Y$6,$Y$8,TRUE),IF($BY$12=2,IF(BY997&lt;=$BX$31,0,IF(BY997&gt;=$BX$32,1,(BY997-$BX$31)*$BX$33)),SUM($BU$42:BU997)/$BV$40))</f>
        <v>0.98854703508388297</v>
      </c>
      <c r="BW997" s="16">
        <f t="shared" si="353"/>
        <v>0.1432223359560808</v>
      </c>
      <c r="BX997" s="16">
        <f>IF($BY$12&lt;3,BV997,SUM($BZ$42:BZ997)/$BX$40)</f>
        <v>0.98854703508388297</v>
      </c>
      <c r="BY997" s="16">
        <f t="shared" si="356"/>
        <v>95.499999999998849</v>
      </c>
      <c r="BZ997" s="16">
        <f t="shared" si="346"/>
        <v>1.4997103241474611E-3</v>
      </c>
      <c r="CA997" s="16">
        <f t="shared" si="354"/>
        <v>-999</v>
      </c>
      <c r="CE997" s="16" t="e">
        <f t="shared" si="347"/>
        <v>#N/A</v>
      </c>
      <c r="CF997" s="16">
        <f t="shared" si="348"/>
        <v>99</v>
      </c>
      <c r="CG997" s="16">
        <f t="shared" si="349"/>
        <v>0</v>
      </c>
      <c r="CH997" s="16">
        <f t="shared" si="355"/>
        <v>0</v>
      </c>
      <c r="CJ997" s="16" t="e">
        <f t="shared" si="350"/>
        <v>#N/A</v>
      </c>
      <c r="CK997" s="16" t="str">
        <f t="shared" si="351"/>
        <v/>
      </c>
    </row>
    <row r="998" spans="73:89" ht="12" customHeight="1">
      <c r="BU998" s="16">
        <f t="shared" si="352"/>
        <v>0</v>
      </c>
      <c r="BV998" s="16">
        <f>IF($BY$12=1,NORMDIST(BY998,$Y$6,$Y$8,TRUE),IF($BY$12=2,IF(BY998&lt;=$BX$31,0,IF(BY998&gt;=$BX$32,1,(BY998-$BX$31)*$BX$33)),SUM($BU$42:BU998)/$BV$40))</f>
        <v>0.98869615576144554</v>
      </c>
      <c r="BW998" s="16">
        <f t="shared" si="353"/>
        <v>0.14174891557030819</v>
      </c>
      <c r="BX998" s="16">
        <f>IF($BY$12&lt;3,BV998,SUM($BZ$42:BZ998)/$BX$40)</f>
        <v>0.98869615576144554</v>
      </c>
      <c r="BY998" s="16">
        <f t="shared" si="356"/>
        <v>95.599999999998843</v>
      </c>
      <c r="BZ998" s="16">
        <f t="shared" si="346"/>
        <v>1.4827292423672585E-3</v>
      </c>
      <c r="CA998" s="16">
        <f t="shared" si="354"/>
        <v>-999</v>
      </c>
      <c r="CE998" s="16" t="e">
        <f t="shared" si="347"/>
        <v>#N/A</v>
      </c>
      <c r="CF998" s="16">
        <f t="shared" si="348"/>
        <v>99</v>
      </c>
      <c r="CG998" s="16">
        <f t="shared" si="349"/>
        <v>0</v>
      </c>
      <c r="CH998" s="16">
        <f t="shared" si="355"/>
        <v>0</v>
      </c>
      <c r="CJ998" s="16" t="e">
        <f t="shared" si="350"/>
        <v>#N/A</v>
      </c>
      <c r="CK998" s="16" t="str">
        <f t="shared" si="351"/>
        <v/>
      </c>
    </row>
    <row r="999" spans="73:89" ht="12" customHeight="1">
      <c r="BU999" s="16">
        <f t="shared" si="352"/>
        <v>0</v>
      </c>
      <c r="BV999" s="16">
        <f>IF($BY$12=1,NORMDIST(BY999,$Y$6,$Y$8,TRUE),IF($BY$12=2,IF(BY999&lt;=$BX$31,0,IF(BY999&gt;=$BX$32,1,(BY999-$BX$31)*$BX$33)),SUM($BU$42:BU999)/$BV$40))</f>
        <v>0.98884358611992984</v>
      </c>
      <c r="BW999" s="16">
        <f t="shared" si="353"/>
        <v>0.14028699248845872</v>
      </c>
      <c r="BX999" s="16">
        <f>IF($BY$12&lt;3,BV999,SUM($BZ$42:BZ999)/$BX$40)</f>
        <v>0.98884358611992984</v>
      </c>
      <c r="BY999" s="16">
        <f t="shared" si="356"/>
        <v>95.699999999998838</v>
      </c>
      <c r="BZ999" s="16">
        <f t="shared" si="346"/>
        <v>1.4659037877582071E-3</v>
      </c>
      <c r="CA999" s="16">
        <f t="shared" si="354"/>
        <v>-999</v>
      </c>
      <c r="CE999" s="16" t="e">
        <f t="shared" si="347"/>
        <v>#N/A</v>
      </c>
      <c r="CF999" s="16">
        <f t="shared" si="348"/>
        <v>99</v>
      </c>
      <c r="CG999" s="16">
        <f t="shared" si="349"/>
        <v>0</v>
      </c>
      <c r="CH999" s="16">
        <f t="shared" si="355"/>
        <v>0</v>
      </c>
      <c r="CJ999" s="16" t="e">
        <f t="shared" si="350"/>
        <v>#N/A</v>
      </c>
      <c r="CK999" s="16" t="str">
        <f t="shared" si="351"/>
        <v/>
      </c>
    </row>
    <row r="1000" spans="73:89" ht="12" customHeight="1">
      <c r="BU1000" s="16">
        <f t="shared" si="352"/>
        <v>0</v>
      </c>
      <c r="BV1000" s="16">
        <f>IF($BY$12=1,NORMDIST(BY1000,$Y$6,$Y$8,TRUE),IF($BY$12=2,IF(BY1000&lt;=$BX$31,0,IF(BY1000&gt;=$BX$32,1,(BY1000-$BX$31)*$BX$33)),SUM($BU$42:BU1000)/$BV$40))</f>
        <v>0.98898934167558683</v>
      </c>
      <c r="BW1000" s="16">
        <f t="shared" si="353"/>
        <v>0.13883652435166</v>
      </c>
      <c r="BX1000" s="16">
        <f>IF($BY$12&lt;3,BV1000,SUM($BZ$42:BZ1000)/$BX$40)</f>
        <v>0.98898934167558683</v>
      </c>
      <c r="BY1000" s="16">
        <f t="shared" si="356"/>
        <v>95.799999999998832</v>
      </c>
      <c r="BZ1000" s="16">
        <f t="shared" si="346"/>
        <v>1.4492330308106649E-3</v>
      </c>
      <c r="CA1000" s="16">
        <f t="shared" si="354"/>
        <v>-999</v>
      </c>
      <c r="CE1000" s="16" t="e">
        <f t="shared" si="347"/>
        <v>#N/A</v>
      </c>
      <c r="CF1000" s="16">
        <f t="shared" si="348"/>
        <v>99</v>
      </c>
      <c r="CG1000" s="16">
        <f t="shared" si="349"/>
        <v>0</v>
      </c>
      <c r="CH1000" s="16">
        <f t="shared" si="355"/>
        <v>0</v>
      </c>
      <c r="CJ1000" s="16" t="e">
        <f t="shared" si="350"/>
        <v>#N/A</v>
      </c>
      <c r="CK1000" s="16" t="str">
        <f t="shared" si="351"/>
        <v/>
      </c>
    </row>
    <row r="1001" spans="73:89" ht="12" customHeight="1">
      <c r="BU1001" s="16">
        <f t="shared" si="352"/>
        <v>0</v>
      </c>
      <c r="BV1001" s="16">
        <f>IF($BY$12=1,NORMDIST(BY1001,$Y$6,$Y$8,TRUE),IF($BY$12=2,IF(BY1001&lt;=$BX$31,0,IF(BY1001&gt;=$BX$32,1,(BY1001-$BX$31)*$BX$33)),SUM($BU$42:BU1001)/$BV$40))</f>
        <v>0.98913343785166585</v>
      </c>
      <c r="BW1001" s="16">
        <f t="shared" si="353"/>
        <v>0.13739746833554309</v>
      </c>
      <c r="BX1001" s="16">
        <f>IF($BY$12&lt;3,BV1001,SUM($BZ$42:BZ1001)/$BX$40)</f>
        <v>0.98913343785166585</v>
      </c>
      <c r="BY1001" s="16">
        <f t="shared" si="356"/>
        <v>95.899999999998826</v>
      </c>
      <c r="BZ1001" s="16">
        <f t="shared" si="346"/>
        <v>1.432716041038006E-3</v>
      </c>
      <c r="CA1001" s="16">
        <f t="shared" si="354"/>
        <v>-999</v>
      </c>
      <c r="CE1001" s="16" t="e">
        <f t="shared" si="347"/>
        <v>#N/A</v>
      </c>
      <c r="CF1001" s="16">
        <f t="shared" si="348"/>
        <v>99</v>
      </c>
      <c r="CG1001" s="16">
        <f t="shared" si="349"/>
        <v>0</v>
      </c>
      <c r="CH1001" s="16">
        <f t="shared" si="355"/>
        <v>0</v>
      </c>
      <c r="CJ1001" s="16" t="e">
        <f t="shared" si="350"/>
        <v>#N/A</v>
      </c>
      <c r="CK1001" s="16" t="str">
        <f t="shared" si="351"/>
        <v/>
      </c>
    </row>
    <row r="1002" spans="73:89" ht="12" customHeight="1">
      <c r="BU1002" s="16">
        <f t="shared" si="352"/>
        <v>0</v>
      </c>
      <c r="BV1002" s="16">
        <f>IF($BY$12=1,NORMDIST(BY1002,$Y$6,$Y$8,TRUE),IF($BY$12=2,IF(BY1002&lt;=$BX$31,0,IF(BY1002&gt;=$BX$32,1,(BY1002-$BX$31)*$BX$33)),SUM($BU$42:BU1002)/$BV$40))</f>
        <v>0.98927588997832239</v>
      </c>
      <c r="BW1002" s="16">
        <f t="shared" si="353"/>
        <v>0.13596978115970243</v>
      </c>
      <c r="BX1002" s="16">
        <f>IF($BY$12&lt;3,BV1002,SUM($BZ$42:BZ1002)/$BX$40)</f>
        <v>0.98927588997832239</v>
      </c>
      <c r="BY1002" s="16">
        <f t="shared" si="356"/>
        <v>95.99999999999882</v>
      </c>
      <c r="BZ1002" s="16">
        <f t="shared" ref="BZ1002:BZ1065" si="357">IF($BZ$5,IF($BY$12=1,NORMDIST(BY1002,$Y$6,$Y$8,FALSE),IF($BY$12=2,IF(AND(BY1002&gt;=$BX$31,BY1002&lt;=$BX$32),$BX$33,0),IF(BY1002&lt;=$BX$13,0,NORMDIST(LN((BY1002-$BX$13)/$BX$12),0,$BW$8,FALSE)/((BY1002-$BX$13)/$BX$12)))),-999)</f>
        <v>1.416351887080251E-3</v>
      </c>
      <c r="CA1002" s="16">
        <f t="shared" si="354"/>
        <v>-999</v>
      </c>
      <c r="CE1002" s="16" t="e">
        <f t="shared" ref="CE1002:CE1065" si="358">IF(AND($CB$7,$CD$2,$CD$1),26+$P$23/2-CC1002*$P$23,NA())</f>
        <v>#N/A</v>
      </c>
      <c r="CF1002" s="16">
        <f t="shared" ref="CF1002:CF1065" si="359">IF(ISNA(CJ1002),99,CJ1002)</f>
        <v>99</v>
      </c>
      <c r="CG1002" s="16">
        <f t="shared" ref="CG1002:CG1065" si="360">IF(ISNA(CJ1002),0,CJ1002)</f>
        <v>0</v>
      </c>
      <c r="CH1002" s="16">
        <f t="shared" si="355"/>
        <v>0</v>
      </c>
      <c r="CJ1002" s="16" t="e">
        <f t="shared" ref="CJ1002:CJ1065" si="361">IF(CH1002=1,CE1002,NA())</f>
        <v>#N/A</v>
      </c>
      <c r="CK1002" s="16" t="str">
        <f t="shared" ref="CK1002:CK1065" si="362">IF(CH1002=1,M901,"")</f>
        <v/>
      </c>
    </row>
    <row r="1003" spans="73:89" ht="12" customHeight="1">
      <c r="BU1003" s="16">
        <f t="shared" ref="BU1003:BU1066" si="363">IF($BY$12&lt;3,0,IF(BY1003&lt;=$BX$13,0,NORMDIST(LN((BY1003-$BX$13)/$BX$12),0,$BW$8,FALSE)/((BY1003-$BX$13)/$BX$12)))</f>
        <v>0</v>
      </c>
      <c r="BV1003" s="16">
        <f>IF($BY$12=1,NORMDIST(BY1003,$Y$6,$Y$8,TRUE),IF($BY$12=2,IF(BY1003&lt;=$BX$31,0,IF(BY1003&gt;=$BX$32,1,(BY1003-$BX$31)*$BX$33)),SUM($BU$42:BU1003)/$BV$40))</f>
        <v>0.98941671329253855</v>
      </c>
      <c r="BW1003" s="16">
        <f t="shared" ref="BW1003:BW1042" si="364">BY1003*BZ1003</f>
        <v>0.13455341909711455</v>
      </c>
      <c r="BX1003" s="16">
        <f>IF($BY$12&lt;3,BV1003,SUM($BZ$42:BZ1003)/$BX$40)</f>
        <v>0.98941671329253855</v>
      </c>
      <c r="BY1003" s="16">
        <f t="shared" si="356"/>
        <v>96.099999999998815</v>
      </c>
      <c r="BZ1003" s="16">
        <f t="shared" si="357"/>
        <v>1.4001396368066201E-3</v>
      </c>
      <c r="CA1003" s="16">
        <f t="shared" ref="CA1003:CA1066" si="365">IF(AND($CD$1,$CD$3),26-$CD$40*NORMDIST(BY1003,$Y$6,$Y$8/SQRT($T$18),FALSE),-999)</f>
        <v>-999</v>
      </c>
      <c r="CE1003" s="16" t="e">
        <f t="shared" si="358"/>
        <v>#N/A</v>
      </c>
      <c r="CF1003" s="16">
        <f t="shared" si="359"/>
        <v>99</v>
      </c>
      <c r="CG1003" s="16">
        <f t="shared" si="360"/>
        <v>0</v>
      </c>
      <c r="CH1003" s="16">
        <f t="shared" si="355"/>
        <v>0</v>
      </c>
      <c r="CJ1003" s="16" t="e">
        <f t="shared" si="361"/>
        <v>#N/A</v>
      </c>
      <c r="CK1003" s="16" t="str">
        <f t="shared" si="362"/>
        <v/>
      </c>
    </row>
    <row r="1004" spans="73:89" ht="12" customHeight="1">
      <c r="BU1004" s="16">
        <f t="shared" si="363"/>
        <v>0</v>
      </c>
      <c r="BV1004" s="16">
        <f>IF($BY$12=1,NORMDIST(BY1004,$Y$6,$Y$8,TRUE),IF($BY$12=2,IF(BY1004&lt;=$BX$31,0,IF(BY1004&gt;=$BX$32,1,(BY1004-$BX$31)*$BX$33)),SUM($BU$42:BU1004)/$BV$40))</f>
        <v>0.98955592293804728</v>
      </c>
      <c r="BW1004" s="16">
        <f t="shared" si="364"/>
        <v>0.13314833798351558</v>
      </c>
      <c r="BX1004" s="16">
        <f>IF($BY$12&lt;3,BV1004,SUM($BZ$42:BZ1004)/$BX$40)</f>
        <v>0.98955592293804728</v>
      </c>
      <c r="BY1004" s="16">
        <f t="shared" si="356"/>
        <v>96.199999999998809</v>
      </c>
      <c r="BZ1004" s="16">
        <f t="shared" si="357"/>
        <v>1.3840783574170189E-3</v>
      </c>
      <c r="CA1004" s="16">
        <f t="shared" si="365"/>
        <v>-999</v>
      </c>
      <c r="CE1004" s="16" t="e">
        <f t="shared" si="358"/>
        <v>#N/A</v>
      </c>
      <c r="CF1004" s="16">
        <f t="shared" si="359"/>
        <v>99</v>
      </c>
      <c r="CG1004" s="16">
        <f t="shared" si="360"/>
        <v>0</v>
      </c>
      <c r="CH1004" s="16">
        <f t="shared" si="355"/>
        <v>0</v>
      </c>
      <c r="CJ1004" s="16" t="e">
        <f t="shared" si="361"/>
        <v>#N/A</v>
      </c>
      <c r="CK1004" s="16" t="str">
        <f t="shared" si="362"/>
        <v/>
      </c>
    </row>
    <row r="1005" spans="73:89" ht="12" customHeight="1">
      <c r="BU1005" s="16">
        <f t="shared" si="363"/>
        <v>0</v>
      </c>
      <c r="BV1005" s="16">
        <f>IF($BY$12=1,NORMDIST(BY1005,$Y$6,$Y$8,TRUE),IF($BY$12=2,IF(BY1005&lt;=$BX$31,0,IF(BY1005&gt;=$BX$32,1,(BY1005-$BX$31)*$BX$33)),SUM($BU$42:BU1005)/$BV$40))</f>
        <v>0.98969353396527282</v>
      </c>
      <c r="BW1005" s="16">
        <f t="shared" si="364"/>
        <v>0.13175449322673505</v>
      </c>
      <c r="BX1005" s="16">
        <f>IF($BY$12&lt;3,BV1005,SUM($BZ$42:BZ1005)/$BX$40)</f>
        <v>0.98969353396527282</v>
      </c>
      <c r="BY1005" s="16">
        <f t="shared" si="356"/>
        <v>96.299999999998803</v>
      </c>
      <c r="BZ1005" s="16">
        <f t="shared" si="357"/>
        <v>1.3681671155424372E-3</v>
      </c>
      <c r="CA1005" s="16">
        <f t="shared" si="365"/>
        <v>-999</v>
      </c>
      <c r="CE1005" s="16" t="e">
        <f t="shared" si="358"/>
        <v>#N/A</v>
      </c>
      <c r="CF1005" s="16">
        <f t="shared" si="359"/>
        <v>99</v>
      </c>
      <c r="CG1005" s="16">
        <f t="shared" si="360"/>
        <v>0</v>
      </c>
      <c r="CH1005" s="16">
        <f t="shared" si="355"/>
        <v>0</v>
      </c>
      <c r="CJ1005" s="16" t="e">
        <f t="shared" si="361"/>
        <v>#N/A</v>
      </c>
      <c r="CK1005" s="16" t="str">
        <f t="shared" si="362"/>
        <v/>
      </c>
    </row>
    <row r="1006" spans="73:89" ht="12" customHeight="1">
      <c r="BU1006" s="16">
        <f t="shared" si="363"/>
        <v>0</v>
      </c>
      <c r="BV1006" s="16">
        <f>IF($BY$12=1,NORMDIST(BY1006,$Y$6,$Y$8,TRUE),IF($BY$12=2,IF(BY1006&lt;=$BX$31,0,IF(BY1006&gt;=$BX$32,1,(BY1006-$BX$31)*$BX$33)),SUM($BU$42:BU1006)/$BV$40))</f>
        <v>0.98982956133127864</v>
      </c>
      <c r="BW1006" s="16">
        <f t="shared" si="364"/>
        <v>0.13037183981598671</v>
      </c>
      <c r="BX1006" s="16">
        <f>IF($BY$12&lt;3,BV1006,SUM($BZ$42:BZ1006)/$BX$40)</f>
        <v>0.98982956133127864</v>
      </c>
      <c r="BY1006" s="16">
        <f t="shared" si="356"/>
        <v>96.399999999998798</v>
      </c>
      <c r="BZ1006" s="16">
        <f t="shared" si="357"/>
        <v>1.3524049773442773E-3</v>
      </c>
      <c r="CA1006" s="16">
        <f t="shared" si="365"/>
        <v>-999</v>
      </c>
      <c r="CE1006" s="16" t="e">
        <f t="shared" si="358"/>
        <v>#N/A</v>
      </c>
      <c r="CF1006" s="16">
        <f t="shared" si="359"/>
        <v>99</v>
      </c>
      <c r="CG1006" s="16">
        <f t="shared" si="360"/>
        <v>0</v>
      </c>
      <c r="CH1006" s="16">
        <f t="shared" si="355"/>
        <v>0</v>
      </c>
      <c r="CJ1006" s="16" t="e">
        <f t="shared" si="361"/>
        <v>#N/A</v>
      </c>
      <c r="CK1006" s="16" t="str">
        <f t="shared" si="362"/>
        <v/>
      </c>
    </row>
    <row r="1007" spans="73:89" ht="12" customHeight="1">
      <c r="BU1007" s="16">
        <f t="shared" si="363"/>
        <v>0</v>
      </c>
      <c r="BV1007" s="16">
        <f>IF($BY$12=1,NORMDIST(BY1007,$Y$6,$Y$8,TRUE),IF($BY$12=2,IF(BY1007&lt;=$BX$31,0,IF(BY1007&gt;=$BX$32,1,(BY1007-$BX$31)*$BX$33)),SUM($BU$42:BU1007)/$BV$40))</f>
        <v>0.98996401989972438</v>
      </c>
      <c r="BW1007" s="16">
        <f t="shared" si="364"/>
        <v>0.12900033233111421</v>
      </c>
      <c r="BX1007" s="16">
        <f>IF($BY$12&lt;3,BV1007,SUM($BZ$42:BZ1007)/$BX$40)</f>
        <v>0.98996401989972438</v>
      </c>
      <c r="BY1007" s="16">
        <f t="shared" si="356"/>
        <v>96.499999999998792</v>
      </c>
      <c r="BZ1007" s="16">
        <f t="shared" si="357"/>
        <v>1.3367910086125993E-3</v>
      </c>
      <c r="CA1007" s="16">
        <f t="shared" si="365"/>
        <v>-999</v>
      </c>
      <c r="CE1007" s="16" t="e">
        <f t="shared" si="358"/>
        <v>#N/A</v>
      </c>
      <c r="CF1007" s="16">
        <f t="shared" si="359"/>
        <v>99</v>
      </c>
      <c r="CG1007" s="16">
        <f t="shared" si="360"/>
        <v>0</v>
      </c>
      <c r="CH1007" s="16">
        <f t="shared" si="355"/>
        <v>0</v>
      </c>
      <c r="CJ1007" s="16" t="e">
        <f t="shared" si="361"/>
        <v>#N/A</v>
      </c>
      <c r="CK1007" s="16" t="str">
        <f t="shared" si="362"/>
        <v/>
      </c>
    </row>
    <row r="1008" spans="73:89" ht="12" customHeight="1">
      <c r="BU1008" s="16">
        <f t="shared" si="363"/>
        <v>0</v>
      </c>
      <c r="BV1008" s="16">
        <f>IF($BY$12=1,NORMDIST(BY1008,$Y$6,$Y$8,TRUE),IF($BY$12=2,IF(BY1008&lt;=$BX$31,0,IF(BY1008&gt;=$BX$32,1,(BY1008-$BX$31)*$BX$33)),SUM($BU$42:BU1008)/$BV$40))</f>
        <v>0.99009692444083408</v>
      </c>
      <c r="BW1008" s="16">
        <f t="shared" si="364"/>
        <v>0.12763992495179058</v>
      </c>
      <c r="BX1008" s="16">
        <f>IF($BY$12&lt;3,BV1008,SUM($BZ$42:BZ1008)/$BX$40)</f>
        <v>0.99009692444083408</v>
      </c>
      <c r="BY1008" s="16">
        <f t="shared" si="356"/>
        <v>96.599999999998786</v>
      </c>
      <c r="BZ1008" s="16">
        <f t="shared" si="357"/>
        <v>1.321324274863273E-3</v>
      </c>
      <c r="CA1008" s="16">
        <f t="shared" si="365"/>
        <v>-999</v>
      </c>
      <c r="CE1008" s="16" t="e">
        <f t="shared" si="358"/>
        <v>#N/A</v>
      </c>
      <c r="CF1008" s="16">
        <f t="shared" si="359"/>
        <v>99</v>
      </c>
      <c r="CG1008" s="16">
        <f t="shared" si="360"/>
        <v>0</v>
      </c>
      <c r="CH1008" s="16">
        <f t="shared" si="355"/>
        <v>0</v>
      </c>
      <c r="CJ1008" s="16" t="e">
        <f t="shared" si="361"/>
        <v>#N/A</v>
      </c>
      <c r="CK1008" s="16" t="str">
        <f t="shared" si="362"/>
        <v/>
      </c>
    </row>
    <row r="1009" spans="73:89" ht="12" customHeight="1">
      <c r="BU1009" s="16">
        <f t="shared" si="363"/>
        <v>0</v>
      </c>
      <c r="BV1009" s="16">
        <f>IF($BY$12=1,NORMDIST(BY1009,$Y$6,$Y$8,TRUE),IF($BY$12=2,IF(BY1009&lt;=$BX$31,0,IF(BY1009&gt;=$BX$32,1,(BY1009-$BX$31)*$BX$33)),SUM($BU$42:BU1009)/$BV$40))</f>
        <v>0.99022828963137433</v>
      </c>
      <c r="BW1009" s="16">
        <f t="shared" si="364"/>
        <v>0.12629057146667153</v>
      </c>
      <c r="BX1009" s="16">
        <f>IF($BY$12&lt;3,BV1009,SUM($BZ$42:BZ1009)/$BX$40)</f>
        <v>0.99022828963137433</v>
      </c>
      <c r="BY1009" s="16">
        <f t="shared" si="356"/>
        <v>96.699999999998781</v>
      </c>
      <c r="BZ1009" s="16">
        <f t="shared" si="357"/>
        <v>1.3060038414340551E-3</v>
      </c>
      <c r="CA1009" s="16">
        <f t="shared" si="365"/>
        <v>-999</v>
      </c>
      <c r="CE1009" s="16" t="e">
        <f t="shared" si="358"/>
        <v>#N/A</v>
      </c>
      <c r="CF1009" s="16">
        <f t="shared" si="359"/>
        <v>99</v>
      </c>
      <c r="CG1009" s="16">
        <f t="shared" si="360"/>
        <v>0</v>
      </c>
      <c r="CH1009" s="16">
        <f t="shared" si="355"/>
        <v>0</v>
      </c>
      <c r="CJ1009" s="16" t="e">
        <f t="shared" si="361"/>
        <v>#N/A</v>
      </c>
      <c r="CK1009" s="16" t="str">
        <f t="shared" si="362"/>
        <v/>
      </c>
    </row>
    <row r="1010" spans="73:89" ht="12" customHeight="1">
      <c r="BU1010" s="16">
        <f t="shared" si="363"/>
        <v>0</v>
      </c>
      <c r="BV1010" s="16">
        <f>IF($BY$12=1,NORMDIST(BY1010,$Y$6,$Y$8,TRUE),IF($BY$12=2,IF(BY1010&lt;=$BX$31,0,IF(BY1010&gt;=$BX$32,1,(BY1010-$BX$31)*$BX$33)),SUM($BU$42:BU1010)/$BV$40))</f>
        <v>0.99035813005463991</v>
      </c>
      <c r="BW1010" s="16">
        <f t="shared" si="364"/>
        <v>0.1249522252825007</v>
      </c>
      <c r="BX1010" s="16">
        <f>IF($BY$12&lt;3,BV1010,SUM($BZ$42:BZ1010)/$BX$40)</f>
        <v>0.99035813005463991</v>
      </c>
      <c r="BY1010" s="16">
        <f t="shared" si="356"/>
        <v>96.799999999998775</v>
      </c>
      <c r="BZ1010" s="16">
        <f t="shared" si="357"/>
        <v>1.290828773579569E-3</v>
      </c>
      <c r="CA1010" s="16">
        <f t="shared" si="365"/>
        <v>-999</v>
      </c>
      <c r="CE1010" s="16" t="e">
        <f t="shared" si="358"/>
        <v>#N/A</v>
      </c>
      <c r="CF1010" s="16">
        <f t="shared" si="359"/>
        <v>99</v>
      </c>
      <c r="CG1010" s="16">
        <f t="shared" si="360"/>
        <v>0</v>
      </c>
      <c r="CH1010" s="16">
        <f t="shared" si="355"/>
        <v>0</v>
      </c>
      <c r="CJ1010" s="16" t="e">
        <f t="shared" si="361"/>
        <v>#N/A</v>
      </c>
      <c r="CK1010" s="16" t="str">
        <f t="shared" si="362"/>
        <v/>
      </c>
    </row>
    <row r="1011" spans="73:89" ht="12" customHeight="1">
      <c r="BU1011" s="16">
        <f t="shared" si="363"/>
        <v>0</v>
      </c>
      <c r="BV1011" s="16">
        <f>IF($BY$12=1,NORMDIST(BY1011,$Y$6,$Y$8,TRUE),IF($BY$12=2,IF(BY1011&lt;=$BX$31,0,IF(BY1011&gt;=$BX$32,1,(BY1011-$BX$31)*$BX$33)),SUM($BU$42:BU1011)/$BV$40))</f>
        <v>0.9904864602004515</v>
      </c>
      <c r="BW1011" s="16">
        <f t="shared" si="364"/>
        <v>0.12362483943316642</v>
      </c>
      <c r="BX1011" s="16">
        <f>IF($BY$12&lt;3,BV1011,SUM($BZ$42:BZ1011)/$BX$40)</f>
        <v>0.9904864602004515</v>
      </c>
      <c r="BY1011" s="16">
        <f t="shared" si="356"/>
        <v>96.899999999998769</v>
      </c>
      <c r="BZ1011" s="16">
        <f t="shared" si="357"/>
        <v>1.2757981365652011E-3</v>
      </c>
      <c r="CA1011" s="16">
        <f t="shared" si="365"/>
        <v>-999</v>
      </c>
      <c r="CE1011" s="16" t="e">
        <f t="shared" si="358"/>
        <v>#N/A</v>
      </c>
      <c r="CF1011" s="16">
        <f t="shared" si="359"/>
        <v>99</v>
      </c>
      <c r="CG1011" s="16">
        <f t="shared" si="360"/>
        <v>0</v>
      </c>
      <c r="CH1011" s="16">
        <f t="shared" si="355"/>
        <v>0</v>
      </c>
      <c r="CJ1011" s="16" t="e">
        <f t="shared" si="361"/>
        <v>#N/A</v>
      </c>
      <c r="CK1011" s="16" t="str">
        <f t="shared" si="362"/>
        <v/>
      </c>
    </row>
    <row r="1012" spans="73:89" ht="12" customHeight="1">
      <c r="BU1012" s="16">
        <f t="shared" si="363"/>
        <v>0</v>
      </c>
      <c r="BV1012" s="16">
        <f>IF($BY$12=1,NORMDIST(BY1012,$Y$6,$Y$8,TRUE),IF($BY$12=2,IF(BY1012&lt;=$BX$31,0,IF(BY1012&gt;=$BX$32,1,(BY1012-$BX$31)*$BX$33)),SUM($BU$42:BU1012)/$BV$40))</f>
        <v>0.99061329446516</v>
      </c>
      <c r="BW1012" s="16">
        <f t="shared" si="364"/>
        <v>0.12230836658870903</v>
      </c>
      <c r="BX1012" s="16">
        <f>IF($BY$12&lt;3,BV1012,SUM($BZ$42:BZ1012)/$BX$40)</f>
        <v>0.99061329446516</v>
      </c>
      <c r="BY1012" s="16">
        <f t="shared" si="356"/>
        <v>96.999999999998764</v>
      </c>
      <c r="BZ1012" s="16">
        <f t="shared" si="357"/>
        <v>1.260910995759903E-3</v>
      </c>
      <c r="CA1012" s="16">
        <f t="shared" si="365"/>
        <v>-999</v>
      </c>
      <c r="CE1012" s="16" t="e">
        <f t="shared" si="358"/>
        <v>#N/A</v>
      </c>
      <c r="CF1012" s="16">
        <f t="shared" si="359"/>
        <v>99</v>
      </c>
      <c r="CG1012" s="16">
        <f t="shared" si="360"/>
        <v>0</v>
      </c>
      <c r="CH1012" s="16">
        <f t="shared" si="355"/>
        <v>0</v>
      </c>
      <c r="CJ1012" s="16" t="e">
        <f t="shared" si="361"/>
        <v>#N/A</v>
      </c>
      <c r="CK1012" s="16" t="str">
        <f t="shared" si="362"/>
        <v/>
      </c>
    </row>
    <row r="1013" spans="73:89" ht="12" customHeight="1">
      <c r="BU1013" s="16">
        <f t="shared" si="363"/>
        <v>0</v>
      </c>
      <c r="BV1013" s="16">
        <f>IF($BY$12=1,NORMDIST(BY1013,$Y$6,$Y$8,TRUE),IF($BY$12=2,IF(BY1013&lt;=$BX$31,0,IF(BY1013&gt;=$BX$32,1,(BY1013-$BX$31)*$BX$33)),SUM($BU$42:BU1013)/$BV$40))</f>
        <v>0.99073864715166216</v>
      </c>
      <c r="BW1013" s="16">
        <f t="shared" si="364"/>
        <v>0.12100275906427742</v>
      </c>
      <c r="BX1013" s="16">
        <f>IF($BY$12&lt;3,BV1013,SUM($BZ$42:BZ1013)/$BX$40)</f>
        <v>0.99073864715166216</v>
      </c>
      <c r="BY1013" s="16">
        <f t="shared" si="356"/>
        <v>97.099999999998758</v>
      </c>
      <c r="BZ1013" s="16">
        <f t="shared" si="357"/>
        <v>1.2461664167278987E-3</v>
      </c>
      <c r="CA1013" s="16">
        <f t="shared" si="365"/>
        <v>-999</v>
      </c>
      <c r="CE1013" s="16" t="e">
        <f t="shared" si="358"/>
        <v>#N/A</v>
      </c>
      <c r="CF1013" s="16">
        <f t="shared" si="359"/>
        <v>99</v>
      </c>
      <c r="CG1013" s="16">
        <f t="shared" si="360"/>
        <v>0</v>
      </c>
      <c r="CH1013" s="16">
        <f t="shared" si="355"/>
        <v>0</v>
      </c>
      <c r="CJ1013" s="16" t="e">
        <f t="shared" si="361"/>
        <v>#N/A</v>
      </c>
      <c r="CK1013" s="16" t="str">
        <f t="shared" si="362"/>
        <v/>
      </c>
    </row>
    <row r="1014" spans="73:89" ht="12" customHeight="1">
      <c r="BU1014" s="16">
        <f t="shared" si="363"/>
        <v>0</v>
      </c>
      <c r="BV1014" s="16">
        <f>IF($BY$12=1,NORMDIST(BY1014,$Y$6,$Y$8,TRUE),IF($BY$12=2,IF(BY1014&lt;=$BX$31,0,IF(BY1014&gt;=$BX$32,1,(BY1014-$BX$31)*$BX$33)),SUM($BU$42:BU1014)/$BV$40))</f>
        <v>0.99086253246942579</v>
      </c>
      <c r="BW1014" s="16">
        <f t="shared" si="364"/>
        <v>0.11970796882903496</v>
      </c>
      <c r="BX1014" s="16">
        <f>IF($BY$12&lt;3,BV1014,SUM($BZ$42:BZ1014)/$BX$40)</f>
        <v>0.99086253246942579</v>
      </c>
      <c r="BY1014" s="16">
        <f t="shared" si="356"/>
        <v>97.199999999998752</v>
      </c>
      <c r="BZ1014" s="16">
        <f t="shared" si="357"/>
        <v>1.2315634653193056E-3</v>
      </c>
      <c r="CA1014" s="16">
        <f t="shared" si="365"/>
        <v>-999</v>
      </c>
      <c r="CE1014" s="16" t="e">
        <f t="shared" si="358"/>
        <v>#N/A</v>
      </c>
      <c r="CF1014" s="16">
        <f t="shared" si="359"/>
        <v>99</v>
      </c>
      <c r="CG1014" s="16">
        <f t="shared" si="360"/>
        <v>0</v>
      </c>
      <c r="CH1014" s="16">
        <f t="shared" si="355"/>
        <v>0</v>
      </c>
      <c r="CJ1014" s="16" t="e">
        <f t="shared" si="361"/>
        <v>#N/A</v>
      </c>
      <c r="CK1014" s="16" t="str">
        <f t="shared" si="362"/>
        <v/>
      </c>
    </row>
    <row r="1015" spans="73:89" ht="12" customHeight="1">
      <c r="BU1015" s="16">
        <f t="shared" si="363"/>
        <v>0</v>
      </c>
      <c r="BV1015" s="16">
        <f>IF($BY$12=1,NORMDIST(BY1015,$Y$6,$Y$8,TRUE),IF($BY$12=2,IF(BY1015&lt;=$BX$31,0,IF(BY1015&gt;=$BX$32,1,(BY1015-$BX$31)*$BX$33)),SUM($BU$42:BU1015)/$BV$40))</f>
        <v>0.99098496453452067</v>
      </c>
      <c r="BW1015" s="16">
        <f t="shared" si="364"/>
        <v>0.11842394751501321</v>
      </c>
      <c r="BX1015" s="16">
        <f>IF($BY$12&lt;3,BV1015,SUM($BZ$42:BZ1015)/$BX$40)</f>
        <v>0.99098496453452067</v>
      </c>
      <c r="BY1015" s="16">
        <f t="shared" si="356"/>
        <v>97.299999999998747</v>
      </c>
      <c r="BZ1015" s="16">
        <f t="shared" si="357"/>
        <v>1.2171012077596582E-3</v>
      </c>
      <c r="CA1015" s="16">
        <f t="shared" si="365"/>
        <v>-999</v>
      </c>
      <c r="CE1015" s="16" t="e">
        <f t="shared" si="358"/>
        <v>#N/A</v>
      </c>
      <c r="CF1015" s="16">
        <f t="shared" si="359"/>
        <v>99</v>
      </c>
      <c r="CG1015" s="16">
        <f t="shared" si="360"/>
        <v>0</v>
      </c>
      <c r="CH1015" s="16">
        <f t="shared" si="355"/>
        <v>0</v>
      </c>
      <c r="CJ1015" s="16" t="e">
        <f t="shared" si="361"/>
        <v>#N/A</v>
      </c>
      <c r="CK1015" s="16" t="str">
        <f t="shared" si="362"/>
        <v/>
      </c>
    </row>
    <row r="1016" spans="73:89" ht="12" customHeight="1">
      <c r="BU1016" s="16">
        <f t="shared" si="363"/>
        <v>0</v>
      </c>
      <c r="BV1016" s="16">
        <f>IF($BY$12=1,NORMDIST(BY1016,$Y$6,$Y$8,TRUE),IF($BY$12=2,IF(BY1016&lt;=$BX$31,0,IF(BY1016&gt;=$BX$32,1,(BY1016-$BX$31)*$BX$33)),SUM($BU$42:BU1016)/$BV$40))</f>
        <v>0.99110595736966156</v>
      </c>
      <c r="BW1016" s="16">
        <f t="shared" si="364"/>
        <v>0.11715064642591162</v>
      </c>
      <c r="BX1016" s="16">
        <f>IF($BY$12&lt;3,BV1016,SUM($BZ$42:BZ1016)/$BX$40)</f>
        <v>0.99110595736966156</v>
      </c>
      <c r="BY1016" s="16">
        <f t="shared" si="356"/>
        <v>97.399999999998741</v>
      </c>
      <c r="BZ1016" s="16">
        <f t="shared" si="357"/>
        <v>1.2027787107383278E-3</v>
      </c>
      <c r="CA1016" s="16">
        <f t="shared" si="365"/>
        <v>-999</v>
      </c>
      <c r="CE1016" s="16" t="e">
        <f t="shared" si="358"/>
        <v>#N/A</v>
      </c>
      <c r="CF1016" s="16">
        <f t="shared" si="359"/>
        <v>99</v>
      </c>
      <c r="CG1016" s="16">
        <f t="shared" si="360"/>
        <v>0</v>
      </c>
      <c r="CH1016" s="16">
        <f t="shared" si="355"/>
        <v>0</v>
      </c>
      <c r="CJ1016" s="16" t="e">
        <f t="shared" si="361"/>
        <v>#N/A</v>
      </c>
      <c r="CK1016" s="16" t="str">
        <f t="shared" si="362"/>
        <v/>
      </c>
    </row>
    <row r="1017" spans="73:89" ht="12" customHeight="1">
      <c r="BU1017" s="16">
        <f t="shared" si="363"/>
        <v>0</v>
      </c>
      <c r="BV1017" s="16">
        <f>IF($BY$12=1,NORMDIST(BY1017,$Y$6,$Y$8,TRUE),IF($BY$12=2,IF(BY1017&lt;=$BX$31,0,IF(BY1017&gt;=$BX$32,1,(BY1017-$BX$31)*$BX$33)),SUM($BU$42:BU1017)/$BV$40))</f>
        <v>0.99122552490426008</v>
      </c>
      <c r="BW1017" s="16">
        <f t="shared" si="364"/>
        <v>0.11588801654584566</v>
      </c>
      <c r="BX1017" s="16">
        <f>IF($BY$12&lt;3,BV1017,SUM($BZ$42:BZ1017)/$BX$40)</f>
        <v>0.99122552490426008</v>
      </c>
      <c r="BY1017" s="16">
        <f t="shared" si="356"/>
        <v>97.499999999998735</v>
      </c>
      <c r="BZ1017" s="16">
        <f t="shared" si="357"/>
        <v>1.1885950414958683E-3</v>
      </c>
      <c r="CA1017" s="16">
        <f t="shared" si="365"/>
        <v>-999</v>
      </c>
      <c r="CE1017" s="16" t="e">
        <f t="shared" si="358"/>
        <v>#N/A</v>
      </c>
      <c r="CF1017" s="16">
        <f t="shared" si="359"/>
        <v>99</v>
      </c>
      <c r="CG1017" s="16">
        <f t="shared" si="360"/>
        <v>0</v>
      </c>
      <c r="CH1017" s="16">
        <f t="shared" si="355"/>
        <v>0</v>
      </c>
      <c r="CJ1017" s="16" t="e">
        <f t="shared" si="361"/>
        <v>#N/A</v>
      </c>
      <c r="CK1017" s="16" t="str">
        <f t="shared" si="362"/>
        <v/>
      </c>
    </row>
    <row r="1018" spans="73:89" ht="12" customHeight="1">
      <c r="BU1018" s="16">
        <f t="shared" si="363"/>
        <v>0</v>
      </c>
      <c r="BV1018" s="16">
        <f>IF($BY$12=1,NORMDIST(BY1018,$Y$6,$Y$8,TRUE),IF($BY$12=2,IF(BY1018&lt;=$BX$31,0,IF(BY1018&gt;=$BX$32,1,(BY1018-$BX$31)*$BX$33)),SUM($BU$42:BU1018)/$BV$40))</f>
        <v>0.991343680974482</v>
      </c>
      <c r="BW1018" s="16">
        <f t="shared" si="364"/>
        <v>0.11463600854803842</v>
      </c>
      <c r="BX1018" s="16">
        <f>IF($BY$12&lt;3,BV1018,SUM($BZ$42:BZ1018)/$BX$40)</f>
        <v>0.991343680974482</v>
      </c>
      <c r="BY1018" s="16">
        <f t="shared" si="356"/>
        <v>97.59999999999873</v>
      </c>
      <c r="BZ1018" s="16">
        <f t="shared" si="357"/>
        <v>1.174549267910245E-3</v>
      </c>
      <c r="CA1018" s="16">
        <f t="shared" si="365"/>
        <v>-999</v>
      </c>
      <c r="CE1018" s="16" t="e">
        <f t="shared" si="358"/>
        <v>#N/A</v>
      </c>
      <c r="CF1018" s="16">
        <f t="shared" si="359"/>
        <v>99</v>
      </c>
      <c r="CG1018" s="16">
        <f t="shared" si="360"/>
        <v>0</v>
      </c>
      <c r="CH1018" s="16">
        <f t="shared" si="355"/>
        <v>0</v>
      </c>
      <c r="CJ1018" s="16" t="e">
        <f t="shared" si="361"/>
        <v>#N/A</v>
      </c>
      <c r="CK1018" s="16" t="str">
        <f t="shared" si="362"/>
        <v/>
      </c>
    </row>
    <row r="1019" spans="73:89" ht="12" customHeight="1">
      <c r="BU1019" s="16">
        <f t="shared" si="363"/>
        <v>0</v>
      </c>
      <c r="BV1019" s="16">
        <f>IF($BY$12=1,NORMDIST(BY1019,$Y$6,$Y$8,TRUE),IF($BY$12=2,IF(BY1019&lt;=$BX$31,0,IF(BY1019&gt;=$BX$32,1,(BY1019-$BX$31)*$BX$33)),SUM($BU$42:BU1019)/$BV$40))</f>
        <v>0.9914604393233164</v>
      </c>
      <c r="BW1019" s="16">
        <f t="shared" si="364"/>
        <v>0.11339457280345826</v>
      </c>
      <c r="BX1019" s="16">
        <f>IF($BY$12&lt;3,BV1019,SUM($BZ$42:BZ1019)/$BX$40)</f>
        <v>0.9914604393233164</v>
      </c>
      <c r="BY1019" s="16">
        <f t="shared" si="356"/>
        <v>97.699999999998724</v>
      </c>
      <c r="BZ1019" s="16">
        <f t="shared" si="357"/>
        <v>1.160640458581983E-3</v>
      </c>
      <c r="CA1019" s="16">
        <f t="shared" si="365"/>
        <v>-999</v>
      </c>
      <c r="CE1019" s="16" t="e">
        <f t="shared" si="358"/>
        <v>#N/A</v>
      </c>
      <c r="CF1019" s="16">
        <f t="shared" si="359"/>
        <v>99</v>
      </c>
      <c r="CG1019" s="16">
        <f t="shared" si="360"/>
        <v>0</v>
      </c>
      <c r="CH1019" s="16">
        <f t="shared" si="355"/>
        <v>0</v>
      </c>
      <c r="CJ1019" s="16" t="e">
        <f t="shared" si="361"/>
        <v>#N/A</v>
      </c>
      <c r="CK1019" s="16" t="str">
        <f t="shared" si="362"/>
        <v/>
      </c>
    </row>
    <row r="1020" spans="73:89" ht="12" customHeight="1">
      <c r="BU1020" s="16">
        <f t="shared" si="363"/>
        <v>0</v>
      </c>
      <c r="BV1020" s="16">
        <f>IF($BY$12=1,NORMDIST(BY1020,$Y$6,$Y$8,TRUE),IF($BY$12=2,IF(BY1020&lt;=$BX$31,0,IF(BY1020&gt;=$BX$32,1,(BY1020-$BX$31)*$BX$33)),SUM($BU$42:BU1020)/$BV$40))</f>
        <v>0.99157581360065294</v>
      </c>
      <c r="BW1020" s="16">
        <f t="shared" si="364"/>
        <v>0.11216365938939954</v>
      </c>
      <c r="BX1020" s="16">
        <f>IF($BY$12&lt;3,BV1020,SUM($BZ$42:BZ1020)/$BX$40)</f>
        <v>0.99157581360065294</v>
      </c>
      <c r="BY1020" s="16">
        <f t="shared" si="356"/>
        <v>97.799999999998718</v>
      </c>
      <c r="BZ1020" s="16">
        <f t="shared" si="357"/>
        <v>1.1468676829182107E-3</v>
      </c>
      <c r="CA1020" s="16">
        <f t="shared" si="365"/>
        <v>-999</v>
      </c>
      <c r="CE1020" s="16" t="e">
        <f t="shared" si="358"/>
        <v>#N/A</v>
      </c>
      <c r="CF1020" s="16">
        <f t="shared" si="359"/>
        <v>99</v>
      </c>
      <c r="CG1020" s="16">
        <f t="shared" si="360"/>
        <v>0</v>
      </c>
      <c r="CH1020" s="16">
        <f t="shared" si="355"/>
        <v>0</v>
      </c>
      <c r="CJ1020" s="16" t="e">
        <f t="shared" si="361"/>
        <v>#N/A</v>
      </c>
      <c r="CK1020" s="16" t="str">
        <f t="shared" si="362"/>
        <v/>
      </c>
    </row>
    <row r="1021" spans="73:89" ht="12" customHeight="1">
      <c r="BU1021" s="16">
        <f t="shared" si="363"/>
        <v>0</v>
      </c>
      <c r="BV1021" s="16">
        <f>IF($BY$12=1,NORMDIST(BY1021,$Y$6,$Y$8,TRUE),IF($BY$12=2,IF(BY1021&lt;=$BX$31,0,IF(BY1021&gt;=$BX$32,1,(BY1021-$BX$31)*$BX$33)),SUM($BU$42:BU1021)/$BV$40))</f>
        <v>0.99168981736336437</v>
      </c>
      <c r="BW1021" s="16">
        <f t="shared" si="364"/>
        <v>0.11094321809800764</v>
      </c>
      <c r="BX1021" s="16">
        <f>IF($BY$12&lt;3,BV1021,SUM($BZ$42:BZ1021)/$BX$40)</f>
        <v>0.99168981736336437</v>
      </c>
      <c r="BY1021" s="16">
        <f t="shared" si="356"/>
        <v>97.899999999998712</v>
      </c>
      <c r="BZ1021" s="16">
        <f t="shared" si="357"/>
        <v>1.133230011215619E-3</v>
      </c>
      <c r="CA1021" s="16">
        <f t="shared" si="365"/>
        <v>-999</v>
      </c>
      <c r="CE1021" s="16" t="e">
        <f t="shared" si="358"/>
        <v>#N/A</v>
      </c>
      <c r="CF1021" s="16">
        <f t="shared" si="359"/>
        <v>99</v>
      </c>
      <c r="CG1021" s="16">
        <f t="shared" si="360"/>
        <v>0</v>
      </c>
      <c r="CH1021" s="16">
        <f t="shared" si="355"/>
        <v>0</v>
      </c>
      <c r="CJ1021" s="16" t="e">
        <f t="shared" si="361"/>
        <v>#N/A</v>
      </c>
      <c r="CK1021" s="16" t="str">
        <f t="shared" si="362"/>
        <v/>
      </c>
    </row>
    <row r="1022" spans="73:89" ht="12" customHeight="1">
      <c r="BU1022" s="16">
        <f t="shared" si="363"/>
        <v>0</v>
      </c>
      <c r="BV1022" s="16">
        <f>IF($BY$12=1,NORMDIST(BY1022,$Y$6,$Y$8,TRUE),IF($BY$12=2,IF(BY1022&lt;=$BX$31,0,IF(BY1022&gt;=$BX$32,1,(BY1022-$BX$31)*$BX$33)),SUM($BU$42:BU1022)/$BV$40))</f>
        <v>0.9918024640754024</v>
      </c>
      <c r="BW1022" s="16">
        <f t="shared" si="364"/>
        <v>0.10973319844474574</v>
      </c>
      <c r="BX1022" s="16">
        <f>IF($BY$12&lt;3,BV1022,SUM($BZ$42:BZ1022)/$BX$40)</f>
        <v>0.9918024640754024</v>
      </c>
      <c r="BY1022" s="16">
        <f t="shared" si="356"/>
        <v>97.999999999998707</v>
      </c>
      <c r="BZ1022" s="16">
        <f t="shared" si="357"/>
        <v>1.1197265147423184E-3</v>
      </c>
      <c r="CA1022" s="16">
        <f t="shared" si="365"/>
        <v>-999</v>
      </c>
      <c r="CE1022" s="16" t="e">
        <f t="shared" si="358"/>
        <v>#N/A</v>
      </c>
      <c r="CF1022" s="16">
        <f t="shared" si="359"/>
        <v>99</v>
      </c>
      <c r="CG1022" s="16">
        <f t="shared" si="360"/>
        <v>0</v>
      </c>
      <c r="CH1022" s="16">
        <f t="shared" si="355"/>
        <v>0</v>
      </c>
      <c r="CJ1022" s="16" t="e">
        <f t="shared" si="361"/>
        <v>#N/A</v>
      </c>
      <c r="CK1022" s="16" t="str">
        <f t="shared" si="362"/>
        <v/>
      </c>
    </row>
    <row r="1023" spans="73:89" ht="12" customHeight="1">
      <c r="BU1023" s="16">
        <f t="shared" si="363"/>
        <v>0</v>
      </c>
      <c r="BV1023" s="16">
        <f>IF($BY$12=1,NORMDIST(BY1023,$Y$6,$Y$8,TRUE),IF($BY$12=2,IF(BY1023&lt;=$BX$31,0,IF(BY1023&gt;=$BX$32,1,(BY1023-$BX$31)*$BX$33)),SUM($BU$42:BU1023)/$BV$40))</f>
        <v>0.99191376710789669</v>
      </c>
      <c r="BW1023" s="16">
        <f t="shared" si="364"/>
        <v>0.10853354967680381</v>
      </c>
      <c r="BX1023" s="16">
        <f>IF($BY$12&lt;3,BV1023,SUM($BZ$42:BZ1023)/$BX$40)</f>
        <v>0.99191376710789669</v>
      </c>
      <c r="BY1023" s="16">
        <f t="shared" si="356"/>
        <v>98.099999999998701</v>
      </c>
      <c r="BZ1023" s="16">
        <f t="shared" si="357"/>
        <v>1.106356265818606E-3</v>
      </c>
      <c r="CA1023" s="16">
        <f t="shared" si="365"/>
        <v>-999</v>
      </c>
      <c r="CE1023" s="16" t="e">
        <f t="shared" si="358"/>
        <v>#N/A</v>
      </c>
      <c r="CF1023" s="16">
        <f t="shared" si="359"/>
        <v>99</v>
      </c>
      <c r="CG1023" s="16">
        <f t="shared" si="360"/>
        <v>0</v>
      </c>
      <c r="CH1023" s="16">
        <f t="shared" si="355"/>
        <v>0</v>
      </c>
      <c r="CJ1023" s="16" t="e">
        <f t="shared" si="361"/>
        <v>#N/A</v>
      </c>
      <c r="CK1023" s="16" t="str">
        <f t="shared" si="362"/>
        <v/>
      </c>
    </row>
    <row r="1024" spans="73:89" ht="12" customHeight="1">
      <c r="BU1024" s="16">
        <f t="shared" si="363"/>
        <v>0</v>
      </c>
      <c r="BV1024" s="16">
        <f>IF($BY$12=1,NORMDIST(BY1024,$Y$6,$Y$8,TRUE),IF($BY$12=2,IF(BY1024&lt;=$BX$31,0,IF(BY1024&gt;=$BX$32,1,(BY1024-$BX$31)*$BX$33)),SUM($BU$42:BU1024)/$BV$40))</f>
        <v>0.99202373973926483</v>
      </c>
      <c r="BW1024" s="16">
        <f t="shared" si="364"/>
        <v>0.10734422078144872</v>
      </c>
      <c r="BX1024" s="16">
        <f>IF($BY$12&lt;3,BV1024,SUM($BZ$42:BZ1024)/$BX$40)</f>
        <v>0.99202373973926483</v>
      </c>
      <c r="BY1024" s="16">
        <f t="shared" si="356"/>
        <v>98.199999999998695</v>
      </c>
      <c r="BZ1024" s="16">
        <f t="shared" si="357"/>
        <v>1.0931183378966409E-3</v>
      </c>
      <c r="CA1024" s="16">
        <f t="shared" si="365"/>
        <v>-999</v>
      </c>
      <c r="CE1024" s="16" t="e">
        <f t="shared" si="358"/>
        <v>#N/A</v>
      </c>
      <c r="CF1024" s="16">
        <f t="shared" si="359"/>
        <v>99</v>
      </c>
      <c r="CG1024" s="16">
        <f t="shared" si="360"/>
        <v>0</v>
      </c>
      <c r="CH1024" s="16">
        <f t="shared" si="355"/>
        <v>0</v>
      </c>
      <c r="CJ1024" s="16" t="e">
        <f t="shared" si="361"/>
        <v>#N/A</v>
      </c>
      <c r="CK1024" s="16" t="str">
        <f t="shared" si="362"/>
        <v/>
      </c>
    </row>
    <row r="1025" spans="73:89" ht="12" customHeight="1">
      <c r="BU1025" s="16">
        <f t="shared" si="363"/>
        <v>0</v>
      </c>
      <c r="BV1025" s="16">
        <f>IF($BY$12=1,NORMDIST(BY1025,$Y$6,$Y$8,TRUE),IF($BY$12=2,IF(BY1025&lt;=$BX$31,0,IF(BY1025&gt;=$BX$32,1,(BY1025-$BX$31)*$BX$33)),SUM($BU$42:BU1025)/$BV$40))</f>
        <v>0.99213239515533003</v>
      </c>
      <c r="BW1025" s="16">
        <f t="shared" si="364"/>
        <v>0.10616516049431496</v>
      </c>
      <c r="BX1025" s="16">
        <f>IF($BY$12&lt;3,BV1025,SUM($BZ$42:BZ1025)/$BX$40)</f>
        <v>0.99213239515533003</v>
      </c>
      <c r="BY1025" s="16">
        <f t="shared" si="356"/>
        <v>98.29999999999869</v>
      </c>
      <c r="BZ1025" s="16">
        <f t="shared" si="357"/>
        <v>1.0800118056390271E-3</v>
      </c>
      <c r="CA1025" s="16">
        <f t="shared" si="365"/>
        <v>-999</v>
      </c>
      <c r="CE1025" s="16" t="e">
        <f t="shared" si="358"/>
        <v>#N/A</v>
      </c>
      <c r="CF1025" s="16">
        <f t="shared" si="359"/>
        <v>99</v>
      </c>
      <c r="CG1025" s="16">
        <f t="shared" si="360"/>
        <v>0</v>
      </c>
      <c r="CH1025" s="16">
        <f t="shared" si="355"/>
        <v>0</v>
      </c>
      <c r="CJ1025" s="16" t="e">
        <f t="shared" si="361"/>
        <v>#N/A</v>
      </c>
      <c r="CK1025" s="16" t="str">
        <f t="shared" si="362"/>
        <v/>
      </c>
    </row>
    <row r="1026" spans="73:89" ht="12" customHeight="1">
      <c r="BU1026" s="16">
        <f t="shared" si="363"/>
        <v>0</v>
      </c>
      <c r="BV1026" s="16">
        <f>IF($BY$12=1,NORMDIST(BY1026,$Y$6,$Y$8,TRUE),IF($BY$12=2,IF(BY1026&lt;=$BX$31,0,IF(BY1026&gt;=$BX$32,1,(BY1026-$BX$31)*$BX$33)),SUM($BU$42:BU1026)/$BV$40))</f>
        <v>0.99223974644944501</v>
      </c>
      <c r="BW1026" s="16">
        <f t="shared" si="364"/>
        <v>0.10499631730763537</v>
      </c>
      <c r="BX1026" s="16">
        <f>IF($BY$12&lt;3,BV1026,SUM($BZ$42:BZ1026)/$BX$40)</f>
        <v>0.99223974644944501</v>
      </c>
      <c r="BY1026" s="16">
        <f t="shared" si="356"/>
        <v>98.399999999998684</v>
      </c>
      <c r="BZ1026" s="16">
        <f t="shared" si="357"/>
        <v>1.0670357449963086E-3</v>
      </c>
      <c r="CA1026" s="16">
        <f t="shared" si="365"/>
        <v>-999</v>
      </c>
      <c r="CE1026" s="16" t="e">
        <f t="shared" si="358"/>
        <v>#N/A</v>
      </c>
      <c r="CF1026" s="16">
        <f t="shared" si="359"/>
        <v>99</v>
      </c>
      <c r="CG1026" s="16">
        <f t="shared" si="360"/>
        <v>0</v>
      </c>
      <c r="CH1026" s="16">
        <f t="shared" si="355"/>
        <v>0</v>
      </c>
      <c r="CJ1026" s="16" t="e">
        <f t="shared" si="361"/>
        <v>#N/A</v>
      </c>
      <c r="CK1026" s="16" t="str">
        <f t="shared" si="362"/>
        <v/>
      </c>
    </row>
    <row r="1027" spans="73:89" ht="12" customHeight="1">
      <c r="BU1027" s="16">
        <f t="shared" si="363"/>
        <v>0</v>
      </c>
      <c r="BV1027" s="16">
        <f>IF($BY$12=1,NORMDIST(BY1027,$Y$6,$Y$8,TRUE),IF($BY$12=2,IF(BY1027&lt;=$BX$31,0,IF(BY1027&gt;=$BX$32,1,(BY1027-$BX$31)*$BX$33)),SUM($BU$42:BU1027)/$BV$40))</f>
        <v>0.99234580662262517</v>
      </c>
      <c r="BW1027" s="16">
        <f t="shared" si="364"/>
        <v>0.10383763947841097</v>
      </c>
      <c r="BX1027" s="16">
        <f>IF($BY$12&lt;3,BV1027,SUM($BZ$42:BZ1027)/$BX$40)</f>
        <v>0.99234580662262517</v>
      </c>
      <c r="BY1027" s="16">
        <f t="shared" si="356"/>
        <v>98.499999999998678</v>
      </c>
      <c r="BZ1027" s="16">
        <f t="shared" si="357"/>
        <v>1.0541892332833743E-3</v>
      </c>
      <c r="CA1027" s="16">
        <f t="shared" si="365"/>
        <v>-999</v>
      </c>
      <c r="CE1027" s="16" t="e">
        <f t="shared" si="358"/>
        <v>#N/A</v>
      </c>
      <c r="CF1027" s="16">
        <f t="shared" si="359"/>
        <v>99</v>
      </c>
      <c r="CG1027" s="16">
        <f t="shared" si="360"/>
        <v>0</v>
      </c>
      <c r="CH1027" s="16">
        <f t="shared" ref="CH1027:CH1090" si="366">IF(CB1027="",0,1)</f>
        <v>0</v>
      </c>
      <c r="CJ1027" s="16" t="e">
        <f t="shared" si="361"/>
        <v>#N/A</v>
      </c>
      <c r="CK1027" s="16" t="str">
        <f t="shared" si="362"/>
        <v/>
      </c>
    </row>
    <row r="1028" spans="73:89" ht="12" customHeight="1">
      <c r="BU1028" s="16">
        <f t="shared" si="363"/>
        <v>0</v>
      </c>
      <c r="BV1028" s="16">
        <f>IF($BY$12=1,NORMDIST(BY1028,$Y$6,$Y$8,TRUE),IF($BY$12=2,IF(BY1028&lt;=$BX$31,0,IF(BY1028&gt;=$BX$32,1,(BY1028-$BX$31)*$BX$33)),SUM($BU$42:BU1028)/$BV$40))</f>
        <v>0.9924505885836894</v>
      </c>
      <c r="BW1028" s="16">
        <f t="shared" si="364"/>
        <v>0.10268907503651969</v>
      </c>
      <c r="BX1028" s="16">
        <f>IF($BY$12&lt;3,BV1028,SUM($BZ$42:BZ1028)/$BX$40)</f>
        <v>0.9924505885836894</v>
      </c>
      <c r="BY1028" s="16">
        <f t="shared" si="356"/>
        <v>98.599999999998673</v>
      </c>
      <c r="BZ1028" s="16">
        <f t="shared" si="357"/>
        <v>1.0414713492547776E-3</v>
      </c>
      <c r="CA1028" s="16">
        <f t="shared" si="365"/>
        <v>-999</v>
      </c>
      <c r="CE1028" s="16" t="e">
        <f t="shared" si="358"/>
        <v>#N/A</v>
      </c>
      <c r="CF1028" s="16">
        <f t="shared" si="359"/>
        <v>99</v>
      </c>
      <c r="CG1028" s="16">
        <f t="shared" si="360"/>
        <v>0</v>
      </c>
      <c r="CH1028" s="16">
        <f t="shared" si="366"/>
        <v>0</v>
      </c>
      <c r="CJ1028" s="16" t="e">
        <f t="shared" si="361"/>
        <v>#N/A</v>
      </c>
      <c r="CK1028" s="16" t="str">
        <f t="shared" si="362"/>
        <v/>
      </c>
    </row>
    <row r="1029" spans="73:89" ht="12" customHeight="1">
      <c r="BU1029" s="16">
        <f t="shared" si="363"/>
        <v>0</v>
      </c>
      <c r="BV1029" s="16">
        <f>IF($BY$12=1,NORMDIST(BY1029,$Y$6,$Y$8,TRUE),IF($BY$12=2,IF(BY1029&lt;=$BX$31,0,IF(BY1029&gt;=$BX$32,1,(BY1029-$BX$31)*$BX$33)),SUM($BU$42:BU1029)/$BV$40))</f>
        <v>0.99255410514940623</v>
      </c>
      <c r="BW1029" s="16">
        <f t="shared" si="364"/>
        <v>0.10155057179276307</v>
      </c>
      <c r="BX1029" s="16">
        <f>IF($BY$12&lt;3,BV1029,SUM($BZ$42:BZ1029)/$BX$40)</f>
        <v>0.99255410514940623</v>
      </c>
      <c r="BY1029" s="16">
        <f t="shared" si="356"/>
        <v>98.699999999998667</v>
      </c>
      <c r="BZ1029" s="16">
        <f t="shared" si="357"/>
        <v>1.0288811731789711E-3</v>
      </c>
      <c r="CA1029" s="16">
        <f t="shared" si="365"/>
        <v>-999</v>
      </c>
      <c r="CE1029" s="16" t="e">
        <f t="shared" si="358"/>
        <v>#N/A</v>
      </c>
      <c r="CF1029" s="16">
        <f t="shared" si="359"/>
        <v>99</v>
      </c>
      <c r="CG1029" s="16">
        <f t="shared" si="360"/>
        <v>0</v>
      </c>
      <c r="CH1029" s="16">
        <f t="shared" si="366"/>
        <v>0</v>
      </c>
      <c r="CJ1029" s="16" t="e">
        <f t="shared" si="361"/>
        <v>#N/A</v>
      </c>
      <c r="CK1029" s="16" t="str">
        <f t="shared" si="362"/>
        <v/>
      </c>
    </row>
    <row r="1030" spans="73:89" ht="12" customHeight="1">
      <c r="BU1030" s="16">
        <f t="shared" si="363"/>
        <v>0</v>
      </c>
      <c r="BV1030" s="16">
        <f>IF($BY$12=1,NORMDIST(BY1030,$Y$6,$Y$8,TRUE),IF($BY$12=2,IF(BY1030&lt;=$BX$31,0,IF(BY1030&gt;=$BX$32,1,(BY1030-$BX$31)*$BX$33)),SUM($BU$42:BU1030)/$BV$40))</f>
        <v>0.99265636904465038</v>
      </c>
      <c r="BW1030" s="16">
        <f t="shared" si="364"/>
        <v>0.10042207734685063</v>
      </c>
      <c r="BX1030" s="16">
        <f>IF($BY$12&lt;3,BV1030,SUM($BZ$42:BZ1030)/$BX$40)</f>
        <v>0.99265636904465038</v>
      </c>
      <c r="BY1030" s="16">
        <f t="shared" si="356"/>
        <v>98.799999999998661</v>
      </c>
      <c r="BZ1030" s="16">
        <f t="shared" si="357"/>
        <v>1.0164177869114574E-3</v>
      </c>
      <c r="CA1030" s="16">
        <f t="shared" si="365"/>
        <v>-999</v>
      </c>
      <c r="CE1030" s="16" t="e">
        <f t="shared" si="358"/>
        <v>#N/A</v>
      </c>
      <c r="CF1030" s="16">
        <f t="shared" si="359"/>
        <v>99</v>
      </c>
      <c r="CG1030" s="16">
        <f t="shared" si="360"/>
        <v>0</v>
      </c>
      <c r="CH1030" s="16">
        <f t="shared" si="366"/>
        <v>0</v>
      </c>
      <c r="CJ1030" s="16" t="e">
        <f t="shared" si="361"/>
        <v>#N/A</v>
      </c>
      <c r="CK1030" s="16" t="str">
        <f t="shared" si="362"/>
        <v/>
      </c>
    </row>
    <row r="1031" spans="73:89" ht="12" customHeight="1">
      <c r="BU1031" s="16">
        <f t="shared" si="363"/>
        <v>0</v>
      </c>
      <c r="BV1031" s="16">
        <f>IF($BY$12=1,NORMDIST(BY1031,$Y$6,$Y$8,TRUE),IF($BY$12=2,IF(BY1031&lt;=$BX$31,0,IF(BY1031&gt;=$BX$32,1,(BY1031-$BX$31)*$BX$33)),SUM($BU$42:BU1031)/$BV$40))</f>
        <v>0.99275739290256393</v>
      </c>
      <c r="BW1031" s="16">
        <f t="shared" si="364"/>
        <v>9.9303539095321455E-2</v>
      </c>
      <c r="BX1031" s="16">
        <f>IF($BY$12&lt;3,BV1031,SUM($BZ$42:BZ1031)/$BX$40)</f>
        <v>0.99275739290256393</v>
      </c>
      <c r="BY1031" s="16">
        <f t="shared" si="356"/>
        <v>98.899999999998656</v>
      </c>
      <c r="BZ1031" s="16">
        <f t="shared" si="357"/>
        <v>1.0040802739668636E-3</v>
      </c>
      <c r="CA1031" s="16">
        <f t="shared" si="365"/>
        <v>-999</v>
      </c>
      <c r="CE1031" s="16" t="e">
        <f t="shared" si="358"/>
        <v>#N/A</v>
      </c>
      <c r="CF1031" s="16">
        <f t="shared" si="359"/>
        <v>99</v>
      </c>
      <c r="CG1031" s="16">
        <f t="shared" si="360"/>
        <v>0</v>
      </c>
      <c r="CH1031" s="16">
        <f t="shared" si="366"/>
        <v>0</v>
      </c>
      <c r="CJ1031" s="16" t="e">
        <f t="shared" si="361"/>
        <v>#N/A</v>
      </c>
      <c r="CK1031" s="16" t="str">
        <f t="shared" si="362"/>
        <v/>
      </c>
    </row>
    <row r="1032" spans="73:89" ht="12" customHeight="1">
      <c r="BU1032" s="16">
        <f t="shared" si="363"/>
        <v>0</v>
      </c>
      <c r="BV1032" s="16">
        <f>IF($BY$12=1,NORMDIST(BY1032,$Y$6,$Y$8,TRUE),IF($BY$12=2,IF(BY1032&lt;=$BX$31,0,IF(BY1032&gt;=$BX$32,1,(BY1032-$BX$31)*$BX$33)),SUM($BU$42:BU1032)/$BV$40))</f>
        <v>0.99285718926472732</v>
      </c>
      <c r="BW1032" s="16">
        <f t="shared" si="364"/>
        <v>9.8194904239401748E-2</v>
      </c>
      <c r="BX1032" s="16">
        <f>IF($BY$12&lt;3,BV1032,SUM($BZ$42:BZ1032)/$BX$40)</f>
        <v>0.99285718926472732</v>
      </c>
      <c r="BY1032" s="16">
        <f t="shared" si="356"/>
        <v>98.99999999999865</v>
      </c>
      <c r="BZ1032" s="16">
        <f t="shared" si="357"/>
        <v>9.9186771958993019E-4</v>
      </c>
      <c r="CA1032" s="16">
        <f t="shared" si="365"/>
        <v>-999</v>
      </c>
      <c r="CE1032" s="16" t="e">
        <f t="shared" si="358"/>
        <v>#N/A</v>
      </c>
      <c r="CF1032" s="16">
        <f t="shared" si="359"/>
        <v>99</v>
      </c>
      <c r="CG1032" s="16">
        <f t="shared" si="360"/>
        <v>0</v>
      </c>
      <c r="CH1032" s="16">
        <f t="shared" si="366"/>
        <v>0</v>
      </c>
      <c r="CJ1032" s="16" t="e">
        <f t="shared" si="361"/>
        <v>#N/A</v>
      </c>
      <c r="CK1032" s="16" t="str">
        <f t="shared" si="362"/>
        <v/>
      </c>
    </row>
    <row r="1033" spans="73:89" ht="12" customHeight="1">
      <c r="BU1033" s="16">
        <f t="shared" si="363"/>
        <v>0</v>
      </c>
      <c r="BV1033" s="16">
        <f>IF($BY$12=1,NORMDIST(BY1033,$Y$6,$Y$8,TRUE),IF($BY$12=2,IF(BY1033&lt;=$BX$31,0,IF(BY1033&gt;=$BX$32,1,(BY1033-$BX$31)*$BX$33)),SUM($BU$42:BU1033)/$BV$40))</f>
        <v>0.99295577058133377</v>
      </c>
      <c r="BW1033" s="16">
        <f t="shared" si="364"/>
        <v>9.709611979279871E-2</v>
      </c>
      <c r="BX1033" s="16">
        <f>IF($BY$12&lt;3,BV1033,SUM($BZ$42:BZ1033)/$BX$40)</f>
        <v>0.99295577058133377</v>
      </c>
      <c r="BY1033" s="16">
        <f t="shared" si="356"/>
        <v>99.099999999998644</v>
      </c>
      <c r="BZ1033" s="16">
        <f t="shared" si="357"/>
        <v>9.7977921082542923E-4</v>
      </c>
      <c r="CA1033" s="16">
        <f t="shared" si="365"/>
        <v>-999</v>
      </c>
      <c r="CE1033" s="16" t="e">
        <f t="shared" si="358"/>
        <v>#N/A</v>
      </c>
      <c r="CF1033" s="16">
        <f t="shared" si="359"/>
        <v>99</v>
      </c>
      <c r="CG1033" s="16">
        <f t="shared" si="360"/>
        <v>0</v>
      </c>
      <c r="CH1033" s="16">
        <f t="shared" si="366"/>
        <v>0</v>
      </c>
      <c r="CJ1033" s="16" t="e">
        <f t="shared" si="361"/>
        <v>#N/A</v>
      </c>
      <c r="CK1033" s="16" t="str">
        <f t="shared" si="362"/>
        <v/>
      </c>
    </row>
    <row r="1034" spans="73:89" ht="12" customHeight="1">
      <c r="BU1034" s="16">
        <f t="shared" si="363"/>
        <v>0</v>
      </c>
      <c r="BV1034" s="16">
        <f>IF($BY$12=1,NORMDIST(BY1034,$Y$6,$Y$8,TRUE),IF($BY$12=2,IF(BY1034&lt;=$BX$31,0,IF(BY1034&gt;=$BX$32,1,(BY1034-$BX$31)*$BX$33)),SUM($BU$42:BU1034)/$BV$40))</f>
        <v>0.99305314921137444</v>
      </c>
      <c r="BW1034" s="16">
        <f t="shared" si="364"/>
        <v>9.6007132589430041E-2</v>
      </c>
      <c r="BX1034" s="16">
        <f>IF($BY$12&lt;3,BV1034,SUM($BZ$42:BZ1034)/$BX$40)</f>
        <v>0.99305314921137444</v>
      </c>
      <c r="BY1034" s="16">
        <f t="shared" si="356"/>
        <v>99.199999999998639</v>
      </c>
      <c r="BZ1034" s="16">
        <f t="shared" si="357"/>
        <v>9.6781383658700961E-4</v>
      </c>
      <c r="CA1034" s="16">
        <f t="shared" si="365"/>
        <v>-999</v>
      </c>
      <c r="CE1034" s="16" t="e">
        <f t="shared" si="358"/>
        <v>#N/A</v>
      </c>
      <c r="CF1034" s="16">
        <f t="shared" si="359"/>
        <v>99</v>
      </c>
      <c r="CG1034" s="16">
        <f t="shared" si="360"/>
        <v>0</v>
      </c>
      <c r="CH1034" s="16">
        <f t="shared" si="366"/>
        <v>0</v>
      </c>
      <c r="CJ1034" s="16" t="e">
        <f t="shared" si="361"/>
        <v>#N/A</v>
      </c>
      <c r="CK1034" s="16" t="str">
        <f t="shared" si="362"/>
        <v/>
      </c>
    </row>
    <row r="1035" spans="73:89" ht="12" customHeight="1">
      <c r="BU1035" s="16">
        <f t="shared" si="363"/>
        <v>0</v>
      </c>
      <c r="BV1035" s="16">
        <f>IF($BY$12=1,NORMDIST(BY1035,$Y$6,$Y$8,TRUE),IF($BY$12=2,IF(BY1035&lt;=$BX$31,0,IF(BY1035&gt;=$BX$32,1,(BY1035-$BX$31)*$BX$33)),SUM($BU$42:BU1035)/$BV$40))</f>
        <v>0.99314933742282818</v>
      </c>
      <c r="BW1035" s="16">
        <f t="shared" si="364"/>
        <v>9.4927889291088335E-2</v>
      </c>
      <c r="BX1035" s="16">
        <f>IF($BY$12&lt;3,BV1035,SUM($BZ$42:BZ1035)/$BX$40)</f>
        <v>0.99314933742282818</v>
      </c>
      <c r="BY1035" s="16">
        <f t="shared" si="356"/>
        <v>99.299999999998633</v>
      </c>
      <c r="BZ1035" s="16">
        <f t="shared" si="357"/>
        <v>9.5597068772497115E-4</v>
      </c>
      <c r="CA1035" s="16">
        <f t="shared" si="365"/>
        <v>-999</v>
      </c>
      <c r="CE1035" s="16" t="e">
        <f t="shared" si="358"/>
        <v>#N/A</v>
      </c>
      <c r="CF1035" s="16">
        <f t="shared" si="359"/>
        <v>99</v>
      </c>
      <c r="CG1035" s="16">
        <f t="shared" si="360"/>
        <v>0</v>
      </c>
      <c r="CH1035" s="16">
        <f t="shared" si="366"/>
        <v>0</v>
      </c>
      <c r="CJ1035" s="16" t="e">
        <f t="shared" si="361"/>
        <v>#N/A</v>
      </c>
      <c r="CK1035" s="16" t="str">
        <f t="shared" si="362"/>
        <v/>
      </c>
    </row>
    <row r="1036" spans="73:89" ht="12" customHeight="1">
      <c r="BU1036" s="16">
        <f t="shared" si="363"/>
        <v>0</v>
      </c>
      <c r="BV1036" s="16">
        <f>IF($BY$12=1,NORMDIST(BY1036,$Y$6,$Y$8,TRUE),IF($BY$12=2,IF(BY1036&lt;=$BX$31,0,IF(BY1036&gt;=$BX$32,1,(BY1036-$BX$31)*$BX$33)),SUM($BU$42:BU1036)/$BV$40))</f>
        <v>0.99324434739285805</v>
      </c>
      <c r="BW1036" s="16">
        <f t="shared" si="364"/>
        <v>9.3858336395039835E-2</v>
      </c>
      <c r="BX1036" s="16">
        <f>IF($BY$12&lt;3,BV1036,SUM($BZ$42:BZ1036)/$BX$40)</f>
        <v>0.99324434739285805</v>
      </c>
      <c r="BY1036" s="16">
        <f t="shared" si="356"/>
        <v>99.399999999998627</v>
      </c>
      <c r="BZ1036" s="16">
        <f t="shared" si="357"/>
        <v>9.4424885709296915E-4</v>
      </c>
      <c r="CA1036" s="16">
        <f t="shared" si="365"/>
        <v>-999</v>
      </c>
      <c r="CE1036" s="16" t="e">
        <f t="shared" si="358"/>
        <v>#N/A</v>
      </c>
      <c r="CF1036" s="16">
        <f t="shared" si="359"/>
        <v>99</v>
      </c>
      <c r="CG1036" s="16">
        <f t="shared" si="360"/>
        <v>0</v>
      </c>
      <c r="CH1036" s="16">
        <f t="shared" si="366"/>
        <v>0</v>
      </c>
      <c r="CJ1036" s="16" t="e">
        <f t="shared" si="361"/>
        <v>#N/A</v>
      </c>
      <c r="CK1036" s="16" t="str">
        <f t="shared" si="362"/>
        <v/>
      </c>
    </row>
    <row r="1037" spans="73:89" ht="12" customHeight="1">
      <c r="BU1037" s="16">
        <f t="shared" si="363"/>
        <v>0</v>
      </c>
      <c r="BV1037" s="16">
        <f>IF($BY$12=1,NORMDIST(BY1037,$Y$6,$Y$8,TRUE),IF($BY$12=2,IF(BY1037&lt;=$BX$31,0,IF(BY1037&gt;=$BX$32,1,(BY1037-$BX$31)*$BX$33)),SUM($BU$42:BU1037)/$BV$40))</f>
        <v>0.99333819120801614</v>
      </c>
      <c r="BW1037" s="16">
        <f t="shared" si="364"/>
        <v>9.2798420241557308E-2</v>
      </c>
      <c r="BX1037" s="16">
        <f>IF($BY$12&lt;3,BV1037,SUM($BZ$42:BZ1037)/$BX$40)</f>
        <v>0.99333819120801614</v>
      </c>
      <c r="BY1037" s="16">
        <f t="shared" si="356"/>
        <v>99.499999999998622</v>
      </c>
      <c r="BZ1037" s="16">
        <f t="shared" si="357"/>
        <v>9.3264743961365417E-4</v>
      </c>
      <c r="CA1037" s="16">
        <f t="shared" si="365"/>
        <v>-999</v>
      </c>
      <c r="CE1037" s="16" t="e">
        <f t="shared" si="358"/>
        <v>#N/A</v>
      </c>
      <c r="CF1037" s="16">
        <f t="shared" si="359"/>
        <v>99</v>
      </c>
      <c r="CG1037" s="16">
        <f t="shared" si="360"/>
        <v>0</v>
      </c>
      <c r="CH1037" s="16">
        <f t="shared" si="366"/>
        <v>0</v>
      </c>
      <c r="CJ1037" s="16" t="e">
        <f t="shared" si="361"/>
        <v>#N/A</v>
      </c>
      <c r="CK1037" s="16" t="str">
        <f t="shared" si="362"/>
        <v/>
      </c>
    </row>
    <row r="1038" spans="73:89" ht="12" customHeight="1">
      <c r="BU1038" s="16">
        <f t="shared" si="363"/>
        <v>0</v>
      </c>
      <c r="BV1038" s="16">
        <f>IF($BY$12=1,NORMDIST(BY1038,$Y$6,$Y$8,TRUE),IF($BY$12=2,IF(BY1038&lt;=$BX$31,0,IF(BY1038&gt;=$BX$32,1,(BY1038-$BX$31)*$BX$33)),SUM($BU$42:BU1038)/$BV$40))</f>
        <v>0.99343088086445208</v>
      </c>
      <c r="BW1038" s="16">
        <f t="shared" si="364"/>
        <v>9.1748087021387481E-2</v>
      </c>
      <c r="BX1038" s="16">
        <f>IF($BY$12&lt;3,BV1038,SUM($BZ$42:BZ1038)/$BX$40)</f>
        <v>0.99343088086445208</v>
      </c>
      <c r="BY1038" s="16">
        <f t="shared" si="356"/>
        <v>99.599999999998616</v>
      </c>
      <c r="BZ1038" s="16">
        <f t="shared" si="357"/>
        <v>9.2116553234326056E-4</v>
      </c>
      <c r="CA1038" s="16">
        <f t="shared" si="365"/>
        <v>-999</v>
      </c>
      <c r="CE1038" s="16" t="e">
        <f t="shared" si="358"/>
        <v>#N/A</v>
      </c>
      <c r="CF1038" s="16">
        <f t="shared" si="359"/>
        <v>99</v>
      </c>
      <c r="CG1038" s="16">
        <f t="shared" si="360"/>
        <v>0</v>
      </c>
      <c r="CH1038" s="16">
        <f t="shared" si="366"/>
        <v>0</v>
      </c>
      <c r="CJ1038" s="16" t="e">
        <f t="shared" si="361"/>
        <v>#N/A</v>
      </c>
      <c r="CK1038" s="16" t="str">
        <f t="shared" si="362"/>
        <v/>
      </c>
    </row>
    <row r="1039" spans="73:89" ht="12" customHeight="1">
      <c r="BU1039" s="16">
        <f t="shared" si="363"/>
        <v>0</v>
      </c>
      <c r="BV1039" s="16">
        <f>IF($BY$12=1,NORMDIST(BY1039,$Y$6,$Y$8,TRUE),IF($BY$12=2,IF(BY1039&lt;=$BX$31,0,IF(BY1039&gt;=$BX$32,1,(BY1039-$BX$31)*$BX$33)),SUM($BU$42:BU1039)/$BV$40))</f>
        <v>0.9935224282681312</v>
      </c>
      <c r="BW1039" s="16">
        <f t="shared" si="364"/>
        <v>9.0707282783150225E-2</v>
      </c>
      <c r="BX1039" s="16">
        <f>IF($BY$12&lt;3,BV1039,SUM($BZ$42:BZ1039)/$BX$40)</f>
        <v>0.9935224282681312</v>
      </c>
      <c r="BY1039" s="16">
        <f t="shared" si="356"/>
        <v>99.69999999999861</v>
      </c>
      <c r="BZ1039" s="16">
        <f t="shared" si="357"/>
        <v>9.0980223453512019E-4</v>
      </c>
      <c r="CA1039" s="16">
        <f t="shared" si="365"/>
        <v>-999</v>
      </c>
      <c r="CE1039" s="16" t="e">
        <f t="shared" si="358"/>
        <v>#N/A</v>
      </c>
      <c r="CF1039" s="16">
        <f t="shared" si="359"/>
        <v>99</v>
      </c>
      <c r="CG1039" s="16">
        <f t="shared" si="360"/>
        <v>0</v>
      </c>
      <c r="CH1039" s="16">
        <f t="shared" si="366"/>
        <v>0</v>
      </c>
      <c r="CJ1039" s="16" t="e">
        <f t="shared" si="361"/>
        <v>#N/A</v>
      </c>
      <c r="CK1039" s="16" t="str">
        <f t="shared" si="362"/>
        <v/>
      </c>
    </row>
    <row r="1040" spans="73:89" ht="12" customHeight="1">
      <c r="BU1040" s="16">
        <f t="shared" si="363"/>
        <v>0</v>
      </c>
      <c r="BV1040" s="16">
        <f>IF($BY$12=1,NORMDIST(BY1040,$Y$6,$Y$8,TRUE),IF($BY$12=2,IF(BY1040&lt;=$BX$31,0,IF(BY1040&gt;=$BX$32,1,(BY1040-$BX$31)*$BX$33)),SUM($BU$42:BU1040)/$BV$40))</f>
        <v>0.99361284523505544</v>
      </c>
      <c r="BW1040" s="16">
        <f t="shared" si="364"/>
        <v>8.9675953440672154E-2</v>
      </c>
      <c r="BX1040" s="16">
        <f>IF($BY$12&lt;3,BV1040,SUM($BZ$42:BZ1040)/$BX$40)</f>
        <v>0.99361284523505544</v>
      </c>
      <c r="BY1040" s="16">
        <f t="shared" si="356"/>
        <v>99.799999999998604</v>
      </c>
      <c r="BZ1040" s="16">
        <f t="shared" si="357"/>
        <v>8.9855664770213835E-4</v>
      </c>
      <c r="CA1040" s="16">
        <f t="shared" si="365"/>
        <v>-999</v>
      </c>
      <c r="CE1040" s="16" t="e">
        <f t="shared" si="358"/>
        <v>#N/A</v>
      </c>
      <c r="CF1040" s="16">
        <f t="shared" si="359"/>
        <v>99</v>
      </c>
      <c r="CG1040" s="16">
        <f t="shared" si="360"/>
        <v>0</v>
      </c>
      <c r="CH1040" s="16">
        <f t="shared" si="366"/>
        <v>0</v>
      </c>
      <c r="CJ1040" s="16" t="e">
        <f t="shared" si="361"/>
        <v>#N/A</v>
      </c>
      <c r="CK1040" s="16" t="str">
        <f t="shared" si="362"/>
        <v/>
      </c>
    </row>
    <row r="1041" spans="73:89" ht="12" customHeight="1">
      <c r="BU1041" s="16">
        <f t="shared" si="363"/>
        <v>0</v>
      </c>
      <c r="BV1041" s="16">
        <f>IF($BY$12=1,NORMDIST(BY1041,$Y$6,$Y$8,TRUE),IF($BY$12=2,IF(BY1041&lt;=$BX$31,0,IF(BY1041&gt;=$BX$32,1,(BY1041-$BX$31)*$BX$33)),SUM($BU$42:BU1041)/$BV$40))</f>
        <v>0.99370214349149566</v>
      </c>
      <c r="BW1041" s="16">
        <f t="shared" si="364"/>
        <v>8.8654044780251601E-2</v>
      </c>
      <c r="BX1041" s="16">
        <f>IF($BY$12&lt;3,BV1041,SUM($BZ$42:BZ1041)/$BX$40)</f>
        <v>0.99370214349149566</v>
      </c>
      <c r="BY1041" s="16">
        <f t="shared" si="356"/>
        <v>99.899999999998599</v>
      </c>
      <c r="BZ1041" s="16">
        <f t="shared" si="357"/>
        <v>8.8742787567820669E-4</v>
      </c>
      <c r="CA1041" s="16">
        <f t="shared" si="365"/>
        <v>-999</v>
      </c>
      <c r="CE1041" s="16" t="e">
        <f t="shared" si="358"/>
        <v>#N/A</v>
      </c>
      <c r="CF1041" s="16">
        <f t="shared" si="359"/>
        <v>99</v>
      </c>
      <c r="CG1041" s="16">
        <f t="shared" si="360"/>
        <v>0</v>
      </c>
      <c r="CH1041" s="16">
        <f t="shared" si="366"/>
        <v>0</v>
      </c>
      <c r="CJ1041" s="16" t="e">
        <f t="shared" si="361"/>
        <v>#N/A</v>
      </c>
      <c r="CK1041" s="16" t="str">
        <f t="shared" si="362"/>
        <v/>
      </c>
    </row>
    <row r="1042" spans="73:89" ht="12" customHeight="1">
      <c r="BU1042" s="16">
        <f t="shared" si="363"/>
        <v>0</v>
      </c>
      <c r="BV1042" s="16">
        <f>IF($BY$12=1,NORMDIST(BY1042,$Y$6,$Y$8,TRUE),IF($BY$12=2,IF(BY1042&lt;=$BX$31,0,IF(BY1042&gt;=$BX$32,1,(BY1042-$BX$31)*$BX$33)),SUM($BU$42:BU1042)/$BV$40))</f>
        <v>0.99379033467422273</v>
      </c>
      <c r="BW1042" s="16">
        <f t="shared" si="364"/>
        <v>8.7641502467856847E-2</v>
      </c>
      <c r="BX1042" s="16">
        <f>IF($BY$12&lt;3,BV1042,SUM($BZ$42:BZ1042)/$BX$40)</f>
        <v>0.99379033467422273</v>
      </c>
      <c r="BY1042" s="16">
        <f t="shared" si="356"/>
        <v>99.999999999998593</v>
      </c>
      <c r="BZ1042" s="16">
        <f t="shared" si="357"/>
        <v>8.7641502467858087E-4</v>
      </c>
      <c r="CA1042" s="16">
        <f t="shared" si="365"/>
        <v>-999</v>
      </c>
      <c r="CE1042" s="16" t="e">
        <f t="shared" si="358"/>
        <v>#N/A</v>
      </c>
      <c r="CF1042" s="16">
        <f t="shared" si="359"/>
        <v>99</v>
      </c>
      <c r="CG1042" s="16">
        <f t="shared" si="360"/>
        <v>0</v>
      </c>
      <c r="CH1042" s="16">
        <f t="shared" si="366"/>
        <v>0</v>
      </c>
      <c r="CJ1042" s="16" t="e">
        <f t="shared" si="361"/>
        <v>#N/A</v>
      </c>
      <c r="CK1042" s="16" t="str">
        <f t="shared" si="362"/>
        <v/>
      </c>
    </row>
    <row r="1043" spans="73:89" ht="12" customHeight="1">
      <c r="BU1043" s="16">
        <f t="shared" si="363"/>
        <v>0</v>
      </c>
      <c r="BV1043" s="16">
        <f>IF($BY$12=1,NORMDIST(BY1043,$Y$6,$Y$8,TRUE),IF($BY$12=2,IF(BY1043&lt;=$BX$31,0,IF(BY1043&gt;=$BX$32,1,(BY1043-$BX$31)*$BX$33)),SUM($BU$42:BU1043)/$BV$40))</f>
        <v>0.99387743033075115</v>
      </c>
      <c r="BW1043" s="16">
        <f t="shared" ref="BW1043:BW1106" si="367">BY1043*BZ1043</f>
        <v>8.6638272056255086E-2</v>
      </c>
      <c r="BY1043" s="16">
        <f t="shared" ref="BY1043:BY1106" si="368">BY1042+$BZ$1</f>
        <v>100.09999999999859</v>
      </c>
      <c r="BZ1043" s="16">
        <f t="shared" si="357"/>
        <v>8.6551720335920393E-4</v>
      </c>
      <c r="CA1043" s="16">
        <f t="shared" si="365"/>
        <v>-999</v>
      </c>
      <c r="CE1043" s="16" t="e">
        <f t="shared" si="358"/>
        <v>#N/A</v>
      </c>
      <c r="CF1043" s="16">
        <f t="shared" si="359"/>
        <v>99</v>
      </c>
      <c r="CG1043" s="16">
        <f t="shared" si="360"/>
        <v>0</v>
      </c>
      <c r="CH1043" s="16">
        <f t="shared" si="366"/>
        <v>0</v>
      </c>
      <c r="CJ1043" s="16" t="e">
        <f t="shared" si="361"/>
        <v>#N/A</v>
      </c>
      <c r="CK1043" s="16" t="str">
        <f t="shared" si="362"/>
        <v/>
      </c>
    </row>
    <row r="1044" spans="73:89" ht="12" customHeight="1">
      <c r="BU1044" s="16">
        <f t="shared" si="363"/>
        <v>0</v>
      </c>
      <c r="BV1044" s="16">
        <f>IF($BY$12=1,NORMDIST(BY1044,$Y$6,$Y$8,TRUE),IF($BY$12=2,IF(BY1044&lt;=$BX$31,0,IF(BY1044&gt;=$BX$32,1,(BY1044-$BX$31)*$BX$33)),SUM($BU$42:BU1044)/$BV$40))</f>
        <v>0.99396344191958619</v>
      </c>
      <c r="BW1044" s="16">
        <f t="shared" si="367"/>
        <v>8.5644298992073695E-2</v>
      </c>
      <c r="BY1044" s="16">
        <f t="shared" si="368"/>
        <v>100.19999999999858</v>
      </c>
      <c r="BZ1044" s="16">
        <f t="shared" si="357"/>
        <v>8.5473352287499904E-4</v>
      </c>
      <c r="CA1044" s="16">
        <f t="shared" si="365"/>
        <v>-999</v>
      </c>
      <c r="CE1044" s="16" t="e">
        <f t="shared" si="358"/>
        <v>#N/A</v>
      </c>
      <c r="CF1044" s="16">
        <f t="shared" si="359"/>
        <v>99</v>
      </c>
      <c r="CG1044" s="16">
        <f t="shared" si="360"/>
        <v>0</v>
      </c>
      <c r="CH1044" s="16">
        <f t="shared" si="366"/>
        <v>0</v>
      </c>
      <c r="CJ1044" s="16" t="e">
        <f t="shared" si="361"/>
        <v>#N/A</v>
      </c>
      <c r="CK1044" s="16" t="str">
        <f t="shared" si="362"/>
        <v/>
      </c>
    </row>
    <row r="1045" spans="73:89" ht="12" customHeight="1">
      <c r="BU1045" s="16">
        <f t="shared" si="363"/>
        <v>0</v>
      </c>
      <c r="BV1045" s="16">
        <f>IF($BY$12=1,NORMDIST(BY1045,$Y$6,$Y$8,TRUE),IF($BY$12=2,IF(BY1045&lt;=$BX$31,0,IF(BY1045&gt;=$BX$32,1,(BY1045-$BX$31)*$BX$33)),SUM($BU$42:BU1045)/$BV$40))</f>
        <v>0.99404838081047475</v>
      </c>
      <c r="BW1045" s="16">
        <f t="shared" si="367"/>
        <v>8.4659528622792454E-2</v>
      </c>
      <c r="BY1045" s="16">
        <f t="shared" si="368"/>
        <v>100.29999999999858</v>
      </c>
      <c r="BZ1045" s="16">
        <f t="shared" si="357"/>
        <v>8.4406309693712525E-4</v>
      </c>
      <c r="CA1045" s="16">
        <f t="shared" si="365"/>
        <v>-999</v>
      </c>
      <c r="CE1045" s="16" t="e">
        <f t="shared" si="358"/>
        <v>#N/A</v>
      </c>
      <c r="CF1045" s="16">
        <f t="shared" si="359"/>
        <v>99</v>
      </c>
      <c r="CG1045" s="16">
        <f t="shared" si="360"/>
        <v>0</v>
      </c>
      <c r="CH1045" s="16">
        <f t="shared" si="366"/>
        <v>0</v>
      </c>
      <c r="CJ1045" s="16" t="e">
        <f t="shared" si="361"/>
        <v>#N/A</v>
      </c>
      <c r="CK1045" s="16" t="str">
        <f t="shared" si="362"/>
        <v/>
      </c>
    </row>
    <row r="1046" spans="73:89" ht="12" customHeight="1">
      <c r="BU1046" s="16">
        <f t="shared" si="363"/>
        <v>0</v>
      </c>
      <c r="BV1046" s="16">
        <f>IF($BY$12=1,NORMDIST(BY1046,$Y$6,$Y$8,TRUE),IF($BY$12=2,IF(BY1046&lt;=$BX$31,0,IF(BY1046&gt;=$BX$32,1,(BY1046-$BX$31)*$BX$33)),SUM($BU$42:BU1046)/$BV$40))</f>
        <v>0.99413225828466634</v>
      </c>
      <c r="BW1046" s="16">
        <f t="shared" si="367"/>
        <v>8.368390620366685E-2</v>
      </c>
      <c r="BY1046" s="16">
        <f t="shared" si="368"/>
        <v>100.39999999999857</v>
      </c>
      <c r="BZ1046" s="16">
        <f t="shared" si="357"/>
        <v>8.3350504186920354E-4</v>
      </c>
      <c r="CA1046" s="16">
        <f t="shared" si="365"/>
        <v>-999</v>
      </c>
      <c r="CE1046" s="16" t="e">
        <f t="shared" si="358"/>
        <v>#N/A</v>
      </c>
      <c r="CF1046" s="16">
        <f t="shared" si="359"/>
        <v>99</v>
      </c>
      <c r="CG1046" s="16">
        <f t="shared" si="360"/>
        <v>0</v>
      </c>
      <c r="CH1046" s="16">
        <f t="shared" si="366"/>
        <v>0</v>
      </c>
      <c r="CJ1046" s="16" t="e">
        <f t="shared" si="361"/>
        <v>#N/A</v>
      </c>
      <c r="CK1046" s="16" t="str">
        <f t="shared" si="362"/>
        <v/>
      </c>
    </row>
    <row r="1047" spans="73:89" ht="12" customHeight="1">
      <c r="BU1047" s="16">
        <f t="shared" si="363"/>
        <v>0</v>
      </c>
      <c r="BV1047" s="16">
        <f>IF($BY$12=1,NORMDIST(BY1047,$Y$6,$Y$8,TRUE),IF($BY$12=2,IF(BY1047&lt;=$BX$31,0,IF(BY1047&gt;=$BX$32,1,(BY1047-$BX$31)*$BX$33)),SUM($BU$42:BU1047)/$BV$40))</f>
        <v>0.99421508553517435</v>
      </c>
      <c r="BW1047" s="16">
        <f t="shared" si="367"/>
        <v>8.2717376904581322E-2</v>
      </c>
      <c r="BY1047" s="16">
        <f t="shared" si="368"/>
        <v>100.49999999999856</v>
      </c>
      <c r="BZ1047" s="16">
        <f t="shared" si="357"/>
        <v>8.230584766625124E-4</v>
      </c>
      <c r="CA1047" s="16">
        <f t="shared" si="365"/>
        <v>-999</v>
      </c>
      <c r="CE1047" s="16" t="e">
        <f t="shared" si="358"/>
        <v>#N/A</v>
      </c>
      <c r="CF1047" s="16">
        <f t="shared" si="359"/>
        <v>99</v>
      </c>
      <c r="CG1047" s="16">
        <f t="shared" si="360"/>
        <v>0</v>
      </c>
      <c r="CH1047" s="16">
        <f t="shared" si="366"/>
        <v>0</v>
      </c>
      <c r="CJ1047" s="16" t="e">
        <f t="shared" si="361"/>
        <v>#N/A</v>
      </c>
      <c r="CK1047" s="16" t="str">
        <f t="shared" si="362"/>
        <v/>
      </c>
    </row>
    <row r="1048" spans="73:89" ht="12" customHeight="1">
      <c r="BU1048" s="16">
        <f t="shared" si="363"/>
        <v>0</v>
      </c>
      <c r="BV1048" s="16">
        <f>IF($BY$12=1,NORMDIST(BY1048,$Y$6,$Y$8,TRUE),IF($BY$12=2,IF(BY1048&lt;=$BX$31,0,IF(BY1048&gt;=$BX$32,1,(BY1048-$BX$31)*$BX$33)),SUM($BU$42:BU1048)/$BV$40))</f>
        <v>0.99429687366704822</v>
      </c>
      <c r="BW1048" s="16">
        <f t="shared" si="367"/>
        <v>8.1759885816834243E-2</v>
      </c>
      <c r="BY1048" s="16">
        <f t="shared" si="368"/>
        <v>100.59999999999856</v>
      </c>
      <c r="BZ1048" s="16">
        <f t="shared" si="357"/>
        <v>8.1272252303017309E-4</v>
      </c>
      <c r="CA1048" s="16">
        <f t="shared" si="365"/>
        <v>-999</v>
      </c>
      <c r="CE1048" s="16" t="e">
        <f t="shared" si="358"/>
        <v>#N/A</v>
      </c>
      <c r="CF1048" s="16">
        <f t="shared" si="359"/>
        <v>99</v>
      </c>
      <c r="CG1048" s="16">
        <f t="shared" si="360"/>
        <v>0</v>
      </c>
      <c r="CH1048" s="16">
        <f t="shared" si="366"/>
        <v>0</v>
      </c>
      <c r="CJ1048" s="16" t="e">
        <f t="shared" si="361"/>
        <v>#N/A</v>
      </c>
      <c r="CK1048" s="16" t="str">
        <f t="shared" si="362"/>
        <v/>
      </c>
    </row>
    <row r="1049" spans="73:89" ht="12" customHeight="1">
      <c r="BU1049" s="16">
        <f t="shared" si="363"/>
        <v>0</v>
      </c>
      <c r="BV1049" s="16">
        <f>IF($BY$12=1,NORMDIST(BY1049,$Y$6,$Y$8,TRUE),IF($BY$12=2,IF(BY1049&lt;=$BX$31,0,IF(BY1049&gt;=$BX$32,1,(BY1049-$BX$31)*$BX$33)),SUM($BU$42:BU1049)/$BV$40))</f>
        <v>0.99437763369764609</v>
      </c>
      <c r="BW1049" s="16">
        <f t="shared" si="367"/>
        <v>8.0811377959851716E-2</v>
      </c>
      <c r="BY1049" s="16">
        <f t="shared" si="368"/>
        <v>100.69999999999855</v>
      </c>
      <c r="BZ1049" s="16">
        <f t="shared" si="357"/>
        <v>8.0249630546030666E-4</v>
      </c>
      <c r="CA1049" s="16">
        <f t="shared" si="365"/>
        <v>-999</v>
      </c>
      <c r="CE1049" s="16" t="e">
        <f t="shared" si="358"/>
        <v>#N/A</v>
      </c>
      <c r="CF1049" s="16">
        <f t="shared" si="359"/>
        <v>99</v>
      </c>
      <c r="CG1049" s="16">
        <f t="shared" si="360"/>
        <v>0</v>
      </c>
      <c r="CH1049" s="16">
        <f t="shared" si="366"/>
        <v>0</v>
      </c>
      <c r="CJ1049" s="16" t="e">
        <f t="shared" si="361"/>
        <v>#N/A</v>
      </c>
      <c r="CK1049" s="16" t="str">
        <f t="shared" si="362"/>
        <v/>
      </c>
    </row>
    <row r="1050" spans="73:89" ht="12" customHeight="1">
      <c r="BU1050" s="16">
        <f t="shared" si="363"/>
        <v>0</v>
      </c>
      <c r="BV1050" s="16">
        <f>IF($BY$12=1,NORMDIST(BY1050,$Y$6,$Y$8,TRUE),IF($BY$12=2,IF(BY1050&lt;=$BX$31,0,IF(BY1050&gt;=$BX$32,1,(BY1050-$BX$31)*$BX$33)),SUM($BU$42:BU1050)/$BV$40))</f>
        <v>0.99445737655691602</v>
      </c>
      <c r="BW1050" s="16">
        <f t="shared" si="367"/>
        <v>7.9871798287832085E-2</v>
      </c>
      <c r="BY1050" s="16">
        <f t="shared" si="368"/>
        <v>100.79999999999855</v>
      </c>
      <c r="BZ1050" s="16">
        <f t="shared" si="357"/>
        <v>7.9237895126818688E-4</v>
      </c>
      <c r="CA1050" s="16">
        <f t="shared" si="365"/>
        <v>-999</v>
      </c>
      <c r="CE1050" s="16" t="e">
        <f t="shared" si="358"/>
        <v>#N/A</v>
      </c>
      <c r="CF1050" s="16">
        <f t="shared" si="359"/>
        <v>99</v>
      </c>
      <c r="CG1050" s="16">
        <f t="shared" si="360"/>
        <v>0</v>
      </c>
      <c r="CH1050" s="16">
        <f t="shared" si="366"/>
        <v>0</v>
      </c>
      <c r="CJ1050" s="16" t="e">
        <f t="shared" si="361"/>
        <v>#N/A</v>
      </c>
      <c r="CK1050" s="16" t="str">
        <f t="shared" si="362"/>
        <v/>
      </c>
    </row>
    <row r="1051" spans="73:89" ht="12" customHeight="1">
      <c r="BU1051" s="16">
        <f t="shared" si="363"/>
        <v>0</v>
      </c>
      <c r="BV1051" s="16">
        <f>IF($BY$12=1,NORMDIST(BY1051,$Y$6,$Y$8,TRUE),IF($BY$12=2,IF(BY1051&lt;=$BX$31,0,IF(BY1051&gt;=$BX$32,1,(BY1051-$BX$31)*$BX$33)),SUM($BU$42:BU1051)/$BV$40))</f>
        <v>0.99453611308768197</v>
      </c>
      <c r="BW1051" s="16">
        <f t="shared" si="367"/>
        <v>7.8941091696319812E-2</v>
      </c>
      <c r="BY1051" s="16">
        <f t="shared" si="368"/>
        <v>100.89999999999854</v>
      </c>
      <c r="BZ1051" s="16">
        <f t="shared" si="357"/>
        <v>7.823695906473831E-4</v>
      </c>
      <c r="CA1051" s="16">
        <f t="shared" si="365"/>
        <v>-999</v>
      </c>
      <c r="CE1051" s="16" t="e">
        <f t="shared" si="358"/>
        <v>#N/A</v>
      </c>
      <c r="CF1051" s="16">
        <f t="shared" si="359"/>
        <v>99</v>
      </c>
      <c r="CG1051" s="16">
        <f t="shared" si="360"/>
        <v>0</v>
      </c>
      <c r="CH1051" s="16">
        <f t="shared" si="366"/>
        <v>0</v>
      </c>
      <c r="CJ1051" s="16" t="e">
        <f t="shared" si="361"/>
        <v>#N/A</v>
      </c>
      <c r="CK1051" s="16" t="str">
        <f t="shared" si="362"/>
        <v/>
      </c>
    </row>
    <row r="1052" spans="73:89" ht="12" customHeight="1">
      <c r="BU1052" s="16">
        <f t="shared" si="363"/>
        <v>0</v>
      </c>
      <c r="BV1052" s="16">
        <f>IF($BY$12=1,NORMDIST(BY1052,$Y$6,$Y$8,TRUE),IF($BY$12=2,IF(BY1052&lt;=$BX$31,0,IF(BY1052&gt;=$BX$32,1,(BY1052-$BX$31)*$BX$33)),SUM($BU$42:BU1052)/$BV$40))</f>
        <v>0.99461385404593194</v>
      </c>
      <c r="BW1052" s="16">
        <f t="shared" si="367"/>
        <v>7.8019203028709017E-2</v>
      </c>
      <c r="BY1052" s="16">
        <f t="shared" si="368"/>
        <v>100.99999999999854</v>
      </c>
      <c r="BZ1052" s="16">
        <f t="shared" si="357"/>
        <v>7.7246735671990241E-4</v>
      </c>
      <c r="CA1052" s="16">
        <f t="shared" si="365"/>
        <v>-999</v>
      </c>
      <c r="CE1052" s="16" t="e">
        <f t="shared" si="358"/>
        <v>#N/A</v>
      </c>
      <c r="CF1052" s="16">
        <f t="shared" si="359"/>
        <v>99</v>
      </c>
      <c r="CG1052" s="16">
        <f t="shared" si="360"/>
        <v>0</v>
      </c>
      <c r="CH1052" s="16">
        <f t="shared" si="366"/>
        <v>0</v>
      </c>
      <c r="CJ1052" s="16" t="e">
        <f t="shared" si="361"/>
        <v>#N/A</v>
      </c>
      <c r="CK1052" s="16" t="str">
        <f t="shared" si="362"/>
        <v/>
      </c>
    </row>
    <row r="1053" spans="73:89" ht="12" customHeight="1">
      <c r="BU1053" s="16">
        <f t="shared" si="363"/>
        <v>0</v>
      </c>
      <c r="BV1053" s="16">
        <f>IF($BY$12=1,NORMDIST(BY1053,$Y$6,$Y$8,TRUE),IF($BY$12=2,IF(BY1053&lt;=$BX$31,0,IF(BY1053&gt;=$BX$32,1,(BY1053-$BX$31)*$BX$33)),SUM($BU$42:BU1053)/$BV$40))</f>
        <v>0.99469061010111592</v>
      </c>
      <c r="BW1053" s="16">
        <f t="shared" si="367"/>
        <v>7.7106077082676402E-2</v>
      </c>
      <c r="BY1053" s="16">
        <f t="shared" si="368"/>
        <v>101.09999999999853</v>
      </c>
      <c r="BZ1053" s="16">
        <f t="shared" si="357"/>
        <v>7.6267138558533659E-4</v>
      </c>
      <c r="CA1053" s="16">
        <f t="shared" si="365"/>
        <v>-999</v>
      </c>
      <c r="CE1053" s="16" t="e">
        <f t="shared" si="358"/>
        <v>#N/A</v>
      </c>
      <c r="CF1053" s="16">
        <f t="shared" si="359"/>
        <v>99</v>
      </c>
      <c r="CG1053" s="16">
        <f t="shared" si="360"/>
        <v>0</v>
      </c>
      <c r="CH1053" s="16">
        <f t="shared" si="366"/>
        <v>0</v>
      </c>
      <c r="CJ1053" s="16" t="e">
        <f t="shared" si="361"/>
        <v>#N/A</v>
      </c>
      <c r="CK1053" s="16" t="str">
        <f t="shared" si="362"/>
        <v/>
      </c>
    </row>
    <row r="1054" spans="73:89" ht="12" customHeight="1">
      <c r="BU1054" s="16">
        <f t="shared" si="363"/>
        <v>0</v>
      </c>
      <c r="BV1054" s="16">
        <f>IF($BY$12=1,NORMDIST(BY1054,$Y$6,$Y$8,TRUE),IF($BY$12=2,IF(BY1054&lt;=$BX$31,0,IF(BY1054&gt;=$BX$32,1,(BY1054-$BX$31)*$BX$33)),SUM($BU$42:BU1054)/$BV$40))</f>
        <v>0.99476639183644311</v>
      </c>
      <c r="BW1054" s="16">
        <f t="shared" si="367"/>
        <v>7.6201658616543155E-2</v>
      </c>
      <c r="BY1054" s="16">
        <f t="shared" si="368"/>
        <v>101.19999999999852</v>
      </c>
      <c r="BZ1054" s="16">
        <f t="shared" si="357"/>
        <v>7.5298081636901448E-4</v>
      </c>
      <c r="CA1054" s="16">
        <f t="shared" si="365"/>
        <v>-999</v>
      </c>
      <c r="CE1054" s="16" t="e">
        <f t="shared" si="358"/>
        <v>#N/A</v>
      </c>
      <c r="CF1054" s="16">
        <f t="shared" si="359"/>
        <v>99</v>
      </c>
      <c r="CG1054" s="16">
        <f t="shared" si="360"/>
        <v>0</v>
      </c>
      <c r="CH1054" s="16">
        <f t="shared" si="366"/>
        <v>0</v>
      </c>
      <c r="CJ1054" s="16" t="e">
        <f t="shared" si="361"/>
        <v>#N/A</v>
      </c>
      <c r="CK1054" s="16" t="str">
        <f t="shared" si="362"/>
        <v/>
      </c>
    </row>
    <row r="1055" spans="73:89" ht="12" customHeight="1">
      <c r="BU1055" s="16">
        <f t="shared" si="363"/>
        <v>0</v>
      </c>
      <c r="BV1055" s="16">
        <f>IF($BY$12=1,NORMDIST(BY1055,$Y$6,$Y$8,TRUE),IF($BY$12=2,IF(BY1055&lt;=$BX$31,0,IF(BY1055&gt;=$BX$32,1,(BY1055-$BX$31)*$BX$33)),SUM($BU$42:BU1055)/$BV$40))</f>
        <v>0.99484120974918999</v>
      </c>
      <c r="BW1055" s="16">
        <f t="shared" si="367"/>
        <v>7.5305892355566062E-2</v>
      </c>
      <c r="BY1055" s="16">
        <f t="shared" si="368"/>
        <v>101.29999999999852</v>
      </c>
      <c r="BZ1055" s="16">
        <f t="shared" si="357"/>
        <v>7.4339479126917245E-4</v>
      </c>
      <c r="CA1055" s="16">
        <f t="shared" si="365"/>
        <v>-999</v>
      </c>
      <c r="CE1055" s="16" t="e">
        <f t="shared" si="358"/>
        <v>#N/A</v>
      </c>
      <c r="CF1055" s="16">
        <f t="shared" si="359"/>
        <v>99</v>
      </c>
      <c r="CG1055" s="16">
        <f t="shared" si="360"/>
        <v>0</v>
      </c>
      <c r="CH1055" s="16">
        <f t="shared" si="366"/>
        <v>0</v>
      </c>
      <c r="CJ1055" s="16" t="e">
        <f t="shared" si="361"/>
        <v>#N/A</v>
      </c>
      <c r="CK1055" s="16" t="str">
        <f t="shared" si="362"/>
        <v/>
      </c>
    </row>
    <row r="1056" spans="73:89" ht="12" customHeight="1">
      <c r="BU1056" s="16">
        <f t="shared" si="363"/>
        <v>0</v>
      </c>
      <c r="BV1056" s="16">
        <f>IF($BY$12=1,NORMDIST(BY1056,$Y$6,$Y$8,TRUE),IF($BY$12=2,IF(BY1056&lt;=$BX$31,0,IF(BY1056&gt;=$BX$32,1,(BY1056-$BX$31)*$BX$33)),SUM($BU$42:BU1056)/$BV$40))</f>
        <v>0.99491507425100778</v>
      </c>
      <c r="BW1056" s="16">
        <f t="shared" si="367"/>
        <v>7.4418722998157494E-2</v>
      </c>
      <c r="BY1056" s="16">
        <f t="shared" si="368"/>
        <v>101.39999999999851</v>
      </c>
      <c r="BZ1056" s="16">
        <f t="shared" si="357"/>
        <v>7.3391245560314189E-4</v>
      </c>
      <c r="CA1056" s="16">
        <f t="shared" si="365"/>
        <v>-999</v>
      </c>
      <c r="CE1056" s="16" t="e">
        <f t="shared" si="358"/>
        <v>#N/A</v>
      </c>
      <c r="CF1056" s="16">
        <f t="shared" si="359"/>
        <v>99</v>
      </c>
      <c r="CG1056" s="16">
        <f t="shared" si="360"/>
        <v>0</v>
      </c>
      <c r="CH1056" s="16">
        <f t="shared" si="366"/>
        <v>0</v>
      </c>
      <c r="CJ1056" s="16" t="e">
        <f t="shared" si="361"/>
        <v>#N/A</v>
      </c>
      <c r="CK1056" s="16" t="str">
        <f t="shared" si="362"/>
        <v/>
      </c>
    </row>
    <row r="1057" spans="73:89" ht="12" customHeight="1">
      <c r="BU1057" s="16">
        <f t="shared" si="363"/>
        <v>0</v>
      </c>
      <c r="BV1057" s="16">
        <f>IF($BY$12=1,NORMDIST(BY1057,$Y$6,$Y$8,TRUE),IF($BY$12=2,IF(BY1057&lt;=$BX$31,0,IF(BY1057&gt;=$BX$32,1,(BY1057-$BX$31)*$BX$33)),SUM($BU$42:BU1057)/$BV$40))</f>
        <v>0.99498799566823748</v>
      </c>
      <c r="BW1057" s="16">
        <f t="shared" si="367"/>
        <v>7.3540095222033905E-2</v>
      </c>
      <c r="BY1057" s="16">
        <f t="shared" si="368"/>
        <v>101.49999999999851</v>
      </c>
      <c r="BZ1057" s="16">
        <f t="shared" si="357"/>
        <v>7.2453295785256144E-4</v>
      </c>
      <c r="CA1057" s="16">
        <f t="shared" si="365"/>
        <v>-999</v>
      </c>
      <c r="CE1057" s="16" t="e">
        <f t="shared" si="358"/>
        <v>#N/A</v>
      </c>
      <c r="CF1057" s="16">
        <f t="shared" si="359"/>
        <v>99</v>
      </c>
      <c r="CG1057" s="16">
        <f t="shared" si="360"/>
        <v>0</v>
      </c>
      <c r="CH1057" s="16">
        <f t="shared" si="366"/>
        <v>0</v>
      </c>
      <c r="CJ1057" s="16" t="e">
        <f t="shared" si="361"/>
        <v>#N/A</v>
      </c>
      <c r="CK1057" s="16" t="str">
        <f t="shared" si="362"/>
        <v/>
      </c>
    </row>
    <row r="1058" spans="73:89" ht="12" customHeight="1">
      <c r="BU1058" s="16">
        <f t="shared" si="363"/>
        <v>0</v>
      </c>
      <c r="BV1058" s="16">
        <f>IF($BY$12=1,NORMDIST(BY1058,$Y$6,$Y$8,TRUE),IF($BY$12=2,IF(BY1058&lt;=$BX$31,0,IF(BY1058&gt;=$BX$32,1,(BY1058-$BX$31)*$BX$33)),SUM($BU$42:BU1058)/$BV$40))</f>
        <v>0.99505998424222819</v>
      </c>
      <c r="BW1058" s="16">
        <f t="shared" si="367"/>
        <v>7.2669953690293415E-2</v>
      </c>
      <c r="BY1058" s="16">
        <f t="shared" si="368"/>
        <v>101.5999999999985</v>
      </c>
      <c r="BZ1058" s="16">
        <f t="shared" si="357"/>
        <v>7.1525544970762285E-4</v>
      </c>
      <c r="CA1058" s="16">
        <f t="shared" si="365"/>
        <v>-999</v>
      </c>
      <c r="CE1058" s="16" t="e">
        <f t="shared" si="358"/>
        <v>#N/A</v>
      </c>
      <c r="CF1058" s="16">
        <f t="shared" si="359"/>
        <v>99</v>
      </c>
      <c r="CG1058" s="16">
        <f t="shared" si="360"/>
        <v>0</v>
      </c>
      <c r="CH1058" s="16">
        <f t="shared" si="366"/>
        <v>0</v>
      </c>
      <c r="CJ1058" s="16" t="e">
        <f t="shared" si="361"/>
        <v>#N/A</v>
      </c>
      <c r="CK1058" s="16" t="str">
        <f t="shared" si="362"/>
        <v/>
      </c>
    </row>
    <row r="1059" spans="73:89" ht="12" customHeight="1">
      <c r="BU1059" s="16">
        <f t="shared" si="363"/>
        <v>0</v>
      </c>
      <c r="BV1059" s="16">
        <f>IF($BY$12=1,NORMDIST(BY1059,$Y$6,$Y$8,TRUE),IF($BY$12=2,IF(BY1059&lt;=$BX$31,0,IF(BY1059&gt;=$BX$32,1,(BY1059-$BX$31)*$BX$33)),SUM($BU$42:BU1059)/$BV$40))</f>
        <v>0.99513105012965997</v>
      </c>
      <c r="BW1059" s="16">
        <f t="shared" si="367"/>
        <v>7.1808243057421645E-2</v>
      </c>
      <c r="BY1059" s="16">
        <f t="shared" si="368"/>
        <v>101.6999999999985</v>
      </c>
      <c r="BZ1059" s="16">
        <f t="shared" si="357"/>
        <v>7.0607908611035114E-4</v>
      </c>
      <c r="CA1059" s="16">
        <f t="shared" si="365"/>
        <v>-999</v>
      </c>
      <c r="CE1059" s="16" t="e">
        <f t="shared" si="358"/>
        <v>#N/A</v>
      </c>
      <c r="CF1059" s="16">
        <f t="shared" si="359"/>
        <v>99</v>
      </c>
      <c r="CG1059" s="16">
        <f t="shared" si="360"/>
        <v>0</v>
      </c>
      <c r="CH1059" s="16">
        <f t="shared" si="366"/>
        <v>0</v>
      </c>
      <c r="CJ1059" s="16" t="e">
        <f t="shared" si="361"/>
        <v>#N/A</v>
      </c>
      <c r="CK1059" s="16" t="str">
        <f t="shared" si="362"/>
        <v/>
      </c>
    </row>
    <row r="1060" spans="73:89" ht="12" customHeight="1">
      <c r="BU1060" s="16">
        <f t="shared" si="363"/>
        <v>0</v>
      </c>
      <c r="BV1060" s="16">
        <f>IF($BY$12=1,NORMDIST(BY1060,$Y$6,$Y$8,TRUE),IF($BY$12=2,IF(BY1060&lt;=$BX$31,0,IF(BY1060&gt;=$BX$32,1,(BY1060-$BX$31)*$BX$33)),SUM($BU$42:BU1060)/$BV$40))</f>
        <v>0.99520120340287277</v>
      </c>
      <c r="BW1060" s="16">
        <f t="shared" si="367"/>
        <v>7.0954907975226106E-2</v>
      </c>
      <c r="BY1060" s="16">
        <f t="shared" si="368"/>
        <v>101.79999999999849</v>
      </c>
      <c r="BZ1060" s="16">
        <f t="shared" si="357"/>
        <v>6.9700302529692696E-4</v>
      </c>
      <c r="CA1060" s="16">
        <f t="shared" si="365"/>
        <v>-999</v>
      </c>
      <c r="CE1060" s="16" t="e">
        <f t="shared" si="358"/>
        <v>#N/A</v>
      </c>
      <c r="CF1060" s="16">
        <f t="shared" si="359"/>
        <v>99</v>
      </c>
      <c r="CG1060" s="16">
        <f t="shared" si="360"/>
        <v>0</v>
      </c>
      <c r="CH1060" s="16">
        <f t="shared" si="366"/>
        <v>0</v>
      </c>
      <c r="CJ1060" s="16" t="e">
        <f t="shared" si="361"/>
        <v>#N/A</v>
      </c>
      <c r="CK1060" s="16" t="str">
        <f t="shared" si="362"/>
        <v/>
      </c>
    </row>
    <row r="1061" spans="73:89" ht="12" customHeight="1">
      <c r="BU1061" s="16">
        <f t="shared" si="363"/>
        <v>0</v>
      </c>
      <c r="BV1061" s="16">
        <f>IF($BY$12=1,NORMDIST(BY1061,$Y$6,$Y$8,TRUE),IF($BY$12=2,IF(BY1061&lt;=$BX$31,0,IF(BY1061&gt;=$BX$32,1,(BY1061-$BX$31)*$BX$33)),SUM($BU$42:BU1061)/$BV$40))</f>
        <v>0.99527045405019465</v>
      </c>
      <c r="BW1061" s="16">
        <f t="shared" si="367"/>
        <v>7.0109893098699208E-2</v>
      </c>
      <c r="BY1061" s="16">
        <f t="shared" si="368"/>
        <v>101.89999999999849</v>
      </c>
      <c r="BZ1061" s="16">
        <f t="shared" si="357"/>
        <v>6.880264288390604E-4</v>
      </c>
      <c r="CA1061" s="16">
        <f t="shared" si="365"/>
        <v>-999</v>
      </c>
      <c r="CE1061" s="16" t="e">
        <f t="shared" si="358"/>
        <v>#N/A</v>
      </c>
      <c r="CF1061" s="16">
        <f t="shared" si="359"/>
        <v>99</v>
      </c>
      <c r="CG1061" s="16">
        <f t="shared" si="360"/>
        <v>0</v>
      </c>
      <c r="CH1061" s="16">
        <f t="shared" si="366"/>
        <v>0</v>
      </c>
      <c r="CJ1061" s="16" t="e">
        <f t="shared" si="361"/>
        <v>#N/A</v>
      </c>
      <c r="CK1061" s="16" t="str">
        <f t="shared" si="362"/>
        <v/>
      </c>
    </row>
    <row r="1062" spans="73:89" ht="12" customHeight="1">
      <c r="BU1062" s="16">
        <f t="shared" si="363"/>
        <v>0</v>
      </c>
      <c r="BV1062" s="16">
        <f>IF($BY$12=1,NORMDIST(BY1062,$Y$6,$Y$8,TRUE),IF($BY$12=2,IF(BY1062&lt;=$BX$31,0,IF(BY1062&gt;=$BX$32,1,(BY1062-$BX$31)*$BX$33)),SUM($BU$42:BU1062)/$BV$40))</f>
        <v>0.99533881197628027</v>
      </c>
      <c r="BW1062" s="16">
        <f t="shared" si="367"/>
        <v>6.9273143091809306E-2</v>
      </c>
      <c r="BY1062" s="16">
        <f t="shared" si="368"/>
        <v>101.99999999999848</v>
      </c>
      <c r="BZ1062" s="16">
        <f t="shared" si="357"/>
        <v>6.7914846168441506E-4</v>
      </c>
      <c r="CA1062" s="16">
        <f t="shared" si="365"/>
        <v>-999</v>
      </c>
      <c r="CE1062" s="16" t="e">
        <f t="shared" si="358"/>
        <v>#N/A</v>
      </c>
      <c r="CF1062" s="16">
        <f t="shared" si="359"/>
        <v>99</v>
      </c>
      <c r="CG1062" s="16">
        <f t="shared" si="360"/>
        <v>0</v>
      </c>
      <c r="CH1062" s="16">
        <f t="shared" si="366"/>
        <v>0</v>
      </c>
      <c r="CJ1062" s="16" t="e">
        <f t="shared" si="361"/>
        <v>#N/A</v>
      </c>
      <c r="CK1062" s="16" t="str">
        <f t="shared" si="362"/>
        <v/>
      </c>
    </row>
    <row r="1063" spans="73:89" ht="12" customHeight="1">
      <c r="BU1063" s="16">
        <f t="shared" si="363"/>
        <v>0</v>
      </c>
      <c r="BV1063" s="16">
        <f>IF($BY$12=1,NORMDIST(BY1063,$Y$6,$Y$8,TRUE),IF($BY$12=2,IF(BY1063&lt;=$BX$31,0,IF(BY1063&gt;=$BX$32,1,(BY1063-$BX$31)*$BX$33)),SUM($BU$42:BU1063)/$BV$40))</f>
        <v>0.99540628700244982</v>
      </c>
      <c r="BW1063" s="16">
        <f t="shared" si="367"/>
        <v>6.8444602633220303E-2</v>
      </c>
      <c r="BY1063" s="16">
        <f t="shared" si="368"/>
        <v>102.09999999999847</v>
      </c>
      <c r="BZ1063" s="16">
        <f t="shared" si="357"/>
        <v>6.703682921960953E-4</v>
      </c>
      <c r="CA1063" s="16">
        <f t="shared" si="365"/>
        <v>-999</v>
      </c>
      <c r="CE1063" s="16" t="e">
        <f t="shared" si="358"/>
        <v>#N/A</v>
      </c>
      <c r="CF1063" s="16">
        <f t="shared" si="359"/>
        <v>99</v>
      </c>
      <c r="CG1063" s="16">
        <f t="shared" si="360"/>
        <v>0</v>
      </c>
      <c r="CH1063" s="16">
        <f t="shared" si="366"/>
        <v>0</v>
      </c>
      <c r="CJ1063" s="16" t="e">
        <f t="shared" si="361"/>
        <v>#N/A</v>
      </c>
      <c r="CK1063" s="16" t="str">
        <f t="shared" si="362"/>
        <v/>
      </c>
    </row>
    <row r="1064" spans="73:89" ht="12" customHeight="1">
      <c r="BU1064" s="16">
        <f t="shared" si="363"/>
        <v>0</v>
      </c>
      <c r="BV1064" s="16">
        <f>IF($BY$12=1,NORMDIST(BY1064,$Y$6,$Y$8,TRUE),IF($BY$12=2,IF(BY1064&lt;=$BX$31,0,IF(BY1064&gt;=$BX$32,1,(BY1064-$BX$31)*$BX$33)),SUM($BU$42:BU1064)/$BV$40))</f>
        <v>0.99547288886703189</v>
      </c>
      <c r="BW1064" s="16">
        <f t="shared" si="367"/>
        <v>6.7624216421939692E-2</v>
      </c>
      <c r="BY1064" s="16">
        <f t="shared" si="368"/>
        <v>102.19999999999847</v>
      </c>
      <c r="BZ1064" s="16">
        <f t="shared" si="357"/>
        <v>6.616850921912006E-4</v>
      </c>
      <c r="CA1064" s="16">
        <f t="shared" si="365"/>
        <v>-999</v>
      </c>
      <c r="CE1064" s="16" t="e">
        <f t="shared" si="358"/>
        <v>#N/A</v>
      </c>
      <c r="CF1064" s="16">
        <f t="shared" si="359"/>
        <v>99</v>
      </c>
      <c r="CG1064" s="16">
        <f t="shared" si="360"/>
        <v>0</v>
      </c>
      <c r="CH1064" s="16">
        <f t="shared" si="366"/>
        <v>0</v>
      </c>
      <c r="CJ1064" s="16" t="e">
        <f t="shared" si="361"/>
        <v>#N/A</v>
      </c>
      <c r="CK1064" s="16" t="str">
        <f t="shared" si="362"/>
        <v/>
      </c>
    </row>
    <row r="1065" spans="73:89" ht="12" customHeight="1">
      <c r="BU1065" s="16">
        <f t="shared" si="363"/>
        <v>0</v>
      </c>
      <c r="BV1065" s="16">
        <f>IF($BY$12=1,NORMDIST(BY1065,$Y$6,$Y$8,TRUE),IF($BY$12=2,IF(BY1065&lt;=$BX$31,0,IF(BY1065&gt;=$BX$32,1,(BY1065-$BX$31)*$BX$33)),SUM($BU$42:BU1065)/$BV$40))</f>
        <v>0.99553862722571063</v>
      </c>
      <c r="BW1065" s="16">
        <f t="shared" si="367"/>
        <v>6.6811929182894594E-2</v>
      </c>
      <c r="BY1065" s="16">
        <f t="shared" si="368"/>
        <v>102.29999999999846</v>
      </c>
      <c r="BZ1065" s="16">
        <f t="shared" si="357"/>
        <v>6.5309803697845162E-4</v>
      </c>
      <c r="CA1065" s="16">
        <f t="shared" si="365"/>
        <v>-999</v>
      </c>
      <c r="CE1065" s="16" t="e">
        <f t="shared" si="358"/>
        <v>#N/A</v>
      </c>
      <c r="CF1065" s="16">
        <f t="shared" si="359"/>
        <v>99</v>
      </c>
      <c r="CG1065" s="16">
        <f t="shared" si="360"/>
        <v>0</v>
      </c>
      <c r="CH1065" s="16">
        <f t="shared" si="366"/>
        <v>0</v>
      </c>
      <c r="CJ1065" s="16" t="e">
        <f t="shared" si="361"/>
        <v>#N/A</v>
      </c>
      <c r="CK1065" s="16" t="str">
        <f t="shared" si="362"/>
        <v/>
      </c>
    </row>
    <row r="1066" spans="73:89" ht="12" customHeight="1">
      <c r="BU1066" s="16">
        <f t="shared" si="363"/>
        <v>0</v>
      </c>
      <c r="BV1066" s="16">
        <f>IF($BY$12=1,NORMDIST(BY1066,$Y$6,$Y$8,TRUE),IF($BY$12=2,IF(BY1066&lt;=$BX$31,0,IF(BY1066&gt;=$BX$32,1,(BY1066-$BX$31)*$BX$33)),SUM($BU$42:BU1066)/$BV$40))</f>
        <v>0.99560351165187799</v>
      </c>
      <c r="BW1066" s="16">
        <f t="shared" si="367"/>
        <v>6.6007685672436311E-2</v>
      </c>
      <c r="BY1066" s="16">
        <f t="shared" si="368"/>
        <v>102.39999999999846</v>
      </c>
      <c r="BZ1066" s="16">
        <f t="shared" ref="BZ1066:BZ1129" si="369">IF($BZ$5,IF($BY$12=1,NORMDIST(BY1066,$Y$6,$Y$8,FALSE),IF($BY$12=2,IF(AND(BY1066&gt;=$BX$31,BY1066&lt;=$BX$32),$BX$33,0),IF(BY1066&lt;=$BX$13,0,NORMDIST(LN((BY1066-$BX$13)/$BX$12),0,$BW$8,FALSE)/((BY1066-$BX$13)/$BX$12)))),-999)</f>
        <v>6.4460630539489561E-4</v>
      </c>
      <c r="CA1066" s="16">
        <f t="shared" si="365"/>
        <v>-999</v>
      </c>
      <c r="CE1066" s="16" t="e">
        <f t="shared" ref="CE1066:CE1129" si="370">IF(AND($CB$7,$CD$2,$CD$1),26+$P$23/2-CC1066*$P$23,NA())</f>
        <v>#N/A</v>
      </c>
      <c r="CF1066" s="16">
        <f t="shared" ref="CF1066:CF1129" si="371">IF(ISNA(CJ1066),99,CJ1066)</f>
        <v>99</v>
      </c>
      <c r="CG1066" s="16">
        <f t="shared" ref="CG1066:CG1129" si="372">IF(ISNA(CJ1066),0,CJ1066)</f>
        <v>0</v>
      </c>
      <c r="CH1066" s="16">
        <f t="shared" si="366"/>
        <v>0</v>
      </c>
      <c r="CJ1066" s="16" t="e">
        <f t="shared" ref="CJ1066:CJ1129" si="373">IF(CH1066=1,CE1066,NA())</f>
        <v>#N/A</v>
      </c>
      <c r="CK1066" s="16" t="str">
        <f t="shared" ref="CK1066:CK1129" si="374">IF(CH1066=1,M965,"")</f>
        <v/>
      </c>
    </row>
    <row r="1067" spans="73:89" ht="12" customHeight="1">
      <c r="BU1067" s="16">
        <f t="shared" ref="BU1067:BU1130" si="375">IF($BY$12&lt;3,0,IF(BY1067&lt;=$BX$13,0,NORMDIST(LN((BY1067-$BX$13)/$BX$12),0,$BW$8,FALSE)/((BY1067-$BX$13)/$BX$12)))</f>
        <v>0</v>
      </c>
      <c r="BV1067" s="16">
        <f>IF($BY$12=1,NORMDIST(BY1067,$Y$6,$Y$8,TRUE),IF($BY$12=2,IF(BY1067&lt;=$BX$31,0,IF(BY1067&gt;=$BX$32,1,(BY1067-$BX$31)*$BX$33)),SUM($BU$42:BU1067)/$BV$40))</f>
        <v>0.99566755163698661</v>
      </c>
      <c r="BW1067" s="16">
        <f t="shared" si="367"/>
        <v>6.5211430683773358E-2</v>
      </c>
      <c r="BY1067" s="16">
        <f t="shared" si="368"/>
        <v>102.49999999999845</v>
      </c>
      <c r="BZ1067" s="16">
        <f t="shared" si="369"/>
        <v>6.3620907984170095E-4</v>
      </c>
      <c r="CA1067" s="16">
        <f t="shared" ref="CA1067:CA1130" si="376">IF(AND($CD$1,$CD$3),26-$CD$40*NORMDIST(BY1067,$Y$6,$Y$8/SQRT($T$18),FALSE),-999)</f>
        <v>-999</v>
      </c>
      <c r="CE1067" s="16" t="e">
        <f t="shared" si="370"/>
        <v>#N/A</v>
      </c>
      <c r="CF1067" s="16">
        <f t="shared" si="371"/>
        <v>99</v>
      </c>
      <c r="CG1067" s="16">
        <f t="shared" si="372"/>
        <v>0</v>
      </c>
      <c r="CH1067" s="16">
        <f t="shared" si="366"/>
        <v>0</v>
      </c>
      <c r="CJ1067" s="16" t="e">
        <f t="shared" si="373"/>
        <v>#N/A</v>
      </c>
      <c r="CK1067" s="16" t="str">
        <f t="shared" si="374"/>
        <v/>
      </c>
    </row>
    <row r="1068" spans="73:89" ht="12" customHeight="1">
      <c r="BU1068" s="16">
        <f t="shared" si="375"/>
        <v>0</v>
      </c>
      <c r="BV1068" s="16">
        <f>IF($BY$12=1,NORMDIST(BY1068,$Y$6,$Y$8,TRUE),IF($BY$12=2,IF(BY1068&lt;=$BX$31,0,IF(BY1068&gt;=$BX$32,1,(BY1068-$BX$31)*$BX$33)),SUM($BU$42:BU1068)/$BV$40))</f>
        <v>0.9957307565909097</v>
      </c>
      <c r="BW1068" s="16">
        <f t="shared" si="367"/>
        <v>6.4423109052332381E-2</v>
      </c>
      <c r="BY1068" s="16">
        <f t="shared" si="368"/>
        <v>102.59999999999845</v>
      </c>
      <c r="BZ1068" s="16">
        <f t="shared" si="369"/>
        <v>6.2790554631903851E-4</v>
      </c>
      <c r="CA1068" s="16">
        <f t="shared" si="376"/>
        <v>-999</v>
      </c>
      <c r="CE1068" s="16" t="e">
        <f t="shared" si="370"/>
        <v>#N/A</v>
      </c>
      <c r="CF1068" s="16">
        <f t="shared" si="371"/>
        <v>99</v>
      </c>
      <c r="CG1068" s="16">
        <f t="shared" si="372"/>
        <v>0</v>
      </c>
      <c r="CH1068" s="16">
        <f t="shared" si="366"/>
        <v>0</v>
      </c>
      <c r="CJ1068" s="16" t="e">
        <f t="shared" si="373"/>
        <v>#N/A</v>
      </c>
      <c r="CK1068" s="16" t="str">
        <f t="shared" si="374"/>
        <v/>
      </c>
    </row>
    <row r="1069" spans="73:89" ht="12" customHeight="1">
      <c r="BU1069" s="16">
        <f t="shared" si="375"/>
        <v>0</v>
      </c>
      <c r="BV1069" s="16">
        <f>IF($BY$12=1,NORMDIST(BY1069,$Y$6,$Y$8,TRUE),IF($BY$12=2,IF(BY1069&lt;=$BX$31,0,IF(BY1069&gt;=$BX$32,1,(BY1069-$BX$31)*$BX$33)),SUM($BU$42:BU1069)/$BV$40))</f>
        <v>0.99579313584230156</v>
      </c>
      <c r="BW1069" s="16">
        <f t="shared" si="367"/>
        <v>6.3642665661048009E-2</v>
      </c>
      <c r="BY1069" s="16">
        <f t="shared" si="368"/>
        <v>102.69999999999844</v>
      </c>
      <c r="BZ1069" s="16">
        <f t="shared" si="369"/>
        <v>6.1969489446006792E-4</v>
      </c>
      <c r="CA1069" s="16">
        <f t="shared" si="376"/>
        <v>-999</v>
      </c>
      <c r="CE1069" s="16" t="e">
        <f t="shared" si="370"/>
        <v>#N/A</v>
      </c>
      <c r="CF1069" s="16">
        <f t="shared" si="371"/>
        <v>99</v>
      </c>
      <c r="CG1069" s="16">
        <f t="shared" si="372"/>
        <v>0</v>
      </c>
      <c r="CH1069" s="16">
        <f t="shared" si="366"/>
        <v>0</v>
      </c>
      <c r="CJ1069" s="16" t="e">
        <f t="shared" si="373"/>
        <v>#N/A</v>
      </c>
      <c r="CK1069" s="16" t="str">
        <f t="shared" si="374"/>
        <v/>
      </c>
    </row>
    <row r="1070" spans="73:89" ht="12" customHeight="1">
      <c r="BU1070" s="16">
        <f t="shared" si="375"/>
        <v>0</v>
      </c>
      <c r="BV1070" s="16">
        <f>IF($BY$12=1,NORMDIST(BY1070,$Y$6,$Y$8,TRUE),IF($BY$12=2,IF(BY1070&lt;=$BX$31,0,IF(BY1070&gt;=$BX$32,1,(BY1070-$BX$31)*$BX$33)),SUM($BU$42:BU1070)/$BV$40))</f>
        <v>0.99585469863896314</v>
      </c>
      <c r="BW1070" s="16">
        <f t="shared" si="367"/>
        <v>6.2870045445580808E-2</v>
      </c>
      <c r="BY1070" s="16">
        <f t="shared" si="368"/>
        <v>102.79999999999843</v>
      </c>
      <c r="BZ1070" s="16">
        <f t="shared" si="369"/>
        <v>6.1157631756402495E-4</v>
      </c>
      <c r="CA1070" s="16">
        <f t="shared" si="376"/>
        <v>-999</v>
      </c>
      <c r="CE1070" s="16" t="e">
        <f t="shared" si="370"/>
        <v>#N/A</v>
      </c>
      <c r="CF1070" s="16">
        <f t="shared" si="371"/>
        <v>99</v>
      </c>
      <c r="CG1070" s="16">
        <f t="shared" si="372"/>
        <v>0</v>
      </c>
      <c r="CH1070" s="16">
        <f t="shared" si="366"/>
        <v>0</v>
      </c>
      <c r="CJ1070" s="16" t="e">
        <f t="shared" si="373"/>
        <v>#N/A</v>
      </c>
      <c r="CK1070" s="16" t="str">
        <f t="shared" si="374"/>
        <v/>
      </c>
    </row>
    <row r="1071" spans="73:89" ht="12" customHeight="1">
      <c r="BU1071" s="16">
        <f t="shared" si="375"/>
        <v>0</v>
      </c>
      <c r="BV1071" s="16">
        <f>IF($BY$12=1,NORMDIST(BY1071,$Y$6,$Y$8,TRUE),IF($BY$12=2,IF(BY1071&lt;=$BX$31,0,IF(BY1071&gt;=$BX$32,1,(BY1071-$BX$31)*$BX$33)),SUM($BU$42:BU1071)/$BV$40))</f>
        <v>0.99591545414820892</v>
      </c>
      <c r="BW1071" s="16">
        <f t="shared" si="367"/>
        <v>6.2105193399463986E-2</v>
      </c>
      <c r="BY1071" s="16">
        <f t="shared" si="368"/>
        <v>102.89999999999843</v>
      </c>
      <c r="BZ1071" s="16">
        <f t="shared" si="369"/>
        <v>6.0354901262842499E-4</v>
      </c>
      <c r="CA1071" s="16">
        <f t="shared" si="376"/>
        <v>-999</v>
      </c>
      <c r="CE1071" s="16" t="e">
        <f t="shared" si="370"/>
        <v>#N/A</v>
      </c>
      <c r="CF1071" s="16">
        <f t="shared" si="371"/>
        <v>99</v>
      </c>
      <c r="CG1071" s="16">
        <f t="shared" si="372"/>
        <v>0</v>
      </c>
      <c r="CH1071" s="16">
        <f t="shared" si="366"/>
        <v>0</v>
      </c>
      <c r="CJ1071" s="16" t="e">
        <f t="shared" si="373"/>
        <v>#N/A</v>
      </c>
      <c r="CK1071" s="16" t="str">
        <f t="shared" si="374"/>
        <v/>
      </c>
    </row>
    <row r="1072" spans="73:89" ht="12" customHeight="1">
      <c r="BU1072" s="16">
        <f t="shared" si="375"/>
        <v>0</v>
      </c>
      <c r="BV1072" s="16">
        <f>IF($BY$12=1,NORMDIST(BY1072,$Y$6,$Y$8,TRUE),IF($BY$12=2,IF(BY1072&lt;=$BX$31,0,IF(BY1072&gt;=$BX$32,1,(BY1072-$BX$31)*$BX$33)),SUM($BU$42:BU1072)/$BV$40))</f>
        <v>0.99597541145724078</v>
      </c>
      <c r="BW1072" s="16">
        <f t="shared" si="367"/>
        <v>6.1348054579178551E-2</v>
      </c>
      <c r="BY1072" s="16">
        <f t="shared" si="368"/>
        <v>102.99999999999842</v>
      </c>
      <c r="BZ1072" s="16">
        <f t="shared" si="369"/>
        <v>5.956121803803834E-4</v>
      </c>
      <c r="CA1072" s="16">
        <f t="shared" si="376"/>
        <v>-999</v>
      </c>
      <c r="CE1072" s="16" t="e">
        <f t="shared" si="370"/>
        <v>#N/A</v>
      </c>
      <c r="CF1072" s="16">
        <f t="shared" si="371"/>
        <v>99</v>
      </c>
      <c r="CG1072" s="16">
        <f t="shared" si="372"/>
        <v>0</v>
      </c>
      <c r="CH1072" s="16">
        <f t="shared" si="366"/>
        <v>0</v>
      </c>
      <c r="CJ1072" s="16" t="e">
        <f t="shared" si="373"/>
        <v>#N/A</v>
      </c>
      <c r="CK1072" s="16" t="str">
        <f t="shared" si="374"/>
        <v/>
      </c>
    </row>
    <row r="1073" spans="73:89" ht="12" customHeight="1">
      <c r="BU1073" s="16">
        <f t="shared" si="375"/>
        <v>0</v>
      </c>
      <c r="BV1073" s="16">
        <f>IF($BY$12=1,NORMDIST(BY1073,$Y$6,$Y$8,TRUE),IF($BY$12=2,IF(BY1073&lt;=$BX$31,0,IF(BY1073&gt;=$BX$32,1,(BY1073-$BX$31)*$BX$33)),SUM($BU$42:BU1073)/$BV$40))</f>
        <v>0.99603457957351993</v>
      </c>
      <c r="BW1073" s="16">
        <f t="shared" si="367"/>
        <v>6.0598574109157158E-2</v>
      </c>
      <c r="BY1073" s="16">
        <f t="shared" si="368"/>
        <v>103.09999999999842</v>
      </c>
      <c r="BZ1073" s="16">
        <f t="shared" si="369"/>
        <v>5.8776502530706197E-4</v>
      </c>
      <c r="CA1073" s="16">
        <f t="shared" si="376"/>
        <v>-999</v>
      </c>
      <c r="CE1073" s="16" t="e">
        <f t="shared" si="370"/>
        <v>#N/A</v>
      </c>
      <c r="CF1073" s="16">
        <f t="shared" si="371"/>
        <v>99</v>
      </c>
      <c r="CG1073" s="16">
        <f t="shared" si="372"/>
        <v>0</v>
      </c>
      <c r="CH1073" s="16">
        <f t="shared" si="366"/>
        <v>0</v>
      </c>
      <c r="CJ1073" s="16" t="e">
        <f t="shared" si="373"/>
        <v>#N/A</v>
      </c>
      <c r="CK1073" s="16" t="str">
        <f t="shared" si="374"/>
        <v/>
      </c>
    </row>
    <row r="1074" spans="73:89" ht="12" customHeight="1">
      <c r="BU1074" s="16">
        <f t="shared" si="375"/>
        <v>0</v>
      </c>
      <c r="BV1074" s="16">
        <f>IF($BY$12=1,NORMDIST(BY1074,$Y$6,$Y$8,TRUE),IF($BY$12=2,IF(BY1074&lt;=$BX$31,0,IF(BY1074&gt;=$BX$32,1,(BY1074-$BX$31)*$BX$33)),SUM($BU$42:BU1074)/$BV$40))</f>
        <v>0.99609296742514641</v>
      </c>
      <c r="BW1074" s="16">
        <f t="shared" si="367"/>
        <v>5.9856697186716941E-2</v>
      </c>
      <c r="BY1074" s="16">
        <f t="shared" si="368"/>
        <v>103.19999999999841</v>
      </c>
      <c r="BZ1074" s="16">
        <f t="shared" si="369"/>
        <v>5.8000675568525058E-4</v>
      </c>
      <c r="CA1074" s="16">
        <f t="shared" si="376"/>
        <v>-999</v>
      </c>
      <c r="CE1074" s="16" t="e">
        <f t="shared" si="370"/>
        <v>#N/A</v>
      </c>
      <c r="CF1074" s="16">
        <f t="shared" si="371"/>
        <v>99</v>
      </c>
      <c r="CG1074" s="16">
        <f t="shared" si="372"/>
        <v>0</v>
      </c>
      <c r="CH1074" s="16">
        <f t="shared" si="366"/>
        <v>0</v>
      </c>
      <c r="CJ1074" s="16" t="e">
        <f t="shared" si="373"/>
        <v>#N/A</v>
      </c>
      <c r="CK1074" s="16" t="str">
        <f t="shared" si="374"/>
        <v/>
      </c>
    </row>
    <row r="1075" spans="73:89" ht="12" customHeight="1">
      <c r="BU1075" s="16">
        <f t="shared" si="375"/>
        <v>0</v>
      </c>
      <c r="BV1075" s="16">
        <f>IF($BY$12=1,NORMDIST(BY1075,$Y$6,$Y$8,TRUE),IF($BY$12=2,IF(BY1075&lt;=$BX$31,0,IF(BY1075&gt;=$BX$32,1,(BY1075-$BX$31)*$BX$33)),SUM($BU$42:BU1075)/$BV$40))</f>
        <v>0.99615058386123767</v>
      </c>
      <c r="BW1075" s="16">
        <f t="shared" si="367"/>
        <v>5.9122369086921166E-2</v>
      </c>
      <c r="BY1075" s="16">
        <f t="shared" si="368"/>
        <v>103.29999999999841</v>
      </c>
      <c r="BZ1075" s="16">
        <f t="shared" si="369"/>
        <v>5.7233658361008789E-4</v>
      </c>
      <c r="CA1075" s="16">
        <f t="shared" si="376"/>
        <v>-999</v>
      </c>
      <c r="CE1075" s="16" t="e">
        <f t="shared" si="370"/>
        <v>#N/A</v>
      </c>
      <c r="CF1075" s="16">
        <f t="shared" si="371"/>
        <v>99</v>
      </c>
      <c r="CG1075" s="16">
        <f t="shared" si="372"/>
        <v>0</v>
      </c>
      <c r="CH1075" s="16">
        <f t="shared" si="366"/>
        <v>0</v>
      </c>
      <c r="CJ1075" s="16" t="e">
        <f t="shared" si="373"/>
        <v>#N/A</v>
      </c>
      <c r="CK1075" s="16" t="str">
        <f t="shared" si="374"/>
        <v/>
      </c>
    </row>
    <row r="1076" spans="73:89" ht="12" customHeight="1">
      <c r="BU1076" s="16">
        <f t="shared" si="375"/>
        <v>0</v>
      </c>
      <c r="BV1076" s="16">
        <f>IF($BY$12=1,NORMDIST(BY1076,$Y$6,$Y$8,TRUE),IF($BY$12=2,IF(BY1076&lt;=$BX$31,0,IF(BY1076&gt;=$BX$32,1,(BY1076-$BX$31)*$BX$33)),SUM($BU$42:BU1076)/$BV$40))</f>
        <v>0.99620743765231357</v>
      </c>
      <c r="BW1076" s="16">
        <f t="shared" si="367"/>
        <v>5.8395535167369783E-2</v>
      </c>
      <c r="BY1076" s="16">
        <f t="shared" si="368"/>
        <v>103.3999999999984</v>
      </c>
      <c r="BZ1076" s="16">
        <f t="shared" si="369"/>
        <v>5.6475372502292731E-4</v>
      </c>
      <c r="CA1076" s="16">
        <f t="shared" si="376"/>
        <v>-999</v>
      </c>
      <c r="CE1076" s="16" t="e">
        <f t="shared" si="370"/>
        <v>#N/A</v>
      </c>
      <c r="CF1076" s="16">
        <f t="shared" si="371"/>
        <v>99</v>
      </c>
      <c r="CG1076" s="16">
        <f t="shared" si="372"/>
        <v>0</v>
      </c>
      <c r="CH1076" s="16">
        <f t="shared" si="366"/>
        <v>0</v>
      </c>
      <c r="CJ1076" s="16" t="e">
        <f t="shared" si="373"/>
        <v>#N/A</v>
      </c>
      <c r="CK1076" s="16" t="str">
        <f t="shared" si="374"/>
        <v/>
      </c>
    </row>
    <row r="1077" spans="73:89" ht="12" customHeight="1">
      <c r="BU1077" s="16">
        <f t="shared" si="375"/>
        <v>0</v>
      </c>
      <c r="BV1077" s="16">
        <f>IF($BY$12=1,NORMDIST(BY1077,$Y$6,$Y$8,TRUE),IF($BY$12=2,IF(BY1077&lt;=$BX$31,0,IF(BY1077&gt;=$BX$32,1,(BY1077-$BX$31)*$BX$33)),SUM($BU$42:BU1077)/$BV$40))</f>
        <v>0.99626353749068142</v>
      </c>
      <c r="BW1077" s="16">
        <f t="shared" si="367"/>
        <v>5.7676140872919335E-2</v>
      </c>
      <c r="BY1077" s="16">
        <f t="shared" si="368"/>
        <v>103.49999999999839</v>
      </c>
      <c r="BZ1077" s="16">
        <f t="shared" si="369"/>
        <v>5.5725739973835973E-4</v>
      </c>
      <c r="CA1077" s="16">
        <f t="shared" si="376"/>
        <v>-999</v>
      </c>
      <c r="CE1077" s="16" t="e">
        <f t="shared" si="370"/>
        <v>#N/A</v>
      </c>
      <c r="CF1077" s="16">
        <f t="shared" si="371"/>
        <v>99</v>
      </c>
      <c r="CG1077" s="16">
        <f t="shared" si="372"/>
        <v>0</v>
      </c>
      <c r="CH1077" s="16">
        <f t="shared" si="366"/>
        <v>0</v>
      </c>
      <c r="CJ1077" s="16" t="e">
        <f t="shared" si="373"/>
        <v>#N/A</v>
      </c>
      <c r="CK1077" s="16" t="str">
        <f t="shared" si="374"/>
        <v/>
      </c>
    </row>
    <row r="1078" spans="73:89" ht="12" customHeight="1">
      <c r="BU1078" s="16">
        <f t="shared" si="375"/>
        <v>0</v>
      </c>
      <c r="BV1078" s="16">
        <f>IF($BY$12=1,NORMDIST(BY1078,$Y$6,$Y$8,TRUE),IF($BY$12=2,IF(BY1078&lt;=$BX$31,0,IF(BY1078&gt;=$BX$32,1,(BY1078-$BX$31)*$BX$33)),SUM($BU$42:BU1078)/$BV$40))</f>
        <v>0.99631889199082391</v>
      </c>
      <c r="BW1078" s="16">
        <f t="shared" si="367"/>
        <v>5.6964131740332317E-2</v>
      </c>
      <c r="BY1078" s="16">
        <f t="shared" si="368"/>
        <v>103.59999999999839</v>
      </c>
      <c r="BZ1078" s="16">
        <f t="shared" si="369"/>
        <v>5.4984683147039773E-4</v>
      </c>
      <c r="CA1078" s="16">
        <f t="shared" si="376"/>
        <v>-999</v>
      </c>
      <c r="CE1078" s="16" t="e">
        <f t="shared" si="370"/>
        <v>#N/A</v>
      </c>
      <c r="CF1078" s="16">
        <f t="shared" si="371"/>
        <v>99</v>
      </c>
      <c r="CG1078" s="16">
        <f t="shared" si="372"/>
        <v>0</v>
      </c>
      <c r="CH1078" s="16">
        <f t="shared" si="366"/>
        <v>0</v>
      </c>
      <c r="CJ1078" s="16" t="e">
        <f t="shared" si="373"/>
        <v>#N/A</v>
      </c>
      <c r="CK1078" s="16" t="str">
        <f t="shared" si="374"/>
        <v/>
      </c>
    </row>
    <row r="1079" spans="73:89" ht="12" customHeight="1">
      <c r="BU1079" s="16">
        <f t="shared" si="375"/>
        <v>0</v>
      </c>
      <c r="BV1079" s="16">
        <f>IF($BY$12=1,NORMDIST(BY1079,$Y$6,$Y$8,TRUE),IF($BY$12=2,IF(BY1079&lt;=$BX$31,0,IF(BY1079&gt;=$BX$32,1,(BY1079-$BX$31)*$BX$33)),SUM($BU$42:BU1079)/$BV$40))</f>
        <v>0.99637350968979277</v>
      </c>
      <c r="BW1079" s="16">
        <f t="shared" si="367"/>
        <v>5.6259453402855555E-2</v>
      </c>
      <c r="BY1079" s="16">
        <f t="shared" si="368"/>
        <v>103.69999999999838</v>
      </c>
      <c r="BZ1079" s="16">
        <f t="shared" si="369"/>
        <v>5.4252124785782478E-4</v>
      </c>
      <c r="CA1079" s="16">
        <f t="shared" si="376"/>
        <v>-999</v>
      </c>
      <c r="CE1079" s="16" t="e">
        <f t="shared" si="370"/>
        <v>#N/A</v>
      </c>
      <c r="CF1079" s="16">
        <f t="shared" si="371"/>
        <v>99</v>
      </c>
      <c r="CG1079" s="16">
        <f t="shared" si="372"/>
        <v>0</v>
      </c>
      <c r="CH1079" s="16">
        <f t="shared" si="366"/>
        <v>0</v>
      </c>
      <c r="CJ1079" s="16" t="e">
        <f t="shared" si="373"/>
        <v>#N/A</v>
      </c>
      <c r="CK1079" s="16" t="str">
        <f t="shared" si="374"/>
        <v/>
      </c>
    </row>
    <row r="1080" spans="73:89" ht="12" customHeight="1">
      <c r="BU1080" s="16">
        <f t="shared" si="375"/>
        <v>0</v>
      </c>
      <c r="BV1080" s="16">
        <f>IF($BY$12=1,NORMDIST(BY1080,$Y$6,$Y$8,TRUE),IF($BY$12=2,IF(BY1080&lt;=$BX$31,0,IF(BY1080&gt;=$BX$32,1,(BY1080-$BX$31)*$BX$33)),SUM($BU$42:BU1080)/$BV$40))</f>
        <v>0.99642739904759914</v>
      </c>
      <c r="BW1080" s="16">
        <f t="shared" si="367"/>
        <v>5.5562051594728885E-2</v>
      </c>
      <c r="BY1080" s="16">
        <f t="shared" si="368"/>
        <v>103.79999999999838</v>
      </c>
      <c r="BZ1080" s="16">
        <f t="shared" si="369"/>
        <v>5.3527988048872592E-4</v>
      </c>
      <c r="CA1080" s="16">
        <f t="shared" si="376"/>
        <v>-999</v>
      </c>
      <c r="CE1080" s="16" t="e">
        <f t="shared" si="370"/>
        <v>#N/A</v>
      </c>
      <c r="CF1080" s="16">
        <f t="shared" si="371"/>
        <v>99</v>
      </c>
      <c r="CG1080" s="16">
        <f t="shared" si="372"/>
        <v>0</v>
      </c>
      <c r="CH1080" s="16">
        <f t="shared" si="366"/>
        <v>0</v>
      </c>
      <c r="CJ1080" s="16" t="e">
        <f t="shared" si="373"/>
        <v>#N/A</v>
      </c>
      <c r="CK1080" s="16" t="str">
        <f t="shared" si="374"/>
        <v/>
      </c>
    </row>
    <row r="1081" spans="73:89" ht="12" customHeight="1">
      <c r="BU1081" s="16">
        <f t="shared" si="375"/>
        <v>0</v>
      </c>
      <c r="BV1081" s="16">
        <f>IF($BY$12=1,NORMDIST(BY1081,$Y$6,$Y$8,TRUE),IF($BY$12=2,IF(BY1081&lt;=$BX$31,0,IF(BY1081&gt;=$BX$32,1,(BY1081-$BX$31)*$BX$33)),SUM($BU$42:BU1081)/$BV$40))</f>
        <v>0.99648056844761301</v>
      </c>
      <c r="BW1081" s="16">
        <f t="shared" si="367"/>
        <v>5.4871872155623169E-2</v>
      </c>
      <c r="BY1081" s="16">
        <f t="shared" si="368"/>
        <v>103.89999999999837</v>
      </c>
      <c r="BZ1081" s="16">
        <f t="shared" si="369"/>
        <v>5.2812196492419664E-4</v>
      </c>
      <c r="CA1081" s="16">
        <f t="shared" si="376"/>
        <v>-999</v>
      </c>
      <c r="CE1081" s="16" t="e">
        <f t="shared" si="370"/>
        <v>#N/A</v>
      </c>
      <c r="CF1081" s="16">
        <f t="shared" si="371"/>
        <v>99</v>
      </c>
      <c r="CG1081" s="16">
        <f t="shared" si="372"/>
        <v>0</v>
      </c>
      <c r="CH1081" s="16">
        <f t="shared" si="366"/>
        <v>0</v>
      </c>
      <c r="CJ1081" s="16" t="e">
        <f t="shared" si="373"/>
        <v>#N/A</v>
      </c>
      <c r="CK1081" s="16" t="str">
        <f t="shared" si="374"/>
        <v/>
      </c>
    </row>
    <row r="1082" spans="73:89" ht="12" customHeight="1">
      <c r="BU1082" s="16">
        <f t="shared" si="375"/>
        <v>0</v>
      </c>
      <c r="BV1082" s="16">
        <f>IF($BY$12=1,NORMDIST(BY1082,$Y$6,$Y$8,TRUE),IF($BY$12=2,IF(BY1082&lt;=$BX$31,0,IF(BY1082&gt;=$BX$32,1,(BY1082-$BX$31)*$BX$33)),SUM($BU$42:BU1082)/$BV$40))</f>
        <v>0.99653302619695849</v>
      </c>
      <c r="BW1082" s="16">
        <f t="shared" si="367"/>
        <v>5.4188861035008598E-2</v>
      </c>
      <c r="BY1082" s="16">
        <f t="shared" si="368"/>
        <v>103.99999999999837</v>
      </c>
      <c r="BZ1082" s="16">
        <f t="shared" si="369"/>
        <v>5.210467407212447E-4</v>
      </c>
      <c r="CA1082" s="16">
        <f t="shared" si="376"/>
        <v>-999</v>
      </c>
      <c r="CE1082" s="16" t="e">
        <f t="shared" si="370"/>
        <v>#N/A</v>
      </c>
      <c r="CF1082" s="16">
        <f t="shared" si="371"/>
        <v>99</v>
      </c>
      <c r="CG1082" s="16">
        <f t="shared" si="372"/>
        <v>0</v>
      </c>
      <c r="CH1082" s="16">
        <f t="shared" si="366"/>
        <v>0</v>
      </c>
      <c r="CJ1082" s="16" t="e">
        <f t="shared" si="373"/>
        <v>#N/A</v>
      </c>
      <c r="CK1082" s="16" t="str">
        <f t="shared" si="374"/>
        <v/>
      </c>
    </row>
    <row r="1083" spans="73:89" ht="12" customHeight="1">
      <c r="BU1083" s="16">
        <f t="shared" si="375"/>
        <v>0</v>
      </c>
      <c r="BV1083" s="16">
        <f>IF($BY$12=1,NORMDIST(BY1083,$Y$6,$Y$8,TRUE),IF($BY$12=2,IF(BY1083&lt;=$BX$31,0,IF(BY1083&gt;=$BX$32,1,(BY1083-$BX$31)*$BX$33)),SUM($BU$42:BU1083)/$BV$40))</f>
        <v>0.99658478052691724</v>
      </c>
      <c r="BW1083" s="16">
        <f t="shared" si="367"/>
        <v>5.3512964296453136E-2</v>
      </c>
      <c r="BY1083" s="16">
        <f t="shared" si="368"/>
        <v>104.09999999999836</v>
      </c>
      <c r="BZ1083" s="16">
        <f t="shared" si="369"/>
        <v>5.1405345145488931E-4</v>
      </c>
      <c r="CA1083" s="16">
        <f t="shared" si="376"/>
        <v>-999</v>
      </c>
      <c r="CE1083" s="16" t="e">
        <f t="shared" si="370"/>
        <v>#N/A</v>
      </c>
      <c r="CF1083" s="16">
        <f t="shared" si="371"/>
        <v>99</v>
      </c>
      <c r="CG1083" s="16">
        <f t="shared" si="372"/>
        <v>0</v>
      </c>
      <c r="CH1083" s="16">
        <f t="shared" si="366"/>
        <v>0</v>
      </c>
      <c r="CJ1083" s="16" t="e">
        <f t="shared" si="373"/>
        <v>#N/A</v>
      </c>
      <c r="CK1083" s="16" t="str">
        <f t="shared" si="374"/>
        <v/>
      </c>
    </row>
    <row r="1084" spans="73:89" ht="12" customHeight="1">
      <c r="BU1084" s="16">
        <f t="shared" si="375"/>
        <v>0</v>
      </c>
      <c r="BV1084" s="16">
        <f>IF($BY$12=1,NORMDIST(BY1084,$Y$6,$Y$8,TRUE),IF($BY$12=2,IF(BY1084&lt;=$BX$31,0,IF(BY1084&gt;=$BX$32,1,(BY1084-$BX$31)*$BX$33)),SUM($BU$42:BU1084)/$BV$40))</f>
        <v>0.9966358395933298</v>
      </c>
      <c r="BW1084" s="16">
        <f t="shared" si="367"/>
        <v>5.2844128121851609E-2</v>
      </c>
      <c r="BY1084" s="16">
        <f t="shared" si="368"/>
        <v>104.19999999999835</v>
      </c>
      <c r="BZ1084" s="16">
        <f t="shared" si="369"/>
        <v>5.0714134473946681E-4</v>
      </c>
      <c r="CA1084" s="16">
        <f t="shared" si="376"/>
        <v>-999</v>
      </c>
      <c r="CE1084" s="16" t="e">
        <f t="shared" si="370"/>
        <v>#N/A</v>
      </c>
      <c r="CF1084" s="16">
        <f t="shared" si="371"/>
        <v>99</v>
      </c>
      <c r="CG1084" s="16">
        <f t="shared" si="372"/>
        <v>0</v>
      </c>
      <c r="CH1084" s="16">
        <f t="shared" si="366"/>
        <v>0</v>
      </c>
      <c r="CJ1084" s="16" t="e">
        <f t="shared" si="373"/>
        <v>#N/A</v>
      </c>
      <c r="CK1084" s="16" t="str">
        <f t="shared" si="374"/>
        <v/>
      </c>
    </row>
    <row r="1085" spans="73:89" ht="12" customHeight="1">
      <c r="BU1085" s="16">
        <f t="shared" si="375"/>
        <v>0</v>
      </c>
      <c r="BV1085" s="16">
        <f>IF($BY$12=1,NORMDIST(BY1085,$Y$6,$Y$8,TRUE),IF($BY$12=2,IF(BY1085&lt;=$BX$31,0,IF(BY1085&gt;=$BX$32,1,(BY1085-$BX$31)*$BX$33)),SUM($BU$42:BU1085)/$BV$40))</f>
        <v>0.99668621147700143</v>
      </c>
      <c r="BW1085" s="16">
        <f t="shared" si="367"/>
        <v>5.2182298815585122E-2</v>
      </c>
      <c r="BY1085" s="16">
        <f t="shared" si="368"/>
        <v>104.29999999999835</v>
      </c>
      <c r="BZ1085" s="16">
        <f t="shared" si="369"/>
        <v>5.0030967224914621E-4</v>
      </c>
      <c r="CA1085" s="16">
        <f t="shared" si="376"/>
        <v>-999</v>
      </c>
      <c r="CE1085" s="16" t="e">
        <f t="shared" si="370"/>
        <v>#N/A</v>
      </c>
      <c r="CF1085" s="16">
        <f t="shared" si="371"/>
        <v>99</v>
      </c>
      <c r="CG1085" s="16">
        <f t="shared" si="372"/>
        <v>0</v>
      </c>
      <c r="CH1085" s="16">
        <f t="shared" si="366"/>
        <v>0</v>
      </c>
      <c r="CJ1085" s="16" t="e">
        <f t="shared" si="373"/>
        <v>#N/A</v>
      </c>
      <c r="CK1085" s="16" t="str">
        <f t="shared" si="374"/>
        <v/>
      </c>
    </row>
    <row r="1086" spans="73:89" ht="12" customHeight="1">
      <c r="BU1086" s="16">
        <f t="shared" si="375"/>
        <v>0</v>
      </c>
      <c r="BV1086" s="16">
        <f>IF($BY$12=1,NORMDIST(BY1086,$Y$6,$Y$8,TRUE),IF($BY$12=2,IF(BY1086&lt;=$BX$31,0,IF(BY1086&gt;=$BX$32,1,(BY1086-$BX$31)*$BX$33)),SUM($BU$42:BU1086)/$BV$40))</f>
        <v>0.99673590418410796</v>
      </c>
      <c r="BW1086" s="16">
        <f t="shared" si="367"/>
        <v>5.1527422808611729E-2</v>
      </c>
      <c r="BY1086" s="16">
        <f t="shared" si="368"/>
        <v>104.39999999999834</v>
      </c>
      <c r="BZ1086" s="16">
        <f t="shared" si="369"/>
        <v>4.9355768973766807E-4</v>
      </c>
      <c r="CA1086" s="16">
        <f t="shared" si="376"/>
        <v>-999</v>
      </c>
      <c r="CE1086" s="16" t="e">
        <f t="shared" si="370"/>
        <v>#N/A</v>
      </c>
      <c r="CF1086" s="16">
        <f t="shared" si="371"/>
        <v>99</v>
      </c>
      <c r="CG1086" s="16">
        <f t="shared" si="372"/>
        <v>0</v>
      </c>
      <c r="CH1086" s="16">
        <f t="shared" si="366"/>
        <v>0</v>
      </c>
      <c r="CJ1086" s="16" t="e">
        <f t="shared" si="373"/>
        <v>#N/A</v>
      </c>
      <c r="CK1086" s="16" t="str">
        <f t="shared" si="374"/>
        <v/>
      </c>
    </row>
    <row r="1087" spans="73:89" ht="12" customHeight="1">
      <c r="BU1087" s="16">
        <f t="shared" si="375"/>
        <v>0</v>
      </c>
      <c r="BV1087" s="16">
        <f>IF($BY$12=1,NORMDIST(BY1087,$Y$6,$Y$8,TRUE),IF($BY$12=2,IF(BY1087&lt;=$BX$31,0,IF(BY1087&gt;=$BX$32,1,(BY1087-$BX$31)*$BX$33)),SUM($BU$42:BU1087)/$BV$40))</f>
        <v>0.99678492564660526</v>
      </c>
      <c r="BW1087" s="16">
        <f t="shared" si="367"/>
        <v>5.0879446662488136E-2</v>
      </c>
      <c r="BY1087" s="16">
        <f t="shared" si="368"/>
        <v>104.49999999999834</v>
      </c>
      <c r="BZ1087" s="16">
        <f t="shared" si="369"/>
        <v>4.8688465705731045E-4</v>
      </c>
      <c r="CA1087" s="16">
        <f t="shared" si="376"/>
        <v>-999</v>
      </c>
      <c r="CE1087" s="16" t="e">
        <f t="shared" si="370"/>
        <v>#N/A</v>
      </c>
      <c r="CF1087" s="16">
        <f t="shared" si="371"/>
        <v>99</v>
      </c>
      <c r="CG1087" s="16">
        <f t="shared" si="372"/>
        <v>0</v>
      </c>
      <c r="CH1087" s="16">
        <f t="shared" si="366"/>
        <v>0</v>
      </c>
      <c r="CJ1087" s="16" t="e">
        <f t="shared" si="373"/>
        <v>#N/A</v>
      </c>
      <c r="CK1087" s="16" t="str">
        <f t="shared" si="374"/>
        <v/>
      </c>
    </row>
    <row r="1088" spans="73:89" ht="12" customHeight="1">
      <c r="BU1088" s="16">
        <f t="shared" si="375"/>
        <v>0</v>
      </c>
      <c r="BV1088" s="16">
        <f>IF($BY$12=1,NORMDIST(BY1088,$Y$6,$Y$8,TRUE),IF($BY$12=2,IF(BY1088&lt;=$BX$31,0,IF(BY1088&gt;=$BX$32,1,(BY1088-$BX$31)*$BX$33)),SUM($BU$42:BU1088)/$BV$40))</f>
        <v>0.99683328372264113</v>
      </c>
      <c r="BW1088" s="16">
        <f t="shared" si="367"/>
        <v>5.0238317073322658E-2</v>
      </c>
      <c r="BY1088" s="16">
        <f t="shared" si="368"/>
        <v>104.59999999999833</v>
      </c>
      <c r="BZ1088" s="16">
        <f t="shared" si="369"/>
        <v>4.8028983817708851E-4</v>
      </c>
      <c r="CA1088" s="16">
        <f t="shared" si="376"/>
        <v>-999</v>
      </c>
      <c r="CE1088" s="16" t="e">
        <f t="shared" si="370"/>
        <v>#N/A</v>
      </c>
      <c r="CF1088" s="16">
        <f t="shared" si="371"/>
        <v>99</v>
      </c>
      <c r="CG1088" s="16">
        <f t="shared" si="372"/>
        <v>0</v>
      </c>
      <c r="CH1088" s="16">
        <f t="shared" si="366"/>
        <v>0</v>
      </c>
      <c r="CJ1088" s="16" t="e">
        <f t="shared" si="373"/>
        <v>#N/A</v>
      </c>
      <c r="CK1088" s="16" t="str">
        <f t="shared" si="374"/>
        <v/>
      </c>
    </row>
    <row r="1089" spans="73:89" ht="12" customHeight="1">
      <c r="BU1089" s="16">
        <f t="shared" si="375"/>
        <v>0</v>
      </c>
      <c r="BV1089" s="16">
        <f>IF($BY$12=1,NORMDIST(BY1089,$Y$6,$Y$8,TRUE),IF($BY$12=2,IF(BY1089&lt;=$BX$31,0,IF(BY1089&gt;=$BX$32,1,(BY1089-$BX$31)*$BX$33)),SUM($BU$42:BU1089)/$BV$40))</f>
        <v>0.9968809861969663</v>
      </c>
      <c r="BW1089" s="16">
        <f t="shared" si="367"/>
        <v>4.9603980875660231E-2</v>
      </c>
      <c r="BY1089" s="16">
        <f t="shared" si="368"/>
        <v>104.69999999999833</v>
      </c>
      <c r="BZ1089" s="16">
        <f t="shared" si="369"/>
        <v>4.7377250120020083E-4</v>
      </c>
      <c r="CA1089" s="16">
        <f t="shared" si="376"/>
        <v>-999</v>
      </c>
      <c r="CE1089" s="16" t="e">
        <f t="shared" si="370"/>
        <v>#N/A</v>
      </c>
      <c r="CF1089" s="16">
        <f t="shared" si="371"/>
        <v>99</v>
      </c>
      <c r="CG1089" s="16">
        <f t="shared" si="372"/>
        <v>0</v>
      </c>
      <c r="CH1089" s="16">
        <f t="shared" si="366"/>
        <v>0</v>
      </c>
      <c r="CJ1089" s="16" t="e">
        <f t="shared" si="373"/>
        <v>#N/A</v>
      </c>
      <c r="CK1089" s="16" t="str">
        <f t="shared" si="374"/>
        <v/>
      </c>
    </row>
    <row r="1090" spans="73:89" ht="12" customHeight="1">
      <c r="BU1090" s="16">
        <f t="shared" si="375"/>
        <v>0</v>
      </c>
      <c r="BV1090" s="16">
        <f>IF($BY$12=1,NORMDIST(BY1090,$Y$6,$Y$8,TRUE),IF($BY$12=2,IF(BY1090&lt;=$BX$31,0,IF(BY1090&gt;=$BX$32,1,(BY1090-$BX$31)*$BX$33)),SUM($BU$42:BU1090)/$BV$40))</f>
        <v>0.99692804078134867</v>
      </c>
      <c r="BW1090" s="16">
        <f t="shared" si="367"/>
        <v>4.8976385046298879E-2</v>
      </c>
      <c r="BY1090" s="16">
        <f t="shared" si="368"/>
        <v>104.79999999999832</v>
      </c>
      <c r="BZ1090" s="16">
        <f t="shared" si="369"/>
        <v>4.6733191838072198E-4</v>
      </c>
      <c r="CA1090" s="16">
        <f t="shared" si="376"/>
        <v>-999</v>
      </c>
      <c r="CE1090" s="16" t="e">
        <f t="shared" si="370"/>
        <v>#N/A</v>
      </c>
      <c r="CF1090" s="16">
        <f t="shared" si="371"/>
        <v>99</v>
      </c>
      <c r="CG1090" s="16">
        <f t="shared" si="372"/>
        <v>0</v>
      </c>
      <c r="CH1090" s="16">
        <f t="shared" si="366"/>
        <v>0</v>
      </c>
      <c r="CJ1090" s="16" t="e">
        <f t="shared" si="373"/>
        <v>#N/A</v>
      </c>
      <c r="CK1090" s="16" t="str">
        <f t="shared" si="374"/>
        <v/>
      </c>
    </row>
    <row r="1091" spans="73:89" ht="12" customHeight="1">
      <c r="BU1091" s="16">
        <f t="shared" si="375"/>
        <v>0</v>
      </c>
      <c r="BV1091" s="16">
        <f>IF($BY$12=1,NORMDIST(BY1091,$Y$6,$Y$8,TRUE),IF($BY$12=2,IF(BY1091&lt;=$BX$31,0,IF(BY1091&gt;=$BX$32,1,(BY1091-$BX$31)*$BX$33)),SUM($BU$42:BU1091)/$BV$40))</f>
        <v>0.99697445511499039</v>
      </c>
      <c r="BW1091" s="16">
        <f t="shared" si="367"/>
        <v>4.8355476708038664E-2</v>
      </c>
      <c r="BY1091" s="16">
        <f t="shared" si="368"/>
        <v>104.89999999999831</v>
      </c>
      <c r="BZ1091" s="16">
        <f t="shared" si="369"/>
        <v>4.6096736613955613E-4</v>
      </c>
      <c r="CA1091" s="16">
        <f t="shared" si="376"/>
        <v>-999</v>
      </c>
      <c r="CE1091" s="16" t="e">
        <f t="shared" si="370"/>
        <v>#N/A</v>
      </c>
      <c r="CF1091" s="16">
        <f t="shared" si="371"/>
        <v>99</v>
      </c>
      <c r="CG1091" s="16">
        <f t="shared" si="372"/>
        <v>0</v>
      </c>
      <c r="CH1091" s="16">
        <f t="shared" ref="CH1091:CH1154" si="377">IF(CB1091="",0,1)</f>
        <v>0</v>
      </c>
      <c r="CJ1091" s="16" t="e">
        <f t="shared" si="373"/>
        <v>#N/A</v>
      </c>
      <c r="CK1091" s="16" t="str">
        <f t="shared" si="374"/>
        <v/>
      </c>
    </row>
    <row r="1092" spans="73:89" ht="12" customHeight="1">
      <c r="BU1092" s="16">
        <f t="shared" si="375"/>
        <v>0</v>
      </c>
      <c r="BV1092" s="16">
        <f>IF($BY$12=1,NORMDIST(BY1092,$Y$6,$Y$8,TRUE),IF($BY$12=2,IF(BY1092&lt;=$BX$31,0,IF(BY1092&gt;=$BX$32,1,(BY1092-$BX$31)*$BX$33)),SUM($BU$42:BU1092)/$BV$40))</f>
        <v>0.99702023676494456</v>
      </c>
      <c r="BW1092" s="16">
        <f t="shared" si="367"/>
        <v>4.7741203133363365E-2</v>
      </c>
      <c r="BY1092" s="16">
        <f t="shared" si="368"/>
        <v>104.99999999999831</v>
      </c>
      <c r="BZ1092" s="16">
        <f t="shared" si="369"/>
        <v>4.5467812507965841E-4</v>
      </c>
      <c r="CA1092" s="16">
        <f t="shared" si="376"/>
        <v>-999</v>
      </c>
      <c r="CE1092" s="16" t="e">
        <f t="shared" si="370"/>
        <v>#N/A</v>
      </c>
      <c r="CF1092" s="16">
        <f t="shared" si="371"/>
        <v>99</v>
      </c>
      <c r="CG1092" s="16">
        <f t="shared" si="372"/>
        <v>0</v>
      </c>
      <c r="CH1092" s="16">
        <f t="shared" si="377"/>
        <v>0</v>
      </c>
      <c r="CJ1092" s="16" t="e">
        <f t="shared" si="373"/>
        <v>#N/A</v>
      </c>
      <c r="CK1092" s="16" t="str">
        <f t="shared" si="374"/>
        <v/>
      </c>
    </row>
    <row r="1093" spans="73:89" ht="12" customHeight="1">
      <c r="BU1093" s="16">
        <f t="shared" si="375"/>
        <v>0</v>
      </c>
      <c r="BV1093" s="16">
        <f>IF($BY$12=1,NORMDIST(BY1093,$Y$6,$Y$8,TRUE),IF($BY$12=2,IF(BY1093&lt;=$BX$31,0,IF(BY1093&gt;=$BX$32,1,(BY1093-$BX$31)*$BX$33)),SUM($BU$42:BU1093)/$BV$40))</f>
        <v>0.99706539322653476</v>
      </c>
      <c r="BW1093" s="16">
        <f t="shared" si="367"/>
        <v>4.7133511748054302E-2</v>
      </c>
      <c r="BY1093" s="16">
        <f t="shared" si="368"/>
        <v>105.0999999999983</v>
      </c>
      <c r="BZ1093" s="16">
        <f t="shared" si="369"/>
        <v>4.4846348000052394E-4</v>
      </c>
      <c r="CA1093" s="16">
        <f t="shared" si="376"/>
        <v>-999</v>
      </c>
      <c r="CE1093" s="16" t="e">
        <f t="shared" si="370"/>
        <v>#N/A</v>
      </c>
      <c r="CF1093" s="16">
        <f t="shared" si="371"/>
        <v>99</v>
      </c>
      <c r="CG1093" s="16">
        <f t="shared" si="372"/>
        <v>0</v>
      </c>
      <c r="CH1093" s="16">
        <f t="shared" si="377"/>
        <v>0</v>
      </c>
      <c r="CJ1093" s="16" t="e">
        <f t="shared" si="373"/>
        <v>#N/A</v>
      </c>
      <c r="CK1093" s="16" t="str">
        <f t="shared" si="374"/>
        <v/>
      </c>
    </row>
    <row r="1094" spans="73:89" ht="12" customHeight="1">
      <c r="BU1094" s="16">
        <f t="shared" si="375"/>
        <v>0</v>
      </c>
      <c r="BV1094" s="16">
        <f>IF($BY$12=1,NORMDIST(BY1094,$Y$6,$Y$8,TRUE),IF($BY$12=2,IF(BY1094&lt;=$BX$31,0,IF(BY1094&gt;=$BX$32,1,(BY1094-$BX$31)*$BX$33)),SUM($BU$42:BU1094)/$BV$40))</f>
        <v>0.99710993192377317</v>
      </c>
      <c r="BW1094" s="16">
        <f t="shared" si="367"/>
        <v>4.6532350134737971E-2</v>
      </c>
      <c r="BY1094" s="16">
        <f t="shared" si="368"/>
        <v>105.1999999999983</v>
      </c>
      <c r="BZ1094" s="16">
        <f t="shared" si="369"/>
        <v>4.4232271991196504E-4</v>
      </c>
      <c r="CA1094" s="16">
        <f t="shared" si="376"/>
        <v>-999</v>
      </c>
      <c r="CE1094" s="16" t="e">
        <f t="shared" si="370"/>
        <v>#N/A</v>
      </c>
      <c r="CF1094" s="16">
        <f t="shared" si="371"/>
        <v>99</v>
      </c>
      <c r="CG1094" s="16">
        <f t="shared" si="372"/>
        <v>0</v>
      </c>
      <c r="CH1094" s="16">
        <f t="shared" si="377"/>
        <v>0</v>
      </c>
      <c r="CJ1094" s="16" t="e">
        <f t="shared" si="373"/>
        <v>#N/A</v>
      </c>
      <c r="CK1094" s="16" t="str">
        <f t="shared" si="374"/>
        <v/>
      </c>
    </row>
    <row r="1095" spans="73:89" ht="12" customHeight="1">
      <c r="BU1095" s="16">
        <f t="shared" si="375"/>
        <v>0</v>
      </c>
      <c r="BV1095" s="16">
        <f>IF($BY$12=1,NORMDIST(BY1095,$Y$6,$Y$8,TRUE),IF($BY$12=2,IF(BY1095&lt;=$BX$31,0,IF(BY1095&gt;=$BX$32,1,(BY1095-$BX$31)*$BX$33)),SUM($BU$42:BU1095)/$BV$40))</f>
        <v>0.99715386020978636</v>
      </c>
      <c r="BW1095" s="16">
        <f t="shared" si="367"/>
        <v>4.5937666036366759E-2</v>
      </c>
      <c r="BY1095" s="16">
        <f t="shared" si="368"/>
        <v>105.29999999999829</v>
      </c>
      <c r="BZ1095" s="16">
        <f t="shared" si="369"/>
        <v>4.362551380471748E-4</v>
      </c>
      <c r="CA1095" s="16">
        <f t="shared" si="376"/>
        <v>-999</v>
      </c>
      <c r="CE1095" s="16" t="e">
        <f t="shared" si="370"/>
        <v>#N/A</v>
      </c>
      <c r="CF1095" s="16">
        <f t="shared" si="371"/>
        <v>99</v>
      </c>
      <c r="CG1095" s="16">
        <f t="shared" si="372"/>
        <v>0</v>
      </c>
      <c r="CH1095" s="16">
        <f t="shared" si="377"/>
        <v>0</v>
      </c>
      <c r="CJ1095" s="16" t="e">
        <f t="shared" si="373"/>
        <v>#N/A</v>
      </c>
      <c r="CK1095" s="16" t="str">
        <f t="shared" si="374"/>
        <v/>
      </c>
    </row>
    <row r="1096" spans="73:89" ht="12" customHeight="1">
      <c r="BU1096" s="16">
        <f t="shared" si="375"/>
        <v>0</v>
      </c>
      <c r="BV1096" s="16">
        <f>IF($BY$12=1,NORMDIST(BY1096,$Y$6,$Y$8,TRUE),IF($BY$12=2,IF(BY1096&lt;=$BX$31,0,IF(BY1096&gt;=$BX$32,1,(BY1096-$BX$31)*$BX$33)),SUM($BU$42:BU1096)/$BV$40))</f>
        <v>0.99719718536723434</v>
      </c>
      <c r="BW1096" s="16">
        <f t="shared" si="367"/>
        <v>4.534940735963329E-2</v>
      </c>
      <c r="BY1096" s="16">
        <f t="shared" si="368"/>
        <v>105.39999999999829</v>
      </c>
      <c r="BZ1096" s="16">
        <f t="shared" si="369"/>
        <v>4.3026003187508565E-4</v>
      </c>
      <c r="CA1096" s="16">
        <f t="shared" si="376"/>
        <v>-999</v>
      </c>
      <c r="CE1096" s="16" t="e">
        <f t="shared" si="370"/>
        <v>#N/A</v>
      </c>
      <c r="CF1096" s="16">
        <f t="shared" si="371"/>
        <v>99</v>
      </c>
      <c r="CG1096" s="16">
        <f t="shared" si="372"/>
        <v>0</v>
      </c>
      <c r="CH1096" s="16">
        <f t="shared" si="377"/>
        <v>0</v>
      </c>
      <c r="CJ1096" s="16" t="e">
        <f t="shared" si="373"/>
        <v>#N/A</v>
      </c>
      <c r="CK1096" s="16" t="str">
        <f t="shared" si="374"/>
        <v/>
      </c>
    </row>
    <row r="1097" spans="73:89" ht="12" customHeight="1">
      <c r="BU1097" s="16">
        <f t="shared" si="375"/>
        <v>0</v>
      </c>
      <c r="BV1097" s="16">
        <f>IF($BY$12=1,NORMDIST(BY1097,$Y$6,$Y$8,TRUE),IF($BY$12=2,IF(BY1097&lt;=$BX$31,0,IF(BY1097&gt;=$BX$32,1,(BY1097-$BX$31)*$BX$33)),SUM($BU$42:BU1097)/$BV$40))</f>
        <v>0.99723991460873673</v>
      </c>
      <c r="BW1097" s="16">
        <f t="shared" si="367"/>
        <v>4.476752217831919E-2</v>
      </c>
      <c r="BY1097" s="16">
        <f t="shared" si="368"/>
        <v>105.49999999999828</v>
      </c>
      <c r="BZ1097" s="16">
        <f t="shared" si="369"/>
        <v>4.2433670311203716E-4</v>
      </c>
      <c r="CA1097" s="16">
        <f t="shared" si="376"/>
        <v>-999</v>
      </c>
      <c r="CE1097" s="16" t="e">
        <f t="shared" si="370"/>
        <v>#N/A</v>
      </c>
      <c r="CF1097" s="16">
        <f t="shared" si="371"/>
        <v>99</v>
      </c>
      <c r="CG1097" s="16">
        <f t="shared" si="372"/>
        <v>0</v>
      </c>
      <c r="CH1097" s="16">
        <f t="shared" si="377"/>
        <v>0</v>
      </c>
      <c r="CJ1097" s="16" t="e">
        <f t="shared" si="373"/>
        <v>#N/A</v>
      </c>
      <c r="CK1097" s="16" t="str">
        <f t="shared" si="374"/>
        <v/>
      </c>
    </row>
    <row r="1098" spans="73:89" ht="12" customHeight="1">
      <c r="BU1098" s="16">
        <f t="shared" si="375"/>
        <v>0</v>
      </c>
      <c r="BV1098" s="16">
        <f>IF($BY$12=1,NORMDIST(BY1098,$Y$6,$Y$8,TRUE),IF($BY$12=2,IF(BY1098&lt;=$BX$31,0,IF(BY1098&gt;=$BX$32,1,(BY1098-$BX$31)*$BX$33)),SUM($BU$42:BU1098)/$BV$40))</f>
        <v>0.99728205507729806</v>
      </c>
      <c r="BW1098" s="16">
        <f t="shared" si="367"/>
        <v>4.4191958736577851E-2</v>
      </c>
      <c r="BY1098" s="16">
        <f t="shared" si="368"/>
        <v>105.59999999999827</v>
      </c>
      <c r="BZ1098" s="16">
        <f t="shared" si="369"/>
        <v>4.1848445773275166E-4</v>
      </c>
      <c r="CA1098" s="16">
        <f t="shared" si="376"/>
        <v>-999</v>
      </c>
      <c r="CE1098" s="16" t="e">
        <f t="shared" si="370"/>
        <v>#N/A</v>
      </c>
      <c r="CF1098" s="16">
        <f t="shared" si="371"/>
        <v>99</v>
      </c>
      <c r="CG1098" s="16">
        <f t="shared" si="372"/>
        <v>0</v>
      </c>
      <c r="CH1098" s="16">
        <f t="shared" si="377"/>
        <v>0</v>
      </c>
      <c r="CJ1098" s="16" t="e">
        <f t="shared" si="373"/>
        <v>#N/A</v>
      </c>
      <c r="CK1098" s="16" t="str">
        <f t="shared" si="374"/>
        <v/>
      </c>
    </row>
    <row r="1099" spans="73:89" ht="12" customHeight="1">
      <c r="BU1099" s="16">
        <f t="shared" si="375"/>
        <v>0</v>
      </c>
      <c r="BV1099" s="16">
        <f>IF($BY$12=1,NORMDIST(BY1099,$Y$6,$Y$8,TRUE),IF($BY$12=2,IF(BY1099&lt;=$BX$31,0,IF(BY1099&gt;=$BX$32,1,(BY1099-$BX$31)*$BX$33)),SUM($BU$42:BU1099)/$BV$40))</f>
        <v>0.99732361384673274</v>
      </c>
      <c r="BW1099" s="16">
        <f t="shared" si="367"/>
        <v>4.3622665452152376E-2</v>
      </c>
      <c r="BY1099" s="16">
        <f t="shared" si="368"/>
        <v>105.69999999999827</v>
      </c>
      <c r="BZ1099" s="16">
        <f t="shared" si="369"/>
        <v>4.1270260598063474E-4</v>
      </c>
      <c r="CA1099" s="16">
        <f t="shared" si="376"/>
        <v>-999</v>
      </c>
      <c r="CE1099" s="16" t="e">
        <f t="shared" si="370"/>
        <v>#N/A</v>
      </c>
      <c r="CF1099" s="16">
        <f t="shared" si="371"/>
        <v>99</v>
      </c>
      <c r="CG1099" s="16">
        <f t="shared" si="372"/>
        <v>0</v>
      </c>
      <c r="CH1099" s="16">
        <f t="shared" si="377"/>
        <v>0</v>
      </c>
      <c r="CJ1099" s="16" t="e">
        <f t="shared" si="373"/>
        <v>#N/A</v>
      </c>
      <c r="CK1099" s="16" t="str">
        <f t="shared" si="374"/>
        <v/>
      </c>
    </row>
    <row r="1100" spans="73:89" ht="12" customHeight="1">
      <c r="BU1100" s="16">
        <f t="shared" si="375"/>
        <v>0</v>
      </c>
      <c r="BV1100" s="16">
        <f>IF($BY$12=1,NORMDIST(BY1100,$Y$6,$Y$8,TRUE),IF($BY$12=2,IF(BY1100&lt;=$BX$31,0,IF(BY1100&gt;=$BX$32,1,(BY1100-$BX$31)*$BX$33)),SUM($BU$42:BU1100)/$BV$40))</f>
        <v>0.99736459792209464</v>
      </c>
      <c r="BW1100" s="16">
        <f t="shared" si="367"/>
        <v>4.3059590919528185E-2</v>
      </c>
      <c r="BY1100" s="16">
        <f t="shared" si="368"/>
        <v>105.79999999999826</v>
      </c>
      <c r="BZ1100" s="16">
        <f t="shared" si="369"/>
        <v>4.0699046237739975E-4</v>
      </c>
      <c r="CA1100" s="16">
        <f t="shared" si="376"/>
        <v>-999</v>
      </c>
      <c r="CE1100" s="16" t="e">
        <f t="shared" si="370"/>
        <v>#N/A</v>
      </c>
      <c r="CF1100" s="16">
        <f t="shared" si="371"/>
        <v>99</v>
      </c>
      <c r="CG1100" s="16">
        <f t="shared" si="372"/>
        <v>0</v>
      </c>
      <c r="CH1100" s="16">
        <f t="shared" si="377"/>
        <v>0</v>
      </c>
      <c r="CJ1100" s="16" t="e">
        <f t="shared" si="373"/>
        <v>#N/A</v>
      </c>
      <c r="CK1100" s="16" t="str">
        <f t="shared" si="374"/>
        <v/>
      </c>
    </row>
    <row r="1101" spans="73:89" ht="12" customHeight="1">
      <c r="BU1101" s="16">
        <f t="shared" si="375"/>
        <v>0</v>
      </c>
      <c r="BV1101" s="16">
        <f>IF($BY$12=1,NORMDIST(BY1101,$Y$6,$Y$8,TRUE),IF($BY$12=2,IF(BY1101&lt;=$BX$31,0,IF(BY1101&gt;=$BX$32,1,(BY1101-$BX$31)*$BX$33)),SUM($BU$42:BU1101)/$BV$40))</f>
        <v>0.99740501424010186</v>
      </c>
      <c r="BW1101" s="16">
        <f t="shared" si="367"/>
        <v>4.2502683913021498E-2</v>
      </c>
      <c r="BY1101" s="16">
        <f t="shared" si="368"/>
        <v>105.89999999999826</v>
      </c>
      <c r="BZ1101" s="16">
        <f t="shared" si="369"/>
        <v>4.0134734573203207E-4</v>
      </c>
      <c r="CA1101" s="16">
        <f t="shared" si="376"/>
        <v>-999</v>
      </c>
      <c r="CE1101" s="16" t="e">
        <f t="shared" si="370"/>
        <v>#N/A</v>
      </c>
      <c r="CF1101" s="16">
        <f t="shared" si="371"/>
        <v>99</v>
      </c>
      <c r="CG1101" s="16">
        <f t="shared" si="372"/>
        <v>0</v>
      </c>
      <c r="CH1101" s="16">
        <f t="shared" si="377"/>
        <v>0</v>
      </c>
      <c r="CJ1101" s="16" t="e">
        <f t="shared" si="373"/>
        <v>#N/A</v>
      </c>
      <c r="CK1101" s="16" t="str">
        <f t="shared" si="374"/>
        <v/>
      </c>
    </row>
    <row r="1102" spans="73:89" ht="12" customHeight="1">
      <c r="BU1102" s="16">
        <f t="shared" si="375"/>
        <v>0</v>
      </c>
      <c r="BV1102" s="16">
        <f>IF($BY$12=1,NORMDIST(BY1102,$Y$6,$Y$8,TRUE),IF($BY$12=2,IF(BY1102&lt;=$BX$31,0,IF(BY1102&gt;=$BX$32,1,(BY1102-$BX$31)*$BX$33)),SUM($BU$42:BU1102)/$BV$40))</f>
        <v>0.99744486966957147</v>
      </c>
      <c r="BW1102" s="16">
        <f t="shared" si="367"/>
        <v>4.195189338980336E-2</v>
      </c>
      <c r="BY1102" s="16">
        <f t="shared" si="368"/>
        <v>105.99999999999825</v>
      </c>
      <c r="BZ1102" s="16">
        <f t="shared" si="369"/>
        <v>3.9577257914909486E-4</v>
      </c>
      <c r="CA1102" s="16">
        <f t="shared" si="376"/>
        <v>-999</v>
      </c>
      <c r="CE1102" s="16" t="e">
        <f t="shared" si="370"/>
        <v>#N/A</v>
      </c>
      <c r="CF1102" s="16">
        <f t="shared" si="371"/>
        <v>99</v>
      </c>
      <c r="CG1102" s="16">
        <f t="shared" si="372"/>
        <v>0</v>
      </c>
      <c r="CH1102" s="16">
        <f t="shared" si="377"/>
        <v>0</v>
      </c>
      <c r="CJ1102" s="16" t="e">
        <f t="shared" si="373"/>
        <v>#N/A</v>
      </c>
      <c r="CK1102" s="16" t="str">
        <f t="shared" si="374"/>
        <v/>
      </c>
    </row>
    <row r="1103" spans="73:89" ht="12" customHeight="1">
      <c r="BU1103" s="16">
        <f t="shared" si="375"/>
        <v>0</v>
      </c>
      <c r="BV1103" s="16">
        <f>IF($BY$12=1,NORMDIST(BY1103,$Y$6,$Y$8,TRUE),IF($BY$12=2,IF(BY1103&lt;=$BX$31,0,IF(BY1103&gt;=$BX$32,1,(BY1103-$BX$31)*$BX$33)),SUM($BU$42:BU1103)/$BV$40))</f>
        <v>0.99748417101184261</v>
      </c>
      <c r="BW1103" s="16">
        <f t="shared" si="367"/>
        <v>4.1407168492859976E-2</v>
      </c>
      <c r="BY1103" s="16">
        <f t="shared" si="368"/>
        <v>106.09999999999825</v>
      </c>
      <c r="BZ1103" s="16">
        <f t="shared" si="369"/>
        <v>3.90265490036387E-4</v>
      </c>
      <c r="CA1103" s="16">
        <f t="shared" si="376"/>
        <v>-999</v>
      </c>
      <c r="CE1103" s="16" t="e">
        <f t="shared" si="370"/>
        <v>#N/A</v>
      </c>
      <c r="CF1103" s="16">
        <f t="shared" si="371"/>
        <v>99</v>
      </c>
      <c r="CG1103" s="16">
        <f t="shared" si="372"/>
        <v>0</v>
      </c>
      <c r="CH1103" s="16">
        <f t="shared" si="377"/>
        <v>0</v>
      </c>
      <c r="CJ1103" s="16" t="e">
        <f t="shared" si="373"/>
        <v>#N/A</v>
      </c>
      <c r="CK1103" s="16" t="str">
        <f t="shared" si="374"/>
        <v/>
      </c>
    </row>
    <row r="1104" spans="73:89" ht="12" customHeight="1">
      <c r="BU1104" s="16">
        <f t="shared" si="375"/>
        <v>0</v>
      </c>
      <c r="BV1104" s="16">
        <f>IF($BY$12=1,NORMDIST(BY1104,$Y$6,$Y$8,TRUE),IF($BY$12=2,IF(BY1104&lt;=$BX$31,0,IF(BY1104&gt;=$BX$32,1,(BY1104-$BX$31)*$BX$33)),SUM($BU$42:BU1104)/$BV$40))</f>
        <v>0.9975229250012132</v>
      </c>
      <c r="BW1104" s="16">
        <f t="shared" si="367"/>
        <v>4.0868458553889604E-2</v>
      </c>
      <c r="BY1104" s="16">
        <f t="shared" si="368"/>
        <v>106.19999999999824</v>
      </c>
      <c r="BZ1104" s="16">
        <f t="shared" si="369"/>
        <v>3.848254101119612E-4</v>
      </c>
      <c r="CA1104" s="16">
        <f t="shared" si="376"/>
        <v>-999</v>
      </c>
      <c r="CE1104" s="16" t="e">
        <f t="shared" si="370"/>
        <v>#N/A</v>
      </c>
      <c r="CF1104" s="16">
        <f t="shared" si="371"/>
        <v>99</v>
      </c>
      <c r="CG1104" s="16">
        <f t="shared" si="372"/>
        <v>0</v>
      </c>
      <c r="CH1104" s="16">
        <f t="shared" si="377"/>
        <v>0</v>
      </c>
      <c r="CJ1104" s="16" t="e">
        <f t="shared" si="373"/>
        <v>#N/A</v>
      </c>
      <c r="CK1104" s="16" t="str">
        <f t="shared" si="374"/>
        <v/>
      </c>
    </row>
    <row r="1105" spans="73:89" ht="12" customHeight="1">
      <c r="BU1105" s="16">
        <f t="shared" si="375"/>
        <v>0</v>
      </c>
      <c r="BV1105" s="16">
        <f>IF($BY$12=1,NORMDIST(BY1105,$Y$6,$Y$8,TRUE),IF($BY$12=2,IF(BY1105&lt;=$BX$31,0,IF(BY1105&gt;=$BX$32,1,(BY1105-$BX$31)*$BX$33)),SUM($BU$42:BU1105)/$BV$40))</f>
        <v>0.99756113830536775</v>
      </c>
      <c r="BW1105" s="16">
        <f t="shared" si="367"/>
        <v>4.0335713096136434E-2</v>
      </c>
      <c r="BY1105" s="16">
        <f t="shared" si="368"/>
        <v>106.29999999999824</v>
      </c>
      <c r="BZ1105" s="16">
        <f t="shared" si="369"/>
        <v>3.7945167541050898E-4</v>
      </c>
      <c r="CA1105" s="16">
        <f t="shared" si="376"/>
        <v>-999</v>
      </c>
      <c r="CE1105" s="16" t="e">
        <f t="shared" si="370"/>
        <v>#N/A</v>
      </c>
      <c r="CF1105" s="16">
        <f t="shared" si="371"/>
        <v>99</v>
      </c>
      <c r="CG1105" s="16">
        <f t="shared" si="372"/>
        <v>0</v>
      </c>
      <c r="CH1105" s="16">
        <f t="shared" si="377"/>
        <v>0</v>
      </c>
      <c r="CJ1105" s="16" t="e">
        <f t="shared" si="373"/>
        <v>#N/A</v>
      </c>
      <c r="CK1105" s="16" t="str">
        <f t="shared" si="374"/>
        <v/>
      </c>
    </row>
    <row r="1106" spans="73:89" ht="12" customHeight="1">
      <c r="BU1106" s="16">
        <f t="shared" si="375"/>
        <v>0</v>
      </c>
      <c r="BV1106" s="16">
        <f>IF($BY$12=1,NORMDIST(BY1106,$Y$6,$Y$8,TRUE),IF($BY$12=2,IF(BY1106&lt;=$BX$31,0,IF(BY1106&gt;=$BX$32,1,(BY1106-$BX$31)*$BX$33)),SUM($BU$42:BU1106)/$BV$40))</f>
        <v>0.99759881752581003</v>
      </c>
      <c r="BW1106" s="16">
        <f t="shared" si="367"/>
        <v>3.9808881837161851E-2</v>
      </c>
      <c r="BY1106" s="16">
        <f t="shared" si="368"/>
        <v>106.39999999999823</v>
      </c>
      <c r="BZ1106" s="16">
        <f t="shared" si="369"/>
        <v>3.7414362628912138E-4</v>
      </c>
      <c r="CA1106" s="16">
        <f t="shared" si="376"/>
        <v>-999</v>
      </c>
      <c r="CE1106" s="16" t="e">
        <f t="shared" si="370"/>
        <v>#N/A</v>
      </c>
      <c r="CF1106" s="16">
        <f t="shared" si="371"/>
        <v>99</v>
      </c>
      <c r="CG1106" s="16">
        <f t="shared" si="372"/>
        <v>0</v>
      </c>
      <c r="CH1106" s="16">
        <f t="shared" si="377"/>
        <v>0</v>
      </c>
      <c r="CJ1106" s="16" t="e">
        <f t="shared" si="373"/>
        <v>#N/A</v>
      </c>
      <c r="CK1106" s="16" t="str">
        <f t="shared" si="374"/>
        <v/>
      </c>
    </row>
    <row r="1107" spans="73:89" ht="12" customHeight="1">
      <c r="BU1107" s="16">
        <f t="shared" si="375"/>
        <v>0</v>
      </c>
      <c r="BV1107" s="16">
        <f>IF($BY$12=1,NORMDIST(BY1107,$Y$6,$Y$8,TRUE),IF($BY$12=2,IF(BY1107&lt;=$BX$31,0,IF(BY1107&gt;=$BX$32,1,(BY1107-$BX$31)*$BX$33)),SUM($BU$42:BU1107)/$BV$40))</f>
        <v>0.99763596919829634</v>
      </c>
      <c r="BW1107" s="16">
        <f t="shared" ref="BW1107:BW1170" si="378">BY1107*BZ1107</f>
        <v>3.9287914691553349E-2</v>
      </c>
      <c r="BY1107" s="16">
        <f t="shared" ref="BY1107:BY1170" si="379">BY1106+$BZ$1</f>
        <v>106.49999999999822</v>
      </c>
      <c r="BZ1107" s="16">
        <f t="shared" si="369"/>
        <v>3.6890060743243196E-4</v>
      </c>
      <c r="CA1107" s="16">
        <f t="shared" si="376"/>
        <v>-999</v>
      </c>
      <c r="CE1107" s="16" t="e">
        <f t="shared" si="370"/>
        <v>#N/A</v>
      </c>
      <c r="CF1107" s="16">
        <f t="shared" si="371"/>
        <v>99</v>
      </c>
      <c r="CG1107" s="16">
        <f t="shared" si="372"/>
        <v>0</v>
      </c>
      <c r="CH1107" s="16">
        <f t="shared" si="377"/>
        <v>0</v>
      </c>
      <c r="CJ1107" s="16" t="e">
        <f t="shared" si="373"/>
        <v>#N/A</v>
      </c>
      <c r="CK1107" s="16" t="str">
        <f t="shared" si="374"/>
        <v/>
      </c>
    </row>
    <row r="1108" spans="73:89" ht="12" customHeight="1">
      <c r="BU1108" s="16">
        <f t="shared" si="375"/>
        <v>0</v>
      </c>
      <c r="BV1108" s="16">
        <f>IF($BY$12=1,NORMDIST(BY1108,$Y$6,$Y$8,TRUE),IF($BY$12=2,IF(BY1108&lt;=$BX$31,0,IF(BY1108&gt;=$BX$32,1,(BY1108-$BX$31)*$BX$33)),SUM($BU$42:BU1108)/$BV$40))</f>
        <v>0.99767259979326761</v>
      </c>
      <c r="BW1108" s="16">
        <f t="shared" si="378"/>
        <v>3.8772761773571814E-2</v>
      </c>
      <c r="BY1108" s="16">
        <f t="shared" si="379"/>
        <v>106.59999999999822</v>
      </c>
      <c r="BZ1108" s="16">
        <f t="shared" si="369"/>
        <v>3.6372196785715256E-4</v>
      </c>
      <c r="CA1108" s="16">
        <f t="shared" si="376"/>
        <v>-999</v>
      </c>
      <c r="CE1108" s="16" t="e">
        <f t="shared" si="370"/>
        <v>#N/A</v>
      </c>
      <c r="CF1108" s="16">
        <f t="shared" si="371"/>
        <v>99</v>
      </c>
      <c r="CG1108" s="16">
        <f t="shared" si="372"/>
        <v>0</v>
      </c>
      <c r="CH1108" s="16">
        <f t="shared" si="377"/>
        <v>0</v>
      </c>
      <c r="CJ1108" s="16" t="e">
        <f t="shared" si="373"/>
        <v>#N/A</v>
      </c>
      <c r="CK1108" s="16" t="str">
        <f t="shared" si="374"/>
        <v/>
      </c>
    </row>
    <row r="1109" spans="73:89" ht="12" customHeight="1">
      <c r="BU1109" s="16">
        <f t="shared" si="375"/>
        <v>0</v>
      </c>
      <c r="BV1109" s="16">
        <f>IF($BY$12=1,NORMDIST(BY1109,$Y$6,$Y$8,TRUE),IF($BY$12=2,IF(BY1109&lt;=$BX$31,0,IF(BY1109&gt;=$BX$32,1,(BY1109-$BX$31)*$BX$33)),SUM($BU$42:BU1109)/$BV$40))</f>
        <v>0.99770871571628417</v>
      </c>
      <c r="BW1109" s="16">
        <f t="shared" si="378"/>
        <v>3.8263373399737101E-2</v>
      </c>
      <c r="BY1109" s="16">
        <f t="shared" si="379"/>
        <v>106.69999999999821</v>
      </c>
      <c r="BZ1109" s="16">
        <f t="shared" si="369"/>
        <v>3.5860706091600509E-4</v>
      </c>
      <c r="CA1109" s="16">
        <f t="shared" si="376"/>
        <v>-999</v>
      </c>
      <c r="CE1109" s="16" t="e">
        <f t="shared" si="370"/>
        <v>#N/A</v>
      </c>
      <c r="CF1109" s="16">
        <f t="shared" si="371"/>
        <v>99</v>
      </c>
      <c r="CG1109" s="16">
        <f t="shared" si="372"/>
        <v>0</v>
      </c>
      <c r="CH1109" s="16">
        <f t="shared" si="377"/>
        <v>0</v>
      </c>
      <c r="CJ1109" s="16" t="e">
        <f t="shared" si="373"/>
        <v>#N/A</v>
      </c>
      <c r="CK1109" s="16" t="str">
        <f t="shared" si="374"/>
        <v/>
      </c>
    </row>
    <row r="1110" spans="73:89" ht="12" customHeight="1">
      <c r="BU1110" s="16">
        <f t="shared" si="375"/>
        <v>0</v>
      </c>
      <c r="BV1110" s="16">
        <f>IF($BY$12=1,NORMDIST(BY1110,$Y$6,$Y$8,TRUE),IF($BY$12=2,IF(BY1110&lt;=$BX$31,0,IF(BY1110&gt;=$BX$32,1,(BY1110-$BX$31)*$BX$33)),SUM($BU$42:BU1110)/$BV$40))</f>
        <v>0.99774432330845708</v>
      </c>
      <c r="BW1110" s="16">
        <f t="shared" si="378"/>
        <v>3.7759700091352842E-2</v>
      </c>
      <c r="BY1110" s="16">
        <f t="shared" si="379"/>
        <v>106.79999999999821</v>
      </c>
      <c r="BZ1110" s="16">
        <f t="shared" si="369"/>
        <v>3.5355524430106253E-4</v>
      </c>
      <c r="CA1110" s="16">
        <f t="shared" si="376"/>
        <v>-999</v>
      </c>
      <c r="CE1110" s="16" t="e">
        <f t="shared" si="370"/>
        <v>#N/A</v>
      </c>
      <c r="CF1110" s="16">
        <f t="shared" si="371"/>
        <v>99</v>
      </c>
      <c r="CG1110" s="16">
        <f t="shared" si="372"/>
        <v>0</v>
      </c>
      <c r="CH1110" s="16">
        <f t="shared" si="377"/>
        <v>0</v>
      </c>
      <c r="CJ1110" s="16" t="e">
        <f t="shared" si="373"/>
        <v>#N/A</v>
      </c>
      <c r="CK1110" s="16" t="str">
        <f t="shared" si="374"/>
        <v/>
      </c>
    </row>
    <row r="1111" spans="73:89" ht="12" customHeight="1">
      <c r="BU1111" s="16">
        <f t="shared" si="375"/>
        <v>0</v>
      </c>
      <c r="BV1111" s="16">
        <f>IF($BY$12=1,NORMDIST(BY1111,$Y$6,$Y$8,TRUE),IF($BY$12=2,IF(BY1111&lt;=$BX$31,0,IF(BY1111&gt;=$BX$32,1,(BY1111-$BX$31)*$BX$33)),SUM($BU$42:BU1111)/$BV$40))</f>
        <v>0.99777942884688486</v>
      </c>
      <c r="BW1111" s="16">
        <f t="shared" si="378"/>
        <v>3.7261692576970554E-2</v>
      </c>
      <c r="BY1111" s="16">
        <f t="shared" si="379"/>
        <v>106.8999999999982</v>
      </c>
      <c r="BZ1111" s="16">
        <f t="shared" si="369"/>
        <v>3.4856588004650313E-4</v>
      </c>
      <c r="CA1111" s="16">
        <f t="shared" si="376"/>
        <v>-999</v>
      </c>
      <c r="CE1111" s="16" t="e">
        <f t="shared" si="370"/>
        <v>#N/A</v>
      </c>
      <c r="CF1111" s="16">
        <f t="shared" si="371"/>
        <v>99</v>
      </c>
      <c r="CG1111" s="16">
        <f t="shared" si="372"/>
        <v>0</v>
      </c>
      <c r="CH1111" s="16">
        <f t="shared" si="377"/>
        <v>0</v>
      </c>
      <c r="CJ1111" s="16" t="e">
        <f t="shared" si="373"/>
        <v>#N/A</v>
      </c>
      <c r="CK1111" s="16" t="str">
        <f t="shared" si="374"/>
        <v/>
      </c>
    </row>
    <row r="1112" spans="73:89" ht="12" customHeight="1">
      <c r="BU1112" s="16">
        <f t="shared" si="375"/>
        <v>0</v>
      </c>
      <c r="BV1112" s="16">
        <f>IF($BY$12=1,NORMDIST(BY1112,$Y$6,$Y$8,TRUE),IF($BY$12=2,IF(BY1112&lt;=$BX$31,0,IF(BY1112&gt;=$BX$32,1,(BY1112-$BX$31)*$BX$33)),SUM($BU$42:BU1112)/$BV$40))</f>
        <v>0.99781403854508577</v>
      </c>
      <c r="BW1112" s="16">
        <f t="shared" si="378"/>
        <v>3.6769301794793589E-2</v>
      </c>
      <c r="BY1112" s="16">
        <f t="shared" si="379"/>
        <v>106.9999999999982</v>
      </c>
      <c r="BZ1112" s="16">
        <f t="shared" si="369"/>
        <v>3.4363833453078697E-4</v>
      </c>
      <c r="CA1112" s="16">
        <f t="shared" si="376"/>
        <v>-999</v>
      </c>
      <c r="CE1112" s="16" t="e">
        <f t="shared" si="370"/>
        <v>#N/A</v>
      </c>
      <c r="CF1112" s="16">
        <f t="shared" si="371"/>
        <v>99</v>
      </c>
      <c r="CG1112" s="16">
        <f t="shared" si="372"/>
        <v>0</v>
      </c>
      <c r="CH1112" s="16">
        <f t="shared" si="377"/>
        <v>0</v>
      </c>
      <c r="CJ1112" s="16" t="e">
        <f t="shared" si="373"/>
        <v>#N/A</v>
      </c>
      <c r="CK1112" s="16" t="str">
        <f t="shared" si="374"/>
        <v/>
      </c>
    </row>
    <row r="1113" spans="73:89" ht="12" customHeight="1">
      <c r="BU1113" s="16">
        <f t="shared" si="375"/>
        <v>0</v>
      </c>
      <c r="BV1113" s="16">
        <f>IF($BY$12=1,NORMDIST(BY1113,$Y$6,$Y$8,TRUE),IF($BY$12=2,IF(BY1113&lt;=$BX$31,0,IF(BY1113&gt;=$BX$32,1,(BY1113-$BX$31)*$BX$33)),SUM($BU$42:BU1113)/$BV$40))</f>
        <v>0.99784815855343489</v>
      </c>
      <c r="BW1113" s="16">
        <f t="shared" si="378"/>
        <v>3.628247889502146E-2</v>
      </c>
      <c r="BY1113" s="16">
        <f t="shared" si="379"/>
        <v>107.09999999999819</v>
      </c>
      <c r="BZ1113" s="16">
        <f t="shared" si="369"/>
        <v>3.3877197847826399E-4</v>
      </c>
      <c r="CA1113" s="16">
        <f t="shared" si="376"/>
        <v>-999</v>
      </c>
      <c r="CE1113" s="16" t="e">
        <f t="shared" si="370"/>
        <v>#N/A</v>
      </c>
      <c r="CF1113" s="16">
        <f t="shared" si="371"/>
        <v>99</v>
      </c>
      <c r="CG1113" s="16">
        <f t="shared" si="372"/>
        <v>0</v>
      </c>
      <c r="CH1113" s="16">
        <f t="shared" si="377"/>
        <v>0</v>
      </c>
      <c r="CJ1113" s="16" t="e">
        <f t="shared" si="373"/>
        <v>#N/A</v>
      </c>
      <c r="CK1113" s="16" t="str">
        <f t="shared" si="374"/>
        <v/>
      </c>
    </row>
    <row r="1114" spans="73:89" ht="12" customHeight="1">
      <c r="BU1114" s="16">
        <f t="shared" si="375"/>
        <v>0</v>
      </c>
      <c r="BV1114" s="16">
        <f>IF($BY$12=1,NORMDIST(BY1114,$Y$6,$Y$8,TRUE),IF($BY$12=2,IF(BY1114&lt;=$BX$31,0,IF(BY1114&gt;=$BX$32,1,(BY1114-$BX$31)*$BX$33)),SUM($BU$42:BU1114)/$BV$40))</f>
        <v>0.99788179495959473</v>
      </c>
      <c r="BW1114" s="16">
        <f t="shared" si="378"/>
        <v>3.580117524213472E-2</v>
      </c>
      <c r="BY1114" s="16">
        <f t="shared" si="379"/>
        <v>107.19999999999818</v>
      </c>
      <c r="BZ1114" s="16">
        <f t="shared" si="369"/>
        <v>3.3396618696021759E-4</v>
      </c>
      <c r="CA1114" s="16">
        <f t="shared" si="376"/>
        <v>-999</v>
      </c>
      <c r="CE1114" s="16" t="e">
        <f t="shared" si="370"/>
        <v>#N/A</v>
      </c>
      <c r="CF1114" s="16">
        <f t="shared" si="371"/>
        <v>99</v>
      </c>
      <c r="CG1114" s="16">
        <f t="shared" si="372"/>
        <v>0</v>
      </c>
      <c r="CH1114" s="16">
        <f t="shared" si="377"/>
        <v>0</v>
      </c>
      <c r="CJ1114" s="16" t="e">
        <f t="shared" si="373"/>
        <v>#N/A</v>
      </c>
      <c r="CK1114" s="16" t="str">
        <f t="shared" si="374"/>
        <v/>
      </c>
    </row>
    <row r="1115" spans="73:89" ht="12" customHeight="1">
      <c r="BU1115" s="16">
        <f t="shared" si="375"/>
        <v>0</v>
      </c>
      <c r="BV1115" s="16">
        <f>IF($BY$12=1,NORMDIST(BY1115,$Y$6,$Y$8,TRUE),IF($BY$12=2,IF(BY1115&lt;=$BX$31,0,IF(BY1115&gt;=$BX$32,1,(BY1115-$BX$31)*$BX$33)),SUM($BU$42:BU1115)/$BV$40))</f>
        <v>0.99791495378895401</v>
      </c>
      <c r="BW1115" s="16">
        <f t="shared" si="378"/>
        <v>3.5325342417121E-2</v>
      </c>
      <c r="BY1115" s="16">
        <f t="shared" si="379"/>
        <v>107.29999999999818</v>
      </c>
      <c r="BZ1115" s="16">
        <f t="shared" si="369"/>
        <v>3.292203393953551E-4</v>
      </c>
      <c r="CA1115" s="16">
        <f t="shared" si="376"/>
        <v>-999</v>
      </c>
      <c r="CE1115" s="16" t="e">
        <f t="shared" si="370"/>
        <v>#N/A</v>
      </c>
      <c r="CF1115" s="16">
        <f t="shared" si="371"/>
        <v>99</v>
      </c>
      <c r="CG1115" s="16">
        <f t="shared" si="372"/>
        <v>0</v>
      </c>
      <c r="CH1115" s="16">
        <f t="shared" si="377"/>
        <v>0</v>
      </c>
      <c r="CJ1115" s="16" t="e">
        <f t="shared" si="373"/>
        <v>#N/A</v>
      </c>
      <c r="CK1115" s="16" t="str">
        <f t="shared" si="374"/>
        <v/>
      </c>
    </row>
    <row r="1116" spans="73:89" ht="12" customHeight="1">
      <c r="BU1116" s="16">
        <f t="shared" si="375"/>
        <v>0</v>
      </c>
      <c r="BV1116" s="16">
        <f>IF($BY$12=1,NORMDIST(BY1116,$Y$6,$Y$8,TRUE),IF($BY$12=2,IF(BY1116&lt;=$BX$31,0,IF(BY1116&gt;=$BX$32,1,(BY1116-$BX$31)*$BX$33)),SUM($BU$42:BU1116)/$BV$40))</f>
        <v>0.99794764100505973</v>
      </c>
      <c r="BW1116" s="16">
        <f t="shared" si="378"/>
        <v>3.4854932219642927E-2</v>
      </c>
      <c r="BY1116" s="16">
        <f t="shared" si="379"/>
        <v>107.39999999999817</v>
      </c>
      <c r="BZ1116" s="16">
        <f t="shared" si="369"/>
        <v>3.2453381954975342E-4</v>
      </c>
      <c r="CA1116" s="16">
        <f t="shared" si="376"/>
        <v>-999</v>
      </c>
      <c r="CE1116" s="16" t="e">
        <f t="shared" si="370"/>
        <v>#N/A</v>
      </c>
      <c r="CF1116" s="16">
        <f t="shared" si="371"/>
        <v>99</v>
      </c>
      <c r="CG1116" s="16">
        <f t="shared" si="372"/>
        <v>0</v>
      </c>
      <c r="CH1116" s="16">
        <f t="shared" si="377"/>
        <v>0</v>
      </c>
      <c r="CJ1116" s="16" t="e">
        <f t="shared" si="373"/>
        <v>#N/A</v>
      </c>
      <c r="CK1116" s="16" t="str">
        <f t="shared" si="374"/>
        <v/>
      </c>
    </row>
    <row r="1117" spans="73:89" ht="12" customHeight="1">
      <c r="BU1117" s="16">
        <f t="shared" si="375"/>
        <v>0</v>
      </c>
      <c r="BV1117" s="16">
        <f>IF($BY$12=1,NORMDIST(BY1117,$Y$6,$Y$8,TRUE),IF($BY$12=2,IF(BY1117&lt;=$BX$31,0,IF(BY1117&gt;=$BX$32,1,(BY1117-$BX$31)*$BX$33)),SUM($BU$42:BU1117)/$BV$40))</f>
        <v>0.99797986251005333</v>
      </c>
      <c r="BW1117" s="16">
        <f t="shared" si="378"/>
        <v>3.4389896670147593E-2</v>
      </c>
      <c r="BY1117" s="16">
        <f t="shared" si="379"/>
        <v>107.49999999999817</v>
      </c>
      <c r="BZ1117" s="16">
        <f t="shared" si="369"/>
        <v>3.1990601553626212E-4</v>
      </c>
      <c r="CA1117" s="16">
        <f t="shared" si="376"/>
        <v>-999</v>
      </c>
      <c r="CE1117" s="16" t="e">
        <f t="shared" si="370"/>
        <v>#N/A</v>
      </c>
      <c r="CF1117" s="16">
        <f t="shared" si="371"/>
        <v>99</v>
      </c>
      <c r="CG1117" s="16">
        <f t="shared" si="372"/>
        <v>0</v>
      </c>
      <c r="CH1117" s="16">
        <f t="shared" si="377"/>
        <v>0</v>
      </c>
      <c r="CJ1117" s="16" t="e">
        <f t="shared" si="373"/>
        <v>#N/A</v>
      </c>
      <c r="CK1117" s="16" t="str">
        <f t="shared" si="374"/>
        <v/>
      </c>
    </row>
    <row r="1118" spans="73:89" ht="12" customHeight="1">
      <c r="BU1118" s="16">
        <f t="shared" si="375"/>
        <v>0</v>
      </c>
      <c r="BV1118" s="16">
        <f>IF($BY$12=1,NORMDIST(BY1118,$Y$6,$Y$8,TRUE),IF($BY$12=2,IF(BY1118&lt;=$BX$31,0,IF(BY1118&gt;=$BX$32,1,(BY1118-$BX$31)*$BX$33)),SUM($BU$42:BU1118)/$BV$40))</f>
        <v>0.99801162414510503</v>
      </c>
      <c r="BW1118" s="16">
        <f t="shared" si="378"/>
        <v>3.3930188011919084E-2</v>
      </c>
      <c r="BY1118" s="16">
        <f t="shared" si="379"/>
        <v>107.59999999999816</v>
      </c>
      <c r="BZ1118" s="16">
        <f t="shared" si="369"/>
        <v>3.1533631981337976E-4</v>
      </c>
      <c r="CA1118" s="16">
        <f t="shared" si="376"/>
        <v>-999</v>
      </c>
      <c r="CE1118" s="16" t="e">
        <f t="shared" si="370"/>
        <v>#N/A</v>
      </c>
      <c r="CF1118" s="16">
        <f t="shared" si="371"/>
        <v>99</v>
      </c>
      <c r="CG1118" s="16">
        <f t="shared" si="372"/>
        <v>0</v>
      </c>
      <c r="CH1118" s="16">
        <f t="shared" si="377"/>
        <v>0</v>
      </c>
      <c r="CJ1118" s="16" t="e">
        <f t="shared" si="373"/>
        <v>#N/A</v>
      </c>
      <c r="CK1118" s="16" t="str">
        <f t="shared" si="374"/>
        <v/>
      </c>
    </row>
    <row r="1119" spans="73:89" ht="12" customHeight="1">
      <c r="BU1119" s="16">
        <f t="shared" si="375"/>
        <v>0</v>
      </c>
      <c r="BV1119" s="16">
        <f>IF($BY$12=1,NORMDIST(BY1119,$Y$6,$Y$8,TRUE),IF($BY$12=2,IF(BY1119&lt;=$BX$31,0,IF(BY1119&gt;=$BX$32,1,(BY1119-$BX$31)*$BX$33)),SUM($BU$42:BU1119)/$BV$40))</f>
        <v>0.99804293169084779</v>
      </c>
      <c r="BW1119" s="16">
        <f t="shared" si="378"/>
        <v>3.3475758713073553E-2</v>
      </c>
      <c r="BY1119" s="16">
        <f t="shared" si="379"/>
        <v>107.69999999999816</v>
      </c>
      <c r="BZ1119" s="16">
        <f t="shared" si="369"/>
        <v>3.1082412918360377E-4</v>
      </c>
      <c r="CA1119" s="16">
        <f t="shared" si="376"/>
        <v>-999</v>
      </c>
      <c r="CE1119" s="16" t="e">
        <f t="shared" si="370"/>
        <v>#N/A</v>
      </c>
      <c r="CF1119" s="16">
        <f t="shared" si="371"/>
        <v>99</v>
      </c>
      <c r="CG1119" s="16">
        <f t="shared" si="372"/>
        <v>0</v>
      </c>
      <c r="CH1119" s="16">
        <f t="shared" si="377"/>
        <v>0</v>
      </c>
      <c r="CJ1119" s="16" t="e">
        <f t="shared" si="373"/>
        <v>#N/A</v>
      </c>
      <c r="CK1119" s="16" t="str">
        <f t="shared" si="374"/>
        <v/>
      </c>
    </row>
    <row r="1120" spans="73:89" ht="12" customHeight="1">
      <c r="BU1120" s="16">
        <f t="shared" si="375"/>
        <v>0</v>
      </c>
      <c r="BV1120" s="16">
        <f>IF($BY$12=1,NORMDIST(BY1120,$Y$6,$Y$8,TRUE),IF($BY$12=2,IF(BY1120&lt;=$BX$31,0,IF(BY1120&gt;=$BX$32,1,(BY1120-$BX$31)*$BX$33)),SUM($BU$42:BU1120)/$BV$40))</f>
        <v>0.99807379086781156</v>
      </c>
      <c r="BW1120" s="16">
        <f t="shared" si="378"/>
        <v>3.3026561468497931E-2</v>
      </c>
      <c r="BY1120" s="16">
        <f t="shared" si="379"/>
        <v>107.79999999999815</v>
      </c>
      <c r="BZ1120" s="16">
        <f t="shared" si="369"/>
        <v>3.0636884479126624E-4</v>
      </c>
      <c r="CA1120" s="16">
        <f t="shared" si="376"/>
        <v>-999</v>
      </c>
      <c r="CE1120" s="16" t="e">
        <f t="shared" si="370"/>
        <v>#N/A</v>
      </c>
      <c r="CF1120" s="16">
        <f t="shared" si="371"/>
        <v>99</v>
      </c>
      <c r="CG1120" s="16">
        <f t="shared" si="372"/>
        <v>0</v>
      </c>
      <c r="CH1120" s="16">
        <f t="shared" si="377"/>
        <v>0</v>
      </c>
      <c r="CJ1120" s="16" t="e">
        <f t="shared" si="373"/>
        <v>#N/A</v>
      </c>
      <c r="CK1120" s="16" t="str">
        <f t="shared" si="374"/>
        <v/>
      </c>
    </row>
    <row r="1121" spans="73:89" ht="12" customHeight="1">
      <c r="BU1121" s="16">
        <f t="shared" si="375"/>
        <v>0</v>
      </c>
      <c r="BV1121" s="16">
        <f>IF($BY$12=1,NORMDIST(BY1121,$Y$6,$Y$8,TRUE),IF($BY$12=2,IF(BY1121&lt;=$BX$31,0,IF(BY1121&gt;=$BX$32,1,(BY1121-$BX$31)*$BX$33)),SUM($BU$42:BU1121)/$BV$40))</f>
        <v>0.99810420733685834</v>
      </c>
      <c r="BW1121" s="16">
        <f t="shared" si="378"/>
        <v>3.258254920173248E-2</v>
      </c>
      <c r="BY1121" s="16">
        <f t="shared" si="379"/>
        <v>107.89999999999814</v>
      </c>
      <c r="BZ1121" s="16">
        <f t="shared" si="369"/>
        <v>3.0196987211986138E-4</v>
      </c>
      <c r="CA1121" s="16">
        <f t="shared" si="376"/>
        <v>-999</v>
      </c>
      <c r="CE1121" s="16" t="e">
        <f t="shared" si="370"/>
        <v>#N/A</v>
      </c>
      <c r="CF1121" s="16">
        <f t="shared" si="371"/>
        <v>99</v>
      </c>
      <c r="CG1121" s="16">
        <f t="shared" si="372"/>
        <v>0</v>
      </c>
      <c r="CH1121" s="16">
        <f t="shared" si="377"/>
        <v>0</v>
      </c>
      <c r="CJ1121" s="16" t="e">
        <f t="shared" si="373"/>
        <v>#N/A</v>
      </c>
      <c r="CK1121" s="16" t="str">
        <f t="shared" si="374"/>
        <v/>
      </c>
    </row>
    <row r="1122" spans="73:89" ht="12" customHeight="1">
      <c r="BU1122" s="16">
        <f t="shared" si="375"/>
        <v>0</v>
      </c>
      <c r="BV1122" s="16">
        <f>IF($BY$12=1,NORMDIST(BY1122,$Y$6,$Y$8,TRUE),IF($BY$12=2,IF(BY1122&lt;=$BX$31,0,IF(BY1122&gt;=$BX$32,1,(BY1122-$BX$31)*$BX$33)),SUM($BU$42:BU1122)/$BV$40))</f>
        <v>0.99813418669961562</v>
      </c>
      <c r="BW1122" s="16">
        <f t="shared" si="378"/>
        <v>3.2143675066797731E-2</v>
      </c>
      <c r="BY1122" s="16">
        <f t="shared" si="379"/>
        <v>107.99999999999814</v>
      </c>
      <c r="BZ1122" s="16">
        <f t="shared" si="369"/>
        <v>2.9762662098887301E-4</v>
      </c>
      <c r="CA1122" s="16">
        <f t="shared" si="376"/>
        <v>-999</v>
      </c>
      <c r="CE1122" s="16" t="e">
        <f t="shared" si="370"/>
        <v>#N/A</v>
      </c>
      <c r="CF1122" s="16">
        <f t="shared" si="371"/>
        <v>99</v>
      </c>
      <c r="CG1122" s="16">
        <f t="shared" si="372"/>
        <v>0</v>
      </c>
      <c r="CH1122" s="16">
        <f t="shared" si="377"/>
        <v>0</v>
      </c>
      <c r="CJ1122" s="16" t="e">
        <f t="shared" si="373"/>
        <v>#N/A</v>
      </c>
      <c r="CK1122" s="16" t="str">
        <f t="shared" si="374"/>
        <v/>
      </c>
    </row>
    <row r="1123" spans="73:89" ht="12" customHeight="1">
      <c r="BU1123" s="16">
        <f t="shared" si="375"/>
        <v>0</v>
      </c>
      <c r="BV1123" s="16">
        <f>IF($BY$12=1,NORMDIST(BY1123,$Y$6,$Y$8,TRUE),IF($BY$12=2,IF(BY1123&lt;=$BX$31,0,IF(BY1123&gt;=$BX$32,1,(BY1123-$BX$31)*$BX$33)),SUM($BU$42:BU1123)/$BV$40))</f>
        <v>0.99816373449890783</v>
      </c>
      <c r="BW1123" s="16">
        <f t="shared" si="378"/>
        <v>3.1709892449966269E-2</v>
      </c>
      <c r="BY1123" s="16">
        <f t="shared" si="379"/>
        <v>108.09999999999813</v>
      </c>
      <c r="BZ1123" s="16">
        <f t="shared" si="369"/>
        <v>2.9333850555010929E-4</v>
      </c>
      <c r="CA1123" s="16">
        <f t="shared" si="376"/>
        <v>-999</v>
      </c>
      <c r="CE1123" s="16" t="e">
        <f t="shared" si="370"/>
        <v>#N/A</v>
      </c>
      <c r="CF1123" s="16">
        <f t="shared" si="371"/>
        <v>99</v>
      </c>
      <c r="CG1123" s="16">
        <f t="shared" si="372"/>
        <v>0</v>
      </c>
      <c r="CH1123" s="16">
        <f t="shared" si="377"/>
        <v>0</v>
      </c>
      <c r="CJ1123" s="16" t="e">
        <f t="shared" si="373"/>
        <v>#N/A</v>
      </c>
      <c r="CK1123" s="16" t="str">
        <f t="shared" si="374"/>
        <v/>
      </c>
    </row>
    <row r="1124" spans="73:89" ht="12" customHeight="1">
      <c r="BU1124" s="16">
        <f t="shared" si="375"/>
        <v>0</v>
      </c>
      <c r="BV1124" s="16">
        <f>IF($BY$12=1,NORMDIST(BY1124,$Y$6,$Y$8,TRUE),IF($BY$12=2,IF(BY1124&lt;=$BX$31,0,IF(BY1124&gt;=$BX$32,1,(BY1124-$BX$31)*$BX$33)),SUM($BU$42:BU1124)/$BV$40))</f>
        <v>0.99819285621919329</v>
      </c>
      <c r="BW1124" s="16">
        <f t="shared" si="378"/>
        <v>3.1281154971479853E-2</v>
      </c>
      <c r="BY1124" s="16">
        <f t="shared" si="379"/>
        <v>108.19999999999813</v>
      </c>
      <c r="BZ1124" s="16">
        <f t="shared" si="369"/>
        <v>2.8910494428355265E-4</v>
      </c>
      <c r="CA1124" s="16">
        <f t="shared" si="376"/>
        <v>-999</v>
      </c>
      <c r="CE1124" s="16" t="e">
        <f t="shared" si="370"/>
        <v>#N/A</v>
      </c>
      <c r="CF1124" s="16">
        <f t="shared" si="371"/>
        <v>99</v>
      </c>
      <c r="CG1124" s="16">
        <f t="shared" si="372"/>
        <v>0</v>
      </c>
      <c r="CH1124" s="16">
        <f t="shared" si="377"/>
        <v>0</v>
      </c>
      <c r="CJ1124" s="16" t="e">
        <f t="shared" si="373"/>
        <v>#N/A</v>
      </c>
      <c r="CK1124" s="16" t="str">
        <f t="shared" si="374"/>
        <v/>
      </c>
    </row>
    <row r="1125" spans="73:89" ht="12" customHeight="1">
      <c r="BU1125" s="16">
        <f t="shared" si="375"/>
        <v>0</v>
      </c>
      <c r="BV1125" s="16">
        <f>IF($BY$12=1,NORMDIST(BY1125,$Y$6,$Y$8,TRUE),IF($BY$12=2,IF(BY1125&lt;=$BX$31,0,IF(BY1125&gt;=$BX$32,1,(BY1125-$BX$31)*$BX$33)),SUM($BU$42:BU1125)/$BV$40))</f>
        <v>0.99822155728699236</v>
      </c>
      <c r="BW1125" s="16">
        <f t="shared" si="378"/>
        <v>3.0857416487212314E-2</v>
      </c>
      <c r="BY1125" s="16">
        <f t="shared" si="379"/>
        <v>108.29999999999812</v>
      </c>
      <c r="BZ1125" s="16">
        <f t="shared" si="369"/>
        <v>2.8492535999273175E-4</v>
      </c>
      <c r="CA1125" s="16">
        <f t="shared" si="376"/>
        <v>-999</v>
      </c>
      <c r="CE1125" s="16" t="e">
        <f t="shared" si="370"/>
        <v>#N/A</v>
      </c>
      <c r="CF1125" s="16">
        <f t="shared" si="371"/>
        <v>99</v>
      </c>
      <c r="CG1125" s="16">
        <f t="shared" si="372"/>
        <v>0</v>
      </c>
      <c r="CH1125" s="16">
        <f t="shared" si="377"/>
        <v>0</v>
      </c>
      <c r="CJ1125" s="16" t="e">
        <f t="shared" si="373"/>
        <v>#N/A</v>
      </c>
      <c r="CK1125" s="16" t="str">
        <f t="shared" si="374"/>
        <v/>
      </c>
    </row>
    <row r="1126" spans="73:89" ht="12" customHeight="1">
      <c r="BU1126" s="16">
        <f t="shared" si="375"/>
        <v>0</v>
      </c>
      <c r="BV1126" s="16">
        <f>IF($BY$12=1,NORMDIST(BY1126,$Y$6,$Y$8,TRUE),IF($BY$12=2,IF(BY1126&lt;=$BX$31,0,IF(BY1126&gt;=$BX$32,1,(BY1126-$BX$31)*$BX$33)),SUM($BU$42:BU1126)/$BV$40))</f>
        <v>0.99824984307132314</v>
      </c>
      <c r="BW1126" s="16">
        <f t="shared" si="378"/>
        <v>3.0438631090278865E-2</v>
      </c>
      <c r="BY1126" s="16">
        <f t="shared" si="379"/>
        <v>108.39999999999812</v>
      </c>
      <c r="BZ1126" s="16">
        <f t="shared" si="369"/>
        <v>2.8079917979962542E-4</v>
      </c>
      <c r="CA1126" s="16">
        <f t="shared" si="376"/>
        <v>-999</v>
      </c>
      <c r="CE1126" s="16" t="e">
        <f t="shared" si="370"/>
        <v>#N/A</v>
      </c>
      <c r="CF1126" s="16">
        <f t="shared" si="371"/>
        <v>99</v>
      </c>
      <c r="CG1126" s="16">
        <f t="shared" si="372"/>
        <v>0</v>
      </c>
      <c r="CH1126" s="16">
        <f t="shared" si="377"/>
        <v>0</v>
      </c>
      <c r="CJ1126" s="16" t="e">
        <f t="shared" si="373"/>
        <v>#N/A</v>
      </c>
      <c r="CK1126" s="16" t="str">
        <f t="shared" si="374"/>
        <v/>
      </c>
    </row>
    <row r="1127" spans="73:89" ht="12" customHeight="1">
      <c r="BU1127" s="16">
        <f t="shared" si="375"/>
        <v>0</v>
      </c>
      <c r="BV1127" s="16">
        <f>IF($BY$12=1,NORMDIST(BY1127,$Y$6,$Y$8,TRUE),IF($BY$12=2,IF(BY1127&lt;=$BX$31,0,IF(BY1127&gt;=$BX$32,1,(BY1127-$BX$31)*$BX$33)),SUM($BU$42:BU1127)/$BV$40))</f>
        <v>0.99827771888413186</v>
      </c>
      <c r="BW1127" s="16">
        <f t="shared" si="378"/>
        <v>3.0024753112591989E-2</v>
      </c>
      <c r="BY1127" s="16">
        <f t="shared" si="379"/>
        <v>108.49999999999811</v>
      </c>
      <c r="BZ1127" s="16">
        <f t="shared" si="369"/>
        <v>2.767258351391015E-4</v>
      </c>
      <c r="CA1127" s="16">
        <f t="shared" si="376"/>
        <v>-999</v>
      </c>
      <c r="CE1127" s="16" t="e">
        <f t="shared" si="370"/>
        <v>#N/A</v>
      </c>
      <c r="CF1127" s="16">
        <f t="shared" si="371"/>
        <v>99</v>
      </c>
      <c r="CG1127" s="16">
        <f t="shared" si="372"/>
        <v>0</v>
      </c>
      <c r="CH1127" s="16">
        <f t="shared" si="377"/>
        <v>0</v>
      </c>
      <c r="CJ1127" s="16" t="e">
        <f t="shared" si="373"/>
        <v>#N/A</v>
      </c>
      <c r="CK1127" s="16" t="str">
        <f t="shared" si="374"/>
        <v/>
      </c>
    </row>
    <row r="1128" spans="73:89" ht="12" customHeight="1">
      <c r="BU1128" s="16">
        <f t="shared" si="375"/>
        <v>0</v>
      </c>
      <c r="BV1128" s="16">
        <f>IF($BY$12=1,NORMDIST(BY1128,$Y$6,$Y$8,TRUE),IF($BY$12=2,IF(BY1128&lt;=$BX$31,0,IF(BY1128&gt;=$BX$32,1,(BY1128-$BX$31)*$BX$33)),SUM($BU$42:BU1128)/$BV$40))</f>
        <v>0.99830518998072248</v>
      </c>
      <c r="BW1128" s="16">
        <f t="shared" si="378"/>
        <v>2.9615737126364779E-2</v>
      </c>
      <c r="BY1128" s="16">
        <f t="shared" si="379"/>
        <v>108.5999999999981</v>
      </c>
      <c r="BZ1128" s="16">
        <f t="shared" si="369"/>
        <v>2.7270476175290329E-4</v>
      </c>
      <c r="CA1128" s="16">
        <f t="shared" si="376"/>
        <v>-999</v>
      </c>
      <c r="CE1128" s="16" t="e">
        <f t="shared" si="370"/>
        <v>#N/A</v>
      </c>
      <c r="CF1128" s="16">
        <f t="shared" si="371"/>
        <v>99</v>
      </c>
      <c r="CG1128" s="16">
        <f t="shared" si="372"/>
        <v>0</v>
      </c>
      <c r="CH1128" s="16">
        <f t="shared" si="377"/>
        <v>0</v>
      </c>
      <c r="CJ1128" s="16" t="e">
        <f t="shared" si="373"/>
        <v>#N/A</v>
      </c>
      <c r="CK1128" s="16" t="str">
        <f t="shared" si="374"/>
        <v/>
      </c>
    </row>
    <row r="1129" spans="73:89" ht="12" customHeight="1">
      <c r="BU1129" s="16">
        <f t="shared" si="375"/>
        <v>0</v>
      </c>
      <c r="BV1129" s="16">
        <f>IF($BY$12=1,NORMDIST(BY1129,$Y$6,$Y$8,TRUE),IF($BY$12=2,IF(BY1129&lt;=$BX$31,0,IF(BY1129&gt;=$BX$32,1,(BY1129-$BX$31)*$BX$33)),SUM($BU$42:BU1129)/$BV$40))</f>
        <v>0.99833226156018817</v>
      </c>
      <c r="BW1129" s="16">
        <f t="shared" si="378"/>
        <v>2.9211537945562013E-2</v>
      </c>
      <c r="BY1129" s="16">
        <f t="shared" si="379"/>
        <v>108.6999999999981</v>
      </c>
      <c r="BZ1129" s="16">
        <f t="shared" si="369"/>
        <v>2.6873539968318789E-4</v>
      </c>
      <c r="CA1129" s="16">
        <f t="shared" si="376"/>
        <v>-999</v>
      </c>
      <c r="CE1129" s="16" t="e">
        <f t="shared" si="370"/>
        <v>#N/A</v>
      </c>
      <c r="CF1129" s="16">
        <f t="shared" si="371"/>
        <v>99</v>
      </c>
      <c r="CG1129" s="16">
        <f t="shared" si="372"/>
        <v>0</v>
      </c>
      <c r="CH1129" s="16">
        <f t="shared" si="377"/>
        <v>0</v>
      </c>
      <c r="CJ1129" s="16" t="e">
        <f t="shared" si="373"/>
        <v>#N/A</v>
      </c>
      <c r="CK1129" s="16" t="str">
        <f t="shared" si="374"/>
        <v/>
      </c>
    </row>
    <row r="1130" spans="73:89" ht="12" customHeight="1">
      <c r="BU1130" s="16">
        <f t="shared" si="375"/>
        <v>0</v>
      </c>
      <c r="BV1130" s="16">
        <f>IF($BY$12=1,NORMDIST(BY1130,$Y$6,$Y$8,TRUE),IF($BY$12=2,IF(BY1130&lt;=$BX$31,0,IF(BY1130&gt;=$BX$32,1,(BY1130-$BX$31)*$BX$33)),SUM($BU$42:BU1130)/$BV$40))</f>
        <v>0.99835893876584281</v>
      </c>
      <c r="BW1130" s="16">
        <f t="shared" si="378"/>
        <v>2.8812110627299495E-2</v>
      </c>
      <c r="BY1130" s="16">
        <f t="shared" si="379"/>
        <v>108.79999999999809</v>
      </c>
      <c r="BZ1130" s="16">
        <f t="shared" ref="BZ1130:BZ1193" si="380">IF($BZ$5,IF($BY$12=1,NORMDIST(BY1130,$Y$6,$Y$8,FALSE),IF($BY$12=2,IF(AND(BY1130&gt;=$BX$31,BY1130&lt;=$BX$32),$BX$33,0),IF(BY1130&lt;=$BX$13,0,NORMDIST(LN((BY1130-$BX$13)/$BX$12),0,$BW$8,FALSE)/((BY1130-$BX$13)/$BX$12)))),-999)</f>
        <v>2.64817193265625E-4</v>
      </c>
      <c r="CA1130" s="16">
        <f t="shared" si="376"/>
        <v>-999</v>
      </c>
      <c r="CE1130" s="16" t="e">
        <f t="shared" ref="CE1130:CE1193" si="381">IF(AND($CB$7,$CD$2,$CD$1),26+$P$23/2-CC1130*$P$23,NA())</f>
        <v>#N/A</v>
      </c>
      <c r="CF1130" s="16">
        <f t="shared" ref="CF1130:CF1193" si="382">IF(ISNA(CJ1130),99,CJ1130)</f>
        <v>99</v>
      </c>
      <c r="CG1130" s="16">
        <f t="shared" ref="CG1130:CG1193" si="383">IF(ISNA(CJ1130),0,CJ1130)</f>
        <v>0</v>
      </c>
      <c r="CH1130" s="16">
        <f t="shared" si="377"/>
        <v>0</v>
      </c>
      <c r="CJ1130" s="16" t="e">
        <f t="shared" ref="CJ1130:CJ1193" si="384">IF(CH1130=1,CE1130,NA())</f>
        <v>#N/A</v>
      </c>
      <c r="CK1130" s="16" t="str">
        <f t="shared" ref="CK1130:CK1193" si="385">IF(CH1130=1,M1029,"")</f>
        <v/>
      </c>
    </row>
    <row r="1131" spans="73:89" ht="12" customHeight="1">
      <c r="BU1131" s="16">
        <f t="shared" ref="BU1131:BU1194" si="386">IF($BY$12&lt;3,0,IF(BY1131&lt;=$BX$13,0,NORMDIST(LN((BY1131-$BX$13)/$BX$12),0,$BW$8,FALSE)/((BY1131-$BX$13)/$BX$12)))</f>
        <v>0</v>
      </c>
      <c r="BV1131" s="16">
        <f>IF($BY$12=1,NORMDIST(BY1131,$Y$6,$Y$8,TRUE),IF($BY$12=2,IF(BY1131&lt;=$BX$31,0,IF(BY1131&gt;=$BX$32,1,(BY1131-$BX$31)*$BX$33)),SUM($BU$42:BU1131)/$BV$40))</f>
        <v>0.99838522668564589</v>
      </c>
      <c r="BW1131" s="16">
        <f t="shared" si="378"/>
        <v>2.8417410473192184E-2</v>
      </c>
      <c r="BY1131" s="16">
        <f t="shared" si="379"/>
        <v>108.89999999999809</v>
      </c>
      <c r="BZ1131" s="16">
        <f t="shared" si="380"/>
        <v>2.609495911220632E-4</v>
      </c>
      <c r="CA1131" s="16">
        <f t="shared" ref="CA1131:CA1194" si="387">IF(AND($CD$1,$CD$3),26-$CD$40*NORMDIST(BY1131,$Y$6,$Y$8/SQRT($T$18),FALSE),-999)</f>
        <v>-999</v>
      </c>
      <c r="CE1131" s="16" t="e">
        <f t="shared" si="381"/>
        <v>#N/A</v>
      </c>
      <c r="CF1131" s="16">
        <f t="shared" si="382"/>
        <v>99</v>
      </c>
      <c r="CG1131" s="16">
        <f t="shared" si="383"/>
        <v>0</v>
      </c>
      <c r="CH1131" s="16">
        <f t="shared" si="377"/>
        <v>0</v>
      </c>
      <c r="CJ1131" s="16" t="e">
        <f t="shared" si="384"/>
        <v>#N/A</v>
      </c>
      <c r="CK1131" s="16" t="str">
        <f t="shared" si="385"/>
        <v/>
      </c>
    </row>
    <row r="1132" spans="73:89" ht="12" customHeight="1">
      <c r="BU1132" s="16">
        <f t="shared" si="386"/>
        <v>0</v>
      </c>
      <c r="BV1132" s="16">
        <f>IF($BY$12=1,NORMDIST(BY1132,$Y$6,$Y$8,TRUE),IF($BY$12=2,IF(BY1132&lt;=$BX$31,0,IF(BY1132&gt;=$BX$32,1,(BY1132-$BX$31)*$BX$33)),SUM($BU$42:BU1132)/$BV$40))</f>
        <v>0.99841113035263462</v>
      </c>
      <c r="BW1132" s="16">
        <f t="shared" si="378"/>
        <v>2.8027393030651413E-2</v>
      </c>
      <c r="BY1132" s="16">
        <f t="shared" si="379"/>
        <v>108.99999999999808</v>
      </c>
      <c r="BZ1132" s="16">
        <f t="shared" si="380"/>
        <v>2.5713204615276979E-4</v>
      </c>
      <c r="CA1132" s="16">
        <f t="shared" si="387"/>
        <v>-999</v>
      </c>
      <c r="CE1132" s="16" t="e">
        <f t="shared" si="381"/>
        <v>#N/A</v>
      </c>
      <c r="CF1132" s="16">
        <f t="shared" si="382"/>
        <v>99</v>
      </c>
      <c r="CG1132" s="16">
        <f t="shared" si="383"/>
        <v>0</v>
      </c>
      <c r="CH1132" s="16">
        <f t="shared" si="377"/>
        <v>0</v>
      </c>
      <c r="CJ1132" s="16" t="e">
        <f t="shared" si="384"/>
        <v>#N/A</v>
      </c>
      <c r="CK1132" s="16" t="str">
        <f t="shared" si="385"/>
        <v/>
      </c>
    </row>
    <row r="1133" spans="73:89" ht="12" customHeight="1">
      <c r="BU1133" s="16">
        <f t="shared" si="386"/>
        <v>0</v>
      </c>
      <c r="BV1133" s="16">
        <f>IF($BY$12=1,NORMDIST(BY1133,$Y$6,$Y$8,TRUE),IF($BY$12=2,IF(BY1133&lt;=$BX$31,0,IF(BY1133&gt;=$BX$32,1,(BY1133-$BX$31)*$BX$33)),SUM($BU$42:BU1133)/$BV$40))</f>
        <v>0.99843665474534959</v>
      </c>
      <c r="BW1133" s="16">
        <f t="shared" si="378"/>
        <v>2.764201409413226E-2</v>
      </c>
      <c r="BY1133" s="16">
        <f t="shared" si="379"/>
        <v>109.09999999999808</v>
      </c>
      <c r="BZ1133" s="16">
        <f t="shared" si="380"/>
        <v>2.5336401552825615E-4</v>
      </c>
      <c r="CA1133" s="16">
        <f t="shared" si="387"/>
        <v>-999</v>
      </c>
      <c r="CE1133" s="16" t="e">
        <f t="shared" si="381"/>
        <v>#N/A</v>
      </c>
      <c r="CF1133" s="16">
        <f t="shared" si="382"/>
        <v>99</v>
      </c>
      <c r="CG1133" s="16">
        <f t="shared" si="383"/>
        <v>0</v>
      </c>
      <c r="CH1133" s="16">
        <f t="shared" si="377"/>
        <v>0</v>
      </c>
      <c r="CJ1133" s="16" t="e">
        <f t="shared" si="384"/>
        <v>#N/A</v>
      </c>
      <c r="CK1133" s="16" t="str">
        <f t="shared" si="385"/>
        <v/>
      </c>
    </row>
    <row r="1134" spans="73:89" ht="12" customHeight="1">
      <c r="BU1134" s="16">
        <f t="shared" si="386"/>
        <v>0</v>
      </c>
      <c r="BV1134" s="16">
        <f>IF($BY$12=1,NORMDIST(BY1134,$Y$6,$Y$8,TRUE),IF($BY$12=2,IF(BY1134&lt;=$BX$31,0,IF(BY1134&gt;=$BX$32,1,(BY1134-$BX$31)*$BX$33)),SUM($BU$42:BU1134)/$BV$40))</f>
        <v>0.99846180478826141</v>
      </c>
      <c r="BW1134" s="16">
        <f t="shared" si="378"/>
        <v>2.726122970633086E-2</v>
      </c>
      <c r="BY1134" s="16">
        <f t="shared" si="379"/>
        <v>109.19999999999807</v>
      </c>
      <c r="BZ1134" s="16">
        <f t="shared" si="380"/>
        <v>2.4964496068068993E-4</v>
      </c>
      <c r="CA1134" s="16">
        <f t="shared" si="387"/>
        <v>-999</v>
      </c>
      <c r="CE1134" s="16" t="e">
        <f t="shared" si="381"/>
        <v>#N/A</v>
      </c>
      <c r="CF1134" s="16">
        <f t="shared" si="382"/>
        <v>99</v>
      </c>
      <c r="CG1134" s="16">
        <f t="shared" si="383"/>
        <v>0</v>
      </c>
      <c r="CH1134" s="16">
        <f t="shared" si="377"/>
        <v>0</v>
      </c>
      <c r="CJ1134" s="16" t="e">
        <f t="shared" si="384"/>
        <v>#N/A</v>
      </c>
      <c r="CK1134" s="16" t="str">
        <f t="shared" si="385"/>
        <v/>
      </c>
    </row>
    <row r="1135" spans="73:89" ht="12" customHeight="1">
      <c r="BU1135" s="16">
        <f t="shared" si="386"/>
        <v>0</v>
      </c>
      <c r="BV1135" s="16">
        <f>IF($BY$12=1,NORMDIST(BY1135,$Y$6,$Y$8,TRUE),IF($BY$12=2,IF(BY1135&lt;=$BX$31,0,IF(BY1135&gt;=$BX$32,1,(BY1135-$BX$31)*$BX$33)),SUM($BU$42:BU1135)/$BV$40))</f>
        <v>0.99848658535219603</v>
      </c>
      <c r="BW1135" s="16">
        <f t="shared" si="378"/>
        <v>2.688499615933267E-2</v>
      </c>
      <c r="BY1135" s="16">
        <f t="shared" si="379"/>
        <v>109.29999999999806</v>
      </c>
      <c r="BZ1135" s="16">
        <f t="shared" si="380"/>
        <v>2.4597434729490528E-4</v>
      </c>
      <c r="CA1135" s="16">
        <f t="shared" si="387"/>
        <v>-999</v>
      </c>
      <c r="CE1135" s="16" t="e">
        <f t="shared" si="381"/>
        <v>#N/A</v>
      </c>
      <c r="CF1135" s="16">
        <f t="shared" si="382"/>
        <v>99</v>
      </c>
      <c r="CG1135" s="16">
        <f t="shared" si="383"/>
        <v>0</v>
      </c>
      <c r="CH1135" s="16">
        <f t="shared" si="377"/>
        <v>0</v>
      </c>
      <c r="CJ1135" s="16" t="e">
        <f t="shared" si="384"/>
        <v>#N/A</v>
      </c>
      <c r="CK1135" s="16" t="str">
        <f t="shared" si="385"/>
        <v/>
      </c>
    </row>
    <row r="1136" spans="73:89" ht="12" customHeight="1">
      <c r="BU1136" s="16">
        <f t="shared" si="386"/>
        <v>0</v>
      </c>
      <c r="BV1136" s="16">
        <f>IF($BY$12=1,NORMDIST(BY1136,$Y$6,$Y$8,TRUE),IF($BY$12=2,IF(BY1136&lt;=$BX$31,0,IF(BY1136&gt;=$BX$32,1,(BY1136-$BX$31)*$BX$33)),SUM($BU$42:BU1136)/$BV$40))</f>
        <v>0.998511001254762</v>
      </c>
      <c r="BW1136" s="16">
        <f t="shared" si="378"/>
        <v>2.6513269995712005E-2</v>
      </c>
      <c r="BY1136" s="16">
        <f t="shared" si="379"/>
        <v>109.39999999999806</v>
      </c>
      <c r="BZ1136" s="16">
        <f t="shared" si="380"/>
        <v>2.4235164529901713E-4</v>
      </c>
      <c r="CA1136" s="16">
        <f t="shared" si="387"/>
        <v>-999</v>
      </c>
      <c r="CE1136" s="16" t="e">
        <f t="shared" si="381"/>
        <v>#N/A</v>
      </c>
      <c r="CF1136" s="16">
        <f t="shared" si="382"/>
        <v>99</v>
      </c>
      <c r="CG1136" s="16">
        <f t="shared" si="383"/>
        <v>0</v>
      </c>
      <c r="CH1136" s="16">
        <f t="shared" si="377"/>
        <v>0</v>
      </c>
      <c r="CJ1136" s="16" t="e">
        <f t="shared" si="384"/>
        <v>#N/A</v>
      </c>
      <c r="CK1136" s="16" t="str">
        <f t="shared" si="385"/>
        <v/>
      </c>
    </row>
    <row r="1137" spans="73:89" ht="12" customHeight="1">
      <c r="BU1137" s="16">
        <f t="shared" si="386"/>
        <v>0</v>
      </c>
      <c r="BV1137" s="16">
        <f>IF($BY$12=1,NORMDIST(BY1137,$Y$6,$Y$8,TRUE),IF($BY$12=2,IF(BY1137&lt;=$BX$31,0,IF(BY1137&gt;=$BX$32,1,(BY1137-$BX$31)*$BX$33)),SUM($BU$42:BU1137)/$BV$40))</f>
        <v>0.99853505726077008</v>
      </c>
      <c r="BW1137" s="16">
        <f t="shared" si="378"/>
        <v>2.6146008009583385E-2</v>
      </c>
      <c r="BY1137" s="16">
        <f t="shared" si="379"/>
        <v>109.49999999999805</v>
      </c>
      <c r="BZ1137" s="16">
        <f t="shared" si="380"/>
        <v>2.3877632885464702E-4</v>
      </c>
      <c r="CA1137" s="16">
        <f t="shared" si="387"/>
        <v>-999</v>
      </c>
      <c r="CE1137" s="16" t="e">
        <f t="shared" si="381"/>
        <v>#N/A</v>
      </c>
      <c r="CF1137" s="16">
        <f t="shared" si="382"/>
        <v>99</v>
      </c>
      <c r="CG1137" s="16">
        <f t="shared" si="383"/>
        <v>0</v>
      </c>
      <c r="CH1137" s="16">
        <f t="shared" si="377"/>
        <v>0</v>
      </c>
      <c r="CJ1137" s="16" t="e">
        <f t="shared" si="384"/>
        <v>#N/A</v>
      </c>
      <c r="CK1137" s="16" t="str">
        <f t="shared" si="385"/>
        <v/>
      </c>
    </row>
    <row r="1138" spans="73:89" ht="12" customHeight="1">
      <c r="BU1138" s="16">
        <f t="shared" si="386"/>
        <v>0</v>
      </c>
      <c r="BV1138" s="16">
        <f>IF($BY$12=1,NORMDIST(BY1138,$Y$6,$Y$8,TRUE),IF($BY$12=2,IF(BY1138&lt;=$BX$31,0,IF(BY1138&gt;=$BX$32,1,(BY1138-$BX$31)*$BX$33)),SUM($BU$42:BU1138)/$BV$40))</f>
        <v>0.99855875808265959</v>
      </c>
      <c r="BW1138" s="16">
        <f t="shared" si="378"/>
        <v>2.5783167247605238E-2</v>
      </c>
      <c r="BY1138" s="16">
        <f t="shared" si="379"/>
        <v>109.59999999999805</v>
      </c>
      <c r="BZ1138" s="16">
        <f t="shared" si="380"/>
        <v>2.3524787634676729E-4</v>
      </c>
      <c r="CA1138" s="16">
        <f t="shared" si="387"/>
        <v>-999</v>
      </c>
      <c r="CE1138" s="16" t="e">
        <f t="shared" si="381"/>
        <v>#N/A</v>
      </c>
      <c r="CF1138" s="16">
        <f t="shared" si="382"/>
        <v>99</v>
      </c>
      <c r="CG1138" s="16">
        <f t="shared" si="383"/>
        <v>0</v>
      </c>
      <c r="CH1138" s="16">
        <f t="shared" si="377"/>
        <v>0</v>
      </c>
      <c r="CJ1138" s="16" t="e">
        <f t="shared" si="384"/>
        <v>#N/A</v>
      </c>
      <c r="CK1138" s="16" t="str">
        <f t="shared" si="385"/>
        <v/>
      </c>
    </row>
    <row r="1139" spans="73:89" ht="12" customHeight="1">
      <c r="BU1139" s="16">
        <f t="shared" si="386"/>
        <v>0</v>
      </c>
      <c r="BV1139" s="16">
        <f>IF($BY$12=1,NORMDIST(BY1139,$Y$6,$Y$8,TRUE),IF($BY$12=2,IF(BY1139&lt;=$BX$31,0,IF(BY1139&gt;=$BX$32,1,(BY1139-$BX$31)*$BX$33)),SUM($BU$42:BU1139)/$BV$40))</f>
        <v>0.99858210838091899</v>
      </c>
      <c r="BW1139" s="16">
        <f t="shared" si="378"/>
        <v>2.5424705009936394E-2</v>
      </c>
      <c r="BY1139" s="16">
        <f t="shared" si="379"/>
        <v>109.69999999999804</v>
      </c>
      <c r="BZ1139" s="16">
        <f t="shared" si="380"/>
        <v>2.317657703731709E-4</v>
      </c>
      <c r="CA1139" s="16">
        <f t="shared" si="387"/>
        <v>-999</v>
      </c>
      <c r="CE1139" s="16" t="e">
        <f t="shared" si="381"/>
        <v>#N/A</v>
      </c>
      <c r="CF1139" s="16">
        <f t="shared" si="382"/>
        <v>99</v>
      </c>
      <c r="CG1139" s="16">
        <f t="shared" si="383"/>
        <v>0</v>
      </c>
      <c r="CH1139" s="16">
        <f t="shared" si="377"/>
        <v>0</v>
      </c>
      <c r="CJ1139" s="16" t="e">
        <f t="shared" si="384"/>
        <v>#N/A</v>
      </c>
      <c r="CK1139" s="16" t="str">
        <f t="shared" si="385"/>
        <v/>
      </c>
    </row>
    <row r="1140" spans="73:89" ht="12" customHeight="1">
      <c r="BU1140" s="16">
        <f t="shared" si="386"/>
        <v>0</v>
      </c>
      <c r="BV1140" s="16">
        <f>IF($BY$12=1,NORMDIST(BY1140,$Y$6,$Y$8,TRUE),IF($BY$12=2,IF(BY1140&lt;=$BX$31,0,IF(BY1140&gt;=$BX$32,1,(BY1140-$BX$31)*$BX$33)),SUM($BU$42:BU1140)/$BV$40))</f>
        <v>0.99860511276450747</v>
      </c>
      <c r="BW1140" s="16">
        <f t="shared" si="378"/>
        <v>2.5070578851146014E-2</v>
      </c>
      <c r="BY1140" s="16">
        <f t="shared" si="379"/>
        <v>109.79999999999804</v>
      </c>
      <c r="BZ1140" s="16">
        <f t="shared" si="380"/>
        <v>2.2832949773357434E-4</v>
      </c>
      <c r="CA1140" s="16">
        <f t="shared" si="387"/>
        <v>-999</v>
      </c>
      <c r="CE1140" s="16" t="e">
        <f t="shared" si="381"/>
        <v>#N/A</v>
      </c>
      <c r="CF1140" s="16">
        <f t="shared" si="382"/>
        <v>99</v>
      </c>
      <c r="CG1140" s="16">
        <f t="shared" si="383"/>
        <v>0</v>
      </c>
      <c r="CH1140" s="16">
        <f t="shared" si="377"/>
        <v>0</v>
      </c>
      <c r="CJ1140" s="16" t="e">
        <f t="shared" si="384"/>
        <v>#N/A</v>
      </c>
      <c r="CK1140" s="16" t="str">
        <f t="shared" si="385"/>
        <v/>
      </c>
    </row>
    <row r="1141" spans="73:89" ht="12" customHeight="1">
      <c r="BU1141" s="16">
        <f t="shared" si="386"/>
        <v>0</v>
      </c>
      <c r="BV1141" s="16">
        <f>IF($BY$12=1,NORMDIST(BY1141,$Y$6,$Y$8,TRUE),IF($BY$12=2,IF(BY1141&lt;=$BX$31,0,IF(BY1141&gt;=$BX$32,1,(BY1141-$BX$31)*$BX$33)),SUM($BU$42:BU1141)/$BV$40))</f>
        <v>0.99862777579127193</v>
      </c>
      <c r="BW1141" s="16">
        <f t="shared" si="378"/>
        <v>2.472074658107733E-2</v>
      </c>
      <c r="BY1141" s="16">
        <f t="shared" si="379"/>
        <v>109.89999999999803</v>
      </c>
      <c r="BZ1141" s="16">
        <f t="shared" si="380"/>
        <v>2.2493854941836008E-4</v>
      </c>
      <c r="CA1141" s="16">
        <f t="shared" si="387"/>
        <v>-999</v>
      </c>
      <c r="CE1141" s="16" t="e">
        <f t="shared" si="381"/>
        <v>#N/A</v>
      </c>
      <c r="CF1141" s="16">
        <f t="shared" si="382"/>
        <v>99</v>
      </c>
      <c r="CG1141" s="16">
        <f t="shared" si="383"/>
        <v>0</v>
      </c>
      <c r="CH1141" s="16">
        <f t="shared" si="377"/>
        <v>0</v>
      </c>
      <c r="CJ1141" s="16" t="e">
        <f t="shared" si="384"/>
        <v>#N/A</v>
      </c>
      <c r="CK1141" s="16" t="str">
        <f t="shared" si="385"/>
        <v/>
      </c>
    </row>
    <row r="1142" spans="73:89" ht="12" customHeight="1">
      <c r="BU1142" s="16">
        <f t="shared" si="386"/>
        <v>0</v>
      </c>
      <c r="BV1142" s="16">
        <f>IF($BY$12=1,NORMDIST(BY1142,$Y$6,$Y$8,TRUE),IF($BY$12=2,IF(BY1142&lt;=$BX$31,0,IF(BY1142&gt;=$BX$32,1,(BY1142-$BX$31)*$BX$33)),SUM($BU$42:BU1142)/$BV$40))</f>
        <v>0.99865010196836979</v>
      </c>
      <c r="BW1142" s="16">
        <f t="shared" si="378"/>
        <v>2.4375166265665809E-2</v>
      </c>
      <c r="BY1142" s="16">
        <f t="shared" si="379"/>
        <v>109.99999999999802</v>
      </c>
      <c r="BZ1142" s="16">
        <f t="shared" si="380"/>
        <v>2.2159242059696587E-4</v>
      </c>
      <c r="CA1142" s="16">
        <f t="shared" si="387"/>
        <v>-999</v>
      </c>
      <c r="CE1142" s="16" t="e">
        <f t="shared" si="381"/>
        <v>#N/A</v>
      </c>
      <c r="CF1142" s="16">
        <f t="shared" si="382"/>
        <v>99</v>
      </c>
      <c r="CG1142" s="16">
        <f t="shared" si="383"/>
        <v>0</v>
      </c>
      <c r="CH1142" s="16">
        <f t="shared" si="377"/>
        <v>0</v>
      </c>
      <c r="CJ1142" s="16" t="e">
        <f t="shared" si="384"/>
        <v>#N/A</v>
      </c>
      <c r="CK1142" s="16" t="str">
        <f t="shared" si="385"/>
        <v/>
      </c>
    </row>
    <row r="1143" spans="73:89" ht="12" customHeight="1">
      <c r="BU1143" s="16">
        <f t="shared" si="386"/>
        <v>0</v>
      </c>
      <c r="BV1143" s="16">
        <f>IF($BY$12=1,NORMDIST(BY1143,$Y$6,$Y$8,TRUE),IF($BY$12=2,IF(BY1143&lt;=$BX$31,0,IF(BY1143&gt;=$BX$32,1,(BY1143-$BX$31)*$BX$33)),SUM($BU$42:BU1143)/$BV$40))</f>
        <v>0.9986720957526809</v>
      </c>
      <c r="BW1143" s="16">
        <f t="shared" si="378"/>
        <v>2.4033796227712293E-2</v>
      </c>
      <c r="BY1143" s="16">
        <f t="shared" si="379"/>
        <v>110.09999999999802</v>
      </c>
      <c r="BZ1143" s="16">
        <f t="shared" si="380"/>
        <v>2.1829061060592848E-4</v>
      </c>
      <c r="CA1143" s="16">
        <f t="shared" si="387"/>
        <v>-999</v>
      </c>
      <c r="CE1143" s="16" t="e">
        <f t="shared" si="381"/>
        <v>#N/A</v>
      </c>
      <c r="CF1143" s="16">
        <f t="shared" si="382"/>
        <v>99</v>
      </c>
      <c r="CG1143" s="16">
        <f t="shared" si="383"/>
        <v>0</v>
      </c>
      <c r="CH1143" s="16">
        <f t="shared" si="377"/>
        <v>0</v>
      </c>
      <c r="CJ1143" s="16" t="e">
        <f t="shared" si="384"/>
        <v>#N/A</v>
      </c>
      <c r="CK1143" s="16" t="str">
        <f t="shared" si="385"/>
        <v/>
      </c>
    </row>
    <row r="1144" spans="73:89" ht="12" customHeight="1">
      <c r="BU1144" s="16">
        <f t="shared" si="386"/>
        <v>0</v>
      </c>
      <c r="BV1144" s="16">
        <f>IF($BY$12=1,NORMDIST(BY1144,$Y$6,$Y$8,TRUE),IF($BY$12=2,IF(BY1144&lt;=$BX$31,0,IF(BY1144&gt;=$BX$32,1,(BY1144-$BX$31)*$BX$33)),SUM($BU$42:BU1144)/$BV$40))</f>
        <v>0.99869376155123024</v>
      </c>
      <c r="BW1144" s="16">
        <f t="shared" si="378"/>
        <v>2.3696595047611419E-2</v>
      </c>
      <c r="BY1144" s="16">
        <f t="shared" si="379"/>
        <v>110.19999999999801</v>
      </c>
      <c r="BZ1144" s="16">
        <f t="shared" si="380"/>
        <v>2.1503262293658663E-4</v>
      </c>
      <c r="CA1144" s="16">
        <f t="shared" si="387"/>
        <v>-999</v>
      </c>
      <c r="CE1144" s="16" t="e">
        <f t="shared" si="381"/>
        <v>#N/A</v>
      </c>
      <c r="CF1144" s="16">
        <f t="shared" si="382"/>
        <v>99</v>
      </c>
      <c r="CG1144" s="16">
        <f t="shared" si="383"/>
        <v>0</v>
      </c>
      <c r="CH1144" s="16">
        <f t="shared" si="377"/>
        <v>0</v>
      </c>
      <c r="CJ1144" s="16" t="e">
        <f t="shared" si="384"/>
        <v>#N/A</v>
      </c>
      <c r="CK1144" s="16" t="str">
        <f t="shared" si="385"/>
        <v/>
      </c>
    </row>
    <row r="1145" spans="73:89" ht="12" customHeight="1">
      <c r="BU1145" s="16">
        <f t="shared" si="386"/>
        <v>0</v>
      </c>
      <c r="BV1145" s="16">
        <f>IF($BY$12=1,NORMDIST(BY1145,$Y$6,$Y$8,TRUE),IF($BY$12=2,IF(BY1145&lt;=$BX$31,0,IF(BY1145&gt;=$BX$32,1,(BY1145-$BX$31)*$BX$33)),SUM($BU$42:BU1145)/$BV$40))</f>
        <v>0.99871510372159555</v>
      </c>
      <c r="BW1145" s="16">
        <f t="shared" si="378"/>
        <v>2.3363521564036153E-2</v>
      </c>
      <c r="BY1145" s="16">
        <f t="shared" si="379"/>
        <v>110.29999999999801</v>
      </c>
      <c r="BZ1145" s="16">
        <f t="shared" si="380"/>
        <v>2.1181796522245307E-4</v>
      </c>
      <c r="CA1145" s="16">
        <f t="shared" si="387"/>
        <v>-999</v>
      </c>
      <c r="CE1145" s="16" t="e">
        <f t="shared" si="381"/>
        <v>#N/A</v>
      </c>
      <c r="CF1145" s="16">
        <f t="shared" si="382"/>
        <v>99</v>
      </c>
      <c r="CG1145" s="16">
        <f t="shared" si="383"/>
        <v>0</v>
      </c>
      <c r="CH1145" s="16">
        <f t="shared" si="377"/>
        <v>0</v>
      </c>
      <c r="CJ1145" s="16" t="e">
        <f t="shared" si="384"/>
        <v>#N/A</v>
      </c>
      <c r="CK1145" s="16" t="str">
        <f t="shared" si="385"/>
        <v/>
      </c>
    </row>
    <row r="1146" spans="73:89" ht="12" customHeight="1">
      <c r="BU1146" s="16">
        <f t="shared" si="386"/>
        <v>0</v>
      </c>
      <c r="BV1146" s="16">
        <f>IF($BY$12=1,NORMDIST(BY1146,$Y$6,$Y$8,TRUE),IF($BY$12=2,IF(BY1146&lt;=$BX$31,0,IF(BY1146&gt;=$BX$32,1,(BY1146-$BX$31)*$BX$33)),SUM($BU$42:BU1146)/$BV$40))</f>
        <v>0.9987361265723278</v>
      </c>
      <c r="BW1146" s="16">
        <f t="shared" si="378"/>
        <v>2.3034534874578787E-2</v>
      </c>
      <c r="BY1146" s="16">
        <f t="shared" si="379"/>
        <v>110.399999999998</v>
      </c>
      <c r="BZ1146" s="16">
        <f t="shared" si="380"/>
        <v>2.086461492262609E-4</v>
      </c>
      <c r="CA1146" s="16">
        <f t="shared" si="387"/>
        <v>-999</v>
      </c>
      <c r="CE1146" s="16" t="e">
        <f t="shared" si="381"/>
        <v>#N/A</v>
      </c>
      <c r="CF1146" s="16">
        <f t="shared" si="382"/>
        <v>99</v>
      </c>
      <c r="CG1146" s="16">
        <f t="shared" si="383"/>
        <v>0</v>
      </c>
      <c r="CH1146" s="16">
        <f t="shared" si="377"/>
        <v>0</v>
      </c>
      <c r="CJ1146" s="16" t="e">
        <f t="shared" si="384"/>
        <v>#N/A</v>
      </c>
      <c r="CK1146" s="16" t="str">
        <f t="shared" si="385"/>
        <v/>
      </c>
    </row>
    <row r="1147" spans="73:89" ht="12" customHeight="1">
      <c r="BU1147" s="16">
        <f t="shared" si="386"/>
        <v>0</v>
      </c>
      <c r="BV1147" s="16">
        <f>IF($BY$12=1,NORMDIST(BY1147,$Y$6,$Y$8,TRUE),IF($BY$12=2,IF(BY1147&lt;=$BX$31,0,IF(BY1147&gt;=$BX$32,1,(BY1147-$BX$31)*$BX$33)),SUM($BU$42:BU1147)/$BV$40))</f>
        <v>0.9987568343633566</v>
      </c>
      <c r="BW1147" s="16">
        <f t="shared" si="378"/>
        <v>2.2709594336348858E-2</v>
      </c>
      <c r="BY1147" s="16">
        <f t="shared" si="379"/>
        <v>110.499999999998</v>
      </c>
      <c r="BZ1147" s="16">
        <f t="shared" si="380"/>
        <v>2.0551669082669022E-4</v>
      </c>
      <c r="CA1147" s="16">
        <f t="shared" si="387"/>
        <v>-999</v>
      </c>
      <c r="CE1147" s="16" t="e">
        <f t="shared" si="381"/>
        <v>#N/A</v>
      </c>
      <c r="CF1147" s="16">
        <f t="shared" si="382"/>
        <v>99</v>
      </c>
      <c r="CG1147" s="16">
        <f t="shared" si="383"/>
        <v>0</v>
      </c>
      <c r="CH1147" s="16">
        <f t="shared" si="377"/>
        <v>0</v>
      </c>
      <c r="CJ1147" s="16" t="e">
        <f t="shared" si="384"/>
        <v>#N/A</v>
      </c>
      <c r="CK1147" s="16" t="str">
        <f t="shared" si="385"/>
        <v/>
      </c>
    </row>
    <row r="1148" spans="73:89" ht="12" customHeight="1">
      <c r="BU1148" s="16">
        <f t="shared" si="386"/>
        <v>0</v>
      </c>
      <c r="BV1148" s="16">
        <f>IF($BY$12=1,NORMDIST(BY1148,$Y$6,$Y$8,TRUE),IF($BY$12=2,IF(BY1148&lt;=$BX$31,0,IF(BY1148&gt;=$BX$32,1,(BY1148-$BX$31)*$BX$33)),SUM($BU$42:BU1148)/$BV$40))</f>
        <v>0.99877723130640772</v>
      </c>
      <c r="BW1148" s="16">
        <f t="shared" si="378"/>
        <v>2.2388659566528607E-2</v>
      </c>
      <c r="BY1148" s="16">
        <f t="shared" si="379"/>
        <v>110.59999999999799</v>
      </c>
      <c r="BZ1148" s="16">
        <f t="shared" si="380"/>
        <v>2.0242911000478312E-4</v>
      </c>
      <c r="CA1148" s="16">
        <f t="shared" si="387"/>
        <v>-999</v>
      </c>
      <c r="CE1148" s="16" t="e">
        <f t="shared" si="381"/>
        <v>#N/A</v>
      </c>
      <c r="CF1148" s="16">
        <f t="shared" si="382"/>
        <v>99</v>
      </c>
      <c r="CG1148" s="16">
        <f t="shared" si="383"/>
        <v>0</v>
      </c>
      <c r="CH1148" s="16">
        <f t="shared" si="377"/>
        <v>0</v>
      </c>
      <c r="CJ1148" s="16" t="e">
        <f t="shared" si="384"/>
        <v>#N/A</v>
      </c>
      <c r="CK1148" s="16" t="str">
        <f t="shared" si="385"/>
        <v/>
      </c>
    </row>
    <row r="1149" spans="73:89" ht="12" customHeight="1">
      <c r="BU1149" s="16">
        <f t="shared" si="386"/>
        <v>0</v>
      </c>
      <c r="BV1149" s="16">
        <f>IF($BY$12=1,NORMDIST(BY1149,$Y$6,$Y$8,TRUE),IF($BY$12=2,IF(BY1149&lt;=$BX$31,0,IF(BY1149&gt;=$BX$32,1,(BY1149-$BX$31)*$BX$33)),SUM($BU$42:BU1149)/$BV$40))</f>
        <v>0.99879732156540812</v>
      </c>
      <c r="BW1149" s="16">
        <f t="shared" si="378"/>
        <v>2.2071690442886517E-2</v>
      </c>
      <c r="BY1149" s="16">
        <f t="shared" si="379"/>
        <v>110.69999999999798</v>
      </c>
      <c r="BZ1149" s="16">
        <f t="shared" si="380"/>
        <v>1.9938293083005348E-4</v>
      </c>
      <c r="CA1149" s="16">
        <f t="shared" si="387"/>
        <v>-999</v>
      </c>
      <c r="CE1149" s="16" t="e">
        <f t="shared" si="381"/>
        <v>#N/A</v>
      </c>
      <c r="CF1149" s="16">
        <f t="shared" si="382"/>
        <v>99</v>
      </c>
      <c r="CG1149" s="16">
        <f t="shared" si="383"/>
        <v>0</v>
      </c>
      <c r="CH1149" s="16">
        <f t="shared" si="377"/>
        <v>0</v>
      </c>
      <c r="CJ1149" s="16" t="e">
        <f t="shared" si="384"/>
        <v>#N/A</v>
      </c>
      <c r="CK1149" s="16" t="str">
        <f t="shared" si="385"/>
        <v/>
      </c>
    </row>
    <row r="1150" spans="73:89" ht="12" customHeight="1">
      <c r="BU1150" s="16">
        <f t="shared" si="386"/>
        <v>0</v>
      </c>
      <c r="BV1150" s="16">
        <f>IF($BY$12=1,NORMDIST(BY1150,$Y$6,$Y$8,TRUE),IF($BY$12=2,IF(BY1150&lt;=$BX$31,0,IF(BY1150&gt;=$BX$32,1,(BY1150-$BX$31)*$BX$33)),SUM($BU$42:BU1150)/$BV$40))</f>
        <v>0.99881710925689537</v>
      </c>
      <c r="BW1150" s="16">
        <f t="shared" si="378"/>
        <v>2.1758647104249563E-2</v>
      </c>
      <c r="BY1150" s="16">
        <f t="shared" si="379"/>
        <v>110.79999999999798</v>
      </c>
      <c r="BZ1150" s="16">
        <f t="shared" si="380"/>
        <v>1.9637768144629928E-4</v>
      </c>
      <c r="CA1150" s="16">
        <f t="shared" si="387"/>
        <v>-999</v>
      </c>
      <c r="CE1150" s="16" t="e">
        <f t="shared" si="381"/>
        <v>#N/A</v>
      </c>
      <c r="CF1150" s="16">
        <f t="shared" si="382"/>
        <v>99</v>
      </c>
      <c r="CG1150" s="16">
        <f t="shared" si="383"/>
        <v>0</v>
      </c>
      <c r="CH1150" s="16">
        <f t="shared" si="377"/>
        <v>0</v>
      </c>
      <c r="CJ1150" s="16" t="e">
        <f t="shared" si="384"/>
        <v>#N/A</v>
      </c>
      <c r="CK1150" s="16" t="str">
        <f t="shared" si="385"/>
        <v/>
      </c>
    </row>
    <row r="1151" spans="73:89" ht="12" customHeight="1">
      <c r="BU1151" s="16">
        <f t="shared" si="386"/>
        <v>0</v>
      </c>
      <c r="BV1151" s="16">
        <f>IF($BY$12=1,NORMDIST(BY1151,$Y$6,$Y$8,TRUE),IF($BY$12=2,IF(BY1151&lt;=$BX$31,0,IF(BY1151&gt;=$BX$32,1,(BY1151-$BX$31)*$BX$33)),SUM($BU$42:BU1151)/$BV$40))</f>
        <v>0.99883659845042572</v>
      </c>
      <c r="BW1151" s="16">
        <f t="shared" si="378"/>
        <v>2.144948995093416E-2</v>
      </c>
      <c r="BY1151" s="16">
        <f t="shared" si="379"/>
        <v>110.89999999999797</v>
      </c>
      <c r="BZ1151" s="16">
        <f t="shared" si="380"/>
        <v>1.934128940571195E-4</v>
      </c>
      <c r="CA1151" s="16">
        <f t="shared" si="387"/>
        <v>-999</v>
      </c>
      <c r="CE1151" s="16" t="e">
        <f t="shared" si="381"/>
        <v>#N/A</v>
      </c>
      <c r="CF1151" s="16">
        <f t="shared" si="382"/>
        <v>99</v>
      </c>
      <c r="CG1151" s="16">
        <f t="shared" si="383"/>
        <v>0</v>
      </c>
      <c r="CH1151" s="16">
        <f t="shared" si="377"/>
        <v>0</v>
      </c>
      <c r="CJ1151" s="16" t="e">
        <f t="shared" si="384"/>
        <v>#N/A</v>
      </c>
      <c r="CK1151" s="16" t="str">
        <f t="shared" si="385"/>
        <v/>
      </c>
    </row>
    <row r="1152" spans="73:89" ht="12" customHeight="1">
      <c r="BU1152" s="16">
        <f t="shared" si="386"/>
        <v>0</v>
      </c>
      <c r="BV1152" s="16">
        <f>IF($BY$12=1,NORMDIST(BY1152,$Y$6,$Y$8,TRUE),IF($BY$12=2,IF(BY1152&lt;=$BX$31,0,IF(BY1152&gt;=$BX$32,1,(BY1152-$BX$31)*$BX$33)),SUM($BU$42:BU1152)/$BV$40))</f>
        <v>0.99885579316897677</v>
      </c>
      <c r="BW1152" s="16">
        <f t="shared" si="378"/>
        <v>2.1144179645137189E-2</v>
      </c>
      <c r="BY1152" s="16">
        <f t="shared" si="379"/>
        <v>110.99999999999797</v>
      </c>
      <c r="BZ1152" s="16">
        <f t="shared" si="380"/>
        <v>1.9048810491114934E-4</v>
      </c>
      <c r="CA1152" s="16">
        <f t="shared" si="387"/>
        <v>-999</v>
      </c>
      <c r="CE1152" s="16" t="e">
        <f t="shared" si="381"/>
        <v>#N/A</v>
      </c>
      <c r="CF1152" s="16">
        <f t="shared" si="382"/>
        <v>99</v>
      </c>
      <c r="CG1152" s="16">
        <f t="shared" si="383"/>
        <v>0</v>
      </c>
      <c r="CH1152" s="16">
        <f t="shared" si="377"/>
        <v>0</v>
      </c>
      <c r="CJ1152" s="16" t="e">
        <f t="shared" si="384"/>
        <v>#N/A</v>
      </c>
      <c r="CK1152" s="16" t="str">
        <f t="shared" si="385"/>
        <v/>
      </c>
    </row>
    <row r="1153" spans="73:89" ht="12" customHeight="1">
      <c r="BU1153" s="16">
        <f t="shared" si="386"/>
        <v>0</v>
      </c>
      <c r="BV1153" s="16">
        <f>IF($BY$12=1,NORMDIST(BY1153,$Y$6,$Y$8,TRUE),IF($BY$12=2,IF(BY1153&lt;=$BX$31,0,IF(BY1153&gt;=$BX$32,1,(BY1153-$BX$31)*$BX$33)),SUM($BU$42:BU1153)/$BV$40))</f>
        <v>0.99887469738935375</v>
      </c>
      <c r="BW1153" s="16">
        <f t="shared" si="378"/>
        <v>2.0842677111286845E-2</v>
      </c>
      <c r="BY1153" s="16">
        <f t="shared" si="379"/>
        <v>111.09999999999796</v>
      </c>
      <c r="BZ1153" s="16">
        <f t="shared" si="380"/>
        <v>1.8760285428701375E-4</v>
      </c>
      <c r="CA1153" s="16">
        <f t="shared" si="387"/>
        <v>-999</v>
      </c>
      <c r="CE1153" s="16" t="e">
        <f t="shared" si="381"/>
        <v>#N/A</v>
      </c>
      <c r="CF1153" s="16">
        <f t="shared" si="382"/>
        <v>99</v>
      </c>
      <c r="CG1153" s="16">
        <f t="shared" si="383"/>
        <v>0</v>
      </c>
      <c r="CH1153" s="16">
        <f t="shared" si="377"/>
        <v>0</v>
      </c>
      <c r="CJ1153" s="16" t="e">
        <f t="shared" si="384"/>
        <v>#N/A</v>
      </c>
      <c r="CK1153" s="16" t="str">
        <f t="shared" si="385"/>
        <v/>
      </c>
    </row>
    <row r="1154" spans="73:89" ht="12" customHeight="1">
      <c r="BU1154" s="16">
        <f t="shared" si="386"/>
        <v>0</v>
      </c>
      <c r="BV1154" s="16">
        <f>IF($BY$12=1,NORMDIST(BY1154,$Y$6,$Y$8,TRUE),IF($BY$12=2,IF(BY1154&lt;=$BX$31,0,IF(BY1154&gt;=$BX$32,1,(BY1154-$BX$31)*$BX$33)),SUM($BU$42:BU1154)/$BV$40))</f>
        <v>0.99889331504259071</v>
      </c>
      <c r="BW1154" s="16">
        <f t="shared" si="378"/>
        <v>2.0544943536354277E-2</v>
      </c>
      <c r="BY1154" s="16">
        <f t="shared" si="379"/>
        <v>111.19999999999796</v>
      </c>
      <c r="BZ1154" s="16">
        <f t="shared" si="380"/>
        <v>1.8475668647800948E-4</v>
      </c>
      <c r="CA1154" s="16">
        <f t="shared" si="387"/>
        <v>-999</v>
      </c>
      <c r="CE1154" s="16" t="e">
        <f t="shared" si="381"/>
        <v>#N/A</v>
      </c>
      <c r="CF1154" s="16">
        <f t="shared" si="382"/>
        <v>99</v>
      </c>
      <c r="CG1154" s="16">
        <f t="shared" si="383"/>
        <v>0</v>
      </c>
      <c r="CH1154" s="16">
        <f t="shared" si="377"/>
        <v>0</v>
      </c>
      <c r="CJ1154" s="16" t="e">
        <f t="shared" si="384"/>
        <v>#N/A</v>
      </c>
      <c r="CK1154" s="16" t="str">
        <f t="shared" si="385"/>
        <v/>
      </c>
    </row>
    <row r="1155" spans="73:89" ht="12" customHeight="1">
      <c r="BU1155" s="16">
        <f t="shared" si="386"/>
        <v>0</v>
      </c>
      <c r="BV1155" s="16">
        <f>IF($BY$12=1,NORMDIST(BY1155,$Y$6,$Y$8,TRUE),IF($BY$12=2,IF(BY1155&lt;=$BX$31,0,IF(BY1155&gt;=$BX$32,1,(BY1155-$BX$31)*$BX$33)),SUM($BU$42:BU1155)/$BV$40))</f>
        <v>0.99891165001434834</v>
      </c>
      <c r="BW1155" s="16">
        <f t="shared" si="378"/>
        <v>2.0250940370126369E-2</v>
      </c>
      <c r="BY1155" s="16">
        <f t="shared" si="379"/>
        <v>111.29999999999795</v>
      </c>
      <c r="BZ1155" s="16">
        <f t="shared" si="380"/>
        <v>1.819491497765206E-4</v>
      </c>
      <c r="CA1155" s="16">
        <f t="shared" si="387"/>
        <v>-999</v>
      </c>
      <c r="CE1155" s="16" t="e">
        <f t="shared" si="381"/>
        <v>#N/A</v>
      </c>
      <c r="CF1155" s="16">
        <f t="shared" si="382"/>
        <v>99</v>
      </c>
      <c r="CG1155" s="16">
        <f t="shared" si="383"/>
        <v>0</v>
      </c>
      <c r="CH1155" s="16">
        <f t="shared" ref="CH1155:CH1218" si="388">IF(CB1155="",0,1)</f>
        <v>0</v>
      </c>
      <c r="CJ1155" s="16" t="e">
        <f t="shared" si="384"/>
        <v>#N/A</v>
      </c>
      <c r="CK1155" s="16" t="str">
        <f t="shared" si="385"/>
        <v/>
      </c>
    </row>
    <row r="1156" spans="73:89" ht="12" customHeight="1">
      <c r="BU1156" s="16">
        <f t="shared" si="386"/>
        <v>0</v>
      </c>
      <c r="BV1156" s="16">
        <f>IF($BY$12=1,NORMDIST(BY1156,$Y$6,$Y$8,TRUE),IF($BY$12=2,IF(BY1156&lt;=$BX$31,0,IF(BY1156&gt;=$BX$32,1,(BY1156-$BX$31)*$BX$33)),SUM($BU$42:BU1156)/$BV$40))</f>
        <v>0.99892970614532073</v>
      </c>
      <c r="BW1156" s="16">
        <f t="shared" si="378"/>
        <v>1.9960629325440276E-2</v>
      </c>
      <c r="BY1156" s="16">
        <f t="shared" si="379"/>
        <v>111.39999999999795</v>
      </c>
      <c r="BZ1156" s="16">
        <f t="shared" si="380"/>
        <v>1.7917979645817455E-4</v>
      </c>
      <c r="CA1156" s="16">
        <f t="shared" si="387"/>
        <v>-999</v>
      </c>
      <c r="CE1156" s="16" t="e">
        <f t="shared" si="381"/>
        <v>#N/A</v>
      </c>
      <c r="CF1156" s="16">
        <f t="shared" si="382"/>
        <v>99</v>
      </c>
      <c r="CG1156" s="16">
        <f t="shared" si="383"/>
        <v>0</v>
      </c>
      <c r="CH1156" s="16">
        <f t="shared" si="388"/>
        <v>0</v>
      </c>
      <c r="CJ1156" s="16" t="e">
        <f t="shared" si="384"/>
        <v>#N/A</v>
      </c>
      <c r="CK1156" s="16" t="str">
        <f t="shared" si="385"/>
        <v/>
      </c>
    </row>
    <row r="1157" spans="73:89" ht="12" customHeight="1">
      <c r="BU1157" s="16">
        <f t="shared" si="386"/>
        <v>0</v>
      </c>
      <c r="BV1157" s="16">
        <f>IF($BY$12=1,NORMDIST(BY1157,$Y$6,$Y$8,TRUE),IF($BY$12=2,IF(BY1157&lt;=$BX$31,0,IF(BY1157&gt;=$BX$32,1,(BY1157-$BX$31)*$BX$33)),SUM($BU$42:BU1157)/$BV$40))</f>
        <v>0.99894748723162397</v>
      </c>
      <c r="BW1157" s="16">
        <f t="shared" si="378"/>
        <v>1.9673972378380079E-2</v>
      </c>
      <c r="BY1157" s="16">
        <f t="shared" si="379"/>
        <v>111.49999999999794</v>
      </c>
      <c r="BZ1157" s="16">
        <f t="shared" si="380"/>
        <v>1.7644818276574387E-4</v>
      </c>
      <c r="CA1157" s="16">
        <f t="shared" si="387"/>
        <v>-999</v>
      </c>
      <c r="CE1157" s="16" t="e">
        <f t="shared" si="381"/>
        <v>#N/A</v>
      </c>
      <c r="CF1157" s="16">
        <f t="shared" si="382"/>
        <v>99</v>
      </c>
      <c r="CG1157" s="16">
        <f t="shared" si="383"/>
        <v>0</v>
      </c>
      <c r="CH1157" s="16">
        <f t="shared" si="388"/>
        <v>0</v>
      </c>
      <c r="CJ1157" s="16" t="e">
        <f t="shared" si="384"/>
        <v>#N/A</v>
      </c>
      <c r="CK1157" s="16" t="str">
        <f t="shared" si="385"/>
        <v/>
      </c>
    </row>
    <row r="1158" spans="73:89" ht="12" customHeight="1">
      <c r="BU1158" s="16">
        <f t="shared" si="386"/>
        <v>0</v>
      </c>
      <c r="BV1158" s="16">
        <f>IF($BY$12=1,NORMDIST(BY1158,$Y$6,$Y$8,TRUE),IF($BY$12=2,IF(BY1158&lt;=$BX$31,0,IF(BY1158&gt;=$BX$32,1,(BY1158-$BX$31)*$BX$33)),SUM($BU$42:BU1158)/$BV$40))</f>
        <v>0.99896499702519703</v>
      </c>
      <c r="BW1158" s="16">
        <f t="shared" si="378"/>
        <v>1.9390931768436356E-2</v>
      </c>
      <c r="BY1158" s="16">
        <f t="shared" si="379"/>
        <v>111.59999999999793</v>
      </c>
      <c r="BZ1158" s="16">
        <f t="shared" si="380"/>
        <v>1.7375386889280212E-4</v>
      </c>
      <c r="CA1158" s="16">
        <f t="shared" si="387"/>
        <v>-999</v>
      </c>
      <c r="CE1158" s="16" t="e">
        <f t="shared" si="381"/>
        <v>#N/A</v>
      </c>
      <c r="CF1158" s="16">
        <f t="shared" si="382"/>
        <v>99</v>
      </c>
      <c r="CG1158" s="16">
        <f t="shared" si="383"/>
        <v>0</v>
      </c>
      <c r="CH1158" s="16">
        <f t="shared" si="388"/>
        <v>0</v>
      </c>
      <c r="CJ1158" s="16" t="e">
        <f t="shared" si="384"/>
        <v>#N/A</v>
      </c>
      <c r="CK1158" s="16" t="str">
        <f t="shared" si="385"/>
        <v/>
      </c>
    </row>
    <row r="1159" spans="73:89" ht="12" customHeight="1">
      <c r="BU1159" s="16">
        <f t="shared" si="386"/>
        <v>0</v>
      </c>
      <c r="BV1159" s="16">
        <f>IF($BY$12=1,NORMDIST(BY1159,$Y$6,$Y$8,TRUE),IF($BY$12=2,IF(BY1159&lt;=$BX$31,0,IF(BY1159&gt;=$BX$32,1,(BY1159-$BX$31)*$BX$33)),SUM($BU$42:BU1159)/$BV$40))</f>
        <v>0.99898223923419605</v>
      </c>
      <c r="BW1159" s="16">
        <f t="shared" si="378"/>
        <v>1.9111469998628811E-2</v>
      </c>
      <c r="BY1159" s="16">
        <f t="shared" si="379"/>
        <v>111.69999999999793</v>
      </c>
      <c r="BZ1159" s="16">
        <f t="shared" si="380"/>
        <v>1.7109641896713665E-4</v>
      </c>
      <c r="CA1159" s="16">
        <f t="shared" si="387"/>
        <v>-999</v>
      </c>
      <c r="CE1159" s="16" t="e">
        <f t="shared" si="381"/>
        <v>#N/A</v>
      </c>
      <c r="CF1159" s="16">
        <f t="shared" si="382"/>
        <v>99</v>
      </c>
      <c r="CG1159" s="16">
        <f t="shared" si="383"/>
        <v>0</v>
      </c>
      <c r="CH1159" s="16">
        <f t="shared" si="388"/>
        <v>0</v>
      </c>
      <c r="CJ1159" s="16" t="e">
        <f t="shared" si="384"/>
        <v>#N/A</v>
      </c>
      <c r="CK1159" s="16" t="str">
        <f t="shared" si="385"/>
        <v/>
      </c>
    </row>
    <row r="1160" spans="73:89" ht="12" customHeight="1">
      <c r="BU1160" s="16">
        <f t="shared" si="386"/>
        <v>0</v>
      </c>
      <c r="BV1160" s="16">
        <f>IF($BY$12=1,NORMDIST(BY1160,$Y$6,$Y$8,TRUE),IF($BY$12=2,IF(BY1160&lt;=$BX$31,0,IF(BY1160&gt;=$BX$32,1,(BY1160-$BX$31)*$BX$33)),SUM($BU$42:BU1160)/$BV$40))</f>
        <v>0.99899921752338572</v>
      </c>
      <c r="BW1160" s="16">
        <f t="shared" si="378"/>
        <v>1.8835549835592803E-2</v>
      </c>
      <c r="BY1160" s="16">
        <f t="shared" si="379"/>
        <v>111.79999999999792</v>
      </c>
      <c r="BZ1160" s="16">
        <f t="shared" si="380"/>
        <v>1.6847540103392803E-4</v>
      </c>
      <c r="CA1160" s="16">
        <f t="shared" si="387"/>
        <v>-999</v>
      </c>
      <c r="CE1160" s="16" t="e">
        <f t="shared" si="381"/>
        <v>#N/A</v>
      </c>
      <c r="CF1160" s="16">
        <f t="shared" si="382"/>
        <v>99</v>
      </c>
      <c r="CG1160" s="16">
        <f t="shared" si="383"/>
        <v>0</v>
      </c>
      <c r="CH1160" s="16">
        <f t="shared" si="388"/>
        <v>0</v>
      </c>
      <c r="CJ1160" s="16" t="e">
        <f t="shared" si="384"/>
        <v>#N/A</v>
      </c>
      <c r="CK1160" s="16" t="str">
        <f t="shared" si="385"/>
        <v/>
      </c>
    </row>
    <row r="1161" spans="73:89" ht="12" customHeight="1">
      <c r="BU1161" s="16">
        <f t="shared" si="386"/>
        <v>0</v>
      </c>
      <c r="BV1161" s="16">
        <f>IF($BY$12=1,NORMDIST(BY1161,$Y$6,$Y$8,TRUE),IF($BY$12=2,IF(BY1161&lt;=$BX$31,0,IF(BY1161&gt;=$BX$32,1,(BY1161-$BX$31)*$BX$33)),SUM($BU$42:BU1161)/$BV$40))</f>
        <v>0.99901593551453016</v>
      </c>
      <c r="BW1161" s="16">
        <f t="shared" si="378"/>
        <v>1.8563134309630261E-2</v>
      </c>
      <c r="BY1161" s="16">
        <f t="shared" si="379"/>
        <v>111.89999999999792</v>
      </c>
      <c r="BZ1161" s="16">
        <f t="shared" si="380"/>
        <v>1.6589038703870068E-4</v>
      </c>
      <c r="CA1161" s="16">
        <f t="shared" si="387"/>
        <v>-999</v>
      </c>
      <c r="CE1161" s="16" t="e">
        <f t="shared" si="381"/>
        <v>#N/A</v>
      </c>
      <c r="CF1161" s="16">
        <f t="shared" si="382"/>
        <v>99</v>
      </c>
      <c r="CG1161" s="16">
        <f t="shared" si="383"/>
        <v>0</v>
      </c>
      <c r="CH1161" s="16">
        <f t="shared" si="388"/>
        <v>0</v>
      </c>
      <c r="CJ1161" s="16" t="e">
        <f t="shared" si="384"/>
        <v>#N/A</v>
      </c>
      <c r="CK1161" s="16" t="str">
        <f t="shared" si="385"/>
        <v/>
      </c>
    </row>
    <row r="1162" spans="73:89" ht="12" customHeight="1">
      <c r="BU1162" s="16">
        <f t="shared" si="386"/>
        <v>0</v>
      </c>
      <c r="BV1162" s="16">
        <f>IF($BY$12=1,NORMDIST(BY1162,$Y$6,$Y$8,TRUE),IF($BY$12=2,IF(BY1162&lt;=$BX$31,0,IF(BY1162&gt;=$BX$32,1,(BY1162-$BX$31)*$BX$33)),SUM($BU$42:BU1162)/$BV$40))</f>
        <v>0.99903239678678124</v>
      </c>
      <c r="BW1162" s="16">
        <f t="shared" si="378"/>
        <v>1.8294186714725134E-2</v>
      </c>
      <c r="BY1162" s="16">
        <f t="shared" si="379"/>
        <v>111.99999999999791</v>
      </c>
      <c r="BZ1162" s="16">
        <f t="shared" si="380"/>
        <v>1.6334095281004887E-4</v>
      </c>
      <c r="CA1162" s="16">
        <f t="shared" si="387"/>
        <v>-999</v>
      </c>
      <c r="CE1162" s="16" t="e">
        <f t="shared" si="381"/>
        <v>#N/A</v>
      </c>
      <c r="CF1162" s="16">
        <f t="shared" si="382"/>
        <v>99</v>
      </c>
      <c r="CG1162" s="16">
        <f t="shared" si="383"/>
        <v>0</v>
      </c>
      <c r="CH1162" s="16">
        <f t="shared" si="388"/>
        <v>0</v>
      </c>
      <c r="CJ1162" s="16" t="e">
        <f t="shared" si="384"/>
        <v>#N/A</v>
      </c>
      <c r="CK1162" s="16" t="str">
        <f t="shared" si="385"/>
        <v/>
      </c>
    </row>
    <row r="1163" spans="73:89" ht="12" customHeight="1">
      <c r="BU1163" s="16">
        <f t="shared" si="386"/>
        <v>0</v>
      </c>
      <c r="BV1163" s="16">
        <f>IF($BY$12=1,NORMDIST(BY1163,$Y$6,$Y$8,TRUE),IF($BY$12=2,IF(BY1163&lt;=$BX$31,0,IF(BY1163&gt;=$BX$32,1,(BY1163-$BX$31)*$BX$33)),SUM($BU$42:BU1163)/$BV$40))</f>
        <v>0.99904860487706937</v>
      </c>
      <c r="BW1163" s="16">
        <f t="shared" si="378"/>
        <v>1.8028670608524519E-2</v>
      </c>
      <c r="BY1163" s="16">
        <f t="shared" si="379"/>
        <v>112.09999999999791</v>
      </c>
      <c r="BZ1163" s="16">
        <f t="shared" si="380"/>
        <v>1.6082667804214859E-4</v>
      </c>
      <c r="CA1163" s="16">
        <f t="shared" si="387"/>
        <v>-999</v>
      </c>
      <c r="CE1163" s="16" t="e">
        <f t="shared" si="381"/>
        <v>#N/A</v>
      </c>
      <c r="CF1163" s="16">
        <f t="shared" si="382"/>
        <v>99</v>
      </c>
      <c r="CG1163" s="16">
        <f t="shared" si="383"/>
        <v>0</v>
      </c>
      <c r="CH1163" s="16">
        <f t="shared" si="388"/>
        <v>0</v>
      </c>
      <c r="CJ1163" s="16" t="e">
        <f t="shared" si="384"/>
        <v>#N/A</v>
      </c>
      <c r="CK1163" s="16" t="str">
        <f t="shared" si="385"/>
        <v/>
      </c>
    </row>
    <row r="1164" spans="73:89" ht="12" customHeight="1">
      <c r="BU1164" s="16">
        <f t="shared" si="386"/>
        <v>0</v>
      </c>
      <c r="BV1164" s="16">
        <f>IF($BY$12=1,NORMDIST(BY1164,$Y$6,$Y$8,TRUE),IF($BY$12=2,IF(BY1164&lt;=$BX$31,0,IF(BY1164&gt;=$BX$32,1,(BY1164-$BX$31)*$BX$33)),SUM($BU$42:BU1164)/$BV$40))</f>
        <v>0.99906456328048621</v>
      </c>
      <c r="BW1164" s="16">
        <f t="shared" si="378"/>
        <v>1.7766549812285308E-2</v>
      </c>
      <c r="BY1164" s="16">
        <f t="shared" si="379"/>
        <v>112.1999999999979</v>
      </c>
      <c r="BZ1164" s="16">
        <f t="shared" si="380"/>
        <v>1.5834714627705563E-4</v>
      </c>
      <c r="CA1164" s="16">
        <f t="shared" si="387"/>
        <v>-999</v>
      </c>
      <c r="CE1164" s="16" t="e">
        <f t="shared" si="381"/>
        <v>#N/A</v>
      </c>
      <c r="CF1164" s="16">
        <f t="shared" si="382"/>
        <v>99</v>
      </c>
      <c r="CG1164" s="16">
        <f t="shared" si="383"/>
        <v>0</v>
      </c>
      <c r="CH1164" s="16">
        <f t="shared" si="388"/>
        <v>0</v>
      </c>
      <c r="CJ1164" s="16" t="e">
        <f t="shared" si="384"/>
        <v>#N/A</v>
      </c>
      <c r="CK1164" s="16" t="str">
        <f t="shared" si="385"/>
        <v/>
      </c>
    </row>
    <row r="1165" spans="73:89" ht="12" customHeight="1">
      <c r="BU1165" s="16">
        <f t="shared" si="386"/>
        <v>0</v>
      </c>
      <c r="BV1165" s="16">
        <f>IF($BY$12=1,NORMDIST(BY1165,$Y$6,$Y$8,TRUE),IF($BY$12=2,IF(BY1165&lt;=$BX$31,0,IF(BY1165&gt;=$BX$32,1,(BY1165-$BX$31)*$BX$33)),SUM($BU$42:BU1165)/$BV$40))</f>
        <v>0.99908027545066602</v>
      </c>
      <c r="BW1165" s="16">
        <f t="shared" si="378"/>
        <v>1.7507788410787477E-2</v>
      </c>
      <c r="BY1165" s="16">
        <f t="shared" si="379"/>
        <v>112.29999999999789</v>
      </c>
      <c r="BZ1165" s="16">
        <f t="shared" si="380"/>
        <v>1.5590194488680146E-4</v>
      </c>
      <c r="CA1165" s="16">
        <f t="shared" si="387"/>
        <v>-999</v>
      </c>
      <c r="CE1165" s="16" t="e">
        <f t="shared" si="381"/>
        <v>#N/A</v>
      </c>
      <c r="CF1165" s="16">
        <f t="shared" si="382"/>
        <v>99</v>
      </c>
      <c r="CG1165" s="16">
        <f t="shared" si="383"/>
        <v>0</v>
      </c>
      <c r="CH1165" s="16">
        <f t="shared" si="388"/>
        <v>0</v>
      </c>
      <c r="CJ1165" s="16" t="e">
        <f t="shared" si="384"/>
        <v>#N/A</v>
      </c>
      <c r="CK1165" s="16" t="str">
        <f t="shared" si="385"/>
        <v/>
      </c>
    </row>
    <row r="1166" spans="73:89" ht="12" customHeight="1">
      <c r="BU1166" s="16">
        <f t="shared" si="386"/>
        <v>0</v>
      </c>
      <c r="BV1166" s="16">
        <f>IF($BY$12=1,NORMDIST(BY1166,$Y$6,$Y$8,TRUE),IF($BY$12=2,IF(BY1166&lt;=$BX$31,0,IF(BY1166&gt;=$BX$32,1,(BY1166-$BX$31)*$BX$33)),SUM($BU$42:BU1166)/$BV$40))</f>
        <v>0.9990957448001776</v>
      </c>
      <c r="BW1166" s="16">
        <f t="shared" si="378"/>
        <v>1.7252350752213999E-2</v>
      </c>
      <c r="BY1166" s="16">
        <f t="shared" si="379"/>
        <v>112.39999999999789</v>
      </c>
      <c r="BZ1166" s="16">
        <f t="shared" si="380"/>
        <v>1.5349066505528758E-4</v>
      </c>
      <c r="CA1166" s="16">
        <f t="shared" si="387"/>
        <v>-999</v>
      </c>
      <c r="CE1166" s="16" t="e">
        <f t="shared" si="381"/>
        <v>#N/A</v>
      </c>
      <c r="CF1166" s="16">
        <f t="shared" si="382"/>
        <v>99</v>
      </c>
      <c r="CG1166" s="16">
        <f t="shared" si="383"/>
        <v>0</v>
      </c>
      <c r="CH1166" s="16">
        <f t="shared" si="388"/>
        <v>0</v>
      </c>
      <c r="CJ1166" s="16" t="e">
        <f t="shared" si="384"/>
        <v>#N/A</v>
      </c>
      <c r="CK1166" s="16" t="str">
        <f t="shared" si="385"/>
        <v/>
      </c>
    </row>
    <row r="1167" spans="73:89" ht="12" customHeight="1">
      <c r="BU1167" s="16">
        <f t="shared" si="386"/>
        <v>0</v>
      </c>
      <c r="BV1167" s="16">
        <f>IF($BY$12=1,NORMDIST(BY1167,$Y$6,$Y$8,TRUE),IF($BY$12=2,IF(BY1167&lt;=$BX$31,0,IF(BY1167&gt;=$BX$32,1,(BY1167-$BX$31)*$BX$33)),SUM($BU$42:BU1167)/$BV$40))</f>
        <v>0.99911097470089194</v>
      </c>
      <c r="BW1167" s="16">
        <f t="shared" si="378"/>
        <v>1.7000201447998298E-2</v>
      </c>
      <c r="BY1167" s="16">
        <f t="shared" si="379"/>
        <v>112.49999999999788</v>
      </c>
      <c r="BZ1167" s="16">
        <f t="shared" si="380"/>
        <v>1.5111290175998771E-4</v>
      </c>
      <c r="CA1167" s="16">
        <f t="shared" si="387"/>
        <v>-999</v>
      </c>
      <c r="CE1167" s="16" t="e">
        <f t="shared" si="381"/>
        <v>#N/A</v>
      </c>
      <c r="CF1167" s="16">
        <f t="shared" si="382"/>
        <v>99</v>
      </c>
      <c r="CG1167" s="16">
        <f t="shared" si="383"/>
        <v>0</v>
      </c>
      <c r="CH1167" s="16">
        <f t="shared" si="388"/>
        <v>0</v>
      </c>
      <c r="CJ1167" s="16" t="e">
        <f t="shared" si="384"/>
        <v>#N/A</v>
      </c>
      <c r="CK1167" s="16" t="str">
        <f t="shared" si="385"/>
        <v/>
      </c>
    </row>
    <row r="1168" spans="73:89" ht="12" customHeight="1">
      <c r="BU1168" s="16">
        <f t="shared" si="386"/>
        <v>0</v>
      </c>
      <c r="BV1168" s="16">
        <f>IF($BY$12=1,NORMDIST(BY1168,$Y$6,$Y$8,TRUE),IF($BY$12=2,IF(BY1168&lt;=$BX$31,0,IF(BY1168&gt;=$BX$32,1,(BY1168-$BX$31)*$BX$33)),SUM($BU$42:BU1168)/$BV$40))</f>
        <v>0.99912596848436785</v>
      </c>
      <c r="BW1168" s="16">
        <f t="shared" si="378"/>
        <v>1.6751305372639514E-2</v>
      </c>
      <c r="BY1168" s="16">
        <f t="shared" si="379"/>
        <v>112.59999999999788</v>
      </c>
      <c r="BZ1168" s="16">
        <f t="shared" si="380"/>
        <v>1.4876825375346209E-4</v>
      </c>
      <c r="CA1168" s="16">
        <f t="shared" si="387"/>
        <v>-999</v>
      </c>
      <c r="CE1168" s="16" t="e">
        <f t="shared" si="381"/>
        <v>#N/A</v>
      </c>
      <c r="CF1168" s="16">
        <f t="shared" si="382"/>
        <v>99</v>
      </c>
      <c r="CG1168" s="16">
        <f t="shared" si="383"/>
        <v>0</v>
      </c>
      <c r="CH1168" s="16">
        <f t="shared" si="388"/>
        <v>0</v>
      </c>
      <c r="CJ1168" s="16" t="e">
        <f t="shared" si="384"/>
        <v>#N/A</v>
      </c>
      <c r="CK1168" s="16" t="str">
        <f t="shared" si="385"/>
        <v/>
      </c>
    </row>
    <row r="1169" spans="73:89" ht="12" customHeight="1">
      <c r="BU1169" s="16">
        <f t="shared" si="386"/>
        <v>0</v>
      </c>
      <c r="BV1169" s="16">
        <f>IF($BY$12=1,NORMDIST(BY1169,$Y$6,$Y$8,TRUE),IF($BY$12=2,IF(BY1169&lt;=$BX$31,0,IF(BY1169&gt;=$BX$32,1,(BY1169-$BX$31)*$BX$33)),SUM($BU$42:BU1169)/$BV$40))</f>
        <v>0.99914072944223098</v>
      </c>
      <c r="BW1169" s="16">
        <f t="shared" si="378"/>
        <v>1.6505627663486112E-2</v>
      </c>
      <c r="BY1169" s="16">
        <f t="shared" si="379"/>
        <v>112.69999999999787</v>
      </c>
      <c r="BZ1169" s="16">
        <f t="shared" si="380"/>
        <v>1.4645632354468876E-4</v>
      </c>
      <c r="CA1169" s="16">
        <f t="shared" si="387"/>
        <v>-999</v>
      </c>
      <c r="CE1169" s="16" t="e">
        <f t="shared" si="381"/>
        <v>#N/A</v>
      </c>
      <c r="CF1169" s="16">
        <f t="shared" si="382"/>
        <v>99</v>
      </c>
      <c r="CG1169" s="16">
        <f t="shared" si="383"/>
        <v>0</v>
      </c>
      <c r="CH1169" s="16">
        <f t="shared" si="388"/>
        <v>0</v>
      </c>
      <c r="CJ1169" s="16" t="e">
        <f t="shared" si="384"/>
        <v>#N/A</v>
      </c>
      <c r="CK1169" s="16" t="str">
        <f t="shared" si="385"/>
        <v/>
      </c>
    </row>
    <row r="1170" spans="73:89" ht="12" customHeight="1">
      <c r="BU1170" s="16">
        <f t="shared" si="386"/>
        <v>0</v>
      </c>
      <c r="BV1170" s="16">
        <f>IF($BY$12=1,NORMDIST(BY1170,$Y$6,$Y$8,TRUE),IF($BY$12=2,IF(BY1170&lt;=$BX$31,0,IF(BY1170&gt;=$BX$32,1,(BY1170-$BX$31)*$BX$33)),SUM($BU$42:BU1170)/$BV$40))</f>
        <v>0.99915526082654105</v>
      </c>
      <c r="BW1170" s="16">
        <f t="shared" si="378"/>
        <v>1.6263133720488546E-2</v>
      </c>
      <c r="BY1170" s="16">
        <f t="shared" si="379"/>
        <v>112.79999999999787</v>
      </c>
      <c r="BZ1170" s="16">
        <f t="shared" si="380"/>
        <v>1.4417671738022034E-4</v>
      </c>
      <c r="CA1170" s="16">
        <f t="shared" si="387"/>
        <v>-999</v>
      </c>
      <c r="CE1170" s="16" t="e">
        <f t="shared" si="381"/>
        <v>#N/A</v>
      </c>
      <c r="CF1170" s="16">
        <f t="shared" si="382"/>
        <v>99</v>
      </c>
      <c r="CG1170" s="16">
        <f t="shared" si="383"/>
        <v>0</v>
      </c>
      <c r="CH1170" s="16">
        <f t="shared" si="388"/>
        <v>0</v>
      </c>
      <c r="CJ1170" s="16" t="e">
        <f t="shared" si="384"/>
        <v>#N/A</v>
      </c>
      <c r="CK1170" s="16" t="str">
        <f t="shared" si="385"/>
        <v/>
      </c>
    </row>
    <row r="1171" spans="73:89" ht="12" customHeight="1">
      <c r="BU1171" s="16">
        <f t="shared" si="386"/>
        <v>0</v>
      </c>
      <c r="BV1171" s="16">
        <f>IF($BY$12=1,NORMDIST(BY1171,$Y$6,$Y$8,TRUE),IF($BY$12=2,IF(BY1171&lt;=$BX$31,0,IF(BY1171&gt;=$BX$32,1,(BY1171-$BX$31)*$BX$33)),SUM($BU$42:BU1171)/$BV$40))</f>
        <v>0.99916956585017003</v>
      </c>
      <c r="BW1171" s="16">
        <f t="shared" ref="BW1171:BW1234" si="389">BY1171*BZ1171</f>
        <v>1.6023789205921131E-2</v>
      </c>
      <c r="BY1171" s="16">
        <f t="shared" ref="BY1171:BY1234" si="390">BY1170+$BZ$1</f>
        <v>112.89999999999786</v>
      </c>
      <c r="BZ1171" s="16">
        <f t="shared" si="380"/>
        <v>1.4192904522516772E-4</v>
      </c>
      <c r="CA1171" s="16">
        <f t="shared" si="387"/>
        <v>-999</v>
      </c>
      <c r="CE1171" s="16" t="e">
        <f t="shared" si="381"/>
        <v>#N/A</v>
      </c>
      <c r="CF1171" s="16">
        <f t="shared" si="382"/>
        <v>99</v>
      </c>
      <c r="CG1171" s="16">
        <f t="shared" si="383"/>
        <v>0</v>
      </c>
      <c r="CH1171" s="16">
        <f t="shared" si="388"/>
        <v>0</v>
      </c>
      <c r="CJ1171" s="16" t="e">
        <f t="shared" si="384"/>
        <v>#N/A</v>
      </c>
      <c r="CK1171" s="16" t="str">
        <f t="shared" si="385"/>
        <v/>
      </c>
    </row>
    <row r="1172" spans="73:89" ht="12" customHeight="1">
      <c r="BU1172" s="16">
        <f t="shared" si="386"/>
        <v>0</v>
      </c>
      <c r="BV1172" s="16">
        <f>IF($BY$12=1,NORMDIST(BY1172,$Y$6,$Y$8,TRUE),IF($BY$12=2,IF(BY1172&lt;=$BX$31,0,IF(BY1172&gt;=$BX$32,1,(BY1172-$BX$31)*$BX$33)),SUM($BU$42:BU1172)/$BV$40))</f>
        <v>0.99918364768717072</v>
      </c>
      <c r="BW1172" s="16">
        <f t="shared" si="389"/>
        <v>1.5787560044073903E-2</v>
      </c>
      <c r="BY1172" s="16">
        <f t="shared" si="390"/>
        <v>112.99999999999785</v>
      </c>
      <c r="BZ1172" s="16">
        <f t="shared" si="380"/>
        <v>1.397129207440195E-4</v>
      </c>
      <c r="CA1172" s="16">
        <f t="shared" si="387"/>
        <v>-999</v>
      </c>
      <c r="CE1172" s="16" t="e">
        <f t="shared" si="381"/>
        <v>#N/A</v>
      </c>
      <c r="CF1172" s="16">
        <f t="shared" si="382"/>
        <v>99</v>
      </c>
      <c r="CG1172" s="16">
        <f t="shared" si="383"/>
        <v>0</v>
      </c>
      <c r="CH1172" s="16">
        <f t="shared" si="388"/>
        <v>0</v>
      </c>
      <c r="CJ1172" s="16" t="e">
        <f t="shared" si="384"/>
        <v>#N/A</v>
      </c>
      <c r="CK1172" s="16" t="str">
        <f t="shared" si="385"/>
        <v/>
      </c>
    </row>
    <row r="1173" spans="73:89" ht="12" customHeight="1">
      <c r="BU1173" s="16">
        <f t="shared" si="386"/>
        <v>0</v>
      </c>
      <c r="BV1173" s="16">
        <f>IF($BY$12=1,NORMDIST(BY1173,$Y$6,$Y$8,TRUE),IF($BY$12=2,IF(BY1173&lt;=$BX$31,0,IF(BY1173&gt;=$BX$32,1,(BY1173-$BX$31)*$BX$33)),SUM($BU$42:BU1173)/$BV$40))</f>
        <v>0.99919750947314889</v>
      </c>
      <c r="BW1173" s="16">
        <f t="shared" si="389"/>
        <v>1.5554412420914921E-2</v>
      </c>
      <c r="BY1173" s="16">
        <f t="shared" si="390"/>
        <v>113.09999999999785</v>
      </c>
      <c r="BZ1173" s="16">
        <f t="shared" si="380"/>
        <v>1.3752796128130166E-4</v>
      </c>
      <c r="CA1173" s="16">
        <f t="shared" si="387"/>
        <v>-999</v>
      </c>
      <c r="CE1173" s="16" t="e">
        <f t="shared" si="381"/>
        <v>#N/A</v>
      </c>
      <c r="CF1173" s="16">
        <f t="shared" si="382"/>
        <v>99</v>
      </c>
      <c r="CG1173" s="16">
        <f t="shared" si="383"/>
        <v>0</v>
      </c>
      <c r="CH1173" s="16">
        <f t="shared" si="388"/>
        <v>0</v>
      </c>
      <c r="CJ1173" s="16" t="e">
        <f t="shared" si="384"/>
        <v>#N/A</v>
      </c>
      <c r="CK1173" s="16" t="str">
        <f t="shared" si="385"/>
        <v/>
      </c>
    </row>
    <row r="1174" spans="73:89" ht="12" customHeight="1">
      <c r="BU1174" s="16">
        <f t="shared" si="386"/>
        <v>0</v>
      </c>
      <c r="BV1174" s="16">
        <f>IF($BY$12=1,NORMDIST(BY1174,$Y$6,$Y$8,TRUE),IF($BY$12=2,IF(BY1174&lt;=$BX$31,0,IF(BY1174&gt;=$BX$32,1,(BY1174-$BX$31)*$BX$33)),SUM($BU$42:BU1174)/$BV$40))</f>
        <v>0.99921115430562468</v>
      </c>
      <c r="BW1174" s="16">
        <f t="shared" si="389"/>
        <v>1.5324312783723306E-2</v>
      </c>
      <c r="BY1174" s="16">
        <f t="shared" si="390"/>
        <v>113.19999999999784</v>
      </c>
      <c r="BZ1174" s="16">
        <f t="shared" si="380"/>
        <v>1.3537378784208125E-4</v>
      </c>
      <c r="CA1174" s="16">
        <f t="shared" si="387"/>
        <v>-999</v>
      </c>
      <c r="CE1174" s="16" t="e">
        <f t="shared" si="381"/>
        <v>#N/A</v>
      </c>
      <c r="CF1174" s="16">
        <f t="shared" si="382"/>
        <v>99</v>
      </c>
      <c r="CG1174" s="16">
        <f t="shared" si="383"/>
        <v>0</v>
      </c>
      <c r="CH1174" s="16">
        <f t="shared" si="388"/>
        <v>0</v>
      </c>
      <c r="CJ1174" s="16" t="e">
        <f t="shared" si="384"/>
        <v>#N/A</v>
      </c>
      <c r="CK1174" s="16" t="str">
        <f t="shared" si="385"/>
        <v/>
      </c>
    </row>
    <row r="1175" spans="73:89" ht="12" customHeight="1">
      <c r="BU1175" s="16">
        <f t="shared" si="386"/>
        <v>0</v>
      </c>
      <c r="BV1175" s="16">
        <f>IF($BY$12=1,NORMDIST(BY1175,$Y$6,$Y$8,TRUE),IF($BY$12=2,IF(BY1175&lt;=$BX$31,0,IF(BY1175&gt;=$BX$32,1,(BY1175-$BX$31)*$BX$33)),SUM($BU$42:BU1175)/$BV$40))</f>
        <v>0.99922458524440205</v>
      </c>
      <c r="BW1175" s="16">
        <f t="shared" si="389"/>
        <v>1.5097227840693809E-2</v>
      </c>
      <c r="BY1175" s="16">
        <f t="shared" si="390"/>
        <v>113.29999999999784</v>
      </c>
      <c r="BZ1175" s="16">
        <f t="shared" si="380"/>
        <v>1.3325002507232213E-4</v>
      </c>
      <c r="CA1175" s="16">
        <f t="shared" si="387"/>
        <v>-999</v>
      </c>
      <c r="CE1175" s="16" t="e">
        <f t="shared" si="381"/>
        <v>#N/A</v>
      </c>
      <c r="CF1175" s="16">
        <f t="shared" si="382"/>
        <v>99</v>
      </c>
      <c r="CG1175" s="16">
        <f t="shared" si="383"/>
        <v>0</v>
      </c>
      <c r="CH1175" s="16">
        <f t="shared" si="388"/>
        <v>0</v>
      </c>
      <c r="CJ1175" s="16" t="e">
        <f t="shared" si="384"/>
        <v>#N/A</v>
      </c>
      <c r="CK1175" s="16" t="str">
        <f t="shared" si="385"/>
        <v/>
      </c>
    </row>
    <row r="1176" spans="73:89" ht="12" customHeight="1">
      <c r="BU1176" s="16">
        <f t="shared" si="386"/>
        <v>0</v>
      </c>
      <c r="BV1176" s="16">
        <f>IF($BY$12=1,NORMDIST(BY1176,$Y$6,$Y$8,TRUE),IF($BY$12=2,IF(BY1176&lt;=$BX$31,0,IF(BY1176&gt;=$BX$32,1,(BY1176-$BX$31)*$BX$33)),SUM($BU$42:BU1176)/$BV$40))</f>
        <v>0.99923780531193263</v>
      </c>
      <c r="BW1176" s="16">
        <f t="shared" si="389"/>
        <v>1.4873124560513233E-2</v>
      </c>
      <c r="BY1176" s="16">
        <f t="shared" si="390"/>
        <v>113.39999999999783</v>
      </c>
      <c r="BZ1176" s="16">
        <f t="shared" si="380"/>
        <v>1.3115630123909628E-4</v>
      </c>
      <c r="CA1176" s="16">
        <f t="shared" si="387"/>
        <v>-999</v>
      </c>
      <c r="CE1176" s="16" t="e">
        <f t="shared" si="381"/>
        <v>#N/A</v>
      </c>
      <c r="CF1176" s="16">
        <f t="shared" si="382"/>
        <v>99</v>
      </c>
      <c r="CG1176" s="16">
        <f t="shared" si="383"/>
        <v>0</v>
      </c>
      <c r="CH1176" s="16">
        <f t="shared" si="388"/>
        <v>0</v>
      </c>
      <c r="CJ1176" s="16" t="e">
        <f t="shared" si="384"/>
        <v>#N/A</v>
      </c>
      <c r="CK1176" s="16" t="str">
        <f t="shared" si="385"/>
        <v/>
      </c>
    </row>
    <row r="1177" spans="73:89" ht="12" customHeight="1">
      <c r="BU1177" s="16">
        <f t="shared" si="386"/>
        <v>0</v>
      </c>
      <c r="BV1177" s="16">
        <f>IF($BY$12=1,NORMDIST(BY1177,$Y$6,$Y$8,TRUE),IF($BY$12=2,IF(BY1177&lt;=$BX$31,0,IF(BY1177&gt;=$BX$32,1,(BY1177-$BX$31)*$BX$33)),SUM($BU$42:BU1177)/$BV$40))</f>
        <v>0.99925081749367251</v>
      </c>
      <c r="BW1177" s="16">
        <f t="shared" si="389"/>
        <v>1.4651970171909104E-2</v>
      </c>
      <c r="BY1177" s="16">
        <f t="shared" si="390"/>
        <v>113.49999999999783</v>
      </c>
      <c r="BZ1177" s="16">
        <f t="shared" si="380"/>
        <v>1.2909224821065537E-4</v>
      </c>
      <c r="CA1177" s="16">
        <f t="shared" si="387"/>
        <v>-999</v>
      </c>
      <c r="CE1177" s="16" t="e">
        <f t="shared" si="381"/>
        <v>#N/A</v>
      </c>
      <c r="CF1177" s="16">
        <f t="shared" si="382"/>
        <v>99</v>
      </c>
      <c r="CG1177" s="16">
        <f t="shared" si="383"/>
        <v>0</v>
      </c>
      <c r="CH1177" s="16">
        <f t="shared" si="388"/>
        <v>0</v>
      </c>
      <c r="CJ1177" s="16" t="e">
        <f t="shared" si="384"/>
        <v>#N/A</v>
      </c>
      <c r="CK1177" s="16" t="str">
        <f t="shared" si="385"/>
        <v/>
      </c>
    </row>
    <row r="1178" spans="73:89" ht="12" customHeight="1">
      <c r="BU1178" s="16">
        <f t="shared" si="386"/>
        <v>0</v>
      </c>
      <c r="BV1178" s="16">
        <f>IF($BY$12=1,NORMDIST(BY1178,$Y$6,$Y$8,TRUE),IF($BY$12=2,IF(BY1178&lt;=$BX$31,0,IF(BY1178&gt;=$BX$32,1,(BY1178-$BX$31)*$BX$33)),SUM($BU$42:BU1178)/$BV$40))</f>
        <v>0.99926362473844588</v>
      </c>
      <c r="BW1178" s="16">
        <f t="shared" si="389"/>
        <v>1.4433732163171375E-2</v>
      </c>
      <c r="BY1178" s="16">
        <f t="shared" si="390"/>
        <v>113.59999999999782</v>
      </c>
      <c r="BZ1178" s="16">
        <f t="shared" si="380"/>
        <v>1.2705750143637018E-4</v>
      </c>
      <c r="CA1178" s="16">
        <f t="shared" si="387"/>
        <v>-999</v>
      </c>
      <c r="CE1178" s="16" t="e">
        <f t="shared" si="381"/>
        <v>#N/A</v>
      </c>
      <c r="CF1178" s="16">
        <f t="shared" si="382"/>
        <v>99</v>
      </c>
      <c r="CG1178" s="16">
        <f t="shared" si="383"/>
        <v>0</v>
      </c>
      <c r="CH1178" s="16">
        <f t="shared" si="388"/>
        <v>0</v>
      </c>
      <c r="CJ1178" s="16" t="e">
        <f t="shared" si="384"/>
        <v>#N/A</v>
      </c>
      <c r="CK1178" s="16" t="str">
        <f t="shared" si="385"/>
        <v/>
      </c>
    </row>
    <row r="1179" spans="73:89" ht="12" customHeight="1">
      <c r="BU1179" s="16">
        <f t="shared" si="386"/>
        <v>0</v>
      </c>
      <c r="BV1179" s="16">
        <f>IF($BY$12=1,NORMDIST(BY1179,$Y$6,$Y$8,TRUE),IF($BY$12=2,IF(BY1179&lt;=$BX$31,0,IF(BY1179&gt;=$BX$32,1,(BY1179-$BX$31)*$BX$33)),SUM($BU$42:BU1179)/$BV$40))</f>
        <v>0.99927622995879817</v>
      </c>
      <c r="BW1179" s="16">
        <f t="shared" si="389"/>
        <v>1.4218378281647286E-2</v>
      </c>
      <c r="BY1179" s="16">
        <f t="shared" si="390"/>
        <v>113.69999999999781</v>
      </c>
      <c r="BZ1179" s="16">
        <f t="shared" si="380"/>
        <v>1.2505169992653965E-4</v>
      </c>
      <c r="CA1179" s="16">
        <f t="shared" si="387"/>
        <v>-999</v>
      </c>
      <c r="CE1179" s="16" t="e">
        <f t="shared" si="381"/>
        <v>#N/A</v>
      </c>
      <c r="CF1179" s="16">
        <f t="shared" si="382"/>
        <v>99</v>
      </c>
      <c r="CG1179" s="16">
        <f t="shared" si="383"/>
        <v>0</v>
      </c>
      <c r="CH1179" s="16">
        <f t="shared" si="388"/>
        <v>0</v>
      </c>
      <c r="CJ1179" s="16" t="e">
        <f t="shared" si="384"/>
        <v>#N/A</v>
      </c>
      <c r="CK1179" s="16" t="str">
        <f t="shared" si="385"/>
        <v/>
      </c>
    </row>
    <row r="1180" spans="73:89" ht="12" customHeight="1">
      <c r="BU1180" s="16">
        <f t="shared" si="386"/>
        <v>0</v>
      </c>
      <c r="BV1180" s="16">
        <f>IF($BY$12=1,NORMDIST(BY1180,$Y$6,$Y$8,TRUE),IF($BY$12=2,IF(BY1180&lt;=$BX$31,0,IF(BY1180&gt;=$BX$32,1,(BY1180-$BX$31)*$BX$33)),SUM($BU$42:BU1180)/$BV$40))</f>
        <v>0.99928863603135409</v>
      </c>
      <c r="BW1180" s="16">
        <f t="shared" si="389"/>
        <v>1.4005876533210202E-2</v>
      </c>
      <c r="BY1180" s="16">
        <f t="shared" si="390"/>
        <v>113.79999999999781</v>
      </c>
      <c r="BZ1180" s="16">
        <f t="shared" si="380"/>
        <v>1.2307448623207796E-4</v>
      </c>
      <c r="CA1180" s="16">
        <f t="shared" si="387"/>
        <v>-999</v>
      </c>
      <c r="CE1180" s="16" t="e">
        <f t="shared" si="381"/>
        <v>#N/A</v>
      </c>
      <c r="CF1180" s="16">
        <f t="shared" si="382"/>
        <v>99</v>
      </c>
      <c r="CG1180" s="16">
        <f t="shared" si="383"/>
        <v>0</v>
      </c>
      <c r="CH1180" s="16">
        <f t="shared" si="388"/>
        <v>0</v>
      </c>
      <c r="CJ1180" s="16" t="e">
        <f t="shared" si="384"/>
        <v>#N/A</v>
      </c>
      <c r="CK1180" s="16" t="str">
        <f t="shared" si="385"/>
        <v/>
      </c>
    </row>
    <row r="1181" spans="73:89" ht="12" customHeight="1">
      <c r="BU1181" s="16">
        <f t="shared" si="386"/>
        <v>0</v>
      </c>
      <c r="BV1181" s="16">
        <f>IF($BY$12=1,NORMDIST(BY1181,$Y$6,$Y$8,TRUE),IF($BY$12=2,IF(BY1181&lt;=$BX$31,0,IF(BY1181&gt;=$BX$32,1,(BY1181-$BX$31)*$BX$33)),SUM($BU$42:BU1181)/$BV$40))</f>
        <v>0.99930084579717005</v>
      </c>
      <c r="BW1181" s="16">
        <f t="shared" si="389"/>
        <v>1.3796195181702654E-2</v>
      </c>
      <c r="BY1181" s="16">
        <f t="shared" si="390"/>
        <v>113.8999999999978</v>
      </c>
      <c r="BZ1181" s="16">
        <f t="shared" si="380"/>
        <v>1.2112550642408182E-4</v>
      </c>
      <c r="CA1181" s="16">
        <f t="shared" si="387"/>
        <v>-999</v>
      </c>
      <c r="CE1181" s="16" t="e">
        <f t="shared" si="381"/>
        <v>#N/A</v>
      </c>
      <c r="CF1181" s="16">
        <f t="shared" si="382"/>
        <v>99</v>
      </c>
      <c r="CG1181" s="16">
        <f t="shared" si="383"/>
        <v>0</v>
      </c>
      <c r="CH1181" s="16">
        <f t="shared" si="388"/>
        <v>0</v>
      </c>
      <c r="CJ1181" s="16" t="e">
        <f t="shared" si="384"/>
        <v>#N/A</v>
      </c>
      <c r="CK1181" s="16" t="str">
        <f t="shared" si="385"/>
        <v/>
      </c>
    </row>
    <row r="1182" spans="73:89" ht="12" customHeight="1">
      <c r="BU1182" s="16">
        <f t="shared" si="386"/>
        <v>0</v>
      </c>
      <c r="BV1182" s="16">
        <f>IF($BY$12=1,NORMDIST(BY1182,$Y$6,$Y$8,TRUE),IF($BY$12=2,IF(BY1182&lt;=$BX$31,0,IF(BY1182&gt;=$BX$32,1,(BY1182-$BX$31)*$BX$33)),SUM($BU$42:BU1182)/$BV$40))</f>
        <v>0.99931286206208403</v>
      </c>
      <c r="BW1182" s="16">
        <f t="shared" si="389"/>
        <v>1.3589302748354128E-2</v>
      </c>
      <c r="BY1182" s="16">
        <f t="shared" si="390"/>
        <v>113.9999999999978</v>
      </c>
      <c r="BZ1182" s="16">
        <f t="shared" si="380"/>
        <v>1.1920441007328413E-4</v>
      </c>
      <c r="CA1182" s="16">
        <f t="shared" si="387"/>
        <v>-999</v>
      </c>
      <c r="CE1182" s="16" t="e">
        <f t="shared" si="381"/>
        <v>#N/A</v>
      </c>
      <c r="CF1182" s="16">
        <f t="shared" si="382"/>
        <v>99</v>
      </c>
      <c r="CG1182" s="16">
        <f t="shared" si="383"/>
        <v>0</v>
      </c>
      <c r="CH1182" s="16">
        <f t="shared" si="388"/>
        <v>0</v>
      </c>
      <c r="CJ1182" s="16" t="e">
        <f t="shared" si="384"/>
        <v>#N/A</v>
      </c>
      <c r="CK1182" s="16" t="str">
        <f t="shared" si="385"/>
        <v/>
      </c>
    </row>
    <row r="1183" spans="73:89" ht="12" customHeight="1">
      <c r="BU1183" s="16">
        <f t="shared" si="386"/>
        <v>0</v>
      </c>
      <c r="BV1183" s="16">
        <f>IF($BY$12=1,NORMDIST(BY1183,$Y$6,$Y$8,TRUE),IF($BY$12=2,IF(BY1183&lt;=$BX$31,0,IF(BY1183&gt;=$BX$32,1,(BY1183-$BX$31)*$BX$33)),SUM($BU$42:BU1183)/$BV$40))</f>
        <v>0.99932468759706494</v>
      </c>
      <c r="BW1183" s="16">
        <f t="shared" si="389"/>
        <v>1.3385168011174245E-2</v>
      </c>
      <c r="BY1183" s="16">
        <f t="shared" si="390"/>
        <v>114.09999999999779</v>
      </c>
      <c r="BZ1183" s="16">
        <f t="shared" si="380"/>
        <v>1.1731085022939969E-4</v>
      </c>
      <c r="CA1183" s="16">
        <f t="shared" si="387"/>
        <v>-999</v>
      </c>
      <c r="CE1183" s="16" t="e">
        <f t="shared" si="381"/>
        <v>#N/A</v>
      </c>
      <c r="CF1183" s="16">
        <f t="shared" si="382"/>
        <v>99</v>
      </c>
      <c r="CG1183" s="16">
        <f t="shared" si="383"/>
        <v>0</v>
      </c>
      <c r="CH1183" s="16">
        <f t="shared" si="388"/>
        <v>0</v>
      </c>
      <c r="CJ1183" s="16" t="e">
        <f t="shared" si="384"/>
        <v>#N/A</v>
      </c>
      <c r="CK1183" s="16" t="str">
        <f t="shared" si="385"/>
        <v/>
      </c>
    </row>
    <row r="1184" spans="73:89" ht="12" customHeight="1">
      <c r="BU1184" s="16">
        <f t="shared" si="386"/>
        <v>0</v>
      </c>
      <c r="BV1184" s="16">
        <f>IF($BY$12=1,NORMDIST(BY1184,$Y$6,$Y$8,TRUE),IF($BY$12=2,IF(BY1184&lt;=$BX$31,0,IF(BY1184&gt;=$BX$32,1,(BY1184-$BX$31)*$BX$33)),SUM($BU$42:BU1184)/$BV$40))</f>
        <v>0.9993363251385603</v>
      </c>
      <c r="BW1184" s="16">
        <f t="shared" si="389"/>
        <v>1.3183760004321516E-2</v>
      </c>
      <c r="BY1184" s="16">
        <f t="shared" si="390"/>
        <v>114.19999999999779</v>
      </c>
      <c r="BZ1184" s="16">
        <f t="shared" si="380"/>
        <v>1.1544448340036578E-4</v>
      </c>
      <c r="CA1184" s="16">
        <f t="shared" si="387"/>
        <v>-999</v>
      </c>
      <c r="CE1184" s="16" t="e">
        <f t="shared" si="381"/>
        <v>#N/A</v>
      </c>
      <c r="CF1184" s="16">
        <f t="shared" si="382"/>
        <v>99</v>
      </c>
      <c r="CG1184" s="16">
        <f t="shared" si="383"/>
        <v>0</v>
      </c>
      <c r="CH1184" s="16">
        <f t="shared" si="388"/>
        <v>0</v>
      </c>
      <c r="CJ1184" s="16" t="e">
        <f t="shared" si="384"/>
        <v>#N/A</v>
      </c>
      <c r="CK1184" s="16" t="str">
        <f t="shared" si="385"/>
        <v/>
      </c>
    </row>
    <row r="1185" spans="73:89" ht="12" customHeight="1">
      <c r="BU1185" s="16">
        <f t="shared" si="386"/>
        <v>0</v>
      </c>
      <c r="BV1185" s="16">
        <f>IF($BY$12=1,NORMDIST(BY1185,$Y$6,$Y$8,TRUE),IF($BY$12=2,IF(BY1185&lt;=$BX$31,0,IF(BY1185&gt;=$BX$32,1,(BY1185-$BX$31)*$BX$33)),SUM($BU$42:BU1185)/$BV$40))</f>
        <v>0.99934777738883906</v>
      </c>
      <c r="BW1185" s="16">
        <f t="shared" si="389"/>
        <v>1.2985048017448375E-2</v>
      </c>
      <c r="BY1185" s="16">
        <f t="shared" si="390"/>
        <v>114.29999999999778</v>
      </c>
      <c r="BZ1185" s="16">
        <f t="shared" si="380"/>
        <v>1.1360496953148405E-4</v>
      </c>
      <c r="CA1185" s="16">
        <f t="shared" si="387"/>
        <v>-999</v>
      </c>
      <c r="CE1185" s="16" t="e">
        <f t="shared" si="381"/>
        <v>#N/A</v>
      </c>
      <c r="CF1185" s="16">
        <f t="shared" si="382"/>
        <v>99</v>
      </c>
      <c r="CG1185" s="16">
        <f t="shared" si="383"/>
        <v>0</v>
      </c>
      <c r="CH1185" s="16">
        <f t="shared" si="388"/>
        <v>0</v>
      </c>
      <c r="CJ1185" s="16" t="e">
        <f t="shared" si="384"/>
        <v>#N/A</v>
      </c>
      <c r="CK1185" s="16" t="str">
        <f t="shared" si="385"/>
        <v/>
      </c>
    </row>
    <row r="1186" spans="73:89" ht="12" customHeight="1">
      <c r="BU1186" s="16">
        <f t="shared" si="386"/>
        <v>0</v>
      </c>
      <c r="BV1186" s="16">
        <f>IF($BY$12=1,NORMDIST(BY1186,$Y$6,$Y$8,TRUE),IF($BY$12=2,IF(BY1186&lt;=$BX$31,0,IF(BY1186&gt;=$BX$32,1,(BY1186-$BX$31)*$BX$33)),SUM($BU$42:BU1186)/$BV$40))</f>
        <v>0.99935904701633915</v>
      </c>
      <c r="BW1186" s="16">
        <f t="shared" si="389"/>
        <v>1.2789001595022779E-2</v>
      </c>
      <c r="BY1186" s="16">
        <f t="shared" si="390"/>
        <v>114.39999999999777</v>
      </c>
      <c r="BZ1186" s="16">
        <f t="shared" si="380"/>
        <v>1.1179197198446702E-4</v>
      </c>
      <c r="CA1186" s="16">
        <f t="shared" si="387"/>
        <v>-999</v>
      </c>
      <c r="CE1186" s="16" t="e">
        <f t="shared" si="381"/>
        <v>#N/A</v>
      </c>
      <c r="CF1186" s="16">
        <f t="shared" si="382"/>
        <v>99</v>
      </c>
      <c r="CG1186" s="16">
        <f t="shared" si="383"/>
        <v>0</v>
      </c>
      <c r="CH1186" s="16">
        <f t="shared" si="388"/>
        <v>0</v>
      </c>
      <c r="CJ1186" s="16" t="e">
        <f t="shared" si="384"/>
        <v>#N/A</v>
      </c>
      <c r="CK1186" s="16" t="str">
        <f t="shared" si="385"/>
        <v/>
      </c>
    </row>
    <row r="1187" spans="73:89" ht="12" customHeight="1">
      <c r="BU1187" s="16">
        <f t="shared" si="386"/>
        <v>0</v>
      </c>
      <c r="BV1187" s="16">
        <f>IF($BY$12=1,NORMDIST(BY1187,$Y$6,$Y$8,TRUE),IF($BY$12=2,IF(BY1187&lt;=$BX$31,0,IF(BY1187&gt;=$BX$32,1,(BY1187-$BX$31)*$BX$33)),SUM($BU$42:BU1187)/$BV$40))</f>
        <v>0.99937013665600216</v>
      </c>
      <c r="BW1187" s="16">
        <f t="shared" si="389"/>
        <v>1.25955905356271E-2</v>
      </c>
      <c r="BY1187" s="16">
        <f t="shared" si="390"/>
        <v>114.49999999999777</v>
      </c>
      <c r="BZ1187" s="16">
        <f t="shared" si="380"/>
        <v>1.1000515751639603E-4</v>
      </c>
      <c r="CA1187" s="16">
        <f t="shared" si="387"/>
        <v>-999</v>
      </c>
      <c r="CE1187" s="16" t="e">
        <f t="shared" si="381"/>
        <v>#N/A</v>
      </c>
      <c r="CF1187" s="16">
        <f t="shared" si="382"/>
        <v>99</v>
      </c>
      <c r="CG1187" s="16">
        <f t="shared" si="383"/>
        <v>0</v>
      </c>
      <c r="CH1187" s="16">
        <f t="shared" si="388"/>
        <v>0</v>
      </c>
      <c r="CJ1187" s="16" t="e">
        <f t="shared" si="384"/>
        <v>#N/A</v>
      </c>
      <c r="CK1187" s="16" t="str">
        <f t="shared" si="385"/>
        <v/>
      </c>
    </row>
    <row r="1188" spans="73:89" ht="12" customHeight="1">
      <c r="BU1188" s="16">
        <f t="shared" si="386"/>
        <v>0</v>
      </c>
      <c r="BV1188" s="16">
        <f>IF($BY$12=1,NORMDIST(BY1188,$Y$6,$Y$8,TRUE),IF($BY$12=2,IF(BY1188&lt;=$BX$31,0,IF(BY1188&gt;=$BX$32,1,(BY1188-$BX$31)*$BX$33)),SUM($BU$42:BU1188)/$BV$40))</f>
        <v>0.9993810489096131</v>
      </c>
      <c r="BW1188" s="16">
        <f t="shared" si="389"/>
        <v>1.2404784891234429E-2</v>
      </c>
      <c r="BY1188" s="16">
        <f t="shared" si="390"/>
        <v>114.59999999999776</v>
      </c>
      <c r="BZ1188" s="16">
        <f t="shared" si="380"/>
        <v>1.0824419625859224E-4</v>
      </c>
      <c r="CA1188" s="16">
        <f t="shared" si="387"/>
        <v>-999</v>
      </c>
      <c r="CE1188" s="16" t="e">
        <f t="shared" si="381"/>
        <v>#N/A</v>
      </c>
      <c r="CF1188" s="16">
        <f t="shared" si="382"/>
        <v>99</v>
      </c>
      <c r="CG1188" s="16">
        <f t="shared" si="383"/>
        <v>0</v>
      </c>
      <c r="CH1188" s="16">
        <f t="shared" si="388"/>
        <v>0</v>
      </c>
      <c r="CJ1188" s="16" t="e">
        <f t="shared" si="384"/>
        <v>#N/A</v>
      </c>
      <c r="CK1188" s="16" t="str">
        <f t="shared" si="385"/>
        <v/>
      </c>
    </row>
    <row r="1189" spans="73:89" ht="12" customHeight="1">
      <c r="BU1189" s="16">
        <f t="shared" si="386"/>
        <v>0</v>
      </c>
      <c r="BV1189" s="16">
        <f>IF($BY$12=1,NORMDIST(BY1189,$Y$6,$Y$8,TRUE),IF($BY$12=2,IF(BY1189&lt;=$BX$31,0,IF(BY1189&gt;=$BX$32,1,(BY1189-$BX$31)*$BX$33)),SUM($BU$42:BU1189)/$BV$40))</f>
        <v>0.99939178634613968</v>
      </c>
      <c r="BW1189" s="16">
        <f t="shared" si="389"/>
        <v>1.2216554966462899E-2</v>
      </c>
      <c r="BY1189" s="16">
        <f t="shared" si="390"/>
        <v>114.69999999999776</v>
      </c>
      <c r="BZ1189" s="16">
        <f t="shared" si="380"/>
        <v>1.0650876169540661E-4</v>
      </c>
      <c r="CA1189" s="16">
        <f t="shared" si="387"/>
        <v>-999</v>
      </c>
      <c r="CE1189" s="16" t="e">
        <f t="shared" si="381"/>
        <v>#N/A</v>
      </c>
      <c r="CF1189" s="16">
        <f t="shared" si="382"/>
        <v>99</v>
      </c>
      <c r="CG1189" s="16">
        <f t="shared" si="383"/>
        <v>0</v>
      </c>
      <c r="CH1189" s="16">
        <f t="shared" si="388"/>
        <v>0</v>
      </c>
      <c r="CJ1189" s="16" t="e">
        <f t="shared" si="384"/>
        <v>#N/A</v>
      </c>
      <c r="CK1189" s="16" t="str">
        <f t="shared" si="385"/>
        <v/>
      </c>
    </row>
    <row r="1190" spans="73:89" ht="12" customHeight="1">
      <c r="BU1190" s="16">
        <f t="shared" si="386"/>
        <v>0</v>
      </c>
      <c r="BV1190" s="16">
        <f>IF($BY$12=1,NORMDIST(BY1190,$Y$6,$Y$8,TRUE),IF($BY$12=2,IF(BY1190&lt;=$BX$31,0,IF(BY1190&gt;=$BX$32,1,(BY1190-$BX$31)*$BX$33)),SUM($BU$42:BU1190)/$BV$40))</f>
        <v>0.99940235150206513</v>
      </c>
      <c r="BW1190" s="16">
        <f t="shared" si="389"/>
        <v>1.203087131780874E-2</v>
      </c>
      <c r="BY1190" s="16">
        <f t="shared" si="390"/>
        <v>114.79999999999775</v>
      </c>
      <c r="BZ1190" s="16">
        <f t="shared" si="380"/>
        <v>1.0479853064293532E-4</v>
      </c>
      <c r="CA1190" s="16">
        <f t="shared" si="387"/>
        <v>-999</v>
      </c>
      <c r="CE1190" s="16" t="e">
        <f t="shared" si="381"/>
        <v>#N/A</v>
      </c>
      <c r="CF1190" s="16">
        <f t="shared" si="382"/>
        <v>99</v>
      </c>
      <c r="CG1190" s="16">
        <f t="shared" si="383"/>
        <v>0</v>
      </c>
      <c r="CH1190" s="16">
        <f t="shared" si="388"/>
        <v>0</v>
      </c>
      <c r="CJ1190" s="16" t="e">
        <f t="shared" si="384"/>
        <v>#N/A</v>
      </c>
      <c r="CK1190" s="16" t="str">
        <f t="shared" si="385"/>
        <v/>
      </c>
    </row>
    <row r="1191" spans="73:89" ht="12" customHeight="1">
      <c r="BU1191" s="16">
        <f t="shared" si="386"/>
        <v>0</v>
      </c>
      <c r="BV1191" s="16">
        <f>IF($BY$12=1,NORMDIST(BY1191,$Y$6,$Y$8,TRUE),IF($BY$12=2,IF(BY1191&lt;=$BX$31,0,IF(BY1191&gt;=$BX$32,1,(BY1191-$BX$31)*$BX$33)),SUM($BU$42:BU1191)/$BV$40))</f>
        <v>0.99941274688171855</v>
      </c>
      <c r="BW1191" s="16">
        <f t="shared" si="389"/>
        <v>1.1847704752857981E-2</v>
      </c>
      <c r="BY1191" s="16">
        <f t="shared" si="390"/>
        <v>114.89999999999775</v>
      </c>
      <c r="BZ1191" s="16">
        <f t="shared" si="380"/>
        <v>1.0311318322766069E-4</v>
      </c>
      <c r="CA1191" s="16">
        <f t="shared" si="387"/>
        <v>-999</v>
      </c>
      <c r="CE1191" s="16" t="e">
        <f t="shared" si="381"/>
        <v>#N/A</v>
      </c>
      <c r="CF1191" s="16">
        <f t="shared" si="382"/>
        <v>99</v>
      </c>
      <c r="CG1191" s="16">
        <f t="shared" si="383"/>
        <v>0</v>
      </c>
      <c r="CH1191" s="16">
        <f t="shared" si="388"/>
        <v>0</v>
      </c>
      <c r="CJ1191" s="16" t="e">
        <f t="shared" si="384"/>
        <v>#N/A</v>
      </c>
      <c r="CK1191" s="16" t="str">
        <f t="shared" si="385"/>
        <v/>
      </c>
    </row>
    <row r="1192" spans="73:89" ht="12" customHeight="1">
      <c r="BU1192" s="16">
        <f t="shared" si="386"/>
        <v>0</v>
      </c>
      <c r="BV1192" s="16">
        <f>IF($BY$12=1,NORMDIST(BY1192,$Y$6,$Y$8,TRUE),IF($BY$12=2,IF(BY1192&lt;=$BX$31,0,IF(BY1192&gt;=$BX$32,1,(BY1192-$BX$31)*$BX$33)),SUM($BU$42:BU1192)/$BV$40))</f>
        <v>0.99942297495760846</v>
      </c>
      <c r="BW1192" s="16">
        <f t="shared" si="389"/>
        <v>1.1667026329477713E-2</v>
      </c>
      <c r="BY1192" s="16">
        <f t="shared" si="390"/>
        <v>114.99999999999774</v>
      </c>
      <c r="BZ1192" s="16">
        <f t="shared" si="380"/>
        <v>1.0145240286502559E-4</v>
      </c>
      <c r="CA1192" s="16">
        <f t="shared" si="387"/>
        <v>-999</v>
      </c>
      <c r="CE1192" s="16" t="e">
        <f t="shared" si="381"/>
        <v>#N/A</v>
      </c>
      <c r="CF1192" s="16">
        <f t="shared" si="382"/>
        <v>99</v>
      </c>
      <c r="CG1192" s="16">
        <f t="shared" si="383"/>
        <v>0</v>
      </c>
      <c r="CH1192" s="16">
        <f t="shared" si="388"/>
        <v>0</v>
      </c>
      <c r="CJ1192" s="16" t="e">
        <f t="shared" si="384"/>
        <v>#N/A</v>
      </c>
      <c r="CK1192" s="16" t="str">
        <f t="shared" si="385"/>
        <v/>
      </c>
    </row>
    <row r="1193" spans="73:89" ht="12" customHeight="1">
      <c r="BU1193" s="16">
        <f t="shared" si="386"/>
        <v>0</v>
      </c>
      <c r="BV1193" s="16">
        <f>IF($BY$12=1,NORMDIST(BY1193,$Y$6,$Y$8,TRUE),IF($BY$12=2,IF(BY1193&lt;=$BX$31,0,IF(BY1193&gt;=$BX$32,1,(BY1193-$BX$31)*$BX$33)),SUM($BU$42:BU1193)/$BV$40))</f>
        <v>0.99943303817074591</v>
      </c>
      <c r="BW1193" s="16">
        <f t="shared" si="389"/>
        <v>1.148880735498722E-2</v>
      </c>
      <c r="BY1193" s="16">
        <f t="shared" si="390"/>
        <v>115.09999999999773</v>
      </c>
      <c r="BZ1193" s="16">
        <f t="shared" si="380"/>
        <v>9.9815876237944798E-5</v>
      </c>
      <c r="CA1193" s="16">
        <f t="shared" si="387"/>
        <v>-999</v>
      </c>
      <c r="CE1193" s="16" t="e">
        <f t="shared" si="381"/>
        <v>#N/A</v>
      </c>
      <c r="CF1193" s="16">
        <f t="shared" si="382"/>
        <v>99</v>
      </c>
      <c r="CG1193" s="16">
        <f t="shared" si="383"/>
        <v>0</v>
      </c>
      <c r="CH1193" s="16">
        <f t="shared" si="388"/>
        <v>0</v>
      </c>
      <c r="CJ1193" s="16" t="e">
        <f t="shared" si="384"/>
        <v>#N/A</v>
      </c>
      <c r="CK1193" s="16" t="str">
        <f t="shared" si="385"/>
        <v/>
      </c>
    </row>
    <row r="1194" spans="73:89" ht="12" customHeight="1">
      <c r="BU1194" s="16">
        <f t="shared" si="386"/>
        <v>0</v>
      </c>
      <c r="BV1194" s="16">
        <f>IF($BY$12=1,NORMDIST(BY1194,$Y$6,$Y$8,TRUE),IF($BY$12=2,IF(BY1194&lt;=$BX$31,0,IF(BY1194&gt;=$BX$32,1,(BY1194-$BX$31)*$BX$33)),SUM($BU$42:BU1194)/$BV$40))</f>
        <v>0.99944293893097558</v>
      </c>
      <c r="BW1194" s="16">
        <f t="shared" si="389"/>
        <v>1.1313019385309171E-2</v>
      </c>
      <c r="BY1194" s="16">
        <f t="shared" si="390"/>
        <v>115.19999999999773</v>
      </c>
      <c r="BZ1194" s="16">
        <f t="shared" ref="BZ1194:BZ1257" si="391">IF($BZ$5,IF($BY$12=1,NORMDIST(BY1194,$Y$6,$Y$8,FALSE),IF($BY$12=2,IF(AND(BY1194&gt;=$BX$31,BY1194&lt;=$BX$32),$BX$33,0),IF(BY1194&lt;=$BX$13,0,NORMDIST(LN((BY1194-$BX$13)/$BX$12),0,$BW$8,FALSE)/((BY1194-$BX$13)/$BX$12)))),-999)</f>
        <v>9.820329327525515E-5</v>
      </c>
      <c r="CA1194" s="16">
        <f t="shared" si="387"/>
        <v>-999</v>
      </c>
      <c r="CE1194" s="16" t="e">
        <f t="shared" ref="CE1194:CE1257" si="392">IF(AND($CB$7,$CD$2,$CD$1),26+$P$23/2-CC1194*$P$23,NA())</f>
        <v>#N/A</v>
      </c>
      <c r="CF1194" s="16">
        <f t="shared" ref="CF1194:CF1257" si="393">IF(ISNA(CJ1194),99,CJ1194)</f>
        <v>99</v>
      </c>
      <c r="CG1194" s="16">
        <f t="shared" ref="CG1194:CG1257" si="394">IF(ISNA(CJ1194),0,CJ1194)</f>
        <v>0</v>
      </c>
      <c r="CH1194" s="16">
        <f t="shared" si="388"/>
        <v>0</v>
      </c>
      <c r="CJ1194" s="16" t="e">
        <f t="shared" ref="CJ1194:CJ1257" si="395">IF(CH1194=1,CE1194,NA())</f>
        <v>#N/A</v>
      </c>
      <c r="CK1194" s="16" t="str">
        <f t="shared" ref="CK1194:CK1257" si="396">IF(CH1194=1,M1093,"")</f>
        <v/>
      </c>
    </row>
    <row r="1195" spans="73:89" ht="12" customHeight="1">
      <c r="BU1195" s="16">
        <f t="shared" ref="BU1195:BU1258" si="397">IF($BY$12&lt;3,0,IF(BY1195&lt;=$BX$13,0,NORMDIST(LN((BY1195-$BX$13)/$BX$12),0,$BW$8,FALSE)/((BY1195-$BX$13)/$BX$12)))</f>
        <v>0</v>
      </c>
      <c r="BV1195" s="16">
        <f>IF($BY$12=1,NORMDIST(BY1195,$Y$6,$Y$8,TRUE),IF($BY$12=2,IF(BY1195&lt;=$BX$31,0,IF(BY1195&gt;=$BX$32,1,(BY1195-$BX$31)*$BX$33)),SUM($BU$42:BU1195)/$BV$40))</f>
        <v>0.99945267961729223</v>
      </c>
      <c r="BW1195" s="16">
        <f t="shared" si="389"/>
        <v>1.1139634224101825E-2</v>
      </c>
      <c r="BY1195" s="16">
        <f t="shared" si="390"/>
        <v>115.29999999999772</v>
      </c>
      <c r="BZ1195" s="16">
        <f t="shared" si="391"/>
        <v>9.661434713011314E-5</v>
      </c>
      <c r="CA1195" s="16">
        <f t="shared" ref="CA1195:CA1258" si="398">IF(AND($CD$1,$CD$3),26-$CD$40*NORMDIST(BY1195,$Y$6,$Y$8/SQRT($T$18),FALSE),-999)</f>
        <v>-999</v>
      </c>
      <c r="CE1195" s="16" t="e">
        <f t="shared" si="392"/>
        <v>#N/A</v>
      </c>
      <c r="CF1195" s="16">
        <f t="shared" si="393"/>
        <v>99</v>
      </c>
      <c r="CG1195" s="16">
        <f t="shared" si="394"/>
        <v>0</v>
      </c>
      <c r="CH1195" s="16">
        <f t="shared" si="388"/>
        <v>0</v>
      </c>
      <c r="CJ1195" s="16" t="e">
        <f t="shared" si="395"/>
        <v>#N/A</v>
      </c>
      <c r="CK1195" s="16" t="str">
        <f t="shared" si="396"/>
        <v/>
      </c>
    </row>
    <row r="1196" spans="73:89" ht="12" customHeight="1">
      <c r="BU1196" s="16">
        <f t="shared" si="397"/>
        <v>0</v>
      </c>
      <c r="BV1196" s="16">
        <f>IF($BY$12=1,NORMDIST(BY1196,$Y$6,$Y$8,TRUE),IF($BY$12=2,IF(BY1196&lt;=$BX$31,0,IF(BY1196&gt;=$BX$32,1,(BY1196-$BX$31)*$BX$33)),SUM($BU$42:BU1196)/$BV$40))</f>
        <v>0.9994622625781695</v>
      </c>
      <c r="BW1196" s="16">
        <f t="shared" si="389"/>
        <v>1.0968623921872157E-2</v>
      </c>
      <c r="BY1196" s="16">
        <f t="shared" si="390"/>
        <v>115.39999999999772</v>
      </c>
      <c r="BZ1196" s="16">
        <f t="shared" si="391"/>
        <v>9.5048734158339457E-5</v>
      </c>
      <c r="CA1196" s="16">
        <f t="shared" si="398"/>
        <v>-999</v>
      </c>
      <c r="CE1196" s="16" t="e">
        <f t="shared" si="392"/>
        <v>#N/A</v>
      </c>
      <c r="CF1196" s="16">
        <f t="shared" si="393"/>
        <v>99</v>
      </c>
      <c r="CG1196" s="16">
        <f t="shared" si="394"/>
        <v>0</v>
      </c>
      <c r="CH1196" s="16">
        <f t="shared" si="388"/>
        <v>0</v>
      </c>
      <c r="CJ1196" s="16" t="e">
        <f t="shared" si="395"/>
        <v>#N/A</v>
      </c>
      <c r="CK1196" s="16" t="str">
        <f t="shared" si="396"/>
        <v/>
      </c>
    </row>
    <row r="1197" spans="73:89" ht="12" customHeight="1">
      <c r="BU1197" s="16">
        <f t="shared" si="397"/>
        <v>0</v>
      </c>
      <c r="BV1197" s="16">
        <f>IF($BY$12=1,NORMDIST(BY1197,$Y$6,$Y$8,TRUE),IF($BY$12=2,IF(BY1197&lt;=$BX$31,0,IF(BY1197&gt;=$BX$32,1,(BY1197-$BX$31)*$BX$33)),SUM($BU$42:BU1197)/$BV$40))</f>
        <v>0.9994716901318772</v>
      </c>
      <c r="BW1197" s="16">
        <f t="shared" si="389"/>
        <v>1.0799960775070663E-2</v>
      </c>
      <c r="BY1197" s="16">
        <f t="shared" si="390"/>
        <v>115.49999999999771</v>
      </c>
      <c r="BZ1197" s="16">
        <f t="shared" si="391"/>
        <v>9.3506153896717549E-5</v>
      </c>
      <c r="CA1197" s="16">
        <f t="shared" si="398"/>
        <v>-999</v>
      </c>
      <c r="CE1197" s="16" t="e">
        <f t="shared" si="392"/>
        <v>#N/A</v>
      </c>
      <c r="CF1197" s="16">
        <f t="shared" si="393"/>
        <v>99</v>
      </c>
      <c r="CG1197" s="16">
        <f t="shared" si="394"/>
        <v>0</v>
      </c>
      <c r="CH1197" s="16">
        <f t="shared" si="388"/>
        <v>0</v>
      </c>
      <c r="CJ1197" s="16" t="e">
        <f t="shared" si="395"/>
        <v>#N/A</v>
      </c>
      <c r="CK1197" s="16" t="str">
        <f t="shared" si="396"/>
        <v/>
      </c>
    </row>
    <row r="1198" spans="73:89" ht="12" customHeight="1">
      <c r="BU1198" s="16">
        <f t="shared" si="397"/>
        <v>0</v>
      </c>
      <c r="BV1198" s="16">
        <f>IF($BY$12=1,NORMDIST(BY1198,$Y$6,$Y$8,TRUE),IF($BY$12=2,IF(BY1198&lt;=$BX$31,0,IF(BY1198&gt;=$BX$32,1,(BY1198-$BX$31)*$BX$33)),SUM($BU$42:BU1198)/$BV$40))</f>
        <v>0.99948096456679258</v>
      </c>
      <c r="BW1198" s="16">
        <f t="shared" si="389"/>
        <v>1.0633617325168127E-2</v>
      </c>
      <c r="BY1198" s="16">
        <f t="shared" si="390"/>
        <v>115.59999999999771</v>
      </c>
      <c r="BZ1198" s="16">
        <f t="shared" si="391"/>
        <v>9.1986309041248589E-5</v>
      </c>
      <c r="CA1198" s="16">
        <f t="shared" si="398"/>
        <v>-999</v>
      </c>
      <c r="CE1198" s="16" t="e">
        <f t="shared" si="392"/>
        <v>#N/A</v>
      </c>
      <c r="CF1198" s="16">
        <f t="shared" si="393"/>
        <v>99</v>
      </c>
      <c r="CG1198" s="16">
        <f t="shared" si="394"/>
        <v>0</v>
      </c>
      <c r="CH1198" s="16">
        <f t="shared" si="388"/>
        <v>0</v>
      </c>
      <c r="CJ1198" s="16" t="e">
        <f t="shared" si="395"/>
        <v>#N/A</v>
      </c>
      <c r="CK1198" s="16" t="str">
        <f t="shared" si="396"/>
        <v/>
      </c>
    </row>
    <row r="1199" spans="73:89" ht="12" customHeight="1">
      <c r="BU1199" s="16">
        <f t="shared" si="397"/>
        <v>0</v>
      </c>
      <c r="BV1199" s="16">
        <f>IF($BY$12=1,NORMDIST(BY1199,$Y$6,$Y$8,TRUE),IF($BY$12=2,IF(BY1199&lt;=$BX$31,0,IF(BY1199&gt;=$BX$32,1,(BY1199-$BX$31)*$BX$33)),SUM($BU$42:BU1199)/$BV$40))</f>
        <v>0.99949008814172291</v>
      </c>
      <c r="BW1199" s="16">
        <f t="shared" si="389"/>
        <v>1.0469566357714906E-2</v>
      </c>
      <c r="BY1199" s="16">
        <f t="shared" si="390"/>
        <v>115.6999999999977</v>
      </c>
      <c r="BZ1199" s="16">
        <f t="shared" si="391"/>
        <v>9.0488905425368312E-5</v>
      </c>
      <c r="CA1199" s="16">
        <f t="shared" si="398"/>
        <v>-999</v>
      </c>
      <c r="CE1199" s="16" t="e">
        <f t="shared" si="392"/>
        <v>#N/A</v>
      </c>
      <c r="CF1199" s="16">
        <f t="shared" si="393"/>
        <v>99</v>
      </c>
      <c r="CG1199" s="16">
        <f t="shared" si="394"/>
        <v>0</v>
      </c>
      <c r="CH1199" s="16">
        <f t="shared" si="388"/>
        <v>0</v>
      </c>
      <c r="CJ1199" s="16" t="e">
        <f t="shared" si="395"/>
        <v>#N/A</v>
      </c>
      <c r="CK1199" s="16" t="str">
        <f t="shared" si="396"/>
        <v/>
      </c>
    </row>
    <row r="1200" spans="73:89" ht="12" customHeight="1">
      <c r="BU1200" s="16">
        <f t="shared" si="397"/>
        <v>0</v>
      </c>
      <c r="BV1200" s="16">
        <f>IF($BY$12=1,NORMDIST(BY1200,$Y$6,$Y$8,TRUE),IF($BY$12=2,IF(BY1200&lt;=$BX$31,0,IF(BY1200&gt;=$BX$32,1,(BY1200-$BX$31)*$BX$33)),SUM($BU$42:BU1200)/$BV$40))</f>
        <v>0.99949906308621383</v>
      </c>
      <c r="BW1200" s="16">
        <f t="shared" si="389"/>
        <v>1.0307780901382981E-2</v>
      </c>
      <c r="BY1200" s="16">
        <f t="shared" si="390"/>
        <v>115.79999999999769</v>
      </c>
      <c r="BZ1200" s="16">
        <f t="shared" si="391"/>
        <v>8.9013651998127684E-5</v>
      </c>
      <c r="CA1200" s="16">
        <f t="shared" si="398"/>
        <v>-999</v>
      </c>
      <c r="CE1200" s="16" t="e">
        <f t="shared" si="392"/>
        <v>#N/A</v>
      </c>
      <c r="CF1200" s="16">
        <f t="shared" si="393"/>
        <v>99</v>
      </c>
      <c r="CG1200" s="16">
        <f t="shared" si="394"/>
        <v>0</v>
      </c>
      <c r="CH1200" s="16">
        <f t="shared" si="388"/>
        <v>0</v>
      </c>
      <c r="CJ1200" s="16" t="e">
        <f t="shared" si="395"/>
        <v>#N/A</v>
      </c>
      <c r="CK1200" s="16" t="str">
        <f t="shared" si="396"/>
        <v/>
      </c>
    </row>
    <row r="1201" spans="73:89" ht="12" customHeight="1">
      <c r="BU1201" s="16">
        <f t="shared" si="397"/>
        <v>0</v>
      </c>
      <c r="BV1201" s="16">
        <f>IF($BY$12=1,NORMDIST(BY1201,$Y$6,$Y$8,TRUE),IF($BY$12=2,IF(BY1201&lt;=$BX$31,0,IF(BY1201&gt;=$BX$32,1,(BY1201-$BX$31)*$BX$33)),SUM($BU$42:BU1201)/$BV$40))</f>
        <v>0.99950789160086084</v>
      </c>
      <c r="BW1201" s="16">
        <f t="shared" si="389"/>
        <v>1.0148234226991317E-2</v>
      </c>
      <c r="BY1201" s="16">
        <f t="shared" si="390"/>
        <v>115.89999999999769</v>
      </c>
      <c r="BZ1201" s="16">
        <f t="shared" si="391"/>
        <v>8.7560260802342703E-5</v>
      </c>
      <c r="CA1201" s="16">
        <f t="shared" si="398"/>
        <v>-999</v>
      </c>
      <c r="CE1201" s="16" t="e">
        <f t="shared" si="392"/>
        <v>#N/A</v>
      </c>
      <c r="CF1201" s="16">
        <f t="shared" si="393"/>
        <v>99</v>
      </c>
      <c r="CG1201" s="16">
        <f t="shared" si="394"/>
        <v>0</v>
      </c>
      <c r="CH1201" s="16">
        <f t="shared" si="388"/>
        <v>0</v>
      </c>
      <c r="CJ1201" s="16" t="e">
        <f t="shared" si="395"/>
        <v>#N/A</v>
      </c>
      <c r="CK1201" s="16" t="str">
        <f t="shared" si="396"/>
        <v/>
      </c>
    </row>
    <row r="1202" spans="73:89" ht="12" customHeight="1">
      <c r="BU1202" s="16">
        <f t="shared" si="397"/>
        <v>0</v>
      </c>
      <c r="BV1202" s="16">
        <f>IF($BY$12=1,NORMDIST(BY1202,$Y$6,$Y$8,TRUE),IF($BY$12=2,IF(BY1202&lt;=$BX$31,0,IF(BY1202&gt;=$BX$32,1,(BY1202-$BX$31)*$BX$33)),SUM($BU$42:BU1202)/$BV$40))</f>
        <v>0.99951657585761611</v>
      </c>
      <c r="BW1202" s="16">
        <f t="shared" si="389"/>
        <v>9.9908998465149564E-3</v>
      </c>
      <c r="BY1202" s="16">
        <f t="shared" si="390"/>
        <v>115.99999999999768</v>
      </c>
      <c r="BZ1202" s="16">
        <f t="shared" si="391"/>
        <v>8.6128446952716861E-5</v>
      </c>
      <c r="CA1202" s="16">
        <f t="shared" si="398"/>
        <v>-999</v>
      </c>
      <c r="CE1202" s="16" t="e">
        <f t="shared" si="392"/>
        <v>#N/A</v>
      </c>
      <c r="CF1202" s="16">
        <f t="shared" si="393"/>
        <v>99</v>
      </c>
      <c r="CG1202" s="16">
        <f t="shared" si="394"/>
        <v>0</v>
      </c>
      <c r="CH1202" s="16">
        <f t="shared" si="388"/>
        <v>0</v>
      </c>
      <c r="CJ1202" s="16" t="e">
        <f t="shared" si="395"/>
        <v>#N/A</v>
      </c>
      <c r="CK1202" s="16" t="str">
        <f t="shared" si="396"/>
        <v/>
      </c>
    </row>
    <row r="1203" spans="73:89" ht="12" customHeight="1">
      <c r="BU1203" s="16">
        <f t="shared" si="397"/>
        <v>0</v>
      </c>
      <c r="BV1203" s="16">
        <f>IF($BY$12=1,NORMDIST(BY1203,$Y$6,$Y$8,TRUE),IF($BY$12=2,IF(BY1203&lt;=$BX$31,0,IF(BY1203&gt;=$BX$32,1,(BY1203-$BX$31)*$BX$33)),SUM($BU$42:BU1203)/$BV$40))</f>
        <v>0.99952511800009836</v>
      </c>
      <c r="BW1203" s="16">
        <f t="shared" si="389"/>
        <v>9.8357515120781197E-3</v>
      </c>
      <c r="BY1203" s="16">
        <f t="shared" si="390"/>
        <v>116.09999999999768</v>
      </c>
      <c r="BZ1203" s="16">
        <f t="shared" si="391"/>
        <v>8.4717928613938981E-5</v>
      </c>
      <c r="CA1203" s="16">
        <f t="shared" si="398"/>
        <v>-999</v>
      </c>
      <c r="CE1203" s="16" t="e">
        <f t="shared" si="392"/>
        <v>#N/A</v>
      </c>
      <c r="CF1203" s="16">
        <f t="shared" si="393"/>
        <v>99</v>
      </c>
      <c r="CG1203" s="16">
        <f t="shared" si="394"/>
        <v>0</v>
      </c>
      <c r="CH1203" s="16">
        <f t="shared" si="388"/>
        <v>0</v>
      </c>
      <c r="CJ1203" s="16" t="e">
        <f t="shared" si="395"/>
        <v>#N/A</v>
      </c>
      <c r="CK1203" s="16" t="str">
        <f t="shared" si="396"/>
        <v/>
      </c>
    </row>
    <row r="1204" spans="73:89" ht="12" customHeight="1">
      <c r="BU1204" s="16">
        <f t="shared" si="397"/>
        <v>0</v>
      </c>
      <c r="BV1204" s="16">
        <f>IF($BY$12=1,NORMDIST(BY1204,$Y$6,$Y$8,TRUE),IF($BY$12=2,IF(BY1204&lt;=$BX$31,0,IF(BY1204&gt;=$BX$32,1,(BY1204-$BX$31)*$BX$33)),SUM($BU$42:BU1204)/$BV$40))</f>
        <v>0.99953352014389252</v>
      </c>
      <c r="BW1204" s="16">
        <f t="shared" si="389"/>
        <v>9.6827632149318471E-3</v>
      </c>
      <c r="BY1204" s="16">
        <f t="shared" si="390"/>
        <v>116.19999999999767</v>
      </c>
      <c r="BZ1204" s="16">
        <f t="shared" si="391"/>
        <v>8.3328426978761103E-5</v>
      </c>
      <c r="CA1204" s="16">
        <f t="shared" si="398"/>
        <v>-999</v>
      </c>
      <c r="CE1204" s="16" t="e">
        <f t="shared" si="392"/>
        <v>#N/A</v>
      </c>
      <c r="CF1204" s="16">
        <f t="shared" si="393"/>
        <v>99</v>
      </c>
      <c r="CG1204" s="16">
        <f t="shared" si="394"/>
        <v>0</v>
      </c>
      <c r="CH1204" s="16">
        <f t="shared" si="388"/>
        <v>0</v>
      </c>
      <c r="CJ1204" s="16" t="e">
        <f t="shared" si="395"/>
        <v>#N/A</v>
      </c>
      <c r="CK1204" s="16" t="str">
        <f t="shared" si="396"/>
        <v/>
      </c>
    </row>
    <row r="1205" spans="73:89" ht="12" customHeight="1">
      <c r="BU1205" s="16">
        <f t="shared" si="397"/>
        <v>0</v>
      </c>
      <c r="BV1205" s="16">
        <f>IF($BY$12=1,NORMDIST(BY1205,$Y$6,$Y$8,TRUE),IF($BY$12=2,IF(BY1205&lt;=$BX$31,0,IF(BY1205&gt;=$BX$32,1,(BY1205-$BX$31)*$BX$33)),SUM($BU$42:BU1205)/$BV$40))</f>
        <v>0.99954178437685437</v>
      </c>
      <c r="BW1205" s="16">
        <f t="shared" si="389"/>
        <v>9.531909184416652E-3</v>
      </c>
      <c r="BY1205" s="16">
        <f t="shared" si="390"/>
        <v>116.29999999999767</v>
      </c>
      <c r="BZ1205" s="16">
        <f t="shared" si="391"/>
        <v>8.1959666246060565E-5</v>
      </c>
      <c r="CA1205" s="16">
        <f t="shared" si="398"/>
        <v>-999</v>
      </c>
      <c r="CE1205" s="16" t="e">
        <f t="shared" si="392"/>
        <v>#N/A</v>
      </c>
      <c r="CF1205" s="16">
        <f t="shared" si="393"/>
        <v>99</v>
      </c>
      <c r="CG1205" s="16">
        <f t="shared" si="394"/>
        <v>0</v>
      </c>
      <c r="CH1205" s="16">
        <f t="shared" si="388"/>
        <v>0</v>
      </c>
      <c r="CJ1205" s="16" t="e">
        <f t="shared" si="395"/>
        <v>#N/A</v>
      </c>
      <c r="CK1205" s="16" t="str">
        <f t="shared" si="396"/>
        <v/>
      </c>
    </row>
    <row r="1206" spans="73:89" ht="12" customHeight="1">
      <c r="BU1206" s="16">
        <f t="shared" si="397"/>
        <v>0</v>
      </c>
      <c r="BV1206" s="16">
        <f>IF($BY$12=1,NORMDIST(BY1206,$Y$6,$Y$8,TRUE),IF($BY$12=2,IF(BY1206&lt;=$BX$31,0,IF(BY1206&gt;=$BX$32,1,(BY1206-$BX$31)*$BX$33)),SUM($BU$42:BU1206)/$BV$40))</f>
        <v>0.9995499127594083</v>
      </c>
      <c r="BW1206" s="16">
        <f t="shared" si="389"/>
        <v>9.3831638869103177E-3</v>
      </c>
      <c r="BY1206" s="16">
        <f t="shared" si="390"/>
        <v>116.39999999999766</v>
      </c>
      <c r="BZ1206" s="16">
        <f t="shared" si="391"/>
        <v>8.0611373598887508E-5</v>
      </c>
      <c r="CA1206" s="16">
        <f t="shared" si="398"/>
        <v>-999</v>
      </c>
      <c r="CE1206" s="16" t="e">
        <f t="shared" si="392"/>
        <v>#N/A</v>
      </c>
      <c r="CF1206" s="16">
        <f t="shared" si="393"/>
        <v>99</v>
      </c>
      <c r="CG1206" s="16">
        <f t="shared" si="394"/>
        <v>0</v>
      </c>
      <c r="CH1206" s="16">
        <f t="shared" si="388"/>
        <v>0</v>
      </c>
      <c r="CJ1206" s="16" t="e">
        <f t="shared" si="395"/>
        <v>#N/A</v>
      </c>
      <c r="CK1206" s="16" t="str">
        <f t="shared" si="396"/>
        <v/>
      </c>
    </row>
    <row r="1207" spans="73:89" ht="12" customHeight="1">
      <c r="BU1207" s="16">
        <f t="shared" si="397"/>
        <v>0</v>
      </c>
      <c r="BV1207" s="16">
        <f>IF($BY$12=1,NORMDIST(BY1207,$Y$6,$Y$8,TRUE),IF($BY$12=2,IF(BY1207&lt;=$BX$31,0,IF(BY1207&gt;=$BX$32,1,(BY1207-$BX$31)*$BX$33)),SUM($BU$42:BU1207)/$BV$40))</f>
        <v>0.99955790732484484</v>
      </c>
      <c r="BW1207" s="16">
        <f t="shared" si="389"/>
        <v>9.2365020247615007E-3</v>
      </c>
      <c r="BY1207" s="16">
        <f t="shared" si="390"/>
        <v>116.49999999999766</v>
      </c>
      <c r="BZ1207" s="16">
        <f t="shared" si="391"/>
        <v>7.9283279182503741E-5</v>
      </c>
      <c r="CA1207" s="16">
        <f t="shared" si="398"/>
        <v>-999</v>
      </c>
      <c r="CE1207" s="16" t="e">
        <f t="shared" si="392"/>
        <v>#N/A</v>
      </c>
      <c r="CF1207" s="16">
        <f t="shared" si="393"/>
        <v>99</v>
      </c>
      <c r="CG1207" s="16">
        <f t="shared" si="394"/>
        <v>0</v>
      </c>
      <c r="CH1207" s="16">
        <f t="shared" si="388"/>
        <v>0</v>
      </c>
      <c r="CJ1207" s="16" t="e">
        <f t="shared" si="395"/>
        <v>#N/A</v>
      </c>
      <c r="CK1207" s="16" t="str">
        <f t="shared" si="396"/>
        <v/>
      </c>
    </row>
    <row r="1208" spans="73:89" ht="12" customHeight="1">
      <c r="BU1208" s="16">
        <f t="shared" si="397"/>
        <v>0</v>
      </c>
      <c r="BV1208" s="16">
        <f>IF($BY$12=1,NORMDIST(BY1208,$Y$6,$Y$8,TRUE),IF($BY$12=2,IF(BY1208&lt;=$BX$31,0,IF(BY1208&gt;=$BX$32,1,(BY1208-$BX$31)*$BX$33)),SUM($BU$42:BU1208)/$BV$40))</f>
        <v>0.99956577007961789</v>
      </c>
      <c r="BW1208" s="16">
        <f t="shared" si="389"/>
        <v>9.0918985352094195E-3</v>
      </c>
      <c r="BY1208" s="16">
        <f t="shared" si="390"/>
        <v>116.59999999999765</v>
      </c>
      <c r="BZ1208" s="16">
        <f t="shared" si="391"/>
        <v>7.7975116082415122E-5</v>
      </c>
      <c r="CA1208" s="16">
        <f t="shared" si="398"/>
        <v>-999</v>
      </c>
      <c r="CE1208" s="16" t="e">
        <f t="shared" si="392"/>
        <v>#N/A</v>
      </c>
      <c r="CF1208" s="16">
        <f t="shared" si="393"/>
        <v>99</v>
      </c>
      <c r="CG1208" s="16">
        <f t="shared" si="394"/>
        <v>0</v>
      </c>
      <c r="CH1208" s="16">
        <f t="shared" si="388"/>
        <v>0</v>
      </c>
      <c r="CJ1208" s="16" t="e">
        <f t="shared" si="395"/>
        <v>#N/A</v>
      </c>
      <c r="CK1208" s="16" t="str">
        <f t="shared" si="396"/>
        <v/>
      </c>
    </row>
    <row r="1209" spans="73:89" ht="12" customHeight="1">
      <c r="BU1209" s="16">
        <f t="shared" si="397"/>
        <v>0</v>
      </c>
      <c r="BV1209" s="16">
        <f>IF($BY$12=1,NORMDIST(BY1209,$Y$6,$Y$8,TRUE),IF($BY$12=2,IF(BY1209&lt;=$BX$31,0,IF(BY1209&gt;=$BX$32,1,(BY1209-$BX$31)*$BX$33)),SUM($BU$42:BU1209)/$BV$40))</f>
        <v>0.99957350300363612</v>
      </c>
      <c r="BW1209" s="16">
        <f t="shared" si="389"/>
        <v>8.949328589290045E-3</v>
      </c>
      <c r="BY1209" s="16">
        <f t="shared" si="390"/>
        <v>116.69999999999764</v>
      </c>
      <c r="BZ1209" s="16">
        <f t="shared" si="391"/>
        <v>7.6686620302401245E-5</v>
      </c>
      <c r="CA1209" s="16">
        <f t="shared" si="398"/>
        <v>-999</v>
      </c>
      <c r="CE1209" s="16" t="e">
        <f t="shared" si="392"/>
        <v>#N/A</v>
      </c>
      <c r="CF1209" s="16">
        <f t="shared" si="393"/>
        <v>99</v>
      </c>
      <c r="CG1209" s="16">
        <f t="shared" si="394"/>
        <v>0</v>
      </c>
      <c r="CH1209" s="16">
        <f t="shared" si="388"/>
        <v>0</v>
      </c>
      <c r="CJ1209" s="16" t="e">
        <f t="shared" si="395"/>
        <v>#N/A</v>
      </c>
      <c r="CK1209" s="16" t="str">
        <f t="shared" si="396"/>
        <v/>
      </c>
    </row>
    <row r="1210" spans="73:89" ht="12" customHeight="1">
      <c r="BU1210" s="16">
        <f t="shared" si="397"/>
        <v>0</v>
      </c>
      <c r="BV1210" s="16">
        <f>IF($BY$12=1,NORMDIST(BY1210,$Y$6,$Y$8,TRUE),IF($BY$12=2,IF(BY1210&lt;=$BX$31,0,IF(BY1210&gt;=$BX$32,1,(BY1210-$BX$31)*$BX$33)),SUM($BU$42:BU1210)/$BV$40))</f>
        <v>0.99958110805054923</v>
      </c>
      <c r="BW1210" s="16">
        <f t="shared" si="389"/>
        <v>8.8087675907290892E-3</v>
      </c>
      <c r="BY1210" s="16">
        <f t="shared" si="390"/>
        <v>116.79999999999764</v>
      </c>
      <c r="BZ1210" s="16">
        <f t="shared" si="391"/>
        <v>7.54175307425451E-5</v>
      </c>
      <c r="CA1210" s="16">
        <f t="shared" si="398"/>
        <v>-999</v>
      </c>
      <c r="CE1210" s="16" t="e">
        <f t="shared" si="392"/>
        <v>#N/A</v>
      </c>
      <c r="CF1210" s="16">
        <f t="shared" si="393"/>
        <v>99</v>
      </c>
      <c r="CG1210" s="16">
        <f t="shared" si="394"/>
        <v>0</v>
      </c>
      <c r="CH1210" s="16">
        <f t="shared" si="388"/>
        <v>0</v>
      </c>
      <c r="CJ1210" s="16" t="e">
        <f t="shared" si="395"/>
        <v>#N/A</v>
      </c>
      <c r="CK1210" s="16" t="str">
        <f t="shared" si="396"/>
        <v/>
      </c>
    </row>
    <row r="1211" spans="73:89" ht="12" customHeight="1">
      <c r="BU1211" s="16">
        <f t="shared" si="397"/>
        <v>0</v>
      </c>
      <c r="BV1211" s="16">
        <f>IF($BY$12=1,NORMDIST(BY1211,$Y$6,$Y$8,TRUE),IF($BY$12=2,IF(BY1211&lt;=$BX$31,0,IF(BY1211&gt;=$BX$32,1,(BY1211-$BX$31)*$BX$33)),SUM($BU$42:BU1211)/$BV$40))</f>
        <v>0.9995885871480481</v>
      </c>
      <c r="BW1211" s="16">
        <f t="shared" si="389"/>
        <v>8.6701911748223656E-3</v>
      </c>
      <c r="BY1211" s="16">
        <f t="shared" si="390"/>
        <v>116.89999999999763</v>
      </c>
      <c r="BZ1211" s="16">
        <f t="shared" si="391"/>
        <v>7.4167589177267246E-5</v>
      </c>
      <c r="CA1211" s="16">
        <f t="shared" si="398"/>
        <v>-999</v>
      </c>
      <c r="CE1211" s="16" t="e">
        <f t="shared" si="392"/>
        <v>#N/A</v>
      </c>
      <c r="CF1211" s="16">
        <f t="shared" si="393"/>
        <v>99</v>
      </c>
      <c r="CG1211" s="16">
        <f t="shared" si="394"/>
        <v>0</v>
      </c>
      <c r="CH1211" s="16">
        <f t="shared" si="388"/>
        <v>0</v>
      </c>
      <c r="CJ1211" s="16" t="e">
        <f t="shared" si="395"/>
        <v>#N/A</v>
      </c>
      <c r="CK1211" s="16" t="str">
        <f t="shared" si="396"/>
        <v/>
      </c>
    </row>
    <row r="1212" spans="73:89" ht="12" customHeight="1">
      <c r="BU1212" s="16">
        <f t="shared" si="397"/>
        <v>0</v>
      </c>
      <c r="BV1212" s="16">
        <f>IF($BY$12=1,NORMDIST(BY1212,$Y$6,$Y$8,TRUE),IF($BY$12=2,IF(BY1212&lt;=$BX$31,0,IF(BY1212&gt;=$BX$32,1,(BY1212-$BX$31)*$BX$33)),SUM($BU$42:BU1212)/$BV$40))</f>
        <v>0.9995959421981353</v>
      </c>
      <c r="BW1212" s="16">
        <f t="shared" si="389"/>
        <v>8.5335752073036845E-3</v>
      </c>
      <c r="BY1212" s="16">
        <f t="shared" si="390"/>
        <v>116.99999999999763</v>
      </c>
      <c r="BZ1212" s="16">
        <f t="shared" si="391"/>
        <v>7.293654023336631E-5</v>
      </c>
      <c r="CA1212" s="16">
        <f t="shared" si="398"/>
        <v>-999</v>
      </c>
      <c r="CE1212" s="16" t="e">
        <f t="shared" si="392"/>
        <v>#N/A</v>
      </c>
      <c r="CF1212" s="16">
        <f t="shared" si="393"/>
        <v>99</v>
      </c>
      <c r="CG1212" s="16">
        <f t="shared" si="394"/>
        <v>0</v>
      </c>
      <c r="CH1212" s="16">
        <f t="shared" si="388"/>
        <v>0</v>
      </c>
      <c r="CJ1212" s="16" t="e">
        <f t="shared" si="395"/>
        <v>#N/A</v>
      </c>
      <c r="CK1212" s="16" t="str">
        <f t="shared" si="396"/>
        <v/>
      </c>
    </row>
    <row r="1213" spans="73:89" ht="12" customHeight="1">
      <c r="BU1213" s="16">
        <f t="shared" si="397"/>
        <v>0</v>
      </c>
      <c r="BV1213" s="16">
        <f>IF($BY$12=1,NORMDIST(BY1213,$Y$6,$Y$8,TRUE),IF($BY$12=2,IF(BY1213&lt;=$BX$31,0,IF(BY1213&gt;=$BX$32,1,(BY1213-$BX$31)*$BX$33)),SUM($BU$42:BU1213)/$BV$40))</f>
        <v>0.99960317507742702</v>
      </c>
      <c r="BW1213" s="16">
        <f t="shared" si="389"/>
        <v>8.3988957832007785E-3</v>
      </c>
      <c r="BY1213" s="16">
        <f t="shared" si="390"/>
        <v>117.09999999999762</v>
      </c>
      <c r="BZ1213" s="16">
        <f t="shared" si="391"/>
        <v>7.1724131368069587E-5</v>
      </c>
      <c r="CA1213" s="16">
        <f t="shared" si="398"/>
        <v>-999</v>
      </c>
      <c r="CE1213" s="16" t="e">
        <f t="shared" si="392"/>
        <v>#N/A</v>
      </c>
      <c r="CF1213" s="16">
        <f t="shared" si="393"/>
        <v>99</v>
      </c>
      <c r="CG1213" s="16">
        <f t="shared" si="394"/>
        <v>0</v>
      </c>
      <c r="CH1213" s="16">
        <f t="shared" si="388"/>
        <v>0</v>
      </c>
      <c r="CJ1213" s="16" t="e">
        <f t="shared" si="395"/>
        <v>#N/A</v>
      </c>
      <c r="CK1213" s="16" t="str">
        <f t="shared" si="396"/>
        <v/>
      </c>
    </row>
    <row r="1214" spans="73:89" ht="12" customHeight="1">
      <c r="BU1214" s="16">
        <f t="shared" si="397"/>
        <v>0</v>
      </c>
      <c r="BV1214" s="16">
        <f>IF($BY$12=1,NORMDIST(BY1214,$Y$6,$Y$8,TRUE),IF($BY$12=2,IF(BY1214&lt;=$BX$31,0,IF(BY1214&gt;=$BX$32,1,(BY1214-$BX$31)*$BX$33)),SUM($BU$42:BU1214)/$BV$40))</f>
        <v>0.99961028763741733</v>
      </c>
      <c r="BW1214" s="16">
        <f t="shared" si="389"/>
        <v>8.2661292256796578E-3</v>
      </c>
      <c r="BY1214" s="16">
        <f t="shared" si="390"/>
        <v>117.19999999999762</v>
      </c>
      <c r="BZ1214" s="16">
        <f t="shared" si="391"/>
        <v>7.0530112847097488E-5</v>
      </c>
      <c r="CA1214" s="16">
        <f t="shared" si="398"/>
        <v>-999</v>
      </c>
      <c r="CE1214" s="16" t="e">
        <f t="shared" si="392"/>
        <v>#N/A</v>
      </c>
      <c r="CF1214" s="16">
        <f t="shared" si="393"/>
        <v>99</v>
      </c>
      <c r="CG1214" s="16">
        <f t="shared" si="394"/>
        <v>0</v>
      </c>
      <c r="CH1214" s="16">
        <f t="shared" si="388"/>
        <v>0</v>
      </c>
      <c r="CJ1214" s="16" t="e">
        <f t="shared" si="395"/>
        <v>#N/A</v>
      </c>
      <c r="CK1214" s="16" t="str">
        <f t="shared" si="396"/>
        <v/>
      </c>
    </row>
    <row r="1215" spans="73:89" ht="12" customHeight="1">
      <c r="BU1215" s="16">
        <f t="shared" si="397"/>
        <v>0</v>
      </c>
      <c r="BV1215" s="16">
        <f>IF($BY$12=1,NORMDIST(BY1215,$Y$6,$Y$8,TRUE),IF($BY$12=2,IF(BY1215&lt;=$BX$31,0,IF(BY1215&gt;=$BX$32,1,(BY1215-$BX$31)*$BX$33)),SUM($BU$42:BU1215)/$BV$40))</f>
        <v>0.99961728170477349</v>
      </c>
      <c r="BW1215" s="16">
        <f t="shared" si="389"/>
        <v>8.1352520848776179E-3</v>
      </c>
      <c r="BY1215" s="16">
        <f t="shared" si="390"/>
        <v>117.29999999999761</v>
      </c>
      <c r="BZ1215" s="16">
        <f t="shared" si="391"/>
        <v>6.9354237722743251E-5</v>
      </c>
      <c r="CA1215" s="16">
        <f t="shared" si="398"/>
        <v>-999</v>
      </c>
      <c r="CE1215" s="16" t="e">
        <f t="shared" si="392"/>
        <v>#N/A</v>
      </c>
      <c r="CF1215" s="16">
        <f t="shared" si="393"/>
        <v>99</v>
      </c>
      <c r="CG1215" s="16">
        <f t="shared" si="394"/>
        <v>0</v>
      </c>
      <c r="CH1215" s="16">
        <f t="shared" si="388"/>
        <v>0</v>
      </c>
      <c r="CJ1215" s="16" t="e">
        <f t="shared" si="395"/>
        <v>#N/A</v>
      </c>
      <c r="CK1215" s="16" t="str">
        <f t="shared" si="396"/>
        <v/>
      </c>
    </row>
    <row r="1216" spans="73:89" ht="12" customHeight="1">
      <c r="BU1216" s="16">
        <f t="shared" si="397"/>
        <v>0</v>
      </c>
      <c r="BV1216" s="16">
        <f>IF($BY$12=1,NORMDIST(BY1216,$Y$6,$Y$8,TRUE),IF($BY$12=2,IF(BY1216&lt;=$BX$31,0,IF(BY1216&gt;=$BX$32,1,(BY1216-$BX$31)*$BX$33)),SUM($BU$42:BU1216)/$BV$40))</f>
        <v>0.99962415908160029</v>
      </c>
      <c r="BW1216" s="16">
        <f t="shared" si="389"/>
        <v>8.0062411367254338E-3</v>
      </c>
      <c r="BY1216" s="16">
        <f t="shared" si="390"/>
        <v>117.3999999999976</v>
      </c>
      <c r="BZ1216" s="16">
        <f t="shared" si="391"/>
        <v>6.8196261811972718E-5</v>
      </c>
      <c r="CA1216" s="16">
        <f t="shared" si="398"/>
        <v>-999</v>
      </c>
      <c r="CE1216" s="16" t="e">
        <f t="shared" si="392"/>
        <v>#N/A</v>
      </c>
      <c r="CF1216" s="16">
        <f t="shared" si="393"/>
        <v>99</v>
      </c>
      <c r="CG1216" s="16">
        <f t="shared" si="394"/>
        <v>0</v>
      </c>
      <c r="CH1216" s="16">
        <f t="shared" si="388"/>
        <v>0</v>
      </c>
      <c r="CJ1216" s="16" t="e">
        <f t="shared" si="395"/>
        <v>#N/A</v>
      </c>
      <c r="CK1216" s="16" t="str">
        <f t="shared" si="396"/>
        <v/>
      </c>
    </row>
    <row r="1217" spans="73:89" ht="12" customHeight="1">
      <c r="BU1217" s="16">
        <f t="shared" si="397"/>
        <v>0</v>
      </c>
      <c r="BV1217" s="16">
        <f>IF($BY$12=1,NORMDIST(BY1217,$Y$6,$Y$8,TRUE),IF($BY$12=2,IF(BY1217&lt;=$BX$31,0,IF(BY1217&gt;=$BX$32,1,(BY1217-$BX$31)*$BX$33)),SUM($BU$42:BU1217)/$BV$40))</f>
        <v>0.99963092154572442</v>
      </c>
      <c r="BW1217" s="16">
        <f t="shared" si="389"/>
        <v>7.879073381758998E-3</v>
      </c>
      <c r="BY1217" s="16">
        <f t="shared" si="390"/>
        <v>117.4999999999976</v>
      </c>
      <c r="BZ1217" s="16">
        <f t="shared" si="391"/>
        <v>6.7055943674546031E-5</v>
      </c>
      <c r="CA1217" s="16">
        <f t="shared" si="398"/>
        <v>-999</v>
      </c>
      <c r="CE1217" s="16" t="e">
        <f t="shared" si="392"/>
        <v>#N/A</v>
      </c>
      <c r="CF1217" s="16">
        <f t="shared" si="393"/>
        <v>99</v>
      </c>
      <c r="CG1217" s="16">
        <f t="shared" si="394"/>
        <v>0</v>
      </c>
      <c r="CH1217" s="16">
        <f t="shared" si="388"/>
        <v>0</v>
      </c>
      <c r="CJ1217" s="16" t="e">
        <f t="shared" si="395"/>
        <v>#N/A</v>
      </c>
      <c r="CK1217" s="16" t="str">
        <f t="shared" si="396"/>
        <v/>
      </c>
    </row>
    <row r="1218" spans="73:89" ht="12" customHeight="1">
      <c r="BU1218" s="16">
        <f t="shared" si="397"/>
        <v>0</v>
      </c>
      <c r="BV1218" s="16">
        <f>IF($BY$12=1,NORMDIST(BY1218,$Y$6,$Y$8,TRUE),IF($BY$12=2,IF(BY1218&lt;=$BX$31,0,IF(BY1218&gt;=$BX$32,1,(BY1218-$BX$31)*$BX$33)),SUM($BU$42:BU1218)/$BV$40))</f>
        <v>0.99963757085096638</v>
      </c>
      <c r="BW1218" s="16">
        <f t="shared" si="389"/>
        <v>7.7537260439207107E-3</v>
      </c>
      <c r="BY1218" s="16">
        <f t="shared" si="390"/>
        <v>117.59999999999759</v>
      </c>
      <c r="BZ1218" s="16">
        <f t="shared" si="391"/>
        <v>6.5933044591163858E-5</v>
      </c>
      <c r="CA1218" s="16">
        <f t="shared" si="398"/>
        <v>-999</v>
      </c>
      <c r="CE1218" s="16" t="e">
        <f t="shared" si="392"/>
        <v>#N/A</v>
      </c>
      <c r="CF1218" s="16">
        <f t="shared" si="393"/>
        <v>99</v>
      </c>
      <c r="CG1218" s="16">
        <f t="shared" si="394"/>
        <v>0</v>
      </c>
      <c r="CH1218" s="16">
        <f t="shared" si="388"/>
        <v>0</v>
      </c>
      <c r="CJ1218" s="16" t="e">
        <f t="shared" si="395"/>
        <v>#N/A</v>
      </c>
      <c r="CK1218" s="16" t="str">
        <f t="shared" si="396"/>
        <v/>
      </c>
    </row>
    <row r="1219" spans="73:89" ht="12" customHeight="1">
      <c r="BU1219" s="16">
        <f t="shared" si="397"/>
        <v>0</v>
      </c>
      <c r="BV1219" s="16">
        <f>IF($BY$12=1,NORMDIST(BY1219,$Y$6,$Y$8,TRUE),IF($BY$12=2,IF(BY1219&lt;=$BX$31,0,IF(BY1219&gt;=$BX$32,1,(BY1219-$BX$31)*$BX$33)),SUM($BU$42:BU1219)/$BV$40))</f>
        <v>0.99964410872740928</v>
      </c>
      <c r="BW1219" s="16">
        <f t="shared" si="389"/>
        <v>7.6301765693511381E-3</v>
      </c>
      <c r="BY1219" s="16">
        <f t="shared" si="390"/>
        <v>117.69999999999759</v>
      </c>
      <c r="BZ1219" s="16">
        <f t="shared" si="391"/>
        <v>6.4827328541642264E-5</v>
      </c>
      <c r="CA1219" s="16">
        <f t="shared" si="398"/>
        <v>-999</v>
      </c>
      <c r="CE1219" s="16" t="e">
        <f t="shared" si="392"/>
        <v>#N/A</v>
      </c>
      <c r="CF1219" s="16">
        <f t="shared" si="393"/>
        <v>99</v>
      </c>
      <c r="CG1219" s="16">
        <f t="shared" si="394"/>
        <v>0</v>
      </c>
      <c r="CH1219" s="16">
        <f t="shared" ref="CH1219:CH1282" si="399">IF(CB1219="",0,1)</f>
        <v>0</v>
      </c>
      <c r="CJ1219" s="16" t="e">
        <f t="shared" si="395"/>
        <v>#N/A</v>
      </c>
      <c r="CK1219" s="16" t="str">
        <f t="shared" si="396"/>
        <v/>
      </c>
    </row>
    <row r="1220" spans="73:89" ht="12" customHeight="1">
      <c r="BU1220" s="16">
        <f t="shared" si="397"/>
        <v>0</v>
      </c>
      <c r="BV1220" s="16">
        <f>IF($BY$12=1,NORMDIST(BY1220,$Y$6,$Y$8,TRUE),IF($BY$12=2,IF(BY1220&lt;=$BX$31,0,IF(BY1220&gt;=$BX$32,1,(BY1220-$BX$31)*$BX$33)),SUM($BU$42:BU1220)/$BV$40))</f>
        <v>0.99965053688166194</v>
      </c>
      <c r="BW1220" s="16">
        <f t="shared" si="389"/>
        <v>7.5084026251711206E-3</v>
      </c>
      <c r="BY1220" s="16">
        <f t="shared" si="390"/>
        <v>117.79999999999758</v>
      </c>
      <c r="BZ1220" s="16">
        <f t="shared" si="391"/>
        <v>6.3738562183117785E-5</v>
      </c>
      <c r="CA1220" s="16">
        <f t="shared" si="398"/>
        <v>-999</v>
      </c>
      <c r="CE1220" s="16" t="e">
        <f t="shared" si="392"/>
        <v>#N/A</v>
      </c>
      <c r="CF1220" s="16">
        <f t="shared" si="393"/>
        <v>99</v>
      </c>
      <c r="CG1220" s="16">
        <f t="shared" si="394"/>
        <v>0</v>
      </c>
      <c r="CH1220" s="16">
        <f t="shared" si="399"/>
        <v>0</v>
      </c>
      <c r="CJ1220" s="16" t="e">
        <f t="shared" si="395"/>
        <v>#N/A</v>
      </c>
      <c r="CK1220" s="16" t="str">
        <f t="shared" si="396"/>
        <v/>
      </c>
    </row>
    <row r="1221" spans="73:89" ht="12" customHeight="1">
      <c r="BU1221" s="16">
        <f t="shared" si="397"/>
        <v>0</v>
      </c>
      <c r="BV1221" s="16">
        <f>IF($BY$12=1,NORMDIST(BY1221,$Y$6,$Y$8,TRUE),IF($BY$12=2,IF(BY1221&lt;=$BX$31,0,IF(BY1221&gt;=$BX$32,1,(BY1221-$BX$31)*$BX$33)),SUM($BU$42:BU1221)/$BV$40))</f>
        <v>0.99965685699714157</v>
      </c>
      <c r="BW1221" s="16">
        <f t="shared" si="389"/>
        <v>7.3883820982547739E-3</v>
      </c>
      <c r="BY1221" s="16">
        <f t="shared" si="390"/>
        <v>117.89999999999758</v>
      </c>
      <c r="BZ1221" s="16">
        <f t="shared" si="391"/>
        <v>6.2666514828286054E-5</v>
      </c>
      <c r="CA1221" s="16">
        <f t="shared" si="398"/>
        <v>-999</v>
      </c>
      <c r="CE1221" s="16" t="e">
        <f t="shared" si="392"/>
        <v>#N/A</v>
      </c>
      <c r="CF1221" s="16">
        <f t="shared" si="393"/>
        <v>99</v>
      </c>
      <c r="CG1221" s="16">
        <f t="shared" si="394"/>
        <v>0</v>
      </c>
      <c r="CH1221" s="16">
        <f t="shared" si="399"/>
        <v>0</v>
      </c>
      <c r="CJ1221" s="16" t="e">
        <f t="shared" si="395"/>
        <v>#N/A</v>
      </c>
      <c r="CK1221" s="16" t="str">
        <f t="shared" si="396"/>
        <v/>
      </c>
    </row>
    <row r="1222" spans="73:89" ht="12" customHeight="1">
      <c r="BU1222" s="16">
        <f t="shared" si="397"/>
        <v>0</v>
      </c>
      <c r="BV1222" s="16">
        <f>IF($BY$12=1,NORMDIST(BY1222,$Y$6,$Y$8,TRUE),IF($BY$12=2,IF(BY1222&lt;=$BX$31,0,IF(BY1222&gt;=$BX$32,1,(BY1222-$BX$31)*$BX$33)),SUM($BU$42:BU1222)/$BV$40))</f>
        <v>0.99966307073432281</v>
      </c>
      <c r="BW1222" s="16">
        <f t="shared" si="389"/>
        <v>7.2700930939936627E-3</v>
      </c>
      <c r="BY1222" s="16">
        <f t="shared" si="390"/>
        <v>117.99999999999757</v>
      </c>
      <c r="BZ1222" s="16">
        <f t="shared" si="391"/>
        <v>6.1610958423676375E-5</v>
      </c>
      <c r="CA1222" s="16">
        <f t="shared" si="398"/>
        <v>-999</v>
      </c>
      <c r="CE1222" s="16" t="e">
        <f t="shared" si="392"/>
        <v>#N/A</v>
      </c>
      <c r="CF1222" s="16">
        <f t="shared" si="393"/>
        <v>99</v>
      </c>
      <c r="CG1222" s="16">
        <f t="shared" si="394"/>
        <v>0</v>
      </c>
      <c r="CH1222" s="16">
        <f t="shared" si="399"/>
        <v>0</v>
      </c>
      <c r="CJ1222" s="16" t="e">
        <f t="shared" si="395"/>
        <v>#N/A</v>
      </c>
      <c r="CK1222" s="16" t="str">
        <f t="shared" si="396"/>
        <v/>
      </c>
    </row>
    <row r="1223" spans="73:89" ht="12" customHeight="1">
      <c r="BU1223" s="16">
        <f t="shared" si="397"/>
        <v>0</v>
      </c>
      <c r="BV1223" s="16">
        <f>IF($BY$12=1,NORMDIST(BY1223,$Y$6,$Y$8,TRUE),IF($BY$12=2,IF(BY1223&lt;=$BX$31,0,IF(BY1223&gt;=$BX$32,1,(BY1223-$BX$31)*$BX$33)),SUM($BU$42:BU1223)/$BV$40))</f>
        <v>0.99966917973100688</v>
      </c>
      <c r="BW1223" s="16">
        <f t="shared" si="389"/>
        <v>7.1535139350525495E-3</v>
      </c>
      <c r="BY1223" s="16">
        <f t="shared" si="390"/>
        <v>118.09999999999756</v>
      </c>
      <c r="BZ1223" s="16">
        <f t="shared" si="391"/>
        <v>6.0571667527965256E-5</v>
      </c>
      <c r="CA1223" s="16">
        <f t="shared" si="398"/>
        <v>-999</v>
      </c>
      <c r="CE1223" s="16" t="e">
        <f t="shared" si="392"/>
        <v>#N/A</v>
      </c>
      <c r="CF1223" s="16">
        <f t="shared" si="393"/>
        <v>99</v>
      </c>
      <c r="CG1223" s="16">
        <f t="shared" si="394"/>
        <v>0</v>
      </c>
      <c r="CH1223" s="16">
        <f t="shared" si="399"/>
        <v>0</v>
      </c>
      <c r="CJ1223" s="16" t="e">
        <f t="shared" si="395"/>
        <v>#N/A</v>
      </c>
      <c r="CK1223" s="16" t="str">
        <f t="shared" si="396"/>
        <v/>
      </c>
    </row>
    <row r="1224" spans="73:89" ht="12" customHeight="1">
      <c r="BU1224" s="16">
        <f t="shared" si="397"/>
        <v>0</v>
      </c>
      <c r="BV1224" s="16">
        <f>IF($BY$12=1,NORMDIST(BY1224,$Y$6,$Y$8,TRUE),IF($BY$12=2,IF(BY1224&lt;=$BX$31,0,IF(BY1224&gt;=$BX$32,1,(BY1224-$BX$31)*$BX$33)),SUM($BU$42:BU1224)/$BV$40))</f>
        <v>0.99967518560258095</v>
      </c>
      <c r="BW1224" s="16">
        <f t="shared" si="389"/>
        <v>7.0386231601169413E-3</v>
      </c>
      <c r="BY1224" s="16">
        <f t="shared" si="390"/>
        <v>118.19999999999756</v>
      </c>
      <c r="BZ1224" s="16">
        <f t="shared" si="391"/>
        <v>5.9548419290330686E-5</v>
      </c>
      <c r="CA1224" s="16">
        <f t="shared" si="398"/>
        <v>-999</v>
      </c>
      <c r="CE1224" s="16" t="e">
        <f t="shared" si="392"/>
        <v>#N/A</v>
      </c>
      <c r="CF1224" s="16">
        <f t="shared" si="393"/>
        <v>99</v>
      </c>
      <c r="CG1224" s="16">
        <f t="shared" si="394"/>
        <v>0</v>
      </c>
      <c r="CH1224" s="16">
        <f t="shared" si="399"/>
        <v>0</v>
      </c>
      <c r="CJ1224" s="16" t="e">
        <f t="shared" si="395"/>
        <v>#N/A</v>
      </c>
      <c r="CK1224" s="16" t="str">
        <f t="shared" si="396"/>
        <v/>
      </c>
    </row>
    <row r="1225" spans="73:89" ht="12" customHeight="1">
      <c r="BU1225" s="16">
        <f t="shared" si="397"/>
        <v>0</v>
      </c>
      <c r="BV1225" s="16">
        <f>IF($BY$12=1,NORMDIST(BY1225,$Y$6,$Y$8,TRUE),IF($BY$12=2,IF(BY1225&lt;=$BX$31,0,IF(BY1225&gt;=$BX$32,1,(BY1225-$BX$31)*$BX$33)),SUM($BU$42:BU1225)/$BV$40))</f>
        <v>0.99968108994227445</v>
      </c>
      <c r="BW1225" s="16">
        <f t="shared" si="389"/>
        <v>6.925399522632901E-3</v>
      </c>
      <c r="BY1225" s="16">
        <f t="shared" si="390"/>
        <v>118.29999999999755</v>
      </c>
      <c r="BZ1225" s="16">
        <f t="shared" si="391"/>
        <v>5.8540993428850757E-5</v>
      </c>
      <c r="CA1225" s="16">
        <f t="shared" si="398"/>
        <v>-999</v>
      </c>
      <c r="CE1225" s="16" t="e">
        <f t="shared" si="392"/>
        <v>#N/A</v>
      </c>
      <c r="CF1225" s="16">
        <f t="shared" si="393"/>
        <v>99</v>
      </c>
      <c r="CG1225" s="16">
        <f t="shared" si="394"/>
        <v>0</v>
      </c>
      <c r="CH1225" s="16">
        <f t="shared" si="399"/>
        <v>0</v>
      </c>
      <c r="CJ1225" s="16" t="e">
        <f t="shared" si="395"/>
        <v>#N/A</v>
      </c>
      <c r="CK1225" s="16" t="str">
        <f t="shared" si="396"/>
        <v/>
      </c>
    </row>
    <row r="1226" spans="73:89" ht="12" customHeight="1">
      <c r="BU1226" s="16">
        <f t="shared" si="397"/>
        <v>0</v>
      </c>
      <c r="BV1226" s="16">
        <f>IF($BY$12=1,NORMDIST(BY1226,$Y$6,$Y$8,TRUE),IF($BY$12=2,IF(BY1226&lt;=$BX$31,0,IF(BY1226&gt;=$BX$32,1,(BY1226-$BX$31)*$BX$33)),SUM($BU$42:BU1226)/$BV$40))</f>
        <v>0.99968689432141888</v>
      </c>
      <c r="BW1226" s="16">
        <f t="shared" si="389"/>
        <v>6.813821989539337E-3</v>
      </c>
      <c r="BY1226" s="16">
        <f t="shared" si="390"/>
        <v>118.39999999999755</v>
      </c>
      <c r="BZ1226" s="16">
        <f t="shared" si="391"/>
        <v>5.7549172208948294E-5</v>
      </c>
      <c r="CA1226" s="16">
        <f t="shared" si="398"/>
        <v>-999</v>
      </c>
      <c r="CE1226" s="16" t="e">
        <f t="shared" si="392"/>
        <v>#N/A</v>
      </c>
      <c r="CF1226" s="16">
        <f t="shared" si="393"/>
        <v>99</v>
      </c>
      <c r="CG1226" s="16">
        <f t="shared" si="394"/>
        <v>0</v>
      </c>
      <c r="CH1226" s="16">
        <f t="shared" si="399"/>
        <v>0</v>
      </c>
      <c r="CJ1226" s="16" t="e">
        <f t="shared" si="395"/>
        <v>#N/A</v>
      </c>
      <c r="CK1226" s="16" t="str">
        <f t="shared" si="396"/>
        <v/>
      </c>
    </row>
    <row r="1227" spans="73:89" ht="12" customHeight="1">
      <c r="BU1227" s="16">
        <f t="shared" si="397"/>
        <v>0</v>
      </c>
      <c r="BV1227" s="16">
        <f>IF($BY$12=1,NORMDIST(BY1227,$Y$6,$Y$8,TRUE),IF($BY$12=2,IF(BY1227&lt;=$BX$31,0,IF(BY1227&gt;=$BX$32,1,(BY1227-$BX$31)*$BX$33)),SUM($BU$42:BU1227)/$BV$40))</f>
        <v>0.99969260028969431</v>
      </c>
      <c r="BW1227" s="16">
        <f t="shared" si="389"/>
        <v>6.7038697399931409E-3</v>
      </c>
      <c r="BY1227" s="16">
        <f t="shared" si="390"/>
        <v>118.49999999999754</v>
      </c>
      <c r="BZ1227" s="16">
        <f t="shared" si="391"/>
        <v>5.6572740421884218E-5</v>
      </c>
      <c r="CA1227" s="16">
        <f t="shared" si="398"/>
        <v>-999</v>
      </c>
      <c r="CE1227" s="16" t="e">
        <f t="shared" si="392"/>
        <v>#N/A</v>
      </c>
      <c r="CF1227" s="16">
        <f t="shared" si="393"/>
        <v>99</v>
      </c>
      <c r="CG1227" s="16">
        <f t="shared" si="394"/>
        <v>0</v>
      </c>
      <c r="CH1227" s="16">
        <f t="shared" si="399"/>
        <v>0</v>
      </c>
      <c r="CJ1227" s="16" t="e">
        <f t="shared" si="395"/>
        <v>#N/A</v>
      </c>
      <c r="CK1227" s="16" t="str">
        <f t="shared" si="396"/>
        <v/>
      </c>
    </row>
    <row r="1228" spans="73:89" ht="12" customHeight="1">
      <c r="BU1228" s="16">
        <f t="shared" si="397"/>
        <v>0</v>
      </c>
      <c r="BV1228" s="16">
        <f>IF($BY$12=1,NORMDIST(BY1228,$Y$6,$Y$8,TRUE),IF($BY$12=2,IF(BY1228&lt;=$BX$31,0,IF(BY1228&gt;=$BX$32,1,(BY1228-$BX$31)*$BX$33)),SUM($BU$42:BU1228)/$BV$40))</f>
        <v>0.99969820937539178</v>
      </c>
      <c r="BW1228" s="16">
        <f t="shared" si="389"/>
        <v>6.5955221640874558E-3</v>
      </c>
      <c r="BY1228" s="16">
        <f t="shared" si="390"/>
        <v>118.59999999999754</v>
      </c>
      <c r="BZ1228" s="16">
        <f t="shared" si="391"/>
        <v>5.5611485363301796E-5</v>
      </c>
      <c r="CA1228" s="16">
        <f t="shared" si="398"/>
        <v>-999</v>
      </c>
      <c r="CE1228" s="16" t="e">
        <f t="shared" si="392"/>
        <v>#N/A</v>
      </c>
      <c r="CF1228" s="16">
        <f t="shared" si="393"/>
        <v>99</v>
      </c>
      <c r="CG1228" s="16">
        <f t="shared" si="394"/>
        <v>0</v>
      </c>
      <c r="CH1228" s="16">
        <f t="shared" si="399"/>
        <v>0</v>
      </c>
      <c r="CJ1228" s="16" t="e">
        <f t="shared" si="395"/>
        <v>#N/A</v>
      </c>
      <c r="CK1228" s="16" t="str">
        <f t="shared" si="396"/>
        <v/>
      </c>
    </row>
    <row r="1229" spans="73:89" ht="12" customHeight="1">
      <c r="BU1229" s="16">
        <f t="shared" si="397"/>
        <v>0</v>
      </c>
      <c r="BV1229" s="16">
        <f>IF($BY$12=1,NORMDIST(BY1229,$Y$6,$Y$8,TRUE),IF($BY$12=2,IF(BY1229&lt;=$BX$31,0,IF(BY1229&gt;=$BX$32,1,(BY1229-$BX$31)*$BX$33)),SUM($BU$42:BU1229)/$BV$40))</f>
        <v>0.99970372308564803</v>
      </c>
      <c r="BW1229" s="16">
        <f t="shared" si="389"/>
        <v>6.4887588615634342E-3</v>
      </c>
      <c r="BY1229" s="16">
        <f t="shared" si="390"/>
        <v>118.69999999999753</v>
      </c>
      <c r="BZ1229" s="16">
        <f t="shared" si="391"/>
        <v>5.4665196811824507E-5</v>
      </c>
      <c r="CA1229" s="16">
        <f t="shared" si="398"/>
        <v>-999</v>
      </c>
      <c r="CE1229" s="16" t="e">
        <f t="shared" si="392"/>
        <v>#N/A</v>
      </c>
      <c r="CF1229" s="16">
        <f t="shared" si="393"/>
        <v>99</v>
      </c>
      <c r="CG1229" s="16">
        <f t="shared" si="394"/>
        <v>0</v>
      </c>
      <c r="CH1229" s="16">
        <f t="shared" si="399"/>
        <v>0</v>
      </c>
      <c r="CJ1229" s="16" t="e">
        <f t="shared" si="395"/>
        <v>#N/A</v>
      </c>
      <c r="CK1229" s="16" t="str">
        <f t="shared" si="396"/>
        <v/>
      </c>
    </row>
    <row r="1230" spans="73:89" ht="12" customHeight="1">
      <c r="BU1230" s="16">
        <f t="shared" si="397"/>
        <v>0</v>
      </c>
      <c r="BV1230" s="16">
        <f>IF($BY$12=1,NORMDIST(BY1230,$Y$6,$Y$8,TRUE),IF($BY$12=2,IF(BY1230&lt;=$BX$31,0,IF(BY1230&gt;=$BX$32,1,(BY1230-$BX$31)*$BX$33)),SUM($BU$42:BU1230)/$BV$40))</f>
        <v>0.99970914290670909</v>
      </c>
      <c r="BW1230" s="16">
        <f t="shared" si="389"/>
        <v>6.3835596405157711E-3</v>
      </c>
      <c r="BY1230" s="16">
        <f t="shared" si="390"/>
        <v>118.79999999999752</v>
      </c>
      <c r="BZ1230" s="16">
        <f t="shared" si="391"/>
        <v>5.3733667007709633E-5</v>
      </c>
      <c r="CA1230" s="16">
        <f t="shared" si="398"/>
        <v>-999</v>
      </c>
      <c r="CE1230" s="16" t="e">
        <f t="shared" si="392"/>
        <v>#N/A</v>
      </c>
      <c r="CF1230" s="16">
        <f t="shared" si="393"/>
        <v>99</v>
      </c>
      <c r="CG1230" s="16">
        <f t="shared" si="394"/>
        <v>0</v>
      </c>
      <c r="CH1230" s="16">
        <f t="shared" si="399"/>
        <v>0</v>
      </c>
      <c r="CJ1230" s="16" t="e">
        <f t="shared" si="395"/>
        <v>#N/A</v>
      </c>
      <c r="CK1230" s="16" t="str">
        <f t="shared" si="396"/>
        <v/>
      </c>
    </row>
    <row r="1231" spans="73:89" ht="12" customHeight="1">
      <c r="BU1231" s="16">
        <f t="shared" si="397"/>
        <v>0</v>
      </c>
      <c r="BV1231" s="16">
        <f>IF($BY$12=1,NORMDIST(BY1231,$Y$6,$Y$8,TRUE),IF($BY$12=2,IF(BY1231&lt;=$BX$31,0,IF(BY1231&gt;=$BX$32,1,(BY1231-$BX$31)*$BX$33)),SUM($BU$42:BU1231)/$BV$40))</f>
        <v>0.99971447030416138</v>
      </c>
      <c r="BW1231" s="16">
        <f t="shared" si="389"/>
        <v>6.2799045160922915E-3</v>
      </c>
      <c r="BY1231" s="16">
        <f t="shared" si="390"/>
        <v>118.89999999999752</v>
      </c>
      <c r="BZ1231" s="16">
        <f t="shared" si="391"/>
        <v>5.2816690631559486E-5</v>
      </c>
      <c r="CA1231" s="16">
        <f t="shared" si="398"/>
        <v>-999</v>
      </c>
      <c r="CE1231" s="16" t="e">
        <f t="shared" si="392"/>
        <v>#N/A</v>
      </c>
      <c r="CF1231" s="16">
        <f t="shared" si="393"/>
        <v>99</v>
      </c>
      <c r="CG1231" s="16">
        <f t="shared" si="394"/>
        <v>0</v>
      </c>
      <c r="CH1231" s="16">
        <f t="shared" si="399"/>
        <v>0</v>
      </c>
      <c r="CJ1231" s="16" t="e">
        <f t="shared" si="395"/>
        <v>#N/A</v>
      </c>
      <c r="CK1231" s="16" t="str">
        <f t="shared" si="396"/>
        <v/>
      </c>
    </row>
    <row r="1232" spans="73:89" ht="12" customHeight="1">
      <c r="BU1232" s="16">
        <f t="shared" si="397"/>
        <v>0</v>
      </c>
      <c r="BV1232" s="16">
        <f>IF($BY$12=1,NORMDIST(BY1232,$Y$6,$Y$8,TRUE),IF($BY$12=2,IF(BY1232&lt;=$BX$31,0,IF(BY1232&gt;=$BX$32,1,(BY1232-$BX$31)*$BX$33)),SUM($BU$42:BU1232)/$BV$40))</f>
        <v>0.99971970672318422</v>
      </c>
      <c r="BW1232" s="16">
        <f t="shared" si="389"/>
        <v>6.1777737091879108E-3</v>
      </c>
      <c r="BY1232" s="16">
        <f t="shared" si="390"/>
        <v>118.99999999999751</v>
      </c>
      <c r="BZ1232" s="16">
        <f t="shared" si="391"/>
        <v>5.1914064783092774E-5</v>
      </c>
      <c r="CA1232" s="16">
        <f t="shared" si="398"/>
        <v>-999</v>
      </c>
      <c r="CE1232" s="16" t="e">
        <f t="shared" si="392"/>
        <v>#N/A</v>
      </c>
      <c r="CF1232" s="16">
        <f t="shared" si="393"/>
        <v>99</v>
      </c>
      <c r="CG1232" s="16">
        <f t="shared" si="394"/>
        <v>0</v>
      </c>
      <c r="CH1232" s="16">
        <f t="shared" si="399"/>
        <v>0</v>
      </c>
      <c r="CJ1232" s="16" t="e">
        <f t="shared" si="395"/>
        <v>#N/A</v>
      </c>
      <c r="CK1232" s="16" t="str">
        <f t="shared" si="396"/>
        <v/>
      </c>
    </row>
    <row r="1233" spans="73:89" ht="12" customHeight="1">
      <c r="BU1233" s="16">
        <f t="shared" si="397"/>
        <v>0</v>
      </c>
      <c r="BV1233" s="16">
        <f>IF($BY$12=1,NORMDIST(BY1233,$Y$6,$Y$8,TRUE),IF($BY$12=2,IF(BY1233&lt;=$BX$31,0,IF(BY1233&gt;=$BX$32,1,(BY1233-$BX$31)*$BX$33)),SUM($BU$42:BU1233)/$BV$40))</f>
        <v>0.99972485358878249</v>
      </c>
      <c r="BW1233" s="16">
        <f t="shared" si="389"/>
        <v>6.0771476451333163E-3</v>
      </c>
      <c r="BY1233" s="16">
        <f t="shared" si="390"/>
        <v>119.09999999999751</v>
      </c>
      <c r="BZ1233" s="16">
        <f t="shared" si="391"/>
        <v>5.1025588959978532E-5</v>
      </c>
      <c r="CA1233" s="16">
        <f t="shared" si="398"/>
        <v>-999</v>
      </c>
      <c r="CE1233" s="16" t="e">
        <f t="shared" si="392"/>
        <v>#N/A</v>
      </c>
      <c r="CF1233" s="16">
        <f t="shared" si="393"/>
        <v>99</v>
      </c>
      <c r="CG1233" s="16">
        <f t="shared" si="394"/>
        <v>0</v>
      </c>
      <c r="CH1233" s="16">
        <f t="shared" si="399"/>
        <v>0</v>
      </c>
      <c r="CJ1233" s="16" t="e">
        <f t="shared" si="395"/>
        <v>#N/A</v>
      </c>
      <c r="CK1233" s="16" t="str">
        <f t="shared" si="396"/>
        <v/>
      </c>
    </row>
    <row r="1234" spans="73:89" ht="12" customHeight="1">
      <c r="BU1234" s="16">
        <f t="shared" si="397"/>
        <v>0</v>
      </c>
      <c r="BV1234" s="16">
        <f>IF($BY$12=1,NORMDIST(BY1234,$Y$6,$Y$8,TRUE),IF($BY$12=2,IF(BY1234&lt;=$BX$31,0,IF(BY1234&gt;=$BX$32,1,(BY1234-$BX$31)*$BX$33)),SUM($BU$42:BU1234)/$BV$40))</f>
        <v>0.99972991230603658</v>
      </c>
      <c r="BW1234" s="16">
        <f t="shared" si="389"/>
        <v>5.9780069523785156E-3</v>
      </c>
      <c r="BY1234" s="16">
        <f t="shared" si="390"/>
        <v>119.1999999999975</v>
      </c>
      <c r="BZ1234" s="16">
        <f t="shared" si="391"/>
        <v>5.0151065036733562E-5</v>
      </c>
      <c r="CA1234" s="16">
        <f t="shared" si="398"/>
        <v>-999</v>
      </c>
      <c r="CE1234" s="16" t="e">
        <f t="shared" si="392"/>
        <v>#N/A</v>
      </c>
      <c r="CF1234" s="16">
        <f t="shared" si="393"/>
        <v>99</v>
      </c>
      <c r="CG1234" s="16">
        <f t="shared" si="394"/>
        <v>0</v>
      </c>
      <c r="CH1234" s="16">
        <f t="shared" si="399"/>
        <v>0</v>
      </c>
      <c r="CJ1234" s="16" t="e">
        <f t="shared" si="395"/>
        <v>#N/A</v>
      </c>
      <c r="CK1234" s="16" t="str">
        <f t="shared" si="396"/>
        <v/>
      </c>
    </row>
    <row r="1235" spans="73:89" ht="12" customHeight="1">
      <c r="BU1235" s="16">
        <f t="shared" si="397"/>
        <v>0</v>
      </c>
      <c r="BV1235" s="16">
        <f>IF($BY$12=1,NORMDIST(BY1235,$Y$6,$Y$8,TRUE),IF($BY$12=2,IF(BY1235&lt;=$BX$31,0,IF(BY1235&gt;=$BX$32,1,(BY1235-$BX$31)*$BX$33)),SUM($BU$42:BU1235)/$BV$40))</f>
        <v>0.99973488426032686</v>
      </c>
      <c r="BW1235" s="16">
        <f t="shared" ref="BW1235:BW1298" si="400">BY1235*BZ1235</f>
        <v>5.8803324611717469E-3</v>
      </c>
      <c r="BY1235" s="16">
        <f t="shared" ref="BY1235:BY1298" si="401">BY1234+$BZ$1</f>
        <v>119.2999999999975</v>
      </c>
      <c r="BZ1235" s="16">
        <f t="shared" si="391"/>
        <v>4.9290297243687093E-5</v>
      </c>
      <c r="CA1235" s="16">
        <f t="shared" si="398"/>
        <v>-999</v>
      </c>
      <c r="CE1235" s="16" t="e">
        <f t="shared" si="392"/>
        <v>#N/A</v>
      </c>
      <c r="CF1235" s="16">
        <f t="shared" si="393"/>
        <v>99</v>
      </c>
      <c r="CG1235" s="16">
        <f t="shared" si="394"/>
        <v>0</v>
      </c>
      <c r="CH1235" s="16">
        <f t="shared" si="399"/>
        <v>0</v>
      </c>
      <c r="CJ1235" s="16" t="e">
        <f t="shared" si="395"/>
        <v>#N/A</v>
      </c>
      <c r="CK1235" s="16" t="str">
        <f t="shared" si="396"/>
        <v/>
      </c>
    </row>
    <row r="1236" spans="73:89" ht="12" customHeight="1">
      <c r="BU1236" s="16">
        <f t="shared" si="397"/>
        <v>0</v>
      </c>
      <c r="BV1236" s="16">
        <f>IF($BY$12=1,NORMDIST(BY1236,$Y$6,$Y$8,TRUE),IF($BY$12=2,IF(BY1236&lt;=$BX$31,0,IF(BY1236&gt;=$BX$32,1,(BY1236-$BX$31)*$BX$33)),SUM($BU$42:BU1236)/$BV$40))</f>
        <v>0.99973977081757281</v>
      </c>
      <c r="BW1236" s="16">
        <f t="shared" si="400"/>
        <v>5.784105202233881E-3</v>
      </c>
      <c r="BY1236" s="16">
        <f t="shared" si="401"/>
        <v>119.39999999999749</v>
      </c>
      <c r="BZ1236" s="16">
        <f t="shared" si="391"/>
        <v>4.8443092146013418E-5</v>
      </c>
      <c r="CA1236" s="16">
        <f t="shared" si="398"/>
        <v>-999</v>
      </c>
      <c r="CE1236" s="16" t="e">
        <f t="shared" si="392"/>
        <v>#N/A</v>
      </c>
      <c r="CF1236" s="16">
        <f t="shared" si="393"/>
        <v>99</v>
      </c>
      <c r="CG1236" s="16">
        <f t="shared" si="394"/>
        <v>0</v>
      </c>
      <c r="CH1236" s="16">
        <f t="shared" si="399"/>
        <v>0</v>
      </c>
      <c r="CJ1236" s="16" t="e">
        <f t="shared" si="395"/>
        <v>#N/A</v>
      </c>
      <c r="CK1236" s="16" t="str">
        <f t="shared" si="396"/>
        <v/>
      </c>
    </row>
    <row r="1237" spans="73:89" ht="12" customHeight="1">
      <c r="BU1237" s="16">
        <f t="shared" si="397"/>
        <v>0</v>
      </c>
      <c r="BV1237" s="16">
        <f>IF($BY$12=1,NORMDIST(BY1237,$Y$6,$Y$8,TRUE),IF($BY$12=2,IF(BY1237&lt;=$BX$31,0,IF(BY1237&gt;=$BX$32,1,(BY1237-$BX$31)*$BX$33)),SUM($BU$42:BU1237)/$BV$40))</f>
        <v>0.99974457332447053</v>
      </c>
      <c r="BW1237" s="16">
        <f t="shared" si="400"/>
        <v>5.6893064054285751E-3</v>
      </c>
      <c r="BY1237" s="16">
        <f t="shared" si="401"/>
        <v>119.49999999999748</v>
      </c>
      <c r="BZ1237" s="16">
        <f t="shared" si="391"/>
        <v>4.7609258622834267E-5</v>
      </c>
      <c r="CA1237" s="16">
        <f t="shared" si="398"/>
        <v>-999</v>
      </c>
      <c r="CE1237" s="16" t="e">
        <f t="shared" si="392"/>
        <v>#N/A</v>
      </c>
      <c r="CF1237" s="16">
        <f t="shared" si="393"/>
        <v>99</v>
      </c>
      <c r="CG1237" s="16">
        <f t="shared" si="394"/>
        <v>0</v>
      </c>
      <c r="CH1237" s="16">
        <f t="shared" si="399"/>
        <v>0</v>
      </c>
      <c r="CJ1237" s="16" t="e">
        <f t="shared" si="395"/>
        <v>#N/A</v>
      </c>
      <c r="CK1237" s="16" t="str">
        <f t="shared" si="396"/>
        <v/>
      </c>
    </row>
    <row r="1238" spans="73:89" ht="12" customHeight="1">
      <c r="BU1238" s="16">
        <f t="shared" si="397"/>
        <v>0</v>
      </c>
      <c r="BV1238" s="16">
        <f>IF($BY$12=1,NORMDIST(BY1238,$Y$6,$Y$8,TRUE),IF($BY$12=2,IF(BY1238&lt;=$BX$31,0,IF(BY1238&gt;=$BX$32,1,(BY1238-$BX$31)*$BX$33)),SUM($BU$42:BU1238)/$BV$40))</f>
        <v>0.99974929310872018</v>
      </c>
      <c r="BW1238" s="16">
        <f t="shared" si="400"/>
        <v>5.5959174984286653E-3</v>
      </c>
      <c r="BY1238" s="16">
        <f t="shared" si="401"/>
        <v>119.59999999999748</v>
      </c>
      <c r="BZ1238" s="16">
        <f t="shared" si="391"/>
        <v>4.6788607846394508E-5</v>
      </c>
      <c r="CA1238" s="16">
        <f t="shared" si="398"/>
        <v>-999</v>
      </c>
      <c r="CE1238" s="16" t="e">
        <f t="shared" si="392"/>
        <v>#N/A</v>
      </c>
      <c r="CF1238" s="16">
        <f t="shared" si="393"/>
        <v>99</v>
      </c>
      <c r="CG1238" s="16">
        <f t="shared" si="394"/>
        <v>0</v>
      </c>
      <c r="CH1238" s="16">
        <f t="shared" si="399"/>
        <v>0</v>
      </c>
      <c r="CJ1238" s="16" t="e">
        <f t="shared" si="395"/>
        <v>#N/A</v>
      </c>
      <c r="CK1238" s="16" t="str">
        <f t="shared" si="396"/>
        <v/>
      </c>
    </row>
    <row r="1239" spans="73:89" ht="12" customHeight="1">
      <c r="BU1239" s="16">
        <f t="shared" si="397"/>
        <v>0</v>
      </c>
      <c r="BV1239" s="16">
        <f>IF($BY$12=1,NORMDIST(BY1239,$Y$6,$Y$8,TRUE),IF($BY$12=2,IF(BY1239&lt;=$BX$31,0,IF(BY1239&gt;=$BX$32,1,(BY1239-$BX$31)*$BX$33)),SUM($BU$42:BU1239)/$BV$40))</f>
        <v>0.99975393147924585</v>
      </c>
      <c r="BW1239" s="16">
        <f t="shared" si="400"/>
        <v>5.5039201053787689E-3</v>
      </c>
      <c r="BY1239" s="16">
        <f t="shared" si="401"/>
        <v>119.69999999999747</v>
      </c>
      <c r="BZ1239" s="16">
        <f t="shared" si="391"/>
        <v>4.5980953261310651E-5</v>
      </c>
      <c r="CA1239" s="16">
        <f t="shared" si="398"/>
        <v>-999</v>
      </c>
      <c r="CE1239" s="16" t="e">
        <f t="shared" si="392"/>
        <v>#N/A</v>
      </c>
      <c r="CF1239" s="16">
        <f t="shared" si="393"/>
        <v>99</v>
      </c>
      <c r="CG1239" s="16">
        <f t="shared" si="394"/>
        <v>0</v>
      </c>
      <c r="CH1239" s="16">
        <f t="shared" si="399"/>
        <v>0</v>
      </c>
      <c r="CJ1239" s="16" t="e">
        <f t="shared" si="395"/>
        <v>#N/A</v>
      </c>
      <c r="CK1239" s="16" t="str">
        <f t="shared" si="396"/>
        <v/>
      </c>
    </row>
    <row r="1240" spans="73:89" ht="12" customHeight="1">
      <c r="BU1240" s="16">
        <f t="shared" si="397"/>
        <v>0</v>
      </c>
      <c r="BV1240" s="16">
        <f>IF($BY$12=1,NORMDIST(BY1240,$Y$6,$Y$8,TRUE),IF($BY$12=2,IF(BY1240&lt;=$BX$31,0,IF(BY1240&gt;=$BX$32,1,(BY1240-$BX$31)*$BX$33)),SUM($BU$42:BU1240)/$BV$40))</f>
        <v>0.99975848972643178</v>
      </c>
      <c r="BW1240" s="16">
        <f t="shared" si="400"/>
        <v>5.4132960455546553E-3</v>
      </c>
      <c r="BY1240" s="16">
        <f t="shared" si="401"/>
        <v>119.79999999999747</v>
      </c>
      <c r="BZ1240" s="16">
        <f t="shared" si="391"/>
        <v>4.5186110563896238E-5</v>
      </c>
      <c r="CA1240" s="16">
        <f t="shared" si="398"/>
        <v>-999</v>
      </c>
      <c r="CE1240" s="16" t="e">
        <f t="shared" si="392"/>
        <v>#N/A</v>
      </c>
      <c r="CF1240" s="16">
        <f t="shared" si="393"/>
        <v>99</v>
      </c>
      <c r="CG1240" s="16">
        <f t="shared" si="394"/>
        <v>0</v>
      </c>
      <c r="CH1240" s="16">
        <f t="shared" si="399"/>
        <v>0</v>
      </c>
      <c r="CJ1240" s="16" t="e">
        <f t="shared" si="395"/>
        <v>#N/A</v>
      </c>
      <c r="CK1240" s="16" t="str">
        <f t="shared" si="396"/>
        <v/>
      </c>
    </row>
    <row r="1241" spans="73:89" ht="12" customHeight="1">
      <c r="BU1241" s="16">
        <f t="shared" si="397"/>
        <v>0</v>
      </c>
      <c r="BV1241" s="16">
        <f>IF($BY$12=1,NORMDIST(BY1241,$Y$6,$Y$8,TRUE),IF($BY$12=2,IF(BY1241&lt;=$BX$31,0,IF(BY1241&gt;=$BX$32,1,(BY1241-$BX$31)*$BX$33)),SUM($BU$42:BU1241)/$BV$40))</f>
        <v>0.99976296912234874</v>
      </c>
      <c r="BW1241" s="16">
        <f t="shared" si="400"/>
        <v>5.3240273320193862E-3</v>
      </c>
      <c r="BY1241" s="16">
        <f t="shared" si="401"/>
        <v>119.89999999999746</v>
      </c>
      <c r="BZ1241" s="16">
        <f t="shared" si="391"/>
        <v>4.4403897681563796E-5</v>
      </c>
      <c r="CA1241" s="16">
        <f t="shared" si="398"/>
        <v>-999</v>
      </c>
      <c r="CE1241" s="16" t="e">
        <f t="shared" si="392"/>
        <v>#N/A</v>
      </c>
      <c r="CF1241" s="16">
        <f t="shared" si="393"/>
        <v>99</v>
      </c>
      <c r="CG1241" s="16">
        <f t="shared" si="394"/>
        <v>0</v>
      </c>
      <c r="CH1241" s="16">
        <f t="shared" si="399"/>
        <v>0</v>
      </c>
      <c r="CJ1241" s="16" t="e">
        <f t="shared" si="395"/>
        <v>#N/A</v>
      </c>
      <c r="CK1241" s="16" t="str">
        <f t="shared" si="396"/>
        <v/>
      </c>
    </row>
    <row r="1242" spans="73:89" ht="12" customHeight="1">
      <c r="BU1242" s="16">
        <f t="shared" si="397"/>
        <v>0</v>
      </c>
      <c r="BV1242" s="16">
        <f>IF($BY$12=1,NORMDIST(BY1242,$Y$6,$Y$8,TRUE),IF($BY$12=2,IF(BY1242&lt;=$BX$31,0,IF(BY1242&gt;=$BX$32,1,(BY1242-$BX$31)*$BX$33)),SUM($BU$42:BU1242)/$BV$40))</f>
        <v>0.99976737092096468</v>
      </c>
      <c r="BW1242" s="16">
        <f t="shared" si="400"/>
        <v>5.236096170276784E-3</v>
      </c>
      <c r="BY1242" s="16">
        <f t="shared" si="401"/>
        <v>119.99999999999746</v>
      </c>
      <c r="BZ1242" s="16">
        <f t="shared" si="391"/>
        <v>4.363413475230746E-5</v>
      </c>
      <c r="CA1242" s="16">
        <f t="shared" si="398"/>
        <v>-999</v>
      </c>
      <c r="CE1242" s="16" t="e">
        <f t="shared" si="392"/>
        <v>#N/A</v>
      </c>
      <c r="CF1242" s="16">
        <f t="shared" si="393"/>
        <v>99</v>
      </c>
      <c r="CG1242" s="16">
        <f t="shared" si="394"/>
        <v>0</v>
      </c>
      <c r="CH1242" s="16">
        <f t="shared" si="399"/>
        <v>0</v>
      </c>
      <c r="CJ1242" s="16" t="e">
        <f t="shared" si="395"/>
        <v>#N/A</v>
      </c>
      <c r="CK1242" s="16" t="str">
        <f t="shared" si="396"/>
        <v/>
      </c>
    </row>
    <row r="1243" spans="73:89" ht="12" customHeight="1">
      <c r="BU1243" s="16">
        <f t="shared" si="397"/>
        <v>0</v>
      </c>
      <c r="BV1243" s="16">
        <f>IF($BY$12=1,NORMDIST(BY1243,$Y$6,$Y$8,TRUE),IF($BY$12=2,IF(BY1243&lt;=$BX$31,0,IF(BY1243&gt;=$BX$32,1,(BY1243-$BX$31)*$BX$33)),SUM($BU$42:BU1243)/$BV$40))</f>
        <v>0.99977169635837482</v>
      </c>
      <c r="BW1243" s="16">
        <f t="shared" si="400"/>
        <v>5.1494849569221103E-3</v>
      </c>
      <c r="BY1243" s="16">
        <f t="shared" si="401"/>
        <v>120.09999999999745</v>
      </c>
      <c r="BZ1243" s="16">
        <f t="shared" si="391"/>
        <v>4.287664410426494E-5</v>
      </c>
      <c r="CA1243" s="16">
        <f t="shared" si="398"/>
        <v>-999</v>
      </c>
      <c r="CE1243" s="16" t="e">
        <f t="shared" si="392"/>
        <v>#N/A</v>
      </c>
      <c r="CF1243" s="16">
        <f t="shared" si="393"/>
        <v>99</v>
      </c>
      <c r="CG1243" s="16">
        <f t="shared" si="394"/>
        <v>0</v>
      </c>
      <c r="CH1243" s="16">
        <f t="shared" si="399"/>
        <v>0</v>
      </c>
      <c r="CJ1243" s="16" t="e">
        <f t="shared" si="395"/>
        <v>#N/A</v>
      </c>
      <c r="CK1243" s="16" t="str">
        <f t="shared" si="396"/>
        <v/>
      </c>
    </row>
    <row r="1244" spans="73:89" ht="12" customHeight="1">
      <c r="BU1244" s="16">
        <f t="shared" si="397"/>
        <v>0</v>
      </c>
      <c r="BV1244" s="16">
        <f>IF($BY$12=1,NORMDIST(BY1244,$Y$6,$Y$8,TRUE),IF($BY$12=2,IF(BY1244&lt;=$BX$31,0,IF(BY1244&gt;=$BX$32,1,(BY1244-$BX$31)*$BX$33)),SUM($BU$42:BU1244)/$BV$40))</f>
        <v>0.99977594665300851</v>
      </c>
      <c r="BW1244" s="16">
        <f t="shared" si="400"/>
        <v>5.0641762782906398E-3</v>
      </c>
      <c r="BY1244" s="16">
        <f t="shared" si="401"/>
        <v>120.19999999999744</v>
      </c>
      <c r="BZ1244" s="16">
        <f t="shared" si="391"/>
        <v>4.2131250235363958E-5</v>
      </c>
      <c r="CA1244" s="16">
        <f t="shared" si="398"/>
        <v>-999</v>
      </c>
      <c r="CE1244" s="16" t="e">
        <f t="shared" si="392"/>
        <v>#N/A</v>
      </c>
      <c r="CF1244" s="16">
        <f t="shared" si="393"/>
        <v>99</v>
      </c>
      <c r="CG1244" s="16">
        <f t="shared" si="394"/>
        <v>0</v>
      </c>
      <c r="CH1244" s="16">
        <f t="shared" si="399"/>
        <v>0</v>
      </c>
      <c r="CJ1244" s="16" t="e">
        <f t="shared" si="395"/>
        <v>#N/A</v>
      </c>
      <c r="CK1244" s="16" t="str">
        <f t="shared" si="396"/>
        <v/>
      </c>
    </row>
    <row r="1245" spans="73:89" ht="12" customHeight="1">
      <c r="BU1245" s="16">
        <f t="shared" si="397"/>
        <v>0</v>
      </c>
      <c r="BV1245" s="16">
        <f>IF($BY$12=1,NORMDIST(BY1245,$Y$6,$Y$8,TRUE),IF($BY$12=2,IF(BY1245&lt;=$BX$31,0,IF(BY1245&gt;=$BX$32,1,(BY1245-$BX$31)*$BX$33)),SUM($BU$42:BU1245)/$BV$40))</f>
        <v>0.99978012300586561</v>
      </c>
      <c r="BW1245" s="16">
        <f t="shared" si="400"/>
        <v>4.980152909103969E-3</v>
      </c>
      <c r="BY1245" s="16">
        <f t="shared" si="401"/>
        <v>120.29999999999744</v>
      </c>
      <c r="BZ1245" s="16">
        <f t="shared" si="391"/>
        <v>4.1397779793051329E-5</v>
      </c>
      <c r="CA1245" s="16">
        <f t="shared" si="398"/>
        <v>-999</v>
      </c>
      <c r="CE1245" s="16" t="e">
        <f t="shared" si="392"/>
        <v>#N/A</v>
      </c>
      <c r="CF1245" s="16">
        <f t="shared" si="393"/>
        <v>99</v>
      </c>
      <c r="CG1245" s="16">
        <f t="shared" si="394"/>
        <v>0</v>
      </c>
      <c r="CH1245" s="16">
        <f t="shared" si="399"/>
        <v>0</v>
      </c>
      <c r="CJ1245" s="16" t="e">
        <f t="shared" si="395"/>
        <v>#N/A</v>
      </c>
      <c r="CK1245" s="16" t="str">
        <f t="shared" si="396"/>
        <v/>
      </c>
    </row>
    <row r="1246" spans="73:89" ht="12" customHeight="1">
      <c r="BU1246" s="16">
        <f t="shared" si="397"/>
        <v>0</v>
      </c>
      <c r="BV1246" s="16">
        <f>IF($BY$12=1,NORMDIST(BY1246,$Y$6,$Y$8,TRUE),IF($BY$12=2,IF(BY1246&lt;=$BX$31,0,IF(BY1246&gt;=$BX$32,1,(BY1246-$BX$31)*$BX$33)),SUM($BU$42:BU1246)/$BV$40))</f>
        <v>0.99978422660070643</v>
      </c>
      <c r="BW1246" s="16">
        <f t="shared" si="400"/>
        <v>4.8973978111145908E-3</v>
      </c>
      <c r="BY1246" s="16">
        <f t="shared" si="401"/>
        <v>120.39999999999743</v>
      </c>
      <c r="BZ1246" s="16">
        <f t="shared" si="391"/>
        <v>4.0676061554108763E-5</v>
      </c>
      <c r="CA1246" s="16">
        <f t="shared" si="398"/>
        <v>-999</v>
      </c>
      <c r="CE1246" s="16" t="e">
        <f t="shared" si="392"/>
        <v>#N/A</v>
      </c>
      <c r="CF1246" s="16">
        <f t="shared" si="393"/>
        <v>99</v>
      </c>
      <c r="CG1246" s="16">
        <f t="shared" si="394"/>
        <v>0</v>
      </c>
      <c r="CH1246" s="16">
        <f t="shared" si="399"/>
        <v>0</v>
      </c>
      <c r="CJ1246" s="16" t="e">
        <f t="shared" si="395"/>
        <v>#N/A</v>
      </c>
      <c r="CK1246" s="16" t="str">
        <f t="shared" si="396"/>
        <v/>
      </c>
    </row>
    <row r="1247" spans="73:89" ht="12" customHeight="1">
      <c r="BU1247" s="16">
        <f t="shared" si="397"/>
        <v>0</v>
      </c>
      <c r="BV1247" s="16">
        <f>IF($BY$12=1,NORMDIST(BY1247,$Y$6,$Y$8,TRUE),IF($BY$12=2,IF(BY1247&lt;=$BX$31,0,IF(BY1247&gt;=$BX$32,1,(BY1247-$BX$31)*$BX$33)),SUM($BU$42:BU1247)/$BV$40))</f>
        <v>0.99978825860427523</v>
      </c>
      <c r="BW1247" s="16">
        <f t="shared" si="400"/>
        <v>4.8158941317488751E-3</v>
      </c>
      <c r="BY1247" s="16">
        <f t="shared" si="401"/>
        <v>120.49999999999743</v>
      </c>
      <c r="BZ1247" s="16">
        <f t="shared" si="391"/>
        <v>3.9965926404555832E-5</v>
      </c>
      <c r="CA1247" s="16">
        <f t="shared" si="398"/>
        <v>-999</v>
      </c>
      <c r="CE1247" s="16" t="e">
        <f t="shared" si="392"/>
        <v>#N/A</v>
      </c>
      <c r="CF1247" s="16">
        <f t="shared" si="393"/>
        <v>99</v>
      </c>
      <c r="CG1247" s="16">
        <f t="shared" si="394"/>
        <v>0</v>
      </c>
      <c r="CH1247" s="16">
        <f t="shared" si="399"/>
        <v>0</v>
      </c>
      <c r="CJ1247" s="16" t="e">
        <f t="shared" si="395"/>
        <v>#N/A</v>
      </c>
      <c r="CK1247" s="16" t="str">
        <f t="shared" si="396"/>
        <v/>
      </c>
    </row>
    <row r="1248" spans="73:89" ht="12" customHeight="1">
      <c r="BU1248" s="16">
        <f t="shared" si="397"/>
        <v>0</v>
      </c>
      <c r="BV1248" s="16">
        <f>IF($BY$12=1,NORMDIST(BY1248,$Y$6,$Y$8,TRUE),IF($BY$12=2,IF(BY1248&lt;=$BX$31,0,IF(BY1248&gt;=$BX$32,1,(BY1248-$BX$31)*$BX$33)),SUM($BU$42:BU1248)/$BV$40))</f>
        <v>0.99979222016651825</v>
      </c>
      <c r="BW1248" s="16">
        <f t="shared" si="400"/>
        <v>4.7356252027486454E-3</v>
      </c>
      <c r="BY1248" s="16">
        <f t="shared" si="401"/>
        <v>120.59999999999742</v>
      </c>
      <c r="BZ1248" s="16">
        <f t="shared" si="391"/>
        <v>3.9267207319641349E-5</v>
      </c>
      <c r="CA1248" s="16">
        <f t="shared" si="398"/>
        <v>-999</v>
      </c>
      <c r="CE1248" s="16" t="e">
        <f t="shared" si="392"/>
        <v>#N/A</v>
      </c>
      <c r="CF1248" s="16">
        <f t="shared" si="393"/>
        <v>99</v>
      </c>
      <c r="CG1248" s="16">
        <f t="shared" si="394"/>
        <v>0</v>
      </c>
      <c r="CH1248" s="16">
        <f t="shared" si="399"/>
        <v>0</v>
      </c>
      <c r="CJ1248" s="16" t="e">
        <f t="shared" si="395"/>
        <v>#N/A</v>
      </c>
      <c r="CK1248" s="16" t="str">
        <f t="shared" si="396"/>
        <v/>
      </c>
    </row>
    <row r="1249" spans="73:89" ht="12" customHeight="1">
      <c r="BU1249" s="16">
        <f t="shared" si="397"/>
        <v>0</v>
      </c>
      <c r="BV1249" s="16">
        <f>IF($BY$12=1,NORMDIST(BY1249,$Y$6,$Y$8,TRUE),IF($BY$12=2,IF(BY1249&lt;=$BX$31,0,IF(BY1249&gt;=$BX$32,1,(BY1249-$BX$31)*$BX$33)),SUM($BU$42:BU1249)/$BV$40))</f>
        <v>0.99979611242077637</v>
      </c>
      <c r="BW1249" s="16">
        <f t="shared" si="400"/>
        <v>4.6565745388116985E-3</v>
      </c>
      <c r="BY1249" s="16">
        <f t="shared" si="401"/>
        <v>120.69999999999742</v>
      </c>
      <c r="BZ1249" s="16">
        <f t="shared" si="391"/>
        <v>3.8579739343925422E-5</v>
      </c>
      <c r="CA1249" s="16">
        <f t="shared" si="398"/>
        <v>-999</v>
      </c>
      <c r="CE1249" s="16" t="e">
        <f t="shared" si="392"/>
        <v>#N/A</v>
      </c>
      <c r="CF1249" s="16">
        <f t="shared" si="393"/>
        <v>99</v>
      </c>
      <c r="CG1249" s="16">
        <f t="shared" si="394"/>
        <v>0</v>
      </c>
      <c r="CH1249" s="16">
        <f t="shared" si="399"/>
        <v>0</v>
      </c>
      <c r="CJ1249" s="16" t="e">
        <f t="shared" si="395"/>
        <v>#N/A</v>
      </c>
      <c r="CK1249" s="16" t="str">
        <f t="shared" si="396"/>
        <v/>
      </c>
    </row>
    <row r="1250" spans="73:89" ht="12" customHeight="1">
      <c r="BU1250" s="16">
        <f t="shared" si="397"/>
        <v>0</v>
      </c>
      <c r="BV1250" s="16">
        <f>IF($BY$12=1,NORMDIST(BY1250,$Y$6,$Y$8,TRUE),IF($BY$12=2,IF(BY1250&lt;=$BX$31,0,IF(BY1250&gt;=$BX$32,1,(BY1250-$BX$31)*$BX$33)),SUM($BU$42:BU1250)/$BV$40))</f>
        <v>0.99979993648399212</v>
      </c>
      <c r="BW1250" s="16">
        <f t="shared" si="400"/>
        <v>4.5787258362314101E-3</v>
      </c>
      <c r="BY1250" s="16">
        <f t="shared" si="401"/>
        <v>120.79999999999741</v>
      </c>
      <c r="BZ1250" s="16">
        <f t="shared" si="391"/>
        <v>3.790335957145288E-5</v>
      </c>
      <c r="CA1250" s="16">
        <f t="shared" si="398"/>
        <v>-999</v>
      </c>
      <c r="CE1250" s="16" t="e">
        <f t="shared" si="392"/>
        <v>#N/A</v>
      </c>
      <c r="CF1250" s="16">
        <f t="shared" si="393"/>
        <v>99</v>
      </c>
      <c r="CG1250" s="16">
        <f t="shared" si="394"/>
        <v>0</v>
      </c>
      <c r="CH1250" s="16">
        <f t="shared" si="399"/>
        <v>0</v>
      </c>
      <c r="CJ1250" s="16" t="e">
        <f t="shared" si="395"/>
        <v>#N/A</v>
      </c>
      <c r="CK1250" s="16" t="str">
        <f t="shared" si="396"/>
        <v/>
      </c>
    </row>
    <row r="1251" spans="73:89" ht="12" customHeight="1">
      <c r="BU1251" s="16">
        <f t="shared" si="397"/>
        <v>0</v>
      </c>
      <c r="BV1251" s="16">
        <f>IF($BY$12=1,NORMDIST(BY1251,$Y$6,$Y$8,TRUE),IF($BY$12=2,IF(BY1251&lt;=$BX$31,0,IF(BY1251&gt;=$BX$32,1,(BY1251-$BX$31)*$BX$33)),SUM($BU$42:BU1251)/$BV$40))</f>
        <v>0.99980369345693076</v>
      </c>
      <c r="BW1251" s="16">
        <f t="shared" si="400"/>
        <v>4.5020629715356525E-3</v>
      </c>
      <c r="BY1251" s="16">
        <f t="shared" si="401"/>
        <v>120.89999999999741</v>
      </c>
      <c r="BZ1251" s="16">
        <f t="shared" si="391"/>
        <v>3.7237907126019431E-5</v>
      </c>
      <c r="CA1251" s="16">
        <f t="shared" si="398"/>
        <v>-999</v>
      </c>
      <c r="CE1251" s="16" t="e">
        <f t="shared" si="392"/>
        <v>#N/A</v>
      </c>
      <c r="CF1251" s="16">
        <f t="shared" si="393"/>
        <v>99</v>
      </c>
      <c r="CG1251" s="16">
        <f t="shared" si="394"/>
        <v>0</v>
      </c>
      <c r="CH1251" s="16">
        <f t="shared" si="399"/>
        <v>0</v>
      </c>
      <c r="CJ1251" s="16" t="e">
        <f t="shared" si="395"/>
        <v>#N/A</v>
      </c>
      <c r="CK1251" s="16" t="str">
        <f t="shared" si="396"/>
        <v/>
      </c>
    </row>
    <row r="1252" spans="73:89" ht="12" customHeight="1">
      <c r="BU1252" s="16">
        <f t="shared" si="397"/>
        <v>0</v>
      </c>
      <c r="BV1252" s="16">
        <f>IF($BY$12=1,NORMDIST(BY1252,$Y$6,$Y$8,TRUE),IF($BY$12=2,IF(BY1252&lt;=$BX$31,0,IF(BY1252&gt;=$BX$32,1,(BY1252-$BX$31)*$BX$33)),SUM($BU$42:BU1252)/$BV$40))</f>
        <v>0.99980738442436357</v>
      </c>
      <c r="BW1252" s="16">
        <f t="shared" si="400"/>
        <v>4.4265700001253246E-3</v>
      </c>
      <c r="BY1252" s="16">
        <f t="shared" si="401"/>
        <v>120.9999999999974</v>
      </c>
      <c r="BZ1252" s="16">
        <f t="shared" si="391"/>
        <v>3.6583223141532397E-5</v>
      </c>
      <c r="CA1252" s="16">
        <f t="shared" si="398"/>
        <v>-999</v>
      </c>
      <c r="CE1252" s="16" t="e">
        <f t="shared" si="392"/>
        <v>#N/A</v>
      </c>
      <c r="CF1252" s="16">
        <f t="shared" si="393"/>
        <v>99</v>
      </c>
      <c r="CG1252" s="16">
        <f t="shared" si="394"/>
        <v>0</v>
      </c>
      <c r="CH1252" s="16">
        <f t="shared" si="399"/>
        <v>0</v>
      </c>
      <c r="CJ1252" s="16" t="e">
        <f t="shared" si="395"/>
        <v>#N/A</v>
      </c>
      <c r="CK1252" s="16" t="str">
        <f t="shared" si="396"/>
        <v/>
      </c>
    </row>
    <row r="1253" spans="73:89" ht="12" customHeight="1">
      <c r="BU1253" s="16">
        <f t="shared" si="397"/>
        <v>0</v>
      </c>
      <c r="BV1253" s="16">
        <f>IF($BY$12=1,NORMDIST(BY1253,$Y$6,$Y$8,TRUE),IF($BY$12=2,IF(BY1253&lt;=$BX$31,0,IF(BY1253&gt;=$BX$32,1,(BY1253-$BX$31)*$BX$33)),SUM($BU$42:BU1253)/$BV$40))</f>
        <v>0.99981101045527632</v>
      </c>
      <c r="BW1253" s="16">
        <f t="shared" si="400"/>
        <v>4.3522311549126424E-3</v>
      </c>
      <c r="BY1253" s="16">
        <f t="shared" si="401"/>
        <v>121.09999999999739</v>
      </c>
      <c r="BZ1253" s="16">
        <f t="shared" si="391"/>
        <v>3.5939150742466852E-5</v>
      </c>
      <c r="CA1253" s="16">
        <f t="shared" si="398"/>
        <v>-999</v>
      </c>
      <c r="CE1253" s="16" t="e">
        <f t="shared" si="392"/>
        <v>#N/A</v>
      </c>
      <c r="CF1253" s="16">
        <f t="shared" si="393"/>
        <v>99</v>
      </c>
      <c r="CG1253" s="16">
        <f t="shared" si="394"/>
        <v>0</v>
      </c>
      <c r="CH1253" s="16">
        <f t="shared" si="399"/>
        <v>0</v>
      </c>
      <c r="CJ1253" s="16" t="e">
        <f t="shared" si="395"/>
        <v>#N/A</v>
      </c>
      <c r="CK1253" s="16" t="str">
        <f t="shared" si="396"/>
        <v/>
      </c>
    </row>
    <row r="1254" spans="73:89" ht="12" customHeight="1">
      <c r="BU1254" s="16">
        <f t="shared" si="397"/>
        <v>0</v>
      </c>
      <c r="BV1254" s="16">
        <f>IF($BY$12=1,NORMDIST(BY1254,$Y$6,$Y$8,TRUE),IF($BY$12=2,IF(BY1254&lt;=$BX$31,0,IF(BY1254&gt;=$BX$32,1,(BY1254-$BX$31)*$BX$33)),SUM($BU$42:BU1254)/$BV$40))</f>
        <v>0.99981457260306605</v>
      </c>
      <c r="BW1254" s="16">
        <f t="shared" si="400"/>
        <v>4.2790308449593981E-3</v>
      </c>
      <c r="BY1254" s="16">
        <f t="shared" si="401"/>
        <v>121.19999999999739</v>
      </c>
      <c r="BZ1254" s="16">
        <f t="shared" si="391"/>
        <v>3.5305535024418237E-5</v>
      </c>
      <c r="CA1254" s="16">
        <f t="shared" si="398"/>
        <v>-999</v>
      </c>
      <c r="CE1254" s="16" t="e">
        <f t="shared" si="392"/>
        <v>#N/A</v>
      </c>
      <c r="CF1254" s="16">
        <f t="shared" si="393"/>
        <v>99</v>
      </c>
      <c r="CG1254" s="16">
        <f t="shared" si="394"/>
        <v>0</v>
      </c>
      <c r="CH1254" s="16">
        <f t="shared" si="399"/>
        <v>0</v>
      </c>
      <c r="CJ1254" s="16" t="e">
        <f t="shared" si="395"/>
        <v>#N/A</v>
      </c>
      <c r="CK1254" s="16" t="str">
        <f t="shared" si="396"/>
        <v/>
      </c>
    </row>
    <row r="1255" spans="73:89" ht="12" customHeight="1">
      <c r="BU1255" s="16">
        <f t="shared" si="397"/>
        <v>0</v>
      </c>
      <c r="BV1255" s="16">
        <f>IF($BY$12=1,NORMDIST(BY1255,$Y$6,$Y$8,TRUE),IF($BY$12=2,IF(BY1255&lt;=$BX$31,0,IF(BY1255&gt;=$BX$32,1,(BY1255-$BX$31)*$BX$33)),SUM($BU$42:BU1255)/$BV$40))</f>
        <v>0.99981807190573724</v>
      </c>
      <c r="BW1255" s="16">
        <f t="shared" si="400"/>
        <v>4.2069536541155042E-3</v>
      </c>
      <c r="BY1255" s="16">
        <f t="shared" si="401"/>
        <v>121.29999999999738</v>
      </c>
      <c r="BZ1255" s="16">
        <f t="shared" si="391"/>
        <v>3.4682223034753465E-5</v>
      </c>
      <c r="CA1255" s="16">
        <f t="shared" si="398"/>
        <v>-999</v>
      </c>
      <c r="CE1255" s="16" t="e">
        <f t="shared" si="392"/>
        <v>#N/A</v>
      </c>
      <c r="CF1255" s="16">
        <f t="shared" si="393"/>
        <v>99</v>
      </c>
      <c r="CG1255" s="16">
        <f t="shared" si="394"/>
        <v>0</v>
      </c>
      <c r="CH1255" s="16">
        <f t="shared" si="399"/>
        <v>0</v>
      </c>
      <c r="CJ1255" s="16" t="e">
        <f t="shared" si="395"/>
        <v>#N/A</v>
      </c>
      <c r="CK1255" s="16" t="str">
        <f t="shared" si="396"/>
        <v/>
      </c>
    </row>
    <row r="1256" spans="73:89" ht="12" customHeight="1">
      <c r="BU1256" s="16">
        <f t="shared" si="397"/>
        <v>0</v>
      </c>
      <c r="BV1256" s="16">
        <f>IF($BY$12=1,NORMDIST(BY1256,$Y$6,$Y$8,TRUE),IF($BY$12=2,IF(BY1256&lt;=$BX$31,0,IF(BY1256&gt;=$BX$32,1,(BY1256-$BX$31)*$BX$33)),SUM($BU$42:BU1256)/$BV$40))</f>
        <v>0.99982150938609626</v>
      </c>
      <c r="BW1256" s="16">
        <f t="shared" si="400"/>
        <v>4.1359843396578805E-3</v>
      </c>
      <c r="BY1256" s="16">
        <f t="shared" si="401"/>
        <v>121.39999999999738</v>
      </c>
      <c r="BZ1256" s="16">
        <f t="shared" si="391"/>
        <v>3.4069063753360544E-5</v>
      </c>
      <c r="CA1256" s="16">
        <f t="shared" si="398"/>
        <v>-999</v>
      </c>
      <c r="CE1256" s="16" t="e">
        <f t="shared" si="392"/>
        <v>#N/A</v>
      </c>
      <c r="CF1256" s="16">
        <f t="shared" si="393"/>
        <v>99</v>
      </c>
      <c r="CG1256" s="16">
        <f t="shared" si="394"/>
        <v>0</v>
      </c>
      <c r="CH1256" s="16">
        <f t="shared" si="399"/>
        <v>0</v>
      </c>
      <c r="CJ1256" s="16" t="e">
        <f t="shared" si="395"/>
        <v>#N/A</v>
      </c>
      <c r="CK1256" s="16" t="str">
        <f t="shared" si="396"/>
        <v/>
      </c>
    </row>
    <row r="1257" spans="73:89" ht="12" customHeight="1">
      <c r="BU1257" s="16">
        <f t="shared" si="397"/>
        <v>0</v>
      </c>
      <c r="BV1257" s="16">
        <f>IF($BY$12=1,NORMDIST(BY1257,$Y$6,$Y$8,TRUE),IF($BY$12=2,IF(BY1257&lt;=$BX$31,0,IF(BY1257&gt;=$BX$32,1,(BY1257-$BX$31)*$BX$33)),SUM($BU$42:BU1257)/$BV$40))</f>
        <v>0.99982488605194064</v>
      </c>
      <c r="BW1257" s="16">
        <f t="shared" si="400"/>
        <v>4.0661078309299908E-3</v>
      </c>
      <c r="BY1257" s="16">
        <f t="shared" si="401"/>
        <v>121.49999999999737</v>
      </c>
      <c r="BZ1257" s="16">
        <f t="shared" si="391"/>
        <v>3.346590807349859E-5</v>
      </c>
      <c r="CA1257" s="16">
        <f t="shared" si="398"/>
        <v>-999</v>
      </c>
      <c r="CE1257" s="16" t="e">
        <f t="shared" si="392"/>
        <v>#N/A</v>
      </c>
      <c r="CF1257" s="16">
        <f t="shared" si="393"/>
        <v>99</v>
      </c>
      <c r="CG1257" s="16">
        <f t="shared" si="394"/>
        <v>0</v>
      </c>
      <c r="CH1257" s="16">
        <f t="shared" si="399"/>
        <v>0</v>
      </c>
      <c r="CJ1257" s="16" t="e">
        <f t="shared" si="395"/>
        <v>#N/A</v>
      </c>
      <c r="CK1257" s="16" t="str">
        <f t="shared" si="396"/>
        <v/>
      </c>
    </row>
    <row r="1258" spans="73:89" ht="12" customHeight="1">
      <c r="BU1258" s="16">
        <f t="shared" si="397"/>
        <v>0</v>
      </c>
      <c r="BV1258" s="16">
        <f>IF($BY$12=1,NORMDIST(BY1258,$Y$6,$Y$8,TRUE),IF($BY$12=2,IF(BY1258&lt;=$BX$31,0,IF(BY1258&gt;=$BX$32,1,(BY1258-$BX$31)*$BX$33)),SUM($BU$42:BU1258)/$BV$40))</f>
        <v>0.99982820289625407</v>
      </c>
      <c r="BW1258" s="16">
        <f t="shared" si="400"/>
        <v>3.9973092279822313E-3</v>
      </c>
      <c r="BY1258" s="16">
        <f t="shared" si="401"/>
        <v>121.59999999999737</v>
      </c>
      <c r="BZ1258" s="16">
        <f t="shared" ref="BZ1258:BZ1321" si="402">IF($BZ$5,IF($BY$12=1,NORMDIST(BY1258,$Y$6,$Y$8,FALSE),IF($BY$12=2,IF(AND(BY1258&gt;=$BX$31,BY1258&lt;=$BX$32),$BX$33,0),IF(BY1258&lt;=$BX$13,0,NORMDIST(LN((BY1258-$BX$13)/$BX$12),0,$BW$8,FALSE)/((BY1258-$BX$13)/$BX$12)))),-999)</f>
        <v>3.2872608782749323E-5</v>
      </c>
      <c r="CA1258" s="16">
        <f t="shared" si="398"/>
        <v>-999</v>
      </c>
      <c r="CE1258" s="16" t="e">
        <f t="shared" ref="CE1258:CE1321" si="403">IF(AND($CB$7,$CD$2,$CD$1),26+$P$23/2-CC1258*$P$23,NA())</f>
        <v>#N/A</v>
      </c>
      <c r="CF1258" s="16">
        <f t="shared" ref="CF1258:CF1321" si="404">IF(ISNA(CJ1258),99,CJ1258)</f>
        <v>99</v>
      </c>
      <c r="CG1258" s="16">
        <f t="shared" ref="CG1258:CG1321" si="405">IF(ISNA(CJ1258),0,CJ1258)</f>
        <v>0</v>
      </c>
      <c r="CH1258" s="16">
        <f t="shared" si="399"/>
        <v>0</v>
      </c>
      <c r="CJ1258" s="16" t="e">
        <f t="shared" ref="CJ1258:CJ1321" si="406">IF(CH1258=1,CE1258,NA())</f>
        <v>#N/A</v>
      </c>
      <c r="CK1258" s="16" t="str">
        <f t="shared" ref="CK1258:CK1321" si="407">IF(CH1258=1,M1157,"")</f>
        <v/>
      </c>
    </row>
    <row r="1259" spans="73:89" ht="12" customHeight="1">
      <c r="BU1259" s="16">
        <f t="shared" ref="BU1259:BU1322" si="408">IF($BY$12&lt;3,0,IF(BY1259&lt;=$BX$13,0,NORMDIST(LN((BY1259-$BX$13)/$BX$12),0,$BW$8,FALSE)/((BY1259-$BX$13)/$BX$12)))</f>
        <v>0</v>
      </c>
      <c r="BV1259" s="16">
        <f>IF($BY$12=1,NORMDIST(BY1259,$Y$6,$Y$8,TRUE),IF($BY$12=2,IF(BY1259&lt;=$BX$31,0,IF(BY1259&gt;=$BX$32,1,(BY1259-$BX$31)*$BX$33)),SUM($BU$42:BU1259)/$BV$40))</f>
        <v>0.9998314608973945</v>
      </c>
      <c r="BW1259" s="16">
        <f t="shared" si="400"/>
        <v>3.9295738002132936E-3</v>
      </c>
      <c r="BY1259" s="16">
        <f t="shared" si="401"/>
        <v>121.69999999999736</v>
      </c>
      <c r="BZ1259" s="16">
        <f t="shared" si="402"/>
        <v>3.2289020544070496E-5</v>
      </c>
      <c r="CA1259" s="16">
        <f t="shared" ref="CA1259:CA1322" si="409">IF(AND($CD$1,$CD$3),26-$CD$40*NORMDIST(BY1259,$Y$6,$Y$8/SQRT($T$18),FALSE),-999)</f>
        <v>-999</v>
      </c>
      <c r="CE1259" s="16" t="e">
        <f t="shared" si="403"/>
        <v>#N/A</v>
      </c>
      <c r="CF1259" s="16">
        <f t="shared" si="404"/>
        <v>99</v>
      </c>
      <c r="CG1259" s="16">
        <f t="shared" si="405"/>
        <v>0</v>
      </c>
      <c r="CH1259" s="16">
        <f t="shared" si="399"/>
        <v>0</v>
      </c>
      <c r="CJ1259" s="16" t="e">
        <f t="shared" si="406"/>
        <v>#N/A</v>
      </c>
      <c r="CK1259" s="16" t="str">
        <f t="shared" si="407"/>
        <v/>
      </c>
    </row>
    <row r="1260" spans="73:89" ht="12" customHeight="1">
      <c r="BU1260" s="16">
        <f t="shared" si="408"/>
        <v>0</v>
      </c>
      <c r="BV1260" s="16">
        <f>IF($BY$12=1,NORMDIST(BY1260,$Y$6,$Y$8,TRUE),IF($BY$12=2,IF(BY1260&lt;=$BX$31,0,IF(BY1260&gt;=$BX$32,1,(BY1260-$BX$31)*$BX$33)),SUM($BU$42:BU1260)/$BV$40))</f>
        <v>0.9998346610192812</v>
      </c>
      <c r="BW1260" s="16">
        <f t="shared" si="400"/>
        <v>3.8628869850127847E-3</v>
      </c>
      <c r="BY1260" s="16">
        <f t="shared" si="401"/>
        <v>121.79999999999735</v>
      </c>
      <c r="BZ1260" s="16">
        <f t="shared" si="402"/>
        <v>3.1714999876952944E-5</v>
      </c>
      <c r="CA1260" s="16">
        <f t="shared" si="409"/>
        <v>-999</v>
      </c>
      <c r="CE1260" s="16" t="e">
        <f t="shared" si="403"/>
        <v>#N/A</v>
      </c>
      <c r="CF1260" s="16">
        <f t="shared" si="404"/>
        <v>99</v>
      </c>
      <c r="CG1260" s="16">
        <f t="shared" si="405"/>
        <v>0</v>
      </c>
      <c r="CH1260" s="16">
        <f t="shared" si="399"/>
        <v>0</v>
      </c>
      <c r="CJ1260" s="16" t="e">
        <f t="shared" si="406"/>
        <v>#N/A</v>
      </c>
      <c r="CK1260" s="16" t="str">
        <f t="shared" si="407"/>
        <v/>
      </c>
    </row>
    <row r="1261" spans="73:89" ht="12" customHeight="1">
      <c r="BU1261" s="16">
        <f t="shared" si="408"/>
        <v>0</v>
      </c>
      <c r="BV1261" s="16">
        <f>IF($BY$12=1,NORMDIST(BY1261,$Y$6,$Y$8,TRUE),IF($BY$12=2,IF(BY1261&lt;=$BX$31,0,IF(BY1261&gt;=$BX$32,1,(BY1261-$BX$31)*$BX$33)),SUM($BU$42:BU1261)/$BV$40))</f>
        <v>0.99983780421156665</v>
      </c>
      <c r="BW1261" s="16">
        <f t="shared" si="400"/>
        <v>3.7972343864052386E-3</v>
      </c>
      <c r="BY1261" s="16">
        <f t="shared" si="401"/>
        <v>121.89999999999735</v>
      </c>
      <c r="BZ1261" s="16">
        <f t="shared" si="402"/>
        <v>3.1150405138681878E-5</v>
      </c>
      <c r="CA1261" s="16">
        <f t="shared" si="409"/>
        <v>-999</v>
      </c>
      <c r="CE1261" s="16" t="e">
        <f t="shared" si="403"/>
        <v>#N/A</v>
      </c>
      <c r="CF1261" s="16">
        <f t="shared" si="404"/>
        <v>99</v>
      </c>
      <c r="CG1261" s="16">
        <f t="shared" si="405"/>
        <v>0</v>
      </c>
      <c r="CH1261" s="16">
        <f t="shared" si="399"/>
        <v>0</v>
      </c>
      <c r="CJ1261" s="16" t="e">
        <f t="shared" si="406"/>
        <v>#N/A</v>
      </c>
      <c r="CK1261" s="16" t="str">
        <f t="shared" si="407"/>
        <v/>
      </c>
    </row>
    <row r="1262" spans="73:89" ht="12" customHeight="1">
      <c r="BU1262" s="16">
        <f t="shared" si="408"/>
        <v>0</v>
      </c>
      <c r="BV1262" s="16">
        <f>IF($BY$12=1,NORMDIST(BY1262,$Y$6,$Y$8,TRUE),IF($BY$12=2,IF(BY1262&lt;=$BX$31,0,IF(BY1262&gt;=$BX$32,1,(BY1262-$BX$31)*$BX$33)),SUM($BU$42:BU1262)/$BV$40))</f>
        <v>0.99984089140984245</v>
      </c>
      <c r="BW1262" s="16">
        <f t="shared" si="400"/>
        <v>3.7326017736957137E-3</v>
      </c>
      <c r="BY1262" s="16">
        <f t="shared" si="401"/>
        <v>121.99999999999734</v>
      </c>
      <c r="BZ1262" s="16">
        <f t="shared" si="402"/>
        <v>3.0595096505703237E-5</v>
      </c>
      <c r="CA1262" s="16">
        <f t="shared" si="409"/>
        <v>-999</v>
      </c>
      <c r="CE1262" s="16" t="e">
        <f t="shared" si="403"/>
        <v>#N/A</v>
      </c>
      <c r="CF1262" s="16">
        <f t="shared" si="404"/>
        <v>99</v>
      </c>
      <c r="CG1262" s="16">
        <f t="shared" si="405"/>
        <v>0</v>
      </c>
      <c r="CH1262" s="16">
        <f t="shared" si="399"/>
        <v>0</v>
      </c>
      <c r="CJ1262" s="16" t="e">
        <f t="shared" si="406"/>
        <v>#N/A</v>
      </c>
      <c r="CK1262" s="16" t="str">
        <f t="shared" si="407"/>
        <v/>
      </c>
    </row>
    <row r="1263" spans="73:89" ht="12" customHeight="1">
      <c r="BU1263" s="16">
        <f t="shared" si="408"/>
        <v>0</v>
      </c>
      <c r="BV1263" s="16">
        <f>IF($BY$12=1,NORMDIST(BY1263,$Y$6,$Y$8,TRUE),IF($BY$12=2,IF(BY1263&lt;=$BX$31,0,IF(BY1263&gt;=$BX$32,1,(BY1263-$BX$31)*$BX$33)),SUM($BU$42:BU1263)/$BV$40))</f>
        <v>0.99984392353580209</v>
      </c>
      <c r="BW1263" s="16">
        <f t="shared" si="400"/>
        <v>3.6689750801171856E-3</v>
      </c>
      <c r="BY1263" s="16">
        <f t="shared" si="401"/>
        <v>122.09999999999734</v>
      </c>
      <c r="BZ1263" s="16">
        <f t="shared" si="402"/>
        <v>3.0048935955096359E-5</v>
      </c>
      <c r="CA1263" s="16">
        <f t="shared" si="409"/>
        <v>-999</v>
      </c>
      <c r="CE1263" s="16" t="e">
        <f t="shared" si="403"/>
        <v>#N/A</v>
      </c>
      <c r="CF1263" s="16">
        <f t="shared" si="404"/>
        <v>99</v>
      </c>
      <c r="CG1263" s="16">
        <f t="shared" si="405"/>
        <v>0</v>
      </c>
      <c r="CH1263" s="16">
        <f t="shared" si="399"/>
        <v>0</v>
      </c>
      <c r="CJ1263" s="16" t="e">
        <f t="shared" si="406"/>
        <v>#N/A</v>
      </c>
      <c r="CK1263" s="16" t="str">
        <f t="shared" si="407"/>
        <v/>
      </c>
    </row>
    <row r="1264" spans="73:89" ht="12" customHeight="1">
      <c r="BU1264" s="16">
        <f t="shared" si="408"/>
        <v>0</v>
      </c>
      <c r="BV1264" s="16">
        <f>IF($BY$12=1,NORMDIST(BY1264,$Y$6,$Y$8,TRUE),IF($BY$12=2,IF(BY1264&lt;=$BX$31,0,IF(BY1264&gt;=$BX$32,1,(BY1264-$BX$31)*$BX$33)),SUM($BU$42:BU1264)/$BV$40))</f>
        <v>0.99984690149742717</v>
      </c>
      <c r="BW1264" s="16">
        <f t="shared" si="400"/>
        <v>3.6063404014798771E-3</v>
      </c>
      <c r="BY1264" s="16">
        <f t="shared" si="401"/>
        <v>122.19999999999733</v>
      </c>
      <c r="BZ1264" s="16">
        <f t="shared" si="402"/>
        <v>2.9511787246153486E-5</v>
      </c>
      <c r="CA1264" s="16">
        <f t="shared" si="409"/>
        <v>-999</v>
      </c>
      <c r="CE1264" s="16" t="e">
        <f t="shared" si="403"/>
        <v>#N/A</v>
      </c>
      <c r="CF1264" s="16">
        <f t="shared" si="404"/>
        <v>99</v>
      </c>
      <c r="CG1264" s="16">
        <f t="shared" si="405"/>
        <v>0</v>
      </c>
      <c r="CH1264" s="16">
        <f t="shared" si="399"/>
        <v>0</v>
      </c>
      <c r="CJ1264" s="16" t="e">
        <f t="shared" si="406"/>
        <v>#N/A</v>
      </c>
      <c r="CK1264" s="16" t="str">
        <f t="shared" si="407"/>
        <v/>
      </c>
    </row>
    <row r="1265" spans="73:89" ht="12" customHeight="1">
      <c r="BU1265" s="16">
        <f t="shared" si="408"/>
        <v>0</v>
      </c>
      <c r="BV1265" s="16">
        <f>IF($BY$12=1,NORMDIST(BY1265,$Y$6,$Y$8,TRUE),IF($BY$12=2,IF(BY1265&lt;=$BX$31,0,IF(BY1265&gt;=$BX$32,1,(BY1265-$BX$31)*$BX$33)),SUM($BU$42:BU1265)/$BV$40))</f>
        <v>0.99984982618915996</v>
      </c>
      <c r="BW1265" s="16">
        <f t="shared" si="400"/>
        <v>3.5446839948227405E-3</v>
      </c>
      <c r="BY1265" s="16">
        <f t="shared" si="401"/>
        <v>122.29999999999733</v>
      </c>
      <c r="BZ1265" s="16">
        <f t="shared" si="402"/>
        <v>2.8983515902067194E-5</v>
      </c>
      <c r="CA1265" s="16">
        <f t="shared" si="409"/>
        <v>-999</v>
      </c>
      <c r="CE1265" s="16" t="e">
        <f t="shared" si="403"/>
        <v>#N/A</v>
      </c>
      <c r="CF1265" s="16">
        <f t="shared" si="404"/>
        <v>99</v>
      </c>
      <c r="CG1265" s="16">
        <f t="shared" si="405"/>
        <v>0</v>
      </c>
      <c r="CH1265" s="16">
        <f t="shared" si="399"/>
        <v>0</v>
      </c>
      <c r="CJ1265" s="16" t="e">
        <f t="shared" si="406"/>
        <v>#N/A</v>
      </c>
      <c r="CK1265" s="16" t="str">
        <f t="shared" si="407"/>
        <v/>
      </c>
    </row>
    <row r="1266" spans="73:89" ht="12" customHeight="1">
      <c r="BU1266" s="16">
        <f t="shared" si="408"/>
        <v>0</v>
      </c>
      <c r="BV1266" s="16">
        <f>IF($BY$12=1,NORMDIST(BY1266,$Y$6,$Y$8,TRUE),IF($BY$12=2,IF(BY1266&lt;=$BX$31,0,IF(BY1266&gt;=$BX$32,1,(BY1266-$BX$31)*$BX$33)),SUM($BU$42:BU1266)/$BV$40))</f>
        <v>0.99985269849209391</v>
      </c>
      <c r="BW1266" s="16">
        <f t="shared" si="400"/>
        <v>3.4839922770672389E-3</v>
      </c>
      <c r="BY1266" s="16">
        <f t="shared" si="401"/>
        <v>122.39999999999732</v>
      </c>
      <c r="BZ1266" s="16">
        <f t="shared" si="402"/>
        <v>2.8463989191726433E-5</v>
      </c>
      <c r="CA1266" s="16">
        <f t="shared" si="409"/>
        <v>-999</v>
      </c>
      <c r="CE1266" s="16" t="e">
        <f t="shared" si="403"/>
        <v>#N/A</v>
      </c>
      <c r="CF1266" s="16">
        <f t="shared" si="404"/>
        <v>99</v>
      </c>
      <c r="CG1266" s="16">
        <f t="shared" si="405"/>
        <v>0</v>
      </c>
      <c r="CH1266" s="16">
        <f t="shared" si="399"/>
        <v>0</v>
      </c>
      <c r="CJ1266" s="16" t="e">
        <f t="shared" si="406"/>
        <v>#N/A</v>
      </c>
      <c r="CK1266" s="16" t="str">
        <f t="shared" si="407"/>
        <v/>
      </c>
    </row>
    <row r="1267" spans="73:89" ht="12" customHeight="1">
      <c r="BU1267" s="16">
        <f t="shared" si="408"/>
        <v>0</v>
      </c>
      <c r="BV1267" s="16">
        <f>IF($BY$12=1,NORMDIST(BY1267,$Y$6,$Y$8,TRUE),IF($BY$12=2,IF(BY1267&lt;=$BX$31,0,IF(BY1267&gt;=$BX$32,1,(BY1267-$BX$31)*$BX$33)),SUM($BU$42:BU1267)/$BV$40))</f>
        <v>0.99985551927411842</v>
      </c>
      <c r="BW1267" s="16">
        <f t="shared" si="400"/>
        <v>3.4242518236736008E-3</v>
      </c>
      <c r="BY1267" s="16">
        <f t="shared" si="401"/>
        <v>122.49999999999731</v>
      </c>
      <c r="BZ1267" s="16">
        <f t="shared" si="402"/>
        <v>2.7953076111621845E-5</v>
      </c>
      <c r="CA1267" s="16">
        <f t="shared" si="409"/>
        <v>-999</v>
      </c>
      <c r="CE1267" s="16" t="e">
        <f t="shared" si="403"/>
        <v>#N/A</v>
      </c>
      <c r="CF1267" s="16">
        <f t="shared" si="404"/>
        <v>99</v>
      </c>
      <c r="CG1267" s="16">
        <f t="shared" si="405"/>
        <v>0</v>
      </c>
      <c r="CH1267" s="16">
        <f t="shared" si="399"/>
        <v>0</v>
      </c>
      <c r="CJ1267" s="16" t="e">
        <f t="shared" si="406"/>
        <v>#N/A</v>
      </c>
      <c r="CK1267" s="16" t="str">
        <f t="shared" si="407"/>
        <v/>
      </c>
    </row>
    <row r="1268" spans="73:89" ht="12" customHeight="1">
      <c r="BU1268" s="16">
        <f t="shared" si="408"/>
        <v>0</v>
      </c>
      <c r="BV1268" s="16">
        <f>IF($BY$12=1,NORMDIST(BY1268,$Y$6,$Y$8,TRUE),IF($BY$12=2,IF(BY1268&lt;=$BX$31,0,IF(BY1268&gt;=$BX$32,1,(BY1268-$BX$31)*$BX$33)),SUM($BU$42:BU1268)/$BV$40))</f>
        <v>0.99985828939012522</v>
      </c>
      <c r="BW1268" s="16">
        <f t="shared" si="400"/>
        <v>3.3654493672997262E-3</v>
      </c>
      <c r="BY1268" s="16">
        <f t="shared" si="401"/>
        <v>122.59999999999731</v>
      </c>
      <c r="BZ1268" s="16">
        <f t="shared" si="402"/>
        <v>2.745064736786134E-5</v>
      </c>
      <c r="CA1268" s="16">
        <f t="shared" si="409"/>
        <v>-999</v>
      </c>
      <c r="CE1268" s="16" t="e">
        <f t="shared" si="403"/>
        <v>#N/A</v>
      </c>
      <c r="CF1268" s="16">
        <f t="shared" si="404"/>
        <v>99</v>
      </c>
      <c r="CG1268" s="16">
        <f t="shared" si="405"/>
        <v>0</v>
      </c>
      <c r="CH1268" s="16">
        <f t="shared" si="399"/>
        <v>0</v>
      </c>
      <c r="CJ1268" s="16" t="e">
        <f t="shared" si="406"/>
        <v>#N/A</v>
      </c>
      <c r="CK1268" s="16" t="str">
        <f t="shared" si="407"/>
        <v/>
      </c>
    </row>
    <row r="1269" spans="73:89" ht="12" customHeight="1">
      <c r="BU1269" s="16">
        <f t="shared" si="408"/>
        <v>0</v>
      </c>
      <c r="BV1269" s="16">
        <f>IF($BY$12=1,NORMDIST(BY1269,$Y$6,$Y$8,TRUE),IF($BY$12=2,IF(BY1269&lt;=$BX$31,0,IF(BY1269&gt;=$BX$32,1,(BY1269-$BX$31)*$BX$33)),SUM($BU$42:BU1269)/$BV$40))</f>
        <v>0.99986100968214697</v>
      </c>
      <c r="BW1269" s="16">
        <f t="shared" si="400"/>
        <v>3.3075717964628905E-3</v>
      </c>
      <c r="BY1269" s="16">
        <f t="shared" si="401"/>
        <v>122.6999999999973</v>
      </c>
      <c r="BZ1269" s="16">
        <f t="shared" si="402"/>
        <v>2.6956575358296357E-5</v>
      </c>
      <c r="CA1269" s="16">
        <f t="shared" si="409"/>
        <v>-999</v>
      </c>
      <c r="CE1269" s="16" t="e">
        <f t="shared" si="403"/>
        <v>#N/A</v>
      </c>
      <c r="CF1269" s="16">
        <f t="shared" si="404"/>
        <v>99</v>
      </c>
      <c r="CG1269" s="16">
        <f t="shared" si="405"/>
        <v>0</v>
      </c>
      <c r="CH1269" s="16">
        <f t="shared" si="399"/>
        <v>0</v>
      </c>
      <c r="CJ1269" s="16" t="e">
        <f t="shared" si="406"/>
        <v>#N/A</v>
      </c>
      <c r="CK1269" s="16" t="str">
        <f t="shared" si="407"/>
        <v/>
      </c>
    </row>
    <row r="1270" spans="73:89" ht="12" customHeight="1">
      <c r="BU1270" s="16">
        <f t="shared" si="408"/>
        <v>0</v>
      </c>
      <c r="BV1270" s="16">
        <f>IF($BY$12=1,NORMDIST(BY1270,$Y$6,$Y$8,TRUE),IF($BY$12=2,IF(BY1270&lt;=$BX$31,0,IF(BY1270&gt;=$BX$32,1,(BY1270-$BX$31)*$BX$33)),SUM($BU$42:BU1270)/$BV$40))</f>
        <v>0.99986368097955491</v>
      </c>
      <c r="BW1270" s="16">
        <f t="shared" si="400"/>
        <v>3.2506061542044297E-3</v>
      </c>
      <c r="BY1270" s="16">
        <f t="shared" si="401"/>
        <v>122.7999999999973</v>
      </c>
      <c r="BZ1270" s="16">
        <f t="shared" si="402"/>
        <v>2.6470734154759781E-5</v>
      </c>
      <c r="CA1270" s="16">
        <f t="shared" si="409"/>
        <v>-999</v>
      </c>
      <c r="CE1270" s="16" t="e">
        <f t="shared" si="403"/>
        <v>#N/A</v>
      </c>
      <c r="CF1270" s="16">
        <f t="shared" si="404"/>
        <v>99</v>
      </c>
      <c r="CG1270" s="16">
        <f t="shared" si="405"/>
        <v>0</v>
      </c>
      <c r="CH1270" s="16">
        <f t="shared" si="399"/>
        <v>0</v>
      </c>
      <c r="CJ1270" s="16" t="e">
        <f t="shared" si="406"/>
        <v>#N/A</v>
      </c>
      <c r="CK1270" s="16" t="str">
        <f t="shared" si="407"/>
        <v/>
      </c>
    </row>
    <row r="1271" spans="73:89" ht="12" customHeight="1">
      <c r="BU1271" s="16">
        <f t="shared" si="408"/>
        <v>0</v>
      </c>
      <c r="BV1271" s="16">
        <f>IF($BY$12=1,NORMDIST(BY1271,$Y$6,$Y$8,TRUE),IF($BY$12=2,IF(BY1271&lt;=$BX$31,0,IF(BY1271&gt;=$BX$32,1,(BY1271-$BX$31)*$BX$33)),SUM($BU$42:BU1271)/$BV$40))</f>
        <v>0.99986630409919597</v>
      </c>
      <c r="BW1271" s="16">
        <f t="shared" si="400"/>
        <v>3.194539636757508E-3</v>
      </c>
      <c r="BY1271" s="16">
        <f t="shared" si="401"/>
        <v>122.89999999999729</v>
      </c>
      <c r="BZ1271" s="16">
        <f t="shared" si="402"/>
        <v>2.5992999485415609E-5</v>
      </c>
      <c r="CA1271" s="16">
        <f t="shared" si="409"/>
        <v>-999</v>
      </c>
      <c r="CE1271" s="16" t="e">
        <f t="shared" si="403"/>
        <v>#N/A</v>
      </c>
      <c r="CF1271" s="16">
        <f t="shared" si="404"/>
        <v>99</v>
      </c>
      <c r="CG1271" s="16">
        <f t="shared" si="405"/>
        <v>0</v>
      </c>
      <c r="CH1271" s="16">
        <f t="shared" si="399"/>
        <v>0</v>
      </c>
      <c r="CJ1271" s="16" t="e">
        <f t="shared" si="406"/>
        <v>#N/A</v>
      </c>
      <c r="CK1271" s="16" t="str">
        <f t="shared" si="407"/>
        <v/>
      </c>
    </row>
    <row r="1272" spans="73:89" ht="12" customHeight="1">
      <c r="BU1272" s="16">
        <f t="shared" si="408"/>
        <v>0</v>
      </c>
      <c r="BV1272" s="16">
        <f>IF($BY$12=1,NORMDIST(BY1272,$Y$6,$Y$8,TRUE),IF($BY$12=2,IF(BY1272&lt;=$BX$31,0,IF(BY1272&gt;=$BX$32,1,(BY1272-$BX$31)*$BX$33)),SUM($BU$42:BU1272)/$BV$40))</f>
        <v>0.99986887984557737</v>
      </c>
      <c r="BW1272" s="16">
        <f t="shared" si="400"/>
        <v>3.1393595922182276E-3</v>
      </c>
      <c r="BY1272" s="16">
        <f t="shared" si="401"/>
        <v>122.99999999999729</v>
      </c>
      <c r="BZ1272" s="16">
        <f t="shared" si="402"/>
        <v>2.5523248717221927E-5</v>
      </c>
      <c r="CA1272" s="16">
        <f t="shared" si="409"/>
        <v>-999</v>
      </c>
      <c r="CE1272" s="16" t="e">
        <f t="shared" si="403"/>
        <v>#N/A</v>
      </c>
      <c r="CF1272" s="16">
        <f t="shared" si="404"/>
        <v>99</v>
      </c>
      <c r="CG1272" s="16">
        <f t="shared" si="405"/>
        <v>0</v>
      </c>
      <c r="CH1272" s="16">
        <f t="shared" si="399"/>
        <v>0</v>
      </c>
      <c r="CJ1272" s="16" t="e">
        <f t="shared" si="406"/>
        <v>#N/A</v>
      </c>
      <c r="CK1272" s="16" t="str">
        <f t="shared" si="407"/>
        <v/>
      </c>
    </row>
    <row r="1273" spans="73:89" ht="12" customHeight="1">
      <c r="BU1273" s="16">
        <f t="shared" si="408"/>
        <v>0</v>
      </c>
      <c r="BV1273" s="16">
        <f>IF($BY$12=1,NORMDIST(BY1273,$Y$6,$Y$8,TRUE),IF($BY$12=2,IF(BY1273&lt;=$BX$31,0,IF(BY1273&gt;=$BX$32,1,(BY1273-$BX$31)*$BX$33)),SUM($BU$42:BU1273)/$BV$40))</f>
        <v>0.99987140901103433</v>
      </c>
      <c r="BW1273" s="16">
        <f t="shared" si="400"/>
        <v>3.0850535192200857E-3</v>
      </c>
      <c r="BY1273" s="16">
        <f t="shared" si="401"/>
        <v>123.09999999999728</v>
      </c>
      <c r="BZ1273" s="16">
        <f t="shared" si="402"/>
        <v>2.5061360838506532E-5</v>
      </c>
      <c r="CA1273" s="16">
        <f t="shared" si="409"/>
        <v>-999</v>
      </c>
      <c r="CE1273" s="16" t="e">
        <f t="shared" si="403"/>
        <v>#N/A</v>
      </c>
      <c r="CF1273" s="16">
        <f t="shared" si="404"/>
        <v>99</v>
      </c>
      <c r="CG1273" s="16">
        <f t="shared" si="405"/>
        <v>0</v>
      </c>
      <c r="CH1273" s="16">
        <f t="shared" si="399"/>
        <v>0</v>
      </c>
      <c r="CJ1273" s="16" t="e">
        <f t="shared" si="406"/>
        <v>#N/A</v>
      </c>
      <c r="CK1273" s="16" t="str">
        <f t="shared" si="407"/>
        <v/>
      </c>
    </row>
    <row r="1274" spans="73:89" ht="12" customHeight="1">
      <c r="BU1274" s="16">
        <f t="shared" si="408"/>
        <v>0</v>
      </c>
      <c r="BV1274" s="16">
        <f>IF($BY$12=1,NORMDIST(BY1274,$Y$6,$Y$8,TRUE),IF($BY$12=2,IF(BY1274&lt;=$BX$31,0,IF(BY1274&gt;=$BX$32,1,(BY1274-$BX$31)*$BX$33)),SUM($BU$42:BU1274)/$BV$40))</f>
        <v>0.999873892375861</v>
      </c>
      <c r="BW1274" s="16">
        <f t="shared" si="400"/>
        <v>3.0316090656120698E-3</v>
      </c>
      <c r="BY1274" s="16">
        <f t="shared" si="401"/>
        <v>123.19999999999727</v>
      </c>
      <c r="BZ1274" s="16">
        <f t="shared" si="402"/>
        <v>2.4607216441656956E-5</v>
      </c>
      <c r="CA1274" s="16">
        <f t="shared" si="409"/>
        <v>-999</v>
      </c>
      <c r="CE1274" s="16" t="e">
        <f t="shared" si="403"/>
        <v>#N/A</v>
      </c>
      <c r="CF1274" s="16">
        <f t="shared" si="404"/>
        <v>99</v>
      </c>
      <c r="CG1274" s="16">
        <f t="shared" si="405"/>
        <v>0</v>
      </c>
      <c r="CH1274" s="16">
        <f t="shared" si="399"/>
        <v>0</v>
      </c>
      <c r="CJ1274" s="16" t="e">
        <f t="shared" si="406"/>
        <v>#N/A</v>
      </c>
      <c r="CK1274" s="16" t="str">
        <f t="shared" si="407"/>
        <v/>
      </c>
    </row>
    <row r="1275" spans="73:89" ht="12" customHeight="1">
      <c r="BU1275" s="16">
        <f t="shared" si="408"/>
        <v>0</v>
      </c>
      <c r="BV1275" s="16">
        <f>IF($BY$12=1,NORMDIST(BY1275,$Y$6,$Y$8,TRUE),IF($BY$12=2,IF(BY1275&lt;=$BX$31,0,IF(BY1275&gt;=$BX$32,1,(BY1275-$BX$31)*$BX$33)),SUM($BU$42:BU1275)/$BV$40))</f>
        <v>0.99987633070850768</v>
      </c>
      <c r="BW1275" s="16">
        <f t="shared" si="400"/>
        <v>2.9790140271404144E-3</v>
      </c>
      <c r="BY1275" s="16">
        <f t="shared" si="401"/>
        <v>123.29999999999727</v>
      </c>
      <c r="BZ1275" s="16">
        <f t="shared" si="402"/>
        <v>2.4160697705924416E-5</v>
      </c>
      <c r="CA1275" s="16">
        <f t="shared" si="409"/>
        <v>-999</v>
      </c>
      <c r="CE1275" s="16" t="e">
        <f t="shared" si="403"/>
        <v>#N/A</v>
      </c>
      <c r="CF1275" s="16">
        <f t="shared" si="404"/>
        <v>99</v>
      </c>
      <c r="CG1275" s="16">
        <f t="shared" si="405"/>
        <v>0</v>
      </c>
      <c r="CH1275" s="16">
        <f t="shared" si="399"/>
        <v>0</v>
      </c>
      <c r="CJ1275" s="16" t="e">
        <f t="shared" si="406"/>
        <v>#N/A</v>
      </c>
      <c r="CK1275" s="16" t="str">
        <f t="shared" si="407"/>
        <v/>
      </c>
    </row>
    <row r="1276" spans="73:89" ht="12" customHeight="1">
      <c r="BU1276" s="16">
        <f t="shared" si="408"/>
        <v>0</v>
      </c>
      <c r="BV1276" s="16">
        <f>IF($BY$12=1,NORMDIST(BY1276,$Y$6,$Y$8,TRUE),IF($BY$12=2,IF(BY1276&lt;=$BX$31,0,IF(BY1276&gt;=$BX$32,1,(BY1276-$BX$31)*$BX$33)),SUM($BU$42:BU1276)/$BV$40))</f>
        <v>0.99987872476571527</v>
      </c>
      <c r="BW1276" s="16">
        <f t="shared" si="400"/>
        <v>2.9272563461342528E-3</v>
      </c>
      <c r="BY1276" s="16">
        <f t="shared" si="401"/>
        <v>123.39999999999726</v>
      </c>
      <c r="BZ1276" s="16">
        <f t="shared" si="402"/>
        <v>2.3721688380342931E-5</v>
      </c>
      <c r="CA1276" s="16">
        <f t="shared" si="409"/>
        <v>-999</v>
      </c>
      <c r="CE1276" s="16" t="e">
        <f t="shared" si="403"/>
        <v>#N/A</v>
      </c>
      <c r="CF1276" s="16">
        <f t="shared" si="404"/>
        <v>99</v>
      </c>
      <c r="CG1276" s="16">
        <f t="shared" si="405"/>
        <v>0</v>
      </c>
      <c r="CH1276" s="16">
        <f t="shared" si="399"/>
        <v>0</v>
      </c>
      <c r="CJ1276" s="16" t="e">
        <f t="shared" si="406"/>
        <v>#N/A</v>
      </c>
      <c r="CK1276" s="16" t="str">
        <f t="shared" si="407"/>
        <v/>
      </c>
    </row>
    <row r="1277" spans="73:89" ht="12" customHeight="1">
      <c r="BU1277" s="16">
        <f t="shared" si="408"/>
        <v>0</v>
      </c>
      <c r="BV1277" s="16">
        <f>IF($BY$12=1,NORMDIST(BY1277,$Y$6,$Y$8,TRUE),IF($BY$12=2,IF(BY1277&lt;=$BX$31,0,IF(BY1277&gt;=$BX$32,1,(BY1277-$BX$31)*$BX$33)),SUM($BU$42:BU1277)/$BV$40))</f>
        <v>0.99988107529267245</v>
      </c>
      <c r="BW1277" s="16">
        <f t="shared" si="400"/>
        <v>2.8763241101952353E-3</v>
      </c>
      <c r="BY1277" s="16">
        <f t="shared" si="401"/>
        <v>123.49999999999726</v>
      </c>
      <c r="BZ1277" s="16">
        <f t="shared" si="402"/>
        <v>2.3290073766763557E-5</v>
      </c>
      <c r="CA1277" s="16">
        <f t="shared" si="409"/>
        <v>-999</v>
      </c>
      <c r="CE1277" s="16" t="e">
        <f t="shared" si="403"/>
        <v>#N/A</v>
      </c>
      <c r="CF1277" s="16">
        <f t="shared" si="404"/>
        <v>99</v>
      </c>
      <c r="CG1277" s="16">
        <f t="shared" si="405"/>
        <v>0</v>
      </c>
      <c r="CH1277" s="16">
        <f t="shared" si="399"/>
        <v>0</v>
      </c>
      <c r="CJ1277" s="16" t="e">
        <f t="shared" si="406"/>
        <v>#N/A</v>
      </c>
      <c r="CK1277" s="16" t="str">
        <f t="shared" si="407"/>
        <v/>
      </c>
    </row>
    <row r="1278" spans="73:89" ht="12" customHeight="1">
      <c r="BU1278" s="16">
        <f t="shared" si="408"/>
        <v>0</v>
      </c>
      <c r="BV1278" s="16">
        <f>IF($BY$12=1,NORMDIST(BY1278,$Y$6,$Y$8,TRUE),IF($BY$12=2,IF(BY1278&lt;=$BX$31,0,IF(BY1278&gt;=$BX$32,1,(BY1278-$BX$31)*$BX$33)),SUM($BU$42:BU1278)/$BV$40))</f>
        <v>0.9998833830231838</v>
      </c>
      <c r="BW1278" s="16">
        <f t="shared" si="400"/>
        <v>2.8262055508912827E-3</v>
      </c>
      <c r="BY1278" s="16">
        <f t="shared" si="401"/>
        <v>123.59999999999725</v>
      </c>
      <c r="BZ1278" s="16">
        <f t="shared" si="402"/>
        <v>2.2865740703004413E-5</v>
      </c>
      <c r="CA1278" s="16">
        <f t="shared" si="409"/>
        <v>-999</v>
      </c>
      <c r="CE1278" s="16" t="e">
        <f t="shared" si="403"/>
        <v>#N/A</v>
      </c>
      <c r="CF1278" s="16">
        <f t="shared" si="404"/>
        <v>99</v>
      </c>
      <c r="CG1278" s="16">
        <f t="shared" si="405"/>
        <v>0</v>
      </c>
      <c r="CH1278" s="16">
        <f t="shared" si="399"/>
        <v>0</v>
      </c>
      <c r="CJ1278" s="16" t="e">
        <f t="shared" si="406"/>
        <v>#N/A</v>
      </c>
      <c r="CK1278" s="16" t="str">
        <f t="shared" si="407"/>
        <v/>
      </c>
    </row>
    <row r="1279" spans="73:89" ht="12" customHeight="1">
      <c r="BU1279" s="16">
        <f t="shared" si="408"/>
        <v>0</v>
      </c>
      <c r="BV1279" s="16">
        <f>IF($BY$12=1,NORMDIST(BY1279,$Y$6,$Y$8,TRUE),IF($BY$12=2,IF(BY1279&lt;=$BX$31,0,IF(BY1279&gt;=$BX$32,1,(BY1279-$BX$31)*$BX$33)),SUM($BU$42:BU1279)/$BV$40))</f>
        <v>0.99988564867980823</v>
      </c>
      <c r="BW1279" s="16">
        <f t="shared" si="400"/>
        <v>2.7768890424545827E-3</v>
      </c>
      <c r="BY1279" s="16">
        <f t="shared" si="401"/>
        <v>123.69999999999725</v>
      </c>
      <c r="BZ1279" s="16">
        <f t="shared" si="402"/>
        <v>2.2448577546116769E-5</v>
      </c>
      <c r="CA1279" s="16">
        <f t="shared" si="409"/>
        <v>-999</v>
      </c>
      <c r="CE1279" s="16" t="e">
        <f t="shared" si="403"/>
        <v>#N/A</v>
      </c>
      <c r="CF1279" s="16">
        <f t="shared" si="404"/>
        <v>99</v>
      </c>
      <c r="CG1279" s="16">
        <f t="shared" si="405"/>
        <v>0</v>
      </c>
      <c r="CH1279" s="16">
        <f t="shared" si="399"/>
        <v>0</v>
      </c>
      <c r="CJ1279" s="16" t="e">
        <f t="shared" si="406"/>
        <v>#N/A</v>
      </c>
      <c r="CK1279" s="16" t="str">
        <f t="shared" si="407"/>
        <v/>
      </c>
    </row>
    <row r="1280" spans="73:89" ht="12" customHeight="1">
      <c r="BU1280" s="16">
        <f t="shared" si="408"/>
        <v>0</v>
      </c>
      <c r="BV1280" s="16">
        <f>IF($BY$12=1,NORMDIST(BY1280,$Y$6,$Y$8,TRUE),IF($BY$12=2,IF(BY1280&lt;=$BX$31,0,IF(BY1280&gt;=$BX$32,1,(BY1280-$BX$31)*$BX$33)),SUM($BU$42:BU1280)/$BV$40))</f>
        <v>0.99988787297401815</v>
      </c>
      <c r="BW1280" s="16">
        <f t="shared" si="400"/>
        <v>2.728363100483995E-3</v>
      </c>
      <c r="BY1280" s="16">
        <f t="shared" si="401"/>
        <v>123.79999999999724</v>
      </c>
      <c r="BZ1280" s="16">
        <f t="shared" si="402"/>
        <v>2.2038474155767819E-5</v>
      </c>
      <c r="CA1280" s="16">
        <f t="shared" si="409"/>
        <v>-999</v>
      </c>
      <c r="CE1280" s="16" t="e">
        <f t="shared" si="403"/>
        <v>#N/A</v>
      </c>
      <c r="CF1280" s="16">
        <f t="shared" si="404"/>
        <v>99</v>
      </c>
      <c r="CG1280" s="16">
        <f t="shared" si="405"/>
        <v>0</v>
      </c>
      <c r="CH1280" s="16">
        <f t="shared" si="399"/>
        <v>0</v>
      </c>
      <c r="CJ1280" s="16" t="e">
        <f t="shared" si="406"/>
        <v>#N/A</v>
      </c>
      <c r="CK1280" s="16" t="str">
        <f t="shared" si="407"/>
        <v/>
      </c>
    </row>
    <row r="1281" spans="73:89" ht="12" customHeight="1">
      <c r="BU1281" s="16">
        <f t="shared" si="408"/>
        <v>0</v>
      </c>
      <c r="BV1281" s="16">
        <f>IF($BY$12=1,NORMDIST(BY1281,$Y$6,$Y$8,TRUE),IF($BY$12=2,IF(BY1281&lt;=$BX$31,0,IF(BY1281&gt;=$BX$32,1,(BY1281-$BX$31)*$BX$33)),SUM($BU$42:BU1281)/$BV$40))</f>
        <v>0.999890056606342</v>
      </c>
      <c r="BW1281" s="16">
        <f t="shared" si="400"/>
        <v>2.6806163806519473E-3</v>
      </c>
      <c r="BY1281" s="16">
        <f t="shared" si="401"/>
        <v>123.89999999999723</v>
      </c>
      <c r="BZ1281" s="16">
        <f t="shared" si="402"/>
        <v>2.1635321877740172E-5</v>
      </c>
      <c r="CA1281" s="16">
        <f t="shared" si="409"/>
        <v>-999</v>
      </c>
      <c r="CE1281" s="16" t="e">
        <f t="shared" si="403"/>
        <v>#N/A</v>
      </c>
      <c r="CF1281" s="16">
        <f t="shared" si="404"/>
        <v>99</v>
      </c>
      <c r="CG1281" s="16">
        <f t="shared" si="405"/>
        <v>0</v>
      </c>
      <c r="CH1281" s="16">
        <f t="shared" si="399"/>
        <v>0</v>
      </c>
      <c r="CJ1281" s="16" t="e">
        <f t="shared" si="406"/>
        <v>#N/A</v>
      </c>
      <c r="CK1281" s="16" t="str">
        <f t="shared" si="407"/>
        <v/>
      </c>
    </row>
    <row r="1282" spans="73:89" ht="12" customHeight="1">
      <c r="BU1282" s="16">
        <f t="shared" si="408"/>
        <v>0</v>
      </c>
      <c r="BV1282" s="16">
        <f>IF($BY$12=1,NORMDIST(BY1282,$Y$6,$Y$8,TRUE),IF($BY$12=2,IF(BY1282&lt;=$BX$31,0,IF(BY1282&gt;=$BX$32,1,(BY1282-$BX$31)*$BX$33)),SUM($BU$42:BU1282)/$BV$40))</f>
        <v>0.99989220026652248</v>
      </c>
      <c r="BW1282" s="16">
        <f t="shared" si="400"/>
        <v>2.6336376774159518E-3</v>
      </c>
      <c r="BY1282" s="16">
        <f t="shared" si="401"/>
        <v>123.99999999999723</v>
      </c>
      <c r="BZ1282" s="16">
        <f t="shared" si="402"/>
        <v>2.1239013527548474E-5</v>
      </c>
      <c r="CA1282" s="16">
        <f t="shared" si="409"/>
        <v>-999</v>
      </c>
      <c r="CE1282" s="16" t="e">
        <f t="shared" si="403"/>
        <v>#N/A</v>
      </c>
      <c r="CF1282" s="16">
        <f t="shared" si="404"/>
        <v>99</v>
      </c>
      <c r="CG1282" s="16">
        <f t="shared" si="405"/>
        <v>0</v>
      </c>
      <c r="CH1282" s="16">
        <f t="shared" si="399"/>
        <v>0</v>
      </c>
      <c r="CJ1282" s="16" t="e">
        <f t="shared" si="406"/>
        <v>#N/A</v>
      </c>
      <c r="CK1282" s="16" t="str">
        <f t="shared" si="407"/>
        <v/>
      </c>
    </row>
    <row r="1283" spans="73:89" ht="12" customHeight="1">
      <c r="BU1283" s="16">
        <f t="shared" si="408"/>
        <v>0</v>
      </c>
      <c r="BV1283" s="16">
        <f>IF($BY$12=1,NORMDIST(BY1283,$Y$6,$Y$8,TRUE),IF($BY$12=2,IF(BY1283&lt;=$BX$31,0,IF(BY1283&gt;=$BX$32,1,(BY1283-$BX$31)*$BX$33)),SUM($BU$42:BU1283)/$BV$40))</f>
        <v>0.99989430463365325</v>
      </c>
      <c r="BW1283" s="16">
        <f t="shared" si="400"/>
        <v>2.5874159227348816E-3</v>
      </c>
      <c r="BY1283" s="16">
        <f t="shared" si="401"/>
        <v>124.09999999999722</v>
      </c>
      <c r="BZ1283" s="16">
        <f t="shared" si="402"/>
        <v>2.0849443374173567E-5</v>
      </c>
      <c r="CA1283" s="16">
        <f t="shared" si="409"/>
        <v>-999</v>
      </c>
      <c r="CE1283" s="16" t="e">
        <f t="shared" si="403"/>
        <v>#N/A</v>
      </c>
      <c r="CF1283" s="16">
        <f t="shared" si="404"/>
        <v>99</v>
      </c>
      <c r="CG1283" s="16">
        <f t="shared" si="405"/>
        <v>0</v>
      </c>
      <c r="CH1283" s="16">
        <f t="shared" ref="CH1283:CH1346" si="410">IF(CB1283="",0,1)</f>
        <v>0</v>
      </c>
      <c r="CJ1283" s="16" t="e">
        <f t="shared" si="406"/>
        <v>#N/A</v>
      </c>
      <c r="CK1283" s="16" t="str">
        <f t="shared" si="407"/>
        <v/>
      </c>
    </row>
    <row r="1284" spans="73:89" ht="12" customHeight="1">
      <c r="BU1284" s="16">
        <f t="shared" si="408"/>
        <v>0</v>
      </c>
      <c r="BV1284" s="16">
        <f>IF($BY$12=1,NORMDIST(BY1284,$Y$6,$Y$8,TRUE),IF($BY$12=2,IF(BY1284&lt;=$BX$31,0,IF(BY1284&gt;=$BX$32,1,(BY1284-$BX$31)*$BX$33)),SUM($BU$42:BU1284)/$BV$40))</f>
        <v>0.99989637037632406</v>
      </c>
      <c r="BW1284" s="16">
        <f t="shared" si="400"/>
        <v>2.5419401847901215E-3</v>
      </c>
      <c r="BY1284" s="16">
        <f t="shared" si="401"/>
        <v>124.19999999999722</v>
      </c>
      <c r="BZ1284" s="16">
        <f t="shared" si="402"/>
        <v>2.046650712391448E-5</v>
      </c>
      <c r="CA1284" s="16">
        <f t="shared" si="409"/>
        <v>-999</v>
      </c>
      <c r="CE1284" s="16" t="e">
        <f t="shared" si="403"/>
        <v>#N/A</v>
      </c>
      <c r="CF1284" s="16">
        <f t="shared" si="404"/>
        <v>99</v>
      </c>
      <c r="CG1284" s="16">
        <f t="shared" si="405"/>
        <v>0</v>
      </c>
      <c r="CH1284" s="16">
        <f t="shared" si="410"/>
        <v>0</v>
      </c>
      <c r="CJ1284" s="16" t="e">
        <f t="shared" si="406"/>
        <v>#N/A</v>
      </c>
      <c r="CK1284" s="16" t="str">
        <f t="shared" si="407"/>
        <v/>
      </c>
    </row>
    <row r="1285" spans="73:89" ht="12" customHeight="1">
      <c r="BU1285" s="16">
        <f t="shared" si="408"/>
        <v>0</v>
      </c>
      <c r="BV1285" s="16">
        <f>IF($BY$12=1,NORMDIST(BY1285,$Y$6,$Y$8,TRUE),IF($BY$12=2,IF(BY1285&lt;=$BX$31,0,IF(BY1285&gt;=$BX$32,1,(BY1285-$BX$31)*$BX$33)),SUM($BU$42:BU1285)/$BV$40))</f>
        <v>0.99989839815277648</v>
      </c>
      <c r="BW1285" s="16">
        <f t="shared" si="400"/>
        <v>2.4971996667116779E-3</v>
      </c>
      <c r="BY1285" s="16">
        <f t="shared" si="401"/>
        <v>124.29999999999721</v>
      </c>
      <c r="BZ1285" s="16">
        <f t="shared" si="402"/>
        <v>2.0090101904358279E-5</v>
      </c>
      <c r="CA1285" s="16">
        <f t="shared" si="409"/>
        <v>-999</v>
      </c>
      <c r="CE1285" s="16" t="e">
        <f t="shared" si="403"/>
        <v>#N/A</v>
      </c>
      <c r="CF1285" s="16">
        <f t="shared" si="404"/>
        <v>99</v>
      </c>
      <c r="CG1285" s="16">
        <f t="shared" si="405"/>
        <v>0</v>
      </c>
      <c r="CH1285" s="16">
        <f t="shared" si="410"/>
        <v>0</v>
      </c>
      <c r="CJ1285" s="16" t="e">
        <f t="shared" si="406"/>
        <v>#N/A</v>
      </c>
      <c r="CK1285" s="16" t="str">
        <f t="shared" si="407"/>
        <v/>
      </c>
    </row>
    <row r="1286" spans="73:89" ht="12" customHeight="1">
      <c r="BU1286" s="16">
        <f t="shared" si="408"/>
        <v>0</v>
      </c>
      <c r="BV1286" s="16">
        <f>IF($BY$12=1,NORMDIST(BY1286,$Y$6,$Y$8,TRUE),IF($BY$12=2,IF(BY1286&lt;=$BX$31,0,IF(BY1286&gt;=$BX$32,1,(BY1286-$BX$31)*$BX$33)),SUM($BU$42:BU1286)/$BV$40))</f>
        <v>0.99990038861102271</v>
      </c>
      <c r="BW1286" s="16">
        <f t="shared" si="400"/>
        <v>2.4531837053093732E-3</v>
      </c>
      <c r="BY1286" s="16">
        <f t="shared" si="401"/>
        <v>124.39999999999721</v>
      </c>
      <c r="BZ1286" s="16">
        <f t="shared" si="402"/>
        <v>1.9720126248468074E-5</v>
      </c>
      <c r="CA1286" s="16">
        <f t="shared" si="409"/>
        <v>-999</v>
      </c>
      <c r="CE1286" s="16" t="e">
        <f t="shared" si="403"/>
        <v>#N/A</v>
      </c>
      <c r="CF1286" s="16">
        <f t="shared" si="404"/>
        <v>99</v>
      </c>
      <c r="CG1286" s="16">
        <f t="shared" si="405"/>
        <v>0</v>
      </c>
      <c r="CH1286" s="16">
        <f t="shared" si="410"/>
        <v>0</v>
      </c>
      <c r="CJ1286" s="16" t="e">
        <f t="shared" si="406"/>
        <v>#N/A</v>
      </c>
      <c r="CK1286" s="16" t="str">
        <f t="shared" si="407"/>
        <v/>
      </c>
    </row>
    <row r="1287" spans="73:89" ht="12" customHeight="1">
      <c r="BU1287" s="16">
        <f t="shared" si="408"/>
        <v>0</v>
      </c>
      <c r="BV1287" s="16">
        <f>IF($BY$12=1,NORMDIST(BY1287,$Y$6,$Y$8,TRUE),IF($BY$12=2,IF(BY1287&lt;=$BX$31,0,IF(BY1287&gt;=$BX$32,1,(BY1287-$BX$31)*$BX$33)),SUM($BU$42:BU1287)/$BV$40))</f>
        <v>0.99990234238901077</v>
      </c>
      <c r="BW1287" s="16">
        <f t="shared" si="400"/>
        <v>2.4098817698092454E-3</v>
      </c>
      <c r="BY1287" s="16">
        <f t="shared" si="401"/>
        <v>124.4999999999972</v>
      </c>
      <c r="BZ1287" s="16">
        <f t="shared" si="402"/>
        <v>1.9356480078789557E-5</v>
      </c>
      <c r="CA1287" s="16">
        <f t="shared" si="409"/>
        <v>-999</v>
      </c>
      <c r="CE1287" s="16" t="e">
        <f t="shared" si="403"/>
        <v>#N/A</v>
      </c>
      <c r="CF1287" s="16">
        <f t="shared" si="404"/>
        <v>99</v>
      </c>
      <c r="CG1287" s="16">
        <f t="shared" si="405"/>
        <v>0</v>
      </c>
      <c r="CH1287" s="16">
        <f t="shared" si="410"/>
        <v>0</v>
      </c>
      <c r="CJ1287" s="16" t="e">
        <f t="shared" si="406"/>
        <v>#N/A</v>
      </c>
      <c r="CK1287" s="16" t="str">
        <f t="shared" si="407"/>
        <v/>
      </c>
    </row>
    <row r="1288" spans="73:89" ht="12" customHeight="1">
      <c r="BU1288" s="16">
        <f t="shared" si="408"/>
        <v>0</v>
      </c>
      <c r="BV1288" s="16">
        <f>IF($BY$12=1,NORMDIST(BY1288,$Y$6,$Y$8,TRUE),IF($BY$12=2,IF(BY1288&lt;=$BX$31,0,IF(BY1288&gt;=$BX$32,1,(BY1288-$BX$31)*$BX$33)),SUM($BU$42:BU1288)/$BV$40))</f>
        <v>0.99990426011473255</v>
      </c>
      <c r="BW1288" s="16">
        <f t="shared" si="400"/>
        <v>2.3672834605952377E-3</v>
      </c>
      <c r="BY1288" s="16">
        <f t="shared" si="401"/>
        <v>124.59999999999719</v>
      </c>
      <c r="BZ1288" s="16">
        <f t="shared" si="402"/>
        <v>1.899906469177601E-5</v>
      </c>
      <c r="CA1288" s="16">
        <f t="shared" si="409"/>
        <v>-999</v>
      </c>
      <c r="CE1288" s="16" t="e">
        <f t="shared" si="403"/>
        <v>#N/A</v>
      </c>
      <c r="CF1288" s="16">
        <f t="shared" si="404"/>
        <v>99</v>
      </c>
      <c r="CG1288" s="16">
        <f t="shared" si="405"/>
        <v>0</v>
      </c>
      <c r="CH1288" s="16">
        <f t="shared" si="410"/>
        <v>0</v>
      </c>
      <c r="CJ1288" s="16" t="e">
        <f t="shared" si="406"/>
        <v>#N/A</v>
      </c>
      <c r="CK1288" s="16" t="str">
        <f t="shared" si="407"/>
        <v/>
      </c>
    </row>
    <row r="1289" spans="73:89" ht="12" customHeight="1">
      <c r="BU1289" s="16">
        <f t="shared" si="408"/>
        <v>0</v>
      </c>
      <c r="BV1289" s="16">
        <f>IF($BY$12=1,NORMDIST(BY1289,$Y$6,$Y$8,TRUE),IF($BY$12=2,IF(BY1289&lt;=$BX$31,0,IF(BY1289&gt;=$BX$32,1,(BY1289-$BX$31)*$BX$33)),SUM($BU$42:BU1289)/$BV$40))</f>
        <v>0.99990614240639264</v>
      </c>
      <c r="BW1289" s="16">
        <f t="shared" si="400"/>
        <v>2.325378507956292E-3</v>
      </c>
      <c r="BY1289" s="16">
        <f t="shared" si="401"/>
        <v>124.69999999999719</v>
      </c>
      <c r="BZ1289" s="16">
        <f t="shared" si="402"/>
        <v>1.8647782742232111E-5</v>
      </c>
      <c r="CA1289" s="16">
        <f t="shared" si="409"/>
        <v>-999</v>
      </c>
      <c r="CE1289" s="16" t="e">
        <f t="shared" si="403"/>
        <v>#N/A</v>
      </c>
      <c r="CF1289" s="16">
        <f t="shared" si="404"/>
        <v>99</v>
      </c>
      <c r="CG1289" s="16">
        <f t="shared" si="405"/>
        <v>0</v>
      </c>
      <c r="CH1289" s="16">
        <f t="shared" si="410"/>
        <v>0</v>
      </c>
      <c r="CJ1289" s="16" t="e">
        <f t="shared" si="406"/>
        <v>#N/A</v>
      </c>
      <c r="CK1289" s="16" t="str">
        <f t="shared" si="407"/>
        <v/>
      </c>
    </row>
    <row r="1290" spans="73:89" ht="12" customHeight="1">
      <c r="BU1290" s="16">
        <f t="shared" si="408"/>
        <v>0</v>
      </c>
      <c r="BV1290" s="16">
        <f>IF($BY$12=1,NORMDIST(BY1290,$Y$6,$Y$8,TRUE),IF($BY$12=2,IF(BY1290&lt;=$BX$31,0,IF(BY1290&gt;=$BX$32,1,(BY1290-$BX$31)*$BX$33)),SUM($BU$42:BU1290)/$BV$40))</f>
        <v>0.99990798987252494</v>
      </c>
      <c r="BW1290" s="16">
        <f t="shared" si="400"/>
        <v>2.2841567708389238E-3</v>
      </c>
      <c r="BY1290" s="16">
        <f t="shared" si="401"/>
        <v>124.79999999999718</v>
      </c>
      <c r="BZ1290" s="16">
        <f t="shared" si="402"/>
        <v>1.8302538227876403E-5</v>
      </c>
      <c r="CA1290" s="16">
        <f t="shared" si="409"/>
        <v>-999</v>
      </c>
      <c r="CE1290" s="16" t="e">
        <f t="shared" si="403"/>
        <v>#N/A</v>
      </c>
      <c r="CF1290" s="16">
        <f t="shared" si="404"/>
        <v>99</v>
      </c>
      <c r="CG1290" s="16">
        <f t="shared" si="405"/>
        <v>0</v>
      </c>
      <c r="CH1290" s="16">
        <f t="shared" si="410"/>
        <v>0</v>
      </c>
      <c r="CJ1290" s="16" t="e">
        <f t="shared" si="406"/>
        <v>#N/A</v>
      </c>
      <c r="CK1290" s="16" t="str">
        <f t="shared" si="407"/>
        <v/>
      </c>
    </row>
    <row r="1291" spans="73:89" ht="12" customHeight="1">
      <c r="BU1291" s="16">
        <f t="shared" si="408"/>
        <v>0</v>
      </c>
      <c r="BV1291" s="16">
        <f>IF($BY$12=1,NORMDIST(BY1291,$Y$6,$Y$8,TRUE),IF($BY$12=2,IF(BY1291&lt;=$BX$31,0,IF(BY1291&gt;=$BX$32,1,(BY1291-$BX$31)*$BX$33)),SUM($BU$42:BU1291)/$BV$40))</f>
        <v>0.99990980311212874</v>
      </c>
      <c r="BW1291" s="16">
        <f t="shared" si="400"/>
        <v>2.243608235605413E-3</v>
      </c>
      <c r="BY1291" s="16">
        <f t="shared" si="401"/>
        <v>124.89999999999718</v>
      </c>
      <c r="BZ1291" s="16">
        <f t="shared" si="402"/>
        <v>1.7963236474022927E-5</v>
      </c>
      <c r="CA1291" s="16">
        <f t="shared" si="409"/>
        <v>-999</v>
      </c>
      <c r="CE1291" s="16" t="e">
        <f t="shared" si="403"/>
        <v>#N/A</v>
      </c>
      <c r="CF1291" s="16">
        <f t="shared" si="404"/>
        <v>99</v>
      </c>
      <c r="CG1291" s="16">
        <f t="shared" si="405"/>
        <v>0</v>
      </c>
      <c r="CH1291" s="16">
        <f t="shared" si="410"/>
        <v>0</v>
      </c>
      <c r="CJ1291" s="16" t="e">
        <f t="shared" si="406"/>
        <v>#N/A</v>
      </c>
      <c r="CK1291" s="16" t="str">
        <f t="shared" si="407"/>
        <v/>
      </c>
    </row>
    <row r="1292" spans="73:89" ht="12" customHeight="1">
      <c r="BU1292" s="16">
        <f t="shared" si="408"/>
        <v>0</v>
      </c>
      <c r="BV1292" s="16">
        <f>IF($BY$12=1,NORMDIST(BY1292,$Y$6,$Y$8,TRUE),IF($BY$12=2,IF(BY1292&lt;=$BX$31,0,IF(BY1292&gt;=$BX$32,1,(BY1292-$BX$31)*$BX$33)),SUM($BU$42:BU1292)/$BV$40))</f>
        <v>0.99991158271479907</v>
      </c>
      <c r="BW1292" s="16">
        <f t="shared" si="400"/>
        <v>2.2037230147976504E-3</v>
      </c>
      <c r="BY1292" s="16">
        <f t="shared" si="401"/>
        <v>124.99999999999717</v>
      </c>
      <c r="BZ1292" s="16">
        <f t="shared" si="402"/>
        <v>1.7629784118381601E-5</v>
      </c>
      <c r="CA1292" s="16">
        <f t="shared" si="409"/>
        <v>-999</v>
      </c>
      <c r="CE1292" s="16" t="e">
        <f t="shared" si="403"/>
        <v>#N/A</v>
      </c>
      <c r="CF1292" s="16">
        <f t="shared" si="404"/>
        <v>99</v>
      </c>
      <c r="CG1292" s="16">
        <f t="shared" si="405"/>
        <v>0</v>
      </c>
      <c r="CH1292" s="16">
        <f t="shared" si="410"/>
        <v>0</v>
      </c>
      <c r="CJ1292" s="16" t="e">
        <f t="shared" si="406"/>
        <v>#N/A</v>
      </c>
      <c r="CK1292" s="16" t="str">
        <f t="shared" si="407"/>
        <v/>
      </c>
    </row>
    <row r="1293" spans="73:89" ht="12" customHeight="1">
      <c r="BU1293" s="16">
        <f t="shared" si="408"/>
        <v>0</v>
      </c>
      <c r="BV1293" s="16">
        <f>IF($BY$12=1,NORMDIST(BY1293,$Y$6,$Y$8,TRUE),IF($BY$12=2,IF(BY1293&lt;=$BX$31,0,IF(BY1293&gt;=$BX$32,1,(BY1293-$BX$31)*$BX$33)),SUM($BU$42:BU1293)/$BV$40))</f>
        <v>0.99991332926085985</v>
      </c>
      <c r="BW1293" s="16">
        <f t="shared" si="400"/>
        <v>2.1644913459067977E-3</v>
      </c>
      <c r="BY1293" s="16">
        <f t="shared" si="401"/>
        <v>125.09999999999717</v>
      </c>
      <c r="BZ1293" s="16">
        <f t="shared" si="402"/>
        <v>1.7302089095977993E-5</v>
      </c>
      <c r="CA1293" s="16">
        <f t="shared" si="409"/>
        <v>-999</v>
      </c>
      <c r="CE1293" s="16" t="e">
        <f t="shared" si="403"/>
        <v>#N/A</v>
      </c>
      <c r="CF1293" s="16">
        <f t="shared" si="404"/>
        <v>99</v>
      </c>
      <c r="CG1293" s="16">
        <f t="shared" si="405"/>
        <v>0</v>
      </c>
      <c r="CH1293" s="16">
        <f t="shared" si="410"/>
        <v>0</v>
      </c>
      <c r="CJ1293" s="16" t="e">
        <f t="shared" si="406"/>
        <v>#N/A</v>
      </c>
      <c r="CK1293" s="16" t="str">
        <f t="shared" si="407"/>
        <v/>
      </c>
    </row>
    <row r="1294" spans="73:89" ht="12" customHeight="1">
      <c r="BU1294" s="16">
        <f t="shared" si="408"/>
        <v>0</v>
      </c>
      <c r="BV1294" s="16">
        <f>IF($BY$12=1,NORMDIST(BY1294,$Y$6,$Y$8,TRUE),IF($BY$12=2,IF(BY1294&lt;=$BX$31,0,IF(BY1294&gt;=$BX$32,1,(BY1294-$BX$31)*$BX$33)),SUM($BU$42:BU1294)/$BV$40))</f>
        <v>0.99991504332150238</v>
      </c>
      <c r="BW1294" s="16">
        <f t="shared" si="400"/>
        <v>2.1259035901487634E-3</v>
      </c>
      <c r="BY1294" s="16">
        <f t="shared" si="401"/>
        <v>125.19999999999716</v>
      </c>
      <c r="BZ1294" s="16">
        <f t="shared" si="402"/>
        <v>1.6980060624191787E-5</v>
      </c>
      <c r="CA1294" s="16">
        <f t="shared" si="409"/>
        <v>-999</v>
      </c>
      <c r="CE1294" s="16" t="e">
        <f t="shared" si="403"/>
        <v>#N/A</v>
      </c>
      <c r="CF1294" s="16">
        <f t="shared" si="404"/>
        <v>99</v>
      </c>
      <c r="CG1294" s="16">
        <f t="shared" si="405"/>
        <v>0</v>
      </c>
      <c r="CH1294" s="16">
        <f t="shared" si="410"/>
        <v>0</v>
      </c>
      <c r="CJ1294" s="16" t="e">
        <f t="shared" si="406"/>
        <v>#N/A</v>
      </c>
      <c r="CK1294" s="16" t="str">
        <f t="shared" si="407"/>
        <v/>
      </c>
    </row>
    <row r="1295" spans="73:89" ht="12" customHeight="1">
      <c r="BU1295" s="16">
        <f t="shared" si="408"/>
        <v>0</v>
      </c>
      <c r="BV1295" s="16">
        <f>IF($BY$12=1,NORMDIST(BY1295,$Y$6,$Y$8,TRUE),IF($BY$12=2,IF(BY1295&lt;=$BX$31,0,IF(BY1295&gt;=$BX$32,1,(BY1295-$BX$31)*$BX$33)),SUM($BU$42:BU1295)/$BV$40))</f>
        <v>0.99991672545888566</v>
      </c>
      <c r="BW1295" s="16">
        <f t="shared" si="400"/>
        <v>2.0879502312456701E-3</v>
      </c>
      <c r="BY1295" s="16">
        <f t="shared" si="401"/>
        <v>125.29999999999715</v>
      </c>
      <c r="BZ1295" s="16">
        <f t="shared" si="402"/>
        <v>1.6663609187914743E-5</v>
      </c>
      <c r="CA1295" s="16">
        <f t="shared" si="409"/>
        <v>-999</v>
      </c>
      <c r="CE1295" s="16" t="e">
        <f t="shared" si="403"/>
        <v>#N/A</v>
      </c>
      <c r="CF1295" s="16">
        <f t="shared" si="404"/>
        <v>99</v>
      </c>
      <c r="CG1295" s="16">
        <f t="shared" si="405"/>
        <v>0</v>
      </c>
      <c r="CH1295" s="16">
        <f t="shared" si="410"/>
        <v>0</v>
      </c>
      <c r="CJ1295" s="16" t="e">
        <f t="shared" si="406"/>
        <v>#N/A</v>
      </c>
      <c r="CK1295" s="16" t="str">
        <f t="shared" si="407"/>
        <v/>
      </c>
    </row>
    <row r="1296" spans="73:89" ht="12" customHeight="1">
      <c r="BU1296" s="16">
        <f t="shared" si="408"/>
        <v>0</v>
      </c>
      <c r="BV1296" s="16">
        <f>IF($BY$12=1,NORMDIST(BY1296,$Y$6,$Y$8,TRUE),IF($BY$12=2,IF(BY1296&lt;=$BX$31,0,IF(BY1296&gt;=$BX$32,1,(BY1296-$BX$31)*$BX$33)),SUM($BU$42:BU1296)/$BV$40))</f>
        <v>0.99991837622629742</v>
      </c>
      <c r="BW1296" s="16">
        <f t="shared" si="400"/>
        <v>2.0506218742133257E-3</v>
      </c>
      <c r="BY1296" s="16">
        <f t="shared" si="401"/>
        <v>125.39999999999715</v>
      </c>
      <c r="BZ1296" s="16">
        <f t="shared" si="402"/>
        <v>1.6352646524827532E-5</v>
      </c>
      <c r="CA1296" s="16">
        <f t="shared" si="409"/>
        <v>-999</v>
      </c>
      <c r="CE1296" s="16" t="e">
        <f t="shared" si="403"/>
        <v>#N/A</v>
      </c>
      <c r="CF1296" s="16">
        <f t="shared" si="404"/>
        <v>99</v>
      </c>
      <c r="CG1296" s="16">
        <f t="shared" si="405"/>
        <v>0</v>
      </c>
      <c r="CH1296" s="16">
        <f t="shared" si="410"/>
        <v>0</v>
      </c>
      <c r="CJ1296" s="16" t="e">
        <f t="shared" si="406"/>
        <v>#N/A</v>
      </c>
      <c r="CK1296" s="16" t="str">
        <f t="shared" si="407"/>
        <v/>
      </c>
    </row>
    <row r="1297" spans="73:89" ht="12" customHeight="1">
      <c r="BU1297" s="16">
        <f t="shared" si="408"/>
        <v>0</v>
      </c>
      <c r="BV1297" s="16">
        <f>IF($BY$12=1,NORMDIST(BY1297,$Y$6,$Y$8,TRUE),IF($BY$12=2,IF(BY1297&lt;=$BX$31,0,IF(BY1297&gt;=$BX$32,1,(BY1297-$BX$31)*$BX$33)),SUM($BU$42:BU1297)/$BV$40))</f>
        <v>0.99991999616824767</v>
      </c>
      <c r="BW1297" s="16">
        <f t="shared" si="400"/>
        <v>2.0139092441548096E-3</v>
      </c>
      <c r="BY1297" s="16">
        <f t="shared" si="401"/>
        <v>125.49999999999714</v>
      </c>
      <c r="BZ1297" s="16">
        <f t="shared" si="402"/>
        <v>1.6047085610795661E-5</v>
      </c>
      <c r="CA1297" s="16">
        <f t="shared" si="409"/>
        <v>-999</v>
      </c>
      <c r="CE1297" s="16" t="e">
        <f t="shared" si="403"/>
        <v>#N/A</v>
      </c>
      <c r="CF1297" s="16">
        <f t="shared" si="404"/>
        <v>99</v>
      </c>
      <c r="CG1297" s="16">
        <f t="shared" si="405"/>
        <v>0</v>
      </c>
      <c r="CH1297" s="16">
        <f t="shared" si="410"/>
        <v>0</v>
      </c>
      <c r="CJ1297" s="16" t="e">
        <f t="shared" si="406"/>
        <v>#N/A</v>
      </c>
      <c r="CK1297" s="16" t="str">
        <f t="shared" si="407"/>
        <v/>
      </c>
    </row>
    <row r="1298" spans="73:89" ht="12" customHeight="1">
      <c r="BU1298" s="16">
        <f t="shared" si="408"/>
        <v>0</v>
      </c>
      <c r="BV1298" s="16">
        <f>IF($BY$12=1,NORMDIST(BY1298,$Y$6,$Y$8,TRUE),IF($BY$12=2,IF(BY1298&lt;=$BX$31,0,IF(BY1298&gt;=$BX$32,1,(BY1298-$BX$31)*$BX$33)),SUM($BU$42:BU1298)/$BV$40))</f>
        <v>0.99992158582061519</v>
      </c>
      <c r="BW1298" s="16">
        <f t="shared" si="400"/>
        <v>1.9778031850602599E-3</v>
      </c>
      <c r="BY1298" s="16">
        <f t="shared" si="401"/>
        <v>125.59999999999714</v>
      </c>
      <c r="BZ1298" s="16">
        <f t="shared" si="402"/>
        <v>1.5746840645384593E-5</v>
      </c>
      <c r="CA1298" s="16">
        <f t="shared" si="409"/>
        <v>-999</v>
      </c>
      <c r="CE1298" s="16" t="e">
        <f t="shared" si="403"/>
        <v>#N/A</v>
      </c>
      <c r="CF1298" s="16">
        <f t="shared" si="404"/>
        <v>99</v>
      </c>
      <c r="CG1298" s="16">
        <f t="shared" si="405"/>
        <v>0</v>
      </c>
      <c r="CH1298" s="16">
        <f t="shared" si="410"/>
        <v>0</v>
      </c>
      <c r="CJ1298" s="16" t="e">
        <f t="shared" si="406"/>
        <v>#N/A</v>
      </c>
      <c r="CK1298" s="16" t="str">
        <f t="shared" si="407"/>
        <v/>
      </c>
    </row>
    <row r="1299" spans="73:89" ht="12" customHeight="1">
      <c r="BU1299" s="16">
        <f t="shared" si="408"/>
        <v>0</v>
      </c>
      <c r="BV1299" s="16">
        <f>IF($BY$12=1,NORMDIST(BY1299,$Y$6,$Y$8,TRUE),IF($BY$12=2,IF(BY1299&lt;=$BX$31,0,IF(BY1299&gt;=$BX$32,1,(BY1299-$BX$31)*$BX$33)),SUM($BU$42:BU1299)/$BV$40))</f>
        <v>0.99992314571075791</v>
      </c>
      <c r="BW1299" s="16">
        <f t="shared" ref="BW1299:BW1362" si="411">BY1299*BZ1299</f>
        <v>1.9422946586128964E-3</v>
      </c>
      <c r="BY1299" s="16">
        <f t="shared" ref="BY1299:BY1362" si="412">BY1298+$BZ$1</f>
        <v>125.69999999999713</v>
      </c>
      <c r="BZ1299" s="16">
        <f t="shared" si="402"/>
        <v>1.5451827037493562E-5</v>
      </c>
      <c r="CA1299" s="16">
        <f t="shared" si="409"/>
        <v>-999</v>
      </c>
      <c r="CE1299" s="16" t="e">
        <f t="shared" si="403"/>
        <v>#N/A</v>
      </c>
      <c r="CF1299" s="16">
        <f t="shared" si="404"/>
        <v>99</v>
      </c>
      <c r="CG1299" s="16">
        <f t="shared" si="405"/>
        <v>0</v>
      </c>
      <c r="CH1299" s="16">
        <f t="shared" si="410"/>
        <v>0</v>
      </c>
      <c r="CJ1299" s="16" t="e">
        <f t="shared" si="406"/>
        <v>#N/A</v>
      </c>
      <c r="CK1299" s="16" t="str">
        <f t="shared" si="407"/>
        <v/>
      </c>
    </row>
    <row r="1300" spans="73:89" ht="12" customHeight="1">
      <c r="BU1300" s="16">
        <f t="shared" si="408"/>
        <v>0</v>
      </c>
      <c r="BV1300" s="16">
        <f>IF($BY$12=1,NORMDIST(BY1300,$Y$6,$Y$8,TRUE),IF($BY$12=2,IF(BY1300&lt;=$BX$31,0,IF(BY1300&gt;=$BX$32,1,(BY1300-$BX$31)*$BX$33)),SUM($BU$42:BU1300)/$BV$40))</f>
        <v>0.9999246763576225</v>
      </c>
      <c r="BW1300" s="16">
        <f t="shared" si="411"/>
        <v>1.9073747430014009E-3</v>
      </c>
      <c r="BY1300" s="16">
        <f t="shared" si="412"/>
        <v>125.79999999999713</v>
      </c>
      <c r="BZ1300" s="16">
        <f t="shared" si="402"/>
        <v>1.5161961391108463E-5</v>
      </c>
      <c r="CA1300" s="16">
        <f t="shared" si="409"/>
        <v>-999</v>
      </c>
      <c r="CE1300" s="16" t="e">
        <f t="shared" si="403"/>
        <v>#N/A</v>
      </c>
      <c r="CF1300" s="16">
        <f t="shared" si="404"/>
        <v>99</v>
      </c>
      <c r="CG1300" s="16">
        <f t="shared" si="405"/>
        <v>0</v>
      </c>
      <c r="CH1300" s="16">
        <f t="shared" si="410"/>
        <v>0</v>
      </c>
      <c r="CJ1300" s="16" t="e">
        <f t="shared" si="406"/>
        <v>#N/A</v>
      </c>
      <c r="CK1300" s="16" t="str">
        <f t="shared" si="407"/>
        <v/>
      </c>
    </row>
    <row r="1301" spans="73:89" ht="12" customHeight="1">
      <c r="BU1301" s="16">
        <f t="shared" si="408"/>
        <v>0</v>
      </c>
      <c r="BV1301" s="16">
        <f>IF($BY$12=1,NORMDIST(BY1301,$Y$6,$Y$8,TRUE),IF($BY$12=2,IF(BY1301&lt;=$BX$31,0,IF(BY1301&gt;=$BX$32,1,(BY1301-$BX$31)*$BX$33)),SUM($BU$42:BU1301)/$BV$40))</f>
        <v>0.99992617827189179</v>
      </c>
      <c r="BW1301" s="16">
        <f t="shared" si="411"/>
        <v>1.8730346317386913E-3</v>
      </c>
      <c r="BY1301" s="16">
        <f t="shared" si="412"/>
        <v>125.89999999999712</v>
      </c>
      <c r="BZ1301" s="16">
        <f t="shared" si="402"/>
        <v>1.4877161491173424E-5</v>
      </c>
      <c r="CA1301" s="16">
        <f t="shared" si="409"/>
        <v>-999</v>
      </c>
      <c r="CE1301" s="16" t="e">
        <f t="shared" si="403"/>
        <v>#N/A</v>
      </c>
      <c r="CF1301" s="16">
        <f t="shared" si="404"/>
        <v>99</v>
      </c>
      <c r="CG1301" s="16">
        <f t="shared" si="405"/>
        <v>0</v>
      </c>
      <c r="CH1301" s="16">
        <f t="shared" si="410"/>
        <v>0</v>
      </c>
      <c r="CJ1301" s="16" t="e">
        <f t="shared" si="406"/>
        <v>#N/A</v>
      </c>
      <c r="CK1301" s="16" t="str">
        <f t="shared" si="407"/>
        <v/>
      </c>
    </row>
    <row r="1302" spans="73:89" ht="12" customHeight="1">
      <c r="BU1302" s="16">
        <f t="shared" si="408"/>
        <v>0</v>
      </c>
      <c r="BV1302" s="16">
        <f>IF($BY$12=1,NORMDIST(BY1302,$Y$6,$Y$8,TRUE),IF($BY$12=2,IF(BY1302&lt;=$BX$31,0,IF(BY1302&gt;=$BX$32,1,(BY1302-$BX$31)*$BX$33)),SUM($BU$42:BU1302)/$BV$40))</f>
        <v>0.99992765195607292</v>
      </c>
      <c r="BW1302" s="16">
        <f t="shared" si="411"/>
        <v>1.8392656324871654E-3</v>
      </c>
      <c r="BY1302" s="16">
        <f t="shared" si="412"/>
        <v>125.99999999999712</v>
      </c>
      <c r="BZ1302" s="16">
        <f t="shared" si="402"/>
        <v>1.4597346289581013E-5</v>
      </c>
      <c r="CA1302" s="16">
        <f t="shared" si="409"/>
        <v>-999</v>
      </c>
      <c r="CE1302" s="16" t="e">
        <f t="shared" si="403"/>
        <v>#N/A</v>
      </c>
      <c r="CF1302" s="16">
        <f t="shared" si="404"/>
        <v>99</v>
      </c>
      <c r="CG1302" s="16">
        <f t="shared" si="405"/>
        <v>0</v>
      </c>
      <c r="CH1302" s="16">
        <f t="shared" si="410"/>
        <v>0</v>
      </c>
      <c r="CJ1302" s="16" t="e">
        <f t="shared" si="406"/>
        <v>#N/A</v>
      </c>
      <c r="CK1302" s="16" t="str">
        <f t="shared" si="407"/>
        <v/>
      </c>
    </row>
    <row r="1303" spans="73:89" ht="12" customHeight="1">
      <c r="BU1303" s="16">
        <f t="shared" si="408"/>
        <v>0</v>
      </c>
      <c r="BV1303" s="16">
        <f>IF($BY$12=1,NORMDIST(BY1303,$Y$6,$Y$8,TRUE),IF($BY$12=2,IF(BY1303&lt;=$BX$31,0,IF(BY1303&gt;=$BX$32,1,(BY1303-$BX$31)*$BX$33)),SUM($BU$42:BU1303)/$BV$40))</f>
        <v>0.99992909790464113</v>
      </c>
      <c r="BW1303" s="16">
        <f t="shared" si="411"/>
        <v>1.8060591658904841E-3</v>
      </c>
      <c r="BY1303" s="16">
        <f t="shared" si="412"/>
        <v>126.09999999999711</v>
      </c>
      <c r="BZ1303" s="16">
        <f t="shared" si="402"/>
        <v>1.4322435891280931E-5</v>
      </c>
      <c r="CA1303" s="16">
        <f t="shared" si="409"/>
        <v>-999</v>
      </c>
      <c r="CE1303" s="16" t="e">
        <f t="shared" si="403"/>
        <v>#N/A</v>
      </c>
      <c r="CF1303" s="16">
        <f t="shared" si="404"/>
        <v>99</v>
      </c>
      <c r="CG1303" s="16">
        <f t="shared" si="405"/>
        <v>0</v>
      </c>
      <c r="CH1303" s="16">
        <f t="shared" si="410"/>
        <v>0</v>
      </c>
      <c r="CJ1303" s="16" t="e">
        <f t="shared" si="406"/>
        <v>#N/A</v>
      </c>
      <c r="CK1303" s="16" t="str">
        <f t="shared" si="407"/>
        <v/>
      </c>
    </row>
    <row r="1304" spans="73:89" ht="12" customHeight="1">
      <c r="BU1304" s="16">
        <f t="shared" si="408"/>
        <v>0</v>
      </c>
      <c r="BV1304" s="16">
        <f>IF($BY$12=1,NORMDIST(BY1304,$Y$6,$Y$8,TRUE),IF($BY$12=2,IF(BY1304&lt;=$BX$31,0,IF(BY1304&gt;=$BX$32,1,(BY1304-$BX$31)*$BX$33)),SUM($BU$42:BU1304)/$BV$40))</f>
        <v>0.99993051660411858</v>
      </c>
      <c r="BW1304" s="16">
        <f t="shared" si="411"/>
        <v>1.7734067644119508E-3</v>
      </c>
      <c r="BY1304" s="16">
        <f t="shared" si="412"/>
        <v>126.1999999999971</v>
      </c>
      <c r="BZ1304" s="16">
        <f t="shared" si="402"/>
        <v>1.4052351540507064E-5</v>
      </c>
      <c r="CA1304" s="16">
        <f t="shared" si="409"/>
        <v>-999</v>
      </c>
      <c r="CE1304" s="16" t="e">
        <f t="shared" si="403"/>
        <v>#N/A</v>
      </c>
      <c r="CF1304" s="16">
        <f t="shared" si="404"/>
        <v>99</v>
      </c>
      <c r="CG1304" s="16">
        <f t="shared" si="405"/>
        <v>0</v>
      </c>
      <c r="CH1304" s="16">
        <f t="shared" si="410"/>
        <v>0</v>
      </c>
      <c r="CJ1304" s="16" t="e">
        <f t="shared" si="406"/>
        <v>#N/A</v>
      </c>
      <c r="CK1304" s="16" t="str">
        <f t="shared" si="407"/>
        <v/>
      </c>
    </row>
    <row r="1305" spans="73:89" ht="12" customHeight="1">
      <c r="BU1305" s="16">
        <f t="shared" si="408"/>
        <v>0</v>
      </c>
      <c r="BV1305" s="16">
        <f>IF($BY$12=1,NORMDIST(BY1305,$Y$6,$Y$8,TRUE),IF($BY$12=2,IF(BY1305&lt;=$BX$31,0,IF(BY1305&gt;=$BX$32,1,(BY1305-$BX$31)*$BX$33)),SUM($BU$42:BU1305)/$BV$40))</f>
        <v>0.99993190853322589</v>
      </c>
      <c r="BW1305" s="16">
        <f t="shared" si="411"/>
        <v>1.7413000711795545E-3</v>
      </c>
      <c r="BY1305" s="16">
        <f t="shared" si="412"/>
        <v>126.2999999999971</v>
      </c>
      <c r="BZ1305" s="16">
        <f t="shared" si="402"/>
        <v>1.3787015607122681E-5</v>
      </c>
      <c r="CA1305" s="16">
        <f t="shared" si="409"/>
        <v>-999</v>
      </c>
      <c r="CE1305" s="16" t="e">
        <f t="shared" si="403"/>
        <v>#N/A</v>
      </c>
      <c r="CF1305" s="16">
        <f t="shared" si="404"/>
        <v>99</v>
      </c>
      <c r="CG1305" s="16">
        <f t="shared" si="405"/>
        <v>0</v>
      </c>
      <c r="CH1305" s="16">
        <f t="shared" si="410"/>
        <v>0</v>
      </c>
      <c r="CJ1305" s="16" t="e">
        <f t="shared" si="406"/>
        <v>#N/A</v>
      </c>
      <c r="CK1305" s="16" t="str">
        <f t="shared" si="407"/>
        <v/>
      </c>
    </row>
    <row r="1306" spans="73:89" ht="12" customHeight="1">
      <c r="BU1306" s="16">
        <f t="shared" si="408"/>
        <v>0</v>
      </c>
      <c r="BV1306" s="16">
        <f>IF($BY$12=1,NORMDIST(BY1306,$Y$6,$Y$8,TRUE),IF($BY$12=2,IF(BY1306&lt;=$BX$31,0,IF(BY1306&gt;=$BX$32,1,(BY1306-$BX$31)*$BX$33)),SUM($BU$42:BU1306)/$BV$40))</f>
        <v>0.99993327416297118</v>
      </c>
      <c r="BW1306" s="16">
        <f t="shared" si="411"/>
        <v>1.7097308388377237E-3</v>
      </c>
      <c r="BY1306" s="16">
        <f t="shared" si="412"/>
        <v>126.39999999999709</v>
      </c>
      <c r="BZ1306" s="16">
        <f t="shared" si="402"/>
        <v>1.3526351573083568E-5</v>
      </c>
      <c r="CA1306" s="16">
        <f t="shared" si="409"/>
        <v>-999</v>
      </c>
      <c r="CE1306" s="16" t="e">
        <f t="shared" si="403"/>
        <v>#N/A</v>
      </c>
      <c r="CF1306" s="16">
        <f t="shared" si="404"/>
        <v>99</v>
      </c>
      <c r="CG1306" s="16">
        <f t="shared" si="405"/>
        <v>0</v>
      </c>
      <c r="CH1306" s="16">
        <f t="shared" si="410"/>
        <v>0</v>
      </c>
      <c r="CJ1306" s="16" t="e">
        <f t="shared" si="406"/>
        <v>#N/A</v>
      </c>
      <c r="CK1306" s="16" t="str">
        <f t="shared" si="407"/>
        <v/>
      </c>
    </row>
    <row r="1307" spans="73:89" ht="12" customHeight="1">
      <c r="BU1307" s="16">
        <f t="shared" si="408"/>
        <v>0</v>
      </c>
      <c r="BV1307" s="16">
        <f>IF($BY$12=1,NORMDIST(BY1307,$Y$6,$Y$8,TRUE),IF($BY$12=2,IF(BY1307&lt;=$BX$31,0,IF(BY1307&gt;=$BX$32,1,(BY1307-$BX$31)*$BX$33)),SUM($BU$42:BU1307)/$BV$40))</f>
        <v>0.99993461395675787</v>
      </c>
      <c r="BW1307" s="16">
        <f t="shared" si="411"/>
        <v>1.6786909284058414E-3</v>
      </c>
      <c r="BY1307" s="16">
        <f t="shared" si="412"/>
        <v>126.49999999999709</v>
      </c>
      <c r="BZ1307" s="16">
        <f t="shared" si="402"/>
        <v>1.3270284019018814E-5</v>
      </c>
      <c r="CA1307" s="16">
        <f t="shared" si="409"/>
        <v>-999</v>
      </c>
      <c r="CE1307" s="16" t="e">
        <f t="shared" si="403"/>
        <v>#N/A</v>
      </c>
      <c r="CF1307" s="16">
        <f t="shared" si="404"/>
        <v>99</v>
      </c>
      <c r="CG1307" s="16">
        <f t="shared" si="405"/>
        <v>0</v>
      </c>
      <c r="CH1307" s="16">
        <f t="shared" si="410"/>
        <v>0</v>
      </c>
      <c r="CJ1307" s="16" t="e">
        <f t="shared" si="406"/>
        <v>#N/A</v>
      </c>
      <c r="CK1307" s="16" t="str">
        <f t="shared" si="407"/>
        <v/>
      </c>
    </row>
    <row r="1308" spans="73:89" ht="12" customHeight="1">
      <c r="BU1308" s="16">
        <f t="shared" si="408"/>
        <v>0</v>
      </c>
      <c r="BV1308" s="16">
        <f>IF($BY$12=1,NORMDIST(BY1308,$Y$6,$Y$8,TRUE),IF($BY$12=2,IF(BY1308&lt;=$BX$31,0,IF(BY1308&gt;=$BX$32,1,(BY1308-$BX$31)*$BX$33)),SUM($BU$42:BU1308)/$BV$40))</f>
        <v>0.99993592837051271</v>
      </c>
      <c r="BW1308" s="16">
        <f t="shared" si="411"/>
        <v>1.648172308143625E-3</v>
      </c>
      <c r="BY1308" s="16">
        <f t="shared" si="412"/>
        <v>126.59999999999708</v>
      </c>
      <c r="BZ1308" s="16">
        <f t="shared" si="402"/>
        <v>1.3018738610929408E-5</v>
      </c>
      <c r="CA1308" s="16">
        <f t="shared" si="409"/>
        <v>-999</v>
      </c>
      <c r="CE1308" s="16" t="e">
        <f t="shared" si="403"/>
        <v>#N/A</v>
      </c>
      <c r="CF1308" s="16">
        <f t="shared" si="404"/>
        <v>99</v>
      </c>
      <c r="CG1308" s="16">
        <f t="shared" si="405"/>
        <v>0</v>
      </c>
      <c r="CH1308" s="16">
        <f t="shared" si="410"/>
        <v>0</v>
      </c>
      <c r="CJ1308" s="16" t="e">
        <f t="shared" si="406"/>
        <v>#N/A</v>
      </c>
      <c r="CK1308" s="16" t="str">
        <f t="shared" si="407"/>
        <v/>
      </c>
    </row>
    <row r="1309" spans="73:89" ht="12" customHeight="1">
      <c r="BU1309" s="16">
        <f t="shared" si="408"/>
        <v>0</v>
      </c>
      <c r="BV1309" s="16">
        <f>IF($BY$12=1,NORMDIST(BY1309,$Y$6,$Y$8,TRUE),IF($BY$12=2,IF(BY1309&lt;=$BX$31,0,IF(BY1309&gt;=$BX$32,1,(BY1309-$BX$31)*$BX$33)),SUM($BU$42:BU1309)/$BV$40))</f>
        <v>0.99993721785277168</v>
      </c>
      <c r="BW1309" s="16">
        <f t="shared" si="411"/>
        <v>1.6181670524233274E-3</v>
      </c>
      <c r="BY1309" s="16">
        <f t="shared" si="412"/>
        <v>126.69999999999708</v>
      </c>
      <c r="BZ1309" s="16">
        <f t="shared" si="402"/>
        <v>1.2771642087003668E-5</v>
      </c>
      <c r="CA1309" s="16">
        <f t="shared" si="409"/>
        <v>-999</v>
      </c>
      <c r="CE1309" s="16" t="e">
        <f t="shared" si="403"/>
        <v>#N/A</v>
      </c>
      <c r="CF1309" s="16">
        <f t="shared" si="404"/>
        <v>99</v>
      </c>
      <c r="CG1309" s="16">
        <f t="shared" si="405"/>
        <v>0</v>
      </c>
      <c r="CH1309" s="16">
        <f t="shared" si="410"/>
        <v>0</v>
      </c>
      <c r="CJ1309" s="16" t="e">
        <f t="shared" si="406"/>
        <v>#N/A</v>
      </c>
      <c r="CK1309" s="16" t="str">
        <f t="shared" si="407"/>
        <v/>
      </c>
    </row>
    <row r="1310" spans="73:89" ht="12" customHeight="1">
      <c r="BU1310" s="16">
        <f t="shared" si="408"/>
        <v>0</v>
      </c>
      <c r="BV1310" s="16">
        <f>IF($BY$12=1,NORMDIST(BY1310,$Y$6,$Y$8,TRUE),IF($BY$12=2,IF(BY1310&lt;=$BX$31,0,IF(BY1310&gt;=$BX$32,1,(BY1310-$BX$31)*$BX$33)),SUM($BU$42:BU1310)/$BV$40))</f>
        <v>0.99993848284481568</v>
      </c>
      <c r="BW1310" s="16">
        <f t="shared" si="411"/>
        <v>1.588667340608915E-3</v>
      </c>
      <c r="BY1310" s="16">
        <f t="shared" si="412"/>
        <v>126.79999999999707</v>
      </c>
      <c r="BZ1310" s="16">
        <f t="shared" si="402"/>
        <v>1.2528922244550092E-5</v>
      </c>
      <c r="CA1310" s="16">
        <f t="shared" si="409"/>
        <v>-999</v>
      </c>
      <c r="CE1310" s="16" t="e">
        <f t="shared" si="403"/>
        <v>#N/A</v>
      </c>
      <c r="CF1310" s="16">
        <f t="shared" si="404"/>
        <v>99</v>
      </c>
      <c r="CG1310" s="16">
        <f t="shared" si="405"/>
        <v>0</v>
      </c>
      <c r="CH1310" s="16">
        <f t="shared" si="410"/>
        <v>0</v>
      </c>
      <c r="CJ1310" s="16" t="e">
        <f t="shared" si="406"/>
        <v>#N/A</v>
      </c>
      <c r="CK1310" s="16" t="str">
        <f t="shared" si="407"/>
        <v/>
      </c>
    </row>
    <row r="1311" spans="73:89" ht="12" customHeight="1">
      <c r="BU1311" s="16">
        <f t="shared" si="408"/>
        <v>0</v>
      </c>
      <c r="BV1311" s="16">
        <f>IF($BY$12=1,NORMDIST(BY1311,$Y$6,$Y$8,TRUE),IF($BY$12=2,IF(BY1311&lt;=$BX$31,0,IF(BY1311&gt;=$BX$32,1,(BY1311-$BX$31)*$BX$33)),SUM($BU$42:BU1311)/$BV$40))</f>
        <v>0.99993972378073837</v>
      </c>
      <c r="BW1311" s="16">
        <f t="shared" si="411"/>
        <v>1.559665455942177E-3</v>
      </c>
      <c r="BY1311" s="16">
        <f t="shared" si="412"/>
        <v>126.89999999999706</v>
      </c>
      <c r="BZ1311" s="16">
        <f t="shared" si="402"/>
        <v>1.2290507927046596E-5</v>
      </c>
      <c r="CA1311" s="16">
        <f t="shared" si="409"/>
        <v>-999</v>
      </c>
      <c r="CE1311" s="16" t="e">
        <f t="shared" si="403"/>
        <v>#N/A</v>
      </c>
      <c r="CF1311" s="16">
        <f t="shared" si="404"/>
        <v>99</v>
      </c>
      <c r="CG1311" s="16">
        <f t="shared" si="405"/>
        <v>0</v>
      </c>
      <c r="CH1311" s="16">
        <f t="shared" si="410"/>
        <v>0</v>
      </c>
      <c r="CJ1311" s="16" t="e">
        <f t="shared" si="406"/>
        <v>#N/A</v>
      </c>
      <c r="CK1311" s="16" t="str">
        <f t="shared" si="407"/>
        <v/>
      </c>
    </row>
    <row r="1312" spans="73:89" ht="12" customHeight="1">
      <c r="BU1312" s="16">
        <f t="shared" si="408"/>
        <v>0</v>
      </c>
      <c r="BV1312" s="16">
        <f>IF($BY$12=1,NORMDIST(BY1312,$Y$6,$Y$8,TRUE),IF($BY$12=2,IF(BY1312&lt;=$BX$31,0,IF(BY1312&gt;=$BX$32,1,(BY1312-$BX$31)*$BX$33)),SUM($BU$42:BU1312)/$BV$40))</f>
        <v>0.99994094108758147</v>
      </c>
      <c r="BW1312" s="16">
        <f t="shared" si="411"/>
        <v>1.5311537844358892E-3</v>
      </c>
      <c r="BY1312" s="16">
        <f t="shared" si="412"/>
        <v>126.99999999999706</v>
      </c>
      <c r="BZ1312" s="16">
        <f t="shared" si="402"/>
        <v>1.2056329011306493E-5</v>
      </c>
      <c r="CA1312" s="16">
        <f t="shared" si="409"/>
        <v>-999</v>
      </c>
      <c r="CE1312" s="16" t="e">
        <f t="shared" si="403"/>
        <v>#N/A</v>
      </c>
      <c r="CF1312" s="16">
        <f t="shared" si="404"/>
        <v>99</v>
      </c>
      <c r="CG1312" s="16">
        <f t="shared" si="405"/>
        <v>0</v>
      </c>
      <c r="CH1312" s="16">
        <f t="shared" si="410"/>
        <v>0</v>
      </c>
      <c r="CJ1312" s="16" t="e">
        <f t="shared" si="406"/>
        <v>#N/A</v>
      </c>
      <c r="CK1312" s="16" t="str">
        <f t="shared" si="407"/>
        <v/>
      </c>
    </row>
    <row r="1313" spans="73:89" ht="12" customHeight="1">
      <c r="BU1313" s="16">
        <f t="shared" si="408"/>
        <v>0</v>
      </c>
      <c r="BV1313" s="16">
        <f>IF($BY$12=1,NORMDIST(BY1313,$Y$6,$Y$8,TRUE),IF($BY$12=2,IF(BY1313&lt;=$BX$31,0,IF(BY1313&gt;=$BX$32,1,(BY1313-$BX$31)*$BX$33)),SUM($BU$42:BU1313)/$BV$40))</f>
        <v>0.99994213518541475</v>
      </c>
      <c r="BW1313" s="16">
        <f t="shared" si="411"/>
        <v>1.5031248137740043E-3</v>
      </c>
      <c r="BY1313" s="16">
        <f t="shared" si="412"/>
        <v>127.09999999999705</v>
      </c>
      <c r="BZ1313" s="16">
        <f t="shared" si="402"/>
        <v>1.182631639476034E-5</v>
      </c>
      <c r="CA1313" s="16">
        <f t="shared" si="409"/>
        <v>-999</v>
      </c>
      <c r="CE1313" s="16" t="e">
        <f t="shared" si="403"/>
        <v>#N/A</v>
      </c>
      <c r="CF1313" s="16">
        <f t="shared" si="404"/>
        <v>99</v>
      </c>
      <c r="CG1313" s="16">
        <f t="shared" si="405"/>
        <v>0</v>
      </c>
      <c r="CH1313" s="16">
        <f t="shared" si="410"/>
        <v>0</v>
      </c>
      <c r="CJ1313" s="16" t="e">
        <f t="shared" si="406"/>
        <v>#N/A</v>
      </c>
      <c r="CK1313" s="16" t="str">
        <f t="shared" si="407"/>
        <v/>
      </c>
    </row>
    <row r="1314" spans="73:89" ht="12" customHeight="1">
      <c r="BU1314" s="16">
        <f t="shared" si="408"/>
        <v>0</v>
      </c>
      <c r="BV1314" s="16">
        <f>IF($BY$12=1,NORMDIST(BY1314,$Y$6,$Y$8,TRUE),IF($BY$12=2,IF(BY1314&lt;=$BX$31,0,IF(BY1314&gt;=$BX$32,1,(BY1314-$BX$31)*$BX$33)),SUM($BU$42:BU1314)/$BV$40))</f>
        <v>0.9999433064874641</v>
      </c>
      <c r="BW1314" s="16">
        <f t="shared" si="411"/>
        <v>1.475571132218959E-3</v>
      </c>
      <c r="BY1314" s="16">
        <f t="shared" si="412"/>
        <v>127.19999999999705</v>
      </c>
      <c r="BZ1314" s="16">
        <f t="shared" si="402"/>
        <v>1.1600401982853721E-5</v>
      </c>
      <c r="CA1314" s="16">
        <f t="shared" si="409"/>
        <v>-999</v>
      </c>
      <c r="CE1314" s="16" t="e">
        <f t="shared" si="403"/>
        <v>#N/A</v>
      </c>
      <c r="CF1314" s="16">
        <f t="shared" si="404"/>
        <v>99</v>
      </c>
      <c r="CG1314" s="16">
        <f t="shared" si="405"/>
        <v>0</v>
      </c>
      <c r="CH1314" s="16">
        <f t="shared" si="410"/>
        <v>0</v>
      </c>
      <c r="CJ1314" s="16" t="e">
        <f t="shared" si="406"/>
        <v>#N/A</v>
      </c>
      <c r="CK1314" s="16" t="str">
        <f t="shared" si="407"/>
        <v/>
      </c>
    </row>
    <row r="1315" spans="73:89" ht="12" customHeight="1">
      <c r="BU1315" s="16">
        <f t="shared" si="408"/>
        <v>0</v>
      </c>
      <c r="BV1315" s="16">
        <f>IF($BY$12=1,NORMDIST(BY1315,$Y$6,$Y$8,TRUE),IF($BY$12=2,IF(BY1315&lt;=$BX$31,0,IF(BY1315&gt;=$BX$32,1,(BY1315-$BX$31)*$BX$33)),SUM($BU$42:BU1315)/$BV$40))</f>
        <v>0.99994445540018495</v>
      </c>
      <c r="BW1315" s="16">
        <f t="shared" si="411"/>
        <v>1.4484854275261282E-3</v>
      </c>
      <c r="BY1315" s="16">
        <f t="shared" si="412"/>
        <v>127.29999999999704</v>
      </c>
      <c r="BZ1315" s="16">
        <f t="shared" si="402"/>
        <v>1.1378518676560581E-5</v>
      </c>
      <c r="CA1315" s="16">
        <f t="shared" si="409"/>
        <v>-999</v>
      </c>
      <c r="CE1315" s="16" t="e">
        <f t="shared" si="403"/>
        <v>#N/A</v>
      </c>
      <c r="CF1315" s="16">
        <f t="shared" si="404"/>
        <v>99</v>
      </c>
      <c r="CG1315" s="16">
        <f t="shared" si="405"/>
        <v>0</v>
      </c>
      <c r="CH1315" s="16">
        <f t="shared" si="410"/>
        <v>0</v>
      </c>
      <c r="CJ1315" s="16" t="e">
        <f t="shared" si="406"/>
        <v>#N/A</v>
      </c>
      <c r="CK1315" s="16" t="str">
        <f t="shared" si="407"/>
        <v/>
      </c>
    </row>
    <row r="1316" spans="73:89" ht="12" customHeight="1">
      <c r="BU1316" s="16">
        <f t="shared" si="408"/>
        <v>0</v>
      </c>
      <c r="BV1316" s="16">
        <f>IF($BY$12=1,NORMDIST(BY1316,$Y$6,$Y$8,TRUE),IF($BY$12=2,IF(BY1316&lt;=$BX$31,0,IF(BY1316&gt;=$BX$32,1,(BY1316-$BX$31)*$BX$33)),SUM($BU$42:BU1316)/$BV$40))</f>
        <v>0.99994558232336272</v>
      </c>
      <c r="BW1316" s="16">
        <f t="shared" si="411"/>
        <v>1.4218604858654328E-3</v>
      </c>
      <c r="BY1316" s="16">
        <f t="shared" si="412"/>
        <v>127.39999999999704</v>
      </c>
      <c r="BZ1316" s="16">
        <f t="shared" si="402"/>
        <v>1.1160600360011506E-5</v>
      </c>
      <c r="CA1316" s="16">
        <f t="shared" si="409"/>
        <v>-999</v>
      </c>
      <c r="CE1316" s="16" t="e">
        <f t="shared" si="403"/>
        <v>#N/A</v>
      </c>
      <c r="CF1316" s="16">
        <f t="shared" si="404"/>
        <v>99</v>
      </c>
      <c r="CG1316" s="16">
        <f t="shared" si="405"/>
        <v>0</v>
      </c>
      <c r="CH1316" s="16">
        <f t="shared" si="410"/>
        <v>0</v>
      </c>
      <c r="CJ1316" s="16" t="e">
        <f t="shared" si="406"/>
        <v>#N/A</v>
      </c>
      <c r="CK1316" s="16" t="str">
        <f t="shared" si="407"/>
        <v/>
      </c>
    </row>
    <row r="1317" spans="73:89" ht="12" customHeight="1">
      <c r="BU1317" s="16">
        <f t="shared" si="408"/>
        <v>0</v>
      </c>
      <c r="BV1317" s="16">
        <f>IF($BY$12=1,NORMDIST(BY1317,$Y$6,$Y$8,TRUE),IF($BY$12=2,IF(BY1317&lt;=$BX$31,0,IF(BY1317&gt;=$BX$32,1,(BY1317-$BX$31)*$BX$33)),SUM($BU$42:BU1317)/$BV$40))</f>
        <v>0.99994668765024941</v>
      </c>
      <c r="BW1317" s="16">
        <f t="shared" si="411"/>
        <v>1.3956891907501729E-3</v>
      </c>
      <c r="BY1317" s="16">
        <f t="shared" si="412"/>
        <v>127.49999999999703</v>
      </c>
      <c r="BZ1317" s="16">
        <f t="shared" si="402"/>
        <v>1.0946581888236905E-5</v>
      </c>
      <c r="CA1317" s="16">
        <f t="shared" si="409"/>
        <v>-999</v>
      </c>
      <c r="CE1317" s="16" t="e">
        <f t="shared" si="403"/>
        <v>#N/A</v>
      </c>
      <c r="CF1317" s="16">
        <f t="shared" si="404"/>
        <v>99</v>
      </c>
      <c r="CG1317" s="16">
        <f t="shared" si="405"/>
        <v>0</v>
      </c>
      <c r="CH1317" s="16">
        <f t="shared" si="410"/>
        <v>0</v>
      </c>
      <c r="CJ1317" s="16" t="e">
        <f t="shared" si="406"/>
        <v>#N/A</v>
      </c>
      <c r="CK1317" s="16" t="str">
        <f t="shared" si="407"/>
        <v/>
      </c>
    </row>
    <row r="1318" spans="73:89" ht="12" customHeight="1">
      <c r="BU1318" s="16">
        <f t="shared" si="408"/>
        <v>0</v>
      </c>
      <c r="BV1318" s="16">
        <f>IF($BY$12=1,NORMDIST(BY1318,$Y$6,$Y$8,TRUE),IF($BY$12=2,IF(BY1318&lt;=$BX$31,0,IF(BY1318&gt;=$BX$32,1,(BY1318-$BX$31)*$BX$33)),SUM($BU$42:BU1318)/$BV$40))</f>
        <v>0.99994777176759508</v>
      </c>
      <c r="BW1318" s="16">
        <f t="shared" si="411"/>
        <v>1.3699645219731006E-3</v>
      </c>
      <c r="BY1318" s="16">
        <f t="shared" si="412"/>
        <v>127.59999999999702</v>
      </c>
      <c r="BZ1318" s="16">
        <f t="shared" si="402"/>
        <v>1.0736399075024549E-5</v>
      </c>
      <c r="CA1318" s="16">
        <f t="shared" si="409"/>
        <v>-999</v>
      </c>
      <c r="CE1318" s="16" t="e">
        <f t="shared" si="403"/>
        <v>#N/A</v>
      </c>
      <c r="CF1318" s="16">
        <f t="shared" si="404"/>
        <v>99</v>
      </c>
      <c r="CG1318" s="16">
        <f t="shared" si="405"/>
        <v>0</v>
      </c>
      <c r="CH1318" s="16">
        <f t="shared" si="410"/>
        <v>0</v>
      </c>
      <c r="CJ1318" s="16" t="e">
        <f t="shared" si="406"/>
        <v>#N/A</v>
      </c>
      <c r="CK1318" s="16" t="str">
        <f t="shared" si="407"/>
        <v/>
      </c>
    </row>
    <row r="1319" spans="73:89" ht="12" customHeight="1">
      <c r="BU1319" s="16">
        <f t="shared" si="408"/>
        <v>0</v>
      </c>
      <c r="BV1319" s="16">
        <f>IF($BY$12=1,NORMDIST(BY1319,$Y$6,$Y$8,TRUE),IF($BY$12=2,IF(BY1319&lt;=$BX$31,0,IF(BY1319&gt;=$BX$32,1,(BY1319-$BX$31)*$BX$33)),SUM($BU$42:BU1319)/$BV$40))</f>
        <v>0.99994883505581167</v>
      </c>
      <c r="BW1319" s="16">
        <f t="shared" si="411"/>
        <v>1.3446795545497615E-3</v>
      </c>
      <c r="BY1319" s="16">
        <f t="shared" si="412"/>
        <v>127.69999999999702</v>
      </c>
      <c r="BZ1319" s="16">
        <f t="shared" si="402"/>
        <v>1.0529988680891095E-5</v>
      </c>
      <c r="CA1319" s="16">
        <f t="shared" si="409"/>
        <v>-999</v>
      </c>
      <c r="CE1319" s="16" t="e">
        <f t="shared" si="403"/>
        <v>#N/A</v>
      </c>
      <c r="CF1319" s="16">
        <f t="shared" si="404"/>
        <v>99</v>
      </c>
      <c r="CG1319" s="16">
        <f t="shared" si="405"/>
        <v>0</v>
      </c>
      <c r="CH1319" s="16">
        <f t="shared" si="410"/>
        <v>0</v>
      </c>
      <c r="CJ1319" s="16" t="e">
        <f t="shared" si="406"/>
        <v>#N/A</v>
      </c>
      <c r="CK1319" s="16" t="str">
        <f t="shared" si="407"/>
        <v/>
      </c>
    </row>
    <row r="1320" spans="73:89" ht="12" customHeight="1">
      <c r="BU1320" s="16">
        <f t="shared" si="408"/>
        <v>0</v>
      </c>
      <c r="BV1320" s="16">
        <f>IF($BY$12=1,NORMDIST(BY1320,$Y$6,$Y$8,TRUE),IF($BY$12=2,IF(BY1320&lt;=$BX$31,0,IF(BY1320&gt;=$BX$32,1,(BY1320-$BX$31)*$BX$33)),SUM($BU$42:BU1320)/$BV$40))</f>
        <v>0.99994987788900491</v>
      </c>
      <c r="BW1320" s="16">
        <f t="shared" si="411"/>
        <v>1.3198274576691476E-3</v>
      </c>
      <c r="BY1320" s="16">
        <f t="shared" si="412"/>
        <v>127.79999999999701</v>
      </c>
      <c r="BZ1320" s="16">
        <f t="shared" si="402"/>
        <v>1.032728840116728E-5</v>
      </c>
      <c r="CA1320" s="16">
        <f t="shared" si="409"/>
        <v>-999</v>
      </c>
      <c r="CE1320" s="16" t="e">
        <f t="shared" si="403"/>
        <v>#N/A</v>
      </c>
      <c r="CF1320" s="16">
        <f t="shared" si="404"/>
        <v>99</v>
      </c>
      <c r="CG1320" s="16">
        <f t="shared" si="405"/>
        <v>0</v>
      </c>
      <c r="CH1320" s="16">
        <f t="shared" si="410"/>
        <v>0</v>
      </c>
      <c r="CJ1320" s="16" t="e">
        <f t="shared" si="406"/>
        <v>#N/A</v>
      </c>
      <c r="CK1320" s="16" t="str">
        <f t="shared" si="407"/>
        <v/>
      </c>
    </row>
    <row r="1321" spans="73:89" ht="12" customHeight="1">
      <c r="BU1321" s="16">
        <f t="shared" si="408"/>
        <v>0</v>
      </c>
      <c r="BV1321" s="16">
        <f>IF($BY$12=1,NORMDIST(BY1321,$Y$6,$Y$8,TRUE),IF($BY$12=2,IF(BY1321&lt;=$BX$31,0,IF(BY1321&gt;=$BX$32,1,(BY1321-$BX$31)*$BX$33)),SUM($BU$42:BU1321)/$BV$40))</f>
        <v>0.99995090063511394</v>
      </c>
      <c r="BW1321" s="16">
        <f t="shared" si="411"/>
        <v>1.295401493651663E-3</v>
      </c>
      <c r="BY1321" s="16">
        <f t="shared" si="412"/>
        <v>127.89999999999701</v>
      </c>
      <c r="BZ1321" s="16">
        <f t="shared" si="402"/>
        <v>1.0128236854196196E-5</v>
      </c>
      <c r="CA1321" s="16">
        <f t="shared" si="409"/>
        <v>-999</v>
      </c>
      <c r="CE1321" s="16" t="e">
        <f t="shared" si="403"/>
        <v>#N/A</v>
      </c>
      <c r="CF1321" s="16">
        <f t="shared" si="404"/>
        <v>99</v>
      </c>
      <c r="CG1321" s="16">
        <f t="shared" si="405"/>
        <v>0</v>
      </c>
      <c r="CH1321" s="16">
        <f t="shared" si="410"/>
        <v>0</v>
      </c>
      <c r="CJ1321" s="16" t="e">
        <f t="shared" si="406"/>
        <v>#N/A</v>
      </c>
      <c r="CK1321" s="16" t="str">
        <f t="shared" si="407"/>
        <v/>
      </c>
    </row>
    <row r="1322" spans="73:89" ht="12" customHeight="1">
      <c r="BU1322" s="16">
        <f t="shared" si="408"/>
        <v>0</v>
      </c>
      <c r="BV1322" s="16">
        <f>IF($BY$12=1,NORMDIST(BY1322,$Y$6,$Y$8,TRUE),IF($BY$12=2,IF(BY1322&lt;=$BX$31,0,IF(BY1322&gt;=$BX$32,1,(BY1322-$BX$31)*$BX$33)),SUM($BU$42:BU1322)/$BV$40))</f>
        <v>0.99995190365598363</v>
      </c>
      <c r="BW1322" s="16">
        <f t="shared" si="411"/>
        <v>1.2713950169144573E-3</v>
      </c>
      <c r="BY1322" s="16">
        <f t="shared" si="412"/>
        <v>127.999999999997</v>
      </c>
      <c r="BZ1322" s="16">
        <f t="shared" ref="BZ1322:BZ1385" si="413">IF($BZ$5,IF($BY$12=1,NORMDIST(BY1322,$Y$6,$Y$8,FALSE),IF($BY$12=2,IF(AND(BY1322&gt;=$BX$31,BY1322&lt;=$BX$32),$BX$33,0),IF(BY1322&lt;=$BX$13,0,NORMDIST(LN((BY1322-$BX$13)/$BX$12),0,$BW$8,FALSE)/((BY1322-$BX$13)/$BX$12)))),-999)</f>
        <v>9.9327735696444296E-6</v>
      </c>
      <c r="CA1322" s="16">
        <f t="shared" si="409"/>
        <v>-999</v>
      </c>
      <c r="CE1322" s="16" t="e">
        <f t="shared" ref="CE1322:CE1385" si="414">IF(AND($CB$7,$CD$2,$CD$1),26+$P$23/2-CC1322*$P$23,NA())</f>
        <v>#N/A</v>
      </c>
      <c r="CF1322" s="16">
        <f t="shared" ref="CF1322:CF1385" si="415">IF(ISNA(CJ1322),99,CJ1322)</f>
        <v>99</v>
      </c>
      <c r="CG1322" s="16">
        <f t="shared" ref="CG1322:CG1385" si="416">IF(ISNA(CJ1322),0,CJ1322)</f>
        <v>0</v>
      </c>
      <c r="CH1322" s="16">
        <f t="shared" si="410"/>
        <v>0</v>
      </c>
      <c r="CJ1322" s="16" t="e">
        <f t="shared" ref="CJ1322:CJ1385" si="417">IF(CH1322=1,CE1322,NA())</f>
        <v>#N/A</v>
      </c>
      <c r="CK1322" s="16" t="str">
        <f t="shared" ref="CK1322:CK1385" si="418">IF(CH1322=1,M1221,"")</f>
        <v/>
      </c>
    </row>
    <row r="1323" spans="73:89" ht="12" customHeight="1">
      <c r="BU1323" s="16">
        <f t="shared" ref="BU1323:BU1386" si="419">IF($BY$12&lt;3,0,IF(BY1323&lt;=$BX$13,0,NORMDIST(LN((BY1323-$BX$13)/$BX$12),0,$BW$8,FALSE)/((BY1323-$BX$13)/$BX$12)))</f>
        <v>0</v>
      </c>
      <c r="BV1323" s="16">
        <f>IF($BY$12=1,NORMDIST(BY1323,$Y$6,$Y$8,TRUE),IF($BY$12=2,IF(BY1323&lt;=$BX$31,0,IF(BY1323&gt;=$BX$32,1,(BY1323-$BX$31)*$BX$33)),SUM($BU$42:BU1323)/$BV$40))</f>
        <v>0.99995288730744658</v>
      </c>
      <c r="BW1323" s="16">
        <f t="shared" si="411"/>
        <v>1.2478014729441352E-3</v>
      </c>
      <c r="BY1323" s="16">
        <f t="shared" si="412"/>
        <v>128.09999999999701</v>
      </c>
      <c r="BZ1323" s="16">
        <f t="shared" si="413"/>
        <v>9.7408389769255604E-6</v>
      </c>
      <c r="CA1323" s="16">
        <f t="shared" ref="CA1323:CA1386" si="420">IF(AND($CD$1,$CD$3),26-$CD$40*NORMDIST(BY1323,$Y$6,$Y$8/SQRT($T$18),FALSE),-999)</f>
        <v>-999</v>
      </c>
      <c r="CE1323" s="16" t="e">
        <f t="shared" si="414"/>
        <v>#N/A</v>
      </c>
      <c r="CF1323" s="16">
        <f t="shared" si="415"/>
        <v>99</v>
      </c>
      <c r="CG1323" s="16">
        <f t="shared" si="416"/>
        <v>0</v>
      </c>
      <c r="CH1323" s="16">
        <f t="shared" si="410"/>
        <v>0</v>
      </c>
      <c r="CJ1323" s="16" t="e">
        <f t="shared" si="417"/>
        <v>#N/A</v>
      </c>
      <c r="CK1323" s="16" t="str">
        <f t="shared" si="418"/>
        <v/>
      </c>
    </row>
    <row r="1324" spans="73:89" ht="12" customHeight="1">
      <c r="BU1324" s="16">
        <f t="shared" si="419"/>
        <v>0</v>
      </c>
      <c r="BV1324" s="16">
        <f>IF($BY$12=1,NORMDIST(BY1324,$Y$6,$Y$8,TRUE),IF($BY$12=2,IF(BY1324&lt;=$BX$31,0,IF(BY1324&gt;=$BX$32,1,(BY1324-$BX$31)*$BX$33)),SUM($BU$42:BU1324)/$BV$40))</f>
        <v>0.99995385193944708</v>
      </c>
      <c r="BW1324" s="16">
        <f t="shared" si="411"/>
        <v>1.2246143972768607E-3</v>
      </c>
      <c r="BY1324" s="16">
        <f t="shared" si="412"/>
        <v>128.199999999997</v>
      </c>
      <c r="BZ1324" s="16">
        <f t="shared" si="413"/>
        <v>9.5523743937354855E-6</v>
      </c>
      <c r="CA1324" s="16">
        <f t="shared" si="420"/>
        <v>-999</v>
      </c>
      <c r="CE1324" s="16" t="e">
        <f t="shared" si="414"/>
        <v>#N/A</v>
      </c>
      <c r="CF1324" s="16">
        <f t="shared" si="415"/>
        <v>99</v>
      </c>
      <c r="CG1324" s="16">
        <f t="shared" si="416"/>
        <v>0</v>
      </c>
      <c r="CH1324" s="16">
        <f t="shared" si="410"/>
        <v>0</v>
      </c>
      <c r="CJ1324" s="16" t="e">
        <f t="shared" si="417"/>
        <v>#N/A</v>
      </c>
      <c r="CK1324" s="16" t="str">
        <f t="shared" si="418"/>
        <v/>
      </c>
    </row>
    <row r="1325" spans="73:89" ht="12" customHeight="1">
      <c r="BU1325" s="16">
        <f t="shared" si="419"/>
        <v>0</v>
      </c>
      <c r="BV1325" s="16">
        <f>IF($BY$12=1,NORMDIST(BY1325,$Y$6,$Y$8,TRUE),IF($BY$12=2,IF(BY1325&lt;=$BX$31,0,IF(BY1325&gt;=$BX$32,1,(BY1325-$BX$31)*$BX$33)),SUM($BU$42:BU1325)/$BV$40))</f>
        <v>0.99995479789606412</v>
      </c>
      <c r="BW1325" s="16">
        <f t="shared" si="411"/>
        <v>1.2018274144858683E-3</v>
      </c>
      <c r="BY1325" s="16">
        <f t="shared" si="412"/>
        <v>128.299999999997</v>
      </c>
      <c r="BZ1325" s="16">
        <f t="shared" si="413"/>
        <v>9.3673220146991144E-6</v>
      </c>
      <c r="CA1325" s="16">
        <f t="shared" si="420"/>
        <v>-999</v>
      </c>
      <c r="CE1325" s="16" t="e">
        <f t="shared" si="414"/>
        <v>#N/A</v>
      </c>
      <c r="CF1325" s="16">
        <f t="shared" si="415"/>
        <v>99</v>
      </c>
      <c r="CG1325" s="16">
        <f t="shared" si="416"/>
        <v>0</v>
      </c>
      <c r="CH1325" s="16">
        <f t="shared" si="410"/>
        <v>0</v>
      </c>
      <c r="CJ1325" s="16" t="e">
        <f t="shared" si="417"/>
        <v>#N/A</v>
      </c>
      <c r="CK1325" s="16" t="str">
        <f t="shared" si="418"/>
        <v/>
      </c>
    </row>
    <row r="1326" spans="73:89" ht="12" customHeight="1">
      <c r="BU1326" s="16">
        <f t="shared" si="419"/>
        <v>0</v>
      </c>
      <c r="BV1326" s="16">
        <f>IF($BY$12=1,NORMDIST(BY1326,$Y$6,$Y$8,TRUE),IF($BY$12=2,IF(BY1326&lt;=$BX$31,0,IF(BY1326&gt;=$BX$32,1,(BY1326-$BX$31)*$BX$33)),SUM($BU$42:BU1326)/$BV$40))</f>
        <v>0.99995572551568523</v>
      </c>
      <c r="BW1326" s="16">
        <f t="shared" si="411"/>
        <v>1.1794342371764413E-3</v>
      </c>
      <c r="BY1326" s="16">
        <f t="shared" si="412"/>
        <v>128.39999999999699</v>
      </c>
      <c r="BZ1326" s="16">
        <f t="shared" si="413"/>
        <v>9.1856249001282619E-6</v>
      </c>
      <c r="CA1326" s="16">
        <f t="shared" si="420"/>
        <v>-999</v>
      </c>
      <c r="CE1326" s="16" t="e">
        <f t="shared" si="414"/>
        <v>#N/A</v>
      </c>
      <c r="CF1326" s="16">
        <f t="shared" si="415"/>
        <v>99</v>
      </c>
      <c r="CG1326" s="16">
        <f t="shared" si="416"/>
        <v>0</v>
      </c>
      <c r="CH1326" s="16">
        <f t="shared" si="410"/>
        <v>0</v>
      </c>
      <c r="CJ1326" s="16" t="e">
        <f t="shared" si="417"/>
        <v>#N/A</v>
      </c>
      <c r="CK1326" s="16" t="str">
        <f t="shared" si="418"/>
        <v/>
      </c>
    </row>
    <row r="1327" spans="73:89" ht="12" customHeight="1">
      <c r="BU1327" s="16">
        <f t="shared" si="419"/>
        <v>0</v>
      </c>
      <c r="BV1327" s="16">
        <f>IF($BY$12=1,NORMDIST(BY1327,$Y$6,$Y$8,TRUE),IF($BY$12=2,IF(BY1327&lt;=$BX$31,0,IF(BY1327&gt;=$BX$32,1,(BY1327-$BX$31)*$BX$33)),SUM($BU$42:BU1327)/$BV$40))</f>
        <v>0.99995663513101507</v>
      </c>
      <c r="BW1327" s="16">
        <f t="shared" si="411"/>
        <v>1.1574286649883069E-3</v>
      </c>
      <c r="BY1327" s="16">
        <f t="shared" si="412"/>
        <v>128.49999999999699</v>
      </c>
      <c r="BZ1327" s="16">
        <f t="shared" si="413"/>
        <v>9.0072269648897589E-6</v>
      </c>
      <c r="CA1327" s="16">
        <f t="shared" si="420"/>
        <v>-999</v>
      </c>
      <c r="CE1327" s="16" t="e">
        <f t="shared" si="414"/>
        <v>#N/A</v>
      </c>
      <c r="CF1327" s="16">
        <f t="shared" si="415"/>
        <v>99</v>
      </c>
      <c r="CG1327" s="16">
        <f t="shared" si="416"/>
        <v>0</v>
      </c>
      <c r="CH1327" s="16">
        <f t="shared" si="410"/>
        <v>0</v>
      </c>
      <c r="CJ1327" s="16" t="e">
        <f t="shared" si="417"/>
        <v>#N/A</v>
      </c>
      <c r="CK1327" s="16" t="str">
        <f t="shared" si="418"/>
        <v/>
      </c>
    </row>
    <row r="1328" spans="73:89" ht="12" customHeight="1">
      <c r="BU1328" s="16">
        <f t="shared" si="419"/>
        <v>0</v>
      </c>
      <c r="BV1328" s="16">
        <f>IF($BY$12=1,NORMDIST(BY1328,$Y$6,$Y$8,TRUE),IF($BY$12=2,IF(BY1328&lt;=$BX$31,0,IF(BY1328&gt;=$BX$32,1,(BY1328-$BX$31)*$BX$33)),SUM($BU$42:BU1328)/$BV$40))</f>
        <v>0.99995752706921448</v>
      </c>
      <c r="BW1328" s="16">
        <f t="shared" si="411"/>
        <v>1.1358045836055283E-3</v>
      </c>
      <c r="BY1328" s="16">
        <f t="shared" si="412"/>
        <v>128.59999999999698</v>
      </c>
      <c r="BZ1328" s="16">
        <f t="shared" si="413"/>
        <v>8.832072967383786E-6</v>
      </c>
      <c r="CA1328" s="16">
        <f t="shared" si="420"/>
        <v>-999</v>
      </c>
      <c r="CE1328" s="16" t="e">
        <f t="shared" si="414"/>
        <v>#N/A</v>
      </c>
      <c r="CF1328" s="16">
        <f t="shared" si="415"/>
        <v>99</v>
      </c>
      <c r="CG1328" s="16">
        <f t="shared" si="416"/>
        <v>0</v>
      </c>
      <c r="CH1328" s="16">
        <f t="shared" si="410"/>
        <v>0</v>
      </c>
      <c r="CJ1328" s="16" t="e">
        <f t="shared" si="417"/>
        <v>#N/A</v>
      </c>
      <c r="CK1328" s="16" t="str">
        <f t="shared" si="418"/>
        <v/>
      </c>
    </row>
    <row r="1329" spans="73:89" ht="12" customHeight="1">
      <c r="BU1329" s="16">
        <f t="shared" si="419"/>
        <v>0</v>
      </c>
      <c r="BV1329" s="16">
        <f>IF($BY$12=1,NORMDIST(BY1329,$Y$6,$Y$8,TRUE),IF($BY$12=2,IF(BY1329&lt;=$BX$31,0,IF(BY1329&gt;=$BX$32,1,(BY1329-$BX$31)*$BX$33)),SUM($BU$42:BU1329)/$BV$40))</f>
        <v>0.99995840165192784</v>
      </c>
      <c r="BW1329" s="16">
        <f t="shared" si="411"/>
        <v>1.1145559637738593E-3</v>
      </c>
      <c r="BY1329" s="16">
        <f t="shared" si="412"/>
        <v>128.69999999999698</v>
      </c>
      <c r="BZ1329" s="16">
        <f t="shared" si="413"/>
        <v>8.660108498631588E-6</v>
      </c>
      <c r="CA1329" s="16">
        <f t="shared" si="420"/>
        <v>-999</v>
      </c>
      <c r="CE1329" s="16" t="e">
        <f t="shared" si="414"/>
        <v>#N/A</v>
      </c>
      <c r="CF1329" s="16">
        <f t="shared" si="415"/>
        <v>99</v>
      </c>
      <c r="CG1329" s="16">
        <f t="shared" si="416"/>
        <v>0</v>
      </c>
      <c r="CH1329" s="16">
        <f t="shared" si="410"/>
        <v>0</v>
      </c>
      <c r="CJ1329" s="16" t="e">
        <f t="shared" si="417"/>
        <v>#N/A</v>
      </c>
      <c r="CK1329" s="16" t="str">
        <f t="shared" si="418"/>
        <v/>
      </c>
    </row>
    <row r="1330" spans="73:89" ht="12" customHeight="1">
      <c r="BU1330" s="16">
        <f t="shared" si="419"/>
        <v>0</v>
      </c>
      <c r="BV1330" s="16">
        <f>IF($BY$12=1,NORMDIST(BY1330,$Y$6,$Y$8,TRUE),IF($BY$12=2,IF(BY1330&lt;=$BX$31,0,IF(BY1330&gt;=$BX$32,1,(BY1330-$BX$31)*$BX$33)),SUM($BU$42:BU1330)/$BV$40))</f>
        <v>0.99995925919544026</v>
      </c>
      <c r="BW1330" s="16">
        <f t="shared" si="411"/>
        <v>1.0936768603256005E-3</v>
      </c>
      <c r="BY1330" s="16">
        <f t="shared" si="412"/>
        <v>128.79999999999697</v>
      </c>
      <c r="BZ1330" s="16">
        <f t="shared" si="413"/>
        <v>8.4912799714722537E-6</v>
      </c>
      <c r="CA1330" s="16">
        <f t="shared" si="420"/>
        <v>-999</v>
      </c>
      <c r="CE1330" s="16" t="e">
        <f t="shared" si="414"/>
        <v>#N/A</v>
      </c>
      <c r="CF1330" s="16">
        <f t="shared" si="415"/>
        <v>99</v>
      </c>
      <c r="CG1330" s="16">
        <f t="shared" si="416"/>
        <v>0</v>
      </c>
      <c r="CH1330" s="16">
        <f t="shared" si="410"/>
        <v>0</v>
      </c>
      <c r="CJ1330" s="16" t="e">
        <f t="shared" si="417"/>
        <v>#N/A</v>
      </c>
      <c r="CK1330" s="16" t="str">
        <f t="shared" si="418"/>
        <v/>
      </c>
    </row>
    <row r="1331" spans="73:89" ht="12" customHeight="1">
      <c r="BU1331" s="16">
        <f t="shared" si="419"/>
        <v>0</v>
      </c>
      <c r="BV1331" s="16">
        <f>IF($BY$12=1,NORMDIST(BY1331,$Y$6,$Y$8,TRUE),IF($BY$12=2,IF(BY1331&lt;=$BX$31,0,IF(BY1331&gt;=$BX$32,1,(BY1331-$BX$31)*$BX$33)),SUM($BU$42:BU1331)/$BV$40))</f>
        <v>0.99996010001069413</v>
      </c>
      <c r="BW1331" s="16">
        <f t="shared" si="411"/>
        <v>1.0731614112119482E-3</v>
      </c>
      <c r="BY1331" s="16">
        <f t="shared" si="412"/>
        <v>128.89999999999696</v>
      </c>
      <c r="BZ1331" s="16">
        <f t="shared" si="413"/>
        <v>8.3255346098679096E-6</v>
      </c>
      <c r="CA1331" s="16">
        <f t="shared" si="420"/>
        <v>-999</v>
      </c>
      <c r="CE1331" s="16" t="e">
        <f t="shared" si="414"/>
        <v>#N/A</v>
      </c>
      <c r="CF1331" s="16">
        <f t="shared" si="415"/>
        <v>99</v>
      </c>
      <c r="CG1331" s="16">
        <f t="shared" si="416"/>
        <v>0</v>
      </c>
      <c r="CH1331" s="16">
        <f t="shared" si="410"/>
        <v>0</v>
      </c>
      <c r="CJ1331" s="16" t="e">
        <f t="shared" si="417"/>
        <v>#N/A</v>
      </c>
      <c r="CK1331" s="16" t="str">
        <f t="shared" si="418"/>
        <v/>
      </c>
    </row>
    <row r="1332" spans="73:89" ht="12" customHeight="1">
      <c r="BU1332" s="16">
        <f t="shared" si="419"/>
        <v>0</v>
      </c>
      <c r="BV1332" s="16">
        <f>IF($BY$12=1,NORMDIST(BY1332,$Y$6,$Y$8,TRUE),IF($BY$12=2,IF(BY1332&lt;=$BX$31,0,IF(BY1332&gt;=$BX$32,1,(BY1332-$BX$31)*$BX$33)),SUM($BU$42:BU1332)/$BV$40))</f>
        <v>0.99996092440340412</v>
      </c>
      <c r="BW1332" s="16">
        <f t="shared" si="411"/>
        <v>1.053003836542868E-3</v>
      </c>
      <c r="BY1332" s="16">
        <f t="shared" si="412"/>
        <v>128.99999999999696</v>
      </c>
      <c r="BZ1332" s="16">
        <f t="shared" si="413"/>
        <v>8.1628204383169994E-6</v>
      </c>
      <c r="CA1332" s="16">
        <f t="shared" si="420"/>
        <v>-999</v>
      </c>
      <c r="CE1332" s="16" t="e">
        <f t="shared" si="414"/>
        <v>#N/A</v>
      </c>
      <c r="CF1332" s="16">
        <f t="shared" si="415"/>
        <v>99</v>
      </c>
      <c r="CG1332" s="16">
        <f t="shared" si="416"/>
        <v>0</v>
      </c>
      <c r="CH1332" s="16">
        <f t="shared" si="410"/>
        <v>0</v>
      </c>
      <c r="CJ1332" s="16" t="e">
        <f t="shared" si="417"/>
        <v>#N/A</v>
      </c>
      <c r="CK1332" s="16" t="str">
        <f t="shared" si="418"/>
        <v/>
      </c>
    </row>
    <row r="1333" spans="73:89" ht="12" customHeight="1">
      <c r="BU1333" s="16">
        <f t="shared" si="419"/>
        <v>0</v>
      </c>
      <c r="BV1333" s="16">
        <f>IF($BY$12=1,NORMDIST(BY1333,$Y$6,$Y$8,TRUE),IF($BY$12=2,IF(BY1333&lt;=$BX$31,0,IF(BY1333&gt;=$BX$32,1,(BY1333-$BX$31)*$BX$33)),SUM($BU$42:BU1333)/$BV$40))</f>
        <v>0.99996173267411192</v>
      </c>
      <c r="BW1333" s="16">
        <f t="shared" si="411"/>
        <v>1.0331984376344731E-3</v>
      </c>
      <c r="BY1333" s="16">
        <f t="shared" si="412"/>
        <v>129.09999999999695</v>
      </c>
      <c r="BZ1333" s="16">
        <f t="shared" si="413"/>
        <v>8.0030862713748836E-6</v>
      </c>
      <c r="CA1333" s="16">
        <f t="shared" si="420"/>
        <v>-999</v>
      </c>
      <c r="CE1333" s="16" t="e">
        <f t="shared" si="414"/>
        <v>#N/A</v>
      </c>
      <c r="CF1333" s="16">
        <f t="shared" si="415"/>
        <v>99</v>
      </c>
      <c r="CG1333" s="16">
        <f t="shared" si="416"/>
        <v>0</v>
      </c>
      <c r="CH1333" s="16">
        <f t="shared" si="410"/>
        <v>0</v>
      </c>
      <c r="CJ1333" s="16" t="e">
        <f t="shared" si="417"/>
        <v>#N/A</v>
      </c>
      <c r="CK1333" s="16" t="str">
        <f t="shared" si="418"/>
        <v/>
      </c>
    </row>
    <row r="1334" spans="73:89" ht="12" customHeight="1">
      <c r="BU1334" s="16">
        <f t="shared" si="419"/>
        <v>0</v>
      </c>
      <c r="BV1334" s="16">
        <f>IF($BY$12=1,NORMDIST(BY1334,$Y$6,$Y$8,TRUE),IF($BY$12=2,IF(BY1334&lt;=$BX$31,0,IF(BY1334&gt;=$BX$32,1,(BY1334-$BX$31)*$BX$33)),SUM($BU$42:BU1334)/$BV$40))</f>
        <v>0.99996252511830619</v>
      </c>
      <c r="BW1334" s="16">
        <f t="shared" si="411"/>
        <v>1.0137395960639266E-3</v>
      </c>
      <c r="BY1334" s="16">
        <f t="shared" si="412"/>
        <v>129.19999999999695</v>
      </c>
      <c r="BZ1334" s="16">
        <f t="shared" si="413"/>
        <v>7.8462817032813504E-6</v>
      </c>
      <c r="CA1334" s="16">
        <f t="shared" si="420"/>
        <v>-999</v>
      </c>
      <c r="CE1334" s="16" t="e">
        <f t="shared" si="414"/>
        <v>#N/A</v>
      </c>
      <c r="CF1334" s="16">
        <f t="shared" si="415"/>
        <v>99</v>
      </c>
      <c r="CG1334" s="16">
        <f t="shared" si="416"/>
        <v>0</v>
      </c>
      <c r="CH1334" s="16">
        <f t="shared" si="410"/>
        <v>0</v>
      </c>
      <c r="CJ1334" s="16" t="e">
        <f t="shared" si="417"/>
        <v>#N/A</v>
      </c>
      <c r="CK1334" s="16" t="str">
        <f t="shared" si="418"/>
        <v/>
      </c>
    </row>
    <row r="1335" spans="73:89" ht="12" customHeight="1">
      <c r="BU1335" s="16">
        <f t="shared" si="419"/>
        <v>0</v>
      </c>
      <c r="BV1335" s="16">
        <f>IF($BY$12=1,NORMDIST(BY1335,$Y$6,$Y$8,TRUE),IF($BY$12=2,IF(BY1335&lt;=$BX$31,0,IF(BY1335&gt;=$BX$32,1,(BY1335-$BX$31)*$BX$33)),SUM($BU$42:BU1335)/$BV$40))</f>
        <v>0.99996330202645067</v>
      </c>
      <c r="BW1335" s="16">
        <f t="shared" si="411"/>
        <v>9.9462177273187784E-4</v>
      </c>
      <c r="BY1335" s="16">
        <f t="shared" si="412"/>
        <v>129.29999999999694</v>
      </c>
      <c r="BZ1335" s="16">
        <f t="shared" si="413"/>
        <v>7.6923570976945187E-6</v>
      </c>
      <c r="CA1335" s="16">
        <f t="shared" si="420"/>
        <v>-999</v>
      </c>
      <c r="CE1335" s="16" t="e">
        <f t="shared" si="414"/>
        <v>#N/A</v>
      </c>
      <c r="CF1335" s="16">
        <f t="shared" si="415"/>
        <v>99</v>
      </c>
      <c r="CG1335" s="16">
        <f t="shared" si="416"/>
        <v>0</v>
      </c>
      <c r="CH1335" s="16">
        <f t="shared" si="410"/>
        <v>0</v>
      </c>
      <c r="CJ1335" s="16" t="e">
        <f t="shared" si="417"/>
        <v>#N/A</v>
      </c>
      <c r="CK1335" s="16" t="str">
        <f t="shared" si="418"/>
        <v/>
      </c>
    </row>
    <row r="1336" spans="73:89" ht="12" customHeight="1">
      <c r="BU1336" s="16">
        <f t="shared" si="419"/>
        <v>0</v>
      </c>
      <c r="BV1336" s="16">
        <f>IF($BY$12=1,NORMDIST(BY1336,$Y$6,$Y$8,TRUE),IF($BY$12=2,IF(BY1336&lt;=$BX$31,0,IF(BY1336&gt;=$BX$32,1,(BY1336-$BX$31)*$BX$33)),SUM($BU$42:BU1336)/$BV$40))</f>
        <v>0.99996406368409274</v>
      </c>
      <c r="BW1336" s="16">
        <f t="shared" si="411"/>
        <v>9.7583950693242154E-4</v>
      </c>
      <c r="BY1336" s="16">
        <f t="shared" si="412"/>
        <v>129.39999999999694</v>
      </c>
      <c r="BZ1336" s="16">
        <f t="shared" si="413"/>
        <v>7.5412635775304845E-6</v>
      </c>
      <c r="CA1336" s="16">
        <f t="shared" si="420"/>
        <v>-999</v>
      </c>
      <c r="CE1336" s="16" t="e">
        <f t="shared" si="414"/>
        <v>#N/A</v>
      </c>
      <c r="CF1336" s="16">
        <f t="shared" si="415"/>
        <v>99</v>
      </c>
      <c r="CG1336" s="16">
        <f t="shared" si="416"/>
        <v>0</v>
      </c>
      <c r="CH1336" s="16">
        <f t="shared" si="410"/>
        <v>0</v>
      </c>
      <c r="CJ1336" s="16" t="e">
        <f t="shared" si="417"/>
        <v>#N/A</v>
      </c>
      <c r="CK1336" s="16" t="str">
        <f t="shared" si="418"/>
        <v/>
      </c>
    </row>
    <row r="1337" spans="73:89" ht="12" customHeight="1">
      <c r="BU1337" s="16">
        <f t="shared" si="419"/>
        <v>0</v>
      </c>
      <c r="BV1337" s="16">
        <f>IF($BY$12=1,NORMDIST(BY1337,$Y$6,$Y$8,TRUE),IF($BY$12=2,IF(BY1337&lt;=$BX$31,0,IF(BY1337&gt;=$BX$32,1,(BY1337-$BX$31)*$BX$33)),SUM($BU$42:BU1337)/$BV$40))</f>
        <v>0.99996481037193474</v>
      </c>
      <c r="BW1337" s="16">
        <f t="shared" si="411"/>
        <v>9.5738741543058802E-4</v>
      </c>
      <c r="BY1337" s="16">
        <f t="shared" si="412"/>
        <v>129.49999999999693</v>
      </c>
      <c r="BZ1337" s="16">
        <f t="shared" si="413"/>
        <v>7.3929530149081906E-6</v>
      </c>
      <c r="CA1337" s="16">
        <f t="shared" si="420"/>
        <v>-999</v>
      </c>
      <c r="CE1337" s="16" t="e">
        <f t="shared" si="414"/>
        <v>#N/A</v>
      </c>
      <c r="CF1337" s="16">
        <f t="shared" si="415"/>
        <v>99</v>
      </c>
      <c r="CG1337" s="16">
        <f t="shared" si="416"/>
        <v>0</v>
      </c>
      <c r="CH1337" s="16">
        <f t="shared" si="410"/>
        <v>0</v>
      </c>
      <c r="CJ1337" s="16" t="e">
        <f t="shared" si="417"/>
        <v>#N/A</v>
      </c>
      <c r="CK1337" s="16" t="str">
        <f t="shared" si="418"/>
        <v/>
      </c>
    </row>
    <row r="1338" spans="73:89" ht="12" customHeight="1">
      <c r="BU1338" s="16">
        <f t="shared" si="419"/>
        <v>0</v>
      </c>
      <c r="BV1338" s="16">
        <f>IF($BY$12=1,NORMDIST(BY1338,$Y$6,$Y$8,TRUE),IF($BY$12=2,IF(BY1338&lt;=$BX$31,0,IF(BY1338&gt;=$BX$32,1,(BY1338-$BX$31)*$BX$33)),SUM($BU$42:BU1338)/$BV$40))</f>
        <v>0.99996554236588342</v>
      </c>
      <c r="BW1338" s="16">
        <f t="shared" si="411"/>
        <v>9.3926019154736632E-4</v>
      </c>
      <c r="BY1338" s="16">
        <f t="shared" si="412"/>
        <v>129.59999999999692</v>
      </c>
      <c r="BZ1338" s="16">
        <f t="shared" si="413"/>
        <v>7.2473780211989859E-6</v>
      </c>
      <c r="CA1338" s="16">
        <f t="shared" si="420"/>
        <v>-999</v>
      </c>
      <c r="CE1338" s="16" t="e">
        <f t="shared" si="414"/>
        <v>#N/A</v>
      </c>
      <c r="CF1338" s="16">
        <f t="shared" si="415"/>
        <v>99</v>
      </c>
      <c r="CG1338" s="16">
        <f t="shared" si="416"/>
        <v>0</v>
      </c>
      <c r="CH1338" s="16">
        <f t="shared" si="410"/>
        <v>0</v>
      </c>
      <c r="CJ1338" s="16" t="e">
        <f t="shared" si="417"/>
        <v>#N/A</v>
      </c>
      <c r="CK1338" s="16" t="str">
        <f t="shared" si="418"/>
        <v/>
      </c>
    </row>
    <row r="1339" spans="73:89" ht="12" customHeight="1">
      <c r="BU1339" s="16">
        <f t="shared" si="419"/>
        <v>0</v>
      </c>
      <c r="BV1339" s="16">
        <f>IF($BY$12=1,NORMDIST(BY1339,$Y$6,$Y$8,TRUE),IF($BY$12=2,IF(BY1339&lt;=$BX$31,0,IF(BY1339&gt;=$BX$32,1,(BY1339-$BX$31)*$BX$33)),SUM($BU$42:BU1339)/$BV$40))</f>
        <v>0.99996625993716615</v>
      </c>
      <c r="BW1339" s="16">
        <f t="shared" si="411"/>
        <v>9.2145260425225176E-4</v>
      </c>
      <c r="BY1339" s="16">
        <f t="shared" si="412"/>
        <v>129.69999999999692</v>
      </c>
      <c r="BZ1339" s="16">
        <f t="shared" si="413"/>
        <v>7.1044919371802132E-6</v>
      </c>
      <c r="CA1339" s="16">
        <f t="shared" si="420"/>
        <v>-999</v>
      </c>
      <c r="CE1339" s="16" t="e">
        <f t="shared" si="414"/>
        <v>#N/A</v>
      </c>
      <c r="CF1339" s="16">
        <f t="shared" si="415"/>
        <v>99</v>
      </c>
      <c r="CG1339" s="16">
        <f t="shared" si="416"/>
        <v>0</v>
      </c>
      <c r="CH1339" s="16">
        <f t="shared" si="410"/>
        <v>0</v>
      </c>
      <c r="CJ1339" s="16" t="e">
        <f t="shared" si="417"/>
        <v>#N/A</v>
      </c>
      <c r="CK1339" s="16" t="str">
        <f t="shared" si="418"/>
        <v/>
      </c>
    </row>
    <row r="1340" spans="73:89" ht="12" customHeight="1">
      <c r="BU1340" s="16">
        <f t="shared" si="419"/>
        <v>0</v>
      </c>
      <c r="BV1340" s="16">
        <f>IF($BY$12=1,NORMDIST(BY1340,$Y$6,$Y$8,TRUE),IF($BY$12=2,IF(BY1340&lt;=$BX$31,0,IF(BY1340&gt;=$BX$32,1,(BY1340-$BX$31)*$BX$33)),SUM($BU$42:BU1340)/$BV$40))</f>
        <v>0.99996696335237112</v>
      </c>
      <c r="BW1340" s="16">
        <f t="shared" si="411"/>
        <v>9.0395949726331827E-4</v>
      </c>
      <c r="BY1340" s="16">
        <f t="shared" si="412"/>
        <v>129.79999999999691</v>
      </c>
      <c r="BZ1340" s="16">
        <f t="shared" si="413"/>
        <v>6.9642488232922941E-6</v>
      </c>
      <c r="CA1340" s="16">
        <f t="shared" si="420"/>
        <v>-999</v>
      </c>
      <c r="CE1340" s="16" t="e">
        <f t="shared" si="414"/>
        <v>#N/A</v>
      </c>
      <c r="CF1340" s="16">
        <f t="shared" si="415"/>
        <v>99</v>
      </c>
      <c r="CG1340" s="16">
        <f t="shared" si="416"/>
        <v>0</v>
      </c>
      <c r="CH1340" s="16">
        <f t="shared" si="410"/>
        <v>0</v>
      </c>
      <c r="CJ1340" s="16" t="e">
        <f t="shared" si="417"/>
        <v>#N/A</v>
      </c>
      <c r="CK1340" s="16" t="str">
        <f t="shared" si="418"/>
        <v/>
      </c>
    </row>
    <row r="1341" spans="73:89" ht="12" customHeight="1">
      <c r="BU1341" s="16">
        <f t="shared" si="419"/>
        <v>0</v>
      </c>
      <c r="BV1341" s="16">
        <f>IF($BY$12=1,NORMDIST(BY1341,$Y$6,$Y$8,TRUE),IF($BY$12=2,IF(BY1341&lt;=$BX$31,0,IF(BY1341&gt;=$BX$32,1,(BY1341-$BX$31)*$BX$33)),SUM($BU$42:BU1341)/$BV$40))</f>
        <v>0.99996765287352007</v>
      </c>
      <c r="BW1341" s="16">
        <f t="shared" si="411"/>
        <v>8.8677578815481379E-4</v>
      </c>
      <c r="BY1341" s="16">
        <f t="shared" si="412"/>
        <v>129.89999999999691</v>
      </c>
      <c r="BZ1341" s="16">
        <f t="shared" si="413"/>
        <v>6.826603449998729E-6</v>
      </c>
      <c r="CA1341" s="16">
        <f t="shared" si="420"/>
        <v>-999</v>
      </c>
      <c r="CE1341" s="16" t="e">
        <f t="shared" si="414"/>
        <v>#N/A</v>
      </c>
      <c r="CF1341" s="16">
        <f t="shared" si="415"/>
        <v>99</v>
      </c>
      <c r="CG1341" s="16">
        <f t="shared" si="416"/>
        <v>0</v>
      </c>
      <c r="CH1341" s="16">
        <f t="shared" si="410"/>
        <v>0</v>
      </c>
      <c r="CJ1341" s="16" t="e">
        <f t="shared" si="417"/>
        <v>#N/A</v>
      </c>
      <c r="CK1341" s="16" t="str">
        <f t="shared" si="418"/>
        <v/>
      </c>
    </row>
    <row r="1342" spans="73:89" ht="12" customHeight="1">
      <c r="BU1342" s="16">
        <f t="shared" si="419"/>
        <v>0</v>
      </c>
      <c r="BV1342" s="16">
        <f>IF($BY$12=1,NORMDIST(BY1342,$Y$6,$Y$8,TRUE),IF($BY$12=2,IF(BY1342&lt;=$BX$31,0,IF(BY1342&gt;=$BX$32,1,(BY1342-$BX$31)*$BX$33)),SUM($BU$42:BU1342)/$BV$40))</f>
        <v>0.99996832875816133</v>
      </c>
      <c r="BW1342" s="16">
        <f t="shared" si="411"/>
        <v>8.6989646747227323E-4</v>
      </c>
      <c r="BY1342" s="16">
        <f t="shared" si="412"/>
        <v>129.9999999999969</v>
      </c>
      <c r="BZ1342" s="16">
        <f t="shared" si="413"/>
        <v>6.6915112882484149E-6</v>
      </c>
      <c r="CA1342" s="16">
        <f t="shared" si="420"/>
        <v>-999</v>
      </c>
      <c r="CE1342" s="16" t="e">
        <f t="shared" si="414"/>
        <v>#N/A</v>
      </c>
      <c r="CF1342" s="16">
        <f t="shared" si="415"/>
        <v>99</v>
      </c>
      <c r="CG1342" s="16">
        <f t="shared" si="416"/>
        <v>0</v>
      </c>
      <c r="CH1342" s="16">
        <f t="shared" si="410"/>
        <v>0</v>
      </c>
      <c r="CJ1342" s="16" t="e">
        <f t="shared" si="417"/>
        <v>#N/A</v>
      </c>
      <c r="CK1342" s="16" t="str">
        <f t="shared" si="418"/>
        <v/>
      </c>
    </row>
    <row r="1343" spans="73:89" ht="12" customHeight="1">
      <c r="BU1343" s="16">
        <f t="shared" si="419"/>
        <v>0</v>
      </c>
      <c r="BV1343" s="16">
        <f>IF($BY$12=1,NORMDIST(BY1343,$Y$6,$Y$8,TRUE),IF($BY$12=2,IF(BY1343&lt;=$BX$31,0,IF(BY1343&gt;=$BX$32,1,(BY1343-$BX$31)*$BX$33)),SUM($BU$42:BU1343)/$BV$40))</f>
        <v>0.9999689912594294</v>
      </c>
      <c r="BW1343" s="16">
        <f t="shared" si="411"/>
        <v>8.5331659785513369E-4</v>
      </c>
      <c r="BY1343" s="16">
        <f t="shared" si="412"/>
        <v>130.0999999999969</v>
      </c>
      <c r="BZ1343" s="16">
        <f t="shared" si="413"/>
        <v>6.5589285000396162E-6</v>
      </c>
      <c r="CA1343" s="16">
        <f t="shared" si="420"/>
        <v>-999</v>
      </c>
      <c r="CE1343" s="16" t="e">
        <f t="shared" si="414"/>
        <v>#N/A</v>
      </c>
      <c r="CF1343" s="16">
        <f t="shared" si="415"/>
        <v>99</v>
      </c>
      <c r="CG1343" s="16">
        <f t="shared" si="416"/>
        <v>0</v>
      </c>
      <c r="CH1343" s="16">
        <f t="shared" si="410"/>
        <v>0</v>
      </c>
      <c r="CJ1343" s="16" t="e">
        <f t="shared" si="417"/>
        <v>#N/A</v>
      </c>
      <c r="CK1343" s="16" t="str">
        <f t="shared" si="418"/>
        <v/>
      </c>
    </row>
    <row r="1344" spans="73:89" ht="12" customHeight="1">
      <c r="BU1344" s="16">
        <f t="shared" si="419"/>
        <v>0</v>
      </c>
      <c r="BV1344" s="16">
        <f>IF($BY$12=1,NORMDIST(BY1344,$Y$6,$Y$8,TRUE),IF($BY$12=2,IF(BY1344&lt;=$BX$31,0,IF(BY1344&gt;=$BX$32,1,(BY1344-$BX$31)*$BX$33)),SUM($BU$42:BU1344)/$BV$40))</f>
        <v>0.99996964062607407</v>
      </c>
      <c r="BW1344" s="16">
        <f t="shared" si="411"/>
        <v>8.3703131316685336E-4</v>
      </c>
      <c r="BY1344" s="16">
        <f t="shared" si="412"/>
        <v>130.19999999999689</v>
      </c>
      <c r="BZ1344" s="16">
        <f t="shared" si="413"/>
        <v>6.4288119290850486E-6</v>
      </c>
      <c r="CA1344" s="16">
        <f t="shared" si="420"/>
        <v>-999</v>
      </c>
      <c r="CE1344" s="16" t="e">
        <f t="shared" si="414"/>
        <v>#N/A</v>
      </c>
      <c r="CF1344" s="16">
        <f t="shared" si="415"/>
        <v>99</v>
      </c>
      <c r="CG1344" s="16">
        <f t="shared" si="416"/>
        <v>0</v>
      </c>
      <c r="CH1344" s="16">
        <f t="shared" si="410"/>
        <v>0</v>
      </c>
      <c r="CJ1344" s="16" t="e">
        <f t="shared" si="417"/>
        <v>#N/A</v>
      </c>
      <c r="CK1344" s="16" t="str">
        <f t="shared" si="418"/>
        <v/>
      </c>
    </row>
    <row r="1345" spans="73:89" ht="12" customHeight="1">
      <c r="BU1345" s="16">
        <f t="shared" si="419"/>
        <v>0</v>
      </c>
      <c r="BV1345" s="16">
        <f>IF($BY$12=1,NORMDIST(BY1345,$Y$6,$Y$8,TRUE),IF($BY$12=2,IF(BY1345&lt;=$BX$31,0,IF(BY1345&gt;=$BX$32,1,(BY1345-$BX$31)*$BX$33)),SUM($BU$42:BU1345)/$BV$40))</f>
        <v>0.99997027710259789</v>
      </c>
      <c r="BW1345" s="16">
        <f t="shared" si="411"/>
        <v>8.210358176325242E-4</v>
      </c>
      <c r="BY1345" s="16">
        <f t="shared" si="412"/>
        <v>130.29999999999688</v>
      </c>
      <c r="BZ1345" s="16">
        <f t="shared" si="413"/>
        <v>6.301119091577466E-6</v>
      </c>
      <c r="CA1345" s="16">
        <f t="shared" si="420"/>
        <v>-999</v>
      </c>
      <c r="CE1345" s="16" t="e">
        <f t="shared" si="414"/>
        <v>#N/A</v>
      </c>
      <c r="CF1345" s="16">
        <f t="shared" si="415"/>
        <v>99</v>
      </c>
      <c r="CG1345" s="16">
        <f t="shared" si="416"/>
        <v>0</v>
      </c>
      <c r="CH1345" s="16">
        <f t="shared" si="410"/>
        <v>0</v>
      </c>
      <c r="CJ1345" s="16" t="e">
        <f t="shared" si="417"/>
        <v>#N/A</v>
      </c>
      <c r="CK1345" s="16" t="str">
        <f t="shared" si="418"/>
        <v/>
      </c>
    </row>
    <row r="1346" spans="73:89" ht="12" customHeight="1">
      <c r="BU1346" s="16">
        <f t="shared" si="419"/>
        <v>0</v>
      </c>
      <c r="BV1346" s="16">
        <f>IF($BY$12=1,NORMDIST(BY1346,$Y$6,$Y$8,TRUE),IF($BY$12=2,IF(BY1346&lt;=$BX$31,0,IF(BY1346&gt;=$BX$32,1,(BY1346-$BX$31)*$BX$33)),SUM($BU$42:BU1346)/$BV$40))</f>
        <v>0.99997090092928653</v>
      </c>
      <c r="BW1346" s="16">
        <f t="shared" si="411"/>
        <v>8.0532538498395874E-4</v>
      </c>
      <c r="BY1346" s="16">
        <f t="shared" si="412"/>
        <v>130.39999999999688</v>
      </c>
      <c r="BZ1346" s="16">
        <f t="shared" si="413"/>
        <v>6.175808167055046E-6</v>
      </c>
      <c r="CA1346" s="16">
        <f t="shared" si="420"/>
        <v>-999</v>
      </c>
      <c r="CE1346" s="16" t="e">
        <f t="shared" si="414"/>
        <v>#N/A</v>
      </c>
      <c r="CF1346" s="16">
        <f t="shared" si="415"/>
        <v>99</v>
      </c>
      <c r="CG1346" s="16">
        <f t="shared" si="416"/>
        <v>0</v>
      </c>
      <c r="CH1346" s="16">
        <f t="shared" si="410"/>
        <v>0</v>
      </c>
      <c r="CJ1346" s="16" t="e">
        <f t="shared" si="417"/>
        <v>#N/A</v>
      </c>
      <c r="CK1346" s="16" t="str">
        <f t="shared" si="418"/>
        <v/>
      </c>
    </row>
    <row r="1347" spans="73:89" ht="12" customHeight="1">
      <c r="BU1347" s="16">
        <f t="shared" si="419"/>
        <v>0</v>
      </c>
      <c r="BV1347" s="16">
        <f>IF($BY$12=1,NORMDIST(BY1347,$Y$6,$Y$8,TRUE),IF($BY$12=2,IF(BY1347&lt;=$BX$31,0,IF(BY1347&gt;=$BX$32,1,(BY1347-$BX$31)*$BX$33)),SUM($BU$42:BU1347)/$BV$40))</f>
        <v>0.999971512342263</v>
      </c>
      <c r="BW1347" s="16">
        <f t="shared" si="411"/>
        <v>7.8989535761224872E-4</v>
      </c>
      <c r="BY1347" s="16">
        <f t="shared" si="412"/>
        <v>130.49999999999687</v>
      </c>
      <c r="BZ1347" s="16">
        <f t="shared" si="413"/>
        <v>6.0528379893660355E-6</v>
      </c>
      <c r="CA1347" s="16">
        <f t="shared" si="420"/>
        <v>-999</v>
      </c>
      <c r="CE1347" s="16" t="e">
        <f t="shared" si="414"/>
        <v>#N/A</v>
      </c>
      <c r="CF1347" s="16">
        <f t="shared" si="415"/>
        <v>99</v>
      </c>
      <c r="CG1347" s="16">
        <f t="shared" si="416"/>
        <v>0</v>
      </c>
      <c r="CH1347" s="16">
        <f t="shared" ref="CH1347:CH1410" si="421">IF(CB1347="",0,1)</f>
        <v>0</v>
      </c>
      <c r="CJ1347" s="16" t="e">
        <f t="shared" si="417"/>
        <v>#N/A</v>
      </c>
      <c r="CK1347" s="16" t="str">
        <f t="shared" si="418"/>
        <v/>
      </c>
    </row>
    <row r="1348" spans="73:89" ht="12" customHeight="1">
      <c r="BU1348" s="16">
        <f t="shared" si="419"/>
        <v>0</v>
      </c>
      <c r="BV1348" s="16">
        <f>IF($BY$12=1,NORMDIST(BY1348,$Y$6,$Y$8,TRUE),IF($BY$12=2,IF(BY1348&lt;=$BX$31,0,IF(BY1348&gt;=$BX$32,1,(BY1348-$BX$31)*$BX$33)),SUM($BU$42:BU1348)/$BV$40))</f>
        <v>0.99997211157356347</v>
      </c>
      <c r="BW1348" s="16">
        <f t="shared" si="411"/>
        <v>7.7474114572778576E-4</v>
      </c>
      <c r="BY1348" s="16">
        <f t="shared" si="412"/>
        <v>130.59999999999687</v>
      </c>
      <c r="BZ1348" s="16">
        <f t="shared" si="413"/>
        <v>5.9321680377320395E-6</v>
      </c>
      <c r="CA1348" s="16">
        <f t="shared" si="420"/>
        <v>-999</v>
      </c>
      <c r="CE1348" s="16" t="e">
        <f t="shared" si="414"/>
        <v>#N/A</v>
      </c>
      <c r="CF1348" s="16">
        <f t="shared" si="415"/>
        <v>99</v>
      </c>
      <c r="CG1348" s="16">
        <f t="shared" si="416"/>
        <v>0</v>
      </c>
      <c r="CH1348" s="16">
        <f t="shared" si="421"/>
        <v>0</v>
      </c>
      <c r="CJ1348" s="16" t="e">
        <f t="shared" si="417"/>
        <v>#N/A</v>
      </c>
      <c r="CK1348" s="16" t="str">
        <f t="shared" si="418"/>
        <v/>
      </c>
    </row>
    <row r="1349" spans="73:89" ht="12" customHeight="1">
      <c r="BU1349" s="16">
        <f t="shared" si="419"/>
        <v>0</v>
      </c>
      <c r="BV1349" s="16">
        <f>IF($BY$12=1,NORMDIST(BY1349,$Y$6,$Y$8,TRUE),IF($BY$12=2,IF(BY1349&lt;=$BX$31,0,IF(BY1349&gt;=$BX$32,1,(BY1349-$BX$31)*$BX$33)),SUM($BU$42:BU1349)/$BV$40))</f>
        <v>0.99997269885120454</v>
      </c>
      <c r="BW1349" s="16">
        <f t="shared" si="411"/>
        <v>7.5985822652771713E-4</v>
      </c>
      <c r="BY1349" s="16">
        <f t="shared" si="412"/>
        <v>130.69999999999686</v>
      </c>
      <c r="BZ1349" s="16">
        <f t="shared" si="413"/>
        <v>5.8137584279092223E-6</v>
      </c>
      <c r="CA1349" s="16">
        <f t="shared" si="420"/>
        <v>-999</v>
      </c>
      <c r="CE1349" s="16" t="e">
        <f t="shared" si="414"/>
        <v>#N/A</v>
      </c>
      <c r="CF1349" s="16">
        <f t="shared" si="415"/>
        <v>99</v>
      </c>
      <c r="CG1349" s="16">
        <f t="shared" si="416"/>
        <v>0</v>
      </c>
      <c r="CH1349" s="16">
        <f t="shared" si="421"/>
        <v>0</v>
      </c>
      <c r="CJ1349" s="16" t="e">
        <f t="shared" si="417"/>
        <v>#N/A</v>
      </c>
      <c r="CK1349" s="16" t="str">
        <f t="shared" si="418"/>
        <v/>
      </c>
    </row>
    <row r="1350" spans="73:89" ht="12" customHeight="1">
      <c r="BU1350" s="16">
        <f t="shared" si="419"/>
        <v>0</v>
      </c>
      <c r="BV1350" s="16">
        <f>IF($BY$12=1,NORMDIST(BY1350,$Y$6,$Y$8,TRUE),IF($BY$12=2,IF(BY1350&lt;=$BX$31,0,IF(BY1350&gt;=$BX$32,1,(BY1350-$BX$31)*$BX$33)),SUM($BU$42:BU1350)/$BV$40))</f>
        <v>0.99997327439927131</v>
      </c>
      <c r="BW1350" s="16">
        <f t="shared" si="411"/>
        <v>7.4524214337083053E-4</v>
      </c>
      <c r="BY1350" s="16">
        <f t="shared" si="412"/>
        <v>130.79999999999686</v>
      </c>
      <c r="BZ1350" s="16">
        <f t="shared" si="413"/>
        <v>5.6975699034468532E-6</v>
      </c>
      <c r="CA1350" s="16">
        <f t="shared" si="420"/>
        <v>-999</v>
      </c>
      <c r="CE1350" s="16" t="e">
        <f t="shared" si="414"/>
        <v>#N/A</v>
      </c>
      <c r="CF1350" s="16">
        <f t="shared" si="415"/>
        <v>99</v>
      </c>
      <c r="CG1350" s="16">
        <f t="shared" si="416"/>
        <v>0</v>
      </c>
      <c r="CH1350" s="16">
        <f t="shared" si="421"/>
        <v>0</v>
      </c>
      <c r="CJ1350" s="16" t="e">
        <f t="shared" si="417"/>
        <v>#N/A</v>
      </c>
      <c r="CK1350" s="16" t="str">
        <f t="shared" si="418"/>
        <v/>
      </c>
    </row>
    <row r="1351" spans="73:89" ht="12" customHeight="1">
      <c r="BU1351" s="16">
        <f t="shared" si="419"/>
        <v>0</v>
      </c>
      <c r="BV1351" s="16">
        <f>IF($BY$12=1,NORMDIST(BY1351,$Y$6,$Y$8,TRUE),IF($BY$12=2,IF(BY1351&lt;=$BX$31,0,IF(BY1351&gt;=$BX$32,1,(BY1351-$BX$31)*$BX$33)),SUM($BU$42:BU1351)/$BV$40))</f>
        <v>0.99997383843794085</v>
      </c>
      <c r="BW1351" s="16">
        <f t="shared" si="411"/>
        <v>7.3088850495985058E-4</v>
      </c>
      <c r="BY1351" s="16">
        <f t="shared" si="412"/>
        <v>130.89999999999685</v>
      </c>
      <c r="BZ1351" s="16">
        <f t="shared" si="413"/>
        <v>5.5835638270425375E-6</v>
      </c>
      <c r="CA1351" s="16">
        <f t="shared" si="420"/>
        <v>-999</v>
      </c>
      <c r="CE1351" s="16" t="e">
        <f t="shared" si="414"/>
        <v>#N/A</v>
      </c>
      <c r="CF1351" s="16">
        <f t="shared" si="415"/>
        <v>99</v>
      </c>
      <c r="CG1351" s="16">
        <f t="shared" si="416"/>
        <v>0</v>
      </c>
      <c r="CH1351" s="16">
        <f t="shared" si="421"/>
        <v>0</v>
      </c>
      <c r="CJ1351" s="16" t="e">
        <f t="shared" si="417"/>
        <v>#N/A</v>
      </c>
      <c r="CK1351" s="16" t="str">
        <f t="shared" si="418"/>
        <v/>
      </c>
    </row>
    <row r="1352" spans="73:89" ht="12" customHeight="1">
      <c r="BU1352" s="16">
        <f t="shared" si="419"/>
        <v>0</v>
      </c>
      <c r="BV1352" s="16">
        <f>IF($BY$12=1,NORMDIST(BY1352,$Y$6,$Y$8,TRUE),IF($BY$12=2,IF(BY1352&lt;=$BX$31,0,IF(BY1352&gt;=$BX$32,1,(BY1352-$BX$31)*$BX$33)),SUM($BU$42:BU1352)/$BV$40))</f>
        <v>0.9999743911835236</v>
      </c>
      <c r="BW1352" s="16">
        <f t="shared" si="411"/>
        <v>7.1679298453113474E-4</v>
      </c>
      <c r="BY1352" s="16">
        <f t="shared" si="412"/>
        <v>130.99999999999685</v>
      </c>
      <c r="BZ1352" s="16">
        <f t="shared" si="413"/>
        <v>5.4717021719935264E-6</v>
      </c>
      <c r="CA1352" s="16">
        <f t="shared" si="420"/>
        <v>-999</v>
      </c>
      <c r="CE1352" s="16" t="e">
        <f t="shared" si="414"/>
        <v>#N/A</v>
      </c>
      <c r="CF1352" s="16">
        <f t="shared" si="415"/>
        <v>99</v>
      </c>
      <c r="CG1352" s="16">
        <f t="shared" si="416"/>
        <v>0</v>
      </c>
      <c r="CH1352" s="16">
        <f t="shared" si="421"/>
        <v>0</v>
      </c>
      <c r="CJ1352" s="16" t="e">
        <f t="shared" si="417"/>
        <v>#N/A</v>
      </c>
      <c r="CK1352" s="16" t="str">
        <f t="shared" si="418"/>
        <v/>
      </c>
    </row>
    <row r="1353" spans="73:89" ht="12" customHeight="1">
      <c r="BU1353" s="16">
        <f t="shared" si="419"/>
        <v>0</v>
      </c>
      <c r="BV1353" s="16">
        <f>IF($BY$12=1,NORMDIST(BY1353,$Y$6,$Y$8,TRUE),IF($BY$12=2,IF(BY1353&lt;=$BX$31,0,IF(BY1353&gt;=$BX$32,1,(BY1353-$BX$31)*$BX$33)),SUM($BU$42:BU1353)/$BV$40))</f>
        <v>0.99997493284860361</v>
      </c>
      <c r="BW1353" s="16">
        <f t="shared" si="411"/>
        <v>7.0295131905174103E-4</v>
      </c>
      <c r="BY1353" s="16">
        <f t="shared" si="412"/>
        <v>131.09999999999684</v>
      </c>
      <c r="BZ1353" s="16">
        <f t="shared" si="413"/>
        <v>5.3619475137433868E-6</v>
      </c>
      <c r="CA1353" s="16">
        <f t="shared" si="420"/>
        <v>-999</v>
      </c>
      <c r="CE1353" s="16" t="e">
        <f t="shared" si="414"/>
        <v>#N/A</v>
      </c>
      <c r="CF1353" s="16">
        <f t="shared" si="415"/>
        <v>99</v>
      </c>
      <c r="CG1353" s="16">
        <f t="shared" si="416"/>
        <v>0</v>
      </c>
      <c r="CH1353" s="16">
        <f t="shared" si="421"/>
        <v>0</v>
      </c>
      <c r="CJ1353" s="16" t="e">
        <f t="shared" si="417"/>
        <v>#N/A</v>
      </c>
      <c r="CK1353" s="16" t="str">
        <f t="shared" si="418"/>
        <v/>
      </c>
    </row>
    <row r="1354" spans="73:89" ht="12" customHeight="1">
      <c r="BU1354" s="16">
        <f t="shared" si="419"/>
        <v>0</v>
      </c>
      <c r="BV1354" s="16">
        <f>IF($BY$12=1,NORMDIST(BY1354,$Y$6,$Y$8,TRUE),IF($BY$12=2,IF(BY1354&lt;=$BX$31,0,IF(BY1354&gt;=$BX$32,1,(BY1354-$BX$31)*$BX$33)),SUM($BU$42:BU1354)/$BV$40))</f>
        <v>0.99997546364202827</v>
      </c>
      <c r="BW1354" s="16">
        <f t="shared" si="411"/>
        <v>6.893593084238525E-4</v>
      </c>
      <c r="BY1354" s="16">
        <f t="shared" si="412"/>
        <v>131.19999999999683</v>
      </c>
      <c r="BZ1354" s="16">
        <f t="shared" si="413"/>
        <v>5.2542630215233929E-6</v>
      </c>
      <c r="CA1354" s="16">
        <f t="shared" si="420"/>
        <v>-999</v>
      </c>
      <c r="CE1354" s="16" t="e">
        <f t="shared" si="414"/>
        <v>#N/A</v>
      </c>
      <c r="CF1354" s="16">
        <f t="shared" si="415"/>
        <v>99</v>
      </c>
      <c r="CG1354" s="16">
        <f t="shared" si="416"/>
        <v>0</v>
      </c>
      <c r="CH1354" s="16">
        <f t="shared" si="421"/>
        <v>0</v>
      </c>
      <c r="CJ1354" s="16" t="e">
        <f t="shared" si="417"/>
        <v>#N/A</v>
      </c>
      <c r="CK1354" s="16" t="str">
        <f t="shared" si="418"/>
        <v/>
      </c>
    </row>
    <row r="1355" spans="73:89" ht="12" customHeight="1">
      <c r="BU1355" s="16">
        <f t="shared" si="419"/>
        <v>0</v>
      </c>
      <c r="BV1355" s="16">
        <f>IF($BY$12=1,NORMDIST(BY1355,$Y$6,$Y$8,TRUE),IF($BY$12=2,IF(BY1355&lt;=$BX$31,0,IF(BY1355&gt;=$BX$32,1,(BY1355-$BX$31)*$BX$33)),SUM($BU$42:BU1355)/$BV$40))</f>
        <v>0.99997598376901098</v>
      </c>
      <c r="BW1355" s="16">
        <f t="shared" si="411"/>
        <v>6.7601281469654474E-4</v>
      </c>
      <c r="BY1355" s="16">
        <f t="shared" si="412"/>
        <v>131.29999999999683</v>
      </c>
      <c r="BZ1355" s="16">
        <f t="shared" si="413"/>
        <v>5.148612450088051E-6</v>
      </c>
      <c r="CA1355" s="16">
        <f t="shared" si="420"/>
        <v>-999</v>
      </c>
      <c r="CE1355" s="16" t="e">
        <f t="shared" si="414"/>
        <v>#N/A</v>
      </c>
      <c r="CF1355" s="16">
        <f t="shared" si="415"/>
        <v>99</v>
      </c>
      <c r="CG1355" s="16">
        <f t="shared" si="416"/>
        <v>0</v>
      </c>
      <c r="CH1355" s="16">
        <f t="shared" si="421"/>
        <v>0</v>
      </c>
      <c r="CJ1355" s="16" t="e">
        <f t="shared" si="417"/>
        <v>#N/A</v>
      </c>
      <c r="CK1355" s="16" t="str">
        <f t="shared" si="418"/>
        <v/>
      </c>
    </row>
    <row r="1356" spans="73:89" ht="12" customHeight="1">
      <c r="BU1356" s="16">
        <f t="shared" si="419"/>
        <v>0</v>
      </c>
      <c r="BV1356" s="16">
        <f>IF($BY$12=1,NORMDIST(BY1356,$Y$6,$Y$8,TRUE),IF($BY$12=2,IF(BY1356&lt;=$BX$31,0,IF(BY1356&gt;=$BX$32,1,(BY1356-$BX$31)*$BX$33)),SUM($BU$42:BU1356)/$BV$40))</f>
        <v>0.99997649343113715</v>
      </c>
      <c r="BW1356" s="16">
        <f t="shared" si="411"/>
        <v>6.6290776128486437E-4</v>
      </c>
      <c r="BY1356" s="16">
        <f t="shared" si="412"/>
        <v>131.39999999999682</v>
      </c>
      <c r="BZ1356" s="16">
        <f t="shared" si="413"/>
        <v>5.0449601315439911E-6</v>
      </c>
      <c r="CA1356" s="16">
        <f t="shared" si="420"/>
        <v>-999</v>
      </c>
      <c r="CE1356" s="16" t="e">
        <f t="shared" si="414"/>
        <v>#N/A</v>
      </c>
      <c r="CF1356" s="16">
        <f t="shared" si="415"/>
        <v>99</v>
      </c>
      <c r="CG1356" s="16">
        <f t="shared" si="416"/>
        <v>0</v>
      </c>
      <c r="CH1356" s="16">
        <f t="shared" si="421"/>
        <v>0</v>
      </c>
      <c r="CJ1356" s="16" t="e">
        <f t="shared" si="417"/>
        <v>#N/A</v>
      </c>
      <c r="CK1356" s="16" t="str">
        <f t="shared" si="418"/>
        <v/>
      </c>
    </row>
    <row r="1357" spans="73:89" ht="12" customHeight="1">
      <c r="BU1357" s="16">
        <f t="shared" si="419"/>
        <v>0</v>
      </c>
      <c r="BV1357" s="16">
        <f>IF($BY$12=1,NORMDIST(BY1357,$Y$6,$Y$8,TRUE),IF($BY$12=2,IF(BY1357&lt;=$BX$31,0,IF(BY1357&gt;=$BX$32,1,(BY1357-$BX$31)*$BX$33)),SUM($BU$42:BU1357)/$BV$40))</f>
        <v>0.99997699282646668</v>
      </c>
      <c r="BW1357" s="16">
        <f t="shared" si="411"/>
        <v>6.5004013219620792E-4</v>
      </c>
      <c r="BY1357" s="16">
        <f t="shared" si="412"/>
        <v>131.49999999999682</v>
      </c>
      <c r="BZ1357" s="16">
        <f t="shared" si="413"/>
        <v>4.9432709672716629E-6</v>
      </c>
      <c r="CA1357" s="16">
        <f t="shared" si="420"/>
        <v>-999</v>
      </c>
      <c r="CE1357" s="16" t="e">
        <f t="shared" si="414"/>
        <v>#N/A</v>
      </c>
      <c r="CF1357" s="16">
        <f t="shared" si="415"/>
        <v>99</v>
      </c>
      <c r="CG1357" s="16">
        <f t="shared" si="416"/>
        <v>0</v>
      </c>
      <c r="CH1357" s="16">
        <f t="shared" si="421"/>
        <v>0</v>
      </c>
      <c r="CJ1357" s="16" t="e">
        <f t="shared" si="417"/>
        <v>#N/A</v>
      </c>
      <c r="CK1357" s="16" t="str">
        <f t="shared" si="418"/>
        <v/>
      </c>
    </row>
    <row r="1358" spans="73:89" ht="12" customHeight="1">
      <c r="BU1358" s="16">
        <f t="shared" si="419"/>
        <v>0</v>
      </c>
      <c r="BV1358" s="16">
        <f>IF($BY$12=1,NORMDIST(BY1358,$Y$6,$Y$8,TRUE),IF($BY$12=2,IF(BY1358&lt;=$BX$31,0,IF(BY1358&gt;=$BX$32,1,(BY1358-$BX$31)*$BX$33)),SUM($BU$42:BU1358)/$BV$40))</f>
        <v>0.99997748214961435</v>
      </c>
      <c r="BW1358" s="16">
        <f t="shared" si="411"/>
        <v>6.3740597126397166E-4</v>
      </c>
      <c r="BY1358" s="16">
        <f t="shared" si="412"/>
        <v>131.59999999999681</v>
      </c>
      <c r="BZ1358" s="16">
        <f t="shared" si="413"/>
        <v>4.8435104199391114E-6</v>
      </c>
      <c r="CA1358" s="16">
        <f t="shared" si="420"/>
        <v>-999</v>
      </c>
      <c r="CE1358" s="16" t="e">
        <f t="shared" si="414"/>
        <v>#N/A</v>
      </c>
      <c r="CF1358" s="16">
        <f t="shared" si="415"/>
        <v>99</v>
      </c>
      <c r="CG1358" s="16">
        <f t="shared" si="416"/>
        <v>0</v>
      </c>
      <c r="CH1358" s="16">
        <f t="shared" si="421"/>
        <v>0</v>
      </c>
      <c r="CJ1358" s="16" t="e">
        <f t="shared" si="417"/>
        <v>#N/A</v>
      </c>
      <c r="CK1358" s="16" t="str">
        <f t="shared" si="418"/>
        <v/>
      </c>
    </row>
    <row r="1359" spans="73:89" ht="12" customHeight="1">
      <c r="BU1359" s="16">
        <f t="shared" si="419"/>
        <v>0</v>
      </c>
      <c r="BV1359" s="16">
        <f>IF($BY$12=1,NORMDIST(BY1359,$Y$6,$Y$8,TRUE),IF($BY$12=2,IF(BY1359&lt;=$BX$31,0,IF(BY1359&gt;=$BX$32,1,(BY1359-$BX$31)*$BX$33)),SUM($BU$42:BU1359)/$BV$40))</f>
        <v>0.99997796159170305</v>
      </c>
      <c r="BW1359" s="16">
        <f t="shared" si="411"/>
        <v>6.2500138138844711E-4</v>
      </c>
      <c r="BY1359" s="16">
        <f t="shared" si="412"/>
        <v>131.69999999999681</v>
      </c>
      <c r="BZ1359" s="16">
        <f t="shared" si="413"/>
        <v>4.7456445056071548E-6</v>
      </c>
      <c r="CA1359" s="16">
        <f t="shared" si="420"/>
        <v>-999</v>
      </c>
      <c r="CE1359" s="16" t="e">
        <f t="shared" si="414"/>
        <v>#N/A</v>
      </c>
      <c r="CF1359" s="16">
        <f t="shared" si="415"/>
        <v>99</v>
      </c>
      <c r="CG1359" s="16">
        <f t="shared" si="416"/>
        <v>0</v>
      </c>
      <c r="CH1359" s="16">
        <f t="shared" si="421"/>
        <v>0</v>
      </c>
      <c r="CJ1359" s="16" t="e">
        <f t="shared" si="417"/>
        <v>#N/A</v>
      </c>
      <c r="CK1359" s="16" t="str">
        <f t="shared" si="418"/>
        <v/>
      </c>
    </row>
    <row r="1360" spans="73:89" ht="12" customHeight="1">
      <c r="BU1360" s="16">
        <f t="shared" si="419"/>
        <v>0</v>
      </c>
      <c r="BV1360" s="16">
        <f>IF($BY$12=1,NORMDIST(BY1360,$Y$6,$Y$8,TRUE),IF($BY$12=2,IF(BY1360&lt;=$BX$31,0,IF(BY1360&gt;=$BX$32,1,(BY1360-$BX$31)*$BX$33)),SUM($BU$42:BU1360)/$BV$40))</f>
        <v>0.99997843134054987</v>
      </c>
      <c r="BW1360" s="16">
        <f t="shared" si="411"/>
        <v>6.1282252378494408E-4</v>
      </c>
      <c r="BY1360" s="16">
        <f t="shared" si="412"/>
        <v>131.7999999999968</v>
      </c>
      <c r="BZ1360" s="16">
        <f t="shared" si="413"/>
        <v>4.6496397859253337E-6</v>
      </c>
      <c r="CA1360" s="16">
        <f t="shared" si="420"/>
        <v>-999</v>
      </c>
      <c r="CE1360" s="16" t="e">
        <f t="shared" si="414"/>
        <v>#N/A</v>
      </c>
      <c r="CF1360" s="16">
        <f t="shared" si="415"/>
        <v>99</v>
      </c>
      <c r="CG1360" s="16">
        <f t="shared" si="416"/>
        <v>0</v>
      </c>
      <c r="CH1360" s="16">
        <f t="shared" si="421"/>
        <v>0</v>
      </c>
      <c r="CJ1360" s="16" t="e">
        <f t="shared" si="417"/>
        <v>#N/A</v>
      </c>
      <c r="CK1360" s="16" t="str">
        <f t="shared" si="418"/>
        <v/>
      </c>
    </row>
    <row r="1361" spans="73:89" ht="12" customHeight="1">
      <c r="BU1361" s="16">
        <f t="shared" si="419"/>
        <v>0</v>
      </c>
      <c r="BV1361" s="16">
        <f>IF($BY$12=1,NORMDIST(BY1361,$Y$6,$Y$8,TRUE),IF($BY$12=2,IF(BY1361&lt;=$BX$31,0,IF(BY1361&gt;=$BX$32,1,(BY1361-$BX$31)*$BX$33)),SUM($BU$42:BU1361)/$BV$40))</f>
        <v>0.99997889158060427</v>
      </c>
      <c r="BW1361" s="16">
        <f t="shared" si="411"/>
        <v>6.0086561723911509E-4</v>
      </c>
      <c r="BY1361" s="16">
        <f t="shared" si="412"/>
        <v>131.89999999999679</v>
      </c>
      <c r="BZ1361" s="16">
        <f t="shared" si="413"/>
        <v>4.5554633604179658E-6</v>
      </c>
      <c r="CA1361" s="16">
        <f t="shared" si="420"/>
        <v>-999</v>
      </c>
      <c r="CE1361" s="16" t="e">
        <f t="shared" si="414"/>
        <v>#N/A</v>
      </c>
      <c r="CF1361" s="16">
        <f t="shared" si="415"/>
        <v>99</v>
      </c>
      <c r="CG1361" s="16">
        <f t="shared" si="416"/>
        <v>0</v>
      </c>
      <c r="CH1361" s="16">
        <f t="shared" si="421"/>
        <v>0</v>
      </c>
      <c r="CJ1361" s="16" t="e">
        <f t="shared" si="417"/>
        <v>#N/A</v>
      </c>
      <c r="CK1361" s="16" t="str">
        <f t="shared" si="418"/>
        <v/>
      </c>
    </row>
    <row r="1362" spans="73:89" ht="12" customHeight="1">
      <c r="BU1362" s="16">
        <f t="shared" si="419"/>
        <v>0</v>
      </c>
      <c r="BV1362" s="16">
        <f>IF($BY$12=1,NORMDIST(BY1362,$Y$6,$Y$8,TRUE),IF($BY$12=2,IF(BY1362&lt;=$BX$31,0,IF(BY1362&gt;=$BX$32,1,(BY1362-$BX$31)*$BX$33)),SUM($BU$42:BU1362)/$BV$40))</f>
        <v>0.99997934249308251</v>
      </c>
      <c r="BW1362" s="16">
        <f t="shared" si="411"/>
        <v>5.8912693736945011E-4</v>
      </c>
      <c r="BY1362" s="16">
        <f t="shared" si="412"/>
        <v>131.99999999999679</v>
      </c>
      <c r="BZ1362" s="16">
        <f t="shared" si="413"/>
        <v>4.4630828588595792E-6</v>
      </c>
      <c r="CA1362" s="16">
        <f t="shared" si="420"/>
        <v>-999</v>
      </c>
      <c r="CE1362" s="16" t="e">
        <f t="shared" si="414"/>
        <v>#N/A</v>
      </c>
      <c r="CF1362" s="16">
        <f t="shared" si="415"/>
        <v>99</v>
      </c>
      <c r="CG1362" s="16">
        <f t="shared" si="416"/>
        <v>0</v>
      </c>
      <c r="CH1362" s="16">
        <f t="shared" si="421"/>
        <v>0</v>
      </c>
      <c r="CJ1362" s="16" t="e">
        <f t="shared" si="417"/>
        <v>#N/A</v>
      </c>
      <c r="CK1362" s="16" t="str">
        <f t="shared" si="418"/>
        <v/>
      </c>
    </row>
    <row r="1363" spans="73:89" ht="12" customHeight="1">
      <c r="BU1363" s="16">
        <f t="shared" si="419"/>
        <v>0</v>
      </c>
      <c r="BV1363" s="16">
        <f>IF($BY$12=1,NORMDIST(BY1363,$Y$6,$Y$8,TRUE),IF($BY$12=2,IF(BY1363&lt;=$BX$31,0,IF(BY1363&gt;=$BX$32,1,(BY1363-$BX$31)*$BX$33)),SUM($BU$42:BU1363)/$BV$40))</f>
        <v>0.99997978425597711</v>
      </c>
      <c r="BW1363" s="16">
        <f t="shared" ref="BW1363:BW1426" si="422">BY1363*BZ1363</f>
        <v>5.776028158969175E-4</v>
      </c>
      <c r="BY1363" s="16">
        <f t="shared" ref="BY1363:BY1426" si="423">BY1362+$BZ$1</f>
        <v>132.09999999999678</v>
      </c>
      <c r="BZ1363" s="16">
        <f t="shared" si="413"/>
        <v>4.3724664337390733E-6</v>
      </c>
      <c r="CA1363" s="16">
        <f t="shared" si="420"/>
        <v>-999</v>
      </c>
      <c r="CE1363" s="16" t="e">
        <f t="shared" si="414"/>
        <v>#N/A</v>
      </c>
      <c r="CF1363" s="16">
        <f t="shared" si="415"/>
        <v>99</v>
      </c>
      <c r="CG1363" s="16">
        <f t="shared" si="416"/>
        <v>0</v>
      </c>
      <c r="CH1363" s="16">
        <f t="shared" si="421"/>
        <v>0</v>
      </c>
      <c r="CJ1363" s="16" t="e">
        <f t="shared" si="417"/>
        <v>#N/A</v>
      </c>
      <c r="CK1363" s="16" t="str">
        <f t="shared" si="418"/>
        <v/>
      </c>
    </row>
    <row r="1364" spans="73:89" ht="12" customHeight="1">
      <c r="BU1364" s="16">
        <f t="shared" si="419"/>
        <v>0</v>
      </c>
      <c r="BV1364" s="16">
        <f>IF($BY$12=1,NORMDIST(BY1364,$Y$6,$Y$8,TRUE),IF($BY$12=2,IF(BY1364&lt;=$BX$31,0,IF(BY1364&gt;=$BX$32,1,(BY1364-$BX$31)*$BX$33)),SUM($BU$42:BU1364)/$BV$40))</f>
        <v>0.99998021704413254</v>
      </c>
      <c r="BW1364" s="16">
        <f t="shared" si="422"/>
        <v>5.6628963992172443E-4</v>
      </c>
      <c r="BY1364" s="16">
        <f t="shared" si="423"/>
        <v>132.19999999999678</v>
      </c>
      <c r="BZ1364" s="16">
        <f t="shared" si="413"/>
        <v>4.2835827528119379E-6</v>
      </c>
      <c r="CA1364" s="16">
        <f t="shared" si="420"/>
        <v>-999</v>
      </c>
      <c r="CE1364" s="16" t="e">
        <f t="shared" si="414"/>
        <v>#N/A</v>
      </c>
      <c r="CF1364" s="16">
        <f t="shared" si="415"/>
        <v>99</v>
      </c>
      <c r="CG1364" s="16">
        <f t="shared" si="416"/>
        <v>0</v>
      </c>
      <c r="CH1364" s="16">
        <f t="shared" si="421"/>
        <v>0</v>
      </c>
      <c r="CJ1364" s="16" t="e">
        <f t="shared" si="417"/>
        <v>#N/A</v>
      </c>
      <c r="CK1364" s="16" t="str">
        <f t="shared" si="418"/>
        <v/>
      </c>
    </row>
    <row r="1365" spans="73:89" ht="12" customHeight="1">
      <c r="BU1365" s="16">
        <f t="shared" si="419"/>
        <v>0</v>
      </c>
      <c r="BV1365" s="16">
        <f>IF($BY$12=1,NORMDIST(BY1365,$Y$6,$Y$8,TRUE),IF($BY$12=2,IF(BY1365&lt;=$BX$31,0,IF(BY1365&gt;=$BX$32,1,(BY1365-$BX$31)*$BX$33)),SUM($BU$42:BU1365)/$BV$40))</f>
        <v>0.99998064102926554</v>
      </c>
      <c r="BW1365" s="16">
        <f t="shared" si="422"/>
        <v>5.5518385120717083E-4</v>
      </c>
      <c r="BY1365" s="16">
        <f t="shared" si="423"/>
        <v>132.29999999999677</v>
      </c>
      <c r="BZ1365" s="16">
        <f t="shared" si="413"/>
        <v>4.1964009917398664E-6</v>
      </c>
      <c r="CA1365" s="16">
        <f t="shared" si="420"/>
        <v>-999</v>
      </c>
      <c r="CE1365" s="16" t="e">
        <f t="shared" si="414"/>
        <v>#N/A</v>
      </c>
      <c r="CF1365" s="16">
        <f t="shared" si="415"/>
        <v>99</v>
      </c>
      <c r="CG1365" s="16">
        <f t="shared" si="416"/>
        <v>0</v>
      </c>
      <c r="CH1365" s="16">
        <f t="shared" si="421"/>
        <v>0</v>
      </c>
      <c r="CJ1365" s="16" t="e">
        <f t="shared" si="417"/>
        <v>#N/A</v>
      </c>
      <c r="CK1365" s="16" t="str">
        <f t="shared" si="418"/>
        <v/>
      </c>
    </row>
    <row r="1366" spans="73:89" ht="12" customHeight="1">
      <c r="BU1366" s="16">
        <f t="shared" si="419"/>
        <v>0</v>
      </c>
      <c r="BV1366" s="16">
        <f>IF($BY$12=1,NORMDIST(BY1366,$Y$6,$Y$8,TRUE),IF($BY$12=2,IF(BY1366&lt;=$BX$31,0,IF(BY1366&gt;=$BX$32,1,(BY1366-$BX$31)*$BX$33)),SUM($BU$42:BU1366)/$BV$40))</f>
        <v>0.99998105638004642</v>
      </c>
      <c r="BW1366" s="16">
        <f t="shared" si="422"/>
        <v>5.442819454705626E-4</v>
      </c>
      <c r="BY1366" s="16">
        <f t="shared" si="423"/>
        <v>132.39999999999677</v>
      </c>
      <c r="BZ1366" s="16">
        <f t="shared" si="413"/>
        <v>4.1108908268170381E-6</v>
      </c>
      <c r="CA1366" s="16">
        <f t="shared" si="420"/>
        <v>-999</v>
      </c>
      <c r="CE1366" s="16" t="e">
        <f t="shared" si="414"/>
        <v>#N/A</v>
      </c>
      <c r="CF1366" s="16">
        <f t="shared" si="415"/>
        <v>99</v>
      </c>
      <c r="CG1366" s="16">
        <f t="shared" si="416"/>
        <v>0</v>
      </c>
      <c r="CH1366" s="16">
        <f t="shared" si="421"/>
        <v>0</v>
      </c>
      <c r="CJ1366" s="16" t="e">
        <f t="shared" si="417"/>
        <v>#N/A</v>
      </c>
      <c r="CK1366" s="16" t="str">
        <f t="shared" si="418"/>
        <v/>
      </c>
    </row>
    <row r="1367" spans="73:89" ht="12" customHeight="1">
      <c r="BU1367" s="16">
        <f t="shared" si="419"/>
        <v>0</v>
      </c>
      <c r="BV1367" s="16">
        <f>IF($BY$12=1,NORMDIST(BY1367,$Y$6,$Y$8,TRUE),IF($BY$12=2,IF(BY1367&lt;=$BX$31,0,IF(BY1367&gt;=$BX$32,1,(BY1367-$BX$31)*$BX$33)),SUM($BU$42:BU1367)/$BV$40))</f>
        <v>0.99998146326215198</v>
      </c>
      <c r="BW1367" s="16">
        <f t="shared" si="422"/>
        <v>5.335804716811545E-4</v>
      </c>
      <c r="BY1367" s="16">
        <f t="shared" si="423"/>
        <v>132.49999999999676</v>
      </c>
      <c r="BZ1367" s="16">
        <f t="shared" si="413"/>
        <v>4.0270224277823966E-6</v>
      </c>
      <c r="CA1367" s="16">
        <f t="shared" si="420"/>
        <v>-999</v>
      </c>
      <c r="CE1367" s="16" t="e">
        <f t="shared" si="414"/>
        <v>#N/A</v>
      </c>
      <c r="CF1367" s="16">
        <f t="shared" si="415"/>
        <v>99</v>
      </c>
      <c r="CG1367" s="16">
        <f t="shared" si="416"/>
        <v>0</v>
      </c>
      <c r="CH1367" s="16">
        <f t="shared" si="421"/>
        <v>0</v>
      </c>
      <c r="CJ1367" s="16" t="e">
        <f t="shared" si="417"/>
        <v>#N/A</v>
      </c>
      <c r="CK1367" s="16" t="str">
        <f t="shared" si="418"/>
        <v/>
      </c>
    </row>
    <row r="1368" spans="73:89" ht="12" customHeight="1">
      <c r="BU1368" s="16">
        <f t="shared" si="419"/>
        <v>0</v>
      </c>
      <c r="BV1368" s="16">
        <f>IF($BY$12=1,NORMDIST(BY1368,$Y$6,$Y$8,TRUE),IF($BY$12=2,IF(BY1368&lt;=$BX$31,0,IF(BY1368&gt;=$BX$32,1,(BY1368-$BX$31)*$BX$33)),SUM($BU$42:BU1368)/$BV$40))</f>
        <v>0.99998186183826698</v>
      </c>
      <c r="BW1368" s="16">
        <f t="shared" si="422"/>
        <v>5.2307603136510054E-4</v>
      </c>
      <c r="BY1368" s="16">
        <f t="shared" si="423"/>
        <v>132.59999999999675</v>
      </c>
      <c r="BZ1368" s="16">
        <f t="shared" si="413"/>
        <v>3.9447664507172954E-6</v>
      </c>
      <c r="CA1368" s="16">
        <f t="shared" si="420"/>
        <v>-999</v>
      </c>
      <c r="CE1368" s="16" t="e">
        <f t="shared" si="414"/>
        <v>#N/A</v>
      </c>
      <c r="CF1368" s="16">
        <f t="shared" si="415"/>
        <v>99</v>
      </c>
      <c r="CG1368" s="16">
        <f t="shared" si="416"/>
        <v>0</v>
      </c>
      <c r="CH1368" s="16">
        <f t="shared" si="421"/>
        <v>0</v>
      </c>
      <c r="CJ1368" s="16" t="e">
        <f t="shared" si="417"/>
        <v>#N/A</v>
      </c>
      <c r="CK1368" s="16" t="str">
        <f t="shared" si="418"/>
        <v/>
      </c>
    </row>
    <row r="1369" spans="73:89" ht="12" customHeight="1">
      <c r="BU1369" s="16">
        <f t="shared" si="419"/>
        <v>0</v>
      </c>
      <c r="BV1369" s="16">
        <f>IF($BY$12=1,NORMDIST(BY1369,$Y$6,$Y$8,TRUE),IF($BY$12=2,IF(BY1369&lt;=$BX$31,0,IF(BY1369&gt;=$BX$32,1,(BY1369-$BX$31)*$BX$33)),SUM($BU$42:BU1369)/$BV$40))</f>
        <v>0.99998225226822757</v>
      </c>
      <c r="BW1369" s="16">
        <f t="shared" si="422"/>
        <v>5.1276527791736803E-4</v>
      </c>
      <c r="BY1369" s="16">
        <f t="shared" si="423"/>
        <v>132.69999999999675</v>
      </c>
      <c r="BZ1369" s="16">
        <f t="shared" si="413"/>
        <v>3.8640940310277361E-6</v>
      </c>
      <c r="CA1369" s="16">
        <f t="shared" si="420"/>
        <v>-999</v>
      </c>
      <c r="CE1369" s="16" t="e">
        <f t="shared" si="414"/>
        <v>#N/A</v>
      </c>
      <c r="CF1369" s="16">
        <f t="shared" si="415"/>
        <v>99</v>
      </c>
      <c r="CG1369" s="16">
        <f t="shared" si="416"/>
        <v>0</v>
      </c>
      <c r="CH1369" s="16">
        <f t="shared" si="421"/>
        <v>0</v>
      </c>
      <c r="CJ1369" s="16" t="e">
        <f t="shared" si="417"/>
        <v>#N/A</v>
      </c>
      <c r="CK1369" s="16" t="str">
        <f t="shared" si="418"/>
        <v/>
      </c>
    </row>
    <row r="1370" spans="73:89" ht="12" customHeight="1">
      <c r="BU1370" s="16">
        <f t="shared" si="419"/>
        <v>0</v>
      </c>
      <c r="BV1370" s="16">
        <f>IF($BY$12=1,NORMDIST(BY1370,$Y$6,$Y$8,TRUE),IF($BY$12=2,IF(BY1370&lt;=$BX$31,0,IF(BY1370&gt;=$BX$32,1,(BY1370-$BX$31)*$BX$33)),SUM($BU$42:BU1370)/$BV$40))</f>
        <v>0.99998263470892135</v>
      </c>
      <c r="BW1370" s="16">
        <f t="shared" si="422"/>
        <v>5.0264491592059643E-4</v>
      </c>
      <c r="BY1370" s="16">
        <f t="shared" si="423"/>
        <v>132.79999999999674</v>
      </c>
      <c r="BZ1370" s="16">
        <f t="shared" si="413"/>
        <v>3.7849767765106078E-6</v>
      </c>
      <c r="CA1370" s="16">
        <f t="shared" si="420"/>
        <v>-999</v>
      </c>
      <c r="CE1370" s="16" t="e">
        <f t="shared" si="414"/>
        <v>#N/A</v>
      </c>
      <c r="CF1370" s="16">
        <f t="shared" si="415"/>
        <v>99</v>
      </c>
      <c r="CG1370" s="16">
        <f t="shared" si="416"/>
        <v>0</v>
      </c>
      <c r="CH1370" s="16">
        <f t="shared" si="421"/>
        <v>0</v>
      </c>
      <c r="CJ1370" s="16" t="e">
        <f t="shared" si="417"/>
        <v>#N/A</v>
      </c>
      <c r="CK1370" s="16" t="str">
        <f t="shared" si="418"/>
        <v/>
      </c>
    </row>
    <row r="1371" spans="73:89" ht="12" customHeight="1">
      <c r="BU1371" s="16">
        <f t="shared" si="419"/>
        <v>0</v>
      </c>
      <c r="BV1371" s="16">
        <f>IF($BY$12=1,NORMDIST(BY1371,$Y$6,$Y$8,TRUE),IF($BY$12=2,IF(BY1371&lt;=$BX$31,0,IF(BY1371&gt;=$BX$32,1,(BY1371-$BX$31)*$BX$33)),SUM($BU$42:BU1371)/$BV$40))</f>
        <v>0.99998300931448503</v>
      </c>
      <c r="BW1371" s="16">
        <f t="shared" si="422"/>
        <v>4.9271170047085759E-4</v>
      </c>
      <c r="BY1371" s="16">
        <f t="shared" si="423"/>
        <v>132.89999999999674</v>
      </c>
      <c r="BZ1371" s="16">
        <f t="shared" si="413"/>
        <v>3.707386760503158E-6</v>
      </c>
      <c r="CA1371" s="16">
        <f t="shared" si="420"/>
        <v>-999</v>
      </c>
      <c r="CE1371" s="16" t="e">
        <f t="shared" si="414"/>
        <v>#N/A</v>
      </c>
      <c r="CF1371" s="16">
        <f t="shared" si="415"/>
        <v>99</v>
      </c>
      <c r="CG1371" s="16">
        <f t="shared" si="416"/>
        <v>0</v>
      </c>
      <c r="CH1371" s="16">
        <f t="shared" si="421"/>
        <v>0</v>
      </c>
      <c r="CJ1371" s="16" t="e">
        <f t="shared" si="417"/>
        <v>#N/A</v>
      </c>
      <c r="CK1371" s="16" t="str">
        <f t="shared" si="418"/>
        <v/>
      </c>
    </row>
    <row r="1372" spans="73:89" ht="12" customHeight="1">
      <c r="BU1372" s="16">
        <f t="shared" si="419"/>
        <v>0</v>
      </c>
      <c r="BV1372" s="16">
        <f>IF($BY$12=1,NORMDIST(BY1372,$Y$6,$Y$8,TRUE),IF($BY$12=2,IF(BY1372&lt;=$BX$31,0,IF(BY1372&gt;=$BX$32,1,(BY1372-$BX$31)*$BX$33)),SUM($BU$42:BU1372)/$BV$40))</f>
        <v>0.9999833762362641</v>
      </c>
      <c r="BW1372" s="16">
        <f t="shared" si="422"/>
        <v>4.8296243651029474E-4</v>
      </c>
      <c r="BY1372" s="16">
        <f t="shared" si="423"/>
        <v>132.99999999999673</v>
      </c>
      <c r="BZ1372" s="16">
        <f t="shared" si="413"/>
        <v>3.6312965151150872E-6</v>
      </c>
      <c r="CA1372" s="16">
        <f t="shared" si="420"/>
        <v>-999</v>
      </c>
      <c r="CE1372" s="16" t="e">
        <f t="shared" si="414"/>
        <v>#N/A</v>
      </c>
      <c r="CF1372" s="16">
        <f t="shared" si="415"/>
        <v>99</v>
      </c>
      <c r="CG1372" s="16">
        <f t="shared" si="416"/>
        <v>0</v>
      </c>
      <c r="CH1372" s="16">
        <f t="shared" si="421"/>
        <v>0</v>
      </c>
      <c r="CJ1372" s="16" t="e">
        <f t="shared" si="417"/>
        <v>#N/A</v>
      </c>
      <c r="CK1372" s="16" t="str">
        <f t="shared" si="418"/>
        <v/>
      </c>
    </row>
    <row r="1373" spans="73:89" ht="12" customHeight="1">
      <c r="BU1373" s="16">
        <f t="shared" si="419"/>
        <v>0</v>
      </c>
      <c r="BV1373" s="16">
        <f>IF($BY$12=1,NORMDIST(BY1373,$Y$6,$Y$8,TRUE),IF($BY$12=2,IF(BY1373&lt;=$BX$31,0,IF(BY1373&gt;=$BX$32,1,(BY1373-$BX$31)*$BX$33)),SUM($BU$42:BU1373)/$BV$40))</f>
        <v>0.9999837356228839</v>
      </c>
      <c r="BW1373" s="16">
        <f t="shared" si="422"/>
        <v>4.7339397816659434E-4</v>
      </c>
      <c r="BY1373" s="16">
        <f t="shared" si="423"/>
        <v>133.09999999999673</v>
      </c>
      <c r="BZ1373" s="16">
        <f t="shared" si="413"/>
        <v>3.5566790245424944E-6</v>
      </c>
      <c r="CA1373" s="16">
        <f t="shared" si="420"/>
        <v>-999</v>
      </c>
      <c r="CE1373" s="16" t="e">
        <f t="shared" si="414"/>
        <v>#N/A</v>
      </c>
      <c r="CF1373" s="16">
        <f t="shared" si="415"/>
        <v>99</v>
      </c>
      <c r="CG1373" s="16">
        <f t="shared" si="416"/>
        <v>0</v>
      </c>
      <c r="CH1373" s="16">
        <f t="shared" si="421"/>
        <v>0</v>
      </c>
      <c r="CJ1373" s="16" t="e">
        <f t="shared" si="417"/>
        <v>#N/A</v>
      </c>
      <c r="CK1373" s="16" t="str">
        <f t="shared" si="418"/>
        <v/>
      </c>
    </row>
    <row r="1374" spans="73:89" ht="12" customHeight="1">
      <c r="BU1374" s="16">
        <f t="shared" si="419"/>
        <v>0</v>
      </c>
      <c r="BV1374" s="16">
        <f>IF($BY$12=1,NORMDIST(BY1374,$Y$6,$Y$8,TRUE),IF($BY$12=2,IF(BY1374&lt;=$BX$31,0,IF(BY1374&gt;=$BX$32,1,(BY1374-$BX$31)*$BX$33)),SUM($BU$42:BU1374)/$BV$40))</f>
        <v>0.99998408762027557</v>
      </c>
      <c r="BW1374" s="16">
        <f t="shared" si="422"/>
        <v>4.6400322809927324E-4</v>
      </c>
      <c r="BY1374" s="16">
        <f t="shared" si="423"/>
        <v>133.19999999999672</v>
      </c>
      <c r="BZ1374" s="16">
        <f t="shared" si="413"/>
        <v>3.4835077184630979E-6</v>
      </c>
      <c r="CA1374" s="16">
        <f t="shared" si="420"/>
        <v>-999</v>
      </c>
      <c r="CE1374" s="16" t="e">
        <f t="shared" si="414"/>
        <v>#N/A</v>
      </c>
      <c r="CF1374" s="16">
        <f t="shared" si="415"/>
        <v>99</v>
      </c>
      <c r="CG1374" s="16">
        <f t="shared" si="416"/>
        <v>0</v>
      </c>
      <c r="CH1374" s="16">
        <f t="shared" si="421"/>
        <v>0</v>
      </c>
      <c r="CJ1374" s="16" t="e">
        <f t="shared" si="417"/>
        <v>#N/A</v>
      </c>
      <c r="CK1374" s="16" t="str">
        <f t="shared" si="418"/>
        <v/>
      </c>
    </row>
    <row r="1375" spans="73:89" ht="12" customHeight="1">
      <c r="BU1375" s="16">
        <f t="shared" si="419"/>
        <v>0</v>
      </c>
      <c r="BV1375" s="16">
        <f>IF($BY$12=1,NORMDIST(BY1375,$Y$6,$Y$8,TRUE),IF($BY$12=2,IF(BY1375&lt;=$BX$31,0,IF(BY1375&gt;=$BX$32,1,(BY1375-$BX$31)*$BX$33)),SUM($BU$42:BU1375)/$BV$40))</f>
        <v>0.99998443237174939</v>
      </c>
      <c r="BW1375" s="16">
        <f t="shared" si="422"/>
        <v>4.5478713685272659E-4</v>
      </c>
      <c r="BY1375" s="16">
        <f t="shared" si="423"/>
        <v>133.29999999999671</v>
      </c>
      <c r="BZ1375" s="16">
        <f t="shared" si="413"/>
        <v>3.4117564655119116E-6</v>
      </c>
      <c r="CA1375" s="16">
        <f t="shared" si="420"/>
        <v>-999</v>
      </c>
      <c r="CE1375" s="16" t="e">
        <f t="shared" si="414"/>
        <v>#N/A</v>
      </c>
      <c r="CF1375" s="16">
        <f t="shared" si="415"/>
        <v>99</v>
      </c>
      <c r="CG1375" s="16">
        <f t="shared" si="416"/>
        <v>0</v>
      </c>
      <c r="CH1375" s="16">
        <f t="shared" si="421"/>
        <v>0</v>
      </c>
      <c r="CJ1375" s="16" t="e">
        <f t="shared" si="417"/>
        <v>#N/A</v>
      </c>
      <c r="CK1375" s="16" t="str">
        <f t="shared" si="418"/>
        <v/>
      </c>
    </row>
    <row r="1376" spans="73:89" ht="12" customHeight="1">
      <c r="BU1376" s="16">
        <f t="shared" si="419"/>
        <v>0</v>
      </c>
      <c r="BV1376" s="16">
        <f>IF($BY$12=1,NORMDIST(BY1376,$Y$6,$Y$8,TRUE),IF($BY$12=2,IF(BY1376&lt;=$BX$31,0,IF(BY1376&gt;=$BX$32,1,(BY1376-$BX$31)*$BX$33)),SUM($BU$42:BU1376)/$BV$40))</f>
        <v>0.99998477001804464</v>
      </c>
      <c r="BW1376" s="16">
        <f t="shared" si="422"/>
        <v>4.4574270221602101E-4</v>
      </c>
      <c r="BY1376" s="16">
        <f t="shared" si="423"/>
        <v>133.39999999999671</v>
      </c>
      <c r="BZ1376" s="16">
        <f t="shared" si="413"/>
        <v>3.3413995668368218E-6</v>
      </c>
      <c r="CA1376" s="16">
        <f t="shared" si="420"/>
        <v>-999</v>
      </c>
      <c r="CE1376" s="16" t="e">
        <f t="shared" si="414"/>
        <v>#N/A</v>
      </c>
      <c r="CF1376" s="16">
        <f t="shared" si="415"/>
        <v>99</v>
      </c>
      <c r="CG1376" s="16">
        <f t="shared" si="416"/>
        <v>0</v>
      </c>
      <c r="CH1376" s="16">
        <f t="shared" si="421"/>
        <v>0</v>
      </c>
      <c r="CJ1376" s="16" t="e">
        <f t="shared" si="417"/>
        <v>#N/A</v>
      </c>
      <c r="CK1376" s="16" t="str">
        <f t="shared" si="418"/>
        <v/>
      </c>
    </row>
    <row r="1377" spans="73:89" ht="12" customHeight="1">
      <c r="BU1377" s="16">
        <f t="shared" si="419"/>
        <v>0</v>
      </c>
      <c r="BV1377" s="16">
        <f>IF($BY$12=1,NORMDIST(BY1377,$Y$6,$Y$8,TRUE),IF($BY$12=2,IF(BY1377&lt;=$BX$31,0,IF(BY1377&gt;=$BX$32,1,(BY1377-$BX$31)*$BX$33)),SUM($BU$42:BU1377)/$BV$40))</f>
        <v>0.99998510069731461</v>
      </c>
      <c r="BW1377" s="16">
        <f t="shared" si="422"/>
        <v>4.3686696858938329E-4</v>
      </c>
      <c r="BY1377" s="16">
        <f t="shared" si="423"/>
        <v>133.4999999999967</v>
      </c>
      <c r="BZ1377" s="16">
        <f t="shared" si="413"/>
        <v>3.2724117497332891E-6</v>
      </c>
      <c r="CA1377" s="16">
        <f t="shared" si="420"/>
        <v>-999</v>
      </c>
      <c r="CE1377" s="16" t="e">
        <f t="shared" si="414"/>
        <v>#N/A</v>
      </c>
      <c r="CF1377" s="16">
        <f t="shared" si="415"/>
        <v>99</v>
      </c>
      <c r="CG1377" s="16">
        <f t="shared" si="416"/>
        <v>0</v>
      </c>
      <c r="CH1377" s="16">
        <f t="shared" si="421"/>
        <v>0</v>
      </c>
      <c r="CJ1377" s="16" t="e">
        <f t="shared" si="417"/>
        <v>#N/A</v>
      </c>
      <c r="CK1377" s="16" t="str">
        <f t="shared" si="418"/>
        <v/>
      </c>
    </row>
    <row r="1378" spans="73:89" ht="12" customHeight="1">
      <c r="BU1378" s="16">
        <f t="shared" si="419"/>
        <v>0</v>
      </c>
      <c r="BV1378" s="16">
        <f>IF($BY$12=1,NORMDIST(BY1378,$Y$6,$Y$8,TRUE),IF($BY$12=2,IF(BY1378&lt;=$BX$31,0,IF(BY1378&gt;=$BX$32,1,(BY1378-$BX$31)*$BX$33)),SUM($BU$42:BU1378)/$BV$40))</f>
        <v>0.99998542454521089</v>
      </c>
      <c r="BW1378" s="16">
        <f t="shared" si="422"/>
        <v>4.2815702635735312E-4</v>
      </c>
      <c r="BY1378" s="16">
        <f t="shared" si="423"/>
        <v>133.5999999999967</v>
      </c>
      <c r="BZ1378" s="16">
        <f t="shared" si="413"/>
        <v>3.2047681613575129E-6</v>
      </c>
      <c r="CA1378" s="16">
        <f t="shared" si="420"/>
        <v>-999</v>
      </c>
      <c r="CE1378" s="16" t="e">
        <f t="shared" si="414"/>
        <v>#N/A</v>
      </c>
      <c r="CF1378" s="16">
        <f t="shared" si="415"/>
        <v>99</v>
      </c>
      <c r="CG1378" s="16">
        <f t="shared" si="416"/>
        <v>0</v>
      </c>
      <c r="CH1378" s="16">
        <f t="shared" si="421"/>
        <v>0</v>
      </c>
      <c r="CJ1378" s="16" t="e">
        <f t="shared" si="417"/>
        <v>#N/A</v>
      </c>
      <c r="CK1378" s="16" t="str">
        <f t="shared" si="418"/>
        <v/>
      </c>
    </row>
    <row r="1379" spans="73:89" ht="12" customHeight="1">
      <c r="BU1379" s="16">
        <f t="shared" si="419"/>
        <v>0</v>
      </c>
      <c r="BV1379" s="16">
        <f>IF($BY$12=1,NORMDIST(BY1379,$Y$6,$Y$8,TRUE),IF($BY$12=2,IF(BY1379&lt;=$BX$31,0,IF(BY1379&gt;=$BX$32,1,(BY1379-$BX$31)*$BX$33)),SUM($BU$42:BU1379)/$BV$40))</f>
        <v>0.99998574169493226</v>
      </c>
      <c r="BW1379" s="16">
        <f t="shared" si="422"/>
        <v>4.1961001126856459E-4</v>
      </c>
      <c r="BY1379" s="16">
        <f t="shared" si="423"/>
        <v>133.69999999999669</v>
      </c>
      <c r="BZ1379" s="16">
        <f t="shared" si="413"/>
        <v>3.1384443625173894E-6</v>
      </c>
      <c r="CA1379" s="16">
        <f t="shared" si="420"/>
        <v>-999</v>
      </c>
      <c r="CE1379" s="16" t="e">
        <f t="shared" si="414"/>
        <v>#N/A</v>
      </c>
      <c r="CF1379" s="16">
        <f t="shared" si="415"/>
        <v>99</v>
      </c>
      <c r="CG1379" s="16">
        <f t="shared" si="416"/>
        <v>0</v>
      </c>
      <c r="CH1379" s="16">
        <f t="shared" si="421"/>
        <v>0</v>
      </c>
      <c r="CJ1379" s="16" t="e">
        <f t="shared" si="417"/>
        <v>#N/A</v>
      </c>
      <c r="CK1379" s="16" t="str">
        <f t="shared" si="418"/>
        <v/>
      </c>
    </row>
    <row r="1380" spans="73:89" ht="12" customHeight="1">
      <c r="BU1380" s="16">
        <f t="shared" si="419"/>
        <v>0</v>
      </c>
      <c r="BV1380" s="16">
        <f>IF($BY$12=1,NORMDIST(BY1380,$Y$6,$Y$8,TRUE),IF($BY$12=2,IF(BY1380&lt;=$BX$31,0,IF(BY1380&gt;=$BX$32,1,(BY1380-$BX$31)*$BX$33)),SUM($BU$42:BU1380)/$BV$40))</f>
        <v>0.99998605227726234</v>
      </c>
      <c r="BW1380" s="16">
        <f t="shared" si="422"/>
        <v>4.1122310382212213E-4</v>
      </c>
      <c r="BY1380" s="16">
        <f t="shared" si="423"/>
        <v>133.79999999999669</v>
      </c>
      <c r="BZ1380" s="16">
        <f t="shared" si="413"/>
        <v>3.0734163215406E-6</v>
      </c>
      <c r="CA1380" s="16">
        <f t="shared" si="420"/>
        <v>-999</v>
      </c>
      <c r="CE1380" s="16" t="e">
        <f t="shared" si="414"/>
        <v>#N/A</v>
      </c>
      <c r="CF1380" s="16">
        <f t="shared" si="415"/>
        <v>99</v>
      </c>
      <c r="CG1380" s="16">
        <f t="shared" si="416"/>
        <v>0</v>
      </c>
      <c r="CH1380" s="16">
        <f t="shared" si="421"/>
        <v>0</v>
      </c>
      <c r="CJ1380" s="16" t="e">
        <f t="shared" si="417"/>
        <v>#N/A</v>
      </c>
      <c r="CK1380" s="16" t="str">
        <f t="shared" si="418"/>
        <v/>
      </c>
    </row>
    <row r="1381" spans="73:89" ht="12" customHeight="1">
      <c r="BU1381" s="16">
        <f t="shared" si="419"/>
        <v>0</v>
      </c>
      <c r="BV1381" s="16">
        <f>IF($BY$12=1,NORMDIST(BY1381,$Y$6,$Y$8,TRUE),IF($BY$12=2,IF(BY1381&lt;=$BX$31,0,IF(BY1381&gt;=$BX$32,1,(BY1381-$BX$31)*$BX$33)),SUM($BU$42:BU1381)/$BV$40))</f>
        <v>0.99998635642059619</v>
      </c>
      <c r="BW1381" s="16">
        <f t="shared" si="422"/>
        <v>4.0299352866051915E-4</v>
      </c>
      <c r="BY1381" s="16">
        <f t="shared" si="423"/>
        <v>133.89999999999668</v>
      </c>
      <c r="BZ1381" s="16">
        <f t="shared" si="413"/>
        <v>3.0096604082190378E-6</v>
      </c>
      <c r="CA1381" s="16">
        <f t="shared" si="420"/>
        <v>-999</v>
      </c>
      <c r="CE1381" s="16" t="e">
        <f t="shared" si="414"/>
        <v>#N/A</v>
      </c>
      <c r="CF1381" s="16">
        <f t="shared" si="415"/>
        <v>99</v>
      </c>
      <c r="CG1381" s="16">
        <f t="shared" si="416"/>
        <v>0</v>
      </c>
      <c r="CH1381" s="16">
        <f t="shared" si="421"/>
        <v>0</v>
      </c>
      <c r="CJ1381" s="16" t="e">
        <f t="shared" si="417"/>
        <v>#N/A</v>
      </c>
      <c r="CK1381" s="16" t="str">
        <f t="shared" si="418"/>
        <v/>
      </c>
    </row>
    <row r="1382" spans="73:89" ht="12" customHeight="1">
      <c r="BU1382" s="16">
        <f t="shared" si="419"/>
        <v>0</v>
      </c>
      <c r="BV1382" s="16">
        <f>IF($BY$12=1,NORMDIST(BY1382,$Y$6,$Y$8,TRUE),IF($BY$12=2,IF(BY1382&lt;=$BX$31,0,IF(BY1382&gt;=$BX$32,1,(BY1382-$BX$31)*$BX$33)),SUM($BU$42:BU1382)/$BV$40))</f>
        <v>0.99998665425097388</v>
      </c>
      <c r="BW1382" s="16">
        <f t="shared" si="422"/>
        <v>3.9491855396908281E-4</v>
      </c>
      <c r="BY1382" s="16">
        <f t="shared" si="423"/>
        <v>133.99999999999667</v>
      </c>
      <c r="BZ1382" s="16">
        <f t="shared" si="413"/>
        <v>2.9471533878290495E-6</v>
      </c>
      <c r="CA1382" s="16">
        <f t="shared" si="420"/>
        <v>-999</v>
      </c>
      <c r="CE1382" s="16" t="e">
        <f t="shared" si="414"/>
        <v>#N/A</v>
      </c>
      <c r="CF1382" s="16">
        <f t="shared" si="415"/>
        <v>99</v>
      </c>
      <c r="CG1382" s="16">
        <f t="shared" si="416"/>
        <v>0</v>
      </c>
      <c r="CH1382" s="16">
        <f t="shared" si="421"/>
        <v>0</v>
      </c>
      <c r="CJ1382" s="16" t="e">
        <f t="shared" si="417"/>
        <v>#N/A</v>
      </c>
      <c r="CK1382" s="16" t="str">
        <f t="shared" si="418"/>
        <v/>
      </c>
    </row>
    <row r="1383" spans="73:89" ht="12" customHeight="1">
      <c r="BU1383" s="16">
        <f t="shared" si="419"/>
        <v>0</v>
      </c>
      <c r="BV1383" s="16">
        <f>IF($BY$12=1,NORMDIST(BY1383,$Y$6,$Y$8,TRUE),IF($BY$12=2,IF(BY1383&lt;=$BX$31,0,IF(BY1383&gt;=$BX$32,1,(BY1383-$BX$31)*$BX$33)),SUM($BU$42:BU1383)/$BV$40))</f>
        <v>0.99998694589213877</v>
      </c>
      <c r="BW1383" s="16">
        <f t="shared" si="422"/>
        <v>3.8699549088188994E-4</v>
      </c>
      <c r="BY1383" s="16">
        <f t="shared" si="423"/>
        <v>134.09999999999667</v>
      </c>
      <c r="BZ1383" s="16">
        <f t="shared" si="413"/>
        <v>2.8858724152266933E-6</v>
      </c>
      <c r="CA1383" s="16">
        <f t="shared" si="420"/>
        <v>-999</v>
      </c>
      <c r="CE1383" s="16" t="e">
        <f t="shared" si="414"/>
        <v>#N/A</v>
      </c>
      <c r="CF1383" s="16">
        <f t="shared" si="415"/>
        <v>99</v>
      </c>
      <c r="CG1383" s="16">
        <f t="shared" si="416"/>
        <v>0</v>
      </c>
      <c r="CH1383" s="16">
        <f t="shared" si="421"/>
        <v>0</v>
      </c>
      <c r="CJ1383" s="16" t="e">
        <f t="shared" si="417"/>
        <v>#N/A</v>
      </c>
      <c r="CK1383" s="16" t="str">
        <f t="shared" si="418"/>
        <v/>
      </c>
    </row>
    <row r="1384" spans="73:89" ht="12" customHeight="1">
      <c r="BU1384" s="16">
        <f t="shared" si="419"/>
        <v>0</v>
      </c>
      <c r="BV1384" s="16">
        <f>IF($BY$12=1,NORMDIST(BY1384,$Y$6,$Y$8,TRUE),IF($BY$12=2,IF(BY1384&lt;=$BX$31,0,IF(BY1384&gt;=$BX$32,1,(BY1384-$BX$31)*$BX$33)),SUM($BU$42:BU1384)/$BV$40))</f>
        <v>0.99998723146557822</v>
      </c>
      <c r="BW1384" s="16">
        <f t="shared" si="422"/>
        <v>3.7922169289411926E-4</v>
      </c>
      <c r="BY1384" s="16">
        <f t="shared" si="423"/>
        <v>134.19999999999666</v>
      </c>
      <c r="BZ1384" s="16">
        <f t="shared" si="413"/>
        <v>2.8257950290173525E-6</v>
      </c>
      <c r="CA1384" s="16">
        <f t="shared" si="420"/>
        <v>-999</v>
      </c>
      <c r="CE1384" s="16" t="e">
        <f t="shared" si="414"/>
        <v>#N/A</v>
      </c>
      <c r="CF1384" s="16">
        <f t="shared" si="415"/>
        <v>99</v>
      </c>
      <c r="CG1384" s="16">
        <f t="shared" si="416"/>
        <v>0</v>
      </c>
      <c r="CH1384" s="16">
        <f t="shared" si="421"/>
        <v>0</v>
      </c>
      <c r="CJ1384" s="16" t="e">
        <f t="shared" si="417"/>
        <v>#N/A</v>
      </c>
      <c r="CK1384" s="16" t="str">
        <f t="shared" si="418"/>
        <v/>
      </c>
    </row>
    <row r="1385" spans="73:89" ht="12" customHeight="1">
      <c r="BU1385" s="16">
        <f t="shared" si="419"/>
        <v>0</v>
      </c>
      <c r="BV1385" s="16">
        <f>IF($BY$12=1,NORMDIST(BY1385,$Y$6,$Y$8,TRUE),IF($BY$12=2,IF(BY1385&lt;=$BX$31,0,IF(BY1385&gt;=$BX$32,1,(BY1385-$BX$31)*$BX$33)),SUM($BU$42:BU1385)/$BV$40))</f>
        <v>0.99998751109052209</v>
      </c>
      <c r="BW1385" s="16">
        <f t="shared" si="422"/>
        <v>3.7159455528080717E-4</v>
      </c>
      <c r="BY1385" s="16">
        <f t="shared" si="423"/>
        <v>134.29999999999666</v>
      </c>
      <c r="BZ1385" s="16">
        <f t="shared" si="413"/>
        <v>2.7668991457990798E-6</v>
      </c>
      <c r="CA1385" s="16">
        <f t="shared" si="420"/>
        <v>-999</v>
      </c>
      <c r="CE1385" s="16" t="e">
        <f t="shared" si="414"/>
        <v>#N/A</v>
      </c>
      <c r="CF1385" s="16">
        <f t="shared" si="415"/>
        <v>99</v>
      </c>
      <c r="CG1385" s="16">
        <f t="shared" si="416"/>
        <v>0</v>
      </c>
      <c r="CH1385" s="16">
        <f t="shared" si="421"/>
        <v>0</v>
      </c>
      <c r="CJ1385" s="16" t="e">
        <f t="shared" si="417"/>
        <v>#N/A</v>
      </c>
      <c r="CK1385" s="16" t="str">
        <f t="shared" si="418"/>
        <v/>
      </c>
    </row>
    <row r="1386" spans="73:89" ht="12" customHeight="1">
      <c r="BU1386" s="16">
        <f t="shared" si="419"/>
        <v>0</v>
      </c>
      <c r="BV1386" s="16">
        <f>IF($BY$12=1,NORMDIST(BY1386,$Y$6,$Y$8,TRUE),IF($BY$12=2,IF(BY1386&lt;=$BX$31,0,IF(BY1386&gt;=$BX$32,1,(BY1386-$BX$31)*$BX$33)),SUM($BU$42:BU1386)/$BV$40))</f>
        <v>0.99998778488405926</v>
      </c>
      <c r="BW1386" s="16">
        <f t="shared" si="422"/>
        <v>3.641115145219574E-4</v>
      </c>
      <c r="BY1386" s="16">
        <f t="shared" si="423"/>
        <v>134.39999999999665</v>
      </c>
      <c r="BZ1386" s="16">
        <f t="shared" ref="BZ1386:BZ1449" si="424">IF($BZ$5,IF($BY$12=1,NORMDIST(BY1386,$Y$6,$Y$8,FALSE),IF($BY$12=2,IF(AND(BY1386&gt;=$BX$31,BY1386&lt;=$BX$32),$BX$33,0),IF(BY1386&lt;=$BX$13,0,NORMDIST(LN((BY1386-$BX$13)/$BX$12),0,$BW$8,FALSE)/((BY1386-$BX$13)/$BX$12)))),-999)</f>
        <v>2.7091630544789174E-6</v>
      </c>
      <c r="CA1386" s="16">
        <f t="shared" si="420"/>
        <v>-999</v>
      </c>
      <c r="CE1386" s="16" t="e">
        <f t="shared" ref="CE1386:CE1449" si="425">IF(AND($CB$7,$CD$2,$CD$1),26+$P$23/2-CC1386*$P$23,NA())</f>
        <v>#N/A</v>
      </c>
      <c r="CF1386" s="16">
        <f t="shared" ref="CF1386:CF1449" si="426">IF(ISNA(CJ1386),99,CJ1386)</f>
        <v>99</v>
      </c>
      <c r="CG1386" s="16">
        <f t="shared" ref="CG1386:CG1449" si="427">IF(ISNA(CJ1386),0,CJ1386)</f>
        <v>0</v>
      </c>
      <c r="CH1386" s="16">
        <f t="shared" si="421"/>
        <v>0</v>
      </c>
      <c r="CJ1386" s="16" t="e">
        <f t="shared" ref="CJ1386:CJ1449" si="428">IF(CH1386=1,CE1386,NA())</f>
        <v>#N/A</v>
      </c>
      <c r="CK1386" s="16" t="str">
        <f t="shared" ref="CK1386:CK1449" si="429">IF(CH1386=1,M1285,"")</f>
        <v/>
      </c>
    </row>
    <row r="1387" spans="73:89" ht="12" customHeight="1">
      <c r="BU1387" s="16">
        <f t="shared" ref="BU1387:BU1450" si="430">IF($BY$12&lt;3,0,IF(BY1387&lt;=$BX$13,0,NORMDIST(LN((BY1387-$BX$13)/$BX$12),0,$BW$8,FALSE)/((BY1387-$BX$13)/$BX$12)))</f>
        <v>0</v>
      </c>
      <c r="BV1387" s="16">
        <f>IF($BY$12=1,NORMDIST(BY1387,$Y$6,$Y$8,TRUE),IF($BY$12=2,IF(BY1387&lt;=$BX$31,0,IF(BY1387&gt;=$BX$32,1,(BY1387-$BX$31)*$BX$33)),SUM($BU$42:BU1387)/$BV$40))</f>
        <v>0.99998805296110438</v>
      </c>
      <c r="BW1387" s="16">
        <f t="shared" si="422"/>
        <v>3.5677004773397526E-4</v>
      </c>
      <c r="BY1387" s="16">
        <f t="shared" si="423"/>
        <v>134.49999999999665</v>
      </c>
      <c r="BZ1387" s="16">
        <f t="shared" si="424"/>
        <v>2.6525654106615924E-6</v>
      </c>
      <c r="CA1387" s="16">
        <f t="shared" ref="CA1387:CA1450" si="431">IF(AND($CD$1,$CD$3),26-$CD$40*NORMDIST(BY1387,$Y$6,$Y$8/SQRT($T$18),FALSE),-999)</f>
        <v>-999</v>
      </c>
      <c r="CE1387" s="16" t="e">
        <f t="shared" si="425"/>
        <v>#N/A</v>
      </c>
      <c r="CF1387" s="16">
        <f t="shared" si="426"/>
        <v>99</v>
      </c>
      <c r="CG1387" s="16">
        <f t="shared" si="427"/>
        <v>0</v>
      </c>
      <c r="CH1387" s="16">
        <f t="shared" si="421"/>
        <v>0</v>
      </c>
      <c r="CJ1387" s="16" t="e">
        <f t="shared" si="428"/>
        <v>#N/A</v>
      </c>
      <c r="CK1387" s="16" t="str">
        <f t="shared" si="429"/>
        <v/>
      </c>
    </row>
    <row r="1388" spans="73:89" ht="12" customHeight="1">
      <c r="BU1388" s="16">
        <f t="shared" si="430"/>
        <v>0</v>
      </c>
      <c r="BV1388" s="16">
        <f>IF($BY$12=1,NORMDIST(BY1388,$Y$6,$Y$8,TRUE),IF($BY$12=2,IF(BY1388&lt;=$BX$31,0,IF(BY1388&gt;=$BX$32,1,(BY1388-$BX$31)*$BX$33)),SUM($BU$42:BU1388)/$BV$40))</f>
        <v>0.99998831543440025</v>
      </c>
      <c r="BW1388" s="16">
        <f t="shared" si="422"/>
        <v>3.4956767210737557E-4</v>
      </c>
      <c r="BY1388" s="16">
        <f t="shared" si="423"/>
        <v>134.59999999999664</v>
      </c>
      <c r="BZ1388" s="16">
        <f t="shared" si="424"/>
        <v>2.5970852311098386E-6</v>
      </c>
      <c r="CA1388" s="16">
        <f t="shared" si="431"/>
        <v>-999</v>
      </c>
      <c r="CE1388" s="16" t="e">
        <f t="shared" si="425"/>
        <v>#N/A</v>
      </c>
      <c r="CF1388" s="16">
        <f t="shared" si="426"/>
        <v>99</v>
      </c>
      <c r="CG1388" s="16">
        <f t="shared" si="427"/>
        <v>0</v>
      </c>
      <c r="CH1388" s="16">
        <f t="shared" si="421"/>
        <v>0</v>
      </c>
      <c r="CJ1388" s="16" t="e">
        <f t="shared" si="428"/>
        <v>#N/A</v>
      </c>
      <c r="CK1388" s="16" t="str">
        <f t="shared" si="429"/>
        <v/>
      </c>
    </row>
    <row r="1389" spans="73:89" ht="12" customHeight="1">
      <c r="BU1389" s="16">
        <f t="shared" si="430"/>
        <v>0</v>
      </c>
      <c r="BV1389" s="16">
        <f>IF($BY$12=1,NORMDIST(BY1389,$Y$6,$Y$8,TRUE),IF($BY$12=2,IF(BY1389&lt;=$BX$31,0,IF(BY1389&gt;=$BX$32,1,(BY1389-$BX$31)*$BX$33)),SUM($BU$42:BU1389)/$BV$40))</f>
        <v>0.99998857241469641</v>
      </c>
      <c r="BW1389" s="16">
        <f t="shared" si="422"/>
        <v>3.4250194435073421E-4</v>
      </c>
      <c r="BY1389" s="16">
        <f t="shared" si="423"/>
        <v>134.69999999999663</v>
      </c>
      <c r="BZ1389" s="16">
        <f t="shared" si="424"/>
        <v>2.5427018882757443E-6</v>
      </c>
      <c r="CA1389" s="16">
        <f t="shared" si="431"/>
        <v>-999</v>
      </c>
      <c r="CE1389" s="16" t="e">
        <f t="shared" si="425"/>
        <v>#N/A</v>
      </c>
      <c r="CF1389" s="16">
        <f t="shared" si="426"/>
        <v>99</v>
      </c>
      <c r="CG1389" s="16">
        <f t="shared" si="427"/>
        <v>0</v>
      </c>
      <c r="CH1389" s="16">
        <f t="shared" si="421"/>
        <v>0</v>
      </c>
      <c r="CJ1389" s="16" t="e">
        <f t="shared" si="428"/>
        <v>#N/A</v>
      </c>
      <c r="CK1389" s="16" t="str">
        <f t="shared" si="429"/>
        <v/>
      </c>
    </row>
    <row r="1390" spans="73:89" ht="12" customHeight="1">
      <c r="BU1390" s="16">
        <f t="shared" si="430"/>
        <v>0</v>
      </c>
      <c r="BV1390" s="16">
        <f>IF($BY$12=1,NORMDIST(BY1390,$Y$6,$Y$8,TRUE),IF($BY$12=2,IF(BY1390&lt;=$BX$31,0,IF(BY1390&gt;=$BX$32,1,(BY1390-$BX$31)*$BX$33)),SUM($BU$42:BU1390)/$BV$40))</f>
        <v>0.9999888240106718</v>
      </c>
      <c r="BW1390" s="16">
        <f t="shared" si="422"/>
        <v>3.3557046014083325E-4</v>
      </c>
      <c r="BY1390" s="16">
        <f t="shared" si="423"/>
        <v>134.79999999999663</v>
      </c>
      <c r="BZ1390" s="16">
        <f t="shared" si="424"/>
        <v>2.489395104902386E-6</v>
      </c>
      <c r="CA1390" s="16">
        <f t="shared" si="431"/>
        <v>-999</v>
      </c>
      <c r="CE1390" s="16" t="e">
        <f t="shared" si="425"/>
        <v>#N/A</v>
      </c>
      <c r="CF1390" s="16">
        <f t="shared" si="426"/>
        <v>99</v>
      </c>
      <c r="CG1390" s="16">
        <f t="shared" si="427"/>
        <v>0</v>
      </c>
      <c r="CH1390" s="16">
        <f t="shared" si="421"/>
        <v>0</v>
      </c>
      <c r="CJ1390" s="16" t="e">
        <f t="shared" si="428"/>
        <v>#N/A</v>
      </c>
      <c r="CK1390" s="16" t="str">
        <f t="shared" si="429"/>
        <v/>
      </c>
    </row>
    <row r="1391" spans="73:89" ht="12" customHeight="1">
      <c r="BU1391" s="16">
        <f t="shared" si="430"/>
        <v>0</v>
      </c>
      <c r="BV1391" s="16">
        <f>IF($BY$12=1,NORMDIST(BY1391,$Y$6,$Y$8,TRUE),IF($BY$12=2,IF(BY1391&lt;=$BX$31,0,IF(BY1391&gt;=$BX$32,1,(BY1391-$BX$31)*$BX$33)),SUM($BU$42:BU1391)/$BV$40))</f>
        <v>0.99998907032893869</v>
      </c>
      <c r="BW1391" s="16">
        <f t="shared" si="422"/>
        <v>3.2877085357896661E-4</v>
      </c>
      <c r="BY1391" s="16">
        <f t="shared" si="423"/>
        <v>134.89999999999662</v>
      </c>
      <c r="BZ1391" s="16">
        <f t="shared" si="424"/>
        <v>2.4371449486951433E-6</v>
      </c>
      <c r="CA1391" s="16">
        <f t="shared" si="431"/>
        <v>-999</v>
      </c>
      <c r="CE1391" s="16" t="e">
        <f t="shared" si="425"/>
        <v>#N/A</v>
      </c>
      <c r="CF1391" s="16">
        <f t="shared" si="426"/>
        <v>99</v>
      </c>
      <c r="CG1391" s="16">
        <f t="shared" si="427"/>
        <v>0</v>
      </c>
      <c r="CH1391" s="16">
        <f t="shared" si="421"/>
        <v>0</v>
      </c>
      <c r="CJ1391" s="16" t="e">
        <f t="shared" si="428"/>
        <v>#N/A</v>
      </c>
      <c r="CK1391" s="16" t="str">
        <f t="shared" si="429"/>
        <v/>
      </c>
    </row>
    <row r="1392" spans="73:89" ht="12" customHeight="1">
      <c r="BU1392" s="16">
        <f t="shared" si="430"/>
        <v>0</v>
      </c>
      <c r="BV1392" s="16">
        <f>IF($BY$12=1,NORMDIST(BY1392,$Y$6,$Y$8,TRUE),IF($BY$12=2,IF(BY1392&lt;=$BX$31,0,IF(BY1392&gt;=$BX$32,1,(BY1392-$BX$31)*$BX$33)),SUM($BU$42:BU1392)/$BV$40))</f>
        <v>0.99998931147422909</v>
      </c>
      <c r="BW1392" s="16">
        <f t="shared" si="422"/>
        <v>3.2210079665335648E-4</v>
      </c>
      <c r="BY1392" s="16">
        <f t="shared" si="423"/>
        <v>134.99999999999662</v>
      </c>
      <c r="BZ1392" s="16">
        <f t="shared" si="424"/>
        <v>2.3859318270619594E-6</v>
      </c>
      <c r="CA1392" s="16">
        <f t="shared" si="431"/>
        <v>-999</v>
      </c>
      <c r="CE1392" s="16" t="e">
        <f t="shared" si="425"/>
        <v>#N/A</v>
      </c>
      <c r="CF1392" s="16">
        <f t="shared" si="426"/>
        <v>99</v>
      </c>
      <c r="CG1392" s="16">
        <f t="shared" si="427"/>
        <v>0</v>
      </c>
      <c r="CH1392" s="16">
        <f t="shared" si="421"/>
        <v>0</v>
      </c>
      <c r="CJ1392" s="16" t="e">
        <f t="shared" si="428"/>
        <v>#N/A</v>
      </c>
      <c r="CK1392" s="16" t="str">
        <f t="shared" si="429"/>
        <v/>
      </c>
    </row>
    <row r="1393" spans="73:89" ht="12" customHeight="1">
      <c r="BU1393" s="16">
        <f t="shared" si="430"/>
        <v>0</v>
      </c>
      <c r="BV1393" s="16">
        <f>IF($BY$12=1,NORMDIST(BY1393,$Y$6,$Y$8,TRUE),IF($BY$12=2,IF(BY1393&lt;=$BX$31,0,IF(BY1393&gt;=$BX$32,1,(BY1393-$BX$31)*$BX$33)),SUM($BU$42:BU1393)/$BV$40))</f>
        <v>0.99998954754922398</v>
      </c>
      <c r="BW1393" s="16">
        <f t="shared" si="422"/>
        <v>3.1555799870765027E-4</v>
      </c>
      <c r="BY1393" s="16">
        <f t="shared" si="423"/>
        <v>135.09999999999661</v>
      </c>
      <c r="BZ1393" s="16">
        <f t="shared" si="424"/>
        <v>2.3357364819219704E-6</v>
      </c>
      <c r="CA1393" s="16">
        <f t="shared" si="431"/>
        <v>-999</v>
      </c>
      <c r="CE1393" s="16" t="e">
        <f t="shared" si="425"/>
        <v>#N/A</v>
      </c>
      <c r="CF1393" s="16">
        <f t="shared" si="426"/>
        <v>99</v>
      </c>
      <c r="CG1393" s="16">
        <f t="shared" si="427"/>
        <v>0</v>
      </c>
      <c r="CH1393" s="16">
        <f t="shared" si="421"/>
        <v>0</v>
      </c>
      <c r="CJ1393" s="16" t="e">
        <f t="shared" si="428"/>
        <v>#N/A</v>
      </c>
      <c r="CK1393" s="16" t="str">
        <f t="shared" si="429"/>
        <v/>
      </c>
    </row>
    <row r="1394" spans="73:89" ht="12" customHeight="1">
      <c r="BU1394" s="16">
        <f t="shared" si="430"/>
        <v>0</v>
      </c>
      <c r="BV1394" s="16">
        <f>IF($BY$12=1,NORMDIST(BY1394,$Y$6,$Y$8,TRUE),IF($BY$12=2,IF(BY1394&lt;=$BX$31,0,IF(BY1394&gt;=$BX$32,1,(BY1394-$BX$31)*$BX$33)),SUM($BU$42:BU1394)/$BV$40))</f>
        <v>0.99998977865479644</v>
      </c>
      <c r="BW1394" s="16">
        <f t="shared" si="422"/>
        <v>3.0914020591544004E-4</v>
      </c>
      <c r="BY1394" s="16">
        <f t="shared" si="423"/>
        <v>135.19999999999661</v>
      </c>
      <c r="BZ1394" s="16">
        <f t="shared" si="424"/>
        <v>2.2865399845817145E-6</v>
      </c>
      <c r="CA1394" s="16">
        <f t="shared" si="431"/>
        <v>-999</v>
      </c>
      <c r="CE1394" s="16" t="e">
        <f t="shared" si="425"/>
        <v>#N/A</v>
      </c>
      <c r="CF1394" s="16">
        <f t="shared" si="426"/>
        <v>99</v>
      </c>
      <c r="CG1394" s="16">
        <f t="shared" si="427"/>
        <v>0</v>
      </c>
      <c r="CH1394" s="16">
        <f t="shared" si="421"/>
        <v>0</v>
      </c>
      <c r="CJ1394" s="16" t="e">
        <f t="shared" si="428"/>
        <v>#N/A</v>
      </c>
      <c r="CK1394" s="16" t="str">
        <f t="shared" si="429"/>
        <v/>
      </c>
    </row>
    <row r="1395" spans="73:89" ht="12" customHeight="1">
      <c r="BU1395" s="16">
        <f t="shared" si="430"/>
        <v>0</v>
      </c>
      <c r="BV1395" s="16">
        <f>IF($BY$12=1,NORMDIST(BY1395,$Y$6,$Y$8,TRUE),IF($BY$12=2,IF(BY1395&lt;=$BX$31,0,IF(BY1395&gt;=$BX$32,1,(BY1395-$BX$31)*$BX$33)),SUM($BU$42:BU1395)/$BV$40))</f>
        <v>0.99999000488990142</v>
      </c>
      <c r="BW1395" s="16">
        <f t="shared" si="422"/>
        <v>3.0284520076078098E-4</v>
      </c>
      <c r="BY1395" s="16">
        <f t="shared" si="423"/>
        <v>135.2999999999966</v>
      </c>
      <c r="BZ1395" s="16">
        <f t="shared" si="424"/>
        <v>2.2383237306784079E-6</v>
      </c>
      <c r="CA1395" s="16">
        <f t="shared" si="431"/>
        <v>-999</v>
      </c>
      <c r="CE1395" s="16" t="e">
        <f t="shared" si="425"/>
        <v>#N/A</v>
      </c>
      <c r="CF1395" s="16">
        <f t="shared" si="426"/>
        <v>99</v>
      </c>
      <c r="CG1395" s="16">
        <f t="shared" si="427"/>
        <v>0</v>
      </c>
      <c r="CH1395" s="16">
        <f t="shared" si="421"/>
        <v>0</v>
      </c>
      <c r="CJ1395" s="16" t="e">
        <f t="shared" si="428"/>
        <v>#N/A</v>
      </c>
      <c r="CK1395" s="16" t="str">
        <f t="shared" si="429"/>
        <v/>
      </c>
    </row>
    <row r="1396" spans="73:89" ht="12" customHeight="1">
      <c r="BU1396" s="16">
        <f t="shared" si="430"/>
        <v>0</v>
      </c>
      <c r="BV1396" s="16">
        <f>IF($BY$12=1,NORMDIST(BY1396,$Y$6,$Y$8,TRUE),IF($BY$12=2,IF(BY1396&lt;=$BX$31,0,IF(BY1396&gt;=$BX$32,1,(BY1396-$BX$31)*$BX$33)),SUM($BU$42:BU1396)/$BV$40))</f>
        <v>0.99999022635162405</v>
      </c>
      <c r="BW1396" s="16">
        <f t="shared" si="422"/>
        <v>2.9667080152464995E-4</v>
      </c>
      <c r="BY1396" s="16">
        <f t="shared" si="423"/>
        <v>135.3999999999966</v>
      </c>
      <c r="BZ1396" s="16">
        <f t="shared" si="424"/>
        <v>2.1910694351894934E-6</v>
      </c>
      <c r="CA1396" s="16">
        <f t="shared" si="431"/>
        <v>-999</v>
      </c>
      <c r="CE1396" s="16" t="e">
        <f t="shared" si="425"/>
        <v>#N/A</v>
      </c>
      <c r="CF1396" s="16">
        <f t="shared" si="426"/>
        <v>99</v>
      </c>
      <c r="CG1396" s="16">
        <f t="shared" si="427"/>
        <v>0</v>
      </c>
      <c r="CH1396" s="16">
        <f t="shared" si="421"/>
        <v>0</v>
      </c>
      <c r="CJ1396" s="16" t="e">
        <f t="shared" si="428"/>
        <v>#N/A</v>
      </c>
      <c r="CK1396" s="16" t="str">
        <f t="shared" si="429"/>
        <v/>
      </c>
    </row>
    <row r="1397" spans="73:89" ht="12" customHeight="1">
      <c r="BU1397" s="16">
        <f t="shared" si="430"/>
        <v>0</v>
      </c>
      <c r="BV1397" s="16">
        <f>IF($BY$12=1,NORMDIST(BY1397,$Y$6,$Y$8,TRUE),IF($BY$12=2,IF(BY1397&lt;=$BX$31,0,IF(BY1397&gt;=$BX$32,1,(BY1397-$BX$31)*$BX$33)),SUM($BU$42:BU1397)/$BV$40))</f>
        <v>0.99999044313527086</v>
      </c>
      <c r="BW1397" s="16">
        <f t="shared" si="422"/>
        <v>2.9061486177731663E-4</v>
      </c>
      <c r="BY1397" s="16">
        <f t="shared" si="423"/>
        <v>135.49999999999659</v>
      </c>
      <c r="BZ1397" s="16">
        <f t="shared" si="424"/>
        <v>2.1447591275079257E-6</v>
      </c>
      <c r="CA1397" s="16">
        <f t="shared" si="431"/>
        <v>-999</v>
      </c>
      <c r="CE1397" s="16" t="e">
        <f t="shared" si="425"/>
        <v>#N/A</v>
      </c>
      <c r="CF1397" s="16">
        <f t="shared" si="426"/>
        <v>99</v>
      </c>
      <c r="CG1397" s="16">
        <f t="shared" si="427"/>
        <v>0</v>
      </c>
      <c r="CH1397" s="16">
        <f t="shared" si="421"/>
        <v>0</v>
      </c>
      <c r="CJ1397" s="16" t="e">
        <f t="shared" si="428"/>
        <v>#N/A</v>
      </c>
      <c r="CK1397" s="16" t="str">
        <f t="shared" si="429"/>
        <v/>
      </c>
    </row>
    <row r="1398" spans="73:89" ht="12" customHeight="1">
      <c r="BU1398" s="16">
        <f t="shared" si="430"/>
        <v>0</v>
      </c>
      <c r="BV1398" s="16">
        <f>IF($BY$12=1,NORMDIST(BY1398,$Y$6,$Y$8,TRUE),IF($BY$12=2,IF(BY1398&lt;=$BX$31,0,IF(BY1398&gt;=$BX$32,1,(BY1398-$BX$31)*$BX$33)),SUM($BU$42:BU1398)/$BV$40))</f>
        <v>0.99999065533432774</v>
      </c>
      <c r="BW1398" s="16">
        <f t="shared" si="422"/>
        <v>2.8467526987656654E-4</v>
      </c>
      <c r="BY1398" s="16">
        <f t="shared" si="423"/>
        <v>135.59999999999658</v>
      </c>
      <c r="BZ1398" s="16">
        <f t="shared" si="424"/>
        <v>2.0993751465824021E-6</v>
      </c>
      <c r="CA1398" s="16">
        <f t="shared" si="431"/>
        <v>-999</v>
      </c>
      <c r="CE1398" s="16" t="e">
        <f t="shared" si="425"/>
        <v>#N/A</v>
      </c>
      <c r="CF1398" s="16">
        <f t="shared" si="426"/>
        <v>99</v>
      </c>
      <c r="CG1398" s="16">
        <f t="shared" si="427"/>
        <v>0</v>
      </c>
      <c r="CH1398" s="16">
        <f t="shared" si="421"/>
        <v>0</v>
      </c>
      <c r="CJ1398" s="16" t="e">
        <f t="shared" si="428"/>
        <v>#N/A</v>
      </c>
      <c r="CK1398" s="16" t="str">
        <f t="shared" si="429"/>
        <v/>
      </c>
    </row>
    <row r="1399" spans="73:89" ht="12" customHeight="1">
      <c r="BU1399" s="16">
        <f t="shared" si="430"/>
        <v>0</v>
      </c>
      <c r="BV1399" s="16">
        <f>IF($BY$12=1,NORMDIST(BY1399,$Y$6,$Y$8,TRUE),IF($BY$12=2,IF(BY1399&lt;=$BX$31,0,IF(BY1399&gt;=$BX$32,1,(BY1399-$BX$31)*$BX$33)),SUM($BU$42:BU1399)/$BV$40))</f>
        <v>0.99999086304057072</v>
      </c>
      <c r="BW1399" s="16">
        <f t="shared" si="422"/>
        <v>2.7884994847175357E-4</v>
      </c>
      <c r="BY1399" s="16">
        <f t="shared" si="423"/>
        <v>135.69999999999658</v>
      </c>
      <c r="BZ1399" s="16">
        <f t="shared" si="424"/>
        <v>2.0549001361220385E-6</v>
      </c>
      <c r="CA1399" s="16">
        <f t="shared" si="431"/>
        <v>-999</v>
      </c>
      <c r="CE1399" s="16" t="e">
        <f t="shared" si="425"/>
        <v>#N/A</v>
      </c>
      <c r="CF1399" s="16">
        <f t="shared" si="426"/>
        <v>99</v>
      </c>
      <c r="CG1399" s="16">
        <f t="shared" si="427"/>
        <v>0</v>
      </c>
      <c r="CH1399" s="16">
        <f t="shared" si="421"/>
        <v>0</v>
      </c>
      <c r="CJ1399" s="16" t="e">
        <f t="shared" si="428"/>
        <v>#N/A</v>
      </c>
      <c r="CK1399" s="16" t="str">
        <f t="shared" si="429"/>
        <v/>
      </c>
    </row>
    <row r="1400" spans="73:89" ht="12" customHeight="1">
      <c r="BU1400" s="16">
        <f t="shared" si="430"/>
        <v>0</v>
      </c>
      <c r="BV1400" s="16">
        <f>IF($BY$12=1,NORMDIST(BY1400,$Y$6,$Y$8,TRUE),IF($BY$12=2,IF(BY1400&lt;=$BX$31,0,IF(BY1400&gt;=$BX$32,1,(BY1400-$BX$31)*$BX$33)),SUM($BU$42:BU1400)/$BV$40))</f>
        <v>0.99999106634405954</v>
      </c>
      <c r="BW1400" s="16">
        <f t="shared" si="422"/>
        <v>2.7313685401362305E-4</v>
      </c>
      <c r="BY1400" s="16">
        <f t="shared" si="423"/>
        <v>135.79999999999657</v>
      </c>
      <c r="BZ1400" s="16">
        <f t="shared" si="424"/>
        <v>2.0113170398647272E-6</v>
      </c>
      <c r="CA1400" s="16">
        <f t="shared" si="431"/>
        <v>-999</v>
      </c>
      <c r="CE1400" s="16" t="e">
        <f t="shared" si="425"/>
        <v>#N/A</v>
      </c>
      <c r="CF1400" s="16">
        <f t="shared" si="426"/>
        <v>99</v>
      </c>
      <c r="CG1400" s="16">
        <f t="shared" si="427"/>
        <v>0</v>
      </c>
      <c r="CH1400" s="16">
        <f t="shared" si="421"/>
        <v>0</v>
      </c>
      <c r="CJ1400" s="16" t="e">
        <f t="shared" si="428"/>
        <v>#N/A</v>
      </c>
      <c r="CK1400" s="16" t="str">
        <f t="shared" si="429"/>
        <v/>
      </c>
    </row>
    <row r="1401" spans="73:89" ht="12" customHeight="1">
      <c r="BU1401" s="16">
        <f t="shared" si="430"/>
        <v>0</v>
      </c>
      <c r="BV1401" s="16">
        <f>IF($BY$12=1,NORMDIST(BY1401,$Y$6,$Y$8,TRUE),IF($BY$12=2,IF(BY1401&lt;=$BX$31,0,IF(BY1401&gt;=$BX$32,1,(BY1401-$BX$31)*$BX$33)),SUM($BU$42:BU1401)/$BV$40))</f>
        <v>0.99999126533317351</v>
      </c>
      <c r="BW1401" s="16">
        <f t="shared" si="422"/>
        <v>2.6753397626986842E-4</v>
      </c>
      <c r="BY1401" s="16">
        <f t="shared" si="423"/>
        <v>135.89999999999657</v>
      </c>
      <c r="BZ1401" s="16">
        <f t="shared" si="424"/>
        <v>1.9686090969085738E-6</v>
      </c>
      <c r="CA1401" s="16">
        <f t="shared" si="431"/>
        <v>-999</v>
      </c>
      <c r="CE1401" s="16" t="e">
        <f t="shared" si="425"/>
        <v>#N/A</v>
      </c>
      <c r="CF1401" s="16">
        <f t="shared" si="426"/>
        <v>99</v>
      </c>
      <c r="CG1401" s="16">
        <f t="shared" si="427"/>
        <v>0</v>
      </c>
      <c r="CH1401" s="16">
        <f t="shared" si="421"/>
        <v>0</v>
      </c>
      <c r="CJ1401" s="16" t="e">
        <f t="shared" si="428"/>
        <v>#N/A</v>
      </c>
      <c r="CK1401" s="16" t="str">
        <f t="shared" si="429"/>
        <v/>
      </c>
    </row>
    <row r="1402" spans="73:89" ht="12" customHeight="1">
      <c r="BU1402" s="16">
        <f t="shared" si="430"/>
        <v>0</v>
      </c>
      <c r="BV1402" s="16">
        <f>IF($BY$12=1,NORMDIST(BY1402,$Y$6,$Y$8,TRUE),IF($BY$12=2,IF(BY1402&lt;=$BX$31,0,IF(BY1402&gt;=$BX$32,1,(BY1402-$BX$31)*$BX$33)),SUM($BU$42:BU1402)/$BV$40))</f>
        <v>0.99999146009451545</v>
      </c>
      <c r="BW1402" s="16">
        <f t="shared" si="422"/>
        <v>2.6203933784637944E-4</v>
      </c>
      <c r="BY1402" s="16">
        <f t="shared" si="423"/>
        <v>135.99999999999656</v>
      </c>
      <c r="BZ1402" s="16">
        <f t="shared" si="424"/>
        <v>1.9267598371057798E-6</v>
      </c>
      <c r="CA1402" s="16">
        <f t="shared" si="431"/>
        <v>-999</v>
      </c>
      <c r="CE1402" s="16" t="e">
        <f t="shared" si="425"/>
        <v>#N/A</v>
      </c>
      <c r="CF1402" s="16">
        <f t="shared" si="426"/>
        <v>99</v>
      </c>
      <c r="CG1402" s="16">
        <f t="shared" si="427"/>
        <v>0</v>
      </c>
      <c r="CH1402" s="16">
        <f t="shared" si="421"/>
        <v>0</v>
      </c>
      <c r="CJ1402" s="16" t="e">
        <f t="shared" si="428"/>
        <v>#N/A</v>
      </c>
      <c r="CK1402" s="16" t="str">
        <f t="shared" si="429"/>
        <v/>
      </c>
    </row>
    <row r="1403" spans="73:89" ht="12" customHeight="1">
      <c r="BU1403" s="16">
        <f t="shared" si="430"/>
        <v>0</v>
      </c>
      <c r="BV1403" s="16">
        <f>IF($BY$12=1,NORMDIST(BY1403,$Y$6,$Y$8,TRUE),IF($BY$12=2,IF(BY1403&lt;=$BX$31,0,IF(BY1403&gt;=$BX$32,1,(BY1403-$BX$31)*$BX$33)),SUM($BU$42:BU1403)/$BV$40))</f>
        <v>0.99999165071321006</v>
      </c>
      <c r="BW1403" s="16">
        <f t="shared" si="422"/>
        <v>2.5665099371413434E-4</v>
      </c>
      <c r="BY1403" s="16">
        <f t="shared" si="423"/>
        <v>136.09999999999656</v>
      </c>
      <c r="BZ1403" s="16">
        <f t="shared" si="424"/>
        <v>1.8857530765183016E-6</v>
      </c>
      <c r="CA1403" s="16">
        <f t="shared" si="431"/>
        <v>-999</v>
      </c>
      <c r="CE1403" s="16" t="e">
        <f t="shared" si="425"/>
        <v>#N/A</v>
      </c>
      <c r="CF1403" s="16">
        <f t="shared" si="426"/>
        <v>99</v>
      </c>
      <c r="CG1403" s="16">
        <f t="shared" si="427"/>
        <v>0</v>
      </c>
      <c r="CH1403" s="16">
        <f t="shared" si="421"/>
        <v>0</v>
      </c>
      <c r="CJ1403" s="16" t="e">
        <f t="shared" si="428"/>
        <v>#N/A</v>
      </c>
      <c r="CK1403" s="16" t="str">
        <f t="shared" si="429"/>
        <v/>
      </c>
    </row>
    <row r="1404" spans="73:89" ht="12" customHeight="1">
      <c r="BU1404" s="16">
        <f t="shared" si="430"/>
        <v>0</v>
      </c>
      <c r="BV1404" s="16">
        <f>IF($BY$12=1,NORMDIST(BY1404,$Y$6,$Y$8,TRUE),IF($BY$12=2,IF(BY1404&lt;=$BX$31,0,IF(BY1404&gt;=$BX$32,1,(BY1404-$BX$31)*$BX$33)),SUM($BU$42:BU1404)/$BV$40))</f>
        <v>0.99999183727268592</v>
      </c>
      <c r="BW1404" s="16">
        <f t="shared" si="422"/>
        <v>2.5136703074169706E-4</v>
      </c>
      <c r="BY1404" s="16">
        <f t="shared" si="423"/>
        <v>136.19999999999655</v>
      </c>
      <c r="BZ1404" s="16">
        <f t="shared" si="424"/>
        <v>1.8455729129346803E-6</v>
      </c>
      <c r="CA1404" s="16">
        <f t="shared" si="431"/>
        <v>-999</v>
      </c>
      <c r="CE1404" s="16" t="e">
        <f t="shared" si="425"/>
        <v>#N/A</v>
      </c>
      <c r="CF1404" s="16">
        <f t="shared" si="426"/>
        <v>99</v>
      </c>
      <c r="CG1404" s="16">
        <f t="shared" si="427"/>
        <v>0</v>
      </c>
      <c r="CH1404" s="16">
        <f t="shared" si="421"/>
        <v>0</v>
      </c>
      <c r="CJ1404" s="16" t="e">
        <f t="shared" si="428"/>
        <v>#N/A</v>
      </c>
      <c r="CK1404" s="16" t="str">
        <f t="shared" si="429"/>
        <v/>
      </c>
    </row>
    <row r="1405" spans="73:89" ht="12" customHeight="1">
      <c r="BU1405" s="16">
        <f t="shared" si="430"/>
        <v>0</v>
      </c>
      <c r="BV1405" s="16">
        <f>IF($BY$12=1,NORMDIST(BY1405,$Y$6,$Y$8,TRUE),IF($BY$12=2,IF(BY1405&lt;=$BX$31,0,IF(BY1405&gt;=$BX$32,1,(BY1405-$BX$31)*$BX$33)),SUM($BU$42:BU1405)/$BV$40))</f>
        <v>0.99999201985483155</v>
      </c>
      <c r="BW1405" s="16">
        <f t="shared" si="422"/>
        <v>2.4618556723327028E-4</v>
      </c>
      <c r="BY1405" s="16">
        <f t="shared" si="423"/>
        <v>136.29999999999654</v>
      </c>
      <c r="BZ1405" s="16">
        <f t="shared" si="424"/>
        <v>1.8062037214473698E-6</v>
      </c>
      <c r="CA1405" s="16">
        <f t="shared" si="431"/>
        <v>-999</v>
      </c>
      <c r="CE1405" s="16" t="e">
        <f t="shared" si="425"/>
        <v>#N/A</v>
      </c>
      <c r="CF1405" s="16">
        <f t="shared" si="426"/>
        <v>99</v>
      </c>
      <c r="CG1405" s="16">
        <f t="shared" si="427"/>
        <v>0</v>
      </c>
      <c r="CH1405" s="16">
        <f t="shared" si="421"/>
        <v>0</v>
      </c>
      <c r="CJ1405" s="16" t="e">
        <f t="shared" si="428"/>
        <v>#N/A</v>
      </c>
      <c r="CK1405" s="16" t="str">
        <f t="shared" si="429"/>
        <v/>
      </c>
    </row>
    <row r="1406" spans="73:89" ht="12" customHeight="1">
      <c r="BU1406" s="16">
        <f t="shared" si="430"/>
        <v>0</v>
      </c>
      <c r="BV1406" s="16">
        <f>IF($BY$12=1,NORMDIST(BY1406,$Y$6,$Y$8,TRUE),IF($BY$12=2,IF(BY1406&lt;=$BX$31,0,IF(BY1406&gt;=$BX$32,1,(BY1406-$BX$31)*$BX$33)),SUM($BU$42:BU1406)/$BV$40))</f>
        <v>0.99999219853996335</v>
      </c>
      <c r="BW1406" s="16">
        <f t="shared" si="422"/>
        <v>2.4110475247226713E-4</v>
      </c>
      <c r="BY1406" s="16">
        <f t="shared" si="423"/>
        <v>136.39999999999654</v>
      </c>
      <c r="BZ1406" s="16">
        <f t="shared" si="424"/>
        <v>1.7676301500899798E-6</v>
      </c>
      <c r="CA1406" s="16">
        <f t="shared" si="431"/>
        <v>-999</v>
      </c>
      <c r="CE1406" s="16" t="e">
        <f t="shared" si="425"/>
        <v>#N/A</v>
      </c>
      <c r="CF1406" s="16">
        <f t="shared" si="426"/>
        <v>99</v>
      </c>
      <c r="CG1406" s="16">
        <f t="shared" si="427"/>
        <v>0</v>
      </c>
      <c r="CH1406" s="16">
        <f t="shared" si="421"/>
        <v>0</v>
      </c>
      <c r="CJ1406" s="16" t="e">
        <f t="shared" si="428"/>
        <v>#N/A</v>
      </c>
      <c r="CK1406" s="16" t="str">
        <f t="shared" si="429"/>
        <v/>
      </c>
    </row>
    <row r="1407" spans="73:89" ht="12" customHeight="1">
      <c r="BU1407" s="16">
        <f t="shared" si="430"/>
        <v>0</v>
      </c>
      <c r="BV1407" s="16">
        <f>IF($BY$12=1,NORMDIST(BY1407,$Y$6,$Y$8,TRUE),IF($BY$12=2,IF(BY1407&lt;=$BX$31,0,IF(BY1407&gt;=$BX$32,1,(BY1407-$BX$31)*$BX$33)),SUM($BU$42:BU1407)/$BV$40))</f>
        <v>0.99999237340688318</v>
      </c>
      <c r="BW1407" s="16">
        <f t="shared" si="422"/>
        <v>2.3612276627035041E-4</v>
      </c>
      <c r="BY1407" s="16">
        <f t="shared" si="423"/>
        <v>136.49999999999653</v>
      </c>
      <c r="BZ1407" s="16">
        <f t="shared" si="424"/>
        <v>1.7298371155337466E-6</v>
      </c>
      <c r="CA1407" s="16">
        <f t="shared" si="431"/>
        <v>-999</v>
      </c>
      <c r="CE1407" s="16" t="e">
        <f t="shared" si="425"/>
        <v>#N/A</v>
      </c>
      <c r="CF1407" s="16">
        <f t="shared" si="426"/>
        <v>99</v>
      </c>
      <c r="CG1407" s="16">
        <f t="shared" si="427"/>
        <v>0</v>
      </c>
      <c r="CH1407" s="16">
        <f t="shared" si="421"/>
        <v>0</v>
      </c>
      <c r="CJ1407" s="16" t="e">
        <f t="shared" si="428"/>
        <v>#N/A</v>
      </c>
      <c r="CK1407" s="16" t="str">
        <f t="shared" si="429"/>
        <v/>
      </c>
    </row>
    <row r="1408" spans="73:89" ht="12" customHeight="1">
      <c r="BU1408" s="16">
        <f t="shared" si="430"/>
        <v>0</v>
      </c>
      <c r="BV1408" s="16">
        <f>IF($BY$12=1,NORMDIST(BY1408,$Y$6,$Y$8,TRUE),IF($BY$12=2,IF(BY1408&lt;=$BX$31,0,IF(BY1408&gt;=$BX$32,1,(BY1408-$BX$31)*$BX$33)),SUM($BU$42:BU1408)/$BV$40))</f>
        <v>0.99999254453288389</v>
      </c>
      <c r="BW1408" s="16">
        <f t="shared" si="422"/>
        <v>2.312378185219023E-4</v>
      </c>
      <c r="BY1408" s="16">
        <f t="shared" si="423"/>
        <v>136.59999999999653</v>
      </c>
      <c r="BZ1408" s="16">
        <f t="shared" si="424"/>
        <v>1.6928097988426659E-6</v>
      </c>
      <c r="CA1408" s="16">
        <f t="shared" si="431"/>
        <v>-999</v>
      </c>
      <c r="CE1408" s="16" t="e">
        <f t="shared" si="425"/>
        <v>#N/A</v>
      </c>
      <c r="CF1408" s="16">
        <f t="shared" si="426"/>
        <v>99</v>
      </c>
      <c r="CG1408" s="16">
        <f t="shared" si="427"/>
        <v>0</v>
      </c>
      <c r="CH1408" s="16">
        <f t="shared" si="421"/>
        <v>0</v>
      </c>
      <c r="CJ1408" s="16" t="e">
        <f t="shared" si="428"/>
        <v>#N/A</v>
      </c>
      <c r="CK1408" s="16" t="str">
        <f t="shared" si="429"/>
        <v/>
      </c>
    </row>
    <row r="1409" spans="73:89" ht="12" customHeight="1">
      <c r="BU1409" s="16">
        <f t="shared" si="430"/>
        <v>0</v>
      </c>
      <c r="BV1409" s="16">
        <f>IF($BY$12=1,NORMDIST(BY1409,$Y$6,$Y$8,TRUE),IF($BY$12=2,IF(BY1409&lt;=$BX$31,0,IF(BY1409&gt;=$BX$32,1,(BY1409-$BX$31)*$BX$33)),SUM($BU$42:BU1409)/$BV$40))</f>
        <v>0.99999271199386786</v>
      </c>
      <c r="BW1409" s="16">
        <f t="shared" si="422"/>
        <v>2.2644814876387575E-4</v>
      </c>
      <c r="BY1409" s="16">
        <f t="shared" si="423"/>
        <v>136.69999999999652</v>
      </c>
      <c r="BZ1409" s="16">
        <f t="shared" si="424"/>
        <v>1.6565336412866242E-6</v>
      </c>
      <c r="CA1409" s="16">
        <f t="shared" si="431"/>
        <v>-999</v>
      </c>
      <c r="CE1409" s="16" t="e">
        <f t="shared" si="425"/>
        <v>#N/A</v>
      </c>
      <c r="CF1409" s="16">
        <f t="shared" si="426"/>
        <v>99</v>
      </c>
      <c r="CG1409" s="16">
        <f t="shared" si="427"/>
        <v>0</v>
      </c>
      <c r="CH1409" s="16">
        <f t="shared" si="421"/>
        <v>0</v>
      </c>
      <c r="CJ1409" s="16" t="e">
        <f t="shared" si="428"/>
        <v>#N/A</v>
      </c>
      <c r="CK1409" s="16" t="str">
        <f t="shared" si="429"/>
        <v/>
      </c>
    </row>
    <row r="1410" spans="73:89" ht="12" customHeight="1">
      <c r="BU1410" s="16">
        <f t="shared" si="430"/>
        <v>0</v>
      </c>
      <c r="BV1410" s="16">
        <f>IF($BY$12=1,NORMDIST(BY1410,$Y$6,$Y$8,TRUE),IF($BY$12=2,IF(BY1410&lt;=$BX$31,0,IF(BY1410&gt;=$BX$32,1,(BY1410-$BX$31)*$BX$33)),SUM($BU$42:BU1410)/$BV$40))</f>
        <v>0.99999287586418983</v>
      </c>
      <c r="BW1410" s="16">
        <f t="shared" si="422"/>
        <v>2.2175202574098438E-4</v>
      </c>
      <c r="BY1410" s="16">
        <f t="shared" si="423"/>
        <v>136.79999999999652</v>
      </c>
      <c r="BZ1410" s="16">
        <f t="shared" si="424"/>
        <v>1.6209943402119154E-6</v>
      </c>
      <c r="CA1410" s="16">
        <f t="shared" si="431"/>
        <v>-999</v>
      </c>
      <c r="CE1410" s="16" t="e">
        <f t="shared" si="425"/>
        <v>#N/A</v>
      </c>
      <c r="CF1410" s="16">
        <f t="shared" si="426"/>
        <v>99</v>
      </c>
      <c r="CG1410" s="16">
        <f t="shared" si="427"/>
        <v>0</v>
      </c>
      <c r="CH1410" s="16">
        <f t="shared" si="421"/>
        <v>0</v>
      </c>
      <c r="CJ1410" s="16" t="e">
        <f t="shared" si="428"/>
        <v>#N/A</v>
      </c>
      <c r="CK1410" s="16" t="str">
        <f t="shared" si="429"/>
        <v/>
      </c>
    </row>
    <row r="1411" spans="73:89" ht="12" customHeight="1">
      <c r="BU1411" s="16">
        <f t="shared" si="430"/>
        <v>0</v>
      </c>
      <c r="BV1411" s="16">
        <f>IF($BY$12=1,NORMDIST(BY1411,$Y$6,$Y$8,TRUE),IF($BY$12=2,IF(BY1411&lt;=$BX$31,0,IF(BY1411&gt;=$BX$32,1,(BY1411-$BX$31)*$BX$33)),SUM($BU$42:BU1411)/$BV$40))</f>
        <v>0.99999303621681712</v>
      </c>
      <c r="BW1411" s="16">
        <f t="shared" si="422"/>
        <v>2.1714774697618799E-4</v>
      </c>
      <c r="BY1411" s="16">
        <f t="shared" si="423"/>
        <v>136.89999999999651</v>
      </c>
      <c r="BZ1411" s="16">
        <f t="shared" si="424"/>
        <v>1.5861778449685428E-6</v>
      </c>
      <c r="CA1411" s="16">
        <f t="shared" si="431"/>
        <v>-999</v>
      </c>
      <c r="CE1411" s="16" t="e">
        <f t="shared" si="425"/>
        <v>#N/A</v>
      </c>
      <c r="CF1411" s="16">
        <f t="shared" si="426"/>
        <v>99</v>
      </c>
      <c r="CG1411" s="16">
        <f t="shared" si="427"/>
        <v>0</v>
      </c>
      <c r="CH1411" s="16">
        <f t="shared" ref="CH1411:CH1474" si="432">IF(CB1411="",0,1)</f>
        <v>0</v>
      </c>
      <c r="CJ1411" s="16" t="e">
        <f t="shared" si="428"/>
        <v>#N/A</v>
      </c>
      <c r="CK1411" s="16" t="str">
        <f t="shared" si="429"/>
        <v/>
      </c>
    </row>
    <row r="1412" spans="73:89" ht="12" customHeight="1">
      <c r="BU1412" s="16">
        <f t="shared" si="430"/>
        <v>0</v>
      </c>
      <c r="BV1412" s="16">
        <f>IF($BY$12=1,NORMDIST(BY1412,$Y$6,$Y$8,TRUE),IF($BY$12=2,IF(BY1412&lt;=$BX$31,0,IF(BY1412&gt;=$BX$32,1,(BY1412-$BX$31)*$BX$33)),SUM($BU$42:BU1412)/$BV$40))</f>
        <v>0.99999319312337143</v>
      </c>
      <c r="BW1412" s="16">
        <f t="shared" si="422"/>
        <v>2.1263363834643015E-4</v>
      </c>
      <c r="BY1412" s="16">
        <f t="shared" si="423"/>
        <v>136.9999999999965</v>
      </c>
      <c r="BZ1412" s="16">
        <f t="shared" si="424"/>
        <v>1.5520703528936904E-6</v>
      </c>
      <c r="CA1412" s="16">
        <f t="shared" si="431"/>
        <v>-999</v>
      </c>
      <c r="CE1412" s="16" t="e">
        <f t="shared" si="425"/>
        <v>#N/A</v>
      </c>
      <c r="CF1412" s="16">
        <f t="shared" si="426"/>
        <v>99</v>
      </c>
      <c r="CG1412" s="16">
        <f t="shared" si="427"/>
        <v>0</v>
      </c>
      <c r="CH1412" s="16">
        <f t="shared" si="432"/>
        <v>0</v>
      </c>
      <c r="CJ1412" s="16" t="e">
        <f t="shared" si="428"/>
        <v>#N/A</v>
      </c>
      <c r="CK1412" s="16" t="str">
        <f t="shared" si="429"/>
        <v/>
      </c>
    </row>
    <row r="1413" spans="73:89" ht="12" customHeight="1">
      <c r="BU1413" s="16">
        <f t="shared" si="430"/>
        <v>0</v>
      </c>
      <c r="BV1413" s="16">
        <f>IF($BY$12=1,NORMDIST(BY1413,$Y$6,$Y$8,TRUE),IF($BY$12=2,IF(BY1413&lt;=$BX$31,0,IF(BY1413&gt;=$BX$32,1,(BY1413-$BX$31)*$BX$33)),SUM($BU$42:BU1413)/$BV$40))</f>
        <v>0.99999334665409323</v>
      </c>
      <c r="BW1413" s="16">
        <f t="shared" si="422"/>
        <v>2.0820805366358156E-4</v>
      </c>
      <c r="BY1413" s="16">
        <f t="shared" si="423"/>
        <v>137.0999999999965</v>
      </c>
      <c r="BZ1413" s="16">
        <f t="shared" si="424"/>
        <v>1.518658305350743E-6</v>
      </c>
      <c r="CA1413" s="16">
        <f t="shared" si="431"/>
        <v>-999</v>
      </c>
      <c r="CE1413" s="16" t="e">
        <f t="shared" si="425"/>
        <v>#N/A</v>
      </c>
      <c r="CF1413" s="16">
        <f t="shared" si="426"/>
        <v>99</v>
      </c>
      <c r="CG1413" s="16">
        <f t="shared" si="427"/>
        <v>0</v>
      </c>
      <c r="CH1413" s="16">
        <f t="shared" si="432"/>
        <v>0</v>
      </c>
      <c r="CJ1413" s="16" t="e">
        <f t="shared" si="428"/>
        <v>#N/A</v>
      </c>
      <c r="CK1413" s="16" t="str">
        <f t="shared" si="429"/>
        <v/>
      </c>
    </row>
    <row r="1414" spans="73:89" ht="12" customHeight="1">
      <c r="BU1414" s="16">
        <f t="shared" si="430"/>
        <v>0</v>
      </c>
      <c r="BV1414" s="16">
        <f>IF($BY$12=1,NORMDIST(BY1414,$Y$6,$Y$8,TRUE),IF($BY$12=2,IF(BY1414&lt;=$BX$31,0,IF(BY1414&gt;=$BX$32,1,(BY1414-$BX$31)*$BX$33)),SUM($BU$42:BU1414)/$BV$40))</f>
        <v>0.99999349687778349</v>
      </c>
      <c r="BW1414" s="16">
        <f t="shared" si="422"/>
        <v>2.0386937426054432E-4</v>
      </c>
      <c r="BY1414" s="16">
        <f t="shared" si="423"/>
        <v>137.19999999999649</v>
      </c>
      <c r="BZ1414" s="16">
        <f t="shared" si="424"/>
        <v>1.4859283838232474E-6</v>
      </c>
      <c r="CA1414" s="16">
        <f t="shared" si="431"/>
        <v>-999</v>
      </c>
      <c r="CE1414" s="16" t="e">
        <f t="shared" si="425"/>
        <v>#N/A</v>
      </c>
      <c r="CF1414" s="16">
        <f t="shared" si="426"/>
        <v>99</v>
      </c>
      <c r="CG1414" s="16">
        <f t="shared" si="427"/>
        <v>0</v>
      </c>
      <c r="CH1414" s="16">
        <f t="shared" si="432"/>
        <v>0</v>
      </c>
      <c r="CJ1414" s="16" t="e">
        <f t="shared" si="428"/>
        <v>#N/A</v>
      </c>
      <c r="CK1414" s="16" t="str">
        <f t="shared" si="429"/>
        <v/>
      </c>
    </row>
    <row r="1415" spans="73:89" ht="12" customHeight="1">
      <c r="BU1415" s="16">
        <f t="shared" si="430"/>
        <v>0</v>
      </c>
      <c r="BV1415" s="16">
        <f>IF($BY$12=1,NORMDIST(BY1415,$Y$6,$Y$8,TRUE),IF($BY$12=2,IF(BY1415&lt;=$BX$31,0,IF(BY1415&gt;=$BX$32,1,(BY1415-$BX$31)*$BX$33)),SUM($BU$42:BU1415)/$BV$40))</f>
        <v>0.99999364386207523</v>
      </c>
      <c r="BW1415" s="16">
        <f t="shared" si="422"/>
        <v>1.9961600858247789E-4</v>
      </c>
      <c r="BY1415" s="16">
        <f t="shared" si="423"/>
        <v>137.29999999999649</v>
      </c>
      <c r="BZ1415" s="16">
        <f t="shared" si="424"/>
        <v>1.453867506063241E-6</v>
      </c>
      <c r="CA1415" s="16">
        <f t="shared" si="431"/>
        <v>-999</v>
      </c>
      <c r="CE1415" s="16" t="e">
        <f t="shared" si="425"/>
        <v>#N/A</v>
      </c>
      <c r="CF1415" s="16">
        <f t="shared" si="426"/>
        <v>99</v>
      </c>
      <c r="CG1415" s="16">
        <f t="shared" si="427"/>
        <v>0</v>
      </c>
      <c r="CH1415" s="16">
        <f t="shared" si="432"/>
        <v>0</v>
      </c>
      <c r="CJ1415" s="16" t="e">
        <f t="shared" si="428"/>
        <v>#N/A</v>
      </c>
      <c r="CK1415" s="16" t="str">
        <f t="shared" si="429"/>
        <v/>
      </c>
    </row>
    <row r="1416" spans="73:89" ht="12" customHeight="1">
      <c r="BU1416" s="16">
        <f t="shared" si="430"/>
        <v>0</v>
      </c>
      <c r="BV1416" s="16">
        <f>IF($BY$12=1,NORMDIST(BY1416,$Y$6,$Y$8,TRUE),IF($BY$12=2,IF(BY1416&lt;=$BX$31,0,IF(BY1416&gt;=$BX$32,1,(BY1416-$BX$31)*$BX$33)),SUM($BU$42:BU1416)/$BV$40))</f>
        <v>0.99999378767319413</v>
      </c>
      <c r="BW1416" s="16">
        <f t="shared" si="422"/>
        <v>1.9544639178309568E-4</v>
      </c>
      <c r="BY1416" s="16">
        <f t="shared" si="423"/>
        <v>137.39999999999648</v>
      </c>
      <c r="BZ1416" s="16">
        <f t="shared" si="424"/>
        <v>1.4224628222933093E-6</v>
      </c>
      <c r="CA1416" s="16">
        <f t="shared" si="431"/>
        <v>-999</v>
      </c>
      <c r="CE1416" s="16" t="e">
        <f t="shared" si="425"/>
        <v>#N/A</v>
      </c>
      <c r="CF1416" s="16">
        <f t="shared" si="426"/>
        <v>99</v>
      </c>
      <c r="CG1416" s="16">
        <f t="shared" si="427"/>
        <v>0</v>
      </c>
      <c r="CH1416" s="16">
        <f t="shared" si="432"/>
        <v>0</v>
      </c>
      <c r="CJ1416" s="16" t="e">
        <f t="shared" si="428"/>
        <v>#N/A</v>
      </c>
      <c r="CK1416" s="16" t="str">
        <f t="shared" si="429"/>
        <v/>
      </c>
    </row>
    <row r="1417" spans="73:89" ht="12" customHeight="1">
      <c r="BU1417" s="16">
        <f t="shared" si="430"/>
        <v>0</v>
      </c>
      <c r="BV1417" s="16">
        <f>IF($BY$12=1,NORMDIST(BY1417,$Y$6,$Y$8,TRUE),IF($BY$12=2,IF(BY1417&lt;=$BX$31,0,IF(BY1417&gt;=$BX$32,1,(BY1417-$BX$31)*$BX$33)),SUM($BU$42:BU1417)/$BV$40))</f>
        <v>0.99999392837608403</v>
      </c>
      <c r="BW1417" s="16">
        <f t="shared" si="422"/>
        <v>1.9135898532599487E-4</v>
      </c>
      <c r="BY1417" s="16">
        <f t="shared" si="423"/>
        <v>137.49999999999648</v>
      </c>
      <c r="BZ1417" s="16">
        <f t="shared" si="424"/>
        <v>1.3917017114618167E-6</v>
      </c>
      <c r="CA1417" s="16">
        <f t="shared" si="431"/>
        <v>-999</v>
      </c>
      <c r="CE1417" s="16" t="e">
        <f t="shared" si="425"/>
        <v>#N/A</v>
      </c>
      <c r="CF1417" s="16">
        <f t="shared" si="426"/>
        <v>99</v>
      </c>
      <c r="CG1417" s="16">
        <f t="shared" si="427"/>
        <v>0</v>
      </c>
      <c r="CH1417" s="16">
        <f t="shared" si="432"/>
        <v>0</v>
      </c>
      <c r="CJ1417" s="16" t="e">
        <f t="shared" si="428"/>
        <v>#N/A</v>
      </c>
      <c r="CK1417" s="16" t="str">
        <f t="shared" si="429"/>
        <v/>
      </c>
    </row>
    <row r="1418" spans="73:89" ht="12" customHeight="1">
      <c r="BU1418" s="16">
        <f t="shared" si="430"/>
        <v>0</v>
      </c>
      <c r="BV1418" s="16">
        <f>IF($BY$12=1,NORMDIST(BY1418,$Y$6,$Y$8,TRUE),IF($BY$12=2,IF(BY1418&lt;=$BX$31,0,IF(BY1418&gt;=$BX$32,1,(BY1418-$BX$31)*$BX$33)),SUM($BU$42:BU1418)/$BV$40))</f>
        <v>0.99999406603454999</v>
      </c>
      <c r="BW1418" s="16">
        <f t="shared" si="422"/>
        <v>1.873522765909691E-4</v>
      </c>
      <c r="BY1418" s="16">
        <f t="shared" si="423"/>
        <v>137.59999999999647</v>
      </c>
      <c r="BZ1418" s="16">
        <f t="shared" si="424"/>
        <v>1.3615717775506824E-6</v>
      </c>
      <c r="CA1418" s="16">
        <f t="shared" si="431"/>
        <v>-999</v>
      </c>
      <c r="CE1418" s="16" t="e">
        <f t="shared" si="425"/>
        <v>#N/A</v>
      </c>
      <c r="CF1418" s="16">
        <f t="shared" si="426"/>
        <v>99</v>
      </c>
      <c r="CG1418" s="16">
        <f t="shared" si="427"/>
        <v>0</v>
      </c>
      <c r="CH1418" s="16">
        <f t="shared" si="432"/>
        <v>0</v>
      </c>
      <c r="CJ1418" s="16" t="e">
        <f t="shared" si="428"/>
        <v>#N/A</v>
      </c>
      <c r="CK1418" s="16" t="str">
        <f t="shared" si="429"/>
        <v/>
      </c>
    </row>
    <row r="1419" spans="73:89" ht="12" customHeight="1">
      <c r="BU1419" s="16">
        <f t="shared" si="430"/>
        <v>0</v>
      </c>
      <c r="BV1419" s="16">
        <f>IF($BY$12=1,NORMDIST(BY1419,$Y$6,$Y$8,TRUE),IF($BY$12=2,IF(BY1419&lt;=$BX$31,0,IF(BY1419&gt;=$BX$32,1,(BY1419-$BX$31)*$BX$33)),SUM($BU$42:BU1419)/$BV$40))</f>
        <v>0.99999420071106271</v>
      </c>
      <c r="BW1419" s="16">
        <f t="shared" si="422"/>
        <v>1.8342477848526538E-4</v>
      </c>
      <c r="BY1419" s="16">
        <f t="shared" si="423"/>
        <v>137.69999999999646</v>
      </c>
      <c r="BZ1419" s="16">
        <f t="shared" si="424"/>
        <v>1.3320608459351497E-6</v>
      </c>
      <c r="CA1419" s="16">
        <f t="shared" si="431"/>
        <v>-999</v>
      </c>
      <c r="CE1419" s="16" t="e">
        <f t="shared" si="425"/>
        <v>#N/A</v>
      </c>
      <c r="CF1419" s="16">
        <f t="shared" si="426"/>
        <v>99</v>
      </c>
      <c r="CG1419" s="16">
        <f t="shared" si="427"/>
        <v>0</v>
      </c>
      <c r="CH1419" s="16">
        <f t="shared" si="432"/>
        <v>0</v>
      </c>
      <c r="CJ1419" s="16" t="e">
        <f t="shared" si="428"/>
        <v>#N/A</v>
      </c>
      <c r="CK1419" s="16" t="str">
        <f t="shared" si="429"/>
        <v/>
      </c>
    </row>
    <row r="1420" spans="73:89" ht="12" customHeight="1">
      <c r="BU1420" s="16">
        <f t="shared" si="430"/>
        <v>0</v>
      </c>
      <c r="BV1420" s="16">
        <f>IF($BY$12=1,NORMDIST(BY1420,$Y$6,$Y$8,TRUE),IF($BY$12=2,IF(BY1420&lt;=$BX$31,0,IF(BY1420&gt;=$BX$32,1,(BY1420-$BX$31)*$BX$33)),SUM($BU$42:BU1420)/$BV$40))</f>
        <v>0.99999433246696157</v>
      </c>
      <c r="BW1420" s="16">
        <f t="shared" si="422"/>
        <v>1.7957502905973654E-4</v>
      </c>
      <c r="BY1420" s="16">
        <f t="shared" si="423"/>
        <v>137.79999999999646</v>
      </c>
      <c r="BZ1420" s="16">
        <f t="shared" si="424"/>
        <v>1.3031569597949285E-6</v>
      </c>
      <c r="CA1420" s="16">
        <f t="shared" si="431"/>
        <v>-999</v>
      </c>
      <c r="CE1420" s="16" t="e">
        <f t="shared" si="425"/>
        <v>#N/A</v>
      </c>
      <c r="CF1420" s="16">
        <f t="shared" si="426"/>
        <v>99</v>
      </c>
      <c r="CG1420" s="16">
        <f t="shared" si="427"/>
        <v>0</v>
      </c>
      <c r="CH1420" s="16">
        <f t="shared" si="432"/>
        <v>0</v>
      </c>
      <c r="CJ1420" s="16" t="e">
        <f t="shared" si="428"/>
        <v>#N/A</v>
      </c>
      <c r="CK1420" s="16" t="str">
        <f t="shared" si="429"/>
        <v/>
      </c>
    </row>
    <row r="1421" spans="73:89" ht="12" customHeight="1">
      <c r="BU1421" s="16">
        <f t="shared" si="430"/>
        <v>0</v>
      </c>
      <c r="BV1421" s="16">
        <f>IF($BY$12=1,NORMDIST(BY1421,$Y$6,$Y$8,TRUE),IF($BY$12=2,IF(BY1421&lt;=$BX$31,0,IF(BY1421&gt;=$BX$32,1,(BY1421-$BX$31)*$BX$33)),SUM($BU$42:BU1421)/$BV$40))</f>
        <v>0.99999446136230441</v>
      </c>
      <c r="BW1421" s="16">
        <f t="shared" si="422"/>
        <v>1.7580159112984896E-4</v>
      </c>
      <c r="BY1421" s="16">
        <f t="shared" si="423"/>
        <v>137.89999999999645</v>
      </c>
      <c r="BZ1421" s="16">
        <f t="shared" si="424"/>
        <v>1.2748483765761675E-6</v>
      </c>
      <c r="CA1421" s="16">
        <f t="shared" si="431"/>
        <v>-999</v>
      </c>
      <c r="CE1421" s="16" t="e">
        <f t="shared" si="425"/>
        <v>#N/A</v>
      </c>
      <c r="CF1421" s="16">
        <f t="shared" si="426"/>
        <v>99</v>
      </c>
      <c r="CG1421" s="16">
        <f t="shared" si="427"/>
        <v>0</v>
      </c>
      <c r="CH1421" s="16">
        <f t="shared" si="432"/>
        <v>0</v>
      </c>
      <c r="CJ1421" s="16" t="e">
        <f t="shared" si="428"/>
        <v>#N/A</v>
      </c>
      <c r="CK1421" s="16" t="str">
        <f t="shared" si="429"/>
        <v/>
      </c>
    </row>
    <row r="1422" spans="73:89" ht="12" customHeight="1">
      <c r="BU1422" s="16">
        <f t="shared" si="430"/>
        <v>0</v>
      </c>
      <c r="BV1422" s="16">
        <f>IF($BY$12=1,NORMDIST(BY1422,$Y$6,$Y$8,TRUE),IF($BY$12=2,IF(BY1422&lt;=$BX$31,0,IF(BY1422&gt;=$BX$32,1,(BY1422-$BX$31)*$BX$33)),SUM($BU$42:BU1422)/$BV$40))</f>
        <v>0.99999458745606695</v>
      </c>
      <c r="BW1422" s="16">
        <f t="shared" si="422"/>
        <v>1.7210305190149978E-4</v>
      </c>
      <c r="BY1422" s="16">
        <f t="shared" si="423"/>
        <v>137.99999999999645</v>
      </c>
      <c r="BZ1422" s="16">
        <f t="shared" si="424"/>
        <v>1.2471235645036536E-6</v>
      </c>
      <c r="CA1422" s="16">
        <f t="shared" si="431"/>
        <v>-999</v>
      </c>
      <c r="CE1422" s="16" t="e">
        <f t="shared" si="425"/>
        <v>#N/A</v>
      </c>
      <c r="CF1422" s="16">
        <f t="shared" si="426"/>
        <v>99</v>
      </c>
      <c r="CG1422" s="16">
        <f t="shared" si="427"/>
        <v>0</v>
      </c>
      <c r="CH1422" s="16">
        <f t="shared" si="432"/>
        <v>0</v>
      </c>
      <c r="CJ1422" s="16" t="e">
        <f t="shared" si="428"/>
        <v>#N/A</v>
      </c>
      <c r="CK1422" s="16" t="str">
        <f t="shared" si="429"/>
        <v/>
      </c>
    </row>
    <row r="1423" spans="73:89" ht="12" customHeight="1">
      <c r="BU1423" s="16">
        <f t="shared" si="430"/>
        <v>0</v>
      </c>
      <c r="BV1423" s="16">
        <f>IF($BY$12=1,NORMDIST(BY1423,$Y$6,$Y$8,TRUE),IF($BY$12=2,IF(BY1423&lt;=$BX$31,0,IF(BY1423&gt;=$BX$32,1,(BY1423-$BX$31)*$BX$33)),SUM($BU$42:BU1423)/$BV$40))</f>
        <v>0.99999471080611058</v>
      </c>
      <c r="BW1423" s="16">
        <f t="shared" si="422"/>
        <v>1.6847802260159676E-4</v>
      </c>
      <c r="BY1423" s="16">
        <f t="shared" si="423"/>
        <v>138.09999999999644</v>
      </c>
      <c r="BZ1423" s="16">
        <f t="shared" si="424"/>
        <v>1.2199711991426583E-6</v>
      </c>
      <c r="CA1423" s="16">
        <f t="shared" si="431"/>
        <v>-999</v>
      </c>
      <c r="CE1423" s="16" t="e">
        <f t="shared" si="425"/>
        <v>#N/A</v>
      </c>
      <c r="CF1423" s="16">
        <f t="shared" si="426"/>
        <v>99</v>
      </c>
      <c r="CG1423" s="16">
        <f t="shared" si="427"/>
        <v>0</v>
      </c>
      <c r="CH1423" s="16">
        <f t="shared" si="432"/>
        <v>0</v>
      </c>
      <c r="CJ1423" s="16" t="e">
        <f t="shared" si="428"/>
        <v>#N/A</v>
      </c>
      <c r="CK1423" s="16" t="str">
        <f t="shared" si="429"/>
        <v/>
      </c>
    </row>
    <row r="1424" spans="73:89" ht="12" customHeight="1">
      <c r="BU1424" s="16">
        <f t="shared" si="430"/>
        <v>0</v>
      </c>
      <c r="BV1424" s="16">
        <f>IF($BY$12=1,NORMDIST(BY1424,$Y$6,$Y$8,TRUE),IF($BY$12=2,IF(BY1424&lt;=$BX$31,0,IF(BY1424&gt;=$BX$32,1,(BY1424-$BX$31)*$BX$33)),SUM($BU$42:BU1424)/$BV$40))</f>
        <v>0.99999483146903423</v>
      </c>
      <c r="BW1424" s="16">
        <f t="shared" si="422"/>
        <v>1.6492513811336624E-4</v>
      </c>
      <c r="BY1424" s="16">
        <f t="shared" si="423"/>
        <v>138.19999999999644</v>
      </c>
      <c r="BZ1424" s="16">
        <f t="shared" si="424"/>
        <v>1.1933801600099168E-6</v>
      </c>
      <c r="CA1424" s="16">
        <f t="shared" si="431"/>
        <v>-999</v>
      </c>
      <c r="CE1424" s="16" t="e">
        <f t="shared" si="425"/>
        <v>#N/A</v>
      </c>
      <c r="CF1424" s="16">
        <f t="shared" si="426"/>
        <v>99</v>
      </c>
      <c r="CG1424" s="16">
        <f t="shared" si="427"/>
        <v>0</v>
      </c>
      <c r="CH1424" s="16">
        <f t="shared" si="432"/>
        <v>0</v>
      </c>
      <c r="CJ1424" s="16" t="e">
        <f t="shared" si="428"/>
        <v>#N/A</v>
      </c>
      <c r="CK1424" s="16" t="str">
        <f t="shared" si="429"/>
        <v/>
      </c>
    </row>
    <row r="1425" spans="73:89" ht="12" customHeight="1">
      <c r="BU1425" s="16">
        <f t="shared" si="430"/>
        <v>0</v>
      </c>
      <c r="BV1425" s="16">
        <f>IF($BY$12=1,NORMDIST(BY1425,$Y$6,$Y$8,TRUE),IF($BY$12=2,IF(BY1425&lt;=$BX$31,0,IF(BY1425&gt;=$BX$32,1,(BY1425-$BX$31)*$BX$33)),SUM($BU$42:BU1425)/$BV$40))</f>
        <v>0.99999494950045986</v>
      </c>
      <c r="BW1425" s="16">
        <f t="shared" si="422"/>
        <v>1.6144305661633295E-4</v>
      </c>
      <c r="BY1425" s="16">
        <f t="shared" si="423"/>
        <v>138.29999999999643</v>
      </c>
      <c r="BZ1425" s="16">
        <f t="shared" si="424"/>
        <v>1.1673395272330956E-6</v>
      </c>
      <c r="CA1425" s="16">
        <f t="shared" si="431"/>
        <v>-999</v>
      </c>
      <c r="CE1425" s="16" t="e">
        <f t="shared" si="425"/>
        <v>#N/A</v>
      </c>
      <c r="CF1425" s="16">
        <f t="shared" si="426"/>
        <v>99</v>
      </c>
      <c r="CG1425" s="16">
        <f t="shared" si="427"/>
        <v>0</v>
      </c>
      <c r="CH1425" s="16">
        <f t="shared" si="432"/>
        <v>0</v>
      </c>
      <c r="CJ1425" s="16" t="e">
        <f t="shared" si="428"/>
        <v>#N/A</v>
      </c>
      <c r="CK1425" s="16" t="str">
        <f t="shared" si="429"/>
        <v/>
      </c>
    </row>
    <row r="1426" spans="73:89" ht="12" customHeight="1">
      <c r="BU1426" s="16">
        <f t="shared" si="430"/>
        <v>0</v>
      </c>
      <c r="BV1426" s="16">
        <f>IF($BY$12=1,NORMDIST(BY1426,$Y$6,$Y$8,TRUE),IF($BY$12=2,IF(BY1426&lt;=$BX$31,0,IF(BY1426&gt;=$BX$32,1,(BY1426-$BX$31)*$BX$33)),SUM($BU$42:BU1426)/$BV$40))</f>
        <v>0.99999506495492807</v>
      </c>
      <c r="BW1426" s="16">
        <f t="shared" si="422"/>
        <v>1.5803045923093751E-4</v>
      </c>
      <c r="BY1426" s="16">
        <f t="shared" si="423"/>
        <v>138.39999999999642</v>
      </c>
      <c r="BZ1426" s="16">
        <f t="shared" si="424"/>
        <v>1.1418385782582485E-6</v>
      </c>
      <c r="CA1426" s="16">
        <f t="shared" si="431"/>
        <v>-999</v>
      </c>
      <c r="CE1426" s="16" t="e">
        <f t="shared" si="425"/>
        <v>#N/A</v>
      </c>
      <c r="CF1426" s="16">
        <f t="shared" si="426"/>
        <v>99</v>
      </c>
      <c r="CG1426" s="16">
        <f t="shared" si="427"/>
        <v>0</v>
      </c>
      <c r="CH1426" s="16">
        <f t="shared" si="432"/>
        <v>0</v>
      </c>
      <c r="CJ1426" s="16" t="e">
        <f t="shared" si="428"/>
        <v>#N/A</v>
      </c>
      <c r="CK1426" s="16" t="str">
        <f t="shared" si="429"/>
        <v/>
      </c>
    </row>
    <row r="1427" spans="73:89" ht="12" customHeight="1">
      <c r="BU1427" s="16">
        <f t="shared" si="430"/>
        <v>0</v>
      </c>
      <c r="BV1427" s="16">
        <f>IF($BY$12=1,NORMDIST(BY1427,$Y$6,$Y$8,TRUE),IF($BY$12=2,IF(BY1427&lt;=$BX$31,0,IF(BY1427&gt;=$BX$32,1,(BY1427-$BX$31)*$BX$33)),SUM($BU$42:BU1427)/$BV$40))</f>
        <v>0.99999517788581249</v>
      </c>
      <c r="BW1427" s="16">
        <f t="shared" ref="BW1427:BW1490" si="433">BY1427*BZ1427</f>
        <v>1.5468604966774479E-4</v>
      </c>
      <c r="BY1427" s="16">
        <f t="shared" ref="BY1427:BY1490" si="434">BY1426+$BZ$1</f>
        <v>138.49999999999642</v>
      </c>
      <c r="BZ1427" s="16">
        <f t="shared" si="424"/>
        <v>1.1168667846046844E-6</v>
      </c>
      <c r="CA1427" s="16">
        <f t="shared" si="431"/>
        <v>-999</v>
      </c>
      <c r="CE1427" s="16" t="e">
        <f t="shared" si="425"/>
        <v>#N/A</v>
      </c>
      <c r="CF1427" s="16">
        <f t="shared" si="426"/>
        <v>99</v>
      </c>
      <c r="CG1427" s="16">
        <f t="shared" si="427"/>
        <v>0</v>
      </c>
      <c r="CH1427" s="16">
        <f t="shared" si="432"/>
        <v>0</v>
      </c>
      <c r="CJ1427" s="16" t="e">
        <f t="shared" si="428"/>
        <v>#N/A</v>
      </c>
      <c r="CK1427" s="16" t="str">
        <f t="shared" si="429"/>
        <v/>
      </c>
    </row>
    <row r="1428" spans="73:89" ht="12" customHeight="1">
      <c r="BU1428" s="16">
        <f t="shared" si="430"/>
        <v>0</v>
      </c>
      <c r="BV1428" s="16">
        <f>IF($BY$12=1,NORMDIST(BY1428,$Y$6,$Y$8,TRUE),IF($BY$12=2,IF(BY1428&lt;=$BX$31,0,IF(BY1428&gt;=$BX$32,1,(BY1428-$BX$31)*$BX$33)),SUM($BU$42:BU1428)/$BV$40))</f>
        <v>0.99999528834558149</v>
      </c>
      <c r="BW1428" s="16">
        <f t="shared" si="433"/>
        <v>1.5140855388119914E-4</v>
      </c>
      <c r="BY1428" s="16">
        <f t="shared" si="434"/>
        <v>138.59999999999641</v>
      </c>
      <c r="BZ1428" s="16">
        <f t="shared" si="424"/>
        <v>1.0924138086666886E-6</v>
      </c>
      <c r="CA1428" s="16">
        <f t="shared" si="431"/>
        <v>-999</v>
      </c>
      <c r="CE1428" s="16" t="e">
        <f t="shared" si="425"/>
        <v>#N/A</v>
      </c>
      <c r="CF1428" s="16">
        <f t="shared" si="426"/>
        <v>99</v>
      </c>
      <c r="CG1428" s="16">
        <f t="shared" si="427"/>
        <v>0</v>
      </c>
      <c r="CH1428" s="16">
        <f t="shared" si="432"/>
        <v>0</v>
      </c>
      <c r="CJ1428" s="16" t="e">
        <f t="shared" si="428"/>
        <v>#N/A</v>
      </c>
      <c r="CK1428" s="16" t="str">
        <f t="shared" si="429"/>
        <v/>
      </c>
    </row>
    <row r="1429" spans="73:89" ht="12" customHeight="1">
      <c r="BU1429" s="16">
        <f t="shared" si="430"/>
        <v>0</v>
      </c>
      <c r="BV1429" s="16">
        <f>IF($BY$12=1,NORMDIST(BY1429,$Y$6,$Y$8,TRUE),IF($BY$12=2,IF(BY1429&lt;=$BX$31,0,IF(BY1429&gt;=$BX$32,1,(BY1429-$BX$31)*$BX$33)),SUM($BU$42:BU1429)/$BV$40))</f>
        <v>0.99999539638554946</v>
      </c>
      <c r="BW1429" s="16">
        <f t="shared" si="433"/>
        <v>1.4819671972788326E-4</v>
      </c>
      <c r="BY1429" s="16">
        <f t="shared" si="434"/>
        <v>138.69999999999641</v>
      </c>
      <c r="BZ1429" s="16">
        <f t="shared" si="424"/>
        <v>1.0684695005615508E-6</v>
      </c>
      <c r="CA1429" s="16">
        <f t="shared" si="431"/>
        <v>-999</v>
      </c>
      <c r="CE1429" s="16" t="e">
        <f t="shared" si="425"/>
        <v>#N/A</v>
      </c>
      <c r="CF1429" s="16">
        <f t="shared" si="426"/>
        <v>99</v>
      </c>
      <c r="CG1429" s="16">
        <f t="shared" si="427"/>
        <v>0</v>
      </c>
      <c r="CH1429" s="16">
        <f t="shared" si="432"/>
        <v>0</v>
      </c>
      <c r="CJ1429" s="16" t="e">
        <f t="shared" si="428"/>
        <v>#N/A</v>
      </c>
      <c r="CK1429" s="16" t="str">
        <f t="shared" si="429"/>
        <v/>
      </c>
    </row>
    <row r="1430" spans="73:89" ht="12" customHeight="1">
      <c r="BU1430" s="16">
        <f t="shared" si="430"/>
        <v>0</v>
      </c>
      <c r="BV1430" s="16">
        <f>IF($BY$12=1,NORMDIST(BY1430,$Y$6,$Y$8,TRUE),IF($BY$12=2,IF(BY1430&lt;=$BX$31,0,IF(BY1430&gt;=$BX$32,1,(BY1430-$BX$31)*$BX$33)),SUM($BU$42:BU1430)/$BV$40))</f>
        <v>0.99999550205608356</v>
      </c>
      <c r="BW1430" s="16">
        <f t="shared" si="433"/>
        <v>1.4504931662923801E-4</v>
      </c>
      <c r="BY1430" s="16">
        <f t="shared" si="434"/>
        <v>138.7999999999964</v>
      </c>
      <c r="BZ1430" s="16">
        <f t="shared" si="424"/>
        <v>1.0450238950233556E-6</v>
      </c>
      <c r="CA1430" s="16">
        <f t="shared" si="431"/>
        <v>-999</v>
      </c>
      <c r="CE1430" s="16" t="e">
        <f t="shared" si="425"/>
        <v>#N/A</v>
      </c>
      <c r="CF1430" s="16">
        <f t="shared" si="426"/>
        <v>99</v>
      </c>
      <c r="CG1430" s="16">
        <f t="shared" si="427"/>
        <v>0</v>
      </c>
      <c r="CH1430" s="16">
        <f t="shared" si="432"/>
        <v>0</v>
      </c>
      <c r="CJ1430" s="16" t="e">
        <f t="shared" si="428"/>
        <v>#N/A</v>
      </c>
      <c r="CK1430" s="16" t="str">
        <f t="shared" si="429"/>
        <v/>
      </c>
    </row>
    <row r="1431" spans="73:89" ht="12" customHeight="1">
      <c r="BU1431" s="16">
        <f t="shared" si="430"/>
        <v>0</v>
      </c>
      <c r="BV1431" s="16">
        <f>IF($BY$12=1,NORMDIST(BY1431,$Y$6,$Y$8,TRUE),IF($BY$12=2,IF(BY1431&lt;=$BX$31,0,IF(BY1431&gt;=$BX$32,1,(BY1431-$BX$31)*$BX$33)),SUM($BU$42:BU1431)/$BV$40))</f>
        <v>0.99999560540661792</v>
      </c>
      <c r="BW1431" s="16">
        <f t="shared" si="433"/>
        <v>1.4196513523870196E-4</v>
      </c>
      <c r="BY1431" s="16">
        <f t="shared" si="434"/>
        <v>138.8999999999964</v>
      </c>
      <c r="BZ1431" s="16">
        <f t="shared" si="424"/>
        <v>1.0220672083420132E-6</v>
      </c>
      <c r="CA1431" s="16">
        <f t="shared" si="431"/>
        <v>-999</v>
      </c>
      <c r="CE1431" s="16" t="e">
        <f t="shared" si="425"/>
        <v>#N/A</v>
      </c>
      <c r="CF1431" s="16">
        <f t="shared" si="426"/>
        <v>99</v>
      </c>
      <c r="CG1431" s="16">
        <f t="shared" si="427"/>
        <v>0</v>
      </c>
      <c r="CH1431" s="16">
        <f t="shared" si="432"/>
        <v>0</v>
      </c>
      <c r="CJ1431" s="16" t="e">
        <f t="shared" si="428"/>
        <v>#N/A</v>
      </c>
      <c r="CK1431" s="16" t="str">
        <f t="shared" si="429"/>
        <v/>
      </c>
    </row>
    <row r="1432" spans="73:89" ht="12" customHeight="1">
      <c r="BU1432" s="16">
        <f t="shared" si="430"/>
        <v>0</v>
      </c>
      <c r="BV1432" s="16">
        <f>IF($BY$12=1,NORMDIST(BY1432,$Y$6,$Y$8,TRUE),IF($BY$12=2,IF(BY1432&lt;=$BX$31,0,IF(BY1432&gt;=$BX$32,1,(BY1432-$BX$31)*$BX$33)),SUM($BU$42:BU1432)/$BV$40))</f>
        <v>0.99999570648553338</v>
      </c>
      <c r="BW1432" s="16">
        <f t="shared" si="433"/>
        <v>1.3894298711322132E-4</v>
      </c>
      <c r="BY1432" s="16">
        <f t="shared" si="434"/>
        <v>138.99999999999639</v>
      </c>
      <c r="BZ1432" s="16">
        <f t="shared" si="424"/>
        <v>9.9958983534694195E-7</v>
      </c>
      <c r="CA1432" s="16">
        <f t="shared" si="431"/>
        <v>-999</v>
      </c>
      <c r="CE1432" s="16" t="e">
        <f t="shared" si="425"/>
        <v>#N/A</v>
      </c>
      <c r="CF1432" s="16">
        <f t="shared" si="426"/>
        <v>99</v>
      </c>
      <c r="CG1432" s="16">
        <f t="shared" si="427"/>
        <v>0</v>
      </c>
      <c r="CH1432" s="16">
        <f t="shared" si="432"/>
        <v>0</v>
      </c>
      <c r="CJ1432" s="16" t="e">
        <f t="shared" si="428"/>
        <v>#N/A</v>
      </c>
      <c r="CK1432" s="16" t="str">
        <f t="shared" si="429"/>
        <v/>
      </c>
    </row>
    <row r="1433" spans="73:89" ht="12" customHeight="1">
      <c r="BU1433" s="16">
        <f t="shared" si="430"/>
        <v>0</v>
      </c>
      <c r="BV1433" s="16">
        <f>IF($BY$12=1,NORMDIST(BY1433,$Y$6,$Y$8,TRUE),IF($BY$12=2,IF(BY1433&lt;=$BX$31,0,IF(BY1433&gt;=$BX$32,1,(BY1433-$BX$31)*$BX$33)),SUM($BU$42:BU1433)/$BV$40))</f>
        <v>0.99999580534024379</v>
      </c>
      <c r="BW1433" s="16">
        <f t="shared" si="433"/>
        <v>1.3598170438909702E-4</v>
      </c>
      <c r="BY1433" s="16">
        <f t="shared" si="434"/>
        <v>139.09999999999638</v>
      </c>
      <c r="BZ1433" s="16">
        <f t="shared" si="424"/>
        <v>9.7758234643494283E-7</v>
      </c>
      <c r="CA1433" s="16">
        <f t="shared" si="431"/>
        <v>-999</v>
      </c>
      <c r="CE1433" s="16" t="e">
        <f t="shared" si="425"/>
        <v>#N/A</v>
      </c>
      <c r="CF1433" s="16">
        <f t="shared" si="426"/>
        <v>99</v>
      </c>
      <c r="CG1433" s="16">
        <f t="shared" si="427"/>
        <v>0</v>
      </c>
      <c r="CH1433" s="16">
        <f t="shared" si="432"/>
        <v>0</v>
      </c>
      <c r="CJ1433" s="16" t="e">
        <f t="shared" si="428"/>
        <v>#N/A</v>
      </c>
      <c r="CK1433" s="16" t="str">
        <f t="shared" si="429"/>
        <v/>
      </c>
    </row>
    <row r="1434" spans="73:89" ht="12" customHeight="1">
      <c r="BU1434" s="16">
        <f t="shared" si="430"/>
        <v>0</v>
      </c>
      <c r="BV1434" s="16">
        <f>IF($BY$12=1,NORMDIST(BY1434,$Y$6,$Y$8,TRUE),IF($BY$12=2,IF(BY1434&lt;=$BX$31,0,IF(BY1434&gt;=$BX$32,1,(BY1434-$BX$31)*$BX$33)),SUM($BU$42:BU1434)/$BV$40))</f>
        <v>0.99999590201733535</v>
      </c>
      <c r="BW1434" s="16">
        <f t="shared" si="433"/>
        <v>1.3308013946211554E-4</v>
      </c>
      <c r="BY1434" s="16">
        <f t="shared" si="434"/>
        <v>139.19999999999638</v>
      </c>
      <c r="BZ1434" s="16">
        <f t="shared" si="424"/>
        <v>9.5603548464165944E-7</v>
      </c>
      <c r="CA1434" s="16">
        <f t="shared" si="431"/>
        <v>-999</v>
      </c>
      <c r="CE1434" s="16" t="e">
        <f t="shared" si="425"/>
        <v>#N/A</v>
      </c>
      <c r="CF1434" s="16">
        <f t="shared" si="426"/>
        <v>99</v>
      </c>
      <c r="CG1434" s="16">
        <f t="shared" si="427"/>
        <v>0</v>
      </c>
      <c r="CH1434" s="16">
        <f t="shared" si="432"/>
        <v>0</v>
      </c>
      <c r="CJ1434" s="16" t="e">
        <f t="shared" si="428"/>
        <v>#N/A</v>
      </c>
      <c r="CK1434" s="16" t="str">
        <f t="shared" si="429"/>
        <v/>
      </c>
    </row>
    <row r="1435" spans="73:89" ht="12" customHeight="1">
      <c r="BU1435" s="16">
        <f t="shared" si="430"/>
        <v>0</v>
      </c>
      <c r="BV1435" s="16">
        <f>IF($BY$12=1,NORMDIST(BY1435,$Y$6,$Y$8,TRUE),IF($BY$12=2,IF(BY1435&lt;=$BX$31,0,IF(BY1435&gt;=$BX$32,1,(BY1435-$BX$31)*$BX$33)),SUM($BU$42:BU1435)/$BV$40))</f>
        <v>0.99999599656242333</v>
      </c>
      <c r="BW1435" s="16">
        <f t="shared" si="433"/>
        <v>1.3023716467193026E-4</v>
      </c>
      <c r="BY1435" s="16">
        <f t="shared" si="434"/>
        <v>139.29999999999637</v>
      </c>
      <c r="BZ1435" s="16">
        <f t="shared" si="424"/>
        <v>9.3494016275616403E-7</v>
      </c>
      <c r="CA1435" s="16">
        <f t="shared" si="431"/>
        <v>-999</v>
      </c>
      <c r="CE1435" s="16" t="e">
        <f t="shared" si="425"/>
        <v>#N/A</v>
      </c>
      <c r="CF1435" s="16">
        <f t="shared" si="426"/>
        <v>99</v>
      </c>
      <c r="CG1435" s="16">
        <f t="shared" si="427"/>
        <v>0</v>
      </c>
      <c r="CH1435" s="16">
        <f t="shared" si="432"/>
        <v>0</v>
      </c>
      <c r="CJ1435" s="16" t="e">
        <f t="shared" si="428"/>
        <v>#N/A</v>
      </c>
      <c r="CK1435" s="16" t="str">
        <f t="shared" si="429"/>
        <v/>
      </c>
    </row>
    <row r="1436" spans="73:89" ht="12" customHeight="1">
      <c r="BU1436" s="16">
        <f t="shared" si="430"/>
        <v>0</v>
      </c>
      <c r="BV1436" s="16">
        <f>IF($BY$12=1,NORMDIST(BY1436,$Y$6,$Y$8,TRUE),IF($BY$12=2,IF(BY1436&lt;=$BX$31,0,IF(BY1436&gt;=$BX$32,1,(BY1436-$BX$31)*$BX$33)),SUM($BU$42:BU1436)/$BV$40))</f>
        <v>0.99999608902016479</v>
      </c>
      <c r="BW1436" s="16">
        <f t="shared" si="433"/>
        <v>1.2745167199064536E-4</v>
      </c>
      <c r="BY1436" s="16">
        <f t="shared" si="434"/>
        <v>139.39999999999637</v>
      </c>
      <c r="BZ1436" s="16">
        <f t="shared" si="424"/>
        <v>9.1428746047811104E-7</v>
      </c>
      <c r="CA1436" s="16">
        <f t="shared" si="431"/>
        <v>-999</v>
      </c>
      <c r="CE1436" s="16" t="e">
        <f t="shared" si="425"/>
        <v>#N/A</v>
      </c>
      <c r="CF1436" s="16">
        <f t="shared" si="426"/>
        <v>99</v>
      </c>
      <c r="CG1436" s="16">
        <f t="shared" si="427"/>
        <v>0</v>
      </c>
      <c r="CH1436" s="16">
        <f t="shared" si="432"/>
        <v>0</v>
      </c>
      <c r="CJ1436" s="16" t="e">
        <f t="shared" si="428"/>
        <v>#N/A</v>
      </c>
      <c r="CK1436" s="16" t="str">
        <f t="shared" si="429"/>
        <v/>
      </c>
    </row>
    <row r="1437" spans="73:89" ht="12" customHeight="1">
      <c r="BU1437" s="16">
        <f t="shared" si="430"/>
        <v>0</v>
      </c>
      <c r="BV1437" s="16">
        <f>IF($BY$12=1,NORMDIST(BY1437,$Y$6,$Y$8,TRUE),IF($BY$12=2,IF(BY1437&lt;=$BX$31,0,IF(BY1437&gt;=$BX$32,1,(BY1437-$BX$31)*$BX$33)),SUM($BU$42:BU1437)/$BV$40))</f>
        <v>0.99999617943432983</v>
      </c>
      <c r="BW1437" s="16">
        <f t="shared" si="433"/>
        <v>1.2472257271556065E-4</v>
      </c>
      <c r="BY1437" s="16">
        <f t="shared" si="434"/>
        <v>139.49999999999636</v>
      </c>
      <c r="BZ1437" s="16">
        <f t="shared" si="424"/>
        <v>8.9406862161694559E-7</v>
      </c>
      <c r="CA1437" s="16">
        <f t="shared" si="431"/>
        <v>-999</v>
      </c>
      <c r="CE1437" s="16" t="e">
        <f t="shared" si="425"/>
        <v>#N/A</v>
      </c>
      <c r="CF1437" s="16">
        <f t="shared" si="426"/>
        <v>99</v>
      </c>
      <c r="CG1437" s="16">
        <f t="shared" si="427"/>
        <v>0</v>
      </c>
      <c r="CH1437" s="16">
        <f t="shared" si="432"/>
        <v>0</v>
      </c>
      <c r="CJ1437" s="16" t="e">
        <f t="shared" si="428"/>
        <v>#N/A</v>
      </c>
      <c r="CK1437" s="16" t="str">
        <f t="shared" si="429"/>
        <v/>
      </c>
    </row>
    <row r="1438" spans="73:89" ht="12" customHeight="1">
      <c r="BU1438" s="16">
        <f t="shared" si="430"/>
        <v>0</v>
      </c>
      <c r="BV1438" s="16">
        <f>IF($BY$12=1,NORMDIST(BY1438,$Y$6,$Y$8,TRUE),IF($BY$12=2,IF(BY1438&lt;=$BX$31,0,IF(BY1438&gt;=$BX$32,1,(BY1438-$BX$31)*$BX$33)),SUM($BU$42:BU1438)/$BV$40))</f>
        <v>0.9999962678480514</v>
      </c>
      <c r="BW1438" s="16">
        <f t="shared" si="433"/>
        <v>1.220487971660377E-4</v>
      </c>
      <c r="BY1438" s="16">
        <f t="shared" si="434"/>
        <v>139.59999999999636</v>
      </c>
      <c r="BZ1438" s="16">
        <f t="shared" si="424"/>
        <v>8.7427505133267109E-7</v>
      </c>
      <c r="CA1438" s="16">
        <f t="shared" si="431"/>
        <v>-999</v>
      </c>
      <c r="CE1438" s="16" t="e">
        <f t="shared" si="425"/>
        <v>#N/A</v>
      </c>
      <c r="CF1438" s="16">
        <f t="shared" si="426"/>
        <v>99</v>
      </c>
      <c r="CG1438" s="16">
        <f t="shared" si="427"/>
        <v>0</v>
      </c>
      <c r="CH1438" s="16">
        <f t="shared" si="432"/>
        <v>0</v>
      </c>
      <c r="CJ1438" s="16" t="e">
        <f t="shared" si="428"/>
        <v>#N/A</v>
      </c>
      <c r="CK1438" s="16" t="str">
        <f t="shared" si="429"/>
        <v/>
      </c>
    </row>
    <row r="1439" spans="73:89" ht="12" customHeight="1">
      <c r="BU1439" s="16">
        <f t="shared" si="430"/>
        <v>0</v>
      </c>
      <c r="BV1439" s="16">
        <f>IF($BY$12=1,NORMDIST(BY1439,$Y$6,$Y$8,TRUE),IF($BY$12=2,IF(BY1439&lt;=$BX$31,0,IF(BY1439&gt;=$BX$32,1,(BY1439-$BX$31)*$BX$33)),SUM($BU$42:BU1439)/$BV$40))</f>
        <v>0.99999635430324629</v>
      </c>
      <c r="BW1439" s="16">
        <f t="shared" si="433"/>
        <v>1.1942929438444263E-4</v>
      </c>
      <c r="BY1439" s="16">
        <f t="shared" si="434"/>
        <v>139.69999999999635</v>
      </c>
      <c r="BZ1439" s="16">
        <f t="shared" si="424"/>
        <v>8.5489831341765033E-7</v>
      </c>
      <c r="CA1439" s="16">
        <f t="shared" si="431"/>
        <v>-999</v>
      </c>
      <c r="CE1439" s="16" t="e">
        <f t="shared" si="425"/>
        <v>#N/A</v>
      </c>
      <c r="CF1439" s="16">
        <f t="shared" si="426"/>
        <v>99</v>
      </c>
      <c r="CG1439" s="16">
        <f t="shared" si="427"/>
        <v>0</v>
      </c>
      <c r="CH1439" s="16">
        <f t="shared" si="432"/>
        <v>0</v>
      </c>
      <c r="CJ1439" s="16" t="e">
        <f t="shared" si="428"/>
        <v>#N/A</v>
      </c>
      <c r="CK1439" s="16" t="str">
        <f t="shared" si="429"/>
        <v/>
      </c>
    </row>
    <row r="1440" spans="73:89" ht="12" customHeight="1">
      <c r="BU1440" s="16">
        <f t="shared" si="430"/>
        <v>0</v>
      </c>
      <c r="BV1440" s="16">
        <f>IF($BY$12=1,NORMDIST(BY1440,$Y$6,$Y$8,TRUE),IF($BY$12=2,IF(BY1440&lt;=$BX$31,0,IF(BY1440&gt;=$BX$32,1,(BY1440-$BX$31)*$BX$33)),SUM($BU$42:BU1440)/$BV$40))</f>
        <v>0.99999643884133294</v>
      </c>
      <c r="BW1440" s="16">
        <f t="shared" si="433"/>
        <v>1.1686303184112491E-4</v>
      </c>
      <c r="BY1440" s="16">
        <f t="shared" si="434"/>
        <v>139.79999999999634</v>
      </c>
      <c r="BZ1440" s="16">
        <f t="shared" si="424"/>
        <v>8.3593012761894109E-7</v>
      </c>
      <c r="CA1440" s="16">
        <f t="shared" si="431"/>
        <v>-999</v>
      </c>
      <c r="CE1440" s="16" t="e">
        <f t="shared" si="425"/>
        <v>#N/A</v>
      </c>
      <c r="CF1440" s="16">
        <f t="shared" si="426"/>
        <v>99</v>
      </c>
      <c r="CG1440" s="16">
        <f t="shared" si="427"/>
        <v>0</v>
      </c>
      <c r="CH1440" s="16">
        <f t="shared" si="432"/>
        <v>0</v>
      </c>
      <c r="CJ1440" s="16" t="e">
        <f t="shared" si="428"/>
        <v>#N/A</v>
      </c>
      <c r="CK1440" s="16" t="str">
        <f t="shared" si="429"/>
        <v/>
      </c>
    </row>
    <row r="1441" spans="73:89" ht="12" customHeight="1">
      <c r="BU1441" s="16">
        <f t="shared" si="430"/>
        <v>0</v>
      </c>
      <c r="BV1441" s="16">
        <f>IF($BY$12=1,NORMDIST(BY1441,$Y$6,$Y$8,TRUE),IF($BY$12=2,IF(BY1441&lt;=$BX$31,0,IF(BY1441&gt;=$BX$32,1,(BY1441-$BX$31)*$BX$33)),SUM($BU$42:BU1441)/$BV$40))</f>
        <v>0.99999652150261209</v>
      </c>
      <c r="BW1441" s="16">
        <f t="shared" si="433"/>
        <v>1.1434899514339028E-4</v>
      </c>
      <c r="BY1441" s="16">
        <f t="shared" si="434"/>
        <v>139.89999999999634</v>
      </c>
      <c r="BZ1441" s="16">
        <f t="shared" si="424"/>
        <v>8.1736236700066669E-7</v>
      </c>
      <c r="CA1441" s="16">
        <f t="shared" si="431"/>
        <v>-999</v>
      </c>
      <c r="CE1441" s="16" t="e">
        <f t="shared" si="425"/>
        <v>#N/A</v>
      </c>
      <c r="CF1441" s="16">
        <f t="shared" si="426"/>
        <v>99</v>
      </c>
      <c r="CG1441" s="16">
        <f t="shared" si="427"/>
        <v>0</v>
      </c>
      <c r="CH1441" s="16">
        <f t="shared" si="432"/>
        <v>0</v>
      </c>
      <c r="CJ1441" s="16" t="e">
        <f t="shared" si="428"/>
        <v>#N/A</v>
      </c>
      <c r="CK1441" s="16" t="str">
        <f t="shared" si="429"/>
        <v/>
      </c>
    </row>
    <row r="1442" spans="73:89" ht="12" customHeight="1">
      <c r="BU1442" s="16">
        <f t="shared" si="430"/>
        <v>0</v>
      </c>
      <c r="BV1442" s="16">
        <f>IF($BY$12=1,NORMDIST(BY1442,$Y$6,$Y$8,TRUE),IF($BY$12=2,IF(BY1442&lt;=$BX$31,0,IF(BY1442&gt;=$BX$32,1,(BY1442-$BX$31)*$BX$33)),SUM($BU$42:BU1442)/$BV$40))</f>
        <v>0.99999660232681498</v>
      </c>
      <c r="BW1442" s="16">
        <f t="shared" si="433"/>
        <v>1.118861877484278E-4</v>
      </c>
      <c r="BY1442" s="16">
        <f t="shared" si="434"/>
        <v>139.99999999999633</v>
      </c>
      <c r="BZ1442" s="16">
        <f t="shared" si="424"/>
        <v>7.9918705534593382E-7</v>
      </c>
      <c r="CA1442" s="16">
        <f t="shared" si="431"/>
        <v>-999</v>
      </c>
      <c r="CE1442" s="16" t="e">
        <f t="shared" si="425"/>
        <v>#N/A</v>
      </c>
      <c r="CF1442" s="16">
        <f t="shared" si="426"/>
        <v>99</v>
      </c>
      <c r="CG1442" s="16">
        <f t="shared" si="427"/>
        <v>0</v>
      </c>
      <c r="CH1442" s="16">
        <f t="shared" si="432"/>
        <v>0</v>
      </c>
      <c r="CJ1442" s="16" t="e">
        <f t="shared" si="428"/>
        <v>#N/A</v>
      </c>
      <c r="CK1442" s="16" t="str">
        <f t="shared" si="429"/>
        <v/>
      </c>
    </row>
    <row r="1443" spans="73:89" ht="12" customHeight="1">
      <c r="BU1443" s="16">
        <f t="shared" si="430"/>
        <v>0</v>
      </c>
      <c r="BV1443" s="16">
        <f>IF($BY$12=1,NORMDIST(BY1443,$Y$6,$Y$8,TRUE),IF($BY$12=2,IF(BY1443&lt;=$BX$31,0,IF(BY1443&gt;=$BX$32,1,(BY1443-$BX$31)*$BX$33)),SUM($BU$42:BU1443)/$BV$40))</f>
        <v>0.99999668135287134</v>
      </c>
      <c r="BW1443" s="16">
        <f t="shared" si="433"/>
        <v>1.0947363068014641E-4</v>
      </c>
      <c r="BY1443" s="16">
        <f t="shared" si="434"/>
        <v>140.09999999999633</v>
      </c>
      <c r="BZ1443" s="16">
        <f t="shared" si="424"/>
        <v>7.8139636459778216E-7</v>
      </c>
      <c r="CA1443" s="16">
        <f t="shared" si="431"/>
        <v>-999</v>
      </c>
      <c r="CE1443" s="16" t="e">
        <f t="shared" si="425"/>
        <v>#N/A</v>
      </c>
      <c r="CF1443" s="16">
        <f t="shared" si="426"/>
        <v>99</v>
      </c>
      <c r="CG1443" s="16">
        <f t="shared" si="427"/>
        <v>0</v>
      </c>
      <c r="CH1443" s="16">
        <f t="shared" si="432"/>
        <v>0</v>
      </c>
      <c r="CJ1443" s="16" t="e">
        <f t="shared" si="428"/>
        <v>#N/A</v>
      </c>
      <c r="CK1443" s="16" t="str">
        <f t="shared" si="429"/>
        <v/>
      </c>
    </row>
    <row r="1444" spans="73:89" ht="12" customHeight="1">
      <c r="BU1444" s="16">
        <f t="shared" si="430"/>
        <v>0</v>
      </c>
      <c r="BV1444" s="16">
        <f>IF($BY$12=1,NORMDIST(BY1444,$Y$6,$Y$8,TRUE),IF($BY$12=2,IF(BY1444&lt;=$BX$31,0,IF(BY1444&gt;=$BX$32,1,(BY1444-$BX$31)*$BX$33)),SUM($BU$42:BU1444)/$BV$40))</f>
        <v>0.99999675861874504</v>
      </c>
      <c r="BW1444" s="16">
        <f t="shared" si="433"/>
        <v>1.0711036224988479E-4</v>
      </c>
      <c r="BY1444" s="16">
        <f t="shared" si="434"/>
        <v>140.19999999999632</v>
      </c>
      <c r="BZ1444" s="16">
        <f t="shared" si="424"/>
        <v>7.6398261233871327E-7</v>
      </c>
      <c r="CA1444" s="16">
        <f t="shared" si="431"/>
        <v>-999</v>
      </c>
      <c r="CE1444" s="16" t="e">
        <f t="shared" si="425"/>
        <v>#N/A</v>
      </c>
      <c r="CF1444" s="16">
        <f t="shared" si="426"/>
        <v>99</v>
      </c>
      <c r="CG1444" s="16">
        <f t="shared" si="427"/>
        <v>0</v>
      </c>
      <c r="CH1444" s="16">
        <f t="shared" si="432"/>
        <v>0</v>
      </c>
      <c r="CJ1444" s="16" t="e">
        <f t="shared" si="428"/>
        <v>#N/A</v>
      </c>
      <c r="CK1444" s="16" t="str">
        <f t="shared" si="429"/>
        <v/>
      </c>
    </row>
    <row r="1445" spans="73:89" ht="12" customHeight="1">
      <c r="BU1445" s="16">
        <f t="shared" si="430"/>
        <v>0</v>
      </c>
      <c r="BV1445" s="16">
        <f>IF($BY$12=1,NORMDIST(BY1445,$Y$6,$Y$8,TRUE),IF($BY$12=2,IF(BY1445&lt;=$BX$31,0,IF(BY1445&gt;=$BX$32,1,(BY1445-$BX$31)*$BX$33)),SUM($BU$42:BU1445)/$BV$40))</f>
        <v>0.99999683416172291</v>
      </c>
      <c r="BW1445" s="16">
        <f t="shared" si="433"/>
        <v>1.0479543778094839E-4</v>
      </c>
      <c r="BY1445" s="16">
        <f t="shared" si="434"/>
        <v>140.29999999999632</v>
      </c>
      <c r="BZ1445" s="16">
        <f t="shared" si="424"/>
        <v>7.4693825930827613E-7</v>
      </c>
      <c r="CA1445" s="16">
        <f t="shared" si="431"/>
        <v>-999</v>
      </c>
      <c r="CE1445" s="16" t="e">
        <f t="shared" si="425"/>
        <v>#N/A</v>
      </c>
      <c r="CF1445" s="16">
        <f t="shared" si="426"/>
        <v>99</v>
      </c>
      <c r="CG1445" s="16">
        <f t="shared" si="427"/>
        <v>0</v>
      </c>
      <c r="CH1445" s="16">
        <f t="shared" si="432"/>
        <v>0</v>
      </c>
      <c r="CJ1445" s="16" t="e">
        <f t="shared" si="428"/>
        <v>#N/A</v>
      </c>
      <c r="CK1445" s="16" t="str">
        <f t="shared" si="429"/>
        <v/>
      </c>
    </row>
    <row r="1446" spans="73:89" ht="12" customHeight="1">
      <c r="BU1446" s="16">
        <f t="shared" si="430"/>
        <v>0</v>
      </c>
      <c r="BV1446" s="16">
        <f>IF($BY$12=1,NORMDIST(BY1446,$Y$6,$Y$8,TRUE),IF($BY$12=2,IF(BY1446&lt;=$BX$31,0,IF(BY1446&gt;=$BX$32,1,(BY1446-$BX$31)*$BX$33)),SUM($BU$42:BU1446)/$BV$40))</f>
        <v>0.99999690801843499</v>
      </c>
      <c r="BW1446" s="16">
        <f t="shared" si="433"/>
        <v>1.0252792933693617E-4</v>
      </c>
      <c r="BY1446" s="16">
        <f t="shared" si="434"/>
        <v>140.39999999999631</v>
      </c>
      <c r="BZ1446" s="16">
        <f t="shared" si="424"/>
        <v>7.3025590695825404E-7</v>
      </c>
      <c r="CA1446" s="16">
        <f t="shared" si="431"/>
        <v>-999</v>
      </c>
      <c r="CE1446" s="16" t="e">
        <f t="shared" si="425"/>
        <v>#N/A</v>
      </c>
      <c r="CF1446" s="16">
        <f t="shared" si="426"/>
        <v>99</v>
      </c>
      <c r="CG1446" s="16">
        <f t="shared" si="427"/>
        <v>0</v>
      </c>
      <c r="CH1446" s="16">
        <f t="shared" si="432"/>
        <v>0</v>
      </c>
      <c r="CJ1446" s="16" t="e">
        <f t="shared" si="428"/>
        <v>#N/A</v>
      </c>
      <c r="CK1446" s="16" t="str">
        <f t="shared" si="429"/>
        <v/>
      </c>
    </row>
    <row r="1447" spans="73:89" ht="12" customHeight="1">
      <c r="BU1447" s="16">
        <f t="shared" si="430"/>
        <v>0</v>
      </c>
      <c r="BV1447" s="16">
        <f>IF($BY$12=1,NORMDIST(BY1447,$Y$6,$Y$8,TRUE),IF($BY$12=2,IF(BY1447&lt;=$BX$31,0,IF(BY1447&gt;=$BX$32,1,(BY1447-$BX$31)*$BX$33)),SUM($BU$42:BU1447)/$BV$40))</f>
        <v>0.99999698022465755</v>
      </c>
      <c r="BW1447" s="16">
        <f t="shared" si="433"/>
        <v>1.0030692545381806E-4</v>
      </c>
      <c r="BY1447" s="16">
        <f t="shared" si="434"/>
        <v>140.49999999999631</v>
      </c>
      <c r="BZ1447" s="16">
        <f t="shared" si="424"/>
        <v>7.1392829504498719E-7</v>
      </c>
      <c r="CA1447" s="16">
        <f t="shared" si="431"/>
        <v>-999</v>
      </c>
      <c r="CE1447" s="16" t="e">
        <f t="shared" si="425"/>
        <v>#N/A</v>
      </c>
      <c r="CF1447" s="16">
        <f t="shared" si="426"/>
        <v>99</v>
      </c>
      <c r="CG1447" s="16">
        <f t="shared" si="427"/>
        <v>0</v>
      </c>
      <c r="CH1447" s="16">
        <f t="shared" si="432"/>
        <v>0</v>
      </c>
      <c r="CJ1447" s="16" t="e">
        <f t="shared" si="428"/>
        <v>#N/A</v>
      </c>
      <c r="CK1447" s="16" t="str">
        <f t="shared" si="429"/>
        <v/>
      </c>
    </row>
    <row r="1448" spans="73:89" ht="12" customHeight="1">
      <c r="BU1448" s="16">
        <f t="shared" si="430"/>
        <v>0</v>
      </c>
      <c r="BV1448" s="16">
        <f>IF($BY$12=1,NORMDIST(BY1448,$Y$6,$Y$8,TRUE),IF($BY$12=2,IF(BY1448&lt;=$BX$31,0,IF(BY1448&gt;=$BX$32,1,(BY1448-$BX$31)*$BX$33)),SUM($BU$42:BU1448)/$BV$40))</f>
        <v>0.99999705081565105</v>
      </c>
      <c r="BW1448" s="16">
        <f t="shared" si="433"/>
        <v>9.8131530875717721E-5</v>
      </c>
      <c r="BY1448" s="16">
        <f t="shared" si="434"/>
        <v>140.5999999999963</v>
      </c>
      <c r="BZ1448" s="16">
        <f t="shared" si="424"/>
        <v>6.9794829925832366E-7</v>
      </c>
      <c r="CA1448" s="16">
        <f t="shared" si="431"/>
        <v>-999</v>
      </c>
      <c r="CE1448" s="16" t="e">
        <f t="shared" si="425"/>
        <v>#N/A</v>
      </c>
      <c r="CF1448" s="16">
        <f t="shared" si="426"/>
        <v>99</v>
      </c>
      <c r="CG1448" s="16">
        <f t="shared" si="427"/>
        <v>0</v>
      </c>
      <c r="CH1448" s="16">
        <f t="shared" si="432"/>
        <v>0</v>
      </c>
      <c r="CJ1448" s="16" t="e">
        <f t="shared" si="428"/>
        <v>#N/A</v>
      </c>
      <c r="CK1448" s="16" t="str">
        <f t="shared" si="429"/>
        <v/>
      </c>
    </row>
    <row r="1449" spans="73:89" ht="12" customHeight="1">
      <c r="BU1449" s="16">
        <f t="shared" si="430"/>
        <v>0</v>
      </c>
      <c r="BV1449" s="16">
        <f>IF($BY$12=1,NORMDIST(BY1449,$Y$6,$Y$8,TRUE),IF($BY$12=2,IF(BY1449&lt;=$BX$31,0,IF(BY1449&gt;=$BX$32,1,(BY1449-$BX$31)*$BX$33)),SUM($BU$42:BU1449)/$BV$40))</f>
        <v>0.99999711982570061</v>
      </c>
      <c r="BW1449" s="16">
        <f t="shared" si="433"/>
        <v>9.6000866294365902E-5</v>
      </c>
      <c r="BY1449" s="16">
        <f t="shared" si="434"/>
        <v>140.69999999999629</v>
      </c>
      <c r="BZ1449" s="16">
        <f t="shared" si="424"/>
        <v>6.8230892888676928E-7</v>
      </c>
      <c r="CA1449" s="16">
        <f t="shared" si="431"/>
        <v>-999</v>
      </c>
      <c r="CE1449" s="16" t="e">
        <f t="shared" si="425"/>
        <v>#N/A</v>
      </c>
      <c r="CF1449" s="16">
        <f t="shared" si="426"/>
        <v>99</v>
      </c>
      <c r="CG1449" s="16">
        <f t="shared" si="427"/>
        <v>0</v>
      </c>
      <c r="CH1449" s="16">
        <f t="shared" si="432"/>
        <v>0</v>
      </c>
      <c r="CJ1449" s="16" t="e">
        <f t="shared" si="428"/>
        <v>#N/A</v>
      </c>
      <c r="CK1449" s="16" t="str">
        <f t="shared" si="429"/>
        <v/>
      </c>
    </row>
    <row r="1450" spans="73:89" ht="12" customHeight="1">
      <c r="BU1450" s="16">
        <f t="shared" si="430"/>
        <v>0</v>
      </c>
      <c r="BV1450" s="16">
        <f>IF($BY$12=1,NORMDIST(BY1450,$Y$6,$Y$8,TRUE),IF($BY$12=2,IF(BY1450&lt;=$BX$31,0,IF(BY1450&gt;=$BX$32,1,(BY1450-$BX$31)*$BX$33)),SUM($BU$42:BU1450)/$BV$40))</f>
        <v>0.99999718728854137</v>
      </c>
      <c r="BW1450" s="16">
        <f t="shared" si="433"/>
        <v>9.3914068092181696E-5</v>
      </c>
      <c r="BY1450" s="16">
        <f t="shared" si="434"/>
        <v>140.79999999999629</v>
      </c>
      <c r="BZ1450" s="16">
        <f t="shared" ref="BZ1450:BZ1513" si="435">IF($BZ$5,IF($BY$12=1,NORMDIST(BY1450,$Y$6,$Y$8,FALSE),IF($BY$12=2,IF(AND(BY1450&gt;=$BX$31,BY1450&lt;=$BX$32),$BX$33,0),IF(BY1450&lt;=$BX$13,0,NORMDIST(LN((BY1450-$BX$13)/$BX$12),0,$BW$8,FALSE)/((BY1450-$BX$13)/$BX$12)))),-999)</f>
        <v>6.6700332451835348E-7</v>
      </c>
      <c r="CA1450" s="16">
        <f t="shared" si="431"/>
        <v>-999</v>
      </c>
      <c r="CE1450" s="16" t="e">
        <f t="shared" ref="CE1450:CE1513" si="436">IF(AND($CB$7,$CD$2,$CD$1),26+$P$23/2-CC1450*$P$23,NA())</f>
        <v>#N/A</v>
      </c>
      <c r="CF1450" s="16">
        <f t="shared" ref="CF1450:CF1513" si="437">IF(ISNA(CJ1450),99,CJ1450)</f>
        <v>99</v>
      </c>
      <c r="CG1450" s="16">
        <f t="shared" ref="CG1450:CG1513" si="438">IF(ISNA(CJ1450),0,CJ1450)</f>
        <v>0</v>
      </c>
      <c r="CH1450" s="16">
        <f t="shared" si="432"/>
        <v>0</v>
      </c>
      <c r="CJ1450" s="16" t="e">
        <f t="shared" ref="CJ1450:CJ1513" si="439">IF(CH1450=1,CE1450,NA())</f>
        <v>#N/A</v>
      </c>
      <c r="CK1450" s="16" t="str">
        <f t="shared" ref="CK1450:CK1513" si="440">IF(CH1450=1,M1349,"")</f>
        <v/>
      </c>
    </row>
    <row r="1451" spans="73:89" ht="12" customHeight="1">
      <c r="BU1451" s="16">
        <f t="shared" ref="BU1451:BU1514" si="441">IF($BY$12&lt;3,0,IF(BY1451&lt;=$BX$13,0,NORMDIST(LN((BY1451-$BX$13)/$BX$12),0,$BW$8,FALSE)/((BY1451-$BX$13)/$BX$12)))</f>
        <v>0</v>
      </c>
      <c r="BV1451" s="16">
        <f>IF($BY$12=1,NORMDIST(BY1451,$Y$6,$Y$8,TRUE),IF($BY$12=2,IF(BY1451&lt;=$BX$31,0,IF(BY1451&gt;=$BX$32,1,(BY1451-$BX$31)*$BX$33)),SUM($BU$42:BU1451)/$BV$40))</f>
        <v>0.99999725323724253</v>
      </c>
      <c r="BW1451" s="16">
        <f t="shared" si="433"/>
        <v>9.1870288088941266E-5</v>
      </c>
      <c r="BY1451" s="16">
        <f t="shared" si="434"/>
        <v>140.89999999999628</v>
      </c>
      <c r="BZ1451" s="16">
        <f t="shared" si="435"/>
        <v>6.5202475577674729E-7</v>
      </c>
      <c r="CA1451" s="16">
        <f t="shared" ref="CA1451:CA1514" si="442">IF(AND($CD$1,$CD$3),26-$CD$40*NORMDIST(BY1451,$Y$6,$Y$8/SQRT($T$18),FALSE),-999)</f>
        <v>-999</v>
      </c>
      <c r="CE1451" s="16" t="e">
        <f t="shared" si="436"/>
        <v>#N/A</v>
      </c>
      <c r="CF1451" s="16">
        <f t="shared" si="437"/>
        <v>99</v>
      </c>
      <c r="CG1451" s="16">
        <f t="shared" si="438"/>
        <v>0</v>
      </c>
      <c r="CH1451" s="16">
        <f t="shared" si="432"/>
        <v>0</v>
      </c>
      <c r="CJ1451" s="16" t="e">
        <f t="shared" si="439"/>
        <v>#N/A</v>
      </c>
      <c r="CK1451" s="16" t="str">
        <f t="shared" si="440"/>
        <v/>
      </c>
    </row>
    <row r="1452" spans="73:89" ht="12" customHeight="1">
      <c r="BU1452" s="16">
        <f t="shared" si="441"/>
        <v>0</v>
      </c>
      <c r="BV1452" s="16">
        <f>IF($BY$12=1,NORMDIST(BY1452,$Y$6,$Y$8,TRUE),IF($BY$12=2,IF(BY1452&lt;=$BX$31,0,IF(BY1452&gt;=$BX$32,1,(BY1452-$BX$31)*$BX$33)),SUM($BU$42:BU1452)/$BV$40))</f>
        <v>0.99999731770422229</v>
      </c>
      <c r="BW1452" s="16">
        <f t="shared" si="433"/>
        <v>8.9868693291999684E-5</v>
      </c>
      <c r="BY1452" s="16">
        <f t="shared" si="434"/>
        <v>140.99999999999628</v>
      </c>
      <c r="BZ1452" s="16">
        <f t="shared" si="435"/>
        <v>6.3736661909221315E-7</v>
      </c>
      <c r="CA1452" s="16">
        <f t="shared" si="442"/>
        <v>-999</v>
      </c>
      <c r="CE1452" s="16" t="e">
        <f t="shared" si="436"/>
        <v>#N/A</v>
      </c>
      <c r="CF1452" s="16">
        <f t="shared" si="437"/>
        <v>99</v>
      </c>
      <c r="CG1452" s="16">
        <f t="shared" si="438"/>
        <v>0</v>
      </c>
      <c r="CH1452" s="16">
        <f t="shared" si="432"/>
        <v>0</v>
      </c>
      <c r="CJ1452" s="16" t="e">
        <f t="shared" si="439"/>
        <v>#N/A</v>
      </c>
      <c r="CK1452" s="16" t="str">
        <f t="shared" si="440"/>
        <v/>
      </c>
    </row>
    <row r="1453" spans="73:89" ht="12" customHeight="1">
      <c r="BU1453" s="16">
        <f t="shared" si="441"/>
        <v>0</v>
      </c>
      <c r="BV1453" s="16">
        <f>IF($BY$12=1,NORMDIST(BY1453,$Y$6,$Y$8,TRUE),IF($BY$12=2,IF(BY1453&lt;=$BX$31,0,IF(BY1453&gt;=$BX$32,1,(BY1453-$BX$31)*$BX$33)),SUM($BU$42:BU1453)/$BV$40))</f>
        <v>0.9999973807210798</v>
      </c>
      <c r="BW1453" s="16">
        <f t="shared" si="433"/>
        <v>8.7908465650018083E-5</v>
      </c>
      <c r="BY1453" s="16">
        <f t="shared" si="434"/>
        <v>141.09999999999627</v>
      </c>
      <c r="BZ1453" s="16">
        <f t="shared" si="435"/>
        <v>6.230224355068774E-7</v>
      </c>
      <c r="CA1453" s="16">
        <f t="shared" si="442"/>
        <v>-999</v>
      </c>
      <c r="CE1453" s="16" t="e">
        <f t="shared" si="436"/>
        <v>#N/A</v>
      </c>
      <c r="CF1453" s="16">
        <f t="shared" si="437"/>
        <v>99</v>
      </c>
      <c r="CG1453" s="16">
        <f t="shared" si="438"/>
        <v>0</v>
      </c>
      <c r="CH1453" s="16">
        <f t="shared" si="432"/>
        <v>0</v>
      </c>
      <c r="CJ1453" s="16" t="e">
        <f t="shared" si="439"/>
        <v>#N/A</v>
      </c>
      <c r="CK1453" s="16" t="str">
        <f t="shared" si="440"/>
        <v/>
      </c>
    </row>
    <row r="1454" spans="73:89" ht="12" customHeight="1">
      <c r="BU1454" s="16">
        <f t="shared" si="441"/>
        <v>0</v>
      </c>
      <c r="BV1454" s="16">
        <f>IF($BY$12=1,NORMDIST(BY1454,$Y$6,$Y$8,TRUE),IF($BY$12=2,IF(BY1454&lt;=$BX$31,0,IF(BY1454&gt;=$BX$32,1,(BY1454-$BX$31)*$BX$33)),SUM($BU$42:BU1454)/$BV$40))</f>
        <v>0.99999744231893661</v>
      </c>
      <c r="BW1454" s="16">
        <f t="shared" si="433"/>
        <v>8.5988801810167893E-5</v>
      </c>
      <c r="BY1454" s="16">
        <f t="shared" si="434"/>
        <v>141.19999999999627</v>
      </c>
      <c r="BZ1454" s="16">
        <f t="shared" si="435"/>
        <v>6.0898584851395305E-7</v>
      </c>
      <c r="CA1454" s="16">
        <f t="shared" si="442"/>
        <v>-999</v>
      </c>
      <c r="CE1454" s="16" t="e">
        <f t="shared" si="436"/>
        <v>#N/A</v>
      </c>
      <c r="CF1454" s="16">
        <f t="shared" si="437"/>
        <v>99</v>
      </c>
      <c r="CG1454" s="16">
        <f t="shared" si="438"/>
        <v>0</v>
      </c>
      <c r="CH1454" s="16">
        <f t="shared" si="432"/>
        <v>0</v>
      </c>
      <c r="CJ1454" s="16" t="e">
        <f t="shared" si="439"/>
        <v>#N/A</v>
      </c>
      <c r="CK1454" s="16" t="str">
        <f t="shared" si="440"/>
        <v/>
      </c>
    </row>
    <row r="1455" spans="73:89" ht="12" customHeight="1">
      <c r="BU1455" s="16">
        <f t="shared" si="441"/>
        <v>0</v>
      </c>
      <c r="BV1455" s="16">
        <f>IF($BY$12=1,NORMDIST(BY1455,$Y$6,$Y$8,TRUE),IF($BY$12=2,IF(BY1455&lt;=$BX$31,0,IF(BY1455&gt;=$BX$32,1,(BY1455-$BX$31)*$BX$33)),SUM($BU$42:BU1455)/$BV$40))</f>
        <v>0.99999750252825403</v>
      </c>
      <c r="BW1455" s="16">
        <f t="shared" si="433"/>
        <v>8.410891287876332E-5</v>
      </c>
      <c r="BY1455" s="16">
        <f t="shared" si="434"/>
        <v>141.29999999999626</v>
      </c>
      <c r="BZ1455" s="16">
        <f t="shared" si="435"/>
        <v>5.9525062193040022E-7</v>
      </c>
      <c r="CA1455" s="16">
        <f t="shared" si="442"/>
        <v>-999</v>
      </c>
      <c r="CE1455" s="16" t="e">
        <f t="shared" si="436"/>
        <v>#N/A</v>
      </c>
      <c r="CF1455" s="16">
        <f t="shared" si="437"/>
        <v>99</v>
      </c>
      <c r="CG1455" s="16">
        <f t="shared" si="438"/>
        <v>0</v>
      </c>
      <c r="CH1455" s="16">
        <f t="shared" si="432"/>
        <v>0</v>
      </c>
      <c r="CJ1455" s="16" t="e">
        <f t="shared" si="439"/>
        <v>#N/A</v>
      </c>
      <c r="CK1455" s="16" t="str">
        <f t="shared" si="440"/>
        <v/>
      </c>
    </row>
    <row r="1456" spans="73:89" ht="12" customHeight="1">
      <c r="BU1456" s="16">
        <f t="shared" si="441"/>
        <v>0</v>
      </c>
      <c r="BV1456" s="16">
        <f>IF($BY$12=1,NORMDIST(BY1456,$Y$6,$Y$8,TRUE),IF($BY$12=2,IF(BY1456&lt;=$BX$31,0,IF(BY1456&gt;=$BX$32,1,(BY1456-$BX$31)*$BX$33)),SUM($BU$42:BU1456)/$BV$40))</f>
        <v>0.99999756137890072</v>
      </c>
      <c r="BW1456" s="16">
        <f t="shared" si="433"/>
        <v>8.2268024185289912E-5</v>
      </c>
      <c r="BY1456" s="16">
        <f t="shared" si="434"/>
        <v>141.39999999999625</v>
      </c>
      <c r="BZ1456" s="16">
        <f t="shared" si="435"/>
        <v>5.8181063780263151E-7</v>
      </c>
      <c r="CA1456" s="16">
        <f t="shared" si="442"/>
        <v>-999</v>
      </c>
      <c r="CE1456" s="16" t="e">
        <f t="shared" si="436"/>
        <v>#N/A</v>
      </c>
      <c r="CF1456" s="16">
        <f t="shared" si="437"/>
        <v>99</v>
      </c>
      <c r="CG1456" s="16">
        <f t="shared" si="438"/>
        <v>0</v>
      </c>
      <c r="CH1456" s="16">
        <f t="shared" si="432"/>
        <v>0</v>
      </c>
      <c r="CJ1456" s="16" t="e">
        <f t="shared" si="439"/>
        <v>#N/A</v>
      </c>
      <c r="CK1456" s="16" t="str">
        <f t="shared" si="440"/>
        <v/>
      </c>
    </row>
    <row r="1457" spans="73:89" ht="12" customHeight="1">
      <c r="BU1457" s="16">
        <f t="shared" si="441"/>
        <v>0</v>
      </c>
      <c r="BV1457" s="16">
        <f>IF($BY$12=1,NORMDIST(BY1457,$Y$6,$Y$8,TRUE),IF($BY$12=2,IF(BY1457&lt;=$BX$31,0,IF(BY1457&gt;=$BX$32,1,(BY1457-$BX$31)*$BX$33)),SUM($BU$42:BU1457)/$BV$40))</f>
        <v>0.99999761890005634</v>
      </c>
      <c r="BW1457" s="16">
        <f t="shared" si="433"/>
        <v>8.0465375049789981E-5</v>
      </c>
      <c r="BY1457" s="16">
        <f t="shared" si="434"/>
        <v>141.49999999999625</v>
      </c>
      <c r="BZ1457" s="16">
        <f t="shared" si="435"/>
        <v>5.686598943448206E-7</v>
      </c>
      <c r="CA1457" s="16">
        <f t="shared" si="442"/>
        <v>-999</v>
      </c>
      <c r="CE1457" s="16" t="e">
        <f t="shared" si="436"/>
        <v>#N/A</v>
      </c>
      <c r="CF1457" s="16">
        <f t="shared" si="437"/>
        <v>99</v>
      </c>
      <c r="CG1457" s="16">
        <f t="shared" si="438"/>
        <v>0</v>
      </c>
      <c r="CH1457" s="16">
        <f t="shared" si="432"/>
        <v>0</v>
      </c>
      <c r="CJ1457" s="16" t="e">
        <f t="shared" si="439"/>
        <v>#N/A</v>
      </c>
      <c r="CK1457" s="16" t="str">
        <f t="shared" si="440"/>
        <v/>
      </c>
    </row>
    <row r="1458" spans="73:89" ht="12" customHeight="1">
      <c r="BU1458" s="16">
        <f t="shared" si="441"/>
        <v>0</v>
      </c>
      <c r="BV1458" s="16">
        <f>IF($BY$12=1,NORMDIST(BY1458,$Y$6,$Y$8,TRUE),IF($BY$12=2,IF(BY1458&lt;=$BX$31,0,IF(BY1458&gt;=$BX$32,1,(BY1458-$BX$31)*$BX$33)),SUM($BU$42:BU1458)/$BV$40))</f>
        <v>0.99999767512034643</v>
      </c>
      <c r="BW1458" s="16">
        <f t="shared" si="433"/>
        <v>7.8700218553564463E-5</v>
      </c>
      <c r="BY1458" s="16">
        <f t="shared" si="434"/>
        <v>141.59999999999624</v>
      </c>
      <c r="BZ1458" s="16">
        <f t="shared" si="435"/>
        <v>5.5579250390936828E-7</v>
      </c>
      <c r="CA1458" s="16">
        <f t="shared" si="442"/>
        <v>-999</v>
      </c>
      <c r="CE1458" s="16" t="e">
        <f t="shared" si="436"/>
        <v>#N/A</v>
      </c>
      <c r="CF1458" s="16">
        <f t="shared" si="437"/>
        <v>99</v>
      </c>
      <c r="CG1458" s="16">
        <f t="shared" si="438"/>
        <v>0</v>
      </c>
      <c r="CH1458" s="16">
        <f t="shared" si="432"/>
        <v>0</v>
      </c>
      <c r="CJ1458" s="16" t="e">
        <f t="shared" si="439"/>
        <v>#N/A</v>
      </c>
      <c r="CK1458" s="16" t="str">
        <f t="shared" si="440"/>
        <v/>
      </c>
    </row>
    <row r="1459" spans="73:89" ht="12" customHeight="1">
      <c r="BU1459" s="16">
        <f t="shared" si="441"/>
        <v>0</v>
      </c>
      <c r="BV1459" s="16">
        <f>IF($BY$12=1,NORMDIST(BY1459,$Y$6,$Y$8,TRUE),IF($BY$12=2,IF(BY1459&lt;=$BX$31,0,IF(BY1459&gt;=$BX$32,1,(BY1459-$BX$31)*$BX$33)),SUM($BU$42:BU1459)/$BV$40))</f>
        <v>0.99999773006780479</v>
      </c>
      <c r="BW1459" s="16">
        <f t="shared" si="433"/>
        <v>7.6971821313155295E-5</v>
      </c>
      <c r="BY1459" s="16">
        <f t="shared" si="434"/>
        <v>141.69999999999624</v>
      </c>
      <c r="BZ1459" s="16">
        <f t="shared" si="435"/>
        <v>5.4320269098911315E-7</v>
      </c>
      <c r="CA1459" s="16">
        <f t="shared" si="442"/>
        <v>-999</v>
      </c>
      <c r="CE1459" s="16" t="e">
        <f t="shared" si="436"/>
        <v>#N/A</v>
      </c>
      <c r="CF1459" s="16">
        <f t="shared" si="437"/>
        <v>99</v>
      </c>
      <c r="CG1459" s="16">
        <f t="shared" si="438"/>
        <v>0</v>
      </c>
      <c r="CH1459" s="16">
        <f t="shared" si="432"/>
        <v>0</v>
      </c>
      <c r="CJ1459" s="16" t="e">
        <f t="shared" si="439"/>
        <v>#N/A</v>
      </c>
      <c r="CK1459" s="16" t="str">
        <f t="shared" si="440"/>
        <v/>
      </c>
    </row>
    <row r="1460" spans="73:89" ht="12" customHeight="1">
      <c r="BU1460" s="16">
        <f t="shared" si="441"/>
        <v>0</v>
      </c>
      <c r="BV1460" s="16">
        <f>IF($BY$12=1,NORMDIST(BY1460,$Y$6,$Y$8,TRUE),IF($BY$12=2,IF(BY1460&lt;=$BX$31,0,IF(BY1460&gt;=$BX$32,1,(BY1460-$BX$31)*$BX$33)),SUM($BU$42:BU1460)/$BV$40))</f>
        <v>0.99999778376990633</v>
      </c>
      <c r="BW1460" s="16">
        <f t="shared" si="433"/>
        <v>7.5279463257572489E-5</v>
      </c>
      <c r="BY1460" s="16">
        <f t="shared" si="434"/>
        <v>141.79999999999623</v>
      </c>
      <c r="BZ1460" s="16">
        <f t="shared" si="435"/>
        <v>5.3088479025087788E-7</v>
      </c>
      <c r="CA1460" s="16">
        <f t="shared" si="442"/>
        <v>-999</v>
      </c>
      <c r="CE1460" s="16" t="e">
        <f t="shared" si="436"/>
        <v>#N/A</v>
      </c>
      <c r="CF1460" s="16">
        <f t="shared" si="437"/>
        <v>99</v>
      </c>
      <c r="CG1460" s="16">
        <f t="shared" si="438"/>
        <v>0</v>
      </c>
      <c r="CH1460" s="16">
        <f t="shared" si="432"/>
        <v>0</v>
      </c>
      <c r="CJ1460" s="16" t="e">
        <f t="shared" si="439"/>
        <v>#N/A</v>
      </c>
      <c r="CK1460" s="16" t="str">
        <f t="shared" si="440"/>
        <v/>
      </c>
    </row>
    <row r="1461" spans="73:89" ht="12" customHeight="1">
      <c r="BU1461" s="16">
        <f t="shared" si="441"/>
        <v>0</v>
      </c>
      <c r="BV1461" s="16">
        <f>IF($BY$12=1,NORMDIST(BY1461,$Y$6,$Y$8,TRUE),IF($BY$12=2,IF(BY1461&lt;=$BX$31,0,IF(BY1461&gt;=$BX$32,1,(BY1461-$BX$31)*$BX$33)),SUM($BU$42:BU1461)/$BV$40))</f>
        <v>0.99999783625364436</v>
      </c>
      <c r="BW1461" s="16">
        <f t="shared" si="433"/>
        <v>7.3622437408724185E-5</v>
      </c>
      <c r="BY1461" s="16">
        <f t="shared" si="434"/>
        <v>141.89999999999623</v>
      </c>
      <c r="BZ1461" s="16">
        <f t="shared" si="435"/>
        <v>5.1883324459990231E-7</v>
      </c>
      <c r="CA1461" s="16">
        <f t="shared" si="442"/>
        <v>-999</v>
      </c>
      <c r="CE1461" s="16" t="e">
        <f t="shared" si="436"/>
        <v>#N/A</v>
      </c>
      <c r="CF1461" s="16">
        <f t="shared" si="437"/>
        <v>99</v>
      </c>
      <c r="CG1461" s="16">
        <f t="shared" si="438"/>
        <v>0</v>
      </c>
      <c r="CH1461" s="16">
        <f t="shared" si="432"/>
        <v>0</v>
      </c>
      <c r="CJ1461" s="16" t="e">
        <f t="shared" si="439"/>
        <v>#N/A</v>
      </c>
      <c r="CK1461" s="16" t="str">
        <f t="shared" si="440"/>
        <v/>
      </c>
    </row>
    <row r="1462" spans="73:89" ht="12" customHeight="1">
      <c r="BU1462" s="16">
        <f t="shared" si="441"/>
        <v>0</v>
      </c>
      <c r="BV1462" s="16">
        <f>IF($BY$12=1,NORMDIST(BY1462,$Y$6,$Y$8,TRUE),IF($BY$12=2,IF(BY1462&lt;=$BX$31,0,IF(BY1462&gt;=$BX$32,1,(BY1462-$BX$31)*$BX$33)),SUM($BU$42:BU1462)/$BV$40))</f>
        <v>0.99999788754528462</v>
      </c>
      <c r="BW1462" s="16">
        <f t="shared" si="433"/>
        <v>7.2000049665016472E-5</v>
      </c>
      <c r="BY1462" s="16">
        <f t="shared" si="434"/>
        <v>141.99999999999622</v>
      </c>
      <c r="BZ1462" s="16">
        <f t="shared" si="435"/>
        <v>5.0704260327477742E-7</v>
      </c>
      <c r="CA1462" s="16">
        <f t="shared" si="442"/>
        <v>-999</v>
      </c>
      <c r="CE1462" s="16" t="e">
        <f t="shared" si="436"/>
        <v>#N/A</v>
      </c>
      <c r="CF1462" s="16">
        <f t="shared" si="437"/>
        <v>99</v>
      </c>
      <c r="CG1462" s="16">
        <f t="shared" si="438"/>
        <v>0</v>
      </c>
      <c r="CH1462" s="16">
        <f t="shared" si="432"/>
        <v>0</v>
      </c>
      <c r="CJ1462" s="16" t="e">
        <f t="shared" si="439"/>
        <v>#N/A</v>
      </c>
      <c r="CK1462" s="16" t="str">
        <f t="shared" si="440"/>
        <v/>
      </c>
    </row>
    <row r="1463" spans="73:89" ht="12" customHeight="1">
      <c r="BU1463" s="16">
        <f t="shared" si="441"/>
        <v>0</v>
      </c>
      <c r="BV1463" s="16">
        <f>IF($BY$12=1,NORMDIST(BY1463,$Y$6,$Y$8,TRUE),IF($BY$12=2,IF(BY1463&lt;=$BX$31,0,IF(BY1463&gt;=$BX$32,1,(BY1463-$BX$31)*$BX$33)),SUM($BU$42:BU1463)/$BV$40))</f>
        <v>0.99999793767065059</v>
      </c>
      <c r="BW1463" s="16">
        <f t="shared" si="433"/>
        <v>7.0411618588085676E-5</v>
      </c>
      <c r="BY1463" s="16">
        <f t="shared" si="434"/>
        <v>142.09999999999621</v>
      </c>
      <c r="BZ1463" s="16">
        <f t="shared" si="435"/>
        <v>4.955075199724669E-7</v>
      </c>
      <c r="CA1463" s="16">
        <f t="shared" si="442"/>
        <v>-999</v>
      </c>
      <c r="CE1463" s="16" t="e">
        <f t="shared" si="436"/>
        <v>#N/A</v>
      </c>
      <c r="CF1463" s="16">
        <f t="shared" si="437"/>
        <v>99</v>
      </c>
      <c r="CG1463" s="16">
        <f t="shared" si="438"/>
        <v>0</v>
      </c>
      <c r="CH1463" s="16">
        <f t="shared" si="432"/>
        <v>0</v>
      </c>
      <c r="CJ1463" s="16" t="e">
        <f t="shared" si="439"/>
        <v>#N/A</v>
      </c>
      <c r="CK1463" s="16" t="str">
        <f t="shared" si="440"/>
        <v/>
      </c>
    </row>
    <row r="1464" spans="73:89" ht="12" customHeight="1">
      <c r="BU1464" s="16">
        <f t="shared" si="441"/>
        <v>0</v>
      </c>
      <c r="BV1464" s="16">
        <f>IF($BY$12=1,NORMDIST(BY1464,$Y$6,$Y$8,TRUE),IF($BY$12=2,IF(BY1464&lt;=$BX$31,0,IF(BY1464&gt;=$BX$32,1,(BY1464-$BX$31)*$BX$33)),SUM($BU$42:BU1464)/$BV$40))</f>
        <v>0.99999798665510653</v>
      </c>
      <c r="BW1464" s="16">
        <f t="shared" si="433"/>
        <v>6.8856475192624039E-5</v>
      </c>
      <c r="BY1464" s="16">
        <f t="shared" si="434"/>
        <v>142.19999999999621</v>
      </c>
      <c r="BZ1464" s="16">
        <f t="shared" si="435"/>
        <v>4.842227510029949E-7</v>
      </c>
      <c r="CA1464" s="16">
        <f t="shared" si="442"/>
        <v>-999</v>
      </c>
      <c r="CE1464" s="16" t="e">
        <f t="shared" si="436"/>
        <v>#N/A</v>
      </c>
      <c r="CF1464" s="16">
        <f t="shared" si="437"/>
        <v>99</v>
      </c>
      <c r="CG1464" s="16">
        <f t="shared" si="438"/>
        <v>0</v>
      </c>
      <c r="CH1464" s="16">
        <f t="shared" si="432"/>
        <v>0</v>
      </c>
      <c r="CJ1464" s="16" t="e">
        <f t="shared" si="439"/>
        <v>#N/A</v>
      </c>
      <c r="CK1464" s="16" t="str">
        <f t="shared" si="440"/>
        <v/>
      </c>
    </row>
    <row r="1465" spans="73:89" ht="12" customHeight="1">
      <c r="BU1465" s="16">
        <f t="shared" si="441"/>
        <v>0</v>
      </c>
      <c r="BV1465" s="16">
        <f>IF($BY$12=1,NORMDIST(BY1465,$Y$6,$Y$8,TRUE),IF($BY$12=2,IF(BY1465&lt;=$BX$31,0,IF(BY1465&gt;=$BX$32,1,(BY1465-$BX$31)*$BX$33)),SUM($BU$42:BU1465)/$BV$40))</f>
        <v>0.9999980345234154</v>
      </c>
      <c r="BW1465" s="16">
        <f t="shared" si="433"/>
        <v>6.7333962739265927E-5</v>
      </c>
      <c r="BY1465" s="16">
        <f t="shared" si="434"/>
        <v>142.2999999999962</v>
      </c>
      <c r="BZ1465" s="16">
        <f t="shared" si="435"/>
        <v>4.7318315347342043E-7</v>
      </c>
      <c r="CA1465" s="16">
        <f t="shared" si="442"/>
        <v>-999</v>
      </c>
      <c r="CE1465" s="16" t="e">
        <f t="shared" si="436"/>
        <v>#N/A</v>
      </c>
      <c r="CF1465" s="16">
        <f t="shared" si="437"/>
        <v>99</v>
      </c>
      <c r="CG1465" s="16">
        <f t="shared" si="438"/>
        <v>0</v>
      </c>
      <c r="CH1465" s="16">
        <f t="shared" si="432"/>
        <v>0</v>
      </c>
      <c r="CJ1465" s="16" t="e">
        <f t="shared" si="439"/>
        <v>#N/A</v>
      </c>
      <c r="CK1465" s="16" t="str">
        <f t="shared" si="440"/>
        <v/>
      </c>
    </row>
    <row r="1466" spans="73:89" ht="12" customHeight="1">
      <c r="BU1466" s="16">
        <f t="shared" si="441"/>
        <v>0</v>
      </c>
      <c r="BV1466" s="16">
        <f>IF($BY$12=1,NORMDIST(BY1466,$Y$6,$Y$8,TRUE),IF($BY$12=2,IF(BY1466&lt;=$BX$31,0,IF(BY1466&gt;=$BX$32,1,(BY1466-$BX$31)*$BX$33)),SUM($BU$42:BU1466)/$BV$40))</f>
        <v>0.99999808129975754</v>
      </c>
      <c r="BW1466" s="16">
        <f t="shared" si="433"/>
        <v>6.5843436530496009E-5</v>
      </c>
      <c r="BY1466" s="16">
        <f t="shared" si="434"/>
        <v>142.3999999999962</v>
      </c>
      <c r="BZ1466" s="16">
        <f t="shared" si="435"/>
        <v>4.6238368350068653E-7</v>
      </c>
      <c r="CA1466" s="16">
        <f t="shared" si="442"/>
        <v>-999</v>
      </c>
      <c r="CE1466" s="16" t="e">
        <f t="shared" si="436"/>
        <v>#N/A</v>
      </c>
      <c r="CF1466" s="16">
        <f t="shared" si="437"/>
        <v>99</v>
      </c>
      <c r="CG1466" s="16">
        <f t="shared" si="438"/>
        <v>0</v>
      </c>
      <c r="CH1466" s="16">
        <f t="shared" si="432"/>
        <v>0</v>
      </c>
      <c r="CJ1466" s="16" t="e">
        <f t="shared" si="439"/>
        <v>#N/A</v>
      </c>
      <c r="CK1466" s="16" t="str">
        <f t="shared" si="440"/>
        <v/>
      </c>
    </row>
    <row r="1467" spans="73:89" ht="12" customHeight="1">
      <c r="BU1467" s="16">
        <f t="shared" si="441"/>
        <v>0</v>
      </c>
      <c r="BV1467" s="16">
        <f>IF($BY$12=1,NORMDIST(BY1467,$Y$6,$Y$8,TRUE),IF($BY$12=2,IF(BY1467&lt;=$BX$31,0,IF(BY1467&gt;=$BX$32,1,(BY1467-$BX$31)*$BX$33)),SUM($BU$42:BU1467)/$BV$40))</f>
        <v>0.9999981270079753</v>
      </c>
      <c r="BW1467" s="16">
        <f t="shared" si="433"/>
        <v>6.4384263709545912E-5</v>
      </c>
      <c r="BY1467" s="16">
        <f t="shared" si="434"/>
        <v>142.49999999999619</v>
      </c>
      <c r="BZ1467" s="16">
        <f t="shared" si="435"/>
        <v>4.518193944529658E-7</v>
      </c>
      <c r="CA1467" s="16">
        <f t="shared" si="442"/>
        <v>-999</v>
      </c>
      <c r="CE1467" s="16" t="e">
        <f t="shared" si="436"/>
        <v>#N/A</v>
      </c>
      <c r="CF1467" s="16">
        <f t="shared" si="437"/>
        <v>99</v>
      </c>
      <c r="CG1467" s="16">
        <f t="shared" si="438"/>
        <v>0</v>
      </c>
      <c r="CH1467" s="16">
        <f t="shared" si="432"/>
        <v>0</v>
      </c>
      <c r="CJ1467" s="16" t="e">
        <f t="shared" si="439"/>
        <v>#N/A</v>
      </c>
      <c r="CK1467" s="16" t="str">
        <f t="shared" si="440"/>
        <v/>
      </c>
    </row>
    <row r="1468" spans="73:89" ht="12" customHeight="1">
      <c r="BU1468" s="16">
        <f t="shared" si="441"/>
        <v>0</v>
      </c>
      <c r="BV1468" s="16">
        <f>IF($BY$12=1,NORMDIST(BY1468,$Y$6,$Y$8,TRUE),IF($BY$12=2,IF(BY1468&lt;=$BX$31,0,IF(BY1468&gt;=$BX$32,1,(BY1468-$BX$31)*$BX$33)),SUM($BU$42:BU1468)/$BV$40))</f>
        <v>0.99999817167132155</v>
      </c>
      <c r="BW1468" s="16">
        <f t="shared" si="433"/>
        <v>6.295582306224108E-5</v>
      </c>
      <c r="BY1468" s="16">
        <f t="shared" si="434"/>
        <v>142.59999999999619</v>
      </c>
      <c r="BZ1468" s="16">
        <f t="shared" si="435"/>
        <v>4.4148543521909373E-7</v>
      </c>
      <c r="CA1468" s="16">
        <f t="shared" si="442"/>
        <v>-999</v>
      </c>
      <c r="CE1468" s="16" t="e">
        <f t="shared" si="436"/>
        <v>#N/A</v>
      </c>
      <c r="CF1468" s="16">
        <f t="shared" si="437"/>
        <v>99</v>
      </c>
      <c r="CG1468" s="16">
        <f t="shared" si="438"/>
        <v>0</v>
      </c>
      <c r="CH1468" s="16">
        <f t="shared" si="432"/>
        <v>0</v>
      </c>
      <c r="CJ1468" s="16" t="e">
        <f t="shared" si="439"/>
        <v>#N/A</v>
      </c>
      <c r="CK1468" s="16" t="str">
        <f t="shared" si="440"/>
        <v/>
      </c>
    </row>
    <row r="1469" spans="73:89" ht="12" customHeight="1">
      <c r="BU1469" s="16">
        <f t="shared" si="441"/>
        <v>0</v>
      </c>
      <c r="BV1469" s="16">
        <f>IF($BY$12=1,NORMDIST(BY1469,$Y$6,$Y$8,TRUE),IF($BY$12=2,IF(BY1469&lt;=$BX$31,0,IF(BY1469&gt;=$BX$32,1,(BY1469-$BX$31)*$BX$33)),SUM($BU$42:BU1469)/$BV$40))</f>
        <v>0.99999821531261834</v>
      </c>
      <c r="BW1469" s="16">
        <f t="shared" si="433"/>
        <v>6.1557504821765113E-5</v>
      </c>
      <c r="BY1469" s="16">
        <f t="shared" si="434"/>
        <v>142.69999999999618</v>
      </c>
      <c r="BZ1469" s="16">
        <f t="shared" si="435"/>
        <v>4.3137704850572364E-7</v>
      </c>
      <c r="CA1469" s="16">
        <f t="shared" si="442"/>
        <v>-999</v>
      </c>
      <c r="CE1469" s="16" t="e">
        <f t="shared" si="436"/>
        <v>#N/A</v>
      </c>
      <c r="CF1469" s="16">
        <f t="shared" si="437"/>
        <v>99</v>
      </c>
      <c r="CG1469" s="16">
        <f t="shared" si="438"/>
        <v>0</v>
      </c>
      <c r="CH1469" s="16">
        <f t="shared" si="432"/>
        <v>0</v>
      </c>
      <c r="CJ1469" s="16" t="e">
        <f t="shared" si="439"/>
        <v>#N/A</v>
      </c>
      <c r="CK1469" s="16" t="str">
        <f t="shared" si="440"/>
        <v/>
      </c>
    </row>
    <row r="1470" spans="73:89" ht="12" customHeight="1">
      <c r="BU1470" s="16">
        <f t="shared" si="441"/>
        <v>0</v>
      </c>
      <c r="BV1470" s="16">
        <f>IF($BY$12=1,NORMDIST(BY1470,$Y$6,$Y$8,TRUE),IF($BY$12=2,IF(BY1470&lt;=$BX$31,0,IF(BY1470&gt;=$BX$32,1,(BY1470-$BX$31)*$BX$33)),SUM($BU$42:BU1470)/$BV$40))</f>
        <v>0.99999825795412289</v>
      </c>
      <c r="BW1470" s="16">
        <f t="shared" si="433"/>
        <v>6.0188710476305155E-5</v>
      </c>
      <c r="BY1470" s="16">
        <f t="shared" si="434"/>
        <v>142.79999999999617</v>
      </c>
      <c r="BZ1470" s="16">
        <f t="shared" si="435"/>
        <v>4.2148956916181211E-7</v>
      </c>
      <c r="CA1470" s="16">
        <f t="shared" si="442"/>
        <v>-999</v>
      </c>
      <c r="CE1470" s="16" t="e">
        <f t="shared" si="436"/>
        <v>#N/A</v>
      </c>
      <c r="CF1470" s="16">
        <f t="shared" si="437"/>
        <v>99</v>
      </c>
      <c r="CG1470" s="16">
        <f t="shared" si="438"/>
        <v>0</v>
      </c>
      <c r="CH1470" s="16">
        <f t="shared" si="432"/>
        <v>0</v>
      </c>
      <c r="CJ1470" s="16" t="e">
        <f t="shared" si="439"/>
        <v>#N/A</v>
      </c>
      <c r="CK1470" s="16" t="str">
        <f t="shared" si="440"/>
        <v/>
      </c>
    </row>
    <row r="1471" spans="73:89" ht="12" customHeight="1">
      <c r="BU1471" s="16">
        <f t="shared" si="441"/>
        <v>0</v>
      </c>
      <c r="BV1471" s="16">
        <f>IF($BY$12=1,NORMDIST(BY1471,$Y$6,$Y$8,TRUE),IF($BY$12=2,IF(BY1471&lt;=$BX$31,0,IF(BY1471&gt;=$BX$32,1,(BY1471-$BX$31)*$BX$33)),SUM($BU$42:BU1471)/$BV$40))</f>
        <v>0.99999829961772746</v>
      </c>
      <c r="BW1471" s="16">
        <f t="shared" si="433"/>
        <v>5.8848852579545093E-5</v>
      </c>
      <c r="BY1471" s="16">
        <f t="shared" si="434"/>
        <v>142.89999999999617</v>
      </c>
      <c r="BZ1471" s="16">
        <f t="shared" si="435"/>
        <v>4.118184225300677E-7</v>
      </c>
      <c r="CA1471" s="16">
        <f t="shared" si="442"/>
        <v>-999</v>
      </c>
      <c r="CE1471" s="16" t="e">
        <f t="shared" si="436"/>
        <v>#N/A</v>
      </c>
      <c r="CF1471" s="16">
        <f t="shared" si="437"/>
        <v>99</v>
      </c>
      <c r="CG1471" s="16">
        <f t="shared" si="438"/>
        <v>0</v>
      </c>
      <c r="CH1471" s="16">
        <f t="shared" si="432"/>
        <v>0</v>
      </c>
      <c r="CJ1471" s="16" t="e">
        <f t="shared" si="439"/>
        <v>#N/A</v>
      </c>
      <c r="CK1471" s="16" t="str">
        <f t="shared" si="440"/>
        <v/>
      </c>
    </row>
    <row r="1472" spans="73:89" ht="12" customHeight="1">
      <c r="BU1472" s="16">
        <f t="shared" si="441"/>
        <v>0</v>
      </c>
      <c r="BV1472" s="16">
        <f>IF($BY$12=1,NORMDIST(BY1472,$Y$6,$Y$8,TRUE),IF($BY$12=2,IF(BY1472&lt;=$BX$31,0,IF(BY1472&gt;=$BX$32,1,(BY1472-$BX$31)*$BX$33)),SUM($BU$42:BU1472)/$BV$40))</f>
        <v>0.99999834032482959</v>
      </c>
      <c r="BW1472" s="16">
        <f t="shared" si="433"/>
        <v>5.7537354563969671E-5</v>
      </c>
      <c r="BY1472" s="16">
        <f t="shared" si="434"/>
        <v>142.99999999999616</v>
      </c>
      <c r="BZ1472" s="16">
        <f t="shared" si="435"/>
        <v>4.0235912282497351E-7</v>
      </c>
      <c r="CA1472" s="16">
        <f t="shared" si="442"/>
        <v>-999</v>
      </c>
      <c r="CE1472" s="16" t="e">
        <f t="shared" si="436"/>
        <v>#N/A</v>
      </c>
      <c r="CF1472" s="16">
        <f t="shared" si="437"/>
        <v>99</v>
      </c>
      <c r="CG1472" s="16">
        <f t="shared" si="438"/>
        <v>0</v>
      </c>
      <c r="CH1472" s="16">
        <f t="shared" si="432"/>
        <v>0</v>
      </c>
      <c r="CJ1472" s="16" t="e">
        <f t="shared" si="439"/>
        <v>#N/A</v>
      </c>
      <c r="CK1472" s="16" t="str">
        <f t="shared" si="440"/>
        <v/>
      </c>
    </row>
    <row r="1473" spans="73:89" ht="12" customHeight="1">
      <c r="BU1473" s="16">
        <f t="shared" si="441"/>
        <v>0</v>
      </c>
      <c r="BV1473" s="16">
        <f>IF($BY$12=1,NORMDIST(BY1473,$Y$6,$Y$8,TRUE),IF($BY$12=2,IF(BY1473&lt;=$BX$31,0,IF(BY1473&gt;=$BX$32,1,(BY1473-$BX$31)*$BX$33)),SUM($BU$42:BU1473)/$BV$40))</f>
        <v>0.99999838009637354</v>
      </c>
      <c r="BW1473" s="16">
        <f t="shared" si="433"/>
        <v>5.625365055694814E-5</v>
      </c>
      <c r="BY1473" s="16">
        <f t="shared" si="434"/>
        <v>143.09999999999616</v>
      </c>
      <c r="BZ1473" s="16">
        <f t="shared" si="435"/>
        <v>3.9310727153703462E-7</v>
      </c>
      <c r="CA1473" s="16">
        <f t="shared" si="442"/>
        <v>-999</v>
      </c>
      <c r="CE1473" s="16" t="e">
        <f t="shared" si="436"/>
        <v>#N/A</v>
      </c>
      <c r="CF1473" s="16">
        <f t="shared" si="437"/>
        <v>99</v>
      </c>
      <c r="CG1473" s="16">
        <f t="shared" si="438"/>
        <v>0</v>
      </c>
      <c r="CH1473" s="16">
        <f t="shared" si="432"/>
        <v>0</v>
      </c>
      <c r="CJ1473" s="16" t="e">
        <f t="shared" si="439"/>
        <v>#N/A</v>
      </c>
      <c r="CK1473" s="16" t="str">
        <f t="shared" si="440"/>
        <v/>
      </c>
    </row>
    <row r="1474" spans="73:89" ht="12" customHeight="1">
      <c r="BU1474" s="16">
        <f t="shared" si="441"/>
        <v>0</v>
      </c>
      <c r="BV1474" s="16">
        <f>IF($BY$12=1,NORMDIST(BY1474,$Y$6,$Y$8,TRUE),IF($BY$12=2,IF(BY1474&lt;=$BX$31,0,IF(BY1474&gt;=$BX$32,1,(BY1474-$BX$31)*$BX$33)),SUM($BU$42:BU1474)/$BV$40))</f>
        <v>0.99999841895315211</v>
      </c>
      <c r="BW1474" s="16">
        <f t="shared" si="433"/>
        <v>5.4997185199561113E-5</v>
      </c>
      <c r="BY1474" s="16">
        <f t="shared" si="434"/>
        <v>143.19999999999615</v>
      </c>
      <c r="BZ1474" s="16">
        <f t="shared" si="435"/>
        <v>3.8405855586286723E-7</v>
      </c>
      <c r="CA1474" s="16">
        <f t="shared" si="442"/>
        <v>-999</v>
      </c>
      <c r="CE1474" s="16" t="e">
        <f t="shared" si="436"/>
        <v>#N/A</v>
      </c>
      <c r="CF1474" s="16">
        <f t="shared" si="437"/>
        <v>99</v>
      </c>
      <c r="CG1474" s="16">
        <f t="shared" si="438"/>
        <v>0</v>
      </c>
      <c r="CH1474" s="16">
        <f t="shared" si="432"/>
        <v>0</v>
      </c>
      <c r="CJ1474" s="16" t="e">
        <f t="shared" si="439"/>
        <v>#N/A</v>
      </c>
      <c r="CK1474" s="16" t="str">
        <f t="shared" si="440"/>
        <v/>
      </c>
    </row>
    <row r="1475" spans="73:89" ht="12" customHeight="1">
      <c r="BU1475" s="16">
        <f t="shared" si="441"/>
        <v>0</v>
      </c>
      <c r="BV1475" s="16">
        <f>IF($BY$12=1,NORMDIST(BY1475,$Y$6,$Y$8,TRUE),IF($BY$12=2,IF(BY1475&lt;=$BX$31,0,IF(BY1475&gt;=$BX$32,1,(BY1475-$BX$31)*$BX$33)),SUM($BU$42:BU1475)/$BV$40))</f>
        <v>0.99999845691474687</v>
      </c>
      <c r="BW1475" s="16">
        <f t="shared" si="433"/>
        <v>5.376741346813955E-5</v>
      </c>
      <c r="BY1475" s="16">
        <f t="shared" si="434"/>
        <v>143.29999999999615</v>
      </c>
      <c r="BZ1475" s="16">
        <f t="shared" si="435"/>
        <v>3.7520874716078855E-7</v>
      </c>
      <c r="CA1475" s="16">
        <f t="shared" si="442"/>
        <v>-999</v>
      </c>
      <c r="CE1475" s="16" t="e">
        <f t="shared" si="436"/>
        <v>#N/A</v>
      </c>
      <c r="CF1475" s="16">
        <f t="shared" si="437"/>
        <v>99</v>
      </c>
      <c r="CG1475" s="16">
        <f t="shared" si="438"/>
        <v>0</v>
      </c>
      <c r="CH1475" s="16">
        <f t="shared" ref="CH1475:CH1538" si="443">IF(CB1475="",0,1)</f>
        <v>0</v>
      </c>
      <c r="CJ1475" s="16" t="e">
        <f t="shared" si="439"/>
        <v>#N/A</v>
      </c>
      <c r="CK1475" s="16" t="str">
        <f t="shared" si="440"/>
        <v/>
      </c>
    </row>
    <row r="1476" spans="73:89" ht="12" customHeight="1">
      <c r="BU1476" s="16">
        <f t="shared" si="441"/>
        <v>0</v>
      </c>
      <c r="BV1476" s="16">
        <f>IF($BY$12=1,NORMDIST(BY1476,$Y$6,$Y$8,TRUE),IF($BY$12=2,IF(BY1476&lt;=$BX$31,0,IF(BY1476&gt;=$BX$32,1,(BY1476-$BX$31)*$BX$33)),SUM($BU$42:BU1476)/$BV$40))</f>
        <v>0.99999849400126584</v>
      </c>
      <c r="BW1476" s="16">
        <f t="shared" si="433"/>
        <v>5.2563800498479608E-5</v>
      </c>
      <c r="BY1476" s="16">
        <f t="shared" si="434"/>
        <v>143.39999999999614</v>
      </c>
      <c r="BZ1476" s="16">
        <f t="shared" si="435"/>
        <v>3.6655369943152737E-7</v>
      </c>
      <c r="CA1476" s="16">
        <f t="shared" si="442"/>
        <v>-999</v>
      </c>
      <c r="CE1476" s="16" t="e">
        <f t="shared" si="436"/>
        <v>#N/A</v>
      </c>
      <c r="CF1476" s="16">
        <f t="shared" si="437"/>
        <v>99</v>
      </c>
      <c r="CG1476" s="16">
        <f t="shared" si="438"/>
        <v>0</v>
      </c>
      <c r="CH1476" s="16">
        <f t="shared" si="443"/>
        <v>0</v>
      </c>
      <c r="CJ1476" s="16" t="e">
        <f t="shared" si="439"/>
        <v>#N/A</v>
      </c>
      <c r="CK1476" s="16" t="str">
        <f t="shared" si="440"/>
        <v/>
      </c>
    </row>
    <row r="1477" spans="73:89" ht="12" customHeight="1">
      <c r="BU1477" s="16">
        <f t="shared" si="441"/>
        <v>0</v>
      </c>
      <c r="BV1477" s="16">
        <f>IF($BY$12=1,NORMDIST(BY1477,$Y$6,$Y$8,TRUE),IF($BY$12=2,IF(BY1477&lt;=$BX$31,0,IF(BY1477&gt;=$BX$32,1,(BY1477-$BX$31)*$BX$33)),SUM($BU$42:BU1477)/$BV$40))</f>
        <v>0.99999853023182927</v>
      </c>
      <c r="BW1477" s="16">
        <f t="shared" si="433"/>
        <v>5.1385821412702352E-5</v>
      </c>
      <c r="BY1477" s="16">
        <f t="shared" si="434"/>
        <v>143.49999999999613</v>
      </c>
      <c r="BZ1477" s="16">
        <f t="shared" si="435"/>
        <v>3.5808934782371944E-7</v>
      </c>
      <c r="CA1477" s="16">
        <f t="shared" si="442"/>
        <v>-999</v>
      </c>
      <c r="CE1477" s="16" t="e">
        <f t="shared" si="436"/>
        <v>#N/A</v>
      </c>
      <c r="CF1477" s="16">
        <f t="shared" si="437"/>
        <v>99</v>
      </c>
      <c r="CG1477" s="16">
        <f t="shared" si="438"/>
        <v>0</v>
      </c>
      <c r="CH1477" s="16">
        <f t="shared" si="443"/>
        <v>0</v>
      </c>
      <c r="CJ1477" s="16" t="e">
        <f t="shared" si="439"/>
        <v>#N/A</v>
      </c>
      <c r="CK1477" s="16" t="str">
        <f t="shared" si="440"/>
        <v/>
      </c>
    </row>
    <row r="1478" spans="73:89" ht="12" customHeight="1">
      <c r="BU1478" s="16">
        <f t="shared" si="441"/>
        <v>0</v>
      </c>
      <c r="BV1478" s="16">
        <f>IF($BY$12=1,NORMDIST(BY1478,$Y$6,$Y$8,TRUE),IF($BY$12=2,IF(BY1478&lt;=$BX$31,0,IF(BY1478&gt;=$BX$32,1,(BY1478-$BX$31)*$BX$33)),SUM($BU$42:BU1478)/$BV$40))</f>
        <v>0.99999856562531986</v>
      </c>
      <c r="BW1478" s="16">
        <f t="shared" si="433"/>
        <v>5.0232961148725574E-5</v>
      </c>
      <c r="BY1478" s="16">
        <f t="shared" si="434"/>
        <v>143.59999999999613</v>
      </c>
      <c r="BZ1478" s="16">
        <f t="shared" si="435"/>
        <v>3.4981170716383653E-7</v>
      </c>
      <c r="CA1478" s="16">
        <f t="shared" si="442"/>
        <v>-999</v>
      </c>
      <c r="CE1478" s="16" t="e">
        <f t="shared" si="436"/>
        <v>#N/A</v>
      </c>
      <c r="CF1478" s="16">
        <f t="shared" si="437"/>
        <v>99</v>
      </c>
      <c r="CG1478" s="16">
        <f t="shared" si="438"/>
        <v>0</v>
      </c>
      <c r="CH1478" s="16">
        <f t="shared" si="443"/>
        <v>0</v>
      </c>
      <c r="CJ1478" s="16" t="e">
        <f t="shared" si="439"/>
        <v>#N/A</v>
      </c>
      <c r="CK1478" s="16" t="str">
        <f t="shared" si="440"/>
        <v/>
      </c>
    </row>
    <row r="1479" spans="73:89" ht="12" customHeight="1">
      <c r="BU1479" s="16">
        <f t="shared" si="441"/>
        <v>0</v>
      </c>
      <c r="BV1479" s="16">
        <f>IF($BY$12=1,NORMDIST(BY1479,$Y$6,$Y$8,TRUE),IF($BY$12=2,IF(BY1479&lt;=$BX$31,0,IF(BY1479&gt;=$BX$32,1,(BY1479-$BX$31)*$BX$33)),SUM($BU$42:BU1479)/$BV$40))</f>
        <v>0.99999860020027753</v>
      </c>
      <c r="BW1479" s="16">
        <f t="shared" si="433"/>
        <v>4.9104714292312692E-5</v>
      </c>
      <c r="BY1479" s="16">
        <f t="shared" si="434"/>
        <v>143.69999999999612</v>
      </c>
      <c r="BZ1479" s="16">
        <f t="shared" si="435"/>
        <v>3.41716870510188E-7</v>
      </c>
      <c r="CA1479" s="16">
        <f t="shared" si="442"/>
        <v>-999</v>
      </c>
      <c r="CE1479" s="16" t="e">
        <f t="shared" si="436"/>
        <v>#N/A</v>
      </c>
      <c r="CF1479" s="16">
        <f t="shared" si="437"/>
        <v>99</v>
      </c>
      <c r="CG1479" s="16">
        <f t="shared" si="438"/>
        <v>0</v>
      </c>
      <c r="CH1479" s="16">
        <f t="shared" si="443"/>
        <v>0</v>
      </c>
      <c r="CJ1479" s="16" t="e">
        <f t="shared" si="439"/>
        <v>#N/A</v>
      </c>
      <c r="CK1479" s="16" t="str">
        <f t="shared" si="440"/>
        <v/>
      </c>
    </row>
    <row r="1480" spans="73:89" ht="12" customHeight="1">
      <c r="BU1480" s="16">
        <f t="shared" si="441"/>
        <v>0</v>
      </c>
      <c r="BV1480" s="16">
        <f>IF($BY$12=1,NORMDIST(BY1480,$Y$6,$Y$8,TRUE),IF($BY$12=2,IF(BY1480&lt;=$BX$31,0,IF(BY1480&gt;=$BX$32,1,(BY1480-$BX$31)*$BX$33)),SUM($BU$42:BU1480)/$BV$40))</f>
        <v>0.99999863397470046</v>
      </c>
      <c r="BW1480" s="16">
        <f t="shared" si="433"/>
        <v>4.8000584911670091E-5</v>
      </c>
      <c r="BY1480" s="16">
        <f t="shared" si="434"/>
        <v>143.79999999999612</v>
      </c>
      <c r="BZ1480" s="16">
        <f t="shared" si="435"/>
        <v>3.3380100773067723E-7</v>
      </c>
      <c r="CA1480" s="16">
        <f t="shared" si="442"/>
        <v>-999</v>
      </c>
      <c r="CE1480" s="16" t="e">
        <f t="shared" si="436"/>
        <v>#N/A</v>
      </c>
      <c r="CF1480" s="16">
        <f t="shared" si="437"/>
        <v>99</v>
      </c>
      <c r="CG1480" s="16">
        <f t="shared" si="438"/>
        <v>0</v>
      </c>
      <c r="CH1480" s="16">
        <f t="shared" si="443"/>
        <v>0</v>
      </c>
      <c r="CJ1480" s="16" t="e">
        <f t="shared" si="439"/>
        <v>#N/A</v>
      </c>
      <c r="CK1480" s="16" t="str">
        <f t="shared" si="440"/>
        <v/>
      </c>
    </row>
    <row r="1481" spans="73:89" ht="12" customHeight="1">
      <c r="BU1481" s="16">
        <f t="shared" si="441"/>
        <v>0</v>
      </c>
      <c r="BV1481" s="16">
        <f>IF($BY$12=1,NORMDIST(BY1481,$Y$6,$Y$8,TRUE),IF($BY$12=2,IF(BY1481&lt;=$BX$31,0,IF(BY1481&gt;=$BX$32,1,(BY1481-$BX$31)*$BX$33)),SUM($BU$42:BU1481)/$BV$40))</f>
        <v>0.99999866696632433</v>
      </c>
      <c r="BW1481" s="16">
        <f t="shared" si="433"/>
        <v>4.6920086394557928E-5</v>
      </c>
      <c r="BY1481" s="16">
        <f t="shared" si="434"/>
        <v>143.89999999999611</v>
      </c>
      <c r="BZ1481" s="16">
        <f t="shared" si="435"/>
        <v>3.260603641039555E-7</v>
      </c>
      <c r="CA1481" s="16">
        <f t="shared" si="442"/>
        <v>-999</v>
      </c>
      <c r="CE1481" s="16" t="e">
        <f t="shared" si="436"/>
        <v>#N/A</v>
      </c>
      <c r="CF1481" s="16">
        <f t="shared" si="437"/>
        <v>99</v>
      </c>
      <c r="CG1481" s="16">
        <f t="shared" si="438"/>
        <v>0</v>
      </c>
      <c r="CH1481" s="16">
        <f t="shared" si="443"/>
        <v>0</v>
      </c>
      <c r="CJ1481" s="16" t="e">
        <f t="shared" si="439"/>
        <v>#N/A</v>
      </c>
      <c r="CK1481" s="16" t="str">
        <f t="shared" si="440"/>
        <v/>
      </c>
    </row>
    <row r="1482" spans="73:89" ht="12" customHeight="1">
      <c r="BU1482" s="16">
        <f t="shared" si="441"/>
        <v>0</v>
      </c>
      <c r="BV1482" s="16">
        <f>IF($BY$12=1,NORMDIST(BY1482,$Y$6,$Y$8,TRUE),IF($BY$12=2,IF(BY1482&lt;=$BX$31,0,IF(BY1482&gt;=$BX$32,1,(BY1482-$BX$31)*$BX$33)),SUM($BU$42:BU1482)/$BV$40))</f>
        <v>0.99999869919244533</v>
      </c>
      <c r="BW1482" s="16">
        <f t="shared" si="433"/>
        <v>4.5862741287883835E-5</v>
      </c>
      <c r="BY1482" s="16">
        <f t="shared" si="434"/>
        <v>143.99999999999611</v>
      </c>
      <c r="BZ1482" s="16">
        <f t="shared" si="435"/>
        <v>3.1849125894364637E-7</v>
      </c>
      <c r="CA1482" s="16">
        <f t="shared" si="442"/>
        <v>-999</v>
      </c>
      <c r="CE1482" s="16" t="e">
        <f t="shared" si="436"/>
        <v>#N/A</v>
      </c>
      <c r="CF1482" s="16">
        <f t="shared" si="437"/>
        <v>99</v>
      </c>
      <c r="CG1482" s="16">
        <f t="shared" si="438"/>
        <v>0</v>
      </c>
      <c r="CH1482" s="16">
        <f t="shared" si="443"/>
        <v>0</v>
      </c>
      <c r="CJ1482" s="16" t="e">
        <f t="shared" si="439"/>
        <v>#N/A</v>
      </c>
      <c r="CK1482" s="16" t="str">
        <f t="shared" si="440"/>
        <v/>
      </c>
    </row>
    <row r="1483" spans="73:89" ht="12" customHeight="1">
      <c r="BU1483" s="16">
        <f t="shared" si="441"/>
        <v>0</v>
      </c>
      <c r="BV1483" s="16">
        <f>IF($BY$12=1,NORMDIST(BY1483,$Y$6,$Y$8,TRUE),IF($BY$12=2,IF(BY1483&lt;=$BX$31,0,IF(BY1483&gt;=$BX$32,1,(BY1483-$BX$31)*$BX$33)),SUM($BU$42:BU1483)/$BV$40))</f>
        <v>0.9999987306702689</v>
      </c>
      <c r="BW1483" s="16">
        <f t="shared" si="433"/>
        <v>4.4828081139748415E-5</v>
      </c>
      <c r="BY1483" s="16">
        <f t="shared" si="434"/>
        <v>144.0999999999961</v>
      </c>
      <c r="BZ1483" s="16">
        <f t="shared" si="435"/>
        <v>3.1109008424531318E-7</v>
      </c>
      <c r="CA1483" s="16">
        <f t="shared" si="442"/>
        <v>-999</v>
      </c>
      <c r="CE1483" s="16" t="e">
        <f t="shared" si="436"/>
        <v>#N/A</v>
      </c>
      <c r="CF1483" s="16">
        <f t="shared" si="437"/>
        <v>99</v>
      </c>
      <c r="CG1483" s="16">
        <f t="shared" si="438"/>
        <v>0</v>
      </c>
      <c r="CH1483" s="16">
        <f t="shared" si="443"/>
        <v>0</v>
      </c>
      <c r="CJ1483" s="16" t="e">
        <f t="shared" si="439"/>
        <v>#N/A</v>
      </c>
      <c r="CK1483" s="16" t="str">
        <f t="shared" si="440"/>
        <v/>
      </c>
    </row>
    <row r="1484" spans="73:89" ht="12" customHeight="1">
      <c r="BU1484" s="16">
        <f t="shared" si="441"/>
        <v>0</v>
      </c>
      <c r="BV1484" s="16">
        <f>IF($BY$12=1,NORMDIST(BY1484,$Y$6,$Y$8,TRUE),IF($BY$12=2,IF(BY1484&lt;=$BX$31,0,IF(BY1484&gt;=$BX$32,1,(BY1484-$BX$31)*$BX$33)),SUM($BU$42:BU1484)/$BV$40))</f>
        <v>0.99999876141597244</v>
      </c>
      <c r="BW1484" s="16">
        <f t="shared" si="433"/>
        <v>4.3815646343910271E-5</v>
      </c>
      <c r="BY1484" s="16">
        <f t="shared" si="434"/>
        <v>144.19999999999609</v>
      </c>
      <c r="BZ1484" s="16">
        <f t="shared" si="435"/>
        <v>3.0385330335583534E-7</v>
      </c>
      <c r="CA1484" s="16">
        <f t="shared" si="442"/>
        <v>-999</v>
      </c>
      <c r="CE1484" s="16" t="e">
        <f t="shared" si="436"/>
        <v>#N/A</v>
      </c>
      <c r="CF1484" s="16">
        <f t="shared" si="437"/>
        <v>99</v>
      </c>
      <c r="CG1484" s="16">
        <f t="shared" si="438"/>
        <v>0</v>
      </c>
      <c r="CH1484" s="16">
        <f t="shared" si="443"/>
        <v>0</v>
      </c>
      <c r="CJ1484" s="16" t="e">
        <f t="shared" si="439"/>
        <v>#N/A</v>
      </c>
      <c r="CK1484" s="16" t="str">
        <f t="shared" si="440"/>
        <v/>
      </c>
    </row>
    <row r="1485" spans="73:89" ht="12" customHeight="1">
      <c r="BU1485" s="16">
        <f t="shared" si="441"/>
        <v>0</v>
      </c>
      <c r="BV1485" s="16">
        <f>IF($BY$12=1,NORMDIST(BY1485,$Y$6,$Y$8,TRUE),IF($BY$12=2,IF(BY1485&lt;=$BX$31,0,IF(BY1485&gt;=$BX$32,1,(BY1485-$BX$31)*$BX$33)),SUM($BU$42:BU1485)/$BV$40))</f>
        <v>0.9999987914460895</v>
      </c>
      <c r="BW1485" s="16">
        <f t="shared" si="433"/>
        <v>4.2824985986640731E-5</v>
      </c>
      <c r="BY1485" s="16">
        <f t="shared" si="434"/>
        <v>144.29999999999609</v>
      </c>
      <c r="BZ1485" s="16">
        <f t="shared" si="435"/>
        <v>2.9677744966487798E-7</v>
      </c>
      <c r="CA1485" s="16">
        <f t="shared" si="442"/>
        <v>-999</v>
      </c>
      <c r="CE1485" s="16" t="e">
        <f t="shared" si="436"/>
        <v>#N/A</v>
      </c>
      <c r="CF1485" s="16">
        <f t="shared" si="437"/>
        <v>99</v>
      </c>
      <c r="CG1485" s="16">
        <f t="shared" si="438"/>
        <v>0</v>
      </c>
      <c r="CH1485" s="16">
        <f t="shared" si="443"/>
        <v>0</v>
      </c>
      <c r="CJ1485" s="16" t="e">
        <f t="shared" si="439"/>
        <v>#N/A</v>
      </c>
      <c r="CK1485" s="16" t="str">
        <f t="shared" si="440"/>
        <v/>
      </c>
    </row>
    <row r="1486" spans="73:89" ht="12" customHeight="1">
      <c r="BU1486" s="16">
        <f t="shared" si="441"/>
        <v>0</v>
      </c>
      <c r="BV1486" s="16">
        <f>IF($BY$12=1,NORMDIST(BY1486,$Y$6,$Y$8,TRUE),IF($BY$12=2,IF(BY1486&lt;=$BX$31,0,IF(BY1486&gt;=$BX$32,1,(BY1486-$BX$31)*$BX$33)),SUM($BU$42:BU1486)/$BV$40))</f>
        <v>0.99999882077659752</v>
      </c>
      <c r="BW1486" s="16">
        <f t="shared" si="433"/>
        <v>4.1855657695937132E-5</v>
      </c>
      <c r="BY1486" s="16">
        <f t="shared" si="434"/>
        <v>144.39999999999608</v>
      </c>
      <c r="BZ1486" s="16">
        <f t="shared" si="435"/>
        <v>2.8985912531813205E-7</v>
      </c>
      <c r="CA1486" s="16">
        <f t="shared" si="442"/>
        <v>-999</v>
      </c>
      <c r="CE1486" s="16" t="e">
        <f t="shared" si="436"/>
        <v>#N/A</v>
      </c>
      <c r="CF1486" s="16">
        <f t="shared" si="437"/>
        <v>99</v>
      </c>
      <c r="CG1486" s="16">
        <f t="shared" si="438"/>
        <v>0</v>
      </c>
      <c r="CH1486" s="16">
        <f t="shared" si="443"/>
        <v>0</v>
      </c>
      <c r="CJ1486" s="16" t="e">
        <f t="shared" si="439"/>
        <v>#N/A</v>
      </c>
      <c r="CK1486" s="16" t="str">
        <f t="shared" si="440"/>
        <v/>
      </c>
    </row>
    <row r="1487" spans="73:89" ht="12" customHeight="1">
      <c r="BU1487" s="16">
        <f t="shared" si="441"/>
        <v>0</v>
      </c>
      <c r="BV1487" s="16">
        <f>IF($BY$12=1,NORMDIST(BY1487,$Y$6,$Y$8,TRUE),IF($BY$12=2,IF(BY1487&lt;=$BX$31,0,IF(BY1487&gt;=$BX$32,1,(BY1487-$BX$31)*$BX$33)),SUM($BU$42:BU1487)/$BV$40))</f>
        <v>0.99999884942325579</v>
      </c>
      <c r="BW1487" s="16">
        <f t="shared" si="433"/>
        <v>4.0907227493063599E-5</v>
      </c>
      <c r="BY1487" s="16">
        <f t="shared" si="434"/>
        <v>144.49999999999608</v>
      </c>
      <c r="BZ1487" s="16">
        <f t="shared" si="435"/>
        <v>2.830949999520049E-7</v>
      </c>
      <c r="CA1487" s="16">
        <f t="shared" si="442"/>
        <v>-999</v>
      </c>
      <c r="CE1487" s="16" t="e">
        <f t="shared" si="436"/>
        <v>#N/A</v>
      </c>
      <c r="CF1487" s="16">
        <f t="shared" si="437"/>
        <v>99</v>
      </c>
      <c r="CG1487" s="16">
        <f t="shared" si="438"/>
        <v>0</v>
      </c>
      <c r="CH1487" s="16">
        <f t="shared" si="443"/>
        <v>0</v>
      </c>
      <c r="CJ1487" s="16" t="e">
        <f t="shared" si="439"/>
        <v>#N/A</v>
      </c>
      <c r="CK1487" s="16" t="str">
        <f t="shared" si="440"/>
        <v/>
      </c>
    </row>
    <row r="1488" spans="73:89" ht="12" customHeight="1">
      <c r="BU1488" s="16">
        <f t="shared" si="441"/>
        <v>0</v>
      </c>
      <c r="BV1488" s="16">
        <f>IF($BY$12=1,NORMDIST(BY1488,$Y$6,$Y$8,TRUE),IF($BY$12=2,IF(BY1488&lt;=$BX$31,0,IF(BY1488&gt;=$BX$32,1,(BY1488-$BX$31)*$BX$33)),SUM($BU$42:BU1488)/$BV$40))</f>
        <v>0.99999887740079862</v>
      </c>
      <c r="BW1488" s="16">
        <f t="shared" si="433"/>
        <v>3.9979269646390819E-5</v>
      </c>
      <c r="BY1488" s="16">
        <f t="shared" si="434"/>
        <v>144.59999999999607</v>
      </c>
      <c r="BZ1488" s="16">
        <f t="shared" si="435"/>
        <v>2.7648180944945992E-7</v>
      </c>
      <c r="CA1488" s="16">
        <f t="shared" si="442"/>
        <v>-999</v>
      </c>
      <c r="CE1488" s="16" t="e">
        <f t="shared" si="436"/>
        <v>#N/A</v>
      </c>
      <c r="CF1488" s="16">
        <f t="shared" si="437"/>
        <v>99</v>
      </c>
      <c r="CG1488" s="16">
        <f t="shared" si="438"/>
        <v>0</v>
      </c>
      <c r="CH1488" s="16">
        <f t="shared" si="443"/>
        <v>0</v>
      </c>
      <c r="CJ1488" s="16" t="e">
        <f t="shared" si="439"/>
        <v>#N/A</v>
      </c>
      <c r="CK1488" s="16" t="str">
        <f t="shared" si="440"/>
        <v/>
      </c>
    </row>
    <row r="1489" spans="73:89" ht="12" customHeight="1">
      <c r="BU1489" s="16">
        <f t="shared" si="441"/>
        <v>0</v>
      </c>
      <c r="BV1489" s="16">
        <f>IF($BY$12=1,NORMDIST(BY1489,$Y$6,$Y$8,TRUE),IF($BY$12=2,IF(BY1489&lt;=$BX$31,0,IF(BY1489&gt;=$BX$32,1,(BY1489-$BX$31)*$BX$33)),SUM($BU$42:BU1489)/$BV$40))</f>
        <v>0.99999890472441022</v>
      </c>
      <c r="BW1489" s="16">
        <f t="shared" si="433"/>
        <v>3.9071366527503897E-5</v>
      </c>
      <c r="BY1489" s="16">
        <f t="shared" si="434"/>
        <v>144.69999999999607</v>
      </c>
      <c r="BZ1489" s="16">
        <f t="shared" si="435"/>
        <v>2.7001635471668944E-7</v>
      </c>
      <c r="CA1489" s="16">
        <f t="shared" si="442"/>
        <v>-999</v>
      </c>
      <c r="CE1489" s="16" t="e">
        <f t="shared" si="436"/>
        <v>#N/A</v>
      </c>
      <c r="CF1489" s="16">
        <f t="shared" si="437"/>
        <v>99</v>
      </c>
      <c r="CG1489" s="16">
        <f t="shared" si="438"/>
        <v>0</v>
      </c>
      <c r="CH1489" s="16">
        <f t="shared" si="443"/>
        <v>0</v>
      </c>
      <c r="CJ1489" s="16" t="e">
        <f t="shared" si="439"/>
        <v>#N/A</v>
      </c>
      <c r="CK1489" s="16" t="str">
        <f t="shared" si="440"/>
        <v/>
      </c>
    </row>
    <row r="1490" spans="73:89" ht="12" customHeight="1">
      <c r="BU1490" s="16">
        <f t="shared" si="441"/>
        <v>0</v>
      </c>
      <c r="BV1490" s="16">
        <f>IF($BY$12=1,NORMDIST(BY1490,$Y$6,$Y$8,TRUE),IF($BY$12=2,IF(BY1490&lt;=$BX$31,0,IF(BY1490&gt;=$BX$32,1,(BY1490-$BX$31)*$BX$33)),SUM($BU$42:BU1490)/$BV$40))</f>
        <v>0.99999893140875817</v>
      </c>
      <c r="BW1490" s="16">
        <f t="shared" si="433"/>
        <v>3.8183108469548078E-5</v>
      </c>
      <c r="BY1490" s="16">
        <f t="shared" si="434"/>
        <v>144.79999999999606</v>
      </c>
      <c r="BZ1490" s="16">
        <f t="shared" si="435"/>
        <v>2.6369550048031156E-7</v>
      </c>
      <c r="CA1490" s="16">
        <f t="shared" si="442"/>
        <v>-999</v>
      </c>
      <c r="CE1490" s="16" t="e">
        <f t="shared" si="436"/>
        <v>#N/A</v>
      </c>
      <c r="CF1490" s="16">
        <f t="shared" si="437"/>
        <v>99</v>
      </c>
      <c r="CG1490" s="16">
        <f t="shared" si="438"/>
        <v>0</v>
      </c>
      <c r="CH1490" s="16">
        <f t="shared" si="443"/>
        <v>0</v>
      </c>
      <c r="CJ1490" s="16" t="e">
        <f t="shared" si="439"/>
        <v>#N/A</v>
      </c>
      <c r="CK1490" s="16" t="str">
        <f t="shared" si="440"/>
        <v/>
      </c>
    </row>
    <row r="1491" spans="73:89" ht="12" customHeight="1">
      <c r="BU1491" s="16">
        <f t="shared" si="441"/>
        <v>0</v>
      </c>
      <c r="BV1491" s="16">
        <f>IF($BY$12=1,NORMDIST(BY1491,$Y$6,$Y$8,TRUE),IF($BY$12=2,IF(BY1491&lt;=$BX$31,0,IF(BY1491&gt;=$BX$32,1,(BY1491-$BX$31)*$BX$33)),SUM($BU$42:BU1491)/$BV$40))</f>
        <v>0.99999895746832101</v>
      </c>
      <c r="BW1491" s="16">
        <f t="shared" ref="BW1491:BW1554" si="444">BY1491*BZ1491</f>
        <v>3.7314093627784977E-5</v>
      </c>
      <c r="BY1491" s="16">
        <f t="shared" ref="BY1491:BY1554" si="445">BY1490+$BZ$1</f>
        <v>144.89999999999606</v>
      </c>
      <c r="BZ1491" s="16">
        <f t="shared" si="435"/>
        <v>2.5751617410480326E-7</v>
      </c>
      <c r="CA1491" s="16">
        <f t="shared" si="442"/>
        <v>-999</v>
      </c>
      <c r="CE1491" s="16" t="e">
        <f t="shared" si="436"/>
        <v>#N/A</v>
      </c>
      <c r="CF1491" s="16">
        <f t="shared" si="437"/>
        <v>99</v>
      </c>
      <c r="CG1491" s="16">
        <f t="shared" si="438"/>
        <v>0</v>
      </c>
      <c r="CH1491" s="16">
        <f t="shared" si="443"/>
        <v>0</v>
      </c>
      <c r="CJ1491" s="16" t="e">
        <f t="shared" si="439"/>
        <v>#N/A</v>
      </c>
      <c r="CK1491" s="16" t="str">
        <f t="shared" si="440"/>
        <v/>
      </c>
    </row>
    <row r="1492" spans="73:89" ht="12" customHeight="1">
      <c r="BU1492" s="16">
        <f t="shared" si="441"/>
        <v>0</v>
      </c>
      <c r="BV1492" s="16">
        <f>IF($BY$12=1,NORMDIST(BY1492,$Y$6,$Y$8,TRUE),IF($BY$12=2,IF(BY1492&lt;=$BX$31,0,IF(BY1492&gt;=$BX$32,1,(BY1492-$BX$31)*$BX$33)),SUM($BU$42:BU1492)/$BV$40))</f>
        <v>0.99999898291666089</v>
      </c>
      <c r="BW1492" s="16">
        <f t="shared" si="444"/>
        <v>3.6463927842328501E-5</v>
      </c>
      <c r="BY1492" s="16">
        <f t="shared" si="445"/>
        <v>144.99999999999605</v>
      </c>
      <c r="BZ1492" s="16">
        <f t="shared" si="435"/>
        <v>2.5147536442985857E-7</v>
      </c>
      <c r="CA1492" s="16">
        <f t="shared" si="442"/>
        <v>-999</v>
      </c>
      <c r="CE1492" s="16" t="e">
        <f t="shared" si="436"/>
        <v>#N/A</v>
      </c>
      <c r="CF1492" s="16">
        <f t="shared" si="437"/>
        <v>99</v>
      </c>
      <c r="CG1492" s="16">
        <f t="shared" si="438"/>
        <v>0</v>
      </c>
      <c r="CH1492" s="16">
        <f t="shared" si="443"/>
        <v>0</v>
      </c>
      <c r="CJ1492" s="16" t="e">
        <f t="shared" si="439"/>
        <v>#N/A</v>
      </c>
      <c r="CK1492" s="16" t="str">
        <f t="shared" si="440"/>
        <v/>
      </c>
    </row>
    <row r="1493" spans="73:89" ht="12" customHeight="1">
      <c r="BU1493" s="16">
        <f t="shared" si="441"/>
        <v>0</v>
      </c>
      <c r="BV1493" s="16">
        <f>IF($BY$12=1,NORMDIST(BY1493,$Y$6,$Y$8,TRUE),IF($BY$12=2,IF(BY1493&lt;=$BX$31,0,IF(BY1493&gt;=$BX$32,1,(BY1493-$BX$31)*$BX$33)),SUM($BU$42:BU1493)/$BV$40))</f>
        <v>0.99999900776789596</v>
      </c>
      <c r="BW1493" s="16">
        <f t="shared" si="444"/>
        <v>3.5632224503032776E-5</v>
      </c>
      <c r="BY1493" s="16">
        <f t="shared" si="445"/>
        <v>145.09999999999604</v>
      </c>
      <c r="BZ1493" s="16">
        <f t="shared" si="435"/>
        <v>2.4557012062738625E-7</v>
      </c>
      <c r="CA1493" s="16">
        <f t="shared" si="442"/>
        <v>-999</v>
      </c>
      <c r="CE1493" s="16" t="e">
        <f t="shared" si="436"/>
        <v>#N/A</v>
      </c>
      <c r="CF1493" s="16">
        <f t="shared" si="437"/>
        <v>99</v>
      </c>
      <c r="CG1493" s="16">
        <f t="shared" si="438"/>
        <v>0</v>
      </c>
      <c r="CH1493" s="16">
        <f t="shared" si="443"/>
        <v>0</v>
      </c>
      <c r="CJ1493" s="16" t="e">
        <f t="shared" si="439"/>
        <v>#N/A</v>
      </c>
      <c r="CK1493" s="16" t="str">
        <f t="shared" si="440"/>
        <v/>
      </c>
    </row>
    <row r="1494" spans="73:89" ht="12" customHeight="1">
      <c r="BU1494" s="16">
        <f t="shared" si="441"/>
        <v>0</v>
      </c>
      <c r="BV1494" s="16">
        <f>IF($BY$12=1,NORMDIST(BY1494,$Y$6,$Y$8,TRUE),IF($BY$12=2,IF(BY1494&lt;=$BX$31,0,IF(BY1494&gt;=$BX$32,1,(BY1494-$BX$31)*$BX$33)),SUM($BU$42:BU1494)/$BV$40))</f>
        <v>0.99999903203523011</v>
      </c>
      <c r="BW1494" s="16">
        <f t="shared" si="444"/>
        <v>3.4818604416503139E-5</v>
      </c>
      <c r="BY1494" s="16">
        <f t="shared" si="445"/>
        <v>145.19999999999604</v>
      </c>
      <c r="BZ1494" s="16">
        <f t="shared" si="435"/>
        <v>2.3979755107785183E-7</v>
      </c>
      <c r="CA1494" s="16">
        <f t="shared" si="442"/>
        <v>-999</v>
      </c>
      <c r="CE1494" s="16" t="e">
        <f t="shared" si="436"/>
        <v>#N/A</v>
      </c>
      <c r="CF1494" s="16">
        <f t="shared" si="437"/>
        <v>99</v>
      </c>
      <c r="CG1494" s="16">
        <f t="shared" si="438"/>
        <v>0</v>
      </c>
      <c r="CH1494" s="16">
        <f t="shared" si="443"/>
        <v>0</v>
      </c>
      <c r="CJ1494" s="16" t="e">
        <f t="shared" si="439"/>
        <v>#N/A</v>
      </c>
      <c r="CK1494" s="16" t="str">
        <f t="shared" si="440"/>
        <v/>
      </c>
    </row>
    <row r="1495" spans="73:89" ht="12" customHeight="1">
      <c r="BU1495" s="16">
        <f t="shared" si="441"/>
        <v>0</v>
      </c>
      <c r="BV1495" s="16">
        <f>IF($BY$12=1,NORMDIST(BY1495,$Y$6,$Y$8,TRUE),IF($BY$12=2,IF(BY1495&lt;=$BX$31,0,IF(BY1495&gt;=$BX$32,1,(BY1495-$BX$31)*$BX$33)),SUM($BU$42:BU1495)/$BV$40))</f>
        <v>0.99999905573181769</v>
      </c>
      <c r="BW1495" s="16">
        <f t="shared" si="444"/>
        <v>3.402269567520226E-5</v>
      </c>
      <c r="BY1495" s="16">
        <f t="shared" si="445"/>
        <v>145.29999999999603</v>
      </c>
      <c r="BZ1495" s="16">
        <f t="shared" si="435"/>
        <v>2.3415482226567923E-7</v>
      </c>
      <c r="CA1495" s="16">
        <f t="shared" si="442"/>
        <v>-999</v>
      </c>
      <c r="CE1495" s="16" t="e">
        <f t="shared" si="436"/>
        <v>#N/A</v>
      </c>
      <c r="CF1495" s="16">
        <f t="shared" si="437"/>
        <v>99</v>
      </c>
      <c r="CG1495" s="16">
        <f t="shared" si="438"/>
        <v>0</v>
      </c>
      <c r="CH1495" s="16">
        <f t="shared" si="443"/>
        <v>0</v>
      </c>
      <c r="CJ1495" s="16" t="e">
        <f t="shared" si="439"/>
        <v>#N/A</v>
      </c>
      <c r="CK1495" s="16" t="str">
        <f t="shared" si="440"/>
        <v/>
      </c>
    </row>
    <row r="1496" spans="73:89" ht="12" customHeight="1">
      <c r="BU1496" s="16">
        <f t="shared" si="441"/>
        <v>0</v>
      </c>
      <c r="BV1496" s="16">
        <f>IF($BY$12=1,NORMDIST(BY1496,$Y$6,$Y$8,TRUE),IF($BY$12=2,IF(BY1496&lt;=$BX$31,0,IF(BY1496&gt;=$BX$32,1,(BY1496-$BX$31)*$BX$33)),SUM($BU$42:BU1496)/$BV$40))</f>
        <v>0.99999907887030393</v>
      </c>
      <c r="BW1496" s="16">
        <f t="shared" si="444"/>
        <v>3.3244133528622894E-5</v>
      </c>
      <c r="BY1496" s="16">
        <f t="shared" si="445"/>
        <v>145.39999999999603</v>
      </c>
      <c r="BZ1496" s="16">
        <f t="shared" si="435"/>
        <v>2.2863915769342368E-7</v>
      </c>
      <c r="CA1496" s="16">
        <f t="shared" si="442"/>
        <v>-999</v>
      </c>
      <c r="CE1496" s="16" t="e">
        <f t="shared" si="436"/>
        <v>#N/A</v>
      </c>
      <c r="CF1496" s="16">
        <f t="shared" si="437"/>
        <v>99</v>
      </c>
      <c r="CG1496" s="16">
        <f t="shared" si="438"/>
        <v>0</v>
      </c>
      <c r="CH1496" s="16">
        <f t="shared" si="443"/>
        <v>0</v>
      </c>
      <c r="CJ1496" s="16" t="e">
        <f t="shared" si="439"/>
        <v>#N/A</v>
      </c>
      <c r="CK1496" s="16" t="str">
        <f t="shared" si="440"/>
        <v/>
      </c>
    </row>
    <row r="1497" spans="73:89" ht="12" customHeight="1">
      <c r="BU1497" s="16">
        <f t="shared" si="441"/>
        <v>0</v>
      </c>
      <c r="BV1497" s="16">
        <f>IF($BY$12=1,NORMDIST(BY1497,$Y$6,$Y$8,TRUE),IF($BY$12=2,IF(BY1497&lt;=$BX$31,0,IF(BY1497&gt;=$BX$32,1,(BY1497-$BX$31)*$BX$33)),SUM($BU$42:BU1497)/$BV$40))</f>
        <v>0.99999910146352977</v>
      </c>
      <c r="BW1497" s="16">
        <f t="shared" si="444"/>
        <v>3.248256025650073E-5</v>
      </c>
      <c r="BY1497" s="16">
        <f t="shared" si="445"/>
        <v>145.49999999999602</v>
      </c>
      <c r="BZ1497" s="16">
        <f t="shared" si="435"/>
        <v>2.2324783681444412E-7</v>
      </c>
      <c r="CA1497" s="16">
        <f t="shared" si="442"/>
        <v>-999</v>
      </c>
      <c r="CE1497" s="16" t="e">
        <f t="shared" si="436"/>
        <v>#N/A</v>
      </c>
      <c r="CF1497" s="16">
        <f t="shared" si="437"/>
        <v>99</v>
      </c>
      <c r="CG1497" s="16">
        <f t="shared" si="438"/>
        <v>0</v>
      </c>
      <c r="CH1497" s="16">
        <f t="shared" si="443"/>
        <v>0</v>
      </c>
      <c r="CJ1497" s="16" t="e">
        <f t="shared" si="439"/>
        <v>#N/A</v>
      </c>
      <c r="CK1497" s="16" t="str">
        <f t="shared" si="440"/>
        <v/>
      </c>
    </row>
    <row r="1498" spans="73:89" ht="12" customHeight="1">
      <c r="BU1498" s="16">
        <f t="shared" si="441"/>
        <v>0</v>
      </c>
      <c r="BV1498" s="16">
        <f>IF($BY$12=1,NORMDIST(BY1498,$Y$6,$Y$8,TRUE),IF($BY$12=2,IF(BY1498&lt;=$BX$31,0,IF(BY1498&gt;=$BX$32,1,(BY1498-$BX$31)*$BX$33)),SUM($BU$42:BU1498)/$BV$40))</f>
        <v>0.99999912352400266</v>
      </c>
      <c r="BW1498" s="16">
        <f t="shared" si="444"/>
        <v>3.1737625044038857E-5</v>
      </c>
      <c r="BY1498" s="16">
        <f t="shared" si="445"/>
        <v>145.59999999999602</v>
      </c>
      <c r="BZ1498" s="16">
        <f t="shared" si="435"/>
        <v>2.1797819398378933E-7</v>
      </c>
      <c r="CA1498" s="16">
        <f t="shared" si="442"/>
        <v>-999</v>
      </c>
      <c r="CE1498" s="16" t="e">
        <f t="shared" si="436"/>
        <v>#N/A</v>
      </c>
      <c r="CF1498" s="16">
        <f t="shared" si="437"/>
        <v>99</v>
      </c>
      <c r="CG1498" s="16">
        <f t="shared" si="438"/>
        <v>0</v>
      </c>
      <c r="CH1498" s="16">
        <f t="shared" si="443"/>
        <v>0</v>
      </c>
      <c r="CJ1498" s="16" t="e">
        <f t="shared" si="439"/>
        <v>#N/A</v>
      </c>
      <c r="CK1498" s="16" t="str">
        <f t="shared" si="440"/>
        <v/>
      </c>
    </row>
    <row r="1499" spans="73:89" ht="12" customHeight="1">
      <c r="BU1499" s="16">
        <f t="shared" si="441"/>
        <v>0</v>
      </c>
      <c r="BV1499" s="16">
        <f>IF($BY$12=1,NORMDIST(BY1499,$Y$6,$Y$8,TRUE),IF($BY$12=2,IF(BY1499&lt;=$BX$31,0,IF(BY1499&gt;=$BX$32,1,(BY1499-$BX$31)*$BX$33)),SUM($BU$42:BU1499)/$BV$40))</f>
        <v>0.99999914506328591</v>
      </c>
      <c r="BW1499" s="16">
        <f t="shared" si="444"/>
        <v>3.1008983859117384E-5</v>
      </c>
      <c r="BY1499" s="16">
        <f t="shared" si="445"/>
        <v>145.69999999999601</v>
      </c>
      <c r="BZ1499" s="16">
        <f t="shared" si="435"/>
        <v>2.1282761742702972E-7</v>
      </c>
      <c r="CA1499" s="16">
        <f t="shared" si="442"/>
        <v>-999</v>
      </c>
      <c r="CE1499" s="16" t="e">
        <f t="shared" si="436"/>
        <v>#N/A</v>
      </c>
      <c r="CF1499" s="16">
        <f t="shared" si="437"/>
        <v>99</v>
      </c>
      <c r="CG1499" s="16">
        <f t="shared" si="438"/>
        <v>0</v>
      </c>
      <c r="CH1499" s="16">
        <f t="shared" si="443"/>
        <v>0</v>
      </c>
      <c r="CJ1499" s="16" t="e">
        <f t="shared" si="439"/>
        <v>#N/A</v>
      </c>
      <c r="CK1499" s="16" t="str">
        <f t="shared" si="440"/>
        <v/>
      </c>
    </row>
    <row r="1500" spans="73:89" ht="12" customHeight="1">
      <c r="BU1500" s="16">
        <f t="shared" si="441"/>
        <v>0</v>
      </c>
      <c r="BV1500" s="16">
        <f>IF($BY$12=1,NORMDIST(BY1500,$Y$6,$Y$8,TRUE),IF($BY$12=2,IF(BY1500&lt;=$BX$31,0,IF(BY1500&gt;=$BX$32,1,(BY1500-$BX$31)*$BX$33)),SUM($BU$42:BU1500)/$BV$40))</f>
        <v>0.99999916609329287</v>
      </c>
      <c r="BW1500" s="16">
        <f t="shared" si="444"/>
        <v>3.0296299331460629E-5</v>
      </c>
      <c r="BY1500" s="16">
        <f t="shared" si="445"/>
        <v>145.799999999996</v>
      </c>
      <c r="BZ1500" s="16">
        <f t="shared" si="435"/>
        <v>2.0779354822675897E-7</v>
      </c>
      <c r="CA1500" s="16">
        <f t="shared" si="442"/>
        <v>-999</v>
      </c>
      <c r="CE1500" s="16" t="e">
        <f t="shared" si="436"/>
        <v>#N/A</v>
      </c>
      <c r="CF1500" s="16">
        <f t="shared" si="437"/>
        <v>99</v>
      </c>
      <c r="CG1500" s="16">
        <f t="shared" si="438"/>
        <v>0</v>
      </c>
      <c r="CH1500" s="16">
        <f t="shared" si="443"/>
        <v>0</v>
      </c>
      <c r="CJ1500" s="16" t="e">
        <f t="shared" si="439"/>
        <v>#N/A</v>
      </c>
      <c r="CK1500" s="16" t="str">
        <f t="shared" si="440"/>
        <v/>
      </c>
    </row>
    <row r="1501" spans="73:89" ht="12" customHeight="1">
      <c r="BU1501" s="16">
        <f t="shared" si="441"/>
        <v>0</v>
      </c>
      <c r="BV1501" s="16">
        <f>IF($BY$12=1,NORMDIST(BY1501,$Y$6,$Y$8,TRUE),IF($BY$12=2,IF(BY1501&lt;=$BX$31,0,IF(BY1501&gt;=$BX$32,1,(BY1501-$BX$31)*$BX$33)),SUM($BU$42:BU1501)/$BV$40))</f>
        <v>0.99999918662578335</v>
      </c>
      <c r="BW1501" s="16">
        <f t="shared" si="444"/>
        <v>2.9599240633736599E-5</v>
      </c>
      <c r="BY1501" s="16">
        <f t="shared" si="445"/>
        <v>145.899999999996</v>
      </c>
      <c r="BZ1501" s="16">
        <f t="shared" si="435"/>
        <v>2.0287347932650728E-7</v>
      </c>
      <c r="CA1501" s="16">
        <f t="shared" si="442"/>
        <v>-999</v>
      </c>
      <c r="CE1501" s="16" t="e">
        <f t="shared" si="436"/>
        <v>#N/A</v>
      </c>
      <c r="CF1501" s="16">
        <f t="shared" si="437"/>
        <v>99</v>
      </c>
      <c r="CG1501" s="16">
        <f t="shared" si="438"/>
        <v>0</v>
      </c>
      <c r="CH1501" s="16">
        <f t="shared" si="443"/>
        <v>0</v>
      </c>
      <c r="CJ1501" s="16" t="e">
        <f t="shared" si="439"/>
        <v>#N/A</v>
      </c>
      <c r="CK1501" s="16" t="str">
        <f t="shared" si="440"/>
        <v/>
      </c>
    </row>
    <row r="1502" spans="73:89" ht="12" customHeight="1">
      <c r="BU1502" s="16">
        <f t="shared" si="441"/>
        <v>0</v>
      </c>
      <c r="BV1502" s="16">
        <f>IF($BY$12=1,NORMDIST(BY1502,$Y$6,$Y$8,TRUE),IF($BY$12=2,IF(BY1502&lt;=$BX$31,0,IF(BY1502&gt;=$BX$32,1,(BY1502-$BX$31)*$BX$33)),SUM($BU$42:BU1502)/$BV$40))</f>
        <v>0.9999992066718798</v>
      </c>
      <c r="BW1502" s="16">
        <f t="shared" si="444"/>
        <v>2.8917483364561143E-5</v>
      </c>
      <c r="BY1502" s="16">
        <f t="shared" si="445"/>
        <v>145.99999999999599</v>
      </c>
      <c r="BZ1502" s="16">
        <f t="shared" si="435"/>
        <v>1.9806495455179409E-7</v>
      </c>
      <c r="CA1502" s="16">
        <f t="shared" si="442"/>
        <v>-999</v>
      </c>
      <c r="CE1502" s="16" t="e">
        <f t="shared" si="436"/>
        <v>#N/A</v>
      </c>
      <c r="CF1502" s="16">
        <f t="shared" si="437"/>
        <v>99</v>
      </c>
      <c r="CG1502" s="16">
        <f t="shared" si="438"/>
        <v>0</v>
      </c>
      <c r="CH1502" s="16">
        <f t="shared" si="443"/>
        <v>0</v>
      </c>
      <c r="CJ1502" s="16" t="e">
        <f t="shared" si="439"/>
        <v>#N/A</v>
      </c>
      <c r="CK1502" s="16" t="str">
        <f t="shared" si="440"/>
        <v/>
      </c>
    </row>
    <row r="1503" spans="73:89" ht="12" customHeight="1">
      <c r="BU1503" s="16">
        <f t="shared" si="441"/>
        <v>0</v>
      </c>
      <c r="BV1503" s="16">
        <f>IF($BY$12=1,NORMDIST(BY1503,$Y$6,$Y$8,TRUE),IF($BY$12=2,IF(BY1503&lt;=$BX$31,0,IF(BY1503&gt;=$BX$32,1,(BY1503-$BX$31)*$BX$33)),SUM($BU$42:BU1503)/$BV$40))</f>
        <v>0.9999992262423818</v>
      </c>
      <c r="BW1503" s="16">
        <f t="shared" si="444"/>
        <v>2.8250709433381489E-5</v>
      </c>
      <c r="BY1503" s="16">
        <f t="shared" si="445"/>
        <v>146.09999999999599</v>
      </c>
      <c r="BZ1503" s="16">
        <f t="shared" si="435"/>
        <v>1.9336556764806478E-7</v>
      </c>
      <c r="CA1503" s="16">
        <f t="shared" si="442"/>
        <v>-999</v>
      </c>
      <c r="CE1503" s="16" t="e">
        <f t="shared" si="436"/>
        <v>#N/A</v>
      </c>
      <c r="CF1503" s="16">
        <f t="shared" si="437"/>
        <v>99</v>
      </c>
      <c r="CG1503" s="16">
        <f t="shared" si="438"/>
        <v>0</v>
      </c>
      <c r="CH1503" s="16">
        <f t="shared" si="443"/>
        <v>0</v>
      </c>
      <c r="CJ1503" s="16" t="e">
        <f t="shared" si="439"/>
        <v>#N/A</v>
      </c>
      <c r="CK1503" s="16" t="str">
        <f t="shared" si="440"/>
        <v/>
      </c>
    </row>
    <row r="1504" spans="73:89" ht="12" customHeight="1">
      <c r="BU1504" s="16">
        <f t="shared" si="441"/>
        <v>0</v>
      </c>
      <c r="BV1504" s="16">
        <f>IF($BY$12=1,NORMDIST(BY1504,$Y$6,$Y$8,TRUE),IF($BY$12=2,IF(BY1504&lt;=$BX$31,0,IF(BY1504&gt;=$BX$32,1,(BY1504-$BX$31)*$BX$33)),SUM($BU$42:BU1504)/$BV$40))</f>
        <v>0.99999924534850981</v>
      </c>
      <c r="BW1504" s="16">
        <f t="shared" si="444"/>
        <v>2.7598606947212666E-5</v>
      </c>
      <c r="BY1504" s="16">
        <f t="shared" si="445"/>
        <v>146.19999999999598</v>
      </c>
      <c r="BZ1504" s="16">
        <f t="shared" si="435"/>
        <v>1.8877296133524914E-7</v>
      </c>
      <c r="CA1504" s="16">
        <f t="shared" si="442"/>
        <v>-999</v>
      </c>
      <c r="CE1504" s="16" t="e">
        <f t="shared" si="436"/>
        <v>#N/A</v>
      </c>
      <c r="CF1504" s="16">
        <f t="shared" si="437"/>
        <v>99</v>
      </c>
      <c r="CG1504" s="16">
        <f t="shared" si="438"/>
        <v>0</v>
      </c>
      <c r="CH1504" s="16">
        <f t="shared" si="443"/>
        <v>0</v>
      </c>
      <c r="CJ1504" s="16" t="e">
        <f t="shared" si="439"/>
        <v>#N/A</v>
      </c>
      <c r="CK1504" s="16" t="str">
        <f t="shared" si="440"/>
        <v/>
      </c>
    </row>
    <row r="1505" spans="73:89" ht="12" customHeight="1">
      <c r="BU1505" s="16">
        <f t="shared" si="441"/>
        <v>0</v>
      </c>
      <c r="BV1505" s="16">
        <f>IF($BY$12=1,NORMDIST(BY1505,$Y$6,$Y$8,TRUE),IF($BY$12=2,IF(BY1505&lt;=$BX$31,0,IF(BY1505&gt;=$BX$32,1,(BY1505-$BX$31)*$BX$33)),SUM($BU$42:BU1505)/$BV$40))</f>
        <v>0.99999926400051198</v>
      </c>
      <c r="BW1505" s="16">
        <f t="shared" si="444"/>
        <v>2.6960870099202929E-5</v>
      </c>
      <c r="BY1505" s="16">
        <f t="shared" si="445"/>
        <v>146.29999999999598</v>
      </c>
      <c r="BZ1505" s="16">
        <f t="shared" si="435"/>
        <v>1.8428482637869905E-7</v>
      </c>
      <c r="CA1505" s="16">
        <f t="shared" si="442"/>
        <v>-999</v>
      </c>
      <c r="CE1505" s="16" t="e">
        <f t="shared" si="436"/>
        <v>#N/A</v>
      </c>
      <c r="CF1505" s="16">
        <f t="shared" si="437"/>
        <v>99</v>
      </c>
      <c r="CG1505" s="16">
        <f t="shared" si="438"/>
        <v>0</v>
      </c>
      <c r="CH1505" s="16">
        <f t="shared" si="443"/>
        <v>0</v>
      </c>
      <c r="CJ1505" s="16" t="e">
        <f t="shared" si="439"/>
        <v>#N/A</v>
      </c>
      <c r="CK1505" s="16" t="str">
        <f t="shared" si="440"/>
        <v/>
      </c>
    </row>
    <row r="1506" spans="73:89" ht="12" customHeight="1">
      <c r="BU1506" s="16">
        <f t="shared" si="441"/>
        <v>0</v>
      </c>
      <c r="BV1506" s="16">
        <f>IF($BY$12=1,NORMDIST(BY1506,$Y$6,$Y$8,TRUE),IF($BY$12=2,IF(BY1506&lt;=$BX$31,0,IF(BY1506&gt;=$BX$32,1,(BY1506-$BX$31)*$BX$33)),SUM($BU$42:BU1506)/$BV$40))</f>
        <v>0.99999928220892209</v>
      </c>
      <c r="BW1506" s="16">
        <f t="shared" si="444"/>
        <v>2.6337199059000442E-5</v>
      </c>
      <c r="BY1506" s="16">
        <f t="shared" si="445"/>
        <v>146.39999999999597</v>
      </c>
      <c r="BZ1506" s="16">
        <f t="shared" si="435"/>
        <v>1.7989890067623748E-7</v>
      </c>
      <c r="CA1506" s="16">
        <f t="shared" si="442"/>
        <v>-999</v>
      </c>
      <c r="CE1506" s="16" t="e">
        <f t="shared" si="436"/>
        <v>#N/A</v>
      </c>
      <c r="CF1506" s="16">
        <f t="shared" si="437"/>
        <v>99</v>
      </c>
      <c r="CG1506" s="16">
        <f t="shared" si="438"/>
        <v>0</v>
      </c>
      <c r="CH1506" s="16">
        <f t="shared" si="443"/>
        <v>0</v>
      </c>
      <c r="CJ1506" s="16" t="e">
        <f t="shared" si="439"/>
        <v>#N/A</v>
      </c>
      <c r="CK1506" s="16" t="str">
        <f t="shared" si="440"/>
        <v/>
      </c>
    </row>
    <row r="1507" spans="73:89" ht="12" customHeight="1">
      <c r="BU1507" s="16">
        <f t="shared" si="441"/>
        <v>0</v>
      </c>
      <c r="BV1507" s="16">
        <f>IF($BY$12=1,NORMDIST(BY1507,$Y$6,$Y$8,TRUE),IF($BY$12=2,IF(BY1507&lt;=$BX$31,0,IF(BY1507&gt;=$BX$32,1,(BY1507-$BX$31)*$BX$33)),SUM($BU$42:BU1507)/$BV$40))</f>
        <v>0.99999929998349635</v>
      </c>
      <c r="BW1507" s="16">
        <f t="shared" si="444"/>
        <v>2.5727299864898265E-5</v>
      </c>
      <c r="BY1507" s="16">
        <f t="shared" si="445"/>
        <v>146.49999999999596</v>
      </c>
      <c r="BZ1507" s="16">
        <f t="shared" si="435"/>
        <v>1.7561296836108516E-7</v>
      </c>
      <c r="CA1507" s="16">
        <f t="shared" si="442"/>
        <v>-999</v>
      </c>
      <c r="CE1507" s="16" t="e">
        <f t="shared" si="436"/>
        <v>#N/A</v>
      </c>
      <c r="CF1507" s="16">
        <f t="shared" si="437"/>
        <v>99</v>
      </c>
      <c r="CG1507" s="16">
        <f t="shared" si="438"/>
        <v>0</v>
      </c>
      <c r="CH1507" s="16">
        <f t="shared" si="443"/>
        <v>0</v>
      </c>
      <c r="CJ1507" s="16" t="e">
        <f t="shared" si="439"/>
        <v>#N/A</v>
      </c>
      <c r="CK1507" s="16" t="str">
        <f t="shared" si="440"/>
        <v/>
      </c>
    </row>
    <row r="1508" spans="73:89" ht="12" customHeight="1">
      <c r="BU1508" s="16">
        <f t="shared" si="441"/>
        <v>0</v>
      </c>
      <c r="BV1508" s="16">
        <f>IF($BY$12=1,NORMDIST(BY1508,$Y$6,$Y$8,TRUE),IF($BY$12=2,IF(BY1508&lt;=$BX$31,0,IF(BY1508&gt;=$BX$32,1,(BY1508-$BX$31)*$BX$33)),SUM($BU$42:BU1508)/$BV$40))</f>
        <v>0.99999931733452674</v>
      </c>
      <c r="BW1508" s="16">
        <f t="shared" si="444"/>
        <v>2.5130884317732792E-5</v>
      </c>
      <c r="BY1508" s="16">
        <f t="shared" si="445"/>
        <v>146.59999999999596</v>
      </c>
      <c r="BZ1508" s="16">
        <f t="shared" si="435"/>
        <v>1.7142485892041941E-7</v>
      </c>
      <c r="CA1508" s="16">
        <f t="shared" si="442"/>
        <v>-999</v>
      </c>
      <c r="CE1508" s="16" t="e">
        <f t="shared" si="436"/>
        <v>#N/A</v>
      </c>
      <c r="CF1508" s="16">
        <f t="shared" si="437"/>
        <v>99</v>
      </c>
      <c r="CG1508" s="16">
        <f t="shared" si="438"/>
        <v>0</v>
      </c>
      <c r="CH1508" s="16">
        <f t="shared" si="443"/>
        <v>0</v>
      </c>
      <c r="CJ1508" s="16" t="e">
        <f t="shared" si="439"/>
        <v>#N/A</v>
      </c>
      <c r="CK1508" s="16" t="str">
        <f t="shared" si="440"/>
        <v/>
      </c>
    </row>
    <row r="1509" spans="73:89" ht="12" customHeight="1">
      <c r="BU1509" s="16">
        <f t="shared" si="441"/>
        <v>0</v>
      </c>
      <c r="BV1509" s="16">
        <f>IF($BY$12=1,NORMDIST(BY1509,$Y$6,$Y$8,TRUE),IF($BY$12=2,IF(BY1509&lt;=$BX$31,0,IF(BY1509&gt;=$BX$32,1,(BY1509-$BX$31)*$BX$33)),SUM($BU$42:BU1509)/$BV$40))</f>
        <v>0.99999933427162746</v>
      </c>
      <c r="BW1509" s="16">
        <f t="shared" si="444"/>
        <v>2.454766987650942E-5</v>
      </c>
      <c r="BY1509" s="16">
        <f t="shared" si="445"/>
        <v>146.69999999999595</v>
      </c>
      <c r="BZ1509" s="16">
        <f t="shared" si="435"/>
        <v>1.6733244632931218E-7</v>
      </c>
      <c r="CA1509" s="16">
        <f t="shared" si="442"/>
        <v>-999</v>
      </c>
      <c r="CE1509" s="16" t="e">
        <f t="shared" si="436"/>
        <v>#N/A</v>
      </c>
      <c r="CF1509" s="16">
        <f t="shared" si="437"/>
        <v>99</v>
      </c>
      <c r="CG1509" s="16">
        <f t="shared" si="438"/>
        <v>0</v>
      </c>
      <c r="CH1509" s="16">
        <f t="shared" si="443"/>
        <v>0</v>
      </c>
      <c r="CJ1509" s="16" t="e">
        <f t="shared" si="439"/>
        <v>#N/A</v>
      </c>
      <c r="CK1509" s="16" t="str">
        <f t="shared" si="440"/>
        <v/>
      </c>
    </row>
    <row r="1510" spans="73:89" ht="12" customHeight="1">
      <c r="BU1510" s="16">
        <f t="shared" si="441"/>
        <v>0</v>
      </c>
      <c r="BV1510" s="16">
        <f>IF($BY$12=1,NORMDIST(BY1510,$Y$6,$Y$8,TRUE),IF($BY$12=2,IF(BY1510&lt;=$BX$31,0,IF(BY1510&gt;=$BX$32,1,(BY1510-$BX$31)*$BX$33)),SUM($BU$42:BU1510)/$BV$40))</f>
        <v>0.99999935080425495</v>
      </c>
      <c r="BW1510" s="16">
        <f t="shared" si="444"/>
        <v>2.3977379555733483E-5</v>
      </c>
      <c r="BY1510" s="16">
        <f t="shared" si="445"/>
        <v>146.79999999999595</v>
      </c>
      <c r="BZ1510" s="16">
        <f t="shared" si="435"/>
        <v>1.6333364819982388E-7</v>
      </c>
      <c r="CA1510" s="16">
        <f t="shared" si="442"/>
        <v>-999</v>
      </c>
      <c r="CE1510" s="16" t="e">
        <f t="shared" si="436"/>
        <v>#N/A</v>
      </c>
      <c r="CF1510" s="16">
        <f t="shared" si="437"/>
        <v>99</v>
      </c>
      <c r="CG1510" s="16">
        <f t="shared" si="438"/>
        <v>0</v>
      </c>
      <c r="CH1510" s="16">
        <f t="shared" si="443"/>
        <v>0</v>
      </c>
      <c r="CJ1510" s="16" t="e">
        <f t="shared" si="439"/>
        <v>#N/A</v>
      </c>
      <c r="CK1510" s="16" t="str">
        <f t="shared" si="440"/>
        <v/>
      </c>
    </row>
    <row r="1511" spans="73:89" ht="12" customHeight="1">
      <c r="BU1511" s="16">
        <f t="shared" si="441"/>
        <v>0</v>
      </c>
      <c r="BV1511" s="16">
        <f>IF($BY$12=1,NORMDIST(BY1511,$Y$6,$Y$8,TRUE),IF($BY$12=2,IF(BY1511&lt;=$BX$31,0,IF(BY1511&gt;=$BX$32,1,(BY1511-$BX$31)*$BX$33)),SUM($BU$42:BU1511)/$BV$40))</f>
        <v>0.99999936694157621</v>
      </c>
      <c r="BW1511" s="16">
        <f t="shared" si="444"/>
        <v>2.3419741824421116E-5</v>
      </c>
      <c r="BY1511" s="16">
        <f t="shared" si="445"/>
        <v>146.89999999999594</v>
      </c>
      <c r="BZ1511" s="16">
        <f t="shared" si="435"/>
        <v>1.594264249450086E-7</v>
      </c>
      <c r="CA1511" s="16">
        <f t="shared" si="442"/>
        <v>-999</v>
      </c>
      <c r="CE1511" s="16" t="e">
        <f t="shared" si="436"/>
        <v>#N/A</v>
      </c>
      <c r="CF1511" s="16">
        <f t="shared" si="437"/>
        <v>99</v>
      </c>
      <c r="CG1511" s="16">
        <f t="shared" si="438"/>
        <v>0</v>
      </c>
      <c r="CH1511" s="16">
        <f t="shared" si="443"/>
        <v>0</v>
      </c>
      <c r="CJ1511" s="16" t="e">
        <f t="shared" si="439"/>
        <v>#N/A</v>
      </c>
      <c r="CK1511" s="16" t="str">
        <f t="shared" si="440"/>
        <v/>
      </c>
    </row>
    <row r="1512" spans="73:89" ht="12" customHeight="1">
      <c r="BU1512" s="16">
        <f t="shared" si="441"/>
        <v>0</v>
      </c>
      <c r="BV1512" s="16">
        <f>IF($BY$12=1,NORMDIST(BY1512,$Y$6,$Y$8,TRUE),IF($BY$12=2,IF(BY1512&lt;=$BX$31,0,IF(BY1512&gt;=$BX$32,1,(BY1512-$BX$31)*$BX$33)),SUM($BU$42:BU1512)/$BV$40))</f>
        <v>0.99999938269262056</v>
      </c>
      <c r="BW1512" s="16">
        <f t="shared" si="444"/>
        <v>2.287449050676658E-5</v>
      </c>
      <c r="BY1512" s="16">
        <f t="shared" si="445"/>
        <v>146.99999999999594</v>
      </c>
      <c r="BZ1512" s="16">
        <f t="shared" si="435"/>
        <v>1.5560877895760009E-7</v>
      </c>
      <c r="CA1512" s="16">
        <f t="shared" si="442"/>
        <v>-999</v>
      </c>
      <c r="CE1512" s="16" t="e">
        <f t="shared" si="436"/>
        <v>#N/A</v>
      </c>
      <c r="CF1512" s="16">
        <f t="shared" si="437"/>
        <v>99</v>
      </c>
      <c r="CG1512" s="16">
        <f t="shared" si="438"/>
        <v>0</v>
      </c>
      <c r="CH1512" s="16">
        <f t="shared" si="443"/>
        <v>0</v>
      </c>
      <c r="CJ1512" s="16" t="e">
        <f t="shared" si="439"/>
        <v>#N/A</v>
      </c>
      <c r="CK1512" s="16" t="str">
        <f t="shared" si="440"/>
        <v/>
      </c>
    </row>
    <row r="1513" spans="73:89" ht="12" customHeight="1">
      <c r="BU1513" s="16">
        <f t="shared" si="441"/>
        <v>0</v>
      </c>
      <c r="BV1513" s="16">
        <f>IF($BY$12=1,NORMDIST(BY1513,$Y$6,$Y$8,TRUE),IF($BY$12=2,IF(BY1513&lt;=$BX$31,0,IF(BY1513&gt;=$BX$32,1,(BY1513-$BX$31)*$BX$33)),SUM($BU$42:BU1513)/$BV$40))</f>
        <v>0.99999939806607319</v>
      </c>
      <c r="BW1513" s="16">
        <f t="shared" si="444"/>
        <v>2.2341364684443293E-5</v>
      </c>
      <c r="BY1513" s="16">
        <f t="shared" si="445"/>
        <v>147.09999999999593</v>
      </c>
      <c r="BZ1513" s="16">
        <f t="shared" si="435"/>
        <v>1.5187875380315371E-7</v>
      </c>
      <c r="CA1513" s="16">
        <f t="shared" si="442"/>
        <v>-999</v>
      </c>
      <c r="CE1513" s="16" t="e">
        <f t="shared" si="436"/>
        <v>#N/A</v>
      </c>
      <c r="CF1513" s="16">
        <f t="shared" si="437"/>
        <v>99</v>
      </c>
      <c r="CG1513" s="16">
        <f t="shared" si="438"/>
        <v>0</v>
      </c>
      <c r="CH1513" s="16">
        <f t="shared" si="443"/>
        <v>0</v>
      </c>
      <c r="CJ1513" s="16" t="e">
        <f t="shared" si="439"/>
        <v>#N/A</v>
      </c>
      <c r="CK1513" s="16" t="str">
        <f t="shared" si="440"/>
        <v/>
      </c>
    </row>
    <row r="1514" spans="73:89" ht="12" customHeight="1">
      <c r="BU1514" s="16">
        <f t="shared" si="441"/>
        <v>0</v>
      </c>
      <c r="BV1514" s="16">
        <f>IF($BY$12=1,NORMDIST(BY1514,$Y$6,$Y$8,TRUE),IF($BY$12=2,IF(BY1514&lt;=$BX$31,0,IF(BY1514&gt;=$BX$32,1,(BY1514-$BX$31)*$BX$33)),SUM($BU$42:BU1514)/$BV$40))</f>
        <v>0.99999941307133466</v>
      </c>
      <c r="BW1514" s="16">
        <f t="shared" si="444"/>
        <v>2.1820108600514264E-5</v>
      </c>
      <c r="BY1514" s="16">
        <f t="shared" si="445"/>
        <v>147.19999999999592</v>
      </c>
      <c r="BZ1514" s="16">
        <f t="shared" ref="BZ1514:BZ1577" si="446">IF($BZ$5,IF($BY$12=1,NORMDIST(BY1514,$Y$6,$Y$8,FALSE),IF($BY$12=2,IF(AND(BY1514&gt;=$BX$31,BY1514&lt;=$BX$32),$BX$33,0),IF(BY1514&lt;=$BX$13,0,NORMDIST(LN((BY1514-$BX$13)/$BX$12),0,$BW$8,FALSE)/((BY1514-$BX$13)/$BX$12)))),-999)</f>
        <v>1.482344334274108E-7</v>
      </c>
      <c r="CA1514" s="16">
        <f t="shared" si="442"/>
        <v>-999</v>
      </c>
      <c r="CE1514" s="16" t="e">
        <f t="shared" ref="CE1514:CE1577" si="447">IF(AND($CB$7,$CD$2,$CD$1),26+$P$23/2-CC1514*$P$23,NA())</f>
        <v>#N/A</v>
      </c>
      <c r="CF1514" s="16">
        <f t="shared" ref="CF1514:CF1577" si="448">IF(ISNA(CJ1514),99,CJ1514)</f>
        <v>99</v>
      </c>
      <c r="CG1514" s="16">
        <f t="shared" ref="CG1514:CG1577" si="449">IF(ISNA(CJ1514),0,CJ1514)</f>
        <v>0</v>
      </c>
      <c r="CH1514" s="16">
        <f t="shared" si="443"/>
        <v>0</v>
      </c>
      <c r="CJ1514" s="16" t="e">
        <f t="shared" ref="CJ1514:CJ1577" si="450">IF(CH1514=1,CE1514,NA())</f>
        <v>#N/A</v>
      </c>
      <c r="CK1514" s="16" t="str">
        <f t="shared" ref="CK1514:CK1577" si="451">IF(CH1514=1,M1413,"")</f>
        <v/>
      </c>
    </row>
    <row r="1515" spans="73:89" ht="12" customHeight="1">
      <c r="BU1515" s="16">
        <f t="shared" ref="BU1515:BU1578" si="452">IF($BY$12&lt;3,0,IF(BY1515&lt;=$BX$13,0,NORMDIST(LN((BY1515-$BX$13)/$BX$12),0,$BW$8,FALSE)/((BY1515-$BX$13)/$BX$12)))</f>
        <v>0</v>
      </c>
      <c r="BV1515" s="16">
        <f>IF($BY$12=1,NORMDIST(BY1515,$Y$6,$Y$8,TRUE),IF($BY$12=2,IF(BY1515&lt;=$BX$31,0,IF(BY1515&gt;=$BX$32,1,(BY1515-$BX$31)*$BX$33)),SUM($BU$42:BU1515)/$BV$40))</f>
        <v>0.9999994277159534</v>
      </c>
      <c r="BW1515" s="16">
        <f t="shared" si="444"/>
        <v>2.131047156492987E-5</v>
      </c>
      <c r="BY1515" s="16">
        <f t="shared" si="445"/>
        <v>147.29999999999592</v>
      </c>
      <c r="BZ1515" s="16">
        <f t="shared" si="446"/>
        <v>1.4467394137766776E-7</v>
      </c>
      <c r="CA1515" s="16">
        <f t="shared" ref="CA1515:CA1578" si="453">IF(AND($CD$1,$CD$3),26-$CD$40*NORMDIST(BY1515,$Y$6,$Y$8/SQRT($T$18),FALSE),-999)</f>
        <v>-999</v>
      </c>
      <c r="CE1515" s="16" t="e">
        <f t="shared" si="447"/>
        <v>#N/A</v>
      </c>
      <c r="CF1515" s="16">
        <f t="shared" si="448"/>
        <v>99</v>
      </c>
      <c r="CG1515" s="16">
        <f t="shared" si="449"/>
        <v>0</v>
      </c>
      <c r="CH1515" s="16">
        <f t="shared" si="443"/>
        <v>0</v>
      </c>
      <c r="CJ1515" s="16" t="e">
        <f t="shared" si="450"/>
        <v>#N/A</v>
      </c>
      <c r="CK1515" s="16" t="str">
        <f t="shared" si="451"/>
        <v/>
      </c>
    </row>
    <row r="1516" spans="73:89" ht="12" customHeight="1">
      <c r="BU1516" s="16">
        <f t="shared" si="452"/>
        <v>0</v>
      </c>
      <c r="BV1516" s="16">
        <f>IF($BY$12=1,NORMDIST(BY1516,$Y$6,$Y$8,TRUE),IF($BY$12=2,IF(BY1516&lt;=$BX$31,0,IF(BY1516&gt;=$BX$32,1,(BY1516-$BX$31)*$BX$33)),SUM($BU$42:BU1516)/$BV$40))</f>
        <v>0.99999944200884916</v>
      </c>
      <c r="BW1516" s="16">
        <f t="shared" si="444"/>
        <v>2.0812207861590563E-5</v>
      </c>
      <c r="BY1516" s="16">
        <f t="shared" si="445"/>
        <v>147.39999999999591</v>
      </c>
      <c r="BZ1516" s="16">
        <f t="shared" si="446"/>
        <v>1.4119544003793175E-7</v>
      </c>
      <c r="CA1516" s="16">
        <f t="shared" si="453"/>
        <v>-999</v>
      </c>
      <c r="CE1516" s="16" t="e">
        <f t="shared" si="447"/>
        <v>#N/A</v>
      </c>
      <c r="CF1516" s="16">
        <f t="shared" si="448"/>
        <v>99</v>
      </c>
      <c r="CG1516" s="16">
        <f t="shared" si="449"/>
        <v>0</v>
      </c>
      <c r="CH1516" s="16">
        <f t="shared" si="443"/>
        <v>0</v>
      </c>
      <c r="CJ1516" s="16" t="e">
        <f t="shared" si="450"/>
        <v>#N/A</v>
      </c>
      <c r="CK1516" s="16" t="str">
        <f t="shared" si="451"/>
        <v/>
      </c>
    </row>
    <row r="1517" spans="73:89" ht="12" customHeight="1">
      <c r="BU1517" s="16">
        <f t="shared" si="452"/>
        <v>0</v>
      </c>
      <c r="BV1517" s="16">
        <f>IF($BY$12=1,NORMDIST(BY1517,$Y$6,$Y$8,TRUE),IF($BY$12=2,IF(BY1517&lt;=$BX$31,0,IF(BY1517&gt;=$BX$32,1,(BY1517-$BX$31)*$BX$33)),SUM($BU$42:BU1517)/$BV$40))</f>
        <v>0.99999945595758499</v>
      </c>
      <c r="BW1517" s="16">
        <f t="shared" si="444"/>
        <v>2.0325076656950765E-5</v>
      </c>
      <c r="BY1517" s="16">
        <f t="shared" si="445"/>
        <v>147.49999999999591</v>
      </c>
      <c r="BZ1517" s="16">
        <f t="shared" si="446"/>
        <v>1.3779712987763613E-7</v>
      </c>
      <c r="CA1517" s="16">
        <f t="shared" si="453"/>
        <v>-999</v>
      </c>
      <c r="CE1517" s="16" t="e">
        <f t="shared" si="447"/>
        <v>#N/A</v>
      </c>
      <c r="CF1517" s="16">
        <f t="shared" si="448"/>
        <v>99</v>
      </c>
      <c r="CG1517" s="16">
        <f t="shared" si="449"/>
        <v>0</v>
      </c>
      <c r="CH1517" s="16">
        <f t="shared" si="443"/>
        <v>0</v>
      </c>
      <c r="CJ1517" s="16" t="e">
        <f t="shared" si="450"/>
        <v>#N/A</v>
      </c>
      <c r="CK1517" s="16" t="str">
        <f t="shared" si="451"/>
        <v/>
      </c>
    </row>
    <row r="1518" spans="73:89" ht="12" customHeight="1">
      <c r="BU1518" s="16">
        <f t="shared" si="452"/>
        <v>0</v>
      </c>
      <c r="BV1518" s="16">
        <f>IF($BY$12=1,NORMDIST(BY1518,$Y$6,$Y$8,TRUE),IF($BY$12=2,IF(BY1518&lt;=$BX$31,0,IF(BY1518&gt;=$BX$32,1,(BY1518-$BX$31)*$BX$33)),SUM($BU$42:BU1518)/$BV$40))</f>
        <v>0.99999946957050156</v>
      </c>
      <c r="BW1518" s="16">
        <f t="shared" si="444"/>
        <v>1.9848841910143137E-5</v>
      </c>
      <c r="BY1518" s="16">
        <f t="shared" si="445"/>
        <v>147.5999999999959</v>
      </c>
      <c r="BZ1518" s="16">
        <f t="shared" si="446"/>
        <v>1.3447724871371062E-7</v>
      </c>
      <c r="CA1518" s="16">
        <f t="shared" si="453"/>
        <v>-999</v>
      </c>
      <c r="CE1518" s="16" t="e">
        <f t="shared" si="447"/>
        <v>#N/A</v>
      </c>
      <c r="CF1518" s="16">
        <f t="shared" si="448"/>
        <v>99</v>
      </c>
      <c r="CG1518" s="16">
        <f t="shared" si="449"/>
        <v>0</v>
      </c>
      <c r="CH1518" s="16">
        <f t="shared" si="443"/>
        <v>0</v>
      </c>
      <c r="CJ1518" s="16" t="e">
        <f t="shared" si="450"/>
        <v>#N/A</v>
      </c>
      <c r="CK1518" s="16" t="str">
        <f t="shared" si="451"/>
        <v/>
      </c>
    </row>
    <row r="1519" spans="73:89" ht="12" customHeight="1">
      <c r="BU1519" s="16">
        <f t="shared" si="452"/>
        <v>0</v>
      </c>
      <c r="BV1519" s="16">
        <f>IF($BY$12=1,NORMDIST(BY1519,$Y$6,$Y$8,TRUE),IF($BY$12=2,IF(BY1519&lt;=$BX$31,0,IF(BY1519&gt;=$BX$32,1,(BY1519-$BX$31)*$BX$33)),SUM($BU$42:BU1519)/$BV$40))</f>
        <v>0.99999948285572915</v>
      </c>
      <c r="BW1519" s="16">
        <f t="shared" si="444"/>
        <v>1.93832722846007E-5</v>
      </c>
      <c r="BY1519" s="16">
        <f t="shared" si="445"/>
        <v>147.6999999999959</v>
      </c>
      <c r="BZ1519" s="16">
        <f t="shared" si="446"/>
        <v>1.3123407098579038E-7</v>
      </c>
      <c r="CA1519" s="16">
        <f t="shared" si="453"/>
        <v>-999</v>
      </c>
      <c r="CE1519" s="16" t="e">
        <f t="shared" si="447"/>
        <v>#N/A</v>
      </c>
      <c r="CF1519" s="16">
        <f t="shared" si="448"/>
        <v>99</v>
      </c>
      <c r="CG1519" s="16">
        <f t="shared" si="449"/>
        <v>0</v>
      </c>
      <c r="CH1519" s="16">
        <f t="shared" si="443"/>
        <v>0</v>
      </c>
      <c r="CJ1519" s="16" t="e">
        <f t="shared" si="450"/>
        <v>#N/A</v>
      </c>
      <c r="CK1519" s="16" t="str">
        <f t="shared" si="451"/>
        <v/>
      </c>
    </row>
    <row r="1520" spans="73:89" ht="12" customHeight="1">
      <c r="BU1520" s="16">
        <f t="shared" si="452"/>
        <v>0</v>
      </c>
      <c r="BV1520" s="16">
        <f>IF($BY$12=1,NORMDIST(BY1520,$Y$6,$Y$8,TRUE),IF($BY$12=2,IF(BY1520&lt;=$BX$31,0,IF(BY1520&gt;=$BX$32,1,(BY1520-$BX$31)*$BX$33)),SUM($BU$42:BU1520)/$BV$40))</f>
        <v>0.99999949582021275</v>
      </c>
      <c r="BW1520" s="16">
        <f t="shared" si="444"/>
        <v>1.8928141061155221E-5</v>
      </c>
      <c r="BY1520" s="16">
        <f t="shared" si="445"/>
        <v>147.79999999999589</v>
      </c>
      <c r="BZ1520" s="16">
        <f t="shared" si="446"/>
        <v>1.2806590704435553E-7</v>
      </c>
      <c r="CA1520" s="16">
        <f t="shared" si="453"/>
        <v>-999</v>
      </c>
      <c r="CE1520" s="16" t="e">
        <f t="shared" si="447"/>
        <v>#N/A</v>
      </c>
      <c r="CF1520" s="16">
        <f t="shared" si="448"/>
        <v>99</v>
      </c>
      <c r="CG1520" s="16">
        <f t="shared" si="449"/>
        <v>0</v>
      </c>
      <c r="CH1520" s="16">
        <f t="shared" si="443"/>
        <v>0</v>
      </c>
      <c r="CJ1520" s="16" t="e">
        <f t="shared" si="450"/>
        <v>#N/A</v>
      </c>
      <c r="CK1520" s="16" t="str">
        <f t="shared" si="451"/>
        <v/>
      </c>
    </row>
    <row r="1521" spans="73:89" ht="12" customHeight="1">
      <c r="BU1521" s="16">
        <f t="shared" si="452"/>
        <v>0</v>
      </c>
      <c r="BV1521" s="16">
        <f>IF($BY$12=1,NORMDIST(BY1521,$Y$6,$Y$8,TRUE),IF($BY$12=2,IF(BY1521&lt;=$BX$31,0,IF(BY1521&gt;=$BX$32,1,(BY1521-$BX$31)*$BX$33)),SUM($BU$42:BU1521)/$BV$40))</f>
        <v>0.99999950847134012</v>
      </c>
      <c r="BW1521" s="16">
        <f t="shared" si="444"/>
        <v>1.8483226052590359E-5</v>
      </c>
      <c r="BY1521" s="16">
        <f t="shared" si="445"/>
        <v>147.89999999999588</v>
      </c>
      <c r="BZ1521" s="16">
        <f t="shared" si="446"/>
        <v>1.2497110245159481E-7</v>
      </c>
      <c r="CA1521" s="16">
        <f t="shared" si="453"/>
        <v>-999</v>
      </c>
      <c r="CE1521" s="16" t="e">
        <f t="shared" si="447"/>
        <v>#N/A</v>
      </c>
      <c r="CF1521" s="16">
        <f t="shared" si="448"/>
        <v>99</v>
      </c>
      <c r="CG1521" s="16">
        <f t="shared" si="449"/>
        <v>0</v>
      </c>
      <c r="CH1521" s="16">
        <f t="shared" si="443"/>
        <v>0</v>
      </c>
      <c r="CJ1521" s="16" t="e">
        <f t="shared" si="450"/>
        <v>#N/A</v>
      </c>
      <c r="CK1521" s="16" t="str">
        <f t="shared" si="451"/>
        <v/>
      </c>
    </row>
    <row r="1522" spans="73:89" ht="12" customHeight="1">
      <c r="BU1522" s="16">
        <f t="shared" si="452"/>
        <v>0</v>
      </c>
      <c r="BV1522" s="16">
        <f>IF($BY$12=1,NORMDIST(BY1522,$Y$6,$Y$8,TRUE),IF($BY$12=2,IF(BY1522&lt;=$BX$31,0,IF(BY1522&gt;=$BX$32,1,(BY1522-$BX$31)*$BX$33)),SUM($BU$42:BU1522)/$BV$40))</f>
        <v>0.99999952081678001</v>
      </c>
      <c r="BW1522" s="16">
        <f t="shared" si="444"/>
        <v>1.8048309519628576E-5</v>
      </c>
      <c r="BY1522" s="16">
        <f t="shared" si="445"/>
        <v>147.99999999999588</v>
      </c>
      <c r="BZ1522" s="16">
        <f t="shared" si="446"/>
        <v>1.2194803729479108E-7</v>
      </c>
      <c r="CA1522" s="16">
        <f t="shared" si="453"/>
        <v>-999</v>
      </c>
      <c r="CE1522" s="16" t="e">
        <f t="shared" si="447"/>
        <v>#N/A</v>
      </c>
      <c r="CF1522" s="16">
        <f t="shared" si="448"/>
        <v>99</v>
      </c>
      <c r="CG1522" s="16">
        <f t="shared" si="449"/>
        <v>0</v>
      </c>
      <c r="CH1522" s="16">
        <f t="shared" si="443"/>
        <v>0</v>
      </c>
      <c r="CJ1522" s="16" t="e">
        <f t="shared" si="450"/>
        <v>#N/A</v>
      </c>
      <c r="CK1522" s="16" t="str">
        <f t="shared" si="451"/>
        <v/>
      </c>
    </row>
    <row r="1523" spans="73:89" ht="12" customHeight="1">
      <c r="BU1523" s="16">
        <f t="shared" si="452"/>
        <v>0</v>
      </c>
      <c r="BV1523" s="16">
        <f>IF($BY$12=1,NORMDIST(BY1523,$Y$6,$Y$8,TRUE),IF($BY$12=2,IF(BY1523&lt;=$BX$31,0,IF(BY1523&gt;=$BX$32,1,(BY1523-$BX$31)*$BX$33)),SUM($BU$42:BU1523)/$BV$40))</f>
        <v>0.99999953286343524</v>
      </c>
      <c r="BW1523" s="16">
        <f t="shared" si="444"/>
        <v>1.7623178088330802E-5</v>
      </c>
      <c r="BY1523" s="16">
        <f t="shared" si="445"/>
        <v>148.09999999999587</v>
      </c>
      <c r="BZ1523" s="16">
        <f t="shared" si="446"/>
        <v>1.1899512551202764E-7</v>
      </c>
      <c r="CA1523" s="16">
        <f t="shared" si="453"/>
        <v>-999</v>
      </c>
      <c r="CE1523" s="16" t="e">
        <f t="shared" si="447"/>
        <v>#N/A</v>
      </c>
      <c r="CF1523" s="16">
        <f t="shared" si="448"/>
        <v>99</v>
      </c>
      <c r="CG1523" s="16">
        <f t="shared" si="449"/>
        <v>0</v>
      </c>
      <c r="CH1523" s="16">
        <f t="shared" si="443"/>
        <v>0</v>
      </c>
      <c r="CJ1523" s="16" t="e">
        <f t="shared" si="450"/>
        <v>#N/A</v>
      </c>
      <c r="CK1523" s="16" t="str">
        <f t="shared" si="451"/>
        <v/>
      </c>
    </row>
    <row r="1524" spans="73:89" ht="12" customHeight="1">
      <c r="BU1524" s="16">
        <f t="shared" si="452"/>
        <v>0</v>
      </c>
      <c r="BV1524" s="16">
        <f>IF($BY$12=1,NORMDIST(BY1524,$Y$6,$Y$8,TRUE),IF($BY$12=2,IF(BY1524&lt;=$BX$31,0,IF(BY1524&gt;=$BX$32,1,(BY1524-$BX$31)*$BX$33)),SUM($BU$42:BU1524)/$BV$40))</f>
        <v>0.9999995446179426</v>
      </c>
      <c r="BW1524" s="16">
        <f t="shared" si="444"/>
        <v>1.720762266888813E-5</v>
      </c>
      <c r="BY1524" s="16">
        <f t="shared" si="445"/>
        <v>148.19999999999587</v>
      </c>
      <c r="BZ1524" s="16">
        <f t="shared" si="446"/>
        <v>1.1611081423001761E-7</v>
      </c>
      <c r="CA1524" s="16">
        <f t="shared" si="453"/>
        <v>-999</v>
      </c>
      <c r="CE1524" s="16" t="e">
        <f t="shared" si="447"/>
        <v>#N/A</v>
      </c>
      <c r="CF1524" s="16">
        <f t="shared" si="448"/>
        <v>99</v>
      </c>
      <c r="CG1524" s="16">
        <f t="shared" si="449"/>
        <v>0</v>
      </c>
      <c r="CH1524" s="16">
        <f t="shared" si="443"/>
        <v>0</v>
      </c>
      <c r="CJ1524" s="16" t="e">
        <f t="shared" si="450"/>
        <v>#N/A</v>
      </c>
      <c r="CK1524" s="16" t="str">
        <f t="shared" si="451"/>
        <v/>
      </c>
    </row>
    <row r="1525" spans="73:89" ht="12" customHeight="1">
      <c r="BU1525" s="16">
        <f t="shared" si="452"/>
        <v>0</v>
      </c>
      <c r="BV1525" s="16">
        <f>IF($BY$12=1,NORMDIST(BY1525,$Y$6,$Y$8,TRUE),IF($BY$12=2,IF(BY1525&lt;=$BX$31,0,IF(BY1525&gt;=$BX$32,1,(BY1525-$BX$31)*$BX$33)),SUM($BU$42:BU1525)/$BV$40))</f>
        <v>0.99999955608774482</v>
      </c>
      <c r="BW1525" s="16">
        <f t="shared" si="444"/>
        <v>1.6801438375785021E-5</v>
      </c>
      <c r="BY1525" s="16">
        <f t="shared" si="445"/>
        <v>148.29999999999586</v>
      </c>
      <c r="BZ1525" s="16">
        <f t="shared" si="446"/>
        <v>1.1329358311386034E-7</v>
      </c>
      <c r="CA1525" s="16">
        <f t="shared" si="453"/>
        <v>-999</v>
      </c>
      <c r="CE1525" s="16" t="e">
        <f t="shared" si="447"/>
        <v>#N/A</v>
      </c>
      <c r="CF1525" s="16">
        <f t="shared" si="448"/>
        <v>99</v>
      </c>
      <c r="CG1525" s="16">
        <f t="shared" si="449"/>
        <v>0</v>
      </c>
      <c r="CH1525" s="16">
        <f t="shared" si="443"/>
        <v>0</v>
      </c>
      <c r="CJ1525" s="16" t="e">
        <f t="shared" si="450"/>
        <v>#N/A</v>
      </c>
      <c r="CK1525" s="16" t="str">
        <f t="shared" si="451"/>
        <v/>
      </c>
    </row>
    <row r="1526" spans="73:89" ht="12" customHeight="1">
      <c r="BU1526" s="16">
        <f t="shared" si="452"/>
        <v>0</v>
      </c>
      <c r="BV1526" s="16">
        <f>IF($BY$12=1,NORMDIST(BY1526,$Y$6,$Y$8,TRUE),IF($BY$12=2,IF(BY1526&lt;=$BX$31,0,IF(BY1526&gt;=$BX$32,1,(BY1526-$BX$31)*$BX$33)),SUM($BU$42:BU1526)/$BV$40))</f>
        <v>0.99999956727907091</v>
      </c>
      <c r="BW1526" s="16">
        <f t="shared" si="444"/>
        <v>1.6404424449313923E-5</v>
      </c>
      <c r="BY1526" s="16">
        <f t="shared" si="445"/>
        <v>148.39999999999586</v>
      </c>
      <c r="BZ1526" s="16">
        <f t="shared" si="446"/>
        <v>1.1054194372853356E-7</v>
      </c>
      <c r="CA1526" s="16">
        <f t="shared" si="453"/>
        <v>-999</v>
      </c>
      <c r="CE1526" s="16" t="e">
        <f t="shared" si="447"/>
        <v>#N/A</v>
      </c>
      <c r="CF1526" s="16">
        <f t="shared" si="448"/>
        <v>99</v>
      </c>
      <c r="CG1526" s="16">
        <f t="shared" si="449"/>
        <v>0</v>
      </c>
      <c r="CH1526" s="16">
        <f t="shared" si="443"/>
        <v>0</v>
      </c>
      <c r="CJ1526" s="16" t="e">
        <f t="shared" si="450"/>
        <v>#N/A</v>
      </c>
      <c r="CK1526" s="16" t="str">
        <f t="shared" si="451"/>
        <v/>
      </c>
    </row>
    <row r="1527" spans="73:89" ht="12" customHeight="1">
      <c r="BU1527" s="16">
        <f t="shared" si="452"/>
        <v>0</v>
      </c>
      <c r="BV1527" s="16">
        <f>IF($BY$12=1,NORMDIST(BY1527,$Y$6,$Y$8,TRUE),IF($BY$12=2,IF(BY1527&lt;=$BX$31,0,IF(BY1527&gt;=$BX$32,1,(BY1527-$BX$31)*$BX$33)),SUM($BU$42:BU1527)/$BV$40))</f>
        <v>0.99999957819841145</v>
      </c>
      <c r="BW1527" s="16">
        <f t="shared" si="444"/>
        <v>1.6016384178421504E-5</v>
      </c>
      <c r="BY1527" s="16">
        <f t="shared" si="445"/>
        <v>148.49999999999585</v>
      </c>
      <c r="BZ1527" s="16">
        <f t="shared" si="446"/>
        <v>1.0785443891193233E-7</v>
      </c>
      <c r="CA1527" s="16">
        <f t="shared" si="453"/>
        <v>-999</v>
      </c>
      <c r="CE1527" s="16" t="e">
        <f t="shared" si="447"/>
        <v>#N/A</v>
      </c>
      <c r="CF1527" s="16">
        <f t="shared" si="448"/>
        <v>99</v>
      </c>
      <c r="CG1527" s="16">
        <f t="shared" si="449"/>
        <v>0</v>
      </c>
      <c r="CH1527" s="16">
        <f t="shared" si="443"/>
        <v>0</v>
      </c>
      <c r="CJ1527" s="16" t="e">
        <f t="shared" si="450"/>
        <v>#N/A</v>
      </c>
      <c r="CK1527" s="16" t="str">
        <f t="shared" si="451"/>
        <v/>
      </c>
    </row>
    <row r="1528" spans="73:89" ht="12" customHeight="1">
      <c r="BU1528" s="16">
        <f t="shared" si="452"/>
        <v>0</v>
      </c>
      <c r="BV1528" s="16">
        <f>IF($BY$12=1,NORMDIST(BY1528,$Y$6,$Y$8,TRUE),IF($BY$12=2,IF(BY1528&lt;=$BX$31,0,IF(BY1528&gt;=$BX$32,1,(BY1528-$BX$31)*$BX$33)),SUM($BU$42:BU1528)/$BV$40))</f>
        <v>0.99999958885183049</v>
      </c>
      <c r="BW1528" s="16">
        <f t="shared" si="444"/>
        <v>1.5637124824866212E-5</v>
      </c>
      <c r="BY1528" s="16">
        <f t="shared" si="445"/>
        <v>148.59999999999584</v>
      </c>
      <c r="BZ1528" s="16">
        <f t="shared" si="446"/>
        <v>1.0522964215926412E-7</v>
      </c>
      <c r="CA1528" s="16">
        <f t="shared" si="453"/>
        <v>-999</v>
      </c>
      <c r="CE1528" s="16" t="e">
        <f t="shared" si="447"/>
        <v>#N/A</v>
      </c>
      <c r="CF1528" s="16">
        <f t="shared" si="448"/>
        <v>99</v>
      </c>
      <c r="CG1528" s="16">
        <f t="shared" si="449"/>
        <v>0</v>
      </c>
      <c r="CH1528" s="16">
        <f t="shared" si="443"/>
        <v>0</v>
      </c>
      <c r="CJ1528" s="16" t="e">
        <f t="shared" si="450"/>
        <v>#N/A</v>
      </c>
      <c r="CK1528" s="16" t="str">
        <f t="shared" si="451"/>
        <v/>
      </c>
    </row>
    <row r="1529" spans="73:89" ht="12" customHeight="1">
      <c r="BU1529" s="16">
        <f t="shared" si="452"/>
        <v>0</v>
      </c>
      <c r="BV1529" s="16">
        <f>IF($BY$12=1,NORMDIST(BY1529,$Y$6,$Y$8,TRUE),IF($BY$12=2,IF(BY1529&lt;=$BX$31,0,IF(BY1529&gt;=$BX$32,1,(BY1529-$BX$31)*$BX$33)),SUM($BU$42:BU1529)/$BV$40))</f>
        <v>0.99999959924602444</v>
      </c>
      <c r="BW1529" s="16">
        <f t="shared" si="444"/>
        <v>1.5266457548668081E-5</v>
      </c>
      <c r="BY1529" s="16">
        <f t="shared" si="445"/>
        <v>148.69999999999584</v>
      </c>
      <c r="BZ1529" s="16">
        <f t="shared" si="446"/>
        <v>1.0266615701861809E-7</v>
      </c>
      <c r="CA1529" s="16">
        <f t="shared" si="453"/>
        <v>-999</v>
      </c>
      <c r="CE1529" s="16" t="e">
        <f t="shared" si="447"/>
        <v>#N/A</v>
      </c>
      <c r="CF1529" s="16">
        <f t="shared" si="448"/>
        <v>99</v>
      </c>
      <c r="CG1529" s="16">
        <f t="shared" si="449"/>
        <v>0</v>
      </c>
      <c r="CH1529" s="16">
        <f t="shared" si="443"/>
        <v>0</v>
      </c>
      <c r="CJ1529" s="16" t="e">
        <f t="shared" si="450"/>
        <v>#N/A</v>
      </c>
      <c r="CK1529" s="16" t="str">
        <f t="shared" si="451"/>
        <v/>
      </c>
    </row>
    <row r="1530" spans="73:89" ht="12" customHeight="1">
      <c r="BU1530" s="16">
        <f t="shared" si="452"/>
        <v>0</v>
      </c>
      <c r="BV1530" s="16">
        <f>IF($BY$12=1,NORMDIST(BY1530,$Y$6,$Y$8,TRUE),IF($BY$12=2,IF(BY1530&lt;=$BX$31,0,IF(BY1530&gt;=$BX$32,1,(BY1530-$BX$31)*$BX$33)),SUM($BU$42:BU1530)/$BV$40))</f>
        <v>0.99999960938694077</v>
      </c>
      <c r="BW1530" s="16">
        <f t="shared" si="444"/>
        <v>1.4904197334831723E-5</v>
      </c>
      <c r="BY1530" s="16">
        <f t="shared" si="445"/>
        <v>148.79999999999583</v>
      </c>
      <c r="BZ1530" s="16">
        <f t="shared" si="446"/>
        <v>1.0016261649752782E-7</v>
      </c>
      <c r="CA1530" s="16">
        <f t="shared" si="453"/>
        <v>-999</v>
      </c>
      <c r="CE1530" s="16" t="e">
        <f t="shared" si="447"/>
        <v>#N/A</v>
      </c>
      <c r="CF1530" s="16">
        <f t="shared" si="448"/>
        <v>99</v>
      </c>
      <c r="CG1530" s="16">
        <f t="shared" si="449"/>
        <v>0</v>
      </c>
      <c r="CH1530" s="16">
        <f t="shared" si="443"/>
        <v>0</v>
      </c>
      <c r="CJ1530" s="16" t="e">
        <f t="shared" si="450"/>
        <v>#N/A</v>
      </c>
      <c r="CK1530" s="16" t="str">
        <f t="shared" si="451"/>
        <v/>
      </c>
    </row>
    <row r="1531" spans="73:89" ht="12" customHeight="1">
      <c r="BU1531" s="16">
        <f t="shared" si="452"/>
        <v>0</v>
      </c>
      <c r="BV1531" s="16">
        <f>IF($BY$12=1,NORMDIST(BY1531,$Y$6,$Y$8,TRUE),IF($BY$12=2,IF(BY1531&lt;=$BX$31,0,IF(BY1531&gt;=$BX$32,1,(BY1531-$BX$31)*$BX$33)),SUM($BU$42:BU1531)/$BV$40))</f>
        <v>0.99999961928058922</v>
      </c>
      <c r="BW1531" s="16">
        <f t="shared" si="444"/>
        <v>1.4550162921322688E-5</v>
      </c>
      <c r="BY1531" s="16">
        <f t="shared" si="445"/>
        <v>148.89999999999583</v>
      </c>
      <c r="BZ1531" s="16">
        <f t="shared" si="446"/>
        <v>9.7717682480343159E-8</v>
      </c>
      <c r="CA1531" s="16">
        <f t="shared" si="453"/>
        <v>-999</v>
      </c>
      <c r="CE1531" s="16" t="e">
        <f t="shared" si="447"/>
        <v>#N/A</v>
      </c>
      <c r="CF1531" s="16">
        <f t="shared" si="448"/>
        <v>99</v>
      </c>
      <c r="CG1531" s="16">
        <f t="shared" si="449"/>
        <v>0</v>
      </c>
      <c r="CH1531" s="16">
        <f t="shared" si="443"/>
        <v>0</v>
      </c>
      <c r="CJ1531" s="16" t="e">
        <f t="shared" si="450"/>
        <v>#N/A</v>
      </c>
      <c r="CK1531" s="16" t="str">
        <f t="shared" si="451"/>
        <v/>
      </c>
    </row>
    <row r="1532" spans="73:89" ht="12" customHeight="1">
      <c r="BU1532" s="16">
        <f t="shared" si="452"/>
        <v>0</v>
      </c>
      <c r="BV1532" s="16">
        <f>IF($BY$12=1,NORMDIST(BY1532,$Y$6,$Y$8,TRUE),IF($BY$12=2,IF(BY1532&lt;=$BX$31,0,IF(BY1532&gt;=$BX$32,1,(BY1532-$BX$31)*$BX$33)),SUM($BU$42:BU1532)/$BV$40))</f>
        <v>0.99999962893216543</v>
      </c>
      <c r="BW1532" s="16">
        <f t="shared" si="444"/>
        <v>1.4204176728279251E-5</v>
      </c>
      <c r="BY1532" s="16">
        <f t="shared" si="445"/>
        <v>148.99999999999582</v>
      </c>
      <c r="BZ1532" s="16">
        <f t="shared" si="446"/>
        <v>9.5330045156239262E-8</v>
      </c>
      <c r="CA1532" s="16">
        <f t="shared" si="453"/>
        <v>-999</v>
      </c>
      <c r="CE1532" s="16" t="e">
        <f t="shared" si="447"/>
        <v>#N/A</v>
      </c>
      <c r="CF1532" s="16">
        <f t="shared" si="448"/>
        <v>99</v>
      </c>
      <c r="CG1532" s="16">
        <f t="shared" si="449"/>
        <v>0</v>
      </c>
      <c r="CH1532" s="16">
        <f t="shared" si="443"/>
        <v>0</v>
      </c>
      <c r="CJ1532" s="16" t="e">
        <f t="shared" si="450"/>
        <v>#N/A</v>
      </c>
      <c r="CK1532" s="16" t="str">
        <f t="shared" si="451"/>
        <v/>
      </c>
    </row>
    <row r="1533" spans="73:89" ht="12" customHeight="1">
      <c r="BU1533" s="16">
        <f t="shared" si="452"/>
        <v>0</v>
      </c>
      <c r="BV1533" s="16">
        <f>IF($BY$12=1,NORMDIST(BY1533,$Y$6,$Y$8,TRUE),IF($BY$12=2,IF(BY1533&lt;=$BX$31,0,IF(BY1533&gt;=$BX$32,1,(BY1533-$BX$31)*$BX$33)),SUM($BU$42:BU1533)/$BV$40))</f>
        <v>0.99999963834851302</v>
      </c>
      <c r="BW1533" s="16">
        <f t="shared" si="444"/>
        <v>1.3866064788440311E-5</v>
      </c>
      <c r="BY1533" s="16">
        <f t="shared" si="445"/>
        <v>149.09999999999582</v>
      </c>
      <c r="BZ1533" s="16">
        <f t="shared" si="446"/>
        <v>9.2998422457684107E-8</v>
      </c>
      <c r="CA1533" s="16">
        <f t="shared" si="453"/>
        <v>-999</v>
      </c>
      <c r="CE1533" s="16" t="e">
        <f t="shared" si="447"/>
        <v>#N/A</v>
      </c>
      <c r="CF1533" s="16">
        <f t="shared" si="448"/>
        <v>99</v>
      </c>
      <c r="CG1533" s="16">
        <f t="shared" si="449"/>
        <v>0</v>
      </c>
      <c r="CH1533" s="16">
        <f t="shared" si="443"/>
        <v>0</v>
      </c>
      <c r="CJ1533" s="16" t="e">
        <f t="shared" si="450"/>
        <v>#N/A</v>
      </c>
      <c r="CK1533" s="16" t="str">
        <f t="shared" si="451"/>
        <v/>
      </c>
    </row>
    <row r="1534" spans="73:89" ht="12" customHeight="1">
      <c r="BU1534" s="16">
        <f t="shared" si="452"/>
        <v>0</v>
      </c>
      <c r="BV1534" s="16">
        <f>IF($BY$12=1,NORMDIST(BY1534,$Y$6,$Y$8,TRUE),IF($BY$12=2,IF(BY1534&lt;=$BX$31,0,IF(BY1534&gt;=$BX$32,1,(BY1534-$BX$31)*$BX$33)),SUM($BU$42:BU1534)/$BV$40))</f>
        <v>0.99999964753372694</v>
      </c>
      <c r="BW1534" s="16">
        <f t="shared" si="444"/>
        <v>1.3535656678771658E-5</v>
      </c>
      <c r="BY1534" s="16">
        <f t="shared" si="445"/>
        <v>149.19999999999581</v>
      </c>
      <c r="BZ1534" s="16">
        <f t="shared" si="446"/>
        <v>9.0721559509195959E-8</v>
      </c>
      <c r="CA1534" s="16">
        <f t="shared" si="453"/>
        <v>-999</v>
      </c>
      <c r="CE1534" s="16" t="e">
        <f t="shared" si="447"/>
        <v>#N/A</v>
      </c>
      <c r="CF1534" s="16">
        <f t="shared" si="448"/>
        <v>99</v>
      </c>
      <c r="CG1534" s="16">
        <f t="shared" si="449"/>
        <v>0</v>
      </c>
      <c r="CH1534" s="16">
        <f t="shared" si="443"/>
        <v>0</v>
      </c>
      <c r="CJ1534" s="16" t="e">
        <f t="shared" si="450"/>
        <v>#N/A</v>
      </c>
      <c r="CK1534" s="16" t="str">
        <f t="shared" si="451"/>
        <v/>
      </c>
    </row>
    <row r="1535" spans="73:89" ht="12" customHeight="1">
      <c r="BU1535" s="16">
        <f t="shared" si="452"/>
        <v>0</v>
      </c>
      <c r="BV1535" s="16">
        <f>IF($BY$12=1,NORMDIST(BY1535,$Y$6,$Y$8,TRUE),IF($BY$12=2,IF(BY1535&lt;=$BX$31,0,IF(BY1535&gt;=$BX$32,1,(BY1535-$BX$31)*$BX$33)),SUM($BU$42:BU1535)/$BV$40))</f>
        <v>0.99999965649489764</v>
      </c>
      <c r="BW1535" s="16">
        <f t="shared" si="444"/>
        <v>1.3212785453271913E-5</v>
      </c>
      <c r="BY1535" s="16">
        <f t="shared" si="445"/>
        <v>149.2999999999958</v>
      </c>
      <c r="BZ1535" s="16">
        <f t="shared" si="446"/>
        <v>8.8498228086217574E-8</v>
      </c>
      <c r="CA1535" s="16">
        <f t="shared" si="453"/>
        <v>-999</v>
      </c>
      <c r="CE1535" s="16" t="e">
        <f t="shared" si="447"/>
        <v>#N/A</v>
      </c>
      <c r="CF1535" s="16">
        <f t="shared" si="448"/>
        <v>99</v>
      </c>
      <c r="CG1535" s="16">
        <f t="shared" si="449"/>
        <v>0</v>
      </c>
      <c r="CH1535" s="16">
        <f t="shared" si="443"/>
        <v>0</v>
      </c>
      <c r="CJ1535" s="16" t="e">
        <f t="shared" si="450"/>
        <v>#N/A</v>
      </c>
      <c r="CK1535" s="16" t="str">
        <f t="shared" si="451"/>
        <v/>
      </c>
    </row>
    <row r="1536" spans="73:89" ht="12" customHeight="1">
      <c r="BU1536" s="16">
        <f t="shared" si="452"/>
        <v>0</v>
      </c>
      <c r="BV1536" s="16">
        <f>IF($BY$12=1,NORMDIST(BY1536,$Y$6,$Y$8,TRUE),IF($BY$12=2,IF(BY1536&lt;=$BX$31,0,IF(BY1536&gt;=$BX$32,1,(BY1536-$BX$31)*$BX$33)),SUM($BU$42:BU1536)/$BV$40))</f>
        <v>0.99999966523543249</v>
      </c>
      <c r="BW1536" s="16">
        <f t="shared" si="444"/>
        <v>1.2897287576940799E-5</v>
      </c>
      <c r="BY1536" s="16">
        <f t="shared" si="445"/>
        <v>149.3999999999958</v>
      </c>
      <c r="BZ1536" s="16">
        <f t="shared" si="446"/>
        <v>8.6327226083943521E-8</v>
      </c>
      <c r="CA1536" s="16">
        <f t="shared" si="453"/>
        <v>-999</v>
      </c>
      <c r="CE1536" s="16" t="e">
        <f t="shared" si="447"/>
        <v>#N/A</v>
      </c>
      <c r="CF1536" s="16">
        <f t="shared" si="448"/>
        <v>99</v>
      </c>
      <c r="CG1536" s="16">
        <f t="shared" si="449"/>
        <v>0</v>
      </c>
      <c r="CH1536" s="16">
        <f t="shared" si="443"/>
        <v>0</v>
      </c>
      <c r="CJ1536" s="16" t="e">
        <f t="shared" si="450"/>
        <v>#N/A</v>
      </c>
      <c r="CK1536" s="16" t="str">
        <f t="shared" si="451"/>
        <v/>
      </c>
    </row>
    <row r="1537" spans="73:89" ht="12" customHeight="1">
      <c r="BU1537" s="16">
        <f t="shared" si="452"/>
        <v>0</v>
      </c>
      <c r="BV1537" s="16">
        <f>IF($BY$12=1,NORMDIST(BY1537,$Y$6,$Y$8,TRUE),IF($BY$12=2,IF(BY1537&lt;=$BX$31,0,IF(BY1537&gt;=$BX$32,1,(BY1537-$BX$31)*$BX$33)),SUM($BU$42:BU1537)/$BV$40))</f>
        <v>0.99999967376182186</v>
      </c>
      <c r="BW1537" s="16">
        <f t="shared" si="444"/>
        <v>1.2589002860891461E-5</v>
      </c>
      <c r="BY1537" s="16">
        <f t="shared" si="445"/>
        <v>149.49999999999579</v>
      </c>
      <c r="BZ1537" s="16">
        <f t="shared" si="446"/>
        <v>8.4207376995931871E-8</v>
      </c>
      <c r="CA1537" s="16">
        <f t="shared" si="453"/>
        <v>-999</v>
      </c>
      <c r="CE1537" s="16" t="e">
        <f t="shared" si="447"/>
        <v>#N/A</v>
      </c>
      <c r="CF1537" s="16">
        <f t="shared" si="448"/>
        <v>99</v>
      </c>
      <c r="CG1537" s="16">
        <f t="shared" si="449"/>
        <v>0</v>
      </c>
      <c r="CH1537" s="16">
        <f t="shared" si="443"/>
        <v>0</v>
      </c>
      <c r="CJ1537" s="16" t="e">
        <f t="shared" si="450"/>
        <v>#N/A</v>
      </c>
      <c r="CK1537" s="16" t="str">
        <f t="shared" si="451"/>
        <v/>
      </c>
    </row>
    <row r="1538" spans="73:89" ht="12" customHeight="1">
      <c r="BU1538" s="16">
        <f t="shared" si="452"/>
        <v>0</v>
      </c>
      <c r="BV1538" s="16">
        <f>IF($BY$12=1,NORMDIST(BY1538,$Y$6,$Y$8,TRUE),IF($BY$12=2,IF(BY1538&lt;=$BX$31,0,IF(BY1538&gt;=$BX$32,1,(BY1538-$BX$31)*$BX$33)),SUM($BU$42:BU1538)/$BV$40))</f>
        <v>0.99999968207825329</v>
      </c>
      <c r="BW1538" s="16">
        <f t="shared" si="444"/>
        <v>1.2287774398589687E-5</v>
      </c>
      <c r="BY1538" s="16">
        <f t="shared" si="445"/>
        <v>149.59999999999579</v>
      </c>
      <c r="BZ1538" s="16">
        <f t="shared" si="446"/>
        <v>8.2137529402339792E-8</v>
      </c>
      <c r="CA1538" s="16">
        <f t="shared" si="453"/>
        <v>-999</v>
      </c>
      <c r="CE1538" s="16" t="e">
        <f t="shared" si="447"/>
        <v>#N/A</v>
      </c>
      <c r="CF1538" s="16">
        <f t="shared" si="448"/>
        <v>99</v>
      </c>
      <c r="CG1538" s="16">
        <f t="shared" si="449"/>
        <v>0</v>
      </c>
      <c r="CH1538" s="16">
        <f t="shared" si="443"/>
        <v>0</v>
      </c>
      <c r="CJ1538" s="16" t="e">
        <f t="shared" si="450"/>
        <v>#N/A</v>
      </c>
      <c r="CK1538" s="16" t="str">
        <f t="shared" si="451"/>
        <v/>
      </c>
    </row>
    <row r="1539" spans="73:89" ht="12" customHeight="1">
      <c r="BU1539" s="16">
        <f t="shared" si="452"/>
        <v>0</v>
      </c>
      <c r="BV1539" s="16">
        <f>IF($BY$12=1,NORMDIST(BY1539,$Y$6,$Y$8,TRUE),IF($BY$12=2,IF(BY1539&lt;=$BX$31,0,IF(BY1539&gt;=$BX$32,1,(BY1539-$BX$31)*$BX$33)),SUM($BU$42:BU1539)/$BV$40))</f>
        <v>0.99999969019029944</v>
      </c>
      <c r="BW1539" s="16">
        <f t="shared" si="444"/>
        <v>1.1993448503203047E-5</v>
      </c>
      <c r="BY1539" s="16">
        <f t="shared" si="445"/>
        <v>149.69999999999578</v>
      </c>
      <c r="BZ1539" s="16">
        <f t="shared" si="446"/>
        <v>8.0116556467624476E-8</v>
      </c>
      <c r="CA1539" s="16">
        <f t="shared" si="453"/>
        <v>-999</v>
      </c>
      <c r="CE1539" s="16" t="e">
        <f t="shared" si="447"/>
        <v>#N/A</v>
      </c>
      <c r="CF1539" s="16">
        <f t="shared" si="448"/>
        <v>99</v>
      </c>
      <c r="CG1539" s="16">
        <f t="shared" si="449"/>
        <v>0</v>
      </c>
      <c r="CH1539" s="16">
        <f t="shared" ref="CH1539:CH1602" si="454">IF(CB1539="",0,1)</f>
        <v>0</v>
      </c>
      <c r="CJ1539" s="16" t="e">
        <f t="shared" si="450"/>
        <v>#N/A</v>
      </c>
      <c r="CK1539" s="16" t="str">
        <f t="shared" si="451"/>
        <v/>
      </c>
    </row>
    <row r="1540" spans="73:89" ht="12" customHeight="1">
      <c r="BU1540" s="16">
        <f t="shared" si="452"/>
        <v>0</v>
      </c>
      <c r="BV1540" s="16">
        <f>IF($BY$12=1,NORMDIST(BY1540,$Y$6,$Y$8,TRUE),IF($BY$12=2,IF(BY1540&lt;=$BX$31,0,IF(BY1540&gt;=$BX$32,1,(BY1540-$BX$31)*$BX$33)),SUM($BU$42:BU1540)/$BV$40))</f>
        <v>0.99999969810331857</v>
      </c>
      <c r="BW1540" s="16">
        <f t="shared" si="444"/>
        <v>1.1705874646042207E-5</v>
      </c>
      <c r="BY1540" s="16">
        <f t="shared" si="445"/>
        <v>149.79999999999578</v>
      </c>
      <c r="BZ1540" s="16">
        <f t="shared" si="446"/>
        <v>7.8143355447546975E-8</v>
      </c>
      <c r="CA1540" s="16">
        <f t="shared" si="453"/>
        <v>-999</v>
      </c>
      <c r="CE1540" s="16" t="e">
        <f t="shared" si="447"/>
        <v>#N/A</v>
      </c>
      <c r="CF1540" s="16">
        <f t="shared" si="448"/>
        <v>99</v>
      </c>
      <c r="CG1540" s="16">
        <f t="shared" si="449"/>
        <v>0</v>
      </c>
      <c r="CH1540" s="16">
        <f t="shared" si="454"/>
        <v>0</v>
      </c>
      <c r="CJ1540" s="16" t="e">
        <f t="shared" si="450"/>
        <v>#N/A</v>
      </c>
      <c r="CK1540" s="16" t="str">
        <f t="shared" si="451"/>
        <v/>
      </c>
    </row>
    <row r="1541" spans="73:89" ht="12" customHeight="1">
      <c r="BU1541" s="16">
        <f t="shared" si="452"/>
        <v>0</v>
      </c>
      <c r="BV1541" s="16">
        <f>IF($BY$12=1,NORMDIST(BY1541,$Y$6,$Y$8,TRUE),IF($BY$12=2,IF(BY1541&lt;=$BX$31,0,IF(BY1541&gt;=$BX$32,1,(BY1541-$BX$31)*$BX$33)),SUM($BU$42:BU1541)/$BV$40))</f>
        <v>0.99999970582107434</v>
      </c>
      <c r="BW1541" s="16">
        <f t="shared" si="444"/>
        <v>1.1424905396078173E-5</v>
      </c>
      <c r="BY1541" s="16">
        <f t="shared" si="445"/>
        <v>149.89999999999577</v>
      </c>
      <c r="BZ1541" s="16">
        <f t="shared" si="446"/>
        <v>7.6216847205326849E-8</v>
      </c>
      <c r="CA1541" s="16">
        <f t="shared" si="453"/>
        <v>-999</v>
      </c>
      <c r="CE1541" s="16" t="e">
        <f t="shared" si="447"/>
        <v>#N/A</v>
      </c>
      <c r="CF1541" s="16">
        <f t="shared" si="448"/>
        <v>99</v>
      </c>
      <c r="CG1541" s="16">
        <f t="shared" si="449"/>
        <v>0</v>
      </c>
      <c r="CH1541" s="16">
        <f t="shared" si="454"/>
        <v>0</v>
      </c>
      <c r="CJ1541" s="16" t="e">
        <f t="shared" si="450"/>
        <v>#N/A</v>
      </c>
      <c r="CK1541" s="16" t="str">
        <f t="shared" si="451"/>
        <v/>
      </c>
    </row>
    <row r="1542" spans="73:89" ht="12" customHeight="1">
      <c r="BU1542" s="16">
        <f t="shared" si="452"/>
        <v>0</v>
      </c>
      <c r="BV1542" s="16">
        <f>IF($BY$12=1,NORMDIST(BY1542,$Y$6,$Y$8,TRUE),IF($BY$12=2,IF(BY1542&lt;=$BX$31,0,IF(BY1542&gt;=$BX$32,1,(BY1542-$BX$31)*$BX$33)),SUM($BU$42:BU1542)/$BV$40))</f>
        <v>0.99999971334857052</v>
      </c>
      <c r="BW1542" s="16">
        <f t="shared" si="444"/>
        <v>1.1150396360518722E-5</v>
      </c>
      <c r="BY1542" s="16">
        <f t="shared" si="445"/>
        <v>149.99999999999577</v>
      </c>
      <c r="BZ1542" s="16">
        <f t="shared" si="446"/>
        <v>7.4335975736793581E-8</v>
      </c>
      <c r="CA1542" s="16">
        <f t="shared" si="453"/>
        <v>-999</v>
      </c>
      <c r="CE1542" s="16" t="e">
        <f t="shared" si="447"/>
        <v>#N/A</v>
      </c>
      <c r="CF1542" s="16">
        <f t="shared" si="448"/>
        <v>99</v>
      </c>
      <c r="CG1542" s="16">
        <f t="shared" si="449"/>
        <v>0</v>
      </c>
      <c r="CH1542" s="16">
        <f t="shared" si="454"/>
        <v>0</v>
      </c>
      <c r="CJ1542" s="16" t="e">
        <f t="shared" si="450"/>
        <v>#N/A</v>
      </c>
      <c r="CK1542" s="16" t="str">
        <f t="shared" si="451"/>
        <v/>
      </c>
    </row>
    <row r="1543" spans="73:89" ht="12" customHeight="1">
      <c r="BU1543" s="16">
        <f t="shared" si="452"/>
        <v>0</v>
      </c>
      <c r="BV1543" s="16">
        <f>IF($BY$12=1,NORMDIST(BY1543,$Y$6,$Y$8,TRUE),IF($BY$12=2,IF(BY1543&lt;=$BX$31,0,IF(BY1543&gt;=$BX$32,1,(BY1543-$BX$31)*$BX$33)),SUM($BU$42:BU1543)/$BV$40))</f>
        <v>0.99999972068984488</v>
      </c>
      <c r="BW1543" s="16">
        <f t="shared" si="444"/>
        <v>1.0882206126427469E-5</v>
      </c>
      <c r="BY1543" s="16">
        <f t="shared" si="445"/>
        <v>150.09999999999576</v>
      </c>
      <c r="BZ1543" s="16">
        <f t="shared" si="446"/>
        <v>7.2499707704382252E-8</v>
      </c>
      <c r="CA1543" s="16">
        <f t="shared" si="453"/>
        <v>-999</v>
      </c>
      <c r="CE1543" s="16" t="e">
        <f t="shared" si="447"/>
        <v>#N/A</v>
      </c>
      <c r="CF1543" s="16">
        <f t="shared" si="448"/>
        <v>99</v>
      </c>
      <c r="CG1543" s="16">
        <f t="shared" si="449"/>
        <v>0</v>
      </c>
      <c r="CH1543" s="16">
        <f t="shared" si="454"/>
        <v>0</v>
      </c>
      <c r="CJ1543" s="16" t="e">
        <f t="shared" si="450"/>
        <v>#N/A</v>
      </c>
      <c r="CK1543" s="16" t="str">
        <f t="shared" si="451"/>
        <v/>
      </c>
    </row>
    <row r="1544" spans="73:89" ht="12" customHeight="1">
      <c r="BU1544" s="16">
        <f t="shared" si="452"/>
        <v>0</v>
      </c>
      <c r="BV1544" s="16">
        <f>IF($BY$12=1,NORMDIST(BY1544,$Y$6,$Y$8,TRUE),IF($BY$12=2,IF(BY1544&lt;=$BX$31,0,IF(BY1544&gt;=$BX$32,1,(BY1544-$BX$31)*$BX$33)),SUM($BU$42:BU1544)/$BV$40))</f>
        <v>0.99999972784982272</v>
      </c>
      <c r="BW1544" s="16">
        <f t="shared" si="444"/>
        <v>1.0620196203369456E-5</v>
      </c>
      <c r="BY1544" s="16">
        <f t="shared" si="445"/>
        <v>150.19999999999575</v>
      </c>
      <c r="BZ1544" s="16">
        <f t="shared" si="446"/>
        <v>7.0707031979825273E-8</v>
      </c>
      <c r="CA1544" s="16">
        <f t="shared" si="453"/>
        <v>-999</v>
      </c>
      <c r="CE1544" s="16" t="e">
        <f t="shared" si="447"/>
        <v>#N/A</v>
      </c>
      <c r="CF1544" s="16">
        <f t="shared" si="448"/>
        <v>99</v>
      </c>
      <c r="CG1544" s="16">
        <f t="shared" si="449"/>
        <v>0</v>
      </c>
      <c r="CH1544" s="16">
        <f t="shared" si="454"/>
        <v>0</v>
      </c>
      <c r="CJ1544" s="16" t="e">
        <f t="shared" si="450"/>
        <v>#N/A</v>
      </c>
      <c r="CK1544" s="16" t="str">
        <f t="shared" si="451"/>
        <v/>
      </c>
    </row>
    <row r="1545" spans="73:89" ht="12" customHeight="1">
      <c r="BU1545" s="16">
        <f t="shared" si="452"/>
        <v>0</v>
      </c>
      <c r="BV1545" s="16">
        <f>IF($BY$12=1,NORMDIST(BY1545,$Y$6,$Y$8,TRUE),IF($BY$12=2,IF(BY1545&lt;=$BX$31,0,IF(BY1545&gt;=$BX$32,1,(BY1545-$BX$31)*$BX$33)),SUM($BU$42:BU1545)/$BV$40))</f>
        <v>0.99999973483267135</v>
      </c>
      <c r="BW1545" s="16">
        <f t="shared" si="444"/>
        <v>1.0364230967067428E-5</v>
      </c>
      <c r="BY1545" s="16">
        <f t="shared" si="445"/>
        <v>150.29999999999575</v>
      </c>
      <c r="BZ1545" s="16">
        <f t="shared" si="446"/>
        <v>6.895695919539402E-8</v>
      </c>
      <c r="CA1545" s="16">
        <f t="shared" si="453"/>
        <v>-999</v>
      </c>
      <c r="CE1545" s="16" t="e">
        <f t="shared" si="447"/>
        <v>#N/A</v>
      </c>
      <c r="CF1545" s="16">
        <f t="shared" si="448"/>
        <v>99</v>
      </c>
      <c r="CG1545" s="16">
        <f t="shared" si="449"/>
        <v>0</v>
      </c>
      <c r="CH1545" s="16">
        <f t="shared" si="454"/>
        <v>0</v>
      </c>
      <c r="CJ1545" s="16" t="e">
        <f t="shared" si="450"/>
        <v>#N/A</v>
      </c>
      <c r="CK1545" s="16" t="str">
        <f t="shared" si="451"/>
        <v/>
      </c>
    </row>
    <row r="1546" spans="73:89" ht="12" customHeight="1">
      <c r="BU1546" s="16">
        <f t="shared" si="452"/>
        <v>0</v>
      </c>
      <c r="BV1546" s="16">
        <f>IF($BY$12=1,NORMDIST(BY1546,$Y$6,$Y$8,TRUE),IF($BY$12=2,IF(BY1546&lt;=$BX$31,0,IF(BY1546&gt;=$BX$32,1,(BY1546-$BX$31)*$BX$33)),SUM($BU$42:BU1546)/$BV$40))</f>
        <v>0.99999974164260241</v>
      </c>
      <c r="BW1546" s="16">
        <f t="shared" si="444"/>
        <v>1.0114177604052714E-5</v>
      </c>
      <c r="BY1546" s="16">
        <f t="shared" si="445"/>
        <v>150.39999999999574</v>
      </c>
      <c r="BZ1546" s="16">
        <f t="shared" si="446"/>
        <v>6.7248521303543883E-8</v>
      </c>
      <c r="CA1546" s="16">
        <f t="shared" si="453"/>
        <v>-999</v>
      </c>
      <c r="CE1546" s="16" t="e">
        <f t="shared" si="447"/>
        <v>#N/A</v>
      </c>
      <c r="CF1546" s="16">
        <f t="shared" si="448"/>
        <v>99</v>
      </c>
      <c r="CG1546" s="16">
        <f t="shared" si="449"/>
        <v>0</v>
      </c>
      <c r="CH1546" s="16">
        <f t="shared" si="454"/>
        <v>0</v>
      </c>
      <c r="CJ1546" s="16" t="e">
        <f t="shared" si="450"/>
        <v>#N/A</v>
      </c>
      <c r="CK1546" s="16" t="str">
        <f t="shared" si="451"/>
        <v/>
      </c>
    </row>
    <row r="1547" spans="73:89" ht="12" customHeight="1">
      <c r="BU1547" s="16">
        <f t="shared" si="452"/>
        <v>0</v>
      </c>
      <c r="BV1547" s="16">
        <f>IF($BY$12=1,NORMDIST(BY1547,$Y$6,$Y$8,TRUE),IF($BY$12=2,IF(BY1547&lt;=$BX$31,0,IF(BY1547&gt;=$BX$32,1,(BY1547-$BX$31)*$BX$33)),SUM($BU$42:BU1547)/$BV$40))</f>
        <v>0.99999974828373184</v>
      </c>
      <c r="BW1547" s="16">
        <f t="shared" si="444"/>
        <v>9.869906057295487E-6</v>
      </c>
      <c r="BY1547" s="16">
        <f t="shared" si="445"/>
        <v>150.49999999999574</v>
      </c>
      <c r="BZ1547" s="16">
        <f t="shared" si="446"/>
        <v>6.5580771144822371E-8</v>
      </c>
      <c r="CA1547" s="16">
        <f t="shared" si="453"/>
        <v>-999</v>
      </c>
      <c r="CE1547" s="16" t="e">
        <f t="shared" si="447"/>
        <v>#N/A</v>
      </c>
      <c r="CF1547" s="16">
        <f t="shared" si="448"/>
        <v>99</v>
      </c>
      <c r="CG1547" s="16">
        <f t="shared" si="449"/>
        <v>0</v>
      </c>
      <c r="CH1547" s="16">
        <f t="shared" si="454"/>
        <v>0</v>
      </c>
      <c r="CJ1547" s="16" t="e">
        <f t="shared" si="450"/>
        <v>#N/A</v>
      </c>
      <c r="CK1547" s="16" t="str">
        <f t="shared" si="451"/>
        <v/>
      </c>
    </row>
    <row r="1548" spans="73:89" ht="12" customHeight="1">
      <c r="BU1548" s="16">
        <f t="shared" si="452"/>
        <v>0</v>
      </c>
      <c r="BV1548" s="16">
        <f>IF($BY$12=1,NORMDIST(BY1548,$Y$6,$Y$8,TRUE),IF($BY$12=2,IF(BY1548&lt;=$BX$31,0,IF(BY1548&gt;=$BX$32,1,(BY1548-$BX$31)*$BX$33)),SUM($BU$42:BU1548)/$BV$40))</f>
        <v>0.99999975476008196</v>
      </c>
      <c r="BW1548" s="16">
        <f t="shared" si="444"/>
        <v>9.6312889727986977E-6</v>
      </c>
      <c r="BY1548" s="16">
        <f t="shared" si="445"/>
        <v>150.59999999999573</v>
      </c>
      <c r="BZ1548" s="16">
        <f t="shared" si="446"/>
        <v>6.3952782023897546E-8</v>
      </c>
      <c r="CA1548" s="16">
        <f t="shared" si="453"/>
        <v>-999</v>
      </c>
      <c r="CE1548" s="16" t="e">
        <f t="shared" si="447"/>
        <v>#N/A</v>
      </c>
      <c r="CF1548" s="16">
        <f t="shared" si="448"/>
        <v>99</v>
      </c>
      <c r="CG1548" s="16">
        <f t="shared" si="449"/>
        <v>0</v>
      </c>
      <c r="CH1548" s="16">
        <f t="shared" si="454"/>
        <v>0</v>
      </c>
      <c r="CJ1548" s="16" t="e">
        <f t="shared" si="450"/>
        <v>#N/A</v>
      </c>
      <c r="CK1548" s="16" t="str">
        <f t="shared" si="451"/>
        <v/>
      </c>
    </row>
    <row r="1549" spans="73:89" ht="12" customHeight="1">
      <c r="BU1549" s="16">
        <f t="shared" si="452"/>
        <v>0</v>
      </c>
      <c r="BV1549" s="16">
        <f>IF($BY$12=1,NORMDIST(BY1549,$Y$6,$Y$8,TRUE),IF($BY$12=2,IF(BY1549&lt;=$BX$31,0,IF(BY1549&gt;=$BX$32,1,(BY1549-$BX$31)*$BX$33)),SUM($BU$42:BU1549)/$BV$40))</f>
        <v>0.9999997610755833</v>
      </c>
      <c r="BW1549" s="16">
        <f t="shared" si="444"/>
        <v>9.3982016471406988E-6</v>
      </c>
      <c r="BY1549" s="16">
        <f t="shared" si="445"/>
        <v>150.69999999999573</v>
      </c>
      <c r="BZ1549" s="16">
        <f t="shared" si="446"/>
        <v>6.2363647293569779E-8</v>
      </c>
      <c r="CA1549" s="16">
        <f t="shared" si="453"/>
        <v>-999</v>
      </c>
      <c r="CE1549" s="16" t="e">
        <f t="shared" si="447"/>
        <v>#N/A</v>
      </c>
      <c r="CF1549" s="16">
        <f t="shared" si="448"/>
        <v>99</v>
      </c>
      <c r="CG1549" s="16">
        <f t="shared" si="449"/>
        <v>0</v>
      </c>
      <c r="CH1549" s="16">
        <f t="shared" si="454"/>
        <v>0</v>
      </c>
      <c r="CJ1549" s="16" t="e">
        <f t="shared" si="450"/>
        <v>#N/A</v>
      </c>
      <c r="CK1549" s="16" t="str">
        <f t="shared" si="451"/>
        <v/>
      </c>
    </row>
    <row r="1550" spans="73:89" ht="12" customHeight="1">
      <c r="BU1550" s="16">
        <f t="shared" si="452"/>
        <v>0</v>
      </c>
      <c r="BV1550" s="16">
        <f>IF($BY$12=1,NORMDIST(BY1550,$Y$6,$Y$8,TRUE),IF($BY$12=2,IF(BY1550&lt;=$BX$31,0,IF(BY1550&gt;=$BX$32,1,(BY1550-$BX$31)*$BX$33)),SUM($BU$42:BU1550)/$BV$40))</f>
        <v>0.99999976723407691</v>
      </c>
      <c r="BW1550" s="16">
        <f t="shared" si="444"/>
        <v>9.1705219759517807E-6</v>
      </c>
      <c r="BY1550" s="16">
        <f t="shared" si="445"/>
        <v>150.79999999999572</v>
      </c>
      <c r="BZ1550" s="16">
        <f t="shared" si="446"/>
        <v>6.0812479946631574E-8</v>
      </c>
      <c r="CA1550" s="16">
        <f t="shared" si="453"/>
        <v>-999</v>
      </c>
      <c r="CE1550" s="16" t="e">
        <f t="shared" si="447"/>
        <v>#N/A</v>
      </c>
      <c r="CF1550" s="16">
        <f t="shared" si="448"/>
        <v>99</v>
      </c>
      <c r="CG1550" s="16">
        <f t="shared" si="449"/>
        <v>0</v>
      </c>
      <c r="CH1550" s="16">
        <f t="shared" si="454"/>
        <v>0</v>
      </c>
      <c r="CJ1550" s="16" t="e">
        <f t="shared" si="450"/>
        <v>#N/A</v>
      </c>
      <c r="CK1550" s="16" t="str">
        <f t="shared" si="451"/>
        <v/>
      </c>
    </row>
    <row r="1551" spans="73:89" ht="12" customHeight="1">
      <c r="BU1551" s="16">
        <f t="shared" si="452"/>
        <v>0</v>
      </c>
      <c r="BV1551" s="16">
        <f>IF($BY$12=1,NORMDIST(BY1551,$Y$6,$Y$8,TRUE),IF($BY$12=2,IF(BY1551&lt;=$BX$31,0,IF(BY1551&gt;=$BX$32,1,(BY1551-$BX$31)*$BX$33)),SUM($BU$42:BU1551)/$BV$40))</f>
        <v>0.99999977323931599</v>
      </c>
      <c r="BW1551" s="16">
        <f t="shared" si="444"/>
        <v>8.9481304033091122E-6</v>
      </c>
      <c r="BY1551" s="16">
        <f t="shared" si="445"/>
        <v>150.89999999999571</v>
      </c>
      <c r="BZ1551" s="16">
        <f t="shared" si="446"/>
        <v>5.9298412215436489E-8</v>
      </c>
      <c r="CA1551" s="16">
        <f t="shared" si="453"/>
        <v>-999</v>
      </c>
      <c r="CE1551" s="16" t="e">
        <f t="shared" si="447"/>
        <v>#N/A</v>
      </c>
      <c r="CF1551" s="16">
        <f t="shared" si="448"/>
        <v>99</v>
      </c>
      <c r="CG1551" s="16">
        <f t="shared" si="449"/>
        <v>0</v>
      </c>
      <c r="CH1551" s="16">
        <f t="shared" si="454"/>
        <v>0</v>
      </c>
      <c r="CJ1551" s="16" t="e">
        <f t="shared" si="450"/>
        <v>#N/A</v>
      </c>
      <c r="CK1551" s="16" t="str">
        <f t="shared" si="451"/>
        <v/>
      </c>
    </row>
    <row r="1552" spans="73:89" ht="12" customHeight="1">
      <c r="BU1552" s="16">
        <f t="shared" si="452"/>
        <v>0</v>
      </c>
      <c r="BV1552" s="16">
        <f>IF($BY$12=1,NORMDIST(BY1552,$Y$6,$Y$8,TRUE),IF($BY$12=2,IF(BY1552&lt;=$BX$31,0,IF(BY1552&gt;=$BX$32,1,(BY1552-$BX$31)*$BX$33)),SUM($BU$42:BU1552)/$BV$40))</f>
        <v>0.99999977909496773</v>
      </c>
      <c r="BW1552" s="16">
        <f t="shared" si="444"/>
        <v>8.7309098720365748E-6</v>
      </c>
      <c r="BY1552" s="16">
        <f t="shared" si="445"/>
        <v>150.99999999999571</v>
      </c>
      <c r="BZ1552" s="16">
        <f t="shared" si="446"/>
        <v>5.7820595179051812E-8</v>
      </c>
      <c r="CA1552" s="16">
        <f t="shared" si="453"/>
        <v>-999</v>
      </c>
      <c r="CE1552" s="16" t="e">
        <f t="shared" si="447"/>
        <v>#N/A</v>
      </c>
      <c r="CF1552" s="16">
        <f t="shared" si="448"/>
        <v>99</v>
      </c>
      <c r="CG1552" s="16">
        <f t="shared" si="449"/>
        <v>0</v>
      </c>
      <c r="CH1552" s="16">
        <f t="shared" si="454"/>
        <v>0</v>
      </c>
      <c r="CJ1552" s="16" t="e">
        <f t="shared" si="450"/>
        <v>#N/A</v>
      </c>
      <c r="CK1552" s="16" t="str">
        <f t="shared" si="451"/>
        <v/>
      </c>
    </row>
    <row r="1553" spans="73:89" ht="12" customHeight="1">
      <c r="BU1553" s="16">
        <f t="shared" si="452"/>
        <v>0</v>
      </c>
      <c r="BV1553" s="16">
        <f>IF($BY$12=1,NORMDIST(BY1553,$Y$6,$Y$8,TRUE),IF($BY$12=2,IF(BY1553&lt;=$BX$31,0,IF(BY1553&gt;=$BX$32,1,(BY1553-$BX$31)*$BX$33)),SUM($BU$42:BU1553)/$BV$40))</f>
        <v>0.9999997848046156</v>
      </c>
      <c r="BW1553" s="16">
        <f t="shared" si="444"/>
        <v>8.5187457748940514E-6</v>
      </c>
      <c r="BY1553" s="16">
        <f t="shared" si="445"/>
        <v>151.0999999999957</v>
      </c>
      <c r="BZ1553" s="16">
        <f t="shared" si="446"/>
        <v>5.6378198377857673E-8</v>
      </c>
      <c r="CA1553" s="16">
        <f t="shared" si="453"/>
        <v>-999</v>
      </c>
      <c r="CE1553" s="16" t="e">
        <f t="shared" si="447"/>
        <v>#N/A</v>
      </c>
      <c r="CF1553" s="16">
        <f t="shared" si="448"/>
        <v>99</v>
      </c>
      <c r="CG1553" s="16">
        <f t="shared" si="449"/>
        <v>0</v>
      </c>
      <c r="CH1553" s="16">
        <f t="shared" si="454"/>
        <v>0</v>
      </c>
      <c r="CJ1553" s="16" t="e">
        <f t="shared" si="450"/>
        <v>#N/A</v>
      </c>
      <c r="CK1553" s="16" t="str">
        <f t="shared" si="451"/>
        <v/>
      </c>
    </row>
    <row r="1554" spans="73:89" ht="12" customHeight="1">
      <c r="BU1554" s="16">
        <f t="shared" si="452"/>
        <v>0</v>
      </c>
      <c r="BV1554" s="16">
        <f>IF($BY$12=1,NORMDIST(BY1554,$Y$6,$Y$8,TRUE),IF($BY$12=2,IF(BY1554&lt;=$BX$31,0,IF(BY1554&gt;=$BX$32,1,(BY1554-$BX$31)*$BX$33)),SUM($BU$42:BU1554)/$BV$40))</f>
        <v>0.99999979037176101</v>
      </c>
      <c r="BW1554" s="16">
        <f t="shared" si="444"/>
        <v>8.3115259066428283E-6</v>
      </c>
      <c r="BY1554" s="16">
        <f t="shared" si="445"/>
        <v>151.1999999999957</v>
      </c>
      <c r="BZ1554" s="16">
        <f t="shared" si="446"/>
        <v>5.4970409435470004E-8</v>
      </c>
      <c r="CA1554" s="16">
        <f t="shared" si="453"/>
        <v>-999</v>
      </c>
      <c r="CE1554" s="16" t="e">
        <f t="shared" si="447"/>
        <v>#N/A</v>
      </c>
      <c r="CF1554" s="16">
        <f t="shared" si="448"/>
        <v>99</v>
      </c>
      <c r="CG1554" s="16">
        <f t="shared" si="449"/>
        <v>0</v>
      </c>
      <c r="CH1554" s="16">
        <f t="shared" si="454"/>
        <v>0</v>
      </c>
      <c r="CJ1554" s="16" t="e">
        <f t="shared" si="450"/>
        <v>#N/A</v>
      </c>
      <c r="CK1554" s="16" t="str">
        <f t="shared" si="451"/>
        <v/>
      </c>
    </row>
    <row r="1555" spans="73:89" ht="12" customHeight="1">
      <c r="BU1555" s="16">
        <f t="shared" si="452"/>
        <v>0</v>
      </c>
      <c r="BV1555" s="16">
        <f>IF($BY$12=1,NORMDIST(BY1555,$Y$6,$Y$8,TRUE),IF($BY$12=2,IF(BY1555&lt;=$BX$31,0,IF(BY1555&gt;=$BX$32,1,(BY1555-$BX$31)*$BX$33)),SUM($BU$42:BU1555)/$BV$40))</f>
        <v>0.99999979579982468</v>
      </c>
      <c r="BW1555" s="16">
        <f t="shared" ref="BW1555:BW1618" si="455">BY1555*BZ1555</f>
        <v>8.109140416972432E-6</v>
      </c>
      <c r="BY1555" s="16">
        <f t="shared" ref="BY1555:BY1618" si="456">BY1554+$BZ$1</f>
        <v>151.29999999999569</v>
      </c>
      <c r="BZ1555" s="16">
        <f t="shared" si="446"/>
        <v>5.3596433687856333E-8</v>
      </c>
      <c r="CA1555" s="16">
        <f t="shared" si="453"/>
        <v>-999</v>
      </c>
      <c r="CE1555" s="16" t="e">
        <f t="shared" si="447"/>
        <v>#N/A</v>
      </c>
      <c r="CF1555" s="16">
        <f t="shared" si="448"/>
        <v>99</v>
      </c>
      <c r="CG1555" s="16">
        <f t="shared" si="449"/>
        <v>0</v>
      </c>
      <c r="CH1555" s="16">
        <f t="shared" si="454"/>
        <v>0</v>
      </c>
      <c r="CJ1555" s="16" t="e">
        <f t="shared" si="450"/>
        <v>#N/A</v>
      </c>
      <c r="CK1555" s="16" t="str">
        <f t="shared" si="451"/>
        <v/>
      </c>
    </row>
    <row r="1556" spans="73:89" ht="12" customHeight="1">
      <c r="BU1556" s="16">
        <f t="shared" si="452"/>
        <v>0</v>
      </c>
      <c r="BV1556" s="16">
        <f>IF($BY$12=1,NORMDIST(BY1556,$Y$6,$Y$8,TRUE),IF($BY$12=2,IF(BY1556&lt;=$BX$31,0,IF(BY1556&gt;=$BX$32,1,(BY1556-$BX$31)*$BX$33)),SUM($BU$42:BU1556)/$BV$40))</f>
        <v>0.99999980109214892</v>
      </c>
      <c r="BW1556" s="16">
        <f t="shared" si="455"/>
        <v>7.9114817642755787E-6</v>
      </c>
      <c r="BY1556" s="16">
        <f t="shared" si="456"/>
        <v>151.39999999999569</v>
      </c>
      <c r="BZ1556" s="16">
        <f t="shared" si="446"/>
        <v>5.2255493819523146E-8</v>
      </c>
      <c r="CA1556" s="16">
        <f t="shared" si="453"/>
        <v>-999</v>
      </c>
      <c r="CE1556" s="16" t="e">
        <f t="shared" si="447"/>
        <v>#N/A</v>
      </c>
      <c r="CF1556" s="16">
        <f t="shared" si="448"/>
        <v>99</v>
      </c>
      <c r="CG1556" s="16">
        <f t="shared" si="449"/>
        <v>0</v>
      </c>
      <c r="CH1556" s="16">
        <f t="shared" si="454"/>
        <v>0</v>
      </c>
      <c r="CJ1556" s="16" t="e">
        <f t="shared" si="450"/>
        <v>#N/A</v>
      </c>
      <c r="CK1556" s="16" t="str">
        <f t="shared" si="451"/>
        <v/>
      </c>
    </row>
    <row r="1557" spans="73:89" ht="12" customHeight="1">
      <c r="BU1557" s="16">
        <f t="shared" si="452"/>
        <v>0</v>
      </c>
      <c r="BV1557" s="16">
        <f>IF($BY$12=1,NORMDIST(BY1557,$Y$6,$Y$8,TRUE),IF($BY$12=2,IF(BY1557&lt;=$BX$31,0,IF(BY1557&gt;=$BX$32,1,(BY1557-$BX$31)*$BX$33)),SUM($BU$42:BU1557)/$BV$40))</f>
        <v>0.99999980625199925</v>
      </c>
      <c r="BW1557" s="16">
        <f t="shared" si="455"/>
        <v>7.718444670257211E-6</v>
      </c>
      <c r="BY1557" s="16">
        <f t="shared" si="456"/>
        <v>151.49999999999568</v>
      </c>
      <c r="BZ1557" s="16">
        <f t="shared" si="446"/>
        <v>5.0946829506649715E-8</v>
      </c>
      <c r="CA1557" s="16">
        <f t="shared" si="453"/>
        <v>-999</v>
      </c>
      <c r="CE1557" s="16" t="e">
        <f t="shared" si="447"/>
        <v>#N/A</v>
      </c>
      <c r="CF1557" s="16">
        <f t="shared" si="448"/>
        <v>99</v>
      </c>
      <c r="CG1557" s="16">
        <f t="shared" si="449"/>
        <v>0</v>
      </c>
      <c r="CH1557" s="16">
        <f t="shared" si="454"/>
        <v>0</v>
      </c>
      <c r="CJ1557" s="16" t="e">
        <f t="shared" si="450"/>
        <v>#N/A</v>
      </c>
      <c r="CK1557" s="16" t="str">
        <f t="shared" si="451"/>
        <v/>
      </c>
    </row>
    <row r="1558" spans="73:89" ht="12" customHeight="1">
      <c r="BU1558" s="16">
        <f t="shared" si="452"/>
        <v>0</v>
      </c>
      <c r="BV1558" s="16">
        <f>IF($BY$12=1,NORMDIST(BY1558,$Y$6,$Y$8,TRUE),IF($BY$12=2,IF(BY1558&lt;=$BX$31,0,IF(BY1558&gt;=$BX$32,1,(BY1558-$BX$31)*$BX$33)),SUM($BU$42:BU1558)/$BV$40))</f>
        <v>0.99999981128256588</v>
      </c>
      <c r="BW1558" s="16">
        <f t="shared" si="455"/>
        <v>7.5299260753645964E-6</v>
      </c>
      <c r="BY1558" s="16">
        <f t="shared" si="456"/>
        <v>151.59999999999567</v>
      </c>
      <c r="BZ1558" s="16">
        <f t="shared" si="446"/>
        <v>4.9669697067050208E-8</v>
      </c>
      <c r="CA1558" s="16">
        <f t="shared" si="453"/>
        <v>-999</v>
      </c>
      <c r="CE1558" s="16" t="e">
        <f t="shared" si="447"/>
        <v>#N/A</v>
      </c>
      <c r="CF1558" s="16">
        <f t="shared" si="448"/>
        <v>99</v>
      </c>
      <c r="CG1558" s="16">
        <f t="shared" si="449"/>
        <v>0</v>
      </c>
      <c r="CH1558" s="16">
        <f t="shared" si="454"/>
        <v>0</v>
      </c>
      <c r="CJ1558" s="16" t="e">
        <f t="shared" si="450"/>
        <v>#N/A</v>
      </c>
      <c r="CK1558" s="16" t="str">
        <f t="shared" si="451"/>
        <v/>
      </c>
    </row>
    <row r="1559" spans="73:89" ht="12" customHeight="1">
      <c r="BU1559" s="16">
        <f t="shared" si="452"/>
        <v>0</v>
      </c>
      <c r="BV1559" s="16">
        <f>IF($BY$12=1,NORMDIST(BY1559,$Y$6,$Y$8,TRUE),IF($BY$12=2,IF(BY1559&lt;=$BX$31,0,IF(BY1559&gt;=$BX$32,1,(BY1559-$BX$31)*$BX$33)),SUM($BU$42:BU1559)/$BV$40))</f>
        <v>0.99999981618696543</v>
      </c>
      <c r="BW1559" s="16">
        <f t="shared" si="455"/>
        <v>7.3458250950247369E-6</v>
      </c>
      <c r="BY1559" s="16">
        <f t="shared" si="456"/>
        <v>151.69999999999567</v>
      </c>
      <c r="BZ1559" s="16">
        <f t="shared" si="446"/>
        <v>4.8423369116842098E-8</v>
      </c>
      <c r="CA1559" s="16">
        <f t="shared" si="453"/>
        <v>-999</v>
      </c>
      <c r="CE1559" s="16" t="e">
        <f t="shared" si="447"/>
        <v>#N/A</v>
      </c>
      <c r="CF1559" s="16">
        <f t="shared" si="448"/>
        <v>99</v>
      </c>
      <c r="CG1559" s="16">
        <f t="shared" si="449"/>
        <v>0</v>
      </c>
      <c r="CH1559" s="16">
        <f t="shared" si="454"/>
        <v>0</v>
      </c>
      <c r="CJ1559" s="16" t="e">
        <f t="shared" si="450"/>
        <v>#N/A</v>
      </c>
      <c r="CK1559" s="16" t="str">
        <f t="shared" si="451"/>
        <v/>
      </c>
    </row>
    <row r="1560" spans="73:89" ht="12" customHeight="1">
      <c r="BU1560" s="16">
        <f t="shared" si="452"/>
        <v>0</v>
      </c>
      <c r="BV1560" s="16">
        <f>IF($BY$12=1,NORMDIST(BY1560,$Y$6,$Y$8,TRUE),IF($BY$12=2,IF(BY1560&lt;=$BX$31,0,IF(BY1560&gt;=$BX$32,1,(BY1560-$BX$31)*$BX$33)),SUM($BU$42:BU1560)/$BV$40))</f>
        <v>0.9999998209682428</v>
      </c>
      <c r="BW1560" s="16">
        <f t="shared" si="455"/>
        <v>7.1660429766764199E-6</v>
      </c>
      <c r="BY1560" s="16">
        <f t="shared" si="456"/>
        <v>151.79999999999566</v>
      </c>
      <c r="BZ1560" s="16">
        <f t="shared" si="446"/>
        <v>4.7207134233706353E-8</v>
      </c>
      <c r="CA1560" s="16">
        <f t="shared" si="453"/>
        <v>-999</v>
      </c>
      <c r="CE1560" s="16" t="e">
        <f t="shared" si="447"/>
        <v>#N/A</v>
      </c>
      <c r="CF1560" s="16">
        <f t="shared" si="448"/>
        <v>99</v>
      </c>
      <c r="CG1560" s="16">
        <f t="shared" si="449"/>
        <v>0</v>
      </c>
      <c r="CH1560" s="16">
        <f t="shared" si="454"/>
        <v>0</v>
      </c>
      <c r="CJ1560" s="16" t="e">
        <f t="shared" si="450"/>
        <v>#N/A</v>
      </c>
      <c r="CK1560" s="16" t="str">
        <f t="shared" si="451"/>
        <v/>
      </c>
    </row>
    <row r="1561" spans="73:89" ht="12" customHeight="1">
      <c r="BU1561" s="16">
        <f t="shared" si="452"/>
        <v>0</v>
      </c>
      <c r="BV1561" s="16">
        <f>IF($BY$12=1,NORMDIST(BY1561,$Y$6,$Y$8,TRUE),IF($BY$12=2,IF(BY1561&lt;=$BX$31,0,IF(BY1561&gt;=$BX$32,1,(BY1561-$BX$31)*$BX$33)),SUM($BU$42:BU1561)/$BV$40))</f>
        <v>0.99999982562937217</v>
      </c>
      <c r="BW1561" s="16">
        <f t="shared" si="455"/>
        <v>6.9904830575837972E-6</v>
      </c>
      <c r="BY1561" s="16">
        <f t="shared" si="456"/>
        <v>151.89999999999566</v>
      </c>
      <c r="BZ1561" s="16">
        <f t="shared" si="446"/>
        <v>4.6020296626622758E-8</v>
      </c>
      <c r="CA1561" s="16">
        <f t="shared" si="453"/>
        <v>-999</v>
      </c>
      <c r="CE1561" s="16" t="e">
        <f t="shared" si="447"/>
        <v>#N/A</v>
      </c>
      <c r="CF1561" s="16">
        <f t="shared" si="448"/>
        <v>99</v>
      </c>
      <c r="CG1561" s="16">
        <f t="shared" si="449"/>
        <v>0</v>
      </c>
      <c r="CH1561" s="16">
        <f t="shared" si="454"/>
        <v>0</v>
      </c>
      <c r="CJ1561" s="16" t="e">
        <f t="shared" si="450"/>
        <v>#N/A</v>
      </c>
      <c r="CK1561" s="16" t="str">
        <f t="shared" si="451"/>
        <v/>
      </c>
    </row>
    <row r="1562" spans="73:89" ht="12" customHeight="1">
      <c r="BU1562" s="16">
        <f t="shared" si="452"/>
        <v>0</v>
      </c>
      <c r="BV1562" s="16">
        <f>IF($BY$12=1,NORMDIST(BY1562,$Y$6,$Y$8,TRUE),IF($BY$12=2,IF(BY1562&lt;=$BX$31,0,IF(BY1562&gt;=$BX$32,1,(BY1562-$BX$31)*$BX$33)),SUM($BU$42:BU1562)/$BV$40))</f>
        <v>0.99999983017325933</v>
      </c>
      <c r="BW1562" s="16">
        <f t="shared" si="455"/>
        <v>6.8190507234187E-6</v>
      </c>
      <c r="BY1562" s="16">
        <f t="shared" si="456"/>
        <v>151.99999999999565</v>
      </c>
      <c r="BZ1562" s="16">
        <f t="shared" si="446"/>
        <v>4.4862175811966413E-8</v>
      </c>
      <c r="CA1562" s="16">
        <f t="shared" si="453"/>
        <v>-999</v>
      </c>
      <c r="CE1562" s="16" t="e">
        <f t="shared" si="447"/>
        <v>#N/A</v>
      </c>
      <c r="CF1562" s="16">
        <f t="shared" si="448"/>
        <v>99</v>
      </c>
      <c r="CG1562" s="16">
        <f t="shared" si="449"/>
        <v>0</v>
      </c>
      <c r="CH1562" s="16">
        <f t="shared" si="454"/>
        <v>0</v>
      </c>
      <c r="CJ1562" s="16" t="e">
        <f t="shared" si="450"/>
        <v>#N/A</v>
      </c>
      <c r="CK1562" s="16" t="str">
        <f t="shared" si="451"/>
        <v/>
      </c>
    </row>
    <row r="1563" spans="73:89" ht="12" customHeight="1">
      <c r="BU1563" s="16">
        <f t="shared" si="452"/>
        <v>0</v>
      </c>
      <c r="BV1563" s="16">
        <f>IF($BY$12=1,NORMDIST(BY1563,$Y$6,$Y$8,TRUE),IF($BY$12=2,IF(BY1563&lt;=$BX$31,0,IF(BY1563&gt;=$BX$32,1,(BY1563-$BX$31)*$BX$33)),SUM($BU$42:BU1563)/$BV$40))</f>
        <v>0.99999983460274233</v>
      </c>
      <c r="BW1563" s="16">
        <f t="shared" si="455"/>
        <v>6.6516533675993903E-6</v>
      </c>
      <c r="BY1563" s="16">
        <f t="shared" si="456"/>
        <v>152.09999999999565</v>
      </c>
      <c r="BZ1563" s="16">
        <f t="shared" si="446"/>
        <v>4.3732106295855233E-8</v>
      </c>
      <c r="CA1563" s="16">
        <f t="shared" si="453"/>
        <v>-999</v>
      </c>
      <c r="CE1563" s="16" t="e">
        <f t="shared" si="447"/>
        <v>#N/A</v>
      </c>
      <c r="CF1563" s="16">
        <f t="shared" si="448"/>
        <v>99</v>
      </c>
      <c r="CG1563" s="16">
        <f t="shared" si="449"/>
        <v>0</v>
      </c>
      <c r="CH1563" s="16">
        <f t="shared" si="454"/>
        <v>0</v>
      </c>
      <c r="CJ1563" s="16" t="e">
        <f t="shared" si="450"/>
        <v>#N/A</v>
      </c>
      <c r="CK1563" s="16" t="str">
        <f t="shared" si="451"/>
        <v/>
      </c>
    </row>
    <row r="1564" spans="73:89" ht="12" customHeight="1">
      <c r="BU1564" s="16">
        <f t="shared" si="452"/>
        <v>0</v>
      </c>
      <c r="BV1564" s="16">
        <f>IF($BY$12=1,NORMDIST(BY1564,$Y$6,$Y$8,TRUE),IF($BY$12=2,IF(BY1564&lt;=$BX$31,0,IF(BY1564&gt;=$BX$32,1,(BY1564-$BX$31)*$BX$33)),SUM($BU$42:BU1564)/$BV$40))</f>
        <v>0.99999983892059385</v>
      </c>
      <c r="BW1564" s="16">
        <f t="shared" si="455"/>
        <v>6.4882003513731435E-6</v>
      </c>
      <c r="BY1564" s="16">
        <f t="shared" si="456"/>
        <v>152.19999999999564</v>
      </c>
      <c r="BZ1564" s="16">
        <f t="shared" si="446"/>
        <v>4.2629437262636853E-8</v>
      </c>
      <c r="CA1564" s="16">
        <f t="shared" si="453"/>
        <v>-999</v>
      </c>
      <c r="CE1564" s="16" t="e">
        <f t="shared" si="447"/>
        <v>#N/A</v>
      </c>
      <c r="CF1564" s="16">
        <f t="shared" si="448"/>
        <v>99</v>
      </c>
      <c r="CG1564" s="16">
        <f t="shared" si="449"/>
        <v>0</v>
      </c>
      <c r="CH1564" s="16">
        <f t="shared" si="454"/>
        <v>0</v>
      </c>
      <c r="CJ1564" s="16" t="e">
        <f t="shared" si="450"/>
        <v>#N/A</v>
      </c>
      <c r="CK1564" s="16" t="str">
        <f t="shared" si="451"/>
        <v/>
      </c>
    </row>
    <row r="1565" spans="73:89" ht="12" customHeight="1">
      <c r="BU1565" s="16">
        <f t="shared" si="452"/>
        <v>0</v>
      </c>
      <c r="BV1565" s="16">
        <f>IF($BY$12=1,NORMDIST(BY1565,$Y$6,$Y$8,TRUE),IF($BY$12=2,IF(BY1565&lt;=$BX$31,0,IF(BY1565&gt;=$BX$32,1,(BY1565-$BX$31)*$BX$33)),SUM($BU$42:BU1565)/$BV$40))</f>
        <v>0.99999984312952195</v>
      </c>
      <c r="BW1565" s="16">
        <f t="shared" si="455"/>
        <v>6.3286029646304729E-6</v>
      </c>
      <c r="BY1565" s="16">
        <f t="shared" si="456"/>
        <v>152.29999999999563</v>
      </c>
      <c r="BZ1565" s="16">
        <f t="shared" si="446"/>
        <v>4.1553532269406789E-8</v>
      </c>
      <c r="CA1565" s="16">
        <f t="shared" si="453"/>
        <v>-999</v>
      </c>
      <c r="CE1565" s="16" t="e">
        <f t="shared" si="447"/>
        <v>#N/A</v>
      </c>
      <c r="CF1565" s="16">
        <f t="shared" si="448"/>
        <v>99</v>
      </c>
      <c r="CG1565" s="16">
        <f t="shared" si="449"/>
        <v>0</v>
      </c>
      <c r="CH1565" s="16">
        <f t="shared" si="454"/>
        <v>0</v>
      </c>
      <c r="CJ1565" s="16" t="e">
        <f t="shared" si="450"/>
        <v>#N/A</v>
      </c>
      <c r="CK1565" s="16" t="str">
        <f t="shared" si="451"/>
        <v/>
      </c>
    </row>
    <row r="1566" spans="73:89" ht="12" customHeight="1">
      <c r="BU1566" s="16">
        <f t="shared" si="452"/>
        <v>0</v>
      </c>
      <c r="BV1566" s="16">
        <f>IF($BY$12=1,NORMDIST(BY1566,$Y$6,$Y$8,TRUE),IF($BY$12=2,IF(BY1566&lt;=$BX$31,0,IF(BY1566&gt;=$BX$32,1,(BY1566-$BX$31)*$BX$33)),SUM($BU$42:BU1566)/$BV$40))</f>
        <v>0.99999984723217172</v>
      </c>
      <c r="BW1566" s="16">
        <f t="shared" si="455"/>
        <v>6.1727743874391137E-6</v>
      </c>
      <c r="BY1566" s="16">
        <f t="shared" si="456"/>
        <v>152.39999999999563</v>
      </c>
      <c r="BZ1566" s="16">
        <f t="shared" si="446"/>
        <v>4.0503768946452039E-8</v>
      </c>
      <c r="CA1566" s="16">
        <f t="shared" si="453"/>
        <v>-999</v>
      </c>
      <c r="CE1566" s="16" t="e">
        <f t="shared" si="447"/>
        <v>#N/A</v>
      </c>
      <c r="CF1566" s="16">
        <f t="shared" si="448"/>
        <v>99</v>
      </c>
      <c r="CG1566" s="16">
        <f t="shared" si="449"/>
        <v>0</v>
      </c>
      <c r="CH1566" s="16">
        <f t="shared" si="454"/>
        <v>0</v>
      </c>
      <c r="CJ1566" s="16" t="e">
        <f t="shared" si="450"/>
        <v>#N/A</v>
      </c>
      <c r="CK1566" s="16" t="str">
        <f t="shared" si="451"/>
        <v/>
      </c>
    </row>
    <row r="1567" spans="73:89" ht="12" customHeight="1">
      <c r="BU1567" s="16">
        <f t="shared" si="452"/>
        <v>0</v>
      </c>
      <c r="BV1567" s="16">
        <f>IF($BY$12=1,NORMDIST(BY1567,$Y$6,$Y$8,TRUE),IF($BY$12=2,IF(BY1567&lt;=$BX$31,0,IF(BY1567&gt;=$BX$32,1,(BY1567-$BX$31)*$BX$33)),SUM($BU$42:BU1567)/$BV$40))</f>
        <v>0.99999985123112678</v>
      </c>
      <c r="BW1567" s="16">
        <f t="shared" si="455"/>
        <v>6.0206296522857457E-6</v>
      </c>
      <c r="BY1567" s="16">
        <f t="shared" si="456"/>
        <v>152.49999999999562</v>
      </c>
      <c r="BZ1567" s="16">
        <f t="shared" si="446"/>
        <v>3.9479538703514218E-8</v>
      </c>
      <c r="CA1567" s="16">
        <f t="shared" si="453"/>
        <v>-999</v>
      </c>
      <c r="CE1567" s="16" t="e">
        <f t="shared" si="447"/>
        <v>#N/A</v>
      </c>
      <c r="CF1567" s="16">
        <f t="shared" si="448"/>
        <v>99</v>
      </c>
      <c r="CG1567" s="16">
        <f t="shared" si="449"/>
        <v>0</v>
      </c>
      <c r="CH1567" s="16">
        <f t="shared" si="454"/>
        <v>0</v>
      </c>
      <c r="CJ1567" s="16" t="e">
        <f t="shared" si="450"/>
        <v>#N/A</v>
      </c>
      <c r="CK1567" s="16" t="str">
        <f t="shared" si="451"/>
        <v/>
      </c>
    </row>
    <row r="1568" spans="73:89" ht="12" customHeight="1">
      <c r="BU1568" s="16">
        <f t="shared" si="452"/>
        <v>0</v>
      </c>
      <c r="BV1568" s="16">
        <f>IF($BY$12=1,NORMDIST(BY1568,$Y$6,$Y$8,TRUE),IF($BY$12=2,IF(BY1568&lt;=$BX$31,0,IF(BY1568&gt;=$BX$32,1,(BY1568-$BX$31)*$BX$33)),SUM($BU$42:BU1568)/$BV$40))</f>
        <v>0.99999985512891065</v>
      </c>
      <c r="BW1568" s="16">
        <f t="shared" si="455"/>
        <v>5.8720856070137771E-6</v>
      </c>
      <c r="BY1568" s="16">
        <f t="shared" si="456"/>
        <v>152.59999999999562</v>
      </c>
      <c r="BZ1568" s="16">
        <f t="shared" si="446"/>
        <v>3.8480246441768978E-8</v>
      </c>
      <c r="CA1568" s="16">
        <f t="shared" si="453"/>
        <v>-999</v>
      </c>
      <c r="CE1568" s="16" t="e">
        <f t="shared" si="447"/>
        <v>#N/A</v>
      </c>
      <c r="CF1568" s="16">
        <f t="shared" si="448"/>
        <v>99</v>
      </c>
      <c r="CG1568" s="16">
        <f t="shared" si="449"/>
        <v>0</v>
      </c>
      <c r="CH1568" s="16">
        <f t="shared" si="454"/>
        <v>0</v>
      </c>
      <c r="CJ1568" s="16" t="e">
        <f t="shared" si="450"/>
        <v>#N/A</v>
      </c>
      <c r="CK1568" s="16" t="str">
        <f t="shared" si="451"/>
        <v/>
      </c>
    </row>
    <row r="1569" spans="73:89" ht="12" customHeight="1">
      <c r="BU1569" s="16">
        <f t="shared" si="452"/>
        <v>0</v>
      </c>
      <c r="BV1569" s="16">
        <f>IF($BY$12=1,NORMDIST(BY1569,$Y$6,$Y$8,TRUE),IF($BY$12=2,IF(BY1569&lt;=$BX$31,0,IF(BY1569&gt;=$BX$32,1,(BY1569-$BX$31)*$BX$33)),SUM($BU$42:BU1569)/$BV$40))</f>
        <v>0.99999985892798793</v>
      </c>
      <c r="BW1569" s="16">
        <f t="shared" si="455"/>
        <v>5.7270608784456744E-6</v>
      </c>
      <c r="BY1569" s="16">
        <f t="shared" si="456"/>
        <v>152.69999999999561</v>
      </c>
      <c r="BZ1569" s="16">
        <f t="shared" si="446"/>
        <v>3.7505310271420032E-8</v>
      </c>
      <c r="CA1569" s="16">
        <f t="shared" si="453"/>
        <v>-999</v>
      </c>
      <c r="CE1569" s="16" t="e">
        <f t="shared" si="447"/>
        <v>#N/A</v>
      </c>
      <c r="CF1569" s="16">
        <f t="shared" si="448"/>
        <v>99</v>
      </c>
      <c r="CG1569" s="16">
        <f t="shared" si="449"/>
        <v>0</v>
      </c>
      <c r="CH1569" s="16">
        <f t="shared" si="454"/>
        <v>0</v>
      </c>
      <c r="CJ1569" s="16" t="e">
        <f t="shared" si="450"/>
        <v>#N/A</v>
      </c>
      <c r="CK1569" s="16" t="str">
        <f t="shared" si="451"/>
        <v/>
      </c>
    </row>
    <row r="1570" spans="73:89" ht="12" customHeight="1">
      <c r="BU1570" s="16">
        <f t="shared" si="452"/>
        <v>0</v>
      </c>
      <c r="BV1570" s="16">
        <f>IF($BY$12=1,NORMDIST(BY1570,$Y$6,$Y$8,TRUE),IF($BY$12=2,IF(BY1570&lt;=$BX$31,0,IF(BY1570&gt;=$BX$32,1,(BY1570-$BX$31)*$BX$33)),SUM($BU$42:BU1570)/$BV$40))</f>
        <v>0.99999986263076568</v>
      </c>
      <c r="BW1570" s="16">
        <f t="shared" si="455"/>
        <v>5.585475836678615E-6</v>
      </c>
      <c r="BY1570" s="16">
        <f t="shared" si="456"/>
        <v>152.79999999999561</v>
      </c>
      <c r="BZ1570" s="16">
        <f t="shared" si="446"/>
        <v>3.6554161234808742E-8</v>
      </c>
      <c r="CA1570" s="16">
        <f t="shared" si="453"/>
        <v>-999</v>
      </c>
      <c r="CE1570" s="16" t="e">
        <f t="shared" si="447"/>
        <v>#N/A</v>
      </c>
      <c r="CF1570" s="16">
        <f t="shared" si="448"/>
        <v>99</v>
      </c>
      <c r="CG1570" s="16">
        <f t="shared" si="449"/>
        <v>0</v>
      </c>
      <c r="CH1570" s="16">
        <f t="shared" si="454"/>
        <v>0</v>
      </c>
      <c r="CJ1570" s="16" t="e">
        <f t="shared" si="450"/>
        <v>#N/A</v>
      </c>
      <c r="CK1570" s="16" t="str">
        <f t="shared" si="451"/>
        <v/>
      </c>
    </row>
    <row r="1571" spans="73:89" ht="12" customHeight="1">
      <c r="BU1571" s="16">
        <f t="shared" si="452"/>
        <v>0</v>
      </c>
      <c r="BV1571" s="16">
        <f>IF($BY$12=1,NORMDIST(BY1571,$Y$6,$Y$8,TRUE),IF($BY$12=2,IF(BY1571&lt;=$BX$31,0,IF(BY1571&gt;=$BX$32,1,(BY1571-$BX$31)*$BX$33)),SUM($BU$42:BU1571)/$BV$40))</f>
        <v>0.99999986623959458</v>
      </c>
      <c r="BW1571" s="16">
        <f t="shared" si="455"/>
        <v>5.4472525600418563E-6</v>
      </c>
      <c r="BY1571" s="16">
        <f t="shared" si="456"/>
        <v>152.8999999999956</v>
      </c>
      <c r="BZ1571" s="16">
        <f t="shared" si="446"/>
        <v>3.5626243034937951E-8</v>
      </c>
      <c r="CA1571" s="16">
        <f t="shared" si="453"/>
        <v>-999</v>
      </c>
      <c r="CE1571" s="16" t="e">
        <f t="shared" si="447"/>
        <v>#N/A</v>
      </c>
      <c r="CF1571" s="16">
        <f t="shared" si="448"/>
        <v>99</v>
      </c>
      <c r="CG1571" s="16">
        <f t="shared" si="449"/>
        <v>0</v>
      </c>
      <c r="CH1571" s="16">
        <f t="shared" si="454"/>
        <v>0</v>
      </c>
      <c r="CJ1571" s="16" t="e">
        <f t="shared" si="450"/>
        <v>#N/A</v>
      </c>
      <c r="CK1571" s="16" t="str">
        <f t="shared" si="451"/>
        <v/>
      </c>
    </row>
    <row r="1572" spans="73:89" ht="12" customHeight="1">
      <c r="BU1572" s="16">
        <f t="shared" si="452"/>
        <v>0</v>
      </c>
      <c r="BV1572" s="16">
        <f>IF($BY$12=1,NORMDIST(BY1572,$Y$6,$Y$8,TRUE),IF($BY$12=2,IF(BY1572&lt;=$BX$31,0,IF(BY1572&gt;=$BX$32,1,(BY1572-$BX$31)*$BX$33)),SUM($BU$42:BU1572)/$BV$40))</f>
        <v>0.99999986975677047</v>
      </c>
      <c r="BW1572" s="16">
        <f t="shared" si="455"/>
        <v>5.3123148007052196E-6</v>
      </c>
      <c r="BY1572" s="16">
        <f t="shared" si="456"/>
        <v>152.99999999999559</v>
      </c>
      <c r="BZ1572" s="16">
        <f t="shared" si="446"/>
        <v>3.4721011769316163E-8</v>
      </c>
      <c r="CA1572" s="16">
        <f t="shared" si="453"/>
        <v>-999</v>
      </c>
      <c r="CE1572" s="16" t="e">
        <f t="shared" si="447"/>
        <v>#N/A</v>
      </c>
      <c r="CF1572" s="16">
        <f t="shared" si="448"/>
        <v>99</v>
      </c>
      <c r="CG1572" s="16">
        <f t="shared" si="449"/>
        <v>0</v>
      </c>
      <c r="CH1572" s="16">
        <f t="shared" si="454"/>
        <v>0</v>
      </c>
      <c r="CJ1572" s="16" t="e">
        <f t="shared" si="450"/>
        <v>#N/A</v>
      </c>
      <c r="CK1572" s="16" t="str">
        <f t="shared" si="451"/>
        <v/>
      </c>
    </row>
    <row r="1573" spans="73:89" ht="12" customHeight="1">
      <c r="BU1573" s="16">
        <f t="shared" si="452"/>
        <v>0</v>
      </c>
      <c r="BV1573" s="16">
        <f>IF($BY$12=1,NORMDIST(BY1573,$Y$6,$Y$8,TRUE),IF($BY$12=2,IF(BY1573&lt;=$BX$31,0,IF(BY1573&gt;=$BX$32,1,(BY1573-$BX$31)*$BX$33)),SUM($BU$42:BU1573)/$BV$40))</f>
        <v>0.99999987318453543</v>
      </c>
      <c r="BW1573" s="16">
        <f t="shared" si="455"/>
        <v>5.1805879509275092E-6</v>
      </c>
      <c r="BY1573" s="16">
        <f t="shared" si="456"/>
        <v>153.09999999999559</v>
      </c>
      <c r="BZ1573" s="16">
        <f t="shared" si="446"/>
        <v>3.383793566902455E-8</v>
      </c>
      <c r="CA1573" s="16">
        <f t="shared" si="453"/>
        <v>-999</v>
      </c>
      <c r="CE1573" s="16" t="e">
        <f t="shared" si="447"/>
        <v>#N/A</v>
      </c>
      <c r="CF1573" s="16">
        <f t="shared" si="448"/>
        <v>99</v>
      </c>
      <c r="CG1573" s="16">
        <f t="shared" si="449"/>
        <v>0</v>
      </c>
      <c r="CH1573" s="16">
        <f t="shared" si="454"/>
        <v>0</v>
      </c>
      <c r="CJ1573" s="16" t="e">
        <f t="shared" si="450"/>
        <v>#N/A</v>
      </c>
      <c r="CK1573" s="16" t="str">
        <f t="shared" si="451"/>
        <v/>
      </c>
    </row>
    <row r="1574" spans="73:89" ht="12" customHeight="1">
      <c r="BU1574" s="16">
        <f t="shared" si="452"/>
        <v>0</v>
      </c>
      <c r="BV1574" s="16">
        <f>IF($BY$12=1,NORMDIST(BY1574,$Y$6,$Y$8,TRUE),IF($BY$12=2,IF(BY1574&lt;=$BX$31,0,IF(BY1574&gt;=$BX$32,1,(BY1574-$BX$31)*$BX$33)),SUM($BU$42:BU1574)/$BV$40))</f>
        <v>0.99999987652507871</v>
      </c>
      <c r="BW1574" s="16">
        <f t="shared" si="455"/>
        <v>5.0519990099342309E-6</v>
      </c>
      <c r="BY1574" s="16">
        <f t="shared" si="456"/>
        <v>153.19999999999558</v>
      </c>
      <c r="BZ1574" s="16">
        <f t="shared" si="446"/>
        <v>3.2976494842913683E-8</v>
      </c>
      <c r="CA1574" s="16">
        <f t="shared" si="453"/>
        <v>-999</v>
      </c>
      <c r="CE1574" s="16" t="e">
        <f t="shared" si="447"/>
        <v>#N/A</v>
      </c>
      <c r="CF1574" s="16">
        <f t="shared" si="448"/>
        <v>99</v>
      </c>
      <c r="CG1574" s="16">
        <f t="shared" si="449"/>
        <v>0</v>
      </c>
      <c r="CH1574" s="16">
        <f t="shared" si="454"/>
        <v>0</v>
      </c>
      <c r="CJ1574" s="16" t="e">
        <f t="shared" si="450"/>
        <v>#N/A</v>
      </c>
      <c r="CK1574" s="16" t="str">
        <f t="shared" si="451"/>
        <v/>
      </c>
    </row>
    <row r="1575" spans="73:89" ht="12" customHeight="1">
      <c r="BU1575" s="16">
        <f t="shared" si="452"/>
        <v>0</v>
      </c>
      <c r="BV1575" s="16">
        <f>IF($BY$12=1,NORMDIST(BY1575,$Y$6,$Y$8,TRUE),IF($BY$12=2,IF(BY1575&lt;=$BX$31,0,IF(BY1575&gt;=$BX$32,1,(BY1575-$BX$31)*$BX$33)),SUM($BU$42:BU1575)/$BV$40))</f>
        <v>0.99999987978053861</v>
      </c>
      <c r="BW1575" s="16">
        <f t="shared" si="455"/>
        <v>4.926476551413953E-6</v>
      </c>
      <c r="BY1575" s="16">
        <f t="shared" si="456"/>
        <v>153.29999999999558</v>
      </c>
      <c r="BZ1575" s="16">
        <f t="shared" si="446"/>
        <v>3.2136181026836888E-8</v>
      </c>
      <c r="CA1575" s="16">
        <f t="shared" si="453"/>
        <v>-999</v>
      </c>
      <c r="CE1575" s="16" t="e">
        <f t="shared" si="447"/>
        <v>#N/A</v>
      </c>
      <c r="CF1575" s="16">
        <f t="shared" si="448"/>
        <v>99</v>
      </c>
      <c r="CG1575" s="16">
        <f t="shared" si="449"/>
        <v>0</v>
      </c>
      <c r="CH1575" s="16">
        <f t="shared" si="454"/>
        <v>0</v>
      </c>
      <c r="CJ1575" s="16" t="e">
        <f t="shared" si="450"/>
        <v>#N/A</v>
      </c>
      <c r="CK1575" s="16" t="str">
        <f t="shared" si="451"/>
        <v/>
      </c>
    </row>
    <row r="1576" spans="73:89" ht="12" customHeight="1">
      <c r="BU1576" s="16">
        <f t="shared" si="452"/>
        <v>0</v>
      </c>
      <c r="BV1576" s="16">
        <f>IF($BY$12=1,NORMDIST(BY1576,$Y$6,$Y$8,TRUE),IF($BY$12=2,IF(BY1576&lt;=$BX$31,0,IF(BY1576&gt;=$BX$32,1,(BY1576-$BX$31)*$BX$33)),SUM($BU$42:BU1576)/$BV$40))</f>
        <v>0.99999988295300257</v>
      </c>
      <c r="BW1576" s="16">
        <f t="shared" si="455"/>
        <v>4.8039506916230343E-6</v>
      </c>
      <c r="BY1576" s="16">
        <f t="shared" si="456"/>
        <v>153.39999999999557</v>
      </c>
      <c r="BZ1576" s="16">
        <f t="shared" si="446"/>
        <v>3.1316497337830333E-8</v>
      </c>
      <c r="CA1576" s="16">
        <f t="shared" si="453"/>
        <v>-999</v>
      </c>
      <c r="CE1576" s="16" t="e">
        <f t="shared" si="447"/>
        <v>#N/A</v>
      </c>
      <c r="CF1576" s="16">
        <f t="shared" si="448"/>
        <v>99</v>
      </c>
      <c r="CG1576" s="16">
        <f t="shared" si="449"/>
        <v>0</v>
      </c>
      <c r="CH1576" s="16">
        <f t="shared" si="454"/>
        <v>0</v>
      </c>
      <c r="CJ1576" s="16" t="e">
        <f t="shared" si="450"/>
        <v>#N/A</v>
      </c>
      <c r="CK1576" s="16" t="str">
        <f t="shared" si="451"/>
        <v/>
      </c>
    </row>
    <row r="1577" spans="73:89" ht="12" customHeight="1">
      <c r="BU1577" s="16">
        <f t="shared" si="452"/>
        <v>0</v>
      </c>
      <c r="BV1577" s="16">
        <f>IF($BY$12=1,NORMDIST(BY1577,$Y$6,$Y$8,TRUE),IF($BY$12=2,IF(BY1577&lt;=$BX$31,0,IF(BY1577&gt;=$BX$32,1,(BY1577-$BX$31)*$BX$33)),SUM($BU$42:BU1577)/$BV$40))</f>
        <v>0.99999988604450951</v>
      </c>
      <c r="BW1577" s="16">
        <f t="shared" si="455"/>
        <v>4.6843530580882949E-6</v>
      </c>
      <c r="BY1577" s="16">
        <f t="shared" si="456"/>
        <v>153.49999999999557</v>
      </c>
      <c r="BZ1577" s="16">
        <f t="shared" si="446"/>
        <v>3.0516958033149383E-8</v>
      </c>
      <c r="CA1577" s="16">
        <f t="shared" si="453"/>
        <v>-999</v>
      </c>
      <c r="CE1577" s="16" t="e">
        <f t="shared" si="447"/>
        <v>#N/A</v>
      </c>
      <c r="CF1577" s="16">
        <f t="shared" si="448"/>
        <v>99</v>
      </c>
      <c r="CG1577" s="16">
        <f t="shared" si="449"/>
        <v>0</v>
      </c>
      <c r="CH1577" s="16">
        <f t="shared" si="454"/>
        <v>0</v>
      </c>
      <c r="CJ1577" s="16" t="e">
        <f t="shared" si="450"/>
        <v>#N/A</v>
      </c>
      <c r="CK1577" s="16" t="str">
        <f t="shared" si="451"/>
        <v/>
      </c>
    </row>
    <row r="1578" spans="73:89" ht="12" customHeight="1">
      <c r="BU1578" s="16">
        <f t="shared" si="452"/>
        <v>0</v>
      </c>
      <c r="BV1578" s="16">
        <f>IF($BY$12=1,NORMDIST(BY1578,$Y$6,$Y$8,TRUE),IF($BY$12=2,IF(BY1578&lt;=$BX$31,0,IF(BY1578&gt;=$BX$32,1,(BY1578-$BX$31)*$BX$33)),SUM($BU$42:BU1578)/$BV$40))</f>
        <v>0.99999988905704984</v>
      </c>
      <c r="BW1578" s="16">
        <f t="shared" si="455"/>
        <v>4.5676167588974713E-6</v>
      </c>
      <c r="BY1578" s="16">
        <f t="shared" si="456"/>
        <v>153.59999999999556</v>
      </c>
      <c r="BZ1578" s="16">
        <f t="shared" ref="BZ1578:BZ1641" si="457">IF($BZ$5,IF($BY$12=1,NORMDIST(BY1578,$Y$6,$Y$8,FALSE),IF($BY$12=2,IF(AND(BY1578&gt;=$BX$31,BY1578&lt;=$BX$32),$BX$33,0),IF(BY1578&lt;=$BX$13,0,NORMDIST(LN((BY1578-$BX$13)/$BX$12),0,$BW$8,FALSE)/((BY1578-$BX$13)/$BX$12)))),-999)</f>
        <v>2.9737088274072937E-8</v>
      </c>
      <c r="CA1578" s="16">
        <f t="shared" si="453"/>
        <v>-999</v>
      </c>
      <c r="CE1578" s="16" t="e">
        <f t="shared" ref="CE1578:CE1641" si="458">IF(AND($CB$7,$CD$2,$CD$1),26+$P$23/2-CC1578*$P$23,NA())</f>
        <v>#N/A</v>
      </c>
      <c r="CF1578" s="16">
        <f t="shared" ref="CF1578:CF1641" si="459">IF(ISNA(CJ1578),99,CJ1578)</f>
        <v>99</v>
      </c>
      <c r="CG1578" s="16">
        <f t="shared" ref="CG1578:CG1641" si="460">IF(ISNA(CJ1578),0,CJ1578)</f>
        <v>0</v>
      </c>
      <c r="CH1578" s="16">
        <f t="shared" si="454"/>
        <v>0</v>
      </c>
      <c r="CJ1578" s="16" t="e">
        <f t="shared" ref="CJ1578:CJ1641" si="461">IF(CH1578=1,CE1578,NA())</f>
        <v>#N/A</v>
      </c>
      <c r="CK1578" s="16" t="str">
        <f t="shared" ref="CK1578:CK1641" si="462">IF(CH1578=1,M1477,"")</f>
        <v/>
      </c>
    </row>
    <row r="1579" spans="73:89" ht="12" customHeight="1">
      <c r="BU1579" s="16">
        <f t="shared" ref="BU1579:BU1642" si="463">IF($BY$12&lt;3,0,IF(BY1579&lt;=$BX$13,0,NORMDIST(LN((BY1579-$BX$13)/$BX$12),0,$BW$8,FALSE)/((BY1579-$BX$13)/$BX$12)))</f>
        <v>0</v>
      </c>
      <c r="BV1579" s="16">
        <f>IF($BY$12=1,NORMDIST(BY1579,$Y$6,$Y$8,TRUE),IF($BY$12=2,IF(BY1579&lt;=$BX$31,0,IF(BY1579&gt;=$BX$32,1,(BY1579-$BX$31)*$BX$33)),SUM($BU$42:BU1579)/$BV$40))</f>
        <v>0.99999989199256734</v>
      </c>
      <c r="BW1579" s="16">
        <f t="shared" si="455"/>
        <v>4.4536763525677459E-6</v>
      </c>
      <c r="BY1579" s="16">
        <f t="shared" si="456"/>
        <v>153.69999999999555</v>
      </c>
      <c r="BZ1579" s="16">
        <f t="shared" si="457"/>
        <v>2.8976423894390857E-8</v>
      </c>
      <c r="CA1579" s="16">
        <f t="shared" ref="CA1579:CA1642" si="464">IF(AND($CD$1,$CD$3),26-$CD$40*NORMDIST(BY1579,$Y$6,$Y$8/SQRT($T$18),FALSE),-999)</f>
        <v>-999</v>
      </c>
      <c r="CE1579" s="16" t="e">
        <f t="shared" si="458"/>
        <v>#N/A</v>
      </c>
      <c r="CF1579" s="16">
        <f t="shared" si="459"/>
        <v>99</v>
      </c>
      <c r="CG1579" s="16">
        <f t="shared" si="460"/>
        <v>0</v>
      </c>
      <c r="CH1579" s="16">
        <f t="shared" si="454"/>
        <v>0</v>
      </c>
      <c r="CJ1579" s="16" t="e">
        <f t="shared" si="461"/>
        <v>#N/A</v>
      </c>
      <c r="CK1579" s="16" t="str">
        <f t="shared" si="462"/>
        <v/>
      </c>
    </row>
    <row r="1580" spans="73:89" ht="12" customHeight="1">
      <c r="BU1580" s="16">
        <f t="shared" si="463"/>
        <v>0</v>
      </c>
      <c r="BV1580" s="16">
        <f>IF($BY$12=1,NORMDIST(BY1580,$Y$6,$Y$8,TRUE),IF($BY$12=2,IF(BY1580&lt;=$BX$31,0,IF(BY1580&gt;=$BX$32,1,(BY1580-$BX$31)*$BX$33)),SUM($BU$42:BU1580)/$BV$40))</f>
        <v>0.9999998948529597</v>
      </c>
      <c r="BW1580" s="16">
        <f t="shared" si="455"/>
        <v>4.3424678184820899E-6</v>
      </c>
      <c r="BY1580" s="16">
        <f t="shared" si="456"/>
        <v>153.79999999999555</v>
      </c>
      <c r="BZ1580" s="16">
        <f t="shared" si="457"/>
        <v>2.823451117348645E-8</v>
      </c>
      <c r="CA1580" s="16">
        <f t="shared" si="464"/>
        <v>-999</v>
      </c>
      <c r="CE1580" s="16" t="e">
        <f t="shared" si="458"/>
        <v>#N/A</v>
      </c>
      <c r="CF1580" s="16">
        <f t="shared" si="459"/>
        <v>99</v>
      </c>
      <c r="CG1580" s="16">
        <f t="shared" si="460"/>
        <v>0</v>
      </c>
      <c r="CH1580" s="16">
        <f t="shared" si="454"/>
        <v>0</v>
      </c>
      <c r="CJ1580" s="16" t="e">
        <f t="shared" si="461"/>
        <v>#N/A</v>
      </c>
      <c r="CK1580" s="16" t="str">
        <f t="shared" si="462"/>
        <v/>
      </c>
    </row>
    <row r="1581" spans="73:89" ht="12" customHeight="1">
      <c r="BU1581" s="16">
        <f t="shared" si="463"/>
        <v>0</v>
      </c>
      <c r="BV1581" s="16">
        <f>IF($BY$12=1,NORMDIST(BY1581,$Y$6,$Y$8,TRUE),IF($BY$12=2,IF(BY1581&lt;=$BX$31,0,IF(BY1581&gt;=$BX$32,1,(BY1581-$BX$31)*$BX$33)),SUM($BU$42:BU1581)/$BV$40))</f>
        <v>0.99999989764007979</v>
      </c>
      <c r="BW1581" s="16">
        <f t="shared" si="455"/>
        <v>4.2339285278841508E-6</v>
      </c>
      <c r="BY1581" s="16">
        <f t="shared" si="456"/>
        <v>153.89999999999554</v>
      </c>
      <c r="BZ1581" s="16">
        <f t="shared" si="457"/>
        <v>2.7510906613932899E-8</v>
      </c>
      <c r="CA1581" s="16">
        <f t="shared" si="464"/>
        <v>-999</v>
      </c>
      <c r="CE1581" s="16" t="e">
        <f t="shared" si="458"/>
        <v>#N/A</v>
      </c>
      <c r="CF1581" s="16">
        <f t="shared" si="459"/>
        <v>99</v>
      </c>
      <c r="CG1581" s="16">
        <f t="shared" si="460"/>
        <v>0</v>
      </c>
      <c r="CH1581" s="16">
        <f t="shared" si="454"/>
        <v>0</v>
      </c>
      <c r="CJ1581" s="16" t="e">
        <f t="shared" si="461"/>
        <v>#N/A</v>
      </c>
      <c r="CK1581" s="16" t="str">
        <f t="shared" si="462"/>
        <v/>
      </c>
    </row>
    <row r="1582" spans="73:89" ht="12" customHeight="1">
      <c r="BU1582" s="16">
        <f t="shared" si="463"/>
        <v>0</v>
      </c>
      <c r="BV1582" s="16">
        <f>IF($BY$12=1,NORMDIST(BY1582,$Y$6,$Y$8,TRUE),IF($BY$12=2,IF(BY1582&lt;=$BX$31,0,IF(BY1582&gt;=$BX$32,1,(BY1582-$BX$31)*$BX$33)),SUM($BU$42:BU1582)/$BV$40))</f>
        <v>0.99999990035573683</v>
      </c>
      <c r="BW1582" s="16">
        <f t="shared" si="455"/>
        <v>4.1279972154218384E-6</v>
      </c>
      <c r="BY1582" s="16">
        <f t="shared" si="456"/>
        <v>153.99999999999554</v>
      </c>
      <c r="BZ1582" s="16">
        <f t="shared" si="457"/>
        <v>2.6805176723519209E-8</v>
      </c>
      <c r="CA1582" s="16">
        <f t="shared" si="464"/>
        <v>-999</v>
      </c>
      <c r="CE1582" s="16" t="e">
        <f t="shared" si="458"/>
        <v>#N/A</v>
      </c>
      <c r="CF1582" s="16">
        <f t="shared" si="459"/>
        <v>99</v>
      </c>
      <c r="CG1582" s="16">
        <f t="shared" si="460"/>
        <v>0</v>
      </c>
      <c r="CH1582" s="16">
        <f t="shared" si="454"/>
        <v>0</v>
      </c>
      <c r="CJ1582" s="16" t="e">
        <f t="shared" si="461"/>
        <v>#N/A</v>
      </c>
      <c r="CK1582" s="16" t="str">
        <f t="shared" si="462"/>
        <v/>
      </c>
    </row>
    <row r="1583" spans="73:89" ht="12" customHeight="1">
      <c r="BU1583" s="16">
        <f t="shared" si="463"/>
        <v>0</v>
      </c>
      <c r="BV1583" s="16">
        <f>IF($BY$12=1,NORMDIST(BY1583,$Y$6,$Y$8,TRUE),IF($BY$12=2,IF(BY1583&lt;=$BX$31,0,IF(BY1583&gt;=$BX$32,1,(BY1583-$BX$31)*$BX$33)),SUM($BU$42:BU1583)/$BV$40))</f>
        <v>0.99999990300169683</v>
      </c>
      <c r="BW1583" s="16">
        <f t="shared" si="455"/>
        <v>4.0246139512303852E-6</v>
      </c>
      <c r="BY1583" s="16">
        <f t="shared" si="456"/>
        <v>154.09999999999553</v>
      </c>
      <c r="BZ1583" s="16">
        <f t="shared" si="457"/>
        <v>2.6116897801625577E-8</v>
      </c>
      <c r="CA1583" s="16">
        <f t="shared" si="464"/>
        <v>-999</v>
      </c>
      <c r="CE1583" s="16" t="e">
        <f t="shared" si="458"/>
        <v>#N/A</v>
      </c>
      <c r="CF1583" s="16">
        <f t="shared" si="459"/>
        <v>99</v>
      </c>
      <c r="CG1583" s="16">
        <f t="shared" si="460"/>
        <v>0</v>
      </c>
      <c r="CH1583" s="16">
        <f t="shared" si="454"/>
        <v>0</v>
      </c>
      <c r="CJ1583" s="16" t="e">
        <f t="shared" si="461"/>
        <v>#N/A</v>
      </c>
      <c r="CK1583" s="16" t="str">
        <f t="shared" si="462"/>
        <v/>
      </c>
    </row>
    <row r="1584" spans="73:89" ht="12" customHeight="1">
      <c r="BU1584" s="16">
        <f t="shared" si="463"/>
        <v>0</v>
      </c>
      <c r="BV1584" s="16">
        <f>IF($BY$12=1,NORMDIST(BY1584,$Y$6,$Y$8,TRUE),IF($BY$12=2,IF(BY1584&lt;=$BX$31,0,IF(BY1584&gt;=$BX$32,1,(BY1584-$BX$31)*$BX$33)),SUM($BU$42:BU1584)/$BV$40))</f>
        <v>0.99999990557968432</v>
      </c>
      <c r="BW1584" s="16">
        <f t="shared" si="455"/>
        <v>3.9237201135455161E-6</v>
      </c>
      <c r="BY1584" s="16">
        <f t="shared" si="456"/>
        <v>154.19999999999553</v>
      </c>
      <c r="BZ1584" s="16">
        <f t="shared" si="457"/>
        <v>2.54456557298679E-8</v>
      </c>
      <c r="CA1584" s="16">
        <f t="shared" si="464"/>
        <v>-999</v>
      </c>
      <c r="CE1584" s="16" t="e">
        <f t="shared" si="458"/>
        <v>#N/A</v>
      </c>
      <c r="CF1584" s="16">
        <f t="shared" si="459"/>
        <v>99</v>
      </c>
      <c r="CG1584" s="16">
        <f t="shared" si="460"/>
        <v>0</v>
      </c>
      <c r="CH1584" s="16">
        <f t="shared" si="454"/>
        <v>0</v>
      </c>
      <c r="CJ1584" s="16" t="e">
        <f t="shared" si="461"/>
        <v>#N/A</v>
      </c>
      <c r="CK1584" s="16" t="str">
        <f t="shared" si="462"/>
        <v/>
      </c>
    </row>
    <row r="1585" spans="73:89" ht="12" customHeight="1">
      <c r="BU1585" s="16">
        <f t="shared" si="463"/>
        <v>0</v>
      </c>
      <c r="BV1585" s="16">
        <f>IF($BY$12=1,NORMDIST(BY1585,$Y$6,$Y$8,TRUE),IF($BY$12=2,IF(BY1585&lt;=$BX$31,0,IF(BY1585&gt;=$BX$32,1,(BY1585-$BX$31)*$BX$33)),SUM($BU$42:BU1585)/$BV$40))</f>
        <v>0.99999990809138239</v>
      </c>
      <c r="BW1585" s="16">
        <f t="shared" si="455"/>
        <v>3.8252583618376356E-6</v>
      </c>
      <c r="BY1585" s="16">
        <f t="shared" si="456"/>
        <v>154.29999999999552</v>
      </c>
      <c r="BZ1585" s="16">
        <f t="shared" si="457"/>
        <v>2.4791045766932901E-8</v>
      </c>
      <c r="CA1585" s="16">
        <f t="shared" si="464"/>
        <v>-999</v>
      </c>
      <c r="CE1585" s="16" t="e">
        <f t="shared" si="458"/>
        <v>#N/A</v>
      </c>
      <c r="CF1585" s="16">
        <f t="shared" si="459"/>
        <v>99</v>
      </c>
      <c r="CG1585" s="16">
        <f t="shared" si="460"/>
        <v>0</v>
      </c>
      <c r="CH1585" s="16">
        <f t="shared" si="454"/>
        <v>0</v>
      </c>
      <c r="CJ1585" s="16" t="e">
        <f t="shared" si="461"/>
        <v>#N/A</v>
      </c>
      <c r="CK1585" s="16" t="str">
        <f t="shared" si="462"/>
        <v/>
      </c>
    </row>
    <row r="1586" spans="73:89" ht="12" customHeight="1">
      <c r="BU1586" s="16">
        <f t="shared" si="463"/>
        <v>0</v>
      </c>
      <c r="BV1586" s="16">
        <f>IF($BY$12=1,NORMDIST(BY1586,$Y$6,$Y$8,TRUE),IF($BY$12=2,IF(BY1586&lt;=$BX$31,0,IF(BY1586&gt;=$BX$32,1,(BY1586-$BX$31)*$BX$33)),SUM($BU$42:BU1586)/$BV$40))</f>
        <v>0.99999991053843462</v>
      </c>
      <c r="BW1586" s="16">
        <f t="shared" si="455"/>
        <v>3.7291726104580049E-6</v>
      </c>
      <c r="BY1586" s="16">
        <f t="shared" si="456"/>
        <v>154.39999999999552</v>
      </c>
      <c r="BZ1586" s="16">
        <f t="shared" si="457"/>
        <v>2.4152672347526639E-8</v>
      </c>
      <c r="CA1586" s="16">
        <f t="shared" si="464"/>
        <v>-999</v>
      </c>
      <c r="CE1586" s="16" t="e">
        <f t="shared" si="458"/>
        <v>#N/A</v>
      </c>
      <c r="CF1586" s="16">
        <f t="shared" si="459"/>
        <v>99</v>
      </c>
      <c r="CG1586" s="16">
        <f t="shared" si="460"/>
        <v>0</v>
      </c>
      <c r="CH1586" s="16">
        <f t="shared" si="454"/>
        <v>0</v>
      </c>
      <c r="CJ1586" s="16" t="e">
        <f t="shared" si="461"/>
        <v>#N/A</v>
      </c>
      <c r="CK1586" s="16" t="str">
        <f t="shared" si="462"/>
        <v/>
      </c>
    </row>
    <row r="1587" spans="73:89" ht="12" customHeight="1">
      <c r="BU1587" s="16">
        <f t="shared" si="463"/>
        <v>0</v>
      </c>
      <c r="BV1587" s="16">
        <f>IF($BY$12=1,NORMDIST(BY1587,$Y$6,$Y$8,TRUE),IF($BY$12=2,IF(BY1587&lt;=$BX$31,0,IF(BY1587&gt;=$BX$32,1,(BY1587-$BX$31)*$BX$33)),SUM($BU$42:BU1587)/$BV$40))</f>
        <v>0.99999991292244517</v>
      </c>
      <c r="BW1587" s="16">
        <f t="shared" si="455"/>
        <v>3.6354080027882154E-6</v>
      </c>
      <c r="BY1587" s="16">
        <f t="shared" si="456"/>
        <v>154.49999999999551</v>
      </c>
      <c r="BZ1587" s="16">
        <f t="shared" si="457"/>
        <v>2.3530148885361301E-8</v>
      </c>
      <c r="CA1587" s="16">
        <f t="shared" si="464"/>
        <v>-999</v>
      </c>
      <c r="CE1587" s="16" t="e">
        <f t="shared" si="458"/>
        <v>#N/A</v>
      </c>
      <c r="CF1587" s="16">
        <f t="shared" si="459"/>
        <v>99</v>
      </c>
      <c r="CG1587" s="16">
        <f t="shared" si="460"/>
        <v>0</v>
      </c>
      <c r="CH1587" s="16">
        <f t="shared" si="454"/>
        <v>0</v>
      </c>
      <c r="CJ1587" s="16" t="e">
        <f t="shared" si="461"/>
        <v>#N/A</v>
      </c>
      <c r="CK1587" s="16" t="str">
        <f t="shared" si="462"/>
        <v/>
      </c>
    </row>
    <row r="1588" spans="73:89" ht="12" customHeight="1">
      <c r="BU1588" s="16">
        <f t="shared" si="463"/>
        <v>0</v>
      </c>
      <c r="BV1588" s="16">
        <f>IF($BY$12=1,NORMDIST(BY1588,$Y$6,$Y$8,TRUE),IF($BY$12=2,IF(BY1588&lt;=$BX$31,0,IF(BY1588&gt;=$BX$32,1,(BY1588-$BX$31)*$BX$33)),SUM($BU$42:BU1588)/$BV$40))</f>
        <v>0.99999991524498011</v>
      </c>
      <c r="BW1588" s="16">
        <f t="shared" si="455"/>
        <v>3.5439108858839196E-6</v>
      </c>
      <c r="BY1588" s="16">
        <f t="shared" si="456"/>
        <v>154.5999999999955</v>
      </c>
      <c r="BZ1588" s="16">
        <f t="shared" si="457"/>
        <v>2.292309758010364E-8</v>
      </c>
      <c r="CA1588" s="16">
        <f t="shared" si="464"/>
        <v>-999</v>
      </c>
      <c r="CE1588" s="16" t="e">
        <f t="shared" si="458"/>
        <v>#N/A</v>
      </c>
      <c r="CF1588" s="16">
        <f t="shared" si="459"/>
        <v>99</v>
      </c>
      <c r="CG1588" s="16">
        <f t="shared" si="460"/>
        <v>0</v>
      </c>
      <c r="CH1588" s="16">
        <f t="shared" si="454"/>
        <v>0</v>
      </c>
      <c r="CJ1588" s="16" t="e">
        <f t="shared" si="461"/>
        <v>#N/A</v>
      </c>
      <c r="CK1588" s="16" t="str">
        <f t="shared" si="462"/>
        <v/>
      </c>
    </row>
    <row r="1589" spans="73:89" ht="12" customHeight="1">
      <c r="BU1589" s="16">
        <f t="shared" si="463"/>
        <v>0</v>
      </c>
      <c r="BV1589" s="16">
        <f>IF($BY$12=1,NORMDIST(BY1589,$Y$6,$Y$8,TRUE),IF($BY$12=2,IF(BY1589&lt;=$BX$31,0,IF(BY1589&gt;=$BX$32,1,(BY1589-$BX$31)*$BX$33)),SUM($BU$42:BU1589)/$BV$40))</f>
        <v>0.99999991750756811</v>
      </c>
      <c r="BW1589" s="16">
        <f t="shared" si="455"/>
        <v>3.4546287856045918E-6</v>
      </c>
      <c r="BY1589" s="16">
        <f t="shared" si="456"/>
        <v>154.6999999999955</v>
      </c>
      <c r="BZ1589" s="16">
        <f t="shared" si="457"/>
        <v>2.2331149228213914E-8</v>
      </c>
      <c r="CA1589" s="16">
        <f t="shared" si="464"/>
        <v>-999</v>
      </c>
      <c r="CE1589" s="16" t="e">
        <f t="shared" si="458"/>
        <v>#N/A</v>
      </c>
      <c r="CF1589" s="16">
        <f t="shared" si="459"/>
        <v>99</v>
      </c>
      <c r="CG1589" s="16">
        <f t="shared" si="460"/>
        <v>0</v>
      </c>
      <c r="CH1589" s="16">
        <f t="shared" si="454"/>
        <v>0</v>
      </c>
      <c r="CJ1589" s="16" t="e">
        <f t="shared" si="461"/>
        <v>#N/A</v>
      </c>
      <c r="CK1589" s="16" t="str">
        <f t="shared" si="462"/>
        <v/>
      </c>
    </row>
    <row r="1590" spans="73:89" ht="12" customHeight="1">
      <c r="BU1590" s="16">
        <f t="shared" si="463"/>
        <v>0</v>
      </c>
      <c r="BV1590" s="16">
        <f>IF($BY$12=1,NORMDIST(BY1590,$Y$6,$Y$8,TRUE),IF($BY$12=2,IF(BY1590&lt;=$BX$31,0,IF(BY1590&gt;=$BX$32,1,(BY1590-$BX$31)*$BX$33)),SUM($BU$42:BU1590)/$BV$40))</f>
        <v>0.99999991971170143</v>
      </c>
      <c r="BW1590" s="16">
        <f t="shared" si="455"/>
        <v>3.3675103822205798E-6</v>
      </c>
      <c r="BY1590" s="16">
        <f t="shared" si="456"/>
        <v>154.79999999999549</v>
      </c>
      <c r="BZ1590" s="16">
        <f t="shared" si="457"/>
        <v>2.1753943037601277E-8</v>
      </c>
      <c r="CA1590" s="16">
        <f t="shared" si="464"/>
        <v>-999</v>
      </c>
      <c r="CE1590" s="16" t="e">
        <f t="shared" si="458"/>
        <v>#N/A</v>
      </c>
      <c r="CF1590" s="16">
        <f t="shared" si="459"/>
        <v>99</v>
      </c>
      <c r="CG1590" s="16">
        <f t="shared" si="460"/>
        <v>0</v>
      </c>
      <c r="CH1590" s="16">
        <f t="shared" si="454"/>
        <v>0</v>
      </c>
      <c r="CJ1590" s="16" t="e">
        <f t="shared" si="461"/>
        <v>#N/A</v>
      </c>
      <c r="CK1590" s="16" t="str">
        <f t="shared" si="462"/>
        <v/>
      </c>
    </row>
    <row r="1591" spans="73:89" ht="12" customHeight="1">
      <c r="BU1591" s="16">
        <f t="shared" si="463"/>
        <v>0</v>
      </c>
      <c r="BV1591" s="16">
        <f>IF($BY$12=1,NORMDIST(BY1591,$Y$6,$Y$8,TRUE),IF($BY$12=2,IF(BY1591&lt;=$BX$31,0,IF(BY1591&gt;=$BX$32,1,(BY1591-$BX$31)*$BX$33)),SUM($BU$42:BU1591)/$BV$40))</f>
        <v>0.99999992185883635</v>
      </c>
      <c r="BW1591" s="16">
        <f t="shared" si="455"/>
        <v>3.282505486489229E-6</v>
      </c>
      <c r="BY1591" s="16">
        <f t="shared" si="456"/>
        <v>154.89999999999549</v>
      </c>
      <c r="BZ1591" s="16">
        <f t="shared" si="457"/>
        <v>2.1191126446025337E-8</v>
      </c>
      <c r="CA1591" s="16">
        <f t="shared" si="464"/>
        <v>-999</v>
      </c>
      <c r="CE1591" s="16" t="e">
        <f t="shared" si="458"/>
        <v>#N/A</v>
      </c>
      <c r="CF1591" s="16">
        <f t="shared" si="459"/>
        <v>99</v>
      </c>
      <c r="CG1591" s="16">
        <f t="shared" si="460"/>
        <v>0</v>
      </c>
      <c r="CH1591" s="16">
        <f t="shared" si="454"/>
        <v>0</v>
      </c>
      <c r="CJ1591" s="16" t="e">
        <f t="shared" si="461"/>
        <v>#N/A</v>
      </c>
      <c r="CK1591" s="16" t="str">
        <f t="shared" si="462"/>
        <v/>
      </c>
    </row>
    <row r="1592" spans="73:89" ht="12" customHeight="1">
      <c r="BU1592" s="16">
        <f t="shared" si="463"/>
        <v>0</v>
      </c>
      <c r="BV1592" s="16">
        <f>IF($BY$12=1,NORMDIST(BY1592,$Y$6,$Y$8,TRUE),IF($BY$12=2,IF(BY1592&lt;=$BX$31,0,IF(BY1592&gt;=$BX$32,1,(BY1592-$BX$31)*$BX$33)),SUM($BU$42:BU1592)/$BV$40))</f>
        <v>0.99999992395039483</v>
      </c>
      <c r="BW1592" s="16">
        <f t="shared" si="455"/>
        <v>3.199565016191952E-6</v>
      </c>
      <c r="BY1592" s="16">
        <f t="shared" si="456"/>
        <v>154.99999999999548</v>
      </c>
      <c r="BZ1592" s="16">
        <f t="shared" si="457"/>
        <v>2.0642354943174486E-8</v>
      </c>
      <c r="CA1592" s="16">
        <f t="shared" si="464"/>
        <v>-999</v>
      </c>
      <c r="CE1592" s="16" t="e">
        <f t="shared" si="458"/>
        <v>#N/A</v>
      </c>
      <c r="CF1592" s="16">
        <f t="shared" si="459"/>
        <v>99</v>
      </c>
      <c r="CG1592" s="16">
        <f t="shared" si="460"/>
        <v>0</v>
      </c>
      <c r="CH1592" s="16">
        <f t="shared" si="454"/>
        <v>0</v>
      </c>
      <c r="CJ1592" s="16" t="e">
        <f t="shared" si="461"/>
        <v>#N/A</v>
      </c>
      <c r="CK1592" s="16" t="str">
        <f t="shared" si="462"/>
        <v/>
      </c>
    </row>
    <row r="1593" spans="73:89" ht="12" customHeight="1">
      <c r="BU1593" s="16">
        <f t="shared" si="463"/>
        <v>0</v>
      </c>
      <c r="BV1593" s="16">
        <f>IF($BY$12=1,NORMDIST(BY1593,$Y$6,$Y$8,TRUE),IF($BY$12=2,IF(BY1593&lt;=$BX$31,0,IF(BY1593&gt;=$BX$32,1,(BY1593-$BX$31)*$BX$33)),SUM($BU$42:BU1593)/$BV$40))</f>
        <v>0.99999992598776433</v>
      </c>
      <c r="BW1593" s="16">
        <f t="shared" si="455"/>
        <v>3.1186409731239666E-6</v>
      </c>
      <c r="BY1593" s="16">
        <f t="shared" si="456"/>
        <v>155.09999999999548</v>
      </c>
      <c r="BZ1593" s="16">
        <f t="shared" si="457"/>
        <v>2.0107291896351112E-8</v>
      </c>
      <c r="CA1593" s="16">
        <f t="shared" si="464"/>
        <v>-999</v>
      </c>
      <c r="CE1593" s="16" t="e">
        <f t="shared" si="458"/>
        <v>#N/A</v>
      </c>
      <c r="CF1593" s="16">
        <f t="shared" si="459"/>
        <v>99</v>
      </c>
      <c r="CG1593" s="16">
        <f t="shared" si="460"/>
        <v>0</v>
      </c>
      <c r="CH1593" s="16">
        <f t="shared" si="454"/>
        <v>0</v>
      </c>
      <c r="CJ1593" s="16" t="e">
        <f t="shared" si="461"/>
        <v>#N/A</v>
      </c>
      <c r="CK1593" s="16" t="str">
        <f t="shared" si="462"/>
        <v/>
      </c>
    </row>
    <row r="1594" spans="73:89" ht="12" customHeight="1">
      <c r="BU1594" s="16">
        <f t="shared" si="463"/>
        <v>0</v>
      </c>
      <c r="BV1594" s="16">
        <f>IF($BY$12=1,NORMDIST(BY1594,$Y$6,$Y$8,TRUE),IF($BY$12=2,IF(BY1594&lt;=$BX$31,0,IF(BY1594&gt;=$BX$32,1,(BY1594-$BX$31)*$BX$33)),SUM($BU$42:BU1594)/$BV$40))</f>
        <v>0.9999999279722992</v>
      </c>
      <c r="BW1594" s="16">
        <f t="shared" si="455"/>
        <v>3.0396864205289456E-6</v>
      </c>
      <c r="BY1594" s="16">
        <f t="shared" si="456"/>
        <v>155.19999999999547</v>
      </c>
      <c r="BZ1594" s="16">
        <f t="shared" si="457"/>
        <v>1.9585608379697386E-8</v>
      </c>
      <c r="CA1594" s="16">
        <f t="shared" si="464"/>
        <v>-999</v>
      </c>
      <c r="CE1594" s="16" t="e">
        <f t="shared" si="458"/>
        <v>#N/A</v>
      </c>
      <c r="CF1594" s="16">
        <f t="shared" si="459"/>
        <v>99</v>
      </c>
      <c r="CG1594" s="16">
        <f t="shared" si="460"/>
        <v>0</v>
      </c>
      <c r="CH1594" s="16">
        <f t="shared" si="454"/>
        <v>0</v>
      </c>
      <c r="CJ1594" s="16" t="e">
        <f t="shared" si="461"/>
        <v>#N/A</v>
      </c>
      <c r="CK1594" s="16" t="str">
        <f t="shared" si="462"/>
        <v/>
      </c>
    </row>
    <row r="1595" spans="73:89" ht="12" customHeight="1">
      <c r="BU1595" s="16">
        <f t="shared" si="463"/>
        <v>0</v>
      </c>
      <c r="BV1595" s="16">
        <f>IF($BY$12=1,NORMDIST(BY1595,$Y$6,$Y$8,TRUE),IF($BY$12=2,IF(BY1595&lt;=$BX$31,0,IF(BY1595&gt;=$BX$32,1,(BY1595-$BX$31)*$BX$33)),SUM($BU$42:BU1595)/$BV$40))</f>
        <v>0.99999992990532127</v>
      </c>
      <c r="BW1595" s="16">
        <f t="shared" si="455"/>
        <v>2.9626554609706085E-6</v>
      </c>
      <c r="BY1595" s="16">
        <f t="shared" si="456"/>
        <v>155.29999999999546</v>
      </c>
      <c r="BZ1595" s="16">
        <f t="shared" si="457"/>
        <v>1.9076983006894366E-8</v>
      </c>
      <c r="CA1595" s="16">
        <f t="shared" si="464"/>
        <v>-999</v>
      </c>
      <c r="CE1595" s="16" t="e">
        <f t="shared" si="458"/>
        <v>#N/A</v>
      </c>
      <c r="CF1595" s="16">
        <f t="shared" si="459"/>
        <v>99</v>
      </c>
      <c r="CG1595" s="16">
        <f t="shared" si="460"/>
        <v>0</v>
      </c>
      <c r="CH1595" s="16">
        <f t="shared" si="454"/>
        <v>0</v>
      </c>
      <c r="CJ1595" s="16" t="e">
        <f t="shared" si="461"/>
        <v>#N/A</v>
      </c>
      <c r="CK1595" s="16" t="str">
        <f t="shared" si="462"/>
        <v/>
      </c>
    </row>
    <row r="1596" spans="73:89" ht="12" customHeight="1">
      <c r="BU1596" s="16">
        <f t="shared" si="463"/>
        <v>0</v>
      </c>
      <c r="BV1596" s="16">
        <f>IF($BY$12=1,NORMDIST(BY1596,$Y$6,$Y$8,TRUE),IF($BY$12=2,IF(BY1596&lt;=$BX$31,0,IF(BY1596&gt;=$BX$32,1,(BY1596-$BX$31)*$BX$33)),SUM($BU$42:BU1596)/$BV$40))</f>
        <v>0.99999993178812063</v>
      </c>
      <c r="BW1596" s="16">
        <f t="shared" si="455"/>
        <v>2.8875032146336284E-6</v>
      </c>
      <c r="BY1596" s="16">
        <f t="shared" si="456"/>
        <v>155.39999999999546</v>
      </c>
      <c r="BZ1596" s="16">
        <f t="shared" si="457"/>
        <v>1.8581101767269709E-8</v>
      </c>
      <c r="CA1596" s="16">
        <f t="shared" si="464"/>
        <v>-999</v>
      </c>
      <c r="CE1596" s="16" t="e">
        <f t="shared" si="458"/>
        <v>#N/A</v>
      </c>
      <c r="CF1596" s="16">
        <f t="shared" si="459"/>
        <v>99</v>
      </c>
      <c r="CG1596" s="16">
        <f t="shared" si="460"/>
        <v>0</v>
      </c>
      <c r="CH1596" s="16">
        <f t="shared" si="454"/>
        <v>0</v>
      </c>
      <c r="CJ1596" s="16" t="e">
        <f t="shared" si="461"/>
        <v>#N/A</v>
      </c>
      <c r="CK1596" s="16" t="str">
        <f t="shared" si="462"/>
        <v/>
      </c>
    </row>
    <row r="1597" spans="73:89" ht="12" customHeight="1">
      <c r="BU1597" s="16">
        <f t="shared" si="463"/>
        <v>0</v>
      </c>
      <c r="BV1597" s="16">
        <f>IF($BY$12=1,NORMDIST(BY1597,$Y$6,$Y$8,TRUE),IF($BY$12=2,IF(BY1597&lt;=$BX$31,0,IF(BY1597&gt;=$BX$32,1,(BY1597-$BX$31)*$BX$33)),SUM($BU$42:BU1597)/$BV$40))</f>
        <v>0.99999993362195616</v>
      </c>
      <c r="BW1597" s="16">
        <f t="shared" si="455"/>
        <v>2.8141857980462264E-6</v>
      </c>
      <c r="BY1597" s="16">
        <f t="shared" si="456"/>
        <v>155.49999999999545</v>
      </c>
      <c r="BZ1597" s="16">
        <f t="shared" si="457"/>
        <v>1.8097657865249573E-8</v>
      </c>
      <c r="CA1597" s="16">
        <f t="shared" si="464"/>
        <v>-999</v>
      </c>
      <c r="CE1597" s="16" t="e">
        <f t="shared" si="458"/>
        <v>#N/A</v>
      </c>
      <c r="CF1597" s="16">
        <f t="shared" si="459"/>
        <v>99</v>
      </c>
      <c r="CG1597" s="16">
        <f t="shared" si="460"/>
        <v>0</v>
      </c>
      <c r="CH1597" s="16">
        <f t="shared" si="454"/>
        <v>0</v>
      </c>
      <c r="CJ1597" s="16" t="e">
        <f t="shared" si="461"/>
        <v>#N/A</v>
      </c>
      <c r="CK1597" s="16" t="str">
        <f t="shared" si="462"/>
        <v/>
      </c>
    </row>
    <row r="1598" spans="73:89" ht="12" customHeight="1">
      <c r="BU1598" s="16">
        <f t="shared" si="463"/>
        <v>0</v>
      </c>
      <c r="BV1598" s="16">
        <f>IF($BY$12=1,NORMDIST(BY1598,$Y$6,$Y$8,TRUE),IF($BY$12=2,IF(BY1598&lt;=$BX$31,0,IF(BY1598&gt;=$BX$32,1,(BY1598-$BX$31)*$BX$33)),SUM($BU$42:BU1598)/$BV$40))</f>
        <v>0.99999993540805676</v>
      </c>
      <c r="BW1598" s="16">
        <f t="shared" si="455"/>
        <v>2.7426603032169392E-6</v>
      </c>
      <c r="BY1598" s="16">
        <f t="shared" si="456"/>
        <v>155.59999999999545</v>
      </c>
      <c r="BZ1598" s="16">
        <f t="shared" si="457"/>
        <v>1.7626351563091384E-8</v>
      </c>
      <c r="CA1598" s="16">
        <f t="shared" si="464"/>
        <v>-999</v>
      </c>
      <c r="CE1598" s="16" t="e">
        <f t="shared" si="458"/>
        <v>#N/A</v>
      </c>
      <c r="CF1598" s="16">
        <f t="shared" si="459"/>
        <v>99</v>
      </c>
      <c r="CG1598" s="16">
        <f t="shared" si="460"/>
        <v>0</v>
      </c>
      <c r="CH1598" s="16">
        <f t="shared" si="454"/>
        <v>0</v>
      </c>
      <c r="CJ1598" s="16" t="e">
        <f t="shared" si="461"/>
        <v>#N/A</v>
      </c>
      <c r="CK1598" s="16" t="str">
        <f t="shared" si="462"/>
        <v/>
      </c>
    </row>
    <row r="1599" spans="73:89" ht="12" customHeight="1">
      <c r="BU1599" s="16">
        <f t="shared" si="463"/>
        <v>0</v>
      </c>
      <c r="BV1599" s="16">
        <f>IF($BY$12=1,NORMDIST(BY1599,$Y$6,$Y$8,TRUE),IF($BY$12=2,IF(BY1599&lt;=$BX$31,0,IF(BY1599&gt;=$BX$32,1,(BY1599-$BX$31)*$BX$33)),SUM($BU$42:BU1599)/$BV$40))</f>
        <v>0.99999993714762136</v>
      </c>
      <c r="BW1599" s="16">
        <f t="shared" si="455"/>
        <v>2.6728847771783352E-6</v>
      </c>
      <c r="BY1599" s="16">
        <f t="shared" si="456"/>
        <v>155.69999999999544</v>
      </c>
      <c r="BZ1599" s="16">
        <f t="shared" si="457"/>
        <v>1.7166890026836309E-8</v>
      </c>
      <c r="CA1599" s="16">
        <f t="shared" si="464"/>
        <v>-999</v>
      </c>
      <c r="CE1599" s="16" t="e">
        <f t="shared" si="458"/>
        <v>#N/A</v>
      </c>
      <c r="CF1599" s="16">
        <f t="shared" si="459"/>
        <v>99</v>
      </c>
      <c r="CG1599" s="16">
        <f t="shared" si="460"/>
        <v>0</v>
      </c>
      <c r="CH1599" s="16">
        <f t="shared" si="454"/>
        <v>0</v>
      </c>
      <c r="CJ1599" s="16" t="e">
        <f t="shared" si="461"/>
        <v>#N/A</v>
      </c>
      <c r="CK1599" s="16" t="str">
        <f t="shared" si="462"/>
        <v/>
      </c>
    </row>
    <row r="1600" spans="73:89" ht="12" customHeight="1">
      <c r="BU1600" s="16">
        <f t="shared" si="463"/>
        <v>0</v>
      </c>
      <c r="BV1600" s="16">
        <f>IF($BY$12=1,NORMDIST(BY1600,$Y$6,$Y$8,TRUE),IF($BY$12=2,IF(BY1600&lt;=$BX$31,0,IF(BY1600&gt;=$BX$32,1,(BY1600-$BX$31)*$BX$33)),SUM($BU$42:BU1600)/$BV$40))</f>
        <v>0.99999993884182004</v>
      </c>
      <c r="BW1600" s="16">
        <f t="shared" si="455"/>
        <v>2.604818201930239E-6</v>
      </c>
      <c r="BY1600" s="16">
        <f t="shared" si="456"/>
        <v>155.79999999999544</v>
      </c>
      <c r="BZ1600" s="16">
        <f t="shared" si="457"/>
        <v>1.6718987175419225E-8</v>
      </c>
      <c r="CA1600" s="16">
        <f t="shared" si="464"/>
        <v>-999</v>
      </c>
      <c r="CE1600" s="16" t="e">
        <f t="shared" si="458"/>
        <v>#N/A</v>
      </c>
      <c r="CF1600" s="16">
        <f t="shared" si="459"/>
        <v>99</v>
      </c>
      <c r="CG1600" s="16">
        <f t="shared" si="460"/>
        <v>0</v>
      </c>
      <c r="CH1600" s="16">
        <f t="shared" si="454"/>
        <v>0</v>
      </c>
      <c r="CJ1600" s="16" t="e">
        <f t="shared" si="461"/>
        <v>#N/A</v>
      </c>
      <c r="CK1600" s="16" t="str">
        <f t="shared" si="462"/>
        <v/>
      </c>
    </row>
    <row r="1601" spans="73:89" ht="12" customHeight="1">
      <c r="BU1601" s="16">
        <f t="shared" si="463"/>
        <v>0</v>
      </c>
      <c r="BV1601" s="16">
        <f>IF($BY$12=1,NORMDIST(BY1601,$Y$6,$Y$8,TRUE),IF($BY$12=2,IF(BY1601&lt;=$BX$31,0,IF(BY1601&gt;=$BX$32,1,(BY1601-$BX$31)*$BX$33)),SUM($BU$42:BU1601)/$BV$40))</f>
        <v>0.99999994049179475</v>
      </c>
      <c r="BW1601" s="16">
        <f t="shared" si="455"/>
        <v>2.5384204747755299E-6</v>
      </c>
      <c r="BY1601" s="16">
        <f t="shared" si="456"/>
        <v>155.89999999999543</v>
      </c>
      <c r="BZ1601" s="16">
        <f t="shared" si="457"/>
        <v>1.6282363532877513E-8</v>
      </c>
      <c r="CA1601" s="16">
        <f t="shared" si="464"/>
        <v>-999</v>
      </c>
      <c r="CE1601" s="16" t="e">
        <f t="shared" si="458"/>
        <v>#N/A</v>
      </c>
      <c r="CF1601" s="16">
        <f t="shared" si="459"/>
        <v>99</v>
      </c>
      <c r="CG1601" s="16">
        <f t="shared" si="460"/>
        <v>0</v>
      </c>
      <c r="CH1601" s="16">
        <f t="shared" si="454"/>
        <v>0</v>
      </c>
      <c r="CJ1601" s="16" t="e">
        <f t="shared" si="461"/>
        <v>#N/A</v>
      </c>
      <c r="CK1601" s="16" t="str">
        <f t="shared" si="462"/>
        <v/>
      </c>
    </row>
    <row r="1602" spans="73:89" ht="12" customHeight="1">
      <c r="BU1602" s="16">
        <f t="shared" si="463"/>
        <v>0</v>
      </c>
      <c r="BV1602" s="16">
        <f>IF($BY$12=1,NORMDIST(BY1602,$Y$6,$Y$8,TRUE),IF($BY$12=2,IF(BY1602&lt;=$BX$31,0,IF(BY1602&gt;=$BX$32,1,(BY1602-$BX$31)*$BX$33)),SUM($BU$42:BU1602)/$BV$40))</f>
        <v>0.99999994209865961</v>
      </c>
      <c r="BW1602" s="16">
        <f t="shared" si="455"/>
        <v>2.4736523890413849E-6</v>
      </c>
      <c r="BY1602" s="16">
        <f t="shared" si="456"/>
        <v>155.99999999999542</v>
      </c>
      <c r="BZ1602" s="16">
        <f t="shared" si="457"/>
        <v>1.5856746083599087E-8</v>
      </c>
      <c r="CA1602" s="16">
        <f t="shared" si="464"/>
        <v>-999</v>
      </c>
      <c r="CE1602" s="16" t="e">
        <f t="shared" si="458"/>
        <v>#N/A</v>
      </c>
      <c r="CF1602" s="16">
        <f t="shared" si="459"/>
        <v>99</v>
      </c>
      <c r="CG1602" s="16">
        <f t="shared" si="460"/>
        <v>0</v>
      </c>
      <c r="CH1602" s="16">
        <f t="shared" si="454"/>
        <v>0</v>
      </c>
      <c r="CJ1602" s="16" t="e">
        <f t="shared" si="461"/>
        <v>#N/A</v>
      </c>
      <c r="CK1602" s="16" t="str">
        <f t="shared" si="462"/>
        <v/>
      </c>
    </row>
    <row r="1603" spans="73:89" ht="12" customHeight="1">
      <c r="BU1603" s="16">
        <f t="shared" si="463"/>
        <v>0</v>
      </c>
      <c r="BV1603" s="16">
        <f>IF($BY$12=1,NORMDIST(BY1603,$Y$6,$Y$8,TRUE),IF($BY$12=2,IF(BY1603&lt;=$BX$31,0,IF(BY1603&gt;=$BX$32,1,(BY1603-$BX$31)*$BX$33)),SUM($BU$42:BU1603)/$BV$40))</f>
        <v>0.99999994366350187</v>
      </c>
      <c r="BW1603" s="16">
        <f t="shared" si="455"/>
        <v>2.410475615179063E-6</v>
      </c>
      <c r="BY1603" s="16">
        <f t="shared" si="456"/>
        <v>156.09999999999542</v>
      </c>
      <c r="BZ1603" s="16">
        <f t="shared" si="457"/>
        <v>1.5441868130551786E-8</v>
      </c>
      <c r="CA1603" s="16">
        <f t="shared" si="464"/>
        <v>-999</v>
      </c>
      <c r="CE1603" s="16" t="e">
        <f t="shared" si="458"/>
        <v>#N/A</v>
      </c>
      <c r="CF1603" s="16">
        <f t="shared" si="459"/>
        <v>99</v>
      </c>
      <c r="CG1603" s="16">
        <f t="shared" si="460"/>
        <v>0</v>
      </c>
      <c r="CH1603" s="16">
        <f t="shared" ref="CH1603:CH1666" si="465">IF(CB1603="",0,1)</f>
        <v>0</v>
      </c>
      <c r="CJ1603" s="16" t="e">
        <f t="shared" si="461"/>
        <v>#N/A</v>
      </c>
      <c r="CK1603" s="16" t="str">
        <f t="shared" si="462"/>
        <v/>
      </c>
    </row>
    <row r="1604" spans="73:89" ht="12" customHeight="1">
      <c r="BU1604" s="16">
        <f t="shared" si="463"/>
        <v>0</v>
      </c>
      <c r="BV1604" s="16">
        <f>IF($BY$12=1,NORMDIST(BY1604,$Y$6,$Y$8,TRUE),IF($BY$12=2,IF(BY1604&lt;=$BX$31,0,IF(BY1604&gt;=$BX$32,1,(BY1604-$BX$31)*$BX$33)),SUM($BU$42:BU1604)/$BV$40))</f>
        <v>0.99999994518738256</v>
      </c>
      <c r="BW1604" s="16">
        <f t="shared" si="455"/>
        <v>2.3488526822354618E-6</v>
      </c>
      <c r="BY1604" s="16">
        <f t="shared" si="456"/>
        <v>156.19999999999541</v>
      </c>
      <c r="BZ1604" s="16">
        <f t="shared" si="457"/>
        <v>1.5037469156437458E-8</v>
      </c>
      <c r="CA1604" s="16">
        <f t="shared" si="464"/>
        <v>-999</v>
      </c>
      <c r="CE1604" s="16" t="e">
        <f t="shared" si="458"/>
        <v>#N/A</v>
      </c>
      <c r="CF1604" s="16">
        <f t="shared" si="459"/>
        <v>99</v>
      </c>
      <c r="CG1604" s="16">
        <f t="shared" si="460"/>
        <v>0</v>
      </c>
      <c r="CH1604" s="16">
        <f t="shared" si="465"/>
        <v>0</v>
      </c>
      <c r="CJ1604" s="16" t="e">
        <f t="shared" si="461"/>
        <v>#N/A</v>
      </c>
      <c r="CK1604" s="16" t="str">
        <f t="shared" si="462"/>
        <v/>
      </c>
    </row>
    <row r="1605" spans="73:89" ht="12" customHeight="1">
      <c r="BU1605" s="16">
        <f t="shared" si="463"/>
        <v>0</v>
      </c>
      <c r="BV1605" s="16">
        <f>IF($BY$12=1,NORMDIST(BY1605,$Y$6,$Y$8,TRUE),IF($BY$12=2,IF(BY1605&lt;=$BX$31,0,IF(BY1605&gt;=$BX$32,1,(BY1605-$BX$31)*$BX$33)),SUM($BU$42:BU1605)/$BV$40))</f>
        <v>0.99999994667133651</v>
      </c>
      <c r="BW1605" s="16">
        <f t="shared" si="455"/>
        <v>2.2887469596898016E-6</v>
      </c>
      <c r="BY1605" s="16">
        <f t="shared" si="456"/>
        <v>156.29999999999541</v>
      </c>
      <c r="BZ1605" s="16">
        <f t="shared" si="457"/>
        <v>1.4643294687715093E-8</v>
      </c>
      <c r="CA1605" s="16">
        <f t="shared" si="464"/>
        <v>-999</v>
      </c>
      <c r="CE1605" s="16" t="e">
        <f t="shared" si="458"/>
        <v>#N/A</v>
      </c>
      <c r="CF1605" s="16">
        <f t="shared" si="459"/>
        <v>99</v>
      </c>
      <c r="CG1605" s="16">
        <f t="shared" si="460"/>
        <v>0</v>
      </c>
      <c r="CH1605" s="16">
        <f t="shared" si="465"/>
        <v>0</v>
      </c>
      <c r="CJ1605" s="16" t="e">
        <f t="shared" si="461"/>
        <v>#N/A</v>
      </c>
      <c r="CK1605" s="16" t="str">
        <f t="shared" si="462"/>
        <v/>
      </c>
    </row>
    <row r="1606" spans="73:89" ht="12" customHeight="1">
      <c r="BU1606" s="16">
        <f t="shared" si="463"/>
        <v>0</v>
      </c>
      <c r="BV1606" s="16">
        <f>IF($BY$12=1,NORMDIST(BY1606,$Y$6,$Y$8,TRUE),IF($BY$12=2,IF(BY1606&lt;=$BX$31,0,IF(BY1606&gt;=$BX$32,1,(BY1606-$BX$31)*$BX$33)),SUM($BU$42:BU1606)/$BV$40))</f>
        <v>0.99999994811637394</v>
      </c>
      <c r="BW1606" s="16">
        <f t="shared" si="455"/>
        <v>2.2301226396487367E-6</v>
      </c>
      <c r="BY1606" s="16">
        <f t="shared" si="456"/>
        <v>156.3999999999954</v>
      </c>
      <c r="BZ1606" s="16">
        <f t="shared" si="457"/>
        <v>1.4259096161437356E-8</v>
      </c>
      <c r="CA1606" s="16">
        <f t="shared" si="464"/>
        <v>-999</v>
      </c>
      <c r="CE1606" s="16" t="e">
        <f t="shared" si="458"/>
        <v>#N/A</v>
      </c>
      <c r="CF1606" s="16">
        <f t="shared" si="459"/>
        <v>99</v>
      </c>
      <c r="CG1606" s="16">
        <f t="shared" si="460"/>
        <v>0</v>
      </c>
      <c r="CH1606" s="16">
        <f t="shared" si="465"/>
        <v>0</v>
      </c>
      <c r="CJ1606" s="16" t="e">
        <f t="shared" si="461"/>
        <v>#N/A</v>
      </c>
      <c r="CK1606" s="16" t="str">
        <f t="shared" si="462"/>
        <v/>
      </c>
    </row>
    <row r="1607" spans="73:89" ht="12" customHeight="1">
      <c r="BU1607" s="16">
        <f t="shared" si="463"/>
        <v>0</v>
      </c>
      <c r="BV1607" s="16">
        <f>IF($BY$12=1,NORMDIST(BY1607,$Y$6,$Y$8,TRUE),IF($BY$12=2,IF(BY1607&lt;=$BX$31,0,IF(BY1607&gt;=$BX$32,1,(BY1607-$BX$31)*$BX$33)),SUM($BU$42:BU1607)/$BV$40))</f>
        <v>0.99999994952348026</v>
      </c>
      <c r="BW1607" s="16">
        <f t="shared" si="455"/>
        <v>2.1729447193935197E-6</v>
      </c>
      <c r="BY1607" s="16">
        <f t="shared" si="456"/>
        <v>156.4999999999954</v>
      </c>
      <c r="BZ1607" s="16">
        <f t="shared" si="457"/>
        <v>1.3884630794847179E-8</v>
      </c>
      <c r="CA1607" s="16">
        <f t="shared" si="464"/>
        <v>-999</v>
      </c>
      <c r="CE1607" s="16" t="e">
        <f t="shared" si="458"/>
        <v>#N/A</v>
      </c>
      <c r="CF1607" s="16">
        <f t="shared" si="459"/>
        <v>99</v>
      </c>
      <c r="CG1607" s="16">
        <f t="shared" si="460"/>
        <v>0</v>
      </c>
      <c r="CH1607" s="16">
        <f t="shared" si="465"/>
        <v>0</v>
      </c>
      <c r="CJ1607" s="16" t="e">
        <f t="shared" si="461"/>
        <v>#N/A</v>
      </c>
      <c r="CK1607" s="16" t="str">
        <f t="shared" si="462"/>
        <v/>
      </c>
    </row>
    <row r="1608" spans="73:89" ht="12" customHeight="1">
      <c r="BU1608" s="16">
        <f t="shared" si="463"/>
        <v>0</v>
      </c>
      <c r="BV1608" s="16">
        <f>IF($BY$12=1,NORMDIST(BY1608,$Y$6,$Y$8,TRUE),IF($BY$12=2,IF(BY1608&lt;=$BX$31,0,IF(BY1608&gt;=$BX$32,1,(BY1608-$BX$31)*$BX$33)),SUM($BU$42:BU1608)/$BV$40))</f>
        <v>0.99999995089361671</v>
      </c>
      <c r="BW1608" s="16">
        <f t="shared" si="455"/>
        <v>2.1171789842728211E-6</v>
      </c>
      <c r="BY1608" s="16">
        <f t="shared" si="456"/>
        <v>156.59999999999539</v>
      </c>
      <c r="BZ1608" s="16">
        <f t="shared" si="457"/>
        <v>1.3519661457681247E-8</v>
      </c>
      <c r="CA1608" s="16">
        <f t="shared" si="464"/>
        <v>-999</v>
      </c>
      <c r="CE1608" s="16" t="e">
        <f t="shared" si="458"/>
        <v>#N/A</v>
      </c>
      <c r="CF1608" s="16">
        <f t="shared" si="459"/>
        <v>99</v>
      </c>
      <c r="CG1608" s="16">
        <f t="shared" si="460"/>
        <v>0</v>
      </c>
      <c r="CH1608" s="16">
        <f t="shared" si="465"/>
        <v>0</v>
      </c>
      <c r="CJ1608" s="16" t="e">
        <f t="shared" si="461"/>
        <v>#N/A</v>
      </c>
      <c r="CK1608" s="16" t="str">
        <f t="shared" si="462"/>
        <v/>
      </c>
    </row>
    <row r="1609" spans="73:89" ht="12" customHeight="1">
      <c r="BU1609" s="16">
        <f t="shared" si="463"/>
        <v>0</v>
      </c>
      <c r="BV1609" s="16">
        <f>IF($BY$12=1,NORMDIST(BY1609,$Y$6,$Y$8,TRUE),IF($BY$12=2,IF(BY1609&lt;=$BX$31,0,IF(BY1609&gt;=$BX$32,1,(BY1609-$BX$31)*$BX$33)),SUM($BU$42:BU1609)/$BV$40))</f>
        <v>0.99999995222772131</v>
      </c>
      <c r="BW1609" s="16">
        <f t="shared" si="455"/>
        <v>2.0627919909348829E-6</v>
      </c>
      <c r="BY1609" s="16">
        <f t="shared" si="456"/>
        <v>156.69999999999538</v>
      </c>
      <c r="BZ1609" s="16">
        <f t="shared" si="457"/>
        <v>1.3163956547127911E-8</v>
      </c>
      <c r="CA1609" s="16">
        <f t="shared" si="464"/>
        <v>-999</v>
      </c>
      <c r="CE1609" s="16" t="e">
        <f t="shared" si="458"/>
        <v>#N/A</v>
      </c>
      <c r="CF1609" s="16">
        <f t="shared" si="459"/>
        <v>99</v>
      </c>
      <c r="CG1609" s="16">
        <f t="shared" si="460"/>
        <v>0</v>
      </c>
      <c r="CH1609" s="16">
        <f t="shared" si="465"/>
        <v>0</v>
      </c>
      <c r="CJ1609" s="16" t="e">
        <f t="shared" si="461"/>
        <v>#N/A</v>
      </c>
      <c r="CK1609" s="16" t="str">
        <f t="shared" si="462"/>
        <v/>
      </c>
    </row>
    <row r="1610" spans="73:89" ht="12" customHeight="1">
      <c r="BU1610" s="16">
        <f t="shared" si="463"/>
        <v>0</v>
      </c>
      <c r="BV1610" s="16">
        <f>IF($BY$12=1,NORMDIST(BY1610,$Y$6,$Y$8,TRUE),IF($BY$12=2,IF(BY1610&lt;=$BX$31,0,IF(BY1610&gt;=$BX$32,1,(BY1610-$BX$31)*$BX$33)),SUM($BU$42:BU1610)/$BV$40))</f>
        <v>0.99999995352670923</v>
      </c>
      <c r="BW1610" s="16">
        <f t="shared" si="455"/>
        <v>2.0097510508929022E-6</v>
      </c>
      <c r="BY1610" s="16">
        <f t="shared" si="456"/>
        <v>156.79999999999538</v>
      </c>
      <c r="BZ1610" s="16">
        <f t="shared" si="457"/>
        <v>1.2817289865388786E-8</v>
      </c>
      <c r="CA1610" s="16">
        <f t="shared" si="464"/>
        <v>-999</v>
      </c>
      <c r="CE1610" s="16" t="e">
        <f t="shared" si="458"/>
        <v>#N/A</v>
      </c>
      <c r="CF1610" s="16">
        <f t="shared" si="459"/>
        <v>99</v>
      </c>
      <c r="CG1610" s="16">
        <f t="shared" si="460"/>
        <v>0</v>
      </c>
      <c r="CH1610" s="16">
        <f t="shared" si="465"/>
        <v>0</v>
      </c>
      <c r="CJ1610" s="16" t="e">
        <f t="shared" si="461"/>
        <v>#N/A</v>
      </c>
      <c r="CK1610" s="16" t="str">
        <f t="shared" si="462"/>
        <v/>
      </c>
    </row>
    <row r="1611" spans="73:89" ht="12" customHeight="1">
      <c r="BU1611" s="16">
        <f t="shared" si="463"/>
        <v>0</v>
      </c>
      <c r="BV1611" s="16">
        <f>IF($BY$12=1,NORMDIST(BY1611,$Y$6,$Y$8,TRUE),IF($BY$12=2,IF(BY1611&lt;=$BX$31,0,IF(BY1611&gt;=$BX$32,1,(BY1611-$BX$31)*$BX$33)),SUM($BU$42:BU1611)/$BV$40))</f>
        <v>0.99999995479147319</v>
      </c>
      <c r="BW1611" s="16">
        <f t="shared" si="455"/>
        <v>1.9580242144175238E-6</v>
      </c>
      <c r="BY1611" s="16">
        <f t="shared" si="456"/>
        <v>156.89999999999537</v>
      </c>
      <c r="BZ1611" s="16">
        <f t="shared" si="457"/>
        <v>1.2479440499793382E-8</v>
      </c>
      <c r="CA1611" s="16">
        <f t="shared" si="464"/>
        <v>-999</v>
      </c>
      <c r="CE1611" s="16" t="e">
        <f t="shared" si="458"/>
        <v>#N/A</v>
      </c>
      <c r="CF1611" s="16">
        <f t="shared" si="459"/>
        <v>99</v>
      </c>
      <c r="CG1611" s="16">
        <f t="shared" si="460"/>
        <v>0</v>
      </c>
      <c r="CH1611" s="16">
        <f t="shared" si="465"/>
        <v>0</v>
      </c>
      <c r="CJ1611" s="16" t="e">
        <f t="shared" si="461"/>
        <v>#N/A</v>
      </c>
      <c r="CK1611" s="16" t="str">
        <f t="shared" si="462"/>
        <v/>
      </c>
    </row>
    <row r="1612" spans="73:89" ht="12" customHeight="1">
      <c r="BU1612" s="16">
        <f t="shared" si="463"/>
        <v>0</v>
      </c>
      <c r="BV1612" s="16">
        <f>IF($BY$12=1,NORMDIST(BY1612,$Y$6,$Y$8,TRUE),IF($BY$12=2,IF(BY1612&lt;=$BX$31,0,IF(BY1612&gt;=$BX$32,1,(BY1612-$BX$31)*$BX$33)),SUM($BU$42:BU1612)/$BV$40))</f>
        <v>0.99999995602288405</v>
      </c>
      <c r="BW1612" s="16">
        <f t="shared" si="455"/>
        <v>1.9075802547505223E-6</v>
      </c>
      <c r="BY1612" s="16">
        <f t="shared" si="456"/>
        <v>156.99999999999537</v>
      </c>
      <c r="BZ1612" s="16">
        <f t="shared" si="457"/>
        <v>1.2150192705417699E-8</v>
      </c>
      <c r="CA1612" s="16">
        <f t="shared" si="464"/>
        <v>-999</v>
      </c>
      <c r="CE1612" s="16" t="e">
        <f t="shared" si="458"/>
        <v>#N/A</v>
      </c>
      <c r="CF1612" s="16">
        <f t="shared" si="459"/>
        <v>99</v>
      </c>
      <c r="CG1612" s="16">
        <f t="shared" si="460"/>
        <v>0</v>
      </c>
      <c r="CH1612" s="16">
        <f t="shared" si="465"/>
        <v>0</v>
      </c>
      <c r="CJ1612" s="16" t="e">
        <f t="shared" si="461"/>
        <v>#N/A</v>
      </c>
      <c r="CK1612" s="16" t="str">
        <f t="shared" si="462"/>
        <v/>
      </c>
    </row>
    <row r="1613" spans="73:89" ht="12" customHeight="1">
      <c r="BU1613" s="16">
        <f t="shared" si="463"/>
        <v>0</v>
      </c>
      <c r="BV1613" s="16">
        <f>IF($BY$12=1,NORMDIST(BY1613,$Y$6,$Y$8,TRUE),IF($BY$12=2,IF(BY1613&lt;=$BX$31,0,IF(BY1613&gt;=$BX$32,1,(BY1613-$BX$31)*$BX$33)),SUM($BU$42:BU1613)/$BV$40))</f>
        <v>0.99999995722179147</v>
      </c>
      <c r="BW1613" s="16">
        <f t="shared" si="455"/>
        <v>1.8583886526337176E-6</v>
      </c>
      <c r="BY1613" s="16">
        <f t="shared" si="456"/>
        <v>157.09999999999536</v>
      </c>
      <c r="BZ1613" s="16">
        <f t="shared" si="457"/>
        <v>1.1829335790157686E-8</v>
      </c>
      <c r="CA1613" s="16">
        <f t="shared" si="464"/>
        <v>-999</v>
      </c>
      <c r="CE1613" s="16" t="e">
        <f t="shared" si="458"/>
        <v>#N/A</v>
      </c>
      <c r="CF1613" s="16">
        <f t="shared" si="459"/>
        <v>99</v>
      </c>
      <c r="CG1613" s="16">
        <f t="shared" si="460"/>
        <v>0</v>
      </c>
      <c r="CH1613" s="16">
        <f t="shared" si="465"/>
        <v>0</v>
      </c>
      <c r="CJ1613" s="16" t="e">
        <f t="shared" si="461"/>
        <v>#N/A</v>
      </c>
      <c r="CK1613" s="16" t="str">
        <f t="shared" si="462"/>
        <v/>
      </c>
    </row>
    <row r="1614" spans="73:89" ht="12" customHeight="1">
      <c r="BU1614" s="16">
        <f t="shared" si="463"/>
        <v>0</v>
      </c>
      <c r="BV1614" s="16">
        <f>IF($BY$12=1,NORMDIST(BY1614,$Y$6,$Y$8,TRUE),IF($BY$12=2,IF(BY1614&lt;=$BX$31,0,IF(BY1614&gt;=$BX$32,1,(BY1614-$BX$31)*$BX$33)),SUM($BU$42:BU1614)/$BV$40))</f>
        <v>0.999999958389024</v>
      </c>
      <c r="BW1614" s="16">
        <f t="shared" si="455"/>
        <v>1.810419581147417E-6</v>
      </c>
      <c r="BY1614" s="16">
        <f t="shared" si="456"/>
        <v>157.19999999999536</v>
      </c>
      <c r="BZ1614" s="16">
        <f t="shared" si="457"/>
        <v>1.1516664002210372E-8</v>
      </c>
      <c r="CA1614" s="16">
        <f t="shared" si="464"/>
        <v>-999</v>
      </c>
      <c r="CE1614" s="16" t="e">
        <f t="shared" si="458"/>
        <v>#N/A</v>
      </c>
      <c r="CF1614" s="16">
        <f t="shared" si="459"/>
        <v>99</v>
      </c>
      <c r="CG1614" s="16">
        <f t="shared" si="460"/>
        <v>0</v>
      </c>
      <c r="CH1614" s="16">
        <f t="shared" si="465"/>
        <v>0</v>
      </c>
      <c r="CJ1614" s="16" t="e">
        <f t="shared" si="461"/>
        <v>#N/A</v>
      </c>
      <c r="CK1614" s="16" t="str">
        <f t="shared" si="462"/>
        <v/>
      </c>
    </row>
    <row r="1615" spans="73:89" ht="12" customHeight="1">
      <c r="BU1615" s="16">
        <f t="shared" si="463"/>
        <v>0</v>
      </c>
      <c r="BV1615" s="16">
        <f>IF($BY$12=1,NORMDIST(BY1615,$Y$6,$Y$8,TRUE),IF($BY$12=2,IF(BY1615&lt;=$BX$31,0,IF(BY1615&gt;=$BX$32,1,(BY1615-$BX$31)*$BX$33)),SUM($BU$42:BU1615)/$BV$40))</f>
        <v>0.99999995952539034</v>
      </c>
      <c r="BW1615" s="16">
        <f t="shared" si="455"/>
        <v>1.7636438908526896E-6</v>
      </c>
      <c r="BY1615" s="16">
        <f t="shared" si="456"/>
        <v>157.29999999999535</v>
      </c>
      <c r="BZ1615" s="16">
        <f t="shared" si="457"/>
        <v>1.1211976419915714E-8</v>
      </c>
      <c r="CA1615" s="16">
        <f t="shared" si="464"/>
        <v>-999</v>
      </c>
      <c r="CE1615" s="16" t="e">
        <f t="shared" si="458"/>
        <v>#N/A</v>
      </c>
      <c r="CF1615" s="16">
        <f t="shared" si="459"/>
        <v>99</v>
      </c>
      <c r="CG1615" s="16">
        <f t="shared" si="460"/>
        <v>0</v>
      </c>
      <c r="CH1615" s="16">
        <f t="shared" si="465"/>
        <v>0</v>
      </c>
      <c r="CJ1615" s="16" t="e">
        <f t="shared" si="461"/>
        <v>#N/A</v>
      </c>
      <c r="CK1615" s="16" t="str">
        <f t="shared" si="462"/>
        <v/>
      </c>
    </row>
    <row r="1616" spans="73:89" ht="12" customHeight="1">
      <c r="BU1616" s="16">
        <f t="shared" si="463"/>
        <v>0</v>
      </c>
      <c r="BV1616" s="16">
        <f>IF($BY$12=1,NORMDIST(BY1616,$Y$6,$Y$8,TRUE),IF($BY$12=2,IF(BY1616&lt;=$BX$31,0,IF(BY1616&gt;=$BX$32,1,(BY1616-$BX$31)*$BX$33)),SUM($BU$42:BU1616)/$BV$40))</f>
        <v>0.99999996063167895</v>
      </c>
      <c r="BW1616" s="16">
        <f t="shared" si="455"/>
        <v>1.7180330952317912E-6</v>
      </c>
      <c r="BY1616" s="16">
        <f t="shared" si="456"/>
        <v>157.39999999999534</v>
      </c>
      <c r="BZ1616" s="16">
        <f t="shared" si="457"/>
        <v>1.0915076843912592E-8</v>
      </c>
      <c r="CA1616" s="16">
        <f t="shared" si="464"/>
        <v>-999</v>
      </c>
      <c r="CE1616" s="16" t="e">
        <f t="shared" si="458"/>
        <v>#N/A</v>
      </c>
      <c r="CF1616" s="16">
        <f t="shared" si="459"/>
        <v>99</v>
      </c>
      <c r="CG1616" s="16">
        <f t="shared" si="460"/>
        <v>0</v>
      </c>
      <c r="CH1616" s="16">
        <f t="shared" si="465"/>
        <v>0</v>
      </c>
      <c r="CJ1616" s="16" t="e">
        <f t="shared" si="461"/>
        <v>#N/A</v>
      </c>
      <c r="CK1616" s="16" t="str">
        <f t="shared" si="462"/>
        <v/>
      </c>
    </row>
    <row r="1617" spans="73:89" ht="12" customHeight="1">
      <c r="BU1617" s="16">
        <f t="shared" si="463"/>
        <v>0</v>
      </c>
      <c r="BV1617" s="16">
        <f>IF($BY$12=1,NORMDIST(BY1617,$Y$6,$Y$8,TRUE),IF($BY$12=2,IF(BY1617&lt;=$BX$31,0,IF(BY1617&gt;=$BX$32,1,(BY1617-$BX$31)*$BX$33)),SUM($BU$42:BU1617)/$BV$40))</f>
        <v>0.9999999617086589</v>
      </c>
      <c r="BW1617" s="16">
        <f t="shared" si="455"/>
        <v>1.6735593564213982E-6</v>
      </c>
      <c r="BY1617" s="16">
        <f t="shared" si="456"/>
        <v>157.49999999999534</v>
      </c>
      <c r="BZ1617" s="16">
        <f t="shared" si="457"/>
        <v>1.0625773691564747E-8</v>
      </c>
      <c r="CA1617" s="16">
        <f t="shared" si="464"/>
        <v>-999</v>
      </c>
      <c r="CE1617" s="16" t="e">
        <f t="shared" si="458"/>
        <v>#N/A</v>
      </c>
      <c r="CF1617" s="16">
        <f t="shared" si="459"/>
        <v>99</v>
      </c>
      <c r="CG1617" s="16">
        <f t="shared" si="460"/>
        <v>0</v>
      </c>
      <c r="CH1617" s="16">
        <f t="shared" si="465"/>
        <v>0</v>
      </c>
      <c r="CJ1617" s="16" t="e">
        <f t="shared" si="461"/>
        <v>#N/A</v>
      </c>
      <c r="CK1617" s="16" t="str">
        <f t="shared" si="462"/>
        <v/>
      </c>
    </row>
    <row r="1618" spans="73:89" ht="12" customHeight="1">
      <c r="BU1618" s="16">
        <f t="shared" si="463"/>
        <v>0</v>
      </c>
      <c r="BV1618" s="16">
        <f>IF($BY$12=1,NORMDIST(BY1618,$Y$6,$Y$8,TRUE),IF($BY$12=2,IF(BY1618&lt;=$BX$31,0,IF(BY1618&gt;=$BX$32,1,(BY1618-$BX$31)*$BX$33)),SUM($BU$42:BU1618)/$BV$40))</f>
        <v>0.9999999627570807</v>
      </c>
      <c r="BW1618" s="16">
        <f t="shared" si="455"/>
        <v>1.630195471233084E-6</v>
      </c>
      <c r="BY1618" s="16">
        <f t="shared" si="456"/>
        <v>157.59999999999533</v>
      </c>
      <c r="BZ1618" s="16">
        <f t="shared" si="457"/>
        <v>1.0343879893611245E-8</v>
      </c>
      <c r="CA1618" s="16">
        <f t="shared" si="464"/>
        <v>-999</v>
      </c>
      <c r="CE1618" s="16" t="e">
        <f t="shared" si="458"/>
        <v>#N/A</v>
      </c>
      <c r="CF1618" s="16">
        <f t="shared" si="459"/>
        <v>99</v>
      </c>
      <c r="CG1618" s="16">
        <f t="shared" si="460"/>
        <v>0</v>
      </c>
      <c r="CH1618" s="16">
        <f t="shared" si="465"/>
        <v>0</v>
      </c>
      <c r="CJ1618" s="16" t="e">
        <f t="shared" si="461"/>
        <v>#N/A</v>
      </c>
      <c r="CK1618" s="16" t="str">
        <f t="shared" si="462"/>
        <v/>
      </c>
    </row>
    <row r="1619" spans="73:89" ht="12" customHeight="1">
      <c r="BU1619" s="16">
        <f t="shared" si="463"/>
        <v>0</v>
      </c>
      <c r="BV1619" s="16">
        <f>IF($BY$12=1,NORMDIST(BY1619,$Y$6,$Y$8,TRUE),IF($BY$12=2,IF(BY1619&lt;=$BX$31,0,IF(BY1619&gt;=$BX$32,1,(BY1619-$BX$31)*$BX$33)),SUM($BU$42:BU1619)/$BV$40))</f>
        <v>0.99999996377767575</v>
      </c>
      <c r="BW1619" s="16">
        <f t="shared" ref="BW1619:BW1682" si="466">BY1619*BZ1619</f>
        <v>1.5879148574558023E-6</v>
      </c>
      <c r="BY1619" s="16">
        <f t="shared" ref="BY1619:BY1682" si="467">BY1618+$BZ$1</f>
        <v>157.69999999999533</v>
      </c>
      <c r="BZ1619" s="16">
        <f t="shared" si="457"/>
        <v>1.006921279299841E-8</v>
      </c>
      <c r="CA1619" s="16">
        <f t="shared" si="464"/>
        <v>-999</v>
      </c>
      <c r="CE1619" s="16" t="e">
        <f t="shared" si="458"/>
        <v>#N/A</v>
      </c>
      <c r="CF1619" s="16">
        <f t="shared" si="459"/>
        <v>99</v>
      </c>
      <c r="CG1619" s="16">
        <f t="shared" si="460"/>
        <v>0</v>
      </c>
      <c r="CH1619" s="16">
        <f t="shared" si="465"/>
        <v>0</v>
      </c>
      <c r="CJ1619" s="16" t="e">
        <f t="shared" si="461"/>
        <v>#N/A</v>
      </c>
      <c r="CK1619" s="16" t="str">
        <f t="shared" si="462"/>
        <v/>
      </c>
    </row>
    <row r="1620" spans="73:89" ht="12" customHeight="1">
      <c r="BU1620" s="16">
        <f t="shared" si="463"/>
        <v>0</v>
      </c>
      <c r="BV1620" s="16">
        <f>IF($BY$12=1,NORMDIST(BY1620,$Y$6,$Y$8,TRUE),IF($BY$12=2,IF(BY1620&lt;=$BX$31,0,IF(BY1620&gt;=$BX$32,1,(BY1620-$BX$31)*$BX$33)),SUM($BU$42:BU1620)/$BV$40))</f>
        <v>0.99999996477115816</v>
      </c>
      <c r="BW1620" s="16">
        <f t="shared" si="466"/>
        <v>1.5466915404351191E-6</v>
      </c>
      <c r="BY1620" s="16">
        <f t="shared" si="467"/>
        <v>157.79999999999532</v>
      </c>
      <c r="BZ1620" s="16">
        <f t="shared" si="457"/>
        <v>9.8015940458502213E-9</v>
      </c>
      <c r="CA1620" s="16">
        <f t="shared" si="464"/>
        <v>-999</v>
      </c>
      <c r="CE1620" s="16" t="e">
        <f t="shared" si="458"/>
        <v>#N/A</v>
      </c>
      <c r="CF1620" s="16">
        <f t="shared" si="459"/>
        <v>99</v>
      </c>
      <c r="CG1620" s="16">
        <f t="shared" si="460"/>
        <v>0</v>
      </c>
      <c r="CH1620" s="16">
        <f t="shared" si="465"/>
        <v>0</v>
      </c>
      <c r="CJ1620" s="16" t="e">
        <f t="shared" si="461"/>
        <v>#N/A</v>
      </c>
      <c r="CK1620" s="16" t="str">
        <f t="shared" si="462"/>
        <v/>
      </c>
    </row>
    <row r="1621" spans="73:89" ht="12" customHeight="1">
      <c r="BU1621" s="16">
        <f t="shared" si="463"/>
        <v>0</v>
      </c>
      <c r="BV1621" s="16">
        <f>IF($BY$12=1,NORMDIST(BY1621,$Y$6,$Y$8,TRUE),IF($BY$12=2,IF(BY1621&lt;=$BX$31,0,IF(BY1621&gt;=$BX$32,1,(BY1621-$BX$31)*$BX$33)),SUM($BU$42:BU1621)/$BV$40))</f>
        <v>0.9999999657382237</v>
      </c>
      <c r="BW1621" s="16">
        <f t="shared" si="466"/>
        <v>1.5065001399240605E-6</v>
      </c>
      <c r="BY1621" s="16">
        <f t="shared" si="467"/>
        <v>157.89999999999532</v>
      </c>
      <c r="BZ1621" s="16">
        <f t="shared" si="457"/>
        <v>9.540849524535182E-9</v>
      </c>
      <c r="CA1621" s="16">
        <f t="shared" si="464"/>
        <v>-999</v>
      </c>
      <c r="CE1621" s="16" t="e">
        <f t="shared" si="458"/>
        <v>#N/A</v>
      </c>
      <c r="CF1621" s="16">
        <f t="shared" si="459"/>
        <v>99</v>
      </c>
      <c r="CG1621" s="16">
        <f t="shared" si="460"/>
        <v>0</v>
      </c>
      <c r="CH1621" s="16">
        <f t="shared" si="465"/>
        <v>0</v>
      </c>
      <c r="CJ1621" s="16" t="e">
        <f t="shared" si="461"/>
        <v>#N/A</v>
      </c>
      <c r="CK1621" s="16" t="str">
        <f t="shared" si="462"/>
        <v/>
      </c>
    </row>
    <row r="1622" spans="73:89" ht="12" customHeight="1">
      <c r="BU1622" s="16">
        <f t="shared" si="463"/>
        <v>0</v>
      </c>
      <c r="BV1622" s="16">
        <f>IF($BY$12=1,NORMDIST(BY1622,$Y$6,$Y$8,TRUE),IF($BY$12=2,IF(BY1622&lt;=$BX$31,0,IF(BY1622&gt;=$BX$32,1,(BY1622-$BX$31)*$BX$33)),SUM($BU$42:BU1622)/$BV$40))</f>
        <v>0.99999996667955149</v>
      </c>
      <c r="BW1622" s="16">
        <f t="shared" si="466"/>
        <v>1.4673158572004962E-6</v>
      </c>
      <c r="BY1622" s="16">
        <f t="shared" si="467"/>
        <v>157.99999999999531</v>
      </c>
      <c r="BZ1622" s="16">
        <f t="shared" si="457"/>
        <v>9.2868092227882264E-9</v>
      </c>
      <c r="CA1622" s="16">
        <f t="shared" si="464"/>
        <v>-999</v>
      </c>
      <c r="CE1622" s="16" t="e">
        <f t="shared" si="458"/>
        <v>#N/A</v>
      </c>
      <c r="CF1622" s="16">
        <f t="shared" si="459"/>
        <v>99</v>
      </c>
      <c r="CG1622" s="16">
        <f t="shared" si="460"/>
        <v>0</v>
      </c>
      <c r="CH1622" s="16">
        <f t="shared" si="465"/>
        <v>0</v>
      </c>
      <c r="CJ1622" s="16" t="e">
        <f t="shared" si="461"/>
        <v>#N/A</v>
      </c>
      <c r="CK1622" s="16" t="str">
        <f t="shared" si="462"/>
        <v/>
      </c>
    </row>
    <row r="1623" spans="73:89" ht="12" customHeight="1">
      <c r="BU1623" s="16">
        <f t="shared" si="463"/>
        <v>0</v>
      </c>
      <c r="BV1623" s="16">
        <f>IF($BY$12=1,NORMDIST(BY1623,$Y$6,$Y$8,TRUE),IF($BY$12=2,IF(BY1623&lt;=$BX$31,0,IF(BY1623&gt;=$BX$32,1,(BY1623-$BX$31)*$BX$33)),SUM($BU$42:BU1623)/$BV$40))</f>
        <v>0.99999996759580356</v>
      </c>
      <c r="BW1623" s="16">
        <f t="shared" si="466"/>
        <v>1.4291144624460829E-6</v>
      </c>
      <c r="BY1623" s="16">
        <f t="shared" si="467"/>
        <v>158.0999999999953</v>
      </c>
      <c r="BZ1623" s="16">
        <f t="shared" si="457"/>
        <v>9.0393071628470929E-9</v>
      </c>
      <c r="CA1623" s="16">
        <f t="shared" si="464"/>
        <v>-999</v>
      </c>
      <c r="CE1623" s="16" t="e">
        <f t="shared" si="458"/>
        <v>#N/A</v>
      </c>
      <c r="CF1623" s="16">
        <f t="shared" si="459"/>
        <v>99</v>
      </c>
      <c r="CG1623" s="16">
        <f t="shared" si="460"/>
        <v>0</v>
      </c>
      <c r="CH1623" s="16">
        <f t="shared" si="465"/>
        <v>0</v>
      </c>
      <c r="CJ1623" s="16" t="e">
        <f t="shared" si="461"/>
        <v>#N/A</v>
      </c>
      <c r="CK1623" s="16" t="str">
        <f t="shared" si="462"/>
        <v/>
      </c>
    </row>
    <row r="1624" spans="73:89" ht="12" customHeight="1">
      <c r="BU1624" s="16">
        <f t="shared" si="463"/>
        <v>0</v>
      </c>
      <c r="BV1624" s="16">
        <f>IF($BY$12=1,NORMDIST(BY1624,$Y$6,$Y$8,TRUE),IF($BY$12=2,IF(BY1624&lt;=$BX$31,0,IF(BY1624&gt;=$BX$32,1,(BY1624-$BX$31)*$BX$33)),SUM($BU$42:BU1624)/$BV$40))</f>
        <v>0.99999996848762551</v>
      </c>
      <c r="BW1624" s="16">
        <f t="shared" si="466"/>
        <v>1.391872282381902E-6</v>
      </c>
      <c r="BY1624" s="16">
        <f t="shared" si="467"/>
        <v>158.1999999999953</v>
      </c>
      <c r="BZ1624" s="16">
        <f t="shared" si="457"/>
        <v>8.7981813045634846E-9</v>
      </c>
      <c r="CA1624" s="16">
        <f t="shared" si="464"/>
        <v>-999</v>
      </c>
      <c r="CE1624" s="16" t="e">
        <f t="shared" si="458"/>
        <v>#N/A</v>
      </c>
      <c r="CF1624" s="16">
        <f t="shared" si="459"/>
        <v>99</v>
      </c>
      <c r="CG1624" s="16">
        <f t="shared" si="460"/>
        <v>0</v>
      </c>
      <c r="CH1624" s="16">
        <f t="shared" si="465"/>
        <v>0</v>
      </c>
      <c r="CJ1624" s="16" t="e">
        <f t="shared" si="461"/>
        <v>#N/A</v>
      </c>
      <c r="CK1624" s="16" t="str">
        <f t="shared" si="462"/>
        <v/>
      </c>
    </row>
    <row r="1625" spans="73:89" ht="12" customHeight="1">
      <c r="BU1625" s="16">
        <f t="shared" si="463"/>
        <v>0</v>
      </c>
      <c r="BV1625" s="16">
        <f>IF($BY$12=1,NORMDIST(BY1625,$Y$6,$Y$8,TRUE),IF($BY$12=2,IF(BY1625&lt;=$BX$31,0,IF(BY1625&gt;=$BX$32,1,(BY1625-$BX$31)*$BX$33)),SUM($BU$42:BU1625)/$BV$40))</f>
        <v>0.99999996935564706</v>
      </c>
      <c r="BW1625" s="16">
        <f t="shared" si="466"/>
        <v>1.3555661881559349E-6</v>
      </c>
      <c r="BY1625" s="16">
        <f t="shared" si="467"/>
        <v>158.29999999999529</v>
      </c>
      <c r="BZ1625" s="16">
        <f t="shared" si="457"/>
        <v>8.5632734564496222E-9</v>
      </c>
      <c r="CA1625" s="16">
        <f t="shared" si="464"/>
        <v>-999</v>
      </c>
      <c r="CE1625" s="16" t="e">
        <f t="shared" si="458"/>
        <v>#N/A</v>
      </c>
      <c r="CF1625" s="16">
        <f t="shared" si="459"/>
        <v>99</v>
      </c>
      <c r="CG1625" s="16">
        <f t="shared" si="460"/>
        <v>0</v>
      </c>
      <c r="CH1625" s="16">
        <f t="shared" si="465"/>
        <v>0</v>
      </c>
      <c r="CJ1625" s="16" t="e">
        <f t="shared" si="461"/>
        <v>#N/A</v>
      </c>
      <c r="CK1625" s="16" t="str">
        <f t="shared" si="462"/>
        <v/>
      </c>
    </row>
    <row r="1626" spans="73:89" ht="12" customHeight="1">
      <c r="BU1626" s="16">
        <f t="shared" si="463"/>
        <v>0</v>
      </c>
      <c r="BV1626" s="16">
        <f>IF($BY$12=1,NORMDIST(BY1626,$Y$6,$Y$8,TRUE),IF($BY$12=2,IF(BY1626&lt;=$BX$31,0,IF(BY1626&gt;=$BX$32,1,(BY1626-$BX$31)*$BX$33)),SUM($BU$42:BU1626)/$BV$40))</f>
        <v>0.99999997020048226</v>
      </c>
      <c r="BW1626" s="16">
        <f t="shared" si="466"/>
        <v>1.3201735834776947E-6</v>
      </c>
      <c r="BY1626" s="16">
        <f t="shared" si="467"/>
        <v>158.39999999999529</v>
      </c>
      <c r="BZ1626" s="16">
        <f t="shared" si="457"/>
        <v>8.3344291886220578E-9</v>
      </c>
      <c r="CA1626" s="16">
        <f t="shared" si="464"/>
        <v>-999</v>
      </c>
      <c r="CE1626" s="16" t="e">
        <f t="shared" si="458"/>
        <v>#N/A</v>
      </c>
      <c r="CF1626" s="16">
        <f t="shared" si="459"/>
        <v>99</v>
      </c>
      <c r="CG1626" s="16">
        <f t="shared" si="460"/>
        <v>0</v>
      </c>
      <c r="CH1626" s="16">
        <f t="shared" si="465"/>
        <v>0</v>
      </c>
      <c r="CJ1626" s="16" t="e">
        <f t="shared" si="461"/>
        <v>#N/A</v>
      </c>
      <c r="CK1626" s="16" t="str">
        <f t="shared" si="462"/>
        <v/>
      </c>
    </row>
    <row r="1627" spans="73:89" ht="12" customHeight="1">
      <c r="BU1627" s="16">
        <f t="shared" si="463"/>
        <v>0</v>
      </c>
      <c r="BV1627" s="16">
        <f>IF($BY$12=1,NORMDIST(BY1627,$Y$6,$Y$8,TRUE),IF($BY$12=2,IF(BY1627&lt;=$BX$31,0,IF(BY1627&gt;=$BX$32,1,(BY1627-$BX$31)*$BX$33)),SUM($BU$42:BU1627)/$BV$40))</f>
        <v>0.99999997102272997</v>
      </c>
      <c r="BW1627" s="16">
        <f t="shared" si="466"/>
        <v>1.285672392995315E-6</v>
      </c>
      <c r="BY1627" s="16">
        <f t="shared" si="467"/>
        <v>158.49999999999528</v>
      </c>
      <c r="BZ1627" s="16">
        <f t="shared" si="457"/>
        <v>8.1114977476047526E-9</v>
      </c>
      <c r="CA1627" s="16">
        <f t="shared" si="464"/>
        <v>-999</v>
      </c>
      <c r="CE1627" s="16" t="e">
        <f t="shared" si="458"/>
        <v>#N/A</v>
      </c>
      <c r="CF1627" s="16">
        <f t="shared" si="459"/>
        <v>99</v>
      </c>
      <c r="CG1627" s="16">
        <f t="shared" si="460"/>
        <v>0</v>
      </c>
      <c r="CH1627" s="16">
        <f t="shared" si="465"/>
        <v>0</v>
      </c>
      <c r="CJ1627" s="16" t="e">
        <f t="shared" si="461"/>
        <v>#N/A</v>
      </c>
      <c r="CK1627" s="16" t="str">
        <f t="shared" si="462"/>
        <v/>
      </c>
    </row>
    <row r="1628" spans="73:89" ht="12" customHeight="1">
      <c r="BU1628" s="16">
        <f t="shared" si="463"/>
        <v>0</v>
      </c>
      <c r="BV1628" s="16">
        <f>IF($BY$12=1,NORMDIST(BY1628,$Y$6,$Y$8,TRUE),IF($BY$12=2,IF(BY1628&lt;=$BX$31,0,IF(BY1628&gt;=$BX$32,1,(BY1628-$BX$31)*$BX$33)),SUM($BU$42:BU1628)/$BV$40))</f>
        <v>0.99999997182297407</v>
      </c>
      <c r="BW1628" s="16">
        <f t="shared" si="466"/>
        <v>1.2520410509105688E-6</v>
      </c>
      <c r="BY1628" s="16">
        <f t="shared" si="467"/>
        <v>158.59999999999528</v>
      </c>
      <c r="BZ1628" s="16">
        <f t="shared" si="457"/>
        <v>7.894331972954641E-9</v>
      </c>
      <c r="CA1628" s="16">
        <f t="shared" si="464"/>
        <v>-999</v>
      </c>
      <c r="CE1628" s="16" t="e">
        <f t="shared" si="458"/>
        <v>#N/A</v>
      </c>
      <c r="CF1628" s="16">
        <f t="shared" si="459"/>
        <v>99</v>
      </c>
      <c r="CG1628" s="16">
        <f t="shared" si="460"/>
        <v>0</v>
      </c>
      <c r="CH1628" s="16">
        <f t="shared" si="465"/>
        <v>0</v>
      </c>
      <c r="CJ1628" s="16" t="e">
        <f t="shared" si="461"/>
        <v>#N/A</v>
      </c>
      <c r="CK1628" s="16" t="str">
        <f t="shared" si="462"/>
        <v/>
      </c>
    </row>
    <row r="1629" spans="73:89" ht="12" customHeight="1">
      <c r="BU1629" s="16">
        <f t="shared" si="463"/>
        <v>0</v>
      </c>
      <c r="BV1629" s="16">
        <f>IF($BY$12=1,NORMDIST(BY1629,$Y$6,$Y$8,TRUE),IF($BY$12=2,IF(BY1629&lt;=$BX$31,0,IF(BY1629&gt;=$BX$32,1,(BY1629-$BX$31)*$BX$33)),SUM($BU$42:BU1629)/$BV$40))</f>
        <v>0.99999997260178375</v>
      </c>
      <c r="BW1629" s="16">
        <f t="shared" si="466"/>
        <v>1.2192584898272806E-6</v>
      </c>
      <c r="BY1629" s="16">
        <f t="shared" si="467"/>
        <v>158.69999999999527</v>
      </c>
      <c r="BZ1629" s="16">
        <f t="shared" si="457"/>
        <v>7.6827882156730745E-9</v>
      </c>
      <c r="CA1629" s="16">
        <f t="shared" si="464"/>
        <v>-999</v>
      </c>
      <c r="CE1629" s="16" t="e">
        <f t="shared" si="458"/>
        <v>#N/A</v>
      </c>
      <c r="CF1629" s="16">
        <f t="shared" si="459"/>
        <v>99</v>
      </c>
      <c r="CG1629" s="16">
        <f t="shared" si="460"/>
        <v>0</v>
      </c>
      <c r="CH1629" s="16">
        <f t="shared" si="465"/>
        <v>0</v>
      </c>
      <c r="CJ1629" s="16" t="e">
        <f t="shared" si="461"/>
        <v>#N/A</v>
      </c>
      <c r="CK1629" s="16" t="str">
        <f t="shared" si="462"/>
        <v/>
      </c>
    </row>
    <row r="1630" spans="73:89" ht="12" customHeight="1">
      <c r="BU1630" s="16">
        <f t="shared" si="463"/>
        <v>0</v>
      </c>
      <c r="BV1630" s="16">
        <f>IF($BY$12=1,NORMDIST(BY1630,$Y$6,$Y$8,TRUE),IF($BY$12=2,IF(BY1630&lt;=$BX$31,0,IF(BY1630&gt;=$BX$32,1,(BY1630-$BX$31)*$BX$33)),SUM($BU$42:BU1630)/$BV$40))</f>
        <v>0.99999997335971436</v>
      </c>
      <c r="BW1630" s="16">
        <f t="shared" si="466"/>
        <v>1.1873041298287416E-6</v>
      </c>
      <c r="BY1630" s="16">
        <f t="shared" si="467"/>
        <v>158.79999999999526</v>
      </c>
      <c r="BZ1630" s="16">
        <f t="shared" si="457"/>
        <v>7.4767262583676128E-9</v>
      </c>
      <c r="CA1630" s="16">
        <f t="shared" si="464"/>
        <v>-999</v>
      </c>
      <c r="CE1630" s="16" t="e">
        <f t="shared" si="458"/>
        <v>#N/A</v>
      </c>
      <c r="CF1630" s="16">
        <f t="shared" si="459"/>
        <v>99</v>
      </c>
      <c r="CG1630" s="16">
        <f t="shared" si="460"/>
        <v>0</v>
      </c>
      <c r="CH1630" s="16">
        <f t="shared" si="465"/>
        <v>0</v>
      </c>
      <c r="CJ1630" s="16" t="e">
        <f t="shared" si="461"/>
        <v>#N/A</v>
      </c>
      <c r="CK1630" s="16" t="str">
        <f t="shared" si="462"/>
        <v/>
      </c>
    </row>
    <row r="1631" spans="73:89" ht="12" customHeight="1">
      <c r="BU1631" s="16">
        <f t="shared" si="463"/>
        <v>0</v>
      </c>
      <c r="BV1631" s="16">
        <f>IF($BY$12=1,NORMDIST(BY1631,$Y$6,$Y$8,TRUE),IF($BY$12=2,IF(BY1631&lt;=$BX$31,0,IF(BY1631&gt;=$BX$32,1,(BY1631-$BX$31)*$BX$33)),SUM($BU$42:BU1631)/$BV$40))</f>
        <v>0.99999997409730723</v>
      </c>
      <c r="BW1631" s="16">
        <f t="shared" si="466"/>
        <v>1.1561578677797883E-6</v>
      </c>
      <c r="BY1631" s="16">
        <f t="shared" si="467"/>
        <v>158.89999999999526</v>
      </c>
      <c r="BZ1631" s="16">
        <f t="shared" si="457"/>
        <v>7.2760092371291554E-9</v>
      </c>
      <c r="CA1631" s="16">
        <f t="shared" si="464"/>
        <v>-999</v>
      </c>
      <c r="CE1631" s="16" t="e">
        <f t="shared" si="458"/>
        <v>#N/A</v>
      </c>
      <c r="CF1631" s="16">
        <f t="shared" si="459"/>
        <v>99</v>
      </c>
      <c r="CG1631" s="16">
        <f t="shared" si="460"/>
        <v>0</v>
      </c>
      <c r="CH1631" s="16">
        <f t="shared" si="465"/>
        <v>0</v>
      </c>
      <c r="CJ1631" s="16" t="e">
        <f t="shared" si="461"/>
        <v>#N/A</v>
      </c>
      <c r="CK1631" s="16" t="str">
        <f t="shared" si="462"/>
        <v/>
      </c>
    </row>
    <row r="1632" spans="73:89" ht="12" customHeight="1">
      <c r="BU1632" s="16">
        <f t="shared" si="463"/>
        <v>0</v>
      </c>
      <c r="BV1632" s="16">
        <f>IF($BY$12=1,NORMDIST(BY1632,$Y$6,$Y$8,TRUE),IF($BY$12=2,IF(BY1632&lt;=$BX$31,0,IF(BY1632&gt;=$BX$32,1,(BY1632-$BX$31)*$BX$33)),SUM($BU$42:BU1632)/$BV$40))</f>
        <v>0.99999997481508995</v>
      </c>
      <c r="BW1632" s="16">
        <f t="shared" si="466"/>
        <v>1.1258000668492358E-6</v>
      </c>
      <c r="BY1632" s="16">
        <f t="shared" si="467"/>
        <v>158.99999999999525</v>
      </c>
      <c r="BZ1632" s="16">
        <f t="shared" si="457"/>
        <v>7.0805035650897443E-9</v>
      </c>
      <c r="CA1632" s="16">
        <f t="shared" si="464"/>
        <v>-999</v>
      </c>
      <c r="CE1632" s="16" t="e">
        <f t="shared" si="458"/>
        <v>#N/A</v>
      </c>
      <c r="CF1632" s="16">
        <f t="shared" si="459"/>
        <v>99</v>
      </c>
      <c r="CG1632" s="16">
        <f t="shared" si="460"/>
        <v>0</v>
      </c>
      <c r="CH1632" s="16">
        <f t="shared" si="465"/>
        <v>0</v>
      </c>
      <c r="CJ1632" s="16" t="e">
        <f t="shared" si="461"/>
        <v>#N/A</v>
      </c>
      <c r="CK1632" s="16" t="str">
        <f t="shared" si="462"/>
        <v/>
      </c>
    </row>
    <row r="1633" spans="73:89" ht="12" customHeight="1">
      <c r="BU1633" s="16">
        <f t="shared" si="463"/>
        <v>0</v>
      </c>
      <c r="BV1633" s="16">
        <f>IF($BY$12=1,NORMDIST(BY1633,$Y$6,$Y$8,TRUE),IF($BY$12=2,IF(BY1633&lt;=$BX$31,0,IF(BY1633&gt;=$BX$32,1,(BY1633-$BX$31)*$BX$33)),SUM($BU$42:BU1633)/$BV$40))</f>
        <v>0.99999997551357722</v>
      </c>
      <c r="BW1633" s="16">
        <f t="shared" si="466"/>
        <v>1.0962115462485228E-6</v>
      </c>
      <c r="BY1633" s="16">
        <f t="shared" si="467"/>
        <v>159.09999999999525</v>
      </c>
      <c r="BZ1633" s="16">
        <f t="shared" si="457"/>
        <v>6.890078857627628E-9</v>
      </c>
      <c r="CA1633" s="16">
        <f t="shared" si="464"/>
        <v>-999</v>
      </c>
      <c r="CE1633" s="16" t="e">
        <f t="shared" si="458"/>
        <v>#N/A</v>
      </c>
      <c r="CF1633" s="16">
        <f t="shared" si="459"/>
        <v>99</v>
      </c>
      <c r="CG1633" s="16">
        <f t="shared" si="460"/>
        <v>0</v>
      </c>
      <c r="CH1633" s="16">
        <f t="shared" si="465"/>
        <v>0</v>
      </c>
      <c r="CJ1633" s="16" t="e">
        <f t="shared" si="461"/>
        <v>#N/A</v>
      </c>
      <c r="CK1633" s="16" t="str">
        <f t="shared" si="462"/>
        <v/>
      </c>
    </row>
    <row r="1634" spans="73:89" ht="12" customHeight="1">
      <c r="BU1634" s="16">
        <f t="shared" si="463"/>
        <v>0</v>
      </c>
      <c r="BV1634" s="16">
        <f>IF($BY$12=1,NORMDIST(BY1634,$Y$6,$Y$8,TRUE),IF($BY$12=2,IF(BY1634&lt;=$BX$31,0,IF(BY1634&gt;=$BX$32,1,(BY1634-$BX$31)*$BX$33)),SUM($BU$42:BU1634)/$BV$40))</f>
        <v>0.99999997619327086</v>
      </c>
      <c r="BW1634" s="16">
        <f t="shared" si="466"/>
        <v>1.0673735711823921E-6</v>
      </c>
      <c r="BY1634" s="16">
        <f t="shared" si="467"/>
        <v>159.19999999999524</v>
      </c>
      <c r="BZ1634" s="16">
        <f t="shared" si="457"/>
        <v>6.70460785918608E-9</v>
      </c>
      <c r="CA1634" s="16">
        <f t="shared" si="464"/>
        <v>-999</v>
      </c>
      <c r="CE1634" s="16" t="e">
        <f t="shared" si="458"/>
        <v>#N/A</v>
      </c>
      <c r="CF1634" s="16">
        <f t="shared" si="459"/>
        <v>99</v>
      </c>
      <c r="CG1634" s="16">
        <f t="shared" si="460"/>
        <v>0</v>
      </c>
      <c r="CH1634" s="16">
        <f t="shared" si="465"/>
        <v>0</v>
      </c>
      <c r="CJ1634" s="16" t="e">
        <f t="shared" si="461"/>
        <v>#N/A</v>
      </c>
      <c r="CK1634" s="16" t="str">
        <f t="shared" si="462"/>
        <v/>
      </c>
    </row>
    <row r="1635" spans="73:89" ht="12" customHeight="1">
      <c r="BU1635" s="16">
        <f t="shared" si="463"/>
        <v>0</v>
      </c>
      <c r="BV1635" s="16">
        <f>IF($BY$12=1,NORMDIST(BY1635,$Y$6,$Y$8,TRUE),IF($BY$12=2,IF(BY1635&lt;=$BX$31,0,IF(BY1635&gt;=$BX$32,1,(BY1635-$BX$31)*$BX$33)),SUM($BU$42:BU1635)/$BV$40))</f>
        <v>0.9999999768546598</v>
      </c>
      <c r="BW1635" s="16">
        <f t="shared" si="466"/>
        <v>1.0392678430076083E-6</v>
      </c>
      <c r="BY1635" s="16">
        <f t="shared" si="467"/>
        <v>159.29999999999524</v>
      </c>
      <c r="BZ1635" s="16">
        <f t="shared" si="457"/>
        <v>6.5239663716738189E-9</v>
      </c>
      <c r="CA1635" s="16">
        <f t="shared" si="464"/>
        <v>-999</v>
      </c>
      <c r="CE1635" s="16" t="e">
        <f t="shared" si="458"/>
        <v>#N/A</v>
      </c>
      <c r="CF1635" s="16">
        <f t="shared" si="459"/>
        <v>99</v>
      </c>
      <c r="CG1635" s="16">
        <f t="shared" si="460"/>
        <v>0</v>
      </c>
      <c r="CH1635" s="16">
        <f t="shared" si="465"/>
        <v>0</v>
      </c>
      <c r="CJ1635" s="16" t="e">
        <f t="shared" si="461"/>
        <v>#N/A</v>
      </c>
      <c r="CK1635" s="16" t="str">
        <f t="shared" si="462"/>
        <v/>
      </c>
    </row>
    <row r="1636" spans="73:89" ht="12" customHeight="1">
      <c r="BU1636" s="16">
        <f t="shared" si="463"/>
        <v>0</v>
      </c>
      <c r="BV1636" s="16">
        <f>IF($BY$12=1,NORMDIST(BY1636,$Y$6,$Y$8,TRUE),IF($BY$12=2,IF(BY1636&lt;=$BX$31,0,IF(BY1636&gt;=$BX$32,1,(BY1636-$BX$31)*$BX$33)),SUM($BU$42:BU1636)/$BV$40))</f>
        <v>0.999999977498221</v>
      </c>
      <c r="BW1636" s="16">
        <f t="shared" si="466"/>
        <v>1.0118764895956776E-6</v>
      </c>
      <c r="BY1636" s="16">
        <f t="shared" si="467"/>
        <v>159.39999999999523</v>
      </c>
      <c r="BZ1636" s="16">
        <f t="shared" si="457"/>
        <v>6.3480331844147293E-9</v>
      </c>
      <c r="CA1636" s="16">
        <f t="shared" si="464"/>
        <v>-999</v>
      </c>
      <c r="CE1636" s="16" t="e">
        <f t="shared" si="458"/>
        <v>#N/A</v>
      </c>
      <c r="CF1636" s="16">
        <f t="shared" si="459"/>
        <v>99</v>
      </c>
      <c r="CG1636" s="16">
        <f t="shared" si="460"/>
        <v>0</v>
      </c>
      <c r="CH1636" s="16">
        <f t="shared" si="465"/>
        <v>0</v>
      </c>
      <c r="CJ1636" s="16" t="e">
        <f t="shared" si="461"/>
        <v>#N/A</v>
      </c>
      <c r="CK1636" s="16" t="str">
        <f t="shared" si="462"/>
        <v/>
      </c>
    </row>
    <row r="1637" spans="73:89" ht="12" customHeight="1">
      <c r="BU1637" s="16">
        <f t="shared" si="463"/>
        <v>0</v>
      </c>
      <c r="BV1637" s="16">
        <f>IF($BY$12=1,NORMDIST(BY1637,$Y$6,$Y$8,TRUE),IF($BY$12=2,IF(BY1637&lt;=$BX$31,0,IF(BY1637&gt;=$BX$32,1,(BY1637-$BX$31)*$BX$33)),SUM($BU$42:BU1637)/$BV$40))</f>
        <v>0.99999997812441943</v>
      </c>
      <c r="BW1637" s="16">
        <f t="shared" si="466"/>
        <v>9.8518205589567712E-7</v>
      </c>
      <c r="BY1637" s="16">
        <f t="shared" si="467"/>
        <v>159.49999999999523</v>
      </c>
      <c r="BZ1637" s="16">
        <f t="shared" si="457"/>
        <v>6.1766900056157152E-9</v>
      </c>
      <c r="CA1637" s="16">
        <f t="shared" si="464"/>
        <v>-999</v>
      </c>
      <c r="CE1637" s="16" t="e">
        <f t="shared" si="458"/>
        <v>#N/A</v>
      </c>
      <c r="CF1637" s="16">
        <f t="shared" si="459"/>
        <v>99</v>
      </c>
      <c r="CG1637" s="16">
        <f t="shared" si="460"/>
        <v>0</v>
      </c>
      <c r="CH1637" s="16">
        <f t="shared" si="465"/>
        <v>0</v>
      </c>
      <c r="CJ1637" s="16" t="e">
        <f t="shared" si="461"/>
        <v>#N/A</v>
      </c>
      <c r="CK1637" s="16" t="str">
        <f t="shared" si="462"/>
        <v/>
      </c>
    </row>
    <row r="1638" spans="73:89" ht="12" customHeight="1">
      <c r="BU1638" s="16">
        <f t="shared" si="463"/>
        <v>0</v>
      </c>
      <c r="BV1638" s="16">
        <f>IF($BY$12=1,NORMDIST(BY1638,$Y$6,$Y$8,TRUE),IF($BY$12=2,IF(BY1638&lt;=$BX$31,0,IF(BY1638&gt;=$BX$32,1,(BY1638-$BX$31)*$BX$33)),SUM($BU$42:BU1638)/$BV$40))</f>
        <v>0.99999997873370816</v>
      </c>
      <c r="BW1638" s="16">
        <f t="shared" si="466"/>
        <v>9.5916749469336115E-7</v>
      </c>
      <c r="BY1638" s="16">
        <f t="shared" si="467"/>
        <v>159.59999999999522</v>
      </c>
      <c r="BZ1638" s="16">
        <f t="shared" si="457"/>
        <v>6.0098213953219924E-9</v>
      </c>
      <c r="CA1638" s="16">
        <f t="shared" si="464"/>
        <v>-999</v>
      </c>
      <c r="CE1638" s="16" t="e">
        <f t="shared" si="458"/>
        <v>#N/A</v>
      </c>
      <c r="CF1638" s="16">
        <f t="shared" si="459"/>
        <v>99</v>
      </c>
      <c r="CG1638" s="16">
        <f t="shared" si="460"/>
        <v>0</v>
      </c>
      <c r="CH1638" s="16">
        <f t="shared" si="465"/>
        <v>0</v>
      </c>
      <c r="CJ1638" s="16" t="e">
        <f t="shared" si="461"/>
        <v>#N/A</v>
      </c>
      <c r="CK1638" s="16" t="str">
        <f t="shared" si="462"/>
        <v/>
      </c>
    </row>
    <row r="1639" spans="73:89" ht="12" customHeight="1">
      <c r="BU1639" s="16">
        <f t="shared" si="463"/>
        <v>0</v>
      </c>
      <c r="BV1639" s="16">
        <f>IF($BY$12=1,NORMDIST(BY1639,$Y$6,$Y$8,TRUE),IF($BY$12=2,IF(BY1639&lt;=$BX$31,0,IF(BY1639&gt;=$BX$32,1,(BY1639-$BX$31)*$BX$33)),SUM($BU$42:BU1639)/$BV$40))</f>
        <v>0.99999997932652906</v>
      </c>
      <c r="BW1639" s="16">
        <f t="shared" si="466"/>
        <v>9.3381615756274213E-7</v>
      </c>
      <c r="BY1639" s="16">
        <f t="shared" si="467"/>
        <v>159.69999999999521</v>
      </c>
      <c r="BZ1639" s="16">
        <f t="shared" si="457"/>
        <v>5.8473146998294937E-9</v>
      </c>
      <c r="CA1639" s="16">
        <f t="shared" si="464"/>
        <v>-999</v>
      </c>
      <c r="CE1639" s="16" t="e">
        <f t="shared" si="458"/>
        <v>#N/A</v>
      </c>
      <c r="CF1639" s="16">
        <f t="shared" si="459"/>
        <v>99</v>
      </c>
      <c r="CG1639" s="16">
        <f t="shared" si="460"/>
        <v>0</v>
      </c>
      <c r="CH1639" s="16">
        <f t="shared" si="465"/>
        <v>0</v>
      </c>
      <c r="CJ1639" s="16" t="e">
        <f t="shared" si="461"/>
        <v>#N/A</v>
      </c>
      <c r="CK1639" s="16" t="str">
        <f t="shared" si="462"/>
        <v/>
      </c>
    </row>
    <row r="1640" spans="73:89" ht="12" customHeight="1">
      <c r="BU1640" s="16">
        <f t="shared" si="463"/>
        <v>0</v>
      </c>
      <c r="BV1640" s="16">
        <f>IF($BY$12=1,NORMDIST(BY1640,$Y$6,$Y$8,TRUE),IF($BY$12=2,IF(BY1640&lt;=$BX$31,0,IF(BY1640&gt;=$BX$32,1,(BY1640-$BX$31)*$BX$33)),SUM($BU$42:BU1640)/$BV$40))</f>
        <v>0.99999997990331291</v>
      </c>
      <c r="BW1640" s="16">
        <f t="shared" si="466"/>
        <v>9.0911178600643458E-7</v>
      </c>
      <c r="BY1640" s="16">
        <f t="shared" si="467"/>
        <v>159.79999999999521</v>
      </c>
      <c r="BZ1640" s="16">
        <f t="shared" si="457"/>
        <v>5.6890599875247927E-9</v>
      </c>
      <c r="CA1640" s="16">
        <f t="shared" si="464"/>
        <v>-999</v>
      </c>
      <c r="CE1640" s="16" t="e">
        <f t="shared" si="458"/>
        <v>#N/A</v>
      </c>
      <c r="CF1640" s="16">
        <f t="shared" si="459"/>
        <v>99</v>
      </c>
      <c r="CG1640" s="16">
        <f t="shared" si="460"/>
        <v>0</v>
      </c>
      <c r="CH1640" s="16">
        <f t="shared" si="465"/>
        <v>0</v>
      </c>
      <c r="CJ1640" s="16" t="e">
        <f t="shared" si="461"/>
        <v>#N/A</v>
      </c>
      <c r="CK1640" s="16" t="str">
        <f t="shared" si="462"/>
        <v/>
      </c>
    </row>
    <row r="1641" spans="73:89" ht="12" customHeight="1">
      <c r="BU1641" s="16">
        <f t="shared" si="463"/>
        <v>0</v>
      </c>
      <c r="BV1641" s="16">
        <f>IF($BY$12=1,NORMDIST(BY1641,$Y$6,$Y$8,TRUE),IF($BY$12=2,IF(BY1641&lt;=$BX$31,0,IF(BY1641&gt;=$BX$32,1,(BY1641-$BX$31)*$BX$33)),SUM($BU$42:BU1641)/$BV$40))</f>
        <v>0.99999998046447924</v>
      </c>
      <c r="BW1641" s="16">
        <f t="shared" si="466"/>
        <v>8.850385027811249E-7</v>
      </c>
      <c r="BY1641" s="16">
        <f t="shared" si="467"/>
        <v>159.8999999999952</v>
      </c>
      <c r="BZ1641" s="16">
        <f t="shared" si="457"/>
        <v>5.5349499861235235E-9</v>
      </c>
      <c r="CA1641" s="16">
        <f t="shared" si="464"/>
        <v>-999</v>
      </c>
      <c r="CE1641" s="16" t="e">
        <f t="shared" si="458"/>
        <v>#N/A</v>
      </c>
      <c r="CF1641" s="16">
        <f t="shared" si="459"/>
        <v>99</v>
      </c>
      <c r="CG1641" s="16">
        <f t="shared" si="460"/>
        <v>0</v>
      </c>
      <c r="CH1641" s="16">
        <f t="shared" si="465"/>
        <v>0</v>
      </c>
      <c r="CJ1641" s="16" t="e">
        <f t="shared" si="461"/>
        <v>#N/A</v>
      </c>
      <c r="CK1641" s="16" t="str">
        <f t="shared" si="462"/>
        <v/>
      </c>
    </row>
    <row r="1642" spans="73:89" ht="12" customHeight="1">
      <c r="BU1642" s="16">
        <f t="shared" si="463"/>
        <v>0</v>
      </c>
      <c r="BV1642" s="16">
        <f>IF($BY$12=1,NORMDIST(BY1642,$Y$6,$Y$8,TRUE),IF($BY$12=2,IF(BY1642&lt;=$BX$31,0,IF(BY1642&gt;=$BX$32,1,(BY1642-$BX$31)*$BX$33)),SUM($BU$42:BU1642)/$BV$40))</f>
        <v>0.99999998101043752</v>
      </c>
      <c r="BW1642" s="16">
        <f t="shared" si="466"/>
        <v>8.6158080340457488E-7</v>
      </c>
      <c r="BY1642" s="16">
        <f t="shared" si="467"/>
        <v>159.9999999999952</v>
      </c>
      <c r="BZ1642" s="16">
        <f t="shared" ref="BZ1642:BZ1705" si="468">IF($BZ$5,IF($BY$12=1,NORMDIST(BY1642,$Y$6,$Y$8,FALSE),IF($BY$12=2,IF(AND(BY1642&gt;=$BX$31,BY1642&lt;=$BX$32),$BX$33,0),IF(BY1642&lt;=$BX$13,0,NORMDIST(LN((BY1642-$BX$13)/$BX$12),0,$BW$8,FALSE)/((BY1642-$BX$13)/$BX$12)))),-999)</f>
        <v>5.3848800212787544E-9</v>
      </c>
      <c r="CA1642" s="16">
        <f t="shared" si="464"/>
        <v>-999</v>
      </c>
      <c r="CE1642" s="16" t="e">
        <f t="shared" ref="CE1642:CE1705" si="469">IF(AND($CB$7,$CD$2,$CD$1),26+$P$23/2-CC1642*$P$23,NA())</f>
        <v>#N/A</v>
      </c>
      <c r="CF1642" s="16">
        <f t="shared" ref="CF1642:CF1705" si="470">IF(ISNA(CJ1642),99,CJ1642)</f>
        <v>99</v>
      </c>
      <c r="CG1642" s="16">
        <f t="shared" ref="CG1642:CG1705" si="471">IF(ISNA(CJ1642),0,CJ1642)</f>
        <v>0</v>
      </c>
      <c r="CH1642" s="16">
        <f t="shared" si="465"/>
        <v>0</v>
      </c>
      <c r="CJ1642" s="16" t="e">
        <f t="shared" ref="CJ1642:CJ1705" si="472">IF(CH1642=1,CE1642,NA())</f>
        <v>#N/A</v>
      </c>
      <c r="CK1642" s="16" t="str">
        <f t="shared" ref="CK1642:CK1705" si="473">IF(CH1642=1,M1541,"")</f>
        <v/>
      </c>
    </row>
    <row r="1643" spans="73:89" ht="12" customHeight="1">
      <c r="BU1643" s="16">
        <f t="shared" ref="BU1643:BU1706" si="474">IF($BY$12&lt;3,0,IF(BY1643&lt;=$BX$13,0,NORMDIST(LN((BY1643-$BX$13)/$BX$12),0,$BW$8,FALSE)/((BY1643-$BX$13)/$BX$12)))</f>
        <v>0</v>
      </c>
      <c r="BV1643" s="16">
        <f>IF($BY$12=1,NORMDIST(BY1643,$Y$6,$Y$8,TRUE),IF($BY$12=2,IF(BY1643&lt;=$BX$31,0,IF(BY1643&gt;=$BX$32,1,(BY1643-$BX$31)*$BX$33)),SUM($BU$42:BU1643)/$BV$40))</f>
        <v>0.99999998154158654</v>
      </c>
      <c r="BW1643" s="16">
        <f t="shared" si="466"/>
        <v>8.3872354784063212E-7</v>
      </c>
      <c r="BY1643" s="16">
        <f t="shared" si="467"/>
        <v>160.09999999999519</v>
      </c>
      <c r="BZ1643" s="16">
        <f t="shared" si="468"/>
        <v>5.2387479565312764E-9</v>
      </c>
      <c r="CA1643" s="16">
        <f t="shared" ref="CA1643:CA1706" si="475">IF(AND($CD$1,$CD$3),26-$CD$40*NORMDIST(BY1643,$Y$6,$Y$8/SQRT($T$18),FALSE),-999)</f>
        <v>-999</v>
      </c>
      <c r="CE1643" s="16" t="e">
        <f t="shared" si="469"/>
        <v>#N/A</v>
      </c>
      <c r="CF1643" s="16">
        <f t="shared" si="470"/>
        <v>99</v>
      </c>
      <c r="CG1643" s="16">
        <f t="shared" si="471"/>
        <v>0</v>
      </c>
      <c r="CH1643" s="16">
        <f t="shared" si="465"/>
        <v>0</v>
      </c>
      <c r="CJ1643" s="16" t="e">
        <f t="shared" si="472"/>
        <v>#N/A</v>
      </c>
      <c r="CK1643" s="16" t="str">
        <f t="shared" si="473"/>
        <v/>
      </c>
    </row>
    <row r="1644" spans="73:89" ht="12" customHeight="1">
      <c r="BU1644" s="16">
        <f t="shared" si="474"/>
        <v>0</v>
      </c>
      <c r="BV1644" s="16">
        <f>IF($BY$12=1,NORMDIST(BY1644,$Y$6,$Y$8,TRUE),IF($BY$12=2,IF(BY1644&lt;=$BX$31,0,IF(BY1644&gt;=$BX$32,1,(BY1644-$BX$31)*$BX$33)),SUM($BU$42:BU1644)/$BV$40))</f>
        <v>0.99999998205831508</v>
      </c>
      <c r="BW1644" s="16">
        <f t="shared" si="466"/>
        <v>8.1645195235879566E-7</v>
      </c>
      <c r="BY1644" s="16">
        <f t="shared" si="467"/>
        <v>160.19999999999519</v>
      </c>
      <c r="BZ1644" s="16">
        <f t="shared" si="468"/>
        <v>5.0964541345744082E-9</v>
      </c>
      <c r="CA1644" s="16">
        <f t="shared" si="475"/>
        <v>-999</v>
      </c>
      <c r="CE1644" s="16" t="e">
        <f t="shared" si="469"/>
        <v>#N/A</v>
      </c>
      <c r="CF1644" s="16">
        <f t="shared" si="470"/>
        <v>99</v>
      </c>
      <c r="CG1644" s="16">
        <f t="shared" si="471"/>
        <v>0</v>
      </c>
      <c r="CH1644" s="16">
        <f t="shared" si="465"/>
        <v>0</v>
      </c>
      <c r="CJ1644" s="16" t="e">
        <f t="shared" si="472"/>
        <v>#N/A</v>
      </c>
      <c r="CK1644" s="16" t="str">
        <f t="shared" si="473"/>
        <v/>
      </c>
    </row>
    <row r="1645" spans="73:89" ht="12" customHeight="1">
      <c r="BU1645" s="16">
        <f t="shared" si="474"/>
        <v>0</v>
      </c>
      <c r="BV1645" s="16">
        <f>IF($BY$12=1,NORMDIST(BY1645,$Y$6,$Y$8,TRUE),IF($BY$12=2,IF(BY1645&lt;=$BX$31,0,IF(BY1645&gt;=$BX$32,1,(BY1645-$BX$31)*$BX$33)),SUM($BU$42:BU1645)/$BV$40))</f>
        <v>0.99999998256100209</v>
      </c>
      <c r="BW1645" s="16">
        <f t="shared" si="466"/>
        <v>7.9475158156491656E-7</v>
      </c>
      <c r="BY1645" s="16">
        <f t="shared" si="467"/>
        <v>160.29999999999518</v>
      </c>
      <c r="BZ1645" s="16">
        <f t="shared" si="468"/>
        <v>4.9579013198062413E-9</v>
      </c>
      <c r="CA1645" s="16">
        <f t="shared" si="475"/>
        <v>-999</v>
      </c>
      <c r="CE1645" s="16" t="e">
        <f t="shared" si="469"/>
        <v>#N/A</v>
      </c>
      <c r="CF1645" s="16">
        <f t="shared" si="470"/>
        <v>99</v>
      </c>
      <c r="CG1645" s="16">
        <f t="shared" si="471"/>
        <v>0</v>
      </c>
      <c r="CH1645" s="16">
        <f t="shared" si="465"/>
        <v>0</v>
      </c>
      <c r="CJ1645" s="16" t="e">
        <f t="shared" si="472"/>
        <v>#N/A</v>
      </c>
      <c r="CK1645" s="16" t="str">
        <f t="shared" si="473"/>
        <v/>
      </c>
    </row>
    <row r="1646" spans="73:89" ht="12" customHeight="1">
      <c r="BU1646" s="16">
        <f t="shared" si="474"/>
        <v>0</v>
      </c>
      <c r="BV1646" s="16">
        <f>IF($BY$12=1,NORMDIST(BY1646,$Y$6,$Y$8,TRUE),IF($BY$12=2,IF(BY1646&lt;=$BX$31,0,IF(BY1646&gt;=$BX$32,1,(BY1646-$BX$31)*$BX$33)),SUM($BU$42:BU1646)/$BV$40))</f>
        <v>0.99999998305001692</v>
      </c>
      <c r="BW1646" s="16">
        <f t="shared" si="466"/>
        <v>7.7360834059973116E-7</v>
      </c>
      <c r="BY1646" s="16">
        <f t="shared" si="467"/>
        <v>160.39999999999517</v>
      </c>
      <c r="BZ1646" s="16">
        <f t="shared" si="468"/>
        <v>4.8229946421431072E-9</v>
      </c>
      <c r="CA1646" s="16">
        <f t="shared" si="475"/>
        <v>-999</v>
      </c>
      <c r="CE1646" s="16" t="e">
        <f t="shared" si="469"/>
        <v>#N/A</v>
      </c>
      <c r="CF1646" s="16">
        <f t="shared" si="470"/>
        <v>99</v>
      </c>
      <c r="CG1646" s="16">
        <f t="shared" si="471"/>
        <v>0</v>
      </c>
      <c r="CH1646" s="16">
        <f t="shared" si="465"/>
        <v>0</v>
      </c>
      <c r="CJ1646" s="16" t="e">
        <f t="shared" si="472"/>
        <v>#N/A</v>
      </c>
      <c r="CK1646" s="16" t="str">
        <f t="shared" si="473"/>
        <v/>
      </c>
    </row>
    <row r="1647" spans="73:89" ht="12" customHeight="1">
      <c r="BU1647" s="16">
        <f t="shared" si="474"/>
        <v>0</v>
      </c>
      <c r="BV1647" s="16">
        <f>IF($BY$12=1,NORMDIST(BY1647,$Y$6,$Y$8,TRUE),IF($BY$12=2,IF(BY1647&lt;=$BX$31,0,IF(BY1647&gt;=$BX$32,1,(BY1647-$BX$31)*$BX$33)),SUM($BU$42:BU1647)/$BV$40))</f>
        <v>0.99999998352571939</v>
      </c>
      <c r="BW1647" s="16">
        <f t="shared" si="466"/>
        <v>7.5300846750190783E-7</v>
      </c>
      <c r="BY1647" s="16">
        <f t="shared" si="467"/>
        <v>160.49999999999517</v>
      </c>
      <c r="BZ1647" s="16">
        <f t="shared" si="468"/>
        <v>4.6916415420681029E-9</v>
      </c>
      <c r="CA1647" s="16">
        <f t="shared" si="475"/>
        <v>-999</v>
      </c>
      <c r="CE1647" s="16" t="e">
        <f t="shared" si="469"/>
        <v>#N/A</v>
      </c>
      <c r="CF1647" s="16">
        <f t="shared" si="470"/>
        <v>99</v>
      </c>
      <c r="CG1647" s="16">
        <f t="shared" si="471"/>
        <v>0</v>
      </c>
      <c r="CH1647" s="16">
        <f t="shared" si="465"/>
        <v>0</v>
      </c>
      <c r="CJ1647" s="16" t="e">
        <f t="shared" si="472"/>
        <v>#N/A</v>
      </c>
      <c r="CK1647" s="16" t="str">
        <f t="shared" si="473"/>
        <v/>
      </c>
    </row>
    <row r="1648" spans="73:89" ht="12" customHeight="1">
      <c r="BU1648" s="16">
        <f t="shared" si="474"/>
        <v>0</v>
      </c>
      <c r="BV1648" s="16">
        <f>IF($BY$12=1,NORMDIST(BY1648,$Y$6,$Y$8,TRUE),IF($BY$12=2,IF(BY1648&lt;=$BX$31,0,IF(BY1648&gt;=$BX$32,1,(BY1648-$BX$31)*$BX$33)),SUM($BU$42:BU1648)/$BV$40))</f>
        <v>0.99999998398846057</v>
      </c>
      <c r="BW1648" s="16">
        <f t="shared" si="466"/>
        <v>7.3293852573240757E-7</v>
      </c>
      <c r="BY1648" s="16">
        <f t="shared" si="467"/>
        <v>160.59999999999516</v>
      </c>
      <c r="BZ1648" s="16">
        <f t="shared" si="468"/>
        <v>4.5637517168893504E-9</v>
      </c>
      <c r="CA1648" s="16">
        <f t="shared" si="475"/>
        <v>-999</v>
      </c>
      <c r="CE1648" s="16" t="e">
        <f t="shared" si="469"/>
        <v>#N/A</v>
      </c>
      <c r="CF1648" s="16">
        <f t="shared" si="470"/>
        <v>99</v>
      </c>
      <c r="CG1648" s="16">
        <f t="shared" si="471"/>
        <v>0</v>
      </c>
      <c r="CH1648" s="16">
        <f t="shared" si="465"/>
        <v>0</v>
      </c>
      <c r="CJ1648" s="16" t="e">
        <f t="shared" si="472"/>
        <v>#N/A</v>
      </c>
      <c r="CK1648" s="16" t="str">
        <f t="shared" si="473"/>
        <v/>
      </c>
    </row>
    <row r="1649" spans="73:89" ht="12" customHeight="1">
      <c r="BU1649" s="16">
        <f t="shared" si="474"/>
        <v>0</v>
      </c>
      <c r="BV1649" s="16">
        <f>IF($BY$12=1,NORMDIST(BY1649,$Y$6,$Y$8,TRUE),IF($BY$12=2,IF(BY1649&lt;=$BX$31,0,IF(BY1649&gt;=$BX$32,1,(BY1649-$BX$31)*$BX$33)),SUM($BU$42:BU1649)/$BV$40))</f>
        <v>0.99999998443858229</v>
      </c>
      <c r="BW1649" s="16">
        <f t="shared" si="466"/>
        <v>7.1338539685697996E-7</v>
      </c>
      <c r="BY1649" s="16">
        <f t="shared" si="467"/>
        <v>160.69999999999516</v>
      </c>
      <c r="BZ1649" s="16">
        <f t="shared" si="468"/>
        <v>4.4392370681829589E-9</v>
      </c>
      <c r="CA1649" s="16">
        <f t="shared" si="475"/>
        <v>-999</v>
      </c>
      <c r="CE1649" s="16" t="e">
        <f t="shared" si="469"/>
        <v>#N/A</v>
      </c>
      <c r="CF1649" s="16">
        <f t="shared" si="470"/>
        <v>99</v>
      </c>
      <c r="CG1649" s="16">
        <f t="shared" si="471"/>
        <v>0</v>
      </c>
      <c r="CH1649" s="16">
        <f t="shared" si="465"/>
        <v>0</v>
      </c>
      <c r="CJ1649" s="16" t="e">
        <f t="shared" si="472"/>
        <v>#N/A</v>
      </c>
      <c r="CK1649" s="16" t="str">
        <f t="shared" si="473"/>
        <v/>
      </c>
    </row>
    <row r="1650" spans="73:89" ht="12" customHeight="1">
      <c r="BU1650" s="16">
        <f t="shared" si="474"/>
        <v>0</v>
      </c>
      <c r="BV1650" s="16">
        <f>IF($BY$12=1,NORMDIST(BY1650,$Y$6,$Y$8,TRUE),IF($BY$12=2,IF(BY1650&lt;=$BX$31,0,IF(BY1650&gt;=$BX$32,1,(BY1650-$BX$31)*$BX$33)),SUM($BU$42:BU1650)/$BV$40))</f>
        <v>0.99999998487641761</v>
      </c>
      <c r="BW1650" s="16">
        <f t="shared" si="466"/>
        <v>6.9433627338370279E-7</v>
      </c>
      <c r="BY1650" s="16">
        <f t="shared" si="467"/>
        <v>160.79999999999515</v>
      </c>
      <c r="BZ1650" s="16">
        <f t="shared" si="468"/>
        <v>4.3180116503962921E-9</v>
      </c>
      <c r="CA1650" s="16">
        <f t="shared" si="475"/>
        <v>-999</v>
      </c>
      <c r="CE1650" s="16" t="e">
        <f t="shared" si="469"/>
        <v>#N/A</v>
      </c>
      <c r="CF1650" s="16">
        <f t="shared" si="470"/>
        <v>99</v>
      </c>
      <c r="CG1650" s="16">
        <f t="shared" si="471"/>
        <v>0</v>
      </c>
      <c r="CH1650" s="16">
        <f t="shared" si="465"/>
        <v>0</v>
      </c>
      <c r="CJ1650" s="16" t="e">
        <f t="shared" si="472"/>
        <v>#N/A</v>
      </c>
      <c r="CK1650" s="16" t="str">
        <f t="shared" si="473"/>
        <v/>
      </c>
    </row>
    <row r="1651" spans="73:89" ht="12" customHeight="1">
      <c r="BU1651" s="16">
        <f t="shared" si="474"/>
        <v>0</v>
      </c>
      <c r="BV1651" s="16">
        <f>IF($BY$12=1,NORMDIST(BY1651,$Y$6,$Y$8,TRUE),IF($BY$12=2,IF(BY1651&lt;=$BX$31,0,IF(BY1651&gt;=$BX$32,1,(BY1651-$BX$31)*$BX$33)),SUM($BU$42:BU1651)/$BV$40))</f>
        <v>0.99999998530229151</v>
      </c>
      <c r="BW1651" s="16">
        <f t="shared" si="466"/>
        <v>6.7577865175249169E-7</v>
      </c>
      <c r="BY1651" s="16">
        <f t="shared" si="467"/>
        <v>160.89999999999515</v>
      </c>
      <c r="BZ1651" s="16">
        <f t="shared" si="468"/>
        <v>4.1999916205873965E-9</v>
      </c>
      <c r="CA1651" s="16">
        <f t="shared" si="475"/>
        <v>-999</v>
      </c>
      <c r="CE1651" s="16" t="e">
        <f t="shared" si="469"/>
        <v>#N/A</v>
      </c>
      <c r="CF1651" s="16">
        <f t="shared" si="470"/>
        <v>99</v>
      </c>
      <c r="CG1651" s="16">
        <f t="shared" si="471"/>
        <v>0</v>
      </c>
      <c r="CH1651" s="16">
        <f t="shared" si="465"/>
        <v>0</v>
      </c>
      <c r="CJ1651" s="16" t="e">
        <f t="shared" si="472"/>
        <v>#N/A</v>
      </c>
      <c r="CK1651" s="16" t="str">
        <f t="shared" si="473"/>
        <v/>
      </c>
    </row>
    <row r="1652" spans="73:89" ht="12" customHeight="1">
      <c r="BU1652" s="16">
        <f t="shared" si="474"/>
        <v>0</v>
      </c>
      <c r="BV1652" s="16">
        <f>IF($BY$12=1,NORMDIST(BY1652,$Y$6,$Y$8,TRUE),IF($BY$12=2,IF(BY1652&lt;=$BX$31,0,IF(BY1652&gt;=$BX$32,1,(BY1652-$BX$31)*$BX$33)),SUM($BU$42:BU1652)/$BV$40))</f>
        <v>0.99999998571652016</v>
      </c>
      <c r="BW1652" s="16">
        <f t="shared" si="466"/>
        <v>6.577003254735959E-7</v>
      </c>
      <c r="BY1652" s="16">
        <f t="shared" si="467"/>
        <v>160.99999999999514</v>
      </c>
      <c r="BZ1652" s="16">
        <f t="shared" si="468"/>
        <v>4.0850951892771167E-9</v>
      </c>
      <c r="CA1652" s="16">
        <f t="shared" si="475"/>
        <v>-999</v>
      </c>
      <c r="CE1652" s="16" t="e">
        <f t="shared" si="469"/>
        <v>#N/A</v>
      </c>
      <c r="CF1652" s="16">
        <f t="shared" si="470"/>
        <v>99</v>
      </c>
      <c r="CG1652" s="16">
        <f t="shared" si="471"/>
        <v>0</v>
      </c>
      <c r="CH1652" s="16">
        <f t="shared" si="465"/>
        <v>0</v>
      </c>
      <c r="CJ1652" s="16" t="e">
        <f t="shared" si="472"/>
        <v>#N/A</v>
      </c>
      <c r="CK1652" s="16" t="str">
        <f t="shared" si="473"/>
        <v/>
      </c>
    </row>
    <row r="1653" spans="73:89" ht="12" customHeight="1">
      <c r="BU1653" s="16">
        <f t="shared" si="474"/>
        <v>0</v>
      </c>
      <c r="BV1653" s="16">
        <f>IF($BY$12=1,NORMDIST(BY1653,$Y$6,$Y$8,TRUE),IF($BY$12=2,IF(BY1653&lt;=$BX$31,0,IF(BY1653&gt;=$BX$32,1,(BY1653-$BX$31)*$BX$33)),SUM($BU$42:BU1653)/$BV$40))</f>
        <v>0.99999998611941199</v>
      </c>
      <c r="BW1653" s="16">
        <f t="shared" si="466"/>
        <v>6.4008937841213397E-7</v>
      </c>
      <c r="BY1653" s="16">
        <f t="shared" si="467"/>
        <v>161.09999999999513</v>
      </c>
      <c r="BZ1653" s="16">
        <f t="shared" si="468"/>
        <v>3.9732425723907715E-9</v>
      </c>
      <c r="CA1653" s="16">
        <f t="shared" si="475"/>
        <v>-999</v>
      </c>
      <c r="CE1653" s="16" t="e">
        <f t="shared" si="469"/>
        <v>#N/A</v>
      </c>
      <c r="CF1653" s="16">
        <f t="shared" si="470"/>
        <v>99</v>
      </c>
      <c r="CG1653" s="16">
        <f t="shared" si="471"/>
        <v>0</v>
      </c>
      <c r="CH1653" s="16">
        <f t="shared" si="465"/>
        <v>0</v>
      </c>
      <c r="CJ1653" s="16" t="e">
        <f t="shared" si="472"/>
        <v>#N/A</v>
      </c>
      <c r="CK1653" s="16" t="str">
        <f t="shared" si="473"/>
        <v/>
      </c>
    </row>
    <row r="1654" spans="73:89" ht="12" customHeight="1">
      <c r="BU1654" s="16">
        <f t="shared" si="474"/>
        <v>0</v>
      </c>
      <c r="BV1654" s="16">
        <f>IF($BY$12=1,NORMDIST(BY1654,$Y$6,$Y$8,TRUE),IF($BY$12=2,IF(BY1654&lt;=$BX$31,0,IF(BY1654&gt;=$BX$32,1,(BY1654-$BX$31)*$BX$33)),SUM($BU$42:BU1654)/$BV$40))</f>
        <v>0.99999998651126754</v>
      </c>
      <c r="BW1654" s="16">
        <f t="shared" si="466"/>
        <v>6.2293417821577063E-7</v>
      </c>
      <c r="BY1654" s="16">
        <f t="shared" si="467"/>
        <v>161.19999999999513</v>
      </c>
      <c r="BZ1654" s="16">
        <f t="shared" si="468"/>
        <v>3.8643559442666838E-9</v>
      </c>
      <c r="CA1654" s="16">
        <f t="shared" si="475"/>
        <v>-999</v>
      </c>
      <c r="CE1654" s="16" t="e">
        <f t="shared" si="469"/>
        <v>#N/A</v>
      </c>
      <c r="CF1654" s="16">
        <f t="shared" si="470"/>
        <v>99</v>
      </c>
      <c r="CG1654" s="16">
        <f t="shared" si="471"/>
        <v>0</v>
      </c>
      <c r="CH1654" s="16">
        <f t="shared" si="465"/>
        <v>0</v>
      </c>
      <c r="CJ1654" s="16" t="e">
        <f t="shared" si="472"/>
        <v>#N/A</v>
      </c>
      <c r="CK1654" s="16" t="str">
        <f t="shared" si="473"/>
        <v/>
      </c>
    </row>
    <row r="1655" spans="73:89" ht="12" customHeight="1">
      <c r="BU1655" s="16">
        <f t="shared" si="474"/>
        <v>0</v>
      </c>
      <c r="BV1655" s="16">
        <f>IF($BY$12=1,NORMDIST(BY1655,$Y$6,$Y$8,TRUE),IF($BY$12=2,IF(BY1655&lt;=$BX$31,0,IF(BY1655&gt;=$BX$32,1,(BY1655-$BX$31)*$BX$33)),SUM($BU$42:BU1655)/$BV$40))</f>
        <v>0.99999998689237946</v>
      </c>
      <c r="BW1655" s="16">
        <f t="shared" si="466"/>
        <v>6.0622336988269852E-7</v>
      </c>
      <c r="BY1655" s="16">
        <f t="shared" si="467"/>
        <v>161.29999999999512</v>
      </c>
      <c r="BZ1655" s="16">
        <f t="shared" si="468"/>
        <v>3.7583593917093417E-9</v>
      </c>
      <c r="CA1655" s="16">
        <f t="shared" si="475"/>
        <v>-999</v>
      </c>
      <c r="CE1655" s="16" t="e">
        <f t="shared" si="469"/>
        <v>#N/A</v>
      </c>
      <c r="CF1655" s="16">
        <f t="shared" si="470"/>
        <v>99</v>
      </c>
      <c r="CG1655" s="16">
        <f t="shared" si="471"/>
        <v>0</v>
      </c>
      <c r="CH1655" s="16">
        <f t="shared" si="465"/>
        <v>0</v>
      </c>
      <c r="CJ1655" s="16" t="e">
        <f t="shared" si="472"/>
        <v>#N/A</v>
      </c>
      <c r="CK1655" s="16" t="str">
        <f t="shared" si="473"/>
        <v/>
      </c>
    </row>
    <row r="1656" spans="73:89" ht="12" customHeight="1">
      <c r="BU1656" s="16">
        <f t="shared" si="474"/>
        <v>0</v>
      </c>
      <c r="BV1656" s="16">
        <f>IF($BY$12=1,NORMDIST(BY1656,$Y$6,$Y$8,TRUE),IF($BY$12=2,IF(BY1656&lt;=$BX$31,0,IF(BY1656&gt;=$BX$32,1,(BY1656-$BX$31)*$BX$33)),SUM($BU$42:BU1656)/$BV$40))</f>
        <v>0.99999998726303319</v>
      </c>
      <c r="BW1656" s="16">
        <f t="shared" si="466"/>
        <v>5.8994586946714535E-7</v>
      </c>
      <c r="BY1656" s="16">
        <f t="shared" si="467"/>
        <v>161.39999999999512</v>
      </c>
      <c r="BZ1656" s="16">
        <f t="shared" si="468"/>
        <v>3.6551788690654471E-9</v>
      </c>
      <c r="CA1656" s="16">
        <f t="shared" si="475"/>
        <v>-999</v>
      </c>
      <c r="CE1656" s="16" t="e">
        <f t="shared" si="469"/>
        <v>#N/A</v>
      </c>
      <c r="CF1656" s="16">
        <f t="shared" si="470"/>
        <v>99</v>
      </c>
      <c r="CG1656" s="16">
        <f t="shared" si="471"/>
        <v>0</v>
      </c>
      <c r="CH1656" s="16">
        <f t="shared" si="465"/>
        <v>0</v>
      </c>
      <c r="CJ1656" s="16" t="e">
        <f t="shared" si="472"/>
        <v>#N/A</v>
      </c>
      <c r="CK1656" s="16" t="str">
        <f t="shared" si="473"/>
        <v/>
      </c>
    </row>
    <row r="1657" spans="73:89" ht="12" customHeight="1">
      <c r="BU1657" s="16">
        <f t="shared" si="474"/>
        <v>0</v>
      </c>
      <c r="BV1657" s="16">
        <f>IF($BY$12=1,NORMDIST(BY1657,$Y$6,$Y$8,TRUE),IF($BY$12=2,IF(BY1657&lt;=$BX$31,0,IF(BY1657&gt;=$BX$32,1,(BY1657-$BX$31)*$BX$33)),SUM($BU$42:BU1657)/$BV$40))</f>
        <v>0.99999998762350673</v>
      </c>
      <c r="BW1657" s="16">
        <f t="shared" si="466"/>
        <v>5.7409085791964497E-7</v>
      </c>
      <c r="BY1657" s="16">
        <f t="shared" si="467"/>
        <v>161.49999999999511</v>
      </c>
      <c r="BZ1657" s="16">
        <f t="shared" si="468"/>
        <v>3.5547421543013147E-9</v>
      </c>
      <c r="CA1657" s="16">
        <f t="shared" si="475"/>
        <v>-999</v>
      </c>
      <c r="CE1657" s="16" t="e">
        <f t="shared" si="469"/>
        <v>#N/A</v>
      </c>
      <c r="CF1657" s="16">
        <f t="shared" si="470"/>
        <v>99</v>
      </c>
      <c r="CG1657" s="16">
        <f t="shared" si="471"/>
        <v>0</v>
      </c>
      <c r="CH1657" s="16">
        <f t="shared" si="465"/>
        <v>0</v>
      </c>
      <c r="CJ1657" s="16" t="e">
        <f t="shared" si="472"/>
        <v>#N/A</v>
      </c>
      <c r="CK1657" s="16" t="str">
        <f t="shared" si="473"/>
        <v/>
      </c>
    </row>
    <row r="1658" spans="73:89" ht="12" customHeight="1">
      <c r="BU1658" s="16">
        <f t="shared" si="474"/>
        <v>0</v>
      </c>
      <c r="BV1658" s="16">
        <f>IF($BY$12=1,NORMDIST(BY1658,$Y$6,$Y$8,TRUE),IF($BY$12=2,IF(BY1658&lt;=$BX$31,0,IF(BY1658&gt;=$BX$32,1,(BY1658-$BX$31)*$BX$33)),SUM($BU$42:BU1658)/$BV$40))</f>
        <v>0.99999998797407075</v>
      </c>
      <c r="BW1658" s="16">
        <f t="shared" si="466"/>
        <v>5.5864777505942785E-7</v>
      </c>
      <c r="BY1658" s="16">
        <f t="shared" si="467"/>
        <v>161.59999999999511</v>
      </c>
      <c r="BZ1658" s="16">
        <f t="shared" si="468"/>
        <v>3.4569788060609205E-9</v>
      </c>
      <c r="CA1658" s="16">
        <f t="shared" si="475"/>
        <v>-999</v>
      </c>
      <c r="CE1658" s="16" t="e">
        <f t="shared" si="469"/>
        <v>#N/A</v>
      </c>
      <c r="CF1658" s="16">
        <f t="shared" si="470"/>
        <v>99</v>
      </c>
      <c r="CG1658" s="16">
        <f t="shared" si="471"/>
        <v>0</v>
      </c>
      <c r="CH1658" s="16">
        <f t="shared" si="465"/>
        <v>0</v>
      </c>
      <c r="CJ1658" s="16" t="e">
        <f t="shared" si="472"/>
        <v>#N/A</v>
      </c>
      <c r="CK1658" s="16" t="str">
        <f t="shared" si="473"/>
        <v/>
      </c>
    </row>
    <row r="1659" spans="73:89" ht="12" customHeight="1">
      <c r="BU1659" s="16">
        <f t="shared" si="474"/>
        <v>0</v>
      </c>
      <c r="BV1659" s="16">
        <f>IF($BY$12=1,NORMDIST(BY1659,$Y$6,$Y$8,TRUE),IF($BY$12=2,IF(BY1659&lt;=$BX$31,0,IF(BY1659&gt;=$BX$32,1,(BY1659-$BX$31)*$BX$33)),SUM($BU$42:BU1659)/$BV$40))</f>
        <v>0.99999998831498926</v>
      </c>
      <c r="BW1659" s="16">
        <f t="shared" si="466"/>
        <v>5.4360631367623235E-7</v>
      </c>
      <c r="BY1659" s="16">
        <f t="shared" si="467"/>
        <v>161.6999999999951</v>
      </c>
      <c r="BZ1659" s="16">
        <f t="shared" si="468"/>
        <v>3.3618201216836662E-9</v>
      </c>
      <c r="CA1659" s="16">
        <f t="shared" si="475"/>
        <v>-999</v>
      </c>
      <c r="CE1659" s="16" t="e">
        <f t="shared" si="469"/>
        <v>#N/A</v>
      </c>
      <c r="CF1659" s="16">
        <f t="shared" si="470"/>
        <v>99</v>
      </c>
      <c r="CG1659" s="16">
        <f t="shared" si="471"/>
        <v>0</v>
      </c>
      <c r="CH1659" s="16">
        <f t="shared" si="465"/>
        <v>0</v>
      </c>
      <c r="CJ1659" s="16" t="e">
        <f t="shared" si="472"/>
        <v>#N/A</v>
      </c>
      <c r="CK1659" s="16" t="str">
        <f t="shared" si="473"/>
        <v/>
      </c>
    </row>
    <row r="1660" spans="73:89" ht="12" customHeight="1">
      <c r="BU1660" s="16">
        <f t="shared" si="474"/>
        <v>0</v>
      </c>
      <c r="BV1660" s="16">
        <f>IF($BY$12=1,NORMDIST(BY1660,$Y$6,$Y$8,TRUE),IF($BY$12=2,IF(BY1660&lt;=$BX$31,0,IF(BY1660&gt;=$BX$32,1,(BY1660-$BX$31)*$BX$33)),SUM($BU$42:BU1660)/$BV$40))</f>
        <v>0.9999999886465194</v>
      </c>
      <c r="BW1660" s="16">
        <f t="shared" si="466"/>
        <v>5.2895641375900368E-7</v>
      </c>
      <c r="BY1660" s="16">
        <f t="shared" si="467"/>
        <v>161.79999999999509</v>
      </c>
      <c r="BZ1660" s="16">
        <f t="shared" si="468"/>
        <v>3.2691990961620498E-9</v>
      </c>
      <c r="CA1660" s="16">
        <f t="shared" si="475"/>
        <v>-999</v>
      </c>
      <c r="CE1660" s="16" t="e">
        <f t="shared" si="469"/>
        <v>#N/A</v>
      </c>
      <c r="CF1660" s="16">
        <f t="shared" si="470"/>
        <v>99</v>
      </c>
      <c r="CG1660" s="16">
        <f t="shared" si="471"/>
        <v>0</v>
      </c>
      <c r="CH1660" s="16">
        <f t="shared" si="465"/>
        <v>0</v>
      </c>
      <c r="CJ1660" s="16" t="e">
        <f t="shared" si="472"/>
        <v>#N/A</v>
      </c>
      <c r="CK1660" s="16" t="str">
        <f t="shared" si="473"/>
        <v/>
      </c>
    </row>
    <row r="1661" spans="73:89" ht="12" customHeight="1">
      <c r="BU1661" s="16">
        <f t="shared" si="474"/>
        <v>0</v>
      </c>
      <c r="BV1661" s="16">
        <f>IF($BY$12=1,NORMDIST(BY1661,$Y$6,$Y$8,TRUE),IF($BY$12=2,IF(BY1661&lt;=$BX$31,0,IF(BY1661&gt;=$BX$32,1,(BY1661-$BX$31)*$BX$33)),SUM($BU$42:BU1661)/$BV$40))</f>
        <v>0.99999998896891151</v>
      </c>
      <c r="BW1661" s="16">
        <f t="shared" si="466"/>
        <v>5.1468825684889693E-7</v>
      </c>
      <c r="BY1661" s="16">
        <f t="shared" si="467"/>
        <v>161.89999999999509</v>
      </c>
      <c r="BZ1661" s="16">
        <f t="shared" si="468"/>
        <v>3.1790503820192254E-9</v>
      </c>
      <c r="CA1661" s="16">
        <f t="shared" si="475"/>
        <v>-999</v>
      </c>
      <c r="CE1661" s="16" t="e">
        <f t="shared" si="469"/>
        <v>#N/A</v>
      </c>
      <c r="CF1661" s="16">
        <f t="shared" si="470"/>
        <v>99</v>
      </c>
      <c r="CG1661" s="16">
        <f t="shared" si="471"/>
        <v>0</v>
      </c>
      <c r="CH1661" s="16">
        <f t="shared" si="465"/>
        <v>0</v>
      </c>
      <c r="CJ1661" s="16" t="e">
        <f t="shared" si="472"/>
        <v>#N/A</v>
      </c>
      <c r="CK1661" s="16" t="str">
        <f t="shared" si="473"/>
        <v/>
      </c>
    </row>
    <row r="1662" spans="73:89" ht="12" customHeight="1">
      <c r="BU1662" s="16">
        <f t="shared" si="474"/>
        <v>0</v>
      </c>
      <c r="BV1662" s="16">
        <f>IF($BY$12=1,NORMDIST(BY1662,$Y$6,$Y$8,TRUE),IF($BY$12=2,IF(BY1662&lt;=$BX$31,0,IF(BY1662&gt;=$BX$32,1,(BY1662-$BX$31)*$BX$33)),SUM($BU$42:BU1662)/$BV$40))</f>
        <v>0.99999998928240974</v>
      </c>
      <c r="BW1662" s="16">
        <f t="shared" si="466"/>
        <v>5.0079226051410847E-7</v>
      </c>
      <c r="BY1662" s="16">
        <f t="shared" si="467"/>
        <v>161.99999999999508</v>
      </c>
      <c r="BZ1662" s="16">
        <f t="shared" si="468"/>
        <v>3.0913102500871834E-9</v>
      </c>
      <c r="CA1662" s="16">
        <f t="shared" si="475"/>
        <v>-999</v>
      </c>
      <c r="CE1662" s="16" t="e">
        <f t="shared" si="469"/>
        <v>#N/A</v>
      </c>
      <c r="CF1662" s="16">
        <f t="shared" si="470"/>
        <v>99</v>
      </c>
      <c r="CG1662" s="16">
        <f t="shared" si="471"/>
        <v>0</v>
      </c>
      <c r="CH1662" s="16">
        <f t="shared" si="465"/>
        <v>0</v>
      </c>
      <c r="CJ1662" s="16" t="e">
        <f t="shared" si="472"/>
        <v>#N/A</v>
      </c>
      <c r="CK1662" s="16" t="str">
        <f t="shared" si="473"/>
        <v/>
      </c>
    </row>
    <row r="1663" spans="73:89" ht="12" customHeight="1">
      <c r="BU1663" s="16">
        <f t="shared" si="474"/>
        <v>0</v>
      </c>
      <c r="BV1663" s="16">
        <f>IF($BY$12=1,NORMDIST(BY1663,$Y$6,$Y$8,TRUE),IF($BY$12=2,IF(BY1663&lt;=$BX$31,0,IF(BY1663&gt;=$BX$32,1,(BY1663-$BX$31)*$BX$33)),SUM($BU$42:BU1663)/$BV$40))</f>
        <v>0.99999998958725178</v>
      </c>
      <c r="BW1663" s="16">
        <f t="shared" si="466"/>
        <v>4.8725907294407577E-7</v>
      </c>
      <c r="BY1663" s="16">
        <f t="shared" si="467"/>
        <v>162.09999999999508</v>
      </c>
      <c r="BZ1663" s="16">
        <f t="shared" si="468"/>
        <v>3.0059165511665059E-9</v>
      </c>
      <c r="CA1663" s="16">
        <f t="shared" si="475"/>
        <v>-999</v>
      </c>
      <c r="CE1663" s="16" t="e">
        <f t="shared" si="469"/>
        <v>#N/A</v>
      </c>
      <c r="CF1663" s="16">
        <f t="shared" si="470"/>
        <v>99</v>
      </c>
      <c r="CG1663" s="16">
        <f t="shared" si="471"/>
        <v>0</v>
      </c>
      <c r="CH1663" s="16">
        <f t="shared" si="465"/>
        <v>0</v>
      </c>
      <c r="CJ1663" s="16" t="e">
        <f t="shared" si="472"/>
        <v>#N/A</v>
      </c>
      <c r="CK1663" s="16" t="str">
        <f t="shared" si="473"/>
        <v/>
      </c>
    </row>
    <row r="1664" spans="73:89" ht="12" customHeight="1">
      <c r="BU1664" s="16">
        <f t="shared" si="474"/>
        <v>0</v>
      </c>
      <c r="BV1664" s="16">
        <f>IF($BY$12=1,NORMDIST(BY1664,$Y$6,$Y$8,TRUE),IF($BY$12=2,IF(BY1664&lt;=$BX$31,0,IF(BY1664&gt;=$BX$32,1,(BY1664-$BX$31)*$BX$33)),SUM($BU$42:BU1664)/$BV$40))</f>
        <v>0.99999998988366923</v>
      </c>
      <c r="BW1664" s="16">
        <f t="shared" si="466"/>
        <v>4.740795676606446E-7</v>
      </c>
      <c r="BY1664" s="16">
        <f t="shared" si="467"/>
        <v>162.19999999999507</v>
      </c>
      <c r="BZ1664" s="16">
        <f t="shared" si="468"/>
        <v>2.922808678549069E-9</v>
      </c>
      <c r="CA1664" s="16">
        <f t="shared" si="475"/>
        <v>-999</v>
      </c>
      <c r="CE1664" s="16" t="e">
        <f t="shared" si="469"/>
        <v>#N/A</v>
      </c>
      <c r="CF1664" s="16">
        <f t="shared" si="470"/>
        <v>99</v>
      </c>
      <c r="CG1664" s="16">
        <f t="shared" si="471"/>
        <v>0</v>
      </c>
      <c r="CH1664" s="16">
        <f t="shared" si="465"/>
        <v>0</v>
      </c>
      <c r="CJ1664" s="16" t="e">
        <f t="shared" si="472"/>
        <v>#N/A</v>
      </c>
      <c r="CK1664" s="16" t="str">
        <f t="shared" si="473"/>
        <v/>
      </c>
    </row>
    <row r="1665" spans="73:89" ht="12" customHeight="1">
      <c r="BU1665" s="16">
        <f t="shared" si="474"/>
        <v>0</v>
      </c>
      <c r="BV1665" s="16">
        <f>IF($BY$12=1,NORMDIST(BY1665,$Y$6,$Y$8,TRUE),IF($BY$12=2,IF(BY1665&lt;=$BX$31,0,IF(BY1665&gt;=$BX$32,1,(BY1665-$BX$31)*$BX$33)),SUM($BU$42:BU1665)/$BV$40))</f>
        <v>0.99999999017188779</v>
      </c>
      <c r="BW1665" s="16">
        <f t="shared" si="466"/>
        <v>4.6124483834383412E-7</v>
      </c>
      <c r="BY1665" s="16">
        <f t="shared" si="467"/>
        <v>162.29999999999507</v>
      </c>
      <c r="BZ1665" s="16">
        <f t="shared" si="468"/>
        <v>2.841927531385386E-9</v>
      </c>
      <c r="CA1665" s="16">
        <f t="shared" si="475"/>
        <v>-999</v>
      </c>
      <c r="CE1665" s="16" t="e">
        <f t="shared" si="469"/>
        <v>#N/A</v>
      </c>
      <c r="CF1665" s="16">
        <f t="shared" si="470"/>
        <v>99</v>
      </c>
      <c r="CG1665" s="16">
        <f t="shared" si="471"/>
        <v>0</v>
      </c>
      <c r="CH1665" s="16">
        <f t="shared" si="465"/>
        <v>0</v>
      </c>
      <c r="CJ1665" s="16" t="e">
        <f t="shared" si="472"/>
        <v>#N/A</v>
      </c>
      <c r="CK1665" s="16" t="str">
        <f t="shared" si="473"/>
        <v/>
      </c>
    </row>
    <row r="1666" spans="73:89" ht="12" customHeight="1">
      <c r="BU1666" s="16">
        <f t="shared" si="474"/>
        <v>0</v>
      </c>
      <c r="BV1666" s="16">
        <f>IF($BY$12=1,NORMDIST(BY1666,$Y$6,$Y$8,TRUE),IF($BY$12=2,IF(BY1666&lt;=$BX$31,0,IF(BY1666&gt;=$BX$32,1,(BY1666-$BX$31)*$BX$33)),SUM($BU$42:BU1666)/$BV$40))</f>
        <v>0.99999999045212706</v>
      </c>
      <c r="BW1666" s="16">
        <f t="shared" si="466"/>
        <v>4.487461937698873E-7</v>
      </c>
      <c r="BY1666" s="16">
        <f t="shared" si="467"/>
        <v>162.39999999999506</v>
      </c>
      <c r="BZ1666" s="16">
        <f t="shared" si="468"/>
        <v>2.7632154788787005E-9</v>
      </c>
      <c r="CA1666" s="16">
        <f t="shared" si="475"/>
        <v>-999</v>
      </c>
      <c r="CE1666" s="16" t="e">
        <f t="shared" si="469"/>
        <v>#N/A</v>
      </c>
      <c r="CF1666" s="16">
        <f t="shared" si="470"/>
        <v>99</v>
      </c>
      <c r="CG1666" s="16">
        <f t="shared" si="471"/>
        <v>0</v>
      </c>
      <c r="CH1666" s="16">
        <f t="shared" si="465"/>
        <v>0</v>
      </c>
      <c r="CJ1666" s="16" t="e">
        <f t="shared" si="472"/>
        <v>#N/A</v>
      </c>
      <c r="CK1666" s="16" t="str">
        <f t="shared" si="473"/>
        <v/>
      </c>
    </row>
    <row r="1667" spans="73:89" ht="12" customHeight="1">
      <c r="BU1667" s="16">
        <f t="shared" si="474"/>
        <v>0</v>
      </c>
      <c r="BV1667" s="16">
        <f>IF($BY$12=1,NORMDIST(BY1667,$Y$6,$Y$8,TRUE),IF($BY$12=2,IF(BY1667&lt;=$BX$31,0,IF(BY1667&gt;=$BX$32,1,(BY1667-$BX$31)*$BX$33)),SUM($BU$42:BU1667)/$BV$40))</f>
        <v>0.99999999072460122</v>
      </c>
      <c r="BW1667" s="16">
        <f t="shared" si="466"/>
        <v>4.3657515285933737E-7</v>
      </c>
      <c r="BY1667" s="16">
        <f t="shared" si="467"/>
        <v>162.49999999999505</v>
      </c>
      <c r="BZ1667" s="16">
        <f t="shared" si="468"/>
        <v>2.6866163252883118E-9</v>
      </c>
      <c r="CA1667" s="16">
        <f t="shared" si="475"/>
        <v>-999</v>
      </c>
      <c r="CE1667" s="16" t="e">
        <f t="shared" si="469"/>
        <v>#N/A</v>
      </c>
      <c r="CF1667" s="16">
        <f t="shared" si="470"/>
        <v>99</v>
      </c>
      <c r="CG1667" s="16">
        <f t="shared" si="471"/>
        <v>0</v>
      </c>
      <c r="CH1667" s="16">
        <f t="shared" ref="CH1667:CH1730" si="476">IF(CB1667="",0,1)</f>
        <v>0</v>
      </c>
      <c r="CJ1667" s="16" t="e">
        <f t="shared" si="472"/>
        <v>#N/A</v>
      </c>
      <c r="CK1667" s="16" t="str">
        <f t="shared" si="473"/>
        <v/>
      </c>
    </row>
    <row r="1668" spans="73:89" ht="12" customHeight="1">
      <c r="BU1668" s="16">
        <f t="shared" si="474"/>
        <v>0</v>
      </c>
      <c r="BV1668" s="16">
        <f>IF($BY$12=1,NORMDIST(BY1668,$Y$6,$Y$8,TRUE),IF($BY$12=2,IF(BY1668&lt;=$BX$31,0,IF(BY1668&gt;=$BX$32,1,(BY1668-$BX$31)*$BX$33)),SUM($BU$42:BU1668)/$BV$40))</f>
        <v>0.99999999098951897</v>
      </c>
      <c r="BW1668" s="16">
        <f t="shared" si="466"/>
        <v>4.2472343983284863E-7</v>
      </c>
      <c r="BY1668" s="16">
        <f t="shared" si="467"/>
        <v>162.59999999999505</v>
      </c>
      <c r="BZ1668" s="16">
        <f t="shared" si="468"/>
        <v>2.612075275724856E-9</v>
      </c>
      <c r="CA1668" s="16">
        <f t="shared" si="475"/>
        <v>-999</v>
      </c>
      <c r="CE1668" s="16" t="e">
        <f t="shared" si="469"/>
        <v>#N/A</v>
      </c>
      <c r="CF1668" s="16">
        <f t="shared" si="470"/>
        <v>99</v>
      </c>
      <c r="CG1668" s="16">
        <f t="shared" si="471"/>
        <v>0</v>
      </c>
      <c r="CH1668" s="16">
        <f t="shared" si="476"/>
        <v>0</v>
      </c>
      <c r="CJ1668" s="16" t="e">
        <f t="shared" si="472"/>
        <v>#N/A</v>
      </c>
      <c r="CK1668" s="16" t="str">
        <f t="shared" si="473"/>
        <v/>
      </c>
    </row>
    <row r="1669" spans="73:89" ht="12" customHeight="1">
      <c r="BU1669" s="16">
        <f t="shared" si="474"/>
        <v>0</v>
      </c>
      <c r="BV1669" s="16">
        <f>IF($BY$12=1,NORMDIST(BY1669,$Y$6,$Y$8,TRUE),IF($BY$12=2,IF(BY1669&lt;=$BX$31,0,IF(BY1669&gt;=$BX$32,1,(BY1669-$BX$31)*$BX$33)),SUM($BU$42:BU1669)/$BV$40))</f>
        <v>0.99999999124708316</v>
      </c>
      <c r="BW1669" s="16">
        <f t="shared" si="466"/>
        <v>4.1318297947263936E-7</v>
      </c>
      <c r="BY1669" s="16">
        <f t="shared" si="467"/>
        <v>162.69999999999504</v>
      </c>
      <c r="BZ1669" s="16">
        <f t="shared" si="468"/>
        <v>2.5395389027206634E-9</v>
      </c>
      <c r="CA1669" s="16">
        <f t="shared" si="475"/>
        <v>-999</v>
      </c>
      <c r="CE1669" s="16" t="e">
        <f t="shared" si="469"/>
        <v>#N/A</v>
      </c>
      <c r="CF1669" s="16">
        <f t="shared" si="470"/>
        <v>99</v>
      </c>
      <c r="CG1669" s="16">
        <f t="shared" si="471"/>
        <v>0</v>
      </c>
      <c r="CH1669" s="16">
        <f t="shared" si="476"/>
        <v>0</v>
      </c>
      <c r="CJ1669" s="16" t="e">
        <f t="shared" si="472"/>
        <v>#N/A</v>
      </c>
      <c r="CK1669" s="16" t="str">
        <f t="shared" si="473"/>
        <v/>
      </c>
    </row>
    <row r="1670" spans="73:89" ht="12" customHeight="1">
      <c r="BU1670" s="16">
        <f t="shared" si="474"/>
        <v>0</v>
      </c>
      <c r="BV1670" s="16">
        <f>IF($BY$12=1,NORMDIST(BY1670,$Y$6,$Y$8,TRUE),IF($BY$12=2,IF(BY1670&lt;=$BX$31,0,IF(BY1670&gt;=$BX$32,1,(BY1670-$BX$31)*$BX$33)),SUM($BU$42:BU1670)/$BV$40))</f>
        <v>0.99999999149749175</v>
      </c>
      <c r="BW1670" s="16">
        <f t="shared" si="466"/>
        <v>4.0194589248734019E-7</v>
      </c>
      <c r="BY1670" s="16">
        <f t="shared" si="467"/>
        <v>162.79999999999504</v>
      </c>
      <c r="BZ1670" s="16">
        <f t="shared" si="468"/>
        <v>2.4689551135586758E-9</v>
      </c>
      <c r="CA1670" s="16">
        <f t="shared" si="475"/>
        <v>-999</v>
      </c>
      <c r="CE1670" s="16" t="e">
        <f t="shared" si="469"/>
        <v>#N/A</v>
      </c>
      <c r="CF1670" s="16">
        <f t="shared" si="470"/>
        <v>99</v>
      </c>
      <c r="CG1670" s="16">
        <f t="shared" si="471"/>
        <v>0</v>
      </c>
      <c r="CH1670" s="16">
        <f t="shared" si="476"/>
        <v>0</v>
      </c>
      <c r="CJ1670" s="16" t="e">
        <f t="shared" si="472"/>
        <v>#N/A</v>
      </c>
      <c r="CK1670" s="16" t="str">
        <f t="shared" si="473"/>
        <v/>
      </c>
    </row>
    <row r="1671" spans="73:89" ht="12" customHeight="1">
      <c r="BU1671" s="16">
        <f t="shared" si="474"/>
        <v>0</v>
      </c>
      <c r="BV1671" s="16">
        <f>IF($BY$12=1,NORMDIST(BY1671,$Y$6,$Y$8,TRUE),IF($BY$12=2,IF(BY1671&lt;=$BX$31,0,IF(BY1671&gt;=$BX$32,1,(BY1671-$BX$31)*$BX$33)),SUM($BU$42:BU1671)/$BV$40))</f>
        <v>0.99999999174093757</v>
      </c>
      <c r="BW1671" s="16">
        <f t="shared" si="466"/>
        <v>3.9100449097818687E-7</v>
      </c>
      <c r="BY1671" s="16">
        <f t="shared" si="467"/>
        <v>162.89999999999503</v>
      </c>
      <c r="BZ1671" s="16">
        <f t="shared" si="468"/>
        <v>2.4002731183437618E-9</v>
      </c>
      <c r="CA1671" s="16">
        <f t="shared" si="475"/>
        <v>-999</v>
      </c>
      <c r="CE1671" s="16" t="e">
        <f t="shared" si="469"/>
        <v>#N/A</v>
      </c>
      <c r="CF1671" s="16">
        <f t="shared" si="470"/>
        <v>99</v>
      </c>
      <c r="CG1671" s="16">
        <f t="shared" si="471"/>
        <v>0</v>
      </c>
      <c r="CH1671" s="16">
        <f t="shared" si="476"/>
        <v>0</v>
      </c>
      <c r="CJ1671" s="16" t="e">
        <f t="shared" si="472"/>
        <v>#N/A</v>
      </c>
      <c r="CK1671" s="16" t="str">
        <f t="shared" si="473"/>
        <v/>
      </c>
    </row>
    <row r="1672" spans="73:89" ht="12" customHeight="1">
      <c r="BU1672" s="16">
        <f t="shared" si="474"/>
        <v>0</v>
      </c>
      <c r="BV1672" s="16">
        <f>IF($BY$12=1,NORMDIST(BY1672,$Y$6,$Y$8,TRUE),IF($BY$12=2,IF(BY1672&lt;=$BX$31,0,IF(BY1672&gt;=$BX$32,1,(BY1672-$BX$31)*$BX$33)),SUM($BU$42:BU1672)/$BV$40))</f>
        <v>0.99999999197760814</v>
      </c>
      <c r="BW1672" s="16">
        <f t="shared" si="466"/>
        <v>3.8035127400445534E-7</v>
      </c>
      <c r="BY1672" s="16">
        <f t="shared" si="467"/>
        <v>162.99999999999503</v>
      </c>
      <c r="BZ1672" s="16">
        <f t="shared" si="468"/>
        <v>2.3334433988004107E-9</v>
      </c>
      <c r="CA1672" s="16">
        <f t="shared" si="475"/>
        <v>-999</v>
      </c>
      <c r="CE1672" s="16" t="e">
        <f t="shared" si="469"/>
        <v>#N/A</v>
      </c>
      <c r="CF1672" s="16">
        <f t="shared" si="470"/>
        <v>99</v>
      </c>
      <c r="CG1672" s="16">
        <f t="shared" si="471"/>
        <v>0</v>
      </c>
      <c r="CH1672" s="16">
        <f t="shared" si="476"/>
        <v>0</v>
      </c>
      <c r="CJ1672" s="16" t="e">
        <f t="shared" si="472"/>
        <v>#N/A</v>
      </c>
      <c r="CK1672" s="16" t="str">
        <f t="shared" si="473"/>
        <v/>
      </c>
    </row>
    <row r="1673" spans="73:89" ht="12" customHeight="1">
      <c r="BU1673" s="16">
        <f t="shared" si="474"/>
        <v>0</v>
      </c>
      <c r="BV1673" s="16">
        <f>IF($BY$12=1,NORMDIST(BY1673,$Y$6,$Y$8,TRUE),IF($BY$12=2,IF(BY1673&lt;=$BX$31,0,IF(BY1673&gt;=$BX$32,1,(BY1673-$BX$31)*$BX$33)),SUM($BU$42:BU1673)/$BV$40))</f>
        <v>0.99999999220768632</v>
      </c>
      <c r="BW1673" s="16">
        <f t="shared" si="466"/>
        <v>3.699789232461277E-7</v>
      </c>
      <c r="BY1673" s="16">
        <f t="shared" si="467"/>
        <v>163.09999999999502</v>
      </c>
      <c r="BZ1673" s="16">
        <f t="shared" si="468"/>
        <v>2.2684176777813551E-9</v>
      </c>
      <c r="CA1673" s="16">
        <f t="shared" si="475"/>
        <v>-999</v>
      </c>
      <c r="CE1673" s="16" t="e">
        <f t="shared" si="469"/>
        <v>#N/A</v>
      </c>
      <c r="CF1673" s="16">
        <f t="shared" si="470"/>
        <v>99</v>
      </c>
      <c r="CG1673" s="16">
        <f t="shared" si="471"/>
        <v>0</v>
      </c>
      <c r="CH1673" s="16">
        <f t="shared" si="476"/>
        <v>0</v>
      </c>
      <c r="CJ1673" s="16" t="e">
        <f t="shared" si="472"/>
        <v>#N/A</v>
      </c>
      <c r="CK1673" s="16" t="str">
        <f t="shared" si="473"/>
        <v/>
      </c>
    </row>
    <row r="1674" spans="73:89" ht="12" customHeight="1">
      <c r="BU1674" s="16">
        <f t="shared" si="474"/>
        <v>0</v>
      </c>
      <c r="BV1674" s="16">
        <f>IF($BY$12=1,NORMDIST(BY1674,$Y$6,$Y$8,TRUE),IF($BY$12=2,IF(BY1674&lt;=$BX$31,0,IF(BY1674&gt;=$BX$32,1,(BY1674-$BX$31)*$BX$33)),SUM($BU$42:BU1674)/$BV$40))</f>
        <v>0.99999999243135029</v>
      </c>
      <c r="BW1674" s="16">
        <f t="shared" si="466"/>
        <v>3.5988029876178087E-7</v>
      </c>
      <c r="BY1674" s="16">
        <f t="shared" si="467"/>
        <v>163.19999999999501</v>
      </c>
      <c r="BZ1674" s="16">
        <f t="shared" si="468"/>
        <v>2.2051488894717639E-9</v>
      </c>
      <c r="CA1674" s="16">
        <f t="shared" si="475"/>
        <v>-999</v>
      </c>
      <c r="CE1674" s="16" t="e">
        <f t="shared" si="469"/>
        <v>#N/A</v>
      </c>
      <c r="CF1674" s="16">
        <f t="shared" si="470"/>
        <v>99</v>
      </c>
      <c r="CG1674" s="16">
        <f t="shared" si="471"/>
        <v>0</v>
      </c>
      <c r="CH1674" s="16">
        <f t="shared" si="476"/>
        <v>0</v>
      </c>
      <c r="CJ1674" s="16" t="e">
        <f t="shared" si="472"/>
        <v>#N/A</v>
      </c>
      <c r="CK1674" s="16" t="str">
        <f t="shared" si="473"/>
        <v/>
      </c>
    </row>
    <row r="1675" spans="73:89" ht="12" customHeight="1">
      <c r="BU1675" s="16">
        <f t="shared" si="474"/>
        <v>0</v>
      </c>
      <c r="BV1675" s="16">
        <f>IF($BY$12=1,NORMDIST(BY1675,$Y$6,$Y$8,TRUE),IF($BY$12=2,IF(BY1675&lt;=$BX$31,0,IF(BY1675&gt;=$BX$32,1,(BY1675-$BX$31)*$BX$33)),SUM($BU$42:BU1675)/$BV$40))</f>
        <v>0.99999999264877315</v>
      </c>
      <c r="BW1675" s="16">
        <f t="shared" si="466"/>
        <v>3.5004843483975664E-7</v>
      </c>
      <c r="BY1675" s="16">
        <f t="shared" si="467"/>
        <v>163.29999999999501</v>
      </c>
      <c r="BZ1675" s="16">
        <f t="shared" si="468"/>
        <v>2.1435911502741417E-9</v>
      </c>
      <c r="CA1675" s="16">
        <f t="shared" si="475"/>
        <v>-999</v>
      </c>
      <c r="CE1675" s="16" t="e">
        <f t="shared" si="469"/>
        <v>#N/A</v>
      </c>
      <c r="CF1675" s="16">
        <f t="shared" si="470"/>
        <v>99</v>
      </c>
      <c r="CG1675" s="16">
        <f t="shared" si="471"/>
        <v>0</v>
      </c>
      <c r="CH1675" s="16">
        <f t="shared" si="476"/>
        <v>0</v>
      </c>
      <c r="CJ1675" s="16" t="e">
        <f t="shared" si="472"/>
        <v>#N/A</v>
      </c>
      <c r="CK1675" s="16" t="str">
        <f t="shared" si="473"/>
        <v/>
      </c>
    </row>
    <row r="1676" spans="73:89" ht="12" customHeight="1">
      <c r="BU1676" s="16">
        <f t="shared" si="474"/>
        <v>0</v>
      </c>
      <c r="BV1676" s="16">
        <f>IF($BY$12=1,NORMDIST(BY1676,$Y$6,$Y$8,TRUE),IF($BY$12=2,IF(BY1676&lt;=$BX$31,0,IF(BY1676&gt;=$BX$32,1,(BY1676-$BX$31)*$BX$33)),SUM($BU$42:BU1676)/$BV$40))</f>
        <v>0.99999999286012398</v>
      </c>
      <c r="BW1676" s="16">
        <f t="shared" si="466"/>
        <v>3.4047653594067114E-7</v>
      </c>
      <c r="BY1676" s="16">
        <f t="shared" si="467"/>
        <v>163.399999999995</v>
      </c>
      <c r="BZ1676" s="16">
        <f t="shared" si="468"/>
        <v>2.0836997303591283E-9</v>
      </c>
      <c r="CA1676" s="16">
        <f t="shared" si="475"/>
        <v>-999</v>
      </c>
      <c r="CE1676" s="16" t="e">
        <f t="shared" si="469"/>
        <v>#N/A</v>
      </c>
      <c r="CF1676" s="16">
        <f t="shared" si="470"/>
        <v>99</v>
      </c>
      <c r="CG1676" s="16">
        <f t="shared" si="471"/>
        <v>0</v>
      </c>
      <c r="CH1676" s="16">
        <f t="shared" si="476"/>
        <v>0</v>
      </c>
      <c r="CJ1676" s="16" t="e">
        <f t="shared" si="472"/>
        <v>#N/A</v>
      </c>
      <c r="CK1676" s="16" t="str">
        <f t="shared" si="473"/>
        <v/>
      </c>
    </row>
    <row r="1677" spans="73:89" ht="12" customHeight="1">
      <c r="BU1677" s="16">
        <f t="shared" si="474"/>
        <v>0</v>
      </c>
      <c r="BV1677" s="16">
        <f>IF($BY$12=1,NORMDIST(BY1677,$Y$6,$Y$8,TRUE),IF($BY$12=2,IF(BY1677&lt;=$BX$31,0,IF(BY1677&gt;=$BX$32,1,(BY1677-$BX$31)*$BX$33)),SUM($BU$42:BU1677)/$BV$40))</f>
        <v>0.99999999306556719</v>
      </c>
      <c r="BW1677" s="16">
        <f t="shared" si="466"/>
        <v>3.3115797272940867E-7</v>
      </c>
      <c r="BY1677" s="16">
        <f t="shared" si="467"/>
        <v>163.499999999995</v>
      </c>
      <c r="BZ1677" s="16">
        <f t="shared" si="468"/>
        <v>2.0254310258680049E-9</v>
      </c>
      <c r="CA1677" s="16">
        <f t="shared" si="475"/>
        <v>-999</v>
      </c>
      <c r="CE1677" s="16" t="e">
        <f t="shared" si="469"/>
        <v>#N/A</v>
      </c>
      <c r="CF1677" s="16">
        <f t="shared" si="470"/>
        <v>99</v>
      </c>
      <c r="CG1677" s="16">
        <f t="shared" si="471"/>
        <v>0</v>
      </c>
      <c r="CH1677" s="16">
        <f t="shared" si="476"/>
        <v>0</v>
      </c>
      <c r="CJ1677" s="16" t="e">
        <f t="shared" si="472"/>
        <v>#N/A</v>
      </c>
      <c r="CK1677" s="16" t="str">
        <f t="shared" si="473"/>
        <v/>
      </c>
    </row>
    <row r="1678" spans="73:89" ht="12" customHeight="1">
      <c r="BU1678" s="16">
        <f t="shared" si="474"/>
        <v>0</v>
      </c>
      <c r="BV1678" s="16">
        <f>IF($BY$12=1,NORMDIST(BY1678,$Y$6,$Y$8,TRUE),IF($BY$12=2,IF(BY1678&lt;=$BX$31,0,IF(BY1678&gt;=$BX$32,1,(BY1678-$BX$31)*$BX$33)),SUM($BU$42:BU1678)/$BV$40))</f>
        <v>0.9999999932652629</v>
      </c>
      <c r="BW1678" s="16">
        <f t="shared" si="466"/>
        <v>3.2208627819473557E-7</v>
      </c>
      <c r="BY1678" s="16">
        <f t="shared" si="467"/>
        <v>163.59999999999499</v>
      </c>
      <c r="BZ1678" s="16">
        <f t="shared" si="468"/>
        <v>1.9687425317527228E-9</v>
      </c>
      <c r="CA1678" s="16">
        <f t="shared" si="475"/>
        <v>-999</v>
      </c>
      <c r="CE1678" s="16" t="e">
        <f t="shared" si="469"/>
        <v>#N/A</v>
      </c>
      <c r="CF1678" s="16">
        <f t="shared" si="470"/>
        <v>99</v>
      </c>
      <c r="CG1678" s="16">
        <f t="shared" si="471"/>
        <v>0</v>
      </c>
      <c r="CH1678" s="16">
        <f t="shared" si="476"/>
        <v>0</v>
      </c>
      <c r="CJ1678" s="16" t="e">
        <f t="shared" si="472"/>
        <v>#N/A</v>
      </c>
      <c r="CK1678" s="16" t="str">
        <f t="shared" si="473"/>
        <v/>
      </c>
    </row>
    <row r="1679" spans="73:89" ht="12" customHeight="1">
      <c r="BU1679" s="16">
        <f t="shared" si="474"/>
        <v>0</v>
      </c>
      <c r="BV1679" s="16">
        <f>IF($BY$12=1,NORMDIST(BY1679,$Y$6,$Y$8,TRUE),IF($BY$12=2,IF(BY1679&lt;=$BX$31,0,IF(BY1679&gt;=$BX$32,1,(BY1679-$BX$31)*$BX$33)),SUM($BU$42:BU1679)/$BV$40))</f>
        <v>0.99999999345936696</v>
      </c>
      <c r="BW1679" s="16">
        <f t="shared" si="466"/>
        <v>3.1325514385471765E-7</v>
      </c>
      <c r="BY1679" s="16">
        <f t="shared" si="467"/>
        <v>163.69999999999499</v>
      </c>
      <c r="BZ1679" s="16">
        <f t="shared" si="468"/>
        <v>1.9135928152396289E-9</v>
      </c>
      <c r="CA1679" s="16">
        <f t="shared" si="475"/>
        <v>-999</v>
      </c>
      <c r="CE1679" s="16" t="e">
        <f t="shared" si="469"/>
        <v>#N/A</v>
      </c>
      <c r="CF1679" s="16">
        <f t="shared" si="470"/>
        <v>99</v>
      </c>
      <c r="CG1679" s="16">
        <f t="shared" si="471"/>
        <v>0</v>
      </c>
      <c r="CH1679" s="16">
        <f t="shared" si="476"/>
        <v>0</v>
      </c>
      <c r="CJ1679" s="16" t="e">
        <f t="shared" si="472"/>
        <v>#N/A</v>
      </c>
      <c r="CK1679" s="16" t="str">
        <f t="shared" si="473"/>
        <v/>
      </c>
    </row>
    <row r="1680" spans="73:89" ht="12" customHeight="1">
      <c r="BU1680" s="16">
        <f t="shared" si="474"/>
        <v>0</v>
      </c>
      <c r="BV1680" s="16">
        <f>IF($BY$12=1,NORMDIST(BY1680,$Y$6,$Y$8,TRUE),IF($BY$12=2,IF(BY1680&lt;=$BX$31,0,IF(BY1680&gt;=$BX$32,1,(BY1680-$BX$31)*$BX$33)),SUM($BU$42:BU1680)/$BV$40))</f>
        <v>0.99999999364803138</v>
      </c>
      <c r="BW1680" s="16">
        <f t="shared" si="466"/>
        <v>3.0465841604617706E-7</v>
      </c>
      <c r="BY1680" s="16">
        <f t="shared" si="467"/>
        <v>163.79999999999498</v>
      </c>
      <c r="BZ1680" s="16">
        <f t="shared" si="468"/>
        <v>1.8599414899034578E-9</v>
      </c>
      <c r="CA1680" s="16">
        <f t="shared" si="475"/>
        <v>-999</v>
      </c>
      <c r="CE1680" s="16" t="e">
        <f t="shared" si="469"/>
        <v>#N/A</v>
      </c>
      <c r="CF1680" s="16">
        <f t="shared" si="470"/>
        <v>99</v>
      </c>
      <c r="CG1680" s="16">
        <f t="shared" si="471"/>
        <v>0</v>
      </c>
      <c r="CH1680" s="16">
        <f t="shared" si="476"/>
        <v>0</v>
      </c>
      <c r="CJ1680" s="16" t="e">
        <f t="shared" si="472"/>
        <v>#N/A</v>
      </c>
      <c r="CK1680" s="16" t="str">
        <f t="shared" si="473"/>
        <v/>
      </c>
    </row>
    <row r="1681" spans="73:89" ht="12" customHeight="1">
      <c r="BU1681" s="16">
        <f t="shared" si="474"/>
        <v>0</v>
      </c>
      <c r="BV1681" s="16">
        <f>IF($BY$12=1,NORMDIST(BY1681,$Y$6,$Y$8,TRUE),IF($BY$12=2,IF(BY1681&lt;=$BX$31,0,IF(BY1681&gt;=$BX$32,1,(BY1681-$BX$31)*$BX$33)),SUM($BU$42:BU1681)/$BV$40))</f>
        <v>0.99999999383140392</v>
      </c>
      <c r="BW1681" s="16">
        <f t="shared" si="466"/>
        <v>2.9629009229644494E-7</v>
      </c>
      <c r="BY1681" s="16">
        <f t="shared" si="467"/>
        <v>163.89999999999498</v>
      </c>
      <c r="BZ1681" s="16">
        <f t="shared" si="468"/>
        <v>1.8077491903383404E-9</v>
      </c>
      <c r="CA1681" s="16">
        <f t="shared" si="475"/>
        <v>-999</v>
      </c>
      <c r="CE1681" s="16" t="e">
        <f t="shared" si="469"/>
        <v>#N/A</v>
      </c>
      <c r="CF1681" s="16">
        <f t="shared" si="470"/>
        <v>99</v>
      </c>
      <c r="CG1681" s="16">
        <f t="shared" si="471"/>
        <v>0</v>
      </c>
      <c r="CH1681" s="16">
        <f t="shared" si="476"/>
        <v>0</v>
      </c>
      <c r="CJ1681" s="16" t="e">
        <f t="shared" si="472"/>
        <v>#N/A</v>
      </c>
      <c r="CK1681" s="16" t="str">
        <f t="shared" si="473"/>
        <v/>
      </c>
    </row>
    <row r="1682" spans="73:89" ht="12" customHeight="1">
      <c r="BU1682" s="16">
        <f t="shared" si="474"/>
        <v>0</v>
      </c>
      <c r="BV1682" s="16">
        <f>IF($BY$12=1,NORMDIST(BY1682,$Y$6,$Y$8,TRUE),IF($BY$12=2,IF(BY1682&lt;=$BX$31,0,IF(BY1682&gt;=$BX$32,1,(BY1682-$BX$31)*$BX$33)),SUM($BU$42:BU1682)/$BV$40))</f>
        <v>0.99999999400962858</v>
      </c>
      <c r="BW1682" s="16">
        <f t="shared" si="466"/>
        <v>2.881443177756803E-7</v>
      </c>
      <c r="BY1682" s="16">
        <f t="shared" si="467"/>
        <v>163.99999999999497</v>
      </c>
      <c r="BZ1682" s="16">
        <f t="shared" si="468"/>
        <v>1.7569775474127386E-9</v>
      </c>
      <c r="CA1682" s="16">
        <f t="shared" si="475"/>
        <v>-999</v>
      </c>
      <c r="CE1682" s="16" t="e">
        <f t="shared" si="469"/>
        <v>#N/A</v>
      </c>
      <c r="CF1682" s="16">
        <f t="shared" si="470"/>
        <v>99</v>
      </c>
      <c r="CG1682" s="16">
        <f t="shared" si="471"/>
        <v>0</v>
      </c>
      <c r="CH1682" s="16">
        <f t="shared" si="476"/>
        <v>0</v>
      </c>
      <c r="CJ1682" s="16" t="e">
        <f t="shared" si="472"/>
        <v>#N/A</v>
      </c>
      <c r="CK1682" s="16" t="str">
        <f t="shared" si="473"/>
        <v/>
      </c>
    </row>
    <row r="1683" spans="73:89" ht="12" customHeight="1">
      <c r="BU1683" s="16">
        <f t="shared" si="474"/>
        <v>0</v>
      </c>
      <c r="BV1683" s="16">
        <f>IF($BY$12=1,NORMDIST(BY1683,$Y$6,$Y$8,TRUE),IF($BY$12=2,IF(BY1683&lt;=$BX$31,0,IF(BY1683&gt;=$BX$32,1,(BY1683-$BX$31)*$BX$33)),SUM($BU$42:BU1683)/$BV$40))</f>
        <v>0.99999999418284558</v>
      </c>
      <c r="BW1683" s="16">
        <f t="shared" ref="BW1683:BW1746" si="477">BY1683*BZ1683</f>
        <v>2.8021538182810221E-7</v>
      </c>
      <c r="BY1683" s="16">
        <f t="shared" ref="BY1683:BY1746" si="478">BY1682+$BZ$1</f>
        <v>164.09999999999496</v>
      </c>
      <c r="BZ1683" s="16">
        <f t="shared" si="468"/>
        <v>1.7075891640957392E-9</v>
      </c>
      <c r="CA1683" s="16">
        <f t="shared" si="475"/>
        <v>-999</v>
      </c>
      <c r="CE1683" s="16" t="e">
        <f t="shared" si="469"/>
        <v>#N/A</v>
      </c>
      <c r="CF1683" s="16">
        <f t="shared" si="470"/>
        <v>99</v>
      </c>
      <c r="CG1683" s="16">
        <f t="shared" si="471"/>
        <v>0</v>
      </c>
      <c r="CH1683" s="16">
        <f t="shared" si="476"/>
        <v>0</v>
      </c>
      <c r="CJ1683" s="16" t="e">
        <f t="shared" si="472"/>
        <v>#N/A</v>
      </c>
      <c r="CK1683" s="16" t="str">
        <f t="shared" si="473"/>
        <v/>
      </c>
    </row>
    <row r="1684" spans="73:89" ht="12" customHeight="1">
      <c r="BU1684" s="16">
        <f t="shared" si="474"/>
        <v>0</v>
      </c>
      <c r="BV1684" s="16">
        <f>IF($BY$12=1,NORMDIST(BY1684,$Y$6,$Y$8,TRUE),IF($BY$12=2,IF(BY1684&lt;=$BX$31,0,IF(BY1684&gt;=$BX$32,1,(BY1684-$BX$31)*$BX$33)),SUM($BU$42:BU1684)/$BV$40))</f>
        <v>0.99999999435119136</v>
      </c>
      <c r="BW1684" s="16">
        <f t="shared" si="477"/>
        <v>2.7249771458047475E-7</v>
      </c>
      <c r="BY1684" s="16">
        <f t="shared" si="478"/>
        <v>164.19999999999496</v>
      </c>
      <c r="BZ1684" s="16">
        <f t="shared" si="468"/>
        <v>1.6595475918421626E-9</v>
      </c>
      <c r="CA1684" s="16">
        <f t="shared" si="475"/>
        <v>-999</v>
      </c>
      <c r="CE1684" s="16" t="e">
        <f t="shared" si="469"/>
        <v>#N/A</v>
      </c>
      <c r="CF1684" s="16">
        <f t="shared" si="470"/>
        <v>99</v>
      </c>
      <c r="CG1684" s="16">
        <f t="shared" si="471"/>
        <v>0</v>
      </c>
      <c r="CH1684" s="16">
        <f t="shared" si="476"/>
        <v>0</v>
      </c>
      <c r="CJ1684" s="16" t="e">
        <f t="shared" si="472"/>
        <v>#N/A</v>
      </c>
      <c r="CK1684" s="16" t="str">
        <f t="shared" si="473"/>
        <v/>
      </c>
    </row>
    <row r="1685" spans="73:89" ht="12" customHeight="1">
      <c r="BU1685" s="16">
        <f t="shared" si="474"/>
        <v>0</v>
      </c>
      <c r="BV1685" s="16">
        <f>IF($BY$12=1,NORMDIST(BY1685,$Y$6,$Y$8,TRUE),IF($BY$12=2,IF(BY1685&lt;=$BX$31,0,IF(BY1685&gt;=$BX$32,1,(BY1685-$BX$31)*$BX$33)),SUM($BU$42:BU1685)/$BV$40))</f>
        <v>0.99999999451479882</v>
      </c>
      <c r="BW1685" s="16">
        <f t="shared" si="477"/>
        <v>2.6498588362623024E-7</v>
      </c>
      <c r="BY1685" s="16">
        <f t="shared" si="478"/>
        <v>164.29999999999495</v>
      </c>
      <c r="BZ1685" s="16">
        <f t="shared" si="468"/>
        <v>1.6128173075242749E-9</v>
      </c>
      <c r="CA1685" s="16">
        <f t="shared" si="475"/>
        <v>-999</v>
      </c>
      <c r="CE1685" s="16" t="e">
        <f t="shared" si="469"/>
        <v>#N/A</v>
      </c>
      <c r="CF1685" s="16">
        <f t="shared" si="470"/>
        <v>99</v>
      </c>
      <c r="CG1685" s="16">
        <f t="shared" si="471"/>
        <v>0</v>
      </c>
      <c r="CH1685" s="16">
        <f t="shared" si="476"/>
        <v>0</v>
      </c>
      <c r="CJ1685" s="16" t="e">
        <f t="shared" si="472"/>
        <v>#N/A</v>
      </c>
      <c r="CK1685" s="16" t="str">
        <f t="shared" si="473"/>
        <v/>
      </c>
    </row>
    <row r="1686" spans="73:89" ht="12" customHeight="1">
      <c r="BU1686" s="16">
        <f t="shared" si="474"/>
        <v>0</v>
      </c>
      <c r="BV1686" s="16">
        <f>IF($BY$12=1,NORMDIST(BY1686,$Y$6,$Y$8,TRUE),IF($BY$12=2,IF(BY1686&lt;=$BX$31,0,IF(BY1686&gt;=$BX$32,1,(BY1686-$BX$31)*$BX$33)),SUM($BU$42:BU1686)/$BV$40))</f>
        <v>0.9999999946737973</v>
      </c>
      <c r="BW1686" s="16">
        <f t="shared" si="477"/>
        <v>2.5767459078366443E-7</v>
      </c>
      <c r="BY1686" s="16">
        <f t="shared" si="478"/>
        <v>164.39999999999495</v>
      </c>
      <c r="BZ1686" s="16">
        <f t="shared" si="468"/>
        <v>1.5673636908982503E-9</v>
      </c>
      <c r="CA1686" s="16">
        <f t="shared" si="475"/>
        <v>-999</v>
      </c>
      <c r="CE1686" s="16" t="e">
        <f t="shared" si="469"/>
        <v>#N/A</v>
      </c>
      <c r="CF1686" s="16">
        <f t="shared" si="470"/>
        <v>99</v>
      </c>
      <c r="CG1686" s="16">
        <f t="shared" si="471"/>
        <v>0</v>
      </c>
      <c r="CH1686" s="16">
        <f t="shared" si="476"/>
        <v>0</v>
      </c>
      <c r="CJ1686" s="16" t="e">
        <f t="shared" si="472"/>
        <v>#N/A</v>
      </c>
      <c r="CK1686" s="16" t="str">
        <f t="shared" si="473"/>
        <v/>
      </c>
    </row>
    <row r="1687" spans="73:89" ht="12" customHeight="1">
      <c r="BU1687" s="16">
        <f t="shared" si="474"/>
        <v>0</v>
      </c>
      <c r="BV1687" s="16">
        <f>IF($BY$12=1,NORMDIST(BY1687,$Y$6,$Y$8,TRUE),IF($BY$12=2,IF(BY1687&lt;=$BX$31,0,IF(BY1687&gt;=$BX$32,1,(BY1687-$BX$31)*$BX$33)),SUM($BU$42:BU1687)/$BV$40))</f>
        <v>0.99999999482831292</v>
      </c>
      <c r="BW1687" s="16">
        <f t="shared" si="477"/>
        <v>2.5055866892662517E-7</v>
      </c>
      <c r="BY1687" s="16">
        <f t="shared" si="478"/>
        <v>164.49999999999494</v>
      </c>
      <c r="BZ1687" s="16">
        <f t="shared" si="468"/>
        <v>1.5231530025935129E-9</v>
      </c>
      <c r="CA1687" s="16">
        <f t="shared" si="475"/>
        <v>-999</v>
      </c>
      <c r="CE1687" s="16" t="e">
        <f t="shared" si="469"/>
        <v>#N/A</v>
      </c>
      <c r="CF1687" s="16">
        <f t="shared" si="470"/>
        <v>99</v>
      </c>
      <c r="CG1687" s="16">
        <f t="shared" si="471"/>
        <v>0</v>
      </c>
      <c r="CH1687" s="16">
        <f t="shared" si="476"/>
        <v>0</v>
      </c>
      <c r="CJ1687" s="16" t="e">
        <f t="shared" si="472"/>
        <v>#N/A</v>
      </c>
      <c r="CK1687" s="16" t="str">
        <f t="shared" si="473"/>
        <v/>
      </c>
    </row>
    <row r="1688" spans="73:89" ht="12" customHeight="1">
      <c r="BU1688" s="16">
        <f t="shared" si="474"/>
        <v>0</v>
      </c>
      <c r="BV1688" s="16">
        <f>IF($BY$12=1,NORMDIST(BY1688,$Y$6,$Y$8,TRUE),IF($BY$12=2,IF(BY1688&lt;=$BX$31,0,IF(BY1688&gt;=$BX$32,1,(BY1688-$BX$31)*$BX$33)),SUM($BU$42:BU1688)/$BV$40))</f>
        <v>0.99999999497846825</v>
      </c>
      <c r="BW1688" s="16">
        <f t="shared" si="477"/>
        <v>2.4363307888619976E-7</v>
      </c>
      <c r="BY1688" s="16">
        <f t="shared" si="478"/>
        <v>164.59999999999494</v>
      </c>
      <c r="BZ1688" s="16">
        <f t="shared" si="468"/>
        <v>1.480152362613653E-9</v>
      </c>
      <c r="CA1688" s="16">
        <f t="shared" si="475"/>
        <v>-999</v>
      </c>
      <c r="CE1688" s="16" t="e">
        <f t="shared" si="469"/>
        <v>#N/A</v>
      </c>
      <c r="CF1688" s="16">
        <f t="shared" si="470"/>
        <v>99</v>
      </c>
      <c r="CG1688" s="16">
        <f t="shared" si="471"/>
        <v>0</v>
      </c>
      <c r="CH1688" s="16">
        <f t="shared" si="476"/>
        <v>0</v>
      </c>
      <c r="CJ1688" s="16" t="e">
        <f t="shared" si="472"/>
        <v>#N/A</v>
      </c>
      <c r="CK1688" s="16" t="str">
        <f t="shared" si="473"/>
        <v/>
      </c>
    </row>
    <row r="1689" spans="73:89" ht="12" customHeight="1">
      <c r="BU1689" s="16">
        <f t="shared" si="474"/>
        <v>0</v>
      </c>
      <c r="BV1689" s="16">
        <f>IF($BY$12=1,NORMDIST(BY1689,$Y$6,$Y$8,TRUE),IF($BY$12=2,IF(BY1689&lt;=$BX$31,0,IF(BY1689&gt;=$BX$32,1,(BY1689-$BX$31)*$BX$33)),SUM($BU$42:BU1689)/$BV$40))</f>
        <v>0.99999999512438265</v>
      </c>
      <c r="BW1689" s="16">
        <f t="shared" si="477"/>
        <v>2.368929064218866E-7</v>
      </c>
      <c r="BY1689" s="16">
        <f t="shared" si="478"/>
        <v>164.69999999999493</v>
      </c>
      <c r="BZ1689" s="16">
        <f t="shared" si="468"/>
        <v>1.4383297293375464E-9</v>
      </c>
      <c r="CA1689" s="16">
        <f t="shared" si="475"/>
        <v>-999</v>
      </c>
      <c r="CE1689" s="16" t="e">
        <f t="shared" si="469"/>
        <v>#N/A</v>
      </c>
      <c r="CF1689" s="16">
        <f t="shared" si="470"/>
        <v>99</v>
      </c>
      <c r="CG1689" s="16">
        <f t="shared" si="471"/>
        <v>0</v>
      </c>
      <c r="CH1689" s="16">
        <f t="shared" si="476"/>
        <v>0</v>
      </c>
      <c r="CJ1689" s="16" t="e">
        <f t="shared" si="472"/>
        <v>#N/A</v>
      </c>
      <c r="CK1689" s="16" t="str">
        <f t="shared" si="473"/>
        <v/>
      </c>
    </row>
    <row r="1690" spans="73:89" ht="12" customHeight="1">
      <c r="BU1690" s="16">
        <f t="shared" si="474"/>
        <v>0</v>
      </c>
      <c r="BV1690" s="16">
        <f>IF($BY$12=1,NORMDIST(BY1690,$Y$6,$Y$8,TRUE),IF($BY$12=2,IF(BY1690&lt;=$BX$31,0,IF(BY1690&gt;=$BX$32,1,(BY1690-$BX$31)*$BX$33)),SUM($BU$42:BU1690)/$BV$40))</f>
        <v>0.99999999526617245</v>
      </c>
      <c r="BW1690" s="16">
        <f t="shared" si="477"/>
        <v>2.3033335926080267E-7</v>
      </c>
      <c r="BY1690" s="16">
        <f t="shared" si="478"/>
        <v>164.79999999999492</v>
      </c>
      <c r="BZ1690" s="16">
        <f t="shared" si="468"/>
        <v>1.397653879009768E-9</v>
      </c>
      <c r="CA1690" s="16">
        <f t="shared" si="475"/>
        <v>-999</v>
      </c>
      <c r="CE1690" s="16" t="e">
        <f t="shared" si="469"/>
        <v>#N/A</v>
      </c>
      <c r="CF1690" s="16">
        <f t="shared" si="470"/>
        <v>99</v>
      </c>
      <c r="CG1690" s="16">
        <f t="shared" si="471"/>
        <v>0</v>
      </c>
      <c r="CH1690" s="16">
        <f t="shared" si="476"/>
        <v>0</v>
      </c>
      <c r="CJ1690" s="16" t="e">
        <f t="shared" si="472"/>
        <v>#N/A</v>
      </c>
      <c r="CK1690" s="16" t="str">
        <f t="shared" si="473"/>
        <v/>
      </c>
    </row>
    <row r="1691" spans="73:89" ht="12" customHeight="1">
      <c r="BU1691" s="16">
        <f t="shared" si="474"/>
        <v>0</v>
      </c>
      <c r="BV1691" s="16">
        <f>IF($BY$12=1,NORMDIST(BY1691,$Y$6,$Y$8,TRUE),IF($BY$12=2,IF(BY1691&lt;=$BX$31,0,IF(BY1691&gt;=$BX$32,1,(BY1691-$BX$31)*$BX$33)),SUM($BU$42:BU1691)/$BV$40))</f>
        <v>0.99999999540395068</v>
      </c>
      <c r="BW1691" s="16">
        <f t="shared" si="477"/>
        <v>2.2394976420348694E-7</v>
      </c>
      <c r="BY1691" s="16">
        <f t="shared" si="478"/>
        <v>164.89999999999492</v>
      </c>
      <c r="BZ1691" s="16">
        <f t="shared" si="468"/>
        <v>1.3580943857094836E-9</v>
      </c>
      <c r="CA1691" s="16">
        <f t="shared" si="475"/>
        <v>-999</v>
      </c>
      <c r="CE1691" s="16" t="e">
        <f t="shared" si="469"/>
        <v>#N/A</v>
      </c>
      <c r="CF1691" s="16">
        <f t="shared" si="470"/>
        <v>99</v>
      </c>
      <c r="CG1691" s="16">
        <f t="shared" si="471"/>
        <v>0</v>
      </c>
      <c r="CH1691" s="16">
        <f t="shared" si="476"/>
        <v>0</v>
      </c>
      <c r="CJ1691" s="16" t="e">
        <f t="shared" si="472"/>
        <v>#N/A</v>
      </c>
      <c r="CK1691" s="16" t="str">
        <f t="shared" si="473"/>
        <v/>
      </c>
    </row>
    <row r="1692" spans="73:89" ht="12" customHeight="1">
      <c r="BU1692" s="16">
        <f t="shared" si="474"/>
        <v>0</v>
      </c>
      <c r="BV1692" s="16">
        <f>IF($BY$12=1,NORMDIST(BY1692,$Y$6,$Y$8,TRUE),IF($BY$12=2,IF(BY1692&lt;=$BX$31,0,IF(BY1692&gt;=$BX$32,1,(BY1692-$BX$31)*$BX$33)),SUM($BU$42:BU1692)/$BV$40))</f>
        <v>0.99999999553782759</v>
      </c>
      <c r="BW1692" s="16">
        <f t="shared" si="477"/>
        <v>2.1773756429488427E-7</v>
      </c>
      <c r="BY1692" s="16">
        <f t="shared" si="478"/>
        <v>164.99999999999491</v>
      </c>
      <c r="BZ1692" s="16">
        <f t="shared" si="468"/>
        <v>1.3196216017872181E-9</v>
      </c>
      <c r="CA1692" s="16">
        <f t="shared" si="475"/>
        <v>-999</v>
      </c>
      <c r="CE1692" s="16" t="e">
        <f t="shared" si="469"/>
        <v>#N/A</v>
      </c>
      <c r="CF1692" s="16">
        <f t="shared" si="470"/>
        <v>99</v>
      </c>
      <c r="CG1692" s="16">
        <f t="shared" si="471"/>
        <v>0</v>
      </c>
      <c r="CH1692" s="16">
        <f t="shared" si="476"/>
        <v>0</v>
      </c>
      <c r="CJ1692" s="16" t="e">
        <f t="shared" si="472"/>
        <v>#N/A</v>
      </c>
      <c r="CK1692" s="16" t="str">
        <f t="shared" si="473"/>
        <v/>
      </c>
    </row>
    <row r="1693" spans="73:89" ht="12" customHeight="1">
      <c r="BU1693" s="16">
        <f t="shared" si="474"/>
        <v>0</v>
      </c>
      <c r="BV1693" s="16">
        <f>IF($BY$12=1,NORMDIST(BY1693,$Y$6,$Y$8,TRUE),IF($BY$12=2,IF(BY1693&lt;=$BX$31,0,IF(BY1693&gt;=$BX$32,1,(BY1693-$BX$31)*$BX$33)),SUM($BU$42:BU1693)/$BV$40))</f>
        <v>0.99999999566791031</v>
      </c>
      <c r="BW1693" s="16">
        <f t="shared" si="477"/>
        <v>2.1169231605914275E-7</v>
      </c>
      <c r="BY1693" s="16">
        <f t="shared" si="478"/>
        <v>165.09999999999491</v>
      </c>
      <c r="BZ1693" s="16">
        <f t="shared" si="468"/>
        <v>1.2822066387592324E-9</v>
      </c>
      <c r="CA1693" s="16">
        <f t="shared" si="475"/>
        <v>-999</v>
      </c>
      <c r="CE1693" s="16" t="e">
        <f t="shared" si="469"/>
        <v>#N/A</v>
      </c>
      <c r="CF1693" s="16">
        <f t="shared" si="470"/>
        <v>99</v>
      </c>
      <c r="CG1693" s="16">
        <f t="shared" si="471"/>
        <v>0</v>
      </c>
      <c r="CH1693" s="16">
        <f t="shared" si="476"/>
        <v>0</v>
      </c>
      <c r="CJ1693" s="16" t="e">
        <f t="shared" si="472"/>
        <v>#N/A</v>
      </c>
      <c r="CK1693" s="16" t="str">
        <f t="shared" si="473"/>
        <v/>
      </c>
    </row>
    <row r="1694" spans="73:89" ht="12" customHeight="1">
      <c r="BU1694" s="16">
        <f t="shared" si="474"/>
        <v>0</v>
      </c>
      <c r="BV1694" s="16">
        <f>IF($BY$12=1,NORMDIST(BY1694,$Y$6,$Y$8,TRUE),IF($BY$12=2,IF(BY1694&lt;=$BX$31,0,IF(BY1694&gt;=$BX$32,1,(BY1694-$BX$31)*$BX$33)),SUM($BU$42:BU1694)/$BV$40))</f>
        <v>0.99999999579430321</v>
      </c>
      <c r="BW1694" s="16">
        <f t="shared" si="477"/>
        <v>2.058096867968708E-7</v>
      </c>
      <c r="BY1694" s="16">
        <f t="shared" si="478"/>
        <v>165.1999999999949</v>
      </c>
      <c r="BZ1694" s="16">
        <f t="shared" si="468"/>
        <v>1.2458213486493774E-9</v>
      </c>
      <c r="CA1694" s="16">
        <f t="shared" si="475"/>
        <v>-999</v>
      </c>
      <c r="CE1694" s="16" t="e">
        <f t="shared" si="469"/>
        <v>#N/A</v>
      </c>
      <c r="CF1694" s="16">
        <f t="shared" si="470"/>
        <v>99</v>
      </c>
      <c r="CG1694" s="16">
        <f t="shared" si="471"/>
        <v>0</v>
      </c>
      <c r="CH1694" s="16">
        <f t="shared" si="476"/>
        <v>0</v>
      </c>
      <c r="CJ1694" s="16" t="e">
        <f t="shared" si="472"/>
        <v>#N/A</v>
      </c>
      <c r="CK1694" s="16" t="str">
        <f t="shared" si="473"/>
        <v/>
      </c>
    </row>
    <row r="1695" spans="73:89" ht="12" customHeight="1">
      <c r="BU1695" s="16">
        <f t="shared" si="474"/>
        <v>0</v>
      </c>
      <c r="BV1695" s="16">
        <f>IF($BY$12=1,NORMDIST(BY1695,$Y$6,$Y$8,TRUE),IF($BY$12=2,IF(BY1695&lt;=$BX$31,0,IF(BY1695&gt;=$BX$32,1,(BY1695-$BX$31)*$BX$33)),SUM($BU$42:BU1695)/$BV$40))</f>
        <v>0.99999999591710798</v>
      </c>
      <c r="BW1695" s="16">
        <f t="shared" si="477"/>
        <v>2.0008545194351432E-7</v>
      </c>
      <c r="BY1695" s="16">
        <f t="shared" si="478"/>
        <v>165.2999999999949</v>
      </c>
      <c r="BZ1695" s="16">
        <f t="shared" si="468"/>
        <v>1.2104383057684241E-9</v>
      </c>
      <c r="CA1695" s="16">
        <f t="shared" si="475"/>
        <v>-999</v>
      </c>
      <c r="CE1695" s="16" t="e">
        <f t="shared" si="469"/>
        <v>#N/A</v>
      </c>
      <c r="CF1695" s="16">
        <f t="shared" si="470"/>
        <v>99</v>
      </c>
      <c r="CG1695" s="16">
        <f t="shared" si="471"/>
        <v>0</v>
      </c>
      <c r="CH1695" s="16">
        <f t="shared" si="476"/>
        <v>0</v>
      </c>
      <c r="CJ1695" s="16" t="e">
        <f t="shared" si="472"/>
        <v>#N/A</v>
      </c>
      <c r="CK1695" s="16" t="str">
        <f t="shared" si="473"/>
        <v/>
      </c>
    </row>
    <row r="1696" spans="73:89" ht="12" customHeight="1">
      <c r="BU1696" s="16">
        <f t="shared" si="474"/>
        <v>0</v>
      </c>
      <c r="BV1696" s="16">
        <f>IF($BY$12=1,NORMDIST(BY1696,$Y$6,$Y$8,TRUE),IF($BY$12=2,IF(BY1696&lt;=$BX$31,0,IF(BY1696&gt;=$BX$32,1,(BY1696-$BX$31)*$BX$33)),SUM($BU$42:BU1696)/$BV$40))</f>
        <v>0.99999999603642342</v>
      </c>
      <c r="BW1696" s="16">
        <f t="shared" si="477"/>
        <v>1.9451549248757228E-7</v>
      </c>
      <c r="BY1696" s="16">
        <f t="shared" si="478"/>
        <v>165.39999999999489</v>
      </c>
      <c r="BZ1696" s="16">
        <f t="shared" si="468"/>
        <v>1.1760307889212714E-9</v>
      </c>
      <c r="CA1696" s="16">
        <f t="shared" si="475"/>
        <v>-999</v>
      </c>
      <c r="CE1696" s="16" t="e">
        <f t="shared" si="469"/>
        <v>#N/A</v>
      </c>
      <c r="CF1696" s="16">
        <f t="shared" si="470"/>
        <v>99</v>
      </c>
      <c r="CG1696" s="16">
        <f t="shared" si="471"/>
        <v>0</v>
      </c>
      <c r="CH1696" s="16">
        <f t="shared" si="476"/>
        <v>0</v>
      </c>
      <c r="CJ1696" s="16" t="e">
        <f t="shared" si="472"/>
        <v>#N/A</v>
      </c>
      <c r="CK1696" s="16" t="str">
        <f t="shared" si="473"/>
        <v/>
      </c>
    </row>
    <row r="1697" spans="73:89" ht="12" customHeight="1">
      <c r="BU1697" s="16">
        <f t="shared" si="474"/>
        <v>0</v>
      </c>
      <c r="BV1697" s="16">
        <f>IF($BY$12=1,NORMDIST(BY1697,$Y$6,$Y$8,TRUE),IF($BY$12=2,IF(BY1697&lt;=$BX$31,0,IF(BY1697&gt;=$BX$32,1,(BY1697-$BX$31)*$BX$33)),SUM($BU$42:BU1697)/$BV$40))</f>
        <v>0.99999999615234569</v>
      </c>
      <c r="BW1697" s="16">
        <f t="shared" si="477"/>
        <v>1.8909579244736381E-7</v>
      </c>
      <c r="BY1697" s="16">
        <f t="shared" si="478"/>
        <v>165.49999999999488</v>
      </c>
      <c r="BZ1697" s="16">
        <f t="shared" si="468"/>
        <v>1.1425727640324451E-9</v>
      </c>
      <c r="CA1697" s="16">
        <f t="shared" si="475"/>
        <v>-999</v>
      </c>
      <c r="CE1697" s="16" t="e">
        <f t="shared" si="469"/>
        <v>#N/A</v>
      </c>
      <c r="CF1697" s="16">
        <f t="shared" si="470"/>
        <v>99</v>
      </c>
      <c r="CG1697" s="16">
        <f t="shared" si="471"/>
        <v>0</v>
      </c>
      <c r="CH1697" s="16">
        <f t="shared" si="476"/>
        <v>0</v>
      </c>
      <c r="CJ1697" s="16" t="e">
        <f t="shared" si="472"/>
        <v>#N/A</v>
      </c>
      <c r="CK1697" s="16" t="str">
        <f t="shared" si="473"/>
        <v/>
      </c>
    </row>
    <row r="1698" spans="73:89" ht="12" customHeight="1">
      <c r="BU1698" s="16">
        <f t="shared" si="474"/>
        <v>0</v>
      </c>
      <c r="BV1698" s="16">
        <f>IF($BY$12=1,NORMDIST(BY1698,$Y$6,$Y$8,TRUE),IF($BY$12=2,IF(BY1698&lt;=$BX$31,0,IF(BY1698&gt;=$BX$32,1,(BY1698-$BX$31)*$BX$33)),SUM($BU$42:BU1698)/$BV$40))</f>
        <v>0.99999999626496872</v>
      </c>
      <c r="BW1698" s="16">
        <f t="shared" si="477"/>
        <v>1.8382243640510019E-7</v>
      </c>
      <c r="BY1698" s="16">
        <f t="shared" si="478"/>
        <v>165.59999999999488</v>
      </c>
      <c r="BZ1698" s="16">
        <f t="shared" si="468"/>
        <v>1.110038867180591E-9</v>
      </c>
      <c r="CA1698" s="16">
        <f t="shared" si="475"/>
        <v>-999</v>
      </c>
      <c r="CE1698" s="16" t="e">
        <f t="shared" si="469"/>
        <v>#N/A</v>
      </c>
      <c r="CF1698" s="16">
        <f t="shared" si="470"/>
        <v>99</v>
      </c>
      <c r="CG1698" s="16">
        <f t="shared" si="471"/>
        <v>0</v>
      </c>
      <c r="CH1698" s="16">
        <f t="shared" si="476"/>
        <v>0</v>
      </c>
      <c r="CJ1698" s="16" t="e">
        <f t="shared" si="472"/>
        <v>#N/A</v>
      </c>
      <c r="CK1698" s="16" t="str">
        <f t="shared" si="473"/>
        <v/>
      </c>
    </row>
    <row r="1699" spans="73:89" ht="12" customHeight="1">
      <c r="BU1699" s="16">
        <f t="shared" si="474"/>
        <v>0</v>
      </c>
      <c r="BV1699" s="16">
        <f>IF($BY$12=1,NORMDIST(BY1699,$Y$6,$Y$8,TRUE),IF($BY$12=2,IF(BY1699&lt;=$BX$31,0,IF(BY1699&gt;=$BX$32,1,(BY1699-$BX$31)*$BX$33)),SUM($BU$42:BU1699)/$BV$40))</f>
        <v>0.99999999637438353</v>
      </c>
      <c r="BW1699" s="16">
        <f t="shared" si="477"/>
        <v>1.7869160709704573E-7</v>
      </c>
      <c r="BY1699" s="16">
        <f t="shared" si="478"/>
        <v>165.69999999999487</v>
      </c>
      <c r="BZ1699" s="16">
        <f t="shared" si="468"/>
        <v>1.0784043880328984E-9</v>
      </c>
      <c r="CA1699" s="16">
        <f t="shared" si="475"/>
        <v>-999</v>
      </c>
      <c r="CE1699" s="16" t="e">
        <f t="shared" si="469"/>
        <v>#N/A</v>
      </c>
      <c r="CF1699" s="16">
        <f t="shared" si="470"/>
        <v>99</v>
      </c>
      <c r="CG1699" s="16">
        <f t="shared" si="471"/>
        <v>0</v>
      </c>
      <c r="CH1699" s="16">
        <f t="shared" si="476"/>
        <v>0</v>
      </c>
      <c r="CJ1699" s="16" t="e">
        <f t="shared" si="472"/>
        <v>#N/A</v>
      </c>
      <c r="CK1699" s="16" t="str">
        <f t="shared" si="473"/>
        <v/>
      </c>
    </row>
    <row r="1700" spans="73:89" ht="12" customHeight="1">
      <c r="BU1700" s="16">
        <f t="shared" si="474"/>
        <v>0</v>
      </c>
      <c r="BV1700" s="16">
        <f>IF($BY$12=1,NORMDIST(BY1700,$Y$6,$Y$8,TRUE),IF($BY$12=2,IF(BY1700&lt;=$BX$31,0,IF(BY1700&gt;=$BX$32,1,(BY1700-$BX$31)*$BX$33)),SUM($BU$42:BU1700)/$BV$40))</f>
        <v>0.99999999648067883</v>
      </c>
      <c r="BW1700" s="16">
        <f t="shared" si="477"/>
        <v>1.7369958305854826E-7</v>
      </c>
      <c r="BY1700" s="16">
        <f t="shared" si="478"/>
        <v>165.79999999999487</v>
      </c>
      <c r="BZ1700" s="16">
        <f t="shared" si="468"/>
        <v>1.0476452536704079E-9</v>
      </c>
      <c r="CA1700" s="16">
        <f t="shared" si="475"/>
        <v>-999</v>
      </c>
      <c r="CE1700" s="16" t="e">
        <f t="shared" si="469"/>
        <v>#N/A</v>
      </c>
      <c r="CF1700" s="16">
        <f t="shared" si="470"/>
        <v>99</v>
      </c>
      <c r="CG1700" s="16">
        <f t="shared" si="471"/>
        <v>0</v>
      </c>
      <c r="CH1700" s="16">
        <f t="shared" si="476"/>
        <v>0</v>
      </c>
      <c r="CJ1700" s="16" t="e">
        <f t="shared" si="472"/>
        <v>#N/A</v>
      </c>
      <c r="CK1700" s="16" t="str">
        <f t="shared" si="473"/>
        <v/>
      </c>
    </row>
    <row r="1701" spans="73:89" ht="12" customHeight="1">
      <c r="BU1701" s="16">
        <f t="shared" si="474"/>
        <v>0</v>
      </c>
      <c r="BV1701" s="16">
        <f>IF($BY$12=1,NORMDIST(BY1701,$Y$6,$Y$8,TRUE),IF($BY$12=2,IF(BY1701&lt;=$BX$31,0,IF(BY1701&gt;=$BX$32,1,(BY1701-$BX$31)*$BX$33)),SUM($BU$42:BU1701)/$BV$40))</f>
        <v>0.9999999965839409</v>
      </c>
      <c r="BW1701" s="16">
        <f t="shared" si="477"/>
        <v>1.6884273632278877E-7</v>
      </c>
      <c r="BY1701" s="16">
        <f t="shared" si="478"/>
        <v>165.89999999999486</v>
      </c>
      <c r="BZ1701" s="16">
        <f t="shared" si="468"/>
        <v>1.0177380127956238E-9</v>
      </c>
      <c r="CA1701" s="16">
        <f t="shared" si="475"/>
        <v>-999</v>
      </c>
      <c r="CE1701" s="16" t="e">
        <f t="shared" si="469"/>
        <v>#N/A</v>
      </c>
      <c r="CF1701" s="16">
        <f t="shared" si="470"/>
        <v>99</v>
      </c>
      <c r="CG1701" s="16">
        <f t="shared" si="471"/>
        <v>0</v>
      </c>
      <c r="CH1701" s="16">
        <f t="shared" si="476"/>
        <v>0</v>
      </c>
      <c r="CJ1701" s="16" t="e">
        <f t="shared" si="472"/>
        <v>#N/A</v>
      </c>
      <c r="CK1701" s="16" t="str">
        <f t="shared" si="473"/>
        <v/>
      </c>
    </row>
    <row r="1702" spans="73:89" ht="12" customHeight="1">
      <c r="BU1702" s="16">
        <f t="shared" si="474"/>
        <v>0</v>
      </c>
      <c r="BV1702" s="16">
        <f>IF($BY$12=1,NORMDIST(BY1702,$Y$6,$Y$8,TRUE),IF($BY$12=2,IF(BY1702&lt;=$BX$31,0,IF(BY1702&gt;=$BX$32,1,(BY1702-$BX$31)*$BX$33)),SUM($BU$42:BU1702)/$BV$40))</f>
        <v>0.99999999668425399</v>
      </c>
      <c r="BW1702" s="16">
        <f t="shared" si="477"/>
        <v>1.6411753017207059E-7</v>
      </c>
      <c r="BY1702" s="16">
        <f t="shared" si="478"/>
        <v>165.99999999999486</v>
      </c>
      <c r="BZ1702" s="16">
        <f t="shared" si="468"/>
        <v>9.8865982031370887E-10</v>
      </c>
      <c r="CA1702" s="16">
        <f t="shared" si="475"/>
        <v>-999</v>
      </c>
      <c r="CE1702" s="16" t="e">
        <f t="shared" si="469"/>
        <v>#N/A</v>
      </c>
      <c r="CF1702" s="16">
        <f t="shared" si="470"/>
        <v>99</v>
      </c>
      <c r="CG1702" s="16">
        <f t="shared" si="471"/>
        <v>0</v>
      </c>
      <c r="CH1702" s="16">
        <f t="shared" si="476"/>
        <v>0</v>
      </c>
      <c r="CJ1702" s="16" t="e">
        <f t="shared" si="472"/>
        <v>#N/A</v>
      </c>
      <c r="CK1702" s="16" t="str">
        <f t="shared" si="473"/>
        <v/>
      </c>
    </row>
    <row r="1703" spans="73:89" ht="12" customHeight="1">
      <c r="BU1703" s="16">
        <f t="shared" si="474"/>
        <v>0</v>
      </c>
      <c r="BV1703" s="16">
        <f>IF($BY$12=1,NORMDIST(BY1703,$Y$6,$Y$8,TRUE),IF($BY$12=2,IF(BY1703&lt;=$BX$31,0,IF(BY1703&gt;=$BX$32,1,(BY1703-$BX$31)*$BX$33)),SUM($BU$42:BU1703)/$BV$40))</f>
        <v>0.99999999678169982</v>
      </c>
      <c r="BW1703" s="16">
        <f t="shared" si="477"/>
        <v>1.5952051694054124E-7</v>
      </c>
      <c r="BY1703" s="16">
        <f t="shared" si="478"/>
        <v>166.09999999999485</v>
      </c>
      <c r="BZ1703" s="16">
        <f t="shared" si="468"/>
        <v>9.6038842227902571E-10</v>
      </c>
      <c r="CA1703" s="16">
        <f t="shared" si="475"/>
        <v>-999</v>
      </c>
      <c r="CE1703" s="16" t="e">
        <f t="shared" si="469"/>
        <v>#N/A</v>
      </c>
      <c r="CF1703" s="16">
        <f t="shared" si="470"/>
        <v>99</v>
      </c>
      <c r="CG1703" s="16">
        <f t="shared" si="471"/>
        <v>0</v>
      </c>
      <c r="CH1703" s="16">
        <f t="shared" si="476"/>
        <v>0</v>
      </c>
      <c r="CJ1703" s="16" t="e">
        <f t="shared" si="472"/>
        <v>#N/A</v>
      </c>
      <c r="CK1703" s="16" t="str">
        <f t="shared" si="473"/>
        <v/>
      </c>
    </row>
    <row r="1704" spans="73:89" ht="12" customHeight="1">
      <c r="BU1704" s="16">
        <f t="shared" si="474"/>
        <v>0</v>
      </c>
      <c r="BV1704" s="16">
        <f>IF($BY$12=1,NORMDIST(BY1704,$Y$6,$Y$8,TRUE),IF($BY$12=2,IF(BY1704&lt;=$BX$31,0,IF(BY1704&gt;=$BX$32,1,(BY1704-$BX$31)*$BX$33)),SUM($BU$42:BU1704)/$BV$40))</f>
        <v>0.99999999687635788</v>
      </c>
      <c r="BW1704" s="16">
        <f t="shared" si="477"/>
        <v>1.550483358672198E-7</v>
      </c>
      <c r="BY1704" s="16">
        <f t="shared" si="478"/>
        <v>166.19999999999484</v>
      </c>
      <c r="BZ1704" s="16">
        <f t="shared" si="468"/>
        <v>9.32902141198704E-10</v>
      </c>
      <c r="CA1704" s="16">
        <f t="shared" si="475"/>
        <v>-999</v>
      </c>
      <c r="CE1704" s="16" t="e">
        <f t="shared" si="469"/>
        <v>#N/A</v>
      </c>
      <c r="CF1704" s="16">
        <f t="shared" si="470"/>
        <v>99</v>
      </c>
      <c r="CG1704" s="16">
        <f t="shared" si="471"/>
        <v>0</v>
      </c>
      <c r="CH1704" s="16">
        <f t="shared" si="476"/>
        <v>0</v>
      </c>
      <c r="CJ1704" s="16" t="e">
        <f t="shared" si="472"/>
        <v>#N/A</v>
      </c>
      <c r="CK1704" s="16" t="str">
        <f t="shared" si="473"/>
        <v/>
      </c>
    </row>
    <row r="1705" spans="73:89" ht="12" customHeight="1">
      <c r="BU1705" s="16">
        <f t="shared" si="474"/>
        <v>0</v>
      </c>
      <c r="BV1705" s="16">
        <f>IF($BY$12=1,NORMDIST(BY1705,$Y$6,$Y$8,TRUE),IF($BY$12=2,IF(BY1705&lt;=$BX$31,0,IF(BY1705&gt;=$BX$32,1,(BY1705-$BX$31)*$BX$33)),SUM($BU$42:BU1705)/$BV$40))</f>
        <v>0.99999999696830566</v>
      </c>
      <c r="BW1705" s="16">
        <f t="shared" si="477"/>
        <v>1.5069771099826022E-7</v>
      </c>
      <c r="BY1705" s="16">
        <f t="shared" si="478"/>
        <v>166.29999999999484</v>
      </c>
      <c r="BZ1705" s="16">
        <f t="shared" si="468"/>
        <v>9.0617986168529702E-10</v>
      </c>
      <c r="CA1705" s="16">
        <f t="shared" si="475"/>
        <v>-999</v>
      </c>
      <c r="CE1705" s="16" t="e">
        <f t="shared" si="469"/>
        <v>#N/A</v>
      </c>
      <c r="CF1705" s="16">
        <f t="shared" si="470"/>
        <v>99</v>
      </c>
      <c r="CG1705" s="16">
        <f t="shared" si="471"/>
        <v>0</v>
      </c>
      <c r="CH1705" s="16">
        <f t="shared" si="476"/>
        <v>0</v>
      </c>
      <c r="CJ1705" s="16" t="e">
        <f t="shared" si="472"/>
        <v>#N/A</v>
      </c>
      <c r="CK1705" s="16" t="str">
        <f t="shared" si="473"/>
        <v/>
      </c>
    </row>
    <row r="1706" spans="73:89" ht="12" customHeight="1">
      <c r="BU1706" s="16">
        <f t="shared" si="474"/>
        <v>0</v>
      </c>
      <c r="BV1706" s="16">
        <f>IF($BY$12=1,NORMDIST(BY1706,$Y$6,$Y$8,TRUE),IF($BY$12=2,IF(BY1706&lt;=$BX$31,0,IF(BY1706&gt;=$BX$32,1,(BY1706-$BX$31)*$BX$33)),SUM($BU$42:BU1706)/$BV$40))</f>
        <v>0.99999999705761866</v>
      </c>
      <c r="BW1706" s="16">
        <f t="shared" si="477"/>
        <v>1.4646544913737775E-7</v>
      </c>
      <c r="BY1706" s="16">
        <f t="shared" si="478"/>
        <v>166.39999999999483</v>
      </c>
      <c r="BZ1706" s="16">
        <f t="shared" ref="BZ1706:BZ1769" si="479">IF($BZ$5,IF($BY$12=1,NORMDIST(BY1706,$Y$6,$Y$8,FALSE),IF($BY$12=2,IF(AND(BY1706&gt;=$BX$31,BY1706&lt;=$BX$32),$BX$33,0),IF(BY1706&lt;=$BX$13,0,NORMDIST(LN((BY1706-$BX$13)/$BX$12),0,$BW$8,FALSE)/((BY1706-$BX$13)/$BX$12)))),-999)</f>
        <v>8.8020101645061474E-10</v>
      </c>
      <c r="CA1706" s="16">
        <f t="shared" si="475"/>
        <v>-999</v>
      </c>
      <c r="CE1706" s="16" t="e">
        <f t="shared" ref="CE1706:CE1769" si="480">IF(AND($CB$7,$CD$2,$CD$1),26+$P$23/2-CC1706*$P$23,NA())</f>
        <v>#N/A</v>
      </c>
      <c r="CF1706" s="16">
        <f t="shared" ref="CF1706:CF1769" si="481">IF(ISNA(CJ1706),99,CJ1706)</f>
        <v>99</v>
      </c>
      <c r="CG1706" s="16">
        <f t="shared" ref="CG1706:CG1769" si="482">IF(ISNA(CJ1706),0,CJ1706)</f>
        <v>0</v>
      </c>
      <c r="CH1706" s="16">
        <f t="shared" si="476"/>
        <v>0</v>
      </c>
      <c r="CJ1706" s="16" t="e">
        <f t="shared" ref="CJ1706:CJ1769" si="483">IF(CH1706=1,CE1706,NA())</f>
        <v>#N/A</v>
      </c>
      <c r="CK1706" s="16" t="str">
        <f t="shared" ref="CK1706:CK1769" si="484">IF(CH1706=1,M1605,"")</f>
        <v/>
      </c>
    </row>
    <row r="1707" spans="73:89" ht="12" customHeight="1">
      <c r="BU1707" s="16">
        <f t="shared" ref="BU1707:BU1770" si="485">IF($BY$12&lt;3,0,IF(BY1707&lt;=$BX$13,0,NORMDIST(LN((BY1707-$BX$13)/$BX$12),0,$BW$8,FALSE)/((BY1707-$BX$13)/$BX$12)))</f>
        <v>0</v>
      </c>
      <c r="BV1707" s="16">
        <f>IF($BY$12=1,NORMDIST(BY1707,$Y$6,$Y$8,TRUE),IF($BY$12=2,IF(BY1707&lt;=$BX$31,0,IF(BY1707&gt;=$BX$32,1,(BY1707-$BX$31)*$BX$33)),SUM($BU$42:BU1707)/$BV$40))</f>
        <v>0.99999999714437005</v>
      </c>
      <c r="BW1707" s="16">
        <f t="shared" si="477"/>
        <v>1.423484378433975E-7</v>
      </c>
      <c r="BY1707" s="16">
        <f t="shared" si="478"/>
        <v>166.49999999999483</v>
      </c>
      <c r="BZ1707" s="16">
        <f t="shared" si="479"/>
        <v>8.5494557263304467E-10</v>
      </c>
      <c r="CA1707" s="16">
        <f t="shared" ref="CA1707:CA1770" si="486">IF(AND($CD$1,$CD$3),26-$CD$40*NORMDIST(BY1707,$Y$6,$Y$8/SQRT($T$18),FALSE),-999)</f>
        <v>-999</v>
      </c>
      <c r="CE1707" s="16" t="e">
        <f t="shared" si="480"/>
        <v>#N/A</v>
      </c>
      <c r="CF1707" s="16">
        <f t="shared" si="481"/>
        <v>99</v>
      </c>
      <c r="CG1707" s="16">
        <f t="shared" si="482"/>
        <v>0</v>
      </c>
      <c r="CH1707" s="16">
        <f t="shared" si="476"/>
        <v>0</v>
      </c>
      <c r="CJ1707" s="16" t="e">
        <f t="shared" si="483"/>
        <v>#N/A</v>
      </c>
      <c r="CK1707" s="16" t="str">
        <f t="shared" si="484"/>
        <v/>
      </c>
    </row>
    <row r="1708" spans="73:89" ht="12" customHeight="1">
      <c r="BU1708" s="16">
        <f t="shared" si="485"/>
        <v>0</v>
      </c>
      <c r="BV1708" s="16">
        <f>IF($BY$12=1,NORMDIST(BY1708,$Y$6,$Y$8,TRUE),IF($BY$12=2,IF(BY1708&lt;=$BX$31,0,IF(BY1708&gt;=$BX$32,1,(BY1708-$BX$31)*$BX$33)),SUM($BU$42:BU1708)/$BV$40))</f>
        <v>0.9999999972286312</v>
      </c>
      <c r="BW1708" s="16">
        <f t="shared" si="477"/>
        <v>1.383436434739083E-7</v>
      </c>
      <c r="BY1708" s="16">
        <f t="shared" si="478"/>
        <v>166.59999999999482</v>
      </c>
      <c r="BZ1708" s="16">
        <f t="shared" si="479"/>
        <v>8.3039401845085592E-10</v>
      </c>
      <c r="CA1708" s="16">
        <f t="shared" si="486"/>
        <v>-999</v>
      </c>
      <c r="CE1708" s="16" t="e">
        <f t="shared" si="480"/>
        <v>#N/A</v>
      </c>
      <c r="CF1708" s="16">
        <f t="shared" si="481"/>
        <v>99</v>
      </c>
      <c r="CG1708" s="16">
        <f t="shared" si="482"/>
        <v>0</v>
      </c>
      <c r="CH1708" s="16">
        <f t="shared" si="476"/>
        <v>0</v>
      </c>
      <c r="CJ1708" s="16" t="e">
        <f t="shared" si="483"/>
        <v>#N/A</v>
      </c>
      <c r="CK1708" s="16" t="str">
        <f t="shared" si="484"/>
        <v/>
      </c>
    </row>
    <row r="1709" spans="73:89" ht="12" customHeight="1">
      <c r="BU1709" s="16">
        <f t="shared" si="485"/>
        <v>0</v>
      </c>
      <c r="BV1709" s="16">
        <f>IF($BY$12=1,NORMDIST(BY1709,$Y$6,$Y$8,TRUE),IF($BY$12=2,IF(BY1709&lt;=$BX$31,0,IF(BY1709&gt;=$BX$32,1,(BY1709-$BX$31)*$BX$33)),SUM($BU$42:BU1709)/$BV$40))</f>
        <v>0.99999999731047162</v>
      </c>
      <c r="BW1709" s="16">
        <f t="shared" si="477"/>
        <v>1.3444810927401612E-7</v>
      </c>
      <c r="BY1709" s="16">
        <f t="shared" si="478"/>
        <v>166.69999999999482</v>
      </c>
      <c r="BZ1709" s="16">
        <f t="shared" si="479"/>
        <v>8.0652735017408697E-10</v>
      </c>
      <c r="CA1709" s="16">
        <f t="shared" si="486"/>
        <v>-999</v>
      </c>
      <c r="CE1709" s="16" t="e">
        <f t="shared" si="480"/>
        <v>#N/A</v>
      </c>
      <c r="CF1709" s="16">
        <f t="shared" si="481"/>
        <v>99</v>
      </c>
      <c r="CG1709" s="16">
        <f t="shared" si="482"/>
        <v>0</v>
      </c>
      <c r="CH1709" s="16">
        <f t="shared" si="476"/>
        <v>0</v>
      </c>
      <c r="CJ1709" s="16" t="e">
        <f t="shared" si="483"/>
        <v>#N/A</v>
      </c>
      <c r="CK1709" s="16" t="str">
        <f t="shared" si="484"/>
        <v/>
      </c>
    </row>
    <row r="1710" spans="73:89" ht="12" customHeight="1">
      <c r="BU1710" s="16">
        <f t="shared" si="485"/>
        <v>0</v>
      </c>
      <c r="BV1710" s="16">
        <f>IF($BY$12=1,NORMDIST(BY1710,$Y$6,$Y$8,TRUE),IF($BY$12=2,IF(BY1710&lt;=$BX$31,0,IF(BY1710&gt;=$BX$32,1,(BY1710-$BX$31)*$BX$33)),SUM($BU$42:BU1710)/$BV$40))</f>
        <v>0.99999999738995893</v>
      </c>
      <c r="BW1710" s="16">
        <f t="shared" si="477"/>
        <v>1.3065895350921931E-7</v>
      </c>
      <c r="BY1710" s="16">
        <f t="shared" si="478"/>
        <v>166.79999999999481</v>
      </c>
      <c r="BZ1710" s="16">
        <f t="shared" si="479"/>
        <v>7.8332705940781401E-10</v>
      </c>
      <c r="CA1710" s="16">
        <f t="shared" si="486"/>
        <v>-999</v>
      </c>
      <c r="CE1710" s="16" t="e">
        <f t="shared" si="480"/>
        <v>#N/A</v>
      </c>
      <c r="CF1710" s="16">
        <f t="shared" si="481"/>
        <v>99</v>
      </c>
      <c r="CG1710" s="16">
        <f t="shared" si="482"/>
        <v>0</v>
      </c>
      <c r="CH1710" s="16">
        <f t="shared" si="476"/>
        <v>0</v>
      </c>
      <c r="CJ1710" s="16" t="e">
        <f t="shared" si="483"/>
        <v>#N/A</v>
      </c>
      <c r="CK1710" s="16" t="str">
        <f t="shared" si="484"/>
        <v/>
      </c>
    </row>
    <row r="1711" spans="73:89" ht="12" customHeight="1">
      <c r="BU1711" s="16">
        <f t="shared" si="485"/>
        <v>0</v>
      </c>
      <c r="BV1711" s="16">
        <f>IF($BY$12=1,NORMDIST(BY1711,$Y$6,$Y$8,TRUE),IF($BY$12=2,IF(BY1711&lt;=$BX$31,0,IF(BY1711&gt;=$BX$32,1,(BY1711-$BX$31)*$BX$33)),SUM($BU$42:BU1711)/$BV$40))</f>
        <v>0.99999999746715862</v>
      </c>
      <c r="BW1711" s="16">
        <f t="shared" si="477"/>
        <v>1.2697336764144242E-7</v>
      </c>
      <c r="BY1711" s="16">
        <f t="shared" si="478"/>
        <v>166.8999999999948</v>
      </c>
      <c r="BZ1711" s="16">
        <f t="shared" si="479"/>
        <v>7.6077512067972668E-10</v>
      </c>
      <c r="CA1711" s="16">
        <f t="shared" si="486"/>
        <v>-999</v>
      </c>
      <c r="CE1711" s="16" t="e">
        <f t="shared" si="480"/>
        <v>#N/A</v>
      </c>
      <c r="CF1711" s="16">
        <f t="shared" si="481"/>
        <v>99</v>
      </c>
      <c r="CG1711" s="16">
        <f t="shared" si="482"/>
        <v>0</v>
      </c>
      <c r="CH1711" s="16">
        <f t="shared" si="476"/>
        <v>0</v>
      </c>
      <c r="CJ1711" s="16" t="e">
        <f t="shared" si="483"/>
        <v>#N/A</v>
      </c>
      <c r="CK1711" s="16" t="str">
        <f t="shared" si="484"/>
        <v/>
      </c>
    </row>
    <row r="1712" spans="73:89" ht="12" customHeight="1">
      <c r="BU1712" s="16">
        <f t="shared" si="485"/>
        <v>0</v>
      </c>
      <c r="BV1712" s="16">
        <f>IF($BY$12=1,NORMDIST(BY1712,$Y$6,$Y$8,TRUE),IF($BY$12=2,IF(BY1712&lt;=$BX$31,0,IF(BY1712&gt;=$BX$32,1,(BY1712-$BX$31)*$BX$33)),SUM($BU$42:BU1712)/$BV$40))</f>
        <v>0.99999999754213498</v>
      </c>
      <c r="BW1712" s="16">
        <f t="shared" si="477"/>
        <v>1.2338861454729223E-7</v>
      </c>
      <c r="BY1712" s="16">
        <f t="shared" si="478"/>
        <v>166.9999999999948</v>
      </c>
      <c r="BZ1712" s="16">
        <f t="shared" si="479"/>
        <v>7.3885397932512612E-10</v>
      </c>
      <c r="CA1712" s="16">
        <f t="shared" si="486"/>
        <v>-999</v>
      </c>
      <c r="CE1712" s="16" t="e">
        <f t="shared" si="480"/>
        <v>#N/A</v>
      </c>
      <c r="CF1712" s="16">
        <f t="shared" si="481"/>
        <v>99</v>
      </c>
      <c r="CG1712" s="16">
        <f t="shared" si="482"/>
        <v>0</v>
      </c>
      <c r="CH1712" s="16">
        <f t="shared" si="476"/>
        <v>0</v>
      </c>
      <c r="CJ1712" s="16" t="e">
        <f t="shared" si="483"/>
        <v>#N/A</v>
      </c>
      <c r="CK1712" s="16" t="str">
        <f t="shared" si="484"/>
        <v/>
      </c>
    </row>
    <row r="1713" spans="73:89" ht="12" customHeight="1">
      <c r="BU1713" s="16">
        <f t="shared" si="485"/>
        <v>0</v>
      </c>
      <c r="BV1713" s="16">
        <f>IF($BY$12=1,NORMDIST(BY1713,$Y$6,$Y$8,TRUE),IF($BY$12=2,IF(BY1713&lt;=$BX$31,0,IF(BY1713&gt;=$BX$32,1,(BY1713-$BX$31)*$BX$33)),SUM($BU$42:BU1713)/$BV$40))</f>
        <v>0.99999999761494995</v>
      </c>
      <c r="BW1713" s="16">
        <f t="shared" si="477"/>
        <v>1.1990202677760872E-7</v>
      </c>
      <c r="BY1713" s="16">
        <f t="shared" si="478"/>
        <v>167.09999999999479</v>
      </c>
      <c r="BZ1713" s="16">
        <f t="shared" si="479"/>
        <v>7.1754653966255215E-10</v>
      </c>
      <c r="CA1713" s="16">
        <f t="shared" si="486"/>
        <v>-999</v>
      </c>
      <c r="CE1713" s="16" t="e">
        <f t="shared" si="480"/>
        <v>#N/A</v>
      </c>
      <c r="CF1713" s="16">
        <f t="shared" si="481"/>
        <v>99</v>
      </c>
      <c r="CG1713" s="16">
        <f t="shared" si="482"/>
        <v>0</v>
      </c>
      <c r="CH1713" s="16">
        <f t="shared" si="476"/>
        <v>0</v>
      </c>
      <c r="CJ1713" s="16" t="e">
        <f t="shared" si="483"/>
        <v>#N/A</v>
      </c>
      <c r="CK1713" s="16" t="str">
        <f t="shared" si="484"/>
        <v/>
      </c>
    </row>
    <row r="1714" spans="73:89" ht="12" customHeight="1">
      <c r="BU1714" s="16">
        <f t="shared" si="485"/>
        <v>0</v>
      </c>
      <c r="BV1714" s="16">
        <f>IF($BY$12=1,NORMDIST(BY1714,$Y$6,$Y$8,TRUE),IF($BY$12=2,IF(BY1714&lt;=$BX$31,0,IF(BY1714&gt;=$BX$32,1,(BY1714-$BX$31)*$BX$33)),SUM($BU$42:BU1714)/$BV$40))</f>
        <v>0.99999999768566417</v>
      </c>
      <c r="BW1714" s="16">
        <f t="shared" si="477"/>
        <v>1.1651100485741093E-7</v>
      </c>
      <c r="BY1714" s="16">
        <f t="shared" si="478"/>
        <v>167.19999999999479</v>
      </c>
      <c r="BZ1714" s="16">
        <f t="shared" si="479"/>
        <v>6.9683615345343641E-10</v>
      </c>
      <c r="CA1714" s="16">
        <f t="shared" si="486"/>
        <v>-999</v>
      </c>
      <c r="CE1714" s="16" t="e">
        <f t="shared" si="480"/>
        <v>#N/A</v>
      </c>
      <c r="CF1714" s="16">
        <f t="shared" si="481"/>
        <v>99</v>
      </c>
      <c r="CG1714" s="16">
        <f t="shared" si="482"/>
        <v>0</v>
      </c>
      <c r="CH1714" s="16">
        <f t="shared" si="476"/>
        <v>0</v>
      </c>
      <c r="CJ1714" s="16" t="e">
        <f t="shared" si="483"/>
        <v>#N/A</v>
      </c>
      <c r="CK1714" s="16" t="str">
        <f t="shared" si="484"/>
        <v/>
      </c>
    </row>
    <row r="1715" spans="73:89" ht="12" customHeight="1">
      <c r="BU1715" s="16">
        <f t="shared" si="485"/>
        <v>0</v>
      </c>
      <c r="BV1715" s="16">
        <f>IF($BY$12=1,NORMDIST(BY1715,$Y$6,$Y$8,TRUE),IF($BY$12=2,IF(BY1715&lt;=$BX$31,0,IF(BY1715&gt;=$BX$32,1,(BY1715-$BX$31)*$BX$33)),SUM($BU$42:BU1715)/$BV$40))</f>
        <v>0.99999999775433657</v>
      </c>
      <c r="BW1715" s="16">
        <f t="shared" si="477"/>
        <v>1.1321301562534955E-7</v>
      </c>
      <c r="BY1715" s="16">
        <f t="shared" si="478"/>
        <v>167.29999999999478</v>
      </c>
      <c r="BZ1715" s="16">
        <f t="shared" si="479"/>
        <v>6.7670660863928916E-10</v>
      </c>
      <c r="CA1715" s="16">
        <f t="shared" si="486"/>
        <v>-999</v>
      </c>
      <c r="CE1715" s="16" t="e">
        <f t="shared" si="480"/>
        <v>#N/A</v>
      </c>
      <c r="CF1715" s="16">
        <f t="shared" si="481"/>
        <v>99</v>
      </c>
      <c r="CG1715" s="16">
        <f t="shared" si="482"/>
        <v>0</v>
      </c>
      <c r="CH1715" s="16">
        <f t="shared" si="476"/>
        <v>0</v>
      </c>
      <c r="CJ1715" s="16" t="e">
        <f t="shared" si="483"/>
        <v>#N/A</v>
      </c>
      <c r="CK1715" s="16" t="str">
        <f t="shared" si="484"/>
        <v/>
      </c>
    </row>
    <row r="1716" spans="73:89" ht="12" customHeight="1">
      <c r="BU1716" s="16">
        <f t="shared" si="485"/>
        <v>0</v>
      </c>
      <c r="BV1716" s="16">
        <f>IF($BY$12=1,NORMDIST(BY1716,$Y$6,$Y$8,TRUE),IF($BY$12=2,IF(BY1716&lt;=$BX$31,0,IF(BY1716&gt;=$BX$32,1,(BY1716-$BX$31)*$BX$33)),SUM($BU$42:BU1716)/$BV$40))</f>
        <v>0.99999999782102433</v>
      </c>
      <c r="BW1716" s="16">
        <f t="shared" si="477"/>
        <v>1.100055906118059E-7</v>
      </c>
      <c r="BY1716" s="16">
        <f t="shared" si="478"/>
        <v>167.39999999999478</v>
      </c>
      <c r="BZ1716" s="16">
        <f t="shared" si="479"/>
        <v>6.5714211835011548E-10</v>
      </c>
      <c r="CA1716" s="16">
        <f t="shared" si="486"/>
        <v>-999</v>
      </c>
      <c r="CE1716" s="16" t="e">
        <f t="shared" si="480"/>
        <v>#N/A</v>
      </c>
      <c r="CF1716" s="16">
        <f t="shared" si="481"/>
        <v>99</v>
      </c>
      <c r="CG1716" s="16">
        <f t="shared" si="482"/>
        <v>0</v>
      </c>
      <c r="CH1716" s="16">
        <f t="shared" si="476"/>
        <v>0</v>
      </c>
      <c r="CJ1716" s="16" t="e">
        <f t="shared" si="483"/>
        <v>#N/A</v>
      </c>
      <c r="CK1716" s="16" t="str">
        <f t="shared" si="484"/>
        <v/>
      </c>
    </row>
    <row r="1717" spans="73:89" ht="12" customHeight="1">
      <c r="BU1717" s="16">
        <f t="shared" si="485"/>
        <v>0</v>
      </c>
      <c r="BV1717" s="16">
        <f>IF($BY$12=1,NORMDIST(BY1717,$Y$6,$Y$8,TRUE),IF($BY$12=2,IF(BY1717&lt;=$BX$31,0,IF(BY1717&gt;=$BX$32,1,(BY1717-$BX$31)*$BX$33)),SUM($BU$42:BU1717)/$BV$40))</f>
        <v>0.99999999788578331</v>
      </c>
      <c r="BW1717" s="16">
        <f t="shared" si="477"/>
        <v>1.0688632445477877E-7</v>
      </c>
      <c r="BY1717" s="16">
        <f t="shared" si="478"/>
        <v>167.49999999999477</v>
      </c>
      <c r="BZ1717" s="16">
        <f t="shared" si="479"/>
        <v>6.3812731017780367E-10</v>
      </c>
      <c r="CA1717" s="16">
        <f t="shared" si="486"/>
        <v>-999</v>
      </c>
      <c r="CE1717" s="16" t="e">
        <f t="shared" si="480"/>
        <v>#N/A</v>
      </c>
      <c r="CF1717" s="16">
        <f t="shared" si="481"/>
        <v>99</v>
      </c>
      <c r="CG1717" s="16">
        <f t="shared" si="482"/>
        <v>0</v>
      </c>
      <c r="CH1717" s="16">
        <f t="shared" si="476"/>
        <v>0</v>
      </c>
      <c r="CJ1717" s="16" t="e">
        <f t="shared" si="483"/>
        <v>#N/A</v>
      </c>
      <c r="CK1717" s="16" t="str">
        <f t="shared" si="484"/>
        <v/>
      </c>
    </row>
    <row r="1718" spans="73:89" ht="12" customHeight="1">
      <c r="BU1718" s="16">
        <f t="shared" si="485"/>
        <v>0</v>
      </c>
      <c r="BV1718" s="16">
        <f>IF($BY$12=1,NORMDIST(BY1718,$Y$6,$Y$8,TRUE),IF($BY$12=2,IF(BY1718&lt;=$BX$31,0,IF(BY1718&gt;=$BX$32,1,(BY1718-$BX$31)*$BX$33)),SUM($BU$42:BU1718)/$BV$40))</f>
        <v>0.99999999794866756</v>
      </c>
      <c r="BW1718" s="16">
        <f t="shared" si="477"/>
        <v>1.0385287335273458E-7</v>
      </c>
      <c r="BY1718" s="16">
        <f t="shared" si="478"/>
        <v>167.59999999999476</v>
      </c>
      <c r="BZ1718" s="16">
        <f t="shared" si="479"/>
        <v>6.1964721570845954E-10</v>
      </c>
      <c r="CA1718" s="16">
        <f t="shared" si="486"/>
        <v>-999</v>
      </c>
      <c r="CE1718" s="16" t="e">
        <f t="shared" si="480"/>
        <v>#N/A</v>
      </c>
      <c r="CF1718" s="16">
        <f t="shared" si="481"/>
        <v>99</v>
      </c>
      <c r="CG1718" s="16">
        <f t="shared" si="482"/>
        <v>0</v>
      </c>
      <c r="CH1718" s="16">
        <f t="shared" si="476"/>
        <v>0</v>
      </c>
      <c r="CJ1718" s="16" t="e">
        <f t="shared" si="483"/>
        <v>#N/A</v>
      </c>
      <c r="CK1718" s="16" t="str">
        <f t="shared" si="484"/>
        <v/>
      </c>
    </row>
    <row r="1719" spans="73:89" ht="12" customHeight="1">
      <c r="BU1719" s="16">
        <f t="shared" si="485"/>
        <v>0</v>
      </c>
      <c r="BV1719" s="16">
        <f>IF($BY$12=1,NORMDIST(BY1719,$Y$6,$Y$8,TRUE),IF($BY$12=2,IF(BY1719&lt;=$BX$31,0,IF(BY1719&gt;=$BX$32,1,(BY1719-$BX$31)*$BX$33)),SUM($BU$42:BU1719)/$BV$40))</f>
        <v>0.99999999800973005</v>
      </c>
      <c r="BW1719" s="16">
        <f t="shared" si="477"/>
        <v>1.0090295355360644E-7</v>
      </c>
      <c r="BY1719" s="16">
        <f t="shared" si="478"/>
        <v>167.69999999999476</v>
      </c>
      <c r="BZ1719" s="16">
        <f t="shared" si="479"/>
        <v>6.0168726030774956E-10</v>
      </c>
      <c r="CA1719" s="16">
        <f t="shared" si="486"/>
        <v>-999</v>
      </c>
      <c r="CE1719" s="16" t="e">
        <f t="shared" si="480"/>
        <v>#N/A</v>
      </c>
      <c r="CF1719" s="16">
        <f t="shared" si="481"/>
        <v>99</v>
      </c>
      <c r="CG1719" s="16">
        <f t="shared" si="482"/>
        <v>0</v>
      </c>
      <c r="CH1719" s="16">
        <f t="shared" si="476"/>
        <v>0</v>
      </c>
      <c r="CJ1719" s="16" t="e">
        <f t="shared" si="483"/>
        <v>#N/A</v>
      </c>
      <c r="CK1719" s="16" t="str">
        <f t="shared" si="484"/>
        <v/>
      </c>
    </row>
    <row r="1720" spans="73:89" ht="12" customHeight="1">
      <c r="BU1720" s="16">
        <f t="shared" si="485"/>
        <v>0</v>
      </c>
      <c r="BV1720" s="16">
        <f>IF($BY$12=1,NORMDIST(BY1720,$Y$6,$Y$8,TRUE),IF($BY$12=2,IF(BY1720&lt;=$BX$31,0,IF(BY1720&gt;=$BX$32,1,(BY1720-$BX$31)*$BX$33)),SUM($BU$42:BU1720)/$BV$40))</f>
        <v>0.99999999806902196</v>
      </c>
      <c r="BW1720" s="16">
        <f t="shared" si="477"/>
        <v>9.8034339879136834E-8</v>
      </c>
      <c r="BY1720" s="16">
        <f t="shared" si="478"/>
        <v>167.79999999999475</v>
      </c>
      <c r="BZ1720" s="16">
        <f t="shared" si="479"/>
        <v>5.8423325315339629E-10</v>
      </c>
      <c r="CA1720" s="16">
        <f t="shared" si="486"/>
        <v>-999</v>
      </c>
      <c r="CE1720" s="16" t="e">
        <f t="shared" si="480"/>
        <v>#N/A</v>
      </c>
      <c r="CF1720" s="16">
        <f t="shared" si="481"/>
        <v>99</v>
      </c>
      <c r="CG1720" s="16">
        <f t="shared" si="482"/>
        <v>0</v>
      </c>
      <c r="CH1720" s="16">
        <f t="shared" si="476"/>
        <v>0</v>
      </c>
      <c r="CJ1720" s="16" t="e">
        <f t="shared" si="483"/>
        <v>#N/A</v>
      </c>
      <c r="CK1720" s="16" t="str">
        <f t="shared" si="484"/>
        <v/>
      </c>
    </row>
    <row r="1721" spans="73:89" ht="12" customHeight="1">
      <c r="BU1721" s="16">
        <f t="shared" si="485"/>
        <v>0</v>
      </c>
      <c r="BV1721" s="16">
        <f>IF($BY$12=1,NORMDIST(BY1721,$Y$6,$Y$8,TRUE),IF($BY$12=2,IF(BY1721&lt;=$BX$31,0,IF(BY1721&gt;=$BX$32,1,(BY1721-$BX$31)*$BX$33)),SUM($BU$42:BU1721)/$BV$40))</f>
        <v>0.99999999812659313</v>
      </c>
      <c r="BW1721" s="16">
        <f t="shared" si="477"/>
        <v>9.5244864283791255E-8</v>
      </c>
      <c r="BY1721" s="16">
        <f t="shared" si="478"/>
        <v>167.89999999999475</v>
      </c>
      <c r="BZ1721" s="16">
        <f t="shared" si="479"/>
        <v>5.6727137750919735E-10</v>
      </c>
      <c r="CA1721" s="16">
        <f t="shared" si="486"/>
        <v>-999</v>
      </c>
      <c r="CE1721" s="16" t="e">
        <f t="shared" si="480"/>
        <v>#N/A</v>
      </c>
      <c r="CF1721" s="16">
        <f t="shared" si="481"/>
        <v>99</v>
      </c>
      <c r="CG1721" s="16">
        <f t="shared" si="482"/>
        <v>0</v>
      </c>
      <c r="CH1721" s="16">
        <f t="shared" si="476"/>
        <v>0</v>
      </c>
      <c r="CJ1721" s="16" t="e">
        <f t="shared" si="483"/>
        <v>#N/A</v>
      </c>
      <c r="CK1721" s="16" t="str">
        <f t="shared" si="484"/>
        <v/>
      </c>
    </row>
    <row r="1722" spans="73:89" ht="12" customHeight="1">
      <c r="BU1722" s="16">
        <f t="shared" si="485"/>
        <v>0</v>
      </c>
      <c r="BV1722" s="16">
        <f>IF($BY$12=1,NORMDIST(BY1722,$Y$6,$Y$8,TRUE),IF($BY$12=2,IF(BY1722&lt;=$BX$31,0,IF(BY1722&gt;=$BX$32,1,(BY1722-$BX$31)*$BX$33)),SUM($BU$42:BU1722)/$BV$40))</f>
        <v>0.99999999818249219</v>
      </c>
      <c r="BW1722" s="16">
        <f t="shared" si="477"/>
        <v>9.2532414447472144E-8</v>
      </c>
      <c r="BY1722" s="16">
        <f t="shared" si="478"/>
        <v>167.99999999999474</v>
      </c>
      <c r="BZ1722" s="16">
        <f t="shared" si="479"/>
        <v>5.507881812349705E-10</v>
      </c>
      <c r="CA1722" s="16">
        <f t="shared" si="486"/>
        <v>-999</v>
      </c>
      <c r="CE1722" s="16" t="e">
        <f t="shared" si="480"/>
        <v>#N/A</v>
      </c>
      <c r="CF1722" s="16">
        <f t="shared" si="481"/>
        <v>99</v>
      </c>
      <c r="CG1722" s="16">
        <f t="shared" si="482"/>
        <v>0</v>
      </c>
      <c r="CH1722" s="16">
        <f t="shared" si="476"/>
        <v>0</v>
      </c>
      <c r="CJ1722" s="16" t="e">
        <f t="shared" si="483"/>
        <v>#N/A</v>
      </c>
      <c r="CK1722" s="16" t="str">
        <f t="shared" si="484"/>
        <v/>
      </c>
    </row>
    <row r="1723" spans="73:89" ht="12" customHeight="1">
      <c r="BU1723" s="16">
        <f t="shared" si="485"/>
        <v>0</v>
      </c>
      <c r="BV1723" s="16">
        <f>IF($BY$12=1,NORMDIST(BY1723,$Y$6,$Y$8,TRUE),IF($BY$12=2,IF(BY1723&lt;=$BX$31,0,IF(BY1723&gt;=$BX$32,1,(BY1723-$BX$31)*$BX$33)),SUM($BU$42:BU1723)/$BV$40))</f>
        <v>0.99999999823676622</v>
      </c>
      <c r="BW1723" s="16">
        <f t="shared" si="477"/>
        <v>8.9894932401285237E-8</v>
      </c>
      <c r="BY1723" s="16">
        <f t="shared" si="478"/>
        <v>168.09999999999474</v>
      </c>
      <c r="BZ1723" s="16">
        <f t="shared" si="479"/>
        <v>5.3477056752699618E-10</v>
      </c>
      <c r="CA1723" s="16">
        <f t="shared" si="486"/>
        <v>-999</v>
      </c>
      <c r="CE1723" s="16" t="e">
        <f t="shared" si="480"/>
        <v>#N/A</v>
      </c>
      <c r="CF1723" s="16">
        <f t="shared" si="481"/>
        <v>99</v>
      </c>
      <c r="CG1723" s="16">
        <f t="shared" si="482"/>
        <v>0</v>
      </c>
      <c r="CH1723" s="16">
        <f t="shared" si="476"/>
        <v>0</v>
      </c>
      <c r="CJ1723" s="16" t="e">
        <f t="shared" si="483"/>
        <v>#N/A</v>
      </c>
      <c r="CK1723" s="16" t="str">
        <f t="shared" si="484"/>
        <v/>
      </c>
    </row>
    <row r="1724" spans="73:89" ht="12" customHeight="1">
      <c r="BU1724" s="16">
        <f t="shared" si="485"/>
        <v>0</v>
      </c>
      <c r="BV1724" s="16">
        <f>IF($BY$12=1,NORMDIST(BY1724,$Y$6,$Y$8,TRUE),IF($BY$12=2,IF(BY1724&lt;=$BX$31,0,IF(BY1724&gt;=$BX$32,1,(BY1724-$BX$31)*$BX$33)),SUM($BU$42:BU1724)/$BV$40))</f>
        <v>0.99999999828946129</v>
      </c>
      <c r="BW1724" s="16">
        <f t="shared" si="477"/>
        <v>8.7330413185623159E-8</v>
      </c>
      <c r="BY1724" s="16">
        <f t="shared" si="478"/>
        <v>168.19999999999473</v>
      </c>
      <c r="BZ1724" s="16">
        <f t="shared" si="479"/>
        <v>5.1920578588362602E-10</v>
      </c>
      <c r="CA1724" s="16">
        <f t="shared" si="486"/>
        <v>-999</v>
      </c>
      <c r="CE1724" s="16" t="e">
        <f t="shared" si="480"/>
        <v>#N/A</v>
      </c>
      <c r="CF1724" s="16">
        <f t="shared" si="481"/>
        <v>99</v>
      </c>
      <c r="CG1724" s="16">
        <f t="shared" si="482"/>
        <v>0</v>
      </c>
      <c r="CH1724" s="16">
        <f t="shared" si="476"/>
        <v>0</v>
      </c>
      <c r="CJ1724" s="16" t="e">
        <f t="shared" si="483"/>
        <v>#N/A</v>
      </c>
      <c r="CK1724" s="16" t="str">
        <f t="shared" si="484"/>
        <v/>
      </c>
    </row>
    <row r="1725" spans="73:89" ht="12" customHeight="1">
      <c r="BU1725" s="16">
        <f t="shared" si="485"/>
        <v>0</v>
      </c>
      <c r="BV1725" s="16">
        <f>IF($BY$12=1,NORMDIST(BY1725,$Y$6,$Y$8,TRUE),IF($BY$12=2,IF(BY1725&lt;=$BX$31,0,IF(BY1725&gt;=$BX$32,1,(BY1725-$BX$31)*$BX$33)),SUM($BU$42:BU1725)/$BV$40))</f>
        <v>0.99999999834062203</v>
      </c>
      <c r="BW1725" s="16">
        <f t="shared" si="477"/>
        <v>8.4836903539850122E-8</v>
      </c>
      <c r="BY1725" s="16">
        <f t="shared" si="478"/>
        <v>168.29999999999472</v>
      </c>
      <c r="BZ1725" s="16">
        <f t="shared" si="479"/>
        <v>5.040814232908662E-10</v>
      </c>
      <c r="CA1725" s="16">
        <f t="shared" si="486"/>
        <v>-999</v>
      </c>
      <c r="CE1725" s="16" t="e">
        <f t="shared" si="480"/>
        <v>#N/A</v>
      </c>
      <c r="CF1725" s="16">
        <f t="shared" si="481"/>
        <v>99</v>
      </c>
      <c r="CG1725" s="16">
        <f t="shared" si="482"/>
        <v>0</v>
      </c>
      <c r="CH1725" s="16">
        <f t="shared" si="476"/>
        <v>0</v>
      </c>
      <c r="CJ1725" s="16" t="e">
        <f t="shared" si="483"/>
        <v>#N/A</v>
      </c>
      <c r="CK1725" s="16" t="str">
        <f t="shared" si="484"/>
        <v/>
      </c>
    </row>
    <row r="1726" spans="73:89" ht="12" customHeight="1">
      <c r="BU1726" s="16">
        <f t="shared" si="485"/>
        <v>0</v>
      </c>
      <c r="BV1726" s="16">
        <f>IF($BY$12=1,NORMDIST(BY1726,$Y$6,$Y$8,TRUE),IF($BY$12=2,IF(BY1726&lt;=$BX$31,0,IF(BY1726&gt;=$BX$32,1,(BY1726-$BX$31)*$BX$33)),SUM($BU$42:BU1726)/$BV$40))</f>
        <v>0.99999999839029186</v>
      </c>
      <c r="BW1726" s="16">
        <f t="shared" si="477"/>
        <v>8.2412500622880948E-8</v>
      </c>
      <c r="BY1726" s="16">
        <f t="shared" si="478"/>
        <v>168.39999999999472</v>
      </c>
      <c r="BZ1726" s="16">
        <f t="shared" si="479"/>
        <v>4.8938539562282385E-10</v>
      </c>
      <c r="CA1726" s="16">
        <f t="shared" si="486"/>
        <v>-999</v>
      </c>
      <c r="CE1726" s="16" t="e">
        <f t="shared" si="480"/>
        <v>#N/A</v>
      </c>
      <c r="CF1726" s="16">
        <f t="shared" si="481"/>
        <v>99</v>
      </c>
      <c r="CG1726" s="16">
        <f t="shared" si="482"/>
        <v>0</v>
      </c>
      <c r="CH1726" s="16">
        <f t="shared" si="476"/>
        <v>0</v>
      </c>
      <c r="CJ1726" s="16" t="e">
        <f t="shared" si="483"/>
        <v>#N/A</v>
      </c>
      <c r="CK1726" s="16" t="str">
        <f t="shared" si="484"/>
        <v/>
      </c>
    </row>
    <row r="1727" spans="73:89" ht="12" customHeight="1">
      <c r="BU1727" s="16">
        <f t="shared" si="485"/>
        <v>0</v>
      </c>
      <c r="BV1727" s="16">
        <f>IF($BY$12=1,NORMDIST(BY1727,$Y$6,$Y$8,TRUE),IF($BY$12=2,IF(BY1727&lt;=$BX$31,0,IF(BY1727&gt;=$BX$32,1,(BY1727-$BX$31)*$BX$33)),SUM($BU$42:BU1727)/$BV$40))</f>
        <v>0.99999999843851306</v>
      </c>
      <c r="BW1727" s="16">
        <f t="shared" si="477"/>
        <v>8.0055350763966832E-8</v>
      </c>
      <c r="BY1727" s="16">
        <f t="shared" si="478"/>
        <v>168.49999999999471</v>
      </c>
      <c r="BZ1727" s="16">
        <f t="shared" si="479"/>
        <v>4.7510593925204358E-10</v>
      </c>
      <c r="CA1727" s="16">
        <f t="shared" si="486"/>
        <v>-999</v>
      </c>
      <c r="CE1727" s="16" t="e">
        <f t="shared" si="480"/>
        <v>#N/A</v>
      </c>
      <c r="CF1727" s="16">
        <f t="shared" si="481"/>
        <v>99</v>
      </c>
      <c r="CG1727" s="16">
        <f t="shared" si="482"/>
        <v>0</v>
      </c>
      <c r="CH1727" s="16">
        <f t="shared" si="476"/>
        <v>0</v>
      </c>
      <c r="CJ1727" s="16" t="e">
        <f t="shared" si="483"/>
        <v>#N/A</v>
      </c>
      <c r="CK1727" s="16" t="str">
        <f t="shared" si="484"/>
        <v/>
      </c>
    </row>
    <row r="1728" spans="73:89" ht="12" customHeight="1">
      <c r="BU1728" s="16">
        <f t="shared" si="485"/>
        <v>0</v>
      </c>
      <c r="BV1728" s="16">
        <f>IF($BY$12=1,NORMDIST(BY1728,$Y$6,$Y$8,TRUE),IF($BY$12=2,IF(BY1728&lt;=$BX$31,0,IF(BY1728&gt;=$BX$32,1,(BY1728-$BX$31)*$BX$33)),SUM($BU$42:BU1728)/$BV$40))</f>
        <v>0.99999999848532661</v>
      </c>
      <c r="BW1728" s="16">
        <f t="shared" si="477"/>
        <v>7.7763648243012721E-8</v>
      </c>
      <c r="BY1728" s="16">
        <f t="shared" si="478"/>
        <v>168.59999999999471</v>
      </c>
      <c r="BZ1728" s="16">
        <f t="shared" si="479"/>
        <v>4.6123160286485864E-10</v>
      </c>
      <c r="CA1728" s="16">
        <f t="shared" si="486"/>
        <v>-999</v>
      </c>
      <c r="CE1728" s="16" t="e">
        <f t="shared" si="480"/>
        <v>#N/A</v>
      </c>
      <c r="CF1728" s="16">
        <f t="shared" si="481"/>
        <v>99</v>
      </c>
      <c r="CG1728" s="16">
        <f t="shared" si="482"/>
        <v>0</v>
      </c>
      <c r="CH1728" s="16">
        <f t="shared" si="476"/>
        <v>0</v>
      </c>
      <c r="CJ1728" s="16" t="e">
        <f t="shared" si="483"/>
        <v>#N/A</v>
      </c>
      <c r="CK1728" s="16" t="str">
        <f t="shared" si="484"/>
        <v/>
      </c>
    </row>
    <row r="1729" spans="73:89" ht="12" customHeight="1">
      <c r="BU1729" s="16">
        <f t="shared" si="485"/>
        <v>0</v>
      </c>
      <c r="BV1729" s="16">
        <f>IF($BY$12=1,NORMDIST(BY1729,$Y$6,$Y$8,TRUE),IF($BY$12=2,IF(BY1729&lt;=$BX$31,0,IF(BY1729&gt;=$BX$32,1,(BY1729-$BX$31)*$BX$33)),SUM($BU$42:BU1729)/$BV$40))</f>
        <v>0.99999999853077248</v>
      </c>
      <c r="BW1729" s="16">
        <f t="shared" si="477"/>
        <v>7.5535634099764564E-8</v>
      </c>
      <c r="BY1729" s="16">
        <f t="shared" si="478"/>
        <v>168.6999999999947</v>
      </c>
      <c r="BZ1729" s="16">
        <f t="shared" si="479"/>
        <v>4.4775123947698246E-10</v>
      </c>
      <c r="CA1729" s="16">
        <f t="shared" si="486"/>
        <v>-999</v>
      </c>
      <c r="CE1729" s="16" t="e">
        <f t="shared" si="480"/>
        <v>#N/A</v>
      </c>
      <c r="CF1729" s="16">
        <f t="shared" si="481"/>
        <v>99</v>
      </c>
      <c r="CG1729" s="16">
        <f t="shared" si="482"/>
        <v>0</v>
      </c>
      <c r="CH1729" s="16">
        <f t="shared" si="476"/>
        <v>0</v>
      </c>
      <c r="CJ1729" s="16" t="e">
        <f t="shared" si="483"/>
        <v>#N/A</v>
      </c>
      <c r="CK1729" s="16" t="str">
        <f t="shared" si="484"/>
        <v/>
      </c>
    </row>
    <row r="1730" spans="73:89" ht="12" customHeight="1">
      <c r="BU1730" s="16">
        <f t="shared" si="485"/>
        <v>0</v>
      </c>
      <c r="BV1730" s="16">
        <f>IF($BY$12=1,NORMDIST(BY1730,$Y$6,$Y$8,TRUE),IF($BY$12=2,IF(BY1730&lt;=$BX$31,0,IF(BY1730&gt;=$BX$32,1,(BY1730-$BX$31)*$BX$33)),SUM($BU$42:BU1730)/$BV$40))</f>
        <v>0.99999999857488964</v>
      </c>
      <c r="BW1730" s="16">
        <f t="shared" si="477"/>
        <v>7.3369594971222083E-8</v>
      </c>
      <c r="BY1730" s="16">
        <f t="shared" si="478"/>
        <v>168.7999999999947</v>
      </c>
      <c r="BZ1730" s="16">
        <f t="shared" si="479"/>
        <v>4.3465399864469427E-10</v>
      </c>
      <c r="CA1730" s="16">
        <f t="shared" si="486"/>
        <v>-999</v>
      </c>
      <c r="CE1730" s="16" t="e">
        <f t="shared" si="480"/>
        <v>#N/A</v>
      </c>
      <c r="CF1730" s="16">
        <f t="shared" si="481"/>
        <v>99</v>
      </c>
      <c r="CG1730" s="16">
        <f t="shared" si="482"/>
        <v>0</v>
      </c>
      <c r="CH1730" s="16">
        <f t="shared" si="476"/>
        <v>0</v>
      </c>
      <c r="CJ1730" s="16" t="e">
        <f t="shared" si="483"/>
        <v>#N/A</v>
      </c>
      <c r="CK1730" s="16" t="str">
        <f t="shared" si="484"/>
        <v/>
      </c>
    </row>
    <row r="1731" spans="73:89" ht="12" customHeight="1">
      <c r="BU1731" s="16">
        <f t="shared" si="485"/>
        <v>0</v>
      </c>
      <c r="BV1731" s="16">
        <f>IF($BY$12=1,NORMDIST(BY1731,$Y$6,$Y$8,TRUE),IF($BY$12=2,IF(BY1731&lt;=$BX$31,0,IF(BY1731&gt;=$BX$32,1,(BY1731-$BX$31)*$BX$33)),SUM($BU$42:BU1731)/$BV$40))</f>
        <v>0.99999999861771571</v>
      </c>
      <c r="BW1731" s="16">
        <f t="shared" si="477"/>
        <v>7.1263861956641255E-8</v>
      </c>
      <c r="BY1731" s="16">
        <f t="shared" si="478"/>
        <v>168.89999999999469</v>
      </c>
      <c r="BZ1731" s="16">
        <f t="shared" si="479"/>
        <v>4.2192931886704259E-10</v>
      </c>
      <c r="CA1731" s="16">
        <f t="shared" si="486"/>
        <v>-999</v>
      </c>
      <c r="CE1731" s="16" t="e">
        <f t="shared" si="480"/>
        <v>#N/A</v>
      </c>
      <c r="CF1731" s="16">
        <f t="shared" si="481"/>
        <v>99</v>
      </c>
      <c r="CG1731" s="16">
        <f t="shared" si="482"/>
        <v>0</v>
      </c>
      <c r="CH1731" s="16">
        <f t="shared" ref="CH1731:CH1794" si="487">IF(CB1731="",0,1)</f>
        <v>0</v>
      </c>
      <c r="CJ1731" s="16" t="e">
        <f t="shared" si="483"/>
        <v>#N/A</v>
      </c>
      <c r="CK1731" s="16" t="str">
        <f t="shared" si="484"/>
        <v/>
      </c>
    </row>
    <row r="1732" spans="73:89" ht="12" customHeight="1">
      <c r="BU1732" s="16">
        <f t="shared" si="485"/>
        <v>0</v>
      </c>
      <c r="BV1732" s="16">
        <f>IF($BY$12=1,NORMDIST(BY1732,$Y$6,$Y$8,TRUE),IF($BY$12=2,IF(BY1732&lt;=$BX$31,0,IF(BY1732&gt;=$BX$32,1,(BY1732-$BX$31)*$BX$33)),SUM($BU$42:BU1732)/$BV$40))</f>
        <v>0.99999999865928757</v>
      </c>
      <c r="BW1732" s="16">
        <f t="shared" si="477"/>
        <v>6.9216809509506252E-8</v>
      </c>
      <c r="BY1732" s="16">
        <f t="shared" si="478"/>
        <v>168.99999999999469</v>
      </c>
      <c r="BZ1732" s="16">
        <f t="shared" si="479"/>
        <v>4.0956692017460609E-10</v>
      </c>
      <c r="CA1732" s="16">
        <f t="shared" si="486"/>
        <v>-999</v>
      </c>
      <c r="CE1732" s="16" t="e">
        <f t="shared" si="480"/>
        <v>#N/A</v>
      </c>
      <c r="CF1732" s="16">
        <f t="shared" si="481"/>
        <v>99</v>
      </c>
      <c r="CG1732" s="16">
        <f t="shared" si="482"/>
        <v>0</v>
      </c>
      <c r="CH1732" s="16">
        <f t="shared" si="487"/>
        <v>0</v>
      </c>
      <c r="CJ1732" s="16" t="e">
        <f t="shared" si="483"/>
        <v>#N/A</v>
      </c>
      <c r="CK1732" s="16" t="str">
        <f t="shared" si="484"/>
        <v/>
      </c>
    </row>
    <row r="1733" spans="73:89" ht="12" customHeight="1">
      <c r="BU1733" s="16">
        <f t="shared" si="485"/>
        <v>0</v>
      </c>
      <c r="BV1733" s="16">
        <f>IF($BY$12=1,NORMDIST(BY1733,$Y$6,$Y$8,TRUE),IF($BY$12=2,IF(BY1733&lt;=$BX$31,0,IF(BY1733&gt;=$BX$32,1,(BY1733-$BX$31)*$BX$33)),SUM($BU$42:BU1733)/$BV$40))</f>
        <v>0.99999999869964085</v>
      </c>
      <c r="BW1733" s="16">
        <f t="shared" si="477"/>
        <v>6.7226854355867972E-8</v>
      </c>
      <c r="BY1733" s="16">
        <f t="shared" si="478"/>
        <v>169.09999999999468</v>
      </c>
      <c r="BZ1733" s="16">
        <f t="shared" si="479"/>
        <v>3.9755679690047358E-10</v>
      </c>
      <c r="CA1733" s="16">
        <f t="shared" si="486"/>
        <v>-999</v>
      </c>
      <c r="CE1733" s="16" t="e">
        <f t="shared" si="480"/>
        <v>#N/A</v>
      </c>
      <c r="CF1733" s="16">
        <f t="shared" si="481"/>
        <v>99</v>
      </c>
      <c r="CG1733" s="16">
        <f t="shared" si="482"/>
        <v>0</v>
      </c>
      <c r="CH1733" s="16">
        <f t="shared" si="487"/>
        <v>0</v>
      </c>
      <c r="CJ1733" s="16" t="e">
        <f t="shared" si="483"/>
        <v>#N/A</v>
      </c>
      <c r="CK1733" s="16" t="str">
        <f t="shared" si="484"/>
        <v/>
      </c>
    </row>
    <row r="1734" spans="73:89" ht="12" customHeight="1">
      <c r="BU1734" s="16">
        <f t="shared" si="485"/>
        <v>0</v>
      </c>
      <c r="BV1734" s="16">
        <f>IF($BY$12=1,NORMDIST(BY1734,$Y$6,$Y$8,TRUE),IF($BY$12=2,IF(BY1734&lt;=$BX$31,0,IF(BY1734&gt;=$BX$32,1,(BY1734-$BX$31)*$BX$33)),SUM($BU$42:BU1734)/$BV$40))</f>
        <v>0.99999999873881029</v>
      </c>
      <c r="BW1734" s="16">
        <f t="shared" si="477"/>
        <v>6.5292454438448307E-8</v>
      </c>
      <c r="BY1734" s="16">
        <f t="shared" si="478"/>
        <v>169.19999999999467</v>
      </c>
      <c r="BZ1734" s="16">
        <f t="shared" si="479"/>
        <v>3.8588921062913925E-10</v>
      </c>
      <c r="CA1734" s="16">
        <f t="shared" si="486"/>
        <v>-999</v>
      </c>
      <c r="CE1734" s="16" t="e">
        <f t="shared" si="480"/>
        <v>#N/A</v>
      </c>
      <c r="CF1734" s="16">
        <f t="shared" si="481"/>
        <v>99</v>
      </c>
      <c r="CG1734" s="16">
        <f t="shared" si="482"/>
        <v>0</v>
      </c>
      <c r="CH1734" s="16">
        <f t="shared" si="487"/>
        <v>0</v>
      </c>
      <c r="CJ1734" s="16" t="e">
        <f t="shared" si="483"/>
        <v>#N/A</v>
      </c>
      <c r="CK1734" s="16" t="str">
        <f t="shared" si="484"/>
        <v/>
      </c>
    </row>
    <row r="1735" spans="73:89" ht="12" customHeight="1">
      <c r="BU1735" s="16">
        <f t="shared" si="485"/>
        <v>0</v>
      </c>
      <c r="BV1735" s="16">
        <f>IF($BY$12=1,NORMDIST(BY1735,$Y$6,$Y$8,TRUE),IF($BY$12=2,IF(BY1735&lt;=$BX$31,0,IF(BY1735&gt;=$BX$32,1,(BY1735-$BX$31)*$BX$33)),SUM($BU$42:BU1735)/$BV$40))</f>
        <v>0.99999999877682977</v>
      </c>
      <c r="BW1735" s="16">
        <f t="shared" si="477"/>
        <v>6.3412107885933984E-8</v>
      </c>
      <c r="BY1735" s="16">
        <f t="shared" si="478"/>
        <v>169.29999999999467</v>
      </c>
      <c r="BZ1735" s="16">
        <f t="shared" si="479"/>
        <v>3.7455468331917297E-10</v>
      </c>
      <c r="CA1735" s="16">
        <f t="shared" si="486"/>
        <v>-999</v>
      </c>
      <c r="CE1735" s="16" t="e">
        <f t="shared" si="480"/>
        <v>#N/A</v>
      </c>
      <c r="CF1735" s="16">
        <f t="shared" si="481"/>
        <v>99</v>
      </c>
      <c r="CG1735" s="16">
        <f t="shared" si="482"/>
        <v>0</v>
      </c>
      <c r="CH1735" s="16">
        <f t="shared" si="487"/>
        <v>0</v>
      </c>
      <c r="CJ1735" s="16" t="e">
        <f t="shared" si="483"/>
        <v>#N/A</v>
      </c>
      <c r="CK1735" s="16" t="str">
        <f t="shared" si="484"/>
        <v/>
      </c>
    </row>
    <row r="1736" spans="73:89" ht="12" customHeight="1">
      <c r="BU1736" s="16">
        <f t="shared" si="485"/>
        <v>0</v>
      </c>
      <c r="BV1736" s="16">
        <f>IF($BY$12=1,NORMDIST(BY1736,$Y$6,$Y$8,TRUE),IF($BY$12=2,IF(BY1736&lt;=$BX$31,0,IF(BY1736&gt;=$BX$32,1,(BY1736-$BX$31)*$BX$33)),SUM($BU$42:BU1736)/$BV$40))</f>
        <v>0.99999999881373203</v>
      </c>
      <c r="BW1736" s="16">
        <f t="shared" si="477"/>
        <v>6.1584352006889988E-8</v>
      </c>
      <c r="BY1736" s="16">
        <f t="shared" si="478"/>
        <v>169.39999999999466</v>
      </c>
      <c r="BZ1736" s="16">
        <f t="shared" si="479"/>
        <v>3.6354399059558396E-10</v>
      </c>
      <c r="CA1736" s="16">
        <f t="shared" si="486"/>
        <v>-999</v>
      </c>
      <c r="CE1736" s="16" t="e">
        <f t="shared" si="480"/>
        <v>#N/A</v>
      </c>
      <c r="CF1736" s="16">
        <f t="shared" si="481"/>
        <v>99</v>
      </c>
      <c r="CG1736" s="16">
        <f t="shared" si="482"/>
        <v>0</v>
      </c>
      <c r="CH1736" s="16">
        <f t="shared" si="487"/>
        <v>0</v>
      </c>
      <c r="CJ1736" s="16" t="e">
        <f t="shared" si="483"/>
        <v>#N/A</v>
      </c>
      <c r="CK1736" s="16" t="str">
        <f t="shared" si="484"/>
        <v/>
      </c>
    </row>
    <row r="1737" spans="73:89" ht="12" customHeight="1">
      <c r="BU1737" s="16">
        <f t="shared" si="485"/>
        <v>0</v>
      </c>
      <c r="BV1737" s="16">
        <f>IF($BY$12=1,NORMDIST(BY1737,$Y$6,$Y$8,TRUE),IF($BY$12=2,IF(BY1737&lt;=$BX$31,0,IF(BY1737&gt;=$BX$32,1,(BY1737-$BX$31)*$BX$33)),SUM($BU$42:BU1737)/$BV$40))</f>
        <v>0.99999999884954904</v>
      </c>
      <c r="BW1737" s="16">
        <f t="shared" si="477"/>
        <v>5.9807762307730841E-8</v>
      </c>
      <c r="BY1737" s="16">
        <f t="shared" si="478"/>
        <v>169.49999999999466</v>
      </c>
      <c r="BZ1737" s="16">
        <f t="shared" si="479"/>
        <v>3.5284815520786271E-10</v>
      </c>
      <c r="CA1737" s="16">
        <f t="shared" si="486"/>
        <v>-999</v>
      </c>
      <c r="CE1737" s="16" t="e">
        <f t="shared" si="480"/>
        <v>#N/A</v>
      </c>
      <c r="CF1737" s="16">
        <f t="shared" si="481"/>
        <v>99</v>
      </c>
      <c r="CG1737" s="16">
        <f t="shared" si="482"/>
        <v>0</v>
      </c>
      <c r="CH1737" s="16">
        <f t="shared" si="487"/>
        <v>0</v>
      </c>
      <c r="CJ1737" s="16" t="e">
        <f t="shared" si="483"/>
        <v>#N/A</v>
      </c>
      <c r="CK1737" s="16" t="str">
        <f t="shared" si="484"/>
        <v/>
      </c>
    </row>
    <row r="1738" spans="73:89" ht="12" customHeight="1">
      <c r="BU1738" s="16">
        <f t="shared" si="485"/>
        <v>0</v>
      </c>
      <c r="BV1738" s="16">
        <f>IF($BY$12=1,NORMDIST(BY1738,$Y$6,$Y$8,TRUE),IF($BY$12=2,IF(BY1738&lt;=$BX$31,0,IF(BY1738&gt;=$BX$32,1,(BY1738-$BX$31)*$BX$33)),SUM($BU$42:BU1738)/$BV$40))</f>
        <v>0.9999999988843119</v>
      </c>
      <c r="BW1738" s="16">
        <f t="shared" si="477"/>
        <v>5.8080951534210455E-8</v>
      </c>
      <c r="BY1738" s="16">
        <f t="shared" si="478"/>
        <v>169.59999999999465</v>
      </c>
      <c r="BZ1738" s="16">
        <f t="shared" si="479"/>
        <v>3.4245844064983661E-10</v>
      </c>
      <c r="CA1738" s="16">
        <f t="shared" si="486"/>
        <v>-999</v>
      </c>
      <c r="CE1738" s="16" t="e">
        <f t="shared" si="480"/>
        <v>#N/A</v>
      </c>
      <c r="CF1738" s="16">
        <f t="shared" si="481"/>
        <v>99</v>
      </c>
      <c r="CG1738" s="16">
        <f t="shared" si="482"/>
        <v>0</v>
      </c>
      <c r="CH1738" s="16">
        <f t="shared" si="487"/>
        <v>0</v>
      </c>
      <c r="CJ1738" s="16" t="e">
        <f t="shared" si="483"/>
        <v>#N/A</v>
      </c>
      <c r="CK1738" s="16" t="str">
        <f t="shared" si="484"/>
        <v/>
      </c>
    </row>
    <row r="1739" spans="73:89" ht="12" customHeight="1">
      <c r="BU1739" s="16">
        <f t="shared" si="485"/>
        <v>0</v>
      </c>
      <c r="BV1739" s="16">
        <f>IF($BY$12=1,NORMDIST(BY1739,$Y$6,$Y$8,TRUE),IF($BY$12=2,IF(BY1739&lt;=$BX$31,0,IF(BY1739&gt;=$BX$32,1,(BY1739-$BX$31)*$BX$33)),SUM($BU$42:BU1739)/$BV$40))</f>
        <v>0.99999999891805069</v>
      </c>
      <c r="BW1739" s="16">
        <f t="shared" si="477"/>
        <v>5.6402568735892074E-8</v>
      </c>
      <c r="BY1739" s="16">
        <f t="shared" si="478"/>
        <v>169.69999999999465</v>
      </c>
      <c r="BZ1739" s="16">
        <f t="shared" si="479"/>
        <v>3.3236634493750063E-10</v>
      </c>
      <c r="CA1739" s="16">
        <f t="shared" si="486"/>
        <v>-999</v>
      </c>
      <c r="CE1739" s="16" t="e">
        <f t="shared" si="480"/>
        <v>#N/A</v>
      </c>
      <c r="CF1739" s="16">
        <f t="shared" si="481"/>
        <v>99</v>
      </c>
      <c r="CG1739" s="16">
        <f t="shared" si="482"/>
        <v>0</v>
      </c>
      <c r="CH1739" s="16">
        <f t="shared" si="487"/>
        <v>0</v>
      </c>
      <c r="CJ1739" s="16" t="e">
        <f t="shared" si="483"/>
        <v>#N/A</v>
      </c>
      <c r="CK1739" s="16" t="str">
        <f t="shared" si="484"/>
        <v/>
      </c>
    </row>
    <row r="1740" spans="73:89" ht="12" customHeight="1">
      <c r="BU1740" s="16">
        <f t="shared" si="485"/>
        <v>0</v>
      </c>
      <c r="BV1740" s="16">
        <f>IF($BY$12=1,NORMDIST(BY1740,$Y$6,$Y$8,TRUE),IF($BY$12=2,IF(BY1740&lt;=$BX$31,0,IF(BY1740&gt;=$BX$32,1,(BY1740-$BX$31)*$BX$33)),SUM($BU$42:BU1740)/$BV$40))</f>
        <v>0.99999999895079483</v>
      </c>
      <c r="BW1740" s="16">
        <f t="shared" si="477"/>
        <v>5.4771298353078183E-8</v>
      </c>
      <c r="BY1740" s="16">
        <f t="shared" si="478"/>
        <v>169.79999999999464</v>
      </c>
      <c r="BZ1740" s="16">
        <f t="shared" si="479"/>
        <v>3.2256359454110668E-10</v>
      </c>
      <c r="CA1740" s="16">
        <f t="shared" si="486"/>
        <v>-999</v>
      </c>
      <c r="CE1740" s="16" t="e">
        <f t="shared" si="480"/>
        <v>#N/A</v>
      </c>
      <c r="CF1740" s="16">
        <f t="shared" si="481"/>
        <v>99</v>
      </c>
      <c r="CG1740" s="16">
        <f t="shared" si="482"/>
        <v>0</v>
      </c>
      <c r="CH1740" s="16">
        <f t="shared" si="487"/>
        <v>0</v>
      </c>
      <c r="CJ1740" s="16" t="e">
        <f t="shared" si="483"/>
        <v>#N/A</v>
      </c>
      <c r="CK1740" s="16" t="str">
        <f t="shared" si="484"/>
        <v/>
      </c>
    </row>
    <row r="1741" spans="73:89" ht="12" customHeight="1">
      <c r="BU1741" s="16">
        <f t="shared" si="485"/>
        <v>0</v>
      </c>
      <c r="BV1741" s="16">
        <f>IF($BY$12=1,NORMDIST(BY1741,$Y$6,$Y$8,TRUE),IF($BY$12=2,IF(BY1741&lt;=$BX$31,0,IF(BY1741&gt;=$BX$32,1,(BY1741-$BX$31)*$BX$33)),SUM($BU$42:BU1741)/$BV$40))</f>
        <v>0.99999999898257275</v>
      </c>
      <c r="BW1741" s="16">
        <f t="shared" si="477"/>
        <v>5.3185859325687327E-8</v>
      </c>
      <c r="BY1741" s="16">
        <f t="shared" si="478"/>
        <v>169.89999999999463</v>
      </c>
      <c r="BZ1741" s="16">
        <f t="shared" si="479"/>
        <v>3.1304213846785761E-10</v>
      </c>
      <c r="CA1741" s="16">
        <f t="shared" si="486"/>
        <v>-999</v>
      </c>
      <c r="CE1741" s="16" t="e">
        <f t="shared" si="480"/>
        <v>#N/A</v>
      </c>
      <c r="CF1741" s="16">
        <f t="shared" si="481"/>
        <v>99</v>
      </c>
      <c r="CG1741" s="16">
        <f t="shared" si="482"/>
        <v>0</v>
      </c>
      <c r="CH1741" s="16">
        <f t="shared" si="487"/>
        <v>0</v>
      </c>
      <c r="CJ1741" s="16" t="e">
        <f t="shared" si="483"/>
        <v>#N/A</v>
      </c>
      <c r="CK1741" s="16" t="str">
        <f t="shared" si="484"/>
        <v/>
      </c>
    </row>
    <row r="1742" spans="73:89" ht="12" customHeight="1">
      <c r="BU1742" s="16">
        <f t="shared" si="485"/>
        <v>0</v>
      </c>
      <c r="BV1742" s="16">
        <f>IF($BY$12=1,NORMDIST(BY1742,$Y$6,$Y$8,TRUE),IF($BY$12=2,IF(BY1742&lt;=$BX$31,0,IF(BY1742&gt;=$BX$32,1,(BY1742-$BX$31)*$BX$33)),SUM($BU$42:BU1742)/$BV$40))</f>
        <v>0.9999999990134123</v>
      </c>
      <c r="BW1742" s="16">
        <f t="shared" si="477"/>
        <v>5.1645004223579592E-8</v>
      </c>
      <c r="BY1742" s="16">
        <f t="shared" si="478"/>
        <v>169.99999999999463</v>
      </c>
      <c r="BZ1742" s="16">
        <f t="shared" si="479"/>
        <v>3.0379414249165425E-10</v>
      </c>
      <c r="CA1742" s="16">
        <f t="shared" si="486"/>
        <v>-999</v>
      </c>
      <c r="CE1742" s="16" t="e">
        <f t="shared" si="480"/>
        <v>#N/A</v>
      </c>
      <c r="CF1742" s="16">
        <f t="shared" si="481"/>
        <v>99</v>
      </c>
      <c r="CG1742" s="16">
        <f t="shared" si="482"/>
        <v>0</v>
      </c>
      <c r="CH1742" s="16">
        <f t="shared" si="487"/>
        <v>0</v>
      </c>
      <c r="CJ1742" s="16" t="e">
        <f t="shared" si="483"/>
        <v>#N/A</v>
      </c>
      <c r="CK1742" s="16" t="str">
        <f t="shared" si="484"/>
        <v/>
      </c>
    </row>
    <row r="1743" spans="73:89" ht="12" customHeight="1">
      <c r="BU1743" s="16">
        <f t="shared" si="485"/>
        <v>0</v>
      </c>
      <c r="BV1743" s="16">
        <f>IF($BY$12=1,NORMDIST(BY1743,$Y$6,$Y$8,TRUE),IF($BY$12=2,IF(BY1743&lt;=$BX$31,0,IF(BY1743&gt;=$BX$32,1,(BY1743-$BX$31)*$BX$33)),SUM($BU$42:BU1743)/$BV$40))</f>
        <v>0.99999999904334047</v>
      </c>
      <c r="BW1743" s="16">
        <f t="shared" si="477"/>
        <v>5.0147518397838907E-8</v>
      </c>
      <c r="BY1743" s="16">
        <f t="shared" si="478"/>
        <v>170.09999999999462</v>
      </c>
      <c r="BZ1743" s="16">
        <f t="shared" si="479"/>
        <v>2.9481198352639913E-10</v>
      </c>
      <c r="CA1743" s="16">
        <f t="shared" si="486"/>
        <v>-999</v>
      </c>
      <c r="CE1743" s="16" t="e">
        <f t="shared" si="480"/>
        <v>#N/A</v>
      </c>
      <c r="CF1743" s="16">
        <f t="shared" si="481"/>
        <v>99</v>
      </c>
      <c r="CG1743" s="16">
        <f t="shared" si="482"/>
        <v>0</v>
      </c>
      <c r="CH1743" s="16">
        <f t="shared" si="487"/>
        <v>0</v>
      </c>
      <c r="CJ1743" s="16" t="e">
        <f t="shared" si="483"/>
        <v>#N/A</v>
      </c>
      <c r="CK1743" s="16" t="str">
        <f t="shared" si="484"/>
        <v/>
      </c>
    </row>
    <row r="1744" spans="73:89" ht="12" customHeight="1">
      <c r="BU1744" s="16">
        <f t="shared" si="485"/>
        <v>0</v>
      </c>
      <c r="BV1744" s="16">
        <f>IF($BY$12=1,NORMDIST(BY1744,$Y$6,$Y$8,TRUE),IF($BY$12=2,IF(BY1744&lt;=$BX$31,0,IF(BY1744&gt;=$BX$32,1,(BY1744-$BX$31)*$BX$33)),SUM($BU$42:BU1744)/$BV$40))</f>
        <v>0.99999999907238335</v>
      </c>
      <c r="BW1744" s="16">
        <f t="shared" si="477"/>
        <v>4.8692219152534074E-8</v>
      </c>
      <c r="BY1744" s="16">
        <f t="shared" si="478"/>
        <v>170.19999999999462</v>
      </c>
      <c r="BZ1744" s="16">
        <f t="shared" si="479"/>
        <v>2.8608824413945721E-10</v>
      </c>
      <c r="CA1744" s="16">
        <f t="shared" si="486"/>
        <v>-999</v>
      </c>
      <c r="CE1744" s="16" t="e">
        <f t="shared" si="480"/>
        <v>#N/A</v>
      </c>
      <c r="CF1744" s="16">
        <f t="shared" si="481"/>
        <v>99</v>
      </c>
      <c r="CG1744" s="16">
        <f t="shared" si="482"/>
        <v>0</v>
      </c>
      <c r="CH1744" s="16">
        <f t="shared" si="487"/>
        <v>0</v>
      </c>
      <c r="CJ1744" s="16" t="e">
        <f t="shared" si="483"/>
        <v>#N/A</v>
      </c>
      <c r="CK1744" s="16" t="str">
        <f t="shared" si="484"/>
        <v/>
      </c>
    </row>
    <row r="1745" spans="73:89" ht="12" customHeight="1">
      <c r="BU1745" s="16">
        <f t="shared" si="485"/>
        <v>0</v>
      </c>
      <c r="BV1745" s="16">
        <f>IF($BY$12=1,NORMDIST(BY1745,$Y$6,$Y$8,TRUE),IF($BY$12=2,IF(BY1745&lt;=$BX$31,0,IF(BY1745&gt;=$BX$32,1,(BY1745-$BX$31)*$BX$33)),SUM($BU$42:BU1745)/$BV$40))</f>
        <v>0.99999999910056647</v>
      </c>
      <c r="BW1745" s="16">
        <f t="shared" si="477"/>
        <v>4.7277954936489381E-8</v>
      </c>
      <c r="BY1745" s="16">
        <f t="shared" si="478"/>
        <v>170.29999999999461</v>
      </c>
      <c r="BZ1745" s="16">
        <f t="shared" si="479"/>
        <v>2.7761570720194292E-10</v>
      </c>
      <c r="CA1745" s="16">
        <f t="shared" si="486"/>
        <v>-999</v>
      </c>
      <c r="CE1745" s="16" t="e">
        <f t="shared" si="480"/>
        <v>#N/A</v>
      </c>
      <c r="CF1745" s="16">
        <f t="shared" si="481"/>
        <v>99</v>
      </c>
      <c r="CG1745" s="16">
        <f t="shared" si="482"/>
        <v>0</v>
      </c>
      <c r="CH1745" s="16">
        <f t="shared" si="487"/>
        <v>0</v>
      </c>
      <c r="CJ1745" s="16" t="e">
        <f t="shared" si="483"/>
        <v>#N/A</v>
      </c>
      <c r="CK1745" s="16" t="str">
        <f t="shared" si="484"/>
        <v/>
      </c>
    </row>
    <row r="1746" spans="73:89" ht="12" customHeight="1">
      <c r="BU1746" s="16">
        <f t="shared" si="485"/>
        <v>0</v>
      </c>
      <c r="BV1746" s="16">
        <f>IF($BY$12=1,NORMDIST(BY1746,$Y$6,$Y$8,TRUE),IF($BY$12=2,IF(BY1746&lt;=$BX$31,0,IF(BY1746&gt;=$BX$32,1,(BY1746-$BX$31)*$BX$33)),SUM($BU$42:BU1746)/$BV$40))</f>
        <v>0.9999999991279146</v>
      </c>
      <c r="BW1746" s="16">
        <f t="shared" si="477"/>
        <v>4.5903604554605223E-8</v>
      </c>
      <c r="BY1746" s="16">
        <f t="shared" si="478"/>
        <v>170.39999999999461</v>
      </c>
      <c r="BZ1746" s="16">
        <f t="shared" si="479"/>
        <v>2.6938735067257437E-10</v>
      </c>
      <c r="CA1746" s="16">
        <f t="shared" si="486"/>
        <v>-999</v>
      </c>
      <c r="CE1746" s="16" t="e">
        <f t="shared" si="480"/>
        <v>#N/A</v>
      </c>
      <c r="CF1746" s="16">
        <f t="shared" si="481"/>
        <v>99</v>
      </c>
      <c r="CG1746" s="16">
        <f t="shared" si="482"/>
        <v>0</v>
      </c>
      <c r="CH1746" s="16">
        <f t="shared" si="487"/>
        <v>0</v>
      </c>
      <c r="CJ1746" s="16" t="e">
        <f t="shared" si="483"/>
        <v>#N/A</v>
      </c>
      <c r="CK1746" s="16" t="str">
        <f t="shared" si="484"/>
        <v/>
      </c>
    </row>
    <row r="1747" spans="73:89" ht="12" customHeight="1">
      <c r="BU1747" s="16">
        <f t="shared" si="485"/>
        <v>0</v>
      </c>
      <c r="BV1747" s="16">
        <f>IF($BY$12=1,NORMDIST(BY1747,$Y$6,$Y$8,TRUE),IF($BY$12=2,IF(BY1747&lt;=$BX$31,0,IF(BY1747&gt;=$BX$32,1,(BY1747-$BX$31)*$BX$33)),SUM($BU$42:BU1747)/$BV$40))</f>
        <v>0.99999999915445192</v>
      </c>
      <c r="BW1747" s="16">
        <f t="shared" ref="BW1747:BW1810" si="488">BY1747*BZ1747</f>
        <v>4.4568076398281413E-8</v>
      </c>
      <c r="BY1747" s="16">
        <f t="shared" ref="BY1747:BY1810" si="489">BY1746+$BZ$1</f>
        <v>170.4999999999946</v>
      </c>
      <c r="BZ1747" s="16">
        <f t="shared" si="479"/>
        <v>2.6139634251192271E-10</v>
      </c>
      <c r="CA1747" s="16">
        <f t="shared" si="486"/>
        <v>-999</v>
      </c>
      <c r="CE1747" s="16" t="e">
        <f t="shared" si="480"/>
        <v>#N/A</v>
      </c>
      <c r="CF1747" s="16">
        <f t="shared" si="481"/>
        <v>99</v>
      </c>
      <c r="CG1747" s="16">
        <f t="shared" si="482"/>
        <v>0</v>
      </c>
      <c r="CH1747" s="16">
        <f t="shared" si="487"/>
        <v>0</v>
      </c>
      <c r="CJ1747" s="16" t="e">
        <f t="shared" si="483"/>
        <v>#N/A</v>
      </c>
      <c r="CK1747" s="16" t="str">
        <f t="shared" si="484"/>
        <v/>
      </c>
    </row>
    <row r="1748" spans="73:89" ht="12" customHeight="1">
      <c r="BU1748" s="16">
        <f t="shared" si="485"/>
        <v>0</v>
      </c>
      <c r="BV1748" s="16">
        <f>IF($BY$12=1,NORMDIST(BY1748,$Y$6,$Y$8,TRUE),IF($BY$12=2,IF(BY1748&lt;=$BX$31,0,IF(BY1748&gt;=$BX$32,1,(BY1748-$BX$31)*$BX$33)),SUM($BU$42:BU1748)/$BV$40))</f>
        <v>0.99999999918020166</v>
      </c>
      <c r="BW1748" s="16">
        <f t="shared" si="488"/>
        <v>4.3270307694502382E-8</v>
      </c>
      <c r="BY1748" s="16">
        <f t="shared" si="489"/>
        <v>170.59999999999459</v>
      </c>
      <c r="BZ1748" s="16">
        <f t="shared" si="479"/>
        <v>2.536360357239376E-10</v>
      </c>
      <c r="CA1748" s="16">
        <f t="shared" si="486"/>
        <v>-999</v>
      </c>
      <c r="CE1748" s="16" t="e">
        <f t="shared" si="480"/>
        <v>#N/A</v>
      </c>
      <c r="CF1748" s="16">
        <f t="shared" si="481"/>
        <v>99</v>
      </c>
      <c r="CG1748" s="16">
        <f t="shared" si="482"/>
        <v>0</v>
      </c>
      <c r="CH1748" s="16">
        <f t="shared" si="487"/>
        <v>0</v>
      </c>
      <c r="CJ1748" s="16" t="e">
        <f t="shared" si="483"/>
        <v>#N/A</v>
      </c>
      <c r="CK1748" s="16" t="str">
        <f t="shared" si="484"/>
        <v/>
      </c>
    </row>
    <row r="1749" spans="73:89" ht="12" customHeight="1">
      <c r="BU1749" s="16">
        <f t="shared" si="485"/>
        <v>0</v>
      </c>
      <c r="BV1749" s="16">
        <f>IF($BY$12=1,NORMDIST(BY1749,$Y$6,$Y$8,TRUE),IF($BY$12=2,IF(BY1749&lt;=$BX$31,0,IF(BY1749&gt;=$BX$32,1,(BY1749-$BX$31)*$BX$33)),SUM($BU$42:BU1749)/$BV$40))</f>
        <v>0.99999999920518656</v>
      </c>
      <c r="BW1749" s="16">
        <f t="shared" si="488"/>
        <v>4.2009263773154446E-8</v>
      </c>
      <c r="BY1749" s="16">
        <f t="shared" si="489"/>
        <v>170.69999999999459</v>
      </c>
      <c r="BZ1749" s="16">
        <f t="shared" si="479"/>
        <v>2.4609996352170929E-10</v>
      </c>
      <c r="CA1749" s="16">
        <f t="shared" si="486"/>
        <v>-999</v>
      </c>
      <c r="CE1749" s="16" t="e">
        <f t="shared" si="480"/>
        <v>#N/A</v>
      </c>
      <c r="CF1749" s="16">
        <f t="shared" si="481"/>
        <v>99</v>
      </c>
      <c r="CG1749" s="16">
        <f t="shared" si="482"/>
        <v>0</v>
      </c>
      <c r="CH1749" s="16">
        <f t="shared" si="487"/>
        <v>0</v>
      </c>
      <c r="CJ1749" s="16" t="e">
        <f t="shared" si="483"/>
        <v>#N/A</v>
      </c>
      <c r="CK1749" s="16" t="str">
        <f t="shared" si="484"/>
        <v/>
      </c>
    </row>
    <row r="1750" spans="73:89" ht="12" customHeight="1">
      <c r="BU1750" s="16">
        <f t="shared" si="485"/>
        <v>0</v>
      </c>
      <c r="BV1750" s="16">
        <f>IF($BY$12=1,NORMDIST(BY1750,$Y$6,$Y$8,TRUE),IF($BY$12=2,IF(BY1750&lt;=$BX$31,0,IF(BY1750&gt;=$BX$32,1,(BY1750-$BX$31)*$BX$33)),SUM($BU$42:BU1750)/$BV$40))</f>
        <v>0.99999999922942884</v>
      </c>
      <c r="BW1750" s="16">
        <f t="shared" si="488"/>
        <v>4.0783937352155986E-8</v>
      </c>
      <c r="BY1750" s="16">
        <f t="shared" si="489"/>
        <v>170.79999999999458</v>
      </c>
      <c r="BZ1750" s="16">
        <f t="shared" si="479"/>
        <v>2.3878183461450399E-10</v>
      </c>
      <c r="CA1750" s="16">
        <f t="shared" si="486"/>
        <v>-999</v>
      </c>
      <c r="CE1750" s="16" t="e">
        <f t="shared" si="480"/>
        <v>#N/A</v>
      </c>
      <c r="CF1750" s="16">
        <f t="shared" si="481"/>
        <v>99</v>
      </c>
      <c r="CG1750" s="16">
        <f t="shared" si="482"/>
        <v>0</v>
      </c>
      <c r="CH1750" s="16">
        <f t="shared" si="487"/>
        <v>0</v>
      </c>
      <c r="CJ1750" s="16" t="e">
        <f t="shared" si="483"/>
        <v>#N/A</v>
      </c>
      <c r="CK1750" s="16" t="str">
        <f t="shared" si="484"/>
        <v/>
      </c>
    </row>
    <row r="1751" spans="73:89" ht="12" customHeight="1">
      <c r="BU1751" s="16">
        <f t="shared" si="485"/>
        <v>0</v>
      </c>
      <c r="BV1751" s="16">
        <f>IF($BY$12=1,NORMDIST(BY1751,$Y$6,$Y$8,TRUE),IF($BY$12=2,IF(BY1751&lt;=$BX$31,0,IF(BY1751&gt;=$BX$32,1,(BY1751-$BX$31)*$BX$33)),SUM($BU$42:BU1751)/$BV$40))</f>
        <v>0.99999999925295002</v>
      </c>
      <c r="BW1751" s="16">
        <f t="shared" si="488"/>
        <v>3.9593347839988727E-8</v>
      </c>
      <c r="BY1751" s="16">
        <f t="shared" si="489"/>
        <v>170.89999999999458</v>
      </c>
      <c r="BZ1751" s="16">
        <f t="shared" si="479"/>
        <v>2.3167552861316549E-10</v>
      </c>
      <c r="CA1751" s="16">
        <f t="shared" si="486"/>
        <v>-999</v>
      </c>
      <c r="CE1751" s="16" t="e">
        <f t="shared" si="480"/>
        <v>#N/A</v>
      </c>
      <c r="CF1751" s="16">
        <f t="shared" si="481"/>
        <v>99</v>
      </c>
      <c r="CG1751" s="16">
        <f t="shared" si="482"/>
        <v>0</v>
      </c>
      <c r="CH1751" s="16">
        <f t="shared" si="487"/>
        <v>0</v>
      </c>
      <c r="CJ1751" s="16" t="e">
        <f t="shared" si="483"/>
        <v>#N/A</v>
      </c>
      <c r="CK1751" s="16" t="str">
        <f t="shared" si="484"/>
        <v/>
      </c>
    </row>
    <row r="1752" spans="73:89" ht="12" customHeight="1">
      <c r="BU1752" s="16">
        <f t="shared" si="485"/>
        <v>0</v>
      </c>
      <c r="BV1752" s="16">
        <f>IF($BY$12=1,NORMDIST(BY1752,$Y$6,$Y$8,TRUE),IF($BY$12=2,IF(BY1752&lt;=$BX$31,0,IF(BY1752&gt;=$BX$32,1,(BY1752-$BX$31)*$BX$33)),SUM($BU$42:BU1752)/$BV$40))</f>
        <v>0.99999999927577088</v>
      </c>
      <c r="BW1752" s="16">
        <f t="shared" si="488"/>
        <v>3.8436540655225103E-8</v>
      </c>
      <c r="BY1752" s="16">
        <f t="shared" si="489"/>
        <v>170.99999999999457</v>
      </c>
      <c r="BZ1752" s="16">
        <f t="shared" si="479"/>
        <v>2.2477509155103114E-10</v>
      </c>
      <c r="CA1752" s="16">
        <f t="shared" si="486"/>
        <v>-999</v>
      </c>
      <c r="CE1752" s="16" t="e">
        <f t="shared" si="480"/>
        <v>#N/A</v>
      </c>
      <c r="CF1752" s="16">
        <f t="shared" si="481"/>
        <v>99</v>
      </c>
      <c r="CG1752" s="16">
        <f t="shared" si="482"/>
        <v>0</v>
      </c>
      <c r="CH1752" s="16">
        <f t="shared" si="487"/>
        <v>0</v>
      </c>
      <c r="CJ1752" s="16" t="e">
        <f t="shared" si="483"/>
        <v>#N/A</v>
      </c>
      <c r="CK1752" s="16" t="str">
        <f t="shared" si="484"/>
        <v/>
      </c>
    </row>
    <row r="1753" spans="73:89" ht="12" customHeight="1">
      <c r="BU1753" s="16">
        <f t="shared" si="485"/>
        <v>0</v>
      </c>
      <c r="BV1753" s="16">
        <f>IF($BY$12=1,NORMDIST(BY1753,$Y$6,$Y$8,TRUE),IF($BY$12=2,IF(BY1753&lt;=$BX$31,0,IF(BY1753&gt;=$BX$32,1,(BY1753-$BX$31)*$BX$33)),SUM($BU$42:BU1753)/$BV$40))</f>
        <v>0.99999999929791172</v>
      </c>
      <c r="BW1753" s="16">
        <f t="shared" si="488"/>
        <v>3.7312586562663478E-8</v>
      </c>
      <c r="BY1753" s="16">
        <f t="shared" si="489"/>
        <v>171.09999999999457</v>
      </c>
      <c r="BZ1753" s="16">
        <f t="shared" si="479"/>
        <v>2.1807473151761931E-10</v>
      </c>
      <c r="CA1753" s="16">
        <f t="shared" si="486"/>
        <v>-999</v>
      </c>
      <c r="CE1753" s="16" t="e">
        <f t="shared" si="480"/>
        <v>#N/A</v>
      </c>
      <c r="CF1753" s="16">
        <f t="shared" si="481"/>
        <v>99</v>
      </c>
      <c r="CG1753" s="16">
        <f t="shared" si="482"/>
        <v>0</v>
      </c>
      <c r="CH1753" s="16">
        <f t="shared" si="487"/>
        <v>0</v>
      </c>
      <c r="CJ1753" s="16" t="e">
        <f t="shared" si="483"/>
        <v>#N/A</v>
      </c>
      <c r="CK1753" s="16" t="str">
        <f t="shared" si="484"/>
        <v/>
      </c>
    </row>
    <row r="1754" spans="73:89" ht="12" customHeight="1">
      <c r="BU1754" s="16">
        <f t="shared" si="485"/>
        <v>0</v>
      </c>
      <c r="BV1754" s="16">
        <f>IF($BY$12=1,NORMDIST(BY1754,$Y$6,$Y$8,TRUE),IF($BY$12=2,IF(BY1754&lt;=$BX$31,0,IF(BY1754&gt;=$BX$32,1,(BY1754-$BX$31)*$BX$33)),SUM($BU$42:BU1754)/$BV$40))</f>
        <v>0.99999999931939221</v>
      </c>
      <c r="BW1754" s="16">
        <f t="shared" si="488"/>
        <v>3.6220581025679921E-8</v>
      </c>
      <c r="BY1754" s="16">
        <f t="shared" si="489"/>
        <v>171.19999999999456</v>
      </c>
      <c r="BZ1754" s="16">
        <f t="shared" si="479"/>
        <v>2.1156881440234269E-10</v>
      </c>
      <c r="CA1754" s="16">
        <f t="shared" si="486"/>
        <v>-999</v>
      </c>
      <c r="CE1754" s="16" t="e">
        <f t="shared" si="480"/>
        <v>#N/A</v>
      </c>
      <c r="CF1754" s="16">
        <f t="shared" si="481"/>
        <v>99</v>
      </c>
      <c r="CG1754" s="16">
        <f t="shared" si="482"/>
        <v>0</v>
      </c>
      <c r="CH1754" s="16">
        <f t="shared" si="487"/>
        <v>0</v>
      </c>
      <c r="CJ1754" s="16" t="e">
        <f t="shared" si="483"/>
        <v>#N/A</v>
      </c>
      <c r="CK1754" s="16" t="str">
        <f t="shared" si="484"/>
        <v/>
      </c>
    </row>
    <row r="1755" spans="73:89" ht="12" customHeight="1">
      <c r="BU1755" s="16">
        <f t="shared" si="485"/>
        <v>0</v>
      </c>
      <c r="BV1755" s="16">
        <f>IF($BY$12=1,NORMDIST(BY1755,$Y$6,$Y$8,TRUE),IF($BY$12=2,IF(BY1755&lt;=$BX$31,0,IF(BY1755&gt;=$BX$32,1,(BY1755-$BX$31)*$BX$33)),SUM($BU$42:BU1755)/$BV$40))</f>
        <v>0.99999999934023176</v>
      </c>
      <c r="BW1755" s="16">
        <f t="shared" si="488"/>
        <v>3.5159643574425307E-8</v>
      </c>
      <c r="BY1755" s="16">
        <f t="shared" si="489"/>
        <v>171.29999999999455</v>
      </c>
      <c r="BZ1755" s="16">
        <f t="shared" si="479"/>
        <v>2.0525185974563002E-10</v>
      </c>
      <c r="CA1755" s="16">
        <f t="shared" si="486"/>
        <v>-999</v>
      </c>
      <c r="CE1755" s="16" t="e">
        <f t="shared" si="480"/>
        <v>#N/A</v>
      </c>
      <c r="CF1755" s="16">
        <f t="shared" si="481"/>
        <v>99</v>
      </c>
      <c r="CG1755" s="16">
        <f t="shared" si="482"/>
        <v>0</v>
      </c>
      <c r="CH1755" s="16">
        <f t="shared" si="487"/>
        <v>0</v>
      </c>
      <c r="CJ1755" s="16" t="e">
        <f t="shared" si="483"/>
        <v>#N/A</v>
      </c>
      <c r="CK1755" s="16" t="str">
        <f t="shared" si="484"/>
        <v/>
      </c>
    </row>
    <row r="1756" spans="73:89" ht="12" customHeight="1">
      <c r="BU1756" s="16">
        <f t="shared" si="485"/>
        <v>0</v>
      </c>
      <c r="BV1756" s="16">
        <f>IF($BY$12=1,NORMDIST(BY1756,$Y$6,$Y$8,TRUE),IF($BY$12=2,IF(BY1756&lt;=$BX$31,0,IF(BY1756&gt;=$BX$32,1,(BY1756-$BX$31)*$BX$33)),SUM($BU$42:BU1756)/$BV$40))</f>
        <v>0.9999999993604487</v>
      </c>
      <c r="BW1756" s="16">
        <f t="shared" si="488"/>
        <v>3.4128917189494238E-8</v>
      </c>
      <c r="BY1756" s="16">
        <f t="shared" si="489"/>
        <v>171.39999999999455</v>
      </c>
      <c r="BZ1756" s="16">
        <f t="shared" si="479"/>
        <v>1.9911853669483853E-10</v>
      </c>
      <c r="CA1756" s="16">
        <f t="shared" si="486"/>
        <v>-999</v>
      </c>
      <c r="CE1756" s="16" t="e">
        <f t="shared" si="480"/>
        <v>#N/A</v>
      </c>
      <c r="CF1756" s="16">
        <f t="shared" si="481"/>
        <v>99</v>
      </c>
      <c r="CG1756" s="16">
        <f t="shared" si="482"/>
        <v>0</v>
      </c>
      <c r="CH1756" s="16">
        <f t="shared" si="487"/>
        <v>0</v>
      </c>
      <c r="CJ1756" s="16" t="e">
        <f t="shared" si="483"/>
        <v>#N/A</v>
      </c>
      <c r="CK1756" s="16" t="str">
        <f t="shared" si="484"/>
        <v/>
      </c>
    </row>
    <row r="1757" spans="73:89" ht="12" customHeight="1">
      <c r="BU1757" s="16">
        <f t="shared" si="485"/>
        <v>0</v>
      </c>
      <c r="BV1757" s="16">
        <f>IF($BY$12=1,NORMDIST(BY1757,$Y$6,$Y$8,TRUE),IF($BY$12=2,IF(BY1757&lt;=$BX$31,0,IF(BY1757&gt;=$BX$32,1,(BY1757-$BX$31)*$BX$33)),SUM($BU$42:BU1757)/$BV$40))</f>
        <v>0.99999999938006134</v>
      </c>
      <c r="BW1757" s="16">
        <f t="shared" si="488"/>
        <v>3.31275677007107E-8</v>
      </c>
      <c r="BY1757" s="16">
        <f t="shared" si="489"/>
        <v>171.49999999999454</v>
      </c>
      <c r="BZ1757" s="16">
        <f t="shared" si="479"/>
        <v>1.9316366006245922E-10</v>
      </c>
      <c r="CA1757" s="16">
        <f t="shared" si="486"/>
        <v>-999</v>
      </c>
      <c r="CE1757" s="16" t="e">
        <f t="shared" si="480"/>
        <v>#N/A</v>
      </c>
      <c r="CF1757" s="16">
        <f t="shared" si="481"/>
        <v>99</v>
      </c>
      <c r="CG1757" s="16">
        <f t="shared" si="482"/>
        <v>0</v>
      </c>
      <c r="CH1757" s="16">
        <f t="shared" si="487"/>
        <v>0</v>
      </c>
      <c r="CJ1757" s="16" t="e">
        <f t="shared" si="483"/>
        <v>#N/A</v>
      </c>
      <c r="CK1757" s="16" t="str">
        <f t="shared" si="484"/>
        <v/>
      </c>
    </row>
    <row r="1758" spans="73:89" ht="12" customHeight="1">
      <c r="BU1758" s="16">
        <f t="shared" si="485"/>
        <v>0</v>
      </c>
      <c r="BV1758" s="16">
        <f>IF($BY$12=1,NORMDIST(BY1758,$Y$6,$Y$8,TRUE),IF($BY$12=2,IF(BY1758&lt;=$BX$31,0,IF(BY1758&gt;=$BX$32,1,(BY1758-$BX$31)*$BX$33)),SUM($BU$42:BU1758)/$BV$40))</f>
        <v>0.99999999939908724</v>
      </c>
      <c r="BW1758" s="16">
        <f t="shared" si="488"/>
        <v>3.2154783200672726E-8</v>
      </c>
      <c r="BY1758" s="16">
        <f t="shared" si="489"/>
        <v>171.59999999999454</v>
      </c>
      <c r="BZ1758" s="16">
        <f t="shared" si="479"/>
        <v>1.8738218648411276E-10</v>
      </c>
      <c r="CA1758" s="16">
        <f t="shared" si="486"/>
        <v>-999</v>
      </c>
      <c r="CE1758" s="16" t="e">
        <f t="shared" si="480"/>
        <v>#N/A</v>
      </c>
      <c r="CF1758" s="16">
        <f t="shared" si="481"/>
        <v>99</v>
      </c>
      <c r="CG1758" s="16">
        <f t="shared" si="482"/>
        <v>0</v>
      </c>
      <c r="CH1758" s="16">
        <f t="shared" si="487"/>
        <v>0</v>
      </c>
      <c r="CJ1758" s="16" t="e">
        <f t="shared" si="483"/>
        <v>#N/A</v>
      </c>
      <c r="CK1758" s="16" t="str">
        <f t="shared" si="484"/>
        <v/>
      </c>
    </row>
    <row r="1759" spans="73:89" ht="12" customHeight="1">
      <c r="BU1759" s="16">
        <f t="shared" si="485"/>
        <v>0</v>
      </c>
      <c r="BV1759" s="16">
        <f>IF($BY$12=1,NORMDIST(BY1759,$Y$6,$Y$8,TRUE),IF($BY$12=2,IF(BY1759&lt;=$BX$31,0,IF(BY1759&gt;=$BX$32,1,(BY1759-$BX$31)*$BX$33)),SUM($BU$42:BU1759)/$BV$40))</f>
        <v>0.99999999941754347</v>
      </c>
      <c r="BW1759" s="16">
        <f t="shared" si="488"/>
        <v>3.1209773472715909E-8</v>
      </c>
      <c r="BY1759" s="16">
        <f t="shared" si="489"/>
        <v>171.69999999999453</v>
      </c>
      <c r="BZ1759" s="16">
        <f t="shared" si="479"/>
        <v>1.817692106739482E-10</v>
      </c>
      <c r="CA1759" s="16">
        <f t="shared" si="486"/>
        <v>-999</v>
      </c>
      <c r="CE1759" s="16" t="e">
        <f t="shared" si="480"/>
        <v>#N/A</v>
      </c>
      <c r="CF1759" s="16">
        <f t="shared" si="481"/>
        <v>99</v>
      </c>
      <c r="CG1759" s="16">
        <f t="shared" si="482"/>
        <v>0</v>
      </c>
      <c r="CH1759" s="16">
        <f t="shared" si="487"/>
        <v>0</v>
      </c>
      <c r="CJ1759" s="16" t="e">
        <f t="shared" si="483"/>
        <v>#N/A</v>
      </c>
      <c r="CK1759" s="16" t="str">
        <f t="shared" si="484"/>
        <v/>
      </c>
    </row>
    <row r="1760" spans="73:89" ht="12" customHeight="1">
      <c r="BU1760" s="16">
        <f t="shared" si="485"/>
        <v>0</v>
      </c>
      <c r="BV1760" s="16">
        <f>IF($BY$12=1,NORMDIST(BY1760,$Y$6,$Y$8,TRUE),IF($BY$12=2,IF(BY1760&lt;=$BX$31,0,IF(BY1760&gt;=$BX$32,1,(BY1760-$BX$31)*$BX$33)),SUM($BU$42:BU1760)/$BV$40))</f>
        <v>0.9999999994354466</v>
      </c>
      <c r="BW1760" s="16">
        <f t="shared" si="488"/>
        <v>3.0291769432954829E-8</v>
      </c>
      <c r="BY1760" s="16">
        <f t="shared" si="489"/>
        <v>171.79999999999453</v>
      </c>
      <c r="BZ1760" s="16">
        <f t="shared" si="479"/>
        <v>1.7631996177506282E-10</v>
      </c>
      <c r="CA1760" s="16">
        <f t="shared" si="486"/>
        <v>-999</v>
      </c>
      <c r="CE1760" s="16" t="e">
        <f t="shared" si="480"/>
        <v>#N/A</v>
      </c>
      <c r="CF1760" s="16">
        <f t="shared" si="481"/>
        <v>99</v>
      </c>
      <c r="CG1760" s="16">
        <f t="shared" si="482"/>
        <v>0</v>
      </c>
      <c r="CH1760" s="16">
        <f t="shared" si="487"/>
        <v>0</v>
      </c>
      <c r="CJ1760" s="16" t="e">
        <f t="shared" si="483"/>
        <v>#N/A</v>
      </c>
      <c r="CK1760" s="16" t="str">
        <f t="shared" si="484"/>
        <v/>
      </c>
    </row>
    <row r="1761" spans="73:89" ht="12" customHeight="1">
      <c r="BU1761" s="16">
        <f t="shared" si="485"/>
        <v>0</v>
      </c>
      <c r="BV1761" s="16">
        <f>IF($BY$12=1,NORMDIST(BY1761,$Y$6,$Y$8,TRUE),IF($BY$12=2,IF(BY1761&lt;=$BX$31,0,IF(BY1761&gt;=$BX$32,1,(BY1761-$BX$31)*$BX$33)),SUM($BU$42:BU1761)/$BV$40))</f>
        <v>0.9999999994528127</v>
      </c>
      <c r="BW1761" s="16">
        <f t="shared" si="488"/>
        <v>2.9400022586075105E-8</v>
      </c>
      <c r="BY1761" s="16">
        <f t="shared" si="489"/>
        <v>171.89999999999452</v>
      </c>
      <c r="BZ1761" s="16">
        <f t="shared" si="479"/>
        <v>1.7102979980265295E-10</v>
      </c>
      <c r="CA1761" s="16">
        <f t="shared" si="486"/>
        <v>-999</v>
      </c>
      <c r="CE1761" s="16" t="e">
        <f t="shared" si="480"/>
        <v>#N/A</v>
      </c>
      <c r="CF1761" s="16">
        <f t="shared" si="481"/>
        <v>99</v>
      </c>
      <c r="CG1761" s="16">
        <f t="shared" si="482"/>
        <v>0</v>
      </c>
      <c r="CH1761" s="16">
        <f t="shared" si="487"/>
        <v>0</v>
      </c>
      <c r="CJ1761" s="16" t="e">
        <f t="shared" si="483"/>
        <v>#N/A</v>
      </c>
      <c r="CK1761" s="16" t="str">
        <f t="shared" si="484"/>
        <v/>
      </c>
    </row>
    <row r="1762" spans="73:89" ht="12" customHeight="1">
      <c r="BU1762" s="16">
        <f t="shared" si="485"/>
        <v>0</v>
      </c>
      <c r="BV1762" s="16">
        <f>IF($BY$12=1,NORMDIST(BY1762,$Y$6,$Y$8,TRUE),IF($BY$12=2,IF(BY1762&lt;=$BX$31,0,IF(BY1762&gt;=$BX$32,1,(BY1762-$BX$31)*$BX$33)),SUM($BU$42:BU1762)/$BV$40))</f>
        <v>0.99999999946965767</v>
      </c>
      <c r="BW1762" s="16">
        <f t="shared" si="488"/>
        <v>2.853380449455355E-8</v>
      </c>
      <c r="BY1762" s="16">
        <f t="shared" si="489"/>
        <v>171.99999999999451</v>
      </c>
      <c r="BZ1762" s="16">
        <f t="shared" si="479"/>
        <v>1.6589421217764222E-10</v>
      </c>
      <c r="CA1762" s="16">
        <f t="shared" si="486"/>
        <v>-999</v>
      </c>
      <c r="CE1762" s="16" t="e">
        <f t="shared" si="480"/>
        <v>#N/A</v>
      </c>
      <c r="CF1762" s="16">
        <f t="shared" si="481"/>
        <v>99</v>
      </c>
      <c r="CG1762" s="16">
        <f t="shared" si="482"/>
        <v>0</v>
      </c>
      <c r="CH1762" s="16">
        <f t="shared" si="487"/>
        <v>0</v>
      </c>
      <c r="CJ1762" s="16" t="e">
        <f t="shared" si="483"/>
        <v>#N/A</v>
      </c>
      <c r="CK1762" s="16" t="str">
        <f t="shared" si="484"/>
        <v/>
      </c>
    </row>
    <row r="1763" spans="73:89" ht="12" customHeight="1">
      <c r="BU1763" s="16">
        <f t="shared" si="485"/>
        <v>0</v>
      </c>
      <c r="BV1763" s="16">
        <f>IF($BY$12=1,NORMDIST(BY1763,$Y$6,$Y$8,TRUE),IF($BY$12=2,IF(BY1763&lt;=$BX$31,0,IF(BY1763&gt;=$BX$32,1,(BY1763-$BX$31)*$BX$33)),SUM($BU$42:BU1763)/$BV$40))</f>
        <v>0.9999999994859966</v>
      </c>
      <c r="BW1763" s="16">
        <f t="shared" si="488"/>
        <v>2.7692406260988951E-8</v>
      </c>
      <c r="BY1763" s="16">
        <f t="shared" si="489"/>
        <v>172.09999999999451</v>
      </c>
      <c r="BZ1763" s="16">
        <f t="shared" si="479"/>
        <v>1.6090881034857545E-10</v>
      </c>
      <c r="CA1763" s="16">
        <f t="shared" si="486"/>
        <v>-999</v>
      </c>
      <c r="CE1763" s="16" t="e">
        <f t="shared" si="480"/>
        <v>#N/A</v>
      </c>
      <c r="CF1763" s="16">
        <f t="shared" si="481"/>
        <v>99</v>
      </c>
      <c r="CG1763" s="16">
        <f t="shared" si="482"/>
        <v>0</v>
      </c>
      <c r="CH1763" s="16">
        <f t="shared" si="487"/>
        <v>0</v>
      </c>
      <c r="CJ1763" s="16" t="e">
        <f t="shared" si="483"/>
        <v>#N/A</v>
      </c>
      <c r="CK1763" s="16" t="str">
        <f t="shared" si="484"/>
        <v/>
      </c>
    </row>
    <row r="1764" spans="73:89" ht="12" customHeight="1">
      <c r="BU1764" s="16">
        <f t="shared" si="485"/>
        <v>0</v>
      </c>
      <c r="BV1764" s="16">
        <f>IF($BY$12=1,NORMDIST(BY1764,$Y$6,$Y$8,TRUE),IF($BY$12=2,IF(BY1764&lt;=$BX$31,0,IF(BY1764&gt;=$BX$32,1,(BY1764-$BX$31)*$BX$33)),SUM($BU$42:BU1764)/$BV$40))</f>
        <v>0.99999999950184426</v>
      </c>
      <c r="BW1764" s="16">
        <f t="shared" si="488"/>
        <v>2.6875138023237854E-8</v>
      </c>
      <c r="BY1764" s="16">
        <f t="shared" si="489"/>
        <v>172.1999999999945</v>
      </c>
      <c r="BZ1764" s="16">
        <f t="shared" si="479"/>
        <v>1.560693264996441E-10</v>
      </c>
      <c r="CA1764" s="16">
        <f t="shared" si="486"/>
        <v>-999</v>
      </c>
      <c r="CE1764" s="16" t="e">
        <f t="shared" si="480"/>
        <v>#N/A</v>
      </c>
      <c r="CF1764" s="16">
        <f t="shared" si="481"/>
        <v>99</v>
      </c>
      <c r="CG1764" s="16">
        <f t="shared" si="482"/>
        <v>0</v>
      </c>
      <c r="CH1764" s="16">
        <f t="shared" si="487"/>
        <v>0</v>
      </c>
      <c r="CJ1764" s="16" t="e">
        <f t="shared" si="483"/>
        <v>#N/A</v>
      </c>
      <c r="CK1764" s="16" t="str">
        <f t="shared" si="484"/>
        <v/>
      </c>
    </row>
    <row r="1765" spans="73:89" ht="12" customHeight="1">
      <c r="BU1765" s="16">
        <f t="shared" si="485"/>
        <v>0</v>
      </c>
      <c r="BV1765" s="16">
        <f>IF($BY$12=1,NORMDIST(BY1765,$Y$6,$Y$8,TRUE),IF($BY$12=2,IF(BY1765&lt;=$BX$31,0,IF(BY1765&gt;=$BX$32,1,(BY1765-$BX$31)*$BX$33)),SUM($BU$42:BU1765)/$BV$40))</f>
        <v>0.99999999951721519</v>
      </c>
      <c r="BW1765" s="16">
        <f t="shared" si="488"/>
        <v>2.6081328462052114E-8</v>
      </c>
      <c r="BY1765" s="16">
        <f t="shared" si="489"/>
        <v>172.2999999999945</v>
      </c>
      <c r="BZ1765" s="16">
        <f t="shared" si="479"/>
        <v>1.5137161034273329E-10</v>
      </c>
      <c r="CA1765" s="16">
        <f t="shared" si="486"/>
        <v>-999</v>
      </c>
      <c r="CE1765" s="16" t="e">
        <f t="shared" si="480"/>
        <v>#N/A</v>
      </c>
      <c r="CF1765" s="16">
        <f t="shared" si="481"/>
        <v>99</v>
      </c>
      <c r="CG1765" s="16">
        <f t="shared" si="482"/>
        <v>0</v>
      </c>
      <c r="CH1765" s="16">
        <f t="shared" si="487"/>
        <v>0</v>
      </c>
      <c r="CJ1765" s="16" t="e">
        <f t="shared" si="483"/>
        <v>#N/A</v>
      </c>
      <c r="CK1765" s="16" t="str">
        <f t="shared" si="484"/>
        <v/>
      </c>
    </row>
    <row r="1766" spans="73:89" ht="12" customHeight="1">
      <c r="BU1766" s="16">
        <f t="shared" si="485"/>
        <v>0</v>
      </c>
      <c r="BV1766" s="16">
        <f>IF($BY$12=1,NORMDIST(BY1766,$Y$6,$Y$8,TRUE),IF($BY$12=2,IF(BY1766&lt;=$BX$31,0,IF(BY1766&gt;=$BX$32,1,(BY1766-$BX$31)*$BX$33)),SUM($BU$42:BU1766)/$BV$40))</f>
        <v>0.99999999953212326</v>
      </c>
      <c r="BW1766" s="16">
        <f t="shared" si="488"/>
        <v>2.5310324320924095E-8</v>
      </c>
      <c r="BY1766" s="16">
        <f t="shared" si="489"/>
        <v>172.39999999999449</v>
      </c>
      <c r="BZ1766" s="16">
        <f t="shared" si="479"/>
        <v>1.4681162599144375E-10</v>
      </c>
      <c r="CA1766" s="16">
        <f t="shared" si="486"/>
        <v>-999</v>
      </c>
      <c r="CE1766" s="16" t="e">
        <f t="shared" si="480"/>
        <v>#N/A</v>
      </c>
      <c r="CF1766" s="16">
        <f t="shared" si="481"/>
        <v>99</v>
      </c>
      <c r="CG1766" s="16">
        <f t="shared" si="482"/>
        <v>0</v>
      </c>
      <c r="CH1766" s="16">
        <f t="shared" si="487"/>
        <v>0</v>
      </c>
      <c r="CJ1766" s="16" t="e">
        <f t="shared" si="483"/>
        <v>#N/A</v>
      </c>
      <c r="CK1766" s="16" t="str">
        <f t="shared" si="484"/>
        <v/>
      </c>
    </row>
    <row r="1767" spans="73:89" ht="12" customHeight="1">
      <c r="BU1767" s="16">
        <f t="shared" si="485"/>
        <v>0</v>
      </c>
      <c r="BV1767" s="16">
        <f>IF($BY$12=1,NORMDIST(BY1767,$Y$6,$Y$8,TRUE),IF($BY$12=2,IF(BY1767&lt;=$BX$31,0,IF(BY1767&gt;=$BX$32,1,(BY1767-$BX$31)*$BX$33)),SUM($BU$42:BU1767)/$BV$40))</f>
        <v>0.99999999954658192</v>
      </c>
      <c r="BW1767" s="16">
        <f t="shared" si="488"/>
        <v>2.4561489937850832E-8</v>
      </c>
      <c r="BY1767" s="16">
        <f t="shared" si="489"/>
        <v>172.49999999999449</v>
      </c>
      <c r="BZ1767" s="16">
        <f t="shared" si="479"/>
        <v>1.4238544891508183E-10</v>
      </c>
      <c r="CA1767" s="16">
        <f t="shared" si="486"/>
        <v>-999</v>
      </c>
      <c r="CE1767" s="16" t="e">
        <f t="shared" si="480"/>
        <v>#N/A</v>
      </c>
      <c r="CF1767" s="16">
        <f t="shared" si="481"/>
        <v>99</v>
      </c>
      <c r="CG1767" s="16">
        <f t="shared" si="482"/>
        <v>0</v>
      </c>
      <c r="CH1767" s="16">
        <f t="shared" si="487"/>
        <v>0</v>
      </c>
      <c r="CJ1767" s="16" t="e">
        <f t="shared" si="483"/>
        <v>#N/A</v>
      </c>
      <c r="CK1767" s="16" t="str">
        <f t="shared" si="484"/>
        <v/>
      </c>
    </row>
    <row r="1768" spans="73:89" ht="12" customHeight="1">
      <c r="BU1768" s="16">
        <f t="shared" si="485"/>
        <v>0</v>
      </c>
      <c r="BV1768" s="16">
        <f>IF($BY$12=1,NORMDIST(BY1768,$Y$6,$Y$8,TRUE),IF($BY$12=2,IF(BY1768&lt;=$BX$31,0,IF(BY1768&gt;=$BX$32,1,(BY1768-$BX$31)*$BX$33)),SUM($BU$42:BU1768)/$BV$40))</f>
        <v>0.99999999956060459</v>
      </c>
      <c r="BW1768" s="16">
        <f t="shared" si="488"/>
        <v>2.3834206788735673E-8</v>
      </c>
      <c r="BY1768" s="16">
        <f t="shared" si="489"/>
        <v>172.59999999999448</v>
      </c>
      <c r="BZ1768" s="16">
        <f t="shared" si="479"/>
        <v>1.3808926297066301E-10</v>
      </c>
      <c r="CA1768" s="16">
        <f t="shared" si="486"/>
        <v>-999</v>
      </c>
      <c r="CE1768" s="16" t="e">
        <f t="shared" si="480"/>
        <v>#N/A</v>
      </c>
      <c r="CF1768" s="16">
        <f t="shared" si="481"/>
        <v>99</v>
      </c>
      <c r="CG1768" s="16">
        <f t="shared" si="482"/>
        <v>0</v>
      </c>
      <c r="CH1768" s="16">
        <f t="shared" si="487"/>
        <v>0</v>
      </c>
      <c r="CJ1768" s="16" t="e">
        <f t="shared" si="483"/>
        <v>#N/A</v>
      </c>
      <c r="CK1768" s="16" t="str">
        <f t="shared" si="484"/>
        <v/>
      </c>
    </row>
    <row r="1769" spans="73:89" ht="12" customHeight="1">
      <c r="BU1769" s="16">
        <f t="shared" si="485"/>
        <v>0</v>
      </c>
      <c r="BV1769" s="16">
        <f>IF($BY$12=1,NORMDIST(BY1769,$Y$6,$Y$8,TRUE),IF($BY$12=2,IF(BY1769&lt;=$BX$31,0,IF(BY1769&gt;=$BX$32,1,(BY1769-$BX$31)*$BX$33)),SUM($BU$42:BU1769)/$BV$40))</f>
        <v>0.99999999957420405</v>
      </c>
      <c r="BW1769" s="16">
        <f t="shared" si="488"/>
        <v>2.3127873042152816E-8</v>
      </c>
      <c r="BY1769" s="16">
        <f t="shared" si="489"/>
        <v>172.69999999999447</v>
      </c>
      <c r="BZ1769" s="16">
        <f t="shared" si="479"/>
        <v>1.3391935751102233E-10</v>
      </c>
      <c r="CA1769" s="16">
        <f t="shared" si="486"/>
        <v>-999</v>
      </c>
      <c r="CE1769" s="16" t="e">
        <f t="shared" si="480"/>
        <v>#N/A</v>
      </c>
      <c r="CF1769" s="16">
        <f t="shared" si="481"/>
        <v>99</v>
      </c>
      <c r="CG1769" s="16">
        <f t="shared" si="482"/>
        <v>0</v>
      </c>
      <c r="CH1769" s="16">
        <f t="shared" si="487"/>
        <v>0</v>
      </c>
      <c r="CJ1769" s="16" t="e">
        <f t="shared" si="483"/>
        <v>#N/A</v>
      </c>
      <c r="CK1769" s="16" t="str">
        <f t="shared" si="484"/>
        <v/>
      </c>
    </row>
    <row r="1770" spans="73:89" ht="12" customHeight="1">
      <c r="BU1770" s="16">
        <f t="shared" si="485"/>
        <v>0</v>
      </c>
      <c r="BV1770" s="16">
        <f>IF($BY$12=1,NORMDIST(BY1770,$Y$6,$Y$8,TRUE),IF($BY$12=2,IF(BY1770&lt;=$BX$31,0,IF(BY1770&gt;=$BX$32,1,(BY1770-$BX$31)*$BX$33)),SUM($BU$42:BU1770)/$BV$40))</f>
        <v>0.99999999958739261</v>
      </c>
      <c r="BW1770" s="16">
        <f t="shared" si="488"/>
        <v>2.2441903125202381E-8</v>
      </c>
      <c r="BY1770" s="16">
        <f t="shared" si="489"/>
        <v>172.79999999999447</v>
      </c>
      <c r="BZ1770" s="16">
        <f t="shared" ref="BZ1770:BZ1833" si="490">IF($BZ$5,IF($BY$12=1,NORMDIST(BY1770,$Y$6,$Y$8,FALSE),IF($BY$12=2,IF(AND(BY1770&gt;=$BX$31,BY1770&lt;=$BX$32),$BX$33,0),IF(BY1770&lt;=$BX$13,0,NORMDIST(LN((BY1770-$BX$13)/$BX$12),0,$BW$8,FALSE)/((BY1770-$BX$13)/$BX$12)))),-999)</f>
        <v>1.2987212456714757E-10</v>
      </c>
      <c r="CA1770" s="16">
        <f t="shared" si="486"/>
        <v>-999</v>
      </c>
      <c r="CE1770" s="16" t="e">
        <f t="shared" ref="CE1770:CE1833" si="491">IF(AND($CB$7,$CD$2,$CD$1),26+$P$23/2-CC1770*$P$23,NA())</f>
        <v>#N/A</v>
      </c>
      <c r="CF1770" s="16">
        <f t="shared" ref="CF1770:CF1833" si="492">IF(ISNA(CJ1770),99,CJ1770)</f>
        <v>99</v>
      </c>
      <c r="CG1770" s="16">
        <f t="shared" ref="CG1770:CG1833" si="493">IF(ISNA(CJ1770),0,CJ1770)</f>
        <v>0</v>
      </c>
      <c r="CH1770" s="16">
        <f t="shared" si="487"/>
        <v>0</v>
      </c>
      <c r="CJ1770" s="16" t="e">
        <f t="shared" ref="CJ1770:CJ1833" si="494">IF(CH1770=1,CE1770,NA())</f>
        <v>#N/A</v>
      </c>
      <c r="CK1770" s="16" t="str">
        <f t="shared" ref="CK1770:CK1833" si="495">IF(CH1770=1,M1669,"")</f>
        <v/>
      </c>
    </row>
    <row r="1771" spans="73:89" ht="12" customHeight="1">
      <c r="BU1771" s="16">
        <f t="shared" ref="BU1771:BU1834" si="496">IF($BY$12&lt;3,0,IF(BY1771&lt;=$BX$13,0,NORMDIST(LN((BY1771-$BX$13)/$BX$12),0,$BW$8,FALSE)/((BY1771-$BX$13)/$BX$12)))</f>
        <v>0</v>
      </c>
      <c r="BV1771" s="16">
        <f>IF($BY$12=1,NORMDIST(BY1771,$Y$6,$Y$8,TRUE),IF($BY$12=2,IF(BY1771&lt;=$BX$31,0,IF(BY1771&gt;=$BX$32,1,(BY1771-$BX$31)*$BX$33)),SUM($BU$42:BU1771)/$BV$40))</f>
        <v>0.99999999960018238</v>
      </c>
      <c r="BW1771" s="16">
        <f t="shared" si="488"/>
        <v>2.1775727300196439E-8</v>
      </c>
      <c r="BY1771" s="16">
        <f t="shared" si="489"/>
        <v>172.89999999999446</v>
      </c>
      <c r="BZ1771" s="16">
        <f t="shared" si="490"/>
        <v>1.2594405610293311E-10</v>
      </c>
      <c r="CA1771" s="16">
        <f t="shared" ref="CA1771:CA1834" si="497">IF(AND($CD$1,$CD$3),26-$CD$40*NORMDIST(BY1771,$Y$6,$Y$8/SQRT($T$18),FALSE),-999)</f>
        <v>-999</v>
      </c>
      <c r="CE1771" s="16" t="e">
        <f t="shared" si="491"/>
        <v>#N/A</v>
      </c>
      <c r="CF1771" s="16">
        <f t="shared" si="492"/>
        <v>99</v>
      </c>
      <c r="CG1771" s="16">
        <f t="shared" si="493"/>
        <v>0</v>
      </c>
      <c r="CH1771" s="16">
        <f t="shared" si="487"/>
        <v>0</v>
      </c>
      <c r="CJ1771" s="16" t="e">
        <f t="shared" si="494"/>
        <v>#N/A</v>
      </c>
      <c r="CK1771" s="16" t="str">
        <f t="shared" si="495"/>
        <v/>
      </c>
    </row>
    <row r="1772" spans="73:89" ht="12" customHeight="1">
      <c r="BU1772" s="16">
        <f t="shared" si="496"/>
        <v>0</v>
      </c>
      <c r="BV1772" s="16">
        <f>IF($BY$12=1,NORMDIST(BY1772,$Y$6,$Y$8,TRUE),IF($BY$12=2,IF(BY1772&lt;=$BX$31,0,IF(BY1772&gt;=$BX$32,1,(BY1772-$BX$31)*$BX$33)),SUM($BU$42:BU1772)/$BV$40))</f>
        <v>0.99999999961258523</v>
      </c>
      <c r="BW1772" s="16">
        <f t="shared" si="488"/>
        <v>2.1128791251916356E-8</v>
      </c>
      <c r="BY1772" s="16">
        <f t="shared" si="489"/>
        <v>172.99999999999446</v>
      </c>
      <c r="BZ1772" s="16">
        <f t="shared" si="490"/>
        <v>1.2213174134056089E-10</v>
      </c>
      <c r="CA1772" s="16">
        <f t="shared" si="497"/>
        <v>-999</v>
      </c>
      <c r="CE1772" s="16" t="e">
        <f t="shared" si="491"/>
        <v>#N/A</v>
      </c>
      <c r="CF1772" s="16">
        <f t="shared" si="492"/>
        <v>99</v>
      </c>
      <c r="CG1772" s="16">
        <f t="shared" si="493"/>
        <v>0</v>
      </c>
      <c r="CH1772" s="16">
        <f t="shared" si="487"/>
        <v>0</v>
      </c>
      <c r="CJ1772" s="16" t="e">
        <f t="shared" si="494"/>
        <v>#N/A</v>
      </c>
      <c r="CK1772" s="16" t="str">
        <f t="shared" si="495"/>
        <v/>
      </c>
    </row>
    <row r="1773" spans="73:89" ht="12" customHeight="1">
      <c r="BU1773" s="16">
        <f t="shared" si="496"/>
        <v>0</v>
      </c>
      <c r="BV1773" s="16">
        <f>IF($BY$12=1,NORMDIST(BY1773,$Y$6,$Y$8,TRUE),IF($BY$12=2,IF(BY1773&lt;=$BX$31,0,IF(BY1773&gt;=$BX$32,1,(BY1773-$BX$31)*$BX$33)),SUM($BU$42:BU1773)/$BV$40))</f>
        <v>0.9999999996246125</v>
      </c>
      <c r="BW1773" s="16">
        <f t="shared" si="488"/>
        <v>2.0500555685189336E-8</v>
      </c>
      <c r="BY1773" s="16">
        <f t="shared" si="489"/>
        <v>173.09999999999445</v>
      </c>
      <c r="BZ1773" s="16">
        <f t="shared" si="490"/>
        <v>1.18431864154766E-10</v>
      </c>
      <c r="CA1773" s="16">
        <f t="shared" si="497"/>
        <v>-999</v>
      </c>
      <c r="CE1773" s="16" t="e">
        <f t="shared" si="491"/>
        <v>#N/A</v>
      </c>
      <c r="CF1773" s="16">
        <f t="shared" si="492"/>
        <v>99</v>
      </c>
      <c r="CG1773" s="16">
        <f t="shared" si="493"/>
        <v>0</v>
      </c>
      <c r="CH1773" s="16">
        <f t="shared" si="487"/>
        <v>0</v>
      </c>
      <c r="CJ1773" s="16" t="e">
        <f t="shared" si="494"/>
        <v>#N/A</v>
      </c>
      <c r="CK1773" s="16" t="str">
        <f t="shared" si="495"/>
        <v/>
      </c>
    </row>
    <row r="1774" spans="73:89" ht="12" customHeight="1">
      <c r="BU1774" s="16">
        <f t="shared" si="496"/>
        <v>0</v>
      </c>
      <c r="BV1774" s="16">
        <f>IF($BY$12=1,NORMDIST(BY1774,$Y$6,$Y$8,TRUE),IF($BY$12=2,IF(BY1774&lt;=$BX$31,0,IF(BY1774&gt;=$BX$32,1,(BY1774-$BX$31)*$BX$33)),SUM($BU$42:BU1774)/$BV$40))</f>
        <v>0.99999999963627528</v>
      </c>
      <c r="BW1774" s="16">
        <f t="shared" si="488"/>
        <v>1.9890495932540494E-8</v>
      </c>
      <c r="BY1774" s="16">
        <f t="shared" si="489"/>
        <v>173.19999999999445</v>
      </c>
      <c r="BZ1774" s="16">
        <f t="shared" si="490"/>
        <v>1.1484120053430215E-10</v>
      </c>
      <c r="CA1774" s="16">
        <f t="shared" si="497"/>
        <v>-999</v>
      </c>
      <c r="CE1774" s="16" t="e">
        <f t="shared" si="491"/>
        <v>#N/A</v>
      </c>
      <c r="CF1774" s="16">
        <f t="shared" si="492"/>
        <v>99</v>
      </c>
      <c r="CG1774" s="16">
        <f t="shared" si="493"/>
        <v>0</v>
      </c>
      <c r="CH1774" s="16">
        <f t="shared" si="487"/>
        <v>0</v>
      </c>
      <c r="CJ1774" s="16" t="e">
        <f t="shared" si="494"/>
        <v>#N/A</v>
      </c>
      <c r="CK1774" s="16" t="str">
        <f t="shared" si="495"/>
        <v/>
      </c>
    </row>
    <row r="1775" spans="73:89" ht="12" customHeight="1">
      <c r="BU1775" s="16">
        <f t="shared" si="496"/>
        <v>0</v>
      </c>
      <c r="BV1775" s="16">
        <f>IF($BY$12=1,NORMDIST(BY1775,$Y$6,$Y$8,TRUE),IF($BY$12=2,IF(BY1775&lt;=$BX$31,0,IF(BY1775&gt;=$BX$32,1,(BY1775-$BX$31)*$BX$33)),SUM($BU$42:BU1775)/$BV$40))</f>
        <v>0.99999999964758435</v>
      </c>
      <c r="BW1775" s="16">
        <f t="shared" si="488"/>
        <v>1.9298101571677655E-8</v>
      </c>
      <c r="BY1775" s="16">
        <f t="shared" si="489"/>
        <v>173.29999999999444</v>
      </c>
      <c r="BZ1775" s="16">
        <f t="shared" si="490"/>
        <v>1.1135661610893407E-10</v>
      </c>
      <c r="CA1775" s="16">
        <f t="shared" si="497"/>
        <v>-999</v>
      </c>
      <c r="CE1775" s="16" t="e">
        <f t="shared" si="491"/>
        <v>#N/A</v>
      </c>
      <c r="CF1775" s="16">
        <f t="shared" si="492"/>
        <v>99</v>
      </c>
      <c r="CG1775" s="16">
        <f t="shared" si="493"/>
        <v>0</v>
      </c>
      <c r="CH1775" s="16">
        <f t="shared" si="487"/>
        <v>0</v>
      </c>
      <c r="CJ1775" s="16" t="e">
        <f t="shared" si="494"/>
        <v>#N/A</v>
      </c>
      <c r="CK1775" s="16" t="str">
        <f t="shared" si="495"/>
        <v/>
      </c>
    </row>
    <row r="1776" spans="73:89" ht="12" customHeight="1">
      <c r="BU1776" s="16">
        <f t="shared" si="496"/>
        <v>0</v>
      </c>
      <c r="BV1776" s="16">
        <f>IF($BY$12=1,NORMDIST(BY1776,$Y$6,$Y$8,TRUE),IF($BY$12=2,IF(BY1776&lt;=$BX$31,0,IF(BY1776&gt;=$BX$32,1,(BY1776-$BX$31)*$BX$33)),SUM($BU$42:BU1776)/$BV$40))</f>
        <v>0.99999999965855002</v>
      </c>
      <c r="BW1776" s="16">
        <f t="shared" si="488"/>
        <v>1.872287605257487E-8</v>
      </c>
      <c r="BY1776" s="16">
        <f t="shared" si="489"/>
        <v>173.39999999999444</v>
      </c>
      <c r="BZ1776" s="16">
        <f t="shared" si="490"/>
        <v>1.0797506374034297E-10</v>
      </c>
      <c r="CA1776" s="16">
        <f t="shared" si="497"/>
        <v>-999</v>
      </c>
      <c r="CE1776" s="16" t="e">
        <f t="shared" si="491"/>
        <v>#N/A</v>
      </c>
      <c r="CF1776" s="16">
        <f t="shared" si="492"/>
        <v>99</v>
      </c>
      <c r="CG1776" s="16">
        <f t="shared" si="493"/>
        <v>0</v>
      </c>
      <c r="CH1776" s="16">
        <f t="shared" si="487"/>
        <v>0</v>
      </c>
      <c r="CJ1776" s="16" t="e">
        <f t="shared" si="494"/>
        <v>#N/A</v>
      </c>
      <c r="CK1776" s="16" t="str">
        <f t="shared" si="495"/>
        <v/>
      </c>
    </row>
    <row r="1777" spans="73:89" ht="12" customHeight="1">
      <c r="BU1777" s="16">
        <f t="shared" si="496"/>
        <v>0</v>
      </c>
      <c r="BV1777" s="16">
        <f>IF($BY$12=1,NORMDIST(BY1777,$Y$6,$Y$8,TRUE),IF($BY$12=2,IF(BY1777&lt;=$BX$31,0,IF(BY1777&gt;=$BX$32,1,(BY1777-$BX$31)*$BX$33)),SUM($BU$42:BU1777)/$BV$40))</f>
        <v>0.99999999966918263</v>
      </c>
      <c r="BW1777" s="16">
        <f t="shared" si="488"/>
        <v>1.8164336333925267E-8</v>
      </c>
      <c r="BY1777" s="16">
        <f t="shared" si="489"/>
        <v>173.49999999999443</v>
      </c>
      <c r="BZ1777" s="16">
        <f t="shared" si="490"/>
        <v>1.0469358117536513E-10</v>
      </c>
      <c r="CA1777" s="16">
        <f t="shared" si="497"/>
        <v>-999</v>
      </c>
      <c r="CE1777" s="16" t="e">
        <f t="shared" si="491"/>
        <v>#N/A</v>
      </c>
      <c r="CF1777" s="16">
        <f t="shared" si="492"/>
        <v>99</v>
      </c>
      <c r="CG1777" s="16">
        <f t="shared" si="493"/>
        <v>0</v>
      </c>
      <c r="CH1777" s="16">
        <f t="shared" si="487"/>
        <v>0</v>
      </c>
      <c r="CJ1777" s="16" t="e">
        <f t="shared" si="494"/>
        <v>#N/A</v>
      </c>
      <c r="CK1777" s="16" t="str">
        <f t="shared" si="495"/>
        <v/>
      </c>
    </row>
    <row r="1778" spans="73:89" ht="12" customHeight="1">
      <c r="BU1778" s="16">
        <f t="shared" si="496"/>
        <v>0</v>
      </c>
      <c r="BV1778" s="16">
        <f>IF($BY$12=1,NORMDIST(BY1778,$Y$6,$Y$8,TRUE),IF($BY$12=2,IF(BY1778&lt;=$BX$31,0,IF(BY1778&gt;=$BX$32,1,(BY1778-$BX$31)*$BX$33)),SUM($BU$42:BU1778)/$BV$40))</f>
        <v>0.99999999967949205</v>
      </c>
      <c r="BW1778" s="16">
        <f t="shared" si="488"/>
        <v>1.7622012528738067E-8</v>
      </c>
      <c r="BY1778" s="16">
        <f t="shared" si="489"/>
        <v>173.59999999999442</v>
      </c>
      <c r="BZ1778" s="16">
        <f t="shared" si="490"/>
        <v>1.0150928876001517E-10</v>
      </c>
      <c r="CA1778" s="16">
        <f t="shared" si="497"/>
        <v>-999</v>
      </c>
      <c r="CE1778" s="16" t="e">
        <f t="shared" si="491"/>
        <v>#N/A</v>
      </c>
      <c r="CF1778" s="16">
        <f t="shared" si="492"/>
        <v>99</v>
      </c>
      <c r="CG1778" s="16">
        <f t="shared" si="493"/>
        <v>0</v>
      </c>
      <c r="CH1778" s="16">
        <f t="shared" si="487"/>
        <v>0</v>
      </c>
      <c r="CJ1778" s="16" t="e">
        <f t="shared" si="494"/>
        <v>#N/A</v>
      </c>
      <c r="CK1778" s="16" t="str">
        <f t="shared" si="495"/>
        <v/>
      </c>
    </row>
    <row r="1779" spans="73:89" ht="12" customHeight="1">
      <c r="BU1779" s="16">
        <f t="shared" si="496"/>
        <v>0</v>
      </c>
      <c r="BV1779" s="16">
        <f>IF($BY$12=1,NORMDIST(BY1779,$Y$6,$Y$8,TRUE),IF($BY$12=2,IF(BY1779&lt;=$BX$31,0,IF(BY1779&gt;=$BX$32,1,(BY1779-$BX$31)*$BX$33)),SUM($BU$42:BU1779)/$BV$40))</f>
        <v>0.99999999968948761</v>
      </c>
      <c r="BW1779" s="16">
        <f t="shared" si="488"/>
        <v>1.709544755886037E-8</v>
      </c>
      <c r="BY1779" s="16">
        <f t="shared" si="489"/>
        <v>173.69999999999442</v>
      </c>
      <c r="BZ1779" s="16">
        <f t="shared" si="490"/>
        <v>9.8419387212785953E-11</v>
      </c>
      <c r="CA1779" s="16">
        <f t="shared" si="497"/>
        <v>-999</v>
      </c>
      <c r="CE1779" s="16" t="e">
        <f t="shared" si="491"/>
        <v>#N/A</v>
      </c>
      <c r="CF1779" s="16">
        <f t="shared" si="492"/>
        <v>99</v>
      </c>
      <c r="CG1779" s="16">
        <f t="shared" si="493"/>
        <v>0</v>
      </c>
      <c r="CH1779" s="16">
        <f t="shared" si="487"/>
        <v>0</v>
      </c>
      <c r="CJ1779" s="16" t="e">
        <f t="shared" si="494"/>
        <v>#N/A</v>
      </c>
      <c r="CK1779" s="16" t="str">
        <f t="shared" si="495"/>
        <v/>
      </c>
    </row>
    <row r="1780" spans="73:89" ht="12" customHeight="1">
      <c r="BU1780" s="16">
        <f t="shared" si="496"/>
        <v>0</v>
      </c>
      <c r="BV1780" s="16">
        <f>IF($BY$12=1,NORMDIST(BY1780,$Y$6,$Y$8,TRUE),IF($BY$12=2,IF(BY1780&lt;=$BX$31,0,IF(BY1780&gt;=$BX$32,1,(BY1780-$BX$31)*$BX$33)),SUM($BU$42:BU1780)/$BV$40))</f>
        <v>0.99999999969917897</v>
      </c>
      <c r="BW1780" s="16">
        <f t="shared" si="488"/>
        <v>1.6584196818210214E-8</v>
      </c>
      <c r="BY1780" s="16">
        <f t="shared" si="489"/>
        <v>173.79999999999441</v>
      </c>
      <c r="BZ1780" s="16">
        <f t="shared" si="490"/>
        <v>9.5421155455758028E-11</v>
      </c>
      <c r="CA1780" s="16">
        <f t="shared" si="497"/>
        <v>-999</v>
      </c>
      <c r="CE1780" s="16" t="e">
        <f t="shared" si="491"/>
        <v>#N/A</v>
      </c>
      <c r="CF1780" s="16">
        <f t="shared" si="492"/>
        <v>99</v>
      </c>
      <c r="CG1780" s="16">
        <f t="shared" si="493"/>
        <v>0</v>
      </c>
      <c r="CH1780" s="16">
        <f t="shared" si="487"/>
        <v>0</v>
      </c>
      <c r="CJ1780" s="16" t="e">
        <f t="shared" si="494"/>
        <v>#N/A</v>
      </c>
      <c r="CK1780" s="16" t="str">
        <f t="shared" si="495"/>
        <v/>
      </c>
    </row>
    <row r="1781" spans="73:89" ht="12" customHeight="1">
      <c r="BU1781" s="16">
        <f t="shared" si="496"/>
        <v>0</v>
      </c>
      <c r="BV1781" s="16">
        <f>IF($BY$12=1,NORMDIST(BY1781,$Y$6,$Y$8,TRUE),IF($BY$12=2,IF(BY1781&lt;=$BX$31,0,IF(BY1781&gt;=$BX$32,1,(BY1781-$BX$31)*$BX$33)),SUM($BU$42:BU1781)/$BV$40))</f>
        <v>0.99999999970857489</v>
      </c>
      <c r="BW1781" s="16">
        <f t="shared" si="488"/>
        <v>1.608782784450945E-8</v>
      </c>
      <c r="BY1781" s="16">
        <f t="shared" si="489"/>
        <v>173.89999999999441</v>
      </c>
      <c r="BZ1781" s="16">
        <f t="shared" si="490"/>
        <v>9.2511948502069977E-11</v>
      </c>
      <c r="CA1781" s="16">
        <f t="shared" si="497"/>
        <v>-999</v>
      </c>
      <c r="CE1781" s="16" t="e">
        <f t="shared" si="491"/>
        <v>#N/A</v>
      </c>
      <c r="CF1781" s="16">
        <f t="shared" si="492"/>
        <v>99</v>
      </c>
      <c r="CG1781" s="16">
        <f t="shared" si="493"/>
        <v>0</v>
      </c>
      <c r="CH1781" s="16">
        <f t="shared" si="487"/>
        <v>0</v>
      </c>
      <c r="CJ1781" s="16" t="e">
        <f t="shared" si="494"/>
        <v>#N/A</v>
      </c>
      <c r="CK1781" s="16" t="str">
        <f t="shared" si="495"/>
        <v/>
      </c>
    </row>
    <row r="1782" spans="73:89" ht="12" customHeight="1">
      <c r="BU1782" s="16">
        <f t="shared" si="496"/>
        <v>0</v>
      </c>
      <c r="BV1782" s="16">
        <f>IF($BY$12=1,NORMDIST(BY1782,$Y$6,$Y$8,TRUE),IF($BY$12=2,IF(BY1782&lt;=$BX$31,0,IF(BY1782&gt;=$BX$32,1,(BY1782-$BX$31)*$BX$33)),SUM($BU$42:BU1782)/$BV$40))</f>
        <v>0.99999999971768416</v>
      </c>
      <c r="BW1782" s="16">
        <f t="shared" si="488"/>
        <v>1.5605919999314097E-8</v>
      </c>
      <c r="BY1782" s="16">
        <f t="shared" si="489"/>
        <v>173.9999999999944</v>
      </c>
      <c r="BZ1782" s="16">
        <f t="shared" si="490"/>
        <v>8.9689195398359775E-11</v>
      </c>
      <c r="CA1782" s="16">
        <f t="shared" si="497"/>
        <v>-999</v>
      </c>
      <c r="CE1782" s="16" t="e">
        <f t="shared" si="491"/>
        <v>#N/A</v>
      </c>
      <c r="CF1782" s="16">
        <f t="shared" si="492"/>
        <v>99</v>
      </c>
      <c r="CG1782" s="16">
        <f t="shared" si="493"/>
        <v>0</v>
      </c>
      <c r="CH1782" s="16">
        <f t="shared" si="487"/>
        <v>0</v>
      </c>
      <c r="CJ1782" s="16" t="e">
        <f t="shared" si="494"/>
        <v>#N/A</v>
      </c>
      <c r="CK1782" s="16" t="str">
        <f t="shared" si="495"/>
        <v/>
      </c>
    </row>
    <row r="1783" spans="73:89" ht="12" customHeight="1">
      <c r="BU1783" s="16">
        <f t="shared" si="496"/>
        <v>0</v>
      </c>
      <c r="BV1783" s="16">
        <f>IF($BY$12=1,NORMDIST(BY1783,$Y$6,$Y$8,TRUE),IF($BY$12=2,IF(BY1783&lt;=$BX$31,0,IF(BY1783&gt;=$BX$32,1,(BY1783-$BX$31)*$BX$33)),SUM($BU$42:BU1783)/$BV$40))</f>
        <v>0.99999999972651543</v>
      </c>
      <c r="BW1783" s="16">
        <f t="shared" si="488"/>
        <v>1.5138064156139853E-8</v>
      </c>
      <c r="BY1783" s="16">
        <f t="shared" si="489"/>
        <v>174.0999999999944</v>
      </c>
      <c r="BZ1783" s="16">
        <f t="shared" si="490"/>
        <v>8.6950397220794614E-11</v>
      </c>
      <c r="CA1783" s="16">
        <f t="shared" si="497"/>
        <v>-999</v>
      </c>
      <c r="CE1783" s="16" t="e">
        <f t="shared" si="491"/>
        <v>#N/A</v>
      </c>
      <c r="CF1783" s="16">
        <f t="shared" si="492"/>
        <v>99</v>
      </c>
      <c r="CG1783" s="16">
        <f t="shared" si="493"/>
        <v>0</v>
      </c>
      <c r="CH1783" s="16">
        <f t="shared" si="487"/>
        <v>0</v>
      </c>
      <c r="CJ1783" s="16" t="e">
        <f t="shared" si="494"/>
        <v>#N/A</v>
      </c>
      <c r="CK1783" s="16" t="str">
        <f t="shared" si="495"/>
        <v/>
      </c>
    </row>
    <row r="1784" spans="73:89" ht="12" customHeight="1">
      <c r="BU1784" s="16">
        <f t="shared" si="496"/>
        <v>0</v>
      </c>
      <c r="BV1784" s="16">
        <f>IF($BY$12=1,NORMDIST(BY1784,$Y$6,$Y$8,TRUE),IF($BY$12=2,IF(BY1784&lt;=$BX$31,0,IF(BY1784&gt;=$BX$32,1,(BY1784-$BX$31)*$BX$33)),SUM($BU$42:BU1784)/$BV$40))</f>
        <v>0.99999999973507703</v>
      </c>
      <c r="BW1784" s="16">
        <f t="shared" si="488"/>
        <v>1.4683862396488278E-8</v>
      </c>
      <c r="BY1784" s="16">
        <f t="shared" si="489"/>
        <v>174.19999999999439</v>
      </c>
      <c r="BZ1784" s="16">
        <f t="shared" si="490"/>
        <v>8.4293125123356774E-11</v>
      </c>
      <c r="CA1784" s="16">
        <f t="shared" si="497"/>
        <v>-999</v>
      </c>
      <c r="CE1784" s="16" t="e">
        <f t="shared" si="491"/>
        <v>#N/A</v>
      </c>
      <c r="CF1784" s="16">
        <f t="shared" si="492"/>
        <v>99</v>
      </c>
      <c r="CG1784" s="16">
        <f t="shared" si="493"/>
        <v>0</v>
      </c>
      <c r="CH1784" s="16">
        <f t="shared" si="487"/>
        <v>0</v>
      </c>
      <c r="CJ1784" s="16" t="e">
        <f t="shared" si="494"/>
        <v>#N/A</v>
      </c>
      <c r="CK1784" s="16" t="str">
        <f t="shared" si="495"/>
        <v/>
      </c>
    </row>
    <row r="1785" spans="73:89" ht="12" customHeight="1">
      <c r="BU1785" s="16">
        <f t="shared" si="496"/>
        <v>0</v>
      </c>
      <c r="BV1785" s="16">
        <f>IF($BY$12=1,NORMDIST(BY1785,$Y$6,$Y$8,TRUE),IF($BY$12=2,IF(BY1785&lt;=$BX$31,0,IF(BY1785&gt;=$BX$32,1,(BY1785-$BX$31)*$BX$33)),SUM($BU$42:BU1785)/$BV$40))</f>
        <v>0.99999999974337672</v>
      </c>
      <c r="BW1785" s="16">
        <f t="shared" si="488"/>
        <v>1.4242927713582654E-8</v>
      </c>
      <c r="BY1785" s="16">
        <f t="shared" si="489"/>
        <v>174.29999999999438</v>
      </c>
      <c r="BZ1785" s="16">
        <f t="shared" si="490"/>
        <v>8.1715018437080397E-11</v>
      </c>
      <c r="CA1785" s="16">
        <f t="shared" si="497"/>
        <v>-999</v>
      </c>
      <c r="CE1785" s="16" t="e">
        <f t="shared" si="491"/>
        <v>#N/A</v>
      </c>
      <c r="CF1785" s="16">
        <f t="shared" si="492"/>
        <v>99</v>
      </c>
      <c r="CG1785" s="16">
        <f t="shared" si="493"/>
        <v>0</v>
      </c>
      <c r="CH1785" s="16">
        <f t="shared" si="487"/>
        <v>0</v>
      </c>
      <c r="CJ1785" s="16" t="e">
        <f t="shared" si="494"/>
        <v>#N/A</v>
      </c>
      <c r="CK1785" s="16" t="str">
        <f t="shared" si="495"/>
        <v/>
      </c>
    </row>
    <row r="1786" spans="73:89" ht="12" customHeight="1">
      <c r="BU1786" s="16">
        <f t="shared" si="496"/>
        <v>0</v>
      </c>
      <c r="BV1786" s="16">
        <f>IF($BY$12=1,NORMDIST(BY1786,$Y$6,$Y$8,TRUE),IF($BY$12=2,IF(BY1786&lt;=$BX$31,0,IF(BY1786&gt;=$BX$32,1,(BY1786-$BX$31)*$BX$33)),SUM($BU$42:BU1786)/$BV$40))</f>
        <v>0.99999999975142251</v>
      </c>
      <c r="BW1786" s="16">
        <f t="shared" si="488"/>
        <v>1.3814883723626339E-8</v>
      </c>
      <c r="BY1786" s="16">
        <f t="shared" si="489"/>
        <v>174.39999999999438</v>
      </c>
      <c r="BZ1786" s="16">
        <f t="shared" si="490"/>
        <v>7.9213782818960921E-11</v>
      </c>
      <c r="CA1786" s="16">
        <f t="shared" si="497"/>
        <v>-999</v>
      </c>
      <c r="CE1786" s="16" t="e">
        <f t="shared" si="491"/>
        <v>#N/A</v>
      </c>
      <c r="CF1786" s="16">
        <f t="shared" si="492"/>
        <v>99</v>
      </c>
      <c r="CG1786" s="16">
        <f t="shared" si="493"/>
        <v>0</v>
      </c>
      <c r="CH1786" s="16">
        <f t="shared" si="487"/>
        <v>0</v>
      </c>
      <c r="CJ1786" s="16" t="e">
        <f t="shared" si="494"/>
        <v>#N/A</v>
      </c>
      <c r="CK1786" s="16" t="str">
        <f t="shared" si="495"/>
        <v/>
      </c>
    </row>
    <row r="1787" spans="73:89" ht="12" customHeight="1">
      <c r="BU1787" s="16">
        <f t="shared" si="496"/>
        <v>0</v>
      </c>
      <c r="BV1787" s="16">
        <f>IF($BY$12=1,NORMDIST(BY1787,$Y$6,$Y$8,TRUE),IF($BY$12=2,IF(BY1787&lt;=$BX$31,0,IF(BY1787&gt;=$BX$32,1,(BY1787-$BX$31)*$BX$33)),SUM($BU$42:BU1787)/$BV$40))</f>
        <v>0.99999999975922205</v>
      </c>
      <c r="BW1787" s="16">
        <f t="shared" si="488"/>
        <v>1.3399364384401483E-8</v>
      </c>
      <c r="BY1787" s="16">
        <f t="shared" si="489"/>
        <v>174.49999999999437</v>
      </c>
      <c r="BZ1787" s="16">
        <f t="shared" si="490"/>
        <v>7.6787188449294646E-11</v>
      </c>
      <c r="CA1787" s="16">
        <f t="shared" si="497"/>
        <v>-999</v>
      </c>
      <c r="CE1787" s="16" t="e">
        <f t="shared" si="491"/>
        <v>#N/A</v>
      </c>
      <c r="CF1787" s="16">
        <f t="shared" si="492"/>
        <v>99</v>
      </c>
      <c r="CG1787" s="16">
        <f t="shared" si="493"/>
        <v>0</v>
      </c>
      <c r="CH1787" s="16">
        <f t="shared" si="487"/>
        <v>0</v>
      </c>
      <c r="CJ1787" s="16" t="e">
        <f t="shared" si="494"/>
        <v>#N/A</v>
      </c>
      <c r="CK1787" s="16" t="str">
        <f t="shared" si="495"/>
        <v/>
      </c>
    </row>
    <row r="1788" spans="73:89" ht="12" customHeight="1">
      <c r="BU1788" s="16">
        <f t="shared" si="496"/>
        <v>0</v>
      </c>
      <c r="BV1788" s="16">
        <f>IF($BY$12=1,NORMDIST(BY1788,$Y$6,$Y$8,TRUE),IF($BY$12=2,IF(BY1788&lt;=$BX$31,0,IF(BY1788&gt;=$BX$32,1,(BY1788-$BX$31)*$BX$33)),SUM($BU$42:BU1788)/$BV$40))</f>
        <v>0.99999999976678244</v>
      </c>
      <c r="BW1788" s="16">
        <f t="shared" si="488"/>
        <v>1.2996013721029633E-8</v>
      </c>
      <c r="BY1788" s="16">
        <f t="shared" si="489"/>
        <v>174.59999999999437</v>
      </c>
      <c r="BZ1788" s="16">
        <f t="shared" si="490"/>
        <v>7.4433068276231688E-11</v>
      </c>
      <c r="CA1788" s="16">
        <f t="shared" si="497"/>
        <v>-999</v>
      </c>
      <c r="CE1788" s="16" t="e">
        <f t="shared" si="491"/>
        <v>#N/A</v>
      </c>
      <c r="CF1788" s="16">
        <f t="shared" si="492"/>
        <v>99</v>
      </c>
      <c r="CG1788" s="16">
        <f t="shared" si="493"/>
        <v>0</v>
      </c>
      <c r="CH1788" s="16">
        <f t="shared" si="487"/>
        <v>0</v>
      </c>
      <c r="CJ1788" s="16" t="e">
        <f t="shared" si="494"/>
        <v>#N/A</v>
      </c>
      <c r="CK1788" s="16" t="str">
        <f t="shared" si="495"/>
        <v/>
      </c>
    </row>
    <row r="1789" spans="73:89" ht="12" customHeight="1">
      <c r="BU1789" s="16">
        <f t="shared" si="496"/>
        <v>0</v>
      </c>
      <c r="BV1789" s="16">
        <f>IF($BY$12=1,NORMDIST(BY1789,$Y$6,$Y$8,TRUE),IF($BY$12=2,IF(BY1789&lt;=$BX$31,0,IF(BY1789&gt;=$BX$32,1,(BY1789-$BX$31)*$BX$33)),SUM($BU$42:BU1789)/$BV$40))</f>
        <v>0.99999999977411091</v>
      </c>
      <c r="BW1789" s="16">
        <f t="shared" si="488"/>
        <v>1.260448555872052E-8</v>
      </c>
      <c r="BY1789" s="16">
        <f t="shared" si="489"/>
        <v>174.69999999999436</v>
      </c>
      <c r="BZ1789" s="16">
        <f t="shared" si="490"/>
        <v>7.2149316306359055E-11</v>
      </c>
      <c r="CA1789" s="16">
        <f t="shared" si="497"/>
        <v>-999</v>
      </c>
      <c r="CE1789" s="16" t="e">
        <f t="shared" si="491"/>
        <v>#N/A</v>
      </c>
      <c r="CF1789" s="16">
        <f t="shared" si="492"/>
        <v>99</v>
      </c>
      <c r="CG1789" s="16">
        <f t="shared" si="493"/>
        <v>0</v>
      </c>
      <c r="CH1789" s="16">
        <f t="shared" si="487"/>
        <v>0</v>
      </c>
      <c r="CJ1789" s="16" t="e">
        <f t="shared" si="494"/>
        <v>#N/A</v>
      </c>
      <c r="CK1789" s="16" t="str">
        <f t="shared" si="495"/>
        <v/>
      </c>
    </row>
    <row r="1790" spans="73:89" ht="12" customHeight="1">
      <c r="BU1790" s="16">
        <f t="shared" si="496"/>
        <v>0</v>
      </c>
      <c r="BV1790" s="16">
        <f>IF($BY$12=1,NORMDIST(BY1790,$Y$6,$Y$8,TRUE),IF($BY$12=2,IF(BY1790&lt;=$BX$31,0,IF(BY1790&gt;=$BX$32,1,(BY1790-$BX$31)*$BX$33)),SUM($BU$42:BU1790)/$BV$40))</f>
        <v>0.99999999978121457</v>
      </c>
      <c r="BW1790" s="16">
        <f t="shared" si="488"/>
        <v>1.2224443262338498E-8</v>
      </c>
      <c r="BY1790" s="16">
        <f t="shared" si="489"/>
        <v>174.79999999999436</v>
      </c>
      <c r="BZ1790" s="16">
        <f t="shared" si="490"/>
        <v>6.993388594015385E-11</v>
      </c>
      <c r="CA1790" s="16">
        <f t="shared" si="497"/>
        <v>-999</v>
      </c>
      <c r="CE1790" s="16" t="e">
        <f t="shared" si="491"/>
        <v>#N/A</v>
      </c>
      <c r="CF1790" s="16">
        <f t="shared" si="492"/>
        <v>99</v>
      </c>
      <c r="CG1790" s="16">
        <f t="shared" si="493"/>
        <v>0</v>
      </c>
      <c r="CH1790" s="16">
        <f t="shared" si="487"/>
        <v>0</v>
      </c>
      <c r="CJ1790" s="16" t="e">
        <f t="shared" si="494"/>
        <v>#N/A</v>
      </c>
      <c r="CK1790" s="16" t="str">
        <f t="shared" si="495"/>
        <v/>
      </c>
    </row>
    <row r="1791" spans="73:89" ht="12" customHeight="1">
      <c r="BU1791" s="16">
        <f t="shared" si="496"/>
        <v>0</v>
      </c>
      <c r="BV1791" s="16">
        <f>IF($BY$12=1,NORMDIST(BY1791,$Y$6,$Y$8,TRUE),IF($BY$12=2,IF(BY1791&lt;=$BX$31,0,IF(BY1791&gt;=$BX$32,1,(BY1791-$BX$31)*$BX$33)),SUM($BU$42:BU1791)/$BV$40))</f>
        <v>0.99999999978809995</v>
      </c>
      <c r="BW1791" s="16">
        <f t="shared" si="488"/>
        <v>1.185555948262064E-8</v>
      </c>
      <c r="BY1791" s="16">
        <f t="shared" si="489"/>
        <v>174.89999999999435</v>
      </c>
      <c r="BZ1791" s="16">
        <f t="shared" si="490"/>
        <v>6.7784788351177948E-11</v>
      </c>
      <c r="CA1791" s="16">
        <f t="shared" si="497"/>
        <v>-999</v>
      </c>
      <c r="CE1791" s="16" t="e">
        <f t="shared" si="491"/>
        <v>#N/A</v>
      </c>
      <c r="CF1791" s="16">
        <f t="shared" si="492"/>
        <v>99</v>
      </c>
      <c r="CG1791" s="16">
        <f t="shared" si="493"/>
        <v>0</v>
      </c>
      <c r="CH1791" s="16">
        <f t="shared" si="487"/>
        <v>0</v>
      </c>
      <c r="CJ1791" s="16" t="e">
        <f t="shared" si="494"/>
        <v>#N/A</v>
      </c>
      <c r="CK1791" s="16" t="str">
        <f t="shared" si="495"/>
        <v/>
      </c>
    </row>
    <row r="1792" spans="73:89" ht="12" customHeight="1">
      <c r="BU1792" s="16">
        <f t="shared" si="496"/>
        <v>0</v>
      </c>
      <c r="BV1792" s="16">
        <f>IF($BY$12=1,NORMDIST(BY1792,$Y$6,$Y$8,TRUE),IF($BY$12=2,IF(BY1792&lt;=$BX$31,0,IF(BY1792&gt;=$BX$32,1,(BY1792-$BX$31)*$BX$33)),SUM($BU$42:BU1792)/$BV$40))</f>
        <v>0.99999999979477361</v>
      </c>
      <c r="BW1792" s="16">
        <f t="shared" si="488"/>
        <v>1.1497515908883914E-8</v>
      </c>
      <c r="BY1792" s="16">
        <f t="shared" si="489"/>
        <v>174.99999999999434</v>
      </c>
      <c r="BZ1792" s="16">
        <f t="shared" si="490"/>
        <v>6.57000909079102E-11</v>
      </c>
      <c r="CA1792" s="16">
        <f t="shared" si="497"/>
        <v>-999</v>
      </c>
      <c r="CE1792" s="16" t="e">
        <f t="shared" si="491"/>
        <v>#N/A</v>
      </c>
      <c r="CF1792" s="16">
        <f t="shared" si="492"/>
        <v>99</v>
      </c>
      <c r="CG1792" s="16">
        <f t="shared" si="493"/>
        <v>0</v>
      </c>
      <c r="CH1792" s="16">
        <f t="shared" si="487"/>
        <v>0</v>
      </c>
      <c r="CJ1792" s="16" t="e">
        <f t="shared" si="494"/>
        <v>#N/A</v>
      </c>
      <c r="CK1792" s="16" t="str">
        <f t="shared" si="495"/>
        <v/>
      </c>
    </row>
    <row r="1793" spans="73:89" ht="12" customHeight="1">
      <c r="BU1793" s="16">
        <f t="shared" si="496"/>
        <v>0</v>
      </c>
      <c r="BV1793" s="16">
        <f>IF($BY$12=1,NORMDIST(BY1793,$Y$6,$Y$8,TRUE),IF($BY$12=2,IF(BY1793&lt;=$BX$31,0,IF(BY1793&gt;=$BX$32,1,(BY1793-$BX$31)*$BX$33)),SUM($BU$42:BU1793)/$BV$40))</f>
        <v>0.99999999980124199</v>
      </c>
      <c r="BW1793" s="16">
        <f t="shared" si="488"/>
        <v>1.115000302806351E-8</v>
      </c>
      <c r="BY1793" s="16">
        <f t="shared" si="489"/>
        <v>175.09999999999434</v>
      </c>
      <c r="BZ1793" s="16">
        <f t="shared" si="490"/>
        <v>6.3677915637143749E-11</v>
      </c>
      <c r="CA1793" s="16">
        <f t="shared" si="497"/>
        <v>-999</v>
      </c>
      <c r="CE1793" s="16" t="e">
        <f t="shared" si="491"/>
        <v>#N/A</v>
      </c>
      <c r="CF1793" s="16">
        <f t="shared" si="492"/>
        <v>99</v>
      </c>
      <c r="CG1793" s="16">
        <f t="shared" si="493"/>
        <v>0</v>
      </c>
      <c r="CH1793" s="16">
        <f t="shared" si="487"/>
        <v>0</v>
      </c>
      <c r="CJ1793" s="16" t="e">
        <f t="shared" si="494"/>
        <v>#N/A</v>
      </c>
      <c r="CK1793" s="16" t="str">
        <f t="shared" si="495"/>
        <v/>
      </c>
    </row>
    <row r="1794" spans="73:89" ht="12" customHeight="1">
      <c r="BU1794" s="16">
        <f t="shared" si="496"/>
        <v>0</v>
      </c>
      <c r="BV1794" s="16">
        <f>IF($BY$12=1,NORMDIST(BY1794,$Y$6,$Y$8,TRUE),IF($BY$12=2,IF(BY1794&lt;=$BX$31,0,IF(BY1794&gt;=$BX$32,1,(BY1794-$BX$31)*$BX$33)),SUM($BU$42:BU1794)/$BV$40))</f>
        <v>0.99999999980751131</v>
      </c>
      <c r="BW1794" s="16">
        <f t="shared" si="488"/>
        <v>1.081271988992616E-8</v>
      </c>
      <c r="BY1794" s="16">
        <f t="shared" si="489"/>
        <v>175.19999999999433</v>
      </c>
      <c r="BZ1794" s="16">
        <f t="shared" si="490"/>
        <v>6.1716437727891034E-11</v>
      </c>
      <c r="CA1794" s="16">
        <f t="shared" si="497"/>
        <v>-999</v>
      </c>
      <c r="CE1794" s="16" t="e">
        <f t="shared" si="491"/>
        <v>#N/A</v>
      </c>
      <c r="CF1794" s="16">
        <f t="shared" si="492"/>
        <v>99</v>
      </c>
      <c r="CG1794" s="16">
        <f t="shared" si="493"/>
        <v>0</v>
      </c>
      <c r="CH1794" s="16">
        <f t="shared" si="487"/>
        <v>0</v>
      </c>
      <c r="CJ1794" s="16" t="e">
        <f t="shared" si="494"/>
        <v>#N/A</v>
      </c>
      <c r="CK1794" s="16" t="str">
        <f t="shared" si="495"/>
        <v/>
      </c>
    </row>
    <row r="1795" spans="73:89" ht="12" customHeight="1">
      <c r="BU1795" s="16">
        <f t="shared" si="496"/>
        <v>0</v>
      </c>
      <c r="BV1795" s="16">
        <f>IF($BY$12=1,NORMDIST(BY1795,$Y$6,$Y$8,TRUE),IF($BY$12=2,IF(BY1795&lt;=$BX$31,0,IF(BY1795&gt;=$BX$32,1,(BY1795-$BX$31)*$BX$33)),SUM($BU$42:BU1795)/$BV$40))</f>
        <v>0.99999999981358734</v>
      </c>
      <c r="BW1795" s="16">
        <f t="shared" si="488"/>
        <v>1.0485373878308715E-8</v>
      </c>
      <c r="BY1795" s="16">
        <f t="shared" si="489"/>
        <v>175.29999999999433</v>
      </c>
      <c r="BZ1795" s="16">
        <f t="shared" si="490"/>
        <v>5.9813884074780686E-11</v>
      </c>
      <c r="CA1795" s="16">
        <f t="shared" si="497"/>
        <v>-999</v>
      </c>
      <c r="CE1795" s="16" t="e">
        <f t="shared" si="491"/>
        <v>#N/A</v>
      </c>
      <c r="CF1795" s="16">
        <f t="shared" si="492"/>
        <v>99</v>
      </c>
      <c r="CG1795" s="16">
        <f t="shared" si="493"/>
        <v>0</v>
      </c>
      <c r="CH1795" s="16">
        <f t="shared" ref="CH1795:CH1858" si="498">IF(CB1795="",0,1)</f>
        <v>0</v>
      </c>
      <c r="CJ1795" s="16" t="e">
        <f t="shared" si="494"/>
        <v>#N/A</v>
      </c>
      <c r="CK1795" s="16" t="str">
        <f t="shared" si="495"/>
        <v/>
      </c>
    </row>
    <row r="1796" spans="73:89" ht="12" customHeight="1">
      <c r="BU1796" s="16">
        <f t="shared" si="496"/>
        <v>0</v>
      </c>
      <c r="BV1796" s="16">
        <f>IF($BY$12=1,NORMDIST(BY1796,$Y$6,$Y$8,TRUE),IF($BY$12=2,IF(BY1796&lt;=$BX$31,0,IF(BY1796&gt;=$BX$32,1,(BY1796-$BX$31)*$BX$33)),SUM($BU$42:BU1796)/$BV$40))</f>
        <v>0.99999999981947596</v>
      </c>
      <c r="BW1796" s="16">
        <f t="shared" si="488"/>
        <v>1.0167680488232801E-8</v>
      </c>
      <c r="BY1796" s="16">
        <f t="shared" si="489"/>
        <v>175.39999999999432</v>
      </c>
      <c r="BZ1796" s="16">
        <f t="shared" si="490"/>
        <v>5.7968531859938024E-11</v>
      </c>
      <c r="CA1796" s="16">
        <f t="shared" si="497"/>
        <v>-999</v>
      </c>
      <c r="CE1796" s="16" t="e">
        <f t="shared" si="491"/>
        <v>#N/A</v>
      </c>
      <c r="CF1796" s="16">
        <f t="shared" si="492"/>
        <v>99</v>
      </c>
      <c r="CG1796" s="16">
        <f t="shared" si="493"/>
        <v>0</v>
      </c>
      <c r="CH1796" s="16">
        <f t="shared" si="498"/>
        <v>0</v>
      </c>
      <c r="CJ1796" s="16" t="e">
        <f t="shared" si="494"/>
        <v>#N/A</v>
      </c>
      <c r="CK1796" s="16" t="str">
        <f t="shared" si="495"/>
        <v/>
      </c>
    </row>
    <row r="1797" spans="73:89" ht="12" customHeight="1">
      <c r="BU1797" s="16">
        <f t="shared" si="496"/>
        <v>0</v>
      </c>
      <c r="BV1797" s="16">
        <f>IF($BY$12=1,NORMDIST(BY1797,$Y$6,$Y$8,TRUE),IF($BY$12=2,IF(BY1797&lt;=$BX$31,0,IF(BY1797&gt;=$BX$32,1,(BY1797-$BX$31)*$BX$33)),SUM($BU$42:BU1797)/$BV$40))</f>
        <v>0.99999999982518284</v>
      </c>
      <c r="BW1797" s="16">
        <f t="shared" si="488"/>
        <v>9.8593631087518115E-9</v>
      </c>
      <c r="BY1797" s="16">
        <f t="shared" si="489"/>
        <v>175.49999999999432</v>
      </c>
      <c r="BZ1797" s="16">
        <f t="shared" si="490"/>
        <v>5.6178707172376811E-11</v>
      </c>
      <c r="CA1797" s="16">
        <f t="shared" si="497"/>
        <v>-999</v>
      </c>
      <c r="CE1797" s="16" t="e">
        <f t="shared" si="491"/>
        <v>#N/A</v>
      </c>
      <c r="CF1797" s="16">
        <f t="shared" si="492"/>
        <v>99</v>
      </c>
      <c r="CG1797" s="16">
        <f t="shared" si="493"/>
        <v>0</v>
      </c>
      <c r="CH1797" s="16">
        <f t="shared" si="498"/>
        <v>0</v>
      </c>
      <c r="CJ1797" s="16" t="e">
        <f t="shared" si="494"/>
        <v>#N/A</v>
      </c>
      <c r="CK1797" s="16" t="str">
        <f t="shared" si="495"/>
        <v/>
      </c>
    </row>
    <row r="1798" spans="73:89" ht="12" customHeight="1">
      <c r="BU1798" s="16">
        <f t="shared" si="496"/>
        <v>0</v>
      </c>
      <c r="BV1798" s="16">
        <f>IF($BY$12=1,NORMDIST(BY1798,$Y$6,$Y$8,TRUE),IF($BY$12=2,IF(BY1798&lt;=$BX$31,0,IF(BY1798&gt;=$BX$32,1,(BY1798-$BX$31)*$BX$33)),SUM($BU$42:BU1798)/$BV$40))</f>
        <v>0.99999999983071353</v>
      </c>
      <c r="BW1798" s="16">
        <f t="shared" si="488"/>
        <v>9.5601528113893952E-9</v>
      </c>
      <c r="BY1798" s="16">
        <f t="shared" si="489"/>
        <v>175.59999999999431</v>
      </c>
      <c r="BZ1798" s="16">
        <f t="shared" si="490"/>
        <v>5.4442783663950483E-11</v>
      </c>
      <c r="CA1798" s="16">
        <f t="shared" si="497"/>
        <v>-999</v>
      </c>
      <c r="CE1798" s="16" t="e">
        <f t="shared" si="491"/>
        <v>#N/A</v>
      </c>
      <c r="CF1798" s="16">
        <f t="shared" si="492"/>
        <v>99</v>
      </c>
      <c r="CG1798" s="16">
        <f t="shared" si="493"/>
        <v>0</v>
      </c>
      <c r="CH1798" s="16">
        <f t="shared" si="498"/>
        <v>0</v>
      </c>
      <c r="CJ1798" s="16" t="e">
        <f t="shared" si="494"/>
        <v>#N/A</v>
      </c>
      <c r="CK1798" s="16" t="str">
        <f t="shared" si="495"/>
        <v/>
      </c>
    </row>
    <row r="1799" spans="73:89" ht="12" customHeight="1">
      <c r="BU1799" s="16">
        <f t="shared" si="496"/>
        <v>0</v>
      </c>
      <c r="BV1799" s="16">
        <f>IF($BY$12=1,NORMDIST(BY1799,$Y$6,$Y$8,TRUE),IF($BY$12=2,IF(BY1799&lt;=$BX$31,0,IF(BY1799&gt;=$BX$32,1,(BY1799-$BX$31)*$BX$33)),SUM($BU$42:BU1799)/$BV$40))</f>
        <v>0.99999999983607313</v>
      </c>
      <c r="BW1799" s="16">
        <f t="shared" si="488"/>
        <v>9.2697881440313169E-9</v>
      </c>
      <c r="BY1799" s="16">
        <f t="shared" si="489"/>
        <v>175.6999999999943</v>
      </c>
      <c r="BZ1799" s="16">
        <f t="shared" si="490"/>
        <v>5.2759181240931236E-11</v>
      </c>
      <c r="CA1799" s="16">
        <f t="shared" si="497"/>
        <v>-999</v>
      </c>
      <c r="CE1799" s="16" t="e">
        <f t="shared" si="491"/>
        <v>#N/A</v>
      </c>
      <c r="CF1799" s="16">
        <f t="shared" si="492"/>
        <v>99</v>
      </c>
      <c r="CG1799" s="16">
        <f t="shared" si="493"/>
        <v>0</v>
      </c>
      <c r="CH1799" s="16">
        <f t="shared" si="498"/>
        <v>0</v>
      </c>
      <c r="CJ1799" s="16" t="e">
        <f t="shared" si="494"/>
        <v>#N/A</v>
      </c>
      <c r="CK1799" s="16" t="str">
        <f t="shared" si="495"/>
        <v/>
      </c>
    </row>
    <row r="1800" spans="73:89" ht="12" customHeight="1">
      <c r="BU1800" s="16">
        <f t="shared" si="496"/>
        <v>0</v>
      </c>
      <c r="BV1800" s="16">
        <f>IF($BY$12=1,NORMDIST(BY1800,$Y$6,$Y$8,TRUE),IF($BY$12=2,IF(BY1800&lt;=$BX$31,0,IF(BY1800&gt;=$BX$32,1,(BY1800-$BX$31)*$BX$33)),SUM($BU$42:BU1800)/$BV$40))</f>
        <v>0.99999999984126697</v>
      </c>
      <c r="BW1800" s="16">
        <f t="shared" si="488"/>
        <v>8.9880149301365031E-9</v>
      </c>
      <c r="BY1800" s="16">
        <f t="shared" si="489"/>
        <v>175.7999999999943</v>
      </c>
      <c r="BZ1800" s="16">
        <f t="shared" si="490"/>
        <v>5.1126364790311683E-11</v>
      </c>
      <c r="CA1800" s="16">
        <f t="shared" si="497"/>
        <v>-999</v>
      </c>
      <c r="CE1800" s="16" t="e">
        <f t="shared" si="491"/>
        <v>#N/A</v>
      </c>
      <c r="CF1800" s="16">
        <f t="shared" si="492"/>
        <v>99</v>
      </c>
      <c r="CG1800" s="16">
        <f t="shared" si="493"/>
        <v>0</v>
      </c>
      <c r="CH1800" s="16">
        <f t="shared" si="498"/>
        <v>0</v>
      </c>
      <c r="CJ1800" s="16" t="e">
        <f t="shared" si="494"/>
        <v>#N/A</v>
      </c>
      <c r="CK1800" s="16" t="str">
        <f t="shared" si="495"/>
        <v/>
      </c>
    </row>
    <row r="1801" spans="73:89" ht="12" customHeight="1">
      <c r="BU1801" s="16">
        <f t="shared" si="496"/>
        <v>0</v>
      </c>
      <c r="BV1801" s="16">
        <f>IF($BY$12=1,NORMDIST(BY1801,$Y$6,$Y$8,TRUE),IF($BY$12=2,IF(BY1801&lt;=$BX$31,0,IF(BY1801&gt;=$BX$32,1,(BY1801-$BX$31)*$BX$33)),SUM($BU$42:BU1801)/$BV$40))</f>
        <v>0.99999999984630006</v>
      </c>
      <c r="BW1801" s="16">
        <f t="shared" si="488"/>
        <v>8.7145860731356827E-9</v>
      </c>
      <c r="BY1801" s="16">
        <f t="shared" si="489"/>
        <v>175.89999999999429</v>
      </c>
      <c r="BZ1801" s="16">
        <f t="shared" si="490"/>
        <v>4.9542842939942956E-11</v>
      </c>
      <c r="CA1801" s="16">
        <f t="shared" si="497"/>
        <v>-999</v>
      </c>
      <c r="CE1801" s="16" t="e">
        <f t="shared" si="491"/>
        <v>#N/A</v>
      </c>
      <c r="CF1801" s="16">
        <f t="shared" si="492"/>
        <v>99</v>
      </c>
      <c r="CG1801" s="16">
        <f t="shared" si="493"/>
        <v>0</v>
      </c>
      <c r="CH1801" s="16">
        <f t="shared" si="498"/>
        <v>0</v>
      </c>
      <c r="CJ1801" s="16" t="e">
        <f t="shared" si="494"/>
        <v>#N/A</v>
      </c>
      <c r="CK1801" s="16" t="str">
        <f t="shared" si="495"/>
        <v/>
      </c>
    </row>
    <row r="1802" spans="73:89" ht="12" customHeight="1">
      <c r="BU1802" s="16">
        <f t="shared" si="496"/>
        <v>0</v>
      </c>
      <c r="BV1802" s="16">
        <f>IF($BY$12=1,NORMDIST(BY1802,$Y$6,$Y$8,TRUE),IF($BY$12=2,IF(BY1802&lt;=$BX$31,0,IF(BY1802&gt;=$BX$32,1,(BY1802-$BX$31)*$BX$33)),SUM($BU$42:BU1802)/$BV$40))</f>
        <v>0.99999999985117716</v>
      </c>
      <c r="BW1802" s="16">
        <f t="shared" si="488"/>
        <v>8.4492613658897688E-9</v>
      </c>
      <c r="BY1802" s="16">
        <f t="shared" si="489"/>
        <v>175.99999999999429</v>
      </c>
      <c r="BZ1802" s="16">
        <f t="shared" si="490"/>
        <v>4.8007166851647972E-11</v>
      </c>
      <c r="CA1802" s="16">
        <f t="shared" si="497"/>
        <v>-999</v>
      </c>
      <c r="CE1802" s="16" t="e">
        <f t="shared" si="491"/>
        <v>#N/A</v>
      </c>
      <c r="CF1802" s="16">
        <f t="shared" si="492"/>
        <v>99</v>
      </c>
      <c r="CG1802" s="16">
        <f t="shared" si="493"/>
        <v>0</v>
      </c>
      <c r="CH1802" s="16">
        <f t="shared" si="498"/>
        <v>0</v>
      </c>
      <c r="CJ1802" s="16" t="e">
        <f t="shared" si="494"/>
        <v>#N/A</v>
      </c>
      <c r="CK1802" s="16" t="str">
        <f t="shared" si="495"/>
        <v/>
      </c>
    </row>
    <row r="1803" spans="73:89" ht="12" customHeight="1">
      <c r="BU1803" s="16">
        <f t="shared" si="496"/>
        <v>0</v>
      </c>
      <c r="BV1803" s="16">
        <f>IF($BY$12=1,NORMDIST(BY1803,$Y$6,$Y$8,TRUE),IF($BY$12=2,IF(BY1803&lt;=$BX$31,0,IF(BY1803&gt;=$BX$32,1,(BY1803-$BX$31)*$BX$33)),SUM($BU$42:BU1803)/$BV$40))</f>
        <v>0.99999999985590304</v>
      </c>
      <c r="BW1803" s="16">
        <f t="shared" si="488"/>
        <v>8.1918073050822949E-9</v>
      </c>
      <c r="BY1803" s="16">
        <f t="shared" si="489"/>
        <v>176.09999999999428</v>
      </c>
      <c r="BZ1803" s="16">
        <f t="shared" si="490"/>
        <v>4.6517929046465421E-11</v>
      </c>
      <c r="CA1803" s="16">
        <f t="shared" si="497"/>
        <v>-999</v>
      </c>
      <c r="CE1803" s="16" t="e">
        <f t="shared" si="491"/>
        <v>#N/A</v>
      </c>
      <c r="CF1803" s="16">
        <f t="shared" si="492"/>
        <v>99</v>
      </c>
      <c r="CG1803" s="16">
        <f t="shared" si="493"/>
        <v>0</v>
      </c>
      <c r="CH1803" s="16">
        <f t="shared" si="498"/>
        <v>0</v>
      </c>
      <c r="CJ1803" s="16" t="e">
        <f t="shared" si="494"/>
        <v>#N/A</v>
      </c>
      <c r="CK1803" s="16" t="str">
        <f t="shared" si="495"/>
        <v/>
      </c>
    </row>
    <row r="1804" spans="73:89" ht="12" customHeight="1">
      <c r="BU1804" s="16">
        <f t="shared" si="496"/>
        <v>0</v>
      </c>
      <c r="BV1804" s="16">
        <f>IF($BY$12=1,NORMDIST(BY1804,$Y$6,$Y$8,TRUE),IF($BY$12=2,IF(BY1804&lt;=$BX$31,0,IF(BY1804&gt;=$BX$32,1,(BY1804-$BX$31)*$BX$33)),SUM($BU$42:BU1804)/$BV$40))</f>
        <v>0.99999999986048227</v>
      </c>
      <c r="BW1804" s="16">
        <f t="shared" si="488"/>
        <v>7.9419969104239315E-9</v>
      </c>
      <c r="BY1804" s="16">
        <f t="shared" si="489"/>
        <v>176.19999999999428</v>
      </c>
      <c r="BZ1804" s="16">
        <f t="shared" si="490"/>
        <v>4.507376226120425E-11</v>
      </c>
      <c r="CA1804" s="16">
        <f t="shared" si="497"/>
        <v>-999</v>
      </c>
      <c r="CE1804" s="16" t="e">
        <f t="shared" si="491"/>
        <v>#N/A</v>
      </c>
      <c r="CF1804" s="16">
        <f t="shared" si="492"/>
        <v>99</v>
      </c>
      <c r="CG1804" s="16">
        <f t="shared" si="493"/>
        <v>0</v>
      </c>
      <c r="CH1804" s="16">
        <f t="shared" si="498"/>
        <v>0</v>
      </c>
      <c r="CJ1804" s="16" t="e">
        <f t="shared" si="494"/>
        <v>#N/A</v>
      </c>
      <c r="CK1804" s="16" t="str">
        <f t="shared" si="495"/>
        <v/>
      </c>
    </row>
    <row r="1805" spans="73:89" ht="12" customHeight="1">
      <c r="BU1805" s="16">
        <f t="shared" si="496"/>
        <v>0</v>
      </c>
      <c r="BV1805" s="16">
        <f>IF($BY$12=1,NORMDIST(BY1805,$Y$6,$Y$8,TRUE),IF($BY$12=2,IF(BY1805&lt;=$BX$31,0,IF(BY1805&gt;=$BX$32,1,(BY1805-$BX$31)*$BX$33)),SUM($BU$42:BU1805)/$BV$40))</f>
        <v>0.99999999986491928</v>
      </c>
      <c r="BW1805" s="16">
        <f t="shared" si="488"/>
        <v>7.699609548549408E-9</v>
      </c>
      <c r="BY1805" s="16">
        <f t="shared" si="489"/>
        <v>176.29999999999427</v>
      </c>
      <c r="BZ1805" s="16">
        <f t="shared" si="490"/>
        <v>4.367333833550572E-11</v>
      </c>
      <c r="CA1805" s="16">
        <f t="shared" si="497"/>
        <v>-999</v>
      </c>
      <c r="CE1805" s="16" t="e">
        <f t="shared" si="491"/>
        <v>#N/A</v>
      </c>
      <c r="CF1805" s="16">
        <f t="shared" si="492"/>
        <v>99</v>
      </c>
      <c r="CG1805" s="16">
        <f t="shared" si="493"/>
        <v>0</v>
      </c>
      <c r="CH1805" s="16">
        <f t="shared" si="498"/>
        <v>0</v>
      </c>
      <c r="CJ1805" s="16" t="e">
        <f t="shared" si="494"/>
        <v>#N/A</v>
      </c>
      <c r="CK1805" s="16" t="str">
        <f t="shared" si="495"/>
        <v/>
      </c>
    </row>
    <row r="1806" spans="73:89" ht="12" customHeight="1">
      <c r="BU1806" s="16">
        <f t="shared" si="496"/>
        <v>0</v>
      </c>
      <c r="BV1806" s="16">
        <f>IF($BY$12=1,NORMDIST(BY1806,$Y$6,$Y$8,TRUE),IF($BY$12=2,IF(BY1806&lt;=$BX$31,0,IF(BY1806&gt;=$BX$32,1,(BY1806-$BX$31)*$BX$33)),SUM($BU$42:BU1806)/$BV$40))</f>
        <v>0.99999999986921839</v>
      </c>
      <c r="BW1806" s="16">
        <f t="shared" si="488"/>
        <v>7.4644307614905469E-9</v>
      </c>
      <c r="BY1806" s="16">
        <f t="shared" si="489"/>
        <v>176.39999999999426</v>
      </c>
      <c r="BZ1806" s="16">
        <f t="shared" si="490"/>
        <v>4.2315367128632592E-11</v>
      </c>
      <c r="CA1806" s="16">
        <f t="shared" si="497"/>
        <v>-999</v>
      </c>
      <c r="CE1806" s="16" t="e">
        <f t="shared" si="491"/>
        <v>#N/A</v>
      </c>
      <c r="CF1806" s="16">
        <f t="shared" si="492"/>
        <v>99</v>
      </c>
      <c r="CG1806" s="16">
        <f t="shared" si="493"/>
        <v>0</v>
      </c>
      <c r="CH1806" s="16">
        <f t="shared" si="498"/>
        <v>0</v>
      </c>
      <c r="CJ1806" s="16" t="e">
        <f t="shared" si="494"/>
        <v>#N/A</v>
      </c>
      <c r="CK1806" s="16" t="str">
        <f t="shared" si="495"/>
        <v/>
      </c>
    </row>
    <row r="1807" spans="73:89" ht="12" customHeight="1">
      <c r="BU1807" s="16">
        <f t="shared" si="496"/>
        <v>0</v>
      </c>
      <c r="BV1807" s="16">
        <f>IF($BY$12=1,NORMDIST(BY1807,$Y$6,$Y$8,TRUE),IF($BY$12=2,IF(BY1807&lt;=$BX$31,0,IF(BY1807&gt;=$BX$32,1,(BY1807-$BX$31)*$BX$33)),SUM($BU$42:BU1807)/$BV$40))</f>
        <v>0.99999999987338373</v>
      </c>
      <c r="BW1807" s="16">
        <f t="shared" si="488"/>
        <v>7.2362520996113173E-9</v>
      </c>
      <c r="BY1807" s="16">
        <f t="shared" si="489"/>
        <v>176.49999999999426</v>
      </c>
      <c r="BZ1807" s="16">
        <f t="shared" si="490"/>
        <v>4.0998595465221263E-11</v>
      </c>
      <c r="CA1807" s="16">
        <f t="shared" si="497"/>
        <v>-999</v>
      </c>
      <c r="CE1807" s="16" t="e">
        <f t="shared" si="491"/>
        <v>#N/A</v>
      </c>
      <c r="CF1807" s="16">
        <f t="shared" si="492"/>
        <v>99</v>
      </c>
      <c r="CG1807" s="16">
        <f t="shared" si="493"/>
        <v>0</v>
      </c>
      <c r="CH1807" s="16">
        <f t="shared" si="498"/>
        <v>0</v>
      </c>
      <c r="CJ1807" s="16" t="e">
        <f t="shared" si="494"/>
        <v>#N/A</v>
      </c>
      <c r="CK1807" s="16" t="str">
        <f t="shared" si="495"/>
        <v/>
      </c>
    </row>
    <row r="1808" spans="73:89" ht="12" customHeight="1">
      <c r="BU1808" s="16">
        <f t="shared" si="496"/>
        <v>0</v>
      </c>
      <c r="BV1808" s="16">
        <f>IF($BY$12=1,NORMDIST(BY1808,$Y$6,$Y$8,TRUE),IF($BY$12=2,IF(BY1808&lt;=$BX$31,0,IF(BY1808&gt;=$BX$32,1,(BY1808-$BX$31)*$BX$33)),SUM($BU$42:BU1808)/$BV$40))</f>
        <v>0.99999999987741939</v>
      </c>
      <c r="BW1808" s="16">
        <f t="shared" si="488"/>
        <v>7.0148709588937323E-9</v>
      </c>
      <c r="BY1808" s="16">
        <f t="shared" si="489"/>
        <v>176.59999999999425</v>
      </c>
      <c r="BZ1808" s="16">
        <f t="shared" si="490"/>
        <v>3.9721806109252324E-11</v>
      </c>
      <c r="CA1808" s="16">
        <f t="shared" si="497"/>
        <v>-999</v>
      </c>
      <c r="CE1808" s="16" t="e">
        <f t="shared" si="491"/>
        <v>#N/A</v>
      </c>
      <c r="CF1808" s="16">
        <f t="shared" si="492"/>
        <v>99</v>
      </c>
      <c r="CG1808" s="16">
        <f t="shared" si="493"/>
        <v>0</v>
      </c>
      <c r="CH1808" s="16">
        <f t="shared" si="498"/>
        <v>0</v>
      </c>
      <c r="CJ1808" s="16" t="e">
        <f t="shared" si="494"/>
        <v>#N/A</v>
      </c>
      <c r="CK1808" s="16" t="str">
        <f t="shared" si="495"/>
        <v/>
      </c>
    </row>
    <row r="1809" spans="73:89" ht="12" customHeight="1">
      <c r="BU1809" s="16">
        <f t="shared" si="496"/>
        <v>0</v>
      </c>
      <c r="BV1809" s="16">
        <f>IF($BY$12=1,NORMDIST(BY1809,$Y$6,$Y$8,TRUE),IF($BY$12=2,IF(BY1809&lt;=$BX$31,0,IF(BY1809&gt;=$BX$32,1,(BY1809-$BX$31)*$BX$33)),SUM($BU$42:BU1809)/$BV$40))</f>
        <v>0.99999999988132937</v>
      </c>
      <c r="BW1809" s="16">
        <f t="shared" si="488"/>
        <v>6.8000904224664574E-9</v>
      </c>
      <c r="BY1809" s="16">
        <f t="shared" si="489"/>
        <v>176.69999999999425</v>
      </c>
      <c r="BZ1809" s="16">
        <f t="shared" si="490"/>
        <v>3.8483816765516009E-11</v>
      </c>
      <c r="CA1809" s="16">
        <f t="shared" si="497"/>
        <v>-999</v>
      </c>
      <c r="CE1809" s="16" t="e">
        <f t="shared" si="491"/>
        <v>#N/A</v>
      </c>
      <c r="CF1809" s="16">
        <f t="shared" si="492"/>
        <v>99</v>
      </c>
      <c r="CG1809" s="16">
        <f t="shared" si="493"/>
        <v>0</v>
      </c>
      <c r="CH1809" s="16">
        <f t="shared" si="498"/>
        <v>0</v>
      </c>
      <c r="CJ1809" s="16" t="e">
        <f t="shared" si="494"/>
        <v>#N/A</v>
      </c>
      <c r="CK1809" s="16" t="str">
        <f t="shared" si="495"/>
        <v/>
      </c>
    </row>
    <row r="1810" spans="73:89" ht="12" customHeight="1">
      <c r="BU1810" s="16">
        <f t="shared" si="496"/>
        <v>0</v>
      </c>
      <c r="BV1810" s="16">
        <f>IF($BY$12=1,NORMDIST(BY1810,$Y$6,$Y$8,TRUE),IF($BY$12=2,IF(BY1810&lt;=$BX$31,0,IF(BY1810&gt;=$BX$32,1,(BY1810-$BX$31)*$BX$33)),SUM($BU$42:BU1810)/$BV$40))</f>
        <v>0.99999999988511745</v>
      </c>
      <c r="BW1810" s="16">
        <f t="shared" si="488"/>
        <v>6.5917191062695395E-9</v>
      </c>
      <c r="BY1810" s="16">
        <f t="shared" si="489"/>
        <v>176.79999999999424</v>
      </c>
      <c r="BZ1810" s="16">
        <f t="shared" si="490"/>
        <v>3.7283479107860602E-11</v>
      </c>
      <c r="CA1810" s="16">
        <f t="shared" si="497"/>
        <v>-999</v>
      </c>
      <c r="CE1810" s="16" t="e">
        <f t="shared" si="491"/>
        <v>#N/A</v>
      </c>
      <c r="CF1810" s="16">
        <f t="shared" si="492"/>
        <v>99</v>
      </c>
      <c r="CG1810" s="16">
        <f t="shared" si="493"/>
        <v>0</v>
      </c>
      <c r="CH1810" s="16">
        <f t="shared" si="498"/>
        <v>0</v>
      </c>
      <c r="CJ1810" s="16" t="e">
        <f t="shared" si="494"/>
        <v>#N/A</v>
      </c>
      <c r="CK1810" s="16" t="str">
        <f t="shared" si="495"/>
        <v/>
      </c>
    </row>
    <row r="1811" spans="73:89" ht="12" customHeight="1">
      <c r="BU1811" s="16">
        <f t="shared" si="496"/>
        <v>0</v>
      </c>
      <c r="BV1811" s="16">
        <f>IF($BY$12=1,NORMDIST(BY1811,$Y$6,$Y$8,TRUE),IF($BY$12=2,IF(BY1811&lt;=$BX$31,0,IF(BY1811&gt;=$BX$32,1,(BY1811-$BX$31)*$BX$33)),SUM($BU$42:BU1811)/$BV$40))</f>
        <v>0.99999999988878729</v>
      </c>
      <c r="BW1811" s="16">
        <f t="shared" ref="BW1811:BW1874" si="499">BY1811*BZ1811</f>
        <v>6.3895710087524793E-9</v>
      </c>
      <c r="BY1811" s="16">
        <f t="shared" ref="BY1811:BY1874" si="500">BY1810+$BZ$1</f>
        <v>176.89999999999424</v>
      </c>
      <c r="BZ1811" s="16">
        <f t="shared" si="490"/>
        <v>3.6119677833536954E-11</v>
      </c>
      <c r="CA1811" s="16">
        <f t="shared" si="497"/>
        <v>-999</v>
      </c>
      <c r="CE1811" s="16" t="e">
        <f t="shared" si="491"/>
        <v>#N/A</v>
      </c>
      <c r="CF1811" s="16">
        <f t="shared" si="492"/>
        <v>99</v>
      </c>
      <c r="CG1811" s="16">
        <f t="shared" si="493"/>
        <v>0</v>
      </c>
      <c r="CH1811" s="16">
        <f t="shared" si="498"/>
        <v>0</v>
      </c>
      <c r="CJ1811" s="16" t="e">
        <f t="shared" si="494"/>
        <v>#N/A</v>
      </c>
      <c r="CK1811" s="16" t="str">
        <f t="shared" si="495"/>
        <v/>
      </c>
    </row>
    <row r="1812" spans="73:89" ht="12" customHeight="1">
      <c r="BU1812" s="16">
        <f t="shared" si="496"/>
        <v>0</v>
      </c>
      <c r="BV1812" s="16">
        <f>IF($BY$12=1,NORMDIST(BY1812,$Y$6,$Y$8,TRUE),IF($BY$12=2,IF(BY1812&lt;=$BX$31,0,IF(BY1812&gt;=$BX$32,1,(BY1812-$BX$31)*$BX$33)),SUM($BU$42:BU1812)/$BV$40))</f>
        <v>0.99999999989234256</v>
      </c>
      <c r="BW1812" s="16">
        <f t="shared" si="499"/>
        <v>6.1934653645042777E-9</v>
      </c>
      <c r="BY1812" s="16">
        <f t="shared" si="500"/>
        <v>176.99999999999423</v>
      </c>
      <c r="BZ1812" s="16">
        <f t="shared" si="490"/>
        <v>3.4991329742963162E-11</v>
      </c>
      <c r="CA1812" s="16">
        <f t="shared" si="497"/>
        <v>-999</v>
      </c>
      <c r="CE1812" s="16" t="e">
        <f t="shared" si="491"/>
        <v>#N/A</v>
      </c>
      <c r="CF1812" s="16">
        <f t="shared" si="492"/>
        <v>99</v>
      </c>
      <c r="CG1812" s="16">
        <f t="shared" si="493"/>
        <v>0</v>
      </c>
      <c r="CH1812" s="16">
        <f t="shared" si="498"/>
        <v>0</v>
      </c>
      <c r="CJ1812" s="16" t="e">
        <f t="shared" si="494"/>
        <v>#N/A</v>
      </c>
      <c r="CK1812" s="16" t="str">
        <f t="shared" si="495"/>
        <v/>
      </c>
    </row>
    <row r="1813" spans="73:89" ht="12" customHeight="1">
      <c r="BU1813" s="16">
        <f t="shared" si="496"/>
        <v>0</v>
      </c>
      <c r="BV1813" s="16">
        <f>IF($BY$12=1,NORMDIST(BY1813,$Y$6,$Y$8,TRUE),IF($BY$12=2,IF(BY1813&lt;=$BX$31,0,IF(BY1813&gt;=$BX$32,1,(BY1813-$BX$31)*$BX$33)),SUM($BU$42:BU1813)/$BV$40))</f>
        <v>0.9999999998957867</v>
      </c>
      <c r="BW1813" s="16">
        <f t="shared" si="499"/>
        <v>6.0032265017169228E-9</v>
      </c>
      <c r="BY1813" s="16">
        <f t="shared" si="500"/>
        <v>177.09999999999422</v>
      </c>
      <c r="BZ1813" s="16">
        <f t="shared" si="490"/>
        <v>3.3897382844252504E-11</v>
      </c>
      <c r="CA1813" s="16">
        <f t="shared" si="497"/>
        <v>-999</v>
      </c>
      <c r="CE1813" s="16" t="e">
        <f t="shared" si="491"/>
        <v>#N/A</v>
      </c>
      <c r="CF1813" s="16">
        <f t="shared" si="492"/>
        <v>99</v>
      </c>
      <c r="CG1813" s="16">
        <f t="shared" si="493"/>
        <v>0</v>
      </c>
      <c r="CH1813" s="16">
        <f t="shared" si="498"/>
        <v>0</v>
      </c>
      <c r="CJ1813" s="16" t="e">
        <f t="shared" si="494"/>
        <v>#N/A</v>
      </c>
      <c r="CK1813" s="16" t="str">
        <f t="shared" si="495"/>
        <v/>
      </c>
    </row>
    <row r="1814" spans="73:89" ht="12" customHeight="1">
      <c r="BU1814" s="16">
        <f t="shared" si="496"/>
        <v>0</v>
      </c>
      <c r="BV1814" s="16">
        <f>IF($BY$12=1,NORMDIST(BY1814,$Y$6,$Y$8,TRUE),IF($BY$12=2,IF(BY1814&lt;=$BX$31,0,IF(BY1814&gt;=$BX$32,1,(BY1814-$BX$31)*$BX$33)),SUM($BU$42:BU1814)/$BV$40))</f>
        <v>0.99999999989912314</v>
      </c>
      <c r="BW1814" s="16">
        <f t="shared" si="499"/>
        <v>5.8186837033864344E-9</v>
      </c>
      <c r="BY1814" s="16">
        <f t="shared" si="500"/>
        <v>177.19999999999422</v>
      </c>
      <c r="BZ1814" s="16">
        <f t="shared" si="490"/>
        <v>3.2836815481865823E-11</v>
      </c>
      <c r="CA1814" s="16">
        <f t="shared" si="497"/>
        <v>-999</v>
      </c>
      <c r="CE1814" s="16" t="e">
        <f t="shared" si="491"/>
        <v>#N/A</v>
      </c>
      <c r="CF1814" s="16">
        <f t="shared" si="492"/>
        <v>99</v>
      </c>
      <c r="CG1814" s="16">
        <f t="shared" si="493"/>
        <v>0</v>
      </c>
      <c r="CH1814" s="16">
        <f t="shared" si="498"/>
        <v>0</v>
      </c>
      <c r="CJ1814" s="16" t="e">
        <f t="shared" si="494"/>
        <v>#N/A</v>
      </c>
      <c r="CK1814" s="16" t="str">
        <f t="shared" si="495"/>
        <v/>
      </c>
    </row>
    <row r="1815" spans="73:89" ht="12" customHeight="1">
      <c r="BU1815" s="16">
        <f t="shared" si="496"/>
        <v>0</v>
      </c>
      <c r="BV1815" s="16">
        <f>IF($BY$12=1,NORMDIST(BY1815,$Y$6,$Y$8,TRUE),IF($BY$12=2,IF(BY1815&lt;=$BX$31,0,IF(BY1815&gt;=$BX$32,1,(BY1815-$BX$31)*$BX$33)),SUM($BU$42:BU1815)/$BV$40))</f>
        <v>0.99999999990235511</v>
      </c>
      <c r="BW1815" s="16">
        <f t="shared" si="499"/>
        <v>5.6396710721569903E-9</v>
      </c>
      <c r="BY1815" s="16">
        <f t="shared" si="500"/>
        <v>177.29999999999421</v>
      </c>
      <c r="BZ1815" s="16">
        <f t="shared" si="490"/>
        <v>3.1808635488760149E-11</v>
      </c>
      <c r="CA1815" s="16">
        <f t="shared" si="497"/>
        <v>-999</v>
      </c>
      <c r="CE1815" s="16" t="e">
        <f t="shared" si="491"/>
        <v>#N/A</v>
      </c>
      <c r="CF1815" s="16">
        <f t="shared" si="492"/>
        <v>99</v>
      </c>
      <c r="CG1815" s="16">
        <f t="shared" si="493"/>
        <v>0</v>
      </c>
      <c r="CH1815" s="16">
        <f t="shared" si="498"/>
        <v>0</v>
      </c>
      <c r="CJ1815" s="16" t="e">
        <f t="shared" si="494"/>
        <v>#N/A</v>
      </c>
      <c r="CK1815" s="16" t="str">
        <f t="shared" si="495"/>
        <v/>
      </c>
    </row>
    <row r="1816" spans="73:89" ht="12" customHeight="1">
      <c r="BU1816" s="16">
        <f t="shared" si="496"/>
        <v>0</v>
      </c>
      <c r="BV1816" s="16">
        <f>IF($BY$12=1,NORMDIST(BY1816,$Y$6,$Y$8,TRUE),IF($BY$12=2,IF(BY1816&lt;=$BX$31,0,IF(BY1816&gt;=$BX$32,1,(BY1816-$BX$31)*$BX$33)),SUM($BU$42:BU1816)/$BV$40))</f>
        <v>0.99999999990548594</v>
      </c>
      <c r="BW1816" s="16">
        <f t="shared" si="499"/>
        <v>5.46602739871704E-9</v>
      </c>
      <c r="BY1816" s="16">
        <f t="shared" si="500"/>
        <v>177.39999999999421</v>
      </c>
      <c r="BZ1816" s="16">
        <f t="shared" si="490"/>
        <v>3.0811879361427386E-11</v>
      </c>
      <c r="CA1816" s="16">
        <f t="shared" si="497"/>
        <v>-999</v>
      </c>
      <c r="CE1816" s="16" t="e">
        <f t="shared" si="491"/>
        <v>#N/A</v>
      </c>
      <c r="CF1816" s="16">
        <f t="shared" si="492"/>
        <v>99</v>
      </c>
      <c r="CG1816" s="16">
        <f t="shared" si="493"/>
        <v>0</v>
      </c>
      <c r="CH1816" s="16">
        <f t="shared" si="498"/>
        <v>0</v>
      </c>
      <c r="CJ1816" s="16" t="e">
        <f t="shared" si="494"/>
        <v>#N/A</v>
      </c>
      <c r="CK1816" s="16" t="str">
        <f t="shared" si="495"/>
        <v/>
      </c>
    </row>
    <row r="1817" spans="73:89" ht="12" customHeight="1">
      <c r="BU1817" s="16">
        <f t="shared" si="496"/>
        <v>0</v>
      </c>
      <c r="BV1817" s="16">
        <f>IF($BY$12=1,NORMDIST(BY1817,$Y$6,$Y$8,TRUE),IF($BY$12=2,IF(BY1817&lt;=$BX$31,0,IF(BY1817&gt;=$BX$32,1,(BY1817-$BX$31)*$BX$33)),SUM($BU$42:BU1817)/$BV$40))</f>
        <v>0.99999999990851851</v>
      </c>
      <c r="BW1817" s="16">
        <f t="shared" si="499"/>
        <v>5.2975960336575738E-9</v>
      </c>
      <c r="BY1817" s="16">
        <f t="shared" si="500"/>
        <v>177.4999999999942</v>
      </c>
      <c r="BZ1817" s="16">
        <f t="shared" si="490"/>
        <v>2.9845611457226745E-11</v>
      </c>
      <c r="CA1817" s="16">
        <f t="shared" si="497"/>
        <v>-999</v>
      </c>
      <c r="CE1817" s="16" t="e">
        <f t="shared" si="491"/>
        <v>#N/A</v>
      </c>
      <c r="CF1817" s="16">
        <f t="shared" si="492"/>
        <v>99</v>
      </c>
      <c r="CG1817" s="16">
        <f t="shared" si="493"/>
        <v>0</v>
      </c>
      <c r="CH1817" s="16">
        <f t="shared" si="498"/>
        <v>0</v>
      </c>
      <c r="CJ1817" s="16" t="e">
        <f t="shared" si="494"/>
        <v>#N/A</v>
      </c>
      <c r="CK1817" s="16" t="str">
        <f t="shared" si="495"/>
        <v/>
      </c>
    </row>
    <row r="1818" spans="73:89" ht="12" customHeight="1">
      <c r="BU1818" s="16">
        <f t="shared" si="496"/>
        <v>0</v>
      </c>
      <c r="BV1818" s="16">
        <f>IF($BY$12=1,NORMDIST(BY1818,$Y$6,$Y$8,TRUE),IF($BY$12=2,IF(BY1818&lt;=$BX$31,0,IF(BY1818&gt;=$BX$32,1,(BY1818-$BX$31)*$BX$33)),SUM($BU$42:BU1818)/$BV$40))</f>
        <v>0.99999999991145605</v>
      </c>
      <c r="BW1818" s="16">
        <f t="shared" si="499"/>
        <v>5.1342247627052869E-9</v>
      </c>
      <c r="BY1818" s="16">
        <f t="shared" si="500"/>
        <v>177.5999999999942</v>
      </c>
      <c r="BZ1818" s="16">
        <f t="shared" si="490"/>
        <v>2.8908923213431612E-11</v>
      </c>
      <c r="CA1818" s="16">
        <f t="shared" si="497"/>
        <v>-999</v>
      </c>
      <c r="CE1818" s="16" t="e">
        <f t="shared" si="491"/>
        <v>#N/A</v>
      </c>
      <c r="CF1818" s="16">
        <f t="shared" si="492"/>
        <v>99</v>
      </c>
      <c r="CG1818" s="16">
        <f t="shared" si="493"/>
        <v>0</v>
      </c>
      <c r="CH1818" s="16">
        <f t="shared" si="498"/>
        <v>0</v>
      </c>
      <c r="CJ1818" s="16" t="e">
        <f t="shared" si="494"/>
        <v>#N/A</v>
      </c>
      <c r="CK1818" s="16" t="str">
        <f t="shared" si="495"/>
        <v/>
      </c>
    </row>
    <row r="1819" spans="73:89" ht="12" customHeight="1">
      <c r="BU1819" s="16">
        <f t="shared" si="496"/>
        <v>0</v>
      </c>
      <c r="BV1819" s="16">
        <f>IF($BY$12=1,NORMDIST(BY1819,$Y$6,$Y$8,TRUE),IF($BY$12=2,IF(BY1819&lt;=$BX$31,0,IF(BY1819&gt;=$BX$32,1,(BY1819-$BX$31)*$BX$33)),SUM($BU$42:BU1819)/$BV$40))</f>
        <v>0.99999999991430122</v>
      </c>
      <c r="BW1819" s="16">
        <f t="shared" si="499"/>
        <v>4.9757656852455545E-9</v>
      </c>
      <c r="BY1819" s="16">
        <f t="shared" si="500"/>
        <v>177.69999999999419</v>
      </c>
      <c r="BZ1819" s="16">
        <f t="shared" si="490"/>
        <v>2.800093238742666E-11</v>
      </c>
      <c r="CA1819" s="16">
        <f t="shared" si="497"/>
        <v>-999</v>
      </c>
      <c r="CE1819" s="16" t="e">
        <f t="shared" si="491"/>
        <v>#N/A</v>
      </c>
      <c r="CF1819" s="16">
        <f t="shared" si="492"/>
        <v>99</v>
      </c>
      <c r="CG1819" s="16">
        <f t="shared" si="493"/>
        <v>0</v>
      </c>
      <c r="CH1819" s="16">
        <f t="shared" si="498"/>
        <v>0</v>
      </c>
      <c r="CJ1819" s="16" t="e">
        <f t="shared" si="494"/>
        <v>#N/A</v>
      </c>
      <c r="CK1819" s="16" t="str">
        <f t="shared" si="495"/>
        <v/>
      </c>
    </row>
    <row r="1820" spans="73:89" ht="12" customHeight="1">
      <c r="BU1820" s="16">
        <f t="shared" si="496"/>
        <v>0</v>
      </c>
      <c r="BV1820" s="16">
        <f>IF($BY$12=1,NORMDIST(BY1820,$Y$6,$Y$8,TRUE),IF($BY$12=2,IF(BY1820&lt;=$BX$31,0,IF(BY1820&gt;=$BX$32,1,(BY1820-$BX$31)*$BX$33)),SUM($BU$42:BU1820)/$BV$40))</f>
        <v>0.99999999991705713</v>
      </c>
      <c r="BW1820" s="16">
        <f t="shared" si="499"/>
        <v>4.8220750960518802E-9</v>
      </c>
      <c r="BY1820" s="16">
        <f t="shared" si="500"/>
        <v>177.79999999999418</v>
      </c>
      <c r="BZ1820" s="16">
        <f t="shared" si="490"/>
        <v>2.7120782317503027E-11</v>
      </c>
      <c r="CA1820" s="16">
        <f t="shared" si="497"/>
        <v>-999</v>
      </c>
      <c r="CE1820" s="16" t="e">
        <f t="shared" si="491"/>
        <v>#N/A</v>
      </c>
      <c r="CF1820" s="16">
        <f t="shared" si="492"/>
        <v>99</v>
      </c>
      <c r="CG1820" s="16">
        <f t="shared" si="493"/>
        <v>0</v>
      </c>
      <c r="CH1820" s="16">
        <f t="shared" si="498"/>
        <v>0</v>
      </c>
      <c r="CJ1820" s="16" t="e">
        <f t="shared" si="494"/>
        <v>#N/A</v>
      </c>
      <c r="CK1820" s="16" t="str">
        <f t="shared" si="495"/>
        <v/>
      </c>
    </row>
    <row r="1821" spans="73:89" ht="12" customHeight="1">
      <c r="BU1821" s="16">
        <f t="shared" si="496"/>
        <v>0</v>
      </c>
      <c r="BV1821" s="16">
        <f>IF($BY$12=1,NORMDIST(BY1821,$Y$6,$Y$8,TRUE),IF($BY$12=2,IF(BY1821&lt;=$BX$31,0,IF(BY1821&gt;=$BX$32,1,(BY1821-$BX$31)*$BX$33)),SUM($BU$42:BU1821)/$BV$40))</f>
        <v>0.99999999991972632</v>
      </c>
      <c r="BW1821" s="16">
        <f t="shared" si="499"/>
        <v>4.6730133701407197E-9</v>
      </c>
      <c r="BY1821" s="16">
        <f t="shared" si="500"/>
        <v>177.89999999999418</v>
      </c>
      <c r="BZ1821" s="16">
        <f t="shared" si="490"/>
        <v>2.6267641203714854E-11</v>
      </c>
      <c r="CA1821" s="16">
        <f t="shared" si="497"/>
        <v>-999</v>
      </c>
      <c r="CE1821" s="16" t="e">
        <f t="shared" si="491"/>
        <v>#N/A</v>
      </c>
      <c r="CF1821" s="16">
        <f t="shared" si="492"/>
        <v>99</v>
      </c>
      <c r="CG1821" s="16">
        <f t="shared" si="493"/>
        <v>0</v>
      </c>
      <c r="CH1821" s="16">
        <f t="shared" si="498"/>
        <v>0</v>
      </c>
      <c r="CJ1821" s="16" t="e">
        <f t="shared" si="494"/>
        <v>#N/A</v>
      </c>
      <c r="CK1821" s="16" t="str">
        <f t="shared" si="495"/>
        <v/>
      </c>
    </row>
    <row r="1822" spans="73:89" ht="12" customHeight="1">
      <c r="BU1822" s="16">
        <f t="shared" si="496"/>
        <v>0</v>
      </c>
      <c r="BV1822" s="16">
        <f>IF($BY$12=1,NORMDIST(BY1822,$Y$6,$Y$8,TRUE),IF($BY$12=2,IF(BY1822&lt;=$BX$31,0,IF(BY1822&gt;=$BX$32,1,(BY1822-$BX$31)*$BX$33)),SUM($BU$42:BU1822)/$BV$40))</f>
        <v>0.99999999992231148</v>
      </c>
      <c r="BW1822" s="16">
        <f t="shared" si="499"/>
        <v>4.5284448506723982E-9</v>
      </c>
      <c r="BY1822" s="16">
        <f t="shared" si="500"/>
        <v>177.99999999999417</v>
      </c>
      <c r="BZ1822" s="16">
        <f t="shared" si="490"/>
        <v>2.5440701408272733E-11</v>
      </c>
      <c r="CA1822" s="16">
        <f t="shared" si="497"/>
        <v>-999</v>
      </c>
      <c r="CE1822" s="16" t="e">
        <f t="shared" si="491"/>
        <v>#N/A</v>
      </c>
      <c r="CF1822" s="16">
        <f t="shared" si="492"/>
        <v>99</v>
      </c>
      <c r="CG1822" s="16">
        <f t="shared" si="493"/>
        <v>0</v>
      </c>
      <c r="CH1822" s="16">
        <f t="shared" si="498"/>
        <v>0</v>
      </c>
      <c r="CJ1822" s="16" t="e">
        <f t="shared" si="494"/>
        <v>#N/A</v>
      </c>
      <c r="CK1822" s="16" t="str">
        <f t="shared" si="495"/>
        <v/>
      </c>
    </row>
    <row r="1823" spans="73:89" ht="12" customHeight="1">
      <c r="BU1823" s="16">
        <f t="shared" si="496"/>
        <v>0</v>
      </c>
      <c r="BV1823" s="16">
        <f>IF($BY$12=1,NORMDIST(BY1823,$Y$6,$Y$8,TRUE),IF($BY$12=2,IF(BY1823&lt;=$BX$31,0,IF(BY1823&gt;=$BX$32,1,(BY1823-$BX$31)*$BX$33)),SUM($BU$42:BU1823)/$BV$40))</f>
        <v>0.99999999992481536</v>
      </c>
      <c r="BW1823" s="16">
        <f t="shared" si="499"/>
        <v>4.3882377398209617E-9</v>
      </c>
      <c r="BY1823" s="16">
        <f t="shared" si="500"/>
        <v>178.09999999999417</v>
      </c>
      <c r="BZ1823" s="16">
        <f t="shared" si="490"/>
        <v>2.4639178774964095E-11</v>
      </c>
      <c r="CA1823" s="16">
        <f t="shared" si="497"/>
        <v>-999</v>
      </c>
      <c r="CE1823" s="16" t="e">
        <f t="shared" si="491"/>
        <v>#N/A</v>
      </c>
      <c r="CF1823" s="16">
        <f t="shared" si="492"/>
        <v>99</v>
      </c>
      <c r="CG1823" s="16">
        <f t="shared" si="493"/>
        <v>0</v>
      </c>
      <c r="CH1823" s="16">
        <f t="shared" si="498"/>
        <v>0</v>
      </c>
      <c r="CJ1823" s="16" t="e">
        <f t="shared" si="494"/>
        <v>#N/A</v>
      </c>
      <c r="CK1823" s="16" t="str">
        <f t="shared" si="495"/>
        <v/>
      </c>
    </row>
    <row r="1824" spans="73:89" ht="12" customHeight="1">
      <c r="BU1824" s="16">
        <f t="shared" si="496"/>
        <v>0</v>
      </c>
      <c r="BV1824" s="16">
        <f>IF($BY$12=1,NORMDIST(BY1824,$Y$6,$Y$8,TRUE),IF($BY$12=2,IF(BY1824&lt;=$BX$31,0,IF(BY1824&gt;=$BX$32,1,(BY1824-$BX$31)*$BX$33)),SUM($BU$42:BU1824)/$BV$40))</f>
        <v>0.9999999999272402</v>
      </c>
      <c r="BW1824" s="16">
        <f t="shared" si="499"/>
        <v>4.2522639925373796E-9</v>
      </c>
      <c r="BY1824" s="16">
        <f t="shared" si="500"/>
        <v>178.19999999999416</v>
      </c>
      <c r="BZ1824" s="16">
        <f t="shared" si="490"/>
        <v>2.3862311967101679E-11</v>
      </c>
      <c r="CA1824" s="16">
        <f t="shared" si="497"/>
        <v>-999</v>
      </c>
      <c r="CE1824" s="16" t="e">
        <f t="shared" si="491"/>
        <v>#N/A</v>
      </c>
      <c r="CF1824" s="16">
        <f t="shared" si="492"/>
        <v>99</v>
      </c>
      <c r="CG1824" s="16">
        <f t="shared" si="493"/>
        <v>0</v>
      </c>
      <c r="CH1824" s="16">
        <f t="shared" si="498"/>
        <v>0</v>
      </c>
      <c r="CJ1824" s="16" t="e">
        <f t="shared" si="494"/>
        <v>#N/A</v>
      </c>
      <c r="CK1824" s="16" t="str">
        <f t="shared" si="495"/>
        <v/>
      </c>
    </row>
    <row r="1825" spans="73:89" ht="12" customHeight="1">
      <c r="BU1825" s="16">
        <f t="shared" si="496"/>
        <v>0</v>
      </c>
      <c r="BV1825" s="16">
        <f>IF($BY$12=1,NORMDIST(BY1825,$Y$6,$Y$8,TRUE),IF($BY$12=2,IF(BY1825&lt;=$BX$31,0,IF(BY1825&gt;=$BX$32,1,(BY1825-$BX$31)*$BX$33)),SUM($BU$42:BU1825)/$BV$40))</f>
        <v>0.99999999992958855</v>
      </c>
      <c r="BW1825" s="16">
        <f t="shared" si="499"/>
        <v>4.1203992131325739E-9</v>
      </c>
      <c r="BY1825" s="16">
        <f t="shared" si="500"/>
        <v>178.29999999999416</v>
      </c>
      <c r="BZ1825" s="16">
        <f t="shared" si="490"/>
        <v>2.3109361823514914E-11</v>
      </c>
      <c r="CA1825" s="16">
        <f t="shared" si="497"/>
        <v>-999</v>
      </c>
      <c r="CE1825" s="16" t="e">
        <f t="shared" si="491"/>
        <v>#N/A</v>
      </c>
      <c r="CF1825" s="16">
        <f t="shared" si="492"/>
        <v>99</v>
      </c>
      <c r="CG1825" s="16">
        <f t="shared" si="493"/>
        <v>0</v>
      </c>
      <c r="CH1825" s="16">
        <f t="shared" si="498"/>
        <v>0</v>
      </c>
      <c r="CJ1825" s="16" t="e">
        <f t="shared" si="494"/>
        <v>#N/A</v>
      </c>
      <c r="CK1825" s="16" t="str">
        <f t="shared" si="495"/>
        <v/>
      </c>
    </row>
    <row r="1826" spans="73:89" ht="12" customHeight="1">
      <c r="BU1826" s="16">
        <f t="shared" si="496"/>
        <v>0</v>
      </c>
      <c r="BV1826" s="16">
        <f>IF($BY$12=1,NORMDIST(BY1826,$Y$6,$Y$8,TRUE),IF($BY$12=2,IF(BY1826&lt;=$BX$31,0,IF(BY1826&gt;=$BX$32,1,(BY1826-$BX$31)*$BX$33)),SUM($BU$42:BU1826)/$BV$40))</f>
        <v>0.99999999993186284</v>
      </c>
      <c r="BW1826" s="16">
        <f t="shared" si="499"/>
        <v>3.9925225546083702E-9</v>
      </c>
      <c r="BY1826" s="16">
        <f t="shared" si="500"/>
        <v>178.39999999999415</v>
      </c>
      <c r="BZ1826" s="16">
        <f t="shared" si="490"/>
        <v>2.2379610732110433E-11</v>
      </c>
      <c r="CA1826" s="16">
        <f t="shared" si="497"/>
        <v>-999</v>
      </c>
      <c r="CE1826" s="16" t="e">
        <f t="shared" si="491"/>
        <v>#N/A</v>
      </c>
      <c r="CF1826" s="16">
        <f t="shared" si="492"/>
        <v>99</v>
      </c>
      <c r="CG1826" s="16">
        <f t="shared" si="493"/>
        <v>0</v>
      </c>
      <c r="CH1826" s="16">
        <f t="shared" si="498"/>
        <v>0</v>
      </c>
      <c r="CJ1826" s="16" t="e">
        <f t="shared" si="494"/>
        <v>#N/A</v>
      </c>
      <c r="CK1826" s="16" t="str">
        <f t="shared" si="495"/>
        <v/>
      </c>
    </row>
    <row r="1827" spans="73:89" ht="12" customHeight="1">
      <c r="BU1827" s="16">
        <f t="shared" si="496"/>
        <v>0</v>
      </c>
      <c r="BV1827" s="16">
        <f>IF($BY$12=1,NORMDIST(BY1827,$Y$6,$Y$8,TRUE),IF($BY$12=2,IF(BY1827&lt;=$BX$31,0,IF(BY1827&gt;=$BX$32,1,(BY1827-$BX$31)*$BX$33)),SUM($BU$42:BU1827)/$BV$40))</f>
        <v>0.99999999993406519</v>
      </c>
      <c r="BW1827" s="16">
        <f t="shared" si="499"/>
        <v>3.8685166206665281E-9</v>
      </c>
      <c r="BY1827" s="16">
        <f t="shared" si="500"/>
        <v>178.49999999999415</v>
      </c>
      <c r="BZ1827" s="16">
        <f t="shared" si="490"/>
        <v>2.1672362020541484E-11</v>
      </c>
      <c r="CA1827" s="16">
        <f t="shared" si="497"/>
        <v>-999</v>
      </c>
      <c r="CE1827" s="16" t="e">
        <f t="shared" si="491"/>
        <v>#N/A</v>
      </c>
      <c r="CF1827" s="16">
        <f t="shared" si="492"/>
        <v>99</v>
      </c>
      <c r="CG1827" s="16">
        <f t="shared" si="493"/>
        <v>0</v>
      </c>
      <c r="CH1827" s="16">
        <f t="shared" si="498"/>
        <v>0</v>
      </c>
      <c r="CJ1827" s="16" t="e">
        <f t="shared" si="494"/>
        <v>#N/A</v>
      </c>
      <c r="CK1827" s="16" t="str">
        <f t="shared" si="495"/>
        <v/>
      </c>
    </row>
    <row r="1828" spans="73:89" ht="12" customHeight="1">
      <c r="BU1828" s="16">
        <f t="shared" si="496"/>
        <v>0</v>
      </c>
      <c r="BV1828" s="16">
        <f>IF($BY$12=1,NORMDIST(BY1828,$Y$6,$Y$8,TRUE),IF($BY$12=2,IF(BY1828&lt;=$BX$31,0,IF(BY1828&gt;=$BX$32,1,(BY1828-$BX$31)*$BX$33)),SUM($BU$42:BU1828)/$BV$40))</f>
        <v>0.99999999993619804</v>
      </c>
      <c r="BW1828" s="16">
        <f t="shared" si="499"/>
        <v>3.7482673703270411E-9</v>
      </c>
      <c r="BY1828" s="16">
        <f t="shared" si="500"/>
        <v>178.59999999999414</v>
      </c>
      <c r="BZ1828" s="16">
        <f t="shared" si="490"/>
        <v>2.0986939363533953E-11</v>
      </c>
      <c r="CA1828" s="16">
        <f t="shared" si="497"/>
        <v>-999</v>
      </c>
      <c r="CE1828" s="16" t="e">
        <f t="shared" si="491"/>
        <v>#N/A</v>
      </c>
      <c r="CF1828" s="16">
        <f t="shared" si="492"/>
        <v>99</v>
      </c>
      <c r="CG1828" s="16">
        <f t="shared" si="493"/>
        <v>0</v>
      </c>
      <c r="CH1828" s="16">
        <f t="shared" si="498"/>
        <v>0</v>
      </c>
      <c r="CJ1828" s="16" t="e">
        <f t="shared" si="494"/>
        <v>#N/A</v>
      </c>
      <c r="CK1828" s="16" t="str">
        <f t="shared" si="495"/>
        <v/>
      </c>
    </row>
    <row r="1829" spans="73:89" ht="12" customHeight="1">
      <c r="BU1829" s="16">
        <f t="shared" si="496"/>
        <v>0</v>
      </c>
      <c r="BV1829" s="16">
        <f>IF($BY$12=1,NORMDIST(BY1829,$Y$6,$Y$8,TRUE),IF($BY$12=2,IF(BY1829&lt;=$BX$31,0,IF(BY1829&gt;=$BX$32,1,(BY1829-$BX$31)*$BX$33)),SUM($BU$42:BU1829)/$BV$40))</f>
        <v>0.99999999993826338</v>
      </c>
      <c r="BW1829" s="16">
        <f t="shared" si="499"/>
        <v>3.6316640250895831E-9</v>
      </c>
      <c r="BY1829" s="16">
        <f t="shared" si="500"/>
        <v>178.69999999999413</v>
      </c>
      <c r="BZ1829" s="16">
        <f t="shared" si="490"/>
        <v>2.0322686206433701E-11</v>
      </c>
      <c r="CA1829" s="16">
        <f t="shared" si="497"/>
        <v>-999</v>
      </c>
      <c r="CE1829" s="16" t="e">
        <f t="shared" si="491"/>
        <v>#N/A</v>
      </c>
      <c r="CF1829" s="16">
        <f t="shared" si="492"/>
        <v>99</v>
      </c>
      <c r="CG1829" s="16">
        <f t="shared" si="493"/>
        <v>0</v>
      </c>
      <c r="CH1829" s="16">
        <f t="shared" si="498"/>
        <v>0</v>
      </c>
      <c r="CJ1829" s="16" t="e">
        <f t="shared" si="494"/>
        <v>#N/A</v>
      </c>
      <c r="CK1829" s="16" t="str">
        <f t="shared" si="495"/>
        <v/>
      </c>
    </row>
    <row r="1830" spans="73:89" ht="12" customHeight="1">
      <c r="BU1830" s="16">
        <f t="shared" si="496"/>
        <v>0</v>
      </c>
      <c r="BV1830" s="16">
        <f>IF($BY$12=1,NORMDIST(BY1830,$Y$6,$Y$8,TRUE),IF($BY$12=2,IF(BY1830&lt;=$BX$31,0,IF(BY1830&gt;=$BX$32,1,(BY1830-$BX$31)*$BX$33)),SUM($BU$42:BU1830)/$BV$40))</f>
        <v>0.99999999994026323</v>
      </c>
      <c r="BW1830" s="16">
        <f t="shared" si="499"/>
        <v>3.5185989785724089E-9</v>
      </c>
      <c r="BY1830" s="16">
        <f t="shared" si="500"/>
        <v>178.79999999999413</v>
      </c>
      <c r="BZ1830" s="16">
        <f t="shared" si="490"/>
        <v>1.9678965204544321E-11</v>
      </c>
      <c r="CA1830" s="16">
        <f t="shared" si="497"/>
        <v>-999</v>
      </c>
      <c r="CE1830" s="16" t="e">
        <f t="shared" si="491"/>
        <v>#N/A</v>
      </c>
      <c r="CF1830" s="16">
        <f t="shared" si="492"/>
        <v>99</v>
      </c>
      <c r="CG1830" s="16">
        <f t="shared" si="493"/>
        <v>0</v>
      </c>
      <c r="CH1830" s="16">
        <f t="shared" si="498"/>
        <v>0</v>
      </c>
      <c r="CJ1830" s="16" t="e">
        <f t="shared" si="494"/>
        <v>#N/A</v>
      </c>
      <c r="CK1830" s="16" t="str">
        <f t="shared" si="495"/>
        <v/>
      </c>
    </row>
    <row r="1831" spans="73:89" ht="12" customHeight="1">
      <c r="BU1831" s="16">
        <f t="shared" si="496"/>
        <v>0</v>
      </c>
      <c r="BV1831" s="16">
        <f>IF($BY$12=1,NORMDIST(BY1831,$Y$6,$Y$8,TRUE),IF($BY$12=2,IF(BY1831&lt;=$BX$31,0,IF(BY1831&gt;=$BX$32,1,(BY1831-$BX$31)*$BX$33)),SUM($BU$42:BU1831)/$BV$40))</f>
        <v>0.99999999994219979</v>
      </c>
      <c r="BW1831" s="16">
        <f t="shared" si="499"/>
        <v>3.408967708565821E-9</v>
      </c>
      <c r="BY1831" s="16">
        <f t="shared" si="500"/>
        <v>178.89999999999412</v>
      </c>
      <c r="BZ1831" s="16">
        <f t="shared" si="490"/>
        <v>1.9055157677841996E-11</v>
      </c>
      <c r="CA1831" s="16">
        <f t="shared" si="497"/>
        <v>-999</v>
      </c>
      <c r="CE1831" s="16" t="e">
        <f t="shared" si="491"/>
        <v>#N/A</v>
      </c>
      <c r="CF1831" s="16">
        <f t="shared" si="492"/>
        <v>99</v>
      </c>
      <c r="CG1831" s="16">
        <f t="shared" si="493"/>
        <v>0</v>
      </c>
      <c r="CH1831" s="16">
        <f t="shared" si="498"/>
        <v>0</v>
      </c>
      <c r="CJ1831" s="16" t="e">
        <f t="shared" si="494"/>
        <v>#N/A</v>
      </c>
      <c r="CK1831" s="16" t="str">
        <f t="shared" si="495"/>
        <v/>
      </c>
    </row>
    <row r="1832" spans="73:89" ht="12" customHeight="1">
      <c r="BU1832" s="16">
        <f t="shared" si="496"/>
        <v>0</v>
      </c>
      <c r="BV1832" s="16">
        <f>IF($BY$12=1,NORMDIST(BY1832,$Y$6,$Y$8,TRUE),IF($BY$12=2,IF(BY1832&lt;=$BX$31,0,IF(BY1832&gt;=$BX$32,1,(BY1832-$BX$31)*$BX$33)),SUM($BU$42:BU1832)/$BV$40))</f>
        <v>0.99999999994407496</v>
      </c>
      <c r="BW1832" s="16">
        <f t="shared" si="499"/>
        <v>3.3026686914376439E-9</v>
      </c>
      <c r="BY1832" s="16">
        <f t="shared" si="500"/>
        <v>178.99999999999412</v>
      </c>
      <c r="BZ1832" s="16">
        <f t="shared" si="490"/>
        <v>1.8450663080657835E-11</v>
      </c>
      <c r="CA1832" s="16">
        <f t="shared" si="497"/>
        <v>-999</v>
      </c>
      <c r="CE1832" s="16" t="e">
        <f t="shared" si="491"/>
        <v>#N/A</v>
      </c>
      <c r="CF1832" s="16">
        <f t="shared" si="492"/>
        <v>99</v>
      </c>
      <c r="CG1832" s="16">
        <f t="shared" si="493"/>
        <v>0</v>
      </c>
      <c r="CH1832" s="16">
        <f t="shared" si="498"/>
        <v>0</v>
      </c>
      <c r="CJ1832" s="16" t="e">
        <f t="shared" si="494"/>
        <v>#N/A</v>
      </c>
      <c r="CK1832" s="16" t="str">
        <f t="shared" si="495"/>
        <v/>
      </c>
    </row>
    <row r="1833" spans="73:89" ht="12" customHeight="1">
      <c r="BU1833" s="16">
        <f t="shared" si="496"/>
        <v>0</v>
      </c>
      <c r="BV1833" s="16">
        <f>IF($BY$12=1,NORMDIST(BY1833,$Y$6,$Y$8,TRUE),IF($BY$12=2,IF(BY1833&lt;=$BX$31,0,IF(BY1833&gt;=$BX$32,1,(BY1833-$BX$31)*$BX$33)),SUM($BU$42:BU1833)/$BV$40))</f>
        <v>0.99999999994589051</v>
      </c>
      <c r="BW1833" s="16">
        <f t="shared" si="499"/>
        <v>3.1996033188308169E-9</v>
      </c>
      <c r="BY1833" s="16">
        <f t="shared" si="500"/>
        <v>179.09999999999411</v>
      </c>
      <c r="BZ1833" s="16">
        <f t="shared" si="490"/>
        <v>1.7864898485934796E-11</v>
      </c>
      <c r="CA1833" s="16">
        <f t="shared" si="497"/>
        <v>-999</v>
      </c>
      <c r="CE1833" s="16" t="e">
        <f t="shared" si="491"/>
        <v>#N/A</v>
      </c>
      <c r="CF1833" s="16">
        <f t="shared" si="492"/>
        <v>99</v>
      </c>
      <c r="CG1833" s="16">
        <f t="shared" si="493"/>
        <v>0</v>
      </c>
      <c r="CH1833" s="16">
        <f t="shared" si="498"/>
        <v>0</v>
      </c>
      <c r="CJ1833" s="16" t="e">
        <f t="shared" si="494"/>
        <v>#N/A</v>
      </c>
      <c r="CK1833" s="16" t="str">
        <f t="shared" si="495"/>
        <v/>
      </c>
    </row>
    <row r="1834" spans="73:89" ht="12" customHeight="1">
      <c r="BU1834" s="16">
        <f t="shared" si="496"/>
        <v>0</v>
      </c>
      <c r="BV1834" s="16">
        <f>IF($BY$12=1,NORMDIST(BY1834,$Y$6,$Y$8,TRUE),IF($BY$12=2,IF(BY1834&lt;=$BX$31,0,IF(BY1834&gt;=$BX$32,1,(BY1834-$BX$31)*$BX$33)),SUM($BU$42:BU1834)/$BV$40))</f>
        <v>0.99999999994764854</v>
      </c>
      <c r="BW1834" s="16">
        <f t="shared" si="499"/>
        <v>3.0996758165939591E-9</v>
      </c>
      <c r="BY1834" s="16">
        <f t="shared" si="500"/>
        <v>179.19999999999411</v>
      </c>
      <c r="BZ1834" s="16">
        <f t="shared" ref="BZ1834:BZ1897" si="501">IF($BZ$5,IF($BY$12=1,NORMDIST(BY1834,$Y$6,$Y$8,FALSE),IF($BY$12=2,IF(AND(BY1834&gt;=$BX$31,BY1834&lt;=$BX$32),$BX$33,0),IF(BY1834&lt;=$BX$13,0,NORMDIST(LN((BY1834-$BX$13)/$BX$12),0,$BW$8,FALSE)/((BY1834-$BX$13)/$BX$12)))),-999)</f>
        <v>1.7297298083672216E-11</v>
      </c>
      <c r="CA1834" s="16">
        <f t="shared" si="497"/>
        <v>-999</v>
      </c>
      <c r="CE1834" s="16" t="e">
        <f t="shared" ref="CE1834:CE1897" si="502">IF(AND($CB$7,$CD$2,$CD$1),26+$P$23/2-CC1834*$P$23,NA())</f>
        <v>#N/A</v>
      </c>
      <c r="CF1834" s="16">
        <f t="shared" ref="CF1834:CF1897" si="503">IF(ISNA(CJ1834),99,CJ1834)</f>
        <v>99</v>
      </c>
      <c r="CG1834" s="16">
        <f t="shared" ref="CG1834:CG1897" si="504">IF(ISNA(CJ1834),0,CJ1834)</f>
        <v>0</v>
      </c>
      <c r="CH1834" s="16">
        <f t="shared" si="498"/>
        <v>0</v>
      </c>
      <c r="CJ1834" s="16" t="e">
        <f t="shared" ref="CJ1834:CJ1897" si="505">IF(CH1834=1,CE1834,NA())</f>
        <v>#N/A</v>
      </c>
      <c r="CK1834" s="16" t="str">
        <f t="shared" ref="CK1834:CK1897" si="506">IF(CH1834=1,M1733,"")</f>
        <v/>
      </c>
    </row>
    <row r="1835" spans="73:89" ht="12" customHeight="1">
      <c r="BU1835" s="16">
        <f t="shared" ref="BU1835:BU1898" si="507">IF($BY$12&lt;3,0,IF(BY1835&lt;=$BX$13,0,NORMDIST(LN((BY1835-$BX$13)/$BX$12),0,$BW$8,FALSE)/((BY1835-$BX$13)/$BX$12)))</f>
        <v>0</v>
      </c>
      <c r="BV1835" s="16">
        <f>IF($BY$12=1,NORMDIST(BY1835,$Y$6,$Y$8,TRUE),IF($BY$12=2,IF(BY1835&lt;=$BX$31,0,IF(BY1835&gt;=$BX$32,1,(BY1835-$BX$31)*$BX$33)),SUM($BU$42:BU1835)/$BV$40))</f>
        <v>0.99999999994935063</v>
      </c>
      <c r="BW1835" s="16">
        <f t="shared" si="499"/>
        <v>3.0027931658872104E-9</v>
      </c>
      <c r="BY1835" s="16">
        <f t="shared" si="500"/>
        <v>179.2999999999941</v>
      </c>
      <c r="BZ1835" s="16">
        <f t="shared" si="501"/>
        <v>1.6747312693180755E-11</v>
      </c>
      <c r="CA1835" s="16">
        <f t="shared" ref="CA1835:CA1898" si="508">IF(AND($CD$1,$CD$3),26-$CD$40*NORMDIST(BY1835,$Y$6,$Y$8/SQRT($T$18),FALSE),-999)</f>
        <v>-999</v>
      </c>
      <c r="CE1835" s="16" t="e">
        <f t="shared" si="502"/>
        <v>#N/A</v>
      </c>
      <c r="CF1835" s="16">
        <f t="shared" si="503"/>
        <v>99</v>
      </c>
      <c r="CG1835" s="16">
        <f t="shared" si="504"/>
        <v>0</v>
      </c>
      <c r="CH1835" s="16">
        <f t="shared" si="498"/>
        <v>0</v>
      </c>
      <c r="CJ1835" s="16" t="e">
        <f t="shared" si="505"/>
        <v>#N/A</v>
      </c>
      <c r="CK1835" s="16" t="str">
        <f t="shared" si="506"/>
        <v/>
      </c>
    </row>
    <row r="1836" spans="73:89" ht="12" customHeight="1">
      <c r="BU1836" s="16">
        <f t="shared" si="507"/>
        <v>0</v>
      </c>
      <c r="BV1836" s="16">
        <f>IF($BY$12=1,NORMDIST(BY1836,$Y$6,$Y$8,TRUE),IF($BY$12=2,IF(BY1836&lt;=$BX$31,0,IF(BY1836&gt;=$BX$32,1,(BY1836-$BX$31)*$BX$33)),SUM($BU$42:BU1836)/$BV$40))</f>
        <v>0.99999999995099853</v>
      </c>
      <c r="BW1836" s="16">
        <f t="shared" si="499"/>
        <v>2.9088650264077462E-9</v>
      </c>
      <c r="BY1836" s="16">
        <f t="shared" si="500"/>
        <v>179.39999999999409</v>
      </c>
      <c r="BZ1836" s="16">
        <f t="shared" si="501"/>
        <v>1.6214409288783958E-11</v>
      </c>
      <c r="CA1836" s="16">
        <f t="shared" si="508"/>
        <v>-999</v>
      </c>
      <c r="CE1836" s="16" t="e">
        <f t="shared" si="502"/>
        <v>#N/A</v>
      </c>
      <c r="CF1836" s="16">
        <f t="shared" si="503"/>
        <v>99</v>
      </c>
      <c r="CG1836" s="16">
        <f t="shared" si="504"/>
        <v>0</v>
      </c>
      <c r="CH1836" s="16">
        <f t="shared" si="498"/>
        <v>0</v>
      </c>
      <c r="CJ1836" s="16" t="e">
        <f t="shared" si="505"/>
        <v>#N/A</v>
      </c>
      <c r="CK1836" s="16" t="str">
        <f t="shared" si="506"/>
        <v/>
      </c>
    </row>
    <row r="1837" spans="73:89" ht="12" customHeight="1">
      <c r="BU1837" s="16">
        <f t="shared" si="507"/>
        <v>0</v>
      </c>
      <c r="BV1837" s="16">
        <f>IF($BY$12=1,NORMDIST(BY1837,$Y$6,$Y$8,TRUE),IF($BY$12=2,IF(BY1837&lt;=$BX$31,0,IF(BY1837&gt;=$BX$32,1,(BY1837-$BX$31)*$BX$33)),SUM($BU$42:BU1837)/$BV$40))</f>
        <v>0.99999999995259403</v>
      </c>
      <c r="BW1837" s="16">
        <f t="shared" si="499"/>
        <v>2.8178036616797202E-9</v>
      </c>
      <c r="BY1837" s="16">
        <f t="shared" si="500"/>
        <v>179.49999999999409</v>
      </c>
      <c r="BZ1837" s="16">
        <f t="shared" si="501"/>
        <v>1.5698070538606202E-11</v>
      </c>
      <c r="CA1837" s="16">
        <f t="shared" si="508"/>
        <v>-999</v>
      </c>
      <c r="CE1837" s="16" t="e">
        <f t="shared" si="502"/>
        <v>#N/A</v>
      </c>
      <c r="CF1837" s="16">
        <f t="shared" si="503"/>
        <v>99</v>
      </c>
      <c r="CG1837" s="16">
        <f t="shared" si="504"/>
        <v>0</v>
      </c>
      <c r="CH1837" s="16">
        <f t="shared" si="498"/>
        <v>0</v>
      </c>
      <c r="CJ1837" s="16" t="e">
        <f t="shared" si="505"/>
        <v>#N/A</v>
      </c>
      <c r="CK1837" s="16" t="str">
        <f t="shared" si="506"/>
        <v/>
      </c>
    </row>
    <row r="1838" spans="73:89" ht="12" customHeight="1">
      <c r="BU1838" s="16">
        <f t="shared" si="507"/>
        <v>0</v>
      </c>
      <c r="BV1838" s="16">
        <f>IF($BY$12=1,NORMDIST(BY1838,$Y$6,$Y$8,TRUE),IF($BY$12=2,IF(BY1838&lt;=$BX$31,0,IF(BY1838&gt;=$BX$32,1,(BY1838-$BX$31)*$BX$33)),SUM($BU$42:BU1838)/$BV$40))</f>
        <v>0.99999999995413869</v>
      </c>
      <c r="BW1838" s="16">
        <f t="shared" si="499"/>
        <v>2.7295238663557259E-9</v>
      </c>
      <c r="BY1838" s="16">
        <f t="shared" si="500"/>
        <v>179.59999999999408</v>
      </c>
      <c r="BZ1838" s="16">
        <f t="shared" si="501"/>
        <v>1.5197794356101424E-11</v>
      </c>
      <c r="CA1838" s="16">
        <f t="shared" si="508"/>
        <v>-999</v>
      </c>
      <c r="CE1838" s="16" t="e">
        <f t="shared" si="502"/>
        <v>#N/A</v>
      </c>
      <c r="CF1838" s="16">
        <f t="shared" si="503"/>
        <v>99</v>
      </c>
      <c r="CG1838" s="16">
        <f t="shared" si="504"/>
        <v>0</v>
      </c>
      <c r="CH1838" s="16">
        <f t="shared" si="498"/>
        <v>0</v>
      </c>
      <c r="CJ1838" s="16" t="e">
        <f t="shared" si="505"/>
        <v>#N/A</v>
      </c>
      <c r="CK1838" s="16" t="str">
        <f t="shared" si="506"/>
        <v/>
      </c>
    </row>
    <row r="1839" spans="73:89" ht="12" customHeight="1">
      <c r="BU1839" s="16">
        <f t="shared" si="507"/>
        <v>0</v>
      </c>
      <c r="BV1839" s="16">
        <f>IF($BY$12=1,NORMDIST(BY1839,$Y$6,$Y$8,TRUE),IF($BY$12=2,IF(BY1839&lt;=$BX$31,0,IF(BY1839&gt;=$BX$32,1,(BY1839-$BX$31)*$BX$33)),SUM($BU$42:BU1839)/$BV$40))</f>
        <v>0.99999999995563416</v>
      </c>
      <c r="BW1839" s="16">
        <f t="shared" si="499"/>
        <v>2.6439428954774578E-9</v>
      </c>
      <c r="BY1839" s="16">
        <f t="shared" si="500"/>
        <v>179.69999999999408</v>
      </c>
      <c r="BZ1839" s="16">
        <f t="shared" si="501"/>
        <v>1.4713093463981886E-11</v>
      </c>
      <c r="CA1839" s="16">
        <f t="shared" si="508"/>
        <v>-999</v>
      </c>
      <c r="CE1839" s="16" t="e">
        <f t="shared" si="502"/>
        <v>#N/A</v>
      </c>
      <c r="CF1839" s="16">
        <f t="shared" si="503"/>
        <v>99</v>
      </c>
      <c r="CG1839" s="16">
        <f t="shared" si="504"/>
        <v>0</v>
      </c>
      <c r="CH1839" s="16">
        <f t="shared" si="498"/>
        <v>0</v>
      </c>
      <c r="CJ1839" s="16" t="e">
        <f t="shared" si="505"/>
        <v>#N/A</v>
      </c>
      <c r="CK1839" s="16" t="str">
        <f t="shared" si="506"/>
        <v/>
      </c>
    </row>
    <row r="1840" spans="73:89" ht="12" customHeight="1">
      <c r="BU1840" s="16">
        <f t="shared" si="507"/>
        <v>0</v>
      </c>
      <c r="BV1840" s="16">
        <f>IF($BY$12=1,NORMDIST(BY1840,$Y$6,$Y$8,TRUE),IF($BY$12=2,IF(BY1840&lt;=$BX$31,0,IF(BY1840&gt;=$BX$32,1,(BY1840-$BX$31)*$BX$33)),SUM($BU$42:BU1840)/$BV$40))</f>
        <v>0.99999999995708178</v>
      </c>
      <c r="BW1840" s="16">
        <f t="shared" si="499"/>
        <v>2.5609803956450505E-9</v>
      </c>
      <c r="BY1840" s="16">
        <f t="shared" si="500"/>
        <v>179.79999999999407</v>
      </c>
      <c r="BZ1840" s="16">
        <f t="shared" si="501"/>
        <v>1.4243494970217658E-11</v>
      </c>
      <c r="CA1840" s="16">
        <f t="shared" si="508"/>
        <v>-999</v>
      </c>
      <c r="CE1840" s="16" t="e">
        <f t="shared" si="502"/>
        <v>#N/A</v>
      </c>
      <c r="CF1840" s="16">
        <f t="shared" si="503"/>
        <v>99</v>
      </c>
      <c r="CG1840" s="16">
        <f t="shared" si="504"/>
        <v>0</v>
      </c>
      <c r="CH1840" s="16">
        <f t="shared" si="498"/>
        <v>0</v>
      </c>
      <c r="CJ1840" s="16" t="e">
        <f t="shared" si="505"/>
        <v>#N/A</v>
      </c>
      <c r="CK1840" s="16" t="str">
        <f t="shared" si="506"/>
        <v/>
      </c>
    </row>
    <row r="1841" spans="73:89" ht="12" customHeight="1">
      <c r="BU1841" s="16">
        <f t="shared" si="507"/>
        <v>0</v>
      </c>
      <c r="BV1841" s="16">
        <f>IF($BY$12=1,NORMDIST(BY1841,$Y$6,$Y$8,TRUE),IF($BY$12=2,IF(BY1841&lt;=$BX$31,0,IF(BY1841&gt;=$BX$32,1,(BY1841-$BX$31)*$BX$33)),SUM($BU$42:BU1841)/$BV$40))</f>
        <v>0.99999999995848332</v>
      </c>
      <c r="BW1841" s="16">
        <f t="shared" si="499"/>
        <v>2.4805583380453544E-9</v>
      </c>
      <c r="BY1841" s="16">
        <f t="shared" si="500"/>
        <v>179.89999999999407</v>
      </c>
      <c r="BZ1841" s="16">
        <f t="shared" si="501"/>
        <v>1.3788539955783415E-11</v>
      </c>
      <c r="CA1841" s="16">
        <f t="shared" si="508"/>
        <v>-999</v>
      </c>
      <c r="CE1841" s="16" t="e">
        <f t="shared" si="502"/>
        <v>#N/A</v>
      </c>
      <c r="CF1841" s="16">
        <f t="shared" si="503"/>
        <v>99</v>
      </c>
      <c r="CG1841" s="16">
        <f t="shared" si="504"/>
        <v>0</v>
      </c>
      <c r="CH1841" s="16">
        <f t="shared" si="498"/>
        <v>0</v>
      </c>
      <c r="CJ1841" s="16" t="e">
        <f t="shared" si="505"/>
        <v>#N/A</v>
      </c>
      <c r="CK1841" s="16" t="str">
        <f t="shared" si="506"/>
        <v/>
      </c>
    </row>
    <row r="1842" spans="73:89" ht="12" customHeight="1">
      <c r="BU1842" s="16">
        <f t="shared" si="507"/>
        <v>0</v>
      </c>
      <c r="BV1842" s="16">
        <f>IF($BY$12=1,NORMDIST(BY1842,$Y$6,$Y$8,TRUE),IF($BY$12=2,IF(BY1842&lt;=$BX$31,0,IF(BY1842&gt;=$BX$32,1,(BY1842-$BX$31)*$BX$33)),SUM($BU$42:BU1842)/$BV$40))</f>
        <v>0.99999999995984001</v>
      </c>
      <c r="BW1842" s="16">
        <f t="shared" si="499"/>
        <v>2.4026009532911306E-9</v>
      </c>
      <c r="BY1842" s="16">
        <f t="shared" si="500"/>
        <v>179.99999999999406</v>
      </c>
      <c r="BZ1842" s="16">
        <f t="shared" si="501"/>
        <v>1.3347783073840055E-11</v>
      </c>
      <c r="CA1842" s="16">
        <f t="shared" si="508"/>
        <v>-999</v>
      </c>
      <c r="CE1842" s="16" t="e">
        <f t="shared" si="502"/>
        <v>#N/A</v>
      </c>
      <c r="CF1842" s="16">
        <f t="shared" si="503"/>
        <v>99</v>
      </c>
      <c r="CG1842" s="16">
        <f t="shared" si="504"/>
        <v>0</v>
      </c>
      <c r="CH1842" s="16">
        <f t="shared" si="498"/>
        <v>0</v>
      </c>
      <c r="CJ1842" s="16" t="e">
        <f t="shared" si="505"/>
        <v>#N/A</v>
      </c>
      <c r="CK1842" s="16" t="str">
        <f t="shared" si="506"/>
        <v/>
      </c>
    </row>
    <row r="1843" spans="73:89" ht="12" customHeight="1">
      <c r="BU1843" s="16">
        <f t="shared" si="507"/>
        <v>0</v>
      </c>
      <c r="BV1843" s="16">
        <f>IF($BY$12=1,NORMDIST(BY1843,$Y$6,$Y$8,TRUE),IF($BY$12=2,IF(BY1843&lt;=$BX$31,0,IF(BY1843&gt;=$BX$32,1,(BY1843-$BX$31)*$BX$33)),SUM($BU$42:BU1843)/$BV$40))</f>
        <v>0.9999999999611533</v>
      </c>
      <c r="BW1843" s="16">
        <f t="shared" si="499"/>
        <v>2.3270346680238584E-9</v>
      </c>
      <c r="BY1843" s="16">
        <f t="shared" si="500"/>
        <v>180.09999999999405</v>
      </c>
      <c r="BZ1843" s="16">
        <f t="shared" si="501"/>
        <v>1.2920792160044059E-11</v>
      </c>
      <c r="CA1843" s="16">
        <f t="shared" si="508"/>
        <v>-999</v>
      </c>
      <c r="CE1843" s="16" t="e">
        <f t="shared" si="502"/>
        <v>#N/A</v>
      </c>
      <c r="CF1843" s="16">
        <f t="shared" si="503"/>
        <v>99</v>
      </c>
      <c r="CG1843" s="16">
        <f t="shared" si="504"/>
        <v>0</v>
      </c>
      <c r="CH1843" s="16">
        <f t="shared" si="498"/>
        <v>0</v>
      </c>
      <c r="CJ1843" s="16" t="e">
        <f t="shared" si="505"/>
        <v>#N/A</v>
      </c>
      <c r="CK1843" s="16" t="str">
        <f t="shared" si="506"/>
        <v/>
      </c>
    </row>
    <row r="1844" spans="73:89" ht="12" customHeight="1">
      <c r="BU1844" s="16">
        <f t="shared" si="507"/>
        <v>0</v>
      </c>
      <c r="BV1844" s="16">
        <f>IF($BY$12=1,NORMDIST(BY1844,$Y$6,$Y$8,TRUE),IF($BY$12=2,IF(BY1844&lt;=$BX$31,0,IF(BY1844&gt;=$BX$32,1,(BY1844-$BX$31)*$BX$33)),SUM($BU$42:BU1844)/$BV$40))</f>
        <v>0.99999999996242461</v>
      </c>
      <c r="BW1844" s="16">
        <f t="shared" si="499"/>
        <v>2.2537880432345598E-9</v>
      </c>
      <c r="BY1844" s="16">
        <f t="shared" si="500"/>
        <v>180.19999999999405</v>
      </c>
      <c r="BZ1844" s="16">
        <f t="shared" si="501"/>
        <v>1.2507147853688313E-11</v>
      </c>
      <c r="CA1844" s="16">
        <f t="shared" si="508"/>
        <v>-999</v>
      </c>
      <c r="CE1844" s="16" t="e">
        <f t="shared" si="502"/>
        <v>#N/A</v>
      </c>
      <c r="CF1844" s="16">
        <f t="shared" si="503"/>
        <v>99</v>
      </c>
      <c r="CG1844" s="16">
        <f t="shared" si="504"/>
        <v>0</v>
      </c>
      <c r="CH1844" s="16">
        <f t="shared" si="498"/>
        <v>0</v>
      </c>
      <c r="CJ1844" s="16" t="e">
        <f t="shared" si="505"/>
        <v>#N/A</v>
      </c>
      <c r="CK1844" s="16" t="str">
        <f t="shared" si="506"/>
        <v/>
      </c>
    </row>
    <row r="1845" spans="73:89" ht="12" customHeight="1">
      <c r="BU1845" s="16">
        <f t="shared" si="507"/>
        <v>0</v>
      </c>
      <c r="BV1845" s="16">
        <f>IF($BY$12=1,NORMDIST(BY1845,$Y$6,$Y$8,TRUE),IF($BY$12=2,IF(BY1845&lt;=$BX$31,0,IF(BY1845&gt;=$BX$32,1,(BY1845-$BX$31)*$BX$33)),SUM($BU$42:BU1845)/$BV$40))</f>
        <v>0.99999999996365518</v>
      </c>
      <c r="BW1845" s="16">
        <f t="shared" si="499"/>
        <v>2.1827917142575156E-9</v>
      </c>
      <c r="BY1845" s="16">
        <f t="shared" si="500"/>
        <v>180.29999999999404</v>
      </c>
      <c r="BZ1845" s="16">
        <f t="shared" si="501"/>
        <v>1.2106443229382072E-11</v>
      </c>
      <c r="CA1845" s="16">
        <f t="shared" si="508"/>
        <v>-999</v>
      </c>
      <c r="CE1845" s="16" t="e">
        <f t="shared" si="502"/>
        <v>#N/A</v>
      </c>
      <c r="CF1845" s="16">
        <f t="shared" si="503"/>
        <v>99</v>
      </c>
      <c r="CG1845" s="16">
        <f t="shared" si="504"/>
        <v>0</v>
      </c>
      <c r="CH1845" s="16">
        <f t="shared" si="498"/>
        <v>0</v>
      </c>
      <c r="CJ1845" s="16" t="e">
        <f t="shared" si="505"/>
        <v>#N/A</v>
      </c>
      <c r="CK1845" s="16" t="str">
        <f t="shared" si="506"/>
        <v/>
      </c>
    </row>
    <row r="1846" spans="73:89" ht="12" customHeight="1">
      <c r="BU1846" s="16">
        <f t="shared" si="507"/>
        <v>0</v>
      </c>
      <c r="BV1846" s="16">
        <f>IF($BY$12=1,NORMDIST(BY1846,$Y$6,$Y$8,TRUE),IF($BY$12=2,IF(BY1846&lt;=$BX$31,0,IF(BY1846&gt;=$BX$32,1,(BY1846-$BX$31)*$BX$33)),SUM($BU$42:BU1846)/$BV$40))</f>
        <v>0.99999999996484634</v>
      </c>
      <c r="BW1846" s="16">
        <f t="shared" si="499"/>
        <v>2.1139783323935033E-9</v>
      </c>
      <c r="BY1846" s="16">
        <f t="shared" si="500"/>
        <v>180.39999999999404</v>
      </c>
      <c r="BZ1846" s="16">
        <f t="shared" si="501"/>
        <v>1.1718283438988766E-11</v>
      </c>
      <c r="CA1846" s="16">
        <f t="shared" si="508"/>
        <v>-999</v>
      </c>
      <c r="CE1846" s="16" t="e">
        <f t="shared" si="502"/>
        <v>#N/A</v>
      </c>
      <c r="CF1846" s="16">
        <f t="shared" si="503"/>
        <v>99</v>
      </c>
      <c r="CG1846" s="16">
        <f t="shared" si="504"/>
        <v>0</v>
      </c>
      <c r="CH1846" s="16">
        <f t="shared" si="498"/>
        <v>0</v>
      </c>
      <c r="CJ1846" s="16" t="e">
        <f t="shared" si="505"/>
        <v>#N/A</v>
      </c>
      <c r="CK1846" s="16" t="str">
        <f t="shared" si="506"/>
        <v/>
      </c>
    </row>
    <row r="1847" spans="73:89" ht="12" customHeight="1">
      <c r="BU1847" s="16">
        <f t="shared" si="507"/>
        <v>0</v>
      </c>
      <c r="BV1847" s="16">
        <f>IF($BY$12=1,NORMDIST(BY1847,$Y$6,$Y$8,TRUE),IF($BY$12=2,IF(BY1847&lt;=$BX$31,0,IF(BY1847&gt;=$BX$32,1,(BY1847-$BX$31)*$BX$33)),SUM($BU$42:BU1847)/$BV$40))</f>
        <v>0.9999999999659992</v>
      </c>
      <c r="BW1847" s="16">
        <f t="shared" si="499"/>
        <v>2.0472825081200015E-9</v>
      </c>
      <c r="BY1847" s="16">
        <f t="shared" si="500"/>
        <v>180.49999999999403</v>
      </c>
      <c r="BZ1847" s="16">
        <f t="shared" si="501"/>
        <v>1.134228536354609E-11</v>
      </c>
      <c r="CA1847" s="16">
        <f t="shared" si="508"/>
        <v>-999</v>
      </c>
      <c r="CE1847" s="16" t="e">
        <f t="shared" si="502"/>
        <v>#N/A</v>
      </c>
      <c r="CF1847" s="16">
        <f t="shared" si="503"/>
        <v>99</v>
      </c>
      <c r="CG1847" s="16">
        <f t="shared" si="504"/>
        <v>0</v>
      </c>
      <c r="CH1847" s="16">
        <f t="shared" si="498"/>
        <v>0</v>
      </c>
      <c r="CJ1847" s="16" t="e">
        <f t="shared" si="505"/>
        <v>#N/A</v>
      </c>
      <c r="CK1847" s="16" t="str">
        <f t="shared" si="506"/>
        <v/>
      </c>
    </row>
    <row r="1848" spans="73:89" ht="12" customHeight="1">
      <c r="BU1848" s="16">
        <f t="shared" si="507"/>
        <v>0</v>
      </c>
      <c r="BV1848" s="16">
        <f>IF($BY$12=1,NORMDIST(BY1848,$Y$6,$Y$8,TRUE),IF($BY$12=2,IF(BY1848&lt;=$BX$31,0,IF(BY1848&gt;=$BX$32,1,(BY1848-$BX$31)*$BX$33)),SUM($BU$42:BU1848)/$BV$40))</f>
        <v>0.99999999996711519</v>
      </c>
      <c r="BW1848" s="16">
        <f t="shared" si="499"/>
        <v>1.9826407558466035E-9</v>
      </c>
      <c r="BY1848" s="16">
        <f t="shared" si="500"/>
        <v>180.59999999999403</v>
      </c>
      <c r="BZ1848" s="16">
        <f t="shared" si="501"/>
        <v>1.0978077274898499E-11</v>
      </c>
      <c r="CA1848" s="16">
        <f t="shared" si="508"/>
        <v>-999</v>
      </c>
      <c r="CE1848" s="16" t="e">
        <f t="shared" si="502"/>
        <v>#N/A</v>
      </c>
      <c r="CF1848" s="16">
        <f t="shared" si="503"/>
        <v>99</v>
      </c>
      <c r="CG1848" s="16">
        <f t="shared" si="504"/>
        <v>0</v>
      </c>
      <c r="CH1848" s="16">
        <f t="shared" si="498"/>
        <v>0</v>
      </c>
      <c r="CJ1848" s="16" t="e">
        <f t="shared" si="505"/>
        <v>#N/A</v>
      </c>
      <c r="CK1848" s="16" t="str">
        <f t="shared" si="506"/>
        <v/>
      </c>
    </row>
    <row r="1849" spans="73:89" ht="12" customHeight="1">
      <c r="BU1849" s="16">
        <f t="shared" si="507"/>
        <v>0</v>
      </c>
      <c r="BV1849" s="16">
        <f>IF($BY$12=1,NORMDIST(BY1849,$Y$6,$Y$8,TRUE),IF($BY$12=2,IF(BY1849&lt;=$BX$31,0,IF(BY1849&gt;=$BX$32,1,(BY1849-$BX$31)*$BX$33)),SUM($BU$42:BU1849)/$BV$40))</f>
        <v>0.99999999996819522</v>
      </c>
      <c r="BW1849" s="16">
        <f t="shared" si="499"/>
        <v>1.9199914401755462E-9</v>
      </c>
      <c r="BY1849" s="16">
        <f t="shared" si="500"/>
        <v>180.69999999999402</v>
      </c>
      <c r="BZ1849" s="16">
        <f t="shared" si="501"/>
        <v>1.0625298506782568E-11</v>
      </c>
      <c r="CA1849" s="16">
        <f t="shared" si="508"/>
        <v>-999</v>
      </c>
      <c r="CE1849" s="16" t="e">
        <f t="shared" si="502"/>
        <v>#N/A</v>
      </c>
      <c r="CF1849" s="16">
        <f t="shared" si="503"/>
        <v>99</v>
      </c>
      <c r="CG1849" s="16">
        <f t="shared" si="504"/>
        <v>0</v>
      </c>
      <c r="CH1849" s="16">
        <f t="shared" si="498"/>
        <v>0</v>
      </c>
      <c r="CJ1849" s="16" t="e">
        <f t="shared" si="505"/>
        <v>#N/A</v>
      </c>
      <c r="CK1849" s="16" t="str">
        <f t="shared" si="506"/>
        <v/>
      </c>
    </row>
    <row r="1850" spans="73:89" ht="12" customHeight="1">
      <c r="BU1850" s="16">
        <f t="shared" si="507"/>
        <v>0</v>
      </c>
      <c r="BV1850" s="16">
        <f>IF($BY$12=1,NORMDIST(BY1850,$Y$6,$Y$8,TRUE),IF($BY$12=2,IF(BY1850&lt;=$BX$31,0,IF(BY1850&gt;=$BX$32,1,(BY1850-$BX$31)*$BX$33)),SUM($BU$42:BU1850)/$BV$40))</f>
        <v>0.9999999999692406</v>
      </c>
      <c r="BW1850" s="16">
        <f t="shared" si="499"/>
        <v>1.8592747236276664E-9</v>
      </c>
      <c r="BY1850" s="16">
        <f t="shared" si="500"/>
        <v>180.79999999999401</v>
      </c>
      <c r="BZ1850" s="16">
        <f t="shared" si="501"/>
        <v>1.0283599135109115E-11</v>
      </c>
      <c r="CA1850" s="16">
        <f t="shared" si="508"/>
        <v>-999</v>
      </c>
      <c r="CE1850" s="16" t="e">
        <f t="shared" si="502"/>
        <v>#N/A</v>
      </c>
      <c r="CF1850" s="16">
        <f t="shared" si="503"/>
        <v>99</v>
      </c>
      <c r="CG1850" s="16">
        <f t="shared" si="504"/>
        <v>0</v>
      </c>
      <c r="CH1850" s="16">
        <f t="shared" si="498"/>
        <v>0</v>
      </c>
      <c r="CJ1850" s="16" t="e">
        <f t="shared" si="505"/>
        <v>#N/A</v>
      </c>
      <c r="CK1850" s="16" t="str">
        <f t="shared" si="506"/>
        <v/>
      </c>
    </row>
    <row r="1851" spans="73:89" ht="12" customHeight="1">
      <c r="BU1851" s="16">
        <f t="shared" si="507"/>
        <v>0</v>
      </c>
      <c r="BV1851" s="16">
        <f>IF($BY$12=1,NORMDIST(BY1851,$Y$6,$Y$8,TRUE),IF($BY$12=2,IF(BY1851&lt;=$BX$31,0,IF(BY1851&gt;=$BX$32,1,(BY1851-$BX$31)*$BX$33)),SUM($BU$42:BU1851)/$BV$40))</f>
        <v>0.99999999997025235</v>
      </c>
      <c r="BW1851" s="16">
        <f t="shared" si="499"/>
        <v>1.8004325157953951E-9</v>
      </c>
      <c r="BY1851" s="16">
        <f t="shared" si="500"/>
        <v>180.89999999999401</v>
      </c>
      <c r="BZ1851" s="16">
        <f t="shared" si="501"/>
        <v>9.9526396671943325E-12</v>
      </c>
      <c r="CA1851" s="16">
        <f t="shared" si="508"/>
        <v>-999</v>
      </c>
      <c r="CE1851" s="16" t="e">
        <f t="shared" si="502"/>
        <v>#N/A</v>
      </c>
      <c r="CF1851" s="16">
        <f t="shared" si="503"/>
        <v>99</v>
      </c>
      <c r="CG1851" s="16">
        <f t="shared" si="504"/>
        <v>0</v>
      </c>
      <c r="CH1851" s="16">
        <f t="shared" si="498"/>
        <v>0</v>
      </c>
      <c r="CJ1851" s="16" t="e">
        <f t="shared" si="505"/>
        <v>#N/A</v>
      </c>
      <c r="CK1851" s="16" t="str">
        <f t="shared" si="506"/>
        <v/>
      </c>
    </row>
    <row r="1852" spans="73:89" ht="12" customHeight="1">
      <c r="BU1852" s="16">
        <f t="shared" si="507"/>
        <v>0</v>
      </c>
      <c r="BV1852" s="16">
        <f>IF($BY$12=1,NORMDIST(BY1852,$Y$6,$Y$8,TRUE),IF($BY$12=2,IF(BY1852&lt;=$BX$31,0,IF(BY1852&gt;=$BX$32,1,(BY1852-$BX$31)*$BX$33)),SUM($BU$42:BU1852)/$BV$40))</f>
        <v>0.99999999997123146</v>
      </c>
      <c r="BW1852" s="16">
        <f t="shared" si="499"/>
        <v>1.7434084238853619E-9</v>
      </c>
      <c r="BY1852" s="16">
        <f t="shared" si="500"/>
        <v>180.999999999994</v>
      </c>
      <c r="BZ1852" s="16">
        <f t="shared" si="501"/>
        <v>9.632090739698451E-12</v>
      </c>
      <c r="CA1852" s="16">
        <f t="shared" si="508"/>
        <v>-999</v>
      </c>
      <c r="CE1852" s="16" t="e">
        <f t="shared" si="502"/>
        <v>#N/A</v>
      </c>
      <c r="CF1852" s="16">
        <f t="shared" si="503"/>
        <v>99</v>
      </c>
      <c r="CG1852" s="16">
        <f t="shared" si="504"/>
        <v>0</v>
      </c>
      <c r="CH1852" s="16">
        <f t="shared" si="498"/>
        <v>0</v>
      </c>
      <c r="CJ1852" s="16" t="e">
        <f t="shared" si="505"/>
        <v>#N/A</v>
      </c>
      <c r="CK1852" s="16" t="str">
        <f t="shared" si="506"/>
        <v/>
      </c>
    </row>
    <row r="1853" spans="73:89" ht="12" customHeight="1">
      <c r="BU1853" s="16">
        <f t="shared" si="507"/>
        <v>0</v>
      </c>
      <c r="BV1853" s="16">
        <f>IF($BY$12=1,NORMDIST(BY1853,$Y$6,$Y$8,TRUE),IF($BY$12=2,IF(BY1853&lt;=$BX$31,0,IF(BY1853&gt;=$BX$32,1,(BY1853-$BX$31)*$BX$33)),SUM($BU$42:BU1853)/$BV$40))</f>
        <v>0.99999999997217903</v>
      </c>
      <c r="BW1853" s="16">
        <f t="shared" si="499"/>
        <v>1.6881477046140189E-9</v>
      </c>
      <c r="BY1853" s="16">
        <f t="shared" si="500"/>
        <v>181.099999999994</v>
      </c>
      <c r="BZ1853" s="16">
        <f t="shared" si="501"/>
        <v>9.3216328250363052E-12</v>
      </c>
      <c r="CA1853" s="16">
        <f t="shared" si="508"/>
        <v>-999</v>
      </c>
      <c r="CE1853" s="16" t="e">
        <f t="shared" si="502"/>
        <v>#N/A</v>
      </c>
      <c r="CF1853" s="16">
        <f t="shared" si="503"/>
        <v>99</v>
      </c>
      <c r="CG1853" s="16">
        <f t="shared" si="504"/>
        <v>0</v>
      </c>
      <c r="CH1853" s="16">
        <f t="shared" si="498"/>
        <v>0</v>
      </c>
      <c r="CJ1853" s="16" t="e">
        <f t="shared" si="505"/>
        <v>#N/A</v>
      </c>
      <c r="CK1853" s="16" t="str">
        <f t="shared" si="506"/>
        <v/>
      </c>
    </row>
    <row r="1854" spans="73:89" ht="12" customHeight="1">
      <c r="BU1854" s="16">
        <f t="shared" si="507"/>
        <v>0</v>
      </c>
      <c r="BV1854" s="16">
        <f>IF($BY$12=1,NORMDIST(BY1854,$Y$6,$Y$8,TRUE),IF($BY$12=2,IF(BY1854&lt;=$BX$31,0,IF(BY1854&gt;=$BX$32,1,(BY1854-$BX$31)*$BX$33)),SUM($BU$42:BU1854)/$BV$40))</f>
        <v>0.99999999997309608</v>
      </c>
      <c r="BW1854" s="16">
        <f t="shared" si="499"/>
        <v>1.6345972174206188E-9</v>
      </c>
      <c r="BY1854" s="16">
        <f t="shared" si="500"/>
        <v>181.19999999999399</v>
      </c>
      <c r="BZ1854" s="16">
        <f t="shared" si="501"/>
        <v>9.0209559460302044E-12</v>
      </c>
      <c r="CA1854" s="16">
        <f t="shared" si="508"/>
        <v>-999</v>
      </c>
      <c r="CE1854" s="16" t="e">
        <f t="shared" si="502"/>
        <v>#N/A</v>
      </c>
      <c r="CF1854" s="16">
        <f t="shared" si="503"/>
        <v>99</v>
      </c>
      <c r="CG1854" s="16">
        <f t="shared" si="504"/>
        <v>0</v>
      </c>
      <c r="CH1854" s="16">
        <f t="shared" si="498"/>
        <v>0</v>
      </c>
      <c r="CJ1854" s="16" t="e">
        <f t="shared" si="505"/>
        <v>#N/A</v>
      </c>
      <c r="CK1854" s="16" t="str">
        <f t="shared" si="506"/>
        <v/>
      </c>
    </row>
    <row r="1855" spans="73:89" ht="12" customHeight="1">
      <c r="BU1855" s="16">
        <f t="shared" si="507"/>
        <v>0</v>
      </c>
      <c r="BV1855" s="16">
        <f>IF($BY$12=1,NORMDIST(BY1855,$Y$6,$Y$8,TRUE),IF($BY$12=2,IF(BY1855&lt;=$BX$31,0,IF(BY1855&gt;=$BX$32,1,(BY1855-$BX$31)*$BX$33)),SUM($BU$42:BU1855)/$BV$40))</f>
        <v>0.99999999997398359</v>
      </c>
      <c r="BW1855" s="16">
        <f t="shared" si="499"/>
        <v>1.5827053789629081E-9</v>
      </c>
      <c r="BY1855" s="16">
        <f t="shared" si="500"/>
        <v>181.29999999999399</v>
      </c>
      <c r="BZ1855" s="16">
        <f t="shared" si="501"/>
        <v>8.7297593985822433E-12</v>
      </c>
      <c r="CA1855" s="16">
        <f t="shared" si="508"/>
        <v>-999</v>
      </c>
      <c r="CE1855" s="16" t="e">
        <f t="shared" si="502"/>
        <v>#N/A</v>
      </c>
      <c r="CF1855" s="16">
        <f t="shared" si="503"/>
        <v>99</v>
      </c>
      <c r="CG1855" s="16">
        <f t="shared" si="504"/>
        <v>0</v>
      </c>
      <c r="CH1855" s="16">
        <f t="shared" si="498"/>
        <v>0</v>
      </c>
      <c r="CJ1855" s="16" t="e">
        <f t="shared" si="505"/>
        <v>#N/A</v>
      </c>
      <c r="CK1855" s="16" t="str">
        <f t="shared" si="506"/>
        <v/>
      </c>
    </row>
    <row r="1856" spans="73:89" ht="12" customHeight="1">
      <c r="BU1856" s="16">
        <f t="shared" si="507"/>
        <v>0</v>
      </c>
      <c r="BV1856" s="16">
        <f>IF($BY$12=1,NORMDIST(BY1856,$Y$6,$Y$8,TRUE),IF($BY$12=2,IF(BY1856&lt;=$BX$31,0,IF(BY1856&gt;=$BX$32,1,(BY1856-$BX$31)*$BX$33)),SUM($BU$42:BU1856)/$BV$40))</f>
        <v>0.99999999997484235</v>
      </c>
      <c r="BW1856" s="16">
        <f t="shared" si="499"/>
        <v>1.5324221188616478E-9</v>
      </c>
      <c r="BY1856" s="16">
        <f t="shared" si="500"/>
        <v>181.39999999999398</v>
      </c>
      <c r="BZ1856" s="16">
        <f t="shared" si="501"/>
        <v>8.4477514821482839E-12</v>
      </c>
      <c r="CA1856" s="16">
        <f t="shared" si="508"/>
        <v>-999</v>
      </c>
      <c r="CE1856" s="16" t="e">
        <f t="shared" si="502"/>
        <v>#N/A</v>
      </c>
      <c r="CF1856" s="16">
        <f t="shared" si="503"/>
        <v>99</v>
      </c>
      <c r="CG1856" s="16">
        <f t="shared" si="504"/>
        <v>0</v>
      </c>
      <c r="CH1856" s="16">
        <f t="shared" si="498"/>
        <v>0</v>
      </c>
      <c r="CJ1856" s="16" t="e">
        <f t="shared" si="505"/>
        <v>#N/A</v>
      </c>
      <c r="CK1856" s="16" t="str">
        <f t="shared" si="506"/>
        <v/>
      </c>
    </row>
    <row r="1857" spans="73:89" ht="12" customHeight="1">
      <c r="BU1857" s="16">
        <f t="shared" si="507"/>
        <v>0</v>
      </c>
      <c r="BV1857" s="16">
        <f>IF($BY$12=1,NORMDIST(BY1857,$Y$6,$Y$8,TRUE),IF($BY$12=2,IF(BY1857&lt;=$BX$31,0,IF(BY1857&gt;=$BX$32,1,(BY1857-$BX$31)*$BX$33)),SUM($BU$42:BU1857)/$BV$40))</f>
        <v>0.99999999997567346</v>
      </c>
      <c r="BW1857" s="16">
        <f t="shared" si="499"/>
        <v>1.4836988366609495E-9</v>
      </c>
      <c r="BY1857" s="16">
        <f t="shared" si="500"/>
        <v>181.49999999999397</v>
      </c>
      <c r="BZ1857" s="16">
        <f t="shared" si="501"/>
        <v>8.1746492378016463E-12</v>
      </c>
      <c r="CA1857" s="16">
        <f t="shared" si="508"/>
        <v>-999</v>
      </c>
      <c r="CE1857" s="16" t="e">
        <f t="shared" si="502"/>
        <v>#N/A</v>
      </c>
      <c r="CF1857" s="16">
        <f t="shared" si="503"/>
        <v>99</v>
      </c>
      <c r="CG1857" s="16">
        <f t="shared" si="504"/>
        <v>0</v>
      </c>
      <c r="CH1857" s="16">
        <f t="shared" si="498"/>
        <v>0</v>
      </c>
      <c r="CJ1857" s="16" t="e">
        <f t="shared" si="505"/>
        <v>#N/A</v>
      </c>
      <c r="CK1857" s="16" t="str">
        <f t="shared" si="506"/>
        <v/>
      </c>
    </row>
    <row r="1858" spans="73:89" ht="12" customHeight="1">
      <c r="BU1858" s="16">
        <f t="shared" si="507"/>
        <v>0</v>
      </c>
      <c r="BV1858" s="16">
        <f>IF($BY$12=1,NORMDIST(BY1858,$Y$6,$Y$8,TRUE),IF($BY$12=2,IF(BY1858&lt;=$BX$31,0,IF(BY1858&gt;=$BX$32,1,(BY1858-$BX$31)*$BX$33)),SUM($BU$42:BU1858)/$BV$40))</f>
        <v>0.99999999997647759</v>
      </c>
      <c r="BW1858" s="16">
        <f t="shared" si="499"/>
        <v>1.4364883599722899E-9</v>
      </c>
      <c r="BY1858" s="16">
        <f t="shared" si="500"/>
        <v>181.59999999999397</v>
      </c>
      <c r="BZ1858" s="16">
        <f t="shared" si="501"/>
        <v>7.9101781936802734E-12</v>
      </c>
      <c r="CA1858" s="16">
        <f t="shared" si="508"/>
        <v>-999</v>
      </c>
      <c r="CE1858" s="16" t="e">
        <f t="shared" si="502"/>
        <v>#N/A</v>
      </c>
      <c r="CF1858" s="16">
        <f t="shared" si="503"/>
        <v>99</v>
      </c>
      <c r="CG1858" s="16">
        <f t="shared" si="504"/>
        <v>0</v>
      </c>
      <c r="CH1858" s="16">
        <f t="shared" si="498"/>
        <v>0</v>
      </c>
      <c r="CJ1858" s="16" t="e">
        <f t="shared" si="505"/>
        <v>#N/A</v>
      </c>
      <c r="CK1858" s="16" t="str">
        <f t="shared" si="506"/>
        <v/>
      </c>
    </row>
    <row r="1859" spans="73:89" ht="12" customHeight="1">
      <c r="BU1859" s="16">
        <f t="shared" si="507"/>
        <v>0</v>
      </c>
      <c r="BV1859" s="16">
        <f>IF($BY$12=1,NORMDIST(BY1859,$Y$6,$Y$8,TRUE),IF($BY$12=2,IF(BY1859&lt;=$BX$31,0,IF(BY1859&gt;=$BX$32,1,(BY1859-$BX$31)*$BX$33)),SUM($BU$42:BU1859)/$BV$40))</f>
        <v>0.99999999997725575</v>
      </c>
      <c r="BW1859" s="16">
        <f t="shared" si="499"/>
        <v>1.3907449037708532E-9</v>
      </c>
      <c r="BY1859" s="16">
        <f t="shared" si="500"/>
        <v>181.69999999999396</v>
      </c>
      <c r="BZ1859" s="16">
        <f t="shared" si="501"/>
        <v>7.6540721176163968E-12</v>
      </c>
      <c r="CA1859" s="16">
        <f t="shared" si="508"/>
        <v>-999</v>
      </c>
      <c r="CE1859" s="16" t="e">
        <f t="shared" si="502"/>
        <v>#N/A</v>
      </c>
      <c r="CF1859" s="16">
        <f t="shared" si="503"/>
        <v>99</v>
      </c>
      <c r="CG1859" s="16">
        <f t="shared" si="504"/>
        <v>0</v>
      </c>
      <c r="CH1859" s="16">
        <f t="shared" ref="CH1859:CH1922" si="509">IF(CB1859="",0,1)</f>
        <v>0</v>
      </c>
      <c r="CJ1859" s="16" t="e">
        <f t="shared" si="505"/>
        <v>#N/A</v>
      </c>
      <c r="CK1859" s="16" t="str">
        <f t="shared" si="506"/>
        <v/>
      </c>
    </row>
    <row r="1860" spans="73:89" ht="12" customHeight="1">
      <c r="BU1860" s="16">
        <f t="shared" si="507"/>
        <v>0</v>
      </c>
      <c r="BV1860" s="16">
        <f>IF($BY$12=1,NORMDIST(BY1860,$Y$6,$Y$8,TRUE),IF($BY$12=2,IF(BY1860&lt;=$BX$31,0,IF(BY1860&gt;=$BX$32,1,(BY1860-$BX$31)*$BX$33)),SUM($BU$42:BU1860)/$BV$40))</f>
        <v>0.9999999999780087</v>
      </c>
      <c r="BW1860" s="16">
        <f t="shared" si="499"/>
        <v>1.3464240308136524E-9</v>
      </c>
      <c r="BY1860" s="16">
        <f t="shared" si="500"/>
        <v>181.79999999999396</v>
      </c>
      <c r="BZ1860" s="16">
        <f t="shared" si="501"/>
        <v>7.4060727767530095E-12</v>
      </c>
      <c r="CA1860" s="16">
        <f t="shared" si="508"/>
        <v>-999</v>
      </c>
      <c r="CE1860" s="16" t="e">
        <f t="shared" si="502"/>
        <v>#N/A</v>
      </c>
      <c r="CF1860" s="16">
        <f t="shared" si="503"/>
        <v>99</v>
      </c>
      <c r="CG1860" s="16">
        <f t="shared" si="504"/>
        <v>0</v>
      </c>
      <c r="CH1860" s="16">
        <f t="shared" si="509"/>
        <v>0</v>
      </c>
      <c r="CJ1860" s="16" t="e">
        <f t="shared" si="505"/>
        <v>#N/A</v>
      </c>
      <c r="CK1860" s="16" t="str">
        <f t="shared" si="506"/>
        <v/>
      </c>
    </row>
    <row r="1861" spans="73:89" ht="12" customHeight="1">
      <c r="BU1861" s="16">
        <f t="shared" si="507"/>
        <v>0</v>
      </c>
      <c r="BV1861" s="16">
        <f>IF($BY$12=1,NORMDIST(BY1861,$Y$6,$Y$8,TRUE),IF($BY$12=2,IF(BY1861&lt;=$BX$31,0,IF(BY1861&gt;=$BX$32,1,(BY1861-$BX$31)*$BX$33)),SUM($BU$42:BU1861)/$BV$40))</f>
        <v>0.99999999997873723</v>
      </c>
      <c r="BW1861" s="16">
        <f t="shared" si="499"/>
        <v>1.3034826131496651E-9</v>
      </c>
      <c r="BY1861" s="16">
        <f t="shared" si="500"/>
        <v>181.89999999999395</v>
      </c>
      <c r="BZ1861" s="16">
        <f t="shared" si="501"/>
        <v>7.1659297039566163E-12</v>
      </c>
      <c r="CA1861" s="16">
        <f t="shared" si="508"/>
        <v>-999</v>
      </c>
      <c r="CE1861" s="16" t="e">
        <f t="shared" si="502"/>
        <v>#N/A</v>
      </c>
      <c r="CF1861" s="16">
        <f t="shared" si="503"/>
        <v>99</v>
      </c>
      <c r="CG1861" s="16">
        <f t="shared" si="504"/>
        <v>0</v>
      </c>
      <c r="CH1861" s="16">
        <f t="shared" si="509"/>
        <v>0</v>
      </c>
      <c r="CJ1861" s="16" t="e">
        <f t="shared" si="505"/>
        <v>#N/A</v>
      </c>
      <c r="CK1861" s="16" t="str">
        <f t="shared" si="506"/>
        <v/>
      </c>
    </row>
    <row r="1862" spans="73:89" ht="12" customHeight="1">
      <c r="BU1862" s="16">
        <f t="shared" si="507"/>
        <v>0</v>
      </c>
      <c r="BV1862" s="16">
        <f>IF($BY$12=1,NORMDIST(BY1862,$Y$6,$Y$8,TRUE),IF($BY$12=2,IF(BY1862&lt;=$BX$31,0,IF(BY1862&gt;=$BX$32,1,(BY1862-$BX$31)*$BX$33)),SUM($BU$42:BU1862)/$BV$40))</f>
        <v>0.99999999997944211</v>
      </c>
      <c r="BW1862" s="16">
        <f t="shared" si="499"/>
        <v>1.2618787946929114E-9</v>
      </c>
      <c r="BY1862" s="16">
        <f t="shared" si="500"/>
        <v>181.99999999999395</v>
      </c>
      <c r="BZ1862" s="16">
        <f t="shared" si="501"/>
        <v>6.933399970840403E-12</v>
      </c>
      <c r="CA1862" s="16">
        <f t="shared" si="508"/>
        <v>-999</v>
      </c>
      <c r="CE1862" s="16" t="e">
        <f t="shared" si="502"/>
        <v>#N/A</v>
      </c>
      <c r="CF1862" s="16">
        <f t="shared" si="503"/>
        <v>99</v>
      </c>
      <c r="CG1862" s="16">
        <f t="shared" si="504"/>
        <v>0</v>
      </c>
      <c r="CH1862" s="16">
        <f t="shared" si="509"/>
        <v>0</v>
      </c>
      <c r="CJ1862" s="16" t="e">
        <f t="shared" si="505"/>
        <v>#N/A</v>
      </c>
      <c r="CK1862" s="16" t="str">
        <f t="shared" si="506"/>
        <v/>
      </c>
    </row>
    <row r="1863" spans="73:89" ht="12" customHeight="1">
      <c r="BU1863" s="16">
        <f t="shared" si="507"/>
        <v>0</v>
      </c>
      <c r="BV1863" s="16">
        <f>IF($BY$12=1,NORMDIST(BY1863,$Y$6,$Y$8,TRUE),IF($BY$12=2,IF(BY1863&lt;=$BX$31,0,IF(BY1863&gt;=$BX$32,1,(BY1863-$BX$31)*$BX$33)),SUM($BU$42:BU1863)/$BV$40))</f>
        <v>0.99999999998012412</v>
      </c>
      <c r="BW1863" s="16">
        <f t="shared" si="499"/>
        <v>1.2215719548303431E-9</v>
      </c>
      <c r="BY1863" s="16">
        <f t="shared" si="500"/>
        <v>182.09999999999394</v>
      </c>
      <c r="BZ1863" s="16">
        <f t="shared" si="501"/>
        <v>6.708247967217923E-12</v>
      </c>
      <c r="CA1863" s="16">
        <f t="shared" si="508"/>
        <v>-999</v>
      </c>
      <c r="CE1863" s="16" t="e">
        <f t="shared" si="502"/>
        <v>#N/A</v>
      </c>
      <c r="CF1863" s="16">
        <f t="shared" si="503"/>
        <v>99</v>
      </c>
      <c r="CG1863" s="16">
        <f t="shared" si="504"/>
        <v>0</v>
      </c>
      <c r="CH1863" s="16">
        <f t="shared" si="509"/>
        <v>0</v>
      </c>
      <c r="CJ1863" s="16" t="e">
        <f t="shared" si="505"/>
        <v>#N/A</v>
      </c>
      <c r="CK1863" s="16" t="str">
        <f t="shared" si="506"/>
        <v/>
      </c>
    </row>
    <row r="1864" spans="73:89" ht="12" customHeight="1">
      <c r="BU1864" s="16">
        <f t="shared" si="507"/>
        <v>0</v>
      </c>
      <c r="BV1864" s="16">
        <f>IF($BY$12=1,NORMDIST(BY1864,$Y$6,$Y$8,TRUE),IF($BY$12=2,IF(BY1864&lt;=$BX$31,0,IF(BY1864&gt;=$BX$32,1,(BY1864-$BX$31)*$BX$33)),SUM($BU$42:BU1864)/$BV$40))</f>
        <v>0.99999999998078404</v>
      </c>
      <c r="BW1864" s="16">
        <f t="shared" si="499"/>
        <v>1.18252267303676E-9</v>
      </c>
      <c r="BY1864" s="16">
        <f t="shared" si="500"/>
        <v>182.19999999999393</v>
      </c>
      <c r="BZ1864" s="16">
        <f t="shared" si="501"/>
        <v>6.4902451868100956E-12</v>
      </c>
      <c r="CA1864" s="16">
        <f t="shared" si="508"/>
        <v>-999</v>
      </c>
      <c r="CE1864" s="16" t="e">
        <f t="shared" si="502"/>
        <v>#N/A</v>
      </c>
      <c r="CF1864" s="16">
        <f t="shared" si="503"/>
        <v>99</v>
      </c>
      <c r="CG1864" s="16">
        <f t="shared" si="504"/>
        <v>0</v>
      </c>
      <c r="CH1864" s="16">
        <f t="shared" si="509"/>
        <v>0</v>
      </c>
      <c r="CJ1864" s="16" t="e">
        <f t="shared" si="505"/>
        <v>#N/A</v>
      </c>
      <c r="CK1864" s="16" t="str">
        <f t="shared" si="506"/>
        <v/>
      </c>
    </row>
    <row r="1865" spans="73:89" ht="12" customHeight="1">
      <c r="BU1865" s="16">
        <f t="shared" si="507"/>
        <v>0</v>
      </c>
      <c r="BV1865" s="16">
        <f>IF($BY$12=1,NORMDIST(BY1865,$Y$6,$Y$8,TRUE),IF($BY$12=2,IF(BY1865&lt;=$BX$31,0,IF(BY1865&gt;=$BX$32,1,(BY1865-$BX$31)*$BX$33)),SUM($BU$42:BU1865)/$BV$40))</f>
        <v>0.99999999998142242</v>
      </c>
      <c r="BW1865" s="16">
        <f t="shared" si="499"/>
        <v>1.1446926944701267E-9</v>
      </c>
      <c r="BY1865" s="16">
        <f t="shared" si="500"/>
        <v>182.29999999999393</v>
      </c>
      <c r="BZ1865" s="16">
        <f t="shared" si="501"/>
        <v>6.2791700190354621E-12</v>
      </c>
      <c r="CA1865" s="16">
        <f t="shared" si="508"/>
        <v>-999</v>
      </c>
      <c r="CE1865" s="16" t="e">
        <f t="shared" si="502"/>
        <v>#N/A</v>
      </c>
      <c r="CF1865" s="16">
        <f t="shared" si="503"/>
        <v>99</v>
      </c>
      <c r="CG1865" s="16">
        <f t="shared" si="504"/>
        <v>0</v>
      </c>
      <c r="CH1865" s="16">
        <f t="shared" si="509"/>
        <v>0</v>
      </c>
      <c r="CJ1865" s="16" t="e">
        <f t="shared" si="505"/>
        <v>#N/A</v>
      </c>
      <c r="CK1865" s="16" t="str">
        <f t="shared" si="506"/>
        <v/>
      </c>
    </row>
    <row r="1866" spans="73:89" ht="12" customHeight="1">
      <c r="BU1866" s="16">
        <f t="shared" si="507"/>
        <v>0</v>
      </c>
      <c r="BV1866" s="16">
        <f>IF($BY$12=1,NORMDIST(BY1866,$Y$6,$Y$8,TRUE),IF($BY$12=2,IF(BY1866&lt;=$BX$31,0,IF(BY1866&gt;=$BX$32,1,(BY1866-$BX$31)*$BX$33)),SUM($BU$42:BU1866)/$BV$40))</f>
        <v>0.99999999998204003</v>
      </c>
      <c r="BW1866" s="16">
        <f t="shared" si="499"/>
        <v>1.1080448965209769E-9</v>
      </c>
      <c r="BY1866" s="16">
        <f t="shared" si="500"/>
        <v>182.39999999999392</v>
      </c>
      <c r="BZ1866" s="16">
        <f t="shared" si="501"/>
        <v>6.0748075467160843E-12</v>
      </c>
      <c r="CA1866" s="16">
        <f t="shared" si="508"/>
        <v>-999</v>
      </c>
      <c r="CE1866" s="16" t="e">
        <f t="shared" si="502"/>
        <v>#N/A</v>
      </c>
      <c r="CF1866" s="16">
        <f t="shared" si="503"/>
        <v>99</v>
      </c>
      <c r="CG1866" s="16">
        <f t="shared" si="504"/>
        <v>0</v>
      </c>
      <c r="CH1866" s="16">
        <f t="shared" si="509"/>
        <v>0</v>
      </c>
      <c r="CJ1866" s="16" t="e">
        <f t="shared" si="505"/>
        <v>#N/A</v>
      </c>
      <c r="CK1866" s="16" t="str">
        <f t="shared" si="506"/>
        <v/>
      </c>
    </row>
    <row r="1867" spans="73:89" ht="12" customHeight="1">
      <c r="BU1867" s="16">
        <f t="shared" si="507"/>
        <v>0</v>
      </c>
      <c r="BV1867" s="16">
        <f>IF($BY$12=1,NORMDIST(BY1867,$Y$6,$Y$8,TRUE),IF($BY$12=2,IF(BY1867&lt;=$BX$31,0,IF(BY1867&gt;=$BX$32,1,(BY1867-$BX$31)*$BX$33)),SUM($BU$42:BU1867)/$BV$40))</f>
        <v>0.99999999998263756</v>
      </c>
      <c r="BW1867" s="16">
        <f t="shared" si="499"/>
        <v>1.0725432562904642E-9</v>
      </c>
      <c r="BY1867" s="16">
        <f t="shared" si="500"/>
        <v>182.49999999999392</v>
      </c>
      <c r="BZ1867" s="16">
        <f t="shared" si="501"/>
        <v>5.8769493495369864E-12</v>
      </c>
      <c r="CA1867" s="16">
        <f t="shared" si="508"/>
        <v>-999</v>
      </c>
      <c r="CE1867" s="16" t="e">
        <f t="shared" si="502"/>
        <v>#N/A</v>
      </c>
      <c r="CF1867" s="16">
        <f t="shared" si="503"/>
        <v>99</v>
      </c>
      <c r="CG1867" s="16">
        <f t="shared" si="504"/>
        <v>0</v>
      </c>
      <c r="CH1867" s="16">
        <f t="shared" si="509"/>
        <v>0</v>
      </c>
      <c r="CJ1867" s="16" t="e">
        <f t="shared" si="505"/>
        <v>#N/A</v>
      </c>
      <c r="CK1867" s="16" t="str">
        <f t="shared" si="506"/>
        <v/>
      </c>
    </row>
    <row r="1868" spans="73:89" ht="12" customHeight="1">
      <c r="BU1868" s="16">
        <f t="shared" si="507"/>
        <v>0</v>
      </c>
      <c r="BV1868" s="16">
        <f>IF($BY$12=1,NORMDIST(BY1868,$Y$6,$Y$8,TRUE),IF($BY$12=2,IF(BY1868&lt;=$BX$31,0,IF(BY1868&gt;=$BX$32,1,(BY1868-$BX$31)*$BX$33)),SUM($BU$42:BU1868)/$BV$40))</f>
        <v>0.99999999998321565</v>
      </c>
      <c r="BW1868" s="16">
        <f t="shared" si="499"/>
        <v>1.038152818972203E-9</v>
      </c>
      <c r="BY1868" s="16">
        <f t="shared" si="500"/>
        <v>182.59999999999391</v>
      </c>
      <c r="BZ1868" s="16">
        <f t="shared" si="501"/>
        <v>5.6853933131009731E-12</v>
      </c>
      <c r="CA1868" s="16">
        <f t="shared" si="508"/>
        <v>-999</v>
      </c>
      <c r="CE1868" s="16" t="e">
        <f t="shared" si="502"/>
        <v>#N/A</v>
      </c>
      <c r="CF1868" s="16">
        <f t="shared" si="503"/>
        <v>99</v>
      </c>
      <c r="CG1868" s="16">
        <f t="shared" si="504"/>
        <v>0</v>
      </c>
      <c r="CH1868" s="16">
        <f t="shared" si="509"/>
        <v>0</v>
      </c>
      <c r="CJ1868" s="16" t="e">
        <f t="shared" si="505"/>
        <v>#N/A</v>
      </c>
      <c r="CK1868" s="16" t="str">
        <f t="shared" si="506"/>
        <v/>
      </c>
    </row>
    <row r="1869" spans="73:89" ht="12" customHeight="1">
      <c r="BU1869" s="16">
        <f t="shared" si="507"/>
        <v>0</v>
      </c>
      <c r="BV1869" s="16">
        <f>IF($BY$12=1,NORMDIST(BY1869,$Y$6,$Y$8,TRUE),IF($BY$12=2,IF(BY1869&lt;=$BX$31,0,IF(BY1869&gt;=$BX$32,1,(BY1869-$BX$31)*$BX$33)),SUM($BU$42:BU1869)/$BV$40))</f>
        <v>0.99999999998377487</v>
      </c>
      <c r="BW1869" s="16">
        <f t="shared" si="499"/>
        <v>1.0048396671137034E-9</v>
      </c>
      <c r="BY1869" s="16">
        <f t="shared" si="500"/>
        <v>182.69999999999391</v>
      </c>
      <c r="BZ1869" s="16">
        <f t="shared" si="501"/>
        <v>5.4999434434249417E-12</v>
      </c>
      <c r="CA1869" s="16">
        <f t="shared" si="508"/>
        <v>-999</v>
      </c>
      <c r="CE1869" s="16" t="e">
        <f t="shared" si="502"/>
        <v>#N/A</v>
      </c>
      <c r="CF1869" s="16">
        <f t="shared" si="503"/>
        <v>99</v>
      </c>
      <c r="CG1869" s="16">
        <f t="shared" si="504"/>
        <v>0</v>
      </c>
      <c r="CH1869" s="16">
        <f t="shared" si="509"/>
        <v>0</v>
      </c>
      <c r="CJ1869" s="16" t="e">
        <f t="shared" si="505"/>
        <v>#N/A</v>
      </c>
      <c r="CK1869" s="16" t="str">
        <f t="shared" si="506"/>
        <v/>
      </c>
    </row>
    <row r="1870" spans="73:89" ht="12" customHeight="1">
      <c r="BU1870" s="16">
        <f t="shared" si="507"/>
        <v>0</v>
      </c>
      <c r="BV1870" s="16">
        <f>IF($BY$12=1,NORMDIST(BY1870,$Y$6,$Y$8,TRUE),IF($BY$12=2,IF(BY1870&lt;=$BX$31,0,IF(BY1870&gt;=$BX$32,1,(BY1870-$BX$31)*$BX$33)),SUM($BU$42:BU1870)/$BV$40))</f>
        <v>0.99999999998431588</v>
      </c>
      <c r="BW1870" s="16">
        <f t="shared" si="499"/>
        <v>9.7257089073376805E-10</v>
      </c>
      <c r="BY1870" s="16">
        <f t="shared" si="500"/>
        <v>182.7999999999939</v>
      </c>
      <c r="BZ1870" s="16">
        <f t="shared" si="501"/>
        <v>5.3204096867275734E-12</v>
      </c>
      <c r="CA1870" s="16">
        <f t="shared" si="508"/>
        <v>-999</v>
      </c>
      <c r="CE1870" s="16" t="e">
        <f t="shared" si="502"/>
        <v>#N/A</v>
      </c>
      <c r="CF1870" s="16">
        <f t="shared" si="503"/>
        <v>99</v>
      </c>
      <c r="CG1870" s="16">
        <f t="shared" si="504"/>
        <v>0</v>
      </c>
      <c r="CH1870" s="16">
        <f t="shared" si="509"/>
        <v>0</v>
      </c>
      <c r="CJ1870" s="16" t="e">
        <f t="shared" si="505"/>
        <v>#N/A</v>
      </c>
      <c r="CK1870" s="16" t="str">
        <f t="shared" si="506"/>
        <v/>
      </c>
    </row>
    <row r="1871" spans="73:89" ht="12" customHeight="1">
      <c r="BU1871" s="16">
        <f t="shared" si="507"/>
        <v>0</v>
      </c>
      <c r="BV1871" s="16">
        <f>IF($BY$12=1,NORMDIST(BY1871,$Y$6,$Y$8,TRUE),IF($BY$12=2,IF(BY1871&lt;=$BX$31,0,IF(BY1871&gt;=$BX$32,1,(BY1871-$BX$31)*$BX$33)),SUM($BU$42:BU1871)/$BV$40))</f>
        <v>0.99999999998483913</v>
      </c>
      <c r="BW1871" s="16">
        <f t="shared" si="499"/>
        <v>9.4131455827299285E-10</v>
      </c>
      <c r="BY1871" s="16">
        <f t="shared" si="500"/>
        <v>182.8999999999939</v>
      </c>
      <c r="BZ1871" s="16">
        <f t="shared" si="501"/>
        <v>5.1466077543631721E-12</v>
      </c>
      <c r="CA1871" s="16">
        <f t="shared" si="508"/>
        <v>-999</v>
      </c>
      <c r="CE1871" s="16" t="e">
        <f t="shared" si="502"/>
        <v>#N/A</v>
      </c>
      <c r="CF1871" s="16">
        <f t="shared" si="503"/>
        <v>99</v>
      </c>
      <c r="CG1871" s="16">
        <f t="shared" si="504"/>
        <v>0</v>
      </c>
      <c r="CH1871" s="16">
        <f t="shared" si="509"/>
        <v>0</v>
      </c>
      <c r="CJ1871" s="16" t="e">
        <f t="shared" si="505"/>
        <v>#N/A</v>
      </c>
      <c r="CK1871" s="16" t="str">
        <f t="shared" si="506"/>
        <v/>
      </c>
    </row>
    <row r="1872" spans="73:89" ht="12" customHeight="1">
      <c r="BU1872" s="16">
        <f t="shared" si="507"/>
        <v>0</v>
      </c>
      <c r="BV1872" s="16">
        <f>IF($BY$12=1,NORMDIST(BY1872,$Y$6,$Y$8,TRUE),IF($BY$12=2,IF(BY1872&lt;=$BX$31,0,IF(BY1872&gt;=$BX$32,1,(BY1872-$BX$31)*$BX$33)),SUM($BU$42:BU1872)/$BV$40))</f>
        <v>0.99999999998534539</v>
      </c>
      <c r="BW1872" s="16">
        <f t="shared" si="499"/>
        <v>9.1103968835479986E-10</v>
      </c>
      <c r="BY1872" s="16">
        <f t="shared" si="500"/>
        <v>182.99999999999389</v>
      </c>
      <c r="BZ1872" s="16">
        <f t="shared" si="501"/>
        <v>4.9783589527586356E-12</v>
      </c>
      <c r="CA1872" s="16">
        <f t="shared" si="508"/>
        <v>-999</v>
      </c>
      <c r="CE1872" s="16" t="e">
        <f t="shared" si="502"/>
        <v>#N/A</v>
      </c>
      <c r="CF1872" s="16">
        <f t="shared" si="503"/>
        <v>99</v>
      </c>
      <c r="CG1872" s="16">
        <f t="shared" si="504"/>
        <v>0</v>
      </c>
      <c r="CH1872" s="16">
        <f t="shared" si="509"/>
        <v>0</v>
      </c>
      <c r="CJ1872" s="16" t="e">
        <f t="shared" si="505"/>
        <v>#N/A</v>
      </c>
      <c r="CK1872" s="16" t="str">
        <f t="shared" si="506"/>
        <v/>
      </c>
    </row>
    <row r="1873" spans="73:89" ht="12" customHeight="1">
      <c r="BU1873" s="16">
        <f t="shared" si="507"/>
        <v>0</v>
      </c>
      <c r="BV1873" s="16">
        <f>IF($BY$12=1,NORMDIST(BY1873,$Y$6,$Y$8,TRUE),IF($BY$12=2,IF(BY1873&lt;=$BX$31,0,IF(BY1873&gt;=$BX$32,1,(BY1873-$BX$31)*$BX$33)),SUM($BU$42:BU1873)/$BV$40))</f>
        <v>0.999999999985835</v>
      </c>
      <c r="BW1873" s="16">
        <f t="shared" si="499"/>
        <v>8.817162223353739E-10</v>
      </c>
      <c r="BY1873" s="16">
        <f t="shared" si="500"/>
        <v>183.09999999999388</v>
      </c>
      <c r="BZ1873" s="16">
        <f t="shared" si="501"/>
        <v>4.8154900182162935E-12</v>
      </c>
      <c r="CA1873" s="16">
        <f t="shared" si="508"/>
        <v>-999</v>
      </c>
      <c r="CE1873" s="16" t="e">
        <f t="shared" si="502"/>
        <v>#N/A</v>
      </c>
      <c r="CF1873" s="16">
        <f t="shared" si="503"/>
        <v>99</v>
      </c>
      <c r="CG1873" s="16">
        <f t="shared" si="504"/>
        <v>0</v>
      </c>
      <c r="CH1873" s="16">
        <f t="shared" si="509"/>
        <v>0</v>
      </c>
      <c r="CJ1873" s="16" t="e">
        <f t="shared" si="505"/>
        <v>#N/A</v>
      </c>
      <c r="CK1873" s="16" t="str">
        <f t="shared" si="506"/>
        <v/>
      </c>
    </row>
    <row r="1874" spans="73:89" ht="12" customHeight="1">
      <c r="BU1874" s="16">
        <f t="shared" si="507"/>
        <v>0</v>
      </c>
      <c r="BV1874" s="16">
        <f>IF($BY$12=1,NORMDIST(BY1874,$Y$6,$Y$8,TRUE),IF($BY$12=2,IF(BY1874&lt;=$BX$31,0,IF(BY1874&gt;=$BX$32,1,(BY1874-$BX$31)*$BX$33)),SUM($BU$42:BU1874)/$BV$40))</f>
        <v>0.99999999998630862</v>
      </c>
      <c r="BW1874" s="16">
        <f t="shared" si="499"/>
        <v>8.5331499762114236E-10</v>
      </c>
      <c r="BY1874" s="16">
        <f t="shared" si="500"/>
        <v>183.19999999999388</v>
      </c>
      <c r="BZ1874" s="16">
        <f t="shared" si="501"/>
        <v>4.6578329564474393E-12</v>
      </c>
      <c r="CA1874" s="16">
        <f t="shared" si="508"/>
        <v>-999</v>
      </c>
      <c r="CE1874" s="16" t="e">
        <f t="shared" si="502"/>
        <v>#N/A</v>
      </c>
      <c r="CF1874" s="16">
        <f t="shared" si="503"/>
        <v>99</v>
      </c>
      <c r="CG1874" s="16">
        <f t="shared" si="504"/>
        <v>0</v>
      </c>
      <c r="CH1874" s="16">
        <f t="shared" si="509"/>
        <v>0</v>
      </c>
      <c r="CJ1874" s="16" t="e">
        <f t="shared" si="505"/>
        <v>#N/A</v>
      </c>
      <c r="CK1874" s="16" t="str">
        <f t="shared" si="506"/>
        <v/>
      </c>
    </row>
    <row r="1875" spans="73:89" ht="12" customHeight="1">
      <c r="BU1875" s="16">
        <f t="shared" si="507"/>
        <v>0</v>
      </c>
      <c r="BV1875" s="16">
        <f>IF($BY$12=1,NORMDIST(BY1875,$Y$6,$Y$8,TRUE),IF($BY$12=2,IF(BY1875&lt;=$BX$31,0,IF(BY1875&gt;=$BX$32,1,(BY1875-$BX$31)*$BX$33)),SUM($BU$42:BU1875)/$BV$40))</f>
        <v>0.9999999999867667</v>
      </c>
      <c r="BW1875" s="16">
        <f t="shared" ref="BW1875:BW1938" si="510">BY1875*BZ1875</f>
        <v>8.2580772173314454E-10</v>
      </c>
      <c r="BY1875" s="16">
        <f t="shared" ref="BY1875:BY1938" si="511">BY1874+$BZ$1</f>
        <v>183.29999999999387</v>
      </c>
      <c r="BZ1875" s="16">
        <f t="shared" si="501"/>
        <v>4.5052248867057944E-12</v>
      </c>
      <c r="CA1875" s="16">
        <f t="shared" si="508"/>
        <v>-999</v>
      </c>
      <c r="CE1875" s="16" t="e">
        <f t="shared" si="502"/>
        <v>#N/A</v>
      </c>
      <c r="CF1875" s="16">
        <f t="shared" si="503"/>
        <v>99</v>
      </c>
      <c r="CG1875" s="16">
        <f t="shared" si="504"/>
        <v>0</v>
      </c>
      <c r="CH1875" s="16">
        <f t="shared" si="509"/>
        <v>0</v>
      </c>
      <c r="CJ1875" s="16" t="e">
        <f t="shared" si="505"/>
        <v>#N/A</v>
      </c>
      <c r="CK1875" s="16" t="str">
        <f t="shared" si="506"/>
        <v/>
      </c>
    </row>
    <row r="1876" spans="73:89" ht="12" customHeight="1">
      <c r="BU1876" s="16">
        <f t="shared" si="507"/>
        <v>0</v>
      </c>
      <c r="BV1876" s="16">
        <f>IF($BY$12=1,NORMDIST(BY1876,$Y$6,$Y$8,TRUE),IF($BY$12=2,IF(BY1876&lt;=$BX$31,0,IF(BY1876&gt;=$BX$32,1,(BY1876-$BX$31)*$BX$33)),SUM($BU$42:BU1876)/$BV$40))</f>
        <v>0.99999999998720979</v>
      </c>
      <c r="BW1876" s="16">
        <f t="shared" si="510"/>
        <v>7.9916694709811734E-10</v>
      </c>
      <c r="BY1876" s="16">
        <f t="shared" si="511"/>
        <v>183.39999999999387</v>
      </c>
      <c r="BZ1876" s="16">
        <f t="shared" si="501"/>
        <v>4.35750789039337E-12</v>
      </c>
      <c r="CA1876" s="16">
        <f t="shared" si="508"/>
        <v>-999</v>
      </c>
      <c r="CE1876" s="16" t="e">
        <f t="shared" si="502"/>
        <v>#N/A</v>
      </c>
      <c r="CF1876" s="16">
        <f t="shared" si="503"/>
        <v>99</v>
      </c>
      <c r="CG1876" s="16">
        <f t="shared" si="504"/>
        <v>0</v>
      </c>
      <c r="CH1876" s="16">
        <f t="shared" si="509"/>
        <v>0</v>
      </c>
      <c r="CJ1876" s="16" t="e">
        <f t="shared" si="505"/>
        <v>#N/A</v>
      </c>
      <c r="CK1876" s="16" t="str">
        <f t="shared" si="506"/>
        <v/>
      </c>
    </row>
    <row r="1877" spans="73:89" ht="12" customHeight="1">
      <c r="BU1877" s="16">
        <f t="shared" si="507"/>
        <v>0</v>
      </c>
      <c r="BV1877" s="16">
        <f>IF($BY$12=1,NORMDIST(BY1877,$Y$6,$Y$8,TRUE),IF($BY$12=2,IF(BY1877&lt;=$BX$31,0,IF(BY1877&gt;=$BX$32,1,(BY1877-$BX$31)*$BX$33)),SUM($BU$42:BU1877)/$BV$40))</f>
        <v>0.99999999998763844</v>
      </c>
      <c r="BW1877" s="16">
        <f t="shared" si="510"/>
        <v>7.7336604654666743E-10</v>
      </c>
      <c r="BY1877" s="16">
        <f t="shared" si="511"/>
        <v>183.49999999999386</v>
      </c>
      <c r="BZ1877" s="16">
        <f t="shared" si="501"/>
        <v>4.2145288640146775E-12</v>
      </c>
      <c r="CA1877" s="16">
        <f t="shared" si="508"/>
        <v>-999</v>
      </c>
      <c r="CE1877" s="16" t="e">
        <f t="shared" si="502"/>
        <v>#N/A</v>
      </c>
      <c r="CF1877" s="16">
        <f t="shared" si="503"/>
        <v>99</v>
      </c>
      <c r="CG1877" s="16">
        <f t="shared" si="504"/>
        <v>0</v>
      </c>
      <c r="CH1877" s="16">
        <f t="shared" si="509"/>
        <v>0</v>
      </c>
      <c r="CJ1877" s="16" t="e">
        <f t="shared" si="505"/>
        <v>#N/A</v>
      </c>
      <c r="CK1877" s="16" t="str">
        <f t="shared" si="506"/>
        <v/>
      </c>
    </row>
    <row r="1878" spans="73:89" ht="12" customHeight="1">
      <c r="BU1878" s="16">
        <f t="shared" si="507"/>
        <v>0</v>
      </c>
      <c r="BV1878" s="16">
        <f>IF($BY$12=1,NORMDIST(BY1878,$Y$6,$Y$8,TRUE),IF($BY$12=2,IF(BY1878&lt;=$BX$31,0,IF(BY1878&gt;=$BX$32,1,(BY1878-$BX$31)*$BX$33)),SUM($BU$42:BU1878)/$BV$40))</f>
        <v>0.99999999998805289</v>
      </c>
      <c r="BW1878" s="16">
        <f t="shared" si="510"/>
        <v>7.4837918949937475E-10</v>
      </c>
      <c r="BY1878" s="16">
        <f t="shared" si="511"/>
        <v>183.59999999999386</v>
      </c>
      <c r="BZ1878" s="16">
        <f t="shared" si="501"/>
        <v>4.076139376358387E-12</v>
      </c>
      <c r="CA1878" s="16">
        <f t="shared" si="508"/>
        <v>-999</v>
      </c>
      <c r="CE1878" s="16" t="e">
        <f t="shared" si="502"/>
        <v>#N/A</v>
      </c>
      <c r="CF1878" s="16">
        <f t="shared" si="503"/>
        <v>99</v>
      </c>
      <c r="CG1878" s="16">
        <f t="shared" si="504"/>
        <v>0</v>
      </c>
      <c r="CH1878" s="16">
        <f t="shared" si="509"/>
        <v>0</v>
      </c>
      <c r="CJ1878" s="16" t="e">
        <f t="shared" si="505"/>
        <v>#N/A</v>
      </c>
      <c r="CK1878" s="16" t="str">
        <f t="shared" si="506"/>
        <v/>
      </c>
    </row>
    <row r="1879" spans="73:89" ht="12" customHeight="1">
      <c r="BU1879" s="16">
        <f t="shared" si="507"/>
        <v>0</v>
      </c>
      <c r="BV1879" s="16">
        <f>IF($BY$12=1,NORMDIST(BY1879,$Y$6,$Y$8,TRUE),IF($BY$12=2,IF(BY1879&lt;=$BX$31,0,IF(BY1879&gt;=$BX$32,1,(BY1879-$BX$31)*$BX$33)),SUM($BU$42:BU1879)/$BV$40))</f>
        <v>0.99999999998845379</v>
      </c>
      <c r="BW1879" s="16">
        <f t="shared" si="510"/>
        <v>7.2418131882225018E-10</v>
      </c>
      <c r="BY1879" s="16">
        <f t="shared" si="511"/>
        <v>183.69999999999385</v>
      </c>
      <c r="BZ1879" s="16">
        <f t="shared" si="501"/>
        <v>3.9421955297891913E-12</v>
      </c>
      <c r="CA1879" s="16">
        <f t="shared" si="508"/>
        <v>-999</v>
      </c>
      <c r="CE1879" s="16" t="e">
        <f t="shared" si="502"/>
        <v>#N/A</v>
      </c>
      <c r="CF1879" s="16">
        <f t="shared" si="503"/>
        <v>99</v>
      </c>
      <c r="CG1879" s="16">
        <f t="shared" si="504"/>
        <v>0</v>
      </c>
      <c r="CH1879" s="16">
        <f t="shared" si="509"/>
        <v>0</v>
      </c>
      <c r="CJ1879" s="16" t="e">
        <f t="shared" si="505"/>
        <v>#N/A</v>
      </c>
      <c r="CK1879" s="16" t="str">
        <f t="shared" si="506"/>
        <v/>
      </c>
    </row>
    <row r="1880" spans="73:89" ht="12" customHeight="1">
      <c r="BU1880" s="16">
        <f t="shared" si="507"/>
        <v>0</v>
      </c>
      <c r="BV1880" s="16">
        <f>IF($BY$12=1,NORMDIST(BY1880,$Y$6,$Y$8,TRUE),IF($BY$12=2,IF(BY1880&lt;=$BX$31,0,IF(BY1880&gt;=$BX$32,1,(BY1880-$BX$31)*$BX$33)),SUM($BU$42:BU1880)/$BV$40))</f>
        <v>0.99999999998884148</v>
      </c>
      <c r="BW1880" s="16">
        <f t="shared" si="510"/>
        <v>7.0074812833330513E-10</v>
      </c>
      <c r="BY1880" s="16">
        <f t="shared" si="511"/>
        <v>183.79999999999384</v>
      </c>
      <c r="BZ1880" s="16">
        <f t="shared" si="501"/>
        <v>3.8125578255349759E-12</v>
      </c>
      <c r="CA1880" s="16">
        <f t="shared" si="508"/>
        <v>-999</v>
      </c>
      <c r="CE1880" s="16" t="e">
        <f t="shared" si="502"/>
        <v>#N/A</v>
      </c>
      <c r="CF1880" s="16">
        <f t="shared" si="503"/>
        <v>99</v>
      </c>
      <c r="CG1880" s="16">
        <f t="shared" si="504"/>
        <v>0</v>
      </c>
      <c r="CH1880" s="16">
        <f t="shared" si="509"/>
        <v>0</v>
      </c>
      <c r="CJ1880" s="16" t="e">
        <f t="shared" si="505"/>
        <v>#N/A</v>
      </c>
      <c r="CK1880" s="16" t="str">
        <f t="shared" si="506"/>
        <v/>
      </c>
    </row>
    <row r="1881" spans="73:89" ht="12" customHeight="1">
      <c r="BU1881" s="16">
        <f t="shared" si="507"/>
        <v>0</v>
      </c>
      <c r="BV1881" s="16">
        <f>IF($BY$12=1,NORMDIST(BY1881,$Y$6,$Y$8,TRUE),IF($BY$12=2,IF(BY1881&lt;=$BX$31,0,IF(BY1881&gt;=$BX$32,1,(BY1881-$BX$31)*$BX$33)),SUM($BU$42:BU1881)/$BV$40))</f>
        <v>0.9999999999892164</v>
      </c>
      <c r="BW1881" s="16">
        <f t="shared" si="510"/>
        <v>6.7805604094267371E-10</v>
      </c>
      <c r="BY1881" s="16">
        <f t="shared" si="511"/>
        <v>183.89999999999384</v>
      </c>
      <c r="BZ1881" s="16">
        <f t="shared" si="501"/>
        <v>3.6870910328585995E-12</v>
      </c>
      <c r="CA1881" s="16">
        <f t="shared" si="508"/>
        <v>-999</v>
      </c>
      <c r="CE1881" s="16" t="e">
        <f t="shared" si="502"/>
        <v>#N/A</v>
      </c>
      <c r="CF1881" s="16">
        <f t="shared" si="503"/>
        <v>99</v>
      </c>
      <c r="CG1881" s="16">
        <f t="shared" si="504"/>
        <v>0</v>
      </c>
      <c r="CH1881" s="16">
        <f t="shared" si="509"/>
        <v>0</v>
      </c>
      <c r="CJ1881" s="16" t="e">
        <f t="shared" si="505"/>
        <v>#N/A</v>
      </c>
      <c r="CK1881" s="16" t="str">
        <f t="shared" si="506"/>
        <v/>
      </c>
    </row>
    <row r="1882" spans="73:89" ht="12" customHeight="1">
      <c r="BU1882" s="16">
        <f t="shared" si="507"/>
        <v>0</v>
      </c>
      <c r="BV1882" s="16">
        <f>IF($BY$12=1,NORMDIST(BY1882,$Y$6,$Y$8,TRUE),IF($BY$12=2,IF(BY1882&lt;=$BX$31,0,IF(BY1882&gt;=$BX$32,1,(BY1882-$BX$31)*$BX$33)),SUM($BU$42:BU1882)/$BV$40))</f>
        <v>0.999999999989579</v>
      </c>
      <c r="BW1882" s="16">
        <f t="shared" si="510"/>
        <v>6.560821874089712E-10</v>
      </c>
      <c r="BY1882" s="16">
        <f t="shared" si="511"/>
        <v>183.99999999999383</v>
      </c>
      <c r="BZ1882" s="16">
        <f t="shared" si="501"/>
        <v>3.5656640620053976E-12</v>
      </c>
      <c r="CA1882" s="16">
        <f t="shared" si="508"/>
        <v>-999</v>
      </c>
      <c r="CE1882" s="16" t="e">
        <f t="shared" si="502"/>
        <v>#N/A</v>
      </c>
      <c r="CF1882" s="16">
        <f t="shared" si="503"/>
        <v>99</v>
      </c>
      <c r="CG1882" s="16">
        <f t="shared" si="504"/>
        <v>0</v>
      </c>
      <c r="CH1882" s="16">
        <f t="shared" si="509"/>
        <v>0</v>
      </c>
      <c r="CJ1882" s="16" t="e">
        <f t="shared" si="505"/>
        <v>#N/A</v>
      </c>
      <c r="CK1882" s="16" t="str">
        <f t="shared" si="506"/>
        <v/>
      </c>
    </row>
    <row r="1883" spans="73:89" ht="12" customHeight="1">
      <c r="BU1883" s="16">
        <f t="shared" si="507"/>
        <v>0</v>
      </c>
      <c r="BV1883" s="16">
        <f>IF($BY$12=1,NORMDIST(BY1883,$Y$6,$Y$8,TRUE),IF($BY$12=2,IF(BY1883&lt;=$BX$31,0,IF(BY1883&gt;=$BX$32,1,(BY1883-$BX$31)*$BX$33)),SUM($BU$42:BU1883)/$BV$40))</f>
        <v>0.99999999998992972</v>
      </c>
      <c r="BW1883" s="16">
        <f t="shared" si="510"/>
        <v>6.3480438569517004E-10</v>
      </c>
      <c r="BY1883" s="16">
        <f t="shared" si="511"/>
        <v>184.09999999999383</v>
      </c>
      <c r="BZ1883" s="16">
        <f t="shared" si="501"/>
        <v>3.4481498408212456E-12</v>
      </c>
      <c r="CA1883" s="16">
        <f t="shared" si="508"/>
        <v>-999</v>
      </c>
      <c r="CE1883" s="16" t="e">
        <f t="shared" si="502"/>
        <v>#N/A</v>
      </c>
      <c r="CF1883" s="16">
        <f t="shared" si="503"/>
        <v>99</v>
      </c>
      <c r="CG1883" s="16">
        <f t="shared" si="504"/>
        <v>0</v>
      </c>
      <c r="CH1883" s="16">
        <f t="shared" si="509"/>
        <v>0</v>
      </c>
      <c r="CJ1883" s="16" t="e">
        <f t="shared" si="505"/>
        <v>#N/A</v>
      </c>
      <c r="CK1883" s="16" t="str">
        <f t="shared" si="506"/>
        <v/>
      </c>
    </row>
    <row r="1884" spans="73:89" ht="12" customHeight="1">
      <c r="BU1884" s="16">
        <f t="shared" si="507"/>
        <v>0</v>
      </c>
      <c r="BV1884" s="16">
        <f>IF($BY$12=1,NORMDIST(BY1884,$Y$6,$Y$8,TRUE),IF($BY$12=2,IF(BY1884&lt;=$BX$31,0,IF(BY1884&gt;=$BX$32,1,(BY1884-$BX$31)*$BX$33)),SUM($BU$42:BU1884)/$BV$40))</f>
        <v>0.99999999999026878</v>
      </c>
      <c r="BW1884" s="16">
        <f t="shared" si="510"/>
        <v>6.1420112090767452E-10</v>
      </c>
      <c r="BY1884" s="16">
        <f t="shared" si="511"/>
        <v>184.19999999999382</v>
      </c>
      <c r="BZ1884" s="16">
        <f t="shared" si="501"/>
        <v>3.3344251949386273E-12</v>
      </c>
      <c r="CA1884" s="16">
        <f t="shared" si="508"/>
        <v>-999</v>
      </c>
      <c r="CE1884" s="16" t="e">
        <f t="shared" si="502"/>
        <v>#N/A</v>
      </c>
      <c r="CF1884" s="16">
        <f t="shared" si="503"/>
        <v>99</v>
      </c>
      <c r="CG1884" s="16">
        <f t="shared" si="504"/>
        <v>0</v>
      </c>
      <c r="CH1884" s="16">
        <f t="shared" si="509"/>
        <v>0</v>
      </c>
      <c r="CJ1884" s="16" t="e">
        <f t="shared" si="505"/>
        <v>#N/A</v>
      </c>
      <c r="CK1884" s="16" t="str">
        <f t="shared" si="506"/>
        <v/>
      </c>
    </row>
    <row r="1885" spans="73:89" ht="12" customHeight="1">
      <c r="BU1885" s="16">
        <f t="shared" si="507"/>
        <v>0</v>
      </c>
      <c r="BV1885" s="16">
        <f>IF($BY$12=1,NORMDIST(BY1885,$Y$6,$Y$8,TRUE),IF($BY$12=2,IF(BY1885&lt;=$BX$31,0,IF(BY1885&gt;=$BX$32,1,(BY1885-$BX$31)*$BX$33)),SUM($BU$42:BU1885)/$BV$40))</f>
        <v>0.99999999999059674</v>
      </c>
      <c r="BW1885" s="16">
        <f t="shared" si="510"/>
        <v>5.9425152580265787E-10</v>
      </c>
      <c r="BY1885" s="16">
        <f t="shared" si="511"/>
        <v>184.29999999999382</v>
      </c>
      <c r="BZ1885" s="16">
        <f t="shared" si="501"/>
        <v>3.2243707314306991E-12</v>
      </c>
      <c r="CA1885" s="16">
        <f t="shared" si="508"/>
        <v>-999</v>
      </c>
      <c r="CE1885" s="16" t="e">
        <f t="shared" si="502"/>
        <v>#N/A</v>
      </c>
      <c r="CF1885" s="16">
        <f t="shared" si="503"/>
        <v>99</v>
      </c>
      <c r="CG1885" s="16">
        <f t="shared" si="504"/>
        <v>0</v>
      </c>
      <c r="CH1885" s="16">
        <f t="shared" si="509"/>
        <v>0</v>
      </c>
      <c r="CJ1885" s="16" t="e">
        <f t="shared" si="505"/>
        <v>#N/A</v>
      </c>
      <c r="CK1885" s="16" t="str">
        <f t="shared" si="506"/>
        <v/>
      </c>
    </row>
    <row r="1886" spans="73:89" ht="12" customHeight="1">
      <c r="BU1886" s="16">
        <f t="shared" si="507"/>
        <v>0</v>
      </c>
      <c r="BV1886" s="16">
        <f>IF($BY$12=1,NORMDIST(BY1886,$Y$6,$Y$8,TRUE),IF($BY$12=2,IF(BY1886&lt;=$BX$31,0,IF(BY1886&gt;=$BX$32,1,(BY1886-$BX$31)*$BX$33)),SUM($BU$42:BU1886)/$BV$40))</f>
        <v>0.99999999999091382</v>
      </c>
      <c r="BW1886" s="16">
        <f t="shared" si="510"/>
        <v>5.7493536184421354E-10</v>
      </c>
      <c r="BY1886" s="16">
        <f t="shared" si="511"/>
        <v>184.39999999999381</v>
      </c>
      <c r="BZ1886" s="16">
        <f t="shared" si="501"/>
        <v>3.1178707258364035E-12</v>
      </c>
      <c r="CA1886" s="16">
        <f t="shared" si="508"/>
        <v>-999</v>
      </c>
      <c r="CE1886" s="16" t="e">
        <f t="shared" si="502"/>
        <v>#N/A</v>
      </c>
      <c r="CF1886" s="16">
        <f t="shared" si="503"/>
        <v>99</v>
      </c>
      <c r="CG1886" s="16">
        <f t="shared" si="504"/>
        <v>0</v>
      </c>
      <c r="CH1886" s="16">
        <f t="shared" si="509"/>
        <v>0</v>
      </c>
      <c r="CJ1886" s="16" t="e">
        <f t="shared" si="505"/>
        <v>#N/A</v>
      </c>
      <c r="CK1886" s="16" t="str">
        <f t="shared" si="506"/>
        <v/>
      </c>
    </row>
    <row r="1887" spans="73:89" ht="12" customHeight="1">
      <c r="BU1887" s="16">
        <f t="shared" si="507"/>
        <v>0</v>
      </c>
      <c r="BV1887" s="16">
        <f>IF($BY$12=1,NORMDIST(BY1887,$Y$6,$Y$8,TRUE),IF($BY$12=2,IF(BY1887&lt;=$BX$31,0,IF(BY1887&gt;=$BX$32,1,(BY1887-$BX$31)*$BX$33)),SUM($BU$42:BU1887)/$BV$40))</f>
        <v>0.99999999999122036</v>
      </c>
      <c r="BW1887" s="16">
        <f t="shared" si="510"/>
        <v>5.5623300079921692E-10</v>
      </c>
      <c r="BY1887" s="16">
        <f t="shared" si="511"/>
        <v>184.4999999999938</v>
      </c>
      <c r="BZ1887" s="16">
        <f t="shared" si="501"/>
        <v>3.0148130124619815E-12</v>
      </c>
      <c r="CA1887" s="16">
        <f t="shared" si="508"/>
        <v>-999</v>
      </c>
      <c r="CE1887" s="16" t="e">
        <f t="shared" si="502"/>
        <v>#N/A</v>
      </c>
      <c r="CF1887" s="16">
        <f t="shared" si="503"/>
        <v>99</v>
      </c>
      <c r="CG1887" s="16">
        <f t="shared" si="504"/>
        <v>0</v>
      </c>
      <c r="CH1887" s="16">
        <f t="shared" si="509"/>
        <v>0</v>
      </c>
      <c r="CJ1887" s="16" t="e">
        <f t="shared" si="505"/>
        <v>#N/A</v>
      </c>
      <c r="CK1887" s="16" t="str">
        <f t="shared" si="506"/>
        <v/>
      </c>
    </row>
    <row r="1888" spans="73:89" ht="12" customHeight="1">
      <c r="BU1888" s="16">
        <f t="shared" si="507"/>
        <v>0</v>
      </c>
      <c r="BV1888" s="16">
        <f>IF($BY$12=1,NORMDIST(BY1888,$Y$6,$Y$8,TRUE),IF($BY$12=2,IF(BY1888&lt;=$BX$31,0,IF(BY1888&gt;=$BX$32,1,(BY1888-$BX$31)*$BX$33)),SUM($BU$42:BU1888)/$BV$40))</f>
        <v>0.9999999999915169</v>
      </c>
      <c r="BW1888" s="16">
        <f t="shared" si="510"/>
        <v>5.3812540685423886E-10</v>
      </c>
      <c r="BY1888" s="16">
        <f t="shared" si="511"/>
        <v>184.5999999999938</v>
      </c>
      <c r="BZ1888" s="16">
        <f t="shared" si="501"/>
        <v>2.9150888778670476E-12</v>
      </c>
      <c r="CA1888" s="16">
        <f t="shared" si="508"/>
        <v>-999</v>
      </c>
      <c r="CE1888" s="16" t="e">
        <f t="shared" si="502"/>
        <v>#N/A</v>
      </c>
      <c r="CF1888" s="16">
        <f t="shared" si="503"/>
        <v>99</v>
      </c>
      <c r="CG1888" s="16">
        <f t="shared" si="504"/>
        <v>0</v>
      </c>
      <c r="CH1888" s="16">
        <f t="shared" si="509"/>
        <v>0</v>
      </c>
      <c r="CJ1888" s="16" t="e">
        <f t="shared" si="505"/>
        <v>#N/A</v>
      </c>
      <c r="CK1888" s="16" t="str">
        <f t="shared" si="506"/>
        <v/>
      </c>
    </row>
    <row r="1889" spans="73:89" ht="12" customHeight="1">
      <c r="BU1889" s="16">
        <f t="shared" si="507"/>
        <v>0</v>
      </c>
      <c r="BV1889" s="16">
        <f>IF($BY$12=1,NORMDIST(BY1889,$Y$6,$Y$8,TRUE),IF($BY$12=2,IF(BY1889&lt;=$BX$31,0,IF(BY1889&gt;=$BX$32,1,(BY1889-$BX$31)*$BX$33)),SUM($BU$42:BU1889)/$BV$40))</f>
        <v>0.99999999999180356</v>
      </c>
      <c r="BW1889" s="16">
        <f t="shared" si="510"/>
        <v>5.2059411924017496E-10</v>
      </c>
      <c r="BY1889" s="16">
        <f t="shared" si="511"/>
        <v>184.69999999999379</v>
      </c>
      <c r="BZ1889" s="16">
        <f t="shared" si="501"/>
        <v>2.8185929574455465E-12</v>
      </c>
      <c r="CA1889" s="16">
        <f t="shared" si="508"/>
        <v>-999</v>
      </c>
      <c r="CE1889" s="16" t="e">
        <f t="shared" si="502"/>
        <v>#N/A</v>
      </c>
      <c r="CF1889" s="16">
        <f t="shared" si="503"/>
        <v>99</v>
      </c>
      <c r="CG1889" s="16">
        <f t="shared" si="504"/>
        <v>0</v>
      </c>
      <c r="CH1889" s="16">
        <f t="shared" si="509"/>
        <v>0</v>
      </c>
      <c r="CJ1889" s="16" t="e">
        <f t="shared" si="505"/>
        <v>#N/A</v>
      </c>
      <c r="CK1889" s="16" t="str">
        <f t="shared" si="506"/>
        <v/>
      </c>
    </row>
    <row r="1890" spans="73:89" ht="12" customHeight="1">
      <c r="BU1890" s="16">
        <f t="shared" si="507"/>
        <v>0</v>
      </c>
      <c r="BV1890" s="16">
        <f>IF($BY$12=1,NORMDIST(BY1890,$Y$6,$Y$8,TRUE),IF($BY$12=2,IF(BY1890&lt;=$BX$31,0,IF(BY1890&gt;=$BX$32,1,(BY1890-$BX$31)*$BX$33)),SUM($BU$42:BU1890)/$BV$40))</f>
        <v>0.99999999999208067</v>
      </c>
      <c r="BW1890" s="16">
        <f t="shared" si="510"/>
        <v>5.0362123535072736E-10</v>
      </c>
      <c r="BY1890" s="16">
        <f t="shared" si="511"/>
        <v>184.79999999999379</v>
      </c>
      <c r="BZ1890" s="16">
        <f t="shared" si="501"/>
        <v>2.7252231350148499E-12</v>
      </c>
      <c r="CA1890" s="16">
        <f t="shared" si="508"/>
        <v>-999</v>
      </c>
      <c r="CE1890" s="16" t="e">
        <f t="shared" si="502"/>
        <v>#N/A</v>
      </c>
      <c r="CF1890" s="16">
        <f t="shared" si="503"/>
        <v>99</v>
      </c>
      <c r="CG1890" s="16">
        <f t="shared" si="504"/>
        <v>0</v>
      </c>
      <c r="CH1890" s="16">
        <f t="shared" si="509"/>
        <v>0</v>
      </c>
      <c r="CJ1890" s="16" t="e">
        <f t="shared" si="505"/>
        <v>#N/A</v>
      </c>
      <c r="CK1890" s="16" t="str">
        <f t="shared" si="506"/>
        <v/>
      </c>
    </row>
    <row r="1891" spans="73:89" ht="12" customHeight="1">
      <c r="BU1891" s="16">
        <f t="shared" si="507"/>
        <v>0</v>
      </c>
      <c r="BV1891" s="16">
        <f>IF($BY$12=1,NORMDIST(BY1891,$Y$6,$Y$8,TRUE),IF($BY$12=2,IF(BY1891&lt;=$BX$31,0,IF(BY1891&gt;=$BX$32,1,(BY1891-$BX$31)*$BX$33)),SUM($BU$42:BU1891)/$BV$40))</f>
        <v>0.99999999999234868</v>
      </c>
      <c r="BW1891" s="16">
        <f t="shared" si="510"/>
        <v>4.87189394341139E-10</v>
      </c>
      <c r="BY1891" s="16">
        <f t="shared" si="511"/>
        <v>184.89999999999378</v>
      </c>
      <c r="BZ1891" s="16">
        <f t="shared" si="501"/>
        <v>2.6348804453280444E-12</v>
      </c>
      <c r="CA1891" s="16">
        <f t="shared" si="508"/>
        <v>-999</v>
      </c>
      <c r="CE1891" s="16" t="e">
        <f t="shared" si="502"/>
        <v>#N/A</v>
      </c>
      <c r="CF1891" s="16">
        <f t="shared" si="503"/>
        <v>99</v>
      </c>
      <c r="CG1891" s="16">
        <f t="shared" si="504"/>
        <v>0</v>
      </c>
      <c r="CH1891" s="16">
        <f t="shared" si="509"/>
        <v>0</v>
      </c>
      <c r="CJ1891" s="16" t="e">
        <f t="shared" si="505"/>
        <v>#N/A</v>
      </c>
      <c r="CK1891" s="16" t="str">
        <f t="shared" si="506"/>
        <v/>
      </c>
    </row>
    <row r="1892" spans="73:89" ht="12" customHeight="1">
      <c r="BU1892" s="16">
        <f t="shared" si="507"/>
        <v>0</v>
      </c>
      <c r="BV1892" s="16">
        <f>IF($BY$12=1,NORMDIST(BY1892,$Y$6,$Y$8,TRUE),IF($BY$12=2,IF(BY1892&lt;=$BX$31,0,IF(BY1892&gt;=$BX$32,1,(BY1892-$BX$31)*$BX$33)),SUM($BU$42:BU1892)/$BV$40))</f>
        <v>0.99999999999260769</v>
      </c>
      <c r="BW1892" s="16">
        <f t="shared" si="510"/>
        <v>4.7128176119401436E-10</v>
      </c>
      <c r="BY1892" s="16">
        <f t="shared" si="511"/>
        <v>184.99999999999378</v>
      </c>
      <c r="BZ1892" s="16">
        <f t="shared" si="501"/>
        <v>2.5474689794271903E-12</v>
      </c>
      <c r="CA1892" s="16">
        <f t="shared" si="508"/>
        <v>-999</v>
      </c>
      <c r="CE1892" s="16" t="e">
        <f t="shared" si="502"/>
        <v>#N/A</v>
      </c>
      <c r="CF1892" s="16">
        <f t="shared" si="503"/>
        <v>99</v>
      </c>
      <c r="CG1892" s="16">
        <f t="shared" si="504"/>
        <v>0</v>
      </c>
      <c r="CH1892" s="16">
        <f t="shared" si="509"/>
        <v>0</v>
      </c>
      <c r="CJ1892" s="16" t="e">
        <f t="shared" si="505"/>
        <v>#N/A</v>
      </c>
      <c r="CK1892" s="16" t="str">
        <f t="shared" si="506"/>
        <v/>
      </c>
    </row>
    <row r="1893" spans="73:89" ht="12" customHeight="1">
      <c r="BU1893" s="16">
        <f t="shared" si="507"/>
        <v>0</v>
      </c>
      <c r="BV1893" s="16">
        <f>IF($BY$12=1,NORMDIST(BY1893,$Y$6,$Y$8,TRUE),IF($BY$12=2,IF(BY1893&lt;=$BX$31,0,IF(BY1893&gt;=$BX$32,1,(BY1893-$BX$31)*$BX$33)),SUM($BU$42:BU1893)/$BV$40))</f>
        <v>0.99999999999285827</v>
      </c>
      <c r="BW1893" s="16">
        <f t="shared" si="510"/>
        <v>4.558820112393494E-10</v>
      </c>
      <c r="BY1893" s="16">
        <f t="shared" si="511"/>
        <v>185.09999999999377</v>
      </c>
      <c r="BZ1893" s="16">
        <f t="shared" si="501"/>
        <v>2.462895792757238E-12</v>
      </c>
      <c r="CA1893" s="16">
        <f t="shared" si="508"/>
        <v>-999</v>
      </c>
      <c r="CE1893" s="16" t="e">
        <f t="shared" si="502"/>
        <v>#N/A</v>
      </c>
      <c r="CF1893" s="16">
        <f t="shared" si="503"/>
        <v>99</v>
      </c>
      <c r="CG1893" s="16">
        <f t="shared" si="504"/>
        <v>0</v>
      </c>
      <c r="CH1893" s="16">
        <f t="shared" si="509"/>
        <v>0</v>
      </c>
      <c r="CJ1893" s="16" t="e">
        <f t="shared" si="505"/>
        <v>#N/A</v>
      </c>
      <c r="CK1893" s="16" t="str">
        <f t="shared" si="506"/>
        <v/>
      </c>
    </row>
    <row r="1894" spans="73:89" ht="12" customHeight="1">
      <c r="BU1894" s="16">
        <f t="shared" si="507"/>
        <v>0</v>
      </c>
      <c r="BV1894" s="16">
        <f>IF($BY$12=1,NORMDIST(BY1894,$Y$6,$Y$8,TRUE),IF($BY$12=2,IF(BY1894&lt;=$BX$31,0,IF(BY1894&gt;=$BX$32,1,(BY1894-$BX$31)*$BX$33)),SUM($BU$42:BU1894)/$BV$40))</f>
        <v>0.99999999999310041</v>
      </c>
      <c r="BW1894" s="16">
        <f t="shared" si="510"/>
        <v>4.4097431511630559E-10</v>
      </c>
      <c r="BY1894" s="16">
        <f t="shared" si="511"/>
        <v>185.19999999999376</v>
      </c>
      <c r="BZ1894" s="16">
        <f t="shared" si="501"/>
        <v>2.3810708159628532E-12</v>
      </c>
      <c r="CA1894" s="16">
        <f t="shared" si="508"/>
        <v>-999</v>
      </c>
      <c r="CE1894" s="16" t="e">
        <f t="shared" si="502"/>
        <v>#N/A</v>
      </c>
      <c r="CF1894" s="16">
        <f t="shared" si="503"/>
        <v>99</v>
      </c>
      <c r="CG1894" s="16">
        <f t="shared" si="504"/>
        <v>0</v>
      </c>
      <c r="CH1894" s="16">
        <f t="shared" si="509"/>
        <v>0</v>
      </c>
      <c r="CJ1894" s="16" t="e">
        <f t="shared" si="505"/>
        <v>#N/A</v>
      </c>
      <c r="CK1894" s="16" t="str">
        <f t="shared" si="506"/>
        <v/>
      </c>
    </row>
    <row r="1895" spans="73:89" ht="12" customHeight="1">
      <c r="BU1895" s="16">
        <f t="shared" si="507"/>
        <v>0</v>
      </c>
      <c r="BV1895" s="16">
        <f>IF($BY$12=1,NORMDIST(BY1895,$Y$6,$Y$8,TRUE),IF($BY$12=2,IF(BY1895&lt;=$BX$31,0,IF(BY1895&gt;=$BX$32,1,(BY1895-$BX$31)*$BX$33)),SUM($BU$42:BU1895)/$BV$40))</f>
        <v>0.99999999999333455</v>
      </c>
      <c r="BW1895" s="16">
        <f t="shared" si="510"/>
        <v>4.2654332416450238E-10</v>
      </c>
      <c r="BY1895" s="16">
        <f t="shared" si="511"/>
        <v>185.29999999999376</v>
      </c>
      <c r="BZ1895" s="16">
        <f t="shared" si="501"/>
        <v>2.3019067682920495E-12</v>
      </c>
      <c r="CA1895" s="16">
        <f t="shared" si="508"/>
        <v>-999</v>
      </c>
      <c r="CE1895" s="16" t="e">
        <f t="shared" si="502"/>
        <v>#N/A</v>
      </c>
      <c r="CF1895" s="16">
        <f t="shared" si="503"/>
        <v>99</v>
      </c>
      <c r="CG1895" s="16">
        <f t="shared" si="504"/>
        <v>0</v>
      </c>
      <c r="CH1895" s="16">
        <f t="shared" si="509"/>
        <v>0</v>
      </c>
      <c r="CJ1895" s="16" t="e">
        <f t="shared" si="505"/>
        <v>#N/A</v>
      </c>
      <c r="CK1895" s="16" t="str">
        <f t="shared" si="506"/>
        <v/>
      </c>
    </row>
    <row r="1896" spans="73:89" ht="12" customHeight="1">
      <c r="BU1896" s="16">
        <f t="shared" si="507"/>
        <v>0</v>
      </c>
      <c r="BV1896" s="16">
        <f>IF($BY$12=1,NORMDIST(BY1896,$Y$6,$Y$8,TRUE),IF($BY$12=2,IF(BY1896&lt;=$BX$31,0,IF(BY1896&gt;=$BX$32,1,(BY1896-$BX$31)*$BX$33)),SUM($BU$42:BU1896)/$BV$40))</f>
        <v>0.99999999999356093</v>
      </c>
      <c r="BW1896" s="16">
        <f t="shared" si="510"/>
        <v>4.1257415623304061E-10</v>
      </c>
      <c r="BY1896" s="16">
        <f t="shared" si="511"/>
        <v>185.39999999999375</v>
      </c>
      <c r="BZ1896" s="16">
        <f t="shared" si="501"/>
        <v>2.2253190735331958E-12</v>
      </c>
      <c r="CA1896" s="16">
        <f t="shared" si="508"/>
        <v>-999</v>
      </c>
      <c r="CE1896" s="16" t="e">
        <f t="shared" si="502"/>
        <v>#N/A</v>
      </c>
      <c r="CF1896" s="16">
        <f t="shared" si="503"/>
        <v>99</v>
      </c>
      <c r="CG1896" s="16">
        <f t="shared" si="504"/>
        <v>0</v>
      </c>
      <c r="CH1896" s="16">
        <f t="shared" si="509"/>
        <v>0</v>
      </c>
      <c r="CJ1896" s="16" t="e">
        <f t="shared" si="505"/>
        <v>#N/A</v>
      </c>
      <c r="CK1896" s="16" t="str">
        <f t="shared" si="506"/>
        <v/>
      </c>
    </row>
    <row r="1897" spans="73:89" ht="12" customHeight="1">
      <c r="BU1897" s="16">
        <f t="shared" si="507"/>
        <v>0</v>
      </c>
      <c r="BV1897" s="16">
        <f>IF($BY$12=1,NORMDIST(BY1897,$Y$6,$Y$8,TRUE),IF($BY$12=2,IF(BY1897&lt;=$BX$31,0,IF(BY1897&gt;=$BX$32,1,(BY1897-$BX$31)*$BX$33)),SUM($BU$42:BU1897)/$BV$40))</f>
        <v>0.99999999999377964</v>
      </c>
      <c r="BW1897" s="16">
        <f t="shared" si="510"/>
        <v>3.9905238189563242E-10</v>
      </c>
      <c r="BY1897" s="16">
        <f t="shared" si="511"/>
        <v>185.49999999999375</v>
      </c>
      <c r="BZ1897" s="16">
        <f t="shared" si="501"/>
        <v>2.1512257784131854E-12</v>
      </c>
      <c r="CA1897" s="16">
        <f t="shared" si="508"/>
        <v>-999</v>
      </c>
      <c r="CE1897" s="16" t="e">
        <f t="shared" si="502"/>
        <v>#N/A</v>
      </c>
      <c r="CF1897" s="16">
        <f t="shared" si="503"/>
        <v>99</v>
      </c>
      <c r="CG1897" s="16">
        <f t="shared" si="504"/>
        <v>0</v>
      </c>
      <c r="CH1897" s="16">
        <f t="shared" si="509"/>
        <v>0</v>
      </c>
      <c r="CJ1897" s="16" t="e">
        <f t="shared" si="505"/>
        <v>#N/A</v>
      </c>
      <c r="CK1897" s="16" t="str">
        <f t="shared" si="506"/>
        <v/>
      </c>
    </row>
    <row r="1898" spans="73:89" ht="12" customHeight="1">
      <c r="BU1898" s="16">
        <f t="shared" si="507"/>
        <v>0</v>
      </c>
      <c r="BV1898" s="16">
        <f>IF($BY$12=1,NORMDIST(BY1898,$Y$6,$Y$8,TRUE),IF($BY$12=2,IF(BY1898&lt;=$BX$31,0,IF(BY1898&gt;=$BX$32,1,(BY1898-$BX$31)*$BX$33)),SUM($BU$42:BU1898)/$BV$40))</f>
        <v>0.99999999999399125</v>
      </c>
      <c r="BW1898" s="16">
        <f t="shared" si="510"/>
        <v>3.8596401106069722E-10</v>
      </c>
      <c r="BY1898" s="16">
        <f t="shared" si="511"/>
        <v>185.59999999999374</v>
      </c>
      <c r="BZ1898" s="16">
        <f t="shared" ref="BZ1898:BZ1961" si="512">IF($BZ$5,IF($BY$12=1,NORMDIST(BY1898,$Y$6,$Y$8,FALSE),IF($BY$12=2,IF(AND(BY1898&gt;=$BX$31,BY1898&lt;=$BX$32),$BX$33,0),IF(BY1898&lt;=$BX$13,0,NORMDIST(LN((BY1898-$BX$13)/$BX$12),0,$BW$8,FALSE)/((BY1898-$BX$13)/$BX$12)))),-999)</f>
        <v>2.0795474733874475E-12</v>
      </c>
      <c r="CA1898" s="16">
        <f t="shared" si="508"/>
        <v>-999</v>
      </c>
      <c r="CE1898" s="16" t="e">
        <f t="shared" ref="CE1898:CE1961" si="513">IF(AND($CB$7,$CD$2,$CD$1),26+$P$23/2-CC1898*$P$23,NA())</f>
        <v>#N/A</v>
      </c>
      <c r="CF1898" s="16">
        <f t="shared" ref="CF1898:CF1961" si="514">IF(ISNA(CJ1898),99,CJ1898)</f>
        <v>99</v>
      </c>
      <c r="CG1898" s="16">
        <f t="shared" ref="CG1898:CG1961" si="515">IF(ISNA(CJ1898),0,CJ1898)</f>
        <v>0</v>
      </c>
      <c r="CH1898" s="16">
        <f t="shared" si="509"/>
        <v>0</v>
      </c>
      <c r="CJ1898" s="16" t="e">
        <f t="shared" ref="CJ1898:CJ1961" si="516">IF(CH1898=1,CE1898,NA())</f>
        <v>#N/A</v>
      </c>
      <c r="CK1898" s="16" t="str">
        <f t="shared" ref="CK1898:CK1961" si="517">IF(CH1898=1,M1797,"")</f>
        <v/>
      </c>
    </row>
    <row r="1899" spans="73:89" ht="12" customHeight="1">
      <c r="BU1899" s="16">
        <f t="shared" ref="BU1899:BU1962" si="518">IF($BY$12&lt;3,0,IF(BY1899&lt;=$BX$13,0,NORMDIST(LN((BY1899-$BX$13)/$BX$12),0,$BW$8,FALSE)/((BY1899-$BX$13)/$BX$12)))</f>
        <v>0</v>
      </c>
      <c r="BV1899" s="16">
        <f>IF($BY$12=1,NORMDIST(BY1899,$Y$6,$Y$8,TRUE),IF($BY$12=2,IF(BY1899&lt;=$BX$31,0,IF(BY1899&gt;=$BX$32,1,(BY1899-$BX$31)*$BX$33)),SUM($BU$42:BU1899)/$BV$40))</f>
        <v>0.99999999999419564</v>
      </c>
      <c r="BW1899" s="16">
        <f t="shared" si="510"/>
        <v>3.732954799654155E-10</v>
      </c>
      <c r="BY1899" s="16">
        <f t="shared" si="511"/>
        <v>185.69999999999374</v>
      </c>
      <c r="BZ1899" s="16">
        <f t="shared" si="512"/>
        <v>2.0102072157535168E-12</v>
      </c>
      <c r="CA1899" s="16">
        <f t="shared" ref="CA1899:CA1962" si="519">IF(AND($CD$1,$CD$3),26-$CD$40*NORMDIST(BY1899,$Y$6,$Y$8/SQRT($T$18),FALSE),-999)</f>
        <v>-999</v>
      </c>
      <c r="CE1899" s="16" t="e">
        <f t="shared" si="513"/>
        <v>#N/A</v>
      </c>
      <c r="CF1899" s="16">
        <f t="shared" si="514"/>
        <v>99</v>
      </c>
      <c r="CG1899" s="16">
        <f t="shared" si="515"/>
        <v>0</v>
      </c>
      <c r="CH1899" s="16">
        <f t="shared" si="509"/>
        <v>0</v>
      </c>
      <c r="CJ1899" s="16" t="e">
        <f t="shared" si="516"/>
        <v>#N/A</v>
      </c>
      <c r="CK1899" s="16" t="str">
        <f t="shared" si="517"/>
        <v/>
      </c>
    </row>
    <row r="1900" spans="73:89" ht="12" customHeight="1">
      <c r="BU1900" s="16">
        <f t="shared" si="518"/>
        <v>0</v>
      </c>
      <c r="BV1900" s="16">
        <f>IF($BY$12=1,NORMDIST(BY1900,$Y$6,$Y$8,TRUE),IF($BY$12=2,IF(BY1900&lt;=$BX$31,0,IF(BY1900&gt;=$BX$32,1,(BY1900-$BX$31)*$BX$33)),SUM($BU$42:BU1900)/$BV$40))</f>
        <v>0.99999999999439337</v>
      </c>
      <c r="BW1900" s="16">
        <f t="shared" si="510"/>
        <v>3.6103363854314927E-10</v>
      </c>
      <c r="BY1900" s="16">
        <f t="shared" si="511"/>
        <v>185.79999999999373</v>
      </c>
      <c r="BZ1900" s="16">
        <f t="shared" si="512"/>
        <v>1.9431304550223974E-12</v>
      </c>
      <c r="CA1900" s="16">
        <f t="shared" si="519"/>
        <v>-999</v>
      </c>
      <c r="CE1900" s="16" t="e">
        <f t="shared" si="513"/>
        <v>#N/A</v>
      </c>
      <c r="CF1900" s="16">
        <f t="shared" si="514"/>
        <v>99</v>
      </c>
      <c r="CG1900" s="16">
        <f t="shared" si="515"/>
        <v>0</v>
      </c>
      <c r="CH1900" s="16">
        <f t="shared" si="509"/>
        <v>0</v>
      </c>
      <c r="CJ1900" s="16" t="e">
        <f t="shared" si="516"/>
        <v>#N/A</v>
      </c>
      <c r="CK1900" s="16" t="str">
        <f t="shared" si="517"/>
        <v/>
      </c>
    </row>
    <row r="1901" spans="73:89" ht="12" customHeight="1">
      <c r="BU1901" s="16">
        <f t="shared" si="518"/>
        <v>0</v>
      </c>
      <c r="BV1901" s="16">
        <f>IF($BY$12=1,NORMDIST(BY1901,$Y$6,$Y$8,TRUE),IF($BY$12=2,IF(BY1901&lt;=$BX$31,0,IF(BY1901&gt;=$BX$32,1,(BY1901-$BX$31)*$BX$33)),SUM($BU$42:BU1901)/$BV$40))</f>
        <v>0.99999999999458433</v>
      </c>
      <c r="BW1901" s="16">
        <f t="shared" si="510"/>
        <v>3.4916573815384474E-10</v>
      </c>
      <c r="BY1901" s="16">
        <f t="shared" si="511"/>
        <v>185.89999999999372</v>
      </c>
      <c r="BZ1901" s="16">
        <f t="shared" si="512"/>
        <v>1.8782449604833594E-12</v>
      </c>
      <c r="CA1901" s="16">
        <f t="shared" si="519"/>
        <v>-999</v>
      </c>
      <c r="CE1901" s="16" t="e">
        <f t="shared" si="513"/>
        <v>#N/A</v>
      </c>
      <c r="CF1901" s="16">
        <f t="shared" si="514"/>
        <v>99</v>
      </c>
      <c r="CG1901" s="16">
        <f t="shared" si="515"/>
        <v>0</v>
      </c>
      <c r="CH1901" s="16">
        <f t="shared" si="509"/>
        <v>0</v>
      </c>
      <c r="CJ1901" s="16" t="e">
        <f t="shared" si="516"/>
        <v>#N/A</v>
      </c>
      <c r="CK1901" s="16" t="str">
        <f t="shared" si="517"/>
        <v/>
      </c>
    </row>
    <row r="1902" spans="73:89" ht="12" customHeight="1">
      <c r="BU1902" s="16">
        <f t="shared" si="518"/>
        <v>0</v>
      </c>
      <c r="BV1902" s="16">
        <f>IF($BY$12=1,NORMDIST(BY1902,$Y$6,$Y$8,TRUE),IF($BY$12=2,IF(BY1902&lt;=$BX$31,0,IF(BY1902&gt;=$BX$32,1,(BY1902-$BX$31)*$BX$33)),SUM($BU$42:BU1902)/$BV$40))</f>
        <v>0.99999999999476907</v>
      </c>
      <c r="BW1902" s="16">
        <f t="shared" si="510"/>
        <v>3.3767941966734701E-10</v>
      </c>
      <c r="BY1902" s="16">
        <f t="shared" si="511"/>
        <v>185.99999999999372</v>
      </c>
      <c r="BZ1902" s="16">
        <f t="shared" si="512"/>
        <v>1.8154807508997765E-12</v>
      </c>
      <c r="CA1902" s="16">
        <f t="shared" si="519"/>
        <v>-999</v>
      </c>
      <c r="CE1902" s="16" t="e">
        <f t="shared" si="513"/>
        <v>#N/A</v>
      </c>
      <c r="CF1902" s="16">
        <f t="shared" si="514"/>
        <v>99</v>
      </c>
      <c r="CG1902" s="16">
        <f t="shared" si="515"/>
        <v>0</v>
      </c>
      <c r="CH1902" s="16">
        <f t="shared" si="509"/>
        <v>0</v>
      </c>
      <c r="CJ1902" s="16" t="e">
        <f t="shared" si="516"/>
        <v>#N/A</v>
      </c>
      <c r="CK1902" s="16" t="str">
        <f t="shared" si="517"/>
        <v/>
      </c>
    </row>
    <row r="1903" spans="73:89" ht="12" customHeight="1">
      <c r="BU1903" s="16">
        <f t="shared" si="518"/>
        <v>0</v>
      </c>
      <c r="BV1903" s="16">
        <f>IF($BY$12=1,NORMDIST(BY1903,$Y$6,$Y$8,TRUE),IF($BY$12=2,IF(BY1903&lt;=$BX$31,0,IF(BY1903&gt;=$BX$32,1,(BY1903-$BX$31)*$BX$33)),SUM($BU$42:BU1903)/$BV$40))</f>
        <v>0.99999999999494749</v>
      </c>
      <c r="BW1903" s="16">
        <f t="shared" si="510"/>
        <v>3.265627018898052E-10</v>
      </c>
      <c r="BY1903" s="16">
        <f t="shared" si="511"/>
        <v>186.09999999999371</v>
      </c>
      <c r="BZ1903" s="16">
        <f t="shared" si="512"/>
        <v>1.754770026275208E-12</v>
      </c>
      <c r="CA1903" s="16">
        <f t="shared" si="519"/>
        <v>-999</v>
      </c>
      <c r="CE1903" s="16" t="e">
        <f t="shared" si="513"/>
        <v>#N/A</v>
      </c>
      <c r="CF1903" s="16">
        <f t="shared" si="514"/>
        <v>99</v>
      </c>
      <c r="CG1903" s="16">
        <f t="shared" si="515"/>
        <v>0</v>
      </c>
      <c r="CH1903" s="16">
        <f t="shared" si="509"/>
        <v>0</v>
      </c>
      <c r="CJ1903" s="16" t="e">
        <f t="shared" si="516"/>
        <v>#N/A</v>
      </c>
      <c r="CK1903" s="16" t="str">
        <f t="shared" si="517"/>
        <v/>
      </c>
    </row>
    <row r="1904" spans="73:89" ht="12" customHeight="1">
      <c r="BU1904" s="16">
        <f t="shared" si="518"/>
        <v>0</v>
      </c>
      <c r="BV1904" s="16">
        <f>IF($BY$12=1,NORMDIST(BY1904,$Y$6,$Y$8,TRUE),IF($BY$12=2,IF(BY1904&lt;=$BX$31,0,IF(BY1904&gt;=$BX$32,1,(BY1904-$BX$31)*$BX$33)),SUM($BU$42:BU1904)/$BV$40))</f>
        <v>0.99999999999512001</v>
      </c>
      <c r="BW1904" s="16">
        <f t="shared" si="510"/>
        <v>3.1580397032363895E-10</v>
      </c>
      <c r="BY1904" s="16">
        <f t="shared" si="511"/>
        <v>186.19999999999371</v>
      </c>
      <c r="BZ1904" s="16">
        <f t="shared" si="512"/>
        <v>1.6960471016307714E-12</v>
      </c>
      <c r="CA1904" s="16">
        <f t="shared" si="519"/>
        <v>-999</v>
      </c>
      <c r="CE1904" s="16" t="e">
        <f t="shared" si="513"/>
        <v>#N/A</v>
      </c>
      <c r="CF1904" s="16">
        <f t="shared" si="514"/>
        <v>99</v>
      </c>
      <c r="CG1904" s="16">
        <f t="shared" si="515"/>
        <v>0</v>
      </c>
      <c r="CH1904" s="16">
        <f t="shared" si="509"/>
        <v>0</v>
      </c>
      <c r="CJ1904" s="16" t="e">
        <f t="shared" si="516"/>
        <v>#N/A</v>
      </c>
      <c r="CK1904" s="16" t="str">
        <f t="shared" si="517"/>
        <v/>
      </c>
    </row>
    <row r="1905" spans="73:89" ht="12" customHeight="1">
      <c r="BU1905" s="16">
        <f t="shared" si="518"/>
        <v>0</v>
      </c>
      <c r="BV1905" s="16">
        <f>IF($BY$12=1,NORMDIST(BY1905,$Y$6,$Y$8,TRUE),IF($BY$12=2,IF(BY1905&lt;=$BX$31,0,IF(BY1905&gt;=$BX$32,1,(BY1905-$BX$31)*$BX$33)),SUM($BU$42:BU1905)/$BV$40))</f>
        <v>0.99999999999528677</v>
      </c>
      <c r="BW1905" s="16">
        <f t="shared" si="510"/>
        <v>3.0539196625174418E-10</v>
      </c>
      <c r="BY1905" s="16">
        <f t="shared" si="511"/>
        <v>186.2999999999937</v>
      </c>
      <c r="BZ1905" s="16">
        <f t="shared" si="512"/>
        <v>1.6392483427362023E-12</v>
      </c>
      <c r="CA1905" s="16">
        <f t="shared" si="519"/>
        <v>-999</v>
      </c>
      <c r="CE1905" s="16" t="e">
        <f t="shared" si="513"/>
        <v>#N/A</v>
      </c>
      <c r="CF1905" s="16">
        <f t="shared" si="514"/>
        <v>99</v>
      </c>
      <c r="CG1905" s="16">
        <f t="shared" si="515"/>
        <v>0</v>
      </c>
      <c r="CH1905" s="16">
        <f t="shared" si="509"/>
        <v>0</v>
      </c>
      <c r="CJ1905" s="16" t="e">
        <f t="shared" si="516"/>
        <v>#N/A</v>
      </c>
      <c r="CK1905" s="16" t="str">
        <f t="shared" si="517"/>
        <v/>
      </c>
    </row>
    <row r="1906" spans="73:89" ht="12" customHeight="1">
      <c r="BU1906" s="16">
        <f t="shared" si="518"/>
        <v>0</v>
      </c>
      <c r="BV1906" s="16">
        <f>IF($BY$12=1,NORMDIST(BY1906,$Y$6,$Y$8,TRUE),IF($BY$12=2,IF(BY1906&lt;=$BX$31,0,IF(BY1906&gt;=$BX$32,1,(BY1906-$BX$31)*$BX$33)),SUM($BU$42:BU1906)/$BV$40))</f>
        <v>0.99999999999544797</v>
      </c>
      <c r="BW1906" s="16">
        <f t="shared" si="510"/>
        <v>2.9531577613691515E-10</v>
      </c>
      <c r="BY1906" s="16">
        <f t="shared" si="511"/>
        <v>186.3999999999937</v>
      </c>
      <c r="BZ1906" s="16">
        <f t="shared" si="512"/>
        <v>1.5843121037388688E-12</v>
      </c>
      <c r="CA1906" s="16">
        <f t="shared" si="519"/>
        <v>-999</v>
      </c>
      <c r="CE1906" s="16" t="e">
        <f t="shared" si="513"/>
        <v>#N/A</v>
      </c>
      <c r="CF1906" s="16">
        <f t="shared" si="514"/>
        <v>99</v>
      </c>
      <c r="CG1906" s="16">
        <f t="shared" si="515"/>
        <v>0</v>
      </c>
      <c r="CH1906" s="16">
        <f t="shared" si="509"/>
        <v>0</v>
      </c>
      <c r="CJ1906" s="16" t="e">
        <f t="shared" si="516"/>
        <v>#N/A</v>
      </c>
      <c r="CK1906" s="16" t="str">
        <f t="shared" si="517"/>
        <v/>
      </c>
    </row>
    <row r="1907" spans="73:89" ht="12" customHeight="1">
      <c r="BU1907" s="16">
        <f t="shared" si="518"/>
        <v>0</v>
      </c>
      <c r="BV1907" s="16">
        <f>IF($BY$12=1,NORMDIST(BY1907,$Y$6,$Y$8,TRUE),IF($BY$12=2,IF(BY1907&lt;=$BX$31,0,IF(BY1907&gt;=$BX$32,1,(BY1907-$BX$31)*$BX$33)),SUM($BU$42:BU1907)/$BV$40))</f>
        <v>0.99999999999560374</v>
      </c>
      <c r="BW1907" s="16">
        <f t="shared" si="510"/>
        <v>2.8556482132768802E-10</v>
      </c>
      <c r="BY1907" s="16">
        <f t="shared" si="511"/>
        <v>186.49999999999369</v>
      </c>
      <c r="BZ1907" s="16">
        <f t="shared" si="512"/>
        <v>1.5311786666364487E-12</v>
      </c>
      <c r="CA1907" s="16">
        <f t="shared" si="519"/>
        <v>-999</v>
      </c>
      <c r="CE1907" s="16" t="e">
        <f t="shared" si="513"/>
        <v>#N/A</v>
      </c>
      <c r="CF1907" s="16">
        <f t="shared" si="514"/>
        <v>99</v>
      </c>
      <c r="CG1907" s="16">
        <f t="shared" si="515"/>
        <v>0</v>
      </c>
      <c r="CH1907" s="16">
        <f t="shared" si="509"/>
        <v>0</v>
      </c>
      <c r="CJ1907" s="16" t="e">
        <f t="shared" si="516"/>
        <v>#N/A</v>
      </c>
      <c r="CK1907" s="16" t="str">
        <f t="shared" si="517"/>
        <v/>
      </c>
    </row>
    <row r="1908" spans="73:89" ht="12" customHeight="1">
      <c r="BU1908" s="16">
        <f t="shared" si="518"/>
        <v>0</v>
      </c>
      <c r="BV1908" s="16">
        <f>IF($BY$12=1,NORMDIST(BY1908,$Y$6,$Y$8,TRUE),IF($BY$12=2,IF(BY1908&lt;=$BX$31,0,IF(BY1908&gt;=$BX$32,1,(BY1908-$BX$31)*$BX$33)),SUM($BU$42:BU1908)/$BV$40))</f>
        <v>0.99999999999575429</v>
      </c>
      <c r="BW1908" s="16">
        <f t="shared" si="510"/>
        <v>2.7612884806200537E-10</v>
      </c>
      <c r="BY1908" s="16">
        <f t="shared" si="511"/>
        <v>186.59999999999368</v>
      </c>
      <c r="BZ1908" s="16">
        <f t="shared" si="512"/>
        <v>1.4797901825402719E-12</v>
      </c>
      <c r="CA1908" s="16">
        <f t="shared" si="519"/>
        <v>-999</v>
      </c>
      <c r="CE1908" s="16" t="e">
        <f t="shared" si="513"/>
        <v>#N/A</v>
      </c>
      <c r="CF1908" s="16">
        <f t="shared" si="514"/>
        <v>99</v>
      </c>
      <c r="CG1908" s="16">
        <f t="shared" si="515"/>
        <v>0</v>
      </c>
      <c r="CH1908" s="16">
        <f t="shared" si="509"/>
        <v>0</v>
      </c>
      <c r="CJ1908" s="16" t="e">
        <f t="shared" si="516"/>
        <v>#N/A</v>
      </c>
      <c r="CK1908" s="16" t="str">
        <f t="shared" si="517"/>
        <v/>
      </c>
    </row>
    <row r="1909" spans="73:89" ht="12" customHeight="1">
      <c r="BU1909" s="16">
        <f t="shared" si="518"/>
        <v>0</v>
      </c>
      <c r="BV1909" s="16">
        <f>IF($BY$12=1,NORMDIST(BY1909,$Y$6,$Y$8,TRUE),IF($BY$12=2,IF(BY1909&lt;=$BX$31,0,IF(BY1909&gt;=$BX$32,1,(BY1909-$BX$31)*$BX$33)),SUM($BU$42:BU1909)/$BV$40))</f>
        <v>0.99999999999589972</v>
      </c>
      <c r="BW1909" s="16">
        <f t="shared" si="510"/>
        <v>2.6699791776040942E-10</v>
      </c>
      <c r="BY1909" s="16">
        <f t="shared" si="511"/>
        <v>186.69999999999368</v>
      </c>
      <c r="BZ1909" s="16">
        <f t="shared" si="512"/>
        <v>1.4300906146781921E-12</v>
      </c>
      <c r="CA1909" s="16">
        <f t="shared" si="519"/>
        <v>-999</v>
      </c>
      <c r="CE1909" s="16" t="e">
        <f t="shared" si="513"/>
        <v>#N/A</v>
      </c>
      <c r="CF1909" s="16">
        <f t="shared" si="514"/>
        <v>99</v>
      </c>
      <c r="CG1909" s="16">
        <f t="shared" si="515"/>
        <v>0</v>
      </c>
      <c r="CH1909" s="16">
        <f t="shared" si="509"/>
        <v>0</v>
      </c>
      <c r="CJ1909" s="16" t="e">
        <f t="shared" si="516"/>
        <v>#N/A</v>
      </c>
      <c r="CK1909" s="16" t="str">
        <f t="shared" si="517"/>
        <v/>
      </c>
    </row>
    <row r="1910" spans="73:89" ht="12" customHeight="1">
      <c r="BU1910" s="16">
        <f t="shared" si="518"/>
        <v>0</v>
      </c>
      <c r="BV1910" s="16">
        <f>IF($BY$12=1,NORMDIST(BY1910,$Y$6,$Y$8,TRUE),IF($BY$12=2,IF(BY1910&lt;=$BX$31,0,IF(BY1910&gt;=$BX$32,1,(BY1910-$BX$31)*$BX$33)),SUM($BU$42:BU1910)/$BV$40))</f>
        <v>0.99999999999604039</v>
      </c>
      <c r="BW1910" s="16">
        <f t="shared" si="510"/>
        <v>2.5816239760063577E-10</v>
      </c>
      <c r="BY1910" s="16">
        <f t="shared" si="511"/>
        <v>186.79999999999367</v>
      </c>
      <c r="BZ1910" s="16">
        <f t="shared" si="512"/>
        <v>1.3820256830869622E-12</v>
      </c>
      <c r="CA1910" s="16">
        <f t="shared" si="519"/>
        <v>-999</v>
      </c>
      <c r="CE1910" s="16" t="e">
        <f t="shared" si="513"/>
        <v>#N/A</v>
      </c>
      <c r="CF1910" s="16">
        <f t="shared" si="514"/>
        <v>99</v>
      </c>
      <c r="CG1910" s="16">
        <f t="shared" si="515"/>
        <v>0</v>
      </c>
      <c r="CH1910" s="16">
        <f t="shared" si="509"/>
        <v>0</v>
      </c>
      <c r="CJ1910" s="16" t="e">
        <f t="shared" si="516"/>
        <v>#N/A</v>
      </c>
      <c r="CK1910" s="16" t="str">
        <f t="shared" si="517"/>
        <v/>
      </c>
    </row>
    <row r="1911" spans="73:89" ht="12" customHeight="1">
      <c r="BU1911" s="16">
        <f t="shared" si="518"/>
        <v>0</v>
      </c>
      <c r="BV1911" s="16">
        <f>IF($BY$12=1,NORMDIST(BY1911,$Y$6,$Y$8,TRUE),IF($BY$12=2,IF(BY1911&lt;=$BX$31,0,IF(BY1911&gt;=$BX$32,1,(BY1911-$BX$31)*$BX$33)),SUM($BU$42:BU1911)/$BV$40))</f>
        <v>0.99999999999617617</v>
      </c>
      <c r="BW1911" s="16">
        <f t="shared" si="510"/>
        <v>2.4961295136571199E-10</v>
      </c>
      <c r="BY1911" s="16">
        <f t="shared" si="511"/>
        <v>186.89999999999367</v>
      </c>
      <c r="BZ1911" s="16">
        <f t="shared" si="512"/>
        <v>1.3355428109455348E-12</v>
      </c>
      <c r="CA1911" s="16">
        <f t="shared" si="519"/>
        <v>-999</v>
      </c>
      <c r="CE1911" s="16" t="e">
        <f t="shared" si="513"/>
        <v>#N/A</v>
      </c>
      <c r="CF1911" s="16">
        <f t="shared" si="514"/>
        <v>99</v>
      </c>
      <c r="CG1911" s="16">
        <f t="shared" si="515"/>
        <v>0</v>
      </c>
      <c r="CH1911" s="16">
        <f t="shared" si="509"/>
        <v>0</v>
      </c>
      <c r="CJ1911" s="16" t="e">
        <f t="shared" si="516"/>
        <v>#N/A</v>
      </c>
      <c r="CK1911" s="16" t="str">
        <f t="shared" si="517"/>
        <v/>
      </c>
    </row>
    <row r="1912" spans="73:89" ht="12" customHeight="1">
      <c r="BU1912" s="16">
        <f t="shared" si="518"/>
        <v>0</v>
      </c>
      <c r="BV1912" s="16">
        <f>IF($BY$12=1,NORMDIST(BY1912,$Y$6,$Y$8,TRUE),IF($BY$12=2,IF(BY1912&lt;=$BX$31,0,IF(BY1912&gt;=$BX$32,1,(BY1912-$BX$31)*$BX$33)),SUM($BU$42:BU1912)/$BV$40))</f>
        <v>0.99999999999630751</v>
      </c>
      <c r="BW1912" s="16">
        <f t="shared" si="510"/>
        <v>2.413405305578899E-10</v>
      </c>
      <c r="BY1912" s="16">
        <f t="shared" si="511"/>
        <v>186.99999999999366</v>
      </c>
      <c r="BZ1912" s="16">
        <f t="shared" si="512"/>
        <v>1.2905910725021287E-12</v>
      </c>
      <c r="CA1912" s="16">
        <f t="shared" si="519"/>
        <v>-999</v>
      </c>
      <c r="CE1912" s="16" t="e">
        <f t="shared" si="513"/>
        <v>#N/A</v>
      </c>
      <c r="CF1912" s="16">
        <f t="shared" si="514"/>
        <v>99</v>
      </c>
      <c r="CG1912" s="16">
        <f t="shared" si="515"/>
        <v>0</v>
      </c>
      <c r="CH1912" s="16">
        <f t="shared" si="509"/>
        <v>0</v>
      </c>
      <c r="CJ1912" s="16" t="e">
        <f t="shared" si="516"/>
        <v>#N/A</v>
      </c>
      <c r="CK1912" s="16" t="str">
        <f t="shared" si="517"/>
        <v/>
      </c>
    </row>
    <row r="1913" spans="73:89" ht="12" customHeight="1">
      <c r="BU1913" s="16">
        <f t="shared" si="518"/>
        <v>0</v>
      </c>
      <c r="BV1913" s="16">
        <f>IF($BY$12=1,NORMDIST(BY1913,$Y$6,$Y$8,TRUE),IF($BY$12=2,IF(BY1913&lt;=$BX$31,0,IF(BY1913&gt;=$BX$32,1,(BY1913-$BX$31)*$BX$33)),SUM($BU$42:BU1913)/$BV$40))</f>
        <v>0.99999999999643441</v>
      </c>
      <c r="BW1913" s="16">
        <f t="shared" si="510"/>
        <v>2.3333636577095201E-10</v>
      </c>
      <c r="BY1913" s="16">
        <f t="shared" si="511"/>
        <v>187.09999999999366</v>
      </c>
      <c r="BZ1913" s="16">
        <f t="shared" si="512"/>
        <v>1.2471211425492247E-12</v>
      </c>
      <c r="CA1913" s="16">
        <f t="shared" si="519"/>
        <v>-999</v>
      </c>
      <c r="CE1913" s="16" t="e">
        <f t="shared" si="513"/>
        <v>#N/A</v>
      </c>
      <c r="CF1913" s="16">
        <f t="shared" si="514"/>
        <v>99</v>
      </c>
      <c r="CG1913" s="16">
        <f t="shared" si="515"/>
        <v>0</v>
      </c>
      <c r="CH1913" s="16">
        <f t="shared" si="509"/>
        <v>0</v>
      </c>
      <c r="CJ1913" s="16" t="e">
        <f t="shared" si="516"/>
        <v>#N/A</v>
      </c>
      <c r="CK1913" s="16" t="str">
        <f t="shared" si="517"/>
        <v/>
      </c>
    </row>
    <row r="1914" spans="73:89" ht="12" customHeight="1">
      <c r="BU1914" s="16">
        <f t="shared" si="518"/>
        <v>0</v>
      </c>
      <c r="BV1914" s="16">
        <f>IF($BY$12=1,NORMDIST(BY1914,$Y$6,$Y$8,TRUE),IF($BY$12=2,IF(BY1914&lt;=$BX$31,0,IF(BY1914&gt;=$BX$32,1,(BY1914-$BX$31)*$BX$33)),SUM($BU$42:BU1914)/$BV$40))</f>
        <v>0.99999999999655698</v>
      </c>
      <c r="BW1914" s="16">
        <f t="shared" si="510"/>
        <v>2.2559195831359854E-10</v>
      </c>
      <c r="BY1914" s="16">
        <f t="shared" si="511"/>
        <v>187.19999999999365</v>
      </c>
      <c r="BZ1914" s="16">
        <f t="shared" si="512"/>
        <v>1.2050852474017424E-12</v>
      </c>
      <c r="CA1914" s="16">
        <f t="shared" si="519"/>
        <v>-999</v>
      </c>
      <c r="CE1914" s="16" t="e">
        <f t="shared" si="513"/>
        <v>#N/A</v>
      </c>
      <c r="CF1914" s="16">
        <f t="shared" si="514"/>
        <v>99</v>
      </c>
      <c r="CG1914" s="16">
        <f t="shared" si="515"/>
        <v>0</v>
      </c>
      <c r="CH1914" s="16">
        <f t="shared" si="509"/>
        <v>0</v>
      </c>
      <c r="CJ1914" s="16" t="e">
        <f t="shared" si="516"/>
        <v>#N/A</v>
      </c>
      <c r="CK1914" s="16" t="str">
        <f t="shared" si="517"/>
        <v/>
      </c>
    </row>
    <row r="1915" spans="73:89" ht="12" customHeight="1">
      <c r="BU1915" s="16">
        <f t="shared" si="518"/>
        <v>0</v>
      </c>
      <c r="BV1915" s="16">
        <f>IF($BY$12=1,NORMDIST(BY1915,$Y$6,$Y$8,TRUE),IF($BY$12=2,IF(BY1915&lt;=$BX$31,0,IF(BY1915&gt;=$BX$32,1,(BY1915-$BX$31)*$BX$33)),SUM($BU$42:BU1915)/$BV$40))</f>
        <v>0.99999999999667544</v>
      </c>
      <c r="BW1915" s="16">
        <f t="shared" si="510"/>
        <v>2.1809907207687443E-10</v>
      </c>
      <c r="BY1915" s="16">
        <f t="shared" si="511"/>
        <v>187.29999999999364</v>
      </c>
      <c r="BZ1915" s="16">
        <f t="shared" si="512"/>
        <v>1.164437117335194E-12</v>
      </c>
      <c r="CA1915" s="16">
        <f t="shared" si="519"/>
        <v>-999</v>
      </c>
      <c r="CE1915" s="16" t="e">
        <f t="shared" si="513"/>
        <v>#N/A</v>
      </c>
      <c r="CF1915" s="16">
        <f t="shared" si="514"/>
        <v>99</v>
      </c>
      <c r="CG1915" s="16">
        <f t="shared" si="515"/>
        <v>0</v>
      </c>
      <c r="CH1915" s="16">
        <f t="shared" si="509"/>
        <v>0</v>
      </c>
      <c r="CJ1915" s="16" t="e">
        <f t="shared" si="516"/>
        <v>#N/A</v>
      </c>
      <c r="CK1915" s="16" t="str">
        <f t="shared" si="517"/>
        <v/>
      </c>
    </row>
    <row r="1916" spans="73:89" ht="12" customHeight="1">
      <c r="BU1916" s="16">
        <f t="shared" si="518"/>
        <v>0</v>
      </c>
      <c r="BV1916" s="16">
        <f>IF($BY$12=1,NORMDIST(BY1916,$Y$6,$Y$8,TRUE),IF($BY$12=2,IF(BY1916&lt;=$BX$31,0,IF(BY1916&gt;=$BX$32,1,(BY1916-$BX$31)*$BX$33)),SUM($BU$42:BU1916)/$BV$40))</f>
        <v>0.9999999999967899</v>
      </c>
      <c r="BW1916" s="16">
        <f t="shared" si="510"/>
        <v>2.1084972563874036E-10</v>
      </c>
      <c r="BY1916" s="16">
        <f t="shared" si="511"/>
        <v>187.39999999999364</v>
      </c>
      <c r="BZ1916" s="16">
        <f t="shared" si="512"/>
        <v>1.1251319404415556E-12</v>
      </c>
      <c r="CA1916" s="16">
        <f t="shared" si="519"/>
        <v>-999</v>
      </c>
      <c r="CE1916" s="16" t="e">
        <f t="shared" si="513"/>
        <v>#N/A</v>
      </c>
      <c r="CF1916" s="16">
        <f t="shared" si="514"/>
        <v>99</v>
      </c>
      <c r="CG1916" s="16">
        <f t="shared" si="515"/>
        <v>0</v>
      </c>
      <c r="CH1916" s="16">
        <f t="shared" si="509"/>
        <v>0</v>
      </c>
      <c r="CJ1916" s="16" t="e">
        <f t="shared" si="516"/>
        <v>#N/A</v>
      </c>
      <c r="CK1916" s="16" t="str">
        <f t="shared" si="517"/>
        <v/>
      </c>
    </row>
    <row r="1917" spans="73:89" ht="12" customHeight="1">
      <c r="BU1917" s="16">
        <f t="shared" si="518"/>
        <v>0</v>
      </c>
      <c r="BV1917" s="16">
        <f>IF($BY$12=1,NORMDIST(BY1917,$Y$6,$Y$8,TRUE),IF($BY$12=2,IF(BY1917&lt;=$BX$31,0,IF(BY1917&gt;=$BX$32,1,(BY1917-$BX$31)*$BX$33)),SUM($BU$42:BU1917)/$BV$40))</f>
        <v>0.99999999999690048</v>
      </c>
      <c r="BW1917" s="16">
        <f t="shared" si="510"/>
        <v>2.0383618459909229E-10</v>
      </c>
      <c r="BY1917" s="16">
        <f t="shared" si="511"/>
        <v>187.49999999999363</v>
      </c>
      <c r="BZ1917" s="16">
        <f t="shared" si="512"/>
        <v>1.0871263178618624E-12</v>
      </c>
      <c r="CA1917" s="16">
        <f t="shared" si="519"/>
        <v>-999</v>
      </c>
      <c r="CE1917" s="16" t="e">
        <f t="shared" si="513"/>
        <v>#N/A</v>
      </c>
      <c r="CF1917" s="16">
        <f t="shared" si="514"/>
        <v>99</v>
      </c>
      <c r="CG1917" s="16">
        <f t="shared" si="515"/>
        <v>0</v>
      </c>
      <c r="CH1917" s="16">
        <f t="shared" si="509"/>
        <v>0</v>
      </c>
      <c r="CJ1917" s="16" t="e">
        <f t="shared" si="516"/>
        <v>#N/A</v>
      </c>
      <c r="CK1917" s="16" t="str">
        <f t="shared" si="517"/>
        <v/>
      </c>
    </row>
    <row r="1918" spans="73:89" ht="12" customHeight="1">
      <c r="BU1918" s="16">
        <f t="shared" si="518"/>
        <v>0</v>
      </c>
      <c r="BV1918" s="16">
        <f>IF($BY$12=1,NORMDIST(BY1918,$Y$6,$Y$8,TRUE),IF($BY$12=2,IF(BY1918&lt;=$BX$31,0,IF(BY1918&gt;=$BX$32,1,(BY1918-$BX$31)*$BX$33)),SUM($BU$42:BU1918)/$BV$40))</f>
        <v>0.99999999999700739</v>
      </c>
      <c r="BW1918" s="16">
        <f t="shared" si="510"/>
        <v>1.9705095413873701E-10</v>
      </c>
      <c r="BY1918" s="16">
        <f t="shared" si="511"/>
        <v>187.59999999999363</v>
      </c>
      <c r="BZ1918" s="16">
        <f t="shared" si="512"/>
        <v>1.0503782203557767E-12</v>
      </c>
      <c r="CA1918" s="16">
        <f t="shared" si="519"/>
        <v>-999</v>
      </c>
      <c r="CE1918" s="16" t="e">
        <f t="shared" si="513"/>
        <v>#N/A</v>
      </c>
      <c r="CF1918" s="16">
        <f t="shared" si="514"/>
        <v>99</v>
      </c>
      <c r="CG1918" s="16">
        <f t="shared" si="515"/>
        <v>0</v>
      </c>
      <c r="CH1918" s="16">
        <f t="shared" si="509"/>
        <v>0</v>
      </c>
      <c r="CJ1918" s="16" t="e">
        <f t="shared" si="516"/>
        <v>#N/A</v>
      </c>
      <c r="CK1918" s="16" t="str">
        <f t="shared" si="517"/>
        <v/>
      </c>
    </row>
    <row r="1919" spans="73:89" ht="12" customHeight="1">
      <c r="BU1919" s="16">
        <f t="shared" si="518"/>
        <v>0</v>
      </c>
      <c r="BV1919" s="16">
        <f>IF($BY$12=1,NORMDIST(BY1919,$Y$6,$Y$8,TRUE),IF($BY$12=2,IF(BY1919&lt;=$BX$31,0,IF(BY1919&gt;=$BX$32,1,(BY1919-$BX$31)*$BX$33)),SUM($BU$42:BU1919)/$BV$40))</f>
        <v>0.99999999999711064</v>
      </c>
      <c r="BW1919" s="16">
        <f t="shared" si="510"/>
        <v>1.9048677179597262E-10</v>
      </c>
      <c r="BY1919" s="16">
        <f t="shared" si="511"/>
        <v>187.69999999999362</v>
      </c>
      <c r="BZ1919" s="16">
        <f t="shared" si="512"/>
        <v>1.0148469461693079E-12</v>
      </c>
      <c r="CA1919" s="16">
        <f t="shared" si="519"/>
        <v>-999</v>
      </c>
      <c r="CE1919" s="16" t="e">
        <f t="shared" si="513"/>
        <v>#N/A</v>
      </c>
      <c r="CF1919" s="16">
        <f t="shared" si="514"/>
        <v>99</v>
      </c>
      <c r="CG1919" s="16">
        <f t="shared" si="515"/>
        <v>0</v>
      </c>
      <c r="CH1919" s="16">
        <f t="shared" si="509"/>
        <v>0</v>
      </c>
      <c r="CJ1919" s="16" t="e">
        <f t="shared" si="516"/>
        <v>#N/A</v>
      </c>
      <c r="CK1919" s="16" t="str">
        <f t="shared" si="517"/>
        <v/>
      </c>
    </row>
    <row r="1920" spans="73:89" ht="12" customHeight="1">
      <c r="BU1920" s="16">
        <f t="shared" si="518"/>
        <v>0</v>
      </c>
      <c r="BV1920" s="16">
        <f>IF($BY$12=1,NORMDIST(BY1920,$Y$6,$Y$8,TRUE),IF($BY$12=2,IF(BY1920&lt;=$BX$31,0,IF(BY1920&gt;=$BX$32,1,(BY1920-$BX$31)*$BX$33)),SUM($BU$42:BU1920)/$BV$40))</f>
        <v>0.99999999999721034</v>
      </c>
      <c r="BW1920" s="16">
        <f t="shared" si="510"/>
        <v>1.8413660045463172E-10</v>
      </c>
      <c r="BY1920" s="16">
        <f t="shared" si="511"/>
        <v>187.79999999999362</v>
      </c>
      <c r="BZ1920" s="16">
        <f t="shared" si="512"/>
        <v>9.8049308016314158E-13</v>
      </c>
      <c r="CA1920" s="16">
        <f t="shared" si="519"/>
        <v>-999</v>
      </c>
      <c r="CE1920" s="16" t="e">
        <f t="shared" si="513"/>
        <v>#N/A</v>
      </c>
      <c r="CF1920" s="16">
        <f t="shared" si="514"/>
        <v>99</v>
      </c>
      <c r="CG1920" s="16">
        <f t="shared" si="515"/>
        <v>0</v>
      </c>
      <c r="CH1920" s="16">
        <f t="shared" si="509"/>
        <v>0</v>
      </c>
      <c r="CJ1920" s="16" t="e">
        <f t="shared" si="516"/>
        <v>#N/A</v>
      </c>
      <c r="CK1920" s="16" t="str">
        <f t="shared" si="517"/>
        <v/>
      </c>
    </row>
    <row r="1921" spans="73:89" ht="12" customHeight="1">
      <c r="BU1921" s="16">
        <f t="shared" si="518"/>
        <v>0</v>
      </c>
      <c r="BV1921" s="16">
        <f>IF($BY$12=1,NORMDIST(BY1921,$Y$6,$Y$8,TRUE),IF($BY$12=2,IF(BY1921&lt;=$BX$31,0,IF(BY1921&gt;=$BX$32,1,(BY1921-$BX$31)*$BX$33)),SUM($BU$42:BU1921)/$BV$40))</f>
        <v>0.99999999999730671</v>
      </c>
      <c r="BW1921" s="16">
        <f t="shared" si="510"/>
        <v>1.779936215375764E-10</v>
      </c>
      <c r="BY1921" s="16">
        <f t="shared" si="511"/>
        <v>187.89999999999361</v>
      </c>
      <c r="BZ1921" s="16">
        <f t="shared" si="512"/>
        <v>9.47278454164888E-13</v>
      </c>
      <c r="CA1921" s="16">
        <f t="shared" si="519"/>
        <v>-999</v>
      </c>
      <c r="CE1921" s="16" t="e">
        <f t="shared" si="513"/>
        <v>#N/A</v>
      </c>
      <c r="CF1921" s="16">
        <f t="shared" si="514"/>
        <v>99</v>
      </c>
      <c r="CG1921" s="16">
        <f t="shared" si="515"/>
        <v>0</v>
      </c>
      <c r="CH1921" s="16">
        <f t="shared" si="509"/>
        <v>0</v>
      </c>
      <c r="CJ1921" s="16" t="e">
        <f t="shared" si="516"/>
        <v>#N/A</v>
      </c>
      <c r="CK1921" s="16" t="str">
        <f t="shared" si="517"/>
        <v/>
      </c>
    </row>
    <row r="1922" spans="73:89" ht="12" customHeight="1">
      <c r="BU1922" s="16">
        <f t="shared" si="518"/>
        <v>0</v>
      </c>
      <c r="BV1922" s="16">
        <f>IF($BY$12=1,NORMDIST(BY1922,$Y$6,$Y$8,TRUE),IF($BY$12=2,IF(BY1922&lt;=$BX$31,0,IF(BY1922&gt;=$BX$32,1,(BY1922-$BX$31)*$BX$33)),SUM($BU$42:BU1922)/$BV$40))</f>
        <v>0.99999999999739986</v>
      </c>
      <c r="BW1922" s="16">
        <f t="shared" si="510"/>
        <v>1.7205122839983804E-10</v>
      </c>
      <c r="BY1922" s="16">
        <f t="shared" si="511"/>
        <v>187.99999999999361</v>
      </c>
      <c r="BZ1922" s="16">
        <f t="shared" si="512"/>
        <v>9.1516610850980796E-13</v>
      </c>
      <c r="CA1922" s="16">
        <f t="shared" si="519"/>
        <v>-999</v>
      </c>
      <c r="CE1922" s="16" t="e">
        <f t="shared" si="513"/>
        <v>#N/A</v>
      </c>
      <c r="CF1922" s="16">
        <f t="shared" si="514"/>
        <v>99</v>
      </c>
      <c r="CG1922" s="16">
        <f t="shared" si="515"/>
        <v>0</v>
      </c>
      <c r="CH1922" s="16">
        <f t="shared" si="509"/>
        <v>0</v>
      </c>
      <c r="CJ1922" s="16" t="e">
        <f t="shared" si="516"/>
        <v>#N/A</v>
      </c>
      <c r="CK1922" s="16" t="str">
        <f t="shared" si="517"/>
        <v/>
      </c>
    </row>
    <row r="1923" spans="73:89" ht="12" customHeight="1">
      <c r="BU1923" s="16">
        <f t="shared" si="518"/>
        <v>0</v>
      </c>
      <c r="BV1923" s="16">
        <f>IF($BY$12=1,NORMDIST(BY1923,$Y$6,$Y$8,TRUE),IF($BY$12=2,IF(BY1923&lt;=$BX$31,0,IF(BY1923&gt;=$BX$32,1,(BY1923-$BX$31)*$BX$33)),SUM($BU$42:BU1923)/$BV$40))</f>
        <v>0.99999999999748979</v>
      </c>
      <c r="BW1923" s="16">
        <f t="shared" si="510"/>
        <v>1.663030199157105E-10</v>
      </c>
      <c r="BY1923" s="16">
        <f t="shared" si="511"/>
        <v>188.0999999999936</v>
      </c>
      <c r="BZ1923" s="16">
        <f t="shared" si="512"/>
        <v>8.8412025473533316E-13</v>
      </c>
      <c r="CA1923" s="16">
        <f t="shared" si="519"/>
        <v>-999</v>
      </c>
      <c r="CE1923" s="16" t="e">
        <f t="shared" si="513"/>
        <v>#N/A</v>
      </c>
      <c r="CF1923" s="16">
        <f t="shared" si="514"/>
        <v>99</v>
      </c>
      <c r="CG1923" s="16">
        <f t="shared" si="515"/>
        <v>0</v>
      </c>
      <c r="CH1923" s="16">
        <f t="shared" ref="CH1923:CH1986" si="520">IF(CB1923="",0,1)</f>
        <v>0</v>
      </c>
      <c r="CJ1923" s="16" t="e">
        <f t="shared" si="516"/>
        <v>#N/A</v>
      </c>
      <c r="CK1923" s="16" t="str">
        <f t="shared" si="517"/>
        <v/>
      </c>
    </row>
    <row r="1924" spans="73:89" ht="12" customHeight="1">
      <c r="BU1924" s="16">
        <f t="shared" si="518"/>
        <v>0</v>
      </c>
      <c r="BV1924" s="16">
        <f>IF($BY$12=1,NORMDIST(BY1924,$Y$6,$Y$8,TRUE),IF($BY$12=2,IF(BY1924&lt;=$BX$31,0,IF(BY1924&gt;=$BX$32,1,(BY1924-$BX$31)*$BX$33)),SUM($BU$42:BU1924)/$BV$40))</f>
        <v>0.99999999999757672</v>
      </c>
      <c r="BW1924" s="16">
        <f t="shared" si="510"/>
        <v>1.6074279425430885E-10</v>
      </c>
      <c r="BY1924" s="16">
        <f t="shared" si="511"/>
        <v>188.19999999999359</v>
      </c>
      <c r="BZ1924" s="16">
        <f t="shared" si="512"/>
        <v>8.5410623939593152E-13</v>
      </c>
      <c r="CA1924" s="16">
        <f t="shared" si="519"/>
        <v>-999</v>
      </c>
      <c r="CE1924" s="16" t="e">
        <f t="shared" si="513"/>
        <v>#N/A</v>
      </c>
      <c r="CF1924" s="16">
        <f t="shared" si="514"/>
        <v>99</v>
      </c>
      <c r="CG1924" s="16">
        <f t="shared" si="515"/>
        <v>0</v>
      </c>
      <c r="CH1924" s="16">
        <f t="shared" si="520"/>
        <v>0</v>
      </c>
      <c r="CJ1924" s="16" t="e">
        <f t="shared" si="516"/>
        <v>#N/A</v>
      </c>
      <c r="CK1924" s="16" t="str">
        <f t="shared" si="517"/>
        <v/>
      </c>
    </row>
    <row r="1925" spans="73:89" ht="12" customHeight="1">
      <c r="BU1925" s="16">
        <f t="shared" si="518"/>
        <v>0</v>
      </c>
      <c r="BV1925" s="16">
        <f>IF($BY$12=1,NORMDIST(BY1925,$Y$6,$Y$8,TRUE),IF($BY$12=2,IF(BY1925&lt;=$BX$31,0,IF(BY1925&gt;=$BX$32,1,(BY1925-$BX$31)*$BX$33)),SUM($BU$42:BU1925)/$BV$40))</f>
        <v>0.99999999999766065</v>
      </c>
      <c r="BW1925" s="16">
        <f t="shared" si="510"/>
        <v>1.5536454283820643E-10</v>
      </c>
      <c r="BY1925" s="16">
        <f t="shared" si="511"/>
        <v>188.29999999999359</v>
      </c>
      <c r="BZ1925" s="16">
        <f t="shared" si="512"/>
        <v>8.2509050896554293E-13</v>
      </c>
      <c r="CA1925" s="16">
        <f t="shared" si="519"/>
        <v>-999</v>
      </c>
      <c r="CE1925" s="16" t="e">
        <f t="shared" si="513"/>
        <v>#N/A</v>
      </c>
      <c r="CF1925" s="16">
        <f t="shared" si="514"/>
        <v>99</v>
      </c>
      <c r="CG1925" s="16">
        <f t="shared" si="515"/>
        <v>0</v>
      </c>
      <c r="CH1925" s="16">
        <f t="shared" si="520"/>
        <v>0</v>
      </c>
      <c r="CJ1925" s="16" t="e">
        <f t="shared" si="516"/>
        <v>#N/A</v>
      </c>
      <c r="CK1925" s="16" t="str">
        <f t="shared" si="517"/>
        <v/>
      </c>
    </row>
    <row r="1926" spans="73:89" ht="12" customHeight="1">
      <c r="BU1926" s="16">
        <f t="shared" si="518"/>
        <v>0</v>
      </c>
      <c r="BV1926" s="16">
        <f>IF($BY$12=1,NORMDIST(BY1926,$Y$6,$Y$8,TRUE),IF($BY$12=2,IF(BY1926&lt;=$BX$31,0,IF(BY1926&gt;=$BX$32,1,(BY1926-$BX$31)*$BX$33)),SUM($BU$42:BU1926)/$BV$40))</f>
        <v>0.99999999999774181</v>
      </c>
      <c r="BW1926" s="16">
        <f t="shared" si="510"/>
        <v>1.50162444479955E-10</v>
      </c>
      <c r="BY1926" s="16">
        <f t="shared" si="511"/>
        <v>188.39999999999358</v>
      </c>
      <c r="BZ1926" s="16">
        <f t="shared" si="512"/>
        <v>7.9704057579596669E-13</v>
      </c>
      <c r="CA1926" s="16">
        <f t="shared" si="519"/>
        <v>-999</v>
      </c>
      <c r="CE1926" s="16" t="e">
        <f t="shared" si="513"/>
        <v>#N/A</v>
      </c>
      <c r="CF1926" s="16">
        <f t="shared" si="514"/>
        <v>99</v>
      </c>
      <c r="CG1926" s="16">
        <f t="shared" si="515"/>
        <v>0</v>
      </c>
      <c r="CH1926" s="16">
        <f t="shared" si="520"/>
        <v>0</v>
      </c>
      <c r="CJ1926" s="16" t="e">
        <f t="shared" si="516"/>
        <v>#N/A</v>
      </c>
      <c r="CK1926" s="16" t="str">
        <f t="shared" si="517"/>
        <v/>
      </c>
    </row>
    <row r="1927" spans="73:89" ht="12" customHeight="1">
      <c r="BU1927" s="16">
        <f t="shared" si="518"/>
        <v>0</v>
      </c>
      <c r="BV1927" s="16">
        <f>IF($BY$12=1,NORMDIST(BY1927,$Y$6,$Y$8,TRUE),IF($BY$12=2,IF(BY1927&lt;=$BX$31,0,IF(BY1927&gt;=$BX$32,1,(BY1927-$BX$31)*$BX$33)),SUM($BU$42:BU1927)/$BV$40))</f>
        <v>0.99999999999782008</v>
      </c>
      <c r="BW1927" s="16">
        <f t="shared" si="510"/>
        <v>1.4513085969140244E-10</v>
      </c>
      <c r="BY1927" s="16">
        <f t="shared" si="511"/>
        <v>188.49999999999358</v>
      </c>
      <c r="BZ1927" s="16">
        <f t="shared" si="512"/>
        <v>7.6992498510030438E-13</v>
      </c>
      <c r="CA1927" s="16">
        <f t="shared" si="519"/>
        <v>-999</v>
      </c>
      <c r="CE1927" s="16" t="e">
        <f t="shared" si="513"/>
        <v>#N/A</v>
      </c>
      <c r="CF1927" s="16">
        <f t="shared" si="514"/>
        <v>99</v>
      </c>
      <c r="CG1927" s="16">
        <f t="shared" si="515"/>
        <v>0</v>
      </c>
      <c r="CH1927" s="16">
        <f t="shared" si="520"/>
        <v>0</v>
      </c>
      <c r="CJ1927" s="16" t="e">
        <f t="shared" si="516"/>
        <v>#N/A</v>
      </c>
      <c r="CK1927" s="16" t="str">
        <f t="shared" si="517"/>
        <v/>
      </c>
    </row>
    <row r="1928" spans="73:89" ht="12" customHeight="1">
      <c r="BU1928" s="16">
        <f t="shared" si="518"/>
        <v>0</v>
      </c>
      <c r="BV1928" s="16">
        <f>IF($BY$12=1,NORMDIST(BY1928,$Y$6,$Y$8,TRUE),IF($BY$12=2,IF(BY1928&lt;=$BX$31,0,IF(BY1928&gt;=$BX$32,1,(BY1928-$BX$31)*$BX$33)),SUM($BU$42:BU1928)/$BV$40))</f>
        <v>0.99999999999789579</v>
      </c>
      <c r="BW1928" s="16">
        <f t="shared" si="510"/>
        <v>1.4026432516088805E-10</v>
      </c>
      <c r="BY1928" s="16">
        <f t="shared" si="511"/>
        <v>188.59999999999357</v>
      </c>
      <c r="BZ1928" s="16">
        <f t="shared" si="512"/>
        <v>7.4371328293156331E-13</v>
      </c>
      <c r="CA1928" s="16">
        <f t="shared" si="519"/>
        <v>-999</v>
      </c>
      <c r="CE1928" s="16" t="e">
        <f t="shared" si="513"/>
        <v>#N/A</v>
      </c>
      <c r="CF1928" s="16">
        <f t="shared" si="514"/>
        <v>99</v>
      </c>
      <c r="CG1928" s="16">
        <f t="shared" si="515"/>
        <v>0</v>
      </c>
      <c r="CH1928" s="16">
        <f t="shared" si="520"/>
        <v>0</v>
      </c>
      <c r="CJ1928" s="16" t="e">
        <f t="shared" si="516"/>
        <v>#N/A</v>
      </c>
      <c r="CK1928" s="16" t="str">
        <f t="shared" si="517"/>
        <v/>
      </c>
    </row>
    <row r="1929" spans="73:89" ht="12" customHeight="1">
      <c r="BU1929" s="16">
        <f t="shared" si="518"/>
        <v>0</v>
      </c>
      <c r="BV1929" s="16">
        <f>IF($BY$12=1,NORMDIST(BY1929,$Y$6,$Y$8,TRUE),IF($BY$12=2,IF(BY1929&lt;=$BX$31,0,IF(BY1929&gt;=$BX$32,1,(BY1929-$BX$31)*$BX$33)),SUM($BU$42:BU1929)/$BV$40))</f>
        <v>0.99999999999796885</v>
      </c>
      <c r="BW1929" s="16">
        <f t="shared" si="510"/>
        <v>1.3555754839350546E-10</v>
      </c>
      <c r="BY1929" s="16">
        <f t="shared" si="511"/>
        <v>188.69999999999357</v>
      </c>
      <c r="BZ1929" s="16">
        <f t="shared" si="512"/>
        <v>7.183759851272394E-13</v>
      </c>
      <c r="CA1929" s="16">
        <f t="shared" si="519"/>
        <v>-999</v>
      </c>
      <c r="CE1929" s="16" t="e">
        <f t="shared" si="513"/>
        <v>#N/A</v>
      </c>
      <c r="CF1929" s="16">
        <f t="shared" si="514"/>
        <v>99</v>
      </c>
      <c r="CG1929" s="16">
        <f t="shared" si="515"/>
        <v>0</v>
      </c>
      <c r="CH1929" s="16">
        <f t="shared" si="520"/>
        <v>0</v>
      </c>
      <c r="CJ1929" s="16" t="e">
        <f t="shared" si="516"/>
        <v>#N/A</v>
      </c>
      <c r="CK1929" s="16" t="str">
        <f t="shared" si="517"/>
        <v/>
      </c>
    </row>
    <row r="1930" spans="73:89" ht="12" customHeight="1">
      <c r="BU1930" s="16">
        <f t="shared" si="518"/>
        <v>0</v>
      </c>
      <c r="BV1930" s="16">
        <f>IF($BY$12=1,NORMDIST(BY1930,$Y$6,$Y$8,TRUE),IF($BY$12=2,IF(BY1930&lt;=$BX$31,0,IF(BY1930&gt;=$BX$32,1,(BY1930-$BX$31)*$BX$33)),SUM($BU$42:BU1930)/$BV$40))</f>
        <v>0.99999999999803946</v>
      </c>
      <c r="BW1930" s="16">
        <f t="shared" si="510"/>
        <v>1.310054025097837E-10</v>
      </c>
      <c r="BY1930" s="16">
        <f t="shared" si="511"/>
        <v>188.79999999999356</v>
      </c>
      <c r="BZ1930" s="16">
        <f t="shared" si="512"/>
        <v>6.9388454719167463E-13</v>
      </c>
      <c r="CA1930" s="16">
        <f t="shared" si="519"/>
        <v>-999</v>
      </c>
      <c r="CE1930" s="16" t="e">
        <f t="shared" si="513"/>
        <v>#N/A</v>
      </c>
      <c r="CF1930" s="16">
        <f t="shared" si="514"/>
        <v>99</v>
      </c>
      <c r="CG1930" s="16">
        <f t="shared" si="515"/>
        <v>0</v>
      </c>
      <c r="CH1930" s="16">
        <f t="shared" si="520"/>
        <v>0</v>
      </c>
      <c r="CJ1930" s="16" t="e">
        <f t="shared" si="516"/>
        <v>#N/A</v>
      </c>
      <c r="CK1930" s="16" t="str">
        <f t="shared" si="517"/>
        <v/>
      </c>
    </row>
    <row r="1931" spans="73:89" ht="12" customHeight="1">
      <c r="BU1931" s="16">
        <f t="shared" si="518"/>
        <v>0</v>
      </c>
      <c r="BV1931" s="16">
        <f>IF($BY$12=1,NORMDIST(BY1931,$Y$6,$Y$8,TRUE),IF($BY$12=2,IF(BY1931&lt;=$BX$31,0,IF(BY1931&gt;=$BX$32,1,(BY1931-$BX$31)*$BX$33)),SUM($BU$42:BU1931)/$BV$40))</f>
        <v>0.99999999999810774</v>
      </c>
      <c r="BW1931" s="16">
        <f t="shared" si="510"/>
        <v>1.2660292119823756E-10</v>
      </c>
      <c r="BY1931" s="16">
        <f t="shared" si="511"/>
        <v>188.89999999999355</v>
      </c>
      <c r="BZ1931" s="16">
        <f t="shared" si="512"/>
        <v>6.7021133508862825E-13</v>
      </c>
      <c r="CA1931" s="16">
        <f t="shared" si="519"/>
        <v>-999</v>
      </c>
      <c r="CE1931" s="16" t="e">
        <f t="shared" si="513"/>
        <v>#N/A</v>
      </c>
      <c r="CF1931" s="16">
        <f t="shared" si="514"/>
        <v>99</v>
      </c>
      <c r="CG1931" s="16">
        <f t="shared" si="515"/>
        <v>0</v>
      </c>
      <c r="CH1931" s="16">
        <f t="shared" si="520"/>
        <v>0</v>
      </c>
      <c r="CJ1931" s="16" t="e">
        <f t="shared" si="516"/>
        <v>#N/A</v>
      </c>
      <c r="CK1931" s="16" t="str">
        <f t="shared" si="517"/>
        <v/>
      </c>
    </row>
    <row r="1932" spans="73:89" ht="12" customHeight="1">
      <c r="BU1932" s="16">
        <f t="shared" si="518"/>
        <v>0</v>
      </c>
      <c r="BV1932" s="16">
        <f>IF($BY$12=1,NORMDIST(BY1932,$Y$6,$Y$8,TRUE),IF($BY$12=2,IF(BY1932&lt;=$BX$31,0,IF(BY1932&gt;=$BX$32,1,(BY1932-$BX$31)*$BX$33)),SUM($BU$42:BU1932)/$BV$40))</f>
        <v>0.99999999999817357</v>
      </c>
      <c r="BW1932" s="16">
        <f t="shared" si="510"/>
        <v>1.2234529381738629E-10</v>
      </c>
      <c r="BY1932" s="16">
        <f t="shared" si="511"/>
        <v>188.99999999999355</v>
      </c>
      <c r="BZ1932" s="16">
        <f t="shared" si="512"/>
        <v>6.4732959691740987E-13</v>
      </c>
      <c r="CA1932" s="16">
        <f t="shared" si="519"/>
        <v>-999</v>
      </c>
      <c r="CE1932" s="16" t="e">
        <f t="shared" si="513"/>
        <v>#N/A</v>
      </c>
      <c r="CF1932" s="16">
        <f t="shared" si="514"/>
        <v>99</v>
      </c>
      <c r="CG1932" s="16">
        <f t="shared" si="515"/>
        <v>0</v>
      </c>
      <c r="CH1932" s="16">
        <f t="shared" si="520"/>
        <v>0</v>
      </c>
      <c r="CJ1932" s="16" t="e">
        <f t="shared" si="516"/>
        <v>#N/A</v>
      </c>
      <c r="CK1932" s="16" t="str">
        <f t="shared" si="517"/>
        <v/>
      </c>
    </row>
    <row r="1933" spans="73:89" ht="12" customHeight="1">
      <c r="BU1933" s="16">
        <f t="shared" si="518"/>
        <v>0</v>
      </c>
      <c r="BV1933" s="16">
        <f>IF($BY$12=1,NORMDIST(BY1933,$Y$6,$Y$8,TRUE),IF($BY$12=2,IF(BY1933&lt;=$BX$31,0,IF(BY1933&gt;=$BX$32,1,(BY1933-$BX$31)*$BX$33)),SUM($BU$42:BU1933)/$BV$40))</f>
        <v>0.99999999999823719</v>
      </c>
      <c r="BW1933" s="16">
        <f t="shared" si="510"/>
        <v>1.1822786064295231E-10</v>
      </c>
      <c r="BY1933" s="16">
        <f t="shared" si="511"/>
        <v>189.09999999999354</v>
      </c>
      <c r="BZ1933" s="16">
        <f t="shared" si="512"/>
        <v>6.2521343544662266E-13</v>
      </c>
      <c r="CA1933" s="16">
        <f t="shared" si="519"/>
        <v>-999</v>
      </c>
      <c r="CE1933" s="16" t="e">
        <f t="shared" si="513"/>
        <v>#N/A</v>
      </c>
      <c r="CF1933" s="16">
        <f t="shared" si="514"/>
        <v>99</v>
      </c>
      <c r="CG1933" s="16">
        <f t="shared" si="515"/>
        <v>0</v>
      </c>
      <c r="CH1933" s="16">
        <f t="shared" si="520"/>
        <v>0</v>
      </c>
      <c r="CJ1933" s="16" t="e">
        <f t="shared" si="516"/>
        <v>#N/A</v>
      </c>
      <c r="CK1933" s="16" t="str">
        <f t="shared" si="517"/>
        <v/>
      </c>
    </row>
    <row r="1934" spans="73:89" ht="12" customHeight="1">
      <c r="BU1934" s="16">
        <f t="shared" si="518"/>
        <v>0</v>
      </c>
      <c r="BV1934" s="16">
        <f>IF($BY$12=1,NORMDIST(BY1934,$Y$6,$Y$8,TRUE),IF($BY$12=2,IF(BY1934&lt;=$BX$31,0,IF(BY1934&gt;=$BX$32,1,(BY1934-$BX$31)*$BX$33)),SUM($BU$42:BU1934)/$BV$40))</f>
        <v>0.99999999999829858</v>
      </c>
      <c r="BW1934" s="16">
        <f t="shared" si="510"/>
        <v>1.1424610825606254E-10</v>
      </c>
      <c r="BY1934" s="16">
        <f t="shared" si="511"/>
        <v>189.19999999999354</v>
      </c>
      <c r="BZ1934" s="16">
        <f t="shared" si="512"/>
        <v>6.0383778148026662E-13</v>
      </c>
      <c r="CA1934" s="16">
        <f t="shared" si="519"/>
        <v>-999</v>
      </c>
      <c r="CE1934" s="16" t="e">
        <f t="shared" si="513"/>
        <v>#N/A</v>
      </c>
      <c r="CF1934" s="16">
        <f t="shared" si="514"/>
        <v>99</v>
      </c>
      <c r="CG1934" s="16">
        <f t="shared" si="515"/>
        <v>0</v>
      </c>
      <c r="CH1934" s="16">
        <f t="shared" si="520"/>
        <v>0</v>
      </c>
      <c r="CJ1934" s="16" t="e">
        <f t="shared" si="516"/>
        <v>#N/A</v>
      </c>
      <c r="CK1934" s="16" t="str">
        <f t="shared" si="517"/>
        <v/>
      </c>
    </row>
    <row r="1935" spans="73:89" ht="12" customHeight="1">
      <c r="BU1935" s="16">
        <f t="shared" si="518"/>
        <v>0</v>
      </c>
      <c r="BV1935" s="16">
        <f>IF($BY$12=1,NORMDIST(BY1935,$Y$6,$Y$8,TRUE),IF($BY$12=2,IF(BY1935&lt;=$BX$31,0,IF(BY1935&gt;=$BX$32,1,(BY1935-$BX$31)*$BX$33)),SUM($BU$42:BU1935)/$BV$40))</f>
        <v>0.99999999999835798</v>
      </c>
      <c r="BW1935" s="16">
        <f t="shared" si="510"/>
        <v>1.1039566506840957E-10</v>
      </c>
      <c r="BY1935" s="16">
        <f t="shared" si="511"/>
        <v>189.29999999999353</v>
      </c>
      <c r="BZ1935" s="16">
        <f t="shared" si="512"/>
        <v>5.8317836803176622E-13</v>
      </c>
      <c r="CA1935" s="16">
        <f t="shared" si="519"/>
        <v>-999</v>
      </c>
      <c r="CE1935" s="16" t="e">
        <f t="shared" si="513"/>
        <v>#N/A</v>
      </c>
      <c r="CF1935" s="16">
        <f t="shared" si="514"/>
        <v>99</v>
      </c>
      <c r="CG1935" s="16">
        <f t="shared" si="515"/>
        <v>0</v>
      </c>
      <c r="CH1935" s="16">
        <f t="shared" si="520"/>
        <v>0</v>
      </c>
      <c r="CJ1935" s="16" t="e">
        <f t="shared" si="516"/>
        <v>#N/A</v>
      </c>
      <c r="CK1935" s="16" t="str">
        <f t="shared" si="517"/>
        <v/>
      </c>
    </row>
    <row r="1936" spans="73:89" ht="12" customHeight="1">
      <c r="BU1936" s="16">
        <f t="shared" si="518"/>
        <v>0</v>
      </c>
      <c r="BV1936" s="16">
        <f>IF($BY$12=1,NORMDIST(BY1936,$Y$6,$Y$8,TRUE),IF($BY$12=2,IF(BY1936&lt;=$BX$31,0,IF(BY1936&gt;=$BX$32,1,(BY1936-$BX$31)*$BX$33)),SUM($BU$42:BU1936)/$BV$40))</f>
        <v>0.99999999999841527</v>
      </c>
      <c r="BW1936" s="16">
        <f t="shared" si="510"/>
        <v>1.0667229698042219E-10</v>
      </c>
      <c r="BY1936" s="16">
        <f t="shared" si="511"/>
        <v>189.39999999999353</v>
      </c>
      <c r="BZ1936" s="16">
        <f t="shared" si="512"/>
        <v>5.6321170528207939E-13</v>
      </c>
      <c r="CA1936" s="16">
        <f t="shared" si="519"/>
        <v>-999</v>
      </c>
      <c r="CE1936" s="16" t="e">
        <f t="shared" si="513"/>
        <v>#N/A</v>
      </c>
      <c r="CF1936" s="16">
        <f t="shared" si="514"/>
        <v>99</v>
      </c>
      <c r="CG1936" s="16">
        <f t="shared" si="515"/>
        <v>0</v>
      </c>
      <c r="CH1936" s="16">
        <f t="shared" si="520"/>
        <v>0</v>
      </c>
      <c r="CJ1936" s="16" t="e">
        <f t="shared" si="516"/>
        <v>#N/A</v>
      </c>
      <c r="CK1936" s="16" t="str">
        <f t="shared" si="517"/>
        <v/>
      </c>
    </row>
    <row r="1937" spans="73:89" ht="12" customHeight="1">
      <c r="BU1937" s="16">
        <f t="shared" si="518"/>
        <v>0</v>
      </c>
      <c r="BV1937" s="16">
        <f>IF($BY$12=1,NORMDIST(BY1937,$Y$6,$Y$8,TRUE),IF($BY$12=2,IF(BY1937&lt;=$BX$31,0,IF(BY1937&gt;=$BX$32,1,(BY1937-$BX$31)*$BX$33)),SUM($BU$42:BU1937)/$BV$40))</f>
        <v>0.99999999999847067</v>
      </c>
      <c r="BW1937" s="16">
        <f t="shared" si="510"/>
        <v>1.0307190316862253E-10</v>
      </c>
      <c r="BY1937" s="16">
        <f t="shared" si="511"/>
        <v>189.49999999999352</v>
      </c>
      <c r="BZ1937" s="16">
        <f t="shared" si="512"/>
        <v>5.4391505629881824E-13</v>
      </c>
      <c r="CA1937" s="16">
        <f t="shared" si="519"/>
        <v>-999</v>
      </c>
      <c r="CE1937" s="16" t="e">
        <f t="shared" si="513"/>
        <v>#N/A</v>
      </c>
      <c r="CF1937" s="16">
        <f t="shared" si="514"/>
        <v>99</v>
      </c>
      <c r="CG1937" s="16">
        <f t="shared" si="515"/>
        <v>0</v>
      </c>
      <c r="CH1937" s="16">
        <f t="shared" si="520"/>
        <v>0</v>
      </c>
      <c r="CJ1937" s="16" t="e">
        <f t="shared" si="516"/>
        <v>#N/A</v>
      </c>
      <c r="CK1937" s="16" t="str">
        <f t="shared" si="517"/>
        <v/>
      </c>
    </row>
    <row r="1938" spans="73:89" ht="12" customHeight="1">
      <c r="BU1938" s="16">
        <f t="shared" si="518"/>
        <v>0</v>
      </c>
      <c r="BV1938" s="16">
        <f>IF($BY$12=1,NORMDIST(BY1938,$Y$6,$Y$8,TRUE),IF($BY$12=2,IF(BY1938&lt;=$BX$31,0,IF(BY1938&gt;=$BX$32,1,(BY1938-$BX$31)*$BX$33)),SUM($BU$42:BU1938)/$BV$40))</f>
        <v>0.99999999999852407</v>
      </c>
      <c r="BW1938" s="16">
        <f t="shared" si="510"/>
        <v>9.9590511998434574E-11</v>
      </c>
      <c r="BY1938" s="16">
        <f t="shared" si="511"/>
        <v>189.59999999999351</v>
      </c>
      <c r="BZ1938" s="16">
        <f t="shared" si="512"/>
        <v>5.2526641349387123E-13</v>
      </c>
      <c r="CA1938" s="16">
        <f t="shared" si="519"/>
        <v>-999</v>
      </c>
      <c r="CE1938" s="16" t="e">
        <f t="shared" si="513"/>
        <v>#N/A</v>
      </c>
      <c r="CF1938" s="16">
        <f t="shared" si="514"/>
        <v>99</v>
      </c>
      <c r="CG1938" s="16">
        <f t="shared" si="515"/>
        <v>0</v>
      </c>
      <c r="CH1938" s="16">
        <f t="shared" si="520"/>
        <v>0</v>
      </c>
      <c r="CJ1938" s="16" t="e">
        <f t="shared" si="516"/>
        <v>#N/A</v>
      </c>
      <c r="CK1938" s="16" t="str">
        <f t="shared" si="517"/>
        <v/>
      </c>
    </row>
    <row r="1939" spans="73:89" ht="12" customHeight="1">
      <c r="BU1939" s="16">
        <f t="shared" si="518"/>
        <v>0</v>
      </c>
      <c r="BV1939" s="16">
        <f>IF($BY$12=1,NORMDIST(BY1939,$Y$6,$Y$8,TRUE),IF($BY$12=2,IF(BY1939&lt;=$BX$31,0,IF(BY1939&gt;=$BX$32,1,(BY1939-$BX$31)*$BX$33)),SUM($BU$42:BU1939)/$BV$40))</f>
        <v>0.99999999999857569</v>
      </c>
      <c r="BW1939" s="16">
        <f t="shared" ref="BW1939:BW2002" si="521">BY1939*BZ1939</f>
        <v>9.6224277058832806E-11</v>
      </c>
      <c r="BY1939" s="16">
        <f t="shared" ref="BY1939:BY2002" si="522">BY1938+$BZ$1</f>
        <v>189.69999999999351</v>
      </c>
      <c r="BZ1939" s="16">
        <f t="shared" si="512"/>
        <v>5.0724447579776544E-13</v>
      </c>
      <c r="CA1939" s="16">
        <f t="shared" si="519"/>
        <v>-999</v>
      </c>
      <c r="CE1939" s="16" t="e">
        <f t="shared" si="513"/>
        <v>#N/A</v>
      </c>
      <c r="CF1939" s="16">
        <f t="shared" si="514"/>
        <v>99</v>
      </c>
      <c r="CG1939" s="16">
        <f t="shared" si="515"/>
        <v>0</v>
      </c>
      <c r="CH1939" s="16">
        <f t="shared" si="520"/>
        <v>0</v>
      </c>
      <c r="CJ1939" s="16" t="e">
        <f t="shared" si="516"/>
        <v>#N/A</v>
      </c>
      <c r="CK1939" s="16" t="str">
        <f t="shared" si="517"/>
        <v/>
      </c>
    </row>
    <row r="1940" spans="73:89" ht="12" customHeight="1">
      <c r="BU1940" s="16">
        <f t="shared" si="518"/>
        <v>0</v>
      </c>
      <c r="BV1940" s="16">
        <f>IF($BY$12=1,NORMDIST(BY1940,$Y$6,$Y$8,TRUE),IF($BY$12=2,IF(BY1940&lt;=$BX$31,0,IF(BY1940&gt;=$BX$32,1,(BY1940-$BX$31)*$BX$33)),SUM($BU$42:BU1940)/$BV$40))</f>
        <v>0.99999999999862554</v>
      </c>
      <c r="BW1940" s="16">
        <f t="shared" si="521"/>
        <v>9.2969473315302511E-11</v>
      </c>
      <c r="BY1940" s="16">
        <f t="shared" si="522"/>
        <v>189.7999999999935</v>
      </c>
      <c r="BZ1940" s="16">
        <f t="shared" si="512"/>
        <v>4.8982862652953476E-13</v>
      </c>
      <c r="CA1940" s="16">
        <f t="shared" si="519"/>
        <v>-999</v>
      </c>
      <c r="CE1940" s="16" t="e">
        <f t="shared" si="513"/>
        <v>#N/A</v>
      </c>
      <c r="CF1940" s="16">
        <f t="shared" si="514"/>
        <v>99</v>
      </c>
      <c r="CG1940" s="16">
        <f t="shared" si="515"/>
        <v>0</v>
      </c>
      <c r="CH1940" s="16">
        <f t="shared" si="520"/>
        <v>0</v>
      </c>
      <c r="CJ1940" s="16" t="e">
        <f t="shared" si="516"/>
        <v>#N/A</v>
      </c>
      <c r="CK1940" s="16" t="str">
        <f t="shared" si="517"/>
        <v/>
      </c>
    </row>
    <row r="1941" spans="73:89" ht="12" customHeight="1">
      <c r="BU1941" s="16">
        <f t="shared" si="518"/>
        <v>0</v>
      </c>
      <c r="BV1941" s="16">
        <f>IF($BY$12=1,NORMDIST(BY1941,$Y$6,$Y$8,TRUE),IF($BY$12=2,IF(BY1941&lt;=$BX$31,0,IF(BY1941&gt;=$BX$32,1,(BY1941-$BX$31)*$BX$33)),SUM($BU$42:BU1941)/$BV$40))</f>
        <v>0.99999999999867373</v>
      </c>
      <c r="BW1941" s="16">
        <f t="shared" si="521"/>
        <v>8.9822493377697341E-11</v>
      </c>
      <c r="BY1941" s="16">
        <f t="shared" si="522"/>
        <v>189.8999999999935</v>
      </c>
      <c r="BZ1941" s="16">
        <f t="shared" si="512"/>
        <v>4.7299891194155038E-13</v>
      </c>
      <c r="CA1941" s="16">
        <f t="shared" si="519"/>
        <v>-999</v>
      </c>
      <c r="CE1941" s="16" t="e">
        <f t="shared" si="513"/>
        <v>#N/A</v>
      </c>
      <c r="CF1941" s="16">
        <f t="shared" si="514"/>
        <v>99</v>
      </c>
      <c r="CG1941" s="16">
        <f t="shared" si="515"/>
        <v>0</v>
      </c>
      <c r="CH1941" s="16">
        <f t="shared" si="520"/>
        <v>0</v>
      </c>
      <c r="CJ1941" s="16" t="e">
        <f t="shared" si="516"/>
        <v>#N/A</v>
      </c>
      <c r="CK1941" s="16" t="str">
        <f t="shared" si="517"/>
        <v/>
      </c>
    </row>
    <row r="1942" spans="73:89" ht="12" customHeight="1">
      <c r="BU1942" s="16">
        <f t="shared" si="518"/>
        <v>0</v>
      </c>
      <c r="BV1942" s="16">
        <f>IF($BY$12=1,NORMDIST(BY1942,$Y$6,$Y$8,TRUE),IF($BY$12=2,IF(BY1942&lt;=$BX$31,0,IF(BY1942&gt;=$BX$32,1,(BY1942-$BX$31)*$BX$33)),SUM($BU$42:BU1942)/$BV$40))</f>
        <v>0.99999999999872013</v>
      </c>
      <c r="BW1942" s="16">
        <f t="shared" si="521"/>
        <v>8.6779843879658272E-11</v>
      </c>
      <c r="BY1942" s="16">
        <f t="shared" si="522"/>
        <v>189.99999999999349</v>
      </c>
      <c r="BZ1942" s="16">
        <f t="shared" si="512"/>
        <v>4.5673602041926972E-13</v>
      </c>
      <c r="CA1942" s="16">
        <f t="shared" si="519"/>
        <v>-999</v>
      </c>
      <c r="CE1942" s="16" t="e">
        <f t="shared" si="513"/>
        <v>#N/A</v>
      </c>
      <c r="CF1942" s="16">
        <f t="shared" si="514"/>
        <v>99</v>
      </c>
      <c r="CG1942" s="16">
        <f t="shared" si="515"/>
        <v>0</v>
      </c>
      <c r="CH1942" s="16">
        <f t="shared" si="520"/>
        <v>0</v>
      </c>
      <c r="CJ1942" s="16" t="e">
        <f t="shared" si="516"/>
        <v>#N/A</v>
      </c>
      <c r="CK1942" s="16" t="str">
        <f t="shared" si="517"/>
        <v/>
      </c>
    </row>
    <row r="1943" spans="73:89" ht="12" customHeight="1">
      <c r="BU1943" s="16">
        <f t="shared" si="518"/>
        <v>0</v>
      </c>
      <c r="BV1943" s="16">
        <f>IF($BY$12=1,NORMDIST(BY1943,$Y$6,$Y$8,TRUE),IF($BY$12=2,IF(BY1943&lt;=$BX$31,0,IF(BY1943&gt;=$BX$32,1,(BY1943-$BX$31)*$BX$33)),SUM($BU$42:BU1943)/$BV$40))</f>
        <v>0.9999999999987651</v>
      </c>
      <c r="BW1943" s="16">
        <f t="shared" si="521"/>
        <v>8.383814196637152E-11</v>
      </c>
      <c r="BY1943" s="16">
        <f t="shared" si="522"/>
        <v>190.09999999999349</v>
      </c>
      <c r="BZ1943" s="16">
        <f t="shared" si="512"/>
        <v>4.4102126231654074E-13</v>
      </c>
      <c r="CA1943" s="16">
        <f t="shared" si="519"/>
        <v>-999</v>
      </c>
      <c r="CE1943" s="16" t="e">
        <f t="shared" si="513"/>
        <v>#N/A</v>
      </c>
      <c r="CF1943" s="16">
        <f t="shared" si="514"/>
        <v>99</v>
      </c>
      <c r="CG1943" s="16">
        <f t="shared" si="515"/>
        <v>0</v>
      </c>
      <c r="CH1943" s="16">
        <f t="shared" si="520"/>
        <v>0</v>
      </c>
      <c r="CJ1943" s="16" t="e">
        <f t="shared" si="516"/>
        <v>#N/A</v>
      </c>
      <c r="CK1943" s="16" t="str">
        <f t="shared" si="517"/>
        <v/>
      </c>
    </row>
    <row r="1944" spans="73:89" ht="12" customHeight="1">
      <c r="BU1944" s="16">
        <f t="shared" si="518"/>
        <v>0</v>
      </c>
      <c r="BV1944" s="16">
        <f>IF($BY$12=1,NORMDIST(BY1944,$Y$6,$Y$8,TRUE),IF($BY$12=2,IF(BY1944&lt;=$BX$31,0,IF(BY1944&gt;=$BX$32,1,(BY1944-$BX$31)*$BX$33)),SUM($BU$42:BU1944)/$BV$40))</f>
        <v>0.9999999999988084</v>
      </c>
      <c r="BW1944" s="16">
        <f t="shared" si="521"/>
        <v>8.0994111887511881E-11</v>
      </c>
      <c r="BY1944" s="16">
        <f t="shared" si="522"/>
        <v>190.19999999999348</v>
      </c>
      <c r="BZ1944" s="16">
        <f t="shared" si="512"/>
        <v>4.2583655040754287E-13</v>
      </c>
      <c r="CA1944" s="16">
        <f t="shared" si="519"/>
        <v>-999</v>
      </c>
      <c r="CE1944" s="16" t="e">
        <f t="shared" si="513"/>
        <v>#N/A</v>
      </c>
      <c r="CF1944" s="16">
        <f t="shared" si="514"/>
        <v>99</v>
      </c>
      <c r="CG1944" s="16">
        <f t="shared" si="515"/>
        <v>0</v>
      </c>
      <c r="CH1944" s="16">
        <f t="shared" si="520"/>
        <v>0</v>
      </c>
      <c r="CJ1944" s="16" t="e">
        <f t="shared" si="516"/>
        <v>#N/A</v>
      </c>
      <c r="CK1944" s="16" t="str">
        <f t="shared" si="517"/>
        <v/>
      </c>
    </row>
    <row r="1945" spans="73:89" ht="12" customHeight="1">
      <c r="BU1945" s="16">
        <f t="shared" si="518"/>
        <v>0</v>
      </c>
      <c r="BV1945" s="16">
        <f>IF($BY$12=1,NORMDIST(BY1945,$Y$6,$Y$8,TRUE),IF($BY$12=2,IF(BY1945&lt;=$BX$31,0,IF(BY1945&gt;=$BX$32,1,(BY1945-$BX$31)*$BX$33)),SUM($BU$42:BU1945)/$BV$40))</f>
        <v>0.99999999999885025</v>
      </c>
      <c r="BW1945" s="16">
        <f t="shared" si="521"/>
        <v>7.824458169232393E-11</v>
      </c>
      <c r="BY1945" s="16">
        <f t="shared" si="522"/>
        <v>190.29999999999347</v>
      </c>
      <c r="BZ1945" s="16">
        <f t="shared" si="512"/>
        <v>4.1116438093708151E-13</v>
      </c>
      <c r="CA1945" s="16">
        <f t="shared" si="519"/>
        <v>-999</v>
      </c>
      <c r="CE1945" s="16" t="e">
        <f t="shared" si="513"/>
        <v>#N/A</v>
      </c>
      <c r="CF1945" s="16">
        <f t="shared" si="514"/>
        <v>99</v>
      </c>
      <c r="CG1945" s="16">
        <f t="shared" si="515"/>
        <v>0</v>
      </c>
      <c r="CH1945" s="16">
        <f t="shared" si="520"/>
        <v>0</v>
      </c>
      <c r="CJ1945" s="16" t="e">
        <f t="shared" si="516"/>
        <v>#N/A</v>
      </c>
      <c r="CK1945" s="16" t="str">
        <f t="shared" si="517"/>
        <v/>
      </c>
    </row>
    <row r="1946" spans="73:89" ht="12" customHeight="1">
      <c r="BU1946" s="16">
        <f t="shared" si="518"/>
        <v>0</v>
      </c>
      <c r="BV1946" s="16">
        <f>IF($BY$12=1,NORMDIST(BY1946,$Y$6,$Y$8,TRUE),IF($BY$12=2,IF(BY1946&lt;=$BX$31,0,IF(BY1946&gt;=$BX$32,1,(BY1946-$BX$31)*$BX$33)),SUM($BU$42:BU1946)/$BV$40))</f>
        <v>0.99999999999889067</v>
      </c>
      <c r="BW1946" s="16">
        <f t="shared" si="521"/>
        <v>7.558648002387139E-11</v>
      </c>
      <c r="BY1946" s="16">
        <f t="shared" si="522"/>
        <v>190.39999999999347</v>
      </c>
      <c r="BZ1946" s="16">
        <f t="shared" si="512"/>
        <v>3.96987815251439E-13</v>
      </c>
      <c r="CA1946" s="16">
        <f t="shared" si="519"/>
        <v>-999</v>
      </c>
      <c r="CE1946" s="16" t="e">
        <f t="shared" si="513"/>
        <v>#N/A</v>
      </c>
      <c r="CF1946" s="16">
        <f t="shared" si="514"/>
        <v>99</v>
      </c>
      <c r="CG1946" s="16">
        <f t="shared" si="515"/>
        <v>0</v>
      </c>
      <c r="CH1946" s="16">
        <f t="shared" si="520"/>
        <v>0</v>
      </c>
      <c r="CJ1946" s="16" t="e">
        <f t="shared" si="516"/>
        <v>#N/A</v>
      </c>
      <c r="CK1946" s="16" t="str">
        <f t="shared" si="517"/>
        <v/>
      </c>
    </row>
    <row r="1947" spans="73:89" ht="12" customHeight="1">
      <c r="BU1947" s="16">
        <f t="shared" si="518"/>
        <v>0</v>
      </c>
      <c r="BV1947" s="16">
        <f>IF($BY$12=1,NORMDIST(BY1947,$Y$6,$Y$8,TRUE),IF($BY$12=2,IF(BY1947&lt;=$BX$31,0,IF(BY1947&gt;=$BX$32,1,(BY1947-$BX$31)*$BX$33)),SUM($BU$42:BU1947)/$BV$40))</f>
        <v>0.99999999999892963</v>
      </c>
      <c r="BW1947" s="16">
        <f t="shared" si="521"/>
        <v>7.3016833009564015E-11</v>
      </c>
      <c r="BY1947" s="16">
        <f t="shared" si="522"/>
        <v>190.49999999999346</v>
      </c>
      <c r="BZ1947" s="16">
        <f t="shared" si="512"/>
        <v>3.8329046199247516E-13</v>
      </c>
      <c r="CA1947" s="16">
        <f t="shared" si="519"/>
        <v>-999</v>
      </c>
      <c r="CE1947" s="16" t="e">
        <f t="shared" si="513"/>
        <v>#N/A</v>
      </c>
      <c r="CF1947" s="16">
        <f t="shared" si="514"/>
        <v>99</v>
      </c>
      <c r="CG1947" s="16">
        <f t="shared" si="515"/>
        <v>0</v>
      </c>
      <c r="CH1947" s="16">
        <f t="shared" si="520"/>
        <v>0</v>
      </c>
      <c r="CJ1947" s="16" t="e">
        <f t="shared" si="516"/>
        <v>#N/A</v>
      </c>
      <c r="CK1947" s="16" t="str">
        <f t="shared" si="517"/>
        <v/>
      </c>
    </row>
    <row r="1948" spans="73:89" ht="12" customHeight="1">
      <c r="BU1948" s="16">
        <f t="shared" si="518"/>
        <v>0</v>
      </c>
      <c r="BV1948" s="16">
        <f>IF($BY$12=1,NORMDIST(BY1948,$Y$6,$Y$8,TRUE),IF($BY$12=2,IF(BY1948&lt;=$BX$31,0,IF(BY1948&gt;=$BX$32,1,(BY1948-$BX$31)*$BX$33)),SUM($BU$42:BU1948)/$BV$40))</f>
        <v>0.99999999999896738</v>
      </c>
      <c r="BW1948" s="16">
        <f t="shared" si="521"/>
        <v>7.0532761245162645E-11</v>
      </c>
      <c r="BY1948" s="16">
        <f t="shared" si="522"/>
        <v>190.59999999999346</v>
      </c>
      <c r="BZ1948" s="16">
        <f t="shared" si="512"/>
        <v>3.7005645983822177E-13</v>
      </c>
      <c r="CA1948" s="16">
        <f t="shared" si="519"/>
        <v>-999</v>
      </c>
      <c r="CE1948" s="16" t="e">
        <f t="shared" si="513"/>
        <v>#N/A</v>
      </c>
      <c r="CF1948" s="16">
        <f t="shared" si="514"/>
        <v>99</v>
      </c>
      <c r="CG1948" s="16">
        <f t="shared" si="515"/>
        <v>0</v>
      </c>
      <c r="CH1948" s="16">
        <f t="shared" si="520"/>
        <v>0</v>
      </c>
      <c r="CJ1948" s="16" t="e">
        <f t="shared" si="516"/>
        <v>#N/A</v>
      </c>
      <c r="CK1948" s="16" t="str">
        <f t="shared" si="517"/>
        <v/>
      </c>
    </row>
    <row r="1949" spans="73:89" ht="12" customHeight="1">
      <c r="BU1949" s="16">
        <f t="shared" si="518"/>
        <v>0</v>
      </c>
      <c r="BV1949" s="16">
        <f>IF($BY$12=1,NORMDIST(BY1949,$Y$6,$Y$8,TRUE),IF($BY$12=2,IF(BY1949&lt;=$BX$31,0,IF(BY1949&gt;=$BX$32,1,(BY1949-$BX$31)*$BX$33)),SUM($BU$42:BU1949)/$BV$40))</f>
        <v>0.99999999999900369</v>
      </c>
      <c r="BW1949" s="16">
        <f t="shared" si="521"/>
        <v>6.813147686953659E-11</v>
      </c>
      <c r="BY1949" s="16">
        <f t="shared" si="522"/>
        <v>190.69999999999345</v>
      </c>
      <c r="BZ1949" s="16">
        <f t="shared" si="512"/>
        <v>3.5727046077367029E-13</v>
      </c>
      <c r="CA1949" s="16">
        <f t="shared" si="519"/>
        <v>-999</v>
      </c>
      <c r="CE1949" s="16" t="e">
        <f t="shared" si="513"/>
        <v>#N/A</v>
      </c>
      <c r="CF1949" s="16">
        <f t="shared" si="514"/>
        <v>99</v>
      </c>
      <c r="CG1949" s="16">
        <f t="shared" si="515"/>
        <v>0</v>
      </c>
      <c r="CH1949" s="16">
        <f t="shared" si="520"/>
        <v>0</v>
      </c>
      <c r="CJ1949" s="16" t="e">
        <f t="shared" si="516"/>
        <v>#N/A</v>
      </c>
      <c r="CK1949" s="16" t="str">
        <f t="shared" si="517"/>
        <v/>
      </c>
    </row>
    <row r="1950" spans="73:89" ht="12" customHeight="1">
      <c r="BU1950" s="16">
        <f t="shared" si="518"/>
        <v>0</v>
      </c>
      <c r="BV1950" s="16">
        <f>IF($BY$12=1,NORMDIST(BY1950,$Y$6,$Y$8,TRUE),IF($BY$12=2,IF(BY1950&lt;=$BX$31,0,IF(BY1950&gt;=$BX$32,1,(BY1950-$BX$31)*$BX$33)),SUM($BU$42:BU1950)/$BV$40))</f>
        <v>0.99999999999903877</v>
      </c>
      <c r="BW1950" s="16">
        <f t="shared" si="521"/>
        <v>6.5810280727521049E-11</v>
      </c>
      <c r="BY1950" s="16">
        <f t="shared" si="522"/>
        <v>190.79999999999345</v>
      </c>
      <c r="BZ1950" s="16">
        <f t="shared" si="512"/>
        <v>3.4491761387590831E-13</v>
      </c>
      <c r="CA1950" s="16">
        <f t="shared" si="519"/>
        <v>-999</v>
      </c>
      <c r="CE1950" s="16" t="e">
        <f t="shared" si="513"/>
        <v>#N/A</v>
      </c>
      <c r="CF1950" s="16">
        <f t="shared" si="514"/>
        <v>99</v>
      </c>
      <c r="CG1950" s="16">
        <f t="shared" si="515"/>
        <v>0</v>
      </c>
      <c r="CH1950" s="16">
        <f t="shared" si="520"/>
        <v>0</v>
      </c>
      <c r="CJ1950" s="16" t="e">
        <f t="shared" si="516"/>
        <v>#N/A</v>
      </c>
      <c r="CK1950" s="16" t="str">
        <f t="shared" si="517"/>
        <v/>
      </c>
    </row>
    <row r="1951" spans="73:89" ht="12" customHeight="1">
      <c r="BU1951" s="16">
        <f t="shared" si="518"/>
        <v>0</v>
      </c>
      <c r="BV1951" s="16">
        <f>IF($BY$12=1,NORMDIST(BY1951,$Y$6,$Y$8,TRUE),IF($BY$12=2,IF(BY1951&lt;=$BX$31,0,IF(BY1951&gt;=$BX$32,1,(BY1951-$BX$31)*$BX$33)),SUM($BU$42:BU1951)/$BV$40))</f>
        <v>0.99999999999907274</v>
      </c>
      <c r="BW1951" s="16">
        <f t="shared" si="521"/>
        <v>6.3566559618303321E-11</v>
      </c>
      <c r="BY1951" s="16">
        <f t="shared" si="522"/>
        <v>190.89999999999344</v>
      </c>
      <c r="BZ1951" s="16">
        <f t="shared" si="512"/>
        <v>3.329835495982478E-13</v>
      </c>
      <c r="CA1951" s="16">
        <f t="shared" si="519"/>
        <v>-999</v>
      </c>
      <c r="CE1951" s="16" t="e">
        <f t="shared" si="513"/>
        <v>#N/A</v>
      </c>
      <c r="CF1951" s="16">
        <f t="shared" si="514"/>
        <v>99</v>
      </c>
      <c r="CG1951" s="16">
        <f t="shared" si="515"/>
        <v>0</v>
      </c>
      <c r="CH1951" s="16">
        <f t="shared" si="520"/>
        <v>0</v>
      </c>
      <c r="CJ1951" s="16" t="e">
        <f t="shared" si="516"/>
        <v>#N/A</v>
      </c>
      <c r="CK1951" s="16" t="str">
        <f t="shared" si="517"/>
        <v/>
      </c>
    </row>
    <row r="1952" spans="73:89" ht="12" customHeight="1">
      <c r="BU1952" s="16">
        <f t="shared" si="518"/>
        <v>0</v>
      </c>
      <c r="BV1952" s="16">
        <f>IF($BY$12=1,NORMDIST(BY1952,$Y$6,$Y$8,TRUE),IF($BY$12=2,IF(BY1952&lt;=$BX$31,0,IF(BY1952&gt;=$BX$32,1,(BY1952-$BX$31)*$BX$33)),SUM($BU$42:BU1952)/$BV$40))</f>
        <v>0.99999999999910538</v>
      </c>
      <c r="BW1952" s="16">
        <f t="shared" si="521"/>
        <v>6.1397783626837425E-11</v>
      </c>
      <c r="BY1952" s="16">
        <f t="shared" si="522"/>
        <v>190.99999999999343</v>
      </c>
      <c r="BZ1952" s="16">
        <f t="shared" si="512"/>
        <v>3.2145436453842688E-13</v>
      </c>
      <c r="CA1952" s="16">
        <f t="shared" si="519"/>
        <v>-999</v>
      </c>
      <c r="CE1952" s="16" t="e">
        <f t="shared" si="513"/>
        <v>#N/A</v>
      </c>
      <c r="CF1952" s="16">
        <f t="shared" si="514"/>
        <v>99</v>
      </c>
      <c r="CG1952" s="16">
        <f t="shared" si="515"/>
        <v>0</v>
      </c>
      <c r="CH1952" s="16">
        <f t="shared" si="520"/>
        <v>0</v>
      </c>
      <c r="CJ1952" s="16" t="e">
        <f t="shared" si="516"/>
        <v>#N/A</v>
      </c>
      <c r="CK1952" s="16" t="str">
        <f t="shared" si="517"/>
        <v/>
      </c>
    </row>
    <row r="1953" spans="73:89" ht="12" customHeight="1">
      <c r="BU1953" s="16">
        <f t="shared" si="518"/>
        <v>0</v>
      </c>
      <c r="BV1953" s="16">
        <f>IF($BY$12=1,NORMDIST(BY1953,$Y$6,$Y$8,TRUE),IF($BY$12=2,IF(BY1953&lt;=$BX$31,0,IF(BY1953&gt;=$BX$32,1,(BY1953-$BX$31)*$BX$33)),SUM($BU$42:BU1953)/$BV$40))</f>
        <v>0.99999999999913702</v>
      </c>
      <c r="BW1953" s="16">
        <f t="shared" si="521"/>
        <v>5.9301503535852977E-11</v>
      </c>
      <c r="BY1953" s="16">
        <f t="shared" si="522"/>
        <v>191.09999999999343</v>
      </c>
      <c r="BZ1953" s="16">
        <f t="shared" si="512"/>
        <v>3.1031660667637368E-13</v>
      </c>
      <c r="CA1953" s="16">
        <f t="shared" si="519"/>
        <v>-999</v>
      </c>
      <c r="CE1953" s="16" t="e">
        <f t="shared" si="513"/>
        <v>#N/A</v>
      </c>
      <c r="CF1953" s="16">
        <f t="shared" si="514"/>
        <v>99</v>
      </c>
      <c r="CG1953" s="16">
        <f t="shared" si="515"/>
        <v>0</v>
      </c>
      <c r="CH1953" s="16">
        <f t="shared" si="520"/>
        <v>0</v>
      </c>
      <c r="CJ1953" s="16" t="e">
        <f t="shared" si="516"/>
        <v>#N/A</v>
      </c>
      <c r="CK1953" s="16" t="str">
        <f t="shared" si="517"/>
        <v/>
      </c>
    </row>
    <row r="1954" spans="73:89" ht="12" customHeight="1">
      <c r="BU1954" s="16">
        <f t="shared" si="518"/>
        <v>0</v>
      </c>
      <c r="BV1954" s="16">
        <f>IF($BY$12=1,NORMDIST(BY1954,$Y$6,$Y$8,TRUE),IF($BY$12=2,IF(BY1954&lt;=$BX$31,0,IF(BY1954&gt;=$BX$32,1,(BY1954-$BX$31)*$BX$33)),SUM($BU$42:BU1954)/$BV$40))</f>
        <v>0.99999999999916744</v>
      </c>
      <c r="BW1954" s="16">
        <f t="shared" si="521"/>
        <v>5.7275348316102972E-11</v>
      </c>
      <c r="BY1954" s="16">
        <f t="shared" si="522"/>
        <v>191.19999999999342</v>
      </c>
      <c r="BZ1954" s="16">
        <f t="shared" si="512"/>
        <v>2.9955726106749445E-13</v>
      </c>
      <c r="CA1954" s="16">
        <f t="shared" si="519"/>
        <v>-999</v>
      </c>
      <c r="CE1954" s="16" t="e">
        <f t="shared" si="513"/>
        <v>#N/A</v>
      </c>
      <c r="CF1954" s="16">
        <f t="shared" si="514"/>
        <v>99</v>
      </c>
      <c r="CG1954" s="16">
        <f t="shared" si="515"/>
        <v>0</v>
      </c>
      <c r="CH1954" s="16">
        <f t="shared" si="520"/>
        <v>0</v>
      </c>
      <c r="CJ1954" s="16" t="e">
        <f t="shared" si="516"/>
        <v>#N/A</v>
      </c>
      <c r="CK1954" s="16" t="str">
        <f t="shared" si="517"/>
        <v/>
      </c>
    </row>
    <row r="1955" spans="73:89" ht="12" customHeight="1">
      <c r="BU1955" s="16">
        <f t="shared" si="518"/>
        <v>0</v>
      </c>
      <c r="BV1955" s="16">
        <f>IF($BY$12=1,NORMDIST(BY1955,$Y$6,$Y$8,TRUE),IF($BY$12=2,IF(BY1955&lt;=$BX$31,0,IF(BY1955&gt;=$BX$32,1,(BY1955-$BX$31)*$BX$33)),SUM($BU$42:BU1955)/$BV$40))</f>
        <v>0.99999999999919686</v>
      </c>
      <c r="BW1955" s="16">
        <f t="shared" si="521"/>
        <v>5.5317022692545222E-11</v>
      </c>
      <c r="BY1955" s="16">
        <f t="shared" si="522"/>
        <v>191.29999999999342</v>
      </c>
      <c r="BZ1955" s="16">
        <f t="shared" si="512"/>
        <v>2.8916373597776855E-13</v>
      </c>
      <c r="CA1955" s="16">
        <f t="shared" si="519"/>
        <v>-999</v>
      </c>
      <c r="CE1955" s="16" t="e">
        <f t="shared" si="513"/>
        <v>#N/A</v>
      </c>
      <c r="CF1955" s="16">
        <f t="shared" si="514"/>
        <v>99</v>
      </c>
      <c r="CG1955" s="16">
        <f t="shared" si="515"/>
        <v>0</v>
      </c>
      <c r="CH1955" s="16">
        <f t="shared" si="520"/>
        <v>0</v>
      </c>
      <c r="CJ1955" s="16" t="e">
        <f t="shared" si="516"/>
        <v>#N/A</v>
      </c>
      <c r="CK1955" s="16" t="str">
        <f t="shared" si="517"/>
        <v/>
      </c>
    </row>
    <row r="1956" spans="73:89" ht="12" customHeight="1">
      <c r="BU1956" s="16">
        <f t="shared" si="518"/>
        <v>0</v>
      </c>
      <c r="BV1956" s="16">
        <f>IF($BY$12=1,NORMDIST(BY1956,$Y$6,$Y$8,TRUE),IF($BY$12=2,IF(BY1956&lt;=$BX$31,0,IF(BY1956&gt;=$BX$32,1,(BY1956-$BX$31)*$BX$33)),SUM($BU$42:BU1956)/$BV$40))</f>
        <v>0.99999999999922529</v>
      </c>
      <c r="BW1956" s="16">
        <f t="shared" si="521"/>
        <v>5.3424304784240948E-11</v>
      </c>
      <c r="BY1956" s="16">
        <f t="shared" si="522"/>
        <v>191.39999999999341</v>
      </c>
      <c r="BZ1956" s="16">
        <f t="shared" si="512"/>
        <v>2.7912384944745449E-13</v>
      </c>
      <c r="CA1956" s="16">
        <f t="shared" si="519"/>
        <v>-999</v>
      </c>
      <c r="CE1956" s="16" t="e">
        <f t="shared" si="513"/>
        <v>#N/A</v>
      </c>
      <c r="CF1956" s="16">
        <f t="shared" si="514"/>
        <v>99</v>
      </c>
      <c r="CG1956" s="16">
        <f t="shared" si="515"/>
        <v>0</v>
      </c>
      <c r="CH1956" s="16">
        <f t="shared" si="520"/>
        <v>0</v>
      </c>
      <c r="CJ1956" s="16" t="e">
        <f t="shared" si="516"/>
        <v>#N/A</v>
      </c>
      <c r="CK1956" s="16" t="str">
        <f t="shared" si="517"/>
        <v/>
      </c>
    </row>
    <row r="1957" spans="73:89" ht="12" customHeight="1">
      <c r="BU1957" s="16">
        <f t="shared" si="518"/>
        <v>0</v>
      </c>
      <c r="BV1957" s="16">
        <f>IF($BY$12=1,NORMDIST(BY1957,$Y$6,$Y$8,TRUE),IF($BY$12=2,IF(BY1957&lt;=$BX$31,0,IF(BY1957&gt;=$BX$32,1,(BY1957-$BX$31)*$BX$33)),SUM($BU$42:BU1957)/$BV$40))</f>
        <v>0.99999999999925271</v>
      </c>
      <c r="BW1957" s="16">
        <f t="shared" si="521"/>
        <v>5.1595043815793188E-11</v>
      </c>
      <c r="BY1957" s="16">
        <f t="shared" si="522"/>
        <v>191.49999999999341</v>
      </c>
      <c r="BZ1957" s="16">
        <f t="shared" si="512"/>
        <v>2.6942581627046977E-13</v>
      </c>
      <c r="CA1957" s="16">
        <f t="shared" si="519"/>
        <v>-999</v>
      </c>
      <c r="CE1957" s="16" t="e">
        <f t="shared" si="513"/>
        <v>#N/A</v>
      </c>
      <c r="CF1957" s="16">
        <f t="shared" si="514"/>
        <v>99</v>
      </c>
      <c r="CG1957" s="16">
        <f t="shared" si="515"/>
        <v>0</v>
      </c>
      <c r="CH1957" s="16">
        <f t="shared" si="520"/>
        <v>0</v>
      </c>
      <c r="CJ1957" s="16" t="e">
        <f t="shared" si="516"/>
        <v>#N/A</v>
      </c>
      <c r="CK1957" s="16" t="str">
        <f t="shared" si="517"/>
        <v/>
      </c>
    </row>
    <row r="1958" spans="73:89" ht="12" customHeight="1">
      <c r="BU1958" s="16">
        <f t="shared" si="518"/>
        <v>0</v>
      </c>
      <c r="BV1958" s="16">
        <f>IF($BY$12=1,NORMDIST(BY1958,$Y$6,$Y$8,TRUE),IF($BY$12=2,IF(BY1958&lt;=$BX$31,0,IF(BY1958&gt;=$BX$32,1,(BY1958-$BX$31)*$BX$33)),SUM($BU$42:BU1958)/$BV$40))</f>
        <v>0.99999999999927924</v>
      </c>
      <c r="BW1958" s="16">
        <f t="shared" si="521"/>
        <v>4.9827157898225059E-11</v>
      </c>
      <c r="BY1958" s="16">
        <f t="shared" si="522"/>
        <v>191.5999999999934</v>
      </c>
      <c r="BZ1958" s="16">
        <f t="shared" si="512"/>
        <v>2.6005823537696649E-13</v>
      </c>
      <c r="CA1958" s="16">
        <f t="shared" si="519"/>
        <v>-999</v>
      </c>
      <c r="CE1958" s="16" t="e">
        <f t="shared" si="513"/>
        <v>#N/A</v>
      </c>
      <c r="CF1958" s="16">
        <f t="shared" si="514"/>
        <v>99</v>
      </c>
      <c r="CG1958" s="16">
        <f t="shared" si="515"/>
        <v>0</v>
      </c>
      <c r="CH1958" s="16">
        <f t="shared" si="520"/>
        <v>0</v>
      </c>
      <c r="CJ1958" s="16" t="e">
        <f t="shared" si="516"/>
        <v>#N/A</v>
      </c>
      <c r="CK1958" s="16" t="str">
        <f t="shared" si="517"/>
        <v/>
      </c>
    </row>
    <row r="1959" spans="73:89" ht="12" customHeight="1">
      <c r="BU1959" s="16">
        <f t="shared" si="518"/>
        <v>0</v>
      </c>
      <c r="BV1959" s="16">
        <f>IF($BY$12=1,NORMDIST(BY1959,$Y$6,$Y$8,TRUE),IF($BY$12=2,IF(BY1959&lt;=$BX$31,0,IF(BY1959&gt;=$BX$32,1,(BY1959-$BX$31)*$BX$33)),SUM($BU$42:BU1959)/$BV$40))</f>
        <v>0.99999999999930478</v>
      </c>
      <c r="BW1959" s="16">
        <f t="shared" si="521"/>
        <v>4.8118631877254213E-11</v>
      </c>
      <c r="BY1959" s="16">
        <f t="shared" si="522"/>
        <v>191.69999999999339</v>
      </c>
      <c r="BZ1959" s="16">
        <f t="shared" si="512"/>
        <v>2.5101007760696855E-13</v>
      </c>
      <c r="CA1959" s="16">
        <f t="shared" si="519"/>
        <v>-999</v>
      </c>
      <c r="CE1959" s="16" t="e">
        <f t="shared" si="513"/>
        <v>#N/A</v>
      </c>
      <c r="CF1959" s="16">
        <f t="shared" si="514"/>
        <v>99</v>
      </c>
      <c r="CG1959" s="16">
        <f t="shared" si="515"/>
        <v>0</v>
      </c>
      <c r="CH1959" s="16">
        <f t="shared" si="520"/>
        <v>0</v>
      </c>
      <c r="CJ1959" s="16" t="e">
        <f t="shared" si="516"/>
        <v>#N/A</v>
      </c>
      <c r="CK1959" s="16" t="str">
        <f t="shared" si="517"/>
        <v/>
      </c>
    </row>
    <row r="1960" spans="73:89" ht="12" customHeight="1">
      <c r="BU1960" s="16">
        <f t="shared" si="518"/>
        <v>0</v>
      </c>
      <c r="BV1960" s="16">
        <f>IF($BY$12=1,NORMDIST(BY1960,$Y$6,$Y$8,TRUE),IF($BY$12=2,IF(BY1960&lt;=$BX$31,0,IF(BY1960&gt;=$BX$32,1,(BY1960-$BX$31)*$BX$33)),SUM($BU$42:BU1960)/$BV$40))</f>
        <v>0.99999999999932943</v>
      </c>
      <c r="BW1960" s="16">
        <f t="shared" si="521"/>
        <v>4.6467515246972481E-11</v>
      </c>
      <c r="BY1960" s="16">
        <f t="shared" si="522"/>
        <v>191.79999999999339</v>
      </c>
      <c r="BZ1960" s="16">
        <f t="shared" si="512"/>
        <v>2.4227067386326423E-13</v>
      </c>
      <c r="CA1960" s="16">
        <f t="shared" si="519"/>
        <v>-999</v>
      </c>
      <c r="CE1960" s="16" t="e">
        <f t="shared" si="513"/>
        <v>#N/A</v>
      </c>
      <c r="CF1960" s="16">
        <f t="shared" si="514"/>
        <v>99</v>
      </c>
      <c r="CG1960" s="16">
        <f t="shared" si="515"/>
        <v>0</v>
      </c>
      <c r="CH1960" s="16">
        <f t="shared" si="520"/>
        <v>0</v>
      </c>
      <c r="CJ1960" s="16" t="e">
        <f t="shared" si="516"/>
        <v>#N/A</v>
      </c>
      <c r="CK1960" s="16" t="str">
        <f t="shared" si="517"/>
        <v/>
      </c>
    </row>
    <row r="1961" spans="73:89" ht="12" customHeight="1">
      <c r="BU1961" s="16">
        <f t="shared" si="518"/>
        <v>0</v>
      </c>
      <c r="BV1961" s="16">
        <f>IF($BY$12=1,NORMDIST(BY1961,$Y$6,$Y$8,TRUE),IF($BY$12=2,IF(BY1961&lt;=$BX$31,0,IF(BY1961&gt;=$BX$32,1,(BY1961-$BX$31)*$BX$33)),SUM($BU$42:BU1961)/$BV$40))</f>
        <v>0.9999999999993533</v>
      </c>
      <c r="BW1961" s="16">
        <f t="shared" si="521"/>
        <v>4.4871920127005278E-11</v>
      </c>
      <c r="BY1961" s="16">
        <f t="shared" si="522"/>
        <v>191.89999999999338</v>
      </c>
      <c r="BZ1961" s="16">
        <f t="shared" si="512"/>
        <v>2.3382970363213563E-13</v>
      </c>
      <c r="CA1961" s="16">
        <f t="shared" si="519"/>
        <v>-999</v>
      </c>
      <c r="CE1961" s="16" t="e">
        <f t="shared" si="513"/>
        <v>#N/A</v>
      </c>
      <c r="CF1961" s="16">
        <f t="shared" si="514"/>
        <v>99</v>
      </c>
      <c r="CG1961" s="16">
        <f t="shared" si="515"/>
        <v>0</v>
      </c>
      <c r="CH1961" s="16">
        <f t="shared" si="520"/>
        <v>0</v>
      </c>
      <c r="CJ1961" s="16" t="e">
        <f t="shared" si="516"/>
        <v>#N/A</v>
      </c>
      <c r="CK1961" s="16" t="str">
        <f t="shared" si="517"/>
        <v/>
      </c>
    </row>
    <row r="1962" spans="73:89" ht="12" customHeight="1">
      <c r="BU1962" s="16">
        <f t="shared" si="518"/>
        <v>0</v>
      </c>
      <c r="BV1962" s="16">
        <f>IF($BY$12=1,NORMDIST(BY1962,$Y$6,$Y$8,TRUE),IF($BY$12=2,IF(BY1962&lt;=$BX$31,0,IF(BY1962&gt;=$BX$32,1,(BY1962-$BX$31)*$BX$33)),SUM($BU$42:BU1962)/$BV$40))</f>
        <v>0.99999999999937617</v>
      </c>
      <c r="BW1962" s="16">
        <f t="shared" si="521"/>
        <v>4.333001930127322E-11</v>
      </c>
      <c r="BY1962" s="16">
        <f t="shared" si="522"/>
        <v>191.99999999999338</v>
      </c>
      <c r="BZ1962" s="16">
        <f t="shared" ref="BZ1962:BZ2025" si="523">IF($BZ$5,IF($BY$12=1,NORMDIST(BY1962,$Y$6,$Y$8,FALSE),IF($BY$12=2,IF(AND(BY1962&gt;=$BX$31,BY1962&lt;=$BX$32),$BX$33,0),IF(BY1962&lt;=$BX$13,0,NORMDIST(LN((BY1962-$BX$13)/$BX$12),0,$BW$8,FALSE)/((BY1962-$BX$13)/$BX$12)))),-999)</f>
        <v>2.2567718386080581E-13</v>
      </c>
      <c r="CA1962" s="16">
        <f t="shared" si="519"/>
        <v>-999</v>
      </c>
      <c r="CE1962" s="16" t="e">
        <f t="shared" ref="CE1962:CE2025" si="524">IF(AND($CB$7,$CD$2,$CD$1),26+$P$23/2-CC1962*$P$23,NA())</f>
        <v>#N/A</v>
      </c>
      <c r="CF1962" s="16">
        <f t="shared" ref="CF1962:CF2025" si="525">IF(ISNA(CJ1962),99,CJ1962)</f>
        <v>99</v>
      </c>
      <c r="CG1962" s="16">
        <f t="shared" ref="CG1962:CG2025" si="526">IF(ISNA(CJ1962),0,CJ1962)</f>
        <v>0</v>
      </c>
      <c r="CH1962" s="16">
        <f t="shared" si="520"/>
        <v>0</v>
      </c>
      <c r="CJ1962" s="16" t="e">
        <f t="shared" ref="CJ1962:CJ2025" si="527">IF(CH1962=1,CE1962,NA())</f>
        <v>#N/A</v>
      </c>
      <c r="CK1962" s="16" t="str">
        <f t="shared" ref="CK1962:CK2025" si="528">IF(CH1962=1,M1861,"")</f>
        <v/>
      </c>
    </row>
    <row r="1963" spans="73:89" ht="12" customHeight="1">
      <c r="BU1963" s="16">
        <f t="shared" ref="BU1963:BU2026" si="529">IF($BY$12&lt;3,0,IF(BY1963&lt;=$BX$13,0,NORMDIST(LN((BY1963-$BX$13)/$BX$12),0,$BW$8,FALSE)/((BY1963-$BX$13)/$BX$12)))</f>
        <v>0</v>
      </c>
      <c r="BV1963" s="16">
        <f>IF($BY$12=1,NORMDIST(BY1963,$Y$6,$Y$8,TRUE),IF($BY$12=2,IF(BY1963&lt;=$BX$31,0,IF(BY1963&gt;=$BX$32,1,(BY1963-$BX$31)*$BX$33)),SUM($BU$42:BU1963)/$BV$40))</f>
        <v>0.99999999999939837</v>
      </c>
      <c r="BW1963" s="16">
        <f t="shared" si="521"/>
        <v>4.184004431653506E-11</v>
      </c>
      <c r="BY1963" s="16">
        <f t="shared" si="522"/>
        <v>192.09999999999337</v>
      </c>
      <c r="BZ1963" s="16">
        <f t="shared" si="523"/>
        <v>2.1780345818082511E-13</v>
      </c>
      <c r="CA1963" s="16">
        <f t="shared" ref="CA1963:CA2026" si="530">IF(AND($CD$1,$CD$3),26-$CD$40*NORMDIST(BY1963,$Y$6,$Y$8/SQRT($T$18),FALSE),-999)</f>
        <v>-999</v>
      </c>
      <c r="CE1963" s="16" t="e">
        <f t="shared" si="524"/>
        <v>#N/A</v>
      </c>
      <c r="CF1963" s="16">
        <f t="shared" si="525"/>
        <v>99</v>
      </c>
      <c r="CG1963" s="16">
        <f t="shared" si="526"/>
        <v>0</v>
      </c>
      <c r="CH1963" s="16">
        <f t="shared" si="520"/>
        <v>0</v>
      </c>
      <c r="CJ1963" s="16" t="e">
        <f t="shared" si="527"/>
        <v>#N/A</v>
      </c>
      <c r="CK1963" s="16" t="str">
        <f t="shared" si="528"/>
        <v/>
      </c>
    </row>
    <row r="1964" spans="73:89" ht="12" customHeight="1">
      <c r="BU1964" s="16">
        <f t="shared" si="529"/>
        <v>0</v>
      </c>
      <c r="BV1964" s="16">
        <f>IF($BY$12=1,NORMDIST(BY1964,$Y$6,$Y$8,TRUE),IF($BY$12=2,IF(BY1964&lt;=$BX$31,0,IF(BY1964&gt;=$BX$32,1,(BY1964-$BX$31)*$BX$33)),SUM($BU$42:BU1964)/$BV$40))</f>
        <v>0.9999999999994198</v>
      </c>
      <c r="BW1964" s="16">
        <f t="shared" si="521"/>
        <v>4.0400283638944141E-11</v>
      </c>
      <c r="BY1964" s="16">
        <f t="shared" si="522"/>
        <v>192.19999999999337</v>
      </c>
      <c r="BZ1964" s="16">
        <f t="shared" si="523"/>
        <v>2.1019918646693827E-13</v>
      </c>
      <c r="CA1964" s="16">
        <f t="shared" si="530"/>
        <v>-999</v>
      </c>
      <c r="CE1964" s="16" t="e">
        <f t="shared" si="524"/>
        <v>#N/A</v>
      </c>
      <c r="CF1964" s="16">
        <f t="shared" si="525"/>
        <v>99</v>
      </c>
      <c r="CG1964" s="16">
        <f t="shared" si="526"/>
        <v>0</v>
      </c>
      <c r="CH1964" s="16">
        <f t="shared" si="520"/>
        <v>0</v>
      </c>
      <c r="CJ1964" s="16" t="e">
        <f t="shared" si="527"/>
        <v>#N/A</v>
      </c>
      <c r="CK1964" s="16" t="str">
        <f t="shared" si="528"/>
        <v/>
      </c>
    </row>
    <row r="1965" spans="73:89" ht="12" customHeight="1">
      <c r="BU1965" s="16">
        <f t="shared" si="529"/>
        <v>0</v>
      </c>
      <c r="BV1965" s="16">
        <f>IF($BY$12=1,NORMDIST(BY1965,$Y$6,$Y$8,TRUE),IF($BY$12=2,IF(BY1965&lt;=$BX$31,0,IF(BY1965&gt;=$BX$32,1,(BY1965-$BX$31)*$BX$33)),SUM($BU$42:BU1965)/$BV$40))</f>
        <v>0.99999999999944045</v>
      </c>
      <c r="BW1965" s="16">
        <f t="shared" si="521"/>
        <v>3.9009080866897633E-11</v>
      </c>
      <c r="BY1965" s="16">
        <f t="shared" si="522"/>
        <v>192.29999999999336</v>
      </c>
      <c r="BZ1965" s="16">
        <f t="shared" si="523"/>
        <v>2.0285533472126355E-13</v>
      </c>
      <c r="CA1965" s="16">
        <f t="shared" si="530"/>
        <v>-999</v>
      </c>
      <c r="CE1965" s="16" t="e">
        <f t="shared" si="524"/>
        <v>#N/A</v>
      </c>
      <c r="CF1965" s="16">
        <f t="shared" si="525"/>
        <v>99</v>
      </c>
      <c r="CG1965" s="16">
        <f t="shared" si="526"/>
        <v>0</v>
      </c>
      <c r="CH1965" s="16">
        <f t="shared" si="520"/>
        <v>0</v>
      </c>
      <c r="CJ1965" s="16" t="e">
        <f t="shared" si="527"/>
        <v>#N/A</v>
      </c>
      <c r="CK1965" s="16" t="str">
        <f t="shared" si="528"/>
        <v/>
      </c>
    </row>
    <row r="1966" spans="73:89" ht="12" customHeight="1">
      <c r="BU1966" s="16">
        <f t="shared" si="529"/>
        <v>0</v>
      </c>
      <c r="BV1966" s="16">
        <f>IF($BY$12=1,NORMDIST(BY1966,$Y$6,$Y$8,TRUE),IF($BY$12=2,IF(BY1966&lt;=$BX$31,0,IF(BY1966&gt;=$BX$32,1,(BY1966-$BX$31)*$BX$33)),SUM($BU$42:BU1966)/$BV$40))</f>
        <v>0.99999999999946032</v>
      </c>
      <c r="BW1966" s="16">
        <f t="shared" si="521"/>
        <v>3.766483299851218E-11</v>
      </c>
      <c r="BY1966" s="16">
        <f t="shared" si="522"/>
        <v>192.39999999999336</v>
      </c>
      <c r="BZ1966" s="16">
        <f t="shared" si="523"/>
        <v>1.9576316527293908E-13</v>
      </c>
      <c r="CA1966" s="16">
        <f t="shared" si="530"/>
        <v>-999</v>
      </c>
      <c r="CE1966" s="16" t="e">
        <f t="shared" si="524"/>
        <v>#N/A</v>
      </c>
      <c r="CF1966" s="16">
        <f t="shared" si="525"/>
        <v>99</v>
      </c>
      <c r="CG1966" s="16">
        <f t="shared" si="526"/>
        <v>0</v>
      </c>
      <c r="CH1966" s="16">
        <f t="shared" si="520"/>
        <v>0</v>
      </c>
      <c r="CJ1966" s="16" t="e">
        <f t="shared" si="527"/>
        <v>#N/A</v>
      </c>
      <c r="CK1966" s="16" t="str">
        <f t="shared" si="528"/>
        <v/>
      </c>
    </row>
    <row r="1967" spans="73:89" ht="12" customHeight="1">
      <c r="BU1967" s="16">
        <f t="shared" si="529"/>
        <v>0</v>
      </c>
      <c r="BV1967" s="16">
        <f>IF($BY$12=1,NORMDIST(BY1967,$Y$6,$Y$8,TRUE),IF($BY$12=2,IF(BY1967&lt;=$BX$31,0,IF(BY1967&gt;=$BX$32,1,(BY1967-$BX$31)*$BX$33)),SUM($BU$42:BU1967)/$BV$40))</f>
        <v>0.99999999999947964</v>
      </c>
      <c r="BW1967" s="16">
        <f t="shared" si="521"/>
        <v>3.6365988752101775E-11</v>
      </c>
      <c r="BY1967" s="16">
        <f t="shared" si="522"/>
        <v>192.49999999999335</v>
      </c>
      <c r="BZ1967" s="16">
        <f t="shared" si="523"/>
        <v>1.8891422728365212E-13</v>
      </c>
      <c r="CA1967" s="16">
        <f t="shared" si="530"/>
        <v>-999</v>
      </c>
      <c r="CE1967" s="16" t="e">
        <f t="shared" si="524"/>
        <v>#N/A</v>
      </c>
      <c r="CF1967" s="16">
        <f t="shared" si="525"/>
        <v>99</v>
      </c>
      <c r="CG1967" s="16">
        <f t="shared" si="526"/>
        <v>0</v>
      </c>
      <c r="CH1967" s="16">
        <f t="shared" si="520"/>
        <v>0</v>
      </c>
      <c r="CJ1967" s="16" t="e">
        <f t="shared" si="527"/>
        <v>#N/A</v>
      </c>
      <c r="CK1967" s="16" t="str">
        <f t="shared" si="528"/>
        <v/>
      </c>
    </row>
    <row r="1968" spans="73:89" ht="12" customHeight="1">
      <c r="BU1968" s="16">
        <f t="shared" si="529"/>
        <v>0</v>
      </c>
      <c r="BV1968" s="16">
        <f>IF($BY$12=1,NORMDIST(BY1968,$Y$6,$Y$8,TRUE),IF($BY$12=2,IF(BY1968&lt;=$BX$31,0,IF(BY1968&gt;=$BX$32,1,(BY1968-$BX$31)*$BX$33)),SUM($BU$42:BU1968)/$BV$40))</f>
        <v>0.99999999999949818</v>
      </c>
      <c r="BW1968" s="16">
        <f t="shared" si="521"/>
        <v>3.511104693808469E-11</v>
      </c>
      <c r="BY1968" s="16">
        <f t="shared" si="522"/>
        <v>192.59999999999334</v>
      </c>
      <c r="BZ1968" s="16">
        <f t="shared" si="523"/>
        <v>1.8230034754977103E-13</v>
      </c>
      <c r="CA1968" s="16">
        <f t="shared" si="530"/>
        <v>-999</v>
      </c>
      <c r="CE1968" s="16" t="e">
        <f t="shared" si="524"/>
        <v>#N/A</v>
      </c>
      <c r="CF1968" s="16">
        <f t="shared" si="525"/>
        <v>99</v>
      </c>
      <c r="CG1968" s="16">
        <f t="shared" si="526"/>
        <v>0</v>
      </c>
      <c r="CH1968" s="16">
        <f t="shared" si="520"/>
        <v>0</v>
      </c>
      <c r="CJ1968" s="16" t="e">
        <f t="shared" si="527"/>
        <v>#N/A</v>
      </c>
      <c r="CK1968" s="16" t="str">
        <f t="shared" si="528"/>
        <v/>
      </c>
    </row>
    <row r="1969" spans="73:89" ht="12" customHeight="1">
      <c r="BU1969" s="16">
        <f t="shared" si="529"/>
        <v>0</v>
      </c>
      <c r="BV1969" s="16">
        <f>IF($BY$12=1,NORMDIST(BY1969,$Y$6,$Y$8,TRUE),IF($BY$12=2,IF(BY1969&lt;=$BX$31,0,IF(BY1969&gt;=$BX$32,1,(BY1969-$BX$31)*$BX$33)),SUM($BU$42:BU1969)/$BV$40))</f>
        <v>0.99999999999951605</v>
      </c>
      <c r="BW1969" s="16">
        <f t="shared" si="521"/>
        <v>3.3898554880791002E-11</v>
      </c>
      <c r="BY1969" s="16">
        <f t="shared" si="522"/>
        <v>192.69999999999334</v>
      </c>
      <c r="BZ1969" s="16">
        <f t="shared" si="523"/>
        <v>1.7591362159207146E-13</v>
      </c>
      <c r="CA1969" s="16">
        <f t="shared" si="530"/>
        <v>-999</v>
      </c>
      <c r="CE1969" s="16" t="e">
        <f t="shared" si="524"/>
        <v>#N/A</v>
      </c>
      <c r="CF1969" s="16">
        <f t="shared" si="525"/>
        <v>99</v>
      </c>
      <c r="CG1969" s="16">
        <f t="shared" si="526"/>
        <v>0</v>
      </c>
      <c r="CH1969" s="16">
        <f t="shared" si="520"/>
        <v>0</v>
      </c>
      <c r="CJ1969" s="16" t="e">
        <f t="shared" si="527"/>
        <v>#N/A</v>
      </c>
      <c r="CK1969" s="16" t="str">
        <f t="shared" si="528"/>
        <v/>
      </c>
    </row>
    <row r="1970" spans="73:89" ht="12" customHeight="1">
      <c r="BU1970" s="16">
        <f t="shared" si="529"/>
        <v>0</v>
      </c>
      <c r="BV1970" s="16">
        <f>IF($BY$12=1,NORMDIST(BY1970,$Y$6,$Y$8,TRUE),IF($BY$12=2,IF(BY1970&lt;=$BX$31,0,IF(BY1970&gt;=$BX$32,1,(BY1970-$BX$31)*$BX$33)),SUM($BU$42:BU1970)/$BV$40))</f>
        <v>0.99999999999953337</v>
      </c>
      <c r="BW1970" s="16">
        <f t="shared" si="521"/>
        <v>3.2727106888681959E-11</v>
      </c>
      <c r="BY1970" s="16">
        <f t="shared" si="522"/>
        <v>192.79999999999333</v>
      </c>
      <c r="BZ1970" s="16">
        <f t="shared" si="523"/>
        <v>1.6974640502428989E-13</v>
      </c>
      <c r="CA1970" s="16">
        <f t="shared" si="530"/>
        <v>-999</v>
      </c>
      <c r="CE1970" s="16" t="e">
        <f t="shared" si="524"/>
        <v>#N/A</v>
      </c>
      <c r="CF1970" s="16">
        <f t="shared" si="525"/>
        <v>99</v>
      </c>
      <c r="CG1970" s="16">
        <f t="shared" si="526"/>
        <v>0</v>
      </c>
      <c r="CH1970" s="16">
        <f t="shared" si="520"/>
        <v>0</v>
      </c>
      <c r="CJ1970" s="16" t="e">
        <f t="shared" si="527"/>
        <v>#N/A</v>
      </c>
      <c r="CK1970" s="16" t="str">
        <f t="shared" si="528"/>
        <v/>
      </c>
    </row>
    <row r="1971" spans="73:89" ht="12" customHeight="1">
      <c r="BU1971" s="16">
        <f t="shared" si="529"/>
        <v>0</v>
      </c>
      <c r="BV1971" s="16">
        <f>IF($BY$12=1,NORMDIST(BY1971,$Y$6,$Y$8,TRUE),IF($BY$12=2,IF(BY1971&lt;=$BX$31,0,IF(BY1971&gt;=$BX$32,1,(BY1971-$BX$31)*$BX$33)),SUM($BU$42:BU1971)/$BV$40))</f>
        <v>0.99999999999955003</v>
      </c>
      <c r="BW1971" s="16">
        <f t="shared" si="521"/>
        <v>3.1595342771543552E-11</v>
      </c>
      <c r="BY1971" s="16">
        <f t="shared" si="522"/>
        <v>192.89999999999333</v>
      </c>
      <c r="BZ1971" s="16">
        <f t="shared" si="523"/>
        <v>1.6379130519204067E-13</v>
      </c>
      <c r="CA1971" s="16">
        <f t="shared" si="530"/>
        <v>-999</v>
      </c>
      <c r="CE1971" s="16" t="e">
        <f t="shared" si="524"/>
        <v>#N/A</v>
      </c>
      <c r="CF1971" s="16">
        <f t="shared" si="525"/>
        <v>99</v>
      </c>
      <c r="CG1971" s="16">
        <f t="shared" si="526"/>
        <v>0</v>
      </c>
      <c r="CH1971" s="16">
        <f t="shared" si="520"/>
        <v>0</v>
      </c>
      <c r="CJ1971" s="16" t="e">
        <f t="shared" si="527"/>
        <v>#N/A</v>
      </c>
      <c r="CK1971" s="16" t="str">
        <f t="shared" si="528"/>
        <v/>
      </c>
    </row>
    <row r="1972" spans="73:89" ht="12" customHeight="1">
      <c r="BU1972" s="16">
        <f t="shared" si="529"/>
        <v>0</v>
      </c>
      <c r="BV1972" s="16">
        <f>IF($BY$12=1,NORMDIST(BY1972,$Y$6,$Y$8,TRUE),IF($BY$12=2,IF(BY1972&lt;=$BX$31,0,IF(BY1972&gt;=$BX$32,1,(BY1972-$BX$31)*$BX$33)),SUM($BU$42:BU1972)/$BV$40))</f>
        <v>0.99999999999956612</v>
      </c>
      <c r="BW1972" s="16">
        <f t="shared" si="521"/>
        <v>3.0501946403248232E-11</v>
      </c>
      <c r="BY1972" s="16">
        <f t="shared" si="522"/>
        <v>192.99999999999332</v>
      </c>
      <c r="BZ1972" s="16">
        <f t="shared" si="523"/>
        <v>1.580411730738305E-13</v>
      </c>
      <c r="CA1972" s="16">
        <f t="shared" si="530"/>
        <v>-999</v>
      </c>
      <c r="CE1972" s="16" t="e">
        <f t="shared" si="524"/>
        <v>#N/A</v>
      </c>
      <c r="CF1972" s="16">
        <f t="shared" si="525"/>
        <v>99</v>
      </c>
      <c r="CG1972" s="16">
        <f t="shared" si="526"/>
        <v>0</v>
      </c>
      <c r="CH1972" s="16">
        <f t="shared" si="520"/>
        <v>0</v>
      </c>
      <c r="CJ1972" s="16" t="e">
        <f t="shared" si="527"/>
        <v>#N/A</v>
      </c>
      <c r="CK1972" s="16" t="str">
        <f t="shared" si="528"/>
        <v/>
      </c>
    </row>
    <row r="1973" spans="73:89" ht="12" customHeight="1">
      <c r="BU1973" s="16">
        <f t="shared" si="529"/>
        <v>0</v>
      </c>
      <c r="BV1973" s="16">
        <f>IF($BY$12=1,NORMDIST(BY1973,$Y$6,$Y$8,TRUE),IF($BY$12=2,IF(BY1973&lt;=$BX$31,0,IF(BY1973&gt;=$BX$32,1,(BY1973-$BX$31)*$BX$33)),SUM($BU$42:BU1973)/$BV$40))</f>
        <v>0.99999999999958167</v>
      </c>
      <c r="BW1973" s="16">
        <f t="shared" si="521"/>
        <v>2.9445644328728314E-11</v>
      </c>
      <c r="BY1973" s="16">
        <f t="shared" si="522"/>
        <v>193.09999999999332</v>
      </c>
      <c r="BZ1973" s="16">
        <f t="shared" si="523"/>
        <v>1.5248909543619541E-13</v>
      </c>
      <c r="CA1973" s="16">
        <f t="shared" si="530"/>
        <v>-999</v>
      </c>
      <c r="CE1973" s="16" t="e">
        <f t="shared" si="524"/>
        <v>#N/A</v>
      </c>
      <c r="CF1973" s="16">
        <f t="shared" si="525"/>
        <v>99</v>
      </c>
      <c r="CG1973" s="16">
        <f t="shared" si="526"/>
        <v>0</v>
      </c>
      <c r="CH1973" s="16">
        <f t="shared" si="520"/>
        <v>0</v>
      </c>
      <c r="CJ1973" s="16" t="e">
        <f t="shared" si="527"/>
        <v>#N/A</v>
      </c>
      <c r="CK1973" s="16" t="str">
        <f t="shared" si="528"/>
        <v/>
      </c>
    </row>
    <row r="1974" spans="73:89" ht="12" customHeight="1">
      <c r="BU1974" s="16">
        <f t="shared" si="529"/>
        <v>0</v>
      </c>
      <c r="BV1974" s="16">
        <f>IF($BY$12=1,NORMDIST(BY1974,$Y$6,$Y$8,TRUE),IF($BY$12=2,IF(BY1974&lt;=$BX$31,0,IF(BY1974&gt;=$BX$32,1,(BY1974-$BX$31)*$BX$33)),SUM($BU$42:BU1974)/$BV$40))</f>
        <v>0.99999999999959666</v>
      </c>
      <c r="BW1974" s="16">
        <f t="shared" si="521"/>
        <v>2.8425204413837226E-11</v>
      </c>
      <c r="BY1974" s="16">
        <f t="shared" si="522"/>
        <v>193.19999999999331</v>
      </c>
      <c r="BZ1974" s="16">
        <f t="shared" si="523"/>
        <v>1.4712838723518742E-13</v>
      </c>
      <c r="CA1974" s="16">
        <f t="shared" si="530"/>
        <v>-999</v>
      </c>
      <c r="CE1974" s="16" t="e">
        <f t="shared" si="524"/>
        <v>#N/A</v>
      </c>
      <c r="CF1974" s="16">
        <f t="shared" si="525"/>
        <v>99</v>
      </c>
      <c r="CG1974" s="16">
        <f t="shared" si="526"/>
        <v>0</v>
      </c>
      <c r="CH1974" s="16">
        <f t="shared" si="520"/>
        <v>0</v>
      </c>
      <c r="CJ1974" s="16" t="e">
        <f t="shared" si="527"/>
        <v>#N/A</v>
      </c>
      <c r="CK1974" s="16" t="str">
        <f t="shared" si="528"/>
        <v/>
      </c>
    </row>
    <row r="1975" spans="73:89" ht="12" customHeight="1">
      <c r="BU1975" s="16">
        <f t="shared" si="529"/>
        <v>0</v>
      </c>
      <c r="BV1975" s="16">
        <f>IF($BY$12=1,NORMDIST(BY1975,$Y$6,$Y$8,TRUE),IF($BY$12=2,IF(BY1975&lt;=$BX$31,0,IF(BY1975&gt;=$BX$32,1,(BY1975-$BX$31)*$BX$33)),SUM($BU$42:BU1975)/$BV$40))</f>
        <v>0.99999999999961109</v>
      </c>
      <c r="BW1975" s="16">
        <f t="shared" si="521"/>
        <v>2.7439434536817955E-11</v>
      </c>
      <c r="BY1975" s="16">
        <f t="shared" si="522"/>
        <v>193.2999999999933</v>
      </c>
      <c r="BZ1975" s="16">
        <f t="shared" si="523"/>
        <v>1.4195258425669378E-13</v>
      </c>
      <c r="CA1975" s="16">
        <f t="shared" si="530"/>
        <v>-999</v>
      </c>
      <c r="CE1975" s="16" t="e">
        <f t="shared" si="524"/>
        <v>#N/A</v>
      </c>
      <c r="CF1975" s="16">
        <f t="shared" si="525"/>
        <v>99</v>
      </c>
      <c r="CG1975" s="16">
        <f t="shared" si="526"/>
        <v>0</v>
      </c>
      <c r="CH1975" s="16">
        <f t="shared" si="520"/>
        <v>0</v>
      </c>
      <c r="CJ1975" s="16" t="e">
        <f t="shared" si="527"/>
        <v>#N/A</v>
      </c>
      <c r="CK1975" s="16" t="str">
        <f t="shared" si="528"/>
        <v/>
      </c>
    </row>
    <row r="1976" spans="73:89" ht="12" customHeight="1">
      <c r="BU1976" s="16">
        <f t="shared" si="529"/>
        <v>0</v>
      </c>
      <c r="BV1976" s="16">
        <f>IF($BY$12=1,NORMDIST(BY1976,$Y$6,$Y$8,TRUE),IF($BY$12=2,IF(BY1976&lt;=$BX$31,0,IF(BY1976&gt;=$BX$32,1,(BY1976-$BX$31)*$BX$33)),SUM($BU$42:BU1976)/$BV$40))</f>
        <v>0.99999999999962497</v>
      </c>
      <c r="BW1976" s="16">
        <f t="shared" si="521"/>
        <v>2.6487181320130919E-11</v>
      </c>
      <c r="BY1976" s="16">
        <f t="shared" si="522"/>
        <v>193.3999999999933</v>
      </c>
      <c r="BZ1976" s="16">
        <f t="shared" si="523"/>
        <v>1.3695543598827217E-13</v>
      </c>
      <c r="CA1976" s="16">
        <f t="shared" si="530"/>
        <v>-999</v>
      </c>
      <c r="CE1976" s="16" t="e">
        <f t="shared" si="524"/>
        <v>#N/A</v>
      </c>
      <c r="CF1976" s="16">
        <f t="shared" si="525"/>
        <v>99</v>
      </c>
      <c r="CG1976" s="16">
        <f t="shared" si="526"/>
        <v>0</v>
      </c>
      <c r="CH1976" s="16">
        <f t="shared" si="520"/>
        <v>0</v>
      </c>
      <c r="CJ1976" s="16" t="e">
        <f t="shared" si="527"/>
        <v>#N/A</v>
      </c>
      <c r="CK1976" s="16" t="str">
        <f t="shared" si="528"/>
        <v/>
      </c>
    </row>
    <row r="1977" spans="73:89" ht="12" customHeight="1">
      <c r="BU1977" s="16">
        <f t="shared" si="529"/>
        <v>0</v>
      </c>
      <c r="BV1977" s="16">
        <f>IF($BY$12=1,NORMDIST(BY1977,$Y$6,$Y$8,TRUE),IF($BY$12=2,IF(BY1977&lt;=$BX$31,0,IF(BY1977&gt;=$BX$32,1,(BY1977-$BX$31)*$BX$33)),SUM($BU$42:BU1977)/$BV$40))</f>
        <v>0.99999999999963851</v>
      </c>
      <c r="BW1977" s="16">
        <f t="shared" si="521"/>
        <v>2.5567328901432316E-11</v>
      </c>
      <c r="BY1977" s="16">
        <f t="shared" si="522"/>
        <v>193.49999999999329</v>
      </c>
      <c r="BZ1977" s="16">
        <f t="shared" si="523"/>
        <v>1.3213089871541706E-13</v>
      </c>
      <c r="CA1977" s="16">
        <f t="shared" si="530"/>
        <v>-999</v>
      </c>
      <c r="CE1977" s="16" t="e">
        <f t="shared" si="524"/>
        <v>#N/A</v>
      </c>
      <c r="CF1977" s="16">
        <f t="shared" si="525"/>
        <v>99</v>
      </c>
      <c r="CG1977" s="16">
        <f t="shared" si="526"/>
        <v>0</v>
      </c>
      <c r="CH1977" s="16">
        <f t="shared" si="520"/>
        <v>0</v>
      </c>
      <c r="CJ1977" s="16" t="e">
        <f t="shared" si="527"/>
        <v>#N/A</v>
      </c>
      <c r="CK1977" s="16" t="str">
        <f t="shared" si="528"/>
        <v/>
      </c>
    </row>
    <row r="1978" spans="73:89" ht="12" customHeight="1">
      <c r="BU1978" s="16">
        <f t="shared" si="529"/>
        <v>0</v>
      </c>
      <c r="BV1978" s="16">
        <f>IF($BY$12=1,NORMDIST(BY1978,$Y$6,$Y$8,TRUE),IF($BY$12=2,IF(BY1978&lt;=$BX$31,0,IF(BY1978&gt;=$BX$32,1,(BY1978-$BX$31)*$BX$33)),SUM($BU$42:BU1978)/$BV$40))</f>
        <v>0.99999999999965139</v>
      </c>
      <c r="BW1978" s="16">
        <f t="shared" si="521"/>
        <v>2.4678797742530228E-11</v>
      </c>
      <c r="BY1978" s="16">
        <f t="shared" si="522"/>
        <v>193.59999999999329</v>
      </c>
      <c r="BZ1978" s="16">
        <f t="shared" si="523"/>
        <v>1.2747312883538782E-13</v>
      </c>
      <c r="CA1978" s="16">
        <f t="shared" si="530"/>
        <v>-999</v>
      </c>
      <c r="CE1978" s="16" t="e">
        <f t="shared" si="524"/>
        <v>#N/A</v>
      </c>
      <c r="CF1978" s="16">
        <f t="shared" si="525"/>
        <v>99</v>
      </c>
      <c r="CG1978" s="16">
        <f t="shared" si="526"/>
        <v>0</v>
      </c>
      <c r="CH1978" s="16">
        <f t="shared" si="520"/>
        <v>0</v>
      </c>
      <c r="CJ1978" s="16" t="e">
        <f t="shared" si="527"/>
        <v>#N/A</v>
      </c>
      <c r="CK1978" s="16" t="str">
        <f t="shared" si="528"/>
        <v/>
      </c>
    </row>
    <row r="1979" spans="73:89" ht="12" customHeight="1">
      <c r="BU1979" s="16">
        <f t="shared" si="529"/>
        <v>0</v>
      </c>
      <c r="BV1979" s="16">
        <f>IF($BY$12=1,NORMDIST(BY1979,$Y$6,$Y$8,TRUE),IF($BY$12=2,IF(BY1979&lt;=$BX$31,0,IF(BY1979&gt;=$BX$32,1,(BY1979-$BX$31)*$BX$33)),SUM($BU$42:BU1979)/$BV$40))</f>
        <v>0.99999999999966394</v>
      </c>
      <c r="BW1979" s="16">
        <f t="shared" si="521"/>
        <v>2.3820543475174764E-11</v>
      </c>
      <c r="BY1979" s="16">
        <f t="shared" si="522"/>
        <v>193.69999999999328</v>
      </c>
      <c r="BZ1979" s="16">
        <f t="shared" si="523"/>
        <v>1.2297647638190806E-13</v>
      </c>
      <c r="CA1979" s="16">
        <f t="shared" si="530"/>
        <v>-999</v>
      </c>
      <c r="CE1979" s="16" t="e">
        <f t="shared" si="524"/>
        <v>#N/A</v>
      </c>
      <c r="CF1979" s="16">
        <f t="shared" si="525"/>
        <v>99</v>
      </c>
      <c r="CG1979" s="16">
        <f t="shared" si="526"/>
        <v>0</v>
      </c>
      <c r="CH1979" s="16">
        <f t="shared" si="520"/>
        <v>0</v>
      </c>
      <c r="CJ1979" s="16" t="e">
        <f t="shared" si="527"/>
        <v>#N/A</v>
      </c>
      <c r="CK1979" s="16" t="str">
        <f t="shared" si="528"/>
        <v/>
      </c>
    </row>
    <row r="1980" spans="73:89" ht="12" customHeight="1">
      <c r="BU1980" s="16">
        <f t="shared" si="529"/>
        <v>0</v>
      </c>
      <c r="BV1980" s="16">
        <f>IF($BY$12=1,NORMDIST(BY1980,$Y$6,$Y$8,TRUE),IF($BY$12=2,IF(BY1980&lt;=$BX$31,0,IF(BY1980&gt;=$BX$32,1,(BY1980-$BX$31)*$BX$33)),SUM($BU$42:BU1980)/$BV$40))</f>
        <v>0.99999999999967604</v>
      </c>
      <c r="BW1980" s="16">
        <f t="shared" si="521"/>
        <v>2.2991555782578991E-11</v>
      </c>
      <c r="BY1980" s="16">
        <f t="shared" si="522"/>
        <v>193.79999999999328</v>
      </c>
      <c r="BZ1980" s="16">
        <f t="shared" si="523"/>
        <v>1.1863547875428167E-13</v>
      </c>
      <c r="CA1980" s="16">
        <f t="shared" si="530"/>
        <v>-999</v>
      </c>
      <c r="CE1980" s="16" t="e">
        <f t="shared" si="524"/>
        <v>#N/A</v>
      </c>
      <c r="CF1980" s="16">
        <f t="shared" si="525"/>
        <v>99</v>
      </c>
      <c r="CG1980" s="16">
        <f t="shared" si="526"/>
        <v>0</v>
      </c>
      <c r="CH1980" s="16">
        <f t="shared" si="520"/>
        <v>0</v>
      </c>
      <c r="CJ1980" s="16" t="e">
        <f t="shared" si="527"/>
        <v>#N/A</v>
      </c>
      <c r="CK1980" s="16" t="str">
        <f t="shared" si="528"/>
        <v/>
      </c>
    </row>
    <row r="1981" spans="73:89" ht="12" customHeight="1">
      <c r="BU1981" s="16">
        <f t="shared" si="529"/>
        <v>0</v>
      </c>
      <c r="BV1981" s="16">
        <f>IF($BY$12=1,NORMDIST(BY1981,$Y$6,$Y$8,TRUE),IF($BY$12=2,IF(BY1981&lt;=$BX$31,0,IF(BY1981&gt;=$BX$32,1,(BY1981-$BX$31)*$BX$33)),SUM($BU$42:BU1981)/$BV$40))</f>
        <v>0.99999999999968769</v>
      </c>
      <c r="BW1981" s="16">
        <f t="shared" si="521"/>
        <v>2.2190857315591553E-11</v>
      </c>
      <c r="BY1981" s="16">
        <f t="shared" si="522"/>
        <v>193.89999999999327</v>
      </c>
      <c r="BZ1981" s="16">
        <f t="shared" si="523"/>
        <v>1.1444485464462261E-13</v>
      </c>
      <c r="CA1981" s="16">
        <f t="shared" si="530"/>
        <v>-999</v>
      </c>
      <c r="CE1981" s="16" t="e">
        <f t="shared" si="524"/>
        <v>#N/A</v>
      </c>
      <c r="CF1981" s="16">
        <f t="shared" si="525"/>
        <v>99</v>
      </c>
      <c r="CG1981" s="16">
        <f t="shared" si="526"/>
        <v>0</v>
      </c>
      <c r="CH1981" s="16">
        <f t="shared" si="520"/>
        <v>0</v>
      </c>
      <c r="CJ1981" s="16" t="e">
        <f t="shared" si="527"/>
        <v>#N/A</v>
      </c>
      <c r="CK1981" s="16" t="str">
        <f t="shared" si="528"/>
        <v/>
      </c>
    </row>
    <row r="1982" spans="73:89" ht="12" customHeight="1">
      <c r="BU1982" s="16">
        <f t="shared" si="529"/>
        <v>0</v>
      </c>
      <c r="BV1982" s="16">
        <f>IF($BY$12=1,NORMDIST(BY1982,$Y$6,$Y$8,TRUE),IF($BY$12=2,IF(BY1982&lt;=$BX$31,0,IF(BY1982&gt;=$BX$32,1,(BY1982-$BX$31)*$BX$33)),SUM($BU$42:BU1982)/$BV$40))</f>
        <v>0.99999999999969891</v>
      </c>
      <c r="BW1982" s="16">
        <f t="shared" si="521"/>
        <v>2.1417502642481474E-11</v>
      </c>
      <c r="BY1982" s="16">
        <f t="shared" si="522"/>
        <v>193.99999999999326</v>
      </c>
      <c r="BZ1982" s="16">
        <f t="shared" si="523"/>
        <v>1.1039949815712483E-13</v>
      </c>
      <c r="CA1982" s="16">
        <f t="shared" si="530"/>
        <v>-999</v>
      </c>
      <c r="CE1982" s="16" t="e">
        <f t="shared" si="524"/>
        <v>#N/A</v>
      </c>
      <c r="CF1982" s="16">
        <f t="shared" si="525"/>
        <v>99</v>
      </c>
      <c r="CG1982" s="16">
        <f t="shared" si="526"/>
        <v>0</v>
      </c>
      <c r="CH1982" s="16">
        <f t="shared" si="520"/>
        <v>0</v>
      </c>
      <c r="CJ1982" s="16" t="e">
        <f t="shared" si="527"/>
        <v>#N/A</v>
      </c>
      <c r="CK1982" s="16" t="str">
        <f t="shared" si="528"/>
        <v/>
      </c>
    </row>
    <row r="1983" spans="73:89" ht="12" customHeight="1">
      <c r="BU1983" s="16">
        <f t="shared" si="529"/>
        <v>0</v>
      </c>
      <c r="BV1983" s="16">
        <f>IF($BY$12=1,NORMDIST(BY1983,$Y$6,$Y$8,TRUE),IF($BY$12=2,IF(BY1983&lt;=$BX$31,0,IF(BY1983&gt;=$BX$32,1,(BY1983-$BX$31)*$BX$33)),SUM($BU$42:BU1983)/$BV$40))</f>
        <v>0.99999999999970979</v>
      </c>
      <c r="BW1983" s="16">
        <f t="shared" si="521"/>
        <v>2.0670577231318905E-11</v>
      </c>
      <c r="BY1983" s="16">
        <f t="shared" si="522"/>
        <v>194.09999999999326</v>
      </c>
      <c r="BZ1983" s="16">
        <f t="shared" si="523"/>
        <v>1.0649447311344474E-13</v>
      </c>
      <c r="CA1983" s="16">
        <f t="shared" si="530"/>
        <v>-999</v>
      </c>
      <c r="CE1983" s="16" t="e">
        <f t="shared" si="524"/>
        <v>#N/A</v>
      </c>
      <c r="CF1983" s="16">
        <f t="shared" si="525"/>
        <v>99</v>
      </c>
      <c r="CG1983" s="16">
        <f t="shared" si="526"/>
        <v>0</v>
      </c>
      <c r="CH1983" s="16">
        <f t="shared" si="520"/>
        <v>0</v>
      </c>
      <c r="CJ1983" s="16" t="e">
        <f t="shared" si="527"/>
        <v>#N/A</v>
      </c>
      <c r="CK1983" s="16" t="str">
        <f t="shared" si="528"/>
        <v/>
      </c>
    </row>
    <row r="1984" spans="73:89" ht="12" customHeight="1">
      <c r="BU1984" s="16">
        <f t="shared" si="529"/>
        <v>0</v>
      </c>
      <c r="BV1984" s="16">
        <f>IF($BY$12=1,NORMDIST(BY1984,$Y$6,$Y$8,TRUE),IF($BY$12=2,IF(BY1984&lt;=$BX$31,0,IF(BY1984&gt;=$BX$32,1,(BY1984-$BX$31)*$BX$33)),SUM($BU$42:BU1984)/$BV$40))</f>
        <v>0.99999999999972022</v>
      </c>
      <c r="BW1984" s="16">
        <f t="shared" si="521"/>
        <v>1.9949196463970689E-11</v>
      </c>
      <c r="BY1984" s="16">
        <f t="shared" si="522"/>
        <v>194.19999999999325</v>
      </c>
      <c r="BZ1984" s="16">
        <f t="shared" si="523"/>
        <v>1.0272500753847262E-13</v>
      </c>
      <c r="CA1984" s="16">
        <f t="shared" si="530"/>
        <v>-999</v>
      </c>
      <c r="CE1984" s="16" t="e">
        <f t="shared" si="524"/>
        <v>#N/A</v>
      </c>
      <c r="CF1984" s="16">
        <f t="shared" si="525"/>
        <v>99</v>
      </c>
      <c r="CG1984" s="16">
        <f t="shared" si="526"/>
        <v>0</v>
      </c>
      <c r="CH1984" s="16">
        <f t="shared" si="520"/>
        <v>0</v>
      </c>
      <c r="CJ1984" s="16" t="e">
        <f t="shared" si="527"/>
        <v>#N/A</v>
      </c>
      <c r="CK1984" s="16" t="str">
        <f t="shared" si="528"/>
        <v/>
      </c>
    </row>
    <row r="1985" spans="73:89" ht="12" customHeight="1">
      <c r="BU1985" s="16">
        <f t="shared" si="529"/>
        <v>0</v>
      </c>
      <c r="BV1985" s="16">
        <f>IF($BY$12=1,NORMDIST(BY1985,$Y$6,$Y$8,TRUE),IF($BY$12=2,IF(BY1985&lt;=$BX$31,0,IF(BY1985&gt;=$BX$32,1,(BY1985-$BX$31)*$BX$33)),SUM($BU$42:BU1985)/$BV$40))</f>
        <v>0.99999999999973033</v>
      </c>
      <c r="BW1985" s="16">
        <f t="shared" si="521"/>
        <v>1.9252504680753284E-11</v>
      </c>
      <c r="BY1985" s="16">
        <f t="shared" si="522"/>
        <v>194.29999999999325</v>
      </c>
      <c r="BZ1985" s="16">
        <f t="shared" si="523"/>
        <v>9.908648832091586E-14</v>
      </c>
      <c r="CA1985" s="16">
        <f t="shared" si="530"/>
        <v>-999</v>
      </c>
      <c r="CE1985" s="16" t="e">
        <f t="shared" si="524"/>
        <v>#N/A</v>
      </c>
      <c r="CF1985" s="16">
        <f t="shared" si="525"/>
        <v>99</v>
      </c>
      <c r="CG1985" s="16">
        <f t="shared" si="526"/>
        <v>0</v>
      </c>
      <c r="CH1985" s="16">
        <f t="shared" si="520"/>
        <v>0</v>
      </c>
      <c r="CJ1985" s="16" t="e">
        <f t="shared" si="527"/>
        <v>#N/A</v>
      </c>
      <c r="CK1985" s="16" t="str">
        <f t="shared" si="528"/>
        <v/>
      </c>
    </row>
    <row r="1986" spans="73:89" ht="12" customHeight="1">
      <c r="BU1986" s="16">
        <f t="shared" si="529"/>
        <v>0</v>
      </c>
      <c r="BV1986" s="16">
        <f>IF($BY$12=1,NORMDIST(BY1986,$Y$6,$Y$8,TRUE),IF($BY$12=2,IF(BY1986&lt;=$BX$31,0,IF(BY1986&gt;=$BX$32,1,(BY1986-$BX$31)*$BX$33)),SUM($BU$42:BU1986)/$BV$40))</f>
        <v>0.9999999999997401</v>
      </c>
      <c r="BW1986" s="16">
        <f t="shared" si="521"/>
        <v>1.8579674254819894E-11</v>
      </c>
      <c r="BY1986" s="16">
        <f t="shared" si="522"/>
        <v>194.39999999999324</v>
      </c>
      <c r="BZ1986" s="16">
        <f t="shared" si="523"/>
        <v>9.5574456043315528E-14</v>
      </c>
      <c r="CA1986" s="16">
        <f t="shared" si="530"/>
        <v>-999</v>
      </c>
      <c r="CE1986" s="16" t="e">
        <f t="shared" si="524"/>
        <v>#N/A</v>
      </c>
      <c r="CF1986" s="16">
        <f t="shared" si="525"/>
        <v>99</v>
      </c>
      <c r="CG1986" s="16">
        <f t="shared" si="526"/>
        <v>0</v>
      </c>
      <c r="CH1986" s="16">
        <f t="shared" si="520"/>
        <v>0</v>
      </c>
      <c r="CJ1986" s="16" t="e">
        <f t="shared" si="527"/>
        <v>#N/A</v>
      </c>
      <c r="CK1986" s="16" t="str">
        <f t="shared" si="528"/>
        <v/>
      </c>
    </row>
    <row r="1987" spans="73:89" ht="12" customHeight="1">
      <c r="BU1987" s="16">
        <f t="shared" si="529"/>
        <v>0</v>
      </c>
      <c r="BV1987" s="16">
        <f>IF($BY$12=1,NORMDIST(BY1987,$Y$6,$Y$8,TRUE),IF($BY$12=2,IF(BY1987&lt;=$BX$31,0,IF(BY1987&gt;=$BX$32,1,(BY1987-$BX$31)*$BX$33)),SUM($BU$42:BU1987)/$BV$40))</f>
        <v>0.99999999999974942</v>
      </c>
      <c r="BW1987" s="16">
        <f t="shared" si="521"/>
        <v>1.7929904695377866E-11</v>
      </c>
      <c r="BY1987" s="16">
        <f t="shared" si="522"/>
        <v>194.49999999999324</v>
      </c>
      <c r="BZ1987" s="16">
        <f t="shared" si="523"/>
        <v>9.2184599976239027E-14</v>
      </c>
      <c r="CA1987" s="16">
        <f t="shared" si="530"/>
        <v>-999</v>
      </c>
      <c r="CE1987" s="16" t="e">
        <f t="shared" si="524"/>
        <v>#N/A</v>
      </c>
      <c r="CF1987" s="16">
        <f t="shared" si="525"/>
        <v>99</v>
      </c>
      <c r="CG1987" s="16">
        <f t="shared" si="526"/>
        <v>0</v>
      </c>
      <c r="CH1987" s="16">
        <f t="shared" ref="CH1987:CH2050" si="531">IF(CB1987="",0,1)</f>
        <v>0</v>
      </c>
      <c r="CJ1987" s="16" t="e">
        <f t="shared" si="527"/>
        <v>#N/A</v>
      </c>
      <c r="CK1987" s="16" t="str">
        <f t="shared" si="528"/>
        <v/>
      </c>
    </row>
    <row r="1988" spans="73:89" ht="12" customHeight="1">
      <c r="BU1988" s="16">
        <f t="shared" si="529"/>
        <v>0</v>
      </c>
      <c r="BV1988" s="16">
        <f>IF($BY$12=1,NORMDIST(BY1988,$Y$6,$Y$8,TRUE),IF($BY$12=2,IF(BY1988&lt;=$BX$31,0,IF(BY1988&gt;=$BX$32,1,(BY1988-$BX$31)*$BX$33)),SUM($BU$42:BU1988)/$BV$40))</f>
        <v>0.99999999999975853</v>
      </c>
      <c r="BW1988" s="16">
        <f t="shared" si="521"/>
        <v>1.7302421778867335E-11</v>
      </c>
      <c r="BY1988" s="16">
        <f t="shared" si="522"/>
        <v>194.59999999999323</v>
      </c>
      <c r="BZ1988" s="16">
        <f t="shared" si="523"/>
        <v>8.8912753231592686E-14</v>
      </c>
      <c r="CA1988" s="16">
        <f t="shared" si="530"/>
        <v>-999</v>
      </c>
      <c r="CE1988" s="16" t="e">
        <f t="shared" si="524"/>
        <v>#N/A</v>
      </c>
      <c r="CF1988" s="16">
        <f t="shared" si="525"/>
        <v>99</v>
      </c>
      <c r="CG1988" s="16">
        <f t="shared" si="526"/>
        <v>0</v>
      </c>
      <c r="CH1988" s="16">
        <f t="shared" si="531"/>
        <v>0</v>
      </c>
      <c r="CJ1988" s="16" t="e">
        <f t="shared" si="527"/>
        <v>#N/A</v>
      </c>
      <c r="CK1988" s="16" t="str">
        <f t="shared" si="528"/>
        <v/>
      </c>
    </row>
    <row r="1989" spans="73:89" ht="12" customHeight="1">
      <c r="BU1989" s="16">
        <f t="shared" si="529"/>
        <v>0</v>
      </c>
      <c r="BV1989" s="16">
        <f>IF($BY$12=1,NORMDIST(BY1989,$Y$6,$Y$8,TRUE),IF($BY$12=2,IF(BY1989&lt;=$BX$31,0,IF(BY1989&gt;=$BX$32,1,(BY1989-$BX$31)*$BX$33)),SUM($BU$42:BU1989)/$BV$40))</f>
        <v>0.99999999999976719</v>
      </c>
      <c r="BW1989" s="16">
        <f t="shared" si="521"/>
        <v>1.6696476707250063E-11</v>
      </c>
      <c r="BY1989" s="16">
        <f t="shared" si="522"/>
        <v>194.69999999999322</v>
      </c>
      <c r="BZ1989" s="16">
        <f t="shared" si="523"/>
        <v>8.5754888070111172E-14</v>
      </c>
      <c r="CA1989" s="16">
        <f t="shared" si="530"/>
        <v>-999</v>
      </c>
      <c r="CE1989" s="16" t="e">
        <f t="shared" si="524"/>
        <v>#N/A</v>
      </c>
      <c r="CF1989" s="16">
        <f t="shared" si="525"/>
        <v>99</v>
      </c>
      <c r="CG1989" s="16">
        <f t="shared" si="526"/>
        <v>0</v>
      </c>
      <c r="CH1989" s="16">
        <f t="shared" si="531"/>
        <v>0</v>
      </c>
      <c r="CJ1989" s="16" t="e">
        <f t="shared" si="527"/>
        <v>#N/A</v>
      </c>
      <c r="CK1989" s="16" t="str">
        <f t="shared" si="528"/>
        <v/>
      </c>
    </row>
    <row r="1990" spans="73:89" ht="12" customHeight="1">
      <c r="BU1990" s="16">
        <f t="shared" si="529"/>
        <v>0</v>
      </c>
      <c r="BV1990" s="16">
        <f>IF($BY$12=1,NORMDIST(BY1990,$Y$6,$Y$8,TRUE),IF($BY$12=2,IF(BY1990&lt;=$BX$31,0,IF(BY1990&gt;=$BX$32,1,(BY1990-$BX$31)*$BX$33)),SUM($BU$42:BU1990)/$BV$40))</f>
        <v>0.99999999999977562</v>
      </c>
      <c r="BW1990" s="16">
        <f t="shared" si="521"/>
        <v>1.6111345292588133E-11</v>
      </c>
      <c r="BY1990" s="16">
        <f t="shared" si="522"/>
        <v>194.79999999999322</v>
      </c>
      <c r="BZ1990" s="16">
        <f t="shared" si="523"/>
        <v>8.2707111358258181E-14</v>
      </c>
      <c r="CA1990" s="16">
        <f t="shared" si="530"/>
        <v>-999</v>
      </c>
      <c r="CE1990" s="16" t="e">
        <f t="shared" si="524"/>
        <v>#N/A</v>
      </c>
      <c r="CF1990" s="16">
        <f t="shared" si="525"/>
        <v>99</v>
      </c>
      <c r="CG1990" s="16">
        <f t="shared" si="526"/>
        <v>0</v>
      </c>
      <c r="CH1990" s="16">
        <f t="shared" si="531"/>
        <v>0</v>
      </c>
      <c r="CJ1990" s="16" t="e">
        <f t="shared" si="527"/>
        <v>#N/A</v>
      </c>
      <c r="CK1990" s="16" t="str">
        <f t="shared" si="528"/>
        <v/>
      </c>
    </row>
    <row r="1991" spans="73:89" ht="12" customHeight="1">
      <c r="BU1991" s="16">
        <f t="shared" si="529"/>
        <v>0</v>
      </c>
      <c r="BV1991" s="16">
        <f>IF($BY$12=1,NORMDIST(BY1991,$Y$6,$Y$8,TRUE),IF($BY$12=2,IF(BY1991&lt;=$BX$31,0,IF(BY1991&gt;=$BX$32,1,(BY1991-$BX$31)*$BX$33)),SUM($BU$42:BU1991)/$BV$40))</f>
        <v>0.99999999999978373</v>
      </c>
      <c r="BW1991" s="16">
        <f t="shared" si="521"/>
        <v>1.5546327167112766E-11</v>
      </c>
      <c r="BY1991" s="16">
        <f t="shared" si="522"/>
        <v>194.89999999999321</v>
      </c>
      <c r="BZ1991" s="16">
        <f t="shared" si="523"/>
        <v>7.9765660169898964E-14</v>
      </c>
      <c r="CA1991" s="16">
        <f t="shared" si="530"/>
        <v>-999</v>
      </c>
      <c r="CE1991" s="16" t="e">
        <f t="shared" si="524"/>
        <v>#N/A</v>
      </c>
      <c r="CF1991" s="16">
        <f t="shared" si="525"/>
        <v>99</v>
      </c>
      <c r="CG1991" s="16">
        <f t="shared" si="526"/>
        <v>0</v>
      </c>
      <c r="CH1991" s="16">
        <f t="shared" si="531"/>
        <v>0</v>
      </c>
      <c r="CJ1991" s="16" t="e">
        <f t="shared" si="527"/>
        <v>#N/A</v>
      </c>
      <c r="CK1991" s="16" t="str">
        <f t="shared" si="528"/>
        <v/>
      </c>
    </row>
    <row r="1992" spans="73:89" ht="12" customHeight="1">
      <c r="BU1992" s="16">
        <f t="shared" si="529"/>
        <v>0</v>
      </c>
      <c r="BV1992" s="16">
        <f>IF($BY$12=1,NORMDIST(BY1992,$Y$6,$Y$8,TRUE),IF($BY$12=2,IF(BY1992&lt;=$BX$31,0,IF(BY1992&gt;=$BX$32,1,(BY1992-$BX$31)*$BX$33)),SUM($BU$42:BU1992)/$BV$40))</f>
        <v>0.99999999999979161</v>
      </c>
      <c r="BW1992" s="16">
        <f t="shared" si="521"/>
        <v>1.5000745018008785E-11</v>
      </c>
      <c r="BY1992" s="16">
        <f t="shared" si="522"/>
        <v>194.99999999999321</v>
      </c>
      <c r="BZ1992" s="16">
        <f t="shared" si="523"/>
        <v>7.6926897528252858E-14</v>
      </c>
      <c r="CA1992" s="16">
        <f t="shared" si="530"/>
        <v>-999</v>
      </c>
      <c r="CE1992" s="16" t="e">
        <f t="shared" si="524"/>
        <v>#N/A</v>
      </c>
      <c r="CF1992" s="16">
        <f t="shared" si="525"/>
        <v>99</v>
      </c>
      <c r="CG1992" s="16">
        <f t="shared" si="526"/>
        <v>0</v>
      </c>
      <c r="CH1992" s="16">
        <f t="shared" si="531"/>
        <v>0</v>
      </c>
      <c r="CJ1992" s="16" t="e">
        <f t="shared" si="527"/>
        <v>#N/A</v>
      </c>
      <c r="CK1992" s="16" t="str">
        <f t="shared" si="528"/>
        <v/>
      </c>
    </row>
    <row r="1993" spans="73:89" ht="12" customHeight="1">
      <c r="BU1993" s="16">
        <f t="shared" si="529"/>
        <v>0</v>
      </c>
      <c r="BV1993" s="16">
        <f>IF($BY$12=1,NORMDIST(BY1993,$Y$6,$Y$8,TRUE),IF($BY$12=2,IF(BY1993&lt;=$BX$31,0,IF(BY1993&gt;=$BX$32,1,(BY1993-$BX$31)*$BX$33)),SUM($BU$42:BU1993)/$BV$40))</f>
        <v>0.99999999999979916</v>
      </c>
      <c r="BW1993" s="16">
        <f t="shared" si="521"/>
        <v>1.4473943846162591E-11</v>
      </c>
      <c r="BY1993" s="16">
        <f t="shared" si="522"/>
        <v>195.0999999999932</v>
      </c>
      <c r="BZ1993" s="16">
        <f t="shared" si="523"/>
        <v>7.4187308283767785E-14</v>
      </c>
      <c r="CA1993" s="16">
        <f t="shared" si="530"/>
        <v>-999</v>
      </c>
      <c r="CE1993" s="16" t="e">
        <f t="shared" si="524"/>
        <v>#N/A</v>
      </c>
      <c r="CF1993" s="16">
        <f t="shared" si="525"/>
        <v>99</v>
      </c>
      <c r="CG1993" s="16">
        <f t="shared" si="526"/>
        <v>0</v>
      </c>
      <c r="CH1993" s="16">
        <f t="shared" si="531"/>
        <v>0</v>
      </c>
      <c r="CJ1993" s="16" t="e">
        <f t="shared" si="527"/>
        <v>#N/A</v>
      </c>
      <c r="CK1993" s="16" t="str">
        <f t="shared" si="528"/>
        <v/>
      </c>
    </row>
    <row r="1994" spans="73:89" ht="12" customHeight="1">
      <c r="BU1994" s="16">
        <f t="shared" si="529"/>
        <v>0</v>
      </c>
      <c r="BV1994" s="16">
        <f>IF($BY$12=1,NORMDIST(BY1994,$Y$6,$Y$8,TRUE),IF($BY$12=2,IF(BY1994&lt;=$BX$31,0,IF(BY1994&gt;=$BX$32,1,(BY1994-$BX$31)*$BX$33)),SUM($BU$42:BU1994)/$BV$40))</f>
        <v>0.99999999999980649</v>
      </c>
      <c r="BW1994" s="16">
        <f t="shared" si="521"/>
        <v>1.3965290248143209E-11</v>
      </c>
      <c r="BY1994" s="16">
        <f t="shared" si="522"/>
        <v>195.1999999999932</v>
      </c>
      <c r="BZ1994" s="16">
        <f t="shared" si="523"/>
        <v>7.1543495123686965E-14</v>
      </c>
      <c r="CA1994" s="16">
        <f t="shared" si="530"/>
        <v>-999</v>
      </c>
      <c r="CE1994" s="16" t="e">
        <f t="shared" si="524"/>
        <v>#N/A</v>
      </c>
      <c r="CF1994" s="16">
        <f t="shared" si="525"/>
        <v>99</v>
      </c>
      <c r="CG1994" s="16">
        <f t="shared" si="526"/>
        <v>0</v>
      </c>
      <c r="CH1994" s="16">
        <f t="shared" si="531"/>
        <v>0</v>
      </c>
      <c r="CJ1994" s="16" t="e">
        <f t="shared" si="527"/>
        <v>#N/A</v>
      </c>
      <c r="CK1994" s="16" t="str">
        <f t="shared" si="528"/>
        <v/>
      </c>
    </row>
    <row r="1995" spans="73:89" ht="12" customHeight="1">
      <c r="BU1995" s="16">
        <f t="shared" si="529"/>
        <v>0</v>
      </c>
      <c r="BV1995" s="16">
        <f>IF($BY$12=1,NORMDIST(BY1995,$Y$6,$Y$8,TRUE),IF($BY$12=2,IF(BY1995&lt;=$BX$31,0,IF(BY1995&gt;=$BX$32,1,(BY1995-$BX$31)*$BX$33)),SUM($BU$42:BU1995)/$BV$40))</f>
        <v>0.99999999999981348</v>
      </c>
      <c r="BW1995" s="16">
        <f t="shared" si="521"/>
        <v>1.3474171720709388E-11</v>
      </c>
      <c r="BY1995" s="16">
        <f t="shared" si="522"/>
        <v>195.29999999999319</v>
      </c>
      <c r="BZ1995" s="16">
        <f t="shared" si="523"/>
        <v>6.8992174709215859E-14</v>
      </c>
      <c r="CA1995" s="16">
        <f t="shared" si="530"/>
        <v>-999</v>
      </c>
      <c r="CE1995" s="16" t="e">
        <f t="shared" si="524"/>
        <v>#N/A</v>
      </c>
      <c r="CF1995" s="16">
        <f t="shared" si="525"/>
        <v>99</v>
      </c>
      <c r="CG1995" s="16">
        <f t="shared" si="526"/>
        <v>0</v>
      </c>
      <c r="CH1995" s="16">
        <f t="shared" si="531"/>
        <v>0</v>
      </c>
      <c r="CJ1995" s="16" t="e">
        <f t="shared" si="527"/>
        <v>#N/A</v>
      </c>
      <c r="CK1995" s="16" t="str">
        <f t="shared" si="528"/>
        <v/>
      </c>
    </row>
    <row r="1996" spans="73:89" ht="12" customHeight="1">
      <c r="BU1996" s="16">
        <f t="shared" si="529"/>
        <v>0</v>
      </c>
      <c r="BV1996" s="16">
        <f>IF($BY$12=1,NORMDIST(BY1996,$Y$6,$Y$8,TRUE),IF($BY$12=2,IF(BY1996&lt;=$BX$31,0,IF(BY1996&gt;=$BX$32,1,(BY1996-$BX$31)*$BX$33)),SUM($BU$42:BU1996)/$BV$40))</f>
        <v>0.99999999999982025</v>
      </c>
      <c r="BW1996" s="16">
        <f t="shared" si="521"/>
        <v>1.299999598715376E-11</v>
      </c>
      <c r="BY1996" s="16">
        <f t="shared" si="522"/>
        <v>195.39999999999318</v>
      </c>
      <c r="BZ1996" s="16">
        <f t="shared" si="523"/>
        <v>6.653017393630611E-14</v>
      </c>
      <c r="CA1996" s="16">
        <f t="shared" si="530"/>
        <v>-999</v>
      </c>
      <c r="CE1996" s="16" t="e">
        <f t="shared" si="524"/>
        <v>#N/A</v>
      </c>
      <c r="CF1996" s="16">
        <f t="shared" si="525"/>
        <v>99</v>
      </c>
      <c r="CG1996" s="16">
        <f t="shared" si="526"/>
        <v>0</v>
      </c>
      <c r="CH1996" s="16">
        <f t="shared" si="531"/>
        <v>0</v>
      </c>
      <c r="CJ1996" s="16" t="e">
        <f t="shared" si="527"/>
        <v>#N/A</v>
      </c>
      <c r="CK1996" s="16" t="str">
        <f t="shared" si="528"/>
        <v/>
      </c>
    </row>
    <row r="1997" spans="73:89" ht="12" customHeight="1">
      <c r="BU1997" s="16">
        <f t="shared" si="529"/>
        <v>0</v>
      </c>
      <c r="BV1997" s="16">
        <f>IF($BY$12=1,NORMDIST(BY1997,$Y$6,$Y$8,TRUE),IF($BY$12=2,IF(BY1997&lt;=$BX$31,0,IF(BY1997&gt;=$BX$32,1,(BY1997-$BX$31)*$BX$33)),SUM($BU$42:BU1997)/$BV$40))</f>
        <v>0.99999999999982681</v>
      </c>
      <c r="BW1997" s="16">
        <f t="shared" si="521"/>
        <v>1.254219034481794E-11</v>
      </c>
      <c r="BY1997" s="16">
        <f t="shared" si="522"/>
        <v>195.49999999999318</v>
      </c>
      <c r="BZ1997" s="16">
        <f t="shared" si="523"/>
        <v>6.4154426316206533E-14</v>
      </c>
      <c r="CA1997" s="16">
        <f t="shared" si="530"/>
        <v>-999</v>
      </c>
      <c r="CE1997" s="16" t="e">
        <f t="shared" si="524"/>
        <v>#N/A</v>
      </c>
      <c r="CF1997" s="16">
        <f t="shared" si="525"/>
        <v>99</v>
      </c>
      <c r="CG1997" s="16">
        <f t="shared" si="526"/>
        <v>0</v>
      </c>
      <c r="CH1997" s="16">
        <f t="shared" si="531"/>
        <v>0</v>
      </c>
      <c r="CJ1997" s="16" t="e">
        <f t="shared" si="527"/>
        <v>#N/A</v>
      </c>
      <c r="CK1997" s="16" t="str">
        <f t="shared" si="528"/>
        <v/>
      </c>
    </row>
    <row r="1998" spans="73:89" ht="12" customHeight="1">
      <c r="BU1998" s="16">
        <f t="shared" si="529"/>
        <v>0</v>
      </c>
      <c r="BV1998" s="16">
        <f>IF($BY$12=1,NORMDIST(BY1998,$Y$6,$Y$8,TRUE),IF($BY$12=2,IF(BY1998&lt;=$BX$31,0,IF(BY1998&gt;=$BX$32,1,(BY1998-$BX$31)*$BX$33)),SUM($BU$42:BU1998)/$BV$40))</f>
        <v>0.99999999999983313</v>
      </c>
      <c r="BW1998" s="16">
        <f t="shared" si="521"/>
        <v>1.2100201033131303E-11</v>
      </c>
      <c r="BY1998" s="16">
        <f t="shared" si="522"/>
        <v>195.59999999999317</v>
      </c>
      <c r="BZ1998" s="16">
        <f t="shared" si="523"/>
        <v>6.1861968472043587E-14</v>
      </c>
      <c r="CA1998" s="16">
        <f t="shared" si="530"/>
        <v>-999</v>
      </c>
      <c r="CE1998" s="16" t="e">
        <f t="shared" si="524"/>
        <v>#N/A</v>
      </c>
      <c r="CF1998" s="16">
        <f t="shared" si="525"/>
        <v>99</v>
      </c>
      <c r="CG1998" s="16">
        <f t="shared" si="526"/>
        <v>0</v>
      </c>
      <c r="CH1998" s="16">
        <f t="shared" si="531"/>
        <v>0</v>
      </c>
      <c r="CJ1998" s="16" t="e">
        <f t="shared" si="527"/>
        <v>#N/A</v>
      </c>
      <c r="CK1998" s="16" t="str">
        <f t="shared" si="528"/>
        <v/>
      </c>
    </row>
    <row r="1999" spans="73:89" ht="12" customHeight="1">
      <c r="BU1999" s="16">
        <f t="shared" si="529"/>
        <v>0</v>
      </c>
      <c r="BV1999" s="16">
        <f>IF($BY$12=1,NORMDIST(BY1999,$Y$6,$Y$8,TRUE),IF($BY$12=2,IF(BY1999&lt;=$BX$31,0,IF(BY1999&gt;=$BX$32,1,(BY1999-$BX$31)*$BX$33)),SUM($BU$42:BU1999)/$BV$40))</f>
        <v>0.99999999999983913</v>
      </c>
      <c r="BW1999" s="16">
        <f t="shared" si="521"/>
        <v>1.1673492621545047E-11</v>
      </c>
      <c r="BY1999" s="16">
        <f t="shared" si="522"/>
        <v>195.69999999999317</v>
      </c>
      <c r="BZ1999" s="16">
        <f t="shared" si="523"/>
        <v>5.9649936747805077E-14</v>
      </c>
      <c r="CA1999" s="16">
        <f t="shared" si="530"/>
        <v>-999</v>
      </c>
      <c r="CE1999" s="16" t="e">
        <f t="shared" si="524"/>
        <v>#N/A</v>
      </c>
      <c r="CF1999" s="16">
        <f t="shared" si="525"/>
        <v>99</v>
      </c>
      <c r="CG1999" s="16">
        <f t="shared" si="526"/>
        <v>0</v>
      </c>
      <c r="CH1999" s="16">
        <f t="shared" si="531"/>
        <v>0</v>
      </c>
      <c r="CJ1999" s="16" t="e">
        <f t="shared" si="527"/>
        <v>#N/A</v>
      </c>
      <c r="CK1999" s="16" t="str">
        <f t="shared" si="528"/>
        <v/>
      </c>
    </row>
    <row r="2000" spans="73:89" ht="12" customHeight="1">
      <c r="BU2000" s="16">
        <f t="shared" si="529"/>
        <v>0</v>
      </c>
      <c r="BV2000" s="16">
        <f>IF($BY$12=1,NORMDIST(BY2000,$Y$6,$Y$8,TRUE),IF($BY$12=2,IF(BY2000&lt;=$BX$31,0,IF(BY2000&gt;=$BX$32,1,(BY2000-$BX$31)*$BX$33)),SUM($BU$42:BU2000)/$BV$40))</f>
        <v>0.99999999999984501</v>
      </c>
      <c r="BW2000" s="16">
        <f t="shared" si="521"/>
        <v>1.1261547416752073E-11</v>
      </c>
      <c r="BY2000" s="16">
        <f t="shared" si="522"/>
        <v>195.79999999999316</v>
      </c>
      <c r="BZ2000" s="16">
        <f t="shared" si="523"/>
        <v>5.7515563926212798E-14</v>
      </c>
      <c r="CA2000" s="16">
        <f t="shared" si="530"/>
        <v>-999</v>
      </c>
      <c r="CE2000" s="16" t="e">
        <f t="shared" si="524"/>
        <v>#N/A</v>
      </c>
      <c r="CF2000" s="16">
        <f t="shared" si="525"/>
        <v>99</v>
      </c>
      <c r="CG2000" s="16">
        <f t="shared" si="526"/>
        <v>0</v>
      </c>
      <c r="CH2000" s="16">
        <f t="shared" si="531"/>
        <v>0</v>
      </c>
      <c r="CJ2000" s="16" t="e">
        <f t="shared" si="527"/>
        <v>#N/A</v>
      </c>
      <c r="CK2000" s="16" t="str">
        <f t="shared" si="528"/>
        <v/>
      </c>
    </row>
    <row r="2001" spans="73:89" ht="12" customHeight="1">
      <c r="BU2001" s="16">
        <f t="shared" si="529"/>
        <v>0</v>
      </c>
      <c r="BV2001" s="16">
        <f>IF($BY$12=1,NORMDIST(BY2001,$Y$6,$Y$8,TRUE),IF($BY$12=2,IF(BY2001&lt;=$BX$31,0,IF(BY2001&gt;=$BX$32,1,(BY2001-$BX$31)*$BX$33)),SUM($BU$42:BU2001)/$BV$40))</f>
        <v>0.99999999999985068</v>
      </c>
      <c r="BW2001" s="16">
        <f t="shared" si="521"/>
        <v>1.086386488860197E-11</v>
      </c>
      <c r="BY2001" s="16">
        <f t="shared" si="522"/>
        <v>195.89999999999316</v>
      </c>
      <c r="BZ2001" s="16">
        <f t="shared" si="523"/>
        <v>5.5456176052079377E-14</v>
      </c>
      <c r="CA2001" s="16">
        <f t="shared" si="530"/>
        <v>-999</v>
      </c>
      <c r="CE2001" s="16" t="e">
        <f t="shared" si="524"/>
        <v>#N/A</v>
      </c>
      <c r="CF2001" s="16">
        <f t="shared" si="525"/>
        <v>99</v>
      </c>
      <c r="CG2001" s="16">
        <f t="shared" si="526"/>
        <v>0</v>
      </c>
      <c r="CH2001" s="16">
        <f t="shared" si="531"/>
        <v>0</v>
      </c>
      <c r="CJ2001" s="16" t="e">
        <f t="shared" si="527"/>
        <v>#N/A</v>
      </c>
      <c r="CK2001" s="16" t="str">
        <f t="shared" si="528"/>
        <v/>
      </c>
    </row>
    <row r="2002" spans="73:89" ht="12" customHeight="1">
      <c r="BU2002" s="16">
        <f t="shared" si="529"/>
        <v>0</v>
      </c>
      <c r="BV2002" s="16">
        <f>IF($BY$12=1,NORMDIST(BY2002,$Y$6,$Y$8,TRUE),IF($BY$12=2,IF(BY2002&lt;=$BX$31,0,IF(BY2002&gt;=$BX$32,1,(BY2002-$BX$31)*$BX$33)),SUM($BU$42:BU2002)/$BV$40))</f>
        <v>0.99999999999985612</v>
      </c>
      <c r="BW2002" s="16">
        <f t="shared" si="521"/>
        <v>1.047996111413665E-11</v>
      </c>
      <c r="BY2002" s="16">
        <f t="shared" si="522"/>
        <v>195.99999999999315</v>
      </c>
      <c r="BZ2002" s="16">
        <f t="shared" si="523"/>
        <v>5.3469189357841922E-14</v>
      </c>
      <c r="CA2002" s="16">
        <f t="shared" si="530"/>
        <v>-999</v>
      </c>
      <c r="CE2002" s="16" t="e">
        <f t="shared" si="524"/>
        <v>#N/A</v>
      </c>
      <c r="CF2002" s="16">
        <f t="shared" si="525"/>
        <v>99</v>
      </c>
      <c r="CG2002" s="16">
        <f t="shared" si="526"/>
        <v>0</v>
      </c>
      <c r="CH2002" s="16">
        <f t="shared" si="531"/>
        <v>0</v>
      </c>
      <c r="CJ2002" s="16" t="e">
        <f t="shared" si="527"/>
        <v>#N/A</v>
      </c>
      <c r="CK2002" s="16" t="str">
        <f t="shared" si="528"/>
        <v/>
      </c>
    </row>
    <row r="2003" spans="73:89" ht="12" customHeight="1">
      <c r="BU2003" s="16">
        <f t="shared" si="529"/>
        <v>0</v>
      </c>
      <c r="BV2003" s="16">
        <f>IF($BY$12=1,NORMDIST(BY2003,$Y$6,$Y$8,TRUE),IF($BY$12=2,IF(BY2003&lt;=$BX$31,0,IF(BY2003&gt;=$BX$32,1,(BY2003-$BX$31)*$BX$33)),SUM($BU$42:BU2003)/$BV$40))</f>
        <v>0.99999999999986133</v>
      </c>
      <c r="BW2003" s="16">
        <f t="shared" ref="BW2003:BW2042" si="532">BY2003*BZ2003</f>
        <v>1.0109368239190139E-11</v>
      </c>
      <c r="BY2003" s="16">
        <f t="shared" ref="BY2003:BY2042" si="533">BY2002+$BZ$1</f>
        <v>196.09999999999314</v>
      </c>
      <c r="BZ2003" s="16">
        <f t="shared" si="523"/>
        <v>5.1552107288069824E-14</v>
      </c>
      <c r="CA2003" s="16">
        <f t="shared" si="530"/>
        <v>-999</v>
      </c>
      <c r="CE2003" s="16" t="e">
        <f t="shared" si="524"/>
        <v>#N/A</v>
      </c>
      <c r="CF2003" s="16">
        <f t="shared" si="525"/>
        <v>99</v>
      </c>
      <c r="CG2003" s="16">
        <f t="shared" si="526"/>
        <v>0</v>
      </c>
      <c r="CH2003" s="16">
        <f t="shared" si="531"/>
        <v>0</v>
      </c>
      <c r="CJ2003" s="16" t="e">
        <f t="shared" si="527"/>
        <v>#N/A</v>
      </c>
      <c r="CK2003" s="16" t="str">
        <f t="shared" si="528"/>
        <v/>
      </c>
    </row>
    <row r="2004" spans="73:89" ht="12" customHeight="1">
      <c r="BU2004" s="16">
        <f t="shared" si="529"/>
        <v>0</v>
      </c>
      <c r="BV2004" s="16">
        <f>IF($BY$12=1,NORMDIST(BY2004,$Y$6,$Y$8,TRUE),IF($BY$12=2,IF(BY2004&lt;=$BX$31,0,IF(BY2004&gt;=$BX$32,1,(BY2004-$BX$31)*$BX$33)),SUM($BU$42:BU2004)/$BV$40))</f>
        <v>0.99999999999986644</v>
      </c>
      <c r="BW2004" s="16">
        <f t="shared" si="532"/>
        <v>9.7516339570134834E-12</v>
      </c>
      <c r="BY2004" s="16">
        <f t="shared" si="533"/>
        <v>196.19999999999314</v>
      </c>
      <c r="BZ2004" s="16">
        <f t="shared" si="523"/>
        <v>4.9702517619846201E-14</v>
      </c>
      <c r="CA2004" s="16">
        <f t="shared" si="530"/>
        <v>-999</v>
      </c>
      <c r="CE2004" s="16" t="e">
        <f t="shared" si="524"/>
        <v>#N/A</v>
      </c>
      <c r="CF2004" s="16">
        <f t="shared" si="525"/>
        <v>99</v>
      </c>
      <c r="CG2004" s="16">
        <f t="shared" si="526"/>
        <v>0</v>
      </c>
      <c r="CH2004" s="16">
        <f t="shared" si="531"/>
        <v>0</v>
      </c>
      <c r="CJ2004" s="16" t="e">
        <f t="shared" si="527"/>
        <v>#N/A</v>
      </c>
      <c r="CK2004" s="16" t="str">
        <f t="shared" si="528"/>
        <v/>
      </c>
    </row>
    <row r="2005" spans="73:89" ht="12" customHeight="1">
      <c r="BU2005" s="16">
        <f t="shared" si="529"/>
        <v>0</v>
      </c>
      <c r="BV2005" s="16">
        <f>IF($BY$12=1,NORMDIST(BY2005,$Y$6,$Y$8,TRUE),IF($BY$12=2,IF(BY2005&lt;=$BX$31,0,IF(BY2005&gt;=$BX$32,1,(BY2005-$BX$31)*$BX$33)),SUM($BU$42:BU2005)/$BV$40))</f>
        <v>0.99999999999987133</v>
      </c>
      <c r="BW2005" s="16">
        <f t="shared" si="532"/>
        <v>9.4063210033990374E-12</v>
      </c>
      <c r="BY2005" s="16">
        <f t="shared" si="533"/>
        <v>196.29999999999313</v>
      </c>
      <c r="BZ2005" s="16">
        <f t="shared" si="523"/>
        <v>4.7918089676002888E-14</v>
      </c>
      <c r="CA2005" s="16">
        <f t="shared" si="530"/>
        <v>-999</v>
      </c>
      <c r="CE2005" s="16" t="e">
        <f t="shared" si="524"/>
        <v>#N/A</v>
      </c>
      <c r="CF2005" s="16">
        <f t="shared" si="525"/>
        <v>99</v>
      </c>
      <c r="CG2005" s="16">
        <f t="shared" si="526"/>
        <v>0</v>
      </c>
      <c r="CH2005" s="16">
        <f t="shared" si="531"/>
        <v>0</v>
      </c>
      <c r="CJ2005" s="16" t="e">
        <f t="shared" si="527"/>
        <v>#N/A</v>
      </c>
      <c r="CK2005" s="16" t="str">
        <f t="shared" si="528"/>
        <v/>
      </c>
    </row>
    <row r="2006" spans="73:89" ht="12" customHeight="1">
      <c r="BU2006" s="16">
        <f t="shared" si="529"/>
        <v>0</v>
      </c>
      <c r="BV2006" s="16">
        <f>IF($BY$12=1,NORMDIST(BY2006,$Y$6,$Y$8,TRUE),IF($BY$12=2,IF(BY2006&lt;=$BX$31,0,IF(BY2006&gt;=$BX$32,1,(BY2006-$BX$31)*$BX$33)),SUM($BU$42:BU2006)/$BV$40))</f>
        <v>0.99999999999987599</v>
      </c>
      <c r="BW2006" s="16">
        <f t="shared" si="532"/>
        <v>9.0730066677976791E-12</v>
      </c>
      <c r="BY2006" s="16">
        <f t="shared" si="533"/>
        <v>196.39999999999313</v>
      </c>
      <c r="BZ2006" s="16">
        <f t="shared" si="523"/>
        <v>4.6196571628299369E-14</v>
      </c>
      <c r="CA2006" s="16">
        <f t="shared" si="530"/>
        <v>-999</v>
      </c>
      <c r="CE2006" s="16" t="e">
        <f t="shared" si="524"/>
        <v>#N/A</v>
      </c>
      <c r="CF2006" s="16">
        <f t="shared" si="525"/>
        <v>99</v>
      </c>
      <c r="CG2006" s="16">
        <f t="shared" si="526"/>
        <v>0</v>
      </c>
      <c r="CH2006" s="16">
        <f t="shared" si="531"/>
        <v>0</v>
      </c>
      <c r="CJ2006" s="16" t="e">
        <f t="shared" si="527"/>
        <v>#N/A</v>
      </c>
      <c r="CK2006" s="16" t="str">
        <f t="shared" si="528"/>
        <v/>
      </c>
    </row>
    <row r="2007" spans="73:89" ht="12" customHeight="1">
      <c r="BU2007" s="16">
        <f t="shared" si="529"/>
        <v>0</v>
      </c>
      <c r="BV2007" s="16">
        <f>IF($BY$12=1,NORMDIST(BY2007,$Y$6,$Y$8,TRUE),IF($BY$12=2,IF(BY2007&lt;=$BX$31,0,IF(BY2007&gt;=$BX$32,1,(BY2007-$BX$31)*$BX$33)),SUM($BU$42:BU2007)/$BV$40))</f>
        <v>0.99999999999988054</v>
      </c>
      <c r="BW2007" s="16">
        <f t="shared" si="532"/>
        <v>8.751282319934766E-12</v>
      </c>
      <c r="BY2007" s="16">
        <f t="shared" si="533"/>
        <v>196.49999999999312</v>
      </c>
      <c r="BZ2007" s="16">
        <f t="shared" si="523"/>
        <v>4.4535787887710295E-14</v>
      </c>
      <c r="CA2007" s="16">
        <f t="shared" si="530"/>
        <v>-999</v>
      </c>
      <c r="CE2007" s="16" t="e">
        <f t="shared" si="524"/>
        <v>#N/A</v>
      </c>
      <c r="CF2007" s="16">
        <f t="shared" si="525"/>
        <v>99</v>
      </c>
      <c r="CG2007" s="16">
        <f t="shared" si="526"/>
        <v>0</v>
      </c>
      <c r="CH2007" s="16">
        <f t="shared" si="531"/>
        <v>0</v>
      </c>
      <c r="CJ2007" s="16" t="e">
        <f t="shared" si="527"/>
        <v>#N/A</v>
      </c>
      <c r="CK2007" s="16" t="str">
        <f t="shared" si="528"/>
        <v/>
      </c>
    </row>
    <row r="2008" spans="73:89" ht="12" customHeight="1">
      <c r="BU2008" s="16">
        <f t="shared" si="529"/>
        <v>0</v>
      </c>
      <c r="BV2008" s="16">
        <f>IF($BY$12=1,NORMDIST(BY2008,$Y$6,$Y$8,TRUE),IF($BY$12=2,IF(BY2008&lt;=$BX$31,0,IF(BY2008&gt;=$BX$32,1,(BY2008-$BX$31)*$BX$33)),SUM($BU$42:BU2008)/$BV$40))</f>
        <v>0.99999999999988487</v>
      </c>
      <c r="BW2008" s="16">
        <f t="shared" si="532"/>
        <v>8.4407529514469477E-12</v>
      </c>
      <c r="BY2008" s="16">
        <f t="shared" si="533"/>
        <v>196.59999999999312</v>
      </c>
      <c r="BZ2008" s="16">
        <f t="shared" si="523"/>
        <v>4.293363657908059E-14</v>
      </c>
      <c r="CA2008" s="16">
        <f t="shared" si="530"/>
        <v>-999</v>
      </c>
      <c r="CE2008" s="16" t="e">
        <f t="shared" si="524"/>
        <v>#N/A</v>
      </c>
      <c r="CF2008" s="16">
        <f t="shared" si="525"/>
        <v>99</v>
      </c>
      <c r="CG2008" s="16">
        <f t="shared" si="526"/>
        <v>0</v>
      </c>
      <c r="CH2008" s="16">
        <f t="shared" si="531"/>
        <v>0</v>
      </c>
      <c r="CJ2008" s="16" t="e">
        <f t="shared" si="527"/>
        <v>#N/A</v>
      </c>
      <c r="CK2008" s="16" t="str">
        <f t="shared" si="528"/>
        <v/>
      </c>
    </row>
    <row r="2009" spans="73:89" ht="12" customHeight="1">
      <c r="BU2009" s="16">
        <f t="shared" si="529"/>
        <v>0</v>
      </c>
      <c r="BV2009" s="16">
        <f>IF($BY$12=1,NORMDIST(BY2009,$Y$6,$Y$8,TRUE),IF($BY$12=2,IF(BY2009&lt;=$BX$31,0,IF(BY2009&gt;=$BX$32,1,(BY2009-$BX$31)*$BX$33)),SUM($BU$42:BU2009)/$BV$40))</f>
        <v>0.99999999999988909</v>
      </c>
      <c r="BW2009" s="16">
        <f t="shared" si="532"/>
        <v>8.1410367320758035E-12</v>
      </c>
      <c r="BY2009" s="16">
        <f t="shared" si="533"/>
        <v>196.69999999999311</v>
      </c>
      <c r="BZ2009" s="16">
        <f t="shared" si="523"/>
        <v>4.1388087097489013E-14</v>
      </c>
      <c r="CA2009" s="16">
        <f t="shared" si="530"/>
        <v>-999</v>
      </c>
      <c r="CE2009" s="16" t="e">
        <f t="shared" si="524"/>
        <v>#N/A</v>
      </c>
      <c r="CF2009" s="16">
        <f t="shared" si="525"/>
        <v>99</v>
      </c>
      <c r="CG2009" s="16">
        <f t="shared" si="526"/>
        <v>0</v>
      </c>
      <c r="CH2009" s="16">
        <f t="shared" si="531"/>
        <v>0</v>
      </c>
      <c r="CJ2009" s="16" t="e">
        <f t="shared" si="527"/>
        <v>#N/A</v>
      </c>
      <c r="CK2009" s="16" t="str">
        <f t="shared" si="528"/>
        <v/>
      </c>
    </row>
    <row r="2010" spans="73:89" ht="12" customHeight="1">
      <c r="BU2010" s="16">
        <f t="shared" si="529"/>
        <v>0</v>
      </c>
      <c r="BV2010" s="16">
        <f>IF($BY$12=1,NORMDIST(BY2010,$Y$6,$Y$8,TRUE),IF($BY$12=2,IF(BY2010&lt;=$BX$31,0,IF(BY2010&gt;=$BX$32,1,(BY2010-$BX$31)*$BX$33)),SUM($BU$42:BU2010)/$BV$40))</f>
        <v>0.9999999999998932</v>
      </c>
      <c r="BW2010" s="16">
        <f t="shared" si="532"/>
        <v>7.8517645799681218E-12</v>
      </c>
      <c r="BY2010" s="16">
        <f t="shared" si="533"/>
        <v>196.7999999999931</v>
      </c>
      <c r="BZ2010" s="16">
        <f t="shared" si="523"/>
        <v>3.9897177743741857E-14</v>
      </c>
      <c r="CA2010" s="16">
        <f t="shared" si="530"/>
        <v>-999</v>
      </c>
      <c r="CE2010" s="16" t="e">
        <f t="shared" si="524"/>
        <v>#N/A</v>
      </c>
      <c r="CF2010" s="16">
        <f t="shared" si="525"/>
        <v>99</v>
      </c>
      <c r="CG2010" s="16">
        <f t="shared" si="526"/>
        <v>0</v>
      </c>
      <c r="CH2010" s="16">
        <f t="shared" si="531"/>
        <v>0</v>
      </c>
      <c r="CJ2010" s="16" t="e">
        <f t="shared" si="527"/>
        <v>#N/A</v>
      </c>
      <c r="CK2010" s="16" t="str">
        <f t="shared" si="528"/>
        <v/>
      </c>
    </row>
    <row r="2011" spans="73:89" ht="12" customHeight="1">
      <c r="BU2011" s="16">
        <f t="shared" si="529"/>
        <v>0</v>
      </c>
      <c r="BV2011" s="16">
        <f>IF($BY$12=1,NORMDIST(BY2011,$Y$6,$Y$8,TRUE),IF($BY$12=2,IF(BY2011&lt;=$BX$31,0,IF(BY2011&gt;=$BX$32,1,(BY2011-$BX$31)*$BX$33)),SUM($BU$42:BU2011)/$BV$40))</f>
        <v>0.99999999999989708</v>
      </c>
      <c r="BW2011" s="16">
        <f t="shared" si="532"/>
        <v>7.5725797456465734E-12</v>
      </c>
      <c r="BY2011" s="16">
        <f t="shared" si="533"/>
        <v>196.8999999999931</v>
      </c>
      <c r="BZ2011" s="16">
        <f t="shared" si="523"/>
        <v>3.845901343649994E-14</v>
      </c>
      <c r="CA2011" s="16">
        <f t="shared" si="530"/>
        <v>-999</v>
      </c>
      <c r="CE2011" s="16" t="e">
        <f t="shared" si="524"/>
        <v>#N/A</v>
      </c>
      <c r="CF2011" s="16">
        <f t="shared" si="525"/>
        <v>99</v>
      </c>
      <c r="CG2011" s="16">
        <f t="shared" si="526"/>
        <v>0</v>
      </c>
      <c r="CH2011" s="16">
        <f t="shared" si="531"/>
        <v>0</v>
      </c>
      <c r="CJ2011" s="16" t="e">
        <f t="shared" si="527"/>
        <v>#N/A</v>
      </c>
      <c r="CK2011" s="16" t="str">
        <f t="shared" si="528"/>
        <v/>
      </c>
    </row>
    <row r="2012" spans="73:89" ht="12" customHeight="1">
      <c r="BU2012" s="16">
        <f t="shared" si="529"/>
        <v>0</v>
      </c>
      <c r="BV2012" s="16">
        <f>IF($BY$12=1,NORMDIST(BY2012,$Y$6,$Y$8,TRUE),IF($BY$12=2,IF(BY2012&lt;=$BX$31,0,IF(BY2012&gt;=$BX$32,1,(BY2012-$BX$31)*$BX$33)),SUM($BU$42:BU2012)/$BV$40))</f>
        <v>0.99999999999990086</v>
      </c>
      <c r="BW2012" s="16">
        <f t="shared" si="532"/>
        <v>7.3031374092270398E-12</v>
      </c>
      <c r="BY2012" s="16">
        <f t="shared" si="533"/>
        <v>196.99999999999309</v>
      </c>
      <c r="BZ2012" s="16">
        <f t="shared" si="523"/>
        <v>3.7071763498615714E-14</v>
      </c>
      <c r="CA2012" s="16">
        <f t="shared" si="530"/>
        <v>-999</v>
      </c>
      <c r="CE2012" s="16" t="e">
        <f t="shared" si="524"/>
        <v>#N/A</v>
      </c>
      <c r="CF2012" s="16">
        <f t="shared" si="525"/>
        <v>99</v>
      </c>
      <c r="CG2012" s="16">
        <f t="shared" si="526"/>
        <v>0</v>
      </c>
      <c r="CH2012" s="16">
        <f t="shared" si="531"/>
        <v>0</v>
      </c>
      <c r="CJ2012" s="16" t="e">
        <f t="shared" si="527"/>
        <v>#N/A</v>
      </c>
      <c r="CK2012" s="16" t="str">
        <f t="shared" si="528"/>
        <v/>
      </c>
    </row>
    <row r="2013" spans="73:89" ht="12" customHeight="1">
      <c r="BU2013" s="16">
        <f t="shared" si="529"/>
        <v>0</v>
      </c>
      <c r="BV2013" s="16">
        <f>IF($BY$12=1,NORMDIST(BY2013,$Y$6,$Y$8,TRUE),IF($BY$12=2,IF(BY2013&lt;=$BX$31,0,IF(BY2013&gt;=$BX$32,1,(BY2013-$BX$31)*$BX$33)),SUM($BU$42:BU2013)/$BV$40))</f>
        <v>0.99999999999990452</v>
      </c>
      <c r="BW2013" s="16">
        <f t="shared" si="532"/>
        <v>7.0431042904721017E-12</v>
      </c>
      <c r="BY2013" s="16">
        <f t="shared" si="533"/>
        <v>197.09999999999309</v>
      </c>
      <c r="BZ2013" s="16">
        <f t="shared" si="523"/>
        <v>3.573365951533409E-14</v>
      </c>
      <c r="CA2013" s="16">
        <f t="shared" si="530"/>
        <v>-999</v>
      </c>
      <c r="CE2013" s="16" t="e">
        <f t="shared" si="524"/>
        <v>#N/A</v>
      </c>
      <c r="CF2013" s="16">
        <f t="shared" si="525"/>
        <v>99</v>
      </c>
      <c r="CG2013" s="16">
        <f t="shared" si="526"/>
        <v>0</v>
      </c>
      <c r="CH2013" s="16">
        <f t="shared" si="531"/>
        <v>0</v>
      </c>
      <c r="CJ2013" s="16" t="e">
        <f t="shared" si="527"/>
        <v>#N/A</v>
      </c>
      <c r="CK2013" s="16" t="str">
        <f t="shared" si="528"/>
        <v/>
      </c>
    </row>
    <row r="2014" spans="73:89" ht="12" customHeight="1">
      <c r="BU2014" s="16">
        <f t="shared" si="529"/>
        <v>0</v>
      </c>
      <c r="BV2014" s="16">
        <f>IF($BY$12=1,NORMDIST(BY2014,$Y$6,$Y$8,TRUE),IF($BY$12=2,IF(BY2014&lt;=$BX$31,0,IF(BY2014&gt;=$BX$32,1,(BY2014-$BX$31)*$BX$33)),SUM($BU$42:BU2014)/$BV$40))</f>
        <v>0.99999999999990807</v>
      </c>
      <c r="BW2014" s="16">
        <f t="shared" si="532"/>
        <v>6.792158271282195E-12</v>
      </c>
      <c r="BY2014" s="16">
        <f t="shared" si="533"/>
        <v>197.19999999999308</v>
      </c>
      <c r="BZ2014" s="16">
        <f t="shared" si="523"/>
        <v>3.4442993262081302E-14</v>
      </c>
      <c r="CA2014" s="16">
        <f t="shared" si="530"/>
        <v>-999</v>
      </c>
      <c r="CE2014" s="16" t="e">
        <f t="shared" si="524"/>
        <v>#N/A</v>
      </c>
      <c r="CF2014" s="16">
        <f t="shared" si="525"/>
        <v>99</v>
      </c>
      <c r="CG2014" s="16">
        <f t="shared" si="526"/>
        <v>0</v>
      </c>
      <c r="CH2014" s="16">
        <f t="shared" si="531"/>
        <v>0</v>
      </c>
      <c r="CJ2014" s="16" t="e">
        <f t="shared" si="527"/>
        <v>#N/A</v>
      </c>
      <c r="CK2014" s="16" t="str">
        <f t="shared" si="528"/>
        <v/>
      </c>
    </row>
    <row r="2015" spans="73:89" ht="12" customHeight="1">
      <c r="BU2015" s="16">
        <f t="shared" si="529"/>
        <v>0</v>
      </c>
      <c r="BV2015" s="16">
        <f>IF($BY$12=1,NORMDIST(BY2015,$Y$6,$Y$8,TRUE),IF($BY$12=2,IF(BY2015&lt;=$BX$31,0,IF(BY2015&gt;=$BX$32,1,(BY2015-$BX$31)*$BX$33)),SUM($BU$42:BU2015)/$BV$40))</f>
        <v>0.9999999999999114</v>
      </c>
      <c r="BW2015" s="16">
        <f t="shared" si="532"/>
        <v>6.5499880302383802E-12</v>
      </c>
      <c r="BY2015" s="16">
        <f t="shared" si="533"/>
        <v>197.29999999999308</v>
      </c>
      <c r="BZ2015" s="16">
        <f t="shared" si="523"/>
        <v>3.3198114699638167E-14</v>
      </c>
      <c r="CA2015" s="16">
        <f t="shared" si="530"/>
        <v>-999</v>
      </c>
      <c r="CE2015" s="16" t="e">
        <f t="shared" si="524"/>
        <v>#N/A</v>
      </c>
      <c r="CF2015" s="16">
        <f t="shared" si="525"/>
        <v>99</v>
      </c>
      <c r="CG2015" s="16">
        <f t="shared" si="526"/>
        <v>0</v>
      </c>
      <c r="CH2015" s="16">
        <f t="shared" si="531"/>
        <v>0</v>
      </c>
      <c r="CJ2015" s="16" t="e">
        <f t="shared" si="527"/>
        <v>#N/A</v>
      </c>
      <c r="CK2015" s="16" t="str">
        <f t="shared" si="528"/>
        <v/>
      </c>
    </row>
    <row r="2016" spans="73:89" ht="12" customHeight="1">
      <c r="BU2016" s="16">
        <f t="shared" si="529"/>
        <v>0</v>
      </c>
      <c r="BV2016" s="16">
        <f>IF($BY$12=1,NORMDIST(BY2016,$Y$6,$Y$8,TRUE),IF($BY$12=2,IF(BY2016&lt;=$BX$31,0,IF(BY2016&gt;=$BX$32,1,(BY2016-$BX$31)*$BX$33)),SUM($BU$42:BU2016)/$BV$40))</f>
        <v>0.99999999999991473</v>
      </c>
      <c r="BW2016" s="16">
        <f t="shared" si="532"/>
        <v>6.3162926888218095E-12</v>
      </c>
      <c r="BY2016" s="16">
        <f t="shared" si="533"/>
        <v>197.39999999999307</v>
      </c>
      <c r="BZ2016" s="16">
        <f t="shared" si="523"/>
        <v>3.1997430034559426E-14</v>
      </c>
      <c r="CA2016" s="16">
        <f t="shared" si="530"/>
        <v>-999</v>
      </c>
      <c r="CE2016" s="16" t="e">
        <f t="shared" si="524"/>
        <v>#N/A</v>
      </c>
      <c r="CF2016" s="16">
        <f t="shared" si="525"/>
        <v>99</v>
      </c>
      <c r="CG2016" s="16">
        <f t="shared" si="526"/>
        <v>0</v>
      </c>
      <c r="CH2016" s="16">
        <f t="shared" si="531"/>
        <v>0</v>
      </c>
      <c r="CJ2016" s="16" t="e">
        <f t="shared" si="527"/>
        <v>#N/A</v>
      </c>
      <c r="CK2016" s="16" t="str">
        <f t="shared" si="528"/>
        <v/>
      </c>
    </row>
    <row r="2017" spans="73:89" ht="12" customHeight="1">
      <c r="BU2017" s="16">
        <f t="shared" si="529"/>
        <v>0</v>
      </c>
      <c r="BV2017" s="16">
        <f>IF($BY$12=1,NORMDIST(BY2017,$Y$6,$Y$8,TRUE),IF($BY$12=2,IF(BY2017&lt;=$BX$31,0,IF(BY2017&gt;=$BX$32,1,(BY2017-$BX$31)*$BX$33)),SUM($BU$42:BU2017)/$BV$40))</f>
        <v>0.99999999999991784</v>
      </c>
      <c r="BW2017" s="16">
        <f t="shared" si="532"/>
        <v>6.090781468946675E-12</v>
      </c>
      <c r="BY2017" s="16">
        <f t="shared" si="533"/>
        <v>197.49999999999307</v>
      </c>
      <c r="BZ2017" s="16">
        <f t="shared" si="523"/>
        <v>3.0839399842769058E-14</v>
      </c>
      <c r="CA2017" s="16">
        <f t="shared" si="530"/>
        <v>-999</v>
      </c>
      <c r="CE2017" s="16" t="e">
        <f t="shared" si="524"/>
        <v>#N/A</v>
      </c>
      <c r="CF2017" s="16">
        <f t="shared" si="525"/>
        <v>99</v>
      </c>
      <c r="CG2017" s="16">
        <f t="shared" si="526"/>
        <v>0</v>
      </c>
      <c r="CH2017" s="16">
        <f t="shared" si="531"/>
        <v>0</v>
      </c>
      <c r="CJ2017" s="16" t="e">
        <f t="shared" si="527"/>
        <v>#N/A</v>
      </c>
      <c r="CK2017" s="16" t="str">
        <f t="shared" si="528"/>
        <v/>
      </c>
    </row>
    <row r="2018" spans="73:89" ht="12" customHeight="1">
      <c r="BU2018" s="16">
        <f t="shared" si="529"/>
        <v>0</v>
      </c>
      <c r="BV2018" s="16">
        <f>IF($BY$12=1,NORMDIST(BY2018,$Y$6,$Y$8,TRUE),IF($BY$12=2,IF(BY2018&lt;=$BX$31,0,IF(BY2018&gt;=$BX$32,1,(BY2018-$BX$31)*$BX$33)),SUM($BU$42:BU2018)/$BV$40))</f>
        <v>0.99999999999992084</v>
      </c>
      <c r="BW2018" s="16">
        <f t="shared" si="532"/>
        <v>5.8731733614542894E-12</v>
      </c>
      <c r="BY2018" s="16">
        <f t="shared" si="533"/>
        <v>197.59999999999306</v>
      </c>
      <c r="BZ2018" s="16">
        <f t="shared" si="523"/>
        <v>2.9722537254324372E-14</v>
      </c>
      <c r="CA2018" s="16">
        <f t="shared" si="530"/>
        <v>-999</v>
      </c>
      <c r="CE2018" s="16" t="e">
        <f t="shared" si="524"/>
        <v>#N/A</v>
      </c>
      <c r="CF2018" s="16">
        <f t="shared" si="525"/>
        <v>99</v>
      </c>
      <c r="CG2018" s="16">
        <f t="shared" si="526"/>
        <v>0</v>
      </c>
      <c r="CH2018" s="16">
        <f t="shared" si="531"/>
        <v>0</v>
      </c>
      <c r="CJ2018" s="16" t="e">
        <f t="shared" si="527"/>
        <v>#N/A</v>
      </c>
      <c r="CK2018" s="16" t="str">
        <f t="shared" si="528"/>
        <v/>
      </c>
    </row>
    <row r="2019" spans="73:89" ht="12" customHeight="1">
      <c r="BU2019" s="16">
        <f t="shared" si="529"/>
        <v>0</v>
      </c>
      <c r="BV2019" s="16">
        <f>IF($BY$12=1,NORMDIST(BY2019,$Y$6,$Y$8,TRUE),IF($BY$12=2,IF(BY2019&lt;=$BX$31,0,IF(BY2019&gt;=$BX$32,1,(BY2019-$BX$31)*$BX$33)),SUM($BU$42:BU2019)/$BV$40))</f>
        <v>0.99999999999992373</v>
      </c>
      <c r="BW2019" s="16">
        <f t="shared" si="532"/>
        <v>5.6631968052263478E-12</v>
      </c>
      <c r="BY2019" s="16">
        <f t="shared" si="533"/>
        <v>197.69999999999305</v>
      </c>
      <c r="BZ2019" s="16">
        <f t="shared" si="523"/>
        <v>2.8645406197402865E-14</v>
      </c>
      <c r="CA2019" s="16">
        <f t="shared" si="530"/>
        <v>-999</v>
      </c>
      <c r="CE2019" s="16" t="e">
        <f t="shared" si="524"/>
        <v>#N/A</v>
      </c>
      <c r="CF2019" s="16">
        <f t="shared" si="525"/>
        <v>99</v>
      </c>
      <c r="CG2019" s="16">
        <f t="shared" si="526"/>
        <v>0</v>
      </c>
      <c r="CH2019" s="16">
        <f t="shared" si="531"/>
        <v>0</v>
      </c>
      <c r="CJ2019" s="16" t="e">
        <f t="shared" si="527"/>
        <v>#N/A</v>
      </c>
      <c r="CK2019" s="16" t="str">
        <f t="shared" si="528"/>
        <v/>
      </c>
    </row>
    <row r="2020" spans="73:89" ht="12" customHeight="1">
      <c r="BU2020" s="16">
        <f t="shared" si="529"/>
        <v>0</v>
      </c>
      <c r="BV2020" s="16">
        <f>IF($BY$12=1,NORMDIST(BY2020,$Y$6,$Y$8,TRUE),IF($BY$12=2,IF(BY2020&lt;=$BX$31,0,IF(BY2020&gt;=$BX$32,1,(BY2020-$BX$31)*$BX$33)),SUM($BU$42:BU2020)/$BV$40))</f>
        <v>0.99999999999992661</v>
      </c>
      <c r="BW2020" s="16">
        <f t="shared" si="532"/>
        <v>5.4605893765866955E-12</v>
      </c>
      <c r="BY2020" s="16">
        <f t="shared" si="533"/>
        <v>197.79999999999305</v>
      </c>
      <c r="BZ2020" s="16">
        <f t="shared" si="523"/>
        <v>2.760661969963037E-14</v>
      </c>
      <c r="CA2020" s="16">
        <f t="shared" si="530"/>
        <v>-999</v>
      </c>
      <c r="CE2020" s="16" t="e">
        <f t="shared" si="524"/>
        <v>#N/A</v>
      </c>
      <c r="CF2020" s="16">
        <f t="shared" si="525"/>
        <v>99</v>
      </c>
      <c r="CG2020" s="16">
        <f t="shared" si="526"/>
        <v>0</v>
      </c>
      <c r="CH2020" s="16">
        <f t="shared" si="531"/>
        <v>0</v>
      </c>
      <c r="CJ2020" s="16" t="e">
        <f t="shared" si="527"/>
        <v>#N/A</v>
      </c>
      <c r="CK2020" s="16" t="str">
        <f t="shared" si="528"/>
        <v/>
      </c>
    </row>
    <row r="2021" spans="73:89" ht="12" customHeight="1">
      <c r="BU2021" s="16">
        <f t="shared" si="529"/>
        <v>0</v>
      </c>
      <c r="BV2021" s="16">
        <f>IF($BY$12=1,NORMDIST(BY2021,$Y$6,$Y$8,TRUE),IF($BY$12=2,IF(BY2021&lt;=$BX$31,0,IF(BY2021&gt;=$BX$32,1,(BY2021-$BX$31)*$BX$33)),SUM($BU$42:BU2021)/$BV$40))</f>
        <v>0.99999999999992928</v>
      </c>
      <c r="BW2021" s="16">
        <f t="shared" si="532"/>
        <v>5.2650974886692626E-12</v>
      </c>
      <c r="BY2021" s="16">
        <f t="shared" si="533"/>
        <v>197.89999999999304</v>
      </c>
      <c r="BZ2021" s="16">
        <f t="shared" si="523"/>
        <v>2.6604838244918887E-14</v>
      </c>
      <c r="CA2021" s="16">
        <f t="shared" si="530"/>
        <v>-999</v>
      </c>
      <c r="CE2021" s="16" t="e">
        <f t="shared" si="524"/>
        <v>#N/A</v>
      </c>
      <c r="CF2021" s="16">
        <f t="shared" si="525"/>
        <v>99</v>
      </c>
      <c r="CG2021" s="16">
        <f t="shared" si="526"/>
        <v>0</v>
      </c>
      <c r="CH2021" s="16">
        <f t="shared" si="531"/>
        <v>0</v>
      </c>
      <c r="CJ2021" s="16" t="e">
        <f t="shared" si="527"/>
        <v>#N/A</v>
      </c>
      <c r="CK2021" s="16" t="str">
        <f t="shared" si="528"/>
        <v/>
      </c>
    </row>
    <row r="2022" spans="73:89" ht="12" customHeight="1">
      <c r="BU2022" s="16">
        <f t="shared" si="529"/>
        <v>0</v>
      </c>
      <c r="BV2022" s="16">
        <f>IF($BY$12=1,NORMDIST(BY2022,$Y$6,$Y$8,TRUE),IF($BY$12=2,IF(BY2022&lt;=$BX$31,0,IF(BY2022&gt;=$BX$32,1,(BY2022-$BX$31)*$BX$33)),SUM($BU$42:BU2022)/$BV$40))</f>
        <v>0.99999999999993194</v>
      </c>
      <c r="BW2022" s="16">
        <f t="shared" si="532"/>
        <v>5.076476100441611E-12</v>
      </c>
      <c r="BY2022" s="16">
        <f t="shared" si="533"/>
        <v>197.99999999999304</v>
      </c>
      <c r="BZ2022" s="16">
        <f t="shared" si="523"/>
        <v>2.563876818404944E-14</v>
      </c>
      <c r="CA2022" s="16">
        <f t="shared" si="530"/>
        <v>-999</v>
      </c>
      <c r="CE2022" s="16" t="e">
        <f t="shared" si="524"/>
        <v>#N/A</v>
      </c>
      <c r="CF2022" s="16">
        <f t="shared" si="525"/>
        <v>99</v>
      </c>
      <c r="CG2022" s="16">
        <f t="shared" si="526"/>
        <v>0</v>
      </c>
      <c r="CH2022" s="16">
        <f t="shared" si="531"/>
        <v>0</v>
      </c>
      <c r="CJ2022" s="16" t="e">
        <f t="shared" si="527"/>
        <v>#N/A</v>
      </c>
      <c r="CK2022" s="16" t="str">
        <f t="shared" si="528"/>
        <v/>
      </c>
    </row>
    <row r="2023" spans="73:89" ht="12" customHeight="1">
      <c r="BU2023" s="16">
        <f t="shared" si="529"/>
        <v>0</v>
      </c>
      <c r="BV2023" s="16">
        <f>IF($BY$12=1,NORMDIST(BY2023,$Y$6,$Y$8,TRUE),IF($BY$12=2,IF(BY2023&lt;=$BX$31,0,IF(BY2023&gt;=$BX$32,1,(BY2023-$BX$31)*$BX$33)),SUM($BU$42:BU2023)/$BV$40))</f>
        <v>0.99999999999993439</v>
      </c>
      <c r="BW2023" s="16">
        <f t="shared" si="532"/>
        <v>4.8944884350814745E-12</v>
      </c>
      <c r="BY2023" s="16">
        <f t="shared" si="533"/>
        <v>198.09999999999303</v>
      </c>
      <c r="BZ2023" s="16">
        <f t="shared" si="523"/>
        <v>2.4707160197282415E-14</v>
      </c>
      <c r="CA2023" s="16">
        <f t="shared" si="530"/>
        <v>-999</v>
      </c>
      <c r="CE2023" s="16" t="e">
        <f t="shared" si="524"/>
        <v>#N/A</v>
      </c>
      <c r="CF2023" s="16">
        <f t="shared" si="525"/>
        <v>99</v>
      </c>
      <c r="CG2023" s="16">
        <f t="shared" si="526"/>
        <v>0</v>
      </c>
      <c r="CH2023" s="16">
        <f t="shared" si="531"/>
        <v>0</v>
      </c>
      <c r="CJ2023" s="16" t="e">
        <f t="shared" si="527"/>
        <v>#N/A</v>
      </c>
      <c r="CK2023" s="16" t="str">
        <f t="shared" si="528"/>
        <v/>
      </c>
    </row>
    <row r="2024" spans="73:89" ht="12" customHeight="1">
      <c r="BU2024" s="16">
        <f t="shared" si="529"/>
        <v>0</v>
      </c>
      <c r="BV2024" s="16">
        <f>IF($BY$12=1,NORMDIST(BY2024,$Y$6,$Y$8,TRUE),IF($BY$12=2,IF(BY2024&lt;=$BX$31,0,IF(BY2024&gt;=$BX$32,1,(BY2024-$BX$31)*$BX$33)),SUM($BU$42:BU2024)/$BV$40))</f>
        <v>0.99999999999993683</v>
      </c>
      <c r="BW2024" s="16">
        <f t="shared" si="532"/>
        <v>4.7189057074133543E-12</v>
      </c>
      <c r="BY2024" s="16">
        <f t="shared" si="533"/>
        <v>198.19999999999303</v>
      </c>
      <c r="BZ2024" s="16">
        <f t="shared" si="523"/>
        <v>2.3808807807333603E-14</v>
      </c>
      <c r="CA2024" s="16">
        <f t="shared" si="530"/>
        <v>-999</v>
      </c>
      <c r="CE2024" s="16" t="e">
        <f t="shared" si="524"/>
        <v>#N/A</v>
      </c>
      <c r="CF2024" s="16">
        <f t="shared" si="525"/>
        <v>99</v>
      </c>
      <c r="CG2024" s="16">
        <f t="shared" si="526"/>
        <v>0</v>
      </c>
      <c r="CH2024" s="16">
        <f t="shared" si="531"/>
        <v>0</v>
      </c>
      <c r="CJ2024" s="16" t="e">
        <f t="shared" si="527"/>
        <v>#N/A</v>
      </c>
      <c r="CK2024" s="16" t="str">
        <f t="shared" si="528"/>
        <v/>
      </c>
    </row>
    <row r="2025" spans="73:89" ht="12" customHeight="1">
      <c r="BU2025" s="16">
        <f t="shared" si="529"/>
        <v>0</v>
      </c>
      <c r="BV2025" s="16">
        <f>IF($BY$12=1,NORMDIST(BY2025,$Y$6,$Y$8,TRUE),IF($BY$12=2,IF(BY2025&lt;=$BX$31,0,IF(BY2025&gt;=$BX$32,1,(BY2025-$BX$31)*$BX$33)),SUM($BU$42:BU2025)/$BV$40))</f>
        <v>0.99999999999993916</v>
      </c>
      <c r="BW2025" s="16">
        <f t="shared" si="532"/>
        <v>4.5495068601215083E-12</v>
      </c>
      <c r="BY2025" s="16">
        <f t="shared" si="533"/>
        <v>198.29999999999302</v>
      </c>
      <c r="BZ2025" s="16">
        <f t="shared" si="523"/>
        <v>2.294254594110776E-14</v>
      </c>
      <c r="CA2025" s="16">
        <f t="shared" si="530"/>
        <v>-999</v>
      </c>
      <c r="CE2025" s="16" t="e">
        <f t="shared" si="524"/>
        <v>#N/A</v>
      </c>
      <c r="CF2025" s="16">
        <f t="shared" si="525"/>
        <v>99</v>
      </c>
      <c r="CG2025" s="16">
        <f t="shared" si="526"/>
        <v>0</v>
      </c>
      <c r="CH2025" s="16">
        <f t="shared" si="531"/>
        <v>0</v>
      </c>
      <c r="CJ2025" s="16" t="e">
        <f t="shared" si="527"/>
        <v>#N/A</v>
      </c>
      <c r="CK2025" s="16" t="str">
        <f t="shared" si="528"/>
        <v/>
      </c>
    </row>
    <row r="2026" spans="73:89" ht="12" customHeight="1">
      <c r="BU2026" s="16">
        <f t="shared" si="529"/>
        <v>0</v>
      </c>
      <c r="BV2026" s="16">
        <f>IF($BY$12=1,NORMDIST(BY2026,$Y$6,$Y$8,TRUE),IF($BY$12=2,IF(BY2026&lt;=$BX$31,0,IF(BY2026&gt;=$BX$32,1,(BY2026-$BX$31)*$BX$33)),SUM($BU$42:BU2026)/$BV$40))</f>
        <v>0.99999999999994149</v>
      </c>
      <c r="BW2026" s="16">
        <f t="shared" si="532"/>
        <v>4.3860783084637476E-12</v>
      </c>
      <c r="BY2026" s="16">
        <f t="shared" si="533"/>
        <v>198.39999999999301</v>
      </c>
      <c r="BZ2026" s="16">
        <f t="shared" ref="BZ2026:BZ2089" si="534">IF($BZ$5,IF($BY$12=1,NORMDIST(BY2026,$Y$6,$Y$8,FALSE),IF($BY$12=2,IF(AND(BY2026&gt;=$BX$31,BY2026&lt;=$BX$32),$BX$33,0),IF(BY2026&lt;=$BX$13,0,NORMDIST(LN((BY2026-$BX$13)/$BX$12),0,$BW$8,FALSE)/((BY2026-$BX$13)/$BX$12)))),-999)</f>
        <v>2.210724953862854E-14</v>
      </c>
      <c r="CA2026" s="16">
        <f t="shared" si="530"/>
        <v>-999</v>
      </c>
      <c r="CE2026" s="16" t="e">
        <f t="shared" ref="CE2026:CE2089" si="535">IF(AND($CB$7,$CD$2,$CD$1),26+$P$23/2-CC2026*$P$23,NA())</f>
        <v>#N/A</v>
      </c>
      <c r="CF2026" s="16">
        <f t="shared" ref="CF2026:CF2089" si="536">IF(ISNA(CJ2026),99,CJ2026)</f>
        <v>99</v>
      </c>
      <c r="CG2026" s="16">
        <f t="shared" ref="CG2026:CG2089" si="537">IF(ISNA(CJ2026),0,CJ2026)</f>
        <v>0</v>
      </c>
      <c r="CH2026" s="16">
        <f t="shared" si="531"/>
        <v>0</v>
      </c>
      <c r="CJ2026" s="16" t="e">
        <f t="shared" ref="CJ2026:CJ2089" si="538">IF(CH2026=1,CE2026,NA())</f>
        <v>#N/A</v>
      </c>
      <c r="CK2026" s="16" t="str">
        <f t="shared" ref="CK2026:CK2089" si="539">IF(CH2026=1,M1925,"")</f>
        <v/>
      </c>
    </row>
    <row r="2027" spans="73:89" ht="12" customHeight="1">
      <c r="BU2027" s="16">
        <f t="shared" ref="BU2027:BU2090" si="540">IF($BY$12&lt;3,0,IF(BY2027&lt;=$BX$13,0,NORMDIST(LN((BY2027-$BX$13)/$BX$12),0,$BW$8,FALSE)/((BY2027-$BX$13)/$BX$12)))</f>
        <v>0</v>
      </c>
      <c r="BV2027" s="16">
        <f>IF($BY$12=1,NORMDIST(BY2027,$Y$6,$Y$8,TRUE),IF($BY$12=2,IF(BY2027&lt;=$BX$31,0,IF(BY2027&gt;=$BX$32,1,(BY2027-$BX$31)*$BX$33)),SUM($BU$42:BU2027)/$BV$40))</f>
        <v>0.9999999999999436</v>
      </c>
      <c r="BW2027" s="16">
        <f t="shared" si="532"/>
        <v>4.2284136932191141E-12</v>
      </c>
      <c r="BY2027" s="16">
        <f t="shared" si="533"/>
        <v>198.49999999999301</v>
      </c>
      <c r="BZ2027" s="16">
        <f t="shared" si="534"/>
        <v>2.1301832207653718E-14</v>
      </c>
      <c r="CA2027" s="16">
        <f t="shared" ref="CA2027:CA2090" si="541">IF(AND($CD$1,$CD$3),26-$CD$40*NORMDIST(BY2027,$Y$6,$Y$8/SQRT($T$18),FALSE),-999)</f>
        <v>-999</v>
      </c>
      <c r="CE2027" s="16" t="e">
        <f t="shared" si="535"/>
        <v>#N/A</v>
      </c>
      <c r="CF2027" s="16">
        <f t="shared" si="536"/>
        <v>99</v>
      </c>
      <c r="CG2027" s="16">
        <f t="shared" si="537"/>
        <v>0</v>
      </c>
      <c r="CH2027" s="16">
        <f t="shared" si="531"/>
        <v>0</v>
      </c>
      <c r="CJ2027" s="16" t="e">
        <f t="shared" si="538"/>
        <v>#N/A</v>
      </c>
      <c r="CK2027" s="16" t="str">
        <f t="shared" si="539"/>
        <v/>
      </c>
    </row>
    <row r="2028" spans="73:89" ht="12" customHeight="1">
      <c r="BU2028" s="16">
        <f t="shared" si="540"/>
        <v>0</v>
      </c>
      <c r="BV2028" s="16">
        <f>IF($BY$12=1,NORMDIST(BY2028,$Y$6,$Y$8,TRUE),IF($BY$12=2,IF(BY2028&lt;=$BX$31,0,IF(BY2028&gt;=$BX$32,1,(BY2028-$BX$31)*$BX$33)),SUM($BU$42:BU2028)/$BV$40))</f>
        <v>0.99999999999994571</v>
      </c>
      <c r="BW2028" s="16">
        <f t="shared" si="532"/>
        <v>4.0763136416107957E-12</v>
      </c>
      <c r="BY2028" s="16">
        <f t="shared" si="533"/>
        <v>198.599999999993</v>
      </c>
      <c r="BZ2028" s="16">
        <f t="shared" si="534"/>
        <v>2.0525244922512282E-14</v>
      </c>
      <c r="CA2028" s="16">
        <f t="shared" si="541"/>
        <v>-999</v>
      </c>
      <c r="CE2028" s="16" t="e">
        <f t="shared" si="535"/>
        <v>#N/A</v>
      </c>
      <c r="CF2028" s="16">
        <f t="shared" si="536"/>
        <v>99</v>
      </c>
      <c r="CG2028" s="16">
        <f t="shared" si="537"/>
        <v>0</v>
      </c>
      <c r="CH2028" s="16">
        <f t="shared" si="531"/>
        <v>0</v>
      </c>
      <c r="CJ2028" s="16" t="e">
        <f t="shared" si="538"/>
        <v>#N/A</v>
      </c>
      <c r="CK2028" s="16" t="str">
        <f t="shared" si="539"/>
        <v/>
      </c>
    </row>
    <row r="2029" spans="73:89" ht="12" customHeight="1">
      <c r="BU2029" s="16">
        <f t="shared" si="540"/>
        <v>0</v>
      </c>
      <c r="BV2029" s="16">
        <f>IF($BY$12=1,NORMDIST(BY2029,$Y$6,$Y$8,TRUE),IF($BY$12=2,IF(BY2029&lt;=$BX$31,0,IF(BY2029&gt;=$BX$32,1,(BY2029-$BX$31)*$BX$33)),SUM($BU$42:BU2029)/$BV$40))</f>
        <v>0.99999999999994771</v>
      </c>
      <c r="BW2029" s="16">
        <f t="shared" si="532"/>
        <v>3.9295855359533321E-12</v>
      </c>
      <c r="BY2029" s="16">
        <f t="shared" si="533"/>
        <v>198.699999999993</v>
      </c>
      <c r="BZ2029" s="16">
        <f t="shared" si="534"/>
        <v>1.9776474765744693E-14</v>
      </c>
      <c r="CA2029" s="16">
        <f t="shared" si="541"/>
        <v>-999</v>
      </c>
      <c r="CE2029" s="16" t="e">
        <f t="shared" si="535"/>
        <v>#N/A</v>
      </c>
      <c r="CF2029" s="16">
        <f t="shared" si="536"/>
        <v>99</v>
      </c>
      <c r="CG2029" s="16">
        <f t="shared" si="537"/>
        <v>0</v>
      </c>
      <c r="CH2029" s="16">
        <f t="shared" si="531"/>
        <v>0</v>
      </c>
      <c r="CJ2029" s="16" t="e">
        <f t="shared" si="538"/>
        <v>#N/A</v>
      </c>
      <c r="CK2029" s="16" t="str">
        <f t="shared" si="539"/>
        <v/>
      </c>
    </row>
    <row r="2030" spans="73:89" ht="12" customHeight="1">
      <c r="BU2030" s="16">
        <f t="shared" si="540"/>
        <v>0</v>
      </c>
      <c r="BV2030" s="16">
        <f>IF($BY$12=1,NORMDIST(BY2030,$Y$6,$Y$8,TRUE),IF($BY$12=2,IF(BY2030&lt;=$BX$31,0,IF(BY2030&gt;=$BX$32,1,(BY2030-$BX$31)*$BX$33)),SUM($BU$42:BU2030)/$BV$40))</f>
        <v>0.99999999999994971</v>
      </c>
      <c r="BW2030" s="16">
        <f t="shared" si="532"/>
        <v>3.7880432897806807E-12</v>
      </c>
      <c r="BY2030" s="16">
        <f t="shared" si="533"/>
        <v>198.79999999999299</v>
      </c>
      <c r="BZ2030" s="16">
        <f t="shared" si="534"/>
        <v>1.9054543711171098E-14</v>
      </c>
      <c r="CA2030" s="16">
        <f t="shared" si="541"/>
        <v>-999</v>
      </c>
      <c r="CE2030" s="16" t="e">
        <f t="shared" si="535"/>
        <v>#N/A</v>
      </c>
      <c r="CF2030" s="16">
        <f t="shared" si="536"/>
        <v>99</v>
      </c>
      <c r="CG2030" s="16">
        <f t="shared" si="537"/>
        <v>0</v>
      </c>
      <c r="CH2030" s="16">
        <f t="shared" si="531"/>
        <v>0</v>
      </c>
      <c r="CJ2030" s="16" t="e">
        <f t="shared" si="538"/>
        <v>#N/A</v>
      </c>
      <c r="CK2030" s="16" t="str">
        <f t="shared" si="539"/>
        <v/>
      </c>
    </row>
    <row r="2031" spans="73:89" ht="12" customHeight="1">
      <c r="BU2031" s="16">
        <f t="shared" si="540"/>
        <v>0</v>
      </c>
      <c r="BV2031" s="16">
        <f>IF($BY$12=1,NORMDIST(BY2031,$Y$6,$Y$8,TRUE),IF($BY$12=2,IF(BY2031&lt;=$BX$31,0,IF(BY2031&gt;=$BX$32,1,(BY2031-$BX$31)*$BX$33)),SUM($BU$42:BU2031)/$BV$40))</f>
        <v>0.99999999999995148</v>
      </c>
      <c r="BW2031" s="16">
        <f t="shared" si="532"/>
        <v>3.651507131219811E-12</v>
      </c>
      <c r="BY2031" s="16">
        <f t="shared" si="533"/>
        <v>198.89999999999299</v>
      </c>
      <c r="BZ2031" s="16">
        <f t="shared" si="534"/>
        <v>1.835850744705852E-14</v>
      </c>
      <c r="CA2031" s="16">
        <f t="shared" si="541"/>
        <v>-999</v>
      </c>
      <c r="CE2031" s="16" t="e">
        <f t="shared" si="535"/>
        <v>#N/A</v>
      </c>
      <c r="CF2031" s="16">
        <f t="shared" si="536"/>
        <v>99</v>
      </c>
      <c r="CG2031" s="16">
        <f t="shared" si="537"/>
        <v>0</v>
      </c>
      <c r="CH2031" s="16">
        <f t="shared" si="531"/>
        <v>0</v>
      </c>
      <c r="CJ2031" s="16" t="e">
        <f t="shared" si="538"/>
        <v>#N/A</v>
      </c>
      <c r="CK2031" s="16" t="str">
        <f t="shared" si="539"/>
        <v/>
      </c>
    </row>
    <row r="2032" spans="73:89" ht="12" customHeight="1">
      <c r="BU2032" s="16">
        <f t="shared" si="540"/>
        <v>0</v>
      </c>
      <c r="BV2032" s="16">
        <f>IF($BY$12=1,NORMDIST(BY2032,$Y$6,$Y$8,TRUE),IF($BY$12=2,IF(BY2032&lt;=$BX$31,0,IF(BY2032&gt;=$BX$32,1,(BY2032-$BX$31)*$BX$33)),SUM($BU$42:BU2032)/$BV$40))</f>
        <v>0.99999999999995337</v>
      </c>
      <c r="BW2032" s="16">
        <f t="shared" si="532"/>
        <v>3.5198033933809225E-12</v>
      </c>
      <c r="BY2032" s="16">
        <f t="shared" si="533"/>
        <v>198.99999999999298</v>
      </c>
      <c r="BZ2032" s="16">
        <f t="shared" si="534"/>
        <v>1.7687454238095711E-14</v>
      </c>
      <c r="CA2032" s="16">
        <f t="shared" si="541"/>
        <v>-999</v>
      </c>
      <c r="CE2032" s="16" t="e">
        <f t="shared" si="535"/>
        <v>#N/A</v>
      </c>
      <c r="CF2032" s="16">
        <f t="shared" si="536"/>
        <v>99</v>
      </c>
      <c r="CG2032" s="16">
        <f t="shared" si="537"/>
        <v>0</v>
      </c>
      <c r="CH2032" s="16">
        <f t="shared" si="531"/>
        <v>0</v>
      </c>
      <c r="CJ2032" s="16" t="e">
        <f t="shared" si="538"/>
        <v>#N/A</v>
      </c>
      <c r="CK2032" s="16" t="str">
        <f t="shared" si="539"/>
        <v/>
      </c>
    </row>
    <row r="2033" spans="73:89" ht="12" customHeight="1">
      <c r="BU2033" s="16">
        <f t="shared" si="540"/>
        <v>0</v>
      </c>
      <c r="BV2033" s="16">
        <f>IF($BY$12=1,NORMDIST(BY2033,$Y$6,$Y$8,TRUE),IF($BY$12=2,IF(BY2033&lt;=$BX$31,0,IF(BY2033&gt;=$BX$32,1,(BY2033-$BX$31)*$BX$33)),SUM($BU$42:BU2033)/$BV$40))</f>
        <v>0.99999999999995504</v>
      </c>
      <c r="BW2033" s="16">
        <f t="shared" si="532"/>
        <v>3.3927643115429127E-12</v>
      </c>
      <c r="BY2033" s="16">
        <f t="shared" si="533"/>
        <v>199.09999999999297</v>
      </c>
      <c r="BZ2033" s="16">
        <f t="shared" si="534"/>
        <v>1.7040503824927336E-14</v>
      </c>
      <c r="CA2033" s="16">
        <f t="shared" si="541"/>
        <v>-999</v>
      </c>
      <c r="CE2033" s="16" t="e">
        <f t="shared" si="535"/>
        <v>#N/A</v>
      </c>
      <c r="CF2033" s="16">
        <f t="shared" si="536"/>
        <v>99</v>
      </c>
      <c r="CG2033" s="16">
        <f t="shared" si="537"/>
        <v>0</v>
      </c>
      <c r="CH2033" s="16">
        <f t="shared" si="531"/>
        <v>0</v>
      </c>
      <c r="CJ2033" s="16" t="e">
        <f t="shared" si="538"/>
        <v>#N/A</v>
      </c>
      <c r="CK2033" s="16" t="str">
        <f t="shared" si="539"/>
        <v/>
      </c>
    </row>
    <row r="2034" spans="73:89" ht="12" customHeight="1">
      <c r="BU2034" s="16">
        <f t="shared" si="540"/>
        <v>0</v>
      </c>
      <c r="BV2034" s="16">
        <f>IF($BY$12=1,NORMDIST(BY2034,$Y$6,$Y$8,TRUE),IF($BY$12=2,IF(BY2034&lt;=$BX$31,0,IF(BY2034&gt;=$BX$32,1,(BY2034-$BX$31)*$BX$33)),SUM($BU$42:BU2034)/$BV$40))</f>
        <v>0.9999999999999567</v>
      </c>
      <c r="BW2034" s="16">
        <f t="shared" si="532"/>
        <v>3.2702278269193485E-12</v>
      </c>
      <c r="BY2034" s="16">
        <f t="shared" si="533"/>
        <v>199.19999999999297</v>
      </c>
      <c r="BZ2034" s="16">
        <f t="shared" si="534"/>
        <v>1.6416806360037469E-14</v>
      </c>
      <c r="CA2034" s="16">
        <f t="shared" si="541"/>
        <v>-999</v>
      </c>
      <c r="CE2034" s="16" t="e">
        <f t="shared" si="535"/>
        <v>#N/A</v>
      </c>
      <c r="CF2034" s="16">
        <f t="shared" si="536"/>
        <v>99</v>
      </c>
      <c r="CG2034" s="16">
        <f t="shared" si="537"/>
        <v>0</v>
      </c>
      <c r="CH2034" s="16">
        <f t="shared" si="531"/>
        <v>0</v>
      </c>
      <c r="CJ2034" s="16" t="e">
        <f t="shared" si="538"/>
        <v>#N/A</v>
      </c>
      <c r="CK2034" s="16" t="str">
        <f t="shared" si="539"/>
        <v/>
      </c>
    </row>
    <row r="2035" spans="73:89" ht="12" customHeight="1">
      <c r="BU2035" s="16">
        <f t="shared" si="540"/>
        <v>0</v>
      </c>
      <c r="BV2035" s="16">
        <f>IF($BY$12=1,NORMDIST(BY2035,$Y$6,$Y$8,TRUE),IF($BY$12=2,IF(BY2035&lt;=$BX$31,0,IF(BY2035&gt;=$BX$32,1,(BY2035-$BX$31)*$BX$33)),SUM($BU$42:BU2035)/$BV$40))</f>
        <v>0.99999999999995837</v>
      </c>
      <c r="BW2035" s="16">
        <f t="shared" si="532"/>
        <v>3.1520373967967484E-12</v>
      </c>
      <c r="BY2035" s="16">
        <f t="shared" si="533"/>
        <v>199.29999999999296</v>
      </c>
      <c r="BZ2035" s="16">
        <f t="shared" si="534"/>
        <v>1.5815541378810133E-14</v>
      </c>
      <c r="CA2035" s="16">
        <f t="shared" si="541"/>
        <v>-999</v>
      </c>
      <c r="CE2035" s="16" t="e">
        <f t="shared" si="535"/>
        <v>#N/A</v>
      </c>
      <c r="CF2035" s="16">
        <f t="shared" si="536"/>
        <v>99</v>
      </c>
      <c r="CG2035" s="16">
        <f t="shared" si="537"/>
        <v>0</v>
      </c>
      <c r="CH2035" s="16">
        <f t="shared" si="531"/>
        <v>0</v>
      </c>
      <c r="CJ2035" s="16" t="e">
        <f t="shared" si="538"/>
        <v>#N/A</v>
      </c>
      <c r="CK2035" s="16" t="str">
        <f t="shared" si="539"/>
        <v/>
      </c>
    </row>
    <row r="2036" spans="73:89" ht="12" customHeight="1">
      <c r="BU2036" s="16">
        <f t="shared" si="540"/>
        <v>0</v>
      </c>
      <c r="BV2036" s="16">
        <f>IF($BY$12=1,NORMDIST(BY2036,$Y$6,$Y$8,TRUE),IF($BY$12=2,IF(BY2036&lt;=$BX$31,0,IF(BY2036&gt;=$BX$32,1,(BY2036-$BX$31)*$BX$33)),SUM($BU$42:BU2036)/$BV$40))</f>
        <v>0.99999999999995992</v>
      </c>
      <c r="BW2036" s="16">
        <f t="shared" si="532"/>
        <v>3.0380418108436408E-12</v>
      </c>
      <c r="BY2036" s="16">
        <f t="shared" si="533"/>
        <v>199.39999999999296</v>
      </c>
      <c r="BZ2036" s="16">
        <f t="shared" si="534"/>
        <v>1.5235916804632639E-14</v>
      </c>
      <c r="CA2036" s="16">
        <f t="shared" si="541"/>
        <v>-999</v>
      </c>
      <c r="CE2036" s="16" t="e">
        <f t="shared" si="535"/>
        <v>#N/A</v>
      </c>
      <c r="CF2036" s="16">
        <f t="shared" si="536"/>
        <v>99</v>
      </c>
      <c r="CG2036" s="16">
        <f t="shared" si="537"/>
        <v>0</v>
      </c>
      <c r="CH2036" s="16">
        <f t="shared" si="531"/>
        <v>0</v>
      </c>
      <c r="CJ2036" s="16" t="e">
        <f t="shared" si="538"/>
        <v>#N/A</v>
      </c>
      <c r="CK2036" s="16" t="str">
        <f t="shared" si="539"/>
        <v/>
      </c>
    </row>
    <row r="2037" spans="73:89" ht="12" customHeight="1">
      <c r="BU2037" s="16">
        <f t="shared" si="540"/>
        <v>0</v>
      </c>
      <c r="BV2037" s="16">
        <f>IF($BY$12=1,NORMDIST(BY2037,$Y$6,$Y$8,TRUE),IF($BY$12=2,IF(BY2037&lt;=$BX$31,0,IF(BY2037&gt;=$BX$32,1,(BY2037-$BX$31)*$BX$33)),SUM($BU$42:BU2037)/$BV$40))</f>
        <v>0.99999999999996136</v>
      </c>
      <c r="BW2037" s="16">
        <f t="shared" si="532"/>
        <v>2.9280950133945203E-12</v>
      </c>
      <c r="BY2037" s="16">
        <f t="shared" si="533"/>
        <v>199.49999999999295</v>
      </c>
      <c r="BZ2037" s="16">
        <f t="shared" si="534"/>
        <v>1.467716798694047E-14</v>
      </c>
      <c r="CA2037" s="16">
        <f t="shared" si="541"/>
        <v>-999</v>
      </c>
      <c r="CE2037" s="16" t="e">
        <f t="shared" si="535"/>
        <v>#N/A</v>
      </c>
      <c r="CF2037" s="16">
        <f t="shared" si="536"/>
        <v>99</v>
      </c>
      <c r="CG2037" s="16">
        <f t="shared" si="537"/>
        <v>0</v>
      </c>
      <c r="CH2037" s="16">
        <f t="shared" si="531"/>
        <v>0</v>
      </c>
      <c r="CJ2037" s="16" t="e">
        <f t="shared" si="538"/>
        <v>#N/A</v>
      </c>
      <c r="CK2037" s="16" t="str">
        <f t="shared" si="539"/>
        <v/>
      </c>
    </row>
    <row r="2038" spans="73:89" ht="12" customHeight="1">
      <c r="BU2038" s="16">
        <f t="shared" si="540"/>
        <v>0</v>
      </c>
      <c r="BV2038" s="16">
        <f>IF($BY$12=1,NORMDIST(BY2038,$Y$6,$Y$8,TRUE),IF($BY$12=2,IF(BY2038&lt;=$BX$31,0,IF(BY2038&gt;=$BX$32,1,(BY2038-$BX$31)*$BX$33)),SUM($BU$42:BU2038)/$BV$40))</f>
        <v>0.99999999999996281</v>
      </c>
      <c r="BW2038" s="16">
        <f t="shared" si="532"/>
        <v>2.8220559315197336E-12</v>
      </c>
      <c r="BY2038" s="16">
        <f t="shared" si="533"/>
        <v>199.59999999999295</v>
      </c>
      <c r="BZ2038" s="16">
        <f t="shared" si="534"/>
        <v>1.413855677114145E-14</v>
      </c>
      <c r="CA2038" s="16">
        <f t="shared" si="541"/>
        <v>-999</v>
      </c>
      <c r="CE2038" s="16" t="e">
        <f t="shared" si="535"/>
        <v>#N/A</v>
      </c>
      <c r="CF2038" s="16">
        <f t="shared" si="536"/>
        <v>99</v>
      </c>
      <c r="CG2038" s="16">
        <f t="shared" si="537"/>
        <v>0</v>
      </c>
      <c r="CH2038" s="16">
        <f t="shared" si="531"/>
        <v>0</v>
      </c>
      <c r="CJ2038" s="16" t="e">
        <f t="shared" si="538"/>
        <v>#N/A</v>
      </c>
      <c r="CK2038" s="16" t="str">
        <f t="shared" si="539"/>
        <v/>
      </c>
    </row>
    <row r="2039" spans="73:89" ht="12" customHeight="1">
      <c r="BU2039" s="16">
        <f t="shared" si="540"/>
        <v>0</v>
      </c>
      <c r="BV2039" s="16">
        <f>IF($BY$12=1,NORMDIST(BY2039,$Y$6,$Y$8,TRUE),IF($BY$12=2,IF(BY2039&lt;=$BX$31,0,IF(BY2039&gt;=$BX$32,1,(BY2039-$BX$31)*$BX$33)),SUM($BU$42:BU2039)/$BV$40))</f>
        <v>0.99999999999996425</v>
      </c>
      <c r="BW2039" s="16">
        <f t="shared" si="532"/>
        <v>2.719788308697029E-12</v>
      </c>
      <c r="BY2039" s="16">
        <f t="shared" si="533"/>
        <v>199.69999999999294</v>
      </c>
      <c r="BZ2039" s="16">
        <f t="shared" si="534"/>
        <v>1.3619370599384702E-14</v>
      </c>
      <c r="CA2039" s="16">
        <f t="shared" si="541"/>
        <v>-999</v>
      </c>
      <c r="CE2039" s="16" t="e">
        <f t="shared" si="535"/>
        <v>#N/A</v>
      </c>
      <c r="CF2039" s="16">
        <f t="shared" si="536"/>
        <v>99</v>
      </c>
      <c r="CG2039" s="16">
        <f t="shared" si="537"/>
        <v>0</v>
      </c>
      <c r="CH2039" s="16">
        <f t="shared" si="531"/>
        <v>0</v>
      </c>
      <c r="CJ2039" s="16" t="e">
        <f t="shared" si="538"/>
        <v>#N/A</v>
      </c>
      <c r="CK2039" s="16" t="str">
        <f t="shared" si="539"/>
        <v/>
      </c>
    </row>
    <row r="2040" spans="73:89" ht="12" customHeight="1">
      <c r="BU2040" s="16">
        <f t="shared" si="540"/>
        <v>0</v>
      </c>
      <c r="BV2040" s="16">
        <f>IF($BY$12=1,NORMDIST(BY2040,$Y$6,$Y$8,TRUE),IF($BY$12=2,IF(BY2040&lt;=$BX$31,0,IF(BY2040&gt;=$BX$32,1,(BY2040-$BX$31)*$BX$33)),SUM($BU$42:BU2040)/$BV$40))</f>
        <v>0.99999999999996558</v>
      </c>
      <c r="BW2040" s="16">
        <f t="shared" si="532"/>
        <v>2.6211605439074109E-12</v>
      </c>
      <c r="BY2040" s="16">
        <f t="shared" si="533"/>
        <v>199.79999999999293</v>
      </c>
      <c r="BZ2040" s="16">
        <f t="shared" si="534"/>
        <v>1.3118921641178697E-14</v>
      </c>
      <c r="CA2040" s="16">
        <f t="shared" si="541"/>
        <v>-999</v>
      </c>
      <c r="CE2040" s="16" t="e">
        <f t="shared" si="535"/>
        <v>#N/A</v>
      </c>
      <c r="CF2040" s="16">
        <f t="shared" si="536"/>
        <v>99</v>
      </c>
      <c r="CG2040" s="16">
        <f t="shared" si="537"/>
        <v>0</v>
      </c>
      <c r="CH2040" s="16">
        <f t="shared" si="531"/>
        <v>0</v>
      </c>
      <c r="CJ2040" s="16" t="e">
        <f t="shared" si="538"/>
        <v>#N/A</v>
      </c>
      <c r="CK2040" s="16" t="str">
        <f t="shared" si="539"/>
        <v/>
      </c>
    </row>
    <row r="2041" spans="73:89" ht="12" customHeight="1">
      <c r="BU2041" s="16">
        <f t="shared" si="540"/>
        <v>0</v>
      </c>
      <c r="BV2041" s="16">
        <f>IF($BY$12=1,NORMDIST(BY2041,$Y$6,$Y$8,TRUE),IF($BY$12=2,IF(BY2041&lt;=$BX$31,0,IF(BY2041&gt;=$BX$32,1,(BY2041-$BX$31)*$BX$33)),SUM($BU$42:BU2041)/$BV$40))</f>
        <v>0.9999999999999668</v>
      </c>
      <c r="BW2041" s="16">
        <f t="shared" si="532"/>
        <v>2.5260455359823251E-12</v>
      </c>
      <c r="BY2041" s="16">
        <f t="shared" si="533"/>
        <v>199.89999999999293</v>
      </c>
      <c r="BZ2041" s="16">
        <f t="shared" si="534"/>
        <v>1.2636545952888517E-14</v>
      </c>
      <c r="CA2041" s="16">
        <f t="shared" si="541"/>
        <v>-999</v>
      </c>
      <c r="CE2041" s="16" t="e">
        <f t="shared" si="535"/>
        <v>#N/A</v>
      </c>
      <c r="CF2041" s="16">
        <f t="shared" si="536"/>
        <v>99</v>
      </c>
      <c r="CG2041" s="16">
        <f t="shared" si="537"/>
        <v>0</v>
      </c>
      <c r="CH2041" s="16">
        <f t="shared" si="531"/>
        <v>0</v>
      </c>
      <c r="CJ2041" s="16" t="e">
        <f t="shared" si="538"/>
        <v>#N/A</v>
      </c>
      <c r="CK2041" s="16" t="str">
        <f t="shared" si="539"/>
        <v/>
      </c>
    </row>
    <row r="2042" spans="73:89" ht="12" customHeight="1">
      <c r="BU2042" s="16">
        <f t="shared" si="540"/>
        <v>0</v>
      </c>
      <c r="BV2042" s="16">
        <f>IF($BY$12=1,NORMDIST(BY2042,$Y$6,$Y$8,TRUE),IF($BY$12=2,IF(BY2042&lt;=$BX$31,0,IF(BY2042&gt;=$BX$32,1,(BY2042-$BX$31)*$BX$33)),SUM($BU$42:BU2042)/$BV$40))</f>
        <v>0.99999999999996814</v>
      </c>
      <c r="BW2042" s="16">
        <f t="shared" si="532"/>
        <v>2.4343205330353924E-12</v>
      </c>
      <c r="BY2042" s="16">
        <f t="shared" si="533"/>
        <v>199.99999999999292</v>
      </c>
      <c r="BZ2042" s="16">
        <f t="shared" si="534"/>
        <v>1.2171602665177392E-14</v>
      </c>
      <c r="CA2042" s="16">
        <f t="shared" si="541"/>
        <v>-999</v>
      </c>
      <c r="CE2042" s="16" t="e">
        <f t="shared" si="535"/>
        <v>#N/A</v>
      </c>
      <c r="CF2042" s="16">
        <f t="shared" si="536"/>
        <v>99</v>
      </c>
      <c r="CG2042" s="16">
        <f t="shared" si="537"/>
        <v>0</v>
      </c>
      <c r="CH2042" s="16">
        <f t="shared" si="531"/>
        <v>0</v>
      </c>
      <c r="CJ2042" s="16" t="e">
        <f t="shared" si="538"/>
        <v>#N/A</v>
      </c>
      <c r="CK2042" s="16" t="str">
        <f t="shared" si="539"/>
        <v/>
      </c>
    </row>
    <row r="2043" spans="73:89" ht="12" customHeight="1">
      <c r="BU2043" s="16">
        <f t="shared" si="540"/>
        <v>0</v>
      </c>
      <c r="BV2043" s="16">
        <f>IF($BY$12=1,NORMDIST(BY2043,$Y$6,$Y$8,TRUE),IF($BY$12=2,IF(BY2043&lt;=$BX$31,0,IF(BY2043&gt;=$BX$32,1,(BY2043-$BX$31)*$BX$33)),SUM($BU$42:BU2043)/$BV$40))</f>
        <v>0.99999999999996925</v>
      </c>
      <c r="BW2043" s="16">
        <f t="shared" ref="BW2043:BW2106" si="542">BY2043*BZ2043</f>
        <v>2.3458669868164441E-12</v>
      </c>
      <c r="BY2043" s="16">
        <f t="shared" ref="BY2043:BY2106" si="543">BY2042+$BZ$1</f>
        <v>200.09999999999292</v>
      </c>
      <c r="BZ2043" s="16">
        <f t="shared" si="534"/>
        <v>1.1723473197483894E-14</v>
      </c>
      <c r="CA2043" s="16">
        <f t="shared" si="541"/>
        <v>-999</v>
      </c>
      <c r="CE2043" s="16" t="e">
        <f t="shared" si="535"/>
        <v>#N/A</v>
      </c>
      <c r="CF2043" s="16">
        <f t="shared" si="536"/>
        <v>99</v>
      </c>
      <c r="CG2043" s="16">
        <f t="shared" si="537"/>
        <v>0</v>
      </c>
      <c r="CH2043" s="16">
        <f t="shared" si="531"/>
        <v>0</v>
      </c>
      <c r="CJ2043" s="16" t="e">
        <f t="shared" si="538"/>
        <v>#N/A</v>
      </c>
      <c r="CK2043" s="16" t="str">
        <f t="shared" si="539"/>
        <v/>
      </c>
    </row>
    <row r="2044" spans="73:89" ht="12" customHeight="1">
      <c r="BU2044" s="16">
        <f t="shared" si="540"/>
        <v>0</v>
      </c>
      <c r="BV2044" s="16">
        <f>IF($BY$12=1,NORMDIST(BY2044,$Y$6,$Y$8,TRUE),IF($BY$12=2,IF(BY2044&lt;=$BX$31,0,IF(BY2044&gt;=$BX$32,1,(BY2044-$BX$31)*$BX$33)),SUM($BU$42:BU2044)/$BV$40))</f>
        <v>0.99999999999997047</v>
      </c>
      <c r="BW2044" s="16">
        <f t="shared" si="542"/>
        <v>2.2605704118312582E-12</v>
      </c>
      <c r="BY2044" s="16">
        <f t="shared" si="543"/>
        <v>200.19999999999291</v>
      </c>
      <c r="BZ2044" s="16">
        <f t="shared" si="534"/>
        <v>1.1291560498658032E-14</v>
      </c>
      <c r="CA2044" s="16">
        <f t="shared" si="541"/>
        <v>-999</v>
      </c>
      <c r="CE2044" s="16" t="e">
        <f t="shared" si="535"/>
        <v>#N/A</v>
      </c>
      <c r="CF2044" s="16">
        <f t="shared" si="536"/>
        <v>99</v>
      </c>
      <c r="CG2044" s="16">
        <f t="shared" si="537"/>
        <v>0</v>
      </c>
      <c r="CH2044" s="16">
        <f t="shared" si="531"/>
        <v>0</v>
      </c>
      <c r="CJ2044" s="16" t="e">
        <f t="shared" si="538"/>
        <v>#N/A</v>
      </c>
      <c r="CK2044" s="16" t="str">
        <f t="shared" si="539"/>
        <v/>
      </c>
    </row>
    <row r="2045" spans="73:89" ht="12" customHeight="1">
      <c r="BU2045" s="16">
        <f t="shared" si="540"/>
        <v>0</v>
      </c>
      <c r="BV2045" s="16">
        <f>IF($BY$12=1,NORMDIST(BY2045,$Y$6,$Y$8,TRUE),IF($BY$12=2,IF(BY2045&lt;=$BX$31,0,IF(BY2045&gt;=$BX$32,1,(BY2045-$BX$31)*$BX$33)),SUM($BU$42:BU2045)/$BV$40))</f>
        <v>0.99999999999997158</v>
      </c>
      <c r="BW2045" s="16">
        <f t="shared" si="542"/>
        <v>2.1783202490745058E-12</v>
      </c>
      <c r="BY2045" s="16">
        <f t="shared" si="543"/>
        <v>200.29999999999291</v>
      </c>
      <c r="BZ2045" s="16">
        <f t="shared" si="534"/>
        <v>1.087528831290356E-14</v>
      </c>
      <c r="CA2045" s="16">
        <f t="shared" si="541"/>
        <v>-999</v>
      </c>
      <c r="CE2045" s="16" t="e">
        <f t="shared" si="535"/>
        <v>#N/A</v>
      </c>
      <c r="CF2045" s="16">
        <f t="shared" si="536"/>
        <v>99</v>
      </c>
      <c r="CG2045" s="16">
        <f t="shared" si="537"/>
        <v>0</v>
      </c>
      <c r="CH2045" s="16">
        <f t="shared" si="531"/>
        <v>0</v>
      </c>
      <c r="CJ2045" s="16" t="e">
        <f t="shared" si="538"/>
        <v>#N/A</v>
      </c>
      <c r="CK2045" s="16" t="str">
        <f t="shared" si="539"/>
        <v/>
      </c>
    </row>
    <row r="2046" spans="73:89" ht="12" customHeight="1">
      <c r="BU2046" s="16">
        <f t="shared" si="540"/>
        <v>0</v>
      </c>
      <c r="BV2046" s="16">
        <f>IF($BY$12=1,NORMDIST(BY2046,$Y$6,$Y$8,TRUE),IF($BY$12=2,IF(BY2046&lt;=$BX$31,0,IF(BY2046&gt;=$BX$32,1,(BY2046-$BX$31)*$BX$33)),SUM($BU$42:BU2046)/$BV$40))</f>
        <v>0.99999999999997258</v>
      </c>
      <c r="BW2046" s="16">
        <f t="shared" si="542"/>
        <v>2.0990097342289658E-12</v>
      </c>
      <c r="BY2046" s="16">
        <f t="shared" si="543"/>
        <v>200.3999999999929</v>
      </c>
      <c r="BZ2046" s="16">
        <f t="shared" si="534"/>
        <v>1.047410047020479E-14</v>
      </c>
      <c r="CA2046" s="16">
        <f t="shared" si="541"/>
        <v>-999</v>
      </c>
      <c r="CE2046" s="16" t="e">
        <f t="shared" si="535"/>
        <v>#N/A</v>
      </c>
      <c r="CF2046" s="16">
        <f t="shared" si="536"/>
        <v>99</v>
      </c>
      <c r="CG2046" s="16">
        <f t="shared" si="537"/>
        <v>0</v>
      </c>
      <c r="CH2046" s="16">
        <f t="shared" si="531"/>
        <v>0</v>
      </c>
      <c r="CJ2046" s="16" t="e">
        <f t="shared" si="538"/>
        <v>#N/A</v>
      </c>
      <c r="CK2046" s="16" t="str">
        <f t="shared" si="539"/>
        <v/>
      </c>
    </row>
    <row r="2047" spans="73:89" ht="12" customHeight="1">
      <c r="BU2047" s="16">
        <f t="shared" si="540"/>
        <v>0</v>
      </c>
      <c r="BV2047" s="16">
        <f>IF($BY$12=1,NORMDIST(BY2047,$Y$6,$Y$8,TRUE),IF($BY$12=2,IF(BY2047&lt;=$BX$31,0,IF(BY2047&gt;=$BX$32,1,(BY2047-$BX$31)*$BX$33)),SUM($BU$42:BU2047)/$BV$40))</f>
        <v>0.99999999999997369</v>
      </c>
      <c r="BW2047" s="16">
        <f t="shared" si="542"/>
        <v>2.022535770187886E-12</v>
      </c>
      <c r="BY2047" s="16">
        <f t="shared" si="543"/>
        <v>200.49999999999289</v>
      </c>
      <c r="BZ2047" s="16">
        <f t="shared" si="534"/>
        <v>1.0087460200438691E-14</v>
      </c>
      <c r="CA2047" s="16">
        <f t="shared" si="541"/>
        <v>-999</v>
      </c>
      <c r="CE2047" s="16" t="e">
        <f t="shared" si="535"/>
        <v>#N/A</v>
      </c>
      <c r="CF2047" s="16">
        <f t="shared" si="536"/>
        <v>99</v>
      </c>
      <c r="CG2047" s="16">
        <f t="shared" si="537"/>
        <v>0</v>
      </c>
      <c r="CH2047" s="16">
        <f t="shared" si="531"/>
        <v>0</v>
      </c>
      <c r="CJ2047" s="16" t="e">
        <f t="shared" si="538"/>
        <v>#N/A</v>
      </c>
      <c r="CK2047" s="16" t="str">
        <f t="shared" si="539"/>
        <v/>
      </c>
    </row>
    <row r="2048" spans="73:89" ht="12" customHeight="1">
      <c r="BU2048" s="16">
        <f t="shared" si="540"/>
        <v>0</v>
      </c>
      <c r="BV2048" s="16">
        <f>IF($BY$12=1,NORMDIST(BY2048,$Y$6,$Y$8,TRUE),IF($BY$12=2,IF(BY2048&lt;=$BX$31,0,IF(BY2048&gt;=$BX$32,1,(BY2048-$BX$31)*$BX$33)),SUM($BU$42:BU2048)/$BV$40))</f>
        <v>0.99999999999997458</v>
      </c>
      <c r="BW2048" s="16">
        <f t="shared" si="542"/>
        <v>1.9487988037624606E-12</v>
      </c>
      <c r="BY2048" s="16">
        <f t="shared" si="543"/>
        <v>200.59999999999289</v>
      </c>
      <c r="BZ2048" s="16">
        <f t="shared" si="534"/>
        <v>9.7148494704014448E-15</v>
      </c>
      <c r="CA2048" s="16">
        <f t="shared" si="541"/>
        <v>-999</v>
      </c>
      <c r="CE2048" s="16" t="e">
        <f t="shared" si="535"/>
        <v>#N/A</v>
      </c>
      <c r="CF2048" s="16">
        <f t="shared" si="536"/>
        <v>99</v>
      </c>
      <c r="CG2048" s="16">
        <f t="shared" si="537"/>
        <v>0</v>
      </c>
      <c r="CH2048" s="16">
        <f t="shared" si="531"/>
        <v>0</v>
      </c>
      <c r="CJ2048" s="16" t="e">
        <f t="shared" si="538"/>
        <v>#N/A</v>
      </c>
      <c r="CK2048" s="16" t="str">
        <f t="shared" si="539"/>
        <v/>
      </c>
    </row>
    <row r="2049" spans="73:89" ht="12" customHeight="1">
      <c r="BU2049" s="16">
        <f t="shared" si="540"/>
        <v>0</v>
      </c>
      <c r="BV2049" s="16">
        <f>IF($BY$12=1,NORMDIST(BY2049,$Y$6,$Y$8,TRUE),IF($BY$12=2,IF(BY2049&lt;=$BX$31,0,IF(BY2049&gt;=$BX$32,1,(BY2049-$BX$31)*$BX$33)),SUM($BU$42:BU2049)/$BV$40))</f>
        <v>0.99999999999997558</v>
      </c>
      <c r="BW2049" s="16">
        <f t="shared" si="542"/>
        <v>1.8777027064402302E-12</v>
      </c>
      <c r="BY2049" s="16">
        <f t="shared" si="543"/>
        <v>200.69999999999288</v>
      </c>
      <c r="BZ2049" s="16">
        <f t="shared" si="534"/>
        <v>9.3557683430009804E-15</v>
      </c>
      <c r="CA2049" s="16">
        <f t="shared" si="541"/>
        <v>-999</v>
      </c>
      <c r="CE2049" s="16" t="e">
        <f t="shared" si="535"/>
        <v>#N/A</v>
      </c>
      <c r="CF2049" s="16">
        <f t="shared" si="536"/>
        <v>99</v>
      </c>
      <c r="CG2049" s="16">
        <f t="shared" si="537"/>
        <v>0</v>
      </c>
      <c r="CH2049" s="16">
        <f t="shared" si="531"/>
        <v>0</v>
      </c>
      <c r="CJ2049" s="16" t="e">
        <f t="shared" si="538"/>
        <v>#N/A</v>
      </c>
      <c r="CK2049" s="16" t="str">
        <f t="shared" si="539"/>
        <v/>
      </c>
    </row>
    <row r="2050" spans="73:89" ht="12" customHeight="1">
      <c r="BU2050" s="16">
        <f t="shared" si="540"/>
        <v>0</v>
      </c>
      <c r="BV2050" s="16">
        <f>IF($BY$12=1,NORMDIST(BY2050,$Y$6,$Y$8,TRUE),IF($BY$12=2,IF(BY2050&lt;=$BX$31,0,IF(BY2050&gt;=$BX$32,1,(BY2050-$BX$31)*$BX$33)),SUM($BU$42:BU2050)/$BV$40))</f>
        <v>0.99999999999997646</v>
      </c>
      <c r="BW2050" s="16">
        <f t="shared" si="542"/>
        <v>1.809154659064552E-12</v>
      </c>
      <c r="BY2050" s="16">
        <f t="shared" si="543"/>
        <v>200.79999999999288</v>
      </c>
      <c r="BZ2050" s="16">
        <f t="shared" si="534"/>
        <v>9.009734357891515E-15</v>
      </c>
      <c r="CA2050" s="16">
        <f t="shared" si="541"/>
        <v>-999</v>
      </c>
      <c r="CE2050" s="16" t="e">
        <f t="shared" si="535"/>
        <v>#N/A</v>
      </c>
      <c r="CF2050" s="16">
        <f t="shared" si="536"/>
        <v>99</v>
      </c>
      <c r="CG2050" s="16">
        <f t="shared" si="537"/>
        <v>0</v>
      </c>
      <c r="CH2050" s="16">
        <f t="shared" si="531"/>
        <v>0</v>
      </c>
      <c r="CJ2050" s="16" t="e">
        <f t="shared" si="538"/>
        <v>#N/A</v>
      </c>
      <c r="CK2050" s="16" t="str">
        <f t="shared" si="539"/>
        <v/>
      </c>
    </row>
    <row r="2051" spans="73:89" ht="12" customHeight="1">
      <c r="BU2051" s="16">
        <f t="shared" si="540"/>
        <v>0</v>
      </c>
      <c r="BV2051" s="16">
        <f>IF($BY$12=1,NORMDIST(BY2051,$Y$6,$Y$8,TRUE),IF($BY$12=2,IF(BY2051&lt;=$BX$31,0,IF(BY2051&gt;=$BX$32,1,(BY2051-$BX$31)*$BX$33)),SUM($BU$42:BU2051)/$BV$40))</f>
        <v>0.99999999999997735</v>
      </c>
      <c r="BW2051" s="16">
        <f t="shared" si="542"/>
        <v>1.7430650403094759E-12</v>
      </c>
      <c r="BY2051" s="16">
        <f t="shared" si="543"/>
        <v>200.89999999999287</v>
      </c>
      <c r="BZ2051" s="16">
        <f t="shared" si="534"/>
        <v>8.6762819328498637E-15</v>
      </c>
      <c r="CA2051" s="16">
        <f t="shared" si="541"/>
        <v>-999</v>
      </c>
      <c r="CE2051" s="16" t="e">
        <f t="shared" si="535"/>
        <v>#N/A</v>
      </c>
      <c r="CF2051" s="16">
        <f t="shared" si="536"/>
        <v>99</v>
      </c>
      <c r="CG2051" s="16">
        <f t="shared" si="537"/>
        <v>0</v>
      </c>
      <c r="CH2051" s="16">
        <f t="shared" ref="CH2051:CH2114" si="544">IF(CB2051="",0,1)</f>
        <v>0</v>
      </c>
      <c r="CJ2051" s="16" t="e">
        <f t="shared" si="538"/>
        <v>#N/A</v>
      </c>
      <c r="CK2051" s="16" t="str">
        <f t="shared" si="539"/>
        <v/>
      </c>
    </row>
    <row r="2052" spans="73:89" ht="12" customHeight="1">
      <c r="BU2052" s="16">
        <f t="shared" si="540"/>
        <v>0</v>
      </c>
      <c r="BV2052" s="16">
        <f>IF($BY$12=1,NORMDIST(BY2052,$Y$6,$Y$8,TRUE),IF($BY$12=2,IF(BY2052&lt;=$BX$31,0,IF(BY2052&gt;=$BX$32,1,(BY2052-$BX$31)*$BX$33)),SUM($BU$42:BU2052)/$BV$40))</f>
        <v>0.99999999999997824</v>
      </c>
      <c r="BW2052" s="16">
        <f t="shared" si="542"/>
        <v>1.6793473188280241E-12</v>
      </c>
      <c r="BY2052" s="16">
        <f t="shared" si="543"/>
        <v>200.99999999999287</v>
      </c>
      <c r="BZ2052" s="16">
        <f t="shared" si="534"/>
        <v>8.354961785214347E-15</v>
      </c>
      <c r="CA2052" s="16">
        <f t="shared" si="541"/>
        <v>-999</v>
      </c>
      <c r="CE2052" s="16" t="e">
        <f t="shared" si="535"/>
        <v>#N/A</v>
      </c>
      <c r="CF2052" s="16">
        <f t="shared" si="536"/>
        <v>99</v>
      </c>
      <c r="CG2052" s="16">
        <f t="shared" si="537"/>
        <v>0</v>
      </c>
      <c r="CH2052" s="16">
        <f t="shared" si="544"/>
        <v>0</v>
      </c>
      <c r="CJ2052" s="16" t="e">
        <f t="shared" si="538"/>
        <v>#N/A</v>
      </c>
      <c r="CK2052" s="16" t="str">
        <f t="shared" si="539"/>
        <v/>
      </c>
    </row>
    <row r="2053" spans="73:89" ht="12" customHeight="1">
      <c r="BU2053" s="16">
        <f t="shared" si="540"/>
        <v>0</v>
      </c>
      <c r="BV2053" s="16">
        <f>IF($BY$12=1,NORMDIST(BY2053,$Y$6,$Y$8,TRUE),IF($BY$12=2,IF(BY2053&lt;=$BX$31,0,IF(BY2053&gt;=$BX$32,1,(BY2053-$BX$31)*$BX$33)),SUM($BU$42:BU2053)/$BV$40))</f>
        <v>0.99999999999997902</v>
      </c>
      <c r="BW2053" s="16">
        <f t="shared" si="542"/>
        <v>1.6179179489559646E-12</v>
      </c>
      <c r="BY2053" s="16">
        <f t="shared" si="543"/>
        <v>201.09999999999286</v>
      </c>
      <c r="BZ2053" s="16">
        <f t="shared" si="534"/>
        <v>8.0453403727300952E-15</v>
      </c>
      <c r="CA2053" s="16">
        <f t="shared" si="541"/>
        <v>-999</v>
      </c>
      <c r="CE2053" s="16" t="e">
        <f t="shared" si="535"/>
        <v>#N/A</v>
      </c>
      <c r="CF2053" s="16">
        <f t="shared" si="536"/>
        <v>99</v>
      </c>
      <c r="CG2053" s="16">
        <f t="shared" si="537"/>
        <v>0</v>
      </c>
      <c r="CH2053" s="16">
        <f t="shared" si="544"/>
        <v>0</v>
      </c>
      <c r="CJ2053" s="16" t="e">
        <f t="shared" si="538"/>
        <v>#N/A</v>
      </c>
      <c r="CK2053" s="16" t="str">
        <f t="shared" si="539"/>
        <v/>
      </c>
    </row>
    <row r="2054" spans="73:89" ht="12" customHeight="1">
      <c r="BU2054" s="16">
        <f t="shared" si="540"/>
        <v>0</v>
      </c>
      <c r="BV2054" s="16">
        <f>IF($BY$12=1,NORMDIST(BY2054,$Y$6,$Y$8,TRUE),IF($BY$12=2,IF(BY2054&lt;=$BX$31,0,IF(BY2054&gt;=$BX$32,1,(BY2054-$BX$31)*$BX$33)),SUM($BU$42:BU2054)/$BV$40))</f>
        <v>0.99999999999997979</v>
      </c>
      <c r="BW2054" s="16">
        <f t="shared" si="542"/>
        <v>1.5586962698565276E-12</v>
      </c>
      <c r="BY2054" s="16">
        <f t="shared" si="543"/>
        <v>201.19999999999285</v>
      </c>
      <c r="BZ2054" s="16">
        <f t="shared" si="534"/>
        <v>7.746999353163931E-15</v>
      </c>
      <c r="CA2054" s="16">
        <f t="shared" si="541"/>
        <v>-999</v>
      </c>
      <c r="CE2054" s="16" t="e">
        <f t="shared" si="535"/>
        <v>#N/A</v>
      </c>
      <c r="CF2054" s="16">
        <f t="shared" si="536"/>
        <v>99</v>
      </c>
      <c r="CG2054" s="16">
        <f t="shared" si="537"/>
        <v>0</v>
      </c>
      <c r="CH2054" s="16">
        <f t="shared" si="544"/>
        <v>0</v>
      </c>
      <c r="CJ2054" s="16" t="e">
        <f t="shared" si="538"/>
        <v>#N/A</v>
      </c>
      <c r="CK2054" s="16" t="str">
        <f t="shared" si="539"/>
        <v/>
      </c>
    </row>
    <row r="2055" spans="73:89" ht="12" customHeight="1">
      <c r="BU2055" s="16">
        <f t="shared" si="540"/>
        <v>0</v>
      </c>
      <c r="BV2055" s="16">
        <f>IF($BY$12=1,NORMDIST(BY2055,$Y$6,$Y$8,TRUE),IF($BY$12=2,IF(BY2055&lt;=$BX$31,0,IF(BY2055&gt;=$BX$32,1,(BY2055-$BX$31)*$BX$33)),SUM($BU$42:BU2055)/$BV$40))</f>
        <v>0.99999999999998057</v>
      </c>
      <c r="BW2055" s="16">
        <f t="shared" si="542"/>
        <v>1.5016044079955196E-12</v>
      </c>
      <c r="BY2055" s="16">
        <f t="shared" si="543"/>
        <v>201.29999999999285</v>
      </c>
      <c r="BZ2055" s="16">
        <f t="shared" si="534"/>
        <v>7.4595350620743814E-15</v>
      </c>
      <c r="CA2055" s="16">
        <f t="shared" si="541"/>
        <v>-999</v>
      </c>
      <c r="CE2055" s="16" t="e">
        <f t="shared" si="535"/>
        <v>#N/A</v>
      </c>
      <c r="CF2055" s="16">
        <f t="shared" si="536"/>
        <v>99</v>
      </c>
      <c r="CG2055" s="16">
        <f t="shared" si="537"/>
        <v>0</v>
      </c>
      <c r="CH2055" s="16">
        <f t="shared" si="544"/>
        <v>0</v>
      </c>
      <c r="CJ2055" s="16" t="e">
        <f t="shared" si="538"/>
        <v>#N/A</v>
      </c>
      <c r="CK2055" s="16" t="str">
        <f t="shared" si="539"/>
        <v/>
      </c>
    </row>
    <row r="2056" spans="73:89" ht="12" customHeight="1">
      <c r="BU2056" s="16">
        <f t="shared" si="540"/>
        <v>0</v>
      </c>
      <c r="BV2056" s="16">
        <f>IF($BY$12=1,NORMDIST(BY2056,$Y$6,$Y$8,TRUE),IF($BY$12=2,IF(BY2056&lt;=$BX$31,0,IF(BY2056&gt;=$BX$32,1,(BY2056-$BX$31)*$BX$33)),SUM($BU$42:BU2056)/$BV$40))</f>
        <v>0.99999999999998135</v>
      </c>
      <c r="BW2056" s="16">
        <f t="shared" si="542"/>
        <v>1.4465671828393253E-12</v>
      </c>
      <c r="BY2056" s="16">
        <f t="shared" si="543"/>
        <v>201.39999999999284</v>
      </c>
      <c r="BZ2056" s="16">
        <f t="shared" si="534"/>
        <v>7.1825580081399047E-15</v>
      </c>
      <c r="CA2056" s="16">
        <f t="shared" si="541"/>
        <v>-999</v>
      </c>
      <c r="CE2056" s="16" t="e">
        <f t="shared" si="535"/>
        <v>#N/A</v>
      </c>
      <c r="CF2056" s="16">
        <f t="shared" si="536"/>
        <v>99</v>
      </c>
      <c r="CG2056" s="16">
        <f t="shared" si="537"/>
        <v>0</v>
      </c>
      <c r="CH2056" s="16">
        <f t="shared" si="544"/>
        <v>0</v>
      </c>
      <c r="CJ2056" s="16" t="e">
        <f t="shared" si="538"/>
        <v>#N/A</v>
      </c>
      <c r="CK2056" s="16" t="str">
        <f t="shared" si="539"/>
        <v/>
      </c>
    </row>
    <row r="2057" spans="73:89" ht="12" customHeight="1">
      <c r="BU2057" s="16">
        <f t="shared" si="540"/>
        <v>0</v>
      </c>
      <c r="BV2057" s="16">
        <f>IF($BY$12=1,NORMDIST(BY2057,$Y$6,$Y$8,TRUE),IF($BY$12=2,IF(BY2057&lt;=$BX$31,0,IF(BY2057&gt;=$BX$32,1,(BY2057-$BX$31)*$BX$33)),SUM($BU$42:BU2057)/$BV$40))</f>
        <v>0.99999999999998201</v>
      </c>
      <c r="BW2057" s="16">
        <f t="shared" si="542"/>
        <v>1.3935120156719843E-12</v>
      </c>
      <c r="BY2057" s="16">
        <f t="shared" si="543"/>
        <v>201.49999999999284</v>
      </c>
      <c r="BZ2057" s="16">
        <f t="shared" si="534"/>
        <v>6.9156923854691511E-15</v>
      </c>
      <c r="CA2057" s="16">
        <f t="shared" si="541"/>
        <v>-999</v>
      </c>
      <c r="CE2057" s="16" t="e">
        <f t="shared" si="535"/>
        <v>#N/A</v>
      </c>
      <c r="CF2057" s="16">
        <f t="shared" si="536"/>
        <v>99</v>
      </c>
      <c r="CG2057" s="16">
        <f t="shared" si="537"/>
        <v>0</v>
      </c>
      <c r="CH2057" s="16">
        <f t="shared" si="544"/>
        <v>0</v>
      </c>
      <c r="CJ2057" s="16" t="e">
        <f t="shared" si="538"/>
        <v>#N/A</v>
      </c>
      <c r="CK2057" s="16" t="str">
        <f t="shared" si="539"/>
        <v/>
      </c>
    </row>
    <row r="2058" spans="73:89" ht="12" customHeight="1">
      <c r="BU2058" s="16">
        <f t="shared" si="540"/>
        <v>0</v>
      </c>
      <c r="BV2058" s="16">
        <f>IF($BY$12=1,NORMDIST(BY2058,$Y$6,$Y$8,TRUE),IF($BY$12=2,IF(BY2058&lt;=$BX$31,0,IF(BY2058&gt;=$BX$32,1,(BY2058-$BX$31)*$BX$33)),SUM($BU$42:BU2058)/$BV$40))</f>
        <v>0.99999999999998268</v>
      </c>
      <c r="BW2058" s="16">
        <f t="shared" si="542"/>
        <v>1.3423688414305771E-12</v>
      </c>
      <c r="BY2058" s="16">
        <f t="shared" si="543"/>
        <v>201.59999999999283</v>
      </c>
      <c r="BZ2058" s="16">
        <f t="shared" si="534"/>
        <v>6.6585756023344487E-15</v>
      </c>
      <c r="CA2058" s="16">
        <f t="shared" si="541"/>
        <v>-999</v>
      </c>
      <c r="CE2058" s="16" t="e">
        <f t="shared" si="535"/>
        <v>#N/A</v>
      </c>
      <c r="CF2058" s="16">
        <f t="shared" si="536"/>
        <v>99</v>
      </c>
      <c r="CG2058" s="16">
        <f t="shared" si="537"/>
        <v>0</v>
      </c>
      <c r="CH2058" s="16">
        <f t="shared" si="544"/>
        <v>0</v>
      </c>
      <c r="CJ2058" s="16" t="e">
        <f t="shared" si="538"/>
        <v>#N/A</v>
      </c>
      <c r="CK2058" s="16" t="str">
        <f t="shared" si="539"/>
        <v/>
      </c>
    </row>
    <row r="2059" spans="73:89" ht="12" customHeight="1">
      <c r="BU2059" s="16">
        <f t="shared" si="540"/>
        <v>0</v>
      </c>
      <c r="BV2059" s="16">
        <f>IF($BY$12=1,NORMDIST(BY2059,$Y$6,$Y$8,TRUE),IF($BY$12=2,IF(BY2059&lt;=$BX$31,0,IF(BY2059&gt;=$BX$32,1,(BY2059-$BX$31)*$BX$33)),SUM($BU$42:BU2059)/$BV$40))</f>
        <v>0.99999999999998335</v>
      </c>
      <c r="BW2059" s="16">
        <f t="shared" si="542"/>
        <v>1.293070023461537E-12</v>
      </c>
      <c r="BY2059" s="16">
        <f t="shared" si="543"/>
        <v>201.69999999999283</v>
      </c>
      <c r="BZ2059" s="16">
        <f t="shared" si="534"/>
        <v>6.4108578257887108E-15</v>
      </c>
      <c r="CA2059" s="16">
        <f t="shared" si="541"/>
        <v>-999</v>
      </c>
      <c r="CE2059" s="16" t="e">
        <f t="shared" si="535"/>
        <v>#N/A</v>
      </c>
      <c r="CF2059" s="16">
        <f t="shared" si="536"/>
        <v>99</v>
      </c>
      <c r="CG2059" s="16">
        <f t="shared" si="537"/>
        <v>0</v>
      </c>
      <c r="CH2059" s="16">
        <f t="shared" si="544"/>
        <v>0</v>
      </c>
      <c r="CJ2059" s="16" t="e">
        <f t="shared" si="538"/>
        <v>#N/A</v>
      </c>
      <c r="CK2059" s="16" t="str">
        <f t="shared" si="539"/>
        <v/>
      </c>
    </row>
    <row r="2060" spans="73:89" ht="12" customHeight="1">
      <c r="BU2060" s="16">
        <f t="shared" si="540"/>
        <v>0</v>
      </c>
      <c r="BV2060" s="16">
        <f>IF($BY$12=1,NORMDIST(BY2060,$Y$6,$Y$8,TRUE),IF($BY$12=2,IF(BY2060&lt;=$BX$31,0,IF(BY2060&gt;=$BX$32,1,(BY2060-$BX$31)*$BX$33)),SUM($BU$42:BU2060)/$BV$40))</f>
        <v>0.99999999999998401</v>
      </c>
      <c r="BW2060" s="16">
        <f t="shared" si="542"/>
        <v>1.2455502711033046E-12</v>
      </c>
      <c r="BY2060" s="16">
        <f t="shared" si="543"/>
        <v>201.79999999999282</v>
      </c>
      <c r="BZ2060" s="16">
        <f t="shared" si="534"/>
        <v>6.1722015416419668E-15</v>
      </c>
      <c r="CA2060" s="16">
        <f t="shared" si="541"/>
        <v>-999</v>
      </c>
      <c r="CE2060" s="16" t="e">
        <f t="shared" si="535"/>
        <v>#N/A</v>
      </c>
      <c r="CF2060" s="16">
        <f t="shared" si="536"/>
        <v>99</v>
      </c>
      <c r="CG2060" s="16">
        <f t="shared" si="537"/>
        <v>0</v>
      </c>
      <c r="CH2060" s="16">
        <f t="shared" si="544"/>
        <v>0</v>
      </c>
      <c r="CJ2060" s="16" t="e">
        <f t="shared" si="538"/>
        <v>#N/A</v>
      </c>
      <c r="CK2060" s="16" t="str">
        <f t="shared" si="539"/>
        <v/>
      </c>
    </row>
    <row r="2061" spans="73:89" ht="12" customHeight="1">
      <c r="BU2061" s="16">
        <f t="shared" si="540"/>
        <v>0</v>
      </c>
      <c r="BV2061" s="16">
        <f>IF($BY$12=1,NORMDIST(BY2061,$Y$6,$Y$8,TRUE),IF($BY$12=2,IF(BY2061&lt;=$BX$31,0,IF(BY2061&gt;=$BX$32,1,(BY2061-$BX$31)*$BX$33)),SUM($BU$42:BU2061)/$BV$40))</f>
        <v>0.99999999999998457</v>
      </c>
      <c r="BW2061" s="16">
        <f t="shared" si="542"/>
        <v>1.1997465600039304E-12</v>
      </c>
      <c r="BY2061" s="16">
        <f t="shared" si="543"/>
        <v>201.89999999999281</v>
      </c>
      <c r="BZ2061" s="16">
        <f t="shared" si="534"/>
        <v>5.9422811292915956E-15</v>
      </c>
      <c r="CA2061" s="16">
        <f t="shared" si="541"/>
        <v>-999</v>
      </c>
      <c r="CE2061" s="16" t="e">
        <f t="shared" si="535"/>
        <v>#N/A</v>
      </c>
      <c r="CF2061" s="16">
        <f t="shared" si="536"/>
        <v>99</v>
      </c>
      <c r="CG2061" s="16">
        <f t="shared" si="537"/>
        <v>0</v>
      </c>
      <c r="CH2061" s="16">
        <f t="shared" si="544"/>
        <v>0</v>
      </c>
      <c r="CJ2061" s="16" t="e">
        <f t="shared" si="538"/>
        <v>#N/A</v>
      </c>
      <c r="CK2061" s="16" t="str">
        <f t="shared" si="539"/>
        <v/>
      </c>
    </row>
    <row r="2062" spans="73:89" ht="12" customHeight="1">
      <c r="BU2062" s="16">
        <f t="shared" si="540"/>
        <v>0</v>
      </c>
      <c r="BV2062" s="16">
        <f>IF($BY$12=1,NORMDIST(BY2062,$Y$6,$Y$8,TRUE),IF($BY$12=2,IF(BY2062&lt;=$BX$31,0,IF(BY2062&gt;=$BX$32,1,(BY2062-$BX$31)*$BX$33)),SUM($BU$42:BU2062)/$BV$40))</f>
        <v>0.99999999999998523</v>
      </c>
      <c r="BW2062" s="16">
        <f t="shared" si="542"/>
        <v>1.1555980550850542E-12</v>
      </c>
      <c r="BY2062" s="16">
        <f t="shared" si="543"/>
        <v>201.99999999999281</v>
      </c>
      <c r="BZ2062" s="16">
        <f t="shared" si="534"/>
        <v>5.7207824509163134E-15</v>
      </c>
      <c r="CA2062" s="16">
        <f t="shared" si="541"/>
        <v>-999</v>
      </c>
      <c r="CE2062" s="16" t="e">
        <f t="shared" si="535"/>
        <v>#N/A</v>
      </c>
      <c r="CF2062" s="16">
        <f t="shared" si="536"/>
        <v>99</v>
      </c>
      <c r="CG2062" s="16">
        <f t="shared" si="537"/>
        <v>0</v>
      </c>
      <c r="CH2062" s="16">
        <f t="shared" si="544"/>
        <v>0</v>
      </c>
      <c r="CJ2062" s="16" t="e">
        <f t="shared" si="538"/>
        <v>#N/A</v>
      </c>
      <c r="CK2062" s="16" t="str">
        <f t="shared" si="539"/>
        <v/>
      </c>
    </row>
    <row r="2063" spans="73:89" ht="12" customHeight="1">
      <c r="BU2063" s="16">
        <f t="shared" si="540"/>
        <v>0</v>
      </c>
      <c r="BV2063" s="16">
        <f>IF($BY$12=1,NORMDIST(BY2063,$Y$6,$Y$8,TRUE),IF($BY$12=2,IF(BY2063&lt;=$BX$31,0,IF(BY2063&gt;=$BX$32,1,(BY2063-$BX$31)*$BX$33)),SUM($BU$42:BU2063)/$BV$40))</f>
        <v>0.99999999999998579</v>
      </c>
      <c r="BW2063" s="16">
        <f t="shared" si="542"/>
        <v>1.1130460360664341E-12</v>
      </c>
      <c r="BY2063" s="16">
        <f t="shared" si="543"/>
        <v>202.0999999999928</v>
      </c>
      <c r="BZ2063" s="16">
        <f t="shared" si="534"/>
        <v>5.5074024545594944E-15</v>
      </c>
      <c r="CA2063" s="16">
        <f t="shared" si="541"/>
        <v>-999</v>
      </c>
      <c r="CE2063" s="16" t="e">
        <f t="shared" si="535"/>
        <v>#N/A</v>
      </c>
      <c r="CF2063" s="16">
        <f t="shared" si="536"/>
        <v>99</v>
      </c>
      <c r="CG2063" s="16">
        <f t="shared" si="537"/>
        <v>0</v>
      </c>
      <c r="CH2063" s="16">
        <f t="shared" si="544"/>
        <v>0</v>
      </c>
      <c r="CJ2063" s="16" t="e">
        <f t="shared" si="538"/>
        <v>#N/A</v>
      </c>
      <c r="CK2063" s="16" t="str">
        <f t="shared" si="539"/>
        <v/>
      </c>
    </row>
    <row r="2064" spans="73:89" ht="12" customHeight="1">
      <c r="BU2064" s="16">
        <f t="shared" si="540"/>
        <v>0</v>
      </c>
      <c r="BV2064" s="16">
        <f>IF($BY$12=1,NORMDIST(BY2064,$Y$6,$Y$8,TRUE),IF($BY$12=2,IF(BY2064&lt;=$BX$31,0,IF(BY2064&gt;=$BX$32,1,(BY2064-$BX$31)*$BX$33)),SUM($BU$42:BU2064)/$BV$40))</f>
        <v>0.99999999999998634</v>
      </c>
      <c r="BW2064" s="16">
        <f t="shared" si="542"/>
        <v>1.0720338254679429E-12</v>
      </c>
      <c r="BY2064" s="16">
        <f t="shared" si="543"/>
        <v>202.1999999999928</v>
      </c>
      <c r="BZ2064" s="16">
        <f t="shared" si="534"/>
        <v>5.3018487906428343E-15</v>
      </c>
      <c r="CA2064" s="16">
        <f t="shared" si="541"/>
        <v>-999</v>
      </c>
      <c r="CE2064" s="16" t="e">
        <f t="shared" si="535"/>
        <v>#N/A</v>
      </c>
      <c r="CF2064" s="16">
        <f t="shared" si="536"/>
        <v>99</v>
      </c>
      <c r="CG2064" s="16">
        <f t="shared" si="537"/>
        <v>0</v>
      </c>
      <c r="CH2064" s="16">
        <f t="shared" si="544"/>
        <v>0</v>
      </c>
      <c r="CJ2064" s="16" t="e">
        <f t="shared" si="538"/>
        <v>#N/A</v>
      </c>
      <c r="CK2064" s="16" t="str">
        <f t="shared" si="539"/>
        <v/>
      </c>
    </row>
    <row r="2065" spans="73:89" ht="12" customHeight="1">
      <c r="BU2065" s="16">
        <f t="shared" si="540"/>
        <v>0</v>
      </c>
      <c r="BV2065" s="16">
        <f>IF($BY$12=1,NORMDIST(BY2065,$Y$6,$Y$8,TRUE),IF($BY$12=2,IF(BY2065&lt;=$BX$31,0,IF(BY2065&gt;=$BX$32,1,(BY2065-$BX$31)*$BX$33)),SUM($BU$42:BU2065)/$BV$40))</f>
        <v>0.99999999999998679</v>
      </c>
      <c r="BW2065" s="16">
        <f t="shared" si="542"/>
        <v>1.0325067190086365E-12</v>
      </c>
      <c r="BY2065" s="16">
        <f t="shared" si="543"/>
        <v>202.29999999999279</v>
      </c>
      <c r="BZ2065" s="16">
        <f t="shared" si="534"/>
        <v>5.1038394414665017E-15</v>
      </c>
      <c r="CA2065" s="16">
        <f t="shared" si="541"/>
        <v>-999</v>
      </c>
      <c r="CE2065" s="16" t="e">
        <f t="shared" si="535"/>
        <v>#N/A</v>
      </c>
      <c r="CF2065" s="16">
        <f t="shared" si="536"/>
        <v>99</v>
      </c>
      <c r="CG2065" s="16">
        <f t="shared" si="537"/>
        <v>0</v>
      </c>
      <c r="CH2065" s="16">
        <f t="shared" si="544"/>
        <v>0</v>
      </c>
      <c r="CJ2065" s="16" t="e">
        <f t="shared" si="538"/>
        <v>#N/A</v>
      </c>
      <c r="CK2065" s="16" t="str">
        <f t="shared" si="539"/>
        <v/>
      </c>
    </row>
    <row r="2066" spans="73:89" ht="12" customHeight="1">
      <c r="BU2066" s="16">
        <f t="shared" si="540"/>
        <v>0</v>
      </c>
      <c r="BV2066" s="16">
        <f>IF($BY$12=1,NORMDIST(BY2066,$Y$6,$Y$8,TRUE),IF($BY$12=2,IF(BY2066&lt;=$BX$31,0,IF(BY2066&gt;=$BX$32,1,(BY2066-$BX$31)*$BX$33)),SUM($BU$42:BU2066)/$BV$40))</f>
        <v>0.99999999999998734</v>
      </c>
      <c r="BW2066" s="16">
        <f t="shared" si="542"/>
        <v>9.9441191832488722E-13</v>
      </c>
      <c r="BY2066" s="16">
        <f t="shared" si="543"/>
        <v>202.39999999999279</v>
      </c>
      <c r="BZ2066" s="16">
        <f t="shared" si="534"/>
        <v>4.9131023632654279E-15</v>
      </c>
      <c r="CA2066" s="16">
        <f t="shared" si="541"/>
        <v>-999</v>
      </c>
      <c r="CE2066" s="16" t="e">
        <f t="shared" si="535"/>
        <v>#N/A</v>
      </c>
      <c r="CF2066" s="16">
        <f t="shared" si="536"/>
        <v>99</v>
      </c>
      <c r="CG2066" s="16">
        <f t="shared" si="537"/>
        <v>0</v>
      </c>
      <c r="CH2066" s="16">
        <f t="shared" si="544"/>
        <v>0</v>
      </c>
      <c r="CJ2066" s="16" t="e">
        <f t="shared" si="538"/>
        <v>#N/A</v>
      </c>
      <c r="CK2066" s="16" t="str">
        <f t="shared" si="539"/>
        <v/>
      </c>
    </row>
    <row r="2067" spans="73:89" ht="12" customHeight="1">
      <c r="BU2067" s="16">
        <f t="shared" si="540"/>
        <v>0</v>
      </c>
      <c r="BV2067" s="16">
        <f>IF($BY$12=1,NORMDIST(BY2067,$Y$6,$Y$8,TRUE),IF($BY$12=2,IF(BY2067&lt;=$BX$31,0,IF(BY2067&gt;=$BX$32,1,(BY2067-$BX$31)*$BX$33)),SUM($BU$42:BU2067)/$BV$40))</f>
        <v>0.99999999999998779</v>
      </c>
      <c r="BW2067" s="16">
        <f t="shared" si="542"/>
        <v>9.5769846593223466E-13</v>
      </c>
      <c r="BY2067" s="16">
        <f t="shared" si="543"/>
        <v>202.49999999999278</v>
      </c>
      <c r="BZ2067" s="16">
        <f t="shared" si="534"/>
        <v>4.7293751404062654E-15</v>
      </c>
      <c r="CA2067" s="16">
        <f t="shared" si="541"/>
        <v>-999</v>
      </c>
      <c r="CE2067" s="16" t="e">
        <f t="shared" si="535"/>
        <v>#N/A</v>
      </c>
      <c r="CF2067" s="16">
        <f t="shared" si="536"/>
        <v>99</v>
      </c>
      <c r="CG2067" s="16">
        <f t="shared" si="537"/>
        <v>0</v>
      </c>
      <c r="CH2067" s="16">
        <f t="shared" si="544"/>
        <v>0</v>
      </c>
      <c r="CJ2067" s="16" t="e">
        <f t="shared" si="538"/>
        <v>#N/A</v>
      </c>
      <c r="CK2067" s="16" t="str">
        <f t="shared" si="539"/>
        <v/>
      </c>
    </row>
    <row r="2068" spans="73:89" ht="12" customHeight="1">
      <c r="BU2068" s="16">
        <f t="shared" si="540"/>
        <v>0</v>
      </c>
      <c r="BV2068" s="16">
        <f>IF($BY$12=1,NORMDIST(BY2068,$Y$6,$Y$8,TRUE),IF($BY$12=2,IF(BY2068&lt;=$BX$31,0,IF(BY2068&gt;=$BX$32,1,(BY2068-$BX$31)*$BX$33)),SUM($BU$42:BU2068)/$BV$40))</f>
        <v>0.99999999999998823</v>
      </c>
      <c r="BW2068" s="16">
        <f t="shared" si="542"/>
        <v>9.2231718235786691E-13</v>
      </c>
      <c r="BY2068" s="16">
        <f t="shared" si="543"/>
        <v>202.59999999999278</v>
      </c>
      <c r="BZ2068" s="16">
        <f t="shared" si="534"/>
        <v>4.5524046513223087E-15</v>
      </c>
      <c r="CA2068" s="16">
        <f t="shared" si="541"/>
        <v>-999</v>
      </c>
      <c r="CE2068" s="16" t="e">
        <f t="shared" si="535"/>
        <v>#N/A</v>
      </c>
      <c r="CF2068" s="16">
        <f t="shared" si="536"/>
        <v>99</v>
      </c>
      <c r="CG2068" s="16">
        <f t="shared" si="537"/>
        <v>0</v>
      </c>
      <c r="CH2068" s="16">
        <f t="shared" si="544"/>
        <v>0</v>
      </c>
      <c r="CJ2068" s="16" t="e">
        <f t="shared" si="538"/>
        <v>#N/A</v>
      </c>
      <c r="CK2068" s="16" t="str">
        <f t="shared" si="539"/>
        <v/>
      </c>
    </row>
    <row r="2069" spans="73:89" ht="12" customHeight="1">
      <c r="BU2069" s="16">
        <f t="shared" si="540"/>
        <v>0</v>
      </c>
      <c r="BV2069" s="16">
        <f>IF($BY$12=1,NORMDIST(BY2069,$Y$6,$Y$8,TRUE),IF($BY$12=2,IF(BY2069&lt;=$BX$31,0,IF(BY2069&gt;=$BX$32,1,(BY2069-$BX$31)*$BX$33)),SUM($BU$42:BU2069)/$BV$40))</f>
        <v>0.99999999999998868</v>
      </c>
      <c r="BW2069" s="16">
        <f t="shared" si="542"/>
        <v>8.8822060537293215E-13</v>
      </c>
      <c r="BY2069" s="16">
        <f t="shared" si="543"/>
        <v>202.69999999999277</v>
      </c>
      <c r="BZ2069" s="16">
        <f t="shared" si="534"/>
        <v>4.3819467457965656E-15</v>
      </c>
      <c r="CA2069" s="16">
        <f t="shared" si="541"/>
        <v>-999</v>
      </c>
      <c r="CE2069" s="16" t="e">
        <f t="shared" si="535"/>
        <v>#N/A</v>
      </c>
      <c r="CF2069" s="16">
        <f t="shared" si="536"/>
        <v>99</v>
      </c>
      <c r="CG2069" s="16">
        <f t="shared" si="537"/>
        <v>0</v>
      </c>
      <c r="CH2069" s="16">
        <f t="shared" si="544"/>
        <v>0</v>
      </c>
      <c r="CJ2069" s="16" t="e">
        <f t="shared" si="538"/>
        <v>#N/A</v>
      </c>
      <c r="CK2069" s="16" t="str">
        <f t="shared" si="539"/>
        <v/>
      </c>
    </row>
    <row r="2070" spans="73:89" ht="12" customHeight="1">
      <c r="BU2070" s="16">
        <f t="shared" si="540"/>
        <v>0</v>
      </c>
      <c r="BV2070" s="16">
        <f>IF($BY$12=1,NORMDIST(BY2070,$Y$6,$Y$8,TRUE),IF($BY$12=2,IF(BY2070&lt;=$BX$31,0,IF(BY2070&gt;=$BX$32,1,(BY2070-$BX$31)*$BX$33)),SUM($BU$42:BU2070)/$BV$40))</f>
        <v>0.99999999999998912</v>
      </c>
      <c r="BW2070" s="16">
        <f t="shared" si="542"/>
        <v>8.5536293125636125E-13</v>
      </c>
      <c r="BY2070" s="16">
        <f t="shared" si="543"/>
        <v>202.79999999999276</v>
      </c>
      <c r="BZ2070" s="16">
        <f t="shared" si="534"/>
        <v>4.2177659332169218E-15</v>
      </c>
      <c r="CA2070" s="16">
        <f t="shared" si="541"/>
        <v>-999</v>
      </c>
      <c r="CE2070" s="16" t="e">
        <f t="shared" si="535"/>
        <v>#N/A</v>
      </c>
      <c r="CF2070" s="16">
        <f t="shared" si="536"/>
        <v>99</v>
      </c>
      <c r="CG2070" s="16">
        <f t="shared" si="537"/>
        <v>0</v>
      </c>
      <c r="CH2070" s="16">
        <f t="shared" si="544"/>
        <v>0</v>
      </c>
      <c r="CJ2070" s="16" t="e">
        <f t="shared" si="538"/>
        <v>#N/A</v>
      </c>
      <c r="CK2070" s="16" t="str">
        <f t="shared" si="539"/>
        <v/>
      </c>
    </row>
    <row r="2071" spans="73:89" ht="12" customHeight="1">
      <c r="BU2071" s="16">
        <f t="shared" si="540"/>
        <v>0</v>
      </c>
      <c r="BV2071" s="16">
        <f>IF($BY$12=1,NORMDIST(BY2071,$Y$6,$Y$8,TRUE),IF($BY$12=2,IF(BY2071&lt;=$BX$31,0,IF(BY2071&gt;=$BX$32,1,(BY2071-$BX$31)*$BX$33)),SUM($BU$42:BU2071)/$BV$40))</f>
        <v>0.99999999999998956</v>
      </c>
      <c r="BW2071" s="16">
        <f t="shared" si="542"/>
        <v>8.2369995802368888E-13</v>
      </c>
      <c r="BY2071" s="16">
        <f t="shared" si="543"/>
        <v>202.89999999999276</v>
      </c>
      <c r="BZ2071" s="16">
        <f t="shared" si="534"/>
        <v>4.0596350814377439E-15</v>
      </c>
      <c r="CA2071" s="16">
        <f t="shared" si="541"/>
        <v>-999</v>
      </c>
      <c r="CE2071" s="16" t="e">
        <f t="shared" si="535"/>
        <v>#N/A</v>
      </c>
      <c r="CF2071" s="16">
        <f t="shared" si="536"/>
        <v>99</v>
      </c>
      <c r="CG2071" s="16">
        <f t="shared" si="537"/>
        <v>0</v>
      </c>
      <c r="CH2071" s="16">
        <f t="shared" si="544"/>
        <v>0</v>
      </c>
      <c r="CJ2071" s="16" t="e">
        <f t="shared" si="538"/>
        <v>#N/A</v>
      </c>
      <c r="CK2071" s="16" t="str">
        <f t="shared" si="539"/>
        <v/>
      </c>
    </row>
    <row r="2072" spans="73:89" ht="12" customHeight="1">
      <c r="BU2072" s="16">
        <f t="shared" si="540"/>
        <v>0</v>
      </c>
      <c r="BV2072" s="16">
        <f>IF($BY$12=1,NORMDIST(BY2072,$Y$6,$Y$8,TRUE),IF($BY$12=2,IF(BY2072&lt;=$BX$31,0,IF(BY2072&gt;=$BX$32,1,(BY2072-$BX$31)*$BX$33)),SUM($BU$42:BU2072)/$BV$40))</f>
        <v>0.9999999999999899</v>
      </c>
      <c r="BW2072" s="16">
        <f t="shared" si="542"/>
        <v>7.9318903055682994E-13</v>
      </c>
      <c r="BY2072" s="16">
        <f t="shared" si="543"/>
        <v>202.99999999999275</v>
      </c>
      <c r="BZ2072" s="16">
        <f t="shared" si="534"/>
        <v>3.9073351258958535E-15</v>
      </c>
      <c r="CA2072" s="16">
        <f t="shared" si="541"/>
        <v>-999</v>
      </c>
      <c r="CE2072" s="16" t="e">
        <f t="shared" si="535"/>
        <v>#N/A</v>
      </c>
      <c r="CF2072" s="16">
        <f t="shared" si="536"/>
        <v>99</v>
      </c>
      <c r="CG2072" s="16">
        <f t="shared" si="537"/>
        <v>0</v>
      </c>
      <c r="CH2072" s="16">
        <f t="shared" si="544"/>
        <v>0</v>
      </c>
      <c r="CJ2072" s="16" t="e">
        <f t="shared" si="538"/>
        <v>#N/A</v>
      </c>
      <c r="CK2072" s="16" t="str">
        <f t="shared" si="539"/>
        <v/>
      </c>
    </row>
    <row r="2073" spans="73:89" ht="12" customHeight="1">
      <c r="BU2073" s="16">
        <f t="shared" si="540"/>
        <v>0</v>
      </c>
      <c r="BV2073" s="16">
        <f>IF($BY$12=1,NORMDIST(BY2073,$Y$6,$Y$8,TRUE),IF($BY$12=2,IF(BY2073&lt;=$BX$31,0,IF(BY2073&gt;=$BX$32,1,(BY2073-$BX$31)*$BX$33)),SUM($BU$42:BU2073)/$BV$40))</f>
        <v>0.99999999999999034</v>
      </c>
      <c r="BW2073" s="16">
        <f t="shared" si="542"/>
        <v>7.6378898757256111E-13</v>
      </c>
      <c r="BY2073" s="16">
        <f t="shared" si="543"/>
        <v>203.09999999999275</v>
      </c>
      <c r="BZ2073" s="16">
        <f t="shared" si="534"/>
        <v>3.7606547886390367E-15</v>
      </c>
      <c r="CA2073" s="16">
        <f t="shared" si="541"/>
        <v>-999</v>
      </c>
      <c r="CE2073" s="16" t="e">
        <f t="shared" si="535"/>
        <v>#N/A</v>
      </c>
      <c r="CF2073" s="16">
        <f t="shared" si="536"/>
        <v>99</v>
      </c>
      <c r="CG2073" s="16">
        <f t="shared" si="537"/>
        <v>0</v>
      </c>
      <c r="CH2073" s="16">
        <f t="shared" si="544"/>
        <v>0</v>
      </c>
      <c r="CJ2073" s="16" t="e">
        <f t="shared" si="538"/>
        <v>#N/A</v>
      </c>
      <c r="CK2073" s="16" t="str">
        <f t="shared" si="539"/>
        <v/>
      </c>
    </row>
    <row r="2074" spans="73:89" ht="12" customHeight="1">
      <c r="BU2074" s="16">
        <f t="shared" si="540"/>
        <v>0</v>
      </c>
      <c r="BV2074" s="16">
        <f>IF($BY$12=1,NORMDIST(BY2074,$Y$6,$Y$8,TRUE),IF($BY$12=2,IF(BY2074&lt;=$BX$31,0,IF(BY2074&gt;=$BX$32,1,(BY2074-$BX$31)*$BX$33)),SUM($BU$42:BU2074)/$BV$40))</f>
        <v>0.99999999999999067</v>
      </c>
      <c r="BW2074" s="16">
        <f t="shared" si="542"/>
        <v>7.3546011036958587E-13</v>
      </c>
      <c r="BY2074" s="16">
        <f t="shared" si="543"/>
        <v>203.19999999999274</v>
      </c>
      <c r="BZ2074" s="16">
        <f t="shared" si="534"/>
        <v>3.6193903069370675E-15</v>
      </c>
      <c r="CA2074" s="16">
        <f t="shared" si="541"/>
        <v>-999</v>
      </c>
      <c r="CE2074" s="16" t="e">
        <f t="shared" si="535"/>
        <v>#N/A</v>
      </c>
      <c r="CF2074" s="16">
        <f t="shared" si="536"/>
        <v>99</v>
      </c>
      <c r="CG2074" s="16">
        <f t="shared" si="537"/>
        <v>0</v>
      </c>
      <c r="CH2074" s="16">
        <f t="shared" si="544"/>
        <v>0</v>
      </c>
      <c r="CJ2074" s="16" t="e">
        <f t="shared" si="538"/>
        <v>#N/A</v>
      </c>
      <c r="CK2074" s="16" t="str">
        <f t="shared" si="539"/>
        <v/>
      </c>
    </row>
    <row r="2075" spans="73:89" ht="12" customHeight="1">
      <c r="BU2075" s="16">
        <f t="shared" si="540"/>
        <v>0</v>
      </c>
      <c r="BV2075" s="16">
        <f>IF($BY$12=1,NORMDIST(BY2075,$Y$6,$Y$8,TRUE),IF($BY$12=2,IF(BY2075&lt;=$BX$31,0,IF(BY2075&gt;=$BX$32,1,(BY2075-$BX$31)*$BX$33)),SUM($BU$42:BU2075)/$BV$40))</f>
        <v>0.99999999999999101</v>
      </c>
      <c r="BW2075" s="16">
        <f t="shared" si="542"/>
        <v>7.0816407329590405E-13</v>
      </c>
      <c r="BY2075" s="16">
        <f t="shared" si="543"/>
        <v>203.29999999999274</v>
      </c>
      <c r="BZ2075" s="16">
        <f t="shared" si="534"/>
        <v>3.4833451711555796E-15</v>
      </c>
      <c r="CA2075" s="16">
        <f t="shared" si="541"/>
        <v>-999</v>
      </c>
      <c r="CE2075" s="16" t="e">
        <f t="shared" si="535"/>
        <v>#N/A</v>
      </c>
      <c r="CF2075" s="16">
        <f t="shared" si="536"/>
        <v>99</v>
      </c>
      <c r="CG2075" s="16">
        <f t="shared" si="537"/>
        <v>0</v>
      </c>
      <c r="CH2075" s="16">
        <f t="shared" si="544"/>
        <v>0</v>
      </c>
      <c r="CJ2075" s="16" t="e">
        <f t="shared" si="538"/>
        <v>#N/A</v>
      </c>
      <c r="CK2075" s="16" t="str">
        <f t="shared" si="539"/>
        <v/>
      </c>
    </row>
    <row r="2076" spans="73:89" ht="12" customHeight="1">
      <c r="BU2076" s="16">
        <f t="shared" si="540"/>
        <v>0</v>
      </c>
      <c r="BV2076" s="16">
        <f>IF($BY$12=1,NORMDIST(BY2076,$Y$6,$Y$8,TRUE),IF($BY$12=2,IF(BY2076&lt;=$BX$31,0,IF(BY2076&gt;=$BX$32,1,(BY2076-$BX$31)*$BX$33)),SUM($BU$42:BU2076)/$BV$40))</f>
        <v>0.99999999999999145</v>
      </c>
      <c r="BW2076" s="16">
        <f t="shared" si="542"/>
        <v>6.8186389588007036E-13</v>
      </c>
      <c r="BY2076" s="16">
        <f t="shared" si="543"/>
        <v>203.39999999999273</v>
      </c>
      <c r="BZ2076" s="16">
        <f t="shared" si="534"/>
        <v>3.3523298715835533E-15</v>
      </c>
      <c r="CA2076" s="16">
        <f t="shared" si="541"/>
        <v>-999</v>
      </c>
      <c r="CE2076" s="16" t="e">
        <f t="shared" si="535"/>
        <v>#N/A</v>
      </c>
      <c r="CF2076" s="16">
        <f t="shared" si="536"/>
        <v>99</v>
      </c>
      <c r="CG2076" s="16">
        <f t="shared" si="537"/>
        <v>0</v>
      </c>
      <c r="CH2076" s="16">
        <f t="shared" si="544"/>
        <v>0</v>
      </c>
      <c r="CJ2076" s="16" t="e">
        <f t="shared" si="538"/>
        <v>#N/A</v>
      </c>
      <c r="CK2076" s="16" t="str">
        <f t="shared" si="539"/>
        <v/>
      </c>
    </row>
    <row r="2077" spans="73:89" ht="12" customHeight="1">
      <c r="BU2077" s="16">
        <f t="shared" si="540"/>
        <v>0</v>
      </c>
      <c r="BV2077" s="16">
        <f>IF($BY$12=1,NORMDIST(BY2077,$Y$6,$Y$8,TRUE),IF($BY$12=2,IF(BY2077&lt;=$BX$31,0,IF(BY2077&gt;=$BX$32,1,(BY2077-$BX$31)*$BX$33)),SUM($BU$42:BU2077)/$BV$40))</f>
        <v>0.99999999999999178</v>
      </c>
      <c r="BW2077" s="16">
        <f t="shared" si="542"/>
        <v>6.5652389657179614E-13</v>
      </c>
      <c r="BY2077" s="16">
        <f t="shared" si="543"/>
        <v>203.49999999999272</v>
      </c>
      <c r="BZ2077" s="16">
        <f t="shared" si="534"/>
        <v>3.2261616539155754E-15</v>
      </c>
      <c r="CA2077" s="16">
        <f t="shared" si="541"/>
        <v>-999</v>
      </c>
      <c r="CE2077" s="16" t="e">
        <f t="shared" si="535"/>
        <v>#N/A</v>
      </c>
      <c r="CF2077" s="16">
        <f t="shared" si="536"/>
        <v>99</v>
      </c>
      <c r="CG2077" s="16">
        <f t="shared" si="537"/>
        <v>0</v>
      </c>
      <c r="CH2077" s="16">
        <f t="shared" si="544"/>
        <v>0</v>
      </c>
      <c r="CJ2077" s="16" t="e">
        <f t="shared" si="538"/>
        <v>#N/A</v>
      </c>
      <c r="CK2077" s="16" t="str">
        <f t="shared" si="539"/>
        <v/>
      </c>
    </row>
    <row r="2078" spans="73:89" ht="12" customHeight="1">
      <c r="BU2078" s="16">
        <f t="shared" si="540"/>
        <v>0</v>
      </c>
      <c r="BV2078" s="16">
        <f>IF($BY$12=1,NORMDIST(BY2078,$Y$6,$Y$8,TRUE),IF($BY$12=2,IF(BY2078&lt;=$BX$31,0,IF(BY2078&gt;=$BX$32,1,(BY2078-$BX$31)*$BX$33)),SUM($BU$42:BU2078)/$BV$40))</f>
        <v>0.99999999999999201</v>
      </c>
      <c r="BW2078" s="16">
        <f t="shared" si="542"/>
        <v>6.3210964803899682E-13</v>
      </c>
      <c r="BY2078" s="16">
        <f t="shared" si="543"/>
        <v>203.59999999999272</v>
      </c>
      <c r="BZ2078" s="16">
        <f t="shared" si="534"/>
        <v>3.1046642830993093E-15</v>
      </c>
      <c r="CA2078" s="16">
        <f t="shared" si="541"/>
        <v>-999</v>
      </c>
      <c r="CE2078" s="16" t="e">
        <f t="shared" si="535"/>
        <v>#N/A</v>
      </c>
      <c r="CF2078" s="16">
        <f t="shared" si="536"/>
        <v>99</v>
      </c>
      <c r="CG2078" s="16">
        <f t="shared" si="537"/>
        <v>0</v>
      </c>
      <c r="CH2078" s="16">
        <f t="shared" si="544"/>
        <v>0</v>
      </c>
      <c r="CJ2078" s="16" t="e">
        <f t="shared" si="538"/>
        <v>#N/A</v>
      </c>
      <c r="CK2078" s="16" t="str">
        <f t="shared" si="539"/>
        <v/>
      </c>
    </row>
    <row r="2079" spans="73:89" ht="12" customHeight="1">
      <c r="BU2079" s="16">
        <f t="shared" si="540"/>
        <v>0</v>
      </c>
      <c r="BV2079" s="16">
        <f>IF($BY$12=1,NORMDIST(BY2079,$Y$6,$Y$8,TRUE),IF($BY$12=2,IF(BY2079&lt;=$BX$31,0,IF(BY2079&gt;=$BX$32,1,(BY2079-$BX$31)*$BX$33)),SUM($BU$42:BU2079)/$BV$40))</f>
        <v>0.99999999999999234</v>
      </c>
      <c r="BW2079" s="16">
        <f t="shared" si="542"/>
        <v>6.0858793397016684E-13</v>
      </c>
      <c r="BY2079" s="16">
        <f t="shared" si="543"/>
        <v>203.69999999999271</v>
      </c>
      <c r="BZ2079" s="16">
        <f t="shared" si="534"/>
        <v>2.9876678152684765E-15</v>
      </c>
      <c r="CA2079" s="16">
        <f t="shared" si="541"/>
        <v>-999</v>
      </c>
      <c r="CE2079" s="16" t="e">
        <f t="shared" si="535"/>
        <v>#N/A</v>
      </c>
      <c r="CF2079" s="16">
        <f t="shared" si="536"/>
        <v>99</v>
      </c>
      <c r="CG2079" s="16">
        <f t="shared" si="537"/>
        <v>0</v>
      </c>
      <c r="CH2079" s="16">
        <f t="shared" si="544"/>
        <v>0</v>
      </c>
      <c r="CJ2079" s="16" t="e">
        <f t="shared" si="538"/>
        <v>#N/A</v>
      </c>
      <c r="CK2079" s="16" t="str">
        <f t="shared" si="539"/>
        <v/>
      </c>
    </row>
    <row r="2080" spans="73:89" ht="12" customHeight="1">
      <c r="BU2080" s="16">
        <f t="shared" si="540"/>
        <v>0</v>
      </c>
      <c r="BV2080" s="16">
        <f>IF($BY$12=1,NORMDIST(BY2080,$Y$6,$Y$8,TRUE),IF($BY$12=2,IF(BY2080&lt;=$BX$31,0,IF(BY2080&gt;=$BX$32,1,(BY2080-$BX$31)*$BX$33)),SUM($BU$42:BU2080)/$BV$40))</f>
        <v>0.99999999999999267</v>
      </c>
      <c r="BW2080" s="16">
        <f t="shared" si="542"/>
        <v>5.8592670733255316E-13</v>
      </c>
      <c r="BY2080" s="16">
        <f t="shared" si="543"/>
        <v>203.79999999999271</v>
      </c>
      <c r="BZ2080" s="16">
        <f t="shared" si="534"/>
        <v>2.8750083774905503E-15</v>
      </c>
      <c r="CA2080" s="16">
        <f t="shared" si="541"/>
        <v>-999</v>
      </c>
      <c r="CE2080" s="16" t="e">
        <f t="shared" si="535"/>
        <v>#N/A</v>
      </c>
      <c r="CF2080" s="16">
        <f t="shared" si="536"/>
        <v>99</v>
      </c>
      <c r="CG2080" s="16">
        <f t="shared" si="537"/>
        <v>0</v>
      </c>
      <c r="CH2080" s="16">
        <f t="shared" si="544"/>
        <v>0</v>
      </c>
      <c r="CJ2080" s="16" t="e">
        <f t="shared" si="538"/>
        <v>#N/A</v>
      </c>
      <c r="CK2080" s="16" t="str">
        <f t="shared" si="539"/>
        <v/>
      </c>
    </row>
    <row r="2081" spans="73:89" ht="12" customHeight="1">
      <c r="BU2081" s="16">
        <f t="shared" si="540"/>
        <v>0</v>
      </c>
      <c r="BV2081" s="16">
        <f>IF($BY$12=1,NORMDIST(BY2081,$Y$6,$Y$8,TRUE),IF($BY$12=2,IF(BY2081&lt;=$BX$31,0,IF(BY2081&gt;=$BX$32,1,(BY2081-$BX$31)*$BX$33)),SUM($BU$42:BU2081)/$BV$40))</f>
        <v>0.99999999999999289</v>
      </c>
      <c r="BW2081" s="16">
        <f t="shared" si="542"/>
        <v>5.6409505003816548E-13</v>
      </c>
      <c r="BY2081" s="16">
        <f t="shared" si="543"/>
        <v>203.8999999999927</v>
      </c>
      <c r="BZ2081" s="16">
        <f t="shared" si="534"/>
        <v>2.7665279550671194E-15</v>
      </c>
      <c r="CA2081" s="16">
        <f t="shared" si="541"/>
        <v>-999</v>
      </c>
      <c r="CE2081" s="16" t="e">
        <f t="shared" si="535"/>
        <v>#N/A</v>
      </c>
      <c r="CF2081" s="16">
        <f t="shared" si="536"/>
        <v>99</v>
      </c>
      <c r="CG2081" s="16">
        <f t="shared" si="537"/>
        <v>0</v>
      </c>
      <c r="CH2081" s="16">
        <f t="shared" si="544"/>
        <v>0</v>
      </c>
      <c r="CJ2081" s="16" t="e">
        <f t="shared" si="538"/>
        <v>#N/A</v>
      </c>
      <c r="CK2081" s="16" t="str">
        <f t="shared" si="539"/>
        <v/>
      </c>
    </row>
    <row r="2082" spans="73:89" ht="12" customHeight="1">
      <c r="BU2082" s="16">
        <f t="shared" si="540"/>
        <v>0</v>
      </c>
      <c r="BV2082" s="16">
        <f>IF($BY$12=1,NORMDIST(BY2082,$Y$6,$Y$8,TRUE),IF($BY$12=2,IF(BY2082&lt;=$BX$31,0,IF(BY2082&gt;=$BX$32,1,(BY2082-$BX$31)*$BX$33)),SUM($BU$42:BU2082)/$BV$40))</f>
        <v>0.99999999999999323</v>
      </c>
      <c r="BW2082" s="16">
        <f t="shared" si="542"/>
        <v>5.430631339713087E-13</v>
      </c>
      <c r="BY2082" s="16">
        <f t="shared" si="543"/>
        <v>203.9999999999927</v>
      </c>
      <c r="BZ2082" s="16">
        <f t="shared" si="534"/>
        <v>2.6620741861339614E-15</v>
      </c>
      <c r="CA2082" s="16">
        <f t="shared" si="541"/>
        <v>-999</v>
      </c>
      <c r="CE2082" s="16" t="e">
        <f t="shared" si="535"/>
        <v>#N/A</v>
      </c>
      <c r="CF2082" s="16">
        <f t="shared" si="536"/>
        <v>99</v>
      </c>
      <c r="CG2082" s="16">
        <f t="shared" si="537"/>
        <v>0</v>
      </c>
      <c r="CH2082" s="16">
        <f t="shared" si="544"/>
        <v>0</v>
      </c>
      <c r="CJ2082" s="16" t="e">
        <f t="shared" si="538"/>
        <v>#N/A</v>
      </c>
      <c r="CK2082" s="16" t="str">
        <f t="shared" si="539"/>
        <v/>
      </c>
    </row>
    <row r="2083" spans="73:89" ht="12" customHeight="1">
      <c r="BU2083" s="16">
        <f t="shared" si="540"/>
        <v>0</v>
      </c>
      <c r="BV2083" s="16">
        <f>IF($BY$12=1,NORMDIST(BY2083,$Y$6,$Y$8,TRUE),IF($BY$12=2,IF(BY2083&lt;=$BX$31,0,IF(BY2083&gt;=$BX$32,1,(BY2083-$BX$31)*$BX$33)),SUM($BU$42:BU2083)/$BV$40))</f>
        <v>0.99999999999999345</v>
      </c>
      <c r="BW2083" s="16">
        <f t="shared" si="542"/>
        <v>5.2280218333265529E-13</v>
      </c>
      <c r="BY2083" s="16">
        <f t="shared" si="543"/>
        <v>204.09999999999269</v>
      </c>
      <c r="BZ2083" s="16">
        <f t="shared" si="534"/>
        <v>2.5615001633154044E-15</v>
      </c>
      <c r="CA2083" s="16">
        <f t="shared" si="541"/>
        <v>-999</v>
      </c>
      <c r="CE2083" s="16" t="e">
        <f t="shared" si="535"/>
        <v>#N/A</v>
      </c>
      <c r="CF2083" s="16">
        <f t="shared" si="536"/>
        <v>99</v>
      </c>
      <c r="CG2083" s="16">
        <f t="shared" si="537"/>
        <v>0</v>
      </c>
      <c r="CH2083" s="16">
        <f t="shared" si="544"/>
        <v>0</v>
      </c>
      <c r="CJ2083" s="16" t="e">
        <f t="shared" si="538"/>
        <v>#N/A</v>
      </c>
      <c r="CK2083" s="16" t="str">
        <f t="shared" si="539"/>
        <v/>
      </c>
    </row>
    <row r="2084" spans="73:89" ht="12" customHeight="1">
      <c r="BU2084" s="16">
        <f t="shared" si="540"/>
        <v>0</v>
      </c>
      <c r="BV2084" s="16">
        <f>IF($BY$12=1,NORMDIST(BY2084,$Y$6,$Y$8,TRUE),IF($BY$12=2,IF(BY2084&lt;=$BX$31,0,IF(BY2084&gt;=$BX$32,1,(BY2084-$BX$31)*$BX$33)),SUM($BU$42:BU2084)/$BV$40))</f>
        <v>0.99999999999999367</v>
      </c>
      <c r="BW2084" s="16">
        <f t="shared" si="542"/>
        <v>5.0328443825645403E-13</v>
      </c>
      <c r="BY2084" s="16">
        <f t="shared" si="543"/>
        <v>204.19999999999268</v>
      </c>
      <c r="BZ2084" s="16">
        <f t="shared" si="534"/>
        <v>2.4646642421962394E-15</v>
      </c>
      <c r="CA2084" s="16">
        <f t="shared" si="541"/>
        <v>-999</v>
      </c>
      <c r="CE2084" s="16" t="e">
        <f t="shared" si="535"/>
        <v>#N/A</v>
      </c>
      <c r="CF2084" s="16">
        <f t="shared" si="536"/>
        <v>99</v>
      </c>
      <c r="CG2084" s="16">
        <f t="shared" si="537"/>
        <v>0</v>
      </c>
      <c r="CH2084" s="16">
        <f t="shared" si="544"/>
        <v>0</v>
      </c>
      <c r="CJ2084" s="16" t="e">
        <f t="shared" si="538"/>
        <v>#N/A</v>
      </c>
      <c r="CK2084" s="16" t="str">
        <f t="shared" si="539"/>
        <v/>
      </c>
    </row>
    <row r="2085" spans="73:89" ht="12" customHeight="1">
      <c r="BU2085" s="16">
        <f t="shared" si="540"/>
        <v>0</v>
      </c>
      <c r="BV2085" s="16">
        <f>IF($BY$12=1,NORMDIST(BY2085,$Y$6,$Y$8,TRUE),IF($BY$12=2,IF(BY2085&lt;=$BX$31,0,IF(BY2085&gt;=$BX$32,1,(BY2085-$BX$31)*$BX$33)),SUM($BU$42:BU2085)/$BV$40))</f>
        <v>0.999999999999994</v>
      </c>
      <c r="BW2085" s="16">
        <f t="shared" si="542"/>
        <v>4.8448311965881204E-13</v>
      </c>
      <c r="BY2085" s="16">
        <f t="shared" si="543"/>
        <v>204.29999999999268</v>
      </c>
      <c r="BZ2085" s="16">
        <f t="shared" si="534"/>
        <v>2.3714298563819356E-15</v>
      </c>
      <c r="CA2085" s="16">
        <f t="shared" si="541"/>
        <v>-999</v>
      </c>
      <c r="CE2085" s="16" t="e">
        <f t="shared" si="535"/>
        <v>#N/A</v>
      </c>
      <c r="CF2085" s="16">
        <f t="shared" si="536"/>
        <v>99</v>
      </c>
      <c r="CG2085" s="16">
        <f t="shared" si="537"/>
        <v>0</v>
      </c>
      <c r="CH2085" s="16">
        <f t="shared" si="544"/>
        <v>0</v>
      </c>
      <c r="CJ2085" s="16" t="e">
        <f t="shared" si="538"/>
        <v>#N/A</v>
      </c>
      <c r="CK2085" s="16" t="str">
        <f t="shared" si="539"/>
        <v/>
      </c>
    </row>
    <row r="2086" spans="73:89" ht="12" customHeight="1">
      <c r="BU2086" s="16">
        <f t="shared" si="540"/>
        <v>0</v>
      </c>
      <c r="BV2086" s="16">
        <f>IF($BY$12=1,NORMDIST(BY2086,$Y$6,$Y$8,TRUE),IF($BY$12=2,IF(BY2086&lt;=$BX$31,0,IF(BY2086&gt;=$BX$32,1,(BY2086-$BX$31)*$BX$33)),SUM($BU$42:BU2086)/$BV$40))</f>
        <v>0.99999999999999423</v>
      </c>
      <c r="BW2086" s="16">
        <f t="shared" si="542"/>
        <v>4.6637239527633496E-13</v>
      </c>
      <c r="BY2086" s="16">
        <f t="shared" si="543"/>
        <v>204.39999999999267</v>
      </c>
      <c r="BZ2086" s="16">
        <f t="shared" si="534"/>
        <v>2.2816653389253998E-15</v>
      </c>
      <c r="CA2086" s="16">
        <f t="shared" si="541"/>
        <v>-999</v>
      </c>
      <c r="CE2086" s="16" t="e">
        <f t="shared" si="535"/>
        <v>#N/A</v>
      </c>
      <c r="CF2086" s="16">
        <f t="shared" si="536"/>
        <v>99</v>
      </c>
      <c r="CG2086" s="16">
        <f t="shared" si="537"/>
        <v>0</v>
      </c>
      <c r="CH2086" s="16">
        <f t="shared" si="544"/>
        <v>0</v>
      </c>
      <c r="CJ2086" s="16" t="e">
        <f t="shared" si="538"/>
        <v>#N/A</v>
      </c>
      <c r="CK2086" s="16" t="str">
        <f t="shared" si="539"/>
        <v/>
      </c>
    </row>
    <row r="2087" spans="73:89" ht="12" customHeight="1">
      <c r="BU2087" s="16">
        <f t="shared" si="540"/>
        <v>0</v>
      </c>
      <c r="BV2087" s="16">
        <f>IF($BY$12=1,NORMDIST(BY2087,$Y$6,$Y$8,TRUE),IF($BY$12=2,IF(BY2087&lt;=$BX$31,0,IF(BY2087&gt;=$BX$32,1,(BY2087-$BX$31)*$BX$33)),SUM($BU$42:BU2087)/$BV$40))</f>
        <v>0.99999999999999445</v>
      </c>
      <c r="BW2087" s="16">
        <f t="shared" si="542"/>
        <v>4.4892734685571748E-13</v>
      </c>
      <c r="BY2087" s="16">
        <f t="shared" si="543"/>
        <v>204.49999999999267</v>
      </c>
      <c r="BZ2087" s="16">
        <f t="shared" si="534"/>
        <v>2.1952437499057878E-15</v>
      </c>
      <c r="CA2087" s="16">
        <f t="shared" si="541"/>
        <v>-999</v>
      </c>
      <c r="CE2087" s="16" t="e">
        <f t="shared" si="535"/>
        <v>#N/A</v>
      </c>
      <c r="CF2087" s="16">
        <f t="shared" si="536"/>
        <v>99</v>
      </c>
      <c r="CG2087" s="16">
        <f t="shared" si="537"/>
        <v>0</v>
      </c>
      <c r="CH2087" s="16">
        <f t="shared" si="544"/>
        <v>0</v>
      </c>
      <c r="CJ2087" s="16" t="e">
        <f t="shared" si="538"/>
        <v>#N/A</v>
      </c>
      <c r="CK2087" s="16" t="str">
        <f t="shared" si="539"/>
        <v/>
      </c>
    </row>
    <row r="2088" spans="73:89" ht="12" customHeight="1">
      <c r="BU2088" s="16">
        <f t="shared" si="540"/>
        <v>0</v>
      </c>
      <c r="BV2088" s="16">
        <f>IF($BY$12=1,NORMDIST(BY2088,$Y$6,$Y$8,TRUE),IF($BY$12=2,IF(BY2088&lt;=$BX$31,0,IF(BY2088&gt;=$BX$32,1,(BY2088-$BX$31)*$BX$33)),SUM($BU$42:BU2088)/$BV$40))</f>
        <v>0.99999999999999467</v>
      </c>
      <c r="BW2088" s="16">
        <f t="shared" si="542"/>
        <v>4.3212393845623445E-13</v>
      </c>
      <c r="BY2088" s="16">
        <f t="shared" si="543"/>
        <v>204.59999999999266</v>
      </c>
      <c r="BZ2088" s="16">
        <f t="shared" si="534"/>
        <v>2.1120427099523459E-15</v>
      </c>
      <c r="CA2088" s="16">
        <f t="shared" si="541"/>
        <v>-999</v>
      </c>
      <c r="CE2088" s="16" t="e">
        <f t="shared" si="535"/>
        <v>#N/A</v>
      </c>
      <c r="CF2088" s="16">
        <f t="shared" si="536"/>
        <v>99</v>
      </c>
      <c r="CG2088" s="16">
        <f t="shared" si="537"/>
        <v>0</v>
      </c>
      <c r="CH2088" s="16">
        <f t="shared" si="544"/>
        <v>0</v>
      </c>
      <c r="CJ2088" s="16" t="e">
        <f t="shared" si="538"/>
        <v>#N/A</v>
      </c>
      <c r="CK2088" s="16" t="str">
        <f t="shared" si="539"/>
        <v/>
      </c>
    </row>
    <row r="2089" spans="73:89" ht="12" customHeight="1">
      <c r="BU2089" s="16">
        <f t="shared" si="540"/>
        <v>0</v>
      </c>
      <c r="BV2089" s="16">
        <f>IF($BY$12=1,NORMDIST(BY2089,$Y$6,$Y$8,TRUE),IF($BY$12=2,IF(BY2089&lt;=$BX$31,0,IF(BY2089&gt;=$BX$32,1,(BY2089-$BX$31)*$BX$33)),SUM($BU$42:BU2089)/$BV$40))</f>
        <v>0.99999999999999478</v>
      </c>
      <c r="BW2089" s="16">
        <f t="shared" si="542"/>
        <v>4.1593898582816818E-13</v>
      </c>
      <c r="BY2089" s="16">
        <f t="shared" si="543"/>
        <v>204.69999999999266</v>
      </c>
      <c r="BZ2089" s="16">
        <f t="shared" si="534"/>
        <v>2.0319442395123748E-15</v>
      </c>
      <c r="CA2089" s="16">
        <f t="shared" si="541"/>
        <v>-999</v>
      </c>
      <c r="CE2089" s="16" t="e">
        <f t="shared" si="535"/>
        <v>#N/A</v>
      </c>
      <c r="CF2089" s="16">
        <f t="shared" si="536"/>
        <v>99</v>
      </c>
      <c r="CG2089" s="16">
        <f t="shared" si="537"/>
        <v>0</v>
      </c>
      <c r="CH2089" s="16">
        <f t="shared" si="544"/>
        <v>0</v>
      </c>
      <c r="CJ2089" s="16" t="e">
        <f t="shared" si="538"/>
        <v>#N/A</v>
      </c>
      <c r="CK2089" s="16" t="str">
        <f t="shared" si="539"/>
        <v/>
      </c>
    </row>
    <row r="2090" spans="73:89" ht="12" customHeight="1">
      <c r="BU2090" s="16">
        <f t="shared" si="540"/>
        <v>0</v>
      </c>
      <c r="BV2090" s="16">
        <f>IF($BY$12=1,NORMDIST(BY2090,$Y$6,$Y$8,TRUE),IF($BY$12=2,IF(BY2090&lt;=$BX$31,0,IF(BY2090&gt;=$BX$32,1,(BY2090-$BX$31)*$BX$33)),SUM($BU$42:BU2090)/$BV$40))</f>
        <v>0.999999999999995</v>
      </c>
      <c r="BW2090" s="16">
        <f t="shared" si="542"/>
        <v>4.0035012683151664E-13</v>
      </c>
      <c r="BY2090" s="16">
        <f t="shared" si="543"/>
        <v>204.79999999999265</v>
      </c>
      <c r="BZ2090" s="16">
        <f t="shared" ref="BZ2090:BZ2153" si="545">IF($BZ$5,IF($BY$12=1,NORMDIST(BY2090,$Y$6,$Y$8,FALSE),IF($BY$12=2,IF(AND(BY2090&gt;=$BX$31,BY2090&lt;=$BX$32),$BX$33,0),IF(BY2090&lt;=$BX$13,0,NORMDIST(LN((BY2090-$BX$13)/$BX$12),0,$BW$8,FALSE)/((BY2090-$BX$13)/$BX$12)))),-999)</f>
        <v>1.9548346036695851E-15</v>
      </c>
      <c r="CA2090" s="16">
        <f t="shared" si="541"/>
        <v>-999</v>
      </c>
      <c r="CE2090" s="16" t="e">
        <f t="shared" ref="CE2090:CE2153" si="546">IF(AND($CB$7,$CD$2,$CD$1),26+$P$23/2-CC2090*$P$23,NA())</f>
        <v>#N/A</v>
      </c>
      <c r="CF2090" s="16">
        <f t="shared" ref="CF2090:CF2153" si="547">IF(ISNA(CJ2090),99,CJ2090)</f>
        <v>99</v>
      </c>
      <c r="CG2090" s="16">
        <f t="shared" ref="CG2090:CG2153" si="548">IF(ISNA(CJ2090),0,CJ2090)</f>
        <v>0</v>
      </c>
      <c r="CH2090" s="16">
        <f t="shared" si="544"/>
        <v>0</v>
      </c>
      <c r="CJ2090" s="16" t="e">
        <f t="shared" ref="CJ2090:CJ2153" si="549">IF(CH2090=1,CE2090,NA())</f>
        <v>#N/A</v>
      </c>
      <c r="CK2090" s="16" t="str">
        <f t="shared" ref="CK2090:CK2153" si="550">IF(CH2090=1,M1989,"")</f>
        <v/>
      </c>
    </row>
    <row r="2091" spans="73:89" ht="12" customHeight="1">
      <c r="BU2091" s="16">
        <f t="shared" ref="BU2091:BU2154" si="551">IF($BY$12&lt;3,0,IF(BY2091&lt;=$BX$13,0,NORMDIST(LN((BY2091-$BX$13)/$BX$12),0,$BW$8,FALSE)/((BY2091-$BX$13)/$BX$12)))</f>
        <v>0</v>
      </c>
      <c r="BV2091" s="16">
        <f>IF($BY$12=1,NORMDIST(BY2091,$Y$6,$Y$8,TRUE),IF($BY$12=2,IF(BY2091&lt;=$BX$31,0,IF(BY2091&gt;=$BX$32,1,(BY2091-$BX$31)*$BX$33)),SUM($BU$42:BU2091)/$BV$40))</f>
        <v>0.99999999999999523</v>
      </c>
      <c r="BW2091" s="16">
        <f t="shared" si="542"/>
        <v>3.8533579286045267E-13</v>
      </c>
      <c r="BY2091" s="16">
        <f t="shared" si="543"/>
        <v>204.89999999999264</v>
      </c>
      <c r="BZ2091" s="16">
        <f t="shared" si="545"/>
        <v>1.8806041623253611E-15</v>
      </c>
      <c r="CA2091" s="16">
        <f t="shared" ref="CA2091:CA2154" si="552">IF(AND($CD$1,$CD$3),26-$CD$40*NORMDIST(BY2091,$Y$6,$Y$8/SQRT($T$18),FALSE),-999)</f>
        <v>-999</v>
      </c>
      <c r="CE2091" s="16" t="e">
        <f t="shared" si="546"/>
        <v>#N/A</v>
      </c>
      <c r="CF2091" s="16">
        <f t="shared" si="547"/>
        <v>99</v>
      </c>
      <c r="CG2091" s="16">
        <f t="shared" si="548"/>
        <v>0</v>
      </c>
      <c r="CH2091" s="16">
        <f t="shared" si="544"/>
        <v>0</v>
      </c>
      <c r="CJ2091" s="16" t="e">
        <f t="shared" si="549"/>
        <v>#N/A</v>
      </c>
      <c r="CK2091" s="16" t="str">
        <f t="shared" si="550"/>
        <v/>
      </c>
    </row>
    <row r="2092" spans="73:89" ht="12" customHeight="1">
      <c r="BU2092" s="16">
        <f t="shared" si="551"/>
        <v>0</v>
      </c>
      <c r="BV2092" s="16">
        <f>IF($BY$12=1,NORMDIST(BY2092,$Y$6,$Y$8,TRUE),IF($BY$12=2,IF(BY2092&lt;=$BX$31,0,IF(BY2092&gt;=$BX$32,1,(BY2092-$BX$31)*$BX$33)),SUM($BU$42:BU2092)/$BV$40))</f>
        <v>0.99999999999999545</v>
      </c>
      <c r="BW2092" s="16">
        <f t="shared" si="542"/>
        <v>3.708751812400778E-13</v>
      </c>
      <c r="BY2092" s="16">
        <f t="shared" si="543"/>
        <v>204.99999999999264</v>
      </c>
      <c r="BZ2092" s="16">
        <f t="shared" si="545"/>
        <v>1.80914722556142E-15</v>
      </c>
      <c r="CA2092" s="16">
        <f t="shared" si="552"/>
        <v>-999</v>
      </c>
      <c r="CE2092" s="16" t="e">
        <f t="shared" si="546"/>
        <v>#N/A</v>
      </c>
      <c r="CF2092" s="16">
        <f t="shared" si="547"/>
        <v>99</v>
      </c>
      <c r="CG2092" s="16">
        <f t="shared" si="548"/>
        <v>0</v>
      </c>
      <c r="CH2092" s="16">
        <f t="shared" si="544"/>
        <v>0</v>
      </c>
      <c r="CJ2092" s="16" t="e">
        <f t="shared" si="549"/>
        <v>#N/A</v>
      </c>
      <c r="CK2092" s="16" t="str">
        <f t="shared" si="550"/>
        <v/>
      </c>
    </row>
    <row r="2093" spans="73:89" ht="12" customHeight="1">
      <c r="BU2093" s="16">
        <f t="shared" si="551"/>
        <v>0</v>
      </c>
      <c r="BV2093" s="16">
        <f>IF($BY$12=1,NORMDIST(BY2093,$Y$6,$Y$8,TRUE),IF($BY$12=2,IF(BY2093&lt;=$BX$31,0,IF(BY2093&gt;=$BX$32,1,(BY2093-$BX$31)*$BX$33)),SUM($BU$42:BU2093)/$BV$40))</f>
        <v>0.99999999999999556</v>
      </c>
      <c r="BW2093" s="16">
        <f t="shared" si="542"/>
        <v>3.5694822856317282E-13</v>
      </c>
      <c r="BY2093" s="16">
        <f t="shared" si="543"/>
        <v>205.09999999999263</v>
      </c>
      <c r="BZ2093" s="16">
        <f t="shared" si="545"/>
        <v>1.7403619140087063E-15</v>
      </c>
      <c r="CA2093" s="16">
        <f t="shared" si="552"/>
        <v>-999</v>
      </c>
      <c r="CE2093" s="16" t="e">
        <f t="shared" si="546"/>
        <v>#N/A</v>
      </c>
      <c r="CF2093" s="16">
        <f t="shared" si="547"/>
        <v>99</v>
      </c>
      <c r="CG2093" s="16">
        <f t="shared" si="548"/>
        <v>0</v>
      </c>
      <c r="CH2093" s="16">
        <f t="shared" si="544"/>
        <v>0</v>
      </c>
      <c r="CJ2093" s="16" t="e">
        <f t="shared" si="549"/>
        <v>#N/A</v>
      </c>
      <c r="CK2093" s="16" t="str">
        <f t="shared" si="550"/>
        <v/>
      </c>
    </row>
    <row r="2094" spans="73:89" ht="12" customHeight="1">
      <c r="BU2094" s="16">
        <f t="shared" si="551"/>
        <v>0</v>
      </c>
      <c r="BV2094" s="16">
        <f>IF($BY$12=1,NORMDIST(BY2094,$Y$6,$Y$8,TRUE),IF($BY$12=2,IF(BY2094&lt;=$BX$31,0,IF(BY2094&gt;=$BX$32,1,(BY2094-$BX$31)*$BX$33)),SUM($BU$42:BU2094)/$BV$40))</f>
        <v>0.99999999999999578</v>
      </c>
      <c r="BW2094" s="16">
        <f t="shared" si="542"/>
        <v>3.4353558493562615E-13</v>
      </c>
      <c r="BY2094" s="16">
        <f t="shared" si="543"/>
        <v>205.19999999999263</v>
      </c>
      <c r="BZ2094" s="16">
        <f t="shared" si="545"/>
        <v>1.674150024052819E-15</v>
      </c>
      <c r="CA2094" s="16">
        <f t="shared" si="552"/>
        <v>-999</v>
      </c>
      <c r="CE2094" s="16" t="e">
        <f t="shared" si="546"/>
        <v>#N/A</v>
      </c>
      <c r="CF2094" s="16">
        <f t="shared" si="547"/>
        <v>99</v>
      </c>
      <c r="CG2094" s="16">
        <f t="shared" si="548"/>
        <v>0</v>
      </c>
      <c r="CH2094" s="16">
        <f t="shared" si="544"/>
        <v>0</v>
      </c>
      <c r="CJ2094" s="16" t="e">
        <f t="shared" si="549"/>
        <v>#N/A</v>
      </c>
      <c r="CK2094" s="16" t="str">
        <f t="shared" si="550"/>
        <v/>
      </c>
    </row>
    <row r="2095" spans="73:89" ht="12" customHeight="1">
      <c r="BU2095" s="16">
        <f t="shared" si="551"/>
        <v>0</v>
      </c>
      <c r="BV2095" s="16">
        <f>IF($BY$12=1,NORMDIST(BY2095,$Y$6,$Y$8,TRUE),IF($BY$12=2,IF(BY2095&lt;=$BX$31,0,IF(BY2095&gt;=$BX$32,1,(BY2095-$BX$31)*$BX$33)),SUM($BU$42:BU2095)/$BV$40))</f>
        <v>0.99999999999999589</v>
      </c>
      <c r="BW2095" s="16">
        <f t="shared" si="542"/>
        <v>3.3061858910030267E-13</v>
      </c>
      <c r="BY2095" s="16">
        <f t="shared" si="543"/>
        <v>205.29999999999262</v>
      </c>
      <c r="BZ2095" s="16">
        <f t="shared" si="545"/>
        <v>1.6104168977121995E-15</v>
      </c>
      <c r="CA2095" s="16">
        <f t="shared" si="552"/>
        <v>-999</v>
      </c>
      <c r="CE2095" s="16" t="e">
        <f t="shared" si="546"/>
        <v>#N/A</v>
      </c>
      <c r="CF2095" s="16">
        <f t="shared" si="547"/>
        <v>99</v>
      </c>
      <c r="CG2095" s="16">
        <f t="shared" si="548"/>
        <v>0</v>
      </c>
      <c r="CH2095" s="16">
        <f t="shared" si="544"/>
        <v>0</v>
      </c>
      <c r="CJ2095" s="16" t="e">
        <f t="shared" si="549"/>
        <v>#N/A</v>
      </c>
      <c r="CK2095" s="16" t="str">
        <f t="shared" si="550"/>
        <v/>
      </c>
    </row>
    <row r="2096" spans="73:89" ht="12" customHeight="1">
      <c r="BU2096" s="16">
        <f t="shared" si="551"/>
        <v>0</v>
      </c>
      <c r="BV2096" s="16">
        <f>IF($BY$12=1,NORMDIST(BY2096,$Y$6,$Y$8,TRUE),IF($BY$12=2,IF(BY2096&lt;=$BX$31,0,IF(BY2096&gt;=$BX$32,1,(BY2096-$BX$31)*$BX$33)),SUM($BU$42:BU2096)/$BV$40))</f>
        <v>0.99999999999999611</v>
      </c>
      <c r="BW2096" s="16">
        <f t="shared" si="542"/>
        <v>3.1817924441001206E-13</v>
      </c>
      <c r="BY2096" s="16">
        <f t="shared" si="543"/>
        <v>205.39999999999262</v>
      </c>
      <c r="BZ2096" s="16">
        <f t="shared" si="545"/>
        <v>1.5490712970302993E-15</v>
      </c>
      <c r="CA2096" s="16">
        <f t="shared" si="552"/>
        <v>-999</v>
      </c>
      <c r="CE2096" s="16" t="e">
        <f t="shared" si="546"/>
        <v>#N/A</v>
      </c>
      <c r="CF2096" s="16">
        <f t="shared" si="547"/>
        <v>99</v>
      </c>
      <c r="CG2096" s="16">
        <f t="shared" si="548"/>
        <v>0</v>
      </c>
      <c r="CH2096" s="16">
        <f t="shared" si="544"/>
        <v>0</v>
      </c>
      <c r="CJ2096" s="16" t="e">
        <f t="shared" si="549"/>
        <v>#N/A</v>
      </c>
      <c r="CK2096" s="16" t="str">
        <f t="shared" si="550"/>
        <v/>
      </c>
    </row>
    <row r="2097" spans="73:89" ht="12" customHeight="1">
      <c r="BU2097" s="16">
        <f t="shared" si="551"/>
        <v>0</v>
      </c>
      <c r="BV2097" s="16">
        <f>IF($BY$12=1,NORMDIST(BY2097,$Y$6,$Y$8,TRUE),IF($BY$12=2,IF(BY2097&lt;=$BX$31,0,IF(BY2097&gt;=$BX$32,1,(BY2097-$BX$31)*$BX$33)),SUM($BU$42:BU2097)/$BV$40))</f>
        <v>0.99999999999999623</v>
      </c>
      <c r="BW2097" s="16">
        <f t="shared" si="542"/>
        <v>3.0620019562131076E-13</v>
      </c>
      <c r="BY2097" s="16">
        <f t="shared" si="543"/>
        <v>205.49999999999261</v>
      </c>
      <c r="BZ2097" s="16">
        <f t="shared" si="545"/>
        <v>1.4900252828288163E-15</v>
      </c>
      <c r="CA2097" s="16">
        <f t="shared" si="552"/>
        <v>-999</v>
      </c>
      <c r="CE2097" s="16" t="e">
        <f t="shared" si="546"/>
        <v>#N/A</v>
      </c>
      <c r="CF2097" s="16">
        <f t="shared" si="547"/>
        <v>99</v>
      </c>
      <c r="CG2097" s="16">
        <f t="shared" si="548"/>
        <v>0</v>
      </c>
      <c r="CH2097" s="16">
        <f t="shared" si="544"/>
        <v>0</v>
      </c>
      <c r="CJ2097" s="16" t="e">
        <f t="shared" si="549"/>
        <v>#N/A</v>
      </c>
      <c r="CK2097" s="16" t="str">
        <f t="shared" si="550"/>
        <v/>
      </c>
    </row>
    <row r="2098" spans="73:89" ht="12" customHeight="1">
      <c r="BU2098" s="16">
        <f t="shared" si="551"/>
        <v>0</v>
      </c>
      <c r="BV2098" s="16">
        <f>IF($BY$12=1,NORMDIST(BY2098,$Y$6,$Y$8,TRUE),IF($BY$12=2,IF(BY2098&lt;=$BX$31,0,IF(BY2098&gt;=$BX$32,1,(BY2098-$BX$31)*$BX$33)),SUM($BU$42:BU2098)/$BV$40))</f>
        <v>0.99999999999999634</v>
      </c>
      <c r="BW2098" s="16">
        <f t="shared" si="542"/>
        <v>2.9466470648166815E-13</v>
      </c>
      <c r="BY2098" s="16">
        <f t="shared" si="543"/>
        <v>205.5999999999926</v>
      </c>
      <c r="BZ2098" s="16">
        <f t="shared" si="545"/>
        <v>1.4331940976735348E-15</v>
      </c>
      <c r="CA2098" s="16">
        <f t="shared" si="552"/>
        <v>-999</v>
      </c>
      <c r="CE2098" s="16" t="e">
        <f t="shared" si="546"/>
        <v>#N/A</v>
      </c>
      <c r="CF2098" s="16">
        <f t="shared" si="547"/>
        <v>99</v>
      </c>
      <c r="CG2098" s="16">
        <f t="shared" si="548"/>
        <v>0</v>
      </c>
      <c r="CH2098" s="16">
        <f t="shared" si="544"/>
        <v>0</v>
      </c>
      <c r="CJ2098" s="16" t="e">
        <f t="shared" si="549"/>
        <v>#N/A</v>
      </c>
      <c r="CK2098" s="16" t="str">
        <f t="shared" si="550"/>
        <v/>
      </c>
    </row>
    <row r="2099" spans="73:89" ht="12" customHeight="1">
      <c r="BU2099" s="16">
        <f t="shared" si="551"/>
        <v>0</v>
      </c>
      <c r="BV2099" s="16">
        <f>IF($BY$12=1,NORMDIST(BY2099,$Y$6,$Y$8,TRUE),IF($BY$12=2,IF(BY2099&lt;=$BX$31,0,IF(BY2099&gt;=$BX$32,1,(BY2099-$BX$31)*$BX$33)),SUM($BU$42:BU2099)/$BV$40))</f>
        <v>0.99999999999999656</v>
      </c>
      <c r="BW2099" s="16">
        <f t="shared" si="542"/>
        <v>2.835566380835027E-13</v>
      </c>
      <c r="BY2099" s="16">
        <f t="shared" si="543"/>
        <v>205.6999999999926</v>
      </c>
      <c r="BZ2099" s="16">
        <f t="shared" si="545"/>
        <v>1.3784960529096398E-15</v>
      </c>
      <c r="CA2099" s="16">
        <f t="shared" si="552"/>
        <v>-999</v>
      </c>
      <c r="CE2099" s="16" t="e">
        <f t="shared" si="546"/>
        <v>#N/A</v>
      </c>
      <c r="CF2099" s="16">
        <f t="shared" si="547"/>
        <v>99</v>
      </c>
      <c r="CG2099" s="16">
        <f t="shared" si="548"/>
        <v>0</v>
      </c>
      <c r="CH2099" s="16">
        <f t="shared" si="544"/>
        <v>0</v>
      </c>
      <c r="CJ2099" s="16" t="e">
        <f t="shared" si="549"/>
        <v>#N/A</v>
      </c>
      <c r="CK2099" s="16" t="str">
        <f t="shared" si="550"/>
        <v/>
      </c>
    </row>
    <row r="2100" spans="73:89" ht="12" customHeight="1">
      <c r="BU2100" s="16">
        <f t="shared" si="551"/>
        <v>0</v>
      </c>
      <c r="BV2100" s="16">
        <f>IF($BY$12=1,NORMDIST(BY2100,$Y$6,$Y$8,TRUE),IF($BY$12=2,IF(BY2100&lt;=$BX$31,0,IF(BY2100&gt;=$BX$32,1,(BY2100-$BX$31)*$BX$33)),SUM($BU$42:BU2100)/$BV$40))</f>
        <v>0.99999999999999667</v>
      </c>
      <c r="BW2100" s="16">
        <f t="shared" si="542"/>
        <v>2.7286042795944165E-13</v>
      </c>
      <c r="BY2100" s="16">
        <f t="shared" si="543"/>
        <v>205.79999999999259</v>
      </c>
      <c r="BZ2100" s="16">
        <f t="shared" si="545"/>
        <v>1.325852419628044E-15</v>
      </c>
      <c r="CA2100" s="16">
        <f t="shared" si="552"/>
        <v>-999</v>
      </c>
      <c r="CE2100" s="16" t="e">
        <f t="shared" si="546"/>
        <v>#N/A</v>
      </c>
      <c r="CF2100" s="16">
        <f t="shared" si="547"/>
        <v>99</v>
      </c>
      <c r="CG2100" s="16">
        <f t="shared" si="548"/>
        <v>0</v>
      </c>
      <c r="CH2100" s="16">
        <f t="shared" si="544"/>
        <v>0</v>
      </c>
      <c r="CJ2100" s="16" t="e">
        <f t="shared" si="549"/>
        <v>#N/A</v>
      </c>
      <c r="CK2100" s="16" t="str">
        <f t="shared" si="550"/>
        <v/>
      </c>
    </row>
    <row r="2101" spans="73:89" ht="12" customHeight="1">
      <c r="BU2101" s="16">
        <f t="shared" si="551"/>
        <v>0</v>
      </c>
      <c r="BV2101" s="16">
        <f>IF($BY$12=1,NORMDIST(BY2101,$Y$6,$Y$8,TRUE),IF($BY$12=2,IF(BY2101&lt;=$BX$31,0,IF(BY2101&gt;=$BX$32,1,(BY2101-$BX$31)*$BX$33)),SUM($BU$42:BU2101)/$BV$40))</f>
        <v>0.99999999999999678</v>
      </c>
      <c r="BW2101" s="16">
        <f t="shared" si="542"/>
        <v>2.6256106989396605E-13</v>
      </c>
      <c r="BY2101" s="16">
        <f t="shared" si="543"/>
        <v>205.89999999999259</v>
      </c>
      <c r="BZ2101" s="16">
        <f t="shared" si="545"/>
        <v>1.2751873234287299E-15</v>
      </c>
      <c r="CA2101" s="16">
        <f t="shared" si="552"/>
        <v>-999</v>
      </c>
      <c r="CE2101" s="16" t="e">
        <f t="shared" si="546"/>
        <v>#N/A</v>
      </c>
      <c r="CF2101" s="16">
        <f t="shared" si="547"/>
        <v>99</v>
      </c>
      <c r="CG2101" s="16">
        <f t="shared" si="548"/>
        <v>0</v>
      </c>
      <c r="CH2101" s="16">
        <f t="shared" si="544"/>
        <v>0</v>
      </c>
      <c r="CJ2101" s="16" t="e">
        <f t="shared" si="549"/>
        <v>#N/A</v>
      </c>
      <c r="CK2101" s="16" t="str">
        <f t="shared" si="550"/>
        <v/>
      </c>
    </row>
    <row r="2102" spans="73:89" ht="12" customHeight="1">
      <c r="BU2102" s="16">
        <f t="shared" si="551"/>
        <v>0</v>
      </c>
      <c r="BV2102" s="16">
        <f>IF($BY$12=1,NORMDIST(BY2102,$Y$6,$Y$8,TRUE),IF($BY$12=2,IF(BY2102&lt;=$BX$31,0,IF(BY2102&gt;=$BX$32,1,(BY2102-$BX$31)*$BX$33)),SUM($BU$42:BU2102)/$BV$40))</f>
        <v>0.99999999999999689</v>
      </c>
      <c r="BW2102" s="16">
        <f t="shared" si="542"/>
        <v>2.5264409442745407E-13</v>
      </c>
      <c r="BY2102" s="16">
        <f t="shared" si="543"/>
        <v>205.99999999999258</v>
      </c>
      <c r="BZ2102" s="16">
        <f t="shared" si="545"/>
        <v>1.2264276428517631E-15</v>
      </c>
      <c r="CA2102" s="16">
        <f t="shared" si="552"/>
        <v>-999</v>
      </c>
      <c r="CE2102" s="16" t="e">
        <f t="shared" si="546"/>
        <v>#N/A</v>
      </c>
      <c r="CF2102" s="16">
        <f t="shared" si="547"/>
        <v>99</v>
      </c>
      <c r="CG2102" s="16">
        <f t="shared" si="548"/>
        <v>0</v>
      </c>
      <c r="CH2102" s="16">
        <f t="shared" si="544"/>
        <v>0</v>
      </c>
      <c r="CJ2102" s="16" t="e">
        <f t="shared" si="549"/>
        <v>#N/A</v>
      </c>
      <c r="CK2102" s="16" t="str">
        <f t="shared" si="550"/>
        <v/>
      </c>
    </row>
    <row r="2103" spans="73:89" ht="12" customHeight="1">
      <c r="BU2103" s="16">
        <f t="shared" si="551"/>
        <v>0</v>
      </c>
      <c r="BV2103" s="16">
        <f>IF($BY$12=1,NORMDIST(BY2103,$Y$6,$Y$8,TRUE),IF($BY$12=2,IF(BY2103&lt;=$BX$31,0,IF(BY2103&gt;=$BX$32,1,(BY2103-$BX$31)*$BX$33)),SUM($BU$42:BU2103)/$BV$40))</f>
        <v>0.999999999999997</v>
      </c>
      <c r="BW2103" s="16">
        <f t="shared" si="542"/>
        <v>2.4309555002940247E-13</v>
      </c>
      <c r="BY2103" s="16">
        <f t="shared" si="543"/>
        <v>206.09999999999258</v>
      </c>
      <c r="BZ2103" s="16">
        <f t="shared" si="545"/>
        <v>1.1795029113508551E-15</v>
      </c>
      <c r="CA2103" s="16">
        <f t="shared" si="552"/>
        <v>-999</v>
      </c>
      <c r="CE2103" s="16" t="e">
        <f t="shared" si="546"/>
        <v>#N/A</v>
      </c>
      <c r="CF2103" s="16">
        <f t="shared" si="547"/>
        <v>99</v>
      </c>
      <c r="CG2103" s="16">
        <f t="shared" si="548"/>
        <v>0</v>
      </c>
      <c r="CH2103" s="16">
        <f t="shared" si="544"/>
        <v>0</v>
      </c>
      <c r="CJ2103" s="16" t="e">
        <f t="shared" si="549"/>
        <v>#N/A</v>
      </c>
      <c r="CK2103" s="16" t="str">
        <f t="shared" si="550"/>
        <v/>
      </c>
    </row>
    <row r="2104" spans="73:89" ht="12" customHeight="1">
      <c r="BU2104" s="16">
        <f t="shared" si="551"/>
        <v>0</v>
      </c>
      <c r="BV2104" s="16">
        <f>IF($BY$12=1,NORMDIST(BY2104,$Y$6,$Y$8,TRUE),IF($BY$12=2,IF(BY2104&lt;=$BX$31,0,IF(BY2104&gt;=$BX$32,1,(BY2104-$BX$31)*$BX$33)),SUM($BU$42:BU2104)/$BV$40))</f>
        <v>0.99999999999999711</v>
      </c>
      <c r="BW2104" s="16">
        <f t="shared" si="542"/>
        <v>2.3390198491834934E-13</v>
      </c>
      <c r="BY2104" s="16">
        <f t="shared" si="543"/>
        <v>206.19999999999257</v>
      </c>
      <c r="BZ2104" s="16">
        <f t="shared" si="545"/>
        <v>1.1343452226884469E-15</v>
      </c>
      <c r="CA2104" s="16">
        <f t="shared" si="552"/>
        <v>-999</v>
      </c>
      <c r="CE2104" s="16" t="e">
        <f t="shared" si="546"/>
        <v>#N/A</v>
      </c>
      <c r="CF2104" s="16">
        <f t="shared" si="547"/>
        <v>99</v>
      </c>
      <c r="CG2104" s="16">
        <f t="shared" si="548"/>
        <v>0</v>
      </c>
      <c r="CH2104" s="16">
        <f t="shared" si="544"/>
        <v>0</v>
      </c>
      <c r="CJ2104" s="16" t="e">
        <f t="shared" si="549"/>
        <v>#N/A</v>
      </c>
      <c r="CK2104" s="16" t="str">
        <f t="shared" si="550"/>
        <v/>
      </c>
    </row>
    <row r="2105" spans="73:89" ht="12" customHeight="1">
      <c r="BU2105" s="16">
        <f t="shared" si="551"/>
        <v>0</v>
      </c>
      <c r="BV2105" s="16">
        <f>IF($BY$12=1,NORMDIST(BY2105,$Y$6,$Y$8,TRUE),IF($BY$12=2,IF(BY2105&lt;=$BX$31,0,IF(BY2105&gt;=$BX$32,1,(BY2105-$BX$31)*$BX$33)),SUM($BU$42:BU2105)/$BV$40))</f>
        <v>0.99999999999999722</v>
      </c>
      <c r="BW2105" s="16">
        <f t="shared" si="542"/>
        <v>2.2505042950679479E-13</v>
      </c>
      <c r="BY2105" s="16">
        <f t="shared" si="543"/>
        <v>206.29999999999256</v>
      </c>
      <c r="BZ2105" s="16">
        <f t="shared" si="545"/>
        <v>1.0908891396354964E-15</v>
      </c>
      <c r="CA2105" s="16">
        <f t="shared" si="552"/>
        <v>-999</v>
      </c>
      <c r="CE2105" s="16" t="e">
        <f t="shared" si="546"/>
        <v>#N/A</v>
      </c>
      <c r="CF2105" s="16">
        <f t="shared" si="547"/>
        <v>99</v>
      </c>
      <c r="CG2105" s="16">
        <f t="shared" si="548"/>
        <v>0</v>
      </c>
      <c r="CH2105" s="16">
        <f t="shared" si="544"/>
        <v>0</v>
      </c>
      <c r="CJ2105" s="16" t="e">
        <f t="shared" si="549"/>
        <v>#N/A</v>
      </c>
      <c r="CK2105" s="16" t="str">
        <f t="shared" si="550"/>
        <v/>
      </c>
    </row>
    <row r="2106" spans="73:89" ht="12" customHeight="1">
      <c r="BU2106" s="16">
        <f t="shared" si="551"/>
        <v>0</v>
      </c>
      <c r="BV2106" s="16">
        <f>IF($BY$12=1,NORMDIST(BY2106,$Y$6,$Y$8,TRUE),IF($BY$12=2,IF(BY2106&lt;=$BX$31,0,IF(BY2106&gt;=$BX$32,1,(BY2106-$BX$31)*$BX$33)),SUM($BU$42:BU2106)/$BV$40))</f>
        <v>0.99999999999999734</v>
      </c>
      <c r="BW2106" s="16">
        <f t="shared" si="542"/>
        <v>2.1652837945009632E-13</v>
      </c>
      <c r="BY2106" s="16">
        <f t="shared" si="543"/>
        <v>206.39999999999256</v>
      </c>
      <c r="BZ2106" s="16">
        <f t="shared" si="545"/>
        <v>1.0490716058629075E-15</v>
      </c>
      <c r="CA2106" s="16">
        <f t="shared" si="552"/>
        <v>-999</v>
      </c>
      <c r="CE2106" s="16" t="e">
        <f t="shared" si="546"/>
        <v>#N/A</v>
      </c>
      <c r="CF2106" s="16">
        <f t="shared" si="547"/>
        <v>99</v>
      </c>
      <c r="CG2106" s="16">
        <f t="shared" si="548"/>
        <v>0</v>
      </c>
      <c r="CH2106" s="16">
        <f t="shared" si="544"/>
        <v>0</v>
      </c>
      <c r="CJ2106" s="16" t="e">
        <f t="shared" si="549"/>
        <v>#N/A</v>
      </c>
      <c r="CK2106" s="16" t="str">
        <f t="shared" si="550"/>
        <v/>
      </c>
    </row>
    <row r="2107" spans="73:89" ht="12" customHeight="1">
      <c r="BU2107" s="16">
        <f t="shared" si="551"/>
        <v>0</v>
      </c>
      <c r="BV2107" s="16">
        <f>IF($BY$12=1,NORMDIST(BY2107,$Y$6,$Y$8,TRUE),IF($BY$12=2,IF(BY2107&lt;=$BX$31,0,IF(BY2107&gt;=$BX$32,1,(BY2107-$BX$31)*$BX$33)),SUM($BU$42:BU2107)/$BV$40))</f>
        <v>0.99999999999999745</v>
      </c>
      <c r="BW2107" s="16">
        <f t="shared" ref="BW2107:BW2170" si="553">BY2107*BZ2107</f>
        <v>2.0832377927901525E-13</v>
      </c>
      <c r="BY2107" s="16">
        <f t="shared" ref="BY2107:BY2170" si="554">BY2106+$BZ$1</f>
        <v>206.49999999999255</v>
      </c>
      <c r="BZ2107" s="16">
        <f t="shared" si="545"/>
        <v>1.0088318609153645E-15</v>
      </c>
      <c r="CA2107" s="16">
        <f t="shared" si="552"/>
        <v>-999</v>
      </c>
      <c r="CE2107" s="16" t="e">
        <f t="shared" si="546"/>
        <v>#N/A</v>
      </c>
      <c r="CF2107" s="16">
        <f t="shared" si="547"/>
        <v>99</v>
      </c>
      <c r="CG2107" s="16">
        <f t="shared" si="548"/>
        <v>0</v>
      </c>
      <c r="CH2107" s="16">
        <f t="shared" si="544"/>
        <v>0</v>
      </c>
      <c r="CJ2107" s="16" t="e">
        <f t="shared" si="549"/>
        <v>#N/A</v>
      </c>
      <c r="CK2107" s="16" t="str">
        <f t="shared" si="550"/>
        <v/>
      </c>
    </row>
    <row r="2108" spans="73:89" ht="12" customHeight="1">
      <c r="BU2108" s="16">
        <f t="shared" si="551"/>
        <v>0</v>
      </c>
      <c r="BV2108" s="16">
        <f>IF($BY$12=1,NORMDIST(BY2108,$Y$6,$Y$8,TRUE),IF($BY$12=2,IF(BY2108&lt;=$BX$31,0,IF(BY2108&gt;=$BX$32,1,(BY2108-$BX$31)*$BX$33)),SUM($BU$42:BU2108)/$BV$40))</f>
        <v>0.99999999999999756</v>
      </c>
      <c r="BW2108" s="16">
        <f t="shared" si="553"/>
        <v>2.0042500659627233E-13</v>
      </c>
      <c r="BY2108" s="16">
        <f t="shared" si="554"/>
        <v>206.59999999999255</v>
      </c>
      <c r="BZ2108" s="16">
        <f t="shared" si="545"/>
        <v>9.7011135816205019E-16</v>
      </c>
      <c r="CA2108" s="16">
        <f t="shared" si="552"/>
        <v>-999</v>
      </c>
      <c r="CE2108" s="16" t="e">
        <f t="shared" si="546"/>
        <v>#N/A</v>
      </c>
      <c r="CF2108" s="16">
        <f t="shared" si="547"/>
        <v>99</v>
      </c>
      <c r="CG2108" s="16">
        <f t="shared" si="548"/>
        <v>0</v>
      </c>
      <c r="CH2108" s="16">
        <f t="shared" si="544"/>
        <v>0</v>
      </c>
      <c r="CJ2108" s="16" t="e">
        <f t="shared" si="549"/>
        <v>#N/A</v>
      </c>
      <c r="CK2108" s="16" t="str">
        <f t="shared" si="550"/>
        <v/>
      </c>
    </row>
    <row r="2109" spans="73:89" ht="12" customHeight="1">
      <c r="BU2109" s="16">
        <f t="shared" si="551"/>
        <v>0</v>
      </c>
      <c r="BV2109" s="16">
        <f>IF($BY$12=1,NORMDIST(BY2109,$Y$6,$Y$8,TRUE),IF($BY$12=2,IF(BY2109&lt;=$BX$31,0,IF(BY2109&gt;=$BX$32,1,(BY2109-$BX$31)*$BX$33)),SUM($BU$42:BU2109)/$BV$40))</f>
        <v>0.99999999999999767</v>
      </c>
      <c r="BW2109" s="16">
        <f t="shared" si="553"/>
        <v>1.9282085681808852E-13</v>
      </c>
      <c r="BY2109" s="16">
        <f t="shared" si="554"/>
        <v>206.69999999999254</v>
      </c>
      <c r="BZ2109" s="16">
        <f t="shared" si="545"/>
        <v>9.3285368562213583E-16</v>
      </c>
      <c r="CA2109" s="16">
        <f t="shared" si="552"/>
        <v>-999</v>
      </c>
      <c r="CE2109" s="16" t="e">
        <f t="shared" si="546"/>
        <v>#N/A</v>
      </c>
      <c r="CF2109" s="16">
        <f t="shared" si="547"/>
        <v>99</v>
      </c>
      <c r="CG2109" s="16">
        <f t="shared" si="548"/>
        <v>0</v>
      </c>
      <c r="CH2109" s="16">
        <f t="shared" si="544"/>
        <v>0</v>
      </c>
      <c r="CJ2109" s="16" t="e">
        <f t="shared" si="549"/>
        <v>#N/A</v>
      </c>
      <c r="CK2109" s="16" t="str">
        <f t="shared" si="550"/>
        <v/>
      </c>
    </row>
    <row r="2110" spans="73:89" ht="12" customHeight="1">
      <c r="BU2110" s="16">
        <f t="shared" si="551"/>
        <v>0</v>
      </c>
      <c r="BV2110" s="16">
        <f>IF($BY$12=1,NORMDIST(BY2110,$Y$6,$Y$8,TRUE),IF($BY$12=2,IF(BY2110&lt;=$BX$31,0,IF(BY2110&gt;=$BX$32,1,(BY2110-$BX$31)*$BX$33)),SUM($BU$42:BU2110)/$BV$40))</f>
        <v>0.99999999999999778</v>
      </c>
      <c r="BW2110" s="16">
        <f t="shared" si="553"/>
        <v>1.855005284423373E-13</v>
      </c>
      <c r="BY2110" s="16">
        <f t="shared" si="554"/>
        <v>206.79999999999254</v>
      </c>
      <c r="BZ2110" s="16">
        <f t="shared" si="545"/>
        <v>8.9700448956646035E-16</v>
      </c>
      <c r="CA2110" s="16">
        <f t="shared" si="552"/>
        <v>-999</v>
      </c>
      <c r="CE2110" s="16" t="e">
        <f t="shared" si="546"/>
        <v>#N/A</v>
      </c>
      <c r="CF2110" s="16">
        <f t="shared" si="547"/>
        <v>99</v>
      </c>
      <c r="CG2110" s="16">
        <f t="shared" si="548"/>
        <v>0</v>
      </c>
      <c r="CH2110" s="16">
        <f t="shared" si="544"/>
        <v>0</v>
      </c>
      <c r="CJ2110" s="16" t="e">
        <f t="shared" si="549"/>
        <v>#N/A</v>
      </c>
      <c r="CK2110" s="16" t="str">
        <f t="shared" si="550"/>
        <v/>
      </c>
    </row>
    <row r="2111" spans="73:89" ht="12" customHeight="1">
      <c r="BU2111" s="16">
        <f t="shared" si="551"/>
        <v>0</v>
      </c>
      <c r="BV2111" s="16">
        <f>IF($BY$12=1,NORMDIST(BY2111,$Y$6,$Y$8,TRUE),IF($BY$12=2,IF(BY2111&lt;=$BX$31,0,IF(BY2111&gt;=$BX$32,1,(BY2111-$BX$31)*$BX$33)),SUM($BU$42:BU2111)/$BV$40))</f>
        <v>0.99999999999999789</v>
      </c>
      <c r="BW2111" s="16">
        <f t="shared" si="553"/>
        <v>1.7845360882553016E-13</v>
      </c>
      <c r="BY2111" s="16">
        <f t="shared" si="554"/>
        <v>206.89999999999253</v>
      </c>
      <c r="BZ2111" s="16">
        <f t="shared" si="545"/>
        <v>8.6251140080008021E-16</v>
      </c>
      <c r="CA2111" s="16">
        <f t="shared" si="552"/>
        <v>-999</v>
      </c>
      <c r="CE2111" s="16" t="e">
        <f t="shared" si="546"/>
        <v>#N/A</v>
      </c>
      <c r="CF2111" s="16">
        <f t="shared" si="547"/>
        <v>99</v>
      </c>
      <c r="CG2111" s="16">
        <f t="shared" si="548"/>
        <v>0</v>
      </c>
      <c r="CH2111" s="16">
        <f t="shared" si="544"/>
        <v>0</v>
      </c>
      <c r="CJ2111" s="16" t="e">
        <f t="shared" si="549"/>
        <v>#N/A</v>
      </c>
      <c r="CK2111" s="16" t="str">
        <f t="shared" si="550"/>
        <v/>
      </c>
    </row>
    <row r="2112" spans="73:89" ht="12" customHeight="1">
      <c r="BU2112" s="16">
        <f t="shared" si="551"/>
        <v>0</v>
      </c>
      <c r="BV2112" s="16">
        <f>IF($BY$12=1,NORMDIST(BY2112,$Y$6,$Y$8,TRUE),IF($BY$12=2,IF(BY2112&lt;=$BX$31,0,IF(BY2112&gt;=$BX$32,1,(BY2112-$BX$31)*$BX$33)),SUM($BU$42:BU2112)/$BV$40))</f>
        <v>0.99999999999999789</v>
      </c>
      <c r="BW2112" s="16">
        <f t="shared" si="553"/>
        <v>1.716700604514467E-13</v>
      </c>
      <c r="BY2112" s="16">
        <f t="shared" si="554"/>
        <v>206.99999999999253</v>
      </c>
      <c r="BZ2112" s="16">
        <f t="shared" si="545"/>
        <v>8.2932396353358884E-16</v>
      </c>
      <c r="CA2112" s="16">
        <f t="shared" si="552"/>
        <v>-999</v>
      </c>
      <c r="CE2112" s="16" t="e">
        <f t="shared" si="546"/>
        <v>#N/A</v>
      </c>
      <c r="CF2112" s="16">
        <f t="shared" si="547"/>
        <v>99</v>
      </c>
      <c r="CG2112" s="16">
        <f t="shared" si="548"/>
        <v>0</v>
      </c>
      <c r="CH2112" s="16">
        <f t="shared" si="544"/>
        <v>0</v>
      </c>
      <c r="CJ2112" s="16" t="e">
        <f t="shared" si="549"/>
        <v>#N/A</v>
      </c>
      <c r="CK2112" s="16" t="str">
        <f t="shared" si="550"/>
        <v/>
      </c>
    </row>
    <row r="2113" spans="73:89" ht="12" customHeight="1">
      <c r="BU2113" s="16">
        <f t="shared" si="551"/>
        <v>0</v>
      </c>
      <c r="BV2113" s="16">
        <f>IF($BY$12=1,NORMDIST(BY2113,$Y$6,$Y$8,TRUE),IF($BY$12=2,IF(BY2113&lt;=$BX$31,0,IF(BY2113&gt;=$BX$32,1,(BY2113-$BX$31)*$BX$33)),SUM($BU$42:BU2113)/$BV$40))</f>
        <v>0.999999999999998</v>
      </c>
      <c r="BW2113" s="16">
        <f t="shared" si="553"/>
        <v>1.6514020767477446E-13</v>
      </c>
      <c r="BY2113" s="16">
        <f t="shared" si="554"/>
        <v>207.09999999999252</v>
      </c>
      <c r="BZ2113" s="16">
        <f t="shared" si="545"/>
        <v>7.9739356675413051E-16</v>
      </c>
      <c r="CA2113" s="16">
        <f t="shared" si="552"/>
        <v>-999</v>
      </c>
      <c r="CE2113" s="16" t="e">
        <f t="shared" si="546"/>
        <v>#N/A</v>
      </c>
      <c r="CF2113" s="16">
        <f t="shared" si="547"/>
        <v>99</v>
      </c>
      <c r="CG2113" s="16">
        <f t="shared" si="548"/>
        <v>0</v>
      </c>
      <c r="CH2113" s="16">
        <f t="shared" si="544"/>
        <v>0</v>
      </c>
      <c r="CJ2113" s="16" t="e">
        <f t="shared" si="549"/>
        <v>#N/A</v>
      </c>
      <c r="CK2113" s="16" t="str">
        <f t="shared" si="550"/>
        <v/>
      </c>
    </row>
    <row r="2114" spans="73:89" ht="12" customHeight="1">
      <c r="BU2114" s="16">
        <f t="shared" si="551"/>
        <v>0</v>
      </c>
      <c r="BV2114" s="16">
        <f>IF($BY$12=1,NORMDIST(BY2114,$Y$6,$Y$8,TRUE),IF($BY$12=2,IF(BY2114&lt;=$BX$31,0,IF(BY2114&gt;=$BX$32,1,(BY2114-$BX$31)*$BX$33)),SUM($BU$42:BU2114)/$BV$40))</f>
        <v>0.99999999999999811</v>
      </c>
      <c r="BW2114" s="16">
        <f t="shared" si="553"/>
        <v>1.5885472392369742E-13</v>
      </c>
      <c r="BY2114" s="16">
        <f t="shared" si="554"/>
        <v>207.19999999999251</v>
      </c>
      <c r="BZ2114" s="16">
        <f t="shared" si="545"/>
        <v>7.6667337801015041E-16</v>
      </c>
      <c r="CA2114" s="16">
        <f t="shared" si="552"/>
        <v>-999</v>
      </c>
      <c r="CE2114" s="16" t="e">
        <f t="shared" si="546"/>
        <v>#N/A</v>
      </c>
      <c r="CF2114" s="16">
        <f t="shared" si="547"/>
        <v>99</v>
      </c>
      <c r="CG2114" s="16">
        <f t="shared" si="548"/>
        <v>0</v>
      </c>
      <c r="CH2114" s="16">
        <f t="shared" si="544"/>
        <v>0</v>
      </c>
      <c r="CJ2114" s="16" t="e">
        <f t="shared" si="549"/>
        <v>#N/A</v>
      </c>
      <c r="CK2114" s="16" t="str">
        <f t="shared" si="550"/>
        <v/>
      </c>
    </row>
    <row r="2115" spans="73:89" ht="12" customHeight="1">
      <c r="BU2115" s="16">
        <f t="shared" si="551"/>
        <v>0</v>
      </c>
      <c r="BV2115" s="16">
        <f>IF($BY$12=1,NORMDIST(BY2115,$Y$6,$Y$8,TRUE),IF($BY$12=2,IF(BY2115&lt;=$BX$31,0,IF(BY2115&gt;=$BX$32,1,(BY2115-$BX$31)*$BX$33)),SUM($BU$42:BU2115)/$BV$40))</f>
        <v>0.99999999999999811</v>
      </c>
      <c r="BW2115" s="16">
        <f t="shared" si="553"/>
        <v>1.5280461934587981E-13</v>
      </c>
      <c r="BY2115" s="16">
        <f t="shared" si="554"/>
        <v>207.29999999999251</v>
      </c>
      <c r="BZ2115" s="16">
        <f t="shared" si="545"/>
        <v>7.3711827952670204E-16</v>
      </c>
      <c r="CA2115" s="16">
        <f t="shared" si="552"/>
        <v>-999</v>
      </c>
      <c r="CE2115" s="16" t="e">
        <f t="shared" si="546"/>
        <v>#N/A</v>
      </c>
      <c r="CF2115" s="16">
        <f t="shared" si="547"/>
        <v>99</v>
      </c>
      <c r="CG2115" s="16">
        <f t="shared" si="548"/>
        <v>0</v>
      </c>
      <c r="CH2115" s="16">
        <f t="shared" ref="CH2115:CH2178" si="555">IF(CB2115="",0,1)</f>
        <v>0</v>
      </c>
      <c r="CJ2115" s="16" t="e">
        <f t="shared" si="549"/>
        <v>#N/A</v>
      </c>
      <c r="CK2115" s="16" t="str">
        <f t="shared" si="550"/>
        <v/>
      </c>
    </row>
    <row r="2116" spans="73:89" ht="12" customHeight="1">
      <c r="BU2116" s="16">
        <f t="shared" si="551"/>
        <v>0</v>
      </c>
      <c r="BV2116" s="16">
        <f>IF($BY$12=1,NORMDIST(BY2116,$Y$6,$Y$8,TRUE),IF($BY$12=2,IF(BY2116&lt;=$BX$31,0,IF(BY2116&gt;=$BX$32,1,(BY2116-$BX$31)*$BX$33)),SUM($BU$42:BU2116)/$BV$40))</f>
        <v>0.99999999999999822</v>
      </c>
      <c r="BW2116" s="16">
        <f t="shared" si="553"/>
        <v>1.4698122888281661E-13</v>
      </c>
      <c r="BY2116" s="16">
        <f t="shared" si="554"/>
        <v>207.3999999999925</v>
      </c>
      <c r="BZ2116" s="16">
        <f t="shared" si="545"/>
        <v>7.086848065709832E-16</v>
      </c>
      <c r="CA2116" s="16">
        <f t="shared" si="552"/>
        <v>-999</v>
      </c>
      <c r="CE2116" s="16" t="e">
        <f t="shared" si="546"/>
        <v>#N/A</v>
      </c>
      <c r="CF2116" s="16">
        <f t="shared" si="547"/>
        <v>99</v>
      </c>
      <c r="CG2116" s="16">
        <f t="shared" si="548"/>
        <v>0</v>
      </c>
      <c r="CH2116" s="16">
        <f t="shared" si="555"/>
        <v>0</v>
      </c>
      <c r="CJ2116" s="16" t="e">
        <f t="shared" si="549"/>
        <v>#N/A</v>
      </c>
      <c r="CK2116" s="16" t="str">
        <f t="shared" si="550"/>
        <v/>
      </c>
    </row>
    <row r="2117" spans="73:89" ht="12" customHeight="1">
      <c r="BU2117" s="16">
        <f t="shared" si="551"/>
        <v>0</v>
      </c>
      <c r="BV2117" s="16">
        <f>IF($BY$12=1,NORMDIST(BY2117,$Y$6,$Y$8,TRUE),IF($BY$12=2,IF(BY2117&lt;=$BX$31,0,IF(BY2117&gt;=$BX$32,1,(BY2117-$BX$31)*$BX$33)),SUM($BU$42:BU2117)/$BV$40))</f>
        <v>0.99999999999999833</v>
      </c>
      <c r="BW2117" s="16">
        <f t="shared" si="553"/>
        <v>1.4137620075802702E-13</v>
      </c>
      <c r="BY2117" s="16">
        <f t="shared" si="554"/>
        <v>207.4999999999925</v>
      </c>
      <c r="BZ2117" s="16">
        <f t="shared" si="545"/>
        <v>6.8133108799051634E-16</v>
      </c>
      <c r="CA2117" s="16">
        <f t="shared" si="552"/>
        <v>-999</v>
      </c>
      <c r="CE2117" s="16" t="e">
        <f t="shared" si="546"/>
        <v>#N/A</v>
      </c>
      <c r="CF2117" s="16">
        <f t="shared" si="547"/>
        <v>99</v>
      </c>
      <c r="CG2117" s="16">
        <f t="shared" si="548"/>
        <v>0</v>
      </c>
      <c r="CH2117" s="16">
        <f t="shared" si="555"/>
        <v>0</v>
      </c>
      <c r="CJ2117" s="16" t="e">
        <f t="shared" si="549"/>
        <v>#N/A</v>
      </c>
      <c r="CK2117" s="16" t="str">
        <f t="shared" si="550"/>
        <v/>
      </c>
    </row>
    <row r="2118" spans="73:89" ht="12" customHeight="1">
      <c r="BU2118" s="16">
        <f t="shared" si="551"/>
        <v>0</v>
      </c>
      <c r="BV2118" s="16">
        <f>IF($BY$12=1,NORMDIST(BY2118,$Y$6,$Y$8,TRUE),IF($BY$12=2,IF(BY2118&lt;=$BX$31,0,IF(BY2118&gt;=$BX$32,1,(BY2118-$BX$31)*$BX$33)),SUM($BU$42:BU2118)/$BV$40))</f>
        <v>0.99999999999999833</v>
      </c>
      <c r="BW2118" s="16">
        <f t="shared" si="553"/>
        <v>1.3598148536502315E-13</v>
      </c>
      <c r="BY2118" s="16">
        <f t="shared" si="554"/>
        <v>207.59999999999249</v>
      </c>
      <c r="BZ2118" s="16">
        <f t="shared" si="545"/>
        <v>6.5501678884888285E-16</v>
      </c>
      <c r="CA2118" s="16">
        <f t="shared" si="552"/>
        <v>-999</v>
      </c>
      <c r="CE2118" s="16" t="e">
        <f t="shared" si="546"/>
        <v>#N/A</v>
      </c>
      <c r="CF2118" s="16">
        <f t="shared" si="547"/>
        <v>99</v>
      </c>
      <c r="CG2118" s="16">
        <f t="shared" si="548"/>
        <v>0</v>
      </c>
      <c r="CH2118" s="16">
        <f t="shared" si="555"/>
        <v>0</v>
      </c>
      <c r="CJ2118" s="16" t="e">
        <f t="shared" si="549"/>
        <v>#N/A</v>
      </c>
      <c r="CK2118" s="16" t="str">
        <f t="shared" si="550"/>
        <v/>
      </c>
    </row>
    <row r="2119" spans="73:89" ht="12" customHeight="1">
      <c r="BU2119" s="16">
        <f t="shared" si="551"/>
        <v>0</v>
      </c>
      <c r="BV2119" s="16">
        <f>IF($BY$12=1,NORMDIST(BY2119,$Y$6,$Y$8,TRUE),IF($BY$12=2,IF(BY2119&lt;=$BX$31,0,IF(BY2119&gt;=$BX$32,1,(BY2119-$BX$31)*$BX$33)),SUM($BU$42:BU2119)/$BV$40))</f>
        <v>0.99999999999999845</v>
      </c>
      <c r="BW2119" s="16">
        <f t="shared" si="553"/>
        <v>1.3078932454149191E-13</v>
      </c>
      <c r="BY2119" s="16">
        <f t="shared" si="554"/>
        <v>207.69999999999249</v>
      </c>
      <c r="BZ2119" s="16">
        <f t="shared" si="545"/>
        <v>6.297030550866473E-16</v>
      </c>
      <c r="CA2119" s="16">
        <f t="shared" si="552"/>
        <v>-999</v>
      </c>
      <c r="CE2119" s="16" t="e">
        <f t="shared" si="546"/>
        <v>#N/A</v>
      </c>
      <c r="CF2119" s="16">
        <f t="shared" si="547"/>
        <v>99</v>
      </c>
      <c r="CG2119" s="16">
        <f t="shared" si="548"/>
        <v>0</v>
      </c>
      <c r="CH2119" s="16">
        <f t="shared" si="555"/>
        <v>0</v>
      </c>
      <c r="CJ2119" s="16" t="e">
        <f t="shared" si="549"/>
        <v>#N/A</v>
      </c>
      <c r="CK2119" s="16" t="str">
        <f t="shared" si="550"/>
        <v/>
      </c>
    </row>
    <row r="2120" spans="73:89" ht="12" customHeight="1">
      <c r="BU2120" s="16">
        <f t="shared" si="551"/>
        <v>0</v>
      </c>
      <c r="BV2120" s="16">
        <f>IF($BY$12=1,NORMDIST(BY2120,$Y$6,$Y$8,TRUE),IF($BY$12=2,IF(BY2120&lt;=$BX$31,0,IF(BY2120&gt;=$BX$32,1,(BY2120-$BX$31)*$BX$33)),SUM($BU$42:BU2120)/$BV$40))</f>
        <v>0.99999999999999845</v>
      </c>
      <c r="BW2120" s="16">
        <f t="shared" si="553"/>
        <v>1.2579224121653336E-13</v>
      </c>
      <c r="BY2120" s="16">
        <f t="shared" si="554"/>
        <v>207.79999999999248</v>
      </c>
      <c r="BZ2120" s="16">
        <f t="shared" si="545"/>
        <v>6.053524601373336E-16</v>
      </c>
      <c r="CA2120" s="16">
        <f t="shared" si="552"/>
        <v>-999</v>
      </c>
      <c r="CE2120" s="16" t="e">
        <f t="shared" si="546"/>
        <v>#N/A</v>
      </c>
      <c r="CF2120" s="16">
        <f t="shared" si="547"/>
        <v>99</v>
      </c>
      <c r="CG2120" s="16">
        <f t="shared" si="548"/>
        <v>0</v>
      </c>
      <c r="CH2120" s="16">
        <f t="shared" si="555"/>
        <v>0</v>
      </c>
      <c r="CJ2120" s="16" t="e">
        <f t="shared" si="549"/>
        <v>#N/A</v>
      </c>
      <c r="CK2120" s="16" t="str">
        <f t="shared" si="550"/>
        <v/>
      </c>
    </row>
    <row r="2121" spans="73:89" ht="12" customHeight="1">
      <c r="BU2121" s="16">
        <f t="shared" si="551"/>
        <v>0</v>
      </c>
      <c r="BV2121" s="16">
        <f>IF($BY$12=1,NORMDIST(BY2121,$Y$6,$Y$8,TRUE),IF($BY$12=2,IF(BY2121&lt;=$BX$31,0,IF(BY2121&gt;=$BX$32,1,(BY2121-$BX$31)*$BX$33)),SUM($BU$42:BU2121)/$BV$40))</f>
        <v>0.99999999999999856</v>
      </c>
      <c r="BW2121" s="16">
        <f t="shared" si="553"/>
        <v>1.2098302941828031E-13</v>
      </c>
      <c r="BY2121" s="16">
        <f t="shared" si="554"/>
        <v>207.89999999999247</v>
      </c>
      <c r="BZ2121" s="16">
        <f t="shared" si="545"/>
        <v>5.8192895343090287E-16</v>
      </c>
      <c r="CA2121" s="16">
        <f t="shared" si="552"/>
        <v>-999</v>
      </c>
      <c r="CE2121" s="16" t="e">
        <f t="shared" si="546"/>
        <v>#N/A</v>
      </c>
      <c r="CF2121" s="16">
        <f t="shared" si="547"/>
        <v>99</v>
      </c>
      <c r="CG2121" s="16">
        <f t="shared" si="548"/>
        <v>0</v>
      </c>
      <c r="CH2121" s="16">
        <f t="shared" si="555"/>
        <v>0</v>
      </c>
      <c r="CJ2121" s="16" t="e">
        <f t="shared" si="549"/>
        <v>#N/A</v>
      </c>
      <c r="CK2121" s="16" t="str">
        <f t="shared" si="550"/>
        <v/>
      </c>
    </row>
    <row r="2122" spans="73:89" ht="12" customHeight="1">
      <c r="BU2122" s="16">
        <f t="shared" si="551"/>
        <v>0</v>
      </c>
      <c r="BV2122" s="16">
        <f>IF($BY$12=1,NORMDIST(BY2122,$Y$6,$Y$8,TRUE),IF($BY$12=2,IF(BY2122&lt;=$BX$31,0,IF(BY2122&gt;=$BX$32,1,(BY2122-$BX$31)*$BX$33)),SUM($BU$42:BU2122)/$BV$40))</f>
        <v>0.99999999999999856</v>
      </c>
      <c r="BW2122" s="16">
        <f t="shared" si="553"/>
        <v>1.1635474462960105E-13</v>
      </c>
      <c r="BY2122" s="16">
        <f t="shared" si="554"/>
        <v>207.99999999999247</v>
      </c>
      <c r="BZ2122" s="16">
        <f t="shared" si="545"/>
        <v>5.5939781071925614E-16</v>
      </c>
      <c r="CA2122" s="16">
        <f t="shared" si="552"/>
        <v>-999</v>
      </c>
      <c r="CE2122" s="16" t="e">
        <f t="shared" si="546"/>
        <v>#N/A</v>
      </c>
      <c r="CF2122" s="16">
        <f t="shared" si="547"/>
        <v>99</v>
      </c>
      <c r="CG2122" s="16">
        <f t="shared" si="548"/>
        <v>0</v>
      </c>
      <c r="CH2122" s="16">
        <f t="shared" si="555"/>
        <v>0</v>
      </c>
      <c r="CJ2122" s="16" t="e">
        <f t="shared" si="549"/>
        <v>#N/A</v>
      </c>
      <c r="CK2122" s="16" t="str">
        <f t="shared" si="550"/>
        <v/>
      </c>
    </row>
    <row r="2123" spans="73:89" ht="12" customHeight="1">
      <c r="BU2123" s="16">
        <f t="shared" si="551"/>
        <v>0</v>
      </c>
      <c r="BV2123" s="16">
        <f>IF($BY$12=1,NORMDIST(BY2123,$Y$6,$Y$8,TRUE),IF($BY$12=2,IF(BY2123&lt;=$BX$31,0,IF(BY2123&gt;=$BX$32,1,(BY2123-$BX$31)*$BX$33)),SUM($BU$42:BU2123)/$BV$40))</f>
        <v>0.99999999999999867</v>
      </c>
      <c r="BW2123" s="16">
        <f t="shared" si="553"/>
        <v>1.1190069448003871E-13</v>
      </c>
      <c r="BY2123" s="16">
        <f t="shared" si="554"/>
        <v>208.09999999999246</v>
      </c>
      <c r="BZ2123" s="16">
        <f t="shared" si="545"/>
        <v>5.3772558616070525E-16</v>
      </c>
      <c r="CA2123" s="16">
        <f t="shared" si="552"/>
        <v>-999</v>
      </c>
      <c r="CE2123" s="16" t="e">
        <f t="shared" si="546"/>
        <v>#N/A</v>
      </c>
      <c r="CF2123" s="16">
        <f t="shared" si="547"/>
        <v>99</v>
      </c>
      <c r="CG2123" s="16">
        <f t="shared" si="548"/>
        <v>0</v>
      </c>
      <c r="CH2123" s="16">
        <f t="shared" si="555"/>
        <v>0</v>
      </c>
      <c r="CJ2123" s="16" t="e">
        <f t="shared" si="549"/>
        <v>#N/A</v>
      </c>
      <c r="CK2123" s="16" t="str">
        <f t="shared" si="550"/>
        <v/>
      </c>
    </row>
    <row r="2124" spans="73:89" ht="12" customHeight="1">
      <c r="BU2124" s="16">
        <f t="shared" si="551"/>
        <v>0</v>
      </c>
      <c r="BV2124" s="16">
        <f>IF($BY$12=1,NORMDIST(BY2124,$Y$6,$Y$8,TRUE),IF($BY$12=2,IF(BY2124&lt;=$BX$31,0,IF(BY2124&gt;=$BX$32,1,(BY2124-$BX$31)*$BX$33)),SUM($BU$42:BU2124)/$BV$40))</f>
        <v>0.99999999999999867</v>
      </c>
      <c r="BW2124" s="16">
        <f t="shared" si="553"/>
        <v>1.076144297625064E-13</v>
      </c>
      <c r="BY2124" s="16">
        <f t="shared" si="554"/>
        <v>208.19999999999246</v>
      </c>
      <c r="BZ2124" s="16">
        <f t="shared" si="545"/>
        <v>5.1688006610235494E-16</v>
      </c>
      <c r="CA2124" s="16">
        <f t="shared" si="552"/>
        <v>-999</v>
      </c>
      <c r="CE2124" s="16" t="e">
        <f t="shared" si="546"/>
        <v>#N/A</v>
      </c>
      <c r="CF2124" s="16">
        <f t="shared" si="547"/>
        <v>99</v>
      </c>
      <c r="CG2124" s="16">
        <f t="shared" si="548"/>
        <v>0</v>
      </c>
      <c r="CH2124" s="16">
        <f t="shared" si="555"/>
        <v>0</v>
      </c>
      <c r="CJ2124" s="16" t="e">
        <f t="shared" si="549"/>
        <v>#N/A</v>
      </c>
      <c r="CK2124" s="16" t="str">
        <f t="shared" si="550"/>
        <v/>
      </c>
    </row>
    <row r="2125" spans="73:89" ht="12" customHeight="1">
      <c r="BU2125" s="16">
        <f t="shared" si="551"/>
        <v>0</v>
      </c>
      <c r="BV2125" s="16">
        <f>IF($BY$12=1,NORMDIST(BY2125,$Y$6,$Y$8,TRUE),IF($BY$12=2,IF(BY2125&lt;=$BX$31,0,IF(BY2125&gt;=$BX$32,1,(BY2125-$BX$31)*$BX$33)),SUM($BU$42:BU2125)/$BV$40))</f>
        <v>0.99999999999999878</v>
      </c>
      <c r="BW2125" s="16">
        <f t="shared" si="553"/>
        <v>1.0348973576364812E-13</v>
      </c>
      <c r="BY2125" s="16">
        <f t="shared" si="554"/>
        <v>208.29999999999245</v>
      </c>
      <c r="BZ2125" s="16">
        <f t="shared" si="545"/>
        <v>4.9683022450144917E-16</v>
      </c>
      <c r="CA2125" s="16">
        <f t="shared" si="552"/>
        <v>-999</v>
      </c>
      <c r="CE2125" s="16" t="e">
        <f t="shared" si="546"/>
        <v>#N/A</v>
      </c>
      <c r="CF2125" s="16">
        <f t="shared" si="547"/>
        <v>99</v>
      </c>
      <c r="CG2125" s="16">
        <f t="shared" si="548"/>
        <v>0</v>
      </c>
      <c r="CH2125" s="16">
        <f t="shared" si="555"/>
        <v>0</v>
      </c>
      <c r="CJ2125" s="16" t="e">
        <f t="shared" si="549"/>
        <v>#N/A</v>
      </c>
      <c r="CK2125" s="16" t="str">
        <f t="shared" si="550"/>
        <v/>
      </c>
    </row>
    <row r="2126" spans="73:89" ht="12" customHeight="1">
      <c r="BU2126" s="16">
        <f t="shared" si="551"/>
        <v>0</v>
      </c>
      <c r="BV2126" s="16">
        <f>IF($BY$12=1,NORMDIST(BY2126,$Y$6,$Y$8,TRUE),IF($BY$12=2,IF(BY2126&lt;=$BX$31,0,IF(BY2126&gt;=$BX$32,1,(BY2126-$BX$31)*$BX$33)),SUM($BU$42:BU2126)/$BV$40))</f>
        <v>0.99999999999999878</v>
      </c>
      <c r="BW2126" s="16">
        <f t="shared" si="553"/>
        <v>9.9520623897146829E-14</v>
      </c>
      <c r="BY2126" s="16">
        <f t="shared" si="554"/>
        <v>208.39999999999245</v>
      </c>
      <c r="BZ2126" s="16">
        <f t="shared" si="545"/>
        <v>4.7754617992874489E-16</v>
      </c>
      <c r="CA2126" s="16">
        <f t="shared" si="552"/>
        <v>-999</v>
      </c>
      <c r="CE2126" s="16" t="e">
        <f t="shared" si="546"/>
        <v>#N/A</v>
      </c>
      <c r="CF2126" s="16">
        <f t="shared" si="547"/>
        <v>99</v>
      </c>
      <c r="CG2126" s="16">
        <f t="shared" si="548"/>
        <v>0</v>
      </c>
      <c r="CH2126" s="16">
        <f t="shared" si="555"/>
        <v>0</v>
      </c>
      <c r="CJ2126" s="16" t="e">
        <f t="shared" si="549"/>
        <v>#N/A</v>
      </c>
      <c r="CK2126" s="16" t="str">
        <f t="shared" si="550"/>
        <v/>
      </c>
    </row>
    <row r="2127" spans="73:89" ht="12" customHeight="1">
      <c r="BU2127" s="16">
        <f t="shared" si="551"/>
        <v>0</v>
      </c>
      <c r="BV2127" s="16">
        <f>IF($BY$12=1,NORMDIST(BY2127,$Y$6,$Y$8,TRUE),IF($BY$12=2,IF(BY2127&lt;=$BX$31,0,IF(BY2127&gt;=$BX$32,1,(BY2127-$BX$31)*$BX$33)),SUM($BU$42:BU2127)/$BV$40))</f>
        <v>0.99999999999999889</v>
      </c>
      <c r="BW2127" s="16">
        <f t="shared" si="553"/>
        <v>9.570132362962612E-14</v>
      </c>
      <c r="BY2127" s="16">
        <f t="shared" si="554"/>
        <v>208.49999999999244</v>
      </c>
      <c r="BZ2127" s="16">
        <f t="shared" si="545"/>
        <v>4.5899915409894288E-16</v>
      </c>
      <c r="CA2127" s="16">
        <f t="shared" si="552"/>
        <v>-999</v>
      </c>
      <c r="CE2127" s="16" t="e">
        <f t="shared" si="546"/>
        <v>#N/A</v>
      </c>
      <c r="CF2127" s="16">
        <f t="shared" si="547"/>
        <v>99</v>
      </c>
      <c r="CG2127" s="16">
        <f t="shared" si="548"/>
        <v>0</v>
      </c>
      <c r="CH2127" s="16">
        <f t="shared" si="555"/>
        <v>0</v>
      </c>
      <c r="CJ2127" s="16" t="e">
        <f t="shared" si="549"/>
        <v>#N/A</v>
      </c>
      <c r="CK2127" s="16" t="str">
        <f t="shared" si="550"/>
        <v/>
      </c>
    </row>
    <row r="2128" spans="73:89" ht="12" customHeight="1">
      <c r="BU2128" s="16">
        <f t="shared" si="551"/>
        <v>0</v>
      </c>
      <c r="BV2128" s="16">
        <f>IF($BY$12=1,NORMDIST(BY2128,$Y$6,$Y$8,TRUE),IF($BY$12=2,IF(BY2128&lt;=$BX$31,0,IF(BY2128&gt;=$BX$32,1,(BY2128-$BX$31)*$BX$33)),SUM($BU$42:BU2128)/$BV$40))</f>
        <v>0.99999999999999889</v>
      </c>
      <c r="BW2128" s="16">
        <f t="shared" si="553"/>
        <v>9.2026274689119E-14</v>
      </c>
      <c r="BY2128" s="16">
        <f t="shared" si="554"/>
        <v>208.59999999999243</v>
      </c>
      <c r="BZ2128" s="16">
        <f t="shared" si="545"/>
        <v>4.4116143187498722E-16</v>
      </c>
      <c r="CA2128" s="16">
        <f t="shared" si="552"/>
        <v>-999</v>
      </c>
      <c r="CE2128" s="16" t="e">
        <f t="shared" si="546"/>
        <v>#N/A</v>
      </c>
      <c r="CF2128" s="16">
        <f t="shared" si="547"/>
        <v>99</v>
      </c>
      <c r="CG2128" s="16">
        <f t="shared" si="548"/>
        <v>0</v>
      </c>
      <c r="CH2128" s="16">
        <f t="shared" si="555"/>
        <v>0</v>
      </c>
      <c r="CJ2128" s="16" t="e">
        <f t="shared" si="549"/>
        <v>#N/A</v>
      </c>
      <c r="CK2128" s="16" t="str">
        <f t="shared" si="550"/>
        <v/>
      </c>
    </row>
    <row r="2129" spans="73:89" ht="12" customHeight="1">
      <c r="BU2129" s="16">
        <f t="shared" si="551"/>
        <v>0</v>
      </c>
      <c r="BV2129" s="16">
        <f>IF($BY$12=1,NORMDIST(BY2129,$Y$6,$Y$8,TRUE),IF($BY$12=2,IF(BY2129&lt;=$BX$31,0,IF(BY2129&gt;=$BX$32,1,(BY2129-$BX$31)*$BX$33)),SUM($BU$42:BU2129)/$BV$40))</f>
        <v>0.999999999999999</v>
      </c>
      <c r="BW2129" s="16">
        <f t="shared" si="553"/>
        <v>8.8490119546432395E-14</v>
      </c>
      <c r="BY2129" s="16">
        <f t="shared" si="554"/>
        <v>208.69999999999243</v>
      </c>
      <c r="BZ2129" s="16">
        <f t="shared" si="545"/>
        <v>4.2400632269494778E-16</v>
      </c>
      <c r="CA2129" s="16">
        <f t="shared" si="552"/>
        <v>-999</v>
      </c>
      <c r="CE2129" s="16" t="e">
        <f t="shared" si="546"/>
        <v>#N/A</v>
      </c>
      <c r="CF2129" s="16">
        <f t="shared" si="547"/>
        <v>99</v>
      </c>
      <c r="CG2129" s="16">
        <f t="shared" si="548"/>
        <v>0</v>
      </c>
      <c r="CH2129" s="16">
        <f t="shared" si="555"/>
        <v>0</v>
      </c>
      <c r="CJ2129" s="16" t="e">
        <f t="shared" si="549"/>
        <v>#N/A</v>
      </c>
      <c r="CK2129" s="16" t="str">
        <f t="shared" si="550"/>
        <v/>
      </c>
    </row>
    <row r="2130" spans="73:89" ht="12" customHeight="1">
      <c r="BU2130" s="16">
        <f t="shared" si="551"/>
        <v>0</v>
      </c>
      <c r="BV2130" s="16">
        <f>IF($BY$12=1,NORMDIST(BY2130,$Y$6,$Y$8,TRUE),IF($BY$12=2,IF(BY2130&lt;=$BX$31,0,IF(BY2130&gt;=$BX$32,1,(BY2130-$BX$31)*$BX$33)),SUM($BU$42:BU2130)/$BV$40))</f>
        <v>0.999999999999999</v>
      </c>
      <c r="BW2130" s="16">
        <f t="shared" si="553"/>
        <v>8.5087696160047172E-14</v>
      </c>
      <c r="BY2130" s="16">
        <f t="shared" si="554"/>
        <v>208.79999999999242</v>
      </c>
      <c r="BZ2130" s="16">
        <f t="shared" si="545"/>
        <v>4.075081233718882E-16</v>
      </c>
      <c r="CA2130" s="16">
        <f t="shared" si="552"/>
        <v>-999</v>
      </c>
      <c r="CE2130" s="16" t="e">
        <f t="shared" si="546"/>
        <v>#N/A</v>
      </c>
      <c r="CF2130" s="16">
        <f t="shared" si="547"/>
        <v>99</v>
      </c>
      <c r="CG2130" s="16">
        <f t="shared" si="548"/>
        <v>0</v>
      </c>
      <c r="CH2130" s="16">
        <f t="shared" si="555"/>
        <v>0</v>
      </c>
      <c r="CJ2130" s="16" t="e">
        <f t="shared" si="549"/>
        <v>#N/A</v>
      </c>
      <c r="CK2130" s="16" t="str">
        <f t="shared" si="550"/>
        <v/>
      </c>
    </row>
    <row r="2131" spans="73:89" ht="12" customHeight="1">
      <c r="BU2131" s="16">
        <f t="shared" si="551"/>
        <v>0</v>
      </c>
      <c r="BV2131" s="16">
        <f>IF($BY$12=1,NORMDIST(BY2131,$Y$6,$Y$8,TRUE),IF($BY$12=2,IF(BY2131&lt;=$BX$31,0,IF(BY2131&gt;=$BX$32,1,(BY2131-$BX$31)*$BX$33)),SUM($BU$42:BU2131)/$BV$40))</f>
        <v>0.999999999999999</v>
      </c>
      <c r="BW2131" s="16">
        <f t="shared" si="553"/>
        <v>8.1814030975514698E-14</v>
      </c>
      <c r="BY2131" s="16">
        <f t="shared" si="554"/>
        <v>208.89999999999242</v>
      </c>
      <c r="BZ2131" s="16">
        <f t="shared" si="545"/>
        <v>3.9164208221884954E-16</v>
      </c>
      <c r="CA2131" s="16">
        <f t="shared" si="552"/>
        <v>-999</v>
      </c>
      <c r="CE2131" s="16" t="e">
        <f t="shared" si="546"/>
        <v>#N/A</v>
      </c>
      <c r="CF2131" s="16">
        <f t="shared" si="547"/>
        <v>99</v>
      </c>
      <c r="CG2131" s="16">
        <f t="shared" si="548"/>
        <v>0</v>
      </c>
      <c r="CH2131" s="16">
        <f t="shared" si="555"/>
        <v>0</v>
      </c>
      <c r="CJ2131" s="16" t="e">
        <f t="shared" si="549"/>
        <v>#N/A</v>
      </c>
      <c r="CK2131" s="16" t="str">
        <f t="shared" si="550"/>
        <v/>
      </c>
    </row>
    <row r="2132" spans="73:89" ht="12" customHeight="1">
      <c r="BU2132" s="16">
        <f t="shared" si="551"/>
        <v>0</v>
      </c>
      <c r="BV2132" s="16">
        <f>IF($BY$12=1,NORMDIST(BY2132,$Y$6,$Y$8,TRUE),IF($BY$12=2,IF(BY2132&lt;=$BX$31,0,IF(BY2132&gt;=$BX$32,1,(BY2132-$BX$31)*$BX$33)),SUM($BU$42:BU2132)/$BV$40))</f>
        <v>0.99999999999999911</v>
      </c>
      <c r="BW2132" s="16">
        <f t="shared" si="553"/>
        <v>7.8664332170608215E-14</v>
      </c>
      <c r="BY2132" s="16">
        <f t="shared" si="554"/>
        <v>208.99999999999241</v>
      </c>
      <c r="BZ2132" s="16">
        <f t="shared" si="545"/>
        <v>3.7638436445268457E-16</v>
      </c>
      <c r="CA2132" s="16">
        <f t="shared" si="552"/>
        <v>-999</v>
      </c>
      <c r="CE2132" s="16" t="e">
        <f t="shared" si="546"/>
        <v>#N/A</v>
      </c>
      <c r="CF2132" s="16">
        <f t="shared" si="547"/>
        <v>99</v>
      </c>
      <c r="CG2132" s="16">
        <f t="shared" si="548"/>
        <v>0</v>
      </c>
      <c r="CH2132" s="16">
        <f t="shared" si="555"/>
        <v>0</v>
      </c>
      <c r="CJ2132" s="16" t="e">
        <f t="shared" si="549"/>
        <v>#N/A</v>
      </c>
      <c r="CK2132" s="16" t="str">
        <f t="shared" si="550"/>
        <v/>
      </c>
    </row>
    <row r="2133" spans="73:89" ht="12" customHeight="1">
      <c r="BU2133" s="16">
        <f t="shared" si="551"/>
        <v>0</v>
      </c>
      <c r="BV2133" s="16">
        <f>IF($BY$12=1,NORMDIST(BY2133,$Y$6,$Y$8,TRUE),IF($BY$12=2,IF(BY2133&lt;=$BX$31,0,IF(BY2133&gt;=$BX$32,1,(BY2133-$BX$31)*$BX$33)),SUM($BU$42:BU2133)/$BV$40))</f>
        <v>0.99999999999999911</v>
      </c>
      <c r="BW2133" s="16">
        <f t="shared" si="553"/>
        <v>7.5633983137783327E-14</v>
      </c>
      <c r="BY2133" s="16">
        <f t="shared" si="554"/>
        <v>209.09999999999241</v>
      </c>
      <c r="BZ2133" s="16">
        <f t="shared" si="545"/>
        <v>3.6171201883207116E-16</v>
      </c>
      <c r="CA2133" s="16">
        <f t="shared" si="552"/>
        <v>-999</v>
      </c>
      <c r="CE2133" s="16" t="e">
        <f t="shared" si="546"/>
        <v>#N/A</v>
      </c>
      <c r="CF2133" s="16">
        <f t="shared" si="547"/>
        <v>99</v>
      </c>
      <c r="CG2133" s="16">
        <f t="shared" si="548"/>
        <v>0</v>
      </c>
      <c r="CH2133" s="16">
        <f t="shared" si="555"/>
        <v>0</v>
      </c>
      <c r="CJ2133" s="16" t="e">
        <f t="shared" si="549"/>
        <v>#N/A</v>
      </c>
      <c r="CK2133" s="16" t="str">
        <f t="shared" si="550"/>
        <v/>
      </c>
    </row>
    <row r="2134" spans="73:89" ht="12" customHeight="1">
      <c r="BU2134" s="16">
        <f t="shared" si="551"/>
        <v>0</v>
      </c>
      <c r="BV2134" s="16">
        <f>IF($BY$12=1,NORMDIST(BY2134,$Y$6,$Y$8,TRUE),IF($BY$12=2,IF(BY2134&lt;=$BX$31,0,IF(BY2134&gt;=$BX$32,1,(BY2134-$BX$31)*$BX$33)),SUM($BU$42:BU2134)/$BV$40))</f>
        <v>0.99999999999999911</v>
      </c>
      <c r="BW2134" s="16">
        <f t="shared" si="553"/>
        <v>7.2718536195787972E-14</v>
      </c>
      <c r="BY2134" s="16">
        <f t="shared" si="554"/>
        <v>209.1999999999924</v>
      </c>
      <c r="BZ2134" s="16">
        <f t="shared" si="545"/>
        <v>3.4760294548657082E-16</v>
      </c>
      <c r="CA2134" s="16">
        <f t="shared" si="552"/>
        <v>-999</v>
      </c>
      <c r="CE2134" s="16" t="e">
        <f t="shared" si="546"/>
        <v>#N/A</v>
      </c>
      <c r="CF2134" s="16">
        <f t="shared" si="547"/>
        <v>99</v>
      </c>
      <c r="CG2134" s="16">
        <f t="shared" si="548"/>
        <v>0</v>
      </c>
      <c r="CH2134" s="16">
        <f t="shared" si="555"/>
        <v>0</v>
      </c>
      <c r="CJ2134" s="16" t="e">
        <f t="shared" si="549"/>
        <v>#N/A</v>
      </c>
      <c r="CK2134" s="16" t="str">
        <f t="shared" si="550"/>
        <v/>
      </c>
    </row>
    <row r="2135" spans="73:89" ht="12" customHeight="1">
      <c r="BU2135" s="16">
        <f t="shared" si="551"/>
        <v>0</v>
      </c>
      <c r="BV2135" s="16">
        <f>IF($BY$12=1,NORMDIST(BY2135,$Y$6,$Y$8,TRUE),IF($BY$12=2,IF(BY2135&lt;=$BX$31,0,IF(BY2135&gt;=$BX$32,1,(BY2135-$BX$31)*$BX$33)),SUM($BU$42:BU2135)/$BV$40))</f>
        <v>0.99999999999999922</v>
      </c>
      <c r="BW2135" s="16">
        <f t="shared" si="553"/>
        <v>6.9913706522531622E-14</v>
      </c>
      <c r="BY2135" s="16">
        <f t="shared" si="554"/>
        <v>209.29999999999239</v>
      </c>
      <c r="BZ2135" s="16">
        <f t="shared" si="545"/>
        <v>3.3403586489505094E-16</v>
      </c>
      <c r="CA2135" s="16">
        <f t="shared" si="552"/>
        <v>-999</v>
      </c>
      <c r="CE2135" s="16" t="e">
        <f t="shared" si="546"/>
        <v>#N/A</v>
      </c>
      <c r="CF2135" s="16">
        <f t="shared" si="547"/>
        <v>99</v>
      </c>
      <c r="CG2135" s="16">
        <f t="shared" si="548"/>
        <v>0</v>
      </c>
      <c r="CH2135" s="16">
        <f t="shared" si="555"/>
        <v>0</v>
      </c>
      <c r="CJ2135" s="16" t="e">
        <f t="shared" si="549"/>
        <v>#N/A</v>
      </c>
      <c r="CK2135" s="16" t="str">
        <f t="shared" si="550"/>
        <v/>
      </c>
    </row>
    <row r="2136" spans="73:89" ht="12" customHeight="1">
      <c r="BU2136" s="16">
        <f t="shared" si="551"/>
        <v>0</v>
      </c>
      <c r="BV2136" s="16">
        <f>IF($BY$12=1,NORMDIST(BY2136,$Y$6,$Y$8,TRUE),IF($BY$12=2,IF(BY2136&lt;=$BX$31,0,IF(BY2136&gt;=$BX$32,1,(BY2136-$BX$31)*$BX$33)),SUM($BU$42:BU2136)/$BV$40))</f>
        <v>0.99999999999999922</v>
      </c>
      <c r="BW2136" s="16">
        <f t="shared" si="553"/>
        <v>6.7215366301591335E-14</v>
      </c>
      <c r="BY2136" s="16">
        <f t="shared" si="554"/>
        <v>209.39999999999239</v>
      </c>
      <c r="BZ2136" s="16">
        <f t="shared" si="545"/>
        <v>3.2099028797322722E-16</v>
      </c>
      <c r="CA2136" s="16">
        <f t="shared" si="552"/>
        <v>-999</v>
      </c>
      <c r="CE2136" s="16" t="e">
        <f t="shared" si="546"/>
        <v>#N/A</v>
      </c>
      <c r="CF2136" s="16">
        <f t="shared" si="547"/>
        <v>99</v>
      </c>
      <c r="CG2136" s="16">
        <f t="shared" si="548"/>
        <v>0</v>
      </c>
      <c r="CH2136" s="16">
        <f t="shared" si="555"/>
        <v>0</v>
      </c>
      <c r="CJ2136" s="16" t="e">
        <f t="shared" si="549"/>
        <v>#N/A</v>
      </c>
      <c r="CK2136" s="16" t="str">
        <f t="shared" si="550"/>
        <v/>
      </c>
    </row>
    <row r="2137" spans="73:89" ht="12" customHeight="1">
      <c r="BU2137" s="16">
        <f t="shared" si="551"/>
        <v>0</v>
      </c>
      <c r="BV2137" s="16">
        <f>IF($BY$12=1,NORMDIST(BY2137,$Y$6,$Y$8,TRUE),IF($BY$12=2,IF(BY2137&lt;=$BX$31,0,IF(BY2137&gt;=$BX$32,1,(BY2137-$BX$31)*$BX$33)),SUM($BU$42:BU2137)/$BV$40))</f>
        <v>0.99999999999999922</v>
      </c>
      <c r="BW2137" s="16">
        <f t="shared" si="553"/>
        <v>6.4619539074993997E-14</v>
      </c>
      <c r="BY2137" s="16">
        <f t="shared" si="554"/>
        <v>209.49999999999238</v>
      </c>
      <c r="BZ2137" s="16">
        <f t="shared" si="545"/>
        <v>3.0844648723148615E-16</v>
      </c>
      <c r="CA2137" s="16">
        <f t="shared" si="552"/>
        <v>-999</v>
      </c>
      <c r="CE2137" s="16" t="e">
        <f t="shared" si="546"/>
        <v>#N/A</v>
      </c>
      <c r="CF2137" s="16">
        <f t="shared" si="547"/>
        <v>99</v>
      </c>
      <c r="CG2137" s="16">
        <f t="shared" si="548"/>
        <v>0</v>
      </c>
      <c r="CH2137" s="16">
        <f t="shared" si="555"/>
        <v>0</v>
      </c>
      <c r="CJ2137" s="16" t="e">
        <f t="shared" si="549"/>
        <v>#N/A</v>
      </c>
      <c r="CK2137" s="16" t="str">
        <f t="shared" si="550"/>
        <v/>
      </c>
    </row>
    <row r="2138" spans="73:89" ht="12" customHeight="1">
      <c r="BU2138" s="16">
        <f t="shared" si="551"/>
        <v>0</v>
      </c>
      <c r="BV2138" s="16">
        <f>IF($BY$12=1,NORMDIST(BY2138,$Y$6,$Y$8,TRUE),IF($BY$12=2,IF(BY2138&lt;=$BX$31,0,IF(BY2138&gt;=$BX$32,1,(BY2138-$BX$31)*$BX$33)),SUM($BU$42:BU2138)/$BV$40))</f>
        <v>0.99999999999999922</v>
      </c>
      <c r="BW2138" s="16">
        <f t="shared" si="553"/>
        <v>6.2122394295147628E-14</v>
      </c>
      <c r="BY2138" s="16">
        <f t="shared" si="554"/>
        <v>209.59999999999238</v>
      </c>
      <c r="BZ2138" s="16">
        <f t="shared" si="545"/>
        <v>2.9638546896540976E-16</v>
      </c>
      <c r="CA2138" s="16">
        <f t="shared" si="552"/>
        <v>-999</v>
      </c>
      <c r="CE2138" s="16" t="e">
        <f t="shared" si="546"/>
        <v>#N/A</v>
      </c>
      <c r="CF2138" s="16">
        <f t="shared" si="547"/>
        <v>99</v>
      </c>
      <c r="CG2138" s="16">
        <f t="shared" si="548"/>
        <v>0</v>
      </c>
      <c r="CH2138" s="16">
        <f t="shared" si="555"/>
        <v>0</v>
      </c>
      <c r="CJ2138" s="16" t="e">
        <f t="shared" si="549"/>
        <v>#N/A</v>
      </c>
      <c r="CK2138" s="16" t="str">
        <f t="shared" si="550"/>
        <v/>
      </c>
    </row>
    <row r="2139" spans="73:89" ht="12" customHeight="1">
      <c r="BU2139" s="16">
        <f t="shared" si="551"/>
        <v>0</v>
      </c>
      <c r="BV2139" s="16">
        <f>IF($BY$12=1,NORMDIST(BY2139,$Y$6,$Y$8,TRUE),IF($BY$12=2,IF(BY2139&lt;=$BX$31,0,IF(BY2139&gt;=$BX$32,1,(BY2139-$BX$31)*$BX$33)),SUM($BU$42:BU2139)/$BV$40))</f>
        <v>0.99999999999999933</v>
      </c>
      <c r="BW2139" s="16">
        <f t="shared" si="553"/>
        <v>5.9720242069055777E-14</v>
      </c>
      <c r="BY2139" s="16">
        <f t="shared" si="554"/>
        <v>209.69999999999237</v>
      </c>
      <c r="BZ2139" s="16">
        <f t="shared" si="545"/>
        <v>2.8478894644281331E-16</v>
      </c>
      <c r="CA2139" s="16">
        <f t="shared" si="552"/>
        <v>-999</v>
      </c>
      <c r="CE2139" s="16" t="e">
        <f t="shared" si="546"/>
        <v>#N/A</v>
      </c>
      <c r="CF2139" s="16">
        <f t="shared" si="547"/>
        <v>99</v>
      </c>
      <c r="CG2139" s="16">
        <f t="shared" si="548"/>
        <v>0</v>
      </c>
      <c r="CH2139" s="16">
        <f t="shared" si="555"/>
        <v>0</v>
      </c>
      <c r="CJ2139" s="16" t="e">
        <f t="shared" si="549"/>
        <v>#N/A</v>
      </c>
      <c r="CK2139" s="16" t="str">
        <f t="shared" si="550"/>
        <v/>
      </c>
    </row>
    <row r="2140" spans="73:89" ht="12" customHeight="1">
      <c r="BU2140" s="16">
        <f t="shared" si="551"/>
        <v>0</v>
      </c>
      <c r="BV2140" s="16">
        <f>IF($BY$12=1,NORMDIST(BY2140,$Y$6,$Y$8,TRUE),IF($BY$12=2,IF(BY2140&lt;=$BX$31,0,IF(BY2140&gt;=$BX$32,1,(BY2140-$BX$31)*$BX$33)),SUM($BU$42:BU2140)/$BV$40))</f>
        <v>0.99999999999999933</v>
      </c>
      <c r="BW2140" s="16">
        <f t="shared" si="553"/>
        <v>5.7409528088162263E-14</v>
      </c>
      <c r="BY2140" s="16">
        <f t="shared" si="554"/>
        <v>209.79999999999237</v>
      </c>
      <c r="BZ2140" s="16">
        <f t="shared" si="545"/>
        <v>2.73639314052261E-16</v>
      </c>
      <c r="CA2140" s="16">
        <f t="shared" si="552"/>
        <v>-999</v>
      </c>
      <c r="CE2140" s="16" t="e">
        <f t="shared" si="546"/>
        <v>#N/A</v>
      </c>
      <c r="CF2140" s="16">
        <f t="shared" si="547"/>
        <v>99</v>
      </c>
      <c r="CG2140" s="16">
        <f t="shared" si="548"/>
        <v>0</v>
      </c>
      <c r="CH2140" s="16">
        <f t="shared" si="555"/>
        <v>0</v>
      </c>
      <c r="CJ2140" s="16" t="e">
        <f t="shared" si="549"/>
        <v>#N/A</v>
      </c>
      <c r="CK2140" s="16" t="str">
        <f t="shared" si="550"/>
        <v/>
      </c>
    </row>
    <row r="2141" spans="73:89" ht="12" customHeight="1">
      <c r="BU2141" s="16">
        <f t="shared" si="551"/>
        <v>0</v>
      </c>
      <c r="BV2141" s="16">
        <f>IF($BY$12=1,NORMDIST(BY2141,$Y$6,$Y$8,TRUE),IF($BY$12=2,IF(BY2141&lt;=$BX$31,0,IF(BY2141&gt;=$BX$32,1,(BY2141-$BX$31)*$BX$33)),SUM($BU$42:BU2141)/$BV$40))</f>
        <v>0.99999999999999933</v>
      </c>
      <c r="BW2141" s="16">
        <f t="shared" si="553"/>
        <v>5.5186828737407812E-14</v>
      </c>
      <c r="BY2141" s="16">
        <f t="shared" si="554"/>
        <v>209.89999999999236</v>
      </c>
      <c r="BZ2141" s="16">
        <f t="shared" si="545"/>
        <v>2.62919622379275E-16</v>
      </c>
      <c r="CA2141" s="16">
        <f t="shared" si="552"/>
        <v>-999</v>
      </c>
      <c r="CE2141" s="16" t="e">
        <f t="shared" si="546"/>
        <v>#N/A</v>
      </c>
      <c r="CF2141" s="16">
        <f t="shared" si="547"/>
        <v>99</v>
      </c>
      <c r="CG2141" s="16">
        <f t="shared" si="548"/>
        <v>0</v>
      </c>
      <c r="CH2141" s="16">
        <f t="shared" si="555"/>
        <v>0</v>
      </c>
      <c r="CJ2141" s="16" t="e">
        <f t="shared" si="549"/>
        <v>#N/A</v>
      </c>
      <c r="CK2141" s="16" t="str">
        <f t="shared" si="550"/>
        <v/>
      </c>
    </row>
    <row r="2142" spans="73:89" ht="12" customHeight="1">
      <c r="BU2142" s="16">
        <f t="shared" si="551"/>
        <v>0</v>
      </c>
      <c r="BV2142" s="16">
        <f>IF($BY$12=1,NORMDIST(BY2142,$Y$6,$Y$8,TRUE),IF($BY$12=2,IF(BY2142&lt;=$BX$31,0,IF(BY2142&gt;=$BX$32,1,(BY2142-$BX$31)*$BX$33)),SUM($BU$42:BU2142)/$BV$40))</f>
        <v>0.99999999999999933</v>
      </c>
      <c r="BW2142" s="16">
        <f t="shared" si="553"/>
        <v>5.3048846377297509E-14</v>
      </c>
      <c r="BY2142" s="16">
        <f t="shared" si="554"/>
        <v>209.99999999999235</v>
      </c>
      <c r="BZ2142" s="16">
        <f t="shared" si="545"/>
        <v>2.5261355417761638E-16</v>
      </c>
      <c r="CA2142" s="16">
        <f t="shared" si="552"/>
        <v>-999</v>
      </c>
      <c r="CE2142" s="16" t="e">
        <f t="shared" si="546"/>
        <v>#N/A</v>
      </c>
      <c r="CF2142" s="16">
        <f t="shared" si="547"/>
        <v>99</v>
      </c>
      <c r="CG2142" s="16">
        <f t="shared" si="548"/>
        <v>0</v>
      </c>
      <c r="CH2142" s="16">
        <f t="shared" si="555"/>
        <v>0</v>
      </c>
      <c r="CJ2142" s="16" t="e">
        <f t="shared" si="549"/>
        <v>#N/A</v>
      </c>
      <c r="CK2142" s="16" t="str">
        <f t="shared" si="550"/>
        <v/>
      </c>
    </row>
    <row r="2143" spans="73:89" ht="12" customHeight="1">
      <c r="BU2143" s="16">
        <f t="shared" si="551"/>
        <v>0</v>
      </c>
      <c r="BV2143" s="16">
        <f>IF($BY$12=1,NORMDIST(BY2143,$Y$6,$Y$8,TRUE),IF($BY$12=2,IF(BY2143&lt;=$BX$31,0,IF(BY2143&gt;=$BX$32,1,(BY2143-$BX$31)*$BX$33)),SUM($BU$42:BU2143)/$BV$40))</f>
        <v>0.99999999999999944</v>
      </c>
      <c r="BW2143" s="16">
        <f t="shared" si="553"/>
        <v>5.0992404792981979E-14</v>
      </c>
      <c r="BY2143" s="16">
        <f t="shared" si="554"/>
        <v>210.09999999999235</v>
      </c>
      <c r="BZ2143" s="16">
        <f t="shared" si="545"/>
        <v>2.4270540120411156E-16</v>
      </c>
      <c r="CA2143" s="16">
        <f t="shared" si="552"/>
        <v>-999</v>
      </c>
      <c r="CE2143" s="16" t="e">
        <f t="shared" si="546"/>
        <v>#N/A</v>
      </c>
      <c r="CF2143" s="16">
        <f t="shared" si="547"/>
        <v>99</v>
      </c>
      <c r="CG2143" s="16">
        <f t="shared" si="548"/>
        <v>0</v>
      </c>
      <c r="CH2143" s="16">
        <f t="shared" si="555"/>
        <v>0</v>
      </c>
      <c r="CJ2143" s="16" t="e">
        <f t="shared" si="549"/>
        <v>#N/A</v>
      </c>
      <c r="CK2143" s="16" t="str">
        <f t="shared" si="550"/>
        <v/>
      </c>
    </row>
    <row r="2144" spans="73:89" ht="12" customHeight="1">
      <c r="BU2144" s="16">
        <f t="shared" si="551"/>
        <v>0</v>
      </c>
      <c r="BV2144" s="16">
        <f>IF($BY$12=1,NORMDIST(BY2144,$Y$6,$Y$8,TRUE),IF($BY$12=2,IF(BY2144&lt;=$BX$31,0,IF(BY2144&gt;=$BX$32,1,(BY2144-$BX$31)*$BX$33)),SUM($BU$42:BU2144)/$BV$40))</f>
        <v>0.99999999999999944</v>
      </c>
      <c r="BW2144" s="16">
        <f t="shared" si="553"/>
        <v>4.9014444804564222E-14</v>
      </c>
      <c r="BY2144" s="16">
        <f t="shared" si="554"/>
        <v>210.19999999999234</v>
      </c>
      <c r="BZ2144" s="16">
        <f t="shared" si="545"/>
        <v>2.3318004188661279E-16</v>
      </c>
      <c r="CA2144" s="16">
        <f t="shared" si="552"/>
        <v>-999</v>
      </c>
      <c r="CE2144" s="16" t="e">
        <f t="shared" si="546"/>
        <v>#N/A</v>
      </c>
      <c r="CF2144" s="16">
        <f t="shared" si="547"/>
        <v>99</v>
      </c>
      <c r="CG2144" s="16">
        <f t="shared" si="548"/>
        <v>0</v>
      </c>
      <c r="CH2144" s="16">
        <f t="shared" si="555"/>
        <v>0</v>
      </c>
      <c r="CJ2144" s="16" t="e">
        <f t="shared" si="549"/>
        <v>#N/A</v>
      </c>
      <c r="CK2144" s="16" t="str">
        <f t="shared" si="550"/>
        <v/>
      </c>
    </row>
    <row r="2145" spans="73:89" ht="12" customHeight="1">
      <c r="BU2145" s="16">
        <f t="shared" si="551"/>
        <v>0</v>
      </c>
      <c r="BV2145" s="16">
        <f>IF($BY$12=1,NORMDIST(BY2145,$Y$6,$Y$8,TRUE),IF($BY$12=2,IF(BY2145&lt;=$BX$31,0,IF(BY2145&gt;=$BX$32,1,(BY2145-$BX$31)*$BX$33)),SUM($BU$42:BU2145)/$BV$40))</f>
        <v>0.99999999999999944</v>
      </c>
      <c r="BW2145" s="16">
        <f t="shared" si="553"/>
        <v>4.711202003303681E-14</v>
      </c>
      <c r="BY2145" s="16">
        <f t="shared" si="554"/>
        <v>210.29999999999234</v>
      </c>
      <c r="BZ2145" s="16">
        <f t="shared" si="545"/>
        <v>2.2402291979571338E-16</v>
      </c>
      <c r="CA2145" s="16">
        <f t="shared" si="552"/>
        <v>-999</v>
      </c>
      <c r="CE2145" s="16" t="e">
        <f t="shared" si="546"/>
        <v>#N/A</v>
      </c>
      <c r="CF2145" s="16">
        <f t="shared" si="547"/>
        <v>99</v>
      </c>
      <c r="CG2145" s="16">
        <f t="shared" si="548"/>
        <v>0</v>
      </c>
      <c r="CH2145" s="16">
        <f t="shared" si="555"/>
        <v>0</v>
      </c>
      <c r="CJ2145" s="16" t="e">
        <f t="shared" si="549"/>
        <v>#N/A</v>
      </c>
      <c r="CK2145" s="16" t="str">
        <f t="shared" si="550"/>
        <v/>
      </c>
    </row>
    <row r="2146" spans="73:89" ht="12" customHeight="1">
      <c r="BU2146" s="16">
        <f t="shared" si="551"/>
        <v>0</v>
      </c>
      <c r="BV2146" s="16">
        <f>IF($BY$12=1,NORMDIST(BY2146,$Y$6,$Y$8,TRUE),IF($BY$12=2,IF(BY2146&lt;=$BX$31,0,IF(BY2146&gt;=$BX$32,1,(BY2146-$BX$31)*$BX$33)),SUM($BU$42:BU2146)/$BV$40))</f>
        <v>0.99999999999999944</v>
      </c>
      <c r="BW2146" s="16">
        <f t="shared" si="553"/>
        <v>4.5282292816448527E-14</v>
      </c>
      <c r="BY2146" s="16">
        <f t="shared" si="554"/>
        <v>210.39999999999233</v>
      </c>
      <c r="BZ2146" s="16">
        <f t="shared" si="545"/>
        <v>2.1522002289187345E-16</v>
      </c>
      <c r="CA2146" s="16">
        <f t="shared" si="552"/>
        <v>-999</v>
      </c>
      <c r="CE2146" s="16" t="e">
        <f t="shared" si="546"/>
        <v>#N/A</v>
      </c>
      <c r="CF2146" s="16">
        <f t="shared" si="547"/>
        <v>99</v>
      </c>
      <c r="CG2146" s="16">
        <f t="shared" si="548"/>
        <v>0</v>
      </c>
      <c r="CH2146" s="16">
        <f t="shared" si="555"/>
        <v>0</v>
      </c>
      <c r="CJ2146" s="16" t="e">
        <f t="shared" si="549"/>
        <v>#N/A</v>
      </c>
      <c r="CK2146" s="16" t="str">
        <f t="shared" si="550"/>
        <v/>
      </c>
    </row>
    <row r="2147" spans="73:89" ht="12" customHeight="1">
      <c r="BU2147" s="16">
        <f t="shared" si="551"/>
        <v>0</v>
      </c>
      <c r="BV2147" s="16">
        <f>IF($BY$12=1,NORMDIST(BY2147,$Y$6,$Y$8,TRUE),IF($BY$12=2,IF(BY2147&lt;=$BX$31,0,IF(BY2147&gt;=$BX$32,1,(BY2147-$BX$31)*$BX$33)),SUM($BU$42:BU2147)/$BV$40))</f>
        <v>0.99999999999999944</v>
      </c>
      <c r="BW2147" s="16">
        <f t="shared" si="553"/>
        <v>4.3522530271074215E-14</v>
      </c>
      <c r="BY2147" s="16">
        <f t="shared" si="554"/>
        <v>210.49999999999233</v>
      </c>
      <c r="BZ2147" s="16">
        <f t="shared" si="545"/>
        <v>2.0675786352055011E-16</v>
      </c>
      <c r="CA2147" s="16">
        <f t="shared" si="552"/>
        <v>-999</v>
      </c>
      <c r="CE2147" s="16" t="e">
        <f t="shared" si="546"/>
        <v>#N/A</v>
      </c>
      <c r="CF2147" s="16">
        <f t="shared" si="547"/>
        <v>99</v>
      </c>
      <c r="CG2147" s="16">
        <f t="shared" si="548"/>
        <v>0</v>
      </c>
      <c r="CH2147" s="16">
        <f t="shared" si="555"/>
        <v>0</v>
      </c>
      <c r="CJ2147" s="16" t="e">
        <f t="shared" si="549"/>
        <v>#N/A</v>
      </c>
      <c r="CK2147" s="16" t="str">
        <f t="shared" si="550"/>
        <v/>
      </c>
    </row>
    <row r="2148" spans="73:89" ht="12" customHeight="1">
      <c r="BU2148" s="16">
        <f t="shared" si="551"/>
        <v>0</v>
      </c>
      <c r="BV2148" s="16">
        <f>IF($BY$12=1,NORMDIST(BY2148,$Y$6,$Y$8,TRUE),IF($BY$12=2,IF(BY2148&lt;=$BX$31,0,IF(BY2148&gt;=$BX$32,1,(BY2148-$BX$31)*$BX$33)),SUM($BU$42:BU2148)/$BV$40))</f>
        <v>0.99999999999999956</v>
      </c>
      <c r="BW2148" s="16">
        <f t="shared" si="553"/>
        <v>4.18301004925476E-14</v>
      </c>
      <c r="BY2148" s="16">
        <f t="shared" si="554"/>
        <v>210.59999999999232</v>
      </c>
      <c r="BZ2148" s="16">
        <f t="shared" si="545"/>
        <v>1.9862345912891322E-16</v>
      </c>
      <c r="CA2148" s="16">
        <f t="shared" si="552"/>
        <v>-999</v>
      </c>
      <c r="CE2148" s="16" t="e">
        <f t="shared" si="546"/>
        <v>#N/A</v>
      </c>
      <c r="CF2148" s="16">
        <f t="shared" si="547"/>
        <v>99</v>
      </c>
      <c r="CG2148" s="16">
        <f t="shared" si="548"/>
        <v>0</v>
      </c>
      <c r="CH2148" s="16">
        <f t="shared" si="555"/>
        <v>0</v>
      </c>
      <c r="CJ2148" s="16" t="e">
        <f t="shared" si="549"/>
        <v>#N/A</v>
      </c>
      <c r="CK2148" s="16" t="str">
        <f t="shared" si="550"/>
        <v/>
      </c>
    </row>
    <row r="2149" spans="73:89" ht="12" customHeight="1">
      <c r="BU2149" s="16">
        <f t="shared" si="551"/>
        <v>0</v>
      </c>
      <c r="BV2149" s="16">
        <f>IF($BY$12=1,NORMDIST(BY2149,$Y$6,$Y$8,TRUE),IF($BY$12=2,IF(BY2149&lt;=$BX$31,0,IF(BY2149&gt;=$BX$32,1,(BY2149-$BX$31)*$BX$33)),SUM($BU$42:BU2149)/$BV$40))</f>
        <v>0.99999999999999956</v>
      </c>
      <c r="BW2149" s="16">
        <f t="shared" si="553"/>
        <v>4.0202468892088333E-14</v>
      </c>
      <c r="BY2149" s="16">
        <f t="shared" si="554"/>
        <v>210.69999999999231</v>
      </c>
      <c r="BZ2149" s="16">
        <f t="shared" si="545"/>
        <v>1.9080431367864167E-16</v>
      </c>
      <c r="CA2149" s="16">
        <f t="shared" si="552"/>
        <v>-999</v>
      </c>
      <c r="CE2149" s="16" t="e">
        <f t="shared" si="546"/>
        <v>#N/A</v>
      </c>
      <c r="CF2149" s="16">
        <f t="shared" si="547"/>
        <v>99</v>
      </c>
      <c r="CG2149" s="16">
        <f t="shared" si="548"/>
        <v>0</v>
      </c>
      <c r="CH2149" s="16">
        <f t="shared" si="555"/>
        <v>0</v>
      </c>
      <c r="CJ2149" s="16" t="e">
        <f t="shared" si="549"/>
        <v>#N/A</v>
      </c>
      <c r="CK2149" s="16" t="str">
        <f t="shared" si="550"/>
        <v/>
      </c>
    </row>
    <row r="2150" spans="73:89" ht="12" customHeight="1">
      <c r="BU2150" s="16">
        <f t="shared" si="551"/>
        <v>0</v>
      </c>
      <c r="BV2150" s="16">
        <f>IF($BY$12=1,NORMDIST(BY2150,$Y$6,$Y$8,TRUE),IF($BY$12=2,IF(BY2150&lt;=$BX$31,0,IF(BY2150&gt;=$BX$32,1,(BY2150-$BX$31)*$BX$33)),SUM($BU$42:BU2150)/$BV$40))</f>
        <v>0.99999999999999956</v>
      </c>
      <c r="BW2150" s="16">
        <f t="shared" si="553"/>
        <v>3.8637194663109977E-14</v>
      </c>
      <c r="BY2150" s="16">
        <f t="shared" si="554"/>
        <v>210.79999999999231</v>
      </c>
      <c r="BZ2150" s="16">
        <f t="shared" si="545"/>
        <v>1.832883997301299E-16</v>
      </c>
      <c r="CA2150" s="16">
        <f t="shared" si="552"/>
        <v>-999</v>
      </c>
      <c r="CE2150" s="16" t="e">
        <f t="shared" si="546"/>
        <v>#N/A</v>
      </c>
      <c r="CF2150" s="16">
        <f t="shared" si="547"/>
        <v>99</v>
      </c>
      <c r="CG2150" s="16">
        <f t="shared" si="548"/>
        <v>0</v>
      </c>
      <c r="CH2150" s="16">
        <f t="shared" si="555"/>
        <v>0</v>
      </c>
      <c r="CJ2150" s="16" t="e">
        <f t="shared" si="549"/>
        <v>#N/A</v>
      </c>
      <c r="CK2150" s="16" t="str">
        <f t="shared" si="550"/>
        <v/>
      </c>
    </row>
    <row r="2151" spans="73:89" ht="12" customHeight="1">
      <c r="BU2151" s="16">
        <f t="shared" si="551"/>
        <v>0</v>
      </c>
      <c r="BV2151" s="16">
        <f>IF($BY$12=1,NORMDIST(BY2151,$Y$6,$Y$8,TRUE),IF($BY$12=2,IF(BY2151&lt;=$BX$31,0,IF(BY2151&gt;=$BX$32,1,(BY2151-$BX$31)*$BX$33)),SUM($BU$42:BU2151)/$BV$40))</f>
        <v>0.99999999999999956</v>
      </c>
      <c r="BW2151" s="16">
        <f t="shared" si="553"/>
        <v>3.7131927373671119E-14</v>
      </c>
      <c r="BY2151" s="16">
        <f t="shared" si="554"/>
        <v>210.8999999999923</v>
      </c>
      <c r="BZ2151" s="16">
        <f t="shared" si="545"/>
        <v>1.7606414117435977E-16</v>
      </c>
      <c r="CA2151" s="16">
        <f t="shared" si="552"/>
        <v>-999</v>
      </c>
      <c r="CE2151" s="16" t="e">
        <f t="shared" si="546"/>
        <v>#N/A</v>
      </c>
      <c r="CF2151" s="16">
        <f t="shared" si="547"/>
        <v>99</v>
      </c>
      <c r="CG2151" s="16">
        <f t="shared" si="548"/>
        <v>0</v>
      </c>
      <c r="CH2151" s="16">
        <f t="shared" si="555"/>
        <v>0</v>
      </c>
      <c r="CJ2151" s="16" t="e">
        <f t="shared" si="549"/>
        <v>#N/A</v>
      </c>
      <c r="CK2151" s="16" t="str">
        <f t="shared" si="550"/>
        <v/>
      </c>
    </row>
    <row r="2152" spans="73:89" ht="12" customHeight="1">
      <c r="BU2152" s="16">
        <f t="shared" si="551"/>
        <v>0</v>
      </c>
      <c r="BV2152" s="16">
        <f>IF($BY$12=1,NORMDIST(BY2152,$Y$6,$Y$8,TRUE),IF($BY$12=2,IF(BY2152&lt;=$BX$31,0,IF(BY2152&gt;=$BX$32,1,(BY2152-$BX$31)*$BX$33)),SUM($BU$42:BU2152)/$BV$40))</f>
        <v>0.99999999999999956</v>
      </c>
      <c r="BW2152" s="16">
        <f t="shared" si="553"/>
        <v>3.5684403680374307E-14</v>
      </c>
      <c r="BY2152" s="16">
        <f t="shared" si="554"/>
        <v>210.9999999999923</v>
      </c>
      <c r="BZ2152" s="16">
        <f t="shared" si="545"/>
        <v>1.6912039658945787E-16</v>
      </c>
      <c r="CA2152" s="16">
        <f t="shared" si="552"/>
        <v>-999</v>
      </c>
      <c r="CE2152" s="16" t="e">
        <f t="shared" si="546"/>
        <v>#N/A</v>
      </c>
      <c r="CF2152" s="16">
        <f t="shared" si="547"/>
        <v>99</v>
      </c>
      <c r="CG2152" s="16">
        <f t="shared" si="548"/>
        <v>0</v>
      </c>
      <c r="CH2152" s="16">
        <f t="shared" si="555"/>
        <v>0</v>
      </c>
      <c r="CJ2152" s="16" t="e">
        <f t="shared" si="549"/>
        <v>#N/A</v>
      </c>
      <c r="CK2152" s="16" t="str">
        <f t="shared" si="550"/>
        <v/>
      </c>
    </row>
    <row r="2153" spans="73:89" ht="12" customHeight="1">
      <c r="BU2153" s="16">
        <f t="shared" si="551"/>
        <v>0</v>
      </c>
      <c r="BV2153" s="16">
        <f>IF($BY$12=1,NORMDIST(BY2153,$Y$6,$Y$8,TRUE),IF($BY$12=2,IF(BY2153&lt;=$BX$31,0,IF(BY2153&gt;=$BX$32,1,(BY2153-$BX$31)*$BX$33)),SUM($BU$42:BU2153)/$BV$40))</f>
        <v>0.99999999999999956</v>
      </c>
      <c r="BW2153" s="16">
        <f t="shared" si="553"/>
        <v>3.4292444159473754E-14</v>
      </c>
      <c r="BY2153" s="16">
        <f t="shared" si="554"/>
        <v>211.09999999999229</v>
      </c>
      <c r="BZ2153" s="16">
        <f t="shared" si="545"/>
        <v>1.6244644319978686E-16</v>
      </c>
      <c r="CA2153" s="16">
        <f t="shared" si="552"/>
        <v>-999</v>
      </c>
      <c r="CE2153" s="16" t="e">
        <f t="shared" si="546"/>
        <v>#N/A</v>
      </c>
      <c r="CF2153" s="16">
        <f t="shared" si="547"/>
        <v>99</v>
      </c>
      <c r="CG2153" s="16">
        <f t="shared" si="548"/>
        <v>0</v>
      </c>
      <c r="CH2153" s="16">
        <f t="shared" si="555"/>
        <v>0</v>
      </c>
      <c r="CJ2153" s="16" t="e">
        <f t="shared" si="549"/>
        <v>#N/A</v>
      </c>
      <c r="CK2153" s="16" t="str">
        <f t="shared" si="550"/>
        <v/>
      </c>
    </row>
    <row r="2154" spans="73:89" ht="12" customHeight="1">
      <c r="BU2154" s="16">
        <f t="shared" si="551"/>
        <v>0</v>
      </c>
      <c r="BV2154" s="16">
        <f>IF($BY$12=1,NORMDIST(BY2154,$Y$6,$Y$8,TRUE),IF($BY$12=2,IF(BY2154&lt;=$BX$31,0,IF(BY2154&gt;=$BX$32,1,(BY2154-$BX$31)*$BX$33)),SUM($BU$42:BU2154)/$BV$40))</f>
        <v>0.99999999999999967</v>
      </c>
      <c r="BW2154" s="16">
        <f t="shared" si="553"/>
        <v>3.2953950251095937E-14</v>
      </c>
      <c r="BY2154" s="16">
        <f t="shared" si="554"/>
        <v>211.19999999999229</v>
      </c>
      <c r="BZ2154" s="16">
        <f t="shared" ref="BZ2154:BZ2217" si="556">IF($BZ$5,IF($BY$12=1,NORMDIST(BY2154,$Y$6,$Y$8,FALSE),IF($BY$12=2,IF(AND(BY2154&gt;=$BX$31,BY2154&lt;=$BX$32),$BX$33,0),IF(BY2154&lt;=$BX$13,0,NORMDIST(LN((BY2154-$BX$13)/$BX$12),0,$BW$8,FALSE)/((BY2154-$BX$13)/$BX$12)))),-999)</f>
        <v>1.5603196141617965E-16</v>
      </c>
      <c r="CA2154" s="16">
        <f t="shared" si="552"/>
        <v>-999</v>
      </c>
      <c r="CE2154" s="16" t="e">
        <f t="shared" ref="CE2154:CE2217" si="557">IF(AND($CB$7,$CD$2,$CD$1),26+$P$23/2-CC2154*$P$23,NA())</f>
        <v>#N/A</v>
      </c>
      <c r="CF2154" s="16">
        <f t="shared" ref="CF2154:CF2217" si="558">IF(ISNA(CJ2154),99,CJ2154)</f>
        <v>99</v>
      </c>
      <c r="CG2154" s="16">
        <f t="shared" ref="CG2154:CG2217" si="559">IF(ISNA(CJ2154),0,CJ2154)</f>
        <v>0</v>
      </c>
      <c r="CH2154" s="16">
        <f t="shared" si="555"/>
        <v>0</v>
      </c>
      <c r="CJ2154" s="16" t="e">
        <f t="shared" ref="CJ2154:CJ2217" si="560">IF(CH2154=1,CE2154,NA())</f>
        <v>#N/A</v>
      </c>
      <c r="CK2154" s="16" t="str">
        <f t="shared" ref="CK2154:CK2217" si="561">IF(CH2154=1,M2053,"")</f>
        <v/>
      </c>
    </row>
    <row r="2155" spans="73:89" ht="12" customHeight="1">
      <c r="BU2155" s="16">
        <f t="shared" ref="BU2155:BU2218" si="562">IF($BY$12&lt;3,0,IF(BY2155&lt;=$BX$13,0,NORMDIST(LN((BY2155-$BX$13)/$BX$12),0,$BW$8,FALSE)/((BY2155-$BX$13)/$BX$12)))</f>
        <v>0</v>
      </c>
      <c r="BV2155" s="16">
        <f>IF($BY$12=1,NORMDIST(BY2155,$Y$6,$Y$8,TRUE),IF($BY$12=2,IF(BY2155&lt;=$BX$31,0,IF(BY2155&gt;=$BX$32,1,(BY2155-$BX$31)*$BX$33)),SUM($BU$42:BU2155)/$BV$40))</f>
        <v>0.99999999999999967</v>
      </c>
      <c r="BW2155" s="16">
        <f t="shared" si="553"/>
        <v>3.1666901312617488E-14</v>
      </c>
      <c r="BY2155" s="16">
        <f t="shared" si="554"/>
        <v>211.29999999999228</v>
      </c>
      <c r="BZ2155" s="16">
        <f t="shared" si="556"/>
        <v>1.4986701993667131E-16</v>
      </c>
      <c r="CA2155" s="16">
        <f t="shared" ref="CA2155:CA2218" si="563">IF(AND($CD$1,$CD$3),26-$CD$40*NORMDIST(BY2155,$Y$6,$Y$8/SQRT($T$18),FALSE),-999)</f>
        <v>-999</v>
      </c>
      <c r="CE2155" s="16" t="e">
        <f t="shared" si="557"/>
        <v>#N/A</v>
      </c>
      <c r="CF2155" s="16">
        <f t="shared" si="558"/>
        <v>99</v>
      </c>
      <c r="CG2155" s="16">
        <f t="shared" si="559"/>
        <v>0</v>
      </c>
      <c r="CH2155" s="16">
        <f t="shared" si="555"/>
        <v>0</v>
      </c>
      <c r="CJ2155" s="16" t="e">
        <f t="shared" si="560"/>
        <v>#N/A</v>
      </c>
      <c r="CK2155" s="16" t="str">
        <f t="shared" si="561"/>
        <v/>
      </c>
    </row>
    <row r="2156" spans="73:89" ht="12" customHeight="1">
      <c r="BU2156" s="16">
        <f t="shared" si="562"/>
        <v>0</v>
      </c>
      <c r="BV2156" s="16">
        <f>IF($BY$12=1,NORMDIST(BY2156,$Y$6,$Y$8,TRUE),IF($BY$12=2,IF(BY2156&lt;=$BX$31,0,IF(BY2156&gt;=$BX$32,1,(BY2156-$BX$31)*$BX$33)),SUM($BU$42:BU2156)/$BV$40))</f>
        <v>0.99999999999999967</v>
      </c>
      <c r="BW2156" s="16">
        <f t="shared" si="553"/>
        <v>3.0429351777378454E-14</v>
      </c>
      <c r="BY2156" s="16">
        <f t="shared" si="554"/>
        <v>211.39999999999227</v>
      </c>
      <c r="BZ2156" s="16">
        <f t="shared" si="556"/>
        <v>1.4394206138779359E-16</v>
      </c>
      <c r="CA2156" s="16">
        <f t="shared" si="563"/>
        <v>-999</v>
      </c>
      <c r="CE2156" s="16" t="e">
        <f t="shared" si="557"/>
        <v>#N/A</v>
      </c>
      <c r="CF2156" s="16">
        <f t="shared" si="558"/>
        <v>99</v>
      </c>
      <c r="CG2156" s="16">
        <f t="shared" si="559"/>
        <v>0</v>
      </c>
      <c r="CH2156" s="16">
        <f t="shared" si="555"/>
        <v>0</v>
      </c>
      <c r="CJ2156" s="16" t="e">
        <f t="shared" si="560"/>
        <v>#N/A</v>
      </c>
      <c r="CK2156" s="16" t="str">
        <f t="shared" si="561"/>
        <v/>
      </c>
    </row>
    <row r="2157" spans="73:89" ht="12" customHeight="1">
      <c r="BU2157" s="16">
        <f t="shared" si="562"/>
        <v>0</v>
      </c>
      <c r="BV2157" s="16">
        <f>IF($BY$12=1,NORMDIST(BY2157,$Y$6,$Y$8,TRUE),IF($BY$12=2,IF(BY2157&lt;=$BX$31,0,IF(BY2157&gt;=$BX$32,1,(BY2157-$BX$31)*$BX$33)),SUM($BU$42:BU2157)/$BV$40))</f>
        <v>0.99999999999999967</v>
      </c>
      <c r="BW2157" s="16">
        <f t="shared" si="553"/>
        <v>2.9239428415045072E-14</v>
      </c>
      <c r="BY2157" s="16">
        <f t="shared" si="554"/>
        <v>211.49999999999227</v>
      </c>
      <c r="BZ2157" s="16">
        <f t="shared" si="556"/>
        <v>1.382478884872158E-16</v>
      </c>
      <c r="CA2157" s="16">
        <f t="shared" si="563"/>
        <v>-999</v>
      </c>
      <c r="CE2157" s="16" t="e">
        <f t="shared" si="557"/>
        <v>#N/A</v>
      </c>
      <c r="CF2157" s="16">
        <f t="shared" si="558"/>
        <v>99</v>
      </c>
      <c r="CG2157" s="16">
        <f t="shared" si="559"/>
        <v>0</v>
      </c>
      <c r="CH2157" s="16">
        <f t="shared" si="555"/>
        <v>0</v>
      </c>
      <c r="CJ2157" s="16" t="e">
        <f t="shared" si="560"/>
        <v>#N/A</v>
      </c>
      <c r="CK2157" s="16" t="str">
        <f t="shared" si="561"/>
        <v/>
      </c>
    </row>
    <row r="2158" spans="73:89" ht="12" customHeight="1">
      <c r="BU2158" s="16">
        <f t="shared" si="562"/>
        <v>0</v>
      </c>
      <c r="BV2158" s="16">
        <f>IF($BY$12=1,NORMDIST(BY2158,$Y$6,$Y$8,TRUE),IF($BY$12=2,IF(BY2158&lt;=$BX$31,0,IF(BY2158&gt;=$BX$32,1,(BY2158-$BX$31)*$BX$33)),SUM($BU$42:BU2158)/$BV$40))</f>
        <v>0.99999999999999967</v>
      </c>
      <c r="BW2158" s="16">
        <f t="shared" si="553"/>
        <v>2.8095327690053281E-14</v>
      </c>
      <c r="BY2158" s="16">
        <f t="shared" si="554"/>
        <v>211.59999999999226</v>
      </c>
      <c r="BZ2158" s="16">
        <f t="shared" si="556"/>
        <v>1.3277565070914134E-16</v>
      </c>
      <c r="CA2158" s="16">
        <f t="shared" si="563"/>
        <v>-999</v>
      </c>
      <c r="CE2158" s="16" t="e">
        <f t="shared" si="557"/>
        <v>#N/A</v>
      </c>
      <c r="CF2158" s="16">
        <f t="shared" si="558"/>
        <v>99</v>
      </c>
      <c r="CG2158" s="16">
        <f t="shared" si="559"/>
        <v>0</v>
      </c>
      <c r="CH2158" s="16">
        <f t="shared" si="555"/>
        <v>0</v>
      </c>
      <c r="CJ2158" s="16" t="e">
        <f t="shared" si="560"/>
        <v>#N/A</v>
      </c>
      <c r="CK2158" s="16" t="str">
        <f t="shared" si="561"/>
        <v/>
      </c>
    </row>
    <row r="2159" spans="73:89" ht="12" customHeight="1">
      <c r="BU2159" s="16">
        <f t="shared" si="562"/>
        <v>0</v>
      </c>
      <c r="BV2159" s="16">
        <f>IF($BY$12=1,NORMDIST(BY2159,$Y$6,$Y$8,TRUE),IF($BY$12=2,IF(BY2159&lt;=$BX$31,0,IF(BY2159&gt;=$BX$32,1,(BY2159-$BX$31)*$BX$33)),SUM($BU$42:BU2159)/$BV$40))</f>
        <v>0.99999999999999967</v>
      </c>
      <c r="BW2159" s="16">
        <f t="shared" si="553"/>
        <v>2.6995313214697422E-14</v>
      </c>
      <c r="BY2159" s="16">
        <f t="shared" si="554"/>
        <v>211.69999999999226</v>
      </c>
      <c r="BZ2159" s="16">
        <f t="shared" si="556"/>
        <v>1.2751683143456971E-16</v>
      </c>
      <c r="CA2159" s="16">
        <f t="shared" si="563"/>
        <v>-999</v>
      </c>
      <c r="CE2159" s="16" t="e">
        <f t="shared" si="557"/>
        <v>#N/A</v>
      </c>
      <c r="CF2159" s="16">
        <f t="shared" si="558"/>
        <v>99</v>
      </c>
      <c r="CG2159" s="16">
        <f t="shared" si="559"/>
        <v>0</v>
      </c>
      <c r="CH2159" s="16">
        <f t="shared" si="555"/>
        <v>0</v>
      </c>
      <c r="CJ2159" s="16" t="e">
        <f t="shared" si="560"/>
        <v>#N/A</v>
      </c>
      <c r="CK2159" s="16" t="str">
        <f t="shared" si="561"/>
        <v/>
      </c>
    </row>
    <row r="2160" spans="73:89" ht="12" customHeight="1">
      <c r="BU2160" s="16">
        <f t="shared" si="562"/>
        <v>0</v>
      </c>
      <c r="BV2160" s="16">
        <f>IF($BY$12=1,NORMDIST(BY2160,$Y$6,$Y$8,TRUE),IF($BY$12=2,IF(BY2160&lt;=$BX$31,0,IF(BY2160&gt;=$BX$32,1,(BY2160-$BX$31)*$BX$33)),SUM($BU$42:BU2160)/$BV$40))</f>
        <v>0.99999999999999967</v>
      </c>
      <c r="BW2160" s="16">
        <f t="shared" si="553"/>
        <v>2.5937713293538007E-14</v>
      </c>
      <c r="BY2160" s="16">
        <f t="shared" si="554"/>
        <v>211.79999999999225</v>
      </c>
      <c r="BZ2160" s="16">
        <f t="shared" si="556"/>
        <v>1.2246323556911688E-16</v>
      </c>
      <c r="CA2160" s="16">
        <f t="shared" si="563"/>
        <v>-999</v>
      </c>
      <c r="CE2160" s="16" t="e">
        <f t="shared" si="557"/>
        <v>#N/A</v>
      </c>
      <c r="CF2160" s="16">
        <f t="shared" si="558"/>
        <v>99</v>
      </c>
      <c r="CG2160" s="16">
        <f t="shared" si="559"/>
        <v>0</v>
      </c>
      <c r="CH2160" s="16">
        <f t="shared" si="555"/>
        <v>0</v>
      </c>
      <c r="CJ2160" s="16" t="e">
        <f t="shared" si="560"/>
        <v>#N/A</v>
      </c>
      <c r="CK2160" s="16" t="str">
        <f t="shared" si="561"/>
        <v/>
      </c>
    </row>
    <row r="2161" spans="73:89" ht="12" customHeight="1">
      <c r="BU2161" s="16">
        <f t="shared" si="562"/>
        <v>0</v>
      </c>
      <c r="BV2161" s="16">
        <f>IF($BY$12=1,NORMDIST(BY2161,$Y$6,$Y$8,TRUE),IF($BY$12=2,IF(BY2161&lt;=$BX$31,0,IF(BY2161&gt;=$BX$32,1,(BY2161-$BX$31)*$BX$33)),SUM($BU$42:BU2161)/$BV$40))</f>
        <v>0.99999999999999967</v>
      </c>
      <c r="BW2161" s="16">
        <f t="shared" si="553"/>
        <v>2.492091855592095E-14</v>
      </c>
      <c r="BY2161" s="16">
        <f t="shared" si="554"/>
        <v>211.89999999999225</v>
      </c>
      <c r="BZ2161" s="16">
        <f t="shared" si="556"/>
        <v>1.1760697761171242E-16</v>
      </c>
      <c r="CA2161" s="16">
        <f t="shared" si="563"/>
        <v>-999</v>
      </c>
      <c r="CE2161" s="16" t="e">
        <f t="shared" si="557"/>
        <v>#N/A</v>
      </c>
      <c r="CF2161" s="16">
        <f t="shared" si="558"/>
        <v>99</v>
      </c>
      <c r="CG2161" s="16">
        <f t="shared" si="559"/>
        <v>0</v>
      </c>
      <c r="CH2161" s="16">
        <f t="shared" si="555"/>
        <v>0</v>
      </c>
      <c r="CJ2161" s="16" t="e">
        <f t="shared" si="560"/>
        <v>#N/A</v>
      </c>
      <c r="CK2161" s="16" t="str">
        <f t="shared" si="561"/>
        <v/>
      </c>
    </row>
    <row r="2162" spans="73:89" ht="12" customHeight="1">
      <c r="BU2162" s="16">
        <f t="shared" si="562"/>
        <v>0</v>
      </c>
      <c r="BV2162" s="16">
        <f>IF($BY$12=1,NORMDIST(BY2162,$Y$6,$Y$8,TRUE),IF($BY$12=2,IF(BY2162&lt;=$BX$31,0,IF(BY2162&gt;=$BX$32,1,(BY2162-$BX$31)*$BX$33)),SUM($BU$42:BU2162)/$BV$40))</f>
        <v>0.99999999999999978</v>
      </c>
      <c r="BW2162" s="16">
        <f t="shared" si="553"/>
        <v>2.3943379673509928E-14</v>
      </c>
      <c r="BY2162" s="16">
        <f t="shared" si="554"/>
        <v>211.99999999999224</v>
      </c>
      <c r="BZ2162" s="16">
        <f t="shared" si="556"/>
        <v>1.1294047015806983E-16</v>
      </c>
      <c r="CA2162" s="16">
        <f t="shared" si="563"/>
        <v>-999</v>
      </c>
      <c r="CE2162" s="16" t="e">
        <f t="shared" si="557"/>
        <v>#N/A</v>
      </c>
      <c r="CF2162" s="16">
        <f t="shared" si="558"/>
        <v>99</v>
      </c>
      <c r="CG2162" s="16">
        <f t="shared" si="559"/>
        <v>0</v>
      </c>
      <c r="CH2162" s="16">
        <f t="shared" si="555"/>
        <v>0</v>
      </c>
      <c r="CJ2162" s="16" t="e">
        <f t="shared" si="560"/>
        <v>#N/A</v>
      </c>
      <c r="CK2162" s="16" t="str">
        <f t="shared" si="561"/>
        <v/>
      </c>
    </row>
    <row r="2163" spans="73:89" ht="12" customHeight="1">
      <c r="BU2163" s="16">
        <f t="shared" si="562"/>
        <v>0</v>
      </c>
      <c r="BV2163" s="16">
        <f>IF($BY$12=1,NORMDIST(BY2163,$Y$6,$Y$8,TRUE),IF($BY$12=2,IF(BY2163&lt;=$BX$31,0,IF(BY2163&gt;=$BX$32,1,(BY2163-$BX$31)*$BX$33)),SUM($BU$42:BU2163)/$BV$40))</f>
        <v>0.99999999999999978</v>
      </c>
      <c r="BW2163" s="16">
        <f t="shared" si="553"/>
        <v>2.3003605159840111E-14</v>
      </c>
      <c r="BY2163" s="16">
        <f t="shared" si="554"/>
        <v>212.09999999999224</v>
      </c>
      <c r="BZ2163" s="16">
        <f t="shared" si="556"/>
        <v>1.0845641282338969E-16</v>
      </c>
      <c r="CA2163" s="16">
        <f t="shared" si="563"/>
        <v>-999</v>
      </c>
      <c r="CE2163" s="16" t="e">
        <f t="shared" si="557"/>
        <v>#N/A</v>
      </c>
      <c r="CF2163" s="16">
        <f t="shared" si="558"/>
        <v>99</v>
      </c>
      <c r="CG2163" s="16">
        <f t="shared" si="559"/>
        <v>0</v>
      </c>
      <c r="CH2163" s="16">
        <f t="shared" si="555"/>
        <v>0</v>
      </c>
      <c r="CJ2163" s="16" t="e">
        <f t="shared" si="560"/>
        <v>#N/A</v>
      </c>
      <c r="CK2163" s="16" t="str">
        <f t="shared" si="561"/>
        <v/>
      </c>
    </row>
    <row r="2164" spans="73:89" ht="12" customHeight="1">
      <c r="BU2164" s="16">
        <f t="shared" si="562"/>
        <v>0</v>
      </c>
      <c r="BV2164" s="16">
        <f>IF($BY$12=1,NORMDIST(BY2164,$Y$6,$Y$8,TRUE),IF($BY$12=2,IF(BY2164&lt;=$BX$31,0,IF(BY2164&gt;=$BX$32,1,(BY2164-$BX$31)*$BX$33)),SUM($BU$42:BU2164)/$BV$40))</f>
        <v>0.99999999999999978</v>
      </c>
      <c r="BW2164" s="16">
        <f t="shared" si="553"/>
        <v>2.2100159249003729E-14</v>
      </c>
      <c r="BY2164" s="16">
        <f t="shared" si="554"/>
        <v>212.19999999999223</v>
      </c>
      <c r="BZ2164" s="16">
        <f t="shared" si="556"/>
        <v>1.0414778156929565E-16</v>
      </c>
      <c r="CA2164" s="16">
        <f t="shared" si="563"/>
        <v>-999</v>
      </c>
      <c r="CE2164" s="16" t="e">
        <f t="shared" si="557"/>
        <v>#N/A</v>
      </c>
      <c r="CF2164" s="16">
        <f t="shared" si="558"/>
        <v>99</v>
      </c>
      <c r="CG2164" s="16">
        <f t="shared" si="559"/>
        <v>0</v>
      </c>
      <c r="CH2164" s="16">
        <f t="shared" si="555"/>
        <v>0</v>
      </c>
      <c r="CJ2164" s="16" t="e">
        <f t="shared" si="560"/>
        <v>#N/A</v>
      </c>
      <c r="CK2164" s="16" t="str">
        <f t="shared" si="561"/>
        <v/>
      </c>
    </row>
    <row r="2165" spans="73:89" ht="12" customHeight="1">
      <c r="BU2165" s="16">
        <f t="shared" si="562"/>
        <v>0</v>
      </c>
      <c r="BV2165" s="16">
        <f>IF($BY$12=1,NORMDIST(BY2165,$Y$6,$Y$8,TRUE),IF($BY$12=2,IF(BY2165&lt;=$BX$31,0,IF(BY2165&gt;=$BX$32,1,(BY2165-$BX$31)*$BX$33)),SUM($BU$42:BU2165)/$BV$40))</f>
        <v>0.99999999999999978</v>
      </c>
      <c r="BW2165" s="16">
        <f t="shared" si="553"/>
        <v>2.1231659850680933E-14</v>
      </c>
      <c r="BY2165" s="16">
        <f t="shared" si="554"/>
        <v>212.29999999999222</v>
      </c>
      <c r="BZ2165" s="16">
        <f t="shared" si="556"/>
        <v>1.0000781842054503E-16</v>
      </c>
      <c r="CA2165" s="16">
        <f t="shared" si="563"/>
        <v>-999</v>
      </c>
      <c r="CE2165" s="16" t="e">
        <f t="shared" si="557"/>
        <v>#N/A</v>
      </c>
      <c r="CF2165" s="16">
        <f t="shared" si="558"/>
        <v>99</v>
      </c>
      <c r="CG2165" s="16">
        <f t="shared" si="559"/>
        <v>0</v>
      </c>
      <c r="CH2165" s="16">
        <f t="shared" si="555"/>
        <v>0</v>
      </c>
      <c r="CJ2165" s="16" t="e">
        <f t="shared" si="560"/>
        <v>#N/A</v>
      </c>
      <c r="CK2165" s="16" t="str">
        <f t="shared" si="561"/>
        <v/>
      </c>
    </row>
    <row r="2166" spans="73:89" ht="12" customHeight="1">
      <c r="BU2166" s="16">
        <f t="shared" si="562"/>
        <v>0</v>
      </c>
      <c r="BV2166" s="16">
        <f>IF($BY$12=1,NORMDIST(BY2166,$Y$6,$Y$8,TRUE),IF($BY$12=2,IF(BY2166&lt;=$BX$31,0,IF(BY2166&gt;=$BX$32,1,(BY2166-$BX$31)*$BX$33)),SUM($BU$42:BU2166)/$BV$40))</f>
        <v>0.99999999999999978</v>
      </c>
      <c r="BW2166" s="16">
        <f t="shared" si="553"/>
        <v>2.0396776578818766E-14</v>
      </c>
      <c r="BY2166" s="16">
        <f t="shared" si="554"/>
        <v>212.39999999999222</v>
      </c>
      <c r="BZ2166" s="16">
        <f t="shared" si="556"/>
        <v>9.6030021557530658E-17</v>
      </c>
      <c r="CA2166" s="16">
        <f t="shared" si="563"/>
        <v>-999</v>
      </c>
      <c r="CE2166" s="16" t="e">
        <f t="shared" si="557"/>
        <v>#N/A</v>
      </c>
      <c r="CF2166" s="16">
        <f t="shared" si="558"/>
        <v>99</v>
      </c>
      <c r="CG2166" s="16">
        <f t="shared" si="559"/>
        <v>0</v>
      </c>
      <c r="CH2166" s="16">
        <f t="shared" si="555"/>
        <v>0</v>
      </c>
      <c r="CJ2166" s="16" t="e">
        <f t="shared" si="560"/>
        <v>#N/A</v>
      </c>
      <c r="CK2166" s="16" t="str">
        <f t="shared" si="561"/>
        <v/>
      </c>
    </row>
    <row r="2167" spans="73:89" ht="12" customHeight="1">
      <c r="BU2167" s="16">
        <f t="shared" si="562"/>
        <v>0</v>
      </c>
      <c r="BV2167" s="16">
        <f>IF($BY$12=1,NORMDIST(BY2167,$Y$6,$Y$8,TRUE),IF($BY$12=2,IF(BY2167&lt;=$BX$31,0,IF(BY2167&gt;=$BX$32,1,(BY2167-$BX$31)*$BX$33)),SUM($BU$42:BU2167)/$BV$40))</f>
        <v>0.99999999999999978</v>
      </c>
      <c r="BW2167" s="16">
        <f t="shared" si="553"/>
        <v>1.9594228851363346E-14</v>
      </c>
      <c r="BY2167" s="16">
        <f t="shared" si="554"/>
        <v>212.49999999999221</v>
      </c>
      <c r="BZ2167" s="16">
        <f t="shared" si="556"/>
        <v>9.2208135771125009E-17</v>
      </c>
      <c r="CA2167" s="16">
        <f t="shared" si="563"/>
        <v>-999</v>
      </c>
      <c r="CE2167" s="16" t="e">
        <f t="shared" si="557"/>
        <v>#N/A</v>
      </c>
      <c r="CF2167" s="16">
        <f t="shared" si="558"/>
        <v>99</v>
      </c>
      <c r="CG2167" s="16">
        <f t="shared" si="559"/>
        <v>0</v>
      </c>
      <c r="CH2167" s="16">
        <f t="shared" si="555"/>
        <v>0</v>
      </c>
      <c r="CJ2167" s="16" t="e">
        <f t="shared" si="560"/>
        <v>#N/A</v>
      </c>
      <c r="CK2167" s="16" t="str">
        <f t="shared" si="561"/>
        <v/>
      </c>
    </row>
    <row r="2168" spans="73:89" ht="12" customHeight="1">
      <c r="BU2168" s="16">
        <f t="shared" si="562"/>
        <v>0</v>
      </c>
      <c r="BV2168" s="16">
        <f>IF($BY$12=1,NORMDIST(BY2168,$Y$6,$Y$8,TRUE),IF($BY$12=2,IF(BY2168&lt;=$BX$31,0,IF(BY2168&gt;=$BX$32,1,(BY2168-$BX$31)*$BX$33)),SUM($BU$42:BU2168)/$BV$40))</f>
        <v>0.99999999999999978</v>
      </c>
      <c r="BW2168" s="16">
        <f t="shared" si="553"/>
        <v>1.8822784058530263E-14</v>
      </c>
      <c r="BY2168" s="16">
        <f t="shared" si="554"/>
        <v>212.59999999999221</v>
      </c>
      <c r="BZ2168" s="16">
        <f t="shared" si="556"/>
        <v>8.8536143266843622E-17</v>
      </c>
      <c r="CA2168" s="16">
        <f t="shared" si="563"/>
        <v>-999</v>
      </c>
      <c r="CE2168" s="16" t="e">
        <f t="shared" si="557"/>
        <v>#N/A</v>
      </c>
      <c r="CF2168" s="16">
        <f t="shared" si="558"/>
        <v>99</v>
      </c>
      <c r="CG2168" s="16">
        <f t="shared" si="559"/>
        <v>0</v>
      </c>
      <c r="CH2168" s="16">
        <f t="shared" si="555"/>
        <v>0</v>
      </c>
      <c r="CJ2168" s="16" t="e">
        <f t="shared" si="560"/>
        <v>#N/A</v>
      </c>
      <c r="CK2168" s="16" t="str">
        <f t="shared" si="561"/>
        <v/>
      </c>
    </row>
    <row r="2169" spans="73:89" ht="12" customHeight="1">
      <c r="BU2169" s="16">
        <f t="shared" si="562"/>
        <v>0</v>
      </c>
      <c r="BV2169" s="16">
        <f>IF($BY$12=1,NORMDIST(BY2169,$Y$6,$Y$8,TRUE),IF($BY$12=2,IF(BY2169&lt;=$BX$31,0,IF(BY2169&gt;=$BX$32,1,(BY2169-$BX$31)*$BX$33)),SUM($BU$42:BU2169)/$BV$40))</f>
        <v>0.99999999999999978</v>
      </c>
      <c r="BW2169" s="16">
        <f t="shared" si="553"/>
        <v>1.8081255797193916E-14</v>
      </c>
      <c r="BY2169" s="16">
        <f t="shared" si="554"/>
        <v>212.6999999999922</v>
      </c>
      <c r="BZ2169" s="16">
        <f t="shared" si="556"/>
        <v>8.5008254805804317E-17</v>
      </c>
      <c r="CA2169" s="16">
        <f t="shared" si="563"/>
        <v>-999</v>
      </c>
      <c r="CE2169" s="16" t="e">
        <f t="shared" si="557"/>
        <v>#N/A</v>
      </c>
      <c r="CF2169" s="16">
        <f t="shared" si="558"/>
        <v>99</v>
      </c>
      <c r="CG2169" s="16">
        <f t="shared" si="559"/>
        <v>0</v>
      </c>
      <c r="CH2169" s="16">
        <f t="shared" si="555"/>
        <v>0</v>
      </c>
      <c r="CJ2169" s="16" t="e">
        <f t="shared" si="560"/>
        <v>#N/A</v>
      </c>
      <c r="CK2169" s="16" t="str">
        <f t="shared" si="561"/>
        <v/>
      </c>
    </row>
    <row r="2170" spans="73:89" ht="12" customHeight="1">
      <c r="BU2170" s="16">
        <f t="shared" si="562"/>
        <v>0</v>
      </c>
      <c r="BV2170" s="16">
        <f>IF($BY$12=1,NORMDIST(BY2170,$Y$6,$Y$8,TRUE),IF($BY$12=2,IF(BY2170&lt;=$BX$31,0,IF(BY2170&gt;=$BX$32,1,(BY2170-$BX$31)*$BX$33)),SUM($BU$42:BU2170)/$BV$40))</f>
        <v>0.99999999999999978</v>
      </c>
      <c r="BW2170" s="16">
        <f t="shared" si="553"/>
        <v>1.7368502169054038E-14</v>
      </c>
      <c r="BY2170" s="16">
        <f t="shared" si="554"/>
        <v>212.7999999999922</v>
      </c>
      <c r="BZ2170" s="16">
        <f t="shared" si="556"/>
        <v>8.1618901170369714E-17</v>
      </c>
      <c r="CA2170" s="16">
        <f t="shared" si="563"/>
        <v>-999</v>
      </c>
      <c r="CE2170" s="16" t="e">
        <f t="shared" si="557"/>
        <v>#N/A</v>
      </c>
      <c r="CF2170" s="16">
        <f t="shared" si="558"/>
        <v>99</v>
      </c>
      <c r="CG2170" s="16">
        <f t="shared" si="559"/>
        <v>0</v>
      </c>
      <c r="CH2170" s="16">
        <f t="shared" si="555"/>
        <v>0</v>
      </c>
      <c r="CJ2170" s="16" t="e">
        <f t="shared" si="560"/>
        <v>#N/A</v>
      </c>
      <c r="CK2170" s="16" t="str">
        <f t="shared" si="561"/>
        <v/>
      </c>
    </row>
    <row r="2171" spans="73:89" ht="12" customHeight="1">
      <c r="BU2171" s="16">
        <f t="shared" si="562"/>
        <v>0</v>
      </c>
      <c r="BV2171" s="16">
        <f>IF($BY$12=1,NORMDIST(BY2171,$Y$6,$Y$8,TRUE),IF($BY$12=2,IF(BY2171&lt;=$BX$31,0,IF(BY2171&gt;=$BX$32,1,(BY2171-$BX$31)*$BX$33)),SUM($BU$42:BU2171)/$BV$40))</f>
        <v>0.99999999999999978</v>
      </c>
      <c r="BW2171" s="16">
        <f t="shared" ref="BW2171:BW2234" si="564">BY2171*BZ2171</f>
        <v>1.6683424140321167E-14</v>
      </c>
      <c r="BY2171" s="16">
        <f t="shared" ref="BY2171:BY2234" si="565">BY2170+$BZ$1</f>
        <v>212.89999999999219</v>
      </c>
      <c r="BZ2171" s="16">
        <f t="shared" si="556"/>
        <v>7.8362724942798397E-17</v>
      </c>
      <c r="CA2171" s="16">
        <f t="shared" si="563"/>
        <v>-999</v>
      </c>
      <c r="CE2171" s="16" t="e">
        <f t="shared" si="557"/>
        <v>#N/A</v>
      </c>
      <c r="CF2171" s="16">
        <f t="shared" si="558"/>
        <v>99</v>
      </c>
      <c r="CG2171" s="16">
        <f t="shared" si="559"/>
        <v>0</v>
      </c>
      <c r="CH2171" s="16">
        <f t="shared" si="555"/>
        <v>0</v>
      </c>
      <c r="CJ2171" s="16" t="e">
        <f t="shared" si="560"/>
        <v>#N/A</v>
      </c>
      <c r="CK2171" s="16" t="str">
        <f t="shared" si="561"/>
        <v/>
      </c>
    </row>
    <row r="2172" spans="73:89" ht="12" customHeight="1">
      <c r="BU2172" s="16">
        <f t="shared" si="562"/>
        <v>0</v>
      </c>
      <c r="BV2172" s="16">
        <f>IF($BY$12=1,NORMDIST(BY2172,$Y$6,$Y$8,TRUE),IF($BY$12=2,IF(BY2172&lt;=$BX$31,0,IF(BY2172&gt;=$BX$32,1,(BY2172-$BX$31)*$BX$33)),SUM($BU$42:BU2172)/$BV$40))</f>
        <v>0.99999999999999978</v>
      </c>
      <c r="BW2172" s="16">
        <f t="shared" si="564"/>
        <v>1.6024963960742725E-14</v>
      </c>
      <c r="BY2172" s="16">
        <f t="shared" si="565"/>
        <v>212.99999999999218</v>
      </c>
      <c r="BZ2172" s="16">
        <f t="shared" si="556"/>
        <v>7.5234572585649359E-17</v>
      </c>
      <c r="CA2172" s="16">
        <f t="shared" si="563"/>
        <v>-999</v>
      </c>
      <c r="CE2172" s="16" t="e">
        <f t="shared" si="557"/>
        <v>#N/A</v>
      </c>
      <c r="CF2172" s="16">
        <f t="shared" si="558"/>
        <v>99</v>
      </c>
      <c r="CG2172" s="16">
        <f t="shared" si="559"/>
        <v>0</v>
      </c>
      <c r="CH2172" s="16">
        <f t="shared" si="555"/>
        <v>0</v>
      </c>
      <c r="CJ2172" s="16" t="e">
        <f t="shared" si="560"/>
        <v>#N/A</v>
      </c>
      <c r="CK2172" s="16" t="str">
        <f t="shared" si="561"/>
        <v/>
      </c>
    </row>
    <row r="2173" spans="73:89" ht="12" customHeight="1">
      <c r="BU2173" s="16">
        <f t="shared" si="562"/>
        <v>0</v>
      </c>
      <c r="BV2173" s="16">
        <f>IF($BY$12=1,NORMDIST(BY2173,$Y$6,$Y$8,TRUE),IF($BY$12=2,IF(BY2173&lt;=$BX$31,0,IF(BY2173&gt;=$BX$32,1,(BY2173-$BX$31)*$BX$33)),SUM($BU$42:BU2173)/$BV$40))</f>
        <v>0.99999999999999978</v>
      </c>
      <c r="BW2173" s="16">
        <f t="shared" si="564"/>
        <v>1.5392103639862629E-14</v>
      </c>
      <c r="BY2173" s="16">
        <f t="shared" si="565"/>
        <v>213.09999999999218</v>
      </c>
      <c r="BZ2173" s="16">
        <f t="shared" si="556"/>
        <v>7.2229486813060501E-17</v>
      </c>
      <c r="CA2173" s="16">
        <f t="shared" si="563"/>
        <v>-999</v>
      </c>
      <c r="CE2173" s="16" t="e">
        <f t="shared" si="557"/>
        <v>#N/A</v>
      </c>
      <c r="CF2173" s="16">
        <f t="shared" si="558"/>
        <v>99</v>
      </c>
      <c r="CG2173" s="16">
        <f t="shared" si="559"/>
        <v>0</v>
      </c>
      <c r="CH2173" s="16">
        <f t="shared" si="555"/>
        <v>0</v>
      </c>
      <c r="CJ2173" s="16" t="e">
        <f t="shared" si="560"/>
        <v>#N/A</v>
      </c>
      <c r="CK2173" s="16" t="str">
        <f t="shared" si="561"/>
        <v/>
      </c>
    </row>
    <row r="2174" spans="73:89" ht="12" customHeight="1">
      <c r="BU2174" s="16">
        <f t="shared" si="562"/>
        <v>0</v>
      </c>
      <c r="BV2174" s="16">
        <f>IF($BY$12=1,NORMDIST(BY2174,$Y$6,$Y$8,TRUE),IF($BY$12=2,IF(BY2174&lt;=$BX$31,0,IF(BY2174&gt;=$BX$32,1,(BY2174-$BX$31)*$BX$33)),SUM($BU$42:BU2174)/$BV$40))</f>
        <v>0.99999999999999978</v>
      </c>
      <c r="BW2174" s="16">
        <f t="shared" si="564"/>
        <v>1.4783863478485239E-14</v>
      </c>
      <c r="BY2174" s="16">
        <f t="shared" si="565"/>
        <v>213.19999999999217</v>
      </c>
      <c r="BZ2174" s="16">
        <f t="shared" si="556"/>
        <v>6.9342699242428612E-17</v>
      </c>
      <c r="CA2174" s="16">
        <f t="shared" si="563"/>
        <v>-999</v>
      </c>
      <c r="CE2174" s="16" t="e">
        <f t="shared" si="557"/>
        <v>#N/A</v>
      </c>
      <c r="CF2174" s="16">
        <f t="shared" si="558"/>
        <v>99</v>
      </c>
      <c r="CG2174" s="16">
        <f t="shared" si="559"/>
        <v>0</v>
      </c>
      <c r="CH2174" s="16">
        <f t="shared" si="555"/>
        <v>0</v>
      </c>
      <c r="CJ2174" s="16" t="e">
        <f t="shared" si="560"/>
        <v>#N/A</v>
      </c>
      <c r="CK2174" s="16" t="str">
        <f t="shared" si="561"/>
        <v/>
      </c>
    </row>
    <row r="2175" spans="73:89" ht="12" customHeight="1">
      <c r="BU2175" s="16">
        <f t="shared" si="562"/>
        <v>0</v>
      </c>
      <c r="BV2175" s="16">
        <f>IF($BY$12=1,NORMDIST(BY2175,$Y$6,$Y$8,TRUE),IF($BY$12=2,IF(BY2175&lt;=$BX$31,0,IF(BY2175&gt;=$BX$32,1,(BY2175-$BX$31)*$BX$33)),SUM($BU$42:BU2175)/$BV$40))</f>
        <v>0.99999999999999989</v>
      </c>
      <c r="BW2175" s="16">
        <f t="shared" si="564"/>
        <v>1.4199300653380741E-14</v>
      </c>
      <c r="BY2175" s="16">
        <f t="shared" si="565"/>
        <v>213.29999999999217</v>
      </c>
      <c r="BZ2175" s="16">
        <f t="shared" si="556"/>
        <v>6.6569623316367853E-17</v>
      </c>
      <c r="CA2175" s="16">
        <f t="shared" si="563"/>
        <v>-999</v>
      </c>
      <c r="CE2175" s="16" t="e">
        <f t="shared" si="557"/>
        <v>#N/A</v>
      </c>
      <c r="CF2175" s="16">
        <f t="shared" si="558"/>
        <v>99</v>
      </c>
      <c r="CG2175" s="16">
        <f t="shared" si="559"/>
        <v>0</v>
      </c>
      <c r="CH2175" s="16">
        <f t="shared" si="555"/>
        <v>0</v>
      </c>
      <c r="CJ2175" s="16" t="e">
        <f t="shared" si="560"/>
        <v>#N/A</v>
      </c>
      <c r="CK2175" s="16" t="str">
        <f t="shared" si="561"/>
        <v/>
      </c>
    </row>
    <row r="2176" spans="73:89" ht="12" customHeight="1">
      <c r="BU2176" s="16">
        <f t="shared" si="562"/>
        <v>0</v>
      </c>
      <c r="BV2176" s="16">
        <f>IF($BY$12=1,NORMDIST(BY2176,$Y$6,$Y$8,TRUE),IF($BY$12=2,IF(BY2176&lt;=$BX$31,0,IF(BY2176&gt;=$BX$32,1,(BY2176-$BX$31)*$BX$33)),SUM($BU$42:BU2176)/$BV$40))</f>
        <v>0.99999999999999989</v>
      </c>
      <c r="BW2176" s="16">
        <f t="shared" si="564"/>
        <v>1.3637507853342787E-14</v>
      </c>
      <c r="BY2176" s="16">
        <f t="shared" si="565"/>
        <v>213.39999999999216</v>
      </c>
      <c r="BZ2176" s="16">
        <f t="shared" si="556"/>
        <v>6.3905847485207535E-17</v>
      </c>
      <c r="CA2176" s="16">
        <f t="shared" si="563"/>
        <v>-999</v>
      </c>
      <c r="CE2176" s="16" t="e">
        <f t="shared" si="557"/>
        <v>#N/A</v>
      </c>
      <c r="CF2176" s="16">
        <f t="shared" si="558"/>
        <v>99</v>
      </c>
      <c r="CG2176" s="16">
        <f t="shared" si="559"/>
        <v>0</v>
      </c>
      <c r="CH2176" s="16">
        <f t="shared" si="555"/>
        <v>0</v>
      </c>
      <c r="CJ2176" s="16" t="e">
        <f t="shared" si="560"/>
        <v>#N/A</v>
      </c>
      <c r="CK2176" s="16" t="str">
        <f t="shared" si="561"/>
        <v/>
      </c>
    </row>
    <row r="2177" spans="73:89" ht="12" customHeight="1">
      <c r="BU2177" s="16">
        <f t="shared" si="562"/>
        <v>0</v>
      </c>
      <c r="BV2177" s="16">
        <f>IF($BY$12=1,NORMDIST(BY2177,$Y$6,$Y$8,TRUE),IF($BY$12=2,IF(BY2177&lt;=$BX$31,0,IF(BY2177&gt;=$BX$32,1,(BY2177-$BX$31)*$BX$33)),SUM($BU$42:BU2177)/$BV$40))</f>
        <v>0.99999999999999989</v>
      </c>
      <c r="BW2177" s="16">
        <f t="shared" si="564"/>
        <v>1.3097611964766835E-14</v>
      </c>
      <c r="BY2177" s="16">
        <f t="shared" si="565"/>
        <v>213.49999999999216</v>
      </c>
      <c r="BZ2177" s="16">
        <f t="shared" si="556"/>
        <v>6.1347128640596333E-17</v>
      </c>
      <c r="CA2177" s="16">
        <f t="shared" si="563"/>
        <v>-999</v>
      </c>
      <c r="CE2177" s="16" t="e">
        <f t="shared" si="557"/>
        <v>#N/A</v>
      </c>
      <c r="CF2177" s="16">
        <f t="shared" si="558"/>
        <v>99</v>
      </c>
      <c r="CG2177" s="16">
        <f t="shared" si="559"/>
        <v>0</v>
      </c>
      <c r="CH2177" s="16">
        <f t="shared" si="555"/>
        <v>0</v>
      </c>
      <c r="CJ2177" s="16" t="e">
        <f t="shared" si="560"/>
        <v>#N/A</v>
      </c>
      <c r="CK2177" s="16" t="str">
        <f t="shared" si="561"/>
        <v/>
      </c>
    </row>
    <row r="2178" spans="73:89" ht="12" customHeight="1">
      <c r="BU2178" s="16">
        <f t="shared" si="562"/>
        <v>0</v>
      </c>
      <c r="BV2178" s="16">
        <f>IF($BY$12=1,NORMDIST(BY2178,$Y$6,$Y$8,TRUE),IF($BY$12=2,IF(BY2178&lt;=$BX$31,0,IF(BY2178&gt;=$BX$32,1,(BY2178-$BX$31)*$BX$33)),SUM($BU$42:BU2178)/$BV$40))</f>
        <v>0.99999999999999989</v>
      </c>
      <c r="BW2178" s="16">
        <f t="shared" si="564"/>
        <v>1.2578772804990363E-14</v>
      </c>
      <c r="BY2178" s="16">
        <f t="shared" si="565"/>
        <v>213.59999999999215</v>
      </c>
      <c r="BZ2178" s="16">
        <f t="shared" si="556"/>
        <v>5.8889385791155547E-17</v>
      </c>
      <c r="CA2178" s="16">
        <f t="shared" si="563"/>
        <v>-999</v>
      </c>
      <c r="CE2178" s="16" t="e">
        <f t="shared" si="557"/>
        <v>#N/A</v>
      </c>
      <c r="CF2178" s="16">
        <f t="shared" si="558"/>
        <v>99</v>
      </c>
      <c r="CG2178" s="16">
        <f t="shared" si="559"/>
        <v>0</v>
      </c>
      <c r="CH2178" s="16">
        <f t="shared" si="555"/>
        <v>0</v>
      </c>
      <c r="CJ2178" s="16" t="e">
        <f t="shared" si="560"/>
        <v>#N/A</v>
      </c>
      <c r="CK2178" s="16" t="str">
        <f t="shared" si="561"/>
        <v/>
      </c>
    </row>
    <row r="2179" spans="73:89" ht="12" customHeight="1">
      <c r="BU2179" s="16">
        <f t="shared" si="562"/>
        <v>0</v>
      </c>
      <c r="BV2179" s="16">
        <f>IF($BY$12=1,NORMDIST(BY2179,$Y$6,$Y$8,TRUE),IF($BY$12=2,IF(BY2179&lt;=$BX$31,0,IF(BY2179&gt;=$BX$32,1,(BY2179-$BX$31)*$BX$33)),SUM($BU$42:BU2179)/$BV$40))</f>
        <v>0.99999999999999989</v>
      </c>
      <c r="BW2179" s="16">
        <f t="shared" si="564"/>
        <v>1.2080181901691062E-14</v>
      </c>
      <c r="BY2179" s="16">
        <f t="shared" si="565"/>
        <v>213.69999999999214</v>
      </c>
      <c r="BZ2179" s="16">
        <f t="shared" si="556"/>
        <v>5.6528693971415561E-17</v>
      </c>
      <c r="CA2179" s="16">
        <f t="shared" si="563"/>
        <v>-999</v>
      </c>
      <c r="CE2179" s="16" t="e">
        <f t="shared" si="557"/>
        <v>#N/A</v>
      </c>
      <c r="CF2179" s="16">
        <f t="shared" si="558"/>
        <v>99</v>
      </c>
      <c r="CG2179" s="16">
        <f t="shared" si="559"/>
        <v>0</v>
      </c>
      <c r="CH2179" s="16">
        <f t="shared" ref="CH2179:CH2242" si="566">IF(CB2179="",0,1)</f>
        <v>0</v>
      </c>
      <c r="CJ2179" s="16" t="e">
        <f t="shared" si="560"/>
        <v>#N/A</v>
      </c>
      <c r="CK2179" s="16" t="str">
        <f t="shared" si="561"/>
        <v/>
      </c>
    </row>
    <row r="2180" spans="73:89" ht="12" customHeight="1">
      <c r="BU2180" s="16">
        <f t="shared" si="562"/>
        <v>0</v>
      </c>
      <c r="BV2180" s="16">
        <f>IF($BY$12=1,NORMDIST(BY2180,$Y$6,$Y$8,TRUE),IF($BY$12=2,IF(BY2180&lt;=$BX$31,0,IF(BY2180&gt;=$BX$32,1,(BY2180-$BX$31)*$BX$33)),SUM($BU$42:BU2180)/$BV$40))</f>
        <v>0.99999999999999989</v>
      </c>
      <c r="BW2180" s="16">
        <f t="shared" si="564"/>
        <v>1.1601061316700907E-14</v>
      </c>
      <c r="BY2180" s="16">
        <f t="shared" si="565"/>
        <v>213.79999999999214</v>
      </c>
      <c r="BZ2180" s="16">
        <f t="shared" si="556"/>
        <v>5.4261278375590896E-17</v>
      </c>
      <c r="CA2180" s="16">
        <f t="shared" si="563"/>
        <v>-999</v>
      </c>
      <c r="CE2180" s="16" t="e">
        <f t="shared" si="557"/>
        <v>#N/A</v>
      </c>
      <c r="CF2180" s="16">
        <f t="shared" si="558"/>
        <v>99</v>
      </c>
      <c r="CG2180" s="16">
        <f t="shared" si="559"/>
        <v>0</v>
      </c>
      <c r="CH2180" s="16">
        <f t="shared" si="566"/>
        <v>0</v>
      </c>
      <c r="CJ2180" s="16" t="e">
        <f t="shared" si="560"/>
        <v>#N/A</v>
      </c>
      <c r="CK2180" s="16" t="str">
        <f t="shared" si="561"/>
        <v/>
      </c>
    </row>
    <row r="2181" spans="73:89" ht="12" customHeight="1">
      <c r="BU2181" s="16">
        <f t="shared" si="562"/>
        <v>0</v>
      </c>
      <c r="BV2181" s="16">
        <f>IF($BY$12=1,NORMDIST(BY2181,$Y$6,$Y$8,TRUE),IF($BY$12=2,IF(BY2181&lt;=$BX$31,0,IF(BY2181&gt;=$BX$32,1,(BY2181-$BX$31)*$BX$33)),SUM($BU$42:BU2181)/$BV$40))</f>
        <v>0.99999999999999989</v>
      </c>
      <c r="BW2181" s="16">
        <f t="shared" si="564"/>
        <v>1.1140662512652539E-14</v>
      </c>
      <c r="BY2181" s="16">
        <f t="shared" si="565"/>
        <v>213.89999999999213</v>
      </c>
      <c r="BZ2181" s="16">
        <f t="shared" si="556"/>
        <v>5.2083508708054932E-17</v>
      </c>
      <c r="CA2181" s="16">
        <f t="shared" si="563"/>
        <v>-999</v>
      </c>
      <c r="CE2181" s="16" t="e">
        <f t="shared" si="557"/>
        <v>#N/A</v>
      </c>
      <c r="CF2181" s="16">
        <f t="shared" si="558"/>
        <v>99</v>
      </c>
      <c r="CG2181" s="16">
        <f t="shared" si="559"/>
        <v>0</v>
      </c>
      <c r="CH2181" s="16">
        <f t="shared" si="566"/>
        <v>0</v>
      </c>
      <c r="CJ2181" s="16" t="e">
        <f t="shared" si="560"/>
        <v>#N/A</v>
      </c>
      <c r="CK2181" s="16" t="str">
        <f t="shared" si="561"/>
        <v/>
      </c>
    </row>
    <row r="2182" spans="73:89" ht="12" customHeight="1">
      <c r="BU2182" s="16">
        <f t="shared" si="562"/>
        <v>0</v>
      </c>
      <c r="BV2182" s="16">
        <f>IF($BY$12=1,NORMDIST(BY2182,$Y$6,$Y$8,TRUE),IF($BY$12=2,IF(BY2182&lt;=$BX$31,0,IF(BY2182&gt;=$BX$32,1,(BY2182-$BX$31)*$BX$33)),SUM($BU$42:BU2182)/$BV$40))</f>
        <v>0.99999999999999989</v>
      </c>
      <c r="BW2182" s="16">
        <f t="shared" si="564"/>
        <v>1.0698265260926097E-14</v>
      </c>
      <c r="BY2182" s="16">
        <f t="shared" si="565"/>
        <v>213.99999999999213</v>
      </c>
      <c r="BZ2182" s="16">
        <f t="shared" si="556"/>
        <v>4.9991893742647149E-17</v>
      </c>
      <c r="CA2182" s="16">
        <f t="shared" si="563"/>
        <v>-999</v>
      </c>
      <c r="CE2182" s="16" t="e">
        <f t="shared" si="557"/>
        <v>#N/A</v>
      </c>
      <c r="CF2182" s="16">
        <f t="shared" si="558"/>
        <v>99</v>
      </c>
      <c r="CG2182" s="16">
        <f t="shared" si="559"/>
        <v>0</v>
      </c>
      <c r="CH2182" s="16">
        <f t="shared" si="566"/>
        <v>0</v>
      </c>
      <c r="CJ2182" s="16" t="e">
        <f t="shared" si="560"/>
        <v>#N/A</v>
      </c>
      <c r="CK2182" s="16" t="str">
        <f t="shared" si="561"/>
        <v/>
      </c>
    </row>
    <row r="2183" spans="73:89" ht="12" customHeight="1">
      <c r="BU2183" s="16">
        <f t="shared" si="562"/>
        <v>0</v>
      </c>
      <c r="BV2183" s="16">
        <f>IF($BY$12=1,NORMDIST(BY2183,$Y$6,$Y$8,TRUE),IF($BY$12=2,IF(BY2183&lt;=$BX$31,0,IF(BY2183&gt;=$BX$32,1,(BY2183-$BX$31)*$BX$33)),SUM($BU$42:BU2183)/$BV$40))</f>
        <v>0.99999999999999989</v>
      </c>
      <c r="BW2183" s="16">
        <f t="shared" si="564"/>
        <v>1.0273176589423104E-14</v>
      </c>
      <c r="BY2183" s="16">
        <f t="shared" si="565"/>
        <v>214.09999999999212</v>
      </c>
      <c r="BZ2183" s="16">
        <f t="shared" si="556"/>
        <v>4.79830760832484E-17</v>
      </c>
      <c r="CA2183" s="16">
        <f t="shared" si="563"/>
        <v>-999</v>
      </c>
      <c r="CE2183" s="16" t="e">
        <f t="shared" si="557"/>
        <v>#N/A</v>
      </c>
      <c r="CF2183" s="16">
        <f t="shared" si="558"/>
        <v>99</v>
      </c>
      <c r="CG2183" s="16">
        <f t="shared" si="559"/>
        <v>0</v>
      </c>
      <c r="CH2183" s="16">
        <f t="shared" si="566"/>
        <v>0</v>
      </c>
      <c r="CJ2183" s="16" t="e">
        <f t="shared" si="560"/>
        <v>#N/A</v>
      </c>
      <c r="CK2183" s="16" t="str">
        <f t="shared" si="561"/>
        <v/>
      </c>
    </row>
    <row r="2184" spans="73:89" ht="12" customHeight="1">
      <c r="BU2184" s="16">
        <f t="shared" si="562"/>
        <v>0</v>
      </c>
      <c r="BV2184" s="16">
        <f>IF($BY$12=1,NORMDIST(BY2184,$Y$6,$Y$8,TRUE),IF($BY$12=2,IF(BY2184&lt;=$BX$31,0,IF(BY2184&gt;=$BX$32,1,(BY2184-$BX$31)*$BX$33)),SUM($BU$42:BU2184)/$BV$40))</f>
        <v>0.99999999999999989</v>
      </c>
      <c r="BW2184" s="16">
        <f t="shared" si="564"/>
        <v>9.8647297687404973E-15</v>
      </c>
      <c r="BY2184" s="16">
        <f t="shared" si="565"/>
        <v>214.19999999999212</v>
      </c>
      <c r="BZ2184" s="16">
        <f t="shared" si="556"/>
        <v>4.605382711830467E-17</v>
      </c>
      <c r="CA2184" s="16">
        <f t="shared" si="563"/>
        <v>-999</v>
      </c>
      <c r="CE2184" s="16" t="e">
        <f t="shared" si="557"/>
        <v>#N/A</v>
      </c>
      <c r="CF2184" s="16">
        <f t="shared" si="558"/>
        <v>99</v>
      </c>
      <c r="CG2184" s="16">
        <f t="shared" si="559"/>
        <v>0</v>
      </c>
      <c r="CH2184" s="16">
        <f t="shared" si="566"/>
        <v>0</v>
      </c>
      <c r="CJ2184" s="16" t="e">
        <f t="shared" si="560"/>
        <v>#N/A</v>
      </c>
      <c r="CK2184" s="16" t="str">
        <f t="shared" si="561"/>
        <v/>
      </c>
    </row>
    <row r="2185" spans="73:89" ht="12" customHeight="1">
      <c r="BU2185" s="16">
        <f t="shared" si="562"/>
        <v>0</v>
      </c>
      <c r="BV2185" s="16">
        <f>IF($BY$12=1,NORMDIST(BY2185,$Y$6,$Y$8,TRUE),IF($BY$12=2,IF(BY2185&lt;=$BX$31,0,IF(BY2185&gt;=$BX$32,1,(BY2185-$BX$31)*$BX$33)),SUM($BU$42:BU2185)/$BV$40))</f>
        <v>0.99999999999999989</v>
      </c>
      <c r="BW2185" s="16">
        <f t="shared" si="564"/>
        <v>9.4722833353722914E-15</v>
      </c>
      <c r="BY2185" s="16">
        <f t="shared" si="565"/>
        <v>214.29999999999211</v>
      </c>
      <c r="BZ2185" s="16">
        <f t="shared" si="556"/>
        <v>4.4201042162261504E-17</v>
      </c>
      <c r="CA2185" s="16">
        <f t="shared" si="563"/>
        <v>-999</v>
      </c>
      <c r="CE2185" s="16" t="e">
        <f t="shared" si="557"/>
        <v>#N/A</v>
      </c>
      <c r="CF2185" s="16">
        <f t="shared" si="558"/>
        <v>99</v>
      </c>
      <c r="CG2185" s="16">
        <f t="shared" si="559"/>
        <v>0</v>
      </c>
      <c r="CH2185" s="16">
        <f t="shared" si="566"/>
        <v>0</v>
      </c>
      <c r="CJ2185" s="16" t="e">
        <f t="shared" si="560"/>
        <v>#N/A</v>
      </c>
      <c r="CK2185" s="16" t="str">
        <f t="shared" si="561"/>
        <v/>
      </c>
    </row>
    <row r="2186" spans="73:89" ht="12" customHeight="1">
      <c r="BU2186" s="16">
        <f t="shared" si="562"/>
        <v>0</v>
      </c>
      <c r="BV2186" s="16">
        <f>IF($BY$12=1,NORMDIST(BY2186,$Y$6,$Y$8,TRUE),IF($BY$12=2,IF(BY2186&lt;=$BX$31,0,IF(BY2186&gt;=$BX$32,1,(BY2186-$BX$31)*$BX$33)),SUM($BU$42:BU2186)/$BV$40))</f>
        <v>0.99999999999999989</v>
      </c>
      <c r="BW2186" s="16">
        <f t="shared" si="564"/>
        <v>9.0952201506118274E-15</v>
      </c>
      <c r="BY2186" s="16">
        <f t="shared" si="565"/>
        <v>214.3999999999921</v>
      </c>
      <c r="BZ2186" s="16">
        <f t="shared" si="556"/>
        <v>4.2421735777108964E-17</v>
      </c>
      <c r="CA2186" s="16">
        <f t="shared" si="563"/>
        <v>-999</v>
      </c>
      <c r="CE2186" s="16" t="e">
        <f t="shared" si="557"/>
        <v>#N/A</v>
      </c>
      <c r="CF2186" s="16">
        <f t="shared" si="558"/>
        <v>99</v>
      </c>
      <c r="CG2186" s="16">
        <f t="shared" si="559"/>
        <v>0</v>
      </c>
      <c r="CH2186" s="16">
        <f t="shared" si="566"/>
        <v>0</v>
      </c>
      <c r="CJ2186" s="16" t="e">
        <f t="shared" si="560"/>
        <v>#N/A</v>
      </c>
      <c r="CK2186" s="16" t="str">
        <f t="shared" si="561"/>
        <v/>
      </c>
    </row>
    <row r="2187" spans="73:89" ht="12" customHeight="1">
      <c r="BU2187" s="16">
        <f t="shared" si="562"/>
        <v>0</v>
      </c>
      <c r="BV2187" s="16">
        <f>IF($BY$12=1,NORMDIST(BY2187,$Y$6,$Y$8,TRUE),IF($BY$12=2,IF(BY2187&lt;=$BX$31,0,IF(BY2187&gt;=$BX$32,1,(BY2187-$BX$31)*$BX$33)),SUM($BU$42:BU2187)/$BV$40))</f>
        <v>0.99999999999999989</v>
      </c>
      <c r="BW2187" s="16">
        <f t="shared" si="564"/>
        <v>8.7329464938738363E-15</v>
      </c>
      <c r="BY2187" s="16">
        <f t="shared" si="565"/>
        <v>214.4999999999921</v>
      </c>
      <c r="BZ2187" s="16">
        <f t="shared" si="556"/>
        <v>4.071303726747859E-17</v>
      </c>
      <c r="CA2187" s="16">
        <f t="shared" si="563"/>
        <v>-999</v>
      </c>
      <c r="CE2187" s="16" t="e">
        <f t="shared" si="557"/>
        <v>#N/A</v>
      </c>
      <c r="CF2187" s="16">
        <f t="shared" si="558"/>
        <v>99</v>
      </c>
      <c r="CG2187" s="16">
        <f t="shared" si="559"/>
        <v>0</v>
      </c>
      <c r="CH2187" s="16">
        <f t="shared" si="566"/>
        <v>0</v>
      </c>
      <c r="CJ2187" s="16" t="e">
        <f t="shared" si="560"/>
        <v>#N/A</v>
      </c>
      <c r="CK2187" s="16" t="str">
        <f t="shared" si="561"/>
        <v/>
      </c>
    </row>
    <row r="2188" spans="73:89" ht="12" customHeight="1">
      <c r="BU2188" s="16">
        <f t="shared" si="562"/>
        <v>0</v>
      </c>
      <c r="BV2188" s="16">
        <f>IF($BY$12=1,NORMDIST(BY2188,$Y$6,$Y$8,TRUE),IF($BY$12=2,IF(BY2188&lt;=$BX$31,0,IF(BY2188&gt;=$BX$32,1,(BY2188-$BX$31)*$BX$33)),SUM($BU$42:BU2188)/$BV$40))</f>
        <v>0.99999999999999989</v>
      </c>
      <c r="BW2188" s="16">
        <f t="shared" si="564"/>
        <v>8.3848911892038479E-15</v>
      </c>
      <c r="BY2188" s="16">
        <f t="shared" si="565"/>
        <v>214.59999999999209</v>
      </c>
      <c r="BZ2188" s="16">
        <f t="shared" si="556"/>
        <v>3.9072186342983023E-17</v>
      </c>
      <c r="CA2188" s="16">
        <f t="shared" si="563"/>
        <v>-999</v>
      </c>
      <c r="CE2188" s="16" t="e">
        <f t="shared" si="557"/>
        <v>#N/A</v>
      </c>
      <c r="CF2188" s="16">
        <f t="shared" si="558"/>
        <v>99</v>
      </c>
      <c r="CG2188" s="16">
        <f t="shared" si="559"/>
        <v>0</v>
      </c>
      <c r="CH2188" s="16">
        <f t="shared" si="566"/>
        <v>0</v>
      </c>
      <c r="CJ2188" s="16" t="e">
        <f t="shared" si="560"/>
        <v>#N/A</v>
      </c>
      <c r="CK2188" s="16" t="str">
        <f t="shared" si="561"/>
        <v/>
      </c>
    </row>
    <row r="2189" spans="73:89" ht="12" customHeight="1">
      <c r="BU2189" s="16">
        <f t="shared" si="562"/>
        <v>0</v>
      </c>
      <c r="BV2189" s="16">
        <f>IF($BY$12=1,NORMDIST(BY2189,$Y$6,$Y$8,TRUE),IF($BY$12=2,IF(BY2189&lt;=$BX$31,0,IF(BY2189&gt;=$BX$32,1,(BY2189-$BX$31)*$BX$33)),SUM($BU$42:BU2189)/$BV$40))</f>
        <v>0.99999999999999989</v>
      </c>
      <c r="BW2189" s="16">
        <f t="shared" si="564"/>
        <v>8.0505047637810861E-15</v>
      </c>
      <c r="BY2189" s="16">
        <f t="shared" si="565"/>
        <v>214.69999999999209</v>
      </c>
      <c r="BZ2189" s="16">
        <f t="shared" si="556"/>
        <v>3.7496528941692518E-17</v>
      </c>
      <c r="CA2189" s="16">
        <f t="shared" si="563"/>
        <v>-999</v>
      </c>
      <c r="CE2189" s="16" t="e">
        <f t="shared" si="557"/>
        <v>#N/A</v>
      </c>
      <c r="CF2189" s="16">
        <f t="shared" si="558"/>
        <v>99</v>
      </c>
      <c r="CG2189" s="16">
        <f t="shared" si="559"/>
        <v>0</v>
      </c>
      <c r="CH2189" s="16">
        <f t="shared" si="566"/>
        <v>0</v>
      </c>
      <c r="CJ2189" s="16" t="e">
        <f t="shared" si="560"/>
        <v>#N/A</v>
      </c>
      <c r="CK2189" s="16" t="str">
        <f t="shared" si="561"/>
        <v/>
      </c>
    </row>
    <row r="2190" spans="73:89" ht="12" customHeight="1">
      <c r="BU2190" s="16">
        <f t="shared" si="562"/>
        <v>0</v>
      </c>
      <c r="BV2190" s="16">
        <f>IF($BY$12=1,NORMDIST(BY2190,$Y$6,$Y$8,TRUE),IF($BY$12=2,IF(BY2190&lt;=$BX$31,0,IF(BY2190&gt;=$BX$32,1,(BY2190-$BX$31)*$BX$33)),SUM($BU$42:BU2190)/$BV$40))</f>
        <v>0.99999999999999989</v>
      </c>
      <c r="BW2190" s="16">
        <f t="shared" si="564"/>
        <v>7.7292586372668304E-15</v>
      </c>
      <c r="BY2190" s="16">
        <f t="shared" si="565"/>
        <v>214.79999999999208</v>
      </c>
      <c r="BZ2190" s="16">
        <f t="shared" si="556"/>
        <v>3.5983513208878567E-17</v>
      </c>
      <c r="CA2190" s="16">
        <f t="shared" si="563"/>
        <v>-999</v>
      </c>
      <c r="CE2190" s="16" t="e">
        <f t="shared" si="557"/>
        <v>#N/A</v>
      </c>
      <c r="CF2190" s="16">
        <f t="shared" si="558"/>
        <v>99</v>
      </c>
      <c r="CG2190" s="16">
        <f t="shared" si="559"/>
        <v>0</v>
      </c>
      <c r="CH2190" s="16">
        <f t="shared" si="566"/>
        <v>0</v>
      </c>
      <c r="CJ2190" s="16" t="e">
        <f t="shared" si="560"/>
        <v>#N/A</v>
      </c>
      <c r="CK2190" s="16" t="str">
        <f t="shared" si="561"/>
        <v/>
      </c>
    </row>
    <row r="2191" spans="73:89" ht="12" customHeight="1">
      <c r="BU2191" s="16">
        <f t="shared" si="562"/>
        <v>0</v>
      </c>
      <c r="BV2191" s="16">
        <f>IF($BY$12=1,NORMDIST(BY2191,$Y$6,$Y$8,TRUE),IF($BY$12=2,IF(BY2191&lt;=$BX$31,0,IF(BY2191&gt;=$BX$32,1,(BY2191-$BX$31)*$BX$33)),SUM($BU$42:BU2191)/$BV$40))</f>
        <v>0.99999999999999989</v>
      </c>
      <c r="BW2191" s="16">
        <f t="shared" si="564"/>
        <v>7.4206443408884142E-15</v>
      </c>
      <c r="BY2191" s="16">
        <f t="shared" si="565"/>
        <v>214.89999999999208</v>
      </c>
      <c r="BZ2191" s="16">
        <f t="shared" si="556"/>
        <v>3.4530685625354528E-17</v>
      </c>
      <c r="CA2191" s="16">
        <f t="shared" si="563"/>
        <v>-999</v>
      </c>
      <c r="CE2191" s="16" t="e">
        <f t="shared" si="557"/>
        <v>#N/A</v>
      </c>
      <c r="CF2191" s="16">
        <f t="shared" si="558"/>
        <v>99</v>
      </c>
      <c r="CG2191" s="16">
        <f t="shared" si="559"/>
        <v>0</v>
      </c>
      <c r="CH2191" s="16">
        <f t="shared" si="566"/>
        <v>0</v>
      </c>
      <c r="CJ2191" s="16" t="e">
        <f t="shared" si="560"/>
        <v>#N/A</v>
      </c>
      <c r="CK2191" s="16" t="str">
        <f t="shared" si="561"/>
        <v/>
      </c>
    </row>
    <row r="2192" spans="73:89" ht="12" customHeight="1">
      <c r="BU2192" s="16">
        <f t="shared" si="562"/>
        <v>0</v>
      </c>
      <c r="BV2192" s="16">
        <f>IF($BY$12=1,NORMDIST(BY2192,$Y$6,$Y$8,TRUE),IF($BY$12=2,IF(BY2192&lt;=$BX$31,0,IF(BY2192&gt;=$BX$32,1,(BY2192-$BX$31)*$BX$33)),SUM($BU$42:BU2192)/$BV$40))</f>
        <v>0.99999999999999989</v>
      </c>
      <c r="BW2192" s="16">
        <f t="shared" si="564"/>
        <v>7.1241727651894302E-15</v>
      </c>
      <c r="BY2192" s="16">
        <f t="shared" si="565"/>
        <v>214.99999999999207</v>
      </c>
      <c r="BZ2192" s="16">
        <f t="shared" si="556"/>
        <v>3.3135687279952058E-17</v>
      </c>
      <c r="CA2192" s="16">
        <f t="shared" si="563"/>
        <v>-999</v>
      </c>
      <c r="CE2192" s="16" t="e">
        <f t="shared" si="557"/>
        <v>#N/A</v>
      </c>
      <c r="CF2192" s="16">
        <f t="shared" si="558"/>
        <v>99</v>
      </c>
      <c r="CG2192" s="16">
        <f t="shared" si="559"/>
        <v>0</v>
      </c>
      <c r="CH2192" s="16">
        <f t="shared" si="566"/>
        <v>0</v>
      </c>
      <c r="CJ2192" s="16" t="e">
        <f t="shared" si="560"/>
        <v>#N/A</v>
      </c>
      <c r="CK2192" s="16" t="str">
        <f t="shared" si="561"/>
        <v/>
      </c>
    </row>
    <row r="2193" spans="73:89" ht="12" customHeight="1">
      <c r="BU2193" s="16">
        <f t="shared" si="562"/>
        <v>0</v>
      </c>
      <c r="BV2193" s="16">
        <f>IF($BY$12=1,NORMDIST(BY2193,$Y$6,$Y$8,TRUE),IF($BY$12=2,IF(BY2193&lt;=$BX$31,0,IF(BY2193&gt;=$BX$32,1,(BY2193-$BX$31)*$BX$33)),SUM($BU$42:BU2193)/$BV$40))</f>
        <v>0.99999999999999989</v>
      </c>
      <c r="BW2193" s="16">
        <f t="shared" si="564"/>
        <v>6.839373435413621E-15</v>
      </c>
      <c r="BY2193" s="16">
        <f t="shared" si="565"/>
        <v>215.09999999999206</v>
      </c>
      <c r="BZ2193" s="16">
        <f t="shared" si="556"/>
        <v>3.1796250280864124E-17</v>
      </c>
      <c r="CA2193" s="16">
        <f t="shared" si="563"/>
        <v>-999</v>
      </c>
      <c r="CE2193" s="16" t="e">
        <f t="shared" si="557"/>
        <v>#N/A</v>
      </c>
      <c r="CF2193" s="16">
        <f t="shared" si="558"/>
        <v>99</v>
      </c>
      <c r="CG2193" s="16">
        <f t="shared" si="559"/>
        <v>0</v>
      </c>
      <c r="CH2193" s="16">
        <f t="shared" si="566"/>
        <v>0</v>
      </c>
      <c r="CJ2193" s="16" t="e">
        <f t="shared" si="560"/>
        <v>#N/A</v>
      </c>
      <c r="CK2193" s="16" t="str">
        <f t="shared" si="561"/>
        <v/>
      </c>
    </row>
    <row r="2194" spans="73:89" ht="12" customHeight="1">
      <c r="BU2194" s="16">
        <f t="shared" si="562"/>
        <v>0</v>
      </c>
      <c r="BV2194" s="16">
        <f>IF($BY$12=1,NORMDIST(BY2194,$Y$6,$Y$8,TRUE),IF($BY$12=2,IF(BY2194&lt;=$BX$31,0,IF(BY2194&gt;=$BX$32,1,(BY2194-$BX$31)*$BX$33)),SUM($BU$42:BU2194)/$BV$40))</f>
        <v>0.99999999999999989</v>
      </c>
      <c r="BW2194" s="16">
        <f t="shared" si="564"/>
        <v>6.5657938135260977E-15</v>
      </c>
      <c r="BY2194" s="16">
        <f t="shared" si="565"/>
        <v>215.19999999999206</v>
      </c>
      <c r="BZ2194" s="16">
        <f t="shared" si="556"/>
        <v>3.0510194300772957E-17</v>
      </c>
      <c r="CA2194" s="16">
        <f t="shared" si="563"/>
        <v>-999</v>
      </c>
      <c r="CE2194" s="16" t="e">
        <f t="shared" si="557"/>
        <v>#N/A</v>
      </c>
      <c r="CF2194" s="16">
        <f t="shared" si="558"/>
        <v>99</v>
      </c>
      <c r="CG2194" s="16">
        <f t="shared" si="559"/>
        <v>0</v>
      </c>
      <c r="CH2194" s="16">
        <f t="shared" si="566"/>
        <v>0</v>
      </c>
      <c r="CJ2194" s="16" t="e">
        <f t="shared" si="560"/>
        <v>#N/A</v>
      </c>
      <c r="CK2194" s="16" t="str">
        <f t="shared" si="561"/>
        <v/>
      </c>
    </row>
    <row r="2195" spans="73:89" ht="12" customHeight="1">
      <c r="BU2195" s="16">
        <f t="shared" si="562"/>
        <v>0</v>
      </c>
      <c r="BV2195" s="16">
        <f>IF($BY$12=1,NORMDIST(BY2195,$Y$6,$Y$8,TRUE),IF($BY$12=2,IF(BY2195&lt;=$BX$31,0,IF(BY2195&gt;=$BX$32,1,(BY2195-$BX$31)*$BX$33)),SUM($BU$42:BU2195)/$BV$40))</f>
        <v>0.99999999999999989</v>
      </c>
      <c r="BW2195" s="16">
        <f t="shared" si="564"/>
        <v>6.3029986259121783E-15</v>
      </c>
      <c r="BY2195" s="16">
        <f t="shared" si="565"/>
        <v>215.29999999999205</v>
      </c>
      <c r="BZ2195" s="16">
        <f t="shared" si="556"/>
        <v>2.9275423250870464E-17</v>
      </c>
      <c r="CA2195" s="16">
        <f t="shared" si="563"/>
        <v>-999</v>
      </c>
      <c r="CE2195" s="16" t="e">
        <f t="shared" si="557"/>
        <v>#N/A</v>
      </c>
      <c r="CF2195" s="16">
        <f t="shared" si="558"/>
        <v>99</v>
      </c>
      <c r="CG2195" s="16">
        <f t="shared" si="559"/>
        <v>0</v>
      </c>
      <c r="CH2195" s="16">
        <f t="shared" si="566"/>
        <v>0</v>
      </c>
      <c r="CJ2195" s="16" t="e">
        <f t="shared" si="560"/>
        <v>#N/A</v>
      </c>
      <c r="CK2195" s="16" t="str">
        <f t="shared" si="561"/>
        <v/>
      </c>
    </row>
    <row r="2196" spans="73:89" ht="12" customHeight="1">
      <c r="BU2196" s="16">
        <f t="shared" si="562"/>
        <v>0</v>
      </c>
      <c r="BV2196" s="16">
        <f>IF($BY$12=1,NORMDIST(BY2196,$Y$6,$Y$8,TRUE),IF($BY$12=2,IF(BY2196&lt;=$BX$31,0,IF(BY2196&gt;=$BX$32,1,(BY2196-$BX$31)*$BX$33)),SUM($BU$42:BU2196)/$BV$40))</f>
        <v>0.99999999999999989</v>
      </c>
      <c r="BW2196" s="16">
        <f t="shared" si="564"/>
        <v>6.0505692158263533E-15</v>
      </c>
      <c r="BY2196" s="16">
        <f t="shared" si="565"/>
        <v>215.39999999999205</v>
      </c>
      <c r="BZ2196" s="16">
        <f t="shared" si="556"/>
        <v>2.8089922079046317E-17</v>
      </c>
      <c r="CA2196" s="16">
        <f t="shared" si="563"/>
        <v>-999</v>
      </c>
      <c r="CE2196" s="16" t="e">
        <f t="shared" si="557"/>
        <v>#N/A</v>
      </c>
      <c r="CF2196" s="16">
        <f t="shared" si="558"/>
        <v>99</v>
      </c>
      <c r="CG2196" s="16">
        <f t="shared" si="559"/>
        <v>0</v>
      </c>
      <c r="CH2196" s="16">
        <f t="shared" si="566"/>
        <v>0</v>
      </c>
      <c r="CJ2196" s="16" t="e">
        <f t="shared" si="560"/>
        <v>#N/A</v>
      </c>
      <c r="CK2196" s="16" t="str">
        <f t="shared" si="561"/>
        <v/>
      </c>
    </row>
    <row r="2197" spans="73:89" ht="12" customHeight="1">
      <c r="BU2197" s="16">
        <f t="shared" si="562"/>
        <v>0</v>
      </c>
      <c r="BV2197" s="16">
        <f>IF($BY$12=1,NORMDIST(BY2197,$Y$6,$Y$8,TRUE),IF($BY$12=2,IF(BY2197&lt;=$BX$31,0,IF(BY2197&gt;=$BX$32,1,(BY2197-$BX$31)*$BX$33)),SUM($BU$42:BU2197)/$BV$40))</f>
        <v>0.99999999999999989</v>
      </c>
      <c r="BW2197" s="16">
        <f t="shared" si="564"/>
        <v>5.8081029196974798E-15</v>
      </c>
      <c r="BY2197" s="16">
        <f t="shared" si="565"/>
        <v>215.49999999999204</v>
      </c>
      <c r="BZ2197" s="16">
        <f t="shared" si="556"/>
        <v>2.6951753687692318E-17</v>
      </c>
      <c r="CA2197" s="16">
        <f t="shared" si="563"/>
        <v>-999</v>
      </c>
      <c r="CE2197" s="16" t="e">
        <f t="shared" si="557"/>
        <v>#N/A</v>
      </c>
      <c r="CF2197" s="16">
        <f t="shared" si="558"/>
        <v>99</v>
      </c>
      <c r="CG2197" s="16">
        <f t="shared" si="559"/>
        <v>0</v>
      </c>
      <c r="CH2197" s="16">
        <f t="shared" si="566"/>
        <v>0</v>
      </c>
      <c r="CJ2197" s="16" t="e">
        <f t="shared" si="560"/>
        <v>#N/A</v>
      </c>
      <c r="CK2197" s="16" t="str">
        <f t="shared" si="561"/>
        <v/>
      </c>
    </row>
    <row r="2198" spans="73:89" ht="12" customHeight="1">
      <c r="BU2198" s="16">
        <f t="shared" si="562"/>
        <v>0</v>
      </c>
      <c r="BV2198" s="16">
        <f>IF($BY$12=1,NORMDIST(BY2198,$Y$6,$Y$8,TRUE),IF($BY$12=2,IF(BY2198&lt;=$BX$31,0,IF(BY2198&gt;=$BX$32,1,(BY2198-$BX$31)*$BX$33)),SUM($BU$42:BU2198)/$BV$40))</f>
        <v>0.99999999999999989</v>
      </c>
      <c r="BW2198" s="16">
        <f t="shared" si="564"/>
        <v>5.5752124664284603E-15</v>
      </c>
      <c r="BY2198" s="16">
        <f t="shared" si="565"/>
        <v>215.59999999999204</v>
      </c>
      <c r="BZ2198" s="16">
        <f t="shared" si="556"/>
        <v>2.5859055966737783E-17</v>
      </c>
      <c r="CA2198" s="16">
        <f t="shared" si="563"/>
        <v>-999</v>
      </c>
      <c r="CE2198" s="16" t="e">
        <f t="shared" si="557"/>
        <v>#N/A</v>
      </c>
      <c r="CF2198" s="16">
        <f t="shared" si="558"/>
        <v>99</v>
      </c>
      <c r="CG2198" s="16">
        <f t="shared" si="559"/>
        <v>0</v>
      </c>
      <c r="CH2198" s="16">
        <f t="shared" si="566"/>
        <v>0</v>
      </c>
      <c r="CJ2198" s="16" t="e">
        <f t="shared" si="560"/>
        <v>#N/A</v>
      </c>
      <c r="CK2198" s="16" t="str">
        <f t="shared" si="561"/>
        <v/>
      </c>
    </row>
    <row r="2199" spans="73:89" ht="12" customHeight="1">
      <c r="BU2199" s="16">
        <f t="shared" si="562"/>
        <v>0</v>
      </c>
      <c r="BV2199" s="16">
        <f>IF($BY$12=1,NORMDIST(BY2199,$Y$6,$Y$8,TRUE),IF($BY$12=2,IF(BY2199&lt;=$BX$31,0,IF(BY2199&gt;=$BX$32,1,(BY2199-$BX$31)*$BX$33)),SUM($BU$42:BU2199)/$BV$40))</f>
        <v>0.99999999999999989</v>
      </c>
      <c r="BW2199" s="16">
        <f t="shared" si="564"/>
        <v>5.3515253988577866E-15</v>
      </c>
      <c r="BY2199" s="16">
        <f t="shared" si="565"/>
        <v>215.69999999999203</v>
      </c>
      <c r="BZ2199" s="16">
        <f t="shared" si="556"/>
        <v>2.4810038937681894E-17</v>
      </c>
      <c r="CA2199" s="16">
        <f t="shared" si="563"/>
        <v>-999</v>
      </c>
      <c r="CE2199" s="16" t="e">
        <f t="shared" si="557"/>
        <v>#N/A</v>
      </c>
      <c r="CF2199" s="16">
        <f t="shared" si="558"/>
        <v>99</v>
      </c>
      <c r="CG2199" s="16">
        <f t="shared" si="559"/>
        <v>0</v>
      </c>
      <c r="CH2199" s="16">
        <f t="shared" si="566"/>
        <v>0</v>
      </c>
      <c r="CJ2199" s="16" t="e">
        <f t="shared" si="560"/>
        <v>#N/A</v>
      </c>
      <c r="CK2199" s="16" t="str">
        <f t="shared" si="561"/>
        <v/>
      </c>
    </row>
    <row r="2200" spans="73:89" ht="12" customHeight="1">
      <c r="BU2200" s="16">
        <f t="shared" si="562"/>
        <v>0</v>
      </c>
      <c r="BV2200" s="16">
        <f>IF($BY$12=1,NORMDIST(BY2200,$Y$6,$Y$8,TRUE),IF($BY$12=2,IF(BY2200&lt;=$BX$31,0,IF(BY2200&gt;=$BX$32,1,(BY2200-$BX$31)*$BX$33)),SUM($BU$42:BU2200)/$BV$40))</f>
        <v>0.99999999999999989</v>
      </c>
      <c r="BW2200" s="16">
        <f t="shared" si="564"/>
        <v>5.1366835165811351E-15</v>
      </c>
      <c r="BY2200" s="16">
        <f t="shared" si="565"/>
        <v>215.79999999999202</v>
      </c>
      <c r="BZ2200" s="16">
        <f t="shared" si="556"/>
        <v>2.3802982004547381E-17</v>
      </c>
      <c r="CA2200" s="16">
        <f t="shared" si="563"/>
        <v>-999</v>
      </c>
      <c r="CE2200" s="16" t="e">
        <f t="shared" si="557"/>
        <v>#N/A</v>
      </c>
      <c r="CF2200" s="16">
        <f t="shared" si="558"/>
        <v>99</v>
      </c>
      <c r="CG2200" s="16">
        <f t="shared" si="559"/>
        <v>0</v>
      </c>
      <c r="CH2200" s="16">
        <f t="shared" si="566"/>
        <v>0</v>
      </c>
      <c r="CJ2200" s="16" t="e">
        <f t="shared" si="560"/>
        <v>#N/A</v>
      </c>
      <c r="CK2200" s="16" t="str">
        <f t="shared" si="561"/>
        <v/>
      </c>
    </row>
    <row r="2201" spans="73:89" ht="12" customHeight="1">
      <c r="BU2201" s="16">
        <f t="shared" si="562"/>
        <v>0</v>
      </c>
      <c r="BV2201" s="16">
        <f>IF($BY$12=1,NORMDIST(BY2201,$Y$6,$Y$8,TRUE),IF($BY$12=2,IF(BY2201&lt;=$BX$31,0,IF(BY2201&gt;=$BX$32,1,(BY2201-$BX$31)*$BX$33)),SUM($BU$42:BU2201)/$BV$40))</f>
        <v>1</v>
      </c>
      <c r="BW2201" s="16">
        <f t="shared" si="564"/>
        <v>4.9303423393592445E-15</v>
      </c>
      <c r="BY2201" s="16">
        <f t="shared" si="565"/>
        <v>215.89999999999202</v>
      </c>
      <c r="BZ2201" s="16">
        <f t="shared" si="556"/>
        <v>2.2836231307825041E-17</v>
      </c>
      <c r="CA2201" s="16">
        <f t="shared" si="563"/>
        <v>-999</v>
      </c>
      <c r="CE2201" s="16" t="e">
        <f t="shared" si="557"/>
        <v>#N/A</v>
      </c>
      <c r="CF2201" s="16">
        <f t="shared" si="558"/>
        <v>99</v>
      </c>
      <c r="CG2201" s="16">
        <f t="shared" si="559"/>
        <v>0</v>
      </c>
      <c r="CH2201" s="16">
        <f t="shared" si="566"/>
        <v>0</v>
      </c>
      <c r="CJ2201" s="16" t="e">
        <f t="shared" si="560"/>
        <v>#N/A</v>
      </c>
      <c r="CK2201" s="16" t="str">
        <f t="shared" si="561"/>
        <v/>
      </c>
    </row>
    <row r="2202" spans="73:89" ht="12" customHeight="1">
      <c r="BU2202" s="16">
        <f t="shared" si="562"/>
        <v>0</v>
      </c>
      <c r="BV2202" s="16">
        <f>IF($BY$12=1,NORMDIST(BY2202,$Y$6,$Y$8,TRUE),IF($BY$12=2,IF(BY2202&lt;=$BX$31,0,IF(BY2202&gt;=$BX$32,1,(BY2202-$BX$31)*$BX$33)),SUM($BU$42:BU2202)/$BV$40))</f>
        <v>1</v>
      </c>
      <c r="BW2202" s="16">
        <f t="shared" si="564"/>
        <v>4.7321705903656335E-15</v>
      </c>
      <c r="BY2202" s="16">
        <f t="shared" si="565"/>
        <v>215.99999999999201</v>
      </c>
      <c r="BZ2202" s="16">
        <f t="shared" si="556"/>
        <v>2.1908197177619482E-17</v>
      </c>
      <c r="CA2202" s="16">
        <f t="shared" si="563"/>
        <v>-999</v>
      </c>
      <c r="CE2202" s="16" t="e">
        <f t="shared" si="557"/>
        <v>#N/A</v>
      </c>
      <c r="CF2202" s="16">
        <f t="shared" si="558"/>
        <v>99</v>
      </c>
      <c r="CG2202" s="16">
        <f t="shared" si="559"/>
        <v>0</v>
      </c>
      <c r="CH2202" s="16">
        <f t="shared" si="566"/>
        <v>0</v>
      </c>
      <c r="CJ2202" s="16" t="e">
        <f t="shared" si="560"/>
        <v>#N/A</v>
      </c>
      <c r="CK2202" s="16" t="str">
        <f t="shared" si="561"/>
        <v/>
      </c>
    </row>
    <row r="2203" spans="73:89" ht="12" customHeight="1">
      <c r="BU2203" s="16">
        <f t="shared" si="562"/>
        <v>0</v>
      </c>
      <c r="BV2203" s="16">
        <f>IF($BY$12=1,NORMDIST(BY2203,$Y$6,$Y$8,TRUE),IF($BY$12=2,IF(BY2203&lt;=$BX$31,0,IF(BY2203&gt;=$BX$32,1,(BY2203-$BX$31)*$BX$33)),SUM($BU$42:BU2203)/$BV$40))</f>
        <v>1</v>
      </c>
      <c r="BW2203" s="16">
        <f t="shared" si="564"/>
        <v>4.5418496985537729E-15</v>
      </c>
      <c r="BY2203" s="16">
        <f t="shared" si="565"/>
        <v>216.09999999999201</v>
      </c>
      <c r="BZ2203" s="16">
        <f t="shared" si="556"/>
        <v>2.1017351682341234E-17</v>
      </c>
      <c r="CA2203" s="16">
        <f t="shared" si="563"/>
        <v>-999</v>
      </c>
      <c r="CE2203" s="16" t="e">
        <f t="shared" si="557"/>
        <v>#N/A</v>
      </c>
      <c r="CF2203" s="16">
        <f t="shared" si="558"/>
        <v>99</v>
      </c>
      <c r="CG2203" s="16">
        <f t="shared" si="559"/>
        <v>0</v>
      </c>
      <c r="CH2203" s="16">
        <f t="shared" si="566"/>
        <v>0</v>
      </c>
      <c r="CJ2203" s="16" t="e">
        <f t="shared" si="560"/>
        <v>#N/A</v>
      </c>
      <c r="CK2203" s="16" t="str">
        <f t="shared" si="561"/>
        <v/>
      </c>
    </row>
    <row r="2204" spans="73:89" ht="12" customHeight="1">
      <c r="BU2204" s="16">
        <f t="shared" si="562"/>
        <v>0</v>
      </c>
      <c r="BV2204" s="16">
        <f>IF($BY$12=1,NORMDIST(BY2204,$Y$6,$Y$8,TRUE),IF($BY$12=2,IF(BY2204&lt;=$BX$31,0,IF(BY2204&gt;=$BX$32,1,(BY2204-$BX$31)*$BX$33)),SUM($BU$42:BU2204)/$BV$40))</f>
        <v>1</v>
      </c>
      <c r="BW2204" s="16">
        <f t="shared" si="564"/>
        <v>4.3590733194506288E-15</v>
      </c>
      <c r="BY2204" s="16">
        <f t="shared" si="565"/>
        <v>216.199999999992</v>
      </c>
      <c r="BZ2204" s="16">
        <f t="shared" si="556"/>
        <v>2.0162226269430113E-17</v>
      </c>
      <c r="CA2204" s="16">
        <f t="shared" si="563"/>
        <v>-999</v>
      </c>
      <c r="CE2204" s="16" t="e">
        <f t="shared" si="557"/>
        <v>#N/A</v>
      </c>
      <c r="CF2204" s="16">
        <f t="shared" si="558"/>
        <v>99</v>
      </c>
      <c r="CG2204" s="16">
        <f t="shared" si="559"/>
        <v>0</v>
      </c>
      <c r="CH2204" s="16">
        <f t="shared" si="566"/>
        <v>0</v>
      </c>
      <c r="CJ2204" s="16" t="e">
        <f t="shared" si="560"/>
        <v>#N/A</v>
      </c>
      <c r="CK2204" s="16" t="str">
        <f t="shared" si="561"/>
        <v/>
      </c>
    </row>
    <row r="2205" spans="73:89" ht="12" customHeight="1">
      <c r="BU2205" s="16">
        <f t="shared" si="562"/>
        <v>0</v>
      </c>
      <c r="BV2205" s="16">
        <f>IF($BY$12=1,NORMDIST(BY2205,$Y$6,$Y$8,TRUE),IF($BY$12=2,IF(BY2205&lt;=$BX$31,0,IF(BY2205&gt;=$BX$32,1,(BY2205-$BX$31)*$BX$33)),SUM($BU$42:BU2205)/$BV$40))</f>
        <v>1</v>
      </c>
      <c r="BW2205" s="16">
        <f t="shared" si="564"/>
        <v>4.1835468737060367E-15</v>
      </c>
      <c r="BY2205" s="16">
        <f t="shared" si="565"/>
        <v>216.299999999992</v>
      </c>
      <c r="BZ2205" s="16">
        <f t="shared" si="556"/>
        <v>1.9341409494711934E-17</v>
      </c>
      <c r="CA2205" s="16">
        <f t="shared" si="563"/>
        <v>-999</v>
      </c>
      <c r="CE2205" s="16" t="e">
        <f t="shared" si="557"/>
        <v>#N/A</v>
      </c>
      <c r="CF2205" s="16">
        <f t="shared" si="558"/>
        <v>99</v>
      </c>
      <c r="CG2205" s="16">
        <f t="shared" si="559"/>
        <v>0</v>
      </c>
      <c r="CH2205" s="16">
        <f t="shared" si="566"/>
        <v>0</v>
      </c>
      <c r="CJ2205" s="16" t="e">
        <f t="shared" si="560"/>
        <v>#N/A</v>
      </c>
      <c r="CK2205" s="16" t="str">
        <f t="shared" si="561"/>
        <v/>
      </c>
    </row>
    <row r="2206" spans="73:89" ht="12" customHeight="1">
      <c r="BU2206" s="16">
        <f t="shared" si="562"/>
        <v>0</v>
      </c>
      <c r="BV2206" s="16">
        <f>IF($BY$12=1,NORMDIST(BY2206,$Y$6,$Y$8,TRUE),IF($BY$12=2,IF(BY2206&lt;=$BX$31,0,IF(BY2206&gt;=$BX$32,1,(BY2206-$BX$31)*$BX$33)),SUM($BU$42:BU2206)/$BV$40))</f>
        <v>1</v>
      </c>
      <c r="BW2206" s="16">
        <f t="shared" si="564"/>
        <v>4.0149871027523072E-15</v>
      </c>
      <c r="BY2206" s="16">
        <f t="shared" si="565"/>
        <v>216.39999999999199</v>
      </c>
      <c r="BZ2206" s="16">
        <f t="shared" si="556"/>
        <v>1.8553544837118558E-17</v>
      </c>
      <c r="CA2206" s="16">
        <f t="shared" si="563"/>
        <v>-999</v>
      </c>
      <c r="CE2206" s="16" t="e">
        <f t="shared" si="557"/>
        <v>#N/A</v>
      </c>
      <c r="CF2206" s="16">
        <f t="shared" si="558"/>
        <v>99</v>
      </c>
      <c r="CG2206" s="16">
        <f t="shared" si="559"/>
        <v>0</v>
      </c>
      <c r="CH2206" s="16">
        <f t="shared" si="566"/>
        <v>0</v>
      </c>
      <c r="CJ2206" s="16" t="e">
        <f t="shared" si="560"/>
        <v>#N/A</v>
      </c>
      <c r="CK2206" s="16" t="str">
        <f t="shared" si="561"/>
        <v/>
      </c>
    </row>
    <row r="2207" spans="73:89" ht="12" customHeight="1">
      <c r="BU2207" s="16">
        <f t="shared" si="562"/>
        <v>0</v>
      </c>
      <c r="BV2207" s="16">
        <f>IF($BY$12=1,NORMDIST(BY2207,$Y$6,$Y$8,TRUE),IF($BY$12=2,IF(BY2207&lt;=$BX$31,0,IF(BY2207&gt;=$BX$32,1,(BY2207-$BX$31)*$BX$33)),SUM($BU$42:BU2207)/$BV$40))</f>
        <v>1</v>
      </c>
      <c r="BW2207" s="16">
        <f t="shared" si="564"/>
        <v>3.8531216409522532E-15</v>
      </c>
      <c r="BY2207" s="16">
        <f t="shared" si="565"/>
        <v>216.49999999999199</v>
      </c>
      <c r="BZ2207" s="16">
        <f t="shared" si="556"/>
        <v>1.7797328595623077E-17</v>
      </c>
      <c r="CA2207" s="16">
        <f t="shared" si="563"/>
        <v>-999</v>
      </c>
      <c r="CE2207" s="16" t="e">
        <f t="shared" si="557"/>
        <v>#N/A</v>
      </c>
      <c r="CF2207" s="16">
        <f t="shared" si="558"/>
        <v>99</v>
      </c>
      <c r="CG2207" s="16">
        <f t="shared" si="559"/>
        <v>0</v>
      </c>
      <c r="CH2207" s="16">
        <f t="shared" si="566"/>
        <v>0</v>
      </c>
      <c r="CJ2207" s="16" t="e">
        <f t="shared" si="560"/>
        <v>#N/A</v>
      </c>
      <c r="CK2207" s="16" t="str">
        <f t="shared" si="561"/>
        <v/>
      </c>
    </row>
    <row r="2208" spans="73:89" ht="12" customHeight="1">
      <c r="BU2208" s="16">
        <f t="shared" si="562"/>
        <v>0</v>
      </c>
      <c r="BV2208" s="16">
        <f>IF($BY$12=1,NORMDIST(BY2208,$Y$6,$Y$8,TRUE),IF($BY$12=2,IF(BY2208&lt;=$BX$31,0,IF(BY2208&gt;=$BX$32,1,(BY2208-$BX$31)*$BX$33)),SUM($BU$42:BU2208)/$BV$40))</f>
        <v>1</v>
      </c>
      <c r="BW2208" s="16">
        <f t="shared" si="564"/>
        <v>3.6976886036340051E-15</v>
      </c>
      <c r="BY2208" s="16">
        <f t="shared" si="565"/>
        <v>216.59999999999198</v>
      </c>
      <c r="BZ2208" s="16">
        <f t="shared" si="556"/>
        <v>1.7071507865346916E-17</v>
      </c>
      <c r="CA2208" s="16">
        <f t="shared" si="563"/>
        <v>-999</v>
      </c>
      <c r="CE2208" s="16" t="e">
        <f t="shared" si="557"/>
        <v>#N/A</v>
      </c>
      <c r="CF2208" s="16">
        <f t="shared" si="558"/>
        <v>99</v>
      </c>
      <c r="CG2208" s="16">
        <f t="shared" si="559"/>
        <v>0</v>
      </c>
      <c r="CH2208" s="16">
        <f t="shared" si="566"/>
        <v>0</v>
      </c>
      <c r="CJ2208" s="16" t="e">
        <f t="shared" si="560"/>
        <v>#N/A</v>
      </c>
      <c r="CK2208" s="16" t="str">
        <f t="shared" si="561"/>
        <v/>
      </c>
    </row>
    <row r="2209" spans="73:89" ht="12" customHeight="1">
      <c r="BU2209" s="16">
        <f t="shared" si="562"/>
        <v>0</v>
      </c>
      <c r="BV2209" s="16">
        <f>IF($BY$12=1,NORMDIST(BY2209,$Y$6,$Y$8,TRUE),IF($BY$12=2,IF(BY2209&lt;=$BX$31,0,IF(BY2209&gt;=$BX$32,1,(BY2209-$BX$31)*$BX$33)),SUM($BU$42:BU2209)/$BV$40))</f>
        <v>1</v>
      </c>
      <c r="BW2209" s="16">
        <f t="shared" si="564"/>
        <v>3.5484361904344758E-15</v>
      </c>
      <c r="BY2209" s="16">
        <f t="shared" si="565"/>
        <v>216.69999999999197</v>
      </c>
      <c r="BZ2209" s="16">
        <f t="shared" si="556"/>
        <v>1.6374878589915124E-17</v>
      </c>
      <c r="CA2209" s="16">
        <f t="shared" si="563"/>
        <v>-999</v>
      </c>
      <c r="CE2209" s="16" t="e">
        <f t="shared" si="557"/>
        <v>#N/A</v>
      </c>
      <c r="CF2209" s="16">
        <f t="shared" si="558"/>
        <v>99</v>
      </c>
      <c r="CG2209" s="16">
        <f t="shared" si="559"/>
        <v>0</v>
      </c>
      <c r="CH2209" s="16">
        <f t="shared" si="566"/>
        <v>0</v>
      </c>
      <c r="CJ2209" s="16" t="e">
        <f t="shared" si="560"/>
        <v>#N/A</v>
      </c>
      <c r="CK2209" s="16" t="str">
        <f t="shared" si="561"/>
        <v/>
      </c>
    </row>
    <row r="2210" spans="73:89" ht="12" customHeight="1">
      <c r="BU2210" s="16">
        <f t="shared" si="562"/>
        <v>0</v>
      </c>
      <c r="BV2210" s="16">
        <f>IF($BY$12=1,NORMDIST(BY2210,$Y$6,$Y$8,TRUE),IF($BY$12=2,IF(BY2210&lt;=$BX$31,0,IF(BY2210&gt;=$BX$32,1,(BY2210-$BX$31)*$BX$33)),SUM($BU$42:BU2210)/$BV$40))</f>
        <v>1</v>
      </c>
      <c r="BW2210" s="16">
        <f t="shared" si="564"/>
        <v>3.4051223033928189E-15</v>
      </c>
      <c r="BY2210" s="16">
        <f t="shared" si="565"/>
        <v>216.79999999999197</v>
      </c>
      <c r="BZ2210" s="16">
        <f t="shared" si="556"/>
        <v>1.5706283687236831E-17</v>
      </c>
      <c r="CA2210" s="16">
        <f t="shared" si="563"/>
        <v>-999</v>
      </c>
      <c r="CE2210" s="16" t="e">
        <f t="shared" si="557"/>
        <v>#N/A</v>
      </c>
      <c r="CF2210" s="16">
        <f t="shared" si="558"/>
        <v>99</v>
      </c>
      <c r="CG2210" s="16">
        <f t="shared" si="559"/>
        <v>0</v>
      </c>
      <c r="CH2210" s="16">
        <f t="shared" si="566"/>
        <v>0</v>
      </c>
      <c r="CJ2210" s="16" t="e">
        <f t="shared" si="560"/>
        <v>#N/A</v>
      </c>
      <c r="CK2210" s="16" t="str">
        <f t="shared" si="561"/>
        <v/>
      </c>
    </row>
    <row r="2211" spans="73:89" ht="12" customHeight="1">
      <c r="BU2211" s="16">
        <f t="shared" si="562"/>
        <v>0</v>
      </c>
      <c r="BV2211" s="16">
        <f>IF($BY$12=1,NORMDIST(BY2211,$Y$6,$Y$8,TRUE),IF($BY$12=2,IF(BY2211&lt;=$BX$31,0,IF(BY2211&gt;=$BX$32,1,(BY2211-$BX$31)*$BX$33)),SUM($BU$42:BU2211)/$BV$40))</f>
        <v>1</v>
      </c>
      <c r="BW2211" s="16">
        <f t="shared" si="564"/>
        <v>3.2675141792552807E-15</v>
      </c>
      <c r="BY2211" s="16">
        <f t="shared" si="565"/>
        <v>216.89999999999196</v>
      </c>
      <c r="BZ2211" s="16">
        <f t="shared" si="556"/>
        <v>1.5064611245990787E-17</v>
      </c>
      <c r="CA2211" s="16">
        <f t="shared" si="563"/>
        <v>-999</v>
      </c>
      <c r="CE2211" s="16" t="e">
        <f t="shared" si="557"/>
        <v>#N/A</v>
      </c>
      <c r="CF2211" s="16">
        <f t="shared" si="558"/>
        <v>99</v>
      </c>
      <c r="CG2211" s="16">
        <f t="shared" si="559"/>
        <v>0</v>
      </c>
      <c r="CH2211" s="16">
        <f t="shared" si="566"/>
        <v>0</v>
      </c>
      <c r="CJ2211" s="16" t="e">
        <f t="shared" si="560"/>
        <v>#N/A</v>
      </c>
      <c r="CK2211" s="16" t="str">
        <f t="shared" si="561"/>
        <v/>
      </c>
    </row>
    <row r="2212" spans="73:89" ht="12" customHeight="1">
      <c r="BU2212" s="16">
        <f t="shared" si="562"/>
        <v>0</v>
      </c>
      <c r="BV2212" s="16">
        <f>IF($BY$12=1,NORMDIST(BY2212,$Y$6,$Y$8,TRUE),IF($BY$12=2,IF(BY2212&lt;=$BX$31,0,IF(BY2212&gt;=$BX$32,1,(BY2212-$BX$31)*$BX$33)),SUM($BU$42:BU2212)/$BV$40))</f>
        <v>1</v>
      </c>
      <c r="BW2212" s="16">
        <f t="shared" si="564"/>
        <v>3.1353880354728359E-15</v>
      </c>
      <c r="BY2212" s="16">
        <f t="shared" si="565"/>
        <v>216.99999999999196</v>
      </c>
      <c r="BZ2212" s="16">
        <f t="shared" si="556"/>
        <v>1.4448792790197936E-17</v>
      </c>
      <c r="CA2212" s="16">
        <f t="shared" si="563"/>
        <v>-999</v>
      </c>
      <c r="CE2212" s="16" t="e">
        <f t="shared" si="557"/>
        <v>#N/A</v>
      </c>
      <c r="CF2212" s="16">
        <f t="shared" si="558"/>
        <v>99</v>
      </c>
      <c r="CG2212" s="16">
        <f t="shared" si="559"/>
        <v>0</v>
      </c>
      <c r="CH2212" s="16">
        <f t="shared" si="566"/>
        <v>0</v>
      </c>
      <c r="CJ2212" s="16" t="e">
        <f t="shared" si="560"/>
        <v>#N/A</v>
      </c>
      <c r="CK2212" s="16" t="str">
        <f t="shared" si="561"/>
        <v/>
      </c>
    </row>
    <row r="2213" spans="73:89" ht="12" customHeight="1">
      <c r="BU2213" s="16">
        <f t="shared" si="562"/>
        <v>0</v>
      </c>
      <c r="BV2213" s="16">
        <f>IF($BY$12=1,NORMDIST(BY2213,$Y$6,$Y$8,TRUE),IF($BY$12=2,IF(BY2213&lt;=$BX$31,0,IF(BY2213&gt;=$BX$32,1,(BY2213-$BX$31)*$BX$33)),SUM($BU$42:BU2213)/$BV$40))</f>
        <v>1</v>
      </c>
      <c r="BW2213" s="16">
        <f t="shared" si="564"/>
        <v>3.008528729390703E-15</v>
      </c>
      <c r="BY2213" s="16">
        <f t="shared" si="565"/>
        <v>217.09999999999195</v>
      </c>
      <c r="BZ2213" s="16">
        <f t="shared" si="556"/>
        <v>1.3857801609354281E-17</v>
      </c>
      <c r="CA2213" s="16">
        <f t="shared" si="563"/>
        <v>-999</v>
      </c>
      <c r="CE2213" s="16" t="e">
        <f t="shared" si="557"/>
        <v>#N/A</v>
      </c>
      <c r="CF2213" s="16">
        <f t="shared" si="558"/>
        <v>99</v>
      </c>
      <c r="CG2213" s="16">
        <f t="shared" si="559"/>
        <v>0</v>
      </c>
      <c r="CH2213" s="16">
        <f t="shared" si="566"/>
        <v>0</v>
      </c>
      <c r="CJ2213" s="16" t="e">
        <f t="shared" si="560"/>
        <v>#N/A</v>
      </c>
      <c r="CK2213" s="16" t="str">
        <f t="shared" si="561"/>
        <v/>
      </c>
    </row>
    <row r="2214" spans="73:89" ht="12" customHeight="1">
      <c r="BU2214" s="16">
        <f t="shared" si="562"/>
        <v>0</v>
      </c>
      <c r="BV2214" s="16">
        <f>IF($BY$12=1,NORMDIST(BY2214,$Y$6,$Y$8,TRUE),IF($BY$12=2,IF(BY2214&lt;=$BX$31,0,IF(BY2214&gt;=$BX$32,1,(BY2214-$BX$31)*$BX$33)),SUM($BU$42:BU2214)/$BV$40))</f>
        <v>1</v>
      </c>
      <c r="BW2214" s="16">
        <f t="shared" si="564"/>
        <v>2.8867294301473276E-15</v>
      </c>
      <c r="BY2214" s="16">
        <f t="shared" si="565"/>
        <v>217.19999999999195</v>
      </c>
      <c r="BZ2214" s="16">
        <f t="shared" si="556"/>
        <v>1.3290651151691688E-17</v>
      </c>
      <c r="CA2214" s="16">
        <f t="shared" si="563"/>
        <v>-999</v>
      </c>
      <c r="CE2214" s="16" t="e">
        <f t="shared" si="557"/>
        <v>#N/A</v>
      </c>
      <c r="CF2214" s="16">
        <f t="shared" si="558"/>
        <v>99</v>
      </c>
      <c r="CG2214" s="16">
        <f t="shared" si="559"/>
        <v>0</v>
      </c>
      <c r="CH2214" s="16">
        <f t="shared" si="566"/>
        <v>0</v>
      </c>
      <c r="CJ2214" s="16" t="e">
        <f t="shared" si="560"/>
        <v>#N/A</v>
      </c>
      <c r="CK2214" s="16" t="str">
        <f t="shared" si="561"/>
        <v/>
      </c>
    </row>
    <row r="2215" spans="73:89" ht="12" customHeight="1">
      <c r="BU2215" s="16">
        <f t="shared" si="562"/>
        <v>0</v>
      </c>
      <c r="BV2215" s="16">
        <f>IF($BY$12=1,NORMDIST(BY2215,$Y$6,$Y$8,TRUE),IF($BY$12=2,IF(BY2215&lt;=$BX$31,0,IF(BY2215&gt;=$BX$32,1,(BY2215-$BX$31)*$BX$33)),SUM($BU$42:BU2215)/$BV$40))</f>
        <v>1</v>
      </c>
      <c r="BW2215" s="16">
        <f t="shared" si="564"/>
        <v>2.7697913028174563E-15</v>
      </c>
      <c r="BY2215" s="16">
        <f t="shared" si="565"/>
        <v>217.29999999999194</v>
      </c>
      <c r="BZ2215" s="16">
        <f t="shared" si="556"/>
        <v>1.2746393478221625E-17</v>
      </c>
      <c r="CA2215" s="16">
        <f t="shared" si="563"/>
        <v>-999</v>
      </c>
      <c r="CE2215" s="16" t="e">
        <f t="shared" si="557"/>
        <v>#N/A</v>
      </c>
      <c r="CF2215" s="16">
        <f t="shared" si="558"/>
        <v>99</v>
      </c>
      <c r="CG2215" s="16">
        <f t="shared" si="559"/>
        <v>0</v>
      </c>
      <c r="CH2215" s="16">
        <f t="shared" si="566"/>
        <v>0</v>
      </c>
      <c r="CJ2215" s="16" t="e">
        <f t="shared" si="560"/>
        <v>#N/A</v>
      </c>
      <c r="CK2215" s="16" t="str">
        <f t="shared" si="561"/>
        <v/>
      </c>
    </row>
    <row r="2216" spans="73:89" ht="12" customHeight="1">
      <c r="BU2216" s="16">
        <f t="shared" si="562"/>
        <v>0</v>
      </c>
      <c r="BV2216" s="16">
        <f>IF($BY$12=1,NORMDIST(BY2216,$Y$6,$Y$8,TRUE),IF($BY$12=2,IF(BY2216&lt;=$BX$31,0,IF(BY2216&gt;=$BX$32,1,(BY2216-$BX$31)*$BX$33)),SUM($BU$42:BU2216)/$BV$40))</f>
        <v>1</v>
      </c>
      <c r="BW2216" s="16">
        <f t="shared" si="564"/>
        <v>2.6575232043509024E-15</v>
      </c>
      <c r="BY2216" s="16">
        <f t="shared" si="565"/>
        <v>217.39999999999193</v>
      </c>
      <c r="BZ2216" s="16">
        <f t="shared" si="556"/>
        <v>1.2224117775303593E-17</v>
      </c>
      <c r="CA2216" s="16">
        <f t="shared" si="563"/>
        <v>-999</v>
      </c>
      <c r="CE2216" s="16" t="e">
        <f t="shared" si="557"/>
        <v>#N/A</v>
      </c>
      <c r="CF2216" s="16">
        <f t="shared" si="558"/>
        <v>99</v>
      </c>
      <c r="CG2216" s="16">
        <f t="shared" si="559"/>
        <v>0</v>
      </c>
      <c r="CH2216" s="16">
        <f t="shared" si="566"/>
        <v>0</v>
      </c>
      <c r="CJ2216" s="16" t="e">
        <f t="shared" si="560"/>
        <v>#N/A</v>
      </c>
      <c r="CK2216" s="16" t="str">
        <f t="shared" si="561"/>
        <v/>
      </c>
    </row>
    <row r="2217" spans="73:89" ht="12" customHeight="1">
      <c r="BU2217" s="16">
        <f t="shared" si="562"/>
        <v>0</v>
      </c>
      <c r="BV2217" s="16">
        <f>IF($BY$12=1,NORMDIST(BY2217,$Y$6,$Y$8,TRUE),IF($BY$12=2,IF(BY2217&lt;=$BX$31,0,IF(BY2217&gt;=$BX$32,1,(BY2217-$BX$31)*$BX$33)),SUM($BU$42:BU2217)/$BV$40))</f>
        <v>1</v>
      </c>
      <c r="BW2217" s="16">
        <f t="shared" si="564"/>
        <v>2.5497413908744685E-15</v>
      </c>
      <c r="BY2217" s="16">
        <f t="shared" si="565"/>
        <v>217.49999999999193</v>
      </c>
      <c r="BZ2217" s="16">
        <f t="shared" si="556"/>
        <v>1.172294892356121E-17</v>
      </c>
      <c r="CA2217" s="16">
        <f t="shared" si="563"/>
        <v>-999</v>
      </c>
      <c r="CE2217" s="16" t="e">
        <f t="shared" si="557"/>
        <v>#N/A</v>
      </c>
      <c r="CF2217" s="16">
        <f t="shared" si="558"/>
        <v>99</v>
      </c>
      <c r="CG2217" s="16">
        <f t="shared" si="559"/>
        <v>0</v>
      </c>
      <c r="CH2217" s="16">
        <f t="shared" si="566"/>
        <v>0</v>
      </c>
      <c r="CJ2217" s="16" t="e">
        <f t="shared" si="560"/>
        <v>#N/A</v>
      </c>
      <c r="CK2217" s="16" t="str">
        <f t="shared" si="561"/>
        <v/>
      </c>
    </row>
    <row r="2218" spans="73:89" ht="12" customHeight="1">
      <c r="BU2218" s="16">
        <f t="shared" si="562"/>
        <v>0</v>
      </c>
      <c r="BV2218" s="16">
        <f>IF($BY$12=1,NORMDIST(BY2218,$Y$6,$Y$8,TRUE),IF($BY$12=2,IF(BY2218&lt;=$BX$31,0,IF(BY2218&gt;=$BX$32,1,(BY2218-$BX$31)*$BX$33)),SUM($BU$42:BU2218)/$BV$40))</f>
        <v>1</v>
      </c>
      <c r="BW2218" s="16">
        <f t="shared" si="564"/>
        <v>2.446269235939923E-15</v>
      </c>
      <c r="BY2218" s="16">
        <f t="shared" si="565"/>
        <v>217.59999999999192</v>
      </c>
      <c r="BZ2218" s="16">
        <f t="shared" ref="BZ2218:BZ2281" si="567">IF($BZ$5,IF($BY$12=1,NORMDIST(BY2218,$Y$6,$Y$8,FALSE),IF($BY$12=2,IF(AND(BY2218&gt;=$BX$31,BY2218&lt;=$BX$32),$BX$33,0),IF(BY2218&lt;=$BX$13,0,NORMDIST(LN((BY2218-$BX$13)/$BX$12),0,$BW$8,FALSE)/((BY2218-$BX$13)/$BX$12)))),-999)</f>
        <v>1.1242046121047857E-17</v>
      </c>
      <c r="CA2218" s="16">
        <f t="shared" si="563"/>
        <v>-999</v>
      </c>
      <c r="CE2218" s="16" t="e">
        <f t="shared" ref="CE2218:CE2281" si="568">IF(AND($CB$7,$CD$2,$CD$1),26+$P$23/2-CC2218*$P$23,NA())</f>
        <v>#N/A</v>
      </c>
      <c r="CF2218" s="16">
        <f t="shared" ref="CF2218:CF2281" si="569">IF(ISNA(CJ2218),99,CJ2218)</f>
        <v>99</v>
      </c>
      <c r="CG2218" s="16">
        <f t="shared" ref="CG2218:CG2281" si="570">IF(ISNA(CJ2218),0,CJ2218)</f>
        <v>0</v>
      </c>
      <c r="CH2218" s="16">
        <f t="shared" si="566"/>
        <v>0</v>
      </c>
      <c r="CJ2218" s="16" t="e">
        <f t="shared" ref="CJ2218:CJ2281" si="571">IF(CH2218=1,CE2218,NA())</f>
        <v>#N/A</v>
      </c>
      <c r="CK2218" s="16" t="str">
        <f t="shared" ref="CK2218:CK2281" si="572">IF(CH2218=1,M2117,"")</f>
        <v/>
      </c>
    </row>
    <row r="2219" spans="73:89" ht="12" customHeight="1">
      <c r="BU2219" s="16">
        <f t="shared" ref="BU2219:BU2282" si="573">IF($BY$12&lt;3,0,IF(BY2219&lt;=$BX$13,0,NORMDIST(LN((BY2219-$BX$13)/$BX$12),0,$BW$8,FALSE)/((BY2219-$BX$13)/$BX$12)))</f>
        <v>0</v>
      </c>
      <c r="BV2219" s="16">
        <f>IF($BY$12=1,NORMDIST(BY2219,$Y$6,$Y$8,TRUE),IF($BY$12=2,IF(BY2219&lt;=$BX$31,0,IF(BY2219&gt;=$BX$32,1,(BY2219-$BX$31)*$BX$33)),SUM($BU$42:BU2219)/$BV$40))</f>
        <v>1</v>
      </c>
      <c r="BW2219" s="16">
        <f t="shared" si="564"/>
        <v>2.3469369593164895E-15</v>
      </c>
      <c r="BY2219" s="16">
        <f t="shared" si="565"/>
        <v>217.69999999999192</v>
      </c>
      <c r="BZ2219" s="16">
        <f t="shared" si="567"/>
        <v>1.0780601558642979E-17</v>
      </c>
      <c r="CA2219" s="16">
        <f t="shared" ref="CA2219:CA2282" si="574">IF(AND($CD$1,$CD$3),26-$CD$40*NORMDIST(BY2219,$Y$6,$Y$8/SQRT($T$18),FALSE),-999)</f>
        <v>-999</v>
      </c>
      <c r="CE2219" s="16" t="e">
        <f t="shared" si="568"/>
        <v>#N/A</v>
      </c>
      <c r="CF2219" s="16">
        <f t="shared" si="569"/>
        <v>99</v>
      </c>
      <c r="CG2219" s="16">
        <f t="shared" si="570"/>
        <v>0</v>
      </c>
      <c r="CH2219" s="16">
        <f t="shared" si="566"/>
        <v>0</v>
      </c>
      <c r="CJ2219" s="16" t="e">
        <f t="shared" si="571"/>
        <v>#N/A</v>
      </c>
      <c r="CK2219" s="16" t="str">
        <f t="shared" si="572"/>
        <v/>
      </c>
    </row>
    <row r="2220" spans="73:89" ht="12" customHeight="1">
      <c r="BU2220" s="16">
        <f t="shared" si="573"/>
        <v>0</v>
      </c>
      <c r="BV2220" s="16">
        <f>IF($BY$12=1,NORMDIST(BY2220,$Y$6,$Y$8,TRUE),IF($BY$12=2,IF(BY2220&lt;=$BX$31,0,IF(BY2220&gt;=$BX$32,1,(BY2220-$BX$31)*$BX$33)),SUM($BU$42:BU2220)/$BV$40))</f>
        <v>1</v>
      </c>
      <c r="BW2220" s="16">
        <f t="shared" si="564"/>
        <v>2.2515813659402062E-15</v>
      </c>
      <c r="BY2220" s="16">
        <f t="shared" si="565"/>
        <v>217.79999999999191</v>
      </c>
      <c r="BZ2220" s="16">
        <f t="shared" si="567"/>
        <v>1.0337839145731358E-17</v>
      </c>
      <c r="CA2220" s="16">
        <f t="shared" si="574"/>
        <v>-999</v>
      </c>
      <c r="CE2220" s="16" t="e">
        <f t="shared" si="568"/>
        <v>#N/A</v>
      </c>
      <c r="CF2220" s="16">
        <f t="shared" si="569"/>
        <v>99</v>
      </c>
      <c r="CG2220" s="16">
        <f t="shared" si="570"/>
        <v>0</v>
      </c>
      <c r="CH2220" s="16">
        <f t="shared" si="566"/>
        <v>0</v>
      </c>
      <c r="CJ2220" s="16" t="e">
        <f t="shared" si="571"/>
        <v>#N/A</v>
      </c>
      <c r="CK2220" s="16" t="str">
        <f t="shared" si="572"/>
        <v/>
      </c>
    </row>
    <row r="2221" spans="73:89" ht="12" customHeight="1">
      <c r="BU2221" s="16">
        <f t="shared" si="573"/>
        <v>0</v>
      </c>
      <c r="BV2221" s="16">
        <f>IF($BY$12=1,NORMDIST(BY2221,$Y$6,$Y$8,TRUE),IF($BY$12=2,IF(BY2221&lt;=$BX$31,0,IF(BY2221&gt;=$BX$32,1,(BY2221-$BX$31)*$BX$33)),SUM($BU$42:BU2221)/$BV$40))</f>
        <v>1</v>
      </c>
      <c r="BW2221" s="16">
        <f t="shared" si="564"/>
        <v>2.1600455946465651E-15</v>
      </c>
      <c r="BY2221" s="16">
        <f t="shared" si="565"/>
        <v>217.89999999999191</v>
      </c>
      <c r="BZ2221" s="16">
        <f t="shared" si="567"/>
        <v>9.9130132842893319E-18</v>
      </c>
      <c r="CA2221" s="16">
        <f t="shared" si="574"/>
        <v>-999</v>
      </c>
      <c r="CE2221" s="16" t="e">
        <f t="shared" si="568"/>
        <v>#N/A</v>
      </c>
      <c r="CF2221" s="16">
        <f t="shared" si="569"/>
        <v>99</v>
      </c>
      <c r="CG2221" s="16">
        <f t="shared" si="570"/>
        <v>0</v>
      </c>
      <c r="CH2221" s="16">
        <f t="shared" si="566"/>
        <v>0</v>
      </c>
      <c r="CJ2221" s="16" t="e">
        <f t="shared" si="571"/>
        <v>#N/A</v>
      </c>
      <c r="CK2221" s="16" t="str">
        <f t="shared" si="572"/>
        <v/>
      </c>
    </row>
    <row r="2222" spans="73:89" ht="12" customHeight="1">
      <c r="BU2222" s="16">
        <f t="shared" si="573"/>
        <v>0</v>
      </c>
      <c r="BV2222" s="16">
        <f>IF($BY$12=1,NORMDIST(BY2222,$Y$6,$Y$8,TRUE),IF($BY$12=2,IF(BY2222&lt;=$BX$31,0,IF(BY2222&gt;=$BX$32,1,(BY2222-$BX$31)*$BX$33)),SUM($BU$42:BU2222)/$BV$40))</f>
        <v>1</v>
      </c>
      <c r="BW2222" s="16">
        <f t="shared" si="564"/>
        <v>2.0721788763266561E-15</v>
      </c>
      <c r="BY2222" s="16">
        <f t="shared" si="565"/>
        <v>217.9999999999919</v>
      </c>
      <c r="BZ2222" s="16">
        <f t="shared" si="567"/>
        <v>9.5054076895721692E-18</v>
      </c>
      <c r="CA2222" s="16">
        <f t="shared" si="574"/>
        <v>-999</v>
      </c>
      <c r="CE2222" s="16" t="e">
        <f t="shared" si="568"/>
        <v>#N/A</v>
      </c>
      <c r="CF2222" s="16">
        <f t="shared" si="569"/>
        <v>99</v>
      </c>
      <c r="CG2222" s="16">
        <f t="shared" si="570"/>
        <v>0</v>
      </c>
      <c r="CH2222" s="16">
        <f t="shared" si="566"/>
        <v>0</v>
      </c>
      <c r="CJ2222" s="16" t="e">
        <f t="shared" si="571"/>
        <v>#N/A</v>
      </c>
      <c r="CK2222" s="16" t="str">
        <f t="shared" si="572"/>
        <v/>
      </c>
    </row>
    <row r="2223" spans="73:89" ht="12" customHeight="1">
      <c r="BU2223" s="16">
        <f t="shared" si="573"/>
        <v>0</v>
      </c>
      <c r="BV2223" s="16">
        <f>IF($BY$12=1,NORMDIST(BY2223,$Y$6,$Y$8,TRUE),IF($BY$12=2,IF(BY2223&lt;=$BX$31,0,IF(BY2223&gt;=$BX$32,1,(BY2223-$BX$31)*$BX$33)),SUM($BU$42:BU2223)/$BV$40))</f>
        <v>1</v>
      </c>
      <c r="BW2223" s="16">
        <f t="shared" si="564"/>
        <v>1.9878363011597713E-15</v>
      </c>
      <c r="BY2223" s="16">
        <f t="shared" si="565"/>
        <v>218.09999999999189</v>
      </c>
      <c r="BZ2223" s="16">
        <f t="shared" si="567"/>
        <v>9.1143342556618303E-18</v>
      </c>
      <c r="CA2223" s="16">
        <f t="shared" si="574"/>
        <v>-999</v>
      </c>
      <c r="CE2223" s="16" t="e">
        <f t="shared" si="568"/>
        <v>#N/A</v>
      </c>
      <c r="CF2223" s="16">
        <f t="shared" si="569"/>
        <v>99</v>
      </c>
      <c r="CG2223" s="16">
        <f t="shared" si="570"/>
        <v>0</v>
      </c>
      <c r="CH2223" s="16">
        <f t="shared" si="566"/>
        <v>0</v>
      </c>
      <c r="CJ2223" s="16" t="e">
        <f t="shared" si="571"/>
        <v>#N/A</v>
      </c>
      <c r="CK2223" s="16" t="str">
        <f t="shared" si="572"/>
        <v/>
      </c>
    </row>
    <row r="2224" spans="73:89" ht="12" customHeight="1">
      <c r="BU2224" s="16">
        <f t="shared" si="573"/>
        <v>0</v>
      </c>
      <c r="BV2224" s="16">
        <f>IF($BY$12=1,NORMDIST(BY2224,$Y$6,$Y$8,TRUE),IF($BY$12=2,IF(BY2224&lt;=$BX$31,0,IF(BY2224&gt;=$BX$32,1,(BY2224-$BX$31)*$BX$33)),SUM($BU$42:BU2224)/$BV$40))</f>
        <v>1</v>
      </c>
      <c r="BW2224" s="16">
        <f t="shared" si="564"/>
        <v>1.9068785945877959E-15</v>
      </c>
      <c r="BY2224" s="16">
        <f t="shared" si="565"/>
        <v>218.19999999999189</v>
      </c>
      <c r="BZ2224" s="16">
        <f t="shared" si="567"/>
        <v>8.7391319641973735E-18</v>
      </c>
      <c r="CA2224" s="16">
        <f t="shared" si="574"/>
        <v>-999</v>
      </c>
      <c r="CE2224" s="16" t="e">
        <f t="shared" si="568"/>
        <v>#N/A</v>
      </c>
      <c r="CF2224" s="16">
        <f t="shared" si="569"/>
        <v>99</v>
      </c>
      <c r="CG2224" s="16">
        <f t="shared" si="570"/>
        <v>0</v>
      </c>
      <c r="CH2224" s="16">
        <f t="shared" si="566"/>
        <v>0</v>
      </c>
      <c r="CJ2224" s="16" t="e">
        <f t="shared" si="571"/>
        <v>#N/A</v>
      </c>
      <c r="CK2224" s="16" t="str">
        <f t="shared" si="572"/>
        <v/>
      </c>
    </row>
    <row r="2225" spans="73:89" ht="12" customHeight="1">
      <c r="BU2225" s="16">
        <f t="shared" si="573"/>
        <v>0</v>
      </c>
      <c r="BV2225" s="16">
        <f>IF($BY$12=1,NORMDIST(BY2225,$Y$6,$Y$8,TRUE),IF($BY$12=2,IF(BY2225&lt;=$BX$31,0,IF(BY2225&gt;=$BX$32,1,(BY2225-$BX$31)*$BX$33)),SUM($BU$42:BU2225)/$BV$40))</f>
        <v>1</v>
      </c>
      <c r="BW2225" s="16">
        <f t="shared" si="564"/>
        <v>1.8291719017091379E-15</v>
      </c>
      <c r="BY2225" s="16">
        <f t="shared" si="565"/>
        <v>218.29999999999188</v>
      </c>
      <c r="BZ2225" s="16">
        <f t="shared" si="567"/>
        <v>8.3791658346734116E-18</v>
      </c>
      <c r="CA2225" s="16">
        <f t="shared" si="574"/>
        <v>-999</v>
      </c>
      <c r="CE2225" s="16" t="e">
        <f t="shared" si="568"/>
        <v>#N/A</v>
      </c>
      <c r="CF2225" s="16">
        <f t="shared" si="569"/>
        <v>99</v>
      </c>
      <c r="CG2225" s="16">
        <f t="shared" si="570"/>
        <v>0</v>
      </c>
      <c r="CH2225" s="16">
        <f t="shared" si="566"/>
        <v>0</v>
      </c>
      <c r="CJ2225" s="16" t="e">
        <f t="shared" si="571"/>
        <v>#N/A</v>
      </c>
      <c r="CK2225" s="16" t="str">
        <f t="shared" si="572"/>
        <v/>
      </c>
    </row>
    <row r="2226" spans="73:89" ht="12" customHeight="1">
      <c r="BU2226" s="16">
        <f t="shared" si="573"/>
        <v>0</v>
      </c>
      <c r="BV2226" s="16">
        <f>IF($BY$12=1,NORMDIST(BY2226,$Y$6,$Y$8,TRUE),IF($BY$12=2,IF(BY2226&lt;=$BX$31,0,IF(BY2226&gt;=$BX$32,1,(BY2226-$BX$31)*$BX$33)),SUM($BU$42:BU2226)/$BV$40))</f>
        <v>1</v>
      </c>
      <c r="BW2226" s="16">
        <f t="shared" si="564"/>
        <v>1.7545875797815138E-15</v>
      </c>
      <c r="BY2226" s="16">
        <f t="shared" si="565"/>
        <v>218.39999999999188</v>
      </c>
      <c r="BZ2226" s="16">
        <f t="shared" si="567"/>
        <v>8.0338259147508195E-18</v>
      </c>
      <c r="CA2226" s="16">
        <f t="shared" si="574"/>
        <v>-999</v>
      </c>
      <c r="CE2226" s="16" t="e">
        <f t="shared" si="568"/>
        <v>#N/A</v>
      </c>
      <c r="CF2226" s="16">
        <f t="shared" si="569"/>
        <v>99</v>
      </c>
      <c r="CG2226" s="16">
        <f t="shared" si="570"/>
        <v>0</v>
      </c>
      <c r="CH2226" s="16">
        <f t="shared" si="566"/>
        <v>0</v>
      </c>
      <c r="CJ2226" s="16" t="e">
        <f t="shared" si="571"/>
        <v>#N/A</v>
      </c>
      <c r="CK2226" s="16" t="str">
        <f t="shared" si="572"/>
        <v/>
      </c>
    </row>
    <row r="2227" spans="73:89" ht="12" customHeight="1">
      <c r="BU2227" s="16">
        <f t="shared" si="573"/>
        <v>0</v>
      </c>
      <c r="BV2227" s="16">
        <f>IF($BY$12=1,NORMDIST(BY2227,$Y$6,$Y$8,TRUE),IF($BY$12=2,IF(BY2227&lt;=$BX$31,0,IF(BY2227&gt;=$BX$32,1,(BY2227-$BX$31)*$BX$33)),SUM($BU$42:BU2227)/$BV$40))</f>
        <v>1</v>
      </c>
      <c r="BW2227" s="16">
        <f t="shared" si="564"/>
        <v>1.6830019985340375E-15</v>
      </c>
      <c r="BY2227" s="16">
        <f t="shared" si="565"/>
        <v>218.49999999999187</v>
      </c>
      <c r="BZ2227" s="16">
        <f t="shared" si="567"/>
        <v>7.7025263090805499E-18</v>
      </c>
      <c r="CA2227" s="16">
        <f t="shared" si="574"/>
        <v>-999</v>
      </c>
      <c r="CE2227" s="16" t="e">
        <f t="shared" si="568"/>
        <v>#N/A</v>
      </c>
      <c r="CF2227" s="16">
        <f t="shared" si="569"/>
        <v>99</v>
      </c>
      <c r="CG2227" s="16">
        <f t="shared" si="570"/>
        <v>0</v>
      </c>
      <c r="CH2227" s="16">
        <f t="shared" si="566"/>
        <v>0</v>
      </c>
      <c r="CJ2227" s="16" t="e">
        <f t="shared" si="571"/>
        <v>#N/A</v>
      </c>
      <c r="CK2227" s="16" t="str">
        <f t="shared" si="572"/>
        <v/>
      </c>
    </row>
    <row r="2228" spans="73:89" ht="12" customHeight="1">
      <c r="BU2228" s="16">
        <f t="shared" si="573"/>
        <v>0</v>
      </c>
      <c r="BV2228" s="16">
        <f>IF($BY$12=1,NORMDIST(BY2228,$Y$6,$Y$8,TRUE),IF($BY$12=2,IF(BY2228&lt;=$BX$31,0,IF(BY2228&gt;=$BX$32,1,(BY2228-$BX$31)*$BX$33)),SUM($BU$42:BU2228)/$BV$40))</f>
        <v>1</v>
      </c>
      <c r="BW2228" s="16">
        <f t="shared" si="564"/>
        <v>1.6142963479998827E-15</v>
      </c>
      <c r="BY2228" s="16">
        <f t="shared" si="565"/>
        <v>218.59999999999187</v>
      </c>
      <c r="BZ2228" s="16">
        <f t="shared" si="567"/>
        <v>7.3847042451964445E-18</v>
      </c>
      <c r="CA2228" s="16">
        <f t="shared" si="574"/>
        <v>-999</v>
      </c>
      <c r="CE2228" s="16" t="e">
        <f t="shared" si="568"/>
        <v>#N/A</v>
      </c>
      <c r="CF2228" s="16">
        <f t="shared" si="569"/>
        <v>99</v>
      </c>
      <c r="CG2228" s="16">
        <f t="shared" si="570"/>
        <v>0</v>
      </c>
      <c r="CH2228" s="16">
        <f t="shared" si="566"/>
        <v>0</v>
      </c>
      <c r="CJ2228" s="16" t="e">
        <f t="shared" si="571"/>
        <v>#N/A</v>
      </c>
      <c r="CK2228" s="16" t="str">
        <f t="shared" si="572"/>
        <v/>
      </c>
    </row>
    <row r="2229" spans="73:89" ht="12" customHeight="1">
      <c r="BU2229" s="16">
        <f t="shared" si="573"/>
        <v>0</v>
      </c>
      <c r="BV2229" s="16">
        <f>IF($BY$12=1,NORMDIST(BY2229,$Y$6,$Y$8,TRUE),IF($BY$12=2,IF(BY2229&lt;=$BX$31,0,IF(BY2229&gt;=$BX$32,1,(BY2229-$BX$31)*$BX$33)),SUM($BU$42:BU2229)/$BV$40))</f>
        <v>1</v>
      </c>
      <c r="BW2229" s="16">
        <f t="shared" si="564"/>
        <v>1.5483564535915859E-15</v>
      </c>
      <c r="BY2229" s="16">
        <f t="shared" si="565"/>
        <v>218.69999999999186</v>
      </c>
      <c r="BZ2229" s="16">
        <f t="shared" si="567"/>
        <v>7.0798191750875329E-18</v>
      </c>
      <c r="CA2229" s="16">
        <f t="shared" si="574"/>
        <v>-999</v>
      </c>
      <c r="CE2229" s="16" t="e">
        <f t="shared" si="568"/>
        <v>#N/A</v>
      </c>
      <c r="CF2229" s="16">
        <f t="shared" si="569"/>
        <v>99</v>
      </c>
      <c r="CG2229" s="16">
        <f t="shared" si="570"/>
        <v>0</v>
      </c>
      <c r="CH2229" s="16">
        <f t="shared" si="566"/>
        <v>0</v>
      </c>
      <c r="CJ2229" s="16" t="e">
        <f t="shared" si="571"/>
        <v>#N/A</v>
      </c>
      <c r="CK2229" s="16" t="str">
        <f t="shared" si="572"/>
        <v/>
      </c>
    </row>
    <row r="2230" spans="73:89" ht="12" customHeight="1">
      <c r="BU2230" s="16">
        <f t="shared" si="573"/>
        <v>0</v>
      </c>
      <c r="BV2230" s="16">
        <f>IF($BY$12=1,NORMDIST(BY2230,$Y$6,$Y$8,TRUE),IF($BY$12=2,IF(BY2230&lt;=$BX$31,0,IF(BY2230&gt;=$BX$32,1,(BY2230-$BX$31)*$BX$33)),SUM($BU$42:BU2230)/$BV$40))</f>
        <v>1</v>
      </c>
      <c r="BW2230" s="16">
        <f t="shared" si="564"/>
        <v>1.4850725981506724E-15</v>
      </c>
      <c r="BY2230" s="16">
        <f t="shared" si="565"/>
        <v>218.79999999999185</v>
      </c>
      <c r="BZ2230" s="16">
        <f t="shared" si="567"/>
        <v>6.7873519111093591E-18</v>
      </c>
      <c r="CA2230" s="16">
        <f t="shared" si="574"/>
        <v>-999</v>
      </c>
      <c r="CE2230" s="16" t="e">
        <f t="shared" si="568"/>
        <v>#N/A</v>
      </c>
      <c r="CF2230" s="16">
        <f t="shared" si="569"/>
        <v>99</v>
      </c>
      <c r="CG2230" s="16">
        <f t="shared" si="570"/>
        <v>0</v>
      </c>
      <c r="CH2230" s="16">
        <f t="shared" si="566"/>
        <v>0</v>
      </c>
      <c r="CJ2230" s="16" t="e">
        <f t="shared" si="571"/>
        <v>#N/A</v>
      </c>
      <c r="CK2230" s="16" t="str">
        <f t="shared" si="572"/>
        <v/>
      </c>
    </row>
    <row r="2231" spans="73:89" ht="12" customHeight="1">
      <c r="BU2231" s="16">
        <f t="shared" si="573"/>
        <v>0</v>
      </c>
      <c r="BV2231" s="16">
        <f>IF($BY$12=1,NORMDIST(BY2231,$Y$6,$Y$8,TRUE),IF($BY$12=2,IF(BY2231&lt;=$BX$31,0,IF(BY2231&gt;=$BX$32,1,(BY2231-$BX$31)*$BX$33)),SUM($BU$42:BU2231)/$BV$40))</f>
        <v>1</v>
      </c>
      <c r="BW2231" s="16">
        <f t="shared" si="564"/>
        <v>1.4243393507134986E-15</v>
      </c>
      <c r="BY2231" s="16">
        <f t="shared" si="565"/>
        <v>218.89999999999185</v>
      </c>
      <c r="BZ2231" s="16">
        <f t="shared" si="567"/>
        <v>6.5068037949454163E-18</v>
      </c>
      <c r="CA2231" s="16">
        <f t="shared" si="574"/>
        <v>-999</v>
      </c>
      <c r="CE2231" s="16" t="e">
        <f t="shared" si="568"/>
        <v>#N/A</v>
      </c>
      <c r="CF2231" s="16">
        <f t="shared" si="569"/>
        <v>99</v>
      </c>
      <c r="CG2231" s="16">
        <f t="shared" si="570"/>
        <v>0</v>
      </c>
      <c r="CH2231" s="16">
        <f t="shared" si="566"/>
        <v>0</v>
      </c>
      <c r="CJ2231" s="16" t="e">
        <f t="shared" si="571"/>
        <v>#N/A</v>
      </c>
      <c r="CK2231" s="16" t="str">
        <f t="shared" si="572"/>
        <v/>
      </c>
    </row>
    <row r="2232" spans="73:89" ht="12" customHeight="1">
      <c r="BU2232" s="16">
        <f t="shared" si="573"/>
        <v>0</v>
      </c>
      <c r="BV2232" s="16">
        <f>IF($BY$12=1,NORMDIST(BY2232,$Y$6,$Y$8,TRUE),IF($BY$12=2,IF(BY2232&lt;=$BX$31,0,IF(BY2232&gt;=$BX$32,1,(BY2232-$BX$31)*$BX$33)),SUM($BU$42:BU2232)/$BV$40))</f>
        <v>1</v>
      </c>
      <c r="BW2232" s="16">
        <f t="shared" si="564"/>
        <v>1.366055401744122E-15</v>
      </c>
      <c r="BY2232" s="16">
        <f t="shared" si="565"/>
        <v>218.99999999999184</v>
      </c>
      <c r="BZ2232" s="16">
        <f t="shared" si="567"/>
        <v>6.2376958983752188E-18</v>
      </c>
      <c r="CA2232" s="16">
        <f t="shared" si="574"/>
        <v>-999</v>
      </c>
      <c r="CE2232" s="16" t="e">
        <f t="shared" si="568"/>
        <v>#N/A</v>
      </c>
      <c r="CF2232" s="16">
        <f t="shared" si="569"/>
        <v>99</v>
      </c>
      <c r="CG2232" s="16">
        <f t="shared" si="570"/>
        <v>0</v>
      </c>
      <c r="CH2232" s="16">
        <f t="shared" si="566"/>
        <v>0</v>
      </c>
      <c r="CJ2232" s="16" t="e">
        <f t="shared" si="571"/>
        <v>#N/A</v>
      </c>
      <c r="CK2232" s="16" t="str">
        <f t="shared" si="572"/>
        <v/>
      </c>
    </row>
    <row r="2233" spans="73:89" ht="12" customHeight="1">
      <c r="BU2233" s="16">
        <f t="shared" si="573"/>
        <v>0</v>
      </c>
      <c r="BV2233" s="16">
        <f>IF($BY$12=1,NORMDIST(BY2233,$Y$6,$Y$8,TRUE),IF($BY$12=2,IF(BY2233&lt;=$BX$31,0,IF(BY2233&gt;=$BX$32,1,(BY2233-$BX$31)*$BX$33)),SUM($BU$42:BU2233)/$BV$40))</f>
        <v>1</v>
      </c>
      <c r="BW2233" s="16">
        <f t="shared" si="564"/>
        <v>1.3101234045944873E-15</v>
      </c>
      <c r="BY2233" s="16">
        <f t="shared" si="565"/>
        <v>219.09999999999184</v>
      </c>
      <c r="BZ2233" s="16">
        <f t="shared" si="567"/>
        <v>5.9795682546532916E-18</v>
      </c>
      <c r="CA2233" s="16">
        <f t="shared" si="574"/>
        <v>-999</v>
      </c>
      <c r="CE2233" s="16" t="e">
        <f t="shared" si="568"/>
        <v>#N/A</v>
      </c>
      <c r="CF2233" s="16">
        <f t="shared" si="569"/>
        <v>99</v>
      </c>
      <c r="CG2233" s="16">
        <f t="shared" si="570"/>
        <v>0</v>
      </c>
      <c r="CH2233" s="16">
        <f t="shared" si="566"/>
        <v>0</v>
      </c>
      <c r="CJ2233" s="16" t="e">
        <f t="shared" si="571"/>
        <v>#N/A</v>
      </c>
      <c r="CK2233" s="16" t="str">
        <f t="shared" si="572"/>
        <v/>
      </c>
    </row>
    <row r="2234" spans="73:89" ht="12" customHeight="1">
      <c r="BU2234" s="16">
        <f t="shared" si="573"/>
        <v>0</v>
      </c>
      <c r="BV2234" s="16">
        <f>IF($BY$12=1,NORMDIST(BY2234,$Y$6,$Y$8,TRUE),IF($BY$12=2,IF(BY2234&lt;=$BX$31,0,IF(BY2234&gt;=$BX$32,1,(BY2234-$BX$31)*$BX$33)),SUM($BU$42:BU2234)/$BV$40))</f>
        <v>1</v>
      </c>
      <c r="BW2234" s="16">
        <f t="shared" si="564"/>
        <v>1.2564498229606334E-15</v>
      </c>
      <c r="BY2234" s="16">
        <f t="shared" si="565"/>
        <v>219.19999999999183</v>
      </c>
      <c r="BZ2234" s="16">
        <f t="shared" si="567"/>
        <v>5.7319791193461688E-18</v>
      </c>
      <c r="CA2234" s="16">
        <f t="shared" si="574"/>
        <v>-999</v>
      </c>
      <c r="CE2234" s="16" t="e">
        <f t="shared" si="568"/>
        <v>#N/A</v>
      </c>
      <c r="CF2234" s="16">
        <f t="shared" si="569"/>
        <v>99</v>
      </c>
      <c r="CG2234" s="16">
        <f t="shared" si="570"/>
        <v>0</v>
      </c>
      <c r="CH2234" s="16">
        <f t="shared" si="566"/>
        <v>0</v>
      </c>
      <c r="CJ2234" s="16" t="e">
        <f t="shared" si="571"/>
        <v>#N/A</v>
      </c>
      <c r="CK2234" s="16" t="str">
        <f t="shared" si="572"/>
        <v/>
      </c>
    </row>
    <row r="2235" spans="73:89" ht="12" customHeight="1">
      <c r="BU2235" s="16">
        <f t="shared" si="573"/>
        <v>0</v>
      </c>
      <c r="BV2235" s="16">
        <f>IF($BY$12=1,NORMDIST(BY2235,$Y$6,$Y$8,TRUE),IF($BY$12=2,IF(BY2235&lt;=$BX$31,0,IF(BY2235&gt;=$BX$32,1,(BY2235-$BX$31)*$BX$33)),SUM($BU$42:BU2235)/$BV$40))</f>
        <v>1</v>
      </c>
      <c r="BW2235" s="16">
        <f t="shared" ref="BW2235:BW2298" si="575">BY2235*BZ2235</f>
        <v>1.2049447841122804E-15</v>
      </c>
      <c r="BY2235" s="16">
        <f t="shared" ref="BY2235:BY2298" si="576">BY2234+$BZ$1</f>
        <v>219.29999999999183</v>
      </c>
      <c r="BZ2235" s="16">
        <f t="shared" si="567"/>
        <v>5.494504259518127E-18</v>
      </c>
      <c r="CA2235" s="16">
        <f t="shared" si="574"/>
        <v>-999</v>
      </c>
      <c r="CE2235" s="16" t="e">
        <f t="shared" si="568"/>
        <v>#N/A</v>
      </c>
      <c r="CF2235" s="16">
        <f t="shared" si="569"/>
        <v>99</v>
      </c>
      <c r="CG2235" s="16">
        <f t="shared" si="570"/>
        <v>0</v>
      </c>
      <c r="CH2235" s="16">
        <f t="shared" si="566"/>
        <v>0</v>
      </c>
      <c r="CJ2235" s="16" t="e">
        <f t="shared" si="571"/>
        <v>#N/A</v>
      </c>
      <c r="CK2235" s="16" t="str">
        <f t="shared" si="572"/>
        <v/>
      </c>
    </row>
    <row r="2236" spans="73:89" ht="12" customHeight="1">
      <c r="BU2236" s="16">
        <f t="shared" si="573"/>
        <v>0</v>
      </c>
      <c r="BV2236" s="16">
        <f>IF($BY$12=1,NORMDIST(BY2236,$Y$6,$Y$8,TRUE),IF($BY$12=2,IF(BY2236&lt;=$BX$31,0,IF(BY2236&gt;=$BX$32,1,(BY2236-$BX$31)*$BX$33)),SUM($BU$42:BU2236)/$BV$40))</f>
        <v>1</v>
      </c>
      <c r="BW2236" s="16">
        <f t="shared" si="575"/>
        <v>1.1555219376811187E-15</v>
      </c>
      <c r="BY2236" s="16">
        <f t="shared" si="576"/>
        <v>219.39999999999182</v>
      </c>
      <c r="BZ2236" s="16">
        <f t="shared" si="567"/>
        <v>5.2667362701967261E-18</v>
      </c>
      <c r="CA2236" s="16">
        <f t="shared" si="574"/>
        <v>-999</v>
      </c>
      <c r="CE2236" s="16" t="e">
        <f t="shared" si="568"/>
        <v>#N/A</v>
      </c>
      <c r="CF2236" s="16">
        <f t="shared" si="569"/>
        <v>99</v>
      </c>
      <c r="CG2236" s="16">
        <f t="shared" si="570"/>
        <v>0</v>
      </c>
      <c r="CH2236" s="16">
        <f t="shared" si="566"/>
        <v>0</v>
      </c>
      <c r="CJ2236" s="16" t="e">
        <f t="shared" si="571"/>
        <v>#N/A</v>
      </c>
      <c r="CK2236" s="16" t="str">
        <f t="shared" si="572"/>
        <v/>
      </c>
    </row>
    <row r="2237" spans="73:89" ht="12" customHeight="1">
      <c r="BU2237" s="16">
        <f t="shared" si="573"/>
        <v>0</v>
      </c>
      <c r="BV2237" s="16">
        <f>IF($BY$12=1,NORMDIST(BY2237,$Y$6,$Y$8,TRUE),IF($BY$12=2,IF(BY2237&lt;=$BX$31,0,IF(BY2237&gt;=$BX$32,1,(BY2237-$BX$31)*$BX$33)),SUM($BU$42:BU2237)/$BV$40))</f>
        <v>1</v>
      </c>
      <c r="BW2237" s="16">
        <f t="shared" si="575"/>
        <v>1.1080983198009163E-15</v>
      </c>
      <c r="BY2237" s="16">
        <f t="shared" si="576"/>
        <v>219.49999999999181</v>
      </c>
      <c r="BZ2237" s="16">
        <f t="shared" si="567"/>
        <v>5.0482839170886447E-18</v>
      </c>
      <c r="CA2237" s="16">
        <f t="shared" si="574"/>
        <v>-999</v>
      </c>
      <c r="CE2237" s="16" t="e">
        <f t="shared" si="568"/>
        <v>#N/A</v>
      </c>
      <c r="CF2237" s="16">
        <f t="shared" si="569"/>
        <v>99</v>
      </c>
      <c r="CG2237" s="16">
        <f t="shared" si="570"/>
        <v>0</v>
      </c>
      <c r="CH2237" s="16">
        <f t="shared" si="566"/>
        <v>0</v>
      </c>
      <c r="CJ2237" s="16" t="e">
        <f t="shared" si="571"/>
        <v>#N/A</v>
      </c>
      <c r="CK2237" s="16" t="str">
        <f t="shared" si="572"/>
        <v/>
      </c>
    </row>
    <row r="2238" spans="73:89" ht="12" customHeight="1">
      <c r="BU2238" s="16">
        <f t="shared" si="573"/>
        <v>0</v>
      </c>
      <c r="BV2238" s="16">
        <f>IF($BY$12=1,NORMDIST(BY2238,$Y$6,$Y$8,TRUE),IF($BY$12=2,IF(BY2238&lt;=$BX$31,0,IF(BY2238&gt;=$BX$32,1,(BY2238-$BX$31)*$BX$33)),SUM($BU$42:BU2238)/$BV$40))</f>
        <v>1</v>
      </c>
      <c r="BW2238" s="16">
        <f t="shared" si="575"/>
        <v>1.0625942224003716E-15</v>
      </c>
      <c r="BY2238" s="16">
        <f t="shared" si="576"/>
        <v>219.59999999999181</v>
      </c>
      <c r="BZ2238" s="16">
        <f t="shared" si="567"/>
        <v>4.8387715045556063E-18</v>
      </c>
      <c r="CA2238" s="16">
        <f t="shared" si="574"/>
        <v>-999</v>
      </c>
      <c r="CE2238" s="16" t="e">
        <f t="shared" si="568"/>
        <v>#N/A</v>
      </c>
      <c r="CF2238" s="16">
        <f t="shared" si="569"/>
        <v>99</v>
      </c>
      <c r="CG2238" s="16">
        <f t="shared" si="570"/>
        <v>0</v>
      </c>
      <c r="CH2238" s="16">
        <f t="shared" si="566"/>
        <v>0</v>
      </c>
      <c r="CJ2238" s="16" t="e">
        <f t="shared" si="571"/>
        <v>#N/A</v>
      </c>
      <c r="CK2238" s="16" t="str">
        <f t="shared" si="572"/>
        <v/>
      </c>
    </row>
    <row r="2239" spans="73:89" ht="12" customHeight="1">
      <c r="BU2239" s="16">
        <f t="shared" si="573"/>
        <v>0</v>
      </c>
      <c r="BV2239" s="16">
        <f>IF($BY$12=1,NORMDIST(BY2239,$Y$6,$Y$8,TRUE),IF($BY$12=2,IF(BY2239&lt;=$BX$31,0,IF(BY2239&gt;=$BX$32,1,(BY2239-$BX$31)*$BX$33)),SUM($BU$42:BU2239)/$BV$40))</f>
        <v>1</v>
      </c>
      <c r="BW2239" s="16">
        <f t="shared" si="575"/>
        <v>1.0189330674565561E-15</v>
      </c>
      <c r="BY2239" s="16">
        <f t="shared" si="576"/>
        <v>219.6999999999918</v>
      </c>
      <c r="BZ2239" s="16">
        <f t="shared" si="567"/>
        <v>4.6378382678952853E-18</v>
      </c>
      <c r="CA2239" s="16">
        <f t="shared" si="574"/>
        <v>-999</v>
      </c>
      <c r="CE2239" s="16" t="e">
        <f t="shared" si="568"/>
        <v>#N/A</v>
      </c>
      <c r="CF2239" s="16">
        <f t="shared" si="569"/>
        <v>99</v>
      </c>
      <c r="CG2239" s="16">
        <f t="shared" si="570"/>
        <v>0</v>
      </c>
      <c r="CH2239" s="16">
        <f t="shared" si="566"/>
        <v>0</v>
      </c>
      <c r="CJ2239" s="16" t="e">
        <f t="shared" si="571"/>
        <v>#N/A</v>
      </c>
      <c r="CK2239" s="16" t="str">
        <f t="shared" si="572"/>
        <v/>
      </c>
    </row>
    <row r="2240" spans="73:89" ht="12" customHeight="1">
      <c r="BU2240" s="16">
        <f t="shared" si="573"/>
        <v>0</v>
      </c>
      <c r="BV2240" s="16">
        <f>IF($BY$12=1,NORMDIST(BY2240,$Y$6,$Y$8,TRUE),IF($BY$12=2,IF(BY2240&lt;=$BX$31,0,IF(BY2240&gt;=$BX$32,1,(BY2240-$BX$31)*$BX$33)),SUM($BU$42:BU2240)/$BV$40))</f>
        <v>1</v>
      </c>
      <c r="BW2240" s="16">
        <f t="shared" si="575"/>
        <v>9.7704128602416723E-16</v>
      </c>
      <c r="BY2240" s="16">
        <f t="shared" si="576"/>
        <v>219.7999999999918</v>
      </c>
      <c r="BZ2240" s="16">
        <f t="shared" si="567"/>
        <v>4.4451377890091163E-18</v>
      </c>
      <c r="CA2240" s="16">
        <f t="shared" si="574"/>
        <v>-999</v>
      </c>
      <c r="CE2240" s="16" t="e">
        <f t="shared" si="568"/>
        <v>#N/A</v>
      </c>
      <c r="CF2240" s="16">
        <f t="shared" si="569"/>
        <v>99</v>
      </c>
      <c r="CG2240" s="16">
        <f t="shared" si="570"/>
        <v>0</v>
      </c>
      <c r="CH2240" s="16">
        <f t="shared" si="566"/>
        <v>0</v>
      </c>
      <c r="CJ2240" s="16" t="e">
        <f t="shared" si="571"/>
        <v>#N/A</v>
      </c>
      <c r="CK2240" s="16" t="str">
        <f t="shared" si="572"/>
        <v/>
      </c>
    </row>
    <row r="2241" spans="73:89" ht="12" customHeight="1">
      <c r="BU2241" s="16">
        <f t="shared" si="573"/>
        <v>0</v>
      </c>
      <c r="BV2241" s="16">
        <f>IF($BY$12=1,NORMDIST(BY2241,$Y$6,$Y$8,TRUE),IF($BY$12=2,IF(BY2241&lt;=$BX$31,0,IF(BY2241&gt;=$BX$32,1,(BY2241-$BX$31)*$BX$33)),SUM($BU$42:BU2241)/$BV$40))</f>
        <v>1</v>
      </c>
      <c r="BW2241" s="16">
        <f t="shared" si="575"/>
        <v>9.3684820186224181E-16</v>
      </c>
      <c r="BY2241" s="16">
        <f t="shared" si="576"/>
        <v>219.89999999999179</v>
      </c>
      <c r="BZ2241" s="16">
        <f t="shared" si="567"/>
        <v>4.2603374345715181E-18</v>
      </c>
      <c r="CA2241" s="16">
        <f t="shared" si="574"/>
        <v>-999</v>
      </c>
      <c r="CE2241" s="16" t="e">
        <f t="shared" si="568"/>
        <v>#N/A</v>
      </c>
      <c r="CF2241" s="16">
        <f t="shared" si="569"/>
        <v>99</v>
      </c>
      <c r="CG2241" s="16">
        <f t="shared" si="570"/>
        <v>0</v>
      </c>
      <c r="CH2241" s="16">
        <f t="shared" si="566"/>
        <v>0</v>
      </c>
      <c r="CJ2241" s="16" t="e">
        <f t="shared" si="571"/>
        <v>#N/A</v>
      </c>
      <c r="CK2241" s="16" t="str">
        <f t="shared" si="572"/>
        <v/>
      </c>
    </row>
    <row r="2242" spans="73:89" ht="12" customHeight="1">
      <c r="BU2242" s="16">
        <f t="shared" si="573"/>
        <v>0</v>
      </c>
      <c r="BV2242" s="16">
        <f>IF($BY$12=1,NORMDIST(BY2242,$Y$6,$Y$8,TRUE),IF($BY$12=2,IF(BY2242&lt;=$BX$31,0,IF(BY2242&gt;=$BX$32,1,(BY2242-$BX$31)*$BX$33)),SUM($BU$42:BU2242)/$BV$40))</f>
        <v>1</v>
      </c>
      <c r="BW2242" s="16">
        <f t="shared" si="575"/>
        <v>8.9828591948675723E-16</v>
      </c>
      <c r="BY2242" s="16">
        <f t="shared" si="576"/>
        <v>219.99999999999179</v>
      </c>
      <c r="BZ2242" s="16">
        <f t="shared" si="567"/>
        <v>4.083117815849049E-18</v>
      </c>
      <c r="CA2242" s="16">
        <f t="shared" si="574"/>
        <v>-999</v>
      </c>
      <c r="CE2242" s="16" t="e">
        <f t="shared" si="568"/>
        <v>#N/A</v>
      </c>
      <c r="CF2242" s="16">
        <f t="shared" si="569"/>
        <v>99</v>
      </c>
      <c r="CG2242" s="16">
        <f t="shared" si="570"/>
        <v>0</v>
      </c>
      <c r="CH2242" s="16">
        <f t="shared" si="566"/>
        <v>0</v>
      </c>
      <c r="CJ2242" s="16" t="e">
        <f t="shared" si="571"/>
        <v>#N/A</v>
      </c>
      <c r="CK2242" s="16" t="str">
        <f t="shared" si="572"/>
        <v/>
      </c>
    </row>
    <row r="2243" spans="73:89" ht="12" customHeight="1">
      <c r="BU2243" s="16">
        <f t="shared" si="573"/>
        <v>0</v>
      </c>
      <c r="BV2243" s="16">
        <f>IF($BY$12=1,NORMDIST(BY2243,$Y$6,$Y$8,TRUE),IF($BY$12=2,IF(BY2243&lt;=$BX$31,0,IF(BY2243&gt;=$BX$32,1,(BY2243-$BX$31)*$BX$33)),SUM($BU$42:BU2243)/$BV$40))</f>
        <v>1</v>
      </c>
      <c r="BW2243" s="16">
        <f t="shared" si="575"/>
        <v>8.6128921648376057E-16</v>
      </c>
      <c r="BY2243" s="16">
        <f t="shared" si="576"/>
        <v>220.09999999999178</v>
      </c>
      <c r="BZ2243" s="16">
        <f t="shared" si="567"/>
        <v>3.9131722693493538E-18</v>
      </c>
      <c r="CA2243" s="16">
        <f t="shared" si="574"/>
        <v>-999</v>
      </c>
      <c r="CE2243" s="16" t="e">
        <f t="shared" si="568"/>
        <v>#N/A</v>
      </c>
      <c r="CF2243" s="16">
        <f t="shared" si="569"/>
        <v>99</v>
      </c>
      <c r="CG2243" s="16">
        <f t="shared" si="570"/>
        <v>0</v>
      </c>
      <c r="CH2243" s="16">
        <f t="shared" ref="CH2243:CH2306" si="577">IF(CB2243="",0,1)</f>
        <v>0</v>
      </c>
      <c r="CJ2243" s="16" t="e">
        <f t="shared" si="571"/>
        <v>#N/A</v>
      </c>
      <c r="CK2243" s="16" t="str">
        <f t="shared" si="572"/>
        <v/>
      </c>
    </row>
    <row r="2244" spans="73:89" ht="12" customHeight="1">
      <c r="BU2244" s="16">
        <f t="shared" si="573"/>
        <v>0</v>
      </c>
      <c r="BV2244" s="16">
        <f>IF($BY$12=1,NORMDIST(BY2244,$Y$6,$Y$8,TRUE),IF($BY$12=2,IF(BY2244&lt;=$BX$31,0,IF(BY2244&gt;=$BX$32,1,(BY2244-$BX$31)*$BX$33)),SUM($BU$42:BU2244)/$BV$40))</f>
        <v>1</v>
      </c>
      <c r="BW2244" s="16">
        <f t="shared" si="575"/>
        <v>8.2579543992369404E-16</v>
      </c>
      <c r="BY2244" s="16">
        <f t="shared" si="576"/>
        <v>220.19999999999177</v>
      </c>
      <c r="BZ2244" s="16">
        <f t="shared" si="567"/>
        <v>3.7502063575101041E-18</v>
      </c>
      <c r="CA2244" s="16">
        <f t="shared" si="574"/>
        <v>-999</v>
      </c>
      <c r="CE2244" s="16" t="e">
        <f t="shared" si="568"/>
        <v>#N/A</v>
      </c>
      <c r="CF2244" s="16">
        <f t="shared" si="569"/>
        <v>99</v>
      </c>
      <c r="CG2244" s="16">
        <f t="shared" si="570"/>
        <v>0</v>
      </c>
      <c r="CH2244" s="16">
        <f t="shared" si="577"/>
        <v>0</v>
      </c>
      <c r="CJ2244" s="16" t="e">
        <f t="shared" si="571"/>
        <v>#N/A</v>
      </c>
      <c r="CK2244" s="16" t="str">
        <f t="shared" si="572"/>
        <v/>
      </c>
    </row>
    <row r="2245" spans="73:89" ht="12" customHeight="1">
      <c r="BU2245" s="16">
        <f t="shared" si="573"/>
        <v>0</v>
      </c>
      <c r="BV2245" s="16">
        <f>IF($BY$12=1,NORMDIST(BY2245,$Y$6,$Y$8,TRUE),IF($BY$12=2,IF(BY2245&lt;=$BX$31,0,IF(BY2245&gt;=$BX$32,1,(BY2245-$BX$31)*$BX$33)),SUM($BU$42:BU2245)/$BV$40))</f>
        <v>1</v>
      </c>
      <c r="BW2245" s="16">
        <f t="shared" si="575"/>
        <v>7.9174440672339712E-16</v>
      </c>
      <c r="BY2245" s="16">
        <f t="shared" si="576"/>
        <v>220.29999999999177</v>
      </c>
      <c r="BZ2245" s="16">
        <f t="shared" si="567"/>
        <v>3.5939373886673933E-18</v>
      </c>
      <c r="CA2245" s="16">
        <f t="shared" si="574"/>
        <v>-999</v>
      </c>
      <c r="CE2245" s="16" t="e">
        <f t="shared" si="568"/>
        <v>#N/A</v>
      </c>
      <c r="CF2245" s="16">
        <f t="shared" si="569"/>
        <v>99</v>
      </c>
      <c r="CG2245" s="16">
        <f t="shared" si="570"/>
        <v>0</v>
      </c>
      <c r="CH2245" s="16">
        <f t="shared" si="577"/>
        <v>0</v>
      </c>
      <c r="CJ2245" s="16" t="e">
        <f t="shared" si="571"/>
        <v>#N/A</v>
      </c>
      <c r="CK2245" s="16" t="str">
        <f t="shared" si="572"/>
        <v/>
      </c>
    </row>
    <row r="2246" spans="73:89" ht="12" customHeight="1">
      <c r="BU2246" s="16">
        <f t="shared" si="573"/>
        <v>0</v>
      </c>
      <c r="BV2246" s="16">
        <f>IF($BY$12=1,NORMDIST(BY2246,$Y$6,$Y$8,TRUE),IF($BY$12=2,IF(BY2246&lt;=$BX$31,0,IF(BY2246&gt;=$BX$32,1,(BY2246-$BX$31)*$BX$33)),SUM($BU$42:BU2246)/$BV$40))</f>
        <v>1</v>
      </c>
      <c r="BW2246" s="16">
        <f t="shared" si="575"/>
        <v>7.5907830780807869E-16</v>
      </c>
      <c r="BY2246" s="16">
        <f t="shared" si="576"/>
        <v>220.39999999999176</v>
      </c>
      <c r="BZ2246" s="16">
        <f t="shared" si="567"/>
        <v>3.4440939555721734E-18</v>
      </c>
      <c r="CA2246" s="16">
        <f t="shared" si="574"/>
        <v>-999</v>
      </c>
      <c r="CE2246" s="16" t="e">
        <f t="shared" si="568"/>
        <v>#N/A</v>
      </c>
      <c r="CF2246" s="16">
        <f t="shared" si="569"/>
        <v>99</v>
      </c>
      <c r="CG2246" s="16">
        <f t="shared" si="570"/>
        <v>0</v>
      </c>
      <c r="CH2246" s="16">
        <f t="shared" si="577"/>
        <v>0</v>
      </c>
      <c r="CJ2246" s="16" t="e">
        <f t="shared" si="571"/>
        <v>#N/A</v>
      </c>
      <c r="CK2246" s="16" t="str">
        <f t="shared" si="572"/>
        <v/>
      </c>
    </row>
    <row r="2247" spans="73:89" ht="12" customHeight="1">
      <c r="BU2247" s="16">
        <f t="shared" si="573"/>
        <v>0</v>
      </c>
      <c r="BV2247" s="16">
        <f>IF($BY$12=1,NORMDIST(BY2247,$Y$6,$Y$8,TRUE),IF($BY$12=2,IF(BY2247&lt;=$BX$31,0,IF(BY2247&gt;=$BX$32,1,(BY2247-$BX$31)*$BX$33)),SUM($BU$42:BU2247)/$BV$40))</f>
        <v>1</v>
      </c>
      <c r="BW2247" s="16">
        <f t="shared" si="575"/>
        <v>7.2774161593077222E-16</v>
      </c>
      <c r="BY2247" s="16">
        <f t="shared" si="576"/>
        <v>220.49999999999176</v>
      </c>
      <c r="BZ2247" s="16">
        <f t="shared" si="567"/>
        <v>3.3004154917496573E-18</v>
      </c>
      <c r="CA2247" s="16">
        <f t="shared" si="574"/>
        <v>-999</v>
      </c>
      <c r="CE2247" s="16" t="e">
        <f t="shared" si="568"/>
        <v>#N/A</v>
      </c>
      <c r="CF2247" s="16">
        <f t="shared" si="569"/>
        <v>99</v>
      </c>
      <c r="CG2247" s="16">
        <f t="shared" si="570"/>
        <v>0</v>
      </c>
      <c r="CH2247" s="16">
        <f t="shared" si="577"/>
        <v>0</v>
      </c>
      <c r="CJ2247" s="16" t="e">
        <f t="shared" si="571"/>
        <v>#N/A</v>
      </c>
      <c r="CK2247" s="16" t="str">
        <f t="shared" si="572"/>
        <v/>
      </c>
    </row>
    <row r="2248" spans="73:89" ht="12" customHeight="1">
      <c r="BU2248" s="16">
        <f t="shared" si="573"/>
        <v>0</v>
      </c>
      <c r="BV2248" s="16">
        <f>IF($BY$12=1,NORMDIST(BY2248,$Y$6,$Y$8,TRUE),IF($BY$12=2,IF(BY2248&lt;=$BX$31,0,IF(BY2248&gt;=$BX$32,1,(BY2248-$BX$31)*$BX$33)),SUM($BU$42:BU2248)/$BV$40))</f>
        <v>1</v>
      </c>
      <c r="BW2248" s="16">
        <f t="shared" si="575"/>
        <v>6.9768099701216343E-16</v>
      </c>
      <c r="BY2248" s="16">
        <f t="shared" si="576"/>
        <v>220.59999999999175</v>
      </c>
      <c r="BZ2248" s="16">
        <f t="shared" si="567"/>
        <v>3.1626518450235243E-18</v>
      </c>
      <c r="CA2248" s="16">
        <f t="shared" si="574"/>
        <v>-999</v>
      </c>
      <c r="CE2248" s="16" t="e">
        <f t="shared" si="568"/>
        <v>#N/A</v>
      </c>
      <c r="CF2248" s="16">
        <f t="shared" si="569"/>
        <v>99</v>
      </c>
      <c r="CG2248" s="16">
        <f t="shared" si="570"/>
        <v>0</v>
      </c>
      <c r="CH2248" s="16">
        <f t="shared" si="577"/>
        <v>0</v>
      </c>
      <c r="CJ2248" s="16" t="e">
        <f t="shared" si="571"/>
        <v>#N/A</v>
      </c>
      <c r="CK2248" s="16" t="str">
        <f t="shared" si="572"/>
        <v/>
      </c>
    </row>
    <row r="2249" spans="73:89" ht="12" customHeight="1">
      <c r="BU2249" s="16">
        <f t="shared" si="573"/>
        <v>0</v>
      </c>
      <c r="BV2249" s="16">
        <f>IF($BY$12=1,NORMDIST(BY2249,$Y$6,$Y$8,TRUE),IF($BY$12=2,IF(BY2249&lt;=$BX$31,0,IF(BY2249&gt;=$BX$32,1,(BY2249-$BX$31)*$BX$33)),SUM($BU$42:BU2249)/$BV$40))</f>
        <v>1</v>
      </c>
      <c r="BW2249" s="16">
        <f t="shared" si="575"/>
        <v>6.6884522486864311E-16</v>
      </c>
      <c r="BY2249" s="16">
        <f t="shared" si="576"/>
        <v>220.69999999999175</v>
      </c>
      <c r="BZ2249" s="16">
        <f t="shared" si="567"/>
        <v>3.0305628675517361E-18</v>
      </c>
      <c r="CA2249" s="16">
        <f t="shared" si="574"/>
        <v>-999</v>
      </c>
      <c r="CE2249" s="16" t="e">
        <f t="shared" si="568"/>
        <v>#N/A</v>
      </c>
      <c r="CF2249" s="16">
        <f t="shared" si="569"/>
        <v>99</v>
      </c>
      <c r="CG2249" s="16">
        <f t="shared" si="570"/>
        <v>0</v>
      </c>
      <c r="CH2249" s="16">
        <f t="shared" si="577"/>
        <v>0</v>
      </c>
      <c r="CJ2249" s="16" t="e">
        <f t="shared" si="571"/>
        <v>#N/A</v>
      </c>
      <c r="CK2249" s="16" t="str">
        <f t="shared" si="572"/>
        <v/>
      </c>
    </row>
    <row r="2250" spans="73:89" ht="12" customHeight="1">
      <c r="BU2250" s="16">
        <f t="shared" si="573"/>
        <v>0</v>
      </c>
      <c r="BV2250" s="16">
        <f>IF($BY$12=1,NORMDIST(BY2250,$Y$6,$Y$8,TRUE),IF($BY$12=2,IF(BY2250&lt;=$BX$31,0,IF(BY2250&gt;=$BX$32,1,(BY2250-$BX$31)*$BX$33)),SUM($BU$42:BU2250)/$BV$40))</f>
        <v>1</v>
      </c>
      <c r="BW2250" s="16">
        <f t="shared" si="575"/>
        <v>6.411850992014274E-16</v>
      </c>
      <c r="BY2250" s="16">
        <f t="shared" si="576"/>
        <v>220.79999999999174</v>
      </c>
      <c r="BZ2250" s="16">
        <f t="shared" si="567"/>
        <v>2.9039180217457036E-18</v>
      </c>
      <c r="CA2250" s="16">
        <f t="shared" si="574"/>
        <v>-999</v>
      </c>
      <c r="CE2250" s="16" t="e">
        <f t="shared" si="568"/>
        <v>#N/A</v>
      </c>
      <c r="CF2250" s="16">
        <f t="shared" si="569"/>
        <v>99</v>
      </c>
      <c r="CG2250" s="16">
        <f t="shared" si="570"/>
        <v>0</v>
      </c>
      <c r="CH2250" s="16">
        <f t="shared" si="577"/>
        <v>0</v>
      </c>
      <c r="CJ2250" s="16" t="e">
        <f t="shared" si="571"/>
        <v>#N/A</v>
      </c>
      <c r="CK2250" s="16" t="str">
        <f t="shared" si="572"/>
        <v/>
      </c>
    </row>
    <row r="2251" spans="73:89" ht="12" customHeight="1">
      <c r="BU2251" s="16">
        <f t="shared" si="573"/>
        <v>0</v>
      </c>
      <c r="BV2251" s="16">
        <f>IF($BY$12=1,NORMDIST(BY2251,$Y$6,$Y$8,TRUE),IF($BY$12=2,IF(BY2251&lt;=$BX$31,0,IF(BY2251&gt;=$BX$32,1,(BY2251-$BX$31)*$BX$33)),SUM($BU$42:BU2251)/$BV$40))</f>
        <v>1</v>
      </c>
      <c r="BW2251" s="16">
        <f t="shared" si="575"/>
        <v>6.1465336672409162E-16</v>
      </c>
      <c r="BY2251" s="16">
        <f t="shared" si="576"/>
        <v>220.89999999999173</v>
      </c>
      <c r="BZ2251" s="16">
        <f t="shared" si="567"/>
        <v>2.7824960014672459E-18</v>
      </c>
      <c r="CA2251" s="16">
        <f t="shared" si="574"/>
        <v>-999</v>
      </c>
      <c r="CE2251" s="16" t="e">
        <f t="shared" si="568"/>
        <v>#N/A</v>
      </c>
      <c r="CF2251" s="16">
        <f t="shared" si="569"/>
        <v>99</v>
      </c>
      <c r="CG2251" s="16">
        <f t="shared" si="570"/>
        <v>0</v>
      </c>
      <c r="CH2251" s="16">
        <f t="shared" si="577"/>
        <v>0</v>
      </c>
      <c r="CJ2251" s="16" t="e">
        <f t="shared" si="571"/>
        <v>#N/A</v>
      </c>
      <c r="CK2251" s="16" t="str">
        <f t="shared" si="572"/>
        <v/>
      </c>
    </row>
    <row r="2252" spans="73:89" ht="12" customHeight="1">
      <c r="BU2252" s="16">
        <f t="shared" si="573"/>
        <v>0</v>
      </c>
      <c r="BV2252" s="16">
        <f>IF($BY$12=1,NORMDIST(BY2252,$Y$6,$Y$8,TRUE),IF($BY$12=2,IF(BY2252&lt;=$BX$31,0,IF(BY2252&gt;=$BX$32,1,(BY2252-$BX$31)*$BX$33)),SUM($BU$42:BU2252)/$BV$40))</f>
        <v>1</v>
      </c>
      <c r="BW2252" s="16">
        <f t="shared" si="575"/>
        <v>5.8920464531054953E-16</v>
      </c>
      <c r="BY2252" s="16">
        <f t="shared" si="576"/>
        <v>220.99999999999173</v>
      </c>
      <c r="BZ2252" s="16">
        <f t="shared" si="567"/>
        <v>2.6660843679211383E-18</v>
      </c>
      <c r="CA2252" s="16">
        <f t="shared" si="574"/>
        <v>-999</v>
      </c>
      <c r="CE2252" s="16" t="e">
        <f t="shared" si="568"/>
        <v>#N/A</v>
      </c>
      <c r="CF2252" s="16">
        <f t="shared" si="569"/>
        <v>99</v>
      </c>
      <c r="CG2252" s="16">
        <f t="shared" si="570"/>
        <v>0</v>
      </c>
      <c r="CH2252" s="16">
        <f t="shared" si="577"/>
        <v>0</v>
      </c>
      <c r="CJ2252" s="16" t="e">
        <f t="shared" si="571"/>
        <v>#N/A</v>
      </c>
      <c r="CK2252" s="16" t="str">
        <f t="shared" si="572"/>
        <v/>
      </c>
    </row>
    <row r="2253" spans="73:89" ht="12" customHeight="1">
      <c r="BU2253" s="16">
        <f t="shared" si="573"/>
        <v>0</v>
      </c>
      <c r="BV2253" s="16">
        <f>IF($BY$12=1,NORMDIST(BY2253,$Y$6,$Y$8,TRUE),IF($BY$12=2,IF(BY2253&lt;=$BX$31,0,IF(BY2253&gt;=$BX$32,1,(BY2253-$BX$31)*$BX$33)),SUM($BU$42:BU2253)/$BV$40))</f>
        <v>1</v>
      </c>
      <c r="BW2253" s="16">
        <f t="shared" si="575"/>
        <v>5.6479535104981567E-16</v>
      </c>
      <c r="BY2253" s="16">
        <f t="shared" si="576"/>
        <v>221.09999999999172</v>
      </c>
      <c r="BZ2253" s="16">
        <f t="shared" si="567"/>
        <v>2.554479199682663E-18</v>
      </c>
      <c r="CA2253" s="16">
        <f t="shared" si="574"/>
        <v>-999</v>
      </c>
      <c r="CE2253" s="16" t="e">
        <f t="shared" si="568"/>
        <v>#N/A</v>
      </c>
      <c r="CF2253" s="16">
        <f t="shared" si="569"/>
        <v>99</v>
      </c>
      <c r="CG2253" s="16">
        <f t="shared" si="570"/>
        <v>0</v>
      </c>
      <c r="CH2253" s="16">
        <f t="shared" si="577"/>
        <v>0</v>
      </c>
      <c r="CJ2253" s="16" t="e">
        <f t="shared" si="571"/>
        <v>#N/A</v>
      </c>
      <c r="CK2253" s="16" t="str">
        <f t="shared" si="572"/>
        <v/>
      </c>
    </row>
    <row r="2254" spans="73:89" ht="12" customHeight="1">
      <c r="BU2254" s="16">
        <f t="shared" si="573"/>
        <v>0</v>
      </c>
      <c r="BV2254" s="16">
        <f>IF($BY$12=1,NORMDIST(BY2254,$Y$6,$Y$8,TRUE),IF($BY$12=2,IF(BY2254&lt;=$BX$31,0,IF(BY2254&gt;=$BX$32,1,(BY2254-$BX$31)*$BX$33)),SUM($BU$42:BU2254)/$BV$40))</f>
        <v>1</v>
      </c>
      <c r="BW2254" s="16">
        <f t="shared" si="575"/>
        <v>5.4138362809804371E-16</v>
      </c>
      <c r="BY2254" s="16">
        <f t="shared" si="576"/>
        <v>221.19999999999172</v>
      </c>
      <c r="BZ2254" s="16">
        <f t="shared" si="567"/>
        <v>2.4474847563203617E-18</v>
      </c>
      <c r="CA2254" s="16">
        <f t="shared" si="574"/>
        <v>-999</v>
      </c>
      <c r="CE2254" s="16" t="e">
        <f t="shared" si="568"/>
        <v>#N/A</v>
      </c>
      <c r="CF2254" s="16">
        <f t="shared" si="569"/>
        <v>99</v>
      </c>
      <c r="CG2254" s="16">
        <f t="shared" si="570"/>
        <v>0</v>
      </c>
      <c r="CH2254" s="16">
        <f t="shared" si="577"/>
        <v>0</v>
      </c>
      <c r="CJ2254" s="16" t="e">
        <f t="shared" si="571"/>
        <v>#N/A</v>
      </c>
      <c r="CK2254" s="16" t="str">
        <f t="shared" si="572"/>
        <v/>
      </c>
    </row>
    <row r="2255" spans="73:89" ht="12" customHeight="1">
      <c r="BU2255" s="16">
        <f t="shared" si="573"/>
        <v>0</v>
      </c>
      <c r="BV2255" s="16">
        <f>IF($BY$12=1,NORMDIST(BY2255,$Y$6,$Y$8,TRUE),IF($BY$12=2,IF(BY2255&lt;=$BX$31,0,IF(BY2255&gt;=$BX$32,1,(BY2255-$BX$31)*$BX$33)),SUM($BU$42:BU2255)/$BV$40))</f>
        <v>1</v>
      </c>
      <c r="BW2255" s="16">
        <f t="shared" si="575"/>
        <v>5.1892928122243618E-16</v>
      </c>
      <c r="BY2255" s="16">
        <f t="shared" si="576"/>
        <v>221.29999999999171</v>
      </c>
      <c r="BZ2255" s="16">
        <f t="shared" si="567"/>
        <v>2.3449131550946931E-18</v>
      </c>
      <c r="CA2255" s="16">
        <f t="shared" si="574"/>
        <v>-999</v>
      </c>
      <c r="CE2255" s="16" t="e">
        <f t="shared" si="568"/>
        <v>#N/A</v>
      </c>
      <c r="CF2255" s="16">
        <f t="shared" si="569"/>
        <v>99</v>
      </c>
      <c r="CG2255" s="16">
        <f t="shared" si="570"/>
        <v>0</v>
      </c>
      <c r="CH2255" s="16">
        <f t="shared" si="577"/>
        <v>0</v>
      </c>
      <c r="CJ2255" s="16" t="e">
        <f t="shared" si="571"/>
        <v>#N/A</v>
      </c>
      <c r="CK2255" s="16" t="str">
        <f t="shared" si="572"/>
        <v/>
      </c>
    </row>
    <row r="2256" spans="73:89" ht="12" customHeight="1">
      <c r="BU2256" s="16">
        <f t="shared" si="573"/>
        <v>0</v>
      </c>
      <c r="BV2256" s="16">
        <f>IF($BY$12=1,NORMDIST(BY2256,$Y$6,$Y$8,TRUE),IF($BY$12=2,IF(BY2256&lt;=$BX$31,0,IF(BY2256&gt;=$BX$32,1,(BY2256-$BX$31)*$BX$33)),SUM($BU$42:BU2256)/$BV$40))</f>
        <v>1</v>
      </c>
      <c r="BW2256" s="16">
        <f t="shared" si="575"/>
        <v>4.973937109354999E-16</v>
      </c>
      <c r="BY2256" s="16">
        <f t="shared" si="576"/>
        <v>221.39999999999171</v>
      </c>
      <c r="BZ2256" s="16">
        <f t="shared" si="567"/>
        <v>2.2465840602326942E-18</v>
      </c>
      <c r="CA2256" s="16">
        <f t="shared" si="574"/>
        <v>-999</v>
      </c>
      <c r="CE2256" s="16" t="e">
        <f t="shared" si="568"/>
        <v>#N/A</v>
      </c>
      <c r="CF2256" s="16">
        <f t="shared" si="569"/>
        <v>99</v>
      </c>
      <c r="CG2256" s="16">
        <f t="shared" si="570"/>
        <v>0</v>
      </c>
      <c r="CH2256" s="16">
        <f t="shared" si="577"/>
        <v>0</v>
      </c>
      <c r="CJ2256" s="16" t="e">
        <f t="shared" si="571"/>
        <v>#N/A</v>
      </c>
      <c r="CK2256" s="16" t="str">
        <f t="shared" si="572"/>
        <v/>
      </c>
    </row>
    <row r="2257" spans="73:89" ht="12" customHeight="1">
      <c r="BU2257" s="16">
        <f t="shared" si="573"/>
        <v>0</v>
      </c>
      <c r="BV2257" s="16">
        <f>IF($BY$12=1,NORMDIST(BY2257,$Y$6,$Y$8,TRUE),IF($BY$12=2,IF(BY2257&lt;=$BX$31,0,IF(BY2257&gt;=$BX$32,1,(BY2257-$BX$31)*$BX$33)),SUM($BU$42:BU2257)/$BV$40))</f>
        <v>1</v>
      </c>
      <c r="BW2257" s="16">
        <f t="shared" si="575"/>
        <v>4.7673985112188609E-16</v>
      </c>
      <c r="BY2257" s="16">
        <f t="shared" si="576"/>
        <v>221.4999999999917</v>
      </c>
      <c r="BZ2257" s="16">
        <f t="shared" si="567"/>
        <v>2.1523243842975346E-18</v>
      </c>
      <c r="CA2257" s="16">
        <f t="shared" si="574"/>
        <v>-999</v>
      </c>
      <c r="CE2257" s="16" t="e">
        <f t="shared" si="568"/>
        <v>#N/A</v>
      </c>
      <c r="CF2257" s="16">
        <f t="shared" si="569"/>
        <v>99</v>
      </c>
      <c r="CG2257" s="16">
        <f t="shared" si="570"/>
        <v>0</v>
      </c>
      <c r="CH2257" s="16">
        <f t="shared" si="577"/>
        <v>0</v>
      </c>
      <c r="CJ2257" s="16" t="e">
        <f t="shared" si="571"/>
        <v>#N/A</v>
      </c>
      <c r="CK2257" s="16" t="str">
        <f t="shared" si="572"/>
        <v/>
      </c>
    </row>
    <row r="2258" spans="73:89" ht="12" customHeight="1">
      <c r="BU2258" s="16">
        <f t="shared" si="573"/>
        <v>0</v>
      </c>
      <c r="BV2258" s="16">
        <f>IF($BY$12=1,NORMDIST(BY2258,$Y$6,$Y$8,TRUE),IF($BY$12=2,IF(BY2258&lt;=$BX$31,0,IF(BY2258&gt;=$BX$32,1,(BY2258-$BX$31)*$BX$33)),SUM($BU$42:BU2258)/$BV$40))</f>
        <v>1</v>
      </c>
      <c r="BW2258" s="16">
        <f t="shared" si="575"/>
        <v>4.5693210906365388E-16</v>
      </c>
      <c r="BY2258" s="16">
        <f t="shared" si="576"/>
        <v>221.5999999999917</v>
      </c>
      <c r="BZ2258" s="16">
        <f t="shared" si="567"/>
        <v>2.0619680011898512E-18</v>
      </c>
      <c r="CA2258" s="16">
        <f t="shared" si="574"/>
        <v>-999</v>
      </c>
      <c r="CE2258" s="16" t="e">
        <f t="shared" si="568"/>
        <v>#N/A</v>
      </c>
      <c r="CF2258" s="16">
        <f t="shared" si="569"/>
        <v>99</v>
      </c>
      <c r="CG2258" s="16">
        <f t="shared" si="570"/>
        <v>0</v>
      </c>
      <c r="CH2258" s="16">
        <f t="shared" si="577"/>
        <v>0</v>
      </c>
      <c r="CJ2258" s="16" t="e">
        <f t="shared" si="571"/>
        <v>#N/A</v>
      </c>
      <c r="CK2258" s="16" t="str">
        <f t="shared" si="572"/>
        <v/>
      </c>
    </row>
    <row r="2259" spans="73:89" ht="12" customHeight="1">
      <c r="BU2259" s="16">
        <f t="shared" si="573"/>
        <v>0</v>
      </c>
      <c r="BV2259" s="16">
        <f>IF($BY$12=1,NORMDIST(BY2259,$Y$6,$Y$8,TRUE),IF($BY$12=2,IF(BY2259&lt;=$BX$31,0,IF(BY2259&gt;=$BX$32,1,(BY2259-$BX$31)*$BX$33)),SUM($BU$42:BU2259)/$BV$40))</f>
        <v>1</v>
      </c>
      <c r="BW2259" s="16">
        <f t="shared" si="575"/>
        <v>4.379363077733614E-16</v>
      </c>
      <c r="BY2259" s="16">
        <f t="shared" si="576"/>
        <v>221.69999999999169</v>
      </c>
      <c r="BZ2259" s="16">
        <f t="shared" si="567"/>
        <v>1.9753554703354885E-18</v>
      </c>
      <c r="CA2259" s="16">
        <f t="shared" si="574"/>
        <v>-999</v>
      </c>
      <c r="CE2259" s="16" t="e">
        <f t="shared" si="568"/>
        <v>#N/A</v>
      </c>
      <c r="CF2259" s="16">
        <f t="shared" si="569"/>
        <v>99</v>
      </c>
      <c r="CG2259" s="16">
        <f t="shared" si="570"/>
        <v>0</v>
      </c>
      <c r="CH2259" s="16">
        <f t="shared" si="577"/>
        <v>0</v>
      </c>
      <c r="CJ2259" s="16" t="e">
        <f t="shared" si="571"/>
        <v>#N/A</v>
      </c>
      <c r="CK2259" s="16" t="str">
        <f t="shared" si="572"/>
        <v/>
      </c>
    </row>
    <row r="2260" spans="73:89" ht="12" customHeight="1">
      <c r="BU2260" s="16">
        <f t="shared" si="573"/>
        <v>0</v>
      </c>
      <c r="BV2260" s="16">
        <f>IF($BY$12=1,NORMDIST(BY2260,$Y$6,$Y$8,TRUE),IF($BY$12=2,IF(BY2260&lt;=$BX$31,0,IF(BY2260&gt;=$BX$32,1,(BY2260-$BX$31)*$BX$33)),SUM($BU$42:BU2260)/$BV$40))</f>
        <v>1</v>
      </c>
      <c r="BW2260" s="16">
        <f t="shared" si="575"/>
        <v>4.1971963054761419E-16</v>
      </c>
      <c r="BY2260" s="16">
        <f t="shared" si="576"/>
        <v>221.79999999999168</v>
      </c>
      <c r="BZ2260" s="16">
        <f t="shared" si="567"/>
        <v>1.8923337716304324E-18</v>
      </c>
      <c r="CA2260" s="16">
        <f t="shared" si="574"/>
        <v>-999</v>
      </c>
      <c r="CE2260" s="16" t="e">
        <f t="shared" si="568"/>
        <v>#N/A</v>
      </c>
      <c r="CF2260" s="16">
        <f t="shared" si="569"/>
        <v>99</v>
      </c>
      <c r="CG2260" s="16">
        <f t="shared" si="570"/>
        <v>0</v>
      </c>
      <c r="CH2260" s="16">
        <f t="shared" si="577"/>
        <v>0</v>
      </c>
      <c r="CJ2260" s="16" t="e">
        <f t="shared" si="571"/>
        <v>#N/A</v>
      </c>
      <c r="CK2260" s="16" t="str">
        <f t="shared" si="572"/>
        <v/>
      </c>
    </row>
    <row r="2261" spans="73:89" ht="12" customHeight="1">
      <c r="BU2261" s="16">
        <f t="shared" si="573"/>
        <v>0</v>
      </c>
      <c r="BV2261" s="16">
        <f>IF($BY$12=1,NORMDIST(BY2261,$Y$6,$Y$8,TRUE),IF($BY$12=2,IF(BY2261&lt;=$BX$31,0,IF(BY2261&gt;=$BX$32,1,(BY2261-$BX$31)*$BX$33)),SUM($BU$42:BU2261)/$BV$40))</f>
        <v>1</v>
      </c>
      <c r="BW2261" s="16">
        <f t="shared" si="575"/>
        <v>4.0225056765711149E-16</v>
      </c>
      <c r="BY2261" s="16">
        <f t="shared" si="576"/>
        <v>221.89999999999168</v>
      </c>
      <c r="BZ2261" s="16">
        <f t="shared" si="567"/>
        <v>1.8127560507306291E-18</v>
      </c>
      <c r="CA2261" s="16">
        <f t="shared" si="574"/>
        <v>-999</v>
      </c>
      <c r="CE2261" s="16" t="e">
        <f t="shared" si="568"/>
        <v>#N/A</v>
      </c>
      <c r="CF2261" s="16">
        <f t="shared" si="569"/>
        <v>99</v>
      </c>
      <c r="CG2261" s="16">
        <f t="shared" si="570"/>
        <v>0</v>
      </c>
      <c r="CH2261" s="16">
        <f t="shared" si="577"/>
        <v>0</v>
      </c>
      <c r="CJ2261" s="16" t="e">
        <f t="shared" si="571"/>
        <v>#N/A</v>
      </c>
      <c r="CK2261" s="16" t="str">
        <f t="shared" si="572"/>
        <v/>
      </c>
    </row>
    <row r="2262" spans="73:89" ht="12" customHeight="1">
      <c r="BU2262" s="16">
        <f t="shared" si="573"/>
        <v>0</v>
      </c>
      <c r="BV2262" s="16">
        <f>IF($BY$12=1,NORMDIST(BY2262,$Y$6,$Y$8,TRUE),IF($BY$12=2,IF(BY2262&lt;=$BX$31,0,IF(BY2262&gt;=$BX$32,1,(BY2262-$BX$31)*$BX$33)),SUM($BU$42:BU2262)/$BV$40))</f>
        <v>1</v>
      </c>
      <c r="BW2262" s="16">
        <f t="shared" si="575"/>
        <v>3.8549886509221233E-16</v>
      </c>
      <c r="BY2262" s="16">
        <f t="shared" si="576"/>
        <v>221.99999999999167</v>
      </c>
      <c r="BZ2262" s="16">
        <f t="shared" si="567"/>
        <v>1.7364813742893099E-18</v>
      </c>
      <c r="CA2262" s="16">
        <f t="shared" si="574"/>
        <v>-999</v>
      </c>
      <c r="CE2262" s="16" t="e">
        <f t="shared" si="568"/>
        <v>#N/A</v>
      </c>
      <c r="CF2262" s="16">
        <f t="shared" si="569"/>
        <v>99</v>
      </c>
      <c r="CG2262" s="16">
        <f t="shared" si="570"/>
        <v>0</v>
      </c>
      <c r="CH2262" s="16">
        <f t="shared" si="577"/>
        <v>0</v>
      </c>
      <c r="CJ2262" s="16" t="e">
        <f t="shared" si="571"/>
        <v>#N/A</v>
      </c>
      <c r="CK2262" s="16" t="str">
        <f t="shared" si="572"/>
        <v/>
      </c>
    </row>
    <row r="2263" spans="73:89" ht="12" customHeight="1">
      <c r="BU2263" s="16">
        <f t="shared" si="573"/>
        <v>0</v>
      </c>
      <c r="BV2263" s="16">
        <f>IF($BY$12=1,NORMDIST(BY2263,$Y$6,$Y$8,TRUE),IF($BY$12=2,IF(BY2263&lt;=$BX$31,0,IF(BY2263&gt;=$BX$32,1,(BY2263-$BX$31)*$BX$33)),SUM($BU$42:BU2263)/$BV$40))</f>
        <v>1</v>
      </c>
      <c r="BW2263" s="16">
        <f t="shared" si="575"/>
        <v>3.6943547528614901E-16</v>
      </c>
      <c r="BY2263" s="16">
        <f t="shared" si="576"/>
        <v>222.09999999999167</v>
      </c>
      <c r="BZ2263" s="16">
        <f t="shared" si="567"/>
        <v>1.6633744947598509E-18</v>
      </c>
      <c r="CA2263" s="16">
        <f t="shared" si="574"/>
        <v>-999</v>
      </c>
      <c r="CE2263" s="16" t="e">
        <f t="shared" si="568"/>
        <v>#N/A</v>
      </c>
      <c r="CF2263" s="16">
        <f t="shared" si="569"/>
        <v>99</v>
      </c>
      <c r="CG2263" s="16">
        <f t="shared" si="570"/>
        <v>0</v>
      </c>
      <c r="CH2263" s="16">
        <f t="shared" si="577"/>
        <v>0</v>
      </c>
      <c r="CJ2263" s="16" t="e">
        <f t="shared" si="571"/>
        <v>#N/A</v>
      </c>
      <c r="CK2263" s="16" t="str">
        <f t="shared" si="572"/>
        <v/>
      </c>
    </row>
    <row r="2264" spans="73:89" ht="12" customHeight="1">
      <c r="BU2264" s="16">
        <f t="shared" si="573"/>
        <v>0</v>
      </c>
      <c r="BV2264" s="16">
        <f>IF($BY$12=1,NORMDIST(BY2264,$Y$6,$Y$8,TRUE),IF($BY$12=2,IF(BY2264&lt;=$BX$31,0,IF(BY2264&gt;=$BX$32,1,(BY2264-$BX$31)*$BX$33)),SUM($BU$42:BU2264)/$BV$40))</f>
        <v>1</v>
      </c>
      <c r="BW2264" s="16">
        <f t="shared" si="575"/>
        <v>3.5403250974083306E-16</v>
      </c>
      <c r="BY2264" s="16">
        <f t="shared" si="576"/>
        <v>222.19999999999166</v>
      </c>
      <c r="BZ2264" s="16">
        <f t="shared" si="567"/>
        <v>1.5933056243962481E-18</v>
      </c>
      <c r="CA2264" s="16">
        <f t="shared" si="574"/>
        <v>-999</v>
      </c>
      <c r="CE2264" s="16" t="e">
        <f t="shared" si="568"/>
        <v>#N/A</v>
      </c>
      <c r="CF2264" s="16">
        <f t="shared" si="569"/>
        <v>99</v>
      </c>
      <c r="CG2264" s="16">
        <f t="shared" si="570"/>
        <v>0</v>
      </c>
      <c r="CH2264" s="16">
        <f t="shared" si="577"/>
        <v>0</v>
      </c>
      <c r="CJ2264" s="16" t="e">
        <f t="shared" si="571"/>
        <v>#N/A</v>
      </c>
      <c r="CK2264" s="16" t="str">
        <f t="shared" si="572"/>
        <v/>
      </c>
    </row>
    <row r="2265" spans="73:89" ht="12" customHeight="1">
      <c r="BU2265" s="16">
        <f t="shared" si="573"/>
        <v>0</v>
      </c>
      <c r="BV2265" s="16">
        <f>IF($BY$12=1,NORMDIST(BY2265,$Y$6,$Y$8,TRUE),IF($BY$12=2,IF(BY2265&lt;=$BX$31,0,IF(BY2265&gt;=$BX$32,1,(BY2265-$BX$31)*$BX$33)),SUM($BU$42:BU2265)/$BV$40))</f>
        <v>1</v>
      </c>
      <c r="BW2265" s="16">
        <f t="shared" si="575"/>
        <v>3.3926319348307839E-16</v>
      </c>
      <c r="BY2265" s="16">
        <f t="shared" si="576"/>
        <v>222.29999999999166</v>
      </c>
      <c r="BZ2265" s="16">
        <f t="shared" si="567"/>
        <v>1.526150218097576E-18</v>
      </c>
      <c r="CA2265" s="16">
        <f t="shared" si="574"/>
        <v>-999</v>
      </c>
      <c r="CE2265" s="16" t="e">
        <f t="shared" si="568"/>
        <v>#N/A</v>
      </c>
      <c r="CF2265" s="16">
        <f t="shared" si="569"/>
        <v>99</v>
      </c>
      <c r="CG2265" s="16">
        <f t="shared" si="570"/>
        <v>0</v>
      </c>
      <c r="CH2265" s="16">
        <f t="shared" si="577"/>
        <v>0</v>
      </c>
      <c r="CJ2265" s="16" t="e">
        <f t="shared" si="571"/>
        <v>#N/A</v>
      </c>
      <c r="CK2265" s="16" t="str">
        <f t="shared" si="572"/>
        <v/>
      </c>
    </row>
    <row r="2266" spans="73:89" ht="12" customHeight="1">
      <c r="BU2266" s="16">
        <f t="shared" si="573"/>
        <v>0</v>
      </c>
      <c r="BV2266" s="16">
        <f>IF($BY$12=1,NORMDIST(BY2266,$Y$6,$Y$8,TRUE),IF($BY$12=2,IF(BY2266&lt;=$BX$31,0,IF(BY2266&gt;=$BX$32,1,(BY2266-$BX$31)*$BX$33)),SUM($BU$42:BU2266)/$BV$40))</f>
        <v>1</v>
      </c>
      <c r="BW2266" s="16">
        <f t="shared" si="575"/>
        <v>3.2510182128171646E-16</v>
      </c>
      <c r="BY2266" s="16">
        <f t="shared" si="576"/>
        <v>222.39999999999165</v>
      </c>
      <c r="BZ2266" s="16">
        <f t="shared" si="567"/>
        <v>1.4617887647559742E-18</v>
      </c>
      <c r="CA2266" s="16">
        <f t="shared" si="574"/>
        <v>-999</v>
      </c>
      <c r="CE2266" s="16" t="e">
        <f t="shared" si="568"/>
        <v>#N/A</v>
      </c>
      <c r="CF2266" s="16">
        <f t="shared" si="569"/>
        <v>99</v>
      </c>
      <c r="CG2266" s="16">
        <f t="shared" si="570"/>
        <v>0</v>
      </c>
      <c r="CH2266" s="16">
        <f t="shared" si="577"/>
        <v>0</v>
      </c>
      <c r="CJ2266" s="16" t="e">
        <f t="shared" si="571"/>
        <v>#N/A</v>
      </c>
      <c r="CK2266" s="16" t="str">
        <f t="shared" si="572"/>
        <v/>
      </c>
    </row>
    <row r="2267" spans="73:89" ht="12" customHeight="1">
      <c r="BU2267" s="16">
        <f t="shared" si="573"/>
        <v>0</v>
      </c>
      <c r="BV2267" s="16">
        <f>IF($BY$12=1,NORMDIST(BY2267,$Y$6,$Y$8,TRUE),IF($BY$12=2,IF(BY2267&lt;=$BX$31,0,IF(BY2267&gt;=$BX$32,1,(BY2267-$BX$31)*$BX$33)),SUM($BU$42:BU2267)/$BV$40))</f>
        <v>1</v>
      </c>
      <c r="BW2267" s="16">
        <f t="shared" si="575"/>
        <v>3.1152371555862037E-16</v>
      </c>
      <c r="BY2267" s="16">
        <f t="shared" si="576"/>
        <v>222.49999999999164</v>
      </c>
      <c r="BZ2267" s="16">
        <f t="shared" si="567"/>
        <v>1.4001065867803688E-18</v>
      </c>
      <c r="CA2267" s="16">
        <f t="shared" si="574"/>
        <v>-999</v>
      </c>
      <c r="CE2267" s="16" t="e">
        <f t="shared" si="568"/>
        <v>#N/A</v>
      </c>
      <c r="CF2267" s="16">
        <f t="shared" si="569"/>
        <v>99</v>
      </c>
      <c r="CG2267" s="16">
        <f t="shared" si="570"/>
        <v>0</v>
      </c>
      <c r="CH2267" s="16">
        <f t="shared" si="577"/>
        <v>0</v>
      </c>
      <c r="CJ2267" s="16" t="e">
        <f t="shared" si="571"/>
        <v>#N/A</v>
      </c>
      <c r="CK2267" s="16" t="str">
        <f t="shared" si="572"/>
        <v/>
      </c>
    </row>
    <row r="2268" spans="73:89" ht="12" customHeight="1">
      <c r="BU2268" s="16">
        <f t="shared" si="573"/>
        <v>0</v>
      </c>
      <c r="BV2268" s="16">
        <f>IF($BY$12=1,NORMDIST(BY2268,$Y$6,$Y$8,TRUE),IF($BY$12=2,IF(BY2268&lt;=$BX$31,0,IF(BY2268&gt;=$BX$32,1,(BY2268-$BX$31)*$BX$33)),SUM($BU$42:BU2268)/$BV$40))</f>
        <v>1</v>
      </c>
      <c r="BW2268" s="16">
        <f t="shared" si="575"/>
        <v>2.9850518592928344E-16</v>
      </c>
      <c r="BY2268" s="16">
        <f t="shared" si="576"/>
        <v>222.59999999999164</v>
      </c>
      <c r="BZ2268" s="16">
        <f t="shared" si="567"/>
        <v>1.340993647481108E-18</v>
      </c>
      <c r="CA2268" s="16">
        <f t="shared" si="574"/>
        <v>-999</v>
      </c>
      <c r="CE2268" s="16" t="e">
        <f t="shared" si="568"/>
        <v>#N/A</v>
      </c>
      <c r="CF2268" s="16">
        <f t="shared" si="569"/>
        <v>99</v>
      </c>
      <c r="CG2268" s="16">
        <f t="shared" si="570"/>
        <v>0</v>
      </c>
      <c r="CH2268" s="16">
        <f t="shared" si="577"/>
        <v>0</v>
      </c>
      <c r="CJ2268" s="16" t="e">
        <f t="shared" si="571"/>
        <v>#N/A</v>
      </c>
      <c r="CK2268" s="16" t="str">
        <f t="shared" si="572"/>
        <v/>
      </c>
    </row>
    <row r="2269" spans="73:89" ht="12" customHeight="1">
      <c r="BU2269" s="16">
        <f t="shared" si="573"/>
        <v>0</v>
      </c>
      <c r="BV2269" s="16">
        <f>IF($BY$12=1,NORMDIST(BY2269,$Y$6,$Y$8,TRUE),IF($BY$12=2,IF(BY2269&lt;=$BX$31,0,IF(BY2269&gt;=$BX$32,1,(BY2269-$BX$31)*$BX$33)),SUM($BU$42:BU2269)/$BV$40))</f>
        <v>1</v>
      </c>
      <c r="BW2269" s="16">
        <f t="shared" si="575"/>
        <v>2.86023490310848E-16</v>
      </c>
      <c r="BY2269" s="16">
        <f t="shared" si="576"/>
        <v>222.69999999999163</v>
      </c>
      <c r="BZ2269" s="16">
        <f t="shared" si="567"/>
        <v>1.2843443660119387E-18</v>
      </c>
      <c r="CA2269" s="16">
        <f t="shared" si="574"/>
        <v>-999</v>
      </c>
      <c r="CE2269" s="16" t="e">
        <f t="shared" si="568"/>
        <v>#N/A</v>
      </c>
      <c r="CF2269" s="16">
        <f t="shared" si="569"/>
        <v>99</v>
      </c>
      <c r="CG2269" s="16">
        <f t="shared" si="570"/>
        <v>0</v>
      </c>
      <c r="CH2269" s="16">
        <f t="shared" si="577"/>
        <v>0</v>
      </c>
      <c r="CJ2269" s="16" t="e">
        <f t="shared" si="571"/>
        <v>#N/A</v>
      </c>
      <c r="CK2269" s="16" t="str">
        <f t="shared" si="572"/>
        <v/>
      </c>
    </row>
    <row r="2270" spans="73:89" ht="12" customHeight="1">
      <c r="BU2270" s="16">
        <f t="shared" si="573"/>
        <v>0</v>
      </c>
      <c r="BV2270" s="16">
        <f>IF($BY$12=1,NORMDIST(BY2270,$Y$6,$Y$8,TRUE),IF($BY$12=2,IF(BY2270&lt;=$BX$31,0,IF(BY2270&gt;=$BX$32,1,(BY2270-$BX$31)*$BX$33)),SUM($BU$42:BU2270)/$BV$40))</f>
        <v>1</v>
      </c>
      <c r="BW2270" s="16">
        <f t="shared" si="575"/>
        <v>2.740567975379408E-16</v>
      </c>
      <c r="BY2270" s="16">
        <f t="shared" si="576"/>
        <v>222.79999999999163</v>
      </c>
      <c r="BZ2270" s="16">
        <f t="shared" si="567"/>
        <v>1.2300574395778775E-18</v>
      </c>
      <c r="CA2270" s="16">
        <f t="shared" si="574"/>
        <v>-999</v>
      </c>
      <c r="CE2270" s="16" t="e">
        <f t="shared" si="568"/>
        <v>#N/A</v>
      </c>
      <c r="CF2270" s="16">
        <f t="shared" si="569"/>
        <v>99</v>
      </c>
      <c r="CG2270" s="16">
        <f t="shared" si="570"/>
        <v>0</v>
      </c>
      <c r="CH2270" s="16">
        <f t="shared" si="577"/>
        <v>0</v>
      </c>
      <c r="CJ2270" s="16" t="e">
        <f t="shared" si="571"/>
        <v>#N/A</v>
      </c>
      <c r="CK2270" s="16" t="str">
        <f t="shared" si="572"/>
        <v/>
      </c>
    </row>
    <row r="2271" spans="73:89" ht="12" customHeight="1">
      <c r="BU2271" s="16">
        <f t="shared" si="573"/>
        <v>0</v>
      </c>
      <c r="BV2271" s="16">
        <f>IF($BY$12=1,NORMDIST(BY2271,$Y$6,$Y$8,TRUE),IF($BY$12=2,IF(BY2271&lt;=$BX$31,0,IF(BY2271&gt;=$BX$32,1,(BY2271-$BX$31)*$BX$33)),SUM($BU$42:BU2271)/$BV$40))</f>
        <v>1</v>
      </c>
      <c r="BW2271" s="16">
        <f t="shared" si="575"/>
        <v>2.6258415142881323E-16</v>
      </c>
      <c r="BY2271" s="16">
        <f t="shared" si="576"/>
        <v>222.89999999999162</v>
      </c>
      <c r="BZ2271" s="16">
        <f t="shared" si="567"/>
        <v>1.178035672628188E-18</v>
      </c>
      <c r="CA2271" s="16">
        <f t="shared" si="574"/>
        <v>-999</v>
      </c>
      <c r="CE2271" s="16" t="e">
        <f t="shared" si="568"/>
        <v>#N/A</v>
      </c>
      <c r="CF2271" s="16">
        <f t="shared" si="569"/>
        <v>99</v>
      </c>
      <c r="CG2271" s="16">
        <f t="shared" si="570"/>
        <v>0</v>
      </c>
      <c r="CH2271" s="16">
        <f t="shared" si="577"/>
        <v>0</v>
      </c>
      <c r="CJ2271" s="16" t="e">
        <f t="shared" si="571"/>
        <v>#N/A</v>
      </c>
      <c r="CK2271" s="16" t="str">
        <f t="shared" si="572"/>
        <v/>
      </c>
    </row>
    <row r="2272" spans="73:89" ht="12" customHeight="1">
      <c r="BU2272" s="16">
        <f t="shared" si="573"/>
        <v>0</v>
      </c>
      <c r="BV2272" s="16">
        <f>IF($BY$12=1,NORMDIST(BY2272,$Y$6,$Y$8,TRUE),IF($BY$12=2,IF(BY2272&lt;=$BX$31,0,IF(BY2272&gt;=$BX$32,1,(BY2272-$BX$31)*$BX$33)),SUM($BU$42:BU2272)/$BV$40))</f>
        <v>1</v>
      </c>
      <c r="BW2272" s="16">
        <f t="shared" si="575"/>
        <v>2.5158543624645283E-16</v>
      </c>
      <c r="BY2272" s="16">
        <f t="shared" si="576"/>
        <v>222.99999999999162</v>
      </c>
      <c r="BZ2272" s="16">
        <f t="shared" si="567"/>
        <v>1.1281858127644049E-18</v>
      </c>
      <c r="CA2272" s="16">
        <f t="shared" si="574"/>
        <v>-999</v>
      </c>
      <c r="CE2272" s="16" t="e">
        <f t="shared" si="568"/>
        <v>#N/A</v>
      </c>
      <c r="CF2272" s="16">
        <f t="shared" si="569"/>
        <v>99</v>
      </c>
      <c r="CG2272" s="16">
        <f t="shared" si="570"/>
        <v>0</v>
      </c>
      <c r="CH2272" s="16">
        <f t="shared" si="577"/>
        <v>0</v>
      </c>
      <c r="CJ2272" s="16" t="e">
        <f t="shared" si="571"/>
        <v>#N/A</v>
      </c>
      <c r="CK2272" s="16" t="str">
        <f t="shared" si="572"/>
        <v/>
      </c>
    </row>
    <row r="2273" spans="73:89" ht="12" customHeight="1">
      <c r="BU2273" s="16">
        <f t="shared" si="573"/>
        <v>0</v>
      </c>
      <c r="BV2273" s="16">
        <f>IF($BY$12=1,NORMDIST(BY2273,$Y$6,$Y$8,TRUE),IF($BY$12=2,IF(BY2273&lt;=$BX$31,0,IF(BY2273&gt;=$BX$32,1,(BY2273-$BX$31)*$BX$33)),SUM($BU$42:BU2273)/$BV$40))</f>
        <v>1</v>
      </c>
      <c r="BW2273" s="16">
        <f t="shared" si="575"/>
        <v>2.4104134350145485E-16</v>
      </c>
      <c r="BY2273" s="16">
        <f t="shared" si="576"/>
        <v>223.09999999999161</v>
      </c>
      <c r="BZ2273" s="16">
        <f t="shared" si="567"/>
        <v>1.0804183931038275E-18</v>
      </c>
      <c r="CA2273" s="16">
        <f t="shared" si="574"/>
        <v>-999</v>
      </c>
      <c r="CE2273" s="16" t="e">
        <f t="shared" si="568"/>
        <v>#N/A</v>
      </c>
      <c r="CF2273" s="16">
        <f t="shared" si="569"/>
        <v>99</v>
      </c>
      <c r="CG2273" s="16">
        <f t="shared" si="570"/>
        <v>0</v>
      </c>
      <c r="CH2273" s="16">
        <f t="shared" si="577"/>
        <v>0</v>
      </c>
      <c r="CJ2273" s="16" t="e">
        <f t="shared" si="571"/>
        <v>#N/A</v>
      </c>
      <c r="CK2273" s="16" t="str">
        <f t="shared" si="572"/>
        <v/>
      </c>
    </row>
    <row r="2274" spans="73:89" ht="12" customHeight="1">
      <c r="BU2274" s="16">
        <f t="shared" si="573"/>
        <v>0</v>
      </c>
      <c r="BV2274" s="16">
        <f>IF($BY$12=1,NORMDIST(BY2274,$Y$6,$Y$8,TRUE),IF($BY$12=2,IF(BY2274&lt;=$BX$31,0,IF(BY2274&gt;=$BX$32,1,(BY2274-$BX$31)*$BX$33)),SUM($BU$42:BU2274)/$BV$40))</f>
        <v>1</v>
      </c>
      <c r="BW2274" s="16">
        <f t="shared" si="575"/>
        <v>2.3093334004536318E-16</v>
      </c>
      <c r="BY2274" s="16">
        <f t="shared" si="576"/>
        <v>223.1999999999916</v>
      </c>
      <c r="BZ2274" s="16">
        <f t="shared" si="567"/>
        <v>1.0346475808484402E-18</v>
      </c>
      <c r="CA2274" s="16">
        <f t="shared" si="574"/>
        <v>-999</v>
      </c>
      <c r="CE2274" s="16" t="e">
        <f t="shared" si="568"/>
        <v>#N/A</v>
      </c>
      <c r="CF2274" s="16">
        <f t="shared" si="569"/>
        <v>99</v>
      </c>
      <c r="CG2274" s="16">
        <f t="shared" si="570"/>
        <v>0</v>
      </c>
      <c r="CH2274" s="16">
        <f t="shared" si="577"/>
        <v>0</v>
      </c>
      <c r="CJ2274" s="16" t="e">
        <f t="shared" si="571"/>
        <v>#N/A</v>
      </c>
      <c r="CK2274" s="16" t="str">
        <f t="shared" si="572"/>
        <v/>
      </c>
    </row>
    <row r="2275" spans="73:89" ht="12" customHeight="1">
      <c r="BU2275" s="16">
        <f t="shared" si="573"/>
        <v>0</v>
      </c>
      <c r="BV2275" s="16">
        <f>IF($BY$12=1,NORMDIST(BY2275,$Y$6,$Y$8,TRUE),IF($BY$12=2,IF(BY2275&lt;=$BX$31,0,IF(BY2275&gt;=$BX$32,1,(BY2275-$BX$31)*$BX$33)),SUM($BU$42:BU2275)/$BV$40))</f>
        <v>1</v>
      </c>
      <c r="BW2275" s="16">
        <f t="shared" si="575"/>
        <v>2.212436374051914E-16</v>
      </c>
      <c r="BY2275" s="16">
        <f t="shared" si="576"/>
        <v>223.2999999999916</v>
      </c>
      <c r="BZ2275" s="16">
        <f t="shared" si="567"/>
        <v>9.9079103181907624E-19</v>
      </c>
      <c r="CA2275" s="16">
        <f t="shared" si="574"/>
        <v>-999</v>
      </c>
      <c r="CE2275" s="16" t="e">
        <f t="shared" si="568"/>
        <v>#N/A</v>
      </c>
      <c r="CF2275" s="16">
        <f t="shared" si="569"/>
        <v>99</v>
      </c>
      <c r="CG2275" s="16">
        <f t="shared" si="570"/>
        <v>0</v>
      </c>
      <c r="CH2275" s="16">
        <f t="shared" si="577"/>
        <v>0</v>
      </c>
      <c r="CJ2275" s="16" t="e">
        <f t="shared" si="571"/>
        <v>#N/A</v>
      </c>
      <c r="CK2275" s="16" t="str">
        <f t="shared" si="572"/>
        <v/>
      </c>
    </row>
    <row r="2276" spans="73:89" ht="12" customHeight="1">
      <c r="BU2276" s="16">
        <f t="shared" si="573"/>
        <v>0</v>
      </c>
      <c r="BV2276" s="16">
        <f>IF($BY$12=1,NORMDIST(BY2276,$Y$6,$Y$8,TRUE),IF($BY$12=2,IF(BY2276&lt;=$BX$31,0,IF(BY2276&gt;=$BX$32,1,(BY2276-$BX$31)*$BX$33)),SUM($BU$42:BU2276)/$BV$40))</f>
        <v>1</v>
      </c>
      <c r="BW2276" s="16">
        <f t="shared" si="575"/>
        <v>2.1195516231160296E-16</v>
      </c>
      <c r="BY2276" s="16">
        <f t="shared" si="576"/>
        <v>223.39999999999159</v>
      </c>
      <c r="BZ2276" s="16">
        <f t="shared" si="567"/>
        <v>9.4876975072341515E-19</v>
      </c>
      <c r="CA2276" s="16">
        <f t="shared" si="574"/>
        <v>-999</v>
      </c>
      <c r="CE2276" s="16" t="e">
        <f t="shared" si="568"/>
        <v>#N/A</v>
      </c>
      <c r="CF2276" s="16">
        <f t="shared" si="569"/>
        <v>99</v>
      </c>
      <c r="CG2276" s="16">
        <f t="shared" si="570"/>
        <v>0</v>
      </c>
      <c r="CH2276" s="16">
        <f t="shared" si="577"/>
        <v>0</v>
      </c>
      <c r="CJ2276" s="16" t="e">
        <f t="shared" si="571"/>
        <v>#N/A</v>
      </c>
      <c r="CK2276" s="16" t="str">
        <f t="shared" si="572"/>
        <v/>
      </c>
    </row>
    <row r="2277" spans="73:89" ht="12" customHeight="1">
      <c r="BU2277" s="16">
        <f t="shared" si="573"/>
        <v>0</v>
      </c>
      <c r="BV2277" s="16">
        <f>IF($BY$12=1,NORMDIST(BY2277,$Y$6,$Y$8,TRUE),IF($BY$12=2,IF(BY2277&lt;=$BX$31,0,IF(BY2277&gt;=$BX$32,1,(BY2277-$BX$31)*$BX$33)),SUM($BU$42:BU2277)/$BV$40))</f>
        <v>1</v>
      </c>
      <c r="BW2277" s="16">
        <f t="shared" si="575"/>
        <v>2.0305152837509934E-16</v>
      </c>
      <c r="BY2277" s="16">
        <f t="shared" si="576"/>
        <v>223.49999999999159</v>
      </c>
      <c r="BZ2277" s="16">
        <f t="shared" si="567"/>
        <v>9.0850795693560167E-19</v>
      </c>
      <c r="CA2277" s="16">
        <f t="shared" si="574"/>
        <v>-999</v>
      </c>
      <c r="CE2277" s="16" t="e">
        <f t="shared" si="568"/>
        <v>#N/A</v>
      </c>
      <c r="CF2277" s="16">
        <f t="shared" si="569"/>
        <v>99</v>
      </c>
      <c r="CG2277" s="16">
        <f t="shared" si="570"/>
        <v>0</v>
      </c>
      <c r="CH2277" s="16">
        <f t="shared" si="577"/>
        <v>0</v>
      </c>
      <c r="CJ2277" s="16" t="e">
        <f t="shared" si="571"/>
        <v>#N/A</v>
      </c>
      <c r="CK2277" s="16" t="str">
        <f t="shared" si="572"/>
        <v/>
      </c>
    </row>
    <row r="2278" spans="73:89" ht="12" customHeight="1">
      <c r="BU2278" s="16">
        <f t="shared" si="573"/>
        <v>0</v>
      </c>
      <c r="BV2278" s="16">
        <f>IF($BY$12=1,NORMDIST(BY2278,$Y$6,$Y$8,TRUE),IF($BY$12=2,IF(BY2278&lt;=$BX$31,0,IF(BY2278&gt;=$BX$32,1,(BY2278-$BX$31)*$BX$33)),SUM($BU$42:BU2278)/$BV$40))</f>
        <v>1</v>
      </c>
      <c r="BW2278" s="16">
        <f t="shared" si="575"/>
        <v>1.945170088662246E-16</v>
      </c>
      <c r="BY2278" s="16">
        <f t="shared" si="576"/>
        <v>223.59999999999158</v>
      </c>
      <c r="BZ2278" s="16">
        <f t="shared" si="567"/>
        <v>8.6993295557348809E-19</v>
      </c>
      <c r="CA2278" s="16">
        <f t="shared" si="574"/>
        <v>-999</v>
      </c>
      <c r="CE2278" s="16" t="e">
        <f t="shared" si="568"/>
        <v>#N/A</v>
      </c>
      <c r="CF2278" s="16">
        <f t="shared" si="569"/>
        <v>99</v>
      </c>
      <c r="CG2278" s="16">
        <f t="shared" si="570"/>
        <v>0</v>
      </c>
      <c r="CH2278" s="16">
        <f t="shared" si="577"/>
        <v>0</v>
      </c>
      <c r="CJ2278" s="16" t="e">
        <f t="shared" si="571"/>
        <v>#N/A</v>
      </c>
      <c r="CK2278" s="16" t="str">
        <f t="shared" si="572"/>
        <v/>
      </c>
    </row>
    <row r="2279" spans="73:89" ht="12" customHeight="1">
      <c r="BU2279" s="16">
        <f t="shared" si="573"/>
        <v>0</v>
      </c>
      <c r="BV2279" s="16">
        <f>IF($BY$12=1,NORMDIST(BY2279,$Y$6,$Y$8,TRUE),IF($BY$12=2,IF(BY2279&lt;=$BX$31,0,IF(BY2279&gt;=$BX$32,1,(BY2279-$BX$31)*$BX$33)),SUM($BU$42:BU2279)/$BV$40))</f>
        <v>1</v>
      </c>
      <c r="BW2279" s="16">
        <f t="shared" si="575"/>
        <v>1.8633651055745499E-16</v>
      </c>
      <c r="BY2279" s="16">
        <f t="shared" si="576"/>
        <v>223.69999999999158</v>
      </c>
      <c r="BZ2279" s="16">
        <f t="shared" si="567"/>
        <v>8.3297501366768886E-19</v>
      </c>
      <c r="CA2279" s="16">
        <f t="shared" si="574"/>
        <v>-999</v>
      </c>
      <c r="CE2279" s="16" t="e">
        <f t="shared" si="568"/>
        <v>#N/A</v>
      </c>
      <c r="CF2279" s="16">
        <f t="shared" si="569"/>
        <v>99</v>
      </c>
      <c r="CG2279" s="16">
        <f t="shared" si="570"/>
        <v>0</v>
      </c>
      <c r="CH2279" s="16">
        <f t="shared" si="577"/>
        <v>0</v>
      </c>
      <c r="CJ2279" s="16" t="e">
        <f t="shared" si="571"/>
        <v>#N/A</v>
      </c>
      <c r="CK2279" s="16" t="str">
        <f t="shared" si="572"/>
        <v/>
      </c>
    </row>
    <row r="2280" spans="73:89" ht="12" customHeight="1">
      <c r="BU2280" s="16">
        <f t="shared" si="573"/>
        <v>0</v>
      </c>
      <c r="BV2280" s="16">
        <f>IF($BY$12=1,NORMDIST(BY2280,$Y$6,$Y$8,TRUE),IF($BY$12=2,IF(BY2280&lt;=$BX$31,0,IF(BY2280&gt;=$BX$32,1,(BY2280-$BX$31)*$BX$33)),SUM($BU$42:BU2280)/$BV$40))</f>
        <v>1</v>
      </c>
      <c r="BW2280" s="16">
        <f t="shared" si="575"/>
        <v>1.7849554858607604E-16</v>
      </c>
      <c r="BY2280" s="16">
        <f t="shared" si="576"/>
        <v>223.79999999999157</v>
      </c>
      <c r="BZ2280" s="16">
        <f t="shared" si="567"/>
        <v>7.975672412246772E-19</v>
      </c>
      <c r="CA2280" s="16">
        <f t="shared" si="574"/>
        <v>-999</v>
      </c>
      <c r="CE2280" s="16" t="e">
        <f t="shared" si="568"/>
        <v>#N/A</v>
      </c>
      <c r="CF2280" s="16">
        <f t="shared" si="569"/>
        <v>99</v>
      </c>
      <c r="CG2280" s="16">
        <f t="shared" si="570"/>
        <v>0</v>
      </c>
      <c r="CH2280" s="16">
        <f t="shared" si="577"/>
        <v>0</v>
      </c>
      <c r="CJ2280" s="16" t="e">
        <f t="shared" si="571"/>
        <v>#N/A</v>
      </c>
      <c r="CK2280" s="16" t="str">
        <f t="shared" si="572"/>
        <v/>
      </c>
    </row>
    <row r="2281" spans="73:89" ht="12" customHeight="1">
      <c r="BU2281" s="16">
        <f t="shared" si="573"/>
        <v>0</v>
      </c>
      <c r="BV2281" s="16">
        <f>IF($BY$12=1,NORMDIST(BY2281,$Y$6,$Y$8,TRUE),IF($BY$12=2,IF(BY2281&lt;=$BX$31,0,IF(BY2281&gt;=$BX$32,1,(BY2281-$BX$31)*$BX$33)),SUM($BU$42:BU2281)/$BV$40))</f>
        <v>1</v>
      </c>
      <c r="BW2281" s="16">
        <f t="shared" si="575"/>
        <v>1.7098022229883532E-16</v>
      </c>
      <c r="BY2281" s="16">
        <f t="shared" si="576"/>
        <v>223.89999999999156</v>
      </c>
      <c r="BZ2281" s="16">
        <f t="shared" si="567"/>
        <v>7.6364547699348709E-19</v>
      </c>
      <c r="CA2281" s="16">
        <f t="shared" si="574"/>
        <v>-999</v>
      </c>
      <c r="CE2281" s="16" t="e">
        <f t="shared" si="568"/>
        <v>#N/A</v>
      </c>
      <c r="CF2281" s="16">
        <f t="shared" si="569"/>
        <v>99</v>
      </c>
      <c r="CG2281" s="16">
        <f t="shared" si="570"/>
        <v>0</v>
      </c>
      <c r="CH2281" s="16">
        <f t="shared" si="577"/>
        <v>0</v>
      </c>
      <c r="CJ2281" s="16" t="e">
        <f t="shared" si="571"/>
        <v>#N/A</v>
      </c>
      <c r="CK2281" s="16" t="str">
        <f t="shared" si="572"/>
        <v/>
      </c>
    </row>
    <row r="2282" spans="73:89" ht="12" customHeight="1">
      <c r="BU2282" s="16">
        <f t="shared" si="573"/>
        <v>0</v>
      </c>
      <c r="BV2282" s="16">
        <f>IF($BY$12=1,NORMDIST(BY2282,$Y$6,$Y$8,TRUE),IF($BY$12=2,IF(BY2282&lt;=$BX$31,0,IF(BY2282&gt;=$BX$32,1,(BY2282-$BX$31)*$BX$33)),SUM($BU$42:BU2282)/$BV$40))</f>
        <v>1</v>
      </c>
      <c r="BW2282" s="16">
        <f t="shared" si="575"/>
        <v>1.6377719204066681E-16</v>
      </c>
      <c r="BY2282" s="16">
        <f t="shared" si="576"/>
        <v>223.99999999999156</v>
      </c>
      <c r="BZ2282" s="16">
        <f t="shared" ref="BZ2282:BZ2345" si="578">IF($BZ$5,IF($BY$12=1,NORMDIST(BY2282,$Y$6,$Y$8,FALSE),IF($BY$12=2,IF(AND(BY2282&gt;=$BX$31,BY2282&lt;=$BX$32),$BX$33,0),IF(BY2282&lt;=$BX$13,0,NORMDIST(LN((BY2282-$BX$13)/$BX$12),0,$BW$8,FALSE)/((BY2282-$BX$13)/$BX$12)))),-999)</f>
        <v>7.3114817875300443E-19</v>
      </c>
      <c r="CA2282" s="16">
        <f t="shared" si="574"/>
        <v>-999</v>
      </c>
      <c r="CE2282" s="16" t="e">
        <f t="shared" ref="CE2282:CE2345" si="579">IF(AND($CB$7,$CD$2,$CD$1),26+$P$23/2-CC2282*$P$23,NA())</f>
        <v>#N/A</v>
      </c>
      <c r="CF2282" s="16">
        <f t="shared" ref="CF2282:CF2345" si="580">IF(ISNA(CJ2282),99,CJ2282)</f>
        <v>99</v>
      </c>
      <c r="CG2282" s="16">
        <f t="shared" ref="CG2282:CG2345" si="581">IF(ISNA(CJ2282),0,CJ2282)</f>
        <v>0</v>
      </c>
      <c r="CH2282" s="16">
        <f t="shared" si="577"/>
        <v>0</v>
      </c>
      <c r="CJ2282" s="16" t="e">
        <f t="shared" ref="CJ2282:CJ2345" si="582">IF(CH2282=1,CE2282,NA())</f>
        <v>#N/A</v>
      </c>
      <c r="CK2282" s="16" t="str">
        <f t="shared" ref="CK2282:CK2345" si="583">IF(CH2282=1,M2181,"")</f>
        <v/>
      </c>
    </row>
    <row r="2283" spans="73:89" ht="12" customHeight="1">
      <c r="BU2283" s="16">
        <f t="shared" ref="BU2283:BU2346" si="584">IF($BY$12&lt;3,0,IF(BY2283&lt;=$BX$13,0,NORMDIST(LN((BY2283-$BX$13)/$BX$12),0,$BW$8,FALSE)/((BY2283-$BX$13)/$BX$12)))</f>
        <v>0</v>
      </c>
      <c r="BV2283" s="16">
        <f>IF($BY$12=1,NORMDIST(BY2283,$Y$6,$Y$8,TRUE),IF($BY$12=2,IF(BY2283&lt;=$BX$31,0,IF(BY2283&gt;=$BX$32,1,(BY2283-$BX$31)*$BX$33)),SUM($BU$42:BU2283)/$BV$40))</f>
        <v>1</v>
      </c>
      <c r="BW2283" s="16">
        <f t="shared" si="575"/>
        <v>1.5687365685119753E-16</v>
      </c>
      <c r="BY2283" s="16">
        <f t="shared" si="576"/>
        <v>224.09999999999155</v>
      </c>
      <c r="BZ2283" s="16">
        <f t="shared" si="578"/>
        <v>7.000163179437905E-19</v>
      </c>
      <c r="CA2283" s="16">
        <f t="shared" ref="CA2283:CA2346" si="585">IF(AND($CD$1,$CD$3),26-$CD$40*NORMDIST(BY2283,$Y$6,$Y$8/SQRT($T$18),FALSE),-999)</f>
        <v>-999</v>
      </c>
      <c r="CE2283" s="16" t="e">
        <f t="shared" si="579"/>
        <v>#N/A</v>
      </c>
      <c r="CF2283" s="16">
        <f t="shared" si="580"/>
        <v>99</v>
      </c>
      <c r="CG2283" s="16">
        <f t="shared" si="581"/>
        <v>0</v>
      </c>
      <c r="CH2283" s="16">
        <f t="shared" si="577"/>
        <v>0</v>
      </c>
      <c r="CJ2283" s="16" t="e">
        <f t="shared" si="582"/>
        <v>#N/A</v>
      </c>
      <c r="CK2283" s="16" t="str">
        <f t="shared" si="583"/>
        <v/>
      </c>
    </row>
    <row r="2284" spans="73:89" ht="12" customHeight="1">
      <c r="BU2284" s="16">
        <f t="shared" si="584"/>
        <v>0</v>
      </c>
      <c r="BV2284" s="16">
        <f>IF($BY$12=1,NORMDIST(BY2284,$Y$6,$Y$8,TRUE),IF($BY$12=2,IF(BY2284&lt;=$BX$31,0,IF(BY2284&gt;=$BX$32,1,(BY2284-$BX$31)*$BX$33)),SUM($BU$42:BU2284)/$BV$40))</f>
        <v>1</v>
      </c>
      <c r="BW2284" s="16">
        <f t="shared" si="575"/>
        <v>1.502573330341117E-16</v>
      </c>
      <c r="BY2284" s="16">
        <f t="shared" si="576"/>
        <v>224.19999999999155</v>
      </c>
      <c r="BZ2284" s="16">
        <f t="shared" si="578"/>
        <v>6.7019327847509978E-19</v>
      </c>
      <c r="CA2284" s="16">
        <f t="shared" si="585"/>
        <v>-999</v>
      </c>
      <c r="CE2284" s="16" t="e">
        <f t="shared" si="579"/>
        <v>#N/A</v>
      </c>
      <c r="CF2284" s="16">
        <f t="shared" si="580"/>
        <v>99</v>
      </c>
      <c r="CG2284" s="16">
        <f t="shared" si="581"/>
        <v>0</v>
      </c>
      <c r="CH2284" s="16">
        <f t="shared" si="577"/>
        <v>0</v>
      </c>
      <c r="CJ2284" s="16" t="e">
        <f t="shared" si="582"/>
        <v>#N/A</v>
      </c>
      <c r="CK2284" s="16" t="str">
        <f t="shared" si="583"/>
        <v/>
      </c>
    </row>
    <row r="2285" spans="73:89" ht="12" customHeight="1">
      <c r="BU2285" s="16">
        <f t="shared" si="584"/>
        <v>0</v>
      </c>
      <c r="BV2285" s="16">
        <f>IF($BY$12=1,NORMDIST(BY2285,$Y$6,$Y$8,TRUE),IF($BY$12=2,IF(BY2285&lt;=$BX$31,0,IF(BY2285&gt;=$BX$32,1,(BY2285-$BX$31)*$BX$33)),SUM($BU$42:BU2285)/$BV$40))</f>
        <v>1</v>
      </c>
      <c r="BW2285" s="16">
        <f t="shared" si="575"/>
        <v>1.4391643356579159E-16</v>
      </c>
      <c r="BY2285" s="16">
        <f t="shared" si="576"/>
        <v>224.29999999999154</v>
      </c>
      <c r="BZ2285" s="16">
        <f t="shared" si="578"/>
        <v>6.4162475954434698E-19</v>
      </c>
      <c r="CA2285" s="16">
        <f t="shared" si="585"/>
        <v>-999</v>
      </c>
      <c r="CE2285" s="16" t="e">
        <f t="shared" si="579"/>
        <v>#N/A</v>
      </c>
      <c r="CF2285" s="16">
        <f t="shared" si="580"/>
        <v>99</v>
      </c>
      <c r="CG2285" s="16">
        <f t="shared" si="581"/>
        <v>0</v>
      </c>
      <c r="CH2285" s="16">
        <f t="shared" si="577"/>
        <v>0</v>
      </c>
      <c r="CJ2285" s="16" t="e">
        <f t="shared" si="582"/>
        <v>#N/A</v>
      </c>
      <c r="CK2285" s="16" t="str">
        <f t="shared" si="583"/>
        <v/>
      </c>
    </row>
    <row r="2286" spans="73:89" ht="12" customHeight="1">
      <c r="BU2286" s="16">
        <f t="shared" si="584"/>
        <v>0</v>
      </c>
      <c r="BV2286" s="16">
        <f>IF($BY$12=1,NORMDIST(BY2286,$Y$6,$Y$8,TRUE),IF($BY$12=2,IF(BY2286&lt;=$BX$31,0,IF(BY2286&gt;=$BX$32,1,(BY2286-$BX$31)*$BX$33)),SUM($BU$42:BU2286)/$BV$40))</f>
        <v>1</v>
      </c>
      <c r="BW2286" s="16">
        <f t="shared" si="575"/>
        <v>1.3783964831087949E-16</v>
      </c>
      <c r="BY2286" s="16">
        <f t="shared" si="576"/>
        <v>224.39999999999154</v>
      </c>
      <c r="BZ2286" s="16">
        <f t="shared" si="578"/>
        <v>6.1425868231232042E-19</v>
      </c>
      <c r="CA2286" s="16">
        <f t="shared" si="585"/>
        <v>-999</v>
      </c>
      <c r="CE2286" s="16" t="e">
        <f t="shared" si="579"/>
        <v>#N/A</v>
      </c>
      <c r="CF2286" s="16">
        <f t="shared" si="580"/>
        <v>99</v>
      </c>
      <c r="CG2286" s="16">
        <f t="shared" si="581"/>
        <v>0</v>
      </c>
      <c r="CH2286" s="16">
        <f t="shared" si="577"/>
        <v>0</v>
      </c>
      <c r="CJ2286" s="16" t="e">
        <f t="shared" si="582"/>
        <v>#N/A</v>
      </c>
      <c r="CK2286" s="16" t="str">
        <f t="shared" si="583"/>
        <v/>
      </c>
    </row>
    <row r="2287" spans="73:89" ht="12" customHeight="1">
      <c r="BU2287" s="16">
        <f t="shared" si="584"/>
        <v>0</v>
      </c>
      <c r="BV2287" s="16">
        <f>IF($BY$12=1,NORMDIST(BY2287,$Y$6,$Y$8,TRUE),IF($BY$12=2,IF(BY2287&lt;=$BX$31,0,IF(BY2287&gt;=$BX$32,1,(BY2287-$BX$31)*$BX$33)),SUM($BU$42:BU2287)/$BV$40))</f>
        <v>1</v>
      </c>
      <c r="BW2287" s="16">
        <f t="shared" si="575"/>
        <v>1.3201612501368467E-16</v>
      </c>
      <c r="BY2287" s="16">
        <f t="shared" si="576"/>
        <v>224.49999999999153</v>
      </c>
      <c r="BZ2287" s="16">
        <f t="shared" si="578"/>
        <v>5.8804510028369553E-19</v>
      </c>
      <c r="CA2287" s="16">
        <f t="shared" si="585"/>
        <v>-999</v>
      </c>
      <c r="CE2287" s="16" t="e">
        <f t="shared" si="579"/>
        <v>#N/A</v>
      </c>
      <c r="CF2287" s="16">
        <f t="shared" si="580"/>
        <v>99</v>
      </c>
      <c r="CG2287" s="16">
        <f t="shared" si="581"/>
        <v>0</v>
      </c>
      <c r="CH2287" s="16">
        <f t="shared" si="577"/>
        <v>0</v>
      </c>
      <c r="CJ2287" s="16" t="e">
        <f t="shared" si="582"/>
        <v>#N/A</v>
      </c>
      <c r="CK2287" s="16" t="str">
        <f t="shared" si="583"/>
        <v/>
      </c>
    </row>
    <row r="2288" spans="73:89" ht="12" customHeight="1">
      <c r="BU2288" s="16">
        <f t="shared" si="584"/>
        <v>0</v>
      </c>
      <c r="BV2288" s="16">
        <f>IF($BY$12=1,NORMDIST(BY2288,$Y$6,$Y$8,TRUE),IF($BY$12=2,IF(BY2288&lt;=$BX$31,0,IF(BY2288&gt;=$BX$32,1,(BY2288-$BX$31)*$BX$33)),SUM($BU$42:BU2288)/$BV$40))</f>
        <v>1</v>
      </c>
      <c r="BW2288" s="16">
        <f t="shared" si="575"/>
        <v>1.2643545103549129E-16</v>
      </c>
      <c r="BY2288" s="16">
        <f t="shared" si="576"/>
        <v>224.59999999999152</v>
      </c>
      <c r="BZ2288" s="16">
        <f t="shared" si="578"/>
        <v>5.6293611324797894E-19</v>
      </c>
      <c r="CA2288" s="16">
        <f t="shared" si="585"/>
        <v>-999</v>
      </c>
      <c r="CE2288" s="16" t="e">
        <f t="shared" si="579"/>
        <v>#N/A</v>
      </c>
      <c r="CF2288" s="16">
        <f t="shared" si="580"/>
        <v>99</v>
      </c>
      <c r="CG2288" s="16">
        <f t="shared" si="581"/>
        <v>0</v>
      </c>
      <c r="CH2288" s="16">
        <f t="shared" si="577"/>
        <v>0</v>
      </c>
      <c r="CJ2288" s="16" t="e">
        <f t="shared" si="582"/>
        <v>#N/A</v>
      </c>
      <c r="CK2288" s="16" t="str">
        <f t="shared" si="583"/>
        <v/>
      </c>
    </row>
    <row r="2289" spans="73:89" ht="12" customHeight="1">
      <c r="BU2289" s="16">
        <f t="shared" si="584"/>
        <v>0</v>
      </c>
      <c r="BV2289" s="16">
        <f>IF($BY$12=1,NORMDIST(BY2289,$Y$6,$Y$8,TRUE),IF($BY$12=2,IF(BY2289&lt;=$BX$31,0,IF(BY2289&gt;=$BX$32,1,(BY2289-$BX$31)*$BX$33)),SUM($BU$42:BU2289)/$BV$40))</f>
        <v>1</v>
      </c>
      <c r="BW2289" s="16">
        <f t="shared" si="575"/>
        <v>1.2108763580898321E-16</v>
      </c>
      <c r="BY2289" s="16">
        <f t="shared" si="576"/>
        <v>224.69999999999152</v>
      </c>
      <c r="BZ2289" s="16">
        <f t="shared" si="578"/>
        <v>5.3888578464169016E-19</v>
      </c>
      <c r="CA2289" s="16">
        <f t="shared" si="585"/>
        <v>-999</v>
      </c>
      <c r="CE2289" s="16" t="e">
        <f t="shared" si="579"/>
        <v>#N/A</v>
      </c>
      <c r="CF2289" s="16">
        <f t="shared" si="580"/>
        <v>99</v>
      </c>
      <c r="CG2289" s="16">
        <f t="shared" si="581"/>
        <v>0</v>
      </c>
      <c r="CH2289" s="16">
        <f t="shared" si="577"/>
        <v>0</v>
      </c>
      <c r="CJ2289" s="16" t="e">
        <f t="shared" si="582"/>
        <v>#N/A</v>
      </c>
      <c r="CK2289" s="16" t="str">
        <f t="shared" si="583"/>
        <v/>
      </c>
    </row>
    <row r="2290" spans="73:89" ht="12" customHeight="1">
      <c r="BU2290" s="16">
        <f t="shared" si="584"/>
        <v>0</v>
      </c>
      <c r="BV2290" s="16">
        <f>IF($BY$12=1,NORMDIST(BY2290,$Y$6,$Y$8,TRUE),IF($BY$12=2,IF(BY2290&lt;=$BX$31,0,IF(BY2290&gt;=$BX$32,1,(BY2290-$BX$31)*$BX$33)),SUM($BU$42:BU2290)/$BV$40))</f>
        <v>1</v>
      </c>
      <c r="BW2290" s="16">
        <f t="shared" si="575"/>
        <v>1.1596309398208524E-16</v>
      </c>
      <c r="BY2290" s="16">
        <f t="shared" si="576"/>
        <v>224.79999999999151</v>
      </c>
      <c r="BZ2290" s="16">
        <f t="shared" si="578"/>
        <v>5.1585006219790759E-19</v>
      </c>
      <c r="CA2290" s="16">
        <f t="shared" si="585"/>
        <v>-999</v>
      </c>
      <c r="CE2290" s="16" t="e">
        <f t="shared" si="579"/>
        <v>#N/A</v>
      </c>
      <c r="CF2290" s="16">
        <f t="shared" si="580"/>
        <v>99</v>
      </c>
      <c r="CG2290" s="16">
        <f t="shared" si="581"/>
        <v>0</v>
      </c>
      <c r="CH2290" s="16">
        <f t="shared" si="577"/>
        <v>0</v>
      </c>
      <c r="CJ2290" s="16" t="e">
        <f t="shared" si="582"/>
        <v>#N/A</v>
      </c>
      <c r="CK2290" s="16" t="str">
        <f t="shared" si="583"/>
        <v/>
      </c>
    </row>
    <row r="2291" spans="73:89" ht="12" customHeight="1">
      <c r="BU2291" s="16">
        <f t="shared" si="584"/>
        <v>0</v>
      </c>
      <c r="BV2291" s="16">
        <f>IF($BY$12=1,NORMDIST(BY2291,$Y$6,$Y$8,TRUE),IF($BY$12=2,IF(BY2291&lt;=$BX$31,0,IF(BY2291&gt;=$BX$32,1,(BY2291-$BX$31)*$BX$33)),SUM($BU$42:BU2291)/$BV$40))</f>
        <v>1</v>
      </c>
      <c r="BW2291" s="16">
        <f t="shared" si="575"/>
        <v>1.1105262922456876E-16</v>
      </c>
      <c r="BY2291" s="16">
        <f t="shared" si="576"/>
        <v>224.89999999999151</v>
      </c>
      <c r="BZ2291" s="16">
        <f t="shared" si="578"/>
        <v>4.9378670175443727E-19</v>
      </c>
      <c r="CA2291" s="16">
        <f t="shared" si="585"/>
        <v>-999</v>
      </c>
      <c r="CE2291" s="16" t="e">
        <f t="shared" si="579"/>
        <v>#N/A</v>
      </c>
      <c r="CF2291" s="16">
        <f t="shared" si="580"/>
        <v>99</v>
      </c>
      <c r="CG2291" s="16">
        <f t="shared" si="581"/>
        <v>0</v>
      </c>
      <c r="CH2291" s="16">
        <f t="shared" si="577"/>
        <v>0</v>
      </c>
      <c r="CJ2291" s="16" t="e">
        <f t="shared" si="582"/>
        <v>#N/A</v>
      </c>
      <c r="CK2291" s="16" t="str">
        <f t="shared" si="583"/>
        <v/>
      </c>
    </row>
    <row r="2292" spans="73:89" ht="12" customHeight="1">
      <c r="BU2292" s="16">
        <f t="shared" si="584"/>
        <v>0</v>
      </c>
      <c r="BV2292" s="16">
        <f>IF($BY$12=1,NORMDIST(BY2292,$Y$6,$Y$8,TRUE),IF($BY$12=2,IF(BY2292&lt;=$BX$31,0,IF(BY2292&gt;=$BX$32,1,(BY2292-$BX$31)*$BX$33)),SUM($BU$42:BU2292)/$BV$40))</f>
        <v>1</v>
      </c>
      <c r="BW2292" s="16">
        <f t="shared" si="575"/>
        <v>1.0634741867179905E-16</v>
      </c>
      <c r="BY2292" s="16">
        <f t="shared" si="576"/>
        <v>224.9999999999915</v>
      </c>
      <c r="BZ2292" s="16">
        <f t="shared" si="578"/>
        <v>4.7265519409690249E-19</v>
      </c>
      <c r="CA2292" s="16">
        <f t="shared" si="585"/>
        <v>-999</v>
      </c>
      <c r="CE2292" s="16" t="e">
        <f t="shared" si="579"/>
        <v>#N/A</v>
      </c>
      <c r="CF2292" s="16">
        <f t="shared" si="580"/>
        <v>99</v>
      </c>
      <c r="CG2292" s="16">
        <f t="shared" si="581"/>
        <v>0</v>
      </c>
      <c r="CH2292" s="16">
        <f t="shared" si="577"/>
        <v>0</v>
      </c>
      <c r="CJ2292" s="16" t="e">
        <f t="shared" si="582"/>
        <v>#N/A</v>
      </c>
      <c r="CK2292" s="16" t="str">
        <f t="shared" si="583"/>
        <v/>
      </c>
    </row>
    <row r="2293" spans="73:89" ht="12" customHeight="1">
      <c r="BU2293" s="16">
        <f t="shared" si="584"/>
        <v>0</v>
      </c>
      <c r="BV2293" s="16">
        <f>IF($BY$12=1,NORMDIST(BY2293,$Y$6,$Y$8,TRUE),IF($BY$12=2,IF(BY2293&lt;=$BX$31,0,IF(BY2293&gt;=$BX$32,1,(BY2293-$BX$31)*$BX$33)),SUM($BU$42:BU2293)/$BV$40))</f>
        <v>1</v>
      </c>
      <c r="BW2293" s="16">
        <f t="shared" si="575"/>
        <v>1.0183899798094204E-16</v>
      </c>
      <c r="BY2293" s="16">
        <f t="shared" si="576"/>
        <v>225.0999999999915</v>
      </c>
      <c r="BZ2293" s="16">
        <f t="shared" si="578"/>
        <v>4.5241669471766276E-19</v>
      </c>
      <c r="CA2293" s="16">
        <f t="shared" si="585"/>
        <v>-999</v>
      </c>
      <c r="CE2293" s="16" t="e">
        <f t="shared" si="579"/>
        <v>#N/A</v>
      </c>
      <c r="CF2293" s="16">
        <f t="shared" si="580"/>
        <v>99</v>
      </c>
      <c r="CG2293" s="16">
        <f t="shared" si="581"/>
        <v>0</v>
      </c>
      <c r="CH2293" s="16">
        <f t="shared" si="577"/>
        <v>0</v>
      </c>
      <c r="CJ2293" s="16" t="e">
        <f t="shared" si="582"/>
        <v>#N/A</v>
      </c>
      <c r="CK2293" s="16" t="str">
        <f t="shared" si="583"/>
        <v/>
      </c>
    </row>
    <row r="2294" spans="73:89" ht="12" customHeight="1">
      <c r="BU2294" s="16">
        <f t="shared" si="584"/>
        <v>0</v>
      </c>
      <c r="BV2294" s="16">
        <f>IF($BY$12=1,NORMDIST(BY2294,$Y$6,$Y$8,TRUE),IF($BY$12=2,IF(BY2294&lt;=$BX$31,0,IF(BY2294&gt;=$BX$32,1,(BY2294-$BX$31)*$BX$33)),SUM($BU$42:BU2294)/$BV$40))</f>
        <v>1</v>
      </c>
      <c r="BW2294" s="16">
        <f t="shared" si="575"/>
        <v>9.751924697593302E-17</v>
      </c>
      <c r="BY2294" s="16">
        <f t="shared" si="576"/>
        <v>225.19999999999149</v>
      </c>
      <c r="BZ2294" s="16">
        <f t="shared" si="578"/>
        <v>4.3303395637627312E-19</v>
      </c>
      <c r="CA2294" s="16">
        <f t="shared" si="585"/>
        <v>-999</v>
      </c>
      <c r="CE2294" s="16" t="e">
        <f t="shared" si="579"/>
        <v>#N/A</v>
      </c>
      <c r="CF2294" s="16">
        <f t="shared" si="580"/>
        <v>99</v>
      </c>
      <c r="CG2294" s="16">
        <f t="shared" si="581"/>
        <v>0</v>
      </c>
      <c r="CH2294" s="16">
        <f t="shared" si="577"/>
        <v>0</v>
      </c>
      <c r="CJ2294" s="16" t="e">
        <f t="shared" si="582"/>
        <v>#N/A</v>
      </c>
      <c r="CK2294" s="16" t="str">
        <f t="shared" si="583"/>
        <v/>
      </c>
    </row>
    <row r="2295" spans="73:89" ht="12" customHeight="1">
      <c r="BU2295" s="16">
        <f t="shared" si="584"/>
        <v>0</v>
      </c>
      <c r="BV2295" s="16">
        <f>IF($BY$12=1,NORMDIST(BY2295,$Y$6,$Y$8,TRUE),IF($BY$12=2,IF(BY2295&lt;=$BX$31,0,IF(BY2295&gt;=$BX$32,1,(BY2295-$BX$31)*$BX$33)),SUM($BU$42:BU2295)/$BV$40))</f>
        <v>1</v>
      </c>
      <c r="BW2295" s="16">
        <f t="shared" si="575"/>
        <v>9.3380375858362652E-17</v>
      </c>
      <c r="BY2295" s="16">
        <f t="shared" si="576"/>
        <v>225.29999999999148</v>
      </c>
      <c r="BZ2295" s="16">
        <f t="shared" si="578"/>
        <v>4.1447126435138121E-19</v>
      </c>
      <c r="CA2295" s="16">
        <f t="shared" si="585"/>
        <v>-999</v>
      </c>
      <c r="CE2295" s="16" t="e">
        <f t="shared" si="579"/>
        <v>#N/A</v>
      </c>
      <c r="CF2295" s="16">
        <f t="shared" si="580"/>
        <v>99</v>
      </c>
      <c r="CG2295" s="16">
        <f t="shared" si="581"/>
        <v>0</v>
      </c>
      <c r="CH2295" s="16">
        <f t="shared" si="577"/>
        <v>0</v>
      </c>
      <c r="CJ2295" s="16" t="e">
        <f t="shared" si="582"/>
        <v>#N/A</v>
      </c>
      <c r="CK2295" s="16" t="str">
        <f t="shared" si="583"/>
        <v/>
      </c>
    </row>
    <row r="2296" spans="73:89" ht="12" customHeight="1">
      <c r="BU2296" s="16">
        <f t="shared" si="584"/>
        <v>0</v>
      </c>
      <c r="BV2296" s="16">
        <f>IF($BY$12=1,NORMDIST(BY2296,$Y$6,$Y$8,TRUE),IF($BY$12=2,IF(BY2296&lt;=$BX$31,0,IF(BY2296&gt;=$BX$32,1,(BY2296-$BX$31)*$BX$33)),SUM($BU$42:BU2296)/$BV$40))</f>
        <v>1</v>
      </c>
      <c r="BW2296" s="16">
        <f t="shared" si="575"/>
        <v>8.9414911962350677E-17</v>
      </c>
      <c r="BY2296" s="16">
        <f t="shared" si="576"/>
        <v>225.39999999999148</v>
      </c>
      <c r="BZ2296" s="16">
        <f t="shared" si="578"/>
        <v>3.9669437427841195E-19</v>
      </c>
      <c r="CA2296" s="16">
        <f t="shared" si="585"/>
        <v>-999</v>
      </c>
      <c r="CE2296" s="16" t="e">
        <f t="shared" si="579"/>
        <v>#N/A</v>
      </c>
      <c r="CF2296" s="16">
        <f t="shared" si="580"/>
        <v>99</v>
      </c>
      <c r="CG2296" s="16">
        <f t="shared" si="581"/>
        <v>0</v>
      </c>
      <c r="CH2296" s="16">
        <f t="shared" si="577"/>
        <v>0</v>
      </c>
      <c r="CJ2296" s="16" t="e">
        <f t="shared" si="582"/>
        <v>#N/A</v>
      </c>
      <c r="CK2296" s="16" t="str">
        <f t="shared" si="583"/>
        <v/>
      </c>
    </row>
    <row r="2297" spans="73:89" ht="12" customHeight="1">
      <c r="BU2297" s="16">
        <f t="shared" si="584"/>
        <v>0</v>
      </c>
      <c r="BV2297" s="16">
        <f>IF($BY$12=1,NORMDIST(BY2297,$Y$6,$Y$8,TRUE),IF($BY$12=2,IF(BY2297&lt;=$BX$31,0,IF(BY2297&gt;=$BX$32,1,(BY2297-$BX$31)*$BX$33)),SUM($BU$42:BU2297)/$BV$40))</f>
        <v>1</v>
      </c>
      <c r="BW2297" s="16">
        <f t="shared" si="575"/>
        <v>8.5615687032281447E-17</v>
      </c>
      <c r="BY2297" s="16">
        <f t="shared" si="576"/>
        <v>225.49999999999147</v>
      </c>
      <c r="BZ2297" s="16">
        <f t="shared" si="578"/>
        <v>3.7967045247132897E-19</v>
      </c>
      <c r="CA2297" s="16">
        <f t="shared" si="585"/>
        <v>-999</v>
      </c>
      <c r="CE2297" s="16" t="e">
        <f t="shared" si="579"/>
        <v>#N/A</v>
      </c>
      <c r="CF2297" s="16">
        <f t="shared" si="580"/>
        <v>99</v>
      </c>
      <c r="CG2297" s="16">
        <f t="shared" si="581"/>
        <v>0</v>
      </c>
      <c r="CH2297" s="16">
        <f t="shared" si="577"/>
        <v>0</v>
      </c>
      <c r="CJ2297" s="16" t="e">
        <f t="shared" si="582"/>
        <v>#N/A</v>
      </c>
      <c r="CK2297" s="16" t="str">
        <f t="shared" si="583"/>
        <v/>
      </c>
    </row>
    <row r="2298" spans="73:89" ht="12" customHeight="1">
      <c r="BU2298" s="16">
        <f t="shared" si="584"/>
        <v>0</v>
      </c>
      <c r="BV2298" s="16">
        <f>IF($BY$12=1,NORMDIST(BY2298,$Y$6,$Y$8,TRUE),IF($BY$12=2,IF(BY2298&lt;=$BX$31,0,IF(BY2298&gt;=$BX$32,1,(BY2298-$BX$31)*$BX$33)),SUM($BU$42:BU2298)/$BV$40))</f>
        <v>1</v>
      </c>
      <c r="BW2298" s="16">
        <f t="shared" si="575"/>
        <v>8.1975825003097625E-17</v>
      </c>
      <c r="BY2298" s="16">
        <f t="shared" si="576"/>
        <v>225.59999999999147</v>
      </c>
      <c r="BZ2298" s="16">
        <f t="shared" si="578"/>
        <v>3.6336801863076561E-19</v>
      </c>
      <c r="CA2298" s="16">
        <f t="shared" si="585"/>
        <v>-999</v>
      </c>
      <c r="CE2298" s="16" t="e">
        <f t="shared" si="579"/>
        <v>#N/A</v>
      </c>
      <c r="CF2298" s="16">
        <f t="shared" si="580"/>
        <v>99</v>
      </c>
      <c r="CG2298" s="16">
        <f t="shared" si="581"/>
        <v>0</v>
      </c>
      <c r="CH2298" s="16">
        <f t="shared" si="577"/>
        <v>0</v>
      </c>
      <c r="CJ2298" s="16" t="e">
        <f t="shared" si="582"/>
        <v>#N/A</v>
      </c>
      <c r="CK2298" s="16" t="str">
        <f t="shared" si="583"/>
        <v/>
      </c>
    </row>
    <row r="2299" spans="73:89" ht="12" customHeight="1">
      <c r="BU2299" s="16">
        <f t="shared" si="584"/>
        <v>0</v>
      </c>
      <c r="BV2299" s="16">
        <f>IF($BY$12=1,NORMDIST(BY2299,$Y$6,$Y$8,TRUE),IF($BY$12=2,IF(BY2299&lt;=$BX$31,0,IF(BY2299&gt;=$BX$32,1,(BY2299-$BX$31)*$BX$33)),SUM($BU$42:BU2299)/$BV$40))</f>
        <v>1</v>
      </c>
      <c r="BW2299" s="16">
        <f t="shared" ref="BW2299:BW2362" si="586">BY2299*BZ2299</f>
        <v>7.8488730263619332E-17</v>
      </c>
      <c r="BY2299" s="16">
        <f t="shared" ref="BY2299:BY2362" si="587">BY2298+$BZ$1</f>
        <v>225.69999999999146</v>
      </c>
      <c r="BZ2299" s="16">
        <f t="shared" si="578"/>
        <v>3.4775689084458261E-19</v>
      </c>
      <c r="CA2299" s="16">
        <f t="shared" si="585"/>
        <v>-999</v>
      </c>
      <c r="CE2299" s="16" t="e">
        <f t="shared" si="579"/>
        <v>#N/A</v>
      </c>
      <c r="CF2299" s="16">
        <f t="shared" si="580"/>
        <v>99</v>
      </c>
      <c r="CG2299" s="16">
        <f t="shared" si="581"/>
        <v>0</v>
      </c>
      <c r="CH2299" s="16">
        <f t="shared" si="577"/>
        <v>0</v>
      </c>
      <c r="CJ2299" s="16" t="e">
        <f t="shared" si="582"/>
        <v>#N/A</v>
      </c>
      <c r="CK2299" s="16" t="str">
        <f t="shared" si="583"/>
        <v/>
      </c>
    </row>
    <row r="2300" spans="73:89" ht="12" customHeight="1">
      <c r="BU2300" s="16">
        <f t="shared" si="584"/>
        <v>0</v>
      </c>
      <c r="BV2300" s="16">
        <f>IF($BY$12=1,NORMDIST(BY2300,$Y$6,$Y$8,TRUE),IF($BY$12=2,IF(BY2300&lt;=$BX$31,0,IF(BY2300&gt;=$BX$32,1,(BY2300-$BX$31)*$BX$33)),SUM($BU$42:BU2300)/$BV$40))</f>
        <v>1</v>
      </c>
      <c r="BW2300" s="16">
        <f t="shared" si="586"/>
        <v>7.514807638410236E-17</v>
      </c>
      <c r="BY2300" s="16">
        <f t="shared" si="587"/>
        <v>225.79999999999146</v>
      </c>
      <c r="BZ2300" s="16">
        <f t="shared" si="578"/>
        <v>3.3280813279054561E-19</v>
      </c>
      <c r="CA2300" s="16">
        <f t="shared" si="585"/>
        <v>-999</v>
      </c>
      <c r="CE2300" s="16" t="e">
        <f t="shared" si="579"/>
        <v>#N/A</v>
      </c>
      <c r="CF2300" s="16">
        <f t="shared" si="580"/>
        <v>99</v>
      </c>
      <c r="CG2300" s="16">
        <f t="shared" si="581"/>
        <v>0</v>
      </c>
      <c r="CH2300" s="16">
        <f t="shared" si="577"/>
        <v>0</v>
      </c>
      <c r="CJ2300" s="16" t="e">
        <f t="shared" si="582"/>
        <v>#N/A</v>
      </c>
      <c r="CK2300" s="16" t="str">
        <f t="shared" si="583"/>
        <v/>
      </c>
    </row>
    <row r="2301" spans="73:89" ht="12" customHeight="1">
      <c r="BU2301" s="16">
        <f t="shared" si="584"/>
        <v>0</v>
      </c>
      <c r="BV2301" s="16">
        <f>IF($BY$12=1,NORMDIST(BY2301,$Y$6,$Y$8,TRUE),IF($BY$12=2,IF(BY2301&lt;=$BX$31,0,IF(BY2301&gt;=$BX$32,1,(BY2301-$BX$31)*$BX$33)),SUM($BU$42:BU2301)/$BV$40))</f>
        <v>1</v>
      </c>
      <c r="BW2301" s="16">
        <f t="shared" si="586"/>
        <v>7.1947795289964616E-17</v>
      </c>
      <c r="BY2301" s="16">
        <f t="shared" si="587"/>
        <v>225.89999999999145</v>
      </c>
      <c r="BZ2301" s="16">
        <f t="shared" si="578"/>
        <v>3.184940030543043E-19</v>
      </c>
      <c r="CA2301" s="16">
        <f t="shared" si="585"/>
        <v>-999</v>
      </c>
      <c r="CE2301" s="16" t="e">
        <f t="shared" si="579"/>
        <v>#N/A</v>
      </c>
      <c r="CF2301" s="16">
        <f t="shared" si="580"/>
        <v>99</v>
      </c>
      <c r="CG2301" s="16">
        <f t="shared" si="581"/>
        <v>0</v>
      </c>
      <c r="CH2301" s="16">
        <f t="shared" si="577"/>
        <v>0</v>
      </c>
      <c r="CJ2301" s="16" t="e">
        <f t="shared" si="582"/>
        <v>#N/A</v>
      </c>
      <c r="CK2301" s="16" t="str">
        <f t="shared" si="583"/>
        <v/>
      </c>
    </row>
    <row r="2302" spans="73:89" ht="12" customHeight="1">
      <c r="BU2302" s="16">
        <f t="shared" si="584"/>
        <v>0</v>
      </c>
      <c r="BV2302" s="16">
        <f>IF($BY$12=1,NORMDIST(BY2302,$Y$6,$Y$8,TRUE),IF($BY$12=2,IF(BY2302&lt;=$BX$31,0,IF(BY2302&gt;=$BX$32,1,(BY2302-$BX$31)*$BX$33)),SUM($BU$42:BU2302)/$BV$40))</f>
        <v>1</v>
      </c>
      <c r="BW2302" s="16">
        <f t="shared" si="586"/>
        <v>6.8882066864312593E-17</v>
      </c>
      <c r="BY2302" s="16">
        <f t="shared" si="587"/>
        <v>225.99999999999145</v>
      </c>
      <c r="BZ2302" s="16">
        <f t="shared" si="578"/>
        <v>3.0478790647927083E-19</v>
      </c>
      <c r="CA2302" s="16">
        <f t="shared" si="585"/>
        <v>-999</v>
      </c>
      <c r="CE2302" s="16" t="e">
        <f t="shared" si="579"/>
        <v>#N/A</v>
      </c>
      <c r="CF2302" s="16">
        <f t="shared" si="580"/>
        <v>99</v>
      </c>
      <c r="CG2302" s="16">
        <f t="shared" si="581"/>
        <v>0</v>
      </c>
      <c r="CH2302" s="16">
        <f t="shared" si="577"/>
        <v>0</v>
      </c>
      <c r="CJ2302" s="16" t="e">
        <f t="shared" si="582"/>
        <v>#N/A</v>
      </c>
      <c r="CK2302" s="16" t="str">
        <f t="shared" si="583"/>
        <v/>
      </c>
    </row>
    <row r="2303" spans="73:89" ht="12" customHeight="1">
      <c r="BU2303" s="16">
        <f t="shared" si="584"/>
        <v>0</v>
      </c>
      <c r="BV2303" s="16">
        <f>IF($BY$12=1,NORMDIST(BY2303,$Y$6,$Y$8,TRUE),IF($BY$12=2,IF(BY2303&lt;=$BX$31,0,IF(BY2303&gt;=$BX$32,1,(BY2303-$BX$31)*$BX$33)),SUM($BU$42:BU2303)/$BV$40))</f>
        <v>1</v>
      </c>
      <c r="BW2303" s="16">
        <f t="shared" si="586"/>
        <v>6.5945308962542866E-17</v>
      </c>
      <c r="BY2303" s="16">
        <f t="shared" si="587"/>
        <v>226.09999999999144</v>
      </c>
      <c r="BZ2303" s="16">
        <f t="shared" si="578"/>
        <v>2.9166434746813519E-19</v>
      </c>
      <c r="CA2303" s="16">
        <f t="shared" si="585"/>
        <v>-999</v>
      </c>
      <c r="CE2303" s="16" t="e">
        <f t="shared" si="579"/>
        <v>#N/A</v>
      </c>
      <c r="CF2303" s="16">
        <f t="shared" si="580"/>
        <v>99</v>
      </c>
      <c r="CG2303" s="16">
        <f t="shared" si="581"/>
        <v>0</v>
      </c>
      <c r="CH2303" s="16">
        <f t="shared" si="577"/>
        <v>0</v>
      </c>
      <c r="CJ2303" s="16" t="e">
        <f t="shared" si="582"/>
        <v>#N/A</v>
      </c>
      <c r="CK2303" s="16" t="str">
        <f t="shared" si="583"/>
        <v/>
      </c>
    </row>
    <row r="2304" spans="73:89" ht="12" customHeight="1">
      <c r="BU2304" s="16">
        <f t="shared" si="584"/>
        <v>0</v>
      </c>
      <c r="BV2304" s="16">
        <f>IF($BY$12=1,NORMDIST(BY2304,$Y$6,$Y$8,TRUE),IF($BY$12=2,IF(BY2304&lt;=$BX$31,0,IF(BY2304&gt;=$BX$32,1,(BY2304-$BX$31)*$BX$33)),SUM($BU$42:BU2304)/$BV$40))</f>
        <v>1</v>
      </c>
      <c r="BW2304" s="16">
        <f t="shared" si="586"/>
        <v>6.3132167822960684E-17</v>
      </c>
      <c r="BY2304" s="16">
        <f t="shared" si="587"/>
        <v>226.19999999999143</v>
      </c>
      <c r="BZ2304" s="16">
        <f t="shared" si="578"/>
        <v>2.7909888515898795E-19</v>
      </c>
      <c r="CA2304" s="16">
        <f t="shared" si="585"/>
        <v>-999</v>
      </c>
      <c r="CE2304" s="16" t="e">
        <f t="shared" si="579"/>
        <v>#N/A</v>
      </c>
      <c r="CF2304" s="16">
        <f t="shared" si="580"/>
        <v>99</v>
      </c>
      <c r="CG2304" s="16">
        <f t="shared" si="581"/>
        <v>0</v>
      </c>
      <c r="CH2304" s="16">
        <f t="shared" si="577"/>
        <v>0</v>
      </c>
      <c r="CJ2304" s="16" t="e">
        <f t="shared" si="582"/>
        <v>#N/A</v>
      </c>
      <c r="CK2304" s="16" t="str">
        <f t="shared" si="583"/>
        <v/>
      </c>
    </row>
    <row r="2305" spans="73:89" ht="12" customHeight="1">
      <c r="BU2305" s="16">
        <f t="shared" si="584"/>
        <v>0</v>
      </c>
      <c r="BV2305" s="16">
        <f>IF($BY$12=1,NORMDIST(BY2305,$Y$6,$Y$8,TRUE),IF($BY$12=2,IF(BY2305&lt;=$BX$31,0,IF(BY2305&gt;=$BX$32,1,(BY2305-$BX$31)*$BX$33)),SUM($BU$42:BU2305)/$BV$40))</f>
        <v>1</v>
      </c>
      <c r="BW2305" s="16">
        <f t="shared" si="586"/>
        <v>6.0437508857954857E-17</v>
      </c>
      <c r="BY2305" s="16">
        <f t="shared" si="587"/>
        <v>226.29999999999143</v>
      </c>
      <c r="BZ2305" s="16">
        <f t="shared" si="578"/>
        <v>2.6706809040193174E-19</v>
      </c>
      <c r="CA2305" s="16">
        <f t="shared" si="585"/>
        <v>-999</v>
      </c>
      <c r="CE2305" s="16" t="e">
        <f t="shared" si="579"/>
        <v>#N/A</v>
      </c>
      <c r="CF2305" s="16">
        <f t="shared" si="580"/>
        <v>99</v>
      </c>
      <c r="CG2305" s="16">
        <f t="shared" si="581"/>
        <v>0</v>
      </c>
      <c r="CH2305" s="16">
        <f t="shared" si="577"/>
        <v>0</v>
      </c>
      <c r="CJ2305" s="16" t="e">
        <f t="shared" si="582"/>
        <v>#N/A</v>
      </c>
      <c r="CK2305" s="16" t="str">
        <f t="shared" si="583"/>
        <v/>
      </c>
    </row>
    <row r="2306" spans="73:89" ht="12" customHeight="1">
      <c r="BU2306" s="16">
        <f t="shared" si="584"/>
        <v>0</v>
      </c>
      <c r="BV2306" s="16">
        <f>IF($BY$12=1,NORMDIST(BY2306,$Y$6,$Y$8,TRUE),IF($BY$12=2,IF(BY2306&lt;=$BX$31,0,IF(BY2306&gt;=$BX$32,1,(BY2306-$BX$31)*$BX$33)),SUM($BU$42:BU2306)/$BV$40))</f>
        <v>1</v>
      </c>
      <c r="BW2306" s="16">
        <f t="shared" si="586"/>
        <v>5.7856407810863864E-17</v>
      </c>
      <c r="BY2306" s="16">
        <f t="shared" si="587"/>
        <v>226.39999999999142</v>
      </c>
      <c r="BZ2306" s="16">
        <f t="shared" si="578"/>
        <v>2.5554950446495606E-19</v>
      </c>
      <c r="CA2306" s="16">
        <f t="shared" si="585"/>
        <v>-999</v>
      </c>
      <c r="CE2306" s="16" t="e">
        <f t="shared" si="579"/>
        <v>#N/A</v>
      </c>
      <c r="CF2306" s="16">
        <f t="shared" si="580"/>
        <v>99</v>
      </c>
      <c r="CG2306" s="16">
        <f t="shared" si="581"/>
        <v>0</v>
      </c>
      <c r="CH2306" s="16">
        <f t="shared" si="577"/>
        <v>0</v>
      </c>
      <c r="CJ2306" s="16" t="e">
        <f t="shared" si="582"/>
        <v>#N/A</v>
      </c>
      <c r="CK2306" s="16" t="str">
        <f t="shared" si="583"/>
        <v/>
      </c>
    </row>
    <row r="2307" spans="73:89" ht="12" customHeight="1">
      <c r="BU2307" s="16">
        <f t="shared" si="584"/>
        <v>0</v>
      </c>
      <c r="BV2307" s="16">
        <f>IF($BY$12=1,NORMDIST(BY2307,$Y$6,$Y$8,TRUE),IF($BY$12=2,IF(BY2307&lt;=$BX$31,0,IF(BY2307&gt;=$BX$32,1,(BY2307-$BX$31)*$BX$33)),SUM($BU$42:BU2307)/$BV$40))</f>
        <v>1</v>
      </c>
      <c r="BW2307" s="16">
        <f t="shared" si="586"/>
        <v>5.5384142264247969E-17</v>
      </c>
      <c r="BY2307" s="16">
        <f t="shared" si="587"/>
        <v>226.49999999999142</v>
      </c>
      <c r="BZ2307" s="16">
        <f t="shared" si="578"/>
        <v>2.4452159940066255E-19</v>
      </c>
      <c r="CA2307" s="16">
        <f t="shared" si="585"/>
        <v>-999</v>
      </c>
      <c r="CE2307" s="16" t="e">
        <f t="shared" si="579"/>
        <v>#N/A</v>
      </c>
      <c r="CF2307" s="16">
        <f t="shared" si="580"/>
        <v>99</v>
      </c>
      <c r="CG2307" s="16">
        <f t="shared" si="581"/>
        <v>0</v>
      </c>
      <c r="CH2307" s="16">
        <f t="shared" ref="CH2307:CH2370" si="588">IF(CB2307="",0,1)</f>
        <v>0</v>
      </c>
      <c r="CJ2307" s="16" t="e">
        <f t="shared" si="582"/>
        <v>#N/A</v>
      </c>
      <c r="CK2307" s="16" t="str">
        <f t="shared" si="583"/>
        <v/>
      </c>
    </row>
    <row r="2308" spans="73:89" ht="12" customHeight="1">
      <c r="BU2308" s="16">
        <f t="shared" si="584"/>
        <v>0</v>
      </c>
      <c r="BV2308" s="16">
        <f>IF($BY$12=1,NORMDIST(BY2308,$Y$6,$Y$8,TRUE),IF($BY$12=2,IF(BY2308&lt;=$BX$31,0,IF(BY2308&gt;=$BX$32,1,(BY2308-$BX$31)*$BX$33)),SUM($BU$42:BU2308)/$BV$40))</f>
        <v>1</v>
      </c>
      <c r="BW2308" s="16">
        <f t="shared" si="586"/>
        <v>5.3016183485824947E-17</v>
      </c>
      <c r="BY2308" s="16">
        <f t="shared" si="587"/>
        <v>226.59999999999141</v>
      </c>
      <c r="BZ2308" s="16">
        <f t="shared" si="578"/>
        <v>2.3396374000806248E-19</v>
      </c>
      <c r="CA2308" s="16">
        <f t="shared" si="585"/>
        <v>-999</v>
      </c>
      <c r="CE2308" s="16" t="e">
        <f t="shared" si="579"/>
        <v>#N/A</v>
      </c>
      <c r="CF2308" s="16">
        <f t="shared" si="580"/>
        <v>99</v>
      </c>
      <c r="CG2308" s="16">
        <f t="shared" si="581"/>
        <v>0</v>
      </c>
      <c r="CH2308" s="16">
        <f t="shared" si="588"/>
        <v>0</v>
      </c>
      <c r="CJ2308" s="16" t="e">
        <f t="shared" si="582"/>
        <v>#N/A</v>
      </c>
      <c r="CK2308" s="16" t="str">
        <f t="shared" si="583"/>
        <v/>
      </c>
    </row>
    <row r="2309" spans="73:89" ht="12" customHeight="1">
      <c r="BU2309" s="16">
        <f t="shared" si="584"/>
        <v>0</v>
      </c>
      <c r="BV2309" s="16">
        <f>IF($BY$12=1,NORMDIST(BY2309,$Y$6,$Y$8,TRUE),IF($BY$12=2,IF(BY2309&lt;=$BX$31,0,IF(BY2309&gt;=$BX$32,1,(BY2309-$BX$31)*$BX$33)),SUM($BU$42:BU2309)/$BV$40))</f>
        <v>1</v>
      </c>
      <c r="BW2309" s="16">
        <f t="shared" si="586"/>
        <v>5.0748188598850101E-17</v>
      </c>
      <c r="BY2309" s="16">
        <f t="shared" si="587"/>
        <v>226.69999999999141</v>
      </c>
      <c r="BZ2309" s="16">
        <f t="shared" si="578"/>
        <v>2.2385614732621097E-19</v>
      </c>
      <c r="CA2309" s="16">
        <f t="shared" si="585"/>
        <v>-999</v>
      </c>
      <c r="CE2309" s="16" t="e">
        <f t="shared" si="579"/>
        <v>#N/A</v>
      </c>
      <c r="CF2309" s="16">
        <f t="shared" si="580"/>
        <v>99</v>
      </c>
      <c r="CG2309" s="16">
        <f t="shared" si="581"/>
        <v>0</v>
      </c>
      <c r="CH2309" s="16">
        <f t="shared" si="588"/>
        <v>0</v>
      </c>
      <c r="CJ2309" s="16" t="e">
        <f t="shared" si="582"/>
        <v>#N/A</v>
      </c>
      <c r="CK2309" s="16" t="str">
        <f t="shared" si="583"/>
        <v/>
      </c>
    </row>
    <row r="2310" spans="73:89" ht="12" customHeight="1">
      <c r="BU2310" s="16">
        <f t="shared" si="584"/>
        <v>0</v>
      </c>
      <c r="BV2310" s="16">
        <f>IF($BY$12=1,NORMDIST(BY2310,$Y$6,$Y$8,TRUE),IF($BY$12=2,IF(BY2310&lt;=$BX$31,0,IF(BY2310&gt;=$BX$32,1,(BY2310-$BX$31)*$BX$33)),SUM($BU$42:BU2310)/$BV$40))</f>
        <v>1</v>
      </c>
      <c r="BW2310" s="16">
        <f t="shared" si="586"/>
        <v>4.8575993064239227E-17</v>
      </c>
      <c r="BY2310" s="16">
        <f t="shared" si="587"/>
        <v>226.7999999999914</v>
      </c>
      <c r="BZ2310" s="16">
        <f t="shared" si="578"/>
        <v>2.1417986359894652E-19</v>
      </c>
      <c r="CA2310" s="16">
        <f t="shared" si="585"/>
        <v>-999</v>
      </c>
      <c r="CE2310" s="16" t="e">
        <f t="shared" si="579"/>
        <v>#N/A</v>
      </c>
      <c r="CF2310" s="16">
        <f t="shared" si="580"/>
        <v>99</v>
      </c>
      <c r="CG2310" s="16">
        <f t="shared" si="581"/>
        <v>0</v>
      </c>
      <c r="CH2310" s="16">
        <f t="shared" si="588"/>
        <v>0</v>
      </c>
      <c r="CJ2310" s="16" t="e">
        <f t="shared" si="582"/>
        <v>#N/A</v>
      </c>
      <c r="CK2310" s="16" t="str">
        <f t="shared" si="583"/>
        <v/>
      </c>
    </row>
    <row r="2311" spans="73:89" ht="12" customHeight="1">
      <c r="BU2311" s="16">
        <f t="shared" si="584"/>
        <v>0</v>
      </c>
      <c r="BV2311" s="16">
        <f>IF($BY$12=1,NORMDIST(BY2311,$Y$6,$Y$8,TRUE),IF($BY$12=2,IF(BY2311&lt;=$BX$31,0,IF(BY2311&gt;=$BX$32,1,(BY2311-$BX$31)*$BX$33)),SUM($BU$42:BU2311)/$BV$40))</f>
        <v>1</v>
      </c>
      <c r="BW2311" s="16">
        <f t="shared" si="586"/>
        <v>4.6495603462221878E-17</v>
      </c>
      <c r="BY2311" s="16">
        <f t="shared" si="587"/>
        <v>226.89999999999139</v>
      </c>
      <c r="BZ2311" s="16">
        <f t="shared" si="578"/>
        <v>2.0491671865237393E-19</v>
      </c>
      <c r="CA2311" s="16">
        <f t="shared" si="585"/>
        <v>-999</v>
      </c>
      <c r="CE2311" s="16" t="e">
        <f t="shared" si="579"/>
        <v>#N/A</v>
      </c>
      <c r="CF2311" s="16">
        <f t="shared" si="580"/>
        <v>99</v>
      </c>
      <c r="CG2311" s="16">
        <f t="shared" si="581"/>
        <v>0</v>
      </c>
      <c r="CH2311" s="16">
        <f t="shared" si="588"/>
        <v>0</v>
      </c>
      <c r="CJ2311" s="16" t="e">
        <f t="shared" si="582"/>
        <v>#N/A</v>
      </c>
      <c r="CK2311" s="16" t="str">
        <f t="shared" si="583"/>
        <v/>
      </c>
    </row>
    <row r="2312" spans="73:89" ht="12" customHeight="1">
      <c r="BU2312" s="16">
        <f t="shared" si="584"/>
        <v>0</v>
      </c>
      <c r="BV2312" s="16">
        <f>IF($BY$12=1,NORMDIST(BY2312,$Y$6,$Y$8,TRUE),IF($BY$12=2,IF(BY2312&lt;=$BX$31,0,IF(BY2312&gt;=$BX$32,1,(BY2312-$BX$31)*$BX$33)),SUM($BU$42:BU2312)/$BV$40))</f>
        <v>1</v>
      </c>
      <c r="BW2312" s="16">
        <f t="shared" si="586"/>
        <v>4.4503190561770821E-17</v>
      </c>
      <c r="BY2312" s="16">
        <f t="shared" si="587"/>
        <v>226.99999999999139</v>
      </c>
      <c r="BZ2312" s="16">
        <f t="shared" si="578"/>
        <v>1.9604929762895378E-19</v>
      </c>
      <c r="CA2312" s="16">
        <f t="shared" si="585"/>
        <v>-999</v>
      </c>
      <c r="CE2312" s="16" t="e">
        <f t="shared" si="579"/>
        <v>#N/A</v>
      </c>
      <c r="CF2312" s="16">
        <f t="shared" si="580"/>
        <v>99</v>
      </c>
      <c r="CG2312" s="16">
        <f t="shared" si="581"/>
        <v>0</v>
      </c>
      <c r="CH2312" s="16">
        <f t="shared" si="588"/>
        <v>0</v>
      </c>
      <c r="CJ2312" s="16" t="e">
        <f t="shared" si="582"/>
        <v>#N/A</v>
      </c>
      <c r="CK2312" s="16" t="str">
        <f t="shared" si="583"/>
        <v/>
      </c>
    </row>
    <row r="2313" spans="73:89" ht="12" customHeight="1">
      <c r="BU2313" s="16">
        <f t="shared" si="584"/>
        <v>0</v>
      </c>
      <c r="BV2313" s="16">
        <f>IF($BY$12=1,NORMDIST(BY2313,$Y$6,$Y$8,TRUE),IF($BY$12=2,IF(BY2313&lt;=$BX$31,0,IF(BY2313&gt;=$BX$32,1,(BY2313-$BX$31)*$BX$33)),SUM($BU$42:BU2313)/$BV$40))</f>
        <v>1</v>
      </c>
      <c r="BW2313" s="16">
        <f t="shared" si="586"/>
        <v>4.2595082666524435E-17</v>
      </c>
      <c r="BY2313" s="16">
        <f t="shared" si="587"/>
        <v>227.09999999999138</v>
      </c>
      <c r="BZ2313" s="16">
        <f t="shared" si="578"/>
        <v>1.8756091002433311E-19</v>
      </c>
      <c r="CA2313" s="16">
        <f t="shared" si="585"/>
        <v>-999</v>
      </c>
      <c r="CE2313" s="16" t="e">
        <f t="shared" si="579"/>
        <v>#N/A</v>
      </c>
      <c r="CF2313" s="16">
        <f t="shared" si="580"/>
        <v>99</v>
      </c>
      <c r="CG2313" s="16">
        <f t="shared" si="581"/>
        <v>0</v>
      </c>
      <c r="CH2313" s="16">
        <f t="shared" si="588"/>
        <v>0</v>
      </c>
      <c r="CJ2313" s="16" t="e">
        <f t="shared" si="582"/>
        <v>#N/A</v>
      </c>
      <c r="CK2313" s="16" t="str">
        <f t="shared" si="583"/>
        <v/>
      </c>
    </row>
    <row r="2314" spans="73:89" ht="12" customHeight="1">
      <c r="BU2314" s="16">
        <f t="shared" si="584"/>
        <v>0</v>
      </c>
      <c r="BV2314" s="16">
        <f>IF($BY$12=1,NORMDIST(BY2314,$Y$6,$Y$8,TRUE),IF($BY$12=2,IF(BY2314&lt;=$BX$31,0,IF(BY2314&gt;=$BX$32,1,(BY2314-$BX$31)*$BX$33)),SUM($BU$42:BU2314)/$BV$40))</f>
        <v>1</v>
      </c>
      <c r="BW2314" s="16">
        <f t="shared" si="586"/>
        <v>4.0767759226339702E-17</v>
      </c>
      <c r="BY2314" s="16">
        <f t="shared" si="587"/>
        <v>227.19999999999138</v>
      </c>
      <c r="BZ2314" s="16">
        <f t="shared" si="578"/>
        <v>1.7943555997509352E-19</v>
      </c>
      <c r="CA2314" s="16">
        <f t="shared" si="585"/>
        <v>-999</v>
      </c>
      <c r="CE2314" s="16" t="e">
        <f t="shared" si="579"/>
        <v>#N/A</v>
      </c>
      <c r="CF2314" s="16">
        <f t="shared" si="580"/>
        <v>99</v>
      </c>
      <c r="CG2314" s="16">
        <f t="shared" si="581"/>
        <v>0</v>
      </c>
      <c r="CH2314" s="16">
        <f t="shared" si="588"/>
        <v>0</v>
      </c>
      <c r="CJ2314" s="16" t="e">
        <f t="shared" si="582"/>
        <v>#N/A</v>
      </c>
      <c r="CK2314" s="16" t="str">
        <f t="shared" si="583"/>
        <v/>
      </c>
    </row>
    <row r="2315" spans="73:89" ht="12" customHeight="1">
      <c r="BU2315" s="16">
        <f t="shared" si="584"/>
        <v>0</v>
      </c>
      <c r="BV2315" s="16">
        <f>IF($BY$12=1,NORMDIST(BY2315,$Y$6,$Y$8,TRUE),IF($BY$12=2,IF(BY2315&lt;=$BX$31,0,IF(BY2315&gt;=$BX$32,1,(BY2315-$BX$31)*$BX$33)),SUM($BU$42:BU2315)/$BV$40))</f>
        <v>1</v>
      </c>
      <c r="BW2315" s="16">
        <f t="shared" si="586"/>
        <v>3.9017844704040494E-17</v>
      </c>
      <c r="BY2315" s="16">
        <f t="shared" si="587"/>
        <v>227.29999999999137</v>
      </c>
      <c r="BZ2315" s="16">
        <f t="shared" si="578"/>
        <v>1.7165791774765497E-19</v>
      </c>
      <c r="CA2315" s="16">
        <f t="shared" si="585"/>
        <v>-999</v>
      </c>
      <c r="CE2315" s="16" t="e">
        <f t="shared" si="579"/>
        <v>#N/A</v>
      </c>
      <c r="CF2315" s="16">
        <f t="shared" si="580"/>
        <v>99</v>
      </c>
      <c r="CG2315" s="16">
        <f t="shared" si="581"/>
        <v>0</v>
      </c>
      <c r="CH2315" s="16">
        <f t="shared" si="588"/>
        <v>0</v>
      </c>
      <c r="CJ2315" s="16" t="e">
        <f t="shared" si="582"/>
        <v>#N/A</v>
      </c>
      <c r="CK2315" s="16" t="str">
        <f t="shared" si="583"/>
        <v/>
      </c>
    </row>
    <row r="2316" spans="73:89" ht="12" customHeight="1">
      <c r="BU2316" s="16">
        <f t="shared" si="584"/>
        <v>0</v>
      </c>
      <c r="BV2316" s="16">
        <f>IF($BY$12=1,NORMDIST(BY2316,$Y$6,$Y$8,TRUE),IF($BY$12=2,IF(BY2316&lt;=$BX$31,0,IF(BY2316&gt;=$BX$32,1,(BY2316-$BX$31)*$BX$33)),SUM($BU$42:BU2316)/$BV$40))</f>
        <v>1</v>
      </c>
      <c r="BW2316" s="16">
        <f t="shared" si="586"/>
        <v>3.7342102687326723E-17</v>
      </c>
      <c r="BY2316" s="16">
        <f t="shared" si="587"/>
        <v>227.39999999999137</v>
      </c>
      <c r="BZ2316" s="16">
        <f t="shared" si="578"/>
        <v>1.6421329238051073E-19</v>
      </c>
      <c r="CA2316" s="16">
        <f t="shared" si="585"/>
        <v>-999</v>
      </c>
      <c r="CE2316" s="16" t="e">
        <f t="shared" si="579"/>
        <v>#N/A</v>
      </c>
      <c r="CF2316" s="16">
        <f t="shared" si="580"/>
        <v>99</v>
      </c>
      <c r="CG2316" s="16">
        <f t="shared" si="581"/>
        <v>0</v>
      </c>
      <c r="CH2316" s="16">
        <f t="shared" si="588"/>
        <v>0</v>
      </c>
      <c r="CJ2316" s="16" t="e">
        <f t="shared" si="582"/>
        <v>#N/A</v>
      </c>
      <c r="CK2316" s="16" t="str">
        <f t="shared" si="583"/>
        <v/>
      </c>
    </row>
    <row r="2317" spans="73:89" ht="12" customHeight="1">
      <c r="BU2317" s="16">
        <f t="shared" si="584"/>
        <v>0</v>
      </c>
      <c r="BV2317" s="16">
        <f>IF($BY$12=1,NORMDIST(BY2317,$Y$6,$Y$8,TRUE),IF($BY$12=2,IF(BY2317&lt;=$BX$31,0,IF(BY2317&gt;=$BX$32,1,(BY2317-$BX$31)*$BX$33)),SUM($BU$42:BU2317)/$BV$40))</f>
        <v>1</v>
      </c>
      <c r="BW2317" s="16">
        <f t="shared" si="586"/>
        <v>3.5737430236198621E-17</v>
      </c>
      <c r="BY2317" s="16">
        <f t="shared" si="587"/>
        <v>227.49999999999136</v>
      </c>
      <c r="BZ2317" s="16">
        <f t="shared" si="578"/>
        <v>1.5708760543384605E-19</v>
      </c>
      <c r="CA2317" s="16">
        <f t="shared" si="585"/>
        <v>-999</v>
      </c>
      <c r="CE2317" s="16" t="e">
        <f t="shared" si="579"/>
        <v>#N/A</v>
      </c>
      <c r="CF2317" s="16">
        <f t="shared" si="580"/>
        <v>99</v>
      </c>
      <c r="CG2317" s="16">
        <f t="shared" si="581"/>
        <v>0</v>
      </c>
      <c r="CH2317" s="16">
        <f t="shared" si="588"/>
        <v>0</v>
      </c>
      <c r="CJ2317" s="16" t="e">
        <f t="shared" si="582"/>
        <v>#N/A</v>
      </c>
      <c r="CK2317" s="16" t="str">
        <f t="shared" si="583"/>
        <v/>
      </c>
    </row>
    <row r="2318" spans="73:89" ht="12" customHeight="1">
      <c r="BU2318" s="16">
        <f t="shared" si="584"/>
        <v>0</v>
      </c>
      <c r="BV2318" s="16">
        <f>IF($BY$12=1,NORMDIST(BY2318,$Y$6,$Y$8,TRUE),IF($BY$12=2,IF(BY2318&lt;=$BX$31,0,IF(BY2318&gt;=$BX$32,1,(BY2318-$BX$31)*$BX$33)),SUM($BU$42:BU2318)/$BV$40))</f>
        <v>1</v>
      </c>
      <c r="BW2318" s="16">
        <f t="shared" si="586"/>
        <v>3.4200852456621692E-17</v>
      </c>
      <c r="BY2318" s="16">
        <f t="shared" si="587"/>
        <v>227.59999999999135</v>
      </c>
      <c r="BZ2318" s="16">
        <f t="shared" si="578"/>
        <v>1.5026736580238571E-19</v>
      </c>
      <c r="CA2318" s="16">
        <f t="shared" si="585"/>
        <v>-999</v>
      </c>
      <c r="CE2318" s="16" t="e">
        <f t="shared" si="579"/>
        <v>#N/A</v>
      </c>
      <c r="CF2318" s="16">
        <f t="shared" si="580"/>
        <v>99</v>
      </c>
      <c r="CG2318" s="16">
        <f t="shared" si="581"/>
        <v>0</v>
      </c>
      <c r="CH2318" s="16">
        <f t="shared" si="588"/>
        <v>0</v>
      </c>
      <c r="CJ2318" s="16" t="e">
        <f t="shared" si="582"/>
        <v>#N/A</v>
      </c>
      <c r="CK2318" s="16" t="str">
        <f t="shared" si="583"/>
        <v/>
      </c>
    </row>
    <row r="2319" spans="73:89" ht="12" customHeight="1">
      <c r="BU2319" s="16">
        <f t="shared" si="584"/>
        <v>0</v>
      </c>
      <c r="BV2319" s="16">
        <f>IF($BY$12=1,NORMDIST(BY2319,$Y$6,$Y$8,TRUE),IF($BY$12=2,IF(BY2319&lt;=$BX$31,0,IF(BY2319&gt;=$BX$32,1,(BY2319-$BX$31)*$BX$33)),SUM($BU$42:BU2319)/$BV$40))</f>
        <v>1</v>
      </c>
      <c r="BW2319" s="16">
        <f t="shared" si="586"/>
        <v>3.2729517291522858E-17</v>
      </c>
      <c r="BY2319" s="16">
        <f t="shared" si="587"/>
        <v>227.69999999999135</v>
      </c>
      <c r="BZ2319" s="16">
        <f t="shared" si="578"/>
        <v>1.437396455490738E-19</v>
      </c>
      <c r="CA2319" s="16">
        <f t="shared" si="585"/>
        <v>-999</v>
      </c>
      <c r="CE2319" s="16" t="e">
        <f t="shared" si="579"/>
        <v>#N/A</v>
      </c>
      <c r="CF2319" s="16">
        <f t="shared" si="580"/>
        <v>99</v>
      </c>
      <c r="CG2319" s="16">
        <f t="shared" si="581"/>
        <v>0</v>
      </c>
      <c r="CH2319" s="16">
        <f t="shared" si="588"/>
        <v>0</v>
      </c>
      <c r="CJ2319" s="16" t="e">
        <f t="shared" si="582"/>
        <v>#N/A</v>
      </c>
      <c r="CK2319" s="16" t="str">
        <f t="shared" si="583"/>
        <v/>
      </c>
    </row>
    <row r="2320" spans="73:89" ht="12" customHeight="1">
      <c r="BU2320" s="16">
        <f t="shared" si="584"/>
        <v>0</v>
      </c>
      <c r="BV2320" s="16">
        <f>IF($BY$12=1,NORMDIST(BY2320,$Y$6,$Y$8,TRUE),IF($BY$12=2,IF(BY2320&lt;=$BX$31,0,IF(BY2320&gt;=$BX$32,1,(BY2320-$BX$31)*$BX$33)),SUM($BU$42:BU2320)/$BV$40))</f>
        <v>1</v>
      </c>
      <c r="BW2320" s="16">
        <f t="shared" si="586"/>
        <v>3.1320690520542806E-17</v>
      </c>
      <c r="BY2320" s="16">
        <f t="shared" si="587"/>
        <v>227.79999999999134</v>
      </c>
      <c r="BZ2320" s="16">
        <f t="shared" si="578"/>
        <v>1.3749205671880595E-19</v>
      </c>
      <c r="CA2320" s="16">
        <f t="shared" si="585"/>
        <v>-999</v>
      </c>
      <c r="CE2320" s="16" t="e">
        <f t="shared" si="579"/>
        <v>#N/A</v>
      </c>
      <c r="CF2320" s="16">
        <f t="shared" si="580"/>
        <v>99</v>
      </c>
      <c r="CG2320" s="16">
        <f t="shared" si="581"/>
        <v>0</v>
      </c>
      <c r="CH2320" s="16">
        <f t="shared" si="588"/>
        <v>0</v>
      </c>
      <c r="CJ2320" s="16" t="e">
        <f t="shared" si="582"/>
        <v>#N/A</v>
      </c>
      <c r="CK2320" s="16" t="str">
        <f t="shared" si="583"/>
        <v/>
      </c>
    </row>
    <row r="2321" spans="73:89" ht="12" customHeight="1">
      <c r="BU2321" s="16">
        <f t="shared" si="584"/>
        <v>0</v>
      </c>
      <c r="BV2321" s="16">
        <f>IF($BY$12=1,NORMDIST(BY2321,$Y$6,$Y$8,TRUE),IF($BY$12=2,IF(BY2321&lt;=$BX$31,0,IF(BY2321&gt;=$BX$32,1,(BY2321-$BX$31)*$BX$33)),SUM($BU$42:BU2321)/$BV$40))</f>
        <v>1</v>
      </c>
      <c r="BW2321" s="16">
        <f t="shared" si="586"/>
        <v>2.9971750960316134E-17</v>
      </c>
      <c r="BY2321" s="16">
        <f t="shared" si="587"/>
        <v>227.89999999999134</v>
      </c>
      <c r="BZ2321" s="16">
        <f t="shared" si="578"/>
        <v>1.3151272909309904E-19</v>
      </c>
      <c r="CA2321" s="16">
        <f t="shared" si="585"/>
        <v>-999</v>
      </c>
      <c r="CE2321" s="16" t="e">
        <f t="shared" si="579"/>
        <v>#N/A</v>
      </c>
      <c r="CF2321" s="16">
        <f t="shared" si="580"/>
        <v>99</v>
      </c>
      <c r="CG2321" s="16">
        <f t="shared" si="581"/>
        <v>0</v>
      </c>
      <c r="CH2321" s="16">
        <f t="shared" si="588"/>
        <v>0</v>
      </c>
      <c r="CJ2321" s="16" t="e">
        <f t="shared" si="582"/>
        <v>#N/A</v>
      </c>
      <c r="CK2321" s="16" t="str">
        <f t="shared" si="583"/>
        <v/>
      </c>
    </row>
    <row r="2322" spans="73:89" ht="12" customHeight="1">
      <c r="BU2322" s="16">
        <f t="shared" si="584"/>
        <v>0</v>
      </c>
      <c r="BV2322" s="16">
        <f>IF($BY$12=1,NORMDIST(BY2322,$Y$6,$Y$8,TRUE),IF($BY$12=2,IF(BY2322&lt;=$BX$31,0,IF(BY2322&gt;=$BX$32,1,(BY2322-$BX$31)*$BX$33)),SUM($BU$42:BU2322)/$BV$40))</f>
        <v>1</v>
      </c>
      <c r="BW2322" s="16">
        <f t="shared" si="586"/>
        <v>2.8680185857355573E-17</v>
      </c>
      <c r="BY2322" s="16">
        <f t="shared" si="587"/>
        <v>227.99999999999133</v>
      </c>
      <c r="BZ2322" s="16">
        <f t="shared" si="578"/>
        <v>1.2579028884805555E-19</v>
      </c>
      <c r="CA2322" s="16">
        <f t="shared" si="585"/>
        <v>-999</v>
      </c>
      <c r="CE2322" s="16" t="e">
        <f t="shared" si="579"/>
        <v>#N/A</v>
      </c>
      <c r="CF2322" s="16">
        <f t="shared" si="580"/>
        <v>99</v>
      </c>
      <c r="CG2322" s="16">
        <f t="shared" si="581"/>
        <v>0</v>
      </c>
      <c r="CH2322" s="16">
        <f t="shared" si="588"/>
        <v>0</v>
      </c>
      <c r="CJ2322" s="16" t="e">
        <f t="shared" si="582"/>
        <v>#N/A</v>
      </c>
      <c r="CK2322" s="16" t="str">
        <f t="shared" si="583"/>
        <v/>
      </c>
    </row>
    <row r="2323" spans="73:89" ht="12" customHeight="1">
      <c r="BU2323" s="16">
        <f t="shared" si="584"/>
        <v>0</v>
      </c>
      <c r="BV2323" s="16">
        <f>IF($BY$12=1,NORMDIST(BY2323,$Y$6,$Y$8,TRUE),IF($BY$12=2,IF(BY2323&lt;=$BX$31,0,IF(BY2323&gt;=$BX$32,1,(BY2323-$BX$31)*$BX$33)),SUM($BU$42:BU2323)/$BV$40))</f>
        <v>1</v>
      </c>
      <c r="BW2323" s="16">
        <f t="shared" si="586"/>
        <v>2.7443586465937179E-17</v>
      </c>
      <c r="BY2323" s="16">
        <f t="shared" si="587"/>
        <v>228.09999999999133</v>
      </c>
      <c r="BZ2323" s="16">
        <f t="shared" si="578"/>
        <v>1.2031383807951873E-19</v>
      </c>
      <c r="CA2323" s="16">
        <f t="shared" si="585"/>
        <v>-999</v>
      </c>
      <c r="CE2323" s="16" t="e">
        <f t="shared" si="579"/>
        <v>#N/A</v>
      </c>
      <c r="CF2323" s="16">
        <f t="shared" si="580"/>
        <v>99</v>
      </c>
      <c r="CG2323" s="16">
        <f t="shared" si="581"/>
        <v>0</v>
      </c>
      <c r="CH2323" s="16">
        <f t="shared" si="588"/>
        <v>0</v>
      </c>
      <c r="CJ2323" s="16" t="e">
        <f t="shared" si="582"/>
        <v>#N/A</v>
      </c>
      <c r="CK2323" s="16" t="str">
        <f t="shared" si="583"/>
        <v/>
      </c>
    </row>
    <row r="2324" spans="73:89" ht="12" customHeight="1">
      <c r="BU2324" s="16">
        <f t="shared" si="584"/>
        <v>0</v>
      </c>
      <c r="BV2324" s="16">
        <f>IF($BY$12=1,NORMDIST(BY2324,$Y$6,$Y$8,TRUE),IF($BY$12=2,IF(BY2324&lt;=$BX$31,0,IF(BY2324&gt;=$BX$32,1,(BY2324-$BX$31)*$BX$33)),SUM($BU$42:BU2324)/$BV$40))</f>
        <v>1</v>
      </c>
      <c r="BW2324" s="16">
        <f t="shared" si="586"/>
        <v>2.6259643803669686E-17</v>
      </c>
      <c r="BY2324" s="16">
        <f t="shared" si="587"/>
        <v>228.19999999999132</v>
      </c>
      <c r="BZ2324" s="16">
        <f t="shared" si="578"/>
        <v>1.1507293516069537E-19</v>
      </c>
      <c r="CA2324" s="16">
        <f t="shared" si="585"/>
        <v>-999</v>
      </c>
      <c r="CE2324" s="16" t="e">
        <f t="shared" si="579"/>
        <v>#N/A</v>
      </c>
      <c r="CF2324" s="16">
        <f t="shared" si="580"/>
        <v>99</v>
      </c>
      <c r="CG2324" s="16">
        <f t="shared" si="581"/>
        <v>0</v>
      </c>
      <c r="CH2324" s="16">
        <f t="shared" si="588"/>
        <v>0</v>
      </c>
      <c r="CJ2324" s="16" t="e">
        <f t="shared" si="582"/>
        <v>#N/A</v>
      </c>
      <c r="CK2324" s="16" t="str">
        <f t="shared" si="583"/>
        <v/>
      </c>
    </row>
    <row r="2325" spans="73:89" ht="12" customHeight="1">
      <c r="BU2325" s="16">
        <f t="shared" si="584"/>
        <v>0</v>
      </c>
      <c r="BV2325" s="16">
        <f>IF($BY$12=1,NORMDIST(BY2325,$Y$6,$Y$8,TRUE),IF($BY$12=2,IF(BY2325&lt;=$BX$31,0,IF(BY2325&gt;=$BX$32,1,(BY2325-$BX$31)*$BX$33)),SUM($BU$42:BU2325)/$BV$40))</f>
        <v>1</v>
      </c>
      <c r="BW2325" s="16">
        <f t="shared" si="586"/>
        <v>2.5126144577719351E-17</v>
      </c>
      <c r="BY2325" s="16">
        <f t="shared" si="587"/>
        <v>228.29999999999131</v>
      </c>
      <c r="BZ2325" s="16">
        <f t="shared" si="578"/>
        <v>1.1005757589890629E-19</v>
      </c>
      <c r="CA2325" s="16">
        <f t="shared" si="585"/>
        <v>-999</v>
      </c>
      <c r="CE2325" s="16" t="e">
        <f t="shared" si="579"/>
        <v>#N/A</v>
      </c>
      <c r="CF2325" s="16">
        <f t="shared" si="580"/>
        <v>99</v>
      </c>
      <c r="CG2325" s="16">
        <f t="shared" si="581"/>
        <v>0</v>
      </c>
      <c r="CH2325" s="16">
        <f t="shared" si="588"/>
        <v>0</v>
      </c>
      <c r="CJ2325" s="16" t="e">
        <f t="shared" si="582"/>
        <v>#N/A</v>
      </c>
      <c r="CK2325" s="16" t="str">
        <f t="shared" si="583"/>
        <v/>
      </c>
    </row>
    <row r="2326" spans="73:89" ht="12" customHeight="1">
      <c r="BU2326" s="16">
        <f t="shared" si="584"/>
        <v>0</v>
      </c>
      <c r="BV2326" s="16">
        <f>IF($BY$12=1,NORMDIST(BY2326,$Y$6,$Y$8,TRUE),IF($BY$12=2,IF(BY2326&lt;=$BX$31,0,IF(BY2326&gt;=$BX$32,1,(BY2326-$BX$31)*$BX$33)),SUM($BU$42:BU2326)/$BV$40))</f>
        <v>1</v>
      </c>
      <c r="BW2326" s="16">
        <f t="shared" si="586"/>
        <v>2.4040967274937605E-17</v>
      </c>
      <c r="BY2326" s="16">
        <f t="shared" si="587"/>
        <v>228.39999999999131</v>
      </c>
      <c r="BZ2326" s="16">
        <f t="shared" si="578"/>
        <v>1.052581754594506E-19</v>
      </c>
      <c r="CA2326" s="16">
        <f t="shared" si="585"/>
        <v>-999</v>
      </c>
      <c r="CE2326" s="16" t="e">
        <f t="shared" si="579"/>
        <v>#N/A</v>
      </c>
      <c r="CF2326" s="16">
        <f t="shared" si="580"/>
        <v>99</v>
      </c>
      <c r="CG2326" s="16">
        <f t="shared" si="581"/>
        <v>0</v>
      </c>
      <c r="CH2326" s="16">
        <f t="shared" si="588"/>
        <v>0</v>
      </c>
      <c r="CJ2326" s="16" t="e">
        <f t="shared" si="582"/>
        <v>#N/A</v>
      </c>
      <c r="CK2326" s="16" t="str">
        <f t="shared" si="583"/>
        <v/>
      </c>
    </row>
    <row r="2327" spans="73:89" ht="12" customHeight="1">
      <c r="BU2327" s="16">
        <f t="shared" si="584"/>
        <v>0</v>
      </c>
      <c r="BV2327" s="16">
        <f>IF($BY$12=1,NORMDIST(BY2327,$Y$6,$Y$8,TRUE),IF($BY$12=2,IF(BY2327&lt;=$BX$31,0,IF(BY2327&gt;=$BX$32,1,(BY2327-$BX$31)*$BX$33)),SUM($BU$42:BU2327)/$BV$40))</f>
        <v>1</v>
      </c>
      <c r="BW2327" s="16">
        <f t="shared" si="586"/>
        <v>2.3002078409394244E-17</v>
      </c>
      <c r="BY2327" s="16">
        <f t="shared" si="587"/>
        <v>228.4999999999913</v>
      </c>
      <c r="BZ2327" s="16">
        <f t="shared" si="578"/>
        <v>1.0066555102579921E-19</v>
      </c>
      <c r="CA2327" s="16">
        <f t="shared" si="585"/>
        <v>-999</v>
      </c>
      <c r="CE2327" s="16" t="e">
        <f t="shared" si="579"/>
        <v>#N/A</v>
      </c>
      <c r="CF2327" s="16">
        <f t="shared" si="580"/>
        <v>99</v>
      </c>
      <c r="CG2327" s="16">
        <f t="shared" si="581"/>
        <v>0</v>
      </c>
      <c r="CH2327" s="16">
        <f t="shared" si="588"/>
        <v>0</v>
      </c>
      <c r="CJ2327" s="16" t="e">
        <f t="shared" si="582"/>
        <v>#N/A</v>
      </c>
      <c r="CK2327" s="16" t="str">
        <f t="shared" si="583"/>
        <v/>
      </c>
    </row>
    <row r="2328" spans="73:89" ht="12" customHeight="1">
      <c r="BU2328" s="16">
        <f t="shared" si="584"/>
        <v>0</v>
      </c>
      <c r="BV2328" s="16">
        <f>IF($BY$12=1,NORMDIST(BY2328,$Y$6,$Y$8,TRUE),IF($BY$12=2,IF(BY2328&lt;=$BX$31,0,IF(BY2328&gt;=$BX$32,1,(BY2328-$BX$31)*$BX$33)),SUM($BU$42:BU2328)/$BV$40))</f>
        <v>1</v>
      </c>
      <c r="BW2328" s="16">
        <f t="shared" si="586"/>
        <v>2.2007528921082533E-17</v>
      </c>
      <c r="BY2328" s="16">
        <f t="shared" si="587"/>
        <v>228.5999999999913</v>
      </c>
      <c r="BZ2328" s="16">
        <f t="shared" si="578"/>
        <v>9.6270905166593924E-20</v>
      </c>
      <c r="CA2328" s="16">
        <f t="shared" si="585"/>
        <v>-999</v>
      </c>
      <c r="CE2328" s="16" t="e">
        <f t="shared" si="579"/>
        <v>#N/A</v>
      </c>
      <c r="CF2328" s="16">
        <f t="shared" si="580"/>
        <v>99</v>
      </c>
      <c r="CG2328" s="16">
        <f t="shared" si="581"/>
        <v>0</v>
      </c>
      <c r="CH2328" s="16">
        <f t="shared" si="588"/>
        <v>0</v>
      </c>
      <c r="CJ2328" s="16" t="e">
        <f t="shared" si="582"/>
        <v>#N/A</v>
      </c>
      <c r="CK2328" s="16" t="str">
        <f t="shared" si="583"/>
        <v/>
      </c>
    </row>
    <row r="2329" spans="73:89" ht="12" customHeight="1">
      <c r="BU2329" s="16">
        <f t="shared" si="584"/>
        <v>0</v>
      </c>
      <c r="BV2329" s="16">
        <f>IF($BY$12=1,NORMDIST(BY2329,$Y$6,$Y$8,TRUE),IF($BY$12=2,IF(BY2329&lt;=$BX$31,0,IF(BY2329&gt;=$BX$32,1,(BY2329-$BX$31)*$BX$33)),SUM($BU$42:BU2329)/$BV$40))</f>
        <v>1</v>
      </c>
      <c r="BW2329" s="16">
        <f t="shared" si="586"/>
        <v>2.1055450719794564E-17</v>
      </c>
      <c r="BY2329" s="16">
        <f t="shared" si="587"/>
        <v>228.69999999999129</v>
      </c>
      <c r="BZ2329" s="16">
        <f t="shared" si="578"/>
        <v>9.2065809881046633E-20</v>
      </c>
      <c r="CA2329" s="16">
        <f t="shared" si="585"/>
        <v>-999</v>
      </c>
      <c r="CE2329" s="16" t="e">
        <f t="shared" si="579"/>
        <v>#N/A</v>
      </c>
      <c r="CF2329" s="16">
        <f t="shared" si="580"/>
        <v>99</v>
      </c>
      <c r="CG2329" s="16">
        <f t="shared" si="581"/>
        <v>0</v>
      </c>
      <c r="CH2329" s="16">
        <f t="shared" si="588"/>
        <v>0</v>
      </c>
      <c r="CJ2329" s="16" t="e">
        <f t="shared" si="582"/>
        <v>#N/A</v>
      </c>
      <c r="CK2329" s="16" t="str">
        <f t="shared" si="583"/>
        <v/>
      </c>
    </row>
    <row r="2330" spans="73:89" ht="12" customHeight="1">
      <c r="BU2330" s="16">
        <f t="shared" si="584"/>
        <v>0</v>
      </c>
      <c r="BV2330" s="16">
        <f>IF($BY$12=1,NORMDIST(BY2330,$Y$6,$Y$8,TRUE),IF($BY$12=2,IF(BY2330&lt;=$BX$31,0,IF(BY2330&gt;=$BX$32,1,(BY2330-$BX$31)*$BX$33)),SUM($BU$42:BU2330)/$BV$40))</f>
        <v>1</v>
      </c>
      <c r="BW2330" s="16">
        <f t="shared" si="586"/>
        <v>2.0144053368409275E-17</v>
      </c>
      <c r="BY2330" s="16">
        <f t="shared" si="587"/>
        <v>228.79999999999129</v>
      </c>
      <c r="BZ2330" s="16">
        <f t="shared" si="578"/>
        <v>8.8042191295498436E-20</v>
      </c>
      <c r="CA2330" s="16">
        <f t="shared" si="585"/>
        <v>-999</v>
      </c>
      <c r="CE2330" s="16" t="e">
        <f t="shared" si="579"/>
        <v>#N/A</v>
      </c>
      <c r="CF2330" s="16">
        <f t="shared" si="580"/>
        <v>99</v>
      </c>
      <c r="CG2330" s="16">
        <f t="shared" si="581"/>
        <v>0</v>
      </c>
      <c r="CH2330" s="16">
        <f t="shared" si="588"/>
        <v>0</v>
      </c>
      <c r="CJ2330" s="16" t="e">
        <f t="shared" si="582"/>
        <v>#N/A</v>
      </c>
      <c r="CK2330" s="16" t="str">
        <f t="shared" si="583"/>
        <v/>
      </c>
    </row>
    <row r="2331" spans="73:89" ht="12" customHeight="1">
      <c r="BU2331" s="16">
        <f t="shared" si="584"/>
        <v>0</v>
      </c>
      <c r="BV2331" s="16">
        <f>IF($BY$12=1,NORMDIST(BY2331,$Y$6,$Y$8,TRUE),IF($BY$12=2,IF(BY2331&lt;=$BX$31,0,IF(BY2331&gt;=$BX$32,1,(BY2331-$BX$31)*$BX$33)),SUM($BU$42:BU2331)/$BV$40))</f>
        <v>1</v>
      </c>
      <c r="BW2331" s="16">
        <f t="shared" si="586"/>
        <v>1.9271620900053408E-17</v>
      </c>
      <c r="BY2331" s="16">
        <f t="shared" si="587"/>
        <v>228.89999999999128</v>
      </c>
      <c r="BZ2331" s="16">
        <f t="shared" si="578"/>
        <v>8.4192314984946013E-20</v>
      </c>
      <c r="CA2331" s="16">
        <f t="shared" si="585"/>
        <v>-999</v>
      </c>
      <c r="CE2331" s="16" t="e">
        <f t="shared" si="579"/>
        <v>#N/A</v>
      </c>
      <c r="CF2331" s="16">
        <f t="shared" si="580"/>
        <v>99</v>
      </c>
      <c r="CG2331" s="16">
        <f t="shared" si="581"/>
        <v>0</v>
      </c>
      <c r="CH2331" s="16">
        <f t="shared" si="588"/>
        <v>0</v>
      </c>
      <c r="CJ2331" s="16" t="e">
        <f t="shared" si="582"/>
        <v>#N/A</v>
      </c>
      <c r="CK2331" s="16" t="str">
        <f t="shared" si="583"/>
        <v/>
      </c>
    </row>
    <row r="2332" spans="73:89" ht="12" customHeight="1">
      <c r="BU2332" s="16">
        <f t="shared" si="584"/>
        <v>0</v>
      </c>
      <c r="BV2332" s="16">
        <f>IF($BY$12=1,NORMDIST(BY2332,$Y$6,$Y$8,TRUE),IF($BY$12=2,IF(BY2332&lt;=$BX$31,0,IF(BY2332&gt;=$BX$32,1,(BY2332-$BX$31)*$BX$33)),SUM($BU$42:BU2332)/$BV$40))</f>
        <v>1</v>
      </c>
      <c r="BW2332" s="16">
        <f t="shared" si="586"/>
        <v>1.8436508763815531E-17</v>
      </c>
      <c r="BY2332" s="16">
        <f t="shared" si="587"/>
        <v>228.99999999999127</v>
      </c>
      <c r="BZ2332" s="16">
        <f t="shared" si="578"/>
        <v>8.0508771894394026E-20</v>
      </c>
      <c r="CA2332" s="16">
        <f t="shared" si="585"/>
        <v>-999</v>
      </c>
      <c r="CE2332" s="16" t="e">
        <f t="shared" si="579"/>
        <v>#N/A</v>
      </c>
      <c r="CF2332" s="16">
        <f t="shared" si="580"/>
        <v>99</v>
      </c>
      <c r="CG2332" s="16">
        <f t="shared" si="581"/>
        <v>0</v>
      </c>
      <c r="CH2332" s="16">
        <f t="shared" si="588"/>
        <v>0</v>
      </c>
      <c r="CJ2332" s="16" t="e">
        <f t="shared" si="582"/>
        <v>#N/A</v>
      </c>
      <c r="CK2332" s="16" t="str">
        <f t="shared" si="583"/>
        <v/>
      </c>
    </row>
    <row r="2333" spans="73:89" ht="12" customHeight="1">
      <c r="BU2333" s="16">
        <f t="shared" si="584"/>
        <v>0</v>
      </c>
      <c r="BV2333" s="16">
        <f>IF($BY$12=1,NORMDIST(BY2333,$Y$6,$Y$8,TRUE),IF($BY$12=2,IF(BY2333&lt;=$BX$31,0,IF(BY2333&gt;=$BX$32,1,(BY2333-$BX$31)*$BX$33)),SUM($BU$42:BU2333)/$BV$40))</f>
        <v>1</v>
      </c>
      <c r="BW2333" s="16">
        <f t="shared" si="586"/>
        <v>1.7637140893900408E-17</v>
      </c>
      <c r="BY2333" s="16">
        <f t="shared" si="587"/>
        <v>229.09999999999127</v>
      </c>
      <c r="BZ2333" s="16">
        <f t="shared" si="578"/>
        <v>7.6984464835884248E-20</v>
      </c>
      <c r="CA2333" s="16">
        <f t="shared" si="585"/>
        <v>-999</v>
      </c>
      <c r="CE2333" s="16" t="e">
        <f t="shared" si="579"/>
        <v>#N/A</v>
      </c>
      <c r="CF2333" s="16">
        <f t="shared" si="580"/>
        <v>99</v>
      </c>
      <c r="CG2333" s="16">
        <f t="shared" si="581"/>
        <v>0</v>
      </c>
      <c r="CH2333" s="16">
        <f t="shared" si="588"/>
        <v>0</v>
      </c>
      <c r="CJ2333" s="16" t="e">
        <f t="shared" si="582"/>
        <v>#N/A</v>
      </c>
      <c r="CK2333" s="16" t="str">
        <f t="shared" si="583"/>
        <v/>
      </c>
    </row>
    <row r="2334" spans="73:89" ht="12" customHeight="1">
      <c r="BU2334" s="16">
        <f t="shared" si="584"/>
        <v>0</v>
      </c>
      <c r="BV2334" s="16">
        <f>IF($BY$12=1,NORMDIST(BY2334,$Y$6,$Y$8,TRUE),IF($BY$12=2,IF(BY2334&lt;=$BX$31,0,IF(BY2334&gt;=$BX$32,1,(BY2334-$BX$31)*$BX$33)),SUM($BU$42:BU2334)/$BV$40))</f>
        <v>1</v>
      </c>
      <c r="BW2334" s="16">
        <f t="shared" si="586"/>
        <v>1.6872006897311245E-17</v>
      </c>
      <c r="BY2334" s="16">
        <f t="shared" si="587"/>
        <v>229.19999999999126</v>
      </c>
      <c r="BZ2334" s="16">
        <f t="shared" si="578"/>
        <v>7.3612595538009987E-20</v>
      </c>
      <c r="CA2334" s="16">
        <f t="shared" si="585"/>
        <v>-999</v>
      </c>
      <c r="CE2334" s="16" t="e">
        <f t="shared" si="579"/>
        <v>#N/A</v>
      </c>
      <c r="CF2334" s="16">
        <f t="shared" si="580"/>
        <v>99</v>
      </c>
      <c r="CG2334" s="16">
        <f t="shared" si="581"/>
        <v>0</v>
      </c>
      <c r="CH2334" s="16">
        <f t="shared" si="588"/>
        <v>0</v>
      </c>
      <c r="CJ2334" s="16" t="e">
        <f t="shared" si="582"/>
        <v>#N/A</v>
      </c>
      <c r="CK2334" s="16" t="str">
        <f t="shared" si="583"/>
        <v/>
      </c>
    </row>
    <row r="2335" spans="73:89" ht="12" customHeight="1">
      <c r="BU2335" s="16">
        <f t="shared" si="584"/>
        <v>0</v>
      </c>
      <c r="BV2335" s="16">
        <f>IF($BY$12=1,NORMDIST(BY2335,$Y$6,$Y$8,TRUE),IF($BY$12=2,IF(BY2335&lt;=$BX$31,0,IF(BY2335&gt;=$BX$32,1,(BY2335-$BX$31)*$BX$33)),SUM($BU$42:BU2335)/$BV$40))</f>
        <v>1</v>
      </c>
      <c r="BW2335" s="16">
        <f t="shared" si="586"/>
        <v>1.6139659355338722E-17</v>
      </c>
      <c r="BY2335" s="16">
        <f t="shared" si="587"/>
        <v>229.29999999999126</v>
      </c>
      <c r="BZ2335" s="16">
        <f t="shared" si="578"/>
        <v>7.0386652225640372E-20</v>
      </c>
      <c r="CA2335" s="16">
        <f t="shared" si="585"/>
        <v>-999</v>
      </c>
      <c r="CE2335" s="16" t="e">
        <f t="shared" si="579"/>
        <v>#N/A</v>
      </c>
      <c r="CF2335" s="16">
        <f t="shared" si="580"/>
        <v>99</v>
      </c>
      <c r="CG2335" s="16">
        <f t="shared" si="581"/>
        <v>0</v>
      </c>
      <c r="CH2335" s="16">
        <f t="shared" si="588"/>
        <v>0</v>
      </c>
      <c r="CJ2335" s="16" t="e">
        <f t="shared" si="582"/>
        <v>#N/A</v>
      </c>
      <c r="CK2335" s="16" t="str">
        <f t="shared" si="583"/>
        <v/>
      </c>
    </row>
    <row r="2336" spans="73:89" ht="12" customHeight="1">
      <c r="BU2336" s="16">
        <f t="shared" si="584"/>
        <v>0</v>
      </c>
      <c r="BV2336" s="16">
        <f>IF($BY$12=1,NORMDIST(BY2336,$Y$6,$Y$8,TRUE),IF($BY$12=2,IF(BY2336&lt;=$BX$31,0,IF(BY2336&gt;=$BX$32,1,(BY2336-$BX$31)*$BX$33)),SUM($BU$42:BU2336)/$BV$40))</f>
        <v>1</v>
      </c>
      <c r="BW2336" s="16">
        <f t="shared" si="586"/>
        <v>1.5438711234323582E-17</v>
      </c>
      <c r="BY2336" s="16">
        <f t="shared" si="587"/>
        <v>229.39999999999125</v>
      </c>
      <c r="BZ2336" s="16">
        <f t="shared" si="578"/>
        <v>6.7300397708475023E-20</v>
      </c>
      <c r="CA2336" s="16">
        <f t="shared" si="585"/>
        <v>-999</v>
      </c>
      <c r="CE2336" s="16" t="e">
        <f t="shared" si="579"/>
        <v>#N/A</v>
      </c>
      <c r="CF2336" s="16">
        <f t="shared" si="580"/>
        <v>99</v>
      </c>
      <c r="CG2336" s="16">
        <f t="shared" si="581"/>
        <v>0</v>
      </c>
      <c r="CH2336" s="16">
        <f t="shared" si="588"/>
        <v>0</v>
      </c>
      <c r="CJ2336" s="16" t="e">
        <f t="shared" si="582"/>
        <v>#N/A</v>
      </c>
      <c r="CK2336" s="16" t="str">
        <f t="shared" si="583"/>
        <v/>
      </c>
    </row>
    <row r="2337" spans="73:89" ht="12" customHeight="1">
      <c r="BU2337" s="16">
        <f t="shared" si="584"/>
        <v>0</v>
      </c>
      <c r="BV2337" s="16">
        <f>IF($BY$12=1,NORMDIST(BY2337,$Y$6,$Y$8,TRUE),IF($BY$12=2,IF(BY2337&lt;=$BX$31,0,IF(BY2337&gt;=$BX$32,1,(BY2337-$BX$31)*$BX$33)),SUM($BU$42:BU2337)/$BV$40))</f>
        <v>1</v>
      </c>
      <c r="BW2337" s="16">
        <f t="shared" si="586"/>
        <v>1.4767833401332302E-17</v>
      </c>
      <c r="BY2337" s="16">
        <f t="shared" si="587"/>
        <v>229.49999999999125</v>
      </c>
      <c r="BZ2337" s="16">
        <f t="shared" si="578"/>
        <v>6.4347857957877411E-20</v>
      </c>
      <c r="CA2337" s="16">
        <f t="shared" si="585"/>
        <v>-999</v>
      </c>
      <c r="CE2337" s="16" t="e">
        <f t="shared" si="579"/>
        <v>#N/A</v>
      </c>
      <c r="CF2337" s="16">
        <f t="shared" si="580"/>
        <v>99</v>
      </c>
      <c r="CG2337" s="16">
        <f t="shared" si="581"/>
        <v>0</v>
      </c>
      <c r="CH2337" s="16">
        <f t="shared" si="588"/>
        <v>0</v>
      </c>
      <c r="CJ2337" s="16" t="e">
        <f t="shared" si="582"/>
        <v>#N/A</v>
      </c>
      <c r="CK2337" s="16" t="str">
        <f t="shared" si="583"/>
        <v/>
      </c>
    </row>
    <row r="2338" spans="73:89" ht="12" customHeight="1">
      <c r="BU2338" s="16">
        <f t="shared" si="584"/>
        <v>0</v>
      </c>
      <c r="BV2338" s="16">
        <f>IF($BY$12=1,NORMDIST(BY2338,$Y$6,$Y$8,TRUE),IF($BY$12=2,IF(BY2338&lt;=$BX$31,0,IF(BY2338&gt;=$BX$32,1,(BY2338-$BX$31)*$BX$33)),SUM($BU$42:BU2338)/$BV$40))</f>
        <v>1</v>
      </c>
      <c r="BW2338" s="16">
        <f t="shared" si="586"/>
        <v>1.4125752240562299E-17</v>
      </c>
      <c r="BY2338" s="16">
        <f t="shared" si="587"/>
        <v>229.59999999999124</v>
      </c>
      <c r="BZ2338" s="16">
        <f t="shared" si="578"/>
        <v>6.1523311152277175E-20</v>
      </c>
      <c r="CA2338" s="16">
        <f t="shared" si="585"/>
        <v>-999</v>
      </c>
      <c r="CE2338" s="16" t="e">
        <f t="shared" si="579"/>
        <v>#N/A</v>
      </c>
      <c r="CF2338" s="16">
        <f t="shared" si="580"/>
        <v>99</v>
      </c>
      <c r="CG2338" s="16">
        <f t="shared" si="581"/>
        <v>0</v>
      </c>
      <c r="CH2338" s="16">
        <f t="shared" si="588"/>
        <v>0</v>
      </c>
      <c r="CJ2338" s="16" t="e">
        <f t="shared" si="582"/>
        <v>#N/A</v>
      </c>
      <c r="CK2338" s="16" t="str">
        <f t="shared" si="583"/>
        <v/>
      </c>
    </row>
    <row r="2339" spans="73:89" ht="12" customHeight="1">
      <c r="BU2339" s="16">
        <f t="shared" si="584"/>
        <v>0</v>
      </c>
      <c r="BV2339" s="16">
        <f>IF($BY$12=1,NORMDIST(BY2339,$Y$6,$Y$8,TRUE),IF($BY$12=2,IF(BY2339&lt;=$BX$31,0,IF(BY2339&gt;=$BX$32,1,(BY2339-$BX$31)*$BX$33)),SUM($BU$42:BU2339)/$BV$40))</f>
        <v>1</v>
      </c>
      <c r="BW2339" s="16">
        <f t="shared" si="586"/>
        <v>1.3511247366452785E-17</v>
      </c>
      <c r="BY2339" s="16">
        <f t="shared" si="587"/>
        <v>229.69999999999123</v>
      </c>
      <c r="BZ2339" s="16">
        <f t="shared" si="578"/>
        <v>5.8821277172195476E-20</v>
      </c>
      <c r="CA2339" s="16">
        <f t="shared" si="585"/>
        <v>-999</v>
      </c>
      <c r="CE2339" s="16" t="e">
        <f t="shared" si="579"/>
        <v>#N/A</v>
      </c>
      <c r="CF2339" s="16">
        <f t="shared" si="580"/>
        <v>99</v>
      </c>
      <c r="CG2339" s="16">
        <f t="shared" si="581"/>
        <v>0</v>
      </c>
      <c r="CH2339" s="16">
        <f t="shared" si="588"/>
        <v>0</v>
      </c>
      <c r="CJ2339" s="16" t="e">
        <f t="shared" si="582"/>
        <v>#N/A</v>
      </c>
      <c r="CK2339" s="16" t="str">
        <f t="shared" si="583"/>
        <v/>
      </c>
    </row>
    <row r="2340" spans="73:89" ht="12" customHeight="1">
      <c r="BU2340" s="16">
        <f t="shared" si="584"/>
        <v>0</v>
      </c>
      <c r="BV2340" s="16">
        <f>IF($BY$12=1,NORMDIST(BY2340,$Y$6,$Y$8,TRUE),IF($BY$12=2,IF(BY2340&lt;=$BX$31,0,IF(BY2340&gt;=$BX$32,1,(BY2340-$BX$31)*$BX$33)),SUM($BU$42:BU2340)/$BV$40))</f>
        <v>1</v>
      </c>
      <c r="BW2340" s="16">
        <f t="shared" si="586"/>
        <v>1.2923149429637755E-17</v>
      </c>
      <c r="BY2340" s="16">
        <f t="shared" si="587"/>
        <v>229.79999999999123</v>
      </c>
      <c r="BZ2340" s="16">
        <f t="shared" si="578"/>
        <v>5.623650752671126E-20</v>
      </c>
      <c r="CA2340" s="16">
        <f t="shared" si="585"/>
        <v>-999</v>
      </c>
      <c r="CE2340" s="16" t="e">
        <f t="shared" si="579"/>
        <v>#N/A</v>
      </c>
      <c r="CF2340" s="16">
        <f t="shared" si="580"/>
        <v>99</v>
      </c>
      <c r="CG2340" s="16">
        <f t="shared" si="581"/>
        <v>0</v>
      </c>
      <c r="CH2340" s="16">
        <f t="shared" si="588"/>
        <v>0</v>
      </c>
      <c r="CJ2340" s="16" t="e">
        <f t="shared" si="582"/>
        <v>#N/A</v>
      </c>
      <c r="CK2340" s="16" t="str">
        <f t="shared" si="583"/>
        <v/>
      </c>
    </row>
    <row r="2341" spans="73:89" ht="12" customHeight="1">
      <c r="BU2341" s="16">
        <f t="shared" si="584"/>
        <v>0</v>
      </c>
      <c r="BV2341" s="16">
        <f>IF($BY$12=1,NORMDIST(BY2341,$Y$6,$Y$8,TRUE),IF($BY$12=2,IF(BY2341&lt;=$BX$31,0,IF(BY2341&gt;=$BX$32,1,(BY2341-$BX$31)*$BX$33)),SUM($BU$42:BU2341)/$BV$40))</f>
        <v>1</v>
      </c>
      <c r="BW2341" s="16">
        <f t="shared" si="586"/>
        <v>1.2360338012029642E-17</v>
      </c>
      <c r="BY2341" s="16">
        <f t="shared" si="587"/>
        <v>229.89999999999122</v>
      </c>
      <c r="BZ2341" s="16">
        <f t="shared" si="578"/>
        <v>5.376397569391089E-20</v>
      </c>
      <c r="CA2341" s="16">
        <f t="shared" si="585"/>
        <v>-999</v>
      </c>
      <c r="CE2341" s="16" t="e">
        <f t="shared" si="579"/>
        <v>#N/A</v>
      </c>
      <c r="CF2341" s="16">
        <f t="shared" si="580"/>
        <v>99</v>
      </c>
      <c r="CG2341" s="16">
        <f t="shared" si="581"/>
        <v>0</v>
      </c>
      <c r="CH2341" s="16">
        <f t="shared" si="588"/>
        <v>0</v>
      </c>
      <c r="CJ2341" s="16" t="e">
        <f t="shared" si="582"/>
        <v>#N/A</v>
      </c>
      <c r="CK2341" s="16" t="str">
        <f t="shared" si="583"/>
        <v/>
      </c>
    </row>
    <row r="2342" spans="73:89" ht="12" customHeight="1">
      <c r="BU2342" s="16">
        <f t="shared" si="584"/>
        <v>0</v>
      </c>
      <c r="BV2342" s="16">
        <f>IF($BY$12=1,NORMDIST(BY2342,$Y$6,$Y$8,TRUE),IF($BY$12=2,IF(BY2342&lt;=$BX$31,0,IF(BY2342&gt;=$BX$32,1,(BY2342-$BX$31)*$BX$33)),SUM($BU$42:BU2342)/$BV$40))</f>
        <v>1</v>
      </c>
      <c r="BW2342" s="16">
        <f t="shared" si="586"/>
        <v>1.1821739607465502E-17</v>
      </c>
      <c r="BY2342" s="16">
        <f t="shared" si="587"/>
        <v>229.99999999999122</v>
      </c>
      <c r="BZ2342" s="16">
        <f t="shared" si="578"/>
        <v>5.1398867858547626E-20</v>
      </c>
      <c r="CA2342" s="16">
        <f t="shared" si="585"/>
        <v>-999</v>
      </c>
      <c r="CE2342" s="16" t="e">
        <f t="shared" si="579"/>
        <v>#N/A</v>
      </c>
      <c r="CF2342" s="16">
        <f t="shared" si="580"/>
        <v>99</v>
      </c>
      <c r="CG2342" s="16">
        <f t="shared" si="581"/>
        <v>0</v>
      </c>
      <c r="CH2342" s="16">
        <f t="shared" si="588"/>
        <v>0</v>
      </c>
      <c r="CJ2342" s="16" t="e">
        <f t="shared" si="582"/>
        <v>#N/A</v>
      </c>
      <c r="CK2342" s="16" t="str">
        <f t="shared" si="583"/>
        <v/>
      </c>
    </row>
    <row r="2343" spans="73:89" ht="12" customHeight="1">
      <c r="BU2343" s="16">
        <f t="shared" si="584"/>
        <v>0</v>
      </c>
      <c r="BV2343" s="16">
        <f>IF($BY$12=1,NORMDIST(BY2343,$Y$6,$Y$8,TRUE),IF($BY$12=2,IF(BY2343&lt;=$BX$31,0,IF(BY2343&gt;=$BX$32,1,(BY2343-$BX$31)*$BX$33)),SUM($BU$42:BU2343)/$BV$40))</f>
        <v>1</v>
      </c>
      <c r="BW2343" s="16">
        <f t="shared" si="586"/>
        <v>1.1306325684493555E-17</v>
      </c>
      <c r="BY2343" s="16">
        <f t="shared" si="587"/>
        <v>230.09999999999121</v>
      </c>
      <c r="BZ2343" s="16">
        <f t="shared" si="578"/>
        <v>4.9136574030830017E-20</v>
      </c>
      <c r="CA2343" s="16">
        <f t="shared" si="585"/>
        <v>-999</v>
      </c>
      <c r="CE2343" s="16" t="e">
        <f t="shared" si="579"/>
        <v>#N/A</v>
      </c>
      <c r="CF2343" s="16">
        <f t="shared" si="580"/>
        <v>99</v>
      </c>
      <c r="CG2343" s="16">
        <f t="shared" si="581"/>
        <v>0</v>
      </c>
      <c r="CH2343" s="16">
        <f t="shared" si="588"/>
        <v>0</v>
      </c>
      <c r="CJ2343" s="16" t="e">
        <f t="shared" si="582"/>
        <v>#N/A</v>
      </c>
      <c r="CK2343" s="16" t="str">
        <f t="shared" si="583"/>
        <v/>
      </c>
    </row>
    <row r="2344" spans="73:89" ht="12" customHeight="1">
      <c r="BU2344" s="16">
        <f t="shared" si="584"/>
        <v>0</v>
      </c>
      <c r="BV2344" s="16">
        <f>IF($BY$12=1,NORMDIST(BY2344,$Y$6,$Y$8,TRUE),IF($BY$12=2,IF(BY2344&lt;=$BX$31,0,IF(BY2344&gt;=$BX$32,1,(BY2344-$BX$31)*$BX$33)),SUM($BU$42:BU2344)/$BV$40))</f>
        <v>1</v>
      </c>
      <c r="BW2344" s="16">
        <f t="shared" si="586"/>
        <v>1.0813110828005568E-17</v>
      </c>
      <c r="BY2344" s="16">
        <f t="shared" si="587"/>
        <v>230.19999999999121</v>
      </c>
      <c r="BZ2344" s="16">
        <f t="shared" si="578"/>
        <v>4.697267953086873E-20</v>
      </c>
      <c r="CA2344" s="16">
        <f t="shared" si="585"/>
        <v>-999</v>
      </c>
      <c r="CE2344" s="16" t="e">
        <f t="shared" si="579"/>
        <v>#N/A</v>
      </c>
      <c r="CF2344" s="16">
        <f t="shared" si="580"/>
        <v>99</v>
      </c>
      <c r="CG2344" s="16">
        <f t="shared" si="581"/>
        <v>0</v>
      </c>
      <c r="CH2344" s="16">
        <f t="shared" si="588"/>
        <v>0</v>
      </c>
      <c r="CJ2344" s="16" t="e">
        <f t="shared" si="582"/>
        <v>#N/A</v>
      </c>
      <c r="CK2344" s="16" t="str">
        <f t="shared" si="583"/>
        <v/>
      </c>
    </row>
    <row r="2345" spans="73:89" ht="12" customHeight="1">
      <c r="BU2345" s="16">
        <f t="shared" si="584"/>
        <v>0</v>
      </c>
      <c r="BV2345" s="16">
        <f>IF($BY$12=1,NORMDIST(BY2345,$Y$6,$Y$8,TRUE),IF($BY$12=2,IF(BY2345&lt;=$BX$31,0,IF(BY2345&gt;=$BX$32,1,(BY2345-$BX$31)*$BX$33)),SUM($BU$42:BU2345)/$BV$40))</f>
        <v>1</v>
      </c>
      <c r="BW2345" s="16">
        <f t="shared" si="586"/>
        <v>1.03411509565575E-17</v>
      </c>
      <c r="BY2345" s="16">
        <f t="shared" si="587"/>
        <v>230.2999999999912</v>
      </c>
      <c r="BZ2345" s="16">
        <f t="shared" si="578"/>
        <v>4.4902956823959595E-20</v>
      </c>
      <c r="CA2345" s="16">
        <f t="shared" si="585"/>
        <v>-999</v>
      </c>
      <c r="CE2345" s="16" t="e">
        <f t="shared" si="579"/>
        <v>#N/A</v>
      </c>
      <c r="CF2345" s="16">
        <f t="shared" si="580"/>
        <v>99</v>
      </c>
      <c r="CG2345" s="16">
        <f t="shared" si="581"/>
        <v>0</v>
      </c>
      <c r="CH2345" s="16">
        <f t="shared" si="588"/>
        <v>0</v>
      </c>
      <c r="CJ2345" s="16" t="e">
        <f t="shared" si="582"/>
        <v>#N/A</v>
      </c>
      <c r="CK2345" s="16" t="str">
        <f t="shared" si="583"/>
        <v/>
      </c>
    </row>
    <row r="2346" spans="73:89" ht="12" customHeight="1">
      <c r="BU2346" s="16">
        <f t="shared" si="584"/>
        <v>0</v>
      </c>
      <c r="BV2346" s="16">
        <f>IF($BY$12=1,NORMDIST(BY2346,$Y$6,$Y$8,TRUE),IF($BY$12=2,IF(BY2346&lt;=$BX$31,0,IF(BY2346&gt;=$BX$32,1,(BY2346-$BX$31)*$BX$33)),SUM($BU$42:BU2346)/$BV$40))</f>
        <v>1</v>
      </c>
      <c r="BW2346" s="16">
        <f t="shared" si="586"/>
        <v>9.8895416123394522E-18</v>
      </c>
      <c r="BY2346" s="16">
        <f t="shared" si="587"/>
        <v>230.39999999999119</v>
      </c>
      <c r="BZ2346" s="16">
        <f t="shared" ref="BZ2346:BZ2409" si="589">IF($BZ$5,IF($BY$12=1,NORMDIST(BY2346,$Y$6,$Y$8,FALSE),IF($BY$12=2,IF(AND(BY2346&gt;=$BX$31,BY2346&lt;=$BX$32),$BX$33,0),IF(BY2346&lt;=$BX$13,0,NORMDIST(LN((BY2346-$BX$13)/$BX$12),0,$BW$8,FALSE)/((BY2346-$BX$13)/$BX$12)))),-999)</f>
        <v>4.292335769244718E-20</v>
      </c>
      <c r="CA2346" s="16">
        <f t="shared" si="585"/>
        <v>-999</v>
      </c>
      <c r="CE2346" s="16" t="e">
        <f t="shared" ref="CE2346:CE2409" si="590">IF(AND($CB$7,$CD$2,$CD$1),26+$P$23/2-CC2346*$P$23,NA())</f>
        <v>#N/A</v>
      </c>
      <c r="CF2346" s="16">
        <f t="shared" ref="CF2346:CF2409" si="591">IF(ISNA(CJ2346),99,CJ2346)</f>
        <v>99</v>
      </c>
      <c r="CG2346" s="16">
        <f t="shared" ref="CG2346:CG2409" si="592">IF(ISNA(CJ2346),0,CJ2346)</f>
        <v>0</v>
      </c>
      <c r="CH2346" s="16">
        <f t="shared" si="588"/>
        <v>0</v>
      </c>
      <c r="CJ2346" s="16" t="e">
        <f t="shared" ref="CJ2346:CJ2409" si="593">IF(CH2346=1,CE2346,NA())</f>
        <v>#N/A</v>
      </c>
      <c r="CK2346" s="16" t="str">
        <f t="shared" ref="CK2346:CK2409" si="594">IF(CH2346=1,M2245,"")</f>
        <v/>
      </c>
    </row>
    <row r="2347" spans="73:89" ht="12" customHeight="1">
      <c r="BU2347" s="16">
        <f t="shared" ref="BU2347:BU2410" si="595">IF($BY$12&lt;3,0,IF(BY2347&lt;=$BX$13,0,NORMDIST(LN((BY2347-$BX$13)/$BX$12),0,$BW$8,FALSE)/((BY2347-$BX$13)/$BX$12)))</f>
        <v>0</v>
      </c>
      <c r="BV2347" s="16">
        <f>IF($BY$12=1,NORMDIST(BY2347,$Y$6,$Y$8,TRUE),IF($BY$12=2,IF(BY2347&lt;=$BX$31,0,IF(BY2347&gt;=$BX$32,1,(BY2347-$BX$31)*$BX$33)),SUM($BU$42:BU2347)/$BV$40))</f>
        <v>1</v>
      </c>
      <c r="BW2347" s="16">
        <f t="shared" si="586"/>
        <v>9.4574163208807458E-18</v>
      </c>
      <c r="BY2347" s="16">
        <f t="shared" si="587"/>
        <v>230.49999999999119</v>
      </c>
      <c r="BZ2347" s="16">
        <f t="shared" si="589"/>
        <v>4.1030005730503719E-20</v>
      </c>
      <c r="CA2347" s="16">
        <f t="shared" ref="CA2347:CA2410" si="596">IF(AND($CD$1,$CD$3),26-$CD$40*NORMDIST(BY2347,$Y$6,$Y$8/SQRT($T$18),FALSE),-999)</f>
        <v>-999</v>
      </c>
      <c r="CE2347" s="16" t="e">
        <f t="shared" si="590"/>
        <v>#N/A</v>
      </c>
      <c r="CF2347" s="16">
        <f t="shared" si="591"/>
        <v>99</v>
      </c>
      <c r="CG2347" s="16">
        <f t="shared" si="592"/>
        <v>0</v>
      </c>
      <c r="CH2347" s="16">
        <f t="shared" si="588"/>
        <v>0</v>
      </c>
      <c r="CJ2347" s="16" t="e">
        <f t="shared" si="593"/>
        <v>#N/A</v>
      </c>
      <c r="CK2347" s="16" t="str">
        <f t="shared" si="594"/>
        <v/>
      </c>
    </row>
    <row r="2348" spans="73:89" ht="12" customHeight="1">
      <c r="BU2348" s="16">
        <f t="shared" si="595"/>
        <v>0</v>
      </c>
      <c r="BV2348" s="16">
        <f>IF($BY$12=1,NORMDIST(BY2348,$Y$6,$Y$8,TRUE),IF($BY$12=2,IF(BY2348&lt;=$BX$31,0,IF(BY2348&gt;=$BX$32,1,(BY2348-$BX$31)*$BX$33)),SUM($BU$42:BU2348)/$BV$40))</f>
        <v>1</v>
      </c>
      <c r="BW2348" s="16">
        <f t="shared" si="586"/>
        <v>9.0439450176876941E-18</v>
      </c>
      <c r="BY2348" s="16">
        <f t="shared" si="587"/>
        <v>230.59999999999118</v>
      </c>
      <c r="BZ2348" s="16">
        <f t="shared" si="589"/>
        <v>3.9219189148690546E-20</v>
      </c>
      <c r="CA2348" s="16">
        <f t="shared" si="596"/>
        <v>-999</v>
      </c>
      <c r="CE2348" s="16" t="e">
        <f t="shared" si="590"/>
        <v>#N/A</v>
      </c>
      <c r="CF2348" s="16">
        <f t="shared" si="591"/>
        <v>99</v>
      </c>
      <c r="CG2348" s="16">
        <f t="shared" si="592"/>
        <v>0</v>
      </c>
      <c r="CH2348" s="16">
        <f t="shared" si="588"/>
        <v>0</v>
      </c>
      <c r="CJ2348" s="16" t="e">
        <f t="shared" si="593"/>
        <v>#N/A</v>
      </c>
      <c r="CK2348" s="16" t="str">
        <f t="shared" si="594"/>
        <v/>
      </c>
    </row>
    <row r="2349" spans="73:89" ht="12" customHeight="1">
      <c r="BU2349" s="16">
        <f t="shared" si="595"/>
        <v>0</v>
      </c>
      <c r="BV2349" s="16">
        <f>IF($BY$12=1,NORMDIST(BY2349,$Y$6,$Y$8,TRUE),IF($BY$12=2,IF(BY2349&lt;=$BX$31,0,IF(BY2349&gt;=$BX$32,1,(BY2349-$BX$31)*$BX$33)),SUM($BU$42:BU2349)/$BV$40))</f>
        <v>1</v>
      </c>
      <c r="BW2349" s="16">
        <f t="shared" si="586"/>
        <v>8.6483325391242368E-18</v>
      </c>
      <c r="BY2349" s="16">
        <f t="shared" si="587"/>
        <v>230.69999999999118</v>
      </c>
      <c r="BZ2349" s="16">
        <f t="shared" si="589"/>
        <v>3.7487353875702503E-20</v>
      </c>
      <c r="CA2349" s="16">
        <f t="shared" si="596"/>
        <v>-999</v>
      </c>
      <c r="CE2349" s="16" t="e">
        <f t="shared" si="590"/>
        <v>#N/A</v>
      </c>
      <c r="CF2349" s="16">
        <f t="shared" si="591"/>
        <v>99</v>
      </c>
      <c r="CG2349" s="16">
        <f t="shared" si="592"/>
        <v>0</v>
      </c>
      <c r="CH2349" s="16">
        <f t="shared" si="588"/>
        <v>0</v>
      </c>
      <c r="CJ2349" s="16" t="e">
        <f t="shared" si="593"/>
        <v>#N/A</v>
      </c>
      <c r="CK2349" s="16" t="str">
        <f t="shared" si="594"/>
        <v/>
      </c>
    </row>
    <row r="2350" spans="73:89" ht="12" customHeight="1">
      <c r="BU2350" s="16">
        <f t="shared" si="595"/>
        <v>0</v>
      </c>
      <c r="BV2350" s="16">
        <f>IF($BY$12=1,NORMDIST(BY2350,$Y$6,$Y$8,TRUE),IF($BY$12=2,IF(BY2350&lt;=$BX$31,0,IF(BY2350&gt;=$BX$32,1,(BY2350-$BX$31)*$BX$33)),SUM($BU$42:BU2350)/$BV$40))</f>
        <v>1</v>
      </c>
      <c r="BW2350" s="16">
        <f t="shared" si="586"/>
        <v>8.2698171749513589E-18</v>
      </c>
      <c r="BY2350" s="16">
        <f t="shared" si="587"/>
        <v>230.79999999999117</v>
      </c>
      <c r="BZ2350" s="16">
        <f t="shared" si="589"/>
        <v>3.5831096945197898E-20</v>
      </c>
      <c r="CA2350" s="16">
        <f t="shared" si="596"/>
        <v>-999</v>
      </c>
      <c r="CE2350" s="16" t="e">
        <f t="shared" si="590"/>
        <v>#N/A</v>
      </c>
      <c r="CF2350" s="16">
        <f t="shared" si="591"/>
        <v>99</v>
      </c>
      <c r="CG2350" s="16">
        <f t="shared" si="592"/>
        <v>0</v>
      </c>
      <c r="CH2350" s="16">
        <f t="shared" si="588"/>
        <v>0</v>
      </c>
      <c r="CJ2350" s="16" t="e">
        <f t="shared" si="593"/>
        <v>#N/A</v>
      </c>
      <c r="CK2350" s="16" t="str">
        <f t="shared" si="594"/>
        <v/>
      </c>
    </row>
    <row r="2351" spans="73:89" ht="12" customHeight="1">
      <c r="BU2351" s="16">
        <f t="shared" si="595"/>
        <v>0</v>
      </c>
      <c r="BV2351" s="16">
        <f>IF($BY$12=1,NORMDIST(BY2351,$Y$6,$Y$8,TRUE),IF($BY$12=2,IF(BY2351&lt;=$BX$31,0,IF(BY2351&gt;=$BX$32,1,(BY2351-$BX$31)*$BX$33)),SUM($BU$42:BU2351)/$BV$40))</f>
        <v>1</v>
      </c>
      <c r="BW2351" s="16">
        <f t="shared" si="586"/>
        <v>7.9076692800437813E-18</v>
      </c>
      <c r="BY2351" s="16">
        <f t="shared" si="587"/>
        <v>230.89999999999117</v>
      </c>
      <c r="BZ2351" s="16">
        <f t="shared" si="589"/>
        <v>3.4247160156102572E-20</v>
      </c>
      <c r="CA2351" s="16">
        <f t="shared" si="596"/>
        <v>-999</v>
      </c>
      <c r="CE2351" s="16" t="e">
        <f t="shared" si="590"/>
        <v>#N/A</v>
      </c>
      <c r="CF2351" s="16">
        <f t="shared" si="591"/>
        <v>99</v>
      </c>
      <c r="CG2351" s="16">
        <f t="shared" si="592"/>
        <v>0</v>
      </c>
      <c r="CH2351" s="16">
        <f t="shared" si="588"/>
        <v>0</v>
      </c>
      <c r="CJ2351" s="16" t="e">
        <f t="shared" si="593"/>
        <v>#N/A</v>
      </c>
      <c r="CK2351" s="16" t="str">
        <f t="shared" si="594"/>
        <v/>
      </c>
    </row>
    <row r="2352" spans="73:89" ht="12" customHeight="1">
      <c r="BU2352" s="16">
        <f t="shared" si="595"/>
        <v>0</v>
      </c>
      <c r="BV2352" s="16">
        <f>IF($BY$12=1,NORMDIST(BY2352,$Y$6,$Y$8,TRUE),IF($BY$12=2,IF(BY2352&lt;=$BX$31,0,IF(BY2352&gt;=$BX$32,1,(BY2352-$BX$31)*$BX$33)),SUM($BU$42:BU2352)/$BV$40))</f>
        <v>1</v>
      </c>
      <c r="BW2352" s="16">
        <f t="shared" si="586"/>
        <v>7.5611899429002321E-18</v>
      </c>
      <c r="BY2352" s="16">
        <f t="shared" si="587"/>
        <v>230.99999999999116</v>
      </c>
      <c r="BZ2352" s="16">
        <f t="shared" si="589"/>
        <v>3.2732423995240354E-20</v>
      </c>
      <c r="CA2352" s="16">
        <f t="shared" si="596"/>
        <v>-999</v>
      </c>
      <c r="CE2352" s="16" t="e">
        <f t="shared" si="590"/>
        <v>#N/A</v>
      </c>
      <c r="CF2352" s="16">
        <f t="shared" si="591"/>
        <v>99</v>
      </c>
      <c r="CG2352" s="16">
        <f t="shared" si="592"/>
        <v>0</v>
      </c>
      <c r="CH2352" s="16">
        <f t="shared" si="588"/>
        <v>0</v>
      </c>
      <c r="CJ2352" s="16" t="e">
        <f t="shared" si="593"/>
        <v>#N/A</v>
      </c>
      <c r="CK2352" s="16" t="str">
        <f t="shared" si="594"/>
        <v/>
      </c>
    </row>
    <row r="2353" spans="73:89" ht="12" customHeight="1">
      <c r="BU2353" s="16">
        <f t="shared" si="595"/>
        <v>0</v>
      </c>
      <c r="BV2353" s="16">
        <f>IF($BY$12=1,NORMDIST(BY2353,$Y$6,$Y$8,TRUE),IF($BY$12=2,IF(BY2353&lt;=$BX$31,0,IF(BY2353&gt;=$BX$32,1,(BY2353-$BX$31)*$BX$33)),SUM($BU$42:BU2353)/$BV$40))</f>
        <v>1</v>
      </c>
      <c r="BW2353" s="16">
        <f t="shared" si="586"/>
        <v>7.229709708659398E-18</v>
      </c>
      <c r="BY2353" s="16">
        <f t="shared" si="587"/>
        <v>231.09999999999116</v>
      </c>
      <c r="BZ2353" s="16">
        <f t="shared" si="589"/>
        <v>3.1283901811595306E-20</v>
      </c>
      <c r="CA2353" s="16">
        <f t="shared" si="596"/>
        <v>-999</v>
      </c>
      <c r="CE2353" s="16" t="e">
        <f t="shared" si="590"/>
        <v>#N/A</v>
      </c>
      <c r="CF2353" s="16">
        <f t="shared" si="591"/>
        <v>99</v>
      </c>
      <c r="CG2353" s="16">
        <f t="shared" si="592"/>
        <v>0</v>
      </c>
      <c r="CH2353" s="16">
        <f t="shared" si="588"/>
        <v>0</v>
      </c>
      <c r="CJ2353" s="16" t="e">
        <f t="shared" si="593"/>
        <v>#N/A</v>
      </c>
      <c r="CK2353" s="16" t="str">
        <f t="shared" si="594"/>
        <v/>
      </c>
    </row>
    <row r="2354" spans="73:89" ht="12" customHeight="1">
      <c r="BU2354" s="16">
        <f t="shared" si="595"/>
        <v>0</v>
      </c>
      <c r="BV2354" s="16">
        <f>IF($BY$12=1,NORMDIST(BY2354,$Y$6,$Y$8,TRUE),IF($BY$12=2,IF(BY2354&lt;=$BX$31,0,IF(BY2354&gt;=$BX$32,1,(BY2354-$BX$31)*$BX$33)),SUM($BU$42:BU2354)/$BV$40))</f>
        <v>1</v>
      </c>
      <c r="BW2354" s="16">
        <f t="shared" si="586"/>
        <v>6.9125873544220251E-18</v>
      </c>
      <c r="BY2354" s="16">
        <f t="shared" si="587"/>
        <v>231.19999999999115</v>
      </c>
      <c r="BZ2354" s="16">
        <f t="shared" si="589"/>
        <v>2.9898734231930318E-20</v>
      </c>
      <c r="CA2354" s="16">
        <f t="shared" si="596"/>
        <v>-999</v>
      </c>
      <c r="CE2354" s="16" t="e">
        <f t="shared" si="590"/>
        <v>#N/A</v>
      </c>
      <c r="CF2354" s="16">
        <f t="shared" si="591"/>
        <v>99</v>
      </c>
      <c r="CG2354" s="16">
        <f t="shared" si="592"/>
        <v>0</v>
      </c>
      <c r="CH2354" s="16">
        <f t="shared" si="588"/>
        <v>0</v>
      </c>
      <c r="CJ2354" s="16" t="e">
        <f t="shared" si="593"/>
        <v>#N/A</v>
      </c>
      <c r="CK2354" s="16" t="str">
        <f t="shared" si="594"/>
        <v/>
      </c>
    </row>
    <row r="2355" spans="73:89" ht="12" customHeight="1">
      <c r="BU2355" s="16">
        <f t="shared" si="595"/>
        <v>0</v>
      </c>
      <c r="BV2355" s="16">
        <f>IF($BY$12=1,NORMDIST(BY2355,$Y$6,$Y$8,TRUE),IF($BY$12=2,IF(BY2355&lt;=$BX$31,0,IF(BY2355&gt;=$BX$32,1,(BY2355-$BX$31)*$BX$33)),SUM($BU$42:BU2355)/$BV$40))</f>
        <v>1</v>
      </c>
      <c r="BW2355" s="16">
        <f t="shared" si="586"/>
        <v>6.6092087147701894E-18</v>
      </c>
      <c r="BY2355" s="16">
        <f t="shared" si="587"/>
        <v>231.29999999999114</v>
      </c>
      <c r="BZ2355" s="16">
        <f t="shared" si="589"/>
        <v>2.8574183807913716E-20</v>
      </c>
      <c r="CA2355" s="16">
        <f t="shared" si="596"/>
        <v>-999</v>
      </c>
      <c r="CE2355" s="16" t="e">
        <f t="shared" si="590"/>
        <v>#N/A</v>
      </c>
      <c r="CF2355" s="16">
        <f t="shared" si="591"/>
        <v>99</v>
      </c>
      <c r="CG2355" s="16">
        <f t="shared" si="592"/>
        <v>0</v>
      </c>
      <c r="CH2355" s="16">
        <f t="shared" si="588"/>
        <v>0</v>
      </c>
      <c r="CJ2355" s="16" t="e">
        <f t="shared" si="593"/>
        <v>#N/A</v>
      </c>
      <c r="CK2355" s="16" t="str">
        <f t="shared" si="594"/>
        <v/>
      </c>
    </row>
    <row r="2356" spans="73:89" ht="12" customHeight="1">
      <c r="BU2356" s="16">
        <f t="shared" si="595"/>
        <v>0</v>
      </c>
      <c r="BV2356" s="16">
        <f>IF($BY$12=1,NORMDIST(BY2356,$Y$6,$Y$8,TRUE),IF($BY$12=2,IF(BY2356&lt;=$BX$31,0,IF(BY2356&gt;=$BX$32,1,(BY2356-$BX$31)*$BX$33)),SUM($BU$42:BU2356)/$BV$40))</f>
        <v>1</v>
      </c>
      <c r="BW2356" s="16">
        <f t="shared" si="586"/>
        <v>6.3189855554548595E-18</v>
      </c>
      <c r="BY2356" s="16">
        <f t="shared" si="587"/>
        <v>231.39999999999114</v>
      </c>
      <c r="BZ2356" s="16">
        <f t="shared" si="589"/>
        <v>2.7307629885285659E-20</v>
      </c>
      <c r="CA2356" s="16">
        <f t="shared" si="596"/>
        <v>-999</v>
      </c>
      <c r="CE2356" s="16" t="e">
        <f t="shared" si="590"/>
        <v>#N/A</v>
      </c>
      <c r="CF2356" s="16">
        <f t="shared" si="591"/>
        <v>99</v>
      </c>
      <c r="CG2356" s="16">
        <f t="shared" si="592"/>
        <v>0</v>
      </c>
      <c r="CH2356" s="16">
        <f t="shared" si="588"/>
        <v>0</v>
      </c>
      <c r="CJ2356" s="16" t="e">
        <f t="shared" si="593"/>
        <v>#N/A</v>
      </c>
      <c r="CK2356" s="16" t="str">
        <f t="shared" si="594"/>
        <v/>
      </c>
    </row>
    <row r="2357" spans="73:89" ht="12" customHeight="1">
      <c r="BU2357" s="16">
        <f t="shared" si="595"/>
        <v>0</v>
      </c>
      <c r="BV2357" s="16">
        <f>IF($BY$12=1,NORMDIST(BY2357,$Y$6,$Y$8,TRUE),IF($BY$12=2,IF(BY2357&lt;=$BX$31,0,IF(BY2357&gt;=$BX$32,1,(BY2357-$BX$31)*$BX$33)),SUM($BU$42:BU2357)/$BV$40))</f>
        <v>1</v>
      </c>
      <c r="BW2357" s="16">
        <f t="shared" si="586"/>
        <v>6.0413544933074134E-18</v>
      </c>
      <c r="BY2357" s="16">
        <f t="shared" si="587"/>
        <v>231.49999999999113</v>
      </c>
      <c r="BZ2357" s="16">
        <f t="shared" si="589"/>
        <v>2.6096563685994147E-20</v>
      </c>
      <c r="CA2357" s="16">
        <f t="shared" si="596"/>
        <v>-999</v>
      </c>
      <c r="CE2357" s="16" t="e">
        <f t="shared" si="590"/>
        <v>#N/A</v>
      </c>
      <c r="CF2357" s="16">
        <f t="shared" si="591"/>
        <v>99</v>
      </c>
      <c r="CG2357" s="16">
        <f t="shared" si="592"/>
        <v>0</v>
      </c>
      <c r="CH2357" s="16">
        <f t="shared" si="588"/>
        <v>0</v>
      </c>
      <c r="CJ2357" s="16" t="e">
        <f t="shared" si="593"/>
        <v>#N/A</v>
      </c>
      <c r="CK2357" s="16" t="str">
        <f t="shared" si="594"/>
        <v/>
      </c>
    </row>
    <row r="2358" spans="73:89" ht="12" customHeight="1">
      <c r="BU2358" s="16">
        <f t="shared" si="595"/>
        <v>0</v>
      </c>
      <c r="BV2358" s="16">
        <f>IF($BY$12=1,NORMDIST(BY2358,$Y$6,$Y$8,TRUE),IF($BY$12=2,IF(BY2358&lt;=$BX$31,0,IF(BY2358&gt;=$BX$32,1,(BY2358-$BX$31)*$BX$33)),SUM($BU$42:BU2358)/$BV$40))</f>
        <v>1</v>
      </c>
      <c r="BW2358" s="16">
        <f t="shared" si="586"/>
        <v>5.7757759605047196E-18</v>
      </c>
      <c r="BY2358" s="16">
        <f t="shared" si="587"/>
        <v>231.59999999999113</v>
      </c>
      <c r="BZ2358" s="16">
        <f t="shared" si="589"/>
        <v>2.4938583594580921E-20</v>
      </c>
      <c r="CA2358" s="16">
        <f t="shared" si="596"/>
        <v>-999</v>
      </c>
      <c r="CE2358" s="16" t="e">
        <f t="shared" si="590"/>
        <v>#N/A</v>
      </c>
      <c r="CF2358" s="16">
        <f t="shared" si="591"/>
        <v>99</v>
      </c>
      <c r="CG2358" s="16">
        <f t="shared" si="592"/>
        <v>0</v>
      </c>
      <c r="CH2358" s="16">
        <f t="shared" si="588"/>
        <v>0</v>
      </c>
      <c r="CJ2358" s="16" t="e">
        <f t="shared" si="593"/>
        <v>#N/A</v>
      </c>
      <c r="CK2358" s="16" t="str">
        <f t="shared" si="594"/>
        <v/>
      </c>
    </row>
    <row r="2359" spans="73:89" ht="12" customHeight="1">
      <c r="BU2359" s="16">
        <f t="shared" si="595"/>
        <v>0</v>
      </c>
      <c r="BV2359" s="16">
        <f>IF($BY$12=1,NORMDIST(BY2359,$Y$6,$Y$8,TRUE),IF($BY$12=2,IF(BY2359&lt;=$BX$31,0,IF(BY2359&gt;=$BX$32,1,(BY2359-$BX$31)*$BX$33)),SUM($BU$42:BU2359)/$BV$40))</f>
        <v>1</v>
      </c>
      <c r="BW2359" s="16">
        <f t="shared" si="586"/>
        <v>5.5217332113933599E-18</v>
      </c>
      <c r="BY2359" s="16">
        <f t="shared" si="587"/>
        <v>231.69999999999112</v>
      </c>
      <c r="BZ2359" s="16">
        <f t="shared" si="589"/>
        <v>2.3831390640455639E-20</v>
      </c>
      <c r="CA2359" s="16">
        <f t="shared" si="596"/>
        <v>-999</v>
      </c>
      <c r="CE2359" s="16" t="e">
        <f t="shared" si="590"/>
        <v>#N/A</v>
      </c>
      <c r="CF2359" s="16">
        <f t="shared" si="591"/>
        <v>99</v>
      </c>
      <c r="CG2359" s="16">
        <f t="shared" si="592"/>
        <v>0</v>
      </c>
      <c r="CH2359" s="16">
        <f t="shared" si="588"/>
        <v>0</v>
      </c>
      <c r="CJ2359" s="16" t="e">
        <f t="shared" si="593"/>
        <v>#N/A</v>
      </c>
      <c r="CK2359" s="16" t="str">
        <f t="shared" si="594"/>
        <v/>
      </c>
    </row>
    <row r="2360" spans="73:89" ht="12" customHeight="1">
      <c r="BU2360" s="16">
        <f t="shared" si="595"/>
        <v>0</v>
      </c>
      <c r="BV2360" s="16">
        <f>IF($BY$12=1,NORMDIST(BY2360,$Y$6,$Y$8,TRUE),IF($BY$12=2,IF(BY2360&lt;=$BX$31,0,IF(BY2360&gt;=$BX$32,1,(BY2360-$BX$31)*$BX$33)),SUM($BU$42:BU2360)/$BV$40))</f>
        <v>1</v>
      </c>
      <c r="BW2360" s="16">
        <f t="shared" si="586"/>
        <v>5.278731370151168E-18</v>
      </c>
      <c r="BY2360" s="16">
        <f t="shared" si="587"/>
        <v>231.79999999999112</v>
      </c>
      <c r="BZ2360" s="16">
        <f t="shared" si="589"/>
        <v>2.2772784168038697E-20</v>
      </c>
      <c r="CA2360" s="16">
        <f t="shared" si="596"/>
        <v>-999</v>
      </c>
      <c r="CE2360" s="16" t="e">
        <f t="shared" si="590"/>
        <v>#N/A</v>
      </c>
      <c r="CF2360" s="16">
        <f t="shared" si="591"/>
        <v>99</v>
      </c>
      <c r="CG2360" s="16">
        <f t="shared" si="592"/>
        <v>0</v>
      </c>
      <c r="CH2360" s="16">
        <f t="shared" si="588"/>
        <v>0</v>
      </c>
      <c r="CJ2360" s="16" t="e">
        <f t="shared" si="593"/>
        <v>#N/A</v>
      </c>
      <c r="CK2360" s="16" t="str">
        <f t="shared" si="594"/>
        <v/>
      </c>
    </row>
    <row r="2361" spans="73:89" ht="12" customHeight="1">
      <c r="BU2361" s="16">
        <f t="shared" si="595"/>
        <v>0</v>
      </c>
      <c r="BV2361" s="16">
        <f>IF($BY$12=1,NORMDIST(BY2361,$Y$6,$Y$8,TRUE),IF($BY$12=2,IF(BY2361&lt;=$BX$31,0,IF(BY2361&gt;=$BX$32,1,(BY2361-$BX$31)*$BX$33)),SUM($BU$42:BU2361)/$BV$40))</f>
        <v>1</v>
      </c>
      <c r="BW2361" s="16">
        <f t="shared" si="586"/>
        <v>5.0462965176300406E-18</v>
      </c>
      <c r="BY2361" s="16">
        <f t="shared" si="587"/>
        <v>231.89999999999111</v>
      </c>
      <c r="BZ2361" s="16">
        <f t="shared" si="589"/>
        <v>2.1760657687064397E-20</v>
      </c>
      <c r="CA2361" s="16">
        <f t="shared" si="596"/>
        <v>-999</v>
      </c>
      <c r="CE2361" s="16" t="e">
        <f t="shared" si="590"/>
        <v>#N/A</v>
      </c>
      <c r="CF2361" s="16">
        <f t="shared" si="591"/>
        <v>99</v>
      </c>
      <c r="CG2361" s="16">
        <f t="shared" si="592"/>
        <v>0</v>
      </c>
      <c r="CH2361" s="16">
        <f t="shared" si="588"/>
        <v>0</v>
      </c>
      <c r="CJ2361" s="16" t="e">
        <f t="shared" si="593"/>
        <v>#N/A</v>
      </c>
      <c r="CK2361" s="16" t="str">
        <f t="shared" si="594"/>
        <v/>
      </c>
    </row>
    <row r="2362" spans="73:89" ht="12" customHeight="1">
      <c r="BU2362" s="16">
        <f t="shared" si="595"/>
        <v>0</v>
      </c>
      <c r="BV2362" s="16">
        <f>IF($BY$12=1,NORMDIST(BY2362,$Y$6,$Y$8,TRUE),IF($BY$12=2,IF(BY2362&lt;=$BX$31,0,IF(BY2362&gt;=$BX$32,1,(BY2362-$BX$31)*$BX$33)),SUM($BU$42:BU2362)/$BV$40))</f>
        <v>1</v>
      </c>
      <c r="BW2362" s="16">
        <f t="shared" si="586"/>
        <v>4.8239748157929034E-18</v>
      </c>
      <c r="BY2362" s="16">
        <f t="shared" si="587"/>
        <v>231.9999999999911</v>
      </c>
      <c r="BZ2362" s="16">
        <f t="shared" si="589"/>
        <v>2.0792994895659865E-20</v>
      </c>
      <c r="CA2362" s="16">
        <f t="shared" si="596"/>
        <v>-999</v>
      </c>
      <c r="CE2362" s="16" t="e">
        <f t="shared" si="590"/>
        <v>#N/A</v>
      </c>
      <c r="CF2362" s="16">
        <f t="shared" si="591"/>
        <v>99</v>
      </c>
      <c r="CG2362" s="16">
        <f t="shared" si="592"/>
        <v>0</v>
      </c>
      <c r="CH2362" s="16">
        <f t="shared" si="588"/>
        <v>0</v>
      </c>
      <c r="CJ2362" s="16" t="e">
        <f t="shared" si="593"/>
        <v>#N/A</v>
      </c>
      <c r="CK2362" s="16" t="str">
        <f t="shared" si="594"/>
        <v/>
      </c>
    </row>
    <row r="2363" spans="73:89" ht="12" customHeight="1">
      <c r="BU2363" s="16">
        <f t="shared" si="595"/>
        <v>0</v>
      </c>
      <c r="BV2363" s="16">
        <f>IF($BY$12=1,NORMDIST(BY2363,$Y$6,$Y$8,TRUE),IF($BY$12=2,IF(BY2363&lt;=$BX$31,0,IF(BY2363&gt;=$BX$32,1,(BY2363-$BX$31)*$BX$33)),SUM($BU$42:BU2363)/$BV$40))</f>
        <v>1</v>
      </c>
      <c r="BW2363" s="16">
        <f t="shared" ref="BW2363:BW2426" si="597">BY2363*BZ2363</f>
        <v>4.6113316682193652E-18</v>
      </c>
      <c r="BY2363" s="16">
        <f t="shared" ref="BY2363:BY2426" si="598">BY2362+$BZ$1</f>
        <v>232.0999999999911</v>
      </c>
      <c r="BZ2363" s="16">
        <f t="shared" si="589"/>
        <v>1.9867865869106168E-20</v>
      </c>
      <c r="CA2363" s="16">
        <f t="shared" si="596"/>
        <v>-999</v>
      </c>
      <c r="CE2363" s="16" t="e">
        <f t="shared" si="590"/>
        <v>#N/A</v>
      </c>
      <c r="CF2363" s="16">
        <f t="shared" si="591"/>
        <v>99</v>
      </c>
      <c r="CG2363" s="16">
        <f t="shared" si="592"/>
        <v>0</v>
      </c>
      <c r="CH2363" s="16">
        <f t="shared" si="588"/>
        <v>0</v>
      </c>
      <c r="CJ2363" s="16" t="e">
        <f t="shared" si="593"/>
        <v>#N/A</v>
      </c>
      <c r="CK2363" s="16" t="str">
        <f t="shared" si="594"/>
        <v/>
      </c>
    </row>
    <row r="2364" spans="73:89" ht="12" customHeight="1">
      <c r="BU2364" s="16">
        <f t="shared" si="595"/>
        <v>0</v>
      </c>
      <c r="BV2364" s="16">
        <f>IF($BY$12=1,NORMDIST(BY2364,$Y$6,$Y$8,TRUE),IF($BY$12=2,IF(BY2364&lt;=$BX$31,0,IF(BY2364&gt;=$BX$32,1,(BY2364-$BX$31)*$BX$33)),SUM($BU$42:BU2364)/$BV$40))</f>
        <v>1</v>
      </c>
      <c r="BW2364" s="16">
        <f t="shared" si="597"/>
        <v>4.4079509152156789E-18</v>
      </c>
      <c r="BY2364" s="16">
        <f t="shared" si="598"/>
        <v>232.19999999999109</v>
      </c>
      <c r="BZ2364" s="16">
        <f t="shared" si="589"/>
        <v>1.8983423407475659E-20</v>
      </c>
      <c r="CA2364" s="16">
        <f t="shared" si="596"/>
        <v>-999</v>
      </c>
      <c r="CE2364" s="16" t="e">
        <f t="shared" si="590"/>
        <v>#N/A</v>
      </c>
      <c r="CF2364" s="16">
        <f t="shared" si="591"/>
        <v>99</v>
      </c>
      <c r="CG2364" s="16">
        <f t="shared" si="592"/>
        <v>0</v>
      </c>
      <c r="CH2364" s="16">
        <f t="shared" si="588"/>
        <v>0</v>
      </c>
      <c r="CJ2364" s="16" t="e">
        <f t="shared" si="593"/>
        <v>#N/A</v>
      </c>
      <c r="CK2364" s="16" t="str">
        <f t="shared" si="594"/>
        <v/>
      </c>
    </row>
    <row r="2365" spans="73:89" ht="12" customHeight="1">
      <c r="BU2365" s="16">
        <f t="shared" si="595"/>
        <v>0</v>
      </c>
      <c r="BV2365" s="16">
        <f>IF($BY$12=1,NORMDIST(BY2365,$Y$6,$Y$8,TRUE),IF($BY$12=2,IF(BY2365&lt;=$BX$31,0,IF(BY2365&gt;=$BX$32,1,(BY2365-$BX$31)*$BX$33)),SUM($BU$42:BU2365)/$BV$40))</f>
        <v>1</v>
      </c>
      <c r="BW2365" s="16">
        <f t="shared" si="597"/>
        <v>4.2134340621241458E-18</v>
      </c>
      <c r="BY2365" s="16">
        <f t="shared" si="598"/>
        <v>232.29999999999109</v>
      </c>
      <c r="BZ2365" s="16">
        <f t="shared" si="589"/>
        <v>1.813789953561906E-20</v>
      </c>
      <c r="CA2365" s="16">
        <f t="shared" si="596"/>
        <v>-999</v>
      </c>
      <c r="CE2365" s="16" t="e">
        <f t="shared" si="590"/>
        <v>#N/A</v>
      </c>
      <c r="CF2365" s="16">
        <f t="shared" si="591"/>
        <v>99</v>
      </c>
      <c r="CG2365" s="16">
        <f t="shared" si="592"/>
        <v>0</v>
      </c>
      <c r="CH2365" s="16">
        <f t="shared" si="588"/>
        <v>0</v>
      </c>
      <c r="CJ2365" s="16" t="e">
        <f t="shared" si="593"/>
        <v>#N/A</v>
      </c>
      <c r="CK2365" s="16" t="str">
        <f t="shared" si="594"/>
        <v/>
      </c>
    </row>
    <row r="2366" spans="73:89" ht="12" customHeight="1">
      <c r="BU2366" s="16">
        <f t="shared" si="595"/>
        <v>0</v>
      </c>
      <c r="BV2366" s="16">
        <f>IF($BY$12=1,NORMDIST(BY2366,$Y$6,$Y$8,TRUE),IF($BY$12=2,IF(BY2366&lt;=$BX$31,0,IF(BY2366&gt;=$BX$32,1,(BY2366-$BX$31)*$BX$33)),SUM($BU$42:BU2366)/$BV$40))</f>
        <v>1</v>
      </c>
      <c r="BW2366" s="16">
        <f t="shared" si="597"/>
        <v>4.0273995394820192E-18</v>
      </c>
      <c r="BY2366" s="16">
        <f t="shared" si="598"/>
        <v>232.39999999999108</v>
      </c>
      <c r="BZ2366" s="16">
        <f t="shared" si="589"/>
        <v>1.7329602149234827E-20</v>
      </c>
      <c r="CA2366" s="16">
        <f t="shared" si="596"/>
        <v>-999</v>
      </c>
      <c r="CE2366" s="16" t="e">
        <f t="shared" si="590"/>
        <v>#N/A</v>
      </c>
      <c r="CF2366" s="16">
        <f t="shared" si="591"/>
        <v>99</v>
      </c>
      <c r="CG2366" s="16">
        <f t="shared" si="592"/>
        <v>0</v>
      </c>
      <c r="CH2366" s="16">
        <f t="shared" si="588"/>
        <v>0</v>
      </c>
      <c r="CJ2366" s="16" t="e">
        <f t="shared" si="593"/>
        <v>#N/A</v>
      </c>
      <c r="CK2366" s="16" t="str">
        <f t="shared" si="594"/>
        <v/>
      </c>
    </row>
    <row r="2367" spans="73:89" ht="12" customHeight="1">
      <c r="BU2367" s="16">
        <f t="shared" si="595"/>
        <v>0</v>
      </c>
      <c r="BV2367" s="16">
        <f>IF($BY$12=1,NORMDIST(BY2367,$Y$6,$Y$8,TRUE),IF($BY$12=2,IF(BY2367&lt;=$BX$31,0,IF(BY2367&gt;=$BX$32,1,(BY2367-$BX$31)*$BX$33)),SUM($BU$42:BU2367)/$BV$40))</f>
        <v>1</v>
      </c>
      <c r="BW2367" s="16">
        <f t="shared" si="597"/>
        <v>3.8494819937349943E-18</v>
      </c>
      <c r="BY2367" s="16">
        <f t="shared" si="598"/>
        <v>232.49999999999108</v>
      </c>
      <c r="BZ2367" s="16">
        <f t="shared" si="589"/>
        <v>1.6556911801011363E-20</v>
      </c>
      <c r="CA2367" s="16">
        <f t="shared" si="596"/>
        <v>-999</v>
      </c>
      <c r="CE2367" s="16" t="e">
        <f t="shared" si="590"/>
        <v>#N/A</v>
      </c>
      <c r="CF2367" s="16">
        <f t="shared" si="591"/>
        <v>99</v>
      </c>
      <c r="CG2367" s="16">
        <f t="shared" si="592"/>
        <v>0</v>
      </c>
      <c r="CH2367" s="16">
        <f t="shared" si="588"/>
        <v>0</v>
      </c>
      <c r="CJ2367" s="16" t="e">
        <f t="shared" si="593"/>
        <v>#N/A</v>
      </c>
      <c r="CK2367" s="16" t="str">
        <f t="shared" si="594"/>
        <v/>
      </c>
    </row>
    <row r="2368" spans="73:89" ht="12" customHeight="1">
      <c r="BU2368" s="16">
        <f t="shared" si="595"/>
        <v>0</v>
      </c>
      <c r="BV2368" s="16">
        <f>IF($BY$12=1,NORMDIST(BY2368,$Y$6,$Y$8,TRUE),IF($BY$12=2,IF(BY2368&lt;=$BX$31,0,IF(BY2368&gt;=$BX$32,1,(BY2368-$BX$31)*$BX$33)),SUM($BU$42:BU2368)/$BV$40))</f>
        <v>1</v>
      </c>
      <c r="BW2368" s="16">
        <f t="shared" si="597"/>
        <v>3.6793316072612079E-18</v>
      </c>
      <c r="BY2368" s="16">
        <f t="shared" si="598"/>
        <v>232.59999999999107</v>
      </c>
      <c r="BZ2368" s="16">
        <f t="shared" si="589"/>
        <v>1.5818278621072008E-20</v>
      </c>
      <c r="CA2368" s="16">
        <f t="shared" si="596"/>
        <v>-999</v>
      </c>
      <c r="CE2368" s="16" t="e">
        <f t="shared" si="590"/>
        <v>#N/A</v>
      </c>
      <c r="CF2368" s="16">
        <f t="shared" si="591"/>
        <v>99</v>
      </c>
      <c r="CG2368" s="16">
        <f t="shared" si="592"/>
        <v>0</v>
      </c>
      <c r="CH2368" s="16">
        <f t="shared" si="588"/>
        <v>0</v>
      </c>
      <c r="CJ2368" s="16" t="e">
        <f t="shared" si="593"/>
        <v>#N/A</v>
      </c>
      <c r="CK2368" s="16" t="str">
        <f t="shared" si="594"/>
        <v/>
      </c>
    </row>
    <row r="2369" spans="73:89" ht="12" customHeight="1">
      <c r="BU2369" s="16">
        <f t="shared" si="595"/>
        <v>0</v>
      </c>
      <c r="BV2369" s="16">
        <f>IF($BY$12=1,NORMDIST(BY2369,$Y$6,$Y$8,TRUE),IF($BY$12=2,IF(BY2369&lt;=$BX$31,0,IF(BY2369&gt;=$BX$32,1,(BY2369-$BX$31)*$BX$33)),SUM($BU$42:BU2369)/$BV$40))</f>
        <v>1</v>
      </c>
      <c r="BW2369" s="16">
        <f t="shared" si="597"/>
        <v>3.5166134465129416E-18</v>
      </c>
      <c r="BY2369" s="16">
        <f t="shared" si="598"/>
        <v>232.69999999999106</v>
      </c>
      <c r="BZ2369" s="16">
        <f t="shared" si="589"/>
        <v>1.5112219366192852E-20</v>
      </c>
      <c r="CA2369" s="16">
        <f t="shared" si="596"/>
        <v>-999</v>
      </c>
      <c r="CE2369" s="16" t="e">
        <f t="shared" si="590"/>
        <v>#N/A</v>
      </c>
      <c r="CF2369" s="16">
        <f t="shared" si="591"/>
        <v>99</v>
      </c>
      <c r="CG2369" s="16">
        <f t="shared" si="592"/>
        <v>0</v>
      </c>
      <c r="CH2369" s="16">
        <f t="shared" si="588"/>
        <v>0</v>
      </c>
      <c r="CJ2369" s="16" t="e">
        <f t="shared" si="593"/>
        <v>#N/A</v>
      </c>
      <c r="CK2369" s="16" t="str">
        <f t="shared" si="594"/>
        <v/>
      </c>
    </row>
    <row r="2370" spans="73:89" ht="12" customHeight="1">
      <c r="BU2370" s="16">
        <f t="shared" si="595"/>
        <v>0</v>
      </c>
      <c r="BV2370" s="16">
        <f>IF($BY$12=1,NORMDIST(BY2370,$Y$6,$Y$8,TRUE),IF($BY$12=2,IF(BY2370&lt;=$BX$31,0,IF(BY2370&gt;=$BX$32,1,(BY2370-$BX$31)*$BX$33)),SUM($BU$42:BU2370)/$BV$40))</f>
        <v>1</v>
      </c>
      <c r="BW2370" s="16">
        <f t="shared" si="597"/>
        <v>3.3610068371296853E-18</v>
      </c>
      <c r="BY2370" s="16">
        <f t="shared" si="598"/>
        <v>232.79999999999106</v>
      </c>
      <c r="BZ2370" s="16">
        <f t="shared" si="589"/>
        <v>1.4437314592482021E-20</v>
      </c>
      <c r="CA2370" s="16">
        <f t="shared" si="596"/>
        <v>-999</v>
      </c>
      <c r="CE2370" s="16" t="e">
        <f t="shared" si="590"/>
        <v>#N/A</v>
      </c>
      <c r="CF2370" s="16">
        <f t="shared" si="591"/>
        <v>99</v>
      </c>
      <c r="CG2370" s="16">
        <f t="shared" si="592"/>
        <v>0</v>
      </c>
      <c r="CH2370" s="16">
        <f t="shared" si="588"/>
        <v>0</v>
      </c>
      <c r="CJ2370" s="16" t="e">
        <f t="shared" si="593"/>
        <v>#N/A</v>
      </c>
      <c r="CK2370" s="16" t="str">
        <f t="shared" si="594"/>
        <v/>
      </c>
    </row>
    <row r="2371" spans="73:89" ht="12" customHeight="1">
      <c r="BU2371" s="16">
        <f t="shared" si="595"/>
        <v>0</v>
      </c>
      <c r="BV2371" s="16">
        <f>IF($BY$12=1,NORMDIST(BY2371,$Y$6,$Y$8,TRUE),IF($BY$12=2,IF(BY2371&lt;=$BX$31,0,IF(BY2371&gt;=$BX$32,1,(BY2371-$BX$31)*$BX$33)),SUM($BU$42:BU2371)/$BV$40))</f>
        <v>1</v>
      </c>
      <c r="BW2371" s="16">
        <f t="shared" si="597"/>
        <v>3.2122047649226939E-18</v>
      </c>
      <c r="BY2371" s="16">
        <f t="shared" si="598"/>
        <v>232.89999999999105</v>
      </c>
      <c r="BZ2371" s="16">
        <f t="shared" si="589"/>
        <v>1.3792205946426868E-20</v>
      </c>
      <c r="CA2371" s="16">
        <f t="shared" si="596"/>
        <v>-999</v>
      </c>
      <c r="CE2371" s="16" t="e">
        <f t="shared" si="590"/>
        <v>#N/A</v>
      </c>
      <c r="CF2371" s="16">
        <f t="shared" si="591"/>
        <v>99</v>
      </c>
      <c r="CG2371" s="16">
        <f t="shared" si="592"/>
        <v>0</v>
      </c>
      <c r="CH2371" s="16">
        <f t="shared" ref="CH2371:CH2434" si="599">IF(CB2371="",0,1)</f>
        <v>0</v>
      </c>
      <c r="CJ2371" s="16" t="e">
        <f t="shared" si="593"/>
        <v>#N/A</v>
      </c>
      <c r="CK2371" s="16" t="str">
        <f t="shared" si="594"/>
        <v/>
      </c>
    </row>
    <row r="2372" spans="73:89" ht="12" customHeight="1">
      <c r="BU2372" s="16">
        <f t="shared" si="595"/>
        <v>0</v>
      </c>
      <c r="BV2372" s="16">
        <f>IF($BY$12=1,NORMDIST(BY2372,$Y$6,$Y$8,TRUE),IF($BY$12=2,IF(BY2372&lt;=$BX$31,0,IF(BY2372&gt;=$BX$32,1,(BY2372-$BX$31)*$BX$33)),SUM($BU$42:BU2372)/$BV$40))</f>
        <v>1</v>
      </c>
      <c r="BW2372" s="16">
        <f t="shared" si="597"/>
        <v>3.0699133016759889E-18</v>
      </c>
      <c r="BY2372" s="16">
        <f t="shared" si="598"/>
        <v>232.99999999999105</v>
      </c>
      <c r="BZ2372" s="16">
        <f t="shared" si="589"/>
        <v>1.3175593569425352E-20</v>
      </c>
      <c r="CA2372" s="16">
        <f t="shared" si="596"/>
        <v>-999</v>
      </c>
      <c r="CE2372" s="16" t="e">
        <f t="shared" si="590"/>
        <v>#N/A</v>
      </c>
      <c r="CF2372" s="16">
        <f t="shared" si="591"/>
        <v>99</v>
      </c>
      <c r="CG2372" s="16">
        <f t="shared" si="592"/>
        <v>0</v>
      </c>
      <c r="CH2372" s="16">
        <f t="shared" si="599"/>
        <v>0</v>
      </c>
      <c r="CJ2372" s="16" t="e">
        <f t="shared" si="593"/>
        <v>#N/A</v>
      </c>
      <c r="CK2372" s="16" t="str">
        <f t="shared" si="594"/>
        <v/>
      </c>
    </row>
    <row r="2373" spans="73:89" ht="12" customHeight="1">
      <c r="BU2373" s="16">
        <f t="shared" si="595"/>
        <v>0</v>
      </c>
      <c r="BV2373" s="16">
        <f>IF($BY$12=1,NORMDIST(BY2373,$Y$6,$Y$8,TRUE),IF($BY$12=2,IF(BY2373&lt;=$BX$31,0,IF(BY2373&gt;=$BX$32,1,(BY2373-$BX$31)*$BX$33)),SUM($BU$42:BU2373)/$BV$40))</f>
        <v>1</v>
      </c>
      <c r="BW2373" s="16">
        <f t="shared" si="597"/>
        <v>2.9338510547498687E-18</v>
      </c>
      <c r="BY2373" s="16">
        <f t="shared" si="598"/>
        <v>233.09999999999104</v>
      </c>
      <c r="BZ2373" s="16">
        <f t="shared" si="589"/>
        <v>1.2586233611111033E-20</v>
      </c>
      <c r="CA2373" s="16">
        <f t="shared" si="596"/>
        <v>-999</v>
      </c>
      <c r="CE2373" s="16" t="e">
        <f t="shared" si="590"/>
        <v>#N/A</v>
      </c>
      <c r="CF2373" s="16">
        <f t="shared" si="591"/>
        <v>99</v>
      </c>
      <c r="CG2373" s="16">
        <f t="shared" si="592"/>
        <v>0</v>
      </c>
      <c r="CH2373" s="16">
        <f t="shared" si="599"/>
        <v>0</v>
      </c>
      <c r="CJ2373" s="16" t="e">
        <f t="shared" si="593"/>
        <v>#N/A</v>
      </c>
      <c r="CK2373" s="16" t="str">
        <f t="shared" si="594"/>
        <v/>
      </c>
    </row>
    <row r="2374" spans="73:89" ht="12" customHeight="1">
      <c r="BU2374" s="16">
        <f t="shared" si="595"/>
        <v>0</v>
      </c>
      <c r="BV2374" s="16">
        <f>IF($BY$12=1,NORMDIST(BY2374,$Y$6,$Y$8,TRUE),IF($BY$12=2,IF(BY2374&lt;=$BX$31,0,IF(BY2374&gt;=$BX$32,1,(BY2374-$BX$31)*$BX$33)),SUM($BU$42:BU2374)/$BV$40))</f>
        <v>1</v>
      </c>
      <c r="BW2374" s="16">
        <f t="shared" si="597"/>
        <v>2.8037486395150725E-18</v>
      </c>
      <c r="BY2374" s="16">
        <f t="shared" si="598"/>
        <v>233.19999999999104</v>
      </c>
      <c r="BZ2374" s="16">
        <f t="shared" si="589"/>
        <v>1.2022935846977617E-20</v>
      </c>
      <c r="CA2374" s="16">
        <f t="shared" si="596"/>
        <v>-999</v>
      </c>
      <c r="CE2374" s="16" t="e">
        <f t="shared" si="590"/>
        <v>#N/A</v>
      </c>
      <c r="CF2374" s="16">
        <f t="shared" si="591"/>
        <v>99</v>
      </c>
      <c r="CG2374" s="16">
        <f t="shared" si="592"/>
        <v>0</v>
      </c>
      <c r="CH2374" s="16">
        <f t="shared" si="599"/>
        <v>0</v>
      </c>
      <c r="CJ2374" s="16" t="e">
        <f t="shared" si="593"/>
        <v>#N/A</v>
      </c>
      <c r="CK2374" s="16" t="str">
        <f t="shared" si="594"/>
        <v/>
      </c>
    </row>
    <row r="2375" spans="73:89" ht="12" customHeight="1">
      <c r="BU2375" s="16">
        <f t="shared" si="595"/>
        <v>0</v>
      </c>
      <c r="BV2375" s="16">
        <f>IF($BY$12=1,NORMDIST(BY2375,$Y$6,$Y$8,TRUE),IF($BY$12=2,IF(BY2375&lt;=$BX$31,0,IF(BY2375&gt;=$BX$32,1,(BY2375-$BX$31)*$BX$33)),SUM($BU$42:BU2375)/$BV$40))</f>
        <v>1</v>
      </c>
      <c r="BW2375" s="16">
        <f t="shared" si="597"/>
        <v>2.6793481736839001E-18</v>
      </c>
      <c r="BY2375" s="16">
        <f t="shared" si="598"/>
        <v>233.29999999999103</v>
      </c>
      <c r="BZ2375" s="16">
        <f t="shared" si="589"/>
        <v>1.1484561395988011E-20</v>
      </c>
      <c r="CA2375" s="16">
        <f t="shared" si="596"/>
        <v>-999</v>
      </c>
      <c r="CE2375" s="16" t="e">
        <f t="shared" si="590"/>
        <v>#N/A</v>
      </c>
      <c r="CF2375" s="16">
        <f t="shared" si="591"/>
        <v>99</v>
      </c>
      <c r="CG2375" s="16">
        <f t="shared" si="592"/>
        <v>0</v>
      </c>
      <c r="CH2375" s="16">
        <f t="shared" si="599"/>
        <v>0</v>
      </c>
      <c r="CJ2375" s="16" t="e">
        <f t="shared" si="593"/>
        <v>#N/A</v>
      </c>
      <c r="CK2375" s="16" t="str">
        <f t="shared" si="594"/>
        <v/>
      </c>
    </row>
    <row r="2376" spans="73:89" ht="12" customHeight="1">
      <c r="BU2376" s="16">
        <f t="shared" si="595"/>
        <v>0</v>
      </c>
      <c r="BV2376" s="16">
        <f>IF($BY$12=1,NORMDIST(BY2376,$Y$6,$Y$8,TRUE),IF($BY$12=2,IF(BY2376&lt;=$BX$31,0,IF(BY2376&gt;=$BX$32,1,(BY2376-$BX$31)*$BX$33)),SUM($BU$42:BU2376)/$BV$40))</f>
        <v>1</v>
      </c>
      <c r="BW2376" s="16">
        <f t="shared" si="597"/>
        <v>2.5604027926425558E-18</v>
      </c>
      <c r="BY2376" s="16">
        <f t="shared" si="598"/>
        <v>233.39999999999102</v>
      </c>
      <c r="BZ2376" s="16">
        <f t="shared" si="589"/>
        <v>1.0970020534030223E-20</v>
      </c>
      <c r="CA2376" s="16">
        <f t="shared" si="596"/>
        <v>-999</v>
      </c>
      <c r="CE2376" s="16" t="e">
        <f t="shared" si="590"/>
        <v>#N/A</v>
      </c>
      <c r="CF2376" s="16">
        <f t="shared" si="591"/>
        <v>99</v>
      </c>
      <c r="CG2376" s="16">
        <f t="shared" si="592"/>
        <v>0</v>
      </c>
      <c r="CH2376" s="16">
        <f t="shared" si="599"/>
        <v>0</v>
      </c>
      <c r="CJ2376" s="16" t="e">
        <f t="shared" si="593"/>
        <v>#N/A</v>
      </c>
      <c r="CK2376" s="16" t="str">
        <f t="shared" si="594"/>
        <v/>
      </c>
    </row>
    <row r="2377" spans="73:89" ht="12" customHeight="1">
      <c r="BU2377" s="16">
        <f t="shared" si="595"/>
        <v>0</v>
      </c>
      <c r="BV2377" s="16">
        <f>IF($BY$12=1,NORMDIST(BY2377,$Y$6,$Y$8,TRUE),IF($BY$12=2,IF(BY2377&lt;=$BX$31,0,IF(BY2377&gt;=$BX$32,1,(BY2377-$BX$31)*$BX$33)),SUM($BU$42:BU2377)/$BV$40))</f>
        <v>1</v>
      </c>
      <c r="BW2377" s="16">
        <f t="shared" si="597"/>
        <v>2.4466761849252965E-18</v>
      </c>
      <c r="BY2377" s="16">
        <f t="shared" si="598"/>
        <v>233.49999999999102</v>
      </c>
      <c r="BZ2377" s="16">
        <f t="shared" si="589"/>
        <v>1.0478270599252208E-20</v>
      </c>
      <c r="CA2377" s="16">
        <f t="shared" si="596"/>
        <v>-999</v>
      </c>
      <c r="CE2377" s="16" t="e">
        <f t="shared" si="590"/>
        <v>#N/A</v>
      </c>
      <c r="CF2377" s="16">
        <f t="shared" si="591"/>
        <v>99</v>
      </c>
      <c r="CG2377" s="16">
        <f t="shared" si="592"/>
        <v>0</v>
      </c>
      <c r="CH2377" s="16">
        <f t="shared" si="599"/>
        <v>0</v>
      </c>
      <c r="CJ2377" s="16" t="e">
        <f t="shared" si="593"/>
        <v>#N/A</v>
      </c>
      <c r="CK2377" s="16" t="str">
        <f t="shared" si="594"/>
        <v/>
      </c>
    </row>
    <row r="2378" spans="73:89" ht="12" customHeight="1">
      <c r="BU2378" s="16">
        <f t="shared" si="595"/>
        <v>0</v>
      </c>
      <c r="BV2378" s="16">
        <f>IF($BY$12=1,NORMDIST(BY2378,$Y$6,$Y$8,TRUE),IF($BY$12=2,IF(BY2378&lt;=$BX$31,0,IF(BY2378&gt;=$BX$32,1,(BY2378-$BX$31)*$BX$33)),SUM($BU$42:BU2378)/$BV$40))</f>
        <v>1</v>
      </c>
      <c r="BW2378" s="16">
        <f t="shared" si="597"/>
        <v>2.3379421470049993E-18</v>
      </c>
      <c r="BY2378" s="16">
        <f t="shared" si="598"/>
        <v>233.59999999999101</v>
      </c>
      <c r="BZ2378" s="16">
        <f t="shared" si="589"/>
        <v>1.0008313985466991E-20</v>
      </c>
      <c r="CA2378" s="16">
        <f t="shared" si="596"/>
        <v>-999</v>
      </c>
      <c r="CE2378" s="16" t="e">
        <f t="shared" si="590"/>
        <v>#N/A</v>
      </c>
      <c r="CF2378" s="16">
        <f t="shared" si="591"/>
        <v>99</v>
      </c>
      <c r="CG2378" s="16">
        <f t="shared" si="592"/>
        <v>0</v>
      </c>
      <c r="CH2378" s="16">
        <f t="shared" si="599"/>
        <v>0</v>
      </c>
      <c r="CJ2378" s="16" t="e">
        <f t="shared" si="593"/>
        <v>#N/A</v>
      </c>
      <c r="CK2378" s="16" t="str">
        <f t="shared" si="594"/>
        <v/>
      </c>
    </row>
    <row r="2379" spans="73:89" ht="12" customHeight="1">
      <c r="BU2379" s="16">
        <f t="shared" si="595"/>
        <v>0</v>
      </c>
      <c r="BV2379" s="16">
        <f>IF($BY$12=1,NORMDIST(BY2379,$Y$6,$Y$8,TRUE),IF($BY$12=2,IF(BY2379&lt;=$BX$31,0,IF(BY2379&gt;=$BX$32,1,(BY2379-$BX$31)*$BX$33)),SUM($BU$42:BU2379)/$BV$40))</f>
        <v>1</v>
      </c>
      <c r="BW2379" s="16">
        <f t="shared" si="597"/>
        <v>2.2339841566087144E-18</v>
      </c>
      <c r="BY2379" s="16">
        <f t="shared" si="598"/>
        <v>233.69999999999101</v>
      </c>
      <c r="BZ2379" s="16">
        <f t="shared" si="589"/>
        <v>9.5591962199777512E-21</v>
      </c>
      <c r="CA2379" s="16">
        <f t="shared" si="596"/>
        <v>-999</v>
      </c>
      <c r="CE2379" s="16" t="e">
        <f t="shared" si="590"/>
        <v>#N/A</v>
      </c>
      <c r="CF2379" s="16">
        <f t="shared" si="591"/>
        <v>99</v>
      </c>
      <c r="CG2379" s="16">
        <f t="shared" si="592"/>
        <v>0</v>
      </c>
      <c r="CH2379" s="16">
        <f t="shared" si="599"/>
        <v>0</v>
      </c>
      <c r="CJ2379" s="16" t="e">
        <f t="shared" si="593"/>
        <v>#N/A</v>
      </c>
      <c r="CK2379" s="16" t="str">
        <f t="shared" si="594"/>
        <v/>
      </c>
    </row>
    <row r="2380" spans="73:89" ht="12" customHeight="1">
      <c r="BU2380" s="16">
        <f t="shared" si="595"/>
        <v>0</v>
      </c>
      <c r="BV2380" s="16">
        <f>IF($BY$12=1,NORMDIST(BY2380,$Y$6,$Y$8,TRUE),IF($BY$12=2,IF(BY2380&lt;=$BX$31,0,IF(BY2380&gt;=$BX$32,1,(BY2380-$BX$31)*$BX$33)),SUM($BU$42:BU2380)/$BV$40))</f>
        <v>1</v>
      </c>
      <c r="BW2380" s="16">
        <f t="shared" si="597"/>
        <v>2.1345949637982516E-18</v>
      </c>
      <c r="BY2380" s="16">
        <f t="shared" si="598"/>
        <v>233.799999999991</v>
      </c>
      <c r="BZ2380" s="16">
        <f t="shared" si="589"/>
        <v>9.1300041223196483E-21</v>
      </c>
      <c r="CA2380" s="16">
        <f t="shared" si="596"/>
        <v>-999</v>
      </c>
      <c r="CE2380" s="16" t="e">
        <f t="shared" si="590"/>
        <v>#N/A</v>
      </c>
      <c r="CF2380" s="16">
        <f t="shared" si="591"/>
        <v>99</v>
      </c>
      <c r="CG2380" s="16">
        <f t="shared" si="592"/>
        <v>0</v>
      </c>
      <c r="CH2380" s="16">
        <f t="shared" si="599"/>
        <v>0</v>
      </c>
      <c r="CJ2380" s="16" t="e">
        <f t="shared" si="593"/>
        <v>#N/A</v>
      </c>
      <c r="CK2380" s="16" t="str">
        <f t="shared" si="594"/>
        <v/>
      </c>
    </row>
    <row r="2381" spans="73:89" ht="12" customHeight="1">
      <c r="BU2381" s="16">
        <f t="shared" si="595"/>
        <v>0</v>
      </c>
      <c r="BV2381" s="16">
        <f>IF($BY$12=1,NORMDIST(BY2381,$Y$6,$Y$8,TRUE),IF($BY$12=2,IF(BY2381&lt;=$BX$31,0,IF(BY2381&gt;=$BX$32,1,(BY2381-$BX$31)*$BX$33)),SUM($BU$42:BU2381)/$BV$40))</f>
        <v>1</v>
      </c>
      <c r="BW2381" s="16">
        <f t="shared" si="597"/>
        <v>2.0395761990868959E-18</v>
      </c>
      <c r="BY2381" s="16">
        <f t="shared" si="598"/>
        <v>233.899999999991</v>
      </c>
      <c r="BZ2381" s="16">
        <f t="shared" si="589"/>
        <v>8.71986404055996E-21</v>
      </c>
      <c r="CA2381" s="16">
        <f t="shared" si="596"/>
        <v>-999</v>
      </c>
      <c r="CE2381" s="16" t="e">
        <f t="shared" si="590"/>
        <v>#N/A</v>
      </c>
      <c r="CF2381" s="16">
        <f t="shared" si="591"/>
        <v>99</v>
      </c>
      <c r="CG2381" s="16">
        <f t="shared" si="592"/>
        <v>0</v>
      </c>
      <c r="CH2381" s="16">
        <f t="shared" si="599"/>
        <v>0</v>
      </c>
      <c r="CJ2381" s="16" t="e">
        <f t="shared" si="593"/>
        <v>#N/A</v>
      </c>
      <c r="CK2381" s="16" t="str">
        <f t="shared" si="594"/>
        <v/>
      </c>
    </row>
    <row r="2382" spans="73:89" ht="12" customHeight="1">
      <c r="BU2382" s="16">
        <f t="shared" si="595"/>
        <v>0</v>
      </c>
      <c r="BV2382" s="16">
        <f>IF($BY$12=1,NORMDIST(BY2382,$Y$6,$Y$8,TRUE),IF($BY$12=2,IF(BY2382&lt;=$BX$31,0,IF(BY2382&gt;=$BX$32,1,(BY2382-$BX$31)*$BX$33)),SUM($BU$42:BU2382)/$BV$40))</f>
        <v>1</v>
      </c>
      <c r="BW2382" s="16">
        <f t="shared" si="597"/>
        <v>1.948737997892514E-18</v>
      </c>
      <c r="BY2382" s="16">
        <f t="shared" si="598"/>
        <v>233.99999999999099</v>
      </c>
      <c r="BZ2382" s="16">
        <f t="shared" si="589"/>
        <v>8.327940161934141E-21</v>
      </c>
      <c r="CA2382" s="16">
        <f t="shared" si="596"/>
        <v>-999</v>
      </c>
      <c r="CE2382" s="16" t="e">
        <f t="shared" si="590"/>
        <v>#N/A</v>
      </c>
      <c r="CF2382" s="16">
        <f t="shared" si="591"/>
        <v>99</v>
      </c>
      <c r="CG2382" s="16">
        <f t="shared" si="592"/>
        <v>0</v>
      </c>
      <c r="CH2382" s="16">
        <f t="shared" si="599"/>
        <v>0</v>
      </c>
      <c r="CJ2382" s="16" t="e">
        <f t="shared" si="593"/>
        <v>#N/A</v>
      </c>
      <c r="CK2382" s="16" t="str">
        <f t="shared" si="594"/>
        <v/>
      </c>
    </row>
    <row r="2383" spans="73:89" ht="12" customHeight="1">
      <c r="BU2383" s="16">
        <f t="shared" si="595"/>
        <v>0</v>
      </c>
      <c r="BV2383" s="16">
        <f>IF($BY$12=1,NORMDIST(BY2383,$Y$6,$Y$8,TRUE),IF($BY$12=2,IF(BY2383&lt;=$BX$31,0,IF(BY2383&gt;=$BX$32,1,(BY2383-$BX$31)*$BX$33)),SUM($BU$42:BU2383)/$BV$40))</f>
        <v>1</v>
      </c>
      <c r="BW2383" s="16">
        <f t="shared" si="597"/>
        <v>1.8618986406557349E-18</v>
      </c>
      <c r="BY2383" s="16">
        <f t="shared" si="598"/>
        <v>234.09999999999098</v>
      </c>
      <c r="BZ2383" s="16">
        <f t="shared" si="589"/>
        <v>7.9534328947279223E-21</v>
      </c>
      <c r="CA2383" s="16">
        <f t="shared" si="596"/>
        <v>-999</v>
      </c>
      <c r="CE2383" s="16" t="e">
        <f t="shared" si="590"/>
        <v>#N/A</v>
      </c>
      <c r="CF2383" s="16">
        <f t="shared" si="591"/>
        <v>99</v>
      </c>
      <c r="CG2383" s="16">
        <f t="shared" si="592"/>
        <v>0</v>
      </c>
      <c r="CH2383" s="16">
        <f t="shared" si="599"/>
        <v>0</v>
      </c>
      <c r="CJ2383" s="16" t="e">
        <f t="shared" si="593"/>
        <v>#N/A</v>
      </c>
      <c r="CK2383" s="16" t="str">
        <f t="shared" si="594"/>
        <v/>
      </c>
    </row>
    <row r="2384" spans="73:89" ht="12" customHeight="1">
      <c r="BU2384" s="16">
        <f t="shared" si="595"/>
        <v>0</v>
      </c>
      <c r="BV2384" s="16">
        <f>IF($BY$12=1,NORMDIST(BY2384,$Y$6,$Y$8,TRUE),IF($BY$12=2,IF(BY2384&lt;=$BX$31,0,IF(BY2384&gt;=$BX$32,1,(BY2384-$BX$31)*$BX$33)),SUM($BU$42:BU2384)/$BV$40))</f>
        <v>1</v>
      </c>
      <c r="BW2384" s="16">
        <f t="shared" si="597"/>
        <v>1.778884207979283E-18</v>
      </c>
      <c r="BY2384" s="16">
        <f t="shared" si="598"/>
        <v>234.19999999999098</v>
      </c>
      <c r="BZ2384" s="16">
        <f t="shared" si="589"/>
        <v>7.5955773184430041E-21</v>
      </c>
      <c r="CA2384" s="16">
        <f t="shared" si="596"/>
        <v>-999</v>
      </c>
      <c r="CE2384" s="16" t="e">
        <f t="shared" si="590"/>
        <v>#N/A</v>
      </c>
      <c r="CF2384" s="16">
        <f t="shared" si="591"/>
        <v>99</v>
      </c>
      <c r="CG2384" s="16">
        <f t="shared" si="592"/>
        <v>0</v>
      </c>
      <c r="CH2384" s="16">
        <f t="shared" si="599"/>
        <v>0</v>
      </c>
      <c r="CJ2384" s="16" t="e">
        <f t="shared" si="593"/>
        <v>#N/A</v>
      </c>
      <c r="CK2384" s="16" t="str">
        <f t="shared" si="594"/>
        <v/>
      </c>
    </row>
    <row r="2385" spans="73:89" ht="12" customHeight="1">
      <c r="BU2385" s="16">
        <f t="shared" si="595"/>
        <v>0</v>
      </c>
      <c r="BV2385" s="16">
        <f>IF($BY$12=1,NORMDIST(BY2385,$Y$6,$Y$8,TRUE),IF($BY$12=2,IF(BY2385&lt;=$BX$31,0,IF(BY2385&gt;=$BX$32,1,(BY2385-$BX$31)*$BX$33)),SUM($BU$42:BU2385)/$BV$40))</f>
        <v>1</v>
      </c>
      <c r="BW2385" s="16">
        <f t="shared" si="597"/>
        <v>1.6995282501701349E-18</v>
      </c>
      <c r="BY2385" s="16">
        <f t="shared" si="598"/>
        <v>234.29999999999097</v>
      </c>
      <c r="BZ2385" s="16">
        <f t="shared" si="589"/>
        <v>7.2536416994033303E-21</v>
      </c>
      <c r="CA2385" s="16">
        <f t="shared" si="596"/>
        <v>-999</v>
      </c>
      <c r="CE2385" s="16" t="e">
        <f t="shared" si="590"/>
        <v>#N/A</v>
      </c>
      <c r="CF2385" s="16">
        <f t="shared" si="591"/>
        <v>99</v>
      </c>
      <c r="CG2385" s="16">
        <f t="shared" si="592"/>
        <v>0</v>
      </c>
      <c r="CH2385" s="16">
        <f t="shared" si="599"/>
        <v>0</v>
      </c>
      <c r="CJ2385" s="16" t="e">
        <f t="shared" si="593"/>
        <v>#N/A</v>
      </c>
      <c r="CK2385" s="16" t="str">
        <f t="shared" si="594"/>
        <v/>
      </c>
    </row>
    <row r="2386" spans="73:89" ht="12" customHeight="1">
      <c r="BU2386" s="16">
        <f t="shared" si="595"/>
        <v>0</v>
      </c>
      <c r="BV2386" s="16">
        <f>IF($BY$12=1,NORMDIST(BY2386,$Y$6,$Y$8,TRUE),IF($BY$12=2,IF(BY2386&lt;=$BX$31,0,IF(BY2386&gt;=$BX$32,1,(BY2386-$BX$31)*$BX$33)),SUM($BU$42:BU2386)/$BV$40))</f>
        <v>1</v>
      </c>
      <c r="BW2386" s="16">
        <f t="shared" si="597"/>
        <v>1.6236714705917386E-18</v>
      </c>
      <c r="BY2386" s="16">
        <f t="shared" si="598"/>
        <v>234.39999999999097</v>
      </c>
      <c r="BZ2386" s="16">
        <f t="shared" si="589"/>
        <v>6.9269260690776497E-21</v>
      </c>
      <c r="CA2386" s="16">
        <f t="shared" si="596"/>
        <v>-999</v>
      </c>
      <c r="CE2386" s="16" t="e">
        <f t="shared" si="590"/>
        <v>#N/A</v>
      </c>
      <c r="CF2386" s="16">
        <f t="shared" si="591"/>
        <v>99</v>
      </c>
      <c r="CG2386" s="16">
        <f t="shared" si="592"/>
        <v>0</v>
      </c>
      <c r="CH2386" s="16">
        <f t="shared" si="599"/>
        <v>0</v>
      </c>
      <c r="CJ2386" s="16" t="e">
        <f t="shared" si="593"/>
        <v>#N/A</v>
      </c>
      <c r="CK2386" s="16" t="str">
        <f t="shared" si="594"/>
        <v/>
      </c>
    </row>
    <row r="2387" spans="73:89" ht="12" customHeight="1">
      <c r="BU2387" s="16">
        <f t="shared" si="595"/>
        <v>0</v>
      </c>
      <c r="BV2387" s="16">
        <f>IF($BY$12=1,NORMDIST(BY2387,$Y$6,$Y$8,TRUE),IF($BY$12=2,IF(BY2387&lt;=$BX$31,0,IF(BY2387&gt;=$BX$32,1,(BY2387-$BX$31)*$BX$33)),SUM($BU$42:BU2387)/$BV$40))</f>
        <v>1</v>
      </c>
      <c r="BW2387" s="16">
        <f t="shared" si="597"/>
        <v>1.5511614222571983E-18</v>
      </c>
      <c r="BY2387" s="16">
        <f t="shared" si="598"/>
        <v>234.49999999999096</v>
      </c>
      <c r="BZ2387" s="16">
        <f t="shared" si="589"/>
        <v>6.6147608625042991E-21</v>
      </c>
      <c r="CA2387" s="16">
        <f t="shared" si="596"/>
        <v>-999</v>
      </c>
      <c r="CE2387" s="16" t="e">
        <f t="shared" si="590"/>
        <v>#N/A</v>
      </c>
      <c r="CF2387" s="16">
        <f t="shared" si="591"/>
        <v>99</v>
      </c>
      <c r="CG2387" s="16">
        <f t="shared" si="592"/>
        <v>0</v>
      </c>
      <c r="CH2387" s="16">
        <f t="shared" si="599"/>
        <v>0</v>
      </c>
      <c r="CJ2387" s="16" t="e">
        <f t="shared" si="593"/>
        <v>#N/A</v>
      </c>
      <c r="CK2387" s="16" t="str">
        <f t="shared" si="594"/>
        <v/>
      </c>
    </row>
    <row r="2388" spans="73:89" ht="12" customHeight="1">
      <c r="BU2388" s="16">
        <f t="shared" si="595"/>
        <v>0</v>
      </c>
      <c r="BV2388" s="16">
        <f>IF($BY$12=1,NORMDIST(BY2388,$Y$6,$Y$8,TRUE),IF($BY$12=2,IF(BY2388&lt;=$BX$31,0,IF(BY2388&gt;=$BX$32,1,(BY2388-$BX$31)*$BX$33)),SUM($BU$42:BU2388)/$BV$40))</f>
        <v>1</v>
      </c>
      <c r="BW2388" s="16">
        <f t="shared" si="597"/>
        <v>1.481852217117789E-18</v>
      </c>
      <c r="BY2388" s="16">
        <f t="shared" si="598"/>
        <v>234.59999999999096</v>
      </c>
      <c r="BZ2388" s="16">
        <f t="shared" si="589"/>
        <v>6.3165056143130694E-21</v>
      </c>
      <c r="CA2388" s="16">
        <f t="shared" si="596"/>
        <v>-999</v>
      </c>
      <c r="CE2388" s="16" t="e">
        <f t="shared" si="590"/>
        <v>#N/A</v>
      </c>
      <c r="CF2388" s="16">
        <f t="shared" si="591"/>
        <v>99</v>
      </c>
      <c r="CG2388" s="16">
        <f t="shared" si="592"/>
        <v>0</v>
      </c>
      <c r="CH2388" s="16">
        <f t="shared" si="599"/>
        <v>0</v>
      </c>
      <c r="CJ2388" s="16" t="e">
        <f t="shared" si="593"/>
        <v>#N/A</v>
      </c>
      <c r="CK2388" s="16" t="str">
        <f t="shared" si="594"/>
        <v/>
      </c>
    </row>
    <row r="2389" spans="73:89" ht="12" customHeight="1">
      <c r="BU2389" s="16">
        <f t="shared" si="595"/>
        <v>0</v>
      </c>
      <c r="BV2389" s="16">
        <f>IF($BY$12=1,NORMDIST(BY2389,$Y$6,$Y$8,TRUE),IF($BY$12=2,IF(BY2389&lt;=$BX$31,0,IF(BY2389&gt;=$BX$32,1,(BY2389-$BX$31)*$BX$33)),SUM($BU$42:BU2389)/$BV$40))</f>
        <v>1</v>
      </c>
      <c r="BW2389" s="16">
        <f t="shared" si="597"/>
        <v>1.4156042475228162E-18</v>
      </c>
      <c r="BY2389" s="16">
        <f t="shared" si="598"/>
        <v>234.69999999999095</v>
      </c>
      <c r="BZ2389" s="16">
        <f t="shared" si="589"/>
        <v>6.0315477099397989E-21</v>
      </c>
      <c r="CA2389" s="16">
        <f t="shared" si="596"/>
        <v>-999</v>
      </c>
      <c r="CE2389" s="16" t="e">
        <f t="shared" si="590"/>
        <v>#N/A</v>
      </c>
      <c r="CF2389" s="16">
        <f t="shared" si="591"/>
        <v>99</v>
      </c>
      <c r="CG2389" s="16">
        <f t="shared" si="592"/>
        <v>0</v>
      </c>
      <c r="CH2389" s="16">
        <f t="shared" si="599"/>
        <v>0</v>
      </c>
      <c r="CJ2389" s="16" t="e">
        <f t="shared" si="593"/>
        <v>#N/A</v>
      </c>
      <c r="CK2389" s="16" t="str">
        <f t="shared" si="594"/>
        <v/>
      </c>
    </row>
    <row r="2390" spans="73:89" ht="12" customHeight="1">
      <c r="BU2390" s="16">
        <f t="shared" si="595"/>
        <v>0</v>
      </c>
      <c r="BV2390" s="16">
        <f>IF($BY$12=1,NORMDIST(BY2390,$Y$6,$Y$8,TRUE),IF($BY$12=2,IF(BY2390&lt;=$BX$31,0,IF(BY2390&gt;=$BX$32,1,(BY2390-$BX$31)*$BX$33)),SUM($BU$42:BU2390)/$BV$40))</f>
        <v>1</v>
      </c>
      <c r="BW2390" s="16">
        <f t="shared" si="597"/>
        <v>1.3522839193487225E-18</v>
      </c>
      <c r="BY2390" s="16">
        <f t="shared" si="598"/>
        <v>234.79999999999094</v>
      </c>
      <c r="BZ2390" s="16">
        <f t="shared" si="589"/>
        <v>5.7593011897307264E-21</v>
      </c>
      <c r="CA2390" s="16">
        <f t="shared" si="596"/>
        <v>-999</v>
      </c>
      <c r="CE2390" s="16" t="e">
        <f t="shared" si="590"/>
        <v>#N/A</v>
      </c>
      <c r="CF2390" s="16">
        <f t="shared" si="591"/>
        <v>99</v>
      </c>
      <c r="CG2390" s="16">
        <f t="shared" si="592"/>
        <v>0</v>
      </c>
      <c r="CH2390" s="16">
        <f t="shared" si="599"/>
        <v>0</v>
      </c>
      <c r="CJ2390" s="16" t="e">
        <f t="shared" si="593"/>
        <v>#N/A</v>
      </c>
      <c r="CK2390" s="16" t="str">
        <f t="shared" si="594"/>
        <v/>
      </c>
    </row>
    <row r="2391" spans="73:89" ht="12" customHeight="1">
      <c r="BU2391" s="16">
        <f t="shared" si="595"/>
        <v>0</v>
      </c>
      <c r="BV2391" s="16">
        <f>IF($BY$12=1,NORMDIST(BY2391,$Y$6,$Y$8,TRUE),IF($BY$12=2,IF(BY2391&lt;=$BX$31,0,IF(BY2391&gt;=$BX$32,1,(BY2391-$BX$31)*$BX$33)),SUM($BU$42:BU2391)/$BV$40))</f>
        <v>1</v>
      </c>
      <c r="BW2391" s="16">
        <f t="shared" si="597"/>
        <v>1.2917633963152898E-18</v>
      </c>
      <c r="BY2391" s="16">
        <f t="shared" si="598"/>
        <v>234.89999999999094</v>
      </c>
      <c r="BZ2391" s="16">
        <f t="shared" si="589"/>
        <v>5.4992056037264354E-21</v>
      </c>
      <c r="CA2391" s="16">
        <f t="shared" si="596"/>
        <v>-999</v>
      </c>
      <c r="CE2391" s="16" t="e">
        <f t="shared" si="590"/>
        <v>#N/A</v>
      </c>
      <c r="CF2391" s="16">
        <f t="shared" si="591"/>
        <v>99</v>
      </c>
      <c r="CG2391" s="16">
        <f t="shared" si="592"/>
        <v>0</v>
      </c>
      <c r="CH2391" s="16">
        <f t="shared" si="599"/>
        <v>0</v>
      </c>
      <c r="CJ2391" s="16" t="e">
        <f t="shared" si="593"/>
        <v>#N/A</v>
      </c>
      <c r="CK2391" s="16" t="str">
        <f t="shared" si="594"/>
        <v/>
      </c>
    </row>
    <row r="2392" spans="73:89" ht="12" customHeight="1">
      <c r="BU2392" s="16">
        <f t="shared" si="595"/>
        <v>0</v>
      </c>
      <c r="BV2392" s="16">
        <f>IF($BY$12=1,NORMDIST(BY2392,$Y$6,$Y$8,TRUE),IF($BY$12=2,IF(BY2392&lt;=$BX$31,0,IF(BY2392&gt;=$BX$32,1,(BY2392-$BX$31)*$BX$33)),SUM($BU$42:BU2392)/$BV$40))</f>
        <v>1</v>
      </c>
      <c r="BW2392" s="16">
        <f t="shared" si="597"/>
        <v>1.2339203550266436E-18</v>
      </c>
      <c r="BY2392" s="16">
        <f t="shared" si="598"/>
        <v>234.99999999999093</v>
      </c>
      <c r="BZ2392" s="16">
        <f t="shared" si="589"/>
        <v>5.2507249150071968E-21</v>
      </c>
      <c r="CA2392" s="16">
        <f t="shared" si="596"/>
        <v>-999</v>
      </c>
      <c r="CE2392" s="16" t="e">
        <f t="shared" si="590"/>
        <v>#N/A</v>
      </c>
      <c r="CF2392" s="16">
        <f t="shared" si="591"/>
        <v>99</v>
      </c>
      <c r="CG2392" s="16">
        <f t="shared" si="592"/>
        <v>0</v>
      </c>
      <c r="CH2392" s="16">
        <f t="shared" si="599"/>
        <v>0</v>
      </c>
      <c r="CJ2392" s="16" t="e">
        <f t="shared" si="593"/>
        <v>#N/A</v>
      </c>
      <c r="CK2392" s="16" t="str">
        <f t="shared" si="594"/>
        <v/>
      </c>
    </row>
    <row r="2393" spans="73:89" ht="12" customHeight="1">
      <c r="BU2393" s="16">
        <f t="shared" si="595"/>
        <v>0</v>
      </c>
      <c r="BV2393" s="16">
        <f>IF($BY$12=1,NORMDIST(BY2393,$Y$6,$Y$8,TRUE),IF($BY$12=2,IF(BY2393&lt;=$BX$31,0,IF(BY2393&gt;=$BX$32,1,(BY2393-$BX$31)*$BX$33)),SUM($BU$42:BU2393)/$BV$40))</f>
        <v>1</v>
      </c>
      <c r="BW2393" s="16">
        <f t="shared" si="597"/>
        <v>1.1786377502935363E-18</v>
      </c>
      <c r="BY2393" s="16">
        <f t="shared" si="598"/>
        <v>235.09999999999093</v>
      </c>
      <c r="BZ2393" s="16">
        <f t="shared" si="589"/>
        <v>5.0133464495686166E-21</v>
      </c>
      <c r="CA2393" s="16">
        <f t="shared" si="596"/>
        <v>-999</v>
      </c>
      <c r="CE2393" s="16" t="e">
        <f t="shared" si="590"/>
        <v>#N/A</v>
      </c>
      <c r="CF2393" s="16">
        <f t="shared" si="591"/>
        <v>99</v>
      </c>
      <c r="CG2393" s="16">
        <f t="shared" si="592"/>
        <v>0</v>
      </c>
      <c r="CH2393" s="16">
        <f t="shared" si="599"/>
        <v>0</v>
      </c>
      <c r="CJ2393" s="16" t="e">
        <f t="shared" si="593"/>
        <v>#N/A</v>
      </c>
      <c r="CK2393" s="16" t="str">
        <f t="shared" si="594"/>
        <v/>
      </c>
    </row>
    <row r="2394" spans="73:89" ht="12" customHeight="1">
      <c r="BU2394" s="16">
        <f t="shared" si="595"/>
        <v>0</v>
      </c>
      <c r="BV2394" s="16">
        <f>IF($BY$12=1,NORMDIST(BY2394,$Y$6,$Y$8,TRUE),IF($BY$12=2,IF(BY2394&lt;=$BX$31,0,IF(BY2394&gt;=$BX$32,1,(BY2394-$BX$31)*$BX$33)),SUM($BU$42:BU2394)/$BV$40))</f>
        <v>1</v>
      </c>
      <c r="BW2394" s="16">
        <f t="shared" si="597"/>
        <v>1.1258035903113988E-18</v>
      </c>
      <c r="BY2394" s="16">
        <f t="shared" si="598"/>
        <v>235.19999999999092</v>
      </c>
      <c r="BZ2394" s="16">
        <f t="shared" si="589"/>
        <v>4.7865798907799414E-21</v>
      </c>
      <c r="CA2394" s="16">
        <f t="shared" si="596"/>
        <v>-999</v>
      </c>
      <c r="CE2394" s="16" t="e">
        <f t="shared" si="590"/>
        <v>#N/A</v>
      </c>
      <c r="CF2394" s="16">
        <f t="shared" si="591"/>
        <v>99</v>
      </c>
      <c r="CG2394" s="16">
        <f t="shared" si="592"/>
        <v>0</v>
      </c>
      <c r="CH2394" s="16">
        <f t="shared" si="599"/>
        <v>0</v>
      </c>
      <c r="CJ2394" s="16" t="e">
        <f t="shared" si="593"/>
        <v>#N/A</v>
      </c>
      <c r="CK2394" s="16" t="str">
        <f t="shared" si="594"/>
        <v/>
      </c>
    </row>
    <row r="2395" spans="73:89" ht="12" customHeight="1">
      <c r="BU2395" s="16">
        <f t="shared" si="595"/>
        <v>0</v>
      </c>
      <c r="BV2395" s="16">
        <f>IF($BY$12=1,NORMDIST(BY2395,$Y$6,$Y$8,TRUE),IF($BY$12=2,IF(BY2395&lt;=$BX$31,0,IF(BY2395&gt;=$BX$32,1,(BY2395-$BX$31)*$BX$33)),SUM($BU$42:BU2395)/$BV$40))</f>
        <v>1</v>
      </c>
      <c r="BW2395" s="16">
        <f t="shared" si="597"/>
        <v>1.0753107212861802E-18</v>
      </c>
      <c r="BY2395" s="16">
        <f t="shared" si="598"/>
        <v>235.29999999999092</v>
      </c>
      <c r="BZ2395" s="16">
        <f t="shared" si="589"/>
        <v>4.5699563165585282E-21</v>
      </c>
      <c r="CA2395" s="16">
        <f t="shared" si="596"/>
        <v>-999</v>
      </c>
      <c r="CE2395" s="16" t="e">
        <f t="shared" si="590"/>
        <v>#N/A</v>
      </c>
      <c r="CF2395" s="16">
        <f t="shared" si="591"/>
        <v>99</v>
      </c>
      <c r="CG2395" s="16">
        <f t="shared" si="592"/>
        <v>0</v>
      </c>
      <c r="CH2395" s="16">
        <f t="shared" si="599"/>
        <v>0</v>
      </c>
      <c r="CJ2395" s="16" t="e">
        <f t="shared" si="593"/>
        <v>#N/A</v>
      </c>
      <c r="CK2395" s="16" t="str">
        <f t="shared" si="594"/>
        <v/>
      </c>
    </row>
    <row r="2396" spans="73:89" ht="12" customHeight="1">
      <c r="BU2396" s="16">
        <f t="shared" si="595"/>
        <v>0</v>
      </c>
      <c r="BV2396" s="16">
        <f>IF($BY$12=1,NORMDIST(BY2396,$Y$6,$Y$8,TRUE),IF($BY$12=2,IF(BY2396&lt;=$BX$31,0,IF(BY2396&gt;=$BX$32,1,(BY2396-$BX$31)*$BX$33)),SUM($BU$42:BU2396)/$BV$40))</f>
        <v>1</v>
      </c>
      <c r="BW2396" s="16">
        <f t="shared" si="597"/>
        <v>1.0270566211163579E-18</v>
      </c>
      <c r="BY2396" s="16">
        <f t="shared" si="598"/>
        <v>235.39999999999091</v>
      </c>
      <c r="BZ2396" s="16">
        <f t="shared" si="589"/>
        <v>4.3630272774698284E-21</v>
      </c>
      <c r="CA2396" s="16">
        <f t="shared" si="596"/>
        <v>-999</v>
      </c>
      <c r="CE2396" s="16" t="e">
        <f t="shared" si="590"/>
        <v>#N/A</v>
      </c>
      <c r="CF2396" s="16">
        <f t="shared" si="591"/>
        <v>99</v>
      </c>
      <c r="CG2396" s="16">
        <f t="shared" si="592"/>
        <v>0</v>
      </c>
      <c r="CH2396" s="16">
        <f t="shared" si="599"/>
        <v>0</v>
      </c>
      <c r="CJ2396" s="16" t="e">
        <f t="shared" si="593"/>
        <v>#N/A</v>
      </c>
      <c r="CK2396" s="16" t="str">
        <f t="shared" si="594"/>
        <v/>
      </c>
    </row>
    <row r="2397" spans="73:89" ht="12" customHeight="1">
      <c r="BU2397" s="16">
        <f t="shared" si="595"/>
        <v>0</v>
      </c>
      <c r="BV2397" s="16">
        <f>IF($BY$12=1,NORMDIST(BY2397,$Y$6,$Y$8,TRUE),IF($BY$12=2,IF(BY2397&lt;=$BX$31,0,IF(BY2397&gt;=$BX$32,1,(BY2397-$BX$31)*$BX$33)),SUM($BU$42:BU2397)/$BV$40))</f>
        <v>1</v>
      </c>
      <c r="BW2397" s="16">
        <f t="shared" si="597"/>
        <v>9.8094320175568888E-19</v>
      </c>
      <c r="BY2397" s="16">
        <f t="shared" si="598"/>
        <v>235.49999999999091</v>
      </c>
      <c r="BZ2397" s="16">
        <f t="shared" si="589"/>
        <v>4.1653639140370563E-21</v>
      </c>
      <c r="CA2397" s="16">
        <f t="shared" si="596"/>
        <v>-999</v>
      </c>
      <c r="CE2397" s="16" t="e">
        <f t="shared" si="590"/>
        <v>#N/A</v>
      </c>
      <c r="CF2397" s="16">
        <f t="shared" si="591"/>
        <v>99</v>
      </c>
      <c r="CG2397" s="16">
        <f t="shared" si="592"/>
        <v>0</v>
      </c>
      <c r="CH2397" s="16">
        <f t="shared" si="599"/>
        <v>0</v>
      </c>
      <c r="CJ2397" s="16" t="e">
        <f t="shared" si="593"/>
        <v>#N/A</v>
      </c>
      <c r="CK2397" s="16" t="str">
        <f t="shared" si="594"/>
        <v/>
      </c>
    </row>
    <row r="2398" spans="73:89" ht="12" customHeight="1">
      <c r="BU2398" s="16">
        <f t="shared" si="595"/>
        <v>0</v>
      </c>
      <c r="BV2398" s="16">
        <f>IF($BY$12=1,NORMDIST(BY2398,$Y$6,$Y$8,TRUE),IF($BY$12=2,IF(BY2398&lt;=$BX$31,0,IF(BY2398&gt;=$BX$32,1,(BY2398-$BX$31)*$BX$33)),SUM($BU$42:BU2398)/$BV$40))</f>
        <v>1</v>
      </c>
      <c r="BW2398" s="16">
        <f t="shared" si="597"/>
        <v>9.368766198967277E-19</v>
      </c>
      <c r="BY2398" s="16">
        <f t="shared" si="598"/>
        <v>235.5999999999909</v>
      </c>
      <c r="BZ2398" s="16">
        <f t="shared" si="589"/>
        <v>3.9765561116161453E-21</v>
      </c>
      <c r="CA2398" s="16">
        <f t="shared" si="596"/>
        <v>-999</v>
      </c>
      <c r="CE2398" s="16" t="e">
        <f t="shared" si="590"/>
        <v>#N/A</v>
      </c>
      <c r="CF2398" s="16">
        <f t="shared" si="591"/>
        <v>99</v>
      </c>
      <c r="CG2398" s="16">
        <f t="shared" si="592"/>
        <v>0</v>
      </c>
      <c r="CH2398" s="16">
        <f t="shared" si="599"/>
        <v>0</v>
      </c>
      <c r="CJ2398" s="16" t="e">
        <f t="shared" si="593"/>
        <v>#N/A</v>
      </c>
      <c r="CK2398" s="16" t="str">
        <f t="shared" si="594"/>
        <v/>
      </c>
    </row>
    <row r="2399" spans="73:89" ht="12" customHeight="1">
      <c r="BU2399" s="16">
        <f t="shared" si="595"/>
        <v>0</v>
      </c>
      <c r="BV2399" s="16">
        <f>IF($BY$12=1,NORMDIST(BY2399,$Y$6,$Y$8,TRUE),IF($BY$12=2,IF(BY2399&lt;=$BX$31,0,IF(BY2399&gt;=$BX$32,1,(BY2399-$BX$31)*$BX$33)),SUM($BU$42:BU2399)/$BV$40))</f>
        <v>1</v>
      </c>
      <c r="BW2399" s="16">
        <f t="shared" si="597"/>
        <v>8.9476709562942324E-19</v>
      </c>
      <c r="BY2399" s="16">
        <f t="shared" si="598"/>
        <v>235.69999999999089</v>
      </c>
      <c r="BZ2399" s="16">
        <f t="shared" si="589"/>
        <v>3.7962116912577764E-21</v>
      </c>
      <c r="CA2399" s="16">
        <f t="shared" si="596"/>
        <v>-999</v>
      </c>
      <c r="CE2399" s="16" t="e">
        <f t="shared" si="590"/>
        <v>#N/A</v>
      </c>
      <c r="CF2399" s="16">
        <f t="shared" si="591"/>
        <v>99</v>
      </c>
      <c r="CG2399" s="16">
        <f t="shared" si="592"/>
        <v>0</v>
      </c>
      <c r="CH2399" s="16">
        <f t="shared" si="599"/>
        <v>0</v>
      </c>
      <c r="CJ2399" s="16" t="e">
        <f t="shared" si="593"/>
        <v>#N/A</v>
      </c>
      <c r="CK2399" s="16" t="str">
        <f t="shared" si="594"/>
        <v/>
      </c>
    </row>
    <row r="2400" spans="73:89" ht="12" customHeight="1">
      <c r="BU2400" s="16">
        <f t="shared" si="595"/>
        <v>0</v>
      </c>
      <c r="BV2400" s="16">
        <f>IF($BY$12=1,NORMDIST(BY2400,$Y$6,$Y$8,TRUE),IF($BY$12=2,IF(BY2400&lt;=$BX$31,0,IF(BY2400&gt;=$BX$32,1,(BY2400-$BX$31)*$BX$33)),SUM($BU$42:BU2400)/$BV$40))</f>
        <v>1</v>
      </c>
      <c r="BW2400" s="16">
        <f t="shared" si="597"/>
        <v>8.5452873874366659E-19</v>
      </c>
      <c r="BY2400" s="16">
        <f t="shared" si="598"/>
        <v>235.79999999999089</v>
      </c>
      <c r="BZ2400" s="16">
        <f t="shared" si="589"/>
        <v>3.6239556350453759E-21</v>
      </c>
      <c r="CA2400" s="16">
        <f t="shared" si="596"/>
        <v>-999</v>
      </c>
      <c r="CE2400" s="16" t="e">
        <f t="shared" si="590"/>
        <v>#N/A</v>
      </c>
      <c r="CF2400" s="16">
        <f t="shared" si="591"/>
        <v>99</v>
      </c>
      <c r="CG2400" s="16">
        <f t="shared" si="592"/>
        <v>0</v>
      </c>
      <c r="CH2400" s="16">
        <f t="shared" si="599"/>
        <v>0</v>
      </c>
      <c r="CJ2400" s="16" t="e">
        <f t="shared" si="593"/>
        <v>#N/A</v>
      </c>
      <c r="CK2400" s="16" t="str">
        <f t="shared" si="594"/>
        <v/>
      </c>
    </row>
    <row r="2401" spans="73:89" ht="12" customHeight="1">
      <c r="BU2401" s="16">
        <f t="shared" si="595"/>
        <v>0</v>
      </c>
      <c r="BV2401" s="16">
        <f>IF($BY$12=1,NORMDIST(BY2401,$Y$6,$Y$8,TRUE),IF($BY$12=2,IF(BY2401&lt;=$BX$31,0,IF(BY2401&gt;=$BX$32,1,(BY2401-$BX$31)*$BX$33)),SUM($BU$42:BU2401)/$BV$40))</f>
        <v>1</v>
      </c>
      <c r="BW2401" s="16">
        <f t="shared" si="597"/>
        <v>8.1607938235813639E-19</v>
      </c>
      <c r="BY2401" s="16">
        <f t="shared" si="598"/>
        <v>235.89999999999088</v>
      </c>
      <c r="BZ2401" s="16">
        <f t="shared" si="589"/>
        <v>3.4594293444602286E-21</v>
      </c>
      <c r="CA2401" s="16">
        <f t="shared" si="596"/>
        <v>-999</v>
      </c>
      <c r="CE2401" s="16" t="e">
        <f t="shared" si="590"/>
        <v>#N/A</v>
      </c>
      <c r="CF2401" s="16">
        <f t="shared" si="591"/>
        <v>99</v>
      </c>
      <c r="CG2401" s="16">
        <f t="shared" si="592"/>
        <v>0</v>
      </c>
      <c r="CH2401" s="16">
        <f t="shared" si="599"/>
        <v>0</v>
      </c>
      <c r="CJ2401" s="16" t="e">
        <f t="shared" si="593"/>
        <v>#N/A</v>
      </c>
      <c r="CK2401" s="16" t="str">
        <f t="shared" si="594"/>
        <v/>
      </c>
    </row>
    <row r="2402" spans="73:89" ht="12" customHeight="1">
      <c r="BU2402" s="16">
        <f t="shared" si="595"/>
        <v>0</v>
      </c>
      <c r="BV2402" s="16">
        <f>IF($BY$12=1,NORMDIST(BY2402,$Y$6,$Y$8,TRUE),IF($BY$12=2,IF(BY2402&lt;=$BX$31,0,IF(BY2402&gt;=$BX$32,1,(BY2402-$BX$31)*$BX$33)),SUM($BU$42:BU2402)/$BV$40))</f>
        <v>1</v>
      </c>
      <c r="BW2402" s="16">
        <f t="shared" si="597"/>
        <v>7.7934042357051424E-19</v>
      </c>
      <c r="BY2402" s="16">
        <f t="shared" si="598"/>
        <v>235.99999999999088</v>
      </c>
      <c r="BZ2402" s="16">
        <f t="shared" si="589"/>
        <v>3.3022899303836624E-21</v>
      </c>
      <c r="CA2402" s="16">
        <f t="shared" si="596"/>
        <v>-999</v>
      </c>
      <c r="CE2402" s="16" t="e">
        <f t="shared" si="590"/>
        <v>#N/A</v>
      </c>
      <c r="CF2402" s="16">
        <f t="shared" si="591"/>
        <v>99</v>
      </c>
      <c r="CG2402" s="16">
        <f t="shared" si="592"/>
        <v>0</v>
      </c>
      <c r="CH2402" s="16">
        <f t="shared" si="599"/>
        <v>0</v>
      </c>
      <c r="CJ2402" s="16" t="e">
        <f t="shared" si="593"/>
        <v>#N/A</v>
      </c>
      <c r="CK2402" s="16" t="str">
        <f t="shared" si="594"/>
        <v/>
      </c>
    </row>
    <row r="2403" spans="73:89" ht="12" customHeight="1">
      <c r="BU2403" s="16">
        <f t="shared" si="595"/>
        <v>0</v>
      </c>
      <c r="BV2403" s="16">
        <f>IF($BY$12=1,NORMDIST(BY2403,$Y$6,$Y$8,TRUE),IF($BY$12=2,IF(BY2403&lt;=$BX$31,0,IF(BY2403&gt;=$BX$32,1,(BY2403-$BX$31)*$BX$33)),SUM($BU$42:BU2403)/$BV$40))</f>
        <v>1</v>
      </c>
      <c r="BW2403" s="16">
        <f t="shared" si="597"/>
        <v>7.4423667083710657E-19</v>
      </c>
      <c r="BY2403" s="16">
        <f t="shared" si="598"/>
        <v>236.09999999999087</v>
      </c>
      <c r="BZ2403" s="16">
        <f t="shared" si="589"/>
        <v>3.1522095334059099E-21</v>
      </c>
      <c r="CA2403" s="16">
        <f t="shared" si="596"/>
        <v>-999</v>
      </c>
      <c r="CE2403" s="16" t="e">
        <f t="shared" si="590"/>
        <v>#N/A</v>
      </c>
      <c r="CF2403" s="16">
        <f t="shared" si="591"/>
        <v>99</v>
      </c>
      <c r="CG2403" s="16">
        <f t="shared" si="592"/>
        <v>0</v>
      </c>
      <c r="CH2403" s="16">
        <f t="shared" si="599"/>
        <v>0</v>
      </c>
      <c r="CJ2403" s="16" t="e">
        <f t="shared" si="593"/>
        <v>#N/A</v>
      </c>
      <c r="CK2403" s="16" t="str">
        <f t="shared" si="594"/>
        <v/>
      </c>
    </row>
    <row r="2404" spans="73:89" ht="12" customHeight="1">
      <c r="BU2404" s="16">
        <f t="shared" si="595"/>
        <v>0</v>
      </c>
      <c r="BV2404" s="16">
        <f>IF($BY$12=1,NORMDIST(BY2404,$Y$6,$Y$8,TRUE),IF($BY$12=2,IF(BY2404&lt;=$BX$31,0,IF(BY2404&gt;=$BX$32,1,(BY2404-$BX$31)*$BX$33)),SUM($BU$42:BU2404)/$BV$40))</f>
        <v>1</v>
      </c>
      <c r="BW2404" s="16">
        <f t="shared" si="597"/>
        <v>7.1069619780136173E-19</v>
      </c>
      <c r="BY2404" s="16">
        <f t="shared" si="598"/>
        <v>236.19999999999087</v>
      </c>
      <c r="BZ2404" s="16">
        <f t="shared" si="589"/>
        <v>3.0088746731642219E-21</v>
      </c>
      <c r="CA2404" s="16">
        <f t="shared" si="596"/>
        <v>-999</v>
      </c>
      <c r="CE2404" s="16" t="e">
        <f t="shared" si="590"/>
        <v>#N/A</v>
      </c>
      <c r="CF2404" s="16">
        <f t="shared" si="591"/>
        <v>99</v>
      </c>
      <c r="CG2404" s="16">
        <f t="shared" si="592"/>
        <v>0</v>
      </c>
      <c r="CH2404" s="16">
        <f t="shared" si="599"/>
        <v>0</v>
      </c>
      <c r="CJ2404" s="16" t="e">
        <f t="shared" si="593"/>
        <v>#N/A</v>
      </c>
      <c r="CK2404" s="16" t="str">
        <f t="shared" si="594"/>
        <v/>
      </c>
    </row>
    <row r="2405" spans="73:89" ht="12" customHeight="1">
      <c r="BU2405" s="16">
        <f t="shared" si="595"/>
        <v>0</v>
      </c>
      <c r="BV2405" s="16">
        <f>IF($BY$12=1,NORMDIST(BY2405,$Y$6,$Y$8,TRUE),IF($BY$12=2,IF(BY2405&lt;=$BX$31,0,IF(BY2405&gt;=$BX$32,1,(BY2405-$BX$31)*$BX$33)),SUM($BU$42:BU2405)/$BV$40))</f>
        <v>1</v>
      </c>
      <c r="BW2405" s="16">
        <f t="shared" si="597"/>
        <v>6.7865020330280259E-19</v>
      </c>
      <c r="BY2405" s="16">
        <f t="shared" si="598"/>
        <v>236.29999999999086</v>
      </c>
      <c r="BZ2405" s="16">
        <f t="shared" si="589"/>
        <v>2.8719856254880611E-21</v>
      </c>
      <c r="CA2405" s="16">
        <f t="shared" si="596"/>
        <v>-999</v>
      </c>
      <c r="CE2405" s="16" t="e">
        <f t="shared" si="590"/>
        <v>#N/A</v>
      </c>
      <c r="CF2405" s="16">
        <f t="shared" si="591"/>
        <v>99</v>
      </c>
      <c r="CG2405" s="16">
        <f t="shared" si="592"/>
        <v>0</v>
      </c>
      <c r="CH2405" s="16">
        <f t="shared" si="599"/>
        <v>0</v>
      </c>
      <c r="CJ2405" s="16" t="e">
        <f t="shared" si="593"/>
        <v>#N/A</v>
      </c>
      <c r="CK2405" s="16" t="str">
        <f t="shared" si="594"/>
        <v/>
      </c>
    </row>
    <row r="2406" spans="73:89" ht="12" customHeight="1">
      <c r="BU2406" s="16">
        <f t="shared" si="595"/>
        <v>0</v>
      </c>
      <c r="BV2406" s="16">
        <f>IF($BY$12=1,NORMDIST(BY2406,$Y$6,$Y$8,TRUE),IF($BY$12=2,IF(BY2406&lt;=$BX$31,0,IF(BY2406&gt;=$BX$32,1,(BY2406-$BX$31)*$BX$33)),SUM($BU$42:BU2406)/$BV$40))</f>
        <v>1</v>
      </c>
      <c r="BW2406" s="16">
        <f t="shared" si="597"/>
        <v>6.4803287730853728E-19</v>
      </c>
      <c r="BY2406" s="16">
        <f t="shared" si="598"/>
        <v>236.39999999999085</v>
      </c>
      <c r="BZ2406" s="16">
        <f t="shared" si="589"/>
        <v>2.7412558261783516E-21</v>
      </c>
      <c r="CA2406" s="16">
        <f t="shared" si="596"/>
        <v>-999</v>
      </c>
      <c r="CE2406" s="16" t="e">
        <f t="shared" si="590"/>
        <v>#N/A</v>
      </c>
      <c r="CF2406" s="16">
        <f t="shared" si="591"/>
        <v>99</v>
      </c>
      <c r="CG2406" s="16">
        <f t="shared" si="592"/>
        <v>0</v>
      </c>
      <c r="CH2406" s="16">
        <f t="shared" si="599"/>
        <v>0</v>
      </c>
      <c r="CJ2406" s="16" t="e">
        <f t="shared" si="593"/>
        <v>#N/A</v>
      </c>
      <c r="CK2406" s="16" t="str">
        <f t="shared" si="594"/>
        <v/>
      </c>
    </row>
    <row r="2407" spans="73:89" ht="12" customHeight="1">
      <c r="BU2407" s="16">
        <f t="shared" si="595"/>
        <v>0</v>
      </c>
      <c r="BV2407" s="16">
        <f>IF($BY$12=1,NORMDIST(BY2407,$Y$6,$Y$8,TRUE),IF($BY$12=2,IF(BY2407&lt;=$BX$31,0,IF(BY2407&gt;=$BX$32,1,(BY2407-$BX$31)*$BX$33)),SUM($BU$42:BU2407)/$BV$40))</f>
        <v>1</v>
      </c>
      <c r="BW2407" s="16">
        <f t="shared" si="597"/>
        <v>6.1878127252019807E-19</v>
      </c>
      <c r="BY2407" s="16">
        <f t="shared" si="598"/>
        <v>236.49999999999085</v>
      </c>
      <c r="BZ2407" s="16">
        <f t="shared" si="589"/>
        <v>2.6164113002969218E-21</v>
      </c>
      <c r="CA2407" s="16">
        <f t="shared" si="596"/>
        <v>-999</v>
      </c>
      <c r="CE2407" s="16" t="e">
        <f t="shared" si="590"/>
        <v>#N/A</v>
      </c>
      <c r="CF2407" s="16">
        <f t="shared" si="591"/>
        <v>99</v>
      </c>
      <c r="CG2407" s="16">
        <f t="shared" si="592"/>
        <v>0</v>
      </c>
      <c r="CH2407" s="16">
        <f t="shared" si="599"/>
        <v>0</v>
      </c>
      <c r="CJ2407" s="16" t="e">
        <f t="shared" si="593"/>
        <v>#N/A</v>
      </c>
      <c r="CK2407" s="16" t="str">
        <f t="shared" si="594"/>
        <v/>
      </c>
    </row>
    <row r="2408" spans="73:89" ht="12" customHeight="1">
      <c r="BU2408" s="16">
        <f t="shared" si="595"/>
        <v>0</v>
      </c>
      <c r="BV2408" s="16">
        <f>IF($BY$12=1,NORMDIST(BY2408,$Y$6,$Y$8,TRUE),IF($BY$12=2,IF(BY2408&lt;=$BX$31,0,IF(BY2408&gt;=$BX$32,1,(BY2408-$BX$31)*$BX$33)),SUM($BU$42:BU2408)/$BV$40))</f>
        <v>1</v>
      </c>
      <c r="BW2408" s="16">
        <f t="shared" si="597"/>
        <v>5.9083518141954636E-19</v>
      </c>
      <c r="BY2408" s="16">
        <f t="shared" si="598"/>
        <v>236.59999999999084</v>
      </c>
      <c r="BZ2408" s="16">
        <f t="shared" si="589"/>
        <v>2.4971901158899797E-21</v>
      </c>
      <c r="CA2408" s="16">
        <f t="shared" si="596"/>
        <v>-999</v>
      </c>
      <c r="CE2408" s="16" t="e">
        <f t="shared" si="590"/>
        <v>#N/A</v>
      </c>
      <c r="CF2408" s="16">
        <f t="shared" si="591"/>
        <v>99</v>
      </c>
      <c r="CG2408" s="16">
        <f t="shared" si="592"/>
        <v>0</v>
      </c>
      <c r="CH2408" s="16">
        <f t="shared" si="599"/>
        <v>0</v>
      </c>
      <c r="CJ2408" s="16" t="e">
        <f t="shared" si="593"/>
        <v>#N/A</v>
      </c>
      <c r="CK2408" s="16" t="str">
        <f t="shared" si="594"/>
        <v/>
      </c>
    </row>
    <row r="2409" spans="73:89" ht="12" customHeight="1">
      <c r="BU2409" s="16">
        <f t="shared" si="595"/>
        <v>0</v>
      </c>
      <c r="BV2409" s="16">
        <f>IF($BY$12=1,NORMDIST(BY2409,$Y$6,$Y$8,TRUE),IF($BY$12=2,IF(BY2409&lt;=$BX$31,0,IF(BY2409&gt;=$BX$32,1,(BY2409-$BX$31)*$BX$33)),SUM($BU$42:BU2409)/$BV$40))</f>
        <v>1</v>
      </c>
      <c r="BW2409" s="16">
        <f t="shared" si="597"/>
        <v>5.6413701852530789E-19</v>
      </c>
      <c r="BY2409" s="16">
        <f t="shared" si="598"/>
        <v>236.69999999999084</v>
      </c>
      <c r="BZ2409" s="16">
        <f t="shared" si="589"/>
        <v>2.383341861112504E-21</v>
      </c>
      <c r="CA2409" s="16">
        <f t="shared" si="596"/>
        <v>-999</v>
      </c>
      <c r="CE2409" s="16" t="e">
        <f t="shared" si="590"/>
        <v>#N/A</v>
      </c>
      <c r="CF2409" s="16">
        <f t="shared" si="591"/>
        <v>99</v>
      </c>
      <c r="CG2409" s="16">
        <f t="shared" si="592"/>
        <v>0</v>
      </c>
      <c r="CH2409" s="16">
        <f t="shared" si="599"/>
        <v>0</v>
      </c>
      <c r="CJ2409" s="16" t="e">
        <f t="shared" si="593"/>
        <v>#N/A</v>
      </c>
      <c r="CK2409" s="16" t="str">
        <f t="shared" si="594"/>
        <v/>
      </c>
    </row>
    <row r="2410" spans="73:89" ht="12" customHeight="1">
      <c r="BU2410" s="16">
        <f t="shared" si="595"/>
        <v>0</v>
      </c>
      <c r="BV2410" s="16">
        <f>IF($BY$12=1,NORMDIST(BY2410,$Y$6,$Y$8,TRUE),IF($BY$12=2,IF(BY2410&lt;=$BX$31,0,IF(BY2410&gt;=$BX$32,1,(BY2410-$BX$31)*$BX$33)),SUM($BU$42:BU2410)/$BV$40))</f>
        <v>1</v>
      </c>
      <c r="BW2410" s="16">
        <f t="shared" si="597"/>
        <v>5.3863170764359644E-19</v>
      </c>
      <c r="BY2410" s="16">
        <f t="shared" si="598"/>
        <v>236.79999999999083</v>
      </c>
      <c r="BZ2410" s="16">
        <f t="shared" ref="BZ2410:BZ2473" si="600">IF($BZ$5,IF($BY$12=1,NORMDIST(BY2410,$Y$6,$Y$8,FALSE),IF($BY$12=2,IF(AND(BY2410&gt;=$BX$31,BY2410&lt;=$BX$32),$BX$33,0),IF(BY2410&lt;=$BX$13,0,NORMDIST(LN((BY2410-$BX$13)/$BX$12),0,$BW$8,FALSE)/((BY2410-$BX$13)/$BX$12)))),-999)</f>
        <v>2.2746271437652756E-21</v>
      </c>
      <c r="CA2410" s="16">
        <f t="shared" si="596"/>
        <v>-999</v>
      </c>
      <c r="CE2410" s="16" t="e">
        <f t="shared" ref="CE2410:CE2473" si="601">IF(AND($CB$7,$CD$2,$CD$1),26+$P$23/2-CC2410*$P$23,NA())</f>
        <v>#N/A</v>
      </c>
      <c r="CF2410" s="16">
        <f t="shared" ref="CF2410:CF2473" si="602">IF(ISNA(CJ2410),99,CJ2410)</f>
        <v>99</v>
      </c>
      <c r="CG2410" s="16">
        <f t="shared" ref="CG2410:CG2473" si="603">IF(ISNA(CJ2410),0,CJ2410)</f>
        <v>0</v>
      </c>
      <c r="CH2410" s="16">
        <f t="shared" si="599"/>
        <v>0</v>
      </c>
      <c r="CJ2410" s="16" t="e">
        <f t="shared" ref="CJ2410:CJ2473" si="604">IF(CH2410=1,CE2410,NA())</f>
        <v>#N/A</v>
      </c>
      <c r="CK2410" s="16" t="str">
        <f t="shared" ref="CK2410:CK2473" si="605">IF(CH2410=1,M2309,"")</f>
        <v/>
      </c>
    </row>
    <row r="2411" spans="73:89" ht="12" customHeight="1">
      <c r="BU2411" s="16">
        <f t="shared" ref="BU2411:BU2474" si="606">IF($BY$12&lt;3,0,IF(BY2411&lt;=$BX$13,0,NORMDIST(LN((BY2411-$BX$13)/$BX$12),0,$BW$8,FALSE)/((BY2411-$BX$13)/$BX$12)))</f>
        <v>0</v>
      </c>
      <c r="BV2411" s="16">
        <f>IF($BY$12=1,NORMDIST(BY2411,$Y$6,$Y$8,TRUE),IF($BY$12=2,IF(BY2411&lt;=$BX$31,0,IF(BY2411&gt;=$BX$32,1,(BY2411-$BX$31)*$BX$33)),SUM($BU$42:BU2411)/$BV$40))</f>
        <v>1</v>
      </c>
      <c r="BW2411" s="16">
        <f t="shared" si="597"/>
        <v>5.1426657390290271E-19</v>
      </c>
      <c r="BY2411" s="16">
        <f t="shared" si="598"/>
        <v>236.89999999999083</v>
      </c>
      <c r="BZ2411" s="16">
        <f t="shared" si="600"/>
        <v>2.170817112296001E-21</v>
      </c>
      <c r="CA2411" s="16">
        <f t="shared" ref="CA2411:CA2474" si="607">IF(AND($CD$1,$CD$3),26-$CD$40*NORMDIST(BY2411,$Y$6,$Y$8/SQRT($T$18),FALSE),-999)</f>
        <v>-999</v>
      </c>
      <c r="CE2411" s="16" t="e">
        <f t="shared" si="601"/>
        <v>#N/A</v>
      </c>
      <c r="CF2411" s="16">
        <f t="shared" si="602"/>
        <v>99</v>
      </c>
      <c r="CG2411" s="16">
        <f t="shared" si="603"/>
        <v>0</v>
      </c>
      <c r="CH2411" s="16">
        <f t="shared" si="599"/>
        <v>0</v>
      </c>
      <c r="CJ2411" s="16" t="e">
        <f t="shared" si="604"/>
        <v>#N/A</v>
      </c>
      <c r="CK2411" s="16" t="str">
        <f t="shared" si="605"/>
        <v/>
      </c>
    </row>
    <row r="2412" spans="73:89" ht="12" customHeight="1">
      <c r="BU2412" s="16">
        <f t="shared" si="606"/>
        <v>0</v>
      </c>
      <c r="BV2412" s="16">
        <f>IF($BY$12=1,NORMDIST(BY2412,$Y$6,$Y$8,TRUE),IF($BY$12=2,IF(BY2412&lt;=$BX$31,0,IF(BY2412&gt;=$BX$32,1,(BY2412-$BX$31)*$BX$33)),SUM($BU$42:BU2412)/$BV$40))</f>
        <v>1</v>
      </c>
      <c r="BW2412" s="16">
        <f t="shared" si="597"/>
        <v>4.909912403735678E-19</v>
      </c>
      <c r="BY2412" s="16">
        <f t="shared" si="598"/>
        <v>236.99999999999082</v>
      </c>
      <c r="BZ2412" s="16">
        <f t="shared" si="600"/>
        <v>2.0716929973569062E-21</v>
      </c>
      <c r="CA2412" s="16">
        <f t="shared" si="607"/>
        <v>-999</v>
      </c>
      <c r="CE2412" s="16" t="e">
        <f t="shared" si="601"/>
        <v>#N/A</v>
      </c>
      <c r="CF2412" s="16">
        <f t="shared" si="602"/>
        <v>99</v>
      </c>
      <c r="CG2412" s="16">
        <f t="shared" si="603"/>
        <v>0</v>
      </c>
      <c r="CH2412" s="16">
        <f t="shared" si="599"/>
        <v>0</v>
      </c>
      <c r="CJ2412" s="16" t="e">
        <f t="shared" si="604"/>
        <v>#N/A</v>
      </c>
      <c r="CK2412" s="16" t="str">
        <f t="shared" si="605"/>
        <v/>
      </c>
    </row>
    <row r="2413" spans="73:89" ht="12" customHeight="1">
      <c r="BU2413" s="16">
        <f t="shared" si="606"/>
        <v>0</v>
      </c>
      <c r="BV2413" s="16">
        <f>IF($BY$12=1,NORMDIST(BY2413,$Y$6,$Y$8,TRUE),IF($BY$12=2,IF(BY2413&lt;=$BX$31,0,IF(BY2413&gt;=$BX$32,1,(BY2413-$BX$31)*$BX$33)),SUM($BU$42:BU2413)/$BV$40))</f>
        <v>1</v>
      </c>
      <c r="BW2413" s="16">
        <f t="shared" si="597"/>
        <v>4.6875752907951022E-19</v>
      </c>
      <c r="BY2413" s="16">
        <f t="shared" si="598"/>
        <v>237.09999999999081</v>
      </c>
      <c r="BZ2413" s="16">
        <f t="shared" si="600"/>
        <v>1.9770456730473571E-21</v>
      </c>
      <c r="CA2413" s="16">
        <f t="shared" si="607"/>
        <v>-999</v>
      </c>
      <c r="CE2413" s="16" t="e">
        <f t="shared" si="601"/>
        <v>#N/A</v>
      </c>
      <c r="CF2413" s="16">
        <f t="shared" si="602"/>
        <v>99</v>
      </c>
      <c r="CG2413" s="16">
        <f t="shared" si="603"/>
        <v>0</v>
      </c>
      <c r="CH2413" s="16">
        <f t="shared" si="599"/>
        <v>0</v>
      </c>
      <c r="CJ2413" s="16" t="e">
        <f t="shared" si="604"/>
        <v>#N/A</v>
      </c>
      <c r="CK2413" s="16" t="str">
        <f t="shared" si="605"/>
        <v/>
      </c>
    </row>
    <row r="2414" spans="73:89" ht="12" customHeight="1">
      <c r="BU2414" s="16">
        <f t="shared" si="606"/>
        <v>0</v>
      </c>
      <c r="BV2414" s="16">
        <f>IF($BY$12=1,NORMDIST(BY2414,$Y$6,$Y$8,TRUE),IF($BY$12=2,IF(BY2414&lt;=$BX$31,0,IF(BY2414&gt;=$BX$32,1,(BY2414-$BX$31)*$BX$33)),SUM($BU$42:BU2414)/$BV$40))</f>
        <v>1</v>
      </c>
      <c r="BW2414" s="16">
        <f t="shared" si="597"/>
        <v>4.4751936621836266E-19</v>
      </c>
      <c r="BY2414" s="16">
        <f t="shared" si="598"/>
        <v>237.19999999999081</v>
      </c>
      <c r="BZ2414" s="16">
        <f t="shared" si="600"/>
        <v>1.8866752370083476E-21</v>
      </c>
      <c r="CA2414" s="16">
        <f t="shared" si="607"/>
        <v>-999</v>
      </c>
      <c r="CE2414" s="16" t="e">
        <f t="shared" si="601"/>
        <v>#N/A</v>
      </c>
      <c r="CF2414" s="16">
        <f t="shared" si="602"/>
        <v>99</v>
      </c>
      <c r="CG2414" s="16">
        <f t="shared" si="603"/>
        <v>0</v>
      </c>
      <c r="CH2414" s="16">
        <f t="shared" si="599"/>
        <v>0</v>
      </c>
      <c r="CJ2414" s="16" t="e">
        <f t="shared" si="604"/>
        <v>#N/A</v>
      </c>
      <c r="CK2414" s="16" t="str">
        <f t="shared" si="605"/>
        <v/>
      </c>
    </row>
    <row r="2415" spans="73:89" ht="12" customHeight="1">
      <c r="BU2415" s="16">
        <f t="shared" si="606"/>
        <v>0</v>
      </c>
      <c r="BV2415" s="16">
        <f>IF($BY$12=1,NORMDIST(BY2415,$Y$6,$Y$8,TRUE),IF($BY$12=2,IF(BY2415&lt;=$BX$31,0,IF(BY2415&gt;=$BX$32,1,(BY2415-$BX$31)*$BX$33)),SUM($BU$42:BU2415)/$BV$40))</f>
        <v>1</v>
      </c>
      <c r="BW2415" s="16">
        <f t="shared" si="597"/>
        <v>4.272326914134326E-19</v>
      </c>
      <c r="BY2415" s="16">
        <f t="shared" si="598"/>
        <v>237.2999999999908</v>
      </c>
      <c r="BZ2415" s="16">
        <f t="shared" si="600"/>
        <v>1.8003906085691073E-21</v>
      </c>
      <c r="CA2415" s="16">
        <f t="shared" si="607"/>
        <v>-999</v>
      </c>
      <c r="CE2415" s="16" t="e">
        <f t="shared" si="601"/>
        <v>#N/A</v>
      </c>
      <c r="CF2415" s="16">
        <f t="shared" si="602"/>
        <v>99</v>
      </c>
      <c r="CG2415" s="16">
        <f t="shared" si="603"/>
        <v>0</v>
      </c>
      <c r="CH2415" s="16">
        <f t="shared" si="599"/>
        <v>0</v>
      </c>
      <c r="CJ2415" s="16" t="e">
        <f t="shared" si="604"/>
        <v>#N/A</v>
      </c>
      <c r="CK2415" s="16" t="str">
        <f t="shared" si="605"/>
        <v/>
      </c>
    </row>
    <row r="2416" spans="73:89" ht="12" customHeight="1">
      <c r="BU2416" s="16">
        <f t="shared" si="606"/>
        <v>0</v>
      </c>
      <c r="BV2416" s="16">
        <f>IF($BY$12=1,NORMDIST(BY2416,$Y$6,$Y$8,TRUE),IF($BY$12=2,IF(BY2416&lt;=$BX$31,0,IF(BY2416&gt;=$BX$32,1,(BY2416-$BX$31)*$BX$33)),SUM($BU$42:BU2416)/$BV$40))</f>
        <v>1</v>
      </c>
      <c r="BW2416" s="16">
        <f t="shared" si="597"/>
        <v>4.0785537082829451E-19</v>
      </c>
      <c r="BY2416" s="16">
        <f t="shared" si="598"/>
        <v>237.3999999999908</v>
      </c>
      <c r="BZ2416" s="16">
        <f t="shared" si="600"/>
        <v>1.7180091441799086E-21</v>
      </c>
      <c r="CA2416" s="16">
        <f t="shared" si="607"/>
        <v>-999</v>
      </c>
      <c r="CE2416" s="16" t="e">
        <f t="shared" si="601"/>
        <v>#N/A</v>
      </c>
      <c r="CF2416" s="16">
        <f t="shared" si="602"/>
        <v>99</v>
      </c>
      <c r="CG2416" s="16">
        <f t="shared" si="603"/>
        <v>0</v>
      </c>
      <c r="CH2416" s="16">
        <f t="shared" si="599"/>
        <v>0</v>
      </c>
      <c r="CJ2416" s="16" t="e">
        <f t="shared" si="604"/>
        <v>#N/A</v>
      </c>
      <c r="CK2416" s="16" t="str">
        <f t="shared" si="605"/>
        <v/>
      </c>
    </row>
    <row r="2417" spans="73:89" ht="12" customHeight="1">
      <c r="BU2417" s="16">
        <f t="shared" si="606"/>
        <v>0</v>
      </c>
      <c r="BV2417" s="16">
        <f>IF($BY$12=1,NORMDIST(BY2417,$Y$6,$Y$8,TRUE),IF($BY$12=2,IF(BY2417&lt;=$BX$31,0,IF(BY2417&gt;=$BX$32,1,(BY2417-$BX$31)*$BX$33)),SUM($BU$42:BU2417)/$BV$40))</f>
        <v>1</v>
      </c>
      <c r="BW2417" s="16">
        <f t="shared" si="597"/>
        <v>3.8934711398196253E-19</v>
      </c>
      <c r="BY2417" s="16">
        <f t="shared" si="598"/>
        <v>237.49999999999079</v>
      </c>
      <c r="BZ2417" s="16">
        <f t="shared" si="600"/>
        <v>1.6393562693978005E-21</v>
      </c>
      <c r="CA2417" s="16">
        <f t="shared" si="607"/>
        <v>-999</v>
      </c>
      <c r="CE2417" s="16" t="e">
        <f t="shared" si="601"/>
        <v>#N/A</v>
      </c>
      <c r="CF2417" s="16">
        <f t="shared" si="602"/>
        <v>99</v>
      </c>
      <c r="CG2417" s="16">
        <f t="shared" si="603"/>
        <v>0</v>
      </c>
      <c r="CH2417" s="16">
        <f t="shared" si="599"/>
        <v>0</v>
      </c>
      <c r="CJ2417" s="16" t="e">
        <f t="shared" si="604"/>
        <v>#N/A</v>
      </c>
      <c r="CK2417" s="16" t="str">
        <f t="shared" si="605"/>
        <v/>
      </c>
    </row>
    <row r="2418" spans="73:89" ht="12" customHeight="1">
      <c r="BU2418" s="16">
        <f t="shared" si="606"/>
        <v>0</v>
      </c>
      <c r="BV2418" s="16">
        <f>IF($BY$12=1,NORMDIST(BY2418,$Y$6,$Y$8,TRUE),IF($BY$12=2,IF(BY2418&lt;=$BX$31,0,IF(BY2418&gt;=$BX$32,1,(BY2418-$BX$31)*$BX$33)),SUM($BU$42:BU2418)/$BV$40))</f>
        <v>1</v>
      </c>
      <c r="BW2418" s="16">
        <f t="shared" si="597"/>
        <v>3.7166939410900516E-19</v>
      </c>
      <c r="BY2418" s="16">
        <f t="shared" si="598"/>
        <v>237.59999999999079</v>
      </c>
      <c r="BZ2418" s="16">
        <f t="shared" si="600"/>
        <v>1.5642651267214628E-21</v>
      </c>
      <c r="CA2418" s="16">
        <f t="shared" si="607"/>
        <v>-999</v>
      </c>
      <c r="CE2418" s="16" t="e">
        <f t="shared" si="601"/>
        <v>#N/A</v>
      </c>
      <c r="CF2418" s="16">
        <f t="shared" si="602"/>
        <v>99</v>
      </c>
      <c r="CG2418" s="16">
        <f t="shared" si="603"/>
        <v>0</v>
      </c>
      <c r="CH2418" s="16">
        <f t="shared" si="599"/>
        <v>0</v>
      </c>
      <c r="CJ2418" s="16" t="e">
        <f t="shared" si="604"/>
        <v>#N/A</v>
      </c>
      <c r="CK2418" s="16" t="str">
        <f t="shared" si="605"/>
        <v/>
      </c>
    </row>
    <row r="2419" spans="73:89" ht="12" customHeight="1">
      <c r="BU2419" s="16">
        <f t="shared" si="606"/>
        <v>0</v>
      </c>
      <c r="BV2419" s="16">
        <f>IF($BY$12=1,NORMDIST(BY2419,$Y$6,$Y$8,TRUE),IF($BY$12=2,IF(BY2419&lt;=$BX$31,0,IF(BY2419&gt;=$BX$32,1,(BY2419-$BX$31)*$BX$33)),SUM($BU$42:BU2419)/$BV$40))</f>
        <v>1</v>
      </c>
      <c r="BW2419" s="16">
        <f t="shared" si="597"/>
        <v>3.5478537191576306E-19</v>
      </c>
      <c r="BY2419" s="16">
        <f t="shared" si="598"/>
        <v>237.69999999999078</v>
      </c>
      <c r="BZ2419" s="16">
        <f t="shared" si="600"/>
        <v>1.4925762386023426E-21</v>
      </c>
      <c r="CA2419" s="16">
        <f t="shared" si="607"/>
        <v>-999</v>
      </c>
      <c r="CE2419" s="16" t="e">
        <f t="shared" si="601"/>
        <v>#N/A</v>
      </c>
      <c r="CF2419" s="16">
        <f t="shared" si="602"/>
        <v>99</v>
      </c>
      <c r="CG2419" s="16">
        <f t="shared" si="603"/>
        <v>0</v>
      </c>
      <c r="CH2419" s="16">
        <f t="shared" si="599"/>
        <v>0</v>
      </c>
      <c r="CJ2419" s="16" t="e">
        <f t="shared" si="604"/>
        <v>#N/A</v>
      </c>
      <c r="CK2419" s="16" t="str">
        <f t="shared" si="605"/>
        <v/>
      </c>
    </row>
    <row r="2420" spans="73:89" ht="12" customHeight="1">
      <c r="BU2420" s="16">
        <f t="shared" si="606"/>
        <v>0</v>
      </c>
      <c r="BV2420" s="16">
        <f>IF($BY$12=1,NORMDIST(BY2420,$Y$6,$Y$8,TRUE),IF($BY$12=2,IF(BY2420&lt;=$BX$31,0,IF(BY2420&gt;=$BX$32,1,(BY2420-$BX$31)*$BX$33)),SUM($BU$42:BU2420)/$BV$40))</f>
        <v>1</v>
      </c>
      <c r="BW2420" s="16">
        <f t="shared" si="597"/>
        <v>3.3865982258964523E-19</v>
      </c>
      <c r="BY2420" s="16">
        <f t="shared" si="598"/>
        <v>237.79999999999077</v>
      </c>
      <c r="BZ2420" s="16">
        <f t="shared" si="600"/>
        <v>1.4241371849859477E-21</v>
      </c>
      <c r="CA2420" s="16">
        <f t="shared" si="607"/>
        <v>-999</v>
      </c>
      <c r="CE2420" s="16" t="e">
        <f t="shared" si="601"/>
        <v>#N/A</v>
      </c>
      <c r="CF2420" s="16">
        <f t="shared" si="602"/>
        <v>99</v>
      </c>
      <c r="CG2420" s="16">
        <f t="shared" si="603"/>
        <v>0</v>
      </c>
      <c r="CH2420" s="16">
        <f t="shared" si="599"/>
        <v>0</v>
      </c>
      <c r="CJ2420" s="16" t="e">
        <f t="shared" si="604"/>
        <v>#N/A</v>
      </c>
      <c r="CK2420" s="16" t="str">
        <f t="shared" si="605"/>
        <v/>
      </c>
    </row>
    <row r="2421" spans="73:89" ht="12" customHeight="1">
      <c r="BU2421" s="16">
        <f t="shared" si="606"/>
        <v>0</v>
      </c>
      <c r="BV2421" s="16">
        <f>IF($BY$12=1,NORMDIST(BY2421,$Y$6,$Y$8,TRUE),IF($BY$12=2,IF(BY2421&lt;=$BX$31,0,IF(BY2421&gt;=$BX$32,1,(BY2421-$BX$31)*$BX$33)),SUM($BU$42:BU2421)/$BV$40))</f>
        <v>1</v>
      </c>
      <c r="BW2421" s="16">
        <f t="shared" si="597"/>
        <v>3.2325906592471862E-19</v>
      </c>
      <c r="BY2421" s="16">
        <f t="shared" si="598"/>
        <v>237.89999999999077</v>
      </c>
      <c r="BZ2421" s="16">
        <f t="shared" si="600"/>
        <v>1.3588022947655786E-21</v>
      </c>
      <c r="CA2421" s="16">
        <f t="shared" si="607"/>
        <v>-999</v>
      </c>
      <c r="CE2421" s="16" t="e">
        <f t="shared" si="601"/>
        <v>#N/A</v>
      </c>
      <c r="CF2421" s="16">
        <f t="shared" si="602"/>
        <v>99</v>
      </c>
      <c r="CG2421" s="16">
        <f t="shared" si="603"/>
        <v>0</v>
      </c>
      <c r="CH2421" s="16">
        <f t="shared" si="599"/>
        <v>0</v>
      </c>
      <c r="CJ2421" s="16" t="e">
        <f t="shared" si="604"/>
        <v>#N/A</v>
      </c>
      <c r="CK2421" s="16" t="str">
        <f t="shared" si="605"/>
        <v/>
      </c>
    </row>
    <row r="2422" spans="73:89" ht="12" customHeight="1">
      <c r="BU2422" s="16">
        <f t="shared" si="606"/>
        <v>0</v>
      </c>
      <c r="BV2422" s="16">
        <f>IF($BY$12=1,NORMDIST(BY2422,$Y$6,$Y$8,TRUE),IF($BY$12=2,IF(BY2422&lt;=$BX$31,0,IF(BY2422&gt;=$BX$32,1,(BY2422-$BX$31)*$BX$33)),SUM($BU$42:BU2422)/$BV$40))</f>
        <v>1</v>
      </c>
      <c r="BW2422" s="16">
        <f t="shared" si="597"/>
        <v>3.0855089943227384E-19</v>
      </c>
      <c r="BY2422" s="16">
        <f t="shared" si="598"/>
        <v>237.99999999999076</v>
      </c>
      <c r="BZ2422" s="16">
        <f t="shared" si="600"/>
        <v>1.2964323505558228E-21</v>
      </c>
      <c r="CA2422" s="16">
        <f t="shared" si="607"/>
        <v>-999</v>
      </c>
      <c r="CE2422" s="16" t="e">
        <f t="shared" si="601"/>
        <v>#N/A</v>
      </c>
      <c r="CF2422" s="16">
        <f t="shared" si="602"/>
        <v>99</v>
      </c>
      <c r="CG2422" s="16">
        <f t="shared" si="603"/>
        <v>0</v>
      </c>
      <c r="CH2422" s="16">
        <f t="shared" si="599"/>
        <v>0</v>
      </c>
      <c r="CJ2422" s="16" t="e">
        <f t="shared" si="604"/>
        <v>#N/A</v>
      </c>
      <c r="CK2422" s="16" t="str">
        <f t="shared" si="605"/>
        <v/>
      </c>
    </row>
    <row r="2423" spans="73:89" ht="12" customHeight="1">
      <c r="BU2423" s="16">
        <f t="shared" si="606"/>
        <v>0</v>
      </c>
      <c r="BV2423" s="16">
        <f>IF($BY$12=1,NORMDIST(BY2423,$Y$6,$Y$8,TRUE),IF($BY$12=2,IF(BY2423&lt;=$BX$31,0,IF(BY2423&gt;=$BX$32,1,(BY2423-$BX$31)*$BX$33)),SUM($BU$42:BU2423)/$BV$40))</f>
        <v>1</v>
      </c>
      <c r="BW2423" s="16">
        <f t="shared" si="597"/>
        <v>2.9450453431057054E-19</v>
      </c>
      <c r="BY2423" s="16">
        <f t="shared" si="598"/>
        <v>238.09999999999076</v>
      </c>
      <c r="BZ2423" s="16">
        <f t="shared" si="600"/>
        <v>1.2368943062183198E-21</v>
      </c>
      <c r="CA2423" s="16">
        <f t="shared" si="607"/>
        <v>-999</v>
      </c>
      <c r="CE2423" s="16" t="e">
        <f t="shared" si="601"/>
        <v>#N/A</v>
      </c>
      <c r="CF2423" s="16">
        <f t="shared" si="602"/>
        <v>99</v>
      </c>
      <c r="CG2423" s="16">
        <f t="shared" si="603"/>
        <v>0</v>
      </c>
      <c r="CH2423" s="16">
        <f t="shared" si="599"/>
        <v>0</v>
      </c>
      <c r="CJ2423" s="16" t="e">
        <f t="shared" si="604"/>
        <v>#N/A</v>
      </c>
      <c r="CK2423" s="16" t="str">
        <f t="shared" si="605"/>
        <v/>
      </c>
    </row>
    <row r="2424" spans="73:89" ht="12" customHeight="1">
      <c r="BU2424" s="16">
        <f t="shared" si="606"/>
        <v>0</v>
      </c>
      <c r="BV2424" s="16">
        <f>IF($BY$12=1,NORMDIST(BY2424,$Y$6,$Y$8,TRUE),IF($BY$12=2,IF(BY2424&lt;=$BX$31,0,IF(BY2424&gt;=$BX$32,1,(BY2424-$BX$31)*$BX$33)),SUM($BU$42:BU2424)/$BV$40))</f>
        <v>1</v>
      </c>
      <c r="BW2424" s="16">
        <f t="shared" si="597"/>
        <v>2.8109053415323427E-19</v>
      </c>
      <c r="BY2424" s="16">
        <f t="shared" si="598"/>
        <v>238.19999999999075</v>
      </c>
      <c r="BZ2424" s="16">
        <f t="shared" si="600"/>
        <v>1.1800610165963273E-21</v>
      </c>
      <c r="CA2424" s="16">
        <f t="shared" si="607"/>
        <v>-999</v>
      </c>
      <c r="CE2424" s="16" t="e">
        <f t="shared" si="601"/>
        <v>#N/A</v>
      </c>
      <c r="CF2424" s="16">
        <f t="shared" si="602"/>
        <v>99</v>
      </c>
      <c r="CG2424" s="16">
        <f t="shared" si="603"/>
        <v>0</v>
      </c>
      <c r="CH2424" s="16">
        <f t="shared" si="599"/>
        <v>0</v>
      </c>
      <c r="CJ2424" s="16" t="e">
        <f t="shared" si="604"/>
        <v>#N/A</v>
      </c>
      <c r="CK2424" s="16" t="str">
        <f t="shared" si="605"/>
        <v/>
      </c>
    </row>
    <row r="2425" spans="73:89" ht="12" customHeight="1">
      <c r="BU2425" s="16">
        <f t="shared" si="606"/>
        <v>0</v>
      </c>
      <c r="BV2425" s="16">
        <f>IF($BY$12=1,NORMDIST(BY2425,$Y$6,$Y$8,TRUE),IF($BY$12=2,IF(BY2425&lt;=$BX$31,0,IF(BY2425&gt;=$BX$32,1,(BY2425-$BX$31)*$BX$33)),SUM($BU$42:BU2425)/$BV$40))</f>
        <v>1</v>
      </c>
      <c r="BW2425" s="16">
        <f t="shared" si="597"/>
        <v>2.6828075628071573E-19</v>
      </c>
      <c r="BY2425" s="16">
        <f t="shared" si="598"/>
        <v>238.29999999999075</v>
      </c>
      <c r="BZ2425" s="16">
        <f t="shared" si="600"/>
        <v>1.1258109789371639E-21</v>
      </c>
      <c r="CA2425" s="16">
        <f t="shared" si="607"/>
        <v>-999</v>
      </c>
      <c r="CE2425" s="16" t="e">
        <f t="shared" si="601"/>
        <v>#N/A</v>
      </c>
      <c r="CF2425" s="16">
        <f t="shared" si="602"/>
        <v>99</v>
      </c>
      <c r="CG2425" s="16">
        <f t="shared" si="603"/>
        <v>0</v>
      </c>
      <c r="CH2425" s="16">
        <f t="shared" si="599"/>
        <v>0</v>
      </c>
      <c r="CJ2425" s="16" t="e">
        <f t="shared" si="604"/>
        <v>#N/A</v>
      </c>
      <c r="CK2425" s="16" t="str">
        <f t="shared" si="605"/>
        <v/>
      </c>
    </row>
    <row r="2426" spans="73:89" ht="12" customHeight="1">
      <c r="BU2426" s="16">
        <f t="shared" si="606"/>
        <v>0</v>
      </c>
      <c r="BV2426" s="16">
        <f>IF($BY$12=1,NORMDIST(BY2426,$Y$6,$Y$8,TRUE),IF($BY$12=2,IF(BY2426&lt;=$BX$31,0,IF(BY2426&gt;=$BX$32,1,(BY2426-$BX$31)*$BX$33)),SUM($BU$42:BU2426)/$BV$40))</f>
        <v>1</v>
      </c>
      <c r="BW2426" s="16">
        <f t="shared" si="597"/>
        <v>2.560482955840758E-19</v>
      </c>
      <c r="BY2426" s="16">
        <f t="shared" si="598"/>
        <v>238.39999999999074</v>
      </c>
      <c r="BZ2426" s="16">
        <f t="shared" si="600"/>
        <v>1.0740280855037153E-21</v>
      </c>
      <c r="CA2426" s="16">
        <f t="shared" si="607"/>
        <v>-999</v>
      </c>
      <c r="CE2426" s="16" t="e">
        <f t="shared" si="601"/>
        <v>#N/A</v>
      </c>
      <c r="CF2426" s="16">
        <f t="shared" si="602"/>
        <v>99</v>
      </c>
      <c r="CG2426" s="16">
        <f t="shared" si="603"/>
        <v>0</v>
      </c>
      <c r="CH2426" s="16">
        <f t="shared" si="599"/>
        <v>0</v>
      </c>
      <c r="CJ2426" s="16" t="e">
        <f t="shared" si="604"/>
        <v>#N/A</v>
      </c>
      <c r="CK2426" s="16" t="str">
        <f t="shared" si="605"/>
        <v/>
      </c>
    </row>
    <row r="2427" spans="73:89" ht="12" customHeight="1">
      <c r="BU2427" s="16">
        <f t="shared" si="606"/>
        <v>0</v>
      </c>
      <c r="BV2427" s="16">
        <f>IF($BY$12=1,NORMDIST(BY2427,$Y$6,$Y$8,TRUE),IF($BY$12=2,IF(BY2427&lt;=$BX$31,0,IF(BY2427&gt;=$BX$32,1,(BY2427-$BX$31)*$BX$33)),SUM($BU$42:BU2427)/$BV$40))</f>
        <v>1</v>
      </c>
      <c r="BW2427" s="16">
        <f t="shared" ref="BW2427:BW2490" si="608">BY2427*BZ2427</f>
        <v>2.4436743077495754E-19</v>
      </c>
      <c r="BY2427" s="16">
        <f t="shared" ref="BY2427:BY2490" si="609">BY2426+$BZ$1</f>
        <v>238.49999999999073</v>
      </c>
      <c r="BZ2427" s="16">
        <f t="shared" si="600"/>
        <v>1.0246013868971364E-21</v>
      </c>
      <c r="CA2427" s="16">
        <f t="shared" si="607"/>
        <v>-999</v>
      </c>
      <c r="CE2427" s="16" t="e">
        <f t="shared" si="601"/>
        <v>#N/A</v>
      </c>
      <c r="CF2427" s="16">
        <f t="shared" si="602"/>
        <v>99</v>
      </c>
      <c r="CG2427" s="16">
        <f t="shared" si="603"/>
        <v>0</v>
      </c>
      <c r="CH2427" s="16">
        <f t="shared" si="599"/>
        <v>0</v>
      </c>
      <c r="CJ2427" s="16" t="e">
        <f t="shared" si="604"/>
        <v>#N/A</v>
      </c>
      <c r="CK2427" s="16" t="str">
        <f t="shared" si="605"/>
        <v/>
      </c>
    </row>
    <row r="2428" spans="73:89" ht="12" customHeight="1">
      <c r="BU2428" s="16">
        <f t="shared" si="606"/>
        <v>0</v>
      </c>
      <c r="BV2428" s="16">
        <f>IF($BY$12=1,NORMDIST(BY2428,$Y$6,$Y$8,TRUE),IF($BY$12=2,IF(BY2428&lt;=$BX$31,0,IF(BY2428&gt;=$BX$32,1,(BY2428-$BX$31)*$BX$33)),SUM($BU$42:BU2428)/$BV$40))</f>
        <v>1</v>
      </c>
      <c r="BW2428" s="16">
        <f t="shared" si="608"/>
        <v>2.3321357294002843E-19</v>
      </c>
      <c r="BY2428" s="16">
        <f t="shared" si="609"/>
        <v>238.59999999999073</v>
      </c>
      <c r="BZ2428" s="16">
        <f t="shared" si="600"/>
        <v>9.7742486563301539E-22</v>
      </c>
      <c r="CA2428" s="16">
        <f t="shared" si="607"/>
        <v>-999</v>
      </c>
      <c r="CE2428" s="16" t="e">
        <f t="shared" si="601"/>
        <v>#N/A</v>
      </c>
      <c r="CF2428" s="16">
        <f t="shared" si="602"/>
        <v>99</v>
      </c>
      <c r="CG2428" s="16">
        <f t="shared" si="603"/>
        <v>0</v>
      </c>
      <c r="CH2428" s="16">
        <f t="shared" si="599"/>
        <v>0</v>
      </c>
      <c r="CJ2428" s="16" t="e">
        <f t="shared" si="604"/>
        <v>#N/A</v>
      </c>
      <c r="CK2428" s="16" t="str">
        <f t="shared" si="605"/>
        <v/>
      </c>
    </row>
    <row r="2429" spans="73:89" ht="12" customHeight="1">
      <c r="BU2429" s="16">
        <f t="shared" si="606"/>
        <v>0</v>
      </c>
      <c r="BV2429" s="16">
        <f>IF($BY$12=1,NORMDIST(BY2429,$Y$6,$Y$8,TRUE),IF($BY$12=2,IF(BY2429&lt;=$BX$31,0,IF(BY2429&gt;=$BX$32,1,(BY2429-$BX$31)*$BX$33)),SUM($BU$42:BU2429)/$BV$40))</f>
        <v>1</v>
      </c>
      <c r="BW2429" s="16">
        <f t="shared" si="608"/>
        <v>2.2256321630240667E-19</v>
      </c>
      <c r="BY2429" s="16">
        <f t="shared" si="609"/>
        <v>238.69999999999072</v>
      </c>
      <c r="BZ2429" s="16">
        <f t="shared" si="600"/>
        <v>9.3239721953253164E-22</v>
      </c>
      <c r="CA2429" s="16">
        <f t="shared" si="607"/>
        <v>-999</v>
      </c>
      <c r="CE2429" s="16" t="e">
        <f t="shared" si="601"/>
        <v>#N/A</v>
      </c>
      <c r="CF2429" s="16">
        <f t="shared" si="602"/>
        <v>99</v>
      </c>
      <c r="CG2429" s="16">
        <f t="shared" si="603"/>
        <v>0</v>
      </c>
      <c r="CH2429" s="16">
        <f t="shared" si="599"/>
        <v>0</v>
      </c>
      <c r="CJ2429" s="16" t="e">
        <f t="shared" si="604"/>
        <v>#N/A</v>
      </c>
      <c r="CK2429" s="16" t="str">
        <f t="shared" si="605"/>
        <v/>
      </c>
    </row>
    <row r="2430" spans="73:89" ht="12" customHeight="1">
      <c r="BU2430" s="16">
        <f t="shared" si="606"/>
        <v>0</v>
      </c>
      <c r="BV2430" s="16">
        <f>IF($BY$12=1,NORMDIST(BY2430,$Y$6,$Y$8,TRUE),IF($BY$12=2,IF(BY2430&lt;=$BX$31,0,IF(BY2430&gt;=$BX$32,1,(BY2430-$BX$31)*$BX$33)),SUM($BU$42:BU2430)/$BV$40))</f>
        <v>1</v>
      </c>
      <c r="BW2430" s="16">
        <f t="shared" si="608"/>
        <v>2.123938910966761E-19</v>
      </c>
      <c r="BY2430" s="16">
        <f t="shared" si="609"/>
        <v>238.79999999999072</v>
      </c>
      <c r="BZ2430" s="16">
        <f t="shared" si="600"/>
        <v>8.8942165450872845E-22</v>
      </c>
      <c r="CA2430" s="16">
        <f t="shared" si="607"/>
        <v>-999</v>
      </c>
      <c r="CE2430" s="16" t="e">
        <f t="shared" si="601"/>
        <v>#N/A</v>
      </c>
      <c r="CF2430" s="16">
        <f t="shared" si="602"/>
        <v>99</v>
      </c>
      <c r="CG2430" s="16">
        <f t="shared" si="603"/>
        <v>0</v>
      </c>
      <c r="CH2430" s="16">
        <f t="shared" si="599"/>
        <v>0</v>
      </c>
      <c r="CJ2430" s="16" t="e">
        <f t="shared" si="604"/>
        <v>#N/A</v>
      </c>
      <c r="CK2430" s="16" t="str">
        <f t="shared" si="605"/>
        <v/>
      </c>
    </row>
    <row r="2431" spans="73:89" ht="12" customHeight="1">
      <c r="BU2431" s="16">
        <f t="shared" si="606"/>
        <v>0</v>
      </c>
      <c r="BV2431" s="16">
        <f>IF($BY$12=1,NORMDIST(BY2431,$Y$6,$Y$8,TRUE),IF($BY$12=2,IF(BY2431&lt;=$BX$31,0,IF(BY2431&gt;=$BX$32,1,(BY2431-$BX$31)*$BX$33)),SUM($BU$42:BU2431)/$BV$40))</f>
        <v>1</v>
      </c>
      <c r="BW2431" s="16">
        <f t="shared" si="608"/>
        <v>2.0268411846796685E-19</v>
      </c>
      <c r="BY2431" s="16">
        <f t="shared" si="609"/>
        <v>238.89999999999071</v>
      </c>
      <c r="BZ2431" s="16">
        <f t="shared" si="600"/>
        <v>8.4840568634564562E-22</v>
      </c>
      <c r="CA2431" s="16">
        <f t="shared" si="607"/>
        <v>-999</v>
      </c>
      <c r="CE2431" s="16" t="e">
        <f t="shared" si="601"/>
        <v>#N/A</v>
      </c>
      <c r="CF2431" s="16">
        <f t="shared" si="602"/>
        <v>99</v>
      </c>
      <c r="CG2431" s="16">
        <f t="shared" si="603"/>
        <v>0</v>
      </c>
      <c r="CH2431" s="16">
        <f t="shared" si="599"/>
        <v>0</v>
      </c>
      <c r="CJ2431" s="16" t="e">
        <f t="shared" si="604"/>
        <v>#N/A</v>
      </c>
      <c r="CK2431" s="16" t="str">
        <f t="shared" si="605"/>
        <v/>
      </c>
    </row>
    <row r="2432" spans="73:89" ht="12" customHeight="1">
      <c r="BU2432" s="16">
        <f t="shared" si="606"/>
        <v>0</v>
      </c>
      <c r="BV2432" s="16">
        <f>IF($BY$12=1,NORMDIST(BY2432,$Y$6,$Y$8,TRUE),IF($BY$12=2,IF(BY2432&lt;=$BX$31,0,IF(BY2432&gt;=$BX$32,1,(BY2432-$BX$31)*$BX$33)),SUM($BU$42:BU2432)/$BV$40))</f>
        <v>1</v>
      </c>
      <c r="BW2432" s="16">
        <f t="shared" si="608"/>
        <v>1.9341336730931153E-19</v>
      </c>
      <c r="BY2432" s="16">
        <f t="shared" si="609"/>
        <v>238.99999999999071</v>
      </c>
      <c r="BZ2432" s="16">
        <f t="shared" si="600"/>
        <v>8.0926095108501692E-22</v>
      </c>
      <c r="CA2432" s="16">
        <f t="shared" si="607"/>
        <v>-999</v>
      </c>
      <c r="CE2432" s="16" t="e">
        <f t="shared" si="601"/>
        <v>#N/A</v>
      </c>
      <c r="CF2432" s="16">
        <f t="shared" si="602"/>
        <v>99</v>
      </c>
      <c r="CG2432" s="16">
        <f t="shared" si="603"/>
        <v>0</v>
      </c>
      <c r="CH2432" s="16">
        <f t="shared" si="599"/>
        <v>0</v>
      </c>
      <c r="CJ2432" s="16" t="e">
        <f t="shared" si="604"/>
        <v>#N/A</v>
      </c>
      <c r="CK2432" s="16" t="str">
        <f t="shared" si="605"/>
        <v/>
      </c>
    </row>
    <row r="2433" spans="73:89" ht="12" customHeight="1">
      <c r="BU2433" s="16">
        <f t="shared" si="606"/>
        <v>0</v>
      </c>
      <c r="BV2433" s="16">
        <f>IF($BY$12=1,NORMDIST(BY2433,$Y$6,$Y$8,TRUE),IF($BY$12=2,IF(BY2433&lt;=$BX$31,0,IF(BY2433&gt;=$BX$32,1,(BY2433-$BX$31)*$BX$33)),SUM($BU$42:BU2433)/$BV$40))</f>
        <v>1</v>
      </c>
      <c r="BW2433" s="16">
        <f t="shared" si="608"/>
        <v>1.8456201295511649E-19</v>
      </c>
      <c r="BY2433" s="16">
        <f t="shared" si="609"/>
        <v>239.0999999999907</v>
      </c>
      <c r="BZ2433" s="16">
        <f t="shared" si="600"/>
        <v>7.7190302365170916E-22</v>
      </c>
      <c r="CA2433" s="16">
        <f t="shared" si="607"/>
        <v>-999</v>
      </c>
      <c r="CE2433" s="16" t="e">
        <f t="shared" si="601"/>
        <v>#N/A</v>
      </c>
      <c r="CF2433" s="16">
        <f t="shared" si="602"/>
        <v>99</v>
      </c>
      <c r="CG2433" s="16">
        <f t="shared" si="603"/>
        <v>0</v>
      </c>
      <c r="CH2433" s="16">
        <f t="shared" si="599"/>
        <v>0</v>
      </c>
      <c r="CJ2433" s="16" t="e">
        <f t="shared" si="604"/>
        <v>#N/A</v>
      </c>
      <c r="CK2433" s="16" t="str">
        <f t="shared" si="605"/>
        <v/>
      </c>
    </row>
    <row r="2434" spans="73:89" ht="12" customHeight="1">
      <c r="BU2434" s="16">
        <f t="shared" si="606"/>
        <v>0</v>
      </c>
      <c r="BV2434" s="16">
        <f>IF($BY$12=1,NORMDIST(BY2434,$Y$6,$Y$8,TRUE),IF($BY$12=2,IF(BY2434&lt;=$BX$31,0,IF(BY2434&gt;=$BX$32,1,(BY2434-$BX$31)*$BX$33)),SUM($BU$42:BU2434)/$BV$40))</f>
        <v>1</v>
      </c>
      <c r="BW2434" s="16">
        <f t="shared" si="608"/>
        <v>1.7611129765196872E-19</v>
      </c>
      <c r="BY2434" s="16">
        <f t="shared" si="609"/>
        <v>239.19999999999069</v>
      </c>
      <c r="BZ2434" s="16">
        <f t="shared" si="600"/>
        <v>7.3625124436444636E-22</v>
      </c>
      <c r="CA2434" s="16">
        <f t="shared" si="607"/>
        <v>-999</v>
      </c>
      <c r="CE2434" s="16" t="e">
        <f t="shared" si="601"/>
        <v>#N/A</v>
      </c>
      <c r="CF2434" s="16">
        <f t="shared" si="602"/>
        <v>99</v>
      </c>
      <c r="CG2434" s="16">
        <f t="shared" si="603"/>
        <v>0</v>
      </c>
      <c r="CH2434" s="16">
        <f t="shared" si="599"/>
        <v>0</v>
      </c>
      <c r="CJ2434" s="16" t="e">
        <f t="shared" si="604"/>
        <v>#N/A</v>
      </c>
      <c r="CK2434" s="16" t="str">
        <f t="shared" si="605"/>
        <v/>
      </c>
    </row>
    <row r="2435" spans="73:89" ht="12" customHeight="1">
      <c r="BU2435" s="16">
        <f t="shared" si="606"/>
        <v>0</v>
      </c>
      <c r="BV2435" s="16">
        <f>IF($BY$12=1,NORMDIST(BY2435,$Y$6,$Y$8,TRUE),IF($BY$12=2,IF(BY2435&lt;=$BX$31,0,IF(BY2435&gt;=$BX$32,1,(BY2435-$BX$31)*$BX$33)),SUM($BU$42:BU2435)/$BV$40))</f>
        <v>1</v>
      </c>
      <c r="BW2435" s="16">
        <f t="shared" si="608"/>
        <v>1.6804329273132924E-19</v>
      </c>
      <c r="BY2435" s="16">
        <f t="shared" si="609"/>
        <v>239.29999999999069</v>
      </c>
      <c r="BZ2435" s="16">
        <f t="shared" si="600"/>
        <v>7.0222855299346335E-22</v>
      </c>
      <c r="CA2435" s="16">
        <f t="shared" si="607"/>
        <v>-999</v>
      </c>
      <c r="CE2435" s="16" t="e">
        <f t="shared" si="601"/>
        <v>#N/A</v>
      </c>
      <c r="CF2435" s="16">
        <f t="shared" si="602"/>
        <v>99</v>
      </c>
      <c r="CG2435" s="16">
        <f t="shared" si="603"/>
        <v>0</v>
      </c>
      <c r="CH2435" s="16">
        <f t="shared" ref="CH2435:CH2498" si="610">IF(CB2435="",0,1)</f>
        <v>0</v>
      </c>
      <c r="CJ2435" s="16" t="e">
        <f t="shared" si="604"/>
        <v>#N/A</v>
      </c>
      <c r="CK2435" s="16" t="str">
        <f t="shared" si="605"/>
        <v/>
      </c>
    </row>
    <row r="2436" spans="73:89" ht="12" customHeight="1">
      <c r="BU2436" s="16">
        <f t="shared" si="606"/>
        <v>0</v>
      </c>
      <c r="BV2436" s="16">
        <f>IF($BY$12=1,NORMDIST(BY2436,$Y$6,$Y$8,TRUE),IF($BY$12=2,IF(BY2436&lt;=$BX$31,0,IF(BY2436&gt;=$BX$32,1,(BY2436-$BX$31)*$BX$33)),SUM($BU$42:BU2436)/$BV$40))</f>
        <v>1</v>
      </c>
      <c r="BW2436" s="16">
        <f t="shared" si="608"/>
        <v>1.6034086241181054E-19</v>
      </c>
      <c r="BY2436" s="16">
        <f t="shared" si="609"/>
        <v>239.39999999999068</v>
      </c>
      <c r="BZ2436" s="16">
        <f t="shared" si="600"/>
        <v>6.6976133004100574E-22</v>
      </c>
      <c r="CA2436" s="16">
        <f t="shared" si="607"/>
        <v>-999</v>
      </c>
      <c r="CE2436" s="16" t="e">
        <f t="shared" si="601"/>
        <v>#N/A</v>
      </c>
      <c r="CF2436" s="16">
        <f t="shared" si="602"/>
        <v>99</v>
      </c>
      <c r="CG2436" s="16">
        <f t="shared" si="603"/>
        <v>0</v>
      </c>
      <c r="CH2436" s="16">
        <f t="shared" si="610"/>
        <v>0</v>
      </c>
      <c r="CJ2436" s="16" t="e">
        <f t="shared" si="604"/>
        <v>#N/A</v>
      </c>
      <c r="CK2436" s="16" t="str">
        <f t="shared" si="605"/>
        <v/>
      </c>
    </row>
    <row r="2437" spans="73:89" ht="12" customHeight="1">
      <c r="BU2437" s="16">
        <f t="shared" si="606"/>
        <v>0</v>
      </c>
      <c r="BV2437" s="16">
        <f>IF($BY$12=1,NORMDIST(BY2437,$Y$6,$Y$8,TRUE),IF($BY$12=2,IF(BY2437&lt;=$BX$31,0,IF(BY2437&gt;=$BX$32,1,(BY2437-$BX$31)*$BX$33)),SUM($BU$42:BU2437)/$BV$40))</f>
        <v>1</v>
      </c>
      <c r="BW2437" s="16">
        <f t="shared" si="608"/>
        <v>1.5298762916176879E-19</v>
      </c>
      <c r="BY2437" s="16">
        <f t="shared" si="609"/>
        <v>239.49999999999068</v>
      </c>
      <c r="BZ2437" s="16">
        <f t="shared" si="600"/>
        <v>6.3877924493434131E-22</v>
      </c>
      <c r="CA2437" s="16">
        <f t="shared" si="607"/>
        <v>-999</v>
      </c>
      <c r="CE2437" s="16" t="e">
        <f t="shared" si="601"/>
        <v>#N/A</v>
      </c>
      <c r="CF2437" s="16">
        <f t="shared" si="602"/>
        <v>99</v>
      </c>
      <c r="CG2437" s="16">
        <f t="shared" si="603"/>
        <v>0</v>
      </c>
      <c r="CH2437" s="16">
        <f t="shared" si="610"/>
        <v>0</v>
      </c>
      <c r="CJ2437" s="16" t="e">
        <f t="shared" si="604"/>
        <v>#N/A</v>
      </c>
      <c r="CK2437" s="16" t="str">
        <f t="shared" si="605"/>
        <v/>
      </c>
    </row>
    <row r="2438" spans="73:89" ht="12" customHeight="1">
      <c r="BU2438" s="16">
        <f t="shared" si="606"/>
        <v>0</v>
      </c>
      <c r="BV2438" s="16">
        <f>IF($BY$12=1,NORMDIST(BY2438,$Y$6,$Y$8,TRUE),IF($BY$12=2,IF(BY2438&lt;=$BX$31,0,IF(BY2438&gt;=$BX$32,1,(BY2438-$BX$31)*$BX$33)),SUM($BU$42:BU2438)/$BV$40))</f>
        <v>1</v>
      </c>
      <c r="BW2438" s="16">
        <f t="shared" si="608"/>
        <v>1.4596794055583697E-19</v>
      </c>
      <c r="BY2438" s="16">
        <f t="shared" si="609"/>
        <v>239.59999999999067</v>
      </c>
      <c r="BZ2438" s="16">
        <f t="shared" si="600"/>
        <v>6.0921511083406783E-22</v>
      </c>
      <c r="CA2438" s="16">
        <f t="shared" si="607"/>
        <v>-999</v>
      </c>
      <c r="CE2438" s="16" t="e">
        <f t="shared" si="601"/>
        <v>#N/A</v>
      </c>
      <c r="CF2438" s="16">
        <f t="shared" si="602"/>
        <v>99</v>
      </c>
      <c r="CG2438" s="16">
        <f t="shared" si="603"/>
        <v>0</v>
      </c>
      <c r="CH2438" s="16">
        <f t="shared" si="610"/>
        <v>0</v>
      </c>
      <c r="CJ2438" s="16" t="e">
        <f t="shared" si="604"/>
        <v>#N/A</v>
      </c>
      <c r="CK2438" s="16" t="str">
        <f t="shared" si="605"/>
        <v/>
      </c>
    </row>
    <row r="2439" spans="73:89" ht="12" customHeight="1">
      <c r="BU2439" s="16">
        <f t="shared" si="606"/>
        <v>0</v>
      </c>
      <c r="BV2439" s="16">
        <f>IF($BY$12=1,NORMDIST(BY2439,$Y$6,$Y$8,TRUE),IF($BY$12=2,IF(BY2439&lt;=$BX$31,0,IF(BY2439&gt;=$BX$32,1,(BY2439-$BX$31)*$BX$33)),SUM($BU$42:BU2439)/$BV$40))</f>
        <v>1</v>
      </c>
      <c r="BW2439" s="16">
        <f t="shared" si="608"/>
        <v>1.3926683756182631E-19</v>
      </c>
      <c r="BY2439" s="16">
        <f t="shared" si="609"/>
        <v>239.69999999999067</v>
      </c>
      <c r="BZ2439" s="16">
        <f t="shared" si="600"/>
        <v>5.8100474577318198E-22</v>
      </c>
      <c r="CA2439" s="16">
        <f t="shared" si="607"/>
        <v>-999</v>
      </c>
      <c r="CE2439" s="16" t="e">
        <f t="shared" si="601"/>
        <v>#N/A</v>
      </c>
      <c r="CF2439" s="16">
        <f t="shared" si="602"/>
        <v>99</v>
      </c>
      <c r="CG2439" s="16">
        <f t="shared" si="603"/>
        <v>0</v>
      </c>
      <c r="CH2439" s="16">
        <f t="shared" si="610"/>
        <v>0</v>
      </c>
      <c r="CJ2439" s="16" t="e">
        <f t="shared" si="604"/>
        <v>#N/A</v>
      </c>
      <c r="CK2439" s="16" t="str">
        <f t="shared" si="605"/>
        <v/>
      </c>
    </row>
    <row r="2440" spans="73:89" ht="12" customHeight="1">
      <c r="BU2440" s="16">
        <f t="shared" si="606"/>
        <v>0</v>
      </c>
      <c r="BV2440" s="16">
        <f>IF($BY$12=1,NORMDIST(BY2440,$Y$6,$Y$8,TRUE),IF($BY$12=2,IF(BY2440&lt;=$BX$31,0,IF(BY2440&gt;=$BX$32,1,(BY2440-$BX$31)*$BX$33)),SUM($BU$42:BU2440)/$BV$40))</f>
        <v>1</v>
      </c>
      <c r="BW2440" s="16">
        <f t="shared" si="608"/>
        <v>1.3287002419707549E-19</v>
      </c>
      <c r="BY2440" s="16">
        <f t="shared" si="609"/>
        <v>239.79999999999066</v>
      </c>
      <c r="BZ2440" s="16">
        <f t="shared" si="600"/>
        <v>5.5408683985438147E-22</v>
      </c>
      <c r="CA2440" s="16">
        <f t="shared" si="607"/>
        <v>-999</v>
      </c>
      <c r="CE2440" s="16" t="e">
        <f t="shared" si="601"/>
        <v>#N/A</v>
      </c>
      <c r="CF2440" s="16">
        <f t="shared" si="602"/>
        <v>99</v>
      </c>
      <c r="CG2440" s="16">
        <f t="shared" si="603"/>
        <v>0</v>
      </c>
      <c r="CH2440" s="16">
        <f t="shared" si="610"/>
        <v>0</v>
      </c>
      <c r="CJ2440" s="16" t="e">
        <f t="shared" si="604"/>
        <v>#N/A</v>
      </c>
      <c r="CK2440" s="16" t="str">
        <f t="shared" si="605"/>
        <v/>
      </c>
    </row>
    <row r="2441" spans="73:89" ht="12" customHeight="1">
      <c r="BU2441" s="16">
        <f t="shared" si="606"/>
        <v>0</v>
      </c>
      <c r="BV2441" s="16">
        <f>IF($BY$12=1,NORMDIST(BY2441,$Y$6,$Y$8,TRUE),IF($BY$12=2,IF(BY2441&lt;=$BX$31,0,IF(BY2441&gt;=$BX$32,1,(BY2441-$BX$31)*$BX$33)),SUM($BU$42:BU2441)/$BV$40))</f>
        <v>1</v>
      </c>
      <c r="BW2441" s="16">
        <f t="shared" si="608"/>
        <v>1.2676383849588224E-19</v>
      </c>
      <c r="BY2441" s="16">
        <f t="shared" si="609"/>
        <v>239.89999999999065</v>
      </c>
      <c r="BZ2441" s="16">
        <f t="shared" si="600"/>
        <v>5.2840282824463185E-22</v>
      </c>
      <c r="CA2441" s="16">
        <f t="shared" si="607"/>
        <v>-999</v>
      </c>
      <c r="CE2441" s="16" t="e">
        <f t="shared" si="601"/>
        <v>#N/A</v>
      </c>
      <c r="CF2441" s="16">
        <f t="shared" si="602"/>
        <v>99</v>
      </c>
      <c r="CG2441" s="16">
        <f t="shared" si="603"/>
        <v>0</v>
      </c>
      <c r="CH2441" s="16">
        <f t="shared" si="610"/>
        <v>0</v>
      </c>
      <c r="CJ2441" s="16" t="e">
        <f t="shared" si="604"/>
        <v>#N/A</v>
      </c>
      <c r="CK2441" s="16" t="str">
        <f t="shared" si="605"/>
        <v/>
      </c>
    </row>
    <row r="2442" spans="73:89" ht="12" customHeight="1">
      <c r="BU2442" s="16">
        <f t="shared" si="606"/>
        <v>0</v>
      </c>
      <c r="BV2442" s="16">
        <f>IF($BY$12=1,NORMDIST(BY2442,$Y$6,$Y$8,TRUE),IF($BY$12=2,IF(BY2442&lt;=$BX$31,0,IF(BY2442&gt;=$BX$32,1,(BY2442-$BX$31)*$BX$33)),SUM($BU$42:BU2442)/$BV$40))</f>
        <v>1</v>
      </c>
      <c r="BW2442" s="16">
        <f t="shared" si="608"/>
        <v>1.2093522473213246E-19</v>
      </c>
      <c r="BY2442" s="16">
        <f t="shared" si="609"/>
        <v>239.99999999999065</v>
      </c>
      <c r="BZ2442" s="16">
        <f t="shared" si="600"/>
        <v>5.0389676971723824E-22</v>
      </c>
      <c r="CA2442" s="16">
        <f t="shared" si="607"/>
        <v>-999</v>
      </c>
      <c r="CE2442" s="16" t="e">
        <f t="shared" si="601"/>
        <v>#N/A</v>
      </c>
      <c r="CF2442" s="16">
        <f t="shared" si="602"/>
        <v>99</v>
      </c>
      <c r="CG2442" s="16">
        <f t="shared" si="603"/>
        <v>0</v>
      </c>
      <c r="CH2442" s="16">
        <f t="shared" si="610"/>
        <v>0</v>
      </c>
      <c r="CJ2442" s="16" t="e">
        <f t="shared" si="604"/>
        <v>#N/A</v>
      </c>
      <c r="CK2442" s="16" t="str">
        <f t="shared" si="605"/>
        <v/>
      </c>
    </row>
    <row r="2443" spans="73:89" ht="12" customHeight="1">
      <c r="BU2443" s="16">
        <f t="shared" si="606"/>
        <v>0</v>
      </c>
      <c r="BV2443" s="16">
        <f>IF($BY$12=1,NORMDIST(BY2443,$Y$6,$Y$8,TRUE),IF($BY$12=2,IF(BY2443&lt;=$BX$31,0,IF(BY2443&gt;=$BX$32,1,(BY2443-$BX$31)*$BX$33)),SUM($BU$42:BU2443)/$BV$40))</f>
        <v>1</v>
      </c>
      <c r="BW2443" s="16">
        <f t="shared" si="608"/>
        <v>1.1537170684355877E-19</v>
      </c>
      <c r="BY2443" s="16">
        <f t="shared" si="609"/>
        <v>240.09999999999064</v>
      </c>
      <c r="BZ2443" s="16">
        <f t="shared" si="600"/>
        <v>4.805152305021377E-22</v>
      </c>
      <c r="CA2443" s="16">
        <f t="shared" si="607"/>
        <v>-999</v>
      </c>
      <c r="CE2443" s="16" t="e">
        <f t="shared" si="601"/>
        <v>#N/A</v>
      </c>
      <c r="CF2443" s="16">
        <f t="shared" si="602"/>
        <v>99</v>
      </c>
      <c r="CG2443" s="16">
        <f t="shared" si="603"/>
        <v>0</v>
      </c>
      <c r="CH2443" s="16">
        <f t="shared" si="610"/>
        <v>0</v>
      </c>
      <c r="CJ2443" s="16" t="e">
        <f t="shared" si="604"/>
        <v>#N/A</v>
      </c>
      <c r="CK2443" s="16" t="str">
        <f t="shared" si="605"/>
        <v/>
      </c>
    </row>
    <row r="2444" spans="73:89" ht="12" customHeight="1">
      <c r="BU2444" s="16">
        <f t="shared" si="606"/>
        <v>0</v>
      </c>
      <c r="BV2444" s="16">
        <f>IF($BY$12=1,NORMDIST(BY2444,$Y$6,$Y$8,TRUE),IF($BY$12=2,IF(BY2444&lt;=$BX$31,0,IF(BY2444&gt;=$BX$32,1,(BY2444-$BX$31)*$BX$33)),SUM($BU$42:BU2444)/$BV$40))</f>
        <v>1</v>
      </c>
      <c r="BW2444" s="16">
        <f t="shared" si="608"/>
        <v>1.1006136300633589E-19</v>
      </c>
      <c r="BY2444" s="16">
        <f t="shared" si="609"/>
        <v>240.19999999999064</v>
      </c>
      <c r="BZ2444" s="16">
        <f t="shared" si="600"/>
        <v>4.5820717321540457E-22</v>
      </c>
      <c r="CA2444" s="16">
        <f t="shared" si="607"/>
        <v>-999</v>
      </c>
      <c r="CE2444" s="16" t="e">
        <f t="shared" si="601"/>
        <v>#N/A</v>
      </c>
      <c r="CF2444" s="16">
        <f t="shared" si="602"/>
        <v>99</v>
      </c>
      <c r="CG2444" s="16">
        <f t="shared" si="603"/>
        <v>0</v>
      </c>
      <c r="CH2444" s="16">
        <f t="shared" si="610"/>
        <v>0</v>
      </c>
      <c r="CJ2444" s="16" t="e">
        <f t="shared" si="604"/>
        <v>#N/A</v>
      </c>
      <c r="CK2444" s="16" t="str">
        <f t="shared" si="605"/>
        <v/>
      </c>
    </row>
    <row r="2445" spans="73:89" ht="12" customHeight="1">
      <c r="BU2445" s="16">
        <f t="shared" si="606"/>
        <v>0</v>
      </c>
      <c r="BV2445" s="16">
        <f>IF($BY$12=1,NORMDIST(BY2445,$Y$6,$Y$8,TRUE),IF($BY$12=2,IF(BY2445&lt;=$BX$31,0,IF(BY2445&gt;=$BX$32,1,(BY2445-$BX$31)*$BX$33)),SUM($BU$42:BU2445)/$BV$40))</f>
        <v>1</v>
      </c>
      <c r="BW2445" s="16">
        <f t="shared" si="608"/>
        <v>1.0499280131086866E-19</v>
      </c>
      <c r="BY2445" s="16">
        <f t="shared" si="609"/>
        <v>240.29999999999063</v>
      </c>
      <c r="BZ2445" s="16">
        <f t="shared" si="600"/>
        <v>4.3692385064865897E-22</v>
      </c>
      <c r="CA2445" s="16">
        <f t="shared" si="607"/>
        <v>-999</v>
      </c>
      <c r="CE2445" s="16" t="e">
        <f t="shared" si="601"/>
        <v>#N/A</v>
      </c>
      <c r="CF2445" s="16">
        <f t="shared" si="602"/>
        <v>99</v>
      </c>
      <c r="CG2445" s="16">
        <f t="shared" si="603"/>
        <v>0</v>
      </c>
      <c r="CH2445" s="16">
        <f t="shared" si="610"/>
        <v>0</v>
      </c>
      <c r="CJ2445" s="16" t="e">
        <f t="shared" si="604"/>
        <v>#N/A</v>
      </c>
      <c r="CK2445" s="16" t="str">
        <f t="shared" si="605"/>
        <v/>
      </c>
    </row>
    <row r="2446" spans="73:89" ht="12" customHeight="1">
      <c r="BU2446" s="16">
        <f t="shared" si="606"/>
        <v>0</v>
      </c>
      <c r="BV2446" s="16">
        <f>IF($BY$12=1,NORMDIST(BY2446,$Y$6,$Y$8,TRUE),IF($BY$12=2,IF(BY2446&lt;=$BX$31,0,IF(BY2446&gt;=$BX$32,1,(BY2446-$BX$31)*$BX$33)),SUM($BU$42:BU2446)/$BV$40))</f>
        <v>1</v>
      </c>
      <c r="BW2446" s="16">
        <f t="shared" si="608"/>
        <v>1.0015513649171012E-19</v>
      </c>
      <c r="BY2446" s="16">
        <f t="shared" si="609"/>
        <v>240.39999999999063</v>
      </c>
      <c r="BZ2446" s="16">
        <f t="shared" si="600"/>
        <v>4.16618704208461E-22</v>
      </c>
      <c r="CA2446" s="16">
        <f t="shared" si="607"/>
        <v>-999</v>
      </c>
      <c r="CE2446" s="16" t="e">
        <f t="shared" si="601"/>
        <v>#N/A</v>
      </c>
      <c r="CF2446" s="16">
        <f t="shared" si="602"/>
        <v>99</v>
      </c>
      <c r="CG2446" s="16">
        <f t="shared" si="603"/>
        <v>0</v>
      </c>
      <c r="CH2446" s="16">
        <f t="shared" si="610"/>
        <v>0</v>
      </c>
      <c r="CJ2446" s="16" t="e">
        <f t="shared" si="604"/>
        <v>#N/A</v>
      </c>
      <c r="CK2446" s="16" t="str">
        <f t="shared" si="605"/>
        <v/>
      </c>
    </row>
    <row r="2447" spans="73:89" ht="12" customHeight="1">
      <c r="BU2447" s="16">
        <f t="shared" si="606"/>
        <v>0</v>
      </c>
      <c r="BV2447" s="16">
        <f>IF($BY$12=1,NORMDIST(BY2447,$Y$6,$Y$8,TRUE),IF($BY$12=2,IF(BY2447&lt;=$BX$31,0,IF(BY2447&gt;=$BX$32,1,(BY2447-$BX$31)*$BX$33)),SUM($BU$42:BU2447)/$BV$40))</f>
        <v>1</v>
      </c>
      <c r="BW2447" s="16">
        <f t="shared" si="608"/>
        <v>9.5537967666525408E-20</v>
      </c>
      <c r="BY2447" s="16">
        <f t="shared" si="609"/>
        <v>240.49999999999062</v>
      </c>
      <c r="BZ2447" s="16">
        <f t="shared" si="600"/>
        <v>3.9724726680469492E-22</v>
      </c>
      <c r="CA2447" s="16">
        <f t="shared" si="607"/>
        <v>-999</v>
      </c>
      <c r="CE2447" s="16" t="e">
        <f t="shared" si="601"/>
        <v>#N/A</v>
      </c>
      <c r="CF2447" s="16">
        <f t="shared" si="602"/>
        <v>99</v>
      </c>
      <c r="CG2447" s="16">
        <f t="shared" si="603"/>
        <v>0</v>
      </c>
      <c r="CH2447" s="16">
        <f t="shared" si="610"/>
        <v>0</v>
      </c>
      <c r="CJ2447" s="16" t="e">
        <f t="shared" si="604"/>
        <v>#N/A</v>
      </c>
      <c r="CK2447" s="16" t="str">
        <f t="shared" si="605"/>
        <v/>
      </c>
    </row>
    <row r="2448" spans="73:89" ht="12" customHeight="1">
      <c r="BU2448" s="16">
        <f t="shared" si="606"/>
        <v>0</v>
      </c>
      <c r="BV2448" s="16">
        <f>IF($BY$12=1,NORMDIST(BY2448,$Y$6,$Y$8,TRUE),IF($BY$12=2,IF(BY2448&lt;=$BX$31,0,IF(BY2448&gt;=$BX$32,1,(BY2448-$BX$31)*$BX$33)),SUM($BU$42:BU2448)/$BV$40))</f>
        <v>1</v>
      </c>
      <c r="BW2448" s="16">
        <f t="shared" si="608"/>
        <v>9.1131357040901564E-20</v>
      </c>
      <c r="BY2448" s="16">
        <f t="shared" si="609"/>
        <v>240.59999999999062</v>
      </c>
      <c r="BZ2448" s="16">
        <f t="shared" si="600"/>
        <v>3.7876706999544938E-22</v>
      </c>
      <c r="CA2448" s="16">
        <f t="shared" si="607"/>
        <v>-999</v>
      </c>
      <c r="CE2448" s="16" t="e">
        <f t="shared" si="601"/>
        <v>#N/A</v>
      </c>
      <c r="CF2448" s="16">
        <f t="shared" si="602"/>
        <v>99</v>
      </c>
      <c r="CG2448" s="16">
        <f t="shared" si="603"/>
        <v>0</v>
      </c>
      <c r="CH2448" s="16">
        <f t="shared" si="610"/>
        <v>0</v>
      </c>
      <c r="CJ2448" s="16" t="e">
        <f t="shared" si="604"/>
        <v>#N/A</v>
      </c>
      <c r="CK2448" s="16" t="str">
        <f t="shared" si="605"/>
        <v/>
      </c>
    </row>
    <row r="2449" spans="73:89" ht="12" customHeight="1">
      <c r="BU2449" s="16">
        <f t="shared" si="606"/>
        <v>0</v>
      </c>
      <c r="BV2449" s="16">
        <f>IF($BY$12=1,NORMDIST(BY2449,$Y$6,$Y$8,TRUE),IF($BY$12=2,IF(BY2449&lt;=$BX$31,0,IF(BY2449&gt;=$BX$32,1,(BY2449-$BX$31)*$BX$33)),SUM($BU$42:BU2449)/$BV$40))</f>
        <v>1</v>
      </c>
      <c r="BW2449" s="16">
        <f t="shared" si="608"/>
        <v>8.6925809537671129E-20</v>
      </c>
      <c r="BY2449" s="16">
        <f t="shared" si="609"/>
        <v>240.69999999999061</v>
      </c>
      <c r="BZ2449" s="16">
        <f t="shared" si="600"/>
        <v>3.6113755520429795E-22</v>
      </c>
      <c r="CA2449" s="16">
        <f t="shared" si="607"/>
        <v>-999</v>
      </c>
      <c r="CE2449" s="16" t="e">
        <f t="shared" si="601"/>
        <v>#N/A</v>
      </c>
      <c r="CF2449" s="16">
        <f t="shared" si="602"/>
        <v>99</v>
      </c>
      <c r="CG2449" s="16">
        <f t="shared" si="603"/>
        <v>0</v>
      </c>
      <c r="CH2449" s="16">
        <f t="shared" si="610"/>
        <v>0</v>
      </c>
      <c r="CJ2449" s="16" t="e">
        <f t="shared" si="604"/>
        <v>#N/A</v>
      </c>
      <c r="CK2449" s="16" t="str">
        <f t="shared" si="605"/>
        <v/>
      </c>
    </row>
    <row r="2450" spans="73:89" ht="12" customHeight="1">
      <c r="BU2450" s="16">
        <f t="shared" si="606"/>
        <v>0</v>
      </c>
      <c r="BV2450" s="16">
        <f>IF($BY$12=1,NORMDIST(BY2450,$Y$6,$Y$8,TRUE),IF($BY$12=2,IF(BY2450&lt;=$BX$31,0,IF(BY2450&gt;=$BX$32,1,(BY2450-$BX$31)*$BX$33)),SUM($BU$42:BU2450)/$BV$40))</f>
        <v>1</v>
      </c>
      <c r="BW2450" s="16">
        <f t="shared" si="608"/>
        <v>8.2912253311115092E-20</v>
      </c>
      <c r="BY2450" s="16">
        <f t="shared" si="609"/>
        <v>240.7999999999906</v>
      </c>
      <c r="BZ2450" s="16">
        <f t="shared" si="600"/>
        <v>3.4431998883354786E-22</v>
      </c>
      <c r="CA2450" s="16">
        <f t="shared" si="607"/>
        <v>-999</v>
      </c>
      <c r="CE2450" s="16" t="e">
        <f t="shared" si="601"/>
        <v>#N/A</v>
      </c>
      <c r="CF2450" s="16">
        <f t="shared" si="602"/>
        <v>99</v>
      </c>
      <c r="CG2450" s="16">
        <f t="shared" si="603"/>
        <v>0</v>
      </c>
      <c r="CH2450" s="16">
        <f t="shared" si="610"/>
        <v>0</v>
      </c>
      <c r="CJ2450" s="16" t="e">
        <f t="shared" si="604"/>
        <v>#N/A</v>
      </c>
      <c r="CK2450" s="16" t="str">
        <f t="shared" si="605"/>
        <v/>
      </c>
    </row>
    <row r="2451" spans="73:89" ht="12" customHeight="1">
      <c r="BU2451" s="16">
        <f t="shared" si="606"/>
        <v>0</v>
      </c>
      <c r="BV2451" s="16">
        <f>IF($BY$12=1,NORMDIST(BY2451,$Y$6,$Y$8,TRUE),IF($BY$12=2,IF(BY2451&lt;=$BX$31,0,IF(BY2451&gt;=$BX$32,1,(BY2451-$BX$31)*$BX$33)),SUM($BU$42:BU2451)/$BV$40))</f>
        <v>1</v>
      </c>
      <c r="BW2451" s="16">
        <f t="shared" si="608"/>
        <v>7.9082021108115288E-20</v>
      </c>
      <c r="BY2451" s="16">
        <f t="shared" si="609"/>
        <v>240.8999999999906</v>
      </c>
      <c r="BZ2451" s="16">
        <f t="shared" si="600"/>
        <v>3.28277381104684E-22</v>
      </c>
      <c r="CA2451" s="16">
        <f t="shared" si="607"/>
        <v>-999</v>
      </c>
      <c r="CE2451" s="16" t="e">
        <f t="shared" si="601"/>
        <v>#N/A</v>
      </c>
      <c r="CF2451" s="16">
        <f t="shared" si="602"/>
        <v>99</v>
      </c>
      <c r="CG2451" s="16">
        <f t="shared" si="603"/>
        <v>0</v>
      </c>
      <c r="CH2451" s="16">
        <f t="shared" si="610"/>
        <v>0</v>
      </c>
      <c r="CJ2451" s="16" t="e">
        <f t="shared" si="604"/>
        <v>#N/A</v>
      </c>
      <c r="CK2451" s="16" t="str">
        <f t="shared" si="605"/>
        <v/>
      </c>
    </row>
    <row r="2452" spans="73:89" ht="12" customHeight="1">
      <c r="BU2452" s="16">
        <f t="shared" si="606"/>
        <v>0</v>
      </c>
      <c r="BV2452" s="16">
        <f>IF($BY$12=1,NORMDIST(BY2452,$Y$6,$Y$8,TRUE),IF($BY$12=2,IF(BY2452&lt;=$BX$31,0,IF(BY2452&gt;=$BX$32,1,(BY2452-$BX$31)*$BX$33)),SUM($BU$42:BU2452)/$BV$40))</f>
        <v>1</v>
      </c>
      <c r="BW2452" s="16">
        <f t="shared" si="608"/>
        <v>7.5426832439920528E-20</v>
      </c>
      <c r="BY2452" s="16">
        <f t="shared" si="609"/>
        <v>240.99999999999059</v>
      </c>
      <c r="BZ2452" s="16">
        <f t="shared" si="600"/>
        <v>3.1297440846441273E-22</v>
      </c>
      <c r="CA2452" s="16">
        <f t="shared" si="607"/>
        <v>-999</v>
      </c>
      <c r="CE2452" s="16" t="e">
        <f t="shared" si="601"/>
        <v>#N/A</v>
      </c>
      <c r="CF2452" s="16">
        <f t="shared" si="602"/>
        <v>99</v>
      </c>
      <c r="CG2452" s="16">
        <f t="shared" si="603"/>
        <v>0</v>
      </c>
      <c r="CH2452" s="16">
        <f t="shared" si="610"/>
        <v>0</v>
      </c>
      <c r="CJ2452" s="16" t="e">
        <f t="shared" si="604"/>
        <v>#N/A</v>
      </c>
      <c r="CK2452" s="16" t="str">
        <f t="shared" si="605"/>
        <v/>
      </c>
    </row>
    <row r="2453" spans="73:89" ht="12" customHeight="1">
      <c r="BU2453" s="16">
        <f t="shared" si="606"/>
        <v>0</v>
      </c>
      <c r="BV2453" s="16">
        <f>IF($BY$12=1,NORMDIST(BY2453,$Y$6,$Y$8,TRUE),IF($BY$12=2,IF(BY2453&lt;=$BX$31,0,IF(BY2453&gt;=$BX$32,1,(BY2453-$BX$31)*$BX$33)),SUM($BU$42:BU2453)/$BV$40))</f>
        <v>1</v>
      </c>
      <c r="BW2453" s="16">
        <f t="shared" si="608"/>
        <v>7.1938776529729939E-20</v>
      </c>
      <c r="BY2453" s="16">
        <f t="shared" si="609"/>
        <v>241.09999999999059</v>
      </c>
      <c r="BZ2453" s="16">
        <f t="shared" si="600"/>
        <v>2.9837733940162896E-22</v>
      </c>
      <c r="CA2453" s="16">
        <f t="shared" si="607"/>
        <v>-999</v>
      </c>
      <c r="CE2453" s="16" t="e">
        <f t="shared" si="601"/>
        <v>#N/A</v>
      </c>
      <c r="CF2453" s="16">
        <f t="shared" si="602"/>
        <v>99</v>
      </c>
      <c r="CG2453" s="16">
        <f t="shared" si="603"/>
        <v>0</v>
      </c>
      <c r="CH2453" s="16">
        <f t="shared" si="610"/>
        <v>0</v>
      </c>
      <c r="CJ2453" s="16" t="e">
        <f t="shared" si="604"/>
        <v>#N/A</v>
      </c>
      <c r="CK2453" s="16" t="str">
        <f t="shared" si="605"/>
        <v/>
      </c>
    </row>
    <row r="2454" spans="73:89" ht="12" customHeight="1">
      <c r="BU2454" s="16">
        <f t="shared" si="606"/>
        <v>0</v>
      </c>
      <c r="BV2454" s="16">
        <f>IF($BY$12=1,NORMDIST(BY2454,$Y$6,$Y$8,TRUE),IF($BY$12=2,IF(BY2454&lt;=$BX$31,0,IF(BY2454&gt;=$BX$32,1,(BY2454-$BX$31)*$BX$33)),SUM($BU$42:BU2454)/$BV$40))</f>
        <v>1</v>
      </c>
      <c r="BW2454" s="16">
        <f t="shared" si="608"/>
        <v>6.8610296002771071E-20</v>
      </c>
      <c r="BY2454" s="16">
        <f t="shared" si="609"/>
        <v>241.19999999999058</v>
      </c>
      <c r="BZ2454" s="16">
        <f t="shared" si="600"/>
        <v>2.8445396352725436E-22</v>
      </c>
      <c r="CA2454" s="16">
        <f t="shared" si="607"/>
        <v>-999</v>
      </c>
      <c r="CE2454" s="16" t="e">
        <f t="shared" si="601"/>
        <v>#N/A</v>
      </c>
      <c r="CF2454" s="16">
        <f t="shared" si="602"/>
        <v>99</v>
      </c>
      <c r="CG2454" s="16">
        <f t="shared" si="603"/>
        <v>0</v>
      </c>
      <c r="CH2454" s="16">
        <f t="shared" si="610"/>
        <v>0</v>
      </c>
      <c r="CJ2454" s="16" t="e">
        <f t="shared" si="604"/>
        <v>#N/A</v>
      </c>
      <c r="CK2454" s="16" t="str">
        <f t="shared" si="605"/>
        <v/>
      </c>
    </row>
    <row r="2455" spans="73:89" ht="12" customHeight="1">
      <c r="BU2455" s="16">
        <f t="shared" si="606"/>
        <v>0</v>
      </c>
      <c r="BV2455" s="16">
        <f>IF($BY$12=1,NORMDIST(BY2455,$Y$6,$Y$8,TRUE),IF($BY$12=2,IF(BY2455&lt;=$BX$31,0,IF(BY2455&gt;=$BX$32,1,(BY2455-$BX$31)*$BX$33)),SUM($BU$42:BU2455)/$BV$40))</f>
        <v>1</v>
      </c>
      <c r="BW2455" s="16">
        <f t="shared" si="608"/>
        <v>6.5434171286959041E-20</v>
      </c>
      <c r="BY2455" s="16">
        <f t="shared" si="609"/>
        <v>241.29999999999058</v>
      </c>
      <c r="BZ2455" s="16">
        <f t="shared" si="600"/>
        <v>2.711735237752242E-22</v>
      </c>
      <c r="CA2455" s="16">
        <f t="shared" si="607"/>
        <v>-999</v>
      </c>
      <c r="CE2455" s="16" t="e">
        <f t="shared" si="601"/>
        <v>#N/A</v>
      </c>
      <c r="CF2455" s="16">
        <f t="shared" si="602"/>
        <v>99</v>
      </c>
      <c r="CG2455" s="16">
        <f t="shared" si="603"/>
        <v>0</v>
      </c>
      <c r="CH2455" s="16">
        <f t="shared" si="610"/>
        <v>0</v>
      </c>
      <c r="CJ2455" s="16" t="e">
        <f t="shared" si="604"/>
        <v>#N/A</v>
      </c>
      <c r="CK2455" s="16" t="str">
        <f t="shared" si="605"/>
        <v/>
      </c>
    </row>
    <row r="2456" spans="73:89" ht="12" customHeight="1">
      <c r="BU2456" s="16">
        <f t="shared" si="606"/>
        <v>0</v>
      </c>
      <c r="BV2456" s="16">
        <f>IF($BY$12=1,NORMDIST(BY2456,$Y$6,$Y$8,TRUE),IF($BY$12=2,IF(BY2456&lt;=$BX$31,0,IF(BY2456&gt;=$BX$32,1,(BY2456-$BX$31)*$BX$33)),SUM($BU$42:BU2456)/$BV$40))</f>
        <v>1</v>
      </c>
      <c r="BW2456" s="16">
        <f t="shared" si="608"/>
        <v>6.240350569358305E-20</v>
      </c>
      <c r="BY2456" s="16">
        <f t="shared" si="609"/>
        <v>241.39999999999057</v>
      </c>
      <c r="BZ2456" s="16">
        <f t="shared" si="600"/>
        <v>2.5850665158900366E-22</v>
      </c>
      <c r="CA2456" s="16">
        <f t="shared" si="607"/>
        <v>-999</v>
      </c>
      <c r="CE2456" s="16" t="e">
        <f t="shared" si="601"/>
        <v>#N/A</v>
      </c>
      <c r="CF2456" s="16">
        <f t="shared" si="602"/>
        <v>99</v>
      </c>
      <c r="CG2456" s="16">
        <f t="shared" si="603"/>
        <v>0</v>
      </c>
      <c r="CH2456" s="16">
        <f t="shared" si="610"/>
        <v>0</v>
      </c>
      <c r="CJ2456" s="16" t="e">
        <f t="shared" si="604"/>
        <v>#N/A</v>
      </c>
      <c r="CK2456" s="16" t="str">
        <f t="shared" si="605"/>
        <v/>
      </c>
    </row>
    <row r="2457" spans="73:89" ht="12" customHeight="1">
      <c r="BU2457" s="16">
        <f t="shared" si="606"/>
        <v>0</v>
      </c>
      <c r="BV2457" s="16">
        <f>IF($BY$12=1,NORMDIST(BY2457,$Y$6,$Y$8,TRUE),IF($BY$12=2,IF(BY2457&lt;=$BX$31,0,IF(BY2457&gt;=$BX$32,1,(BY2457-$BX$31)*$BX$33)),SUM($BU$42:BU2457)/$BV$40))</f>
        <v>1</v>
      </c>
      <c r="BW2457" s="16">
        <f t="shared" si="608"/>
        <v>5.9511711148756702E-20</v>
      </c>
      <c r="BY2457" s="16">
        <f t="shared" si="609"/>
        <v>241.49999999999056</v>
      </c>
      <c r="BZ2457" s="16">
        <f t="shared" si="600"/>
        <v>2.4642530496380551E-22</v>
      </c>
      <c r="CA2457" s="16">
        <f t="shared" si="607"/>
        <v>-999</v>
      </c>
      <c r="CE2457" s="16" t="e">
        <f t="shared" si="601"/>
        <v>#N/A</v>
      </c>
      <c r="CF2457" s="16">
        <f t="shared" si="602"/>
        <v>99</v>
      </c>
      <c r="CG2457" s="16">
        <f t="shared" si="603"/>
        <v>0</v>
      </c>
      <c r="CH2457" s="16">
        <f t="shared" si="610"/>
        <v>0</v>
      </c>
      <c r="CJ2457" s="16" t="e">
        <f t="shared" si="604"/>
        <v>#N/A</v>
      </c>
      <c r="CK2457" s="16" t="str">
        <f t="shared" si="605"/>
        <v/>
      </c>
    </row>
    <row r="2458" spans="73:89" ht="12" customHeight="1">
      <c r="BU2458" s="16">
        <f t="shared" si="606"/>
        <v>0</v>
      </c>
      <c r="BV2458" s="16">
        <f>IF($BY$12=1,NORMDIST(BY2458,$Y$6,$Y$8,TRUE),IF($BY$12=2,IF(BY2458&lt;=$BX$31,0,IF(BY2458&gt;=$BX$32,1,(BY2458-$BX$31)*$BX$33)),SUM($BU$42:BU2458)/$BV$40))</f>
        <v>1</v>
      </c>
      <c r="BW2458" s="16">
        <f t="shared" si="608"/>
        <v>5.6752494547605325E-20</v>
      </c>
      <c r="BY2458" s="16">
        <f t="shared" si="609"/>
        <v>241.59999999999056</v>
      </c>
      <c r="BZ2458" s="16">
        <f t="shared" si="600"/>
        <v>2.349027092202299E-22</v>
      </c>
      <c r="CA2458" s="16">
        <f t="shared" si="607"/>
        <v>-999</v>
      </c>
      <c r="CE2458" s="16" t="e">
        <f t="shared" si="601"/>
        <v>#N/A</v>
      </c>
      <c r="CF2458" s="16">
        <f t="shared" si="602"/>
        <v>99</v>
      </c>
      <c r="CG2458" s="16">
        <f t="shared" si="603"/>
        <v>0</v>
      </c>
      <c r="CH2458" s="16">
        <f t="shared" si="610"/>
        <v>0</v>
      </c>
      <c r="CJ2458" s="16" t="e">
        <f t="shared" si="604"/>
        <v>#N/A</v>
      </c>
      <c r="CK2458" s="16" t="str">
        <f t="shared" si="605"/>
        <v/>
      </c>
    </row>
    <row r="2459" spans="73:89" ht="12" customHeight="1">
      <c r="BU2459" s="16">
        <f t="shared" si="606"/>
        <v>0</v>
      </c>
      <c r="BV2459" s="16">
        <f>IF($BY$12=1,NORMDIST(BY2459,$Y$6,$Y$8,TRUE),IF($BY$12=2,IF(BY2459&lt;=$BX$31,0,IF(BY2459&gt;=$BX$32,1,(BY2459-$BX$31)*$BX$33)),SUM($BU$42:BU2459)/$BV$40))</f>
        <v>1</v>
      </c>
      <c r="BW2459" s="16">
        <f t="shared" si="608"/>
        <v>5.4119844704378664E-20</v>
      </c>
      <c r="BY2459" s="16">
        <f t="shared" si="609"/>
        <v>241.69999999999055</v>
      </c>
      <c r="BZ2459" s="16">
        <f t="shared" si="600"/>
        <v>2.239133003904873E-22</v>
      </c>
      <c r="CA2459" s="16">
        <f t="shared" si="607"/>
        <v>-999</v>
      </c>
      <c r="CE2459" s="16" t="e">
        <f t="shared" si="601"/>
        <v>#N/A</v>
      </c>
      <c r="CF2459" s="16">
        <f t="shared" si="602"/>
        <v>99</v>
      </c>
      <c r="CG2459" s="16">
        <f t="shared" si="603"/>
        <v>0</v>
      </c>
      <c r="CH2459" s="16">
        <f t="shared" si="610"/>
        <v>0</v>
      </c>
      <c r="CJ2459" s="16" t="e">
        <f t="shared" si="604"/>
        <v>#N/A</v>
      </c>
      <c r="CK2459" s="16" t="str">
        <f t="shared" si="605"/>
        <v/>
      </c>
    </row>
    <row r="2460" spans="73:89" ht="12" customHeight="1">
      <c r="BU2460" s="16">
        <f t="shared" si="606"/>
        <v>0</v>
      </c>
      <c r="BV2460" s="16">
        <f>IF($BY$12=1,NORMDIST(BY2460,$Y$6,$Y$8,TRUE),IF($BY$12=2,IF(BY2460&lt;=$BX$31,0,IF(BY2460&gt;=$BX$32,1,(BY2460-$BX$31)*$BX$33)),SUM($BU$42:BU2460)/$BV$40))</f>
        <v>1</v>
      </c>
      <c r="BW2460" s="16">
        <f t="shared" si="608"/>
        <v>5.160801987277576E-20</v>
      </c>
      <c r="BY2460" s="16">
        <f t="shared" si="609"/>
        <v>241.79999999999055</v>
      </c>
      <c r="BZ2460" s="16">
        <f t="shared" si="600"/>
        <v>2.1343267110329932E-22</v>
      </c>
      <c r="CA2460" s="16">
        <f t="shared" si="607"/>
        <v>-999</v>
      </c>
      <c r="CE2460" s="16" t="e">
        <f t="shared" si="601"/>
        <v>#N/A</v>
      </c>
      <c r="CF2460" s="16">
        <f t="shared" si="602"/>
        <v>99</v>
      </c>
      <c r="CG2460" s="16">
        <f t="shared" si="603"/>
        <v>0</v>
      </c>
      <c r="CH2460" s="16">
        <f t="shared" si="610"/>
        <v>0</v>
      </c>
      <c r="CJ2460" s="16" t="e">
        <f t="shared" si="604"/>
        <v>#N/A</v>
      </c>
      <c r="CK2460" s="16" t="str">
        <f t="shared" si="605"/>
        <v/>
      </c>
    </row>
    <row r="2461" spans="73:89" ht="12" customHeight="1">
      <c r="BU2461" s="16">
        <f t="shared" si="606"/>
        <v>0</v>
      </c>
      <c r="BV2461" s="16">
        <f>IF($BY$12=1,NORMDIST(BY2461,$Y$6,$Y$8,TRUE),IF($BY$12=2,IF(BY2461&lt;=$BX$31,0,IF(BY2461&gt;=$BX$32,1,(BY2461-$BX$31)*$BX$33)),SUM($BU$42:BU2461)/$BV$40))</f>
        <v>1</v>
      </c>
      <c r="BW2461" s="16">
        <f t="shared" si="608"/>
        <v>4.9211535811911374E-20</v>
      </c>
      <c r="BY2461" s="16">
        <f t="shared" si="609"/>
        <v>241.89999999999054</v>
      </c>
      <c r="BZ2461" s="16">
        <f t="shared" si="600"/>
        <v>2.0343751885867425E-22</v>
      </c>
      <c r="CA2461" s="16">
        <f t="shared" si="607"/>
        <v>-999</v>
      </c>
      <c r="CE2461" s="16" t="e">
        <f t="shared" si="601"/>
        <v>#N/A</v>
      </c>
      <c r="CF2461" s="16">
        <f t="shared" si="602"/>
        <v>99</v>
      </c>
      <c r="CG2461" s="16">
        <f t="shared" si="603"/>
        <v>0</v>
      </c>
      <c r="CH2461" s="16">
        <f t="shared" si="610"/>
        <v>0</v>
      </c>
      <c r="CJ2461" s="16" t="e">
        <f t="shared" si="604"/>
        <v>#N/A</v>
      </c>
      <c r="CK2461" s="16" t="str">
        <f t="shared" si="605"/>
        <v/>
      </c>
    </row>
    <row r="2462" spans="73:89" ht="12" customHeight="1">
      <c r="BU2462" s="16">
        <f t="shared" si="606"/>
        <v>0</v>
      </c>
      <c r="BV2462" s="16">
        <f>IF($BY$12=1,NORMDIST(BY2462,$Y$6,$Y$8,TRUE),IF($BY$12=2,IF(BY2462&lt;=$BX$31,0,IF(BY2462&gt;=$BX$32,1,(BY2462-$BX$31)*$BX$33)),SUM($BU$42:BU2462)/$BV$40))</f>
        <v>1</v>
      </c>
      <c r="BW2462" s="16">
        <f t="shared" si="608"/>
        <v>4.6925154374349774E-20</v>
      </c>
      <c r="BY2462" s="16">
        <f t="shared" si="609"/>
        <v>241.99999999999054</v>
      </c>
      <c r="BZ2462" s="16">
        <f t="shared" si="600"/>
        <v>1.9390559658822978E-22</v>
      </c>
      <c r="CA2462" s="16">
        <f t="shared" si="607"/>
        <v>-999</v>
      </c>
      <c r="CE2462" s="16" t="e">
        <f t="shared" si="601"/>
        <v>#N/A</v>
      </c>
      <c r="CF2462" s="16">
        <f t="shared" si="602"/>
        <v>99</v>
      </c>
      <c r="CG2462" s="16">
        <f t="shared" si="603"/>
        <v>0</v>
      </c>
      <c r="CH2462" s="16">
        <f t="shared" si="610"/>
        <v>0</v>
      </c>
      <c r="CJ2462" s="16" t="e">
        <f t="shared" si="604"/>
        <v>#N/A</v>
      </c>
      <c r="CK2462" s="16" t="str">
        <f t="shared" si="605"/>
        <v/>
      </c>
    </row>
    <row r="2463" spans="73:89" ht="12" customHeight="1">
      <c r="BU2463" s="16">
        <f t="shared" si="606"/>
        <v>0</v>
      </c>
      <c r="BV2463" s="16">
        <f>IF($BY$12=1,NORMDIST(BY2463,$Y$6,$Y$8,TRUE),IF($BY$12=2,IF(BY2463&lt;=$BX$31,0,IF(BY2463&gt;=$BX$32,1,(BY2463-$BX$31)*$BX$33)),SUM($BU$42:BU2463)/$BV$40))</f>
        <v>1</v>
      </c>
      <c r="BW2463" s="16">
        <f t="shared" si="608"/>
        <v>4.4743872593678721E-20</v>
      </c>
      <c r="BY2463" s="16">
        <f t="shared" si="609"/>
        <v>242.09999999999053</v>
      </c>
      <c r="BZ2463" s="16">
        <f t="shared" si="600"/>
        <v>1.8481566540140632E-22</v>
      </c>
      <c r="CA2463" s="16">
        <f t="shared" si="607"/>
        <v>-999</v>
      </c>
      <c r="CE2463" s="16" t="e">
        <f t="shared" si="601"/>
        <v>#N/A</v>
      </c>
      <c r="CF2463" s="16">
        <f t="shared" si="602"/>
        <v>99</v>
      </c>
      <c r="CG2463" s="16">
        <f t="shared" si="603"/>
        <v>0</v>
      </c>
      <c r="CH2463" s="16">
        <f t="shared" si="610"/>
        <v>0</v>
      </c>
      <c r="CJ2463" s="16" t="e">
        <f t="shared" si="604"/>
        <v>#N/A</v>
      </c>
      <c r="CK2463" s="16" t="str">
        <f t="shared" si="605"/>
        <v/>
      </c>
    </row>
    <row r="2464" spans="73:89" ht="12" customHeight="1">
      <c r="BU2464" s="16">
        <f t="shared" si="606"/>
        <v>0</v>
      </c>
      <c r="BV2464" s="16">
        <f>IF($BY$12=1,NORMDIST(BY2464,$Y$6,$Y$8,TRUE),IF($BY$12=2,IF(BY2464&lt;=$BX$31,0,IF(BY2464&gt;=$BX$32,1,(BY2464-$BX$31)*$BX$33)),SUM($BU$42:BU2464)/$BV$40))</f>
        <v>1</v>
      </c>
      <c r="BW2464" s="16">
        <f t="shared" si="608"/>
        <v>4.2662912250026804E-20</v>
      </c>
      <c r="BY2464" s="16">
        <f t="shared" si="609"/>
        <v>242.19999999999052</v>
      </c>
      <c r="BZ2464" s="16">
        <f t="shared" si="600"/>
        <v>1.7614744942208288E-22</v>
      </c>
      <c r="CA2464" s="16">
        <f t="shared" si="607"/>
        <v>-999</v>
      </c>
      <c r="CE2464" s="16" t="e">
        <f t="shared" si="601"/>
        <v>#N/A</v>
      </c>
      <c r="CF2464" s="16">
        <f t="shared" si="602"/>
        <v>99</v>
      </c>
      <c r="CG2464" s="16">
        <f t="shared" si="603"/>
        <v>0</v>
      </c>
      <c r="CH2464" s="16">
        <f t="shared" si="610"/>
        <v>0</v>
      </c>
      <c r="CJ2464" s="16" t="e">
        <f t="shared" si="604"/>
        <v>#N/A</v>
      </c>
      <c r="CK2464" s="16" t="str">
        <f t="shared" si="605"/>
        <v/>
      </c>
    </row>
    <row r="2465" spans="73:89" ht="12" customHeight="1">
      <c r="BU2465" s="16">
        <f t="shared" si="606"/>
        <v>0</v>
      </c>
      <c r="BV2465" s="16">
        <f>IF($BY$12=1,NORMDIST(BY2465,$Y$6,$Y$8,TRUE),IF($BY$12=2,IF(BY2465&lt;=$BX$31,0,IF(BY2465&gt;=$BX$32,1,(BY2465-$BX$31)*$BX$33)),SUM($BU$42:BU2465)/$BV$40))</f>
        <v>1</v>
      </c>
      <c r="BW2465" s="16">
        <f t="shared" si="608"/>
        <v>4.0677709892860157E-20</v>
      </c>
      <c r="BY2465" s="16">
        <f t="shared" si="609"/>
        <v>242.29999999999052</v>
      </c>
      <c r="BZ2465" s="16">
        <f t="shared" si="600"/>
        <v>1.6788159262427465E-22</v>
      </c>
      <c r="CA2465" s="16">
        <f t="shared" si="607"/>
        <v>-999</v>
      </c>
      <c r="CE2465" s="16" t="e">
        <f t="shared" si="601"/>
        <v>#N/A</v>
      </c>
      <c r="CF2465" s="16">
        <f t="shared" si="602"/>
        <v>99</v>
      </c>
      <c r="CG2465" s="16">
        <f t="shared" si="603"/>
        <v>0</v>
      </c>
      <c r="CH2465" s="16">
        <f t="shared" si="610"/>
        <v>0</v>
      </c>
      <c r="CJ2465" s="16" t="e">
        <f t="shared" si="604"/>
        <v>#N/A</v>
      </c>
      <c r="CK2465" s="16" t="str">
        <f t="shared" si="605"/>
        <v/>
      </c>
    </row>
    <row r="2466" spans="73:89" ht="12" customHeight="1">
      <c r="BU2466" s="16">
        <f t="shared" si="606"/>
        <v>0</v>
      </c>
      <c r="BV2466" s="16">
        <f>IF($BY$12=1,NORMDIST(BY2466,$Y$6,$Y$8,TRUE),IF($BY$12=2,IF(BY2466&lt;=$BX$31,0,IF(BY2466&gt;=$BX$32,1,(BY2466-$BX$31)*$BX$33)),SUM($BU$42:BU2466)/$BV$40))</f>
        <v>1</v>
      </c>
      <c r="BW2466" s="16">
        <f t="shared" si="608"/>
        <v>3.8783907301275128E-20</v>
      </c>
      <c r="BY2466" s="16">
        <f t="shared" si="609"/>
        <v>242.39999999999051</v>
      </c>
      <c r="BZ2466" s="16">
        <f t="shared" si="600"/>
        <v>1.5999961757952412E-22</v>
      </c>
      <c r="CA2466" s="16">
        <f t="shared" si="607"/>
        <v>-999</v>
      </c>
      <c r="CE2466" s="16" t="e">
        <f t="shared" si="601"/>
        <v>#N/A</v>
      </c>
      <c r="CF2466" s="16">
        <f t="shared" si="602"/>
        <v>99</v>
      </c>
      <c r="CG2466" s="16">
        <f t="shared" si="603"/>
        <v>0</v>
      </c>
      <c r="CH2466" s="16">
        <f t="shared" si="610"/>
        <v>0</v>
      </c>
      <c r="CJ2466" s="16" t="e">
        <f t="shared" si="604"/>
        <v>#N/A</v>
      </c>
      <c r="CK2466" s="16" t="str">
        <f t="shared" si="605"/>
        <v/>
      </c>
    </row>
    <row r="2467" spans="73:89" ht="12" customHeight="1">
      <c r="BU2467" s="16">
        <f t="shared" si="606"/>
        <v>0</v>
      </c>
      <c r="BV2467" s="16">
        <f>IF($BY$12=1,NORMDIST(BY2467,$Y$6,$Y$8,TRUE),IF($BY$12=2,IF(BY2467&lt;=$BX$31,0,IF(BY2467&gt;=$BX$32,1,(BY2467-$BX$31)*$BX$33)),SUM($BU$42:BU2467)/$BV$40))</f>
        <v>1</v>
      </c>
      <c r="BW2467" s="16">
        <f t="shared" si="608"/>
        <v>3.6977342362849053E-20</v>
      </c>
      <c r="BY2467" s="16">
        <f t="shared" si="609"/>
        <v>242.49999999999051</v>
      </c>
      <c r="BZ2467" s="16">
        <f t="shared" si="600"/>
        <v>1.5248388603237319E-22</v>
      </c>
      <c r="CA2467" s="16">
        <f t="shared" si="607"/>
        <v>-999</v>
      </c>
      <c r="CE2467" s="16" t="e">
        <f t="shared" si="601"/>
        <v>#N/A</v>
      </c>
      <c r="CF2467" s="16">
        <f t="shared" si="602"/>
        <v>99</v>
      </c>
      <c r="CG2467" s="16">
        <f t="shared" si="603"/>
        <v>0</v>
      </c>
      <c r="CH2467" s="16">
        <f t="shared" si="610"/>
        <v>0</v>
      </c>
      <c r="CJ2467" s="16" t="e">
        <f t="shared" si="604"/>
        <v>#N/A</v>
      </c>
      <c r="CK2467" s="16" t="str">
        <f t="shared" si="605"/>
        <v/>
      </c>
    </row>
    <row r="2468" spans="73:89" ht="12" customHeight="1">
      <c r="BU2468" s="16">
        <f t="shared" si="606"/>
        <v>0</v>
      </c>
      <c r="BV2468" s="16">
        <f>IF($BY$12=1,NORMDIST(BY2468,$Y$6,$Y$8,TRUE),IF($BY$12=2,IF(BY2468&lt;=$BX$31,0,IF(BY2468&gt;=$BX$32,1,(BY2468-$BX$31)*$BX$33)),SUM($BU$42:BU2468)/$BV$40))</f>
        <v>1</v>
      </c>
      <c r="BW2468" s="16">
        <f t="shared" si="608"/>
        <v>3.5254040352915492E-20</v>
      </c>
      <c r="BY2468" s="16">
        <f t="shared" si="609"/>
        <v>242.5999999999905</v>
      </c>
      <c r="BZ2468" s="16">
        <f t="shared" si="600"/>
        <v>1.4531756122389478E-22</v>
      </c>
      <c r="CA2468" s="16">
        <f t="shared" si="607"/>
        <v>-999</v>
      </c>
      <c r="CE2468" s="16" t="e">
        <f t="shared" si="601"/>
        <v>#N/A</v>
      </c>
      <c r="CF2468" s="16">
        <f t="shared" si="602"/>
        <v>99</v>
      </c>
      <c r="CG2468" s="16">
        <f t="shared" si="603"/>
        <v>0</v>
      </c>
      <c r="CH2468" s="16">
        <f t="shared" si="610"/>
        <v>0</v>
      </c>
      <c r="CJ2468" s="16" t="e">
        <f t="shared" si="604"/>
        <v>#N/A</v>
      </c>
      <c r="CK2468" s="16" t="str">
        <f t="shared" si="605"/>
        <v/>
      </c>
    </row>
    <row r="2469" spans="73:89" ht="12" customHeight="1">
      <c r="BU2469" s="16">
        <f t="shared" si="606"/>
        <v>0</v>
      </c>
      <c r="BV2469" s="16">
        <f>IF($BY$12=1,NORMDIST(BY2469,$Y$6,$Y$8,TRUE),IF($BY$12=2,IF(BY2469&lt;=$BX$31,0,IF(BY2469&gt;=$BX$32,1,(BY2469-$BX$31)*$BX$33)),SUM($BU$42:BU2469)/$BV$40))</f>
        <v>1</v>
      </c>
      <c r="BW2469" s="16">
        <f t="shared" si="608"/>
        <v>3.3610205596910408E-20</v>
      </c>
      <c r="BY2469" s="16">
        <f t="shared" si="609"/>
        <v>242.6999999999905</v>
      </c>
      <c r="BZ2469" s="16">
        <f t="shared" si="600"/>
        <v>1.3848457188673971E-22</v>
      </c>
      <c r="CA2469" s="16">
        <f t="shared" si="607"/>
        <v>-999</v>
      </c>
      <c r="CE2469" s="16" t="e">
        <f t="shared" si="601"/>
        <v>#N/A</v>
      </c>
      <c r="CF2469" s="16">
        <f t="shared" si="602"/>
        <v>99</v>
      </c>
      <c r="CG2469" s="16">
        <f t="shared" si="603"/>
        <v>0</v>
      </c>
      <c r="CH2469" s="16">
        <f t="shared" si="610"/>
        <v>0</v>
      </c>
      <c r="CJ2469" s="16" t="e">
        <f t="shared" si="604"/>
        <v>#N/A</v>
      </c>
      <c r="CK2469" s="16" t="str">
        <f t="shared" si="605"/>
        <v/>
      </c>
    </row>
    <row r="2470" spans="73:89" ht="12" customHeight="1">
      <c r="BU2470" s="16">
        <f t="shared" si="606"/>
        <v>0</v>
      </c>
      <c r="BV2470" s="16">
        <f>IF($BY$12=1,NORMDIST(BY2470,$Y$6,$Y$8,TRUE),IF($BY$12=2,IF(BY2470&lt;=$BX$31,0,IF(BY2470&gt;=$BX$32,1,(BY2470-$BX$31)*$BX$33)),SUM($BU$42:BU2470)/$BV$40))</f>
        <v>1</v>
      </c>
      <c r="BW2470" s="16">
        <f t="shared" si="608"/>
        <v>3.2042213499173934E-20</v>
      </c>
      <c r="BY2470" s="16">
        <f t="shared" si="609"/>
        <v>242.79999999999049</v>
      </c>
      <c r="BZ2470" s="16">
        <f t="shared" si="600"/>
        <v>1.3196957783844805E-22</v>
      </c>
      <c r="CA2470" s="16">
        <f t="shared" si="607"/>
        <v>-999</v>
      </c>
      <c r="CE2470" s="16" t="e">
        <f t="shared" si="601"/>
        <v>#N/A</v>
      </c>
      <c r="CF2470" s="16">
        <f t="shared" si="602"/>
        <v>99</v>
      </c>
      <c r="CG2470" s="16">
        <f t="shared" si="603"/>
        <v>0</v>
      </c>
      <c r="CH2470" s="16">
        <f t="shared" si="610"/>
        <v>0</v>
      </c>
      <c r="CJ2470" s="16" t="e">
        <f t="shared" si="604"/>
        <v>#N/A</v>
      </c>
      <c r="CK2470" s="16" t="str">
        <f t="shared" si="605"/>
        <v/>
      </c>
    </row>
    <row r="2471" spans="73:89" ht="12" customHeight="1">
      <c r="BU2471" s="16">
        <f t="shared" si="606"/>
        <v>0</v>
      </c>
      <c r="BV2471" s="16">
        <f>IF($BY$12=1,NORMDIST(BY2471,$Y$6,$Y$8,TRUE),IF($BY$12=2,IF(BY2471&lt;=$BX$31,0,IF(BY2471&gt;=$BX$32,1,(BY2471-$BX$31)*$BX$33)),SUM($BU$42:BU2471)/$BV$40))</f>
        <v>1</v>
      </c>
      <c r="BW2471" s="16">
        <f t="shared" si="608"/>
        <v>3.0546602922309206E-20</v>
      </c>
      <c r="BY2471" s="16">
        <f t="shared" si="609"/>
        <v>242.89999999999048</v>
      </c>
      <c r="BZ2471" s="16">
        <f t="shared" si="600"/>
        <v>1.2575793710296583E-22</v>
      </c>
      <c r="CA2471" s="16">
        <f t="shared" si="607"/>
        <v>-999</v>
      </c>
      <c r="CE2471" s="16" t="e">
        <f t="shared" si="601"/>
        <v>#N/A</v>
      </c>
      <c r="CF2471" s="16">
        <f t="shared" si="602"/>
        <v>99</v>
      </c>
      <c r="CG2471" s="16">
        <f t="shared" si="603"/>
        <v>0</v>
      </c>
      <c r="CH2471" s="16">
        <f t="shared" si="610"/>
        <v>0</v>
      </c>
      <c r="CJ2471" s="16" t="e">
        <f t="shared" si="604"/>
        <v>#N/A</v>
      </c>
      <c r="CK2471" s="16" t="str">
        <f t="shared" si="605"/>
        <v/>
      </c>
    </row>
    <row r="2472" spans="73:89" ht="12" customHeight="1">
      <c r="BU2472" s="16">
        <f t="shared" si="606"/>
        <v>0</v>
      </c>
      <c r="BV2472" s="16">
        <f>IF($BY$12=1,NORMDIST(BY2472,$Y$6,$Y$8,TRUE),IF($BY$12=2,IF(BY2472&lt;=$BX$31,0,IF(BY2472&gt;=$BX$32,1,(BY2472-$BX$31)*$BX$33)),SUM($BU$42:BU2472)/$BV$40))</f>
        <v>1</v>
      </c>
      <c r="BW2472" s="16">
        <f t="shared" si="608"/>
        <v>2.9120068901872019E-20</v>
      </c>
      <c r="BY2472" s="16">
        <f t="shared" si="609"/>
        <v>242.99999999999048</v>
      </c>
      <c r="BZ2472" s="16">
        <f t="shared" si="600"/>
        <v>1.1983567449330519E-22</v>
      </c>
      <c r="CA2472" s="16">
        <f t="shared" si="607"/>
        <v>-999</v>
      </c>
      <c r="CE2472" s="16" t="e">
        <f t="shared" si="601"/>
        <v>#N/A</v>
      </c>
      <c r="CF2472" s="16">
        <f t="shared" si="602"/>
        <v>99</v>
      </c>
      <c r="CG2472" s="16">
        <f t="shared" si="603"/>
        <v>0</v>
      </c>
      <c r="CH2472" s="16">
        <f t="shared" si="610"/>
        <v>0</v>
      </c>
      <c r="CJ2472" s="16" t="e">
        <f t="shared" si="604"/>
        <v>#N/A</v>
      </c>
      <c r="CK2472" s="16" t="str">
        <f t="shared" si="605"/>
        <v/>
      </c>
    </row>
    <row r="2473" spans="73:89" ht="12" customHeight="1">
      <c r="BU2473" s="16">
        <f t="shared" si="606"/>
        <v>0</v>
      </c>
      <c r="BV2473" s="16">
        <f>IF($BY$12=1,NORMDIST(BY2473,$Y$6,$Y$8,TRUE),IF($BY$12=2,IF(BY2473&lt;=$BX$31,0,IF(BY2473&gt;=$BX$32,1,(BY2473-$BX$31)*$BX$33)),SUM($BU$42:BU2473)/$BV$40))</f>
        <v>1</v>
      </c>
      <c r="BW2473" s="16">
        <f t="shared" si="608"/>
        <v>2.7759455681824868E-20</v>
      </c>
      <c r="BY2473" s="16">
        <f t="shared" si="609"/>
        <v>243.09999999999047</v>
      </c>
      <c r="BZ2473" s="16">
        <f t="shared" si="600"/>
        <v>1.1418945159122153E-22</v>
      </c>
      <c r="CA2473" s="16">
        <f t="shared" si="607"/>
        <v>-999</v>
      </c>
      <c r="CE2473" s="16" t="e">
        <f t="shared" si="601"/>
        <v>#N/A</v>
      </c>
      <c r="CF2473" s="16">
        <f t="shared" si="602"/>
        <v>99</v>
      </c>
      <c r="CG2473" s="16">
        <f t="shared" si="603"/>
        <v>0</v>
      </c>
      <c r="CH2473" s="16">
        <f t="shared" si="610"/>
        <v>0</v>
      </c>
      <c r="CJ2473" s="16" t="e">
        <f t="shared" si="604"/>
        <v>#N/A</v>
      </c>
      <c r="CK2473" s="16" t="str">
        <f t="shared" si="605"/>
        <v/>
      </c>
    </row>
    <row r="2474" spans="73:89" ht="12" customHeight="1">
      <c r="BU2474" s="16">
        <f t="shared" si="606"/>
        <v>0</v>
      </c>
      <c r="BV2474" s="16">
        <f>IF($BY$12=1,NORMDIST(BY2474,$Y$6,$Y$8,TRUE),IF($BY$12=2,IF(BY2474&lt;=$BX$31,0,IF(BY2474&gt;=$BX$32,1,(BY2474-$BX$31)*$BX$33)),SUM($BU$42:BU2474)/$BV$40))</f>
        <v>1</v>
      </c>
      <c r="BW2474" s="16">
        <f t="shared" si="608"/>
        <v>2.6461750056811159E-20</v>
      </c>
      <c r="BY2474" s="16">
        <f t="shared" si="609"/>
        <v>243.19999999999047</v>
      </c>
      <c r="BZ2474" s="16">
        <f t="shared" ref="BZ2474:BZ2537" si="611">IF($BZ$5,IF($BY$12=1,NORMDIST(BY2474,$Y$6,$Y$8,FALSE),IF($BY$12=2,IF(AND(BY2474&gt;=$BX$31,BY2474&lt;=$BX$32),$BX$33,0),IF(BY2474&lt;=$BX$13,0,NORMDIST(LN((BY2474-$BX$13)/$BX$12),0,$BW$8,FALSE)/((BY2474-$BX$13)/$BX$12)))),-999)</f>
        <v>1.0880653806255014E-22</v>
      </c>
      <c r="CA2474" s="16">
        <f t="shared" si="607"/>
        <v>-999</v>
      </c>
      <c r="CE2474" s="16" t="e">
        <f t="shared" ref="CE2474:CE2537" si="612">IF(AND($CB$7,$CD$2,$CD$1),26+$P$23/2-CC2474*$P$23,NA())</f>
        <v>#N/A</v>
      </c>
      <c r="CF2474" s="16">
        <f t="shared" ref="CF2474:CF2537" si="613">IF(ISNA(CJ2474),99,CJ2474)</f>
        <v>99</v>
      </c>
      <c r="CG2474" s="16">
        <f t="shared" ref="CG2474:CG2537" si="614">IF(ISNA(CJ2474),0,CJ2474)</f>
        <v>0</v>
      </c>
      <c r="CH2474" s="16">
        <f t="shared" si="610"/>
        <v>0</v>
      </c>
      <c r="CJ2474" s="16" t="e">
        <f t="shared" ref="CJ2474:CJ2537" si="615">IF(CH2474=1,CE2474,NA())</f>
        <v>#N/A</v>
      </c>
      <c r="CK2474" s="16" t="str">
        <f t="shared" ref="CK2474:CK2537" si="616">IF(CH2474=1,M2373,"")</f>
        <v/>
      </c>
    </row>
    <row r="2475" spans="73:89" ht="12" customHeight="1">
      <c r="BU2475" s="16">
        <f t="shared" ref="BU2475:BU2538" si="617">IF($BY$12&lt;3,0,IF(BY2475&lt;=$BX$13,0,NORMDIST(LN((BY2475-$BX$13)/$BX$12),0,$BW$8,FALSE)/((BY2475-$BX$13)/$BX$12)))</f>
        <v>0</v>
      </c>
      <c r="BV2475" s="16">
        <f>IF($BY$12=1,NORMDIST(BY2475,$Y$6,$Y$8,TRUE),IF($BY$12=2,IF(BY2475&lt;=$BX$31,0,IF(BY2475&gt;=$BX$32,1,(BY2475-$BX$31)*$BX$33)),SUM($BU$42:BU2475)/$BV$40))</f>
        <v>1</v>
      </c>
      <c r="BW2475" s="16">
        <f t="shared" si="608"/>
        <v>2.5224075007902784E-20</v>
      </c>
      <c r="BY2475" s="16">
        <f t="shared" si="609"/>
        <v>243.29999999999046</v>
      </c>
      <c r="BZ2475" s="16">
        <f t="shared" si="611"/>
        <v>1.0367478424950174E-22</v>
      </c>
      <c r="CA2475" s="16">
        <f t="shared" ref="CA2475:CA2538" si="618">IF(AND($CD$1,$CD$3),26-$CD$40*NORMDIST(BY2475,$Y$6,$Y$8/SQRT($T$18),FALSE),-999)</f>
        <v>-999</v>
      </c>
      <c r="CE2475" s="16" t="e">
        <f t="shared" si="612"/>
        <v>#N/A</v>
      </c>
      <c r="CF2475" s="16">
        <f t="shared" si="613"/>
        <v>99</v>
      </c>
      <c r="CG2475" s="16">
        <f t="shared" si="614"/>
        <v>0</v>
      </c>
      <c r="CH2475" s="16">
        <f t="shared" si="610"/>
        <v>0</v>
      </c>
      <c r="CJ2475" s="16" t="e">
        <f t="shared" si="615"/>
        <v>#N/A</v>
      </c>
      <c r="CK2475" s="16" t="str">
        <f t="shared" si="616"/>
        <v/>
      </c>
    </row>
    <row r="2476" spans="73:89" ht="12" customHeight="1">
      <c r="BU2476" s="16">
        <f t="shared" si="617"/>
        <v>0</v>
      </c>
      <c r="BV2476" s="16">
        <f>IF($BY$12=1,NORMDIST(BY2476,$Y$6,$Y$8,TRUE),IF($BY$12=2,IF(BY2476&lt;=$BX$31,0,IF(BY2476&gt;=$BX$32,1,(BY2476-$BX$31)*$BX$33)),SUM($BU$42:BU2476)/$BV$40))</f>
        <v>1</v>
      </c>
      <c r="BW2476" s="16">
        <f t="shared" si="608"/>
        <v>2.4043683619044571E-20</v>
      </c>
      <c r="BY2476" s="16">
        <f t="shared" si="609"/>
        <v>243.39999999999046</v>
      </c>
      <c r="BZ2476" s="16">
        <f t="shared" si="611"/>
        <v>9.8782594983753136E-23</v>
      </c>
      <c r="CA2476" s="16">
        <f t="shared" si="618"/>
        <v>-999</v>
      </c>
      <c r="CE2476" s="16" t="e">
        <f t="shared" si="612"/>
        <v>#N/A</v>
      </c>
      <c r="CF2476" s="16">
        <f t="shared" si="613"/>
        <v>99</v>
      </c>
      <c r="CG2476" s="16">
        <f t="shared" si="614"/>
        <v>0</v>
      </c>
      <c r="CH2476" s="16">
        <f t="shared" si="610"/>
        <v>0</v>
      </c>
      <c r="CJ2476" s="16" t="e">
        <f t="shared" si="615"/>
        <v>#N/A</v>
      </c>
      <c r="CK2476" s="16" t="str">
        <f t="shared" si="616"/>
        <v/>
      </c>
    </row>
    <row r="2477" spans="73:89" ht="12" customHeight="1">
      <c r="BU2477" s="16">
        <f t="shared" si="617"/>
        <v>0</v>
      </c>
      <c r="BV2477" s="16">
        <f>IF($BY$12=1,NORMDIST(BY2477,$Y$6,$Y$8,TRUE),IF($BY$12=2,IF(BY2477&lt;=$BX$31,0,IF(BY2477&gt;=$BX$32,1,(BY2477-$BX$31)*$BX$33)),SUM($BU$42:BU2477)/$BV$40))</f>
        <v>1</v>
      </c>
      <c r="BW2477" s="16">
        <f t="shared" si="608"/>
        <v>2.2917953261978244E-20</v>
      </c>
      <c r="BY2477" s="16">
        <f t="shared" si="609"/>
        <v>243.49999999999045</v>
      </c>
      <c r="BZ2477" s="16">
        <f t="shared" si="611"/>
        <v>9.4118904566649453E-23</v>
      </c>
      <c r="CA2477" s="16">
        <f t="shared" si="618"/>
        <v>-999</v>
      </c>
      <c r="CE2477" s="16" t="e">
        <f t="shared" si="612"/>
        <v>#N/A</v>
      </c>
      <c r="CF2477" s="16">
        <f t="shared" si="613"/>
        <v>99</v>
      </c>
      <c r="CG2477" s="16">
        <f t="shared" si="614"/>
        <v>0</v>
      </c>
      <c r="CH2477" s="16">
        <f t="shared" si="610"/>
        <v>0</v>
      </c>
      <c r="CJ2477" s="16" t="e">
        <f t="shared" si="615"/>
        <v>#N/A</v>
      </c>
      <c r="CK2477" s="16" t="str">
        <f t="shared" si="616"/>
        <v/>
      </c>
    </row>
    <row r="2478" spans="73:89" ht="12" customHeight="1">
      <c r="BU2478" s="16">
        <f t="shared" si="617"/>
        <v>0</v>
      </c>
      <c r="BV2478" s="16">
        <f>IF($BY$12=1,NORMDIST(BY2478,$Y$6,$Y$8,TRUE),IF($BY$12=2,IF(BY2478&lt;=$BX$31,0,IF(BY2478&gt;=$BX$32,1,(BY2478-$BX$31)*$BX$33)),SUM($BU$42:BU2478)/$BV$40))</f>
        <v>1</v>
      </c>
      <c r="BW2478" s="16">
        <f t="shared" si="608"/>
        <v>2.1844380037937509E-20</v>
      </c>
      <c r="BY2478" s="16">
        <f t="shared" si="609"/>
        <v>243.59999999999044</v>
      </c>
      <c r="BZ2478" s="16">
        <f t="shared" si="611"/>
        <v>8.9673152865100028E-23</v>
      </c>
      <c r="CA2478" s="16">
        <f t="shared" si="618"/>
        <v>-999</v>
      </c>
      <c r="CE2478" s="16" t="e">
        <f t="shared" si="612"/>
        <v>#N/A</v>
      </c>
      <c r="CF2478" s="16">
        <f t="shared" si="613"/>
        <v>99</v>
      </c>
      <c r="CG2478" s="16">
        <f t="shared" si="614"/>
        <v>0</v>
      </c>
      <c r="CH2478" s="16">
        <f t="shared" si="610"/>
        <v>0</v>
      </c>
      <c r="CJ2478" s="16" t="e">
        <f t="shared" si="615"/>
        <v>#N/A</v>
      </c>
      <c r="CK2478" s="16" t="str">
        <f t="shared" si="616"/>
        <v/>
      </c>
    </row>
    <row r="2479" spans="73:89" ht="12" customHeight="1">
      <c r="BU2479" s="16">
        <f t="shared" si="617"/>
        <v>0</v>
      </c>
      <c r="BV2479" s="16">
        <f>IF($BY$12=1,NORMDIST(BY2479,$Y$6,$Y$8,TRUE),IF($BY$12=2,IF(BY2479&lt;=$BX$31,0,IF(BY2479&gt;=$BX$32,1,(BY2479-$BX$31)*$BX$33)),SUM($BU$42:BU2479)/$BV$40))</f>
        <v>1</v>
      </c>
      <c r="BW2479" s="16">
        <f t="shared" si="608"/>
        <v>2.0820573464925545E-20</v>
      </c>
      <c r="BY2479" s="16">
        <f t="shared" si="609"/>
        <v>243.69999999999044</v>
      </c>
      <c r="BZ2479" s="16">
        <f t="shared" si="611"/>
        <v>8.5435262474051543E-23</v>
      </c>
      <c r="CA2479" s="16">
        <f t="shared" si="618"/>
        <v>-999</v>
      </c>
      <c r="CE2479" s="16" t="e">
        <f t="shared" si="612"/>
        <v>#N/A</v>
      </c>
      <c r="CF2479" s="16">
        <f t="shared" si="613"/>
        <v>99</v>
      </c>
      <c r="CG2479" s="16">
        <f t="shared" si="614"/>
        <v>0</v>
      </c>
      <c r="CH2479" s="16">
        <f t="shared" si="610"/>
        <v>0</v>
      </c>
      <c r="CJ2479" s="16" t="e">
        <f t="shared" si="615"/>
        <v>#N/A</v>
      </c>
      <c r="CK2479" s="16" t="str">
        <f t="shared" si="616"/>
        <v/>
      </c>
    </row>
    <row r="2480" spans="73:89" ht="12" customHeight="1">
      <c r="BU2480" s="16">
        <f t="shared" si="617"/>
        <v>0</v>
      </c>
      <c r="BV2480" s="16">
        <f>IF($BY$12=1,NORMDIST(BY2480,$Y$6,$Y$8,TRUE),IF($BY$12=2,IF(BY2480&lt;=$BX$31,0,IF(BY2480&gt;=$BX$32,1,(BY2480-$BX$31)*$BX$33)),SUM($BU$42:BU2480)/$BV$40))</f>
        <v>1</v>
      </c>
      <c r="BW2480" s="16">
        <f t="shared" si="608"/>
        <v>1.9844251399855947E-20</v>
      </c>
      <c r="BY2480" s="16">
        <f t="shared" si="609"/>
        <v>243.79999999999043</v>
      </c>
      <c r="BZ2480" s="16">
        <f t="shared" si="611"/>
        <v>8.1395616898509956E-23</v>
      </c>
      <c r="CA2480" s="16">
        <f t="shared" si="618"/>
        <v>-999</v>
      </c>
      <c r="CE2480" s="16" t="e">
        <f t="shared" si="612"/>
        <v>#N/A</v>
      </c>
      <c r="CF2480" s="16">
        <f t="shared" si="613"/>
        <v>99</v>
      </c>
      <c r="CG2480" s="16">
        <f t="shared" si="614"/>
        <v>0</v>
      </c>
      <c r="CH2480" s="16">
        <f t="shared" si="610"/>
        <v>0</v>
      </c>
      <c r="CJ2480" s="16" t="e">
        <f t="shared" si="615"/>
        <v>#N/A</v>
      </c>
      <c r="CK2480" s="16" t="str">
        <f t="shared" si="616"/>
        <v/>
      </c>
    </row>
    <row r="2481" spans="73:89" ht="12" customHeight="1">
      <c r="BU2481" s="16">
        <f t="shared" si="617"/>
        <v>0</v>
      </c>
      <c r="BV2481" s="16">
        <f>IF($BY$12=1,NORMDIST(BY2481,$Y$6,$Y$8,TRUE),IF($BY$12=2,IF(BY2481&lt;=$BX$31,0,IF(BY2481&gt;=$BX$32,1,(BY2481-$BX$31)*$BX$33)),SUM($BU$42:BU2481)/$BV$40))</f>
        <v>1</v>
      </c>
      <c r="BW2481" s="16">
        <f t="shared" si="608"/>
        <v>1.8913235185306681E-20</v>
      </c>
      <c r="BY2481" s="16">
        <f t="shared" si="609"/>
        <v>243.89999999999043</v>
      </c>
      <c r="BZ2481" s="16">
        <f t="shared" si="611"/>
        <v>7.7545039710157541E-23</v>
      </c>
      <c r="CA2481" s="16">
        <f t="shared" si="618"/>
        <v>-999</v>
      </c>
      <c r="CE2481" s="16" t="e">
        <f t="shared" si="612"/>
        <v>#N/A</v>
      </c>
      <c r="CF2481" s="16">
        <f t="shared" si="613"/>
        <v>99</v>
      </c>
      <c r="CG2481" s="16">
        <f t="shared" si="614"/>
        <v>0</v>
      </c>
      <c r="CH2481" s="16">
        <f t="shared" si="610"/>
        <v>0</v>
      </c>
      <c r="CJ2481" s="16" t="e">
        <f t="shared" si="615"/>
        <v>#N/A</v>
      </c>
      <c r="CK2481" s="16" t="str">
        <f t="shared" si="616"/>
        <v/>
      </c>
    </row>
    <row r="2482" spans="73:89" ht="12" customHeight="1">
      <c r="BU2482" s="16">
        <f t="shared" si="617"/>
        <v>0</v>
      </c>
      <c r="BV2482" s="16">
        <f>IF($BY$12=1,NORMDIST(BY2482,$Y$6,$Y$8,TRUE),IF($BY$12=2,IF(BY2482&lt;=$BX$31,0,IF(BY2482&gt;=$BX$32,1,(BY2482-$BX$31)*$BX$33)),SUM($BU$42:BU2482)/$BV$40))</f>
        <v>1</v>
      </c>
      <c r="BW2482" s="16">
        <f t="shared" si="608"/>
        <v>1.802544501107496E-20</v>
      </c>
      <c r="BY2482" s="16">
        <f t="shared" si="609"/>
        <v>243.99999999999042</v>
      </c>
      <c r="BZ2482" s="16">
        <f t="shared" si="611"/>
        <v>7.3874774635556009E-23</v>
      </c>
      <c r="CA2482" s="16">
        <f t="shared" si="618"/>
        <v>-999</v>
      </c>
      <c r="CE2482" s="16" t="e">
        <f t="shared" si="612"/>
        <v>#N/A</v>
      </c>
      <c r="CF2482" s="16">
        <f t="shared" si="613"/>
        <v>99</v>
      </c>
      <c r="CG2482" s="16">
        <f t="shared" si="614"/>
        <v>0</v>
      </c>
      <c r="CH2482" s="16">
        <f t="shared" si="610"/>
        <v>0</v>
      </c>
      <c r="CJ2482" s="16" t="e">
        <f t="shared" si="615"/>
        <v>#N/A</v>
      </c>
      <c r="CK2482" s="16" t="str">
        <f t="shared" si="616"/>
        <v/>
      </c>
    </row>
    <row r="2483" spans="73:89" ht="12" customHeight="1">
      <c r="BU2483" s="16">
        <f t="shared" si="617"/>
        <v>0</v>
      </c>
      <c r="BV2483" s="16">
        <f>IF($BY$12=1,NORMDIST(BY2483,$Y$6,$Y$8,TRUE),IF($BY$12=2,IF(BY2483&lt;=$BX$31,0,IF(BY2483&gt;=$BX$32,1,(BY2483-$BX$31)*$BX$33)),SUM($BU$42:BU2483)/$BV$40))</f>
        <v>1</v>
      </c>
      <c r="BW2483" s="16">
        <f t="shared" si="608"/>
        <v>1.7178895481143396E-20</v>
      </c>
      <c r="BY2483" s="16">
        <f t="shared" si="609"/>
        <v>244.09999999999042</v>
      </c>
      <c r="BZ2483" s="16">
        <f t="shared" si="611"/>
        <v>7.0376466534797507E-23</v>
      </c>
      <c r="CA2483" s="16">
        <f t="shared" si="618"/>
        <v>-999</v>
      </c>
      <c r="CE2483" s="16" t="e">
        <f t="shared" si="612"/>
        <v>#N/A</v>
      </c>
      <c r="CF2483" s="16">
        <f t="shared" si="613"/>
        <v>99</v>
      </c>
      <c r="CG2483" s="16">
        <f t="shared" si="614"/>
        <v>0</v>
      </c>
      <c r="CH2483" s="16">
        <f t="shared" si="610"/>
        <v>0</v>
      </c>
      <c r="CJ2483" s="16" t="e">
        <f t="shared" si="615"/>
        <v>#N/A</v>
      </c>
      <c r="CK2483" s="16" t="str">
        <f t="shared" si="616"/>
        <v/>
      </c>
    </row>
    <row r="2484" spans="73:89" ht="12" customHeight="1">
      <c r="BU2484" s="16">
        <f t="shared" si="617"/>
        <v>0</v>
      </c>
      <c r="BV2484" s="16">
        <f>IF($BY$12=1,NORMDIST(BY2484,$Y$6,$Y$8,TRUE),IF($BY$12=2,IF(BY2484&lt;=$BX$31,0,IF(BY2484&gt;=$BX$32,1,(BY2484-$BX$31)*$BX$33)),SUM($BU$42:BU2484)/$BV$40))</f>
        <v>1</v>
      </c>
      <c r="BW2484" s="16">
        <f t="shared" si="608"/>
        <v>1.6371691377076938E-20</v>
      </c>
      <c r="BY2484" s="16">
        <f t="shared" si="609"/>
        <v>244.19999999999041</v>
      </c>
      <c r="BZ2484" s="16">
        <f t="shared" si="611"/>
        <v>6.7042143231275921E-23</v>
      </c>
      <c r="CA2484" s="16">
        <f t="shared" si="618"/>
        <v>-999</v>
      </c>
      <c r="CE2484" s="16" t="e">
        <f t="shared" si="612"/>
        <v>#N/A</v>
      </c>
      <c r="CF2484" s="16">
        <f t="shared" si="613"/>
        <v>99</v>
      </c>
      <c r="CG2484" s="16">
        <f t="shared" si="614"/>
        <v>0</v>
      </c>
      <c r="CH2484" s="16">
        <f t="shared" si="610"/>
        <v>0</v>
      </c>
      <c r="CJ2484" s="16" t="e">
        <f t="shared" si="615"/>
        <v>#N/A</v>
      </c>
      <c r="CK2484" s="16" t="str">
        <f t="shared" si="616"/>
        <v/>
      </c>
    </row>
    <row r="2485" spans="73:89" ht="12" customHeight="1">
      <c r="BU2485" s="16">
        <f t="shared" si="617"/>
        <v>0</v>
      </c>
      <c r="BV2485" s="16">
        <f>IF($BY$12=1,NORMDIST(BY2485,$Y$6,$Y$8,TRUE),IF($BY$12=2,IF(BY2485&lt;=$BX$31,0,IF(BY2485&gt;=$BX$32,1,(BY2485-$BX$31)*$BX$33)),SUM($BU$42:BU2485)/$BV$40))</f>
        <v>1</v>
      </c>
      <c r="BW2485" s="16">
        <f t="shared" si="608"/>
        <v>1.5602023609252756E-20</v>
      </c>
      <c r="BY2485" s="16">
        <f t="shared" si="609"/>
        <v>244.2999999999904</v>
      </c>
      <c r="BZ2485" s="16">
        <f t="shared" si="611"/>
        <v>6.3864198154946247E-23</v>
      </c>
      <c r="CA2485" s="16">
        <f t="shared" si="618"/>
        <v>-999</v>
      </c>
      <c r="CE2485" s="16" t="e">
        <f t="shared" si="612"/>
        <v>#N/A</v>
      </c>
      <c r="CF2485" s="16">
        <f t="shared" si="613"/>
        <v>99</v>
      </c>
      <c r="CG2485" s="16">
        <f t="shared" si="614"/>
        <v>0</v>
      </c>
      <c r="CH2485" s="16">
        <f t="shared" si="610"/>
        <v>0</v>
      </c>
      <c r="CJ2485" s="16" t="e">
        <f t="shared" si="615"/>
        <v>#N/A</v>
      </c>
      <c r="CK2485" s="16" t="str">
        <f t="shared" si="616"/>
        <v/>
      </c>
    </row>
    <row r="2486" spans="73:89" ht="12" customHeight="1">
      <c r="BU2486" s="16">
        <f t="shared" si="617"/>
        <v>0</v>
      </c>
      <c r="BV2486" s="16">
        <f>IF($BY$12=1,NORMDIST(BY2486,$Y$6,$Y$8,TRUE),IF($BY$12=2,IF(BY2486&lt;=$BX$31,0,IF(BY2486&gt;=$BX$32,1,(BY2486-$BX$31)*$BX$33)),SUM($BU$42:BU2486)/$BV$40))</f>
        <v>1</v>
      </c>
      <c r="BW2486" s="16">
        <f t="shared" si="608"/>
        <v>1.486816534769994E-20</v>
      </c>
      <c r="BY2486" s="16">
        <f t="shared" si="609"/>
        <v>244.3999999999904</v>
      </c>
      <c r="BZ2486" s="16">
        <f t="shared" si="611"/>
        <v>6.083537376309543E-23</v>
      </c>
      <c r="CA2486" s="16">
        <f t="shared" si="618"/>
        <v>-999</v>
      </c>
      <c r="CE2486" s="16" t="e">
        <f t="shared" si="612"/>
        <v>#N/A</v>
      </c>
      <c r="CF2486" s="16">
        <f t="shared" si="613"/>
        <v>99</v>
      </c>
      <c r="CG2486" s="16">
        <f t="shared" si="614"/>
        <v>0</v>
      </c>
      <c r="CH2486" s="16">
        <f t="shared" si="610"/>
        <v>0</v>
      </c>
      <c r="CJ2486" s="16" t="e">
        <f t="shared" si="615"/>
        <v>#N/A</v>
      </c>
      <c r="CK2486" s="16" t="str">
        <f t="shared" si="616"/>
        <v/>
      </c>
    </row>
    <row r="2487" spans="73:89" ht="12" customHeight="1">
      <c r="BU2487" s="16">
        <f t="shared" si="617"/>
        <v>0</v>
      </c>
      <c r="BV2487" s="16">
        <f>IF($BY$12=1,NORMDIST(BY2487,$Y$6,$Y$8,TRUE),IF($BY$12=2,IF(BY2487&lt;=$BX$31,0,IF(BY2487&gt;=$BX$32,1,(BY2487-$BX$31)*$BX$33)),SUM($BU$42:BU2487)/$BV$40))</f>
        <v>1</v>
      </c>
      <c r="BW2487" s="16">
        <f t="shared" si="608"/>
        <v>1.4168468324679933E-20</v>
      </c>
      <c r="BY2487" s="16">
        <f t="shared" si="609"/>
        <v>244.49999999999039</v>
      </c>
      <c r="BZ2487" s="16">
        <f t="shared" si="611"/>
        <v>5.7948745704214679E-23</v>
      </c>
      <c r="CA2487" s="16">
        <f t="shared" si="618"/>
        <v>-999</v>
      </c>
      <c r="CE2487" s="16" t="e">
        <f t="shared" si="612"/>
        <v>#N/A</v>
      </c>
      <c r="CF2487" s="16">
        <f t="shared" si="613"/>
        <v>99</v>
      </c>
      <c r="CG2487" s="16">
        <f t="shared" si="614"/>
        <v>0</v>
      </c>
      <c r="CH2487" s="16">
        <f t="shared" si="610"/>
        <v>0</v>
      </c>
      <c r="CJ2487" s="16" t="e">
        <f t="shared" si="615"/>
        <v>#N/A</v>
      </c>
      <c r="CK2487" s="16" t="str">
        <f t="shared" si="616"/>
        <v/>
      </c>
    </row>
    <row r="2488" spans="73:89" ht="12" customHeight="1">
      <c r="BU2488" s="16">
        <f t="shared" si="617"/>
        <v>0</v>
      </c>
      <c r="BV2488" s="16">
        <f>IF($BY$12=1,NORMDIST(BY2488,$Y$6,$Y$8,TRUE),IF($BY$12=2,IF(BY2488&lt;=$BX$31,0,IF(BY2488&gt;=$BX$32,1,(BY2488-$BX$31)*$BX$33)),SUM($BU$42:BU2488)/$BV$40))</f>
        <v>1</v>
      </c>
      <c r="BW2488" s="16">
        <f t="shared" si="608"/>
        <v>1.350135930147864E-20</v>
      </c>
      <c r="BY2488" s="16">
        <f t="shared" si="609"/>
        <v>244.59999999999039</v>
      </c>
      <c r="BZ2488" s="16">
        <f t="shared" si="611"/>
        <v>5.5197707692065289E-23</v>
      </c>
      <c r="CA2488" s="16">
        <f t="shared" si="618"/>
        <v>-999</v>
      </c>
      <c r="CE2488" s="16" t="e">
        <f t="shared" si="612"/>
        <v>#N/A</v>
      </c>
      <c r="CF2488" s="16">
        <f t="shared" si="613"/>
        <v>99</v>
      </c>
      <c r="CG2488" s="16">
        <f t="shared" si="614"/>
        <v>0</v>
      </c>
      <c r="CH2488" s="16">
        <f t="shared" si="610"/>
        <v>0</v>
      </c>
      <c r="CJ2488" s="16" t="e">
        <f t="shared" si="615"/>
        <v>#N/A</v>
      </c>
      <c r="CK2488" s="16" t="str">
        <f t="shared" si="616"/>
        <v/>
      </c>
    </row>
    <row r="2489" spans="73:89" ht="12" customHeight="1">
      <c r="BU2489" s="16">
        <f t="shared" si="617"/>
        <v>0</v>
      </c>
      <c r="BV2489" s="16">
        <f>IF($BY$12=1,NORMDIST(BY2489,$Y$6,$Y$8,TRUE),IF($BY$12=2,IF(BY2489&lt;=$BX$31,0,IF(BY2489&gt;=$BX$32,1,(BY2489-$BX$31)*$BX$33)),SUM($BU$42:BU2489)/$BV$40))</f>
        <v>1</v>
      </c>
      <c r="BW2489" s="16">
        <f t="shared" si="608"/>
        <v>1.2865336692208974E-20</v>
      </c>
      <c r="BY2489" s="16">
        <f t="shared" si="609"/>
        <v>244.69999999999038</v>
      </c>
      <c r="BZ2489" s="16">
        <f t="shared" si="611"/>
        <v>5.2575957058477644E-23</v>
      </c>
      <c r="CA2489" s="16">
        <f t="shared" si="618"/>
        <v>-999</v>
      </c>
      <c r="CE2489" s="16" t="e">
        <f t="shared" si="612"/>
        <v>#N/A</v>
      </c>
      <c r="CF2489" s="16">
        <f t="shared" si="613"/>
        <v>99</v>
      </c>
      <c r="CG2489" s="16">
        <f t="shared" si="614"/>
        <v>0</v>
      </c>
      <c r="CH2489" s="16">
        <f t="shared" si="610"/>
        <v>0</v>
      </c>
      <c r="CJ2489" s="16" t="e">
        <f t="shared" si="615"/>
        <v>#N/A</v>
      </c>
      <c r="CK2489" s="16" t="str">
        <f t="shared" si="616"/>
        <v/>
      </c>
    </row>
    <row r="2490" spans="73:89" ht="12" customHeight="1">
      <c r="BU2490" s="16">
        <f t="shared" si="617"/>
        <v>0</v>
      </c>
      <c r="BV2490" s="16">
        <f>IF($BY$12=1,NORMDIST(BY2490,$Y$6,$Y$8,TRUE),IF($BY$12=2,IF(BY2490&lt;=$BX$31,0,IF(BY2490&gt;=$BX$32,1,(BY2490-$BX$31)*$BX$33)),SUM($BU$42:BU2490)/$BV$40))</f>
        <v>1</v>
      </c>
      <c r="BW2490" s="16">
        <f t="shared" si="608"/>
        <v>1.2258967337730947E-20</v>
      </c>
      <c r="BY2490" s="16">
        <f t="shared" si="609"/>
        <v>244.79999999999038</v>
      </c>
      <c r="BZ2490" s="16">
        <f t="shared" si="611"/>
        <v>5.0077480954785249E-23</v>
      </c>
      <c r="CA2490" s="16">
        <f t="shared" si="618"/>
        <v>-999</v>
      </c>
      <c r="CE2490" s="16" t="e">
        <f t="shared" si="612"/>
        <v>#N/A</v>
      </c>
      <c r="CF2490" s="16">
        <f t="shared" si="613"/>
        <v>99</v>
      </c>
      <c r="CG2490" s="16">
        <f t="shared" si="614"/>
        <v>0</v>
      </c>
      <c r="CH2490" s="16">
        <f t="shared" si="610"/>
        <v>0</v>
      </c>
      <c r="CJ2490" s="16" t="e">
        <f t="shared" si="615"/>
        <v>#N/A</v>
      </c>
      <c r="CK2490" s="16" t="str">
        <f t="shared" si="616"/>
        <v/>
      </c>
    </row>
    <row r="2491" spans="73:89" ht="12" customHeight="1">
      <c r="BU2491" s="16">
        <f t="shared" si="617"/>
        <v>0</v>
      </c>
      <c r="BV2491" s="16">
        <f>IF($BY$12=1,NORMDIST(BY2491,$Y$6,$Y$8,TRUE),IF($BY$12=2,IF(BY2491&lt;=$BX$31,0,IF(BY2491&gt;=$BX$32,1,(BY2491-$BX$31)*$BX$33)),SUM($BU$42:BU2491)/$BV$40))</f>
        <v>1</v>
      </c>
      <c r="BW2491" s="16">
        <f t="shared" ref="BW2491:BW2554" si="619">BY2491*BZ2491</f>
        <v>1.1680883423097991E-20</v>
      </c>
      <c r="BY2491" s="16">
        <f t="shared" ref="BY2491:BY2554" si="620">BY2490+$BZ$1</f>
        <v>244.89999999999037</v>
      </c>
      <c r="BZ2491" s="16">
        <f t="shared" si="611"/>
        <v>4.7696543173125565E-23</v>
      </c>
      <c r="CA2491" s="16">
        <f t="shared" si="618"/>
        <v>-999</v>
      </c>
      <c r="CE2491" s="16" t="e">
        <f t="shared" si="612"/>
        <v>#N/A</v>
      </c>
      <c r="CF2491" s="16">
        <f t="shared" si="613"/>
        <v>99</v>
      </c>
      <c r="CG2491" s="16">
        <f t="shared" si="614"/>
        <v>0</v>
      </c>
      <c r="CH2491" s="16">
        <f t="shared" si="610"/>
        <v>0</v>
      </c>
      <c r="CJ2491" s="16" t="e">
        <f t="shared" si="615"/>
        <v>#N/A</v>
      </c>
      <c r="CK2491" s="16" t="str">
        <f t="shared" si="616"/>
        <v/>
      </c>
    </row>
    <row r="2492" spans="73:89" ht="12" customHeight="1">
      <c r="BU2492" s="16">
        <f t="shared" si="617"/>
        <v>0</v>
      </c>
      <c r="BV2492" s="16">
        <f>IF($BY$12=1,NORMDIST(BY2492,$Y$6,$Y$8,TRUE),IF($BY$12=2,IF(BY2492&lt;=$BX$31,0,IF(BY2492&gt;=$BX$32,1,(BY2492-$BX$31)*$BX$33)),SUM($BU$42:BU2492)/$BV$40))</f>
        <v>1</v>
      </c>
      <c r="BW2492" s="16">
        <f t="shared" si="619"/>
        <v>1.1129779532223168E-20</v>
      </c>
      <c r="BY2492" s="16">
        <f t="shared" si="620"/>
        <v>244.99999999999037</v>
      </c>
      <c r="BZ2492" s="16">
        <f t="shared" si="611"/>
        <v>4.5427671560096352E-23</v>
      </c>
      <c r="CA2492" s="16">
        <f t="shared" si="618"/>
        <v>-999</v>
      </c>
      <c r="CE2492" s="16" t="e">
        <f t="shared" si="612"/>
        <v>#N/A</v>
      </c>
      <c r="CF2492" s="16">
        <f t="shared" si="613"/>
        <v>99</v>
      </c>
      <c r="CG2492" s="16">
        <f t="shared" si="614"/>
        <v>0</v>
      </c>
      <c r="CH2492" s="16">
        <f t="shared" si="610"/>
        <v>0</v>
      </c>
      <c r="CJ2492" s="16" t="e">
        <f t="shared" si="615"/>
        <v>#N/A</v>
      </c>
      <c r="CK2492" s="16" t="str">
        <f t="shared" si="616"/>
        <v/>
      </c>
    </row>
    <row r="2493" spans="73:89" ht="12" customHeight="1">
      <c r="BU2493" s="16">
        <f t="shared" si="617"/>
        <v>0</v>
      </c>
      <c r="BV2493" s="16">
        <f>IF($BY$12=1,NORMDIST(BY2493,$Y$6,$Y$8,TRUE),IF($BY$12=2,IF(BY2493&lt;=$BX$31,0,IF(BY2493&gt;=$BX$32,1,(BY2493-$BX$31)*$BX$33)),SUM($BU$42:BU2493)/$BV$40))</f>
        <v>1</v>
      </c>
      <c r="BW2493" s="16">
        <f t="shared" si="619"/>
        <v>1.0604409833731939E-20</v>
      </c>
      <c r="BY2493" s="16">
        <f t="shared" si="620"/>
        <v>245.09999999999036</v>
      </c>
      <c r="BZ2493" s="16">
        <f t="shared" si="611"/>
        <v>4.3265645996460041E-23</v>
      </c>
      <c r="CA2493" s="16">
        <f t="shared" si="618"/>
        <v>-999</v>
      </c>
      <c r="CE2493" s="16" t="e">
        <f t="shared" si="612"/>
        <v>#N/A</v>
      </c>
      <c r="CF2493" s="16">
        <f t="shared" si="613"/>
        <v>99</v>
      </c>
      <c r="CG2493" s="16">
        <f t="shared" si="614"/>
        <v>0</v>
      </c>
      <c r="CH2493" s="16">
        <f t="shared" si="610"/>
        <v>0</v>
      </c>
      <c r="CJ2493" s="16" t="e">
        <f t="shared" si="615"/>
        <v>#N/A</v>
      </c>
      <c r="CK2493" s="16" t="str">
        <f t="shared" si="616"/>
        <v/>
      </c>
    </row>
    <row r="2494" spans="73:89" ht="12" customHeight="1">
      <c r="BU2494" s="16">
        <f t="shared" si="617"/>
        <v>0</v>
      </c>
      <c r="BV2494" s="16">
        <f>IF($BY$12=1,NORMDIST(BY2494,$Y$6,$Y$8,TRUE),IF($BY$12=2,IF(BY2494&lt;=$BX$31,0,IF(BY2494&gt;=$BX$32,1,(BY2494-$BX$31)*$BX$33)),SUM($BU$42:BU2494)/$BV$40))</f>
        <v>1</v>
      </c>
      <c r="BW2494" s="16">
        <f t="shared" si="619"/>
        <v>1.010358539222912E-20</v>
      </c>
      <c r="BY2494" s="16">
        <f t="shared" si="620"/>
        <v>245.19999999999035</v>
      </c>
      <c r="BZ2494" s="16">
        <f t="shared" si="611"/>
        <v>4.1205486917738653E-23</v>
      </c>
      <c r="CA2494" s="16">
        <f t="shared" si="618"/>
        <v>-999</v>
      </c>
      <c r="CE2494" s="16" t="e">
        <f t="shared" si="612"/>
        <v>#N/A</v>
      </c>
      <c r="CF2494" s="16">
        <f t="shared" si="613"/>
        <v>99</v>
      </c>
      <c r="CG2494" s="16">
        <f t="shared" si="614"/>
        <v>0</v>
      </c>
      <c r="CH2494" s="16">
        <f t="shared" si="610"/>
        <v>0</v>
      </c>
      <c r="CJ2494" s="16" t="e">
        <f t="shared" si="615"/>
        <v>#N/A</v>
      </c>
      <c r="CK2494" s="16" t="str">
        <f t="shared" si="616"/>
        <v/>
      </c>
    </row>
    <row r="2495" spans="73:89" ht="12" customHeight="1">
      <c r="BU2495" s="16">
        <f t="shared" si="617"/>
        <v>0</v>
      </c>
      <c r="BV2495" s="16">
        <f>IF($BY$12=1,NORMDIST(BY2495,$Y$6,$Y$8,TRUE),IF($BY$12=2,IF(BY2495&lt;=$BX$31,0,IF(BY2495&gt;=$BX$32,1,(BY2495-$BX$31)*$BX$33)),SUM($BU$42:BU2495)/$BV$40))</f>
        <v>1</v>
      </c>
      <c r="BW2495" s="16">
        <f t="shared" si="619"/>
        <v>9.6261715994618042E-21</v>
      </c>
      <c r="BY2495" s="16">
        <f t="shared" si="620"/>
        <v>245.29999999999035</v>
      </c>
      <c r="BZ2495" s="16">
        <f t="shared" si="611"/>
        <v>3.9242444351659938E-23</v>
      </c>
      <c r="CA2495" s="16">
        <f t="shared" si="618"/>
        <v>-999</v>
      </c>
      <c r="CE2495" s="16" t="e">
        <f t="shared" si="612"/>
        <v>#N/A</v>
      </c>
      <c r="CF2495" s="16">
        <f t="shared" si="613"/>
        <v>99</v>
      </c>
      <c r="CG2495" s="16">
        <f t="shared" si="614"/>
        <v>0</v>
      </c>
      <c r="CH2495" s="16">
        <f t="shared" si="610"/>
        <v>0</v>
      </c>
      <c r="CJ2495" s="16" t="e">
        <f t="shared" si="615"/>
        <v>#N/A</v>
      </c>
      <c r="CK2495" s="16" t="str">
        <f t="shared" si="616"/>
        <v/>
      </c>
    </row>
    <row r="2496" spans="73:89" ht="12" customHeight="1">
      <c r="BU2496" s="16">
        <f t="shared" si="617"/>
        <v>0</v>
      </c>
      <c r="BV2496" s="16">
        <f>IF($BY$12=1,NORMDIST(BY2496,$Y$6,$Y$8,TRUE),IF($BY$12=2,IF(BY2496&lt;=$BX$31,0,IF(BY2496&gt;=$BX$32,1,(BY2496-$BX$31)*$BX$33)),SUM($BU$42:BU2496)/$BV$40))</f>
        <v>1</v>
      </c>
      <c r="BW2496" s="16">
        <f t="shared" si="619"/>
        <v>9.1710857200957968E-21</v>
      </c>
      <c r="BY2496" s="16">
        <f t="shared" si="620"/>
        <v>245.39999999999034</v>
      </c>
      <c r="BZ2496" s="16">
        <f t="shared" si="611"/>
        <v>3.7371987449454596E-23</v>
      </c>
      <c r="CA2496" s="16">
        <f t="shared" si="618"/>
        <v>-999</v>
      </c>
      <c r="CE2496" s="16" t="e">
        <f t="shared" si="612"/>
        <v>#N/A</v>
      </c>
      <c r="CF2496" s="16">
        <f t="shared" si="613"/>
        <v>99</v>
      </c>
      <c r="CG2496" s="16">
        <f t="shared" si="614"/>
        <v>0</v>
      </c>
      <c r="CH2496" s="16">
        <f t="shared" si="610"/>
        <v>0</v>
      </c>
      <c r="CJ2496" s="16" t="e">
        <f t="shared" si="615"/>
        <v>#N/A</v>
      </c>
      <c r="CK2496" s="16" t="str">
        <f t="shared" si="616"/>
        <v/>
      </c>
    </row>
    <row r="2497" spans="73:89" ht="12" customHeight="1">
      <c r="BU2497" s="16">
        <f t="shared" si="617"/>
        <v>0</v>
      </c>
      <c r="BV2497" s="16">
        <f>IF($BY$12=1,NORMDIST(BY2497,$Y$6,$Y$8,TRUE),IF($BY$12=2,IF(BY2497&lt;=$BX$31,0,IF(BY2497&gt;=$BX$32,1,(BY2497-$BX$31)*$BX$33)),SUM($BU$42:BU2497)/$BV$40))</f>
        <v>1</v>
      </c>
      <c r="BW2497" s="16">
        <f t="shared" si="619"/>
        <v>8.7372945470547924E-21</v>
      </c>
      <c r="BY2497" s="16">
        <f t="shared" si="620"/>
        <v>245.49999999999034</v>
      </c>
      <c r="BZ2497" s="16">
        <f t="shared" si="611"/>
        <v>3.5589794489022959E-23</v>
      </c>
      <c r="CA2497" s="16">
        <f t="shared" si="618"/>
        <v>-999</v>
      </c>
      <c r="CE2497" s="16" t="e">
        <f t="shared" si="612"/>
        <v>#N/A</v>
      </c>
      <c r="CF2497" s="16">
        <f t="shared" si="613"/>
        <v>99</v>
      </c>
      <c r="CG2497" s="16">
        <f t="shared" si="614"/>
        <v>0</v>
      </c>
      <c r="CH2497" s="16">
        <f t="shared" si="610"/>
        <v>0</v>
      </c>
      <c r="CJ2497" s="16" t="e">
        <f t="shared" si="615"/>
        <v>#N/A</v>
      </c>
      <c r="CK2497" s="16" t="str">
        <f t="shared" si="616"/>
        <v/>
      </c>
    </row>
    <row r="2498" spans="73:89" ht="12" customHeight="1">
      <c r="BU2498" s="16">
        <f t="shared" si="617"/>
        <v>0</v>
      </c>
      <c r="BV2498" s="16">
        <f>IF($BY$12=1,NORMDIST(BY2498,$Y$6,$Y$8,TRUE),IF($BY$12=2,IF(BY2498&lt;=$BX$31,0,IF(BY2498&gt;=$BX$32,1,(BY2498-$BX$31)*$BX$33)),SUM($BU$42:BU2498)/$BV$40))</f>
        <v>1</v>
      </c>
      <c r="BW2498" s="16">
        <f t="shared" si="619"/>
        <v>8.3238121615915438E-21</v>
      </c>
      <c r="BY2498" s="16">
        <f t="shared" si="620"/>
        <v>245.59999999999033</v>
      </c>
      <c r="BZ2498" s="16">
        <f t="shared" si="611"/>
        <v>3.3891743328957128E-23</v>
      </c>
      <c r="CA2498" s="16">
        <f t="shared" si="618"/>
        <v>-999</v>
      </c>
      <c r="CE2498" s="16" t="e">
        <f t="shared" si="612"/>
        <v>#N/A</v>
      </c>
      <c r="CF2498" s="16">
        <f t="shared" si="613"/>
        <v>99</v>
      </c>
      <c r="CG2498" s="16">
        <f t="shared" si="614"/>
        <v>0</v>
      </c>
      <c r="CH2498" s="16">
        <f t="shared" si="610"/>
        <v>0</v>
      </c>
      <c r="CJ2498" s="16" t="e">
        <f t="shared" si="615"/>
        <v>#N/A</v>
      </c>
      <c r="CK2498" s="16" t="str">
        <f t="shared" si="616"/>
        <v/>
      </c>
    </row>
    <row r="2499" spans="73:89" ht="12" customHeight="1">
      <c r="BU2499" s="16">
        <f t="shared" si="617"/>
        <v>0</v>
      </c>
      <c r="BV2499" s="16">
        <f>IF($BY$12=1,NORMDIST(BY2499,$Y$6,$Y$8,TRUE),IF($BY$12=2,IF(BY2499&lt;=$BX$31,0,IF(BY2499&gt;=$BX$32,1,(BY2499-$BX$31)*$BX$33)),SUM($BU$42:BU2499)/$BV$40))</f>
        <v>1</v>
      </c>
      <c r="BW2499" s="16">
        <f t="shared" si="619"/>
        <v>7.9296977934694253E-21</v>
      </c>
      <c r="BY2499" s="16">
        <f t="shared" si="620"/>
        <v>245.69999999999033</v>
      </c>
      <c r="BZ2499" s="16">
        <f t="shared" si="611"/>
        <v>3.2273902293324127E-23</v>
      </c>
      <c r="CA2499" s="16">
        <f t="shared" si="618"/>
        <v>-999</v>
      </c>
      <c r="CE2499" s="16" t="e">
        <f t="shared" si="612"/>
        <v>#N/A</v>
      </c>
      <c r="CF2499" s="16">
        <f t="shared" si="613"/>
        <v>99</v>
      </c>
      <c r="CG2499" s="16">
        <f t="shared" si="614"/>
        <v>0</v>
      </c>
      <c r="CH2499" s="16">
        <f t="shared" ref="CH2499:CH2562" si="621">IF(CB2499="",0,1)</f>
        <v>0</v>
      </c>
      <c r="CJ2499" s="16" t="e">
        <f t="shared" si="615"/>
        <v>#N/A</v>
      </c>
      <c r="CK2499" s="16" t="str">
        <f t="shared" si="616"/>
        <v/>
      </c>
    </row>
    <row r="2500" spans="73:89" ht="12" customHeight="1">
      <c r="BU2500" s="16">
        <f t="shared" si="617"/>
        <v>0</v>
      </c>
      <c r="BV2500" s="16">
        <f>IF($BY$12=1,NORMDIST(BY2500,$Y$6,$Y$8,TRUE),IF($BY$12=2,IF(BY2500&lt;=$BX$31,0,IF(BY2500&gt;=$BX$32,1,(BY2500-$BX$31)*$BX$33)),SUM($BU$42:BU2500)/$BV$40))</f>
        <v>1</v>
      </c>
      <c r="BW2500" s="16">
        <f t="shared" si="619"/>
        <v>7.5540537768353963E-21</v>
      </c>
      <c r="BY2500" s="16">
        <f t="shared" si="620"/>
        <v>245.79999999999032</v>
      </c>
      <c r="BZ2500" s="16">
        <f t="shared" si="611"/>
        <v>3.0732521468005265E-23</v>
      </c>
      <c r="CA2500" s="16">
        <f t="shared" si="618"/>
        <v>-999</v>
      </c>
      <c r="CE2500" s="16" t="e">
        <f t="shared" si="612"/>
        <v>#N/A</v>
      </c>
      <c r="CF2500" s="16">
        <f t="shared" si="613"/>
        <v>99</v>
      </c>
      <c r="CG2500" s="16">
        <f t="shared" si="614"/>
        <v>0</v>
      </c>
      <c r="CH2500" s="16">
        <f t="shared" si="621"/>
        <v>0</v>
      </c>
      <c r="CJ2500" s="16" t="e">
        <f t="shared" si="615"/>
        <v>#N/A</v>
      </c>
      <c r="CK2500" s="16" t="str">
        <f t="shared" si="616"/>
        <v/>
      </c>
    </row>
    <row r="2501" spans="73:89" ht="12" customHeight="1">
      <c r="BU2501" s="16">
        <f t="shared" si="617"/>
        <v>0</v>
      </c>
      <c r="BV2501" s="16">
        <f>IF($BY$12=1,NORMDIST(BY2501,$Y$6,$Y$8,TRUE),IF($BY$12=2,IF(BY2501&lt;=$BX$31,0,IF(BY2501&gt;=$BX$32,1,(BY2501-$BX$31)*$BX$33)),SUM($BU$42:BU2501)/$BV$40))</f>
        <v>1</v>
      </c>
      <c r="BW2501" s="16">
        <f t="shared" si="619"/>
        <v>7.196023597556629E-21</v>
      </c>
      <c r="BY2501" s="16">
        <f t="shared" si="620"/>
        <v>245.89999999999031</v>
      </c>
      <c r="BZ2501" s="16">
        <f t="shared" si="611"/>
        <v>2.9264024390227381E-23</v>
      </c>
      <c r="CA2501" s="16">
        <f t="shared" si="618"/>
        <v>-999</v>
      </c>
      <c r="CE2501" s="16" t="e">
        <f t="shared" si="612"/>
        <v>#N/A</v>
      </c>
      <c r="CF2501" s="16">
        <f t="shared" si="613"/>
        <v>99</v>
      </c>
      <c r="CG2501" s="16">
        <f t="shared" si="614"/>
        <v>0</v>
      </c>
      <c r="CH2501" s="16">
        <f t="shared" si="621"/>
        <v>0</v>
      </c>
      <c r="CJ2501" s="16" t="e">
        <f t="shared" si="615"/>
        <v>#N/A</v>
      </c>
      <c r="CK2501" s="16" t="str">
        <f t="shared" si="616"/>
        <v/>
      </c>
    </row>
    <row r="2502" spans="73:89" ht="12" customHeight="1">
      <c r="BU2502" s="16">
        <f t="shared" si="617"/>
        <v>0</v>
      </c>
      <c r="BV2502" s="16">
        <f>IF($BY$12=1,NORMDIST(BY2502,$Y$6,$Y$8,TRUE),IF($BY$12=2,IF(BY2502&lt;=$BX$31,0,IF(BY2502&gt;=$BX$32,1,(BY2502-$BX$31)*$BX$33)),SUM($BU$42:BU2502)/$BV$40))</f>
        <v>1</v>
      </c>
      <c r="BW2502" s="16">
        <f t="shared" si="619"/>
        <v>6.8547900279788122E-21</v>
      </c>
      <c r="BY2502" s="16">
        <f t="shared" si="620"/>
        <v>245.99999999999031</v>
      </c>
      <c r="BZ2502" s="16">
        <f t="shared" si="611"/>
        <v>2.7865000113736107E-23</v>
      </c>
      <c r="CA2502" s="16">
        <f t="shared" si="618"/>
        <v>-999</v>
      </c>
      <c r="CE2502" s="16" t="e">
        <f t="shared" si="612"/>
        <v>#N/A</v>
      </c>
      <c r="CF2502" s="16">
        <f t="shared" si="613"/>
        <v>99</v>
      </c>
      <c r="CG2502" s="16">
        <f t="shared" si="614"/>
        <v>0</v>
      </c>
      <c r="CH2502" s="16">
        <f t="shared" si="621"/>
        <v>0</v>
      </c>
      <c r="CJ2502" s="16" t="e">
        <f t="shared" si="615"/>
        <v>#N/A</v>
      </c>
      <c r="CK2502" s="16" t="str">
        <f t="shared" si="616"/>
        <v/>
      </c>
    </row>
    <row r="2503" spans="73:89" ht="12" customHeight="1">
      <c r="BU2503" s="16">
        <f t="shared" si="617"/>
        <v>0</v>
      </c>
      <c r="BV2503" s="16">
        <f>IF($BY$12=1,NORMDIST(BY2503,$Y$6,$Y$8,TRUE),IF($BY$12=2,IF(BY2503&lt;=$BX$31,0,IF(BY2503&gt;=$BX$32,1,(BY2503-$BX$31)*$BX$33)),SUM($BU$42:BU2503)/$BV$40))</f>
        <v>1</v>
      </c>
      <c r="BW2503" s="16">
        <f t="shared" si="619"/>
        <v>6.5295733452387754E-21</v>
      </c>
      <c r="BY2503" s="16">
        <f t="shared" si="620"/>
        <v>246.0999999999903</v>
      </c>
      <c r="BZ2503" s="16">
        <f t="shared" si="611"/>
        <v>2.6532195632828251E-23</v>
      </c>
      <c r="CA2503" s="16">
        <f t="shared" si="618"/>
        <v>-999</v>
      </c>
      <c r="CE2503" s="16" t="e">
        <f t="shared" si="612"/>
        <v>#N/A</v>
      </c>
      <c r="CF2503" s="16">
        <f t="shared" si="613"/>
        <v>99</v>
      </c>
      <c r="CG2503" s="16">
        <f t="shared" si="614"/>
        <v>0</v>
      </c>
      <c r="CH2503" s="16">
        <f t="shared" si="621"/>
        <v>0</v>
      </c>
      <c r="CJ2503" s="16" t="e">
        <f t="shared" si="615"/>
        <v>#N/A</v>
      </c>
      <c r="CK2503" s="16" t="str">
        <f t="shared" si="616"/>
        <v/>
      </c>
    </row>
    <row r="2504" spans="73:89" ht="12" customHeight="1">
      <c r="BU2504" s="16">
        <f t="shared" si="617"/>
        <v>0</v>
      </c>
      <c r="BV2504" s="16">
        <f>IF($BY$12=1,NORMDIST(BY2504,$Y$6,$Y$8,TRUE),IF($BY$12=2,IF(BY2504&lt;=$BX$31,0,IF(BY2504&gt;=$BX$32,1,(BY2504-$BX$31)*$BX$33)),SUM($BU$42:BU2504)/$BV$40))</f>
        <v>1</v>
      </c>
      <c r="BW2504" s="16">
        <f t="shared" si="619"/>
        <v>6.219629629435489E-21</v>
      </c>
      <c r="BY2504" s="16">
        <f t="shared" si="620"/>
        <v>246.1999999999903</v>
      </c>
      <c r="BZ2504" s="16">
        <f t="shared" si="611"/>
        <v>2.5262508649210944E-23</v>
      </c>
      <c r="CA2504" s="16">
        <f t="shared" si="618"/>
        <v>-999</v>
      </c>
      <c r="CE2504" s="16" t="e">
        <f t="shared" si="612"/>
        <v>#N/A</v>
      </c>
      <c r="CF2504" s="16">
        <f t="shared" si="613"/>
        <v>99</v>
      </c>
      <c r="CG2504" s="16">
        <f t="shared" si="614"/>
        <v>0</v>
      </c>
      <c r="CH2504" s="16">
        <f t="shared" si="621"/>
        <v>0</v>
      </c>
      <c r="CJ2504" s="16" t="e">
        <f t="shared" si="615"/>
        <v>#N/A</v>
      </c>
      <c r="CK2504" s="16" t="str">
        <f t="shared" si="616"/>
        <v/>
      </c>
    </row>
    <row r="2505" spans="73:89" ht="12" customHeight="1">
      <c r="BU2505" s="16">
        <f t="shared" si="617"/>
        <v>0</v>
      </c>
      <c r="BV2505" s="16">
        <f>IF($BY$12=1,NORMDIST(BY2505,$Y$6,$Y$8,TRUE),IF($BY$12=2,IF(BY2505&lt;=$BX$31,0,IF(BY2505&gt;=$BX$32,1,(BY2505-$BX$31)*$BX$33)),SUM($BU$42:BU2505)/$BV$40))</f>
        <v>1</v>
      </c>
      <c r="BW2505" s="16">
        <f t="shared" si="619"/>
        <v>5.9242491381224782E-21</v>
      </c>
      <c r="BY2505" s="16">
        <f t="shared" si="620"/>
        <v>246.29999999999029</v>
      </c>
      <c r="BZ2505" s="16">
        <f t="shared" si="611"/>
        <v>2.4052980666352869E-23</v>
      </c>
      <c r="CA2505" s="16">
        <f t="shared" si="618"/>
        <v>-999</v>
      </c>
      <c r="CE2505" s="16" t="e">
        <f t="shared" si="612"/>
        <v>#N/A</v>
      </c>
      <c r="CF2505" s="16">
        <f t="shared" si="613"/>
        <v>99</v>
      </c>
      <c r="CG2505" s="16">
        <f t="shared" si="614"/>
        <v>0</v>
      </c>
      <c r="CH2505" s="16">
        <f t="shared" si="621"/>
        <v>0</v>
      </c>
      <c r="CJ2505" s="16" t="e">
        <f t="shared" si="615"/>
        <v>#N/A</v>
      </c>
      <c r="CK2505" s="16" t="str">
        <f t="shared" si="616"/>
        <v/>
      </c>
    </row>
    <row r="2506" spans="73:89" ht="12" customHeight="1">
      <c r="BU2506" s="16">
        <f t="shared" si="617"/>
        <v>0</v>
      </c>
      <c r="BV2506" s="16">
        <f>IF($BY$12=1,NORMDIST(BY2506,$Y$6,$Y$8,TRUE),IF($BY$12=2,IF(BY2506&lt;=$BX$31,0,IF(BY2506&gt;=$BX$32,1,(BY2506-$BX$31)*$BX$33)),SUM($BU$42:BU2506)/$BV$40))</f>
        <v>1</v>
      </c>
      <c r="BW2506" s="16">
        <f t="shared" si="619"/>
        <v>5.6427547537404591E-21</v>
      </c>
      <c r="BY2506" s="16">
        <f t="shared" si="620"/>
        <v>246.39999999999029</v>
      </c>
      <c r="BZ2506" s="16">
        <f t="shared" si="611"/>
        <v>2.2900790396674844E-23</v>
      </c>
      <c r="CA2506" s="16">
        <f t="shared" si="618"/>
        <v>-999</v>
      </c>
      <c r="CE2506" s="16" t="e">
        <f t="shared" si="612"/>
        <v>#N/A</v>
      </c>
      <c r="CF2506" s="16">
        <f t="shared" si="613"/>
        <v>99</v>
      </c>
      <c r="CG2506" s="16">
        <f t="shared" si="614"/>
        <v>0</v>
      </c>
      <c r="CH2506" s="16">
        <f t="shared" si="621"/>
        <v>0</v>
      </c>
      <c r="CJ2506" s="16" t="e">
        <f t="shared" si="615"/>
        <v>#N/A</v>
      </c>
      <c r="CK2506" s="16" t="str">
        <f t="shared" si="616"/>
        <v/>
      </c>
    </row>
    <row r="2507" spans="73:89" ht="12" customHeight="1">
      <c r="BU2507" s="16">
        <f t="shared" si="617"/>
        <v>0</v>
      </c>
      <c r="BV2507" s="16">
        <f>IF($BY$12=1,NORMDIST(BY2507,$Y$6,$Y$8,TRUE),IF($BY$12=2,IF(BY2507&lt;=$BX$31,0,IF(BY2507&gt;=$BX$32,1,(BY2507-$BX$31)*$BX$33)),SUM($BU$42:BU2507)/$BV$40))</f>
        <v>1</v>
      </c>
      <c r="BW2507" s="16">
        <f t="shared" si="619"/>
        <v>5.3745005007572063E-21</v>
      </c>
      <c r="BY2507" s="16">
        <f t="shared" si="620"/>
        <v>246.49999999999028</v>
      </c>
      <c r="BZ2507" s="16">
        <f t="shared" si="611"/>
        <v>2.1803247467575733E-23</v>
      </c>
      <c r="CA2507" s="16">
        <f t="shared" si="618"/>
        <v>-999</v>
      </c>
      <c r="CE2507" s="16" t="e">
        <f t="shared" si="612"/>
        <v>#N/A</v>
      </c>
      <c r="CF2507" s="16">
        <f t="shared" si="613"/>
        <v>99</v>
      </c>
      <c r="CG2507" s="16">
        <f t="shared" si="614"/>
        <v>0</v>
      </c>
      <c r="CH2507" s="16">
        <f t="shared" si="621"/>
        <v>0</v>
      </c>
      <c r="CJ2507" s="16" t="e">
        <f t="shared" si="615"/>
        <v>#N/A</v>
      </c>
      <c r="CK2507" s="16" t="str">
        <f t="shared" si="616"/>
        <v/>
      </c>
    </row>
    <row r="2508" spans="73:89" ht="12" customHeight="1">
      <c r="BU2508" s="16">
        <f t="shared" si="617"/>
        <v>0</v>
      </c>
      <c r="BV2508" s="16">
        <f>IF($BY$12=1,NORMDIST(BY2508,$Y$6,$Y$8,TRUE),IF($BY$12=2,IF(BY2508&lt;=$BX$31,0,IF(BY2508&gt;=$BX$32,1,(BY2508-$BX$31)*$BX$33)),SUM($BU$42:BU2508)/$BV$40))</f>
        <v>1</v>
      </c>
      <c r="BW2508" s="16">
        <f t="shared" si="619"/>
        <v>5.1188701294223551E-21</v>
      </c>
      <c r="BY2508" s="16">
        <f t="shared" si="620"/>
        <v>246.59999999999027</v>
      </c>
      <c r="BZ2508" s="16">
        <f t="shared" si="611"/>
        <v>2.0757786412905746E-23</v>
      </c>
      <c r="CA2508" s="16">
        <f t="shared" si="618"/>
        <v>-999</v>
      </c>
      <c r="CE2508" s="16" t="e">
        <f t="shared" si="612"/>
        <v>#N/A</v>
      </c>
      <c r="CF2508" s="16">
        <f t="shared" si="613"/>
        <v>99</v>
      </c>
      <c r="CG2508" s="16">
        <f t="shared" si="614"/>
        <v>0</v>
      </c>
      <c r="CH2508" s="16">
        <f t="shared" si="621"/>
        <v>0</v>
      </c>
      <c r="CJ2508" s="16" t="e">
        <f t="shared" si="615"/>
        <v>#N/A</v>
      </c>
      <c r="CK2508" s="16" t="str">
        <f t="shared" si="616"/>
        <v/>
      </c>
    </row>
    <row r="2509" spans="73:89" ht="12" customHeight="1">
      <c r="BU2509" s="16">
        <f t="shared" si="617"/>
        <v>0</v>
      </c>
      <c r="BV2509" s="16">
        <f>IF($BY$12=1,NORMDIST(BY2509,$Y$6,$Y$8,TRUE),IF($BY$12=2,IF(BY2509&lt;=$BX$31,0,IF(BY2509&gt;=$BX$32,1,(BY2509-$BX$31)*$BX$33)),SUM($BU$42:BU2509)/$BV$40))</f>
        <v>1</v>
      </c>
      <c r="BW2509" s="16">
        <f t="shared" si="619"/>
        <v>4.8752757631811273E-21</v>
      </c>
      <c r="BY2509" s="16">
        <f t="shared" si="620"/>
        <v>246.69999999999027</v>
      </c>
      <c r="BZ2509" s="16">
        <f t="shared" si="611"/>
        <v>1.976196093709493E-23</v>
      </c>
      <c r="CA2509" s="16">
        <f t="shared" si="618"/>
        <v>-999</v>
      </c>
      <c r="CE2509" s="16" t="e">
        <f t="shared" si="612"/>
        <v>#N/A</v>
      </c>
      <c r="CF2509" s="16">
        <f t="shared" si="613"/>
        <v>99</v>
      </c>
      <c r="CG2509" s="16">
        <f t="shared" si="614"/>
        <v>0</v>
      </c>
      <c r="CH2509" s="16">
        <f t="shared" si="621"/>
        <v>0</v>
      </c>
      <c r="CJ2509" s="16" t="e">
        <f t="shared" si="615"/>
        <v>#N/A</v>
      </c>
      <c r="CK2509" s="16" t="str">
        <f t="shared" si="616"/>
        <v/>
      </c>
    </row>
    <row r="2510" spans="73:89" ht="12" customHeight="1">
      <c r="BU2510" s="16">
        <f t="shared" si="617"/>
        <v>0</v>
      </c>
      <c r="BV2510" s="16">
        <f>IF($BY$12=1,NORMDIST(BY2510,$Y$6,$Y$8,TRUE),IF($BY$12=2,IF(BY2510&lt;=$BX$31,0,IF(BY2510&gt;=$BX$32,1,(BY2510-$BX$31)*$BX$33)),SUM($BU$42:BU2510)/$BV$40))</f>
        <v>1</v>
      </c>
      <c r="BW2510" s="16">
        <f t="shared" si="619"/>
        <v>4.6431566069196644E-21</v>
      </c>
      <c r="BY2510" s="16">
        <f t="shared" si="620"/>
        <v>246.79999999999026</v>
      </c>
      <c r="BZ2510" s="16">
        <f t="shared" si="611"/>
        <v>1.8813438439707648E-23</v>
      </c>
      <c r="CA2510" s="16">
        <f t="shared" si="618"/>
        <v>-999</v>
      </c>
      <c r="CE2510" s="16" t="e">
        <f t="shared" si="612"/>
        <v>#N/A</v>
      </c>
      <c r="CF2510" s="16">
        <f t="shared" si="613"/>
        <v>99</v>
      </c>
      <c r="CG2510" s="16">
        <f t="shared" si="614"/>
        <v>0</v>
      </c>
      <c r="CH2510" s="16">
        <f t="shared" si="621"/>
        <v>0</v>
      </c>
      <c r="CJ2510" s="16" t="e">
        <f t="shared" si="615"/>
        <v>#N/A</v>
      </c>
      <c r="CK2510" s="16" t="str">
        <f t="shared" si="616"/>
        <v/>
      </c>
    </row>
    <row r="2511" spans="73:89" ht="12" customHeight="1">
      <c r="BU2511" s="16">
        <f t="shared" si="617"/>
        <v>0</v>
      </c>
      <c r="BV2511" s="16">
        <f>IF($BY$12=1,NORMDIST(BY2511,$Y$6,$Y$8,TRUE),IF($BY$12=2,IF(BY2511&lt;=$BX$31,0,IF(BY2511&gt;=$BX$32,1,(BY2511-$BX$31)*$BX$33)),SUM($BU$42:BU2511)/$BV$40))</f>
        <v>1</v>
      </c>
      <c r="BW2511" s="16">
        <f t="shared" si="619"/>
        <v>4.4219777133394407E-21</v>
      </c>
      <c r="BY2511" s="16">
        <f t="shared" si="620"/>
        <v>246.89999999999026</v>
      </c>
      <c r="BZ2511" s="16">
        <f t="shared" si="611"/>
        <v>1.7909994788738823E-23</v>
      </c>
      <c r="CA2511" s="16">
        <f t="shared" si="618"/>
        <v>-999</v>
      </c>
      <c r="CE2511" s="16" t="e">
        <f t="shared" si="612"/>
        <v>#N/A</v>
      </c>
      <c r="CF2511" s="16">
        <f t="shared" si="613"/>
        <v>99</v>
      </c>
      <c r="CG2511" s="16">
        <f t="shared" si="614"/>
        <v>0</v>
      </c>
      <c r="CH2511" s="16">
        <f t="shared" si="621"/>
        <v>0</v>
      </c>
      <c r="CJ2511" s="16" t="e">
        <f t="shared" si="615"/>
        <v>#N/A</v>
      </c>
      <c r="CK2511" s="16" t="str">
        <f t="shared" si="616"/>
        <v/>
      </c>
    </row>
    <row r="2512" spans="73:89" ht="12" customHeight="1">
      <c r="BU2512" s="16">
        <f t="shared" si="617"/>
        <v>0</v>
      </c>
      <c r="BV2512" s="16">
        <f>IF($BY$12=1,NORMDIST(BY2512,$Y$6,$Y$8,TRUE),IF($BY$12=2,IF(BY2512&lt;=$BX$31,0,IF(BY2512&gt;=$BX$32,1,(BY2512-$BX$31)*$BX$33)),SUM($BU$42:BU2512)/$BV$40))</f>
        <v>1</v>
      </c>
      <c r="BW2512" s="16">
        <f t="shared" si="619"/>
        <v>4.2112288048759142E-21</v>
      </c>
      <c r="BY2512" s="16">
        <f t="shared" si="620"/>
        <v>246.99999999999025</v>
      </c>
      <c r="BZ2512" s="16">
        <f t="shared" si="611"/>
        <v>1.7049509331482108E-23</v>
      </c>
      <c r="CA2512" s="16">
        <f t="shared" si="618"/>
        <v>-999</v>
      </c>
      <c r="CE2512" s="16" t="e">
        <f t="shared" si="612"/>
        <v>#N/A</v>
      </c>
      <c r="CF2512" s="16">
        <f t="shared" si="613"/>
        <v>99</v>
      </c>
      <c r="CG2512" s="16">
        <f t="shared" si="614"/>
        <v>0</v>
      </c>
      <c r="CH2512" s="16">
        <f t="shared" si="621"/>
        <v>0</v>
      </c>
      <c r="CJ2512" s="16" t="e">
        <f t="shared" si="615"/>
        <v>#N/A</v>
      </c>
      <c r="CK2512" s="16" t="str">
        <f t="shared" si="616"/>
        <v/>
      </c>
    </row>
    <row r="2513" spans="73:89" ht="12" customHeight="1">
      <c r="BU2513" s="16">
        <f t="shared" si="617"/>
        <v>0</v>
      </c>
      <c r="BV2513" s="16">
        <f>IF($BY$12=1,NORMDIST(BY2513,$Y$6,$Y$8,TRUE),IF($BY$12=2,IF(BY2513&lt;=$BX$31,0,IF(BY2513&gt;=$BX$32,1,(BY2513-$BX$31)*$BX$33)),SUM($BU$42:BU2513)/$BV$40))</f>
        <v>1</v>
      </c>
      <c r="BW2513" s="16">
        <f t="shared" si="619"/>
        <v>4.0104231486910439E-21</v>
      </c>
      <c r="BY2513" s="16">
        <f t="shared" si="620"/>
        <v>247.09999999999025</v>
      </c>
      <c r="BZ2513" s="16">
        <f t="shared" si="611"/>
        <v>1.6229960132299484E-23</v>
      </c>
      <c r="CA2513" s="16">
        <f t="shared" si="618"/>
        <v>-999</v>
      </c>
      <c r="CE2513" s="16" t="e">
        <f t="shared" si="612"/>
        <v>#N/A</v>
      </c>
      <c r="CF2513" s="16">
        <f t="shared" si="613"/>
        <v>99</v>
      </c>
      <c r="CG2513" s="16">
        <f t="shared" si="614"/>
        <v>0</v>
      </c>
      <c r="CH2513" s="16">
        <f t="shared" si="621"/>
        <v>0</v>
      </c>
      <c r="CJ2513" s="16" t="e">
        <f t="shared" si="615"/>
        <v>#N/A</v>
      </c>
      <c r="CK2513" s="16" t="str">
        <f t="shared" si="616"/>
        <v/>
      </c>
    </row>
    <row r="2514" spans="73:89" ht="12" customHeight="1">
      <c r="BU2514" s="16">
        <f t="shared" si="617"/>
        <v>0</v>
      </c>
      <c r="BV2514" s="16">
        <f>IF($BY$12=1,NORMDIST(BY2514,$Y$6,$Y$8,TRUE),IF($BY$12=2,IF(BY2514&lt;=$BX$31,0,IF(BY2514&gt;=$BX$32,1,(BY2514-$BX$31)*$BX$33)),SUM($BU$42:BU2514)/$BV$40))</f>
        <v>1</v>
      </c>
      <c r="BW2514" s="16">
        <f t="shared" si="619"/>
        <v>3.8190964823771723E-21</v>
      </c>
      <c r="BY2514" s="16">
        <f t="shared" si="620"/>
        <v>247.19999999999024</v>
      </c>
      <c r="BZ2514" s="16">
        <f t="shared" si="611"/>
        <v>1.5449419427092732E-23</v>
      </c>
      <c r="CA2514" s="16">
        <f t="shared" si="618"/>
        <v>-999</v>
      </c>
      <c r="CE2514" s="16" t="e">
        <f t="shared" si="612"/>
        <v>#N/A</v>
      </c>
      <c r="CF2514" s="16">
        <f t="shared" si="613"/>
        <v>99</v>
      </c>
      <c r="CG2514" s="16">
        <f t="shared" si="614"/>
        <v>0</v>
      </c>
      <c r="CH2514" s="16">
        <f t="shared" si="621"/>
        <v>0</v>
      </c>
      <c r="CJ2514" s="16" t="e">
        <f t="shared" si="615"/>
        <v>#N/A</v>
      </c>
      <c r="CK2514" s="16" t="str">
        <f t="shared" si="616"/>
        <v/>
      </c>
    </row>
    <row r="2515" spans="73:89" ht="12" customHeight="1">
      <c r="BU2515" s="16">
        <f t="shared" si="617"/>
        <v>0</v>
      </c>
      <c r="BV2515" s="16">
        <f>IF($BY$12=1,NORMDIST(BY2515,$Y$6,$Y$8,TRUE),IF($BY$12=2,IF(BY2515&lt;=$BX$31,0,IF(BY2515&gt;=$BX$32,1,(BY2515-$BX$31)*$BX$33)),SUM($BU$42:BU2515)/$BV$40))</f>
        <v>1</v>
      </c>
      <c r="BW2515" s="16">
        <f t="shared" si="619"/>
        <v>3.6368059881136097E-21</v>
      </c>
      <c r="BY2515" s="16">
        <f t="shared" si="620"/>
        <v>247.29999999999023</v>
      </c>
      <c r="BZ2515" s="16">
        <f t="shared" si="611"/>
        <v>1.4706049284730098E-23</v>
      </c>
      <c r="CA2515" s="16">
        <f t="shared" si="618"/>
        <v>-999</v>
      </c>
      <c r="CE2515" s="16" t="e">
        <f t="shared" si="612"/>
        <v>#N/A</v>
      </c>
      <c r="CF2515" s="16">
        <f t="shared" si="613"/>
        <v>99</v>
      </c>
      <c r="CG2515" s="16">
        <f t="shared" si="614"/>
        <v>0</v>
      </c>
      <c r="CH2515" s="16">
        <f t="shared" si="621"/>
        <v>0</v>
      </c>
      <c r="CJ2515" s="16" t="e">
        <f t="shared" si="615"/>
        <v>#N/A</v>
      </c>
      <c r="CK2515" s="16" t="str">
        <f t="shared" si="616"/>
        <v/>
      </c>
    </row>
    <row r="2516" spans="73:89" ht="12" customHeight="1">
      <c r="BU2516" s="16">
        <f t="shared" si="617"/>
        <v>0</v>
      </c>
      <c r="BV2516" s="16">
        <f>IF($BY$12=1,NORMDIST(BY2516,$Y$6,$Y$8,TRUE),IF($BY$12=2,IF(BY2516&lt;=$BX$31,0,IF(BY2516&gt;=$BX$32,1,(BY2516-$BX$31)*$BX$33)),SUM($BU$42:BU2516)/$BV$40))</f>
        <v>1</v>
      </c>
      <c r="BW2516" s="16">
        <f t="shared" si="619"/>
        <v>3.4631293131170329E-21</v>
      </c>
      <c r="BY2516" s="16">
        <f t="shared" si="620"/>
        <v>247.39999999999023</v>
      </c>
      <c r="BZ2516" s="16">
        <f t="shared" si="611"/>
        <v>1.3998097466116289E-23</v>
      </c>
      <c r="CA2516" s="16">
        <f t="shared" si="618"/>
        <v>-999</v>
      </c>
      <c r="CE2516" s="16" t="e">
        <f t="shared" si="612"/>
        <v>#N/A</v>
      </c>
      <c r="CF2516" s="16">
        <f t="shared" si="613"/>
        <v>99</v>
      </c>
      <c r="CG2516" s="16">
        <f t="shared" si="614"/>
        <v>0</v>
      </c>
      <c r="CH2516" s="16">
        <f t="shared" si="621"/>
        <v>0</v>
      </c>
      <c r="CJ2516" s="16" t="e">
        <f t="shared" si="615"/>
        <v>#N/A</v>
      </c>
      <c r="CK2516" s="16" t="str">
        <f t="shared" si="616"/>
        <v/>
      </c>
    </row>
    <row r="2517" spans="73:89" ht="12" customHeight="1">
      <c r="BU2517" s="16">
        <f t="shared" si="617"/>
        <v>0</v>
      </c>
      <c r="BV2517" s="16">
        <f>IF($BY$12=1,NORMDIST(BY2517,$Y$6,$Y$8,TRUE),IF($BY$12=2,IF(BY2517&lt;=$BX$31,0,IF(BY2517&gt;=$BX$32,1,(BY2517-$BX$31)*$BX$33)),SUM($BU$42:BU2517)/$BV$40))</f>
        <v>1</v>
      </c>
      <c r="BW2517" s="16">
        <f t="shared" si="619"/>
        <v>3.2976636343212896E-21</v>
      </c>
      <c r="BY2517" s="16">
        <f t="shared" si="620"/>
        <v>247.49999999999022</v>
      </c>
      <c r="BZ2517" s="16">
        <f t="shared" si="611"/>
        <v>1.3323893472005737E-23</v>
      </c>
      <c r="CA2517" s="16">
        <f t="shared" si="618"/>
        <v>-999</v>
      </c>
      <c r="CE2517" s="16" t="e">
        <f t="shared" si="612"/>
        <v>#N/A</v>
      </c>
      <c r="CF2517" s="16">
        <f t="shared" si="613"/>
        <v>99</v>
      </c>
      <c r="CG2517" s="16">
        <f t="shared" si="614"/>
        <v>0</v>
      </c>
      <c r="CH2517" s="16">
        <f t="shared" si="621"/>
        <v>0</v>
      </c>
      <c r="CJ2517" s="16" t="e">
        <f t="shared" si="615"/>
        <v>#N/A</v>
      </c>
      <c r="CK2517" s="16" t="str">
        <f t="shared" si="616"/>
        <v/>
      </c>
    </row>
    <row r="2518" spans="73:89" ht="12" customHeight="1">
      <c r="BU2518" s="16">
        <f t="shared" si="617"/>
        <v>0</v>
      </c>
      <c r="BV2518" s="16">
        <f>IF($BY$12=1,NORMDIST(BY2518,$Y$6,$Y$8,TRUE),IF($BY$12=2,IF(BY2518&lt;=$BX$31,0,IF(BY2518&gt;=$BX$32,1,(BY2518-$BX$31)*$BX$33)),SUM($BU$42:BU2518)/$BV$40))</f>
        <v>1</v>
      </c>
      <c r="BW2518" s="16">
        <f t="shared" si="619"/>
        <v>3.1400247653133707E-21</v>
      </c>
      <c r="BY2518" s="16">
        <f t="shared" si="620"/>
        <v>247.59999999999022</v>
      </c>
      <c r="BZ2518" s="16">
        <f t="shared" si="611"/>
        <v>1.2681844771056117E-23</v>
      </c>
      <c r="CA2518" s="16">
        <f t="shared" si="618"/>
        <v>-999</v>
      </c>
      <c r="CE2518" s="16" t="e">
        <f t="shared" si="612"/>
        <v>#N/A</v>
      </c>
      <c r="CF2518" s="16">
        <f t="shared" si="613"/>
        <v>99</v>
      </c>
      <c r="CG2518" s="16">
        <f t="shared" si="614"/>
        <v>0</v>
      </c>
      <c r="CH2518" s="16">
        <f t="shared" si="621"/>
        <v>0</v>
      </c>
      <c r="CJ2518" s="16" t="e">
        <f t="shared" si="615"/>
        <v>#N/A</v>
      </c>
      <c r="CK2518" s="16" t="str">
        <f t="shared" si="616"/>
        <v/>
      </c>
    </row>
    <row r="2519" spans="73:89" ht="12" customHeight="1">
      <c r="BU2519" s="16">
        <f t="shared" si="617"/>
        <v>0</v>
      </c>
      <c r="BV2519" s="16">
        <f>IF($BY$12=1,NORMDIST(BY2519,$Y$6,$Y$8,TRUE),IF($BY$12=2,IF(BY2519&lt;=$BX$31,0,IF(BY2519&gt;=$BX$32,1,(BY2519-$BX$31)*$BX$33)),SUM($BU$42:BU2519)/$BV$40))</f>
        <v>1</v>
      </c>
      <c r="BW2519" s="16">
        <f t="shared" si="619"/>
        <v>2.9898463036396884E-21</v>
      </c>
      <c r="BY2519" s="16">
        <f t="shared" si="620"/>
        <v>247.69999999999021</v>
      </c>
      <c r="BZ2519" s="16">
        <f t="shared" si="611"/>
        <v>1.2070433199999219E-23</v>
      </c>
      <c r="CA2519" s="16">
        <f t="shared" si="618"/>
        <v>-999</v>
      </c>
      <c r="CE2519" s="16" t="e">
        <f t="shared" si="612"/>
        <v>#N/A</v>
      </c>
      <c r="CF2519" s="16">
        <f t="shared" si="613"/>
        <v>99</v>
      </c>
      <c r="CG2519" s="16">
        <f t="shared" si="614"/>
        <v>0</v>
      </c>
      <c r="CH2519" s="16">
        <f t="shared" si="621"/>
        <v>0</v>
      </c>
      <c r="CJ2519" s="16" t="e">
        <f t="shared" si="615"/>
        <v>#N/A</v>
      </c>
      <c r="CK2519" s="16" t="str">
        <f t="shared" si="616"/>
        <v/>
      </c>
    </row>
    <row r="2520" spans="73:89" ht="12" customHeight="1">
      <c r="BU2520" s="16">
        <f t="shared" si="617"/>
        <v>0</v>
      </c>
      <c r="BV2520" s="16">
        <f>IF($BY$12=1,NORMDIST(BY2520,$Y$6,$Y$8,TRUE),IF($BY$12=2,IF(BY2520&lt;=$BX$31,0,IF(BY2520&gt;=$BX$32,1,(BY2520-$BX$31)*$BX$33)),SUM($BU$42:BU2520)/$BV$40))</f>
        <v>1</v>
      </c>
      <c r="BW2520" s="16">
        <f t="shared" si="619"/>
        <v>2.8467788166789382E-21</v>
      </c>
      <c r="BY2520" s="16">
        <f t="shared" si="620"/>
        <v>247.79999999999021</v>
      </c>
      <c r="BZ2520" s="16">
        <f t="shared" si="611"/>
        <v>1.1488211528164047E-23</v>
      </c>
      <c r="CA2520" s="16">
        <f t="shared" si="618"/>
        <v>-999</v>
      </c>
      <c r="CE2520" s="16" t="e">
        <f t="shared" si="612"/>
        <v>#N/A</v>
      </c>
      <c r="CF2520" s="16">
        <f t="shared" si="613"/>
        <v>99</v>
      </c>
      <c r="CG2520" s="16">
        <f t="shared" si="614"/>
        <v>0</v>
      </c>
      <c r="CH2520" s="16">
        <f t="shared" si="621"/>
        <v>0</v>
      </c>
      <c r="CJ2520" s="16" t="e">
        <f t="shared" si="615"/>
        <v>#N/A</v>
      </c>
      <c r="CK2520" s="16" t="str">
        <f t="shared" si="616"/>
        <v/>
      </c>
    </row>
    <row r="2521" spans="73:89" ht="12" customHeight="1">
      <c r="BU2521" s="16">
        <f t="shared" si="617"/>
        <v>0</v>
      </c>
      <c r="BV2521" s="16">
        <f>IF($BY$12=1,NORMDIST(BY2521,$Y$6,$Y$8,TRUE),IF($BY$12=2,IF(BY2521&lt;=$BX$31,0,IF(BY2521&gt;=$BX$32,1,(BY2521-$BX$31)*$BX$33)),SUM($BU$42:BU2521)/$BV$40))</f>
        <v>1</v>
      </c>
      <c r="BW2521" s="16">
        <f t="shared" si="619"/>
        <v>2.7104890643580236E-21</v>
      </c>
      <c r="BY2521" s="16">
        <f t="shared" si="620"/>
        <v>247.8999999999902</v>
      </c>
      <c r="BZ2521" s="16">
        <f t="shared" si="611"/>
        <v>1.0933800178935581E-23</v>
      </c>
      <c r="CA2521" s="16">
        <f t="shared" si="618"/>
        <v>-999</v>
      </c>
      <c r="CE2521" s="16" t="e">
        <f t="shared" si="612"/>
        <v>#N/A</v>
      </c>
      <c r="CF2521" s="16">
        <f t="shared" si="613"/>
        <v>99</v>
      </c>
      <c r="CG2521" s="16">
        <f t="shared" si="614"/>
        <v>0</v>
      </c>
      <c r="CH2521" s="16">
        <f t="shared" si="621"/>
        <v>0</v>
      </c>
      <c r="CJ2521" s="16" t="e">
        <f t="shared" si="615"/>
        <v>#N/A</v>
      </c>
      <c r="CK2521" s="16" t="str">
        <f t="shared" si="616"/>
        <v/>
      </c>
    </row>
    <row r="2522" spans="73:89" ht="12" customHeight="1">
      <c r="BU2522" s="16">
        <f t="shared" si="617"/>
        <v>0</v>
      </c>
      <c r="BV2522" s="16">
        <f>IF($BY$12=1,NORMDIST(BY2522,$Y$6,$Y$8,TRUE),IF($BY$12=2,IF(BY2522&lt;=$BX$31,0,IF(BY2522&gt;=$BX$32,1,(BY2522-$BX$31)*$BX$33)),SUM($BU$42:BU2522)/$BV$40))</f>
        <v>1</v>
      </c>
      <c r="BW2522" s="16">
        <f t="shared" si="619"/>
        <v>2.5806592570639423E-21</v>
      </c>
      <c r="BY2522" s="16">
        <f t="shared" si="620"/>
        <v>247.99999999999019</v>
      </c>
      <c r="BZ2522" s="16">
        <f t="shared" si="611"/>
        <v>1.0405884101064695E-23</v>
      </c>
      <c r="CA2522" s="16">
        <f t="shared" si="618"/>
        <v>-999</v>
      </c>
      <c r="CE2522" s="16" t="e">
        <f t="shared" si="612"/>
        <v>#N/A</v>
      </c>
      <c r="CF2522" s="16">
        <f t="shared" si="613"/>
        <v>99</v>
      </c>
      <c r="CG2522" s="16">
        <f t="shared" si="614"/>
        <v>0</v>
      </c>
      <c r="CH2522" s="16">
        <f t="shared" si="621"/>
        <v>0</v>
      </c>
      <c r="CJ2522" s="16" t="e">
        <f t="shared" si="615"/>
        <v>#N/A</v>
      </c>
      <c r="CK2522" s="16" t="str">
        <f t="shared" si="616"/>
        <v/>
      </c>
    </row>
    <row r="2523" spans="73:89" ht="12" customHeight="1">
      <c r="BU2523" s="16">
        <f t="shared" si="617"/>
        <v>0</v>
      </c>
      <c r="BV2523" s="16">
        <f>IF($BY$12=1,NORMDIST(BY2523,$Y$6,$Y$8,TRUE),IF($BY$12=2,IF(BY2523&lt;=$BX$31,0,IF(BY2523&gt;=$BX$32,1,(BY2523-$BX$31)*$BX$33)),SUM($BU$42:BU2523)/$BV$40))</f>
        <v>1</v>
      </c>
      <c r="BW2523" s="16">
        <f t="shared" si="619"/>
        <v>2.4569863471764698E-21</v>
      </c>
      <c r="BY2523" s="16">
        <f t="shared" si="620"/>
        <v>248.09999999999019</v>
      </c>
      <c r="BZ2523" s="16">
        <f t="shared" si="611"/>
        <v>9.9032097830575055E-24</v>
      </c>
      <c r="CA2523" s="16">
        <f t="shared" si="618"/>
        <v>-999</v>
      </c>
      <c r="CE2523" s="16" t="e">
        <f t="shared" si="612"/>
        <v>#N/A</v>
      </c>
      <c r="CF2523" s="16">
        <f t="shared" si="613"/>
        <v>99</v>
      </c>
      <c r="CG2523" s="16">
        <f t="shared" si="614"/>
        <v>0</v>
      </c>
      <c r="CH2523" s="16">
        <f t="shared" si="621"/>
        <v>0</v>
      </c>
      <c r="CJ2523" s="16" t="e">
        <f t="shared" si="615"/>
        <v>#N/A</v>
      </c>
      <c r="CK2523" s="16" t="str">
        <f t="shared" si="616"/>
        <v/>
      </c>
    </row>
    <row r="2524" spans="73:89" ht="12" customHeight="1">
      <c r="BU2524" s="16">
        <f t="shared" si="617"/>
        <v>0</v>
      </c>
      <c r="BV2524" s="16">
        <f>IF($BY$12=1,NORMDIST(BY2524,$Y$6,$Y$8,TRUE),IF($BY$12=2,IF(BY2524&lt;=$BX$31,0,IF(BY2524&gt;=$BX$32,1,(BY2524-$BX$31)*$BX$33)),SUM($BU$42:BU2524)/$BV$40))</f>
        <v>1</v>
      </c>
      <c r="BW2524" s="16">
        <f t="shared" si="619"/>
        <v>2.3391813527165089E-21</v>
      </c>
      <c r="BY2524" s="16">
        <f t="shared" si="620"/>
        <v>248.19999999999018</v>
      </c>
      <c r="BZ2524" s="16">
        <f t="shared" si="611"/>
        <v>9.4245824041764761E-24</v>
      </c>
      <c r="CA2524" s="16">
        <f t="shared" si="618"/>
        <v>-999</v>
      </c>
      <c r="CE2524" s="16" t="e">
        <f t="shared" si="612"/>
        <v>#N/A</v>
      </c>
      <c r="CF2524" s="16">
        <f t="shared" si="613"/>
        <v>99</v>
      </c>
      <c r="CG2524" s="16">
        <f t="shared" si="614"/>
        <v>0</v>
      </c>
      <c r="CH2524" s="16">
        <f t="shared" si="621"/>
        <v>0</v>
      </c>
      <c r="CJ2524" s="16" t="e">
        <f t="shared" si="615"/>
        <v>#N/A</v>
      </c>
      <c r="CK2524" s="16" t="str">
        <f t="shared" si="616"/>
        <v/>
      </c>
    </row>
    <row r="2525" spans="73:89" ht="12" customHeight="1">
      <c r="BU2525" s="16">
        <f t="shared" si="617"/>
        <v>0</v>
      </c>
      <c r="BV2525" s="16">
        <f>IF($BY$12=1,NORMDIST(BY2525,$Y$6,$Y$8,TRUE),IF($BY$12=2,IF(BY2525&lt;=$BX$31,0,IF(BY2525&gt;=$BX$32,1,(BY2525-$BX$31)*$BX$33)),SUM($BU$42:BU2525)/$BV$40))</f>
        <v>1</v>
      </c>
      <c r="BW2525" s="16">
        <f t="shared" si="619"/>
        <v>2.2269687116715428E-21</v>
      </c>
      <c r="BY2525" s="16">
        <f t="shared" si="620"/>
        <v>248.29999999999018</v>
      </c>
      <c r="BZ2525" s="16">
        <f t="shared" si="611"/>
        <v>8.9688631158744705E-24</v>
      </c>
      <c r="CA2525" s="16">
        <f t="shared" si="618"/>
        <v>-999</v>
      </c>
      <c r="CE2525" s="16" t="e">
        <f t="shared" si="612"/>
        <v>#N/A</v>
      </c>
      <c r="CF2525" s="16">
        <f t="shared" si="613"/>
        <v>99</v>
      </c>
      <c r="CG2525" s="16">
        <f t="shared" si="614"/>
        <v>0</v>
      </c>
      <c r="CH2525" s="16">
        <f t="shared" si="621"/>
        <v>0</v>
      </c>
      <c r="CJ2525" s="16" t="e">
        <f t="shared" si="615"/>
        <v>#N/A</v>
      </c>
      <c r="CK2525" s="16" t="str">
        <f t="shared" si="616"/>
        <v/>
      </c>
    </row>
    <row r="2526" spans="73:89" ht="12" customHeight="1">
      <c r="BU2526" s="16">
        <f t="shared" si="617"/>
        <v>0</v>
      </c>
      <c r="BV2526" s="16">
        <f>IF($BY$12=1,NORMDIST(BY2526,$Y$6,$Y$8,TRUE),IF($BY$12=2,IF(BY2526&lt;=$BX$31,0,IF(BY2526&gt;=$BX$32,1,(BY2526-$BX$31)*$BX$33)),SUM($BU$42:BU2526)/$BV$40))</f>
        <v>1</v>
      </c>
      <c r="BW2526" s="16">
        <f t="shared" si="619"/>
        <v>2.1200856656234144E-21</v>
      </c>
      <c r="BY2526" s="16">
        <f t="shared" si="620"/>
        <v>248.39999999999017</v>
      </c>
      <c r="BZ2526" s="16">
        <f t="shared" si="611"/>
        <v>8.5349664477596544E-24</v>
      </c>
      <c r="CA2526" s="16">
        <f t="shared" si="618"/>
        <v>-999</v>
      </c>
      <c r="CE2526" s="16" t="e">
        <f t="shared" si="612"/>
        <v>#N/A</v>
      </c>
      <c r="CF2526" s="16">
        <f t="shared" si="613"/>
        <v>99</v>
      </c>
      <c r="CG2526" s="16">
        <f t="shared" si="614"/>
        <v>0</v>
      </c>
      <c r="CH2526" s="16">
        <f t="shared" si="621"/>
        <v>0</v>
      </c>
      <c r="CJ2526" s="16" t="e">
        <f t="shared" si="615"/>
        <v>#N/A</v>
      </c>
      <c r="CK2526" s="16" t="str">
        <f t="shared" si="616"/>
        <v/>
      </c>
    </row>
    <row r="2527" spans="73:89" ht="12" customHeight="1">
      <c r="BU2527" s="16">
        <f t="shared" si="617"/>
        <v>0</v>
      </c>
      <c r="BV2527" s="16">
        <f>IF($BY$12=1,NORMDIST(BY2527,$Y$6,$Y$8,TRUE),IF($BY$12=2,IF(BY2527&lt;=$BX$31,0,IF(BY2527&gt;=$BX$32,1,(BY2527-$BX$31)*$BX$33)),SUM($BU$42:BU2527)/$BV$40))</f>
        <v>1</v>
      </c>
      <c r="BW2527" s="16">
        <f t="shared" si="619"/>
        <v>2.0182816713638281E-21</v>
      </c>
      <c r="BY2527" s="16">
        <f t="shared" si="620"/>
        <v>248.49999999999017</v>
      </c>
      <c r="BZ2527" s="16">
        <f t="shared" si="611"/>
        <v>8.121857832450334E-24</v>
      </c>
      <c r="CA2527" s="16">
        <f t="shared" si="618"/>
        <v>-999</v>
      </c>
      <c r="CE2527" s="16" t="e">
        <f t="shared" si="612"/>
        <v>#N/A</v>
      </c>
      <c r="CF2527" s="16">
        <f t="shared" si="613"/>
        <v>99</v>
      </c>
      <c r="CG2527" s="16">
        <f t="shared" si="614"/>
        <v>0</v>
      </c>
      <c r="CH2527" s="16">
        <f t="shared" si="621"/>
        <v>0</v>
      </c>
      <c r="CJ2527" s="16" t="e">
        <f t="shared" si="615"/>
        <v>#N/A</v>
      </c>
      <c r="CK2527" s="16" t="str">
        <f t="shared" si="616"/>
        <v/>
      </c>
    </row>
    <row r="2528" spans="73:89" ht="12" customHeight="1">
      <c r="BU2528" s="16">
        <f t="shared" si="617"/>
        <v>0</v>
      </c>
      <c r="BV2528" s="16">
        <f>IF($BY$12=1,NORMDIST(BY2528,$Y$6,$Y$8,TRUE),IF($BY$12=2,IF(BY2528&lt;=$BX$31,0,IF(BY2528&gt;=$BX$32,1,(BY2528-$BX$31)*$BX$33)),SUM($BU$42:BU2528)/$BV$40))</f>
        <v>1</v>
      </c>
      <c r="BW2528" s="16">
        <f t="shared" si="619"/>
        <v>1.9213178392423368E-21</v>
      </c>
      <c r="BY2528" s="16">
        <f t="shared" si="620"/>
        <v>248.59999999999016</v>
      </c>
      <c r="BZ2528" s="16">
        <f t="shared" si="611"/>
        <v>7.7285512439356904E-24</v>
      </c>
      <c r="CA2528" s="16">
        <f t="shared" si="618"/>
        <v>-999</v>
      </c>
      <c r="CE2528" s="16" t="e">
        <f t="shared" si="612"/>
        <v>#N/A</v>
      </c>
      <c r="CF2528" s="16">
        <f t="shared" si="613"/>
        <v>99</v>
      </c>
      <c r="CG2528" s="16">
        <f t="shared" si="614"/>
        <v>0</v>
      </c>
      <c r="CH2528" s="16">
        <f t="shared" si="621"/>
        <v>0</v>
      </c>
      <c r="CJ2528" s="16" t="e">
        <f t="shared" si="615"/>
        <v>#N/A</v>
      </c>
      <c r="CK2528" s="16" t="str">
        <f t="shared" si="616"/>
        <v/>
      </c>
    </row>
    <row r="2529" spans="73:89" ht="12" customHeight="1">
      <c r="BU2529" s="16">
        <f t="shared" si="617"/>
        <v>0</v>
      </c>
      <c r="BV2529" s="16">
        <f>IF($BY$12=1,NORMDIST(BY2529,$Y$6,$Y$8,TRUE),IF($BY$12=2,IF(BY2529&lt;=$BX$31,0,IF(BY2529&gt;=$BX$32,1,(BY2529-$BX$31)*$BX$33)),SUM($BU$42:BU2529)/$BV$40))</f>
        <v>1</v>
      </c>
      <c r="BW2529" s="16">
        <f t="shared" si="619"/>
        <v>1.8289663970460175E-21</v>
      </c>
      <c r="BY2529" s="16">
        <f t="shared" si="620"/>
        <v>248.69999999999015</v>
      </c>
      <c r="BZ2529" s="16">
        <f t="shared" si="611"/>
        <v>7.3541069442946922E-24</v>
      </c>
      <c r="CA2529" s="16">
        <f t="shared" si="618"/>
        <v>-999</v>
      </c>
      <c r="CE2529" s="16" t="e">
        <f t="shared" si="612"/>
        <v>#N/A</v>
      </c>
      <c r="CF2529" s="16">
        <f t="shared" si="613"/>
        <v>99</v>
      </c>
      <c r="CG2529" s="16">
        <f t="shared" si="614"/>
        <v>0</v>
      </c>
      <c r="CH2529" s="16">
        <f t="shared" si="621"/>
        <v>0</v>
      </c>
      <c r="CJ2529" s="16" t="e">
        <f t="shared" si="615"/>
        <v>#N/A</v>
      </c>
      <c r="CK2529" s="16" t="str">
        <f t="shared" si="616"/>
        <v/>
      </c>
    </row>
    <row r="2530" spans="73:89" ht="12" customHeight="1">
      <c r="BU2530" s="16">
        <f t="shared" si="617"/>
        <v>0</v>
      </c>
      <c r="BV2530" s="16">
        <f>IF($BY$12=1,NORMDIST(BY2530,$Y$6,$Y$8,TRUE),IF($BY$12=2,IF(BY2530&lt;=$BX$31,0,IF(BY2530&gt;=$BX$32,1,(BY2530-$BX$31)*$BX$33)),SUM($BU$42:BU2530)/$BV$40))</f>
        <v>1</v>
      </c>
      <c r="BW2530" s="16">
        <f t="shared" si="619"/>
        <v>1.7410101782641781E-21</v>
      </c>
      <c r="BY2530" s="16">
        <f t="shared" si="620"/>
        <v>248.79999999999015</v>
      </c>
      <c r="BZ2530" s="16">
        <f t="shared" si="611"/>
        <v>6.997629333859513E-24</v>
      </c>
      <c r="CA2530" s="16">
        <f t="shared" si="618"/>
        <v>-999</v>
      </c>
      <c r="CE2530" s="16" t="e">
        <f t="shared" si="612"/>
        <v>#N/A</v>
      </c>
      <c r="CF2530" s="16">
        <f t="shared" si="613"/>
        <v>99</v>
      </c>
      <c r="CG2530" s="16">
        <f t="shared" si="614"/>
        <v>0</v>
      </c>
      <c r="CH2530" s="16">
        <f t="shared" si="621"/>
        <v>0</v>
      </c>
      <c r="CJ2530" s="16" t="e">
        <f t="shared" si="615"/>
        <v>#N/A</v>
      </c>
      <c r="CK2530" s="16" t="str">
        <f t="shared" si="616"/>
        <v/>
      </c>
    </row>
    <row r="2531" spans="73:89" ht="12" customHeight="1">
      <c r="BU2531" s="16">
        <f t="shared" si="617"/>
        <v>0</v>
      </c>
      <c r="BV2531" s="16">
        <f>IF($BY$12=1,NORMDIST(BY2531,$Y$6,$Y$8,TRUE),IF($BY$12=2,IF(BY2531&lt;=$BX$31,0,IF(BY2531&gt;=$BX$32,1,(BY2531-$BX$31)*$BX$33)),SUM($BU$42:BU2531)/$BV$40))</f>
        <v>1</v>
      </c>
      <c r="BW2531" s="16">
        <f t="shared" si="619"/>
        <v>1.6572421336418086E-21</v>
      </c>
      <c r="BY2531" s="16">
        <f t="shared" si="620"/>
        <v>248.89999999999014</v>
      </c>
      <c r="BZ2531" s="16">
        <f t="shared" si="611"/>
        <v>6.6582649001280609E-24</v>
      </c>
      <c r="CA2531" s="16">
        <f t="shared" si="618"/>
        <v>-999</v>
      </c>
      <c r="CE2531" s="16" t="e">
        <f t="shared" si="612"/>
        <v>#N/A</v>
      </c>
      <c r="CF2531" s="16">
        <f t="shared" si="613"/>
        <v>99</v>
      </c>
      <c r="CG2531" s="16">
        <f t="shared" si="614"/>
        <v>0</v>
      </c>
      <c r="CH2531" s="16">
        <f t="shared" si="621"/>
        <v>0</v>
      </c>
      <c r="CJ2531" s="16" t="e">
        <f t="shared" si="615"/>
        <v>#N/A</v>
      </c>
      <c r="CK2531" s="16" t="str">
        <f t="shared" si="616"/>
        <v/>
      </c>
    </row>
    <row r="2532" spans="73:89" ht="12" customHeight="1">
      <c r="BU2532" s="16">
        <f t="shared" si="617"/>
        <v>0</v>
      </c>
      <c r="BV2532" s="16">
        <f>IF($BY$12=1,NORMDIST(BY2532,$Y$6,$Y$8,TRUE),IF($BY$12=2,IF(BY2532&lt;=$BX$31,0,IF(BY2532&gt;=$BX$32,1,(BY2532-$BX$31)*$BX$33)),SUM($BU$42:BU2532)/$BV$40))</f>
        <v>1</v>
      </c>
      <c r="BW2532" s="16">
        <f t="shared" si="619"/>
        <v>1.5774648649745637E-21</v>
      </c>
      <c r="BY2532" s="16">
        <f t="shared" si="620"/>
        <v>248.99999999999014</v>
      </c>
      <c r="BZ2532" s="16">
        <f t="shared" si="611"/>
        <v>6.3352002609422741E-24</v>
      </c>
      <c r="CA2532" s="16">
        <f t="shared" si="618"/>
        <v>-999</v>
      </c>
      <c r="CE2532" s="16" t="e">
        <f t="shared" si="612"/>
        <v>#N/A</v>
      </c>
      <c r="CF2532" s="16">
        <f t="shared" si="613"/>
        <v>99</v>
      </c>
      <c r="CG2532" s="16">
        <f t="shared" si="614"/>
        <v>0</v>
      </c>
      <c r="CH2532" s="16">
        <f t="shared" si="621"/>
        <v>0</v>
      </c>
      <c r="CJ2532" s="16" t="e">
        <f t="shared" si="615"/>
        <v>#N/A</v>
      </c>
      <c r="CK2532" s="16" t="str">
        <f t="shared" si="616"/>
        <v/>
      </c>
    </row>
    <row r="2533" spans="73:89" ht="12" customHeight="1">
      <c r="BU2533" s="16">
        <f t="shared" si="617"/>
        <v>0</v>
      </c>
      <c r="BV2533" s="16">
        <f>IF($BY$12=1,NORMDIST(BY2533,$Y$6,$Y$8,TRUE),IF($BY$12=2,IF(BY2533&lt;=$BX$31,0,IF(BY2533&gt;=$BX$32,1,(BY2533-$BX$31)*$BX$33)),SUM($BU$42:BU2533)/$BV$40))</f>
        <v>1</v>
      </c>
      <c r="BW2533" s="16">
        <f t="shared" si="619"/>
        <v>1.501490180144114E-21</v>
      </c>
      <c r="BY2533" s="16">
        <f t="shared" si="620"/>
        <v>249.09999999999013</v>
      </c>
      <c r="BZ2533" s="16">
        <f t="shared" si="611"/>
        <v>6.0276602976482281E-24</v>
      </c>
      <c r="CA2533" s="16">
        <f t="shared" si="618"/>
        <v>-999</v>
      </c>
      <c r="CE2533" s="16" t="e">
        <f t="shared" si="612"/>
        <v>#N/A</v>
      </c>
      <c r="CF2533" s="16">
        <f t="shared" si="613"/>
        <v>99</v>
      </c>
      <c r="CG2533" s="16">
        <f t="shared" si="614"/>
        <v>0</v>
      </c>
      <c r="CH2533" s="16">
        <f t="shared" si="621"/>
        <v>0</v>
      </c>
      <c r="CJ2533" s="16" t="e">
        <f t="shared" si="615"/>
        <v>#N/A</v>
      </c>
      <c r="CK2533" s="16" t="str">
        <f t="shared" si="616"/>
        <v/>
      </c>
    </row>
    <row r="2534" spans="73:89" ht="12" customHeight="1">
      <c r="BU2534" s="16">
        <f t="shared" si="617"/>
        <v>0</v>
      </c>
      <c r="BV2534" s="16">
        <f>IF($BY$12=1,NORMDIST(BY2534,$Y$6,$Y$8,TRUE),IF($BY$12=2,IF(BY2534&lt;=$BX$31,0,IF(BY2534&gt;=$BX$32,1,(BY2534-$BX$31)*$BX$33)),SUM($BU$42:BU2534)/$BV$40))</f>
        <v>1</v>
      </c>
      <c r="BW2534" s="16">
        <f t="shared" si="619"/>
        <v>1.4291386684376369E-21</v>
      </c>
      <c r="BY2534" s="16">
        <f t="shared" si="620"/>
        <v>249.19999999999013</v>
      </c>
      <c r="BZ2534" s="16">
        <f t="shared" si="611"/>
        <v>5.7349063741480476E-24</v>
      </c>
      <c r="CA2534" s="16">
        <f t="shared" si="618"/>
        <v>-999</v>
      </c>
      <c r="CE2534" s="16" t="e">
        <f t="shared" si="612"/>
        <v>#N/A</v>
      </c>
      <c r="CF2534" s="16">
        <f t="shared" si="613"/>
        <v>99</v>
      </c>
      <c r="CG2534" s="16">
        <f t="shared" si="614"/>
        <v>0</v>
      </c>
      <c r="CH2534" s="16">
        <f t="shared" si="621"/>
        <v>0</v>
      </c>
      <c r="CJ2534" s="16" t="e">
        <f t="shared" si="615"/>
        <v>#N/A</v>
      </c>
      <c r="CK2534" s="16" t="str">
        <f t="shared" si="616"/>
        <v/>
      </c>
    </row>
    <row r="2535" spans="73:89" ht="12" customHeight="1">
      <c r="BU2535" s="16">
        <f t="shared" si="617"/>
        <v>0</v>
      </c>
      <c r="BV2535" s="16">
        <f>IF($BY$12=1,NORMDIST(BY2535,$Y$6,$Y$8,TRUE),IF($BY$12=2,IF(BY2535&lt;=$BX$31,0,IF(BY2535&gt;=$BX$32,1,(BY2535-$BX$31)*$BX$33)),SUM($BU$42:BU2535)/$BV$40))</f>
        <v>1</v>
      </c>
      <c r="BW2535" s="16">
        <f t="shared" si="619"/>
        <v>1.3602392952375278E-21</v>
      </c>
      <c r="BY2535" s="16">
        <f t="shared" si="620"/>
        <v>249.29999999999012</v>
      </c>
      <c r="BZ2535" s="16">
        <f t="shared" si="611"/>
        <v>5.4562346379365487E-24</v>
      </c>
      <c r="CA2535" s="16">
        <f t="shared" si="618"/>
        <v>-999</v>
      </c>
      <c r="CE2535" s="16" t="e">
        <f t="shared" si="612"/>
        <v>#N/A</v>
      </c>
      <c r="CF2535" s="16">
        <f t="shared" si="613"/>
        <v>99</v>
      </c>
      <c r="CG2535" s="16">
        <f t="shared" si="614"/>
        <v>0</v>
      </c>
      <c r="CH2535" s="16">
        <f t="shared" si="621"/>
        <v>0</v>
      </c>
      <c r="CJ2535" s="16" t="e">
        <f t="shared" si="615"/>
        <v>#N/A</v>
      </c>
      <c r="CK2535" s="16" t="str">
        <f t="shared" si="616"/>
        <v/>
      </c>
    </row>
    <row r="2536" spans="73:89" ht="12" customHeight="1">
      <c r="BU2536" s="16">
        <f t="shared" si="617"/>
        <v>0</v>
      </c>
      <c r="BV2536" s="16">
        <f>IF($BY$12=1,NORMDIST(BY2536,$Y$6,$Y$8,TRUE),IF($BY$12=2,IF(BY2536&lt;=$BX$31,0,IF(BY2536&gt;=$BX$32,1,(BY2536-$BX$31)*$BX$33)),SUM($BU$42:BU2536)/$BV$40))</f>
        <v>1</v>
      </c>
      <c r="BW2536" s="16">
        <f t="shared" si="619"/>
        <v>1.2946290152082632E-21</v>
      </c>
      <c r="BY2536" s="16">
        <f t="shared" si="620"/>
        <v>249.39999999999011</v>
      </c>
      <c r="BZ2536" s="16">
        <f t="shared" si="611"/>
        <v>5.1909743993917981E-24</v>
      </c>
      <c r="CA2536" s="16">
        <f t="shared" si="618"/>
        <v>-999</v>
      </c>
      <c r="CE2536" s="16" t="e">
        <f t="shared" si="612"/>
        <v>#N/A</v>
      </c>
      <c r="CF2536" s="16">
        <f t="shared" si="613"/>
        <v>99</v>
      </c>
      <c r="CG2536" s="16">
        <f t="shared" si="614"/>
        <v>0</v>
      </c>
      <c r="CH2536" s="16">
        <f t="shared" si="621"/>
        <v>0</v>
      </c>
      <c r="CJ2536" s="16" t="e">
        <f t="shared" si="615"/>
        <v>#N/A</v>
      </c>
      <c r="CK2536" s="16" t="str">
        <f t="shared" si="616"/>
        <v/>
      </c>
    </row>
    <row r="2537" spans="73:89" ht="12" customHeight="1">
      <c r="BU2537" s="16">
        <f t="shared" si="617"/>
        <v>0</v>
      </c>
      <c r="BV2537" s="16">
        <f>IF($BY$12=1,NORMDIST(BY2537,$Y$6,$Y$8,TRUE),IF($BY$12=2,IF(BY2537&lt;=$BX$31,0,IF(BY2537&gt;=$BX$32,1,(BY2537-$BX$31)*$BX$33)),SUM($BU$42:BU2537)/$BV$40))</f>
        <v>1</v>
      </c>
      <c r="BW2537" s="16">
        <f t="shared" si="619"/>
        <v>1.2321524031458159E-21</v>
      </c>
      <c r="BY2537" s="16">
        <f t="shared" si="620"/>
        <v>249.49999999999011</v>
      </c>
      <c r="BZ2537" s="16">
        <f t="shared" si="611"/>
        <v>4.938486585754969E-24</v>
      </c>
      <c r="CA2537" s="16">
        <f t="shared" si="618"/>
        <v>-999</v>
      </c>
      <c r="CE2537" s="16" t="e">
        <f t="shared" si="612"/>
        <v>#N/A</v>
      </c>
      <c r="CF2537" s="16">
        <f t="shared" si="613"/>
        <v>99</v>
      </c>
      <c r="CG2537" s="16">
        <f t="shared" si="614"/>
        <v>0</v>
      </c>
      <c r="CH2537" s="16">
        <f t="shared" si="621"/>
        <v>0</v>
      </c>
      <c r="CJ2537" s="16" t="e">
        <f t="shared" si="615"/>
        <v>#N/A</v>
      </c>
      <c r="CK2537" s="16" t="str">
        <f t="shared" si="616"/>
        <v/>
      </c>
    </row>
    <row r="2538" spans="73:89" ht="12" customHeight="1">
      <c r="BU2538" s="16">
        <f t="shared" si="617"/>
        <v>0</v>
      </c>
      <c r="BV2538" s="16">
        <f>IF($BY$12=1,NORMDIST(BY2538,$Y$6,$Y$8,TRUE),IF($BY$12=2,IF(BY2538&lt;=$BX$31,0,IF(BY2538&gt;=$BX$32,1,(BY2538-$BX$31)*$BX$33)),SUM($BU$42:BU2538)/$BV$40))</f>
        <v>1</v>
      </c>
      <c r="BW2538" s="16">
        <f t="shared" si="619"/>
        <v>1.1726613016928283E-21</v>
      </c>
      <c r="BY2538" s="16">
        <f t="shared" si="620"/>
        <v>249.5999999999901</v>
      </c>
      <c r="BZ2538" s="16">
        <f t="shared" ref="BZ2538:BZ2601" si="622">IF($BZ$5,IF($BY$12=1,NORMDIST(BY2538,$Y$6,$Y$8,FALSE),IF($BY$12=2,IF(AND(BY2538&gt;=$BX$31,BY2538&lt;=$BX$32),$BX$33,0),IF(BY2538&lt;=$BX$13,0,NORMDIST(LN((BY2538-$BX$13)/$BX$12),0,$BW$8,FALSE)/((BY2538-$BX$13)/$BX$12)))),-999)</f>
        <v>4.6981622663977353E-24</v>
      </c>
      <c r="CA2538" s="16">
        <f t="shared" si="618"/>
        <v>-999</v>
      </c>
      <c r="CE2538" s="16" t="e">
        <f t="shared" ref="CE2538:CE2601" si="623">IF(AND($CB$7,$CD$2,$CD$1),26+$P$23/2-CC2538*$P$23,NA())</f>
        <v>#N/A</v>
      </c>
      <c r="CF2538" s="16">
        <f t="shared" ref="CF2538:CF2601" si="624">IF(ISNA(CJ2538),99,CJ2538)</f>
        <v>99</v>
      </c>
      <c r="CG2538" s="16">
        <f t="shared" ref="CG2538:CG2601" si="625">IF(ISNA(CJ2538),0,CJ2538)</f>
        <v>0</v>
      </c>
      <c r="CH2538" s="16">
        <f t="shared" si="621"/>
        <v>0</v>
      </c>
      <c r="CJ2538" s="16" t="e">
        <f t="shared" ref="CJ2538:CJ2601" si="626">IF(CH2538=1,CE2538,NA())</f>
        <v>#N/A</v>
      </c>
      <c r="CK2538" s="16" t="str">
        <f t="shared" ref="CK2538:CK2601" si="627">IF(CH2538=1,M2437,"")</f>
        <v/>
      </c>
    </row>
    <row r="2539" spans="73:89" ht="12" customHeight="1">
      <c r="BU2539" s="16">
        <f t="shared" ref="BU2539:BU2602" si="628">IF($BY$12&lt;3,0,IF(BY2539&lt;=$BX$13,0,NORMDIST(LN((BY2539-$BX$13)/$BX$12),0,$BW$8,FALSE)/((BY2539-$BX$13)/$BX$12)))</f>
        <v>0</v>
      </c>
      <c r="BV2539" s="16">
        <f>IF($BY$12=1,NORMDIST(BY2539,$Y$6,$Y$8,TRUE),IF($BY$12=2,IF(BY2539&lt;=$BX$31,0,IF(BY2539&gt;=$BX$32,1,(BY2539-$BX$31)*$BX$33)),SUM($BU$42:BU2539)/$BV$40))</f>
        <v>1</v>
      </c>
      <c r="BW2539" s="16">
        <f t="shared" si="619"/>
        <v>1.1160144851577583E-21</v>
      </c>
      <c r="BY2539" s="16">
        <f t="shared" si="620"/>
        <v>249.6999999999901</v>
      </c>
      <c r="BZ2539" s="16">
        <f t="shared" si="622"/>
        <v>4.4694212461265619E-24</v>
      </c>
      <c r="CA2539" s="16">
        <f t="shared" ref="CA2539:CA2602" si="629">IF(AND($CD$1,$CD$3),26-$CD$40*NORMDIST(BY2539,$Y$6,$Y$8/SQRT($T$18),FALSE),-999)</f>
        <v>-999</v>
      </c>
      <c r="CE2539" s="16" t="e">
        <f t="shared" si="623"/>
        <v>#N/A</v>
      </c>
      <c r="CF2539" s="16">
        <f t="shared" si="624"/>
        <v>99</v>
      </c>
      <c r="CG2539" s="16">
        <f t="shared" si="625"/>
        <v>0</v>
      </c>
      <c r="CH2539" s="16">
        <f t="shared" si="621"/>
        <v>0</v>
      </c>
      <c r="CJ2539" s="16" t="e">
        <f t="shared" si="626"/>
        <v>#N/A</v>
      </c>
      <c r="CK2539" s="16" t="str">
        <f t="shared" si="627"/>
        <v/>
      </c>
    </row>
    <row r="2540" spans="73:89" ht="12" customHeight="1">
      <c r="BU2540" s="16">
        <f t="shared" si="628"/>
        <v>0</v>
      </c>
      <c r="BV2540" s="16">
        <f>IF($BY$12=1,NORMDIST(BY2540,$Y$6,$Y$8,TRUE),IF($BY$12=2,IF(BY2540&lt;=$BX$31,0,IF(BY2540&gt;=$BX$32,1,(BY2540-$BX$31)*$BX$33)),SUM($BU$42:BU2540)/$BV$40))</f>
        <v>1</v>
      </c>
      <c r="BW2540" s="16">
        <f t="shared" si="619"/>
        <v>1.0620773387103996E-21</v>
      </c>
      <c r="BY2540" s="16">
        <f t="shared" si="620"/>
        <v>249.79999999999009</v>
      </c>
      <c r="BZ2540" s="16">
        <f t="shared" si="622"/>
        <v>4.2517107234205035E-24</v>
      </c>
      <c r="CA2540" s="16">
        <f t="shared" si="629"/>
        <v>-999</v>
      </c>
      <c r="CE2540" s="16" t="e">
        <f t="shared" si="623"/>
        <v>#N/A</v>
      </c>
      <c r="CF2540" s="16">
        <f t="shared" si="624"/>
        <v>99</v>
      </c>
      <c r="CG2540" s="16">
        <f t="shared" si="625"/>
        <v>0</v>
      </c>
      <c r="CH2540" s="16">
        <f t="shared" si="621"/>
        <v>0</v>
      </c>
      <c r="CJ2540" s="16" t="e">
        <f t="shared" si="626"/>
        <v>#N/A</v>
      </c>
      <c r="CK2540" s="16" t="str">
        <f t="shared" si="627"/>
        <v/>
      </c>
    </row>
    <row r="2541" spans="73:89" ht="12" customHeight="1">
      <c r="BU2541" s="16">
        <f t="shared" si="628"/>
        <v>0</v>
      </c>
      <c r="BV2541" s="16">
        <f>IF($BY$12=1,NORMDIST(BY2541,$Y$6,$Y$8,TRUE),IF($BY$12=2,IF(BY2541&lt;=$BX$31,0,IF(BY2541&gt;=$BX$32,1,(BY2541-$BX$31)*$BX$33)),SUM($BU$42:BU2541)/$BV$40))</f>
        <v>1</v>
      </c>
      <c r="BW2541" s="16">
        <f t="shared" si="619"/>
        <v>1.0107215522587644E-21</v>
      </c>
      <c r="BY2541" s="16">
        <f t="shared" si="620"/>
        <v>249.89999999999009</v>
      </c>
      <c r="BZ2541" s="16">
        <f t="shared" si="622"/>
        <v>4.0445040106394734E-24</v>
      </c>
      <c r="CA2541" s="16">
        <f t="shared" si="629"/>
        <v>-999</v>
      </c>
      <c r="CE2541" s="16" t="e">
        <f t="shared" si="623"/>
        <v>#N/A</v>
      </c>
      <c r="CF2541" s="16">
        <f t="shared" si="624"/>
        <v>99</v>
      </c>
      <c r="CG2541" s="16">
        <f t="shared" si="625"/>
        <v>0</v>
      </c>
      <c r="CH2541" s="16">
        <f t="shared" si="621"/>
        <v>0</v>
      </c>
      <c r="CJ2541" s="16" t="e">
        <f t="shared" si="626"/>
        <v>#N/A</v>
      </c>
      <c r="CK2541" s="16" t="str">
        <f t="shared" si="627"/>
        <v/>
      </c>
    </row>
    <row r="2542" spans="73:89" ht="12" customHeight="1">
      <c r="BU2542" s="16">
        <f t="shared" si="628"/>
        <v>0</v>
      </c>
      <c r="BV2542" s="16">
        <f>IF($BY$12=1,NORMDIST(BY2542,$Y$6,$Y$8,TRUE),IF($BY$12=2,IF(BY2542&lt;=$BX$31,0,IF(BY2542&gt;=$BX$32,1,(BY2542-$BX$31)*$BX$33)),SUM($BU$42:BU2542)/$BV$40))</f>
        <v>1</v>
      </c>
      <c r="BW2542" s="16">
        <f t="shared" si="619"/>
        <v>9.6182482834303432E-22</v>
      </c>
      <c r="BY2542" s="16">
        <f t="shared" si="620"/>
        <v>249.99999999999008</v>
      </c>
      <c r="BZ2542" s="16">
        <f t="shared" si="622"/>
        <v>3.8472993133722902E-24</v>
      </c>
      <c r="CA2542" s="16">
        <f t="shared" si="629"/>
        <v>-999</v>
      </c>
      <c r="CE2542" s="16" t="e">
        <f t="shared" si="623"/>
        <v>#N/A</v>
      </c>
      <c r="CF2542" s="16">
        <f t="shared" si="624"/>
        <v>99</v>
      </c>
      <c r="CG2542" s="16">
        <f t="shared" si="625"/>
        <v>0</v>
      </c>
      <c r="CH2542" s="16">
        <f t="shared" si="621"/>
        <v>0</v>
      </c>
      <c r="CJ2542" s="16" t="e">
        <f t="shared" si="626"/>
        <v>#N/A</v>
      </c>
      <c r="CK2542" s="16" t="str">
        <f t="shared" si="627"/>
        <v/>
      </c>
    </row>
    <row r="2543" spans="73:89" ht="12" customHeight="1">
      <c r="BU2543" s="16">
        <f t="shared" si="628"/>
        <v>0</v>
      </c>
      <c r="BV2543" s="16">
        <f>IF($BY$12=1,NORMDIST(BY2543,$Y$6,$Y$8,TRUE),IF($BY$12=2,IF(BY2543&lt;=$BX$31,0,IF(BY2543&gt;=$BX$32,1,(BY2543-$BX$31)*$BX$33)),SUM($BU$42:BU2543)/$BV$40))</f>
        <v>1</v>
      </c>
      <c r="BW2543" s="16">
        <f t="shared" si="619"/>
        <v>9.1527060341237383E-22</v>
      </c>
      <c r="BY2543" s="16">
        <f t="shared" si="620"/>
        <v>250.09999999999008</v>
      </c>
      <c r="BZ2543" s="16">
        <f t="shared" si="622"/>
        <v>3.659618566223151E-24</v>
      </c>
      <c r="CA2543" s="16">
        <f t="shared" si="629"/>
        <v>-999</v>
      </c>
      <c r="CE2543" s="16" t="e">
        <f t="shared" si="623"/>
        <v>#N/A</v>
      </c>
      <c r="CF2543" s="16">
        <f t="shared" si="624"/>
        <v>99</v>
      </c>
      <c r="CG2543" s="16">
        <f t="shared" si="625"/>
        <v>0</v>
      </c>
      <c r="CH2543" s="16">
        <f t="shared" si="621"/>
        <v>0</v>
      </c>
      <c r="CJ2543" s="16" t="e">
        <f t="shared" si="626"/>
        <v>#N/A</v>
      </c>
      <c r="CK2543" s="16" t="str">
        <f t="shared" si="627"/>
        <v/>
      </c>
    </row>
    <row r="2544" spans="73:89" ht="12" customHeight="1">
      <c r="BU2544" s="16">
        <f t="shared" si="628"/>
        <v>0</v>
      </c>
      <c r="BV2544" s="16">
        <f>IF($BY$12=1,NORMDIST(BY2544,$Y$6,$Y$8,TRUE),IF($BY$12=2,IF(BY2544&lt;=$BX$31,0,IF(BY2544&gt;=$BX$32,1,(BY2544-$BX$31)*$BX$33)),SUM($BU$42:BU2544)/$BV$40))</f>
        <v>1</v>
      </c>
      <c r="BW2544" s="16">
        <f t="shared" si="619"/>
        <v>8.7094778187842862E-22</v>
      </c>
      <c r="BY2544" s="16">
        <f t="shared" si="620"/>
        <v>250.19999999999007</v>
      </c>
      <c r="BZ2544" s="16">
        <f t="shared" si="622"/>
        <v>3.4810063224558884E-24</v>
      </c>
      <c r="CA2544" s="16">
        <f t="shared" si="629"/>
        <v>-999</v>
      </c>
      <c r="CE2544" s="16" t="e">
        <f t="shared" si="623"/>
        <v>#N/A</v>
      </c>
      <c r="CF2544" s="16">
        <f t="shared" si="624"/>
        <v>99</v>
      </c>
      <c r="CG2544" s="16">
        <f t="shared" si="625"/>
        <v>0</v>
      </c>
      <c r="CH2544" s="16">
        <f t="shared" si="621"/>
        <v>0</v>
      </c>
      <c r="CJ2544" s="16" t="e">
        <f t="shared" si="626"/>
        <v>#N/A</v>
      </c>
      <c r="CK2544" s="16" t="str">
        <f t="shared" si="627"/>
        <v/>
      </c>
    </row>
    <row r="2545" spans="73:89" ht="12" customHeight="1">
      <c r="BU2545" s="16">
        <f t="shared" si="628"/>
        <v>0</v>
      </c>
      <c r="BV2545" s="16">
        <f>IF($BY$12=1,NORMDIST(BY2545,$Y$6,$Y$8,TRUE),IF($BY$12=2,IF(BY2545&lt;=$BX$31,0,IF(BY2545&gt;=$BX$32,1,(BY2545-$BX$31)*$BX$33)),SUM($BU$42:BU2545)/$BV$40))</f>
        <v>1</v>
      </c>
      <c r="BW2545" s="16">
        <f t="shared" si="619"/>
        <v>8.2875048236664506E-22</v>
      </c>
      <c r="BY2545" s="16">
        <f t="shared" si="620"/>
        <v>250.29999999999006</v>
      </c>
      <c r="BZ2545" s="16">
        <f t="shared" si="622"/>
        <v>3.3110286950326727E-24</v>
      </c>
      <c r="CA2545" s="16">
        <f t="shared" si="629"/>
        <v>-999</v>
      </c>
      <c r="CE2545" s="16" t="e">
        <f t="shared" si="623"/>
        <v>#N/A</v>
      </c>
      <c r="CF2545" s="16">
        <f t="shared" si="624"/>
        <v>99</v>
      </c>
      <c r="CG2545" s="16">
        <f t="shared" si="625"/>
        <v>0</v>
      </c>
      <c r="CH2545" s="16">
        <f t="shared" si="621"/>
        <v>0</v>
      </c>
      <c r="CJ2545" s="16" t="e">
        <f t="shared" si="626"/>
        <v>#N/A</v>
      </c>
      <c r="CK2545" s="16" t="str">
        <f t="shared" si="627"/>
        <v/>
      </c>
    </row>
    <row r="2546" spans="73:89" ht="12" customHeight="1">
      <c r="BU2546" s="16">
        <f t="shared" si="628"/>
        <v>0</v>
      </c>
      <c r="BV2546" s="16">
        <f>IF($BY$12=1,NORMDIST(BY2546,$Y$6,$Y$8,TRUE),IF($BY$12=2,IF(BY2546&lt;=$BX$31,0,IF(BY2546&gt;=$BX$32,1,(BY2546-$BX$31)*$BX$33)),SUM($BU$42:BU2546)/$BV$40))</f>
        <v>1</v>
      </c>
      <c r="BW2546" s="16">
        <f t="shared" si="619"/>
        <v>7.8857779561233983E-22</v>
      </c>
      <c r="BY2546" s="16">
        <f t="shared" si="620"/>
        <v>250.39999999999006</v>
      </c>
      <c r="BZ2546" s="16">
        <f t="shared" si="622"/>
        <v>3.1492723466947729E-24</v>
      </c>
      <c r="CA2546" s="16">
        <f t="shared" si="629"/>
        <v>-999</v>
      </c>
      <c r="CE2546" s="16" t="e">
        <f t="shared" si="623"/>
        <v>#N/A</v>
      </c>
      <c r="CF2546" s="16">
        <f t="shared" si="624"/>
        <v>99</v>
      </c>
      <c r="CG2546" s="16">
        <f t="shared" si="625"/>
        <v>0</v>
      </c>
      <c r="CH2546" s="16">
        <f t="shared" si="621"/>
        <v>0</v>
      </c>
      <c r="CJ2546" s="16" t="e">
        <f t="shared" si="626"/>
        <v>#N/A</v>
      </c>
      <c r="CK2546" s="16" t="str">
        <f t="shared" si="627"/>
        <v/>
      </c>
    </row>
    <row r="2547" spans="73:89" ht="12" customHeight="1">
      <c r="BU2547" s="16">
        <f t="shared" si="628"/>
        <v>0</v>
      </c>
      <c r="BV2547" s="16">
        <f>IF($BY$12=1,NORMDIST(BY2547,$Y$6,$Y$8,TRUE),IF($BY$12=2,IF(BY2547&lt;=$BX$31,0,IF(BY2547&gt;=$BX$32,1,(BY2547-$BX$31)*$BX$33)),SUM($BU$42:BU2547)/$BV$40))</f>
        <v>1</v>
      </c>
      <c r="BW2547" s="16">
        <f t="shared" si="619"/>
        <v>7.5033355347341534E-22</v>
      </c>
      <c r="BY2547" s="16">
        <f t="shared" si="620"/>
        <v>250.49999999999005</v>
      </c>
      <c r="BZ2547" s="16">
        <f t="shared" si="622"/>
        <v>2.9953435268401002E-24</v>
      </c>
      <c r="CA2547" s="16">
        <f t="shared" si="629"/>
        <v>-999</v>
      </c>
      <c r="CE2547" s="16" t="e">
        <f t="shared" si="623"/>
        <v>#N/A</v>
      </c>
      <c r="CF2547" s="16">
        <f t="shared" si="624"/>
        <v>99</v>
      </c>
      <c r="CG2547" s="16">
        <f t="shared" si="625"/>
        <v>0</v>
      </c>
      <c r="CH2547" s="16">
        <f t="shared" si="621"/>
        <v>0</v>
      </c>
      <c r="CJ2547" s="16" t="e">
        <f t="shared" si="626"/>
        <v>#N/A</v>
      </c>
      <c r="CK2547" s="16" t="str">
        <f t="shared" si="627"/>
        <v/>
      </c>
    </row>
    <row r="2548" spans="73:89" ht="12" customHeight="1">
      <c r="BU2548" s="16">
        <f t="shared" si="628"/>
        <v>0</v>
      </c>
      <c r="BV2548" s="16">
        <f>IF($BY$12=1,NORMDIST(BY2548,$Y$6,$Y$8,TRUE),IF($BY$12=2,IF(BY2548&lt;=$BX$31,0,IF(BY2548&gt;=$BX$32,1,(BY2548-$BX$31)*$BX$33)),SUM($BU$42:BU2548)/$BV$40))</f>
        <v>1</v>
      </c>
      <c r="BW2548" s="16">
        <f t="shared" si="619"/>
        <v>7.1392610855495247E-22</v>
      </c>
      <c r="BY2548" s="16">
        <f t="shared" si="620"/>
        <v>250.59999999999005</v>
      </c>
      <c r="BZ2548" s="16">
        <f t="shared" si="622"/>
        <v>2.8488671530525972E-24</v>
      </c>
      <c r="CA2548" s="16">
        <f t="shared" si="629"/>
        <v>-999</v>
      </c>
      <c r="CE2548" s="16" t="e">
        <f t="shared" si="623"/>
        <v>#N/A</v>
      </c>
      <c r="CF2548" s="16">
        <f t="shared" si="624"/>
        <v>99</v>
      </c>
      <c r="CG2548" s="16">
        <f t="shared" si="625"/>
        <v>0</v>
      </c>
      <c r="CH2548" s="16">
        <f t="shared" si="621"/>
        <v>0</v>
      </c>
      <c r="CJ2548" s="16" t="e">
        <f t="shared" si="626"/>
        <v>#N/A</v>
      </c>
      <c r="CK2548" s="16" t="str">
        <f t="shared" si="627"/>
        <v/>
      </c>
    </row>
    <row r="2549" spans="73:89" ht="12" customHeight="1">
      <c r="BU2549" s="16">
        <f t="shared" si="628"/>
        <v>0</v>
      </c>
      <c r="BV2549" s="16">
        <f>IF($BY$12=1,NORMDIST(BY2549,$Y$6,$Y$8,TRUE),IF($BY$12=2,IF(BY2549&lt;=$BX$31,0,IF(BY2549&gt;=$BX$32,1,(BY2549-$BX$31)*$BX$33)),SUM($BU$42:BU2549)/$BV$40))</f>
        <v>1</v>
      </c>
      <c r="BW2549" s="16">
        <f t="shared" si="619"/>
        <v>6.7926812396392298E-22</v>
      </c>
      <c r="BY2549" s="16">
        <f t="shared" si="620"/>
        <v>250.69999999999004</v>
      </c>
      <c r="BZ2549" s="16">
        <f t="shared" si="622"/>
        <v>2.7094859352371357E-24</v>
      </c>
      <c r="CA2549" s="16">
        <f t="shared" si="629"/>
        <v>-999</v>
      </c>
      <c r="CE2549" s="16" t="e">
        <f t="shared" si="623"/>
        <v>#N/A</v>
      </c>
      <c r="CF2549" s="16">
        <f t="shared" si="624"/>
        <v>99</v>
      </c>
      <c r="CG2549" s="16">
        <f t="shared" si="625"/>
        <v>0</v>
      </c>
      <c r="CH2549" s="16">
        <f t="shared" si="621"/>
        <v>0</v>
      </c>
      <c r="CJ2549" s="16" t="e">
        <f t="shared" si="626"/>
        <v>#N/A</v>
      </c>
      <c r="CK2549" s="16" t="str">
        <f t="shared" si="627"/>
        <v/>
      </c>
    </row>
    <row r="2550" spans="73:89" ht="12" customHeight="1">
      <c r="BU2550" s="16">
        <f t="shared" si="628"/>
        <v>0</v>
      </c>
      <c r="BV2550" s="16">
        <f>IF($BY$12=1,NORMDIST(BY2550,$Y$6,$Y$8,TRUE),IF($BY$12=2,IF(BY2550&lt;=$BX$31,0,IF(BY2550&gt;=$BX$32,1,(BY2550-$BX$31)*$BX$33)),SUM($BU$42:BU2550)/$BV$40))</f>
        <v>1</v>
      </c>
      <c r="BW2550" s="16">
        <f t="shared" si="619"/>
        <v>6.4627637273364927E-22</v>
      </c>
      <c r="BY2550" s="16">
        <f t="shared" si="620"/>
        <v>250.79999999999004</v>
      </c>
      <c r="BZ2550" s="16">
        <f t="shared" si="622"/>
        <v>2.5768595404054024E-24</v>
      </c>
      <c r="CA2550" s="16">
        <f t="shared" si="629"/>
        <v>-999</v>
      </c>
      <c r="CE2550" s="16" t="e">
        <f t="shared" si="623"/>
        <v>#N/A</v>
      </c>
      <c r="CF2550" s="16">
        <f t="shared" si="624"/>
        <v>99</v>
      </c>
      <c r="CG2550" s="16">
        <f t="shared" si="625"/>
        <v>0</v>
      </c>
      <c r="CH2550" s="16">
        <f t="shared" si="621"/>
        <v>0</v>
      </c>
      <c r="CJ2550" s="16" t="e">
        <f t="shared" si="626"/>
        <v>#N/A</v>
      </c>
      <c r="CK2550" s="16" t="str">
        <f t="shared" si="627"/>
        <v/>
      </c>
    </row>
    <row r="2551" spans="73:89" ht="12" customHeight="1">
      <c r="BU2551" s="16">
        <f t="shared" si="628"/>
        <v>0</v>
      </c>
      <c r="BV2551" s="16">
        <f>IF($BY$12=1,NORMDIST(BY2551,$Y$6,$Y$8,TRUE),IF($BY$12=2,IF(BY2551&lt;=$BX$31,0,IF(BY2551&gt;=$BX$32,1,(BY2551-$BX$31)*$BX$33)),SUM($BU$42:BU2551)/$BV$40))</f>
        <v>1</v>
      </c>
      <c r="BW2551" s="16">
        <f t="shared" si="619"/>
        <v>6.1487154647834498E-22</v>
      </c>
      <c r="BY2551" s="16">
        <f t="shared" si="620"/>
        <v>250.89999999999003</v>
      </c>
      <c r="BZ2551" s="16">
        <f t="shared" si="622"/>
        <v>2.4506637962469886E-24</v>
      </c>
      <c r="CA2551" s="16">
        <f t="shared" si="629"/>
        <v>-999</v>
      </c>
      <c r="CE2551" s="16" t="e">
        <f t="shared" si="623"/>
        <v>#N/A</v>
      </c>
      <c r="CF2551" s="16">
        <f t="shared" si="624"/>
        <v>99</v>
      </c>
      <c r="CG2551" s="16">
        <f t="shared" si="625"/>
        <v>0</v>
      </c>
      <c r="CH2551" s="16">
        <f t="shared" si="621"/>
        <v>0</v>
      </c>
      <c r="CJ2551" s="16" t="e">
        <f t="shared" si="626"/>
        <v>#N/A</v>
      </c>
      <c r="CK2551" s="16" t="str">
        <f t="shared" si="627"/>
        <v/>
      </c>
    </row>
    <row r="2552" spans="73:89" ht="12" customHeight="1">
      <c r="BU2552" s="16">
        <f t="shared" si="628"/>
        <v>0</v>
      </c>
      <c r="BV2552" s="16">
        <f>IF($BY$12=1,NORMDIST(BY2552,$Y$6,$Y$8,TRUE),IF($BY$12=2,IF(BY2552&lt;=$BX$31,0,IF(BY2552&gt;=$BX$32,1,(BY2552-$BX$31)*$BX$33)),SUM($BU$42:BU2552)/$BV$40))</f>
        <v>1</v>
      </c>
      <c r="BW2552" s="16">
        <f t="shared" si="619"/>
        <v>5.8497807285789856E-22</v>
      </c>
      <c r="BY2552" s="16">
        <f t="shared" si="620"/>
        <v>250.99999999999002</v>
      </c>
      <c r="BZ2552" s="16">
        <f t="shared" si="622"/>
        <v>2.3305899317048678E-24</v>
      </c>
      <c r="CA2552" s="16">
        <f t="shared" si="629"/>
        <v>-999</v>
      </c>
      <c r="CE2552" s="16" t="e">
        <f t="shared" si="623"/>
        <v>#N/A</v>
      </c>
      <c r="CF2552" s="16">
        <f t="shared" si="624"/>
        <v>99</v>
      </c>
      <c r="CG2552" s="16">
        <f t="shared" si="625"/>
        <v>0</v>
      </c>
      <c r="CH2552" s="16">
        <f t="shared" si="621"/>
        <v>0</v>
      </c>
      <c r="CJ2552" s="16" t="e">
        <f t="shared" si="626"/>
        <v>#N/A</v>
      </c>
      <c r="CK2552" s="16" t="str">
        <f t="shared" si="627"/>
        <v/>
      </c>
    </row>
    <row r="2553" spans="73:89" ht="12" customHeight="1">
      <c r="BU2553" s="16">
        <f t="shared" si="628"/>
        <v>0</v>
      </c>
      <c r="BV2553" s="16">
        <f>IF($BY$12=1,NORMDIST(BY2553,$Y$6,$Y$8,TRUE),IF($BY$12=2,IF(BY2553&lt;=$BX$31,0,IF(BY2553&gt;=$BX$32,1,(BY2553-$BX$31)*$BX$33)),SUM($BU$42:BU2553)/$BV$40))</f>
        <v>1</v>
      </c>
      <c r="BW2553" s="16">
        <f t="shared" si="619"/>
        <v>5.5652394145181262E-22</v>
      </c>
      <c r="BY2553" s="16">
        <f t="shared" si="620"/>
        <v>251.09999999999002</v>
      </c>
      <c r="BZ2553" s="16">
        <f t="shared" si="622"/>
        <v>2.216343852854778E-24</v>
      </c>
      <c r="CA2553" s="16">
        <f t="shared" si="629"/>
        <v>-999</v>
      </c>
      <c r="CE2553" s="16" t="e">
        <f t="shared" si="623"/>
        <v>#N/A</v>
      </c>
      <c r="CF2553" s="16">
        <f t="shared" si="624"/>
        <v>99</v>
      </c>
      <c r="CG2553" s="16">
        <f t="shared" si="625"/>
        <v>0</v>
      </c>
      <c r="CH2553" s="16">
        <f t="shared" si="621"/>
        <v>0</v>
      </c>
      <c r="CJ2553" s="16" t="e">
        <f t="shared" si="626"/>
        <v>#N/A</v>
      </c>
      <c r="CK2553" s="16" t="str">
        <f t="shared" si="627"/>
        <v/>
      </c>
    </row>
    <row r="2554" spans="73:89" ht="12" customHeight="1">
      <c r="BU2554" s="16">
        <f t="shared" si="628"/>
        <v>0</v>
      </c>
      <c r="BV2554" s="16">
        <f>IF($BY$12=1,NORMDIST(BY2554,$Y$6,$Y$8,TRUE),IF($BY$12=2,IF(BY2554&lt;=$BX$31,0,IF(BY2554&gt;=$BX$32,1,(BY2554-$BX$31)*$BX$33)),SUM($BU$42:BU2554)/$BV$40))</f>
        <v>1</v>
      </c>
      <c r="BW2554" s="16">
        <f t="shared" si="619"/>
        <v>5.2944053765938474E-22</v>
      </c>
      <c r="BY2554" s="16">
        <f t="shared" si="620"/>
        <v>251.19999999999001</v>
      </c>
      <c r="BZ2554" s="16">
        <f t="shared" si="622"/>
        <v>2.1076454524657872E-24</v>
      </c>
      <c r="CA2554" s="16">
        <f t="shared" si="629"/>
        <v>-999</v>
      </c>
      <c r="CE2554" s="16" t="e">
        <f t="shared" si="623"/>
        <v>#N/A</v>
      </c>
      <c r="CF2554" s="16">
        <f t="shared" si="624"/>
        <v>99</v>
      </c>
      <c r="CG2554" s="16">
        <f t="shared" si="625"/>
        <v>0</v>
      </c>
      <c r="CH2554" s="16">
        <f t="shared" si="621"/>
        <v>0</v>
      </c>
      <c r="CJ2554" s="16" t="e">
        <f t="shared" si="626"/>
        <v>#N/A</v>
      </c>
      <c r="CK2554" s="16" t="str">
        <f t="shared" si="627"/>
        <v/>
      </c>
    </row>
    <row r="2555" spans="73:89" ht="12" customHeight="1">
      <c r="BU2555" s="16">
        <f t="shared" si="628"/>
        <v>0</v>
      </c>
      <c r="BV2555" s="16">
        <f>IF($BY$12=1,NORMDIST(BY2555,$Y$6,$Y$8,TRUE),IF($BY$12=2,IF(BY2555&lt;=$BX$31,0,IF(BY2555&gt;=$BX$32,1,(BY2555-$BX$31)*$BX$33)),SUM($BU$42:BU2555)/$BV$40))</f>
        <v>1</v>
      </c>
      <c r="BW2555" s="16">
        <f t="shared" ref="BW2555:BW2618" si="630">BY2555*BZ2555</f>
        <v>5.0366248426037876E-22</v>
      </c>
      <c r="BY2555" s="16">
        <f t="shared" ref="BY2555:BY2618" si="631">BY2554+$BZ$1</f>
        <v>251.29999999999001</v>
      </c>
      <c r="BZ2555" s="16">
        <f t="shared" si="622"/>
        <v>2.0042279516927925E-24</v>
      </c>
      <c r="CA2555" s="16">
        <f t="shared" si="629"/>
        <v>-999</v>
      </c>
      <c r="CE2555" s="16" t="e">
        <f t="shared" si="623"/>
        <v>#N/A</v>
      </c>
      <c r="CF2555" s="16">
        <f t="shared" si="624"/>
        <v>99</v>
      </c>
      <c r="CG2555" s="16">
        <f t="shared" si="625"/>
        <v>0</v>
      </c>
      <c r="CH2555" s="16">
        <f t="shared" si="621"/>
        <v>0</v>
      </c>
      <c r="CJ2555" s="16" t="e">
        <f t="shared" si="626"/>
        <v>#N/A</v>
      </c>
      <c r="CK2555" s="16" t="str">
        <f t="shared" si="627"/>
        <v/>
      </c>
    </row>
    <row r="2556" spans="73:89" ht="12" customHeight="1">
      <c r="BU2556" s="16">
        <f t="shared" si="628"/>
        <v>0</v>
      </c>
      <c r="BV2556" s="16">
        <f>IF($BY$12=1,NORMDIST(BY2556,$Y$6,$Y$8,TRUE),IF($BY$12=2,IF(BY2556&lt;=$BX$31,0,IF(BY2556&gt;=$BX$32,1,(BY2556-$BX$31)*$BX$33)),SUM($BU$42:BU2556)/$BV$40))</f>
        <v>1</v>
      </c>
      <c r="BW2556" s="16">
        <f t="shared" si="630"/>
        <v>4.7912749028685687E-22</v>
      </c>
      <c r="BY2556" s="16">
        <f t="shared" si="631"/>
        <v>251.39999999999</v>
      </c>
      <c r="BZ2556" s="16">
        <f t="shared" si="622"/>
        <v>1.9058372724219407E-24</v>
      </c>
      <c r="CA2556" s="16">
        <f t="shared" si="629"/>
        <v>-999</v>
      </c>
      <c r="CE2556" s="16" t="e">
        <f t="shared" si="623"/>
        <v>#N/A</v>
      </c>
      <c r="CF2556" s="16">
        <f t="shared" si="624"/>
        <v>99</v>
      </c>
      <c r="CG2556" s="16">
        <f t="shared" si="625"/>
        <v>0</v>
      </c>
      <c r="CH2556" s="16">
        <f t="shared" si="621"/>
        <v>0</v>
      </c>
      <c r="CJ2556" s="16" t="e">
        <f t="shared" si="626"/>
        <v>#N/A</v>
      </c>
      <c r="CK2556" s="16" t="str">
        <f t="shared" si="627"/>
        <v/>
      </c>
    </row>
    <row r="2557" spans="73:89" ht="12" customHeight="1">
      <c r="BU2557" s="16">
        <f t="shared" si="628"/>
        <v>0</v>
      </c>
      <c r="BV2557" s="16">
        <f>IF($BY$12=1,NORMDIST(BY2557,$Y$6,$Y$8,TRUE),IF($BY$12=2,IF(BY2557&lt;=$BX$31,0,IF(BY2557&gt;=$BX$32,1,(BY2557-$BX$31)*$BX$33)),SUM($BU$42:BU2557)/$BV$40))</f>
        <v>1</v>
      </c>
      <c r="BW2557" s="16">
        <f t="shared" si="630"/>
        <v>4.5577620687269476E-22</v>
      </c>
      <c r="BY2557" s="16">
        <f t="shared" si="631"/>
        <v>251.49999999999</v>
      </c>
      <c r="BZ2557" s="16">
        <f t="shared" si="622"/>
        <v>1.8122314388577055E-24</v>
      </c>
      <c r="CA2557" s="16">
        <f t="shared" si="629"/>
        <v>-999</v>
      </c>
      <c r="CE2557" s="16" t="e">
        <f t="shared" si="623"/>
        <v>#N/A</v>
      </c>
      <c r="CF2557" s="16">
        <f t="shared" si="624"/>
        <v>99</v>
      </c>
      <c r="CG2557" s="16">
        <f t="shared" si="625"/>
        <v>0</v>
      </c>
      <c r="CH2557" s="16">
        <f t="shared" si="621"/>
        <v>0</v>
      </c>
      <c r="CJ2557" s="16" t="e">
        <f t="shared" si="626"/>
        <v>#N/A</v>
      </c>
      <c r="CK2557" s="16" t="str">
        <f t="shared" si="627"/>
        <v/>
      </c>
    </row>
    <row r="2558" spans="73:89" ht="12" customHeight="1">
      <c r="BU2558" s="16">
        <f t="shared" si="628"/>
        <v>0</v>
      </c>
      <c r="BV2558" s="16">
        <f>IF($BY$12=1,NORMDIST(BY2558,$Y$6,$Y$8,TRUE),IF($BY$12=2,IF(BY2558&lt;=$BX$31,0,IF(BY2558&gt;=$BX$32,1,(BY2558-$BX$31)*$BX$33)),SUM($BU$42:BU2558)/$BV$40))</f>
        <v>1</v>
      </c>
      <c r="BW2558" s="16">
        <f t="shared" si="630"/>
        <v>4.3355208976223118E-22</v>
      </c>
      <c r="BY2558" s="16">
        <f t="shared" si="631"/>
        <v>251.59999999998999</v>
      </c>
      <c r="BZ2558" s="16">
        <f t="shared" si="622"/>
        <v>1.723180007004167E-24</v>
      </c>
      <c r="CA2558" s="16">
        <f t="shared" si="629"/>
        <v>-999</v>
      </c>
      <c r="CE2558" s="16" t="e">
        <f t="shared" si="623"/>
        <v>#N/A</v>
      </c>
      <c r="CF2558" s="16">
        <f t="shared" si="624"/>
        <v>99</v>
      </c>
      <c r="CG2558" s="16">
        <f t="shared" si="625"/>
        <v>0</v>
      </c>
      <c r="CH2558" s="16">
        <f t="shared" si="621"/>
        <v>0</v>
      </c>
      <c r="CJ2558" s="16" t="e">
        <f t="shared" si="626"/>
        <v>#N/A</v>
      </c>
      <c r="CK2558" s="16" t="str">
        <f t="shared" si="627"/>
        <v/>
      </c>
    </row>
    <row r="2559" spans="73:89" ht="12" customHeight="1">
      <c r="BU2559" s="16">
        <f t="shared" si="628"/>
        <v>0</v>
      </c>
      <c r="BV2559" s="16">
        <f>IF($BY$12=1,NORMDIST(BY2559,$Y$6,$Y$8,TRUE),IF($BY$12=2,IF(BY2559&lt;=$BX$31,0,IF(BY2559&gt;=$BX$32,1,(BY2559-$BX$31)*$BX$33)),SUM($BU$42:BU2559)/$BV$40))</f>
        <v>1</v>
      </c>
      <c r="BW2559" s="16">
        <f t="shared" si="630"/>
        <v>4.1240126817397592E-22</v>
      </c>
      <c r="BY2559" s="16">
        <f t="shared" si="631"/>
        <v>251.69999999998998</v>
      </c>
      <c r="BZ2559" s="16">
        <f t="shared" si="622"/>
        <v>1.6384635207548365E-24</v>
      </c>
      <c r="CA2559" s="16">
        <f t="shared" si="629"/>
        <v>-999</v>
      </c>
      <c r="CE2559" s="16" t="e">
        <f t="shared" si="623"/>
        <v>#N/A</v>
      </c>
      <c r="CF2559" s="16">
        <f t="shared" si="624"/>
        <v>99</v>
      </c>
      <c r="CG2559" s="16">
        <f t="shared" si="625"/>
        <v>0</v>
      </c>
      <c r="CH2559" s="16">
        <f t="shared" si="621"/>
        <v>0</v>
      </c>
      <c r="CJ2559" s="16" t="e">
        <f t="shared" si="626"/>
        <v>#N/A</v>
      </c>
      <c r="CK2559" s="16" t="str">
        <f t="shared" si="627"/>
        <v/>
      </c>
    </row>
    <row r="2560" spans="73:89" ht="12" customHeight="1">
      <c r="BU2560" s="16">
        <f t="shared" si="628"/>
        <v>0</v>
      </c>
      <c r="BV2560" s="16">
        <f>IF($BY$12=1,NORMDIST(BY2560,$Y$6,$Y$8,TRUE),IF($BY$12=2,IF(BY2560&lt;=$BX$31,0,IF(BY2560&gt;=$BX$32,1,(BY2560-$BX$31)*$BX$33)),SUM($BU$42:BU2560)/$BV$40))</f>
        <v>1</v>
      </c>
      <c r="BW2560" s="16">
        <f t="shared" si="630"/>
        <v>3.9227241972888897E-22</v>
      </c>
      <c r="BY2560" s="16">
        <f t="shared" si="631"/>
        <v>251.79999999998998</v>
      </c>
      <c r="BZ2560" s="16">
        <f t="shared" si="622"/>
        <v>1.5578729933634018E-24</v>
      </c>
      <c r="CA2560" s="16">
        <f t="shared" si="629"/>
        <v>-999</v>
      </c>
      <c r="CE2560" s="16" t="e">
        <f t="shared" si="623"/>
        <v>#N/A</v>
      </c>
      <c r="CF2560" s="16">
        <f t="shared" si="624"/>
        <v>99</v>
      </c>
      <c r="CG2560" s="16">
        <f t="shared" si="625"/>
        <v>0</v>
      </c>
      <c r="CH2560" s="16">
        <f t="shared" si="621"/>
        <v>0</v>
      </c>
      <c r="CJ2560" s="16" t="e">
        <f t="shared" si="626"/>
        <v>#N/A</v>
      </c>
      <c r="CK2560" s="16" t="str">
        <f t="shared" si="627"/>
        <v/>
      </c>
    </row>
    <row r="2561" spans="73:89" ht="12" customHeight="1">
      <c r="BU2561" s="16">
        <f t="shared" si="628"/>
        <v>0</v>
      </c>
      <c r="BV2561" s="16">
        <f>IF($BY$12=1,NORMDIST(BY2561,$Y$6,$Y$8,TRUE),IF($BY$12=2,IF(BY2561&lt;=$BX$31,0,IF(BY2561&gt;=$BX$32,1,(BY2561-$BX$31)*$BX$33)),SUM($BU$42:BU2561)/$BV$40))</f>
        <v>1</v>
      </c>
      <c r="BW2561" s="16">
        <f t="shared" si="630"/>
        <v>3.7311665116599876E-22</v>
      </c>
      <c r="BY2561" s="16">
        <f t="shared" si="631"/>
        <v>251.89999999998997</v>
      </c>
      <c r="BZ2561" s="16">
        <f t="shared" si="622"/>
        <v>1.4812094131243096E-24</v>
      </c>
      <c r="CA2561" s="16">
        <f t="shared" si="629"/>
        <v>-999</v>
      </c>
      <c r="CE2561" s="16" t="e">
        <f t="shared" si="623"/>
        <v>#N/A</v>
      </c>
      <c r="CF2561" s="16">
        <f t="shared" si="624"/>
        <v>99</v>
      </c>
      <c r="CG2561" s="16">
        <f t="shared" si="625"/>
        <v>0</v>
      </c>
      <c r="CH2561" s="16">
        <f t="shared" si="621"/>
        <v>0</v>
      </c>
      <c r="CJ2561" s="16" t="e">
        <f t="shared" si="626"/>
        <v>#N/A</v>
      </c>
      <c r="CK2561" s="16" t="str">
        <f t="shared" si="627"/>
        <v/>
      </c>
    </row>
    <row r="2562" spans="73:89" ht="12" customHeight="1">
      <c r="BU2562" s="16">
        <f t="shared" si="628"/>
        <v>0</v>
      </c>
      <c r="BV2562" s="16">
        <f>IF($BY$12=1,NORMDIST(BY2562,$Y$6,$Y$8,TRUE),IF($BY$12=2,IF(BY2562&lt;=$BX$31,0,IF(BY2562&gt;=$BX$32,1,(BY2562-$BX$31)*$BX$33)),SUM($BU$42:BU2562)/$BV$40))</f>
        <v>1</v>
      </c>
      <c r="BW2562" s="16">
        <f t="shared" si="630"/>
        <v>3.5488738458058775E-22</v>
      </c>
      <c r="BY2562" s="16">
        <f t="shared" si="631"/>
        <v>251.99999999998997</v>
      </c>
      <c r="BZ2562" s="16">
        <f t="shared" si="622"/>
        <v>1.4082832721452456E-24</v>
      </c>
      <c r="CA2562" s="16">
        <f t="shared" si="629"/>
        <v>-999</v>
      </c>
      <c r="CE2562" s="16" t="e">
        <f t="shared" si="623"/>
        <v>#N/A</v>
      </c>
      <c r="CF2562" s="16">
        <f t="shared" si="624"/>
        <v>99</v>
      </c>
      <c r="CG2562" s="16">
        <f t="shared" si="625"/>
        <v>0</v>
      </c>
      <c r="CH2562" s="16">
        <f t="shared" si="621"/>
        <v>0</v>
      </c>
      <c r="CJ2562" s="16" t="e">
        <f t="shared" si="626"/>
        <v>#N/A</v>
      </c>
      <c r="CK2562" s="16" t="str">
        <f t="shared" si="627"/>
        <v/>
      </c>
    </row>
    <row r="2563" spans="73:89" ht="12" customHeight="1">
      <c r="BU2563" s="16">
        <f t="shared" si="628"/>
        <v>0</v>
      </c>
      <c r="BV2563" s="16">
        <f>IF($BY$12=1,NORMDIST(BY2563,$Y$6,$Y$8,TRUE),IF($BY$12=2,IF(BY2563&lt;=$BX$31,0,IF(BY2563&gt;=$BX$32,1,(BY2563-$BX$31)*$BX$33)),SUM($BU$42:BU2563)/$BV$40))</f>
        <v>1</v>
      </c>
      <c r="BW2563" s="16">
        <f t="shared" si="630"/>
        <v>3.3754024893212746E-22</v>
      </c>
      <c r="BY2563" s="16">
        <f t="shared" si="631"/>
        <v>252.09999999998996</v>
      </c>
      <c r="BZ2563" s="16">
        <f t="shared" si="622"/>
        <v>1.3389141171445494E-24</v>
      </c>
      <c r="CA2563" s="16">
        <f t="shared" si="629"/>
        <v>-999</v>
      </c>
      <c r="CE2563" s="16" t="e">
        <f t="shared" si="623"/>
        <v>#N/A</v>
      </c>
      <c r="CF2563" s="16">
        <f t="shared" si="624"/>
        <v>99</v>
      </c>
      <c r="CG2563" s="16">
        <f t="shared" si="625"/>
        <v>0</v>
      </c>
      <c r="CH2563" s="16">
        <f t="shared" ref="CH2563:CH2626" si="632">IF(CB2563="",0,1)</f>
        <v>0</v>
      </c>
      <c r="CJ2563" s="16" t="e">
        <f t="shared" si="626"/>
        <v>#N/A</v>
      </c>
      <c r="CK2563" s="16" t="str">
        <f t="shared" si="627"/>
        <v/>
      </c>
    </row>
    <row r="2564" spans="73:89" ht="12" customHeight="1">
      <c r="BU2564" s="16">
        <f t="shared" si="628"/>
        <v>0</v>
      </c>
      <c r="BV2564" s="16">
        <f>IF($BY$12=1,NORMDIST(BY2564,$Y$6,$Y$8,TRUE),IF($BY$12=2,IF(BY2564&lt;=$BX$31,0,IF(BY2564&gt;=$BX$32,1,(BY2564-$BX$31)*$BX$33)),SUM($BU$42:BU2564)/$BV$40))</f>
        <v>1</v>
      </c>
      <c r="BW2564" s="16">
        <f t="shared" si="630"/>
        <v>3.2103297658061061E-22</v>
      </c>
      <c r="BY2564" s="16">
        <f t="shared" si="631"/>
        <v>252.19999999998996</v>
      </c>
      <c r="BZ2564" s="16">
        <f t="shared" si="622"/>
        <v>1.2729301212554457E-24</v>
      </c>
      <c r="CA2564" s="16">
        <f t="shared" si="629"/>
        <v>-999</v>
      </c>
      <c r="CE2564" s="16" t="e">
        <f t="shared" si="623"/>
        <v>#N/A</v>
      </c>
      <c r="CF2564" s="16">
        <f t="shared" si="624"/>
        <v>99</v>
      </c>
      <c r="CG2564" s="16">
        <f t="shared" si="625"/>
        <v>0</v>
      </c>
      <c r="CH2564" s="16">
        <f t="shared" si="632"/>
        <v>0</v>
      </c>
      <c r="CJ2564" s="16" t="e">
        <f t="shared" si="626"/>
        <v>#N/A</v>
      </c>
      <c r="CK2564" s="16" t="str">
        <f t="shared" si="627"/>
        <v/>
      </c>
    </row>
    <row r="2565" spans="73:89" ht="12" customHeight="1">
      <c r="BU2565" s="16">
        <f t="shared" si="628"/>
        <v>0</v>
      </c>
      <c r="BV2565" s="16">
        <f>IF($BY$12=1,NORMDIST(BY2565,$Y$6,$Y$8,TRUE),IF($BY$12=2,IF(BY2565&lt;=$BX$31,0,IF(BY2565&gt;=$BX$32,1,(BY2565-$BX$31)*$BX$33)),SUM($BU$42:BU2565)/$BV$40))</f>
        <v>1</v>
      </c>
      <c r="BW2565" s="16">
        <f t="shared" si="630"/>
        <v>3.0532530462087061E-22</v>
      </c>
      <c r="BY2565" s="16">
        <f t="shared" si="631"/>
        <v>252.29999999998995</v>
      </c>
      <c r="BZ2565" s="16">
        <f t="shared" si="622"/>
        <v>1.2101676758655679E-24</v>
      </c>
      <c r="CA2565" s="16">
        <f t="shared" si="629"/>
        <v>-999</v>
      </c>
      <c r="CE2565" s="16" t="e">
        <f t="shared" si="623"/>
        <v>#N/A</v>
      </c>
      <c r="CF2565" s="16">
        <f t="shared" si="624"/>
        <v>99</v>
      </c>
      <c r="CG2565" s="16">
        <f t="shared" si="625"/>
        <v>0</v>
      </c>
      <c r="CH2565" s="16">
        <f t="shared" si="632"/>
        <v>0</v>
      </c>
      <c r="CJ2565" s="16" t="e">
        <f t="shared" si="626"/>
        <v>#N/A</v>
      </c>
      <c r="CK2565" s="16" t="str">
        <f t="shared" si="627"/>
        <v/>
      </c>
    </row>
    <row r="2566" spans="73:89" ht="12" customHeight="1">
      <c r="BU2566" s="16">
        <f t="shared" si="628"/>
        <v>0</v>
      </c>
      <c r="BV2566" s="16">
        <f>IF($BY$12=1,NORMDIST(BY2566,$Y$6,$Y$8,TRUE),IF($BY$12=2,IF(BY2566&lt;=$BX$31,0,IF(BY2566&gt;=$BX$32,1,(BY2566-$BX$31)*$BX$33)),SUM($BU$42:BU2566)/$BV$40))</f>
        <v>1</v>
      </c>
      <c r="BW2566" s="16">
        <f t="shared" si="630"/>
        <v>2.9037888079487753E-22</v>
      </c>
      <c r="BY2566" s="16">
        <f t="shared" si="631"/>
        <v>252.39999999998994</v>
      </c>
      <c r="BZ2566" s="16">
        <f t="shared" si="622"/>
        <v>1.1504710015645369E-24</v>
      </c>
      <c r="CA2566" s="16">
        <f t="shared" si="629"/>
        <v>-999</v>
      </c>
      <c r="CE2566" s="16" t="e">
        <f t="shared" si="623"/>
        <v>#N/A</v>
      </c>
      <c r="CF2566" s="16">
        <f t="shared" si="624"/>
        <v>99</v>
      </c>
      <c r="CG2566" s="16">
        <f t="shared" si="625"/>
        <v>0</v>
      </c>
      <c r="CH2566" s="16">
        <f t="shared" si="632"/>
        <v>0</v>
      </c>
      <c r="CJ2566" s="16" t="e">
        <f t="shared" si="626"/>
        <v>#N/A</v>
      </c>
      <c r="CK2566" s="16" t="str">
        <f t="shared" si="627"/>
        <v/>
      </c>
    </row>
    <row r="2567" spans="73:89" ht="12" customHeight="1">
      <c r="BU2567" s="16">
        <f t="shared" si="628"/>
        <v>0</v>
      </c>
      <c r="BV2567" s="16">
        <f>IF($BY$12=1,NORMDIST(BY2567,$Y$6,$Y$8,TRUE),IF($BY$12=2,IF(BY2567&lt;=$BX$31,0,IF(BY2567&gt;=$BX$32,1,(BY2567-$BX$31)*$BX$33)),SUM($BU$42:BU2567)/$BV$40))</f>
        <v>1</v>
      </c>
      <c r="BW2567" s="16">
        <f t="shared" si="630"/>
        <v>2.7615717377198924E-22</v>
      </c>
      <c r="BY2567" s="16">
        <f t="shared" si="631"/>
        <v>252.49999999998994</v>
      </c>
      <c r="BZ2567" s="16">
        <f t="shared" si="622"/>
        <v>1.0936917773148524E-24</v>
      </c>
      <c r="CA2567" s="16">
        <f t="shared" si="629"/>
        <v>-999</v>
      </c>
      <c r="CE2567" s="16" t="e">
        <f t="shared" si="623"/>
        <v>#N/A</v>
      </c>
      <c r="CF2567" s="16">
        <f t="shared" si="624"/>
        <v>99</v>
      </c>
      <c r="CG2567" s="16">
        <f t="shared" si="625"/>
        <v>0</v>
      </c>
      <c r="CH2567" s="16">
        <f t="shared" si="632"/>
        <v>0</v>
      </c>
      <c r="CJ2567" s="16" t="e">
        <f t="shared" si="626"/>
        <v>#N/A</v>
      </c>
      <c r="CK2567" s="16" t="str">
        <f t="shared" si="627"/>
        <v/>
      </c>
    </row>
    <row r="2568" spans="73:89" ht="12" customHeight="1">
      <c r="BU2568" s="16">
        <f t="shared" si="628"/>
        <v>0</v>
      </c>
      <c r="BV2568" s="16">
        <f>IF($BY$12=1,NORMDIST(BY2568,$Y$6,$Y$8,TRUE),IF($BY$12=2,IF(BY2568&lt;=$BX$31,0,IF(BY2568&gt;=$BX$32,1,(BY2568-$BX$31)*$BX$33)),SUM($BU$42:BU2568)/$BV$40))</f>
        <v>1</v>
      </c>
      <c r="BW2568" s="16">
        <f t="shared" si="630"/>
        <v>2.6262538759663192E-22</v>
      </c>
      <c r="BY2568" s="16">
        <f t="shared" si="631"/>
        <v>252.59999999998993</v>
      </c>
      <c r="BZ2568" s="16">
        <f t="shared" si="622"/>
        <v>1.0396887870017513E-24</v>
      </c>
      <c r="CA2568" s="16">
        <f t="shared" si="629"/>
        <v>-999</v>
      </c>
      <c r="CE2568" s="16" t="e">
        <f t="shared" si="623"/>
        <v>#N/A</v>
      </c>
      <c r="CF2568" s="16">
        <f t="shared" si="624"/>
        <v>99</v>
      </c>
      <c r="CG2568" s="16">
        <f t="shared" si="625"/>
        <v>0</v>
      </c>
      <c r="CH2568" s="16">
        <f t="shared" si="632"/>
        <v>0</v>
      </c>
      <c r="CJ2568" s="16" t="e">
        <f t="shared" si="626"/>
        <v>#N/A</v>
      </c>
      <c r="CK2568" s="16" t="str">
        <f t="shared" si="627"/>
        <v/>
      </c>
    </row>
    <row r="2569" spans="73:89" ht="12" customHeight="1">
      <c r="BU2569" s="16">
        <f t="shared" si="628"/>
        <v>0</v>
      </c>
      <c r="BV2569" s="16">
        <f>IF($BY$12=1,NORMDIST(BY2569,$Y$6,$Y$8,TRUE),IF($BY$12=2,IF(BY2569&lt;=$BX$31,0,IF(BY2569&gt;=$BX$32,1,(BY2569-$BX$31)*$BX$33)),SUM($BU$42:BU2569)/$BV$40))</f>
        <v>1</v>
      </c>
      <c r="BW2569" s="16">
        <f t="shared" si="630"/>
        <v>2.4975038011204153E-22</v>
      </c>
      <c r="BY2569" s="16">
        <f t="shared" si="631"/>
        <v>252.69999999998993</v>
      </c>
      <c r="BZ2569" s="16">
        <f t="shared" si="622"/>
        <v>9.8832758255659467E-25</v>
      </c>
      <c r="CA2569" s="16">
        <f t="shared" si="629"/>
        <v>-999</v>
      </c>
      <c r="CE2569" s="16" t="e">
        <f t="shared" si="623"/>
        <v>#N/A</v>
      </c>
      <c r="CF2569" s="16">
        <f t="shared" si="624"/>
        <v>99</v>
      </c>
      <c r="CG2569" s="16">
        <f t="shared" si="625"/>
        <v>0</v>
      </c>
      <c r="CH2569" s="16">
        <f t="shared" si="632"/>
        <v>0</v>
      </c>
      <c r="CJ2569" s="16" t="e">
        <f t="shared" si="626"/>
        <v>#N/A</v>
      </c>
      <c r="CK2569" s="16" t="str">
        <f t="shared" si="627"/>
        <v/>
      </c>
    </row>
    <row r="2570" spans="73:89" ht="12" customHeight="1">
      <c r="BU2570" s="16">
        <f t="shared" si="628"/>
        <v>0</v>
      </c>
      <c r="BV2570" s="16">
        <f>IF($BY$12=1,NORMDIST(BY2570,$Y$6,$Y$8,TRUE),IF($BY$12=2,IF(BY2570&lt;=$BX$31,0,IF(BY2570&gt;=$BX$32,1,(BY2570-$BX$31)*$BX$33)),SUM($BU$42:BU2570)/$BV$40))</f>
        <v>1</v>
      </c>
      <c r="BW2570" s="16">
        <f t="shared" si="630"/>
        <v>2.3750058517732808E-22</v>
      </c>
      <c r="BY2570" s="16">
        <f t="shared" si="631"/>
        <v>252.79999999998992</v>
      </c>
      <c r="BZ2570" s="16">
        <f t="shared" si="622"/>
        <v>9.3948016288503772E-25</v>
      </c>
      <c r="CA2570" s="16">
        <f t="shared" si="629"/>
        <v>-999</v>
      </c>
      <c r="CE2570" s="16" t="e">
        <f t="shared" si="623"/>
        <v>#N/A</v>
      </c>
      <c r="CF2570" s="16">
        <f t="shared" si="624"/>
        <v>99</v>
      </c>
      <c r="CG2570" s="16">
        <f t="shared" si="625"/>
        <v>0</v>
      </c>
      <c r="CH2570" s="16">
        <f t="shared" si="632"/>
        <v>0</v>
      </c>
      <c r="CJ2570" s="16" t="e">
        <f t="shared" si="626"/>
        <v>#N/A</v>
      </c>
      <c r="CK2570" s="16" t="str">
        <f t="shared" si="627"/>
        <v/>
      </c>
    </row>
    <row r="2571" spans="73:89" ht="12" customHeight="1">
      <c r="BU2571" s="16">
        <f t="shared" si="628"/>
        <v>0</v>
      </c>
      <c r="BV2571" s="16">
        <f>IF($BY$12=1,NORMDIST(BY2571,$Y$6,$Y$8,TRUE),IF($BY$12=2,IF(BY2571&lt;=$BX$31,0,IF(BY2571&gt;=$BX$32,1,(BY2571-$BX$31)*$BX$33)),SUM($BU$42:BU2571)/$BV$40))</f>
        <v>1</v>
      </c>
      <c r="BW2571" s="16">
        <f t="shared" si="630"/>
        <v>2.2584593850343005E-22</v>
      </c>
      <c r="BY2571" s="16">
        <f t="shared" si="631"/>
        <v>252.89999999998992</v>
      </c>
      <c r="BZ2571" s="16">
        <f t="shared" si="622"/>
        <v>8.9302466786650479E-25</v>
      </c>
      <c r="CA2571" s="16">
        <f t="shared" si="629"/>
        <v>-999</v>
      </c>
      <c r="CE2571" s="16" t="e">
        <f t="shared" si="623"/>
        <v>#N/A</v>
      </c>
      <c r="CF2571" s="16">
        <f t="shared" si="624"/>
        <v>99</v>
      </c>
      <c r="CG2571" s="16">
        <f t="shared" si="625"/>
        <v>0</v>
      </c>
      <c r="CH2571" s="16">
        <f t="shared" si="632"/>
        <v>0</v>
      </c>
      <c r="CJ2571" s="16" t="e">
        <f t="shared" si="626"/>
        <v>#N/A</v>
      </c>
      <c r="CK2571" s="16" t="str">
        <f t="shared" si="627"/>
        <v/>
      </c>
    </row>
    <row r="2572" spans="73:89" ht="12" customHeight="1">
      <c r="BU2572" s="16">
        <f t="shared" si="628"/>
        <v>0</v>
      </c>
      <c r="BV2572" s="16">
        <f>IF($BY$12=1,NORMDIST(BY2572,$Y$6,$Y$8,TRUE),IF($BY$12=2,IF(BY2572&lt;=$BX$31,0,IF(BY2572&gt;=$BX$32,1,(BY2572-$BX$31)*$BX$33)),SUM($BU$42:BU2572)/$BV$40))</f>
        <v>1</v>
      </c>
      <c r="BW2572" s="16">
        <f t="shared" si="630"/>
        <v>2.147578069414937E-22</v>
      </c>
      <c r="BY2572" s="16">
        <f t="shared" si="631"/>
        <v>252.99999999998991</v>
      </c>
      <c r="BZ2572" s="16">
        <f t="shared" si="622"/>
        <v>8.4884508672530535E-25</v>
      </c>
      <c r="CA2572" s="16">
        <f t="shared" si="629"/>
        <v>-999</v>
      </c>
      <c r="CE2572" s="16" t="e">
        <f t="shared" si="623"/>
        <v>#N/A</v>
      </c>
      <c r="CF2572" s="16">
        <f t="shared" si="624"/>
        <v>99</v>
      </c>
      <c r="CG2572" s="16">
        <f t="shared" si="625"/>
        <v>0</v>
      </c>
      <c r="CH2572" s="16">
        <f t="shared" si="632"/>
        <v>0</v>
      </c>
      <c r="CJ2572" s="16" t="e">
        <f t="shared" si="626"/>
        <v>#N/A</v>
      </c>
      <c r="CK2572" s="16" t="str">
        <f t="shared" si="627"/>
        <v/>
      </c>
    </row>
    <row r="2573" spans="73:89" ht="12" customHeight="1">
      <c r="BU2573" s="16">
        <f t="shared" si="628"/>
        <v>0</v>
      </c>
      <c r="BV2573" s="16">
        <f>IF($BY$12=1,NORMDIST(BY2573,$Y$6,$Y$8,TRUE),IF($BY$12=2,IF(BY2573&lt;=$BX$31,0,IF(BY2573&gt;=$BX$32,1,(BY2573-$BX$31)*$BX$33)),SUM($BU$42:BU2573)/$BV$40))</f>
        <v>1</v>
      </c>
      <c r="BW2573" s="16">
        <f t="shared" si="630"/>
        <v>2.0420892106475335E-22</v>
      </c>
      <c r="BY2573" s="16">
        <f t="shared" si="631"/>
        <v>253.0999999999899</v>
      </c>
      <c r="BZ2573" s="16">
        <f t="shared" si="622"/>
        <v>8.0683098010573483E-25</v>
      </c>
      <c r="CA2573" s="16">
        <f t="shared" si="629"/>
        <v>-999</v>
      </c>
      <c r="CE2573" s="16" t="e">
        <f t="shared" si="623"/>
        <v>#N/A</v>
      </c>
      <c r="CF2573" s="16">
        <f t="shared" si="624"/>
        <v>99</v>
      </c>
      <c r="CG2573" s="16">
        <f t="shared" si="625"/>
        <v>0</v>
      </c>
      <c r="CH2573" s="16">
        <f t="shared" si="632"/>
        <v>0</v>
      </c>
      <c r="CJ2573" s="16" t="e">
        <f t="shared" si="626"/>
        <v>#N/A</v>
      </c>
      <c r="CK2573" s="16" t="str">
        <f t="shared" si="627"/>
        <v/>
      </c>
    </row>
    <row r="2574" spans="73:89" ht="12" customHeight="1">
      <c r="BU2574" s="16">
        <f t="shared" si="628"/>
        <v>0</v>
      </c>
      <c r="BV2574" s="16">
        <f>IF($BY$12=1,NORMDIST(BY2574,$Y$6,$Y$8,TRUE),IF($BY$12=2,IF(BY2574&lt;=$BX$31,0,IF(BY2574&gt;=$BX$32,1,(BY2574-$BX$31)*$BX$33)),SUM($BU$42:BU2574)/$BV$40))</f>
        <v>1</v>
      </c>
      <c r="BW2574" s="16">
        <f t="shared" si="630"/>
        <v>1.941733108921932E-22</v>
      </c>
      <c r="BY2574" s="16">
        <f t="shared" si="631"/>
        <v>253.1999999999899</v>
      </c>
      <c r="BZ2574" s="16">
        <f t="shared" si="622"/>
        <v>7.6687721521406374E-25</v>
      </c>
      <c r="CA2574" s="16">
        <f t="shared" si="629"/>
        <v>-999</v>
      </c>
      <c r="CE2574" s="16" t="e">
        <f t="shared" si="623"/>
        <v>#N/A</v>
      </c>
      <c r="CF2574" s="16">
        <f t="shared" si="624"/>
        <v>99</v>
      </c>
      <c r="CG2574" s="16">
        <f t="shared" si="625"/>
        <v>0</v>
      </c>
      <c r="CH2574" s="16">
        <f t="shared" si="632"/>
        <v>0</v>
      </c>
      <c r="CJ2574" s="16" t="e">
        <f t="shared" si="626"/>
        <v>#N/A</v>
      </c>
      <c r="CK2574" s="16" t="str">
        <f t="shared" si="627"/>
        <v/>
      </c>
    </row>
    <row r="2575" spans="73:89" ht="12" customHeight="1">
      <c r="BU2575" s="16">
        <f t="shared" si="628"/>
        <v>0</v>
      </c>
      <c r="BV2575" s="16">
        <f>IF($BY$12=1,NORMDIST(BY2575,$Y$6,$Y$8,TRUE),IF($BY$12=2,IF(BY2575&lt;=$BX$31,0,IF(BY2575&gt;=$BX$32,1,(BY2575-$BX$31)*$BX$33)),SUM($BU$42:BU2575)/$BV$40))</f>
        <v>1</v>
      </c>
      <c r="BW2575" s="16">
        <f t="shared" si="630"/>
        <v>1.8462624460925178E-22</v>
      </c>
      <c r="BY2575" s="16">
        <f t="shared" si="631"/>
        <v>253.29999999998989</v>
      </c>
      <c r="BZ2575" s="16">
        <f t="shared" si="622"/>
        <v>7.2888371341989401E-25</v>
      </c>
      <c r="CA2575" s="16">
        <f t="shared" si="629"/>
        <v>-999</v>
      </c>
      <c r="CE2575" s="16" t="e">
        <f t="shared" si="623"/>
        <v>#N/A</v>
      </c>
      <c r="CF2575" s="16">
        <f t="shared" si="624"/>
        <v>99</v>
      </c>
      <c r="CG2575" s="16">
        <f t="shared" si="625"/>
        <v>0</v>
      </c>
      <c r="CH2575" s="16">
        <f t="shared" si="632"/>
        <v>0</v>
      </c>
      <c r="CJ2575" s="16" t="e">
        <f t="shared" si="626"/>
        <v>#N/A</v>
      </c>
      <c r="CK2575" s="16" t="str">
        <f t="shared" si="627"/>
        <v/>
      </c>
    </row>
    <row r="2576" spans="73:89" ht="12" customHeight="1">
      <c r="BU2576" s="16">
        <f t="shared" si="628"/>
        <v>0</v>
      </c>
      <c r="BV2576" s="16">
        <f>IF($BY$12=1,NORMDIST(BY2576,$Y$6,$Y$8,TRUE),IF($BY$12=2,IF(BY2576&lt;=$BX$31,0,IF(BY2576&gt;=$BX$32,1,(BY2576-$BX$31)*$BX$33)),SUM($BU$42:BU2576)/$BV$40))</f>
        <v>1</v>
      </c>
      <c r="BW2576" s="16">
        <f t="shared" si="630"/>
        <v>1.7554417014733466E-22</v>
      </c>
      <c r="BY2576" s="16">
        <f t="shared" si="631"/>
        <v>253.39999999998989</v>
      </c>
      <c r="BZ2576" s="16">
        <f t="shared" si="622"/>
        <v>6.9275520973694421E-25</v>
      </c>
      <c r="CA2576" s="16">
        <f t="shared" si="629"/>
        <v>-999</v>
      </c>
      <c r="CE2576" s="16" t="e">
        <f t="shared" si="623"/>
        <v>#N/A</v>
      </c>
      <c r="CF2576" s="16">
        <f t="shared" si="624"/>
        <v>99</v>
      </c>
      <c r="CG2576" s="16">
        <f t="shared" si="625"/>
        <v>0</v>
      </c>
      <c r="CH2576" s="16">
        <f t="shared" si="632"/>
        <v>0</v>
      </c>
      <c r="CJ2576" s="16" t="e">
        <f t="shared" si="626"/>
        <v>#N/A</v>
      </c>
      <c r="CK2576" s="16" t="str">
        <f t="shared" si="627"/>
        <v/>
      </c>
    </row>
    <row r="2577" spans="73:89" ht="12" customHeight="1">
      <c r="BU2577" s="16">
        <f t="shared" si="628"/>
        <v>0</v>
      </c>
      <c r="BV2577" s="16">
        <f>IF($BY$12=1,NORMDIST(BY2577,$Y$6,$Y$8,TRUE),IF($BY$12=2,IF(BY2577&lt;=$BX$31,0,IF(BY2577&gt;=$BX$32,1,(BY2577-$BX$31)*$BX$33)),SUM($BU$42:BU2577)/$BV$40))</f>
        <v>1</v>
      </c>
      <c r="BW2577" s="16">
        <f t="shared" si="630"/>
        <v>1.6690465949028129E-22</v>
      </c>
      <c r="BY2577" s="16">
        <f t="shared" si="631"/>
        <v>253.49999999998988</v>
      </c>
      <c r="BZ2577" s="16">
        <f t="shared" si="622"/>
        <v>6.5840102363032727E-25</v>
      </c>
      <c r="CA2577" s="16">
        <f t="shared" si="629"/>
        <v>-999</v>
      </c>
      <c r="CE2577" s="16" t="e">
        <f t="shared" si="623"/>
        <v>#N/A</v>
      </c>
      <c r="CF2577" s="16">
        <f t="shared" si="624"/>
        <v>99</v>
      </c>
      <c r="CG2577" s="16">
        <f t="shared" si="625"/>
        <v>0</v>
      </c>
      <c r="CH2577" s="16">
        <f t="shared" si="632"/>
        <v>0</v>
      </c>
      <c r="CJ2577" s="16" t="e">
        <f t="shared" si="626"/>
        <v>#N/A</v>
      </c>
      <c r="CK2577" s="16" t="str">
        <f t="shared" si="627"/>
        <v/>
      </c>
    </row>
    <row r="2578" spans="73:89" ht="12" customHeight="1">
      <c r="BU2578" s="16">
        <f t="shared" si="628"/>
        <v>0</v>
      </c>
      <c r="BV2578" s="16">
        <f>IF($BY$12=1,NORMDIST(BY2578,$Y$6,$Y$8,TRUE),IF($BY$12=2,IF(BY2578&lt;=$BX$31,0,IF(BY2578&gt;=$BX$32,1,(BY2578-$BX$31)*$BX$33)),SUM($BU$42:BU2578)/$BV$40))</f>
        <v>1</v>
      </c>
      <c r="BW2578" s="16">
        <f t="shared" si="630"/>
        <v>1.5868635558188644E-22</v>
      </c>
      <c r="BY2578" s="16">
        <f t="shared" si="631"/>
        <v>253.59999999998988</v>
      </c>
      <c r="BZ2578" s="16">
        <f t="shared" si="622"/>
        <v>6.2573484062260553E-25</v>
      </c>
      <c r="CA2578" s="16">
        <f t="shared" si="629"/>
        <v>-999</v>
      </c>
      <c r="CE2578" s="16" t="e">
        <f t="shared" si="623"/>
        <v>#N/A</v>
      </c>
      <c r="CF2578" s="16">
        <f t="shared" si="624"/>
        <v>99</v>
      </c>
      <c r="CG2578" s="16">
        <f t="shared" si="625"/>
        <v>0</v>
      </c>
      <c r="CH2578" s="16">
        <f t="shared" si="632"/>
        <v>0</v>
      </c>
      <c r="CJ2578" s="16" t="e">
        <f t="shared" si="626"/>
        <v>#N/A</v>
      </c>
      <c r="CK2578" s="16" t="str">
        <f t="shared" si="627"/>
        <v/>
      </c>
    </row>
    <row r="2579" spans="73:89" ht="12" customHeight="1">
      <c r="BU2579" s="16">
        <f t="shared" si="628"/>
        <v>0</v>
      </c>
      <c r="BV2579" s="16">
        <f>IF($BY$12=1,NORMDIST(BY2579,$Y$6,$Y$8,TRUE),IF($BY$12=2,IF(BY2579&lt;=$BX$31,0,IF(BY2579&gt;=$BX$32,1,(BY2579-$BX$31)*$BX$33)),SUM($BU$42:BU2579)/$BV$40))</f>
        <v>1</v>
      </c>
      <c r="BW2579" s="16">
        <f t="shared" si="630"/>
        <v>1.5086892171435869E-22</v>
      </c>
      <c r="BY2579" s="16">
        <f t="shared" si="631"/>
        <v>253.69999999998987</v>
      </c>
      <c r="BZ2579" s="16">
        <f t="shared" si="622"/>
        <v>5.9467450419536745E-25</v>
      </c>
      <c r="CA2579" s="16">
        <f t="shared" si="629"/>
        <v>-999</v>
      </c>
      <c r="CE2579" s="16" t="e">
        <f t="shared" si="623"/>
        <v>#N/A</v>
      </c>
      <c r="CF2579" s="16">
        <f t="shared" si="624"/>
        <v>99</v>
      </c>
      <c r="CG2579" s="16">
        <f t="shared" si="625"/>
        <v>0</v>
      </c>
      <c r="CH2579" s="16">
        <f t="shared" si="632"/>
        <v>0</v>
      </c>
      <c r="CJ2579" s="16" t="e">
        <f t="shared" si="626"/>
        <v>#N/A</v>
      </c>
      <c r="CK2579" s="16" t="str">
        <f t="shared" si="627"/>
        <v/>
      </c>
    </row>
    <row r="2580" spans="73:89" ht="12" customHeight="1">
      <c r="BU2580" s="16">
        <f t="shared" si="628"/>
        <v>0</v>
      </c>
      <c r="BV2580" s="16">
        <f>IF($BY$12=1,NORMDIST(BY2580,$Y$6,$Y$8,TRUE),IF($BY$12=2,IF(BY2580&lt;=$BX$31,0,IF(BY2580&gt;=$BX$32,1,(BY2580-$BX$31)*$BX$33)),SUM($BU$42:BU2580)/$BV$40))</f>
        <v>1</v>
      </c>
      <c r="BW2580" s="16">
        <f t="shared" si="630"/>
        <v>1.4343299328305124E-22</v>
      </c>
      <c r="BY2580" s="16">
        <f t="shared" si="631"/>
        <v>253.79999999998986</v>
      </c>
      <c r="BZ2580" s="16">
        <f t="shared" si="622"/>
        <v>5.6514181750613458E-25</v>
      </c>
      <c r="CA2580" s="16">
        <f t="shared" si="629"/>
        <v>-999</v>
      </c>
      <c r="CE2580" s="16" t="e">
        <f t="shared" si="623"/>
        <v>#N/A</v>
      </c>
      <c r="CF2580" s="16">
        <f t="shared" si="624"/>
        <v>99</v>
      </c>
      <c r="CG2580" s="16">
        <f t="shared" si="625"/>
        <v>0</v>
      </c>
      <c r="CH2580" s="16">
        <f t="shared" si="632"/>
        <v>0</v>
      </c>
      <c r="CJ2580" s="16" t="e">
        <f t="shared" si="626"/>
        <v>#N/A</v>
      </c>
      <c r="CK2580" s="16" t="str">
        <f t="shared" si="627"/>
        <v/>
      </c>
    </row>
    <row r="2581" spans="73:89" ht="12" customHeight="1">
      <c r="BU2581" s="16">
        <f t="shared" si="628"/>
        <v>0</v>
      </c>
      <c r="BV2581" s="16">
        <f>IF($BY$12=1,NORMDIST(BY2581,$Y$6,$Y$8,TRUE),IF($BY$12=2,IF(BY2581&lt;=$BX$31,0,IF(BY2581&gt;=$BX$32,1,(BY2581-$BX$31)*$BX$33)),SUM($BU$42:BU2581)/$BV$40))</f>
        <v>1</v>
      </c>
      <c r="BW2581" s="16">
        <f t="shared" si="630"/>
        <v>1.3636013179807045E-22</v>
      </c>
      <c r="BY2581" s="16">
        <f t="shared" si="631"/>
        <v>253.89999999998986</v>
      </c>
      <c r="BZ2581" s="16">
        <f t="shared" si="622"/>
        <v>5.3706235446268567E-25</v>
      </c>
      <c r="CA2581" s="16">
        <f t="shared" si="629"/>
        <v>-999</v>
      </c>
      <c r="CE2581" s="16" t="e">
        <f t="shared" si="623"/>
        <v>#N/A</v>
      </c>
      <c r="CF2581" s="16">
        <f t="shared" si="624"/>
        <v>99</v>
      </c>
      <c r="CG2581" s="16">
        <f t="shared" si="625"/>
        <v>0</v>
      </c>
      <c r="CH2581" s="16">
        <f t="shared" si="632"/>
        <v>0</v>
      </c>
      <c r="CJ2581" s="16" t="e">
        <f t="shared" si="626"/>
        <v>#N/A</v>
      </c>
      <c r="CK2581" s="16" t="str">
        <f t="shared" si="627"/>
        <v/>
      </c>
    </row>
    <row r="2582" spans="73:89" ht="12" customHeight="1">
      <c r="BU2582" s="16">
        <f t="shared" si="628"/>
        <v>0</v>
      </c>
      <c r="BV2582" s="16">
        <f>IF($BY$12=1,NORMDIST(BY2582,$Y$6,$Y$8,TRUE),IF($BY$12=2,IF(BY2582&lt;=$BX$31,0,IF(BY2582&gt;=$BX$32,1,(BY2582-$BX$31)*$BX$33)),SUM($BU$42:BU2582)/$BV$40))</f>
        <v>1</v>
      </c>
      <c r="BW2582" s="16">
        <f t="shared" si="630"/>
        <v>1.2963278104835284E-22</v>
      </c>
      <c r="BY2582" s="16">
        <f t="shared" si="631"/>
        <v>253.99999999998985</v>
      </c>
      <c r="BZ2582" s="16">
        <f t="shared" si="622"/>
        <v>5.1036527971794501E-25</v>
      </c>
      <c r="CA2582" s="16">
        <f t="shared" si="629"/>
        <v>-999</v>
      </c>
      <c r="CE2582" s="16" t="e">
        <f t="shared" si="623"/>
        <v>#N/A</v>
      </c>
      <c r="CF2582" s="16">
        <f t="shared" si="624"/>
        <v>99</v>
      </c>
      <c r="CG2582" s="16">
        <f t="shared" si="625"/>
        <v>0</v>
      </c>
      <c r="CH2582" s="16">
        <f t="shared" si="632"/>
        <v>0</v>
      </c>
      <c r="CJ2582" s="16" t="e">
        <f t="shared" si="626"/>
        <v>#N/A</v>
      </c>
      <c r="CK2582" s="16" t="str">
        <f t="shared" si="627"/>
        <v/>
      </c>
    </row>
    <row r="2583" spans="73:89" ht="12" customHeight="1">
      <c r="BU2583" s="16">
        <f t="shared" si="628"/>
        <v>0</v>
      </c>
      <c r="BV2583" s="16">
        <f>IF($BY$12=1,NORMDIST(BY2583,$Y$6,$Y$8,TRUE),IF($BY$12=2,IF(BY2583&lt;=$BX$31,0,IF(BY2583&gt;=$BX$32,1,(BY2583-$BX$31)*$BX$33)),SUM($BU$42:BU2583)/$BV$40))</f>
        <v>1</v>
      </c>
      <c r="BW2583" s="16">
        <f t="shared" si="630"/>
        <v>1.2323422531855551E-22</v>
      </c>
      <c r="BY2583" s="16">
        <f t="shared" si="631"/>
        <v>254.09999999998985</v>
      </c>
      <c r="BZ2583" s="16">
        <f t="shared" si="622"/>
        <v>4.8498317716867543E-25</v>
      </c>
      <c r="CA2583" s="16">
        <f t="shared" si="629"/>
        <v>-999</v>
      </c>
      <c r="CE2583" s="16" t="e">
        <f t="shared" si="623"/>
        <v>#N/A</v>
      </c>
      <c r="CF2583" s="16">
        <f t="shared" si="624"/>
        <v>99</v>
      </c>
      <c r="CG2583" s="16">
        <f t="shared" si="625"/>
        <v>0</v>
      </c>
      <c r="CH2583" s="16">
        <f t="shared" si="632"/>
        <v>0</v>
      </c>
      <c r="CJ2583" s="16" t="e">
        <f t="shared" si="626"/>
        <v>#N/A</v>
      </c>
      <c r="CK2583" s="16" t="str">
        <f t="shared" si="627"/>
        <v/>
      </c>
    </row>
    <row r="2584" spans="73:89" ht="12" customHeight="1">
      <c r="BU2584" s="16">
        <f t="shared" si="628"/>
        <v>0</v>
      </c>
      <c r="BV2584" s="16">
        <f>IF($BY$12=1,NORMDIST(BY2584,$Y$6,$Y$8,TRUE),IF($BY$12=2,IF(BY2584&lt;=$BX$31,0,IF(BY2584&gt;=$BX$32,1,(BY2584-$BX$31)*$BX$33)),SUM($BU$42:BU2584)/$BV$40))</f>
        <v>1</v>
      </c>
      <c r="BW2584" s="16">
        <f t="shared" si="630"/>
        <v>1.1714854956371466E-22</v>
      </c>
      <c r="BY2584" s="16">
        <f t="shared" si="631"/>
        <v>254.19999999998984</v>
      </c>
      <c r="BZ2584" s="16">
        <f t="shared" si="622"/>
        <v>4.6085188656065826E-25</v>
      </c>
      <c r="CA2584" s="16">
        <f t="shared" si="629"/>
        <v>-999</v>
      </c>
      <c r="CE2584" s="16" t="e">
        <f t="shared" si="623"/>
        <v>#N/A</v>
      </c>
      <c r="CF2584" s="16">
        <f t="shared" si="624"/>
        <v>99</v>
      </c>
      <c r="CG2584" s="16">
        <f t="shared" si="625"/>
        <v>0</v>
      </c>
      <c r="CH2584" s="16">
        <f t="shared" si="632"/>
        <v>0</v>
      </c>
      <c r="CJ2584" s="16" t="e">
        <f t="shared" si="626"/>
        <v>#N/A</v>
      </c>
      <c r="CK2584" s="16" t="str">
        <f t="shared" si="627"/>
        <v/>
      </c>
    </row>
    <row r="2585" spans="73:89" ht="12" customHeight="1">
      <c r="BU2585" s="16">
        <f t="shared" si="628"/>
        <v>0</v>
      </c>
      <c r="BV2585" s="16">
        <f>IF($BY$12=1,NORMDIST(BY2585,$Y$6,$Y$8,TRUE),IF($BY$12=2,IF(BY2585&lt;=$BX$31,0,IF(BY2585&gt;=$BX$32,1,(BY2585-$BX$31)*$BX$33)),SUM($BU$42:BU2585)/$BV$40))</f>
        <v>1</v>
      </c>
      <c r="BW2585" s="16">
        <f t="shared" si="630"/>
        <v>1.1136060145091977E-22</v>
      </c>
      <c r="BY2585" s="16">
        <f t="shared" si="631"/>
        <v>254.29999999998984</v>
      </c>
      <c r="BZ2585" s="16">
        <f t="shared" si="622"/>
        <v>4.3791034782117267E-25</v>
      </c>
      <c r="CA2585" s="16">
        <f t="shared" si="629"/>
        <v>-999</v>
      </c>
      <c r="CE2585" s="16" t="e">
        <f t="shared" si="623"/>
        <v>#N/A</v>
      </c>
      <c r="CF2585" s="16">
        <f t="shared" si="624"/>
        <v>99</v>
      </c>
      <c r="CG2585" s="16">
        <f t="shared" si="625"/>
        <v>0</v>
      </c>
      <c r="CH2585" s="16">
        <f t="shared" si="632"/>
        <v>0</v>
      </c>
      <c r="CJ2585" s="16" t="e">
        <f t="shared" si="626"/>
        <v>#N/A</v>
      </c>
      <c r="CK2585" s="16" t="str">
        <f t="shared" si="627"/>
        <v/>
      </c>
    </row>
    <row r="2586" spans="73:89" ht="12" customHeight="1">
      <c r="BU2586" s="16">
        <f t="shared" si="628"/>
        <v>0</v>
      </c>
      <c r="BV2586" s="16">
        <f>IF($BY$12=1,NORMDIST(BY2586,$Y$6,$Y$8,TRUE),IF($BY$12=2,IF(BY2586&lt;=$BX$31,0,IF(BY2586&gt;=$BX$32,1,(BY2586-$BX$31)*$BX$33)),SUM($BU$42:BU2586)/$BV$40))</f>
        <v>1</v>
      </c>
      <c r="BW2586" s="16">
        <f t="shared" si="630"/>
        <v>1.0585595518146607E-22</v>
      </c>
      <c r="BY2586" s="16">
        <f t="shared" si="631"/>
        <v>254.39999999998983</v>
      </c>
      <c r="BZ2586" s="16">
        <f t="shared" si="622"/>
        <v>4.1610045275735182E-25</v>
      </c>
      <c r="CA2586" s="16">
        <f t="shared" si="629"/>
        <v>-999</v>
      </c>
      <c r="CE2586" s="16" t="e">
        <f t="shared" si="623"/>
        <v>#N/A</v>
      </c>
      <c r="CF2586" s="16">
        <f t="shared" si="624"/>
        <v>99</v>
      </c>
      <c r="CG2586" s="16">
        <f t="shared" si="625"/>
        <v>0</v>
      </c>
      <c r="CH2586" s="16">
        <f t="shared" si="632"/>
        <v>0</v>
      </c>
      <c r="CJ2586" s="16" t="e">
        <f t="shared" si="626"/>
        <v>#N/A</v>
      </c>
      <c r="CK2586" s="16" t="str">
        <f t="shared" si="627"/>
        <v/>
      </c>
    </row>
    <row r="2587" spans="73:89" ht="12" customHeight="1">
      <c r="BU2587" s="16">
        <f t="shared" si="628"/>
        <v>0</v>
      </c>
      <c r="BV2587" s="16">
        <f>IF($BY$12=1,NORMDIST(BY2587,$Y$6,$Y$8,TRUE),IF($BY$12=2,IF(BY2587&lt;=$BX$31,0,IF(BY2587&gt;=$BX$32,1,(BY2587-$BX$31)*$BX$33)),SUM($BU$42:BU2587)/$BV$40))</f>
        <v>1</v>
      </c>
      <c r="BW2587" s="16">
        <f t="shared" si="630"/>
        <v>1.0062087701086128E-22</v>
      </c>
      <c r="BY2587" s="16">
        <f t="shared" si="631"/>
        <v>254.49999999998983</v>
      </c>
      <c r="BZ2587" s="16">
        <f t="shared" si="622"/>
        <v>3.9536690377550216E-25</v>
      </c>
      <c r="CA2587" s="16">
        <f t="shared" si="629"/>
        <v>-999</v>
      </c>
      <c r="CE2587" s="16" t="e">
        <f t="shared" si="623"/>
        <v>#N/A</v>
      </c>
      <c r="CF2587" s="16">
        <f t="shared" si="624"/>
        <v>99</v>
      </c>
      <c r="CG2587" s="16">
        <f t="shared" si="625"/>
        <v>0</v>
      </c>
      <c r="CH2587" s="16">
        <f t="shared" si="632"/>
        <v>0</v>
      </c>
      <c r="CJ2587" s="16" t="e">
        <f t="shared" si="626"/>
        <v>#N/A</v>
      </c>
      <c r="CK2587" s="16" t="str">
        <f t="shared" si="627"/>
        <v/>
      </c>
    </row>
    <row r="2588" spans="73:89" ht="12" customHeight="1">
      <c r="BU2588" s="16">
        <f t="shared" si="628"/>
        <v>0</v>
      </c>
      <c r="BV2588" s="16">
        <f>IF($BY$12=1,NORMDIST(BY2588,$Y$6,$Y$8,TRUE),IF($BY$12=2,IF(BY2588&lt;=$BX$31,0,IF(BY2588&gt;=$BX$32,1,(BY2588-$BX$31)*$BX$33)),SUM($BU$42:BU2588)/$BV$40))</f>
        <v>1</v>
      </c>
      <c r="BW2588" s="16">
        <f t="shared" si="630"/>
        <v>9.5642292387894418E-23</v>
      </c>
      <c r="BY2588" s="16">
        <f t="shared" si="631"/>
        <v>254.59999999998982</v>
      </c>
      <c r="BZ2588" s="16">
        <f t="shared" si="622"/>
        <v>3.7565707929260897E-25</v>
      </c>
      <c r="CA2588" s="16">
        <f t="shared" si="629"/>
        <v>-999</v>
      </c>
      <c r="CE2588" s="16" t="e">
        <f t="shared" si="623"/>
        <v>#N/A</v>
      </c>
      <c r="CF2588" s="16">
        <f t="shared" si="624"/>
        <v>99</v>
      </c>
      <c r="CG2588" s="16">
        <f t="shared" si="625"/>
        <v>0</v>
      </c>
      <c r="CH2588" s="16">
        <f t="shared" si="632"/>
        <v>0</v>
      </c>
      <c r="CJ2588" s="16" t="e">
        <f t="shared" si="626"/>
        <v>#N/A</v>
      </c>
      <c r="CK2588" s="16" t="str">
        <f t="shared" si="627"/>
        <v/>
      </c>
    </row>
    <row r="2589" spans="73:89" ht="12" customHeight="1">
      <c r="BU2589" s="16">
        <f t="shared" si="628"/>
        <v>0</v>
      </c>
      <c r="BV2589" s="16">
        <f>IF($BY$12=1,NORMDIST(BY2589,$Y$6,$Y$8,TRUE),IF($BY$12=2,IF(BY2589&lt;=$BX$31,0,IF(BY2589&gt;=$BX$32,1,(BY2589-$BX$31)*$BX$33)),SUM($BU$42:BU2589)/$BV$40))</f>
        <v>1</v>
      </c>
      <c r="BW2589" s="16">
        <f t="shared" si="630"/>
        <v>9.0907754637571469E-23</v>
      </c>
      <c r="BY2589" s="16">
        <f t="shared" si="631"/>
        <v>254.69999999998981</v>
      </c>
      <c r="BZ2589" s="16">
        <f t="shared" si="622"/>
        <v>3.5692090552640401E-25</v>
      </c>
      <c r="CA2589" s="16">
        <f t="shared" si="629"/>
        <v>-999</v>
      </c>
      <c r="CE2589" s="16" t="e">
        <f t="shared" si="623"/>
        <v>#N/A</v>
      </c>
      <c r="CF2589" s="16">
        <f t="shared" si="624"/>
        <v>99</v>
      </c>
      <c r="CG2589" s="16">
        <f t="shared" si="625"/>
        <v>0</v>
      </c>
      <c r="CH2589" s="16">
        <f t="shared" si="632"/>
        <v>0</v>
      </c>
      <c r="CJ2589" s="16" t="e">
        <f t="shared" si="626"/>
        <v>#N/A</v>
      </c>
      <c r="CK2589" s="16" t="str">
        <f t="shared" si="627"/>
        <v/>
      </c>
    </row>
    <row r="2590" spans="73:89" ht="12" customHeight="1">
      <c r="BU2590" s="16">
        <f t="shared" si="628"/>
        <v>0</v>
      </c>
      <c r="BV2590" s="16">
        <f>IF($BY$12=1,NORMDIST(BY2590,$Y$6,$Y$8,TRUE),IF($BY$12=2,IF(BY2590&lt;=$BX$31,0,IF(BY2590&gt;=$BX$32,1,(BY2590-$BX$31)*$BX$33)),SUM($BU$42:BU2590)/$BV$40))</f>
        <v>1</v>
      </c>
      <c r="BW2590" s="16">
        <f t="shared" si="630"/>
        <v>8.6405415116164185E-23</v>
      </c>
      <c r="BY2590" s="16">
        <f t="shared" si="631"/>
        <v>254.79999999998981</v>
      </c>
      <c r="BZ2590" s="16">
        <f t="shared" si="622"/>
        <v>3.3911073436486515E-25</v>
      </c>
      <c r="CA2590" s="16">
        <f t="shared" si="629"/>
        <v>-999</v>
      </c>
      <c r="CE2590" s="16" t="e">
        <f t="shared" si="623"/>
        <v>#N/A</v>
      </c>
      <c r="CF2590" s="16">
        <f t="shared" si="624"/>
        <v>99</v>
      </c>
      <c r="CG2590" s="16">
        <f t="shared" si="625"/>
        <v>0</v>
      </c>
      <c r="CH2590" s="16">
        <f t="shared" si="632"/>
        <v>0</v>
      </c>
      <c r="CJ2590" s="16" t="e">
        <f t="shared" si="626"/>
        <v>#N/A</v>
      </c>
      <c r="CK2590" s="16" t="str">
        <f t="shared" si="627"/>
        <v/>
      </c>
    </row>
    <row r="2591" spans="73:89" ht="12" customHeight="1">
      <c r="BU2591" s="16">
        <f t="shared" si="628"/>
        <v>0</v>
      </c>
      <c r="BV2591" s="16">
        <f>IF($BY$12=1,NORMDIST(BY2591,$Y$6,$Y$8,TRUE),IF($BY$12=2,IF(BY2591&lt;=$BX$31,0,IF(BY2591&gt;=$BX$32,1,(BY2591-$BX$31)*$BX$33)),SUM($BU$42:BU2591)/$BV$40))</f>
        <v>1</v>
      </c>
      <c r="BW2591" s="16">
        <f t="shared" si="630"/>
        <v>8.2123994769947434E-23</v>
      </c>
      <c r="BY2591" s="16">
        <f t="shared" si="631"/>
        <v>254.8999999999898</v>
      </c>
      <c r="BZ2591" s="16">
        <f t="shared" si="622"/>
        <v>3.2218122703001461E-25</v>
      </c>
      <c r="CA2591" s="16">
        <f t="shared" si="629"/>
        <v>-999</v>
      </c>
      <c r="CE2591" s="16" t="e">
        <f t="shared" si="623"/>
        <v>#N/A</v>
      </c>
      <c r="CF2591" s="16">
        <f t="shared" si="624"/>
        <v>99</v>
      </c>
      <c r="CG2591" s="16">
        <f t="shared" si="625"/>
        <v>0</v>
      </c>
      <c r="CH2591" s="16">
        <f t="shared" si="632"/>
        <v>0</v>
      </c>
      <c r="CJ2591" s="16" t="e">
        <f t="shared" si="626"/>
        <v>#N/A</v>
      </c>
      <c r="CK2591" s="16" t="str">
        <f t="shared" si="627"/>
        <v/>
      </c>
    </row>
    <row r="2592" spans="73:89" ht="12" customHeight="1">
      <c r="BU2592" s="16">
        <f t="shared" si="628"/>
        <v>0</v>
      </c>
      <c r="BV2592" s="16">
        <f>IF($BY$12=1,NORMDIST(BY2592,$Y$6,$Y$8,TRUE),IF($BY$12=2,IF(BY2592&lt;=$BX$31,0,IF(BY2592&gt;=$BX$32,1,(BY2592-$BX$31)*$BX$33)),SUM($BU$42:BU2592)/$BV$40))</f>
        <v>1</v>
      </c>
      <c r="BW2592" s="16">
        <f t="shared" si="630"/>
        <v>7.8052757032305852E-23</v>
      </c>
      <c r="BY2592" s="16">
        <f t="shared" si="631"/>
        <v>254.9999999999898</v>
      </c>
      <c r="BZ2592" s="16">
        <f t="shared" si="622"/>
        <v>3.0608924326395676E-25</v>
      </c>
      <c r="CA2592" s="16">
        <f t="shared" si="629"/>
        <v>-999</v>
      </c>
      <c r="CE2592" s="16" t="e">
        <f t="shared" si="623"/>
        <v>#N/A</v>
      </c>
      <c r="CF2592" s="16">
        <f t="shared" si="624"/>
        <v>99</v>
      </c>
      <c r="CG2592" s="16">
        <f t="shared" si="625"/>
        <v>0</v>
      </c>
      <c r="CH2592" s="16">
        <f t="shared" si="632"/>
        <v>0</v>
      </c>
      <c r="CJ2592" s="16" t="e">
        <f t="shared" si="626"/>
        <v>#N/A</v>
      </c>
      <c r="CK2592" s="16" t="str">
        <f t="shared" si="627"/>
        <v/>
      </c>
    </row>
    <row r="2593" spans="73:89" ht="12" customHeight="1">
      <c r="BU2593" s="16">
        <f t="shared" si="628"/>
        <v>0</v>
      </c>
      <c r="BV2593" s="16">
        <f>IF($BY$12=1,NORMDIST(BY2593,$Y$6,$Y$8,TRUE),IF($BY$12=2,IF(BY2593&lt;=$BX$31,0,IF(BY2593&gt;=$BX$32,1,(BY2593-$BX$31)*$BX$33)),SUM($BU$42:BU2593)/$BV$40))</f>
        <v>1</v>
      </c>
      <c r="BW2593" s="16">
        <f t="shared" si="630"/>
        <v>7.4181481996934275E-23</v>
      </c>
      <c r="BY2593" s="16">
        <f t="shared" si="631"/>
        <v>255.09999999998979</v>
      </c>
      <c r="BZ2593" s="16">
        <f t="shared" si="622"/>
        <v>2.907937357778802E-25</v>
      </c>
      <c r="CA2593" s="16">
        <f t="shared" si="629"/>
        <v>-999</v>
      </c>
      <c r="CE2593" s="16" t="e">
        <f t="shared" si="623"/>
        <v>#N/A</v>
      </c>
      <c r="CF2593" s="16">
        <f t="shared" si="624"/>
        <v>99</v>
      </c>
      <c r="CG2593" s="16">
        <f t="shared" si="625"/>
        <v>0</v>
      </c>
      <c r="CH2593" s="16">
        <f t="shared" si="632"/>
        <v>0</v>
      </c>
      <c r="CJ2593" s="16" t="e">
        <f t="shared" si="626"/>
        <v>#N/A</v>
      </c>
      <c r="CK2593" s="16" t="str">
        <f t="shared" si="627"/>
        <v/>
      </c>
    </row>
    <row r="2594" spans="73:89" ht="12" customHeight="1">
      <c r="BU2594" s="16">
        <f t="shared" si="628"/>
        <v>0</v>
      </c>
      <c r="BV2594" s="16">
        <f>IF($BY$12=1,NORMDIST(BY2594,$Y$6,$Y$8,TRUE),IF($BY$12=2,IF(BY2594&lt;=$BX$31,0,IF(BY2594&gt;=$BX$32,1,(BY2594-$BX$31)*$BX$33)),SUM($BU$42:BU2594)/$BV$40))</f>
        <v>1</v>
      </c>
      <c r="BW2594" s="16">
        <f t="shared" si="630"/>
        <v>7.0500441807685196E-23</v>
      </c>
      <c r="BY2594" s="16">
        <f t="shared" si="631"/>
        <v>255.19999999998979</v>
      </c>
      <c r="BZ2594" s="16">
        <f t="shared" si="622"/>
        <v>2.7625564971664582E-25</v>
      </c>
      <c r="CA2594" s="16">
        <f t="shared" si="629"/>
        <v>-999</v>
      </c>
      <c r="CE2594" s="16" t="e">
        <f t="shared" si="623"/>
        <v>#N/A</v>
      </c>
      <c r="CF2594" s="16">
        <f t="shared" si="624"/>
        <v>99</v>
      </c>
      <c r="CG2594" s="16">
        <f t="shared" si="625"/>
        <v>0</v>
      </c>
      <c r="CH2594" s="16">
        <f t="shared" si="632"/>
        <v>0</v>
      </c>
      <c r="CJ2594" s="16" t="e">
        <f t="shared" si="626"/>
        <v>#N/A</v>
      </c>
      <c r="CK2594" s="16" t="str">
        <f t="shared" si="627"/>
        <v/>
      </c>
    </row>
    <row r="2595" spans="73:89" ht="12" customHeight="1">
      <c r="BU2595" s="16">
        <f t="shared" si="628"/>
        <v>0</v>
      </c>
      <c r="BV2595" s="16">
        <f>IF($BY$12=1,NORMDIST(BY2595,$Y$6,$Y$8,TRUE),IF($BY$12=2,IF(BY2595&lt;=$BX$31,0,IF(BY2595&gt;=$BX$32,1,(BY2595-$BX$31)*$BX$33)),SUM($BU$42:BU2595)/$BV$40))</f>
        <v>1</v>
      </c>
      <c r="BW2595" s="16">
        <f t="shared" si="630"/>
        <v>6.7000377208388928E-23</v>
      </c>
      <c r="BY2595" s="16">
        <f t="shared" si="631"/>
        <v>255.29999999998978</v>
      </c>
      <c r="BZ2595" s="16">
        <f t="shared" si="622"/>
        <v>2.6243782690321823E-25</v>
      </c>
      <c r="CA2595" s="16">
        <f t="shared" si="629"/>
        <v>-999</v>
      </c>
      <c r="CE2595" s="16" t="e">
        <f t="shared" si="623"/>
        <v>#N/A</v>
      </c>
      <c r="CF2595" s="16">
        <f t="shared" si="624"/>
        <v>99</v>
      </c>
      <c r="CG2595" s="16">
        <f t="shared" si="625"/>
        <v>0</v>
      </c>
      <c r="CH2595" s="16">
        <f t="shared" si="632"/>
        <v>0</v>
      </c>
      <c r="CJ2595" s="16" t="e">
        <f t="shared" si="626"/>
        <v>#N/A</v>
      </c>
      <c r="CK2595" s="16" t="str">
        <f t="shared" si="627"/>
        <v/>
      </c>
    </row>
    <row r="2596" spans="73:89" ht="12" customHeight="1">
      <c r="BU2596" s="16">
        <f t="shared" si="628"/>
        <v>0</v>
      </c>
      <c r="BV2596" s="16">
        <f>IF($BY$12=1,NORMDIST(BY2596,$Y$6,$Y$8,TRUE),IF($BY$12=2,IF(BY2596&lt;=$BX$31,0,IF(BY2596&gt;=$BX$32,1,(BY2596-$BX$31)*$BX$33)),SUM($BU$42:BU2596)/$BV$40))</f>
        <v>1</v>
      </c>
      <c r="BW2596" s="16">
        <f t="shared" si="630"/>
        <v>6.3672475198550443E-23</v>
      </c>
      <c r="BY2596" s="16">
        <f t="shared" si="631"/>
        <v>255.39999999998977</v>
      </c>
      <c r="BZ2596" s="16">
        <f t="shared" si="622"/>
        <v>2.4930491463803053E-25</v>
      </c>
      <c r="CA2596" s="16">
        <f t="shared" si="629"/>
        <v>-999</v>
      </c>
      <c r="CE2596" s="16" t="e">
        <f t="shared" si="623"/>
        <v>#N/A</v>
      </c>
      <c r="CF2596" s="16">
        <f t="shared" si="624"/>
        <v>99</v>
      </c>
      <c r="CG2596" s="16">
        <f t="shared" si="625"/>
        <v>0</v>
      </c>
      <c r="CH2596" s="16">
        <f t="shared" si="632"/>
        <v>0</v>
      </c>
      <c r="CJ2596" s="16" t="e">
        <f t="shared" si="626"/>
        <v>#N/A</v>
      </c>
      <c r="CK2596" s="16" t="str">
        <f t="shared" si="627"/>
        <v/>
      </c>
    </row>
    <row r="2597" spans="73:89" ht="12" customHeight="1">
      <c r="BU2597" s="16">
        <f t="shared" si="628"/>
        <v>0</v>
      </c>
      <c r="BV2597" s="16">
        <f>IF($BY$12=1,NORMDIST(BY2597,$Y$6,$Y$8,TRUE),IF($BY$12=2,IF(BY2597&lt;=$BX$31,0,IF(BY2597&gt;=$BX$32,1,(BY2597-$BX$31)*$BX$33)),SUM($BU$42:BU2597)/$BV$40))</f>
        <v>1</v>
      </c>
      <c r="BW2597" s="16">
        <f t="shared" si="630"/>
        <v>6.0508347743346698E-23</v>
      </c>
      <c r="BY2597" s="16">
        <f t="shared" si="631"/>
        <v>255.49999999998977</v>
      </c>
      <c r="BZ2597" s="16">
        <f t="shared" si="622"/>
        <v>2.3682327883893983E-25</v>
      </c>
      <c r="CA2597" s="16">
        <f t="shared" si="629"/>
        <v>-999</v>
      </c>
      <c r="CE2597" s="16" t="e">
        <f t="shared" si="623"/>
        <v>#N/A</v>
      </c>
      <c r="CF2597" s="16">
        <f t="shared" si="624"/>
        <v>99</v>
      </c>
      <c r="CG2597" s="16">
        <f t="shared" si="625"/>
        <v>0</v>
      </c>
      <c r="CH2597" s="16">
        <f t="shared" si="632"/>
        <v>0</v>
      </c>
      <c r="CJ2597" s="16" t="e">
        <f t="shared" si="626"/>
        <v>#N/A</v>
      </c>
      <c r="CK2597" s="16" t="str">
        <f t="shared" si="627"/>
        <v/>
      </c>
    </row>
    <row r="2598" spans="73:89" ht="12" customHeight="1">
      <c r="BU2598" s="16">
        <f t="shared" si="628"/>
        <v>0</v>
      </c>
      <c r="BV2598" s="16">
        <f>IF($BY$12=1,NORMDIST(BY2598,$Y$6,$Y$8,TRUE),IF($BY$12=2,IF(BY2598&lt;=$BX$31,0,IF(BY2598&gt;=$BX$32,1,(BY2598-$BX$31)*$BX$33)),SUM($BU$42:BU2598)/$BV$40))</f>
        <v>1</v>
      </c>
      <c r="BW2598" s="16">
        <f t="shared" si="630"/>
        <v>5.7500011488715874E-23</v>
      </c>
      <c r="BY2598" s="16">
        <f t="shared" si="631"/>
        <v>255.59999999998976</v>
      </c>
      <c r="BZ2598" s="16">
        <f t="shared" si="622"/>
        <v>2.2496092131736377E-25</v>
      </c>
      <c r="CA2598" s="16">
        <f t="shared" si="629"/>
        <v>-999</v>
      </c>
      <c r="CE2598" s="16" t="e">
        <f t="shared" si="623"/>
        <v>#N/A</v>
      </c>
      <c r="CF2598" s="16">
        <f t="shared" si="624"/>
        <v>99</v>
      </c>
      <c r="CG2598" s="16">
        <f t="shared" si="625"/>
        <v>0</v>
      </c>
      <c r="CH2598" s="16">
        <f t="shared" si="632"/>
        <v>0</v>
      </c>
      <c r="CJ2598" s="16" t="e">
        <f t="shared" si="626"/>
        <v>#N/A</v>
      </c>
      <c r="CK2598" s="16" t="str">
        <f t="shared" si="627"/>
        <v/>
      </c>
    </row>
    <row r="2599" spans="73:89" ht="12" customHeight="1">
      <c r="BU2599" s="16">
        <f t="shared" si="628"/>
        <v>0</v>
      </c>
      <c r="BV2599" s="16">
        <f>IF($BY$12=1,NORMDIST(BY2599,$Y$6,$Y$8,TRUE),IF($BY$12=2,IF(BY2599&lt;=$BX$31,0,IF(BY2599&gt;=$BX$32,1,(BY2599-$BX$31)*$BX$33)),SUM($BU$42:BU2599)/$BV$40))</f>
        <v>1</v>
      </c>
      <c r="BW2599" s="16">
        <f t="shared" si="630"/>
        <v>5.4639868434593345E-23</v>
      </c>
      <c r="BY2599" s="16">
        <f t="shared" si="631"/>
        <v>255.69999999998976</v>
      </c>
      <c r="BZ2599" s="16">
        <f t="shared" si="622"/>
        <v>2.1368740099568063E-25</v>
      </c>
      <c r="CA2599" s="16">
        <f t="shared" si="629"/>
        <v>-999</v>
      </c>
      <c r="CE2599" s="16" t="e">
        <f t="shared" si="623"/>
        <v>#N/A</v>
      </c>
      <c r="CF2599" s="16">
        <f t="shared" si="624"/>
        <v>99</v>
      </c>
      <c r="CG2599" s="16">
        <f t="shared" si="625"/>
        <v>0</v>
      </c>
      <c r="CH2599" s="16">
        <f t="shared" si="632"/>
        <v>0</v>
      </c>
      <c r="CJ2599" s="16" t="e">
        <f t="shared" si="626"/>
        <v>#N/A</v>
      </c>
      <c r="CK2599" s="16" t="str">
        <f t="shared" si="627"/>
        <v/>
      </c>
    </row>
    <row r="2600" spans="73:89" ht="12" customHeight="1">
      <c r="BU2600" s="16">
        <f t="shared" si="628"/>
        <v>0</v>
      </c>
      <c r="BV2600" s="16">
        <f>IF($BY$12=1,NORMDIST(BY2600,$Y$6,$Y$8,TRUE),IF($BY$12=2,IF(BY2600&lt;=$BX$31,0,IF(BY2600&gt;=$BX$32,1,(BY2600-$BX$31)*$BX$33)),SUM($BU$42:BU2600)/$BV$40))</f>
        <v>1</v>
      </c>
      <c r="BW2600" s="16">
        <f t="shared" si="630"/>
        <v>5.1920687521537857E-23</v>
      </c>
      <c r="BY2600" s="16">
        <f t="shared" si="631"/>
        <v>255.79999999998975</v>
      </c>
      <c r="BZ2600" s="16">
        <f t="shared" si="622"/>
        <v>2.0297375888014048E-25</v>
      </c>
      <c r="CA2600" s="16">
        <f t="shared" si="629"/>
        <v>-999</v>
      </c>
      <c r="CE2600" s="16" t="e">
        <f t="shared" si="623"/>
        <v>#N/A</v>
      </c>
      <c r="CF2600" s="16">
        <f t="shared" si="624"/>
        <v>99</v>
      </c>
      <c r="CG2600" s="16">
        <f t="shared" si="625"/>
        <v>0</v>
      </c>
      <c r="CH2600" s="16">
        <f t="shared" si="632"/>
        <v>0</v>
      </c>
      <c r="CJ2600" s="16" t="e">
        <f t="shared" si="626"/>
        <v>#N/A</v>
      </c>
      <c r="CK2600" s="16" t="str">
        <f t="shared" si="627"/>
        <v/>
      </c>
    </row>
    <row r="2601" spans="73:89" ht="12" customHeight="1">
      <c r="BU2601" s="16">
        <f t="shared" si="628"/>
        <v>0</v>
      </c>
      <c r="BV2601" s="16">
        <f>IF($BY$12=1,NORMDIST(BY2601,$Y$6,$Y$8,TRUE),IF($BY$12=2,IF(BY2601&lt;=$BX$31,0,IF(BY2601&gt;=$BX$32,1,(BY2601-$BX$31)*$BX$33)),SUM($BU$42:BU2601)/$BV$40))</f>
        <v>1</v>
      </c>
      <c r="BW2601" s="16">
        <f t="shared" si="630"/>
        <v>4.9335587088033749E-23</v>
      </c>
      <c r="BY2601" s="16">
        <f t="shared" si="631"/>
        <v>255.89999999998975</v>
      </c>
      <c r="BZ2601" s="16">
        <f t="shared" si="622"/>
        <v>1.9279244661209741E-25</v>
      </c>
      <c r="CA2601" s="16">
        <f t="shared" si="629"/>
        <v>-999</v>
      </c>
      <c r="CE2601" s="16" t="e">
        <f t="shared" si="623"/>
        <v>#N/A</v>
      </c>
      <c r="CF2601" s="16">
        <f t="shared" si="624"/>
        <v>99</v>
      </c>
      <c r="CG2601" s="16">
        <f t="shared" si="625"/>
        <v>0</v>
      </c>
      <c r="CH2601" s="16">
        <f t="shared" si="632"/>
        <v>0</v>
      </c>
      <c r="CJ2601" s="16" t="e">
        <f t="shared" si="626"/>
        <v>#N/A</v>
      </c>
      <c r="CK2601" s="16" t="str">
        <f t="shared" si="627"/>
        <v/>
      </c>
    </row>
    <row r="2602" spans="73:89" ht="12" customHeight="1">
      <c r="BU2602" s="16">
        <f t="shared" si="628"/>
        <v>0</v>
      </c>
      <c r="BV2602" s="16">
        <f>IF($BY$12=1,NORMDIST(BY2602,$Y$6,$Y$8,TRUE),IF($BY$12=2,IF(BY2602&lt;=$BX$31,0,IF(BY2602&gt;=$BX$32,1,(BY2602-$BX$31)*$BX$33)),SUM($BU$42:BU2602)/$BV$40))</f>
        <v>1</v>
      </c>
      <c r="BW2602" s="16">
        <f t="shared" si="630"/>
        <v>4.6878018157755098E-23</v>
      </c>
      <c r="BY2602" s="16">
        <f t="shared" si="631"/>
        <v>255.99999999998974</v>
      </c>
      <c r="BZ2602" s="16">
        <f t="shared" ref="BZ2602:BZ2665" si="633">IF($BZ$5,IF($BY$12=1,NORMDIST(BY2602,$Y$6,$Y$8,FALSE),IF($BY$12=2,IF(AND(BY2602&gt;=$BX$31,BY2602&lt;=$BX$32),$BX$33,0),IF(BY2602&lt;=$BX$13,0,NORMDIST(LN((BY2602-$BX$13)/$BX$12),0,$BW$8,FALSE)/((BY2602-$BX$13)/$BX$12)))),-999)</f>
        <v>1.831172584287382E-25</v>
      </c>
      <c r="CA2602" s="16">
        <f t="shared" si="629"/>
        <v>-999</v>
      </c>
      <c r="CE2602" s="16" t="e">
        <f t="shared" ref="CE2602:CE2665" si="634">IF(AND($CB$7,$CD$2,$CD$1),26+$P$23/2-CC2602*$P$23,NA())</f>
        <v>#N/A</v>
      </c>
      <c r="CF2602" s="16">
        <f t="shared" ref="CF2602:CF2665" si="635">IF(ISNA(CJ2602),99,CJ2602)</f>
        <v>99</v>
      </c>
      <c r="CG2602" s="16">
        <f t="shared" ref="CG2602:CG2665" si="636">IF(ISNA(CJ2602),0,CJ2602)</f>
        <v>0</v>
      </c>
      <c r="CH2602" s="16">
        <f t="shared" si="632"/>
        <v>0</v>
      </c>
      <c r="CJ2602" s="16" t="e">
        <f t="shared" ref="CJ2602:CJ2665" si="637">IF(CH2602=1,CE2602,NA())</f>
        <v>#N/A</v>
      </c>
      <c r="CK2602" s="16" t="str">
        <f t="shared" ref="CK2602:CK2665" si="638">IF(CH2602=1,M2501,"")</f>
        <v/>
      </c>
    </row>
    <row r="2603" spans="73:89" ht="12" customHeight="1">
      <c r="BU2603" s="16">
        <f t="shared" ref="BU2603:BU2666" si="639">IF($BY$12&lt;3,0,IF(BY2603&lt;=$BX$13,0,NORMDIST(LN((BY2603-$BX$13)/$BX$12),0,$BW$8,FALSE)/((BY2603-$BX$13)/$BX$12)))</f>
        <v>0</v>
      </c>
      <c r="BV2603" s="16">
        <f>IF($BY$12=1,NORMDIST(BY2603,$Y$6,$Y$8,TRUE),IF($BY$12=2,IF(BY2603&lt;=$BX$31,0,IF(BY2603&gt;=$BX$32,1,(BY2603-$BX$31)*$BX$33)),SUM($BU$42:BU2603)/$BV$40))</f>
        <v>1</v>
      </c>
      <c r="BW2603" s="16">
        <f t="shared" si="630"/>
        <v>4.4541748517936367E-23</v>
      </c>
      <c r="BY2603" s="16">
        <f t="shared" si="631"/>
        <v>256.09999999998973</v>
      </c>
      <c r="BZ2603" s="16">
        <f t="shared" si="633"/>
        <v>1.7392326637226924E-25</v>
      </c>
      <c r="CA2603" s="16">
        <f t="shared" ref="CA2603:CA2666" si="640">IF(AND($CD$1,$CD$3),26-$CD$40*NORMDIST(BY2603,$Y$6,$Y$8/SQRT($T$18),FALSE),-999)</f>
        <v>-999</v>
      </c>
      <c r="CE2603" s="16" t="e">
        <f t="shared" si="634"/>
        <v>#N/A</v>
      </c>
      <c r="CF2603" s="16">
        <f t="shared" si="635"/>
        <v>99</v>
      </c>
      <c r="CG2603" s="16">
        <f t="shared" si="636"/>
        <v>0</v>
      </c>
      <c r="CH2603" s="16">
        <f t="shared" si="632"/>
        <v>0</v>
      </c>
      <c r="CJ2603" s="16" t="e">
        <f t="shared" si="637"/>
        <v>#N/A</v>
      </c>
      <c r="CK2603" s="16" t="str">
        <f t="shared" si="638"/>
        <v/>
      </c>
    </row>
    <row r="2604" spans="73:89" ht="12" customHeight="1">
      <c r="BU2604" s="16">
        <f t="shared" si="639"/>
        <v>0</v>
      </c>
      <c r="BV2604" s="16">
        <f>IF($BY$12=1,NORMDIST(BY2604,$Y$6,$Y$8,TRUE),IF($BY$12=2,IF(BY2604&lt;=$BX$31,0,IF(BY2604&gt;=$BX$32,1,(BY2604-$BX$31)*$BX$33)),SUM($BU$42:BU2604)/$BV$40))</f>
        <v>1</v>
      </c>
      <c r="BW2604" s="16">
        <f t="shared" si="630"/>
        <v>4.2320847551815235E-23</v>
      </c>
      <c r="BY2604" s="16">
        <f t="shared" si="631"/>
        <v>256.19999999998976</v>
      </c>
      <c r="BZ2604" s="16">
        <f t="shared" si="633"/>
        <v>1.651867585941332E-25</v>
      </c>
      <c r="CA2604" s="16">
        <f t="shared" si="640"/>
        <v>-999</v>
      </c>
      <c r="CE2604" s="16" t="e">
        <f t="shared" si="634"/>
        <v>#N/A</v>
      </c>
      <c r="CF2604" s="16">
        <f t="shared" si="635"/>
        <v>99</v>
      </c>
      <c r="CG2604" s="16">
        <f t="shared" si="636"/>
        <v>0</v>
      </c>
      <c r="CH2604" s="16">
        <f t="shared" si="632"/>
        <v>0</v>
      </c>
      <c r="CJ2604" s="16" t="e">
        <f t="shared" si="637"/>
        <v>#N/A</v>
      </c>
      <c r="CK2604" s="16" t="str">
        <f t="shared" si="638"/>
        <v/>
      </c>
    </row>
    <row r="2605" spans="73:89" ht="12" customHeight="1">
      <c r="BU2605" s="16">
        <f t="shared" si="639"/>
        <v>0</v>
      </c>
      <c r="BV2605" s="16">
        <f>IF($BY$12=1,NORMDIST(BY2605,$Y$6,$Y$8,TRUE),IF($BY$12=2,IF(BY2605&lt;=$BX$31,0,IF(BY2605&gt;=$BX$32,1,(BY2605-$BX$31)*$BX$33)),SUM($BU$42:BU2605)/$BV$40))</f>
        <v>1</v>
      </c>
      <c r="BW2605" s="16">
        <f t="shared" si="630"/>
        <v>4.0209671789808328E-23</v>
      </c>
      <c r="BY2605" s="16">
        <f t="shared" si="631"/>
        <v>256.29999999998978</v>
      </c>
      <c r="BZ2605" s="16">
        <f t="shared" si="633"/>
        <v>1.5688518060792015E-25</v>
      </c>
      <c r="CA2605" s="16">
        <f t="shared" si="640"/>
        <v>-999</v>
      </c>
      <c r="CE2605" s="16" t="e">
        <f t="shared" si="634"/>
        <v>#N/A</v>
      </c>
      <c r="CF2605" s="16">
        <f t="shared" si="635"/>
        <v>99</v>
      </c>
      <c r="CG2605" s="16">
        <f t="shared" si="636"/>
        <v>0</v>
      </c>
      <c r="CH2605" s="16">
        <f t="shared" si="632"/>
        <v>0</v>
      </c>
      <c r="CJ2605" s="16" t="e">
        <f t="shared" si="637"/>
        <v>#N/A</v>
      </c>
      <c r="CK2605" s="16" t="str">
        <f t="shared" si="638"/>
        <v/>
      </c>
    </row>
    <row r="2606" spans="73:89" ht="12" customHeight="1">
      <c r="BU2606" s="16">
        <f t="shared" si="639"/>
        <v>0</v>
      </c>
      <c r="BV2606" s="16">
        <f>IF($BY$12=1,NORMDIST(BY2606,$Y$6,$Y$8,TRUE),IF($BY$12=2,IF(BY2606&lt;=$BX$31,0,IF(BY2606&gt;=$BX$32,1,(BY2606-$BX$31)*$BX$33)),SUM($BU$42:BU2606)/$BV$40))</f>
        <v>1</v>
      </c>
      <c r="BW2606" s="16">
        <f t="shared" si="630"/>
        <v>3.8202851145733461E-23</v>
      </c>
      <c r="BY2606" s="16">
        <f t="shared" si="631"/>
        <v>256.3999999999898</v>
      </c>
      <c r="BZ2606" s="16">
        <f t="shared" si="633"/>
        <v>1.4899707935154049E-25</v>
      </c>
      <c r="CA2606" s="16">
        <f t="shared" si="640"/>
        <v>-999</v>
      </c>
      <c r="CE2606" s="16" t="e">
        <f t="shared" si="634"/>
        <v>#N/A</v>
      </c>
      <c r="CF2606" s="16">
        <f t="shared" si="635"/>
        <v>99</v>
      </c>
      <c r="CG2606" s="16">
        <f t="shared" si="636"/>
        <v>0</v>
      </c>
      <c r="CH2606" s="16">
        <f t="shared" si="632"/>
        <v>0</v>
      </c>
      <c r="CJ2606" s="16" t="e">
        <f t="shared" si="637"/>
        <v>#N/A</v>
      </c>
      <c r="CK2606" s="16" t="str">
        <f t="shared" si="638"/>
        <v/>
      </c>
    </row>
    <row r="2607" spans="73:89" ht="12" customHeight="1">
      <c r="BU2607" s="16">
        <f t="shared" si="639"/>
        <v>0</v>
      </c>
      <c r="BV2607" s="16">
        <f>IF($BY$12=1,NORMDIST(BY2607,$Y$6,$Y$8,TRUE),IF($BY$12=2,IF(BY2607&lt;=$BX$31,0,IF(BY2607&gt;=$BX$32,1,(BY2607-$BX$31)*$BX$33)),SUM($BU$42:BU2607)/$BV$40))</f>
        <v>1</v>
      </c>
      <c r="BW2607" s="16">
        <f t="shared" si="630"/>
        <v>3.6295275805942434E-23</v>
      </c>
      <c r="BY2607" s="16">
        <f t="shared" si="631"/>
        <v>256.49999999998983</v>
      </c>
      <c r="BZ2607" s="16">
        <f t="shared" si="633"/>
        <v>1.4150204992570712E-25</v>
      </c>
      <c r="CA2607" s="16">
        <f t="shared" si="640"/>
        <v>-999</v>
      </c>
      <c r="CE2607" s="16" t="e">
        <f t="shared" si="634"/>
        <v>#N/A</v>
      </c>
      <c r="CF2607" s="16">
        <f t="shared" si="635"/>
        <v>99</v>
      </c>
      <c r="CG2607" s="16">
        <f t="shared" si="636"/>
        <v>0</v>
      </c>
      <c r="CH2607" s="16">
        <f t="shared" si="632"/>
        <v>0</v>
      </c>
      <c r="CJ2607" s="16" t="e">
        <f t="shared" si="637"/>
        <v>#N/A</v>
      </c>
      <c r="CK2607" s="16" t="str">
        <f t="shared" si="638"/>
        <v/>
      </c>
    </row>
    <row r="2608" spans="73:89" ht="12" customHeight="1">
      <c r="BU2608" s="16">
        <f t="shared" si="639"/>
        <v>0</v>
      </c>
      <c r="BV2608" s="16">
        <f>IF($BY$12=1,NORMDIST(BY2608,$Y$6,$Y$8,TRUE),IF($BY$12=2,IF(BY2608&lt;=$BX$31,0,IF(BY2608&gt;=$BX$32,1,(BY2608-$BX$31)*$BX$33)),SUM($BU$42:BU2608)/$BV$40))</f>
        <v>1</v>
      </c>
      <c r="BW2608" s="16">
        <f t="shared" si="630"/>
        <v>3.4482083740725333E-23</v>
      </c>
      <c r="BY2608" s="16">
        <f t="shared" si="631"/>
        <v>256.59999999998985</v>
      </c>
      <c r="BZ2608" s="16">
        <f t="shared" si="633"/>
        <v>1.3438068488202143E-25</v>
      </c>
      <c r="CA2608" s="16">
        <f t="shared" si="640"/>
        <v>-999</v>
      </c>
      <c r="CE2608" s="16" t="e">
        <f t="shared" si="634"/>
        <v>#N/A</v>
      </c>
      <c r="CF2608" s="16">
        <f t="shared" si="635"/>
        <v>99</v>
      </c>
      <c r="CG2608" s="16">
        <f t="shared" si="636"/>
        <v>0</v>
      </c>
      <c r="CH2608" s="16">
        <f t="shared" si="632"/>
        <v>0</v>
      </c>
      <c r="CJ2608" s="16" t="e">
        <f t="shared" si="637"/>
        <v>#N/A</v>
      </c>
      <c r="CK2608" s="16" t="str">
        <f t="shared" si="638"/>
        <v/>
      </c>
    </row>
    <row r="2609" spans="73:89" ht="12" customHeight="1">
      <c r="BU2609" s="16">
        <f t="shared" si="639"/>
        <v>0</v>
      </c>
      <c r="BV2609" s="16">
        <f>IF($BY$12=1,NORMDIST(BY2609,$Y$6,$Y$8,TRUE),IF($BY$12=2,IF(BY2609&lt;=$BX$31,0,IF(BY2609&gt;=$BX$32,1,(BY2609-$BX$31)*$BX$33)),SUM($BU$42:BU2609)/$BV$40))</f>
        <v>1</v>
      </c>
      <c r="BW2609" s="16">
        <f t="shared" si="630"/>
        <v>3.2758648808769851E-23</v>
      </c>
      <c r="BY2609" s="16">
        <f t="shared" si="631"/>
        <v>256.69999999998987</v>
      </c>
      <c r="BZ2609" s="16">
        <f t="shared" si="633"/>
        <v>1.2761452593989539E-25</v>
      </c>
      <c r="CA2609" s="16">
        <f t="shared" si="640"/>
        <v>-999</v>
      </c>
      <c r="CE2609" s="16" t="e">
        <f t="shared" si="634"/>
        <v>#N/A</v>
      </c>
      <c r="CF2609" s="16">
        <f t="shared" si="635"/>
        <v>99</v>
      </c>
      <c r="CG2609" s="16">
        <f t="shared" si="636"/>
        <v>0</v>
      </c>
      <c r="CH2609" s="16">
        <f t="shared" si="632"/>
        <v>0</v>
      </c>
      <c r="CJ2609" s="16" t="e">
        <f t="shared" si="637"/>
        <v>#N/A</v>
      </c>
      <c r="CK2609" s="16" t="str">
        <f t="shared" si="638"/>
        <v/>
      </c>
    </row>
    <row r="2610" spans="73:89" ht="12" customHeight="1">
      <c r="BU2610" s="16">
        <f t="shared" si="639"/>
        <v>0</v>
      </c>
      <c r="BV2610" s="16">
        <f>IF($BY$12=1,NORMDIST(BY2610,$Y$6,$Y$8,TRUE),IF($BY$12=2,IF(BY2610&lt;=$BX$31,0,IF(BY2610&gt;=$BX$32,1,(BY2610-$BX$31)*$BX$33)),SUM($BU$42:BU2610)/$BV$40))</f>
        <v>1</v>
      </c>
      <c r="BW2610" s="16">
        <f t="shared" si="630"/>
        <v>3.112056942680886E-23</v>
      </c>
      <c r="BY2610" s="16">
        <f t="shared" si="631"/>
        <v>256.79999999998989</v>
      </c>
      <c r="BZ2610" s="16">
        <f t="shared" si="633"/>
        <v>1.2118601801717324E-25</v>
      </c>
      <c r="CA2610" s="16">
        <f t="shared" si="640"/>
        <v>-999</v>
      </c>
      <c r="CE2610" s="16" t="e">
        <f t="shared" si="634"/>
        <v>#N/A</v>
      </c>
      <c r="CF2610" s="16">
        <f t="shared" si="635"/>
        <v>99</v>
      </c>
      <c r="CG2610" s="16">
        <f t="shared" si="636"/>
        <v>0</v>
      </c>
      <c r="CH2610" s="16">
        <f t="shared" si="632"/>
        <v>0</v>
      </c>
      <c r="CJ2610" s="16" t="e">
        <f t="shared" si="637"/>
        <v>#N/A</v>
      </c>
      <c r="CK2610" s="16" t="str">
        <f t="shared" si="638"/>
        <v/>
      </c>
    </row>
    <row r="2611" spans="73:89" ht="12" customHeight="1">
      <c r="BU2611" s="16">
        <f t="shared" si="639"/>
        <v>0</v>
      </c>
      <c r="BV2611" s="16">
        <f>IF($BY$12=1,NORMDIST(BY2611,$Y$6,$Y$8,TRUE),IF($BY$12=2,IF(BY2611&lt;=$BX$31,0,IF(BY2611&gt;=$BX$32,1,(BY2611-$BX$31)*$BX$33)),SUM($BU$42:BU2611)/$BV$40))</f>
        <v>1</v>
      </c>
      <c r="BW2611" s="16">
        <f t="shared" si="630"/>
        <v>2.9563657777891736E-23</v>
      </c>
      <c r="BY2611" s="16">
        <f t="shared" si="631"/>
        <v>256.89999999998992</v>
      </c>
      <c r="BZ2611" s="16">
        <f t="shared" si="633"/>
        <v>1.1507846546474464E-25</v>
      </c>
      <c r="CA2611" s="16">
        <f t="shared" si="640"/>
        <v>-999</v>
      </c>
      <c r="CE2611" s="16" t="e">
        <f t="shared" si="634"/>
        <v>#N/A</v>
      </c>
      <c r="CF2611" s="16">
        <f t="shared" si="635"/>
        <v>99</v>
      </c>
      <c r="CG2611" s="16">
        <f t="shared" si="636"/>
        <v>0</v>
      </c>
      <c r="CH2611" s="16">
        <f t="shared" si="632"/>
        <v>0</v>
      </c>
      <c r="CJ2611" s="16" t="e">
        <f t="shared" si="637"/>
        <v>#N/A</v>
      </c>
      <c r="CK2611" s="16" t="str">
        <f t="shared" si="638"/>
        <v/>
      </c>
    </row>
    <row r="2612" spans="73:89" ht="12" customHeight="1">
      <c r="BU2612" s="16">
        <f t="shared" si="639"/>
        <v>0</v>
      </c>
      <c r="BV2612" s="16">
        <f>IF($BY$12=1,NORMDIST(BY2612,$Y$6,$Y$8,TRUE),IF($BY$12=2,IF(BY2612&lt;=$BX$31,0,IF(BY2612&gt;=$BX$32,1,(BY2612-$BX$31)*$BX$33)),SUM($BU$42:BU2612)/$BV$40))</f>
        <v>1</v>
      </c>
      <c r="BW2612" s="16">
        <f t="shared" si="630"/>
        <v>2.8083929532945992E-23</v>
      </c>
      <c r="BY2612" s="16">
        <f t="shared" si="631"/>
        <v>256.99999999998994</v>
      </c>
      <c r="BZ2612" s="16">
        <f t="shared" si="633"/>
        <v>1.0927599040057234E-25</v>
      </c>
      <c r="CA2612" s="16">
        <f t="shared" si="640"/>
        <v>-999</v>
      </c>
      <c r="CE2612" s="16" t="e">
        <f t="shared" si="634"/>
        <v>#N/A</v>
      </c>
      <c r="CF2612" s="16">
        <f t="shared" si="635"/>
        <v>99</v>
      </c>
      <c r="CG2612" s="16">
        <f t="shared" si="636"/>
        <v>0</v>
      </c>
      <c r="CH2612" s="16">
        <f t="shared" si="632"/>
        <v>0</v>
      </c>
      <c r="CJ2612" s="16" t="e">
        <f t="shared" si="637"/>
        <v>#N/A</v>
      </c>
      <c r="CK2612" s="16" t="str">
        <f t="shared" si="638"/>
        <v/>
      </c>
    </row>
    <row r="2613" spans="73:89" ht="12" customHeight="1">
      <c r="BU2613" s="16">
        <f t="shared" si="639"/>
        <v>0</v>
      </c>
      <c r="BV2613" s="16">
        <f>IF($BY$12=1,NORMDIST(BY2613,$Y$6,$Y$8,TRUE),IF($BY$12=2,IF(BY2613&lt;=$BX$31,0,IF(BY2613&gt;=$BX$32,1,(BY2613-$BX$31)*$BX$33)),SUM($BU$42:BU2613)/$BV$40))</f>
        <v>1</v>
      </c>
      <c r="BW2613" s="16">
        <f t="shared" si="630"/>
        <v>2.6677594061478771E-23</v>
      </c>
      <c r="BY2613" s="16">
        <f t="shared" si="631"/>
        <v>257.09999999998996</v>
      </c>
      <c r="BZ2613" s="16">
        <f t="shared" si="633"/>
        <v>1.037634930434843E-25</v>
      </c>
      <c r="CA2613" s="16">
        <f t="shared" si="640"/>
        <v>-999</v>
      </c>
      <c r="CE2613" s="16" t="e">
        <f t="shared" si="634"/>
        <v>#N/A</v>
      </c>
      <c r="CF2613" s="16">
        <f t="shared" si="635"/>
        <v>99</v>
      </c>
      <c r="CG2613" s="16">
        <f t="shared" si="636"/>
        <v>0</v>
      </c>
      <c r="CH2613" s="16">
        <f t="shared" si="632"/>
        <v>0</v>
      </c>
      <c r="CJ2613" s="16" t="e">
        <f t="shared" si="637"/>
        <v>#N/A</v>
      </c>
      <c r="CK2613" s="16" t="str">
        <f t="shared" si="638"/>
        <v/>
      </c>
    </row>
    <row r="2614" spans="73:89" ht="12" customHeight="1">
      <c r="BU2614" s="16">
        <f t="shared" si="639"/>
        <v>0</v>
      </c>
      <c r="BV2614" s="16">
        <f>IF($BY$12=1,NORMDIST(BY2614,$Y$6,$Y$8,TRUE),IF($BY$12=2,IF(BY2614&lt;=$BX$31,0,IF(BY2614&gt;=$BX$32,1,(BY2614-$BX$31)*$BX$33)),SUM($BU$42:BU2614)/$BV$40))</f>
        <v>1</v>
      </c>
      <c r="BW2614" s="16">
        <f t="shared" si="630"/>
        <v>2.5341045108377817E-23</v>
      </c>
      <c r="BY2614" s="16">
        <f t="shared" si="631"/>
        <v>257.19999999998998</v>
      </c>
      <c r="BZ2614" s="16">
        <f t="shared" si="633"/>
        <v>9.8526613951706075E-26</v>
      </c>
      <c r="CA2614" s="16">
        <f t="shared" si="640"/>
        <v>-999</v>
      </c>
      <c r="CE2614" s="16" t="e">
        <f t="shared" si="634"/>
        <v>#N/A</v>
      </c>
      <c r="CF2614" s="16">
        <f t="shared" si="635"/>
        <v>99</v>
      </c>
      <c r="CG2614" s="16">
        <f t="shared" si="636"/>
        <v>0</v>
      </c>
      <c r="CH2614" s="16">
        <f t="shared" si="632"/>
        <v>0</v>
      </c>
      <c r="CJ2614" s="16" t="e">
        <f t="shared" si="637"/>
        <v>#N/A</v>
      </c>
      <c r="CK2614" s="16" t="str">
        <f t="shared" si="638"/>
        <v/>
      </c>
    </row>
    <row r="2615" spans="73:89" ht="12" customHeight="1">
      <c r="BU2615" s="16">
        <f t="shared" si="639"/>
        <v>0</v>
      </c>
      <c r="BV2615" s="16">
        <f>IF($BY$12=1,NORMDIST(BY2615,$Y$6,$Y$8,TRUE),IF($BY$12=2,IF(BY2615&lt;=$BX$31,0,IF(BY2615&gt;=$BX$32,1,(BY2615-$BX$31)*$BX$33)),SUM($BU$42:BU2615)/$BV$40))</f>
        <v>1</v>
      </c>
      <c r="BW2615" s="16">
        <f t="shared" si="630"/>
        <v>2.407085191486847E-23</v>
      </c>
      <c r="BY2615" s="16">
        <f t="shared" si="631"/>
        <v>257.29999999999001</v>
      </c>
      <c r="BZ2615" s="16">
        <f t="shared" si="633"/>
        <v>9.3551698075668107E-26</v>
      </c>
      <c r="CA2615" s="16">
        <f t="shared" si="640"/>
        <v>-999</v>
      </c>
      <c r="CE2615" s="16" t="e">
        <f t="shared" si="634"/>
        <v>#N/A</v>
      </c>
      <c r="CF2615" s="16">
        <f t="shared" si="635"/>
        <v>99</v>
      </c>
      <c r="CG2615" s="16">
        <f t="shared" si="636"/>
        <v>0</v>
      </c>
      <c r="CH2615" s="16">
        <f t="shared" si="632"/>
        <v>0</v>
      </c>
      <c r="CJ2615" s="16" t="e">
        <f t="shared" si="637"/>
        <v>#N/A</v>
      </c>
      <c r="CK2615" s="16" t="str">
        <f t="shared" si="638"/>
        <v/>
      </c>
    </row>
    <row r="2616" spans="73:89" ht="12" customHeight="1">
      <c r="BU2616" s="16">
        <f t="shared" si="639"/>
        <v>0</v>
      </c>
      <c r="BV2616" s="16">
        <f>IF($BY$12=1,NORMDIST(BY2616,$Y$6,$Y$8,TRUE),IF($BY$12=2,IF(BY2616&lt;=$BX$31,0,IF(BY2616&gt;=$BX$32,1,(BY2616-$BX$31)*$BX$33)),SUM($BU$42:BU2616)/$BV$40))</f>
        <v>1</v>
      </c>
      <c r="BW2616" s="16">
        <f t="shared" si="630"/>
        <v>2.2863750762679679E-23</v>
      </c>
      <c r="BY2616" s="16">
        <f t="shared" si="631"/>
        <v>257.39999999999003</v>
      </c>
      <c r="BZ2616" s="16">
        <f t="shared" si="633"/>
        <v>8.8825760538774531E-26</v>
      </c>
      <c r="CA2616" s="16">
        <f t="shared" si="640"/>
        <v>-999</v>
      </c>
      <c r="CE2616" s="16" t="e">
        <f t="shared" si="634"/>
        <v>#N/A</v>
      </c>
      <c r="CF2616" s="16">
        <f t="shared" si="635"/>
        <v>99</v>
      </c>
      <c r="CG2616" s="16">
        <f t="shared" si="636"/>
        <v>0</v>
      </c>
      <c r="CH2616" s="16">
        <f t="shared" si="632"/>
        <v>0</v>
      </c>
      <c r="CJ2616" s="16" t="e">
        <f t="shared" si="637"/>
        <v>#N/A</v>
      </c>
      <c r="CK2616" s="16" t="str">
        <f t="shared" si="638"/>
        <v/>
      </c>
    </row>
    <row r="2617" spans="73:89" ht="12" customHeight="1">
      <c r="BU2617" s="16">
        <f t="shared" si="639"/>
        <v>0</v>
      </c>
      <c r="BV2617" s="16">
        <f>IF($BY$12=1,NORMDIST(BY2617,$Y$6,$Y$8,TRUE),IF($BY$12=2,IF(BY2617&lt;=$BX$31,0,IF(BY2617&gt;=$BX$32,1,(BY2617-$BX$31)*$BX$33)),SUM($BU$42:BU2617)/$BV$40))</f>
        <v>1</v>
      </c>
      <c r="BW2617" s="16">
        <f t="shared" si="630"/>
        <v>2.171663692146858E-23</v>
      </c>
      <c r="BY2617" s="16">
        <f t="shared" si="631"/>
        <v>257.49999999999005</v>
      </c>
      <c r="BZ2617" s="16">
        <f t="shared" si="633"/>
        <v>8.433645406395891E-26</v>
      </c>
      <c r="CA2617" s="16">
        <f t="shared" si="640"/>
        <v>-999</v>
      </c>
      <c r="CE2617" s="16" t="e">
        <f t="shared" si="634"/>
        <v>#N/A</v>
      </c>
      <c r="CF2617" s="16">
        <f t="shared" si="635"/>
        <v>99</v>
      </c>
      <c r="CG2617" s="16">
        <f t="shared" si="636"/>
        <v>0</v>
      </c>
      <c r="CH2617" s="16">
        <f t="shared" si="632"/>
        <v>0</v>
      </c>
      <c r="CJ2617" s="16" t="e">
        <f t="shared" si="637"/>
        <v>#N/A</v>
      </c>
      <c r="CK2617" s="16" t="str">
        <f t="shared" si="638"/>
        <v/>
      </c>
    </row>
    <row r="2618" spans="73:89" ht="12" customHeight="1">
      <c r="BU2618" s="16">
        <f t="shared" si="639"/>
        <v>0</v>
      </c>
      <c r="BV2618" s="16">
        <f>IF($BY$12=1,NORMDIST(BY2618,$Y$6,$Y$8,TRUE),IF($BY$12=2,IF(BY2618&lt;=$BX$31,0,IF(BY2618&gt;=$BX$32,1,(BY2618-$BX$31)*$BX$33)),SUM($BU$42:BU2618)/$BV$40))</f>
        <v>1</v>
      </c>
      <c r="BW2618" s="16">
        <f t="shared" si="630"/>
        <v>2.0626556980470864E-23</v>
      </c>
      <c r="BY2618" s="16">
        <f t="shared" si="631"/>
        <v>257.59999999999008</v>
      </c>
      <c r="BZ2618" s="16">
        <f t="shared" si="633"/>
        <v>8.0072037967669487E-26</v>
      </c>
      <c r="CA2618" s="16">
        <f t="shared" si="640"/>
        <v>-999</v>
      </c>
      <c r="CE2618" s="16" t="e">
        <f t="shared" si="634"/>
        <v>#N/A</v>
      </c>
      <c r="CF2618" s="16">
        <f t="shared" si="635"/>
        <v>99</v>
      </c>
      <c r="CG2618" s="16">
        <f t="shared" si="636"/>
        <v>0</v>
      </c>
      <c r="CH2618" s="16">
        <f t="shared" si="632"/>
        <v>0</v>
      </c>
      <c r="CJ2618" s="16" t="e">
        <f t="shared" si="637"/>
        <v>#N/A</v>
      </c>
      <c r="CK2618" s="16" t="str">
        <f t="shared" si="638"/>
        <v/>
      </c>
    </row>
    <row r="2619" spans="73:89" ht="12" customHeight="1">
      <c r="BU2619" s="16">
        <f t="shared" si="639"/>
        <v>0</v>
      </c>
      <c r="BV2619" s="16">
        <f>IF($BY$12=1,NORMDIST(BY2619,$Y$6,$Y$8,TRUE),IF($BY$12=2,IF(BY2619&lt;=$BX$31,0,IF(BY2619&gt;=$BX$32,1,(BY2619-$BX$31)*$BX$33)),SUM($BU$42:BU2619)/$BV$40))</f>
        <v>1</v>
      </c>
      <c r="BW2619" s="16">
        <f t="shared" ref="BW2619:BW2682" si="641">BY2619*BZ2619</f>
        <v>1.9590701546239212E-23</v>
      </c>
      <c r="BY2619" s="16">
        <f t="shared" ref="BY2619:BY2682" si="642">BY2618+$BZ$1</f>
        <v>257.6999999999901</v>
      </c>
      <c r="BZ2619" s="16">
        <f t="shared" si="633"/>
        <v>7.6021348646643243E-26</v>
      </c>
      <c r="CA2619" s="16">
        <f t="shared" si="640"/>
        <v>-999</v>
      </c>
      <c r="CE2619" s="16" t="e">
        <f t="shared" si="634"/>
        <v>#N/A</v>
      </c>
      <c r="CF2619" s="16">
        <f t="shared" si="635"/>
        <v>99</v>
      </c>
      <c r="CG2619" s="16">
        <f t="shared" si="636"/>
        <v>0</v>
      </c>
      <c r="CH2619" s="16">
        <f t="shared" si="632"/>
        <v>0</v>
      </c>
      <c r="CJ2619" s="16" t="e">
        <f t="shared" si="637"/>
        <v>#N/A</v>
      </c>
      <c r="CK2619" s="16" t="str">
        <f t="shared" si="638"/>
        <v/>
      </c>
    </row>
    <row r="2620" spans="73:89" ht="12" customHeight="1">
      <c r="BU2620" s="16">
        <f t="shared" si="639"/>
        <v>0</v>
      </c>
      <c r="BV2620" s="16">
        <f>IF($BY$12=1,NORMDIST(BY2620,$Y$6,$Y$8,TRUE),IF($BY$12=2,IF(BY2620&lt;=$BX$31,0,IF(BY2620&gt;=$BX$32,1,(BY2620-$BX$31)*$BX$33)),SUM($BU$42:BU2620)/$BV$40))</f>
        <v>1</v>
      </c>
      <c r="BW2620" s="16">
        <f t="shared" si="641"/>
        <v>1.8606398289178368E-23</v>
      </c>
      <c r="BY2620" s="16">
        <f t="shared" si="642"/>
        <v>257.79999999999012</v>
      </c>
      <c r="BZ2620" s="16">
        <f t="shared" si="633"/>
        <v>7.2173771486342436E-26</v>
      </c>
      <c r="CA2620" s="16">
        <f t="shared" si="640"/>
        <v>-999</v>
      </c>
      <c r="CE2620" s="16" t="e">
        <f t="shared" si="634"/>
        <v>#N/A</v>
      </c>
      <c r="CF2620" s="16">
        <f t="shared" si="635"/>
        <v>99</v>
      </c>
      <c r="CG2620" s="16">
        <f t="shared" si="636"/>
        <v>0</v>
      </c>
      <c r="CH2620" s="16">
        <f t="shared" si="632"/>
        <v>0</v>
      </c>
      <c r="CJ2620" s="16" t="e">
        <f t="shared" si="637"/>
        <v>#N/A</v>
      </c>
      <c r="CK2620" s="16" t="str">
        <f t="shared" si="638"/>
        <v/>
      </c>
    </row>
    <row r="2621" spans="73:89" ht="12" customHeight="1">
      <c r="BU2621" s="16">
        <f t="shared" si="639"/>
        <v>0</v>
      </c>
      <c r="BV2621" s="16">
        <f>IF($BY$12=1,NORMDIST(BY2621,$Y$6,$Y$8,TRUE),IF($BY$12=2,IF(BY2621&lt;=$BX$31,0,IF(BY2621&gt;=$BX$32,1,(BY2621-$BX$31)*$BX$33)),SUM($BU$42:BU2621)/$BV$40))</f>
        <v>1</v>
      </c>
      <c r="BW2621" s="16">
        <f t="shared" si="641"/>
        <v>1.7671105322387859E-23</v>
      </c>
      <c r="BY2621" s="16">
        <f t="shared" si="642"/>
        <v>257.89999999999014</v>
      </c>
      <c r="BZ2621" s="16">
        <f t="shared" si="633"/>
        <v>6.8519214123259149E-26</v>
      </c>
      <c r="CA2621" s="16">
        <f t="shared" si="640"/>
        <v>-999</v>
      </c>
      <c r="CE2621" s="16" t="e">
        <f t="shared" si="634"/>
        <v>#N/A</v>
      </c>
      <c r="CF2621" s="16">
        <f t="shared" si="635"/>
        <v>99</v>
      </c>
      <c r="CG2621" s="16">
        <f t="shared" si="636"/>
        <v>0</v>
      </c>
      <c r="CH2621" s="16">
        <f t="shared" si="632"/>
        <v>0</v>
      </c>
      <c r="CJ2621" s="16" t="e">
        <f t="shared" si="637"/>
        <v>#N/A</v>
      </c>
      <c r="CK2621" s="16" t="str">
        <f t="shared" si="638"/>
        <v/>
      </c>
    </row>
    <row r="2622" spans="73:89" ht="12" customHeight="1">
      <c r="BU2622" s="16">
        <f t="shared" si="639"/>
        <v>0</v>
      </c>
      <c r="BV2622" s="16">
        <f>IF($BY$12=1,NORMDIST(BY2622,$Y$6,$Y$8,TRUE),IF($BY$12=2,IF(BY2622&lt;=$BX$31,0,IF(BY2622&gt;=$BX$32,1,(BY2622-$BX$31)*$BX$33)),SUM($BU$42:BU2622)/$BV$40))</f>
        <v>1</v>
      </c>
      <c r="BW2622" s="16">
        <f t="shared" si="641"/>
        <v>1.6782404897103695E-23</v>
      </c>
      <c r="BY2622" s="16">
        <f t="shared" si="642"/>
        <v>257.99999999999017</v>
      </c>
      <c r="BZ2622" s="16">
        <f t="shared" si="633"/>
        <v>6.5048080996528423E-26</v>
      </c>
      <c r="CA2622" s="16">
        <f t="shared" si="640"/>
        <v>-999</v>
      </c>
      <c r="CE2622" s="16" t="e">
        <f t="shared" si="634"/>
        <v>#N/A</v>
      </c>
      <c r="CF2622" s="16">
        <f t="shared" si="635"/>
        <v>99</v>
      </c>
      <c r="CG2622" s="16">
        <f t="shared" si="636"/>
        <v>0</v>
      </c>
      <c r="CH2622" s="16">
        <f t="shared" si="632"/>
        <v>0</v>
      </c>
      <c r="CJ2622" s="16" t="e">
        <f t="shared" si="637"/>
        <v>#N/A</v>
      </c>
      <c r="CK2622" s="16" t="str">
        <f t="shared" si="638"/>
        <v/>
      </c>
    </row>
    <row r="2623" spans="73:89" ht="12" customHeight="1">
      <c r="BU2623" s="16">
        <f t="shared" si="639"/>
        <v>0</v>
      </c>
      <c r="BV2623" s="16">
        <f>IF($BY$12=1,NORMDIST(BY2623,$Y$6,$Y$8,TRUE),IF($BY$12=2,IF(BY2623&lt;=$BX$31,0,IF(BY2623&gt;=$BX$32,1,(BY2623-$BX$31)*$BX$33)),SUM($BU$42:BU2623)/$BV$40))</f>
        <v>1</v>
      </c>
      <c r="BW2623" s="16">
        <f t="shared" si="641"/>
        <v>1.5937997399755455E-23</v>
      </c>
      <c r="BY2623" s="16">
        <f t="shared" si="642"/>
        <v>258.09999999999019</v>
      </c>
      <c r="BZ2623" s="16">
        <f t="shared" si="633"/>
        <v>6.1751249127299736E-26</v>
      </c>
      <c r="CA2623" s="16">
        <f t="shared" si="640"/>
        <v>-999</v>
      </c>
      <c r="CE2623" s="16" t="e">
        <f t="shared" si="634"/>
        <v>#N/A</v>
      </c>
      <c r="CF2623" s="16">
        <f t="shared" si="635"/>
        <v>99</v>
      </c>
      <c r="CG2623" s="16">
        <f t="shared" si="636"/>
        <v>0</v>
      </c>
      <c r="CH2623" s="16">
        <f t="shared" si="632"/>
        <v>0</v>
      </c>
      <c r="CJ2623" s="16" t="e">
        <f t="shared" si="637"/>
        <v>#N/A</v>
      </c>
      <c r="CK2623" s="16" t="str">
        <f t="shared" si="638"/>
        <v/>
      </c>
    </row>
    <row r="2624" spans="73:89" ht="12" customHeight="1">
      <c r="BU2624" s="16">
        <f t="shared" si="639"/>
        <v>0</v>
      </c>
      <c r="BV2624" s="16">
        <f>IF($BY$12=1,NORMDIST(BY2624,$Y$6,$Y$8,TRUE),IF($BY$12=2,IF(BY2624&lt;=$BX$31,0,IF(BY2624&gt;=$BX$32,1,(BY2624-$BX$31)*$BX$33)),SUM($BU$42:BU2624)/$BV$40))</f>
        <v>1</v>
      </c>
      <c r="BW2624" s="16">
        <f t="shared" si="641"/>
        <v>1.5135695636361937E-23</v>
      </c>
      <c r="BY2624" s="16">
        <f t="shared" si="642"/>
        <v>258.19999999999021</v>
      </c>
      <c r="BZ2624" s="16">
        <f t="shared" si="633"/>
        <v>5.8620045067244423E-26</v>
      </c>
      <c r="CA2624" s="16">
        <f t="shared" si="640"/>
        <v>-999</v>
      </c>
      <c r="CE2624" s="16" t="e">
        <f t="shared" si="634"/>
        <v>#N/A</v>
      </c>
      <c r="CF2624" s="16">
        <f t="shared" si="635"/>
        <v>99</v>
      </c>
      <c r="CG2624" s="16">
        <f t="shared" si="636"/>
        <v>0</v>
      </c>
      <c r="CH2624" s="16">
        <f t="shared" si="632"/>
        <v>0</v>
      </c>
      <c r="CJ2624" s="16" t="e">
        <f t="shared" si="637"/>
        <v>#N/A</v>
      </c>
      <c r="CK2624" s="16" t="str">
        <f t="shared" si="638"/>
        <v/>
      </c>
    </row>
    <row r="2625" spans="73:89" ht="12" customHeight="1">
      <c r="BU2625" s="16">
        <f t="shared" si="639"/>
        <v>0</v>
      </c>
      <c r="BV2625" s="16">
        <f>IF($BY$12=1,NORMDIST(BY2625,$Y$6,$Y$8,TRUE),IF($BY$12=2,IF(BY2625&lt;=$BX$31,0,IF(BY2625&gt;=$BX$32,1,(BY2625-$BX$31)*$BX$33)),SUM($BU$42:BU2625)/$BV$40))</f>
        <v>1</v>
      </c>
      <c r="BW2625" s="16">
        <f t="shared" si="641"/>
        <v>1.4373419390656377E-23</v>
      </c>
      <c r="BY2625" s="16">
        <f t="shared" si="642"/>
        <v>258.29999999999023</v>
      </c>
      <c r="BZ2625" s="16">
        <f t="shared" si="633"/>
        <v>5.5646222960344256E-26</v>
      </c>
      <c r="CA2625" s="16">
        <f t="shared" si="640"/>
        <v>-999</v>
      </c>
      <c r="CE2625" s="16" t="e">
        <f t="shared" si="634"/>
        <v>#N/A</v>
      </c>
      <c r="CF2625" s="16">
        <f t="shared" si="635"/>
        <v>99</v>
      </c>
      <c r="CG2625" s="16">
        <f t="shared" si="636"/>
        <v>0</v>
      </c>
      <c r="CH2625" s="16">
        <f t="shared" si="632"/>
        <v>0</v>
      </c>
      <c r="CJ2625" s="16" t="e">
        <f t="shared" si="637"/>
        <v>#N/A</v>
      </c>
      <c r="CK2625" s="16" t="str">
        <f t="shared" si="638"/>
        <v/>
      </c>
    </row>
    <row r="2626" spans="73:89" ht="12" customHeight="1">
      <c r="BU2626" s="16">
        <f t="shared" si="639"/>
        <v>0</v>
      </c>
      <c r="BV2626" s="16">
        <f>IF($BY$12=1,NORMDIST(BY2626,$Y$6,$Y$8,TRUE),IF($BY$12=2,IF(BY2626&lt;=$BX$31,0,IF(BY2626&gt;=$BX$32,1,(BY2626-$BX$31)*$BX$33)),SUM($BU$42:BU2626)/$BV$40))</f>
        <v>1</v>
      </c>
      <c r="BW2626" s="16">
        <f t="shared" si="641"/>
        <v>1.3649190242969469E-23</v>
      </c>
      <c r="BY2626" s="16">
        <f t="shared" si="642"/>
        <v>258.39999999999026</v>
      </c>
      <c r="BZ2626" s="16">
        <f t="shared" si="633"/>
        <v>5.2821943664744516E-26</v>
      </c>
      <c r="CA2626" s="16">
        <f t="shared" si="640"/>
        <v>-999</v>
      </c>
      <c r="CE2626" s="16" t="e">
        <f t="shared" si="634"/>
        <v>#N/A</v>
      </c>
      <c r="CF2626" s="16">
        <f t="shared" si="635"/>
        <v>99</v>
      </c>
      <c r="CG2626" s="16">
        <f t="shared" si="636"/>
        <v>0</v>
      </c>
      <c r="CH2626" s="16">
        <f t="shared" si="632"/>
        <v>0</v>
      </c>
      <c r="CJ2626" s="16" t="e">
        <f t="shared" si="637"/>
        <v>#N/A</v>
      </c>
      <c r="CK2626" s="16" t="str">
        <f t="shared" si="638"/>
        <v/>
      </c>
    </row>
    <row r="2627" spans="73:89" ht="12" customHeight="1">
      <c r="BU2627" s="16">
        <f t="shared" si="639"/>
        <v>0</v>
      </c>
      <c r="BV2627" s="16">
        <f>IF($BY$12=1,NORMDIST(BY2627,$Y$6,$Y$8,TRUE),IF($BY$12=2,IF(BY2627&lt;=$BX$31,0,IF(BY2627&gt;=$BX$32,1,(BY2627-$BX$31)*$BX$33)),SUM($BU$42:BU2627)/$BV$40))</f>
        <v>1</v>
      </c>
      <c r="BW2627" s="16">
        <f t="shared" si="641"/>
        <v>1.2961126637503994E-23</v>
      </c>
      <c r="BY2627" s="16">
        <f t="shared" si="642"/>
        <v>258.49999999999028</v>
      </c>
      <c r="BZ2627" s="16">
        <f t="shared" si="633"/>
        <v>5.0139754883963176E-26</v>
      </c>
      <c r="CA2627" s="16">
        <f t="shared" si="640"/>
        <v>-999</v>
      </c>
      <c r="CE2627" s="16" t="e">
        <f t="shared" si="634"/>
        <v>#N/A</v>
      </c>
      <c r="CF2627" s="16">
        <f t="shared" si="635"/>
        <v>99</v>
      </c>
      <c r="CG2627" s="16">
        <f t="shared" si="636"/>
        <v>0</v>
      </c>
      <c r="CH2627" s="16">
        <f t="shared" ref="CH2627:CH2690" si="643">IF(CB2627="",0,1)</f>
        <v>0</v>
      </c>
      <c r="CJ2627" s="16" t="e">
        <f t="shared" si="637"/>
        <v>#N/A</v>
      </c>
      <c r="CK2627" s="16" t="str">
        <f t="shared" si="638"/>
        <v/>
      </c>
    </row>
    <row r="2628" spans="73:89" ht="12" customHeight="1">
      <c r="BU2628" s="16">
        <f t="shared" si="639"/>
        <v>0</v>
      </c>
      <c r="BV2628" s="16">
        <f>IF($BY$12=1,NORMDIST(BY2628,$Y$6,$Y$8,TRUE),IF($BY$12=2,IF(BY2628&lt;=$BX$31,0,IF(BY2628&gt;=$BX$32,1,(BY2628-$BX$31)*$BX$33)),SUM($BU$42:BU2628)/$BV$40))</f>
        <v>1</v>
      </c>
      <c r="BW2628" s="16">
        <f t="shared" si="641"/>
        <v>1.2307439186220344E-23</v>
      </c>
      <c r="BY2628" s="16">
        <f t="shared" si="642"/>
        <v>258.5999999999903</v>
      </c>
      <c r="BZ2628" s="16">
        <f t="shared" si="633"/>
        <v>4.759257225916785E-26</v>
      </c>
      <c r="CA2628" s="16">
        <f t="shared" si="640"/>
        <v>-999</v>
      </c>
      <c r="CE2628" s="16" t="e">
        <f t="shared" si="634"/>
        <v>#N/A</v>
      </c>
      <c r="CF2628" s="16">
        <f t="shared" si="635"/>
        <v>99</v>
      </c>
      <c r="CG2628" s="16">
        <f t="shared" si="636"/>
        <v>0</v>
      </c>
      <c r="CH2628" s="16">
        <f t="shared" si="643"/>
        <v>0</v>
      </c>
      <c r="CJ2628" s="16" t="e">
        <f t="shared" si="637"/>
        <v>#N/A</v>
      </c>
      <c r="CK2628" s="16" t="str">
        <f t="shared" si="638"/>
        <v/>
      </c>
    </row>
    <row r="2629" spans="73:89" ht="12" customHeight="1">
      <c r="BU2629" s="16">
        <f t="shared" si="639"/>
        <v>0</v>
      </c>
      <c r="BV2629" s="16">
        <f>IF($BY$12=1,NORMDIST(BY2629,$Y$6,$Y$8,TRUE),IF($BY$12=2,IF(BY2629&lt;=$BX$31,0,IF(BY2629&gt;=$BX$32,1,(BY2629-$BX$31)*$BX$33)),SUM($BU$42:BU2629)/$BV$40))</f>
        <v>1</v>
      </c>
      <c r="BW2629" s="16">
        <f t="shared" si="641"/>
        <v>1.1686426198098633E-23</v>
      </c>
      <c r="BY2629" s="16">
        <f t="shared" si="642"/>
        <v>258.69999999999033</v>
      </c>
      <c r="BZ2629" s="16">
        <f t="shared" si="633"/>
        <v>4.5173661376494281E-26</v>
      </c>
      <c r="CA2629" s="16">
        <f t="shared" si="640"/>
        <v>-999</v>
      </c>
      <c r="CE2629" s="16" t="e">
        <f t="shared" si="634"/>
        <v>#N/A</v>
      </c>
      <c r="CF2629" s="16">
        <f t="shared" si="635"/>
        <v>99</v>
      </c>
      <c r="CG2629" s="16">
        <f t="shared" si="636"/>
        <v>0</v>
      </c>
      <c r="CH2629" s="16">
        <f t="shared" si="643"/>
        <v>0</v>
      </c>
      <c r="CJ2629" s="16" t="e">
        <f t="shared" si="637"/>
        <v>#N/A</v>
      </c>
      <c r="CK2629" s="16" t="str">
        <f t="shared" si="638"/>
        <v/>
      </c>
    </row>
    <row r="2630" spans="73:89" ht="12" customHeight="1">
      <c r="BU2630" s="16">
        <f t="shared" si="639"/>
        <v>0</v>
      </c>
      <c r="BV2630" s="16">
        <f>IF($BY$12=1,NORMDIST(BY2630,$Y$6,$Y$8,TRUE),IF($BY$12=2,IF(BY2630&lt;=$BX$31,0,IF(BY2630&gt;=$BX$32,1,(BY2630-$BX$31)*$BX$33)),SUM($BU$42:BU2630)/$BV$40))</f>
        <v>1</v>
      </c>
      <c r="BW2630" s="16">
        <f t="shared" si="641"/>
        <v>1.1096469423076353E-23</v>
      </c>
      <c r="BY2630" s="16">
        <f t="shared" si="642"/>
        <v>258.79999999999035</v>
      </c>
      <c r="BZ2630" s="16">
        <f t="shared" si="633"/>
        <v>4.2876620645582565E-26</v>
      </c>
      <c r="CA2630" s="16">
        <f t="shared" si="640"/>
        <v>-999</v>
      </c>
      <c r="CE2630" s="16" t="e">
        <f t="shared" si="634"/>
        <v>#N/A</v>
      </c>
      <c r="CF2630" s="16">
        <f t="shared" si="635"/>
        <v>99</v>
      </c>
      <c r="CG2630" s="16">
        <f t="shared" si="636"/>
        <v>0</v>
      </c>
      <c r="CH2630" s="16">
        <f t="shared" si="643"/>
        <v>0</v>
      </c>
      <c r="CJ2630" s="16" t="e">
        <f t="shared" si="637"/>
        <v>#N/A</v>
      </c>
      <c r="CK2630" s="16" t="str">
        <f t="shared" si="638"/>
        <v/>
      </c>
    </row>
    <row r="2631" spans="73:89" ht="12" customHeight="1">
      <c r="BU2631" s="16">
        <f t="shared" si="639"/>
        <v>0</v>
      </c>
      <c r="BV2631" s="16">
        <f>IF($BY$12=1,NORMDIST(BY2631,$Y$6,$Y$8,TRUE),IF($BY$12=2,IF(BY2631&lt;=$BX$31,0,IF(BY2631&gt;=$BX$32,1,(BY2631-$BX$31)*$BX$33)),SUM($BU$42:BU2631)/$BV$40))</f>
        <v>1</v>
      </c>
      <c r="BW2631" s="16">
        <f t="shared" si="641"/>
        <v>1.0536030000459144E-23</v>
      </c>
      <c r="BY2631" s="16">
        <f t="shared" si="642"/>
        <v>258.89999999999037</v>
      </c>
      <c r="BZ2631" s="16">
        <f t="shared" si="633"/>
        <v>4.0695365007568699E-26</v>
      </c>
      <c r="CA2631" s="16">
        <f t="shared" si="640"/>
        <v>-999</v>
      </c>
      <c r="CE2631" s="16" t="e">
        <f t="shared" si="634"/>
        <v>#N/A</v>
      </c>
      <c r="CF2631" s="16">
        <f t="shared" si="635"/>
        <v>99</v>
      </c>
      <c r="CG2631" s="16">
        <f t="shared" si="636"/>
        <v>0</v>
      </c>
      <c r="CH2631" s="16">
        <f t="shared" si="643"/>
        <v>0</v>
      </c>
      <c r="CJ2631" s="16" t="e">
        <f t="shared" si="637"/>
        <v>#N/A</v>
      </c>
      <c r="CK2631" s="16" t="str">
        <f t="shared" si="638"/>
        <v/>
      </c>
    </row>
    <row r="2632" spans="73:89" ht="12" customHeight="1">
      <c r="BU2632" s="16">
        <f t="shared" si="639"/>
        <v>0</v>
      </c>
      <c r="BV2632" s="16">
        <f>IF($BY$12=1,NORMDIST(BY2632,$Y$6,$Y$8,TRUE),IF($BY$12=2,IF(BY2632&lt;=$BX$31,0,IF(BY2632&gt;=$BX$32,1,(BY2632-$BX$31)*$BX$33)),SUM($BU$42:BU2632)/$BV$40))</f>
        <v>1</v>
      </c>
      <c r="BW2632" s="16">
        <f t="shared" si="641"/>
        <v>1.0003644602083997E-23</v>
      </c>
      <c r="BY2632" s="16">
        <f t="shared" si="642"/>
        <v>258.99999999999039</v>
      </c>
      <c r="BZ2632" s="16">
        <f t="shared" si="633"/>
        <v>3.8624110432758179E-26</v>
      </c>
      <c r="CA2632" s="16">
        <f t="shared" si="640"/>
        <v>-999</v>
      </c>
      <c r="CE2632" s="16" t="e">
        <f t="shared" si="634"/>
        <v>#N/A</v>
      </c>
      <c r="CF2632" s="16">
        <f t="shared" si="635"/>
        <v>99</v>
      </c>
      <c r="CG2632" s="16">
        <f t="shared" si="636"/>
        <v>0</v>
      </c>
      <c r="CH2632" s="16">
        <f t="shared" si="643"/>
        <v>0</v>
      </c>
      <c r="CJ2632" s="16" t="e">
        <f t="shared" si="637"/>
        <v>#N/A</v>
      </c>
      <c r="CK2632" s="16" t="str">
        <f t="shared" si="638"/>
        <v/>
      </c>
    </row>
    <row r="2633" spans="73:89" ht="12" customHeight="1">
      <c r="BU2633" s="16">
        <f t="shared" si="639"/>
        <v>0</v>
      </c>
      <c r="BV2633" s="16">
        <f>IF($BY$12=1,NORMDIST(BY2633,$Y$6,$Y$8,TRUE),IF($BY$12=2,IF(BY2633&lt;=$BX$31,0,IF(BY2633&gt;=$BX$32,1,(BY2633-$BX$31)*$BX$33)),SUM($BU$42:BU2633)/$BV$40))</f>
        <v>1</v>
      </c>
      <c r="BW2633" s="16">
        <f t="shared" si="641"/>
        <v>9.4979217609702982E-24</v>
      </c>
      <c r="BY2633" s="16">
        <f t="shared" si="642"/>
        <v>259.09999999999042</v>
      </c>
      <c r="BZ2633" s="16">
        <f t="shared" si="633"/>
        <v>3.6657359170091273E-26</v>
      </c>
      <c r="CA2633" s="16">
        <f t="shared" si="640"/>
        <v>-999</v>
      </c>
      <c r="CE2633" s="16" t="e">
        <f t="shared" si="634"/>
        <v>#N/A</v>
      </c>
      <c r="CF2633" s="16">
        <f t="shared" si="635"/>
        <v>99</v>
      </c>
      <c r="CG2633" s="16">
        <f t="shared" si="636"/>
        <v>0</v>
      </c>
      <c r="CH2633" s="16">
        <f t="shared" si="643"/>
        <v>0</v>
      </c>
      <c r="CJ2633" s="16" t="e">
        <f t="shared" si="637"/>
        <v>#N/A</v>
      </c>
      <c r="CK2633" s="16" t="str">
        <f t="shared" si="638"/>
        <v/>
      </c>
    </row>
    <row r="2634" spans="73:89" ht="12" customHeight="1">
      <c r="BU2634" s="16">
        <f t="shared" si="639"/>
        <v>0</v>
      </c>
      <c r="BV2634" s="16">
        <f>IF($BY$12=1,NORMDIST(BY2634,$Y$6,$Y$8,TRUE),IF($BY$12=2,IF(BY2634&lt;=$BX$31,0,IF(BY2634&gt;=$BX$32,1,(BY2634-$BX$31)*$BX$33)),SUM($BU$42:BU2634)/$BV$40))</f>
        <v>1</v>
      </c>
      <c r="BW2634" s="16">
        <f t="shared" si="641"/>
        <v>9.017538376631593E-24</v>
      </c>
      <c r="BY2634" s="16">
        <f t="shared" si="642"/>
        <v>259.19999999999044</v>
      </c>
      <c r="BZ2634" s="16">
        <f t="shared" si="633"/>
        <v>3.4789885712314526E-26</v>
      </c>
      <c r="CA2634" s="16">
        <f t="shared" si="640"/>
        <v>-999</v>
      </c>
      <c r="CE2634" s="16" t="e">
        <f t="shared" si="634"/>
        <v>#N/A</v>
      </c>
      <c r="CF2634" s="16">
        <f t="shared" si="635"/>
        <v>99</v>
      </c>
      <c r="CG2634" s="16">
        <f t="shared" si="636"/>
        <v>0</v>
      </c>
      <c r="CH2634" s="16">
        <f t="shared" si="643"/>
        <v>0</v>
      </c>
      <c r="CJ2634" s="16" t="e">
        <f t="shared" si="637"/>
        <v>#N/A</v>
      </c>
      <c r="CK2634" s="16" t="str">
        <f t="shared" si="638"/>
        <v/>
      </c>
    </row>
    <row r="2635" spans="73:89" ht="12" customHeight="1">
      <c r="BU2635" s="16">
        <f t="shared" si="639"/>
        <v>0</v>
      </c>
      <c r="BV2635" s="16">
        <f>IF($BY$12=1,NORMDIST(BY2635,$Y$6,$Y$8,TRUE),IF($BY$12=2,IF(BY2635&lt;=$BX$31,0,IF(BY2635&gt;=$BX$32,1,(BY2635-$BX$31)*$BX$33)),SUM($BU$42:BU2635)/$BV$40))</f>
        <v>1</v>
      </c>
      <c r="BW2635" s="16">
        <f t="shared" si="641"/>
        <v>8.5612363886337343E-24</v>
      </c>
      <c r="BY2635" s="16">
        <f t="shared" si="642"/>
        <v>259.29999999999046</v>
      </c>
      <c r="BZ2635" s="16">
        <f t="shared" si="633"/>
        <v>3.3016723442476088E-26</v>
      </c>
      <c r="CA2635" s="16">
        <f t="shared" si="640"/>
        <v>-999</v>
      </c>
      <c r="CE2635" s="16" t="e">
        <f t="shared" si="634"/>
        <v>#N/A</v>
      </c>
      <c r="CF2635" s="16">
        <f t="shared" si="635"/>
        <v>99</v>
      </c>
      <c r="CG2635" s="16">
        <f t="shared" si="636"/>
        <v>0</v>
      </c>
      <c r="CH2635" s="16">
        <f t="shared" si="643"/>
        <v>0</v>
      </c>
      <c r="CJ2635" s="16" t="e">
        <f t="shared" si="637"/>
        <v>#N/A</v>
      </c>
      <c r="CK2635" s="16" t="str">
        <f t="shared" si="638"/>
        <v/>
      </c>
    </row>
    <row r="2636" spans="73:89" ht="12" customHeight="1">
      <c r="BU2636" s="16">
        <f t="shared" si="639"/>
        <v>0</v>
      </c>
      <c r="BV2636" s="16">
        <f>IF($BY$12=1,NORMDIST(BY2636,$Y$6,$Y$8,TRUE),IF($BY$12=2,IF(BY2636&lt;=$BX$31,0,IF(BY2636&gt;=$BX$32,1,(BY2636-$BX$31)*$BX$33)),SUM($BU$42:BU2636)/$BV$40))</f>
        <v>1</v>
      </c>
      <c r="BW2636" s="16">
        <f t="shared" si="641"/>
        <v>8.1278196103857121E-24</v>
      </c>
      <c r="BY2636" s="16">
        <f t="shared" si="642"/>
        <v>259.39999999999048</v>
      </c>
      <c r="BZ2636" s="16">
        <f t="shared" si="633"/>
        <v>3.1333151929013148E-26</v>
      </c>
      <c r="CA2636" s="16">
        <f t="shared" si="640"/>
        <v>-999</v>
      </c>
      <c r="CE2636" s="16" t="e">
        <f t="shared" si="634"/>
        <v>#N/A</v>
      </c>
      <c r="CF2636" s="16">
        <f t="shared" si="635"/>
        <v>99</v>
      </c>
      <c r="CG2636" s="16">
        <f t="shared" si="636"/>
        <v>0</v>
      </c>
      <c r="CH2636" s="16">
        <f t="shared" si="643"/>
        <v>0</v>
      </c>
      <c r="CJ2636" s="16" t="e">
        <f t="shared" si="637"/>
        <v>#N/A</v>
      </c>
      <c r="CK2636" s="16" t="str">
        <f t="shared" si="638"/>
        <v/>
      </c>
    </row>
    <row r="2637" spans="73:89" ht="12" customHeight="1">
      <c r="BU2637" s="16">
        <f t="shared" si="639"/>
        <v>0</v>
      </c>
      <c r="BV2637" s="16">
        <f>IF($BY$12=1,NORMDIST(BY2637,$Y$6,$Y$8,TRUE),IF($BY$12=2,IF(BY2637&lt;=$BX$31,0,IF(BY2637&gt;=$BX$32,1,(BY2637-$BX$31)*$BX$33)),SUM($BU$42:BU2637)/$BV$40))</f>
        <v>1</v>
      </c>
      <c r="BW2637" s="16">
        <f t="shared" si="641"/>
        <v>7.7161507155215046E-24</v>
      </c>
      <c r="BY2637" s="16">
        <f t="shared" si="642"/>
        <v>259.49999999999051</v>
      </c>
      <c r="BZ2637" s="16">
        <f t="shared" si="633"/>
        <v>2.9734684838234248E-26</v>
      </c>
      <c r="CA2637" s="16">
        <f t="shared" si="640"/>
        <v>-999</v>
      </c>
      <c r="CE2637" s="16" t="e">
        <f t="shared" si="634"/>
        <v>#N/A</v>
      </c>
      <c r="CF2637" s="16">
        <f t="shared" si="635"/>
        <v>99</v>
      </c>
      <c r="CG2637" s="16">
        <f t="shared" si="636"/>
        <v>0</v>
      </c>
      <c r="CH2637" s="16">
        <f t="shared" si="643"/>
        <v>0</v>
      </c>
      <c r="CJ2637" s="16" t="e">
        <f t="shared" si="637"/>
        <v>#N/A</v>
      </c>
      <c r="CK2637" s="16" t="str">
        <f t="shared" si="638"/>
        <v/>
      </c>
    </row>
    <row r="2638" spans="73:89" ht="12" customHeight="1">
      <c r="BU2638" s="16">
        <f t="shared" si="639"/>
        <v>0</v>
      </c>
      <c r="BV2638" s="16">
        <f>IF($BY$12=1,NORMDIST(BY2638,$Y$6,$Y$8,TRUE),IF($BY$12=2,IF(BY2638&lt;=$BX$31,0,IF(BY2638&gt;=$BX$32,1,(BY2638-$BX$31)*$BX$33)),SUM($BU$42:BU2638)/$BV$40))</f>
        <v>1</v>
      </c>
      <c r="BW2638" s="16">
        <f t="shared" si="641"/>
        <v>7.3251483695985384E-24</v>
      </c>
      <c r="BY2638" s="16">
        <f t="shared" si="642"/>
        <v>259.59999999999053</v>
      </c>
      <c r="BZ2638" s="16">
        <f t="shared" si="633"/>
        <v>2.8217058434510037E-26</v>
      </c>
      <c r="CA2638" s="16">
        <f t="shared" si="640"/>
        <v>-999</v>
      </c>
      <c r="CE2638" s="16" t="e">
        <f t="shared" si="634"/>
        <v>#N/A</v>
      </c>
      <c r="CF2638" s="16">
        <f t="shared" si="635"/>
        <v>99</v>
      </c>
      <c r="CG2638" s="16">
        <f t="shared" si="636"/>
        <v>0</v>
      </c>
      <c r="CH2638" s="16">
        <f t="shared" si="643"/>
        <v>0</v>
      </c>
      <c r="CJ2638" s="16" t="e">
        <f t="shared" si="637"/>
        <v>#N/A</v>
      </c>
      <c r="CK2638" s="16" t="str">
        <f t="shared" si="638"/>
        <v/>
      </c>
    </row>
    <row r="2639" spans="73:89" ht="12" customHeight="1">
      <c r="BU2639" s="16">
        <f t="shared" si="639"/>
        <v>0</v>
      </c>
      <c r="BV2639" s="16">
        <f>IF($BY$12=1,NORMDIST(BY2639,$Y$6,$Y$8,TRUE),IF($BY$12=2,IF(BY2639&lt;=$BX$31,0,IF(BY2639&gt;=$BX$32,1,(BY2639-$BX$31)*$BX$33)),SUM($BU$42:BU2639)/$BV$40))</f>
        <v>1</v>
      </c>
      <c r="BW2639" s="16">
        <f t="shared" si="641"/>
        <v>6.9537845001752571E-24</v>
      </c>
      <c r="BY2639" s="16">
        <f t="shared" si="642"/>
        <v>259.69999999999055</v>
      </c>
      <c r="BZ2639" s="16">
        <f t="shared" si="633"/>
        <v>2.6776220639874893E-26</v>
      </c>
      <c r="CA2639" s="16">
        <f t="shared" si="640"/>
        <v>-999</v>
      </c>
      <c r="CE2639" s="16" t="e">
        <f t="shared" si="634"/>
        <v>#N/A</v>
      </c>
      <c r="CF2639" s="16">
        <f t="shared" si="635"/>
        <v>99</v>
      </c>
      <c r="CG2639" s="16">
        <f t="shared" si="636"/>
        <v>0</v>
      </c>
      <c r="CH2639" s="16">
        <f t="shared" si="643"/>
        <v>0</v>
      </c>
      <c r="CJ2639" s="16" t="e">
        <f t="shared" si="637"/>
        <v>#N/A</v>
      </c>
      <c r="CK2639" s="16" t="str">
        <f t="shared" si="638"/>
        <v/>
      </c>
    </row>
    <row r="2640" spans="73:89" ht="12" customHeight="1">
      <c r="BU2640" s="16">
        <f t="shared" si="639"/>
        <v>0</v>
      </c>
      <c r="BV2640" s="16">
        <f>IF($BY$12=1,NORMDIST(BY2640,$Y$6,$Y$8,TRUE),IF($BY$12=2,IF(BY2640&lt;=$BX$31,0,IF(BY2640&gt;=$BX$32,1,(BY2640-$BX$31)*$BX$33)),SUM($BU$42:BU2640)/$BV$40))</f>
        <v>1</v>
      </c>
      <c r="BW2640" s="16">
        <f t="shared" si="641"/>
        <v>6.6010816986613919E-24</v>
      </c>
      <c r="BY2640" s="16">
        <f t="shared" si="642"/>
        <v>259.79999999999058</v>
      </c>
      <c r="BZ2640" s="16">
        <f t="shared" si="633"/>
        <v>2.5408320626103278E-26</v>
      </c>
      <c r="CA2640" s="16">
        <f t="shared" si="640"/>
        <v>-999</v>
      </c>
      <c r="CE2640" s="16" t="e">
        <f t="shared" si="634"/>
        <v>#N/A</v>
      </c>
      <c r="CF2640" s="16">
        <f t="shared" si="635"/>
        <v>99</v>
      </c>
      <c r="CG2640" s="16">
        <f t="shared" si="636"/>
        <v>0</v>
      </c>
      <c r="CH2640" s="16">
        <f t="shared" si="643"/>
        <v>0</v>
      </c>
      <c r="CJ2640" s="16" t="e">
        <f t="shared" si="637"/>
        <v>#N/A</v>
      </c>
      <c r="CK2640" s="16" t="str">
        <f t="shared" si="638"/>
        <v/>
      </c>
    </row>
    <row r="2641" spans="73:89" ht="12" customHeight="1">
      <c r="BU2641" s="16">
        <f t="shared" si="639"/>
        <v>0</v>
      </c>
      <c r="BV2641" s="16">
        <f>IF($BY$12=1,NORMDIST(BY2641,$Y$6,$Y$8,TRUE),IF($BY$12=2,IF(BY2641&lt;=$BX$31,0,IF(BY2641&gt;=$BX$32,1,(BY2641-$BX$31)*$BX$33)),SUM($BU$42:BU2641)/$BV$40))</f>
        <v>1</v>
      </c>
      <c r="BW2641" s="16">
        <f t="shared" si="641"/>
        <v>6.2661107476460772E-24</v>
      </c>
      <c r="BY2641" s="16">
        <f t="shared" si="642"/>
        <v>259.8999999999906</v>
      </c>
      <c r="BZ2641" s="16">
        <f t="shared" si="633"/>
        <v>2.4109698913606402E-26</v>
      </c>
      <c r="CA2641" s="16">
        <f t="shared" si="640"/>
        <v>-999</v>
      </c>
      <c r="CE2641" s="16" t="e">
        <f t="shared" si="634"/>
        <v>#N/A</v>
      </c>
      <c r="CF2641" s="16">
        <f t="shared" si="635"/>
        <v>99</v>
      </c>
      <c r="CG2641" s="16">
        <f t="shared" si="636"/>
        <v>0</v>
      </c>
      <c r="CH2641" s="16">
        <f t="shared" si="643"/>
        <v>0</v>
      </c>
      <c r="CJ2641" s="16" t="e">
        <f t="shared" si="637"/>
        <v>#N/A</v>
      </c>
      <c r="CK2641" s="16" t="str">
        <f t="shared" si="638"/>
        <v/>
      </c>
    </row>
    <row r="2642" spans="73:89" ht="12" customHeight="1">
      <c r="BU2642" s="16">
        <f t="shared" si="639"/>
        <v>0</v>
      </c>
      <c r="BV2642" s="16">
        <f>IF($BY$12=1,NORMDIST(BY2642,$Y$6,$Y$8,TRUE),IF($BY$12=2,IF(BY2642&lt;=$BX$31,0,IF(BY2642&gt;=$BX$32,1,(BY2642-$BX$31)*$BX$33)),SUM($BU$42:BU2642)/$BV$40))</f>
        <v>1</v>
      </c>
      <c r="BW2642" s="16">
        <f t="shared" si="641"/>
        <v>5.9479882677060786E-24</v>
      </c>
      <c r="BY2642" s="16">
        <f t="shared" si="642"/>
        <v>259.99999999999062</v>
      </c>
      <c r="BZ2642" s="16">
        <f t="shared" si="633"/>
        <v>2.2876877952716512E-26</v>
      </c>
      <c r="CA2642" s="16">
        <f t="shared" si="640"/>
        <v>-999</v>
      </c>
      <c r="CE2642" s="16" t="e">
        <f t="shared" si="634"/>
        <v>#N/A</v>
      </c>
      <c r="CF2642" s="16">
        <f t="shared" si="635"/>
        <v>99</v>
      </c>
      <c r="CG2642" s="16">
        <f t="shared" si="636"/>
        <v>0</v>
      </c>
      <c r="CH2642" s="16">
        <f t="shared" si="643"/>
        <v>0</v>
      </c>
      <c r="CJ2642" s="16" t="e">
        <f t="shared" si="637"/>
        <v>#N/A</v>
      </c>
      <c r="CK2642" s="16" t="str">
        <f t="shared" si="638"/>
        <v/>
      </c>
    </row>
    <row r="2643" spans="73:89" ht="12" customHeight="1">
      <c r="BU2643" s="16">
        <f t="shared" si="639"/>
        <v>0</v>
      </c>
      <c r="BV2643" s="16">
        <f>IF($BY$12=1,NORMDIST(BY2643,$Y$6,$Y$8,TRUE),IF($BY$12=2,IF(BY2643&lt;=$BX$31,0,IF(BY2643&gt;=$BX$32,1,(BY2643-$BX$31)*$BX$33)),SUM($BU$42:BU2643)/$BV$40))</f>
        <v>1</v>
      </c>
      <c r="BW2643" s="16">
        <f t="shared" si="641"/>
        <v>5.6458744779798391E-24</v>
      </c>
      <c r="BY2643" s="16">
        <f t="shared" si="642"/>
        <v>260.09999999999064</v>
      </c>
      <c r="BZ2643" s="16">
        <f t="shared" si="633"/>
        <v>2.1706553164090896E-26</v>
      </c>
      <c r="CA2643" s="16">
        <f t="shared" si="640"/>
        <v>-999</v>
      </c>
      <c r="CE2643" s="16" t="e">
        <f t="shared" si="634"/>
        <v>#N/A</v>
      </c>
      <c r="CF2643" s="16">
        <f t="shared" si="635"/>
        <v>99</v>
      </c>
      <c r="CG2643" s="16">
        <f t="shared" si="636"/>
        <v>0</v>
      </c>
      <c r="CH2643" s="16">
        <f t="shared" si="643"/>
        <v>0</v>
      </c>
      <c r="CJ2643" s="16" t="e">
        <f t="shared" si="637"/>
        <v>#N/A</v>
      </c>
      <c r="CK2643" s="16" t="str">
        <f t="shared" si="638"/>
        <v/>
      </c>
    </row>
    <row r="2644" spans="73:89" ht="12" customHeight="1">
      <c r="BU2644" s="16">
        <f t="shared" si="639"/>
        <v>0</v>
      </c>
      <c r="BV2644" s="16">
        <f>IF($BY$12=1,NORMDIST(BY2644,$Y$6,$Y$8,TRUE),IF($BY$12=2,IF(BY2644&lt;=$BX$31,0,IF(BY2644&gt;=$BX$32,1,(BY2644-$BX$31)*$BX$33)),SUM($BU$42:BU2644)/$BV$40))</f>
        <v>1</v>
      </c>
      <c r="BW2644" s="16">
        <f t="shared" si="641"/>
        <v>5.3589710650632464E-24</v>
      </c>
      <c r="BY2644" s="16">
        <f t="shared" si="642"/>
        <v>260.19999999999067</v>
      </c>
      <c r="BZ2644" s="16">
        <f t="shared" si="633"/>
        <v>2.059558441607778E-26</v>
      </c>
      <c r="CA2644" s="16">
        <f t="shared" si="640"/>
        <v>-999</v>
      </c>
      <c r="CE2644" s="16" t="e">
        <f t="shared" si="634"/>
        <v>#N/A</v>
      </c>
      <c r="CF2644" s="16">
        <f t="shared" si="635"/>
        <v>99</v>
      </c>
      <c r="CG2644" s="16">
        <f t="shared" si="636"/>
        <v>0</v>
      </c>
      <c r="CH2644" s="16">
        <f t="shared" si="643"/>
        <v>0</v>
      </c>
      <c r="CJ2644" s="16" t="e">
        <f t="shared" si="637"/>
        <v>#N/A</v>
      </c>
      <c r="CK2644" s="16" t="str">
        <f t="shared" si="638"/>
        <v/>
      </c>
    </row>
    <row r="2645" spans="73:89" ht="12" customHeight="1">
      <c r="BU2645" s="16">
        <f t="shared" si="639"/>
        <v>0</v>
      </c>
      <c r="BV2645" s="16">
        <f>IF($BY$12=1,NORMDIST(BY2645,$Y$6,$Y$8,TRUE),IF($BY$12=2,IF(BY2645&lt;=$BX$31,0,IF(BY2645&gt;=$BX$32,1,(BY2645-$BX$31)*$BX$33)),SUM($BU$42:BU2645)/$BV$40))</f>
        <v>1</v>
      </c>
      <c r="BW2645" s="16">
        <f t="shared" si="641"/>
        <v>5.0865191550430139E-24</v>
      </c>
      <c r="BY2645" s="16">
        <f t="shared" si="642"/>
        <v>260.29999999999069</v>
      </c>
      <c r="BZ2645" s="16">
        <f t="shared" si="633"/>
        <v>1.9540987917953114E-26</v>
      </c>
      <c r="CA2645" s="16">
        <f t="shared" si="640"/>
        <v>-999</v>
      </c>
      <c r="CE2645" s="16" t="e">
        <f t="shared" si="634"/>
        <v>#N/A</v>
      </c>
      <c r="CF2645" s="16">
        <f t="shared" si="635"/>
        <v>99</v>
      </c>
      <c r="CG2645" s="16">
        <f t="shared" si="636"/>
        <v>0</v>
      </c>
      <c r="CH2645" s="16">
        <f t="shared" si="643"/>
        <v>0</v>
      </c>
      <c r="CJ2645" s="16" t="e">
        <f t="shared" si="637"/>
        <v>#N/A</v>
      </c>
      <c r="CK2645" s="16" t="str">
        <f t="shared" si="638"/>
        <v/>
      </c>
    </row>
    <row r="2646" spans="73:89" ht="12" customHeight="1">
      <c r="BU2646" s="16">
        <f t="shared" si="639"/>
        <v>0</v>
      </c>
      <c r="BV2646" s="16">
        <f>IF($BY$12=1,NORMDIST(BY2646,$Y$6,$Y$8,TRUE),IF($BY$12=2,IF(BY2646&lt;=$BX$31,0,IF(BY2646&gt;=$BX$32,1,(BY2646-$BX$31)*$BX$33)),SUM($BU$42:BU2646)/$BV$40))</f>
        <v>1</v>
      </c>
      <c r="BW2646" s="16">
        <f t="shared" si="641"/>
        <v>4.8277973837249649E-24</v>
      </c>
      <c r="BY2646" s="16">
        <f t="shared" si="642"/>
        <v>260.39999999999071</v>
      </c>
      <c r="BZ2646" s="16">
        <f t="shared" si="633"/>
        <v>1.8539928508929098E-26</v>
      </c>
      <c r="CA2646" s="16">
        <f t="shared" si="640"/>
        <v>-999</v>
      </c>
      <c r="CE2646" s="16" t="e">
        <f t="shared" si="634"/>
        <v>#N/A</v>
      </c>
      <c r="CF2646" s="16">
        <f t="shared" si="635"/>
        <v>99</v>
      </c>
      <c r="CG2646" s="16">
        <f t="shared" si="636"/>
        <v>0</v>
      </c>
      <c r="CH2646" s="16">
        <f t="shared" si="643"/>
        <v>0</v>
      </c>
      <c r="CJ2646" s="16" t="e">
        <f t="shared" si="637"/>
        <v>#N/A</v>
      </c>
      <c r="CK2646" s="16" t="str">
        <f t="shared" si="638"/>
        <v/>
      </c>
    </row>
    <row r="2647" spans="73:89" ht="12" customHeight="1">
      <c r="BU2647" s="16">
        <f t="shared" si="639"/>
        <v>0</v>
      </c>
      <c r="BV2647" s="16">
        <f>IF($BY$12=1,NORMDIST(BY2647,$Y$6,$Y$8,TRUE),IF($BY$12=2,IF(BY2647&lt;=$BX$31,0,IF(BY2647&gt;=$BX$32,1,(BY2647-$BX$31)*$BX$33)),SUM($BU$42:BU2647)/$BV$40))</f>
        <v>1</v>
      </c>
      <c r="BW2647" s="16">
        <f t="shared" si="641"/>
        <v>4.5821200603529214E-24</v>
      </c>
      <c r="BY2647" s="16">
        <f t="shared" si="642"/>
        <v>260.49999999999073</v>
      </c>
      <c r="BZ2647" s="16">
        <f t="shared" si="633"/>
        <v>1.7589712323812225E-26</v>
      </c>
      <c r="CA2647" s="16">
        <f t="shared" si="640"/>
        <v>-999</v>
      </c>
      <c r="CE2647" s="16" t="e">
        <f t="shared" si="634"/>
        <v>#N/A</v>
      </c>
      <c r="CF2647" s="16">
        <f t="shared" si="635"/>
        <v>99</v>
      </c>
      <c r="CG2647" s="16">
        <f t="shared" si="636"/>
        <v>0</v>
      </c>
      <c r="CH2647" s="16">
        <f t="shared" si="643"/>
        <v>0</v>
      </c>
      <c r="CJ2647" s="16" t="e">
        <f t="shared" si="637"/>
        <v>#N/A</v>
      </c>
      <c r="CK2647" s="16" t="str">
        <f t="shared" si="638"/>
        <v/>
      </c>
    </row>
    <row r="2648" spans="73:89" ht="12" customHeight="1">
      <c r="BU2648" s="16">
        <f t="shared" si="639"/>
        <v>0</v>
      </c>
      <c r="BV2648" s="16">
        <f>IF($BY$12=1,NORMDIST(BY2648,$Y$6,$Y$8,TRUE),IF($BY$12=2,IF(BY2648&lt;=$BX$31,0,IF(BY2648&gt;=$BX$32,1,(BY2648-$BX$31)*$BX$33)),SUM($BU$42:BU2648)/$BV$40))</f>
        <v>1</v>
      </c>
      <c r="BW2648" s="16">
        <f t="shared" si="641"/>
        <v>4.3488354203344876E-24</v>
      </c>
      <c r="BY2648" s="16">
        <f t="shared" si="642"/>
        <v>260.59999999999076</v>
      </c>
      <c r="BZ2648" s="16">
        <f t="shared" si="633"/>
        <v>1.6687779817093791E-26</v>
      </c>
      <c r="CA2648" s="16">
        <f t="shared" si="640"/>
        <v>-999</v>
      </c>
      <c r="CE2648" s="16" t="e">
        <f t="shared" si="634"/>
        <v>#N/A</v>
      </c>
      <c r="CF2648" s="16">
        <f t="shared" si="635"/>
        <v>99</v>
      </c>
      <c r="CG2648" s="16">
        <f t="shared" si="636"/>
        <v>0</v>
      </c>
      <c r="CH2648" s="16">
        <f t="shared" si="643"/>
        <v>0</v>
      </c>
      <c r="CJ2648" s="16" t="e">
        <f t="shared" si="637"/>
        <v>#N/A</v>
      </c>
      <c r="CK2648" s="16" t="str">
        <f t="shared" si="638"/>
        <v/>
      </c>
    </row>
    <row r="2649" spans="73:89" ht="12" customHeight="1">
      <c r="BU2649" s="16">
        <f t="shared" si="639"/>
        <v>0</v>
      </c>
      <c r="BV2649" s="16">
        <f>IF($BY$12=1,NORMDIST(BY2649,$Y$6,$Y$8,TRUE),IF($BY$12=2,IF(BY2649&lt;=$BX$31,0,IF(BY2649&gt;=$BX$32,1,(BY2649-$BX$31)*$BX$33)),SUM($BU$42:BU2649)/$BV$40))</f>
        <v>1</v>
      </c>
      <c r="BW2649" s="16">
        <f t="shared" si="641"/>
        <v>4.1273239627032469E-24</v>
      </c>
      <c r="BY2649" s="16">
        <f t="shared" si="642"/>
        <v>260.69999999999078</v>
      </c>
      <c r="BZ2649" s="16">
        <f t="shared" si="633"/>
        <v>1.5831699128129624E-26</v>
      </c>
      <c r="CA2649" s="16">
        <f t="shared" si="640"/>
        <v>-999</v>
      </c>
      <c r="CE2649" s="16" t="e">
        <f t="shared" si="634"/>
        <v>#N/A</v>
      </c>
      <c r="CF2649" s="16">
        <f t="shared" si="635"/>
        <v>99</v>
      </c>
      <c r="CG2649" s="16">
        <f t="shared" si="636"/>
        <v>0</v>
      </c>
      <c r="CH2649" s="16">
        <f t="shared" si="643"/>
        <v>0</v>
      </c>
      <c r="CJ2649" s="16" t="e">
        <f t="shared" si="637"/>
        <v>#N/A</v>
      </c>
      <c r="CK2649" s="16" t="str">
        <f t="shared" si="638"/>
        <v/>
      </c>
    </row>
    <row r="2650" spans="73:89" ht="12" customHeight="1">
      <c r="BU2650" s="16">
        <f t="shared" si="639"/>
        <v>0</v>
      </c>
      <c r="BV2650" s="16">
        <f>IF($BY$12=1,NORMDIST(BY2650,$Y$6,$Y$8,TRUE),IF($BY$12=2,IF(BY2650&lt;=$BX$31,0,IF(BY2650&gt;=$BX$32,1,(BY2650-$BX$31)*$BX$33)),SUM($BU$42:BU2650)/$BV$40))</f>
        <v>1</v>
      </c>
      <c r="BW2650" s="16">
        <f t="shared" si="641"/>
        <v>3.9169968682502598E-24</v>
      </c>
      <c r="BY2650" s="16">
        <f t="shared" si="642"/>
        <v>260.7999999999908</v>
      </c>
      <c r="BZ2650" s="16">
        <f t="shared" si="633"/>
        <v>1.5019159770898766E-26</v>
      </c>
      <c r="CA2650" s="16">
        <f t="shared" si="640"/>
        <v>-999</v>
      </c>
      <c r="CE2650" s="16" t="e">
        <f t="shared" si="634"/>
        <v>#N/A</v>
      </c>
      <c r="CF2650" s="16">
        <f t="shared" si="635"/>
        <v>99</v>
      </c>
      <c r="CG2650" s="16">
        <f t="shared" si="636"/>
        <v>0</v>
      </c>
      <c r="CH2650" s="16">
        <f t="shared" si="643"/>
        <v>0</v>
      </c>
      <c r="CJ2650" s="16" t="e">
        <f t="shared" si="637"/>
        <v>#N/A</v>
      </c>
      <c r="CK2650" s="16" t="str">
        <f t="shared" si="638"/>
        <v/>
      </c>
    </row>
    <row r="2651" spans="73:89" ht="12" customHeight="1">
      <c r="BU2651" s="16">
        <f t="shared" si="639"/>
        <v>0</v>
      </c>
      <c r="BV2651" s="16">
        <f>IF($BY$12=1,NORMDIST(BY2651,$Y$6,$Y$8,TRUE),IF($BY$12=2,IF(BY2651&lt;=$BX$31,0,IF(BY2651&gt;=$BX$32,1,(BY2651-$BX$31)*$BX$33)),SUM($BU$42:BU2651)/$BV$40))</f>
        <v>1</v>
      </c>
      <c r="BW2651" s="16">
        <f t="shared" si="641"/>
        <v>3.7172944944504493E-24</v>
      </c>
      <c r="BY2651" s="16">
        <f t="shared" si="642"/>
        <v>260.89999999999083</v>
      </c>
      <c r="BZ2651" s="16">
        <f t="shared" si="633"/>
        <v>1.4247966632620084E-26</v>
      </c>
      <c r="CA2651" s="16">
        <f t="shared" si="640"/>
        <v>-999</v>
      </c>
      <c r="CE2651" s="16" t="e">
        <f t="shared" si="634"/>
        <v>#N/A</v>
      </c>
      <c r="CF2651" s="16">
        <f t="shared" si="635"/>
        <v>99</v>
      </c>
      <c r="CG2651" s="16">
        <f t="shared" si="636"/>
        <v>0</v>
      </c>
      <c r="CH2651" s="16">
        <f t="shared" si="643"/>
        <v>0</v>
      </c>
      <c r="CJ2651" s="16" t="e">
        <f t="shared" si="637"/>
        <v>#N/A</v>
      </c>
      <c r="CK2651" s="16" t="str">
        <f t="shared" si="638"/>
        <v/>
      </c>
    </row>
    <row r="2652" spans="73:89" ht="12" customHeight="1">
      <c r="BU2652" s="16">
        <f t="shared" si="639"/>
        <v>0</v>
      </c>
      <c r="BV2652" s="16">
        <f>IF($BY$12=1,NORMDIST(BY2652,$Y$6,$Y$8,TRUE),IF($BY$12=2,IF(BY2652&lt;=$BX$31,0,IF(BY2652&gt;=$BX$32,1,(BY2652-$BX$31)*$BX$33)),SUM($BU$42:BU2652)/$BV$40))</f>
        <v>1</v>
      </c>
      <c r="BW2652" s="16">
        <f t="shared" si="641"/>
        <v>3.527684943493068E-24</v>
      </c>
      <c r="BY2652" s="16">
        <f t="shared" si="642"/>
        <v>260.99999999999085</v>
      </c>
      <c r="BZ2652" s="16">
        <f t="shared" si="633"/>
        <v>1.3516034266257441E-26</v>
      </c>
      <c r="CA2652" s="16">
        <f t="shared" si="640"/>
        <v>-999</v>
      </c>
      <c r="CE2652" s="16" t="e">
        <f t="shared" si="634"/>
        <v>#N/A</v>
      </c>
      <c r="CF2652" s="16">
        <f t="shared" si="635"/>
        <v>99</v>
      </c>
      <c r="CG2652" s="16">
        <f t="shared" si="636"/>
        <v>0</v>
      </c>
      <c r="CH2652" s="16">
        <f t="shared" si="643"/>
        <v>0</v>
      </c>
      <c r="CJ2652" s="16" t="e">
        <f t="shared" si="637"/>
        <v>#N/A</v>
      </c>
      <c r="CK2652" s="16" t="str">
        <f t="shared" si="638"/>
        <v/>
      </c>
    </row>
    <row r="2653" spans="73:89" ht="12" customHeight="1">
      <c r="BU2653" s="16">
        <f t="shared" si="639"/>
        <v>0</v>
      </c>
      <c r="BV2653" s="16">
        <f>IF($BY$12=1,NORMDIST(BY2653,$Y$6,$Y$8,TRUE),IF($BY$12=2,IF(BY2653&lt;=$BX$31,0,IF(BY2653&gt;=$BX$32,1,(BY2653-$BX$31)*$BX$33)),SUM($BU$42:BU2653)/$BV$40))</f>
        <v>1</v>
      </c>
      <c r="BW2653" s="16">
        <f t="shared" si="641"/>
        <v>3.3476626999023134E-24</v>
      </c>
      <c r="BY2653" s="16">
        <f t="shared" si="642"/>
        <v>261.09999999999087</v>
      </c>
      <c r="BZ2653" s="16">
        <f t="shared" si="633"/>
        <v>1.2821381462667294E-26</v>
      </c>
      <c r="CA2653" s="16">
        <f t="shared" si="640"/>
        <v>-999</v>
      </c>
      <c r="CE2653" s="16" t="e">
        <f t="shared" si="634"/>
        <v>#N/A</v>
      </c>
      <c r="CF2653" s="16">
        <f t="shared" si="635"/>
        <v>99</v>
      </c>
      <c r="CG2653" s="16">
        <f t="shared" si="636"/>
        <v>0</v>
      </c>
      <c r="CH2653" s="16">
        <f t="shared" si="643"/>
        <v>0</v>
      </c>
      <c r="CJ2653" s="16" t="e">
        <f t="shared" si="637"/>
        <v>#N/A</v>
      </c>
      <c r="CK2653" s="16" t="str">
        <f t="shared" si="638"/>
        <v/>
      </c>
    </row>
    <row r="2654" spans="73:89" ht="12" customHeight="1">
      <c r="BU2654" s="16">
        <f t="shared" si="639"/>
        <v>0</v>
      </c>
      <c r="BV2654" s="16">
        <f>IF($BY$12=1,NORMDIST(BY2654,$Y$6,$Y$8,TRUE),IF($BY$12=2,IF(BY2654&lt;=$BX$31,0,IF(BY2654&gt;=$BX$32,1,(BY2654-$BX$31)*$BX$33)),SUM($BU$42:BU2654)/$BV$40))</f>
        <v>1</v>
      </c>
      <c r="BW2654" s="16">
        <f t="shared" si="641"/>
        <v>3.1767473343996341E-24</v>
      </c>
      <c r="BY2654" s="16">
        <f t="shared" si="642"/>
        <v>261.19999999999089</v>
      </c>
      <c r="BZ2654" s="16">
        <f t="shared" si="633"/>
        <v>1.2162126088819851E-26</v>
      </c>
      <c r="CA2654" s="16">
        <f t="shared" si="640"/>
        <v>-999</v>
      </c>
      <c r="CE2654" s="16" t="e">
        <f t="shared" si="634"/>
        <v>#N/A</v>
      </c>
      <c r="CF2654" s="16">
        <f t="shared" si="635"/>
        <v>99</v>
      </c>
      <c r="CG2654" s="16">
        <f t="shared" si="636"/>
        <v>0</v>
      </c>
      <c r="CH2654" s="16">
        <f t="shared" si="643"/>
        <v>0</v>
      </c>
      <c r="CJ2654" s="16" t="e">
        <f t="shared" si="637"/>
        <v>#N/A</v>
      </c>
      <c r="CK2654" s="16" t="str">
        <f t="shared" si="638"/>
        <v/>
      </c>
    </row>
    <row r="2655" spans="73:89" ht="12" customHeight="1">
      <c r="BU2655" s="16">
        <f t="shared" si="639"/>
        <v>0</v>
      </c>
      <c r="BV2655" s="16">
        <f>IF($BY$12=1,NORMDIST(BY2655,$Y$6,$Y$8,TRUE),IF($BY$12=2,IF(BY2655&lt;=$BX$31,0,IF(BY2655&gt;=$BX$32,1,(BY2655-$BX$31)*$BX$33)),SUM($BU$42:BU2655)/$BV$40))</f>
        <v>1</v>
      </c>
      <c r="BW2655" s="16">
        <f t="shared" si="641"/>
        <v>3.0144822708203434E-24</v>
      </c>
      <c r="BY2655" s="16">
        <f t="shared" si="642"/>
        <v>261.29999999999092</v>
      </c>
      <c r="BZ2655" s="16">
        <f t="shared" si="633"/>
        <v>1.1536480179182732E-26</v>
      </c>
      <c r="CA2655" s="16">
        <f t="shared" si="640"/>
        <v>-999</v>
      </c>
      <c r="CE2655" s="16" t="e">
        <f t="shared" si="634"/>
        <v>#N/A</v>
      </c>
      <c r="CF2655" s="16">
        <f t="shared" si="635"/>
        <v>99</v>
      </c>
      <c r="CG2655" s="16">
        <f t="shared" si="636"/>
        <v>0</v>
      </c>
      <c r="CH2655" s="16">
        <f t="shared" si="643"/>
        <v>0</v>
      </c>
      <c r="CJ2655" s="16" t="e">
        <f t="shared" si="637"/>
        <v>#N/A</v>
      </c>
      <c r="CK2655" s="16" t="str">
        <f t="shared" si="638"/>
        <v/>
      </c>
    </row>
    <row r="2656" spans="73:89" ht="12" customHeight="1">
      <c r="BU2656" s="16">
        <f t="shared" si="639"/>
        <v>0</v>
      </c>
      <c r="BV2656" s="16">
        <f>IF($BY$12=1,NORMDIST(BY2656,$Y$6,$Y$8,TRUE),IF($BY$12=2,IF(BY2656&lt;=$BX$31,0,IF(BY2656&gt;=$BX$32,1,(BY2656-$BX$31)*$BX$33)),SUM($BU$42:BU2656)/$BV$40))</f>
        <v>1</v>
      </c>
      <c r="BW2656" s="16">
        <f t="shared" si="641"/>
        <v>2.860433613047373E-24</v>
      </c>
      <c r="BY2656" s="16">
        <f t="shared" si="642"/>
        <v>261.39999999999094</v>
      </c>
      <c r="BZ2656" s="16">
        <f t="shared" si="633"/>
        <v>1.0942745267970437E-26</v>
      </c>
      <c r="CA2656" s="16">
        <f t="shared" si="640"/>
        <v>-999</v>
      </c>
      <c r="CE2656" s="16" t="e">
        <f t="shared" si="634"/>
        <v>#N/A</v>
      </c>
      <c r="CF2656" s="16">
        <f t="shared" si="635"/>
        <v>99</v>
      </c>
      <c r="CG2656" s="16">
        <f t="shared" si="636"/>
        <v>0</v>
      </c>
      <c r="CH2656" s="16">
        <f t="shared" si="643"/>
        <v>0</v>
      </c>
      <c r="CJ2656" s="16" t="e">
        <f t="shared" si="637"/>
        <v>#N/A</v>
      </c>
      <c r="CK2656" s="16" t="str">
        <f t="shared" si="638"/>
        <v/>
      </c>
    </row>
    <row r="2657" spans="73:89" ht="12" customHeight="1">
      <c r="BU2657" s="16">
        <f t="shared" si="639"/>
        <v>0</v>
      </c>
      <c r="BV2657" s="16">
        <f>IF($BY$12=1,NORMDIST(BY2657,$Y$6,$Y$8,TRUE),IF($BY$12=2,IF(BY2657&lt;=$BX$31,0,IF(BY2657&gt;=$BX$32,1,(BY2657-$BX$31)*$BX$33)),SUM($BU$42:BU2657)/$BV$40))</f>
        <v>1</v>
      </c>
      <c r="BW2657" s="16">
        <f t="shared" si="641"/>
        <v>2.7141890290711132E-24</v>
      </c>
      <c r="BY2657" s="16">
        <f t="shared" si="642"/>
        <v>261.49999999999096</v>
      </c>
      <c r="BZ2657" s="16">
        <f t="shared" si="633"/>
        <v>1.0379307950559108E-26</v>
      </c>
      <c r="CA2657" s="16">
        <f t="shared" si="640"/>
        <v>-999</v>
      </c>
      <c r="CE2657" s="16" t="e">
        <f t="shared" si="634"/>
        <v>#N/A</v>
      </c>
      <c r="CF2657" s="16">
        <f t="shared" si="635"/>
        <v>99</v>
      </c>
      <c r="CG2657" s="16">
        <f t="shared" si="636"/>
        <v>0</v>
      </c>
      <c r="CH2657" s="16">
        <f t="shared" si="643"/>
        <v>0</v>
      </c>
      <c r="CJ2657" s="16" t="e">
        <f t="shared" si="637"/>
        <v>#N/A</v>
      </c>
      <c r="CK2657" s="16" t="str">
        <f t="shared" si="638"/>
        <v/>
      </c>
    </row>
    <row r="2658" spans="73:89" ht="12" customHeight="1">
      <c r="BU2658" s="16">
        <f t="shared" si="639"/>
        <v>0</v>
      </c>
      <c r="BV2658" s="16">
        <f>IF($BY$12=1,NORMDIST(BY2658,$Y$6,$Y$8,TRUE),IF($BY$12=2,IF(BY2658&lt;=$BX$31,0,IF(BY2658&gt;=$BX$32,1,(BY2658-$BX$31)*$BX$33)),SUM($BU$42:BU2658)/$BV$40))</f>
        <v>1</v>
      </c>
      <c r="BW2658" s="16">
        <f t="shared" si="641"/>
        <v>2.5753566894211313E-24</v>
      </c>
      <c r="BY2658" s="16">
        <f t="shared" si="642"/>
        <v>261.59999999999098</v>
      </c>
      <c r="BZ2658" s="16">
        <f t="shared" si="633"/>
        <v>9.8446356629251528E-27</v>
      </c>
      <c r="CA2658" s="16">
        <f t="shared" si="640"/>
        <v>-999</v>
      </c>
      <c r="CE2658" s="16" t="e">
        <f t="shared" si="634"/>
        <v>#N/A</v>
      </c>
      <c r="CF2658" s="16">
        <f t="shared" si="635"/>
        <v>99</v>
      </c>
      <c r="CG2658" s="16">
        <f t="shared" si="636"/>
        <v>0</v>
      </c>
      <c r="CH2658" s="16">
        <f t="shared" si="643"/>
        <v>0</v>
      </c>
      <c r="CJ2658" s="16" t="e">
        <f t="shared" si="637"/>
        <v>#N/A</v>
      </c>
      <c r="CK2658" s="16" t="str">
        <f t="shared" si="638"/>
        <v/>
      </c>
    </row>
    <row r="2659" spans="73:89" ht="12" customHeight="1">
      <c r="BU2659" s="16">
        <f t="shared" si="639"/>
        <v>0</v>
      </c>
      <c r="BV2659" s="16">
        <f>IF($BY$12=1,NORMDIST(BY2659,$Y$6,$Y$8,TRUE),IF($BY$12=2,IF(BY2659&lt;=$BX$31,0,IF(BY2659&gt;=$BX$32,1,(BY2659-$BX$31)*$BX$33)),SUM($BU$42:BU2659)/$BV$40))</f>
        <v>1</v>
      </c>
      <c r="BW2659" s="16">
        <f t="shared" si="641"/>
        <v>2.4435642573473634E-24</v>
      </c>
      <c r="BY2659" s="16">
        <f t="shared" si="642"/>
        <v>261.69999999999101</v>
      </c>
      <c r="BZ2659" s="16">
        <f t="shared" si="633"/>
        <v>9.3372726685038111E-27</v>
      </c>
      <c r="CA2659" s="16">
        <f t="shared" si="640"/>
        <v>-999</v>
      </c>
      <c r="CE2659" s="16" t="e">
        <f t="shared" si="634"/>
        <v>#N/A</v>
      </c>
      <c r="CF2659" s="16">
        <f t="shared" si="635"/>
        <v>99</v>
      </c>
      <c r="CG2659" s="16">
        <f t="shared" si="636"/>
        <v>0</v>
      </c>
      <c r="CH2659" s="16">
        <f t="shared" si="643"/>
        <v>0</v>
      </c>
      <c r="CJ2659" s="16" t="e">
        <f t="shared" si="637"/>
        <v>#N/A</v>
      </c>
      <c r="CK2659" s="16" t="str">
        <f t="shared" si="638"/>
        <v/>
      </c>
    </row>
    <row r="2660" spans="73:89" ht="12" customHeight="1">
      <c r="BU2660" s="16">
        <f t="shared" si="639"/>
        <v>0</v>
      </c>
      <c r="BV2660" s="16">
        <f>IF($BY$12=1,NORMDIST(BY2660,$Y$6,$Y$8,TRUE),IF($BY$12=2,IF(BY2660&lt;=$BX$31,0,IF(BY2660&gt;=$BX$32,1,(BY2660-$BX$31)*$BX$33)),SUM($BU$42:BU2660)/$BV$40))</f>
        <v>1</v>
      </c>
      <c r="BW2660" s="16">
        <f t="shared" si="641"/>
        <v>2.3184579282537232E-24</v>
      </c>
      <c r="BY2660" s="16">
        <f t="shared" si="642"/>
        <v>261.79999999999103</v>
      </c>
      <c r="BZ2660" s="16">
        <f t="shared" si="633"/>
        <v>8.8558362423751049E-27</v>
      </c>
      <c r="CA2660" s="16">
        <f t="shared" si="640"/>
        <v>-999</v>
      </c>
      <c r="CE2660" s="16" t="e">
        <f t="shared" si="634"/>
        <v>#N/A</v>
      </c>
      <c r="CF2660" s="16">
        <f t="shared" si="635"/>
        <v>99</v>
      </c>
      <c r="CG2660" s="16">
        <f t="shared" si="636"/>
        <v>0</v>
      </c>
      <c r="CH2660" s="16">
        <f t="shared" si="643"/>
        <v>0</v>
      </c>
      <c r="CJ2660" s="16" t="e">
        <f t="shared" si="637"/>
        <v>#N/A</v>
      </c>
      <c r="CK2660" s="16" t="str">
        <f t="shared" si="638"/>
        <v/>
      </c>
    </row>
    <row r="2661" spans="73:89" ht="12" customHeight="1">
      <c r="BU2661" s="16">
        <f t="shared" si="639"/>
        <v>0</v>
      </c>
      <c r="BV2661" s="16">
        <f>IF($BY$12=1,NORMDIST(BY2661,$Y$6,$Y$8,TRUE),IF($BY$12=2,IF(BY2661&lt;=$BX$31,0,IF(BY2661&gt;=$BX$32,1,(BY2661-$BX$31)*$BX$33)),SUM($BU$42:BU2661)/$BV$40))</f>
        <v>1</v>
      </c>
      <c r="BW2661" s="16">
        <f t="shared" si="641"/>
        <v>2.1997015160057475E-24</v>
      </c>
      <c r="BY2661" s="16">
        <f t="shared" si="642"/>
        <v>261.89999999999105</v>
      </c>
      <c r="BZ2661" s="16">
        <f t="shared" si="633"/>
        <v>8.3990130431684711E-27</v>
      </c>
      <c r="CA2661" s="16">
        <f t="shared" si="640"/>
        <v>-999</v>
      </c>
      <c r="CE2661" s="16" t="e">
        <f t="shared" si="634"/>
        <v>#N/A</v>
      </c>
      <c r="CF2661" s="16">
        <f t="shared" si="635"/>
        <v>99</v>
      </c>
      <c r="CG2661" s="16">
        <f t="shared" si="636"/>
        <v>0</v>
      </c>
      <c r="CH2661" s="16">
        <f t="shared" si="643"/>
        <v>0</v>
      </c>
      <c r="CJ2661" s="16" t="e">
        <f t="shared" si="637"/>
        <v>#N/A</v>
      </c>
      <c r="CK2661" s="16" t="str">
        <f t="shared" si="638"/>
        <v/>
      </c>
    </row>
    <row r="2662" spans="73:89" ht="12" customHeight="1">
      <c r="BU2662" s="16">
        <f t="shared" si="639"/>
        <v>0</v>
      </c>
      <c r="BV2662" s="16">
        <f>IF($BY$12=1,NORMDIST(BY2662,$Y$6,$Y$8,TRUE),IF($BY$12=2,IF(BY2662&lt;=$BX$31,0,IF(BY2662&gt;=$BX$32,1,(BY2662-$BX$31)*$BX$33)),SUM($BU$42:BU2662)/$BV$40))</f>
        <v>1</v>
      </c>
      <c r="BW2662" s="16">
        <f t="shared" si="641"/>
        <v>2.0869755838480708E-24</v>
      </c>
      <c r="BY2662" s="16">
        <f t="shared" si="642"/>
        <v>261.99999999999108</v>
      </c>
      <c r="BZ2662" s="16">
        <f t="shared" si="633"/>
        <v>7.9655556635425261E-27</v>
      </c>
      <c r="CA2662" s="16">
        <f t="shared" si="640"/>
        <v>-999</v>
      </c>
      <c r="CE2662" s="16" t="e">
        <f t="shared" si="634"/>
        <v>#N/A</v>
      </c>
      <c r="CF2662" s="16">
        <f t="shared" si="635"/>
        <v>99</v>
      </c>
      <c r="CG2662" s="16">
        <f t="shared" si="636"/>
        <v>0</v>
      </c>
      <c r="CH2662" s="16">
        <f t="shared" si="643"/>
        <v>0</v>
      </c>
      <c r="CJ2662" s="16" t="e">
        <f t="shared" si="637"/>
        <v>#N/A</v>
      </c>
      <c r="CK2662" s="16" t="str">
        <f t="shared" si="638"/>
        <v/>
      </c>
    </row>
    <row r="2663" spans="73:89" ht="12" customHeight="1">
      <c r="BU2663" s="16">
        <f t="shared" si="639"/>
        <v>0</v>
      </c>
      <c r="BV2663" s="16">
        <f>IF($BY$12=1,NORMDIST(BY2663,$Y$6,$Y$8,TRUE),IF($BY$12=2,IF(BY2663&lt;=$BX$31,0,IF(BY2663&gt;=$BX$32,1,(BY2663-$BX$31)*$BX$33)),SUM($BU$42:BU2663)/$BV$40))</f>
        <v>1</v>
      </c>
      <c r="BW2663" s="16">
        <f t="shared" si="641"/>
        <v>1.9799766177756082E-24</v>
      </c>
      <c r="BY2663" s="16">
        <f t="shared" si="642"/>
        <v>262.0999999999911</v>
      </c>
      <c r="BZ2663" s="16">
        <f t="shared" si="633"/>
        <v>7.5542793505367246E-27</v>
      </c>
      <c r="CA2663" s="16">
        <f t="shared" si="640"/>
        <v>-999</v>
      </c>
      <c r="CE2663" s="16" t="e">
        <f t="shared" si="634"/>
        <v>#N/A</v>
      </c>
      <c r="CF2663" s="16">
        <f t="shared" si="635"/>
        <v>99</v>
      </c>
      <c r="CG2663" s="16">
        <f t="shared" si="636"/>
        <v>0</v>
      </c>
      <c r="CH2663" s="16">
        <f t="shared" si="643"/>
        <v>0</v>
      </c>
      <c r="CJ2663" s="16" t="e">
        <f t="shared" si="637"/>
        <v>#N/A</v>
      </c>
      <c r="CK2663" s="16" t="str">
        <f t="shared" si="638"/>
        <v/>
      </c>
    </row>
    <row r="2664" spans="73:89" ht="12" customHeight="1">
      <c r="BU2664" s="16">
        <f t="shared" si="639"/>
        <v>0</v>
      </c>
      <c r="BV2664" s="16">
        <f>IF($BY$12=1,NORMDIST(BY2664,$Y$6,$Y$8,TRUE),IF($BY$12=2,IF(BY2664&lt;=$BX$31,0,IF(BY2664&gt;=$BX$32,1,(BY2664-$BX$31)*$BX$33)),SUM($BU$42:BU2664)/$BV$40))</f>
        <v>1</v>
      </c>
      <c r="BW2664" s="16">
        <f t="shared" si="641"/>
        <v>1.878416240305359E-24</v>
      </c>
      <c r="BY2664" s="16">
        <f t="shared" si="642"/>
        <v>262.19999999999112</v>
      </c>
      <c r="BZ2664" s="16">
        <f t="shared" si="633"/>
        <v>7.164058887511147E-27</v>
      </c>
      <c r="CA2664" s="16">
        <f t="shared" si="640"/>
        <v>-999</v>
      </c>
      <c r="CE2664" s="16" t="e">
        <f t="shared" si="634"/>
        <v>#N/A</v>
      </c>
      <c r="CF2664" s="16">
        <f t="shared" si="635"/>
        <v>99</v>
      </c>
      <c r="CG2664" s="16">
        <f t="shared" si="636"/>
        <v>0</v>
      </c>
      <c r="CH2664" s="16">
        <f t="shared" si="643"/>
        <v>0</v>
      </c>
      <c r="CJ2664" s="16" t="e">
        <f t="shared" si="637"/>
        <v>#N/A</v>
      </c>
      <c r="CK2664" s="16" t="str">
        <f t="shared" si="638"/>
        <v/>
      </c>
    </row>
    <row r="2665" spans="73:89" ht="12" customHeight="1">
      <c r="BU2665" s="16">
        <f t="shared" si="639"/>
        <v>0</v>
      </c>
      <c r="BV2665" s="16">
        <f>IF($BY$12=1,NORMDIST(BY2665,$Y$6,$Y$8,TRUE),IF($BY$12=2,IF(BY2665&lt;=$BX$31,0,IF(BY2665&gt;=$BX$32,1,(BY2665-$BX$31)*$BX$33)),SUM($BU$42:BU2665)/$BV$40))</f>
        <v>1</v>
      </c>
      <c r="BW2665" s="16">
        <f t="shared" si="641"/>
        <v>1.7820204626939468E-24</v>
      </c>
      <c r="BY2665" s="16">
        <f t="shared" si="642"/>
        <v>262.29999999999114</v>
      </c>
      <c r="BZ2665" s="16">
        <f t="shared" si="633"/>
        <v>6.7938256297903431E-27</v>
      </c>
      <c r="CA2665" s="16">
        <f t="shared" si="640"/>
        <v>-999</v>
      </c>
      <c r="CE2665" s="16" t="e">
        <f t="shared" si="634"/>
        <v>#N/A</v>
      </c>
      <c r="CF2665" s="16">
        <f t="shared" si="635"/>
        <v>99</v>
      </c>
      <c r="CG2665" s="16">
        <f t="shared" si="636"/>
        <v>0</v>
      </c>
      <c r="CH2665" s="16">
        <f t="shared" si="643"/>
        <v>0</v>
      </c>
      <c r="CJ2665" s="16" t="e">
        <f t="shared" si="637"/>
        <v>#N/A</v>
      </c>
      <c r="CK2665" s="16" t="str">
        <f t="shared" si="638"/>
        <v/>
      </c>
    </row>
    <row r="2666" spans="73:89" ht="12" customHeight="1">
      <c r="BU2666" s="16">
        <f t="shared" si="639"/>
        <v>0</v>
      </c>
      <c r="BV2666" s="16">
        <f>IF($BY$12=1,NORMDIST(BY2666,$Y$6,$Y$8,TRUE),IF($BY$12=2,IF(BY2666&lt;=$BX$31,0,IF(BY2666&gt;=$BX$32,1,(BY2666-$BX$31)*$BX$33)),SUM($BU$42:BU2666)/$BV$40))</f>
        <v>1</v>
      </c>
      <c r="BW2666" s="16">
        <f t="shared" si="641"/>
        <v>1.6905289737399891E-24</v>
      </c>
      <c r="BY2666" s="16">
        <f t="shared" si="642"/>
        <v>262.39999999999117</v>
      </c>
      <c r="BZ2666" s="16">
        <f t="shared" ref="BZ2666:BZ2729" si="644">IF($BZ$5,IF($BY$12=1,NORMDIST(BY2666,$Y$6,$Y$8,FALSE),IF($BY$12=2,IF(AND(BY2666&gt;=$BX$31,BY2666&lt;=$BX$32),$BX$33,0),IF(BY2666&lt;=$BX$13,0,NORMDIST(LN((BY2666-$BX$13)/$BX$12),0,$BW$8,FALSE)/((BY2666-$BX$13)/$BX$12)))),-999)</f>
        <v>6.442564686509322E-27</v>
      </c>
      <c r="CA2666" s="16">
        <f t="shared" si="640"/>
        <v>-999</v>
      </c>
      <c r="CE2666" s="16" t="e">
        <f t="shared" ref="CE2666:CE2729" si="645">IF(AND($CB$7,$CD$2,$CD$1),26+$P$23/2-CC2666*$P$23,NA())</f>
        <v>#N/A</v>
      </c>
      <c r="CF2666" s="16">
        <f t="shared" ref="CF2666:CF2729" si="646">IF(ISNA(CJ2666),99,CJ2666)</f>
        <v>99</v>
      </c>
      <c r="CG2666" s="16">
        <f t="shared" ref="CG2666:CG2729" si="647">IF(ISNA(CJ2666),0,CJ2666)</f>
        <v>0</v>
      </c>
      <c r="CH2666" s="16">
        <f t="shared" si="643"/>
        <v>0</v>
      </c>
      <c r="CJ2666" s="16" t="e">
        <f t="shared" ref="CJ2666:CJ2729" si="648">IF(CH2666=1,CE2666,NA())</f>
        <v>#N/A</v>
      </c>
      <c r="CK2666" s="16" t="str">
        <f t="shared" ref="CK2666:CK2729" si="649">IF(CH2666=1,M2565,"")</f>
        <v/>
      </c>
    </row>
    <row r="2667" spans="73:89" ht="12" customHeight="1">
      <c r="BU2667" s="16">
        <f t="shared" ref="BU2667:BU2730" si="650">IF($BY$12&lt;3,0,IF(BY2667&lt;=$BX$13,0,NORMDIST(LN((BY2667-$BX$13)/$BX$12),0,$BW$8,FALSE)/((BY2667-$BX$13)/$BX$12)))</f>
        <v>0</v>
      </c>
      <c r="BV2667" s="16">
        <f>IF($BY$12=1,NORMDIST(BY2667,$Y$6,$Y$8,TRUE),IF($BY$12=2,IF(BY2667&lt;=$BX$31,0,IF(BY2667&gt;=$BX$32,1,(BY2667-$BX$31)*$BX$33)),SUM($BU$42:BU2667)/$BV$40))</f>
        <v>1</v>
      </c>
      <c r="BW2667" s="16">
        <f t="shared" si="641"/>
        <v>1.6036944633990994E-24</v>
      </c>
      <c r="BY2667" s="16">
        <f t="shared" si="642"/>
        <v>262.49999999999119</v>
      </c>
      <c r="BZ2667" s="16">
        <f t="shared" si="644"/>
        <v>6.1093122415205835E-27</v>
      </c>
      <c r="CA2667" s="16">
        <f t="shared" ref="CA2667:CA2730" si="651">IF(AND($CD$1,$CD$3),26-$CD$40*NORMDIST(BY2667,$Y$6,$Y$8/SQRT($T$18),FALSE),-999)</f>
        <v>-999</v>
      </c>
      <c r="CE2667" s="16" t="e">
        <f t="shared" si="645"/>
        <v>#N/A</v>
      </c>
      <c r="CF2667" s="16">
        <f t="shared" si="646"/>
        <v>99</v>
      </c>
      <c r="CG2667" s="16">
        <f t="shared" si="647"/>
        <v>0</v>
      </c>
      <c r="CH2667" s="16">
        <f t="shared" si="643"/>
        <v>0</v>
      </c>
      <c r="CJ2667" s="16" t="e">
        <f t="shared" si="648"/>
        <v>#N/A</v>
      </c>
      <c r="CK2667" s="16" t="str">
        <f t="shared" si="649"/>
        <v/>
      </c>
    </row>
    <row r="2668" spans="73:89" ht="12" customHeight="1">
      <c r="BU2668" s="16">
        <f t="shared" si="650"/>
        <v>0</v>
      </c>
      <c r="BV2668" s="16">
        <f>IF($BY$12=1,NORMDIST(BY2668,$Y$6,$Y$8,TRUE),IF($BY$12=2,IF(BY2668&lt;=$BX$31,0,IF(BY2668&gt;=$BX$32,1,(BY2668-$BX$31)*$BX$33)),SUM($BU$42:BU2668)/$BV$40))</f>
        <v>1</v>
      </c>
      <c r="BW2668" s="16">
        <f t="shared" si="641"/>
        <v>1.5212819795244862E-24</v>
      </c>
      <c r="BY2668" s="16">
        <f t="shared" si="642"/>
        <v>262.59999999999121</v>
      </c>
      <c r="BZ2668" s="16">
        <f t="shared" si="644"/>
        <v>5.7931530065671637E-27</v>
      </c>
      <c r="CA2668" s="16">
        <f t="shared" si="651"/>
        <v>-999</v>
      </c>
      <c r="CE2668" s="16" t="e">
        <f t="shared" si="645"/>
        <v>#N/A</v>
      </c>
      <c r="CF2668" s="16">
        <f t="shared" si="646"/>
        <v>99</v>
      </c>
      <c r="CG2668" s="16">
        <f t="shared" si="647"/>
        <v>0</v>
      </c>
      <c r="CH2668" s="16">
        <f t="shared" si="643"/>
        <v>0</v>
      </c>
      <c r="CJ2668" s="16" t="e">
        <f t="shared" si="648"/>
        <v>#N/A</v>
      </c>
      <c r="CK2668" s="16" t="str">
        <f t="shared" si="649"/>
        <v/>
      </c>
    </row>
    <row r="2669" spans="73:89" ht="12" customHeight="1">
      <c r="BU2669" s="16">
        <f t="shared" si="650"/>
        <v>0</v>
      </c>
      <c r="BV2669" s="16">
        <f>IF($BY$12=1,NORMDIST(BY2669,$Y$6,$Y$8,TRUE),IF($BY$12=2,IF(BY2669&lt;=$BX$31,0,IF(BY2669&gt;=$BX$32,1,(BY2669-$BX$31)*$BX$33)),SUM($BU$42:BU2669)/$BV$40))</f>
        <v>1</v>
      </c>
      <c r="BW2669" s="16">
        <f t="shared" si="641"/>
        <v>1.4430683161271726E-24</v>
      </c>
      <c r="BY2669" s="16">
        <f t="shared" si="642"/>
        <v>262.69999999999123</v>
      </c>
      <c r="BZ2669" s="16">
        <f t="shared" si="644"/>
        <v>5.4932178002558841E-27</v>
      </c>
      <c r="CA2669" s="16">
        <f t="shared" si="651"/>
        <v>-999</v>
      </c>
      <c r="CE2669" s="16" t="e">
        <f t="shared" si="645"/>
        <v>#N/A</v>
      </c>
      <c r="CF2669" s="16">
        <f t="shared" si="646"/>
        <v>99</v>
      </c>
      <c r="CG2669" s="16">
        <f t="shared" si="647"/>
        <v>0</v>
      </c>
      <c r="CH2669" s="16">
        <f t="shared" si="643"/>
        <v>0</v>
      </c>
      <c r="CJ2669" s="16" t="e">
        <f t="shared" si="648"/>
        <v>#N/A</v>
      </c>
      <c r="CK2669" s="16" t="str">
        <f t="shared" si="649"/>
        <v/>
      </c>
    </row>
    <row r="2670" spans="73:89" ht="12" customHeight="1">
      <c r="BU2670" s="16">
        <f t="shared" si="650"/>
        <v>0</v>
      </c>
      <c r="BV2670" s="16">
        <f>IF($BY$12=1,NORMDIST(BY2670,$Y$6,$Y$8,TRUE),IF($BY$12=2,IF(BY2670&lt;=$BX$31,0,IF(BY2670&gt;=$BX$32,1,(BY2670-$BX$31)*$BX$33)),SUM($BU$42:BU2670)/$BV$40))</f>
        <v>1</v>
      </c>
      <c r="BW2670" s="16">
        <f t="shared" si="641"/>
        <v>1.3688414316264752E-24</v>
      </c>
      <c r="BY2670" s="16">
        <f t="shared" si="642"/>
        <v>262.79999999999126</v>
      </c>
      <c r="BZ2670" s="16">
        <f t="shared" si="644"/>
        <v>5.2086812466762589E-27</v>
      </c>
      <c r="CA2670" s="16">
        <f t="shared" si="651"/>
        <v>-999</v>
      </c>
      <c r="CE2670" s="16" t="e">
        <f t="shared" si="645"/>
        <v>#N/A</v>
      </c>
      <c r="CF2670" s="16">
        <f t="shared" si="646"/>
        <v>99</v>
      </c>
      <c r="CG2670" s="16">
        <f t="shared" si="647"/>
        <v>0</v>
      </c>
      <c r="CH2670" s="16">
        <f t="shared" si="643"/>
        <v>0</v>
      </c>
      <c r="CJ2670" s="16" t="e">
        <f t="shared" si="648"/>
        <v>#N/A</v>
      </c>
      <c r="CK2670" s="16" t="str">
        <f t="shared" si="649"/>
        <v/>
      </c>
    </row>
    <row r="2671" spans="73:89" ht="12" customHeight="1">
      <c r="BU2671" s="16">
        <f t="shared" si="650"/>
        <v>0</v>
      </c>
      <c r="BV2671" s="16">
        <f>IF($BY$12=1,NORMDIST(BY2671,$Y$6,$Y$8,TRUE),IF($BY$12=2,IF(BY2671&lt;=$BX$31,0,IF(BY2671&gt;=$BX$32,1,(BY2671-$BX$31)*$BX$33)),SUM($BU$42:BU2671)/$BV$40))</f>
        <v>1</v>
      </c>
      <c r="BW2671" s="16">
        <f t="shared" si="641"/>
        <v>1.2983998956354332E-24</v>
      </c>
      <c r="BY2671" s="16">
        <f t="shared" si="642"/>
        <v>262.89999999999128</v>
      </c>
      <c r="BZ2671" s="16">
        <f t="shared" si="644"/>
        <v>4.9387595878108641E-27</v>
      </c>
      <c r="CA2671" s="16">
        <f t="shared" si="651"/>
        <v>-999</v>
      </c>
      <c r="CE2671" s="16" t="e">
        <f t="shared" si="645"/>
        <v>#N/A</v>
      </c>
      <c r="CF2671" s="16">
        <f t="shared" si="646"/>
        <v>99</v>
      </c>
      <c r="CG2671" s="16">
        <f t="shared" si="647"/>
        <v>0</v>
      </c>
      <c r="CH2671" s="16">
        <f t="shared" si="643"/>
        <v>0</v>
      </c>
      <c r="CJ2671" s="16" t="e">
        <f t="shared" si="648"/>
        <v>#N/A</v>
      </c>
      <c r="CK2671" s="16" t="str">
        <f t="shared" si="649"/>
        <v/>
      </c>
    </row>
    <row r="2672" spans="73:89" ht="12" customHeight="1">
      <c r="BU2672" s="16">
        <f t="shared" si="650"/>
        <v>0</v>
      </c>
      <c r="BV2672" s="16">
        <f>IF($BY$12=1,NORMDIST(BY2672,$Y$6,$Y$8,TRUE),IF($BY$12=2,IF(BY2672&lt;=$BX$31,0,IF(BY2672&gt;=$BX$32,1,(BY2672-$BX$31)*$BX$33)),SUM($BU$42:BU2672)/$BV$40))</f>
        <v>1</v>
      </c>
      <c r="BW2672" s="16">
        <f t="shared" si="641"/>
        <v>1.2315523628951182E-24</v>
      </c>
      <c r="BY2672" s="16">
        <f t="shared" si="642"/>
        <v>262.9999999999913</v>
      </c>
      <c r="BZ2672" s="16">
        <f t="shared" si="644"/>
        <v>4.6827086041641023E-27</v>
      </c>
      <c r="CA2672" s="16">
        <f t="shared" si="651"/>
        <v>-999</v>
      </c>
      <c r="CE2672" s="16" t="e">
        <f t="shared" si="645"/>
        <v>#N/A</v>
      </c>
      <c r="CF2672" s="16">
        <f t="shared" si="646"/>
        <v>99</v>
      </c>
      <c r="CG2672" s="16">
        <f t="shared" si="647"/>
        <v>0</v>
      </c>
      <c r="CH2672" s="16">
        <f t="shared" si="643"/>
        <v>0</v>
      </c>
      <c r="CJ2672" s="16" t="e">
        <f t="shared" si="648"/>
        <v>#N/A</v>
      </c>
      <c r="CK2672" s="16" t="str">
        <f t="shared" si="649"/>
        <v/>
      </c>
    </row>
    <row r="2673" spans="73:89" ht="12" customHeight="1">
      <c r="BU2673" s="16">
        <f t="shared" si="650"/>
        <v>0</v>
      </c>
      <c r="BV2673" s="16">
        <f>IF($BY$12=1,NORMDIST(BY2673,$Y$6,$Y$8,TRUE),IF($BY$12=2,IF(BY2673&lt;=$BX$31,0,IF(BY2673&gt;=$BX$32,1,(BY2673-$BX$31)*$BX$33)),SUM($BU$42:BU2673)/$BV$40))</f>
        <v>1</v>
      </c>
      <c r="BW2673" s="16">
        <f t="shared" si="641"/>
        <v>1.1681170730390338E-24</v>
      </c>
      <c r="BY2673" s="16">
        <f t="shared" si="642"/>
        <v>263.09999999999133</v>
      </c>
      <c r="BZ2673" s="16">
        <f t="shared" si="644"/>
        <v>4.4398216383089029E-27</v>
      </c>
      <c r="CA2673" s="16">
        <f t="shared" si="651"/>
        <v>-999</v>
      </c>
      <c r="CE2673" s="16" t="e">
        <f t="shared" si="645"/>
        <v>#N/A</v>
      </c>
      <c r="CF2673" s="16">
        <f t="shared" si="646"/>
        <v>99</v>
      </c>
      <c r="CG2673" s="16">
        <f t="shared" si="647"/>
        <v>0</v>
      </c>
      <c r="CH2673" s="16">
        <f t="shared" si="643"/>
        <v>0</v>
      </c>
      <c r="CJ2673" s="16" t="e">
        <f t="shared" si="648"/>
        <v>#N/A</v>
      </c>
      <c r="CK2673" s="16" t="str">
        <f t="shared" si="649"/>
        <v/>
      </c>
    </row>
    <row r="2674" spans="73:89" ht="12" customHeight="1">
      <c r="BU2674" s="16">
        <f t="shared" si="650"/>
        <v>0</v>
      </c>
      <c r="BV2674" s="16">
        <f>IF($BY$12=1,NORMDIST(BY2674,$Y$6,$Y$8,TRUE),IF($BY$12=2,IF(BY2674&lt;=$BX$31,0,IF(BY2674&gt;=$BX$32,1,(BY2674-$BX$31)*$BX$33)),SUM($BU$42:BU2674)/$BV$40))</f>
        <v>1</v>
      </c>
      <c r="BW2674" s="16">
        <f t="shared" si="641"/>
        <v>1.1079213749316227E-24</v>
      </c>
      <c r="BY2674" s="16">
        <f t="shared" si="642"/>
        <v>263.19999999999135</v>
      </c>
      <c r="BZ2674" s="16">
        <f t="shared" si="644"/>
        <v>4.2094277163056956E-27</v>
      </c>
      <c r="CA2674" s="16">
        <f t="shared" si="651"/>
        <v>-999</v>
      </c>
      <c r="CE2674" s="16" t="e">
        <f t="shared" si="645"/>
        <v>#N/A</v>
      </c>
      <c r="CF2674" s="16">
        <f t="shared" si="646"/>
        <v>99</v>
      </c>
      <c r="CG2674" s="16">
        <f t="shared" si="647"/>
        <v>0</v>
      </c>
      <c r="CH2674" s="16">
        <f t="shared" si="643"/>
        <v>0</v>
      </c>
      <c r="CJ2674" s="16" t="e">
        <f t="shared" si="648"/>
        <v>#N/A</v>
      </c>
      <c r="CK2674" s="16" t="str">
        <f t="shared" si="649"/>
        <v/>
      </c>
    </row>
    <row r="2675" spans="73:89" ht="12" customHeight="1">
      <c r="BU2675" s="16">
        <f t="shared" si="650"/>
        <v>0</v>
      </c>
      <c r="BV2675" s="16">
        <f>IF($BY$12=1,NORMDIST(BY2675,$Y$6,$Y$8,TRUE),IF($BY$12=2,IF(BY2675&lt;=$BX$31,0,IF(BY2675&gt;=$BX$32,1,(BY2675-$BX$31)*$BX$33)),SUM($BU$42:BU2675)/$BV$40))</f>
        <v>1</v>
      </c>
      <c r="BW2675" s="16">
        <f t="shared" si="641"/>
        <v>1.0508012743858122E-24</v>
      </c>
      <c r="BY2675" s="16">
        <f t="shared" si="642"/>
        <v>263.29999999999137</v>
      </c>
      <c r="BZ2675" s="16">
        <f t="shared" si="644"/>
        <v>3.990889762194632E-27</v>
      </c>
      <c r="CA2675" s="16">
        <f t="shared" si="651"/>
        <v>-999</v>
      </c>
      <c r="CE2675" s="16" t="e">
        <f t="shared" si="645"/>
        <v>#N/A</v>
      </c>
      <c r="CF2675" s="16">
        <f t="shared" si="646"/>
        <v>99</v>
      </c>
      <c r="CG2675" s="16">
        <f t="shared" si="647"/>
        <v>0</v>
      </c>
      <c r="CH2675" s="16">
        <f t="shared" si="643"/>
        <v>0</v>
      </c>
      <c r="CJ2675" s="16" t="e">
        <f t="shared" si="648"/>
        <v>#N/A</v>
      </c>
      <c r="CK2675" s="16" t="str">
        <f t="shared" si="649"/>
        <v/>
      </c>
    </row>
    <row r="2676" spans="73:89" ht="12" customHeight="1">
      <c r="BU2676" s="16">
        <f t="shared" si="650"/>
        <v>0</v>
      </c>
      <c r="BV2676" s="16">
        <f>IF($BY$12=1,NORMDIST(BY2676,$Y$6,$Y$8,TRUE),IF($BY$12=2,IF(BY2676&lt;=$BX$31,0,IF(BY2676&gt;=$BX$32,1,(BY2676-$BX$31)*$BX$33)),SUM($BU$42:BU2676)/$BV$40))</f>
        <v>1</v>
      </c>
      <c r="BW2676" s="16">
        <f t="shared" si="641"/>
        <v>9.9660100412185641E-25</v>
      </c>
      <c r="BY2676" s="16">
        <f t="shared" si="642"/>
        <v>263.39999999999139</v>
      </c>
      <c r="BZ2676" s="16">
        <f t="shared" si="644"/>
        <v>3.7836029009942632E-27</v>
      </c>
      <c r="CA2676" s="16">
        <f t="shared" si="651"/>
        <v>-999</v>
      </c>
      <c r="CE2676" s="16" t="e">
        <f t="shared" si="645"/>
        <v>#N/A</v>
      </c>
      <c r="CF2676" s="16">
        <f t="shared" si="646"/>
        <v>99</v>
      </c>
      <c r="CG2676" s="16">
        <f t="shared" si="647"/>
        <v>0</v>
      </c>
      <c r="CH2676" s="16">
        <f t="shared" si="643"/>
        <v>0</v>
      </c>
      <c r="CJ2676" s="16" t="e">
        <f t="shared" si="648"/>
        <v>#N/A</v>
      </c>
      <c r="CK2676" s="16" t="str">
        <f t="shared" si="649"/>
        <v/>
      </c>
    </row>
    <row r="2677" spans="73:89" ht="12" customHeight="1">
      <c r="BU2677" s="16">
        <f t="shared" si="650"/>
        <v>0</v>
      </c>
      <c r="BV2677" s="16">
        <f>IF($BY$12=1,NORMDIST(BY2677,$Y$6,$Y$8,TRUE),IF($BY$12=2,IF(BY2677&lt;=$BX$31,0,IF(BY2677&gt;=$BX$32,1,(BY2677-$BX$31)*$BX$33)),SUM($BU$42:BU2677)/$BV$40))</f>
        <v>1</v>
      </c>
      <c r="BW2677" s="16">
        <f t="shared" si="641"/>
        <v>9.4517261488439775E-25</v>
      </c>
      <c r="BY2677" s="16">
        <f t="shared" si="642"/>
        <v>263.49999999999142</v>
      </c>
      <c r="BZ2677" s="16">
        <f t="shared" si="644"/>
        <v>3.5869928458612092E-27</v>
      </c>
      <c r="CA2677" s="16">
        <f t="shared" si="651"/>
        <v>-999</v>
      </c>
      <c r="CE2677" s="16" t="e">
        <f t="shared" si="645"/>
        <v>#N/A</v>
      </c>
      <c r="CF2677" s="16">
        <f t="shared" si="646"/>
        <v>99</v>
      </c>
      <c r="CG2677" s="16">
        <f t="shared" si="647"/>
        <v>0</v>
      </c>
      <c r="CH2677" s="16">
        <f t="shared" si="643"/>
        <v>0</v>
      </c>
      <c r="CJ2677" s="16" t="e">
        <f t="shared" si="648"/>
        <v>#N/A</v>
      </c>
      <c r="CK2677" s="16" t="str">
        <f t="shared" si="649"/>
        <v/>
      </c>
    </row>
    <row r="2678" spans="73:89" ht="12" customHeight="1">
      <c r="BU2678" s="16">
        <f t="shared" si="650"/>
        <v>0</v>
      </c>
      <c r="BV2678" s="16">
        <f>IF($BY$12=1,NORMDIST(BY2678,$Y$6,$Y$8,TRUE),IF($BY$12=2,IF(BY2678&lt;=$BX$31,0,IF(BY2678&gt;=$BX$32,1,(BY2678-$BX$31)*$BX$33)),SUM($BU$42:BU2678)/$BV$40))</f>
        <v>1</v>
      </c>
      <c r="BW2678" s="16">
        <f t="shared" si="641"/>
        <v>8.9637558668724567E-25</v>
      </c>
      <c r="BY2678" s="16">
        <f t="shared" si="642"/>
        <v>263.59999999999144</v>
      </c>
      <c r="BZ2678" s="16">
        <f t="shared" si="644"/>
        <v>3.4005143652779774E-27</v>
      </c>
      <c r="CA2678" s="16">
        <f t="shared" si="651"/>
        <v>-999</v>
      </c>
      <c r="CE2678" s="16" t="e">
        <f t="shared" si="645"/>
        <v>#N/A</v>
      </c>
      <c r="CF2678" s="16">
        <f t="shared" si="646"/>
        <v>99</v>
      </c>
      <c r="CG2678" s="16">
        <f t="shared" si="647"/>
        <v>0</v>
      </c>
      <c r="CH2678" s="16">
        <f t="shared" si="643"/>
        <v>0</v>
      </c>
      <c r="CJ2678" s="16" t="e">
        <f t="shared" si="648"/>
        <v>#N/A</v>
      </c>
      <c r="CK2678" s="16" t="str">
        <f t="shared" si="649"/>
        <v/>
      </c>
    </row>
    <row r="2679" spans="73:89" ht="12" customHeight="1">
      <c r="BU2679" s="16">
        <f t="shared" si="650"/>
        <v>0</v>
      </c>
      <c r="BV2679" s="16">
        <f>IF($BY$12=1,NORMDIST(BY2679,$Y$6,$Y$8,TRUE),IF($BY$12=2,IF(BY2679&lt;=$BX$31,0,IF(BY2679&gt;=$BX$32,1,(BY2679-$BX$31)*$BX$33)),SUM($BU$42:BU2679)/$BV$40))</f>
        <v>1</v>
      </c>
      <c r="BW2679" s="16">
        <f t="shared" si="641"/>
        <v>8.5007645920460551E-25</v>
      </c>
      <c r="BY2679" s="16">
        <f t="shared" si="642"/>
        <v>263.69999999999146</v>
      </c>
      <c r="BZ2679" s="16">
        <f t="shared" si="644"/>
        <v>3.2236498263353544E-27</v>
      </c>
      <c r="CA2679" s="16">
        <f t="shared" si="651"/>
        <v>-999</v>
      </c>
      <c r="CE2679" s="16" t="e">
        <f t="shared" si="645"/>
        <v>#N/A</v>
      </c>
      <c r="CF2679" s="16">
        <f t="shared" si="646"/>
        <v>99</v>
      </c>
      <c r="CG2679" s="16">
        <f t="shared" si="647"/>
        <v>0</v>
      </c>
      <c r="CH2679" s="16">
        <f t="shared" si="643"/>
        <v>0</v>
      </c>
      <c r="CJ2679" s="16" t="e">
        <f t="shared" si="648"/>
        <v>#N/A</v>
      </c>
      <c r="CK2679" s="16" t="str">
        <f t="shared" si="649"/>
        <v/>
      </c>
    </row>
    <row r="2680" spans="73:89" ht="12" customHeight="1">
      <c r="BU2680" s="16">
        <f t="shared" si="650"/>
        <v>0</v>
      </c>
      <c r="BV2680" s="16">
        <f>IF($BY$12=1,NORMDIST(BY2680,$Y$6,$Y$8,TRUE),IF($BY$12=2,IF(BY2680&lt;=$BX$31,0,IF(BY2680&gt;=$BX$32,1,(BY2680-$BX$31)*$BX$33)),SUM($BU$42:BU2680)/$BV$40))</f>
        <v>1</v>
      </c>
      <c r="BW2680" s="16">
        <f t="shared" si="641"/>
        <v>8.061484803752736E-25</v>
      </c>
      <c r="BY2680" s="16">
        <f t="shared" si="642"/>
        <v>263.79999999999148</v>
      </c>
      <c r="BZ2680" s="16">
        <f t="shared" si="644"/>
        <v>3.0559078103688384E-27</v>
      </c>
      <c r="CA2680" s="16">
        <f t="shared" si="651"/>
        <v>-999</v>
      </c>
      <c r="CE2680" s="16" t="e">
        <f t="shared" si="645"/>
        <v>#N/A</v>
      </c>
      <c r="CF2680" s="16">
        <f t="shared" si="646"/>
        <v>99</v>
      </c>
      <c r="CG2680" s="16">
        <f t="shared" si="647"/>
        <v>0</v>
      </c>
      <c r="CH2680" s="16">
        <f t="shared" si="643"/>
        <v>0</v>
      </c>
      <c r="CJ2680" s="16" t="e">
        <f t="shared" si="648"/>
        <v>#N/A</v>
      </c>
      <c r="CK2680" s="16" t="str">
        <f t="shared" si="649"/>
        <v/>
      </c>
    </row>
    <row r="2681" spans="73:89" ht="12" customHeight="1">
      <c r="BU2681" s="16">
        <f t="shared" si="650"/>
        <v>0</v>
      </c>
      <c r="BV2681" s="16">
        <f>IF($BY$12=1,NORMDIST(BY2681,$Y$6,$Y$8,TRUE),IF($BY$12=2,IF(BY2681&lt;=$BX$31,0,IF(BY2681&gt;=$BX$32,1,(BY2681-$BX$31)*$BX$33)),SUM($BU$42:BU2681)/$BV$40))</f>
        <v>1</v>
      </c>
      <c r="BW2681" s="16">
        <f t="shared" si="641"/>
        <v>7.6447127233095845E-25</v>
      </c>
      <c r="BY2681" s="16">
        <f t="shared" si="642"/>
        <v>263.89999999999151</v>
      </c>
      <c r="BZ2681" s="16">
        <f t="shared" si="644"/>
        <v>2.8968217973890983E-27</v>
      </c>
      <c r="CA2681" s="16">
        <f t="shared" si="651"/>
        <v>-999</v>
      </c>
      <c r="CE2681" s="16" t="e">
        <f t="shared" si="645"/>
        <v>#N/A</v>
      </c>
      <c r="CF2681" s="16">
        <f t="shared" si="646"/>
        <v>99</v>
      </c>
      <c r="CG2681" s="16">
        <f t="shared" si="647"/>
        <v>0</v>
      </c>
      <c r="CH2681" s="16">
        <f t="shared" si="643"/>
        <v>0</v>
      </c>
      <c r="CJ2681" s="16" t="e">
        <f t="shared" si="648"/>
        <v>#N/A</v>
      </c>
      <c r="CK2681" s="16" t="str">
        <f t="shared" si="649"/>
        <v/>
      </c>
    </row>
    <row r="2682" spans="73:89" ht="12" customHeight="1">
      <c r="BU2682" s="16">
        <f t="shared" si="650"/>
        <v>0</v>
      </c>
      <c r="BV2682" s="16">
        <f>IF($BY$12=1,NORMDIST(BY2682,$Y$6,$Y$8,TRUE),IF($BY$12=2,IF(BY2682&lt;=$BX$31,0,IF(BY2682&gt;=$BX$32,1,(BY2682-$BX$31)*$BX$33)),SUM($BU$42:BU2682)/$BV$40))</f>
        <v>1</v>
      </c>
      <c r="BW2682" s="16">
        <f t="shared" si="641"/>
        <v>7.2493051380320961E-25</v>
      </c>
      <c r="BY2682" s="16">
        <f t="shared" si="642"/>
        <v>263.99999999999153</v>
      </c>
      <c r="BZ2682" s="16">
        <f t="shared" si="644"/>
        <v>2.7459489159213367E-27</v>
      </c>
      <c r="CA2682" s="16">
        <f t="shared" si="651"/>
        <v>-999</v>
      </c>
      <c r="CE2682" s="16" t="e">
        <f t="shared" si="645"/>
        <v>#N/A</v>
      </c>
      <c r="CF2682" s="16">
        <f t="shared" si="646"/>
        <v>99</v>
      </c>
      <c r="CG2682" s="16">
        <f t="shared" si="647"/>
        <v>0</v>
      </c>
      <c r="CH2682" s="16">
        <f t="shared" si="643"/>
        <v>0</v>
      </c>
      <c r="CJ2682" s="16" t="e">
        <f t="shared" si="648"/>
        <v>#N/A</v>
      </c>
      <c r="CK2682" s="16" t="str">
        <f t="shared" si="649"/>
        <v/>
      </c>
    </row>
    <row r="2683" spans="73:89" ht="12" customHeight="1">
      <c r="BU2683" s="16">
        <f t="shared" si="650"/>
        <v>0</v>
      </c>
      <c r="BV2683" s="16">
        <f>IF($BY$12=1,NORMDIST(BY2683,$Y$6,$Y$8,TRUE),IF($BY$12=2,IF(BY2683&lt;=$BX$31,0,IF(BY2683&gt;=$BX$32,1,(BY2683-$BX$31)*$BX$33)),SUM($BU$42:BU2683)/$BV$40))</f>
        <v>1</v>
      </c>
      <c r="BW2683" s="16">
        <f t="shared" ref="BW2683:BW2746" si="652">BY2683*BZ2683</f>
        <v>6.8741763820392676E-25</v>
      </c>
      <c r="BY2683" s="16">
        <f t="shared" ref="BY2683:BY2746" si="653">BY2682+$BZ$1</f>
        <v>264.09999999999155</v>
      </c>
      <c r="BZ2683" s="16">
        <f t="shared" si="644"/>
        <v>2.6028687550319907E-27</v>
      </c>
      <c r="CA2683" s="16">
        <f t="shared" si="651"/>
        <v>-999</v>
      </c>
      <c r="CE2683" s="16" t="e">
        <f t="shared" si="645"/>
        <v>#N/A</v>
      </c>
      <c r="CF2683" s="16">
        <f t="shared" si="646"/>
        <v>99</v>
      </c>
      <c r="CG2683" s="16">
        <f t="shared" si="647"/>
        <v>0</v>
      </c>
      <c r="CH2683" s="16">
        <f t="shared" si="643"/>
        <v>0</v>
      </c>
      <c r="CJ2683" s="16" t="e">
        <f t="shared" si="648"/>
        <v>#N/A</v>
      </c>
      <c r="CK2683" s="16" t="str">
        <f t="shared" si="649"/>
        <v/>
      </c>
    </row>
    <row r="2684" spans="73:89" ht="12" customHeight="1">
      <c r="BU2684" s="16">
        <f t="shared" si="650"/>
        <v>0</v>
      </c>
      <c r="BV2684" s="16">
        <f>IF($BY$12=1,NORMDIST(BY2684,$Y$6,$Y$8,TRUE),IF($BY$12=2,IF(BY2684&lt;=$BX$31,0,IF(BY2684&gt;=$BX$32,1,(BY2684-$BX$31)*$BX$33)),SUM($BU$42:BU2684)/$BV$40))</f>
        <v>1</v>
      </c>
      <c r="BW2684" s="16">
        <f t="shared" si="652"/>
        <v>6.5182954661363105E-25</v>
      </c>
      <c r="BY2684" s="16">
        <f t="shared" si="653"/>
        <v>264.19999999999158</v>
      </c>
      <c r="BZ2684" s="16">
        <f t="shared" si="644"/>
        <v>2.4671822354793785E-27</v>
      </c>
      <c r="CA2684" s="16">
        <f t="shared" si="651"/>
        <v>-999</v>
      </c>
      <c r="CE2684" s="16" t="e">
        <f t="shared" si="645"/>
        <v>#N/A</v>
      </c>
      <c r="CF2684" s="16">
        <f t="shared" si="646"/>
        <v>99</v>
      </c>
      <c r="CG2684" s="16">
        <f t="shared" si="647"/>
        <v>0</v>
      </c>
      <c r="CH2684" s="16">
        <f t="shared" si="643"/>
        <v>0</v>
      </c>
      <c r="CJ2684" s="16" t="e">
        <f t="shared" si="648"/>
        <v>#N/A</v>
      </c>
      <c r="CK2684" s="16" t="str">
        <f t="shared" si="649"/>
        <v/>
      </c>
    </row>
    <row r="2685" spans="73:89" ht="12" customHeight="1">
      <c r="BU2685" s="16">
        <f t="shared" si="650"/>
        <v>0</v>
      </c>
      <c r="BV2685" s="16">
        <f>IF($BY$12=1,NORMDIST(BY2685,$Y$6,$Y$8,TRUE),IF($BY$12=2,IF(BY2685&lt;=$BX$31,0,IF(BY2685&gt;=$BX$32,1,(BY2685-$BX$31)*$BX$33)),SUM($BU$42:BU2685)/$BV$40))</f>
        <v>1</v>
      </c>
      <c r="BW2685" s="16">
        <f t="shared" si="652"/>
        <v>6.1806833494859945E-25</v>
      </c>
      <c r="BY2685" s="16">
        <f t="shared" si="653"/>
        <v>264.2999999999916</v>
      </c>
      <c r="BZ2685" s="16">
        <f t="shared" si="644"/>
        <v>2.3385105370738521E-27</v>
      </c>
      <c r="CA2685" s="16">
        <f t="shared" si="651"/>
        <v>-999</v>
      </c>
      <c r="CE2685" s="16" t="e">
        <f t="shared" si="645"/>
        <v>#N/A</v>
      </c>
      <c r="CF2685" s="16">
        <f t="shared" si="646"/>
        <v>99</v>
      </c>
      <c r="CG2685" s="16">
        <f t="shared" si="647"/>
        <v>0</v>
      </c>
      <c r="CH2685" s="16">
        <f t="shared" si="643"/>
        <v>0</v>
      </c>
      <c r="CJ2685" s="16" t="e">
        <f t="shared" si="648"/>
        <v>#N/A</v>
      </c>
      <c r="CK2685" s="16" t="str">
        <f t="shared" si="649"/>
        <v/>
      </c>
    </row>
    <row r="2686" spans="73:89" ht="12" customHeight="1">
      <c r="BU2686" s="16">
        <f t="shared" si="650"/>
        <v>0</v>
      </c>
      <c r="BV2686" s="16">
        <f>IF($BY$12=1,NORMDIST(BY2686,$Y$6,$Y$8,TRUE),IF($BY$12=2,IF(BY2686&lt;=$BX$31,0,IF(BY2686&gt;=$BX$32,1,(BY2686-$BX$31)*$BX$33)),SUM($BU$42:BU2686)/$BV$40))</f>
        <v>1</v>
      </c>
      <c r="BW2686" s="16">
        <f t="shared" si="652"/>
        <v>5.8604103461318923E-25</v>
      </c>
      <c r="BY2686" s="16">
        <f t="shared" si="653"/>
        <v>264.39999999999162</v>
      </c>
      <c r="BZ2686" s="16">
        <f t="shared" si="644"/>
        <v>2.2164940794750673E-27</v>
      </c>
      <c r="CA2686" s="16">
        <f t="shared" si="651"/>
        <v>-999</v>
      </c>
      <c r="CE2686" s="16" t="e">
        <f t="shared" si="645"/>
        <v>#N/A</v>
      </c>
      <c r="CF2686" s="16">
        <f t="shared" si="646"/>
        <v>99</v>
      </c>
      <c r="CG2686" s="16">
        <f t="shared" si="647"/>
        <v>0</v>
      </c>
      <c r="CH2686" s="16">
        <f t="shared" si="643"/>
        <v>0</v>
      </c>
      <c r="CJ2686" s="16" t="e">
        <f t="shared" si="648"/>
        <v>#N/A</v>
      </c>
      <c r="CK2686" s="16" t="str">
        <f t="shared" si="649"/>
        <v/>
      </c>
    </row>
    <row r="2687" spans="73:89" ht="12" customHeight="1">
      <c r="BU2687" s="16">
        <f t="shared" si="650"/>
        <v>0</v>
      </c>
      <c r="BV2687" s="16">
        <f>IF($BY$12=1,NORMDIST(BY2687,$Y$6,$Y$8,TRUE),IF($BY$12=2,IF(BY2687&lt;=$BX$31,0,IF(BY2687&gt;=$BX$32,1,(BY2687-$BX$31)*$BX$33)),SUM($BU$42:BU2687)/$BV$40))</f>
        <v>1</v>
      </c>
      <c r="BW2687" s="16">
        <f t="shared" si="652"/>
        <v>5.5565936597737704E-25</v>
      </c>
      <c r="BY2687" s="16">
        <f t="shared" si="653"/>
        <v>264.49999999999164</v>
      </c>
      <c r="BZ2687" s="16">
        <f t="shared" si="644"/>
        <v>2.1007915537897716E-27</v>
      </c>
      <c r="CA2687" s="16">
        <f t="shared" si="651"/>
        <v>-999</v>
      </c>
      <c r="CE2687" s="16" t="e">
        <f t="shared" si="645"/>
        <v>#N/A</v>
      </c>
      <c r="CF2687" s="16">
        <f t="shared" si="646"/>
        <v>99</v>
      </c>
      <c r="CG2687" s="16">
        <f t="shared" si="647"/>
        <v>0</v>
      </c>
      <c r="CH2687" s="16">
        <f t="shared" si="643"/>
        <v>0</v>
      </c>
      <c r="CJ2687" s="16" t="e">
        <f t="shared" si="648"/>
        <v>#N/A</v>
      </c>
      <c r="CK2687" s="16" t="str">
        <f t="shared" si="649"/>
        <v/>
      </c>
    </row>
    <row r="2688" spans="73:89" ht="12" customHeight="1">
      <c r="BU2688" s="16">
        <f t="shared" si="650"/>
        <v>0</v>
      </c>
      <c r="BV2688" s="16">
        <f>IF($BY$12=1,NORMDIST(BY2688,$Y$6,$Y$8,TRUE),IF($BY$12=2,IF(BY2688&lt;=$BX$31,0,IF(BY2688&gt;=$BX$32,1,(BY2688-$BX$31)*$BX$33)),SUM($BU$42:BU2688)/$BV$40))</f>
        <v>1</v>
      </c>
      <c r="BW2688" s="16">
        <f t="shared" si="652"/>
        <v>5.2683950405150784E-25</v>
      </c>
      <c r="BY2688" s="16">
        <f t="shared" si="653"/>
        <v>264.59999999999167</v>
      </c>
      <c r="BZ2688" s="16">
        <f t="shared" si="644"/>
        <v>1.9910790024622993E-27</v>
      </c>
      <c r="CA2688" s="16">
        <f t="shared" si="651"/>
        <v>-999</v>
      </c>
      <c r="CE2688" s="16" t="e">
        <f t="shared" si="645"/>
        <v>#N/A</v>
      </c>
      <c r="CF2688" s="16">
        <f t="shared" si="646"/>
        <v>99</v>
      </c>
      <c r="CG2688" s="16">
        <f t="shared" si="647"/>
        <v>0</v>
      </c>
      <c r="CH2688" s="16">
        <f t="shared" si="643"/>
        <v>0</v>
      </c>
      <c r="CJ2688" s="16" t="e">
        <f t="shared" si="648"/>
        <v>#N/A</v>
      </c>
      <c r="CK2688" s="16" t="str">
        <f t="shared" si="649"/>
        <v/>
      </c>
    </row>
    <row r="2689" spans="73:89" ht="12" customHeight="1">
      <c r="BU2689" s="16">
        <f t="shared" si="650"/>
        <v>0</v>
      </c>
      <c r="BV2689" s="16">
        <f>IF($BY$12=1,NORMDIST(BY2689,$Y$6,$Y$8,TRUE),IF($BY$12=2,IF(BY2689&lt;=$BX$31,0,IF(BY2689&gt;=$BX$32,1,(BY2689-$BX$31)*$BX$33)),SUM($BU$42:BU2689)/$BV$40))</f>
        <v>1</v>
      </c>
      <c r="BW2689" s="16">
        <f t="shared" si="652"/>
        <v>4.9950185576055414E-25</v>
      </c>
      <c r="BY2689" s="16">
        <f t="shared" si="653"/>
        <v>264.69999999999169</v>
      </c>
      <c r="BZ2689" s="16">
        <f t="shared" si="644"/>
        <v>1.887048945072043E-27</v>
      </c>
      <c r="CA2689" s="16">
        <f t="shared" si="651"/>
        <v>-999</v>
      </c>
      <c r="CE2689" s="16" t="e">
        <f t="shared" si="645"/>
        <v>#N/A</v>
      </c>
      <c r="CF2689" s="16">
        <f t="shared" si="646"/>
        <v>99</v>
      </c>
      <c r="CG2689" s="16">
        <f t="shared" si="647"/>
        <v>0</v>
      </c>
      <c r="CH2689" s="16">
        <f t="shared" si="643"/>
        <v>0</v>
      </c>
      <c r="CJ2689" s="16" t="e">
        <f t="shared" si="648"/>
        <v>#N/A</v>
      </c>
      <c r="CK2689" s="16" t="str">
        <f t="shared" si="649"/>
        <v/>
      </c>
    </row>
    <row r="2690" spans="73:89" ht="12" customHeight="1">
      <c r="BU2690" s="16">
        <f t="shared" si="650"/>
        <v>0</v>
      </c>
      <c r="BV2690" s="16">
        <f>IF($BY$12=1,NORMDIST(BY2690,$Y$6,$Y$8,TRUE),IF($BY$12=2,IF(BY2690&lt;=$BX$31,0,IF(BY2690&gt;=$BX$32,1,(BY2690-$BX$31)*$BX$33)),SUM($BU$42:BU2690)/$BV$40))</f>
        <v>1</v>
      </c>
      <c r="BW2690" s="16">
        <f t="shared" si="652"/>
        <v>4.7357084824939488E-25</v>
      </c>
      <c r="BY2690" s="16">
        <f t="shared" si="653"/>
        <v>264.79999999999171</v>
      </c>
      <c r="BZ2690" s="16">
        <f t="shared" si="644"/>
        <v>1.788409547769674E-27</v>
      </c>
      <c r="CA2690" s="16">
        <f t="shared" si="651"/>
        <v>-999</v>
      </c>
      <c r="CE2690" s="16" t="e">
        <f t="shared" si="645"/>
        <v>#N/A</v>
      </c>
      <c r="CF2690" s="16">
        <f t="shared" si="646"/>
        <v>99</v>
      </c>
      <c r="CG2690" s="16">
        <f t="shared" si="647"/>
        <v>0</v>
      </c>
      <c r="CH2690" s="16">
        <f t="shared" si="643"/>
        <v>0</v>
      </c>
      <c r="CJ2690" s="16" t="e">
        <f t="shared" si="648"/>
        <v>#N/A</v>
      </c>
      <c r="CK2690" s="16" t="str">
        <f t="shared" si="649"/>
        <v/>
      </c>
    </row>
    <row r="2691" spans="73:89" ht="12" customHeight="1">
      <c r="BU2691" s="16">
        <f t="shared" si="650"/>
        <v>0</v>
      </c>
      <c r="BV2691" s="16">
        <f>IF($BY$12=1,NORMDIST(BY2691,$Y$6,$Y$8,TRUE),IF($BY$12=2,IF(BY2691&lt;=$BX$31,0,IF(BY2691&gt;=$BX$32,1,(BY2691-$BX$31)*$BX$33)),SUM($BU$42:BU2691)/$BV$40))</f>
        <v>1</v>
      </c>
      <c r="BW2691" s="16">
        <f t="shared" si="652"/>
        <v>4.4897472767798118E-25</v>
      </c>
      <c r="BY2691" s="16">
        <f t="shared" si="653"/>
        <v>264.89999999999173</v>
      </c>
      <c r="BZ2691" s="16">
        <f t="shared" si="644"/>
        <v>1.6948838341940175E-27</v>
      </c>
      <c r="CA2691" s="16">
        <f t="shared" si="651"/>
        <v>-999</v>
      </c>
      <c r="CE2691" s="16" t="e">
        <f t="shared" si="645"/>
        <v>#N/A</v>
      </c>
      <c r="CF2691" s="16">
        <f t="shared" si="646"/>
        <v>99</v>
      </c>
      <c r="CG2691" s="16">
        <f t="shared" si="647"/>
        <v>0</v>
      </c>
      <c r="CH2691" s="16">
        <f t="shared" ref="CH2691:CH2754" si="654">IF(CB2691="",0,1)</f>
        <v>0</v>
      </c>
      <c r="CJ2691" s="16" t="e">
        <f t="shared" si="648"/>
        <v>#N/A</v>
      </c>
      <c r="CK2691" s="16" t="str">
        <f t="shared" si="649"/>
        <v/>
      </c>
    </row>
    <row r="2692" spans="73:89" ht="12" customHeight="1">
      <c r="BU2692" s="16">
        <f t="shared" si="650"/>
        <v>0</v>
      </c>
      <c r="BV2692" s="16">
        <f>IF($BY$12=1,NORMDIST(BY2692,$Y$6,$Y$8,TRUE),IF($BY$12=2,IF(BY2692&lt;=$BX$31,0,IF(BY2692&gt;=$BX$32,1,(BY2692-$BX$31)*$BX$33)),SUM($BU$42:BU2692)/$BV$40))</f>
        <v>1</v>
      </c>
      <c r="BW2692" s="16">
        <f t="shared" si="652"/>
        <v>4.2564536799171174E-25</v>
      </c>
      <c r="BY2692" s="16">
        <f t="shared" si="653"/>
        <v>264.99999999999176</v>
      </c>
      <c r="BZ2692" s="16">
        <f t="shared" si="644"/>
        <v>1.6062089358178301E-27</v>
      </c>
      <c r="CA2692" s="16">
        <f t="shared" si="651"/>
        <v>-999</v>
      </c>
      <c r="CE2692" s="16" t="e">
        <f t="shared" si="645"/>
        <v>#N/A</v>
      </c>
      <c r="CF2692" s="16">
        <f t="shared" si="646"/>
        <v>99</v>
      </c>
      <c r="CG2692" s="16">
        <f t="shared" si="647"/>
        <v>0</v>
      </c>
      <c r="CH2692" s="16">
        <f t="shared" si="654"/>
        <v>0</v>
      </c>
      <c r="CJ2692" s="16" t="e">
        <f t="shared" si="648"/>
        <v>#N/A</v>
      </c>
      <c r="CK2692" s="16" t="str">
        <f t="shared" si="649"/>
        <v/>
      </c>
    </row>
    <row r="2693" spans="73:89" ht="12" customHeight="1">
      <c r="BU2693" s="16">
        <f t="shared" si="650"/>
        <v>0</v>
      </c>
      <c r="BV2693" s="16">
        <f>IF($BY$12=1,NORMDIST(BY2693,$Y$6,$Y$8,TRUE),IF($BY$12=2,IF(BY2693&lt;=$BX$31,0,IF(BY2693&gt;=$BX$32,1,(BY2693-$BX$31)*$BX$33)),SUM($BU$42:BU2693)/$BV$40))</f>
        <v>1</v>
      </c>
      <c r="BW2693" s="16">
        <f t="shared" si="652"/>
        <v>4.0351808917727957E-25</v>
      </c>
      <c r="BY2693" s="16">
        <f t="shared" si="653"/>
        <v>265.09999999999178</v>
      </c>
      <c r="BZ2693" s="16">
        <f t="shared" si="644"/>
        <v>1.5221353797709999E-27</v>
      </c>
      <c r="CA2693" s="16">
        <f t="shared" si="651"/>
        <v>-999</v>
      </c>
      <c r="CE2693" s="16" t="e">
        <f t="shared" si="645"/>
        <v>#N/A</v>
      </c>
      <c r="CF2693" s="16">
        <f t="shared" si="646"/>
        <v>99</v>
      </c>
      <c r="CG2693" s="16">
        <f t="shared" si="647"/>
        <v>0</v>
      </c>
      <c r="CH2693" s="16">
        <f t="shared" si="654"/>
        <v>0</v>
      </c>
      <c r="CJ2693" s="16" t="e">
        <f t="shared" si="648"/>
        <v>#N/A</v>
      </c>
      <c r="CK2693" s="16" t="str">
        <f t="shared" si="649"/>
        <v/>
      </c>
    </row>
    <row r="2694" spans="73:89" ht="12" customHeight="1">
      <c r="BU2694" s="16">
        <f t="shared" si="650"/>
        <v>0</v>
      </c>
      <c r="BV2694" s="16">
        <f>IF($BY$12=1,NORMDIST(BY2694,$Y$6,$Y$8,TRUE),IF($BY$12=2,IF(BY2694&lt;=$BX$31,0,IF(BY2694&gt;=$BX$32,1,(BY2694-$BX$31)*$BX$33)),SUM($BU$42:BU2694)/$BV$40))</f>
        <v>1</v>
      </c>
      <c r="BW2694" s="16">
        <f t="shared" si="652"/>
        <v>3.8253148453796442E-25</v>
      </c>
      <c r="BY2694" s="16">
        <f t="shared" si="653"/>
        <v>265.1999999999918</v>
      </c>
      <c r="BZ2694" s="16">
        <f t="shared" si="644"/>
        <v>1.4424264122849784E-27</v>
      </c>
      <c r="CA2694" s="16">
        <f t="shared" si="651"/>
        <v>-999</v>
      </c>
      <c r="CE2694" s="16" t="e">
        <f t="shared" si="645"/>
        <v>#N/A</v>
      </c>
      <c r="CF2694" s="16">
        <f t="shared" si="646"/>
        <v>99</v>
      </c>
      <c r="CG2694" s="16">
        <f t="shared" si="647"/>
        <v>0</v>
      </c>
      <c r="CH2694" s="16">
        <f t="shared" si="654"/>
        <v>0</v>
      </c>
      <c r="CJ2694" s="16" t="e">
        <f t="shared" si="648"/>
        <v>#N/A</v>
      </c>
      <c r="CK2694" s="16" t="str">
        <f t="shared" si="649"/>
        <v/>
      </c>
    </row>
    <row r="2695" spans="73:89" ht="12" customHeight="1">
      <c r="BU2695" s="16">
        <f t="shared" si="650"/>
        <v>0</v>
      </c>
      <c r="BV2695" s="16">
        <f>IF($BY$12=1,NORMDIST(BY2695,$Y$6,$Y$8,TRUE),IF($BY$12=2,IF(BY2695&lt;=$BX$31,0,IF(BY2695&gt;=$BX$32,1,(BY2695-$BX$31)*$BX$33)),SUM($BU$42:BU2695)/$BV$40))</f>
        <v>1</v>
      </c>
      <c r="BW2695" s="16">
        <f t="shared" si="652"/>
        <v>3.6262725654517874E-25</v>
      </c>
      <c r="BY2695" s="16">
        <f t="shared" si="653"/>
        <v>265.29999999999183</v>
      </c>
      <c r="BZ2695" s="16">
        <f t="shared" si="644"/>
        <v>1.366857355993931E-27</v>
      </c>
      <c r="CA2695" s="16">
        <f t="shared" si="651"/>
        <v>-999</v>
      </c>
      <c r="CE2695" s="16" t="e">
        <f t="shared" si="645"/>
        <v>#N/A</v>
      </c>
      <c r="CF2695" s="16">
        <f t="shared" si="646"/>
        <v>99</v>
      </c>
      <c r="CG2695" s="16">
        <f t="shared" si="647"/>
        <v>0</v>
      </c>
      <c r="CH2695" s="16">
        <f t="shared" si="654"/>
        <v>0</v>
      </c>
      <c r="CJ2695" s="16" t="e">
        <f t="shared" si="648"/>
        <v>#N/A</v>
      </c>
      <c r="CK2695" s="16" t="str">
        <f t="shared" si="649"/>
        <v/>
      </c>
    </row>
    <row r="2696" spans="73:89" ht="12" customHeight="1">
      <c r="BU2696" s="16">
        <f t="shared" si="650"/>
        <v>0</v>
      </c>
      <c r="BV2696" s="16">
        <f>IF($BY$12=1,NORMDIST(BY2696,$Y$6,$Y$8,TRUE),IF($BY$12=2,IF(BY2696&lt;=$BX$31,0,IF(BY2696&gt;=$BX$32,1,(BY2696-$BX$31)*$BX$33)),SUM($BU$42:BU2696)/$BV$40))</f>
        <v>1</v>
      </c>
      <c r="BW2696" s="16">
        <f t="shared" si="652"/>
        <v>3.4375006084452991E-25</v>
      </c>
      <c r="BY2696" s="16">
        <f t="shared" si="653"/>
        <v>265.39999999999185</v>
      </c>
      <c r="BZ2696" s="16">
        <f t="shared" si="644"/>
        <v>1.2952149994142445E-27</v>
      </c>
      <c r="CA2696" s="16">
        <f t="shared" si="651"/>
        <v>-999</v>
      </c>
      <c r="CE2696" s="16" t="e">
        <f t="shared" si="645"/>
        <v>#N/A</v>
      </c>
      <c r="CF2696" s="16">
        <f t="shared" si="646"/>
        <v>99</v>
      </c>
      <c r="CG2696" s="16">
        <f t="shared" si="647"/>
        <v>0</v>
      </c>
      <c r="CH2696" s="16">
        <f t="shared" si="654"/>
        <v>0</v>
      </c>
      <c r="CJ2696" s="16" t="e">
        <f t="shared" si="648"/>
        <v>#N/A</v>
      </c>
      <c r="CK2696" s="16" t="str">
        <f t="shared" si="649"/>
        <v/>
      </c>
    </row>
    <row r="2697" spans="73:89" ht="12" customHeight="1">
      <c r="BU2697" s="16">
        <f t="shared" si="650"/>
        <v>0</v>
      </c>
      <c r="BV2697" s="16">
        <f>IF($BY$12=1,NORMDIST(BY2697,$Y$6,$Y$8,TRUE),IF($BY$12=2,IF(BY2697&lt;=$BX$31,0,IF(BY2697&gt;=$BX$32,1,(BY2697-$BX$31)*$BX$33)),SUM($BU$42:BU2697)/$BV$40))</f>
        <v>1</v>
      </c>
      <c r="BW2697" s="16">
        <f t="shared" si="652"/>
        <v>3.2584735801517324E-25</v>
      </c>
      <c r="BY2697" s="16">
        <f t="shared" si="653"/>
        <v>265.49999999999187</v>
      </c>
      <c r="BZ2697" s="16">
        <f t="shared" si="644"/>
        <v>1.2272970170063398E-27</v>
      </c>
      <c r="CA2697" s="16">
        <f t="shared" si="651"/>
        <v>-999</v>
      </c>
      <c r="CE2697" s="16" t="e">
        <f t="shared" si="645"/>
        <v>#N/A</v>
      </c>
      <c r="CF2697" s="16">
        <f t="shared" si="646"/>
        <v>99</v>
      </c>
      <c r="CG2697" s="16">
        <f t="shared" si="647"/>
        <v>0</v>
      </c>
      <c r="CH2697" s="16">
        <f t="shared" si="654"/>
        <v>0</v>
      </c>
      <c r="CJ2697" s="16" t="e">
        <f t="shared" si="648"/>
        <v>#N/A</v>
      </c>
      <c r="CK2697" s="16" t="str">
        <f t="shared" si="649"/>
        <v/>
      </c>
    </row>
    <row r="2698" spans="73:89" ht="12" customHeight="1">
      <c r="BU2698" s="16">
        <f t="shared" si="650"/>
        <v>0</v>
      </c>
      <c r="BV2698" s="16">
        <f>IF($BY$12=1,NORMDIST(BY2698,$Y$6,$Y$8,TRUE),IF($BY$12=2,IF(BY2698&lt;=$BX$31,0,IF(BY2698&gt;=$BX$32,1,(BY2698-$BX$31)*$BX$33)),SUM($BU$42:BU2698)/$BV$40))</f>
        <v>1</v>
      </c>
      <c r="BW2698" s="16">
        <f t="shared" si="652"/>
        <v>3.0886927270085543E-25</v>
      </c>
      <c r="BY2698" s="16">
        <f t="shared" si="653"/>
        <v>265.59999999999189</v>
      </c>
      <c r="BZ2698" s="16">
        <f t="shared" si="644"/>
        <v>1.162911418301449E-27</v>
      </c>
      <c r="CA2698" s="16">
        <f t="shared" si="651"/>
        <v>-999</v>
      </c>
      <c r="CE2698" s="16" t="e">
        <f t="shared" si="645"/>
        <v>#N/A</v>
      </c>
      <c r="CF2698" s="16">
        <f t="shared" si="646"/>
        <v>99</v>
      </c>
      <c r="CG2698" s="16">
        <f t="shared" si="647"/>
        <v>0</v>
      </c>
      <c r="CH2698" s="16">
        <f t="shared" si="654"/>
        <v>0</v>
      </c>
      <c r="CJ2698" s="16" t="e">
        <f t="shared" si="648"/>
        <v>#N/A</v>
      </c>
      <c r="CK2698" s="16" t="str">
        <f t="shared" si="649"/>
        <v/>
      </c>
    </row>
    <row r="2699" spans="73:89" ht="12" customHeight="1">
      <c r="BU2699" s="16">
        <f t="shared" si="650"/>
        <v>0</v>
      </c>
      <c r="BV2699" s="16">
        <f>IF($BY$12=1,NORMDIST(BY2699,$Y$6,$Y$8,TRUE),IF($BY$12=2,IF(BY2699&lt;=$BX$31,0,IF(BY2699&gt;=$BX$32,1,(BY2699-$BX$31)*$BX$33)),SUM($BU$42:BU2699)/$BV$40))</f>
        <v>1</v>
      </c>
      <c r="BW2699" s="16">
        <f t="shared" si="652"/>
        <v>2.9276845974962727E-25</v>
      </c>
      <c r="BY2699" s="16">
        <f t="shared" si="653"/>
        <v>265.69999999999192</v>
      </c>
      <c r="BZ2699" s="16">
        <f t="shared" si="644"/>
        <v>1.1018760246504937E-27</v>
      </c>
      <c r="CA2699" s="16">
        <f t="shared" si="651"/>
        <v>-999</v>
      </c>
      <c r="CE2699" s="16" t="e">
        <f t="shared" si="645"/>
        <v>#N/A</v>
      </c>
      <c r="CF2699" s="16">
        <f t="shared" si="646"/>
        <v>99</v>
      </c>
      <c r="CG2699" s="16">
        <f t="shared" si="647"/>
        <v>0</v>
      </c>
      <c r="CH2699" s="16">
        <f t="shared" si="654"/>
        <v>0</v>
      </c>
      <c r="CJ2699" s="16" t="e">
        <f t="shared" si="648"/>
        <v>#N/A</v>
      </c>
      <c r="CK2699" s="16" t="str">
        <f t="shared" si="649"/>
        <v/>
      </c>
    </row>
    <row r="2700" spans="73:89" ht="12" customHeight="1">
      <c r="BU2700" s="16">
        <f t="shared" si="650"/>
        <v>0</v>
      </c>
      <c r="BV2700" s="16">
        <f>IF($BY$12=1,NORMDIST(BY2700,$Y$6,$Y$8,TRUE),IF($BY$12=2,IF(BY2700&lt;=$BX$31,0,IF(BY2700&gt;=$BX$32,1,(BY2700-$BX$31)*$BX$33)),SUM($BU$42:BU2700)/$BV$40))</f>
        <v>1</v>
      </c>
      <c r="BW2700" s="16">
        <f t="shared" si="652"/>
        <v>2.774999770167699E-25</v>
      </c>
      <c r="BY2700" s="16">
        <f t="shared" si="653"/>
        <v>265.79999999999194</v>
      </c>
      <c r="BZ2700" s="16">
        <f t="shared" si="644"/>
        <v>1.0440179722226423E-27</v>
      </c>
      <c r="CA2700" s="16">
        <f t="shared" si="651"/>
        <v>-999</v>
      </c>
      <c r="CE2700" s="16" t="e">
        <f t="shared" si="645"/>
        <v>#N/A</v>
      </c>
      <c r="CF2700" s="16">
        <f t="shared" si="646"/>
        <v>99</v>
      </c>
      <c r="CG2700" s="16">
        <f t="shared" si="647"/>
        <v>0</v>
      </c>
      <c r="CH2700" s="16">
        <f t="shared" si="654"/>
        <v>0</v>
      </c>
      <c r="CJ2700" s="16" t="e">
        <f t="shared" si="648"/>
        <v>#N/A</v>
      </c>
      <c r="CK2700" s="16" t="str">
        <f t="shared" si="649"/>
        <v/>
      </c>
    </row>
    <row r="2701" spans="73:89" ht="12" customHeight="1">
      <c r="BU2701" s="16">
        <f t="shared" si="650"/>
        <v>0</v>
      </c>
      <c r="BV2701" s="16">
        <f>IF($BY$12=1,NORMDIST(BY2701,$Y$6,$Y$8,TRUE),IF($BY$12=2,IF(BY2701&lt;=$BX$31,0,IF(BY2701&gt;=$BX$32,1,(BY2701-$BX$31)*$BX$33)),SUM($BU$42:BU2701)/$BV$40))</f>
        <v>1</v>
      </c>
      <c r="BW2701" s="16">
        <f t="shared" si="652"/>
        <v>2.6302116450259518E-25</v>
      </c>
      <c r="BY2701" s="16">
        <f t="shared" si="653"/>
        <v>265.89999999999196</v>
      </c>
      <c r="BZ2701" s="16">
        <f t="shared" si="644"/>
        <v>9.8917323994961694E-28</v>
      </c>
      <c r="CA2701" s="16">
        <f t="shared" si="651"/>
        <v>-999</v>
      </c>
      <c r="CE2701" s="16" t="e">
        <f t="shared" si="645"/>
        <v>#N/A</v>
      </c>
      <c r="CF2701" s="16">
        <f t="shared" si="646"/>
        <v>99</v>
      </c>
      <c r="CG2701" s="16">
        <f t="shared" si="647"/>
        <v>0</v>
      </c>
      <c r="CH2701" s="16">
        <f t="shared" si="654"/>
        <v>0</v>
      </c>
      <c r="CJ2701" s="16" t="e">
        <f t="shared" si="648"/>
        <v>#N/A</v>
      </c>
      <c r="CK2701" s="16" t="str">
        <f t="shared" si="649"/>
        <v/>
      </c>
    </row>
    <row r="2702" spans="73:89" ht="12" customHeight="1">
      <c r="BU2702" s="16">
        <f t="shared" si="650"/>
        <v>0</v>
      </c>
      <c r="BV2702" s="16">
        <f>IF($BY$12=1,NORMDIST(BY2702,$Y$6,$Y$8,TRUE),IF($BY$12=2,IF(BY2702&lt;=$BX$31,0,IF(BY2702&gt;=$BX$32,1,(BY2702-$BX$31)*$BX$33)),SUM($BU$42:BU2702)/$BV$40))</f>
        <v>1</v>
      </c>
      <c r="BW2702" s="16">
        <f t="shared" si="652"/>
        <v>2.4929152951253191E-25</v>
      </c>
      <c r="BY2702" s="16">
        <f t="shared" si="653"/>
        <v>265.99999999999199</v>
      </c>
      <c r="BZ2702" s="16">
        <f t="shared" si="644"/>
        <v>9.3718620117496019E-28</v>
      </c>
      <c r="CA2702" s="16">
        <f t="shared" si="651"/>
        <v>-999</v>
      </c>
      <c r="CE2702" s="16" t="e">
        <f t="shared" si="645"/>
        <v>#N/A</v>
      </c>
      <c r="CF2702" s="16">
        <f t="shared" si="646"/>
        <v>99</v>
      </c>
      <c r="CG2702" s="16">
        <f t="shared" si="647"/>
        <v>0</v>
      </c>
      <c r="CH2702" s="16">
        <f t="shared" si="654"/>
        <v>0</v>
      </c>
      <c r="CJ2702" s="16" t="e">
        <f t="shared" si="648"/>
        <v>#N/A</v>
      </c>
      <c r="CK2702" s="16" t="str">
        <f t="shared" si="649"/>
        <v/>
      </c>
    </row>
    <row r="2703" spans="73:89" ht="12" customHeight="1">
      <c r="BU2703" s="16">
        <f t="shared" si="650"/>
        <v>0</v>
      </c>
      <c r="BV2703" s="16">
        <f>IF($BY$12=1,NORMDIST(BY2703,$Y$6,$Y$8,TRUE),IF($BY$12=2,IF(BY2703&lt;=$BX$31,0,IF(BY2703&gt;=$BX$32,1,(BY2703-$BX$31)*$BX$33)),SUM($BU$42:BU2703)/$BV$40))</f>
        <v>1</v>
      </c>
      <c r="BW2703" s="16">
        <f t="shared" si="652"/>
        <v>2.362726375423601E-25</v>
      </c>
      <c r="BY2703" s="16">
        <f t="shared" si="653"/>
        <v>266.09999999999201</v>
      </c>
      <c r="BZ2703" s="16">
        <f t="shared" si="644"/>
        <v>8.8790919782926416E-28</v>
      </c>
      <c r="CA2703" s="16">
        <f t="shared" si="651"/>
        <v>-999</v>
      </c>
      <c r="CE2703" s="16" t="e">
        <f t="shared" si="645"/>
        <v>#N/A</v>
      </c>
      <c r="CF2703" s="16">
        <f t="shared" si="646"/>
        <v>99</v>
      </c>
      <c r="CG2703" s="16">
        <f t="shared" si="647"/>
        <v>0</v>
      </c>
      <c r="CH2703" s="16">
        <f t="shared" si="654"/>
        <v>0</v>
      </c>
      <c r="CJ2703" s="16" t="e">
        <f t="shared" si="648"/>
        <v>#N/A</v>
      </c>
      <c r="CK2703" s="16" t="str">
        <f t="shared" si="649"/>
        <v/>
      </c>
    </row>
    <row r="2704" spans="73:89" ht="12" customHeight="1">
      <c r="BU2704" s="16">
        <f t="shared" si="650"/>
        <v>0</v>
      </c>
      <c r="BV2704" s="16">
        <f>IF($BY$12=1,NORMDIST(BY2704,$Y$6,$Y$8,TRUE),IF($BY$12=2,IF(BY2704&lt;=$BX$31,0,IF(BY2704&gt;=$BX$32,1,(BY2704-$BX$31)*$BX$33)),SUM($BU$42:BU2704)/$BV$40))</f>
        <v>1</v>
      </c>
      <c r="BW2704" s="16">
        <f t="shared" si="652"/>
        <v>2.2392800860588515E-25</v>
      </c>
      <c r="BY2704" s="16">
        <f t="shared" si="653"/>
        <v>266.19999999999203</v>
      </c>
      <c r="BZ2704" s="16">
        <f t="shared" si="644"/>
        <v>8.4120213601011212E-28</v>
      </c>
      <c r="CA2704" s="16">
        <f t="shared" si="651"/>
        <v>-999</v>
      </c>
      <c r="CE2704" s="16" t="e">
        <f t="shared" si="645"/>
        <v>#N/A</v>
      </c>
      <c r="CF2704" s="16">
        <f t="shared" si="646"/>
        <v>99</v>
      </c>
      <c r="CG2704" s="16">
        <f t="shared" si="647"/>
        <v>0</v>
      </c>
      <c r="CH2704" s="16">
        <f t="shared" si="654"/>
        <v>0</v>
      </c>
      <c r="CJ2704" s="16" t="e">
        <f t="shared" si="648"/>
        <v>#N/A</v>
      </c>
      <c r="CK2704" s="16" t="str">
        <f t="shared" si="649"/>
        <v/>
      </c>
    </row>
    <row r="2705" spans="73:89" ht="12" customHeight="1">
      <c r="BU2705" s="16">
        <f t="shared" si="650"/>
        <v>0</v>
      </c>
      <c r="BV2705" s="16">
        <f>IF($BY$12=1,NORMDIST(BY2705,$Y$6,$Y$8,TRUE),IF($BY$12=2,IF(BY2705&lt;=$BX$31,0,IF(BY2705&gt;=$BX$32,1,(BY2705-$BX$31)*$BX$33)),SUM($BU$42:BU2705)/$BV$40))</f>
        <v>1</v>
      </c>
      <c r="BW2705" s="16">
        <f t="shared" si="652"/>
        <v>2.1222301873621861E-25</v>
      </c>
      <c r="BY2705" s="16">
        <f t="shared" si="653"/>
        <v>266.29999999999205</v>
      </c>
      <c r="BZ2705" s="16">
        <f t="shared" si="644"/>
        <v>7.9693210190095735E-28</v>
      </c>
      <c r="CA2705" s="16">
        <f t="shared" si="651"/>
        <v>-999</v>
      </c>
      <c r="CE2705" s="16" t="e">
        <f t="shared" si="645"/>
        <v>#N/A</v>
      </c>
      <c r="CF2705" s="16">
        <f t="shared" si="646"/>
        <v>99</v>
      </c>
      <c r="CG2705" s="16">
        <f t="shared" si="647"/>
        <v>0</v>
      </c>
      <c r="CH2705" s="16">
        <f t="shared" si="654"/>
        <v>0</v>
      </c>
      <c r="CJ2705" s="16" t="e">
        <f t="shared" si="648"/>
        <v>#N/A</v>
      </c>
      <c r="CK2705" s="16" t="str">
        <f t="shared" si="649"/>
        <v/>
      </c>
    </row>
    <row r="2706" spans="73:89" ht="12" customHeight="1">
      <c r="BU2706" s="16">
        <f t="shared" si="650"/>
        <v>0</v>
      </c>
      <c r="BV2706" s="16">
        <f>IF($BY$12=1,NORMDIST(BY2706,$Y$6,$Y$8,TRUE),IF($BY$12=2,IF(BY2706&lt;=$BX$31,0,IF(BY2706&gt;=$BX$32,1,(BY2706-$BX$31)*$BX$33)),SUM($BU$42:BU2706)/$BV$40))</f>
        <v>1</v>
      </c>
      <c r="BW2706" s="16">
        <f t="shared" si="652"/>
        <v>2.0112480640491358E-25</v>
      </c>
      <c r="BY2706" s="16">
        <f t="shared" si="653"/>
        <v>266.39999999999208</v>
      </c>
      <c r="BZ2706" s="16">
        <f t="shared" si="644"/>
        <v>7.5497299701546376E-28</v>
      </c>
      <c r="CA2706" s="16">
        <f t="shared" si="651"/>
        <v>-999</v>
      </c>
      <c r="CE2706" s="16" t="e">
        <f t="shared" si="645"/>
        <v>#N/A</v>
      </c>
      <c r="CF2706" s="16">
        <f t="shared" si="646"/>
        <v>99</v>
      </c>
      <c r="CG2706" s="16">
        <f t="shared" si="647"/>
        <v>0</v>
      </c>
      <c r="CH2706" s="16">
        <f t="shared" si="654"/>
        <v>0</v>
      </c>
      <c r="CJ2706" s="16" t="e">
        <f t="shared" si="648"/>
        <v>#N/A</v>
      </c>
      <c r="CK2706" s="16" t="str">
        <f t="shared" si="649"/>
        <v/>
      </c>
    </row>
    <row r="2707" spans="73:89" ht="12" customHeight="1">
      <c r="BU2707" s="16">
        <f t="shared" si="650"/>
        <v>0</v>
      </c>
      <c r="BV2707" s="16">
        <f>IF($BY$12=1,NORMDIST(BY2707,$Y$6,$Y$8,TRUE),IF($BY$12=2,IF(BY2707&lt;=$BX$31,0,IF(BY2707&gt;=$BX$32,1,(BY2707-$BX$31)*$BX$33)),SUM($BU$42:BU2707)/$BV$40))</f>
        <v>1</v>
      </c>
      <c r="BW2707" s="16">
        <f t="shared" si="652"/>
        <v>1.9060218361580684E-25</v>
      </c>
      <c r="BY2707" s="16">
        <f t="shared" si="653"/>
        <v>266.4999999999921</v>
      </c>
      <c r="BZ2707" s="16">
        <f t="shared" si="644"/>
        <v>7.1520519180417451E-28</v>
      </c>
      <c r="CA2707" s="16">
        <f t="shared" si="651"/>
        <v>-999</v>
      </c>
      <c r="CE2707" s="16" t="e">
        <f t="shared" si="645"/>
        <v>#N/A</v>
      </c>
      <c r="CF2707" s="16">
        <f t="shared" si="646"/>
        <v>99</v>
      </c>
      <c r="CG2707" s="16">
        <f t="shared" si="647"/>
        <v>0</v>
      </c>
      <c r="CH2707" s="16">
        <f t="shared" si="654"/>
        <v>0</v>
      </c>
      <c r="CJ2707" s="16" t="e">
        <f t="shared" si="648"/>
        <v>#N/A</v>
      </c>
      <c r="CK2707" s="16" t="str">
        <f t="shared" si="649"/>
        <v/>
      </c>
    </row>
    <row r="2708" spans="73:89" ht="12" customHeight="1">
      <c r="BU2708" s="16">
        <f t="shared" si="650"/>
        <v>0</v>
      </c>
      <c r="BV2708" s="16">
        <f>IF($BY$12=1,NORMDIST(BY2708,$Y$6,$Y$8,TRUE),IF($BY$12=2,IF(BY2708&lt;=$BX$31,0,IF(BY2708&gt;=$BX$32,1,(BY2708-$BX$31)*$BX$33)),SUM($BU$42:BU2708)/$BV$40))</f>
        <v>1</v>
      </c>
      <c r="BW2708" s="16">
        <f t="shared" si="652"/>
        <v>1.8062555144223361E-25</v>
      </c>
      <c r="BY2708" s="16">
        <f t="shared" si="653"/>
        <v>266.59999999999212</v>
      </c>
      <c r="BZ2708" s="16">
        <f t="shared" si="644"/>
        <v>6.7751519670757294E-28</v>
      </c>
      <c r="CA2708" s="16">
        <f t="shared" si="651"/>
        <v>-999</v>
      </c>
      <c r="CE2708" s="16" t="e">
        <f t="shared" si="645"/>
        <v>#N/A</v>
      </c>
      <c r="CF2708" s="16">
        <f t="shared" si="646"/>
        <v>99</v>
      </c>
      <c r="CG2708" s="16">
        <f t="shared" si="647"/>
        <v>0</v>
      </c>
      <c r="CH2708" s="16">
        <f t="shared" si="654"/>
        <v>0</v>
      </c>
      <c r="CJ2708" s="16" t="e">
        <f t="shared" si="648"/>
        <v>#N/A</v>
      </c>
      <c r="CK2708" s="16" t="str">
        <f t="shared" si="649"/>
        <v/>
      </c>
    </row>
    <row r="2709" spans="73:89" ht="12" customHeight="1">
      <c r="BU2709" s="16">
        <f t="shared" si="650"/>
        <v>0</v>
      </c>
      <c r="BV2709" s="16">
        <f>IF($BY$12=1,NORMDIST(BY2709,$Y$6,$Y$8,TRUE),IF($BY$12=2,IF(BY2709&lt;=$BX$31,0,IF(BY2709&gt;=$BX$32,1,(BY2709-$BX$31)*$BX$33)),SUM($BU$42:BU2709)/$BV$40))</f>
        <v>1</v>
      </c>
      <c r="BW2709" s="16">
        <f t="shared" si="652"/>
        <v>1.7116681978768799E-25</v>
      </c>
      <c r="BY2709" s="16">
        <f t="shared" si="653"/>
        <v>266.69999999999214</v>
      </c>
      <c r="BZ2709" s="16">
        <f t="shared" si="644"/>
        <v>6.4179534978512571E-28</v>
      </c>
      <c r="CA2709" s="16">
        <f t="shared" si="651"/>
        <v>-999</v>
      </c>
      <c r="CE2709" s="16" t="e">
        <f t="shared" si="645"/>
        <v>#N/A</v>
      </c>
      <c r="CF2709" s="16">
        <f t="shared" si="646"/>
        <v>99</v>
      </c>
      <c r="CG2709" s="16">
        <f t="shared" si="647"/>
        <v>0</v>
      </c>
      <c r="CH2709" s="16">
        <f t="shared" si="654"/>
        <v>0</v>
      </c>
      <c r="CJ2709" s="16" t="e">
        <f t="shared" si="648"/>
        <v>#N/A</v>
      </c>
      <c r="CK2709" s="16" t="str">
        <f t="shared" si="649"/>
        <v/>
      </c>
    </row>
    <row r="2710" spans="73:89" ht="12" customHeight="1">
      <c r="BU2710" s="16">
        <f t="shared" si="650"/>
        <v>0</v>
      </c>
      <c r="BV2710" s="16">
        <f>IF($BY$12=1,NORMDIST(BY2710,$Y$6,$Y$8,TRUE),IF($BY$12=2,IF(BY2710&lt;=$BX$31,0,IF(BY2710&gt;=$BX$32,1,(BY2710-$BX$31)*$BX$33)),SUM($BU$42:BU2710)/$BV$40))</f>
        <v>1</v>
      </c>
      <c r="BW2710" s="16">
        <f t="shared" si="652"/>
        <v>1.6219933116074904E-25</v>
      </c>
      <c r="BY2710" s="16">
        <f t="shared" si="653"/>
        <v>266.79999999999217</v>
      </c>
      <c r="BZ2710" s="16">
        <f t="shared" si="644"/>
        <v>6.079435200927804E-28</v>
      </c>
      <c r="CA2710" s="16">
        <f t="shared" si="651"/>
        <v>-999</v>
      </c>
      <c r="CE2710" s="16" t="e">
        <f t="shared" si="645"/>
        <v>#N/A</v>
      </c>
      <c r="CF2710" s="16">
        <f t="shared" si="646"/>
        <v>99</v>
      </c>
      <c r="CG2710" s="16">
        <f t="shared" si="647"/>
        <v>0</v>
      </c>
      <c r="CH2710" s="16">
        <f t="shared" si="654"/>
        <v>0</v>
      </c>
      <c r="CJ2710" s="16" t="e">
        <f t="shared" si="648"/>
        <v>#N/A</v>
      </c>
      <c r="CK2710" s="16" t="str">
        <f t="shared" si="649"/>
        <v/>
      </c>
    </row>
    <row r="2711" spans="73:89" ht="12" customHeight="1">
      <c r="BU2711" s="16">
        <f t="shared" si="650"/>
        <v>0</v>
      </c>
      <c r="BV2711" s="16">
        <f>IF($BY$12=1,NORMDIST(BY2711,$Y$6,$Y$8,TRUE),IF($BY$12=2,IF(BY2711&lt;=$BX$31,0,IF(BY2711&gt;=$BX$32,1,(BY2711-$BX$31)*$BX$33)),SUM($BU$42:BU2711)/$BV$40))</f>
        <v>1</v>
      </c>
      <c r="BW2711" s="16">
        <f t="shared" si="652"/>
        <v>1.5369778826533682E-25</v>
      </c>
      <c r="BY2711" s="16">
        <f t="shared" si="653"/>
        <v>266.89999999999219</v>
      </c>
      <c r="BZ2711" s="16">
        <f t="shared" si="644"/>
        <v>5.7586282602226044E-28</v>
      </c>
      <c r="CA2711" s="16">
        <f t="shared" si="651"/>
        <v>-999</v>
      </c>
      <c r="CE2711" s="16" t="e">
        <f t="shared" si="645"/>
        <v>#N/A</v>
      </c>
      <c r="CF2711" s="16">
        <f t="shared" si="646"/>
        <v>99</v>
      </c>
      <c r="CG2711" s="16">
        <f t="shared" si="647"/>
        <v>0</v>
      </c>
      <c r="CH2711" s="16">
        <f t="shared" si="654"/>
        <v>0</v>
      </c>
      <c r="CJ2711" s="16" t="e">
        <f t="shared" si="648"/>
        <v>#N/A</v>
      </c>
      <c r="CK2711" s="16" t="str">
        <f t="shared" si="649"/>
        <v/>
      </c>
    </row>
    <row r="2712" spans="73:89" ht="12" customHeight="1">
      <c r="BU2712" s="16">
        <f t="shared" si="650"/>
        <v>0</v>
      </c>
      <c r="BV2712" s="16">
        <f>IF($BY$12=1,NORMDIST(BY2712,$Y$6,$Y$8,TRUE),IF($BY$12=2,IF(BY2712&lt;=$BX$31,0,IF(BY2712&gt;=$BX$32,1,(BY2712-$BX$31)*$BX$33)),SUM($BU$42:BU2712)/$BV$40))</f>
        <v>1</v>
      </c>
      <c r="BW2712" s="16">
        <f t="shared" si="652"/>
        <v>1.4563818521715972E-25</v>
      </c>
      <c r="BY2712" s="16">
        <f t="shared" si="653"/>
        <v>266.99999999999221</v>
      </c>
      <c r="BZ2712" s="16">
        <f t="shared" si="644"/>
        <v>5.4546136785454669E-28</v>
      </c>
      <c r="CA2712" s="16">
        <f t="shared" si="651"/>
        <v>-999</v>
      </c>
      <c r="CE2712" s="16" t="e">
        <f t="shared" si="645"/>
        <v>#N/A</v>
      </c>
      <c r="CF2712" s="16">
        <f t="shared" si="646"/>
        <v>99</v>
      </c>
      <c r="CG2712" s="16">
        <f t="shared" si="647"/>
        <v>0</v>
      </c>
      <c r="CH2712" s="16">
        <f t="shared" si="654"/>
        <v>0</v>
      </c>
      <c r="CJ2712" s="16" t="e">
        <f t="shared" si="648"/>
        <v>#N/A</v>
      </c>
      <c r="CK2712" s="16" t="str">
        <f t="shared" si="649"/>
        <v/>
      </c>
    </row>
    <row r="2713" spans="73:89" ht="12" customHeight="1">
      <c r="BU2713" s="16">
        <f t="shared" si="650"/>
        <v>0</v>
      </c>
      <c r="BV2713" s="16">
        <f>IF($BY$12=1,NORMDIST(BY2713,$Y$6,$Y$8,TRUE),IF($BY$12=2,IF(BY2713&lt;=$BX$31,0,IF(BY2713&gt;=$BX$32,1,(BY2713-$BX$31)*$BX$33)),SUM($BU$42:BU2713)/$BV$40))</f>
        <v>1</v>
      </c>
      <c r="BW2713" s="16">
        <f t="shared" si="652"/>
        <v>1.3799774220646823E-25</v>
      </c>
      <c r="BY2713" s="16">
        <f t="shared" si="653"/>
        <v>267.09999999999224</v>
      </c>
      <c r="BZ2713" s="16">
        <f t="shared" si="644"/>
        <v>5.1665197381681857E-28</v>
      </c>
      <c r="CA2713" s="16">
        <f t="shared" si="651"/>
        <v>-999</v>
      </c>
      <c r="CE2713" s="16" t="e">
        <f t="shared" si="645"/>
        <v>#N/A</v>
      </c>
      <c r="CF2713" s="16">
        <f t="shared" si="646"/>
        <v>99</v>
      </c>
      <c r="CG2713" s="16">
        <f t="shared" si="647"/>
        <v>0</v>
      </c>
      <c r="CH2713" s="16">
        <f t="shared" si="654"/>
        <v>0</v>
      </c>
      <c r="CJ2713" s="16" t="e">
        <f t="shared" si="648"/>
        <v>#N/A</v>
      </c>
      <c r="CK2713" s="16" t="str">
        <f t="shared" si="649"/>
        <v/>
      </c>
    </row>
    <row r="2714" spans="73:89" ht="12" customHeight="1">
      <c r="BU2714" s="16">
        <f t="shared" si="650"/>
        <v>0</v>
      </c>
      <c r="BV2714" s="16">
        <f>IF($BY$12=1,NORMDIST(BY2714,$Y$6,$Y$8,TRUE),IF($BY$12=2,IF(BY2714&lt;=$BX$31,0,IF(BY2714&gt;=$BX$32,1,(BY2714-$BX$31)*$BX$33)),SUM($BU$42:BU2714)/$BV$40))</f>
        <v>1</v>
      </c>
      <c r="BW2714" s="16">
        <f t="shared" si="652"/>
        <v>1.3075484343609514E-25</v>
      </c>
      <c r="BY2714" s="16">
        <f t="shared" si="653"/>
        <v>267.19999999999226</v>
      </c>
      <c r="BZ2714" s="16">
        <f t="shared" si="644"/>
        <v>4.8935195896743614E-28</v>
      </c>
      <c r="CA2714" s="16">
        <f t="shared" si="651"/>
        <v>-999</v>
      </c>
      <c r="CE2714" s="16" t="e">
        <f t="shared" si="645"/>
        <v>#N/A</v>
      </c>
      <c r="CF2714" s="16">
        <f t="shared" si="646"/>
        <v>99</v>
      </c>
      <c r="CG2714" s="16">
        <f t="shared" si="647"/>
        <v>0</v>
      </c>
      <c r="CH2714" s="16">
        <f t="shared" si="654"/>
        <v>0</v>
      </c>
      <c r="CJ2714" s="16" t="e">
        <f t="shared" si="648"/>
        <v>#N/A</v>
      </c>
      <c r="CK2714" s="16" t="str">
        <f t="shared" si="649"/>
        <v/>
      </c>
    </row>
    <row r="2715" spans="73:89" ht="12" customHeight="1">
      <c r="BU2715" s="16">
        <f t="shared" si="650"/>
        <v>0</v>
      </c>
      <c r="BV2715" s="16">
        <f>IF($BY$12=1,NORMDIST(BY2715,$Y$6,$Y$8,TRUE),IF($BY$12=2,IF(BY2715&lt;=$BX$31,0,IF(BY2715&gt;=$BX$32,1,(BY2715-$BX$31)*$BX$33)),SUM($BU$42:BU2715)/$BV$40))</f>
        <v>1</v>
      </c>
      <c r="BW2715" s="16">
        <f t="shared" si="652"/>
        <v>1.2388897817212552E-25</v>
      </c>
      <c r="BY2715" s="16">
        <f t="shared" si="653"/>
        <v>267.29999999999228</v>
      </c>
      <c r="BZ2715" s="16">
        <f t="shared" si="644"/>
        <v>4.6348289626685036E-28</v>
      </c>
      <c r="CA2715" s="16">
        <f t="shared" si="651"/>
        <v>-999</v>
      </c>
      <c r="CE2715" s="16" t="e">
        <f t="shared" si="645"/>
        <v>#N/A</v>
      </c>
      <c r="CF2715" s="16">
        <f t="shared" si="646"/>
        <v>99</v>
      </c>
      <c r="CG2715" s="16">
        <f t="shared" si="647"/>
        <v>0</v>
      </c>
      <c r="CH2715" s="16">
        <f t="shared" si="654"/>
        <v>0</v>
      </c>
      <c r="CJ2715" s="16" t="e">
        <f t="shared" si="648"/>
        <v>#N/A</v>
      </c>
      <c r="CK2715" s="16" t="str">
        <f t="shared" si="649"/>
        <v/>
      </c>
    </row>
    <row r="2716" spans="73:89" ht="12" customHeight="1">
      <c r="BU2716" s="16">
        <f t="shared" si="650"/>
        <v>0</v>
      </c>
      <c r="BV2716" s="16">
        <f>IF($BY$12=1,NORMDIST(BY2716,$Y$6,$Y$8,TRUE),IF($BY$12=2,IF(BY2716&lt;=$BX$31,0,IF(BY2716&gt;=$BX$32,1,(BY2716-$BX$31)*$BX$33)),SUM($BU$42:BU2716)/$BV$40))</f>
        <v>1</v>
      </c>
      <c r="BW2716" s="16">
        <f t="shared" si="652"/>
        <v>1.1738068475259186E-25</v>
      </c>
      <c r="BY2716" s="16">
        <f t="shared" si="653"/>
        <v>267.3999999999923</v>
      </c>
      <c r="BZ2716" s="16">
        <f t="shared" si="644"/>
        <v>4.3897039922436515E-28</v>
      </c>
      <c r="CA2716" s="16">
        <f t="shared" si="651"/>
        <v>-999</v>
      </c>
      <c r="CE2716" s="16" t="e">
        <f t="shared" si="645"/>
        <v>#N/A</v>
      </c>
      <c r="CF2716" s="16">
        <f t="shared" si="646"/>
        <v>99</v>
      </c>
      <c r="CG2716" s="16">
        <f t="shared" si="647"/>
        <v>0</v>
      </c>
      <c r="CH2716" s="16">
        <f t="shared" si="654"/>
        <v>0</v>
      </c>
      <c r="CJ2716" s="16" t="e">
        <f t="shared" si="648"/>
        <v>#N/A</v>
      </c>
      <c r="CK2716" s="16" t="str">
        <f t="shared" si="649"/>
        <v/>
      </c>
    </row>
    <row r="2717" spans="73:89" ht="12" customHeight="1">
      <c r="BU2717" s="16">
        <f t="shared" si="650"/>
        <v>0</v>
      </c>
      <c r="BV2717" s="16">
        <f>IF($BY$12=1,NORMDIST(BY2717,$Y$6,$Y$8,TRUE),IF($BY$12=2,IF(BY2717&lt;=$BX$31,0,IF(BY2717&gt;=$BX$32,1,(BY2717-$BX$31)*$BX$33)),SUM($BU$42:BU2717)/$BV$40))</f>
        <v>1</v>
      </c>
      <c r="BW2717" s="16">
        <f t="shared" si="652"/>
        <v>1.1121149740713815E-25</v>
      </c>
      <c r="BY2717" s="16">
        <f t="shared" si="653"/>
        <v>267.49999999999233</v>
      </c>
      <c r="BZ2717" s="16">
        <f t="shared" si="644"/>
        <v>4.1574391554071532E-28</v>
      </c>
      <c r="CA2717" s="16">
        <f t="shared" si="651"/>
        <v>-999</v>
      </c>
      <c r="CE2717" s="16" t="e">
        <f t="shared" si="645"/>
        <v>#N/A</v>
      </c>
      <c r="CF2717" s="16">
        <f t="shared" si="646"/>
        <v>99</v>
      </c>
      <c r="CG2717" s="16">
        <f t="shared" si="647"/>
        <v>0</v>
      </c>
      <c r="CH2717" s="16">
        <f t="shared" si="654"/>
        <v>0</v>
      </c>
      <c r="CJ2717" s="16" t="e">
        <f t="shared" si="648"/>
        <v>#N/A</v>
      </c>
      <c r="CK2717" s="16" t="str">
        <f t="shared" si="649"/>
        <v/>
      </c>
    </row>
    <row r="2718" spans="73:89" ht="12" customHeight="1">
      <c r="BU2718" s="16">
        <f t="shared" si="650"/>
        <v>0</v>
      </c>
      <c r="BV2718" s="16">
        <f>IF($BY$12=1,NORMDIST(BY2718,$Y$6,$Y$8,TRUE),IF($BY$12=2,IF(BY2718&lt;=$BX$31,0,IF(BY2718&gt;=$BX$32,1,(BY2718-$BX$31)*$BX$33)),SUM($BU$42:BU2718)/$BV$40))</f>
        <v>1</v>
      </c>
      <c r="BW2718" s="16">
        <f t="shared" si="652"/>
        <v>1.0536389574788094E-25</v>
      </c>
      <c r="BY2718" s="16">
        <f t="shared" si="653"/>
        <v>267.59999999999235</v>
      </c>
      <c r="BZ2718" s="16">
        <f t="shared" si="644"/>
        <v>3.9373653119538101E-28</v>
      </c>
      <c r="CA2718" s="16">
        <f t="shared" si="651"/>
        <v>-999</v>
      </c>
      <c r="CE2718" s="16" t="e">
        <f t="shared" si="645"/>
        <v>#N/A</v>
      </c>
      <c r="CF2718" s="16">
        <f t="shared" si="646"/>
        <v>99</v>
      </c>
      <c r="CG2718" s="16">
        <f t="shared" si="647"/>
        <v>0</v>
      </c>
      <c r="CH2718" s="16">
        <f t="shared" si="654"/>
        <v>0</v>
      </c>
      <c r="CJ2718" s="16" t="e">
        <f t="shared" si="648"/>
        <v>#N/A</v>
      </c>
      <c r="CK2718" s="16" t="str">
        <f t="shared" si="649"/>
        <v/>
      </c>
    </row>
    <row r="2719" spans="73:89" ht="12" customHeight="1">
      <c r="BU2719" s="16">
        <f t="shared" si="650"/>
        <v>0</v>
      </c>
      <c r="BV2719" s="16">
        <f>IF($BY$12=1,NORMDIST(BY2719,$Y$6,$Y$8,TRUE),IF($BY$12=2,IF(BY2719&lt;=$BX$31,0,IF(BY2719&gt;=$BX$32,1,(BY2719-$BX$31)*$BX$33)),SUM($BU$42:BU2719)/$BV$40))</f>
        <v>1</v>
      </c>
      <c r="BW2719" s="16">
        <f t="shared" si="652"/>
        <v>9.9821256798563304E-26</v>
      </c>
      <c r="BY2719" s="16">
        <f t="shared" si="653"/>
        <v>267.69999999999237</v>
      </c>
      <c r="BZ2719" s="16">
        <f t="shared" si="644"/>
        <v>3.7288478445486047E-28</v>
      </c>
      <c r="CA2719" s="16">
        <f t="shared" si="651"/>
        <v>-999</v>
      </c>
      <c r="CE2719" s="16" t="e">
        <f t="shared" si="645"/>
        <v>#N/A</v>
      </c>
      <c r="CF2719" s="16">
        <f t="shared" si="646"/>
        <v>99</v>
      </c>
      <c r="CG2719" s="16">
        <f t="shared" si="647"/>
        <v>0</v>
      </c>
      <c r="CH2719" s="16">
        <f t="shared" si="654"/>
        <v>0</v>
      </c>
      <c r="CJ2719" s="16" t="e">
        <f t="shared" si="648"/>
        <v>#N/A</v>
      </c>
      <c r="CK2719" s="16" t="str">
        <f t="shared" si="649"/>
        <v/>
      </c>
    </row>
    <row r="2720" spans="73:89" ht="12" customHeight="1">
      <c r="BU2720" s="16">
        <f t="shared" si="650"/>
        <v>0</v>
      </c>
      <c r="BV2720" s="16">
        <f>IF($BY$12=1,NORMDIST(BY2720,$Y$6,$Y$8,TRUE),IF($BY$12=2,IF(BY2720&lt;=$BX$31,0,IF(BY2720&gt;=$BX$32,1,(BY2720-$BX$31)*$BX$33)),SUM($BU$42:BU2720)/$BV$40))</f>
        <v>1</v>
      </c>
      <c r="BW2720" s="16">
        <f t="shared" si="652"/>
        <v>9.4567809435617428E-26</v>
      </c>
      <c r="BY2720" s="16">
        <f t="shared" si="653"/>
        <v>267.79999999999239</v>
      </c>
      <c r="BZ2720" s="16">
        <f t="shared" si="644"/>
        <v>3.5312848930403329E-28</v>
      </c>
      <c r="CA2720" s="16">
        <f t="shared" si="651"/>
        <v>-999</v>
      </c>
      <c r="CE2720" s="16" t="e">
        <f t="shared" si="645"/>
        <v>#N/A</v>
      </c>
      <c r="CF2720" s="16">
        <f t="shared" si="646"/>
        <v>99</v>
      </c>
      <c r="CG2720" s="16">
        <f t="shared" si="647"/>
        <v>0</v>
      </c>
      <c r="CH2720" s="16">
        <f t="shared" si="654"/>
        <v>0</v>
      </c>
      <c r="CJ2720" s="16" t="e">
        <f t="shared" si="648"/>
        <v>#N/A</v>
      </c>
      <c r="CK2720" s="16" t="str">
        <f t="shared" si="649"/>
        <v/>
      </c>
    </row>
    <row r="2721" spans="73:89" ht="12" customHeight="1">
      <c r="BU2721" s="16">
        <f t="shared" si="650"/>
        <v>0</v>
      </c>
      <c r="BV2721" s="16">
        <f>IF($BY$12=1,NORMDIST(BY2721,$Y$6,$Y$8,TRUE),IF($BY$12=2,IF(BY2721&lt;=$BX$31,0,IF(BY2721&gt;=$BX$32,1,(BY2721-$BX$31)*$BX$33)),SUM($BU$42:BU2721)/$BV$40))</f>
        <v>1</v>
      </c>
      <c r="BW2721" s="16">
        <f t="shared" si="652"/>
        <v>8.9588591121045157E-26</v>
      </c>
      <c r="BY2721" s="16">
        <f t="shared" si="653"/>
        <v>267.89999999999242</v>
      </c>
      <c r="BZ2721" s="16">
        <f t="shared" si="644"/>
        <v>3.344105678277256E-28</v>
      </c>
      <c r="CA2721" s="16">
        <f t="shared" si="651"/>
        <v>-999</v>
      </c>
      <c r="CE2721" s="16" t="e">
        <f t="shared" si="645"/>
        <v>#N/A</v>
      </c>
      <c r="CF2721" s="16">
        <f t="shared" si="646"/>
        <v>99</v>
      </c>
      <c r="CG2721" s="16">
        <f t="shared" si="647"/>
        <v>0</v>
      </c>
      <c r="CH2721" s="16">
        <f t="shared" si="654"/>
        <v>0</v>
      </c>
      <c r="CJ2721" s="16" t="e">
        <f t="shared" si="648"/>
        <v>#N/A</v>
      </c>
      <c r="CK2721" s="16" t="str">
        <f t="shared" si="649"/>
        <v/>
      </c>
    </row>
    <row r="2722" spans="73:89" ht="12" customHeight="1">
      <c r="BU2722" s="16">
        <f t="shared" si="650"/>
        <v>0</v>
      </c>
      <c r="BV2722" s="16">
        <f>IF($BY$12=1,NORMDIST(BY2722,$Y$6,$Y$8,TRUE),IF($BY$12=2,IF(BY2722&lt;=$BX$31,0,IF(BY2722&gt;=$BX$32,1,(BY2722-$BX$31)*$BX$33)),SUM($BU$42:BU2722)/$BV$40))</f>
        <v>1</v>
      </c>
      <c r="BW2722" s="16">
        <f t="shared" si="652"/>
        <v>8.4869406812877467E-26</v>
      </c>
      <c r="BY2722" s="16">
        <f t="shared" si="653"/>
        <v>267.99999999999244</v>
      </c>
      <c r="BZ2722" s="16">
        <f t="shared" si="644"/>
        <v>3.1667689109283531E-28</v>
      </c>
      <c r="CA2722" s="16">
        <f t="shared" si="651"/>
        <v>-999</v>
      </c>
      <c r="CE2722" s="16" t="e">
        <f t="shared" si="645"/>
        <v>#N/A</v>
      </c>
      <c r="CF2722" s="16">
        <f t="shared" si="646"/>
        <v>99</v>
      </c>
      <c r="CG2722" s="16">
        <f t="shared" si="647"/>
        <v>0</v>
      </c>
      <c r="CH2722" s="16">
        <f t="shared" si="654"/>
        <v>0</v>
      </c>
      <c r="CJ2722" s="16" t="e">
        <f t="shared" si="648"/>
        <v>#N/A</v>
      </c>
      <c r="CK2722" s="16" t="str">
        <f t="shared" si="649"/>
        <v/>
      </c>
    </row>
    <row r="2723" spans="73:89" ht="12" customHeight="1">
      <c r="BU2723" s="16">
        <f t="shared" si="650"/>
        <v>0</v>
      </c>
      <c r="BV2723" s="16">
        <f>IF($BY$12=1,NORMDIST(BY2723,$Y$6,$Y$8,TRUE),IF($BY$12=2,IF(BY2723&lt;=$BX$31,0,IF(BY2723&gt;=$BX$32,1,(BY2723-$BX$31)*$BX$33)),SUM($BU$42:BU2723)/$BV$40))</f>
        <v>1</v>
      </c>
      <c r="BW2723" s="16">
        <f t="shared" si="652"/>
        <v>8.0396789944672478E-26</v>
      </c>
      <c r="BY2723" s="16">
        <f t="shared" si="653"/>
        <v>268.09999999999246</v>
      </c>
      <c r="BZ2723" s="16">
        <f t="shared" si="644"/>
        <v>2.9987612810397143E-28</v>
      </c>
      <c r="CA2723" s="16">
        <f t="shared" si="651"/>
        <v>-999</v>
      </c>
      <c r="CE2723" s="16" t="e">
        <f t="shared" si="645"/>
        <v>#N/A</v>
      </c>
      <c r="CF2723" s="16">
        <f t="shared" si="646"/>
        <v>99</v>
      </c>
      <c r="CG2723" s="16">
        <f t="shared" si="647"/>
        <v>0</v>
      </c>
      <c r="CH2723" s="16">
        <f t="shared" si="654"/>
        <v>0</v>
      </c>
      <c r="CJ2723" s="16" t="e">
        <f t="shared" si="648"/>
        <v>#N/A</v>
      </c>
      <c r="CK2723" s="16" t="str">
        <f t="shared" si="649"/>
        <v/>
      </c>
    </row>
    <row r="2724" spans="73:89" ht="12" customHeight="1">
      <c r="BU2724" s="16">
        <f t="shared" si="650"/>
        <v>0</v>
      </c>
      <c r="BV2724" s="16">
        <f>IF($BY$12=1,NORMDIST(BY2724,$Y$6,$Y$8,TRUE),IF($BY$12=2,IF(BY2724&lt;=$BX$31,0,IF(BY2724&gt;=$BX$32,1,(BY2724-$BX$31)*$BX$33)),SUM($BU$42:BU2724)/$BV$40))</f>
        <v>1</v>
      </c>
      <c r="BW2724" s="16">
        <f t="shared" si="652"/>
        <v>7.6157965370822088E-26</v>
      </c>
      <c r="BY2724" s="16">
        <f t="shared" si="653"/>
        <v>268.19999999999249</v>
      </c>
      <c r="BZ2724" s="16">
        <f t="shared" si="644"/>
        <v>2.8395960242663768E-28</v>
      </c>
      <c r="CA2724" s="16">
        <f t="shared" si="651"/>
        <v>-999</v>
      </c>
      <c r="CE2724" s="16" t="e">
        <f t="shared" si="645"/>
        <v>#N/A</v>
      </c>
      <c r="CF2724" s="16">
        <f t="shared" si="646"/>
        <v>99</v>
      </c>
      <c r="CG2724" s="16">
        <f t="shared" si="647"/>
        <v>0</v>
      </c>
      <c r="CH2724" s="16">
        <f t="shared" si="654"/>
        <v>0</v>
      </c>
      <c r="CJ2724" s="16" t="e">
        <f t="shared" si="648"/>
        <v>#N/A</v>
      </c>
      <c r="CK2724" s="16" t="str">
        <f t="shared" si="649"/>
        <v/>
      </c>
    </row>
    <row r="2725" spans="73:89" ht="12" customHeight="1">
      <c r="BU2725" s="16">
        <f t="shared" si="650"/>
        <v>0</v>
      </c>
      <c r="BV2725" s="16">
        <f>IF($BY$12=1,NORMDIST(BY2725,$Y$6,$Y$8,TRUE),IF($BY$12=2,IF(BY2725&lt;=$BX$31,0,IF(BY2725&gt;=$BX$32,1,(BY2725-$BX$31)*$BX$33)),SUM($BU$42:BU2725)/$BV$40))</f>
        <v>1</v>
      </c>
      <c r="BW2725" s="16">
        <f t="shared" si="652"/>
        <v>7.2140814179578623E-26</v>
      </c>
      <c r="BY2725" s="16">
        <f t="shared" si="653"/>
        <v>268.29999999999251</v>
      </c>
      <c r="BZ2725" s="16">
        <f t="shared" si="644"/>
        <v>2.6888115609236169E-28</v>
      </c>
      <c r="CA2725" s="16">
        <f t="shared" si="651"/>
        <v>-999</v>
      </c>
      <c r="CE2725" s="16" t="e">
        <f t="shared" si="645"/>
        <v>#N/A</v>
      </c>
      <c r="CF2725" s="16">
        <f t="shared" si="646"/>
        <v>99</v>
      </c>
      <c r="CG2725" s="16">
        <f t="shared" si="647"/>
        <v>0</v>
      </c>
      <c r="CH2725" s="16">
        <f t="shared" si="654"/>
        <v>0</v>
      </c>
      <c r="CJ2725" s="16" t="e">
        <f t="shared" si="648"/>
        <v>#N/A</v>
      </c>
      <c r="CK2725" s="16" t="str">
        <f t="shared" si="649"/>
        <v/>
      </c>
    </row>
    <row r="2726" spans="73:89" ht="12" customHeight="1">
      <c r="BU2726" s="16">
        <f t="shared" si="650"/>
        <v>0</v>
      </c>
      <c r="BV2726" s="16">
        <f>IF($BY$12=1,NORMDIST(BY2726,$Y$6,$Y$8,TRUE),IF($BY$12=2,IF(BY2726&lt;=$BX$31,0,IF(BY2726&gt;=$BX$32,1,(BY2726-$BX$31)*$BX$33)),SUM($BU$42:BU2726)/$BV$40))</f>
        <v>1</v>
      </c>
      <c r="BW2726" s="16">
        <f t="shared" si="652"/>
        <v>6.8333840280523156E-26</v>
      </c>
      <c r="BY2726" s="16">
        <f t="shared" si="653"/>
        <v>268.39999999999253</v>
      </c>
      <c r="BZ2726" s="16">
        <f t="shared" si="644"/>
        <v>2.5459702041924388E-28</v>
      </c>
      <c r="CA2726" s="16">
        <f t="shared" si="651"/>
        <v>-999</v>
      </c>
      <c r="CE2726" s="16" t="e">
        <f t="shared" si="645"/>
        <v>#N/A</v>
      </c>
      <c r="CF2726" s="16">
        <f t="shared" si="646"/>
        <v>99</v>
      </c>
      <c r="CG2726" s="16">
        <f t="shared" si="647"/>
        <v>0</v>
      </c>
      <c r="CH2726" s="16">
        <f t="shared" si="654"/>
        <v>0</v>
      </c>
      <c r="CJ2726" s="16" t="e">
        <f t="shared" si="648"/>
        <v>#N/A</v>
      </c>
      <c r="CK2726" s="16" t="str">
        <f t="shared" si="649"/>
        <v/>
      </c>
    </row>
    <row r="2727" spans="73:89" ht="12" customHeight="1">
      <c r="BU2727" s="16">
        <f t="shared" si="650"/>
        <v>0</v>
      </c>
      <c r="BV2727" s="16">
        <f>IF($BY$12=1,NORMDIST(BY2727,$Y$6,$Y$8,TRUE),IF($BY$12=2,IF(BY2727&lt;=$BX$31,0,IF(BY2727&gt;=$BX$32,1,(BY2727-$BX$31)*$BX$33)),SUM($BU$42:BU2727)/$BV$40))</f>
        <v>1</v>
      </c>
      <c r="BW2727" s="16">
        <f t="shared" si="652"/>
        <v>6.4726138677842098E-26</v>
      </c>
      <c r="BY2727" s="16">
        <f t="shared" si="653"/>
        <v>268.49999999999255</v>
      </c>
      <c r="BZ2727" s="16">
        <f t="shared" si="644"/>
        <v>2.4106569339979102E-28</v>
      </c>
      <c r="CA2727" s="16">
        <f t="shared" si="651"/>
        <v>-999</v>
      </c>
      <c r="CE2727" s="16" t="e">
        <f t="shared" si="645"/>
        <v>#N/A</v>
      </c>
      <c r="CF2727" s="16">
        <f t="shared" si="646"/>
        <v>99</v>
      </c>
      <c r="CG2727" s="16">
        <f t="shared" si="647"/>
        <v>0</v>
      </c>
      <c r="CH2727" s="16">
        <f t="shared" si="654"/>
        <v>0</v>
      </c>
      <c r="CJ2727" s="16" t="e">
        <f t="shared" si="648"/>
        <v>#N/A</v>
      </c>
      <c r="CK2727" s="16" t="str">
        <f t="shared" si="649"/>
        <v/>
      </c>
    </row>
    <row r="2728" spans="73:89" ht="12" customHeight="1">
      <c r="BU2728" s="16">
        <f t="shared" si="650"/>
        <v>0</v>
      </c>
      <c r="BV2728" s="16">
        <f>IF($BY$12=1,NORMDIST(BY2728,$Y$6,$Y$8,TRUE),IF($BY$12=2,IF(BY2728&lt;=$BX$31,0,IF(BY2728&gt;=$BX$32,1,(BY2728-$BX$31)*$BX$33)),SUM($BU$42:BU2728)/$BV$40))</f>
        <v>1</v>
      </c>
      <c r="BW2728" s="16">
        <f t="shared" si="652"/>
        <v>6.1307365345141964E-26</v>
      </c>
      <c r="BY2728" s="16">
        <f t="shared" si="653"/>
        <v>268.59999999999258</v>
      </c>
      <c r="BZ2728" s="16">
        <f t="shared" si="644"/>
        <v>2.2824782332518117E-28</v>
      </c>
      <c r="CA2728" s="16">
        <f t="shared" si="651"/>
        <v>-999</v>
      </c>
      <c r="CE2728" s="16" t="e">
        <f t="shared" si="645"/>
        <v>#N/A</v>
      </c>
      <c r="CF2728" s="16">
        <f t="shared" si="646"/>
        <v>99</v>
      </c>
      <c r="CG2728" s="16">
        <f t="shared" si="647"/>
        <v>0</v>
      </c>
      <c r="CH2728" s="16">
        <f t="shared" si="654"/>
        <v>0</v>
      </c>
      <c r="CJ2728" s="16" t="e">
        <f t="shared" si="648"/>
        <v>#N/A</v>
      </c>
      <c r="CK2728" s="16" t="str">
        <f t="shared" si="649"/>
        <v/>
      </c>
    </row>
    <row r="2729" spans="73:89" ht="12" customHeight="1">
      <c r="BU2729" s="16">
        <f t="shared" si="650"/>
        <v>0</v>
      </c>
      <c r="BV2729" s="16">
        <f>IF($BY$12=1,NORMDIST(BY2729,$Y$6,$Y$8,TRUE),IF($BY$12=2,IF(BY2729&lt;=$BX$31,0,IF(BY2729&gt;=$BX$32,1,(BY2729-$BX$31)*$BX$33)),SUM($BU$42:BU2729)/$BV$40))</f>
        <v>1</v>
      </c>
      <c r="BW2729" s="16">
        <f t="shared" si="652"/>
        <v>5.8067708621711593E-26</v>
      </c>
      <c r="BY2729" s="16">
        <f t="shared" si="653"/>
        <v>268.6999999999926</v>
      </c>
      <c r="BZ2729" s="16">
        <f t="shared" si="644"/>
        <v>2.1610609833164568E-28</v>
      </c>
      <c r="CA2729" s="16">
        <f t="shared" si="651"/>
        <v>-999</v>
      </c>
      <c r="CE2729" s="16" t="e">
        <f t="shared" si="645"/>
        <v>#N/A</v>
      </c>
      <c r="CF2729" s="16">
        <f t="shared" si="646"/>
        <v>99</v>
      </c>
      <c r="CG2729" s="16">
        <f t="shared" si="647"/>
        <v>0</v>
      </c>
      <c r="CH2729" s="16">
        <f t="shared" si="654"/>
        <v>0</v>
      </c>
      <c r="CJ2729" s="16" t="e">
        <f t="shared" si="648"/>
        <v>#N/A</v>
      </c>
      <c r="CK2729" s="16" t="str">
        <f t="shared" si="649"/>
        <v/>
      </c>
    </row>
    <row r="2730" spans="73:89" ht="12" customHeight="1">
      <c r="BU2730" s="16">
        <f t="shared" si="650"/>
        <v>0</v>
      </c>
      <c r="BV2730" s="16">
        <f>IF($BY$12=1,NORMDIST(BY2730,$Y$6,$Y$8,TRUE),IF($BY$12=2,IF(BY2730&lt;=$BX$31,0,IF(BY2730&gt;=$BX$32,1,(BY2730-$BX$31)*$BX$33)),SUM($BU$42:BU2730)/$BV$40))</f>
        <v>1</v>
      </c>
      <c r="BW2730" s="16">
        <f t="shared" si="652"/>
        <v>5.4997862054114543E-26</v>
      </c>
      <c r="BY2730" s="16">
        <f t="shared" si="653"/>
        <v>268.79999999999262</v>
      </c>
      <c r="BZ2730" s="16">
        <f t="shared" ref="BZ2730:BZ2793" si="655">IF($BZ$5,IF($BY$12=1,NORMDIST(BY2730,$Y$6,$Y$8,FALSE),IF($BY$12=2,IF(AND(BY2730&gt;=$BX$31,BY2730&lt;=$BX$32),$BX$33,0),IF(BY2730&lt;=$BX$13,0,NORMDIST(LN((BY2730-$BX$13)/$BX$12),0,$BW$8,FALSE)/((BY2730-$BX$13)/$BX$12)))),-999)</f>
        <v>2.0460514157037223E-28</v>
      </c>
      <c r="CA2730" s="16">
        <f t="shared" si="651"/>
        <v>-999</v>
      </c>
      <c r="CE2730" s="16" t="e">
        <f t="shared" ref="CE2730:CE2793" si="656">IF(AND($CB$7,$CD$2,$CD$1),26+$P$23/2-CC2730*$P$23,NA())</f>
        <v>#N/A</v>
      </c>
      <c r="CF2730" s="16">
        <f t="shared" ref="CF2730:CF2793" si="657">IF(ISNA(CJ2730),99,CJ2730)</f>
        <v>99</v>
      </c>
      <c r="CG2730" s="16">
        <f t="shared" ref="CG2730:CG2793" si="658">IF(ISNA(CJ2730),0,CJ2730)</f>
        <v>0</v>
      </c>
      <c r="CH2730" s="16">
        <f t="shared" si="654"/>
        <v>0</v>
      </c>
      <c r="CJ2730" s="16" t="e">
        <f t="shared" ref="CJ2730:CJ2793" si="659">IF(CH2730=1,CE2730,NA())</f>
        <v>#N/A</v>
      </c>
      <c r="CK2730" s="16" t="str">
        <f t="shared" ref="CK2730:CK2793" si="660">IF(CH2730=1,M2629,"")</f>
        <v/>
      </c>
    </row>
    <row r="2731" spans="73:89" ht="12" customHeight="1">
      <c r="BU2731" s="16">
        <f t="shared" ref="BU2731:BU2794" si="661">IF($BY$12&lt;3,0,IF(BY2731&lt;=$BX$13,0,NORMDIST(LN((BY2731-$BX$13)/$BX$12),0,$BW$8,FALSE)/((BY2731-$BX$13)/$BX$12)))</f>
        <v>0</v>
      </c>
      <c r="BV2731" s="16">
        <f>IF($BY$12=1,NORMDIST(BY2731,$Y$6,$Y$8,TRUE),IF($BY$12=2,IF(BY2731&lt;=$BX$31,0,IF(BY2731&gt;=$BX$32,1,(BY2731-$BX$31)*$BX$33)),SUM($BU$42:BU2731)/$BV$40))</f>
        <v>1</v>
      </c>
      <c r="BW2731" s="16">
        <f t="shared" si="652"/>
        <v>5.2088998610748482E-26</v>
      </c>
      <c r="BY2731" s="16">
        <f t="shared" si="653"/>
        <v>268.89999999999264</v>
      </c>
      <c r="BZ2731" s="16">
        <f t="shared" si="655"/>
        <v>1.9371141171718078E-28</v>
      </c>
      <c r="CA2731" s="16">
        <f t="shared" ref="CA2731:CA2794" si="662">IF(AND($CD$1,$CD$3),26-$CD$40*NORMDIST(BY2731,$Y$6,$Y$8/SQRT($T$18),FALSE),-999)</f>
        <v>-999</v>
      </c>
      <c r="CE2731" s="16" t="e">
        <f t="shared" si="656"/>
        <v>#N/A</v>
      </c>
      <c r="CF2731" s="16">
        <f t="shared" si="657"/>
        <v>99</v>
      </c>
      <c r="CG2731" s="16">
        <f t="shared" si="658"/>
        <v>0</v>
      </c>
      <c r="CH2731" s="16">
        <f t="shared" si="654"/>
        <v>0</v>
      </c>
      <c r="CJ2731" s="16" t="e">
        <f t="shared" si="659"/>
        <v>#N/A</v>
      </c>
      <c r="CK2731" s="16" t="str">
        <f t="shared" si="660"/>
        <v/>
      </c>
    </row>
    <row r="2732" spans="73:89" ht="12" customHeight="1">
      <c r="BU2732" s="16">
        <f t="shared" si="661"/>
        <v>0</v>
      </c>
      <c r="BV2732" s="16">
        <f>IF($BY$12=1,NORMDIST(BY2732,$Y$6,$Y$8,TRUE),IF($BY$12=2,IF(BY2732&lt;=$BX$31,0,IF(BY2732&gt;=$BX$32,1,(BY2732-$BX$31)*$BX$33)),SUM($BU$42:BU2732)/$BV$40))</f>
        <v>1</v>
      </c>
      <c r="BW2732" s="16">
        <f t="shared" si="652"/>
        <v>4.9332746200619714E-26</v>
      </c>
      <c r="BY2732" s="16">
        <f t="shared" si="653"/>
        <v>268.99999999999267</v>
      </c>
      <c r="BZ2732" s="16">
        <f t="shared" si="655"/>
        <v>1.8339310855249465E-28</v>
      </c>
      <c r="CA2732" s="16">
        <f t="shared" si="662"/>
        <v>-999</v>
      </c>
      <c r="CE2732" s="16" t="e">
        <f t="shared" si="656"/>
        <v>#N/A</v>
      </c>
      <c r="CF2732" s="16">
        <f t="shared" si="657"/>
        <v>99</v>
      </c>
      <c r="CG2732" s="16">
        <f t="shared" si="658"/>
        <v>0</v>
      </c>
      <c r="CH2732" s="16">
        <f t="shared" si="654"/>
        <v>0</v>
      </c>
      <c r="CJ2732" s="16" t="e">
        <f t="shared" si="659"/>
        <v>#N/A</v>
      </c>
      <c r="CK2732" s="16" t="str">
        <f t="shared" si="660"/>
        <v/>
      </c>
    </row>
    <row r="2733" spans="73:89" ht="12" customHeight="1">
      <c r="BU2733" s="16">
        <f t="shared" si="661"/>
        <v>0</v>
      </c>
      <c r="BV2733" s="16">
        <f>IF($BY$12=1,NORMDIST(BY2733,$Y$6,$Y$8,TRUE),IF($BY$12=2,IF(BY2733&lt;=$BX$31,0,IF(BY2733&gt;=$BX$32,1,(BY2733-$BX$31)*$BX$33)),SUM($BU$42:BU2733)/$BV$40))</f>
        <v>1</v>
      </c>
      <c r="BW2733" s="16">
        <f t="shared" si="652"/>
        <v>4.6721164430966807E-26</v>
      </c>
      <c r="BY2733" s="16">
        <f t="shared" si="653"/>
        <v>269.09999999999269</v>
      </c>
      <c r="BZ2733" s="16">
        <f t="shared" si="655"/>
        <v>1.7362008335551125E-28</v>
      </c>
      <c r="CA2733" s="16">
        <f t="shared" si="662"/>
        <v>-999</v>
      </c>
      <c r="CE2733" s="16" t="e">
        <f t="shared" si="656"/>
        <v>#N/A</v>
      </c>
      <c r="CF2733" s="16">
        <f t="shared" si="657"/>
        <v>99</v>
      </c>
      <c r="CG2733" s="16">
        <f t="shared" si="658"/>
        <v>0</v>
      </c>
      <c r="CH2733" s="16">
        <f t="shared" si="654"/>
        <v>0</v>
      </c>
      <c r="CJ2733" s="16" t="e">
        <f t="shared" si="659"/>
        <v>#N/A</v>
      </c>
      <c r="CK2733" s="16" t="str">
        <f t="shared" si="660"/>
        <v/>
      </c>
    </row>
    <row r="2734" spans="73:89" ht="12" customHeight="1">
      <c r="BU2734" s="16">
        <f t="shared" si="661"/>
        <v>0</v>
      </c>
      <c r="BV2734" s="16">
        <f>IF($BY$12=1,NORMDIST(BY2734,$Y$6,$Y$8,TRUE),IF($BY$12=2,IF(BY2734&lt;=$BX$31,0,IF(BY2734&gt;=$BX$32,1,(BY2734-$BX$31)*$BX$33)),SUM($BU$42:BU2734)/$BV$40))</f>
        <v>1</v>
      </c>
      <c r="BW2734" s="16">
        <f t="shared" si="652"/>
        <v>4.4246722541633266E-26</v>
      </c>
      <c r="BY2734" s="16">
        <f t="shared" si="653"/>
        <v>269.19999999999271</v>
      </c>
      <c r="BZ2734" s="16">
        <f t="shared" si="655"/>
        <v>1.6436375386937022E-28</v>
      </c>
      <c r="CA2734" s="16">
        <f t="shared" si="662"/>
        <v>-999</v>
      </c>
      <c r="CE2734" s="16" t="e">
        <f t="shared" si="656"/>
        <v>#N/A</v>
      </c>
      <c r="CF2734" s="16">
        <f t="shared" si="657"/>
        <v>99</v>
      </c>
      <c r="CG2734" s="16">
        <f t="shared" si="658"/>
        <v>0</v>
      </c>
      <c r="CH2734" s="16">
        <f t="shared" si="654"/>
        <v>0</v>
      </c>
      <c r="CJ2734" s="16" t="e">
        <f t="shared" si="659"/>
        <v>#N/A</v>
      </c>
      <c r="CK2734" s="16" t="str">
        <f t="shared" si="660"/>
        <v/>
      </c>
    </row>
    <row r="2735" spans="73:89" ht="12" customHeight="1">
      <c r="BU2735" s="16">
        <f t="shared" si="661"/>
        <v>0</v>
      </c>
      <c r="BV2735" s="16">
        <f>IF($BY$12=1,NORMDIST(BY2735,$Y$6,$Y$8,TRUE),IF($BY$12=2,IF(BY2735&lt;=$BX$31,0,IF(BY2735&gt;=$BX$32,1,(BY2735-$BX$31)*$BX$33)),SUM($BU$42:BU2735)/$BV$40))</f>
        <v>1</v>
      </c>
      <c r="BW2735" s="16">
        <f t="shared" si="652"/>
        <v>4.1902278457157532E-26</v>
      </c>
      <c r="BY2735" s="16">
        <f t="shared" si="653"/>
        <v>269.29999999999274</v>
      </c>
      <c r="BZ2735" s="16">
        <f t="shared" si="655"/>
        <v>1.5559702360623342E-28</v>
      </c>
      <c r="CA2735" s="16">
        <f t="shared" si="662"/>
        <v>-999</v>
      </c>
      <c r="CE2735" s="16" t="e">
        <f t="shared" si="656"/>
        <v>#N/A</v>
      </c>
      <c r="CF2735" s="16">
        <f t="shared" si="657"/>
        <v>99</v>
      </c>
      <c r="CG2735" s="16">
        <f t="shared" si="658"/>
        <v>0</v>
      </c>
      <c r="CH2735" s="16">
        <f t="shared" si="654"/>
        <v>0</v>
      </c>
      <c r="CJ2735" s="16" t="e">
        <f t="shared" si="659"/>
        <v>#N/A</v>
      </c>
      <c r="CK2735" s="16" t="str">
        <f t="shared" si="660"/>
        <v/>
      </c>
    </row>
    <row r="2736" spans="73:89" ht="12" customHeight="1">
      <c r="BU2736" s="16">
        <f t="shared" si="661"/>
        <v>0</v>
      </c>
      <c r="BV2736" s="16">
        <f>IF($BY$12=1,NORMDIST(BY2736,$Y$6,$Y$8,TRUE),IF($BY$12=2,IF(BY2736&lt;=$BX$31,0,IF(BY2736&gt;=$BX$32,1,(BY2736-$BX$31)*$BX$33)),SUM($BU$42:BU2736)/$BV$40))</f>
        <v>1</v>
      </c>
      <c r="BW2736" s="16">
        <f t="shared" si="652"/>
        <v>3.9681058900486978E-26</v>
      </c>
      <c r="BY2736" s="16">
        <f t="shared" si="653"/>
        <v>269.39999999999276</v>
      </c>
      <c r="BZ2736" s="16">
        <f t="shared" si="655"/>
        <v>1.4729420527278412E-28</v>
      </c>
      <c r="CA2736" s="16">
        <f t="shared" si="662"/>
        <v>-999</v>
      </c>
      <c r="CE2736" s="16" t="e">
        <f t="shared" si="656"/>
        <v>#N/A</v>
      </c>
      <c r="CF2736" s="16">
        <f t="shared" si="657"/>
        <v>99</v>
      </c>
      <c r="CG2736" s="16">
        <f t="shared" si="658"/>
        <v>0</v>
      </c>
      <c r="CH2736" s="16">
        <f t="shared" si="654"/>
        <v>0</v>
      </c>
      <c r="CJ2736" s="16" t="e">
        <f t="shared" si="659"/>
        <v>#N/A</v>
      </c>
      <c r="CK2736" s="16" t="str">
        <f t="shared" si="660"/>
        <v/>
      </c>
    </row>
    <row r="2737" spans="73:89" ht="12" customHeight="1">
      <c r="BU2737" s="16">
        <f t="shared" si="661"/>
        <v>0</v>
      </c>
      <c r="BV2737" s="16">
        <f>IF($BY$12=1,NORMDIST(BY2737,$Y$6,$Y$8,TRUE),IF($BY$12=2,IF(BY2737&lt;=$BX$31,0,IF(BY2737&gt;=$BX$32,1,(BY2737-$BX$31)*$BX$33)),SUM($BU$42:BU2737)/$BV$40))</f>
        <v>1</v>
      </c>
      <c r="BW2737" s="16">
        <f t="shared" si="652"/>
        <v>3.7576640515015289E-26</v>
      </c>
      <c r="BY2737" s="16">
        <f t="shared" si="653"/>
        <v>269.49999999999278</v>
      </c>
      <c r="BZ2737" s="16">
        <f t="shared" si="655"/>
        <v>1.3943094810766714E-28</v>
      </c>
      <c r="CA2737" s="16">
        <f t="shared" si="662"/>
        <v>-999</v>
      </c>
      <c r="CE2737" s="16" t="e">
        <f t="shared" si="656"/>
        <v>#N/A</v>
      </c>
      <c r="CF2737" s="16">
        <f t="shared" si="657"/>
        <v>99</v>
      </c>
      <c r="CG2737" s="16">
        <f t="shared" si="658"/>
        <v>0</v>
      </c>
      <c r="CH2737" s="16">
        <f t="shared" si="654"/>
        <v>0</v>
      </c>
      <c r="CJ2737" s="16" t="e">
        <f t="shared" si="659"/>
        <v>#N/A</v>
      </c>
      <c r="CK2737" s="16" t="str">
        <f t="shared" si="660"/>
        <v/>
      </c>
    </row>
    <row r="2738" spans="73:89" ht="12" customHeight="1">
      <c r="BU2738" s="16">
        <f t="shared" si="661"/>
        <v>0</v>
      </c>
      <c r="BV2738" s="16">
        <f>IF($BY$12=1,NORMDIST(BY2738,$Y$6,$Y$8,TRUE),IF($BY$12=2,IF(BY2738&lt;=$BX$31,0,IF(BY2738&gt;=$BX$32,1,(BY2738-$BX$31)*$BX$33)),SUM($BU$42:BU2738)/$BV$40))</f>
        <v>1</v>
      </c>
      <c r="BW2738" s="16">
        <f t="shared" si="652"/>
        <v>3.5582931944282469E-26</v>
      </c>
      <c r="BY2738" s="16">
        <f t="shared" si="653"/>
        <v>269.5999999999928</v>
      </c>
      <c r="BZ2738" s="16">
        <f t="shared" si="655"/>
        <v>1.3198416893280201E-28</v>
      </c>
      <c r="CA2738" s="16">
        <f t="shared" si="662"/>
        <v>-999</v>
      </c>
      <c r="CE2738" s="16" t="e">
        <f t="shared" si="656"/>
        <v>#N/A</v>
      </c>
      <c r="CF2738" s="16">
        <f t="shared" si="657"/>
        <v>99</v>
      </c>
      <c r="CG2738" s="16">
        <f t="shared" si="658"/>
        <v>0</v>
      </c>
      <c r="CH2738" s="16">
        <f t="shared" si="654"/>
        <v>0</v>
      </c>
      <c r="CJ2738" s="16" t="e">
        <f t="shared" si="659"/>
        <v>#N/A</v>
      </c>
      <c r="CK2738" s="16" t="str">
        <f t="shared" si="660"/>
        <v/>
      </c>
    </row>
    <row r="2739" spans="73:89" ht="12" customHeight="1">
      <c r="BU2739" s="16">
        <f t="shared" si="661"/>
        <v>0</v>
      </c>
      <c r="BV2739" s="16">
        <f>IF($BY$12=1,NORMDIST(BY2739,$Y$6,$Y$8,TRUE),IF($BY$12=2,IF(BY2739&lt;=$BX$31,0,IF(BY2739&gt;=$BX$32,1,(BY2739-$BX$31)*$BX$33)),SUM($BU$42:BU2739)/$BV$40))</f>
        <v>1</v>
      </c>
      <c r="BW2739" s="16">
        <f t="shared" si="652"/>
        <v>3.3694156821208853E-26</v>
      </c>
      <c r="BY2739" s="16">
        <f t="shared" si="653"/>
        <v>269.69999999999283</v>
      </c>
      <c r="BZ2739" s="16">
        <f t="shared" si="655"/>
        <v>1.2493198673047738E-28</v>
      </c>
      <c r="CA2739" s="16">
        <f t="shared" si="662"/>
        <v>-999</v>
      </c>
      <c r="CE2739" s="16" t="e">
        <f t="shared" si="656"/>
        <v>#N/A</v>
      </c>
      <c r="CF2739" s="16">
        <f t="shared" si="657"/>
        <v>99</v>
      </c>
      <c r="CG2739" s="16">
        <f t="shared" si="658"/>
        <v>0</v>
      </c>
      <c r="CH2739" s="16">
        <f t="shared" si="654"/>
        <v>0</v>
      </c>
      <c r="CJ2739" s="16" t="e">
        <f t="shared" si="659"/>
        <v>#N/A</v>
      </c>
      <c r="CK2739" s="16" t="str">
        <f t="shared" si="660"/>
        <v/>
      </c>
    </row>
    <row r="2740" spans="73:89" ht="12" customHeight="1">
      <c r="BU2740" s="16">
        <f t="shared" si="661"/>
        <v>0</v>
      </c>
      <c r="BV2740" s="16">
        <f>IF($BY$12=1,NORMDIST(BY2740,$Y$6,$Y$8,TRUE),IF($BY$12=2,IF(BY2740&lt;=$BX$31,0,IF(BY2740&gt;=$BX$32,1,(BY2740-$BX$31)*$BX$33)),SUM($BU$42:BU2740)/$BV$40))</f>
        <v>1</v>
      </c>
      <c r="BW2740" s="16">
        <f t="shared" si="652"/>
        <v>3.1904837621122217E-26</v>
      </c>
      <c r="BY2740" s="16">
        <f t="shared" si="653"/>
        <v>269.79999999999285</v>
      </c>
      <c r="BZ2740" s="16">
        <f t="shared" si="655"/>
        <v>1.1825366056754286E-28</v>
      </c>
      <c r="CA2740" s="16">
        <f t="shared" si="662"/>
        <v>-999</v>
      </c>
      <c r="CE2740" s="16" t="e">
        <f t="shared" si="656"/>
        <v>#N/A</v>
      </c>
      <c r="CF2740" s="16">
        <f t="shared" si="657"/>
        <v>99</v>
      </c>
      <c r="CG2740" s="16">
        <f t="shared" si="658"/>
        <v>0</v>
      </c>
      <c r="CH2740" s="16">
        <f t="shared" si="654"/>
        <v>0</v>
      </c>
      <c r="CJ2740" s="16" t="e">
        <f t="shared" si="659"/>
        <v>#N/A</v>
      </c>
      <c r="CK2740" s="16" t="str">
        <f t="shared" si="660"/>
        <v/>
      </c>
    </row>
    <row r="2741" spans="73:89" ht="12" customHeight="1">
      <c r="BU2741" s="16">
        <f t="shared" si="661"/>
        <v>0</v>
      </c>
      <c r="BV2741" s="16">
        <f>IF($BY$12=1,NORMDIST(BY2741,$Y$6,$Y$8,TRUE),IF($BY$12=2,IF(BY2741&lt;=$BX$31,0,IF(BY2741&gt;=$BX$32,1,(BY2741-$BX$31)*$BX$33)),SUM($BU$42:BU2741)/$BV$40))</f>
        <v>1</v>
      </c>
      <c r="BW2741" s="16">
        <f t="shared" si="652"/>
        <v>3.0209780335122878E-26</v>
      </c>
      <c r="BY2741" s="16">
        <f t="shared" si="653"/>
        <v>269.89999999999287</v>
      </c>
      <c r="BZ2741" s="16">
        <f t="shared" si="655"/>
        <v>1.119295306970125E-28</v>
      </c>
      <c r="CA2741" s="16">
        <f t="shared" si="662"/>
        <v>-999</v>
      </c>
      <c r="CE2741" s="16" t="e">
        <f t="shared" si="656"/>
        <v>#N/A</v>
      </c>
      <c r="CF2741" s="16">
        <f t="shared" si="657"/>
        <v>99</v>
      </c>
      <c r="CG2741" s="16">
        <f t="shared" si="658"/>
        <v>0</v>
      </c>
      <c r="CH2741" s="16">
        <f t="shared" si="654"/>
        <v>0</v>
      </c>
      <c r="CJ2741" s="16" t="e">
        <f t="shared" si="659"/>
        <v>#N/A</v>
      </c>
      <c r="CK2741" s="16" t="str">
        <f t="shared" si="660"/>
        <v/>
      </c>
    </row>
    <row r="2742" spans="73:89" ht="12" customHeight="1">
      <c r="BU2742" s="16">
        <f t="shared" si="661"/>
        <v>0</v>
      </c>
      <c r="BV2742" s="16">
        <f>IF($BY$12=1,NORMDIST(BY2742,$Y$6,$Y$8,TRUE),IF($BY$12=2,IF(BY2742&lt;=$BX$31,0,IF(BY2742&gt;=$BX$32,1,(BY2742-$BX$31)*$BX$33)),SUM($BU$42:BU2742)/$BV$40))</f>
        <v>1</v>
      </c>
      <c r="BW2742" s="16">
        <f t="shared" si="652"/>
        <v>2.8604059922487306E-26</v>
      </c>
      <c r="BY2742" s="16">
        <f t="shared" si="653"/>
        <v>269.99999999999289</v>
      </c>
      <c r="BZ2742" s="16">
        <f t="shared" si="655"/>
        <v>1.0594096267588169E-28</v>
      </c>
      <c r="CA2742" s="16">
        <f t="shared" si="662"/>
        <v>-999</v>
      </c>
      <c r="CE2742" s="16" t="e">
        <f t="shared" si="656"/>
        <v>#N/A</v>
      </c>
      <c r="CF2742" s="16">
        <f t="shared" si="657"/>
        <v>99</v>
      </c>
      <c r="CG2742" s="16">
        <f t="shared" si="658"/>
        <v>0</v>
      </c>
      <c r="CH2742" s="16">
        <f t="shared" si="654"/>
        <v>0</v>
      </c>
      <c r="CJ2742" s="16" t="e">
        <f t="shared" si="659"/>
        <v>#N/A</v>
      </c>
      <c r="CK2742" s="16" t="str">
        <f t="shared" si="660"/>
        <v/>
      </c>
    </row>
    <row r="2743" spans="73:89" ht="12" customHeight="1">
      <c r="BU2743" s="16">
        <f t="shared" si="661"/>
        <v>0</v>
      </c>
      <c r="BV2743" s="16">
        <f>IF($BY$12=1,NORMDIST(BY2743,$Y$6,$Y$8,TRUE),IF($BY$12=2,IF(BY2743&lt;=$BX$31,0,IF(BY2743&gt;=$BX$32,1,(BY2743-$BX$31)*$BX$33)),SUM($BU$42:BU2743)/$BV$40))</f>
        <v>1</v>
      </c>
      <c r="BW2743" s="16">
        <f t="shared" si="652"/>
        <v>2.7083006502881536E-26</v>
      </c>
      <c r="BY2743" s="16">
        <f t="shared" si="653"/>
        <v>270.09999999999292</v>
      </c>
      <c r="BZ2743" s="16">
        <f t="shared" si="655"/>
        <v>1.0027029434610235E-28</v>
      </c>
      <c r="CA2743" s="16">
        <f t="shared" si="662"/>
        <v>-999</v>
      </c>
      <c r="CE2743" s="16" t="e">
        <f t="shared" si="656"/>
        <v>#N/A</v>
      </c>
      <c r="CF2743" s="16">
        <f t="shared" si="657"/>
        <v>99</v>
      </c>
      <c r="CG2743" s="16">
        <f t="shared" si="658"/>
        <v>0</v>
      </c>
      <c r="CH2743" s="16">
        <f t="shared" si="654"/>
        <v>0</v>
      </c>
      <c r="CJ2743" s="16" t="e">
        <f t="shared" si="659"/>
        <v>#N/A</v>
      </c>
      <c r="CK2743" s="16" t="str">
        <f t="shared" si="660"/>
        <v/>
      </c>
    </row>
    <row r="2744" spans="73:89" ht="12" customHeight="1">
      <c r="BU2744" s="16">
        <f t="shared" si="661"/>
        <v>0</v>
      </c>
      <c r="BV2744" s="16">
        <f>IF($BY$12=1,NORMDIST(BY2744,$Y$6,$Y$8,TRUE),IF($BY$12=2,IF(BY2744&lt;=$BX$31,0,IF(BY2744&gt;=$BX$32,1,(BY2744-$BX$31)*$BX$33)),SUM($BU$42:BU2744)/$BV$40))</f>
        <v>1</v>
      </c>
      <c r="BW2744" s="16">
        <f t="shared" si="652"/>
        <v>2.5642192251103336E-26</v>
      </c>
      <c r="BY2744" s="16">
        <f t="shared" si="653"/>
        <v>270.19999999999294</v>
      </c>
      <c r="BZ2744" s="16">
        <f t="shared" si="655"/>
        <v>9.490078553332349E-29</v>
      </c>
      <c r="CA2744" s="16">
        <f t="shared" si="662"/>
        <v>-999</v>
      </c>
      <c r="CE2744" s="16" t="e">
        <f t="shared" si="656"/>
        <v>#N/A</v>
      </c>
      <c r="CF2744" s="16">
        <f t="shared" si="657"/>
        <v>99</v>
      </c>
      <c r="CG2744" s="16">
        <f t="shared" si="658"/>
        <v>0</v>
      </c>
      <c r="CH2744" s="16">
        <f t="shared" si="654"/>
        <v>0</v>
      </c>
      <c r="CJ2744" s="16" t="e">
        <f t="shared" si="659"/>
        <v>#N/A</v>
      </c>
      <c r="CK2744" s="16" t="str">
        <f t="shared" si="660"/>
        <v/>
      </c>
    </row>
    <row r="2745" spans="73:89" ht="12" customHeight="1">
      <c r="BU2745" s="16">
        <f t="shared" si="661"/>
        <v>0</v>
      </c>
      <c r="BV2745" s="16">
        <f>IF($BY$12=1,NORMDIST(BY2745,$Y$6,$Y$8,TRUE),IF($BY$12=2,IF(BY2745&lt;=$BX$31,0,IF(BY2745&gt;=$BX$32,1,(BY2745-$BX$31)*$BX$33)),SUM($BU$42:BU2745)/$BV$40))</f>
        <v>1</v>
      </c>
      <c r="BW2745" s="16">
        <f t="shared" si="652"/>
        <v>2.4277418958937974E-26</v>
      </c>
      <c r="BY2745" s="16">
        <f t="shared" si="653"/>
        <v>270.29999999999296</v>
      </c>
      <c r="BZ2745" s="16">
        <f t="shared" si="655"/>
        <v>8.981657032533706E-29</v>
      </c>
      <c r="CA2745" s="16">
        <f t="shared" si="662"/>
        <v>-999</v>
      </c>
      <c r="CE2745" s="16" t="e">
        <f t="shared" si="656"/>
        <v>#N/A</v>
      </c>
      <c r="CF2745" s="16">
        <f t="shared" si="657"/>
        <v>99</v>
      </c>
      <c r="CG2745" s="16">
        <f t="shared" si="658"/>
        <v>0</v>
      </c>
      <c r="CH2745" s="16">
        <f t="shared" si="654"/>
        <v>0</v>
      </c>
      <c r="CJ2745" s="16" t="e">
        <f t="shared" si="659"/>
        <v>#N/A</v>
      </c>
      <c r="CK2745" s="16" t="str">
        <f t="shared" si="660"/>
        <v/>
      </c>
    </row>
    <row r="2746" spans="73:89" ht="12" customHeight="1">
      <c r="BU2746" s="16">
        <f t="shared" si="661"/>
        <v>0</v>
      </c>
      <c r="BV2746" s="16">
        <f>IF($BY$12=1,NORMDIST(BY2746,$Y$6,$Y$8,TRUE),IF($BY$12=2,IF(BY2746&lt;=$BX$31,0,IF(BY2746&gt;=$BX$32,1,(BY2746-$BX$31)*$BX$33)),SUM($BU$42:BU2746)/$BV$40))</f>
        <v>1</v>
      </c>
      <c r="BW2746" s="16">
        <f t="shared" si="652"/>
        <v>2.2984706230477902E-26</v>
      </c>
      <c r="BY2746" s="16">
        <f t="shared" si="653"/>
        <v>270.39999999999299</v>
      </c>
      <c r="BZ2746" s="16">
        <f t="shared" si="655"/>
        <v>8.5002611799106869E-29</v>
      </c>
      <c r="CA2746" s="16">
        <f t="shared" si="662"/>
        <v>-999</v>
      </c>
      <c r="CE2746" s="16" t="e">
        <f t="shared" si="656"/>
        <v>#N/A</v>
      </c>
      <c r="CF2746" s="16">
        <f t="shared" si="657"/>
        <v>99</v>
      </c>
      <c r="CG2746" s="16">
        <f t="shared" si="658"/>
        <v>0</v>
      </c>
      <c r="CH2746" s="16">
        <f t="shared" si="654"/>
        <v>0</v>
      </c>
      <c r="CJ2746" s="16" t="e">
        <f t="shared" si="659"/>
        <v>#N/A</v>
      </c>
      <c r="CK2746" s="16" t="str">
        <f t="shared" si="660"/>
        <v/>
      </c>
    </row>
    <row r="2747" spans="73:89" ht="12" customHeight="1">
      <c r="BU2747" s="16">
        <f t="shared" si="661"/>
        <v>0</v>
      </c>
      <c r="BV2747" s="16">
        <f>IF($BY$12=1,NORMDIST(BY2747,$Y$6,$Y$8,TRUE),IF($BY$12=2,IF(BY2747&lt;=$BX$31,0,IF(BY2747&gt;=$BX$32,1,(BY2747-$BX$31)*$BX$33)),SUM($BU$42:BU2747)/$BV$40))</f>
        <v>1</v>
      </c>
      <c r="BW2747" s="16">
        <f t="shared" ref="BW2747:BW2810" si="663">BY2747*BZ2747</f>
        <v>2.1760280278943281E-26</v>
      </c>
      <c r="BY2747" s="16">
        <f t="shared" ref="BY2747:BY2810" si="664">BY2746+$BZ$1</f>
        <v>270.49999999999301</v>
      </c>
      <c r="BZ2747" s="16">
        <f t="shared" si="655"/>
        <v>8.0444659071881128E-29</v>
      </c>
      <c r="CA2747" s="16">
        <f t="shared" si="662"/>
        <v>-999</v>
      </c>
      <c r="CE2747" s="16" t="e">
        <f t="shared" si="656"/>
        <v>#N/A</v>
      </c>
      <c r="CF2747" s="16">
        <f t="shared" si="657"/>
        <v>99</v>
      </c>
      <c r="CG2747" s="16">
        <f t="shared" si="658"/>
        <v>0</v>
      </c>
      <c r="CH2747" s="16">
        <f t="shared" si="654"/>
        <v>0</v>
      </c>
      <c r="CJ2747" s="16" t="e">
        <f t="shared" si="659"/>
        <v>#N/A</v>
      </c>
      <c r="CK2747" s="16" t="str">
        <f t="shared" si="660"/>
        <v/>
      </c>
    </row>
    <row r="2748" spans="73:89" ht="12" customHeight="1">
      <c r="BU2748" s="16">
        <f t="shared" si="661"/>
        <v>0</v>
      </c>
      <c r="BV2748" s="16">
        <f>IF($BY$12=1,NORMDIST(BY2748,$Y$6,$Y$8,TRUE),IF($BY$12=2,IF(BY2748&lt;=$BX$31,0,IF(BY2748&gt;=$BX$32,1,(BY2748-$BX$31)*$BX$33)),SUM($BU$42:BU2748)/$BV$40))</f>
        <v>1</v>
      </c>
      <c r="BW2748" s="16">
        <f t="shared" si="663"/>
        <v>2.0600563294627484E-26</v>
      </c>
      <c r="BY2748" s="16">
        <f t="shared" si="664"/>
        <v>270.59999999999303</v>
      </c>
      <c r="BZ2748" s="16">
        <f t="shared" si="655"/>
        <v>7.6129206558122741E-29</v>
      </c>
      <c r="CA2748" s="16">
        <f t="shared" si="662"/>
        <v>-999</v>
      </c>
      <c r="CE2748" s="16" t="e">
        <f t="shared" si="656"/>
        <v>#N/A</v>
      </c>
      <c r="CF2748" s="16">
        <f t="shared" si="657"/>
        <v>99</v>
      </c>
      <c r="CG2748" s="16">
        <f t="shared" si="658"/>
        <v>0</v>
      </c>
      <c r="CH2748" s="16">
        <f t="shared" si="654"/>
        <v>0</v>
      </c>
      <c r="CJ2748" s="16" t="e">
        <f t="shared" si="659"/>
        <v>#N/A</v>
      </c>
      <c r="CK2748" s="16" t="str">
        <f t="shared" si="660"/>
        <v/>
      </c>
    </row>
    <row r="2749" spans="73:89" ht="12" customHeight="1">
      <c r="BU2749" s="16">
        <f t="shared" si="661"/>
        <v>0</v>
      </c>
      <c r="BV2749" s="16">
        <f>IF($BY$12=1,NORMDIST(BY2749,$Y$6,$Y$8,TRUE),IF($BY$12=2,IF(BY2749&lt;=$BX$31,0,IF(BY2749&gt;=$BX$32,1,(BY2749-$BX$31)*$BX$33)),SUM($BU$42:BU2749)/$BV$40))</f>
        <v>1</v>
      </c>
      <c r="BW2749" s="16">
        <f t="shared" si="663"/>
        <v>1.9502163355124917E-26</v>
      </c>
      <c r="BY2749" s="16">
        <f t="shared" si="664"/>
        <v>270.69999999999305</v>
      </c>
      <c r="BZ2749" s="16">
        <f t="shared" si="655"/>
        <v>7.2043455320005236E-29</v>
      </c>
      <c r="CA2749" s="16">
        <f t="shared" si="662"/>
        <v>-999</v>
      </c>
      <c r="CE2749" s="16" t="e">
        <f t="shared" si="656"/>
        <v>#N/A</v>
      </c>
      <c r="CF2749" s="16">
        <f t="shared" si="657"/>
        <v>99</v>
      </c>
      <c r="CG2749" s="16">
        <f t="shared" si="658"/>
        <v>0</v>
      </c>
      <c r="CH2749" s="16">
        <f t="shared" si="654"/>
        <v>0</v>
      </c>
      <c r="CJ2749" s="16" t="e">
        <f t="shared" si="659"/>
        <v>#N/A</v>
      </c>
      <c r="CK2749" s="16" t="str">
        <f t="shared" si="660"/>
        <v/>
      </c>
    </row>
    <row r="2750" spans="73:89" ht="12" customHeight="1">
      <c r="BU2750" s="16">
        <f t="shared" si="661"/>
        <v>0</v>
      </c>
      <c r="BV2750" s="16">
        <f>IF($BY$12=1,NORMDIST(BY2750,$Y$6,$Y$8,TRUE),IF($BY$12=2,IF(BY2750&lt;=$BX$31,0,IF(BY2750&gt;=$BX$32,1,(BY2750-$BX$31)*$BX$33)),SUM($BU$42:BU2750)/$BV$40))</f>
        <v>1</v>
      </c>
      <c r="BW2750" s="16">
        <f t="shared" si="663"/>
        <v>1.8461864850430301E-26</v>
      </c>
      <c r="BY2750" s="16">
        <f t="shared" si="664"/>
        <v>270.79999999999308</v>
      </c>
      <c r="BZ2750" s="16">
        <f t="shared" si="655"/>
        <v>6.8175276404840372E-29</v>
      </c>
      <c r="CA2750" s="16">
        <f t="shared" si="662"/>
        <v>-999</v>
      </c>
      <c r="CE2750" s="16" t="e">
        <f t="shared" si="656"/>
        <v>#N/A</v>
      </c>
      <c r="CF2750" s="16">
        <f t="shared" si="657"/>
        <v>99</v>
      </c>
      <c r="CG2750" s="16">
        <f t="shared" si="658"/>
        <v>0</v>
      </c>
      <c r="CH2750" s="16">
        <f t="shared" si="654"/>
        <v>0</v>
      </c>
      <c r="CJ2750" s="16" t="e">
        <f t="shared" si="659"/>
        <v>#N/A</v>
      </c>
      <c r="CK2750" s="16" t="str">
        <f t="shared" si="660"/>
        <v/>
      </c>
    </row>
    <row r="2751" spans="73:89" ht="12" customHeight="1">
      <c r="BU2751" s="16">
        <f t="shared" si="661"/>
        <v>0</v>
      </c>
      <c r="BV2751" s="16">
        <f>IF($BY$12=1,NORMDIST(BY2751,$Y$6,$Y$8,TRUE),IF($BY$12=2,IF(BY2751&lt;=$BX$31,0,IF(BY2751&gt;=$BX$32,1,(BY2751-$BX$31)*$BX$33)),SUM($BU$42:BU2751)/$BV$40))</f>
        <v>1</v>
      </c>
      <c r="BW2751" s="16">
        <f t="shared" si="663"/>
        <v>1.7476619396875085E-26</v>
      </c>
      <c r="BY2751" s="16">
        <f t="shared" si="664"/>
        <v>270.8999999999931</v>
      </c>
      <c r="BZ2751" s="16">
        <f t="shared" si="655"/>
        <v>6.4513176068200556E-29</v>
      </c>
      <c r="CA2751" s="16">
        <f t="shared" si="662"/>
        <v>-999</v>
      </c>
      <c r="CE2751" s="16" t="e">
        <f t="shared" si="656"/>
        <v>#N/A</v>
      </c>
      <c r="CF2751" s="16">
        <f t="shared" si="657"/>
        <v>99</v>
      </c>
      <c r="CG2751" s="16">
        <f t="shared" si="658"/>
        <v>0</v>
      </c>
      <c r="CH2751" s="16">
        <f t="shared" si="654"/>
        <v>0</v>
      </c>
      <c r="CJ2751" s="16" t="e">
        <f t="shared" si="659"/>
        <v>#N/A</v>
      </c>
      <c r="CK2751" s="16" t="str">
        <f t="shared" si="660"/>
        <v/>
      </c>
    </row>
    <row r="2752" spans="73:89" ht="12" customHeight="1">
      <c r="BU2752" s="16">
        <f t="shared" si="661"/>
        <v>0</v>
      </c>
      <c r="BV2752" s="16">
        <f>IF($BY$12=1,NORMDIST(BY2752,$Y$6,$Y$8,TRUE),IF($BY$12=2,IF(BY2752&lt;=$BX$31,0,IF(BY2752&gt;=$BX$32,1,(BY2752-$BX$31)*$BX$33)),SUM($BU$42:BU2752)/$BV$40))</f>
        <v>1</v>
      </c>
      <c r="BW2752" s="16">
        <f t="shared" si="663"/>
        <v>1.6543537215172334E-26</v>
      </c>
      <c r="BY2752" s="16">
        <f t="shared" si="664"/>
        <v>270.99999999999312</v>
      </c>
      <c r="BZ2752" s="16">
        <f t="shared" si="655"/>
        <v>6.1046262786615331E-29</v>
      </c>
      <c r="CA2752" s="16">
        <f t="shared" si="662"/>
        <v>-999</v>
      </c>
      <c r="CE2752" s="16" t="e">
        <f t="shared" si="656"/>
        <v>#N/A</v>
      </c>
      <c r="CF2752" s="16">
        <f t="shared" si="657"/>
        <v>99</v>
      </c>
      <c r="CG2752" s="16">
        <f t="shared" si="658"/>
        <v>0</v>
      </c>
      <c r="CH2752" s="16">
        <f t="shared" si="654"/>
        <v>0</v>
      </c>
      <c r="CJ2752" s="16" t="e">
        <f t="shared" si="659"/>
        <v>#N/A</v>
      </c>
      <c r="CK2752" s="16" t="str">
        <f t="shared" si="660"/>
        <v/>
      </c>
    </row>
    <row r="2753" spans="73:89" ht="12" customHeight="1">
      <c r="BU2753" s="16">
        <f t="shared" si="661"/>
        <v>0</v>
      </c>
      <c r="BV2753" s="16">
        <f>IF($BY$12=1,NORMDIST(BY2753,$Y$6,$Y$8,TRUE),IF($BY$12=2,IF(BY2753&lt;=$BX$31,0,IF(BY2753&gt;=$BX$32,1,(BY2753-$BX$31)*$BX$33)),SUM($BU$42:BU2753)/$BV$40))</f>
        <v>1</v>
      </c>
      <c r="BW2753" s="16">
        <f t="shared" si="663"/>
        <v>1.5659878949079729E-26</v>
      </c>
      <c r="BY2753" s="16">
        <f t="shared" si="664"/>
        <v>271.09999999999314</v>
      </c>
      <c r="BZ2753" s="16">
        <f t="shared" si="655"/>
        <v>5.7764215968572943E-29</v>
      </c>
      <c r="CA2753" s="16">
        <f t="shared" si="662"/>
        <v>-999</v>
      </c>
      <c r="CE2753" s="16" t="e">
        <f t="shared" si="656"/>
        <v>#N/A</v>
      </c>
      <c r="CF2753" s="16">
        <f t="shared" si="657"/>
        <v>99</v>
      </c>
      <c r="CG2753" s="16">
        <f t="shared" si="658"/>
        <v>0</v>
      </c>
      <c r="CH2753" s="16">
        <f t="shared" si="654"/>
        <v>0</v>
      </c>
      <c r="CJ2753" s="16" t="e">
        <f t="shared" si="659"/>
        <v>#N/A</v>
      </c>
      <c r="CK2753" s="16" t="str">
        <f t="shared" si="660"/>
        <v/>
      </c>
    </row>
    <row r="2754" spans="73:89" ht="12" customHeight="1">
      <c r="BU2754" s="16">
        <f t="shared" si="661"/>
        <v>0</v>
      </c>
      <c r="BV2754" s="16">
        <f>IF($BY$12=1,NORMDIST(BY2754,$Y$6,$Y$8,TRUE),IF($BY$12=2,IF(BY2754&lt;=$BX$31,0,IF(BY2754&gt;=$BX$32,1,(BY2754-$BX$31)*$BX$33)),SUM($BU$42:BU2754)/$BV$40))</f>
        <v>1</v>
      </c>
      <c r="BW2754" s="16">
        <f t="shared" si="663"/>
        <v>1.482304790236351E-26</v>
      </c>
      <c r="BY2754" s="16">
        <f t="shared" si="664"/>
        <v>271.19999999999317</v>
      </c>
      <c r="BZ2754" s="16">
        <f t="shared" si="655"/>
        <v>5.4657256277152965E-29</v>
      </c>
      <c r="CA2754" s="16">
        <f t="shared" si="662"/>
        <v>-999</v>
      </c>
      <c r="CE2754" s="16" t="e">
        <f t="shared" si="656"/>
        <v>#N/A</v>
      </c>
      <c r="CF2754" s="16">
        <f t="shared" si="657"/>
        <v>99</v>
      </c>
      <c r="CG2754" s="16">
        <f t="shared" si="658"/>
        <v>0</v>
      </c>
      <c r="CH2754" s="16">
        <f t="shared" si="654"/>
        <v>0</v>
      </c>
      <c r="CJ2754" s="16" t="e">
        <f t="shared" si="659"/>
        <v>#N/A</v>
      </c>
      <c r="CK2754" s="16" t="str">
        <f t="shared" si="660"/>
        <v/>
      </c>
    </row>
    <row r="2755" spans="73:89" ht="12" customHeight="1">
      <c r="BU2755" s="16">
        <f t="shared" si="661"/>
        <v>0</v>
      </c>
      <c r="BV2755" s="16">
        <f>IF($BY$12=1,NORMDIST(BY2755,$Y$6,$Y$8,TRUE),IF($BY$12=2,IF(BY2755&lt;=$BX$31,0,IF(BY2755&gt;=$BX$32,1,(BY2755-$BX$31)*$BX$33)),SUM($BU$42:BU2755)/$BV$40))</f>
        <v>1</v>
      </c>
      <c r="BW2755" s="16">
        <f t="shared" si="663"/>
        <v>1.403058267287575E-26</v>
      </c>
      <c r="BY2755" s="16">
        <f t="shared" si="664"/>
        <v>271.29999999999319</v>
      </c>
      <c r="BZ2755" s="16">
        <f t="shared" si="655"/>
        <v>5.1716117482035027E-29</v>
      </c>
      <c r="CA2755" s="16">
        <f t="shared" si="662"/>
        <v>-999</v>
      </c>
      <c r="CE2755" s="16" t="e">
        <f t="shared" si="656"/>
        <v>#N/A</v>
      </c>
      <c r="CF2755" s="16">
        <f t="shared" si="657"/>
        <v>99</v>
      </c>
      <c r="CG2755" s="16">
        <f t="shared" si="658"/>
        <v>0</v>
      </c>
      <c r="CH2755" s="16">
        <f t="shared" ref="CH2755:CH2818" si="665">IF(CB2755="",0,1)</f>
        <v>0</v>
      </c>
      <c r="CJ2755" s="16" t="e">
        <f t="shared" si="659"/>
        <v>#N/A</v>
      </c>
      <c r="CK2755" s="16" t="str">
        <f t="shared" si="660"/>
        <v/>
      </c>
    </row>
    <row r="2756" spans="73:89" ht="12" customHeight="1">
      <c r="BU2756" s="16">
        <f t="shared" si="661"/>
        <v>0</v>
      </c>
      <c r="BV2756" s="16">
        <f>IF($BY$12=1,NORMDIST(BY2756,$Y$6,$Y$8,TRUE),IF($BY$12=2,IF(BY2756&lt;=$BX$31,0,IF(BY2756&gt;=$BX$32,1,(BY2756-$BX$31)*$BX$33)),SUM($BU$42:BU2756)/$BV$40))</f>
        <v>1</v>
      </c>
      <c r="BW2756" s="16">
        <f t="shared" si="663"/>
        <v>1.328015016360949E-26</v>
      </c>
      <c r="BY2756" s="16">
        <f t="shared" si="664"/>
        <v>271.39999999999321</v>
      </c>
      <c r="BZ2756" s="16">
        <f t="shared" si="655"/>
        <v>4.8932019762748049E-29</v>
      </c>
      <c r="CA2756" s="16">
        <f t="shared" si="662"/>
        <v>-999</v>
      </c>
      <c r="CE2756" s="16" t="e">
        <f t="shared" si="656"/>
        <v>#N/A</v>
      </c>
      <c r="CF2756" s="16">
        <f t="shared" si="657"/>
        <v>99</v>
      </c>
      <c r="CG2756" s="16">
        <f t="shared" si="658"/>
        <v>0</v>
      </c>
      <c r="CH2756" s="16">
        <f t="shared" si="665"/>
        <v>0</v>
      </c>
      <c r="CJ2756" s="16" t="e">
        <f t="shared" si="659"/>
        <v>#N/A</v>
      </c>
      <c r="CK2756" s="16" t="str">
        <f t="shared" si="660"/>
        <v/>
      </c>
    </row>
    <row r="2757" spans="73:89" ht="12" customHeight="1">
      <c r="BU2757" s="16">
        <f t="shared" si="661"/>
        <v>0</v>
      </c>
      <c r="BV2757" s="16">
        <f>IF($BY$12=1,NORMDIST(BY2757,$Y$6,$Y$8,TRUE),IF($BY$12=2,IF(BY2757&lt;=$BX$31,0,IF(BY2757&gt;=$BX$32,1,(BY2757-$BX$31)*$BX$33)),SUM($BU$42:BU2757)/$BV$40))</f>
        <v>1</v>
      </c>
      <c r="BW2757" s="16">
        <f t="shared" si="663"/>
        <v>1.2569538951616948E-26</v>
      </c>
      <c r="BY2757" s="16">
        <f t="shared" si="664"/>
        <v>271.49999999999324</v>
      </c>
      <c r="BZ2757" s="16">
        <f t="shared" si="655"/>
        <v>4.6296644389013852E-29</v>
      </c>
      <c r="CA2757" s="16">
        <f t="shared" si="662"/>
        <v>-999</v>
      </c>
      <c r="CE2757" s="16" t="e">
        <f t="shared" si="656"/>
        <v>#N/A</v>
      </c>
      <c r="CF2757" s="16">
        <f t="shared" si="657"/>
        <v>99</v>
      </c>
      <c r="CG2757" s="16">
        <f t="shared" si="658"/>
        <v>0</v>
      </c>
      <c r="CH2757" s="16">
        <f t="shared" si="665"/>
        <v>0</v>
      </c>
      <c r="CJ2757" s="16" t="e">
        <f t="shared" si="659"/>
        <v>#N/A</v>
      </c>
      <c r="CK2757" s="16" t="str">
        <f t="shared" si="660"/>
        <v/>
      </c>
    </row>
    <row r="2758" spans="73:89" ht="12" customHeight="1">
      <c r="BU2758" s="16">
        <f t="shared" si="661"/>
        <v>0</v>
      </c>
      <c r="BV2758" s="16">
        <f>IF($BY$12=1,NORMDIST(BY2758,$Y$6,$Y$8,TRUE),IF($BY$12=2,IF(BY2758&lt;=$BX$31,0,IF(BY2758&gt;=$BX$32,1,(BY2758-$BX$31)*$BX$33)),SUM($BU$42:BU2758)/$BV$40))</f>
        <v>1</v>
      </c>
      <c r="BW2758" s="16">
        <f t="shared" si="663"/>
        <v>1.1896652996629593E-26</v>
      </c>
      <c r="BY2758" s="16">
        <f t="shared" si="664"/>
        <v>271.59999999999326</v>
      </c>
      <c r="BZ2758" s="16">
        <f t="shared" si="655"/>
        <v>4.3802109707768367E-29</v>
      </c>
      <c r="CA2758" s="16">
        <f t="shared" si="662"/>
        <v>-999</v>
      </c>
      <c r="CE2758" s="16" t="e">
        <f t="shared" si="656"/>
        <v>#N/A</v>
      </c>
      <c r="CF2758" s="16">
        <f t="shared" si="657"/>
        <v>99</v>
      </c>
      <c r="CG2758" s="16">
        <f t="shared" si="658"/>
        <v>0</v>
      </c>
      <c r="CH2758" s="16">
        <f t="shared" si="665"/>
        <v>0</v>
      </c>
      <c r="CJ2758" s="16" t="e">
        <f t="shared" si="659"/>
        <v>#N/A</v>
      </c>
      <c r="CK2758" s="16" t="str">
        <f t="shared" si="660"/>
        <v/>
      </c>
    </row>
    <row r="2759" spans="73:89" ht="12" customHeight="1">
      <c r="BU2759" s="16">
        <f t="shared" si="661"/>
        <v>0</v>
      </c>
      <c r="BV2759" s="16">
        <f>IF($BY$12=1,NORMDIST(BY2759,$Y$6,$Y$8,TRUE),IF($BY$12=2,IF(BY2759&lt;=$BX$31,0,IF(BY2759&gt;=$BX$32,1,(BY2759-$BX$31)*$BX$33)),SUM($BU$42:BU2759)/$BV$40))</f>
        <v>1</v>
      </c>
      <c r="BW2759" s="16">
        <f t="shared" si="663"/>
        <v>1.1259505672135655E-26</v>
      </c>
      <c r="BY2759" s="16">
        <f t="shared" si="664"/>
        <v>271.69999999999328</v>
      </c>
      <c r="BZ2759" s="16">
        <f t="shared" si="655"/>
        <v>4.1440948370025517E-29</v>
      </c>
      <c r="CA2759" s="16">
        <f t="shared" si="662"/>
        <v>-999</v>
      </c>
      <c r="CE2759" s="16" t="e">
        <f t="shared" si="656"/>
        <v>#N/A</v>
      </c>
      <c r="CF2759" s="16">
        <f t="shared" si="657"/>
        <v>99</v>
      </c>
      <c r="CG2759" s="16">
        <f t="shared" si="658"/>
        <v>0</v>
      </c>
      <c r="CH2759" s="16">
        <f t="shared" si="665"/>
        <v>0</v>
      </c>
      <c r="CJ2759" s="16" t="e">
        <f t="shared" si="659"/>
        <v>#N/A</v>
      </c>
      <c r="CK2759" s="16" t="str">
        <f t="shared" si="660"/>
        <v/>
      </c>
    </row>
    <row r="2760" spans="73:89" ht="12" customHeight="1">
      <c r="BU2760" s="16">
        <f t="shared" si="661"/>
        <v>0</v>
      </c>
      <c r="BV2760" s="16">
        <f>IF($BY$12=1,NORMDIST(BY2760,$Y$6,$Y$8,TRUE),IF($BY$12=2,IF(BY2760&lt;=$BX$31,0,IF(BY2760&gt;=$BX$32,1,(BY2760-$BX$31)*$BX$33)),SUM($BU$42:BU2760)/$BV$40))</f>
        <v>1</v>
      </c>
      <c r="BW2760" s="16">
        <f t="shared" si="663"/>
        <v>1.0656214102537708E-26</v>
      </c>
      <c r="BY2760" s="16">
        <f t="shared" si="664"/>
        <v>271.7999999999933</v>
      </c>
      <c r="BZ2760" s="16">
        <f t="shared" si="655"/>
        <v>3.9206085734135289E-29</v>
      </c>
      <c r="CA2760" s="16">
        <f t="shared" si="662"/>
        <v>-999</v>
      </c>
      <c r="CE2760" s="16" t="e">
        <f t="shared" si="656"/>
        <v>#N/A</v>
      </c>
      <c r="CF2760" s="16">
        <f t="shared" si="657"/>
        <v>99</v>
      </c>
      <c r="CG2760" s="16">
        <f t="shared" si="658"/>
        <v>0</v>
      </c>
      <c r="CH2760" s="16">
        <f t="shared" si="665"/>
        <v>0</v>
      </c>
      <c r="CJ2760" s="16" t="e">
        <f t="shared" si="659"/>
        <v>#N/A</v>
      </c>
      <c r="CK2760" s="16" t="str">
        <f t="shared" si="660"/>
        <v/>
      </c>
    </row>
    <row r="2761" spans="73:89" ht="12" customHeight="1">
      <c r="BU2761" s="16">
        <f t="shared" si="661"/>
        <v>0</v>
      </c>
      <c r="BV2761" s="16">
        <f>IF($BY$12=1,NORMDIST(BY2761,$Y$6,$Y$8,TRUE),IF($BY$12=2,IF(BY2761&lt;=$BX$31,0,IF(BY2761&gt;=$BX$32,1,(BY2761-$BX$31)*$BX$33)),SUM($BU$42:BU2761)/$BV$40))</f>
        <v>1</v>
      </c>
      <c r="BW2761" s="16">
        <f t="shared" si="663"/>
        <v>1.0084993790833795E-26</v>
      </c>
      <c r="BY2761" s="16">
        <f t="shared" si="664"/>
        <v>271.89999999999333</v>
      </c>
      <c r="BZ2761" s="16">
        <f t="shared" si="655"/>
        <v>3.7090819385193242E-29</v>
      </c>
      <c r="CA2761" s="16">
        <f t="shared" si="662"/>
        <v>-999</v>
      </c>
      <c r="CE2761" s="16" t="e">
        <f t="shared" si="656"/>
        <v>#N/A</v>
      </c>
      <c r="CF2761" s="16">
        <f t="shared" si="657"/>
        <v>99</v>
      </c>
      <c r="CG2761" s="16">
        <f t="shared" si="658"/>
        <v>0</v>
      </c>
      <c r="CH2761" s="16">
        <f t="shared" si="665"/>
        <v>0</v>
      </c>
      <c r="CJ2761" s="16" t="e">
        <f t="shared" si="659"/>
        <v>#N/A</v>
      </c>
      <c r="CK2761" s="16" t="str">
        <f t="shared" si="660"/>
        <v/>
      </c>
    </row>
    <row r="2762" spans="73:89" ht="12" customHeight="1">
      <c r="BU2762" s="16">
        <f t="shared" si="661"/>
        <v>0</v>
      </c>
      <c r="BV2762" s="16">
        <f>IF($BY$12=1,NORMDIST(BY2762,$Y$6,$Y$8,TRUE),IF($BY$12=2,IF(BY2762&lt;=$BX$31,0,IF(BY2762&gt;=$BX$32,1,(BY2762-$BX$31)*$BX$33)),SUM($BU$42:BU2762)/$BV$40))</f>
        <v>1</v>
      </c>
      <c r="BW2762" s="16">
        <f t="shared" si="663"/>
        <v>9.544153522054341E-27</v>
      </c>
      <c r="BY2762" s="16">
        <f t="shared" si="664"/>
        <v>271.99999999999335</v>
      </c>
      <c r="BZ2762" s="16">
        <f t="shared" si="655"/>
        <v>3.5088799713435935E-29</v>
      </c>
      <c r="CA2762" s="16">
        <f t="shared" si="662"/>
        <v>-999</v>
      </c>
      <c r="CE2762" s="16" t="e">
        <f t="shared" si="656"/>
        <v>#N/A</v>
      </c>
      <c r="CF2762" s="16">
        <f t="shared" si="657"/>
        <v>99</v>
      </c>
      <c r="CG2762" s="16">
        <f t="shared" si="658"/>
        <v>0</v>
      </c>
      <c r="CH2762" s="16">
        <f t="shared" si="665"/>
        <v>0</v>
      </c>
      <c r="CJ2762" s="16" t="e">
        <f t="shared" si="659"/>
        <v>#N/A</v>
      </c>
      <c r="CK2762" s="16" t="str">
        <f t="shared" si="660"/>
        <v/>
      </c>
    </row>
    <row r="2763" spans="73:89" ht="12" customHeight="1">
      <c r="BU2763" s="16">
        <f t="shared" si="661"/>
        <v>0</v>
      </c>
      <c r="BV2763" s="16">
        <f>IF($BY$12=1,NORMDIST(BY2763,$Y$6,$Y$8,TRUE),IF($BY$12=2,IF(BY2763&lt;=$BX$31,0,IF(BY2763&gt;=$BX$32,1,(BY2763-$BX$31)*$BX$33)),SUM($BU$42:BU2763)/$BV$40))</f>
        <v>1</v>
      </c>
      <c r="BW2763" s="16">
        <f t="shared" si="663"/>
        <v>9.0320905284250821E-27</v>
      </c>
      <c r="BY2763" s="16">
        <f t="shared" si="664"/>
        <v>272.09999999999337</v>
      </c>
      <c r="BZ2763" s="16">
        <f t="shared" si="655"/>
        <v>3.3194011497336651E-29</v>
      </c>
      <c r="CA2763" s="16">
        <f t="shared" si="662"/>
        <v>-999</v>
      </c>
      <c r="CE2763" s="16" t="e">
        <f t="shared" si="656"/>
        <v>#N/A</v>
      </c>
      <c r="CF2763" s="16">
        <f t="shared" si="657"/>
        <v>99</v>
      </c>
      <c r="CG2763" s="16">
        <f t="shared" si="658"/>
        <v>0</v>
      </c>
      <c r="CH2763" s="16">
        <f t="shared" si="665"/>
        <v>0</v>
      </c>
      <c r="CJ2763" s="16" t="e">
        <f t="shared" si="659"/>
        <v>#N/A</v>
      </c>
      <c r="CK2763" s="16" t="str">
        <f t="shared" si="660"/>
        <v/>
      </c>
    </row>
    <row r="2764" spans="73:89" ht="12" customHeight="1">
      <c r="BU2764" s="16">
        <f t="shared" si="661"/>
        <v>0</v>
      </c>
      <c r="BV2764" s="16">
        <f>IF($BY$12=1,NORMDIST(BY2764,$Y$6,$Y$8,TRUE),IF($BY$12=2,IF(BY2764&lt;=$BX$31,0,IF(BY2764&gt;=$BX$32,1,(BY2764-$BX$31)*$BX$33)),SUM($BU$42:BU2764)/$BV$40))</f>
        <v>1</v>
      </c>
      <c r="BW2764" s="16">
        <f t="shared" si="663"/>
        <v>8.5472859029377074E-27</v>
      </c>
      <c r="BY2764" s="16">
        <f t="shared" si="664"/>
        <v>272.19999999999339</v>
      </c>
      <c r="BZ2764" s="16">
        <f t="shared" si="655"/>
        <v>3.1400756439889475E-29</v>
      </c>
      <c r="CA2764" s="16">
        <f t="shared" si="662"/>
        <v>-999</v>
      </c>
      <c r="CE2764" s="16" t="e">
        <f t="shared" si="656"/>
        <v>#N/A</v>
      </c>
      <c r="CF2764" s="16">
        <f t="shared" si="657"/>
        <v>99</v>
      </c>
      <c r="CG2764" s="16">
        <f t="shared" si="658"/>
        <v>0</v>
      </c>
      <c r="CH2764" s="16">
        <f t="shared" si="665"/>
        <v>0</v>
      </c>
      <c r="CJ2764" s="16" t="e">
        <f t="shared" si="659"/>
        <v>#N/A</v>
      </c>
      <c r="CK2764" s="16" t="str">
        <f t="shared" si="660"/>
        <v/>
      </c>
    </row>
    <row r="2765" spans="73:89" ht="12" customHeight="1">
      <c r="BU2765" s="16">
        <f t="shared" si="661"/>
        <v>0</v>
      </c>
      <c r="BV2765" s="16">
        <f>IF($BY$12=1,NORMDIST(BY2765,$Y$6,$Y$8,TRUE),IF($BY$12=2,IF(BY2765&lt;=$BX$31,0,IF(BY2765&gt;=$BX$32,1,(BY2765-$BX$31)*$BX$33)),SUM($BU$42:BU2765)/$BV$40))</f>
        <v>1</v>
      </c>
      <c r="BW2765" s="16">
        <f t="shared" si="663"/>
        <v>8.0883002486788745E-27</v>
      </c>
      <c r="BY2765" s="16">
        <f t="shared" si="664"/>
        <v>272.29999999999342</v>
      </c>
      <c r="BZ2765" s="16">
        <f t="shared" si="655"/>
        <v>2.9703636609177637E-29</v>
      </c>
      <c r="CA2765" s="16">
        <f t="shared" si="662"/>
        <v>-999</v>
      </c>
      <c r="CE2765" s="16" t="e">
        <f t="shared" si="656"/>
        <v>#N/A</v>
      </c>
      <c r="CF2765" s="16">
        <f t="shared" si="657"/>
        <v>99</v>
      </c>
      <c r="CG2765" s="16">
        <f t="shared" si="658"/>
        <v>0</v>
      </c>
      <c r="CH2765" s="16">
        <f t="shared" si="665"/>
        <v>0</v>
      </c>
      <c r="CJ2765" s="16" t="e">
        <f t="shared" si="659"/>
        <v>#N/A</v>
      </c>
      <c r="CK2765" s="16" t="str">
        <f t="shared" si="660"/>
        <v/>
      </c>
    </row>
    <row r="2766" spans="73:89" ht="12" customHeight="1">
      <c r="BU2766" s="16">
        <f t="shared" si="661"/>
        <v>0</v>
      </c>
      <c r="BV2766" s="16">
        <f>IF($BY$12=1,NORMDIST(BY2766,$Y$6,$Y$8,TRUE),IF($BY$12=2,IF(BY2766&lt;=$BX$31,0,IF(BY2766&gt;=$BX$32,1,(BY2766-$BX$31)*$BX$33)),SUM($BU$42:BU2766)/$BV$40))</f>
        <v>1</v>
      </c>
      <c r="BW2766" s="16">
        <f t="shared" si="663"/>
        <v>7.6537695519083866E-27</v>
      </c>
      <c r="BY2766" s="16">
        <f t="shared" si="664"/>
        <v>272.39999999999344</v>
      </c>
      <c r="BZ2766" s="16">
        <f t="shared" si="655"/>
        <v>2.8097538736815603E-29</v>
      </c>
      <c r="CA2766" s="16">
        <f t="shared" si="662"/>
        <v>-999</v>
      </c>
      <c r="CE2766" s="16" t="e">
        <f t="shared" si="656"/>
        <v>#N/A</v>
      </c>
      <c r="CF2766" s="16">
        <f t="shared" si="657"/>
        <v>99</v>
      </c>
      <c r="CG2766" s="16">
        <f t="shared" si="658"/>
        <v>0</v>
      </c>
      <c r="CH2766" s="16">
        <f t="shared" si="665"/>
        <v>0</v>
      </c>
      <c r="CJ2766" s="16" t="e">
        <f t="shared" si="659"/>
        <v>#N/A</v>
      </c>
      <c r="CK2766" s="16" t="str">
        <f t="shared" si="660"/>
        <v/>
      </c>
    </row>
    <row r="2767" spans="73:89" ht="12" customHeight="1">
      <c r="BU2767" s="16">
        <f t="shared" si="661"/>
        <v>0</v>
      </c>
      <c r="BV2767" s="16">
        <f>IF($BY$12=1,NORMDIST(BY2767,$Y$6,$Y$8,TRUE),IF($BY$12=2,IF(BY2767&lt;=$BX$31,0,IF(BY2767&gt;=$BX$32,1,(BY2767-$BX$31)*$BX$33)),SUM($BU$42:BU2767)/$BV$40))</f>
        <v>1</v>
      </c>
      <c r="BW2767" s="16">
        <f t="shared" si="663"/>
        <v>7.2424012674808672E-27</v>
      </c>
      <c r="BY2767" s="16">
        <f t="shared" si="664"/>
        <v>272.49999999999346</v>
      </c>
      <c r="BZ2767" s="16">
        <f t="shared" si="655"/>
        <v>2.6577619330205652E-29</v>
      </c>
      <c r="CA2767" s="16">
        <f t="shared" si="662"/>
        <v>-999</v>
      </c>
      <c r="CE2767" s="16" t="e">
        <f t="shared" si="656"/>
        <v>#N/A</v>
      </c>
      <c r="CF2767" s="16">
        <f t="shared" si="657"/>
        <v>99</v>
      </c>
      <c r="CG2767" s="16">
        <f t="shared" si="658"/>
        <v>0</v>
      </c>
      <c r="CH2767" s="16">
        <f t="shared" si="665"/>
        <v>0</v>
      </c>
      <c r="CJ2767" s="16" t="e">
        <f t="shared" si="659"/>
        <v>#N/A</v>
      </c>
      <c r="CK2767" s="16" t="str">
        <f t="shared" si="660"/>
        <v/>
      </c>
    </row>
    <row r="2768" spans="73:89" ht="12" customHeight="1">
      <c r="BU2768" s="16">
        <f t="shared" si="661"/>
        <v>0</v>
      </c>
      <c r="BV2768" s="16">
        <f>IF($BY$12=1,NORMDIST(BY2768,$Y$6,$Y$8,TRUE),IF($BY$12=2,IF(BY2768&lt;=$BX$31,0,IF(BY2768&gt;=$BX$32,1,(BY2768-$BX$31)*$BX$33)),SUM($BU$42:BU2768)/$BV$40))</f>
        <v>1</v>
      </c>
      <c r="BW2768" s="16">
        <f t="shared" si="663"/>
        <v>6.852970605784265E-27</v>
      </c>
      <c r="BY2768" s="16">
        <f t="shared" si="664"/>
        <v>272.59999999999349</v>
      </c>
      <c r="BZ2768" s="16">
        <f t="shared" si="655"/>
        <v>2.5139290556802746E-29</v>
      </c>
      <c r="CA2768" s="16">
        <f t="shared" si="662"/>
        <v>-999</v>
      </c>
      <c r="CE2768" s="16" t="e">
        <f t="shared" si="656"/>
        <v>#N/A</v>
      </c>
      <c r="CF2768" s="16">
        <f t="shared" si="657"/>
        <v>99</v>
      </c>
      <c r="CG2768" s="16">
        <f t="shared" si="658"/>
        <v>0</v>
      </c>
      <c r="CH2768" s="16">
        <f t="shared" si="665"/>
        <v>0</v>
      </c>
      <c r="CJ2768" s="16" t="e">
        <f t="shared" si="659"/>
        <v>#N/A</v>
      </c>
      <c r="CK2768" s="16" t="str">
        <f t="shared" si="660"/>
        <v/>
      </c>
    </row>
    <row r="2769" spans="73:89" ht="12" customHeight="1">
      <c r="BU2769" s="16">
        <f t="shared" si="661"/>
        <v>0</v>
      </c>
      <c r="BV2769" s="16">
        <f>IF($BY$12=1,NORMDIST(BY2769,$Y$6,$Y$8,TRUE),IF($BY$12=2,IF(BY2769&lt;=$BX$31,0,IF(BY2769&gt;=$BX$32,1,(BY2769-$BX$31)*$BX$33)),SUM($BU$42:BU2769)/$BV$40))</f>
        <v>1</v>
      </c>
      <c r="BW2769" s="16">
        <f t="shared" si="663"/>
        <v>6.4843170109130739E-27</v>
      </c>
      <c r="BY2769" s="16">
        <f t="shared" si="664"/>
        <v>272.69999999999351</v>
      </c>
      <c r="BZ2769" s="16">
        <f t="shared" si="655"/>
        <v>2.3778206860701241E-29</v>
      </c>
      <c r="CA2769" s="16">
        <f t="shared" si="662"/>
        <v>-999</v>
      </c>
      <c r="CE2769" s="16" t="e">
        <f t="shared" si="656"/>
        <v>#N/A</v>
      </c>
      <c r="CF2769" s="16">
        <f t="shared" si="657"/>
        <v>99</v>
      </c>
      <c r="CG2769" s="16">
        <f t="shared" si="658"/>
        <v>0</v>
      </c>
      <c r="CH2769" s="16">
        <f t="shared" si="665"/>
        <v>0</v>
      </c>
      <c r="CJ2769" s="16" t="e">
        <f t="shared" si="659"/>
        <v>#N/A</v>
      </c>
      <c r="CK2769" s="16" t="str">
        <f t="shared" si="660"/>
        <v/>
      </c>
    </row>
    <row r="2770" spans="73:89" ht="12" customHeight="1">
      <c r="BU2770" s="16">
        <f t="shared" si="661"/>
        <v>0</v>
      </c>
      <c r="BV2770" s="16">
        <f>IF($BY$12=1,NORMDIST(BY2770,$Y$6,$Y$8,TRUE),IF($BY$12=2,IF(BY2770&lt;=$BX$31,0,IF(BY2770&gt;=$BX$32,1,(BY2770-$BX$31)*$BX$33)),SUM($BU$42:BU2770)/$BV$40))</f>
        <v>1</v>
      </c>
      <c r="BW2770" s="16">
        <f t="shared" si="663"/>
        <v>6.1353408203152454E-27</v>
      </c>
      <c r="BY2770" s="16">
        <f t="shared" si="664"/>
        <v>272.79999999999353</v>
      </c>
      <c r="BZ2770" s="16">
        <f t="shared" si="655"/>
        <v>2.2490252273883398E-29</v>
      </c>
      <c r="CA2770" s="16">
        <f t="shared" si="662"/>
        <v>-999</v>
      </c>
      <c r="CE2770" s="16" t="e">
        <f t="shared" si="656"/>
        <v>#N/A</v>
      </c>
      <c r="CF2770" s="16">
        <f t="shared" si="657"/>
        <v>99</v>
      </c>
      <c r="CG2770" s="16">
        <f t="shared" si="658"/>
        <v>0</v>
      </c>
      <c r="CH2770" s="16">
        <f t="shared" si="665"/>
        <v>0</v>
      </c>
      <c r="CJ2770" s="16" t="e">
        <f t="shared" si="659"/>
        <v>#N/A</v>
      </c>
      <c r="CK2770" s="16" t="str">
        <f t="shared" si="660"/>
        <v/>
      </c>
    </row>
    <row r="2771" spans="73:89" ht="12" customHeight="1">
      <c r="BU2771" s="16">
        <f t="shared" si="661"/>
        <v>0</v>
      </c>
      <c r="BV2771" s="16">
        <f>IF($BY$12=1,NORMDIST(BY2771,$Y$6,$Y$8,TRUE),IF($BY$12=2,IF(BY2771&lt;=$BX$31,0,IF(BY2771&gt;=$BX$32,1,(BY2771-$BX$31)*$BX$33)),SUM($BU$42:BU2771)/$BV$40))</f>
        <v>1</v>
      </c>
      <c r="BW2771" s="16">
        <f t="shared" si="663"/>
        <v>5.805000096644945E-27</v>
      </c>
      <c r="BY2771" s="16">
        <f t="shared" si="664"/>
        <v>272.89999999999355</v>
      </c>
      <c r="BZ2771" s="16">
        <f t="shared" si="655"/>
        <v>2.1271528386387255E-29</v>
      </c>
      <c r="CA2771" s="16">
        <f t="shared" si="662"/>
        <v>-999</v>
      </c>
      <c r="CE2771" s="16" t="e">
        <f t="shared" si="656"/>
        <v>#N/A</v>
      </c>
      <c r="CF2771" s="16">
        <f t="shared" si="657"/>
        <v>99</v>
      </c>
      <c r="CG2771" s="16">
        <f t="shared" si="658"/>
        <v>0</v>
      </c>
      <c r="CH2771" s="16">
        <f t="shared" si="665"/>
        <v>0</v>
      </c>
      <c r="CJ2771" s="16" t="e">
        <f t="shared" si="659"/>
        <v>#N/A</v>
      </c>
      <c r="CK2771" s="16" t="str">
        <f t="shared" si="660"/>
        <v/>
      </c>
    </row>
    <row r="2772" spans="73:89" ht="12" customHeight="1">
      <c r="BU2772" s="16">
        <f t="shared" si="661"/>
        <v>0</v>
      </c>
      <c r="BV2772" s="16">
        <f>IF($BY$12=1,NORMDIST(BY2772,$Y$6,$Y$8,TRUE),IF($BY$12=2,IF(BY2772&lt;=$BX$31,0,IF(BY2772&gt;=$BX$32,1,(BY2772-$BX$31)*$BX$33)),SUM($BU$42:BU2772)/$BV$40))</f>
        <v>1</v>
      </c>
      <c r="BW2772" s="16">
        <f t="shared" si="663"/>
        <v>5.4923076230227233E-27</v>
      </c>
      <c r="BY2772" s="16">
        <f t="shared" si="664"/>
        <v>272.99999999999358</v>
      </c>
      <c r="BZ2772" s="16">
        <f t="shared" si="655"/>
        <v>2.011834294147565E-29</v>
      </c>
      <c r="CA2772" s="16">
        <f t="shared" si="662"/>
        <v>-999</v>
      </c>
      <c r="CE2772" s="16" t="e">
        <f t="shared" si="656"/>
        <v>#N/A</v>
      </c>
      <c r="CF2772" s="16">
        <f t="shared" si="657"/>
        <v>99</v>
      </c>
      <c r="CG2772" s="16">
        <f t="shared" si="658"/>
        <v>0</v>
      </c>
      <c r="CH2772" s="16">
        <f t="shared" si="665"/>
        <v>0</v>
      </c>
      <c r="CJ2772" s="16" t="e">
        <f t="shared" si="659"/>
        <v>#N/A</v>
      </c>
      <c r="CK2772" s="16" t="str">
        <f t="shared" si="660"/>
        <v/>
      </c>
    </row>
    <row r="2773" spans="73:89" ht="12" customHeight="1">
      <c r="BU2773" s="16">
        <f t="shared" si="661"/>
        <v>0</v>
      </c>
      <c r="BV2773" s="16">
        <f>IF($BY$12=1,NORMDIST(BY2773,$Y$6,$Y$8,TRUE),IF($BY$12=2,IF(BY2773&lt;=$BX$31,0,IF(BY2773&gt;=$BX$32,1,(BY2773-$BX$31)*$BX$33)),SUM($BU$42:BU2773)/$BV$40))</f>
        <v>1</v>
      </c>
      <c r="BW2773" s="16">
        <f t="shared" si="663"/>
        <v>5.1963280533486928E-27</v>
      </c>
      <c r="BY2773" s="16">
        <f t="shared" si="664"/>
        <v>273.0999999999936</v>
      </c>
      <c r="BZ2773" s="16">
        <f t="shared" si="655"/>
        <v>1.9027199023613382E-29</v>
      </c>
      <c r="CA2773" s="16">
        <f t="shared" si="662"/>
        <v>-999</v>
      </c>
      <c r="CE2773" s="16" t="e">
        <f t="shared" si="656"/>
        <v>#N/A</v>
      </c>
      <c r="CF2773" s="16">
        <f t="shared" si="657"/>
        <v>99</v>
      </c>
      <c r="CG2773" s="16">
        <f t="shared" si="658"/>
        <v>0</v>
      </c>
      <c r="CH2773" s="16">
        <f t="shared" si="665"/>
        <v>0</v>
      </c>
      <c r="CJ2773" s="16" t="e">
        <f t="shared" si="659"/>
        <v>#N/A</v>
      </c>
      <c r="CK2773" s="16" t="str">
        <f t="shared" si="660"/>
        <v/>
      </c>
    </row>
    <row r="2774" spans="73:89" ht="12" customHeight="1">
      <c r="BU2774" s="16">
        <f t="shared" si="661"/>
        <v>0</v>
      </c>
      <c r="BV2774" s="16">
        <f>IF($BY$12=1,NORMDIST(BY2774,$Y$6,$Y$8,TRUE),IF($BY$12=2,IF(BY2774&lt;=$BX$31,0,IF(BY2774&gt;=$BX$32,1,(BY2774-$BX$31)*$BX$33)),SUM($BU$42:BU2774)/$BV$40))</f>
        <v>1</v>
      </c>
      <c r="BW2774" s="16">
        <f t="shared" si="663"/>
        <v>4.9161752097405076E-27</v>
      </c>
      <c r="BY2774" s="16">
        <f t="shared" si="664"/>
        <v>273.19999999999362</v>
      </c>
      <c r="BZ2774" s="16">
        <f t="shared" si="655"/>
        <v>1.7994784808713844E-29</v>
      </c>
      <c r="CA2774" s="16">
        <f t="shared" si="662"/>
        <v>-999</v>
      </c>
      <c r="CE2774" s="16" t="e">
        <f t="shared" si="656"/>
        <v>#N/A</v>
      </c>
      <c r="CF2774" s="16">
        <f t="shared" si="657"/>
        <v>99</v>
      </c>
      <c r="CG2774" s="16">
        <f t="shared" si="658"/>
        <v>0</v>
      </c>
      <c r="CH2774" s="16">
        <f t="shared" si="665"/>
        <v>0</v>
      </c>
      <c r="CJ2774" s="16" t="e">
        <f t="shared" si="659"/>
        <v>#N/A</v>
      </c>
      <c r="CK2774" s="16" t="str">
        <f t="shared" si="660"/>
        <v/>
      </c>
    </row>
    <row r="2775" spans="73:89" ht="12" customHeight="1">
      <c r="BU2775" s="16">
        <f t="shared" si="661"/>
        <v>0</v>
      </c>
      <c r="BV2775" s="16">
        <f>IF($BY$12=1,NORMDIST(BY2775,$Y$6,$Y$8,TRUE),IF($BY$12=2,IF(BY2775&lt;=$BX$31,0,IF(BY2775&gt;=$BX$32,1,(BY2775-$BX$31)*$BX$33)),SUM($BU$42:BU2775)/$BV$40))</f>
        <v>1</v>
      </c>
      <c r="BW2775" s="16">
        <f t="shared" si="663"/>
        <v>4.6510095195656435E-27</v>
      </c>
      <c r="BY2775" s="16">
        <f t="shared" si="664"/>
        <v>273.29999999999364</v>
      </c>
      <c r="BZ2775" s="16">
        <f t="shared" si="655"/>
        <v>1.7017963847661002E-29</v>
      </c>
      <c r="CA2775" s="16">
        <f t="shared" si="662"/>
        <v>-999</v>
      </c>
      <c r="CE2775" s="16" t="e">
        <f t="shared" si="656"/>
        <v>#N/A</v>
      </c>
      <c r="CF2775" s="16">
        <f t="shared" si="657"/>
        <v>99</v>
      </c>
      <c r="CG2775" s="16">
        <f t="shared" si="658"/>
        <v>0</v>
      </c>
      <c r="CH2775" s="16">
        <f t="shared" si="665"/>
        <v>0</v>
      </c>
      <c r="CJ2775" s="16" t="e">
        <f t="shared" si="659"/>
        <v>#N/A</v>
      </c>
      <c r="CK2775" s="16" t="str">
        <f t="shared" si="660"/>
        <v/>
      </c>
    </row>
    <row r="2776" spans="73:89" ht="12" customHeight="1">
      <c r="BU2776" s="16">
        <f t="shared" si="661"/>
        <v>0</v>
      </c>
      <c r="BV2776" s="16">
        <f>IF($BY$12=1,NORMDIST(BY2776,$Y$6,$Y$8,TRUE),IF($BY$12=2,IF(BY2776&lt;=$BX$31,0,IF(BY2776&gt;=$BX$32,1,(BY2776-$BX$31)*$BX$33)),SUM($BU$42:BU2776)/$BV$40))</f>
        <v>1</v>
      </c>
      <c r="BW2776" s="16">
        <f t="shared" si="663"/>
        <v>4.4000355849226534E-27</v>
      </c>
      <c r="BY2776" s="16">
        <f t="shared" si="664"/>
        <v>273.39999999999367</v>
      </c>
      <c r="BZ2776" s="16">
        <f t="shared" si="655"/>
        <v>1.6093765855606273E-29</v>
      </c>
      <c r="CA2776" s="16">
        <f t="shared" si="662"/>
        <v>-999</v>
      </c>
      <c r="CE2776" s="16" t="e">
        <f t="shared" si="656"/>
        <v>#N/A</v>
      </c>
      <c r="CF2776" s="16">
        <f t="shared" si="657"/>
        <v>99</v>
      </c>
      <c r="CG2776" s="16">
        <f t="shared" si="658"/>
        <v>0</v>
      </c>
      <c r="CH2776" s="16">
        <f t="shared" si="665"/>
        <v>0</v>
      </c>
      <c r="CJ2776" s="16" t="e">
        <f t="shared" si="659"/>
        <v>#N/A</v>
      </c>
      <c r="CK2776" s="16" t="str">
        <f t="shared" si="660"/>
        <v/>
      </c>
    </row>
    <row r="2777" spans="73:89" ht="12" customHeight="1">
      <c r="BU2777" s="16">
        <f t="shared" si="661"/>
        <v>0</v>
      </c>
      <c r="BV2777" s="16">
        <f>IF($BY$12=1,NORMDIST(BY2777,$Y$6,$Y$8,TRUE),IF($BY$12=2,IF(BY2777&lt;=$BX$31,0,IF(BY2777&gt;=$BX$32,1,(BY2777-$BX$31)*$BX$33)),SUM($BU$42:BU2777)/$BV$40))</f>
        <v>1</v>
      </c>
      <c r="BW2777" s="16">
        <f t="shared" si="663"/>
        <v>4.1624998777871172E-27</v>
      </c>
      <c r="BY2777" s="16">
        <f t="shared" si="664"/>
        <v>273.49999999999369</v>
      </c>
      <c r="BZ2777" s="16">
        <f t="shared" si="655"/>
        <v>1.521937798094045E-29</v>
      </c>
      <c r="CA2777" s="16">
        <f t="shared" si="662"/>
        <v>-999</v>
      </c>
      <c r="CE2777" s="16" t="e">
        <f t="shared" si="656"/>
        <v>#N/A</v>
      </c>
      <c r="CF2777" s="16">
        <f t="shared" si="657"/>
        <v>99</v>
      </c>
      <c r="CG2777" s="16">
        <f t="shared" si="658"/>
        <v>0</v>
      </c>
      <c r="CH2777" s="16">
        <f t="shared" si="665"/>
        <v>0</v>
      </c>
      <c r="CJ2777" s="16" t="e">
        <f t="shared" si="659"/>
        <v>#N/A</v>
      </c>
      <c r="CK2777" s="16" t="str">
        <f t="shared" si="660"/>
        <v/>
      </c>
    </row>
    <row r="2778" spans="73:89" ht="12" customHeight="1">
      <c r="BU2778" s="16">
        <f t="shared" si="661"/>
        <v>0</v>
      </c>
      <c r="BV2778" s="16">
        <f>IF($BY$12=1,NORMDIST(BY2778,$Y$6,$Y$8,TRUE),IF($BY$12=2,IF(BY2778&lt;=$BX$31,0,IF(BY2778&gt;=$BX$32,1,(BY2778-$BX$31)*$BX$33)),SUM($BU$42:BU2778)/$BV$40))</f>
        <v>1</v>
      </c>
      <c r="BW2778" s="16">
        <f t="shared" si="663"/>
        <v>3.9376885543822432E-27</v>
      </c>
      <c r="BY2778" s="16">
        <f t="shared" si="664"/>
        <v>273.59999999999371</v>
      </c>
      <c r="BZ2778" s="16">
        <f t="shared" si="655"/>
        <v>1.4392136529175196E-29</v>
      </c>
      <c r="CA2778" s="16">
        <f t="shared" si="662"/>
        <v>-999</v>
      </c>
      <c r="CE2778" s="16" t="e">
        <f t="shared" si="656"/>
        <v>#N/A</v>
      </c>
      <c r="CF2778" s="16">
        <f t="shared" si="657"/>
        <v>99</v>
      </c>
      <c r="CG2778" s="16">
        <f t="shared" si="658"/>
        <v>0</v>
      </c>
      <c r="CH2778" s="16">
        <f t="shared" si="665"/>
        <v>0</v>
      </c>
      <c r="CJ2778" s="16" t="e">
        <f t="shared" si="659"/>
        <v>#N/A</v>
      </c>
      <c r="CK2778" s="16" t="str">
        <f t="shared" si="660"/>
        <v/>
      </c>
    </row>
    <row r="2779" spans="73:89" ht="12" customHeight="1">
      <c r="BU2779" s="16">
        <f t="shared" si="661"/>
        <v>0</v>
      </c>
      <c r="BV2779" s="16">
        <f>IF($BY$12=1,NORMDIST(BY2779,$Y$6,$Y$8,TRUE),IF($BY$12=2,IF(BY2779&lt;=$BX$31,0,IF(BY2779&gt;=$BX$32,1,(BY2779-$BX$31)*$BX$33)),SUM($BU$42:BU2779)/$BV$40))</f>
        <v>1</v>
      </c>
      <c r="BW2779" s="16">
        <f t="shared" si="663"/>
        <v>3.7249253826617578E-27</v>
      </c>
      <c r="BY2779" s="16">
        <f t="shared" si="664"/>
        <v>273.69999999999374</v>
      </c>
      <c r="BZ2779" s="16">
        <f t="shared" si="655"/>
        <v>1.3609519118238373E-29</v>
      </c>
      <c r="CA2779" s="16">
        <f t="shared" si="662"/>
        <v>-999</v>
      </c>
      <c r="CE2779" s="16" t="e">
        <f t="shared" si="656"/>
        <v>#N/A</v>
      </c>
      <c r="CF2779" s="16">
        <f t="shared" si="657"/>
        <v>99</v>
      </c>
      <c r="CG2779" s="16">
        <f t="shared" si="658"/>
        <v>0</v>
      </c>
      <c r="CH2779" s="16">
        <f t="shared" si="665"/>
        <v>0</v>
      </c>
      <c r="CJ2779" s="16" t="e">
        <f t="shared" si="659"/>
        <v>#N/A</v>
      </c>
      <c r="CK2779" s="16" t="str">
        <f t="shared" si="660"/>
        <v/>
      </c>
    </row>
    <row r="2780" spans="73:89" ht="12" customHeight="1">
      <c r="BU2780" s="16">
        <f t="shared" si="661"/>
        <v>0</v>
      </c>
      <c r="BV2780" s="16">
        <f>IF($BY$12=1,NORMDIST(BY2780,$Y$6,$Y$8,TRUE),IF($BY$12=2,IF(BY2780&lt;=$BX$31,0,IF(BY2780&gt;=$BX$32,1,(BY2780-$BX$31)*$BX$33)),SUM($BU$42:BU2780)/$BV$40))</f>
        <v>1</v>
      </c>
      <c r="BW2780" s="16">
        <f t="shared" si="663"/>
        <v>3.5235697771020658E-27</v>
      </c>
      <c r="BY2780" s="16">
        <f t="shared" si="664"/>
        <v>273.79999999999376</v>
      </c>
      <c r="BZ2780" s="16">
        <f t="shared" si="655"/>
        <v>1.286913724288585E-29</v>
      </c>
      <c r="CA2780" s="16">
        <f t="shared" si="662"/>
        <v>-999</v>
      </c>
      <c r="CE2780" s="16" t="e">
        <f t="shared" si="656"/>
        <v>#N/A</v>
      </c>
      <c r="CF2780" s="16">
        <f t="shared" si="657"/>
        <v>99</v>
      </c>
      <c r="CG2780" s="16">
        <f t="shared" si="658"/>
        <v>0</v>
      </c>
      <c r="CH2780" s="16">
        <f t="shared" si="665"/>
        <v>0</v>
      </c>
      <c r="CJ2780" s="16" t="e">
        <f t="shared" si="659"/>
        <v>#N/A</v>
      </c>
      <c r="CK2780" s="16" t="str">
        <f t="shared" si="660"/>
        <v/>
      </c>
    </row>
    <row r="2781" spans="73:89" ht="12" customHeight="1">
      <c r="BU2781" s="16">
        <f t="shared" si="661"/>
        <v>0</v>
      </c>
      <c r="BV2781" s="16">
        <f>IF($BY$12=1,NORMDIST(BY2781,$Y$6,$Y$8,TRUE),IF($BY$12=2,IF(BY2781&lt;=$BX$31,0,IF(BY2781&gt;=$BX$32,1,(BY2781-$BX$31)*$BX$33)),SUM($BU$42:BU2781)/$BV$40))</f>
        <v>1</v>
      </c>
      <c r="BW2781" s="16">
        <f t="shared" si="663"/>
        <v>3.333014935297987E-27</v>
      </c>
      <c r="BY2781" s="16">
        <f t="shared" si="664"/>
        <v>273.89999999999378</v>
      </c>
      <c r="BZ2781" s="16">
        <f t="shared" si="655"/>
        <v>1.2168729227083106E-29</v>
      </c>
      <c r="CA2781" s="16">
        <f t="shared" si="662"/>
        <v>-999</v>
      </c>
      <c r="CE2781" s="16" t="e">
        <f t="shared" si="656"/>
        <v>#N/A</v>
      </c>
      <c r="CF2781" s="16">
        <f t="shared" si="657"/>
        <v>99</v>
      </c>
      <c r="CG2781" s="16">
        <f t="shared" si="658"/>
        <v>0</v>
      </c>
      <c r="CH2781" s="16">
        <f t="shared" si="665"/>
        <v>0</v>
      </c>
      <c r="CJ2781" s="16" t="e">
        <f t="shared" si="659"/>
        <v>#N/A</v>
      </c>
      <c r="CK2781" s="16" t="str">
        <f t="shared" si="660"/>
        <v/>
      </c>
    </row>
    <row r="2782" spans="73:89" ht="12" customHeight="1">
      <c r="BU2782" s="16">
        <f t="shared" si="661"/>
        <v>0</v>
      </c>
      <c r="BV2782" s="16">
        <f>IF($BY$12=1,NORMDIST(BY2782,$Y$6,$Y$8,TRUE),IF($BY$12=2,IF(BY2782&lt;=$BX$31,0,IF(BY2782&gt;=$BX$32,1,(BY2782-$BX$31)*$BX$33)),SUM($BU$42:BU2782)/$BV$40))</f>
        <v>1</v>
      </c>
      <c r="BW2782" s="16">
        <f t="shared" si="663"/>
        <v>3.1526860711328328E-27</v>
      </c>
      <c r="BY2782" s="16">
        <f t="shared" si="664"/>
        <v>273.9999999999938</v>
      </c>
      <c r="BZ2782" s="16">
        <f t="shared" si="655"/>
        <v>1.1506153544280672E-29</v>
      </c>
      <c r="CA2782" s="16">
        <f t="shared" si="662"/>
        <v>-999</v>
      </c>
      <c r="CE2782" s="16" t="e">
        <f t="shared" si="656"/>
        <v>#N/A</v>
      </c>
      <c r="CF2782" s="16">
        <f t="shared" si="657"/>
        <v>99</v>
      </c>
      <c r="CG2782" s="16">
        <f t="shared" si="658"/>
        <v>0</v>
      </c>
      <c r="CH2782" s="16">
        <f t="shared" si="665"/>
        <v>0</v>
      </c>
      <c r="CJ2782" s="16" t="e">
        <f t="shared" si="659"/>
        <v>#N/A</v>
      </c>
      <c r="CK2782" s="16" t="str">
        <f t="shared" si="660"/>
        <v/>
      </c>
    </row>
    <row r="2783" spans="73:89" ht="12" customHeight="1">
      <c r="BU2783" s="16">
        <f t="shared" si="661"/>
        <v>0</v>
      </c>
      <c r="BV2783" s="16">
        <f>IF($BY$12=1,NORMDIST(BY2783,$Y$6,$Y$8,TRUE),IF($BY$12=2,IF(BY2783&lt;=$BX$31,0,IF(BY2783&gt;=$BX$32,1,(BY2783-$BX$31)*$BX$33)),SUM($BU$42:BU2783)/$BV$40))</f>
        <v>1</v>
      </c>
      <c r="BW2783" s="16">
        <f t="shared" si="663"/>
        <v>2.982038739563332E-27</v>
      </c>
      <c r="BY2783" s="16">
        <f t="shared" si="664"/>
        <v>274.09999999999383</v>
      </c>
      <c r="BZ2783" s="16">
        <f t="shared" si="655"/>
        <v>1.0879382486550161E-29</v>
      </c>
      <c r="CA2783" s="16">
        <f t="shared" si="662"/>
        <v>-999</v>
      </c>
      <c r="CE2783" s="16" t="e">
        <f t="shared" si="656"/>
        <v>#N/A</v>
      </c>
      <c r="CF2783" s="16">
        <f t="shared" si="657"/>
        <v>99</v>
      </c>
      <c r="CG2783" s="16">
        <f t="shared" si="658"/>
        <v>0</v>
      </c>
      <c r="CH2783" s="16">
        <f t="shared" si="665"/>
        <v>0</v>
      </c>
      <c r="CJ2783" s="16" t="e">
        <f t="shared" si="659"/>
        <v>#N/A</v>
      </c>
      <c r="CK2783" s="16" t="str">
        <f t="shared" si="660"/>
        <v/>
      </c>
    </row>
    <row r="2784" spans="73:89" ht="12" customHeight="1">
      <c r="BU2784" s="16">
        <f t="shared" si="661"/>
        <v>0</v>
      </c>
      <c r="BV2784" s="16">
        <f>IF($BY$12=1,NORMDIST(BY2784,$Y$6,$Y$8,TRUE),IF($BY$12=2,IF(BY2784&lt;=$BX$31,0,IF(BY2784&gt;=$BX$32,1,(BY2784-$BX$31)*$BX$33)),SUM($BU$42:BU2784)/$BV$40))</f>
        <v>1</v>
      </c>
      <c r="BW2784" s="16">
        <f t="shared" si="663"/>
        <v>2.8205572483098678E-27</v>
      </c>
      <c r="BY2784" s="16">
        <f t="shared" si="664"/>
        <v>274.19999999999385</v>
      </c>
      <c r="BZ2784" s="16">
        <f t="shared" si="655"/>
        <v>1.0286496164514702E-29</v>
      </c>
      <c r="CA2784" s="16">
        <f t="shared" si="662"/>
        <v>-999</v>
      </c>
      <c r="CE2784" s="16" t="e">
        <f t="shared" si="656"/>
        <v>#N/A</v>
      </c>
      <c r="CF2784" s="16">
        <f t="shared" si="657"/>
        <v>99</v>
      </c>
      <c r="CG2784" s="16">
        <f t="shared" si="658"/>
        <v>0</v>
      </c>
      <c r="CH2784" s="16">
        <f t="shared" si="665"/>
        <v>0</v>
      </c>
      <c r="CJ2784" s="16" t="e">
        <f t="shared" si="659"/>
        <v>#N/A</v>
      </c>
      <c r="CK2784" s="16" t="str">
        <f t="shared" si="660"/>
        <v/>
      </c>
    </row>
    <row r="2785" spans="73:89" ht="12" customHeight="1">
      <c r="BU2785" s="16">
        <f t="shared" si="661"/>
        <v>0</v>
      </c>
      <c r="BV2785" s="16">
        <f>IF($BY$12=1,NORMDIST(BY2785,$Y$6,$Y$8,TRUE),IF($BY$12=2,IF(BY2785&lt;=$BX$31,0,IF(BY2785&gt;=$BX$32,1,(BY2785-$BX$31)*$BX$33)),SUM($BU$42:BU2785)/$BV$40))</f>
        <v>1</v>
      </c>
      <c r="BW2785" s="16">
        <f t="shared" si="663"/>
        <v>2.6677531519831902E-27</v>
      </c>
      <c r="BY2785" s="16">
        <f t="shared" si="664"/>
        <v>274.29999999999387</v>
      </c>
      <c r="BZ2785" s="16">
        <f t="shared" si="655"/>
        <v>9.7256768209378407E-30</v>
      </c>
      <c r="CA2785" s="16">
        <f t="shared" si="662"/>
        <v>-999</v>
      </c>
      <c r="CE2785" s="16" t="e">
        <f t="shared" si="656"/>
        <v>#N/A</v>
      </c>
      <c r="CF2785" s="16">
        <f t="shared" si="657"/>
        <v>99</v>
      </c>
      <c r="CG2785" s="16">
        <f t="shared" si="658"/>
        <v>0</v>
      </c>
      <c r="CH2785" s="16">
        <f t="shared" si="665"/>
        <v>0</v>
      </c>
      <c r="CJ2785" s="16" t="e">
        <f t="shared" si="659"/>
        <v>#N/A</v>
      </c>
      <c r="CK2785" s="16" t="str">
        <f t="shared" si="660"/>
        <v/>
      </c>
    </row>
    <row r="2786" spans="73:89" ht="12" customHeight="1">
      <c r="BU2786" s="16">
        <f t="shared" si="661"/>
        <v>0</v>
      </c>
      <c r="BV2786" s="16">
        <f>IF($BY$12=1,NORMDIST(BY2786,$Y$6,$Y$8,TRUE),IF($BY$12=2,IF(BY2786&lt;=$BX$31,0,IF(BY2786&gt;=$BX$32,1,(BY2786-$BX$31)*$BX$33)),SUM($BU$42:BU2786)/$BV$40))</f>
        <v>1</v>
      </c>
      <c r="BW2786" s="16">
        <f t="shared" si="663"/>
        <v>2.5231638244068572E-27</v>
      </c>
      <c r="BY2786" s="16">
        <f t="shared" si="664"/>
        <v>274.3999999999939</v>
      </c>
      <c r="BZ2786" s="16">
        <f t="shared" si="655"/>
        <v>9.1952034417161568E-30</v>
      </c>
      <c r="CA2786" s="16">
        <f t="shared" si="662"/>
        <v>-999</v>
      </c>
      <c r="CE2786" s="16" t="e">
        <f t="shared" si="656"/>
        <v>#N/A</v>
      </c>
      <c r="CF2786" s="16">
        <f t="shared" si="657"/>
        <v>99</v>
      </c>
      <c r="CG2786" s="16">
        <f t="shared" si="658"/>
        <v>0</v>
      </c>
      <c r="CH2786" s="16">
        <f t="shared" si="665"/>
        <v>0</v>
      </c>
      <c r="CJ2786" s="16" t="e">
        <f t="shared" si="659"/>
        <v>#N/A</v>
      </c>
      <c r="CK2786" s="16" t="str">
        <f t="shared" si="660"/>
        <v/>
      </c>
    </row>
    <row r="2787" spans="73:89" ht="12" customHeight="1">
      <c r="BU2787" s="16">
        <f t="shared" si="661"/>
        <v>0</v>
      </c>
      <c r="BV2787" s="16">
        <f>IF($BY$12=1,NORMDIST(BY2787,$Y$6,$Y$8,TRUE),IF($BY$12=2,IF(BY2787&lt;=$BX$31,0,IF(BY2787&gt;=$BX$32,1,(BY2787-$BX$31)*$BX$33)),SUM($BU$42:BU2787)/$BV$40))</f>
        <v>1</v>
      </c>
      <c r="BW2787" s="16">
        <f t="shared" si="663"/>
        <v>2.3863511051101647E-27</v>
      </c>
      <c r="BY2787" s="16">
        <f t="shared" si="664"/>
        <v>274.49999999999392</v>
      </c>
      <c r="BZ2787" s="16">
        <f t="shared" si="655"/>
        <v>8.6934466488532514E-30</v>
      </c>
      <c r="CA2787" s="16">
        <f t="shared" si="662"/>
        <v>-999</v>
      </c>
      <c r="CE2787" s="16" t="e">
        <f t="shared" si="656"/>
        <v>#N/A</v>
      </c>
      <c r="CF2787" s="16">
        <f t="shared" si="657"/>
        <v>99</v>
      </c>
      <c r="CG2787" s="16">
        <f t="shared" si="658"/>
        <v>0</v>
      </c>
      <c r="CH2787" s="16">
        <f t="shared" si="665"/>
        <v>0</v>
      </c>
      <c r="CJ2787" s="16" t="e">
        <f t="shared" si="659"/>
        <v>#N/A</v>
      </c>
      <c r="CK2787" s="16" t="str">
        <f t="shared" si="660"/>
        <v/>
      </c>
    </row>
    <row r="2788" spans="73:89" ht="12" customHeight="1">
      <c r="BU2788" s="16">
        <f t="shared" si="661"/>
        <v>0</v>
      </c>
      <c r="BV2788" s="16">
        <f>IF($BY$12=1,NORMDIST(BY2788,$Y$6,$Y$8,TRUE),IF($BY$12=2,IF(BY2788&lt;=$BX$31,0,IF(BY2788&gt;=$BX$32,1,(BY2788-$BX$31)*$BX$33)),SUM($BU$42:BU2788)/$BV$40))</f>
        <v>1</v>
      </c>
      <c r="BW2788" s="16">
        <f t="shared" si="663"/>
        <v>2.2569000161722121E-27</v>
      </c>
      <c r="BY2788" s="16">
        <f t="shared" si="664"/>
        <v>274.59999999999394</v>
      </c>
      <c r="BZ2788" s="16">
        <f t="shared" si="655"/>
        <v>8.2188638607875527E-30</v>
      </c>
      <c r="CA2788" s="16">
        <f t="shared" si="662"/>
        <v>-999</v>
      </c>
      <c r="CE2788" s="16" t="e">
        <f t="shared" si="656"/>
        <v>#N/A</v>
      </c>
      <c r="CF2788" s="16">
        <f t="shared" si="657"/>
        <v>99</v>
      </c>
      <c r="CG2788" s="16">
        <f t="shared" si="658"/>
        <v>0</v>
      </c>
      <c r="CH2788" s="16">
        <f t="shared" si="665"/>
        <v>0</v>
      </c>
      <c r="CJ2788" s="16" t="e">
        <f t="shared" si="659"/>
        <v>#N/A</v>
      </c>
      <c r="CK2788" s="16" t="str">
        <f t="shared" si="660"/>
        <v/>
      </c>
    </row>
    <row r="2789" spans="73:89" ht="12" customHeight="1">
      <c r="BU2789" s="16">
        <f t="shared" si="661"/>
        <v>0</v>
      </c>
      <c r="BV2789" s="16">
        <f>IF($BY$12=1,NORMDIST(BY2789,$Y$6,$Y$8,TRUE),IF($BY$12=2,IF(BY2789&lt;=$BX$31,0,IF(BY2789&gt;=$BX$32,1,(BY2789-$BX$31)*$BX$33)),SUM($BU$42:BU2789)/$BV$40))</f>
        <v>1</v>
      </c>
      <c r="BW2789" s="16">
        <f t="shared" si="663"/>
        <v>2.1344175457920446E-27</v>
      </c>
      <c r="BY2789" s="16">
        <f t="shared" si="664"/>
        <v>274.69999999999396</v>
      </c>
      <c r="BZ2789" s="16">
        <f t="shared" si="655"/>
        <v>7.7699947061961838E-30</v>
      </c>
      <c r="CA2789" s="16">
        <f t="shared" si="662"/>
        <v>-999</v>
      </c>
      <c r="CE2789" s="16" t="e">
        <f t="shared" si="656"/>
        <v>#N/A</v>
      </c>
      <c r="CF2789" s="16">
        <f t="shared" si="657"/>
        <v>99</v>
      </c>
      <c r="CG2789" s="16">
        <f t="shared" si="658"/>
        <v>0</v>
      </c>
      <c r="CH2789" s="16">
        <f t="shared" si="665"/>
        <v>0</v>
      </c>
      <c r="CJ2789" s="16" t="e">
        <f t="shared" si="659"/>
        <v>#N/A</v>
      </c>
      <c r="CK2789" s="16" t="str">
        <f t="shared" si="660"/>
        <v/>
      </c>
    </row>
    <row r="2790" spans="73:89" ht="12" customHeight="1">
      <c r="BU2790" s="16">
        <f t="shared" si="661"/>
        <v>0</v>
      </c>
      <c r="BV2790" s="16">
        <f>IF($BY$12=1,NORMDIST(BY2790,$Y$6,$Y$8,TRUE),IF($BY$12=2,IF(BY2790&lt;=$BX$31,0,IF(BY2790&gt;=$BX$32,1,(BY2790-$BX$31)*$BX$33)),SUM($BU$42:BU2790)/$BV$40))</f>
        <v>1</v>
      </c>
      <c r="BW2790" s="16">
        <f t="shared" si="663"/>
        <v>2.0185314951459907E-27</v>
      </c>
      <c r="BY2790" s="16">
        <f t="shared" si="664"/>
        <v>274.79999999999399</v>
      </c>
      <c r="BZ2790" s="16">
        <f t="shared" si="655"/>
        <v>7.3454566781151202E-30</v>
      </c>
      <c r="CA2790" s="16">
        <f t="shared" si="662"/>
        <v>-999</v>
      </c>
      <c r="CE2790" s="16" t="e">
        <f t="shared" si="656"/>
        <v>#N/A</v>
      </c>
      <c r="CF2790" s="16">
        <f t="shared" si="657"/>
        <v>99</v>
      </c>
      <c r="CG2790" s="16">
        <f t="shared" si="658"/>
        <v>0</v>
      </c>
      <c r="CH2790" s="16">
        <f t="shared" si="665"/>
        <v>0</v>
      </c>
      <c r="CJ2790" s="16" t="e">
        <f t="shared" si="659"/>
        <v>#N/A</v>
      </c>
      <c r="CK2790" s="16" t="str">
        <f t="shared" si="660"/>
        <v/>
      </c>
    </row>
    <row r="2791" spans="73:89" ht="12" customHeight="1">
      <c r="BU2791" s="16">
        <f t="shared" si="661"/>
        <v>0</v>
      </c>
      <c r="BV2791" s="16">
        <f>IF($BY$12=1,NORMDIST(BY2791,$Y$6,$Y$8,TRUE),IF($BY$12=2,IF(BY2791&lt;=$BX$31,0,IF(BY2791&gt;=$BX$32,1,(BY2791-$BX$31)*$BX$33)),SUM($BU$42:BU2791)/$BV$40))</f>
        <v>1</v>
      </c>
      <c r="BW2791" s="16">
        <f t="shared" si="663"/>
        <v>1.9088893852673102E-27</v>
      </c>
      <c r="BY2791" s="16">
        <f t="shared" si="664"/>
        <v>274.89999999999401</v>
      </c>
      <c r="BZ2791" s="16">
        <f t="shared" si="655"/>
        <v>6.9439410158870562E-30</v>
      </c>
      <c r="CA2791" s="16">
        <f t="shared" si="662"/>
        <v>-999</v>
      </c>
      <c r="CE2791" s="16" t="e">
        <f t="shared" si="656"/>
        <v>#N/A</v>
      </c>
      <c r="CF2791" s="16">
        <f t="shared" si="657"/>
        <v>99</v>
      </c>
      <c r="CG2791" s="16">
        <f t="shared" si="658"/>
        <v>0</v>
      </c>
      <c r="CH2791" s="16">
        <f t="shared" si="665"/>
        <v>0</v>
      </c>
      <c r="CJ2791" s="16" t="e">
        <f t="shared" si="659"/>
        <v>#N/A</v>
      </c>
      <c r="CK2791" s="16" t="str">
        <f t="shared" si="660"/>
        <v/>
      </c>
    </row>
    <row r="2792" spans="73:89" ht="12" customHeight="1">
      <c r="BU2792" s="16">
        <f t="shared" si="661"/>
        <v>0</v>
      </c>
      <c r="BV2792" s="16">
        <f>IF($BY$12=1,NORMDIST(BY2792,$Y$6,$Y$8,TRUE),IF($BY$12=2,IF(BY2792&lt;=$BX$31,0,IF(BY2792&gt;=$BX$32,1,(BY2792-$BX$31)*$BX$33)),SUM($BU$42:BU2792)/$BV$40))</f>
        <v>1</v>
      </c>
      <c r="BW2792" s="16">
        <f t="shared" si="663"/>
        <v>1.805157420852194E-27</v>
      </c>
      <c r="BY2792" s="16">
        <f t="shared" si="664"/>
        <v>274.99999999999403</v>
      </c>
      <c r="BZ2792" s="16">
        <f t="shared" si="655"/>
        <v>6.5642088030990292E-30</v>
      </c>
      <c r="CA2792" s="16">
        <f t="shared" si="662"/>
        <v>-999</v>
      </c>
      <c r="CE2792" s="16" t="e">
        <f t="shared" si="656"/>
        <v>#N/A</v>
      </c>
      <c r="CF2792" s="16">
        <f t="shared" si="657"/>
        <v>99</v>
      </c>
      <c r="CG2792" s="16">
        <f t="shared" si="658"/>
        <v>0</v>
      </c>
      <c r="CH2792" s="16">
        <f t="shared" si="665"/>
        <v>0</v>
      </c>
      <c r="CJ2792" s="16" t="e">
        <f t="shared" si="659"/>
        <v>#N/A</v>
      </c>
      <c r="CK2792" s="16" t="str">
        <f t="shared" si="660"/>
        <v/>
      </c>
    </row>
    <row r="2793" spans="73:89" ht="12" customHeight="1">
      <c r="BU2793" s="16">
        <f t="shared" si="661"/>
        <v>0</v>
      </c>
      <c r="BV2793" s="16">
        <f>IF($BY$12=1,NORMDIST(BY2793,$Y$6,$Y$8,TRUE),IF($BY$12=2,IF(BY2793&lt;=$BX$31,0,IF(BY2793&gt;=$BX$32,1,(BY2793-$BX$31)*$BX$33)),SUM($BU$42:BU2793)/$BV$40))</f>
        <v>1</v>
      </c>
      <c r="BW2793" s="16">
        <f t="shared" si="663"/>
        <v>1.7070195080524853E-27</v>
      </c>
      <c r="BY2793" s="16">
        <f t="shared" si="664"/>
        <v>275.09999999999405</v>
      </c>
      <c r="BZ2793" s="16">
        <f t="shared" si="655"/>
        <v>6.2050872702745266E-30</v>
      </c>
      <c r="CA2793" s="16">
        <f t="shared" si="662"/>
        <v>-999</v>
      </c>
      <c r="CE2793" s="16" t="e">
        <f t="shared" si="656"/>
        <v>#N/A</v>
      </c>
      <c r="CF2793" s="16">
        <f t="shared" si="657"/>
        <v>99</v>
      </c>
      <c r="CG2793" s="16">
        <f t="shared" si="658"/>
        <v>0</v>
      </c>
      <c r="CH2793" s="16">
        <f t="shared" si="665"/>
        <v>0</v>
      </c>
      <c r="CJ2793" s="16" t="e">
        <f t="shared" si="659"/>
        <v>#N/A</v>
      </c>
      <c r="CK2793" s="16" t="str">
        <f t="shared" si="660"/>
        <v/>
      </c>
    </row>
    <row r="2794" spans="73:89" ht="12" customHeight="1">
      <c r="BU2794" s="16">
        <f t="shared" si="661"/>
        <v>0</v>
      </c>
      <c r="BV2794" s="16">
        <f>IF($BY$12=1,NORMDIST(BY2794,$Y$6,$Y$8,TRUE),IF($BY$12=2,IF(BY2794&lt;=$BX$31,0,IF(BY2794&gt;=$BX$32,1,(BY2794-$BX$31)*$BX$33)),SUM($BU$42:BU2794)/$BV$40))</f>
        <v>1</v>
      </c>
      <c r="BW2794" s="16">
        <f t="shared" si="663"/>
        <v>1.6141763234672741E-27</v>
      </c>
      <c r="BY2794" s="16">
        <f t="shared" si="664"/>
        <v>275.19999999999408</v>
      </c>
      <c r="BZ2794" s="16">
        <f t="shared" ref="BZ2794:BZ2857" si="666">IF($BZ$5,IF($BY$12=1,NORMDIST(BY2794,$Y$6,$Y$8,FALSE),IF($BY$12=2,IF(AND(BY2794&gt;=$BX$31,BY2794&lt;=$BX$32),$BX$33,0),IF(BY2794&lt;=$BX$13,0,NORMDIST(LN((BY2794-$BX$13)/$BX$12),0,$BW$8,FALSE)/((BY2794-$BX$13)/$BX$12)))),-999)</f>
        <v>5.865466291669E-30</v>
      </c>
      <c r="CA2794" s="16">
        <f t="shared" si="662"/>
        <v>-999</v>
      </c>
      <c r="CE2794" s="16" t="e">
        <f t="shared" ref="CE2794:CE2857" si="667">IF(AND($CB$7,$CD$2,$CD$1),26+$P$23/2-CC2794*$P$23,NA())</f>
        <v>#N/A</v>
      </c>
      <c r="CF2794" s="16">
        <f t="shared" ref="CF2794:CF2857" si="668">IF(ISNA(CJ2794),99,CJ2794)</f>
        <v>99</v>
      </c>
      <c r="CG2794" s="16">
        <f t="shared" ref="CG2794:CG2857" si="669">IF(ISNA(CJ2794),0,CJ2794)</f>
        <v>0</v>
      </c>
      <c r="CH2794" s="16">
        <f t="shared" si="665"/>
        <v>0</v>
      </c>
      <c r="CJ2794" s="16" t="e">
        <f t="shared" ref="CJ2794:CJ2857" si="670">IF(CH2794=1,CE2794,NA())</f>
        <v>#N/A</v>
      </c>
      <c r="CK2794" s="16" t="str">
        <f t="shared" ref="CK2794:CK2857" si="671">IF(CH2794=1,M2693,"")</f>
        <v/>
      </c>
    </row>
    <row r="2795" spans="73:89" ht="12" customHeight="1">
      <c r="BU2795" s="16">
        <f t="shared" ref="BU2795:BU2858" si="672">IF($BY$12&lt;3,0,IF(BY2795&lt;=$BX$13,0,NORMDIST(LN((BY2795-$BX$13)/$BX$12),0,$BW$8,FALSE)/((BY2795-$BX$13)/$BX$12)))</f>
        <v>0</v>
      </c>
      <c r="BV2795" s="16">
        <f>IF($BY$12=1,NORMDIST(BY2795,$Y$6,$Y$8,TRUE),IF($BY$12=2,IF(BY2795&lt;=$BX$31,0,IF(BY2795&gt;=$BX$32,1,(BY2795-$BX$31)*$BX$33)),SUM($BU$42:BU2795)/$BV$40))</f>
        <v>1</v>
      </c>
      <c r="BW2795" s="16">
        <f t="shared" si="663"/>
        <v>1.5263444316876648E-27</v>
      </c>
      <c r="BY2795" s="16">
        <f t="shared" si="664"/>
        <v>275.2999999999941</v>
      </c>
      <c r="BZ2795" s="16">
        <f t="shared" si="666"/>
        <v>5.5442950660650107E-30</v>
      </c>
      <c r="CA2795" s="16">
        <f t="shared" ref="CA2795:CA2858" si="673">IF(AND($CD$1,$CD$3),26-$CD$40*NORMDIST(BY2795,$Y$6,$Y$8/SQRT($T$18),FALSE),-999)</f>
        <v>-999</v>
      </c>
      <c r="CE2795" s="16" t="e">
        <f t="shared" si="667"/>
        <v>#N/A</v>
      </c>
      <c r="CF2795" s="16">
        <f t="shared" si="668"/>
        <v>99</v>
      </c>
      <c r="CG2795" s="16">
        <f t="shared" si="669"/>
        <v>0</v>
      </c>
      <c r="CH2795" s="16">
        <f t="shared" si="665"/>
        <v>0</v>
      </c>
      <c r="CJ2795" s="16" t="e">
        <f t="shared" si="670"/>
        <v>#N/A</v>
      </c>
      <c r="CK2795" s="16" t="str">
        <f t="shared" si="671"/>
        <v/>
      </c>
    </row>
    <row r="2796" spans="73:89" ht="12" customHeight="1">
      <c r="BU2796" s="16">
        <f t="shared" si="672"/>
        <v>0</v>
      </c>
      <c r="BV2796" s="16">
        <f>IF($BY$12=1,NORMDIST(BY2796,$Y$6,$Y$8,TRUE),IF($BY$12=2,IF(BY2796&lt;=$BX$31,0,IF(BY2796&gt;=$BX$32,1,(BY2796-$BX$31)*$BX$33)),SUM($BU$42:BU2796)/$BV$40))</f>
        <v>1</v>
      </c>
      <c r="BW2796" s="16">
        <f t="shared" si="663"/>
        <v>1.4432554488844998E-27</v>
      </c>
      <c r="BY2796" s="16">
        <f t="shared" si="664"/>
        <v>275.39999999999412</v>
      </c>
      <c r="BZ2796" s="16">
        <f t="shared" si="666"/>
        <v>5.2405789719844973E-30</v>
      </c>
      <c r="CA2796" s="16">
        <f t="shared" si="673"/>
        <v>-999</v>
      </c>
      <c r="CE2796" s="16" t="e">
        <f t="shared" si="667"/>
        <v>#N/A</v>
      </c>
      <c r="CF2796" s="16">
        <f t="shared" si="668"/>
        <v>99</v>
      </c>
      <c r="CG2796" s="16">
        <f t="shared" si="669"/>
        <v>0</v>
      </c>
      <c r="CH2796" s="16">
        <f t="shared" si="665"/>
        <v>0</v>
      </c>
      <c r="CJ2796" s="16" t="e">
        <f t="shared" si="670"/>
        <v>#N/A</v>
      </c>
      <c r="CK2796" s="16" t="str">
        <f t="shared" si="671"/>
        <v/>
      </c>
    </row>
    <row r="2797" spans="73:89" ht="12" customHeight="1">
      <c r="BU2797" s="16">
        <f t="shared" si="672"/>
        <v>0</v>
      </c>
      <c r="BV2797" s="16">
        <f>IF($BY$12=1,NORMDIST(BY2797,$Y$6,$Y$8,TRUE),IF($BY$12=2,IF(BY2797&lt;=$BX$31,0,IF(BY2797&gt;=$BX$32,1,(BY2797-$BX$31)*$BX$33)),SUM($BU$42:BU2797)/$BV$40))</f>
        <v>1</v>
      </c>
      <c r="BW2797" s="16">
        <f t="shared" si="663"/>
        <v>1.3646552500575163E-27</v>
      </c>
      <c r="BY2797" s="16">
        <f t="shared" si="664"/>
        <v>275.49999999999415</v>
      </c>
      <c r="BZ2797" s="16">
        <f t="shared" si="666"/>
        <v>4.9533765882306544E-30</v>
      </c>
      <c r="CA2797" s="16">
        <f t="shared" si="673"/>
        <v>-999</v>
      </c>
      <c r="CE2797" s="16" t="e">
        <f t="shared" si="667"/>
        <v>#N/A</v>
      </c>
      <c r="CF2797" s="16">
        <f t="shared" si="668"/>
        <v>99</v>
      </c>
      <c r="CG2797" s="16">
        <f t="shared" si="669"/>
        <v>0</v>
      </c>
      <c r="CH2797" s="16">
        <f t="shared" si="665"/>
        <v>0</v>
      </c>
      <c r="CJ2797" s="16" t="e">
        <f t="shared" si="670"/>
        <v>#N/A</v>
      </c>
      <c r="CK2797" s="16" t="str">
        <f t="shared" si="671"/>
        <v/>
      </c>
    </row>
    <row r="2798" spans="73:89" ht="12" customHeight="1">
      <c r="BU2798" s="16">
        <f t="shared" si="672"/>
        <v>0</v>
      </c>
      <c r="BV2798" s="16">
        <f>IF($BY$12=1,NORMDIST(BY2798,$Y$6,$Y$8,TRUE),IF($BY$12=2,IF(BY2798&lt;=$BX$31,0,IF(BY2798&gt;=$BX$32,1,(BY2798-$BX$31)*$BX$33)),SUM($BU$42:BU2798)/$BV$40))</f>
        <v>1</v>
      </c>
      <c r="BW2798" s="16">
        <f t="shared" si="663"/>
        <v>1.2903032176866426E-27</v>
      </c>
      <c r="BY2798" s="16">
        <f t="shared" si="664"/>
        <v>275.59999999999417</v>
      </c>
      <c r="BZ2798" s="16">
        <f t="shared" si="666"/>
        <v>4.6817968711417627E-30</v>
      </c>
      <c r="CA2798" s="16">
        <f t="shared" si="673"/>
        <v>-999</v>
      </c>
      <c r="CE2798" s="16" t="e">
        <f t="shared" si="667"/>
        <v>#N/A</v>
      </c>
      <c r="CF2798" s="16">
        <f t="shared" si="668"/>
        <v>99</v>
      </c>
      <c r="CG2798" s="16">
        <f t="shared" si="669"/>
        <v>0</v>
      </c>
      <c r="CH2798" s="16">
        <f t="shared" si="665"/>
        <v>0</v>
      </c>
      <c r="CJ2798" s="16" t="e">
        <f t="shared" si="670"/>
        <v>#N/A</v>
      </c>
      <c r="CK2798" s="16" t="str">
        <f t="shared" si="671"/>
        <v/>
      </c>
    </row>
    <row r="2799" spans="73:89" ht="12" customHeight="1">
      <c r="BU2799" s="16">
        <f t="shared" si="672"/>
        <v>0</v>
      </c>
      <c r="BV2799" s="16">
        <f>IF($BY$12=1,NORMDIST(BY2799,$Y$6,$Y$8,TRUE),IF($BY$12=2,IF(BY2799&lt;=$BX$31,0,IF(BY2799&gt;=$BX$32,1,(BY2799-$BX$31)*$BX$33)),SUM($BU$42:BU2799)/$BV$40))</f>
        <v>1</v>
      </c>
      <c r="BW2799" s="16">
        <f t="shared" si="663"/>
        <v>1.219971529641663E-27</v>
      </c>
      <c r="BY2799" s="16">
        <f t="shared" si="664"/>
        <v>275.69999999999419</v>
      </c>
      <c r="BZ2799" s="16">
        <f t="shared" si="666"/>
        <v>4.4249964803833468E-30</v>
      </c>
      <c r="CA2799" s="16">
        <f t="shared" si="673"/>
        <v>-999</v>
      </c>
      <c r="CE2799" s="16" t="e">
        <f t="shared" si="667"/>
        <v>#N/A</v>
      </c>
      <c r="CF2799" s="16">
        <f t="shared" si="668"/>
        <v>99</v>
      </c>
      <c r="CG2799" s="16">
        <f t="shared" si="669"/>
        <v>0</v>
      </c>
      <c r="CH2799" s="16">
        <f t="shared" si="665"/>
        <v>0</v>
      </c>
      <c r="CJ2799" s="16" t="e">
        <f t="shared" si="670"/>
        <v>#N/A</v>
      </c>
      <c r="CK2799" s="16" t="str">
        <f t="shared" si="671"/>
        <v/>
      </c>
    </row>
    <row r="2800" spans="73:89" ht="12" customHeight="1">
      <c r="BU2800" s="16">
        <f t="shared" si="672"/>
        <v>0</v>
      </c>
      <c r="BV2800" s="16">
        <f>IF($BY$12=1,NORMDIST(BY2800,$Y$6,$Y$8,TRUE),IF($BY$12=2,IF(BY2800&lt;=$BX$31,0,IF(BY2800&gt;=$BX$32,1,(BY2800-$BX$31)*$BX$33)),SUM($BU$42:BU2800)/$BV$40))</f>
        <v>1</v>
      </c>
      <c r="BW2800" s="16">
        <f t="shared" si="663"/>
        <v>1.1534444843168613E-27</v>
      </c>
      <c r="BY2800" s="16">
        <f t="shared" si="664"/>
        <v>275.79999999999421</v>
      </c>
      <c r="BZ2800" s="16">
        <f t="shared" si="666"/>
        <v>4.1821772455289538E-30</v>
      </c>
      <c r="CA2800" s="16">
        <f t="shared" si="673"/>
        <v>-999</v>
      </c>
      <c r="CE2800" s="16" t="e">
        <f t="shared" si="667"/>
        <v>#N/A</v>
      </c>
      <c r="CF2800" s="16">
        <f t="shared" si="668"/>
        <v>99</v>
      </c>
      <c r="CG2800" s="16">
        <f t="shared" si="669"/>
        <v>0</v>
      </c>
      <c r="CH2800" s="16">
        <f t="shared" si="665"/>
        <v>0</v>
      </c>
      <c r="CJ2800" s="16" t="e">
        <f t="shared" si="670"/>
        <v>#N/A</v>
      </c>
      <c r="CK2800" s="16" t="str">
        <f t="shared" si="671"/>
        <v/>
      </c>
    </row>
    <row r="2801" spans="73:89" ht="12" customHeight="1">
      <c r="BU2801" s="16">
        <f t="shared" si="672"/>
        <v>0</v>
      </c>
      <c r="BV2801" s="16">
        <f>IF($BY$12=1,NORMDIST(BY2801,$Y$6,$Y$8,TRUE),IF($BY$12=2,IF(BY2801&lt;=$BX$31,0,IF(BY2801&gt;=$BX$32,1,(BY2801-$BX$31)*$BX$33)),SUM($BU$42:BU2801)/$BV$40))</f>
        <v>1</v>
      </c>
      <c r="BW2801" s="16">
        <f t="shared" si="663"/>
        <v>1.0905178610613691E-27</v>
      </c>
      <c r="BY2801" s="16">
        <f t="shared" si="664"/>
        <v>275.89999999999424</v>
      </c>
      <c r="BZ2801" s="16">
        <f t="shared" si="666"/>
        <v>3.9525837660797096E-30</v>
      </c>
      <c r="CA2801" s="16">
        <f t="shared" si="673"/>
        <v>-999</v>
      </c>
      <c r="CE2801" s="16" t="e">
        <f t="shared" si="667"/>
        <v>#N/A</v>
      </c>
      <c r="CF2801" s="16">
        <f t="shared" si="668"/>
        <v>99</v>
      </c>
      <c r="CG2801" s="16">
        <f t="shared" si="669"/>
        <v>0</v>
      </c>
      <c r="CH2801" s="16">
        <f t="shared" si="665"/>
        <v>0</v>
      </c>
      <c r="CJ2801" s="16" t="e">
        <f t="shared" si="670"/>
        <v>#N/A</v>
      </c>
      <c r="CK2801" s="16" t="str">
        <f t="shared" si="671"/>
        <v/>
      </c>
    </row>
    <row r="2802" spans="73:89" ht="12" customHeight="1">
      <c r="BU2802" s="16">
        <f t="shared" si="672"/>
        <v>0</v>
      </c>
      <c r="BV2802" s="16">
        <f>IF($BY$12=1,NORMDIST(BY2802,$Y$6,$Y$8,TRUE),IF($BY$12=2,IF(BY2802&lt;=$BX$31,0,IF(BY2802&gt;=$BX$32,1,(BY2802-$BX$31)*$BX$33)),SUM($BU$42:BU2802)/$BV$40))</f>
        <v>1</v>
      </c>
      <c r="BW2802" s="16">
        <f t="shared" si="663"/>
        <v>1.0309983140752526E-27</v>
      </c>
      <c r="BY2802" s="16">
        <f t="shared" si="664"/>
        <v>275.99999999999426</v>
      </c>
      <c r="BZ2802" s="16">
        <f t="shared" si="666"/>
        <v>3.7355011379538914E-30</v>
      </c>
      <c r="CA2802" s="16">
        <f t="shared" si="673"/>
        <v>-999</v>
      </c>
      <c r="CE2802" s="16" t="e">
        <f t="shared" si="667"/>
        <v>#N/A</v>
      </c>
      <c r="CF2802" s="16">
        <f t="shared" si="668"/>
        <v>99</v>
      </c>
      <c r="CG2802" s="16">
        <f t="shared" si="669"/>
        <v>0</v>
      </c>
      <c r="CH2802" s="16">
        <f t="shared" si="665"/>
        <v>0</v>
      </c>
      <c r="CJ2802" s="16" t="e">
        <f t="shared" si="670"/>
        <v>#N/A</v>
      </c>
      <c r="CK2802" s="16" t="str">
        <f t="shared" si="671"/>
        <v/>
      </c>
    </row>
    <row r="2803" spans="73:89" ht="12" customHeight="1">
      <c r="BU2803" s="16">
        <f t="shared" si="672"/>
        <v>0</v>
      </c>
      <c r="BV2803" s="16">
        <f>IF($BY$12=1,NORMDIST(BY2803,$Y$6,$Y$8,TRUE),IF($BY$12=2,IF(BY2803&lt;=$BX$31,0,IF(BY2803&gt;=$BX$32,1,(BY2803-$BX$31)*$BX$33)),SUM($BU$42:BU2803)/$BV$40))</f>
        <v>1</v>
      </c>
      <c r="BW2803" s="16">
        <f t="shared" si="663"/>
        <v>9.7470279803520762E-28</v>
      </c>
      <c r="BY2803" s="16">
        <f t="shared" si="664"/>
        <v>276.09999999999428</v>
      </c>
      <c r="BZ2803" s="16">
        <f t="shared" si="666"/>
        <v>3.5302527998378407E-30</v>
      </c>
      <c r="CA2803" s="16">
        <f t="shared" si="673"/>
        <v>-999</v>
      </c>
      <c r="CE2803" s="16" t="e">
        <f t="shared" si="667"/>
        <v>#N/A</v>
      </c>
      <c r="CF2803" s="16">
        <f t="shared" si="668"/>
        <v>99</v>
      </c>
      <c r="CG2803" s="16">
        <f t="shared" si="669"/>
        <v>0</v>
      </c>
      <c r="CH2803" s="16">
        <f t="shared" si="665"/>
        <v>0</v>
      </c>
      <c r="CJ2803" s="16" t="e">
        <f t="shared" si="670"/>
        <v>#N/A</v>
      </c>
      <c r="CK2803" s="16" t="str">
        <f t="shared" si="671"/>
        <v/>
      </c>
    </row>
    <row r="2804" spans="73:89" ht="12" customHeight="1">
      <c r="BU2804" s="16">
        <f t="shared" si="672"/>
        <v>0</v>
      </c>
      <c r="BV2804" s="16">
        <f>IF($BY$12=1,NORMDIST(BY2804,$Y$6,$Y$8,TRUE),IF($BY$12=2,IF(BY2804&lt;=$BX$31,0,IF(BY2804&gt;=$BX$32,1,(BY2804-$BX$31)*$BX$33)),SUM($BU$42:BU2804)/$BV$40))</f>
        <v>1</v>
      </c>
      <c r="BW2804" s="16">
        <f t="shared" si="663"/>
        <v>9.2145802380319726E-28</v>
      </c>
      <c r="BY2804" s="16">
        <f t="shared" si="664"/>
        <v>276.1999999999943</v>
      </c>
      <c r="BZ2804" s="16">
        <f t="shared" si="666"/>
        <v>3.3361984931325716E-30</v>
      </c>
      <c r="CA2804" s="16">
        <f t="shared" si="673"/>
        <v>-999</v>
      </c>
      <c r="CE2804" s="16" t="e">
        <f t="shared" si="667"/>
        <v>#N/A</v>
      </c>
      <c r="CF2804" s="16">
        <f t="shared" si="668"/>
        <v>99</v>
      </c>
      <c r="CG2804" s="16">
        <f t="shared" si="669"/>
        <v>0</v>
      </c>
      <c r="CH2804" s="16">
        <f t="shared" si="665"/>
        <v>0</v>
      </c>
      <c r="CJ2804" s="16" t="e">
        <f t="shared" si="670"/>
        <v>#N/A</v>
      </c>
      <c r="CK2804" s="16" t="str">
        <f t="shared" si="671"/>
        <v/>
      </c>
    </row>
    <row r="2805" spans="73:89" ht="12" customHeight="1">
      <c r="BU2805" s="16">
        <f t="shared" si="672"/>
        <v>0</v>
      </c>
      <c r="BV2805" s="16">
        <f>IF($BY$12=1,NORMDIST(BY2805,$Y$6,$Y$8,TRUE),IF($BY$12=2,IF(BY2805&lt;=$BX$31,0,IF(BY2805&gt;=$BX$32,1,(BY2805-$BX$31)*$BX$33)),SUM($BU$42:BU2805)/$BV$40))</f>
        <v>1</v>
      </c>
      <c r="BW2805" s="16">
        <f t="shared" si="663"/>
        <v>8.7109994265585825E-28</v>
      </c>
      <c r="BY2805" s="16">
        <f t="shared" si="664"/>
        <v>276.29999999999433</v>
      </c>
      <c r="BZ2805" s="16">
        <f t="shared" si="666"/>
        <v>3.1527323295543833E-30</v>
      </c>
      <c r="CA2805" s="16">
        <f t="shared" si="673"/>
        <v>-999</v>
      </c>
      <c r="CE2805" s="16" t="e">
        <f t="shared" si="667"/>
        <v>#N/A</v>
      </c>
      <c r="CF2805" s="16">
        <f t="shared" si="668"/>
        <v>99</v>
      </c>
      <c r="CG2805" s="16">
        <f t="shared" si="669"/>
        <v>0</v>
      </c>
      <c r="CH2805" s="16">
        <f t="shared" si="665"/>
        <v>0</v>
      </c>
      <c r="CJ2805" s="16" t="e">
        <f t="shared" si="670"/>
        <v>#N/A</v>
      </c>
      <c r="CK2805" s="16" t="str">
        <f t="shared" si="671"/>
        <v/>
      </c>
    </row>
    <row r="2806" spans="73:89" ht="12" customHeight="1">
      <c r="BU2806" s="16">
        <f t="shared" si="672"/>
        <v>0</v>
      </c>
      <c r="BV2806" s="16">
        <f>IF($BY$12=1,NORMDIST(BY2806,$Y$6,$Y$8,TRUE),IF($BY$12=2,IF(BY2806&lt;=$BX$31,0,IF(BY2806&gt;=$BX$32,1,(BY2806-$BX$31)*$BX$33)),SUM($BU$42:BU2806)/$BV$40))</f>
        <v>1</v>
      </c>
      <c r="BW2806" s="16">
        <f t="shared" si="663"/>
        <v>8.2347325755312897E-28</v>
      </c>
      <c r="BY2806" s="16">
        <f t="shared" si="664"/>
        <v>276.39999999999435</v>
      </c>
      <c r="BZ2806" s="16">
        <f t="shared" si="666"/>
        <v>2.9792809607566783E-30</v>
      </c>
      <c r="CA2806" s="16">
        <f t="shared" si="673"/>
        <v>-999</v>
      </c>
      <c r="CE2806" s="16" t="e">
        <f t="shared" si="667"/>
        <v>#N/A</v>
      </c>
      <c r="CF2806" s="16">
        <f t="shared" si="668"/>
        <v>99</v>
      </c>
      <c r="CG2806" s="16">
        <f t="shared" si="669"/>
        <v>0</v>
      </c>
      <c r="CH2806" s="16">
        <f t="shared" si="665"/>
        <v>0</v>
      </c>
      <c r="CJ2806" s="16" t="e">
        <f t="shared" si="670"/>
        <v>#N/A</v>
      </c>
      <c r="CK2806" s="16" t="str">
        <f t="shared" si="671"/>
        <v/>
      </c>
    </row>
    <row r="2807" spans="73:89" ht="12" customHeight="1">
      <c r="BU2807" s="16">
        <f t="shared" si="672"/>
        <v>0</v>
      </c>
      <c r="BV2807" s="16">
        <f>IF($BY$12=1,NORMDIST(BY2807,$Y$6,$Y$8,TRUE),IF($BY$12=2,IF(BY2807&lt;=$BX$31,0,IF(BY2807&gt;=$BX$32,1,(BY2807-$BX$31)*$BX$33)),SUM($BU$42:BU2807)/$BV$40))</f>
        <v>1</v>
      </c>
      <c r="BW2807" s="16">
        <f t="shared" si="663"/>
        <v>7.7843096004067301E-28</v>
      </c>
      <c r="BY2807" s="16">
        <f t="shared" si="664"/>
        <v>276.49999999999437</v>
      </c>
      <c r="BZ2807" s="16">
        <f t="shared" si="666"/>
        <v>2.8153018446317861E-30</v>
      </c>
      <c r="CA2807" s="16">
        <f t="shared" si="673"/>
        <v>-999</v>
      </c>
      <c r="CE2807" s="16" t="e">
        <f t="shared" si="667"/>
        <v>#N/A</v>
      </c>
      <c r="CF2807" s="16">
        <f t="shared" si="668"/>
        <v>99</v>
      </c>
      <c r="CG2807" s="16">
        <f t="shared" si="669"/>
        <v>0</v>
      </c>
      <c r="CH2807" s="16">
        <f t="shared" si="665"/>
        <v>0</v>
      </c>
      <c r="CJ2807" s="16" t="e">
        <f t="shared" si="670"/>
        <v>#N/A</v>
      </c>
      <c r="CK2807" s="16" t="str">
        <f t="shared" si="671"/>
        <v/>
      </c>
    </row>
    <row r="2808" spans="73:89" ht="12" customHeight="1">
      <c r="BU2808" s="16">
        <f t="shared" si="672"/>
        <v>0</v>
      </c>
      <c r="BV2808" s="16">
        <f>IF($BY$12=1,NORMDIST(BY2808,$Y$6,$Y$8,TRUE),IF($BY$12=2,IF(BY2808&lt;=$BX$31,0,IF(BY2808&gt;=$BX$32,1,(BY2808-$BX$31)*$BX$33)),SUM($BU$42:BU2808)/$BV$40))</f>
        <v>1</v>
      </c>
      <c r="BW2808" s="16">
        <f t="shared" si="663"/>
        <v>7.3583389145320163E-28</v>
      </c>
      <c r="BY2808" s="16">
        <f t="shared" si="664"/>
        <v>276.5999999999944</v>
      </c>
      <c r="BZ2808" s="16">
        <f t="shared" si="666"/>
        <v>2.6602816032292718E-30</v>
      </c>
      <c r="CA2808" s="16">
        <f t="shared" si="673"/>
        <v>-999</v>
      </c>
      <c r="CE2808" s="16" t="e">
        <f t="shared" si="667"/>
        <v>#N/A</v>
      </c>
      <c r="CF2808" s="16">
        <f t="shared" si="668"/>
        <v>99</v>
      </c>
      <c r="CG2808" s="16">
        <f t="shared" si="669"/>
        <v>0</v>
      </c>
      <c r="CH2808" s="16">
        <f t="shared" si="665"/>
        <v>0</v>
      </c>
      <c r="CJ2808" s="16" t="e">
        <f t="shared" si="670"/>
        <v>#N/A</v>
      </c>
      <c r="CK2808" s="16" t="str">
        <f t="shared" si="671"/>
        <v/>
      </c>
    </row>
    <row r="2809" spans="73:89" ht="12" customHeight="1">
      <c r="BU2809" s="16">
        <f t="shared" si="672"/>
        <v>0</v>
      </c>
      <c r="BV2809" s="16">
        <f>IF($BY$12=1,NORMDIST(BY2809,$Y$6,$Y$8,TRUE),IF($BY$12=2,IF(BY2809&lt;=$BX$31,0,IF(BY2809&gt;=$BX$32,1,(BY2809-$BX$31)*$BX$33)),SUM($BU$42:BU2809)/$BV$40))</f>
        <v>1</v>
      </c>
      <c r="BW2809" s="16">
        <f t="shared" si="663"/>
        <v>6.955503271542149E-28</v>
      </c>
      <c r="BY2809" s="16">
        <f t="shared" si="664"/>
        <v>276.69999999999442</v>
      </c>
      <c r="BZ2809" s="16">
        <f t="shared" si="666"/>
        <v>2.5137344674890816E-30</v>
      </c>
      <c r="CA2809" s="16">
        <f t="shared" si="673"/>
        <v>-999</v>
      </c>
      <c r="CE2809" s="16" t="e">
        <f t="shared" si="667"/>
        <v>#N/A</v>
      </c>
      <c r="CF2809" s="16">
        <f t="shared" si="668"/>
        <v>99</v>
      </c>
      <c r="CG2809" s="16">
        <f t="shared" si="669"/>
        <v>0</v>
      </c>
      <c r="CH2809" s="16">
        <f t="shared" si="665"/>
        <v>0</v>
      </c>
      <c r="CJ2809" s="16" t="e">
        <f t="shared" si="670"/>
        <v>#N/A</v>
      </c>
      <c r="CK2809" s="16" t="str">
        <f t="shared" si="671"/>
        <v/>
      </c>
    </row>
    <row r="2810" spans="73:89" ht="12" customHeight="1">
      <c r="BU2810" s="16">
        <f t="shared" si="672"/>
        <v>0</v>
      </c>
      <c r="BV2810" s="16">
        <f>IF($BY$12=1,NORMDIST(BY2810,$Y$6,$Y$8,TRUE),IF($BY$12=2,IF(BY2810&lt;=$BX$31,0,IF(BY2810&gt;=$BX$32,1,(BY2810-$BX$31)*$BX$33)),SUM($BU$42:BU2810)/$BV$40))</f>
        <v>1</v>
      </c>
      <c r="BW2810" s="16">
        <f t="shared" si="663"/>
        <v>6.5745558261338316E-28</v>
      </c>
      <c r="BY2810" s="16">
        <f t="shared" si="664"/>
        <v>276.79999999999444</v>
      </c>
      <c r="BZ2810" s="16">
        <f t="shared" si="666"/>
        <v>2.3752008042391489E-30</v>
      </c>
      <c r="CA2810" s="16">
        <f t="shared" si="673"/>
        <v>-999</v>
      </c>
      <c r="CE2810" s="16" t="e">
        <f t="shared" si="667"/>
        <v>#N/A</v>
      </c>
      <c r="CF2810" s="16">
        <f t="shared" si="668"/>
        <v>99</v>
      </c>
      <c r="CG2810" s="16">
        <f t="shared" si="669"/>
        <v>0</v>
      </c>
      <c r="CH2810" s="16">
        <f t="shared" si="665"/>
        <v>0</v>
      </c>
      <c r="CJ2810" s="16" t="e">
        <f t="shared" si="670"/>
        <v>#N/A</v>
      </c>
      <c r="CK2810" s="16" t="str">
        <f t="shared" si="671"/>
        <v/>
      </c>
    </row>
    <row r="2811" spans="73:89" ht="12" customHeight="1">
      <c r="BU2811" s="16">
        <f t="shared" si="672"/>
        <v>0</v>
      </c>
      <c r="BV2811" s="16">
        <f>IF($BY$12=1,NORMDIST(BY2811,$Y$6,$Y$8,TRUE),IF($BY$12=2,IF(BY2811&lt;=$BX$31,0,IF(BY2811&gt;=$BX$32,1,(BY2811-$BX$31)*$BX$33)),SUM($BU$42:BU2811)/$BV$40))</f>
        <v>1</v>
      </c>
      <c r="BW2811" s="16">
        <f t="shared" ref="BW2811:BW2874" si="674">BY2811*BZ2811</f>
        <v>6.2143164018424556E-28</v>
      </c>
      <c r="BY2811" s="16">
        <f t="shared" ref="BY2811:BY2874" si="675">BY2810+$BZ$1</f>
        <v>276.89999999999446</v>
      </c>
      <c r="BZ2811" s="16">
        <f t="shared" si="666"/>
        <v>2.244245721142138E-30</v>
      </c>
      <c r="CA2811" s="16">
        <f t="shared" si="673"/>
        <v>-999</v>
      </c>
      <c r="CE2811" s="16" t="e">
        <f t="shared" si="667"/>
        <v>#N/A</v>
      </c>
      <c r="CF2811" s="16">
        <f t="shared" si="668"/>
        <v>99</v>
      </c>
      <c r="CG2811" s="16">
        <f t="shared" si="669"/>
        <v>0</v>
      </c>
      <c r="CH2811" s="16">
        <f t="shared" si="665"/>
        <v>0</v>
      </c>
      <c r="CJ2811" s="16" t="e">
        <f t="shared" si="670"/>
        <v>#N/A</v>
      </c>
      <c r="CK2811" s="16" t="str">
        <f t="shared" si="671"/>
        <v/>
      </c>
    </row>
    <row r="2812" spans="73:89" ht="12" customHeight="1">
      <c r="BU2812" s="16">
        <f t="shared" si="672"/>
        <v>0</v>
      </c>
      <c r="BV2812" s="16">
        <f>IF($BY$12=1,NORMDIST(BY2812,$Y$6,$Y$8,TRUE),IF($BY$12=2,IF(BY2812&lt;=$BX$31,0,IF(BY2812&gt;=$BX$32,1,(BY2812-$BX$31)*$BX$33)),SUM($BU$42:BU2812)/$BV$40))</f>
        <v>1</v>
      </c>
      <c r="BW2812" s="16">
        <f t="shared" si="674"/>
        <v>5.8736679550355103E-28</v>
      </c>
      <c r="BY2812" s="16">
        <f t="shared" si="675"/>
        <v>276.99999999999449</v>
      </c>
      <c r="BZ2812" s="16">
        <f t="shared" si="666"/>
        <v>2.1204577455002263E-30</v>
      </c>
      <c r="CA2812" s="16">
        <f t="shared" si="673"/>
        <v>-999</v>
      </c>
      <c r="CE2812" s="16" t="e">
        <f t="shared" si="667"/>
        <v>#N/A</v>
      </c>
      <c r="CF2812" s="16">
        <f t="shared" si="668"/>
        <v>99</v>
      </c>
      <c r="CG2812" s="16">
        <f t="shared" si="669"/>
        <v>0</v>
      </c>
      <c r="CH2812" s="16">
        <f t="shared" si="665"/>
        <v>0</v>
      </c>
      <c r="CJ2812" s="16" t="e">
        <f t="shared" si="670"/>
        <v>#N/A</v>
      </c>
      <c r="CK2812" s="16" t="str">
        <f t="shared" si="671"/>
        <v/>
      </c>
    </row>
    <row r="2813" spans="73:89" ht="12" customHeight="1">
      <c r="BU2813" s="16">
        <f t="shared" si="672"/>
        <v>0</v>
      </c>
      <c r="BV2813" s="16">
        <f>IF($BY$12=1,NORMDIST(BY2813,$Y$6,$Y$8,TRUE),IF($BY$12=2,IF(BY2813&lt;=$BX$31,0,IF(BY2813&gt;=$BX$32,1,(BY2813-$BX$31)*$BX$33)),SUM($BU$42:BU2813)/$BV$40))</f>
        <v>1</v>
      </c>
      <c r="BW2813" s="16">
        <f t="shared" si="674"/>
        <v>5.5515532248975314E-28</v>
      </c>
      <c r="BY2813" s="16">
        <f t="shared" si="675"/>
        <v>277.09999999999451</v>
      </c>
      <c r="BZ2813" s="16">
        <f t="shared" si="666"/>
        <v>2.0034475730413718E-30</v>
      </c>
      <c r="CA2813" s="16">
        <f t="shared" si="673"/>
        <v>-999</v>
      </c>
      <c r="CE2813" s="16" t="e">
        <f t="shared" si="667"/>
        <v>#N/A</v>
      </c>
      <c r="CF2813" s="16">
        <f t="shared" si="668"/>
        <v>99</v>
      </c>
      <c r="CG2813" s="16">
        <f t="shared" si="669"/>
        <v>0</v>
      </c>
      <c r="CH2813" s="16">
        <f t="shared" si="665"/>
        <v>0</v>
      </c>
      <c r="CJ2813" s="16" t="e">
        <f t="shared" si="670"/>
        <v>#N/A</v>
      </c>
      <c r="CK2813" s="16" t="str">
        <f t="shared" si="671"/>
        <v/>
      </c>
    </row>
    <row r="2814" spans="73:89" ht="12" customHeight="1">
      <c r="BU2814" s="16">
        <f t="shared" si="672"/>
        <v>0</v>
      </c>
      <c r="BV2814" s="16">
        <f>IF($BY$12=1,NORMDIST(BY2814,$Y$6,$Y$8,TRUE),IF($BY$12=2,IF(BY2814&lt;=$BX$31,0,IF(BY2814&gt;=$BX$32,1,(BY2814-$BX$31)*$BX$33)),SUM($BU$42:BU2814)/$BV$40))</f>
        <v>1</v>
      </c>
      <c r="BW2814" s="16">
        <f t="shared" si="674"/>
        <v>5.246971559704568E-28</v>
      </c>
      <c r="BY2814" s="16">
        <f t="shared" si="675"/>
        <v>277.19999999999453</v>
      </c>
      <c r="BZ2814" s="16">
        <f t="shared" si="666"/>
        <v>1.8928468830103433E-30</v>
      </c>
      <c r="CA2814" s="16">
        <f t="shared" si="673"/>
        <v>-999</v>
      </c>
      <c r="CE2814" s="16" t="e">
        <f t="shared" si="667"/>
        <v>#N/A</v>
      </c>
      <c r="CF2814" s="16">
        <f t="shared" si="668"/>
        <v>99</v>
      </c>
      <c r="CG2814" s="16">
        <f t="shared" si="669"/>
        <v>0</v>
      </c>
      <c r="CH2814" s="16">
        <f t="shared" si="665"/>
        <v>0</v>
      </c>
      <c r="CJ2814" s="16" t="e">
        <f t="shared" si="670"/>
        <v>#N/A</v>
      </c>
      <c r="CK2814" s="16" t="str">
        <f t="shared" si="671"/>
        <v/>
      </c>
    </row>
    <row r="2815" spans="73:89" ht="12" customHeight="1">
      <c r="BU2815" s="16">
        <f t="shared" si="672"/>
        <v>0</v>
      </c>
      <c r="BV2815" s="16">
        <f>IF($BY$12=1,NORMDIST(BY2815,$Y$6,$Y$8,TRUE),IF($BY$12=2,IF(BY2815&lt;=$BX$31,0,IF(BY2815&gt;=$BX$32,1,(BY2815-$BX$31)*$BX$33)),SUM($BU$42:BU2815)/$BV$40))</f>
        <v>1</v>
      </c>
      <c r="BW2815" s="16">
        <f t="shared" si="674"/>
        <v>4.9589759101907413E-28</v>
      </c>
      <c r="BY2815" s="16">
        <f t="shared" si="675"/>
        <v>277.29999999999455</v>
      </c>
      <c r="BZ2815" s="16">
        <f t="shared" si="666"/>
        <v>1.7883072160803602E-30</v>
      </c>
      <c r="CA2815" s="16">
        <f t="shared" si="673"/>
        <v>-999</v>
      </c>
      <c r="CE2815" s="16" t="e">
        <f t="shared" si="667"/>
        <v>#N/A</v>
      </c>
      <c r="CF2815" s="16">
        <f t="shared" si="668"/>
        <v>99</v>
      </c>
      <c r="CG2815" s="16">
        <f t="shared" si="669"/>
        <v>0</v>
      </c>
      <c r="CH2815" s="16">
        <f t="shared" si="665"/>
        <v>0</v>
      </c>
      <c r="CJ2815" s="16" t="e">
        <f t="shared" si="670"/>
        <v>#N/A</v>
      </c>
      <c r="CK2815" s="16" t="str">
        <f t="shared" si="671"/>
        <v/>
      </c>
    </row>
    <row r="2816" spans="73:89" ht="12" customHeight="1">
      <c r="BU2816" s="16">
        <f t="shared" si="672"/>
        <v>0</v>
      </c>
      <c r="BV2816" s="16">
        <f>IF($BY$12=1,NORMDIST(BY2816,$Y$6,$Y$8,TRUE),IF($BY$12=2,IF(BY2816&lt;=$BX$31,0,IF(BY2816&gt;=$BX$32,1,(BY2816-$BX$31)*$BX$33)),SUM($BU$42:BU2816)/$BV$40))</f>
        <v>1</v>
      </c>
      <c r="BW2816" s="16">
        <f t="shared" si="674"/>
        <v>4.6866699812846983E-28</v>
      </c>
      <c r="BY2816" s="16">
        <f t="shared" si="675"/>
        <v>277.39999999999458</v>
      </c>
      <c r="BZ2816" s="16">
        <f t="shared" si="666"/>
        <v>1.6894989117825486E-30</v>
      </c>
      <c r="CA2816" s="16">
        <f t="shared" si="673"/>
        <v>-999</v>
      </c>
      <c r="CE2816" s="16" t="e">
        <f t="shared" si="667"/>
        <v>#N/A</v>
      </c>
      <c r="CF2816" s="16">
        <f t="shared" si="668"/>
        <v>99</v>
      </c>
      <c r="CG2816" s="16">
        <f t="shared" si="669"/>
        <v>0</v>
      </c>
      <c r="CH2816" s="16">
        <f t="shared" si="665"/>
        <v>0</v>
      </c>
      <c r="CJ2816" s="16" t="e">
        <f t="shared" si="670"/>
        <v>#N/A</v>
      </c>
      <c r="CK2816" s="16" t="str">
        <f t="shared" si="671"/>
        <v/>
      </c>
    </row>
    <row r="2817" spans="73:89" ht="12" customHeight="1">
      <c r="BU2817" s="16">
        <f t="shared" si="672"/>
        <v>0</v>
      </c>
      <c r="BV2817" s="16">
        <f>IF($BY$12=1,NORMDIST(BY2817,$Y$6,$Y$8,TRUE),IF($BY$12=2,IF(BY2817&lt;=$BX$31,0,IF(BY2817&gt;=$BX$32,1,(BY2817-$BX$31)*$BX$33)),SUM($BU$42:BU2817)/$BV$40))</f>
        <v>1</v>
      </c>
      <c r="BW2817" s="16">
        <f t="shared" si="674"/>
        <v>4.4292055339448788E-28</v>
      </c>
      <c r="BY2817" s="16">
        <f t="shared" si="675"/>
        <v>277.4999999999946</v>
      </c>
      <c r="BZ2817" s="16">
        <f t="shared" si="666"/>
        <v>1.59611010232251E-30</v>
      </c>
      <c r="CA2817" s="16">
        <f t="shared" si="673"/>
        <v>-999</v>
      </c>
      <c r="CE2817" s="16" t="e">
        <f t="shared" si="667"/>
        <v>#N/A</v>
      </c>
      <c r="CF2817" s="16">
        <f t="shared" si="668"/>
        <v>99</v>
      </c>
      <c r="CG2817" s="16">
        <f t="shared" si="669"/>
        <v>0</v>
      </c>
      <c r="CH2817" s="16">
        <f t="shared" si="665"/>
        <v>0</v>
      </c>
      <c r="CJ2817" s="16" t="e">
        <f t="shared" si="670"/>
        <v>#N/A</v>
      </c>
      <c r="CK2817" s="16" t="str">
        <f t="shared" si="671"/>
        <v/>
      </c>
    </row>
    <row r="2818" spans="73:89" ht="12" customHeight="1">
      <c r="BU2818" s="16">
        <f t="shared" si="672"/>
        <v>0</v>
      </c>
      <c r="BV2818" s="16">
        <f>IF($BY$12=1,NORMDIST(BY2818,$Y$6,$Y$8,TRUE),IF($BY$12=2,IF(BY2818&lt;=$BX$31,0,IF(BY2818&gt;=$BX$32,1,(BY2818-$BX$31)*$BX$33)),SUM($BU$42:BU2818)/$BV$40))</f>
        <v>1</v>
      </c>
      <c r="BW2818" s="16">
        <f t="shared" si="674"/>
        <v>4.185779829250066E-28</v>
      </c>
      <c r="BY2818" s="16">
        <f t="shared" si="675"/>
        <v>277.59999999999462</v>
      </c>
      <c r="BZ2818" s="16">
        <f t="shared" si="666"/>
        <v>1.5078457598163355E-30</v>
      </c>
      <c r="CA2818" s="16">
        <f t="shared" si="673"/>
        <v>-999</v>
      </c>
      <c r="CE2818" s="16" t="e">
        <f t="shared" si="667"/>
        <v>#N/A</v>
      </c>
      <c r="CF2818" s="16">
        <f t="shared" si="668"/>
        <v>99</v>
      </c>
      <c r="CG2818" s="16">
        <f t="shared" si="669"/>
        <v>0</v>
      </c>
      <c r="CH2818" s="16">
        <f t="shared" si="665"/>
        <v>0</v>
      </c>
      <c r="CJ2818" s="16" t="e">
        <f t="shared" si="670"/>
        <v>#N/A</v>
      </c>
      <c r="CK2818" s="16" t="str">
        <f t="shared" si="671"/>
        <v/>
      </c>
    </row>
    <row r="2819" spans="73:89" ht="12" customHeight="1">
      <c r="BU2819" s="16">
        <f t="shared" si="672"/>
        <v>0</v>
      </c>
      <c r="BV2819" s="16">
        <f>IF($BY$12=1,NORMDIST(BY2819,$Y$6,$Y$8,TRUE),IF($BY$12=2,IF(BY2819&lt;=$BX$31,0,IF(BY2819&gt;=$BX$32,1,(BY2819-$BX$31)*$BX$33)),SUM($BU$42:BU2819)/$BV$40))</f>
        <v>1</v>
      </c>
      <c r="BW2819" s="16">
        <f t="shared" si="674"/>
        <v>3.9556332073092004E-28</v>
      </c>
      <c r="BY2819" s="16">
        <f t="shared" si="675"/>
        <v>277.69999999999465</v>
      </c>
      <c r="BZ2819" s="16">
        <f t="shared" si="666"/>
        <v>1.4244267941336971E-30</v>
      </c>
      <c r="CA2819" s="16">
        <f t="shared" si="673"/>
        <v>-999</v>
      </c>
      <c r="CE2819" s="16" t="e">
        <f t="shared" si="667"/>
        <v>#N/A</v>
      </c>
      <c r="CF2819" s="16">
        <f t="shared" si="668"/>
        <v>99</v>
      </c>
      <c r="CG2819" s="16">
        <f t="shared" si="669"/>
        <v>0</v>
      </c>
      <c r="CH2819" s="16">
        <f t="shared" ref="CH2819:CH2882" si="676">IF(CB2819="",0,1)</f>
        <v>0</v>
      </c>
      <c r="CJ2819" s="16" t="e">
        <f t="shared" si="670"/>
        <v>#N/A</v>
      </c>
      <c r="CK2819" s="16" t="str">
        <f t="shared" si="671"/>
        <v/>
      </c>
    </row>
    <row r="2820" spans="73:89" ht="12" customHeight="1">
      <c r="BU2820" s="16">
        <f t="shared" si="672"/>
        <v>0</v>
      </c>
      <c r="BV2820" s="16">
        <f>IF($BY$12=1,NORMDIST(BY2820,$Y$6,$Y$8,TRUE),IF($BY$12=2,IF(BY2820&lt;=$BX$31,0,IF(BY2820&gt;=$BX$32,1,(BY2820-$BX$31)*$BX$33)),SUM($BU$42:BU2820)/$BV$40))</f>
        <v>1</v>
      </c>
      <c r="BW2820" s="16">
        <f t="shared" si="674"/>
        <v>3.7380467939394231E-28</v>
      </c>
      <c r="BY2820" s="16">
        <f t="shared" si="675"/>
        <v>277.79999999999467</v>
      </c>
      <c r="BZ2820" s="16">
        <f t="shared" si="666"/>
        <v>1.3455891986823236E-30</v>
      </c>
      <c r="CA2820" s="16">
        <f t="shared" si="673"/>
        <v>-999</v>
      </c>
      <c r="CE2820" s="16" t="e">
        <f t="shared" si="667"/>
        <v>#N/A</v>
      </c>
      <c r="CF2820" s="16">
        <f t="shared" si="668"/>
        <v>99</v>
      </c>
      <c r="CG2820" s="16">
        <f t="shared" si="669"/>
        <v>0</v>
      </c>
      <c r="CH2820" s="16">
        <f t="shared" si="676"/>
        <v>0</v>
      </c>
      <c r="CJ2820" s="16" t="e">
        <f t="shared" si="670"/>
        <v>#N/A</v>
      </c>
      <c r="CK2820" s="16" t="str">
        <f t="shared" si="671"/>
        <v/>
      </c>
    </row>
    <row r="2821" spans="73:89" ht="12" customHeight="1">
      <c r="BU2821" s="16">
        <f t="shared" si="672"/>
        <v>0</v>
      </c>
      <c r="BV2821" s="16">
        <f>IF($BY$12=1,NORMDIST(BY2821,$Y$6,$Y$8,TRUE),IF($BY$12=2,IF(BY2821&lt;=$BX$31,0,IF(BY2821&gt;=$BX$32,1,(BY2821-$BX$31)*$BX$33)),SUM($BU$42:BU2821)/$BV$40))</f>
        <v>1</v>
      </c>
      <c r="BW2821" s="16">
        <f t="shared" si="674"/>
        <v>3.5323403284252344E-28</v>
      </c>
      <c r="BY2821" s="16">
        <f t="shared" si="675"/>
        <v>277.89999999999469</v>
      </c>
      <c r="BZ2821" s="16">
        <f t="shared" si="666"/>
        <v>1.2710832416068016E-30</v>
      </c>
      <c r="CA2821" s="16">
        <f t="shared" si="673"/>
        <v>-999</v>
      </c>
      <c r="CE2821" s="16" t="e">
        <f t="shared" si="667"/>
        <v>#N/A</v>
      </c>
      <c r="CF2821" s="16">
        <f t="shared" si="668"/>
        <v>99</v>
      </c>
      <c r="CG2821" s="16">
        <f t="shared" si="669"/>
        <v>0</v>
      </c>
      <c r="CH2821" s="16">
        <f t="shared" si="676"/>
        <v>0</v>
      </c>
      <c r="CJ2821" s="16" t="e">
        <f t="shared" si="670"/>
        <v>#N/A</v>
      </c>
      <c r="CK2821" s="16" t="str">
        <f t="shared" si="671"/>
        <v/>
      </c>
    </row>
    <row r="2822" spans="73:89" ht="12" customHeight="1">
      <c r="BU2822" s="16">
        <f t="shared" si="672"/>
        <v>0</v>
      </c>
      <c r="BV2822" s="16">
        <f>IF($BY$12=1,NORMDIST(BY2822,$Y$6,$Y$8,TRUE),IF($BY$12=2,IF(BY2822&lt;=$BX$31,0,IF(BY2822&gt;=$BX$32,1,(BY2822-$BX$31)*$BX$33)),SUM($BU$42:BU2822)/$BV$40))</f>
        <v>1</v>
      </c>
      <c r="BW2822" s="16">
        <f t="shared" si="674"/>
        <v>3.337870106021857E-28</v>
      </c>
      <c r="BY2822" s="16">
        <f t="shared" si="675"/>
        <v>277.99999999999471</v>
      </c>
      <c r="BZ2822" s="16">
        <f t="shared" si="666"/>
        <v>1.200672700007885E-30</v>
      </c>
      <c r="CA2822" s="16">
        <f t="shared" si="673"/>
        <v>-999</v>
      </c>
      <c r="CE2822" s="16" t="e">
        <f t="shared" si="667"/>
        <v>#N/A</v>
      </c>
      <c r="CF2822" s="16">
        <f t="shared" si="668"/>
        <v>99</v>
      </c>
      <c r="CG2822" s="16">
        <f t="shared" si="669"/>
        <v>0</v>
      </c>
      <c r="CH2822" s="16">
        <f t="shared" si="676"/>
        <v>0</v>
      </c>
      <c r="CJ2822" s="16" t="e">
        <f t="shared" si="670"/>
        <v>#N/A</v>
      </c>
      <c r="CK2822" s="16" t="str">
        <f t="shared" si="671"/>
        <v/>
      </c>
    </row>
    <row r="2823" spans="73:89" ht="12" customHeight="1">
      <c r="BU2823" s="16">
        <f t="shared" si="672"/>
        <v>0</v>
      </c>
      <c r="BV2823" s="16">
        <f>IF($BY$12=1,NORMDIST(BY2823,$Y$6,$Y$8,TRUE),IF($BY$12=2,IF(BY2823&lt;=$BX$31,0,IF(BY2823&gt;=$BX$32,1,(BY2823-$BX$31)*$BX$33)),SUM($BU$42:BU2823)/$BV$40))</f>
        <v>1</v>
      </c>
      <c r="BW2823" s="16">
        <f t="shared" si="674"/>
        <v>3.1540270291914162E-28</v>
      </c>
      <c r="BY2823" s="16">
        <f t="shared" si="675"/>
        <v>278.09999999999474</v>
      </c>
      <c r="BZ2823" s="16">
        <f t="shared" si="666"/>
        <v>1.134134134912433E-30</v>
      </c>
      <c r="CA2823" s="16">
        <f t="shared" si="673"/>
        <v>-999</v>
      </c>
      <c r="CE2823" s="16" t="e">
        <f t="shared" si="667"/>
        <v>#N/A</v>
      </c>
      <c r="CF2823" s="16">
        <f t="shared" si="668"/>
        <v>99</v>
      </c>
      <c r="CG2823" s="16">
        <f t="shared" si="669"/>
        <v>0</v>
      </c>
      <c r="CH2823" s="16">
        <f t="shared" si="676"/>
        <v>0</v>
      </c>
      <c r="CJ2823" s="16" t="e">
        <f t="shared" si="670"/>
        <v>#N/A</v>
      </c>
      <c r="CK2823" s="16" t="str">
        <f t="shared" si="671"/>
        <v/>
      </c>
    </row>
    <row r="2824" spans="73:89" ht="12" customHeight="1">
      <c r="BU2824" s="16">
        <f t="shared" si="672"/>
        <v>0</v>
      </c>
      <c r="BV2824" s="16">
        <f>IF($BY$12=1,NORMDIST(BY2824,$Y$6,$Y$8,TRUE),IF($BY$12=2,IF(BY2824&lt;=$BX$31,0,IF(BY2824&gt;=$BX$32,1,(BY2824-$BX$31)*$BX$33)),SUM($BU$42:BU2824)/$BV$40))</f>
        <v>1</v>
      </c>
      <c r="BW2824" s="16">
        <f t="shared" si="674"/>
        <v>2.9802347618745358E-28</v>
      </c>
      <c r="BY2824" s="16">
        <f t="shared" si="675"/>
        <v>278.19999999999476</v>
      </c>
      <c r="BZ2824" s="16">
        <f t="shared" si="666"/>
        <v>1.0712562048434911E-30</v>
      </c>
      <c r="CA2824" s="16">
        <f t="shared" si="673"/>
        <v>-999</v>
      </c>
      <c r="CE2824" s="16" t="e">
        <f t="shared" si="667"/>
        <v>#N/A</v>
      </c>
      <c r="CF2824" s="16">
        <f t="shared" si="668"/>
        <v>99</v>
      </c>
      <c r="CG2824" s="16">
        <f t="shared" si="669"/>
        <v>0</v>
      </c>
      <c r="CH2824" s="16">
        <f t="shared" si="676"/>
        <v>0</v>
      </c>
      <c r="CJ2824" s="16" t="e">
        <f t="shared" si="670"/>
        <v>#N/A</v>
      </c>
      <c r="CK2824" s="16" t="str">
        <f t="shared" si="671"/>
        <v/>
      </c>
    </row>
    <row r="2825" spans="73:89" ht="12" customHeight="1">
      <c r="BU2825" s="16">
        <f t="shared" si="672"/>
        <v>0</v>
      </c>
      <c r="BV2825" s="16">
        <f>IF($BY$12=1,NORMDIST(BY2825,$Y$6,$Y$8,TRUE),IF($BY$12=2,IF(BY2825&lt;=$BX$31,0,IF(BY2825&gt;=$BX$32,1,(BY2825-$BX$31)*$BX$33)),SUM($BU$42:BU2825)/$BV$40))</f>
        <v>1</v>
      </c>
      <c r="BW2825" s="16">
        <f t="shared" si="674"/>
        <v>2.8159479813956154E-28</v>
      </c>
      <c r="BY2825" s="16">
        <f t="shared" si="675"/>
        <v>278.29999999999478</v>
      </c>
      <c r="BZ2825" s="16">
        <f t="shared" si="666"/>
        <v>1.0118390159524499E-30</v>
      </c>
      <c r="CA2825" s="16">
        <f t="shared" si="673"/>
        <v>-999</v>
      </c>
      <c r="CE2825" s="16" t="e">
        <f t="shared" si="667"/>
        <v>#N/A</v>
      </c>
      <c r="CF2825" s="16">
        <f t="shared" si="668"/>
        <v>99</v>
      </c>
      <c r="CG2825" s="16">
        <f t="shared" si="669"/>
        <v>0</v>
      </c>
      <c r="CH2825" s="16">
        <f t="shared" si="676"/>
        <v>0</v>
      </c>
      <c r="CJ2825" s="16" t="e">
        <f t="shared" si="670"/>
        <v>#N/A</v>
      </c>
      <c r="CK2825" s="16" t="str">
        <f t="shared" si="671"/>
        <v/>
      </c>
    </row>
    <row r="2826" spans="73:89" ht="12" customHeight="1">
      <c r="BU2826" s="16">
        <f t="shared" si="672"/>
        <v>0</v>
      </c>
      <c r="BV2826" s="16">
        <f>IF($BY$12=1,NORMDIST(BY2826,$Y$6,$Y$8,TRUE),IF($BY$12=2,IF(BY2826&lt;=$BX$31,0,IF(BY2826&gt;=$BX$32,1,(BY2826-$BX$31)*$BX$33)),SUM($BU$42:BU2826)/$BV$40))</f>
        <v>1</v>
      </c>
      <c r="BW2826" s="16">
        <f t="shared" si="674"/>
        <v>2.6606507228806784E-28</v>
      </c>
      <c r="BY2826" s="16">
        <f t="shared" si="675"/>
        <v>278.3999999999948</v>
      </c>
      <c r="BZ2826" s="16">
        <f t="shared" si="666"/>
        <v>9.5569350678187065E-31</v>
      </c>
      <c r="CA2826" s="16">
        <f t="shared" si="673"/>
        <v>-999</v>
      </c>
      <c r="CE2826" s="16" t="e">
        <f t="shared" si="667"/>
        <v>#N/A</v>
      </c>
      <c r="CF2826" s="16">
        <f t="shared" si="668"/>
        <v>99</v>
      </c>
      <c r="CG2826" s="16">
        <f t="shared" si="669"/>
        <v>0</v>
      </c>
      <c r="CH2826" s="16">
        <f t="shared" si="676"/>
        <v>0</v>
      </c>
      <c r="CJ2826" s="16" t="e">
        <f t="shared" si="670"/>
        <v>#N/A</v>
      </c>
      <c r="CK2826" s="16" t="str">
        <f t="shared" si="671"/>
        <v/>
      </c>
    </row>
    <row r="2827" spans="73:89" ht="12" customHeight="1">
      <c r="BU2827" s="16">
        <f t="shared" si="672"/>
        <v>0</v>
      </c>
      <c r="BV2827" s="16">
        <f>IF($BY$12=1,NORMDIST(BY2827,$Y$6,$Y$8,TRUE),IF($BY$12=2,IF(BY2827&lt;=$BX$31,0,IF(BY2827&gt;=$BX$32,1,(BY2827-$BX$31)*$BX$33)),SUM($BU$42:BU2827)/$BV$40))</f>
        <v>1</v>
      </c>
      <c r="BW2827" s="16">
        <f t="shared" si="674"/>
        <v>2.513854811332615E-28</v>
      </c>
      <c r="BY2827" s="16">
        <f t="shared" si="675"/>
        <v>278.49999999999483</v>
      </c>
      <c r="BZ2827" s="16">
        <f t="shared" si="666"/>
        <v>9.0264086582860385E-31</v>
      </c>
      <c r="CA2827" s="16">
        <f t="shared" si="673"/>
        <v>-999</v>
      </c>
      <c r="CE2827" s="16" t="e">
        <f t="shared" si="667"/>
        <v>#N/A</v>
      </c>
      <c r="CF2827" s="16">
        <f t="shared" si="668"/>
        <v>99</v>
      </c>
      <c r="CG2827" s="16">
        <f t="shared" si="669"/>
        <v>0</v>
      </c>
      <c r="CH2827" s="16">
        <f t="shared" si="676"/>
        <v>0</v>
      </c>
      <c r="CJ2827" s="16" t="e">
        <f t="shared" si="670"/>
        <v>#N/A</v>
      </c>
      <c r="CK2827" s="16" t="str">
        <f t="shared" si="671"/>
        <v/>
      </c>
    </row>
    <row r="2828" spans="73:89" ht="12" customHeight="1">
      <c r="BU2828" s="16">
        <f t="shared" si="672"/>
        <v>0</v>
      </c>
      <c r="BV2828" s="16">
        <f>IF($BY$12=1,NORMDIST(BY2828,$Y$6,$Y$8,TRUE),IF($BY$12=2,IF(BY2828&lt;=$BX$31,0,IF(BY2828&gt;=$BX$32,1,(BY2828-$BX$31)*$BX$33)),SUM($BU$42:BU2828)/$BV$40))</f>
        <v>1</v>
      </c>
      <c r="BW2828" s="16">
        <f t="shared" si="674"/>
        <v>2.3750983767619247E-28</v>
      </c>
      <c r="BY2828" s="16">
        <f t="shared" si="675"/>
        <v>278.59999999999485</v>
      </c>
      <c r="BZ2828" s="16">
        <f t="shared" si="666"/>
        <v>8.5251198017299666E-31</v>
      </c>
      <c r="CA2828" s="16">
        <f t="shared" si="673"/>
        <v>-999</v>
      </c>
      <c r="CE2828" s="16" t="e">
        <f t="shared" si="667"/>
        <v>#N/A</v>
      </c>
      <c r="CF2828" s="16">
        <f t="shared" si="668"/>
        <v>99</v>
      </c>
      <c r="CG2828" s="16">
        <f t="shared" si="669"/>
        <v>0</v>
      </c>
      <c r="CH2828" s="16">
        <f t="shared" si="676"/>
        <v>0</v>
      </c>
      <c r="CJ2828" s="16" t="e">
        <f t="shared" si="670"/>
        <v>#N/A</v>
      </c>
      <c r="CK2828" s="16" t="str">
        <f t="shared" si="671"/>
        <v/>
      </c>
    </row>
    <row r="2829" spans="73:89" ht="12" customHeight="1">
      <c r="BU2829" s="16">
        <f t="shared" si="672"/>
        <v>0</v>
      </c>
      <c r="BV2829" s="16">
        <f>IF($BY$12=1,NORMDIST(BY2829,$Y$6,$Y$8,TRUE),IF($BY$12=2,IF(BY2829&lt;=$BX$31,0,IF(BY2829&gt;=$BX$32,1,(BY2829-$BX$31)*$BX$33)),SUM($BU$42:BU2829)/$BV$40))</f>
        <v>1</v>
      </c>
      <c r="BW2829" s="16">
        <f t="shared" si="674"/>
        <v>2.2439444480104113E-28</v>
      </c>
      <c r="BY2829" s="16">
        <f t="shared" si="675"/>
        <v>278.69999999999487</v>
      </c>
      <c r="BZ2829" s="16">
        <f t="shared" si="666"/>
        <v>8.0514691353084061E-31</v>
      </c>
      <c r="CA2829" s="16">
        <f t="shared" si="673"/>
        <v>-999</v>
      </c>
      <c r="CE2829" s="16" t="e">
        <f t="shared" si="667"/>
        <v>#N/A</v>
      </c>
      <c r="CF2829" s="16">
        <f t="shared" si="668"/>
        <v>99</v>
      </c>
      <c r="CG2829" s="16">
        <f t="shared" si="669"/>
        <v>0</v>
      </c>
      <c r="CH2829" s="16">
        <f t="shared" si="676"/>
        <v>0</v>
      </c>
      <c r="CJ2829" s="16" t="e">
        <f t="shared" si="670"/>
        <v>#N/A</v>
      </c>
      <c r="CK2829" s="16" t="str">
        <f t="shared" si="671"/>
        <v/>
      </c>
    </row>
    <row r="2830" spans="73:89" ht="12" customHeight="1">
      <c r="BU2830" s="16">
        <f t="shared" si="672"/>
        <v>0</v>
      </c>
      <c r="BV2830" s="16">
        <f>IF($BY$12=1,NORMDIST(BY2830,$Y$6,$Y$8,TRUE),IF($BY$12=2,IF(BY2830&lt;=$BX$31,0,IF(BY2830&gt;=$BX$32,1,(BY2830-$BX$31)*$BX$33)),SUM($BU$42:BU2830)/$BV$40))</f>
        <v>1</v>
      </c>
      <c r="BW2830" s="16">
        <f t="shared" si="674"/>
        <v>2.1199796211314786E-28</v>
      </c>
      <c r="BY2830" s="16">
        <f t="shared" si="675"/>
        <v>278.7999999999949</v>
      </c>
      <c r="BZ2830" s="16">
        <f t="shared" si="666"/>
        <v>7.6039441217055857E-31</v>
      </c>
      <c r="CA2830" s="16">
        <f t="shared" si="673"/>
        <v>-999</v>
      </c>
      <c r="CE2830" s="16" t="e">
        <f t="shared" si="667"/>
        <v>#N/A</v>
      </c>
      <c r="CF2830" s="16">
        <f t="shared" si="668"/>
        <v>99</v>
      </c>
      <c r="CG2830" s="16">
        <f t="shared" si="669"/>
        <v>0</v>
      </c>
      <c r="CH2830" s="16">
        <f t="shared" si="676"/>
        <v>0</v>
      </c>
      <c r="CJ2830" s="16" t="e">
        <f t="shared" si="670"/>
        <v>#N/A</v>
      </c>
      <c r="CK2830" s="16" t="str">
        <f t="shared" si="671"/>
        <v/>
      </c>
    </row>
    <row r="2831" spans="73:89" ht="12" customHeight="1">
      <c r="BU2831" s="16">
        <f t="shared" si="672"/>
        <v>0</v>
      </c>
      <c r="BV2831" s="16">
        <f>IF($BY$12=1,NORMDIST(BY2831,$Y$6,$Y$8,TRUE),IF($BY$12=2,IF(BY2831&lt;=$BX$31,0,IF(BY2831&gt;=$BX$32,1,(BY2831-$BX$31)*$BX$33)),SUM($BU$42:BU2831)/$BV$40))</f>
        <v>1</v>
      </c>
      <c r="BW2831" s="16">
        <f t="shared" si="674"/>
        <v>2.0028127984081656E-28</v>
      </c>
      <c r="BY2831" s="16">
        <f t="shared" si="675"/>
        <v>278.89999999999492</v>
      </c>
      <c r="BZ2831" s="16">
        <f t="shared" si="666"/>
        <v>7.1811143722058162E-31</v>
      </c>
      <c r="CA2831" s="16">
        <f t="shared" si="673"/>
        <v>-999</v>
      </c>
      <c r="CE2831" s="16" t="e">
        <f t="shared" si="667"/>
        <v>#N/A</v>
      </c>
      <c r="CF2831" s="16">
        <f t="shared" si="668"/>
        <v>99</v>
      </c>
      <c r="CG2831" s="16">
        <f t="shared" si="669"/>
        <v>0</v>
      </c>
      <c r="CH2831" s="16">
        <f t="shared" si="676"/>
        <v>0</v>
      </c>
      <c r="CJ2831" s="16" t="e">
        <f t="shared" si="670"/>
        <v>#N/A</v>
      </c>
      <c r="CK2831" s="16" t="str">
        <f t="shared" si="671"/>
        <v/>
      </c>
    </row>
    <row r="2832" spans="73:89" ht="12" customHeight="1">
      <c r="BU2832" s="16">
        <f t="shared" si="672"/>
        <v>0</v>
      </c>
      <c r="BV2832" s="16">
        <f>IF($BY$12=1,NORMDIST(BY2832,$Y$6,$Y$8,TRUE),IF($BY$12=2,IF(BY2832&lt;=$BX$31,0,IF(BY2832&gt;=$BX$32,1,(BY2832-$BX$31)*$BX$33)),SUM($BU$42:BU2832)/$BV$40))</f>
        <v>1</v>
      </c>
      <c r="BW2832" s="16">
        <f t="shared" si="674"/>
        <v>1.8920739942921454E-28</v>
      </c>
      <c r="BY2832" s="16">
        <f t="shared" si="675"/>
        <v>278.99999999999494</v>
      </c>
      <c r="BZ2832" s="16">
        <f t="shared" si="666"/>
        <v>6.7816272196852321E-31</v>
      </c>
      <c r="CA2832" s="16">
        <f t="shared" si="673"/>
        <v>-999</v>
      </c>
      <c r="CE2832" s="16" t="e">
        <f t="shared" si="667"/>
        <v>#N/A</v>
      </c>
      <c r="CF2832" s="16">
        <f t="shared" si="668"/>
        <v>99</v>
      </c>
      <c r="CG2832" s="16">
        <f t="shared" si="669"/>
        <v>0</v>
      </c>
      <c r="CH2832" s="16">
        <f t="shared" si="676"/>
        <v>0</v>
      </c>
      <c r="CJ2832" s="16" t="e">
        <f t="shared" si="670"/>
        <v>#N/A</v>
      </c>
      <c r="CK2832" s="16" t="str">
        <f t="shared" si="671"/>
        <v/>
      </c>
    </row>
    <row r="2833" spans="73:89" ht="12" customHeight="1">
      <c r="BU2833" s="16">
        <f t="shared" si="672"/>
        <v>0</v>
      </c>
      <c r="BV2833" s="16">
        <f>IF($BY$12=1,NORMDIST(BY2833,$Y$6,$Y$8,TRUE),IF($BY$12=2,IF(BY2833&lt;=$BX$31,0,IF(BY2833&gt;=$BX$32,1,(BY2833-$BX$31)*$BX$33)),SUM($BU$42:BU2833)/$BV$40))</f>
        <v>1</v>
      </c>
      <c r="BW2833" s="16">
        <f t="shared" si="674"/>
        <v>1.7874132047426094E-28</v>
      </c>
      <c r="BY2833" s="16">
        <f t="shared" si="675"/>
        <v>279.09999999999496</v>
      </c>
      <c r="BZ2833" s="16">
        <f t="shared" si="666"/>
        <v>6.4042035282789026E-31</v>
      </c>
      <c r="CA2833" s="16">
        <f t="shared" si="673"/>
        <v>-999</v>
      </c>
      <c r="CE2833" s="16" t="e">
        <f t="shared" si="667"/>
        <v>#N/A</v>
      </c>
      <c r="CF2833" s="16">
        <f t="shared" si="668"/>
        <v>99</v>
      </c>
      <c r="CG2833" s="16">
        <f t="shared" si="669"/>
        <v>0</v>
      </c>
      <c r="CH2833" s="16">
        <f t="shared" si="676"/>
        <v>0</v>
      </c>
      <c r="CJ2833" s="16" t="e">
        <f t="shared" si="670"/>
        <v>#N/A</v>
      </c>
      <c r="CK2833" s="16" t="str">
        <f t="shared" si="671"/>
        <v/>
      </c>
    </row>
    <row r="2834" spans="73:89" ht="12" customHeight="1">
      <c r="BU2834" s="16">
        <f t="shared" si="672"/>
        <v>0</v>
      </c>
      <c r="BV2834" s="16">
        <f>IF($BY$12=1,NORMDIST(BY2834,$Y$6,$Y$8,TRUE),IF($BY$12=2,IF(BY2834&lt;=$BX$31,0,IF(BY2834&gt;=$BX$32,1,(BY2834-$BX$31)*$BX$33)),SUM($BU$42:BU2834)/$BV$40))</f>
        <v>1</v>
      </c>
      <c r="BW2834" s="16">
        <f t="shared" si="674"/>
        <v>1.6884993366259818E-28</v>
      </c>
      <c r="BY2834" s="16">
        <f t="shared" si="675"/>
        <v>279.19999999999499</v>
      </c>
      <c r="BZ2834" s="16">
        <f t="shared" si="666"/>
        <v>6.0476337271705302E-31</v>
      </c>
      <c r="CA2834" s="16">
        <f t="shared" si="673"/>
        <v>-999</v>
      </c>
      <c r="CE2834" s="16" t="e">
        <f t="shared" si="667"/>
        <v>#N/A</v>
      </c>
      <c r="CF2834" s="16">
        <f t="shared" si="668"/>
        <v>99</v>
      </c>
      <c r="CG2834" s="16">
        <f t="shared" si="669"/>
        <v>0</v>
      </c>
      <c r="CH2834" s="16">
        <f t="shared" si="676"/>
        <v>0</v>
      </c>
      <c r="CJ2834" s="16" t="e">
        <f t="shared" si="670"/>
        <v>#N/A</v>
      </c>
      <c r="CK2834" s="16" t="str">
        <f t="shared" si="671"/>
        <v/>
      </c>
    </row>
    <row r="2835" spans="73:89" ht="12" customHeight="1">
      <c r="BU2835" s="16">
        <f t="shared" si="672"/>
        <v>0</v>
      </c>
      <c r="BV2835" s="16">
        <f>IF($BY$12=1,NORMDIST(BY2835,$Y$6,$Y$8,TRUE),IF($BY$12=2,IF(BY2835&lt;=$BX$31,0,IF(BY2835&gt;=$BX$32,1,(BY2835-$BX$31)*$BX$33)),SUM($BU$42:BU2835)/$BV$40))</f>
        <v>1</v>
      </c>
      <c r="BW2835" s="16">
        <f t="shared" si="674"/>
        <v>1.595019194013374E-28</v>
      </c>
      <c r="BY2835" s="16">
        <f t="shared" si="675"/>
        <v>279.29999999999501</v>
      </c>
      <c r="BZ2835" s="16">
        <f t="shared" si="666"/>
        <v>5.7107740566179823E-31</v>
      </c>
      <c r="CA2835" s="16">
        <f t="shared" si="673"/>
        <v>-999</v>
      </c>
      <c r="CE2835" s="16" t="e">
        <f t="shared" si="667"/>
        <v>#N/A</v>
      </c>
      <c r="CF2835" s="16">
        <f t="shared" si="668"/>
        <v>99</v>
      </c>
      <c r="CG2835" s="16">
        <f t="shared" si="669"/>
        <v>0</v>
      </c>
      <c r="CH2835" s="16">
        <f t="shared" si="676"/>
        <v>0</v>
      </c>
      <c r="CJ2835" s="16" t="e">
        <f t="shared" si="670"/>
        <v>#N/A</v>
      </c>
      <c r="CK2835" s="16" t="str">
        <f t="shared" si="671"/>
        <v/>
      </c>
    </row>
    <row r="2836" spans="73:89" ht="12" customHeight="1">
      <c r="BU2836" s="16">
        <f t="shared" si="672"/>
        <v>0</v>
      </c>
      <c r="BV2836" s="16">
        <f>IF($BY$12=1,NORMDIST(BY2836,$Y$6,$Y$8,TRUE),IF($BY$12=2,IF(BY2836&lt;=$BX$31,0,IF(BY2836&gt;=$BX$32,1,(BY2836-$BX$31)*$BX$33)),SUM($BU$42:BU2836)/$BV$40))</f>
        <v>1</v>
      </c>
      <c r="BW2836" s="16">
        <f t="shared" si="674"/>
        <v>1.5066765183767743E-28</v>
      </c>
      <c r="BY2836" s="16">
        <f t="shared" si="675"/>
        <v>279.39999999999503</v>
      </c>
      <c r="BZ2836" s="16">
        <f t="shared" si="666"/>
        <v>5.3925430149491808E-31</v>
      </c>
      <c r="CA2836" s="16">
        <f t="shared" si="673"/>
        <v>-999</v>
      </c>
      <c r="CE2836" s="16" t="e">
        <f t="shared" si="667"/>
        <v>#N/A</v>
      </c>
      <c r="CF2836" s="16">
        <f t="shared" si="668"/>
        <v>99</v>
      </c>
      <c r="CG2836" s="16">
        <f t="shared" si="669"/>
        <v>0</v>
      </c>
      <c r="CH2836" s="16">
        <f t="shared" si="676"/>
        <v>0</v>
      </c>
      <c r="CJ2836" s="16" t="e">
        <f t="shared" si="670"/>
        <v>#N/A</v>
      </c>
      <c r="CK2836" s="16" t="str">
        <f t="shared" si="671"/>
        <v/>
      </c>
    </row>
    <row r="2837" spans="73:89" ht="12" customHeight="1">
      <c r="BU2837" s="16">
        <f t="shared" si="672"/>
        <v>0</v>
      </c>
      <c r="BV2837" s="16">
        <f>IF($BY$12=1,NORMDIST(BY2837,$Y$6,$Y$8,TRUE),IF($BY$12=2,IF(BY2837&lt;=$BX$31,0,IF(BY2837&gt;=$BX$32,1,(BY2837-$BX$31)*$BX$33)),SUM($BU$42:BU2837)/$BV$40))</f>
        <v>1</v>
      </c>
      <c r="BW2837" s="16">
        <f t="shared" si="674"/>
        <v>1.4231910798417364E-28</v>
      </c>
      <c r="BY2837" s="16">
        <f t="shared" si="675"/>
        <v>279.49999999999505</v>
      </c>
      <c r="BZ2837" s="16">
        <f t="shared" si="666"/>
        <v>5.0919179958560341E-31</v>
      </c>
      <c r="CA2837" s="16">
        <f t="shared" si="673"/>
        <v>-999</v>
      </c>
      <c r="CE2837" s="16" t="e">
        <f t="shared" si="667"/>
        <v>#N/A</v>
      </c>
      <c r="CF2837" s="16">
        <f t="shared" si="668"/>
        <v>99</v>
      </c>
      <c r="CG2837" s="16">
        <f t="shared" si="669"/>
        <v>0</v>
      </c>
      <c r="CH2837" s="16">
        <f t="shared" si="676"/>
        <v>0</v>
      </c>
      <c r="CJ2837" s="16" t="e">
        <f t="shared" si="670"/>
        <v>#N/A</v>
      </c>
      <c r="CK2837" s="16" t="str">
        <f t="shared" si="671"/>
        <v/>
      </c>
    </row>
    <row r="2838" spans="73:89" ht="12" customHeight="1">
      <c r="BU2838" s="16">
        <f t="shared" si="672"/>
        <v>0</v>
      </c>
      <c r="BV2838" s="16">
        <f>IF($BY$12=1,NORMDIST(BY2838,$Y$6,$Y$8,TRUE),IF($BY$12=2,IF(BY2838&lt;=$BX$31,0,IF(BY2838&gt;=$BX$32,1,(BY2838-$BX$31)*$BX$33)),SUM($BU$42:BU2838)/$BV$40))</f>
        <v>1</v>
      </c>
      <c r="BW2838" s="16">
        <f t="shared" si="674"/>
        <v>1.3442978168034676E-28</v>
      </c>
      <c r="BY2838" s="16">
        <f t="shared" si="675"/>
        <v>279.59999999999508</v>
      </c>
      <c r="BZ2838" s="16">
        <f t="shared" si="666"/>
        <v>4.8079321058780089E-31</v>
      </c>
      <c r="CA2838" s="16">
        <f t="shared" si="673"/>
        <v>-999</v>
      </c>
      <c r="CE2838" s="16" t="e">
        <f t="shared" si="667"/>
        <v>#N/A</v>
      </c>
      <c r="CF2838" s="16">
        <f t="shared" si="668"/>
        <v>99</v>
      </c>
      <c r="CG2838" s="16">
        <f t="shared" si="669"/>
        <v>0</v>
      </c>
      <c r="CH2838" s="16">
        <f t="shared" si="676"/>
        <v>0</v>
      </c>
      <c r="CJ2838" s="16" t="e">
        <f t="shared" si="670"/>
        <v>#N/A</v>
      </c>
      <c r="CK2838" s="16" t="str">
        <f t="shared" si="671"/>
        <v/>
      </c>
    </row>
    <row r="2839" spans="73:89" ht="12" customHeight="1">
      <c r="BU2839" s="16">
        <f t="shared" si="672"/>
        <v>0</v>
      </c>
      <c r="BV2839" s="16">
        <f>IF($BY$12=1,NORMDIST(BY2839,$Y$6,$Y$8,TRUE),IF($BY$12=2,IF(BY2839&lt;=$BX$31,0,IF(BY2839&gt;=$BX$32,1,(BY2839-$BX$31)*$BX$33)),SUM($BU$42:BU2839)/$BV$40))</f>
        <v>1</v>
      </c>
      <c r="BW2839" s="16">
        <f t="shared" si="674"/>
        <v>1.2697460213539434E-28</v>
      </c>
      <c r="BY2839" s="16">
        <f t="shared" si="675"/>
        <v>279.6999999999951</v>
      </c>
      <c r="BZ2839" s="16">
        <f t="shared" si="666"/>
        <v>4.5396711524989835E-31</v>
      </c>
      <c r="CA2839" s="16">
        <f t="shared" si="673"/>
        <v>-999</v>
      </c>
      <c r="CE2839" s="16" t="e">
        <f t="shared" si="667"/>
        <v>#N/A</v>
      </c>
      <c r="CF2839" s="16">
        <f t="shared" si="668"/>
        <v>99</v>
      </c>
      <c r="CG2839" s="16">
        <f t="shared" si="669"/>
        <v>0</v>
      </c>
      <c r="CH2839" s="16">
        <f t="shared" si="676"/>
        <v>0</v>
      </c>
      <c r="CJ2839" s="16" t="e">
        <f t="shared" si="670"/>
        <v>#N/A</v>
      </c>
      <c r="CK2839" s="16" t="str">
        <f t="shared" si="671"/>
        <v/>
      </c>
    </row>
    <row r="2840" spans="73:89" ht="12" customHeight="1">
      <c r="BU2840" s="16">
        <f t="shared" si="672"/>
        <v>0</v>
      </c>
      <c r="BV2840" s="16">
        <f>IF($BY$12=1,NORMDIST(BY2840,$Y$6,$Y$8,TRUE),IF($BY$12=2,IF(BY2840&lt;=$BX$31,0,IF(BY2840&gt;=$BX$32,1,(BY2840-$BX$31)*$BX$33)),SUM($BU$42:BU2840)/$BV$40))</f>
        <v>1</v>
      </c>
      <c r="BW2840" s="16">
        <f t="shared" si="674"/>
        <v>1.1992985681005145E-28</v>
      </c>
      <c r="BY2840" s="16">
        <f t="shared" si="675"/>
        <v>279.79999999999512</v>
      </c>
      <c r="BZ2840" s="16">
        <f t="shared" si="666"/>
        <v>4.2862707937831857E-31</v>
      </c>
      <c r="CA2840" s="16">
        <f t="shared" si="673"/>
        <v>-999</v>
      </c>
      <c r="CE2840" s="16" t="e">
        <f t="shared" si="667"/>
        <v>#N/A</v>
      </c>
      <c r="CF2840" s="16">
        <f t="shared" si="668"/>
        <v>99</v>
      </c>
      <c r="CG2840" s="16">
        <f t="shared" si="669"/>
        <v>0</v>
      </c>
      <c r="CH2840" s="16">
        <f t="shared" si="676"/>
        <v>0</v>
      </c>
      <c r="CJ2840" s="16" t="e">
        <f t="shared" si="670"/>
        <v>#N/A</v>
      </c>
      <c r="CK2840" s="16" t="str">
        <f t="shared" si="671"/>
        <v/>
      </c>
    </row>
    <row r="2841" spans="73:89" ht="12" customHeight="1">
      <c r="BU2841" s="16">
        <f t="shared" si="672"/>
        <v>0</v>
      </c>
      <c r="BV2841" s="16">
        <f>IF($BY$12=1,NORMDIST(BY2841,$Y$6,$Y$8,TRUE),IF($BY$12=2,IF(BY2841&lt;=$BX$31,0,IF(BY2841&gt;=$BX$32,1,(BY2841-$BX$31)*$BX$33)),SUM($BU$42:BU2841)/$BV$40))</f>
        <v>1</v>
      </c>
      <c r="BW2841" s="16">
        <f t="shared" si="674"/>
        <v>1.1327311840841863E-28</v>
      </c>
      <c r="BY2841" s="16">
        <f t="shared" si="675"/>
        <v>279.89999999999515</v>
      </c>
      <c r="BZ2841" s="16">
        <f t="shared" si="666"/>
        <v>4.0469138409582203E-31</v>
      </c>
      <c r="CA2841" s="16">
        <f t="shared" si="673"/>
        <v>-999</v>
      </c>
      <c r="CE2841" s="16" t="e">
        <f t="shared" si="667"/>
        <v>#N/A</v>
      </c>
      <c r="CF2841" s="16">
        <f t="shared" si="668"/>
        <v>99</v>
      </c>
      <c r="CG2841" s="16">
        <f t="shared" si="669"/>
        <v>0</v>
      </c>
      <c r="CH2841" s="16">
        <f t="shared" si="676"/>
        <v>0</v>
      </c>
      <c r="CJ2841" s="16" t="e">
        <f t="shared" si="670"/>
        <v>#N/A</v>
      </c>
      <c r="CK2841" s="16" t="str">
        <f t="shared" si="671"/>
        <v/>
      </c>
    </row>
    <row r="2842" spans="73:89" ht="12" customHeight="1">
      <c r="BU2842" s="16">
        <f t="shared" si="672"/>
        <v>0</v>
      </c>
      <c r="BV2842" s="16">
        <f>IF($BY$12=1,NORMDIST(BY2842,$Y$6,$Y$8,TRUE),IF($BY$12=2,IF(BY2842&lt;=$BX$31,0,IF(BY2842&gt;=$BX$32,1,(BY2842-$BX$31)*$BX$33)),SUM($BU$42:BU2842)/$BV$40))</f>
        <v>1</v>
      </c>
      <c r="BW2842" s="16">
        <f t="shared" si="674"/>
        <v>1.0698317576251547E-28</v>
      </c>
      <c r="BY2842" s="16">
        <f t="shared" si="675"/>
        <v>279.99999999999517</v>
      </c>
      <c r="BZ2842" s="16">
        <f t="shared" si="666"/>
        <v>3.8208277058041896E-31</v>
      </c>
      <c r="CA2842" s="16">
        <f t="shared" si="673"/>
        <v>-999</v>
      </c>
      <c r="CE2842" s="16" t="e">
        <f t="shared" si="667"/>
        <v>#N/A</v>
      </c>
      <c r="CF2842" s="16">
        <f t="shared" si="668"/>
        <v>99</v>
      </c>
      <c r="CG2842" s="16">
        <f t="shared" si="669"/>
        <v>0</v>
      </c>
      <c r="CH2842" s="16">
        <f t="shared" si="676"/>
        <v>0</v>
      </c>
      <c r="CJ2842" s="16" t="e">
        <f t="shared" si="670"/>
        <v>#N/A</v>
      </c>
      <c r="CK2842" s="16" t="str">
        <f t="shared" si="671"/>
        <v/>
      </c>
    </row>
    <row r="2843" spans="73:89" ht="12" customHeight="1">
      <c r="BU2843" s="16">
        <f t="shared" si="672"/>
        <v>0</v>
      </c>
      <c r="BV2843" s="16">
        <f>IF($BY$12=1,NORMDIST(BY2843,$Y$6,$Y$8,TRUE),IF($BY$12=2,IF(BY2843&lt;=$BX$31,0,IF(BY2843&gt;=$BX$32,1,(BY2843-$BX$31)*$BX$33)),SUM($BU$42:BU2843)/$BV$40))</f>
        <v>1</v>
      </c>
      <c r="BW2843" s="16">
        <f t="shared" si="674"/>
        <v>1.01039968403713E-28</v>
      </c>
      <c r="BY2843" s="16">
        <f t="shared" si="675"/>
        <v>280.09999999999519</v>
      </c>
      <c r="BZ2843" s="16">
        <f t="shared" si="666"/>
        <v>3.6072819851379771E-31</v>
      </c>
      <c r="CA2843" s="16">
        <f t="shared" si="673"/>
        <v>-999</v>
      </c>
      <c r="CE2843" s="16" t="e">
        <f t="shared" si="667"/>
        <v>#N/A</v>
      </c>
      <c r="CF2843" s="16">
        <f t="shared" si="668"/>
        <v>99</v>
      </c>
      <c r="CG2843" s="16">
        <f t="shared" si="669"/>
        <v>0</v>
      </c>
      <c r="CH2843" s="16">
        <f t="shared" si="676"/>
        <v>0</v>
      </c>
      <c r="CJ2843" s="16" t="e">
        <f t="shared" si="670"/>
        <v>#N/A</v>
      </c>
      <c r="CK2843" s="16" t="str">
        <f t="shared" si="671"/>
        <v/>
      </c>
    </row>
    <row r="2844" spans="73:89" ht="12" customHeight="1">
      <c r="BU2844" s="16">
        <f t="shared" si="672"/>
        <v>0</v>
      </c>
      <c r="BV2844" s="16">
        <f>IF($BY$12=1,NORMDIST(BY2844,$Y$6,$Y$8,TRUE),IF($BY$12=2,IF(BY2844&lt;=$BX$31,0,IF(BY2844&gt;=$BX$32,1,(BY2844-$BX$31)*$BX$33)),SUM($BU$42:BU2844)/$BV$40))</f>
        <v>1</v>
      </c>
      <c r="BW2844" s="16">
        <f t="shared" si="674"/>
        <v>9.5424524625998332E-29</v>
      </c>
      <c r="BY2844" s="16">
        <f t="shared" si="675"/>
        <v>280.19999999999521</v>
      </c>
      <c r="BZ2844" s="16">
        <f t="shared" si="666"/>
        <v>3.4055861750892205E-31</v>
      </c>
      <c r="CA2844" s="16">
        <f t="shared" si="673"/>
        <v>-999</v>
      </c>
      <c r="CE2844" s="16" t="e">
        <f t="shared" si="667"/>
        <v>#N/A</v>
      </c>
      <c r="CF2844" s="16">
        <f t="shared" si="668"/>
        <v>99</v>
      </c>
      <c r="CG2844" s="16">
        <f t="shared" si="669"/>
        <v>0</v>
      </c>
      <c r="CH2844" s="16">
        <f t="shared" si="676"/>
        <v>0</v>
      </c>
      <c r="CJ2844" s="16" t="e">
        <f t="shared" si="670"/>
        <v>#N/A</v>
      </c>
      <c r="CK2844" s="16" t="str">
        <f t="shared" si="671"/>
        <v/>
      </c>
    </row>
    <row r="2845" spans="73:89" ht="12" customHeight="1">
      <c r="BU2845" s="16">
        <f t="shared" si="672"/>
        <v>0</v>
      </c>
      <c r="BV2845" s="16">
        <f>IF($BY$12=1,NORMDIST(BY2845,$Y$6,$Y$8,TRUE),IF($BY$12=2,IF(BY2845&lt;=$BX$31,0,IF(BY2845&gt;=$BX$32,1,(BY2845-$BX$31)*$BX$33)),SUM($BU$42:BU2845)/$BV$40))</f>
        <v>1</v>
      </c>
      <c r="BW2845" s="16">
        <f t="shared" si="674"/>
        <v>9.0118902856251027E-29</v>
      </c>
      <c r="BY2845" s="16">
        <f t="shared" si="675"/>
        <v>280.29999999999524</v>
      </c>
      <c r="BZ2845" s="16">
        <f t="shared" si="666"/>
        <v>3.2150875082501804E-31</v>
      </c>
      <c r="CA2845" s="16">
        <f t="shared" si="673"/>
        <v>-999</v>
      </c>
      <c r="CE2845" s="16" t="e">
        <f t="shared" si="667"/>
        <v>#N/A</v>
      </c>
      <c r="CF2845" s="16">
        <f t="shared" si="668"/>
        <v>99</v>
      </c>
      <c r="CG2845" s="16">
        <f t="shared" si="669"/>
        <v>0</v>
      </c>
      <c r="CH2845" s="16">
        <f t="shared" si="676"/>
        <v>0</v>
      </c>
      <c r="CJ2845" s="16" t="e">
        <f t="shared" si="670"/>
        <v>#N/A</v>
      </c>
      <c r="CK2845" s="16" t="str">
        <f t="shared" si="671"/>
        <v/>
      </c>
    </row>
    <row r="2846" spans="73:89" ht="12" customHeight="1">
      <c r="BU2846" s="16">
        <f t="shared" si="672"/>
        <v>0</v>
      </c>
      <c r="BV2846" s="16">
        <f>IF($BY$12=1,NORMDIST(BY2846,$Y$6,$Y$8,TRUE),IF($BY$12=2,IF(BY2846&lt;=$BX$31,0,IF(BY2846&gt;=$BX$32,1,(BY2846-$BX$31)*$BX$33)),SUM($BU$42:BU2846)/$BV$40))</f>
        <v>1</v>
      </c>
      <c r="BW2846" s="16">
        <f t="shared" si="674"/>
        <v>8.5106136156433474E-29</v>
      </c>
      <c r="BY2846" s="16">
        <f t="shared" si="675"/>
        <v>280.39999999999526</v>
      </c>
      <c r="BZ2846" s="16">
        <f t="shared" si="666"/>
        <v>3.035168907148178E-31</v>
      </c>
      <c r="CA2846" s="16">
        <f t="shared" si="673"/>
        <v>-999</v>
      </c>
      <c r="CE2846" s="16" t="e">
        <f t="shared" si="667"/>
        <v>#N/A</v>
      </c>
      <c r="CF2846" s="16">
        <f t="shared" si="668"/>
        <v>99</v>
      </c>
      <c r="CG2846" s="16">
        <f t="shared" si="669"/>
        <v>0</v>
      </c>
      <c r="CH2846" s="16">
        <f t="shared" si="676"/>
        <v>0</v>
      </c>
      <c r="CJ2846" s="16" t="e">
        <f t="shared" si="670"/>
        <v>#N/A</v>
      </c>
      <c r="CK2846" s="16" t="str">
        <f t="shared" si="671"/>
        <v/>
      </c>
    </row>
    <row r="2847" spans="73:89" ht="12" customHeight="1">
      <c r="BU2847" s="16">
        <f t="shared" si="672"/>
        <v>0</v>
      </c>
      <c r="BV2847" s="16">
        <f>IF($BY$12=1,NORMDIST(BY2847,$Y$6,$Y$8,TRUE),IF($BY$12=2,IF(BY2847&lt;=$BX$31,0,IF(BY2847&gt;=$BX$32,1,(BY2847-$BX$31)*$BX$33)),SUM($BU$42:BU2847)/$BV$40))</f>
        <v>1</v>
      </c>
      <c r="BW2847" s="16">
        <f t="shared" si="674"/>
        <v>8.0370179691730339E-29</v>
      </c>
      <c r="BY2847" s="16">
        <f t="shared" si="675"/>
        <v>280.49999999999528</v>
      </c>
      <c r="BZ2847" s="16">
        <f t="shared" si="666"/>
        <v>2.865247047833572E-31</v>
      </c>
      <c r="CA2847" s="16">
        <f t="shared" si="673"/>
        <v>-999</v>
      </c>
      <c r="CE2847" s="16" t="e">
        <f t="shared" si="667"/>
        <v>#N/A</v>
      </c>
      <c r="CF2847" s="16">
        <f t="shared" si="668"/>
        <v>99</v>
      </c>
      <c r="CG2847" s="16">
        <f t="shared" si="669"/>
        <v>0</v>
      </c>
      <c r="CH2847" s="16">
        <f t="shared" si="676"/>
        <v>0</v>
      </c>
      <c r="CJ2847" s="16" t="e">
        <f t="shared" si="670"/>
        <v>#N/A</v>
      </c>
      <c r="CK2847" s="16" t="str">
        <f t="shared" si="671"/>
        <v/>
      </c>
    </row>
    <row r="2848" spans="73:89" ht="12" customHeight="1">
      <c r="BU2848" s="16">
        <f t="shared" si="672"/>
        <v>0</v>
      </c>
      <c r="BV2848" s="16">
        <f>IF($BY$12=1,NORMDIST(BY2848,$Y$6,$Y$8,TRUE),IF($BY$12=2,IF(BY2848&lt;=$BX$31,0,IF(BY2848&gt;=$BX$32,1,(BY2848-$BX$31)*$BX$33)),SUM($BU$42:BU2848)/$BV$40))</f>
        <v>1</v>
      </c>
      <c r="BW2848" s="16">
        <f t="shared" si="674"/>
        <v>7.5895861007470778E-29</v>
      </c>
      <c r="BY2848" s="16">
        <f t="shared" si="675"/>
        <v>280.5999999999953</v>
      </c>
      <c r="BZ2848" s="16">
        <f t="shared" si="666"/>
        <v>2.7047705277074858E-31</v>
      </c>
      <c r="CA2848" s="16">
        <f t="shared" si="673"/>
        <v>-999</v>
      </c>
      <c r="CE2848" s="16" t="e">
        <f t="shared" si="667"/>
        <v>#N/A</v>
      </c>
      <c r="CF2848" s="16">
        <f t="shared" si="668"/>
        <v>99</v>
      </c>
      <c r="CG2848" s="16">
        <f t="shared" si="669"/>
        <v>0</v>
      </c>
      <c r="CH2848" s="16">
        <f t="shared" si="676"/>
        <v>0</v>
      </c>
      <c r="CJ2848" s="16" t="e">
        <f t="shared" si="670"/>
        <v>#N/A</v>
      </c>
      <c r="CK2848" s="16" t="str">
        <f t="shared" si="671"/>
        <v/>
      </c>
    </row>
    <row r="2849" spans="73:89" ht="12" customHeight="1">
      <c r="BU2849" s="16">
        <f t="shared" si="672"/>
        <v>0</v>
      </c>
      <c r="BV2849" s="16">
        <f>IF($BY$12=1,NORMDIST(BY2849,$Y$6,$Y$8,TRUE),IF($BY$12=2,IF(BY2849&lt;=$BX$31,0,IF(BY2849&gt;=$BX$32,1,(BY2849-$BX$31)*$BX$33)),SUM($BU$42:BU2849)/$BV$40))</f>
        <v>1</v>
      </c>
      <c r="BW2849" s="16">
        <f t="shared" si="674"/>
        <v>7.1668832965853032E-29</v>
      </c>
      <c r="BY2849" s="16">
        <f t="shared" si="675"/>
        <v>280.69999999999533</v>
      </c>
      <c r="BZ2849" s="16">
        <f t="shared" si="666"/>
        <v>2.5532181320218819E-31</v>
      </c>
      <c r="CA2849" s="16">
        <f t="shared" si="673"/>
        <v>-999</v>
      </c>
      <c r="CE2849" s="16" t="e">
        <f t="shared" si="667"/>
        <v>#N/A</v>
      </c>
      <c r="CF2849" s="16">
        <f t="shared" si="668"/>
        <v>99</v>
      </c>
      <c r="CG2849" s="16">
        <f t="shared" si="669"/>
        <v>0</v>
      </c>
      <c r="CH2849" s="16">
        <f t="shared" si="676"/>
        <v>0</v>
      </c>
      <c r="CJ2849" s="16" t="e">
        <f t="shared" si="670"/>
        <v>#N/A</v>
      </c>
      <c r="CK2849" s="16" t="str">
        <f t="shared" si="671"/>
        <v/>
      </c>
    </row>
    <row r="2850" spans="73:89" ht="12" customHeight="1">
      <c r="BU2850" s="16">
        <f t="shared" si="672"/>
        <v>0</v>
      </c>
      <c r="BV2850" s="16">
        <f>IF($BY$12=1,NORMDIST(BY2850,$Y$6,$Y$8,TRUE),IF($BY$12=2,IF(BY2850&lt;=$BX$31,0,IF(BY2850&gt;=$BX$32,1,(BY2850-$BX$31)*$BX$33)),SUM($BU$42:BU2850)/$BV$40))</f>
        <v>1</v>
      </c>
      <c r="BW2850" s="16">
        <f t="shared" si="674"/>
        <v>6.7675529201394147E-29</v>
      </c>
      <c r="BY2850" s="16">
        <f t="shared" si="675"/>
        <v>280.79999999999535</v>
      </c>
      <c r="BZ2850" s="16">
        <f t="shared" si="666"/>
        <v>2.4100971937818826E-31</v>
      </c>
      <c r="CA2850" s="16">
        <f t="shared" si="673"/>
        <v>-999</v>
      </c>
      <c r="CE2850" s="16" t="e">
        <f t="shared" si="667"/>
        <v>#N/A</v>
      </c>
      <c r="CF2850" s="16">
        <f t="shared" si="668"/>
        <v>99</v>
      </c>
      <c r="CG2850" s="16">
        <f t="shared" si="669"/>
        <v>0</v>
      </c>
      <c r="CH2850" s="16">
        <f t="shared" si="676"/>
        <v>0</v>
      </c>
      <c r="CJ2850" s="16" t="e">
        <f t="shared" si="670"/>
        <v>#N/A</v>
      </c>
      <c r="CK2850" s="16" t="str">
        <f t="shared" si="671"/>
        <v/>
      </c>
    </row>
    <row r="2851" spans="73:89" ht="12" customHeight="1">
      <c r="BU2851" s="16">
        <f t="shared" si="672"/>
        <v>0</v>
      </c>
      <c r="BV2851" s="16">
        <f>IF($BY$12=1,NORMDIST(BY2851,$Y$6,$Y$8,TRUE),IF($BY$12=2,IF(BY2851&lt;=$BX$31,0,IF(BY2851&gt;=$BX$32,1,(BY2851-$BX$31)*$BX$33)),SUM($BU$42:BU2851)/$BV$40))</f>
        <v>1</v>
      </c>
      <c r="BW2851" s="16">
        <f t="shared" si="674"/>
        <v>6.3903121961375657E-29</v>
      </c>
      <c r="BY2851" s="16">
        <f t="shared" si="675"/>
        <v>280.89999999999537</v>
      </c>
      <c r="BZ2851" s="16">
        <f t="shared" si="666"/>
        <v>2.2749420420568424E-31</v>
      </c>
      <c r="CA2851" s="16">
        <f t="shared" si="673"/>
        <v>-999</v>
      </c>
      <c r="CE2851" s="16" t="e">
        <f t="shared" si="667"/>
        <v>#N/A</v>
      </c>
      <c r="CF2851" s="16">
        <f t="shared" si="668"/>
        <v>99</v>
      </c>
      <c r="CG2851" s="16">
        <f t="shared" si="669"/>
        <v>0</v>
      </c>
      <c r="CH2851" s="16">
        <f t="shared" si="676"/>
        <v>0</v>
      </c>
      <c r="CJ2851" s="16" t="e">
        <f t="shared" si="670"/>
        <v>#N/A</v>
      </c>
      <c r="CK2851" s="16" t="str">
        <f t="shared" si="671"/>
        <v/>
      </c>
    </row>
    <row r="2852" spans="73:89" ht="12" customHeight="1">
      <c r="BU2852" s="16">
        <f t="shared" si="672"/>
        <v>0</v>
      </c>
      <c r="BV2852" s="16">
        <f>IF($BY$12=1,NORMDIST(BY2852,$Y$6,$Y$8,TRUE),IF($BY$12=2,IF(BY2852&lt;=$BX$31,0,IF(BY2852&gt;=$BX$32,1,(BY2852-$BX$31)*$BX$33)),SUM($BU$42:BU2852)/$BV$40))</f>
        <v>1</v>
      </c>
      <c r="BW2852" s="16">
        <f t="shared" si="674"/>
        <v>6.0339482204659485E-29</v>
      </c>
      <c r="BY2852" s="16">
        <f t="shared" si="675"/>
        <v>280.9999999999954</v>
      </c>
      <c r="BZ2852" s="16">
        <f t="shared" si="666"/>
        <v>2.1473125339736824E-31</v>
      </c>
      <c r="CA2852" s="16">
        <f t="shared" si="673"/>
        <v>-999</v>
      </c>
      <c r="CE2852" s="16" t="e">
        <f t="shared" si="667"/>
        <v>#N/A</v>
      </c>
      <c r="CF2852" s="16">
        <f t="shared" si="668"/>
        <v>99</v>
      </c>
      <c r="CG2852" s="16">
        <f t="shared" si="669"/>
        <v>0</v>
      </c>
      <c r="CH2852" s="16">
        <f t="shared" si="676"/>
        <v>0</v>
      </c>
      <c r="CJ2852" s="16" t="e">
        <f t="shared" si="670"/>
        <v>#N/A</v>
      </c>
      <c r="CK2852" s="16" t="str">
        <f t="shared" si="671"/>
        <v/>
      </c>
    </row>
    <row r="2853" spans="73:89" ht="12" customHeight="1">
      <c r="BU2853" s="16">
        <f t="shared" si="672"/>
        <v>0</v>
      </c>
      <c r="BV2853" s="16">
        <f>IF($BY$12=1,NORMDIST(BY2853,$Y$6,$Y$8,TRUE),IF($BY$12=2,IF(BY2853&lt;=$BX$31,0,IF(BY2853&gt;=$BX$32,1,(BY2853-$BX$31)*$BX$33)),SUM($BU$42:BU2853)/$BV$40))</f>
        <v>1</v>
      </c>
      <c r="BW2853" s="16">
        <f t="shared" si="674"/>
        <v>5.6973141838881454E-29</v>
      </c>
      <c r="BY2853" s="16">
        <f t="shared" si="675"/>
        <v>281.09999999999542</v>
      </c>
      <c r="BZ2853" s="16">
        <f t="shared" si="666"/>
        <v>2.0267926659154172E-31</v>
      </c>
      <c r="CA2853" s="16">
        <f t="shared" si="673"/>
        <v>-999</v>
      </c>
      <c r="CE2853" s="16" t="e">
        <f t="shared" si="667"/>
        <v>#N/A</v>
      </c>
      <c r="CF2853" s="16">
        <f t="shared" si="668"/>
        <v>99</v>
      </c>
      <c r="CG2853" s="16">
        <f t="shared" si="669"/>
        <v>0</v>
      </c>
      <c r="CH2853" s="16">
        <f t="shared" si="676"/>
        <v>0</v>
      </c>
      <c r="CJ2853" s="16" t="e">
        <f t="shared" si="670"/>
        <v>#N/A</v>
      </c>
      <c r="CK2853" s="16" t="str">
        <f t="shared" si="671"/>
        <v/>
      </c>
    </row>
    <row r="2854" spans="73:89" ht="12" customHeight="1">
      <c r="BU2854" s="16">
        <f t="shared" si="672"/>
        <v>0</v>
      </c>
      <c r="BV2854" s="16">
        <f>IF($BY$12=1,NORMDIST(BY2854,$Y$6,$Y$8,TRUE),IF($BY$12=2,IF(BY2854&lt;=$BX$31,0,IF(BY2854&gt;=$BX$32,1,(BY2854-$BX$31)*$BX$33)),SUM($BU$42:BU2854)/$BV$40))</f>
        <v>1</v>
      </c>
      <c r="BW2854" s="16">
        <f t="shared" si="674"/>
        <v>5.3793257982351732E-29</v>
      </c>
      <c r="BY2854" s="16">
        <f t="shared" si="675"/>
        <v>281.19999999999544</v>
      </c>
      <c r="BZ2854" s="16">
        <f t="shared" si="666"/>
        <v>1.9129892596853699E-31</v>
      </c>
      <c r="CA2854" s="16">
        <f t="shared" si="673"/>
        <v>-999</v>
      </c>
      <c r="CE2854" s="16" t="e">
        <f t="shared" si="667"/>
        <v>#N/A</v>
      </c>
      <c r="CF2854" s="16">
        <f t="shared" si="668"/>
        <v>99</v>
      </c>
      <c r="CG2854" s="16">
        <f t="shared" si="669"/>
        <v>0</v>
      </c>
      <c r="CH2854" s="16">
        <f t="shared" si="676"/>
        <v>0</v>
      </c>
      <c r="CJ2854" s="16" t="e">
        <f t="shared" si="670"/>
        <v>#N/A</v>
      </c>
      <c r="CK2854" s="16" t="str">
        <f t="shared" si="671"/>
        <v/>
      </c>
    </row>
    <row r="2855" spans="73:89" ht="12" customHeight="1">
      <c r="BU2855" s="16">
        <f t="shared" si="672"/>
        <v>0</v>
      </c>
      <c r="BV2855" s="16">
        <f>IF($BY$12=1,NORMDIST(BY2855,$Y$6,$Y$8,TRUE),IF($BY$12=2,IF(BY2855&lt;=$BX$31,0,IF(BY2855&gt;=$BX$32,1,(BY2855-$BX$31)*$BX$33)),SUM($BU$42:BU2855)/$BV$40))</f>
        <v>1</v>
      </c>
      <c r="BW2855" s="16">
        <f t="shared" si="674"/>
        <v>5.0789579143003528E-29</v>
      </c>
      <c r="BY2855" s="16">
        <f t="shared" si="675"/>
        <v>281.29999999999546</v>
      </c>
      <c r="BZ2855" s="16">
        <f t="shared" si="666"/>
        <v>1.8055307196233328E-31</v>
      </c>
      <c r="CA2855" s="16">
        <f t="shared" si="673"/>
        <v>-999</v>
      </c>
      <c r="CE2855" s="16" t="e">
        <f t="shared" si="667"/>
        <v>#N/A</v>
      </c>
      <c r="CF2855" s="16">
        <f t="shared" si="668"/>
        <v>99</v>
      </c>
      <c r="CG2855" s="16">
        <f t="shared" si="669"/>
        <v>0</v>
      </c>
      <c r="CH2855" s="16">
        <f t="shared" si="676"/>
        <v>0</v>
      </c>
      <c r="CJ2855" s="16" t="e">
        <f t="shared" si="670"/>
        <v>#N/A</v>
      </c>
      <c r="CK2855" s="16" t="str">
        <f t="shared" si="671"/>
        <v/>
      </c>
    </row>
    <row r="2856" spans="73:89" ht="12" customHeight="1">
      <c r="BU2856" s="16">
        <f t="shared" si="672"/>
        <v>0</v>
      </c>
      <c r="BV2856" s="16">
        <f>IF($BY$12=1,NORMDIST(BY2856,$Y$6,$Y$8,TRUE),IF($BY$12=2,IF(BY2856&lt;=$BX$31,0,IF(BY2856&gt;=$BX$32,1,(BY2856-$BX$31)*$BX$33)),SUM($BU$42:BU2856)/$BV$40))</f>
        <v>1</v>
      </c>
      <c r="BW2856" s="16">
        <f t="shared" si="674"/>
        <v>4.7952413212377755E-29</v>
      </c>
      <c r="BY2856" s="16">
        <f t="shared" si="675"/>
        <v>281.39999999999549</v>
      </c>
      <c r="BZ2856" s="16">
        <f t="shared" si="666"/>
        <v>1.7040658568720158E-31</v>
      </c>
      <c r="CA2856" s="16">
        <f t="shared" si="673"/>
        <v>-999</v>
      </c>
      <c r="CE2856" s="16" t="e">
        <f t="shared" si="667"/>
        <v>#N/A</v>
      </c>
      <c r="CF2856" s="16">
        <f t="shared" si="668"/>
        <v>99</v>
      </c>
      <c r="CG2856" s="16">
        <f t="shared" si="669"/>
        <v>0</v>
      </c>
      <c r="CH2856" s="16">
        <f t="shared" si="676"/>
        <v>0</v>
      </c>
      <c r="CJ2856" s="16" t="e">
        <f t="shared" si="670"/>
        <v>#N/A</v>
      </c>
      <c r="CK2856" s="16" t="str">
        <f t="shared" si="671"/>
        <v/>
      </c>
    </row>
    <row r="2857" spans="73:89" ht="12" customHeight="1">
      <c r="BU2857" s="16">
        <f t="shared" si="672"/>
        <v>0</v>
      </c>
      <c r="BV2857" s="16">
        <f>IF($BY$12=1,NORMDIST(BY2857,$Y$6,$Y$8,TRUE),IF($BY$12=2,IF(BY2857&lt;=$BX$31,0,IF(BY2857&gt;=$BX$32,1,(BY2857-$BX$31)*$BX$33)),SUM($BU$42:BU2857)/$BV$40))</f>
        <v>1</v>
      </c>
      <c r="BW2857" s="16">
        <f t="shared" si="674"/>
        <v>4.5272597178054077E-29</v>
      </c>
      <c r="BY2857" s="16">
        <f t="shared" si="675"/>
        <v>281.49999999999551</v>
      </c>
      <c r="BZ2857" s="16">
        <f t="shared" si="666"/>
        <v>1.6082627771955523E-31</v>
      </c>
      <c r="CA2857" s="16">
        <f t="shared" si="673"/>
        <v>-999</v>
      </c>
      <c r="CE2857" s="16" t="e">
        <f t="shared" si="667"/>
        <v>#N/A</v>
      </c>
      <c r="CF2857" s="16">
        <f t="shared" si="668"/>
        <v>99</v>
      </c>
      <c r="CG2857" s="16">
        <f t="shared" si="669"/>
        <v>0</v>
      </c>
      <c r="CH2857" s="16">
        <f t="shared" si="676"/>
        <v>0</v>
      </c>
      <c r="CJ2857" s="16" t="e">
        <f t="shared" si="670"/>
        <v>#N/A</v>
      </c>
      <c r="CK2857" s="16" t="str">
        <f t="shared" si="671"/>
        <v/>
      </c>
    </row>
    <row r="2858" spans="73:89" ht="12" customHeight="1">
      <c r="BU2858" s="16">
        <f t="shared" si="672"/>
        <v>0</v>
      </c>
      <c r="BV2858" s="16">
        <f>IF($BY$12=1,NORMDIST(BY2858,$Y$6,$Y$8,TRUE),IF($BY$12=2,IF(BY2858&lt;=$BX$31,0,IF(BY2858&gt;=$BX$32,1,(BY2858-$BX$31)*$BX$33)),SUM($BU$42:BU2858)/$BV$40))</f>
        <v>1</v>
      </c>
      <c r="BW2858" s="16">
        <f t="shared" si="674"/>
        <v>4.2741468462988316E-29</v>
      </c>
      <c r="BY2858" s="16">
        <f t="shared" si="675"/>
        <v>281.59999999999553</v>
      </c>
      <c r="BZ2858" s="16">
        <f t="shared" ref="BZ2858:BZ2921" si="677">IF($BZ$5,IF($BY$12=1,NORMDIST(BY2858,$Y$6,$Y$8,FALSE),IF($BY$12=2,IF(AND(BY2858&gt;=$BX$31,BY2858&lt;=$BX$32),$BX$33,0),IF(BY2858&lt;=$BX$13,0,NORMDIST(LN((BY2858-$BX$13)/$BX$12),0,$BW$8,FALSE)/((BY2858-$BX$13)/$BX$12)))),-999)</f>
        <v>1.5178078289413706E-31</v>
      </c>
      <c r="CA2858" s="16">
        <f t="shared" si="673"/>
        <v>-999</v>
      </c>
      <c r="CE2858" s="16" t="e">
        <f t="shared" ref="CE2858:CE2921" si="678">IF(AND($CB$7,$CD$2,$CD$1),26+$P$23/2-CC2858*$P$23,NA())</f>
        <v>#N/A</v>
      </c>
      <c r="CF2858" s="16">
        <f t="shared" ref="CF2858:CF2921" si="679">IF(ISNA(CJ2858),99,CJ2858)</f>
        <v>99</v>
      </c>
      <c r="CG2858" s="16">
        <f t="shared" ref="CG2858:CG2921" si="680">IF(ISNA(CJ2858),0,CJ2858)</f>
        <v>0</v>
      </c>
      <c r="CH2858" s="16">
        <f t="shared" si="676"/>
        <v>0</v>
      </c>
      <c r="CJ2858" s="16" t="e">
        <f t="shared" ref="CJ2858:CJ2921" si="681">IF(CH2858=1,CE2858,NA())</f>
        <v>#N/A</v>
      </c>
      <c r="CK2858" s="16" t="str">
        <f t="shared" ref="CK2858:CK2921" si="682">IF(CH2858=1,M2757,"")</f>
        <v/>
      </c>
    </row>
    <row r="2859" spans="73:89" ht="12" customHeight="1">
      <c r="BU2859" s="16">
        <f t="shared" ref="BU2859:BU2922" si="683">IF($BY$12&lt;3,0,IF(BY2859&lt;=$BX$13,0,NORMDIST(LN((BY2859-$BX$13)/$BX$12),0,$BW$8,FALSE)/((BY2859-$BX$13)/$BX$12)))</f>
        <v>0</v>
      </c>
      <c r="BV2859" s="16">
        <f>IF($BY$12=1,NORMDIST(BY2859,$Y$6,$Y$8,TRUE),IF($BY$12=2,IF(BY2859&lt;=$BX$31,0,IF(BY2859&gt;=$BX$32,1,(BY2859-$BX$31)*$BX$33)),SUM($BU$42:BU2859)/$BV$40))</f>
        <v>1</v>
      </c>
      <c r="BW2859" s="16">
        <f t="shared" si="674"/>
        <v>4.0350837805094315E-29</v>
      </c>
      <c r="BY2859" s="16">
        <f t="shared" si="675"/>
        <v>281.69999999999555</v>
      </c>
      <c r="BZ2859" s="16">
        <f t="shared" si="677"/>
        <v>1.4324046079195935E-31</v>
      </c>
      <c r="CA2859" s="16">
        <f t="shared" ref="CA2859:CA2922" si="684">IF(AND($CD$1,$CD$3),26-$CD$40*NORMDIST(BY2859,$Y$6,$Y$8/SQRT($T$18),FALSE),-999)</f>
        <v>-999</v>
      </c>
      <c r="CE2859" s="16" t="e">
        <f t="shared" si="678"/>
        <v>#N/A</v>
      </c>
      <c r="CF2859" s="16">
        <f t="shared" si="679"/>
        <v>99</v>
      </c>
      <c r="CG2859" s="16">
        <f t="shared" si="680"/>
        <v>0</v>
      </c>
      <c r="CH2859" s="16">
        <f t="shared" si="676"/>
        <v>0</v>
      </c>
      <c r="CJ2859" s="16" t="e">
        <f t="shared" si="681"/>
        <v>#N/A</v>
      </c>
      <c r="CK2859" s="16" t="str">
        <f t="shared" si="682"/>
        <v/>
      </c>
    </row>
    <row r="2860" spans="73:89" ht="12" customHeight="1">
      <c r="BU2860" s="16">
        <f t="shared" si="683"/>
        <v>0</v>
      </c>
      <c r="BV2860" s="16">
        <f>IF($BY$12=1,NORMDIST(BY2860,$Y$6,$Y$8,TRUE),IF($BY$12=2,IF(BY2860&lt;=$BX$31,0,IF(BY2860&gt;=$BX$32,1,(BY2860-$BX$31)*$BX$33)),SUM($BU$42:BU2860)/$BV$40))</f>
        <v>1</v>
      </c>
      <c r="BW2860" s="16">
        <f t="shared" si="674"/>
        <v>3.8092963594963344E-29</v>
      </c>
      <c r="BY2860" s="16">
        <f t="shared" si="675"/>
        <v>281.79999999999558</v>
      </c>
      <c r="BZ2860" s="16">
        <f t="shared" si="677"/>
        <v>1.3517730161449234E-31</v>
      </c>
      <c r="CA2860" s="16">
        <f t="shared" si="684"/>
        <v>-999</v>
      </c>
      <c r="CE2860" s="16" t="e">
        <f t="shared" si="678"/>
        <v>#N/A</v>
      </c>
      <c r="CF2860" s="16">
        <f t="shared" si="679"/>
        <v>99</v>
      </c>
      <c r="CG2860" s="16">
        <f t="shared" si="680"/>
        <v>0</v>
      </c>
      <c r="CH2860" s="16">
        <f t="shared" si="676"/>
        <v>0</v>
      </c>
      <c r="CJ2860" s="16" t="e">
        <f t="shared" si="681"/>
        <v>#N/A</v>
      </c>
      <c r="CK2860" s="16" t="str">
        <f t="shared" si="682"/>
        <v/>
      </c>
    </row>
    <row r="2861" spans="73:89" ht="12" customHeight="1">
      <c r="BU2861" s="16">
        <f t="shared" si="683"/>
        <v>0</v>
      </c>
      <c r="BV2861" s="16">
        <f>IF($BY$12=1,NORMDIST(BY2861,$Y$6,$Y$8,TRUE),IF($BY$12=2,IF(BY2861&lt;=$BX$31,0,IF(BY2861&gt;=$BX$32,1,(BY2861-$BX$31)*$BX$33)),SUM($BU$42:BU2861)/$BV$40))</f>
        <v>1</v>
      </c>
      <c r="BW2861" s="16">
        <f t="shared" si="674"/>
        <v>3.596052759395512E-29</v>
      </c>
      <c r="BY2861" s="16">
        <f t="shared" si="675"/>
        <v>281.8999999999956</v>
      </c>
      <c r="BZ2861" s="16">
        <f t="shared" si="677"/>
        <v>1.275648371548623E-31</v>
      </c>
      <c r="CA2861" s="16">
        <f t="shared" si="684"/>
        <v>-999</v>
      </c>
      <c r="CE2861" s="16" t="e">
        <f t="shared" si="678"/>
        <v>#N/A</v>
      </c>
      <c r="CF2861" s="16">
        <f t="shared" si="679"/>
        <v>99</v>
      </c>
      <c r="CG2861" s="16">
        <f t="shared" si="680"/>
        <v>0</v>
      </c>
      <c r="CH2861" s="16">
        <f t="shared" si="676"/>
        <v>0</v>
      </c>
      <c r="CJ2861" s="16" t="e">
        <f t="shared" si="681"/>
        <v>#N/A</v>
      </c>
      <c r="CK2861" s="16" t="str">
        <f t="shared" si="682"/>
        <v/>
      </c>
    </row>
    <row r="2862" spans="73:89" ht="12" customHeight="1">
      <c r="BU2862" s="16">
        <f t="shared" si="683"/>
        <v>0</v>
      </c>
      <c r="BV2862" s="16">
        <f>IF($BY$12=1,NORMDIST(BY2862,$Y$6,$Y$8,TRUE),IF($BY$12=2,IF(BY2862&lt;=$BX$31,0,IF(BY2862&gt;=$BX$32,1,(BY2862-$BX$31)*$BX$33)),SUM($BU$42:BU2862)/$BV$40))</f>
        <v>1</v>
      </c>
      <c r="BW2862" s="16">
        <f t="shared" si="674"/>
        <v>3.3946611959019972E-29</v>
      </c>
      <c r="BY2862" s="16">
        <f t="shared" si="675"/>
        <v>281.99999999999562</v>
      </c>
      <c r="BZ2862" s="16">
        <f t="shared" si="677"/>
        <v>1.2037805659227126E-31</v>
      </c>
      <c r="CA2862" s="16">
        <f t="shared" si="684"/>
        <v>-999</v>
      </c>
      <c r="CE2862" s="16" t="e">
        <f t="shared" si="678"/>
        <v>#N/A</v>
      </c>
      <c r="CF2862" s="16">
        <f t="shared" si="679"/>
        <v>99</v>
      </c>
      <c r="CG2862" s="16">
        <f t="shared" si="680"/>
        <v>0</v>
      </c>
      <c r="CH2862" s="16">
        <f t="shared" si="676"/>
        <v>0</v>
      </c>
      <c r="CJ2862" s="16" t="e">
        <f t="shared" si="681"/>
        <v>#N/A</v>
      </c>
      <c r="CK2862" s="16" t="str">
        <f t="shared" si="682"/>
        <v/>
      </c>
    </row>
    <row r="2863" spans="73:89" ht="12" customHeight="1">
      <c r="BU2863" s="16">
        <f t="shared" si="683"/>
        <v>0</v>
      </c>
      <c r="BV2863" s="16">
        <f>IF($BY$12=1,NORMDIST(BY2863,$Y$6,$Y$8,TRUE),IF($BY$12=2,IF(BY2863&lt;=$BX$31,0,IF(BY2863&gt;=$BX$32,1,(BY2863-$BX$31)*$BX$33)),SUM($BU$42:BU2863)/$BV$40))</f>
        <v>1</v>
      </c>
      <c r="BW2863" s="16">
        <f t="shared" si="674"/>
        <v>3.2044677504491283E-29</v>
      </c>
      <c r="BY2863" s="16">
        <f t="shared" si="675"/>
        <v>282.09999999999565</v>
      </c>
      <c r="BZ2863" s="16">
        <f t="shared" si="677"/>
        <v>1.1359332685037851E-31</v>
      </c>
      <c r="CA2863" s="16">
        <f t="shared" si="684"/>
        <v>-999</v>
      </c>
      <c r="CE2863" s="16" t="e">
        <f t="shared" si="678"/>
        <v>#N/A</v>
      </c>
      <c r="CF2863" s="16">
        <f t="shared" si="679"/>
        <v>99</v>
      </c>
      <c r="CG2863" s="16">
        <f t="shared" si="680"/>
        <v>0</v>
      </c>
      <c r="CH2863" s="16">
        <f t="shared" si="676"/>
        <v>0</v>
      </c>
      <c r="CJ2863" s="16" t="e">
        <f t="shared" si="681"/>
        <v>#N/A</v>
      </c>
      <c r="CK2863" s="16" t="str">
        <f t="shared" si="682"/>
        <v/>
      </c>
    </row>
    <row r="2864" spans="73:89" ht="12" customHeight="1">
      <c r="BU2864" s="16">
        <f t="shared" si="683"/>
        <v>0</v>
      </c>
      <c r="BV2864" s="16">
        <f>IF($BY$12=1,NORMDIST(BY2864,$Y$6,$Y$8,TRUE),IF($BY$12=2,IF(BY2864&lt;=$BX$31,0,IF(BY2864&gt;=$BX$32,1,(BY2864-$BX$31)*$BX$33)),SUM($BU$42:BU2864)/$BV$40))</f>
        <v>1</v>
      </c>
      <c r="BW2864" s="16">
        <f t="shared" si="674"/>
        <v>3.0248543134796837E-29</v>
      </c>
      <c r="BY2864" s="16">
        <f t="shared" si="675"/>
        <v>282.19999999999567</v>
      </c>
      <c r="BZ2864" s="16">
        <f t="shared" si="677"/>
        <v>1.0718831727426401E-31</v>
      </c>
      <c r="CA2864" s="16">
        <f t="shared" si="684"/>
        <v>-999</v>
      </c>
      <c r="CE2864" s="16" t="e">
        <f t="shared" si="678"/>
        <v>#N/A</v>
      </c>
      <c r="CF2864" s="16">
        <f t="shared" si="679"/>
        <v>99</v>
      </c>
      <c r="CG2864" s="16">
        <f t="shared" si="680"/>
        <v>0</v>
      </c>
      <c r="CH2864" s="16">
        <f t="shared" si="676"/>
        <v>0</v>
      </c>
      <c r="CJ2864" s="16" t="e">
        <f t="shared" si="681"/>
        <v>#N/A</v>
      </c>
      <c r="CK2864" s="16" t="str">
        <f t="shared" si="682"/>
        <v/>
      </c>
    </row>
    <row r="2865" spans="73:89" ht="12" customHeight="1">
      <c r="BU2865" s="16">
        <f t="shared" si="683"/>
        <v>0</v>
      </c>
      <c r="BV2865" s="16">
        <f>IF($BY$12=1,NORMDIST(BY2865,$Y$6,$Y$8,TRUE),IF($BY$12=2,IF(BY2865&lt;=$BX$31,0,IF(BY2865&gt;=$BX$32,1,(BY2865-$BX$31)*$BX$33)),SUM($BU$42:BU2865)/$BV$40))</f>
        <v>1</v>
      </c>
      <c r="BW2865" s="16">
        <f t="shared" si="674"/>
        <v>2.8552366385519779E-29</v>
      </c>
      <c r="BY2865" s="16">
        <f t="shared" si="675"/>
        <v>282.29999999999569</v>
      </c>
      <c r="BZ2865" s="16">
        <f t="shared" si="677"/>
        <v>1.0114192839362456E-31</v>
      </c>
      <c r="CA2865" s="16">
        <f t="shared" si="684"/>
        <v>-999</v>
      </c>
      <c r="CE2865" s="16" t="e">
        <f t="shared" si="678"/>
        <v>#N/A</v>
      </c>
      <c r="CF2865" s="16">
        <f t="shared" si="679"/>
        <v>99</v>
      </c>
      <c r="CG2865" s="16">
        <f t="shared" si="680"/>
        <v>0</v>
      </c>
      <c r="CH2865" s="16">
        <f t="shared" si="676"/>
        <v>0</v>
      </c>
      <c r="CJ2865" s="16" t="e">
        <f t="shared" si="681"/>
        <v>#N/A</v>
      </c>
      <c r="CK2865" s="16" t="str">
        <f t="shared" si="682"/>
        <v/>
      </c>
    </row>
    <row r="2866" spans="73:89" ht="12" customHeight="1">
      <c r="BU2866" s="16">
        <f t="shared" si="683"/>
        <v>0</v>
      </c>
      <c r="BV2866" s="16">
        <f>IF($BY$12=1,NORMDIST(BY2866,$Y$6,$Y$8,TRUE),IF($BY$12=2,IF(BY2866&lt;=$BX$31,0,IF(BY2866&gt;=$BX$32,1,(BY2866-$BX$31)*$BX$33)),SUM($BU$42:BU2866)/$BV$40))</f>
        <v>1</v>
      </c>
      <c r="BW2866" s="16">
        <f t="shared" si="674"/>
        <v>2.695062501357115E-29</v>
      </c>
      <c r="BY2866" s="16">
        <f t="shared" si="675"/>
        <v>282.39999999999571</v>
      </c>
      <c r="BZ2866" s="16">
        <f t="shared" si="677"/>
        <v>9.5434224552307224E-32</v>
      </c>
      <c r="CA2866" s="16">
        <f t="shared" si="684"/>
        <v>-999</v>
      </c>
      <c r="CE2866" s="16" t="e">
        <f t="shared" si="678"/>
        <v>#N/A</v>
      </c>
      <c r="CF2866" s="16">
        <f t="shared" si="679"/>
        <v>99</v>
      </c>
      <c r="CG2866" s="16">
        <f t="shared" si="680"/>
        <v>0</v>
      </c>
      <c r="CH2866" s="16">
        <f t="shared" si="676"/>
        <v>0</v>
      </c>
      <c r="CJ2866" s="16" t="e">
        <f t="shared" si="681"/>
        <v>#N/A</v>
      </c>
      <c r="CK2866" s="16" t="str">
        <f t="shared" si="682"/>
        <v/>
      </c>
    </row>
    <row r="2867" spans="73:89" ht="12" customHeight="1">
      <c r="BU2867" s="16">
        <f t="shared" si="683"/>
        <v>0</v>
      </c>
      <c r="BV2867" s="16">
        <f>IF($BY$12=1,NORMDIST(BY2867,$Y$6,$Y$8,TRUE),IF($BY$12=2,IF(BY2867&lt;=$BX$31,0,IF(BY2867&gt;=$BX$32,1,(BY2867-$BX$31)*$BX$33)),SUM($BU$42:BU2867)/$BV$40))</f>
        <v>1</v>
      </c>
      <c r="BW2867" s="16">
        <f t="shared" si="674"/>
        <v>2.5438099580358688E-29</v>
      </c>
      <c r="BY2867" s="16">
        <f t="shared" si="675"/>
        <v>282.49999999999574</v>
      </c>
      <c r="BZ2867" s="16">
        <f t="shared" si="677"/>
        <v>9.0046370195961315E-32</v>
      </c>
      <c r="CA2867" s="16">
        <f t="shared" si="684"/>
        <v>-999</v>
      </c>
      <c r="CE2867" s="16" t="e">
        <f t="shared" si="678"/>
        <v>#N/A</v>
      </c>
      <c r="CF2867" s="16">
        <f t="shared" si="679"/>
        <v>99</v>
      </c>
      <c r="CG2867" s="16">
        <f t="shared" si="680"/>
        <v>0</v>
      </c>
      <c r="CH2867" s="16">
        <f t="shared" si="676"/>
        <v>0</v>
      </c>
      <c r="CJ2867" s="16" t="e">
        <f t="shared" si="681"/>
        <v>#N/A</v>
      </c>
      <c r="CK2867" s="16" t="str">
        <f t="shared" si="682"/>
        <v/>
      </c>
    </row>
    <row r="2868" spans="73:89" ht="12" customHeight="1">
      <c r="BU2868" s="16">
        <f t="shared" si="683"/>
        <v>0</v>
      </c>
      <c r="BV2868" s="16">
        <f>IF($BY$12=1,NORMDIST(BY2868,$Y$6,$Y$8,TRUE),IF($BY$12=2,IF(BY2868&lt;=$BX$31,0,IF(BY2868&gt;=$BX$32,1,(BY2868-$BX$31)*$BX$33)),SUM($BU$42:BU2868)/$BV$40))</f>
        <v>1</v>
      </c>
      <c r="BW2868" s="16">
        <f t="shared" si="674"/>
        <v>2.400985697483477E-29</v>
      </c>
      <c r="BY2868" s="16">
        <f t="shared" si="675"/>
        <v>282.59999999999576</v>
      </c>
      <c r="BZ2868" s="16">
        <f t="shared" si="677"/>
        <v>8.496056962078956E-32</v>
      </c>
      <c r="CA2868" s="16">
        <f t="shared" si="684"/>
        <v>-999</v>
      </c>
      <c r="CE2868" s="16" t="e">
        <f t="shared" si="678"/>
        <v>#N/A</v>
      </c>
      <c r="CF2868" s="16">
        <f t="shared" si="679"/>
        <v>99</v>
      </c>
      <c r="CG2868" s="16">
        <f t="shared" si="680"/>
        <v>0</v>
      </c>
      <c r="CH2868" s="16">
        <f t="shared" si="676"/>
        <v>0</v>
      </c>
      <c r="CJ2868" s="16" t="e">
        <f t="shared" si="681"/>
        <v>#N/A</v>
      </c>
      <c r="CK2868" s="16" t="str">
        <f t="shared" si="682"/>
        <v/>
      </c>
    </row>
    <row r="2869" spans="73:89" ht="12" customHeight="1">
      <c r="BU2869" s="16">
        <f t="shared" si="683"/>
        <v>0</v>
      </c>
      <c r="BV2869" s="16">
        <f>IF($BY$12=1,NORMDIST(BY2869,$Y$6,$Y$8,TRUE),IF($BY$12=2,IF(BY2869&lt;=$BX$31,0,IF(BY2869&gt;=$BX$32,1,(BY2869-$BX$31)*$BX$33)),SUM($BU$42:BU2869)/$BV$40))</f>
        <v>1</v>
      </c>
      <c r="BW2869" s="16">
        <f t="shared" si="674"/>
        <v>2.2661234826098805E-29</v>
      </c>
      <c r="BY2869" s="16">
        <f t="shared" si="675"/>
        <v>282.69999999999578</v>
      </c>
      <c r="BZ2869" s="16">
        <f t="shared" si="677"/>
        <v>8.0160009996813382E-32</v>
      </c>
      <c r="CA2869" s="16">
        <f t="shared" si="684"/>
        <v>-999</v>
      </c>
      <c r="CE2869" s="16" t="e">
        <f t="shared" si="678"/>
        <v>#N/A</v>
      </c>
      <c r="CF2869" s="16">
        <f t="shared" si="679"/>
        <v>99</v>
      </c>
      <c r="CG2869" s="16">
        <f t="shared" si="680"/>
        <v>0</v>
      </c>
      <c r="CH2869" s="16">
        <f t="shared" si="676"/>
        <v>0</v>
      </c>
      <c r="CJ2869" s="16" t="e">
        <f t="shared" si="681"/>
        <v>#N/A</v>
      </c>
      <c r="CK2869" s="16" t="str">
        <f t="shared" si="682"/>
        <v/>
      </c>
    </row>
    <row r="2870" spans="73:89" ht="12" customHeight="1">
      <c r="BU2870" s="16">
        <f t="shared" si="683"/>
        <v>0</v>
      </c>
      <c r="BV2870" s="16">
        <f>IF($BY$12=1,NORMDIST(BY2870,$Y$6,$Y$8,TRUE),IF($BY$12=2,IF(BY2870&lt;=$BX$31,0,IF(BY2870&gt;=$BX$32,1,(BY2870-$BX$31)*$BX$33)),SUM($BU$42:BU2870)/$BV$40))</f>
        <v>1</v>
      </c>
      <c r="BW2870" s="16">
        <f t="shared" si="674"/>
        <v>2.1387826757924533E-29</v>
      </c>
      <c r="BY2870" s="16">
        <f t="shared" si="675"/>
        <v>282.7999999999958</v>
      </c>
      <c r="BZ2870" s="16">
        <f t="shared" si="677"/>
        <v>7.5628807489126062E-32</v>
      </c>
      <c r="CA2870" s="16">
        <f t="shared" si="684"/>
        <v>-999</v>
      </c>
      <c r="CE2870" s="16" t="e">
        <f t="shared" si="678"/>
        <v>#N/A</v>
      </c>
      <c r="CF2870" s="16">
        <f t="shared" si="679"/>
        <v>99</v>
      </c>
      <c r="CG2870" s="16">
        <f t="shared" si="680"/>
        <v>0</v>
      </c>
      <c r="CH2870" s="16">
        <f t="shared" si="676"/>
        <v>0</v>
      </c>
      <c r="CJ2870" s="16" t="e">
        <f t="shared" si="681"/>
        <v>#N/A</v>
      </c>
      <c r="CK2870" s="16" t="str">
        <f t="shared" si="682"/>
        <v/>
      </c>
    </row>
    <row r="2871" spans="73:89" ht="12" customHeight="1">
      <c r="BU2871" s="16">
        <f t="shared" si="683"/>
        <v>0</v>
      </c>
      <c r="BV2871" s="16">
        <f>IF($BY$12=1,NORMDIST(BY2871,$Y$6,$Y$8,TRUE),IF($BY$12=2,IF(BY2871&lt;=$BX$31,0,IF(BY2871&gt;=$BX$32,1,(BY2871-$BX$31)*$BX$33)),SUM($BU$42:BU2871)/$BV$40))</f>
        <v>1</v>
      </c>
      <c r="BW2871" s="16">
        <f t="shared" si="674"/>
        <v>2.0185468440097976E-29</v>
      </c>
      <c r="BY2871" s="16">
        <f t="shared" si="675"/>
        <v>282.89999999999583</v>
      </c>
      <c r="BZ2871" s="16">
        <f t="shared" si="677"/>
        <v>7.1351956309997437E-32</v>
      </c>
      <c r="CA2871" s="16">
        <f t="shared" si="684"/>
        <v>-999</v>
      </c>
      <c r="CE2871" s="16" t="e">
        <f t="shared" si="678"/>
        <v>#N/A</v>
      </c>
      <c r="CF2871" s="16">
        <f t="shared" si="679"/>
        <v>99</v>
      </c>
      <c r="CG2871" s="16">
        <f t="shared" si="680"/>
        <v>0</v>
      </c>
      <c r="CH2871" s="16">
        <f t="shared" si="676"/>
        <v>0</v>
      </c>
      <c r="CJ2871" s="16" t="e">
        <f t="shared" si="681"/>
        <v>#N/A</v>
      </c>
      <c r="CK2871" s="16" t="str">
        <f t="shared" si="682"/>
        <v/>
      </c>
    </row>
    <row r="2872" spans="73:89" ht="12" customHeight="1">
      <c r="BU2872" s="16">
        <f t="shared" si="683"/>
        <v>0</v>
      </c>
      <c r="BV2872" s="16">
        <f>IF($BY$12=1,NORMDIST(BY2872,$Y$6,$Y$8,TRUE),IF($BY$12=2,IF(BY2872&lt;=$BX$31,0,IF(BY2872&gt;=$BX$32,1,(BY2872-$BX$31)*$BX$33)),SUM($BU$42:BU2872)/$BV$40))</f>
        <v>1</v>
      </c>
      <c r="BW2872" s="16">
        <f t="shared" si="674"/>
        <v>1.905022439385547E-29</v>
      </c>
      <c r="BY2872" s="16">
        <f t="shared" si="675"/>
        <v>282.99999999999585</v>
      </c>
      <c r="BZ2872" s="16">
        <f t="shared" si="677"/>
        <v>6.7315280543659889E-32</v>
      </c>
      <c r="CA2872" s="16">
        <f t="shared" si="684"/>
        <v>-999</v>
      </c>
      <c r="CE2872" s="16" t="e">
        <f t="shared" si="678"/>
        <v>#N/A</v>
      </c>
      <c r="CF2872" s="16">
        <f t="shared" si="679"/>
        <v>99</v>
      </c>
      <c r="CG2872" s="16">
        <f t="shared" si="680"/>
        <v>0</v>
      </c>
      <c r="CH2872" s="16">
        <f t="shared" si="676"/>
        <v>0</v>
      </c>
      <c r="CJ2872" s="16" t="e">
        <f t="shared" si="681"/>
        <v>#N/A</v>
      </c>
      <c r="CK2872" s="16" t="str">
        <f t="shared" si="682"/>
        <v/>
      </c>
    </row>
    <row r="2873" spans="73:89" ht="12" customHeight="1">
      <c r="BU2873" s="16">
        <f t="shared" si="683"/>
        <v>0</v>
      </c>
      <c r="BV2873" s="16">
        <f>IF($BY$12=1,NORMDIST(BY2873,$Y$6,$Y$8,TRUE),IF($BY$12=2,IF(BY2873&lt;=$BX$31,0,IF(BY2873&gt;=$BX$32,1,(BY2873-$BX$31)*$BX$33)),SUM($BU$42:BU2873)/$BV$40))</f>
        <v>1</v>
      </c>
      <c r="BW2873" s="16">
        <f t="shared" si="674"/>
        <v>1.7978375510978331E-29</v>
      </c>
      <c r="BY2873" s="16">
        <f t="shared" si="675"/>
        <v>283.09999999999587</v>
      </c>
      <c r="BZ2873" s="16">
        <f t="shared" si="677"/>
        <v>6.3505388594060733E-32</v>
      </c>
      <c r="CA2873" s="16">
        <f t="shared" si="684"/>
        <v>-999</v>
      </c>
      <c r="CE2873" s="16" t="e">
        <f t="shared" si="678"/>
        <v>#N/A</v>
      </c>
      <c r="CF2873" s="16">
        <f t="shared" si="679"/>
        <v>99</v>
      </c>
      <c r="CG2873" s="16">
        <f t="shared" si="680"/>
        <v>0</v>
      </c>
      <c r="CH2873" s="16">
        <f t="shared" si="676"/>
        <v>0</v>
      </c>
      <c r="CJ2873" s="16" t="e">
        <f t="shared" si="681"/>
        <v>#N/A</v>
      </c>
      <c r="CK2873" s="16" t="str">
        <f t="shared" si="682"/>
        <v/>
      </c>
    </row>
    <row r="2874" spans="73:89" ht="12" customHeight="1">
      <c r="BU2874" s="16">
        <f t="shared" si="683"/>
        <v>0</v>
      </c>
      <c r="BV2874" s="16">
        <f>IF($BY$12=1,NORMDIST(BY2874,$Y$6,$Y$8,TRUE),IF($BY$12=2,IF(BY2874&lt;=$BX$31,0,IF(BY2874&gt;=$BX$32,1,(BY2874-$BX$31)*$BX$33)),SUM($BU$42:BU2874)/$BV$40))</f>
        <v>1</v>
      </c>
      <c r="BW2874" s="16">
        <f t="shared" si="674"/>
        <v>1.6966407248253633E-29</v>
      </c>
      <c r="BY2874" s="16">
        <f t="shared" si="675"/>
        <v>283.1999999999959</v>
      </c>
      <c r="BZ2874" s="16">
        <f t="shared" si="677"/>
        <v>5.9909630113890814E-32</v>
      </c>
      <c r="CA2874" s="16">
        <f t="shared" si="684"/>
        <v>-999</v>
      </c>
      <c r="CE2874" s="16" t="e">
        <f t="shared" si="678"/>
        <v>#N/A</v>
      </c>
      <c r="CF2874" s="16">
        <f t="shared" si="679"/>
        <v>99</v>
      </c>
      <c r="CG2874" s="16">
        <f t="shared" si="680"/>
        <v>0</v>
      </c>
      <c r="CH2874" s="16">
        <f t="shared" si="676"/>
        <v>0</v>
      </c>
      <c r="CJ2874" s="16" t="e">
        <f t="shared" si="681"/>
        <v>#N/A</v>
      </c>
      <c r="CK2874" s="16" t="str">
        <f t="shared" si="682"/>
        <v/>
      </c>
    </row>
    <row r="2875" spans="73:89" ht="12" customHeight="1">
      <c r="BU2875" s="16">
        <f t="shared" si="683"/>
        <v>0</v>
      </c>
      <c r="BV2875" s="16">
        <f>IF($BY$12=1,NORMDIST(BY2875,$Y$6,$Y$8,TRUE),IF($BY$12=2,IF(BY2875&lt;=$BX$31,0,IF(BY2875&gt;=$BX$32,1,(BY2875-$BX$31)*$BX$33)),SUM($BU$42:BU2875)/$BV$40))</f>
        <v>1</v>
      </c>
      <c r="BW2875" s="16">
        <f t="shared" ref="BW2875:BW2938" si="685">BY2875*BZ2875</f>
        <v>1.6010998461048877E-29</v>
      </c>
      <c r="BY2875" s="16">
        <f t="shared" ref="BY2875:BY2938" si="686">BY2874+$BZ$1</f>
        <v>283.29999999999592</v>
      </c>
      <c r="BZ2875" s="16">
        <f t="shared" si="677"/>
        <v>5.6516055280794593E-32</v>
      </c>
      <c r="CA2875" s="16">
        <f t="shared" si="684"/>
        <v>-999</v>
      </c>
      <c r="CE2875" s="16" t="e">
        <f t="shared" si="678"/>
        <v>#N/A</v>
      </c>
      <c r="CF2875" s="16">
        <f t="shared" si="679"/>
        <v>99</v>
      </c>
      <c r="CG2875" s="16">
        <f t="shared" si="680"/>
        <v>0</v>
      </c>
      <c r="CH2875" s="16">
        <f t="shared" si="676"/>
        <v>0</v>
      </c>
      <c r="CJ2875" s="16" t="e">
        <f t="shared" si="681"/>
        <v>#N/A</v>
      </c>
      <c r="CK2875" s="16" t="str">
        <f t="shared" si="682"/>
        <v/>
      </c>
    </row>
    <row r="2876" spans="73:89" ht="12" customHeight="1">
      <c r="BU2876" s="16">
        <f t="shared" si="683"/>
        <v>0</v>
      </c>
      <c r="BV2876" s="16">
        <f>IF($BY$12=1,NORMDIST(BY2876,$Y$6,$Y$8,TRUE),IF($BY$12=2,IF(BY2876&lt;=$BX$31,0,IF(BY2876&gt;=$BX$32,1,(BY2876-$BX$31)*$BX$33)),SUM($BU$42:BU2876)/$BV$40))</f>
        <v>1</v>
      </c>
      <c r="BW2876" s="16">
        <f t="shared" si="685"/>
        <v>1.5109010841677351E-29</v>
      </c>
      <c r="BY2876" s="16">
        <f t="shared" si="686"/>
        <v>283.39999999999594</v>
      </c>
      <c r="BZ2876" s="16">
        <f t="shared" si="677"/>
        <v>5.3313376293851686E-32</v>
      </c>
      <c r="CA2876" s="16">
        <f t="shared" si="684"/>
        <v>-999</v>
      </c>
      <c r="CE2876" s="16" t="e">
        <f t="shared" si="678"/>
        <v>#N/A</v>
      </c>
      <c r="CF2876" s="16">
        <f t="shared" si="679"/>
        <v>99</v>
      </c>
      <c r="CG2876" s="16">
        <f t="shared" si="680"/>
        <v>0</v>
      </c>
      <c r="CH2876" s="16">
        <f t="shared" si="676"/>
        <v>0</v>
      </c>
      <c r="CJ2876" s="16" t="e">
        <f t="shared" si="681"/>
        <v>#N/A</v>
      </c>
      <c r="CK2876" s="16" t="str">
        <f t="shared" si="682"/>
        <v/>
      </c>
    </row>
    <row r="2877" spans="73:89" ht="12" customHeight="1">
      <c r="BU2877" s="16">
        <f t="shared" si="683"/>
        <v>0</v>
      </c>
      <c r="BV2877" s="16">
        <f>IF($BY$12=1,NORMDIST(BY2877,$Y$6,$Y$8,TRUE),IF($BY$12=2,IF(BY2877&lt;=$BX$31,0,IF(BY2877&gt;=$BX$32,1,(BY2877-$BX$31)*$BX$33)),SUM($BU$42:BU2877)/$BV$40))</f>
        <v>1</v>
      </c>
      <c r="BW2877" s="16">
        <f t="shared" si="685"/>
        <v>1.4257478930058099E-29</v>
      </c>
      <c r="BY2877" s="16">
        <f t="shared" si="686"/>
        <v>283.49999999999596</v>
      </c>
      <c r="BZ2877" s="16">
        <f t="shared" si="677"/>
        <v>5.029093097022329E-32</v>
      </c>
      <c r="CA2877" s="16">
        <f t="shared" si="684"/>
        <v>-999</v>
      </c>
      <c r="CE2877" s="16" t="e">
        <f t="shared" si="678"/>
        <v>#N/A</v>
      </c>
      <c r="CF2877" s="16">
        <f t="shared" si="679"/>
        <v>99</v>
      </c>
      <c r="CG2877" s="16">
        <f t="shared" si="680"/>
        <v>0</v>
      </c>
      <c r="CH2877" s="16">
        <f t="shared" si="676"/>
        <v>0</v>
      </c>
      <c r="CJ2877" s="16" t="e">
        <f t="shared" si="681"/>
        <v>#N/A</v>
      </c>
      <c r="CK2877" s="16" t="str">
        <f t="shared" si="682"/>
        <v/>
      </c>
    </row>
    <row r="2878" spans="73:89" ht="12" customHeight="1">
      <c r="BU2878" s="16">
        <f t="shared" si="683"/>
        <v>0</v>
      </c>
      <c r="BV2878" s="16">
        <f>IF($BY$12=1,NORMDIST(BY2878,$Y$6,$Y$8,TRUE),IF($BY$12=2,IF(BY2878&lt;=$BX$31,0,IF(BY2878&gt;=$BX$32,1,(BY2878-$BX$31)*$BX$33)),SUM($BU$42:BU2878)/$BV$40))</f>
        <v>1</v>
      </c>
      <c r="BW2878" s="16">
        <f t="shared" si="685"/>
        <v>1.3453600665907684E-29</v>
      </c>
      <c r="BY2878" s="16">
        <f t="shared" si="686"/>
        <v>283.59999999999599</v>
      </c>
      <c r="BZ2878" s="16">
        <f t="shared" si="677"/>
        <v>4.7438648328307035E-32</v>
      </c>
      <c r="CA2878" s="16">
        <f t="shared" si="684"/>
        <v>-999</v>
      </c>
      <c r="CE2878" s="16" t="e">
        <f t="shared" si="678"/>
        <v>#N/A</v>
      </c>
      <c r="CF2878" s="16">
        <f t="shared" si="679"/>
        <v>99</v>
      </c>
      <c r="CG2878" s="16">
        <f t="shared" si="680"/>
        <v>0</v>
      </c>
      <c r="CH2878" s="16">
        <f t="shared" si="676"/>
        <v>0</v>
      </c>
      <c r="CJ2878" s="16" t="e">
        <f t="shared" si="681"/>
        <v>#N/A</v>
      </c>
      <c r="CK2878" s="16" t="str">
        <f t="shared" si="682"/>
        <v/>
      </c>
    </row>
    <row r="2879" spans="73:89" ht="12" customHeight="1">
      <c r="BU2879" s="16">
        <f t="shared" si="683"/>
        <v>0</v>
      </c>
      <c r="BV2879" s="16">
        <f>IF($BY$12=1,NORMDIST(BY2879,$Y$6,$Y$8,TRUE),IF($BY$12=2,IF(BY2879&lt;=$BX$31,0,IF(BY2879&gt;=$BX$32,1,(BY2879-$BX$31)*$BX$33)),SUM($BU$42:BU2879)/$BV$40))</f>
        <v>1</v>
      </c>
      <c r="BW2879" s="16">
        <f t="shared" si="685"/>
        <v>1.2694728453340181E-29</v>
      </c>
      <c r="BY2879" s="16">
        <f t="shared" si="686"/>
        <v>283.69999999999601</v>
      </c>
      <c r="BZ2879" s="16">
        <f t="shared" si="677"/>
        <v>4.4747016049842649E-32</v>
      </c>
      <c r="CA2879" s="16">
        <f t="shared" si="684"/>
        <v>-999</v>
      </c>
      <c r="CE2879" s="16" t="e">
        <f t="shared" si="678"/>
        <v>#N/A</v>
      </c>
      <c r="CF2879" s="16">
        <f t="shared" si="679"/>
        <v>99</v>
      </c>
      <c r="CG2879" s="16">
        <f t="shared" si="680"/>
        <v>0</v>
      </c>
      <c r="CH2879" s="16">
        <f t="shared" si="676"/>
        <v>0</v>
      </c>
      <c r="CJ2879" s="16" t="e">
        <f t="shared" si="681"/>
        <v>#N/A</v>
      </c>
      <c r="CK2879" s="16" t="str">
        <f t="shared" si="682"/>
        <v/>
      </c>
    </row>
    <row r="2880" spans="73:89" ht="12" customHeight="1">
      <c r="BU2880" s="16">
        <f t="shared" si="683"/>
        <v>0</v>
      </c>
      <c r="BV2880" s="16">
        <f>IF($BY$12=1,NORMDIST(BY2880,$Y$6,$Y$8,TRUE),IF($BY$12=2,IF(BY2880&lt;=$BX$31,0,IF(BY2880&gt;=$BX$32,1,(BY2880-$BX$31)*$BX$33)),SUM($BU$42:BU2880)/$BV$40))</f>
        <v>1</v>
      </c>
      <c r="BW2880" s="16">
        <f t="shared" si="685"/>
        <v>1.1978360710308422E-29</v>
      </c>
      <c r="BY2880" s="16">
        <f t="shared" si="686"/>
        <v>283.79999999999603</v>
      </c>
      <c r="BZ2880" s="16">
        <f t="shared" si="677"/>
        <v>4.2207049719198696E-32</v>
      </c>
      <c r="CA2880" s="16">
        <f t="shared" si="684"/>
        <v>-999</v>
      </c>
      <c r="CE2880" s="16" t="e">
        <f t="shared" si="678"/>
        <v>#N/A</v>
      </c>
      <c r="CF2880" s="16">
        <f t="shared" si="679"/>
        <v>99</v>
      </c>
      <c r="CG2880" s="16">
        <f t="shared" si="680"/>
        <v>0</v>
      </c>
      <c r="CH2880" s="16">
        <f t="shared" si="676"/>
        <v>0</v>
      </c>
      <c r="CJ2880" s="16" t="e">
        <f t="shared" si="681"/>
        <v>#N/A</v>
      </c>
      <c r="CK2880" s="16" t="str">
        <f t="shared" si="682"/>
        <v/>
      </c>
    </row>
    <row r="2881" spans="73:89" ht="12" customHeight="1">
      <c r="BU2881" s="16">
        <f t="shared" si="683"/>
        <v>0</v>
      </c>
      <c r="BV2881" s="16">
        <f>IF($BY$12=1,NORMDIST(BY2881,$Y$6,$Y$8,TRUE),IF($BY$12=2,IF(BY2881&lt;=$BX$31,0,IF(BY2881&gt;=$BX$32,1,(BY2881-$BX$31)*$BX$33)),SUM($BU$42:BU2881)/$BV$40))</f>
        <v>1</v>
      </c>
      <c r="BW2881" s="16">
        <f t="shared" si="685"/>
        <v>1.1302133876783475E-29</v>
      </c>
      <c r="BY2881" s="16">
        <f t="shared" si="686"/>
        <v>283.89999999999606</v>
      </c>
      <c r="BZ2881" s="16">
        <f t="shared" si="677"/>
        <v>3.9810263743514028E-32</v>
      </c>
      <c r="CA2881" s="16">
        <f t="shared" si="684"/>
        <v>-999</v>
      </c>
      <c r="CE2881" s="16" t="e">
        <f t="shared" si="678"/>
        <v>#N/A</v>
      </c>
      <c r="CF2881" s="16">
        <f t="shared" si="679"/>
        <v>99</v>
      </c>
      <c r="CG2881" s="16">
        <f t="shared" si="680"/>
        <v>0</v>
      </c>
      <c r="CH2881" s="16">
        <f t="shared" si="676"/>
        <v>0</v>
      </c>
      <c r="CJ2881" s="16" t="e">
        <f t="shared" si="681"/>
        <v>#N/A</v>
      </c>
      <c r="CK2881" s="16" t="str">
        <f t="shared" si="682"/>
        <v/>
      </c>
    </row>
    <row r="2882" spans="73:89" ht="12" customHeight="1">
      <c r="BU2882" s="16">
        <f t="shared" si="683"/>
        <v>0</v>
      </c>
      <c r="BV2882" s="16">
        <f>IF($BY$12=1,NORMDIST(BY2882,$Y$6,$Y$8,TRUE),IF($BY$12=2,IF(BY2882&lt;=$BX$31,0,IF(BY2882&gt;=$BX$32,1,(BY2882-$BX$31)*$BX$33)),SUM($BU$42:BU2882)/$BV$40))</f>
        <v>1</v>
      </c>
      <c r="BW2882" s="16">
        <f t="shared" si="685"/>
        <v>1.0663814856969318E-29</v>
      </c>
      <c r="BY2882" s="16">
        <f t="shared" si="686"/>
        <v>283.99999999999608</v>
      </c>
      <c r="BZ2882" s="16">
        <f t="shared" si="677"/>
        <v>3.754864386256854E-32</v>
      </c>
      <c r="CA2882" s="16">
        <f t="shared" si="684"/>
        <v>-999</v>
      </c>
      <c r="CE2882" s="16" t="e">
        <f t="shared" si="678"/>
        <v>#N/A</v>
      </c>
      <c r="CF2882" s="16">
        <f t="shared" si="679"/>
        <v>99</v>
      </c>
      <c r="CG2882" s="16">
        <f t="shared" si="680"/>
        <v>0</v>
      </c>
      <c r="CH2882" s="16">
        <f t="shared" si="676"/>
        <v>0</v>
      </c>
      <c r="CJ2882" s="16" t="e">
        <f t="shared" si="681"/>
        <v>#N/A</v>
      </c>
      <c r="CK2882" s="16" t="str">
        <f t="shared" si="682"/>
        <v/>
      </c>
    </row>
    <row r="2883" spans="73:89" ht="12" customHeight="1">
      <c r="BU2883" s="16">
        <f t="shared" si="683"/>
        <v>0</v>
      </c>
      <c r="BV2883" s="16">
        <f>IF($BY$12=1,NORMDIST(BY2883,$Y$6,$Y$8,TRUE),IF($BY$12=2,IF(BY2883&lt;=$BX$31,0,IF(BY2883&gt;=$BX$32,1,(BY2883-$BX$31)*$BX$33)),SUM($BU$42:BU2883)/$BV$40))</f>
        <v>1</v>
      </c>
      <c r="BW2883" s="16">
        <f t="shared" si="685"/>
        <v>1.0061293872169408E-29</v>
      </c>
      <c r="BY2883" s="16">
        <f t="shared" si="686"/>
        <v>284.0999999999961</v>
      </c>
      <c r="BZ2883" s="16">
        <f t="shared" si="677"/>
        <v>3.5414621162159614E-32</v>
      </c>
      <c r="CA2883" s="16">
        <f t="shared" si="684"/>
        <v>-999</v>
      </c>
      <c r="CE2883" s="16" t="e">
        <f t="shared" si="678"/>
        <v>#N/A</v>
      </c>
      <c r="CF2883" s="16">
        <f t="shared" si="679"/>
        <v>99</v>
      </c>
      <c r="CG2883" s="16">
        <f t="shared" si="680"/>
        <v>0</v>
      </c>
      <c r="CH2883" s="16">
        <f t="shared" ref="CH2883:CH2946" si="687">IF(CB2883="",0,1)</f>
        <v>0</v>
      </c>
      <c r="CJ2883" s="16" t="e">
        <f t="shared" si="681"/>
        <v>#N/A</v>
      </c>
      <c r="CK2883" s="16" t="str">
        <f t="shared" si="682"/>
        <v/>
      </c>
    </row>
    <row r="2884" spans="73:89" ht="12" customHeight="1">
      <c r="BU2884" s="16">
        <f t="shared" si="683"/>
        <v>0</v>
      </c>
      <c r="BV2884" s="16">
        <f>IF($BY$12=1,NORMDIST(BY2884,$Y$6,$Y$8,TRUE),IF($BY$12=2,IF(BY2884&lt;=$BX$31,0,IF(BY2884&gt;=$BX$32,1,(BY2884-$BX$31)*$BX$33)),SUM($BU$42:BU2884)/$BV$40))</f>
        <v>1</v>
      </c>
      <c r="BW2884" s="16">
        <f t="shared" si="685"/>
        <v>9.4925777021652546E-30</v>
      </c>
      <c r="BY2884" s="16">
        <f t="shared" si="686"/>
        <v>284.19999999999612</v>
      </c>
      <c r="BZ2884" s="16">
        <f t="shared" si="677"/>
        <v>3.3401047509378553E-32</v>
      </c>
      <c r="CA2884" s="16">
        <f t="shared" si="684"/>
        <v>-999</v>
      </c>
      <c r="CE2884" s="16" t="e">
        <f t="shared" si="678"/>
        <v>#N/A</v>
      </c>
      <c r="CF2884" s="16">
        <f t="shared" si="679"/>
        <v>99</v>
      </c>
      <c r="CG2884" s="16">
        <f t="shared" si="680"/>
        <v>0</v>
      </c>
      <c r="CH2884" s="16">
        <f t="shared" si="687"/>
        <v>0</v>
      </c>
      <c r="CJ2884" s="16" t="e">
        <f t="shared" si="681"/>
        <v>#N/A</v>
      </c>
      <c r="CK2884" s="16" t="str">
        <f t="shared" si="682"/>
        <v/>
      </c>
    </row>
    <row r="2885" spans="73:89" ht="12" customHeight="1">
      <c r="BU2885" s="16">
        <f t="shared" si="683"/>
        <v>0</v>
      </c>
      <c r="BV2885" s="16">
        <f>IF($BY$12=1,NORMDIST(BY2885,$Y$6,$Y$8,TRUE),IF($BY$12=2,IF(BY2885&lt;=$BX$31,0,IF(BY2885&gt;=$BX$32,1,(BY2885-$BX$31)*$BX$33)),SUM($BU$42:BU2885)/$BV$40))</f>
        <v>1</v>
      </c>
      <c r="BW2885" s="16">
        <f t="shared" si="685"/>
        <v>8.9557832941589933E-30</v>
      </c>
      <c r="BY2885" s="16">
        <f t="shared" si="686"/>
        <v>284.29999999999615</v>
      </c>
      <c r="BZ2885" s="16">
        <f t="shared" si="677"/>
        <v>3.1501172332603285E-32</v>
      </c>
      <c r="CA2885" s="16">
        <f t="shared" si="684"/>
        <v>-999</v>
      </c>
      <c r="CE2885" s="16" t="e">
        <f t="shared" si="678"/>
        <v>#N/A</v>
      </c>
      <c r="CF2885" s="16">
        <f t="shared" si="679"/>
        <v>99</v>
      </c>
      <c r="CG2885" s="16">
        <f t="shared" si="680"/>
        <v>0</v>
      </c>
      <c r="CH2885" s="16">
        <f t="shared" si="687"/>
        <v>0</v>
      </c>
      <c r="CJ2885" s="16" t="e">
        <f t="shared" si="681"/>
        <v>#N/A</v>
      </c>
      <c r="CK2885" s="16" t="str">
        <f t="shared" si="682"/>
        <v/>
      </c>
    </row>
    <row r="2886" spans="73:89" ht="12" customHeight="1">
      <c r="BU2886" s="16">
        <f t="shared" si="683"/>
        <v>0</v>
      </c>
      <c r="BV2886" s="16">
        <f>IF($BY$12=1,NORMDIST(BY2886,$Y$6,$Y$8,TRUE),IF($BY$12=2,IF(BY2886&lt;=$BX$31,0,IF(BY2886&gt;=$BX$32,1,(BY2886-$BX$31)*$BX$33)),SUM($BU$42:BU2886)/$BV$40))</f>
        <v>1</v>
      </c>
      <c r="BW2886" s="16">
        <f t="shared" si="685"/>
        <v>8.449131719443987E-30</v>
      </c>
      <c r="BY2886" s="16">
        <f t="shared" si="686"/>
        <v>284.39999999999617</v>
      </c>
      <c r="BZ2886" s="16">
        <f t="shared" si="677"/>
        <v>2.9708620673150846E-32</v>
      </c>
      <c r="CA2886" s="16">
        <f t="shared" si="684"/>
        <v>-999</v>
      </c>
      <c r="CE2886" s="16" t="e">
        <f t="shared" si="678"/>
        <v>#N/A</v>
      </c>
      <c r="CF2886" s="16">
        <f t="shared" si="679"/>
        <v>99</v>
      </c>
      <c r="CG2886" s="16">
        <f t="shared" si="680"/>
        <v>0</v>
      </c>
      <c r="CH2886" s="16">
        <f t="shared" si="687"/>
        <v>0</v>
      </c>
      <c r="CJ2886" s="16" t="e">
        <f t="shared" si="681"/>
        <v>#N/A</v>
      </c>
      <c r="CK2886" s="16" t="str">
        <f t="shared" si="682"/>
        <v/>
      </c>
    </row>
    <row r="2887" spans="73:89" ht="12" customHeight="1">
      <c r="BU2887" s="16">
        <f t="shared" si="683"/>
        <v>0</v>
      </c>
      <c r="BV2887" s="16">
        <f>IF($BY$12=1,NORMDIST(BY2887,$Y$6,$Y$8,TRUE),IF($BY$12=2,IF(BY2887&lt;=$BX$31,0,IF(BY2887&gt;=$BX$32,1,(BY2887-$BX$31)*$BX$33)),SUM($BU$42:BU2887)/$BV$40))</f>
        <v>1</v>
      </c>
      <c r="BW2887" s="16">
        <f t="shared" si="685"/>
        <v>7.9709424590374692E-30</v>
      </c>
      <c r="BY2887" s="16">
        <f t="shared" si="686"/>
        <v>284.49999999999619</v>
      </c>
      <c r="BZ2887" s="16">
        <f t="shared" si="677"/>
        <v>2.801737243949939E-32</v>
      </c>
      <c r="CA2887" s="16">
        <f t="shared" si="684"/>
        <v>-999</v>
      </c>
      <c r="CE2887" s="16" t="e">
        <f t="shared" si="678"/>
        <v>#N/A</v>
      </c>
      <c r="CF2887" s="16">
        <f t="shared" si="679"/>
        <v>99</v>
      </c>
      <c r="CG2887" s="16">
        <f t="shared" si="680"/>
        <v>0</v>
      </c>
      <c r="CH2887" s="16">
        <f t="shared" si="687"/>
        <v>0</v>
      </c>
      <c r="CJ2887" s="16" t="e">
        <f t="shared" si="681"/>
        <v>#N/A</v>
      </c>
      <c r="CK2887" s="16" t="str">
        <f t="shared" si="682"/>
        <v/>
      </c>
    </row>
    <row r="2888" spans="73:89" ht="12" customHeight="1">
      <c r="BU2888" s="16">
        <f t="shared" si="683"/>
        <v>0</v>
      </c>
      <c r="BV2888" s="16">
        <f>IF($BY$12=1,NORMDIST(BY2888,$Y$6,$Y$8,TRUE),IF($BY$12=2,IF(BY2888&lt;=$BX$31,0,IF(BY2888&gt;=$BX$32,1,(BY2888-$BX$31)*$BX$33)),SUM($BU$42:BU2888)/$BV$40))</f>
        <v>1</v>
      </c>
      <c r="BW2888" s="16">
        <f t="shared" si="685"/>
        <v>7.5196280005084263E-30</v>
      </c>
      <c r="BY2888" s="16">
        <f t="shared" si="686"/>
        <v>284.59999999999621</v>
      </c>
      <c r="BZ2888" s="16">
        <f t="shared" si="677"/>
        <v>2.6421742798694754E-32</v>
      </c>
      <c r="CA2888" s="16">
        <f t="shared" si="684"/>
        <v>-999</v>
      </c>
      <c r="CE2888" s="16" t="e">
        <f t="shared" si="678"/>
        <v>#N/A</v>
      </c>
      <c r="CF2888" s="16">
        <f t="shared" si="679"/>
        <v>99</v>
      </c>
      <c r="CG2888" s="16">
        <f t="shared" si="680"/>
        <v>0</v>
      </c>
      <c r="CH2888" s="16">
        <f t="shared" si="687"/>
        <v>0</v>
      </c>
      <c r="CJ2888" s="16" t="e">
        <f t="shared" si="681"/>
        <v>#N/A</v>
      </c>
      <c r="CK2888" s="16" t="str">
        <f t="shared" si="682"/>
        <v/>
      </c>
    </row>
    <row r="2889" spans="73:89" ht="12" customHeight="1">
      <c r="BU2889" s="16">
        <f t="shared" si="683"/>
        <v>0</v>
      </c>
      <c r="BV2889" s="16">
        <f>IF($BY$12=1,NORMDIST(BY2889,$Y$6,$Y$8,TRUE),IF($BY$12=2,IF(BY2889&lt;=$BX$31,0,IF(BY2889&gt;=$BX$32,1,(BY2889-$BX$31)*$BX$33)),SUM($BU$42:BU2889)/$BV$40))</f>
        <v>1</v>
      </c>
      <c r="BW2889" s="16">
        <f t="shared" si="685"/>
        <v>7.0936887291851135E-30</v>
      </c>
      <c r="BY2889" s="16">
        <f t="shared" si="686"/>
        <v>284.69999999999624</v>
      </c>
      <c r="BZ2889" s="16">
        <f t="shared" si="677"/>
        <v>2.4916363643081165E-32</v>
      </c>
      <c r="CA2889" s="16">
        <f t="shared" si="684"/>
        <v>-999</v>
      </c>
      <c r="CE2889" s="16" t="e">
        <f t="shared" si="678"/>
        <v>#N/A</v>
      </c>
      <c r="CF2889" s="16">
        <f t="shared" si="679"/>
        <v>99</v>
      </c>
      <c r="CG2889" s="16">
        <f t="shared" si="680"/>
        <v>0</v>
      </c>
      <c r="CH2889" s="16">
        <f t="shared" si="687"/>
        <v>0</v>
      </c>
      <c r="CJ2889" s="16" t="e">
        <f t="shared" si="681"/>
        <v>#N/A</v>
      </c>
      <c r="CK2889" s="16" t="str">
        <f t="shared" si="682"/>
        <v/>
      </c>
    </row>
    <row r="2890" spans="73:89" ht="12" customHeight="1">
      <c r="BU2890" s="16">
        <f t="shared" si="683"/>
        <v>0</v>
      </c>
      <c r="BV2890" s="16">
        <f>IF($BY$12=1,NORMDIST(BY2890,$Y$6,$Y$8,TRUE),IF($BY$12=2,IF(BY2890&lt;=$BX$31,0,IF(BY2890&gt;=$BX$32,1,(BY2890-$BX$31)*$BX$33)),SUM($BU$42:BU2890)/$BV$40))</f>
        <v>1</v>
      </c>
      <c r="BW2890" s="16">
        <f t="shared" si="685"/>
        <v>6.6917080978341568E-30</v>
      </c>
      <c r="BY2890" s="16">
        <f t="shared" si="686"/>
        <v>284.79999999999626</v>
      </c>
      <c r="BZ2890" s="16">
        <f t="shared" si="677"/>
        <v>2.3496166073856196E-32</v>
      </c>
      <c r="CA2890" s="16">
        <f t="shared" si="684"/>
        <v>-999</v>
      </c>
      <c r="CE2890" s="16" t="e">
        <f t="shared" si="678"/>
        <v>#N/A</v>
      </c>
      <c r="CF2890" s="16">
        <f t="shared" si="679"/>
        <v>99</v>
      </c>
      <c r="CG2890" s="16">
        <f t="shared" si="680"/>
        <v>0</v>
      </c>
      <c r="CH2890" s="16">
        <f t="shared" si="687"/>
        <v>0</v>
      </c>
      <c r="CJ2890" s="16" t="e">
        <f t="shared" si="681"/>
        <v>#N/A</v>
      </c>
      <c r="CK2890" s="16" t="str">
        <f t="shared" si="682"/>
        <v/>
      </c>
    </row>
    <row r="2891" spans="73:89" ht="12" customHeight="1">
      <c r="BU2891" s="16">
        <f t="shared" si="683"/>
        <v>0</v>
      </c>
      <c r="BV2891" s="16">
        <f>IF($BY$12=1,NORMDIST(BY2891,$Y$6,$Y$8,TRUE),IF($BY$12=2,IF(BY2891&lt;=$BX$31,0,IF(BY2891&gt;=$BX$32,1,(BY2891-$BX$31)*$BX$33)),SUM($BU$42:BU2891)/$BV$40))</f>
        <v>1</v>
      </c>
      <c r="BW2891" s="16">
        <f t="shared" si="685"/>
        <v>6.3123480597469325E-30</v>
      </c>
      <c r="BY2891" s="16">
        <f t="shared" si="686"/>
        <v>284.89999999999628</v>
      </c>
      <c r="BZ2891" s="16">
        <f t="shared" si="677"/>
        <v>2.2156363846075869E-32</v>
      </c>
      <c r="CA2891" s="16">
        <f t="shared" si="684"/>
        <v>-999</v>
      </c>
      <c r="CE2891" s="16" t="e">
        <f t="shared" si="678"/>
        <v>#N/A</v>
      </c>
      <c r="CF2891" s="16">
        <f t="shared" si="679"/>
        <v>99</v>
      </c>
      <c r="CG2891" s="16">
        <f t="shared" si="680"/>
        <v>0</v>
      </c>
      <c r="CH2891" s="16">
        <f t="shared" si="687"/>
        <v>0</v>
      </c>
      <c r="CJ2891" s="16" t="e">
        <f t="shared" si="681"/>
        <v>#N/A</v>
      </c>
      <c r="CK2891" s="16" t="str">
        <f t="shared" si="682"/>
        <v/>
      </c>
    </row>
    <row r="2892" spans="73:89" ht="12" customHeight="1">
      <c r="BU2892" s="16">
        <f t="shared" si="683"/>
        <v>0</v>
      </c>
      <c r="BV2892" s="16">
        <f>IF($BY$12=1,NORMDIST(BY2892,$Y$6,$Y$8,TRUE),IF($BY$12=2,IF(BY2892&lt;=$BX$31,0,IF(BY2892&gt;=$BX$32,1,(BY2892-$BX$31)*$BX$33)),SUM($BU$42:BU2892)/$BV$40))</f>
        <v>1</v>
      </c>
      <c r="BW2892" s="16">
        <f t="shared" si="685"/>
        <v>5.9543447509861389E-30</v>
      </c>
      <c r="BY2892" s="16">
        <f t="shared" si="686"/>
        <v>284.99999999999631</v>
      </c>
      <c r="BZ2892" s="16">
        <f t="shared" si="677"/>
        <v>2.0892437722758653E-32</v>
      </c>
      <c r="CA2892" s="16">
        <f t="shared" si="684"/>
        <v>-999</v>
      </c>
      <c r="CE2892" s="16" t="e">
        <f t="shared" si="678"/>
        <v>#N/A</v>
      </c>
      <c r="CF2892" s="16">
        <f t="shared" si="679"/>
        <v>99</v>
      </c>
      <c r="CG2892" s="16">
        <f t="shared" si="680"/>
        <v>0</v>
      </c>
      <c r="CH2892" s="16">
        <f t="shared" si="687"/>
        <v>0</v>
      </c>
      <c r="CJ2892" s="16" t="e">
        <f t="shared" si="681"/>
        <v>#N/A</v>
      </c>
      <c r="CK2892" s="16" t="str">
        <f t="shared" si="682"/>
        <v/>
      </c>
    </row>
    <row r="2893" spans="73:89" ht="12" customHeight="1">
      <c r="BU2893" s="16">
        <f t="shared" si="683"/>
        <v>0</v>
      </c>
      <c r="BV2893" s="16">
        <f>IF($BY$12=1,NORMDIST(BY2893,$Y$6,$Y$8,TRUE),IF($BY$12=2,IF(BY2893&lt;=$BX$31,0,IF(BY2893&gt;=$BX$32,1,(BY2893-$BX$31)*$BX$33)),SUM($BU$42:BU2893)/$BV$40))</f>
        <v>1</v>
      </c>
      <c r="BW2893" s="16">
        <f t="shared" si="685"/>
        <v>5.6165044083026769E-30</v>
      </c>
      <c r="BY2893" s="16">
        <f t="shared" si="686"/>
        <v>285.09999999999633</v>
      </c>
      <c r="BZ2893" s="16">
        <f t="shared" si="677"/>
        <v>1.9700120688539983E-32</v>
      </c>
      <c r="CA2893" s="16">
        <f t="shared" si="684"/>
        <v>-999</v>
      </c>
      <c r="CE2893" s="16" t="e">
        <f t="shared" si="678"/>
        <v>#N/A</v>
      </c>
      <c r="CF2893" s="16">
        <f t="shared" si="679"/>
        <v>99</v>
      </c>
      <c r="CG2893" s="16">
        <f t="shared" si="680"/>
        <v>0</v>
      </c>
      <c r="CH2893" s="16">
        <f t="shared" si="687"/>
        <v>0</v>
      </c>
      <c r="CJ2893" s="16" t="e">
        <f t="shared" si="681"/>
        <v>#N/A</v>
      </c>
      <c r="CK2893" s="16" t="str">
        <f t="shared" si="682"/>
        <v/>
      </c>
    </row>
    <row r="2894" spans="73:89" ht="12" customHeight="1">
      <c r="BU2894" s="16">
        <f t="shared" si="683"/>
        <v>0</v>
      </c>
      <c r="BV2894" s="16">
        <f>IF($BY$12=1,NORMDIST(BY2894,$Y$6,$Y$8,TRUE),IF($BY$12=2,IF(BY2894&lt;=$BX$31,0,IF(BY2894&gt;=$BX$32,1,(BY2894-$BX$31)*$BX$33)),SUM($BU$42:BU2894)/$BV$40))</f>
        <v>1</v>
      </c>
      <c r="BW2894" s="16">
        <f t="shared" si="685"/>
        <v>5.2976995099624289E-30</v>
      </c>
      <c r="BY2894" s="16">
        <f t="shared" si="686"/>
        <v>285.19999999999635</v>
      </c>
      <c r="BZ2894" s="16">
        <f t="shared" si="677"/>
        <v>1.8575383976025584E-32</v>
      </c>
      <c r="CA2894" s="16">
        <f t="shared" si="684"/>
        <v>-999</v>
      </c>
      <c r="CE2894" s="16" t="e">
        <f t="shared" si="678"/>
        <v>#N/A</v>
      </c>
      <c r="CF2894" s="16">
        <f t="shared" si="679"/>
        <v>99</v>
      </c>
      <c r="CG2894" s="16">
        <f t="shared" si="680"/>
        <v>0</v>
      </c>
      <c r="CH2894" s="16">
        <f t="shared" si="687"/>
        <v>0</v>
      </c>
      <c r="CJ2894" s="16" t="e">
        <f t="shared" si="681"/>
        <v>#N/A</v>
      </c>
      <c r="CK2894" s="16" t="str">
        <f t="shared" si="682"/>
        <v/>
      </c>
    </row>
    <row r="2895" spans="73:89" ht="12" customHeight="1">
      <c r="BU2895" s="16">
        <f t="shared" si="683"/>
        <v>0</v>
      </c>
      <c r="BV2895" s="16">
        <f>IF($BY$12=1,NORMDIST(BY2895,$Y$6,$Y$8,TRUE),IF($BY$12=2,IF(BY2895&lt;=$BX$31,0,IF(BY2895&gt;=$BX$32,1,(BY2895-$BX$31)*$BX$33)),SUM($BU$42:BU2895)/$BV$40))</f>
        <v>1</v>
      </c>
      <c r="BW2895" s="16">
        <f t="shared" si="685"/>
        <v>4.9968651274044987E-30</v>
      </c>
      <c r="BY2895" s="16">
        <f t="shared" si="686"/>
        <v>285.29999999999637</v>
      </c>
      <c r="BZ2895" s="16">
        <f t="shared" si="677"/>
        <v>1.7514423860513712E-32</v>
      </c>
      <c r="CA2895" s="16">
        <f t="shared" si="684"/>
        <v>-999</v>
      </c>
      <c r="CE2895" s="16" t="e">
        <f t="shared" si="678"/>
        <v>#N/A</v>
      </c>
      <c r="CF2895" s="16">
        <f t="shared" si="679"/>
        <v>99</v>
      </c>
      <c r="CG2895" s="16">
        <f t="shared" si="680"/>
        <v>0</v>
      </c>
      <c r="CH2895" s="16">
        <f t="shared" si="687"/>
        <v>0</v>
      </c>
      <c r="CJ2895" s="16" t="e">
        <f t="shared" si="681"/>
        <v>#N/A</v>
      </c>
      <c r="CK2895" s="16" t="str">
        <f t="shared" si="682"/>
        <v/>
      </c>
    </row>
    <row r="2896" spans="73:89" ht="12" customHeight="1">
      <c r="BU2896" s="16">
        <f t="shared" si="683"/>
        <v>0</v>
      </c>
      <c r="BV2896" s="16">
        <f>IF($BY$12=1,NORMDIST(BY2896,$Y$6,$Y$8,TRUE),IF($BY$12=2,IF(BY2896&lt;=$BX$31,0,IF(BY2896&gt;=$BX$32,1,(BY2896-$BX$31)*$BX$33)),SUM($BU$42:BU2896)/$BV$40))</f>
        <v>1</v>
      </c>
      <c r="BW2896" s="16">
        <f t="shared" si="685"/>
        <v>4.7129954763043493E-30</v>
      </c>
      <c r="BY2896" s="16">
        <f t="shared" si="686"/>
        <v>285.3999999999964</v>
      </c>
      <c r="BZ2896" s="16">
        <f t="shared" si="677"/>
        <v>1.6513649181164713E-32</v>
      </c>
      <c r="CA2896" s="16">
        <f t="shared" si="684"/>
        <v>-999</v>
      </c>
      <c r="CE2896" s="16" t="e">
        <f t="shared" si="678"/>
        <v>#N/A</v>
      </c>
      <c r="CF2896" s="16">
        <f t="shared" si="679"/>
        <v>99</v>
      </c>
      <c r="CG2896" s="16">
        <f t="shared" si="680"/>
        <v>0</v>
      </c>
      <c r="CH2896" s="16">
        <f t="shared" si="687"/>
        <v>0</v>
      </c>
      <c r="CJ2896" s="16" t="e">
        <f t="shared" si="681"/>
        <v>#N/A</v>
      </c>
      <c r="CK2896" s="16" t="str">
        <f t="shared" si="682"/>
        <v/>
      </c>
    </row>
    <row r="2897" spans="73:89" ht="12" customHeight="1">
      <c r="BU2897" s="16">
        <f t="shared" si="683"/>
        <v>0</v>
      </c>
      <c r="BV2897" s="16">
        <f>IF($BY$12=1,NORMDIST(BY2897,$Y$6,$Y$8,TRUE),IF($BY$12=2,IF(BY2897&lt;=$BX$31,0,IF(BY2897&gt;=$BX$32,1,(BY2897-$BX$31)*$BX$33)),SUM($BU$42:BU2897)/$BV$40))</f>
        <v>1</v>
      </c>
      <c r="BW2897" s="16">
        <f t="shared" si="685"/>
        <v>4.4451406562271645E-30</v>
      </c>
      <c r="BY2897" s="16">
        <f t="shared" si="686"/>
        <v>285.49999999999642</v>
      </c>
      <c r="BZ2897" s="16">
        <f t="shared" si="677"/>
        <v>1.5569669548956989E-32</v>
      </c>
      <c r="CA2897" s="16">
        <f t="shared" si="684"/>
        <v>-999</v>
      </c>
      <c r="CE2897" s="16" t="e">
        <f t="shared" si="678"/>
        <v>#N/A</v>
      </c>
      <c r="CF2897" s="16">
        <f t="shared" si="679"/>
        <v>99</v>
      </c>
      <c r="CG2897" s="16">
        <f t="shared" si="680"/>
        <v>0</v>
      </c>
      <c r="CH2897" s="16">
        <f t="shared" si="687"/>
        <v>0</v>
      </c>
      <c r="CJ2897" s="16" t="e">
        <f t="shared" si="681"/>
        <v>#N/A</v>
      </c>
      <c r="CK2897" s="16" t="str">
        <f t="shared" si="682"/>
        <v/>
      </c>
    </row>
    <row r="2898" spans="73:89" ht="12" customHeight="1">
      <c r="BU2898" s="16">
        <f t="shared" si="683"/>
        <v>0</v>
      </c>
      <c r="BV2898" s="16">
        <f>IF($BY$12=1,NORMDIST(BY2898,$Y$6,$Y$8,TRUE),IF($BY$12=2,IF(BY2898&lt;=$BX$31,0,IF(BY2898&gt;=$BX$32,1,(BY2898-$BX$31)*$BX$33)),SUM($BU$42:BU2898)/$BV$40))</f>
        <v>1</v>
      </c>
      <c r="BW2898" s="16">
        <f t="shared" si="685"/>
        <v>4.1924035686408805E-30</v>
      </c>
      <c r="BY2898" s="16">
        <f t="shared" si="686"/>
        <v>285.59999999999644</v>
      </c>
      <c r="BZ2898" s="16">
        <f t="shared" si="677"/>
        <v>1.4679284203924834E-32</v>
      </c>
      <c r="CA2898" s="16">
        <f t="shared" si="684"/>
        <v>-999</v>
      </c>
      <c r="CE2898" s="16" t="e">
        <f t="shared" si="678"/>
        <v>#N/A</v>
      </c>
      <c r="CF2898" s="16">
        <f t="shared" si="679"/>
        <v>99</v>
      </c>
      <c r="CG2898" s="16">
        <f t="shared" si="680"/>
        <v>0</v>
      </c>
      <c r="CH2898" s="16">
        <f t="shared" si="687"/>
        <v>0</v>
      </c>
      <c r="CJ2898" s="16" t="e">
        <f t="shared" si="681"/>
        <v>#N/A</v>
      </c>
      <c r="CK2898" s="16" t="str">
        <f t="shared" si="682"/>
        <v/>
      </c>
    </row>
    <row r="2899" spans="73:89" ht="12" customHeight="1">
      <c r="BU2899" s="16">
        <f t="shared" si="683"/>
        <v>0</v>
      </c>
      <c r="BV2899" s="16">
        <f>IF($BY$12=1,NORMDIST(BY2899,$Y$6,$Y$8,TRUE),IF($BY$12=2,IF(BY2899&lt;=$BX$31,0,IF(BY2899&gt;=$BX$32,1,(BY2899-$BX$31)*$BX$33)),SUM($BU$42:BU2899)/$BV$40))</f>
        <v>1</v>
      </c>
      <c r="BW2899" s="16">
        <f t="shared" si="685"/>
        <v>3.9539370036067531E-30</v>
      </c>
      <c r="BY2899" s="16">
        <f t="shared" si="686"/>
        <v>285.69999999999646</v>
      </c>
      <c r="BZ2899" s="16">
        <f t="shared" si="677"/>
        <v>1.3839471486198117E-32</v>
      </c>
      <c r="CA2899" s="16">
        <f t="shared" si="684"/>
        <v>-999</v>
      </c>
      <c r="CE2899" s="16" t="e">
        <f t="shared" si="678"/>
        <v>#N/A</v>
      </c>
      <c r="CF2899" s="16">
        <f t="shared" si="679"/>
        <v>99</v>
      </c>
      <c r="CG2899" s="16">
        <f t="shared" si="680"/>
        <v>0</v>
      </c>
      <c r="CH2899" s="16">
        <f t="shared" si="687"/>
        <v>0</v>
      </c>
      <c r="CJ2899" s="16" t="e">
        <f t="shared" si="681"/>
        <v>#N/A</v>
      </c>
      <c r="CK2899" s="16" t="str">
        <f t="shared" si="682"/>
        <v/>
      </c>
    </row>
    <row r="2900" spans="73:89" ht="12" customHeight="1">
      <c r="BU2900" s="16">
        <f t="shared" si="683"/>
        <v>0</v>
      </c>
      <c r="BV2900" s="16">
        <f>IF($BY$12=1,NORMDIST(BY2900,$Y$6,$Y$8,TRUE),IF($BY$12=2,IF(BY2900&lt;=$BX$31,0,IF(BY2900&gt;=$BX$32,1,(BY2900-$BX$31)*$BX$33)),SUM($BU$42:BU2900)/$BV$40))</f>
        <v>1</v>
      </c>
      <c r="BW2900" s="16">
        <f t="shared" si="685"/>
        <v>3.7289408859883743E-30</v>
      </c>
      <c r="BY2900" s="16">
        <f t="shared" si="686"/>
        <v>285.79999999999649</v>
      </c>
      <c r="BZ2900" s="16">
        <f t="shared" si="677"/>
        <v>1.3047378887293283E-32</v>
      </c>
      <c r="CA2900" s="16">
        <f t="shared" si="684"/>
        <v>-999</v>
      </c>
      <c r="CE2900" s="16" t="e">
        <f t="shared" si="678"/>
        <v>#N/A</v>
      </c>
      <c r="CF2900" s="16">
        <f t="shared" si="679"/>
        <v>99</v>
      </c>
      <c r="CG2900" s="16">
        <f t="shared" si="680"/>
        <v>0</v>
      </c>
      <c r="CH2900" s="16">
        <f t="shared" si="687"/>
        <v>0</v>
      </c>
      <c r="CJ2900" s="16" t="e">
        <f t="shared" si="681"/>
        <v>#N/A</v>
      </c>
      <c r="CK2900" s="16" t="str">
        <f t="shared" si="682"/>
        <v/>
      </c>
    </row>
    <row r="2901" spans="73:89" ht="12" customHeight="1">
      <c r="BU2901" s="16">
        <f t="shared" si="683"/>
        <v>0</v>
      </c>
      <c r="BV2901" s="16">
        <f>IF($BY$12=1,NORMDIST(BY2901,$Y$6,$Y$8,TRUE),IF($BY$12=2,IF(BY2901&lt;=$BX$31,0,IF(BY2901&gt;=$BX$32,1,(BY2901-$BX$31)*$BX$33)),SUM($BU$42:BU2901)/$BV$40))</f>
        <v>1</v>
      </c>
      <c r="BW2901" s="16">
        <f t="shared" si="685"/>
        <v>3.5166596725126197E-30</v>
      </c>
      <c r="BY2901" s="16">
        <f t="shared" si="686"/>
        <v>285.89999999999651</v>
      </c>
      <c r="BZ2901" s="16">
        <f t="shared" si="677"/>
        <v>1.230031364992187E-32</v>
      </c>
      <c r="CA2901" s="16">
        <f t="shared" si="684"/>
        <v>-999</v>
      </c>
      <c r="CE2901" s="16" t="e">
        <f t="shared" si="678"/>
        <v>#N/A</v>
      </c>
      <c r="CF2901" s="16">
        <f t="shared" si="679"/>
        <v>99</v>
      </c>
      <c r="CG2901" s="16">
        <f t="shared" si="680"/>
        <v>0</v>
      </c>
      <c r="CH2901" s="16">
        <f t="shared" si="687"/>
        <v>0</v>
      </c>
      <c r="CJ2901" s="16" t="e">
        <f t="shared" si="681"/>
        <v>#N/A</v>
      </c>
      <c r="CK2901" s="16" t="str">
        <f t="shared" si="682"/>
        <v/>
      </c>
    </row>
    <row r="2902" spans="73:89" ht="12" customHeight="1">
      <c r="BU2902" s="16">
        <f t="shared" si="683"/>
        <v>0</v>
      </c>
      <c r="BV2902" s="16">
        <f>IF($BY$12=1,NORMDIST(BY2902,$Y$6,$Y$8,TRUE),IF($BY$12=2,IF(BY2902&lt;=$BX$31,0,IF(BY2902&gt;=$BX$32,1,(BY2902-$BX$31)*$BX$33)),SUM($BU$42:BU2902)/$BV$40))</f>
        <v>1</v>
      </c>
      <c r="BW2902" s="16">
        <f t="shared" si="685"/>
        <v>3.3163798914829934E-30</v>
      </c>
      <c r="BY2902" s="16">
        <f t="shared" si="686"/>
        <v>285.99999999999653</v>
      </c>
      <c r="BZ2902" s="16">
        <f t="shared" si="677"/>
        <v>1.1595733886304313E-32</v>
      </c>
      <c r="CA2902" s="16">
        <f t="shared" si="684"/>
        <v>-999</v>
      </c>
      <c r="CE2902" s="16" t="e">
        <f t="shared" si="678"/>
        <v>#N/A</v>
      </c>
      <c r="CF2902" s="16">
        <f t="shared" si="679"/>
        <v>99</v>
      </c>
      <c r="CG2902" s="16">
        <f t="shared" si="680"/>
        <v>0</v>
      </c>
      <c r="CH2902" s="16">
        <f t="shared" si="687"/>
        <v>0</v>
      </c>
      <c r="CJ2902" s="16" t="e">
        <f t="shared" si="681"/>
        <v>#N/A</v>
      </c>
      <c r="CK2902" s="16" t="str">
        <f t="shared" si="682"/>
        <v/>
      </c>
    </row>
    <row r="2903" spans="73:89" ht="12" customHeight="1">
      <c r="BU2903" s="16">
        <f t="shared" si="683"/>
        <v>0</v>
      </c>
      <c r="BV2903" s="16">
        <f>IF($BY$12=1,NORMDIST(BY2903,$Y$6,$Y$8,TRUE),IF($BY$12=2,IF(BY2903&lt;=$BX$31,0,IF(BY2903&gt;=$BX$32,1,(BY2903-$BX$31)*$BX$33)),SUM($BU$42:BU2903)/$BV$40))</f>
        <v>1</v>
      </c>
      <c r="BW2903" s="16">
        <f t="shared" si="685"/>
        <v>3.1274278173882263E-30</v>
      </c>
      <c r="BY2903" s="16">
        <f t="shared" si="686"/>
        <v>286.09999999999656</v>
      </c>
      <c r="BZ2903" s="16">
        <f t="shared" si="677"/>
        <v>1.0931240186607005E-32</v>
      </c>
      <c r="CA2903" s="16">
        <f t="shared" si="684"/>
        <v>-999</v>
      </c>
      <c r="CE2903" s="16" t="e">
        <f t="shared" si="678"/>
        <v>#N/A</v>
      </c>
      <c r="CF2903" s="16">
        <f t="shared" si="679"/>
        <v>99</v>
      </c>
      <c r="CG2903" s="16">
        <f t="shared" si="680"/>
        <v>0</v>
      </c>
      <c r="CH2903" s="16">
        <f t="shared" si="687"/>
        <v>0</v>
      </c>
      <c r="CJ2903" s="16" t="e">
        <f t="shared" si="681"/>
        <v>#N/A</v>
      </c>
      <c r="CK2903" s="16" t="str">
        <f t="shared" si="682"/>
        <v/>
      </c>
    </row>
    <row r="2904" spans="73:89" ht="12" customHeight="1">
      <c r="BU2904" s="16">
        <f t="shared" si="683"/>
        <v>0</v>
      </c>
      <c r="BV2904" s="16">
        <f>IF($BY$12=1,NORMDIST(BY2904,$Y$6,$Y$8,TRUE),IF($BY$12=2,IF(BY2904&lt;=$BX$31,0,IF(BY2904&gt;=$BX$32,1,(BY2904-$BX$31)*$BX$33)),SUM($BU$42:BU2904)/$BV$40))</f>
        <v>1</v>
      </c>
      <c r="BW2904" s="16">
        <f t="shared" si="685"/>
        <v>2.9491672730675673E-30</v>
      </c>
      <c r="BY2904" s="16">
        <f t="shared" si="686"/>
        <v>286.19999999999658</v>
      </c>
      <c r="BZ2904" s="16">
        <f t="shared" si="677"/>
        <v>1.0304567690662483E-32</v>
      </c>
      <c r="CA2904" s="16">
        <f t="shared" si="684"/>
        <v>-999</v>
      </c>
      <c r="CE2904" s="16" t="e">
        <f t="shared" si="678"/>
        <v>#N/A</v>
      </c>
      <c r="CF2904" s="16">
        <f t="shared" si="679"/>
        <v>99</v>
      </c>
      <c r="CG2904" s="16">
        <f t="shared" si="680"/>
        <v>0</v>
      </c>
      <c r="CH2904" s="16">
        <f t="shared" si="687"/>
        <v>0</v>
      </c>
      <c r="CJ2904" s="16" t="e">
        <f t="shared" si="681"/>
        <v>#N/A</v>
      </c>
      <c r="CK2904" s="16" t="str">
        <f t="shared" si="682"/>
        <v/>
      </c>
    </row>
    <row r="2905" spans="73:89" ht="12" customHeight="1">
      <c r="BU2905" s="16">
        <f t="shared" si="683"/>
        <v>0</v>
      </c>
      <c r="BV2905" s="16">
        <f>IF($BY$12=1,NORMDIST(BY2905,$Y$6,$Y$8,TRUE),IF($BY$12=2,IF(BY2905&lt;=$BX$31,0,IF(BY2905&gt;=$BX$32,1,(BY2905-$BX$31)*$BX$33)),SUM($BU$42:BU2905)/$BV$40))</f>
        <v>1</v>
      </c>
      <c r="BW2905" s="16">
        <f t="shared" si="685"/>
        <v>2.7809975524900956E-30</v>
      </c>
      <c r="BY2905" s="16">
        <f t="shared" si="686"/>
        <v>286.2999999999966</v>
      </c>
      <c r="BZ2905" s="16">
        <f t="shared" si="677"/>
        <v>9.7135785975903895E-33</v>
      </c>
      <c r="CA2905" s="16">
        <f t="shared" si="684"/>
        <v>-999</v>
      </c>
      <c r="CE2905" s="16" t="e">
        <f t="shared" si="678"/>
        <v>#N/A</v>
      </c>
      <c r="CF2905" s="16">
        <f t="shared" si="679"/>
        <v>99</v>
      </c>
      <c r="CG2905" s="16">
        <f t="shared" si="680"/>
        <v>0</v>
      </c>
      <c r="CH2905" s="16">
        <f t="shared" si="687"/>
        <v>0</v>
      </c>
      <c r="CJ2905" s="16" t="e">
        <f t="shared" si="681"/>
        <v>#N/A</v>
      </c>
      <c r="CK2905" s="16" t="str">
        <f t="shared" si="682"/>
        <v/>
      </c>
    </row>
    <row r="2906" spans="73:89" ht="12" customHeight="1">
      <c r="BU2906" s="16">
        <f t="shared" si="683"/>
        <v>0</v>
      </c>
      <c r="BV2906" s="16">
        <f>IF($BY$12=1,NORMDIST(BY2906,$Y$6,$Y$8,TRUE),IF($BY$12=2,IF(BY2906&lt;=$BX$31,0,IF(BY2906&gt;=$BX$32,1,(BY2906-$BX$31)*$BX$33)),SUM($BU$42:BU2906)/$BV$40))</f>
        <v>1</v>
      </c>
      <c r="BW2906" s="16">
        <f t="shared" si="685"/>
        <v>2.6223514575798407E-30</v>
      </c>
      <c r="BY2906" s="16">
        <f t="shared" si="686"/>
        <v>286.39999999999662</v>
      </c>
      <c r="BZ2906" s="16">
        <f t="shared" si="677"/>
        <v>9.1562550893151948E-33</v>
      </c>
      <c r="CA2906" s="16">
        <f t="shared" si="684"/>
        <v>-999</v>
      </c>
      <c r="CE2906" s="16" t="e">
        <f t="shared" si="678"/>
        <v>#N/A</v>
      </c>
      <c r="CF2906" s="16">
        <f t="shared" si="679"/>
        <v>99</v>
      </c>
      <c r="CG2906" s="16">
        <f t="shared" si="680"/>
        <v>0</v>
      </c>
      <c r="CH2906" s="16">
        <f t="shared" si="687"/>
        <v>0</v>
      </c>
      <c r="CJ2906" s="16" t="e">
        <f t="shared" si="681"/>
        <v>#N/A</v>
      </c>
      <c r="CK2906" s="16" t="str">
        <f t="shared" si="682"/>
        <v/>
      </c>
    </row>
    <row r="2907" spans="73:89" ht="12" customHeight="1">
      <c r="BU2907" s="16">
        <f t="shared" si="683"/>
        <v>0</v>
      </c>
      <c r="BV2907" s="16">
        <f>IF($BY$12=1,NORMDIST(BY2907,$Y$6,$Y$8,TRUE),IF($BY$12=2,IF(BY2907&lt;=$BX$31,0,IF(BY2907&gt;=$BX$32,1,(BY2907-$BX$31)*$BX$33)),SUM($BU$42:BU2907)/$BV$40))</f>
        <v>1</v>
      </c>
      <c r="BW2907" s="16">
        <f t="shared" si="685"/>
        <v>2.472693442874333E-30</v>
      </c>
      <c r="BY2907" s="16">
        <f t="shared" si="686"/>
        <v>286.49999999999665</v>
      </c>
      <c r="BZ2907" s="16">
        <f t="shared" si="677"/>
        <v>8.6306926452857313E-33</v>
      </c>
      <c r="CA2907" s="16">
        <f t="shared" si="684"/>
        <v>-999</v>
      </c>
      <c r="CE2907" s="16" t="e">
        <f t="shared" si="678"/>
        <v>#N/A</v>
      </c>
      <c r="CF2907" s="16">
        <f t="shared" si="679"/>
        <v>99</v>
      </c>
      <c r="CG2907" s="16">
        <f t="shared" si="680"/>
        <v>0</v>
      </c>
      <c r="CH2907" s="16">
        <f t="shared" si="687"/>
        <v>0</v>
      </c>
      <c r="CJ2907" s="16" t="e">
        <f t="shared" si="681"/>
        <v>#N/A</v>
      </c>
      <c r="CK2907" s="16" t="str">
        <f t="shared" si="682"/>
        <v/>
      </c>
    </row>
    <row r="2908" spans="73:89" ht="12" customHeight="1">
      <c r="BU2908" s="16">
        <f t="shared" si="683"/>
        <v>0</v>
      </c>
      <c r="BV2908" s="16">
        <f>IF($BY$12=1,NORMDIST(BY2908,$Y$6,$Y$8,TRUE),IF($BY$12=2,IF(BY2908&lt;=$BX$31,0,IF(BY2908&gt;=$BX$32,1,(BY2908-$BX$31)*$BX$33)),SUM($BU$42:BU2908)/$BV$40))</f>
        <v>1</v>
      </c>
      <c r="BW2908" s="16">
        <f t="shared" si="685"/>
        <v>2.3315178621387337E-30</v>
      </c>
      <c r="BY2908" s="16">
        <f t="shared" si="686"/>
        <v>286.59999999999667</v>
      </c>
      <c r="BZ2908" s="16">
        <f t="shared" si="677"/>
        <v>8.1350937269321729E-33</v>
      </c>
      <c r="CA2908" s="16">
        <f t="shared" si="684"/>
        <v>-999</v>
      </c>
      <c r="CE2908" s="16" t="e">
        <f t="shared" si="678"/>
        <v>#N/A</v>
      </c>
      <c r="CF2908" s="16">
        <f t="shared" si="679"/>
        <v>99</v>
      </c>
      <c r="CG2908" s="16">
        <f t="shared" si="680"/>
        <v>0</v>
      </c>
      <c r="CH2908" s="16">
        <f t="shared" si="687"/>
        <v>0</v>
      </c>
      <c r="CJ2908" s="16" t="e">
        <f t="shared" si="681"/>
        <v>#N/A</v>
      </c>
      <c r="CK2908" s="16" t="str">
        <f t="shared" si="682"/>
        <v/>
      </c>
    </row>
    <row r="2909" spans="73:89" ht="12" customHeight="1">
      <c r="BU2909" s="16">
        <f t="shared" si="683"/>
        <v>0</v>
      </c>
      <c r="BV2909" s="16">
        <f>IF($BY$12=1,NORMDIST(BY2909,$Y$6,$Y$8,TRUE),IF($BY$12=2,IF(BY2909&lt;=$BX$31,0,IF(BY2909&gt;=$BX$32,1,(BY2909-$BX$31)*$BX$33)),SUM($BU$42:BU2909)/$BV$40))</f>
        <v>1</v>
      </c>
      <c r="BW2909" s="16">
        <f t="shared" si="685"/>
        <v>2.1983473113765294E-30</v>
      </c>
      <c r="BY2909" s="16">
        <f t="shared" si="686"/>
        <v>286.69999999999669</v>
      </c>
      <c r="BZ2909" s="16">
        <f t="shared" si="677"/>
        <v>7.6677618115680326E-33</v>
      </c>
      <c r="CA2909" s="16">
        <f t="shared" si="684"/>
        <v>-999</v>
      </c>
      <c r="CE2909" s="16" t="e">
        <f t="shared" si="678"/>
        <v>#N/A</v>
      </c>
      <c r="CF2909" s="16">
        <f t="shared" si="679"/>
        <v>99</v>
      </c>
      <c r="CG2909" s="16">
        <f t="shared" si="680"/>
        <v>0</v>
      </c>
      <c r="CH2909" s="16">
        <f t="shared" si="687"/>
        <v>0</v>
      </c>
      <c r="CJ2909" s="16" t="e">
        <f t="shared" si="681"/>
        <v>#N/A</v>
      </c>
      <c r="CK2909" s="16" t="str">
        <f t="shared" si="682"/>
        <v/>
      </c>
    </row>
    <row r="2910" spans="73:89" ht="12" customHeight="1">
      <c r="BU2910" s="16">
        <f t="shared" si="683"/>
        <v>0</v>
      </c>
      <c r="BV2910" s="16">
        <f>IF($BY$12=1,NORMDIST(BY2910,$Y$6,$Y$8,TRUE),IF($BY$12=2,IF(BY2910&lt;=$BX$31,0,IF(BY2910&gt;=$BX$32,1,(BY2910-$BX$31)*$BX$33)),SUM($BU$42:BU2910)/$BV$40))</f>
        <v>1</v>
      </c>
      <c r="BW2910" s="16">
        <f t="shared" si="685"/>
        <v>2.0727310629780437E-30</v>
      </c>
      <c r="BY2910" s="16">
        <f t="shared" si="686"/>
        <v>286.79999999999671</v>
      </c>
      <c r="BZ2910" s="16">
        <f t="shared" si="677"/>
        <v>7.2270957565483527E-33</v>
      </c>
      <c r="CA2910" s="16">
        <f t="shared" si="684"/>
        <v>-999</v>
      </c>
      <c r="CE2910" s="16" t="e">
        <f t="shared" si="678"/>
        <v>#N/A</v>
      </c>
      <c r="CF2910" s="16">
        <f t="shared" si="679"/>
        <v>99</v>
      </c>
      <c r="CG2910" s="16">
        <f t="shared" si="680"/>
        <v>0</v>
      </c>
      <c r="CH2910" s="16">
        <f t="shared" si="687"/>
        <v>0</v>
      </c>
      <c r="CJ2910" s="16" t="e">
        <f t="shared" si="681"/>
        <v>#N/A</v>
      </c>
      <c r="CK2910" s="16" t="str">
        <f t="shared" si="682"/>
        <v/>
      </c>
    </row>
    <row r="2911" spans="73:89" ht="12" customHeight="1">
      <c r="BU2911" s="16">
        <f t="shared" si="683"/>
        <v>0</v>
      </c>
      <c r="BV2911" s="16">
        <f>IF($BY$12=1,NORMDIST(BY2911,$Y$6,$Y$8,TRUE),IF($BY$12=2,IF(BY2911&lt;=$BX$31,0,IF(BY2911&gt;=$BX$32,1,(BY2911-$BX$31)*$BX$33)),SUM($BU$42:BU2911)/$BV$40))</f>
        <v>1</v>
      </c>
      <c r="BW2911" s="16">
        <f t="shared" si="685"/>
        <v>1.9542435860323538E-30</v>
      </c>
      <c r="BY2911" s="16">
        <f t="shared" si="686"/>
        <v>286.89999999999674</v>
      </c>
      <c r="BZ2911" s="16">
        <f t="shared" si="677"/>
        <v>6.8115844755398265E-33</v>
      </c>
      <c r="CA2911" s="16">
        <f t="shared" si="684"/>
        <v>-999</v>
      </c>
      <c r="CE2911" s="16" t="e">
        <f t="shared" si="678"/>
        <v>#N/A</v>
      </c>
      <c r="CF2911" s="16">
        <f t="shared" si="679"/>
        <v>99</v>
      </c>
      <c r="CG2911" s="16">
        <f t="shared" si="680"/>
        <v>0</v>
      </c>
      <c r="CH2911" s="16">
        <f t="shared" si="687"/>
        <v>0</v>
      </c>
      <c r="CJ2911" s="16" t="e">
        <f t="shared" si="681"/>
        <v>#N/A</v>
      </c>
      <c r="CK2911" s="16" t="str">
        <f t="shared" si="682"/>
        <v/>
      </c>
    </row>
    <row r="2912" spans="73:89" ht="12" customHeight="1">
      <c r="BU2912" s="16">
        <f t="shared" si="683"/>
        <v>0</v>
      </c>
      <c r="BV2912" s="16">
        <f>IF($BY$12=1,NORMDIST(BY2912,$Y$6,$Y$8,TRUE),IF($BY$12=2,IF(BY2912&lt;=$BX$31,0,IF(BY2912&gt;=$BX$32,1,(BY2912-$BX$31)*$BX$33)),SUM($BU$42:BU2912)/$BV$40))</f>
        <v>1</v>
      </c>
      <c r="BW2912" s="16">
        <f t="shared" si="685"/>
        <v>1.8424831480983368E-30</v>
      </c>
      <c r="BY2912" s="16">
        <f t="shared" si="686"/>
        <v>286.99999999999676</v>
      </c>
      <c r="BZ2912" s="16">
        <f t="shared" si="677"/>
        <v>6.4198019097503747E-33</v>
      </c>
      <c r="CA2912" s="16">
        <f t="shared" si="684"/>
        <v>-999</v>
      </c>
      <c r="CE2912" s="16" t="e">
        <f t="shared" si="678"/>
        <v>#N/A</v>
      </c>
      <c r="CF2912" s="16">
        <f t="shared" si="679"/>
        <v>99</v>
      </c>
      <c r="CG2912" s="16">
        <f t="shared" si="680"/>
        <v>0</v>
      </c>
      <c r="CH2912" s="16">
        <f t="shared" si="687"/>
        <v>0</v>
      </c>
      <c r="CJ2912" s="16" t="e">
        <f t="shared" si="681"/>
        <v>#N/A</v>
      </c>
      <c r="CK2912" s="16" t="str">
        <f t="shared" si="682"/>
        <v/>
      </c>
    </row>
    <row r="2913" spans="73:89" ht="12" customHeight="1">
      <c r="BU2913" s="16">
        <f t="shared" si="683"/>
        <v>0</v>
      </c>
      <c r="BV2913" s="16">
        <f>IF($BY$12=1,NORMDIST(BY2913,$Y$6,$Y$8,TRUE),IF($BY$12=2,IF(BY2913&lt;=$BX$31,0,IF(BY2913&gt;=$BX$32,1,(BY2913-$BX$31)*$BX$33)),SUM($BU$42:BU2913)/$BV$40))</f>
        <v>1</v>
      </c>
      <c r="BW2913" s="16">
        <f t="shared" si="685"/>
        <v>1.7370704939844383E-30</v>
      </c>
      <c r="BY2913" s="16">
        <f t="shared" si="686"/>
        <v>287.09999999999678</v>
      </c>
      <c r="BZ2913" s="16">
        <f t="shared" si="677"/>
        <v>6.0504022778977977E-33</v>
      </c>
      <c r="CA2913" s="16">
        <f t="shared" si="684"/>
        <v>-999</v>
      </c>
      <c r="CE2913" s="16" t="e">
        <f t="shared" si="678"/>
        <v>#N/A</v>
      </c>
      <c r="CF2913" s="16">
        <f t="shared" si="679"/>
        <v>99</v>
      </c>
      <c r="CG2913" s="16">
        <f t="shared" si="680"/>
        <v>0</v>
      </c>
      <c r="CH2913" s="16">
        <f t="shared" si="687"/>
        <v>0</v>
      </c>
      <c r="CJ2913" s="16" t="e">
        <f t="shared" si="681"/>
        <v>#N/A</v>
      </c>
      <c r="CK2913" s="16" t="str">
        <f t="shared" si="682"/>
        <v/>
      </c>
    </row>
    <row r="2914" spans="73:89" ht="12" customHeight="1">
      <c r="BU2914" s="16">
        <f t="shared" si="683"/>
        <v>0</v>
      </c>
      <c r="BV2914" s="16">
        <f>IF($BY$12=1,NORMDIST(BY2914,$Y$6,$Y$8,TRUE),IF($BY$12=2,IF(BY2914&lt;=$BX$31,0,IF(BY2914&gt;=$BX$32,1,(BY2914-$BX$31)*$BX$33)),SUM($BU$42:BU2914)/$BV$40))</f>
        <v>1</v>
      </c>
      <c r="BW2914" s="16">
        <f t="shared" si="685"/>
        <v>1.6376475973289064E-30</v>
      </c>
      <c r="BY2914" s="16">
        <f t="shared" si="686"/>
        <v>287.19999999999681</v>
      </c>
      <c r="BZ2914" s="16">
        <f t="shared" si="677"/>
        <v>5.7021155895853918E-33</v>
      </c>
      <c r="CA2914" s="16">
        <f t="shared" si="684"/>
        <v>-999</v>
      </c>
      <c r="CE2914" s="16" t="e">
        <f t="shared" si="678"/>
        <v>#N/A</v>
      </c>
      <c r="CF2914" s="16">
        <f t="shared" si="679"/>
        <v>99</v>
      </c>
      <c r="CG2914" s="16">
        <f t="shared" si="680"/>
        <v>0</v>
      </c>
      <c r="CH2914" s="16">
        <f t="shared" si="687"/>
        <v>0</v>
      </c>
      <c r="CJ2914" s="16" t="e">
        <f t="shared" si="681"/>
        <v>#N/A</v>
      </c>
      <c r="CK2914" s="16" t="str">
        <f t="shared" si="682"/>
        <v/>
      </c>
    </row>
    <row r="2915" spans="73:89" ht="12" customHeight="1">
      <c r="BU2915" s="16">
        <f t="shared" si="683"/>
        <v>0</v>
      </c>
      <c r="BV2915" s="16">
        <f>IF($BY$12=1,NORMDIST(BY2915,$Y$6,$Y$8,TRUE),IF($BY$12=2,IF(BY2915&lt;=$BX$31,0,IF(BY2915&gt;=$BX$32,1,(BY2915-$BX$31)*$BX$33)),SUM($BU$42:BU2915)/$BV$40))</f>
        <v>1</v>
      </c>
      <c r="BW2915" s="16">
        <f t="shared" si="685"/>
        <v>1.5438764809995143E-30</v>
      </c>
      <c r="BY2915" s="16">
        <f t="shared" si="686"/>
        <v>287.29999999999683</v>
      </c>
      <c r="BZ2915" s="16">
        <f t="shared" si="677"/>
        <v>5.3737434075862562E-33</v>
      </c>
      <c r="CA2915" s="16">
        <f t="shared" si="684"/>
        <v>-999</v>
      </c>
      <c r="CE2915" s="16" t="e">
        <f t="shared" si="678"/>
        <v>#N/A</v>
      </c>
      <c r="CF2915" s="16">
        <f t="shared" si="679"/>
        <v>99</v>
      </c>
      <c r="CG2915" s="16">
        <f t="shared" si="680"/>
        <v>0</v>
      </c>
      <c r="CH2915" s="16">
        <f t="shared" si="687"/>
        <v>0</v>
      </c>
      <c r="CJ2915" s="16" t="e">
        <f t="shared" si="681"/>
        <v>#N/A</v>
      </c>
      <c r="CK2915" s="16" t="str">
        <f t="shared" si="682"/>
        <v/>
      </c>
    </row>
    <row r="2916" spans="73:89" ht="12" customHeight="1">
      <c r="BU2916" s="16">
        <f t="shared" si="683"/>
        <v>0</v>
      </c>
      <c r="BV2916" s="16">
        <f>IF($BY$12=1,NORMDIST(BY2916,$Y$6,$Y$8,TRUE),IF($BY$12=2,IF(BY2916&lt;=$BX$31,0,IF(BY2916&gt;=$BX$32,1,(BY2916-$BX$31)*$BX$33)),SUM($BU$42:BU2916)/$BV$40))</f>
        <v>1</v>
      </c>
      <c r="BW2916" s="16">
        <f t="shared" si="685"/>
        <v>1.455438102548587E-30</v>
      </c>
      <c r="BY2916" s="16">
        <f t="shared" si="686"/>
        <v>287.39999999999685</v>
      </c>
      <c r="BZ2916" s="16">
        <f t="shared" si="677"/>
        <v>5.0641548453326477E-33</v>
      </c>
      <c r="CA2916" s="16">
        <f t="shared" si="684"/>
        <v>-999</v>
      </c>
      <c r="CE2916" s="16" t="e">
        <f t="shared" si="678"/>
        <v>#N/A</v>
      </c>
      <c r="CF2916" s="16">
        <f t="shared" si="679"/>
        <v>99</v>
      </c>
      <c r="CG2916" s="16">
        <f t="shared" si="680"/>
        <v>0</v>
      </c>
      <c r="CH2916" s="16">
        <f t="shared" si="687"/>
        <v>0</v>
      </c>
      <c r="CJ2916" s="16" t="e">
        <f t="shared" si="681"/>
        <v>#N/A</v>
      </c>
      <c r="CK2916" s="16" t="str">
        <f t="shared" si="682"/>
        <v/>
      </c>
    </row>
    <row r="2917" spans="73:89" ht="12" customHeight="1">
      <c r="BU2917" s="16">
        <f t="shared" si="683"/>
        <v>0</v>
      </c>
      <c r="BV2917" s="16">
        <f>IF($BY$12=1,NORMDIST(BY2917,$Y$6,$Y$8,TRUE),IF($BY$12=2,IF(BY2917&lt;=$BX$31,0,IF(BY2917&gt;=$BX$32,1,(BY2917-$BX$31)*$BX$33)),SUM($BU$42:BU2917)/$BV$40))</f>
        <v>1</v>
      </c>
      <c r="BW2917" s="16">
        <f t="shared" si="685"/>
        <v>1.372031301162676E-30</v>
      </c>
      <c r="BY2917" s="16">
        <f t="shared" si="686"/>
        <v>287.49999999999687</v>
      </c>
      <c r="BZ2917" s="16">
        <f t="shared" si="677"/>
        <v>4.7722827866528381E-33</v>
      </c>
      <c r="CA2917" s="16">
        <f t="shared" si="684"/>
        <v>-999</v>
      </c>
      <c r="CE2917" s="16" t="e">
        <f t="shared" si="678"/>
        <v>#N/A</v>
      </c>
      <c r="CF2917" s="16">
        <f t="shared" si="679"/>
        <v>99</v>
      </c>
      <c r="CG2917" s="16">
        <f t="shared" si="680"/>
        <v>0</v>
      </c>
      <c r="CH2917" s="16">
        <f t="shared" si="687"/>
        <v>0</v>
      </c>
      <c r="CJ2917" s="16" t="e">
        <f t="shared" si="681"/>
        <v>#N/A</v>
      </c>
      <c r="CK2917" s="16" t="str">
        <f t="shared" si="682"/>
        <v/>
      </c>
    </row>
    <row r="2918" spans="73:89" ht="12" customHeight="1">
      <c r="BU2918" s="16">
        <f t="shared" si="683"/>
        <v>0</v>
      </c>
      <c r="BV2918" s="16">
        <f>IF($BY$12=1,NORMDIST(BY2918,$Y$6,$Y$8,TRUE),IF($BY$12=2,IF(BY2918&lt;=$BX$31,0,IF(BY2918&gt;=$BX$32,1,(BY2918-$BX$31)*$BX$33)),SUM($BU$42:BU2918)/$BV$40))</f>
        <v>1</v>
      </c>
      <c r="BW2918" s="16">
        <f t="shared" si="685"/>
        <v>1.2933718027401558E-30</v>
      </c>
      <c r="BY2918" s="16">
        <f t="shared" si="686"/>
        <v>287.5999999999969</v>
      </c>
      <c r="BZ2918" s="16">
        <f t="shared" si="677"/>
        <v>4.4971203155082397E-33</v>
      </c>
      <c r="CA2918" s="16">
        <f t="shared" si="684"/>
        <v>-999</v>
      </c>
      <c r="CE2918" s="16" t="e">
        <f t="shared" si="678"/>
        <v>#N/A</v>
      </c>
      <c r="CF2918" s="16">
        <f t="shared" si="679"/>
        <v>99</v>
      </c>
      <c r="CG2918" s="16">
        <f t="shared" si="680"/>
        <v>0</v>
      </c>
      <c r="CH2918" s="16">
        <f t="shared" si="687"/>
        <v>0</v>
      </c>
      <c r="CJ2918" s="16" t="e">
        <f t="shared" si="681"/>
        <v>#N/A</v>
      </c>
      <c r="CK2918" s="16" t="str">
        <f t="shared" si="682"/>
        <v/>
      </c>
    </row>
    <row r="2919" spans="73:89" ht="12" customHeight="1">
      <c r="BU2919" s="16">
        <f t="shared" si="683"/>
        <v>0</v>
      </c>
      <c r="BV2919" s="16">
        <f>IF($BY$12=1,NORMDIST(BY2919,$Y$6,$Y$8,TRUE),IF($BY$12=2,IF(BY2919&lt;=$BX$31,0,IF(BY2919&gt;=$BX$32,1,(BY2919-$BX$31)*$BX$33)),SUM($BU$42:BU2919)/$BV$40))</f>
        <v>1</v>
      </c>
      <c r="BW2919" s="16">
        <f t="shared" si="685"/>
        <v>1.2191912799126179E-30</v>
      </c>
      <c r="BY2919" s="16">
        <f t="shared" si="686"/>
        <v>287.69999999999692</v>
      </c>
      <c r="BZ2919" s="16">
        <f t="shared" si="677"/>
        <v>4.2377173441523494E-33</v>
      </c>
      <c r="CA2919" s="16">
        <f t="shared" si="684"/>
        <v>-999</v>
      </c>
      <c r="CE2919" s="16" t="e">
        <f t="shared" si="678"/>
        <v>#N/A</v>
      </c>
      <c r="CF2919" s="16">
        <f t="shared" si="679"/>
        <v>99</v>
      </c>
      <c r="CG2919" s="16">
        <f t="shared" si="680"/>
        <v>0</v>
      </c>
      <c r="CH2919" s="16">
        <f t="shared" si="687"/>
        <v>0</v>
      </c>
      <c r="CJ2919" s="16" t="e">
        <f t="shared" si="681"/>
        <v>#N/A</v>
      </c>
      <c r="CK2919" s="16" t="str">
        <f t="shared" si="682"/>
        <v/>
      </c>
    </row>
    <row r="2920" spans="73:89" ht="12" customHeight="1">
      <c r="BU2920" s="16">
        <f t="shared" si="683"/>
        <v>0</v>
      </c>
      <c r="BV2920" s="16">
        <f>IF($BY$12=1,NORMDIST(BY2920,$Y$6,$Y$8,TRUE),IF($BY$12=2,IF(BY2920&lt;=$BX$31,0,IF(BY2920&gt;=$BX$32,1,(BY2920-$BX$31)*$BX$33)),SUM($BU$42:BU2920)/$BV$40))</f>
        <v>1</v>
      </c>
      <c r="BW2920" s="16">
        <f t="shared" si="685"/>
        <v>1.1492364639989643E-30</v>
      </c>
      <c r="BY2920" s="16">
        <f t="shared" si="686"/>
        <v>287.79999999999694</v>
      </c>
      <c r="BZ2920" s="16">
        <f t="shared" si="677"/>
        <v>3.9931774287664229E-33</v>
      </c>
      <c r="CA2920" s="16">
        <f t="shared" si="684"/>
        <v>-999</v>
      </c>
      <c r="CE2920" s="16" t="e">
        <f t="shared" si="678"/>
        <v>#N/A</v>
      </c>
      <c r="CF2920" s="16">
        <f t="shared" si="679"/>
        <v>99</v>
      </c>
      <c r="CG2920" s="16">
        <f t="shared" si="680"/>
        <v>0</v>
      </c>
      <c r="CH2920" s="16">
        <f t="shared" si="687"/>
        <v>0</v>
      </c>
      <c r="CJ2920" s="16" t="e">
        <f t="shared" si="681"/>
        <v>#N/A</v>
      </c>
      <c r="CK2920" s="16" t="str">
        <f t="shared" si="682"/>
        <v/>
      </c>
    </row>
    <row r="2921" spans="73:89" ht="12" customHeight="1">
      <c r="BU2921" s="16">
        <f t="shared" si="683"/>
        <v>0</v>
      </c>
      <c r="BV2921" s="16">
        <f>IF($BY$12=1,NORMDIST(BY2921,$Y$6,$Y$8,TRUE),IF($BY$12=2,IF(BY2921&lt;=$BX$31,0,IF(BY2921&gt;=$BX$32,1,(BY2921-$BX$31)*$BX$33)),SUM($BU$42:BU2921)/$BV$40))</f>
        <v>1</v>
      </c>
      <c r="BW2921" s="16">
        <f t="shared" si="685"/>
        <v>1.0832683060448975E-30</v>
      </c>
      <c r="BY2921" s="16">
        <f t="shared" si="686"/>
        <v>287.89999999999696</v>
      </c>
      <c r="BZ2921" s="16">
        <f t="shared" si="677"/>
        <v>3.7626547622261511E-33</v>
      </c>
      <c r="CA2921" s="16">
        <f t="shared" si="684"/>
        <v>-999</v>
      </c>
      <c r="CE2921" s="16" t="e">
        <f t="shared" si="678"/>
        <v>#N/A</v>
      </c>
      <c r="CF2921" s="16">
        <f t="shared" si="679"/>
        <v>99</v>
      </c>
      <c r="CG2921" s="16">
        <f t="shared" si="680"/>
        <v>0</v>
      </c>
      <c r="CH2921" s="16">
        <f t="shared" si="687"/>
        <v>0</v>
      </c>
      <c r="CJ2921" s="16" t="e">
        <f t="shared" si="681"/>
        <v>#N/A</v>
      </c>
      <c r="CK2921" s="16" t="str">
        <f t="shared" si="682"/>
        <v/>
      </c>
    </row>
    <row r="2922" spans="73:89" ht="12" customHeight="1">
      <c r="BU2922" s="16">
        <f t="shared" si="683"/>
        <v>0</v>
      </c>
      <c r="BV2922" s="16">
        <f>IF($BY$12=1,NORMDIST(BY2922,$Y$6,$Y$8,TRUE),IF($BY$12=2,IF(BY2922&lt;=$BX$31,0,IF(BY2922&gt;=$BX$32,1,(BY2922-$BX$31)*$BX$33)),SUM($BU$42:BU2922)/$BV$40))</f>
        <v>1</v>
      </c>
      <c r="BW2922" s="16">
        <f t="shared" si="685"/>
        <v>1.0210611842554728E-30</v>
      </c>
      <c r="BY2922" s="16">
        <f t="shared" si="686"/>
        <v>287.99999999999699</v>
      </c>
      <c r="BZ2922" s="16">
        <f t="shared" ref="BZ2922:BZ2985" si="688">IF($BZ$5,IF($BY$12=1,NORMDIST(BY2922,$Y$6,$Y$8,FALSE),IF($BY$12=2,IF(AND(BY2922&gt;=$BX$31,BY2922&lt;=$BX$32),$BX$33,0),IF(BY2922&lt;=$BX$13,0,NORMDIST(LN((BY2922-$BX$13)/$BX$12),0,$BW$8,FALSE)/((BY2922-$BX$13)/$BX$12)))),-999)</f>
        <v>3.5453513342204289E-33</v>
      </c>
      <c r="CA2922" s="16">
        <f t="shared" si="684"/>
        <v>-999</v>
      </c>
      <c r="CE2922" s="16" t="e">
        <f t="shared" ref="CE2922:CE2985" si="689">IF(AND($CB$7,$CD$2,$CD$1),26+$P$23/2-CC2922*$P$23,NA())</f>
        <v>#N/A</v>
      </c>
      <c r="CF2922" s="16">
        <f t="shared" ref="CF2922:CF2985" si="690">IF(ISNA(CJ2922),99,CJ2922)</f>
        <v>99</v>
      </c>
      <c r="CG2922" s="16">
        <f t="shared" ref="CG2922:CG2985" si="691">IF(ISNA(CJ2922),0,CJ2922)</f>
        <v>0</v>
      </c>
      <c r="CH2922" s="16">
        <f t="shared" si="687"/>
        <v>0</v>
      </c>
      <c r="CJ2922" s="16" t="e">
        <f t="shared" ref="CJ2922:CJ2985" si="692">IF(CH2922=1,CE2922,NA())</f>
        <v>#N/A</v>
      </c>
      <c r="CK2922" s="16" t="str">
        <f t="shared" ref="CK2922:CK2985" si="693">IF(CH2922=1,M2821,"")</f>
        <v/>
      </c>
    </row>
    <row r="2923" spans="73:89" ht="12" customHeight="1">
      <c r="BU2923" s="16">
        <f t="shared" ref="BU2923:BU2986" si="694">IF($BY$12&lt;3,0,IF(BY2923&lt;=$BX$13,0,NORMDIST(LN((BY2923-$BX$13)/$BX$12),0,$BW$8,FALSE)/((BY2923-$BX$13)/$BX$12)))</f>
        <v>0</v>
      </c>
      <c r="BV2923" s="16">
        <f>IF($BY$12=1,NORMDIST(BY2923,$Y$6,$Y$8,TRUE),IF($BY$12=2,IF(BY2923&lt;=$BX$31,0,IF(BY2923&gt;=$BX$32,1,(BY2923-$BX$31)*$BX$33)),SUM($BU$42:BU2923)/$BV$40))</f>
        <v>1</v>
      </c>
      <c r="BW2923" s="16">
        <f t="shared" si="685"/>
        <v>9.6240215527472592E-31</v>
      </c>
      <c r="BY2923" s="16">
        <f t="shared" si="686"/>
        <v>288.09999999999701</v>
      </c>
      <c r="BZ2923" s="16">
        <f t="shared" si="688"/>
        <v>3.3405142494784309E-33</v>
      </c>
      <c r="CA2923" s="16">
        <f t="shared" ref="CA2923:CA2986" si="695">IF(AND($CD$1,$CD$3),26-$CD$40*NORMDIST(BY2923,$Y$6,$Y$8/SQRT($T$18),FALSE),-999)</f>
        <v>-999</v>
      </c>
      <c r="CE2923" s="16" t="e">
        <f t="shared" si="689"/>
        <v>#N/A</v>
      </c>
      <c r="CF2923" s="16">
        <f t="shared" si="690"/>
        <v>99</v>
      </c>
      <c r="CG2923" s="16">
        <f t="shared" si="691"/>
        <v>0</v>
      </c>
      <c r="CH2923" s="16">
        <f t="shared" si="687"/>
        <v>0</v>
      </c>
      <c r="CJ2923" s="16" t="e">
        <f t="shared" si="692"/>
        <v>#N/A</v>
      </c>
      <c r="CK2923" s="16" t="str">
        <f t="shared" si="693"/>
        <v/>
      </c>
    </row>
    <row r="2924" spans="73:89" ht="12" customHeight="1">
      <c r="BU2924" s="16">
        <f t="shared" si="694"/>
        <v>0</v>
      </c>
      <c r="BV2924" s="16">
        <f>IF($BY$12=1,NORMDIST(BY2924,$Y$6,$Y$8,TRUE),IF($BY$12=2,IF(BY2924&lt;=$BX$31,0,IF(BY2924&gt;=$BX$32,1,(BY2924-$BX$31)*$BX$33)),SUM($BU$42:BU2924)/$BV$40))</f>
        <v>1</v>
      </c>
      <c r="BW2924" s="16">
        <f t="shared" si="685"/>
        <v>9.0709024690518202E-31</v>
      </c>
      <c r="BY2924" s="16">
        <f t="shared" si="686"/>
        <v>288.19999999999703</v>
      </c>
      <c r="BZ2924" s="16">
        <f t="shared" si="688"/>
        <v>3.1474331953684641E-33</v>
      </c>
      <c r="CA2924" s="16">
        <f t="shared" si="695"/>
        <v>-999</v>
      </c>
      <c r="CE2924" s="16" t="e">
        <f t="shared" si="689"/>
        <v>#N/A</v>
      </c>
      <c r="CF2924" s="16">
        <f t="shared" si="690"/>
        <v>99</v>
      </c>
      <c r="CG2924" s="16">
        <f t="shared" si="691"/>
        <v>0</v>
      </c>
      <c r="CH2924" s="16">
        <f t="shared" si="687"/>
        <v>0</v>
      </c>
      <c r="CJ2924" s="16" t="e">
        <f t="shared" si="692"/>
        <v>#N/A</v>
      </c>
      <c r="CK2924" s="16" t="str">
        <f t="shared" si="693"/>
        <v/>
      </c>
    </row>
    <row r="2925" spans="73:89" ht="12" customHeight="1">
      <c r="BU2925" s="16">
        <f t="shared" si="694"/>
        <v>0</v>
      </c>
      <c r="BV2925" s="16">
        <f>IF($BY$12=1,NORMDIST(BY2925,$Y$6,$Y$8,TRUE),IF($BY$12=2,IF(BY2925&lt;=$BX$31,0,IF(BY2925&gt;=$BX$32,1,(BY2925-$BX$31)*$BX$33)),SUM($BU$42:BU2925)/$BV$40))</f>
        <v>1</v>
      </c>
      <c r="BW2925" s="16">
        <f t="shared" si="685"/>
        <v>8.5493578999101659E-31</v>
      </c>
      <c r="BY2925" s="16">
        <f t="shared" si="686"/>
        <v>288.29999999999706</v>
      </c>
      <c r="BZ2925" s="16">
        <f t="shared" si="688"/>
        <v>2.9654380506105632E-33</v>
      </c>
      <c r="CA2925" s="16">
        <f t="shared" si="695"/>
        <v>-999</v>
      </c>
      <c r="CE2925" s="16" t="e">
        <f t="shared" si="689"/>
        <v>#N/A</v>
      </c>
      <c r="CF2925" s="16">
        <f t="shared" si="690"/>
        <v>99</v>
      </c>
      <c r="CG2925" s="16">
        <f t="shared" si="691"/>
        <v>0</v>
      </c>
      <c r="CH2925" s="16">
        <f t="shared" si="687"/>
        <v>0</v>
      </c>
      <c r="CJ2925" s="16" t="e">
        <f t="shared" si="692"/>
        <v>#N/A</v>
      </c>
      <c r="CK2925" s="16" t="str">
        <f t="shared" si="693"/>
        <v/>
      </c>
    </row>
    <row r="2926" spans="73:89" ht="12" customHeight="1">
      <c r="BU2926" s="16">
        <f t="shared" si="694"/>
        <v>0</v>
      </c>
      <c r="BV2926" s="16">
        <f>IF($BY$12=1,NORMDIST(BY2926,$Y$6,$Y$8,TRUE),IF($BY$12=2,IF(BY2926&lt;=$BX$31,0,IF(BY2926&gt;=$BX$32,1,(BY2926-$BX$31)*$BX$33)),SUM($BU$42:BU2926)/$BV$40))</f>
        <v>1</v>
      </c>
      <c r="BW2926" s="16">
        <f t="shared" si="685"/>
        <v>8.0575978731277477E-31</v>
      </c>
      <c r="BY2926" s="16">
        <f t="shared" si="686"/>
        <v>288.39999999999708</v>
      </c>
      <c r="BZ2926" s="16">
        <f t="shared" si="688"/>
        <v>2.7938966272981376E-33</v>
      </c>
      <c r="CA2926" s="16">
        <f t="shared" si="695"/>
        <v>-999</v>
      </c>
      <c r="CE2926" s="16" t="e">
        <f t="shared" si="689"/>
        <v>#N/A</v>
      </c>
      <c r="CF2926" s="16">
        <f t="shared" si="690"/>
        <v>99</v>
      </c>
      <c r="CG2926" s="16">
        <f t="shared" si="691"/>
        <v>0</v>
      </c>
      <c r="CH2926" s="16">
        <f t="shared" si="687"/>
        <v>0</v>
      </c>
      <c r="CJ2926" s="16" t="e">
        <f t="shared" si="692"/>
        <v>#N/A</v>
      </c>
      <c r="CK2926" s="16" t="str">
        <f t="shared" si="693"/>
        <v/>
      </c>
    </row>
    <row r="2927" spans="73:89" ht="12" customHeight="1">
      <c r="BU2927" s="16">
        <f t="shared" si="694"/>
        <v>0</v>
      </c>
      <c r="BV2927" s="16">
        <f>IF($BY$12=1,NORMDIST(BY2927,$Y$6,$Y$8,TRUE),IF($BY$12=2,IF(BY2927&lt;=$BX$31,0,IF(BY2927&gt;=$BX$32,1,(BY2927-$BX$31)*$BX$33)),SUM($BU$42:BU2927)/$BV$40))</f>
        <v>1</v>
      </c>
      <c r="BW2927" s="16">
        <f t="shared" si="685"/>
        <v>7.5939331745902013E-31</v>
      </c>
      <c r="BY2927" s="16">
        <f t="shared" si="686"/>
        <v>288.4999999999971</v>
      </c>
      <c r="BZ2927" s="16">
        <f t="shared" si="688"/>
        <v>2.6322125388527825E-33</v>
      </c>
      <c r="CA2927" s="16">
        <f t="shared" si="695"/>
        <v>-999</v>
      </c>
      <c r="CE2927" s="16" t="e">
        <f t="shared" si="689"/>
        <v>#N/A</v>
      </c>
      <c r="CF2927" s="16">
        <f t="shared" si="690"/>
        <v>99</v>
      </c>
      <c r="CG2927" s="16">
        <f t="shared" si="691"/>
        <v>0</v>
      </c>
      <c r="CH2927" s="16">
        <f t="shared" si="687"/>
        <v>0</v>
      </c>
      <c r="CJ2927" s="16" t="e">
        <f t="shared" si="692"/>
        <v>#N/A</v>
      </c>
      <c r="CK2927" s="16" t="str">
        <f t="shared" si="693"/>
        <v/>
      </c>
    </row>
    <row r="2928" spans="73:89" ht="12" customHeight="1">
      <c r="BU2928" s="16">
        <f t="shared" si="694"/>
        <v>0</v>
      </c>
      <c r="BV2928" s="16">
        <f>IF($BY$12=1,NORMDIST(BY2928,$Y$6,$Y$8,TRUE),IF($BY$12=2,IF(BY2928&lt;=$BX$31,0,IF(BY2928&gt;=$BX$32,1,(BY2928-$BX$31)*$BX$33)),SUM($BU$42:BU2928)/$BV$40))</f>
        <v>1</v>
      </c>
      <c r="BW2928" s="16">
        <f t="shared" si="685"/>
        <v>7.1567697175090608E-31</v>
      </c>
      <c r="BY2928" s="16">
        <f t="shared" si="686"/>
        <v>288.59999999999712</v>
      </c>
      <c r="BZ2928" s="16">
        <f t="shared" si="688"/>
        <v>2.4798231869401011E-33</v>
      </c>
      <c r="CA2928" s="16">
        <f t="shared" si="695"/>
        <v>-999</v>
      </c>
      <c r="CE2928" s="16" t="e">
        <f t="shared" si="689"/>
        <v>#N/A</v>
      </c>
      <c r="CF2928" s="16">
        <f t="shared" si="690"/>
        <v>99</v>
      </c>
      <c r="CG2928" s="16">
        <f t="shared" si="691"/>
        <v>0</v>
      </c>
      <c r="CH2928" s="16">
        <f t="shared" si="687"/>
        <v>0</v>
      </c>
      <c r="CJ2928" s="16" t="e">
        <f t="shared" si="692"/>
        <v>#N/A</v>
      </c>
      <c r="CK2928" s="16" t="str">
        <f t="shared" si="693"/>
        <v/>
      </c>
    </row>
    <row r="2929" spans="73:89" ht="12" customHeight="1">
      <c r="BU2929" s="16">
        <f t="shared" si="694"/>
        <v>0</v>
      </c>
      <c r="BV2929" s="16">
        <f>IF($BY$12=1,NORMDIST(BY2929,$Y$6,$Y$8,TRUE),IF($BY$12=2,IF(BY2929&lt;=$BX$31,0,IF(BY2929&gt;=$BX$32,1,(BY2929-$BX$31)*$BX$33)),SUM($BU$42:BU2929)/$BV$40))</f>
        <v>1</v>
      </c>
      <c r="BW2929" s="16">
        <f t="shared" si="685"/>
        <v>6.7446032240117931E-31</v>
      </c>
      <c r="BY2929" s="16">
        <f t="shared" si="686"/>
        <v>288.69999999999715</v>
      </c>
      <c r="BZ2929" s="16">
        <f t="shared" si="688"/>
        <v>2.3361978607592171E-33</v>
      </c>
      <c r="CA2929" s="16">
        <f t="shared" si="695"/>
        <v>-999</v>
      </c>
      <c r="CE2929" s="16" t="e">
        <f t="shared" si="689"/>
        <v>#N/A</v>
      </c>
      <c r="CF2929" s="16">
        <f t="shared" si="690"/>
        <v>99</v>
      </c>
      <c r="CG2929" s="16">
        <f t="shared" si="691"/>
        <v>0</v>
      </c>
      <c r="CH2929" s="16">
        <f t="shared" si="687"/>
        <v>0</v>
      </c>
      <c r="CJ2929" s="16" t="e">
        <f t="shared" si="692"/>
        <v>#N/A</v>
      </c>
      <c r="CK2929" s="16" t="str">
        <f t="shared" si="693"/>
        <v/>
      </c>
    </row>
    <row r="2930" spans="73:89" ht="12" customHeight="1">
      <c r="BU2930" s="16">
        <f t="shared" si="694"/>
        <v>0</v>
      </c>
      <c r="BV2930" s="16">
        <f>IF($BY$12=1,NORMDIST(BY2930,$Y$6,$Y$8,TRUE),IF($BY$12=2,IF(BY2930&lt;=$BX$31,0,IF(BY2930&gt;=$BX$32,1,(BY2930-$BX$31)*$BX$33)),SUM($BU$42:BU2930)/$BV$40))</f>
        <v>1</v>
      </c>
      <c r="BW2930" s="16">
        <f t="shared" si="685"/>
        <v>6.3560142018789907E-31</v>
      </c>
      <c r="BY2930" s="16">
        <f t="shared" si="686"/>
        <v>288.79999999999717</v>
      </c>
      <c r="BZ2930" s="16">
        <f t="shared" si="688"/>
        <v>2.2008359424788964E-33</v>
      </c>
      <c r="CA2930" s="16">
        <f t="shared" si="695"/>
        <v>-999</v>
      </c>
      <c r="CE2930" s="16" t="e">
        <f t="shared" si="689"/>
        <v>#N/A</v>
      </c>
      <c r="CF2930" s="16">
        <f t="shared" si="690"/>
        <v>99</v>
      </c>
      <c r="CG2930" s="16">
        <f t="shared" si="691"/>
        <v>0</v>
      </c>
      <c r="CH2930" s="16">
        <f t="shared" si="687"/>
        <v>0</v>
      </c>
      <c r="CJ2930" s="16" t="e">
        <f t="shared" si="692"/>
        <v>#N/A</v>
      </c>
      <c r="CK2930" s="16" t="str">
        <f t="shared" si="693"/>
        <v/>
      </c>
    </row>
    <row r="2931" spans="73:89" ht="12" customHeight="1">
      <c r="BU2931" s="16">
        <f t="shared" si="694"/>
        <v>0</v>
      </c>
      <c r="BV2931" s="16">
        <f>IF($BY$12=1,NORMDIST(BY2931,$Y$6,$Y$8,TRUE),IF($BY$12=2,IF(BY2931&lt;=$BX$31,0,IF(BY2931&gt;=$BX$32,1,(BY2931-$BX$31)*$BX$33)),SUM($BU$42:BU2931)/$BV$40))</f>
        <v>1</v>
      </c>
      <c r="BW2931" s="16">
        <f t="shared" si="685"/>
        <v>5.9896632001744091E-31</v>
      </c>
      <c r="BY2931" s="16">
        <f t="shared" si="686"/>
        <v>288.89999999999719</v>
      </c>
      <c r="BZ2931" s="16">
        <f t="shared" si="688"/>
        <v>2.0732652129368179E-33</v>
      </c>
      <c r="CA2931" s="16">
        <f t="shared" si="695"/>
        <v>-999</v>
      </c>
      <c r="CE2931" s="16" t="e">
        <f t="shared" si="689"/>
        <v>#N/A</v>
      </c>
      <c r="CF2931" s="16">
        <f t="shared" si="690"/>
        <v>99</v>
      </c>
      <c r="CG2931" s="16">
        <f t="shared" si="691"/>
        <v>0</v>
      </c>
      <c r="CH2931" s="16">
        <f t="shared" si="687"/>
        <v>0</v>
      </c>
      <c r="CJ2931" s="16" t="e">
        <f t="shared" si="692"/>
        <v>#N/A</v>
      </c>
      <c r="CK2931" s="16" t="str">
        <f t="shared" si="693"/>
        <v/>
      </c>
    </row>
    <row r="2932" spans="73:89" ht="12" customHeight="1">
      <c r="BU2932" s="16">
        <f t="shared" si="694"/>
        <v>0</v>
      </c>
      <c r="BV2932" s="16">
        <f>IF($BY$12=1,NORMDIST(BY2932,$Y$6,$Y$8,TRUE),IF($BY$12=2,IF(BY2932&lt;=$BX$31,0,IF(BY2932&gt;=$BX$32,1,(BY2932-$BX$31)*$BX$33)),SUM($BU$42:BU2932)/$BV$40))</f>
        <v>1</v>
      </c>
      <c r="BW2932" s="16">
        <f t="shared" si="685"/>
        <v>5.6442863284001033E-31</v>
      </c>
      <c r="BY2932" s="16">
        <f t="shared" si="686"/>
        <v>288.99999999999721</v>
      </c>
      <c r="BZ2932" s="16">
        <f t="shared" si="688"/>
        <v>1.9530402520415769E-33</v>
      </c>
      <c r="CA2932" s="16">
        <f t="shared" si="695"/>
        <v>-999</v>
      </c>
      <c r="CE2932" s="16" t="e">
        <f t="shared" si="689"/>
        <v>#N/A</v>
      </c>
      <c r="CF2932" s="16">
        <f t="shared" si="690"/>
        <v>99</v>
      </c>
      <c r="CG2932" s="16">
        <f t="shared" si="691"/>
        <v>0</v>
      </c>
      <c r="CH2932" s="16">
        <f t="shared" si="687"/>
        <v>0</v>
      </c>
      <c r="CJ2932" s="16" t="e">
        <f t="shared" si="692"/>
        <v>#N/A</v>
      </c>
      <c r="CK2932" s="16" t="str">
        <f t="shared" si="693"/>
        <v/>
      </c>
    </row>
    <row r="2933" spans="73:89" ht="12" customHeight="1">
      <c r="BU2933" s="16">
        <f t="shared" si="694"/>
        <v>0</v>
      </c>
      <c r="BV2933" s="16">
        <f>IF($BY$12=1,NORMDIST(BY2933,$Y$6,$Y$8,TRUE),IF($BY$12=2,IF(BY2933&lt;=$BX$31,0,IF(BY2933&gt;=$BX$32,1,(BY2933-$BX$31)*$BX$33)),SUM($BU$42:BU2933)/$BV$40))</f>
        <v>1</v>
      </c>
      <c r="BW2933" s="16">
        <f t="shared" si="685"/>
        <v>5.318691024650204E-31</v>
      </c>
      <c r="BY2933" s="16">
        <f t="shared" si="686"/>
        <v>289.09999999999724</v>
      </c>
      <c r="BZ2933" s="16">
        <f t="shared" si="688"/>
        <v>1.8397409286234018E-33</v>
      </c>
      <c r="CA2933" s="16">
        <f t="shared" si="695"/>
        <v>-999</v>
      </c>
      <c r="CE2933" s="16" t="e">
        <f t="shared" si="689"/>
        <v>#N/A</v>
      </c>
      <c r="CF2933" s="16">
        <f t="shared" si="690"/>
        <v>99</v>
      </c>
      <c r="CG2933" s="16">
        <f t="shared" si="691"/>
        <v>0</v>
      </c>
      <c r="CH2933" s="16">
        <f t="shared" si="687"/>
        <v>0</v>
      </c>
      <c r="CJ2933" s="16" t="e">
        <f t="shared" si="692"/>
        <v>#N/A</v>
      </c>
      <c r="CK2933" s="16" t="str">
        <f t="shared" si="693"/>
        <v/>
      </c>
    </row>
    <row r="2934" spans="73:89" ht="12" customHeight="1">
      <c r="BU2934" s="16">
        <f t="shared" si="694"/>
        <v>0</v>
      </c>
      <c r="BV2934" s="16">
        <f>IF($BY$12=1,NORMDIST(BY2934,$Y$6,$Y$8,TRUE),IF($BY$12=2,IF(BY2934&lt;=$BX$31,0,IF(BY2934&gt;=$BX$32,1,(BY2934-$BX$31)*$BX$33)),SUM($BU$42:BU2934)/$BV$40))</f>
        <v>1</v>
      </c>
      <c r="BW2934" s="16">
        <f t="shared" si="685"/>
        <v>5.0117520590305194E-31</v>
      </c>
      <c r="BY2934" s="16">
        <f t="shared" si="686"/>
        <v>289.19999999999726</v>
      </c>
      <c r="BZ2934" s="16">
        <f t="shared" si="688"/>
        <v>1.7329709747685225E-33</v>
      </c>
      <c r="CA2934" s="16">
        <f t="shared" si="695"/>
        <v>-999</v>
      </c>
      <c r="CE2934" s="16" t="e">
        <f t="shared" si="689"/>
        <v>#N/A</v>
      </c>
      <c r="CF2934" s="16">
        <f t="shared" si="690"/>
        <v>99</v>
      </c>
      <c r="CG2934" s="16">
        <f t="shared" si="691"/>
        <v>0</v>
      </c>
      <c r="CH2934" s="16">
        <f t="shared" si="687"/>
        <v>0</v>
      </c>
      <c r="CJ2934" s="16" t="e">
        <f t="shared" si="692"/>
        <v>#N/A</v>
      </c>
      <c r="CK2934" s="16" t="str">
        <f t="shared" si="693"/>
        <v/>
      </c>
    </row>
    <row r="2935" spans="73:89" ht="12" customHeight="1">
      <c r="BU2935" s="16">
        <f t="shared" si="694"/>
        <v>0</v>
      </c>
      <c r="BV2935" s="16">
        <f>IF($BY$12=1,NORMDIST(BY2935,$Y$6,$Y$8,TRUE),IF($BY$12=2,IF(BY2935&lt;=$BX$31,0,IF(BY2935&gt;=$BX$32,1,(BY2935-$BX$31)*$BX$33)),SUM($BU$42:BU2935)/$BV$40))</f>
        <v>1</v>
      </c>
      <c r="BW2935" s="16">
        <f t="shared" si="685"/>
        <v>4.7224077593634398E-31</v>
      </c>
      <c r="BY2935" s="16">
        <f t="shared" si="686"/>
        <v>289.29999999999728</v>
      </c>
      <c r="BZ2935" s="16">
        <f t="shared" si="688"/>
        <v>1.6323566399458983E-33</v>
      </c>
      <c r="CA2935" s="16">
        <f t="shared" si="695"/>
        <v>-999</v>
      </c>
      <c r="CE2935" s="16" t="e">
        <f t="shared" si="689"/>
        <v>#N/A</v>
      </c>
      <c r="CF2935" s="16">
        <f t="shared" si="690"/>
        <v>99</v>
      </c>
      <c r="CG2935" s="16">
        <f t="shared" si="691"/>
        <v>0</v>
      </c>
      <c r="CH2935" s="16">
        <f t="shared" si="687"/>
        <v>0</v>
      </c>
      <c r="CJ2935" s="16" t="e">
        <f t="shared" si="692"/>
        <v>#N/A</v>
      </c>
      <c r="CK2935" s="16" t="str">
        <f t="shared" si="693"/>
        <v/>
      </c>
    </row>
    <row r="2936" spans="73:89" ht="12" customHeight="1">
      <c r="BU2936" s="16">
        <f t="shared" si="694"/>
        <v>0</v>
      </c>
      <c r="BV2936" s="16">
        <f>IF($BY$12=1,NORMDIST(BY2936,$Y$6,$Y$8,TRUE),IF($BY$12=2,IF(BY2936&lt;=$BX$31,0,IF(BY2936&gt;=$BX$32,1,(BY2936-$BX$31)*$BX$33)),SUM($BU$42:BU2936)/$BV$40))</f>
        <v>1</v>
      </c>
      <c r="BW2936" s="16">
        <f t="shared" si="685"/>
        <v>4.4496564469075788E-31</v>
      </c>
      <c r="BY2936" s="16">
        <f t="shared" si="686"/>
        <v>289.39999999999731</v>
      </c>
      <c r="BZ2936" s="16">
        <f t="shared" si="688"/>
        <v>1.5375454204933034E-33</v>
      </c>
      <c r="CA2936" s="16">
        <f t="shared" si="695"/>
        <v>-999</v>
      </c>
      <c r="CE2936" s="16" t="e">
        <f t="shared" si="689"/>
        <v>#N/A</v>
      </c>
      <c r="CF2936" s="16">
        <f t="shared" si="690"/>
        <v>99</v>
      </c>
      <c r="CG2936" s="16">
        <f t="shared" si="691"/>
        <v>0</v>
      </c>
      <c r="CH2936" s="16">
        <f t="shared" si="687"/>
        <v>0</v>
      </c>
      <c r="CJ2936" s="16" t="e">
        <f t="shared" si="692"/>
        <v>#N/A</v>
      </c>
      <c r="CK2936" s="16" t="str">
        <f t="shared" si="693"/>
        <v/>
      </c>
    </row>
    <row r="2937" spans="73:89" ht="12" customHeight="1">
      <c r="BU2937" s="16">
        <f t="shared" si="694"/>
        <v>0</v>
      </c>
      <c r="BV2937" s="16">
        <f>IF($BY$12=1,NORMDIST(BY2937,$Y$6,$Y$8,TRUE),IF($BY$12=2,IF(BY2937&lt;=$BX$31,0,IF(BY2937&gt;=$BX$32,1,(BY2937-$BX$31)*$BX$33)),SUM($BU$42:BU2937)/$BV$40))</f>
        <v>1</v>
      </c>
      <c r="BW2937" s="16">
        <f t="shared" si="685"/>
        <v>4.1925530704941031E-31</v>
      </c>
      <c r="BY2937" s="16">
        <f t="shared" si="686"/>
        <v>289.49999999999733</v>
      </c>
      <c r="BZ2937" s="16">
        <f t="shared" si="688"/>
        <v>1.4482048602743149E-33</v>
      </c>
      <c r="CA2937" s="16">
        <f t="shared" si="695"/>
        <v>-999</v>
      </c>
      <c r="CE2937" s="16" t="e">
        <f t="shared" si="689"/>
        <v>#N/A</v>
      </c>
      <c r="CF2937" s="16">
        <f t="shared" si="690"/>
        <v>99</v>
      </c>
      <c r="CG2937" s="16">
        <f t="shared" si="691"/>
        <v>0</v>
      </c>
      <c r="CH2937" s="16">
        <f t="shared" si="687"/>
        <v>0</v>
      </c>
      <c r="CJ2937" s="16" t="e">
        <f t="shared" si="692"/>
        <v>#N/A</v>
      </c>
      <c r="CK2937" s="16" t="str">
        <f t="shared" si="693"/>
        <v/>
      </c>
    </row>
    <row r="2938" spans="73:89" ht="12" customHeight="1">
      <c r="BU2938" s="16">
        <f t="shared" si="694"/>
        <v>0</v>
      </c>
      <c r="BV2938" s="16">
        <f>IF($BY$12=1,NORMDIST(BY2938,$Y$6,$Y$8,TRUE),IF($BY$12=2,IF(BY2938&lt;=$BX$31,0,IF(BY2938&gt;=$BX$32,1,(BY2938-$BX$31)*$BX$33)),SUM($BU$42:BU2938)/$BV$40))</f>
        <v>1</v>
      </c>
      <c r="BW2938" s="16">
        <f t="shared" si="685"/>
        <v>3.9502060281175545E-31</v>
      </c>
      <c r="BY2938" s="16">
        <f t="shared" si="686"/>
        <v>289.59999999999735</v>
      </c>
      <c r="BZ2938" s="16">
        <f t="shared" si="688"/>
        <v>1.3640214185488917E-33</v>
      </c>
      <c r="CA2938" s="16">
        <f t="shared" si="695"/>
        <v>-999</v>
      </c>
      <c r="CE2938" s="16" t="e">
        <f t="shared" si="689"/>
        <v>#N/A</v>
      </c>
      <c r="CF2938" s="16">
        <f t="shared" si="690"/>
        <v>99</v>
      </c>
      <c r="CG2938" s="16">
        <f t="shared" si="691"/>
        <v>0</v>
      </c>
      <c r="CH2938" s="16">
        <f t="shared" si="687"/>
        <v>0</v>
      </c>
      <c r="CJ2938" s="16" t="e">
        <f t="shared" si="692"/>
        <v>#N/A</v>
      </c>
      <c r="CK2938" s="16" t="str">
        <f t="shared" si="693"/>
        <v/>
      </c>
    </row>
    <row r="2939" spans="73:89" ht="12" customHeight="1">
      <c r="BU2939" s="16">
        <f t="shared" si="694"/>
        <v>0</v>
      </c>
      <c r="BV2939" s="16">
        <f>IF($BY$12=1,NORMDIST(BY2939,$Y$6,$Y$8,TRUE),IF($BY$12=2,IF(BY2939&lt;=$BX$31,0,IF(BY2939&gt;=$BX$32,1,(BY2939-$BX$31)*$BX$33)),SUM($BU$42:BU2939)/$BV$40))</f>
        <v>1</v>
      </c>
      <c r="BW2939" s="16">
        <f t="shared" ref="BW2939:BW3002" si="696">BY2939*BZ2939</f>
        <v>3.7217741656193084E-31</v>
      </c>
      <c r="BY2939" s="16">
        <f t="shared" ref="BY2939:BY3002" si="697">BY2938+$BZ$1</f>
        <v>289.69999999999737</v>
      </c>
      <c r="BZ2939" s="16">
        <f t="shared" si="688"/>
        <v>1.2846994013183784E-33</v>
      </c>
      <c r="CA2939" s="16">
        <f t="shared" si="695"/>
        <v>-999</v>
      </c>
      <c r="CE2939" s="16" t="e">
        <f t="shared" si="689"/>
        <v>#N/A</v>
      </c>
      <c r="CF2939" s="16">
        <f t="shared" si="690"/>
        <v>99</v>
      </c>
      <c r="CG2939" s="16">
        <f t="shared" si="691"/>
        <v>0</v>
      </c>
      <c r="CH2939" s="16">
        <f t="shared" si="687"/>
        <v>0</v>
      </c>
      <c r="CJ2939" s="16" t="e">
        <f t="shared" si="692"/>
        <v>#N/A</v>
      </c>
      <c r="CK2939" s="16" t="str">
        <f t="shared" si="693"/>
        <v/>
      </c>
    </row>
    <row r="2940" spans="73:89" ht="12" customHeight="1">
      <c r="BU2940" s="16">
        <f t="shared" si="694"/>
        <v>0</v>
      </c>
      <c r="BV2940" s="16">
        <f>IF($BY$12=1,NORMDIST(BY2940,$Y$6,$Y$8,TRUE),IF($BY$12=2,IF(BY2940&lt;=$BX$31,0,IF(BY2940&gt;=$BX$32,1,(BY2940-$BX$31)*$BX$33)),SUM($BU$42:BU2940)/$BV$40))</f>
        <v>1</v>
      </c>
      <c r="BW2940" s="16">
        <f t="shared" si="696"/>
        <v>3.5064639426707873E-31</v>
      </c>
      <c r="BY2940" s="16">
        <f t="shared" si="697"/>
        <v>289.7999999999974</v>
      </c>
      <c r="BZ2940" s="16">
        <f t="shared" si="688"/>
        <v>1.2099599526124289E-33</v>
      </c>
      <c r="CA2940" s="16">
        <f t="shared" si="695"/>
        <v>-999</v>
      </c>
      <c r="CE2940" s="16" t="e">
        <f t="shared" si="689"/>
        <v>#N/A</v>
      </c>
      <c r="CF2940" s="16">
        <f t="shared" si="690"/>
        <v>99</v>
      </c>
      <c r="CG2940" s="16">
        <f t="shared" si="691"/>
        <v>0</v>
      </c>
      <c r="CH2940" s="16">
        <f t="shared" si="687"/>
        <v>0</v>
      </c>
      <c r="CJ2940" s="16" t="e">
        <f t="shared" si="692"/>
        <v>#N/A</v>
      </c>
      <c r="CK2940" s="16" t="str">
        <f t="shared" si="693"/>
        <v/>
      </c>
    </row>
    <row r="2941" spans="73:89" ht="12" customHeight="1">
      <c r="BU2941" s="16">
        <f t="shared" si="694"/>
        <v>0</v>
      </c>
      <c r="BV2941" s="16">
        <f>IF($BY$12=1,NORMDIST(BY2941,$Y$6,$Y$8,TRUE),IF($BY$12=2,IF(BY2941&lt;=$BX$31,0,IF(BY2941&gt;=$BX$32,1,(BY2941-$BX$31)*$BX$33)),SUM($BU$42:BU2941)/$BV$40))</f>
        <v>1</v>
      </c>
      <c r="BW2941" s="16">
        <f t="shared" si="696"/>
        <v>3.3035267568002994E-31</v>
      </c>
      <c r="BY2941" s="16">
        <f t="shared" si="697"/>
        <v>289.89999999999742</v>
      </c>
      <c r="BZ2941" s="16">
        <f t="shared" si="688"/>
        <v>1.1395401023802444E-33</v>
      </c>
      <c r="CA2941" s="16">
        <f t="shared" si="695"/>
        <v>-999</v>
      </c>
      <c r="CE2941" s="16" t="e">
        <f t="shared" si="689"/>
        <v>#N/A</v>
      </c>
      <c r="CF2941" s="16">
        <f t="shared" si="690"/>
        <v>99</v>
      </c>
      <c r="CG2941" s="16">
        <f t="shared" si="691"/>
        <v>0</v>
      </c>
      <c r="CH2941" s="16">
        <f t="shared" si="687"/>
        <v>0</v>
      </c>
      <c r="CJ2941" s="16" t="e">
        <f t="shared" si="692"/>
        <v>#N/A</v>
      </c>
      <c r="CK2941" s="16" t="str">
        <f t="shared" si="693"/>
        <v/>
      </c>
    </row>
    <row r="2942" spans="73:89" ht="12" customHeight="1">
      <c r="BU2942" s="16">
        <f t="shared" si="694"/>
        <v>0</v>
      </c>
      <c r="BV2942" s="16">
        <f>IF($BY$12=1,NORMDIST(BY2942,$Y$6,$Y$8,TRUE),IF($BY$12=2,IF(BY2942&lt;=$BX$31,0,IF(BY2942&gt;=$BX$32,1,(BY2942-$BX$31)*$BX$33)),SUM($BU$42:BU2942)/$BV$40))</f>
        <v>1</v>
      </c>
      <c r="BW2942" s="16">
        <f t="shared" si="696"/>
        <v>3.1122564167161865E-31</v>
      </c>
      <c r="BY2942" s="16">
        <f t="shared" si="697"/>
        <v>289.99999999999744</v>
      </c>
      <c r="BZ2942" s="16">
        <f t="shared" si="688"/>
        <v>1.0731918678331772E-33</v>
      </c>
      <c r="CA2942" s="16">
        <f t="shared" si="695"/>
        <v>-999</v>
      </c>
      <c r="CE2942" s="16" t="e">
        <f t="shared" si="689"/>
        <v>#N/A</v>
      </c>
      <c r="CF2942" s="16">
        <f t="shared" si="690"/>
        <v>99</v>
      </c>
      <c r="CG2942" s="16">
        <f t="shared" si="691"/>
        <v>0</v>
      </c>
      <c r="CH2942" s="16">
        <f t="shared" si="687"/>
        <v>0</v>
      </c>
      <c r="CJ2942" s="16" t="e">
        <f t="shared" si="692"/>
        <v>#N/A</v>
      </c>
      <c r="CK2942" s="16" t="str">
        <f t="shared" si="693"/>
        <v/>
      </c>
    </row>
    <row r="2943" spans="73:89" ht="12" customHeight="1">
      <c r="BU2943" s="16">
        <f t="shared" si="694"/>
        <v>0</v>
      </c>
      <c r="BV2943" s="16">
        <f>IF($BY$12=1,NORMDIST(BY2943,$Y$6,$Y$8,TRUE),IF($BY$12=2,IF(BY2943&lt;=$BX$31,0,IF(BY2943&gt;=$BX$32,1,(BY2943-$BX$31)*$BX$33)),SUM($BU$42:BU2943)/$BV$40))</f>
        <v>1</v>
      </c>
      <c r="BW2943" s="16">
        <f t="shared" si="696"/>
        <v>2.9319867566586013E-31</v>
      </c>
      <c r="BY2943" s="16">
        <f t="shared" si="697"/>
        <v>290.09999999999746</v>
      </c>
      <c r="BZ2943" s="16">
        <f t="shared" si="688"/>
        <v>1.0106814052597818E-33</v>
      </c>
      <c r="CA2943" s="16">
        <f t="shared" si="695"/>
        <v>-999</v>
      </c>
      <c r="CE2943" s="16" t="e">
        <f t="shared" si="689"/>
        <v>#N/A</v>
      </c>
      <c r="CF2943" s="16">
        <f t="shared" si="690"/>
        <v>99</v>
      </c>
      <c r="CG2943" s="16">
        <f t="shared" si="691"/>
        <v>0</v>
      </c>
      <c r="CH2943" s="16">
        <f t="shared" si="687"/>
        <v>0</v>
      </c>
      <c r="CJ2943" s="16" t="e">
        <f t="shared" si="692"/>
        <v>#N/A</v>
      </c>
      <c r="CK2943" s="16" t="str">
        <f t="shared" si="693"/>
        <v/>
      </c>
    </row>
    <row r="2944" spans="73:89" ht="12" customHeight="1">
      <c r="BU2944" s="16">
        <f t="shared" si="694"/>
        <v>0</v>
      </c>
      <c r="BV2944" s="16">
        <f>IF($BY$12=1,NORMDIST(BY2944,$Y$6,$Y$8,TRUE),IF($BY$12=2,IF(BY2944&lt;=$BX$31,0,IF(BY2944&gt;=$BX$32,1,(BY2944-$BX$31)*$BX$33)),SUM($BU$42:BU2944)/$BV$40))</f>
        <v>1</v>
      </c>
      <c r="BW2944" s="16">
        <f t="shared" si="696"/>
        <v>2.7620893839679722E-31</v>
      </c>
      <c r="BY2944" s="16">
        <f t="shared" si="697"/>
        <v>290.19999999999749</v>
      </c>
      <c r="BZ2944" s="16">
        <f t="shared" si="688"/>
        <v>9.5178820949965399E-34</v>
      </c>
      <c r="CA2944" s="16">
        <f t="shared" si="695"/>
        <v>-999</v>
      </c>
      <c r="CE2944" s="16" t="e">
        <f t="shared" si="689"/>
        <v>#N/A</v>
      </c>
      <c r="CF2944" s="16">
        <f t="shared" si="690"/>
        <v>99</v>
      </c>
      <c r="CG2944" s="16">
        <f t="shared" si="691"/>
        <v>0</v>
      </c>
      <c r="CH2944" s="16">
        <f t="shared" si="687"/>
        <v>0</v>
      </c>
      <c r="CJ2944" s="16" t="e">
        <f t="shared" si="692"/>
        <v>#N/A</v>
      </c>
      <c r="CK2944" s="16" t="str">
        <f t="shared" si="693"/>
        <v/>
      </c>
    </row>
    <row r="2945" spans="73:89" ht="12" customHeight="1">
      <c r="BU2945" s="16">
        <f t="shared" si="694"/>
        <v>0</v>
      </c>
      <c r="BV2945" s="16">
        <f>IF($BY$12=1,NORMDIST(BY2945,$Y$6,$Y$8,TRUE),IF($BY$12=2,IF(BY2945&lt;=$BX$31,0,IF(BY2945&gt;=$BX$32,1,(BY2945-$BX$31)*$BX$33)),SUM($BU$42:BU2945)/$BV$40))</f>
        <v>1</v>
      </c>
      <c r="BW2945" s="16">
        <f t="shared" si="696"/>
        <v>2.6019715524856415E-31</v>
      </c>
      <c r="BY2945" s="16">
        <f t="shared" si="697"/>
        <v>290.29999999999751</v>
      </c>
      <c r="BZ2945" s="16">
        <f t="shared" si="688"/>
        <v>8.9630435841738337E-34</v>
      </c>
      <c r="CA2945" s="16">
        <f t="shared" si="695"/>
        <v>-999</v>
      </c>
      <c r="CE2945" s="16" t="e">
        <f t="shared" si="689"/>
        <v>#N/A</v>
      </c>
      <c r="CF2945" s="16">
        <f t="shared" si="690"/>
        <v>99</v>
      </c>
      <c r="CG2945" s="16">
        <f t="shared" si="691"/>
        <v>0</v>
      </c>
      <c r="CH2945" s="16">
        <f t="shared" si="687"/>
        <v>0</v>
      </c>
      <c r="CJ2945" s="16" t="e">
        <f t="shared" si="692"/>
        <v>#N/A</v>
      </c>
      <c r="CK2945" s="16" t="str">
        <f t="shared" si="693"/>
        <v/>
      </c>
    </row>
    <row r="2946" spans="73:89" ht="12" customHeight="1">
      <c r="BU2946" s="16">
        <f t="shared" si="694"/>
        <v>0</v>
      </c>
      <c r="BV2946" s="16">
        <f>IF($BY$12=1,NORMDIST(BY2946,$Y$6,$Y$8,TRUE),IF($BY$12=2,IF(BY2946&lt;=$BX$31,0,IF(BY2946&gt;=$BX$32,1,(BY2946-$BX$31)*$BX$33)),SUM($BU$42:BU2946)/$BV$40))</f>
        <v>1</v>
      </c>
      <c r="BW2946" s="16">
        <f t="shared" si="696"/>
        <v>2.4510741548103192E-31</v>
      </c>
      <c r="BY2946" s="16">
        <f t="shared" si="697"/>
        <v>290.39999999999753</v>
      </c>
      <c r="BZ2946" s="16">
        <f t="shared" si="688"/>
        <v>8.4403379986581962E-34</v>
      </c>
      <c r="CA2946" s="16">
        <f t="shared" si="695"/>
        <v>-999</v>
      </c>
      <c r="CE2946" s="16" t="e">
        <f t="shared" si="689"/>
        <v>#N/A</v>
      </c>
      <c r="CF2946" s="16">
        <f t="shared" si="690"/>
        <v>99</v>
      </c>
      <c r="CG2946" s="16">
        <f t="shared" si="691"/>
        <v>0</v>
      </c>
      <c r="CH2946" s="16">
        <f t="shared" si="687"/>
        <v>0</v>
      </c>
      <c r="CJ2946" s="16" t="e">
        <f t="shared" si="692"/>
        <v>#N/A</v>
      </c>
      <c r="CK2946" s="16" t="str">
        <f t="shared" si="693"/>
        <v/>
      </c>
    </row>
    <row r="2947" spans="73:89" ht="12" customHeight="1">
      <c r="BU2947" s="16">
        <f t="shared" si="694"/>
        <v>0</v>
      </c>
      <c r="BV2947" s="16">
        <f>IF($BY$12=1,NORMDIST(BY2947,$Y$6,$Y$8,TRUE),IF($BY$12=2,IF(BY2947&lt;=$BX$31,0,IF(BY2947&gt;=$BX$32,1,(BY2947-$BX$31)*$BX$33)),SUM($BU$42:BU2947)/$BV$40))</f>
        <v>1</v>
      </c>
      <c r="BW2947" s="16">
        <f t="shared" si="696"/>
        <v>2.3088698268162867E-31</v>
      </c>
      <c r="BY2947" s="16">
        <f t="shared" si="697"/>
        <v>290.49999999999756</v>
      </c>
      <c r="BZ2947" s="16">
        <f t="shared" si="688"/>
        <v>7.9479167876637049E-34</v>
      </c>
      <c r="CA2947" s="16">
        <f t="shared" si="695"/>
        <v>-999</v>
      </c>
      <c r="CE2947" s="16" t="e">
        <f t="shared" si="689"/>
        <v>#N/A</v>
      </c>
      <c r="CF2947" s="16">
        <f t="shared" si="690"/>
        <v>99</v>
      </c>
      <c r="CG2947" s="16">
        <f t="shared" si="691"/>
        <v>0</v>
      </c>
      <c r="CH2947" s="16">
        <f t="shared" ref="CH2947:CH3010" si="698">IF(CB2947="",0,1)</f>
        <v>0</v>
      </c>
      <c r="CJ2947" s="16" t="e">
        <f t="shared" si="692"/>
        <v>#N/A</v>
      </c>
      <c r="CK2947" s="16" t="str">
        <f t="shared" si="693"/>
        <v/>
      </c>
    </row>
    <row r="2948" spans="73:89" ht="12" customHeight="1">
      <c r="BU2948" s="16">
        <f t="shared" si="694"/>
        <v>0</v>
      </c>
      <c r="BV2948" s="16">
        <f>IF($BY$12=1,NORMDIST(BY2948,$Y$6,$Y$8,TRUE),IF($BY$12=2,IF(BY2948&lt;=$BX$31,0,IF(BY2948&gt;=$BX$32,1,(BY2948-$BX$31)*$BX$33)),SUM($BU$42:BU2948)/$BV$40))</f>
        <v>1</v>
      </c>
      <c r="BW2948" s="16">
        <f t="shared" si="696"/>
        <v>2.1748611582035525E-31</v>
      </c>
      <c r="BY2948" s="16">
        <f t="shared" si="697"/>
        <v>290.59999999999758</v>
      </c>
      <c r="BZ2948" s="16">
        <f t="shared" si="688"/>
        <v>7.4840370206592251E-34</v>
      </c>
      <c r="CA2948" s="16">
        <f t="shared" si="695"/>
        <v>-999</v>
      </c>
      <c r="CE2948" s="16" t="e">
        <f t="shared" si="689"/>
        <v>#N/A</v>
      </c>
      <c r="CF2948" s="16">
        <f t="shared" si="690"/>
        <v>99</v>
      </c>
      <c r="CG2948" s="16">
        <f t="shared" si="691"/>
        <v>0</v>
      </c>
      <c r="CH2948" s="16">
        <f t="shared" si="698"/>
        <v>0</v>
      </c>
      <c r="CJ2948" s="16" t="e">
        <f t="shared" si="692"/>
        <v>#N/A</v>
      </c>
      <c r="CK2948" s="16" t="str">
        <f t="shared" si="693"/>
        <v/>
      </c>
    </row>
    <row r="2949" spans="73:89" ht="12" customHeight="1">
      <c r="BU2949" s="16">
        <f t="shared" si="694"/>
        <v>0</v>
      </c>
      <c r="BV2949" s="16">
        <f>IF($BY$12=1,NORMDIST(BY2949,$Y$6,$Y$8,TRUE),IF($BY$12=2,IF(BY2949&lt;=$BX$31,0,IF(BY2949&gt;=$BX$32,1,(BY2949-$BX$31)*$BX$33)),SUM($BU$42:BU2949)/$BV$40))</f>
        <v>1</v>
      </c>
      <c r="BW2949" s="16">
        <f t="shared" si="696"/>
        <v>2.0485790031923396E-31</v>
      </c>
      <c r="BY2949" s="16">
        <f t="shared" si="697"/>
        <v>290.6999999999976</v>
      </c>
      <c r="BZ2949" s="16">
        <f t="shared" si="688"/>
        <v>7.0470553945385506E-34</v>
      </c>
      <c r="CA2949" s="16">
        <f t="shared" si="695"/>
        <v>-999</v>
      </c>
      <c r="CE2949" s="16" t="e">
        <f t="shared" si="689"/>
        <v>#N/A</v>
      </c>
      <c r="CF2949" s="16">
        <f t="shared" si="690"/>
        <v>99</v>
      </c>
      <c r="CG2949" s="16">
        <f t="shared" si="691"/>
        <v>0</v>
      </c>
      <c r="CH2949" s="16">
        <f t="shared" si="698"/>
        <v>0</v>
      </c>
      <c r="CJ2949" s="16" t="e">
        <f t="shared" si="692"/>
        <v>#N/A</v>
      </c>
      <c r="CK2949" s="16" t="str">
        <f t="shared" si="693"/>
        <v/>
      </c>
    </row>
    <row r="2950" spans="73:89" ht="12" customHeight="1">
      <c r="BU2950" s="16">
        <f t="shared" si="694"/>
        <v>0</v>
      </c>
      <c r="BV2950" s="16">
        <f>IF($BY$12=1,NORMDIST(BY2950,$Y$6,$Y$8,TRUE),IF($BY$12=2,IF(BY2950&lt;=$BX$31,0,IF(BY2950&gt;=$BX$32,1,(BY2950-$BX$31)*$BX$33)),SUM($BU$42:BU2950)/$BV$40))</f>
        <v>1</v>
      </c>
      <c r="BW2950" s="16">
        <f t="shared" si="696"/>
        <v>1.9295808857989527E-31</v>
      </c>
      <c r="BY2950" s="16">
        <f t="shared" si="697"/>
        <v>290.79999999999762</v>
      </c>
      <c r="BZ2950" s="16">
        <f t="shared" si="688"/>
        <v>6.6354225784008542E-34</v>
      </c>
      <c r="CA2950" s="16">
        <f t="shared" si="695"/>
        <v>-999</v>
      </c>
      <c r="CE2950" s="16" t="e">
        <f t="shared" si="689"/>
        <v>#N/A</v>
      </c>
      <c r="CF2950" s="16">
        <f t="shared" si="690"/>
        <v>99</v>
      </c>
      <c r="CG2950" s="16">
        <f t="shared" si="691"/>
        <v>0</v>
      </c>
      <c r="CH2950" s="16">
        <f t="shared" si="698"/>
        <v>0</v>
      </c>
      <c r="CJ2950" s="16" t="e">
        <f t="shared" si="692"/>
        <v>#N/A</v>
      </c>
      <c r="CK2950" s="16" t="str">
        <f t="shared" si="693"/>
        <v/>
      </c>
    </row>
    <row r="2951" spans="73:89" ht="12" customHeight="1">
      <c r="BU2951" s="16">
        <f t="shared" si="694"/>
        <v>0</v>
      </c>
      <c r="BV2951" s="16">
        <f>IF($BY$12=1,NORMDIST(BY2951,$Y$6,$Y$8,TRUE),IF($BY$12=2,IF(BY2951&lt;=$BX$31,0,IF(BY2951&gt;=$BX$32,1,(BY2951-$BX$31)*$BX$33)),SUM($BU$42:BU2951)/$BV$40))</f>
        <v>1</v>
      </c>
      <c r="BW2951" s="16">
        <f t="shared" si="696"/>
        <v>1.8174494944374132E-31</v>
      </c>
      <c r="BY2951" s="16">
        <f t="shared" si="697"/>
        <v>290.89999999999765</v>
      </c>
      <c r="BZ2951" s="16">
        <f t="shared" si="688"/>
        <v>6.2476778770623164E-34</v>
      </c>
      <c r="CA2951" s="16">
        <f t="shared" si="695"/>
        <v>-999</v>
      </c>
      <c r="CE2951" s="16" t="e">
        <f t="shared" si="689"/>
        <v>#N/A</v>
      </c>
      <c r="CF2951" s="16">
        <f t="shared" si="690"/>
        <v>99</v>
      </c>
      <c r="CG2951" s="16">
        <f t="shared" si="691"/>
        <v>0</v>
      </c>
      <c r="CH2951" s="16">
        <f t="shared" si="698"/>
        <v>0</v>
      </c>
      <c r="CJ2951" s="16" t="e">
        <f t="shared" si="692"/>
        <v>#N/A</v>
      </c>
      <c r="CK2951" s="16" t="str">
        <f t="shared" si="693"/>
        <v/>
      </c>
    </row>
    <row r="2952" spans="73:89" ht="12" customHeight="1">
      <c r="BU2952" s="16">
        <f t="shared" si="694"/>
        <v>0</v>
      </c>
      <c r="BV2952" s="16">
        <f>IF($BY$12=1,NORMDIST(BY2952,$Y$6,$Y$8,TRUE),IF($BY$12=2,IF(BY2952&lt;=$BX$31,0,IF(BY2952&gt;=$BX$32,1,(BY2952-$BX$31)*$BX$33)),SUM($BU$42:BU2952)/$BV$40))</f>
        <v>1</v>
      </c>
      <c r="BW2952" s="16">
        <f t="shared" si="696"/>
        <v>1.7117912608797752E-31</v>
      </c>
      <c r="BY2952" s="16">
        <f t="shared" si="697"/>
        <v>290.99999999999767</v>
      </c>
      <c r="BZ2952" s="16">
        <f t="shared" si="688"/>
        <v>5.8824441954631921E-34</v>
      </c>
      <c r="CA2952" s="16">
        <f t="shared" si="695"/>
        <v>-999</v>
      </c>
      <c r="CE2952" s="16" t="e">
        <f t="shared" si="689"/>
        <v>#N/A</v>
      </c>
      <c r="CF2952" s="16">
        <f t="shared" si="690"/>
        <v>99</v>
      </c>
      <c r="CG2952" s="16">
        <f t="shared" si="691"/>
        <v>0</v>
      </c>
      <c r="CH2952" s="16">
        <f t="shared" si="698"/>
        <v>0</v>
      </c>
      <c r="CJ2952" s="16" t="e">
        <f t="shared" si="692"/>
        <v>#N/A</v>
      </c>
      <c r="CK2952" s="16" t="str">
        <f t="shared" si="693"/>
        <v/>
      </c>
    </row>
    <row r="2953" spans="73:89" ht="12" customHeight="1">
      <c r="BU2953" s="16">
        <f t="shared" si="694"/>
        <v>0</v>
      </c>
      <c r="BV2953" s="16">
        <f>IF($BY$12=1,NORMDIST(BY2953,$Y$6,$Y$8,TRUE),IF($BY$12=2,IF(BY2953&lt;=$BX$31,0,IF(BY2953&gt;=$BX$32,1,(BY2953-$BX$31)*$BX$33)),SUM($BU$42:BU2953)/$BV$40))</f>
        <v>1</v>
      </c>
      <c r="BW2953" s="16">
        <f t="shared" si="696"/>
        <v>1.6122350188835777E-31</v>
      </c>
      <c r="BY2953" s="16">
        <f t="shared" si="697"/>
        <v>291.09999999999769</v>
      </c>
      <c r="BZ2953" s="16">
        <f t="shared" si="688"/>
        <v>5.5384232871301632E-34</v>
      </c>
      <c r="CA2953" s="16">
        <f t="shared" si="695"/>
        <v>-999</v>
      </c>
      <c r="CE2953" s="16" t="e">
        <f t="shared" si="689"/>
        <v>#N/A</v>
      </c>
      <c r="CF2953" s="16">
        <f t="shared" si="690"/>
        <v>99</v>
      </c>
      <c r="CG2953" s="16">
        <f t="shared" si="691"/>
        <v>0</v>
      </c>
      <c r="CH2953" s="16">
        <f t="shared" si="698"/>
        <v>0</v>
      </c>
      <c r="CJ2953" s="16" t="e">
        <f t="shared" si="692"/>
        <v>#N/A</v>
      </c>
      <c r="CK2953" s="16" t="str">
        <f t="shared" si="693"/>
        <v/>
      </c>
    </row>
    <row r="2954" spans="73:89" ht="12" customHeight="1">
      <c r="BU2954" s="16">
        <f t="shared" si="694"/>
        <v>0</v>
      </c>
      <c r="BV2954" s="16">
        <f>IF($BY$12=1,NORMDIST(BY2954,$Y$6,$Y$8,TRUE),IF($BY$12=2,IF(BY2954&lt;=$BX$31,0,IF(BY2954&gt;=$BX$32,1,(BY2954-$BX$31)*$BX$33)),SUM($BU$42:BU2954)/$BV$40))</f>
        <v>1</v>
      </c>
      <c r="BW2954" s="16">
        <f t="shared" si="696"/>
        <v>1.5184307380523417E-31</v>
      </c>
      <c r="BY2954" s="16">
        <f t="shared" si="697"/>
        <v>291.19999999999771</v>
      </c>
      <c r="BZ2954" s="16">
        <f t="shared" si="688"/>
        <v>5.2143912707841814E-34</v>
      </c>
      <c r="CA2954" s="16">
        <f t="shared" si="695"/>
        <v>-999</v>
      </c>
      <c r="CE2954" s="16" t="e">
        <f t="shared" si="689"/>
        <v>#N/A</v>
      </c>
      <c r="CF2954" s="16">
        <f t="shared" si="690"/>
        <v>99</v>
      </c>
      <c r="CG2954" s="16">
        <f t="shared" si="691"/>
        <v>0</v>
      </c>
      <c r="CH2954" s="16">
        <f t="shared" si="698"/>
        <v>0</v>
      </c>
      <c r="CJ2954" s="16" t="e">
        <f t="shared" si="692"/>
        <v>#N/A</v>
      </c>
      <c r="CK2954" s="16" t="str">
        <f t="shared" si="693"/>
        <v/>
      </c>
    </row>
    <row r="2955" spans="73:89" ht="12" customHeight="1">
      <c r="BU2955" s="16">
        <f t="shared" si="694"/>
        <v>0</v>
      </c>
      <c r="BV2955" s="16">
        <f>IF($BY$12=1,NORMDIST(BY2955,$Y$6,$Y$8,TRUE),IF($BY$12=2,IF(BY2955&lt;=$BX$31,0,IF(BY2955&gt;=$BX$32,1,(BY2955-$BX$31)*$BX$33)),SUM($BU$42:BU2955)/$BV$40))</f>
        <v>1</v>
      </c>
      <c r="BW2955" s="16">
        <f t="shared" si="696"/>
        <v>1.4300483287415583E-31</v>
      </c>
      <c r="BY2955" s="16">
        <f t="shared" si="697"/>
        <v>291.29999999999774</v>
      </c>
      <c r="BZ2955" s="16">
        <f t="shared" si="688"/>
        <v>4.9091944000740457E-34</v>
      </c>
      <c r="CA2955" s="16">
        <f t="shared" si="695"/>
        <v>-999</v>
      </c>
      <c r="CE2955" s="16" t="e">
        <f t="shared" si="689"/>
        <v>#N/A</v>
      </c>
      <c r="CF2955" s="16">
        <f t="shared" si="690"/>
        <v>99</v>
      </c>
      <c r="CG2955" s="16">
        <f t="shared" si="691"/>
        <v>0</v>
      </c>
      <c r="CH2955" s="16">
        <f t="shared" si="698"/>
        <v>0</v>
      </c>
      <c r="CJ2955" s="16" t="e">
        <f t="shared" si="692"/>
        <v>#N/A</v>
      </c>
      <c r="CK2955" s="16" t="str">
        <f t="shared" si="693"/>
        <v/>
      </c>
    </row>
    <row r="2956" spans="73:89" ht="12" customHeight="1">
      <c r="BU2956" s="16">
        <f t="shared" si="694"/>
        <v>0</v>
      </c>
      <c r="BV2956" s="16">
        <f>IF($BY$12=1,NORMDIST(BY2956,$Y$6,$Y$8,TRUE),IF($BY$12=2,IF(BY2956&lt;=$BX$31,0,IF(BY2956&gt;=$BX$32,1,(BY2956-$BX$31)*$BX$33)),SUM($BU$42:BU2956)/$BV$40))</f>
        <v>1</v>
      </c>
      <c r="BW2956" s="16">
        <f t="shared" si="696"/>
        <v>1.3467765140523974E-31</v>
      </c>
      <c r="BY2956" s="16">
        <f t="shared" si="697"/>
        <v>291.39999999999776</v>
      </c>
      <c r="BZ2956" s="16">
        <f t="shared" si="688"/>
        <v>4.6217450722457375E-34</v>
      </c>
      <c r="CA2956" s="16">
        <f t="shared" si="695"/>
        <v>-999</v>
      </c>
      <c r="CE2956" s="16" t="e">
        <f t="shared" si="689"/>
        <v>#N/A</v>
      </c>
      <c r="CF2956" s="16">
        <f t="shared" si="690"/>
        <v>99</v>
      </c>
      <c r="CG2956" s="16">
        <f t="shared" si="691"/>
        <v>0</v>
      </c>
      <c r="CH2956" s="16">
        <f t="shared" si="698"/>
        <v>0</v>
      </c>
      <c r="CJ2956" s="16" t="e">
        <f t="shared" si="692"/>
        <v>#N/A</v>
      </c>
      <c r="CK2956" s="16" t="str">
        <f t="shared" si="693"/>
        <v/>
      </c>
    </row>
    <row r="2957" spans="73:89" ht="12" customHeight="1">
      <c r="BU2957" s="16">
        <f t="shared" si="694"/>
        <v>0</v>
      </c>
      <c r="BV2957" s="16">
        <f>IF($BY$12=1,NORMDIST(BY2957,$Y$6,$Y$8,TRUE),IF($BY$12=2,IF(BY2957&lt;=$BX$31,0,IF(BY2957&gt;=$BX$32,1,(BY2957-$BX$31)*$BX$33)),SUM($BU$42:BU2957)/$BV$40))</f>
        <v>1</v>
      </c>
      <c r="BW2957" s="16">
        <f t="shared" si="696"/>
        <v>1.2683217651753442E-31</v>
      </c>
      <c r="BY2957" s="16">
        <f t="shared" si="697"/>
        <v>291.49999999999778</v>
      </c>
      <c r="BZ2957" s="16">
        <f t="shared" si="688"/>
        <v>4.351018062351128E-34</v>
      </c>
      <c r="CA2957" s="16">
        <f t="shared" si="695"/>
        <v>-999</v>
      </c>
      <c r="CE2957" s="16" t="e">
        <f t="shared" si="689"/>
        <v>#N/A</v>
      </c>
      <c r="CF2957" s="16">
        <f t="shared" si="690"/>
        <v>99</v>
      </c>
      <c r="CG2957" s="16">
        <f t="shared" si="691"/>
        <v>0</v>
      </c>
      <c r="CH2957" s="16">
        <f t="shared" si="698"/>
        <v>0</v>
      </c>
      <c r="CJ2957" s="16" t="e">
        <f t="shared" si="692"/>
        <v>#N/A</v>
      </c>
      <c r="CK2957" s="16" t="str">
        <f t="shared" si="693"/>
        <v/>
      </c>
    </row>
    <row r="2958" spans="73:89" ht="12" customHeight="1">
      <c r="BU2958" s="16">
        <f t="shared" si="694"/>
        <v>0</v>
      </c>
      <c r="BV2958" s="16">
        <f>IF($BY$12=1,NORMDIST(BY2958,$Y$6,$Y$8,TRUE),IF($BY$12=2,IF(BY2958&lt;=$BX$31,0,IF(BY2958&gt;=$BX$32,1,(BY2958-$BX$31)*$BX$33)),SUM($BU$42:BU2958)/$BV$40))</f>
        <v>1</v>
      </c>
      <c r="BW2958" s="16">
        <f t="shared" si="696"/>
        <v>1.1944072965518392E-31</v>
      </c>
      <c r="BY2958" s="16">
        <f t="shared" si="697"/>
        <v>291.59999999999781</v>
      </c>
      <c r="BZ2958" s="16">
        <f t="shared" si="688"/>
        <v>4.0960469703424149E-34</v>
      </c>
      <c r="CA2958" s="16">
        <f t="shared" si="695"/>
        <v>-999</v>
      </c>
      <c r="CE2958" s="16" t="e">
        <f t="shared" si="689"/>
        <v>#N/A</v>
      </c>
      <c r="CF2958" s="16">
        <f t="shared" si="690"/>
        <v>99</v>
      </c>
      <c r="CG2958" s="16">
        <f t="shared" si="691"/>
        <v>0</v>
      </c>
      <c r="CH2958" s="16">
        <f t="shared" si="698"/>
        <v>0</v>
      </c>
      <c r="CJ2958" s="16" t="e">
        <f t="shared" si="692"/>
        <v>#N/A</v>
      </c>
      <c r="CK2958" s="16" t="str">
        <f t="shared" si="693"/>
        <v/>
      </c>
    </row>
    <row r="2959" spans="73:89" ht="12" customHeight="1">
      <c r="BU2959" s="16">
        <f t="shared" si="694"/>
        <v>0</v>
      </c>
      <c r="BV2959" s="16">
        <f>IF($BY$12=1,NORMDIST(BY2959,$Y$6,$Y$8,TRUE),IF($BY$12=2,IF(BY2959&lt;=$BX$31,0,IF(BY2959&gt;=$BX$32,1,(BY2959-$BX$31)*$BX$33)),SUM($BU$42:BU2959)/$BV$40))</f>
        <v>1</v>
      </c>
      <c r="BW2959" s="16">
        <f t="shared" si="696"/>
        <v>1.1247721175180707E-31</v>
      </c>
      <c r="BY2959" s="16">
        <f t="shared" si="697"/>
        <v>291.69999999999783</v>
      </c>
      <c r="BZ2959" s="16">
        <f t="shared" si="688"/>
        <v>3.8559208691055161E-34</v>
      </c>
      <c r="CA2959" s="16">
        <f t="shared" si="695"/>
        <v>-999</v>
      </c>
      <c r="CE2959" s="16" t="e">
        <f t="shared" si="689"/>
        <v>#N/A</v>
      </c>
      <c r="CF2959" s="16">
        <f t="shared" si="690"/>
        <v>99</v>
      </c>
      <c r="CG2959" s="16">
        <f t="shared" si="691"/>
        <v>0</v>
      </c>
      <c r="CH2959" s="16">
        <f t="shared" si="698"/>
        <v>0</v>
      </c>
      <c r="CJ2959" s="16" t="e">
        <f t="shared" si="692"/>
        <v>#N/A</v>
      </c>
      <c r="CK2959" s="16" t="str">
        <f t="shared" si="693"/>
        <v/>
      </c>
    </row>
    <row r="2960" spans="73:89" ht="12" customHeight="1">
      <c r="BU2960" s="16">
        <f t="shared" si="694"/>
        <v>0</v>
      </c>
      <c r="BV2960" s="16">
        <f>IF($BY$12=1,NORMDIST(BY2960,$Y$6,$Y$8,TRUE),IF($BY$12=2,IF(BY2960&lt;=$BX$31,0,IF(BY2960&gt;=$BX$32,1,(BY2960-$BX$31)*$BX$33)),SUM($BU$42:BU2960)/$BV$40))</f>
        <v>1</v>
      </c>
      <c r="BW2960" s="16">
        <f t="shared" si="696"/>
        <v>1.0591701372791143E-31</v>
      </c>
      <c r="BY2960" s="16">
        <f t="shared" si="697"/>
        <v>291.79999999999785</v>
      </c>
      <c r="BZ2960" s="16">
        <f t="shared" si="688"/>
        <v>3.6297811421491504E-34</v>
      </c>
      <c r="CA2960" s="16">
        <f t="shared" si="695"/>
        <v>-999</v>
      </c>
      <c r="CE2960" s="16" t="e">
        <f t="shared" si="689"/>
        <v>#N/A</v>
      </c>
      <c r="CF2960" s="16">
        <f t="shared" si="690"/>
        <v>99</v>
      </c>
      <c r="CG2960" s="16">
        <f t="shared" si="691"/>
        <v>0</v>
      </c>
      <c r="CH2960" s="16">
        <f t="shared" si="698"/>
        <v>0</v>
      </c>
      <c r="CJ2960" s="16" t="e">
        <f t="shared" si="692"/>
        <v>#N/A</v>
      </c>
      <c r="CK2960" s="16" t="str">
        <f t="shared" si="693"/>
        <v/>
      </c>
    </row>
    <row r="2961" spans="73:89" ht="12" customHeight="1">
      <c r="BU2961" s="16">
        <f t="shared" si="694"/>
        <v>0</v>
      </c>
      <c r="BV2961" s="16">
        <f>IF($BY$12=1,NORMDIST(BY2961,$Y$6,$Y$8,TRUE),IF($BY$12=2,IF(BY2961&lt;=$BX$31,0,IF(BY2961&gt;=$BX$32,1,(BY2961-$BX$31)*$BX$33)),SUM($BU$42:BU2961)/$BV$40))</f>
        <v>1</v>
      </c>
      <c r="BW2961" s="16">
        <f t="shared" si="696"/>
        <v>9.9736932023662853E-32</v>
      </c>
      <c r="BY2961" s="16">
        <f t="shared" si="697"/>
        <v>291.89999999999787</v>
      </c>
      <c r="BZ2961" s="16">
        <f t="shared" si="688"/>
        <v>3.4168185002967998E-34</v>
      </c>
      <c r="CA2961" s="16">
        <f t="shared" si="695"/>
        <v>-999</v>
      </c>
      <c r="CE2961" s="16" t="e">
        <f t="shared" si="689"/>
        <v>#N/A</v>
      </c>
      <c r="CF2961" s="16">
        <f t="shared" si="690"/>
        <v>99</v>
      </c>
      <c r="CG2961" s="16">
        <f t="shared" si="691"/>
        <v>0</v>
      </c>
      <c r="CH2961" s="16">
        <f t="shared" si="698"/>
        <v>0</v>
      </c>
      <c r="CJ2961" s="16" t="e">
        <f t="shared" si="692"/>
        <v>#N/A</v>
      </c>
      <c r="CK2961" s="16" t="str">
        <f t="shared" si="693"/>
        <v/>
      </c>
    </row>
    <row r="2962" spans="73:89" ht="12" customHeight="1">
      <c r="BU2962" s="16">
        <f t="shared" si="694"/>
        <v>0</v>
      </c>
      <c r="BV2962" s="16">
        <f>IF($BY$12=1,NORMDIST(BY2962,$Y$6,$Y$8,TRUE),IF($BY$12=2,IF(BY2962&lt;=$BX$31,0,IF(BY2962&gt;=$BX$32,1,(BY2962-$BX$31)*$BX$33)),SUM($BU$42:BU2962)/$BV$40))</f>
        <v>1</v>
      </c>
      <c r="BW2962" s="16">
        <f t="shared" si="696"/>
        <v>9.3915088885800012E-32</v>
      </c>
      <c r="BY2962" s="16">
        <f t="shared" si="697"/>
        <v>291.9999999999979</v>
      </c>
      <c r="BZ2962" s="16">
        <f t="shared" si="688"/>
        <v>3.2162701673219414E-34</v>
      </c>
      <c r="CA2962" s="16">
        <f t="shared" si="695"/>
        <v>-999</v>
      </c>
      <c r="CE2962" s="16" t="e">
        <f t="shared" si="689"/>
        <v>#N/A</v>
      </c>
      <c r="CF2962" s="16">
        <f t="shared" si="690"/>
        <v>99</v>
      </c>
      <c r="CG2962" s="16">
        <f t="shared" si="691"/>
        <v>0</v>
      </c>
      <c r="CH2962" s="16">
        <f t="shared" si="698"/>
        <v>0</v>
      </c>
      <c r="CJ2962" s="16" t="e">
        <f t="shared" si="692"/>
        <v>#N/A</v>
      </c>
      <c r="CK2962" s="16" t="str">
        <f t="shared" si="693"/>
        <v/>
      </c>
    </row>
    <row r="2963" spans="73:89" ht="12" customHeight="1">
      <c r="BU2963" s="16">
        <f t="shared" si="694"/>
        <v>0</v>
      </c>
      <c r="BV2963" s="16">
        <f>IF($BY$12=1,NORMDIST(BY2963,$Y$6,$Y$8,TRUE),IF($BY$12=2,IF(BY2963&lt;=$BX$31,0,IF(BY2963&gt;=$BX$32,1,(BY2963-$BX$31)*$BX$33)),SUM($BU$42:BU2963)/$BV$40))</f>
        <v>1</v>
      </c>
      <c r="BW2963" s="16">
        <f t="shared" si="696"/>
        <v>8.8430857143069972E-32</v>
      </c>
      <c r="BY2963" s="16">
        <f t="shared" si="697"/>
        <v>292.09999999999792</v>
      </c>
      <c r="BZ2963" s="16">
        <f t="shared" si="688"/>
        <v>3.0274172250280933E-34</v>
      </c>
      <c r="CA2963" s="16">
        <f t="shared" si="695"/>
        <v>-999</v>
      </c>
      <c r="CE2963" s="16" t="e">
        <f t="shared" si="689"/>
        <v>#N/A</v>
      </c>
      <c r="CF2963" s="16">
        <f t="shared" si="690"/>
        <v>99</v>
      </c>
      <c r="CG2963" s="16">
        <f t="shared" si="691"/>
        <v>0</v>
      </c>
      <c r="CH2963" s="16">
        <f t="shared" si="698"/>
        <v>0</v>
      </c>
      <c r="CJ2963" s="16" t="e">
        <f t="shared" si="692"/>
        <v>#N/A</v>
      </c>
      <c r="CK2963" s="16" t="str">
        <f t="shared" si="693"/>
        <v/>
      </c>
    </row>
    <row r="2964" spans="73:89" ht="12" customHeight="1">
      <c r="BU2964" s="16">
        <f t="shared" si="694"/>
        <v>0</v>
      </c>
      <c r="BV2964" s="16">
        <f>IF($BY$12=1,NORMDIST(BY2964,$Y$6,$Y$8,TRUE),IF($BY$12=2,IF(BY2964&lt;=$BX$31,0,IF(BY2964&gt;=$BX$32,1,(BY2964-$BX$31)*$BX$33)),SUM($BU$42:BU2964)/$BV$40))</f>
        <v>1</v>
      </c>
      <c r="BW2964" s="16">
        <f t="shared" si="696"/>
        <v>8.3264789219287131E-32</v>
      </c>
      <c r="BY2964" s="16">
        <f t="shared" si="697"/>
        <v>292.19999999999794</v>
      </c>
      <c r="BZ2964" s="16">
        <f t="shared" si="688"/>
        <v>2.8495821088051923E-34</v>
      </c>
      <c r="CA2964" s="16">
        <f t="shared" si="695"/>
        <v>-999</v>
      </c>
      <c r="CE2964" s="16" t="e">
        <f t="shared" si="689"/>
        <v>#N/A</v>
      </c>
      <c r="CF2964" s="16">
        <f t="shared" si="690"/>
        <v>99</v>
      </c>
      <c r="CG2964" s="16">
        <f t="shared" si="691"/>
        <v>0</v>
      </c>
      <c r="CH2964" s="16">
        <f t="shared" si="698"/>
        <v>0</v>
      </c>
      <c r="CJ2964" s="16" t="e">
        <f t="shared" si="692"/>
        <v>#N/A</v>
      </c>
      <c r="CK2964" s="16" t="str">
        <f t="shared" si="693"/>
        <v/>
      </c>
    </row>
    <row r="2965" spans="73:89" ht="12" customHeight="1">
      <c r="BU2965" s="16">
        <f t="shared" si="694"/>
        <v>0</v>
      </c>
      <c r="BV2965" s="16">
        <f>IF($BY$12=1,NORMDIST(BY2965,$Y$6,$Y$8,TRUE),IF($BY$12=2,IF(BY2965&lt;=$BX$31,0,IF(BY2965&gt;=$BX$32,1,(BY2965-$BX$31)*$BX$33)),SUM($BU$42:BU2965)/$BV$40))</f>
        <v>1</v>
      </c>
      <c r="BW2965" s="16">
        <f t="shared" si="696"/>
        <v>7.839855014706822E-32</v>
      </c>
      <c r="BY2965" s="16">
        <f t="shared" si="697"/>
        <v>292.29999999999797</v>
      </c>
      <c r="BZ2965" s="16">
        <f t="shared" si="688"/>
        <v>2.6821262451956471E-34</v>
      </c>
      <c r="CA2965" s="16">
        <f t="shared" si="695"/>
        <v>-999</v>
      </c>
      <c r="CE2965" s="16" t="e">
        <f t="shared" si="689"/>
        <v>#N/A</v>
      </c>
      <c r="CF2965" s="16">
        <f t="shared" si="690"/>
        <v>99</v>
      </c>
      <c r="CG2965" s="16">
        <f t="shared" si="691"/>
        <v>0</v>
      </c>
      <c r="CH2965" s="16">
        <f t="shared" si="698"/>
        <v>0</v>
      </c>
      <c r="CJ2965" s="16" t="e">
        <f t="shared" si="692"/>
        <v>#N/A</v>
      </c>
      <c r="CK2965" s="16" t="str">
        <f t="shared" si="693"/>
        <v/>
      </c>
    </row>
    <row r="2966" spans="73:89" ht="12" customHeight="1">
      <c r="BU2966" s="16">
        <f t="shared" si="694"/>
        <v>0</v>
      </c>
      <c r="BV2966" s="16">
        <f>IF($BY$12=1,NORMDIST(BY2966,$Y$6,$Y$8,TRUE),IF($BY$12=2,IF(BY2966&lt;=$BX$31,0,IF(BY2966&gt;=$BX$32,1,(BY2966-$BX$31)*$BX$33)),SUM($BU$42:BU2966)/$BV$40))</f>
        <v>1</v>
      </c>
      <c r="BW2966" s="16">
        <f t="shared" si="696"/>
        <v>7.3814854358396612E-32</v>
      </c>
      <c r="BY2966" s="16">
        <f t="shared" si="697"/>
        <v>292.39999999999799</v>
      </c>
      <c r="BZ2966" s="16">
        <f t="shared" si="688"/>
        <v>2.5244478234745939E-34</v>
      </c>
      <c r="CA2966" s="16">
        <f t="shared" si="695"/>
        <v>-999</v>
      </c>
      <c r="CE2966" s="16" t="e">
        <f t="shared" si="689"/>
        <v>#N/A</v>
      </c>
      <c r="CF2966" s="16">
        <f t="shared" si="690"/>
        <v>99</v>
      </c>
      <c r="CG2966" s="16">
        <f t="shared" si="691"/>
        <v>0</v>
      </c>
      <c r="CH2966" s="16">
        <f t="shared" si="698"/>
        <v>0</v>
      </c>
      <c r="CJ2966" s="16" t="e">
        <f t="shared" si="692"/>
        <v>#N/A</v>
      </c>
      <c r="CK2966" s="16" t="str">
        <f t="shared" si="693"/>
        <v/>
      </c>
    </row>
    <row r="2967" spans="73:89" ht="12" customHeight="1">
      <c r="BU2967" s="16">
        <f t="shared" si="694"/>
        <v>0</v>
      </c>
      <c r="BV2967" s="16">
        <f>IF($BY$12=1,NORMDIST(BY2967,$Y$6,$Y$8,TRUE),IF($BY$12=2,IF(BY2967&lt;=$BX$31,0,IF(BY2967&gt;=$BX$32,1,(BY2967-$BX$31)*$BX$33)),SUM($BU$42:BU2967)/$BV$40))</f>
        <v>1</v>
      </c>
      <c r="BW2967" s="16">
        <f t="shared" si="696"/>
        <v>6.9497406040639645E-32</v>
      </c>
      <c r="BY2967" s="16">
        <f t="shared" si="697"/>
        <v>292.49999999999801</v>
      </c>
      <c r="BZ2967" s="16">
        <f t="shared" si="688"/>
        <v>2.3759796936970982E-34</v>
      </c>
      <c r="CA2967" s="16">
        <f t="shared" si="695"/>
        <v>-999</v>
      </c>
      <c r="CE2967" s="16" t="e">
        <f t="shared" si="689"/>
        <v>#N/A</v>
      </c>
      <c r="CF2967" s="16">
        <f t="shared" si="690"/>
        <v>99</v>
      </c>
      <c r="CG2967" s="16">
        <f t="shared" si="691"/>
        <v>0</v>
      </c>
      <c r="CH2967" s="16">
        <f t="shared" si="698"/>
        <v>0</v>
      </c>
      <c r="CJ2967" s="16" t="e">
        <f t="shared" si="692"/>
        <v>#N/A</v>
      </c>
      <c r="CK2967" s="16" t="str">
        <f t="shared" si="693"/>
        <v/>
      </c>
    </row>
    <row r="2968" spans="73:89" ht="12" customHeight="1">
      <c r="BU2968" s="16">
        <f t="shared" si="694"/>
        <v>0</v>
      </c>
      <c r="BV2968" s="16">
        <f>IF($BY$12=1,NORMDIST(BY2968,$Y$6,$Y$8,TRUE),IF($BY$12=2,IF(BY2968&lt;=$BX$31,0,IF(BY2968&gt;=$BX$32,1,(BY2968-$BX$31)*$BX$33)),SUM($BU$42:BU2968)/$BV$40))</f>
        <v>1</v>
      </c>
      <c r="BW2968" s="16">
        <f t="shared" si="696"/>
        <v>6.5430842858357977E-32</v>
      </c>
      <c r="BY2968" s="16">
        <f t="shared" si="697"/>
        <v>292.59999999999803</v>
      </c>
      <c r="BZ2968" s="16">
        <f t="shared" si="688"/>
        <v>2.2361873840860704E-34</v>
      </c>
      <c r="CA2968" s="16">
        <f t="shared" si="695"/>
        <v>-999</v>
      </c>
      <c r="CE2968" s="16" t="e">
        <f t="shared" si="689"/>
        <v>#N/A</v>
      </c>
      <c r="CF2968" s="16">
        <f t="shared" si="690"/>
        <v>99</v>
      </c>
      <c r="CG2968" s="16">
        <f t="shared" si="691"/>
        <v>0</v>
      </c>
      <c r="CH2968" s="16">
        <f t="shared" si="698"/>
        <v>0</v>
      </c>
      <c r="CJ2968" s="16" t="e">
        <f t="shared" si="692"/>
        <v>#N/A</v>
      </c>
      <c r="CK2968" s="16" t="str">
        <f t="shared" si="693"/>
        <v/>
      </c>
    </row>
    <row r="2969" spans="73:89" ht="12" customHeight="1">
      <c r="BU2969" s="16">
        <f t="shared" si="694"/>
        <v>0</v>
      </c>
      <c r="BV2969" s="16">
        <f>IF($BY$12=1,NORMDIST(BY2969,$Y$6,$Y$8,TRUE),IF($BY$12=2,IF(BY2969&lt;=$BX$31,0,IF(BY2969&gt;=$BX$32,1,(BY2969-$BX$31)*$BX$33)),SUM($BU$42:BU2969)/$BV$40))</f>
        <v>1</v>
      </c>
      <c r="BW2969" s="16">
        <f t="shared" si="696"/>
        <v>6.1600682852374435E-32</v>
      </c>
      <c r="BY2969" s="16">
        <f t="shared" si="697"/>
        <v>292.69999999999806</v>
      </c>
      <c r="BZ2969" s="16">
        <f t="shared" si="688"/>
        <v>2.1045672310343301E-34</v>
      </c>
      <c r="CA2969" s="16">
        <f t="shared" si="695"/>
        <v>-999</v>
      </c>
      <c r="CE2969" s="16" t="e">
        <f t="shared" si="689"/>
        <v>#N/A</v>
      </c>
      <c r="CF2969" s="16">
        <f t="shared" si="690"/>
        <v>99</v>
      </c>
      <c r="CG2969" s="16">
        <f t="shared" si="691"/>
        <v>0</v>
      </c>
      <c r="CH2969" s="16">
        <f t="shared" si="698"/>
        <v>0</v>
      </c>
      <c r="CJ2969" s="16" t="e">
        <f t="shared" si="692"/>
        <v>#N/A</v>
      </c>
      <c r="CK2969" s="16" t="str">
        <f t="shared" si="693"/>
        <v/>
      </c>
    </row>
    <row r="2970" spans="73:89" ht="12" customHeight="1">
      <c r="BU2970" s="16">
        <f t="shared" si="694"/>
        <v>0</v>
      </c>
      <c r="BV2970" s="16">
        <f>IF($BY$12=1,NORMDIST(BY2970,$Y$6,$Y$8,TRUE),IF($BY$12=2,IF(BY2970&lt;=$BX$31,0,IF(BY2970&gt;=$BX$32,1,(BY2970-$BX$31)*$BX$33)),SUM($BU$42:BU2970)/$BV$40))</f>
        <v>1</v>
      </c>
      <c r="BW2970" s="16">
        <f t="shared" si="696"/>
        <v>5.7993274338014394E-32</v>
      </c>
      <c r="BY2970" s="16">
        <f t="shared" si="697"/>
        <v>292.79999999999808</v>
      </c>
      <c r="BZ2970" s="16">
        <f t="shared" si="688"/>
        <v>1.9806446153693571E-34</v>
      </c>
      <c r="CA2970" s="16">
        <f t="shared" si="695"/>
        <v>-999</v>
      </c>
      <c r="CE2970" s="16" t="e">
        <f t="shared" si="689"/>
        <v>#N/A</v>
      </c>
      <c r="CF2970" s="16">
        <f t="shared" si="690"/>
        <v>99</v>
      </c>
      <c r="CG2970" s="16">
        <f t="shared" si="691"/>
        <v>0</v>
      </c>
      <c r="CH2970" s="16">
        <f t="shared" si="698"/>
        <v>0</v>
      </c>
      <c r="CJ2970" s="16" t="e">
        <f t="shared" si="692"/>
        <v>#N/A</v>
      </c>
      <c r="CK2970" s="16" t="str">
        <f t="shared" si="693"/>
        <v/>
      </c>
    </row>
    <row r="2971" spans="73:89" ht="12" customHeight="1">
      <c r="BU2971" s="16">
        <f t="shared" si="694"/>
        <v>0</v>
      </c>
      <c r="BV2971" s="16">
        <f>IF($BY$12=1,NORMDIST(BY2971,$Y$6,$Y$8,TRUE),IF($BY$12=2,IF(BY2971&lt;=$BX$31,0,IF(BY2971&gt;=$BX$32,1,(BY2971-$BX$31)*$BX$33)),SUM($BU$42:BU2971)/$BV$40))</f>
        <v>1</v>
      </c>
      <c r="BW2971" s="16">
        <f t="shared" si="696"/>
        <v>5.4595748634355865E-32</v>
      </c>
      <c r="BY2971" s="16">
        <f t="shared" si="697"/>
        <v>292.8999999999981</v>
      </c>
      <c r="BZ2971" s="16">
        <f t="shared" si="688"/>
        <v>1.8639722988854974E-34</v>
      </c>
      <c r="CA2971" s="16">
        <f t="shared" si="695"/>
        <v>-999</v>
      </c>
      <c r="CE2971" s="16" t="e">
        <f t="shared" si="689"/>
        <v>#N/A</v>
      </c>
      <c r="CF2971" s="16">
        <f t="shared" si="690"/>
        <v>99</v>
      </c>
      <c r="CG2971" s="16">
        <f t="shared" si="691"/>
        <v>0</v>
      </c>
      <c r="CH2971" s="16">
        <f t="shared" si="698"/>
        <v>0</v>
      </c>
      <c r="CJ2971" s="16" t="e">
        <f t="shared" si="692"/>
        <v>#N/A</v>
      </c>
      <c r="CK2971" s="16" t="str">
        <f t="shared" si="693"/>
        <v/>
      </c>
    </row>
    <row r="2972" spans="73:89" ht="12" customHeight="1">
      <c r="BU2972" s="16">
        <f t="shared" si="694"/>
        <v>0</v>
      </c>
      <c r="BV2972" s="16">
        <f>IF($BY$12=1,NORMDIST(BY2972,$Y$6,$Y$8,TRUE),IF($BY$12=2,IF(BY2972&lt;=$BX$31,0,IF(BY2972&gt;=$BX$32,1,(BY2972-$BX$31)*$BX$33)),SUM($BU$42:BU2972)/$BV$40))</f>
        <v>1</v>
      </c>
      <c r="BW2972" s="16">
        <f t="shared" si="696"/>
        <v>5.1395975465704121E-32</v>
      </c>
      <c r="BY2972" s="16">
        <f t="shared" si="697"/>
        <v>292.99999999999812</v>
      </c>
      <c r="BZ2972" s="16">
        <f t="shared" si="688"/>
        <v>1.7541288554847937E-34</v>
      </c>
      <c r="CA2972" s="16">
        <f t="shared" si="695"/>
        <v>-999</v>
      </c>
      <c r="CE2972" s="16" t="e">
        <f t="shared" si="689"/>
        <v>#N/A</v>
      </c>
      <c r="CF2972" s="16">
        <f t="shared" si="690"/>
        <v>99</v>
      </c>
      <c r="CG2972" s="16">
        <f t="shared" si="691"/>
        <v>0</v>
      </c>
      <c r="CH2972" s="16">
        <f t="shared" si="698"/>
        <v>0</v>
      </c>
      <c r="CJ2972" s="16" t="e">
        <f t="shared" si="692"/>
        <v>#N/A</v>
      </c>
      <c r="CK2972" s="16" t="str">
        <f t="shared" si="693"/>
        <v/>
      </c>
    </row>
    <row r="2973" spans="73:89" ht="12" customHeight="1">
      <c r="BU2973" s="16">
        <f t="shared" si="694"/>
        <v>0</v>
      </c>
      <c r="BV2973" s="16">
        <f>IF($BY$12=1,NORMDIST(BY2973,$Y$6,$Y$8,TRUE),IF($BY$12=2,IF(BY2973&lt;=$BX$31,0,IF(BY2973&gt;=$BX$32,1,(BY2973-$BX$31)*$BX$33)),SUM($BU$42:BU2973)/$BV$40))</f>
        <v>1</v>
      </c>
      <c r="BW2973" s="16">
        <f t="shared" si="696"/>
        <v>4.8382520885299603E-32</v>
      </c>
      <c r="BY2973" s="16">
        <f t="shared" si="697"/>
        <v>293.09999999999815</v>
      </c>
      <c r="BZ2973" s="16">
        <f t="shared" si="688"/>
        <v>1.6507171915830743E-34</v>
      </c>
      <c r="CA2973" s="16">
        <f t="shared" si="695"/>
        <v>-999</v>
      </c>
      <c r="CE2973" s="16" t="e">
        <f t="shared" si="689"/>
        <v>#N/A</v>
      </c>
      <c r="CF2973" s="16">
        <f t="shared" si="690"/>
        <v>99</v>
      </c>
      <c r="CG2973" s="16">
        <f t="shared" si="691"/>
        <v>0</v>
      </c>
      <c r="CH2973" s="16">
        <f t="shared" si="698"/>
        <v>0</v>
      </c>
      <c r="CJ2973" s="16" t="e">
        <f t="shared" si="692"/>
        <v>#N/A</v>
      </c>
      <c r="CK2973" s="16" t="str">
        <f t="shared" si="693"/>
        <v/>
      </c>
    </row>
    <row r="2974" spans="73:89" ht="12" customHeight="1">
      <c r="BU2974" s="16">
        <f t="shared" si="694"/>
        <v>0</v>
      </c>
      <c r="BV2974" s="16">
        <f>IF($BY$12=1,NORMDIST(BY2974,$Y$6,$Y$8,TRUE),IF($BY$12=2,IF(BY2974&lt;=$BX$31,0,IF(BY2974&gt;=$BX$32,1,(BY2974-$BX$31)*$BX$33)),SUM($BU$42:BU2974)/$BV$40))</f>
        <v>1</v>
      </c>
      <c r="BW2974" s="16">
        <f t="shared" si="696"/>
        <v>4.5544607579670287E-32</v>
      </c>
      <c r="BY2974" s="16">
        <f t="shared" si="697"/>
        <v>293.19999999999817</v>
      </c>
      <c r="BZ2974" s="16">
        <f t="shared" si="688"/>
        <v>1.5533631507391055E-34</v>
      </c>
      <c r="CA2974" s="16">
        <f t="shared" si="695"/>
        <v>-999</v>
      </c>
      <c r="CE2974" s="16" t="e">
        <f t="shared" si="689"/>
        <v>#N/A</v>
      </c>
      <c r="CF2974" s="16">
        <f t="shared" si="690"/>
        <v>99</v>
      </c>
      <c r="CG2974" s="16">
        <f t="shared" si="691"/>
        <v>0</v>
      </c>
      <c r="CH2974" s="16">
        <f t="shared" si="698"/>
        <v>0</v>
      </c>
      <c r="CJ2974" s="16" t="e">
        <f t="shared" si="692"/>
        <v>#N/A</v>
      </c>
      <c r="CK2974" s="16" t="str">
        <f t="shared" si="693"/>
        <v/>
      </c>
    </row>
    <row r="2975" spans="73:89" ht="12" customHeight="1">
      <c r="BU2975" s="16">
        <f t="shared" si="694"/>
        <v>0</v>
      </c>
      <c r="BV2975" s="16">
        <f>IF($BY$12=1,NORMDIST(BY2975,$Y$6,$Y$8,TRUE),IF($BY$12=2,IF(BY2975&lt;=$BX$31,0,IF(BY2975&gt;=$BX$32,1,(BY2975-$BX$31)*$BX$33)),SUM($BU$42:BU2975)/$BV$40))</f>
        <v>1</v>
      </c>
      <c r="BW2975" s="16">
        <f t="shared" si="696"/>
        <v>4.2872077419904788E-32</v>
      </c>
      <c r="BY2975" s="16">
        <f t="shared" si="697"/>
        <v>293.29999999999819</v>
      </c>
      <c r="BZ2975" s="16">
        <f t="shared" si="688"/>
        <v>1.461714197746507E-34</v>
      </c>
      <c r="CA2975" s="16">
        <f t="shared" si="695"/>
        <v>-999</v>
      </c>
      <c r="CE2975" s="16" t="e">
        <f t="shared" si="689"/>
        <v>#N/A</v>
      </c>
      <c r="CF2975" s="16">
        <f t="shared" si="690"/>
        <v>99</v>
      </c>
      <c r="CG2975" s="16">
        <f t="shared" si="691"/>
        <v>0</v>
      </c>
      <c r="CH2975" s="16">
        <f t="shared" si="698"/>
        <v>0</v>
      </c>
      <c r="CJ2975" s="16" t="e">
        <f t="shared" si="692"/>
        <v>#N/A</v>
      </c>
      <c r="CK2975" s="16" t="str">
        <f t="shared" si="693"/>
        <v/>
      </c>
    </row>
    <row r="2976" spans="73:89" ht="12" customHeight="1">
      <c r="BU2976" s="16">
        <f t="shared" si="694"/>
        <v>0</v>
      </c>
      <c r="BV2976" s="16">
        <f>IF($BY$12=1,NORMDIST(BY2976,$Y$6,$Y$8,TRUE),IF($BY$12=2,IF(BY2976&lt;=$BX$31,0,IF(BY2976&gt;=$BX$32,1,(BY2976-$BX$31)*$BX$33)),SUM($BU$42:BU2976)/$BV$40))</f>
        <v>1</v>
      </c>
      <c r="BW2976" s="16">
        <f t="shared" si="696"/>
        <v>4.0355356133577787E-32</v>
      </c>
      <c r="BY2976" s="16">
        <f t="shared" si="697"/>
        <v>293.39999999999822</v>
      </c>
      <c r="BZ2976" s="16">
        <f t="shared" si="688"/>
        <v>1.3754381776952295E-34</v>
      </c>
      <c r="CA2976" s="16">
        <f t="shared" si="695"/>
        <v>-999</v>
      </c>
      <c r="CE2976" s="16" t="e">
        <f t="shared" si="689"/>
        <v>#N/A</v>
      </c>
      <c r="CF2976" s="16">
        <f t="shared" si="690"/>
        <v>99</v>
      </c>
      <c r="CG2976" s="16">
        <f t="shared" si="691"/>
        <v>0</v>
      </c>
      <c r="CH2976" s="16">
        <f t="shared" si="698"/>
        <v>0</v>
      </c>
      <c r="CJ2976" s="16" t="e">
        <f t="shared" si="692"/>
        <v>#N/A</v>
      </c>
      <c r="CK2976" s="16" t="str">
        <f t="shared" si="693"/>
        <v/>
      </c>
    </row>
    <row r="2977" spans="73:89" ht="12" customHeight="1">
      <c r="BU2977" s="16">
        <f t="shared" si="694"/>
        <v>0</v>
      </c>
      <c r="BV2977" s="16">
        <f>IF($BY$12=1,NORMDIST(BY2977,$Y$6,$Y$8,TRUE),IF($BY$12=2,IF(BY2977&lt;=$BX$31,0,IF(BY2977&gt;=$BX$32,1,(BY2977-$BX$31)*$BX$33)),SUM($BU$42:BU2977)/$BV$40))</f>
        <v>1</v>
      </c>
      <c r="BW2977" s="16">
        <f t="shared" si="696"/>
        <v>3.7985419978113851E-32</v>
      </c>
      <c r="BY2977" s="16">
        <f t="shared" si="697"/>
        <v>293.49999999999824</v>
      </c>
      <c r="BZ2977" s="16">
        <f t="shared" si="688"/>
        <v>1.2942221457619788E-34</v>
      </c>
      <c r="CA2977" s="16">
        <f t="shared" si="695"/>
        <v>-999</v>
      </c>
      <c r="CE2977" s="16" t="e">
        <f t="shared" si="689"/>
        <v>#N/A</v>
      </c>
      <c r="CF2977" s="16">
        <f t="shared" si="690"/>
        <v>99</v>
      </c>
      <c r="CG2977" s="16">
        <f t="shared" si="691"/>
        <v>0</v>
      </c>
      <c r="CH2977" s="16">
        <f t="shared" si="698"/>
        <v>0</v>
      </c>
      <c r="CJ2977" s="16" t="e">
        <f t="shared" si="692"/>
        <v>#N/A</v>
      </c>
      <c r="CK2977" s="16" t="str">
        <f t="shared" si="693"/>
        <v/>
      </c>
    </row>
    <row r="2978" spans="73:89" ht="12" customHeight="1">
      <c r="BU2978" s="16">
        <f t="shared" si="694"/>
        <v>0</v>
      </c>
      <c r="BV2978" s="16">
        <f>IF($BY$12=1,NORMDIST(BY2978,$Y$6,$Y$8,TRUE),IF($BY$12=2,IF(BY2978&lt;=$BX$31,0,IF(BY2978&gt;=$BX$32,1,(BY2978-$BX$31)*$BX$33)),SUM($BU$42:BU2978)/$BV$40))</f>
        <v>1</v>
      </c>
      <c r="BW2978" s="16">
        <f t="shared" si="696"/>
        <v>3.575376430302063E-32</v>
      </c>
      <c r="BY2978" s="16">
        <f t="shared" si="697"/>
        <v>293.59999999999826</v>
      </c>
      <c r="BZ2978" s="16">
        <f t="shared" si="688"/>
        <v>1.217771263726868E-34</v>
      </c>
      <c r="CA2978" s="16">
        <f t="shared" si="695"/>
        <v>-999</v>
      </c>
      <c r="CE2978" s="16" t="e">
        <f t="shared" si="689"/>
        <v>#N/A</v>
      </c>
      <c r="CF2978" s="16">
        <f t="shared" si="690"/>
        <v>99</v>
      </c>
      <c r="CG2978" s="16">
        <f t="shared" si="691"/>
        <v>0</v>
      </c>
      <c r="CH2978" s="16">
        <f t="shared" si="698"/>
        <v>0</v>
      </c>
      <c r="CJ2978" s="16" t="e">
        <f t="shared" si="692"/>
        <v>#N/A</v>
      </c>
      <c r="CK2978" s="16" t="str">
        <f t="shared" si="693"/>
        <v/>
      </c>
    </row>
    <row r="2979" spans="73:89" ht="12" customHeight="1">
      <c r="BU2979" s="16">
        <f t="shared" si="694"/>
        <v>0</v>
      </c>
      <c r="BV2979" s="16">
        <f>IF($BY$12=1,NORMDIST(BY2979,$Y$6,$Y$8,TRUE),IF($BY$12=2,IF(BY2979&lt;=$BX$31,0,IF(BY2979&gt;=$BX$32,1,(BY2979-$BX$31)*$BX$33)),SUM($BU$42:BU2979)/$BV$40))</f>
        <v>1</v>
      </c>
      <c r="BW2979" s="16">
        <f t="shared" si="696"/>
        <v>3.3652373894705725E-32</v>
      </c>
      <c r="BY2979" s="16">
        <f t="shared" si="697"/>
        <v>293.69999999999828</v>
      </c>
      <c r="BZ2979" s="16">
        <f t="shared" si="688"/>
        <v>1.1458077594384039E-34</v>
      </c>
      <c r="CA2979" s="16">
        <f t="shared" si="695"/>
        <v>-999</v>
      </c>
      <c r="CE2979" s="16" t="e">
        <f t="shared" si="689"/>
        <v>#N/A</v>
      </c>
      <c r="CF2979" s="16">
        <f t="shared" si="690"/>
        <v>99</v>
      </c>
      <c r="CG2979" s="16">
        <f t="shared" si="691"/>
        <v>0</v>
      </c>
      <c r="CH2979" s="16">
        <f t="shared" si="698"/>
        <v>0</v>
      </c>
      <c r="CJ2979" s="16" t="e">
        <f t="shared" si="692"/>
        <v>#N/A</v>
      </c>
      <c r="CK2979" s="16" t="str">
        <f t="shared" si="693"/>
        <v/>
      </c>
    </row>
    <row r="2980" spans="73:89" ht="12" customHeight="1">
      <c r="BU2980" s="16">
        <f t="shared" si="694"/>
        <v>0</v>
      </c>
      <c r="BV2980" s="16">
        <f>IF($BY$12=1,NORMDIST(BY2980,$Y$6,$Y$8,TRUE),IF($BY$12=2,IF(BY2980&lt;=$BX$31,0,IF(BY2980&gt;=$BX$32,1,(BY2980-$BX$31)*$BX$33)),SUM($BU$42:BU2980)/$BV$40))</f>
        <v>1</v>
      </c>
      <c r="BW2980" s="16">
        <f t="shared" si="696"/>
        <v>3.1673695003530664E-32</v>
      </c>
      <c r="BY2980" s="16">
        <f t="shared" si="697"/>
        <v>293.79999999999831</v>
      </c>
      <c r="BZ2980" s="16">
        <f t="shared" si="688"/>
        <v>1.0780699456613631E-34</v>
      </c>
      <c r="CA2980" s="16">
        <f t="shared" si="695"/>
        <v>-999</v>
      </c>
      <c r="CE2980" s="16" t="e">
        <f t="shared" si="689"/>
        <v>#N/A</v>
      </c>
      <c r="CF2980" s="16">
        <f t="shared" si="690"/>
        <v>99</v>
      </c>
      <c r="CG2980" s="16">
        <f t="shared" si="691"/>
        <v>0</v>
      </c>
      <c r="CH2980" s="16">
        <f t="shared" si="698"/>
        <v>0</v>
      </c>
      <c r="CJ2980" s="16" t="e">
        <f t="shared" si="692"/>
        <v>#N/A</v>
      </c>
      <c r="CK2980" s="16" t="str">
        <f t="shared" si="693"/>
        <v/>
      </c>
    </row>
    <row r="2981" spans="73:89" ht="12" customHeight="1">
      <c r="BU2981" s="16">
        <f t="shared" si="694"/>
        <v>0</v>
      </c>
      <c r="BV2981" s="16">
        <f>IF($BY$12=1,NORMDIST(BY2981,$Y$6,$Y$8,TRUE),IF($BY$12=2,IF(BY2981&lt;=$BX$31,0,IF(BY2981&gt;=$BX$32,1,(BY2981-$BX$31)*$BX$33)),SUM($BU$42:BU2981)/$BV$40))</f>
        <v>1</v>
      </c>
      <c r="BW2981" s="16">
        <f t="shared" si="696"/>
        <v>2.9810608958363882E-32</v>
      </c>
      <c r="BY2981" s="16">
        <f t="shared" si="697"/>
        <v>293.89999999999833</v>
      </c>
      <c r="BZ2981" s="16">
        <f t="shared" si="688"/>
        <v>1.0143112949426354E-34</v>
      </c>
      <c r="CA2981" s="16">
        <f t="shared" si="695"/>
        <v>-999</v>
      </c>
      <c r="CE2981" s="16" t="e">
        <f t="shared" si="689"/>
        <v>#N/A</v>
      </c>
      <c r="CF2981" s="16">
        <f t="shared" si="690"/>
        <v>99</v>
      </c>
      <c r="CG2981" s="16">
        <f t="shared" si="691"/>
        <v>0</v>
      </c>
      <c r="CH2981" s="16">
        <f t="shared" si="698"/>
        <v>0</v>
      </c>
      <c r="CJ2981" s="16" t="e">
        <f t="shared" si="692"/>
        <v>#N/A</v>
      </c>
      <c r="CK2981" s="16" t="str">
        <f t="shared" si="693"/>
        <v/>
      </c>
    </row>
    <row r="2982" spans="73:89" ht="12" customHeight="1">
      <c r="BU2982" s="16">
        <f t="shared" si="694"/>
        <v>0</v>
      </c>
      <c r="BV2982" s="16">
        <f>IF($BY$12=1,NORMDIST(BY2982,$Y$6,$Y$8,TRUE),IF($BY$12=2,IF(BY2982&lt;=$BX$31,0,IF(BY2982&gt;=$BX$32,1,(BY2982-$BX$31)*$BX$33)),SUM($BU$42:BU2982)/$BV$40))</f>
        <v>1</v>
      </c>
      <c r="BW2982" s="16">
        <f t="shared" si="696"/>
        <v>2.8056407279188949E-32</v>
      </c>
      <c r="BY2982" s="16">
        <f t="shared" si="697"/>
        <v>293.99999999999835</v>
      </c>
      <c r="BZ2982" s="16">
        <f t="shared" si="688"/>
        <v>9.5429956731935745E-35</v>
      </c>
      <c r="CA2982" s="16">
        <f t="shared" si="695"/>
        <v>-999</v>
      </c>
      <c r="CE2982" s="16" t="e">
        <f t="shared" si="689"/>
        <v>#N/A</v>
      </c>
      <c r="CF2982" s="16">
        <f t="shared" si="690"/>
        <v>99</v>
      </c>
      <c r="CG2982" s="16">
        <f t="shared" si="691"/>
        <v>0</v>
      </c>
      <c r="CH2982" s="16">
        <f t="shared" si="698"/>
        <v>0</v>
      </c>
      <c r="CJ2982" s="16" t="e">
        <f t="shared" si="692"/>
        <v>#N/A</v>
      </c>
      <c r="CK2982" s="16" t="str">
        <f t="shared" si="693"/>
        <v/>
      </c>
    </row>
    <row r="2983" spans="73:89" ht="12" customHeight="1">
      <c r="BU2983" s="16">
        <f t="shared" si="694"/>
        <v>0</v>
      </c>
      <c r="BV2983" s="16">
        <f>IF($BY$12=1,NORMDIST(BY2983,$Y$6,$Y$8,TRUE),IF($BY$12=2,IF(BY2983&lt;=$BX$31,0,IF(BY2983&gt;=$BX$32,1,(BY2983-$BX$31)*$BX$33)),SUM($BU$42:BU2983)/$BV$40))</f>
        <v>1</v>
      </c>
      <c r="BW2983" s="16">
        <f t="shared" si="696"/>
        <v>2.6404768203322294E-32</v>
      </c>
      <c r="BY2983" s="16">
        <f t="shared" si="697"/>
        <v>294.09999999999837</v>
      </c>
      <c r="BZ2983" s="16">
        <f t="shared" si="688"/>
        <v>8.9781598787223526E-35</v>
      </c>
      <c r="CA2983" s="16">
        <f t="shared" si="695"/>
        <v>-999</v>
      </c>
      <c r="CE2983" s="16" t="e">
        <f t="shared" si="689"/>
        <v>#N/A</v>
      </c>
      <c r="CF2983" s="16">
        <f t="shared" si="690"/>
        <v>99</v>
      </c>
      <c r="CG2983" s="16">
        <f t="shared" si="691"/>
        <v>0</v>
      </c>
      <c r="CH2983" s="16">
        <f t="shared" si="698"/>
        <v>0</v>
      </c>
      <c r="CJ2983" s="16" t="e">
        <f t="shared" si="692"/>
        <v>#N/A</v>
      </c>
      <c r="CK2983" s="16" t="str">
        <f t="shared" si="693"/>
        <v/>
      </c>
    </row>
    <row r="2984" spans="73:89" ht="12" customHeight="1">
      <c r="BU2984" s="16">
        <f t="shared" si="694"/>
        <v>0</v>
      </c>
      <c r="BV2984" s="16">
        <f>IF($BY$12=1,NORMDIST(BY2984,$Y$6,$Y$8,TRUE),IF($BY$12=2,IF(BY2984&lt;=$BX$31,0,IF(BY2984&gt;=$BX$32,1,(BY2984-$BX$31)*$BX$33)),SUM($BU$42:BU2984)/$BV$40))</f>
        <v>1</v>
      </c>
      <c r="BW2984" s="16">
        <f t="shared" si="696"/>
        <v>2.4849734545530134E-32</v>
      </c>
      <c r="BY2984" s="16">
        <f t="shared" si="697"/>
        <v>294.1999999999984</v>
      </c>
      <c r="BZ2984" s="16">
        <f t="shared" si="688"/>
        <v>8.4465447129606632E-35</v>
      </c>
      <c r="CA2984" s="16">
        <f t="shared" si="695"/>
        <v>-999</v>
      </c>
      <c r="CE2984" s="16" t="e">
        <f t="shared" si="689"/>
        <v>#N/A</v>
      </c>
      <c r="CF2984" s="16">
        <f t="shared" si="690"/>
        <v>99</v>
      </c>
      <c r="CG2984" s="16">
        <f t="shared" si="691"/>
        <v>0</v>
      </c>
      <c r="CH2984" s="16">
        <f t="shared" si="698"/>
        <v>0</v>
      </c>
      <c r="CJ2984" s="16" t="e">
        <f t="shared" si="692"/>
        <v>#N/A</v>
      </c>
      <c r="CK2984" s="16" t="str">
        <f t="shared" si="693"/>
        <v/>
      </c>
    </row>
    <row r="2985" spans="73:89" ht="12" customHeight="1">
      <c r="BU2985" s="16">
        <f t="shared" si="694"/>
        <v>0</v>
      </c>
      <c r="BV2985" s="16">
        <f>IF($BY$12=1,NORMDIST(BY2985,$Y$6,$Y$8,TRUE),IF($BY$12=2,IF(BY2985&lt;=$BX$31,0,IF(BY2985&gt;=$BX$32,1,(BY2985-$BX$31)*$BX$33)),SUM($BU$42:BU2985)/$BV$40))</f>
        <v>1</v>
      </c>
      <c r="BW2985" s="16">
        <f t="shared" si="696"/>
        <v>2.3385692816783943E-32</v>
      </c>
      <c r="BY2985" s="16">
        <f t="shared" si="697"/>
        <v>294.29999999999842</v>
      </c>
      <c r="BZ2985" s="16">
        <f t="shared" si="688"/>
        <v>7.94620890818351E-35</v>
      </c>
      <c r="CA2985" s="16">
        <f t="shared" si="695"/>
        <v>-999</v>
      </c>
      <c r="CE2985" s="16" t="e">
        <f t="shared" si="689"/>
        <v>#N/A</v>
      </c>
      <c r="CF2985" s="16">
        <f t="shared" si="690"/>
        <v>99</v>
      </c>
      <c r="CG2985" s="16">
        <f t="shared" si="691"/>
        <v>0</v>
      </c>
      <c r="CH2985" s="16">
        <f t="shared" si="698"/>
        <v>0</v>
      </c>
      <c r="CJ2985" s="16" t="e">
        <f t="shared" si="692"/>
        <v>#N/A</v>
      </c>
      <c r="CK2985" s="16" t="str">
        <f t="shared" si="693"/>
        <v/>
      </c>
    </row>
    <row r="2986" spans="73:89" ht="12" customHeight="1">
      <c r="BU2986" s="16">
        <f t="shared" si="694"/>
        <v>0</v>
      </c>
      <c r="BV2986" s="16">
        <f>IF($BY$12=1,NORMDIST(BY2986,$Y$6,$Y$8,TRUE),IF($BY$12=2,IF(BY2986&lt;=$BX$31,0,IF(BY2986&gt;=$BX$32,1,(BY2986-$BX$31)*$BX$33)),SUM($BU$42:BU2986)/$BV$40))</f>
        <v>1</v>
      </c>
      <c r="BW2986" s="16">
        <f t="shared" si="696"/>
        <v>2.2007353530618579E-32</v>
      </c>
      <c r="BY2986" s="16">
        <f t="shared" si="697"/>
        <v>294.39999999999844</v>
      </c>
      <c r="BZ2986" s="16">
        <f t="shared" ref="BZ2986:BZ3049" si="699">IF($BZ$5,IF($BY$12=1,NORMDIST(BY2986,$Y$6,$Y$8,FALSE),IF($BY$12=2,IF(AND(BY2986&gt;=$BX$31,BY2986&lt;=$BX$32),$BX$33,0),IF(BY2986&lt;=$BX$13,0,NORMDIST(LN((BY2986-$BX$13)/$BX$12),0,$BW$8,FALSE)/((BY2986-$BX$13)/$BX$12)))),-999)</f>
        <v>7.4753238894764586E-35</v>
      </c>
      <c r="CA2986" s="16">
        <f t="shared" si="695"/>
        <v>-999</v>
      </c>
      <c r="CE2986" s="16" t="e">
        <f t="shared" ref="CE2986:CE3049" si="700">IF(AND($CB$7,$CD$2,$CD$1),26+$P$23/2-CC2986*$P$23,NA())</f>
        <v>#N/A</v>
      </c>
      <c r="CF2986" s="16">
        <f t="shared" ref="CF2986:CF3049" si="701">IF(ISNA(CJ2986),99,CJ2986)</f>
        <v>99</v>
      </c>
      <c r="CG2986" s="16">
        <f t="shared" ref="CG2986:CG3049" si="702">IF(ISNA(CJ2986),0,CJ2986)</f>
        <v>0</v>
      </c>
      <c r="CH2986" s="16">
        <f t="shared" si="698"/>
        <v>0</v>
      </c>
      <c r="CJ2986" s="16" t="e">
        <f t="shared" ref="CJ2986:CJ3049" si="703">IF(CH2986=1,CE2986,NA())</f>
        <v>#N/A</v>
      </c>
      <c r="CK2986" s="16" t="str">
        <f t="shared" ref="CK2986:CK3049" si="704">IF(CH2986=1,M2885,"")</f>
        <v/>
      </c>
    </row>
    <row r="2987" spans="73:89" ht="12" customHeight="1">
      <c r="BU2987" s="16">
        <f t="shared" ref="BU2987:BU3050" si="705">IF($BY$12&lt;3,0,IF(BY2987&lt;=$BX$13,0,NORMDIST(LN((BY2987-$BX$13)/$BX$12),0,$BW$8,FALSE)/((BY2987-$BX$13)/$BX$12)))</f>
        <v>0</v>
      </c>
      <c r="BV2987" s="16">
        <f>IF($BY$12=1,NORMDIST(BY2987,$Y$6,$Y$8,TRUE),IF($BY$12=2,IF(BY2987&lt;=$BX$31,0,IF(BY2987&gt;=$BX$32,1,(BY2987-$BX$31)*$BX$33)),SUM($BU$42:BU2987)/$BV$40))</f>
        <v>1</v>
      </c>
      <c r="BW2987" s="16">
        <f t="shared" si="696"/>
        <v>2.0709732630032639E-32</v>
      </c>
      <c r="BY2987" s="16">
        <f t="shared" si="697"/>
        <v>294.49999999999847</v>
      </c>
      <c r="BZ2987" s="16">
        <f t="shared" si="699"/>
        <v>7.0321672767513568E-35</v>
      </c>
      <c r="CA2987" s="16">
        <f t="shared" ref="CA2987:CA3050" si="706">IF(AND($CD$1,$CD$3),26-$CD$40*NORMDIST(BY2987,$Y$6,$Y$8/SQRT($T$18),FALSE),-999)</f>
        <v>-999</v>
      </c>
      <c r="CE2987" s="16" t="e">
        <f t="shared" si="700"/>
        <v>#N/A</v>
      </c>
      <c r="CF2987" s="16">
        <f t="shared" si="701"/>
        <v>99</v>
      </c>
      <c r="CG2987" s="16">
        <f t="shared" si="702"/>
        <v>0</v>
      </c>
      <c r="CH2987" s="16">
        <f t="shared" si="698"/>
        <v>0</v>
      </c>
      <c r="CJ2987" s="16" t="e">
        <f t="shared" si="703"/>
        <v>#N/A</v>
      </c>
      <c r="CK2987" s="16" t="str">
        <f t="shared" si="704"/>
        <v/>
      </c>
    </row>
    <row r="2988" spans="73:89" ht="12" customHeight="1">
      <c r="BU2988" s="16">
        <f t="shared" si="705"/>
        <v>0</v>
      </c>
      <c r="BV2988" s="16">
        <f>IF($BY$12=1,NORMDIST(BY2988,$Y$6,$Y$8,TRUE),IF($BY$12=2,IF(BY2988&lt;=$BX$31,0,IF(BY2988&gt;=$BX$32,1,(BY2988-$BX$31)*$BX$33)),SUM($BU$42:BU2988)/$BV$40))</f>
        <v>1</v>
      </c>
      <c r="BW2988" s="16">
        <f t="shared" si="696"/>
        <v>1.9488133971628606E-32</v>
      </c>
      <c r="BY2988" s="16">
        <f t="shared" si="697"/>
        <v>294.59999999999849</v>
      </c>
      <c r="BZ2988" s="16">
        <f t="shared" si="699"/>
        <v>6.6151167588692148E-35</v>
      </c>
      <c r="CA2988" s="16">
        <f t="shared" si="706"/>
        <v>-999</v>
      </c>
      <c r="CE2988" s="16" t="e">
        <f t="shared" si="700"/>
        <v>#N/A</v>
      </c>
      <c r="CF2988" s="16">
        <f t="shared" si="701"/>
        <v>99</v>
      </c>
      <c r="CG2988" s="16">
        <f t="shared" si="702"/>
        <v>0</v>
      </c>
      <c r="CH2988" s="16">
        <f t="shared" si="698"/>
        <v>0</v>
      </c>
      <c r="CJ2988" s="16" t="e">
        <f t="shared" si="703"/>
        <v>#N/A</v>
      </c>
      <c r="CK2988" s="16" t="str">
        <f t="shared" si="704"/>
        <v/>
      </c>
    </row>
    <row r="2989" spans="73:89" ht="12" customHeight="1">
      <c r="BU2989" s="16">
        <f t="shared" si="705"/>
        <v>0</v>
      </c>
      <c r="BV2989" s="16">
        <f>IF($BY$12=1,NORMDIST(BY2989,$Y$6,$Y$8,TRUE),IF($BY$12=2,IF(BY2989&lt;=$BX$31,0,IF(BY2989&gt;=$BX$32,1,(BY2989-$BX$31)*$BX$33)),SUM($BU$42:BU2989)/$BV$40))</f>
        <v>1</v>
      </c>
      <c r="BW2989" s="16">
        <f t="shared" si="696"/>
        <v>1.8338132807242001E-32</v>
      </c>
      <c r="BY2989" s="16">
        <f t="shared" si="697"/>
        <v>294.69999999999851</v>
      </c>
      <c r="BZ2989" s="16">
        <f t="shared" si="699"/>
        <v>6.2226443187112639E-35</v>
      </c>
      <c r="CA2989" s="16">
        <f t="shared" si="706"/>
        <v>-999</v>
      </c>
      <c r="CE2989" s="16" t="e">
        <f t="shared" si="700"/>
        <v>#N/A</v>
      </c>
      <c r="CF2989" s="16">
        <f t="shared" si="701"/>
        <v>99</v>
      </c>
      <c r="CG2989" s="16">
        <f t="shared" si="702"/>
        <v>0</v>
      </c>
      <c r="CH2989" s="16">
        <f t="shared" si="698"/>
        <v>0</v>
      </c>
      <c r="CJ2989" s="16" t="e">
        <f t="shared" si="703"/>
        <v>#N/A</v>
      </c>
      <c r="CK2989" s="16" t="str">
        <f t="shared" si="704"/>
        <v/>
      </c>
    </row>
    <row r="2990" spans="73:89" ht="12" customHeight="1">
      <c r="BU2990" s="16">
        <f t="shared" si="705"/>
        <v>0</v>
      </c>
      <c r="BV2990" s="16">
        <f>IF($BY$12=1,NORMDIST(BY2990,$Y$6,$Y$8,TRUE),IF($BY$12=2,IF(BY2990&lt;=$BX$31,0,IF(BY2990&gt;=$BX$32,1,(BY2990-$BX$31)*$BX$33)),SUM($BU$42:BU2990)/$BV$40))</f>
        <v>1</v>
      </c>
      <c r="BW2990" s="16">
        <f t="shared" si="696"/>
        <v>1.7255560206661664E-32</v>
      </c>
      <c r="BY2990" s="16">
        <f t="shared" si="697"/>
        <v>294.79999999999853</v>
      </c>
      <c r="BZ2990" s="16">
        <f t="shared" si="699"/>
        <v>5.8533107892339726E-35</v>
      </c>
      <c r="CA2990" s="16">
        <f t="shared" si="706"/>
        <v>-999</v>
      </c>
      <c r="CE2990" s="16" t="e">
        <f t="shared" si="700"/>
        <v>#N/A</v>
      </c>
      <c r="CF2990" s="16">
        <f t="shared" si="701"/>
        <v>99</v>
      </c>
      <c r="CG2990" s="16">
        <f t="shared" si="702"/>
        <v>0</v>
      </c>
      <c r="CH2990" s="16">
        <f t="shared" si="698"/>
        <v>0</v>
      </c>
      <c r="CJ2990" s="16" t="e">
        <f t="shared" si="703"/>
        <v>#N/A</v>
      </c>
      <c r="CK2990" s="16" t="str">
        <f t="shared" si="704"/>
        <v/>
      </c>
    </row>
    <row r="2991" spans="73:89" ht="12" customHeight="1">
      <c r="BU2991" s="16">
        <f t="shared" si="705"/>
        <v>0</v>
      </c>
      <c r="BV2991" s="16">
        <f>IF($BY$12=1,NORMDIST(BY2991,$Y$6,$Y$8,TRUE),IF($BY$12=2,IF(BY2991&lt;=$BX$31,0,IF(BY2991&gt;=$BX$32,1,(BY2991-$BX$31)*$BX$33)),SUM($BU$42:BU2991)/$BV$40))</f>
        <v>1</v>
      </c>
      <c r="BW2991" s="16">
        <f t="shared" si="696"/>
        <v>1.6236488368207715E-32</v>
      </c>
      <c r="BY2991" s="16">
        <f t="shared" si="697"/>
        <v>294.89999999999856</v>
      </c>
      <c r="BZ2991" s="16">
        <f t="shared" si="699"/>
        <v>5.5057607216710057E-35</v>
      </c>
      <c r="CA2991" s="16">
        <f t="shared" si="706"/>
        <v>-999</v>
      </c>
      <c r="CE2991" s="16" t="e">
        <f t="shared" si="700"/>
        <v>#N/A</v>
      </c>
      <c r="CF2991" s="16">
        <f t="shared" si="701"/>
        <v>99</v>
      </c>
      <c r="CG2991" s="16">
        <f t="shared" si="702"/>
        <v>0</v>
      </c>
      <c r="CH2991" s="16">
        <f t="shared" si="698"/>
        <v>0</v>
      </c>
      <c r="CJ2991" s="16" t="e">
        <f t="shared" si="703"/>
        <v>#N/A</v>
      </c>
      <c r="CK2991" s="16" t="str">
        <f t="shared" si="704"/>
        <v/>
      </c>
    </row>
    <row r="2992" spans="73:89" ht="12" customHeight="1">
      <c r="BU2992" s="16">
        <f t="shared" si="705"/>
        <v>0</v>
      </c>
      <c r="BV2992" s="16">
        <f>IF($BY$12=1,NORMDIST(BY2992,$Y$6,$Y$8,TRUE),IF($BY$12=2,IF(BY2992&lt;=$BX$31,0,IF(BY2992&gt;=$BX$32,1,(BY2992-$BX$31)*$BX$33)),SUM($BU$42:BU2992)/$BV$40))</f>
        <v>1</v>
      </c>
      <c r="BW2992" s="16">
        <f t="shared" si="696"/>
        <v>1.5277216766920488E-32</v>
      </c>
      <c r="BY2992" s="16">
        <f t="shared" si="697"/>
        <v>294.99999999999858</v>
      </c>
      <c r="BZ2992" s="16">
        <f t="shared" si="699"/>
        <v>5.1787175481086645E-35</v>
      </c>
      <c r="CA2992" s="16">
        <f t="shared" si="706"/>
        <v>-999</v>
      </c>
      <c r="CE2992" s="16" t="e">
        <f t="shared" si="700"/>
        <v>#N/A</v>
      </c>
      <c r="CF2992" s="16">
        <f t="shared" si="701"/>
        <v>99</v>
      </c>
      <c r="CG2992" s="16">
        <f t="shared" si="702"/>
        <v>0</v>
      </c>
      <c r="CH2992" s="16">
        <f t="shared" si="698"/>
        <v>0</v>
      </c>
      <c r="CJ2992" s="16" t="e">
        <f t="shared" si="703"/>
        <v>#N/A</v>
      </c>
      <c r="CK2992" s="16" t="str">
        <f t="shared" si="704"/>
        <v/>
      </c>
    </row>
    <row r="2993" spans="73:89" ht="12" customHeight="1">
      <c r="BU2993" s="16">
        <f t="shared" si="705"/>
        <v>0</v>
      </c>
      <c r="BV2993" s="16">
        <f>IF($BY$12=1,NORMDIST(BY2993,$Y$6,$Y$8,TRUE),IF($BY$12=2,IF(BY2993&lt;=$BX$31,0,IF(BY2993&gt;=$BX$32,1,(BY2993-$BX$31)*$BX$33)),SUM($BU$42:BU2993)/$BV$40))</f>
        <v>1</v>
      </c>
      <c r="BW2993" s="16">
        <f t="shared" si="696"/>
        <v>1.4374259092942451E-32</v>
      </c>
      <c r="BY2993" s="16">
        <f t="shared" si="697"/>
        <v>295.0999999999986</v>
      </c>
      <c r="BZ2993" s="16">
        <f t="shared" si="699"/>
        <v>4.870979021668085E-35</v>
      </c>
      <c r="CA2993" s="16">
        <f t="shared" si="706"/>
        <v>-999</v>
      </c>
      <c r="CE2993" s="16" t="e">
        <f t="shared" si="700"/>
        <v>#N/A</v>
      </c>
      <c r="CF2993" s="16">
        <f t="shared" si="701"/>
        <v>99</v>
      </c>
      <c r="CG2993" s="16">
        <f t="shared" si="702"/>
        <v>0</v>
      </c>
      <c r="CH2993" s="16">
        <f t="shared" si="698"/>
        <v>0</v>
      </c>
      <c r="CJ2993" s="16" t="e">
        <f t="shared" si="703"/>
        <v>#N/A</v>
      </c>
      <c r="CK2993" s="16" t="str">
        <f t="shared" si="704"/>
        <v/>
      </c>
    </row>
    <row r="2994" spans="73:89" ht="12" customHeight="1">
      <c r="BU2994" s="16">
        <f t="shared" si="705"/>
        <v>0</v>
      </c>
      <c r="BV2994" s="16">
        <f>IF($BY$12=1,NORMDIST(BY2994,$Y$6,$Y$8,TRUE),IF($BY$12=2,IF(BY2994&lt;=$BX$31,0,IF(BY2994&gt;=$BX$32,1,(BY2994-$BX$31)*$BX$33)),SUM($BU$42:BU2994)/$BV$40))</f>
        <v>1</v>
      </c>
      <c r="BW2994" s="16">
        <f t="shared" si="696"/>
        <v>1.3524330935333136E-32</v>
      </c>
      <c r="BY2994" s="16">
        <f t="shared" si="697"/>
        <v>295.19999999999862</v>
      </c>
      <c r="BZ2994" s="16">
        <f t="shared" si="699"/>
        <v>4.5814129184733057E-35</v>
      </c>
      <c r="CA2994" s="16">
        <f t="shared" si="706"/>
        <v>-999</v>
      </c>
      <c r="CE2994" s="16" t="e">
        <f t="shared" si="700"/>
        <v>#N/A</v>
      </c>
      <c r="CF2994" s="16">
        <f t="shared" si="701"/>
        <v>99</v>
      </c>
      <c r="CG2994" s="16">
        <f t="shared" si="702"/>
        <v>0</v>
      </c>
      <c r="CH2994" s="16">
        <f t="shared" si="698"/>
        <v>0</v>
      </c>
      <c r="CJ2994" s="16" t="e">
        <f t="shared" si="703"/>
        <v>#N/A</v>
      </c>
      <c r="CK2994" s="16" t="str">
        <f t="shared" si="704"/>
        <v/>
      </c>
    </row>
    <row r="2995" spans="73:89" ht="12" customHeight="1">
      <c r="BU2995" s="16">
        <f t="shared" si="705"/>
        <v>0</v>
      </c>
      <c r="BV2995" s="16">
        <f>IF($BY$12=1,NORMDIST(BY2995,$Y$6,$Y$8,TRUE),IF($BY$12=2,IF(BY2995&lt;=$BX$31,0,IF(BY2995&gt;=$BX$32,1,(BY2995-$BX$31)*$BX$33)),SUM($BU$42:BU2995)/$BV$40))</f>
        <v>1</v>
      </c>
      <c r="BW2995" s="16">
        <f t="shared" si="696"/>
        <v>1.2724338169079428E-32</v>
      </c>
      <c r="BY2995" s="16">
        <f t="shared" si="697"/>
        <v>295.29999999999865</v>
      </c>
      <c r="BZ2995" s="16">
        <f t="shared" si="699"/>
        <v>4.30895298648137E-35</v>
      </c>
      <c r="CA2995" s="16">
        <f t="shared" si="706"/>
        <v>-999</v>
      </c>
      <c r="CE2995" s="16" t="e">
        <f t="shared" si="700"/>
        <v>#N/A</v>
      </c>
      <c r="CF2995" s="16">
        <f t="shared" si="701"/>
        <v>99</v>
      </c>
      <c r="CG2995" s="16">
        <f t="shared" si="702"/>
        <v>0</v>
      </c>
      <c r="CH2995" s="16">
        <f t="shared" si="698"/>
        <v>0</v>
      </c>
      <c r="CJ2995" s="16" t="e">
        <f t="shared" si="703"/>
        <v>#N/A</v>
      </c>
      <c r="CK2995" s="16" t="str">
        <f t="shared" si="704"/>
        <v/>
      </c>
    </row>
    <row r="2996" spans="73:89" ht="12" customHeight="1">
      <c r="BU2996" s="16">
        <f t="shared" si="705"/>
        <v>0</v>
      </c>
      <c r="BV2996" s="16">
        <f>IF($BY$12=1,NORMDIST(BY2996,$Y$6,$Y$8,TRUE),IF($BY$12=2,IF(BY2996&lt;=$BX$31,0,IF(BY2996&gt;=$BX$32,1,(BY2996-$BX$31)*$BX$33)),SUM($BU$42:BU2996)/$BV$40))</f>
        <v>1</v>
      </c>
      <c r="BW2996" s="16">
        <f t="shared" si="696"/>
        <v>1.1971366005437124E-32</v>
      </c>
      <c r="BY2996" s="16">
        <f t="shared" si="697"/>
        <v>295.39999999999867</v>
      </c>
      <c r="BZ2996" s="16">
        <f t="shared" si="699"/>
        <v>4.0525951270945083E-35</v>
      </c>
      <c r="CA2996" s="16">
        <f t="shared" si="706"/>
        <v>-999</v>
      </c>
      <c r="CE2996" s="16" t="e">
        <f t="shared" si="700"/>
        <v>#N/A</v>
      </c>
      <c r="CF2996" s="16">
        <f t="shared" si="701"/>
        <v>99</v>
      </c>
      <c r="CG2996" s="16">
        <f t="shared" si="702"/>
        <v>0</v>
      </c>
      <c r="CH2996" s="16">
        <f t="shared" si="698"/>
        <v>0</v>
      </c>
      <c r="CJ2996" s="16" t="e">
        <f t="shared" si="703"/>
        <v>#N/A</v>
      </c>
      <c r="CK2996" s="16" t="str">
        <f t="shared" si="704"/>
        <v/>
      </c>
    </row>
    <row r="2997" spans="73:89" ht="12" customHeight="1">
      <c r="BU2997" s="16">
        <f t="shared" si="705"/>
        <v>0</v>
      </c>
      <c r="BV2997" s="16">
        <f>IF($BY$12=1,NORMDIST(BY2997,$Y$6,$Y$8,TRUE),IF($BY$12=2,IF(BY2997&lt;=$BX$31,0,IF(BY2997&gt;=$BX$32,1,(BY2997-$BX$31)*$BX$33)),SUM($BU$42:BU2997)/$BV$40))</f>
        <v>1</v>
      </c>
      <c r="BW2997" s="16">
        <f t="shared" si="696"/>
        <v>1.1262668667982447E-32</v>
      </c>
      <c r="BY2997" s="16">
        <f t="shared" si="697"/>
        <v>295.49999999999869</v>
      </c>
      <c r="BZ2997" s="16">
        <f t="shared" si="699"/>
        <v>3.8113937962715726E-35</v>
      </c>
      <c r="CA2997" s="16">
        <f t="shared" si="706"/>
        <v>-999</v>
      </c>
      <c r="CE2997" s="16" t="e">
        <f t="shared" si="700"/>
        <v>#N/A</v>
      </c>
      <c r="CF2997" s="16">
        <f t="shared" si="701"/>
        <v>99</v>
      </c>
      <c r="CG2997" s="16">
        <f t="shared" si="702"/>
        <v>0</v>
      </c>
      <c r="CH2997" s="16">
        <f t="shared" si="698"/>
        <v>0</v>
      </c>
      <c r="CJ2997" s="16" t="e">
        <f t="shared" si="703"/>
        <v>#N/A</v>
      </c>
      <c r="CK2997" s="16" t="str">
        <f t="shared" si="704"/>
        <v/>
      </c>
    </row>
    <row r="2998" spans="73:89" ht="12" customHeight="1">
      <c r="BU2998" s="16">
        <f t="shared" si="705"/>
        <v>0</v>
      </c>
      <c r="BV2998" s="16">
        <f>IF($BY$12=1,NORMDIST(BY2998,$Y$6,$Y$8,TRUE),IF($BY$12=2,IF(BY2998&lt;=$BX$31,0,IF(BY2998&gt;=$BX$32,1,(BY2998-$BX$31)*$BX$33)),SUM($BU$42:BU2998)/$BV$40))</f>
        <v>1</v>
      </c>
      <c r="BW2998" s="16">
        <f t="shared" si="696"/>
        <v>1.0595659658871539E-32</v>
      </c>
      <c r="BY2998" s="16">
        <f t="shared" si="697"/>
        <v>295.59999999999872</v>
      </c>
      <c r="BZ2998" s="16">
        <f t="shared" si="699"/>
        <v>3.5844586126087905E-35</v>
      </c>
      <c r="CA2998" s="16">
        <f t="shared" si="706"/>
        <v>-999</v>
      </c>
      <c r="CE2998" s="16" t="e">
        <f t="shared" si="700"/>
        <v>#N/A</v>
      </c>
      <c r="CF2998" s="16">
        <f t="shared" si="701"/>
        <v>99</v>
      </c>
      <c r="CG2998" s="16">
        <f t="shared" si="702"/>
        <v>0</v>
      </c>
      <c r="CH2998" s="16">
        <f t="shared" si="698"/>
        <v>0</v>
      </c>
      <c r="CJ2998" s="16" t="e">
        <f t="shared" si="703"/>
        <v>#N/A</v>
      </c>
      <c r="CK2998" s="16" t="str">
        <f t="shared" si="704"/>
        <v/>
      </c>
    </row>
    <row r="2999" spans="73:89" ht="12" customHeight="1">
      <c r="BU2999" s="16">
        <f t="shared" si="705"/>
        <v>0</v>
      </c>
      <c r="BV2999" s="16">
        <f>IF($BY$12=1,NORMDIST(BY2999,$Y$6,$Y$8,TRUE),IF($BY$12=2,IF(BY2999&lt;=$BX$31,0,IF(BY2999&gt;=$BX$32,1,(BY2999-$BX$31)*$BX$33)),SUM($BU$42:BU2999)/$BV$40))</f>
        <v>1</v>
      </c>
      <c r="BW2999" s="16">
        <f t="shared" si="696"/>
        <v>9.9679025818060031E-33</v>
      </c>
      <c r="BY2999" s="16">
        <f t="shared" si="697"/>
        <v>295.69999999999874</v>
      </c>
      <c r="BZ2999" s="16">
        <f t="shared" si="699"/>
        <v>3.3709511605701877E-35</v>
      </c>
      <c r="CA2999" s="16">
        <f t="shared" si="706"/>
        <v>-999</v>
      </c>
      <c r="CE2999" s="16" t="e">
        <f t="shared" si="700"/>
        <v>#N/A</v>
      </c>
      <c r="CF2999" s="16">
        <f t="shared" si="701"/>
        <v>99</v>
      </c>
      <c r="CG2999" s="16">
        <f t="shared" si="702"/>
        <v>0</v>
      </c>
      <c r="CH2999" s="16">
        <f t="shared" si="698"/>
        <v>0</v>
      </c>
      <c r="CJ2999" s="16" t="e">
        <f t="shared" si="703"/>
        <v>#N/A</v>
      </c>
      <c r="CK2999" s="16" t="str">
        <f t="shared" si="704"/>
        <v/>
      </c>
    </row>
    <row r="3000" spans="73:89" ht="12" customHeight="1">
      <c r="BU3000" s="16">
        <f t="shared" si="705"/>
        <v>0</v>
      </c>
      <c r="BV3000" s="16">
        <f>IF($BY$12=1,NORMDIST(BY3000,$Y$6,$Y$8,TRUE),IF($BY$12=2,IF(BY3000&lt;=$BX$31,0,IF(BY3000&gt;=$BX$32,1,(BY3000-$BX$31)*$BX$33)),SUM($BU$42:BU3000)/$BV$40))</f>
        <v>1</v>
      </c>
      <c r="BW3000" s="16">
        <f t="shared" si="696"/>
        <v>9.3771024900899741E-33</v>
      </c>
      <c r="BY3000" s="16">
        <f t="shared" si="697"/>
        <v>295.79999999999876</v>
      </c>
      <c r="BZ3000" s="16">
        <f t="shared" si="699"/>
        <v>3.1700819777180571E-35</v>
      </c>
      <c r="CA3000" s="16">
        <f t="shared" si="706"/>
        <v>-999</v>
      </c>
      <c r="CE3000" s="16" t="e">
        <f t="shared" si="700"/>
        <v>#N/A</v>
      </c>
      <c r="CF3000" s="16">
        <f t="shared" si="701"/>
        <v>99</v>
      </c>
      <c r="CG3000" s="16">
        <f t="shared" si="702"/>
        <v>0</v>
      </c>
      <c r="CH3000" s="16">
        <f t="shared" si="698"/>
        <v>0</v>
      </c>
      <c r="CJ3000" s="16" t="e">
        <f t="shared" si="703"/>
        <v>#N/A</v>
      </c>
      <c r="CK3000" s="16" t="str">
        <f t="shared" si="704"/>
        <v/>
      </c>
    </row>
    <row r="3001" spans="73:89" ht="12" customHeight="1">
      <c r="BU3001" s="16">
        <f t="shared" si="705"/>
        <v>0</v>
      </c>
      <c r="BV3001" s="16">
        <f>IF($BY$12=1,NORMDIST(BY3001,$Y$6,$Y$8,TRUE),IF($BY$12=2,IF(BY3001&lt;=$BX$31,0,IF(BY3001&gt;=$BX$32,1,(BY3001-$BX$31)*$BX$33)),SUM($BU$42:BU3001)/$BV$40))</f>
        <v>1</v>
      </c>
      <c r="BW3001" s="16">
        <f t="shared" si="696"/>
        <v>8.8210977299451982E-33</v>
      </c>
      <c r="BY3001" s="16">
        <f t="shared" si="697"/>
        <v>295.89999999999878</v>
      </c>
      <c r="BZ3001" s="16">
        <f t="shared" si="699"/>
        <v>2.9811077154258987E-35</v>
      </c>
      <c r="CA3001" s="16">
        <f t="shared" si="706"/>
        <v>-999</v>
      </c>
      <c r="CE3001" s="16" t="e">
        <f t="shared" si="700"/>
        <v>#N/A</v>
      </c>
      <c r="CF3001" s="16">
        <f t="shared" si="701"/>
        <v>99</v>
      </c>
      <c r="CG3001" s="16">
        <f t="shared" si="702"/>
        <v>0</v>
      </c>
      <c r="CH3001" s="16">
        <f t="shared" si="698"/>
        <v>0</v>
      </c>
      <c r="CJ3001" s="16" t="e">
        <f t="shared" si="703"/>
        <v>#N/A</v>
      </c>
      <c r="CK3001" s="16" t="str">
        <f t="shared" si="704"/>
        <v/>
      </c>
    </row>
    <row r="3002" spans="73:89" ht="12" customHeight="1">
      <c r="BU3002" s="16">
        <f t="shared" si="705"/>
        <v>0</v>
      </c>
      <c r="BV3002" s="16">
        <f>IF($BY$12=1,NORMDIST(BY3002,$Y$6,$Y$8,TRUE),IF($BY$12=2,IF(BY3002&lt;=$BX$31,0,IF(BY3002&gt;=$BX$32,1,(BY3002-$BX$31)*$BX$33)),SUM($BU$42:BU3002)/$BV$40))</f>
        <v>1</v>
      </c>
      <c r="BW3002" s="16">
        <f t="shared" si="696"/>
        <v>8.2978522509358862E-33</v>
      </c>
      <c r="BY3002" s="16">
        <f t="shared" si="697"/>
        <v>295.99999999999881</v>
      </c>
      <c r="BZ3002" s="16">
        <f t="shared" si="699"/>
        <v>2.8033284631540271E-35</v>
      </c>
      <c r="CA3002" s="16">
        <f t="shared" si="706"/>
        <v>-999</v>
      </c>
      <c r="CE3002" s="16" t="e">
        <f t="shared" si="700"/>
        <v>#N/A</v>
      </c>
      <c r="CF3002" s="16">
        <f t="shared" si="701"/>
        <v>99</v>
      </c>
      <c r="CG3002" s="16">
        <f t="shared" si="702"/>
        <v>0</v>
      </c>
      <c r="CH3002" s="16">
        <f t="shared" si="698"/>
        <v>0</v>
      </c>
      <c r="CJ3002" s="16" t="e">
        <f t="shared" si="703"/>
        <v>#N/A</v>
      </c>
      <c r="CK3002" s="16" t="str">
        <f t="shared" si="704"/>
        <v/>
      </c>
    </row>
    <row r="3003" spans="73:89" ht="12" customHeight="1">
      <c r="BU3003" s="16">
        <f t="shared" si="705"/>
        <v>0</v>
      </c>
      <c r="BV3003" s="16">
        <f>IF($BY$12=1,NORMDIST(BY3003,$Y$6,$Y$8,TRUE),IF($BY$12=2,IF(BY3003&lt;=$BX$31,0,IF(BY3003&gt;=$BX$32,1,(BY3003-$BX$31)*$BX$33)),SUM($BU$42:BU3003)/$BV$40))</f>
        <v>1</v>
      </c>
      <c r="BW3003" s="16">
        <f t="shared" ref="BW3003:BW3066" si="707">BY3003*BZ3003</f>
        <v>7.8054483569418885E-33</v>
      </c>
      <c r="BY3003" s="16">
        <f t="shared" ref="BY3003:BY3066" si="708">BY3002+$BZ$1</f>
        <v>296.09999999999883</v>
      </c>
      <c r="BZ3003" s="16">
        <f t="shared" si="699"/>
        <v>2.6360852269307394E-35</v>
      </c>
      <c r="CA3003" s="16">
        <f t="shared" si="706"/>
        <v>-999</v>
      </c>
      <c r="CE3003" s="16" t="e">
        <f t="shared" si="700"/>
        <v>#N/A</v>
      </c>
      <c r="CF3003" s="16">
        <f t="shared" si="701"/>
        <v>99</v>
      </c>
      <c r="CG3003" s="16">
        <f t="shared" si="702"/>
        <v>0</v>
      </c>
      <c r="CH3003" s="16">
        <f t="shared" si="698"/>
        <v>0</v>
      </c>
      <c r="CJ3003" s="16" t="e">
        <f t="shared" si="703"/>
        <v>#N/A</v>
      </c>
      <c r="CK3003" s="16" t="str">
        <f t="shared" si="704"/>
        <v/>
      </c>
    </row>
    <row r="3004" spans="73:89" ht="12" customHeight="1">
      <c r="BU3004" s="16">
        <f t="shared" si="705"/>
        <v>0</v>
      </c>
      <c r="BV3004" s="16">
        <f>IF($BY$12=1,NORMDIST(BY3004,$Y$6,$Y$8,TRUE),IF($BY$12=2,IF(BY3004&lt;=$BX$31,0,IF(BY3004&gt;=$BX$32,1,(BY3004-$BX$31)*$BX$33)),SUM($BU$42:BU3004)/$BV$40))</f>
        <v>1</v>
      </c>
      <c r="BW3004" s="16">
        <f t="shared" si="707"/>
        <v>7.3420798726178603E-33</v>
      </c>
      <c r="BY3004" s="16">
        <f t="shared" si="708"/>
        <v>296.19999999999885</v>
      </c>
      <c r="BZ3004" s="16">
        <f t="shared" si="699"/>
        <v>2.4787575532133319E-35</v>
      </c>
      <c r="CA3004" s="16">
        <f t="shared" si="706"/>
        <v>-999</v>
      </c>
      <c r="CE3004" s="16" t="e">
        <f t="shared" si="700"/>
        <v>#N/A</v>
      </c>
      <c r="CF3004" s="16">
        <f t="shared" si="701"/>
        <v>99</v>
      </c>
      <c r="CG3004" s="16">
        <f t="shared" si="702"/>
        <v>0</v>
      </c>
      <c r="CH3004" s="16">
        <f t="shared" si="698"/>
        <v>0</v>
      </c>
      <c r="CJ3004" s="16" t="e">
        <f t="shared" si="703"/>
        <v>#N/A</v>
      </c>
      <c r="CK3004" s="16" t="str">
        <f t="shared" si="704"/>
        <v/>
      </c>
    </row>
    <row r="3005" spans="73:89" ht="12" customHeight="1">
      <c r="BU3005" s="16">
        <f t="shared" si="705"/>
        <v>0</v>
      </c>
      <c r="BV3005" s="16">
        <f>IF($BY$12=1,NORMDIST(BY3005,$Y$6,$Y$8,TRUE),IF($BY$12=2,IF(BY3005&lt;=$BX$31,0,IF(BY3005&gt;=$BX$32,1,(BY3005-$BX$31)*$BX$33)),SUM($BU$42:BU3005)/$BV$40))</f>
        <v>1</v>
      </c>
      <c r="BW3005" s="16">
        <f t="shared" si="707"/>
        <v>6.9060457016922516E-33</v>
      </c>
      <c r="BY3005" s="16">
        <f t="shared" si="708"/>
        <v>296.29999999999887</v>
      </c>
      <c r="BZ3005" s="16">
        <f t="shared" si="699"/>
        <v>2.3307612898050213E-35</v>
      </c>
      <c r="CA3005" s="16">
        <f t="shared" si="706"/>
        <v>-999</v>
      </c>
      <c r="CE3005" s="16" t="e">
        <f t="shared" si="700"/>
        <v>#N/A</v>
      </c>
      <c r="CF3005" s="16">
        <f t="shared" si="701"/>
        <v>99</v>
      </c>
      <c r="CG3005" s="16">
        <f t="shared" si="702"/>
        <v>0</v>
      </c>
      <c r="CH3005" s="16">
        <f t="shared" si="698"/>
        <v>0</v>
      </c>
      <c r="CJ3005" s="16" t="e">
        <f t="shared" si="703"/>
        <v>#N/A</v>
      </c>
      <c r="CK3005" s="16" t="str">
        <f t="shared" si="704"/>
        <v/>
      </c>
    </row>
    <row r="3006" spans="73:89" ht="12" customHeight="1">
      <c r="BU3006" s="16">
        <f t="shared" si="705"/>
        <v>0</v>
      </c>
      <c r="BV3006" s="16">
        <f>IF($BY$12=1,NORMDIST(BY3006,$Y$6,$Y$8,TRUE),IF($BY$12=2,IF(BY3006&lt;=$BX$31,0,IF(BY3006&gt;=$BX$32,1,(BY3006-$BX$31)*$BX$33)),SUM($BU$42:BU3006)/$BV$40))</f>
        <v>1</v>
      </c>
      <c r="BW3006" s="16">
        <f t="shared" si="707"/>
        <v>6.4957437547962209E-33</v>
      </c>
      <c r="BY3006" s="16">
        <f t="shared" si="708"/>
        <v>296.3999999999989</v>
      </c>
      <c r="BZ3006" s="16">
        <f t="shared" si="699"/>
        <v>2.1915464759771406E-35</v>
      </c>
      <c r="CA3006" s="16">
        <f t="shared" si="706"/>
        <v>-999</v>
      </c>
      <c r="CE3006" s="16" t="e">
        <f t="shared" si="700"/>
        <v>#N/A</v>
      </c>
      <c r="CF3006" s="16">
        <f t="shared" si="701"/>
        <v>99</v>
      </c>
      <c r="CG3006" s="16">
        <f t="shared" si="702"/>
        <v>0</v>
      </c>
      <c r="CH3006" s="16">
        <f t="shared" si="698"/>
        <v>0</v>
      </c>
      <c r="CJ3006" s="16" t="e">
        <f t="shared" si="703"/>
        <v>#N/A</v>
      </c>
      <c r="CK3006" s="16" t="str">
        <f t="shared" si="704"/>
        <v/>
      </c>
    </row>
    <row r="3007" spans="73:89" ht="12" customHeight="1">
      <c r="BU3007" s="16">
        <f t="shared" si="705"/>
        <v>0</v>
      </c>
      <c r="BV3007" s="16">
        <f>IF($BY$12=1,NORMDIST(BY3007,$Y$6,$Y$8,TRUE),IF($BY$12=2,IF(BY3007&lt;=$BX$31,0,IF(BY3007&gt;=$BX$32,1,(BY3007-$BX$31)*$BX$33)),SUM($BU$42:BU3007)/$BV$40))</f>
        <v>1</v>
      </c>
      <c r="BW3007" s="16">
        <f t="shared" si="707"/>
        <v>6.1096652257733126E-33</v>
      </c>
      <c r="BY3007" s="16">
        <f t="shared" si="708"/>
        <v>296.49999999999892</v>
      </c>
      <c r="BZ3007" s="16">
        <f t="shared" si="699"/>
        <v>2.0605953543923557E-35</v>
      </c>
      <c r="CA3007" s="16">
        <f t="shared" si="706"/>
        <v>-999</v>
      </c>
      <c r="CE3007" s="16" t="e">
        <f t="shared" si="700"/>
        <v>#N/A</v>
      </c>
      <c r="CF3007" s="16">
        <f t="shared" si="701"/>
        <v>99</v>
      </c>
      <c r="CG3007" s="16">
        <f t="shared" si="702"/>
        <v>0</v>
      </c>
      <c r="CH3007" s="16">
        <f t="shared" si="698"/>
        <v>0</v>
      </c>
      <c r="CJ3007" s="16" t="e">
        <f t="shared" si="703"/>
        <v>#N/A</v>
      </c>
      <c r="CK3007" s="16" t="str">
        <f t="shared" si="704"/>
        <v/>
      </c>
    </row>
    <row r="3008" spans="73:89" ht="12" customHeight="1">
      <c r="BU3008" s="16">
        <f t="shared" si="705"/>
        <v>0</v>
      </c>
      <c r="BV3008" s="16">
        <f>IF($BY$12=1,NORMDIST(BY3008,$Y$6,$Y$8,TRUE),IF($BY$12=2,IF(BY3008&lt;=$BX$31,0,IF(BY3008&gt;=$BX$32,1,(BY3008-$BX$31)*$BX$33)),SUM($BU$42:BU3008)/$BV$40))</f>
        <v>1</v>
      </c>
      <c r="BW3008" s="16">
        <f t="shared" si="707"/>
        <v>5.7463891966107063E-33</v>
      </c>
      <c r="BY3008" s="16">
        <f t="shared" si="708"/>
        <v>296.59999999999894</v>
      </c>
      <c r="BZ3008" s="16">
        <f t="shared" si="699"/>
        <v>1.9374204978458284E-35</v>
      </c>
      <c r="CA3008" s="16">
        <f t="shared" si="706"/>
        <v>-999</v>
      </c>
      <c r="CE3008" s="16" t="e">
        <f t="shared" si="700"/>
        <v>#N/A</v>
      </c>
      <c r="CF3008" s="16">
        <f t="shared" si="701"/>
        <v>99</v>
      </c>
      <c r="CG3008" s="16">
        <f t="shared" si="702"/>
        <v>0</v>
      </c>
      <c r="CH3008" s="16">
        <f t="shared" si="698"/>
        <v>0</v>
      </c>
      <c r="CJ3008" s="16" t="e">
        <f t="shared" si="703"/>
        <v>#N/A</v>
      </c>
      <c r="CK3008" s="16" t="str">
        <f t="shared" si="704"/>
        <v/>
      </c>
    </row>
    <row r="3009" spans="73:89" ht="12" customHeight="1">
      <c r="BU3009" s="16">
        <f t="shared" si="705"/>
        <v>0</v>
      </c>
      <c r="BV3009" s="16">
        <f>IF($BY$12=1,NORMDIST(BY3009,$Y$6,$Y$8,TRUE),IF($BY$12=2,IF(BY3009&lt;=$BX$31,0,IF(BY3009&gt;=$BX$32,1,(BY3009-$BX$31)*$BX$33)),SUM($BU$42:BU3009)/$BV$40))</f>
        <v>1</v>
      </c>
      <c r="BW3009" s="16">
        <f t="shared" si="707"/>
        <v>5.4045775522569103E-33</v>
      </c>
      <c r="BY3009" s="16">
        <f t="shared" si="708"/>
        <v>296.69999999999897</v>
      </c>
      <c r="BZ3009" s="16">
        <f t="shared" si="699"/>
        <v>1.821563044238938E-35</v>
      </c>
      <c r="CA3009" s="16">
        <f t="shared" si="706"/>
        <v>-999</v>
      </c>
      <c r="CE3009" s="16" t="e">
        <f t="shared" si="700"/>
        <v>#N/A</v>
      </c>
      <c r="CF3009" s="16">
        <f t="shared" si="701"/>
        <v>99</v>
      </c>
      <c r="CG3009" s="16">
        <f t="shared" si="702"/>
        <v>0</v>
      </c>
      <c r="CH3009" s="16">
        <f t="shared" si="698"/>
        <v>0</v>
      </c>
      <c r="CJ3009" s="16" t="e">
        <f t="shared" si="703"/>
        <v>#N/A</v>
      </c>
      <c r="CK3009" s="16" t="str">
        <f t="shared" si="704"/>
        <v/>
      </c>
    </row>
    <row r="3010" spans="73:89" ht="12" customHeight="1">
      <c r="BU3010" s="16">
        <f t="shared" si="705"/>
        <v>0</v>
      </c>
      <c r="BV3010" s="16">
        <f>IF($BY$12=1,NORMDIST(BY3010,$Y$6,$Y$8,TRUE),IF($BY$12=2,IF(BY3010&lt;=$BX$31,0,IF(BY3010&gt;=$BX$32,1,(BY3010-$BX$31)*$BX$33)),SUM($BU$42:BU3010)/$BV$40))</f>
        <v>1</v>
      </c>
      <c r="BW3010" s="16">
        <f t="shared" si="707"/>
        <v>5.0829701876515978E-33</v>
      </c>
      <c r="BY3010" s="16">
        <f t="shared" si="708"/>
        <v>296.79999999999899</v>
      </c>
      <c r="BZ3010" s="16">
        <f t="shared" si="699"/>
        <v>1.7125910335753419E-35</v>
      </c>
      <c r="CA3010" s="16">
        <f t="shared" si="706"/>
        <v>-999</v>
      </c>
      <c r="CE3010" s="16" t="e">
        <f t="shared" si="700"/>
        <v>#N/A</v>
      </c>
      <c r="CF3010" s="16">
        <f t="shared" si="701"/>
        <v>99</v>
      </c>
      <c r="CG3010" s="16">
        <f t="shared" si="702"/>
        <v>0</v>
      </c>
      <c r="CH3010" s="16">
        <f t="shared" si="698"/>
        <v>0</v>
      </c>
      <c r="CJ3010" s="16" t="e">
        <f t="shared" si="703"/>
        <v>#N/A</v>
      </c>
      <c r="CK3010" s="16" t="str">
        <f t="shared" si="704"/>
        <v/>
      </c>
    </row>
    <row r="3011" spans="73:89" ht="12" customHeight="1">
      <c r="BU3011" s="16">
        <f t="shared" si="705"/>
        <v>0</v>
      </c>
      <c r="BV3011" s="16">
        <f>IF($BY$12=1,NORMDIST(BY3011,$Y$6,$Y$8,TRUE),IF($BY$12=2,IF(BY3011&lt;=$BX$31,0,IF(BY3011&gt;=$BX$32,1,(BY3011-$BX$31)*$BX$33)),SUM($BU$42:BU3011)/$BV$40))</f>
        <v>1</v>
      </c>
      <c r="BW3011" s="16">
        <f t="shared" si="707"/>
        <v>4.7803804902932224E-33</v>
      </c>
      <c r="BY3011" s="16">
        <f t="shared" si="708"/>
        <v>296.89999999999901</v>
      </c>
      <c r="BZ3011" s="16">
        <f t="shared" si="699"/>
        <v>1.6100978411226805E-35</v>
      </c>
      <c r="CA3011" s="16">
        <f t="shared" si="706"/>
        <v>-999</v>
      </c>
      <c r="CE3011" s="16" t="e">
        <f t="shared" si="700"/>
        <v>#N/A</v>
      </c>
      <c r="CF3011" s="16">
        <f t="shared" si="701"/>
        <v>99</v>
      </c>
      <c r="CG3011" s="16">
        <f t="shared" si="702"/>
        <v>0</v>
      </c>
      <c r="CH3011" s="16">
        <f t="shared" ref="CH3011:CH3074" si="709">IF(CB3011="",0,1)</f>
        <v>0</v>
      </c>
      <c r="CJ3011" s="16" t="e">
        <f t="shared" si="703"/>
        <v>#N/A</v>
      </c>
      <c r="CK3011" s="16" t="str">
        <f t="shared" si="704"/>
        <v/>
      </c>
    </row>
    <row r="3012" spans="73:89" ht="12" customHeight="1">
      <c r="BU3012" s="16">
        <f t="shared" si="705"/>
        <v>0</v>
      </c>
      <c r="BV3012" s="16">
        <f>IF($BY$12=1,NORMDIST(BY3012,$Y$6,$Y$8,TRUE),IF($BY$12=2,IF(BY3012&lt;=$BX$31,0,IF(BY3012&gt;=$BX$32,1,(BY3012-$BX$31)*$BX$33)),SUM($BU$42:BU3012)/$BV$40))</f>
        <v>1</v>
      </c>
      <c r="BW3012" s="16">
        <f t="shared" si="707"/>
        <v>4.4956910826156288E-33</v>
      </c>
      <c r="BY3012" s="16">
        <f t="shared" si="708"/>
        <v>296.99999999999903</v>
      </c>
      <c r="BZ3012" s="16">
        <f t="shared" si="699"/>
        <v>1.5137007012173883E-35</v>
      </c>
      <c r="CA3012" s="16">
        <f t="shared" si="706"/>
        <v>-999</v>
      </c>
      <c r="CE3012" s="16" t="e">
        <f t="shared" si="700"/>
        <v>#N/A</v>
      </c>
      <c r="CF3012" s="16">
        <f t="shared" si="701"/>
        <v>99</v>
      </c>
      <c r="CG3012" s="16">
        <f t="shared" si="702"/>
        <v>0</v>
      </c>
      <c r="CH3012" s="16">
        <f t="shared" si="709"/>
        <v>0</v>
      </c>
      <c r="CJ3012" s="16" t="e">
        <f t="shared" si="703"/>
        <v>#N/A</v>
      </c>
      <c r="CK3012" s="16" t="str">
        <f t="shared" si="704"/>
        <v/>
      </c>
    </row>
    <row r="3013" spans="73:89" ht="12" customHeight="1">
      <c r="BU3013" s="16">
        <f t="shared" si="705"/>
        <v>0</v>
      </c>
      <c r="BV3013" s="16">
        <f>IF($BY$12=1,NORMDIST(BY3013,$Y$6,$Y$8,TRUE),IF($BY$12=2,IF(BY3013&lt;=$BX$31,0,IF(BY3013&gt;=$BX$32,1,(BY3013-$BX$31)*$BX$33)),SUM($BU$42:BU3013)/$BV$40))</f>
        <v>1</v>
      </c>
      <c r="BW3013" s="16">
        <f t="shared" si="707"/>
        <v>4.2278498093350491E-33</v>
      </c>
      <c r="BY3013" s="16">
        <f t="shared" si="708"/>
        <v>297.09999999999906</v>
      </c>
      <c r="BZ3013" s="16">
        <f t="shared" si="699"/>
        <v>1.423039316504565E-35</v>
      </c>
      <c r="CA3013" s="16">
        <f t="shared" si="706"/>
        <v>-999</v>
      </c>
      <c r="CE3013" s="16" t="e">
        <f t="shared" si="700"/>
        <v>#N/A</v>
      </c>
      <c r="CF3013" s="16">
        <f t="shared" si="701"/>
        <v>99</v>
      </c>
      <c r="CG3013" s="16">
        <f t="shared" si="702"/>
        <v>0</v>
      </c>
      <c r="CH3013" s="16">
        <f t="shared" si="709"/>
        <v>0</v>
      </c>
      <c r="CJ3013" s="16" t="e">
        <f t="shared" si="703"/>
        <v>#N/A</v>
      </c>
      <c r="CK3013" s="16" t="str">
        <f t="shared" si="704"/>
        <v/>
      </c>
    </row>
    <row r="3014" spans="73:89" ht="12" customHeight="1">
      <c r="BU3014" s="16">
        <f t="shared" si="705"/>
        <v>0</v>
      </c>
      <c r="BV3014" s="16">
        <f>IF($BY$12=1,NORMDIST(BY3014,$Y$6,$Y$8,TRUE),IF($BY$12=2,IF(BY3014&lt;=$BX$31,0,IF(BY3014&gt;=$BX$32,1,(BY3014-$BX$31)*$BX$33)),SUM($BU$42:BU3014)/$BV$40))</f>
        <v>1</v>
      </c>
      <c r="BW3014" s="16">
        <f t="shared" si="707"/>
        <v>3.9758659557720655E-33</v>
      </c>
      <c r="BY3014" s="16">
        <f t="shared" si="708"/>
        <v>297.19999999999908</v>
      </c>
      <c r="BZ3014" s="16">
        <f t="shared" si="699"/>
        <v>1.3377745477025833E-35</v>
      </c>
      <c r="CA3014" s="16">
        <f t="shared" si="706"/>
        <v>-999</v>
      </c>
      <c r="CE3014" s="16" t="e">
        <f t="shared" si="700"/>
        <v>#N/A</v>
      </c>
      <c r="CF3014" s="16">
        <f t="shared" si="701"/>
        <v>99</v>
      </c>
      <c r="CG3014" s="16">
        <f t="shared" si="702"/>
        <v>0</v>
      </c>
      <c r="CH3014" s="16">
        <f t="shared" si="709"/>
        <v>0</v>
      </c>
      <c r="CJ3014" s="16" t="e">
        <f t="shared" si="703"/>
        <v>#N/A</v>
      </c>
      <c r="CK3014" s="16" t="str">
        <f t="shared" si="704"/>
        <v/>
      </c>
    </row>
    <row r="3015" spans="73:89" ht="12" customHeight="1">
      <c r="BU3015" s="16">
        <f t="shared" si="705"/>
        <v>0</v>
      </c>
      <c r="BV3015" s="16">
        <f>IF($BY$12=1,NORMDIST(BY3015,$Y$6,$Y$8,TRUE),IF($BY$12=2,IF(BY3015&lt;=$BX$31,0,IF(BY3015&gt;=$BX$32,1,(BY3015-$BX$31)*$BX$33)),SUM($BU$42:BU3015)/$BV$40))</f>
        <v>1</v>
      </c>
      <c r="BW3015" s="16">
        <f t="shared" si="707"/>
        <v>3.7388066839453064E-33</v>
      </c>
      <c r="BY3015" s="16">
        <f t="shared" si="708"/>
        <v>297.2999999999991</v>
      </c>
      <c r="BZ3015" s="16">
        <f t="shared" si="699"/>
        <v>1.2575871792617954E-35</v>
      </c>
      <c r="CA3015" s="16">
        <f t="shared" si="706"/>
        <v>-999</v>
      </c>
      <c r="CE3015" s="16" t="e">
        <f t="shared" si="700"/>
        <v>#N/A</v>
      </c>
      <c r="CF3015" s="16">
        <f t="shared" si="701"/>
        <v>99</v>
      </c>
      <c r="CG3015" s="16">
        <f t="shared" si="702"/>
        <v>0</v>
      </c>
      <c r="CH3015" s="16">
        <f t="shared" si="709"/>
        <v>0</v>
      </c>
      <c r="CJ3015" s="16" t="e">
        <f t="shared" si="703"/>
        <v>#N/A</v>
      </c>
      <c r="CK3015" s="16" t="str">
        <f t="shared" si="704"/>
        <v/>
      </c>
    </row>
    <row r="3016" spans="73:89" ht="12" customHeight="1">
      <c r="BU3016" s="16">
        <f t="shared" si="705"/>
        <v>0</v>
      </c>
      <c r="BV3016" s="16">
        <f>IF($BY$12=1,NORMDIST(BY3016,$Y$6,$Y$8,TRUE),IF($BY$12=2,IF(BY3016&lt;=$BX$31,0,IF(BY3016&gt;=$BX$32,1,(BY3016-$BX$31)*$BX$33)),SUM($BU$42:BU3016)/$BV$40))</f>
        <v>1</v>
      </c>
      <c r="BW3016" s="16">
        <f t="shared" si="707"/>
        <v>3.5157936739838079E-33</v>
      </c>
      <c r="BY3016" s="16">
        <f t="shared" si="708"/>
        <v>297.39999999999912</v>
      </c>
      <c r="BZ3016" s="16">
        <f t="shared" si="699"/>
        <v>1.1821767565513847E-35</v>
      </c>
      <c r="CA3016" s="16">
        <f t="shared" si="706"/>
        <v>-999</v>
      </c>
      <c r="CE3016" s="16" t="e">
        <f t="shared" si="700"/>
        <v>#N/A</v>
      </c>
      <c r="CF3016" s="16">
        <f t="shared" si="701"/>
        <v>99</v>
      </c>
      <c r="CG3016" s="16">
        <f t="shared" si="702"/>
        <v>0</v>
      </c>
      <c r="CH3016" s="16">
        <f t="shared" si="709"/>
        <v>0</v>
      </c>
      <c r="CJ3016" s="16" t="e">
        <f t="shared" si="703"/>
        <v>#N/A</v>
      </c>
      <c r="CK3016" s="16" t="str">
        <f t="shared" si="704"/>
        <v/>
      </c>
    </row>
    <row r="3017" spans="73:89" ht="12" customHeight="1">
      <c r="BU3017" s="16">
        <f t="shared" si="705"/>
        <v>0</v>
      </c>
      <c r="BV3017" s="16">
        <f>IF($BY$12=1,NORMDIST(BY3017,$Y$6,$Y$8,TRUE),IF($BY$12=2,IF(BY3017&lt;=$BX$31,0,IF(BY3017&gt;=$BX$32,1,(BY3017-$BX$31)*$BX$33)),SUM($BU$42:BU3017)/$BV$40))</f>
        <v>1</v>
      </c>
      <c r="BW3017" s="16">
        <f t="shared" si="707"/>
        <v>3.3059999591121149E-33</v>
      </c>
      <c r="BY3017" s="16">
        <f t="shared" si="708"/>
        <v>297.49999999999915</v>
      </c>
      <c r="BZ3017" s="16">
        <f t="shared" si="699"/>
        <v>1.111260490457857E-35</v>
      </c>
      <c r="CA3017" s="16">
        <f t="shared" si="706"/>
        <v>-999</v>
      </c>
      <c r="CE3017" s="16" t="e">
        <f t="shared" si="700"/>
        <v>#N/A</v>
      </c>
      <c r="CF3017" s="16">
        <f t="shared" si="701"/>
        <v>99</v>
      </c>
      <c r="CG3017" s="16">
        <f t="shared" si="702"/>
        <v>0</v>
      </c>
      <c r="CH3017" s="16">
        <f t="shared" si="709"/>
        <v>0</v>
      </c>
      <c r="CJ3017" s="16" t="e">
        <f t="shared" si="703"/>
        <v>#N/A</v>
      </c>
      <c r="CK3017" s="16" t="str">
        <f t="shared" si="704"/>
        <v/>
      </c>
    </row>
    <row r="3018" spans="73:89" ht="12" customHeight="1">
      <c r="BU3018" s="16">
        <f t="shared" si="705"/>
        <v>0</v>
      </c>
      <c r="BV3018" s="16">
        <f>IF($BY$12=1,NORMDIST(BY3018,$Y$6,$Y$8,TRUE),IF($BY$12=2,IF(BY3018&lt;=$BX$31,0,IF(BY3018&gt;=$BX$32,1,(BY3018-$BX$31)*$BX$33)),SUM($BU$42:BU3018)/$BV$40))</f>
        <v>1</v>
      </c>
      <c r="BW3018" s="16">
        <f t="shared" si="707"/>
        <v>3.108646943129163E-33</v>
      </c>
      <c r="BY3018" s="16">
        <f t="shared" si="708"/>
        <v>297.59999999999917</v>
      </c>
      <c r="BZ3018" s="16">
        <f t="shared" si="699"/>
        <v>1.0445722255138345E-35</v>
      </c>
      <c r="CA3018" s="16">
        <f t="shared" si="706"/>
        <v>-999</v>
      </c>
      <c r="CE3018" s="16" t="e">
        <f t="shared" si="700"/>
        <v>#N/A</v>
      </c>
      <c r="CF3018" s="16">
        <f t="shared" si="701"/>
        <v>99</v>
      </c>
      <c r="CG3018" s="16">
        <f t="shared" si="702"/>
        <v>0</v>
      </c>
      <c r="CH3018" s="16">
        <f t="shared" si="709"/>
        <v>0</v>
      </c>
      <c r="CJ3018" s="16" t="e">
        <f t="shared" si="703"/>
        <v>#N/A</v>
      </c>
      <c r="CK3018" s="16" t="str">
        <f t="shared" si="704"/>
        <v/>
      </c>
    </row>
    <row r="3019" spans="73:89" ht="12" customHeight="1">
      <c r="BU3019" s="16">
        <f t="shared" si="705"/>
        <v>0</v>
      </c>
      <c r="BV3019" s="16">
        <f>IF($BY$12=1,NORMDIST(BY3019,$Y$6,$Y$8,TRUE),IF($BY$12=2,IF(BY3019&lt;=$BX$31,0,IF(BY3019&gt;=$BX$32,1,(BY3019-$BX$31)*$BX$33)),SUM($BU$42:BU3019)/$BV$40))</f>
        <v>1</v>
      </c>
      <c r="BW3019" s="16">
        <f t="shared" si="707"/>
        <v>2.9230015899310821E-33</v>
      </c>
      <c r="BY3019" s="16">
        <f t="shared" si="708"/>
        <v>297.69999999999919</v>
      </c>
      <c r="BZ3019" s="16">
        <f t="shared" si="699"/>
        <v>9.8186146789757811E-36</v>
      </c>
      <c r="CA3019" s="16">
        <f t="shared" si="706"/>
        <v>-999</v>
      </c>
      <c r="CE3019" s="16" t="e">
        <f t="shared" si="700"/>
        <v>#N/A</v>
      </c>
      <c r="CF3019" s="16">
        <f t="shared" si="701"/>
        <v>99</v>
      </c>
      <c r="CG3019" s="16">
        <f t="shared" si="702"/>
        <v>0</v>
      </c>
      <c r="CH3019" s="16">
        <f t="shared" si="709"/>
        <v>0</v>
      </c>
      <c r="CJ3019" s="16" t="e">
        <f t="shared" si="703"/>
        <v>#N/A</v>
      </c>
      <c r="CK3019" s="16" t="str">
        <f t="shared" si="704"/>
        <v/>
      </c>
    </row>
    <row r="3020" spans="73:89" ht="12" customHeight="1">
      <c r="BU3020" s="16">
        <f t="shared" si="705"/>
        <v>0</v>
      </c>
      <c r="BV3020" s="16">
        <f>IF($BY$12=1,NORMDIST(BY3020,$Y$6,$Y$8,TRUE),IF($BY$12=2,IF(BY3020&lt;=$BX$31,0,IF(BY3020&gt;=$BX$32,1,(BY3020-$BX$31)*$BX$33)),SUM($BU$42:BU3020)/$BV$40))</f>
        <v>1</v>
      </c>
      <c r="BW3020" s="16">
        <f t="shared" si="707"/>
        <v>2.7483737752233538E-33</v>
      </c>
      <c r="BY3020" s="16">
        <f t="shared" si="708"/>
        <v>297.79999999999922</v>
      </c>
      <c r="BZ3020" s="16">
        <f t="shared" si="699"/>
        <v>9.228924698533785E-36</v>
      </c>
      <c r="CA3020" s="16">
        <f t="shared" si="706"/>
        <v>-999</v>
      </c>
      <c r="CE3020" s="16" t="e">
        <f t="shared" si="700"/>
        <v>#N/A</v>
      </c>
      <c r="CF3020" s="16">
        <f t="shared" si="701"/>
        <v>99</v>
      </c>
      <c r="CG3020" s="16">
        <f t="shared" si="702"/>
        <v>0</v>
      </c>
      <c r="CH3020" s="16">
        <f t="shared" si="709"/>
        <v>0</v>
      </c>
      <c r="CJ3020" s="16" t="e">
        <f t="shared" si="703"/>
        <v>#N/A</v>
      </c>
      <c r="CK3020" s="16" t="str">
        <f t="shared" si="704"/>
        <v/>
      </c>
    </row>
    <row r="3021" spans="73:89" ht="12" customHeight="1">
      <c r="BU3021" s="16">
        <f t="shared" si="705"/>
        <v>0</v>
      </c>
      <c r="BV3021" s="16">
        <f>IF($BY$12=1,NORMDIST(BY3021,$Y$6,$Y$8,TRUE),IF($BY$12=2,IF(BY3021&lt;=$BX$31,0,IF(BY3021&gt;=$BX$32,1,(BY3021-$BX$31)*$BX$33)),SUM($BU$42:BU3021)/$BV$40))</f>
        <v>1</v>
      </c>
      <c r="BW3021" s="16">
        <f t="shared" si="707"/>
        <v>2.5841137911268301E-33</v>
      </c>
      <c r="BY3021" s="16">
        <f t="shared" si="708"/>
        <v>297.89999999999924</v>
      </c>
      <c r="BZ3021" s="16">
        <f t="shared" si="699"/>
        <v>8.6744336727990484E-36</v>
      </c>
      <c r="CA3021" s="16">
        <f t="shared" si="706"/>
        <v>-999</v>
      </c>
      <c r="CE3021" s="16" t="e">
        <f t="shared" si="700"/>
        <v>#N/A</v>
      </c>
      <c r="CF3021" s="16">
        <f t="shared" si="701"/>
        <v>99</v>
      </c>
      <c r="CG3021" s="16">
        <f t="shared" si="702"/>
        <v>0</v>
      </c>
      <c r="CH3021" s="16">
        <f t="shared" si="709"/>
        <v>0</v>
      </c>
      <c r="CJ3021" s="16" t="e">
        <f t="shared" si="703"/>
        <v>#N/A</v>
      </c>
      <c r="CK3021" s="16" t="str">
        <f t="shared" si="704"/>
        <v/>
      </c>
    </row>
    <row r="3022" spans="73:89" ht="12" customHeight="1">
      <c r="BU3022" s="16">
        <f t="shared" si="705"/>
        <v>0</v>
      </c>
      <c r="BV3022" s="16">
        <f>IF($BY$12=1,NORMDIST(BY3022,$Y$6,$Y$8,TRUE),IF($BY$12=2,IF(BY3022&lt;=$BX$31,0,IF(BY3022&gt;=$BX$32,1,(BY3022-$BX$31)*$BX$33)),SUM($BU$42:BU3022)/$BV$40))</f>
        <v>1</v>
      </c>
      <c r="BW3022" s="16">
        <f t="shared" si="707"/>
        <v>2.4296099949122044E-33</v>
      </c>
      <c r="BY3022" s="16">
        <f t="shared" si="708"/>
        <v>297.99999999999926</v>
      </c>
      <c r="BZ3022" s="16">
        <f t="shared" si="699"/>
        <v>8.1530536742020482E-36</v>
      </c>
      <c r="CA3022" s="16">
        <f t="shared" si="706"/>
        <v>-999</v>
      </c>
      <c r="CE3022" s="16" t="e">
        <f t="shared" si="700"/>
        <v>#N/A</v>
      </c>
      <c r="CF3022" s="16">
        <f t="shared" si="701"/>
        <v>99</v>
      </c>
      <c r="CG3022" s="16">
        <f t="shared" si="702"/>
        <v>0</v>
      </c>
      <c r="CH3022" s="16">
        <f t="shared" si="709"/>
        <v>0</v>
      </c>
      <c r="CJ3022" s="16" t="e">
        <f t="shared" si="703"/>
        <v>#N/A</v>
      </c>
      <c r="CK3022" s="16" t="str">
        <f t="shared" si="704"/>
        <v/>
      </c>
    </row>
    <row r="3023" spans="73:89" ht="12" customHeight="1">
      <c r="BU3023" s="16">
        <f t="shared" si="705"/>
        <v>0</v>
      </c>
      <c r="BV3023" s="16">
        <f>IF($BY$12=1,NORMDIST(BY3023,$Y$6,$Y$8,TRUE),IF($BY$12=2,IF(BY3023&lt;=$BX$31,0,IF(BY3023&gt;=$BX$32,1,(BY3023-$BX$31)*$BX$33)),SUM($BU$42:BU3023)/$BV$40))</f>
        <v>1</v>
      </c>
      <c r="BW3023" s="16">
        <f t="shared" si="707"/>
        <v>2.2842865935960124E-33</v>
      </c>
      <c r="BY3023" s="16">
        <f t="shared" si="708"/>
        <v>298.09999999999928</v>
      </c>
      <c r="BZ3023" s="16">
        <f t="shared" si="699"/>
        <v>7.662819837625018E-36</v>
      </c>
      <c r="CA3023" s="16">
        <f t="shared" si="706"/>
        <v>-999</v>
      </c>
      <c r="CE3023" s="16" t="e">
        <f t="shared" si="700"/>
        <v>#N/A</v>
      </c>
      <c r="CF3023" s="16">
        <f t="shared" si="701"/>
        <v>99</v>
      </c>
      <c r="CG3023" s="16">
        <f t="shared" si="702"/>
        <v>0</v>
      </c>
      <c r="CH3023" s="16">
        <f t="shared" si="709"/>
        <v>0</v>
      </c>
      <c r="CJ3023" s="16" t="e">
        <f t="shared" si="703"/>
        <v>#N/A</v>
      </c>
      <c r="CK3023" s="16" t="str">
        <f t="shared" si="704"/>
        <v/>
      </c>
    </row>
    <row r="3024" spans="73:89" ht="12" customHeight="1">
      <c r="BU3024" s="16">
        <f t="shared" si="705"/>
        <v>0</v>
      </c>
      <c r="BV3024" s="16">
        <f>IF($BY$12=1,NORMDIST(BY3024,$Y$6,$Y$8,TRUE),IF($BY$12=2,IF(BY3024&lt;=$BX$31,0,IF(BY3024&gt;=$BX$32,1,(BY3024-$BX$31)*$BX$33)),SUM($BU$42:BU3024)/$BV$40))</f>
        <v>1</v>
      </c>
      <c r="BW3024" s="16">
        <f t="shared" si="707"/>
        <v>2.1476015566017384E-33</v>
      </c>
      <c r="BY3024" s="16">
        <f t="shared" si="708"/>
        <v>298.19999999999931</v>
      </c>
      <c r="BZ3024" s="16">
        <f t="shared" si="699"/>
        <v>7.2018831542647336E-36</v>
      </c>
      <c r="CA3024" s="16">
        <f t="shared" si="706"/>
        <v>-999</v>
      </c>
      <c r="CE3024" s="16" t="e">
        <f t="shared" si="700"/>
        <v>#N/A</v>
      </c>
      <c r="CF3024" s="16">
        <f t="shared" si="701"/>
        <v>99</v>
      </c>
      <c r="CG3024" s="16">
        <f t="shared" si="702"/>
        <v>0</v>
      </c>
      <c r="CH3024" s="16">
        <f t="shared" si="709"/>
        <v>0</v>
      </c>
      <c r="CJ3024" s="16" t="e">
        <f t="shared" si="703"/>
        <v>#N/A</v>
      </c>
      <c r="CK3024" s="16" t="str">
        <f t="shared" si="704"/>
        <v/>
      </c>
    </row>
    <row r="3025" spans="73:89" ht="12" customHeight="1">
      <c r="BU3025" s="16">
        <f t="shared" si="705"/>
        <v>0</v>
      </c>
      <c r="BV3025" s="16">
        <f>IF($BY$12=1,NORMDIST(BY3025,$Y$6,$Y$8,TRUE),IF($BY$12=2,IF(BY3025&lt;=$BX$31,0,IF(BY3025&gt;=$BX$32,1,(BY3025-$BX$31)*$BX$33)),SUM($BU$42:BU3025)/$BV$40))</f>
        <v>1</v>
      </c>
      <c r="BW3025" s="16">
        <f t="shared" si="707"/>
        <v>2.0190446491346942E-33</v>
      </c>
      <c r="BY3025" s="16">
        <f t="shared" si="708"/>
        <v>298.29999999999933</v>
      </c>
      <c r="BZ3025" s="16">
        <f t="shared" si="699"/>
        <v>6.768503684662081E-36</v>
      </c>
      <c r="CA3025" s="16">
        <f t="shared" si="706"/>
        <v>-999</v>
      </c>
      <c r="CE3025" s="16" t="e">
        <f t="shared" si="700"/>
        <v>#N/A</v>
      </c>
      <c r="CF3025" s="16">
        <f t="shared" si="701"/>
        <v>99</v>
      </c>
      <c r="CG3025" s="16">
        <f t="shared" si="702"/>
        <v>0</v>
      </c>
      <c r="CH3025" s="16">
        <f t="shared" si="709"/>
        <v>0</v>
      </c>
      <c r="CJ3025" s="16" t="e">
        <f t="shared" si="703"/>
        <v>#N/A</v>
      </c>
      <c r="CK3025" s="16" t="str">
        <f t="shared" si="704"/>
        <v/>
      </c>
    </row>
    <row r="3026" spans="73:89" ht="12" customHeight="1">
      <c r="BU3026" s="16">
        <f t="shared" si="705"/>
        <v>0</v>
      </c>
      <c r="BV3026" s="16">
        <f>IF($BY$12=1,NORMDIST(BY3026,$Y$6,$Y$8,TRUE),IF($BY$12=2,IF(BY3026&lt;=$BX$31,0,IF(BY3026&gt;=$BX$32,1,(BY3026-$BX$31)*$BX$33)),SUM($BU$42:BU3026)/$BV$40))</f>
        <v>1</v>
      </c>
      <c r="BW3026" s="16">
        <f t="shared" si="707"/>
        <v>1.8981355793373189E-33</v>
      </c>
      <c r="BY3026" s="16">
        <f t="shared" si="708"/>
        <v>298.39999999999935</v>
      </c>
      <c r="BZ3026" s="16">
        <f t="shared" si="699"/>
        <v>6.3610441666800367E-36</v>
      </c>
      <c r="CA3026" s="16">
        <f t="shared" si="706"/>
        <v>-999</v>
      </c>
      <c r="CE3026" s="16" t="e">
        <f t="shared" si="700"/>
        <v>#N/A</v>
      </c>
      <c r="CF3026" s="16">
        <f t="shared" si="701"/>
        <v>99</v>
      </c>
      <c r="CG3026" s="16">
        <f t="shared" si="702"/>
        <v>0</v>
      </c>
      <c r="CH3026" s="16">
        <f t="shared" si="709"/>
        <v>0</v>
      </c>
      <c r="CJ3026" s="16" t="e">
        <f t="shared" si="703"/>
        <v>#N/A</v>
      </c>
      <c r="CK3026" s="16" t="str">
        <f t="shared" si="704"/>
        <v/>
      </c>
    </row>
    <row r="3027" spans="73:89" ht="12" customHeight="1">
      <c r="BU3027" s="16">
        <f t="shared" si="705"/>
        <v>0</v>
      </c>
      <c r="BV3027" s="16">
        <f>IF($BY$12=1,NORMDIST(BY3027,$Y$6,$Y$8,TRUE),IF($BY$12=2,IF(BY3027&lt;=$BX$31,0,IF(BY3027&gt;=$BX$32,1,(BY3027-$BX$31)*$BX$33)),SUM($BU$42:BU3027)/$BV$40))</f>
        <v>1</v>
      </c>
      <c r="BW3027" s="16">
        <f t="shared" si="707"/>
        <v>1.7844222526879544E-33</v>
      </c>
      <c r="BY3027" s="16">
        <f t="shared" si="708"/>
        <v>298.49999999999937</v>
      </c>
      <c r="BZ3027" s="16">
        <f t="shared" si="699"/>
        <v>5.9779639956045493E-36</v>
      </c>
      <c r="CA3027" s="16">
        <f t="shared" si="706"/>
        <v>-999</v>
      </c>
      <c r="CE3027" s="16" t="e">
        <f t="shared" si="700"/>
        <v>#N/A</v>
      </c>
      <c r="CF3027" s="16">
        <f t="shared" si="701"/>
        <v>99</v>
      </c>
      <c r="CG3027" s="16">
        <f t="shared" si="702"/>
        <v>0</v>
      </c>
      <c r="CH3027" s="16">
        <f t="shared" si="709"/>
        <v>0</v>
      </c>
      <c r="CJ3027" s="16" t="e">
        <f t="shared" si="703"/>
        <v>#N/A</v>
      </c>
      <c r="CK3027" s="16" t="str">
        <f t="shared" si="704"/>
        <v/>
      </c>
    </row>
    <row r="3028" spans="73:89" ht="12" customHeight="1">
      <c r="BU3028" s="16">
        <f t="shared" si="705"/>
        <v>0</v>
      </c>
      <c r="BV3028" s="16">
        <f>IF($BY$12=1,NORMDIST(BY3028,$Y$6,$Y$8,TRUE),IF($BY$12=2,IF(BY3028&lt;=$BX$31,0,IF(BY3028&gt;=$BX$32,1,(BY3028-$BX$31)*$BX$33)),SUM($BU$42:BU3028)/$BV$40))</f>
        <v>1</v>
      </c>
      <c r="BW3028" s="16">
        <f t="shared" si="707"/>
        <v>1.6774791274781362E-33</v>
      </c>
      <c r="BY3028" s="16">
        <f t="shared" si="708"/>
        <v>298.5999999999994</v>
      </c>
      <c r="BZ3028" s="16">
        <f t="shared" si="699"/>
        <v>5.6178135548497644E-36</v>
      </c>
      <c r="CA3028" s="16">
        <f t="shared" si="706"/>
        <v>-999</v>
      </c>
      <c r="CE3028" s="16" t="e">
        <f t="shared" si="700"/>
        <v>#N/A</v>
      </c>
      <c r="CF3028" s="16">
        <f t="shared" si="701"/>
        <v>99</v>
      </c>
      <c r="CG3028" s="16">
        <f t="shared" si="702"/>
        <v>0</v>
      </c>
      <c r="CH3028" s="16">
        <f t="shared" si="709"/>
        <v>0</v>
      </c>
      <c r="CJ3028" s="16" t="e">
        <f t="shared" si="703"/>
        <v>#N/A</v>
      </c>
      <c r="CK3028" s="16" t="str">
        <f t="shared" si="704"/>
        <v/>
      </c>
    </row>
    <row r="3029" spans="73:89" ht="12" customHeight="1">
      <c r="BU3029" s="16">
        <f t="shared" si="705"/>
        <v>0</v>
      </c>
      <c r="BV3029" s="16">
        <f>IF($BY$12=1,NORMDIST(BY3029,$Y$6,$Y$8,TRUE),IF($BY$12=2,IF(BY3029&lt;=$BX$31,0,IF(BY3029&gt;=$BX$32,1,(BY3029-$BX$31)*$BX$33)),SUM($BU$42:BU3029)/$BV$40))</f>
        <v>1</v>
      </c>
      <c r="BW3029" s="16">
        <f t="shared" si="707"/>
        <v>1.5769056655562017E-33</v>
      </c>
      <c r="BY3029" s="16">
        <f t="shared" si="708"/>
        <v>298.69999999999942</v>
      </c>
      <c r="BZ3029" s="16">
        <f t="shared" si="699"/>
        <v>5.2792288769876285E-36</v>
      </c>
      <c r="CA3029" s="16">
        <f t="shared" si="706"/>
        <v>-999</v>
      </c>
      <c r="CE3029" s="16" t="e">
        <f t="shared" si="700"/>
        <v>#N/A</v>
      </c>
      <c r="CF3029" s="16">
        <f t="shared" si="701"/>
        <v>99</v>
      </c>
      <c r="CG3029" s="16">
        <f t="shared" si="702"/>
        <v>0</v>
      </c>
      <c r="CH3029" s="16">
        <f t="shared" si="709"/>
        <v>0</v>
      </c>
      <c r="CJ3029" s="16" t="e">
        <f t="shared" si="703"/>
        <v>#N/A</v>
      </c>
      <c r="CK3029" s="16" t="str">
        <f t="shared" si="704"/>
        <v/>
      </c>
    </row>
    <row r="3030" spans="73:89" ht="12" customHeight="1">
      <c r="BU3030" s="16">
        <f t="shared" si="705"/>
        <v>0</v>
      </c>
      <c r="BV3030" s="16">
        <f>IF($BY$12=1,NORMDIST(BY3030,$Y$6,$Y$8,TRUE),IF($BY$12=2,IF(BY3030&lt;=$BX$31,0,IF(BY3030&gt;=$BX$32,1,(BY3030-$BX$31)*$BX$33)),SUM($BU$42:BU3030)/$BV$40))</f>
        <v>1</v>
      </c>
      <c r="BW3030" s="16">
        <f t="shared" si="707"/>
        <v>1.4823248728560667E-33</v>
      </c>
      <c r="BY3030" s="16">
        <f t="shared" si="708"/>
        <v>298.79999999999944</v>
      </c>
      <c r="BZ3030" s="16">
        <f t="shared" si="699"/>
        <v>4.9609266159841683E-36</v>
      </c>
      <c r="CA3030" s="16">
        <f t="shared" si="706"/>
        <v>-999</v>
      </c>
      <c r="CE3030" s="16" t="e">
        <f t="shared" si="700"/>
        <v>#N/A</v>
      </c>
      <c r="CF3030" s="16">
        <f t="shared" si="701"/>
        <v>99</v>
      </c>
      <c r="CG3030" s="16">
        <f t="shared" si="702"/>
        <v>0</v>
      </c>
      <c r="CH3030" s="16">
        <f t="shared" si="709"/>
        <v>0</v>
      </c>
      <c r="CJ3030" s="16" t="e">
        <f t="shared" si="703"/>
        <v>#N/A</v>
      </c>
      <c r="CK3030" s="16" t="str">
        <f t="shared" si="704"/>
        <v/>
      </c>
    </row>
    <row r="3031" spans="73:89" ht="12" customHeight="1">
      <c r="BU3031" s="16">
        <f t="shared" si="705"/>
        <v>0</v>
      </c>
      <c r="BV3031" s="16">
        <f>IF($BY$12=1,NORMDIST(BY3031,$Y$6,$Y$8,TRUE),IF($BY$12=2,IF(BY3031&lt;=$BX$31,0,IF(BY3031&gt;=$BX$32,1,(BY3031-$BX$31)*$BX$33)),SUM($BU$42:BU3031)/$BV$40))</f>
        <v>1</v>
      </c>
      <c r="BW3031" s="16">
        <f t="shared" si="707"/>
        <v>1.393381924543926E-33</v>
      </c>
      <c r="BY3031" s="16">
        <f t="shared" si="708"/>
        <v>298.89999999999947</v>
      </c>
      <c r="BZ3031" s="16">
        <f t="shared" si="699"/>
        <v>4.6616993126260571E-36</v>
      </c>
      <c r="CA3031" s="16">
        <f t="shared" si="706"/>
        <v>-999</v>
      </c>
      <c r="CE3031" s="16" t="e">
        <f t="shared" si="700"/>
        <v>#N/A</v>
      </c>
      <c r="CF3031" s="16">
        <f t="shared" si="701"/>
        <v>99</v>
      </c>
      <c r="CG3031" s="16">
        <f t="shared" si="702"/>
        <v>0</v>
      </c>
      <c r="CH3031" s="16">
        <f t="shared" si="709"/>
        <v>0</v>
      </c>
      <c r="CJ3031" s="16" t="e">
        <f t="shared" si="703"/>
        <v>#N/A</v>
      </c>
      <c r="CK3031" s="16" t="str">
        <f t="shared" si="704"/>
        <v/>
      </c>
    </row>
    <row r="3032" spans="73:89" ht="12" customHeight="1">
      <c r="BU3032" s="16">
        <f t="shared" si="705"/>
        <v>0</v>
      </c>
      <c r="BV3032" s="16">
        <f>IF($BY$12=1,NORMDIST(BY3032,$Y$6,$Y$8,TRUE),IF($BY$12=2,IF(BY3032&lt;=$BX$31,0,IF(BY3032&gt;=$BX$32,1,(BY3032-$BX$31)*$BX$33)),SUM($BU$42:BU3032)/$BV$40))</f>
        <v>1</v>
      </c>
      <c r="BW3032" s="16">
        <f t="shared" si="707"/>
        <v>1.3097428699102171E-33</v>
      </c>
      <c r="BY3032" s="16">
        <f t="shared" si="708"/>
        <v>298.99999999999949</v>
      </c>
      <c r="BZ3032" s="16">
        <f t="shared" si="699"/>
        <v>4.3804109361545796E-36</v>
      </c>
      <c r="CA3032" s="16">
        <f t="shared" si="706"/>
        <v>-999</v>
      </c>
      <c r="CE3032" s="16" t="e">
        <f t="shared" si="700"/>
        <v>#N/A</v>
      </c>
      <c r="CF3032" s="16">
        <f t="shared" si="701"/>
        <v>99</v>
      </c>
      <c r="CG3032" s="16">
        <f t="shared" si="702"/>
        <v>0</v>
      </c>
      <c r="CH3032" s="16">
        <f t="shared" si="709"/>
        <v>0</v>
      </c>
      <c r="CJ3032" s="16" t="e">
        <f t="shared" si="703"/>
        <v>#N/A</v>
      </c>
      <c r="CK3032" s="16" t="str">
        <f t="shared" si="704"/>
        <v/>
      </c>
    </row>
    <row r="3033" spans="73:89" ht="12" customHeight="1">
      <c r="BU3033" s="16">
        <f t="shared" si="705"/>
        <v>0</v>
      </c>
      <c r="BV3033" s="16">
        <f>IF($BY$12=1,NORMDIST(BY3033,$Y$6,$Y$8,TRUE),IF($BY$12=2,IF(BY3033&lt;=$BX$31,0,IF(BY3033&gt;=$BX$32,1,(BY3033-$BX$31)*$BX$33)),SUM($BU$42:BU3033)/$BV$40))</f>
        <v>1</v>
      </c>
      <c r="BW3033" s="16">
        <f t="shared" si="707"/>
        <v>1.2310934124133548E-33</v>
      </c>
      <c r="BY3033" s="16">
        <f t="shared" si="708"/>
        <v>299.09999999999951</v>
      </c>
      <c r="BZ3033" s="16">
        <f t="shared" si="699"/>
        <v>4.115992686102831E-36</v>
      </c>
      <c r="CA3033" s="16">
        <f t="shared" si="706"/>
        <v>-999</v>
      </c>
      <c r="CE3033" s="16" t="e">
        <f t="shared" si="700"/>
        <v>#N/A</v>
      </c>
      <c r="CF3033" s="16">
        <f t="shared" si="701"/>
        <v>99</v>
      </c>
      <c r="CG3033" s="16">
        <f t="shared" si="702"/>
        <v>0</v>
      </c>
      <c r="CH3033" s="16">
        <f t="shared" si="709"/>
        <v>0</v>
      </c>
      <c r="CJ3033" s="16" t="e">
        <f t="shared" si="703"/>
        <v>#N/A</v>
      </c>
      <c r="CK3033" s="16" t="str">
        <f t="shared" si="704"/>
        <v/>
      </c>
    </row>
    <row r="3034" spans="73:89" ht="12" customHeight="1">
      <c r="BU3034" s="16">
        <f t="shared" si="705"/>
        <v>0</v>
      </c>
      <c r="BV3034" s="16">
        <f>IF($BY$12=1,NORMDIST(BY3034,$Y$6,$Y$8,TRUE),IF($BY$12=2,IF(BY3034&lt;=$BX$31,0,IF(BY3034&gt;=$BX$32,1,(BY3034-$BX$31)*$BX$33)),SUM($BU$42:BU3034)/$BV$40))</f>
        <v>1</v>
      </c>
      <c r="BW3034" s="16">
        <f t="shared" si="707"/>
        <v>1.157137760544253E-33</v>
      </c>
      <c r="BY3034" s="16">
        <f t="shared" si="708"/>
        <v>299.19999999999953</v>
      </c>
      <c r="BZ3034" s="16">
        <f t="shared" si="699"/>
        <v>3.8674390392521883E-36</v>
      </c>
      <c r="CA3034" s="16">
        <f t="shared" si="706"/>
        <v>-999</v>
      </c>
      <c r="CE3034" s="16" t="e">
        <f t="shared" si="700"/>
        <v>#N/A</v>
      </c>
      <c r="CF3034" s="16">
        <f t="shared" si="701"/>
        <v>99</v>
      </c>
      <c r="CG3034" s="16">
        <f t="shared" si="702"/>
        <v>0</v>
      </c>
      <c r="CH3034" s="16">
        <f t="shared" si="709"/>
        <v>0</v>
      </c>
      <c r="CJ3034" s="16" t="e">
        <f t="shared" si="703"/>
        <v>#N/A</v>
      </c>
      <c r="CK3034" s="16" t="str">
        <f t="shared" si="704"/>
        <v/>
      </c>
    </row>
    <row r="3035" spans="73:89" ht="12" customHeight="1">
      <c r="BU3035" s="16">
        <f t="shared" si="705"/>
        <v>0</v>
      </c>
      <c r="BV3035" s="16">
        <f>IF($BY$12=1,NORMDIST(BY3035,$Y$6,$Y$8,TRUE),IF($BY$12=2,IF(BY3035&lt;=$BX$31,0,IF(BY3035&gt;=$BX$32,1,(BY3035-$BX$31)*$BX$33)),SUM($BU$42:BU3035)/$BV$40))</f>
        <v>1</v>
      </c>
      <c r="BW3035" s="16">
        <f t="shared" si="707"/>
        <v>1.087597545428346E-33</v>
      </c>
      <c r="BY3035" s="16">
        <f t="shared" si="708"/>
        <v>299.29999999999956</v>
      </c>
      <c r="BZ3035" s="16">
        <f t="shared" si="699"/>
        <v>3.6338040274919734E-36</v>
      </c>
      <c r="CA3035" s="16">
        <f t="shared" si="706"/>
        <v>-999</v>
      </c>
      <c r="CE3035" s="16" t="e">
        <f t="shared" si="700"/>
        <v>#N/A</v>
      </c>
      <c r="CF3035" s="16">
        <f t="shared" si="701"/>
        <v>99</v>
      </c>
      <c r="CG3035" s="16">
        <f t="shared" si="702"/>
        <v>0</v>
      </c>
      <c r="CH3035" s="16">
        <f t="shared" si="709"/>
        <v>0</v>
      </c>
      <c r="CJ3035" s="16" t="e">
        <f t="shared" si="703"/>
        <v>#N/A</v>
      </c>
      <c r="CK3035" s="16" t="str">
        <f t="shared" si="704"/>
        <v/>
      </c>
    </row>
    <row r="3036" spans="73:89" ht="12" customHeight="1">
      <c r="BU3036" s="16">
        <f t="shared" si="705"/>
        <v>0</v>
      </c>
      <c r="BV3036" s="16">
        <f>IF($BY$12=1,NORMDIST(BY3036,$Y$6,$Y$8,TRUE),IF($BY$12=2,IF(BY3036&lt;=$BX$31,0,IF(BY3036&gt;=$BX$32,1,(BY3036-$BX$31)*$BX$33)),SUM($BU$42:BU3036)/$BV$40))</f>
        <v>1</v>
      </c>
      <c r="BW3036" s="16">
        <f t="shared" si="707"/>
        <v>1.0222108013159293E-33</v>
      </c>
      <c r="BY3036" s="16">
        <f t="shared" si="708"/>
        <v>299.39999999999958</v>
      </c>
      <c r="BZ3036" s="16">
        <f t="shared" si="699"/>
        <v>3.4141977331861414E-36</v>
      </c>
      <c r="CA3036" s="16">
        <f t="shared" si="706"/>
        <v>-999</v>
      </c>
      <c r="CE3036" s="16" t="e">
        <f t="shared" si="700"/>
        <v>#N/A</v>
      </c>
      <c r="CF3036" s="16">
        <f t="shared" si="701"/>
        <v>99</v>
      </c>
      <c r="CG3036" s="16">
        <f t="shared" si="702"/>
        <v>0</v>
      </c>
      <c r="CH3036" s="16">
        <f t="shared" si="709"/>
        <v>0</v>
      </c>
      <c r="CJ3036" s="16" t="e">
        <f t="shared" si="703"/>
        <v>#N/A</v>
      </c>
      <c r="CK3036" s="16" t="str">
        <f t="shared" si="704"/>
        <v/>
      </c>
    </row>
    <row r="3037" spans="73:89" ht="12" customHeight="1">
      <c r="BU3037" s="16">
        <f t="shared" si="705"/>
        <v>0</v>
      </c>
      <c r="BV3037" s="16">
        <f>IF($BY$12=1,NORMDIST(BY3037,$Y$6,$Y$8,TRUE),IF($BY$12=2,IF(BY3037&lt;=$BX$31,0,IF(BY3037&gt;=$BX$32,1,(BY3037-$BX$31)*$BX$33)),SUM($BU$42:BU3037)/$BV$40))</f>
        <v>1</v>
      </c>
      <c r="BW3037" s="16">
        <f t="shared" si="707"/>
        <v>9.6073100533189263E-34</v>
      </c>
      <c r="BY3037" s="16">
        <f t="shared" si="708"/>
        <v>299.4999999999996</v>
      </c>
      <c r="BZ3037" s="16">
        <f t="shared" si="699"/>
        <v>3.2077829894220162E-36</v>
      </c>
      <c r="CA3037" s="16">
        <f t="shared" si="706"/>
        <v>-999</v>
      </c>
      <c r="CE3037" s="16" t="e">
        <f t="shared" si="700"/>
        <v>#N/A</v>
      </c>
      <c r="CF3037" s="16">
        <f t="shared" si="701"/>
        <v>99</v>
      </c>
      <c r="CG3037" s="16">
        <f t="shared" si="702"/>
        <v>0</v>
      </c>
      <c r="CH3037" s="16">
        <f t="shared" si="709"/>
        <v>0</v>
      </c>
      <c r="CJ3037" s="16" t="e">
        <f t="shared" si="703"/>
        <v>#N/A</v>
      </c>
      <c r="CK3037" s="16" t="str">
        <f t="shared" si="704"/>
        <v/>
      </c>
    </row>
    <row r="3038" spans="73:89" ht="12" customHeight="1">
      <c r="BU3038" s="16">
        <f t="shared" si="705"/>
        <v>0</v>
      </c>
      <c r="BV3038" s="16">
        <f>IF($BY$12=1,NORMDIST(BY3038,$Y$6,$Y$8,TRUE),IF($BY$12=2,IF(BY3038&lt;=$BX$31,0,IF(BY3038&gt;=$BX$32,1,(BY3038-$BX$31)*$BX$33)),SUM($BU$42:BU3038)/$BV$40))</f>
        <v>1</v>
      </c>
      <c r="BW3038" s="16">
        <f t="shared" si="707"/>
        <v>9.0292617306383786E-34</v>
      </c>
      <c r="BY3038" s="16">
        <f t="shared" si="708"/>
        <v>299.59999999999962</v>
      </c>
      <c r="BZ3038" s="16">
        <f t="shared" si="699"/>
        <v>3.0137722732437886E-36</v>
      </c>
      <c r="CA3038" s="16">
        <f t="shared" si="706"/>
        <v>-999</v>
      </c>
      <c r="CE3038" s="16" t="e">
        <f t="shared" si="700"/>
        <v>#N/A</v>
      </c>
      <c r="CF3038" s="16">
        <f t="shared" si="701"/>
        <v>99</v>
      </c>
      <c r="CG3038" s="16">
        <f t="shared" si="702"/>
        <v>0</v>
      </c>
      <c r="CH3038" s="16">
        <f t="shared" si="709"/>
        <v>0</v>
      </c>
      <c r="CJ3038" s="16" t="e">
        <f t="shared" si="703"/>
        <v>#N/A</v>
      </c>
      <c r="CK3038" s="16" t="str">
        <f t="shared" si="704"/>
        <v/>
      </c>
    </row>
    <row r="3039" spans="73:89" ht="12" customHeight="1">
      <c r="BU3039" s="16">
        <f t="shared" si="705"/>
        <v>0</v>
      </c>
      <c r="BV3039" s="16">
        <f>IF($BY$12=1,NORMDIST(BY3039,$Y$6,$Y$8,TRUE),IF($BY$12=2,IF(BY3039&lt;=$BX$31,0,IF(BY3039&gt;=$BX$32,1,(BY3039-$BX$31)*$BX$33)),SUM($BU$42:BU3039)/$BV$40))</f>
        <v>1</v>
      </c>
      <c r="BW3039" s="16">
        <f t="shared" si="707"/>
        <v>8.4857800676375093E-34</v>
      </c>
      <c r="BY3039" s="16">
        <f t="shared" si="708"/>
        <v>299.69999999999965</v>
      </c>
      <c r="BZ3039" s="16">
        <f t="shared" si="699"/>
        <v>2.8314247806598327E-36</v>
      </c>
      <c r="CA3039" s="16">
        <f t="shared" si="706"/>
        <v>-999</v>
      </c>
      <c r="CE3039" s="16" t="e">
        <f t="shared" si="700"/>
        <v>#N/A</v>
      </c>
      <c r="CF3039" s="16">
        <f t="shared" si="701"/>
        <v>99</v>
      </c>
      <c r="CG3039" s="16">
        <f t="shared" si="702"/>
        <v>0</v>
      </c>
      <c r="CH3039" s="16">
        <f t="shared" si="709"/>
        <v>0</v>
      </c>
      <c r="CJ3039" s="16" t="e">
        <f t="shared" si="703"/>
        <v>#N/A</v>
      </c>
      <c r="CK3039" s="16" t="str">
        <f t="shared" si="704"/>
        <v/>
      </c>
    </row>
    <row r="3040" spans="73:89" ht="12" customHeight="1">
      <c r="BU3040" s="16">
        <f t="shared" si="705"/>
        <v>0</v>
      </c>
      <c r="BV3040" s="16">
        <f>IF($BY$12=1,NORMDIST(BY3040,$Y$6,$Y$8,TRUE),IF($BY$12=2,IF(BY3040&lt;=$BX$31,0,IF(BY3040&gt;=$BX$32,1,(BY3040-$BX$31)*$BX$33)),SUM($BU$42:BU3040)/$BV$40))</f>
        <v>1</v>
      </c>
      <c r="BW3040" s="16">
        <f t="shared" si="707"/>
        <v>7.9748109312338196E-34</v>
      </c>
      <c r="BY3040" s="16">
        <f t="shared" si="708"/>
        <v>299.79999999999967</v>
      </c>
      <c r="BZ3040" s="16">
        <f t="shared" si="699"/>
        <v>2.6600436728598496E-36</v>
      </c>
      <c r="CA3040" s="16">
        <f t="shared" si="706"/>
        <v>-999</v>
      </c>
      <c r="CE3040" s="16" t="e">
        <f t="shared" si="700"/>
        <v>#N/A</v>
      </c>
      <c r="CF3040" s="16">
        <f t="shared" si="701"/>
        <v>99</v>
      </c>
      <c r="CG3040" s="16">
        <f t="shared" si="702"/>
        <v>0</v>
      </c>
      <c r="CH3040" s="16">
        <f t="shared" si="709"/>
        <v>0</v>
      </c>
      <c r="CJ3040" s="16" t="e">
        <f t="shared" si="703"/>
        <v>#N/A</v>
      </c>
      <c r="CK3040" s="16" t="str">
        <f t="shared" si="704"/>
        <v/>
      </c>
    </row>
    <row r="3041" spans="73:89" ht="12" customHeight="1">
      <c r="BU3041" s="16">
        <f t="shared" si="705"/>
        <v>0</v>
      </c>
      <c r="BV3041" s="16">
        <f>IF($BY$12=1,NORMDIST(BY3041,$Y$6,$Y$8,TRUE),IF($BY$12=2,IF(BY3041&lt;=$BX$31,0,IF(BY3041&gt;=$BX$32,1,(BY3041-$BX$31)*$BX$33)),SUM($BU$42:BU3041)/$BV$40))</f>
        <v>1</v>
      </c>
      <c r="BW3041" s="16">
        <f t="shared" si="707"/>
        <v>7.4944214775784726E-34</v>
      </c>
      <c r="BY3041" s="16">
        <f t="shared" si="708"/>
        <v>299.89999999999969</v>
      </c>
      <c r="BZ3041" s="16">
        <f t="shared" si="699"/>
        <v>2.4989734836873893E-36</v>
      </c>
      <c r="CA3041" s="16">
        <f t="shared" si="706"/>
        <v>-999</v>
      </c>
      <c r="CE3041" s="16" t="e">
        <f t="shared" si="700"/>
        <v>#N/A</v>
      </c>
      <c r="CF3041" s="16">
        <f t="shared" si="701"/>
        <v>99</v>
      </c>
      <c r="CG3041" s="16">
        <f t="shared" si="702"/>
        <v>0</v>
      </c>
      <c r="CH3041" s="16">
        <f t="shared" si="709"/>
        <v>0</v>
      </c>
      <c r="CJ3041" s="16" t="e">
        <f t="shared" si="703"/>
        <v>#N/A</v>
      </c>
      <c r="CK3041" s="16" t="str">
        <f t="shared" si="704"/>
        <v/>
      </c>
    </row>
    <row r="3042" spans="73:89" ht="12" customHeight="1">
      <c r="BU3042" s="16">
        <f t="shared" si="705"/>
        <v>0</v>
      </c>
      <c r="BV3042" s="16">
        <f>IF($BY$12=1,NORMDIST(BY3042,$Y$6,$Y$8,TRUE),IF($BY$12=2,IF(BY3042&lt;=$BX$31,0,IF(BY3042&gt;=$BX$32,1,(BY3042-$BX$31)*$BX$33)),SUM($BU$42:BU3042)/$BV$40))</f>
        <v>1</v>
      </c>
      <c r="BW3042" s="16">
        <f t="shared" si="707"/>
        <v>7.0427930369640132E-34</v>
      </c>
      <c r="BY3042" s="16">
        <f t="shared" si="708"/>
        <v>299.99999999999972</v>
      </c>
      <c r="BZ3042" s="16">
        <f t="shared" si="699"/>
        <v>2.3475976789880067E-36</v>
      </c>
      <c r="CA3042" s="16">
        <f t="shared" si="706"/>
        <v>-999</v>
      </c>
      <c r="CE3042" s="16" t="e">
        <f t="shared" si="700"/>
        <v>#N/A</v>
      </c>
      <c r="CF3042" s="16">
        <f t="shared" si="701"/>
        <v>99</v>
      </c>
      <c r="CG3042" s="16">
        <f t="shared" si="702"/>
        <v>0</v>
      </c>
      <c r="CH3042" s="16">
        <f t="shared" si="709"/>
        <v>0</v>
      </c>
      <c r="CJ3042" s="16" t="e">
        <f t="shared" si="703"/>
        <v>#N/A</v>
      </c>
      <c r="CK3042" s="16" t="str">
        <f t="shared" si="704"/>
        <v/>
      </c>
    </row>
    <row r="3043" spans="73:89" ht="12" customHeight="1">
      <c r="BU3043" s="16">
        <f t="shared" si="705"/>
        <v>0</v>
      </c>
      <c r="BV3043" s="16">
        <f>IF($BY$12=1,NORMDIST(BY3043,$Y$6,$Y$8,TRUE),IF($BY$12=2,IF(BY3043&lt;=$BX$31,0,IF(BY3043&gt;=$BX$32,1,(BY3043-$BX$31)*$BX$33)),SUM($BU$42:BU3043)/$BV$40))</f>
        <v>1</v>
      </c>
      <c r="BW3043" s="16">
        <f t="shared" si="707"/>
        <v>6.6182144133442731E-34</v>
      </c>
      <c r="BY3043" s="16">
        <f t="shared" si="708"/>
        <v>300.09999999999974</v>
      </c>
      <c r="BZ3043" s="16">
        <f t="shared" si="699"/>
        <v>2.2053363589950946E-36</v>
      </c>
      <c r="CA3043" s="16">
        <f t="shared" si="706"/>
        <v>-999</v>
      </c>
      <c r="CE3043" s="16" t="e">
        <f t="shared" si="700"/>
        <v>#N/A</v>
      </c>
      <c r="CF3043" s="16">
        <f t="shared" si="701"/>
        <v>99</v>
      </c>
      <c r="CG3043" s="16">
        <f t="shared" si="702"/>
        <v>0</v>
      </c>
      <c r="CH3043" s="16">
        <f t="shared" si="709"/>
        <v>0</v>
      </c>
      <c r="CJ3043" s="16" t="e">
        <f t="shared" si="703"/>
        <v>#N/A</v>
      </c>
      <c r="CK3043" s="16" t="str">
        <f t="shared" si="704"/>
        <v/>
      </c>
    </row>
    <row r="3044" spans="73:89" ht="12" customHeight="1">
      <c r="BU3044" s="16">
        <f t="shared" si="705"/>
        <v>0</v>
      </c>
      <c r="BV3044" s="16">
        <f>IF($BY$12=1,NORMDIST(BY3044,$Y$6,$Y$8,TRUE),IF($BY$12=2,IF(BY3044&lt;=$BX$31,0,IF(BY3044&gt;=$BX$32,1,(BY3044-$BX$31)*$BX$33)),SUM($BU$42:BU3044)/$BV$40))</f>
        <v>1</v>
      </c>
      <c r="BW3044" s="16">
        <f t="shared" si="707"/>
        <v>6.2190755744726569E-34</v>
      </c>
      <c r="BY3044" s="16">
        <f t="shared" si="708"/>
        <v>300.19999999999976</v>
      </c>
      <c r="BZ3044" s="16">
        <f t="shared" si="699"/>
        <v>2.0716440954272691E-36</v>
      </c>
      <c r="CA3044" s="16">
        <f t="shared" si="706"/>
        <v>-999</v>
      </c>
      <c r="CE3044" s="16" t="e">
        <f t="shared" si="700"/>
        <v>#N/A</v>
      </c>
      <c r="CF3044" s="16">
        <f t="shared" si="701"/>
        <v>99</v>
      </c>
      <c r="CG3044" s="16">
        <f t="shared" si="702"/>
        <v>0</v>
      </c>
      <c r="CH3044" s="16">
        <f t="shared" si="709"/>
        <v>0</v>
      </c>
      <c r="CJ3044" s="16" t="e">
        <f t="shared" si="703"/>
        <v>#N/A</v>
      </c>
      <c r="CK3044" s="16" t="str">
        <f t="shared" si="704"/>
        <v/>
      </c>
    </row>
    <row r="3045" spans="73:89" ht="12" customHeight="1">
      <c r="BU3045" s="16">
        <f t="shared" si="705"/>
        <v>0</v>
      </c>
      <c r="BV3045" s="16">
        <f>IF($BY$12=1,NORMDIST(BY3045,$Y$6,$Y$8,TRUE),IF($BY$12=2,IF(BY3045&lt;=$BX$31,0,IF(BY3045&gt;=$BX$32,1,(BY3045-$BX$31)*$BX$33)),SUM($BU$42:BU3045)/$BV$40))</f>
        <v>1</v>
      </c>
      <c r="BW3045" s="16">
        <f t="shared" si="707"/>
        <v>5.8438617100375152E-34</v>
      </c>
      <c r="BY3045" s="16">
        <f t="shared" si="708"/>
        <v>300.29999999999978</v>
      </c>
      <c r="BZ3045" s="16">
        <f t="shared" si="699"/>
        <v>1.9460078954503896E-36</v>
      </c>
      <c r="CA3045" s="16">
        <f t="shared" si="706"/>
        <v>-999</v>
      </c>
      <c r="CE3045" s="16" t="e">
        <f t="shared" si="700"/>
        <v>#N/A</v>
      </c>
      <c r="CF3045" s="16">
        <f t="shared" si="701"/>
        <v>99</v>
      </c>
      <c r="CG3045" s="16">
        <f t="shared" si="702"/>
        <v>0</v>
      </c>
      <c r="CH3045" s="16">
        <f t="shared" si="709"/>
        <v>0</v>
      </c>
      <c r="CJ3045" s="16" t="e">
        <f t="shared" si="703"/>
        <v>#N/A</v>
      </c>
      <c r="CK3045" s="16" t="str">
        <f t="shared" si="704"/>
        <v/>
      </c>
    </row>
    <row r="3046" spans="73:89" ht="12" customHeight="1">
      <c r="BU3046" s="16">
        <f t="shared" si="705"/>
        <v>0</v>
      </c>
      <c r="BV3046" s="16">
        <f>IF($BY$12=1,NORMDIST(BY3046,$Y$6,$Y$8,TRUE),IF($BY$12=2,IF(BY3046&lt;=$BX$31,0,IF(BY3046&gt;=$BX$32,1,(BY3046-$BX$31)*$BX$33)),SUM($BU$42:BU3046)/$BV$40))</f>
        <v>1</v>
      </c>
      <c r="BW3046" s="16">
        <f t="shared" si="707"/>
        <v>5.4911476364824229E-34</v>
      </c>
      <c r="BY3046" s="16">
        <f t="shared" si="708"/>
        <v>300.39999999999981</v>
      </c>
      <c r="BZ3046" s="16">
        <f t="shared" si="699"/>
        <v>1.8279452851139902E-36</v>
      </c>
      <c r="CA3046" s="16">
        <f t="shared" si="706"/>
        <v>-999</v>
      </c>
      <c r="CE3046" s="16" t="e">
        <f t="shared" si="700"/>
        <v>#N/A</v>
      </c>
      <c r="CF3046" s="16">
        <f t="shared" si="701"/>
        <v>99</v>
      </c>
      <c r="CG3046" s="16">
        <f t="shared" si="702"/>
        <v>0</v>
      </c>
      <c r="CH3046" s="16">
        <f t="shared" si="709"/>
        <v>0</v>
      </c>
      <c r="CJ3046" s="16" t="e">
        <f t="shared" si="703"/>
        <v>#N/A</v>
      </c>
      <c r="CK3046" s="16" t="str">
        <f t="shared" si="704"/>
        <v/>
      </c>
    </row>
    <row r="3047" spans="73:89" ht="12" customHeight="1">
      <c r="BU3047" s="16">
        <f t="shared" si="705"/>
        <v>0</v>
      </c>
      <c r="BV3047" s="16">
        <f>IF($BY$12=1,NORMDIST(BY3047,$Y$6,$Y$8,TRUE),IF($BY$12=2,IF(BY3047&lt;=$BX$31,0,IF(BY3047&gt;=$BX$32,1,(BY3047-$BX$31)*$BX$33)),SUM($BU$42:BU3047)/$BV$40))</f>
        <v>1</v>
      </c>
      <c r="BW3047" s="16">
        <f t="shared" si="707"/>
        <v>5.1595925284165843E-34</v>
      </c>
      <c r="BY3047" s="16">
        <f t="shared" si="708"/>
        <v>300.49999999999983</v>
      </c>
      <c r="BZ3047" s="16">
        <f t="shared" si="699"/>
        <v>1.7170025052967012E-36</v>
      </c>
      <c r="CA3047" s="16">
        <f t="shared" si="706"/>
        <v>-999</v>
      </c>
      <c r="CE3047" s="16" t="e">
        <f t="shared" si="700"/>
        <v>#N/A</v>
      </c>
      <c r="CF3047" s="16">
        <f t="shared" si="701"/>
        <v>99</v>
      </c>
      <c r="CG3047" s="16">
        <f t="shared" si="702"/>
        <v>0</v>
      </c>
      <c r="CH3047" s="16">
        <f t="shared" si="709"/>
        <v>0</v>
      </c>
      <c r="CJ3047" s="16" t="e">
        <f t="shared" si="703"/>
        <v>#N/A</v>
      </c>
      <c r="CK3047" s="16" t="str">
        <f t="shared" si="704"/>
        <v/>
      </c>
    </row>
    <row r="3048" spans="73:89" ht="12" customHeight="1">
      <c r="BU3048" s="16">
        <f t="shared" si="705"/>
        <v>0</v>
      </c>
      <c r="BV3048" s="16">
        <f>IF($BY$12=1,NORMDIST(BY3048,$Y$6,$Y$8,TRUE),IF($BY$12=2,IF(BY3048&lt;=$BX$31,0,IF(BY3048&gt;=$BX$32,1,(BY3048-$BX$31)*$BX$33)),SUM($BU$42:BU3048)/$BV$40))</f>
        <v>1</v>
      </c>
      <c r="BW3048" s="16">
        <f t="shared" si="707"/>
        <v>4.8479349576846825E-34</v>
      </c>
      <c r="BY3048" s="16">
        <f t="shared" si="708"/>
        <v>300.59999999999985</v>
      </c>
      <c r="BZ3048" s="16">
        <f t="shared" si="699"/>
        <v>1.6127528136010263E-36</v>
      </c>
      <c r="CA3048" s="16">
        <f t="shared" si="706"/>
        <v>-999</v>
      </c>
      <c r="CE3048" s="16" t="e">
        <f t="shared" si="700"/>
        <v>#N/A</v>
      </c>
      <c r="CF3048" s="16">
        <f t="shared" si="701"/>
        <v>99</v>
      </c>
      <c r="CG3048" s="16">
        <f t="shared" si="702"/>
        <v>0</v>
      </c>
      <c r="CH3048" s="16">
        <f t="shared" si="709"/>
        <v>0</v>
      </c>
      <c r="CJ3048" s="16" t="e">
        <f t="shared" si="703"/>
        <v>#N/A</v>
      </c>
      <c r="CK3048" s="16" t="str">
        <f t="shared" si="704"/>
        <v/>
      </c>
    </row>
    <row r="3049" spans="73:89" ht="12" customHeight="1">
      <c r="BU3049" s="16">
        <f t="shared" si="705"/>
        <v>0</v>
      </c>
      <c r="BV3049" s="16">
        <f>IF($BY$12=1,NORMDIST(BY3049,$Y$6,$Y$8,TRUE),IF($BY$12=2,IF(BY3049&lt;=$BX$31,0,IF(BY3049&gt;=$BX$32,1,(BY3049-$BX$31)*$BX$33)),SUM($BU$42:BU3049)/$BV$40))</f>
        <v>1</v>
      </c>
      <c r="BW3049" s="16">
        <f t="shared" si="707"/>
        <v>4.5549882222497469E-34</v>
      </c>
      <c r="BY3049" s="16">
        <f t="shared" si="708"/>
        <v>300.69999999999987</v>
      </c>
      <c r="BZ3049" s="16">
        <f t="shared" si="699"/>
        <v>1.5147948860158793E-36</v>
      </c>
      <c r="CA3049" s="16">
        <f t="shared" si="706"/>
        <v>-999</v>
      </c>
      <c r="CE3049" s="16" t="e">
        <f t="shared" si="700"/>
        <v>#N/A</v>
      </c>
      <c r="CF3049" s="16">
        <f t="shared" si="701"/>
        <v>99</v>
      </c>
      <c r="CG3049" s="16">
        <f t="shared" si="702"/>
        <v>0</v>
      </c>
      <c r="CH3049" s="16">
        <f t="shared" si="709"/>
        <v>0</v>
      </c>
      <c r="CJ3049" s="16" t="e">
        <f t="shared" si="703"/>
        <v>#N/A</v>
      </c>
      <c r="CK3049" s="16" t="str">
        <f t="shared" si="704"/>
        <v/>
      </c>
    </row>
    <row r="3050" spans="73:89" ht="12" customHeight="1">
      <c r="BU3050" s="16">
        <f t="shared" si="705"/>
        <v>0</v>
      </c>
      <c r="BV3050" s="16">
        <f>IF($BY$12=1,NORMDIST(BY3050,$Y$6,$Y$8,TRUE),IF($BY$12=2,IF(BY3050&lt;=$BX$31,0,IF(BY3050&gt;=$BX$32,1,(BY3050-$BX$31)*$BX$33)),SUM($BU$42:BU3050)/$BV$40))</f>
        <v>1</v>
      </c>
      <c r="BW3050" s="16">
        <f t="shared" si="707"/>
        <v>4.2796359480733674E-34</v>
      </c>
      <c r="BY3050" s="16">
        <f t="shared" si="708"/>
        <v>300.7999999999999</v>
      </c>
      <c r="BZ3050" s="16">
        <f t="shared" ref="BZ3050:BZ3113" si="710">IF($BZ$5,IF($BY$12=1,NORMDIST(BY3050,$Y$6,$Y$8,FALSE),IF($BY$12=2,IF(AND(BY3050&gt;=$BX$31,BY3050&lt;=$BX$32),$BX$33,0),IF(BY3050&lt;=$BX$13,0,NORMDIST(LN((BY3050-$BX$13)/$BX$12),0,$BW$8,FALSE)/((BY3050-$BX$13)/$BX$12)))),-999)</f>
        <v>1.4227513125243913E-36</v>
      </c>
      <c r="CA3050" s="16">
        <f t="shared" si="706"/>
        <v>-999</v>
      </c>
      <c r="CE3050" s="16" t="e">
        <f t="shared" ref="CE3050:CE3113" si="711">IF(AND($CB$7,$CD$2,$CD$1),26+$P$23/2-CC3050*$P$23,NA())</f>
        <v>#N/A</v>
      </c>
      <c r="CF3050" s="16">
        <f t="shared" ref="CF3050:CF3113" si="712">IF(ISNA(CJ3050),99,CJ3050)</f>
        <v>99</v>
      </c>
      <c r="CG3050" s="16">
        <f t="shared" ref="CG3050:CG3113" si="713">IF(ISNA(CJ3050),0,CJ3050)</f>
        <v>0</v>
      </c>
      <c r="CH3050" s="16">
        <f t="shared" si="709"/>
        <v>0</v>
      </c>
      <c r="CJ3050" s="16" t="e">
        <f t="shared" ref="CJ3050:CJ3113" si="714">IF(CH3050=1,CE3050,NA())</f>
        <v>#N/A</v>
      </c>
      <c r="CK3050" s="16" t="str">
        <f t="shared" ref="CK3050:CK3113" si="715">IF(CH3050=1,M2949,"")</f>
        <v/>
      </c>
    </row>
    <row r="3051" spans="73:89" ht="12" customHeight="1">
      <c r="BU3051" s="16">
        <f t="shared" ref="BU3051:BU3114" si="716">IF($BY$12&lt;3,0,IF(BY3051&lt;=$BX$13,0,NORMDIST(LN((BY3051-$BX$13)/$BX$12),0,$BW$8,FALSE)/((BY3051-$BX$13)/$BX$12)))</f>
        <v>0</v>
      </c>
      <c r="BV3051" s="16">
        <f>IF($BY$12=1,NORMDIST(BY3051,$Y$6,$Y$8,TRUE),IF($BY$12=2,IF(BY3051&lt;=$BX$31,0,IF(BY3051&gt;=$BX$32,1,(BY3051-$BX$31)*$BX$33)),SUM($BU$42:BU3051)/$BV$40))</f>
        <v>1</v>
      </c>
      <c r="BW3051" s="16">
        <f t="shared" si="707"/>
        <v>4.0208279481461941E-34</v>
      </c>
      <c r="BY3051" s="16">
        <f t="shared" si="708"/>
        <v>300.89999999999992</v>
      </c>
      <c r="BZ3051" s="16">
        <f t="shared" si="710"/>
        <v>1.3362671811718829E-36</v>
      </c>
      <c r="CA3051" s="16">
        <f t="shared" ref="CA3051:CA3114" si="717">IF(AND($CD$1,$CD$3),26-$CD$40*NORMDIST(BY3051,$Y$6,$Y$8/SQRT($T$18),FALSE),-999)</f>
        <v>-999</v>
      </c>
      <c r="CE3051" s="16" t="e">
        <f t="shared" si="711"/>
        <v>#N/A</v>
      </c>
      <c r="CF3051" s="16">
        <f t="shared" si="712"/>
        <v>99</v>
      </c>
      <c r="CG3051" s="16">
        <f t="shared" si="713"/>
        <v>0</v>
      </c>
      <c r="CH3051" s="16">
        <f t="shared" si="709"/>
        <v>0</v>
      </c>
      <c r="CJ3051" s="16" t="e">
        <f t="shared" si="714"/>
        <v>#N/A</v>
      </c>
      <c r="CK3051" s="16" t="str">
        <f t="shared" si="715"/>
        <v/>
      </c>
    </row>
    <row r="3052" spans="73:89" ht="12" customHeight="1">
      <c r="BU3052" s="16">
        <f t="shared" si="716"/>
        <v>0</v>
      </c>
      <c r="BV3052" s="16">
        <f>IF($BY$12=1,NORMDIST(BY3052,$Y$6,$Y$8,TRUE),IF($BY$12=2,IF(BY3052&lt;=$BX$31,0,IF(BY3052&gt;=$BX$32,1,(BY3052-$BX$31)*$BX$33)),SUM($BU$42:BU3052)/$BV$40))</f>
        <v>1</v>
      </c>
      <c r="BW3052" s="16">
        <f t="shared" si="707"/>
        <v>3.7775763237345648E-34</v>
      </c>
      <c r="BY3052" s="16">
        <f t="shared" si="708"/>
        <v>300.99999999999994</v>
      </c>
      <c r="BZ3052" s="16">
        <f t="shared" si="710"/>
        <v>1.255008745426766E-36</v>
      </c>
      <c r="CA3052" s="16">
        <f t="shared" si="717"/>
        <v>-999</v>
      </c>
      <c r="CE3052" s="16" t="e">
        <f t="shared" si="711"/>
        <v>#N/A</v>
      </c>
      <c r="CF3052" s="16">
        <f t="shared" si="712"/>
        <v>99</v>
      </c>
      <c r="CG3052" s="16">
        <f t="shared" si="713"/>
        <v>0</v>
      </c>
      <c r="CH3052" s="16">
        <f t="shared" si="709"/>
        <v>0</v>
      </c>
      <c r="CJ3052" s="16" t="e">
        <f t="shared" si="714"/>
        <v>#N/A</v>
      </c>
      <c r="CK3052" s="16" t="str">
        <f t="shared" si="715"/>
        <v/>
      </c>
    </row>
    <row r="3053" spans="73:89" ht="12" customHeight="1">
      <c r="BU3053" s="16">
        <f t="shared" si="716"/>
        <v>0</v>
      </c>
      <c r="BV3053" s="16">
        <f>IF($BY$12=1,NORMDIST(BY3053,$Y$6,$Y$8,TRUE),IF($BY$12=2,IF(BY3053&lt;=$BX$31,0,IF(BY3053&gt;=$BX$32,1,(BY3053-$BX$31)*$BX$33)),SUM($BU$42:BU3053)/$BV$40))</f>
        <v>1</v>
      </c>
      <c r="BW3053" s="16">
        <f t="shared" si="707"/>
        <v>3.5489517937714951E-34</v>
      </c>
      <c r="BY3053" s="16">
        <f t="shared" si="708"/>
        <v>301.09999999999997</v>
      </c>
      <c r="BZ3053" s="16">
        <f t="shared" si="710"/>
        <v>1.1786621699672851E-36</v>
      </c>
      <c r="CA3053" s="16">
        <f t="shared" si="717"/>
        <v>-999</v>
      </c>
      <c r="CE3053" s="16" t="e">
        <f t="shared" si="711"/>
        <v>#N/A</v>
      </c>
      <c r="CF3053" s="16">
        <f t="shared" si="712"/>
        <v>99</v>
      </c>
      <c r="CG3053" s="16">
        <f t="shared" si="713"/>
        <v>0</v>
      </c>
      <c r="CH3053" s="16">
        <f t="shared" si="709"/>
        <v>0</v>
      </c>
      <c r="CJ3053" s="16" t="e">
        <f t="shared" si="714"/>
        <v>#N/A</v>
      </c>
      <c r="CK3053" s="16" t="str">
        <f t="shared" si="715"/>
        <v/>
      </c>
    </row>
    <row r="3054" spans="73:89" ht="12" customHeight="1">
      <c r="BU3054" s="16">
        <f t="shared" si="716"/>
        <v>0</v>
      </c>
      <c r="BV3054" s="16">
        <f>IF($BY$12=1,NORMDIST(BY3054,$Y$6,$Y$8,TRUE),IF($BY$12=2,IF(BY3054&lt;=$BX$31,0,IF(BY3054&gt;=$BX$32,1,(BY3054-$BX$31)*$BX$33)),SUM($BU$42:BU3054)/$BV$40))</f>
        <v>1</v>
      </c>
      <c r="BW3054" s="16">
        <f t="shared" si="707"/>
        <v>3.3340802391300862E-34</v>
      </c>
      <c r="BY3054" s="16">
        <f t="shared" si="708"/>
        <v>301.2</v>
      </c>
      <c r="BZ3054" s="16">
        <f t="shared" si="710"/>
        <v>1.1069323503087936E-36</v>
      </c>
      <c r="CA3054" s="16">
        <f t="shared" si="717"/>
        <v>-999</v>
      </c>
      <c r="CE3054" s="16" t="e">
        <f t="shared" si="711"/>
        <v>#N/A</v>
      </c>
      <c r="CF3054" s="16">
        <f t="shared" si="712"/>
        <v>99</v>
      </c>
      <c r="CG3054" s="16">
        <f t="shared" si="713"/>
        <v>0</v>
      </c>
      <c r="CH3054" s="16">
        <f t="shared" si="709"/>
        <v>0</v>
      </c>
      <c r="CJ3054" s="16" t="e">
        <f t="shared" si="714"/>
        <v>#N/A</v>
      </c>
      <c r="CK3054" s="16" t="str">
        <f t="shared" si="715"/>
        <v/>
      </c>
    </row>
    <row r="3055" spans="73:89" ht="12" customHeight="1">
      <c r="BU3055" s="16">
        <f t="shared" si="716"/>
        <v>0</v>
      </c>
      <c r="BV3055" s="16">
        <f>IF($BY$12=1,NORMDIST(BY3055,$Y$6,$Y$8,TRUE),IF($BY$12=2,IF(BY3055&lt;=$BX$31,0,IF(BY3055&gt;=$BX$32,1,(BY3055-$BX$31)*$BX$33)),SUM($BU$42:BU3055)/$BV$40))</f>
        <v>1</v>
      </c>
      <c r="BW3055" s="16">
        <f t="shared" si="707"/>
        <v>3.1321394492862149E-34</v>
      </c>
      <c r="BY3055" s="16">
        <f t="shared" si="708"/>
        <v>301.3</v>
      </c>
      <c r="BZ3055" s="16">
        <f t="shared" si="710"/>
        <v>1.0395418019536059E-36</v>
      </c>
      <c r="CA3055" s="16">
        <f t="shared" si="717"/>
        <v>-999</v>
      </c>
      <c r="CE3055" s="16" t="e">
        <f t="shared" si="711"/>
        <v>#N/A</v>
      </c>
      <c r="CF3055" s="16">
        <f t="shared" si="712"/>
        <v>99</v>
      </c>
      <c r="CG3055" s="16">
        <f t="shared" si="713"/>
        <v>0</v>
      </c>
      <c r="CH3055" s="16">
        <f t="shared" si="709"/>
        <v>0</v>
      </c>
      <c r="CJ3055" s="16" t="e">
        <f t="shared" si="714"/>
        <v>#N/A</v>
      </c>
      <c r="CK3055" s="16" t="str">
        <f t="shared" si="715"/>
        <v/>
      </c>
    </row>
    <row r="3056" spans="73:89" ht="12" customHeight="1">
      <c r="BU3056" s="16">
        <f t="shared" si="716"/>
        <v>0</v>
      </c>
      <c r="BV3056" s="16">
        <f>IF($BY$12=1,NORMDIST(BY3056,$Y$6,$Y$8,TRUE),IF($BY$12=2,IF(BY3056&lt;=$BX$31,0,IF(BY3056&gt;=$BX$32,1,(BY3056-$BX$31)*$BX$33)),SUM($BU$42:BU3056)/$BV$40))</f>
        <v>1</v>
      </c>
      <c r="BW3056" s="16">
        <f t="shared" si="707"/>
        <v>2.9423560595956316E-34</v>
      </c>
      <c r="BY3056" s="16">
        <f t="shared" si="708"/>
        <v>301.40000000000003</v>
      </c>
      <c r="BZ3056" s="16">
        <f t="shared" si="710"/>
        <v>9.7622961499523263E-37</v>
      </c>
      <c r="CA3056" s="16">
        <f t="shared" si="717"/>
        <v>-999</v>
      </c>
      <c r="CE3056" s="16" t="e">
        <f t="shared" si="711"/>
        <v>#N/A</v>
      </c>
      <c r="CF3056" s="16">
        <f t="shared" si="712"/>
        <v>99</v>
      </c>
      <c r="CG3056" s="16">
        <f t="shared" si="713"/>
        <v>0</v>
      </c>
      <c r="CH3056" s="16">
        <f t="shared" si="709"/>
        <v>0</v>
      </c>
      <c r="CJ3056" s="16" t="e">
        <f t="shared" si="714"/>
        <v>#N/A</v>
      </c>
      <c r="CK3056" s="16" t="str">
        <f t="shared" si="715"/>
        <v/>
      </c>
    </row>
    <row r="3057" spans="73:89" ht="12" customHeight="1">
      <c r="BU3057" s="16">
        <f t="shared" si="716"/>
        <v>0</v>
      </c>
      <c r="BV3057" s="16">
        <f>IF($BY$12=1,NORMDIST(BY3057,$Y$6,$Y$8,TRUE),IF($BY$12=2,IF(BY3057&lt;=$BX$31,0,IF(BY3057&gt;=$BX$32,1,(BY3057-$BX$31)*$BX$33)),SUM($BU$42:BU3057)/$BV$40))</f>
        <v>1</v>
      </c>
      <c r="BW3057" s="16">
        <f t="shared" si="707"/>
        <v>2.7640026680923487E-34</v>
      </c>
      <c r="BY3057" s="16">
        <f t="shared" si="708"/>
        <v>301.50000000000006</v>
      </c>
      <c r="BZ3057" s="16">
        <f t="shared" si="710"/>
        <v>9.1675047034572075E-37</v>
      </c>
      <c r="CA3057" s="16">
        <f t="shared" si="717"/>
        <v>-999</v>
      </c>
      <c r="CE3057" s="16" t="e">
        <f t="shared" si="711"/>
        <v>#N/A</v>
      </c>
      <c r="CF3057" s="16">
        <f t="shared" si="712"/>
        <v>99</v>
      </c>
      <c r="CG3057" s="16">
        <f t="shared" si="713"/>
        <v>0</v>
      </c>
      <c r="CH3057" s="16">
        <f t="shared" si="709"/>
        <v>0</v>
      </c>
      <c r="CJ3057" s="16" t="e">
        <f t="shared" si="714"/>
        <v>#N/A</v>
      </c>
      <c r="CK3057" s="16" t="str">
        <f t="shared" si="715"/>
        <v/>
      </c>
    </row>
    <row r="3058" spans="73:89" ht="12" customHeight="1">
      <c r="BU3058" s="16">
        <f t="shared" si="716"/>
        <v>0</v>
      </c>
      <c r="BV3058" s="16">
        <f>IF($BY$12=1,NORMDIST(BY3058,$Y$6,$Y$8,TRUE),IF($BY$12=2,IF(BY3058&lt;=$BX$31,0,IF(BY3058&gt;=$BX$32,1,(BY3058-$BX$31)*$BX$33)),SUM($BU$42:BU3058)/$BV$40))</f>
        <v>1</v>
      </c>
      <c r="BW3058" s="16">
        <f t="shared" si="707"/>
        <v>2.5963951213572082E-34</v>
      </c>
      <c r="BY3058" s="16">
        <f t="shared" si="708"/>
        <v>301.60000000000008</v>
      </c>
      <c r="BZ3058" s="16">
        <f t="shared" si="710"/>
        <v>8.6087371397785401E-37</v>
      </c>
      <c r="CA3058" s="16">
        <f t="shared" si="717"/>
        <v>-999</v>
      </c>
      <c r="CE3058" s="16" t="e">
        <f t="shared" si="711"/>
        <v>#N/A</v>
      </c>
      <c r="CF3058" s="16">
        <f t="shared" si="712"/>
        <v>99</v>
      </c>
      <c r="CG3058" s="16">
        <f t="shared" si="713"/>
        <v>0</v>
      </c>
      <c r="CH3058" s="16">
        <f t="shared" si="709"/>
        <v>0</v>
      </c>
      <c r="CJ3058" s="16" t="e">
        <f t="shared" si="714"/>
        <v>#N/A</v>
      </c>
      <c r="CK3058" s="16" t="str">
        <f t="shared" si="715"/>
        <v/>
      </c>
    </row>
    <row r="3059" spans="73:89" ht="12" customHeight="1">
      <c r="BU3059" s="16">
        <f t="shared" si="716"/>
        <v>0</v>
      </c>
      <c r="BV3059" s="16">
        <f>IF($BY$12=1,NORMDIST(BY3059,$Y$6,$Y$8,TRUE),IF($BY$12=2,IF(BY3059&lt;=$BX$31,0,IF(BY3059&gt;=$BX$32,1,(BY3059-$BX$31)*$BX$33)),SUM($BU$42:BU3059)/$BV$40))</f>
        <v>1</v>
      </c>
      <c r="BW3059" s="16">
        <f t="shared" si="707"/>
        <v>2.438889959607404E-34</v>
      </c>
      <c r="BY3059" s="16">
        <f t="shared" si="708"/>
        <v>301.7000000000001</v>
      </c>
      <c r="BZ3059" s="16">
        <f t="shared" si="710"/>
        <v>8.0838248578303049E-37</v>
      </c>
      <c r="CA3059" s="16">
        <f t="shared" si="717"/>
        <v>-999</v>
      </c>
      <c r="CE3059" s="16" t="e">
        <f t="shared" si="711"/>
        <v>#N/A</v>
      </c>
      <c r="CF3059" s="16">
        <f t="shared" si="712"/>
        <v>99</v>
      </c>
      <c r="CG3059" s="16">
        <f t="shared" si="713"/>
        <v>0</v>
      </c>
      <c r="CH3059" s="16">
        <f t="shared" si="709"/>
        <v>0</v>
      </c>
      <c r="CJ3059" s="16" t="e">
        <f t="shared" si="714"/>
        <v>#N/A</v>
      </c>
      <c r="CK3059" s="16" t="str">
        <f t="shared" si="715"/>
        <v/>
      </c>
    </row>
    <row r="3060" spans="73:89" ht="12" customHeight="1">
      <c r="BU3060" s="16">
        <f t="shared" si="716"/>
        <v>0</v>
      </c>
      <c r="BV3060" s="16">
        <f>IF($BY$12=1,NORMDIST(BY3060,$Y$6,$Y$8,TRUE),IF($BY$12=2,IF(BY3060&lt;=$BX$31,0,IF(BY3060&gt;=$BX$32,1,(BY3060-$BX$31)*$BX$33)),SUM($BU$42:BU3060)/$BV$40))</f>
        <v>1</v>
      </c>
      <c r="BW3060" s="16">
        <f t="shared" si="707"/>
        <v>2.2908820117300024E-34</v>
      </c>
      <c r="BY3060" s="16">
        <f t="shared" si="708"/>
        <v>301.80000000000013</v>
      </c>
      <c r="BZ3060" s="16">
        <f t="shared" si="710"/>
        <v>7.5907289984426826E-37</v>
      </c>
      <c r="CA3060" s="16">
        <f t="shared" si="717"/>
        <v>-999</v>
      </c>
      <c r="CE3060" s="16" t="e">
        <f t="shared" si="711"/>
        <v>#N/A</v>
      </c>
      <c r="CF3060" s="16">
        <f t="shared" si="712"/>
        <v>99</v>
      </c>
      <c r="CG3060" s="16">
        <f t="shared" si="713"/>
        <v>0</v>
      </c>
      <c r="CH3060" s="16">
        <f t="shared" si="709"/>
        <v>0</v>
      </c>
      <c r="CJ3060" s="16" t="e">
        <f t="shared" si="714"/>
        <v>#N/A</v>
      </c>
      <c r="CK3060" s="16" t="str">
        <f t="shared" si="715"/>
        <v/>
      </c>
    </row>
    <row r="3061" spans="73:89" ht="12" customHeight="1">
      <c r="BU3061" s="16">
        <f t="shared" si="716"/>
        <v>0</v>
      </c>
      <c r="BV3061" s="16">
        <f>IF($BY$12=1,NORMDIST(BY3061,$Y$6,$Y$8,TRUE),IF($BY$12=2,IF(BY3061&lt;=$BX$31,0,IF(BY3061&gt;=$BX$32,1,(BY3061-$BX$31)*$BX$33)),SUM($BU$42:BU3061)/$BV$40))</f>
        <v>1</v>
      </c>
      <c r="BW3061" s="16">
        <f t="shared" si="707"/>
        <v>2.1518021315180209E-34</v>
      </c>
      <c r="BY3061" s="16">
        <f t="shared" si="708"/>
        <v>301.90000000000015</v>
      </c>
      <c r="BZ3061" s="16">
        <f t="shared" si="710"/>
        <v>7.1275327310964544E-37</v>
      </c>
      <c r="CA3061" s="16">
        <f t="shared" si="717"/>
        <v>-999</v>
      </c>
      <c r="CE3061" s="16" t="e">
        <f t="shared" si="711"/>
        <v>#N/A</v>
      </c>
      <c r="CF3061" s="16">
        <f t="shared" si="712"/>
        <v>99</v>
      </c>
      <c r="CG3061" s="16">
        <f t="shared" si="713"/>
        <v>0</v>
      </c>
      <c r="CH3061" s="16">
        <f t="shared" si="709"/>
        <v>0</v>
      </c>
      <c r="CJ3061" s="16" t="e">
        <f t="shared" si="714"/>
        <v>#N/A</v>
      </c>
      <c r="CK3061" s="16" t="str">
        <f t="shared" si="715"/>
        <v/>
      </c>
    </row>
    <row r="3062" spans="73:89" ht="12" customHeight="1">
      <c r="BU3062" s="16">
        <f t="shared" si="716"/>
        <v>0</v>
      </c>
      <c r="BV3062" s="16">
        <f>IF($BY$12=1,NORMDIST(BY3062,$Y$6,$Y$8,TRUE),IF($BY$12=2,IF(BY3062&lt;=$BX$31,0,IF(BY3062&gt;=$BX$32,1,(BY3062-$BX$31)*$BX$33)),SUM($BU$42:BU3062)/$BV$40))</f>
        <v>1</v>
      </c>
      <c r="BW3062" s="16">
        <f t="shared" si="707"/>
        <v>2.0211150668737454E-34</v>
      </c>
      <c r="BY3062" s="16">
        <f t="shared" si="708"/>
        <v>302.00000000000017</v>
      </c>
      <c r="BZ3062" s="16">
        <f t="shared" si="710"/>
        <v>6.6924339962706763E-37</v>
      </c>
      <c r="CA3062" s="16">
        <f t="shared" si="717"/>
        <v>-999</v>
      </c>
      <c r="CE3062" s="16" t="e">
        <f t="shared" si="711"/>
        <v>#N/A</v>
      </c>
      <c r="CF3062" s="16">
        <f t="shared" si="712"/>
        <v>99</v>
      </c>
      <c r="CG3062" s="16">
        <f t="shared" si="713"/>
        <v>0</v>
      </c>
      <c r="CH3062" s="16">
        <f t="shared" si="709"/>
        <v>0</v>
      </c>
      <c r="CJ3062" s="16" t="e">
        <f t="shared" si="714"/>
        <v>#N/A</v>
      </c>
      <c r="CK3062" s="16" t="str">
        <f t="shared" si="715"/>
        <v/>
      </c>
    </row>
    <row r="3063" spans="73:89" ht="12" customHeight="1">
      <c r="BU3063" s="16">
        <f t="shared" si="716"/>
        <v>0</v>
      </c>
      <c r="BV3063" s="16">
        <f>IF($BY$12=1,NORMDIST(BY3063,$Y$6,$Y$8,TRUE),IF($BY$12=2,IF(BY3063&lt;=$BX$31,0,IF(BY3063&gt;=$BX$32,1,(BY3063-$BX$31)*$BX$33)),SUM($BU$42:BU3063)/$BV$40))</f>
        <v>1</v>
      </c>
      <c r="BW3063" s="16">
        <f t="shared" si="707"/>
        <v>1.8983174542217593E-34</v>
      </c>
      <c r="BY3063" s="16">
        <f t="shared" si="708"/>
        <v>302.10000000000019</v>
      </c>
      <c r="BZ3063" s="16">
        <f t="shared" si="710"/>
        <v>6.2837386766691762E-37</v>
      </c>
      <c r="CA3063" s="16">
        <f t="shared" si="717"/>
        <v>-999</v>
      </c>
      <c r="CE3063" s="16" t="e">
        <f t="shared" si="711"/>
        <v>#N/A</v>
      </c>
      <c r="CF3063" s="16">
        <f t="shared" si="712"/>
        <v>99</v>
      </c>
      <c r="CG3063" s="16">
        <f t="shared" si="713"/>
        <v>0</v>
      </c>
      <c r="CH3063" s="16">
        <f t="shared" si="709"/>
        <v>0</v>
      </c>
      <c r="CJ3063" s="16" t="e">
        <f t="shared" si="714"/>
        <v>#N/A</v>
      </c>
      <c r="CK3063" s="16" t="str">
        <f t="shared" si="715"/>
        <v/>
      </c>
    </row>
    <row r="3064" spans="73:89" ht="12" customHeight="1">
      <c r="BU3064" s="16">
        <f t="shared" si="716"/>
        <v>0</v>
      </c>
      <c r="BV3064" s="16">
        <f>IF($BY$12=1,NORMDIST(BY3064,$Y$6,$Y$8,TRUE),IF($BY$12=2,IF(BY3064&lt;=$BX$31,0,IF(BY3064&gt;=$BX$32,1,(BY3064-$BX$31)*$BX$33)),SUM($BU$42:BU3064)/$BV$40))</f>
        <v>1</v>
      </c>
      <c r="BW3064" s="16">
        <f t="shared" si="707"/>
        <v>1.7829359308227124E-34</v>
      </c>
      <c r="BY3064" s="16">
        <f t="shared" si="708"/>
        <v>302.20000000000022</v>
      </c>
      <c r="BZ3064" s="16">
        <f t="shared" si="710"/>
        <v>5.8998541721466281E-37</v>
      </c>
      <c r="CA3064" s="16">
        <f t="shared" si="717"/>
        <v>-999</v>
      </c>
      <c r="CE3064" s="16" t="e">
        <f t="shared" si="711"/>
        <v>#N/A</v>
      </c>
      <c r="CF3064" s="16">
        <f t="shared" si="712"/>
        <v>99</v>
      </c>
      <c r="CG3064" s="16">
        <f t="shared" si="713"/>
        <v>0</v>
      </c>
      <c r="CH3064" s="16">
        <f t="shared" si="709"/>
        <v>0</v>
      </c>
      <c r="CJ3064" s="16" t="e">
        <f t="shared" si="714"/>
        <v>#N/A</v>
      </c>
      <c r="CK3064" s="16" t="str">
        <f t="shared" si="715"/>
        <v/>
      </c>
    </row>
    <row r="3065" spans="73:89" ht="12" customHeight="1">
      <c r="BU3065" s="16">
        <f t="shared" si="716"/>
        <v>0</v>
      </c>
      <c r="BV3065" s="16">
        <f>IF($BY$12=1,NORMDIST(BY3065,$Y$6,$Y$8,TRUE),IF($BY$12=2,IF(BY3065&lt;=$BX$31,0,IF(BY3065&gt;=$BX$32,1,(BY3065-$BX$31)*$BX$33)),SUM($BU$42:BU3065)/$BV$40))</f>
        <v>1</v>
      </c>
      <c r="BW3065" s="16">
        <f t="shared" si="707"/>
        <v>1.674525358103379E-34</v>
      </c>
      <c r="BY3065" s="16">
        <f t="shared" si="708"/>
        <v>302.30000000000024</v>
      </c>
      <c r="BZ3065" s="16">
        <f t="shared" si="710"/>
        <v>5.5392833546257944E-37</v>
      </c>
      <c r="CA3065" s="16">
        <f t="shared" si="717"/>
        <v>-999</v>
      </c>
      <c r="CE3065" s="16" t="e">
        <f t="shared" si="711"/>
        <v>#N/A</v>
      </c>
      <c r="CF3065" s="16">
        <f t="shared" si="712"/>
        <v>99</v>
      </c>
      <c r="CG3065" s="16">
        <f t="shared" si="713"/>
        <v>0</v>
      </c>
      <c r="CH3065" s="16">
        <f t="shared" si="709"/>
        <v>0</v>
      </c>
      <c r="CJ3065" s="16" t="e">
        <f t="shared" si="714"/>
        <v>#N/A</v>
      </c>
      <c r="CK3065" s="16" t="str">
        <f t="shared" si="715"/>
        <v/>
      </c>
    </row>
    <row r="3066" spans="73:89" ht="12" customHeight="1">
      <c r="BU3066" s="16">
        <f t="shared" si="716"/>
        <v>0</v>
      </c>
      <c r="BV3066" s="16">
        <f>IF($BY$12=1,NORMDIST(BY3066,$Y$6,$Y$8,TRUE),IF($BY$12=2,IF(BY3066&lt;=$BX$31,0,IF(BY3066&gt;=$BX$32,1,(BY3066-$BX$31)*$BX$33)),SUM($BU$42:BU3066)/$BV$40))</f>
        <v>1</v>
      </c>
      <c r="BW3066" s="16">
        <f t="shared" si="707"/>
        <v>1.5726671495174398E-34</v>
      </c>
      <c r="BY3066" s="16">
        <f t="shared" si="708"/>
        <v>302.40000000000026</v>
      </c>
      <c r="BZ3066" s="16">
        <f t="shared" si="710"/>
        <v>5.2006188806793599E-37</v>
      </c>
      <c r="CA3066" s="16">
        <f t="shared" si="717"/>
        <v>-999</v>
      </c>
      <c r="CE3066" s="16" t="e">
        <f t="shared" si="711"/>
        <v>#N/A</v>
      </c>
      <c r="CF3066" s="16">
        <f t="shared" si="712"/>
        <v>99</v>
      </c>
      <c r="CG3066" s="16">
        <f t="shared" si="713"/>
        <v>0</v>
      </c>
      <c r="CH3066" s="16">
        <f t="shared" si="709"/>
        <v>0</v>
      </c>
      <c r="CJ3066" s="16" t="e">
        <f t="shared" si="714"/>
        <v>#N/A</v>
      </c>
      <c r="CK3066" s="16" t="str">
        <f t="shared" si="715"/>
        <v/>
      </c>
    </row>
    <row r="3067" spans="73:89" ht="12" customHeight="1">
      <c r="BU3067" s="16">
        <f t="shared" si="716"/>
        <v>0</v>
      </c>
      <c r="BV3067" s="16">
        <f>IF($BY$12=1,NORMDIST(BY3067,$Y$6,$Y$8,TRUE),IF($BY$12=2,IF(BY3067&lt;=$BX$31,0,IF(BY3067&gt;=$BX$32,1,(BY3067-$BX$31)*$BX$33)),SUM($BU$42:BU3067)/$BV$40))</f>
        <v>1</v>
      </c>
      <c r="BW3067" s="16">
        <f t="shared" ref="BW3067:BW3130" si="718">BY3067*BZ3067</f>
        <v>1.4769676968277035E-34</v>
      </c>
      <c r="BY3067" s="16">
        <f t="shared" ref="BY3067:BY3130" si="719">BY3066+$BZ$1</f>
        <v>302.50000000000028</v>
      </c>
      <c r="BZ3067" s="16">
        <f t="shared" si="710"/>
        <v>4.8825378407527342E-37</v>
      </c>
      <c r="CA3067" s="16">
        <f t="shared" si="717"/>
        <v>-999</v>
      </c>
      <c r="CE3067" s="16" t="e">
        <f t="shared" si="711"/>
        <v>#N/A</v>
      </c>
      <c r="CF3067" s="16">
        <f t="shared" si="712"/>
        <v>99</v>
      </c>
      <c r="CG3067" s="16">
        <f t="shared" si="713"/>
        <v>0</v>
      </c>
      <c r="CH3067" s="16">
        <f t="shared" si="709"/>
        <v>0</v>
      </c>
      <c r="CJ3067" s="16" t="e">
        <f t="shared" si="714"/>
        <v>#N/A</v>
      </c>
      <c r="CK3067" s="16" t="str">
        <f t="shared" si="715"/>
        <v/>
      </c>
    </row>
    <row r="3068" spans="73:89" ht="12" customHeight="1">
      <c r="BU3068" s="16">
        <f t="shared" si="716"/>
        <v>0</v>
      </c>
      <c r="BV3068" s="16">
        <f>IF($BY$12=1,NORMDIST(BY3068,$Y$6,$Y$8,TRUE),IF($BY$12=2,IF(BY3068&lt;=$BX$31,0,IF(BY3068&gt;=$BX$32,1,(BY3068-$BX$31)*$BX$33)),SUM($BU$42:BU3068)/$BV$40))</f>
        <v>1</v>
      </c>
      <c r="BW3068" s="16">
        <f t="shared" si="718"/>
        <v>1.3870568890552214E-34</v>
      </c>
      <c r="BY3068" s="16">
        <f t="shared" si="719"/>
        <v>302.60000000000031</v>
      </c>
      <c r="BZ3068" s="16">
        <f t="shared" si="710"/>
        <v>4.5837967252320558E-37</v>
      </c>
      <c r="CA3068" s="16">
        <f t="shared" si="717"/>
        <v>-999</v>
      </c>
      <c r="CE3068" s="16" t="e">
        <f t="shared" si="711"/>
        <v>#N/A</v>
      </c>
      <c r="CF3068" s="16">
        <f t="shared" si="712"/>
        <v>99</v>
      </c>
      <c r="CG3068" s="16">
        <f t="shared" si="713"/>
        <v>0</v>
      </c>
      <c r="CH3068" s="16">
        <f t="shared" si="709"/>
        <v>0</v>
      </c>
      <c r="CJ3068" s="16" t="e">
        <f t="shared" si="714"/>
        <v>#N/A</v>
      </c>
      <c r="CK3068" s="16" t="str">
        <f t="shared" si="715"/>
        <v/>
      </c>
    </row>
    <row r="3069" spans="73:89" ht="12" customHeight="1">
      <c r="BU3069" s="16">
        <f t="shared" si="716"/>
        <v>0</v>
      </c>
      <c r="BV3069" s="16">
        <f>IF($BY$12=1,NORMDIST(BY3069,$Y$6,$Y$8,TRUE),IF($BY$12=2,IF(BY3069&lt;=$BX$31,0,IF(BY3069&gt;=$BX$32,1,(BY3069-$BX$31)*$BX$33)),SUM($BU$42:BU3069)/$BV$40))</f>
        <v>1</v>
      </c>
      <c r="BW3069" s="16">
        <f t="shared" si="718"/>
        <v>1.3025867186749841E-34</v>
      </c>
      <c r="BY3069" s="16">
        <f t="shared" si="719"/>
        <v>302.70000000000033</v>
      </c>
      <c r="BZ3069" s="16">
        <f t="shared" si="710"/>
        <v>4.3032266887181459E-37</v>
      </c>
      <c r="CA3069" s="16">
        <f t="shared" si="717"/>
        <v>-999</v>
      </c>
      <c r="CE3069" s="16" t="e">
        <f t="shared" si="711"/>
        <v>#N/A</v>
      </c>
      <c r="CF3069" s="16">
        <f t="shared" si="712"/>
        <v>99</v>
      </c>
      <c r="CG3069" s="16">
        <f t="shared" si="713"/>
        <v>0</v>
      </c>
      <c r="CH3069" s="16">
        <f t="shared" si="709"/>
        <v>0</v>
      </c>
      <c r="CJ3069" s="16" t="e">
        <f t="shared" si="714"/>
        <v>#N/A</v>
      </c>
      <c r="CK3069" s="16" t="str">
        <f t="shared" si="715"/>
        <v/>
      </c>
    </row>
    <row r="3070" spans="73:89" ht="12" customHeight="1">
      <c r="BU3070" s="16">
        <f t="shared" si="716"/>
        <v>0</v>
      </c>
      <c r="BV3070" s="16">
        <f>IF($BY$12=1,NORMDIST(BY3070,$Y$6,$Y$8,TRUE),IF($BY$12=2,IF(BY3070&lt;=$BX$31,0,IF(BY3070&gt;=$BX$32,1,(BY3070-$BX$31)*$BX$33)),SUM($BU$42:BU3070)/$BV$40))</f>
        <v>1</v>
      </c>
      <c r="BW3070" s="16">
        <f t="shared" si="718"/>
        <v>1.2232299699527229E-34</v>
      </c>
      <c r="BY3070" s="16">
        <f t="shared" si="719"/>
        <v>302.80000000000035</v>
      </c>
      <c r="BZ3070" s="16">
        <f t="shared" si="710"/>
        <v>4.0397290949561471E-37</v>
      </c>
      <c r="CA3070" s="16">
        <f t="shared" si="717"/>
        <v>-999</v>
      </c>
      <c r="CE3070" s="16" t="e">
        <f t="shared" si="711"/>
        <v>#N/A</v>
      </c>
      <c r="CF3070" s="16">
        <f t="shared" si="712"/>
        <v>99</v>
      </c>
      <c r="CG3070" s="16">
        <f t="shared" si="713"/>
        <v>0</v>
      </c>
      <c r="CH3070" s="16">
        <f t="shared" si="709"/>
        <v>0</v>
      </c>
      <c r="CJ3070" s="16" t="e">
        <f t="shared" si="714"/>
        <v>#N/A</v>
      </c>
      <c r="CK3070" s="16" t="str">
        <f t="shared" si="715"/>
        <v/>
      </c>
    </row>
    <row r="3071" spans="73:89" ht="12" customHeight="1">
      <c r="BU3071" s="16">
        <f t="shared" si="716"/>
        <v>0</v>
      </c>
      <c r="BV3071" s="16">
        <f>IF($BY$12=1,NORMDIST(BY3071,$Y$6,$Y$8,TRUE),IF($BY$12=2,IF(BY3071&lt;=$BX$31,0,IF(BY3071&gt;=$BX$32,1,(BY3071-$BX$31)*$BX$33)),SUM($BU$42:BU3071)/$BV$40))</f>
        <v>1</v>
      </c>
      <c r="BW3071" s="16">
        <f t="shared" si="718"/>
        <v>1.1486789846138736E-34</v>
      </c>
      <c r="BY3071" s="16">
        <f t="shared" si="719"/>
        <v>302.90000000000038</v>
      </c>
      <c r="BZ3071" s="16">
        <f t="shared" si="710"/>
        <v>3.7922713258959138E-37</v>
      </c>
      <c r="CA3071" s="16">
        <f t="shared" si="717"/>
        <v>-999</v>
      </c>
      <c r="CE3071" s="16" t="e">
        <f t="shared" si="711"/>
        <v>#N/A</v>
      </c>
      <c r="CF3071" s="16">
        <f t="shared" si="712"/>
        <v>99</v>
      </c>
      <c r="CG3071" s="16">
        <f t="shared" si="713"/>
        <v>0</v>
      </c>
      <c r="CH3071" s="16">
        <f t="shared" si="709"/>
        <v>0</v>
      </c>
      <c r="CJ3071" s="16" t="e">
        <f t="shared" si="714"/>
        <v>#N/A</v>
      </c>
      <c r="CK3071" s="16" t="str">
        <f t="shared" si="715"/>
        <v/>
      </c>
    </row>
    <row r="3072" spans="73:89" ht="12" customHeight="1">
      <c r="BU3072" s="16">
        <f t="shared" si="716"/>
        <v>0</v>
      </c>
      <c r="BV3072" s="16">
        <f>IF($BY$12=1,NORMDIST(BY3072,$Y$6,$Y$8,TRUE),IF($BY$12=2,IF(BY3072&lt;=$BX$31,0,IF(BY3072&gt;=$BX$32,1,(BY3072-$BX$31)*$BX$33)),SUM($BU$42:BU3072)/$BV$40))</f>
        <v>1</v>
      </c>
      <c r="BW3072" s="16">
        <f t="shared" si="718"/>
        <v>1.0786445003158537E-34</v>
      </c>
      <c r="BY3072" s="16">
        <f t="shared" si="719"/>
        <v>303.0000000000004</v>
      </c>
      <c r="BZ3072" s="16">
        <f t="shared" si="710"/>
        <v>3.5598828393262453E-37</v>
      </c>
      <c r="CA3072" s="16">
        <f t="shared" si="717"/>
        <v>-999</v>
      </c>
      <c r="CE3072" s="16" t="e">
        <f t="shared" si="711"/>
        <v>#N/A</v>
      </c>
      <c r="CF3072" s="16">
        <f t="shared" si="712"/>
        <v>99</v>
      </c>
      <c r="CG3072" s="16">
        <f t="shared" si="713"/>
        <v>0</v>
      </c>
      <c r="CH3072" s="16">
        <f t="shared" si="709"/>
        <v>0</v>
      </c>
      <c r="CJ3072" s="16" t="e">
        <f t="shared" si="714"/>
        <v>#N/A</v>
      </c>
      <c r="CK3072" s="16" t="str">
        <f t="shared" si="715"/>
        <v/>
      </c>
    </row>
    <row r="3073" spans="73:89" ht="12" customHeight="1">
      <c r="BU3073" s="16">
        <f t="shared" si="716"/>
        <v>0</v>
      </c>
      <c r="BV3073" s="16">
        <f>IF($BY$12=1,NORMDIST(BY3073,$Y$6,$Y$8,TRUE),IF($BY$12=2,IF(BY3073&lt;=$BX$31,0,IF(BY3073&gt;=$BX$32,1,(BY3073-$BX$31)*$BX$33)),SUM($BU$42:BU3073)/$BV$40))</f>
        <v>1</v>
      </c>
      <c r="BW3073" s="16">
        <f t="shared" si="718"/>
        <v>1.0128545576577043E-34</v>
      </c>
      <c r="BY3073" s="16">
        <f t="shared" si="719"/>
        <v>303.10000000000042</v>
      </c>
      <c r="BZ3073" s="16">
        <f t="shared" si="710"/>
        <v>3.3416514604345197E-37</v>
      </c>
      <c r="CA3073" s="16">
        <f t="shared" si="717"/>
        <v>-999</v>
      </c>
      <c r="CE3073" s="16" t="e">
        <f t="shared" si="711"/>
        <v>#N/A</v>
      </c>
      <c r="CF3073" s="16">
        <f t="shared" si="712"/>
        <v>99</v>
      </c>
      <c r="CG3073" s="16">
        <f t="shared" si="713"/>
        <v>0</v>
      </c>
      <c r="CH3073" s="16">
        <f t="shared" si="709"/>
        <v>0</v>
      </c>
      <c r="CJ3073" s="16" t="e">
        <f t="shared" si="714"/>
        <v>#N/A</v>
      </c>
      <c r="CK3073" s="16" t="str">
        <f t="shared" si="715"/>
        <v/>
      </c>
    </row>
    <row r="3074" spans="73:89" ht="12" customHeight="1">
      <c r="BU3074" s="16">
        <f t="shared" si="716"/>
        <v>0</v>
      </c>
      <c r="BV3074" s="16">
        <f>IF($BY$12=1,NORMDIST(BY3074,$Y$6,$Y$8,TRUE),IF($BY$12=2,IF(BY3074&lt;=$BX$31,0,IF(BY3074&gt;=$BX$32,1,(BY3074-$BX$31)*$BX$33)),SUM($BU$42:BU3074)/$BV$40))</f>
        <v>1</v>
      </c>
      <c r="BW3074" s="16">
        <f t="shared" si="718"/>
        <v>9.5105347170985234E-35</v>
      </c>
      <c r="BY3074" s="16">
        <f t="shared" si="719"/>
        <v>303.20000000000044</v>
      </c>
      <c r="BZ3074" s="16">
        <f t="shared" si="710"/>
        <v>3.1367198935021468E-37</v>
      </c>
      <c r="CA3074" s="16">
        <f t="shared" si="717"/>
        <v>-999</v>
      </c>
      <c r="CE3074" s="16" t="e">
        <f t="shared" si="711"/>
        <v>#N/A</v>
      </c>
      <c r="CF3074" s="16">
        <f t="shared" si="712"/>
        <v>99</v>
      </c>
      <c r="CG3074" s="16">
        <f t="shared" si="713"/>
        <v>0</v>
      </c>
      <c r="CH3074" s="16">
        <f t="shared" si="709"/>
        <v>0</v>
      </c>
      <c r="CJ3074" s="16" t="e">
        <f t="shared" si="714"/>
        <v>#N/A</v>
      </c>
      <c r="CK3074" s="16" t="str">
        <f t="shared" si="715"/>
        <v/>
      </c>
    </row>
    <row r="3075" spans="73:89" ht="12" customHeight="1">
      <c r="BU3075" s="16">
        <f t="shared" si="716"/>
        <v>0</v>
      </c>
      <c r="BV3075" s="16">
        <f>IF($BY$12=1,NORMDIST(BY3075,$Y$6,$Y$8,TRUE),IF($BY$12=2,IF(BY3075&lt;=$BX$31,0,IF(BY3075&gt;=$BX$32,1,(BY3075-$BX$31)*$BX$33)),SUM($BU$42:BU3075)/$BV$40))</f>
        <v>1</v>
      </c>
      <c r="BW3075" s="16">
        <f t="shared" si="718"/>
        <v>8.9300086428042924E-35</v>
      </c>
      <c r="BY3075" s="16">
        <f t="shared" si="719"/>
        <v>303.30000000000047</v>
      </c>
      <c r="BZ3075" s="16">
        <f t="shared" si="710"/>
        <v>2.9442824407531416E-37</v>
      </c>
      <c r="CA3075" s="16">
        <f t="shared" si="717"/>
        <v>-999</v>
      </c>
      <c r="CE3075" s="16" t="e">
        <f t="shared" si="711"/>
        <v>#N/A</v>
      </c>
      <c r="CF3075" s="16">
        <f t="shared" si="712"/>
        <v>99</v>
      </c>
      <c r="CG3075" s="16">
        <f t="shared" si="713"/>
        <v>0</v>
      </c>
      <c r="CH3075" s="16">
        <f t="shared" ref="CH3075:CH3138" si="720">IF(CB3075="",0,1)</f>
        <v>0</v>
      </c>
      <c r="CJ3075" s="16" t="e">
        <f t="shared" si="714"/>
        <v>#N/A</v>
      </c>
      <c r="CK3075" s="16" t="str">
        <f t="shared" si="715"/>
        <v/>
      </c>
    </row>
    <row r="3076" spans="73:89" ht="12" customHeight="1">
      <c r="BU3076" s="16">
        <f t="shared" si="716"/>
        <v>0</v>
      </c>
      <c r="BV3076" s="16">
        <f>IF($BY$12=1,NORMDIST(BY3076,$Y$6,$Y$8,TRUE),IF($BY$12=2,IF(BY3076&lt;=$BX$31,0,IF(BY3076&gt;=$BX$32,1,(BY3076-$BX$31)*$BX$33)),SUM($BU$42:BU3076)/$BV$40))</f>
        <v>1</v>
      </c>
      <c r="BW3076" s="16">
        <f t="shared" si="718"/>
        <v>8.3847075335494673E-35</v>
      </c>
      <c r="BY3076" s="16">
        <f t="shared" si="719"/>
        <v>303.40000000000049</v>
      </c>
      <c r="BZ3076" s="16">
        <f t="shared" si="710"/>
        <v>2.7635819161336367E-37</v>
      </c>
      <c r="CA3076" s="16">
        <f t="shared" si="717"/>
        <v>-999</v>
      </c>
      <c r="CE3076" s="16" t="e">
        <f t="shared" si="711"/>
        <v>#N/A</v>
      </c>
      <c r="CF3076" s="16">
        <f t="shared" si="712"/>
        <v>99</v>
      </c>
      <c r="CG3076" s="16">
        <f t="shared" si="713"/>
        <v>0</v>
      </c>
      <c r="CH3076" s="16">
        <f t="shared" si="720"/>
        <v>0</v>
      </c>
      <c r="CJ3076" s="16" t="e">
        <f t="shared" si="714"/>
        <v>#N/A</v>
      </c>
      <c r="CK3076" s="16" t="str">
        <f t="shared" si="715"/>
        <v/>
      </c>
    </row>
    <row r="3077" spans="73:89" ht="12" customHeight="1">
      <c r="BU3077" s="16">
        <f t="shared" si="716"/>
        <v>0</v>
      </c>
      <c r="BV3077" s="16">
        <f>IF($BY$12=1,NORMDIST(BY3077,$Y$6,$Y$8,TRUE),IF($BY$12=2,IF(BY3077&lt;=$BX$31,0,IF(BY3077&gt;=$BX$32,1,(BY3077-$BX$31)*$BX$33)),SUM($BU$42:BU3077)/$BV$40))</f>
        <v>1</v>
      </c>
      <c r="BW3077" s="16">
        <f t="shared" si="718"/>
        <v>7.8725069635372463E-35</v>
      </c>
      <c r="BY3077" s="16">
        <f t="shared" si="719"/>
        <v>303.50000000000051</v>
      </c>
      <c r="BZ3077" s="16">
        <f t="shared" si="710"/>
        <v>2.5939067425163866E-37</v>
      </c>
      <c r="CA3077" s="16">
        <f t="shared" si="717"/>
        <v>-999</v>
      </c>
      <c r="CE3077" s="16" t="e">
        <f t="shared" si="711"/>
        <v>#N/A</v>
      </c>
      <c r="CF3077" s="16">
        <f t="shared" si="712"/>
        <v>99</v>
      </c>
      <c r="CG3077" s="16">
        <f t="shared" si="713"/>
        <v>0</v>
      </c>
      <c r="CH3077" s="16">
        <f t="shared" si="720"/>
        <v>0</v>
      </c>
      <c r="CJ3077" s="16" t="e">
        <f t="shared" si="714"/>
        <v>#N/A</v>
      </c>
      <c r="CK3077" s="16" t="str">
        <f t="shared" si="715"/>
        <v/>
      </c>
    </row>
    <row r="3078" spans="73:89" ht="12" customHeight="1">
      <c r="BU3078" s="16">
        <f t="shared" si="716"/>
        <v>0</v>
      </c>
      <c r="BV3078" s="16">
        <f>IF($BY$12=1,NORMDIST(BY3078,$Y$6,$Y$8,TRUE),IF($BY$12=2,IF(BY3078&lt;=$BX$31,0,IF(BY3078&gt;=$BX$32,1,(BY3078-$BX$31)*$BX$33)),SUM($BU$42:BU3078)/$BV$40))</f>
        <v>1</v>
      </c>
      <c r="BW3078" s="16">
        <f t="shared" si="718"/>
        <v>7.391409840474701E-35</v>
      </c>
      <c r="BY3078" s="16">
        <f t="shared" si="719"/>
        <v>303.60000000000053</v>
      </c>
      <c r="BZ3078" s="16">
        <f t="shared" si="710"/>
        <v>2.4345882215002265E-37</v>
      </c>
      <c r="CA3078" s="16">
        <f t="shared" si="717"/>
        <v>-999</v>
      </c>
      <c r="CE3078" s="16" t="e">
        <f t="shared" si="711"/>
        <v>#N/A</v>
      </c>
      <c r="CF3078" s="16">
        <f t="shared" si="712"/>
        <v>99</v>
      </c>
      <c r="CG3078" s="16">
        <f t="shared" si="713"/>
        <v>0</v>
      </c>
      <c r="CH3078" s="16">
        <f t="shared" si="720"/>
        <v>0</v>
      </c>
      <c r="CJ3078" s="16" t="e">
        <f t="shared" si="714"/>
        <v>#N/A</v>
      </c>
      <c r="CK3078" s="16" t="str">
        <f t="shared" si="715"/>
        <v/>
      </c>
    </row>
    <row r="3079" spans="73:89" ht="12" customHeight="1">
      <c r="BU3079" s="16">
        <f t="shared" si="716"/>
        <v>0</v>
      </c>
      <c r="BV3079" s="16">
        <f>IF($BY$12=1,NORMDIST(BY3079,$Y$6,$Y$8,TRUE),IF($BY$12=2,IF(BY3079&lt;=$BX$31,0,IF(BY3079&gt;=$BX$32,1,(BY3079-$BX$31)*$BX$33)),SUM($BU$42:BU3079)/$BV$40))</f>
        <v>1</v>
      </c>
      <c r="BW3079" s="16">
        <f t="shared" si="718"/>
        <v>6.9395388215489413E-35</v>
      </c>
      <c r="BY3079" s="16">
        <f t="shared" si="719"/>
        <v>303.70000000000056</v>
      </c>
      <c r="BZ3079" s="16">
        <f t="shared" si="710"/>
        <v>2.2849979656071545E-37</v>
      </c>
      <c r="CA3079" s="16">
        <f t="shared" si="717"/>
        <v>-999</v>
      </c>
      <c r="CE3079" s="16" t="e">
        <f t="shared" si="711"/>
        <v>#N/A</v>
      </c>
      <c r="CF3079" s="16">
        <f t="shared" si="712"/>
        <v>99</v>
      </c>
      <c r="CG3079" s="16">
        <f t="shared" si="713"/>
        <v>0</v>
      </c>
      <c r="CH3079" s="16">
        <f t="shared" si="720"/>
        <v>0</v>
      </c>
      <c r="CJ3079" s="16" t="e">
        <f t="shared" si="714"/>
        <v>#N/A</v>
      </c>
      <c r="CK3079" s="16" t="str">
        <f t="shared" si="715"/>
        <v/>
      </c>
    </row>
    <row r="3080" spans="73:89" ht="12" customHeight="1">
      <c r="BU3080" s="16">
        <f t="shared" si="716"/>
        <v>0</v>
      </c>
      <c r="BV3080" s="16">
        <f>IF($BY$12=1,NORMDIST(BY3080,$Y$6,$Y$8,TRUE),IF($BY$12=2,IF(BY3080&lt;=$BX$31,0,IF(BY3080&gt;=$BX$32,1,(BY3080-$BX$31)*$BX$33)),SUM($BU$42:BU3080)/$BV$40))</f>
        <v>1</v>
      </c>
      <c r="BW3080" s="16">
        <f t="shared" si="718"/>
        <v>6.5151291782081951E-35</v>
      </c>
      <c r="BY3080" s="16">
        <f t="shared" si="719"/>
        <v>303.80000000000058</v>
      </c>
      <c r="BZ3080" s="16">
        <f t="shared" si="710"/>
        <v>2.1445454832811662E-37</v>
      </c>
      <c r="CA3080" s="16">
        <f t="shared" si="717"/>
        <v>-999</v>
      </c>
      <c r="CE3080" s="16" t="e">
        <f t="shared" si="711"/>
        <v>#N/A</v>
      </c>
      <c r="CF3080" s="16">
        <f t="shared" si="712"/>
        <v>99</v>
      </c>
      <c r="CG3080" s="16">
        <f t="shared" si="713"/>
        <v>0</v>
      </c>
      <c r="CH3080" s="16">
        <f t="shared" si="720"/>
        <v>0</v>
      </c>
      <c r="CJ3080" s="16" t="e">
        <f t="shared" si="714"/>
        <v>#N/A</v>
      </c>
      <c r="CK3080" s="16" t="str">
        <f t="shared" si="715"/>
        <v/>
      </c>
    </row>
    <row r="3081" spans="73:89" ht="12" customHeight="1">
      <c r="BU3081" s="16">
        <f t="shared" si="716"/>
        <v>0</v>
      </c>
      <c r="BV3081" s="16">
        <f>IF($BY$12=1,NORMDIST(BY3081,$Y$6,$Y$8,TRUE),IF($BY$12=2,IF(BY3081&lt;=$BX$31,0,IF(BY3081&gt;=$BX$32,1,(BY3081-$BX$31)*$BX$33)),SUM($BU$42:BU3081)/$BV$40))</f>
        <v>1</v>
      </c>
      <c r="BW3081" s="16">
        <f t="shared" si="718"/>
        <v>6.1165220833601316E-35</v>
      </c>
      <c r="BY3081" s="16">
        <f t="shared" si="719"/>
        <v>303.9000000000006</v>
      </c>
      <c r="BZ3081" s="16">
        <f t="shared" si="710"/>
        <v>2.0126759076538729E-37</v>
      </c>
      <c r="CA3081" s="16">
        <f t="shared" si="717"/>
        <v>-999</v>
      </c>
      <c r="CE3081" s="16" t="e">
        <f t="shared" si="711"/>
        <v>#N/A</v>
      </c>
      <c r="CF3081" s="16">
        <f t="shared" si="712"/>
        <v>99</v>
      </c>
      <c r="CG3081" s="16">
        <f t="shared" si="713"/>
        <v>0</v>
      </c>
      <c r="CH3081" s="16">
        <f t="shared" si="720"/>
        <v>0</v>
      </c>
      <c r="CJ3081" s="16" t="e">
        <f t="shared" si="714"/>
        <v>#N/A</v>
      </c>
      <c r="CK3081" s="16" t="str">
        <f t="shared" si="715"/>
        <v/>
      </c>
    </row>
    <row r="3082" spans="73:89" ht="12" customHeight="1">
      <c r="BU3082" s="16">
        <f t="shared" si="716"/>
        <v>0</v>
      </c>
      <c r="BV3082" s="16">
        <f>IF($BY$12=1,NORMDIST(BY3082,$Y$6,$Y$8,TRUE),IF($BY$12=2,IF(BY3082&lt;=$BX$31,0,IF(BY3082&gt;=$BX$32,1,(BY3082-$BX$31)*$BX$33)),SUM($BU$42:BU3082)/$BV$40))</f>
        <v>1</v>
      </c>
      <c r="BW3082" s="16">
        <f t="shared" si="718"/>
        <v>5.7421582961443864E-35</v>
      </c>
      <c r="BY3082" s="16">
        <f t="shared" si="719"/>
        <v>304.00000000000063</v>
      </c>
      <c r="BZ3082" s="16">
        <f t="shared" si="710"/>
        <v>1.8888678605738075E-37</v>
      </c>
      <c r="CA3082" s="16">
        <f t="shared" si="717"/>
        <v>-999</v>
      </c>
      <c r="CE3082" s="16" t="e">
        <f t="shared" si="711"/>
        <v>#N/A</v>
      </c>
      <c r="CF3082" s="16">
        <f t="shared" si="712"/>
        <v>99</v>
      </c>
      <c r="CG3082" s="16">
        <f t="shared" si="713"/>
        <v>0</v>
      </c>
      <c r="CH3082" s="16">
        <f t="shared" si="720"/>
        <v>0</v>
      </c>
      <c r="CJ3082" s="16" t="e">
        <f t="shared" si="714"/>
        <v>#N/A</v>
      </c>
      <c r="CK3082" s="16" t="str">
        <f t="shared" si="715"/>
        <v/>
      </c>
    </row>
    <row r="3083" spans="73:89" ht="12" customHeight="1">
      <c r="BU3083" s="16">
        <f t="shared" si="716"/>
        <v>0</v>
      </c>
      <c r="BV3083" s="16">
        <f>IF($BY$12=1,NORMDIST(BY3083,$Y$6,$Y$8,TRUE),IF($BY$12=2,IF(BY3083&lt;=$BX$31,0,IF(BY3083&gt;=$BX$32,1,(BY3083-$BX$31)*$BX$33)),SUM($BU$42:BU3083)/$BV$40))</f>
        <v>1</v>
      </c>
      <c r="BW3083" s="16">
        <f t="shared" si="718"/>
        <v>5.3905722208870464E-35</v>
      </c>
      <c r="BY3083" s="16">
        <f t="shared" si="719"/>
        <v>304.10000000000065</v>
      </c>
      <c r="BZ3083" s="16">
        <f t="shared" si="710"/>
        <v>1.7726314438957696E-37</v>
      </c>
      <c r="CA3083" s="16">
        <f t="shared" si="717"/>
        <v>-999</v>
      </c>
      <c r="CE3083" s="16" t="e">
        <f t="shared" si="711"/>
        <v>#N/A</v>
      </c>
      <c r="CF3083" s="16">
        <f t="shared" si="712"/>
        <v>99</v>
      </c>
      <c r="CG3083" s="16">
        <f t="shared" si="713"/>
        <v>0</v>
      </c>
      <c r="CH3083" s="16">
        <f t="shared" si="720"/>
        <v>0</v>
      </c>
      <c r="CJ3083" s="16" t="e">
        <f t="shared" si="714"/>
        <v>#N/A</v>
      </c>
      <c r="CK3083" s="16" t="str">
        <f t="shared" si="715"/>
        <v/>
      </c>
    </row>
    <row r="3084" spans="73:89" ht="12" customHeight="1">
      <c r="BU3084" s="16">
        <f t="shared" si="716"/>
        <v>0</v>
      </c>
      <c r="BV3084" s="16">
        <f>IF($BY$12=1,NORMDIST(BY3084,$Y$6,$Y$8,TRUE),IF($BY$12=2,IF(BY3084&lt;=$BX$31,0,IF(BY3084&gt;=$BX$32,1,(BY3084-$BX$31)*$BX$33)),SUM($BU$42:BU3084)/$BV$40))</f>
        <v>1</v>
      </c>
      <c r="BW3084" s="16">
        <f t="shared" si="718"/>
        <v>5.0603863182115691E-35</v>
      </c>
      <c r="BY3084" s="16">
        <f t="shared" si="719"/>
        <v>304.20000000000067</v>
      </c>
      <c r="BZ3084" s="16">
        <f t="shared" si="710"/>
        <v>1.6635063504968962E-37</v>
      </c>
      <c r="CA3084" s="16">
        <f t="shared" si="717"/>
        <v>-999</v>
      </c>
      <c r="CE3084" s="16" t="e">
        <f t="shared" si="711"/>
        <v>#N/A</v>
      </c>
      <c r="CF3084" s="16">
        <f t="shared" si="712"/>
        <v>99</v>
      </c>
      <c r="CG3084" s="16">
        <f t="shared" si="713"/>
        <v>0</v>
      </c>
      <c r="CH3084" s="16">
        <f t="shared" si="720"/>
        <v>0</v>
      </c>
      <c r="CJ3084" s="16" t="e">
        <f t="shared" si="714"/>
        <v>#N/A</v>
      </c>
      <c r="CK3084" s="16" t="str">
        <f t="shared" si="715"/>
        <v/>
      </c>
    </row>
    <row r="3085" spans="73:89" ht="12" customHeight="1">
      <c r="BU3085" s="16">
        <f t="shared" si="716"/>
        <v>0</v>
      </c>
      <c r="BV3085" s="16">
        <f>IF($BY$12=1,NORMDIST(BY3085,$Y$6,$Y$8,TRUE),IF($BY$12=2,IF(BY3085&lt;=$BX$31,0,IF(BY3085&gt;=$BX$32,1,(BY3085-$BX$31)*$BX$33)),SUM($BU$42:BU3085)/$BV$40))</f>
        <v>1</v>
      </c>
      <c r="BW3085" s="16">
        <f t="shared" si="718"/>
        <v>4.7503058475683426E-35</v>
      </c>
      <c r="BY3085" s="16">
        <f t="shared" si="719"/>
        <v>304.30000000000069</v>
      </c>
      <c r="BZ3085" s="16">
        <f t="shared" si="710"/>
        <v>1.5610600879291264E-37</v>
      </c>
      <c r="CA3085" s="16">
        <f t="shared" si="717"/>
        <v>-999</v>
      </c>
      <c r="CE3085" s="16" t="e">
        <f t="shared" si="711"/>
        <v>#N/A</v>
      </c>
      <c r="CF3085" s="16">
        <f t="shared" si="712"/>
        <v>99</v>
      </c>
      <c r="CG3085" s="16">
        <f t="shared" si="713"/>
        <v>0</v>
      </c>
      <c r="CH3085" s="16">
        <f t="shared" si="720"/>
        <v>0</v>
      </c>
      <c r="CJ3085" s="16" t="e">
        <f t="shared" si="714"/>
        <v>#N/A</v>
      </c>
      <c r="CK3085" s="16" t="str">
        <f t="shared" si="715"/>
        <v/>
      </c>
    </row>
    <row r="3086" spans="73:89" ht="12" customHeight="1">
      <c r="BU3086" s="16">
        <f t="shared" si="716"/>
        <v>0</v>
      </c>
      <c r="BV3086" s="16">
        <f>IF($BY$12=1,NORMDIST(BY3086,$Y$6,$Y$8,TRUE),IF($BY$12=2,IF(BY3086&lt;=$BX$31,0,IF(BY3086&gt;=$BX$32,1,(BY3086-$BX$31)*$BX$33)),SUM($BU$42:BU3086)/$BV$40))</f>
        <v>1</v>
      </c>
      <c r="BW3086" s="16">
        <f t="shared" si="718"/>
        <v>4.4591139216578878E-35</v>
      </c>
      <c r="BY3086" s="16">
        <f t="shared" si="719"/>
        <v>304.40000000000072</v>
      </c>
      <c r="BZ3086" s="16">
        <f t="shared" si="710"/>
        <v>1.4648863080347823E-37</v>
      </c>
      <c r="CA3086" s="16">
        <f t="shared" si="717"/>
        <v>-999</v>
      </c>
      <c r="CE3086" s="16" t="e">
        <f t="shared" si="711"/>
        <v>#N/A</v>
      </c>
      <c r="CF3086" s="16">
        <f t="shared" si="712"/>
        <v>99</v>
      </c>
      <c r="CG3086" s="16">
        <f t="shared" si="713"/>
        <v>0</v>
      </c>
      <c r="CH3086" s="16">
        <f t="shared" si="720"/>
        <v>0</v>
      </c>
      <c r="CJ3086" s="16" t="e">
        <f t="shared" si="714"/>
        <v>#N/A</v>
      </c>
      <c r="CK3086" s="16" t="str">
        <f t="shared" si="715"/>
        <v/>
      </c>
    </row>
    <row r="3087" spans="73:89" ht="12" customHeight="1">
      <c r="BU3087" s="16">
        <f t="shared" si="716"/>
        <v>0</v>
      </c>
      <c r="BV3087" s="16">
        <f>IF($BY$12=1,NORMDIST(BY3087,$Y$6,$Y$8,TRUE),IF($BY$12=2,IF(BY3087&lt;=$BX$31,0,IF(BY3087&gt;=$BX$32,1,(BY3087-$BX$31)*$BX$33)),SUM($BU$42:BU3087)/$BV$40))</f>
        <v>1</v>
      </c>
      <c r="BW3087" s="16">
        <f t="shared" si="718"/>
        <v>4.1856668543674723E-35</v>
      </c>
      <c r="BY3087" s="16">
        <f t="shared" si="719"/>
        <v>304.50000000000074</v>
      </c>
      <c r="BZ3087" s="16">
        <f t="shared" si="710"/>
        <v>1.374603236245472E-37</v>
      </c>
      <c r="CA3087" s="16">
        <f t="shared" si="717"/>
        <v>-999</v>
      </c>
      <c r="CE3087" s="16" t="e">
        <f t="shared" si="711"/>
        <v>#N/A</v>
      </c>
      <c r="CF3087" s="16">
        <f t="shared" si="712"/>
        <v>99</v>
      </c>
      <c r="CG3087" s="16">
        <f t="shared" si="713"/>
        <v>0</v>
      </c>
      <c r="CH3087" s="16">
        <f t="shared" si="720"/>
        <v>0</v>
      </c>
      <c r="CJ3087" s="16" t="e">
        <f t="shared" si="714"/>
        <v>#N/A</v>
      </c>
      <c r="CK3087" s="16" t="str">
        <f t="shared" si="715"/>
        <v/>
      </c>
    </row>
    <row r="3088" spans="73:89" ht="12" customHeight="1">
      <c r="BU3088" s="16">
        <f t="shared" si="716"/>
        <v>0</v>
      </c>
      <c r="BV3088" s="16">
        <f>IF($BY$12=1,NORMDIST(BY3088,$Y$6,$Y$8,TRUE),IF($BY$12=2,IF(BY3088&lt;=$BX$31,0,IF(BY3088&gt;=$BX$32,1,(BY3088-$BX$31)*$BX$33)),SUM($BU$42:BU3088)/$BV$40))</f>
        <v>1</v>
      </c>
      <c r="BW3088" s="16">
        <f t="shared" si="718"/>
        <v>3.9288897849125521E-35</v>
      </c>
      <c r="BY3088" s="16">
        <f t="shared" si="719"/>
        <v>304.60000000000076</v>
      </c>
      <c r="BZ3088" s="16">
        <f t="shared" si="710"/>
        <v>1.2898521946528373E-37</v>
      </c>
      <c r="CA3088" s="16">
        <f t="shared" si="717"/>
        <v>-999</v>
      </c>
      <c r="CE3088" s="16" t="e">
        <f t="shared" si="711"/>
        <v>#N/A</v>
      </c>
      <c r="CF3088" s="16">
        <f t="shared" si="712"/>
        <v>99</v>
      </c>
      <c r="CG3088" s="16">
        <f t="shared" si="713"/>
        <v>0</v>
      </c>
      <c r="CH3088" s="16">
        <f t="shared" si="720"/>
        <v>0</v>
      </c>
      <c r="CJ3088" s="16" t="e">
        <f t="shared" si="714"/>
        <v>#N/A</v>
      </c>
      <c r="CK3088" s="16" t="str">
        <f t="shared" si="715"/>
        <v/>
      </c>
    </row>
    <row r="3089" spans="73:89" ht="12" customHeight="1">
      <c r="BU3089" s="16">
        <f t="shared" si="716"/>
        <v>0</v>
      </c>
      <c r="BV3089" s="16">
        <f>IF($BY$12=1,NORMDIST(BY3089,$Y$6,$Y$8,TRUE),IF($BY$12=2,IF(BY3089&lt;=$BX$31,0,IF(BY3089&gt;=$BX$32,1,(BY3089-$BX$31)*$BX$33)),SUM($BU$42:BU3089)/$BV$40))</f>
        <v>1</v>
      </c>
      <c r="BW3089" s="16">
        <f t="shared" si="718"/>
        <v>3.6877725618934434E-35</v>
      </c>
      <c r="BY3089" s="16">
        <f t="shared" si="719"/>
        <v>304.70000000000078</v>
      </c>
      <c r="BZ3089" s="16">
        <f t="shared" si="710"/>
        <v>1.2102962132896075E-37</v>
      </c>
      <c r="CA3089" s="16">
        <f t="shared" si="717"/>
        <v>-999</v>
      </c>
      <c r="CE3089" s="16" t="e">
        <f t="shared" si="711"/>
        <v>#N/A</v>
      </c>
      <c r="CF3089" s="16">
        <f t="shared" si="712"/>
        <v>99</v>
      </c>
      <c r="CG3089" s="16">
        <f t="shared" si="713"/>
        <v>0</v>
      </c>
      <c r="CH3089" s="16">
        <f t="shared" si="720"/>
        <v>0</v>
      </c>
      <c r="CJ3089" s="16" t="e">
        <f t="shared" si="714"/>
        <v>#N/A</v>
      </c>
      <c r="CK3089" s="16" t="str">
        <f t="shared" si="715"/>
        <v/>
      </c>
    </row>
    <row r="3090" spans="73:89" ht="12" customHeight="1">
      <c r="BU3090" s="16">
        <f t="shared" si="716"/>
        <v>0</v>
      </c>
      <c r="BV3090" s="16">
        <f>IF($BY$12=1,NORMDIST(BY3090,$Y$6,$Y$8,TRUE),IF($BY$12=2,IF(BY3090&lt;=$BX$31,0,IF(BY3090&gt;=$BX$32,1,(BY3090-$BX$31)*$BX$33)),SUM($BU$42:BU3090)/$BV$40))</f>
        <v>1</v>
      </c>
      <c r="BW3090" s="16">
        <f t="shared" si="718"/>
        <v>3.4613658719278023E-35</v>
      </c>
      <c r="BY3090" s="16">
        <f t="shared" si="719"/>
        <v>304.80000000000081</v>
      </c>
      <c r="BZ3090" s="16">
        <f t="shared" si="710"/>
        <v>1.1356187243857589E-37</v>
      </c>
      <c r="CA3090" s="16">
        <f t="shared" si="717"/>
        <v>-999</v>
      </c>
      <c r="CE3090" s="16" t="e">
        <f t="shared" si="711"/>
        <v>#N/A</v>
      </c>
      <c r="CF3090" s="16">
        <f t="shared" si="712"/>
        <v>99</v>
      </c>
      <c r="CG3090" s="16">
        <f t="shared" si="713"/>
        <v>0</v>
      </c>
      <c r="CH3090" s="16">
        <f t="shared" si="720"/>
        <v>0</v>
      </c>
      <c r="CJ3090" s="16" t="e">
        <f t="shared" si="714"/>
        <v>#N/A</v>
      </c>
      <c r="CK3090" s="16" t="str">
        <f t="shared" si="715"/>
        <v/>
      </c>
    </row>
    <row r="3091" spans="73:89" ht="12" customHeight="1">
      <c r="BU3091" s="16">
        <f t="shared" si="716"/>
        <v>0</v>
      </c>
      <c r="BV3091" s="16">
        <f>IF($BY$12=1,NORMDIST(BY3091,$Y$6,$Y$8,TRUE),IF($BY$12=2,IF(BY3091&lt;=$BX$31,0,IF(BY3091&gt;=$BX$32,1,(BY3091-$BX$31)*$BX$33)),SUM($BU$42:BU3091)/$BV$40))</f>
        <v>1</v>
      </c>
      <c r="BW3091" s="16">
        <f t="shared" si="718"/>
        <v>3.248777598420854E-35</v>
      </c>
      <c r="BY3091" s="16">
        <f t="shared" si="719"/>
        <v>304.90000000000083</v>
      </c>
      <c r="BZ3091" s="16">
        <f t="shared" si="710"/>
        <v>1.0655223346739406E-37</v>
      </c>
      <c r="CA3091" s="16">
        <f t="shared" si="717"/>
        <v>-999</v>
      </c>
      <c r="CE3091" s="16" t="e">
        <f t="shared" si="711"/>
        <v>#N/A</v>
      </c>
      <c r="CF3091" s="16">
        <f t="shared" si="712"/>
        <v>99</v>
      </c>
      <c r="CG3091" s="16">
        <f t="shared" si="713"/>
        <v>0</v>
      </c>
      <c r="CH3091" s="16">
        <f t="shared" si="720"/>
        <v>0</v>
      </c>
      <c r="CJ3091" s="16" t="e">
        <f t="shared" si="714"/>
        <v>#N/A</v>
      </c>
      <c r="CK3091" s="16" t="str">
        <f t="shared" si="715"/>
        <v/>
      </c>
    </row>
    <row r="3092" spans="73:89" ht="12" customHeight="1">
      <c r="BU3092" s="16">
        <f t="shared" si="716"/>
        <v>0</v>
      </c>
      <c r="BV3092" s="16">
        <f>IF($BY$12=1,NORMDIST(BY3092,$Y$6,$Y$8,TRUE),IF($BY$12=2,IF(BY3092&lt;=$BX$31,0,IF(BY3092&gt;=$BX$32,1,(BY3092-$BX$31)*$BX$33)),SUM($BU$42:BU3092)/$BV$40))</f>
        <v>1</v>
      </c>
      <c r="BW3092" s="16">
        <f t="shared" si="718"/>
        <v>3.0491693968816426E-35</v>
      </c>
      <c r="BY3092" s="16">
        <f t="shared" si="719"/>
        <v>305.00000000000085</v>
      </c>
      <c r="BZ3092" s="16">
        <f t="shared" si="710"/>
        <v>9.9972767110873251E-38</v>
      </c>
      <c r="CA3092" s="16">
        <f t="shared" si="717"/>
        <v>-999</v>
      </c>
      <c r="CE3092" s="16" t="e">
        <f t="shared" si="711"/>
        <v>#N/A</v>
      </c>
      <c r="CF3092" s="16">
        <f t="shared" si="712"/>
        <v>99</v>
      </c>
      <c r="CG3092" s="16">
        <f t="shared" si="713"/>
        <v>0</v>
      </c>
      <c r="CH3092" s="16">
        <f t="shared" si="720"/>
        <v>0</v>
      </c>
      <c r="CJ3092" s="16" t="e">
        <f t="shared" si="714"/>
        <v>#N/A</v>
      </c>
      <c r="CK3092" s="16" t="str">
        <f t="shared" si="715"/>
        <v/>
      </c>
    </row>
    <row r="3093" spans="73:89" ht="12" customHeight="1">
      <c r="BU3093" s="16">
        <f t="shared" si="716"/>
        <v>0</v>
      </c>
      <c r="BV3093" s="16">
        <f>IF($BY$12=1,NORMDIST(BY3093,$Y$6,$Y$8,TRUE),IF($BY$12=2,IF(BY3093&lt;=$BX$31,0,IF(BY3093&gt;=$BX$32,1,(BY3093-$BX$31)*$BX$33)),SUM($BU$42:BU3093)/$BV$40))</f>
        <v>1</v>
      </c>
      <c r="BW3093" s="16">
        <f t="shared" si="718"/>
        <v>2.861753473990752E-35</v>
      </c>
      <c r="BY3093" s="16">
        <f t="shared" si="719"/>
        <v>305.10000000000088</v>
      </c>
      <c r="BZ3093" s="16">
        <f t="shared" si="710"/>
        <v>9.3797229563773968E-38</v>
      </c>
      <c r="CA3093" s="16">
        <f t="shared" si="717"/>
        <v>-999</v>
      </c>
      <c r="CE3093" s="16" t="e">
        <f t="shared" si="711"/>
        <v>#N/A</v>
      </c>
      <c r="CF3093" s="16">
        <f t="shared" si="712"/>
        <v>99</v>
      </c>
      <c r="CG3093" s="16">
        <f t="shared" si="713"/>
        <v>0</v>
      </c>
      <c r="CH3093" s="16">
        <f t="shared" si="720"/>
        <v>0</v>
      </c>
      <c r="CJ3093" s="16" t="e">
        <f t="shared" si="714"/>
        <v>#N/A</v>
      </c>
      <c r="CK3093" s="16" t="str">
        <f t="shared" si="715"/>
        <v/>
      </c>
    </row>
    <row r="3094" spans="73:89" ht="12" customHeight="1">
      <c r="BU3094" s="16">
        <f t="shared" si="716"/>
        <v>0</v>
      </c>
      <c r="BV3094" s="16">
        <f>IF($BY$12=1,NORMDIST(BY3094,$Y$6,$Y$8,TRUE),IF($BY$12=2,IF(BY3094&lt;=$BX$31,0,IF(BY3094&gt;=$BX$32,1,(BY3094-$BX$31)*$BX$33)),SUM($BU$42:BU3094)/$BV$40))</f>
        <v>1</v>
      </c>
      <c r="BW3094" s="16">
        <f t="shared" si="718"/>
        <v>2.6857895583758357E-35</v>
      </c>
      <c r="BY3094" s="16">
        <f t="shared" si="719"/>
        <v>305.2000000000009</v>
      </c>
      <c r="BZ3094" s="16">
        <f t="shared" si="710"/>
        <v>8.8000968491999603E-38</v>
      </c>
      <c r="CA3094" s="16">
        <f t="shared" si="717"/>
        <v>-999</v>
      </c>
      <c r="CE3094" s="16" t="e">
        <f t="shared" si="711"/>
        <v>#N/A</v>
      </c>
      <c r="CF3094" s="16">
        <f t="shared" si="712"/>
        <v>99</v>
      </c>
      <c r="CG3094" s="16">
        <f t="shared" si="713"/>
        <v>0</v>
      </c>
      <c r="CH3094" s="16">
        <f t="shared" si="720"/>
        <v>0</v>
      </c>
      <c r="CJ3094" s="16" t="e">
        <f t="shared" si="714"/>
        <v>#N/A</v>
      </c>
      <c r="CK3094" s="16" t="str">
        <f t="shared" si="715"/>
        <v/>
      </c>
    </row>
    <row r="3095" spans="73:89" ht="12" customHeight="1">
      <c r="BU3095" s="16">
        <f t="shared" si="716"/>
        <v>0</v>
      </c>
      <c r="BV3095" s="16">
        <f>IF($BY$12=1,NORMDIST(BY3095,$Y$6,$Y$8,TRUE),IF($BY$12=2,IF(BY3095&lt;=$BX$31,0,IF(BY3095&gt;=$BX$32,1,(BY3095-$BX$31)*$BX$33)),SUM($BU$42:BU3095)/$BV$40))</f>
        <v>1</v>
      </c>
      <c r="BW3095" s="16">
        <f t="shared" si="718"/>
        <v>2.5205820517583572E-35</v>
      </c>
      <c r="BY3095" s="16">
        <f t="shared" si="719"/>
        <v>305.30000000000092</v>
      </c>
      <c r="BZ3095" s="16">
        <f t="shared" si="710"/>
        <v>8.2560827112949544E-38</v>
      </c>
      <c r="CA3095" s="16">
        <f t="shared" si="717"/>
        <v>-999</v>
      </c>
      <c r="CE3095" s="16" t="e">
        <f t="shared" si="711"/>
        <v>#N/A</v>
      </c>
      <c r="CF3095" s="16">
        <f t="shared" si="712"/>
        <v>99</v>
      </c>
      <c r="CG3095" s="16">
        <f t="shared" si="713"/>
        <v>0</v>
      </c>
      <c r="CH3095" s="16">
        <f t="shared" si="720"/>
        <v>0</v>
      </c>
      <c r="CJ3095" s="16" t="e">
        <f t="shared" si="714"/>
        <v>#N/A</v>
      </c>
      <c r="CK3095" s="16" t="str">
        <f t="shared" si="715"/>
        <v/>
      </c>
    </row>
    <row r="3096" spans="73:89" ht="12" customHeight="1">
      <c r="BU3096" s="16">
        <f t="shared" si="716"/>
        <v>0</v>
      </c>
      <c r="BV3096" s="16">
        <f>IF($BY$12=1,NORMDIST(BY3096,$Y$6,$Y$8,TRUE),IF($BY$12=2,IF(BY3096&lt;=$BX$31,0,IF(BY3096&gt;=$BX$32,1,(BY3096-$BX$31)*$BX$33)),SUM($BU$42:BU3096)/$BV$40))</f>
        <v>1</v>
      </c>
      <c r="BW3096" s="16">
        <f t="shared" si="718"/>
        <v>2.3654773498020652E-35</v>
      </c>
      <c r="BY3096" s="16">
        <f t="shared" si="719"/>
        <v>305.40000000000094</v>
      </c>
      <c r="BZ3096" s="16">
        <f t="shared" si="710"/>
        <v>7.7455054021023505E-38</v>
      </c>
      <c r="CA3096" s="16">
        <f t="shared" si="717"/>
        <v>-999</v>
      </c>
      <c r="CE3096" s="16" t="e">
        <f t="shared" si="711"/>
        <v>#N/A</v>
      </c>
      <c r="CF3096" s="16">
        <f t="shared" si="712"/>
        <v>99</v>
      </c>
      <c r="CG3096" s="16">
        <f t="shared" si="713"/>
        <v>0</v>
      </c>
      <c r="CH3096" s="16">
        <f t="shared" si="720"/>
        <v>0</v>
      </c>
      <c r="CJ3096" s="16" t="e">
        <f t="shared" si="714"/>
        <v>#N/A</v>
      </c>
      <c r="CK3096" s="16" t="str">
        <f t="shared" si="715"/>
        <v/>
      </c>
    </row>
    <row r="3097" spans="73:89" ht="12" customHeight="1">
      <c r="BU3097" s="16">
        <f t="shared" si="716"/>
        <v>0</v>
      </c>
      <c r="BV3097" s="16">
        <f>IF($BY$12=1,NORMDIST(BY3097,$Y$6,$Y$8,TRUE),IF($BY$12=2,IF(BY3097&lt;=$BX$31,0,IF(BY3097&gt;=$BX$32,1,(BY3097-$BX$31)*$BX$33)),SUM($BU$42:BU3097)/$BV$40))</f>
        <v>1</v>
      </c>
      <c r="BW3097" s="16">
        <f t="shared" si="718"/>
        <v>2.2198613226183098E-35</v>
      </c>
      <c r="BY3097" s="16">
        <f t="shared" si="719"/>
        <v>305.50000000000097</v>
      </c>
      <c r="BZ3097" s="16">
        <f t="shared" si="710"/>
        <v>7.2663218416311059E-38</v>
      </c>
      <c r="CA3097" s="16">
        <f t="shared" si="717"/>
        <v>-999</v>
      </c>
      <c r="CE3097" s="16" t="e">
        <f t="shared" si="711"/>
        <v>#N/A</v>
      </c>
      <c r="CF3097" s="16">
        <f t="shared" si="712"/>
        <v>99</v>
      </c>
      <c r="CG3097" s="16">
        <f t="shared" si="713"/>
        <v>0</v>
      </c>
      <c r="CH3097" s="16">
        <f t="shared" si="720"/>
        <v>0</v>
      </c>
      <c r="CJ3097" s="16" t="e">
        <f t="shared" si="714"/>
        <v>#N/A</v>
      </c>
      <c r="CK3097" s="16" t="str">
        <f t="shared" si="715"/>
        <v/>
      </c>
    </row>
    <row r="3098" spans="73:89" ht="12" customHeight="1">
      <c r="BU3098" s="16">
        <f t="shared" si="716"/>
        <v>0</v>
      </c>
      <c r="BV3098" s="16">
        <f>IF($BY$12=1,NORMDIST(BY3098,$Y$6,$Y$8,TRUE),IF($BY$12=2,IF(BY3098&lt;=$BX$31,0,IF(BY3098&gt;=$BX$32,1,(BY3098-$BX$31)*$BX$33)),SUM($BU$42:BU3098)/$BV$40))</f>
        <v>1</v>
      </c>
      <c r="BW3098" s="16">
        <f t="shared" si="718"/>
        <v>2.0831569454767759E-35</v>
      </c>
      <c r="BY3098" s="16">
        <f t="shared" si="719"/>
        <v>305.60000000000099</v>
      </c>
      <c r="BZ3098" s="16">
        <f t="shared" si="710"/>
        <v>6.8166130414815748E-38</v>
      </c>
      <c r="CA3098" s="16">
        <f t="shared" si="717"/>
        <v>-999</v>
      </c>
      <c r="CE3098" s="16" t="e">
        <f t="shared" si="711"/>
        <v>#N/A</v>
      </c>
      <c r="CF3098" s="16">
        <f t="shared" si="712"/>
        <v>99</v>
      </c>
      <c r="CG3098" s="16">
        <f t="shared" si="713"/>
        <v>0</v>
      </c>
      <c r="CH3098" s="16">
        <f t="shared" si="720"/>
        <v>0</v>
      </c>
      <c r="CJ3098" s="16" t="e">
        <f t="shared" si="714"/>
        <v>#N/A</v>
      </c>
      <c r="CK3098" s="16" t="str">
        <f t="shared" si="715"/>
        <v/>
      </c>
    </row>
    <row r="3099" spans="73:89" ht="12" customHeight="1">
      <c r="BU3099" s="16">
        <f t="shared" si="716"/>
        <v>0</v>
      </c>
      <c r="BV3099" s="16">
        <f>IF($BY$12=1,NORMDIST(BY3099,$Y$6,$Y$8,TRUE),IF($BY$12=2,IF(BY3099&lt;=$BX$31,0,IF(BY3099&gt;=$BX$32,1,(BY3099-$BX$31)*$BX$33)),SUM($BU$42:BU3099)/$BV$40))</f>
        <v>1</v>
      </c>
      <c r="BW3099" s="16">
        <f t="shared" si="718"/>
        <v>1.9548220708237401E-35</v>
      </c>
      <c r="BY3099" s="16">
        <f t="shared" si="719"/>
        <v>305.70000000000101</v>
      </c>
      <c r="BZ3099" s="16">
        <f t="shared" si="710"/>
        <v>6.394576613751173E-38</v>
      </c>
      <c r="CA3099" s="16">
        <f t="shared" si="717"/>
        <v>-999</v>
      </c>
      <c r="CE3099" s="16" t="e">
        <f t="shared" si="711"/>
        <v>#N/A</v>
      </c>
      <c r="CF3099" s="16">
        <f t="shared" si="712"/>
        <v>99</v>
      </c>
      <c r="CG3099" s="16">
        <f t="shared" si="713"/>
        <v>0</v>
      </c>
      <c r="CH3099" s="16">
        <f t="shared" si="720"/>
        <v>0</v>
      </c>
      <c r="CJ3099" s="16" t="e">
        <f t="shared" si="714"/>
        <v>#N/A</v>
      </c>
      <c r="CK3099" s="16" t="str">
        <f t="shared" si="715"/>
        <v/>
      </c>
    </row>
    <row r="3100" spans="73:89" ht="12" customHeight="1">
      <c r="BU3100" s="16">
        <f t="shared" si="716"/>
        <v>0</v>
      </c>
      <c r="BV3100" s="16">
        <f>IF($BY$12=1,NORMDIST(BY3100,$Y$6,$Y$8,TRUE),IF($BY$12=2,IF(BY3100&lt;=$BX$31,0,IF(BY3100&gt;=$BX$32,1,(BY3100-$BX$31)*$BX$33)),SUM($BU$42:BU3100)/$BV$40))</f>
        <v>1</v>
      </c>
      <c r="BW3100" s="16">
        <f t="shared" si="718"/>
        <v>1.8343473332347163E-35</v>
      </c>
      <c r="BY3100" s="16">
        <f t="shared" si="719"/>
        <v>305.80000000000103</v>
      </c>
      <c r="BZ3100" s="16">
        <f t="shared" si="710"/>
        <v>5.9985197293482998E-38</v>
      </c>
      <c r="CA3100" s="16">
        <f t="shared" si="717"/>
        <v>-999</v>
      </c>
      <c r="CE3100" s="16" t="e">
        <f t="shared" si="711"/>
        <v>#N/A</v>
      </c>
      <c r="CF3100" s="16">
        <f t="shared" si="712"/>
        <v>99</v>
      </c>
      <c r="CG3100" s="16">
        <f t="shared" si="713"/>
        <v>0</v>
      </c>
      <c r="CH3100" s="16">
        <f t="shared" si="720"/>
        <v>0</v>
      </c>
      <c r="CJ3100" s="16" t="e">
        <f t="shared" si="714"/>
        <v>#N/A</v>
      </c>
      <c r="CK3100" s="16" t="str">
        <f t="shared" si="715"/>
        <v/>
      </c>
    </row>
    <row r="3101" spans="73:89" ht="12" customHeight="1">
      <c r="BU3101" s="16">
        <f t="shared" si="716"/>
        <v>0</v>
      </c>
      <c r="BV3101" s="16">
        <f>IF($BY$12=1,NORMDIST(BY3101,$Y$6,$Y$8,TRUE),IF($BY$12=2,IF(BY3101&lt;=$BX$31,0,IF(BY3101&gt;=$BX$32,1,(BY3101-$BX$31)*$BX$33)),SUM($BU$42:BU3101)/$BV$40))</f>
        <v>1</v>
      </c>
      <c r="BW3101" s="16">
        <f t="shared" si="718"/>
        <v>1.7212541794210743E-35</v>
      </c>
      <c r="BY3101" s="16">
        <f t="shared" si="719"/>
        <v>305.90000000000106</v>
      </c>
      <c r="BZ3101" s="16">
        <f t="shared" si="710"/>
        <v>5.6268524989247089E-38</v>
      </c>
      <c r="CA3101" s="16">
        <f t="shared" si="717"/>
        <v>-999</v>
      </c>
      <c r="CE3101" s="16" t="e">
        <f t="shared" si="711"/>
        <v>#N/A</v>
      </c>
      <c r="CF3101" s="16">
        <f t="shared" si="712"/>
        <v>99</v>
      </c>
      <c r="CG3101" s="16">
        <f t="shared" si="713"/>
        <v>0</v>
      </c>
      <c r="CH3101" s="16">
        <f t="shared" si="720"/>
        <v>0</v>
      </c>
      <c r="CJ3101" s="16" t="e">
        <f t="shared" si="714"/>
        <v>#N/A</v>
      </c>
      <c r="CK3101" s="16" t="str">
        <f t="shared" si="715"/>
        <v/>
      </c>
    </row>
    <row r="3102" spans="73:89" ht="12" customHeight="1">
      <c r="BU3102" s="16">
        <f t="shared" si="716"/>
        <v>0</v>
      </c>
      <c r="BV3102" s="16">
        <f>IF($BY$12=1,NORMDIST(BY3102,$Y$6,$Y$8,TRUE),IF($BY$12=2,IF(BY3102&lt;=$BX$31,0,IF(BY3102&gt;=$BX$32,1,(BY3102-$BX$31)*$BX$33)),SUM($BU$42:BU3102)/$BV$40))</f>
        <v>1</v>
      </c>
      <c r="BW3102" s="16">
        <f t="shared" si="718"/>
        <v>1.6150930158741727E-35</v>
      </c>
      <c r="BY3102" s="16">
        <f t="shared" si="719"/>
        <v>306.00000000000108</v>
      </c>
      <c r="BZ3102" s="16">
        <f t="shared" si="710"/>
        <v>5.2780817512227679E-38</v>
      </c>
      <c r="CA3102" s="16">
        <f t="shared" si="717"/>
        <v>-999</v>
      </c>
      <c r="CE3102" s="16" t="e">
        <f t="shared" si="711"/>
        <v>#N/A</v>
      </c>
      <c r="CF3102" s="16">
        <f t="shared" si="712"/>
        <v>99</v>
      </c>
      <c r="CG3102" s="16">
        <f t="shared" si="713"/>
        <v>0</v>
      </c>
      <c r="CH3102" s="16">
        <f t="shared" si="720"/>
        <v>0</v>
      </c>
      <c r="CJ3102" s="16" t="e">
        <f t="shared" si="714"/>
        <v>#N/A</v>
      </c>
      <c r="CK3102" s="16" t="str">
        <f t="shared" si="715"/>
        <v/>
      </c>
    </row>
    <row r="3103" spans="73:89" ht="12" customHeight="1">
      <c r="BU3103" s="16">
        <f t="shared" si="716"/>
        <v>0</v>
      </c>
      <c r="BV3103" s="16">
        <f>IF($BY$12=1,NORMDIST(BY3103,$Y$6,$Y$8,TRUE),IF($BY$12=2,IF(BY3103&lt;=$BX$31,0,IF(BY3103&gt;=$BX$32,1,(BY3103-$BX$31)*$BX$33)),SUM($BU$42:BU3103)/$BV$40))</f>
        <v>1</v>
      </c>
      <c r="BW3103" s="16">
        <f t="shared" si="718"/>
        <v>1.5154414671674561E-35</v>
      </c>
      <c r="BY3103" s="16">
        <f t="shared" si="719"/>
        <v>306.1000000000011</v>
      </c>
      <c r="BZ3103" s="16">
        <f t="shared" si="710"/>
        <v>4.9508051851272479E-38</v>
      </c>
      <c r="CA3103" s="16">
        <f t="shared" si="717"/>
        <v>-999</v>
      </c>
      <c r="CE3103" s="16" t="e">
        <f t="shared" si="711"/>
        <v>#N/A</v>
      </c>
      <c r="CF3103" s="16">
        <f t="shared" si="712"/>
        <v>99</v>
      </c>
      <c r="CG3103" s="16">
        <f t="shared" si="713"/>
        <v>0</v>
      </c>
      <c r="CH3103" s="16">
        <f t="shared" si="720"/>
        <v>0</v>
      </c>
      <c r="CJ3103" s="16" t="e">
        <f t="shared" si="714"/>
        <v>#N/A</v>
      </c>
      <c r="CK3103" s="16" t="str">
        <f t="shared" si="715"/>
        <v/>
      </c>
    </row>
    <row r="3104" spans="73:89" ht="12" customHeight="1">
      <c r="BU3104" s="16">
        <f t="shared" si="716"/>
        <v>0</v>
      </c>
      <c r="BV3104" s="16">
        <f>IF($BY$12=1,NORMDIST(BY3104,$Y$6,$Y$8,TRUE),IF($BY$12=2,IF(BY3104&lt;=$BX$31,0,IF(BY3104&gt;=$BX$32,1,(BY3104-$BX$31)*$BX$33)),SUM($BU$42:BU3104)/$BV$40))</f>
        <v>1</v>
      </c>
      <c r="BW3104" s="16">
        <f t="shared" si="718"/>
        <v>1.4219027383482999E-35</v>
      </c>
      <c r="BY3104" s="16">
        <f t="shared" si="719"/>
        <v>306.20000000000113</v>
      </c>
      <c r="BZ3104" s="16">
        <f t="shared" si="710"/>
        <v>4.643705873116573E-38</v>
      </c>
      <c r="CA3104" s="16">
        <f t="shared" si="717"/>
        <v>-999</v>
      </c>
      <c r="CE3104" s="16" t="e">
        <f t="shared" si="711"/>
        <v>#N/A</v>
      </c>
      <c r="CF3104" s="16">
        <f t="shared" si="712"/>
        <v>99</v>
      </c>
      <c r="CG3104" s="16">
        <f t="shared" si="713"/>
        <v>0</v>
      </c>
      <c r="CH3104" s="16">
        <f t="shared" si="720"/>
        <v>0</v>
      </c>
      <c r="CJ3104" s="16" t="e">
        <f t="shared" si="714"/>
        <v>#N/A</v>
      </c>
      <c r="CK3104" s="16" t="str">
        <f t="shared" si="715"/>
        <v/>
      </c>
    </row>
    <row r="3105" spans="73:89" ht="12" customHeight="1">
      <c r="BU3105" s="16">
        <f t="shared" si="716"/>
        <v>0</v>
      </c>
      <c r="BV3105" s="16">
        <f>IF($BY$12=1,NORMDIST(BY3105,$Y$6,$Y$8,TRUE),IF($BY$12=2,IF(BY3105&lt;=$BX$31,0,IF(BY3105&gt;=$BX$32,1,(BY3105-$BX$31)*$BX$33)),SUM($BU$42:BU3105)/$BV$40))</f>
        <v>1</v>
      </c>
      <c r="BW3105" s="16">
        <f t="shared" si="718"/>
        <v>1.3341040752392183E-35</v>
      </c>
      <c r="BY3105" s="16">
        <f t="shared" si="719"/>
        <v>306.30000000000115</v>
      </c>
      <c r="BZ3105" s="16">
        <f t="shared" si="710"/>
        <v>4.3555470951329194E-38</v>
      </c>
      <c r="CA3105" s="16">
        <f t="shared" si="717"/>
        <v>-999</v>
      </c>
      <c r="CE3105" s="16" t="e">
        <f t="shared" si="711"/>
        <v>#N/A</v>
      </c>
      <c r="CF3105" s="16">
        <f t="shared" si="712"/>
        <v>99</v>
      </c>
      <c r="CG3105" s="16">
        <f t="shared" si="713"/>
        <v>0</v>
      </c>
      <c r="CH3105" s="16">
        <f t="shared" si="720"/>
        <v>0</v>
      </c>
      <c r="CJ3105" s="16" t="e">
        <f t="shared" si="714"/>
        <v>#N/A</v>
      </c>
      <c r="CK3105" s="16" t="str">
        <f t="shared" si="715"/>
        <v/>
      </c>
    </row>
    <row r="3106" spans="73:89" ht="12" customHeight="1">
      <c r="BU3106" s="16">
        <f t="shared" si="716"/>
        <v>0</v>
      </c>
      <c r="BV3106" s="16">
        <f>IF($BY$12=1,NORMDIST(BY3106,$Y$6,$Y$8,TRUE),IF($BY$12=2,IF(BY3106&lt;=$BX$31,0,IF(BY3106&gt;=$BX$32,1,(BY3106-$BX$31)*$BX$33)),SUM($BU$42:BU3106)/$BV$40))</f>
        <v>1</v>
      </c>
      <c r="BW3106" s="16">
        <f t="shared" si="718"/>
        <v>1.2516953168317742E-35</v>
      </c>
      <c r="BY3106" s="16">
        <f t="shared" si="719"/>
        <v>306.40000000000117</v>
      </c>
      <c r="BZ3106" s="16">
        <f t="shared" si="710"/>
        <v>4.0851674831324065E-38</v>
      </c>
      <c r="CA3106" s="16">
        <f t="shared" si="717"/>
        <v>-999</v>
      </c>
      <c r="CE3106" s="16" t="e">
        <f t="shared" si="711"/>
        <v>#N/A</v>
      </c>
      <c r="CF3106" s="16">
        <f t="shared" si="712"/>
        <v>99</v>
      </c>
      <c r="CG3106" s="16">
        <f t="shared" si="713"/>
        <v>0</v>
      </c>
      <c r="CH3106" s="16">
        <f t="shared" si="720"/>
        <v>0</v>
      </c>
      <c r="CJ3106" s="16" t="e">
        <f t="shared" si="714"/>
        <v>#N/A</v>
      </c>
      <c r="CK3106" s="16" t="str">
        <f t="shared" si="715"/>
        <v/>
      </c>
    </row>
    <row r="3107" spans="73:89" ht="12" customHeight="1">
      <c r="BU3107" s="16">
        <f t="shared" si="716"/>
        <v>0</v>
      </c>
      <c r="BV3107" s="16">
        <f>IF($BY$12=1,NORMDIST(BY3107,$Y$6,$Y$8,TRUE),IF($BY$12=2,IF(BY3107&lt;=$BX$31,0,IF(BY3107&gt;=$BX$32,1,(BY3107-$BX$31)*$BX$33)),SUM($BU$42:BU3107)/$BV$40))</f>
        <v>1</v>
      </c>
      <c r="BW3107" s="16">
        <f t="shared" si="718"/>
        <v>1.1743475343003838E-35</v>
      </c>
      <c r="BY3107" s="16">
        <f t="shared" si="719"/>
        <v>306.50000000000119</v>
      </c>
      <c r="BZ3107" s="16">
        <f t="shared" si="710"/>
        <v>3.8314764577500137E-38</v>
      </c>
      <c r="CA3107" s="16">
        <f t="shared" si="717"/>
        <v>-999</v>
      </c>
      <c r="CE3107" s="16" t="e">
        <f t="shared" si="711"/>
        <v>#N/A</v>
      </c>
      <c r="CF3107" s="16">
        <f t="shared" si="712"/>
        <v>99</v>
      </c>
      <c r="CG3107" s="16">
        <f t="shared" si="713"/>
        <v>0</v>
      </c>
      <c r="CH3107" s="16">
        <f t="shared" si="720"/>
        <v>0</v>
      </c>
      <c r="CJ3107" s="16" t="e">
        <f t="shared" si="714"/>
        <v>#N/A</v>
      </c>
      <c r="CK3107" s="16" t="str">
        <f t="shared" si="715"/>
        <v/>
      </c>
    </row>
    <row r="3108" spans="73:89" ht="12" customHeight="1">
      <c r="BU3108" s="16">
        <f t="shared" si="716"/>
        <v>0</v>
      </c>
      <c r="BV3108" s="16">
        <f>IF($BY$12=1,NORMDIST(BY3108,$Y$6,$Y$8,TRUE),IF($BY$12=2,IF(BY3108&lt;=$BX$31,0,IF(BY3108&gt;=$BX$32,1,(BY3108-$BX$31)*$BX$33)),SUM($BU$42:BU3108)/$BV$40))</f>
        <v>1</v>
      </c>
      <c r="BW3108" s="16">
        <f t="shared" si="718"/>
        <v>1.1017517514863196E-35</v>
      </c>
      <c r="BY3108" s="16">
        <f t="shared" si="719"/>
        <v>306.60000000000122</v>
      </c>
      <c r="BZ3108" s="16">
        <f t="shared" si="710"/>
        <v>3.5934499396161618E-38</v>
      </c>
      <c r="CA3108" s="16">
        <f t="shared" si="717"/>
        <v>-999</v>
      </c>
      <c r="CE3108" s="16" t="e">
        <f t="shared" si="711"/>
        <v>#N/A</v>
      </c>
      <c r="CF3108" s="16">
        <f t="shared" si="712"/>
        <v>99</v>
      </c>
      <c r="CG3108" s="16">
        <f t="shared" si="713"/>
        <v>0</v>
      </c>
      <c r="CH3108" s="16">
        <f t="shared" si="720"/>
        <v>0</v>
      </c>
      <c r="CJ3108" s="16" t="e">
        <f t="shared" si="714"/>
        <v>#N/A</v>
      </c>
      <c r="CK3108" s="16" t="str">
        <f t="shared" si="715"/>
        <v/>
      </c>
    </row>
    <row r="3109" spans="73:89" ht="12" customHeight="1">
      <c r="BU3109" s="16">
        <f t="shared" si="716"/>
        <v>0</v>
      </c>
      <c r="BV3109" s="16">
        <f>IF($BY$12=1,NORMDIST(BY3109,$Y$6,$Y$8,TRUE),IF($BY$12=2,IF(BY3109&lt;=$BX$31,0,IF(BY3109&gt;=$BX$32,1,(BY3109-$BX$31)*$BX$33)),SUM($BU$42:BU3109)/$BV$40))</f>
        <v>1</v>
      </c>
      <c r="BW3109" s="16">
        <f t="shared" si="718"/>
        <v>1.0336177420059892E-35</v>
      </c>
      <c r="BY3109" s="16">
        <f t="shared" si="719"/>
        <v>306.70000000000124</v>
      </c>
      <c r="BZ3109" s="16">
        <f t="shared" si="710"/>
        <v>3.3701263188978972E-38</v>
      </c>
      <c r="CA3109" s="16">
        <f t="shared" si="717"/>
        <v>-999</v>
      </c>
      <c r="CE3109" s="16" t="e">
        <f t="shared" si="711"/>
        <v>#N/A</v>
      </c>
      <c r="CF3109" s="16">
        <f t="shared" si="712"/>
        <v>99</v>
      </c>
      <c r="CG3109" s="16">
        <f t="shared" si="713"/>
        <v>0</v>
      </c>
      <c r="CH3109" s="16">
        <f t="shared" si="720"/>
        <v>0</v>
      </c>
      <c r="CJ3109" s="16" t="e">
        <f t="shared" si="714"/>
        <v>#N/A</v>
      </c>
      <c r="CK3109" s="16" t="str">
        <f t="shared" si="715"/>
        <v/>
      </c>
    </row>
    <row r="3110" spans="73:89" ht="12" customHeight="1">
      <c r="BU3110" s="16">
        <f t="shared" si="716"/>
        <v>0</v>
      </c>
      <c r="BV3110" s="16">
        <f>IF($BY$12=1,NORMDIST(BY3110,$Y$6,$Y$8,TRUE),IF($BY$12=2,IF(BY3110&lt;=$BX$31,0,IF(BY3110&gt;=$BX$32,1,(BY3110-$BX$31)*$BX$33)),SUM($BU$42:BU3110)/$BV$40))</f>
        <v>1</v>
      </c>
      <c r="BW3110" s="16">
        <f t="shared" si="718"/>
        <v>9.696728984243317E-36</v>
      </c>
      <c r="BY3110" s="16">
        <f t="shared" si="719"/>
        <v>306.80000000000126</v>
      </c>
      <c r="BZ3110" s="16">
        <f t="shared" si="710"/>
        <v>3.1606026676151489E-38</v>
      </c>
      <c r="CA3110" s="16">
        <f t="shared" si="717"/>
        <v>-999</v>
      </c>
      <c r="CE3110" s="16" t="e">
        <f t="shared" si="711"/>
        <v>#N/A</v>
      </c>
      <c r="CF3110" s="16">
        <f t="shared" si="712"/>
        <v>99</v>
      </c>
      <c r="CG3110" s="16">
        <f t="shared" si="713"/>
        <v>0</v>
      </c>
      <c r="CH3110" s="16">
        <f t="shared" si="720"/>
        <v>0</v>
      </c>
      <c r="CJ3110" s="16" t="e">
        <f t="shared" si="714"/>
        <v>#N/A</v>
      </c>
      <c r="CK3110" s="16" t="str">
        <f t="shared" si="715"/>
        <v/>
      </c>
    </row>
    <row r="3111" spans="73:89" ht="12" customHeight="1">
      <c r="BU3111" s="16">
        <f t="shared" si="716"/>
        <v>0</v>
      </c>
      <c r="BV3111" s="16">
        <f>IF($BY$12=1,NORMDIST(BY3111,$Y$6,$Y$8,TRUE),IF($BY$12=2,IF(BY3111&lt;=$BX$31,0,IF(BY3111&gt;=$BX$32,1,(BY3111-$BX$31)*$BX$33)),SUM($BU$42:BU3111)/$BV$40))</f>
        <v>1</v>
      </c>
      <c r="BW3111" s="16">
        <f t="shared" si="718"/>
        <v>9.0966116920348772E-36</v>
      </c>
      <c r="BY3111" s="16">
        <f t="shared" si="719"/>
        <v>306.90000000000128</v>
      </c>
      <c r="BZ3111" s="16">
        <f t="shared" si="710"/>
        <v>2.9640311802003386E-38</v>
      </c>
      <c r="CA3111" s="16">
        <f t="shared" si="717"/>
        <v>-999</v>
      </c>
      <c r="CE3111" s="16" t="e">
        <f t="shared" si="711"/>
        <v>#N/A</v>
      </c>
      <c r="CF3111" s="16">
        <f t="shared" si="712"/>
        <v>99</v>
      </c>
      <c r="CG3111" s="16">
        <f t="shared" si="713"/>
        <v>0</v>
      </c>
      <c r="CH3111" s="16">
        <f t="shared" si="720"/>
        <v>0</v>
      </c>
      <c r="CJ3111" s="16" t="e">
        <f t="shared" si="714"/>
        <v>#N/A</v>
      </c>
      <c r="CK3111" s="16" t="str">
        <f t="shared" si="715"/>
        <v/>
      </c>
    </row>
    <row r="3112" spans="73:89" ht="12" customHeight="1">
      <c r="BU3112" s="16">
        <f t="shared" si="716"/>
        <v>0</v>
      </c>
      <c r="BV3112" s="16">
        <f>IF($BY$12=1,NORMDIST(BY3112,$Y$6,$Y$8,TRUE),IF($BY$12=2,IF(BY3112&lt;=$BX$31,0,IF(BY3112&gt;=$BX$32,1,(BY3112-$BX$31)*$BX$33)),SUM($BU$42:BU3112)/$BV$40))</f>
        <v>1</v>
      </c>
      <c r="BW3112" s="16">
        <f t="shared" si="718"/>
        <v>8.5334205939048028E-36</v>
      </c>
      <c r="BY3112" s="16">
        <f t="shared" si="719"/>
        <v>307.00000000000131</v>
      </c>
      <c r="BZ3112" s="16">
        <f t="shared" si="710"/>
        <v>2.7796158286334745E-38</v>
      </c>
      <c r="CA3112" s="16">
        <f t="shared" si="717"/>
        <v>-999</v>
      </c>
      <c r="CE3112" s="16" t="e">
        <f t="shared" si="711"/>
        <v>#N/A</v>
      </c>
      <c r="CF3112" s="16">
        <f t="shared" si="712"/>
        <v>99</v>
      </c>
      <c r="CG3112" s="16">
        <f t="shared" si="713"/>
        <v>0</v>
      </c>
      <c r="CH3112" s="16">
        <f t="shared" si="720"/>
        <v>0</v>
      </c>
      <c r="CJ3112" s="16" t="e">
        <f t="shared" si="714"/>
        <v>#N/A</v>
      </c>
      <c r="CK3112" s="16" t="str">
        <f t="shared" si="715"/>
        <v/>
      </c>
    </row>
    <row r="3113" spans="73:89" ht="12" customHeight="1">
      <c r="BU3113" s="16">
        <f t="shared" si="716"/>
        <v>0</v>
      </c>
      <c r="BV3113" s="16">
        <f>IF($BY$12=1,NORMDIST(BY3113,$Y$6,$Y$8,TRUE),IF($BY$12=2,IF(BY3113&lt;=$BX$31,0,IF(BY3113&gt;=$BX$32,1,(BY3113-$BX$31)*$BX$33)),SUM($BU$42:BU3113)/$BV$40))</f>
        <v>1</v>
      </c>
      <c r="BW3113" s="16">
        <f t="shared" si="718"/>
        <v>8.0048969124676437E-36</v>
      </c>
      <c r="BY3113" s="16">
        <f t="shared" si="719"/>
        <v>307.10000000000133</v>
      </c>
      <c r="BZ3113" s="16">
        <f t="shared" si="710"/>
        <v>2.6066092192991239E-38</v>
      </c>
      <c r="CA3113" s="16">
        <f t="shared" si="717"/>
        <v>-999</v>
      </c>
      <c r="CE3113" s="16" t="e">
        <f t="shared" si="711"/>
        <v>#N/A</v>
      </c>
      <c r="CF3113" s="16">
        <f t="shared" si="712"/>
        <v>99</v>
      </c>
      <c r="CG3113" s="16">
        <f t="shared" si="713"/>
        <v>0</v>
      </c>
      <c r="CH3113" s="16">
        <f t="shared" si="720"/>
        <v>0</v>
      </c>
      <c r="CJ3113" s="16" t="e">
        <f t="shared" si="714"/>
        <v>#N/A</v>
      </c>
      <c r="CK3113" s="16" t="str">
        <f t="shared" si="715"/>
        <v/>
      </c>
    </row>
    <row r="3114" spans="73:89" ht="12" customHeight="1">
      <c r="BU3114" s="16">
        <f t="shared" si="716"/>
        <v>0</v>
      </c>
      <c r="BV3114" s="16">
        <f>IF($BY$12=1,NORMDIST(BY3114,$Y$6,$Y$8,TRUE),IF($BY$12=2,IF(BY3114&lt;=$BX$31,0,IF(BY3114&gt;=$BX$32,1,(BY3114-$BX$31)*$BX$33)),SUM($BU$42:BU3114)/$BV$40))</f>
        <v>1</v>
      </c>
      <c r="BW3114" s="16">
        <f t="shared" si="718"/>
        <v>7.5089192124693504E-36</v>
      </c>
      <c r="BY3114" s="16">
        <f t="shared" si="719"/>
        <v>307.20000000000135</v>
      </c>
      <c r="BZ3114" s="16">
        <f t="shared" ref="BZ3114:BZ3177" si="721">IF($BZ$5,IF($BY$12=1,NORMDIST(BY3114,$Y$6,$Y$8,FALSE),IF($BY$12=2,IF(AND(BY3114&gt;=$BX$31,BY3114&lt;=$BX$32),$BX$33,0),IF(BY3114&lt;=$BX$13,0,NORMDIST(LN((BY3114-$BX$13)/$BX$12),0,$BW$8,FALSE)/((BY3114-$BX$13)/$BX$12)))),-999)</f>
        <v>2.4443096394756894E-38</v>
      </c>
      <c r="CA3114" s="16">
        <f t="shared" si="717"/>
        <v>-999</v>
      </c>
      <c r="CE3114" s="16" t="e">
        <f t="shared" ref="CE3114:CE3177" si="722">IF(AND($CB$7,$CD$2,$CD$1),26+$P$23/2-CC3114*$P$23,NA())</f>
        <v>#N/A</v>
      </c>
      <c r="CF3114" s="16">
        <f t="shared" ref="CF3114:CF3177" si="723">IF(ISNA(CJ3114),99,CJ3114)</f>
        <v>99</v>
      </c>
      <c r="CG3114" s="16">
        <f t="shared" ref="CG3114:CG3177" si="724">IF(ISNA(CJ3114),0,CJ3114)</f>
        <v>0</v>
      </c>
      <c r="CH3114" s="16">
        <f t="shared" si="720"/>
        <v>0</v>
      </c>
      <c r="CJ3114" s="16" t="e">
        <f t="shared" ref="CJ3114:CJ3177" si="725">IF(CH3114=1,CE3114,NA())</f>
        <v>#N/A</v>
      </c>
      <c r="CK3114" s="16" t="str">
        <f t="shared" ref="CK3114:CK3177" si="726">IF(CH3114=1,M3013,"")</f>
        <v/>
      </c>
    </row>
    <row r="3115" spans="73:89" ht="12" customHeight="1">
      <c r="BU3115" s="16">
        <f t="shared" ref="BU3115:BU3178" si="727">IF($BY$12&lt;3,0,IF(BY3115&lt;=$BX$13,0,NORMDIST(LN((BY3115-$BX$13)/$BX$12),0,$BW$8,FALSE)/((BY3115-$BX$13)/$BX$12)))</f>
        <v>0</v>
      </c>
      <c r="BV3115" s="16">
        <f>IF($BY$12=1,NORMDIST(BY3115,$Y$6,$Y$8,TRUE),IF($BY$12=2,IF(BY3115&lt;=$BX$31,0,IF(BY3115&gt;=$BX$32,1,(BY3115-$BX$31)*$BX$33)),SUM($BU$42:BU3115)/$BV$40))</f>
        <v>1</v>
      </c>
      <c r="BW3115" s="16">
        <f t="shared" si="718"/>
        <v>7.043495100855227E-36</v>
      </c>
      <c r="BY3115" s="16">
        <f t="shared" si="719"/>
        <v>307.30000000000138</v>
      </c>
      <c r="BZ3115" s="16">
        <f t="shared" si="721"/>
        <v>2.2920582820876001E-38</v>
      </c>
      <c r="CA3115" s="16">
        <f t="shared" ref="CA3115:CA3178" si="728">IF(AND($CD$1,$CD$3),26-$CD$40*NORMDIST(BY3115,$Y$6,$Y$8/SQRT($T$18),FALSE),-999)</f>
        <v>-999</v>
      </c>
      <c r="CE3115" s="16" t="e">
        <f t="shared" si="722"/>
        <v>#N/A</v>
      </c>
      <c r="CF3115" s="16">
        <f t="shared" si="723"/>
        <v>99</v>
      </c>
      <c r="CG3115" s="16">
        <f t="shared" si="724"/>
        <v>0</v>
      </c>
      <c r="CH3115" s="16">
        <f t="shared" si="720"/>
        <v>0</v>
      </c>
      <c r="CJ3115" s="16" t="e">
        <f t="shared" si="725"/>
        <v>#N/A</v>
      </c>
      <c r="CK3115" s="16" t="str">
        <f t="shared" si="726"/>
        <v/>
      </c>
    </row>
    <row r="3116" spans="73:89" ht="12" customHeight="1">
      <c r="BU3116" s="16">
        <f t="shared" si="727"/>
        <v>0</v>
      </c>
      <c r="BV3116" s="16">
        <f>IF($BY$12=1,NORMDIST(BY3116,$Y$6,$Y$8,TRUE),IF($BY$12=2,IF(BY3116&lt;=$BX$31,0,IF(BY3116&gt;=$BX$32,1,(BY3116-$BX$31)*$BX$33)),SUM($BU$42:BU3116)/$BV$40))</f>
        <v>1</v>
      </c>
      <c r="BW3116" s="16">
        <f t="shared" si="718"/>
        <v>6.6067534253014438E-36</v>
      </c>
      <c r="BY3116" s="16">
        <f t="shared" si="719"/>
        <v>307.4000000000014</v>
      </c>
      <c r="BZ3116" s="16">
        <f t="shared" si="721"/>
        <v>2.1492366380290871E-38</v>
      </c>
      <c r="CA3116" s="16">
        <f t="shared" si="728"/>
        <v>-999</v>
      </c>
      <c r="CE3116" s="16" t="e">
        <f t="shared" si="722"/>
        <v>#N/A</v>
      </c>
      <c r="CF3116" s="16">
        <f t="shared" si="723"/>
        <v>99</v>
      </c>
      <c r="CG3116" s="16">
        <f t="shared" si="724"/>
        <v>0</v>
      </c>
      <c r="CH3116" s="16">
        <f t="shared" si="720"/>
        <v>0</v>
      </c>
      <c r="CJ3116" s="16" t="e">
        <f t="shared" si="725"/>
        <v>#N/A</v>
      </c>
      <c r="CK3116" s="16" t="str">
        <f t="shared" si="726"/>
        <v/>
      </c>
    </row>
    <row r="3117" spans="73:89" ht="12" customHeight="1">
      <c r="BU3117" s="16">
        <f t="shared" si="727"/>
        <v>0</v>
      </c>
      <c r="BV3117" s="16">
        <f>IF($BY$12=1,NORMDIST(BY3117,$Y$6,$Y$8,TRUE),IF($BY$12=2,IF(BY3117&lt;=$BX$31,0,IF(BY3117&gt;=$BX$32,1,(BY3117-$BX$31)*$BX$33)),SUM($BU$42:BU3117)/$BV$40))</f>
        <v>1</v>
      </c>
      <c r="BW3117" s="16">
        <f t="shared" si="718"/>
        <v>6.1969369414625597E-36</v>
      </c>
      <c r="BY3117" s="16">
        <f t="shared" si="719"/>
        <v>307.50000000000142</v>
      </c>
      <c r="BZ3117" s="16">
        <f t="shared" si="721"/>
        <v>2.0152640460040752E-38</v>
      </c>
      <c r="CA3117" s="16">
        <f t="shared" si="728"/>
        <v>-999</v>
      </c>
      <c r="CE3117" s="16" t="e">
        <f t="shared" si="722"/>
        <v>#N/A</v>
      </c>
      <c r="CF3117" s="16">
        <f t="shared" si="723"/>
        <v>99</v>
      </c>
      <c r="CG3117" s="16">
        <f t="shared" si="724"/>
        <v>0</v>
      </c>
      <c r="CH3117" s="16">
        <f t="shared" si="720"/>
        <v>0</v>
      </c>
      <c r="CJ3117" s="16" t="e">
        <f t="shared" si="725"/>
        <v>#N/A</v>
      </c>
      <c r="CK3117" s="16" t="str">
        <f t="shared" si="726"/>
        <v/>
      </c>
    </row>
    <row r="3118" spans="73:89" ht="12" customHeight="1">
      <c r="BU3118" s="16">
        <f t="shared" si="727"/>
        <v>0</v>
      </c>
      <c r="BV3118" s="16">
        <f>IF($BY$12=1,NORMDIST(BY3118,$Y$6,$Y$8,TRUE),IF($BY$12=2,IF(BY3118&lt;=$BX$31,0,IF(BY3118&gt;=$BX$32,1,(BY3118-$BX$31)*$BX$33)),SUM($BU$42:BU3118)/$BV$40))</f>
        <v>1</v>
      </c>
      <c r="BW3118" s="16">
        <f t="shared" si="718"/>
        <v>5.8123954209532793E-36</v>
      </c>
      <c r="BY3118" s="16">
        <f t="shared" si="719"/>
        <v>307.60000000000144</v>
      </c>
      <c r="BZ3118" s="16">
        <f t="shared" si="721"/>
        <v>1.8895953904269349E-38</v>
      </c>
      <c r="CA3118" s="16">
        <f t="shared" si="728"/>
        <v>-999</v>
      </c>
      <c r="CE3118" s="16" t="e">
        <f t="shared" si="722"/>
        <v>#N/A</v>
      </c>
      <c r="CF3118" s="16">
        <f t="shared" si="723"/>
        <v>99</v>
      </c>
      <c r="CG3118" s="16">
        <f t="shared" si="724"/>
        <v>0</v>
      </c>
      <c r="CH3118" s="16">
        <f t="shared" si="720"/>
        <v>0</v>
      </c>
      <c r="CJ3118" s="16" t="e">
        <f t="shared" si="725"/>
        <v>#N/A</v>
      </c>
      <c r="CK3118" s="16" t="str">
        <f t="shared" si="726"/>
        <v/>
      </c>
    </row>
    <row r="3119" spans="73:89" ht="12" customHeight="1">
      <c r="BU3119" s="16">
        <f t="shared" si="727"/>
        <v>0</v>
      </c>
      <c r="BV3119" s="16">
        <f>IF($BY$12=1,NORMDIST(BY3119,$Y$6,$Y$8,TRUE),IF($BY$12=2,IF(BY3119&lt;=$BX$31,0,IF(BY3119&gt;=$BX$32,1,(BY3119-$BX$31)*$BX$33)),SUM($BU$42:BU3119)/$BV$40))</f>
        <v>1</v>
      </c>
      <c r="BW3119" s="16">
        <f t="shared" si="718"/>
        <v>5.4515791737438265E-36</v>
      </c>
      <c r="BY3119" s="16">
        <f t="shared" si="719"/>
        <v>307.70000000000147</v>
      </c>
      <c r="BZ3119" s="16">
        <f t="shared" si="721"/>
        <v>1.7717189384932729E-38</v>
      </c>
      <c r="CA3119" s="16">
        <f t="shared" si="728"/>
        <v>-999</v>
      </c>
      <c r="CE3119" s="16" t="e">
        <f t="shared" si="722"/>
        <v>#N/A</v>
      </c>
      <c r="CF3119" s="16">
        <f t="shared" si="723"/>
        <v>99</v>
      </c>
      <c r="CG3119" s="16">
        <f t="shared" si="724"/>
        <v>0</v>
      </c>
      <c r="CH3119" s="16">
        <f t="shared" si="720"/>
        <v>0</v>
      </c>
      <c r="CJ3119" s="16" t="e">
        <f t="shared" si="725"/>
        <v>#N/A</v>
      </c>
      <c r="CK3119" s="16" t="str">
        <f t="shared" si="726"/>
        <v/>
      </c>
    </row>
    <row r="3120" spans="73:89" ht="12" customHeight="1">
      <c r="BU3120" s="16">
        <f t="shared" si="727"/>
        <v>0</v>
      </c>
      <c r="BV3120" s="16">
        <f>IF($BY$12=1,NORMDIST(BY3120,$Y$6,$Y$8,TRUE),IF($BY$12=2,IF(BY3120&lt;=$BX$31,0,IF(BY3120&gt;=$BX$32,1,(BY3120-$BX$31)*$BX$33)),SUM($BU$42:BU3120)/$BV$40))</f>
        <v>1</v>
      </c>
      <c r="BW3120" s="16">
        <f t="shared" si="718"/>
        <v>5.1130329602065626E-36</v>
      </c>
      <c r="BY3120" s="16">
        <f t="shared" si="719"/>
        <v>307.80000000000149</v>
      </c>
      <c r="BZ3120" s="16">
        <f t="shared" si="721"/>
        <v>1.661154308059304E-38</v>
      </c>
      <c r="CA3120" s="16">
        <f t="shared" si="728"/>
        <v>-999</v>
      </c>
      <c r="CE3120" s="16" t="e">
        <f t="shared" si="722"/>
        <v>#N/A</v>
      </c>
      <c r="CF3120" s="16">
        <f t="shared" si="723"/>
        <v>99</v>
      </c>
      <c r="CG3120" s="16">
        <f t="shared" si="724"/>
        <v>0</v>
      </c>
      <c r="CH3120" s="16">
        <f t="shared" si="720"/>
        <v>0</v>
      </c>
      <c r="CJ3120" s="16" t="e">
        <f t="shared" si="725"/>
        <v>#N/A</v>
      </c>
      <c r="CK3120" s="16" t="str">
        <f t="shared" si="726"/>
        <v/>
      </c>
    </row>
    <row r="3121" spans="73:89" ht="12" customHeight="1">
      <c r="BU3121" s="16">
        <f t="shared" si="727"/>
        <v>0</v>
      </c>
      <c r="BV3121" s="16">
        <f>IF($BY$12=1,NORMDIST(BY3121,$Y$6,$Y$8,TRUE),IF($BY$12=2,IF(BY3121&lt;=$BX$31,0,IF(BY3121&gt;=$BX$32,1,(BY3121-$BX$31)*$BX$33)),SUM($BU$42:BU3121)/$BV$40))</f>
        <v>1</v>
      </c>
      <c r="BW3121" s="16">
        <f t="shared" si="718"/>
        <v>4.7953902695243829E-36</v>
      </c>
      <c r="BY3121" s="16">
        <f t="shared" si="719"/>
        <v>307.90000000000151</v>
      </c>
      <c r="BZ3121" s="16">
        <f t="shared" si="721"/>
        <v>1.5574505584684506E-38</v>
      </c>
      <c r="CA3121" s="16">
        <f t="shared" si="728"/>
        <v>-999</v>
      </c>
      <c r="CE3121" s="16" t="e">
        <f t="shared" si="722"/>
        <v>#N/A</v>
      </c>
      <c r="CF3121" s="16">
        <f t="shared" si="723"/>
        <v>99</v>
      </c>
      <c r="CG3121" s="16">
        <f t="shared" si="724"/>
        <v>0</v>
      </c>
      <c r="CH3121" s="16">
        <f t="shared" si="720"/>
        <v>0</v>
      </c>
      <c r="CJ3121" s="16" t="e">
        <f t="shared" si="725"/>
        <v>#N/A</v>
      </c>
      <c r="CK3121" s="16" t="str">
        <f t="shared" si="726"/>
        <v/>
      </c>
    </row>
    <row r="3122" spans="73:89" ht="12" customHeight="1">
      <c r="BU3122" s="16">
        <f t="shared" si="727"/>
        <v>0</v>
      </c>
      <c r="BV3122" s="16">
        <f>IF($BY$12=1,NORMDIST(BY3122,$Y$6,$Y$8,TRUE),IF($BY$12=2,IF(BY3122&lt;=$BX$31,0,IF(BY3122&gt;=$BX$32,1,(BY3122-$BX$31)*$BX$33)),SUM($BU$42:BU3122)/$BV$40))</f>
        <v>1</v>
      </c>
      <c r="BW3122" s="16">
        <f t="shared" si="718"/>
        <v>4.4973679425525443E-36</v>
      </c>
      <c r="BY3122" s="16">
        <f t="shared" si="719"/>
        <v>308.00000000000153</v>
      </c>
      <c r="BZ3122" s="16">
        <f t="shared" si="721"/>
        <v>1.4601843969326369E-38</v>
      </c>
      <c r="CA3122" s="16">
        <f t="shared" si="728"/>
        <v>-999</v>
      </c>
      <c r="CE3122" s="16" t="e">
        <f t="shared" si="722"/>
        <v>#N/A</v>
      </c>
      <c r="CF3122" s="16">
        <f t="shared" si="723"/>
        <v>99</v>
      </c>
      <c r="CG3122" s="16">
        <f t="shared" si="724"/>
        <v>0</v>
      </c>
      <c r="CH3122" s="16">
        <f t="shared" si="720"/>
        <v>0</v>
      </c>
      <c r="CJ3122" s="16" t="e">
        <f t="shared" si="725"/>
        <v>#N/A</v>
      </c>
      <c r="CK3122" s="16" t="str">
        <f t="shared" si="726"/>
        <v/>
      </c>
    </row>
    <row r="3123" spans="73:89" ht="12" customHeight="1">
      <c r="BU3123" s="16">
        <f t="shared" si="727"/>
        <v>0</v>
      </c>
      <c r="BV3123" s="16">
        <f>IF($BY$12=1,NORMDIST(BY3123,$Y$6,$Y$8,TRUE),IF($BY$12=2,IF(BY3123&lt;=$BX$31,0,IF(BY3123&gt;=$BX$32,1,(BY3123-$BX$31)*$BX$33)),SUM($BU$42:BU3123)/$BV$40))</f>
        <v>1</v>
      </c>
      <c r="BW3123" s="16">
        <f t="shared" si="718"/>
        <v>4.2177611185294456E-36</v>
      </c>
      <c r="BY3123" s="16">
        <f t="shared" si="719"/>
        <v>308.10000000000156</v>
      </c>
      <c r="BZ3123" s="16">
        <f t="shared" si="721"/>
        <v>1.3689584935181512E-38</v>
      </c>
      <c r="CA3123" s="16">
        <f t="shared" si="728"/>
        <v>-999</v>
      </c>
      <c r="CE3123" s="16" t="e">
        <f t="shared" si="722"/>
        <v>#N/A</v>
      </c>
      <c r="CF3123" s="16">
        <f t="shared" si="723"/>
        <v>99</v>
      </c>
      <c r="CG3123" s="16">
        <f t="shared" si="724"/>
        <v>0</v>
      </c>
      <c r="CH3123" s="16">
        <f t="shared" si="720"/>
        <v>0</v>
      </c>
      <c r="CJ3123" s="16" t="e">
        <f t="shared" si="725"/>
        <v>#N/A</v>
      </c>
      <c r="CK3123" s="16" t="str">
        <f t="shared" si="726"/>
        <v/>
      </c>
    </row>
    <row r="3124" spans="73:89" ht="12" customHeight="1">
      <c r="BU3124" s="16">
        <f t="shared" si="727"/>
        <v>0</v>
      </c>
      <c r="BV3124" s="16">
        <f>IF($BY$12=1,NORMDIST(BY3124,$Y$6,$Y$8,TRUE),IF($BY$12=2,IF(BY3124&lt;=$BX$31,0,IF(BY3124&gt;=$BX$32,1,(BY3124-$BX$31)*$BX$33)),SUM($BU$42:BU3124)/$BV$40))</f>
        <v>1</v>
      </c>
      <c r="BW3124" s="16">
        <f t="shared" si="718"/>
        <v>3.955438486253703E-36</v>
      </c>
      <c r="BY3124" s="16">
        <f t="shared" si="719"/>
        <v>308.20000000000158</v>
      </c>
      <c r="BZ3124" s="16">
        <f t="shared" si="721"/>
        <v>1.2833998982004162E-38</v>
      </c>
      <c r="CA3124" s="16">
        <f t="shared" si="728"/>
        <v>-999</v>
      </c>
      <c r="CE3124" s="16" t="e">
        <f t="shared" si="722"/>
        <v>#N/A</v>
      </c>
      <c r="CF3124" s="16">
        <f t="shared" si="723"/>
        <v>99</v>
      </c>
      <c r="CG3124" s="16">
        <f t="shared" si="724"/>
        <v>0</v>
      </c>
      <c r="CH3124" s="16">
        <f t="shared" si="720"/>
        <v>0</v>
      </c>
      <c r="CJ3124" s="16" t="e">
        <f t="shared" si="725"/>
        <v>#N/A</v>
      </c>
      <c r="CK3124" s="16" t="str">
        <f t="shared" si="726"/>
        <v/>
      </c>
    </row>
    <row r="3125" spans="73:89" ht="12" customHeight="1">
      <c r="BU3125" s="16">
        <f t="shared" si="727"/>
        <v>0</v>
      </c>
      <c r="BV3125" s="16">
        <f>IF($BY$12=1,NORMDIST(BY3125,$Y$6,$Y$8,TRUE),IF($BY$12=2,IF(BY3125&lt;=$BX$31,0,IF(BY3125&gt;=$BX$32,1,(BY3125-$BX$31)*$BX$33)),SUM($BU$42:BU3125)/$BV$40))</f>
        <v>1</v>
      </c>
      <c r="BW3125" s="16">
        <f t="shared" si="718"/>
        <v>3.7093378214996391E-36</v>
      </c>
      <c r="BY3125" s="16">
        <f t="shared" si="719"/>
        <v>308.3000000000016</v>
      </c>
      <c r="BZ3125" s="16">
        <f t="shared" si="721"/>
        <v>1.2031585538435355E-38</v>
      </c>
      <c r="CA3125" s="16">
        <f t="shared" si="728"/>
        <v>-999</v>
      </c>
      <c r="CE3125" s="16" t="e">
        <f t="shared" si="722"/>
        <v>#N/A</v>
      </c>
      <c r="CF3125" s="16">
        <f t="shared" si="723"/>
        <v>99</v>
      </c>
      <c r="CG3125" s="16">
        <f t="shared" si="724"/>
        <v>0</v>
      </c>
      <c r="CH3125" s="16">
        <f t="shared" si="720"/>
        <v>0</v>
      </c>
      <c r="CJ3125" s="16" t="e">
        <f t="shared" si="725"/>
        <v>#N/A</v>
      </c>
      <c r="CK3125" s="16" t="str">
        <f t="shared" si="726"/>
        <v/>
      </c>
    </row>
    <row r="3126" spans="73:89" ht="12" customHeight="1">
      <c r="BU3126" s="16">
        <f t="shared" si="727"/>
        <v>0</v>
      </c>
      <c r="BV3126" s="16">
        <f>IF($BY$12=1,NORMDIST(BY3126,$Y$6,$Y$8,TRUE),IF($BY$12=2,IF(BY3126&lt;=$BX$31,0,IF(BY3126&gt;=$BX$32,1,(BY3126-$BX$31)*$BX$33)),SUM($BU$42:BU3126)/$BV$40))</f>
        <v>1</v>
      </c>
      <c r="BW3126" s="16">
        <f t="shared" si="718"/>
        <v>3.4784617935260756E-36</v>
      </c>
      <c r="BY3126" s="16">
        <f t="shared" si="719"/>
        <v>308.40000000000163</v>
      </c>
      <c r="BZ3126" s="16">
        <f t="shared" si="721"/>
        <v>1.1279058993275153E-38</v>
      </c>
      <c r="CA3126" s="16">
        <f t="shared" si="728"/>
        <v>-999</v>
      </c>
      <c r="CE3126" s="16" t="e">
        <f t="shared" si="722"/>
        <v>#N/A</v>
      </c>
      <c r="CF3126" s="16">
        <f t="shared" si="723"/>
        <v>99</v>
      </c>
      <c r="CG3126" s="16">
        <f t="shared" si="724"/>
        <v>0</v>
      </c>
      <c r="CH3126" s="16">
        <f t="shared" si="720"/>
        <v>0</v>
      </c>
      <c r="CJ3126" s="16" t="e">
        <f t="shared" si="725"/>
        <v>#N/A</v>
      </c>
      <c r="CK3126" s="16" t="str">
        <f t="shared" si="726"/>
        <v/>
      </c>
    </row>
    <row r="3127" spans="73:89" ht="12" customHeight="1">
      <c r="BU3127" s="16">
        <f t="shared" si="727"/>
        <v>0</v>
      </c>
      <c r="BV3127" s="16">
        <f>IF($BY$12=1,NORMDIST(BY3127,$Y$6,$Y$8,TRUE),IF($BY$12=2,IF(BY3127&lt;=$BX$31,0,IF(BY3127&gt;=$BX$32,1,(BY3127-$BX$31)*$BX$33)),SUM($BU$42:BU3127)/$BV$40))</f>
        <v>1</v>
      </c>
      <c r="BW3127" s="16">
        <f t="shared" si="718"/>
        <v>3.2618740245553849E-36</v>
      </c>
      <c r="BY3127" s="16">
        <f t="shared" si="719"/>
        <v>308.50000000000165</v>
      </c>
      <c r="BZ3127" s="16">
        <f t="shared" si="721"/>
        <v>1.0573335573923395E-38</v>
      </c>
      <c r="CA3127" s="16">
        <f t="shared" si="728"/>
        <v>-999</v>
      </c>
      <c r="CE3127" s="16" t="e">
        <f t="shared" si="722"/>
        <v>#N/A</v>
      </c>
      <c r="CF3127" s="16">
        <f t="shared" si="723"/>
        <v>99</v>
      </c>
      <c r="CG3127" s="16">
        <f t="shared" si="724"/>
        <v>0</v>
      </c>
      <c r="CH3127" s="16">
        <f t="shared" si="720"/>
        <v>0</v>
      </c>
      <c r="CJ3127" s="16" t="e">
        <f t="shared" si="725"/>
        <v>#N/A</v>
      </c>
      <c r="CK3127" s="16" t="str">
        <f t="shared" si="726"/>
        <v/>
      </c>
    </row>
    <row r="3128" spans="73:89" ht="12" customHeight="1">
      <c r="BU3128" s="16">
        <f t="shared" si="727"/>
        <v>0</v>
      </c>
      <c r="BV3128" s="16">
        <f>IF($BY$12=1,NORMDIST(BY3128,$Y$6,$Y$8,TRUE),IF($BY$12=2,IF(BY3128&lt;=$BX$31,0,IF(BY3128&gt;=$BX$32,1,(BY3128-$BX$31)*$BX$33)),SUM($BU$42:BU3128)/$BV$40))</f>
        <v>1</v>
      </c>
      <c r="BW3128" s="16">
        <f t="shared" si="718"/>
        <v>3.0586953870575598E-36</v>
      </c>
      <c r="BY3128" s="16">
        <f t="shared" si="719"/>
        <v>308.60000000000167</v>
      </c>
      <c r="BZ3128" s="16">
        <f t="shared" si="721"/>
        <v>9.9115210209252866E-39</v>
      </c>
      <c r="CA3128" s="16">
        <f t="shared" si="728"/>
        <v>-999</v>
      </c>
      <c r="CE3128" s="16" t="e">
        <f t="shared" si="722"/>
        <v>#N/A</v>
      </c>
      <c r="CF3128" s="16">
        <f t="shared" si="723"/>
        <v>99</v>
      </c>
      <c r="CG3128" s="16">
        <f t="shared" si="724"/>
        <v>0</v>
      </c>
      <c r="CH3128" s="16">
        <f t="shared" si="720"/>
        <v>0</v>
      </c>
      <c r="CJ3128" s="16" t="e">
        <f t="shared" si="725"/>
        <v>#N/A</v>
      </c>
      <c r="CK3128" s="16" t="str">
        <f t="shared" si="726"/>
        <v/>
      </c>
    </row>
    <row r="3129" spans="73:89" ht="12" customHeight="1">
      <c r="BU3129" s="16">
        <f t="shared" si="727"/>
        <v>0</v>
      </c>
      <c r="BV3129" s="16">
        <f>IF($BY$12=1,NORMDIST(BY3129,$Y$6,$Y$8,TRUE),IF($BY$12=2,IF(BY3129&lt;=$BX$31,0,IF(BY3129&gt;=$BX$32,1,(BY3129-$BX$31)*$BX$33)),SUM($BU$42:BU3129)/$BV$40))</f>
        <v>1</v>
      </c>
      <c r="BW3129" s="16">
        <f t="shared" si="718"/>
        <v>2.868100524578422E-36</v>
      </c>
      <c r="BY3129" s="16">
        <f t="shared" si="719"/>
        <v>308.70000000000169</v>
      </c>
      <c r="BZ3129" s="16">
        <f t="shared" si="721"/>
        <v>9.2908990106200401E-39</v>
      </c>
      <c r="CA3129" s="16">
        <f t="shared" si="728"/>
        <v>-999</v>
      </c>
      <c r="CE3129" s="16" t="e">
        <f t="shared" si="722"/>
        <v>#N/A</v>
      </c>
      <c r="CF3129" s="16">
        <f t="shared" si="723"/>
        <v>99</v>
      </c>
      <c r="CG3129" s="16">
        <f t="shared" si="724"/>
        <v>0</v>
      </c>
      <c r="CH3129" s="16">
        <f t="shared" si="720"/>
        <v>0</v>
      </c>
      <c r="CJ3129" s="16" t="e">
        <f t="shared" si="725"/>
        <v>#N/A</v>
      </c>
      <c r="CK3129" s="16" t="str">
        <f t="shared" si="726"/>
        <v/>
      </c>
    </row>
    <row r="3130" spans="73:89" ht="12" customHeight="1">
      <c r="BU3130" s="16">
        <f t="shared" si="727"/>
        <v>0</v>
      </c>
      <c r="BV3130" s="16">
        <f>IF($BY$12=1,NORMDIST(BY3130,$Y$6,$Y$8,TRUE),IF($BY$12=2,IF(BY3130&lt;=$BX$31,0,IF(BY3130&gt;=$BX$32,1,(BY3130-$BX$31)*$BX$33)),SUM($BU$42:BU3130)/$BV$40))</f>
        <v>1</v>
      </c>
      <c r="BW3130" s="16">
        <f t="shared" si="718"/>
        <v>2.6893145827014713E-36</v>
      </c>
      <c r="BY3130" s="16">
        <f t="shared" si="719"/>
        <v>308.80000000000172</v>
      </c>
      <c r="BZ3130" s="16">
        <f t="shared" si="721"/>
        <v>8.7089202807689652E-39</v>
      </c>
      <c r="CA3130" s="16">
        <f t="shared" si="728"/>
        <v>-999</v>
      </c>
      <c r="CE3130" s="16" t="e">
        <f t="shared" si="722"/>
        <v>#N/A</v>
      </c>
      <c r="CF3130" s="16">
        <f t="shared" si="723"/>
        <v>99</v>
      </c>
      <c r="CG3130" s="16">
        <f t="shared" si="724"/>
        <v>0</v>
      </c>
      <c r="CH3130" s="16">
        <f t="shared" si="720"/>
        <v>0</v>
      </c>
      <c r="CJ3130" s="16" t="e">
        <f t="shared" si="725"/>
        <v>#N/A</v>
      </c>
      <c r="CK3130" s="16" t="str">
        <f t="shared" si="726"/>
        <v/>
      </c>
    </row>
    <row r="3131" spans="73:89" ht="12" customHeight="1">
      <c r="BU3131" s="16">
        <f t="shared" si="727"/>
        <v>0</v>
      </c>
      <c r="BV3131" s="16">
        <f>IF($BY$12=1,NORMDIST(BY3131,$Y$6,$Y$8,TRUE),IF($BY$12=2,IF(BY3131&lt;=$BX$31,0,IF(BY3131&gt;=$BX$32,1,(BY3131-$BX$31)*$BX$33)),SUM($BU$42:BU3131)/$BV$40))</f>
        <v>1</v>
      </c>
      <c r="BW3131" s="16">
        <f t="shared" ref="BW3131:BW3194" si="729">BY3131*BZ3131</f>
        <v>2.5216101375306278E-36</v>
      </c>
      <c r="BY3131" s="16">
        <f t="shared" ref="BY3131:BY3194" si="730">BY3130+$BZ$1</f>
        <v>308.90000000000174</v>
      </c>
      <c r="BZ3131" s="16">
        <f t="shared" si="721"/>
        <v>8.163192416738795E-39</v>
      </c>
      <c r="CA3131" s="16">
        <f t="shared" si="728"/>
        <v>-999</v>
      </c>
      <c r="CE3131" s="16" t="e">
        <f t="shared" si="722"/>
        <v>#N/A</v>
      </c>
      <c r="CF3131" s="16">
        <f t="shared" si="723"/>
        <v>99</v>
      </c>
      <c r="CG3131" s="16">
        <f t="shared" si="724"/>
        <v>0</v>
      </c>
      <c r="CH3131" s="16">
        <f t="shared" si="720"/>
        <v>0</v>
      </c>
      <c r="CJ3131" s="16" t="e">
        <f t="shared" si="725"/>
        <v>#N/A</v>
      </c>
      <c r="CK3131" s="16" t="str">
        <f t="shared" si="726"/>
        <v/>
      </c>
    </row>
    <row r="3132" spans="73:89" ht="12" customHeight="1">
      <c r="BU3132" s="16">
        <f t="shared" si="727"/>
        <v>0</v>
      </c>
      <c r="BV3132" s="16">
        <f>IF($BY$12=1,NORMDIST(BY3132,$Y$6,$Y$8,TRUE),IF($BY$12=2,IF(BY3132&lt;=$BX$31,0,IF(BY3132&gt;=$BX$32,1,(BY3132-$BX$31)*$BX$33)),SUM($BU$42:BU3132)/$BV$40))</f>
        <v>1</v>
      </c>
      <c r="BW3132" s="16">
        <f t="shared" si="729"/>
        <v>2.3643043098344099E-36</v>
      </c>
      <c r="BY3132" s="16">
        <f t="shared" si="730"/>
        <v>309.00000000000176</v>
      </c>
      <c r="BZ3132" s="16">
        <f t="shared" si="721"/>
        <v>7.6514702583637425E-39</v>
      </c>
      <c r="CA3132" s="16">
        <f t="shared" si="728"/>
        <v>-999</v>
      </c>
      <c r="CE3132" s="16" t="e">
        <f t="shared" si="722"/>
        <v>#N/A</v>
      </c>
      <c r="CF3132" s="16">
        <f t="shared" si="723"/>
        <v>99</v>
      </c>
      <c r="CG3132" s="16">
        <f t="shared" si="724"/>
        <v>0</v>
      </c>
      <c r="CH3132" s="16">
        <f t="shared" si="720"/>
        <v>0</v>
      </c>
      <c r="CJ3132" s="16" t="e">
        <f t="shared" si="725"/>
        <v>#N/A</v>
      </c>
      <c r="CK3132" s="16" t="str">
        <f t="shared" si="726"/>
        <v/>
      </c>
    </row>
    <row r="3133" spans="73:89" ht="12" customHeight="1">
      <c r="BU3133" s="16">
        <f t="shared" si="727"/>
        <v>0</v>
      </c>
      <c r="BV3133" s="16">
        <f>IF($BY$12=1,NORMDIST(BY3133,$Y$6,$Y$8,TRUE),IF($BY$12=2,IF(BY3133&lt;=$BX$31,0,IF(BY3133&gt;=$BX$32,1,(BY3133-$BX$31)*$BX$33)),SUM($BU$42:BU3133)/$BV$40))</f>
        <v>1</v>
      </c>
      <c r="BW3133" s="16">
        <f t="shared" si="729"/>
        <v>2.2167560536996267E-36</v>
      </c>
      <c r="BY3133" s="16">
        <f t="shared" si="730"/>
        <v>309.10000000000178</v>
      </c>
      <c r="BZ3133" s="16">
        <f t="shared" si="721"/>
        <v>7.1716468900019865E-39</v>
      </c>
      <c r="CA3133" s="16">
        <f t="shared" si="728"/>
        <v>-999</v>
      </c>
      <c r="CE3133" s="16" t="e">
        <f t="shared" si="722"/>
        <v>#N/A</v>
      </c>
      <c r="CF3133" s="16">
        <f t="shared" si="723"/>
        <v>99</v>
      </c>
      <c r="CG3133" s="16">
        <f t="shared" si="724"/>
        <v>0</v>
      </c>
      <c r="CH3133" s="16">
        <f t="shared" si="720"/>
        <v>0</v>
      </c>
      <c r="CJ3133" s="16" t="e">
        <f t="shared" si="725"/>
        <v>#N/A</v>
      </c>
      <c r="CK3133" s="16" t="str">
        <f t="shared" si="726"/>
        <v/>
      </c>
    </row>
    <row r="3134" spans="73:89" ht="12" customHeight="1">
      <c r="BU3134" s="16">
        <f t="shared" si="727"/>
        <v>0</v>
      </c>
      <c r="BV3134" s="16">
        <f>IF($BY$12=1,NORMDIST(BY3134,$Y$6,$Y$8,TRUE),IF($BY$12=2,IF(BY3134&lt;=$BX$31,0,IF(BY3134&gt;=$BX$32,1,(BY3134-$BX$31)*$BX$33)),SUM($BU$42:BU3134)/$BV$40))</f>
        <v>1</v>
      </c>
      <c r="BW3134" s="16">
        <f t="shared" si="729"/>
        <v>2.0783636092074672E-36</v>
      </c>
      <c r="BY3134" s="16">
        <f t="shared" si="730"/>
        <v>309.20000000000181</v>
      </c>
      <c r="BZ3134" s="16">
        <f t="shared" si="721"/>
        <v>6.7217451785493377E-39</v>
      </c>
      <c r="CA3134" s="16">
        <f t="shared" si="728"/>
        <v>-999</v>
      </c>
      <c r="CE3134" s="16" t="e">
        <f t="shared" si="722"/>
        <v>#N/A</v>
      </c>
      <c r="CF3134" s="16">
        <f t="shared" si="723"/>
        <v>99</v>
      </c>
      <c r="CG3134" s="16">
        <f t="shared" si="724"/>
        <v>0</v>
      </c>
      <c r="CH3134" s="16">
        <f t="shared" si="720"/>
        <v>0</v>
      </c>
      <c r="CJ3134" s="16" t="e">
        <f t="shared" si="725"/>
        <v>#N/A</v>
      </c>
      <c r="CK3134" s="16" t="str">
        <f t="shared" si="726"/>
        <v/>
      </c>
    </row>
    <row r="3135" spans="73:89" ht="12" customHeight="1">
      <c r="BU3135" s="16">
        <f t="shared" si="727"/>
        <v>0</v>
      </c>
      <c r="BV3135" s="16">
        <f>IF($BY$12=1,NORMDIST(BY3135,$Y$6,$Y$8,TRUE),IF($BY$12=2,IF(BY3135&lt;=$BX$31,0,IF(BY3135&gt;=$BX$32,1,(BY3135-$BX$31)*$BX$33)),SUM($BU$42:BU3135)/$BV$40))</f>
        <v>1</v>
      </c>
      <c r="BW3135" s="16">
        <f t="shared" si="729"/>
        <v>1.9485621092718688E-36</v>
      </c>
      <c r="BY3135" s="16">
        <f t="shared" si="730"/>
        <v>309.30000000000183</v>
      </c>
      <c r="BZ3135" s="16">
        <f t="shared" si="721"/>
        <v>6.2999098262911645E-39</v>
      </c>
      <c r="CA3135" s="16">
        <f t="shared" si="728"/>
        <v>-999</v>
      </c>
      <c r="CE3135" s="16" t="e">
        <f t="shared" si="722"/>
        <v>#N/A</v>
      </c>
      <c r="CF3135" s="16">
        <f t="shared" si="723"/>
        <v>99</v>
      </c>
      <c r="CG3135" s="16">
        <f t="shared" si="724"/>
        <v>0</v>
      </c>
      <c r="CH3135" s="16">
        <f t="shared" si="720"/>
        <v>0</v>
      </c>
      <c r="CJ3135" s="16" t="e">
        <f t="shared" si="725"/>
        <v>#N/A</v>
      </c>
      <c r="CK3135" s="16" t="str">
        <f t="shared" si="726"/>
        <v/>
      </c>
    </row>
    <row r="3136" spans="73:89" ht="12" customHeight="1">
      <c r="BU3136" s="16">
        <f t="shared" si="727"/>
        <v>0</v>
      </c>
      <c r="BV3136" s="16">
        <f>IF($BY$12=1,NORMDIST(BY3136,$Y$6,$Y$8,TRUE),IF($BY$12=2,IF(BY3136&lt;=$BX$31,0,IF(BY3136&gt;=$BX$32,1,(BY3136-$BX$31)*$BX$33)),SUM($BU$42:BU3136)/$BV$40))</f>
        <v>1</v>
      </c>
      <c r="BW3136" s="16">
        <f t="shared" si="729"/>
        <v>1.8268213313686148E-36</v>
      </c>
      <c r="BY3136" s="16">
        <f t="shared" si="730"/>
        <v>309.40000000000185</v>
      </c>
      <c r="BZ3136" s="16">
        <f t="shared" si="721"/>
        <v>5.9043999074615512E-39</v>
      </c>
      <c r="CA3136" s="16">
        <f t="shared" si="728"/>
        <v>-999</v>
      </c>
      <c r="CE3136" s="16" t="e">
        <f t="shared" si="722"/>
        <v>#N/A</v>
      </c>
      <c r="CF3136" s="16">
        <f t="shared" si="723"/>
        <v>99</v>
      </c>
      <c r="CG3136" s="16">
        <f t="shared" si="724"/>
        <v>0</v>
      </c>
      <c r="CH3136" s="16">
        <f t="shared" si="720"/>
        <v>0</v>
      </c>
      <c r="CJ3136" s="16" t="e">
        <f t="shared" si="725"/>
        <v>#N/A</v>
      </c>
      <c r="CK3136" s="16" t="str">
        <f t="shared" si="726"/>
        <v/>
      </c>
    </row>
    <row r="3137" spans="73:89" ht="12" customHeight="1">
      <c r="BU3137" s="16">
        <f t="shared" si="727"/>
        <v>0</v>
      </c>
      <c r="BV3137" s="16">
        <f>IF($BY$12=1,NORMDIST(BY3137,$Y$6,$Y$8,TRUE),IF($BY$12=2,IF(BY3137&lt;=$BX$31,0,IF(BY3137&gt;=$BX$32,1,(BY3137-$BX$31)*$BX$33)),SUM($BU$42:BU3137)/$BV$40))</f>
        <v>1</v>
      </c>
      <c r="BW3137" s="16">
        <f t="shared" si="729"/>
        <v>1.7126435854376232E-36</v>
      </c>
      <c r="BY3137" s="16">
        <f t="shared" si="730"/>
        <v>309.50000000000188</v>
      </c>
      <c r="BZ3137" s="16">
        <f t="shared" si="721"/>
        <v>5.5335818592491526E-39</v>
      </c>
      <c r="CA3137" s="16">
        <f t="shared" si="728"/>
        <v>-999</v>
      </c>
      <c r="CE3137" s="16" t="e">
        <f t="shared" si="722"/>
        <v>#N/A</v>
      </c>
      <c r="CF3137" s="16">
        <f t="shared" si="723"/>
        <v>99</v>
      </c>
      <c r="CG3137" s="16">
        <f t="shared" si="724"/>
        <v>0</v>
      </c>
      <c r="CH3137" s="16">
        <f t="shared" si="720"/>
        <v>0</v>
      </c>
      <c r="CJ3137" s="16" t="e">
        <f t="shared" si="725"/>
        <v>#N/A</v>
      </c>
      <c r="CK3137" s="16" t="str">
        <f t="shared" si="726"/>
        <v/>
      </c>
    </row>
    <row r="3138" spans="73:89" ht="12" customHeight="1">
      <c r="BU3138" s="16">
        <f t="shared" si="727"/>
        <v>0</v>
      </c>
      <c r="BV3138" s="16">
        <f>IF($BY$12=1,NORMDIST(BY3138,$Y$6,$Y$8,TRUE),IF($BY$12=2,IF(BY3138&lt;=$BX$31,0,IF(BY3138&gt;=$BX$32,1,(BY3138-$BX$31)*$BX$33)),SUM($BU$42:BU3138)/$BV$40))</f>
        <v>1</v>
      </c>
      <c r="BW3138" s="16">
        <f t="shared" si="729"/>
        <v>1.6055617297620036E-36</v>
      </c>
      <c r="BY3138" s="16">
        <f t="shared" si="730"/>
        <v>309.6000000000019</v>
      </c>
      <c r="BZ3138" s="16">
        <f t="shared" si="721"/>
        <v>5.1859228997480418E-39</v>
      </c>
      <c r="CA3138" s="16">
        <f t="shared" si="728"/>
        <v>-999</v>
      </c>
      <c r="CE3138" s="16" t="e">
        <f t="shared" si="722"/>
        <v>#N/A</v>
      </c>
      <c r="CF3138" s="16">
        <f t="shared" si="723"/>
        <v>99</v>
      </c>
      <c r="CG3138" s="16">
        <f t="shared" si="724"/>
        <v>0</v>
      </c>
      <c r="CH3138" s="16">
        <f t="shared" si="720"/>
        <v>0</v>
      </c>
      <c r="CJ3138" s="16" t="e">
        <f t="shared" si="725"/>
        <v>#N/A</v>
      </c>
      <c r="CK3138" s="16" t="str">
        <f t="shared" si="726"/>
        <v/>
      </c>
    </row>
    <row r="3139" spans="73:89" ht="12" customHeight="1">
      <c r="BU3139" s="16">
        <f t="shared" si="727"/>
        <v>0</v>
      </c>
      <c r="BV3139" s="16">
        <f>IF($BY$12=1,NORMDIST(BY3139,$Y$6,$Y$8,TRUE),IF($BY$12=2,IF(BY3139&lt;=$BX$31,0,IF(BY3139&gt;=$BX$32,1,(BY3139-$BX$31)*$BX$33)),SUM($BU$42:BU3139)/$BV$40))</f>
        <v>1</v>
      </c>
      <c r="BW3139" s="16">
        <f t="shared" si="729"/>
        <v>1.505137307118247E-36</v>
      </c>
      <c r="BY3139" s="16">
        <f t="shared" si="730"/>
        <v>309.70000000000192</v>
      </c>
      <c r="BZ3139" s="16">
        <f t="shared" si="721"/>
        <v>4.8599848470075484E-39</v>
      </c>
      <c r="CA3139" s="16">
        <f t="shared" si="728"/>
        <v>-999</v>
      </c>
      <c r="CE3139" s="16" t="e">
        <f t="shared" si="722"/>
        <v>#N/A</v>
      </c>
      <c r="CF3139" s="16">
        <f t="shared" si="723"/>
        <v>99</v>
      </c>
      <c r="CG3139" s="16">
        <f t="shared" si="724"/>
        <v>0</v>
      </c>
      <c r="CH3139" s="16">
        <f t="shared" ref="CH3139:CH3202" si="731">IF(CB3139="",0,1)</f>
        <v>0</v>
      </c>
      <c r="CJ3139" s="16" t="e">
        <f t="shared" si="725"/>
        <v>#N/A</v>
      </c>
      <c r="CK3139" s="16" t="str">
        <f t="shared" si="726"/>
        <v/>
      </c>
    </row>
    <row r="3140" spans="73:89" ht="12" customHeight="1">
      <c r="BU3140" s="16">
        <f t="shared" si="727"/>
        <v>0</v>
      </c>
      <c r="BV3140" s="16">
        <f>IF($BY$12=1,NORMDIST(BY3140,$Y$6,$Y$8,TRUE),IF($BY$12=2,IF(BY3140&lt;=$BX$31,0,IF(BY3140&gt;=$BX$32,1,(BY3140-$BX$31)*$BX$33)),SUM($BU$42:BU3140)/$BV$40))</f>
        <v>1</v>
      </c>
      <c r="BW3140" s="16">
        <f t="shared" si="729"/>
        <v>1.410958793952137E-36</v>
      </c>
      <c r="BY3140" s="16">
        <f t="shared" si="730"/>
        <v>309.80000000000194</v>
      </c>
      <c r="BZ3140" s="16">
        <f t="shared" si="721"/>
        <v>4.5544183148874377E-39</v>
      </c>
      <c r="CA3140" s="16">
        <f t="shared" si="728"/>
        <v>-999</v>
      </c>
      <c r="CE3140" s="16" t="e">
        <f t="shared" si="722"/>
        <v>#N/A</v>
      </c>
      <c r="CF3140" s="16">
        <f t="shared" si="723"/>
        <v>99</v>
      </c>
      <c r="CG3140" s="16">
        <f t="shared" si="724"/>
        <v>0</v>
      </c>
      <c r="CH3140" s="16">
        <f t="shared" si="731"/>
        <v>0</v>
      </c>
      <c r="CJ3140" s="16" t="e">
        <f t="shared" si="725"/>
        <v>#N/A</v>
      </c>
      <c r="CK3140" s="16" t="str">
        <f t="shared" si="726"/>
        <v/>
      </c>
    </row>
    <row r="3141" spans="73:89" ht="12" customHeight="1">
      <c r="BU3141" s="16">
        <f t="shared" si="727"/>
        <v>0</v>
      </c>
      <c r="BV3141" s="16">
        <f>IF($BY$12=1,NORMDIST(BY3141,$Y$6,$Y$8,TRUE),IF($BY$12=2,IF(BY3141&lt;=$BX$31,0,IF(BY3141&gt;=$BX$32,1,(BY3141-$BX$31)*$BX$33)),SUM($BU$42:BU3141)/$BV$40))</f>
        <v>1</v>
      </c>
      <c r="BW3141" s="16">
        <f t="shared" si="729"/>
        <v>1.3226399557688811E-36</v>
      </c>
      <c r="BY3141" s="16">
        <f t="shared" si="730"/>
        <v>309.90000000000197</v>
      </c>
      <c r="BZ3141" s="16">
        <f t="shared" si="721"/>
        <v>4.2679572628876175E-39</v>
      </c>
      <c r="CA3141" s="16">
        <f t="shared" si="728"/>
        <v>-999</v>
      </c>
      <c r="CE3141" s="16" t="e">
        <f t="shared" si="722"/>
        <v>#N/A</v>
      </c>
      <c r="CF3141" s="16">
        <f t="shared" si="723"/>
        <v>99</v>
      </c>
      <c r="CG3141" s="16">
        <f t="shared" si="724"/>
        <v>0</v>
      </c>
      <c r="CH3141" s="16">
        <f t="shared" si="731"/>
        <v>0</v>
      </c>
      <c r="CJ3141" s="16" t="e">
        <f t="shared" si="725"/>
        <v>#N/A</v>
      </c>
      <c r="CK3141" s="16" t="str">
        <f t="shared" si="726"/>
        <v/>
      </c>
    </row>
    <row r="3142" spans="73:89" ht="12" customHeight="1">
      <c r="BU3142" s="16">
        <f t="shared" si="727"/>
        <v>0</v>
      </c>
      <c r="BV3142" s="16">
        <f>IF($BY$12=1,NORMDIST(BY3142,$Y$6,$Y$8,TRUE),IF($BY$12=2,IF(BY3142&lt;=$BX$31,0,IF(BY3142&gt;=$BX$32,1,(BY3142-$BX$31)*$BX$33)),SUM($BU$42:BU3142)/$BV$40))</f>
        <v>1</v>
      </c>
      <c r="BW3142" s="16">
        <f t="shared" si="729"/>
        <v>1.2398183023344604E-36</v>
      </c>
      <c r="BY3142" s="16">
        <f t="shared" si="730"/>
        <v>310.00000000000199</v>
      </c>
      <c r="BZ3142" s="16">
        <f t="shared" si="721"/>
        <v>3.9994138784982337E-39</v>
      </c>
      <c r="CA3142" s="16">
        <f t="shared" si="728"/>
        <v>-999</v>
      </c>
      <c r="CE3142" s="16" t="e">
        <f t="shared" si="722"/>
        <v>#N/A</v>
      </c>
      <c r="CF3142" s="16">
        <f t="shared" si="723"/>
        <v>99</v>
      </c>
      <c r="CG3142" s="16">
        <f t="shared" si="724"/>
        <v>0</v>
      </c>
      <c r="CH3142" s="16">
        <f t="shared" si="731"/>
        <v>0</v>
      </c>
      <c r="CJ3142" s="16" t="e">
        <f t="shared" si="725"/>
        <v>#N/A</v>
      </c>
      <c r="CK3142" s="16" t="str">
        <f t="shared" si="726"/>
        <v/>
      </c>
    </row>
    <row r="3143" spans="73:89" ht="12" customHeight="1">
      <c r="BU3143" s="16">
        <f t="shared" si="727"/>
        <v>0</v>
      </c>
      <c r="BV3143" s="16">
        <f>IF($BY$12=1,NORMDIST(BY3143,$Y$6,$Y$8,TRUE),IF($BY$12=2,IF(BY3143&lt;=$BX$31,0,IF(BY3143&gt;=$BX$32,1,(BY3143-$BX$31)*$BX$33)),SUM($BU$42:BU3143)/$BV$40))</f>
        <v>1</v>
      </c>
      <c r="BW3143" s="16">
        <f t="shared" si="729"/>
        <v>1.1621536366679814E-36</v>
      </c>
      <c r="BY3143" s="16">
        <f t="shared" si="730"/>
        <v>310.10000000000201</v>
      </c>
      <c r="BZ3143" s="16">
        <f t="shared" si="721"/>
        <v>3.7476737719057525E-39</v>
      </c>
      <c r="CA3143" s="16">
        <f t="shared" si="728"/>
        <v>-999</v>
      </c>
      <c r="CE3143" s="16" t="e">
        <f t="shared" si="722"/>
        <v>#N/A</v>
      </c>
      <c r="CF3143" s="16">
        <f t="shared" si="723"/>
        <v>99</v>
      </c>
      <c r="CG3143" s="16">
        <f t="shared" si="724"/>
        <v>0</v>
      </c>
      <c r="CH3143" s="16">
        <f t="shared" si="731"/>
        <v>0</v>
      </c>
      <c r="CJ3143" s="16" t="e">
        <f t="shared" si="725"/>
        <v>#N/A</v>
      </c>
      <c r="CK3143" s="16" t="str">
        <f t="shared" si="726"/>
        <v/>
      </c>
    </row>
    <row r="3144" spans="73:89" ht="12" customHeight="1">
      <c r="BU3144" s="16">
        <f t="shared" si="727"/>
        <v>0</v>
      </c>
      <c r="BV3144" s="16">
        <f>IF($BY$12=1,NORMDIST(BY3144,$Y$6,$Y$8,TRUE),IF($BY$12=2,IF(BY3144&lt;=$BX$31,0,IF(BY3144&gt;=$BX$32,1,(BY3144-$BX$31)*$BX$33)),SUM($BU$42:BU3144)/$BV$40))</f>
        <v>1</v>
      </c>
      <c r="BW3144" s="16">
        <f t="shared" si="729"/>
        <v>1.0893266921658736E-36</v>
      </c>
      <c r="BY3144" s="16">
        <f t="shared" si="730"/>
        <v>310.20000000000203</v>
      </c>
      <c r="BZ3144" s="16">
        <f t="shared" si="721"/>
        <v>3.5116914641065973E-39</v>
      </c>
      <c r="CA3144" s="16">
        <f t="shared" si="728"/>
        <v>-999</v>
      </c>
      <c r="CE3144" s="16" t="e">
        <f t="shared" si="722"/>
        <v>#N/A</v>
      </c>
      <c r="CF3144" s="16">
        <f t="shared" si="723"/>
        <v>99</v>
      </c>
      <c r="CG3144" s="16">
        <f t="shared" si="724"/>
        <v>0</v>
      </c>
      <c r="CH3144" s="16">
        <f t="shared" si="731"/>
        <v>0</v>
      </c>
      <c r="CJ3144" s="16" t="e">
        <f t="shared" si="725"/>
        <v>#N/A</v>
      </c>
      <c r="CK3144" s="16" t="str">
        <f t="shared" si="726"/>
        <v/>
      </c>
    </row>
    <row r="3145" spans="73:89" ht="12" customHeight="1">
      <c r="BU3145" s="16">
        <f t="shared" si="727"/>
        <v>0</v>
      </c>
      <c r="BV3145" s="16">
        <f>IF($BY$12=1,NORMDIST(BY3145,$Y$6,$Y$8,TRUE),IF($BY$12=2,IF(BY3145&lt;=$BX$31,0,IF(BY3145&gt;=$BX$32,1,(BY3145-$BX$31)*$BX$33)),SUM($BU$42:BU3145)/$BV$40))</f>
        <v>1</v>
      </c>
      <c r="BW3145" s="16">
        <f t="shared" si="729"/>
        <v>1.0210378525383514E-36</v>
      </c>
      <c r="BY3145" s="16">
        <f t="shared" si="730"/>
        <v>310.30000000000206</v>
      </c>
      <c r="BZ3145" s="16">
        <f t="shared" si="721"/>
        <v>3.2904861506230894E-39</v>
      </c>
      <c r="CA3145" s="16">
        <f t="shared" si="728"/>
        <v>-999</v>
      </c>
      <c r="CE3145" s="16" t="e">
        <f t="shared" si="722"/>
        <v>#N/A</v>
      </c>
      <c r="CF3145" s="16">
        <f t="shared" si="723"/>
        <v>99</v>
      </c>
      <c r="CG3145" s="16">
        <f t="shared" si="724"/>
        <v>0</v>
      </c>
      <c r="CH3145" s="16">
        <f t="shared" si="731"/>
        <v>0</v>
      </c>
      <c r="CJ3145" s="16" t="e">
        <f t="shared" si="725"/>
        <v>#N/A</v>
      </c>
      <c r="CK3145" s="16" t="str">
        <f t="shared" si="726"/>
        <v/>
      </c>
    </row>
    <row r="3146" spans="73:89" ht="12" customHeight="1">
      <c r="BU3146" s="16">
        <f t="shared" si="727"/>
        <v>0</v>
      </c>
      <c r="BV3146" s="16">
        <f>IF($BY$12=1,NORMDIST(BY3146,$Y$6,$Y$8,TRUE),IF($BY$12=2,IF(BY3146&lt;=$BX$31,0,IF(BY3146&gt;=$BX$32,1,(BY3146-$BX$31)*$BX$33)),SUM($BU$42:BU3146)/$BV$40))</f>
        <v>1</v>
      </c>
      <c r="BW3146" s="16">
        <f t="shared" si="729"/>
        <v>9.5700594955723317E-37</v>
      </c>
      <c r="BY3146" s="16">
        <f t="shared" si="730"/>
        <v>310.40000000000208</v>
      </c>
      <c r="BZ3146" s="16">
        <f t="shared" si="721"/>
        <v>3.0831377240890035E-39</v>
      </c>
      <c r="CA3146" s="16">
        <f t="shared" si="728"/>
        <v>-999</v>
      </c>
      <c r="CE3146" s="16" t="e">
        <f t="shared" si="722"/>
        <v>#N/A</v>
      </c>
      <c r="CF3146" s="16">
        <f t="shared" si="723"/>
        <v>99</v>
      </c>
      <c r="CG3146" s="16">
        <f t="shared" si="724"/>
        <v>0</v>
      </c>
      <c r="CH3146" s="16">
        <f t="shared" si="731"/>
        <v>0</v>
      </c>
      <c r="CJ3146" s="16" t="e">
        <f t="shared" si="725"/>
        <v>#N/A</v>
      </c>
      <c r="CK3146" s="16" t="str">
        <f t="shared" si="726"/>
        <v/>
      </c>
    </row>
    <row r="3147" spans="73:89" ht="12" customHeight="1">
      <c r="BU3147" s="16">
        <f t="shared" si="727"/>
        <v>0</v>
      </c>
      <c r="BV3147" s="16">
        <f>IF($BY$12=1,NORMDIST(BY3147,$Y$6,$Y$8,TRUE),IF($BY$12=2,IF(BY3147&lt;=$BX$31,0,IF(BY3147&gt;=$BX$32,1,(BY3147-$BX$31)*$BX$33)),SUM($BU$42:BU3147)/$BV$40))</f>
        <v>1</v>
      </c>
      <c r="BW3147" s="16">
        <f t="shared" si="729"/>
        <v>8.9696713391440599E-37</v>
      </c>
      <c r="BY3147" s="16">
        <f t="shared" si="730"/>
        <v>310.5000000000021</v>
      </c>
      <c r="BZ3147" s="16">
        <f t="shared" si="721"/>
        <v>2.8887830399819643E-39</v>
      </c>
      <c r="CA3147" s="16">
        <f t="shared" si="728"/>
        <v>-999</v>
      </c>
      <c r="CE3147" s="16" t="e">
        <f t="shared" si="722"/>
        <v>#N/A</v>
      </c>
      <c r="CF3147" s="16">
        <f t="shared" si="723"/>
        <v>99</v>
      </c>
      <c r="CG3147" s="16">
        <f t="shared" si="724"/>
        <v>0</v>
      </c>
      <c r="CH3147" s="16">
        <f t="shared" si="731"/>
        <v>0</v>
      </c>
      <c r="CJ3147" s="16" t="e">
        <f t="shared" si="725"/>
        <v>#N/A</v>
      </c>
      <c r="CK3147" s="16" t="str">
        <f t="shared" si="726"/>
        <v/>
      </c>
    </row>
    <row r="3148" spans="73:89" ht="12" customHeight="1">
      <c r="BU3148" s="16">
        <f t="shared" si="727"/>
        <v>0</v>
      </c>
      <c r="BV3148" s="16">
        <f>IF($BY$12=1,NORMDIST(BY3148,$Y$6,$Y$8,TRUE),IF($BY$12=2,IF(BY3148&lt;=$BX$31,0,IF(BY3148&gt;=$BX$32,1,(BY3148-$BX$31)*$BX$33)),SUM($BU$42:BU3148)/$BV$40))</f>
        <v>1</v>
      </c>
      <c r="BW3148" s="16">
        <f t="shared" si="729"/>
        <v>8.406738147727176E-37</v>
      </c>
      <c r="BY3148" s="16">
        <f t="shared" si="730"/>
        <v>310.60000000000213</v>
      </c>
      <c r="BZ3148" s="16">
        <f t="shared" si="721"/>
        <v>2.7066124107299157E-39</v>
      </c>
      <c r="CA3148" s="16">
        <f t="shared" si="728"/>
        <v>-999</v>
      </c>
      <c r="CE3148" s="16" t="e">
        <f t="shared" si="722"/>
        <v>#N/A</v>
      </c>
      <c r="CF3148" s="16">
        <f t="shared" si="723"/>
        <v>99</v>
      </c>
      <c r="CG3148" s="16">
        <f t="shared" si="724"/>
        <v>0</v>
      </c>
      <c r="CH3148" s="16">
        <f t="shared" si="731"/>
        <v>0</v>
      </c>
      <c r="CJ3148" s="16" t="e">
        <f t="shared" si="725"/>
        <v>#N/A</v>
      </c>
      <c r="CK3148" s="16" t="str">
        <f t="shared" si="726"/>
        <v/>
      </c>
    </row>
    <row r="3149" spans="73:89" ht="12" customHeight="1">
      <c r="BU3149" s="16">
        <f t="shared" si="727"/>
        <v>0</v>
      </c>
      <c r="BV3149" s="16">
        <f>IF($BY$12=1,NORMDIST(BY3149,$Y$6,$Y$8,TRUE),IF($BY$12=2,IF(BY3149&lt;=$BX$31,0,IF(BY3149&gt;=$BX$32,1,(BY3149-$BX$31)*$BX$33)),SUM($BU$42:BU3149)/$BV$40))</f>
        <v>1</v>
      </c>
      <c r="BW3149" s="16">
        <f t="shared" si="729"/>
        <v>7.8789366385586181E-37</v>
      </c>
      <c r="BY3149" s="16">
        <f t="shared" si="730"/>
        <v>310.70000000000215</v>
      </c>
      <c r="BZ3149" s="16">
        <f t="shared" si="721"/>
        <v>2.5358663143091611E-39</v>
      </c>
      <c r="CA3149" s="16">
        <f t="shared" si="728"/>
        <v>-999</v>
      </c>
      <c r="CE3149" s="16" t="e">
        <f t="shared" si="722"/>
        <v>#N/A</v>
      </c>
      <c r="CF3149" s="16">
        <f t="shared" si="723"/>
        <v>99</v>
      </c>
      <c r="CG3149" s="16">
        <f t="shared" si="724"/>
        <v>0</v>
      </c>
      <c r="CH3149" s="16">
        <f t="shared" si="731"/>
        <v>0</v>
      </c>
      <c r="CJ3149" s="16" t="e">
        <f t="shared" si="725"/>
        <v>#N/A</v>
      </c>
      <c r="CK3149" s="16" t="str">
        <f t="shared" si="726"/>
        <v/>
      </c>
    </row>
    <row r="3150" spans="73:89" ht="12" customHeight="1">
      <c r="BU3150" s="16">
        <f t="shared" si="727"/>
        <v>0</v>
      </c>
      <c r="BV3150" s="16">
        <f>IF($BY$12=1,NORMDIST(BY3150,$Y$6,$Y$8,TRUE),IF($BY$12=2,IF(BY3150&lt;=$BX$31,0,IF(BY3150&gt;=$BX$32,1,(BY3150-$BX$31)*$BX$33)),SUM($BU$42:BU3150)/$BV$40))</f>
        <v>1</v>
      </c>
      <c r="BW3150" s="16">
        <f t="shared" si="729"/>
        <v>7.3840868017381304E-37</v>
      </c>
      <c r="BY3150" s="16">
        <f t="shared" si="730"/>
        <v>310.80000000000217</v>
      </c>
      <c r="BZ3150" s="16">
        <f t="shared" si="721"/>
        <v>2.3758323042915311E-39</v>
      </c>
      <c r="CA3150" s="16">
        <f t="shared" si="728"/>
        <v>-999</v>
      </c>
      <c r="CE3150" s="16" t="e">
        <f t="shared" si="722"/>
        <v>#N/A</v>
      </c>
      <c r="CF3150" s="16">
        <f t="shared" si="723"/>
        <v>99</v>
      </c>
      <c r="CG3150" s="16">
        <f t="shared" si="724"/>
        <v>0</v>
      </c>
      <c r="CH3150" s="16">
        <f t="shared" si="731"/>
        <v>0</v>
      </c>
      <c r="CJ3150" s="16" t="e">
        <f t="shared" si="725"/>
        <v>#N/A</v>
      </c>
      <c r="CK3150" s="16" t="str">
        <f t="shared" si="726"/>
        <v/>
      </c>
    </row>
    <row r="3151" spans="73:89" ht="12" customHeight="1">
      <c r="BU3151" s="16">
        <f t="shared" si="727"/>
        <v>0</v>
      </c>
      <c r="BV3151" s="16">
        <f>IF($BY$12=1,NORMDIST(BY3151,$Y$6,$Y$8,TRUE),IF($BY$12=2,IF(BY3151&lt;=$BX$31,0,IF(BY3151&gt;=$BX$32,1,(BY3151-$BX$31)*$BX$33)),SUM($BU$42:BU3151)/$BV$40))</f>
        <v>1</v>
      </c>
      <c r="BW3151" s="16">
        <f t="shared" si="729"/>
        <v>6.9201431171466803E-37</v>
      </c>
      <c r="BY3151" s="16">
        <f t="shared" si="730"/>
        <v>310.90000000000219</v>
      </c>
      <c r="BZ3151" s="16">
        <f t="shared" si="721"/>
        <v>2.2258421090854396E-39</v>
      </c>
      <c r="CA3151" s="16">
        <f t="shared" si="728"/>
        <v>-999</v>
      </c>
      <c r="CE3151" s="16" t="e">
        <f t="shared" si="722"/>
        <v>#N/A</v>
      </c>
      <c r="CF3151" s="16">
        <f t="shared" si="723"/>
        <v>99</v>
      </c>
      <c r="CG3151" s="16">
        <f t="shared" si="724"/>
        <v>0</v>
      </c>
      <c r="CH3151" s="16">
        <f t="shared" si="731"/>
        <v>0</v>
      </c>
      <c r="CJ3151" s="16" t="e">
        <f t="shared" si="725"/>
        <v>#N/A</v>
      </c>
      <c r="CK3151" s="16" t="str">
        <f t="shared" si="726"/>
        <v/>
      </c>
    </row>
    <row r="3152" spans="73:89" ht="12" customHeight="1">
      <c r="BU3152" s="16">
        <f t="shared" si="727"/>
        <v>0</v>
      </c>
      <c r="BV3152" s="16">
        <f>IF($BY$12=1,NORMDIST(BY3152,$Y$6,$Y$8,TRUE),IF($BY$12=2,IF(BY3152&lt;=$BX$31,0,IF(BY3152&gt;=$BX$32,1,(BY3152-$BX$31)*$BX$33)),SUM($BU$42:BU3152)/$BV$40))</f>
        <v>1</v>
      </c>
      <c r="BW3152" s="16">
        <f t="shared" si="729"/>
        <v>6.4851863065473204E-37</v>
      </c>
      <c r="BY3152" s="16">
        <f t="shared" si="730"/>
        <v>311.00000000000222</v>
      </c>
      <c r="BZ3152" s="16">
        <f t="shared" si="721"/>
        <v>2.0852689088576443E-39</v>
      </c>
      <c r="CA3152" s="16">
        <f t="shared" si="728"/>
        <v>-999</v>
      </c>
      <c r="CE3152" s="16" t="e">
        <f t="shared" si="722"/>
        <v>#N/A</v>
      </c>
      <c r="CF3152" s="16">
        <f t="shared" si="723"/>
        <v>99</v>
      </c>
      <c r="CG3152" s="16">
        <f t="shared" si="724"/>
        <v>0</v>
      </c>
      <c r="CH3152" s="16">
        <f t="shared" si="731"/>
        <v>0</v>
      </c>
      <c r="CJ3152" s="16" t="e">
        <f t="shared" si="725"/>
        <v>#N/A</v>
      </c>
      <c r="CK3152" s="16" t="str">
        <f t="shared" si="726"/>
        <v/>
      </c>
    </row>
    <row r="3153" spans="73:89" ht="12" customHeight="1">
      <c r="BU3153" s="16">
        <f t="shared" si="727"/>
        <v>0</v>
      </c>
      <c r="BV3153" s="16">
        <f>IF($BY$12=1,NORMDIST(BY3153,$Y$6,$Y$8,TRUE),IF($BY$12=2,IF(BY3153&lt;=$BX$31,0,IF(BY3153&gt;=$BX$32,1,(BY3153-$BX$31)*$BX$33)),SUM($BU$42:BU3153)/$BV$40))</f>
        <v>1</v>
      </c>
      <c r="BW3153" s="16">
        <f t="shared" si="729"/>
        <v>6.0774155884567848E-37</v>
      </c>
      <c r="BY3153" s="16">
        <f t="shared" si="730"/>
        <v>311.10000000000224</v>
      </c>
      <c r="BZ3153" s="16">
        <f t="shared" si="721"/>
        <v>1.9535247793174995E-39</v>
      </c>
      <c r="CA3153" s="16">
        <f t="shared" si="728"/>
        <v>-999</v>
      </c>
      <c r="CE3153" s="16" t="e">
        <f t="shared" si="722"/>
        <v>#N/A</v>
      </c>
      <c r="CF3153" s="16">
        <f t="shared" si="723"/>
        <v>99</v>
      </c>
      <c r="CG3153" s="16">
        <f t="shared" si="724"/>
        <v>0</v>
      </c>
      <c r="CH3153" s="16">
        <f t="shared" si="731"/>
        <v>0</v>
      </c>
      <c r="CJ3153" s="16" t="e">
        <f t="shared" si="725"/>
        <v>#N/A</v>
      </c>
      <c r="CK3153" s="16" t="str">
        <f t="shared" si="726"/>
        <v/>
      </c>
    </row>
    <row r="3154" spans="73:89" ht="12" customHeight="1">
      <c r="BU3154" s="16">
        <f t="shared" si="727"/>
        <v>0</v>
      </c>
      <c r="BV3154" s="16">
        <f>IF($BY$12=1,NORMDIST(BY3154,$Y$6,$Y$8,TRUE),IF($BY$12=2,IF(BY3154&lt;=$BX$31,0,IF(BY3154&gt;=$BX$32,1,(BY3154-$BX$31)*$BX$33)),SUM($BU$42:BU3154)/$BV$40))</f>
        <v>1</v>
      </c>
      <c r="BW3154" s="16">
        <f t="shared" si="729"/>
        <v>5.6951414053288405E-37</v>
      </c>
      <c r="BY3154" s="16">
        <f t="shared" si="730"/>
        <v>311.20000000000226</v>
      </c>
      <c r="BZ3154" s="16">
        <f t="shared" si="721"/>
        <v>1.830058292200771E-39</v>
      </c>
      <c r="CA3154" s="16">
        <f t="shared" si="728"/>
        <v>-999</v>
      </c>
      <c r="CE3154" s="16" t="e">
        <f t="shared" si="722"/>
        <v>#N/A</v>
      </c>
      <c r="CF3154" s="16">
        <f t="shared" si="723"/>
        <v>99</v>
      </c>
      <c r="CG3154" s="16">
        <f t="shared" si="724"/>
        <v>0</v>
      </c>
      <c r="CH3154" s="16">
        <f t="shared" si="731"/>
        <v>0</v>
      </c>
      <c r="CJ3154" s="16" t="e">
        <f t="shared" si="725"/>
        <v>#N/A</v>
      </c>
      <c r="CK3154" s="16" t="str">
        <f t="shared" si="726"/>
        <v/>
      </c>
    </row>
    <row r="3155" spans="73:89" ht="12" customHeight="1">
      <c r="BU3155" s="16">
        <f t="shared" si="727"/>
        <v>0</v>
      </c>
      <c r="BV3155" s="16">
        <f>IF($BY$12=1,NORMDIST(BY3155,$Y$6,$Y$8,TRUE),IF($BY$12=2,IF(BY3155&lt;=$BX$31,0,IF(BY3155&gt;=$BX$32,1,(BY3155-$BX$31)*$BX$33)),SUM($BU$42:BU3155)/$BV$40))</f>
        <v>1</v>
      </c>
      <c r="BW3155" s="16">
        <f t="shared" si="729"/>
        <v>5.3367785944259271E-37</v>
      </c>
      <c r="BY3155" s="16">
        <f t="shared" si="730"/>
        <v>311.30000000000229</v>
      </c>
      <c r="BZ3155" s="16">
        <f t="shared" si="721"/>
        <v>1.7143522629058424E-39</v>
      </c>
      <c r="CA3155" s="16">
        <f t="shared" si="728"/>
        <v>-999</v>
      </c>
      <c r="CE3155" s="16" t="e">
        <f t="shared" si="722"/>
        <v>#N/A</v>
      </c>
      <c r="CF3155" s="16">
        <f t="shared" si="723"/>
        <v>99</v>
      </c>
      <c r="CG3155" s="16">
        <f t="shared" si="724"/>
        <v>0</v>
      </c>
      <c r="CH3155" s="16">
        <f t="shared" si="731"/>
        <v>0</v>
      </c>
      <c r="CJ3155" s="16" t="e">
        <f t="shared" si="725"/>
        <v>#N/A</v>
      </c>
      <c r="CK3155" s="16" t="str">
        <f t="shared" si="726"/>
        <v/>
      </c>
    </row>
    <row r="3156" spans="73:89" ht="12" customHeight="1">
      <c r="BU3156" s="16">
        <f t="shared" si="727"/>
        <v>0</v>
      </c>
      <c r="BV3156" s="16">
        <f>IF($BY$12=1,NORMDIST(BY3156,$Y$6,$Y$8,TRUE),IF($BY$12=2,IF(BY3156&lt;=$BX$31,0,IF(BY3156&gt;=$BX$32,1,(BY3156-$BX$31)*$BX$33)),SUM($BU$42:BU3156)/$BV$40))</f>
        <v>1</v>
      </c>
      <c r="BW3156" s="16">
        <f t="shared" si="729"/>
        <v>5.0008399754746412E-37</v>
      </c>
      <c r="BY3156" s="16">
        <f t="shared" si="730"/>
        <v>311.40000000000231</v>
      </c>
      <c r="BZ3156" s="16">
        <f t="shared" si="721"/>
        <v>1.6059216363116906E-39</v>
      </c>
      <c r="CA3156" s="16">
        <f t="shared" si="728"/>
        <v>-999</v>
      </c>
      <c r="CE3156" s="16" t="e">
        <f t="shared" si="722"/>
        <v>#N/A</v>
      </c>
      <c r="CF3156" s="16">
        <f t="shared" si="723"/>
        <v>99</v>
      </c>
      <c r="CG3156" s="16">
        <f t="shared" si="724"/>
        <v>0</v>
      </c>
      <c r="CH3156" s="16">
        <f t="shared" si="731"/>
        <v>0</v>
      </c>
      <c r="CJ3156" s="16" t="e">
        <f t="shared" si="725"/>
        <v>#N/A</v>
      </c>
      <c r="CK3156" s="16" t="str">
        <f t="shared" si="726"/>
        <v/>
      </c>
    </row>
    <row r="3157" spans="73:89" ht="12" customHeight="1">
      <c r="BU3157" s="16">
        <f t="shared" si="727"/>
        <v>0</v>
      </c>
      <c r="BV3157" s="16">
        <f>IF($BY$12=1,NORMDIST(BY3157,$Y$6,$Y$8,TRUE),IF($BY$12=2,IF(BY3157&lt;=$BX$31,0,IF(BY3157&gt;=$BX$32,1,(BY3157-$BX$31)*$BX$33)),SUM($BU$42:BU3157)/$BV$40))</f>
        <v>1</v>
      </c>
      <c r="BW3157" s="16">
        <f t="shared" si="729"/>
        <v>4.685930329826264E-37</v>
      </c>
      <c r="BY3157" s="16">
        <f t="shared" si="730"/>
        <v>311.50000000000233</v>
      </c>
      <c r="BZ3157" s="16">
        <f t="shared" si="721"/>
        <v>1.5043115023519194E-39</v>
      </c>
      <c r="CA3157" s="16">
        <f t="shared" si="728"/>
        <v>-999</v>
      </c>
      <c r="CE3157" s="16" t="e">
        <f t="shared" si="722"/>
        <v>#N/A</v>
      </c>
      <c r="CF3157" s="16">
        <f t="shared" si="723"/>
        <v>99</v>
      </c>
      <c r="CG3157" s="16">
        <f t="shared" si="724"/>
        <v>0</v>
      </c>
      <c r="CH3157" s="16">
        <f t="shared" si="731"/>
        <v>0</v>
      </c>
      <c r="CJ3157" s="16" t="e">
        <f t="shared" si="725"/>
        <v>#N/A</v>
      </c>
      <c r="CK3157" s="16" t="str">
        <f t="shared" si="726"/>
        <v/>
      </c>
    </row>
    <row r="3158" spans="73:89" ht="12" customHeight="1">
      <c r="BU3158" s="16">
        <f t="shared" si="727"/>
        <v>0</v>
      </c>
      <c r="BV3158" s="16">
        <f>IF($BY$12=1,NORMDIST(BY3158,$Y$6,$Y$8,TRUE),IF($BY$12=2,IF(BY3158&lt;=$BX$31,0,IF(BY3158&gt;=$BX$32,1,(BY3158-$BX$31)*$BX$33)),SUM($BU$42:BU3158)/$BV$40))</f>
        <v>1</v>
      </c>
      <c r="BW3158" s="16">
        <f t="shared" si="729"/>
        <v>4.3907407473663426E-37</v>
      </c>
      <c r="BY3158" s="16">
        <f t="shared" si="730"/>
        <v>311.60000000000235</v>
      </c>
      <c r="BZ3158" s="16">
        <f t="shared" si="721"/>
        <v>1.4090952334294961E-39</v>
      </c>
      <c r="CA3158" s="16">
        <f t="shared" si="728"/>
        <v>-999</v>
      </c>
      <c r="CE3158" s="16" t="e">
        <f t="shared" si="722"/>
        <v>#N/A</v>
      </c>
      <c r="CF3158" s="16">
        <f t="shared" si="723"/>
        <v>99</v>
      </c>
      <c r="CG3158" s="16">
        <f t="shared" si="724"/>
        <v>0</v>
      </c>
      <c r="CH3158" s="16">
        <f t="shared" si="731"/>
        <v>0</v>
      </c>
      <c r="CJ3158" s="16" t="e">
        <f t="shared" si="725"/>
        <v>#N/A</v>
      </c>
      <c r="CK3158" s="16" t="str">
        <f t="shared" si="726"/>
        <v/>
      </c>
    </row>
    <row r="3159" spans="73:89" ht="12" customHeight="1">
      <c r="BU3159" s="16">
        <f t="shared" si="727"/>
        <v>0</v>
      </c>
      <c r="BV3159" s="16">
        <f>IF($BY$12=1,NORMDIST(BY3159,$Y$6,$Y$8,TRUE),IF($BY$12=2,IF(BY3159&lt;=$BX$31,0,IF(BY3159&gt;=$BX$32,1,(BY3159-$BX$31)*$BX$33)),SUM($BU$42:BU3159)/$BV$40))</f>
        <v>1</v>
      </c>
      <c r="BW3159" s="16">
        <f t="shared" si="729"/>
        <v>4.1140433188460922E-37</v>
      </c>
      <c r="BY3159" s="16">
        <f t="shared" si="730"/>
        <v>311.70000000000238</v>
      </c>
      <c r="BZ3159" s="16">
        <f t="shared" si="721"/>
        <v>1.3198727362355023E-39</v>
      </c>
      <c r="CA3159" s="16">
        <f t="shared" si="728"/>
        <v>-999</v>
      </c>
      <c r="CE3159" s="16" t="e">
        <f t="shared" si="722"/>
        <v>#N/A</v>
      </c>
      <c r="CF3159" s="16">
        <f t="shared" si="723"/>
        <v>99</v>
      </c>
      <c r="CG3159" s="16">
        <f t="shared" si="724"/>
        <v>0</v>
      </c>
      <c r="CH3159" s="16">
        <f t="shared" si="731"/>
        <v>0</v>
      </c>
      <c r="CJ3159" s="16" t="e">
        <f t="shared" si="725"/>
        <v>#N/A</v>
      </c>
      <c r="CK3159" s="16" t="str">
        <f t="shared" si="726"/>
        <v/>
      </c>
    </row>
    <row r="3160" spans="73:89" ht="12" customHeight="1">
      <c r="BU3160" s="16">
        <f t="shared" si="727"/>
        <v>0</v>
      </c>
      <c r="BV3160" s="16">
        <f>IF($BY$12=1,NORMDIST(BY3160,$Y$6,$Y$8,TRUE),IF($BY$12=2,IF(BY3160&lt;=$BX$31,0,IF(BY3160&gt;=$BX$32,1,(BY3160-$BX$31)*$BX$33)),SUM($BU$42:BU3160)/$BV$40))</f>
        <v>1</v>
      </c>
      <c r="BW3160" s="16">
        <f t="shared" si="729"/>
        <v>3.8546861526616759E-37</v>
      </c>
      <c r="BY3160" s="16">
        <f t="shared" si="730"/>
        <v>311.8000000000024</v>
      </c>
      <c r="BZ3160" s="16">
        <f t="shared" si="721"/>
        <v>1.2362688109883407E-39</v>
      </c>
      <c r="CA3160" s="16">
        <f t="shared" si="728"/>
        <v>-999</v>
      </c>
      <c r="CE3160" s="16" t="e">
        <f t="shared" si="722"/>
        <v>#N/A</v>
      </c>
      <c r="CF3160" s="16">
        <f t="shared" si="723"/>
        <v>99</v>
      </c>
      <c r="CG3160" s="16">
        <f t="shared" si="724"/>
        <v>0</v>
      </c>
      <c r="CH3160" s="16">
        <f t="shared" si="731"/>
        <v>0</v>
      </c>
      <c r="CJ3160" s="16" t="e">
        <f t="shared" si="725"/>
        <v>#N/A</v>
      </c>
      <c r="CK3160" s="16" t="str">
        <f t="shared" si="726"/>
        <v/>
      </c>
    </row>
    <row r="3161" spans="73:89" ht="12" customHeight="1">
      <c r="BU3161" s="16">
        <f t="shared" si="727"/>
        <v>0</v>
      </c>
      <c r="BV3161" s="16">
        <f>IF($BY$12=1,NORMDIST(BY3161,$Y$6,$Y$8,TRUE),IF($BY$12=2,IF(BY3161&lt;=$BX$31,0,IF(BY3161&gt;=$BX$32,1,(BY3161-$BX$31)*$BX$33)),SUM($BU$42:BU3161)/$BV$40))</f>
        <v>1</v>
      </c>
      <c r="BW3161" s="16">
        <f t="shared" si="729"/>
        <v>3.6115886963670865E-37</v>
      </c>
      <c r="BY3161" s="16">
        <f t="shared" si="730"/>
        <v>311.90000000000242</v>
      </c>
      <c r="BZ3161" s="16">
        <f t="shared" si="721"/>
        <v>1.1579316115315994E-39</v>
      </c>
      <c r="CA3161" s="16">
        <f t="shared" si="728"/>
        <v>-999</v>
      </c>
      <c r="CE3161" s="16" t="e">
        <f t="shared" si="722"/>
        <v>#N/A</v>
      </c>
      <c r="CF3161" s="16">
        <f t="shared" si="723"/>
        <v>99</v>
      </c>
      <c r="CG3161" s="16">
        <f t="shared" si="724"/>
        <v>0</v>
      </c>
      <c r="CH3161" s="16">
        <f t="shared" si="731"/>
        <v>0</v>
      </c>
      <c r="CJ3161" s="16" t="e">
        <f t="shared" si="725"/>
        <v>#N/A</v>
      </c>
      <c r="CK3161" s="16" t="str">
        <f t="shared" si="726"/>
        <v/>
      </c>
    </row>
    <row r="3162" spans="73:89" ht="12" customHeight="1">
      <c r="BU3162" s="16">
        <f t="shared" si="727"/>
        <v>0</v>
      </c>
      <c r="BV3162" s="16">
        <f>IF($BY$12=1,NORMDIST(BY3162,$Y$6,$Y$8,TRUE),IF($BY$12=2,IF(BY3162&lt;=$BX$31,0,IF(BY3162&gt;=$BX$32,1,(BY3162-$BX$31)*$BX$33)),SUM($BU$42:BU3162)/$BV$40))</f>
        <v>1</v>
      </c>
      <c r="BW3162" s="16">
        <f t="shared" si="729"/>
        <v>3.3837373444012267E-37</v>
      </c>
      <c r="BY3162" s="16">
        <f t="shared" si="730"/>
        <v>312.00000000000244</v>
      </c>
      <c r="BZ3162" s="16">
        <f t="shared" si="721"/>
        <v>1.0845312001285898E-39</v>
      </c>
      <c r="CA3162" s="16">
        <f t="shared" si="728"/>
        <v>-999</v>
      </c>
      <c r="CE3162" s="16" t="e">
        <f t="shared" si="722"/>
        <v>#N/A</v>
      </c>
      <c r="CF3162" s="16">
        <f t="shared" si="723"/>
        <v>99</v>
      </c>
      <c r="CG3162" s="16">
        <f t="shared" si="724"/>
        <v>0</v>
      </c>
      <c r="CH3162" s="16">
        <f t="shared" si="731"/>
        <v>0</v>
      </c>
      <c r="CJ3162" s="16" t="e">
        <f t="shared" si="725"/>
        <v>#N/A</v>
      </c>
      <c r="CK3162" s="16" t="str">
        <f t="shared" si="726"/>
        <v/>
      </c>
    </row>
    <row r="3163" spans="73:89" ht="12" customHeight="1">
      <c r="BU3163" s="16">
        <f t="shared" si="727"/>
        <v>0</v>
      </c>
      <c r="BV3163" s="16">
        <f>IF($BY$12=1,NORMDIST(BY3163,$Y$6,$Y$8,TRUE),IF($BY$12=2,IF(BY3163&lt;=$BX$31,0,IF(BY3163&gt;=$BX$32,1,(BY3163-$BX$31)*$BX$33)),SUM($BU$42:BU3163)/$BV$40))</f>
        <v>1</v>
      </c>
      <c r="BW3163" s="16">
        <f t="shared" si="729"/>
        <v>3.1701813146251799E-37</v>
      </c>
      <c r="BY3163" s="16">
        <f t="shared" si="730"/>
        <v>312.10000000000247</v>
      </c>
      <c r="BZ3163" s="16">
        <f t="shared" si="721"/>
        <v>1.0157581911647404E-39</v>
      </c>
      <c r="CA3163" s="16">
        <f t="shared" si="728"/>
        <v>-999</v>
      </c>
      <c r="CE3163" s="16" t="e">
        <f t="shared" si="722"/>
        <v>#N/A</v>
      </c>
      <c r="CF3163" s="16">
        <f t="shared" si="723"/>
        <v>99</v>
      </c>
      <c r="CG3163" s="16">
        <f t="shared" si="724"/>
        <v>0</v>
      </c>
      <c r="CH3163" s="16">
        <f t="shared" si="731"/>
        <v>0</v>
      </c>
      <c r="CJ3163" s="16" t="e">
        <f t="shared" si="725"/>
        <v>#N/A</v>
      </c>
      <c r="CK3163" s="16" t="str">
        <f t="shared" si="726"/>
        <v/>
      </c>
    </row>
    <row r="3164" spans="73:89" ht="12" customHeight="1">
      <c r="BU3164" s="16">
        <f t="shared" si="727"/>
        <v>0</v>
      </c>
      <c r="BV3164" s="16">
        <f>IF($BY$12=1,NORMDIST(BY3164,$Y$6,$Y$8,TRUE),IF($BY$12=2,IF(BY3164&lt;=$BX$31,0,IF(BY3164&gt;=$BX$32,1,(BY3164-$BX$31)*$BX$33)),SUM($BU$42:BU3164)/$BV$40))</f>
        <v>1</v>
      </c>
      <c r="BW3164" s="16">
        <f t="shared" si="729"/>
        <v>2.9700287773192192E-37</v>
      </c>
      <c r="BY3164" s="16">
        <f t="shared" si="730"/>
        <v>312.20000000000249</v>
      </c>
      <c r="BZ3164" s="16">
        <f t="shared" si="721"/>
        <v>9.5132247832133101E-40</v>
      </c>
      <c r="CA3164" s="16">
        <f t="shared" si="728"/>
        <v>-999</v>
      </c>
      <c r="CE3164" s="16" t="e">
        <f t="shared" si="722"/>
        <v>#N/A</v>
      </c>
      <c r="CF3164" s="16">
        <f t="shared" si="723"/>
        <v>99</v>
      </c>
      <c r="CG3164" s="16">
        <f t="shared" si="724"/>
        <v>0</v>
      </c>
      <c r="CH3164" s="16">
        <f t="shared" si="731"/>
        <v>0</v>
      </c>
      <c r="CJ3164" s="16" t="e">
        <f t="shared" si="725"/>
        <v>#N/A</v>
      </c>
      <c r="CK3164" s="16" t="str">
        <f t="shared" si="726"/>
        <v/>
      </c>
    </row>
    <row r="3165" spans="73:89" ht="12" customHeight="1">
      <c r="BU3165" s="16">
        <f t="shared" si="727"/>
        <v>0</v>
      </c>
      <c r="BV3165" s="16">
        <f>IF($BY$12=1,NORMDIST(BY3165,$Y$6,$Y$8,TRUE),IF($BY$12=2,IF(BY3165&lt;=$BX$31,0,IF(BY3165&gt;=$BX$32,1,(BY3165-$BX$31)*$BX$33)),SUM($BU$42:BU3165)/$BV$40))</f>
        <v>1</v>
      </c>
      <c r="BW3165" s="16">
        <f t="shared" si="729"/>
        <v>2.7824432212762623E-37</v>
      </c>
      <c r="BY3165" s="16">
        <f t="shared" si="730"/>
        <v>312.30000000000251</v>
      </c>
      <c r="BZ3165" s="16">
        <f t="shared" si="721"/>
        <v>8.909520401140698E-40</v>
      </c>
      <c r="CA3165" s="16">
        <f t="shared" si="728"/>
        <v>-999</v>
      </c>
      <c r="CE3165" s="16" t="e">
        <f t="shared" si="722"/>
        <v>#N/A</v>
      </c>
      <c r="CF3165" s="16">
        <f t="shared" si="723"/>
        <v>99</v>
      </c>
      <c r="CG3165" s="16">
        <f t="shared" si="724"/>
        <v>0</v>
      </c>
      <c r="CH3165" s="16">
        <f t="shared" si="731"/>
        <v>0</v>
      </c>
      <c r="CJ3165" s="16" t="e">
        <f t="shared" si="725"/>
        <v>#N/A</v>
      </c>
      <c r="CK3165" s="16" t="str">
        <f t="shared" si="726"/>
        <v/>
      </c>
    </row>
    <row r="3166" spans="73:89" ht="12" customHeight="1">
      <c r="BU3166" s="16">
        <f t="shared" si="727"/>
        <v>0</v>
      </c>
      <c r="BV3166" s="16">
        <f>IF($BY$12=1,NORMDIST(BY3166,$Y$6,$Y$8,TRUE),IF($BY$12=2,IF(BY3166&lt;=$BX$31,0,IF(BY3166&gt;=$BX$32,1,(BY3166-$BX$31)*$BX$33)),SUM($BU$42:BU3166)/$BV$40))</f>
        <v>1</v>
      </c>
      <c r="BW3166" s="16">
        <f t="shared" si="729"/>
        <v>2.6066400425590021E-37</v>
      </c>
      <c r="BY3166" s="16">
        <f t="shared" si="730"/>
        <v>312.40000000000254</v>
      </c>
      <c r="BZ3166" s="16">
        <f t="shared" si="721"/>
        <v>8.3439181900095427E-40</v>
      </c>
      <c r="CA3166" s="16">
        <f t="shared" si="728"/>
        <v>-999</v>
      </c>
      <c r="CE3166" s="16" t="e">
        <f t="shared" si="722"/>
        <v>#N/A</v>
      </c>
      <c r="CF3166" s="16">
        <f t="shared" si="723"/>
        <v>99</v>
      </c>
      <c r="CG3166" s="16">
        <f t="shared" si="724"/>
        <v>0</v>
      </c>
      <c r="CH3166" s="16">
        <f t="shared" si="731"/>
        <v>0</v>
      </c>
      <c r="CJ3166" s="16" t="e">
        <f t="shared" si="725"/>
        <v>#N/A</v>
      </c>
      <c r="CK3166" s="16" t="str">
        <f t="shared" si="726"/>
        <v/>
      </c>
    </row>
    <row r="3167" spans="73:89" ht="12" customHeight="1">
      <c r="BU3167" s="16">
        <f t="shared" si="727"/>
        <v>0</v>
      </c>
      <c r="BV3167" s="16">
        <f>IF($BY$12=1,NORMDIST(BY3167,$Y$6,$Y$8,TRUE),IF($BY$12=2,IF(BY3167&lt;=$BX$31,0,IF(BY3167&gt;=$BX$32,1,(BY3167-$BX$31)*$BX$33)),SUM($BU$42:BU3167)/$BV$40))</f>
        <v>1</v>
      </c>
      <c r="BW3167" s="16">
        <f t="shared" si="729"/>
        <v>2.4418833423593648E-37</v>
      </c>
      <c r="BY3167" s="16">
        <f t="shared" si="730"/>
        <v>312.50000000000256</v>
      </c>
      <c r="BZ3167" s="16">
        <f t="shared" si="721"/>
        <v>7.8140266955499028E-40</v>
      </c>
      <c r="CA3167" s="16">
        <f t="shared" si="728"/>
        <v>-999</v>
      </c>
      <c r="CE3167" s="16" t="e">
        <f t="shared" si="722"/>
        <v>#N/A</v>
      </c>
      <c r="CF3167" s="16">
        <f t="shared" si="723"/>
        <v>99</v>
      </c>
      <c r="CG3167" s="16">
        <f t="shared" si="724"/>
        <v>0</v>
      </c>
      <c r="CH3167" s="16">
        <f t="shared" si="731"/>
        <v>0</v>
      </c>
      <c r="CJ3167" s="16" t="e">
        <f t="shared" si="725"/>
        <v>#N/A</v>
      </c>
      <c r="CK3167" s="16" t="str">
        <f t="shared" si="726"/>
        <v/>
      </c>
    </row>
    <row r="3168" spans="73:89" ht="12" customHeight="1">
      <c r="BU3168" s="16">
        <f t="shared" si="727"/>
        <v>0</v>
      </c>
      <c r="BV3168" s="16">
        <f>IF($BY$12=1,NORMDIST(BY3168,$Y$6,$Y$8,TRUE),IF($BY$12=2,IF(BY3168&lt;=$BX$31,0,IF(BY3168&gt;=$BX$32,1,(BY3168-$BX$31)*$BX$33)),SUM($BU$42:BU3168)/$BV$40))</f>
        <v>1</v>
      </c>
      <c r="BW3168" s="16">
        <f t="shared" si="729"/>
        <v>2.2874829212208632E-37</v>
      </c>
      <c r="BY3168" s="16">
        <f t="shared" si="730"/>
        <v>312.60000000000258</v>
      </c>
      <c r="BZ3168" s="16">
        <f t="shared" si="721"/>
        <v>7.3176037147179926E-40</v>
      </c>
      <c r="CA3168" s="16">
        <f t="shared" si="728"/>
        <v>-999</v>
      </c>
      <c r="CE3168" s="16" t="e">
        <f t="shared" si="722"/>
        <v>#N/A</v>
      </c>
      <c r="CF3168" s="16">
        <f t="shared" si="723"/>
        <v>99</v>
      </c>
      <c r="CG3168" s="16">
        <f t="shared" si="724"/>
        <v>0</v>
      </c>
      <c r="CH3168" s="16">
        <f t="shared" si="731"/>
        <v>0</v>
      </c>
      <c r="CJ3168" s="16" t="e">
        <f t="shared" si="725"/>
        <v>#N/A</v>
      </c>
      <c r="CK3168" s="16" t="str">
        <f t="shared" si="726"/>
        <v/>
      </c>
    </row>
    <row r="3169" spans="73:89" ht="12" customHeight="1">
      <c r="BU3169" s="16">
        <f t="shared" si="727"/>
        <v>0</v>
      </c>
      <c r="BV3169" s="16">
        <f>IF($BY$12=1,NORMDIST(BY3169,$Y$6,$Y$8,TRUE),IF($BY$12=2,IF(BY3169&lt;=$BX$31,0,IF(BY3169&gt;=$BX$32,1,(BY3169-$BX$31)*$BX$33)),SUM($BU$42:BU3169)/$BV$40))</f>
        <v>1</v>
      </c>
      <c r="BW3169" s="16">
        <f t="shared" si="729"/>
        <v>2.1427914576558176E-37</v>
      </c>
      <c r="BY3169" s="16">
        <f t="shared" si="730"/>
        <v>312.7000000000026</v>
      </c>
      <c r="BZ3169" s="16">
        <f t="shared" si="721"/>
        <v>6.8525470343965452E-40</v>
      </c>
      <c r="CA3169" s="16">
        <f t="shared" si="728"/>
        <v>-999</v>
      </c>
      <c r="CE3169" s="16" t="e">
        <f t="shared" si="722"/>
        <v>#N/A</v>
      </c>
      <c r="CF3169" s="16">
        <f t="shared" si="723"/>
        <v>99</v>
      </c>
      <c r="CG3169" s="16">
        <f t="shared" si="724"/>
        <v>0</v>
      </c>
      <c r="CH3169" s="16">
        <f t="shared" si="731"/>
        <v>0</v>
      </c>
      <c r="CJ3169" s="16" t="e">
        <f t="shared" si="725"/>
        <v>#N/A</v>
      </c>
      <c r="CK3169" s="16" t="str">
        <f t="shared" si="726"/>
        <v/>
      </c>
    </row>
    <row r="3170" spans="73:89" ht="12" customHeight="1">
      <c r="BU3170" s="16">
        <f t="shared" si="727"/>
        <v>0</v>
      </c>
      <c r="BV3170" s="16">
        <f>IF($BY$12=1,NORMDIST(BY3170,$Y$6,$Y$8,TRUE),IF($BY$12=2,IF(BY3170&lt;=$BX$31,0,IF(BY3170&gt;=$BX$32,1,(BY3170-$BX$31)*$BX$33)),SUM($BU$42:BU3170)/$BV$40))</f>
        <v>1</v>
      </c>
      <c r="BW3170" s="16">
        <f t="shared" si="729"/>
        <v>2.0072018599133086E-37</v>
      </c>
      <c r="BY3170" s="16">
        <f t="shared" si="730"/>
        <v>312.80000000000263</v>
      </c>
      <c r="BZ3170" s="16">
        <f t="shared" si="721"/>
        <v>6.4168857414107793E-40</v>
      </c>
      <c r="CA3170" s="16">
        <f t="shared" si="728"/>
        <v>-999</v>
      </c>
      <c r="CE3170" s="16" t="e">
        <f t="shared" si="722"/>
        <v>#N/A</v>
      </c>
      <c r="CF3170" s="16">
        <f t="shared" si="723"/>
        <v>99</v>
      </c>
      <c r="CG3170" s="16">
        <f t="shared" si="724"/>
        <v>0</v>
      </c>
      <c r="CH3170" s="16">
        <f t="shared" si="731"/>
        <v>0</v>
      </c>
      <c r="CJ3170" s="16" t="e">
        <f t="shared" si="725"/>
        <v>#N/A</v>
      </c>
      <c r="CK3170" s="16" t="str">
        <f t="shared" si="726"/>
        <v/>
      </c>
    </row>
    <row r="3171" spans="73:89" ht="12" customHeight="1">
      <c r="BU3171" s="16">
        <f t="shared" si="727"/>
        <v>0</v>
      </c>
      <c r="BV3171" s="16">
        <f>IF($BY$12=1,NORMDIST(BY3171,$Y$6,$Y$8,TRUE),IF($BY$12=2,IF(BY3171&lt;=$BX$31,0,IF(BY3171&gt;=$BX$32,1,(BY3171-$BX$31)*$BX$33)),SUM($BU$42:BU3171)/$BV$40))</f>
        <v>1</v>
      </c>
      <c r="BW3171" s="16">
        <f t="shared" si="729"/>
        <v>1.8801447803368348E-37</v>
      </c>
      <c r="BY3171" s="16">
        <f t="shared" si="730"/>
        <v>312.90000000000265</v>
      </c>
      <c r="BZ3171" s="16">
        <f t="shared" si="721"/>
        <v>6.0087720688297182E-40</v>
      </c>
      <c r="CA3171" s="16">
        <f t="shared" si="728"/>
        <v>-999</v>
      </c>
      <c r="CE3171" s="16" t="e">
        <f t="shared" si="722"/>
        <v>#N/A</v>
      </c>
      <c r="CF3171" s="16">
        <f t="shared" si="723"/>
        <v>99</v>
      </c>
      <c r="CG3171" s="16">
        <f t="shared" si="724"/>
        <v>0</v>
      </c>
      <c r="CH3171" s="16">
        <f t="shared" si="731"/>
        <v>0</v>
      </c>
      <c r="CJ3171" s="16" t="e">
        <f t="shared" si="725"/>
        <v>#N/A</v>
      </c>
      <c r="CK3171" s="16" t="str">
        <f t="shared" si="726"/>
        <v/>
      </c>
    </row>
    <row r="3172" spans="73:89" ht="12" customHeight="1">
      <c r="BU3172" s="16">
        <f t="shared" si="727"/>
        <v>0</v>
      </c>
      <c r="BV3172" s="16">
        <f>IF($BY$12=1,NORMDIST(BY3172,$Y$6,$Y$8,TRUE),IF($BY$12=2,IF(BY3172&lt;=$BX$31,0,IF(BY3172&gt;=$BX$32,1,(BY3172-$BX$31)*$BX$33)),SUM($BU$42:BU3172)/$BV$40))</f>
        <v>1</v>
      </c>
      <c r="BW3172" s="16">
        <f t="shared" si="729"/>
        <v>1.7610862823885493E-37</v>
      </c>
      <c r="BY3172" s="16">
        <f t="shared" si="730"/>
        <v>313.00000000000267</v>
      </c>
      <c r="BZ3172" s="16">
        <f t="shared" si="721"/>
        <v>5.626473745650269E-40</v>
      </c>
      <c r="CA3172" s="16">
        <f t="shared" si="728"/>
        <v>-999</v>
      </c>
      <c r="CE3172" s="16" t="e">
        <f t="shared" si="722"/>
        <v>#N/A</v>
      </c>
      <c r="CF3172" s="16">
        <f t="shared" si="723"/>
        <v>99</v>
      </c>
      <c r="CG3172" s="16">
        <f t="shared" si="724"/>
        <v>0</v>
      </c>
      <c r="CH3172" s="16">
        <f t="shared" si="731"/>
        <v>0</v>
      </c>
      <c r="CJ3172" s="16" t="e">
        <f t="shared" si="725"/>
        <v>#N/A</v>
      </c>
      <c r="CK3172" s="16" t="str">
        <f t="shared" si="726"/>
        <v/>
      </c>
    </row>
    <row r="3173" spans="73:89" ht="12" customHeight="1">
      <c r="BU3173" s="16">
        <f t="shared" si="727"/>
        <v>0</v>
      </c>
      <c r="BV3173" s="16">
        <f>IF($BY$12=1,NORMDIST(BY3173,$Y$6,$Y$8,TRUE),IF($BY$12=2,IF(BY3173&lt;=$BX$31,0,IF(BY3173&gt;=$BX$32,1,(BY3173-$BX$31)*$BX$33)),SUM($BU$42:BU3173)/$BV$40))</f>
        <v>1</v>
      </c>
      <c r="BW3173" s="16">
        <f t="shared" si="729"/>
        <v>1.6495256510215864E-37</v>
      </c>
      <c r="BY3173" s="16">
        <f t="shared" si="730"/>
        <v>313.10000000000269</v>
      </c>
      <c r="BZ3173" s="16">
        <f t="shared" si="721"/>
        <v>5.2683668189765963E-40</v>
      </c>
      <c r="CA3173" s="16">
        <f t="shared" si="728"/>
        <v>-999</v>
      </c>
      <c r="CE3173" s="16" t="e">
        <f t="shared" si="722"/>
        <v>#N/A</v>
      </c>
      <c r="CF3173" s="16">
        <f t="shared" si="723"/>
        <v>99</v>
      </c>
      <c r="CG3173" s="16">
        <f t="shared" si="724"/>
        <v>0</v>
      </c>
      <c r="CH3173" s="16">
        <f t="shared" si="731"/>
        <v>0</v>
      </c>
      <c r="CJ3173" s="16" t="e">
        <f t="shared" si="725"/>
        <v>#N/A</v>
      </c>
      <c r="CK3173" s="16" t="str">
        <f t="shared" si="726"/>
        <v/>
      </c>
    </row>
    <row r="3174" spans="73:89" ht="12" customHeight="1">
      <c r="BU3174" s="16">
        <f t="shared" si="727"/>
        <v>0</v>
      </c>
      <c r="BV3174" s="16">
        <f>IF($BY$12=1,NORMDIST(BY3174,$Y$6,$Y$8,TRUE),IF($BY$12=2,IF(BY3174&lt;=$BX$31,0,IF(BY3174&gt;=$BX$32,1,(BY3174-$BX$31)*$BX$33)),SUM($BU$42:BU3174)/$BV$40))</f>
        <v>1</v>
      </c>
      <c r="BW3174" s="16">
        <f t="shared" si="729"/>
        <v>1.5449933376440234E-37</v>
      </c>
      <c r="BY3174" s="16">
        <f t="shared" si="730"/>
        <v>313.20000000000272</v>
      </c>
      <c r="BZ3174" s="16">
        <f t="shared" si="721"/>
        <v>4.932928919680747E-40</v>
      </c>
      <c r="CA3174" s="16">
        <f t="shared" si="728"/>
        <v>-999</v>
      </c>
      <c r="CE3174" s="16" t="e">
        <f t="shared" si="722"/>
        <v>#N/A</v>
      </c>
      <c r="CF3174" s="16">
        <f t="shared" si="723"/>
        <v>99</v>
      </c>
      <c r="CG3174" s="16">
        <f t="shared" si="724"/>
        <v>0</v>
      </c>
      <c r="CH3174" s="16">
        <f t="shared" si="731"/>
        <v>0</v>
      </c>
      <c r="CJ3174" s="16" t="e">
        <f t="shared" si="725"/>
        <v>#N/A</v>
      </c>
      <c r="CK3174" s="16" t="str">
        <f t="shared" si="726"/>
        <v/>
      </c>
    </row>
    <row r="3175" spans="73:89" ht="12" customHeight="1">
      <c r="BU3175" s="16">
        <f t="shared" si="727"/>
        <v>0</v>
      </c>
      <c r="BV3175" s="16">
        <f>IF($BY$12=1,NORMDIST(BY3175,$Y$6,$Y$8,TRUE),IF($BY$12=2,IF(BY3175&lt;=$BX$31,0,IF(BY3175&gt;=$BX$32,1,(BY3175-$BX$31)*$BX$33)),SUM($BU$42:BU3175)/$BV$40))</f>
        <v>1</v>
      </c>
      <c r="BW3175" s="16">
        <f t="shared" si="729"/>
        <v>1.4470490314533682E-37</v>
      </c>
      <c r="BY3175" s="16">
        <f t="shared" si="730"/>
        <v>313.30000000000274</v>
      </c>
      <c r="BZ3175" s="16">
        <f t="shared" si="721"/>
        <v>4.6187329443132959E-40</v>
      </c>
      <c r="CA3175" s="16">
        <f t="shared" si="728"/>
        <v>-999</v>
      </c>
      <c r="CE3175" s="16" t="e">
        <f t="shared" si="722"/>
        <v>#N/A</v>
      </c>
      <c r="CF3175" s="16">
        <f t="shared" si="723"/>
        <v>99</v>
      </c>
      <c r="CG3175" s="16">
        <f t="shared" si="724"/>
        <v>0</v>
      </c>
      <c r="CH3175" s="16">
        <f t="shared" si="731"/>
        <v>0</v>
      </c>
      <c r="CJ3175" s="16" t="e">
        <f t="shared" si="725"/>
        <v>#N/A</v>
      </c>
      <c r="CK3175" s="16" t="str">
        <f t="shared" si="726"/>
        <v/>
      </c>
    </row>
    <row r="3176" spans="73:89" ht="12" customHeight="1">
      <c r="BU3176" s="16">
        <f t="shared" si="727"/>
        <v>0</v>
      </c>
      <c r="BV3176" s="16">
        <f>IF($BY$12=1,NORMDIST(BY3176,$Y$6,$Y$8,TRUE),IF($BY$12=2,IF(BY3176&lt;=$BX$31,0,IF(BY3176&gt;=$BX$32,1,(BY3176-$BX$31)*$BX$33)),SUM($BU$42:BU3176)/$BV$40))</f>
        <v>1</v>
      </c>
      <c r="BW3176" s="16">
        <f t="shared" si="729"/>
        <v>1.3552798494156505E-37</v>
      </c>
      <c r="BY3176" s="16">
        <f t="shared" si="730"/>
        <v>313.40000000000276</v>
      </c>
      <c r="BZ3176" s="16">
        <f t="shared" si="721"/>
        <v>4.3244411276823183E-40</v>
      </c>
      <c r="CA3176" s="16">
        <f t="shared" si="728"/>
        <v>-999</v>
      </c>
      <c r="CE3176" s="16" t="e">
        <f t="shared" si="722"/>
        <v>#N/A</v>
      </c>
      <c r="CF3176" s="16">
        <f t="shared" si="723"/>
        <v>99</v>
      </c>
      <c r="CG3176" s="16">
        <f t="shared" si="724"/>
        <v>0</v>
      </c>
      <c r="CH3176" s="16">
        <f t="shared" si="731"/>
        <v>0</v>
      </c>
      <c r="CJ3176" s="16" t="e">
        <f t="shared" si="725"/>
        <v>#N/A</v>
      </c>
      <c r="CK3176" s="16" t="str">
        <f t="shared" si="726"/>
        <v/>
      </c>
    </row>
    <row r="3177" spans="73:89" ht="12" customHeight="1">
      <c r="BU3177" s="16">
        <f t="shared" si="727"/>
        <v>0</v>
      </c>
      <c r="BV3177" s="16">
        <f>IF($BY$12=1,NORMDIST(BY3177,$Y$6,$Y$8,TRUE),IF($BY$12=2,IF(BY3177&lt;=$BX$31,0,IF(BY3177&gt;=$BX$32,1,(BY3177-$BX$31)*$BX$33)),SUM($BU$42:BU3177)/$BV$40))</f>
        <v>1</v>
      </c>
      <c r="BW3177" s="16">
        <f t="shared" si="729"/>
        <v>1.269298637635889E-37</v>
      </c>
      <c r="BY3177" s="16">
        <f t="shared" si="730"/>
        <v>313.50000000000279</v>
      </c>
      <c r="BZ3177" s="16">
        <f t="shared" si="721"/>
        <v>4.048799482092114E-40</v>
      </c>
      <c r="CA3177" s="16">
        <f t="shared" si="728"/>
        <v>-999</v>
      </c>
      <c r="CE3177" s="16" t="e">
        <f t="shared" si="722"/>
        <v>#N/A</v>
      </c>
      <c r="CF3177" s="16">
        <f t="shared" si="723"/>
        <v>99</v>
      </c>
      <c r="CG3177" s="16">
        <f t="shared" si="724"/>
        <v>0</v>
      </c>
      <c r="CH3177" s="16">
        <f t="shared" si="731"/>
        <v>0</v>
      </c>
      <c r="CJ3177" s="16" t="e">
        <f t="shared" si="725"/>
        <v>#N/A</v>
      </c>
      <c r="CK3177" s="16" t="str">
        <f t="shared" si="726"/>
        <v/>
      </c>
    </row>
    <row r="3178" spans="73:89" ht="12" customHeight="1">
      <c r="BU3178" s="16">
        <f t="shared" si="727"/>
        <v>0</v>
      </c>
      <c r="BV3178" s="16">
        <f>IF($BY$12=1,NORMDIST(BY3178,$Y$6,$Y$8,TRUE),IF($BY$12=2,IF(BY3178&lt;=$BX$31,0,IF(BY3178&gt;=$BX$32,1,(BY3178-$BX$31)*$BX$33)),SUM($BU$42:BU3178)/$BV$40))</f>
        <v>1</v>
      </c>
      <c r="BW3178" s="16">
        <f t="shared" si="729"/>
        <v>1.1887423773053099E-37</v>
      </c>
      <c r="BY3178" s="16">
        <f t="shared" si="730"/>
        <v>313.60000000000281</v>
      </c>
      <c r="BZ3178" s="16">
        <f t="shared" ref="BZ3178:BZ3241" si="732">IF($BZ$5,IF($BY$12=1,NORMDIST(BY3178,$Y$6,$Y$8,FALSE),IF($BY$12=2,IF(AND(BY3178&gt;=$BX$31,BY3178&lt;=$BX$32),$BX$33,0),IF(BY3178&lt;=$BX$13,0,NORMDIST(LN((BY3178-$BX$13)/$BX$12),0,$BW$8,FALSE)/((BY3178-$BX$13)/$BX$12)))),-999)</f>
        <v>3.7906325806929182E-40</v>
      </c>
      <c r="CA3178" s="16">
        <f t="shared" si="728"/>
        <v>-999</v>
      </c>
      <c r="CE3178" s="16" t="e">
        <f t="shared" ref="CE3178:CE3241" si="733">IF(AND($CB$7,$CD$2,$CD$1),26+$P$23/2-CC3178*$P$23,NA())</f>
        <v>#N/A</v>
      </c>
      <c r="CF3178" s="16">
        <f t="shared" ref="CF3178:CF3241" si="734">IF(ISNA(CJ3178),99,CJ3178)</f>
        <v>99</v>
      </c>
      <c r="CG3178" s="16">
        <f t="shared" ref="CG3178:CG3241" si="735">IF(ISNA(CJ3178),0,CJ3178)</f>
        <v>0</v>
      </c>
      <c r="CH3178" s="16">
        <f t="shared" si="731"/>
        <v>0</v>
      </c>
      <c r="CJ3178" s="16" t="e">
        <f t="shared" ref="CJ3178:CJ3241" si="736">IF(CH3178=1,CE3178,NA())</f>
        <v>#N/A</v>
      </c>
      <c r="CK3178" s="16" t="str">
        <f t="shared" ref="CK3178:CK3241" si="737">IF(CH3178=1,M3077,"")</f>
        <v/>
      </c>
    </row>
    <row r="3179" spans="73:89" ht="12" customHeight="1">
      <c r="BU3179" s="16">
        <f t="shared" ref="BU3179:BU3242" si="738">IF($BY$12&lt;3,0,IF(BY3179&lt;=$BX$13,0,NORMDIST(LN((BY3179-$BX$13)/$BX$12),0,$BW$8,FALSE)/((BY3179-$BX$13)/$BX$12)))</f>
        <v>0</v>
      </c>
      <c r="BV3179" s="16">
        <f>IF($BY$12=1,NORMDIST(BY3179,$Y$6,$Y$8,TRUE),IF($BY$12=2,IF(BY3179&lt;=$BX$31,0,IF(BY3179&gt;=$BX$32,1,(BY3179-$BX$31)*$BX$33)),SUM($BU$42:BU3179)/$BV$40))</f>
        <v>1</v>
      </c>
      <c r="BW3179" s="16">
        <f t="shared" si="729"/>
        <v>1.1132706888259367E-37</v>
      </c>
      <c r="BY3179" s="16">
        <f t="shared" si="730"/>
        <v>313.70000000000283</v>
      </c>
      <c r="BZ3179" s="16">
        <f t="shared" si="732"/>
        <v>3.548838663774073E-40</v>
      </c>
      <c r="CA3179" s="16">
        <f t="shared" ref="CA3179:CA3242" si="739">IF(AND($CD$1,$CD$3),26-$CD$40*NORMDIST(BY3179,$Y$6,$Y$8/SQRT($T$18),FALSE),-999)</f>
        <v>-999</v>
      </c>
      <c r="CE3179" s="16" t="e">
        <f t="shared" si="733"/>
        <v>#N/A</v>
      </c>
      <c r="CF3179" s="16">
        <f t="shared" si="734"/>
        <v>99</v>
      </c>
      <c r="CG3179" s="16">
        <f t="shared" si="735"/>
        <v>0</v>
      </c>
      <c r="CH3179" s="16">
        <f t="shared" si="731"/>
        <v>0</v>
      </c>
      <c r="CJ3179" s="16" t="e">
        <f t="shared" si="736"/>
        <v>#N/A</v>
      </c>
      <c r="CK3179" s="16" t="str">
        <f t="shared" si="737"/>
        <v/>
      </c>
    </row>
    <row r="3180" spans="73:89" ht="12" customHeight="1">
      <c r="BU3180" s="16">
        <f t="shared" si="738"/>
        <v>0</v>
      </c>
      <c r="BV3180" s="16">
        <f>IF($BY$12=1,NORMDIST(BY3180,$Y$6,$Y$8,TRUE),IF($BY$12=2,IF(BY3180&lt;=$BX$31,0,IF(BY3180&gt;=$BX$32,1,(BY3180-$BX$31)*$BX$33)),SUM($BU$42:BU3180)/$BV$40))</f>
        <v>1</v>
      </c>
      <c r="BW3180" s="16">
        <f t="shared" si="729"/>
        <v>1.0425644281022262E-37</v>
      </c>
      <c r="BY3180" s="16">
        <f t="shared" si="730"/>
        <v>313.80000000000285</v>
      </c>
      <c r="BZ3180" s="16">
        <f t="shared" si="732"/>
        <v>3.3223850481268856E-40</v>
      </c>
      <c r="CA3180" s="16">
        <f t="shared" si="739"/>
        <v>-999</v>
      </c>
      <c r="CE3180" s="16" t="e">
        <f t="shared" si="733"/>
        <v>#N/A</v>
      </c>
      <c r="CF3180" s="16">
        <f t="shared" si="734"/>
        <v>99</v>
      </c>
      <c r="CG3180" s="16">
        <f t="shared" si="735"/>
        <v>0</v>
      </c>
      <c r="CH3180" s="16">
        <f t="shared" si="731"/>
        <v>0</v>
      </c>
      <c r="CJ3180" s="16" t="e">
        <f t="shared" si="736"/>
        <v>#N/A</v>
      </c>
      <c r="CK3180" s="16" t="str">
        <f t="shared" si="737"/>
        <v/>
      </c>
    </row>
    <row r="3181" spans="73:89" ht="12" customHeight="1">
      <c r="BU3181" s="16">
        <f t="shared" si="738"/>
        <v>0</v>
      </c>
      <c r="BV3181" s="16">
        <f>IF($BY$12=1,NORMDIST(BY3181,$Y$6,$Y$8,TRUE),IF($BY$12=2,IF(BY3181&lt;=$BX$31,0,IF(BY3181&gt;=$BX$32,1,(BY3181-$BX$31)*$BX$33)),SUM($BU$42:BU3181)/$BV$40))</f>
        <v>1</v>
      </c>
      <c r="BW3181" s="16">
        <f t="shared" si="729"/>
        <v>9.7632436935505167E-38</v>
      </c>
      <c r="BY3181" s="16">
        <f t="shared" si="730"/>
        <v>313.90000000000288</v>
      </c>
      <c r="BZ3181" s="16">
        <f t="shared" si="732"/>
        <v>3.1103038208188681E-40</v>
      </c>
      <c r="CA3181" s="16">
        <f t="shared" si="739"/>
        <v>-999</v>
      </c>
      <c r="CE3181" s="16" t="e">
        <f t="shared" si="733"/>
        <v>#N/A</v>
      </c>
      <c r="CF3181" s="16">
        <f t="shared" si="734"/>
        <v>99</v>
      </c>
      <c r="CG3181" s="16">
        <f t="shared" si="735"/>
        <v>0</v>
      </c>
      <c r="CH3181" s="16">
        <f t="shared" si="731"/>
        <v>0</v>
      </c>
      <c r="CJ3181" s="16" t="e">
        <f t="shared" si="736"/>
        <v>#N/A</v>
      </c>
      <c r="CK3181" s="16" t="str">
        <f t="shared" si="737"/>
        <v/>
      </c>
    </row>
    <row r="3182" spans="73:89" ht="12" customHeight="1">
      <c r="BU3182" s="16">
        <f t="shared" si="738"/>
        <v>0</v>
      </c>
      <c r="BV3182" s="16">
        <f>IF($BY$12=1,NORMDIST(BY3182,$Y$6,$Y$8,TRUE),IF($BY$12=2,IF(BY3182&lt;=$BX$31,0,IF(BY3182&gt;=$BX$32,1,(BY3182-$BX$31)*$BX$33)),SUM($BU$42:BU3182)/$BV$40))</f>
        <v>1</v>
      </c>
      <c r="BW3182" s="16">
        <f t="shared" si="729"/>
        <v>9.1426996915689565E-38</v>
      </c>
      <c r="BY3182" s="16">
        <f t="shared" si="730"/>
        <v>314.0000000000029</v>
      </c>
      <c r="BZ3182" s="16">
        <f t="shared" si="732"/>
        <v>2.9116877998626982E-40</v>
      </c>
      <c r="CA3182" s="16">
        <f t="shared" si="739"/>
        <v>-999</v>
      </c>
      <c r="CE3182" s="16" t="e">
        <f t="shared" si="733"/>
        <v>#N/A</v>
      </c>
      <c r="CF3182" s="16">
        <f t="shared" si="734"/>
        <v>99</v>
      </c>
      <c r="CG3182" s="16">
        <f t="shared" si="735"/>
        <v>0</v>
      </c>
      <c r="CH3182" s="16">
        <f t="shared" si="731"/>
        <v>0</v>
      </c>
      <c r="CJ3182" s="16" t="e">
        <f t="shared" si="736"/>
        <v>#N/A</v>
      </c>
      <c r="CK3182" s="16" t="str">
        <f t="shared" si="737"/>
        <v/>
      </c>
    </row>
    <row r="3183" spans="73:89" ht="12" customHeight="1">
      <c r="BU3183" s="16">
        <f t="shared" si="738"/>
        <v>0</v>
      </c>
      <c r="BV3183" s="16">
        <f>IF($BY$12=1,NORMDIST(BY3183,$Y$6,$Y$8,TRUE),IF($BY$12=2,IF(BY3183&lt;=$BX$31,0,IF(BY3183&gt;=$BX$32,1,(BY3183-$BX$31)*$BX$33)),SUM($BU$42:BU3183)/$BV$40))</f>
        <v>1</v>
      </c>
      <c r="BW3183" s="16">
        <f t="shared" si="729"/>
        <v>8.561382067098982E-38</v>
      </c>
      <c r="BY3183" s="16">
        <f t="shared" si="730"/>
        <v>314.10000000000292</v>
      </c>
      <c r="BZ3183" s="16">
        <f t="shared" si="732"/>
        <v>2.7256867453355309E-40</v>
      </c>
      <c r="CA3183" s="16">
        <f t="shared" si="739"/>
        <v>-999</v>
      </c>
      <c r="CE3183" s="16" t="e">
        <f t="shared" si="733"/>
        <v>#N/A</v>
      </c>
      <c r="CF3183" s="16">
        <f t="shared" si="734"/>
        <v>99</v>
      </c>
      <c r="CG3183" s="16">
        <f t="shared" si="735"/>
        <v>0</v>
      </c>
      <c r="CH3183" s="16">
        <f t="shared" si="731"/>
        <v>0</v>
      </c>
      <c r="CJ3183" s="16" t="e">
        <f t="shared" si="736"/>
        <v>#N/A</v>
      </c>
      <c r="CK3183" s="16" t="str">
        <f t="shared" si="737"/>
        <v/>
      </c>
    </row>
    <row r="3184" spans="73:89" ht="12" customHeight="1">
      <c r="BU3184" s="16">
        <f t="shared" si="738"/>
        <v>0</v>
      </c>
      <c r="BV3184" s="16">
        <f>IF($BY$12=1,NORMDIST(BY3184,$Y$6,$Y$8,TRUE),IF($BY$12=2,IF(BY3184&lt;=$BX$31,0,IF(BY3184&gt;=$BX$32,1,(BY3184-$BX$31)*$BX$33)),SUM($BU$42:BU3184)/$BV$40))</f>
        <v>1</v>
      </c>
      <c r="BW3184" s="16">
        <f t="shared" si="729"/>
        <v>8.0168249569198792E-38</v>
      </c>
      <c r="BY3184" s="16">
        <f t="shared" si="730"/>
        <v>314.20000000000294</v>
      </c>
      <c r="BZ3184" s="16">
        <f t="shared" si="732"/>
        <v>2.55150380551235E-40</v>
      </c>
      <c r="CA3184" s="16">
        <f t="shared" si="739"/>
        <v>-999</v>
      </c>
      <c r="CE3184" s="16" t="e">
        <f t="shared" si="733"/>
        <v>#N/A</v>
      </c>
      <c r="CF3184" s="16">
        <f t="shared" si="734"/>
        <v>99</v>
      </c>
      <c r="CG3184" s="16">
        <f t="shared" si="735"/>
        <v>0</v>
      </c>
      <c r="CH3184" s="16">
        <f t="shared" si="731"/>
        <v>0</v>
      </c>
      <c r="CJ3184" s="16" t="e">
        <f t="shared" si="736"/>
        <v>#N/A</v>
      </c>
      <c r="CK3184" s="16" t="str">
        <f t="shared" si="737"/>
        <v/>
      </c>
    </row>
    <row r="3185" spans="73:89" ht="12" customHeight="1">
      <c r="BU3185" s="16">
        <f t="shared" si="738"/>
        <v>0</v>
      </c>
      <c r="BV3185" s="16">
        <f>IF($BY$12=1,NORMDIST(BY3185,$Y$6,$Y$8,TRUE),IF($BY$12=2,IF(BY3185&lt;=$BX$31,0,IF(BY3185&gt;=$BX$32,1,(BY3185-$BX$31)*$BX$33)),SUM($BU$42:BU3185)/$BV$40))</f>
        <v>1</v>
      </c>
      <c r="BW3185" s="16">
        <f t="shared" si="729"/>
        <v>7.5067166328071966E-38</v>
      </c>
      <c r="BY3185" s="16">
        <f t="shared" si="730"/>
        <v>314.30000000000297</v>
      </c>
      <c r="BZ3185" s="16">
        <f t="shared" si="732"/>
        <v>2.3883921835211983E-40</v>
      </c>
      <c r="CA3185" s="16">
        <f t="shared" si="739"/>
        <v>-999</v>
      </c>
      <c r="CE3185" s="16" t="e">
        <f t="shared" si="733"/>
        <v>#N/A</v>
      </c>
      <c r="CF3185" s="16">
        <f t="shared" si="734"/>
        <v>99</v>
      </c>
      <c r="CG3185" s="16">
        <f t="shared" si="735"/>
        <v>0</v>
      </c>
      <c r="CH3185" s="16">
        <f t="shared" si="731"/>
        <v>0</v>
      </c>
      <c r="CJ3185" s="16" t="e">
        <f t="shared" si="736"/>
        <v>#N/A</v>
      </c>
      <c r="CK3185" s="16" t="str">
        <f t="shared" si="737"/>
        <v/>
      </c>
    </row>
    <row r="3186" spans="73:89" ht="12" customHeight="1">
      <c r="BU3186" s="16">
        <f t="shared" si="738"/>
        <v>0</v>
      </c>
      <c r="BV3186" s="16">
        <f>IF($BY$12=1,NORMDIST(BY3186,$Y$6,$Y$8,TRUE),IF($BY$12=2,IF(BY3186&lt;=$BX$31,0,IF(BY3186&gt;=$BX$32,1,(BY3186-$BX$31)*$BX$33)),SUM($BU$42:BU3186)/$BV$40))</f>
        <v>1</v>
      </c>
      <c r="BW3186" s="16">
        <f t="shared" si="729"/>
        <v>7.0288899223244801E-38</v>
      </c>
      <c r="BY3186" s="16">
        <f t="shared" si="730"/>
        <v>314.40000000000299</v>
      </c>
      <c r="BZ3186" s="16">
        <f t="shared" si="732"/>
        <v>2.2356520109174344E-40</v>
      </c>
      <c r="CA3186" s="16">
        <f t="shared" si="739"/>
        <v>-999</v>
      </c>
      <c r="CE3186" s="16" t="e">
        <f t="shared" si="733"/>
        <v>#N/A</v>
      </c>
      <c r="CF3186" s="16">
        <f t="shared" si="734"/>
        <v>99</v>
      </c>
      <c r="CG3186" s="16">
        <f t="shared" si="735"/>
        <v>0</v>
      </c>
      <c r="CH3186" s="16">
        <f t="shared" si="731"/>
        <v>0</v>
      </c>
      <c r="CJ3186" s="16" t="e">
        <f t="shared" si="736"/>
        <v>#N/A</v>
      </c>
      <c r="CK3186" s="16" t="str">
        <f t="shared" si="737"/>
        <v/>
      </c>
    </row>
    <row r="3187" spans="73:89" ht="12" customHeight="1">
      <c r="BU3187" s="16">
        <f t="shared" si="738"/>
        <v>0</v>
      </c>
      <c r="BV3187" s="16">
        <f>IF($BY$12=1,NORMDIST(BY3187,$Y$6,$Y$8,TRUE),IF($BY$12=2,IF(BY3187&lt;=$BX$31,0,IF(BY3187&gt;=$BX$32,1,(BY3187-$BX$31)*$BX$33)),SUM($BU$42:BU3187)/$BV$40))</f>
        <v>1</v>
      </c>
      <c r="BW3187" s="16">
        <f t="shared" si="729"/>
        <v>6.5813132214590426E-38</v>
      </c>
      <c r="BY3187" s="16">
        <f t="shared" si="730"/>
        <v>314.50000000000301</v>
      </c>
      <c r="BZ3187" s="16">
        <f t="shared" si="732"/>
        <v>2.0926274154082606E-40</v>
      </c>
      <c r="CA3187" s="16">
        <f t="shared" si="739"/>
        <v>-999</v>
      </c>
      <c r="CE3187" s="16" t="e">
        <f t="shared" si="733"/>
        <v>#N/A</v>
      </c>
      <c r="CF3187" s="16">
        <f t="shared" si="734"/>
        <v>99</v>
      </c>
      <c r="CG3187" s="16">
        <f t="shared" si="735"/>
        <v>0</v>
      </c>
      <c r="CH3187" s="16">
        <f t="shared" si="731"/>
        <v>0</v>
      </c>
      <c r="CJ3187" s="16" t="e">
        <f t="shared" si="736"/>
        <v>#N/A</v>
      </c>
      <c r="CK3187" s="16" t="str">
        <f t="shared" si="737"/>
        <v/>
      </c>
    </row>
    <row r="3188" spans="73:89" ht="12" customHeight="1">
      <c r="BU3188" s="16">
        <f t="shared" si="738"/>
        <v>0</v>
      </c>
      <c r="BV3188" s="16">
        <f>IF($BY$12=1,NORMDIST(BY3188,$Y$6,$Y$8,TRUE),IF($BY$12=2,IF(BY3188&lt;=$BX$31,0,IF(BY3188&gt;=$BX$32,1,(BY3188-$BX$31)*$BX$33)),SUM($BU$42:BU3188)/$BV$40))</f>
        <v>1</v>
      </c>
      <c r="BW3188" s="16">
        <f t="shared" si="729"/>
        <v>6.1620820627520418E-38</v>
      </c>
      <c r="BY3188" s="16">
        <f t="shared" si="730"/>
        <v>314.60000000000304</v>
      </c>
      <c r="BZ3188" s="16">
        <f t="shared" si="732"/>
        <v>1.958703770741253E-40</v>
      </c>
      <c r="CA3188" s="16">
        <f t="shared" si="739"/>
        <v>-999</v>
      </c>
      <c r="CE3188" s="16" t="e">
        <f t="shared" si="733"/>
        <v>#N/A</v>
      </c>
      <c r="CF3188" s="16">
        <f t="shared" si="734"/>
        <v>99</v>
      </c>
      <c r="CG3188" s="16">
        <f t="shared" si="735"/>
        <v>0</v>
      </c>
      <c r="CH3188" s="16">
        <f t="shared" si="731"/>
        <v>0</v>
      </c>
      <c r="CJ3188" s="16" t="e">
        <f t="shared" si="736"/>
        <v>#N/A</v>
      </c>
      <c r="CK3188" s="16" t="str">
        <f t="shared" si="737"/>
        <v/>
      </c>
    </row>
    <row r="3189" spans="73:89" ht="12" customHeight="1">
      <c r="BU3189" s="16">
        <f t="shared" si="738"/>
        <v>0</v>
      </c>
      <c r="BV3189" s="16">
        <f>IF($BY$12=1,NORMDIST(BY3189,$Y$6,$Y$8,TRUE),IF($BY$12=2,IF(BY3189&lt;=$BX$31,0,IF(BY3189&gt;=$BX$32,1,(BY3189-$BX$31)*$BX$33)),SUM($BU$42:BU3189)/$BV$40))</f>
        <v>1</v>
      </c>
      <c r="BW3189" s="16">
        <f t="shared" si="729"/>
        <v>5.7694112047945588E-38</v>
      </c>
      <c r="BY3189" s="16">
        <f t="shared" si="730"/>
        <v>314.70000000000306</v>
      </c>
      <c r="BZ3189" s="16">
        <f t="shared" si="732"/>
        <v>1.8333051175069916E-40</v>
      </c>
      <c r="CA3189" s="16">
        <f t="shared" si="739"/>
        <v>-999</v>
      </c>
      <c r="CE3189" s="16" t="e">
        <f t="shared" si="733"/>
        <v>#N/A</v>
      </c>
      <c r="CF3189" s="16">
        <f t="shared" si="734"/>
        <v>99</v>
      </c>
      <c r="CG3189" s="16">
        <f t="shared" si="735"/>
        <v>0</v>
      </c>
      <c r="CH3189" s="16">
        <f t="shared" si="731"/>
        <v>0</v>
      </c>
      <c r="CJ3189" s="16" t="e">
        <f t="shared" si="736"/>
        <v>#N/A</v>
      </c>
      <c r="CK3189" s="16" t="str">
        <f t="shared" si="737"/>
        <v/>
      </c>
    </row>
    <row r="3190" spans="73:89" ht="12" customHeight="1">
      <c r="BU3190" s="16">
        <f t="shared" si="738"/>
        <v>0</v>
      </c>
      <c r="BV3190" s="16">
        <f>IF($BY$12=1,NORMDIST(BY3190,$Y$6,$Y$8,TRUE),IF($BY$12=2,IF(BY3190&lt;=$BX$31,0,IF(BY3190&gt;=$BX$32,1,(BY3190-$BX$31)*$BX$33)),SUM($BU$42:BU3190)/$BV$40))</f>
        <v>1</v>
      </c>
      <c r="BW3190" s="16">
        <f t="shared" si="729"/>
        <v>5.4016272110436158E-38</v>
      </c>
      <c r="BY3190" s="16">
        <f t="shared" si="730"/>
        <v>314.80000000000308</v>
      </c>
      <c r="BZ3190" s="16">
        <f t="shared" si="732"/>
        <v>1.715891744295922E-40</v>
      </c>
      <c r="CA3190" s="16">
        <f t="shared" si="739"/>
        <v>-999</v>
      </c>
      <c r="CE3190" s="16" t="e">
        <f t="shared" si="733"/>
        <v>#N/A</v>
      </c>
      <c r="CF3190" s="16">
        <f t="shared" si="734"/>
        <v>99</v>
      </c>
      <c r="CG3190" s="16">
        <f t="shared" si="735"/>
        <v>0</v>
      </c>
      <c r="CH3190" s="16">
        <f t="shared" si="731"/>
        <v>0</v>
      </c>
      <c r="CJ3190" s="16" t="e">
        <f t="shared" si="736"/>
        <v>#N/A</v>
      </c>
      <c r="CK3190" s="16" t="str">
        <f t="shared" si="737"/>
        <v/>
      </c>
    </row>
    <row r="3191" spans="73:89" ht="12" customHeight="1">
      <c r="BU3191" s="16">
        <f t="shared" si="738"/>
        <v>0</v>
      </c>
      <c r="BV3191" s="16">
        <f>IF($BY$12=1,NORMDIST(BY3191,$Y$6,$Y$8,TRUE),IF($BY$12=2,IF(BY3191&lt;=$BX$31,0,IF(BY3191&gt;=$BX$32,1,(BY3191-$BX$31)*$BX$33)),SUM($BU$42:BU3191)/$BV$40))</f>
        <v>1</v>
      </c>
      <c r="BW3191" s="16">
        <f t="shared" si="729"/>
        <v>5.0571614878714895E-38</v>
      </c>
      <c r="BY3191" s="16">
        <f t="shared" si="730"/>
        <v>314.9000000000031</v>
      </c>
      <c r="BZ3191" s="16">
        <f t="shared" si="732"/>
        <v>1.6059579192986472E-40</v>
      </c>
      <c r="CA3191" s="16">
        <f t="shared" si="739"/>
        <v>-999</v>
      </c>
      <c r="CE3191" s="16" t="e">
        <f t="shared" si="733"/>
        <v>#N/A</v>
      </c>
      <c r="CF3191" s="16">
        <f t="shared" si="734"/>
        <v>99</v>
      </c>
      <c r="CG3191" s="16">
        <f t="shared" si="735"/>
        <v>0</v>
      </c>
      <c r="CH3191" s="16">
        <f t="shared" si="731"/>
        <v>0</v>
      </c>
      <c r="CJ3191" s="16" t="e">
        <f t="shared" si="736"/>
        <v>#N/A</v>
      </c>
      <c r="CK3191" s="16" t="str">
        <f t="shared" si="737"/>
        <v/>
      </c>
    </row>
    <row r="3192" spans="73:89" ht="12" customHeight="1">
      <c r="BU3192" s="16">
        <f t="shared" si="738"/>
        <v>0</v>
      </c>
      <c r="BV3192" s="16">
        <f>IF($BY$12=1,NORMDIST(BY3192,$Y$6,$Y$8,TRUE),IF($BY$12=2,IF(BY3192&lt;=$BX$31,0,IF(BY3192&gt;=$BX$32,1,(BY3192-$BX$31)*$BX$33)),SUM($BU$42:BU3192)/$BV$40))</f>
        <v>1</v>
      </c>
      <c r="BW3192" s="16">
        <f t="shared" si="729"/>
        <v>4.7345437535973223E-38</v>
      </c>
      <c r="BY3192" s="16">
        <f t="shared" si="730"/>
        <v>315.00000000000313</v>
      </c>
      <c r="BZ3192" s="16">
        <f t="shared" si="732"/>
        <v>1.503029763046754E-40</v>
      </c>
      <c r="CA3192" s="16">
        <f t="shared" si="739"/>
        <v>-999</v>
      </c>
      <c r="CE3192" s="16" t="e">
        <f t="shared" si="733"/>
        <v>#N/A</v>
      </c>
      <c r="CF3192" s="16">
        <f t="shared" si="734"/>
        <v>99</v>
      </c>
      <c r="CG3192" s="16">
        <f t="shared" si="735"/>
        <v>0</v>
      </c>
      <c r="CH3192" s="16">
        <f t="shared" si="731"/>
        <v>0</v>
      </c>
      <c r="CJ3192" s="16" t="e">
        <f t="shared" si="736"/>
        <v>#N/A</v>
      </c>
      <c r="CK3192" s="16" t="str">
        <f t="shared" si="737"/>
        <v/>
      </c>
    </row>
    <row r="3193" spans="73:89" ht="12" customHeight="1">
      <c r="BU3193" s="16">
        <f t="shared" si="738"/>
        <v>0</v>
      </c>
      <c r="BV3193" s="16">
        <f>IF($BY$12=1,NORMDIST(BY3193,$Y$6,$Y$8,TRUE),IF($BY$12=2,IF(BY3193&lt;=$BX$31,0,IF(BY3193&gt;=$BX$32,1,(BY3193-$BX$31)*$BX$33)),SUM($BU$42:BU3193)/$BV$40))</f>
        <v>1</v>
      </c>
      <c r="BW3193" s="16">
        <f t="shared" si="729"/>
        <v>4.432395911982501E-38</v>
      </c>
      <c r="BY3193" s="16">
        <f t="shared" si="730"/>
        <v>315.10000000000315</v>
      </c>
      <c r="BZ3193" s="16">
        <f t="shared" si="732"/>
        <v>1.4066632535647276E-40</v>
      </c>
      <c r="CA3193" s="16">
        <f t="shared" si="739"/>
        <v>-999</v>
      </c>
      <c r="CE3193" s="16" t="e">
        <f t="shared" si="733"/>
        <v>#N/A</v>
      </c>
      <c r="CF3193" s="16">
        <f t="shared" si="734"/>
        <v>99</v>
      </c>
      <c r="CG3193" s="16">
        <f t="shared" si="735"/>
        <v>0</v>
      </c>
      <c r="CH3193" s="16">
        <f t="shared" si="731"/>
        <v>0</v>
      </c>
      <c r="CJ3193" s="16" t="e">
        <f t="shared" si="736"/>
        <v>#N/A</v>
      </c>
      <c r="CK3193" s="16" t="str">
        <f t="shared" si="737"/>
        <v/>
      </c>
    </row>
    <row r="3194" spans="73:89" ht="12" customHeight="1">
      <c r="BU3194" s="16">
        <f t="shared" si="738"/>
        <v>0</v>
      </c>
      <c r="BV3194" s="16">
        <f>IF($BY$12=1,NORMDIST(BY3194,$Y$6,$Y$8,TRUE),IF($BY$12=2,IF(BY3194&lt;=$BX$31,0,IF(BY3194&gt;=$BX$32,1,(BY3194-$BX$31)*$BX$33)),SUM($BU$42:BU3194)/$BV$40))</f>
        <v>1</v>
      </c>
      <c r="BW3194" s="16">
        <f t="shared" si="729"/>
        <v>4.1494263052868643E-38</v>
      </c>
      <c r="BY3194" s="16">
        <f t="shared" si="730"/>
        <v>315.20000000000317</v>
      </c>
      <c r="BZ3194" s="16">
        <f t="shared" si="732"/>
        <v>1.3164423557382052E-40</v>
      </c>
      <c r="CA3194" s="16">
        <f t="shared" si="739"/>
        <v>-999</v>
      </c>
      <c r="CE3194" s="16" t="e">
        <f t="shared" si="733"/>
        <v>#N/A</v>
      </c>
      <c r="CF3194" s="16">
        <f t="shared" si="734"/>
        <v>99</v>
      </c>
      <c r="CG3194" s="16">
        <f t="shared" si="735"/>
        <v>0</v>
      </c>
      <c r="CH3194" s="16">
        <f t="shared" si="731"/>
        <v>0</v>
      </c>
      <c r="CJ3194" s="16" t="e">
        <f t="shared" si="736"/>
        <v>#N/A</v>
      </c>
      <c r="CK3194" s="16" t="str">
        <f t="shared" si="737"/>
        <v/>
      </c>
    </row>
    <row r="3195" spans="73:89" ht="12" customHeight="1">
      <c r="BU3195" s="16">
        <f t="shared" si="738"/>
        <v>0</v>
      </c>
      <c r="BV3195" s="16">
        <f>IF($BY$12=1,NORMDIST(BY3195,$Y$6,$Y$8,TRUE),IF($BY$12=2,IF(BY3195&lt;=$BX$31,0,IF(BY3195&gt;=$BX$32,1,(BY3195-$BX$31)*$BX$33)),SUM($BU$42:BU3195)/$BV$40))</f>
        <v>1</v>
      </c>
      <c r="BW3195" s="16">
        <f t="shared" ref="BW3195:BW3258" si="740">BY3195*BZ3195</f>
        <v>3.8844243235127344E-38</v>
      </c>
      <c r="BY3195" s="16">
        <f t="shared" ref="BY3195:BY3258" si="741">BY3194+$BZ$1</f>
        <v>315.30000000000319</v>
      </c>
      <c r="BZ3195" s="16">
        <f t="shared" si="732"/>
        <v>1.231977267209862E-40</v>
      </c>
      <c r="CA3195" s="16">
        <f t="shared" si="739"/>
        <v>-999</v>
      </c>
      <c r="CE3195" s="16" t="e">
        <f t="shared" si="733"/>
        <v>#N/A</v>
      </c>
      <c r="CF3195" s="16">
        <f t="shared" si="734"/>
        <v>99</v>
      </c>
      <c r="CG3195" s="16">
        <f t="shared" si="735"/>
        <v>0</v>
      </c>
      <c r="CH3195" s="16">
        <f t="shared" si="731"/>
        <v>0</v>
      </c>
      <c r="CJ3195" s="16" t="e">
        <f t="shared" si="736"/>
        <v>#N/A</v>
      </c>
      <c r="CK3195" s="16" t="str">
        <f t="shared" si="737"/>
        <v/>
      </c>
    </row>
    <row r="3196" spans="73:89" ht="12" customHeight="1">
      <c r="BU3196" s="16">
        <f t="shared" si="738"/>
        <v>0</v>
      </c>
      <c r="BV3196" s="16">
        <f>IF($BY$12=1,NORMDIST(BY3196,$Y$6,$Y$8,TRUE),IF($BY$12=2,IF(BY3196&lt;=$BX$31,0,IF(BY3196&gt;=$BX$32,1,(BY3196-$BX$31)*$BX$33)),SUM($BU$42:BU3196)/$BV$40))</f>
        <v>1</v>
      </c>
      <c r="BW3196" s="16">
        <f t="shared" si="740"/>
        <v>3.6362553478899233E-38</v>
      </c>
      <c r="BY3196" s="16">
        <f t="shared" si="741"/>
        <v>315.40000000000322</v>
      </c>
      <c r="BZ3196" s="16">
        <f t="shared" si="732"/>
        <v>1.1529027735858865E-40</v>
      </c>
      <c r="CA3196" s="16">
        <f t="shared" si="739"/>
        <v>-999</v>
      </c>
      <c r="CE3196" s="16" t="e">
        <f t="shared" si="733"/>
        <v>#N/A</v>
      </c>
      <c r="CF3196" s="16">
        <f t="shared" si="734"/>
        <v>99</v>
      </c>
      <c r="CG3196" s="16">
        <f t="shared" si="735"/>
        <v>0</v>
      </c>
      <c r="CH3196" s="16">
        <f t="shared" si="731"/>
        <v>0</v>
      </c>
      <c r="CJ3196" s="16" t="e">
        <f t="shared" si="736"/>
        <v>#N/A</v>
      </c>
      <c r="CK3196" s="16" t="str">
        <f t="shared" si="737"/>
        <v/>
      </c>
    </row>
    <row r="3197" spans="73:89" ht="12" customHeight="1">
      <c r="BU3197" s="16">
        <f t="shared" si="738"/>
        <v>0</v>
      </c>
      <c r="BV3197" s="16">
        <f>IF($BY$12=1,NORMDIST(BY3197,$Y$6,$Y$8,TRUE),IF($BY$12=2,IF(BY3197&lt;=$BX$31,0,IF(BY3197&gt;=$BX$32,1,(BY3197-$BX$31)*$BX$33)),SUM($BU$42:BU3197)/$BV$40))</f>
        <v>1</v>
      </c>
      <c r="BW3197" s="16">
        <f t="shared" si="740"/>
        <v>3.4038560080011559E-38</v>
      </c>
      <c r="BY3197" s="16">
        <f t="shared" si="741"/>
        <v>315.50000000000324</v>
      </c>
      <c r="BZ3197" s="16">
        <f t="shared" si="732"/>
        <v>1.0788767061810208E-40</v>
      </c>
      <c r="CA3197" s="16">
        <f t="shared" si="739"/>
        <v>-999</v>
      </c>
      <c r="CE3197" s="16" t="e">
        <f t="shared" si="733"/>
        <v>#N/A</v>
      </c>
      <c r="CF3197" s="16">
        <f t="shared" si="734"/>
        <v>99</v>
      </c>
      <c r="CG3197" s="16">
        <f t="shared" si="735"/>
        <v>0</v>
      </c>
      <c r="CH3197" s="16">
        <f t="shared" si="731"/>
        <v>0</v>
      </c>
      <c r="CJ3197" s="16" t="e">
        <f t="shared" si="736"/>
        <v>#N/A</v>
      </c>
      <c r="CK3197" s="16" t="str">
        <f t="shared" si="737"/>
        <v/>
      </c>
    </row>
    <row r="3198" spans="73:89" ht="12" customHeight="1">
      <c r="BU3198" s="16">
        <f t="shared" si="738"/>
        <v>0</v>
      </c>
      <c r="BV3198" s="16">
        <f>IF($BY$12=1,NORMDIST(BY3198,$Y$6,$Y$8,TRUE),IF($BY$12=2,IF(BY3198&lt;=$BX$31,0,IF(BY3198&gt;=$BX$32,1,(BY3198-$BX$31)*$BX$33)),SUM($BU$42:BU3198)/$BV$40))</f>
        <v>1</v>
      </c>
      <c r="BW3198" s="16">
        <f t="shared" si="740"/>
        <v>3.1862297332090277E-38</v>
      </c>
      <c r="BY3198" s="16">
        <f t="shared" si="741"/>
        <v>315.60000000000326</v>
      </c>
      <c r="BZ3198" s="16">
        <f t="shared" si="732"/>
        <v>1.0095784959470833E-40</v>
      </c>
      <c r="CA3198" s="16">
        <f t="shared" si="739"/>
        <v>-999</v>
      </c>
      <c r="CE3198" s="16" t="e">
        <f t="shared" si="733"/>
        <v>#N/A</v>
      </c>
      <c r="CF3198" s="16">
        <f t="shared" si="734"/>
        <v>99</v>
      </c>
      <c r="CG3198" s="16">
        <f t="shared" si="735"/>
        <v>0</v>
      </c>
      <c r="CH3198" s="16">
        <f t="shared" si="731"/>
        <v>0</v>
      </c>
      <c r="CJ3198" s="16" t="e">
        <f t="shared" si="736"/>
        <v>#N/A</v>
      </c>
      <c r="CK3198" s="16" t="str">
        <f t="shared" si="737"/>
        <v/>
      </c>
    </row>
    <row r="3199" spans="73:89" ht="12" customHeight="1">
      <c r="BU3199" s="16">
        <f t="shared" si="738"/>
        <v>0</v>
      </c>
      <c r="BV3199" s="16">
        <f>IF($BY$12=1,NORMDIST(BY3199,$Y$6,$Y$8,TRUE),IF($BY$12=2,IF(BY3199&lt;=$BX$31,0,IF(BY3199&gt;=$BX$32,1,(BY3199-$BX$31)*$BX$33)),SUM($BU$42:BU3199)/$BV$40))</f>
        <v>1</v>
      </c>
      <c r="BW3199" s="16">
        <f t="shared" si="740"/>
        <v>2.9824425802306621E-38</v>
      </c>
      <c r="BY3199" s="16">
        <f t="shared" si="741"/>
        <v>315.70000000000329</v>
      </c>
      <c r="BZ3199" s="16">
        <f t="shared" si="732"/>
        <v>9.4470781762135925E-41</v>
      </c>
      <c r="CA3199" s="16">
        <f t="shared" si="739"/>
        <v>-999</v>
      </c>
      <c r="CE3199" s="16" t="e">
        <f t="shared" si="733"/>
        <v>#N/A</v>
      </c>
      <c r="CF3199" s="16">
        <f t="shared" si="734"/>
        <v>99</v>
      </c>
      <c r="CG3199" s="16">
        <f t="shared" si="735"/>
        <v>0</v>
      </c>
      <c r="CH3199" s="16">
        <f t="shared" si="731"/>
        <v>0</v>
      </c>
      <c r="CJ3199" s="16" t="e">
        <f t="shared" si="736"/>
        <v>#N/A</v>
      </c>
      <c r="CK3199" s="16" t="str">
        <f t="shared" si="737"/>
        <v/>
      </c>
    </row>
    <row r="3200" spans="73:89" ht="12" customHeight="1">
      <c r="BU3200" s="16">
        <f t="shared" si="738"/>
        <v>0</v>
      </c>
      <c r="BV3200" s="16">
        <f>IF($BY$12=1,NORMDIST(BY3200,$Y$6,$Y$8,TRUE),IF($BY$12=2,IF(BY3200&lt;=$BX$31,0,IF(BY3200&gt;=$BX$32,1,(BY3200-$BX$31)*$BX$33)),SUM($BU$42:BU3200)/$BV$40))</f>
        <v>1</v>
      </c>
      <c r="BW3200" s="16">
        <f t="shared" si="740"/>
        <v>2.7916193198191712E-38</v>
      </c>
      <c r="BY3200" s="16">
        <f t="shared" si="741"/>
        <v>315.80000000000331</v>
      </c>
      <c r="BZ3200" s="16">
        <f t="shared" si="732"/>
        <v>8.8398331849877833E-41</v>
      </c>
      <c r="CA3200" s="16">
        <f t="shared" si="739"/>
        <v>-999</v>
      </c>
      <c r="CE3200" s="16" t="e">
        <f t="shared" si="733"/>
        <v>#N/A</v>
      </c>
      <c r="CF3200" s="16">
        <f t="shared" si="734"/>
        <v>99</v>
      </c>
      <c r="CG3200" s="16">
        <f t="shared" si="735"/>
        <v>0</v>
      </c>
      <c r="CH3200" s="16">
        <f t="shared" si="731"/>
        <v>0</v>
      </c>
      <c r="CJ3200" s="16" t="e">
        <f t="shared" si="736"/>
        <v>#N/A</v>
      </c>
      <c r="CK3200" s="16" t="str">
        <f t="shared" si="737"/>
        <v/>
      </c>
    </row>
    <row r="3201" spans="73:89" ht="12" customHeight="1">
      <c r="BU3201" s="16">
        <f t="shared" si="738"/>
        <v>0</v>
      </c>
      <c r="BV3201" s="16">
        <f>IF($BY$12=1,NORMDIST(BY3201,$Y$6,$Y$8,TRUE),IF($BY$12=2,IF(BY3201&lt;=$BX$31,0,IF(BY3201&gt;=$BX$32,1,(BY3201-$BX$31)*$BX$33)),SUM($BU$42:BU3201)/$BV$40))</f>
        <v>1</v>
      </c>
      <c r="BW3201" s="16">
        <f t="shared" si="740"/>
        <v>2.6129397665562364E-38</v>
      </c>
      <c r="BY3201" s="16">
        <f t="shared" si="741"/>
        <v>315.90000000000333</v>
      </c>
      <c r="BZ3201" s="16">
        <f t="shared" si="732"/>
        <v>8.2714142657683084E-41</v>
      </c>
      <c r="CA3201" s="16">
        <f t="shared" si="739"/>
        <v>-999</v>
      </c>
      <c r="CE3201" s="16" t="e">
        <f t="shared" si="733"/>
        <v>#N/A</v>
      </c>
      <c r="CF3201" s="16">
        <f t="shared" si="734"/>
        <v>99</v>
      </c>
      <c r="CG3201" s="16">
        <f t="shared" si="735"/>
        <v>0</v>
      </c>
      <c r="CH3201" s="16">
        <f t="shared" si="731"/>
        <v>0</v>
      </c>
      <c r="CJ3201" s="16" t="e">
        <f t="shared" si="736"/>
        <v>#N/A</v>
      </c>
      <c r="CK3201" s="16" t="str">
        <f t="shared" si="737"/>
        <v/>
      </c>
    </row>
    <row r="3202" spans="73:89" ht="12" customHeight="1">
      <c r="BU3202" s="16">
        <f t="shared" si="738"/>
        <v>0</v>
      </c>
      <c r="BV3202" s="16">
        <f>IF($BY$12=1,NORMDIST(BY3202,$Y$6,$Y$8,TRUE),IF($BY$12=2,IF(BY3202&lt;=$BX$31,0,IF(BY3202&gt;=$BX$32,1,(BY3202-$BX$31)*$BX$33)),SUM($BU$42:BU3202)/$BV$40))</f>
        <v>1</v>
      </c>
      <c r="BW3202" s="16">
        <f t="shared" si="740"/>
        <v>2.4456353367425753E-38</v>
      </c>
      <c r="BY3202" s="16">
        <f t="shared" si="741"/>
        <v>316.00000000000335</v>
      </c>
      <c r="BZ3202" s="16">
        <f t="shared" si="732"/>
        <v>7.739352331463763E-41</v>
      </c>
      <c r="CA3202" s="16">
        <f t="shared" si="739"/>
        <v>-999</v>
      </c>
      <c r="CE3202" s="16" t="e">
        <f t="shared" si="733"/>
        <v>#N/A</v>
      </c>
      <c r="CF3202" s="16">
        <f t="shared" si="734"/>
        <v>99</v>
      </c>
      <c r="CG3202" s="16">
        <f t="shared" si="735"/>
        <v>0</v>
      </c>
      <c r="CH3202" s="16">
        <f t="shared" si="731"/>
        <v>0</v>
      </c>
      <c r="CJ3202" s="16" t="e">
        <f t="shared" si="736"/>
        <v>#N/A</v>
      </c>
      <c r="CK3202" s="16" t="str">
        <f t="shared" si="737"/>
        <v/>
      </c>
    </row>
    <row r="3203" spans="73:89" ht="12" customHeight="1">
      <c r="BU3203" s="16">
        <f t="shared" si="738"/>
        <v>0</v>
      </c>
      <c r="BV3203" s="16">
        <f>IF($BY$12=1,NORMDIST(BY3203,$Y$6,$Y$8,TRUE),IF($BY$12=2,IF(BY3203&lt;=$BX$31,0,IF(BY3203&gt;=$BX$32,1,(BY3203-$BX$31)*$BX$33)),SUM($BU$42:BU3203)/$BV$40))</f>
        <v>1</v>
      </c>
      <c r="BW3203" s="16">
        <f t="shared" si="740"/>
        <v>2.2889858202931816E-38</v>
      </c>
      <c r="BY3203" s="16">
        <f t="shared" si="741"/>
        <v>316.10000000000338</v>
      </c>
      <c r="BZ3203" s="16">
        <f t="shared" si="732"/>
        <v>7.241334452050481E-41</v>
      </c>
      <c r="CA3203" s="16">
        <f t="shared" si="739"/>
        <v>-999</v>
      </c>
      <c r="CE3203" s="16" t="e">
        <f t="shared" si="733"/>
        <v>#N/A</v>
      </c>
      <c r="CF3203" s="16">
        <f t="shared" si="734"/>
        <v>99</v>
      </c>
      <c r="CG3203" s="16">
        <f t="shared" si="735"/>
        <v>0</v>
      </c>
      <c r="CH3203" s="16">
        <f t="shared" ref="CH3203:CH3266" si="742">IF(CB3203="",0,1)</f>
        <v>0</v>
      </c>
      <c r="CJ3203" s="16" t="e">
        <f t="shared" si="736"/>
        <v>#N/A</v>
      </c>
      <c r="CK3203" s="16" t="str">
        <f t="shared" si="737"/>
        <v/>
      </c>
    </row>
    <row r="3204" spans="73:89" ht="12" customHeight="1">
      <c r="BU3204" s="16">
        <f t="shared" si="738"/>
        <v>0</v>
      </c>
      <c r="BV3204" s="16">
        <f>IF($BY$12=1,NORMDIST(BY3204,$Y$6,$Y$8,TRUE),IF($BY$12=2,IF(BY3204&lt;=$BX$31,0,IF(BY3204&gt;=$BX$32,1,(BY3204-$BX$31)*$BX$33)),SUM($BU$42:BU3204)/$BV$40))</f>
        <v>1</v>
      </c>
      <c r="BW3204" s="16">
        <f t="shared" si="740"/>
        <v>2.142316353410484E-38</v>
      </c>
      <c r="BY3204" s="16">
        <f t="shared" si="741"/>
        <v>316.2000000000034</v>
      </c>
      <c r="BZ3204" s="16">
        <f t="shared" si="732"/>
        <v>6.7751940335561702E-41</v>
      </c>
      <c r="CA3204" s="16">
        <f t="shared" si="739"/>
        <v>-999</v>
      </c>
      <c r="CE3204" s="16" t="e">
        <f t="shared" si="733"/>
        <v>#N/A</v>
      </c>
      <c r="CF3204" s="16">
        <f t="shared" si="734"/>
        <v>99</v>
      </c>
      <c r="CG3204" s="16">
        <f t="shared" si="735"/>
        <v>0</v>
      </c>
      <c r="CH3204" s="16">
        <f t="shared" si="742"/>
        <v>0</v>
      </c>
      <c r="CJ3204" s="16" t="e">
        <f t="shared" si="736"/>
        <v>#N/A</v>
      </c>
      <c r="CK3204" s="16" t="str">
        <f t="shared" si="737"/>
        <v/>
      </c>
    </row>
    <row r="3205" spans="73:89" ht="12" customHeight="1">
      <c r="BU3205" s="16">
        <f t="shared" si="738"/>
        <v>0</v>
      </c>
      <c r="BV3205" s="16">
        <f>IF($BY$12=1,NORMDIST(BY3205,$Y$6,$Y$8,TRUE),IF($BY$12=2,IF(BY3205&lt;=$BX$31,0,IF(BY3205&gt;=$BX$32,1,(BY3205-$BX$31)*$BX$33)),SUM($BU$42:BU3205)/$BV$40))</f>
        <v>1</v>
      </c>
      <c r="BW3205" s="16">
        <f t="shared" si="740"/>
        <v>2.0049945796219001E-38</v>
      </c>
      <c r="BY3205" s="16">
        <f t="shared" si="741"/>
        <v>316.30000000000342</v>
      </c>
      <c r="BZ3205" s="16">
        <f t="shared" si="732"/>
        <v>6.3389016111978447E-41</v>
      </c>
      <c r="CA3205" s="16">
        <f t="shared" si="739"/>
        <v>-999</v>
      </c>
      <c r="CE3205" s="16" t="e">
        <f t="shared" si="733"/>
        <v>#N/A</v>
      </c>
      <c r="CF3205" s="16">
        <f t="shared" si="734"/>
        <v>99</v>
      </c>
      <c r="CG3205" s="16">
        <f t="shared" si="735"/>
        <v>0</v>
      </c>
      <c r="CH3205" s="16">
        <f t="shared" si="742"/>
        <v>0</v>
      </c>
      <c r="CJ3205" s="16" t="e">
        <f t="shared" si="736"/>
        <v>#N/A</v>
      </c>
      <c r="CK3205" s="16" t="str">
        <f t="shared" si="737"/>
        <v/>
      </c>
    </row>
    <row r="3206" spans="73:89" ht="12" customHeight="1">
      <c r="BU3206" s="16">
        <f t="shared" si="738"/>
        <v>0</v>
      </c>
      <c r="BV3206" s="16">
        <f>IF($BY$12=1,NORMDIST(BY3206,$Y$6,$Y$8,TRUE),IF($BY$12=2,IF(BY3206&lt;=$BX$31,0,IF(BY3206&gt;=$BX$32,1,(BY3206-$BX$31)*$BX$33)),SUM($BU$42:BU3206)/$BV$40))</f>
        <v>1</v>
      </c>
      <c r="BW3206" s="16">
        <f t="shared" si="740"/>
        <v>1.8764279875293107E-38</v>
      </c>
      <c r="BY3206" s="16">
        <f t="shared" si="741"/>
        <v>316.40000000000344</v>
      </c>
      <c r="BZ3206" s="16">
        <f t="shared" si="732"/>
        <v>5.930556218487011E-41</v>
      </c>
      <c r="CA3206" s="16">
        <f t="shared" si="739"/>
        <v>-999</v>
      </c>
      <c r="CE3206" s="16" t="e">
        <f t="shared" si="733"/>
        <v>#N/A</v>
      </c>
      <c r="CF3206" s="16">
        <f t="shared" si="734"/>
        <v>99</v>
      </c>
      <c r="CG3206" s="16">
        <f t="shared" si="735"/>
        <v>0</v>
      </c>
      <c r="CH3206" s="16">
        <f t="shared" si="742"/>
        <v>0</v>
      </c>
      <c r="CJ3206" s="16" t="e">
        <f t="shared" si="736"/>
        <v>#N/A</v>
      </c>
      <c r="CK3206" s="16" t="str">
        <f t="shared" si="737"/>
        <v/>
      </c>
    </row>
    <row r="3207" spans="73:89" ht="12" customHeight="1">
      <c r="BU3207" s="16">
        <f t="shared" si="738"/>
        <v>0</v>
      </c>
      <c r="BV3207" s="16">
        <f>IF($BY$12=1,NORMDIST(BY3207,$Y$6,$Y$8,TRUE),IF($BY$12=2,IF(BY3207&lt;=$BX$31,0,IF(BY3207&gt;=$BX$32,1,(BY3207-$BX$31)*$BX$33)),SUM($BU$42:BU3207)/$BV$40))</f>
        <v>1</v>
      </c>
      <c r="BW3207" s="16">
        <f t="shared" si="740"/>
        <v>1.7560614143363659E-38</v>
      </c>
      <c r="BY3207" s="16">
        <f t="shared" si="741"/>
        <v>316.50000000000347</v>
      </c>
      <c r="BZ3207" s="16">
        <f t="shared" si="732"/>
        <v>5.548377296481348E-41</v>
      </c>
      <c r="CA3207" s="16">
        <f t="shared" si="739"/>
        <v>-999</v>
      </c>
      <c r="CE3207" s="16" t="e">
        <f t="shared" si="733"/>
        <v>#N/A</v>
      </c>
      <c r="CF3207" s="16">
        <f t="shared" si="734"/>
        <v>99</v>
      </c>
      <c r="CG3207" s="16">
        <f t="shared" si="735"/>
        <v>0</v>
      </c>
      <c r="CH3207" s="16">
        <f t="shared" si="742"/>
        <v>0</v>
      </c>
      <c r="CJ3207" s="16" t="e">
        <f t="shared" si="736"/>
        <v>#N/A</v>
      </c>
      <c r="CK3207" s="16" t="str">
        <f t="shared" si="737"/>
        <v/>
      </c>
    </row>
    <row r="3208" spans="73:89" ht="12" customHeight="1">
      <c r="BU3208" s="16">
        <f t="shared" si="738"/>
        <v>0</v>
      </c>
      <c r="BV3208" s="16">
        <f>IF($BY$12=1,NORMDIST(BY3208,$Y$6,$Y$8,TRUE),IF($BY$12=2,IF(BY3208&lt;=$BX$31,0,IF(BY3208&gt;=$BX$32,1,(BY3208-$BX$31)*$BX$33)),SUM($BU$42:BU3208)/$BV$40))</f>
        <v>1</v>
      </c>
      <c r="BW3208" s="16">
        <f t="shared" si="740"/>
        <v>1.6433747048910241E-38</v>
      </c>
      <c r="BY3208" s="16">
        <f t="shared" si="741"/>
        <v>316.60000000000349</v>
      </c>
      <c r="BZ3208" s="16">
        <f t="shared" si="732"/>
        <v>5.1906971095736132E-41</v>
      </c>
      <c r="CA3208" s="16">
        <f t="shared" si="739"/>
        <v>-999</v>
      </c>
      <c r="CE3208" s="16" t="e">
        <f t="shared" si="733"/>
        <v>#N/A</v>
      </c>
      <c r="CF3208" s="16">
        <f t="shared" si="734"/>
        <v>99</v>
      </c>
      <c r="CG3208" s="16">
        <f t="shared" si="735"/>
        <v>0</v>
      </c>
      <c r="CH3208" s="16">
        <f t="shared" si="742"/>
        <v>0</v>
      </c>
      <c r="CJ3208" s="16" t="e">
        <f t="shared" si="736"/>
        <v>#N/A</v>
      </c>
      <c r="CK3208" s="16" t="str">
        <f t="shared" si="737"/>
        <v/>
      </c>
    </row>
    <row r="3209" spans="73:89" ht="12" customHeight="1">
      <c r="BU3209" s="16">
        <f t="shared" si="738"/>
        <v>0</v>
      </c>
      <c r="BV3209" s="16">
        <f>IF($BY$12=1,NORMDIST(BY3209,$Y$6,$Y$8,TRUE),IF($BY$12=2,IF(BY3209&lt;=$BX$31,0,IF(BY3209&gt;=$BX$32,1,(BY3209-$BX$31)*$BX$33)),SUM($BU$42:BU3209)/$BV$40))</f>
        <v>1</v>
      </c>
      <c r="BW3209" s="16">
        <f t="shared" si="740"/>
        <v>1.5378805166122493E-38</v>
      </c>
      <c r="BY3209" s="16">
        <f t="shared" si="741"/>
        <v>316.70000000000351</v>
      </c>
      <c r="BZ3209" s="16">
        <f t="shared" si="732"/>
        <v>4.8559536362874399E-41</v>
      </c>
      <c r="CA3209" s="16">
        <f t="shared" si="739"/>
        <v>-999</v>
      </c>
      <c r="CE3209" s="16" t="e">
        <f t="shared" si="733"/>
        <v>#N/A</v>
      </c>
      <c r="CF3209" s="16">
        <f t="shared" si="734"/>
        <v>99</v>
      </c>
      <c r="CG3209" s="16">
        <f t="shared" si="735"/>
        <v>0</v>
      </c>
      <c r="CH3209" s="16">
        <f t="shared" si="742"/>
        <v>0</v>
      </c>
      <c r="CJ3209" s="16" t="e">
        <f t="shared" si="736"/>
        <v>#N/A</v>
      </c>
      <c r="CK3209" s="16" t="str">
        <f t="shared" si="737"/>
        <v/>
      </c>
    </row>
    <row r="3210" spans="73:89" ht="12" customHeight="1">
      <c r="BU3210" s="16">
        <f t="shared" si="738"/>
        <v>0</v>
      </c>
      <c r="BV3210" s="16">
        <f>IF($BY$12=1,NORMDIST(BY3210,$Y$6,$Y$8,TRUE),IF($BY$12=2,IF(BY3210&lt;=$BX$31,0,IF(BY3210&gt;=$BX$32,1,(BY3210-$BX$31)*$BX$33)),SUM($BU$42:BU3210)/$BV$40))</f>
        <v>1</v>
      </c>
      <c r="BW3210" s="16">
        <f t="shared" si="740"/>
        <v>1.4391222612632771E-38</v>
      </c>
      <c r="BY3210" s="16">
        <f t="shared" si="741"/>
        <v>316.80000000000354</v>
      </c>
      <c r="BZ3210" s="16">
        <f t="shared" si="732"/>
        <v>4.542683905502718E-41</v>
      </c>
      <c r="CA3210" s="16">
        <f t="shared" si="739"/>
        <v>-999</v>
      </c>
      <c r="CE3210" s="16" t="e">
        <f t="shared" si="733"/>
        <v>#N/A</v>
      </c>
      <c r="CF3210" s="16">
        <f t="shared" si="734"/>
        <v>99</v>
      </c>
      <c r="CG3210" s="16">
        <f t="shared" si="735"/>
        <v>0</v>
      </c>
      <c r="CH3210" s="16">
        <f t="shared" si="742"/>
        <v>0</v>
      </c>
      <c r="CJ3210" s="16" t="e">
        <f t="shared" si="736"/>
        <v>#N/A</v>
      </c>
      <c r="CK3210" s="16" t="str">
        <f t="shared" si="737"/>
        <v/>
      </c>
    </row>
    <row r="3211" spans="73:89" ht="12" customHeight="1">
      <c r="BU3211" s="16">
        <f t="shared" si="738"/>
        <v>0</v>
      </c>
      <c r="BV3211" s="16">
        <f>IF($BY$12=1,NORMDIST(BY3211,$Y$6,$Y$8,TRUE),IF($BY$12=2,IF(BY3211&lt;=$BX$31,0,IF(BY3211&gt;=$BX$32,1,(BY3211-$BX$31)*$BX$33)),SUM($BU$42:BU3211)/$BV$40))</f>
        <v>1</v>
      </c>
      <c r="BW3211" s="16">
        <f t="shared" si="740"/>
        <v>1.3466721750895144E-38</v>
      </c>
      <c r="BY3211" s="16">
        <f t="shared" si="741"/>
        <v>316.90000000000356</v>
      </c>
      <c r="BZ3211" s="16">
        <f t="shared" si="732"/>
        <v>4.2495177503613103E-41</v>
      </c>
      <c r="CA3211" s="16">
        <f t="shared" si="739"/>
        <v>-999</v>
      </c>
      <c r="CE3211" s="16" t="e">
        <f t="shared" si="733"/>
        <v>#N/A</v>
      </c>
      <c r="CF3211" s="16">
        <f t="shared" si="734"/>
        <v>99</v>
      </c>
      <c r="CG3211" s="16">
        <f t="shared" si="735"/>
        <v>0</v>
      </c>
      <c r="CH3211" s="16">
        <f t="shared" si="742"/>
        <v>0</v>
      </c>
      <c r="CJ3211" s="16" t="e">
        <f t="shared" si="736"/>
        <v>#N/A</v>
      </c>
      <c r="CK3211" s="16" t="str">
        <f t="shared" si="737"/>
        <v/>
      </c>
    </row>
    <row r="3212" spans="73:89" ht="12" customHeight="1">
      <c r="BU3212" s="16">
        <f t="shared" si="738"/>
        <v>0</v>
      </c>
      <c r="BV3212" s="16">
        <f>IF($BY$12=1,NORMDIST(BY3212,$Y$6,$Y$8,TRUE),IF($BY$12=2,IF(BY3212&lt;=$BX$31,0,IF(BY3212&gt;=$BX$32,1,(BY3212-$BX$31)*$BX$33)),SUM($BU$42:BU3212)/$BV$40))</f>
        <v>1</v>
      </c>
      <c r="BW3212" s="16">
        <f t="shared" si="740"/>
        <v>1.260129509362873E-38</v>
      </c>
      <c r="BY3212" s="16">
        <f t="shared" si="741"/>
        <v>317.00000000000358</v>
      </c>
      <c r="BZ3212" s="16">
        <f t="shared" si="732"/>
        <v>3.9751719538260532E-41</v>
      </c>
      <c r="CA3212" s="16">
        <f t="shared" si="739"/>
        <v>-999</v>
      </c>
      <c r="CE3212" s="16" t="e">
        <f t="shared" si="733"/>
        <v>#N/A</v>
      </c>
      <c r="CF3212" s="16">
        <f t="shared" si="734"/>
        <v>99</v>
      </c>
      <c r="CG3212" s="16">
        <f t="shared" si="735"/>
        <v>0</v>
      </c>
      <c r="CH3212" s="16">
        <f t="shared" si="742"/>
        <v>0</v>
      </c>
      <c r="CJ3212" s="16" t="e">
        <f t="shared" si="736"/>
        <v>#N/A</v>
      </c>
      <c r="CK3212" s="16" t="str">
        <f t="shared" si="737"/>
        <v/>
      </c>
    </row>
    <row r="3213" spans="73:89" ht="12" customHeight="1">
      <c r="BU3213" s="16">
        <f t="shared" si="738"/>
        <v>0</v>
      </c>
      <c r="BV3213" s="16">
        <f>IF($BY$12=1,NORMDIST(BY3213,$Y$6,$Y$8,TRUE),IF($BY$12=2,IF(BY3213&lt;=$BX$31,0,IF(BY3213&gt;=$BX$32,1,(BY3213-$BX$31)*$BX$33)),SUM($BU$42:BU3213)/$BV$40))</f>
        <v>1</v>
      </c>
      <c r="BW3213" s="16">
        <f t="shared" si="740"/>
        <v>1.1791188338634067E-38</v>
      </c>
      <c r="BY3213" s="16">
        <f t="shared" si="741"/>
        <v>317.1000000000036</v>
      </c>
      <c r="BZ3213" s="16">
        <f t="shared" si="732"/>
        <v>3.7184447614739619E-41</v>
      </c>
      <c r="CA3213" s="16">
        <f t="shared" si="739"/>
        <v>-999</v>
      </c>
      <c r="CE3213" s="16" t="e">
        <f t="shared" si="733"/>
        <v>#N/A</v>
      </c>
      <c r="CF3213" s="16">
        <f t="shared" si="734"/>
        <v>99</v>
      </c>
      <c r="CG3213" s="16">
        <f t="shared" si="735"/>
        <v>0</v>
      </c>
      <c r="CH3213" s="16">
        <f t="shared" si="742"/>
        <v>0</v>
      </c>
      <c r="CJ3213" s="16" t="e">
        <f t="shared" si="736"/>
        <v>#N/A</v>
      </c>
      <c r="CK3213" s="16" t="str">
        <f t="shared" si="737"/>
        <v/>
      </c>
    </row>
    <row r="3214" spans="73:89" ht="12" customHeight="1">
      <c r="BU3214" s="16">
        <f t="shared" si="738"/>
        <v>0</v>
      </c>
      <c r="BV3214" s="16">
        <f>IF($BY$12=1,NORMDIST(BY3214,$Y$6,$Y$8,TRUE),IF($BY$12=2,IF(BY3214&lt;=$BX$31,0,IF(BY3214&gt;=$BX$32,1,(BY3214-$BX$31)*$BX$33)),SUM($BU$42:BU3214)/$BV$40))</f>
        <v>1</v>
      </c>
      <c r="BW3214" s="16">
        <f t="shared" si="740"/>
        <v>1.1032884462910232E-38</v>
      </c>
      <c r="BY3214" s="16">
        <f t="shared" si="741"/>
        <v>317.20000000000363</v>
      </c>
      <c r="BZ3214" s="16">
        <f t="shared" si="732"/>
        <v>3.4782107386223539E-41</v>
      </c>
      <c r="CA3214" s="16">
        <f t="shared" si="739"/>
        <v>-999</v>
      </c>
      <c r="CE3214" s="16" t="e">
        <f t="shared" si="733"/>
        <v>#N/A</v>
      </c>
      <c r="CF3214" s="16">
        <f t="shared" si="734"/>
        <v>99</v>
      </c>
      <c r="CG3214" s="16">
        <f t="shared" si="735"/>
        <v>0</v>
      </c>
      <c r="CH3214" s="16">
        <f t="shared" si="742"/>
        <v>0</v>
      </c>
      <c r="CJ3214" s="16" t="e">
        <f t="shared" si="736"/>
        <v>#N/A</v>
      </c>
      <c r="CK3214" s="16" t="str">
        <f t="shared" si="737"/>
        <v/>
      </c>
    </row>
    <row r="3215" spans="73:89" ht="12" customHeight="1">
      <c r="BU3215" s="16">
        <f t="shared" si="738"/>
        <v>0</v>
      </c>
      <c r="BV3215" s="16">
        <f>IF($BY$12=1,NORMDIST(BY3215,$Y$6,$Y$8,TRUE),IF($BY$12=2,IF(BY3215&lt;=$BX$31,0,IF(BY3215&gt;=$BX$32,1,(BY3215-$BX$31)*$BX$33)),SUM($BU$42:BU3215)/$BV$40))</f>
        <v>1</v>
      </c>
      <c r="BW3215" s="16">
        <f t="shared" si="740"/>
        <v>1.0323088810311041E-38</v>
      </c>
      <c r="BY3215" s="16">
        <f t="shared" si="741"/>
        <v>317.30000000000365</v>
      </c>
      <c r="BZ3215" s="16">
        <f t="shared" si="732"/>
        <v>3.2534159503028433E-41</v>
      </c>
      <c r="CA3215" s="16">
        <f t="shared" si="739"/>
        <v>-999</v>
      </c>
      <c r="CE3215" s="16" t="e">
        <f t="shared" si="733"/>
        <v>#N/A</v>
      </c>
      <c r="CF3215" s="16">
        <f t="shared" si="734"/>
        <v>99</v>
      </c>
      <c r="CG3215" s="16">
        <f t="shared" si="735"/>
        <v>0</v>
      </c>
      <c r="CH3215" s="16">
        <f t="shared" si="742"/>
        <v>0</v>
      </c>
      <c r="CJ3215" s="16" t="e">
        <f t="shared" si="736"/>
        <v>#N/A</v>
      </c>
      <c r="CK3215" s="16" t="str">
        <f t="shared" si="737"/>
        <v/>
      </c>
    </row>
    <row r="3216" spans="73:89" ht="12" customHeight="1">
      <c r="BU3216" s="16">
        <f t="shared" si="738"/>
        <v>0</v>
      </c>
      <c r="BV3216" s="16">
        <f>IF($BY$12=1,NORMDIST(BY3216,$Y$6,$Y$8,TRUE),IF($BY$12=2,IF(BY3216&lt;=$BX$31,0,IF(BY3216&gt;=$BX$32,1,(BY3216-$BX$31)*$BX$33)),SUM($BU$42:BU3216)/$BV$40))</f>
        <v>1</v>
      </c>
      <c r="BW3216" s="16">
        <f t="shared" si="740"/>
        <v>9.6587151110482528E-39</v>
      </c>
      <c r="BY3216" s="16">
        <f t="shared" si="741"/>
        <v>317.40000000000367</v>
      </c>
      <c r="BZ3216" s="16">
        <f t="shared" si="732"/>
        <v>3.0430734439345119E-41</v>
      </c>
      <c r="CA3216" s="16">
        <f t="shared" si="739"/>
        <v>-999</v>
      </c>
      <c r="CE3216" s="16" t="e">
        <f t="shared" si="733"/>
        <v>#N/A</v>
      </c>
      <c r="CF3216" s="16">
        <f t="shared" si="734"/>
        <v>99</v>
      </c>
      <c r="CG3216" s="16">
        <f t="shared" si="735"/>
        <v>0</v>
      </c>
      <c r="CH3216" s="16">
        <f t="shared" si="742"/>
        <v>0</v>
      </c>
      <c r="CJ3216" s="16" t="e">
        <f t="shared" si="736"/>
        <v>#N/A</v>
      </c>
      <c r="CK3216" s="16" t="str">
        <f t="shared" si="737"/>
        <v/>
      </c>
    </row>
    <row r="3217" spans="73:89" ht="12" customHeight="1">
      <c r="BU3217" s="16">
        <f t="shared" si="738"/>
        <v>0</v>
      </c>
      <c r="BV3217" s="16">
        <f>IF($BY$12=1,NORMDIST(BY3217,$Y$6,$Y$8,TRUE),IF($BY$12=2,IF(BY3217&lt;=$BX$31,0,IF(BY3217&gt;=$BX$32,1,(BY3217-$BX$31)*$BX$33)),SUM($BU$42:BU3217)/$BV$40))</f>
        <v>1</v>
      </c>
      <c r="BW3217" s="16">
        <f t="shared" si="740"/>
        <v>9.0368723751419824E-39</v>
      </c>
      <c r="BY3217" s="16">
        <f t="shared" si="741"/>
        <v>317.50000000000369</v>
      </c>
      <c r="BZ3217" s="16">
        <f t="shared" si="732"/>
        <v>2.8462590157927172E-41</v>
      </c>
      <c r="CA3217" s="16">
        <f t="shared" si="739"/>
        <v>-999</v>
      </c>
      <c r="CE3217" s="16" t="e">
        <f t="shared" si="733"/>
        <v>#N/A</v>
      </c>
      <c r="CF3217" s="16">
        <f t="shared" si="734"/>
        <v>99</v>
      </c>
      <c r="CG3217" s="16">
        <f t="shared" si="735"/>
        <v>0</v>
      </c>
      <c r="CH3217" s="16">
        <f t="shared" si="742"/>
        <v>0</v>
      </c>
      <c r="CJ3217" s="16" t="e">
        <f t="shared" si="736"/>
        <v>#N/A</v>
      </c>
      <c r="CK3217" s="16" t="str">
        <f t="shared" si="737"/>
        <v/>
      </c>
    </row>
    <row r="3218" spans="73:89" ht="12" customHeight="1">
      <c r="BU3218" s="16">
        <f t="shared" si="738"/>
        <v>0</v>
      </c>
      <c r="BV3218" s="16">
        <f>IF($BY$12=1,NORMDIST(BY3218,$Y$6,$Y$8,TRUE),IF($BY$12=2,IF(BY3218&lt;=$BX$31,0,IF(BY3218&gt;=$BX$32,1,(BY3218-$BX$31)*$BX$33)),SUM($BU$42:BU3218)/$BV$40))</f>
        <v>1</v>
      </c>
      <c r="BW3218" s="16">
        <f t="shared" si="740"/>
        <v>8.4548526055156946E-39</v>
      </c>
      <c r="BY3218" s="16">
        <f t="shared" si="741"/>
        <v>317.60000000000372</v>
      </c>
      <c r="BZ3218" s="16">
        <f t="shared" si="732"/>
        <v>2.6621072435502503E-41</v>
      </c>
      <c r="CA3218" s="16">
        <f t="shared" si="739"/>
        <v>-999</v>
      </c>
      <c r="CE3218" s="16" t="e">
        <f t="shared" si="733"/>
        <v>#N/A</v>
      </c>
      <c r="CF3218" s="16">
        <f t="shared" si="734"/>
        <v>99</v>
      </c>
      <c r="CG3218" s="16">
        <f t="shared" si="735"/>
        <v>0</v>
      </c>
      <c r="CH3218" s="16">
        <f t="shared" si="742"/>
        <v>0</v>
      </c>
      <c r="CJ3218" s="16" t="e">
        <f t="shared" si="736"/>
        <v>#N/A</v>
      </c>
      <c r="CK3218" s="16" t="str">
        <f t="shared" si="737"/>
        <v/>
      </c>
    </row>
    <row r="3219" spans="73:89" ht="12" customHeight="1">
      <c r="BU3219" s="16">
        <f t="shared" si="738"/>
        <v>0</v>
      </c>
      <c r="BV3219" s="16">
        <f>IF($BY$12=1,NORMDIST(BY3219,$Y$6,$Y$8,TRUE),IF($BY$12=2,IF(BY3219&lt;=$BX$31,0,IF(BY3219&gt;=$BX$32,1,(BY3219-$BX$31)*$BX$33)),SUM($BU$42:BU3219)/$BV$40))</f>
        <v>1</v>
      </c>
      <c r="BW3219" s="16">
        <f t="shared" si="740"/>
        <v>7.9101192797643391E-39</v>
      </c>
      <c r="BY3219" s="16">
        <f t="shared" si="741"/>
        <v>317.70000000000374</v>
      </c>
      <c r="BZ3219" s="16">
        <f t="shared" si="732"/>
        <v>2.4898077682607007E-41</v>
      </c>
      <c r="CA3219" s="16">
        <f t="shared" si="739"/>
        <v>-999</v>
      </c>
      <c r="CE3219" s="16" t="e">
        <f t="shared" si="733"/>
        <v>#N/A</v>
      </c>
      <c r="CF3219" s="16">
        <f t="shared" si="734"/>
        <v>99</v>
      </c>
      <c r="CG3219" s="16">
        <f t="shared" si="735"/>
        <v>0</v>
      </c>
      <c r="CH3219" s="16">
        <f t="shared" si="742"/>
        <v>0</v>
      </c>
      <c r="CJ3219" s="16" t="e">
        <f t="shared" si="736"/>
        <v>#N/A</v>
      </c>
      <c r="CK3219" s="16" t="str">
        <f t="shared" si="737"/>
        <v/>
      </c>
    </row>
    <row r="3220" spans="73:89" ht="12" customHeight="1">
      <c r="BU3220" s="16">
        <f t="shared" si="738"/>
        <v>0</v>
      </c>
      <c r="BV3220" s="16">
        <f>IF($BY$12=1,NORMDIST(BY3220,$Y$6,$Y$8,TRUE),IF($BY$12=2,IF(BY3220&lt;=$BX$31,0,IF(BY3220&gt;=$BX$32,1,(BY3220-$BX$31)*$BX$33)),SUM($BU$42:BU3220)/$BV$40))</f>
        <v>1</v>
      </c>
      <c r="BW3220" s="16">
        <f t="shared" si="740"/>
        <v>7.4002965527953391E-39</v>
      </c>
      <c r="BY3220" s="16">
        <f t="shared" si="741"/>
        <v>317.80000000000376</v>
      </c>
      <c r="BZ3220" s="16">
        <f t="shared" si="732"/>
        <v>2.3286018101935969E-41</v>
      </c>
      <c r="CA3220" s="16">
        <f t="shared" si="739"/>
        <v>-999</v>
      </c>
      <c r="CE3220" s="16" t="e">
        <f t="shared" si="733"/>
        <v>#N/A</v>
      </c>
      <c r="CF3220" s="16">
        <f t="shared" si="734"/>
        <v>99</v>
      </c>
      <c r="CG3220" s="16">
        <f t="shared" si="735"/>
        <v>0</v>
      </c>
      <c r="CH3220" s="16">
        <f t="shared" si="742"/>
        <v>0</v>
      </c>
      <c r="CJ3220" s="16" t="e">
        <f t="shared" si="736"/>
        <v>#N/A</v>
      </c>
      <c r="CK3220" s="16" t="str">
        <f t="shared" si="737"/>
        <v/>
      </c>
    </row>
    <row r="3221" spans="73:89" ht="12" customHeight="1">
      <c r="BU3221" s="16">
        <f t="shared" si="738"/>
        <v>0</v>
      </c>
      <c r="BV3221" s="16">
        <f>IF($BY$12=1,NORMDIST(BY3221,$Y$6,$Y$8,TRUE),IF($BY$12=2,IF(BY3221&lt;=$BX$31,0,IF(BY3221&gt;=$BX$32,1,(BY3221-$BX$31)*$BX$33)),SUM($BU$42:BU3221)/$BV$40))</f>
        <v>1</v>
      </c>
      <c r="BW3221" s="16">
        <f t="shared" si="740"/>
        <v>6.9231591354816874E-39</v>
      </c>
      <c r="BY3221" s="16">
        <f t="shared" si="741"/>
        <v>317.90000000000379</v>
      </c>
      <c r="BZ3221" s="16">
        <f t="shared" si="732"/>
        <v>2.1777789038948111E-41</v>
      </c>
      <c r="CA3221" s="16">
        <f t="shared" si="739"/>
        <v>-999</v>
      </c>
      <c r="CE3221" s="16" t="e">
        <f t="shared" si="733"/>
        <v>#N/A</v>
      </c>
      <c r="CF3221" s="16">
        <f t="shared" si="734"/>
        <v>99</v>
      </c>
      <c r="CG3221" s="16">
        <f t="shared" si="735"/>
        <v>0</v>
      </c>
      <c r="CH3221" s="16">
        <f t="shared" si="742"/>
        <v>0</v>
      </c>
      <c r="CJ3221" s="16" t="e">
        <f t="shared" si="736"/>
        <v>#N/A</v>
      </c>
      <c r="CK3221" s="16" t="str">
        <f t="shared" si="737"/>
        <v/>
      </c>
    </row>
    <row r="3222" spans="73:89" ht="12" customHeight="1">
      <c r="BU3222" s="16">
        <f t="shared" si="738"/>
        <v>0</v>
      </c>
      <c r="BV3222" s="16">
        <f>IF($BY$12=1,NORMDIST(BY3222,$Y$6,$Y$8,TRUE),IF($BY$12=2,IF(BY3222&lt;=$BX$31,0,IF(BY3222&gt;=$BX$32,1,(BY3222-$BX$31)*$BX$33)),SUM($BU$42:BU3222)/$BV$40))</f>
        <v>1</v>
      </c>
      <c r="BW3222" s="16">
        <f t="shared" si="740"/>
        <v>6.4766228072528762E-39</v>
      </c>
      <c r="BY3222" s="16">
        <f t="shared" si="741"/>
        <v>318.00000000000381</v>
      </c>
      <c r="BZ3222" s="16">
        <f t="shared" si="732"/>
        <v>2.0366738387587417E-41</v>
      </c>
      <c r="CA3222" s="16">
        <f t="shared" si="739"/>
        <v>-999</v>
      </c>
      <c r="CE3222" s="16" t="e">
        <f t="shared" si="733"/>
        <v>#N/A</v>
      </c>
      <c r="CF3222" s="16">
        <f t="shared" si="734"/>
        <v>99</v>
      </c>
      <c r="CG3222" s="16">
        <f t="shared" si="735"/>
        <v>0</v>
      </c>
      <c r="CH3222" s="16">
        <f t="shared" si="742"/>
        <v>0</v>
      </c>
      <c r="CJ3222" s="16" t="e">
        <f t="shared" si="736"/>
        <v>#N/A</v>
      </c>
      <c r="CK3222" s="16" t="str">
        <f t="shared" si="737"/>
        <v/>
      </c>
    </row>
    <row r="3223" spans="73:89" ht="12" customHeight="1">
      <c r="BU3223" s="16">
        <f t="shared" si="738"/>
        <v>0</v>
      </c>
      <c r="BV3223" s="16">
        <f>IF($BY$12=1,NORMDIST(BY3223,$Y$6,$Y$8,TRUE),IF($BY$12=2,IF(BY3223&lt;=$BX$31,0,IF(BY3223&gt;=$BX$32,1,(BY3223-$BX$31)*$BX$33)),SUM($BU$42:BU3223)/$BV$40))</f>
        <v>1</v>
      </c>
      <c r="BW3223" s="16">
        <f t="shared" si="740"/>
        <v>6.0587355231444174E-39</v>
      </c>
      <c r="BY3223" s="16">
        <f t="shared" si="741"/>
        <v>318.10000000000383</v>
      </c>
      <c r="BZ3223" s="16">
        <f t="shared" si="732"/>
        <v>1.9046637922490864E-41</v>
      </c>
      <c r="CA3223" s="16">
        <f t="shared" si="739"/>
        <v>-999</v>
      </c>
      <c r="CE3223" s="16" t="e">
        <f t="shared" si="733"/>
        <v>#N/A</v>
      </c>
      <c r="CF3223" s="16">
        <f t="shared" si="734"/>
        <v>99</v>
      </c>
      <c r="CG3223" s="16">
        <f t="shared" si="735"/>
        <v>0</v>
      </c>
      <c r="CH3223" s="16">
        <f t="shared" si="742"/>
        <v>0</v>
      </c>
      <c r="CJ3223" s="16" t="e">
        <f t="shared" si="736"/>
        <v>#N/A</v>
      </c>
      <c r="CK3223" s="16" t="str">
        <f t="shared" si="737"/>
        <v/>
      </c>
    </row>
    <row r="3224" spans="73:89" ht="12" customHeight="1">
      <c r="BU3224" s="16">
        <f t="shared" si="738"/>
        <v>0</v>
      </c>
      <c r="BV3224" s="16">
        <f>IF($BY$12=1,NORMDIST(BY3224,$Y$6,$Y$8,TRUE),IF($BY$12=2,IF(BY3224&lt;=$BX$31,0,IF(BY3224&gt;=$BX$32,1,(BY3224-$BX$31)*$BX$33)),SUM($BU$42:BU3224)/$BV$40))</f>
        <v>1</v>
      </c>
      <c r="BW3224" s="16">
        <f t="shared" si="740"/>
        <v>5.667669078276281E-39</v>
      </c>
      <c r="BY3224" s="16">
        <f t="shared" si="741"/>
        <v>318.20000000000385</v>
      </c>
      <c r="BZ3224" s="16">
        <f t="shared" si="732"/>
        <v>1.7811656437071692E-41</v>
      </c>
      <c r="CA3224" s="16">
        <f t="shared" si="739"/>
        <v>-999</v>
      </c>
      <c r="CE3224" s="16" t="e">
        <f t="shared" si="733"/>
        <v>#N/A</v>
      </c>
      <c r="CF3224" s="16">
        <f t="shared" si="734"/>
        <v>99</v>
      </c>
      <c r="CG3224" s="16">
        <f t="shared" si="735"/>
        <v>0</v>
      </c>
      <c r="CH3224" s="16">
        <f t="shared" si="742"/>
        <v>0</v>
      </c>
      <c r="CJ3224" s="16" t="e">
        <f t="shared" si="736"/>
        <v>#N/A</v>
      </c>
      <c r="CK3224" s="16" t="str">
        <f t="shared" si="737"/>
        <v/>
      </c>
    </row>
    <row r="3225" spans="73:89" ht="12" customHeight="1">
      <c r="BU3225" s="16">
        <f t="shared" si="738"/>
        <v>0</v>
      </c>
      <c r="BV3225" s="16">
        <f>IF($BY$12=1,NORMDIST(BY3225,$Y$6,$Y$8,TRUE),IF($BY$12=2,IF(BY3225&lt;=$BX$31,0,IF(BY3225&gt;=$BX$32,1,(BY3225-$BX$31)*$BX$33)),SUM($BU$42:BU3225)/$BV$40))</f>
        <v>1</v>
      </c>
      <c r="BW3225" s="16">
        <f t="shared" si="740"/>
        <v>5.3017112950204999E-39</v>
      </c>
      <c r="BY3225" s="16">
        <f t="shared" si="741"/>
        <v>318.30000000000388</v>
      </c>
      <c r="BZ3225" s="16">
        <f t="shared" si="732"/>
        <v>1.6656334574365176E-41</v>
      </c>
      <c r="CA3225" s="16">
        <f t="shared" si="739"/>
        <v>-999</v>
      </c>
      <c r="CE3225" s="16" t="e">
        <f t="shared" si="733"/>
        <v>#N/A</v>
      </c>
      <c r="CF3225" s="16">
        <f t="shared" si="734"/>
        <v>99</v>
      </c>
      <c r="CG3225" s="16">
        <f t="shared" si="735"/>
        <v>0</v>
      </c>
      <c r="CH3225" s="16">
        <f t="shared" si="742"/>
        <v>0</v>
      </c>
      <c r="CJ3225" s="16" t="e">
        <f t="shared" si="736"/>
        <v>#N/A</v>
      </c>
      <c r="CK3225" s="16" t="str">
        <f t="shared" si="737"/>
        <v/>
      </c>
    </row>
    <row r="3226" spans="73:89" ht="12" customHeight="1">
      <c r="BU3226" s="16">
        <f t="shared" si="738"/>
        <v>0</v>
      </c>
      <c r="BV3226" s="16">
        <f>IF($BY$12=1,NORMDIST(BY3226,$Y$6,$Y$8,TRUE),IF($BY$12=2,IF(BY3226&lt;=$BX$31,0,IF(BY3226&gt;=$BX$32,1,(BY3226-$BX$31)*$BX$33)),SUM($BU$42:BU3226)/$BV$40))</f>
        <v>1</v>
      </c>
      <c r="BW3226" s="16">
        <f t="shared" si="740"/>
        <v>4.9592587002711121E-39</v>
      </c>
      <c r="BY3226" s="16">
        <f t="shared" si="741"/>
        <v>318.4000000000039</v>
      </c>
      <c r="BZ3226" s="16">
        <f t="shared" si="732"/>
        <v>1.5575561244569885E-41</v>
      </c>
      <c r="CA3226" s="16">
        <f t="shared" si="739"/>
        <v>-999</v>
      </c>
      <c r="CE3226" s="16" t="e">
        <f t="shared" si="733"/>
        <v>#N/A</v>
      </c>
      <c r="CF3226" s="16">
        <f t="shared" si="734"/>
        <v>99</v>
      </c>
      <c r="CG3226" s="16">
        <f t="shared" si="735"/>
        <v>0</v>
      </c>
      <c r="CH3226" s="16">
        <f t="shared" si="742"/>
        <v>0</v>
      </c>
      <c r="CJ3226" s="16" t="e">
        <f t="shared" si="736"/>
        <v>#N/A</v>
      </c>
      <c r="CK3226" s="16" t="str">
        <f t="shared" si="737"/>
        <v/>
      </c>
    </row>
    <row r="3227" spans="73:89" ht="12" customHeight="1">
      <c r="BU3227" s="16">
        <f t="shared" si="738"/>
        <v>0</v>
      </c>
      <c r="BV3227" s="16">
        <f>IF($BY$12=1,NORMDIST(BY3227,$Y$6,$Y$8,TRUE),IF($BY$12=2,IF(BY3227&lt;=$BX$31,0,IF(BY3227&gt;=$BX$32,1,(BY3227-$BX$31)*$BX$33)),SUM($BU$42:BU3227)/$BV$40))</f>
        <v>1</v>
      </c>
      <c r="BW3227" s="16">
        <f t="shared" si="740"/>
        <v>4.6388096622515021E-39</v>
      </c>
      <c r="BY3227" s="16">
        <f t="shared" si="741"/>
        <v>318.50000000000392</v>
      </c>
      <c r="BZ3227" s="16">
        <f t="shared" si="732"/>
        <v>1.4564551529831852E-41</v>
      </c>
      <c r="CA3227" s="16">
        <f t="shared" si="739"/>
        <v>-999</v>
      </c>
      <c r="CE3227" s="16" t="e">
        <f t="shared" si="733"/>
        <v>#N/A</v>
      </c>
      <c r="CF3227" s="16">
        <f t="shared" si="734"/>
        <v>99</v>
      </c>
      <c r="CG3227" s="16">
        <f t="shared" si="735"/>
        <v>0</v>
      </c>
      <c r="CH3227" s="16">
        <f t="shared" si="742"/>
        <v>0</v>
      </c>
      <c r="CJ3227" s="16" t="e">
        <f t="shared" si="736"/>
        <v>#N/A</v>
      </c>
      <c r="CK3227" s="16" t="str">
        <f t="shared" si="737"/>
        <v/>
      </c>
    </row>
    <row r="3228" spans="73:89" ht="12" customHeight="1">
      <c r="BU3228" s="16">
        <f t="shared" si="738"/>
        <v>0</v>
      </c>
      <c r="BV3228" s="16">
        <f>IF($BY$12=1,NORMDIST(BY3228,$Y$6,$Y$8,TRUE),IF($BY$12=2,IF(BY3228&lt;=$BX$31,0,IF(BY3228&gt;=$BX$32,1,(BY3228-$BX$31)*$BX$33)),SUM($BU$42:BU3228)/$BV$40))</f>
        <v>1</v>
      </c>
      <c r="BW3228" s="16">
        <f t="shared" si="740"/>
        <v>4.3389579581844014E-39</v>
      </c>
      <c r="BY3228" s="16">
        <f t="shared" si="741"/>
        <v>318.60000000000394</v>
      </c>
      <c r="BZ3228" s="16">
        <f t="shared" si="732"/>
        <v>1.3618825983001719E-41</v>
      </c>
      <c r="CA3228" s="16">
        <f t="shared" si="739"/>
        <v>-999</v>
      </c>
      <c r="CE3228" s="16" t="e">
        <f t="shared" si="733"/>
        <v>#N/A</v>
      </c>
      <c r="CF3228" s="16">
        <f t="shared" si="734"/>
        <v>99</v>
      </c>
      <c r="CG3228" s="16">
        <f t="shared" si="735"/>
        <v>0</v>
      </c>
      <c r="CH3228" s="16">
        <f t="shared" si="742"/>
        <v>0</v>
      </c>
      <c r="CJ3228" s="16" t="e">
        <f t="shared" si="736"/>
        <v>#N/A</v>
      </c>
      <c r="CK3228" s="16" t="str">
        <f t="shared" si="737"/>
        <v/>
      </c>
    </row>
    <row r="3229" spans="73:89" ht="12" customHeight="1">
      <c r="BU3229" s="16">
        <f t="shared" si="738"/>
        <v>0</v>
      </c>
      <c r="BV3229" s="16">
        <f>IF($BY$12=1,NORMDIST(BY3229,$Y$6,$Y$8,TRUE),IF($BY$12=2,IF(BY3229&lt;=$BX$31,0,IF(BY3229&gt;=$BX$32,1,(BY3229-$BX$31)*$BX$33)),SUM($BU$42:BU3229)/$BV$40))</f>
        <v>1</v>
      </c>
      <c r="BW3229" s="16">
        <f t="shared" si="740"/>
        <v>4.0583867459342434E-39</v>
      </c>
      <c r="BY3229" s="16">
        <f t="shared" si="741"/>
        <v>318.70000000000397</v>
      </c>
      <c r="BZ3229" s="16">
        <f t="shared" si="732"/>
        <v>1.2734191232928123E-41</v>
      </c>
      <c r="CA3229" s="16">
        <f t="shared" si="739"/>
        <v>-999</v>
      </c>
      <c r="CE3229" s="16" t="e">
        <f t="shared" si="733"/>
        <v>#N/A</v>
      </c>
      <c r="CF3229" s="16">
        <f t="shared" si="734"/>
        <v>99</v>
      </c>
      <c r="CG3229" s="16">
        <f t="shared" si="735"/>
        <v>0</v>
      </c>
      <c r="CH3229" s="16">
        <f t="shared" si="742"/>
        <v>0</v>
      </c>
      <c r="CJ3229" s="16" t="e">
        <f t="shared" si="736"/>
        <v>#N/A</v>
      </c>
      <c r="CK3229" s="16" t="str">
        <f t="shared" si="737"/>
        <v/>
      </c>
    </row>
    <row r="3230" spans="73:89" ht="12" customHeight="1">
      <c r="BU3230" s="16">
        <f t="shared" si="738"/>
        <v>0</v>
      </c>
      <c r="BV3230" s="16">
        <f>IF($BY$12=1,NORMDIST(BY3230,$Y$6,$Y$8,TRUE),IF($BY$12=2,IF(BY3230&lt;=$BX$31,0,IF(BY3230&gt;=$BX$32,1,(BY3230-$BX$31)*$BX$33)),SUM($BU$42:BU3230)/$BV$40))</f>
        <v>1</v>
      </c>
      <c r="BW3230" s="16">
        <f t="shared" si="740"/>
        <v>3.795862914395038E-39</v>
      </c>
      <c r="BY3230" s="16">
        <f t="shared" si="741"/>
        <v>318.80000000000399</v>
      </c>
      <c r="BZ3230" s="16">
        <f t="shared" si="732"/>
        <v>1.1906721814287925E-41</v>
      </c>
      <c r="CA3230" s="16">
        <f t="shared" si="739"/>
        <v>-999</v>
      </c>
      <c r="CE3230" s="16" t="e">
        <f t="shared" si="733"/>
        <v>#N/A</v>
      </c>
      <c r="CF3230" s="16">
        <f t="shared" si="734"/>
        <v>99</v>
      </c>
      <c r="CG3230" s="16">
        <f t="shared" si="735"/>
        <v>0</v>
      </c>
      <c r="CH3230" s="16">
        <f t="shared" si="742"/>
        <v>0</v>
      </c>
      <c r="CJ3230" s="16" t="e">
        <f t="shared" si="736"/>
        <v>#N/A</v>
      </c>
      <c r="CK3230" s="16" t="str">
        <f t="shared" si="737"/>
        <v/>
      </c>
    </row>
    <row r="3231" spans="73:89" ht="12" customHeight="1">
      <c r="BU3231" s="16">
        <f t="shared" si="738"/>
        <v>0</v>
      </c>
      <c r="BV3231" s="16">
        <f>IF($BY$12=1,NORMDIST(BY3231,$Y$6,$Y$8,TRUE),IF($BY$12=2,IF(BY3231&lt;=$BX$31,0,IF(BY3231&gt;=$BX$32,1,(BY3231-$BX$31)*$BX$33)),SUM($BU$42:BU3231)/$BV$40))</f>
        <v>1</v>
      </c>
      <c r="BW3231" s="16">
        <f t="shared" si="740"/>
        <v>3.5502317889664089E-39</v>
      </c>
      <c r="BY3231" s="16">
        <f t="shared" si="741"/>
        <v>318.90000000000401</v>
      </c>
      <c r="BZ3231" s="16">
        <f t="shared" si="732"/>
        <v>1.1132743145081105E-41</v>
      </c>
      <c r="CA3231" s="16">
        <f t="shared" si="739"/>
        <v>-999</v>
      </c>
      <c r="CE3231" s="16" t="e">
        <f t="shared" si="733"/>
        <v>#N/A</v>
      </c>
      <c r="CF3231" s="16">
        <f t="shared" si="734"/>
        <v>99</v>
      </c>
      <c r="CG3231" s="16">
        <f t="shared" si="735"/>
        <v>0</v>
      </c>
      <c r="CH3231" s="16">
        <f t="shared" si="742"/>
        <v>0</v>
      </c>
      <c r="CJ3231" s="16" t="e">
        <f t="shared" si="736"/>
        <v>#N/A</v>
      </c>
      <c r="CK3231" s="16" t="str">
        <f t="shared" si="737"/>
        <v/>
      </c>
    </row>
    <row r="3232" spans="73:89" ht="12" customHeight="1">
      <c r="BU3232" s="16">
        <f t="shared" si="738"/>
        <v>0</v>
      </c>
      <c r="BV3232" s="16">
        <f>IF($BY$12=1,NORMDIST(BY3232,$Y$6,$Y$8,TRUE),IF($BY$12=2,IF(BY3232&lt;=$BX$31,0,IF(BY3232&gt;=$BX$32,1,(BY3232-$BX$31)*$BX$33)),SUM($BU$42:BU3232)/$BV$40))</f>
        <v>1</v>
      </c>
      <c r="BW3232" s="16">
        <f t="shared" si="740"/>
        <v>3.3204121699275315E-39</v>
      </c>
      <c r="BY3232" s="16">
        <f t="shared" si="741"/>
        <v>319.00000000000404</v>
      </c>
      <c r="BZ3232" s="16">
        <f t="shared" si="732"/>
        <v>1.0408815579709997E-41</v>
      </c>
      <c r="CA3232" s="16">
        <f t="shared" si="739"/>
        <v>-999</v>
      </c>
      <c r="CE3232" s="16" t="e">
        <f t="shared" si="733"/>
        <v>#N/A</v>
      </c>
      <c r="CF3232" s="16">
        <f t="shared" si="734"/>
        <v>99</v>
      </c>
      <c r="CG3232" s="16">
        <f t="shared" si="735"/>
        <v>0</v>
      </c>
      <c r="CH3232" s="16">
        <f t="shared" si="742"/>
        <v>0</v>
      </c>
      <c r="CJ3232" s="16" t="e">
        <f t="shared" si="736"/>
        <v>#N/A</v>
      </c>
      <c r="CK3232" s="16" t="str">
        <f t="shared" si="737"/>
        <v/>
      </c>
    </row>
    <row r="3233" spans="73:89" ht="12" customHeight="1">
      <c r="BU3233" s="16">
        <f t="shared" si="738"/>
        <v>0</v>
      </c>
      <c r="BV3233" s="16">
        <f>IF($BY$12=1,NORMDIST(BY3233,$Y$6,$Y$8,TRUE),IF($BY$12=2,IF(BY3233&lt;=$BX$31,0,IF(BY3233&gt;=$BX$32,1,(BY3233-$BX$31)*$BX$33)),SUM($BU$42:BU3233)/$BV$40))</f>
        <v>1</v>
      </c>
      <c r="BW3233" s="16">
        <f t="shared" si="740"/>
        <v>3.1053916828980265E-39</v>
      </c>
      <c r="BY3233" s="16">
        <f t="shared" si="741"/>
        <v>319.10000000000406</v>
      </c>
      <c r="BZ3233" s="16">
        <f t="shared" si="732"/>
        <v>9.7317194700657697E-42</v>
      </c>
      <c r="CA3233" s="16">
        <f t="shared" si="739"/>
        <v>-999</v>
      </c>
      <c r="CE3233" s="16" t="e">
        <f t="shared" si="733"/>
        <v>#N/A</v>
      </c>
      <c r="CF3233" s="16">
        <f t="shared" si="734"/>
        <v>99</v>
      </c>
      <c r="CG3233" s="16">
        <f t="shared" si="735"/>
        <v>0</v>
      </c>
      <c r="CH3233" s="16">
        <f t="shared" si="742"/>
        <v>0</v>
      </c>
      <c r="CJ3233" s="16" t="e">
        <f t="shared" si="736"/>
        <v>#N/A</v>
      </c>
      <c r="CK3233" s="16" t="str">
        <f t="shared" si="737"/>
        <v/>
      </c>
    </row>
    <row r="3234" spans="73:89" ht="12" customHeight="1">
      <c r="BU3234" s="16">
        <f t="shared" si="738"/>
        <v>0</v>
      </c>
      <c r="BV3234" s="16">
        <f>IF($BY$12=1,NORMDIST(BY3234,$Y$6,$Y$8,TRUE),IF($BY$12=2,IF(BY3234&lt;=$BX$31,0,IF(BY3234&gt;=$BX$32,1,(BY3234-$BX$31)*$BX$33)),SUM($BU$42:BU3234)/$BV$40))</f>
        <v>1</v>
      </c>
      <c r="BW3234" s="16">
        <f t="shared" si="740"/>
        <v>2.9042224218683704E-39</v>
      </c>
      <c r="BY3234" s="16">
        <f t="shared" si="741"/>
        <v>319.20000000000408</v>
      </c>
      <c r="BZ3234" s="16">
        <f t="shared" si="732"/>
        <v>9.0984411712667085E-42</v>
      </c>
      <c r="CA3234" s="16">
        <f t="shared" si="739"/>
        <v>-999</v>
      </c>
      <c r="CE3234" s="16" t="e">
        <f t="shared" si="733"/>
        <v>#N/A</v>
      </c>
      <c r="CF3234" s="16">
        <f t="shared" si="734"/>
        <v>99</v>
      </c>
      <c r="CG3234" s="16">
        <f t="shared" si="735"/>
        <v>0</v>
      </c>
      <c r="CH3234" s="16">
        <f t="shared" si="742"/>
        <v>0</v>
      </c>
      <c r="CJ3234" s="16" t="e">
        <f t="shared" si="736"/>
        <v>#N/A</v>
      </c>
      <c r="CK3234" s="16" t="str">
        <f t="shared" si="737"/>
        <v/>
      </c>
    </row>
    <row r="3235" spans="73:89" ht="12" customHeight="1">
      <c r="BU3235" s="16">
        <f t="shared" si="738"/>
        <v>0</v>
      </c>
      <c r="BV3235" s="16">
        <f>IF($BY$12=1,NORMDIST(BY3235,$Y$6,$Y$8,TRUE),IF($BY$12=2,IF(BY3235&lt;=$BX$31,0,IF(BY3235&gt;=$BX$32,1,(BY3235-$BX$31)*$BX$33)),SUM($BU$42:BU3235)/$BV$40))</f>
        <v>1</v>
      </c>
      <c r="BW3235" s="16">
        <f t="shared" si="740"/>
        <v>2.7160168664955894E-39</v>
      </c>
      <c r="BY3235" s="16">
        <f t="shared" si="741"/>
        <v>319.3000000000041</v>
      </c>
      <c r="BZ3235" s="16">
        <f t="shared" si="732"/>
        <v>8.5061599326512823E-42</v>
      </c>
      <c r="CA3235" s="16">
        <f t="shared" si="739"/>
        <v>-999</v>
      </c>
      <c r="CE3235" s="16" t="e">
        <f t="shared" si="733"/>
        <v>#N/A</v>
      </c>
      <c r="CF3235" s="16">
        <f t="shared" si="734"/>
        <v>99</v>
      </c>
      <c r="CG3235" s="16">
        <f t="shared" si="735"/>
        <v>0</v>
      </c>
      <c r="CH3235" s="16">
        <f t="shared" si="742"/>
        <v>0</v>
      </c>
      <c r="CJ3235" s="16" t="e">
        <f t="shared" si="736"/>
        <v>#N/A</v>
      </c>
      <c r="CK3235" s="16" t="str">
        <f t="shared" si="737"/>
        <v/>
      </c>
    </row>
    <row r="3236" spans="73:89" ht="12" customHeight="1">
      <c r="BU3236" s="16">
        <f t="shared" si="738"/>
        <v>0</v>
      </c>
      <c r="BV3236" s="16">
        <f>IF($BY$12=1,NORMDIST(BY3236,$Y$6,$Y$8,TRUE),IF($BY$12=2,IF(BY3236&lt;=$BX$31,0,IF(BY3236&gt;=$BX$32,1,(BY3236-$BX$31)*$BX$33)),SUM($BU$42:BU3236)/$BV$40))</f>
        <v>1</v>
      </c>
      <c r="BW3236" s="16">
        <f t="shared" si="740"/>
        <v>2.5399440564983907E-39</v>
      </c>
      <c r="BY3236" s="16">
        <f t="shared" si="741"/>
        <v>319.40000000000413</v>
      </c>
      <c r="BZ3236" s="16">
        <f t="shared" si="732"/>
        <v>7.9522356183417594E-42</v>
      </c>
      <c r="CA3236" s="16">
        <f t="shared" si="739"/>
        <v>-999</v>
      </c>
      <c r="CE3236" s="16" t="e">
        <f t="shared" si="733"/>
        <v>#N/A</v>
      </c>
      <c r="CF3236" s="16">
        <f t="shared" si="734"/>
        <v>99</v>
      </c>
      <c r="CG3236" s="16">
        <f t="shared" si="735"/>
        <v>0</v>
      </c>
      <c r="CH3236" s="16">
        <f t="shared" si="742"/>
        <v>0</v>
      </c>
      <c r="CJ3236" s="16" t="e">
        <f t="shared" si="736"/>
        <v>#N/A</v>
      </c>
      <c r="CK3236" s="16" t="str">
        <f t="shared" si="737"/>
        <v/>
      </c>
    </row>
    <row r="3237" spans="73:89" ht="12" customHeight="1">
      <c r="BU3237" s="16">
        <f t="shared" si="738"/>
        <v>0</v>
      </c>
      <c r="BV3237" s="16">
        <f>IF($BY$12=1,NORMDIST(BY3237,$Y$6,$Y$8,TRUE),IF($BY$12=2,IF(BY3237&lt;=$BX$31,0,IF(BY3237&gt;=$BX$32,1,(BY3237-$BX$31)*$BX$33)),SUM($BU$42:BU3237)/$BV$40))</f>
        <v>1</v>
      </c>
      <c r="BW3237" s="16">
        <f t="shared" si="740"/>
        <v>2.3752260070539545E-39</v>
      </c>
      <c r="BY3237" s="16">
        <f t="shared" si="741"/>
        <v>319.50000000000415</v>
      </c>
      <c r="BZ3237" s="16">
        <f t="shared" si="732"/>
        <v>7.4341972051766E-42</v>
      </c>
      <c r="CA3237" s="16">
        <f t="shared" si="739"/>
        <v>-999</v>
      </c>
      <c r="CE3237" s="16" t="e">
        <f t="shared" si="733"/>
        <v>#N/A</v>
      </c>
      <c r="CF3237" s="16">
        <f t="shared" si="734"/>
        <v>99</v>
      </c>
      <c r="CG3237" s="16">
        <f t="shared" si="735"/>
        <v>0</v>
      </c>
      <c r="CH3237" s="16">
        <f t="shared" si="742"/>
        <v>0</v>
      </c>
      <c r="CJ3237" s="16" t="e">
        <f t="shared" si="736"/>
        <v>#N/A</v>
      </c>
      <c r="CK3237" s="16" t="str">
        <f t="shared" si="737"/>
        <v/>
      </c>
    </row>
    <row r="3238" spans="73:89" ht="12" customHeight="1">
      <c r="BU3238" s="16">
        <f t="shared" si="738"/>
        <v>0</v>
      </c>
      <c r="BV3238" s="16">
        <f>IF($BY$12=1,NORMDIST(BY3238,$Y$6,$Y$8,TRUE),IF($BY$12=2,IF(BY3238&lt;=$BX$31,0,IF(BY3238&gt;=$BX$32,1,(BY3238-$BX$31)*$BX$33)),SUM($BU$42:BU3238)/$BV$40))</f>
        <v>1</v>
      </c>
      <c r="BW3238" s="16">
        <f t="shared" si="740"/>
        <v>2.2211343501015484E-39</v>
      </c>
      <c r="BY3238" s="16">
        <f t="shared" si="741"/>
        <v>319.60000000000417</v>
      </c>
      <c r="BZ3238" s="16">
        <f t="shared" si="732"/>
        <v>6.9497320090785969E-42</v>
      </c>
      <c r="CA3238" s="16">
        <f t="shared" si="739"/>
        <v>-999</v>
      </c>
      <c r="CE3238" s="16" t="e">
        <f t="shared" si="733"/>
        <v>#N/A</v>
      </c>
      <c r="CF3238" s="16">
        <f t="shared" si="734"/>
        <v>99</v>
      </c>
      <c r="CG3238" s="16">
        <f t="shared" si="735"/>
        <v>0</v>
      </c>
      <c r="CH3238" s="16">
        <f t="shared" si="742"/>
        <v>0</v>
      </c>
      <c r="CJ3238" s="16" t="e">
        <f t="shared" si="736"/>
        <v>#N/A</v>
      </c>
      <c r="CK3238" s="16" t="str">
        <f t="shared" si="737"/>
        <v/>
      </c>
    </row>
    <row r="3239" spans="73:89" ht="12" customHeight="1">
      <c r="BU3239" s="16">
        <f t="shared" si="738"/>
        <v>0</v>
      </c>
      <c r="BV3239" s="16">
        <f>IF($BY$12=1,NORMDIST(BY3239,$Y$6,$Y$8,TRUE),IF($BY$12=2,IF(BY3239&lt;=$BX$31,0,IF(BY3239&gt;=$BX$32,1,(BY3239-$BX$31)*$BX$33)),SUM($BU$42:BU3239)/$BV$40))</f>
        <v>1</v>
      </c>
      <c r="BW3239" s="16">
        <f t="shared" si="740"/>
        <v>2.0769871873964827E-39</v>
      </c>
      <c r="BY3239" s="16">
        <f t="shared" si="741"/>
        <v>319.7000000000042</v>
      </c>
      <c r="BZ3239" s="16">
        <f t="shared" si="732"/>
        <v>6.4966755939832829E-42</v>
      </c>
      <c r="CA3239" s="16">
        <f t="shared" si="739"/>
        <v>-999</v>
      </c>
      <c r="CE3239" s="16" t="e">
        <f t="shared" si="733"/>
        <v>#N/A</v>
      </c>
      <c r="CF3239" s="16">
        <f t="shared" si="734"/>
        <v>99</v>
      </c>
      <c r="CG3239" s="16">
        <f t="shared" si="735"/>
        <v>0</v>
      </c>
      <c r="CH3239" s="16">
        <f t="shared" si="742"/>
        <v>0</v>
      </c>
      <c r="CJ3239" s="16" t="e">
        <f t="shared" si="736"/>
        <v>#N/A</v>
      </c>
      <c r="CK3239" s="16" t="str">
        <f t="shared" si="737"/>
        <v/>
      </c>
    </row>
    <row r="3240" spans="73:89" ht="12" customHeight="1">
      <c r="BU3240" s="16">
        <f t="shared" si="738"/>
        <v>0</v>
      </c>
      <c r="BV3240" s="16">
        <f>IF($BY$12=1,NORMDIST(BY3240,$Y$6,$Y$8,TRUE),IF($BY$12=2,IF(BY3240&lt;=$BX$31,0,IF(BY3240&gt;=$BX$32,1,(BY3240-$BX$31)*$BX$33)),SUM($BU$42:BU3240)/$BV$40))</f>
        <v>1</v>
      </c>
      <c r="BW3240" s="16">
        <f t="shared" si="740"/>
        <v>1.9421461420414162E-39</v>
      </c>
      <c r="BY3240" s="16">
        <f t="shared" si="741"/>
        <v>319.80000000000422</v>
      </c>
      <c r="BZ3240" s="16">
        <f t="shared" si="732"/>
        <v>6.0730023203295517E-42</v>
      </c>
      <c r="CA3240" s="16">
        <f t="shared" si="739"/>
        <v>-999</v>
      </c>
      <c r="CE3240" s="16" t="e">
        <f t="shared" si="733"/>
        <v>#N/A</v>
      </c>
      <c r="CF3240" s="16">
        <f t="shared" si="734"/>
        <v>99</v>
      </c>
      <c r="CG3240" s="16">
        <f t="shared" si="735"/>
        <v>0</v>
      </c>
      <c r="CH3240" s="16">
        <f t="shared" si="742"/>
        <v>0</v>
      </c>
      <c r="CJ3240" s="16" t="e">
        <f t="shared" si="736"/>
        <v>#N/A</v>
      </c>
      <c r="CK3240" s="16" t="str">
        <f t="shared" si="737"/>
        <v/>
      </c>
    </row>
    <row r="3241" spans="73:89" ht="12" customHeight="1">
      <c r="BU3241" s="16">
        <f t="shared" si="738"/>
        <v>0</v>
      </c>
      <c r="BV3241" s="16">
        <f>IF($BY$12=1,NORMDIST(BY3241,$Y$6,$Y$8,TRUE),IF($BY$12=2,IF(BY3241&lt;=$BX$31,0,IF(BY3241&gt;=$BX$32,1,(BY3241-$BX$31)*$BX$33)),SUM($BU$42:BU3241)/$BV$40))</f>
        <v>1</v>
      </c>
      <c r="BW3241" s="16">
        <f t="shared" si="740"/>
        <v>1.8160135960481513E-39</v>
      </c>
      <c r="BY3241" s="16">
        <f t="shared" si="741"/>
        <v>319.90000000000424</v>
      </c>
      <c r="BZ3241" s="16">
        <f t="shared" si="732"/>
        <v>5.676816492804399E-42</v>
      </c>
      <c r="CA3241" s="16">
        <f t="shared" si="739"/>
        <v>-999</v>
      </c>
      <c r="CE3241" s="16" t="e">
        <f t="shared" si="733"/>
        <v>#N/A</v>
      </c>
      <c r="CF3241" s="16">
        <f t="shared" si="734"/>
        <v>99</v>
      </c>
      <c r="CG3241" s="16">
        <f t="shared" si="735"/>
        <v>0</v>
      </c>
      <c r="CH3241" s="16">
        <f t="shared" si="742"/>
        <v>0</v>
      </c>
      <c r="CJ3241" s="16" t="e">
        <f t="shared" si="736"/>
        <v>#N/A</v>
      </c>
      <c r="CK3241" s="16" t="str">
        <f t="shared" si="737"/>
        <v/>
      </c>
    </row>
    <row r="3242" spans="73:89" ht="12" customHeight="1">
      <c r="BU3242" s="16">
        <f t="shared" si="738"/>
        <v>0</v>
      </c>
      <c r="BV3242" s="16">
        <f>IF($BY$12=1,NORMDIST(BY3242,$Y$6,$Y$8,TRUE),IF($BY$12=2,IF(BY3242&lt;=$BX$31,0,IF(BY3242&gt;=$BX$32,1,(BY3242-$BX$31)*$BX$33)),SUM($BU$42:BU3242)/$BV$40))</f>
        <v>1</v>
      </c>
      <c r="BW3242" s="16">
        <f t="shared" si="740"/>
        <v>1.6980301022594938E-39</v>
      </c>
      <c r="BY3242" s="16">
        <f t="shared" si="741"/>
        <v>320.00000000000426</v>
      </c>
      <c r="BZ3242" s="16">
        <f t="shared" ref="BZ3242:BZ3305" si="743">IF($BZ$5,IF($BY$12=1,NORMDIST(BY3242,$Y$6,$Y$8,FALSE),IF($BY$12=2,IF(AND(BY3242&gt;=$BX$31,BY3242&lt;=$BX$32),$BX$33,0),IF(BY3242&lt;=$BX$13,0,NORMDIST(LN((BY3242-$BX$13)/$BX$12),0,$BW$8,FALSE)/((BY3242-$BX$13)/$BX$12)))),-999)</f>
        <v>5.3063440695608472E-42</v>
      </c>
      <c r="CA3242" s="16">
        <f t="shared" si="739"/>
        <v>-999</v>
      </c>
      <c r="CE3242" s="16" t="e">
        <f t="shared" ref="CE3242:CE3305" si="744">IF(AND($CB$7,$CD$2,$CD$1),26+$P$23/2-CC3242*$P$23,NA())</f>
        <v>#N/A</v>
      </c>
      <c r="CF3242" s="16">
        <f t="shared" ref="CF3242:CF3305" si="745">IF(ISNA(CJ3242),99,CJ3242)</f>
        <v>99</v>
      </c>
      <c r="CG3242" s="16">
        <f t="shared" ref="CG3242:CG3305" si="746">IF(ISNA(CJ3242),0,CJ3242)</f>
        <v>0</v>
      </c>
      <c r="CH3242" s="16">
        <f t="shared" si="742"/>
        <v>0</v>
      </c>
      <c r="CJ3242" s="16" t="e">
        <f t="shared" ref="CJ3242:CJ3305" si="747">IF(CH3242=1,CE3242,NA())</f>
        <v>#N/A</v>
      </c>
      <c r="CK3242" s="16" t="str">
        <f t="shared" ref="CK3242:CK3305" si="748">IF(CH3242=1,M3141,"")</f>
        <v/>
      </c>
    </row>
    <row r="3243" spans="73:89" ht="12" customHeight="1">
      <c r="BU3243" s="16">
        <f t="shared" ref="BU3243:BU3306" si="749">IF($BY$12&lt;3,0,IF(BY3243&lt;=$BX$13,0,NORMDIST(LN((BY3243-$BX$13)/$BX$12),0,$BW$8,FALSE)/((BY3243-$BX$13)/$BX$12)))</f>
        <v>0</v>
      </c>
      <c r="BV3243" s="16">
        <f>IF($BY$12=1,NORMDIST(BY3243,$Y$6,$Y$8,TRUE),IF($BY$12=2,IF(BY3243&lt;=$BX$31,0,IF(BY3243&gt;=$BX$32,1,(BY3243-$BX$31)*$BX$33)),SUM($BU$42:BU3243)/$BV$40))</f>
        <v>1</v>
      </c>
      <c r="BW3243" s="16">
        <f t="shared" si="740"/>
        <v>1.587671959688545E-39</v>
      </c>
      <c r="BY3243" s="16">
        <f t="shared" si="741"/>
        <v>320.10000000000429</v>
      </c>
      <c r="BZ3243" s="16">
        <f t="shared" si="743"/>
        <v>4.9599248974961691E-42</v>
      </c>
      <c r="CA3243" s="16">
        <f t="shared" ref="CA3243:CA3306" si="750">IF(AND($CD$1,$CD$3),26-$CD$40*NORMDIST(BY3243,$Y$6,$Y$8/SQRT($T$18),FALSE),-999)</f>
        <v>-999</v>
      </c>
      <c r="CE3243" s="16" t="e">
        <f t="shared" si="744"/>
        <v>#N/A</v>
      </c>
      <c r="CF3243" s="16">
        <f t="shared" si="745"/>
        <v>99</v>
      </c>
      <c r="CG3243" s="16">
        <f t="shared" si="746"/>
        <v>0</v>
      </c>
      <c r="CH3243" s="16">
        <f t="shared" si="742"/>
        <v>0</v>
      </c>
      <c r="CJ3243" s="16" t="e">
        <f t="shared" si="747"/>
        <v>#N/A</v>
      </c>
      <c r="CK3243" s="16" t="str">
        <f t="shared" si="748"/>
        <v/>
      </c>
    </row>
    <row r="3244" spans="73:89" ht="12" customHeight="1">
      <c r="BU3244" s="16">
        <f t="shared" si="749"/>
        <v>0</v>
      </c>
      <c r="BV3244" s="16">
        <f>IF($BY$12=1,NORMDIST(BY3244,$Y$6,$Y$8,TRUE),IF($BY$12=2,IF(BY3244&lt;=$BX$31,0,IF(BY3244&gt;=$BX$32,1,(BY3244-$BX$31)*$BX$33)),SUM($BU$42:BU3244)/$BV$40))</f>
        <v>1</v>
      </c>
      <c r="BW3244" s="16">
        <f t="shared" si="740"/>
        <v>1.4844489420159286E-39</v>
      </c>
      <c r="BY3244" s="16">
        <f t="shared" si="741"/>
        <v>320.20000000000431</v>
      </c>
      <c r="BZ3244" s="16">
        <f t="shared" si="743"/>
        <v>4.6360054403994645E-42</v>
      </c>
      <c r="CA3244" s="16">
        <f t="shared" si="750"/>
        <v>-999</v>
      </c>
      <c r="CE3244" s="16" t="e">
        <f t="shared" si="744"/>
        <v>#N/A</v>
      </c>
      <c r="CF3244" s="16">
        <f t="shared" si="745"/>
        <v>99</v>
      </c>
      <c r="CG3244" s="16">
        <f t="shared" si="746"/>
        <v>0</v>
      </c>
      <c r="CH3244" s="16">
        <f t="shared" si="742"/>
        <v>0</v>
      </c>
      <c r="CJ3244" s="16" t="e">
        <f t="shared" si="747"/>
        <v>#N/A</v>
      </c>
      <c r="CK3244" s="16" t="str">
        <f t="shared" si="748"/>
        <v/>
      </c>
    </row>
    <row r="3245" spans="73:89" ht="12" customHeight="1">
      <c r="BU3245" s="16">
        <f t="shared" si="749"/>
        <v>0</v>
      </c>
      <c r="BV3245" s="16">
        <f>IF($BY$12=1,NORMDIST(BY3245,$Y$6,$Y$8,TRUE),IF($BY$12=2,IF(BY3245&lt;=$BX$31,0,IF(BY3245&gt;=$BX$32,1,(BY3245-$BX$31)*$BX$33)),SUM($BU$42:BU3245)/$BV$40))</f>
        <v>1</v>
      </c>
      <c r="BW3245" s="16">
        <f t="shared" si="740"/>
        <v>1.3879021696247938E-39</v>
      </c>
      <c r="BY3245" s="16">
        <f t="shared" si="741"/>
        <v>320.30000000000433</v>
      </c>
      <c r="BZ3245" s="16">
        <f t="shared" si="743"/>
        <v>4.333131968856619E-42</v>
      </c>
      <c r="CA3245" s="16">
        <f t="shared" si="750"/>
        <v>-999</v>
      </c>
      <c r="CE3245" s="16" t="e">
        <f t="shared" si="744"/>
        <v>#N/A</v>
      </c>
      <c r="CF3245" s="16">
        <f t="shared" si="745"/>
        <v>99</v>
      </c>
      <c r="CG3245" s="16">
        <f t="shared" si="746"/>
        <v>0</v>
      </c>
      <c r="CH3245" s="16">
        <f t="shared" si="742"/>
        <v>0</v>
      </c>
      <c r="CJ3245" s="16" t="e">
        <f t="shared" si="747"/>
        <v>#N/A</v>
      </c>
      <c r="CK3245" s="16" t="str">
        <f t="shared" si="748"/>
        <v/>
      </c>
    </row>
    <row r="3246" spans="73:89" ht="12" customHeight="1">
      <c r="BU3246" s="16">
        <f t="shared" si="749"/>
        <v>0</v>
      </c>
      <c r="BV3246" s="16">
        <f>IF($BY$12=1,NORMDIST(BY3246,$Y$6,$Y$8,TRUE),IF($BY$12=2,IF(BY3246&lt;=$BX$31,0,IF(BY3246&gt;=$BX$32,1,(BY3246-$BX$31)*$BX$33)),SUM($BU$42:BU3246)/$BV$40))</f>
        <v>1</v>
      </c>
      <c r="BW3246" s="16">
        <f t="shared" si="740"/>
        <v>1.297602116155548E-39</v>
      </c>
      <c r="BY3246" s="16">
        <f t="shared" si="741"/>
        <v>320.40000000000435</v>
      </c>
      <c r="BZ3246" s="16">
        <f t="shared" si="743"/>
        <v>4.0499441827575854E-42</v>
      </c>
      <c r="CA3246" s="16">
        <f t="shared" si="750"/>
        <v>-999</v>
      </c>
      <c r="CE3246" s="16" t="e">
        <f t="shared" si="744"/>
        <v>#N/A</v>
      </c>
      <c r="CF3246" s="16">
        <f t="shared" si="745"/>
        <v>99</v>
      </c>
      <c r="CG3246" s="16">
        <f t="shared" si="746"/>
        <v>0</v>
      </c>
      <c r="CH3246" s="16">
        <f t="shared" si="742"/>
        <v>0</v>
      </c>
      <c r="CJ3246" s="16" t="e">
        <f t="shared" si="747"/>
        <v>#N/A</v>
      </c>
      <c r="CK3246" s="16" t="str">
        <f t="shared" si="748"/>
        <v/>
      </c>
    </row>
    <row r="3247" spans="73:89" ht="12" customHeight="1">
      <c r="BU3247" s="16">
        <f t="shared" si="749"/>
        <v>0</v>
      </c>
      <c r="BV3247" s="16">
        <f>IF($BY$12=1,NORMDIST(BY3247,$Y$6,$Y$8,TRUE),IF($BY$12=2,IF(BY3247&lt;=$BX$31,0,IF(BY3247&gt;=$BX$32,1,(BY3247-$BX$31)*$BX$33)),SUM($BU$42:BU3247)/$BV$40))</f>
        <v>1</v>
      </c>
      <c r="BW3247" s="16">
        <f t="shared" si="740"/>
        <v>1.2131467411244288E-39</v>
      </c>
      <c r="BY3247" s="16">
        <f t="shared" si="741"/>
        <v>320.50000000000438</v>
      </c>
      <c r="BZ3247" s="16">
        <f t="shared" si="743"/>
        <v>3.7851692390777292E-42</v>
      </c>
      <c r="CA3247" s="16">
        <f t="shared" si="750"/>
        <v>-999</v>
      </c>
      <c r="CE3247" s="16" t="e">
        <f t="shared" si="744"/>
        <v>#N/A</v>
      </c>
      <c r="CF3247" s="16">
        <f t="shared" si="745"/>
        <v>99</v>
      </c>
      <c r="CG3247" s="16">
        <f t="shared" si="746"/>
        <v>0</v>
      </c>
      <c r="CH3247" s="16">
        <f t="shared" si="742"/>
        <v>0</v>
      </c>
      <c r="CJ3247" s="16" t="e">
        <f t="shared" si="747"/>
        <v>#N/A</v>
      </c>
      <c r="CK3247" s="16" t="str">
        <f t="shared" si="748"/>
        <v/>
      </c>
    </row>
    <row r="3248" spans="73:89" ht="12" customHeight="1">
      <c r="BU3248" s="16">
        <f t="shared" si="749"/>
        <v>0</v>
      </c>
      <c r="BV3248" s="16">
        <f>IF($BY$12=1,NORMDIST(BY3248,$Y$6,$Y$8,TRUE),IF($BY$12=2,IF(BY3248&lt;=$BX$31,0,IF(BY3248&gt;=$BX$32,1,(BY3248-$BX$31)*$BX$33)),SUM($BU$42:BU3248)/$BV$40))</f>
        <v>1</v>
      </c>
      <c r="BW3248" s="16">
        <f t="shared" si="740"/>
        <v>1.1341597406792895E-39</v>
      </c>
      <c r="BY3248" s="16">
        <f t="shared" si="741"/>
        <v>320.6000000000044</v>
      </c>
      <c r="BZ3248" s="16">
        <f t="shared" si="743"/>
        <v>3.5376161593239986E-42</v>
      </c>
      <c r="CA3248" s="16">
        <f t="shared" si="750"/>
        <v>-999</v>
      </c>
      <c r="CE3248" s="16" t="e">
        <f t="shared" si="744"/>
        <v>#N/A</v>
      </c>
      <c r="CF3248" s="16">
        <f t="shared" si="745"/>
        <v>99</v>
      </c>
      <c r="CG3248" s="16">
        <f t="shared" si="746"/>
        <v>0</v>
      </c>
      <c r="CH3248" s="16">
        <f t="shared" si="742"/>
        <v>0</v>
      </c>
      <c r="CJ3248" s="16" t="e">
        <f t="shared" si="747"/>
        <v>#N/A</v>
      </c>
      <c r="CK3248" s="16" t="str">
        <f t="shared" si="748"/>
        <v/>
      </c>
    </row>
    <row r="3249" spans="73:89" ht="12" customHeight="1">
      <c r="BU3249" s="16">
        <f t="shared" si="749"/>
        <v>0</v>
      </c>
      <c r="BV3249" s="16">
        <f>IF($BY$12=1,NORMDIST(BY3249,$Y$6,$Y$8,TRUE),IF($BY$12=2,IF(BY3249&lt;=$BX$31,0,IF(BY3249&gt;=$BX$32,1,(BY3249-$BX$31)*$BX$33)),SUM($BU$42:BU3249)/$BV$40))</f>
        <v>1</v>
      </c>
      <c r="BW3249" s="16">
        <f t="shared" si="740"/>
        <v>1.0602889090609142E-39</v>
      </c>
      <c r="BY3249" s="16">
        <f t="shared" si="741"/>
        <v>320.70000000000442</v>
      </c>
      <c r="BZ3249" s="16">
        <f t="shared" si="743"/>
        <v>3.3061705926439026E-42</v>
      </c>
      <c r="CA3249" s="16">
        <f t="shared" si="750"/>
        <v>-999</v>
      </c>
      <c r="CE3249" s="16" t="e">
        <f t="shared" si="744"/>
        <v>#N/A</v>
      </c>
      <c r="CF3249" s="16">
        <f t="shared" si="745"/>
        <v>99</v>
      </c>
      <c r="CG3249" s="16">
        <f t="shared" si="746"/>
        <v>0</v>
      </c>
      <c r="CH3249" s="16">
        <f t="shared" si="742"/>
        <v>0</v>
      </c>
      <c r="CJ3249" s="16" t="e">
        <f t="shared" si="747"/>
        <v>#N/A</v>
      </c>
      <c r="CK3249" s="16" t="str">
        <f t="shared" si="748"/>
        <v/>
      </c>
    </row>
    <row r="3250" spans="73:89" ht="12" customHeight="1">
      <c r="BU3250" s="16">
        <f t="shared" si="749"/>
        <v>0</v>
      </c>
      <c r="BV3250" s="16">
        <f>IF($BY$12=1,NORMDIST(BY3250,$Y$6,$Y$8,TRUE),IF($BY$12=2,IF(BY3250&lt;=$BX$31,0,IF(BY3250&gt;=$BX$32,1,(BY3250-$BX$31)*$BX$33)),SUM($BU$42:BU3250)/$BV$40))</f>
        <v>1</v>
      </c>
      <c r="BW3250" s="16">
        <f t="shared" si="740"/>
        <v>9.9120460380332623E-40</v>
      </c>
      <c r="BY3250" s="16">
        <f t="shared" si="741"/>
        <v>320.80000000000445</v>
      </c>
      <c r="BZ3250" s="16">
        <f t="shared" si="743"/>
        <v>3.0897899121050887E-42</v>
      </c>
      <c r="CA3250" s="16">
        <f t="shared" si="750"/>
        <v>-999</v>
      </c>
      <c r="CE3250" s="16" t="e">
        <f t="shared" si="744"/>
        <v>#N/A</v>
      </c>
      <c r="CF3250" s="16">
        <f t="shared" si="745"/>
        <v>99</v>
      </c>
      <c r="CG3250" s="16">
        <f t="shared" si="746"/>
        <v>0</v>
      </c>
      <c r="CH3250" s="16">
        <f t="shared" si="742"/>
        <v>0</v>
      </c>
      <c r="CJ3250" s="16" t="e">
        <f t="shared" si="747"/>
        <v>#N/A</v>
      </c>
      <c r="CK3250" s="16" t="str">
        <f t="shared" si="748"/>
        <v/>
      </c>
    </row>
    <row r="3251" spans="73:89" ht="12" customHeight="1">
      <c r="BU3251" s="16">
        <f t="shared" si="749"/>
        <v>0</v>
      </c>
      <c r="BV3251" s="16">
        <f>IF($BY$12=1,NORMDIST(BY3251,$Y$6,$Y$8,TRUE),IF($BY$12=2,IF(BY3251&lt;=$BX$31,0,IF(BY3251&gt;=$BX$32,1,(BY3251-$BX$31)*$BX$33)),SUM($BU$42:BU3251)/$BV$40))</f>
        <v>1</v>
      </c>
      <c r="BW3251" s="16">
        <f t="shared" si="740"/>
        <v>9.26598308142528E-40</v>
      </c>
      <c r="BY3251" s="16">
        <f t="shared" si="741"/>
        <v>320.90000000000447</v>
      </c>
      <c r="BZ3251" s="16">
        <f t="shared" si="743"/>
        <v>2.8874986230679812E-42</v>
      </c>
      <c r="CA3251" s="16">
        <f t="shared" si="750"/>
        <v>-999</v>
      </c>
      <c r="CE3251" s="16" t="e">
        <f t="shared" si="744"/>
        <v>#N/A</v>
      </c>
      <c r="CF3251" s="16">
        <f t="shared" si="745"/>
        <v>99</v>
      </c>
      <c r="CG3251" s="16">
        <f t="shared" si="746"/>
        <v>0</v>
      </c>
      <c r="CH3251" s="16">
        <f t="shared" si="742"/>
        <v>0</v>
      </c>
      <c r="CJ3251" s="16" t="e">
        <f t="shared" si="747"/>
        <v>#N/A</v>
      </c>
      <c r="CK3251" s="16" t="str">
        <f t="shared" si="748"/>
        <v/>
      </c>
    </row>
    <row r="3252" spans="73:89" ht="12" customHeight="1">
      <c r="BU3252" s="16">
        <f t="shared" si="749"/>
        <v>0</v>
      </c>
      <c r="BV3252" s="16">
        <f>IF($BY$12=1,NORMDIST(BY3252,$Y$6,$Y$8,TRUE),IF($BY$12=2,IF(BY3252&lt;=$BX$31,0,IF(BY3252&gt;=$BX$32,1,(BY3252-$BX$31)*$BX$33)),SUM($BU$42:BU3252)/$BV$40))</f>
        <v>1</v>
      </c>
      <c r="BW3252" s="16">
        <f t="shared" si="740"/>
        <v>8.661812845113246E-40</v>
      </c>
      <c r="BY3252" s="16">
        <f t="shared" si="741"/>
        <v>321.00000000000449</v>
      </c>
      <c r="BZ3252" s="16">
        <f t="shared" si="743"/>
        <v>2.6983840638981695E-42</v>
      </c>
      <c r="CA3252" s="16">
        <f t="shared" si="750"/>
        <v>-999</v>
      </c>
      <c r="CE3252" s="16" t="e">
        <f t="shared" si="744"/>
        <v>#N/A</v>
      </c>
      <c r="CF3252" s="16">
        <f t="shared" si="745"/>
        <v>99</v>
      </c>
      <c r="CG3252" s="16">
        <f t="shared" si="746"/>
        <v>0</v>
      </c>
      <c r="CH3252" s="16">
        <f t="shared" si="742"/>
        <v>0</v>
      </c>
      <c r="CJ3252" s="16" t="e">
        <f t="shared" si="747"/>
        <v>#N/A</v>
      </c>
      <c r="CK3252" s="16" t="str">
        <f t="shared" si="748"/>
        <v/>
      </c>
    </row>
    <row r="3253" spans="73:89" ht="12" customHeight="1">
      <c r="BU3253" s="16">
        <f t="shared" si="749"/>
        <v>0</v>
      </c>
      <c r="BV3253" s="16">
        <f>IF($BY$12=1,NORMDIST(BY3253,$Y$6,$Y$8,TRUE),IF($BY$12=2,IF(BY3253&lt;=$BX$31,0,IF(BY3253&gt;=$BX$32,1,(BY3253-$BX$31)*$BX$33)),SUM($BU$42:BU3253)/$BV$40))</f>
        <v>1</v>
      </c>
      <c r="BW3253" s="16">
        <f t="shared" si="740"/>
        <v>8.0968331338172524E-40</v>
      </c>
      <c r="BY3253" s="16">
        <f t="shared" si="741"/>
        <v>321.10000000000451</v>
      </c>
      <c r="BZ3253" s="16">
        <f t="shared" si="743"/>
        <v>2.521592380509853E-42</v>
      </c>
      <c r="CA3253" s="16">
        <f t="shared" si="750"/>
        <v>-999</v>
      </c>
      <c r="CE3253" s="16" t="e">
        <f t="shared" si="744"/>
        <v>#N/A</v>
      </c>
      <c r="CF3253" s="16">
        <f t="shared" si="745"/>
        <v>99</v>
      </c>
      <c r="CG3253" s="16">
        <f t="shared" si="746"/>
        <v>0</v>
      </c>
      <c r="CH3253" s="16">
        <f t="shared" si="742"/>
        <v>0</v>
      </c>
      <c r="CJ3253" s="16" t="e">
        <f t="shared" si="747"/>
        <v>#N/A</v>
      </c>
      <c r="CK3253" s="16" t="str">
        <f t="shared" si="748"/>
        <v/>
      </c>
    </row>
    <row r="3254" spans="73:89" ht="12" customHeight="1">
      <c r="BU3254" s="16">
        <f t="shared" si="749"/>
        <v>0</v>
      </c>
      <c r="BV3254" s="16">
        <f>IF($BY$12=1,NORMDIST(BY3254,$Y$6,$Y$8,TRUE),IF($BY$12=2,IF(BY3254&lt;=$BX$31,0,IF(BY3254&gt;=$BX$32,1,(BY3254-$BX$31)*$BX$33)),SUM($BU$42:BU3254)/$BV$40))</f>
        <v>1</v>
      </c>
      <c r="BW3254" s="16">
        <f t="shared" si="740"/>
        <v>7.568515120759684E-40</v>
      </c>
      <c r="BY3254" s="16">
        <f t="shared" si="741"/>
        <v>321.20000000000454</v>
      </c>
      <c r="BZ3254" s="16">
        <f t="shared" si="743"/>
        <v>2.3563247573971284E-42</v>
      </c>
      <c r="CA3254" s="16">
        <f t="shared" si="750"/>
        <v>-999</v>
      </c>
      <c r="CE3254" s="16" t="e">
        <f t="shared" si="744"/>
        <v>#N/A</v>
      </c>
      <c r="CF3254" s="16">
        <f t="shared" si="745"/>
        <v>99</v>
      </c>
      <c r="CG3254" s="16">
        <f t="shared" si="746"/>
        <v>0</v>
      </c>
      <c r="CH3254" s="16">
        <f t="shared" si="742"/>
        <v>0</v>
      </c>
      <c r="CJ3254" s="16" t="e">
        <f t="shared" si="747"/>
        <v>#N/A</v>
      </c>
      <c r="CK3254" s="16" t="str">
        <f t="shared" si="748"/>
        <v/>
      </c>
    </row>
    <row r="3255" spans="73:89" ht="12" customHeight="1">
      <c r="BU3255" s="16">
        <f t="shared" si="749"/>
        <v>0</v>
      </c>
      <c r="BV3255" s="16">
        <f>IF($BY$12=1,NORMDIST(BY3255,$Y$6,$Y$8,TRUE),IF($BY$12=2,IF(BY3255&lt;=$BX$31,0,IF(BY3255&gt;=$BX$32,1,(BY3255-$BX$31)*$BX$33)),SUM($BU$42:BU3255)/$BV$40))</f>
        <v>1</v>
      </c>
      <c r="BW3255" s="16">
        <f t="shared" si="740"/>
        <v>7.0744922850357796E-40</v>
      </c>
      <c r="BY3255" s="16">
        <f t="shared" si="741"/>
        <v>321.30000000000456</v>
      </c>
      <c r="BZ3255" s="16">
        <f t="shared" si="743"/>
        <v>2.2018338888999936E-42</v>
      </c>
      <c r="CA3255" s="16">
        <f t="shared" si="750"/>
        <v>-999</v>
      </c>
      <c r="CE3255" s="16" t="e">
        <f t="shared" si="744"/>
        <v>#N/A</v>
      </c>
      <c r="CF3255" s="16">
        <f t="shared" si="745"/>
        <v>99</v>
      </c>
      <c r="CG3255" s="16">
        <f t="shared" si="746"/>
        <v>0</v>
      </c>
      <c r="CH3255" s="16">
        <f t="shared" si="742"/>
        <v>0</v>
      </c>
      <c r="CJ3255" s="16" t="e">
        <f t="shared" si="747"/>
        <v>#N/A</v>
      </c>
      <c r="CK3255" s="16" t="str">
        <f t="shared" si="748"/>
        <v/>
      </c>
    </row>
    <row r="3256" spans="73:89" ht="12" customHeight="1">
      <c r="BU3256" s="16">
        <f t="shared" si="749"/>
        <v>0</v>
      </c>
      <c r="BV3256" s="16">
        <f>IF($BY$12=1,NORMDIST(BY3256,$Y$6,$Y$8,TRUE),IF($BY$12=2,IF(BY3256&lt;=$BX$31,0,IF(BY3256&gt;=$BX$32,1,(BY3256-$BX$31)*$BX$33)),SUM($BU$42:BU3256)/$BV$40))</f>
        <v>1</v>
      </c>
      <c r="BW3256" s="16">
        <f t="shared" si="740"/>
        <v>6.6125500509892767E-40</v>
      </c>
      <c r="BY3256" s="16">
        <f t="shared" si="741"/>
        <v>321.40000000000458</v>
      </c>
      <c r="BZ3256" s="16">
        <f t="shared" si="743"/>
        <v>2.0574206754788993E-42</v>
      </c>
      <c r="CA3256" s="16">
        <f t="shared" si="750"/>
        <v>-999</v>
      </c>
      <c r="CE3256" s="16" t="e">
        <f t="shared" si="744"/>
        <v>#N/A</v>
      </c>
      <c r="CF3256" s="16">
        <f t="shared" si="745"/>
        <v>99</v>
      </c>
      <c r="CG3256" s="16">
        <f t="shared" si="746"/>
        <v>0</v>
      </c>
      <c r="CH3256" s="16">
        <f t="shared" si="742"/>
        <v>0</v>
      </c>
      <c r="CJ3256" s="16" t="e">
        <f t="shared" si="747"/>
        <v>#N/A</v>
      </c>
      <c r="CK3256" s="16" t="str">
        <f t="shared" si="748"/>
        <v/>
      </c>
    </row>
    <row r="3257" spans="73:89" ht="12" customHeight="1">
      <c r="BU3257" s="16">
        <f t="shared" si="749"/>
        <v>0</v>
      </c>
      <c r="BV3257" s="16">
        <f>IF($BY$12=1,NORMDIST(BY3257,$Y$6,$Y$8,TRUE),IF($BY$12=2,IF(BY3257&lt;=$BX$31,0,IF(BY3257&gt;=$BX$32,1,(BY3257-$BX$31)*$BX$33)),SUM($BU$42:BU3257)/$BV$40))</f>
        <v>1</v>
      </c>
      <c r="BW3257" s="16">
        <f t="shared" si="740"/>
        <v>6.1806160852929592E-40</v>
      </c>
      <c r="BY3257" s="16">
        <f t="shared" si="741"/>
        <v>321.5000000000046</v>
      </c>
      <c r="BZ3257" s="16">
        <f t="shared" si="743"/>
        <v>1.9224311307287313E-42</v>
      </c>
      <c r="CA3257" s="16">
        <f t="shared" si="750"/>
        <v>-999</v>
      </c>
      <c r="CE3257" s="16" t="e">
        <f t="shared" si="744"/>
        <v>#N/A</v>
      </c>
      <c r="CF3257" s="16">
        <f t="shared" si="745"/>
        <v>99</v>
      </c>
      <c r="CG3257" s="16">
        <f t="shared" si="746"/>
        <v>0</v>
      </c>
      <c r="CH3257" s="16">
        <f t="shared" si="742"/>
        <v>0</v>
      </c>
      <c r="CJ3257" s="16" t="e">
        <f t="shared" si="747"/>
        <v>#N/A</v>
      </c>
      <c r="CK3257" s="16" t="str">
        <f t="shared" si="748"/>
        <v/>
      </c>
    </row>
    <row r="3258" spans="73:89" ht="12" customHeight="1">
      <c r="BU3258" s="16">
        <f t="shared" si="749"/>
        <v>0</v>
      </c>
      <c r="BV3258" s="16">
        <f>IF($BY$12=1,NORMDIST(BY3258,$Y$6,$Y$8,TRUE),IF($BY$12=2,IF(BY3258&lt;=$BX$31,0,IF(BY3258&gt;=$BX$32,1,(BY3258-$BX$31)*$BX$33)),SUM($BU$42:BU3258)/$BV$40))</f>
        <v>1</v>
      </c>
      <c r="BW3258" s="16">
        <f t="shared" si="740"/>
        <v>5.7767512102198054E-40</v>
      </c>
      <c r="BY3258" s="16">
        <f t="shared" si="741"/>
        <v>321.60000000000463</v>
      </c>
      <c r="BZ3258" s="16">
        <f t="shared" si="743"/>
        <v>1.7962534857648391E-42</v>
      </c>
      <c r="CA3258" s="16">
        <f t="shared" si="750"/>
        <v>-999</v>
      </c>
      <c r="CE3258" s="16" t="e">
        <f t="shared" si="744"/>
        <v>#N/A</v>
      </c>
      <c r="CF3258" s="16">
        <f t="shared" si="745"/>
        <v>99</v>
      </c>
      <c r="CG3258" s="16">
        <f t="shared" si="746"/>
        <v>0</v>
      </c>
      <c r="CH3258" s="16">
        <f t="shared" si="742"/>
        <v>0</v>
      </c>
      <c r="CJ3258" s="16" t="e">
        <f t="shared" si="747"/>
        <v>#N/A</v>
      </c>
      <c r="CK3258" s="16" t="str">
        <f t="shared" si="748"/>
        <v/>
      </c>
    </row>
    <row r="3259" spans="73:89" ht="12" customHeight="1">
      <c r="BU3259" s="16">
        <f t="shared" si="749"/>
        <v>0</v>
      </c>
      <c r="BV3259" s="16">
        <f>IF($BY$12=1,NORMDIST(BY3259,$Y$6,$Y$8,TRUE),IF($BY$12=2,IF(BY3259&lt;=$BX$31,0,IF(BY3259&gt;=$BX$32,1,(BY3259-$BX$31)*$BX$33)),SUM($BU$42:BU3259)/$BV$40))</f>
        <v>1</v>
      </c>
      <c r="BW3259" s="16">
        <f t="shared" ref="BW3259:BW3322" si="751">BY3259*BZ3259</f>
        <v>5.3991408941901246E-40</v>
      </c>
      <c r="BY3259" s="16">
        <f t="shared" ref="BY3259:BY3322" si="752">BY3258+$BZ$1</f>
        <v>321.70000000000465</v>
      </c>
      <c r="BZ3259" s="16">
        <f t="shared" si="743"/>
        <v>1.6783154784550969E-42</v>
      </c>
      <c r="CA3259" s="16">
        <f t="shared" si="750"/>
        <v>-999</v>
      </c>
      <c r="CE3259" s="16" t="e">
        <f t="shared" si="744"/>
        <v>#N/A</v>
      </c>
      <c r="CF3259" s="16">
        <f t="shared" si="745"/>
        <v>99</v>
      </c>
      <c r="CG3259" s="16">
        <f t="shared" si="746"/>
        <v>0</v>
      </c>
      <c r="CH3259" s="16">
        <f t="shared" si="742"/>
        <v>0</v>
      </c>
      <c r="CJ3259" s="16" t="e">
        <f t="shared" si="747"/>
        <v>#N/A</v>
      </c>
      <c r="CK3259" s="16" t="str">
        <f t="shared" si="748"/>
        <v/>
      </c>
    </row>
    <row r="3260" spans="73:89" ht="12" customHeight="1">
      <c r="BU3260" s="16">
        <f t="shared" si="749"/>
        <v>0</v>
      </c>
      <c r="BV3260" s="16">
        <f>IF($BY$12=1,NORMDIST(BY3260,$Y$6,$Y$8,TRUE),IF($BY$12=2,IF(BY3260&lt;=$BX$31,0,IF(BY3260&gt;=$BX$32,1,(BY3260-$BX$31)*$BX$33)),SUM($BU$42:BU3260)/$BV$40))</f>
        <v>1</v>
      </c>
      <c r="BW3260" s="16">
        <f t="shared" si="751"/>
        <v>5.0460872831296457E-40</v>
      </c>
      <c r="BY3260" s="16">
        <f t="shared" si="752"/>
        <v>321.80000000000467</v>
      </c>
      <c r="BZ3260" s="16">
        <f t="shared" si="743"/>
        <v>1.5680818157643171E-42</v>
      </c>
      <c r="CA3260" s="16">
        <f t="shared" si="750"/>
        <v>-999</v>
      </c>
      <c r="CE3260" s="16" t="e">
        <f t="shared" si="744"/>
        <v>#N/A</v>
      </c>
      <c r="CF3260" s="16">
        <f t="shared" si="745"/>
        <v>99</v>
      </c>
      <c r="CG3260" s="16">
        <f t="shared" si="746"/>
        <v>0</v>
      </c>
      <c r="CH3260" s="16">
        <f t="shared" si="742"/>
        <v>0</v>
      </c>
      <c r="CJ3260" s="16" t="e">
        <f t="shared" si="747"/>
        <v>#N/A</v>
      </c>
      <c r="CK3260" s="16" t="str">
        <f t="shared" si="748"/>
        <v/>
      </c>
    </row>
    <row r="3261" spans="73:89" ht="12" customHeight="1">
      <c r="BU3261" s="16">
        <f t="shared" si="749"/>
        <v>0</v>
      </c>
      <c r="BV3261" s="16">
        <f>IF($BY$12=1,NORMDIST(BY3261,$Y$6,$Y$8,TRUE),IF($BY$12=2,IF(BY3261&lt;=$BX$31,0,IF(BY3261&gt;=$BX$32,1,(BY3261-$BX$31)*$BX$33)),SUM($BU$42:BU3261)/$BV$40))</f>
        <v>1</v>
      </c>
      <c r="BW3261" s="16">
        <f t="shared" si="751"/>
        <v>4.7160017384576543E-40</v>
      </c>
      <c r="BY3261" s="16">
        <f t="shared" si="752"/>
        <v>321.9000000000047</v>
      </c>
      <c r="BZ3261" s="16">
        <f t="shared" si="743"/>
        <v>1.4650517982160875E-42</v>
      </c>
      <c r="CA3261" s="16">
        <f t="shared" si="750"/>
        <v>-999</v>
      </c>
      <c r="CE3261" s="16" t="e">
        <f t="shared" si="744"/>
        <v>#N/A</v>
      </c>
      <c r="CF3261" s="16">
        <f t="shared" si="745"/>
        <v>99</v>
      </c>
      <c r="CG3261" s="16">
        <f t="shared" si="746"/>
        <v>0</v>
      </c>
      <c r="CH3261" s="16">
        <f t="shared" si="742"/>
        <v>0</v>
      </c>
      <c r="CJ3261" s="16" t="e">
        <f t="shared" si="747"/>
        <v>#N/A</v>
      </c>
      <c r="CK3261" s="16" t="str">
        <f t="shared" si="748"/>
        <v/>
      </c>
    </row>
    <row r="3262" spans="73:89" ht="12" customHeight="1">
      <c r="BU3262" s="16">
        <f t="shared" si="749"/>
        <v>0</v>
      </c>
      <c r="BV3262" s="16">
        <f>IF($BY$12=1,NORMDIST(BY3262,$Y$6,$Y$8,TRUE),IF($BY$12=2,IF(BY3262&lt;=$BX$31,0,IF(BY3262&gt;=$BX$32,1,(BY3262-$BX$31)*$BX$33)),SUM($BU$42:BU3262)/$BV$40))</f>
        <v>1</v>
      </c>
      <c r="BW3262" s="16">
        <f t="shared" si="751"/>
        <v>4.4073978496779554E-40</v>
      </c>
      <c r="BY3262" s="16">
        <f t="shared" si="752"/>
        <v>322.00000000000472</v>
      </c>
      <c r="BZ3262" s="16">
        <f t="shared" si="743"/>
        <v>1.3687570961732579E-42</v>
      </c>
      <c r="CA3262" s="16">
        <f t="shared" si="750"/>
        <v>-999</v>
      </c>
      <c r="CE3262" s="16" t="e">
        <f t="shared" si="744"/>
        <v>#N/A</v>
      </c>
      <c r="CF3262" s="16">
        <f t="shared" si="745"/>
        <v>99</v>
      </c>
      <c r="CG3262" s="16">
        <f t="shared" si="746"/>
        <v>0</v>
      </c>
      <c r="CH3262" s="16">
        <f t="shared" si="742"/>
        <v>0</v>
      </c>
      <c r="CJ3262" s="16" t="e">
        <f t="shared" si="747"/>
        <v>#N/A</v>
      </c>
      <c r="CK3262" s="16" t="str">
        <f t="shared" si="748"/>
        <v/>
      </c>
    </row>
    <row r="3263" spans="73:89" ht="12" customHeight="1">
      <c r="BU3263" s="16">
        <f t="shared" si="749"/>
        <v>0</v>
      </c>
      <c r="BV3263" s="16">
        <f>IF($BY$12=1,NORMDIST(BY3263,$Y$6,$Y$8,TRUE),IF($BY$12=2,IF(BY3263&lt;=$BX$31,0,IF(BY3263&gt;=$BX$32,1,(BY3263-$BX$31)*$BX$33)),SUM($BU$42:BU3263)/$BV$40))</f>
        <v>1</v>
      </c>
      <c r="BW3263" s="16">
        <f t="shared" si="751"/>
        <v>4.1188848915531736E-40</v>
      </c>
      <c r="BY3263" s="16">
        <f t="shared" si="752"/>
        <v>322.10000000000474</v>
      </c>
      <c r="BZ3263" s="16">
        <f t="shared" si="743"/>
        <v>1.278759668287213E-42</v>
      </c>
      <c r="CA3263" s="16">
        <f t="shared" si="750"/>
        <v>-999</v>
      </c>
      <c r="CE3263" s="16" t="e">
        <f t="shared" si="744"/>
        <v>#N/A</v>
      </c>
      <c r="CF3263" s="16">
        <f t="shared" si="745"/>
        <v>99</v>
      </c>
      <c r="CG3263" s="16">
        <f t="shared" si="746"/>
        <v>0</v>
      </c>
      <c r="CH3263" s="16">
        <f t="shared" si="742"/>
        <v>0</v>
      </c>
      <c r="CJ3263" s="16" t="e">
        <f t="shared" si="747"/>
        <v>#N/A</v>
      </c>
      <c r="CK3263" s="16" t="str">
        <f t="shared" si="748"/>
        <v/>
      </c>
    </row>
    <row r="3264" spans="73:89" ht="12" customHeight="1">
      <c r="BU3264" s="16">
        <f t="shared" si="749"/>
        <v>0</v>
      </c>
      <c r="BV3264" s="16">
        <f>IF($BY$12=1,NORMDIST(BY3264,$Y$6,$Y$8,TRUE),IF($BY$12=2,IF(BY3264&lt;=$BX$31,0,IF(BY3264&gt;=$BX$32,1,(BY3264-$BX$31)*$BX$33)),SUM($BU$42:BU3264)/$BV$40))</f>
        <v>1</v>
      </c>
      <c r="BW3264" s="16">
        <f t="shared" si="751"/>
        <v>3.8491616977356326E-40</v>
      </c>
      <c r="BY3264" s="16">
        <f t="shared" si="752"/>
        <v>322.20000000000476</v>
      </c>
      <c r="BZ3264" s="16">
        <f t="shared" si="743"/>
        <v>1.1946498130774598E-42</v>
      </c>
      <c r="CA3264" s="16">
        <f t="shared" si="750"/>
        <v>-999</v>
      </c>
      <c r="CE3264" s="16" t="e">
        <f t="shared" si="744"/>
        <v>#N/A</v>
      </c>
      <c r="CF3264" s="16">
        <f t="shared" si="745"/>
        <v>99</v>
      </c>
      <c r="CG3264" s="16">
        <f t="shared" si="746"/>
        <v>0</v>
      </c>
      <c r="CH3264" s="16">
        <f t="shared" si="742"/>
        <v>0</v>
      </c>
      <c r="CJ3264" s="16" t="e">
        <f t="shared" si="747"/>
        <v>#N/A</v>
      </c>
      <c r="CK3264" s="16" t="str">
        <f t="shared" si="748"/>
        <v/>
      </c>
    </row>
    <row r="3265" spans="73:89" ht="12" customHeight="1">
      <c r="BU3265" s="16">
        <f t="shared" si="749"/>
        <v>0</v>
      </c>
      <c r="BV3265" s="16">
        <f>IF($BY$12=1,NORMDIST(BY3265,$Y$6,$Y$8,TRUE),IF($BY$12=2,IF(BY3265&lt;=$BX$31,0,IF(BY3265&gt;=$BX$32,1,(BY3265-$BX$31)*$BX$33)),SUM($BU$42:BU3265)/$BV$40))</f>
        <v>1</v>
      </c>
      <c r="BW3265" s="16">
        <f t="shared" si="751"/>
        <v>3.5970109244934093E-40</v>
      </c>
      <c r="BY3265" s="16">
        <f t="shared" si="752"/>
        <v>322.30000000000479</v>
      </c>
      <c r="BZ3265" s="16">
        <f t="shared" si="743"/>
        <v>1.116044345173241E-42</v>
      </c>
      <c r="CA3265" s="16">
        <f t="shared" si="750"/>
        <v>-999</v>
      </c>
      <c r="CE3265" s="16" t="e">
        <f t="shared" si="744"/>
        <v>#N/A</v>
      </c>
      <c r="CF3265" s="16">
        <f t="shared" si="745"/>
        <v>99</v>
      </c>
      <c r="CG3265" s="16">
        <f t="shared" si="746"/>
        <v>0</v>
      </c>
      <c r="CH3265" s="16">
        <f t="shared" si="742"/>
        <v>0</v>
      </c>
      <c r="CJ3265" s="16" t="e">
        <f t="shared" si="747"/>
        <v>#N/A</v>
      </c>
      <c r="CK3265" s="16" t="str">
        <f t="shared" si="748"/>
        <v/>
      </c>
    </row>
    <row r="3266" spans="73:89" ht="12" customHeight="1">
      <c r="BU3266" s="16">
        <f t="shared" si="749"/>
        <v>0</v>
      </c>
      <c r="BV3266" s="16">
        <f>IF($BY$12=1,NORMDIST(BY3266,$Y$6,$Y$8,TRUE),IF($BY$12=2,IF(BY3266&lt;=$BX$31,0,IF(BY3266&gt;=$BX$32,1,(BY3266-$BX$31)*$BX$33)),SUM($BU$42:BU3266)/$BV$40))</f>
        <v>1</v>
      </c>
      <c r="BW3266" s="16">
        <f t="shared" si="751"/>
        <v>3.3612936798332506E-40</v>
      </c>
      <c r="BY3266" s="16">
        <f t="shared" si="752"/>
        <v>322.40000000000481</v>
      </c>
      <c r="BZ3266" s="16">
        <f t="shared" si="743"/>
        <v>1.0425848882857322E-42</v>
      </c>
      <c r="CA3266" s="16">
        <f t="shared" si="750"/>
        <v>-999</v>
      </c>
      <c r="CE3266" s="16" t="e">
        <f t="shared" si="744"/>
        <v>#N/A</v>
      </c>
      <c r="CF3266" s="16">
        <f t="shared" si="745"/>
        <v>99</v>
      </c>
      <c r="CG3266" s="16">
        <f t="shared" si="746"/>
        <v>0</v>
      </c>
      <c r="CH3266" s="16">
        <f t="shared" si="742"/>
        <v>0</v>
      </c>
      <c r="CJ3266" s="16" t="e">
        <f t="shared" si="747"/>
        <v>#N/A</v>
      </c>
      <c r="CK3266" s="16" t="str">
        <f t="shared" si="748"/>
        <v/>
      </c>
    </row>
    <row r="3267" spans="73:89" ht="12" customHeight="1">
      <c r="BU3267" s="16">
        <f t="shared" si="749"/>
        <v>0</v>
      </c>
      <c r="BV3267" s="16">
        <f>IF($BY$12=1,NORMDIST(BY3267,$Y$6,$Y$8,TRUE),IF($BY$12=2,IF(BY3267&lt;=$BX$31,0,IF(BY3267&gt;=$BX$32,1,(BY3267-$BX$31)*$BX$33)),SUM($BU$42:BU3267)/$BV$40))</f>
        <v>1</v>
      </c>
      <c r="BW3267" s="16">
        <f t="shared" si="751"/>
        <v>3.1409444948717905E-40</v>
      </c>
      <c r="BY3267" s="16">
        <f t="shared" si="752"/>
        <v>322.50000000000483</v>
      </c>
      <c r="BZ3267" s="16">
        <f t="shared" si="743"/>
        <v>9.7393627747961035E-43</v>
      </c>
      <c r="CA3267" s="16">
        <f t="shared" si="750"/>
        <v>-999</v>
      </c>
      <c r="CE3267" s="16" t="e">
        <f t="shared" si="744"/>
        <v>#N/A</v>
      </c>
      <c r="CF3267" s="16">
        <f t="shared" si="745"/>
        <v>99</v>
      </c>
      <c r="CG3267" s="16">
        <f t="shared" si="746"/>
        <v>0</v>
      </c>
      <c r="CH3267" s="16">
        <f t="shared" ref="CH3267:CH3330" si="753">IF(CB3267="",0,1)</f>
        <v>0</v>
      </c>
      <c r="CJ3267" s="16" t="e">
        <f t="shared" si="747"/>
        <v>#N/A</v>
      </c>
      <c r="CK3267" s="16" t="str">
        <f t="shared" si="748"/>
        <v/>
      </c>
    </row>
    <row r="3268" spans="73:89" ht="12" customHeight="1">
      <c r="BU3268" s="16">
        <f t="shared" si="749"/>
        <v>0</v>
      </c>
      <c r="BV3268" s="16">
        <f>IF($BY$12=1,NORMDIST(BY3268,$Y$6,$Y$8,TRUE),IF($BY$12=2,IF(BY3268&lt;=$BX$31,0,IF(BY3268&gt;=$BX$32,1,(BY3268-$BX$31)*$BX$33)),SUM($BU$42:BU3268)/$BV$40))</f>
        <v>1</v>
      </c>
      <c r="BW3268" s="16">
        <f t="shared" si="751"/>
        <v>2.9349666157709292E-40</v>
      </c>
      <c r="BY3268" s="16">
        <f t="shared" si="752"/>
        <v>322.60000000000485</v>
      </c>
      <c r="BZ3268" s="16">
        <f t="shared" si="743"/>
        <v>9.0978506378514727E-43</v>
      </c>
      <c r="CA3268" s="16">
        <f t="shared" si="750"/>
        <v>-999</v>
      </c>
      <c r="CE3268" s="16" t="e">
        <f t="shared" si="744"/>
        <v>#N/A</v>
      </c>
      <c r="CF3268" s="16">
        <f t="shared" si="745"/>
        <v>99</v>
      </c>
      <c r="CG3268" s="16">
        <f t="shared" si="746"/>
        <v>0</v>
      </c>
      <c r="CH3268" s="16">
        <f t="shared" si="753"/>
        <v>0</v>
      </c>
      <c r="CJ3268" s="16" t="e">
        <f t="shared" si="747"/>
        <v>#N/A</v>
      </c>
      <c r="CK3268" s="16" t="str">
        <f t="shared" si="748"/>
        <v/>
      </c>
    </row>
    <row r="3269" spans="73:89" ht="12" customHeight="1">
      <c r="BU3269" s="16">
        <f t="shared" si="749"/>
        <v>0</v>
      </c>
      <c r="BV3269" s="16">
        <f>IF($BY$12=1,NORMDIST(BY3269,$Y$6,$Y$8,TRUE),IF($BY$12=2,IF(BY3269&lt;=$BX$31,0,IF(BY3269&gt;=$BX$32,1,(BY3269-$BX$31)*$BX$33)),SUM($BU$42:BU3269)/$BV$40))</f>
        <v>1</v>
      </c>
      <c r="BW3269" s="16">
        <f t="shared" si="751"/>
        <v>2.7424275959130565E-40</v>
      </c>
      <c r="BY3269" s="16">
        <f t="shared" si="752"/>
        <v>322.70000000000488</v>
      </c>
      <c r="BZ3269" s="16">
        <f t="shared" si="743"/>
        <v>8.4983811463062132E-43</v>
      </c>
      <c r="CA3269" s="16">
        <f t="shared" si="750"/>
        <v>-999</v>
      </c>
      <c r="CE3269" s="16" t="e">
        <f t="shared" si="744"/>
        <v>#N/A</v>
      </c>
      <c r="CF3269" s="16">
        <f t="shared" si="745"/>
        <v>99</v>
      </c>
      <c r="CG3269" s="16">
        <f t="shared" si="746"/>
        <v>0</v>
      </c>
      <c r="CH3269" s="16">
        <f t="shared" si="753"/>
        <v>0</v>
      </c>
      <c r="CJ3269" s="16" t="e">
        <f t="shared" si="747"/>
        <v>#N/A</v>
      </c>
      <c r="CK3269" s="16" t="str">
        <f t="shared" si="748"/>
        <v/>
      </c>
    </row>
    <row r="3270" spans="73:89" ht="12" customHeight="1">
      <c r="BU3270" s="16">
        <f t="shared" si="749"/>
        <v>0</v>
      </c>
      <c r="BV3270" s="16">
        <f>IF($BY$12=1,NORMDIST(BY3270,$Y$6,$Y$8,TRUE),IF($BY$12=2,IF(BY3270&lt;=$BX$31,0,IF(BY3270&gt;=$BX$32,1,(BY3270-$BX$31)*$BX$33)),SUM($BU$42:BU3270)/$BV$40))</f>
        <v>1</v>
      </c>
      <c r="BW3270" s="16">
        <f t="shared" si="751"/>
        <v>2.5624551692781214E-40</v>
      </c>
      <c r="BY3270" s="16">
        <f t="shared" si="752"/>
        <v>322.8000000000049</v>
      </c>
      <c r="BZ3270" s="16">
        <f t="shared" si="743"/>
        <v>7.9382130398949278E-43</v>
      </c>
      <c r="CA3270" s="16">
        <f t="shared" si="750"/>
        <v>-999</v>
      </c>
      <c r="CE3270" s="16" t="e">
        <f t="shared" si="744"/>
        <v>#N/A</v>
      </c>
      <c r="CF3270" s="16">
        <f t="shared" si="745"/>
        <v>99</v>
      </c>
      <c r="CG3270" s="16">
        <f t="shared" si="746"/>
        <v>0</v>
      </c>
      <c r="CH3270" s="16">
        <f t="shared" si="753"/>
        <v>0</v>
      </c>
      <c r="CJ3270" s="16" t="e">
        <f t="shared" si="747"/>
        <v>#N/A</v>
      </c>
      <c r="CK3270" s="16" t="str">
        <f t="shared" si="748"/>
        <v/>
      </c>
    </row>
    <row r="3271" spans="73:89" ht="12" customHeight="1">
      <c r="BU3271" s="16">
        <f t="shared" si="749"/>
        <v>0</v>
      </c>
      <c r="BV3271" s="16">
        <f>IF($BY$12=1,NORMDIST(BY3271,$Y$6,$Y$8,TRUE),IF($BY$12=2,IF(BY3271&lt;=$BX$31,0,IF(BY3271&gt;=$BX$32,1,(BY3271-$BX$31)*$BX$33)),SUM($BU$42:BU3271)/$BV$40))</f>
        <v>1</v>
      </c>
      <c r="BW3271" s="16">
        <f t="shared" si="751"/>
        <v>2.394233387181615E-40</v>
      </c>
      <c r="BY3271" s="16">
        <f t="shared" si="752"/>
        <v>322.90000000000492</v>
      </c>
      <c r="BZ3271" s="16">
        <f t="shared" si="743"/>
        <v>7.4147828652263187E-43</v>
      </c>
      <c r="CA3271" s="16">
        <f t="shared" si="750"/>
        <v>-999</v>
      </c>
      <c r="CE3271" s="16" t="e">
        <f t="shared" si="744"/>
        <v>#N/A</v>
      </c>
      <c r="CF3271" s="16">
        <f t="shared" si="745"/>
        <v>99</v>
      </c>
      <c r="CG3271" s="16">
        <f t="shared" si="746"/>
        <v>0</v>
      </c>
      <c r="CH3271" s="16">
        <f t="shared" si="753"/>
        <v>0</v>
      </c>
      <c r="CJ3271" s="16" t="e">
        <f t="shared" si="747"/>
        <v>#N/A</v>
      </c>
      <c r="CK3271" s="16" t="str">
        <f t="shared" si="748"/>
        <v/>
      </c>
    </row>
    <row r="3272" spans="73:89" ht="12" customHeight="1">
      <c r="BU3272" s="16">
        <f t="shared" si="749"/>
        <v>0</v>
      </c>
      <c r="BV3272" s="16">
        <f>IF($BY$12=1,NORMDIST(BY3272,$Y$6,$Y$8,TRUE),IF($BY$12=2,IF(BY3272&lt;=$BX$31,0,IF(BY3272&gt;=$BX$32,1,(BY3272-$BX$31)*$BX$33)),SUM($BU$42:BU3272)/$BV$40))</f>
        <v>1</v>
      </c>
      <c r="BW3272" s="16">
        <f t="shared" si="751"/>
        <v>2.2369990016594816E-40</v>
      </c>
      <c r="BY3272" s="16">
        <f t="shared" si="752"/>
        <v>323.00000000000495</v>
      </c>
      <c r="BZ3272" s="16">
        <f t="shared" si="743"/>
        <v>6.92569350358962E-43</v>
      </c>
      <c r="CA3272" s="16">
        <f t="shared" si="750"/>
        <v>-999</v>
      </c>
      <c r="CE3272" s="16" t="e">
        <f t="shared" si="744"/>
        <v>#N/A</v>
      </c>
      <c r="CF3272" s="16">
        <f t="shared" si="745"/>
        <v>99</v>
      </c>
      <c r="CG3272" s="16">
        <f t="shared" si="746"/>
        <v>0</v>
      </c>
      <c r="CH3272" s="16">
        <f t="shared" si="753"/>
        <v>0</v>
      </c>
      <c r="CJ3272" s="16" t="e">
        <f t="shared" si="747"/>
        <v>#N/A</v>
      </c>
      <c r="CK3272" s="16" t="str">
        <f t="shared" si="748"/>
        <v/>
      </c>
    </row>
    <row r="3273" spans="73:89" ht="12" customHeight="1">
      <c r="BU3273" s="16">
        <f t="shared" si="749"/>
        <v>0</v>
      </c>
      <c r="BV3273" s="16">
        <f>IF($BY$12=1,NORMDIST(BY3273,$Y$6,$Y$8,TRUE),IF($BY$12=2,IF(BY3273&lt;=$BX$31,0,IF(BY3273&gt;=$BX$32,1,(BY3273-$BX$31)*$BX$33)),SUM($BU$42:BU3273)/$BV$40))</f>
        <v>1</v>
      </c>
      <c r="BW3273" s="16">
        <f t="shared" si="751"/>
        <v>2.0900380798407837E-40</v>
      </c>
      <c r="BY3273" s="16">
        <f t="shared" si="752"/>
        <v>323.10000000000497</v>
      </c>
      <c r="BZ3273" s="16">
        <f t="shared" si="743"/>
        <v>6.4687034349760179E-43</v>
      </c>
      <c r="CA3273" s="16">
        <f t="shared" si="750"/>
        <v>-999</v>
      </c>
      <c r="CE3273" s="16" t="e">
        <f t="shared" si="744"/>
        <v>#N/A</v>
      </c>
      <c r="CF3273" s="16">
        <f t="shared" si="745"/>
        <v>99</v>
      </c>
      <c r="CG3273" s="16">
        <f t="shared" si="746"/>
        <v>0</v>
      </c>
      <c r="CH3273" s="16">
        <f t="shared" si="753"/>
        <v>0</v>
      </c>
      <c r="CJ3273" s="16" t="e">
        <f t="shared" si="747"/>
        <v>#N/A</v>
      </c>
      <c r="CK3273" s="16" t="str">
        <f t="shared" si="748"/>
        <v/>
      </c>
    </row>
    <row r="3274" spans="73:89" ht="12" customHeight="1">
      <c r="BU3274" s="16">
        <f t="shared" si="749"/>
        <v>0</v>
      </c>
      <c r="BV3274" s="16">
        <f>IF($BY$12=1,NORMDIST(BY3274,$Y$6,$Y$8,TRUE),IF($BY$12=2,IF(BY3274&lt;=$BX$31,0,IF(BY3274&gt;=$BX$32,1,(BY3274-$BX$31)*$BX$33)),SUM($BU$42:BU3274)/$BV$40))</f>
        <v>1</v>
      </c>
      <c r="BW3274" s="16">
        <f t="shared" si="751"/>
        <v>1.9526828346364583E-40</v>
      </c>
      <c r="BY3274" s="16">
        <f t="shared" si="752"/>
        <v>323.20000000000499</v>
      </c>
      <c r="BZ3274" s="16">
        <f t="shared" si="743"/>
        <v>6.0417166913255819E-43</v>
      </c>
      <c r="CA3274" s="16">
        <f t="shared" si="750"/>
        <v>-999</v>
      </c>
      <c r="CE3274" s="16" t="e">
        <f t="shared" si="744"/>
        <v>#N/A</v>
      </c>
      <c r="CF3274" s="16">
        <f t="shared" si="745"/>
        <v>99</v>
      </c>
      <c r="CG3274" s="16">
        <f t="shared" si="746"/>
        <v>0</v>
      </c>
      <c r="CH3274" s="16">
        <f t="shared" si="753"/>
        <v>0</v>
      </c>
      <c r="CJ3274" s="16" t="e">
        <f t="shared" si="747"/>
        <v>#N/A</v>
      </c>
      <c r="CK3274" s="16" t="str">
        <f t="shared" si="748"/>
        <v/>
      </c>
    </row>
    <row r="3275" spans="73:89" ht="12" customHeight="1">
      <c r="BU3275" s="16">
        <f t="shared" si="749"/>
        <v>0</v>
      </c>
      <c r="BV3275" s="16">
        <f>IF($BY$12=1,NORMDIST(BY3275,$Y$6,$Y$8,TRUE),IF($BY$12=2,IF(BY3275&lt;=$BX$31,0,IF(BY3275&gt;=$BX$32,1,(BY3275-$BX$31)*$BX$33)),SUM($BU$42:BU3275)/$BV$40))</f>
        <v>1</v>
      </c>
      <c r="BW3275" s="16">
        <f t="shared" si="751"/>
        <v>1.8243086580007687E-40</v>
      </c>
      <c r="BY3275" s="16">
        <f t="shared" si="752"/>
        <v>323.30000000000501</v>
      </c>
      <c r="BZ3275" s="16">
        <f t="shared" si="743"/>
        <v>5.6427734549976508E-43</v>
      </c>
      <c r="CA3275" s="16">
        <f t="shared" si="750"/>
        <v>-999</v>
      </c>
      <c r="CE3275" s="16" t="e">
        <f t="shared" si="744"/>
        <v>#N/A</v>
      </c>
      <c r="CF3275" s="16">
        <f t="shared" si="745"/>
        <v>99</v>
      </c>
      <c r="CG3275" s="16">
        <f t="shared" si="746"/>
        <v>0</v>
      </c>
      <c r="CH3275" s="16">
        <f t="shared" si="753"/>
        <v>0</v>
      </c>
      <c r="CJ3275" s="16" t="e">
        <f t="shared" si="747"/>
        <v>#N/A</v>
      </c>
      <c r="CK3275" s="16" t="str">
        <f t="shared" si="748"/>
        <v/>
      </c>
    </row>
    <row r="3276" spans="73:89" ht="12" customHeight="1">
      <c r="BU3276" s="16">
        <f t="shared" si="749"/>
        <v>0</v>
      </c>
      <c r="BV3276" s="16">
        <f>IF($BY$12=1,NORMDIST(BY3276,$Y$6,$Y$8,TRUE),IF($BY$12=2,IF(BY3276&lt;=$BX$31,0,IF(BY3276&gt;=$BX$32,1,(BY3276-$BX$31)*$BX$33)),SUM($BU$42:BU3276)/$BV$40))</f>
        <v>1</v>
      </c>
      <c r="BW3276" s="16">
        <f t="shared" si="751"/>
        <v>1.704331343888344E-40</v>
      </c>
      <c r="BY3276" s="16">
        <f t="shared" si="752"/>
        <v>323.40000000000504</v>
      </c>
      <c r="BZ3276" s="16">
        <f t="shared" si="743"/>
        <v>5.2700412612502084E-43</v>
      </c>
      <c r="CA3276" s="16">
        <f t="shared" si="750"/>
        <v>-999</v>
      </c>
      <c r="CE3276" s="16" t="e">
        <f t="shared" si="744"/>
        <v>#N/A</v>
      </c>
      <c r="CF3276" s="16">
        <f t="shared" si="745"/>
        <v>99</v>
      </c>
      <c r="CG3276" s="16">
        <f t="shared" si="746"/>
        <v>0</v>
      </c>
      <c r="CH3276" s="16">
        <f t="shared" si="753"/>
        <v>0</v>
      </c>
      <c r="CJ3276" s="16" t="e">
        <f t="shared" si="747"/>
        <v>#N/A</v>
      </c>
      <c r="CK3276" s="16" t="str">
        <f t="shared" si="748"/>
        <v/>
      </c>
    </row>
    <row r="3277" spans="73:89" ht="12" customHeight="1">
      <c r="BU3277" s="16">
        <f t="shared" si="749"/>
        <v>0</v>
      </c>
      <c r="BV3277" s="16">
        <f>IF($BY$12=1,NORMDIST(BY3277,$Y$6,$Y$8,TRUE),IF($BY$12=2,IF(BY3277&lt;=$BX$31,0,IF(BY3277&gt;=$BX$32,1,(BY3277-$BX$31)*$BX$33)),SUM($BU$42:BU3277)/$BV$40))</f>
        <v>1</v>
      </c>
      <c r="BW3277" s="16">
        <f t="shared" si="751"/>
        <v>1.5922044888453721E-40</v>
      </c>
      <c r="BY3277" s="16">
        <f t="shared" si="752"/>
        <v>323.50000000000506</v>
      </c>
      <c r="BZ3277" s="16">
        <f t="shared" si="743"/>
        <v>4.921806766137086E-43</v>
      </c>
      <c r="CA3277" s="16">
        <f t="shared" si="750"/>
        <v>-999</v>
      </c>
      <c r="CE3277" s="16" t="e">
        <f t="shared" si="744"/>
        <v>#N/A</v>
      </c>
      <c r="CF3277" s="16">
        <f t="shared" si="745"/>
        <v>99</v>
      </c>
      <c r="CG3277" s="16">
        <f t="shared" si="746"/>
        <v>0</v>
      </c>
      <c r="CH3277" s="16">
        <f t="shared" si="753"/>
        <v>0</v>
      </c>
      <c r="CJ3277" s="16" t="e">
        <f t="shared" si="747"/>
        <v>#N/A</v>
      </c>
      <c r="CK3277" s="16" t="str">
        <f t="shared" si="748"/>
        <v/>
      </c>
    </row>
    <row r="3278" spans="73:89" ht="12" customHeight="1">
      <c r="BU3278" s="16">
        <f t="shared" si="749"/>
        <v>0</v>
      </c>
      <c r="BV3278" s="16">
        <f>IF($BY$12=1,NORMDIST(BY3278,$Y$6,$Y$8,TRUE),IF($BY$12=2,IF(BY3278&lt;=$BX$31,0,IF(BY3278&gt;=$BX$32,1,(BY3278-$BX$31)*$BX$33)),SUM($BU$42:BU3278)/$BV$40))</f>
        <v>1</v>
      </c>
      <c r="BW3278" s="16">
        <f t="shared" si="751"/>
        <v>1.4874170589351717E-40</v>
      </c>
      <c r="BY3278" s="16">
        <f t="shared" si="752"/>
        <v>323.60000000000508</v>
      </c>
      <c r="BZ3278" s="16">
        <f t="shared" si="743"/>
        <v>4.596468043680928E-43</v>
      </c>
      <c r="CA3278" s="16">
        <f t="shared" si="750"/>
        <v>-999</v>
      </c>
      <c r="CE3278" s="16" t="e">
        <f t="shared" si="744"/>
        <v>#N/A</v>
      </c>
      <c r="CF3278" s="16">
        <f t="shared" si="745"/>
        <v>99</v>
      </c>
      <c r="CG3278" s="16">
        <f t="shared" si="746"/>
        <v>0</v>
      </c>
      <c r="CH3278" s="16">
        <f t="shared" si="753"/>
        <v>0</v>
      </c>
      <c r="CJ3278" s="16" t="e">
        <f t="shared" si="747"/>
        <v>#N/A</v>
      </c>
      <c r="CK3278" s="16" t="str">
        <f t="shared" si="748"/>
        <v/>
      </c>
    </row>
    <row r="3279" spans="73:89" ht="12" customHeight="1">
      <c r="BU3279" s="16">
        <f t="shared" si="749"/>
        <v>0</v>
      </c>
      <c r="BV3279" s="16">
        <f>IF($BY$12=1,NORMDIST(BY3279,$Y$6,$Y$8,TRUE),IF($BY$12=2,IF(BY3279&lt;=$BX$31,0,IF(BY3279&gt;=$BX$32,1,(BY3279-$BX$31)*$BX$33)),SUM($BU$42:BU3279)/$BV$40))</f>
        <v>1</v>
      </c>
      <c r="BW3279" s="16">
        <f t="shared" si="751"/>
        <v>1.3894911124132907E-40</v>
      </c>
      <c r="BY3279" s="16">
        <f t="shared" si="752"/>
        <v>323.7000000000051</v>
      </c>
      <c r="BZ3279" s="16">
        <f t="shared" si="743"/>
        <v>4.2925273784778155E-43</v>
      </c>
      <c r="CA3279" s="16">
        <f t="shared" si="750"/>
        <v>-999</v>
      </c>
      <c r="CE3279" s="16" t="e">
        <f t="shared" si="744"/>
        <v>#N/A</v>
      </c>
      <c r="CF3279" s="16">
        <f t="shared" si="745"/>
        <v>99</v>
      </c>
      <c r="CG3279" s="16">
        <f t="shared" si="746"/>
        <v>0</v>
      </c>
      <c r="CH3279" s="16">
        <f t="shared" si="753"/>
        <v>0</v>
      </c>
      <c r="CJ3279" s="16" t="e">
        <f t="shared" si="747"/>
        <v>#N/A</v>
      </c>
      <c r="CK3279" s="16" t="str">
        <f t="shared" si="748"/>
        <v/>
      </c>
    </row>
    <row r="3280" spans="73:89" ht="12" customHeight="1">
      <c r="BU3280" s="16">
        <f t="shared" si="749"/>
        <v>0</v>
      </c>
      <c r="BV3280" s="16">
        <f>IF($BY$12=1,NORMDIST(BY3280,$Y$6,$Y$8,TRUE),IF($BY$12=2,IF(BY3280&lt;=$BX$31,0,IF(BY3280&gt;=$BX$32,1,(BY3280-$BX$31)*$BX$33)),SUM($BU$42:BU3280)/$BV$40))</f>
        <v>1</v>
      </c>
      <c r="BW3280" s="16">
        <f t="shared" si="751"/>
        <v>1.297979668237014E-40</v>
      </c>
      <c r="BY3280" s="16">
        <f t="shared" si="752"/>
        <v>323.80000000000513</v>
      </c>
      <c r="BZ3280" s="16">
        <f t="shared" si="743"/>
        <v>4.0085845220413633E-43</v>
      </c>
      <c r="CA3280" s="16">
        <f t="shared" si="750"/>
        <v>-999</v>
      </c>
      <c r="CE3280" s="16" t="e">
        <f t="shared" si="744"/>
        <v>#N/A</v>
      </c>
      <c r="CF3280" s="16">
        <f t="shared" si="745"/>
        <v>99</v>
      </c>
      <c r="CG3280" s="16">
        <f t="shared" si="746"/>
        <v>0</v>
      </c>
      <c r="CH3280" s="16">
        <f t="shared" si="753"/>
        <v>0</v>
      </c>
      <c r="CJ3280" s="16" t="e">
        <f t="shared" si="747"/>
        <v>#N/A</v>
      </c>
      <c r="CK3280" s="16" t="str">
        <f t="shared" si="748"/>
        <v/>
      </c>
    </row>
    <row r="3281" spans="73:89" ht="12" customHeight="1">
      <c r="BU3281" s="16">
        <f t="shared" si="749"/>
        <v>0</v>
      </c>
      <c r="BV3281" s="16">
        <f>IF($BY$12=1,NORMDIST(BY3281,$Y$6,$Y$8,TRUE),IF($BY$12=2,IF(BY3281&lt;=$BX$31,0,IF(BY3281&gt;=$BX$32,1,(BY3281-$BX$31)*$BX$33)),SUM($BU$42:BU3281)/$BV$40))</f>
        <v>1</v>
      </c>
      <c r="BW3281" s="16">
        <f t="shared" si="751"/>
        <v>1.2124647111223114E-40</v>
      </c>
      <c r="BY3281" s="16">
        <f t="shared" si="752"/>
        <v>323.90000000000515</v>
      </c>
      <c r="BZ3281" s="16">
        <f t="shared" si="743"/>
        <v>3.7433303832117692E-43</v>
      </c>
      <c r="CA3281" s="16">
        <f t="shared" si="750"/>
        <v>-999</v>
      </c>
      <c r="CE3281" s="16" t="e">
        <f t="shared" si="744"/>
        <v>#N/A</v>
      </c>
      <c r="CF3281" s="16">
        <f t="shared" si="745"/>
        <v>99</v>
      </c>
      <c r="CG3281" s="16">
        <f t="shared" si="746"/>
        <v>0</v>
      </c>
      <c r="CH3281" s="16">
        <f t="shared" si="753"/>
        <v>0</v>
      </c>
      <c r="CJ3281" s="16" t="e">
        <f t="shared" si="747"/>
        <v>#N/A</v>
      </c>
      <c r="CK3281" s="16" t="str">
        <f t="shared" si="748"/>
        <v/>
      </c>
    </row>
    <row r="3282" spans="73:89" ht="12" customHeight="1">
      <c r="BU3282" s="16">
        <f t="shared" si="749"/>
        <v>0</v>
      </c>
      <c r="BV3282" s="16">
        <f>IF($BY$12=1,NORMDIST(BY3282,$Y$6,$Y$8,TRUE),IF($BY$12=2,IF(BY3282&lt;=$BX$31,0,IF(BY3282&gt;=$BX$32,1,(BY3282-$BX$31)*$BX$33)),SUM($BU$42:BU3282)/$BV$40))</f>
        <v>1</v>
      </c>
      <c r="BW3282" s="16">
        <f t="shared" si="751"/>
        <v>1.1325553244484456E-40</v>
      </c>
      <c r="BY3282" s="16">
        <f t="shared" si="752"/>
        <v>324.00000000000517</v>
      </c>
      <c r="BZ3282" s="16">
        <f t="shared" si="743"/>
        <v>3.4955411248408254E-43</v>
      </c>
      <c r="CA3282" s="16">
        <f t="shared" si="750"/>
        <v>-999</v>
      </c>
      <c r="CE3282" s="16" t="e">
        <f t="shared" si="744"/>
        <v>#N/A</v>
      </c>
      <c r="CF3282" s="16">
        <f t="shared" si="745"/>
        <v>99</v>
      </c>
      <c r="CG3282" s="16">
        <f t="shared" si="746"/>
        <v>0</v>
      </c>
      <c r="CH3282" s="16">
        <f t="shared" si="753"/>
        <v>0</v>
      </c>
      <c r="CJ3282" s="16" t="e">
        <f t="shared" si="747"/>
        <v>#N/A</v>
      </c>
      <c r="CK3282" s="16" t="str">
        <f t="shared" si="748"/>
        <v/>
      </c>
    </row>
    <row r="3283" spans="73:89" ht="12" customHeight="1">
      <c r="BU3283" s="16">
        <f t="shared" si="749"/>
        <v>0</v>
      </c>
      <c r="BV3283" s="16">
        <f>IF($BY$12=1,NORMDIST(BY3283,$Y$6,$Y$8,TRUE),IF($BY$12=2,IF(BY3283&lt;=$BX$31,0,IF(BY3283&gt;=$BX$32,1,(BY3283-$BX$31)*$BX$33)),SUM($BU$42:BU3283)/$BV$40))</f>
        <v>1</v>
      </c>
      <c r="BW3283" s="16">
        <f t="shared" si="751"/>
        <v>1.0578859428626265E-40</v>
      </c>
      <c r="BY3283" s="16">
        <f t="shared" si="752"/>
        <v>324.1000000000052</v>
      </c>
      <c r="BZ3283" s="16">
        <f t="shared" si="743"/>
        <v>3.2640726407362216E-43</v>
      </c>
      <c r="CA3283" s="16">
        <f t="shared" si="750"/>
        <v>-999</v>
      </c>
      <c r="CE3283" s="16" t="e">
        <f t="shared" si="744"/>
        <v>#N/A</v>
      </c>
      <c r="CF3283" s="16">
        <f t="shared" si="745"/>
        <v>99</v>
      </c>
      <c r="CG3283" s="16">
        <f t="shared" si="746"/>
        <v>0</v>
      </c>
      <c r="CH3283" s="16">
        <f t="shared" si="753"/>
        <v>0</v>
      </c>
      <c r="CJ3283" s="16" t="e">
        <f t="shared" si="747"/>
        <v>#N/A</v>
      </c>
      <c r="CK3283" s="16" t="str">
        <f t="shared" si="748"/>
        <v/>
      </c>
    </row>
    <row r="3284" spans="73:89" ht="12" customHeight="1">
      <c r="BU3284" s="16">
        <f t="shared" si="749"/>
        <v>0</v>
      </c>
      <c r="BV3284" s="16">
        <f>IF($BY$12=1,NORMDIST(BY3284,$Y$6,$Y$8,TRUE),IF($BY$12=2,IF(BY3284&lt;=$BX$31,0,IF(BY3284&gt;=$BX$32,1,(BY3284-$BX$31)*$BX$33)),SUM($BU$42:BU3284)/$BV$40))</f>
        <v>1</v>
      </c>
      <c r="BW3284" s="16">
        <f t="shared" si="751"/>
        <v>9.8811471695241013E-41</v>
      </c>
      <c r="BY3284" s="16">
        <f t="shared" si="752"/>
        <v>324.20000000000522</v>
      </c>
      <c r="BZ3284" s="16">
        <f t="shared" si="743"/>
        <v>3.0478553885021413E-43</v>
      </c>
      <c r="CA3284" s="16">
        <f t="shared" si="750"/>
        <v>-999</v>
      </c>
      <c r="CE3284" s="16" t="e">
        <f t="shared" si="744"/>
        <v>#N/A</v>
      </c>
      <c r="CF3284" s="16">
        <f t="shared" si="745"/>
        <v>99</v>
      </c>
      <c r="CG3284" s="16">
        <f t="shared" si="746"/>
        <v>0</v>
      </c>
      <c r="CH3284" s="16">
        <f t="shared" si="753"/>
        <v>0</v>
      </c>
      <c r="CJ3284" s="16" t="e">
        <f t="shared" si="747"/>
        <v>#N/A</v>
      </c>
      <c r="CK3284" s="16" t="str">
        <f t="shared" si="748"/>
        <v/>
      </c>
    </row>
    <row r="3285" spans="73:89" ht="12" customHeight="1">
      <c r="BU3285" s="16">
        <f t="shared" si="749"/>
        <v>0</v>
      </c>
      <c r="BV3285" s="16">
        <f>IF($BY$12=1,NORMDIST(BY3285,$Y$6,$Y$8,TRUE),IF($BY$12=2,IF(BY3285&lt;=$BX$31,0,IF(BY3285&gt;=$BX$32,1,(BY3285-$BX$31)*$BX$33)),SUM($BU$42:BU3285)/$BV$40))</f>
        <v>1</v>
      </c>
      <c r="BW3285" s="16">
        <f t="shared" si="751"/>
        <v>9.2292198283855769E-41</v>
      </c>
      <c r="BY3285" s="16">
        <f t="shared" si="752"/>
        <v>324.30000000000524</v>
      </c>
      <c r="BZ3285" s="16">
        <f t="shared" si="743"/>
        <v>2.845889555468834E-43</v>
      </c>
      <c r="CA3285" s="16">
        <f t="shared" si="750"/>
        <v>-999</v>
      </c>
      <c r="CE3285" s="16" t="e">
        <f t="shared" si="744"/>
        <v>#N/A</v>
      </c>
      <c r="CF3285" s="16">
        <f t="shared" si="745"/>
        <v>99</v>
      </c>
      <c r="CG3285" s="16">
        <f t="shared" si="746"/>
        <v>0</v>
      </c>
      <c r="CH3285" s="16">
        <f t="shared" si="753"/>
        <v>0</v>
      </c>
      <c r="CJ3285" s="16" t="e">
        <f t="shared" si="747"/>
        <v>#N/A</v>
      </c>
      <c r="CK3285" s="16" t="str">
        <f t="shared" si="748"/>
        <v/>
      </c>
    </row>
    <row r="3286" spans="73:89" ht="12" customHeight="1">
      <c r="BU3286" s="16">
        <f t="shared" si="749"/>
        <v>0</v>
      </c>
      <c r="BV3286" s="16">
        <f>IF($BY$12=1,NORMDIST(BY3286,$Y$6,$Y$8,TRUE),IF($BY$12=2,IF(BY3286&lt;=$BX$31,0,IF(BY3286&gt;=$BX$32,1,(BY3286-$BX$31)*$BX$33)),SUM($BU$42:BU3286)/$BV$40))</f>
        <v>1</v>
      </c>
      <c r="BW3286" s="16">
        <f t="shared" si="751"/>
        <v>8.620088299933244E-41</v>
      </c>
      <c r="BY3286" s="16">
        <f t="shared" si="752"/>
        <v>324.40000000000526</v>
      </c>
      <c r="BZ3286" s="16">
        <f t="shared" si="743"/>
        <v>2.6572405363542246E-43</v>
      </c>
      <c r="CA3286" s="16">
        <f t="shared" si="750"/>
        <v>-999</v>
      </c>
      <c r="CE3286" s="16" t="e">
        <f t="shared" si="744"/>
        <v>#N/A</v>
      </c>
      <c r="CF3286" s="16">
        <f t="shared" si="745"/>
        <v>99</v>
      </c>
      <c r="CG3286" s="16">
        <f t="shared" si="746"/>
        <v>0</v>
      </c>
      <c r="CH3286" s="16">
        <f t="shared" si="753"/>
        <v>0</v>
      </c>
      <c r="CJ3286" s="16" t="e">
        <f t="shared" si="747"/>
        <v>#N/A</v>
      </c>
      <c r="CK3286" s="16" t="str">
        <f t="shared" si="748"/>
        <v/>
      </c>
    </row>
    <row r="3287" spans="73:89" ht="12" customHeight="1">
      <c r="BU3287" s="16">
        <f t="shared" si="749"/>
        <v>0</v>
      </c>
      <c r="BV3287" s="16">
        <f>IF($BY$12=1,NORMDIST(BY3287,$Y$6,$Y$8,TRUE),IF($BY$12=2,IF(BY3287&lt;=$BX$31,0,IF(BY3287&gt;=$BX$32,1,(BY3287-$BX$31)*$BX$33)),SUM($BU$42:BU3287)/$BV$40))</f>
        <v>1</v>
      </c>
      <c r="BW3287" s="16">
        <f t="shared" si="751"/>
        <v>8.0509576101466918E-41</v>
      </c>
      <c r="BY3287" s="16">
        <f t="shared" si="752"/>
        <v>324.50000000000529</v>
      </c>
      <c r="BZ3287" s="16">
        <f t="shared" si="743"/>
        <v>2.4810347026645796E-43</v>
      </c>
      <c r="CA3287" s="16">
        <f t="shared" si="750"/>
        <v>-999</v>
      </c>
      <c r="CE3287" s="16" t="e">
        <f t="shared" si="744"/>
        <v>#N/A</v>
      </c>
      <c r="CF3287" s="16">
        <f t="shared" si="745"/>
        <v>99</v>
      </c>
      <c r="CG3287" s="16">
        <f t="shared" si="746"/>
        <v>0</v>
      </c>
      <c r="CH3287" s="16">
        <f t="shared" si="753"/>
        <v>0</v>
      </c>
      <c r="CJ3287" s="16" t="e">
        <f t="shared" si="747"/>
        <v>#N/A</v>
      </c>
      <c r="CK3287" s="16" t="str">
        <f t="shared" si="748"/>
        <v/>
      </c>
    </row>
    <row r="3288" spans="73:89" ht="12" customHeight="1">
      <c r="BU3288" s="16">
        <f t="shared" si="749"/>
        <v>0</v>
      </c>
      <c r="BV3288" s="16">
        <f>IF($BY$12=1,NORMDIST(BY3288,$Y$6,$Y$8,TRUE),IF($BY$12=2,IF(BY3288&lt;=$BX$31,0,IF(BY3288&gt;=$BX$32,1,(BY3288-$BX$31)*$BX$33)),SUM($BU$42:BU3288)/$BV$40))</f>
        <v>1</v>
      </c>
      <c r="BW3288" s="16">
        <f t="shared" si="751"/>
        <v>7.5192143748452651E-41</v>
      </c>
      <c r="BY3288" s="16">
        <f t="shared" si="752"/>
        <v>324.60000000000531</v>
      </c>
      <c r="BZ3288" s="16">
        <f t="shared" si="743"/>
        <v>2.3164554451155707E-43</v>
      </c>
      <c r="CA3288" s="16">
        <f t="shared" si="750"/>
        <v>-999</v>
      </c>
      <c r="CE3288" s="16" t="e">
        <f t="shared" si="744"/>
        <v>#N/A</v>
      </c>
      <c r="CF3288" s="16">
        <f t="shared" si="745"/>
        <v>99</v>
      </c>
      <c r="CG3288" s="16">
        <f t="shared" si="746"/>
        <v>0</v>
      </c>
      <c r="CH3288" s="16">
        <f t="shared" si="753"/>
        <v>0</v>
      </c>
      <c r="CJ3288" s="16" t="e">
        <f t="shared" si="747"/>
        <v>#N/A</v>
      </c>
      <c r="CK3288" s="16" t="str">
        <f t="shared" si="748"/>
        <v/>
      </c>
    </row>
    <row r="3289" spans="73:89" ht="12" customHeight="1">
      <c r="BU3289" s="16">
        <f t="shared" si="749"/>
        <v>0</v>
      </c>
      <c r="BV3289" s="16">
        <f>IF($BY$12=1,NORMDIST(BY3289,$Y$6,$Y$8,TRUE),IF($BY$12=2,IF(BY3289&lt;=$BX$31,0,IF(BY3289&gt;=$BX$32,1,(BY3289-$BX$31)*$BX$33)),SUM($BU$42:BU3289)/$BV$40))</f>
        <v>1</v>
      </c>
      <c r="BW3289" s="16">
        <f t="shared" si="751"/>
        <v>7.0224150641211972E-41</v>
      </c>
      <c r="BY3289" s="16">
        <f t="shared" si="752"/>
        <v>324.70000000000533</v>
      </c>
      <c r="BZ3289" s="16">
        <f t="shared" si="743"/>
        <v>2.1627394715494555E-43</v>
      </c>
      <c r="CA3289" s="16">
        <f t="shared" si="750"/>
        <v>-999</v>
      </c>
      <c r="CE3289" s="16" t="e">
        <f t="shared" si="744"/>
        <v>#N/A</v>
      </c>
      <c r="CF3289" s="16">
        <f t="shared" si="745"/>
        <v>99</v>
      </c>
      <c r="CG3289" s="16">
        <f t="shared" si="746"/>
        <v>0</v>
      </c>
      <c r="CH3289" s="16">
        <f t="shared" si="753"/>
        <v>0</v>
      </c>
      <c r="CJ3289" s="16" t="e">
        <f t="shared" si="747"/>
        <v>#N/A</v>
      </c>
      <c r="CK3289" s="16" t="str">
        <f t="shared" si="748"/>
        <v/>
      </c>
    </row>
    <row r="3290" spans="73:89" ht="12" customHeight="1">
      <c r="BU3290" s="16">
        <f t="shared" si="749"/>
        <v>0</v>
      </c>
      <c r="BV3290" s="16">
        <f>IF($BY$12=1,NORMDIST(BY3290,$Y$6,$Y$8,TRUE),IF($BY$12=2,IF(BY3290&lt;=$BX$31,0,IF(BY3290&gt;=$BX$32,1,(BY3290-$BX$31)*$BX$33)),SUM($BU$42:BU3290)/$BV$40))</f>
        <v>1</v>
      </c>
      <c r="BW3290" s="16">
        <f t="shared" si="751"/>
        <v>6.5582750211273649E-41</v>
      </c>
      <c r="BY3290" s="16">
        <f t="shared" si="752"/>
        <v>324.80000000000535</v>
      </c>
      <c r="BZ3290" s="16">
        <f t="shared" si="743"/>
        <v>2.0191733439431211E-43</v>
      </c>
      <c r="CA3290" s="16">
        <f t="shared" si="750"/>
        <v>-999</v>
      </c>
      <c r="CE3290" s="16" t="e">
        <f t="shared" si="744"/>
        <v>#N/A</v>
      </c>
      <c r="CF3290" s="16">
        <f t="shared" si="745"/>
        <v>99</v>
      </c>
      <c r="CG3290" s="16">
        <f t="shared" si="746"/>
        <v>0</v>
      </c>
      <c r="CH3290" s="16">
        <f t="shared" si="753"/>
        <v>0</v>
      </c>
      <c r="CJ3290" s="16" t="e">
        <f t="shared" si="747"/>
        <v>#N/A</v>
      </c>
      <c r="CK3290" s="16" t="str">
        <f t="shared" si="748"/>
        <v/>
      </c>
    </row>
    <row r="3291" spans="73:89" ht="12" customHeight="1">
      <c r="BU3291" s="16">
        <f t="shared" si="749"/>
        <v>0</v>
      </c>
      <c r="BV3291" s="16">
        <f>IF($BY$12=1,NORMDIST(BY3291,$Y$6,$Y$8,TRUE),IF($BY$12=2,IF(BY3291&lt;=$BX$31,0,IF(BY3291&gt;=$BX$32,1,(BY3291-$BX$31)*$BX$33)),SUM($BU$42:BU3291)/$BV$40))</f>
        <v>1</v>
      </c>
      <c r="BW3291" s="16">
        <f t="shared" si="751"/>
        <v>6.124658186994477E-41</v>
      </c>
      <c r="BY3291" s="16">
        <f t="shared" si="752"/>
        <v>324.90000000000538</v>
      </c>
      <c r="BZ3291" s="16">
        <f t="shared" si="743"/>
        <v>1.8850902391487768E-43</v>
      </c>
      <c r="CA3291" s="16">
        <f t="shared" si="750"/>
        <v>-999</v>
      </c>
      <c r="CE3291" s="16" t="e">
        <f t="shared" si="744"/>
        <v>#N/A</v>
      </c>
      <c r="CF3291" s="16">
        <f t="shared" si="745"/>
        <v>99</v>
      </c>
      <c r="CG3291" s="16">
        <f t="shared" si="746"/>
        <v>0</v>
      </c>
      <c r="CH3291" s="16">
        <f t="shared" si="753"/>
        <v>0</v>
      </c>
      <c r="CJ3291" s="16" t="e">
        <f t="shared" si="747"/>
        <v>#N/A</v>
      </c>
      <c r="CK3291" s="16" t="str">
        <f t="shared" si="748"/>
        <v/>
      </c>
    </row>
    <row r="3292" spans="73:89" ht="12" customHeight="1">
      <c r="BU3292" s="16">
        <f t="shared" si="749"/>
        <v>0</v>
      </c>
      <c r="BV3292" s="16">
        <f>IF($BY$12=1,NORMDIST(BY3292,$Y$6,$Y$8,TRUE),IF($BY$12=2,IF(BY3292&lt;=$BX$31,0,IF(BY3292&gt;=$BX$32,1,(BY3292-$BX$31)*$BX$33)),SUM($BU$42:BU3292)/$BV$40))</f>
        <v>1</v>
      </c>
      <c r="BW3292" s="16">
        <f t="shared" si="751"/>
        <v>5.7195674867213518E-41</v>
      </c>
      <c r="BY3292" s="16">
        <f t="shared" si="752"/>
        <v>325.0000000000054</v>
      </c>
      <c r="BZ3292" s="16">
        <f t="shared" si="743"/>
        <v>1.759866918991156E-43</v>
      </c>
      <c r="CA3292" s="16">
        <f t="shared" si="750"/>
        <v>-999</v>
      </c>
      <c r="CE3292" s="16" t="e">
        <f t="shared" si="744"/>
        <v>#N/A</v>
      </c>
      <c r="CF3292" s="16">
        <f t="shared" si="745"/>
        <v>99</v>
      </c>
      <c r="CG3292" s="16">
        <f t="shared" si="746"/>
        <v>0</v>
      </c>
      <c r="CH3292" s="16">
        <f t="shared" si="753"/>
        <v>0</v>
      </c>
      <c r="CJ3292" s="16" t="e">
        <f t="shared" si="747"/>
        <v>#N/A</v>
      </c>
      <c r="CK3292" s="16" t="str">
        <f t="shared" si="748"/>
        <v/>
      </c>
    </row>
    <row r="3293" spans="73:89" ht="12" customHeight="1">
      <c r="BU3293" s="16">
        <f t="shared" si="749"/>
        <v>0</v>
      </c>
      <c r="BV3293" s="16">
        <f>IF($BY$12=1,NORMDIST(BY3293,$Y$6,$Y$8,TRUE),IF($BY$12=2,IF(BY3293&lt;=$BX$31,0,IF(BY3293&gt;=$BX$32,1,(BY3293-$BX$31)*$BX$33)),SUM($BU$42:BU3293)/$BV$40))</f>
        <v>1</v>
      </c>
      <c r="BW3293" s="16">
        <f t="shared" si="751"/>
        <v>5.3411358337493614E-41</v>
      </c>
      <c r="BY3293" s="16">
        <f t="shared" si="752"/>
        <v>325.10000000000542</v>
      </c>
      <c r="BZ3293" s="16">
        <f t="shared" si="743"/>
        <v>1.6429208962624644E-43</v>
      </c>
      <c r="CA3293" s="16">
        <f t="shared" si="750"/>
        <v>-999</v>
      </c>
      <c r="CE3293" s="16" t="e">
        <f t="shared" si="744"/>
        <v>#N/A</v>
      </c>
      <c r="CF3293" s="16">
        <f t="shared" si="745"/>
        <v>99</v>
      </c>
      <c r="CG3293" s="16">
        <f t="shared" si="746"/>
        <v>0</v>
      </c>
      <c r="CH3293" s="16">
        <f t="shared" si="753"/>
        <v>0</v>
      </c>
      <c r="CJ3293" s="16" t="e">
        <f t="shared" si="747"/>
        <v>#N/A</v>
      </c>
      <c r="CK3293" s="16" t="str">
        <f t="shared" si="748"/>
        <v/>
      </c>
    </row>
    <row r="3294" spans="73:89" ht="12" customHeight="1">
      <c r="BU3294" s="16">
        <f t="shared" si="749"/>
        <v>0</v>
      </c>
      <c r="BV3294" s="16">
        <f>IF($BY$12=1,NORMDIST(BY3294,$Y$6,$Y$8,TRUE),IF($BY$12=2,IF(BY3294&lt;=$BX$31,0,IF(BY3294&gt;=$BX$32,1,(BY3294-$BX$31)*$BX$33)),SUM($BU$42:BU3294)/$BV$40))</f>
        <v>1</v>
      </c>
      <c r="BW3294" s="16">
        <f t="shared" si="751"/>
        <v>4.9876177136267489E-41</v>
      </c>
      <c r="BY3294" s="16">
        <f t="shared" si="752"/>
        <v>325.20000000000545</v>
      </c>
      <c r="BZ3294" s="16">
        <f t="shared" si="743"/>
        <v>1.5337077840180399E-43</v>
      </c>
      <c r="CA3294" s="16">
        <f t="shared" si="750"/>
        <v>-999</v>
      </c>
      <c r="CE3294" s="16" t="e">
        <f t="shared" si="744"/>
        <v>#N/A</v>
      </c>
      <c r="CF3294" s="16">
        <f t="shared" si="745"/>
        <v>99</v>
      </c>
      <c r="CG3294" s="16">
        <f t="shared" si="746"/>
        <v>0</v>
      </c>
      <c r="CH3294" s="16">
        <f t="shared" si="753"/>
        <v>0</v>
      </c>
      <c r="CJ3294" s="16" t="e">
        <f t="shared" si="747"/>
        <v>#N/A</v>
      </c>
      <c r="CK3294" s="16" t="str">
        <f t="shared" si="748"/>
        <v/>
      </c>
    </row>
    <row r="3295" spans="73:89" ht="12" customHeight="1">
      <c r="BU3295" s="16">
        <f t="shared" si="749"/>
        <v>0</v>
      </c>
      <c r="BV3295" s="16">
        <f>IF($BY$12=1,NORMDIST(BY3295,$Y$6,$Y$8,TRUE),IF($BY$12=2,IF(BY3295&lt;=$BX$31,0,IF(BY3295&gt;=$BX$32,1,(BY3295-$BX$31)*$BX$33)),SUM($BU$42:BU3295)/$BV$40))</f>
        <v>1</v>
      </c>
      <c r="BW3295" s="16">
        <f t="shared" si="751"/>
        <v>4.6573813096853075E-41</v>
      </c>
      <c r="BY3295" s="16">
        <f t="shared" si="752"/>
        <v>325.30000000000547</v>
      </c>
      <c r="BZ3295" s="16">
        <f t="shared" si="743"/>
        <v>1.4317188163803347E-43</v>
      </c>
      <c r="CA3295" s="16">
        <f t="shared" si="750"/>
        <v>-999</v>
      </c>
      <c r="CE3295" s="16" t="e">
        <f t="shared" si="744"/>
        <v>#N/A</v>
      </c>
      <c r="CF3295" s="16">
        <f t="shared" si="745"/>
        <v>99</v>
      </c>
      <c r="CG3295" s="16">
        <f t="shared" si="746"/>
        <v>0</v>
      </c>
      <c r="CH3295" s="16">
        <f t="shared" si="753"/>
        <v>0</v>
      </c>
      <c r="CJ3295" s="16" t="e">
        <f t="shared" si="747"/>
        <v>#N/A</v>
      </c>
      <c r="CK3295" s="16" t="str">
        <f t="shared" si="748"/>
        <v/>
      </c>
    </row>
    <row r="3296" spans="73:89" ht="12" customHeight="1">
      <c r="BU3296" s="16">
        <f t="shared" si="749"/>
        <v>0</v>
      </c>
      <c r="BV3296" s="16">
        <f>IF($BY$12=1,NORMDIST(BY3296,$Y$6,$Y$8,TRUE),IF($BY$12=2,IF(BY3296&lt;=$BX$31,0,IF(BY3296&gt;=$BX$32,1,(BY3296-$BX$31)*$BX$33)),SUM($BU$42:BU3296)/$BV$40))</f>
        <v>1</v>
      </c>
      <c r="BW3296" s="16">
        <f t="shared" si="751"/>
        <v>4.3489011360150546E-41</v>
      </c>
      <c r="BY3296" s="16">
        <f t="shared" si="752"/>
        <v>325.40000000000549</v>
      </c>
      <c r="BZ3296" s="16">
        <f t="shared" si="743"/>
        <v>1.3364785298140692E-43</v>
      </c>
      <c r="CA3296" s="16">
        <f t="shared" si="750"/>
        <v>-999</v>
      </c>
      <c r="CE3296" s="16" t="e">
        <f t="shared" si="744"/>
        <v>#N/A</v>
      </c>
      <c r="CF3296" s="16">
        <f t="shared" si="745"/>
        <v>99</v>
      </c>
      <c r="CG3296" s="16">
        <f t="shared" si="746"/>
        <v>0</v>
      </c>
      <c r="CH3296" s="16">
        <f t="shared" si="753"/>
        <v>0</v>
      </c>
      <c r="CJ3296" s="16" t="e">
        <f t="shared" si="747"/>
        <v>#N/A</v>
      </c>
      <c r="CK3296" s="16" t="str">
        <f t="shared" si="748"/>
        <v/>
      </c>
    </row>
    <row r="3297" spans="73:89" ht="12" customHeight="1">
      <c r="BU3297" s="16">
        <f t="shared" si="749"/>
        <v>0</v>
      </c>
      <c r="BV3297" s="16">
        <f>IF($BY$12=1,NORMDIST(BY3297,$Y$6,$Y$8,TRUE),IF($BY$12=2,IF(BY3297&lt;=$BX$31,0,IF(BY3297&gt;=$BX$32,1,(BY3297-$BX$31)*$BX$33)),SUM($BU$42:BU3297)/$BV$40))</f>
        <v>1</v>
      </c>
      <c r="BW3297" s="16">
        <f t="shared" si="751"/>
        <v>4.0607511452318848E-41</v>
      </c>
      <c r="BY3297" s="16">
        <f t="shared" si="752"/>
        <v>325.50000000000551</v>
      </c>
      <c r="BZ3297" s="16">
        <f t="shared" si="743"/>
        <v>1.2475425945412645E-43</v>
      </c>
      <c r="CA3297" s="16">
        <f t="shared" si="750"/>
        <v>-999</v>
      </c>
      <c r="CE3297" s="16" t="e">
        <f t="shared" si="744"/>
        <v>#N/A</v>
      </c>
      <c r="CF3297" s="16">
        <f t="shared" si="745"/>
        <v>99</v>
      </c>
      <c r="CG3297" s="16">
        <f t="shared" si="746"/>
        <v>0</v>
      </c>
      <c r="CH3297" s="16">
        <f t="shared" si="753"/>
        <v>0</v>
      </c>
      <c r="CJ3297" s="16" t="e">
        <f t="shared" si="747"/>
        <v>#N/A</v>
      </c>
      <c r="CK3297" s="16" t="str">
        <f t="shared" si="748"/>
        <v/>
      </c>
    </row>
    <row r="3298" spans="73:89" ht="12" customHeight="1">
      <c r="BU3298" s="16">
        <f t="shared" si="749"/>
        <v>0</v>
      </c>
      <c r="BV3298" s="16">
        <f>IF($BY$12=1,NORMDIST(BY3298,$Y$6,$Y$8,TRUE),IF($BY$12=2,IF(BY3298&lt;=$BX$31,0,IF(BY3298&gt;=$BX$32,1,(BY3298-$BX$31)*$BX$33)),SUM($BU$42:BU3298)/$BV$40))</f>
        <v>1</v>
      </c>
      <c r="BW3298" s="16">
        <f t="shared" si="751"/>
        <v>3.7915982806047476E-41</v>
      </c>
      <c r="BY3298" s="16">
        <f t="shared" si="752"/>
        <v>325.60000000000554</v>
      </c>
      <c r="BZ3298" s="16">
        <f t="shared" si="743"/>
        <v>1.1644957864264997E-43</v>
      </c>
      <c r="CA3298" s="16">
        <f t="shared" si="750"/>
        <v>-999</v>
      </c>
      <c r="CE3298" s="16" t="e">
        <f t="shared" si="744"/>
        <v>#N/A</v>
      </c>
      <c r="CF3298" s="16">
        <f t="shared" si="745"/>
        <v>99</v>
      </c>
      <c r="CG3298" s="16">
        <f t="shared" si="746"/>
        <v>0</v>
      </c>
      <c r="CH3298" s="16">
        <f t="shared" si="753"/>
        <v>0</v>
      </c>
      <c r="CJ3298" s="16" t="e">
        <f t="shared" si="747"/>
        <v>#N/A</v>
      </c>
      <c r="CK3298" s="16" t="str">
        <f t="shared" si="748"/>
        <v/>
      </c>
    </row>
    <row r="3299" spans="73:89" ht="12" customHeight="1">
      <c r="BU3299" s="16">
        <f t="shared" si="749"/>
        <v>0</v>
      </c>
      <c r="BV3299" s="16">
        <f>IF($BY$12=1,NORMDIST(BY3299,$Y$6,$Y$8,TRUE),IF($BY$12=2,IF(BY3299&lt;=$BX$31,0,IF(BY3299&gt;=$BX$32,1,(BY3299-$BX$31)*$BX$33)),SUM($BU$42:BU3299)/$BV$40))</f>
        <v>1</v>
      </c>
      <c r="BW3299" s="16">
        <f t="shared" si="751"/>
        <v>3.5401964440502572E-41</v>
      </c>
      <c r="BY3299" s="16">
        <f t="shared" si="752"/>
        <v>325.70000000000556</v>
      </c>
      <c r="BZ3299" s="16">
        <f t="shared" si="743"/>
        <v>1.0869500902825289E-43</v>
      </c>
      <c r="CA3299" s="16">
        <f t="shared" si="750"/>
        <v>-999</v>
      </c>
      <c r="CE3299" s="16" t="e">
        <f t="shared" si="744"/>
        <v>#N/A</v>
      </c>
      <c r="CF3299" s="16">
        <f t="shared" si="745"/>
        <v>99</v>
      </c>
      <c r="CG3299" s="16">
        <f t="shared" si="746"/>
        <v>0</v>
      </c>
      <c r="CH3299" s="16">
        <f t="shared" si="753"/>
        <v>0</v>
      </c>
      <c r="CJ3299" s="16" t="e">
        <f t="shared" si="747"/>
        <v>#N/A</v>
      </c>
      <c r="CK3299" s="16" t="str">
        <f t="shared" si="748"/>
        <v/>
      </c>
    </row>
    <row r="3300" spans="73:89" ht="12" customHeight="1">
      <c r="BU3300" s="16">
        <f t="shared" si="749"/>
        <v>0</v>
      </c>
      <c r="BV3300" s="16">
        <f>IF($BY$12=1,NORMDIST(BY3300,$Y$6,$Y$8,TRUE),IF($BY$12=2,IF(BY3300&lt;=$BX$31,0,IF(BY3300&gt;=$BX$32,1,(BY3300-$BX$31)*$BX$33)),SUM($BU$42:BU3300)/$BV$40))</f>
        <v>1</v>
      </c>
      <c r="BW3300" s="16">
        <f t="shared" si="751"/>
        <v>3.3053808533167945E-41</v>
      </c>
      <c r="BY3300" s="16">
        <f t="shared" si="752"/>
        <v>325.80000000000558</v>
      </c>
      <c r="BZ3300" s="16">
        <f t="shared" si="743"/>
        <v>1.0145429261254567E-43</v>
      </c>
      <c r="CA3300" s="16">
        <f t="shared" si="750"/>
        <v>-999</v>
      </c>
      <c r="CE3300" s="16" t="e">
        <f t="shared" si="744"/>
        <v>#N/A</v>
      </c>
      <c r="CF3300" s="16">
        <f t="shared" si="745"/>
        <v>99</v>
      </c>
      <c r="CG3300" s="16">
        <f t="shared" si="746"/>
        <v>0</v>
      </c>
      <c r="CH3300" s="16">
        <f t="shared" si="753"/>
        <v>0</v>
      </c>
      <c r="CJ3300" s="16" t="e">
        <f t="shared" si="747"/>
        <v>#N/A</v>
      </c>
      <c r="CK3300" s="16" t="str">
        <f t="shared" si="748"/>
        <v/>
      </c>
    </row>
    <row r="3301" spans="73:89" ht="12" customHeight="1">
      <c r="BU3301" s="16">
        <f t="shared" si="749"/>
        <v>0</v>
      </c>
      <c r="BV3301" s="16">
        <f>IF($BY$12=1,NORMDIST(BY3301,$Y$6,$Y$8,TRUE),IF($BY$12=2,IF(BY3301&lt;=$BX$31,0,IF(BY3301&gt;=$BX$32,1,(BY3301-$BX$31)*$BX$33)),SUM($BU$42:BU3301)/$BV$40))</f>
        <v>1</v>
      </c>
      <c r="BW3301" s="16">
        <f t="shared" si="751"/>
        <v>3.0860627633849846E-41</v>
      </c>
      <c r="BY3301" s="16">
        <f t="shared" si="752"/>
        <v>325.9000000000056</v>
      </c>
      <c r="BZ3301" s="16">
        <f t="shared" si="743"/>
        <v>9.4693549045257182E-44</v>
      </c>
      <c r="CA3301" s="16">
        <f t="shared" si="750"/>
        <v>-999</v>
      </c>
      <c r="CE3301" s="16" t="e">
        <f t="shared" si="744"/>
        <v>#N/A</v>
      </c>
      <c r="CF3301" s="16">
        <f t="shared" si="745"/>
        <v>99</v>
      </c>
      <c r="CG3301" s="16">
        <f t="shared" si="746"/>
        <v>0</v>
      </c>
      <c r="CH3301" s="16">
        <f t="shared" si="753"/>
        <v>0</v>
      </c>
      <c r="CJ3301" s="16" t="e">
        <f t="shared" si="747"/>
        <v>#N/A</v>
      </c>
      <c r="CK3301" s="16" t="str">
        <f t="shared" si="748"/>
        <v/>
      </c>
    </row>
    <row r="3302" spans="73:89" ht="12" customHeight="1">
      <c r="BU3302" s="16">
        <f t="shared" si="749"/>
        <v>0</v>
      </c>
      <c r="BV3302" s="16">
        <f>IF($BY$12=1,NORMDIST(BY3302,$Y$6,$Y$8,TRUE),IF($BY$12=2,IF(BY3302&lt;=$BX$31,0,IF(BY3302&gt;=$BX$32,1,(BY3302-$BX$31)*$BX$33)),SUM($BU$42:BU3302)/$BV$40))</f>
        <v>1</v>
      </c>
      <c r="BW3302" s="16">
        <f t="shared" si="751"/>
        <v>2.8812245287021195E-41</v>
      </c>
      <c r="BY3302" s="16">
        <f t="shared" si="752"/>
        <v>326.00000000000563</v>
      </c>
      <c r="BZ3302" s="16">
        <f t="shared" si="743"/>
        <v>8.8381120512333423E-44</v>
      </c>
      <c r="CA3302" s="16">
        <f t="shared" si="750"/>
        <v>-999</v>
      </c>
      <c r="CE3302" s="16" t="e">
        <f t="shared" si="744"/>
        <v>#N/A</v>
      </c>
      <c r="CF3302" s="16">
        <f t="shared" si="745"/>
        <v>99</v>
      </c>
      <c r="CG3302" s="16">
        <f t="shared" si="746"/>
        <v>0</v>
      </c>
      <c r="CH3302" s="16">
        <f t="shared" si="753"/>
        <v>0</v>
      </c>
      <c r="CJ3302" s="16" t="e">
        <f t="shared" si="747"/>
        <v>#N/A</v>
      </c>
      <c r="CK3302" s="16" t="str">
        <f t="shared" si="748"/>
        <v/>
      </c>
    </row>
    <row r="3303" spans="73:89" ht="12" customHeight="1">
      <c r="BU3303" s="16">
        <f t="shared" si="749"/>
        <v>0</v>
      </c>
      <c r="BV3303" s="16">
        <f>IF($BY$12=1,NORMDIST(BY3303,$Y$6,$Y$8,TRUE),IF($BY$12=2,IF(BY3303&lt;=$BX$31,0,IF(BY3303&gt;=$BX$32,1,(BY3303-$BX$31)*$BX$33)),SUM($BU$42:BU3303)/$BV$40))</f>
        <v>1</v>
      </c>
      <c r="BW3303" s="16">
        <f t="shared" si="751"/>
        <v>2.6899149843637951E-41</v>
      </c>
      <c r="BY3303" s="16">
        <f t="shared" si="752"/>
        <v>326.10000000000565</v>
      </c>
      <c r="BZ3303" s="16">
        <f t="shared" si="743"/>
        <v>8.2487426690087344E-44</v>
      </c>
      <c r="CA3303" s="16">
        <f t="shared" si="750"/>
        <v>-999</v>
      </c>
      <c r="CE3303" s="16" t="e">
        <f t="shared" si="744"/>
        <v>#N/A</v>
      </c>
      <c r="CF3303" s="16">
        <f t="shared" si="745"/>
        <v>99</v>
      </c>
      <c r="CG3303" s="16">
        <f t="shared" si="746"/>
        <v>0</v>
      </c>
      <c r="CH3303" s="16">
        <f t="shared" si="753"/>
        <v>0</v>
      </c>
      <c r="CJ3303" s="16" t="e">
        <f t="shared" si="747"/>
        <v>#N/A</v>
      </c>
      <c r="CK3303" s="16" t="str">
        <f t="shared" si="748"/>
        <v/>
      </c>
    </row>
    <row r="3304" spans="73:89" ht="12" customHeight="1">
      <c r="BU3304" s="16">
        <f t="shared" si="749"/>
        <v>0</v>
      </c>
      <c r="BV3304" s="16">
        <f>IF($BY$12=1,NORMDIST(BY3304,$Y$6,$Y$8,TRUE),IF($BY$12=2,IF(BY3304&lt;=$BX$31,0,IF(BY3304&gt;=$BX$32,1,(BY3304-$BX$31)*$BX$33)),SUM($BU$42:BU3304)/$BV$40))</f>
        <v>1</v>
      </c>
      <c r="BW3304" s="16">
        <f t="shared" si="751"/>
        <v>2.5112451257519021E-41</v>
      </c>
      <c r="BY3304" s="16">
        <f t="shared" si="752"/>
        <v>326.20000000000567</v>
      </c>
      <c r="BZ3304" s="16">
        <f t="shared" si="743"/>
        <v>7.6984829115630246E-44</v>
      </c>
      <c r="CA3304" s="16">
        <f t="shared" si="750"/>
        <v>-999</v>
      </c>
      <c r="CE3304" s="16" t="e">
        <f t="shared" si="744"/>
        <v>#N/A</v>
      </c>
      <c r="CF3304" s="16">
        <f t="shared" si="745"/>
        <v>99</v>
      </c>
      <c r="CG3304" s="16">
        <f t="shared" si="746"/>
        <v>0</v>
      </c>
      <c r="CH3304" s="16">
        <f t="shared" si="753"/>
        <v>0</v>
      </c>
      <c r="CJ3304" s="16" t="e">
        <f t="shared" si="747"/>
        <v>#N/A</v>
      </c>
      <c r="CK3304" s="16" t="str">
        <f t="shared" si="748"/>
        <v/>
      </c>
    </row>
    <row r="3305" spans="73:89" ht="12" customHeight="1">
      <c r="BU3305" s="16">
        <f t="shared" si="749"/>
        <v>0</v>
      </c>
      <c r="BV3305" s="16">
        <f>IF($BY$12=1,NORMDIST(BY3305,$Y$6,$Y$8,TRUE),IF($BY$12=2,IF(BY3305&lt;=$BX$31,0,IF(BY3305&gt;=$BX$32,1,(BY3305-$BX$31)*$BX$33)),SUM($BU$42:BU3305)/$BV$40))</f>
        <v>1</v>
      </c>
      <c r="BW3305" s="16">
        <f t="shared" si="751"/>
        <v>2.3443840674471166E-41</v>
      </c>
      <c r="BY3305" s="16">
        <f t="shared" si="752"/>
        <v>326.3000000000057</v>
      </c>
      <c r="BZ3305" s="16">
        <f t="shared" si="743"/>
        <v>7.1847504365524845E-44</v>
      </c>
      <c r="CA3305" s="16">
        <f t="shared" si="750"/>
        <v>-999</v>
      </c>
      <c r="CE3305" s="16" t="e">
        <f t="shared" si="744"/>
        <v>#N/A</v>
      </c>
      <c r="CF3305" s="16">
        <f t="shared" si="745"/>
        <v>99</v>
      </c>
      <c r="CG3305" s="16">
        <f t="shared" si="746"/>
        <v>0</v>
      </c>
      <c r="CH3305" s="16">
        <f t="shared" si="753"/>
        <v>0</v>
      </c>
      <c r="CJ3305" s="16" t="e">
        <f t="shared" si="747"/>
        <v>#N/A</v>
      </c>
      <c r="CK3305" s="16" t="str">
        <f t="shared" si="748"/>
        <v/>
      </c>
    </row>
    <row r="3306" spans="73:89" ht="12" customHeight="1">
      <c r="BU3306" s="16">
        <f t="shared" si="749"/>
        <v>0</v>
      </c>
      <c r="BV3306" s="16">
        <f>IF($BY$12=1,NORMDIST(BY3306,$Y$6,$Y$8,TRUE),IF($BY$12=2,IF(BY3306&lt;=$BX$31,0,IF(BY3306&gt;=$BX$32,1,(BY3306-$BX$31)*$BX$33)),SUM($BU$42:BU3306)/$BV$40))</f>
        <v>1</v>
      </c>
      <c r="BW3306" s="16">
        <f t="shared" si="751"/>
        <v>2.1885552634619515E-41</v>
      </c>
      <c r="BY3306" s="16">
        <f t="shared" si="752"/>
        <v>326.40000000000572</v>
      </c>
      <c r="BZ3306" s="16">
        <f t="shared" ref="BZ3306:BZ3369" si="754">IF($BZ$5,IF($BY$12=1,NORMDIST(BY3306,$Y$6,$Y$8,FALSE),IF($BY$12=2,IF(AND(BY3306&gt;=$BX$31,BY3306&lt;=$BX$32),$BX$33,0),IF(BY3306&lt;=$BX$13,0,NORMDIST(LN((BY3306-$BX$13)/$BX$12),0,$BW$8,FALSE)/((BY3306-$BX$13)/$BX$12)))),-999)</f>
        <v>6.7051325473710576E-44</v>
      </c>
      <c r="CA3306" s="16">
        <f t="shared" si="750"/>
        <v>-999</v>
      </c>
      <c r="CE3306" s="16" t="e">
        <f t="shared" ref="CE3306:CE3369" si="755">IF(AND($CB$7,$CD$2,$CD$1),26+$P$23/2-CC3306*$P$23,NA())</f>
        <v>#N/A</v>
      </c>
      <c r="CF3306" s="16">
        <f t="shared" ref="CF3306:CF3369" si="756">IF(ISNA(CJ3306),99,CJ3306)</f>
        <v>99</v>
      </c>
      <c r="CG3306" s="16">
        <f t="shared" ref="CG3306:CG3369" si="757">IF(ISNA(CJ3306),0,CJ3306)</f>
        <v>0</v>
      </c>
      <c r="CH3306" s="16">
        <f t="shared" si="753"/>
        <v>0</v>
      </c>
      <c r="CJ3306" s="16" t="e">
        <f t="shared" ref="CJ3306:CJ3369" si="758">IF(CH3306=1,CE3306,NA())</f>
        <v>#N/A</v>
      </c>
      <c r="CK3306" s="16" t="str">
        <f t="shared" ref="CK3306:CK3369" si="759">IF(CH3306=1,M3205,"")</f>
        <v/>
      </c>
    </row>
    <row r="3307" spans="73:89" ht="12" customHeight="1">
      <c r="BU3307" s="16">
        <f t="shared" ref="BU3307:BU3370" si="760">IF($BY$12&lt;3,0,IF(BY3307&lt;=$BX$13,0,NORMDIST(LN((BY3307-$BX$13)/$BX$12),0,$BW$8,FALSE)/((BY3307-$BX$13)/$BX$12)))</f>
        <v>0</v>
      </c>
      <c r="BV3307" s="16">
        <f>IF($BY$12=1,NORMDIST(BY3307,$Y$6,$Y$8,TRUE),IF($BY$12=2,IF(BY3307&lt;=$BX$31,0,IF(BY3307&gt;=$BX$32,1,(BY3307-$BX$31)*$BX$33)),SUM($BU$42:BU3307)/$BV$40))</f>
        <v>1</v>
      </c>
      <c r="BW3307" s="16">
        <f t="shared" si="751"/>
        <v>2.043032971986174E-41</v>
      </c>
      <c r="BY3307" s="16">
        <f t="shared" si="752"/>
        <v>326.50000000000574</v>
      </c>
      <c r="BZ3307" s="16">
        <f t="shared" si="754"/>
        <v>6.2573751056237003E-44</v>
      </c>
      <c r="CA3307" s="16">
        <f t="shared" ref="CA3307:CA3370" si="761">IF(AND($CD$1,$CD$3),26-$CD$40*NORMDIST(BY3307,$Y$6,$Y$8/SQRT($T$18),FALSE),-999)</f>
        <v>-999</v>
      </c>
      <c r="CE3307" s="16" t="e">
        <f t="shared" si="755"/>
        <v>#N/A</v>
      </c>
      <c r="CF3307" s="16">
        <f t="shared" si="756"/>
        <v>99</v>
      </c>
      <c r="CG3307" s="16">
        <f t="shared" si="757"/>
        <v>0</v>
      </c>
      <c r="CH3307" s="16">
        <f t="shared" si="753"/>
        <v>0</v>
      </c>
      <c r="CJ3307" s="16" t="e">
        <f t="shared" si="758"/>
        <v>#N/A</v>
      </c>
      <c r="CK3307" s="16" t="str">
        <f t="shared" si="759"/>
        <v/>
      </c>
    </row>
    <row r="3308" spans="73:89" ht="12" customHeight="1">
      <c r="BU3308" s="16">
        <f t="shared" si="760"/>
        <v>0</v>
      </c>
      <c r="BV3308" s="16">
        <f>IF($BY$12=1,NORMDIST(BY3308,$Y$6,$Y$8,TRUE),IF($BY$12=2,IF(BY3308&lt;=$BX$31,0,IF(BY3308&gt;=$BX$32,1,(BY3308-$BX$31)*$BX$33)),SUM($BU$42:BU3308)/$BV$40))</f>
        <v>1</v>
      </c>
      <c r="BW3308" s="16">
        <f t="shared" si="751"/>
        <v>1.9071389489127465E-41</v>
      </c>
      <c r="BY3308" s="16">
        <f t="shared" si="752"/>
        <v>326.60000000000576</v>
      </c>
      <c r="BZ3308" s="16">
        <f t="shared" si="754"/>
        <v>5.8393721644602349E-44</v>
      </c>
      <c r="CA3308" s="16">
        <f t="shared" si="761"/>
        <v>-999</v>
      </c>
      <c r="CE3308" s="16" t="e">
        <f t="shared" si="755"/>
        <v>#N/A</v>
      </c>
      <c r="CF3308" s="16">
        <f t="shared" si="756"/>
        <v>99</v>
      </c>
      <c r="CG3308" s="16">
        <f t="shared" si="757"/>
        <v>0</v>
      </c>
      <c r="CH3308" s="16">
        <f t="shared" si="753"/>
        <v>0</v>
      </c>
      <c r="CJ3308" s="16" t="e">
        <f t="shared" si="758"/>
        <v>#N/A</v>
      </c>
      <c r="CK3308" s="16" t="str">
        <f t="shared" si="759"/>
        <v/>
      </c>
    </row>
    <row r="3309" spans="73:89" ht="12" customHeight="1">
      <c r="BU3309" s="16">
        <f t="shared" si="760"/>
        <v>0</v>
      </c>
      <c r="BV3309" s="16">
        <f>IF($BY$12=1,NORMDIST(BY3309,$Y$6,$Y$8,TRUE),IF($BY$12=2,IF(BY3309&lt;=$BX$31,0,IF(BY3309&gt;=$BX$32,1,(BY3309-$BX$31)*$BX$33)),SUM($BU$42:BU3309)/$BV$40))</f>
        <v>1</v>
      </c>
      <c r="BW3309" s="16">
        <f t="shared" si="751"/>
        <v>1.7802393554188801E-41</v>
      </c>
      <c r="BY3309" s="16">
        <f t="shared" si="752"/>
        <v>326.70000000000579</v>
      </c>
      <c r="BZ3309" s="16">
        <f t="shared" si="754"/>
        <v>5.4491562761519704E-44</v>
      </c>
      <c r="CA3309" s="16">
        <f t="shared" si="761"/>
        <v>-999</v>
      </c>
      <c r="CE3309" s="16" t="e">
        <f t="shared" si="755"/>
        <v>#N/A</v>
      </c>
      <c r="CF3309" s="16">
        <f t="shared" si="756"/>
        <v>99</v>
      </c>
      <c r="CG3309" s="16">
        <f t="shared" si="757"/>
        <v>0</v>
      </c>
      <c r="CH3309" s="16">
        <f t="shared" si="753"/>
        <v>0</v>
      </c>
      <c r="CJ3309" s="16" t="e">
        <f t="shared" si="758"/>
        <v>#N/A</v>
      </c>
      <c r="CK3309" s="16" t="str">
        <f t="shared" si="759"/>
        <v/>
      </c>
    </row>
    <row r="3310" spans="73:89" ht="12" customHeight="1">
      <c r="BU3310" s="16">
        <f t="shared" si="760"/>
        <v>0</v>
      </c>
      <c r="BV3310" s="16">
        <f>IF($BY$12=1,NORMDIST(BY3310,$Y$6,$Y$8,TRUE),IF($BY$12=2,IF(BY3310&lt;=$BX$31,0,IF(BY3310&gt;=$BX$32,1,(BY3310-$BX$31)*$BX$33)),SUM($BU$42:BU3310)/$BV$40))</f>
        <v>1</v>
      </c>
      <c r="BW3310" s="16">
        <f t="shared" si="751"/>
        <v>1.6617418658192895E-41</v>
      </c>
      <c r="BY3310" s="16">
        <f t="shared" si="752"/>
        <v>326.80000000000581</v>
      </c>
      <c r="BZ3310" s="16">
        <f t="shared" si="754"/>
        <v>5.0848894302914936E-44</v>
      </c>
      <c r="CA3310" s="16">
        <f t="shared" si="761"/>
        <v>-999</v>
      </c>
      <c r="CE3310" s="16" t="e">
        <f t="shared" si="755"/>
        <v>#N/A</v>
      </c>
      <c r="CF3310" s="16">
        <f t="shared" si="756"/>
        <v>99</v>
      </c>
      <c r="CG3310" s="16">
        <f t="shared" si="757"/>
        <v>0</v>
      </c>
      <c r="CH3310" s="16">
        <f t="shared" si="753"/>
        <v>0</v>
      </c>
      <c r="CJ3310" s="16" t="e">
        <f t="shared" si="758"/>
        <v>#N/A</v>
      </c>
      <c r="CK3310" s="16" t="str">
        <f t="shared" si="759"/>
        <v/>
      </c>
    </row>
    <row r="3311" spans="73:89" ht="12" customHeight="1">
      <c r="BU3311" s="16">
        <f t="shared" si="760"/>
        <v>0</v>
      </c>
      <c r="BV3311" s="16">
        <f>IF($BY$12=1,NORMDIST(BY3311,$Y$6,$Y$8,TRUE),IF($BY$12=2,IF(BY3311&lt;=$BX$31,0,IF(BY3311&gt;=$BX$32,1,(BY3311-$BX$31)*$BX$33)),SUM($BU$42:BU3311)/$BV$40))</f>
        <v>1</v>
      </c>
      <c r="BW3311" s="16">
        <f t="shared" si="751"/>
        <v>1.5510929627912521E-41</v>
      </c>
      <c r="BY3311" s="16">
        <f t="shared" si="752"/>
        <v>326.90000000000583</v>
      </c>
      <c r="BZ3311" s="16">
        <f t="shared" si="754"/>
        <v>4.7448545818024606E-44</v>
      </c>
      <c r="CA3311" s="16">
        <f t="shared" si="761"/>
        <v>-999</v>
      </c>
      <c r="CE3311" s="16" t="e">
        <f t="shared" si="755"/>
        <v>#N/A</v>
      </c>
      <c r="CF3311" s="16">
        <f t="shared" si="756"/>
        <v>99</v>
      </c>
      <c r="CG3311" s="16">
        <f t="shared" si="757"/>
        <v>0</v>
      </c>
      <c r="CH3311" s="16">
        <f t="shared" si="753"/>
        <v>0</v>
      </c>
      <c r="CJ3311" s="16" t="e">
        <f t="shared" si="758"/>
        <v>#N/A</v>
      </c>
      <c r="CK3311" s="16" t="str">
        <f t="shared" si="759"/>
        <v/>
      </c>
    </row>
    <row r="3312" spans="73:89" ht="12" customHeight="1">
      <c r="BU3312" s="16">
        <f t="shared" si="760"/>
        <v>0</v>
      </c>
      <c r="BV3312" s="16">
        <f>IF($BY$12=1,NORMDIST(BY3312,$Y$6,$Y$8,TRUE),IF($BY$12=2,IF(BY3312&lt;=$BX$31,0,IF(BY3312&gt;=$BX$32,1,(BY3312-$BX$31)*$BX$33)),SUM($BU$42:BU3312)/$BV$40))</f>
        <v>1</v>
      </c>
      <c r="BW3312" s="16">
        <f t="shared" si="751"/>
        <v>1.4477754078976308E-41</v>
      </c>
      <c r="BY3312" s="16">
        <f t="shared" si="752"/>
        <v>327.00000000000585</v>
      </c>
      <c r="BZ3312" s="16">
        <f t="shared" si="754"/>
        <v>4.4274477305737154E-44</v>
      </c>
      <c r="CA3312" s="16">
        <f t="shared" si="761"/>
        <v>-999</v>
      </c>
      <c r="CE3312" s="16" t="e">
        <f t="shared" si="755"/>
        <v>#N/A</v>
      </c>
      <c r="CF3312" s="16">
        <f t="shared" si="756"/>
        <v>99</v>
      </c>
      <c r="CG3312" s="16">
        <f t="shared" si="757"/>
        <v>0</v>
      </c>
      <c r="CH3312" s="16">
        <f t="shared" si="753"/>
        <v>0</v>
      </c>
      <c r="CJ3312" s="16" t="e">
        <f t="shared" si="758"/>
        <v>#N/A</v>
      </c>
      <c r="CK3312" s="16" t="str">
        <f t="shared" si="759"/>
        <v/>
      </c>
    </row>
    <row r="3313" spans="73:89" ht="12" customHeight="1">
      <c r="BU3313" s="16">
        <f t="shared" si="760"/>
        <v>0</v>
      </c>
      <c r="BV3313" s="16">
        <f>IF($BY$12=1,NORMDIST(BY3313,$Y$6,$Y$8,TRUE),IF($BY$12=2,IF(BY3313&lt;=$BX$31,0,IF(BY3313&gt;=$BX$32,1,(BY3313-$BX$31)*$BX$33)),SUM($BU$42:BU3313)/$BV$40))</f>
        <v>1</v>
      </c>
      <c r="BW3313" s="16">
        <f t="shared" si="751"/>
        <v>1.3513058761078277E-41</v>
      </c>
      <c r="BY3313" s="16">
        <f t="shared" si="752"/>
        <v>327.10000000000588</v>
      </c>
      <c r="BZ3313" s="16">
        <f t="shared" si="754"/>
        <v>4.1311705169911443E-44</v>
      </c>
      <c r="CA3313" s="16">
        <f t="shared" si="761"/>
        <v>-999</v>
      </c>
      <c r="CE3313" s="16" t="e">
        <f t="shared" si="755"/>
        <v>#N/A</v>
      </c>
      <c r="CF3313" s="16">
        <f t="shared" si="756"/>
        <v>99</v>
      </c>
      <c r="CG3313" s="16">
        <f t="shared" si="757"/>
        <v>0</v>
      </c>
      <c r="CH3313" s="16">
        <f t="shared" si="753"/>
        <v>0</v>
      </c>
      <c r="CJ3313" s="16" t="e">
        <f t="shared" si="758"/>
        <v>#N/A</v>
      </c>
      <c r="CK3313" s="16" t="str">
        <f t="shared" si="759"/>
        <v/>
      </c>
    </row>
    <row r="3314" spans="73:89" ht="12" customHeight="1">
      <c r="BU3314" s="16">
        <f t="shared" si="760"/>
        <v>0</v>
      </c>
      <c r="BV3314" s="16">
        <f>IF($BY$12=1,NORMDIST(BY3314,$Y$6,$Y$8,TRUE),IF($BY$12=2,IF(BY3314&lt;=$BX$31,0,IF(BY3314&gt;=$BX$32,1,(BY3314-$BX$31)*$BX$33)),SUM($BU$42:BU3314)/$BV$40))</f>
        <v>1</v>
      </c>
      <c r="BW3314" s="16">
        <f t="shared" si="751"/>
        <v>1.2612327437410235E-41</v>
      </c>
      <c r="BY3314" s="16">
        <f t="shared" si="752"/>
        <v>327.2000000000059</v>
      </c>
      <c r="BZ3314" s="16">
        <f t="shared" si="754"/>
        <v>3.8546232999419338E-44</v>
      </c>
      <c r="CA3314" s="16">
        <f t="shared" si="761"/>
        <v>-999</v>
      </c>
      <c r="CE3314" s="16" t="e">
        <f t="shared" si="755"/>
        <v>#N/A</v>
      </c>
      <c r="CF3314" s="16">
        <f t="shared" si="756"/>
        <v>99</v>
      </c>
      <c r="CG3314" s="16">
        <f t="shared" si="757"/>
        <v>0</v>
      </c>
      <c r="CH3314" s="16">
        <f t="shared" si="753"/>
        <v>0</v>
      </c>
      <c r="CJ3314" s="16" t="e">
        <f t="shared" si="758"/>
        <v>#N/A</v>
      </c>
      <c r="CK3314" s="16" t="str">
        <f t="shared" si="759"/>
        <v/>
      </c>
    </row>
    <row r="3315" spans="73:89" ht="12" customHeight="1">
      <c r="BU3315" s="16">
        <f t="shared" si="760"/>
        <v>0</v>
      </c>
      <c r="BV3315" s="16">
        <f>IF($BY$12=1,NORMDIST(BY3315,$Y$6,$Y$8,TRUE),IF($BY$12=2,IF(BY3315&lt;=$BX$31,0,IF(BY3315&gt;=$BX$32,1,(BY3315-$BX$31)*$BX$33)),SUM($BU$42:BU3315)/$BV$40))</f>
        <v>1</v>
      </c>
      <c r="BW3315" s="16">
        <f t="shared" si="751"/>
        <v>1.1771340199339878E-41</v>
      </c>
      <c r="BY3315" s="16">
        <f t="shared" si="752"/>
        <v>327.30000000000592</v>
      </c>
      <c r="BZ3315" s="16">
        <f t="shared" si="754"/>
        <v>3.5964986860188406E-44</v>
      </c>
      <c r="CA3315" s="16">
        <f t="shared" si="761"/>
        <v>-999</v>
      </c>
      <c r="CE3315" s="16" t="e">
        <f t="shared" si="755"/>
        <v>#N/A</v>
      </c>
      <c r="CF3315" s="16">
        <f t="shared" si="756"/>
        <v>99</v>
      </c>
      <c r="CG3315" s="16">
        <f t="shared" si="757"/>
        <v>0</v>
      </c>
      <c r="CH3315" s="16">
        <f t="shared" si="753"/>
        <v>0</v>
      </c>
      <c r="CJ3315" s="16" t="e">
        <f t="shared" si="758"/>
        <v>#N/A</v>
      </c>
      <c r="CK3315" s="16" t="str">
        <f t="shared" si="759"/>
        <v/>
      </c>
    </row>
    <row r="3316" spans="73:89" ht="12" customHeight="1">
      <c r="BU3316" s="16">
        <f t="shared" si="760"/>
        <v>0</v>
      </c>
      <c r="BV3316" s="16">
        <f>IF($BY$12=1,NORMDIST(BY3316,$Y$6,$Y$8,TRUE),IF($BY$12=2,IF(BY3316&lt;=$BX$31,0,IF(BY3316&gt;=$BX$32,1,(BY3316-$BX$31)*$BX$33)),SUM($BU$42:BU3316)/$BV$40))</f>
        <v>1</v>
      </c>
      <c r="BW3316" s="16">
        <f t="shared" si="751"/>
        <v>1.0986154123716349E-41</v>
      </c>
      <c r="BY3316" s="16">
        <f t="shared" si="752"/>
        <v>327.40000000000595</v>
      </c>
      <c r="BZ3316" s="16">
        <f t="shared" si="754"/>
        <v>3.3555754806707847E-44</v>
      </c>
      <c r="CA3316" s="16">
        <f t="shared" si="761"/>
        <v>-999</v>
      </c>
      <c r="CE3316" s="16" t="e">
        <f t="shared" si="755"/>
        <v>#N/A</v>
      </c>
      <c r="CF3316" s="16">
        <f t="shared" si="756"/>
        <v>99</v>
      </c>
      <c r="CG3316" s="16">
        <f t="shared" si="757"/>
        <v>0</v>
      </c>
      <c r="CH3316" s="16">
        <f t="shared" si="753"/>
        <v>0</v>
      </c>
      <c r="CJ3316" s="16" t="e">
        <f t="shared" si="758"/>
        <v>#N/A</v>
      </c>
      <c r="CK3316" s="16" t="str">
        <f t="shared" si="759"/>
        <v/>
      </c>
    </row>
    <row r="3317" spans="73:89" ht="12" customHeight="1">
      <c r="BU3317" s="16">
        <f t="shared" si="760"/>
        <v>0</v>
      </c>
      <c r="BV3317" s="16">
        <f>IF($BY$12=1,NORMDIST(BY3317,$Y$6,$Y$8,TRUE),IF($BY$12=2,IF(BY3317&lt;=$BX$31,0,IF(BY3317&gt;=$BX$32,1,(BY3317-$BX$31)*$BX$33)),SUM($BU$42:BU3317)/$BV$40))</f>
        <v>1</v>
      </c>
      <c r="BW3317" s="16">
        <f t="shared" si="751"/>
        <v>1.0253085186117381E-41</v>
      </c>
      <c r="BY3317" s="16">
        <f t="shared" si="752"/>
        <v>327.50000000000597</v>
      </c>
      <c r="BZ3317" s="16">
        <f t="shared" si="754"/>
        <v>3.1307130339289142E-44</v>
      </c>
      <c r="CA3317" s="16">
        <f t="shared" si="761"/>
        <v>-999</v>
      </c>
      <c r="CE3317" s="16" t="e">
        <f t="shared" si="755"/>
        <v>#N/A</v>
      </c>
      <c r="CF3317" s="16">
        <f t="shared" si="756"/>
        <v>99</v>
      </c>
      <c r="CG3317" s="16">
        <f t="shared" si="757"/>
        <v>0</v>
      </c>
      <c r="CH3317" s="16">
        <f t="shared" si="753"/>
        <v>0</v>
      </c>
      <c r="CJ3317" s="16" t="e">
        <f t="shared" si="758"/>
        <v>#N/A</v>
      </c>
      <c r="CK3317" s="16" t="str">
        <f t="shared" si="759"/>
        <v/>
      </c>
    </row>
    <row r="3318" spans="73:89" ht="12" customHeight="1">
      <c r="BU3318" s="16">
        <f t="shared" si="760"/>
        <v>0</v>
      </c>
      <c r="BV3318" s="16">
        <f>IF($BY$12=1,NORMDIST(BY3318,$Y$6,$Y$8,TRUE),IF($BY$12=2,IF(BY3318&lt;=$BX$31,0,IF(BY3318&gt;=$BX$32,1,(BY3318-$BX$31)*$BX$33)),SUM($BU$42:BU3318)/$BV$40))</f>
        <v>1</v>
      </c>
      <c r="BW3318" s="16">
        <f t="shared" si="751"/>
        <v>9.5686913489302004E-42</v>
      </c>
      <c r="BY3318" s="16">
        <f t="shared" si="752"/>
        <v>327.60000000000599</v>
      </c>
      <c r="BZ3318" s="16">
        <f t="shared" si="754"/>
        <v>2.9208459551068455E-44</v>
      </c>
      <c r="CA3318" s="16">
        <f t="shared" si="761"/>
        <v>-999</v>
      </c>
      <c r="CE3318" s="16" t="e">
        <f t="shared" si="755"/>
        <v>#N/A</v>
      </c>
      <c r="CF3318" s="16">
        <f t="shared" si="756"/>
        <v>99</v>
      </c>
      <c r="CG3318" s="16">
        <f t="shared" si="757"/>
        <v>0</v>
      </c>
      <c r="CH3318" s="16">
        <f t="shared" si="753"/>
        <v>0</v>
      </c>
      <c r="CJ3318" s="16" t="e">
        <f t="shared" si="758"/>
        <v>#N/A</v>
      </c>
      <c r="CK3318" s="16" t="str">
        <f t="shared" si="759"/>
        <v/>
      </c>
    </row>
    <row r="3319" spans="73:89" ht="12" customHeight="1">
      <c r="BU3319" s="16">
        <f t="shared" si="760"/>
        <v>0</v>
      </c>
      <c r="BV3319" s="16">
        <f>IF($BY$12=1,NORMDIST(BY3319,$Y$6,$Y$8,TRUE),IF($BY$12=2,IF(BY3319&lt;=$BX$31,0,IF(BY3319&gt;=$BX$32,1,(BY3319-$BX$31)*$BX$33)),SUM($BU$42:BU3319)/$BV$40))</f>
        <v>1</v>
      </c>
      <c r="BW3319" s="16">
        <f t="shared" si="751"/>
        <v>8.9297567483579635E-42</v>
      </c>
      <c r="BY3319" s="16">
        <f t="shared" si="752"/>
        <v>327.70000000000601</v>
      </c>
      <c r="BZ3319" s="16">
        <f t="shared" si="754"/>
        <v>2.7249791725229781E-44</v>
      </c>
      <c r="CA3319" s="16">
        <f t="shared" si="761"/>
        <v>-999</v>
      </c>
      <c r="CE3319" s="16" t="e">
        <f t="shared" si="755"/>
        <v>#N/A</v>
      </c>
      <c r="CF3319" s="16">
        <f t="shared" si="756"/>
        <v>99</v>
      </c>
      <c r="CG3319" s="16">
        <f t="shared" si="757"/>
        <v>0</v>
      </c>
      <c r="CH3319" s="16">
        <f t="shared" si="753"/>
        <v>0</v>
      </c>
      <c r="CJ3319" s="16" t="e">
        <f t="shared" si="758"/>
        <v>#N/A</v>
      </c>
      <c r="CK3319" s="16" t="str">
        <f t="shared" si="759"/>
        <v/>
      </c>
    </row>
    <row r="3320" spans="73:89" ht="12" customHeight="1">
      <c r="BU3320" s="16">
        <f t="shared" si="760"/>
        <v>0</v>
      </c>
      <c r="BV3320" s="16">
        <f>IF($BY$12=1,NORMDIST(BY3320,$Y$6,$Y$8,TRUE),IF($BY$12=2,IF(BY3320&lt;=$BX$31,0,IF(BY3320&gt;=$BX$32,1,(BY3320-$BX$31)*$BX$33)),SUM($BU$42:BU3320)/$BV$40))</f>
        <v>1</v>
      </c>
      <c r="BW3320" s="16">
        <f t="shared" si="751"/>
        <v>8.3332769093302672E-42</v>
      </c>
      <c r="BY3320" s="16">
        <f t="shared" si="752"/>
        <v>327.80000000000604</v>
      </c>
      <c r="BZ3320" s="16">
        <f t="shared" si="754"/>
        <v>2.5421833158420114E-44</v>
      </c>
      <c r="CA3320" s="16">
        <f t="shared" si="761"/>
        <v>-999</v>
      </c>
      <c r="CE3320" s="16" t="e">
        <f t="shared" si="755"/>
        <v>#N/A</v>
      </c>
      <c r="CF3320" s="16">
        <f t="shared" si="756"/>
        <v>99</v>
      </c>
      <c r="CG3320" s="16">
        <f t="shared" si="757"/>
        <v>0</v>
      </c>
      <c r="CH3320" s="16">
        <f t="shared" si="753"/>
        <v>0</v>
      </c>
      <c r="CJ3320" s="16" t="e">
        <f t="shared" si="758"/>
        <v>#N/A</v>
      </c>
      <c r="CK3320" s="16" t="str">
        <f t="shared" si="759"/>
        <v/>
      </c>
    </row>
    <row r="3321" spans="73:89" ht="12" customHeight="1">
      <c r="BU3321" s="16">
        <f t="shared" si="760"/>
        <v>0</v>
      </c>
      <c r="BV3321" s="16">
        <f>IF($BY$12=1,NORMDIST(BY3321,$Y$6,$Y$8,TRUE),IF($BY$12=2,IF(BY3321&lt;=$BX$31,0,IF(BY3321&gt;=$BX$32,1,(BY3321-$BX$31)*$BX$33)),SUM($BU$42:BU3321)/$BV$40))</f>
        <v>1</v>
      </c>
      <c r="BW3321" s="16">
        <f t="shared" si="751"/>
        <v>7.7764449218522023E-42</v>
      </c>
      <c r="BY3321" s="16">
        <f t="shared" si="752"/>
        <v>327.90000000000606</v>
      </c>
      <c r="BZ3321" s="16">
        <f t="shared" si="754"/>
        <v>2.3715904000768704E-44</v>
      </c>
      <c r="CA3321" s="16">
        <f t="shared" si="761"/>
        <v>-999</v>
      </c>
      <c r="CE3321" s="16" t="e">
        <f t="shared" si="755"/>
        <v>#N/A</v>
      </c>
      <c r="CF3321" s="16">
        <f t="shared" si="756"/>
        <v>99</v>
      </c>
      <c r="CG3321" s="16">
        <f t="shared" si="757"/>
        <v>0</v>
      </c>
      <c r="CH3321" s="16">
        <f t="shared" si="753"/>
        <v>0</v>
      </c>
      <c r="CJ3321" s="16" t="e">
        <f t="shared" si="758"/>
        <v>#N/A</v>
      </c>
      <c r="CK3321" s="16" t="str">
        <f t="shared" si="759"/>
        <v/>
      </c>
    </row>
    <row r="3322" spans="73:89" ht="12" customHeight="1">
      <c r="BU3322" s="16">
        <f t="shared" si="760"/>
        <v>0</v>
      </c>
      <c r="BV3322" s="16">
        <f>IF($BY$12=1,NORMDIST(BY3322,$Y$6,$Y$8,TRUE),IF($BY$12=2,IF(BY3322&lt;=$BX$31,0,IF(BY3322&gt;=$BX$32,1,(BY3322-$BX$31)*$BX$33)),SUM($BU$42:BU3322)/$BV$40))</f>
        <v>1</v>
      </c>
      <c r="BW3322" s="16">
        <f t="shared" si="751"/>
        <v>7.2566385166080214E-42</v>
      </c>
      <c r="BY3322" s="16">
        <f t="shared" si="752"/>
        <v>328.00000000000608</v>
      </c>
      <c r="BZ3322" s="16">
        <f t="shared" si="754"/>
        <v>2.212389791648746E-44</v>
      </c>
      <c r="CA3322" s="16">
        <f t="shared" si="761"/>
        <v>-999</v>
      </c>
      <c r="CE3322" s="16" t="e">
        <f t="shared" si="755"/>
        <v>#N/A</v>
      </c>
      <c r="CF3322" s="16">
        <f t="shared" si="756"/>
        <v>99</v>
      </c>
      <c r="CG3322" s="16">
        <f t="shared" si="757"/>
        <v>0</v>
      </c>
      <c r="CH3322" s="16">
        <f t="shared" si="753"/>
        <v>0</v>
      </c>
      <c r="CJ3322" s="16" t="e">
        <f t="shared" si="758"/>
        <v>#N/A</v>
      </c>
      <c r="CK3322" s="16" t="str">
        <f t="shared" si="759"/>
        <v/>
      </c>
    </row>
    <row r="3323" spans="73:89" ht="12" customHeight="1">
      <c r="BU3323" s="16">
        <f t="shared" si="760"/>
        <v>0</v>
      </c>
      <c r="BV3323" s="16">
        <f>IF($BY$12=1,NORMDIST(BY3323,$Y$6,$Y$8,TRUE),IF($BY$12=2,IF(BY3323&lt;=$BX$31,0,IF(BY3323&gt;=$BX$32,1,(BY3323-$BX$31)*$BX$33)),SUM($BU$42:BU3323)/$BV$40))</f>
        <v>1</v>
      </c>
      <c r="BW3323" s="16">
        <f t="shared" ref="BW3323:BW3386" si="762">BY3323*BZ3323</f>
        <v>6.7714079816337039E-42</v>
      </c>
      <c r="BY3323" s="16">
        <f t="shared" ref="BY3323:BY3386" si="763">BY3322+$BZ$1</f>
        <v>328.1000000000061</v>
      </c>
      <c r="BZ3323" s="16">
        <f t="shared" si="754"/>
        <v>2.0638244381693319E-44</v>
      </c>
      <c r="CA3323" s="16">
        <f t="shared" si="761"/>
        <v>-999</v>
      </c>
      <c r="CE3323" s="16" t="e">
        <f t="shared" si="755"/>
        <v>#N/A</v>
      </c>
      <c r="CF3323" s="16">
        <f t="shared" si="756"/>
        <v>99</v>
      </c>
      <c r="CG3323" s="16">
        <f t="shared" si="757"/>
        <v>0</v>
      </c>
      <c r="CH3323" s="16">
        <f t="shared" si="753"/>
        <v>0</v>
      </c>
      <c r="CJ3323" s="16" t="e">
        <f t="shared" si="758"/>
        <v>#N/A</v>
      </c>
      <c r="CK3323" s="16" t="str">
        <f t="shared" si="759"/>
        <v/>
      </c>
    </row>
    <row r="3324" spans="73:89" ht="12" customHeight="1">
      <c r="BU3324" s="16">
        <f t="shared" si="760"/>
        <v>0</v>
      </c>
      <c r="BV3324" s="16">
        <f>IF($BY$12=1,NORMDIST(BY3324,$Y$6,$Y$8,TRUE),IF($BY$12=2,IF(BY3324&lt;=$BX$31,0,IF(BY3324&gt;=$BX$32,1,(BY3324-$BX$31)*$BX$33)),SUM($BU$42:BU3324)/$BV$40))</f>
        <v>1</v>
      </c>
      <c r="BW3324" s="16">
        <f t="shared" si="762"/>
        <v>6.3184648656133981E-42</v>
      </c>
      <c r="BY3324" s="16">
        <f t="shared" si="763"/>
        <v>328.20000000000613</v>
      </c>
      <c r="BZ3324" s="16">
        <f t="shared" si="754"/>
        <v>1.9251873447938089E-44</v>
      </c>
      <c r="CA3324" s="16">
        <f t="shared" si="761"/>
        <v>-999</v>
      </c>
      <c r="CE3324" s="16" t="e">
        <f t="shared" si="755"/>
        <v>#N/A</v>
      </c>
      <c r="CF3324" s="16">
        <f t="shared" si="756"/>
        <v>99</v>
      </c>
      <c r="CG3324" s="16">
        <f t="shared" si="757"/>
        <v>0</v>
      </c>
      <c r="CH3324" s="16">
        <f t="shared" si="753"/>
        <v>0</v>
      </c>
      <c r="CJ3324" s="16" t="e">
        <f t="shared" si="758"/>
        <v>#N/A</v>
      </c>
      <c r="CK3324" s="16" t="str">
        <f t="shared" si="759"/>
        <v/>
      </c>
    </row>
    <row r="3325" spans="73:89" ht="12" customHeight="1">
      <c r="BU3325" s="16">
        <f t="shared" si="760"/>
        <v>0</v>
      </c>
      <c r="BV3325" s="16">
        <f>IF($BY$12=1,NORMDIST(BY3325,$Y$6,$Y$8,TRUE),IF($BY$12=2,IF(BY3325&lt;=$BX$31,0,IF(BY3325&gt;=$BX$32,1,(BY3325-$BX$31)*$BX$33)),SUM($BU$42:BU3325)/$BV$40))</f>
        <v>1</v>
      </c>
      <c r="BW3325" s="16">
        <f t="shared" si="762"/>
        <v>5.8956714168662021E-42</v>
      </c>
      <c r="BY3325" s="16">
        <f t="shared" si="763"/>
        <v>328.30000000000615</v>
      </c>
      <c r="BZ3325" s="16">
        <f t="shared" si="754"/>
        <v>1.7958182811045057E-44</v>
      </c>
      <c r="CA3325" s="16">
        <f t="shared" si="761"/>
        <v>-999</v>
      </c>
      <c r="CE3325" s="16" t="e">
        <f t="shared" si="755"/>
        <v>#N/A</v>
      </c>
      <c r="CF3325" s="16">
        <f t="shared" si="756"/>
        <v>99</v>
      </c>
      <c r="CG3325" s="16">
        <f t="shared" si="757"/>
        <v>0</v>
      </c>
      <c r="CH3325" s="16">
        <f t="shared" si="753"/>
        <v>0</v>
      </c>
      <c r="CJ3325" s="16" t="e">
        <f t="shared" si="758"/>
        <v>#N/A</v>
      </c>
      <c r="CK3325" s="16" t="str">
        <f t="shared" si="759"/>
        <v/>
      </c>
    </row>
    <row r="3326" spans="73:89" ht="12" customHeight="1">
      <c r="BU3326" s="16">
        <f t="shared" si="760"/>
        <v>0</v>
      </c>
      <c r="BV3326" s="16">
        <f>IF($BY$12=1,NORMDIST(BY3326,$Y$6,$Y$8,TRUE),IF($BY$12=2,IF(BY3326&lt;=$BX$31,0,IF(BY3326&gt;=$BX$32,1,(BY3326-$BX$31)*$BX$33)),SUM($BU$42:BU3326)/$BV$40))</f>
        <v>1</v>
      </c>
      <c r="BW3326" s="16">
        <f t="shared" si="762"/>
        <v>5.5010307103640208E-42</v>
      </c>
      <c r="BY3326" s="16">
        <f t="shared" si="763"/>
        <v>328.40000000000617</v>
      </c>
      <c r="BZ3326" s="16">
        <f t="shared" si="754"/>
        <v>1.6751007035212902E-44</v>
      </c>
      <c r="CA3326" s="16">
        <f t="shared" si="761"/>
        <v>-999</v>
      </c>
      <c r="CE3326" s="16" t="e">
        <f t="shared" si="755"/>
        <v>#N/A</v>
      </c>
      <c r="CF3326" s="16">
        <f t="shared" si="756"/>
        <v>99</v>
      </c>
      <c r="CG3326" s="16">
        <f t="shared" si="757"/>
        <v>0</v>
      </c>
      <c r="CH3326" s="16">
        <f t="shared" si="753"/>
        <v>0</v>
      </c>
      <c r="CJ3326" s="16" t="e">
        <f t="shared" si="758"/>
        <v>#N/A</v>
      </c>
      <c r="CK3326" s="16" t="str">
        <f t="shared" si="759"/>
        <v/>
      </c>
    </row>
    <row r="3327" spans="73:89" ht="12" customHeight="1">
      <c r="BU3327" s="16">
        <f t="shared" si="760"/>
        <v>0</v>
      </c>
      <c r="BV3327" s="16">
        <f>IF($BY$12=1,NORMDIST(BY3327,$Y$6,$Y$8,TRUE),IF($BY$12=2,IF(BY3327&lt;=$BX$31,0,IF(BY3327&gt;=$BX$32,1,(BY3327-$BX$31)*$BX$33)),SUM($BU$42:BU3327)/$BV$40))</f>
        <v>1</v>
      </c>
      <c r="BW3327" s="16">
        <f t="shared" si="762"/>
        <v>5.1326774181973491E-42</v>
      </c>
      <c r="BY3327" s="16">
        <f t="shared" si="763"/>
        <v>328.5000000000062</v>
      </c>
      <c r="BZ3327" s="16">
        <f t="shared" si="754"/>
        <v>1.5624588792076872E-44</v>
      </c>
      <c r="CA3327" s="16">
        <f t="shared" si="761"/>
        <v>-999</v>
      </c>
      <c r="CE3327" s="16" t="e">
        <f t="shared" si="755"/>
        <v>#N/A</v>
      </c>
      <c r="CF3327" s="16">
        <f t="shared" si="756"/>
        <v>99</v>
      </c>
      <c r="CG3327" s="16">
        <f t="shared" si="757"/>
        <v>0</v>
      </c>
      <c r="CH3327" s="16">
        <f t="shared" si="753"/>
        <v>0</v>
      </c>
      <c r="CJ3327" s="16" t="e">
        <f t="shared" si="758"/>
        <v>#N/A</v>
      </c>
      <c r="CK3327" s="16" t="str">
        <f t="shared" si="759"/>
        <v/>
      </c>
    </row>
    <row r="3328" spans="73:89" ht="12" customHeight="1">
      <c r="BU3328" s="16">
        <f t="shared" si="760"/>
        <v>0</v>
      </c>
      <c r="BV3328" s="16">
        <f>IF($BY$12=1,NORMDIST(BY3328,$Y$6,$Y$8,TRUE),IF($BY$12=2,IF(BY3328&lt;=$BX$31,0,IF(BY3328&gt;=$BX$32,1,(BY3328-$BX$31)*$BX$33)),SUM($BU$42:BU3328)/$BV$40))</f>
        <v>1</v>
      </c>
      <c r="BW3328" s="16">
        <f t="shared" si="762"/>
        <v>4.7888691817734658E-42</v>
      </c>
      <c r="BY3328" s="16">
        <f t="shared" si="763"/>
        <v>328.60000000000622</v>
      </c>
      <c r="BZ3328" s="16">
        <f t="shared" si="754"/>
        <v>1.4573551983485621E-44</v>
      </c>
      <c r="CA3328" s="16">
        <f t="shared" si="761"/>
        <v>-999</v>
      </c>
      <c r="CE3328" s="16" t="e">
        <f t="shared" si="755"/>
        <v>#N/A</v>
      </c>
      <c r="CF3328" s="16">
        <f t="shared" si="756"/>
        <v>99</v>
      </c>
      <c r="CG3328" s="16">
        <f t="shared" si="757"/>
        <v>0</v>
      </c>
      <c r="CH3328" s="16">
        <f t="shared" si="753"/>
        <v>0</v>
      </c>
      <c r="CJ3328" s="16" t="e">
        <f t="shared" si="758"/>
        <v>#N/A</v>
      </c>
      <c r="CK3328" s="16" t="str">
        <f t="shared" si="759"/>
        <v/>
      </c>
    </row>
    <row r="3329" spans="73:89" ht="12" customHeight="1">
      <c r="BU3329" s="16">
        <f t="shared" si="760"/>
        <v>0</v>
      </c>
      <c r="BV3329" s="16">
        <f>IF($BY$12=1,NORMDIST(BY3329,$Y$6,$Y$8,TRUE),IF($BY$12=2,IF(BY3329&lt;=$BX$31,0,IF(BY3329&gt;=$BX$32,1,(BY3329-$BX$31)*$BX$33)),SUM($BU$42:BU3329)/$BV$40))</f>
        <v>1</v>
      </c>
      <c r="BW3329" s="16">
        <f t="shared" si="762"/>
        <v>4.4679785467267566E-42</v>
      </c>
      <c r="BY3329" s="16">
        <f t="shared" si="763"/>
        <v>328.70000000000624</v>
      </c>
      <c r="BZ3329" s="16">
        <f t="shared" si="754"/>
        <v>1.3592876625271286E-44</v>
      </c>
      <c r="CA3329" s="16">
        <f t="shared" si="761"/>
        <v>-999</v>
      </c>
      <c r="CE3329" s="16" t="e">
        <f t="shared" si="755"/>
        <v>#N/A</v>
      </c>
      <c r="CF3329" s="16">
        <f t="shared" si="756"/>
        <v>99</v>
      </c>
      <c r="CG3329" s="16">
        <f t="shared" si="757"/>
        <v>0</v>
      </c>
      <c r="CH3329" s="16">
        <f t="shared" si="753"/>
        <v>0</v>
      </c>
      <c r="CJ3329" s="16" t="e">
        <f t="shared" si="758"/>
        <v>#N/A</v>
      </c>
      <c r="CK3329" s="16" t="str">
        <f t="shared" si="759"/>
        <v/>
      </c>
    </row>
    <row r="3330" spans="73:89" ht="12" customHeight="1">
      <c r="BU3330" s="16">
        <f t="shared" si="760"/>
        <v>0</v>
      </c>
      <c r="BV3330" s="16">
        <f>IF($BY$12=1,NORMDIST(BY3330,$Y$6,$Y$8,TRUE),IF($BY$12=2,IF(BY3330&lt;=$BX$31,0,IF(BY3330&gt;=$BX$32,1,(BY3330-$BX$31)*$BX$33)),SUM($BU$42:BU3330)/$BV$40))</f>
        <v>1</v>
      </c>
      <c r="BW3330" s="16">
        <f t="shared" si="762"/>
        <v>4.1684854240332249E-42</v>
      </c>
      <c r="BY3330" s="16">
        <f t="shared" si="763"/>
        <v>328.80000000000626</v>
      </c>
      <c r="BZ3330" s="16">
        <f t="shared" si="754"/>
        <v>1.2677875377229761E-44</v>
      </c>
      <c r="CA3330" s="16">
        <f t="shared" si="761"/>
        <v>-999</v>
      </c>
      <c r="CE3330" s="16" t="e">
        <f t="shared" si="755"/>
        <v>#N/A</v>
      </c>
      <c r="CF3330" s="16">
        <f t="shared" si="756"/>
        <v>99</v>
      </c>
      <c r="CG3330" s="16">
        <f t="shared" si="757"/>
        <v>0</v>
      </c>
      <c r="CH3330" s="16">
        <f t="shared" si="753"/>
        <v>0</v>
      </c>
      <c r="CJ3330" s="16" t="e">
        <f t="shared" si="758"/>
        <v>#N/A</v>
      </c>
      <c r="CK3330" s="16" t="str">
        <f t="shared" si="759"/>
        <v/>
      </c>
    </row>
    <row r="3331" spans="73:89" ht="12" customHeight="1">
      <c r="BU3331" s="16">
        <f t="shared" si="760"/>
        <v>0</v>
      </c>
      <c r="BV3331" s="16">
        <f>IF($BY$12=1,NORMDIST(BY3331,$Y$6,$Y$8,TRUE),IF($BY$12=2,IF(BY3331&lt;=$BX$31,0,IF(BY3331&gt;=$BX$32,1,(BY3331-$BX$31)*$BX$33)),SUM($BU$42:BU3331)/$BV$40))</f>
        <v>1</v>
      </c>
      <c r="BW3331" s="16">
        <f t="shared" si="762"/>
        <v>3.8889700431806193E-42</v>
      </c>
      <c r="BY3331" s="16">
        <f t="shared" si="763"/>
        <v>328.90000000000629</v>
      </c>
      <c r="BZ3331" s="16">
        <f t="shared" si="754"/>
        <v>1.1824171611980982E-44</v>
      </c>
      <c r="CA3331" s="16">
        <f t="shared" si="761"/>
        <v>-999</v>
      </c>
      <c r="CE3331" s="16" t="e">
        <f t="shared" si="755"/>
        <v>#N/A</v>
      </c>
      <c r="CF3331" s="16">
        <f t="shared" si="756"/>
        <v>99</v>
      </c>
      <c r="CG3331" s="16">
        <f t="shared" si="757"/>
        <v>0</v>
      </c>
      <c r="CH3331" s="16">
        <f t="shared" ref="CH3331:CH3394" si="764">IF(CB3331="",0,1)</f>
        <v>0</v>
      </c>
      <c r="CJ3331" s="16" t="e">
        <f t="shared" si="758"/>
        <v>#N/A</v>
      </c>
      <c r="CK3331" s="16" t="str">
        <f t="shared" si="759"/>
        <v/>
      </c>
    </row>
    <row r="3332" spans="73:89" ht="12" customHeight="1">
      <c r="BU3332" s="16">
        <f t="shared" si="760"/>
        <v>0</v>
      </c>
      <c r="BV3332" s="16">
        <f>IF($BY$12=1,NORMDIST(BY3332,$Y$6,$Y$8,TRUE),IF($BY$12=2,IF(BY3332&lt;=$BX$31,0,IF(BY3332&gt;=$BX$32,1,(BY3332-$BX$31)*$BX$33)),SUM($BU$42:BU3332)/$BV$40))</f>
        <v>1</v>
      </c>
      <c r="BW3332" s="16">
        <f t="shared" si="762"/>
        <v>3.6281063654468345E-42</v>
      </c>
      <c r="BY3332" s="16">
        <f t="shared" si="763"/>
        <v>329.00000000000631</v>
      </c>
      <c r="BZ3332" s="16">
        <f t="shared" si="754"/>
        <v>1.1027678922330593E-44</v>
      </c>
      <c r="CA3332" s="16">
        <f t="shared" si="761"/>
        <v>-999</v>
      </c>
      <c r="CE3332" s="16" t="e">
        <f t="shared" si="755"/>
        <v>#N/A</v>
      </c>
      <c r="CF3332" s="16">
        <f t="shared" si="756"/>
        <v>99</v>
      </c>
      <c r="CG3332" s="16">
        <f t="shared" si="757"/>
        <v>0</v>
      </c>
      <c r="CH3332" s="16">
        <f t="shared" si="764"/>
        <v>0</v>
      </c>
      <c r="CJ3332" s="16" t="e">
        <f t="shared" si="758"/>
        <v>#N/A</v>
      </c>
      <c r="CK3332" s="16" t="str">
        <f t="shared" si="759"/>
        <v/>
      </c>
    </row>
    <row r="3333" spans="73:89" ht="12" customHeight="1">
      <c r="BU3333" s="16">
        <f t="shared" si="760"/>
        <v>0</v>
      </c>
      <c r="BV3333" s="16">
        <f>IF($BY$12=1,NORMDIST(BY3333,$Y$6,$Y$8,TRUE),IF($BY$12=2,IF(BY3333&lt;=$BX$31,0,IF(BY3333&gt;=$BX$32,1,(BY3333-$BX$31)*$BX$33)),SUM($BU$42:BU3333)/$BV$40))</f>
        <v>1</v>
      </c>
      <c r="BW3333" s="16">
        <f t="shared" si="762"/>
        <v>3.3846559274039758E-42</v>
      </c>
      <c r="BY3333" s="16">
        <f t="shared" si="763"/>
        <v>329.10000000000633</v>
      </c>
      <c r="BZ3333" s="16">
        <f t="shared" si="754"/>
        <v>1.0284581973272291E-44</v>
      </c>
      <c r="CA3333" s="16">
        <f t="shared" si="761"/>
        <v>-999</v>
      </c>
      <c r="CE3333" s="16" t="e">
        <f t="shared" si="755"/>
        <v>#N/A</v>
      </c>
      <c r="CF3333" s="16">
        <f t="shared" si="756"/>
        <v>99</v>
      </c>
      <c r="CG3333" s="16">
        <f t="shared" si="757"/>
        <v>0</v>
      </c>
      <c r="CH3333" s="16">
        <f t="shared" si="764"/>
        <v>0</v>
      </c>
      <c r="CJ3333" s="16" t="e">
        <f t="shared" si="758"/>
        <v>#N/A</v>
      </c>
      <c r="CK3333" s="16" t="str">
        <f t="shared" si="759"/>
        <v/>
      </c>
    </row>
    <row r="3334" spans="73:89" ht="12" customHeight="1">
      <c r="BU3334" s="16">
        <f t="shared" si="760"/>
        <v>0</v>
      </c>
      <c r="BV3334" s="16">
        <f>IF($BY$12=1,NORMDIST(BY3334,$Y$6,$Y$8,TRUE),IF($BY$12=2,IF(BY3334&lt;=$BX$31,0,IF(BY3334&gt;=$BX$32,1,(BY3334-$BX$31)*$BX$33)),SUM($BU$42:BU3334)/$BV$40))</f>
        <v>1</v>
      </c>
      <c r="BW3334" s="16">
        <f t="shared" si="762"/>
        <v>3.1574620866955195E-42</v>
      </c>
      <c r="BY3334" s="16">
        <f t="shared" si="763"/>
        <v>329.20000000000636</v>
      </c>
      <c r="BZ3334" s="16">
        <f t="shared" si="754"/>
        <v>9.5913186108610531E-45</v>
      </c>
      <c r="CA3334" s="16">
        <f t="shared" si="761"/>
        <v>-999</v>
      </c>
      <c r="CE3334" s="16" t="e">
        <f t="shared" si="755"/>
        <v>#N/A</v>
      </c>
      <c r="CF3334" s="16">
        <f t="shared" si="756"/>
        <v>99</v>
      </c>
      <c r="CG3334" s="16">
        <f t="shared" si="757"/>
        <v>0</v>
      </c>
      <c r="CH3334" s="16">
        <f t="shared" si="764"/>
        <v>0</v>
      </c>
      <c r="CJ3334" s="16" t="e">
        <f t="shared" si="758"/>
        <v>#N/A</v>
      </c>
      <c r="CK3334" s="16" t="str">
        <f t="shared" si="759"/>
        <v/>
      </c>
    </row>
    <row r="3335" spans="73:89" ht="12" customHeight="1">
      <c r="BU3335" s="16">
        <f t="shared" si="760"/>
        <v>0</v>
      </c>
      <c r="BV3335" s="16">
        <f>IF($BY$12=1,NORMDIST(BY3335,$Y$6,$Y$8,TRUE),IF($BY$12=2,IF(BY3335&lt;=$BX$31,0,IF(BY3335&gt;=$BX$32,1,(BY3335-$BX$31)*$BX$33)),SUM($BU$42:BU3335)/$BV$40))</f>
        <v>1</v>
      </c>
      <c r="BW3335" s="16">
        <f t="shared" si="762"/>
        <v>2.9454446439405808E-42</v>
      </c>
      <c r="BY3335" s="16">
        <f t="shared" si="763"/>
        <v>329.30000000000638</v>
      </c>
      <c r="BZ3335" s="16">
        <f t="shared" si="754"/>
        <v>8.9445631458868025E-45</v>
      </c>
      <c r="CA3335" s="16">
        <f t="shared" si="761"/>
        <v>-999</v>
      </c>
      <c r="CE3335" s="16" t="e">
        <f t="shared" si="755"/>
        <v>#N/A</v>
      </c>
      <c r="CF3335" s="16">
        <f t="shared" si="756"/>
        <v>99</v>
      </c>
      <c r="CG3335" s="16">
        <f t="shared" si="757"/>
        <v>0</v>
      </c>
      <c r="CH3335" s="16">
        <f t="shared" si="764"/>
        <v>0</v>
      </c>
      <c r="CJ3335" s="16" t="e">
        <f t="shared" si="758"/>
        <v>#N/A</v>
      </c>
      <c r="CK3335" s="16" t="str">
        <f t="shared" si="759"/>
        <v/>
      </c>
    </row>
    <row r="3336" spans="73:89" ht="12" customHeight="1">
      <c r="BU3336" s="16">
        <f t="shared" si="760"/>
        <v>0</v>
      </c>
      <c r="BV3336" s="16">
        <f>IF($BY$12=1,NORMDIST(BY3336,$Y$6,$Y$8,TRUE),IF($BY$12=2,IF(BY3336&lt;=$BX$31,0,IF(BY3336&gt;=$BX$32,1,(BY3336-$BX$31)*$BX$33)),SUM($BU$42:BU3336)/$BV$40))</f>
        <v>1</v>
      </c>
      <c r="BW3336" s="16">
        <f t="shared" si="762"/>
        <v>2.7475948163078561E-42</v>
      </c>
      <c r="BY3336" s="16">
        <f t="shared" si="763"/>
        <v>329.4000000000064</v>
      </c>
      <c r="BZ3336" s="16">
        <f t="shared" si="754"/>
        <v>8.3412107356035299E-45</v>
      </c>
      <c r="CA3336" s="16">
        <f t="shared" si="761"/>
        <v>-999</v>
      </c>
      <c r="CE3336" s="16" t="e">
        <f t="shared" si="755"/>
        <v>#N/A</v>
      </c>
      <c r="CF3336" s="16">
        <f t="shared" si="756"/>
        <v>99</v>
      </c>
      <c r="CG3336" s="16">
        <f t="shared" si="757"/>
        <v>0</v>
      </c>
      <c r="CH3336" s="16">
        <f t="shared" si="764"/>
        <v>0</v>
      </c>
      <c r="CJ3336" s="16" t="e">
        <f t="shared" si="758"/>
        <v>#N/A</v>
      </c>
      <c r="CK3336" s="16" t="str">
        <f t="shared" si="759"/>
        <v/>
      </c>
    </row>
    <row r="3337" spans="73:89" ht="12" customHeight="1">
      <c r="BU3337" s="16">
        <f t="shared" si="760"/>
        <v>0</v>
      </c>
      <c r="BV3337" s="16">
        <f>IF($BY$12=1,NORMDIST(BY3337,$Y$6,$Y$8,TRUE),IF($BY$12=2,IF(BY3337&lt;=$BX$31,0,IF(BY3337&gt;=$BX$32,1,(BY3337-$BX$31)*$BX$33)),SUM($BU$42:BU3337)/$BV$40))</f>
        <v>1</v>
      </c>
      <c r="BW3337" s="16">
        <f t="shared" si="762"/>
        <v>2.5629705398873346E-42</v>
      </c>
      <c r="BY3337" s="16">
        <f t="shared" si="763"/>
        <v>329.50000000000642</v>
      </c>
      <c r="BZ3337" s="16">
        <f t="shared" si="754"/>
        <v>7.7783627917671764E-45</v>
      </c>
      <c r="CA3337" s="16">
        <f t="shared" si="761"/>
        <v>-999</v>
      </c>
      <c r="CE3337" s="16" t="e">
        <f t="shared" si="755"/>
        <v>#N/A</v>
      </c>
      <c r="CF3337" s="16">
        <f t="shared" si="756"/>
        <v>99</v>
      </c>
      <c r="CG3337" s="16">
        <f t="shared" si="757"/>
        <v>0</v>
      </c>
      <c r="CH3337" s="16">
        <f t="shared" si="764"/>
        <v>0</v>
      </c>
      <c r="CJ3337" s="16" t="e">
        <f t="shared" si="758"/>
        <v>#N/A</v>
      </c>
      <c r="CK3337" s="16" t="str">
        <f t="shared" si="759"/>
        <v/>
      </c>
    </row>
    <row r="3338" spans="73:89" ht="12" customHeight="1">
      <c r="BU3338" s="16">
        <f t="shared" si="760"/>
        <v>0</v>
      </c>
      <c r="BV3338" s="16">
        <f>IF($BY$12=1,NORMDIST(BY3338,$Y$6,$Y$8,TRUE),IF($BY$12=2,IF(BY3338&lt;=$BX$31,0,IF(BY3338&gt;=$BX$32,1,(BY3338-$BX$31)*$BX$33)),SUM($BU$42:BU3338)/$BV$40))</f>
        <v>1</v>
      </c>
      <c r="BW3338" s="16">
        <f t="shared" si="762"/>
        <v>2.3906920794624571E-42</v>
      </c>
      <c r="BY3338" s="16">
        <f t="shared" si="763"/>
        <v>329.60000000000645</v>
      </c>
      <c r="BZ3338" s="16">
        <f t="shared" si="754"/>
        <v>7.253313347883527E-45</v>
      </c>
      <c r="CA3338" s="16">
        <f t="shared" si="761"/>
        <v>-999</v>
      </c>
      <c r="CE3338" s="16" t="e">
        <f t="shared" si="755"/>
        <v>#N/A</v>
      </c>
      <c r="CF3338" s="16">
        <f t="shared" si="756"/>
        <v>99</v>
      </c>
      <c r="CG3338" s="16">
        <f t="shared" si="757"/>
        <v>0</v>
      </c>
      <c r="CH3338" s="16">
        <f t="shared" si="764"/>
        <v>0</v>
      </c>
      <c r="CJ3338" s="16" t="e">
        <f t="shared" si="758"/>
        <v>#N/A</v>
      </c>
      <c r="CK3338" s="16" t="str">
        <f t="shared" si="759"/>
        <v/>
      </c>
    </row>
    <row r="3339" spans="73:89" ht="12" customHeight="1">
      <c r="BU3339" s="16">
        <f t="shared" si="760"/>
        <v>0</v>
      </c>
      <c r="BV3339" s="16">
        <f>IF($BY$12=1,NORMDIST(BY3339,$Y$6,$Y$8,TRUE),IF($BY$12=2,IF(BY3339&lt;=$BX$31,0,IF(BY3339&gt;=$BX$32,1,(BY3339-$BX$31)*$BX$33)),SUM($BU$42:BU3339)/$BV$40))</f>
        <v>1</v>
      </c>
      <c r="BW3339" s="16">
        <f t="shared" si="762"/>
        <v>2.2299379256750351E-42</v>
      </c>
      <c r="BY3339" s="16">
        <f t="shared" si="763"/>
        <v>329.70000000000647</v>
      </c>
      <c r="BZ3339" s="16">
        <f t="shared" si="754"/>
        <v>6.7635363229450755E-45</v>
      </c>
      <c r="CA3339" s="16">
        <f t="shared" si="761"/>
        <v>-999</v>
      </c>
      <c r="CE3339" s="16" t="e">
        <f t="shared" si="755"/>
        <v>#N/A</v>
      </c>
      <c r="CF3339" s="16">
        <f t="shared" si="756"/>
        <v>99</v>
      </c>
      <c r="CG3339" s="16">
        <f t="shared" si="757"/>
        <v>0</v>
      </c>
      <c r="CH3339" s="16">
        <f t="shared" si="764"/>
        <v>0</v>
      </c>
      <c r="CJ3339" s="16" t="e">
        <f t="shared" si="758"/>
        <v>#N/A</v>
      </c>
      <c r="CK3339" s="16" t="str">
        <f t="shared" si="759"/>
        <v/>
      </c>
    </row>
    <row r="3340" spans="73:89" ht="12" customHeight="1">
      <c r="BU3340" s="16">
        <f t="shared" si="760"/>
        <v>0</v>
      </c>
      <c r="BV3340" s="16">
        <f>IF($BY$12=1,NORMDIST(BY3340,$Y$6,$Y$8,TRUE),IF($BY$12=2,IF(BY3340&lt;=$BX$31,0,IF(BY3340&gt;=$BX$32,1,(BY3340-$BX$31)*$BX$33)),SUM($BU$42:BU3340)/$BV$40))</f>
        <v>1</v>
      </c>
      <c r="BW3340" s="16">
        <f t="shared" si="762"/>
        <v>2.0799409608678507E-42</v>
      </c>
      <c r="BY3340" s="16">
        <f t="shared" si="763"/>
        <v>329.80000000000649</v>
      </c>
      <c r="BZ3340" s="16">
        <f t="shared" si="754"/>
        <v>6.3066736230073067E-45</v>
      </c>
      <c r="CA3340" s="16">
        <f t="shared" si="761"/>
        <v>-999</v>
      </c>
      <c r="CE3340" s="16" t="e">
        <f t="shared" si="755"/>
        <v>#N/A</v>
      </c>
      <c r="CF3340" s="16">
        <f t="shared" si="756"/>
        <v>99</v>
      </c>
      <c r="CG3340" s="16">
        <f t="shared" si="757"/>
        <v>0</v>
      </c>
      <c r="CH3340" s="16">
        <f t="shared" si="764"/>
        <v>0</v>
      </c>
      <c r="CJ3340" s="16" t="e">
        <f t="shared" si="758"/>
        <v>#N/A</v>
      </c>
      <c r="CK3340" s="16" t="str">
        <f t="shared" si="759"/>
        <v/>
      </c>
    </row>
    <row r="3341" spans="73:89" ht="12" customHeight="1">
      <c r="BU3341" s="16">
        <f t="shared" si="760"/>
        <v>0</v>
      </c>
      <c r="BV3341" s="16">
        <f>IF($BY$12=1,NORMDIST(BY3341,$Y$6,$Y$8,TRUE),IF($BY$12=2,IF(BY3341&lt;=$BX$31,0,IF(BY3341&gt;=$BX$32,1,(BY3341-$BX$31)*$BX$33)),SUM($BU$42:BU3341)/$BV$40))</f>
        <v>1</v>
      </c>
      <c r="BW3341" s="16">
        <f t="shared" si="762"/>
        <v>1.9399848761022079E-42</v>
      </c>
      <c r="BY3341" s="16">
        <f t="shared" si="763"/>
        <v>329.90000000000651</v>
      </c>
      <c r="BZ3341" s="16">
        <f t="shared" si="754"/>
        <v>5.8805240257719603E-45</v>
      </c>
      <c r="CA3341" s="16">
        <f t="shared" si="761"/>
        <v>-999</v>
      </c>
      <c r="CE3341" s="16" t="e">
        <f t="shared" si="755"/>
        <v>#N/A</v>
      </c>
      <c r="CF3341" s="16">
        <f t="shared" si="756"/>
        <v>99</v>
      </c>
      <c r="CG3341" s="16">
        <f t="shared" si="757"/>
        <v>0</v>
      </c>
      <c r="CH3341" s="16">
        <f t="shared" si="764"/>
        <v>0</v>
      </c>
      <c r="CJ3341" s="16" t="e">
        <f t="shared" si="758"/>
        <v>#N/A</v>
      </c>
      <c r="CK3341" s="16" t="str">
        <f t="shared" si="759"/>
        <v/>
      </c>
    </row>
    <row r="3342" spans="73:89" ht="12" customHeight="1">
      <c r="BU3342" s="16">
        <f t="shared" si="760"/>
        <v>0</v>
      </c>
      <c r="BV3342" s="16">
        <f>IF($BY$12=1,NORMDIST(BY3342,$Y$6,$Y$8,TRUE),IF($BY$12=2,IF(BY3342&lt;=$BX$31,0,IF(BY3342&gt;=$BX$32,1,(BY3342-$BX$31)*$BX$33)),SUM($BU$42:BU3342)/$BV$40))</f>
        <v>1</v>
      </c>
      <c r="BW3342" s="16">
        <f t="shared" si="762"/>
        <v>1.8094008229835331E-42</v>
      </c>
      <c r="BY3342" s="16">
        <f t="shared" si="763"/>
        <v>330.00000000000654</v>
      </c>
      <c r="BZ3342" s="16">
        <f t="shared" si="754"/>
        <v>5.4830327969196887E-45</v>
      </c>
      <c r="CA3342" s="16">
        <f t="shared" si="761"/>
        <v>-999</v>
      </c>
      <c r="CE3342" s="16" t="e">
        <f t="shared" si="755"/>
        <v>#N/A</v>
      </c>
      <c r="CF3342" s="16">
        <f t="shared" si="756"/>
        <v>99</v>
      </c>
      <c r="CG3342" s="16">
        <f t="shared" si="757"/>
        <v>0</v>
      </c>
      <c r="CH3342" s="16">
        <f t="shared" si="764"/>
        <v>0</v>
      </c>
      <c r="CJ3342" s="16" t="e">
        <f t="shared" si="758"/>
        <v>#N/A</v>
      </c>
      <c r="CK3342" s="16" t="str">
        <f t="shared" si="759"/>
        <v/>
      </c>
    </row>
    <row r="3343" spans="73:89" ht="12" customHeight="1">
      <c r="BU3343" s="16">
        <f t="shared" si="760"/>
        <v>0</v>
      </c>
      <c r="BV3343" s="16">
        <f>IF($BY$12=1,NORMDIST(BY3343,$Y$6,$Y$8,TRUE),IF($BY$12=2,IF(BY3343&lt;=$BX$31,0,IF(BY3343&gt;=$BX$32,1,(BY3343-$BX$31)*$BX$33)),SUM($BU$42:BU3343)/$BV$40))</f>
        <v>1</v>
      </c>
      <c r="BW3343" s="16">
        <f t="shared" si="762"/>
        <v>1.6875642849865908E-42</v>
      </c>
      <c r="BY3343" s="16">
        <f t="shared" si="763"/>
        <v>330.10000000000656</v>
      </c>
      <c r="BZ3343" s="16">
        <f t="shared" si="754"/>
        <v>5.1122819902652449E-45</v>
      </c>
      <c r="CA3343" s="16">
        <f t="shared" si="761"/>
        <v>-999</v>
      </c>
      <c r="CE3343" s="16" t="e">
        <f t="shared" si="755"/>
        <v>#N/A</v>
      </c>
      <c r="CF3343" s="16">
        <f t="shared" si="756"/>
        <v>99</v>
      </c>
      <c r="CG3343" s="16">
        <f t="shared" si="757"/>
        <v>0</v>
      </c>
      <c r="CH3343" s="16">
        <f t="shared" si="764"/>
        <v>0</v>
      </c>
      <c r="CJ3343" s="16" t="e">
        <f t="shared" si="758"/>
        <v>#N/A</v>
      </c>
      <c r="CK3343" s="16" t="str">
        <f t="shared" si="759"/>
        <v/>
      </c>
    </row>
    <row r="3344" spans="73:89" ht="12" customHeight="1">
      <c r="BU3344" s="16">
        <f t="shared" si="760"/>
        <v>0</v>
      </c>
      <c r="BV3344" s="16">
        <f>IF($BY$12=1,NORMDIST(BY3344,$Y$6,$Y$8,TRUE),IF($BY$12=2,IF(BY3344&lt;=$BX$31,0,IF(BY3344&gt;=$BX$32,1,(BY3344-$BX$31)*$BX$33)),SUM($BU$42:BU3344)/$BV$40))</f>
        <v>1</v>
      </c>
      <c r="BW3344" s="16">
        <f t="shared" si="762"/>
        <v>1.5738921539663824E-42</v>
      </c>
      <c r="BY3344" s="16">
        <f t="shared" si="763"/>
        <v>330.20000000000658</v>
      </c>
      <c r="BZ3344" s="16">
        <f t="shared" si="754"/>
        <v>4.7664813869362537E-45</v>
      </c>
      <c r="CA3344" s="16">
        <f t="shared" si="761"/>
        <v>-999</v>
      </c>
      <c r="CE3344" s="16" t="e">
        <f t="shared" si="755"/>
        <v>#N/A</v>
      </c>
      <c r="CF3344" s="16">
        <f t="shared" si="756"/>
        <v>99</v>
      </c>
      <c r="CG3344" s="16">
        <f t="shared" si="757"/>
        <v>0</v>
      </c>
      <c r="CH3344" s="16">
        <f t="shared" si="764"/>
        <v>0</v>
      </c>
      <c r="CJ3344" s="16" t="e">
        <f t="shared" si="758"/>
        <v>#N/A</v>
      </c>
      <c r="CK3344" s="16" t="str">
        <f t="shared" si="759"/>
        <v/>
      </c>
    </row>
    <row r="3345" spans="73:89" ht="12" customHeight="1">
      <c r="BU3345" s="16">
        <f t="shared" si="760"/>
        <v>0</v>
      </c>
      <c r="BV3345" s="16">
        <f>IF($BY$12=1,NORMDIST(BY3345,$Y$6,$Y$8,TRUE),IF($BY$12=2,IF(BY3345&lt;=$BX$31,0,IF(BY3345&gt;=$BX$32,1,(BY3345-$BX$31)*$BX$33)),SUM($BU$42:BU3345)/$BV$40))</f>
        <v>1</v>
      </c>
      <c r="BW3345" s="16">
        <f t="shared" si="762"/>
        <v>1.4678399984686144E-42</v>
      </c>
      <c r="BY3345" s="16">
        <f t="shared" si="763"/>
        <v>330.30000000000661</v>
      </c>
      <c r="BZ3345" s="16">
        <f t="shared" si="754"/>
        <v>4.4439600316941719E-45</v>
      </c>
      <c r="CA3345" s="16">
        <f t="shared" si="761"/>
        <v>-999</v>
      </c>
      <c r="CE3345" s="16" t="e">
        <f t="shared" si="755"/>
        <v>#N/A</v>
      </c>
      <c r="CF3345" s="16">
        <f t="shared" si="756"/>
        <v>99</v>
      </c>
      <c r="CG3345" s="16">
        <f t="shared" si="757"/>
        <v>0</v>
      </c>
      <c r="CH3345" s="16">
        <f t="shared" si="764"/>
        <v>0</v>
      </c>
      <c r="CJ3345" s="16" t="e">
        <f t="shared" si="758"/>
        <v>#N/A</v>
      </c>
      <c r="CK3345" s="16" t="str">
        <f t="shared" si="759"/>
        <v/>
      </c>
    </row>
    <row r="3346" spans="73:89" ht="12" customHeight="1">
      <c r="BU3346" s="16">
        <f t="shared" si="760"/>
        <v>0</v>
      </c>
      <c r="BV3346" s="16">
        <f>IF($BY$12=1,NORMDIST(BY3346,$Y$6,$Y$8,TRUE),IF($BY$12=2,IF(BY3346&lt;=$BX$31,0,IF(BY3346&gt;=$BX$32,1,(BY3346-$BX$31)*$BX$33)),SUM($BU$42:BU3346)/$BV$40))</f>
        <v>1</v>
      </c>
      <c r="BW3346" s="16">
        <f t="shared" si="762"/>
        <v>1.3688995113221271E-42</v>
      </c>
      <c r="BY3346" s="16">
        <f t="shared" si="763"/>
        <v>330.40000000000663</v>
      </c>
      <c r="BZ3346" s="16">
        <f t="shared" si="754"/>
        <v>4.1431583272460642E-45</v>
      </c>
      <c r="CA3346" s="16">
        <f t="shared" si="761"/>
        <v>-999</v>
      </c>
      <c r="CE3346" s="16" t="e">
        <f t="shared" si="755"/>
        <v>#N/A</v>
      </c>
      <c r="CF3346" s="16">
        <f t="shared" si="756"/>
        <v>99</v>
      </c>
      <c r="CG3346" s="16">
        <f t="shared" si="757"/>
        <v>0</v>
      </c>
      <c r="CH3346" s="16">
        <f t="shared" si="764"/>
        <v>0</v>
      </c>
      <c r="CJ3346" s="16" t="e">
        <f t="shared" si="758"/>
        <v>#N/A</v>
      </c>
      <c r="CK3346" s="16" t="str">
        <f t="shared" si="759"/>
        <v/>
      </c>
    </row>
    <row r="3347" spans="73:89" ht="12" customHeight="1">
      <c r="BU3347" s="16">
        <f t="shared" si="760"/>
        <v>0</v>
      </c>
      <c r="BV3347" s="16">
        <f>IF($BY$12=1,NORMDIST(BY3347,$Y$6,$Y$8,TRUE),IF($BY$12=2,IF(BY3347&lt;=$BX$31,0,IF(BY3347&gt;=$BX$32,1,(BY3347-$BX$31)*$BX$33)),SUM($BU$42:BU3347)/$BV$40))</f>
        <v>1</v>
      </c>
      <c r="BW3347" s="16">
        <f t="shared" si="762"/>
        <v>1.276596124808114E-42</v>
      </c>
      <c r="BY3347" s="16">
        <f t="shared" si="763"/>
        <v>330.50000000000665</v>
      </c>
      <c r="BZ3347" s="16">
        <f t="shared" si="754"/>
        <v>3.8626206499488301E-45</v>
      </c>
      <c r="CA3347" s="16">
        <f t="shared" si="761"/>
        <v>-999</v>
      </c>
      <c r="CE3347" s="16" t="e">
        <f t="shared" si="755"/>
        <v>#N/A</v>
      </c>
      <c r="CF3347" s="16">
        <f t="shared" si="756"/>
        <v>99</v>
      </c>
      <c r="CG3347" s="16">
        <f t="shared" si="757"/>
        <v>0</v>
      </c>
      <c r="CH3347" s="16">
        <f t="shared" si="764"/>
        <v>0</v>
      </c>
      <c r="CJ3347" s="16" t="e">
        <f t="shared" si="758"/>
        <v>#N/A</v>
      </c>
      <c r="CK3347" s="16" t="str">
        <f t="shared" si="759"/>
        <v/>
      </c>
    </row>
    <row r="3348" spans="73:89" ht="12" customHeight="1">
      <c r="BU3348" s="16">
        <f t="shared" si="760"/>
        <v>0</v>
      </c>
      <c r="BV3348" s="16">
        <f>IF($BY$12=1,NORMDIST(BY3348,$Y$6,$Y$8,TRUE),IF($BY$12=2,IF(BY3348&lt;=$BX$31,0,IF(BY3348&gt;=$BX$32,1,(BY3348-$BX$31)*$BX$33)),SUM($BU$42:BU3348)/$BV$40))</f>
        <v>1</v>
      </c>
      <c r="BW3348" s="16">
        <f t="shared" si="762"/>
        <v>1.1904867824622902E-42</v>
      </c>
      <c r="BY3348" s="16">
        <f t="shared" si="763"/>
        <v>330.60000000000667</v>
      </c>
      <c r="BZ3348" s="16">
        <f t="shared" si="754"/>
        <v>3.6009884526989299E-45</v>
      </c>
      <c r="CA3348" s="16">
        <f t="shared" si="761"/>
        <v>-999</v>
      </c>
      <c r="CE3348" s="16" t="e">
        <f t="shared" si="755"/>
        <v>#N/A</v>
      </c>
      <c r="CF3348" s="16">
        <f t="shared" si="756"/>
        <v>99</v>
      </c>
      <c r="CG3348" s="16">
        <f t="shared" si="757"/>
        <v>0</v>
      </c>
      <c r="CH3348" s="16">
        <f t="shared" si="764"/>
        <v>0</v>
      </c>
      <c r="CJ3348" s="16" t="e">
        <f t="shared" si="758"/>
        <v>#N/A</v>
      </c>
      <c r="CK3348" s="16" t="str">
        <f t="shared" si="759"/>
        <v/>
      </c>
    </row>
    <row r="3349" spans="73:89" ht="12" customHeight="1">
      <c r="BU3349" s="16">
        <f t="shared" si="760"/>
        <v>0</v>
      </c>
      <c r="BV3349" s="16">
        <f>IF($BY$12=1,NORMDIST(BY3349,$Y$6,$Y$8,TRUE),IF($BY$12=2,IF(BY3349&lt;=$BX$31,0,IF(BY3349&gt;=$BX$32,1,(BY3349-$BX$31)*$BX$33)),SUM($BU$42:BU3349)/$BV$40))</f>
        <v>1</v>
      </c>
      <c r="BW3349" s="16">
        <f t="shared" si="762"/>
        <v>1.1101578572752612E-42</v>
      </c>
      <c r="BY3349" s="16">
        <f t="shared" si="763"/>
        <v>330.7000000000067</v>
      </c>
      <c r="BZ3349" s="16">
        <f t="shared" si="754"/>
        <v>3.3569938230276346E-45</v>
      </c>
      <c r="CA3349" s="16">
        <f t="shared" si="761"/>
        <v>-999</v>
      </c>
      <c r="CE3349" s="16" t="e">
        <f t="shared" si="755"/>
        <v>#N/A</v>
      </c>
      <c r="CF3349" s="16">
        <f t="shared" si="756"/>
        <v>99</v>
      </c>
      <c r="CG3349" s="16">
        <f t="shared" si="757"/>
        <v>0</v>
      </c>
      <c r="CH3349" s="16">
        <f t="shared" si="764"/>
        <v>0</v>
      </c>
      <c r="CJ3349" s="16" t="e">
        <f t="shared" si="758"/>
        <v>#N/A</v>
      </c>
      <c r="CK3349" s="16" t="str">
        <f t="shared" si="759"/>
        <v/>
      </c>
    </row>
    <row r="3350" spans="73:89" ht="12" customHeight="1">
      <c r="BU3350" s="16">
        <f t="shared" si="760"/>
        <v>0</v>
      </c>
      <c r="BV3350" s="16">
        <f>IF($BY$12=1,NORMDIST(BY3350,$Y$6,$Y$8,TRUE),IF($BY$12=2,IF(BY3350&lt;=$BX$31,0,IF(BY3350&gt;=$BX$32,1,(BY3350-$BX$31)*$BX$33)),SUM($BU$42:BU3350)/$BV$40))</f>
        <v>1</v>
      </c>
      <c r="BW3350" s="16">
        <f t="shared" si="762"/>
        <v>1.0352232067232047E-42</v>
      </c>
      <c r="BY3350" s="16">
        <f t="shared" si="763"/>
        <v>330.80000000000672</v>
      </c>
      <c r="BZ3350" s="16">
        <f t="shared" si="754"/>
        <v>3.1294534665150656E-45</v>
      </c>
      <c r="CA3350" s="16">
        <f t="shared" si="761"/>
        <v>-999</v>
      </c>
      <c r="CE3350" s="16" t="e">
        <f t="shared" si="755"/>
        <v>#N/A</v>
      </c>
      <c r="CF3350" s="16">
        <f t="shared" si="756"/>
        <v>99</v>
      </c>
      <c r="CG3350" s="16">
        <f t="shared" si="757"/>
        <v>0</v>
      </c>
      <c r="CH3350" s="16">
        <f t="shared" si="764"/>
        <v>0</v>
      </c>
      <c r="CJ3350" s="16" t="e">
        <f t="shared" si="758"/>
        <v>#N/A</v>
      </c>
      <c r="CK3350" s="16" t="str">
        <f t="shared" si="759"/>
        <v/>
      </c>
    </row>
    <row r="3351" spans="73:89" ht="12" customHeight="1">
      <c r="BU3351" s="16">
        <f t="shared" si="760"/>
        <v>0</v>
      </c>
      <c r="BV3351" s="16">
        <f>IF($BY$12=1,NORMDIST(BY3351,$Y$6,$Y$8,TRUE),IF($BY$12=2,IF(BY3351&lt;=$BX$31,0,IF(BY3351&gt;=$BX$32,1,(BY3351-$BX$31)*$BX$33)),SUM($BU$42:BU3351)/$BV$40))</f>
        <v>1</v>
      </c>
      <c r="BW3351" s="16">
        <f t="shared" si="762"/>
        <v>9.6532235568180072E-43</v>
      </c>
      <c r="BY3351" s="16">
        <f t="shared" si="763"/>
        <v>330.90000000000674</v>
      </c>
      <c r="BZ3351" s="16">
        <f t="shared" si="754"/>
        <v>2.9172630875847117E-45</v>
      </c>
      <c r="CA3351" s="16">
        <f t="shared" si="761"/>
        <v>-999</v>
      </c>
      <c r="CE3351" s="16" t="e">
        <f t="shared" si="755"/>
        <v>#N/A</v>
      </c>
      <c r="CF3351" s="16">
        <f t="shared" si="756"/>
        <v>99</v>
      </c>
      <c r="CG3351" s="16">
        <f t="shared" si="757"/>
        <v>0</v>
      </c>
      <c r="CH3351" s="16">
        <f t="shared" si="764"/>
        <v>0</v>
      </c>
      <c r="CJ3351" s="16" t="e">
        <f t="shared" si="758"/>
        <v>#N/A</v>
      </c>
      <c r="CK3351" s="16" t="str">
        <f t="shared" si="759"/>
        <v/>
      </c>
    </row>
    <row r="3352" spans="73:89" ht="12" customHeight="1">
      <c r="BU3352" s="16">
        <f t="shared" si="760"/>
        <v>0</v>
      </c>
      <c r="BV3352" s="16">
        <f>IF($BY$12=1,NORMDIST(BY3352,$Y$6,$Y$8,TRUE),IF($BY$12=2,IF(BY3352&lt;=$BX$31,0,IF(BY3352&gt;=$BX$32,1,(BY3352-$BX$31)*$BX$33)),SUM($BU$42:BU3352)/$BV$40))</f>
        <v>1</v>
      </c>
      <c r="BW3352" s="16">
        <f t="shared" si="762"/>
        <v>9.0011879885923426E-43</v>
      </c>
      <c r="BY3352" s="16">
        <f t="shared" si="763"/>
        <v>331.00000000000676</v>
      </c>
      <c r="BZ3352" s="16">
        <f t="shared" si="754"/>
        <v>2.7193921415686281E-45</v>
      </c>
      <c r="CA3352" s="16">
        <f t="shared" si="761"/>
        <v>-999</v>
      </c>
      <c r="CE3352" s="16" t="e">
        <f t="shared" si="755"/>
        <v>#N/A</v>
      </c>
      <c r="CF3352" s="16">
        <f t="shared" si="756"/>
        <v>99</v>
      </c>
      <c r="CG3352" s="16">
        <f t="shared" si="757"/>
        <v>0</v>
      </c>
      <c r="CH3352" s="16">
        <f t="shared" si="764"/>
        <v>0</v>
      </c>
      <c r="CJ3352" s="16" t="e">
        <f t="shared" si="758"/>
        <v>#N/A</v>
      </c>
      <c r="CK3352" s="16" t="str">
        <f t="shared" si="759"/>
        <v/>
      </c>
    </row>
    <row r="3353" spans="73:89" ht="12" customHeight="1">
      <c r="BU3353" s="16">
        <f t="shared" si="760"/>
        <v>0</v>
      </c>
      <c r="BV3353" s="16">
        <f>IF($BY$12=1,NORMDIST(BY3353,$Y$6,$Y$8,TRUE),IF($BY$12=2,IF(BY3353&lt;=$BX$31,0,IF(BY3353&gt;=$BX$32,1,(BY3353-$BX$31)*$BX$33)),SUM($BU$42:BU3353)/$BV$40))</f>
        <v>1</v>
      </c>
      <c r="BW3353" s="16">
        <f t="shared" si="762"/>
        <v>8.3929841492726092E-43</v>
      </c>
      <c r="BY3353" s="16">
        <f t="shared" si="763"/>
        <v>331.10000000000679</v>
      </c>
      <c r="BZ3353" s="16">
        <f t="shared" si="754"/>
        <v>2.5348789336370998E-45</v>
      </c>
      <c r="CA3353" s="16">
        <f t="shared" si="761"/>
        <v>-999</v>
      </c>
      <c r="CE3353" s="16" t="e">
        <f t="shared" si="755"/>
        <v>#N/A</v>
      </c>
      <c r="CF3353" s="16">
        <f t="shared" si="756"/>
        <v>99</v>
      </c>
      <c r="CG3353" s="16">
        <f t="shared" si="757"/>
        <v>0</v>
      </c>
      <c r="CH3353" s="16">
        <f t="shared" si="764"/>
        <v>0</v>
      </c>
      <c r="CJ3353" s="16" t="e">
        <f t="shared" si="758"/>
        <v>#N/A</v>
      </c>
      <c r="CK3353" s="16" t="str">
        <f t="shared" si="759"/>
        <v/>
      </c>
    </row>
    <row r="3354" spans="73:89" ht="12" customHeight="1">
      <c r="BU3354" s="16">
        <f t="shared" si="760"/>
        <v>0</v>
      </c>
      <c r="BV3354" s="16">
        <f>IF($BY$12=1,NORMDIST(BY3354,$Y$6,$Y$8,TRUE),IF($BY$12=2,IF(BY3354&lt;=$BX$31,0,IF(BY3354&gt;=$BX$32,1,(BY3354-$BX$31)*$BX$33)),SUM($BU$42:BU3354)/$BV$40))</f>
        <v>1</v>
      </c>
      <c r="BW3354" s="16">
        <f t="shared" si="762"/>
        <v>7.8256798503935878E-43</v>
      </c>
      <c r="BY3354" s="16">
        <f t="shared" si="763"/>
        <v>331.20000000000681</v>
      </c>
      <c r="BZ3354" s="16">
        <f t="shared" si="754"/>
        <v>2.3628260417854548E-45</v>
      </c>
      <c r="CA3354" s="16">
        <f t="shared" si="761"/>
        <v>-999</v>
      </c>
      <c r="CE3354" s="16" t="e">
        <f t="shared" si="755"/>
        <v>#N/A</v>
      </c>
      <c r="CF3354" s="16">
        <f t="shared" si="756"/>
        <v>99</v>
      </c>
      <c r="CG3354" s="16">
        <f t="shared" si="757"/>
        <v>0</v>
      </c>
      <c r="CH3354" s="16">
        <f t="shared" si="764"/>
        <v>0</v>
      </c>
      <c r="CJ3354" s="16" t="e">
        <f t="shared" si="758"/>
        <v>#N/A</v>
      </c>
      <c r="CK3354" s="16" t="str">
        <f t="shared" si="759"/>
        <v/>
      </c>
    </row>
    <row r="3355" spans="73:89" ht="12" customHeight="1">
      <c r="BU3355" s="16">
        <f t="shared" si="760"/>
        <v>0</v>
      </c>
      <c r="BV3355" s="16">
        <f>IF($BY$12=1,NORMDIST(BY3355,$Y$6,$Y$8,TRUE),IF($BY$12=2,IF(BY3355&lt;=$BX$31,0,IF(BY3355&gt;=$BX$32,1,(BY3355-$BX$31)*$BX$33)),SUM($BU$42:BU3355)/$BV$40))</f>
        <v>1</v>
      </c>
      <c r="BW3355" s="16">
        <f t="shared" si="762"/>
        <v>7.2965380890019507E-43</v>
      </c>
      <c r="BY3355" s="16">
        <f t="shared" si="763"/>
        <v>331.30000000000683</v>
      </c>
      <c r="BZ3355" s="16">
        <f t="shared" si="754"/>
        <v>2.2023960425601569E-45</v>
      </c>
      <c r="CA3355" s="16">
        <f t="shared" si="761"/>
        <v>-999</v>
      </c>
      <c r="CE3355" s="16" t="e">
        <f t="shared" si="755"/>
        <v>#N/A</v>
      </c>
      <c r="CF3355" s="16">
        <f t="shared" si="756"/>
        <v>99</v>
      </c>
      <c r="CG3355" s="16">
        <f t="shared" si="757"/>
        <v>0</v>
      </c>
      <c r="CH3355" s="16">
        <f t="shared" si="764"/>
        <v>0</v>
      </c>
      <c r="CJ3355" s="16" t="e">
        <f t="shared" si="758"/>
        <v>#N/A</v>
      </c>
      <c r="CK3355" s="16" t="str">
        <f t="shared" si="759"/>
        <v/>
      </c>
    </row>
    <row r="3356" spans="73:89" ht="12" customHeight="1">
      <c r="BU3356" s="16">
        <f t="shared" si="760"/>
        <v>0</v>
      </c>
      <c r="BV3356" s="16">
        <f>IF($BY$12=1,NORMDIST(BY3356,$Y$6,$Y$8,TRUE),IF($BY$12=2,IF(BY3356&lt;=$BX$31,0,IF(BY3356&gt;=$BX$32,1,(BY3356-$BX$31)*$BX$33)),SUM($BU$42:BU3356)/$BV$40))</f>
        <v>1</v>
      </c>
      <c r="BW3356" s="16">
        <f t="shared" si="762"/>
        <v>6.8030041199662696E-43</v>
      </c>
      <c r="BY3356" s="16">
        <f t="shared" si="763"/>
        <v>331.40000000000686</v>
      </c>
      <c r="BZ3356" s="16">
        <f t="shared" si="754"/>
        <v>2.0528075196035391E-45</v>
      </c>
      <c r="CA3356" s="16">
        <f t="shared" si="761"/>
        <v>-999</v>
      </c>
      <c r="CE3356" s="16" t="e">
        <f t="shared" si="755"/>
        <v>#N/A</v>
      </c>
      <c r="CF3356" s="16">
        <f t="shared" si="756"/>
        <v>99</v>
      </c>
      <c r="CG3356" s="16">
        <f t="shared" si="757"/>
        <v>0</v>
      </c>
      <c r="CH3356" s="16">
        <f t="shared" si="764"/>
        <v>0</v>
      </c>
      <c r="CJ3356" s="16" t="e">
        <f t="shared" si="758"/>
        <v>#N/A</v>
      </c>
      <c r="CK3356" s="16" t="str">
        <f t="shared" si="759"/>
        <v/>
      </c>
    </row>
    <row r="3357" spans="73:89" ht="12" customHeight="1">
      <c r="BU3357" s="16">
        <f t="shared" si="760"/>
        <v>0</v>
      </c>
      <c r="BV3357" s="16">
        <f>IF($BY$12=1,NORMDIST(BY3357,$Y$6,$Y$8,TRUE),IF($BY$12=2,IF(BY3357&lt;=$BX$31,0,IF(BY3357&gt;=$BX$32,1,(BY3357-$BX$31)*$BX$33)),SUM($BU$42:BU3357)/$BV$40))</f>
        <v>1</v>
      </c>
      <c r="BW3357" s="16">
        <f t="shared" si="762"/>
        <v>6.3426933801605356E-43</v>
      </c>
      <c r="BY3357" s="16">
        <f t="shared" si="763"/>
        <v>331.50000000000688</v>
      </c>
      <c r="BZ3357" s="16">
        <f t="shared" si="754"/>
        <v>1.9133313363983119E-45</v>
      </c>
      <c r="CA3357" s="16">
        <f t="shared" si="761"/>
        <v>-999</v>
      </c>
      <c r="CE3357" s="16" t="e">
        <f t="shared" si="755"/>
        <v>#N/A</v>
      </c>
      <c r="CF3357" s="16">
        <f t="shared" si="756"/>
        <v>99</v>
      </c>
      <c r="CG3357" s="16">
        <f t="shared" si="757"/>
        <v>0</v>
      </c>
      <c r="CH3357" s="16">
        <f t="shared" si="764"/>
        <v>0</v>
      </c>
      <c r="CJ3357" s="16" t="e">
        <f t="shared" si="758"/>
        <v>#N/A</v>
      </c>
      <c r="CK3357" s="16" t="str">
        <f t="shared" si="759"/>
        <v/>
      </c>
    </row>
    <row r="3358" spans="73:89" ht="12" customHeight="1">
      <c r="BU3358" s="16">
        <f t="shared" si="760"/>
        <v>0</v>
      </c>
      <c r="BV3358" s="16">
        <f>IF($BY$12=1,NORMDIST(BY3358,$Y$6,$Y$8,TRUE),IF($BY$12=2,IF(BY3358&lt;=$BX$31,0,IF(BY3358&gt;=$BX$32,1,(BY3358-$BX$31)*$BX$33)),SUM($BU$42:BU3358)/$BV$40))</f>
        <v>1</v>
      </c>
      <c r="BW3358" s="16">
        <f t="shared" si="762"/>
        <v>5.9133802086796885E-43</v>
      </c>
      <c r="BY3358" s="16">
        <f t="shared" si="763"/>
        <v>331.6000000000069</v>
      </c>
      <c r="BZ3358" s="16">
        <f t="shared" si="754"/>
        <v>1.783287155814103E-45</v>
      </c>
      <c r="CA3358" s="16">
        <f t="shared" si="761"/>
        <v>-999</v>
      </c>
      <c r="CE3358" s="16" t="e">
        <f t="shared" si="755"/>
        <v>#N/A</v>
      </c>
      <c r="CF3358" s="16">
        <f t="shared" si="756"/>
        <v>99</v>
      </c>
      <c r="CG3358" s="16">
        <f t="shared" si="757"/>
        <v>0</v>
      </c>
      <c r="CH3358" s="16">
        <f t="shared" si="764"/>
        <v>0</v>
      </c>
      <c r="CJ3358" s="16" t="e">
        <f t="shared" si="758"/>
        <v>#N/A</v>
      </c>
      <c r="CK3358" s="16" t="str">
        <f t="shared" si="759"/>
        <v/>
      </c>
    </row>
    <row r="3359" spans="73:89" ht="12" customHeight="1">
      <c r="BU3359" s="16">
        <f t="shared" si="760"/>
        <v>0</v>
      </c>
      <c r="BV3359" s="16">
        <f>IF($BY$12=1,NORMDIST(BY3359,$Y$6,$Y$8,TRUE),IF($BY$12=2,IF(BY3359&lt;=$BX$31,0,IF(BY3359&gt;=$BX$32,1,(BY3359-$BX$31)*$BX$33)),SUM($BU$42:BU3359)/$BV$40))</f>
        <v>1</v>
      </c>
      <c r="BW3359" s="16">
        <f t="shared" si="762"/>
        <v>5.5129873108853283E-43</v>
      </c>
      <c r="BY3359" s="16">
        <f t="shared" si="763"/>
        <v>331.70000000000692</v>
      </c>
      <c r="BZ3359" s="16">
        <f t="shared" si="754"/>
        <v>1.6620401901975318E-45</v>
      </c>
      <c r="CA3359" s="16">
        <f t="shared" si="761"/>
        <v>-999</v>
      </c>
      <c r="CE3359" s="16" t="e">
        <f t="shared" si="755"/>
        <v>#N/A</v>
      </c>
      <c r="CF3359" s="16">
        <f t="shared" si="756"/>
        <v>99</v>
      </c>
      <c r="CG3359" s="16">
        <f t="shared" si="757"/>
        <v>0</v>
      </c>
      <c r="CH3359" s="16">
        <f t="shared" si="764"/>
        <v>0</v>
      </c>
      <c r="CJ3359" s="16" t="e">
        <f t="shared" si="758"/>
        <v>#N/A</v>
      </c>
      <c r="CK3359" s="16" t="str">
        <f t="shared" si="759"/>
        <v/>
      </c>
    </row>
    <row r="3360" spans="73:89" ht="12" customHeight="1">
      <c r="BU3360" s="16">
        <f t="shared" si="760"/>
        <v>0</v>
      </c>
      <c r="BV3360" s="16">
        <f>IF($BY$12=1,NORMDIST(BY3360,$Y$6,$Y$8,TRUE),IF($BY$12=2,IF(BY3360&lt;=$BX$31,0,IF(BY3360&gt;=$BX$32,1,(BY3360-$BX$31)*$BX$33)),SUM($BU$42:BU3360)/$BV$40))</f>
        <v>1</v>
      </c>
      <c r="BW3360" s="16">
        <f t="shared" si="762"/>
        <v>5.1395759174819229E-43</v>
      </c>
      <c r="BY3360" s="16">
        <f t="shared" si="763"/>
        <v>331.80000000000695</v>
      </c>
      <c r="BZ3360" s="16">
        <f t="shared" si="754"/>
        <v>1.5489981668118793E-45</v>
      </c>
      <c r="CA3360" s="16">
        <f t="shared" si="761"/>
        <v>-999</v>
      </c>
      <c r="CE3360" s="16" t="e">
        <f t="shared" si="755"/>
        <v>#N/A</v>
      </c>
      <c r="CF3360" s="16">
        <f t="shared" si="756"/>
        <v>99</v>
      </c>
      <c r="CG3360" s="16">
        <f t="shared" si="757"/>
        <v>0</v>
      </c>
      <c r="CH3360" s="16">
        <f t="shared" si="764"/>
        <v>0</v>
      </c>
      <c r="CJ3360" s="16" t="e">
        <f t="shared" si="758"/>
        <v>#N/A</v>
      </c>
      <c r="CK3360" s="16" t="str">
        <f t="shared" si="759"/>
        <v/>
      </c>
    </row>
    <row r="3361" spans="73:89" ht="12" customHeight="1">
      <c r="BU3361" s="16">
        <f t="shared" si="760"/>
        <v>0</v>
      </c>
      <c r="BV3361" s="16">
        <f>IF($BY$12=1,NORMDIST(BY3361,$Y$6,$Y$8,TRUE),IF($BY$12=2,IF(BY3361&lt;=$BX$31,0,IF(BY3361&gt;=$BX$32,1,(BY3361-$BX$31)*$BX$33)),SUM($BU$42:BU3361)/$BV$40))</f>
        <v>1</v>
      </c>
      <c r="BW3361" s="16">
        <f t="shared" si="762"/>
        <v>4.7913365930136438E-43</v>
      </c>
      <c r="BY3361" s="16">
        <f t="shared" si="763"/>
        <v>331.90000000000697</v>
      </c>
      <c r="BZ3361" s="16">
        <f t="shared" si="754"/>
        <v>1.4436084944301125E-45</v>
      </c>
      <c r="CA3361" s="16">
        <f t="shared" si="761"/>
        <v>-999</v>
      </c>
      <c r="CE3361" s="16" t="e">
        <f t="shared" si="755"/>
        <v>#N/A</v>
      </c>
      <c r="CF3361" s="16">
        <f t="shared" si="756"/>
        <v>99</v>
      </c>
      <c r="CG3361" s="16">
        <f t="shared" si="757"/>
        <v>0</v>
      </c>
      <c r="CH3361" s="16">
        <f t="shared" si="764"/>
        <v>0</v>
      </c>
      <c r="CJ3361" s="16" t="e">
        <f t="shared" si="758"/>
        <v>#N/A</v>
      </c>
      <c r="CK3361" s="16" t="str">
        <f t="shared" si="759"/>
        <v/>
      </c>
    </row>
    <row r="3362" spans="73:89" ht="12" customHeight="1">
      <c r="BU3362" s="16">
        <f t="shared" si="760"/>
        <v>0</v>
      </c>
      <c r="BV3362" s="16">
        <f>IF($BY$12=1,NORMDIST(BY3362,$Y$6,$Y$8,TRUE),IF($BY$12=2,IF(BY3362&lt;=$BX$31,0,IF(BY3362&gt;=$BX$32,1,(BY3362-$BX$31)*$BX$33)),SUM($BU$42:BU3362)/$BV$40))</f>
        <v>1</v>
      </c>
      <c r="BW3362" s="16">
        <f t="shared" si="762"/>
        <v>4.4665806511444974E-43</v>
      </c>
      <c r="BY3362" s="16">
        <f t="shared" si="763"/>
        <v>332.00000000000699</v>
      </c>
      <c r="BZ3362" s="16">
        <f t="shared" si="754"/>
        <v>1.3453556178145794E-45</v>
      </c>
      <c r="CA3362" s="16">
        <f t="shared" si="761"/>
        <v>-999</v>
      </c>
      <c r="CE3362" s="16" t="e">
        <f t="shared" si="755"/>
        <v>#N/A</v>
      </c>
      <c r="CF3362" s="16">
        <f t="shared" si="756"/>
        <v>99</v>
      </c>
      <c r="CG3362" s="16">
        <f t="shared" si="757"/>
        <v>0</v>
      </c>
      <c r="CH3362" s="16">
        <f t="shared" si="764"/>
        <v>0</v>
      </c>
      <c r="CJ3362" s="16" t="e">
        <f t="shared" si="758"/>
        <v>#N/A</v>
      </c>
      <c r="CK3362" s="16" t="str">
        <f t="shared" si="759"/>
        <v/>
      </c>
    </row>
    <row r="3363" spans="73:89" ht="12" customHeight="1">
      <c r="BU3363" s="16">
        <f t="shared" si="760"/>
        <v>0</v>
      </c>
      <c r="BV3363" s="16">
        <f>IF($BY$12=1,NORMDIST(BY3363,$Y$6,$Y$8,TRUE),IF($BY$12=2,IF(BY3363&lt;=$BX$31,0,IF(BY3363&gt;=$BX$32,1,(BY3363-$BX$31)*$BX$33)),SUM($BU$42:BU3363)/$BV$40))</f>
        <v>1</v>
      </c>
      <c r="BW3363" s="16">
        <f t="shared" si="762"/>
        <v>4.1637321368734475E-43</v>
      </c>
      <c r="BY3363" s="16">
        <f t="shared" si="763"/>
        <v>332.10000000000701</v>
      </c>
      <c r="BZ3363" s="16">
        <f t="shared" si="754"/>
        <v>1.2537585476884551E-45</v>
      </c>
      <c r="CA3363" s="16">
        <f t="shared" si="761"/>
        <v>-999</v>
      </c>
      <c r="CE3363" s="16" t="e">
        <f t="shared" si="755"/>
        <v>#N/A</v>
      </c>
      <c r="CF3363" s="16">
        <f t="shared" si="756"/>
        <v>99</v>
      </c>
      <c r="CG3363" s="16">
        <f t="shared" si="757"/>
        <v>0</v>
      </c>
      <c r="CH3363" s="16">
        <f t="shared" si="764"/>
        <v>0</v>
      </c>
      <c r="CJ3363" s="16" t="e">
        <f t="shared" si="758"/>
        <v>#N/A</v>
      </c>
      <c r="CK3363" s="16" t="str">
        <f t="shared" si="759"/>
        <v/>
      </c>
    </row>
    <row r="3364" spans="73:89" ht="12" customHeight="1">
      <c r="BU3364" s="16">
        <f t="shared" si="760"/>
        <v>0</v>
      </c>
      <c r="BV3364" s="16">
        <f>IF($BY$12=1,NORMDIST(BY3364,$Y$6,$Y$8,TRUE),IF($BY$12=2,IF(BY3364&lt;=$BX$31,0,IF(BY3364&gt;=$BX$32,1,(BY3364-$BX$31)*$BX$33)),SUM($BU$42:BU3364)/$BV$40))</f>
        <v>1</v>
      </c>
      <c r="BW3364" s="16">
        <f t="shared" si="762"/>
        <v>3.8813203384348243E-43</v>
      </c>
      <c r="BY3364" s="16">
        <f t="shared" si="763"/>
        <v>332.20000000000704</v>
      </c>
      <c r="BZ3364" s="16">
        <f t="shared" si="754"/>
        <v>1.1683685546161174E-45</v>
      </c>
      <c r="CA3364" s="16">
        <f t="shared" si="761"/>
        <v>-999</v>
      </c>
      <c r="CE3364" s="16" t="e">
        <f t="shared" si="755"/>
        <v>#N/A</v>
      </c>
      <c r="CF3364" s="16">
        <f t="shared" si="756"/>
        <v>99</v>
      </c>
      <c r="CG3364" s="16">
        <f t="shared" si="757"/>
        <v>0</v>
      </c>
      <c r="CH3364" s="16">
        <f t="shared" si="764"/>
        <v>0</v>
      </c>
      <c r="CJ3364" s="16" t="e">
        <f t="shared" si="758"/>
        <v>#N/A</v>
      </c>
      <c r="CK3364" s="16" t="str">
        <f t="shared" si="759"/>
        <v/>
      </c>
    </row>
    <row r="3365" spans="73:89" ht="12" customHeight="1">
      <c r="BU3365" s="16">
        <f t="shared" si="760"/>
        <v>0</v>
      </c>
      <c r="BV3365" s="16">
        <f>IF($BY$12=1,NORMDIST(BY3365,$Y$6,$Y$8,TRUE),IF($BY$12=2,IF(BY3365&lt;=$BX$31,0,IF(BY3365&gt;=$BX$32,1,(BY3365-$BX$31)*$BX$33)),SUM($BU$42:BU3365)/$BV$40))</f>
        <v>1</v>
      </c>
      <c r="BW3365" s="16">
        <f t="shared" si="762"/>
        <v>3.6179727940729575E-43</v>
      </c>
      <c r="BY3365" s="16">
        <f t="shared" si="763"/>
        <v>332.30000000000706</v>
      </c>
      <c r="BZ3365" s="16">
        <f t="shared" si="754"/>
        <v>1.0887670159713755E-45</v>
      </c>
      <c r="CA3365" s="16">
        <f t="shared" si="761"/>
        <v>-999</v>
      </c>
      <c r="CE3365" s="16" t="e">
        <f t="shared" si="755"/>
        <v>#N/A</v>
      </c>
      <c r="CF3365" s="16">
        <f t="shared" si="756"/>
        <v>99</v>
      </c>
      <c r="CG3365" s="16">
        <f t="shared" si="757"/>
        <v>0</v>
      </c>
      <c r="CH3365" s="16">
        <f t="shared" si="764"/>
        <v>0</v>
      </c>
      <c r="CJ3365" s="16" t="e">
        <f t="shared" si="758"/>
        <v>#N/A</v>
      </c>
      <c r="CK3365" s="16" t="str">
        <f t="shared" si="759"/>
        <v/>
      </c>
    </row>
    <row r="3366" spans="73:89" ht="12" customHeight="1">
      <c r="BU3366" s="16">
        <f t="shared" si="760"/>
        <v>0</v>
      </c>
      <c r="BV3366" s="16">
        <f>IF($BY$12=1,NORMDIST(BY3366,$Y$6,$Y$8,TRUE),IF($BY$12=2,IF(BY3366&lt;=$BX$31,0,IF(BY3366&gt;=$BX$32,1,(BY3366-$BX$31)*$BX$33)),SUM($BU$42:BU3366)/$BV$40))</f>
        <v>1</v>
      </c>
      <c r="BW3366" s="16">
        <f t="shared" si="762"/>
        <v>3.3724087611532852E-43</v>
      </c>
      <c r="BY3366" s="16">
        <f t="shared" si="763"/>
        <v>332.40000000000708</v>
      </c>
      <c r="BZ3366" s="16">
        <f t="shared" si="754"/>
        <v>1.0145634058824348E-45</v>
      </c>
      <c r="CA3366" s="16">
        <f t="shared" si="761"/>
        <v>-999</v>
      </c>
      <c r="CE3366" s="16" t="e">
        <f t="shared" si="755"/>
        <v>#N/A</v>
      </c>
      <c r="CF3366" s="16">
        <f t="shared" si="756"/>
        <v>99</v>
      </c>
      <c r="CG3366" s="16">
        <f t="shared" si="757"/>
        <v>0</v>
      </c>
      <c r="CH3366" s="16">
        <f t="shared" si="764"/>
        <v>0</v>
      </c>
      <c r="CJ3366" s="16" t="e">
        <f t="shared" si="758"/>
        <v>#N/A</v>
      </c>
      <c r="CK3366" s="16" t="str">
        <f t="shared" si="759"/>
        <v/>
      </c>
    </row>
    <row r="3367" spans="73:89" ht="12" customHeight="1">
      <c r="BU3367" s="16">
        <f t="shared" si="760"/>
        <v>0</v>
      </c>
      <c r="BV3367" s="16">
        <f>IF($BY$12=1,NORMDIST(BY3367,$Y$6,$Y$8,TRUE),IF($BY$12=2,IF(BY3367&lt;=$BX$31,0,IF(BY3367&gt;=$BX$32,1,(BY3367-$BX$31)*$BX$33)),SUM($BU$42:BU3367)/$BV$40))</f>
        <v>1</v>
      </c>
      <c r="BW3367" s="16">
        <f t="shared" si="762"/>
        <v>3.1434331172014902E-43</v>
      </c>
      <c r="BY3367" s="16">
        <f t="shared" si="763"/>
        <v>332.50000000000711</v>
      </c>
      <c r="BZ3367" s="16">
        <f t="shared" si="754"/>
        <v>9.4539341870719491E-46</v>
      </c>
      <c r="CA3367" s="16">
        <f t="shared" si="761"/>
        <v>-999</v>
      </c>
      <c r="CE3367" s="16" t="e">
        <f t="shared" si="755"/>
        <v>#N/A</v>
      </c>
      <c r="CF3367" s="16">
        <f t="shared" si="756"/>
        <v>99</v>
      </c>
      <c r="CG3367" s="16">
        <f t="shared" si="757"/>
        <v>0</v>
      </c>
      <c r="CH3367" s="16">
        <f t="shared" si="764"/>
        <v>0</v>
      </c>
      <c r="CJ3367" s="16" t="e">
        <f t="shared" si="758"/>
        <v>#N/A</v>
      </c>
      <c r="CK3367" s="16" t="str">
        <f t="shared" si="759"/>
        <v/>
      </c>
    </row>
    <row r="3368" spans="73:89" ht="12" customHeight="1">
      <c r="BU3368" s="16">
        <f t="shared" si="760"/>
        <v>0</v>
      </c>
      <c r="BV3368" s="16">
        <f>IF($BY$12=1,NORMDIST(BY3368,$Y$6,$Y$8,TRUE),IF($BY$12=2,IF(BY3368&lt;=$BX$31,0,IF(BY3368&gt;=$BX$32,1,(BY3368-$BX$31)*$BX$33)),SUM($BU$42:BU3368)/$BV$40))</f>
        <v>1</v>
      </c>
      <c r="BW3368" s="16">
        <f t="shared" si="762"/>
        <v>2.9299306644510987E-43</v>
      </c>
      <c r="BY3368" s="16">
        <f t="shared" si="763"/>
        <v>332.60000000000713</v>
      </c>
      <c r="BZ3368" s="16">
        <f t="shared" si="754"/>
        <v>8.8091721721317979E-46</v>
      </c>
      <c r="CA3368" s="16">
        <f t="shared" si="761"/>
        <v>-999</v>
      </c>
      <c r="CE3368" s="16" t="e">
        <f t="shared" si="755"/>
        <v>#N/A</v>
      </c>
      <c r="CF3368" s="16">
        <f t="shared" si="756"/>
        <v>99</v>
      </c>
      <c r="CG3368" s="16">
        <f t="shared" si="757"/>
        <v>0</v>
      </c>
      <c r="CH3368" s="16">
        <f t="shared" si="764"/>
        <v>0</v>
      </c>
      <c r="CJ3368" s="16" t="e">
        <f t="shared" si="758"/>
        <v>#N/A</v>
      </c>
      <c r="CK3368" s="16" t="str">
        <f t="shared" si="759"/>
        <v/>
      </c>
    </row>
    <row r="3369" spans="73:89" ht="12" customHeight="1">
      <c r="BU3369" s="16">
        <f t="shared" si="760"/>
        <v>0</v>
      </c>
      <c r="BV3369" s="16">
        <f>IF($BY$12=1,NORMDIST(BY3369,$Y$6,$Y$8,TRUE),IF($BY$12=2,IF(BY3369&lt;=$BX$31,0,IF(BY3369&gt;=$BX$32,1,(BY3369-$BX$31)*$BX$33)),SUM($BU$42:BU3369)/$BV$40))</f>
        <v>1</v>
      </c>
      <c r="BW3369" s="16">
        <f t="shared" si="762"/>
        <v>2.7308608113404615E-43</v>
      </c>
      <c r="BY3369" s="16">
        <f t="shared" si="763"/>
        <v>332.70000000000715</v>
      </c>
      <c r="BZ3369" s="16">
        <f t="shared" si="754"/>
        <v>8.2081779721683279E-46</v>
      </c>
      <c r="CA3369" s="16">
        <f t="shared" si="761"/>
        <v>-999</v>
      </c>
      <c r="CE3369" s="16" t="e">
        <f t="shared" si="755"/>
        <v>#N/A</v>
      </c>
      <c r="CF3369" s="16">
        <f t="shared" si="756"/>
        <v>99</v>
      </c>
      <c r="CG3369" s="16">
        <f t="shared" si="757"/>
        <v>0</v>
      </c>
      <c r="CH3369" s="16">
        <f t="shared" si="764"/>
        <v>0</v>
      </c>
      <c r="CJ3369" s="16" t="e">
        <f t="shared" si="758"/>
        <v>#N/A</v>
      </c>
      <c r="CK3369" s="16" t="str">
        <f t="shared" si="759"/>
        <v/>
      </c>
    </row>
    <row r="3370" spans="73:89" ht="12" customHeight="1">
      <c r="BU3370" s="16">
        <f t="shared" si="760"/>
        <v>0</v>
      </c>
      <c r="BV3370" s="16">
        <f>IF($BY$12=1,NORMDIST(BY3370,$Y$6,$Y$8,TRUE),IF($BY$12=2,IF(BY3370&lt;=$BX$31,0,IF(BY3370&gt;=$BX$32,1,(BY3370-$BX$31)*$BX$33)),SUM($BU$42:BU3370)/$BV$40))</f>
        <v>1</v>
      </c>
      <c r="BW3370" s="16">
        <f t="shared" si="762"/>
        <v>2.5452526061391663E-43</v>
      </c>
      <c r="BY3370" s="16">
        <f t="shared" si="763"/>
        <v>332.80000000000717</v>
      </c>
      <c r="BZ3370" s="16">
        <f t="shared" ref="BZ3370:BZ3433" si="765">IF($BZ$5,IF($BY$12=1,NORMDIST(BY3370,$Y$6,$Y$8,FALSE),IF($BY$12=2,IF(AND(BY3370&gt;=$BX$31,BY3370&lt;=$BX$32),$BX$33,0),IF(BY3370&lt;=$BX$13,0,NORMDIST(LN((BY3370-$BX$13)/$BX$12),0,$BW$8,FALSE)/((BY3370-$BX$13)/$BX$12)))),-999)</f>
        <v>7.6479946097930029E-46</v>
      </c>
      <c r="CA3370" s="16">
        <f t="shared" si="761"/>
        <v>-999</v>
      </c>
      <c r="CE3370" s="16" t="e">
        <f t="shared" ref="CE3370:CE3433" si="766">IF(AND($CB$7,$CD$2,$CD$1),26+$P$23/2-CC3370*$P$23,NA())</f>
        <v>#N/A</v>
      </c>
      <c r="CF3370" s="16">
        <f t="shared" ref="CF3370:CF3433" si="767">IF(ISNA(CJ3370),99,CJ3370)</f>
        <v>99</v>
      </c>
      <c r="CG3370" s="16">
        <f t="shared" ref="CG3370:CG3433" si="768">IF(ISNA(CJ3370),0,CJ3370)</f>
        <v>0</v>
      </c>
      <c r="CH3370" s="16">
        <f t="shared" si="764"/>
        <v>0</v>
      </c>
      <c r="CJ3370" s="16" t="e">
        <f t="shared" ref="CJ3370:CJ3433" si="769">IF(CH3370=1,CE3370,NA())</f>
        <v>#N/A</v>
      </c>
      <c r="CK3370" s="16" t="str">
        <f t="shared" ref="CK3370:CK3433" si="770">IF(CH3370=1,M3269,"")</f>
        <v/>
      </c>
    </row>
    <row r="3371" spans="73:89" ht="12" customHeight="1">
      <c r="BU3371" s="16">
        <f t="shared" ref="BU3371:BU3434" si="771">IF($BY$12&lt;3,0,IF(BY3371&lt;=$BX$13,0,NORMDIST(LN((BY3371-$BX$13)/$BX$12),0,$BW$8,FALSE)/((BY3371-$BX$13)/$BX$12)))</f>
        <v>0</v>
      </c>
      <c r="BV3371" s="16">
        <f>IF($BY$12=1,NORMDIST(BY3371,$Y$6,$Y$8,TRUE),IF($BY$12=2,IF(BY3371&lt;=$BX$31,0,IF(BY3371&gt;=$BX$32,1,(BY3371-$BX$31)*$BX$33)),SUM($BU$42:BU3371)/$BV$40))</f>
        <v>1</v>
      </c>
      <c r="BW3371" s="16">
        <f t="shared" si="762"/>
        <v>2.3722000995094511E-43</v>
      </c>
      <c r="BY3371" s="16">
        <f t="shared" si="763"/>
        <v>332.9000000000072</v>
      </c>
      <c r="BZ3371" s="16">
        <f t="shared" si="765"/>
        <v>7.1258639216263138E-46</v>
      </c>
      <c r="CA3371" s="16">
        <f t="shared" ref="CA3371:CA3434" si="772">IF(AND($CD$1,$CD$3),26-$CD$40*NORMDIST(BY3371,$Y$6,$Y$8/SQRT($T$18),FALSE),-999)</f>
        <v>-999</v>
      </c>
      <c r="CE3371" s="16" t="e">
        <f t="shared" si="766"/>
        <v>#N/A</v>
      </c>
      <c r="CF3371" s="16">
        <f t="shared" si="767"/>
        <v>99</v>
      </c>
      <c r="CG3371" s="16">
        <f t="shared" si="768"/>
        <v>0</v>
      </c>
      <c r="CH3371" s="16">
        <f t="shared" si="764"/>
        <v>0</v>
      </c>
      <c r="CJ3371" s="16" t="e">
        <f t="shared" si="769"/>
        <v>#N/A</v>
      </c>
      <c r="CK3371" s="16" t="str">
        <f t="shared" si="770"/>
        <v/>
      </c>
    </row>
    <row r="3372" spans="73:89" ht="12" customHeight="1">
      <c r="BU3372" s="16">
        <f t="shared" si="771"/>
        <v>0</v>
      </c>
      <c r="BV3372" s="16">
        <f>IF($BY$12=1,NORMDIST(BY3372,$Y$6,$Y$8,TRUE),IF($BY$12=2,IF(BY3372&lt;=$BX$31,0,IF(BY3372&gt;=$BX$32,1,(BY3372-$BX$31)*$BX$33)),SUM($BU$42:BU3372)/$BV$40))</f>
        <v>1</v>
      </c>
      <c r="BW3372" s="16">
        <f t="shared" si="762"/>
        <v>2.2108580143278957E-43</v>
      </c>
      <c r="BY3372" s="16">
        <f t="shared" si="763"/>
        <v>333.00000000000722</v>
      </c>
      <c r="BZ3372" s="16">
        <f t="shared" si="765"/>
        <v>6.6392132562397826E-46</v>
      </c>
      <c r="CA3372" s="16">
        <f t="shared" si="772"/>
        <v>-999</v>
      </c>
      <c r="CE3372" s="16" t="e">
        <f t="shared" si="766"/>
        <v>#N/A</v>
      </c>
      <c r="CF3372" s="16">
        <f t="shared" si="767"/>
        <v>99</v>
      </c>
      <c r="CG3372" s="16">
        <f t="shared" si="768"/>
        <v>0</v>
      </c>
      <c r="CH3372" s="16">
        <f t="shared" si="764"/>
        <v>0</v>
      </c>
      <c r="CJ3372" s="16" t="e">
        <f t="shared" si="769"/>
        <v>#N/A</v>
      </c>
      <c r="CK3372" s="16" t="str">
        <f t="shared" si="770"/>
        <v/>
      </c>
    </row>
    <row r="3373" spans="73:89" ht="12" customHeight="1">
      <c r="BU3373" s="16">
        <f t="shared" si="771"/>
        <v>0</v>
      </c>
      <c r="BV3373" s="16">
        <f>IF($BY$12=1,NORMDIST(BY3373,$Y$6,$Y$8,TRUE),IF($BY$12=2,IF(BY3373&lt;=$BX$31,0,IF(BY3373&gt;=$BX$32,1,(BY3373-$BX$31)*$BX$33)),SUM($BU$42:BU3373)/$BV$40))</f>
        <v>1</v>
      </c>
      <c r="BW3373" s="16">
        <f t="shared" si="762"/>
        <v>2.0604377025136364E-43</v>
      </c>
      <c r="BY3373" s="16">
        <f t="shared" si="763"/>
        <v>333.10000000000724</v>
      </c>
      <c r="BZ3373" s="16">
        <f t="shared" si="765"/>
        <v>6.1856430576811514E-46</v>
      </c>
      <c r="CA3373" s="16">
        <f t="shared" si="772"/>
        <v>-999</v>
      </c>
      <c r="CE3373" s="16" t="e">
        <f t="shared" si="766"/>
        <v>#N/A</v>
      </c>
      <c r="CF3373" s="16">
        <f t="shared" si="767"/>
        <v>99</v>
      </c>
      <c r="CG3373" s="16">
        <f t="shared" si="768"/>
        <v>0</v>
      </c>
      <c r="CH3373" s="16">
        <f t="shared" si="764"/>
        <v>0</v>
      </c>
      <c r="CJ3373" s="16" t="e">
        <f t="shared" si="769"/>
        <v>#N/A</v>
      </c>
      <c r="CK3373" s="16" t="str">
        <f t="shared" si="770"/>
        <v/>
      </c>
    </row>
    <row r="3374" spans="73:89" ht="12" customHeight="1">
      <c r="BU3374" s="16">
        <f t="shared" si="771"/>
        <v>0</v>
      </c>
      <c r="BV3374" s="16">
        <f>IF($BY$12=1,NORMDIST(BY3374,$Y$6,$Y$8,TRUE),IF($BY$12=2,IF(BY3374&lt;=$BX$31,0,IF(BY3374&gt;=$BX$32,1,(BY3374-$BX$31)*$BX$33)),SUM($BU$42:BU3374)/$BV$40))</f>
        <v>1</v>
      </c>
      <c r="BW3374" s="16">
        <f t="shared" si="762"/>
        <v>1.9202033699376085E-43</v>
      </c>
      <c r="BY3374" s="16">
        <f t="shared" si="763"/>
        <v>333.20000000000726</v>
      </c>
      <c r="BZ3374" s="16">
        <f t="shared" si="765"/>
        <v>5.7629152759230693E-46</v>
      </c>
      <c r="CA3374" s="16">
        <f t="shared" si="772"/>
        <v>-999</v>
      </c>
      <c r="CE3374" s="16" t="e">
        <f t="shared" si="766"/>
        <v>#N/A</v>
      </c>
      <c r="CF3374" s="16">
        <f t="shared" si="767"/>
        <v>99</v>
      </c>
      <c r="CG3374" s="16">
        <f t="shared" si="768"/>
        <v>0</v>
      </c>
      <c r="CH3374" s="16">
        <f t="shared" si="764"/>
        <v>0</v>
      </c>
      <c r="CJ3374" s="16" t="e">
        <f t="shared" si="769"/>
        <v>#N/A</v>
      </c>
      <c r="CK3374" s="16" t="str">
        <f t="shared" si="770"/>
        <v/>
      </c>
    </row>
    <row r="3375" spans="73:89" ht="12" customHeight="1">
      <c r="BU3375" s="16">
        <f t="shared" si="771"/>
        <v>0</v>
      </c>
      <c r="BV3375" s="16">
        <f>IF($BY$12=1,NORMDIST(BY3375,$Y$6,$Y$8,TRUE),IF($BY$12=2,IF(BY3375&lt;=$BX$31,0,IF(BY3375&gt;=$BX$32,1,(BY3375-$BX$31)*$BX$33)),SUM($BU$42:BU3375)/$BV$40))</f>
        <v>1</v>
      </c>
      <c r="BW3375" s="16">
        <f t="shared" si="762"/>
        <v>1.7894685517284297E-43</v>
      </c>
      <c r="BY3375" s="16">
        <f t="shared" si="763"/>
        <v>333.30000000000729</v>
      </c>
      <c r="BZ3375" s="16">
        <f t="shared" si="765"/>
        <v>5.3689425494401154E-46</v>
      </c>
      <c r="CA3375" s="16">
        <f t="shared" si="772"/>
        <v>-999</v>
      </c>
      <c r="CE3375" s="16" t="e">
        <f t="shared" si="766"/>
        <v>#N/A</v>
      </c>
      <c r="CF3375" s="16">
        <f t="shared" si="767"/>
        <v>99</v>
      </c>
      <c r="CG3375" s="16">
        <f t="shared" si="768"/>
        <v>0</v>
      </c>
      <c r="CH3375" s="16">
        <f t="shared" si="764"/>
        <v>0</v>
      </c>
      <c r="CJ3375" s="16" t="e">
        <f t="shared" si="769"/>
        <v>#N/A</v>
      </c>
      <c r="CK3375" s="16" t="str">
        <f t="shared" si="770"/>
        <v/>
      </c>
    </row>
    <row r="3376" spans="73:89" ht="12" customHeight="1">
      <c r="BU3376" s="16">
        <f t="shared" si="771"/>
        <v>0</v>
      </c>
      <c r="BV3376" s="16">
        <f>IF($BY$12=1,NORMDIST(BY3376,$Y$6,$Y$8,TRUE),IF($BY$12=2,IF(BY3376&lt;=$BX$31,0,IF(BY3376&gt;=$BX$32,1,(BY3376-$BX$31)*$BX$33)),SUM($BU$42:BU3376)/$BV$40))</f>
        <v>1</v>
      </c>
      <c r="BW3376" s="16">
        <f t="shared" si="762"/>
        <v>1.6675928214515925E-43</v>
      </c>
      <c r="BY3376" s="16">
        <f t="shared" si="763"/>
        <v>333.40000000000731</v>
      </c>
      <c r="BZ3376" s="16">
        <f t="shared" si="765"/>
        <v>5.001778108732921E-46</v>
      </c>
      <c r="CA3376" s="16">
        <f t="shared" si="772"/>
        <v>-999</v>
      </c>
      <c r="CE3376" s="16" t="e">
        <f t="shared" si="766"/>
        <v>#N/A</v>
      </c>
      <c r="CF3376" s="16">
        <f t="shared" si="767"/>
        <v>99</v>
      </c>
      <c r="CG3376" s="16">
        <f t="shared" si="768"/>
        <v>0</v>
      </c>
      <c r="CH3376" s="16">
        <f t="shared" si="764"/>
        <v>0</v>
      </c>
      <c r="CJ3376" s="16" t="e">
        <f t="shared" si="769"/>
        <v>#N/A</v>
      </c>
      <c r="CK3376" s="16" t="str">
        <f t="shared" si="770"/>
        <v/>
      </c>
    </row>
    <row r="3377" spans="73:89" ht="12" customHeight="1">
      <c r="BU3377" s="16">
        <f t="shared" si="771"/>
        <v>0</v>
      </c>
      <c r="BV3377" s="16">
        <f>IF($BY$12=1,NORMDIST(BY3377,$Y$6,$Y$8,TRUE),IF($BY$12=2,IF(BY3377&lt;=$BX$31,0,IF(BY3377&gt;=$BX$32,1,(BY3377-$BX$31)*$BX$33)),SUM($BU$42:BU3377)/$BV$40))</f>
        <v>1</v>
      </c>
      <c r="BW3377" s="16">
        <f t="shared" si="762"/>
        <v>1.5539787187223207E-43</v>
      </c>
      <c r="BY3377" s="16">
        <f t="shared" si="763"/>
        <v>333.50000000000733</v>
      </c>
      <c r="BZ3377" s="16">
        <f t="shared" si="765"/>
        <v>4.6596063529903644E-46</v>
      </c>
      <c r="CA3377" s="16">
        <f t="shared" si="772"/>
        <v>-999</v>
      </c>
      <c r="CE3377" s="16" t="e">
        <f t="shared" si="766"/>
        <v>#N/A</v>
      </c>
      <c r="CF3377" s="16">
        <f t="shared" si="767"/>
        <v>99</v>
      </c>
      <c r="CG3377" s="16">
        <f t="shared" si="768"/>
        <v>0</v>
      </c>
      <c r="CH3377" s="16">
        <f t="shared" si="764"/>
        <v>0</v>
      </c>
      <c r="CJ3377" s="16" t="e">
        <f t="shared" si="769"/>
        <v>#N/A</v>
      </c>
      <c r="CK3377" s="16" t="str">
        <f t="shared" si="770"/>
        <v/>
      </c>
    </row>
    <row r="3378" spans="73:89" ht="12" customHeight="1">
      <c r="BU3378" s="16">
        <f t="shared" si="771"/>
        <v>0</v>
      </c>
      <c r="BV3378" s="16">
        <f>IF($BY$12=1,NORMDIST(BY3378,$Y$6,$Y$8,TRUE),IF($BY$12=2,IF(BY3378&lt;=$BX$31,0,IF(BY3378&gt;=$BX$32,1,(BY3378-$BX$31)*$BX$33)),SUM($BU$42:BU3378)/$BV$40))</f>
        <v>1</v>
      </c>
      <c r="BW3378" s="16">
        <f t="shared" si="762"/>
        <v>1.4480688808279751E-43</v>
      </c>
      <c r="BY3378" s="16">
        <f t="shared" si="763"/>
        <v>333.60000000000736</v>
      </c>
      <c r="BZ3378" s="16">
        <f t="shared" si="765"/>
        <v>4.3407340552396382E-46</v>
      </c>
      <c r="CA3378" s="16">
        <f t="shared" si="772"/>
        <v>-999</v>
      </c>
      <c r="CE3378" s="16" t="e">
        <f t="shared" si="766"/>
        <v>#N/A</v>
      </c>
      <c r="CF3378" s="16">
        <f t="shared" si="767"/>
        <v>99</v>
      </c>
      <c r="CG3378" s="16">
        <f t="shared" si="768"/>
        <v>0</v>
      </c>
      <c r="CH3378" s="16">
        <f t="shared" si="764"/>
        <v>0</v>
      </c>
      <c r="CJ3378" s="16" t="e">
        <f t="shared" si="769"/>
        <v>#N/A</v>
      </c>
      <c r="CK3378" s="16" t="str">
        <f t="shared" si="770"/>
        <v/>
      </c>
    </row>
    <row r="3379" spans="73:89" ht="12" customHeight="1">
      <c r="BU3379" s="16">
        <f t="shared" si="771"/>
        <v>0</v>
      </c>
      <c r="BV3379" s="16">
        <f>IF($BY$12=1,NORMDIST(BY3379,$Y$6,$Y$8,TRUE),IF($BY$12=2,IF(BY3379&lt;=$BX$31,0,IF(BY3379&gt;=$BX$32,1,(BY3379-$BX$31)*$BX$33)),SUM($BU$42:BU3379)/$BV$40))</f>
        <v>1</v>
      </c>
      <c r="BW3379" s="16">
        <f t="shared" si="762"/>
        <v>1.3493433648818189E-43</v>
      </c>
      <c r="BY3379" s="16">
        <f t="shared" si="763"/>
        <v>333.70000000000738</v>
      </c>
      <c r="BZ3379" s="16">
        <f t="shared" si="765"/>
        <v>4.0435821542756639E-46</v>
      </c>
      <c r="CA3379" s="16">
        <f t="shared" si="772"/>
        <v>-999</v>
      </c>
      <c r="CE3379" s="16" t="e">
        <f t="shared" si="766"/>
        <v>#N/A</v>
      </c>
      <c r="CF3379" s="16">
        <f t="shared" si="767"/>
        <v>99</v>
      </c>
      <c r="CG3379" s="16">
        <f t="shared" si="768"/>
        <v>0</v>
      </c>
      <c r="CH3379" s="16">
        <f t="shared" si="764"/>
        <v>0</v>
      </c>
      <c r="CJ3379" s="16" t="e">
        <f t="shared" si="769"/>
        <v>#N/A</v>
      </c>
      <c r="CK3379" s="16" t="str">
        <f t="shared" si="770"/>
        <v/>
      </c>
    </row>
    <row r="3380" spans="73:89" ht="12" customHeight="1">
      <c r="BU3380" s="16">
        <f t="shared" si="771"/>
        <v>0</v>
      </c>
      <c r="BV3380" s="16">
        <f>IF($BY$12=1,NORMDIST(BY3380,$Y$6,$Y$8,TRUE),IF($BY$12=2,IF(BY3380&lt;=$BX$31,0,IF(BY3380&gt;=$BX$32,1,(BY3380-$BX$31)*$BX$33)),SUM($BU$42:BU3380)/$BV$40))</f>
        <v>1</v>
      </c>
      <c r="BW3380" s="16">
        <f t="shared" si="762"/>
        <v>1.2573171479171519E-43</v>
      </c>
      <c r="BY3380" s="16">
        <f t="shared" si="763"/>
        <v>333.8000000000074</v>
      </c>
      <c r="BZ3380" s="16">
        <f t="shared" si="765"/>
        <v>3.7666780944191855E-46</v>
      </c>
      <c r="CA3380" s="16">
        <f t="shared" si="772"/>
        <v>-999</v>
      </c>
      <c r="CE3380" s="16" t="e">
        <f t="shared" si="766"/>
        <v>#N/A</v>
      </c>
      <c r="CF3380" s="16">
        <f t="shared" si="767"/>
        <v>99</v>
      </c>
      <c r="CG3380" s="16">
        <f t="shared" si="768"/>
        <v>0</v>
      </c>
      <c r="CH3380" s="16">
        <f t="shared" si="764"/>
        <v>0</v>
      </c>
      <c r="CJ3380" s="16" t="e">
        <f t="shared" si="769"/>
        <v>#N/A</v>
      </c>
      <c r="CK3380" s="16" t="str">
        <f t="shared" si="770"/>
        <v/>
      </c>
    </row>
    <row r="3381" spans="73:89" ht="12" customHeight="1">
      <c r="BU3381" s="16">
        <f t="shared" si="771"/>
        <v>0</v>
      </c>
      <c r="BV3381" s="16">
        <f>IF($BY$12=1,NORMDIST(BY3381,$Y$6,$Y$8,TRUE),IF($BY$12=2,IF(BY3381&lt;=$BX$31,0,IF(BY3381&gt;=$BX$32,1,(BY3381-$BX$31)*$BX$33)),SUM($BU$42:BU3381)/$BV$40))</f>
        <v>1</v>
      </c>
      <c r="BW3381" s="16">
        <f t="shared" si="762"/>
        <v>1.1715377931573717E-43</v>
      </c>
      <c r="BY3381" s="16">
        <f t="shared" si="763"/>
        <v>333.90000000000742</v>
      </c>
      <c r="BZ3381" s="16">
        <f t="shared" si="765"/>
        <v>3.5086486767216103E-46</v>
      </c>
      <c r="CA3381" s="16">
        <f t="shared" si="772"/>
        <v>-999</v>
      </c>
      <c r="CE3381" s="16" t="e">
        <f t="shared" si="766"/>
        <v>#N/A</v>
      </c>
      <c r="CF3381" s="16">
        <f t="shared" si="767"/>
        <v>99</v>
      </c>
      <c r="CG3381" s="16">
        <f t="shared" si="768"/>
        <v>0</v>
      </c>
      <c r="CH3381" s="16">
        <f t="shared" si="764"/>
        <v>0</v>
      </c>
      <c r="CJ3381" s="16" t="e">
        <f t="shared" si="769"/>
        <v>#N/A</v>
      </c>
      <c r="CK3381" s="16" t="str">
        <f t="shared" si="770"/>
        <v/>
      </c>
    </row>
    <row r="3382" spans="73:89" ht="12" customHeight="1">
      <c r="BU3382" s="16">
        <f t="shared" si="771"/>
        <v>0</v>
      </c>
      <c r="BV3382" s="16">
        <f>IF($BY$12=1,NORMDIST(BY3382,$Y$6,$Y$8,TRUE),IF($BY$12=2,IF(BY3382&lt;=$BX$31,0,IF(BY3382&gt;=$BX$32,1,(BY3382-$BX$31)*$BX$33)),SUM($BU$42:BU3382)/$BV$40))</f>
        <v>1</v>
      </c>
      <c r="BW3382" s="16">
        <f t="shared" si="762"/>
        <v>1.091583271472454E-43</v>
      </c>
      <c r="BY3382" s="16">
        <f t="shared" si="763"/>
        <v>334.00000000000745</v>
      </c>
      <c r="BZ3382" s="16">
        <f t="shared" si="765"/>
        <v>3.2682133876420048E-46</v>
      </c>
      <c r="CA3382" s="16">
        <f t="shared" si="772"/>
        <v>-999</v>
      </c>
      <c r="CE3382" s="16" t="e">
        <f t="shared" si="766"/>
        <v>#N/A</v>
      </c>
      <c r="CF3382" s="16">
        <f t="shared" si="767"/>
        <v>99</v>
      </c>
      <c r="CG3382" s="16">
        <f t="shared" si="768"/>
        <v>0</v>
      </c>
      <c r="CH3382" s="16">
        <f t="shared" si="764"/>
        <v>0</v>
      </c>
      <c r="CJ3382" s="16" t="e">
        <f t="shared" si="769"/>
        <v>#N/A</v>
      </c>
      <c r="CK3382" s="16" t="str">
        <f t="shared" si="770"/>
        <v/>
      </c>
    </row>
    <row r="3383" spans="73:89" ht="12" customHeight="1">
      <c r="BU3383" s="16">
        <f t="shared" si="771"/>
        <v>0</v>
      </c>
      <c r="BV3383" s="16">
        <f>IF($BY$12=1,NORMDIST(BY3383,$Y$6,$Y$8,TRUE),IF($BY$12=2,IF(BY3383&lt;=$BX$31,0,IF(BY3383&gt;=$BX$32,1,(BY3383-$BX$31)*$BX$33)),SUM($BU$42:BU3383)/$BV$40))</f>
        <v>1</v>
      </c>
      <c r="BW3383" s="16">
        <f t="shared" si="762"/>
        <v>1.0170599277545878E-43</v>
      </c>
      <c r="BY3383" s="16">
        <f t="shared" si="763"/>
        <v>334.10000000000747</v>
      </c>
      <c r="BZ3383" s="16">
        <f t="shared" si="765"/>
        <v>3.0441781734647263E-46</v>
      </c>
      <c r="CA3383" s="16">
        <f t="shared" si="772"/>
        <v>-999</v>
      </c>
      <c r="CE3383" s="16" t="e">
        <f t="shared" si="766"/>
        <v>#N/A</v>
      </c>
      <c r="CF3383" s="16">
        <f t="shared" si="767"/>
        <v>99</v>
      </c>
      <c r="CG3383" s="16">
        <f t="shared" si="768"/>
        <v>0</v>
      </c>
      <c r="CH3383" s="16">
        <f t="shared" si="764"/>
        <v>0</v>
      </c>
      <c r="CJ3383" s="16" t="e">
        <f t="shared" si="769"/>
        <v>#N/A</v>
      </c>
      <c r="CK3383" s="16" t="str">
        <f t="shared" si="770"/>
        <v/>
      </c>
    </row>
    <row r="3384" spans="73:89" ht="12" customHeight="1">
      <c r="BU3384" s="16">
        <f t="shared" si="771"/>
        <v>0</v>
      </c>
      <c r="BV3384" s="16">
        <f>IF($BY$12=1,NORMDIST(BY3384,$Y$6,$Y$8,TRUE),IF($BY$12=2,IF(BY3384&lt;=$BX$31,0,IF(BY3384&gt;=$BX$32,1,(BY3384-$BX$31)*$BX$33)),SUM($BU$42:BU3384)/$BV$40))</f>
        <v>1</v>
      </c>
      <c r="BW3384" s="16">
        <f t="shared" si="762"/>
        <v>9.4760058262141558E-44</v>
      </c>
      <c r="BY3384" s="16">
        <f t="shared" si="763"/>
        <v>334.20000000000749</v>
      </c>
      <c r="BZ3384" s="16">
        <f t="shared" si="765"/>
        <v>2.8354296308240405E-46</v>
      </c>
      <c r="CA3384" s="16">
        <f t="shared" si="772"/>
        <v>-999</v>
      </c>
      <c r="CE3384" s="16" t="e">
        <f t="shared" si="766"/>
        <v>#N/A</v>
      </c>
      <c r="CF3384" s="16">
        <f t="shared" si="767"/>
        <v>99</v>
      </c>
      <c r="CG3384" s="16">
        <f t="shared" si="768"/>
        <v>0</v>
      </c>
      <c r="CH3384" s="16">
        <f t="shared" si="764"/>
        <v>0</v>
      </c>
      <c r="CJ3384" s="16" t="e">
        <f t="shared" si="769"/>
        <v>#N/A</v>
      </c>
      <c r="CK3384" s="16" t="str">
        <f t="shared" si="770"/>
        <v/>
      </c>
    </row>
    <row r="3385" spans="73:89" ht="12" customHeight="1">
      <c r="BU3385" s="16">
        <f t="shared" si="771"/>
        <v>0</v>
      </c>
      <c r="BV3385" s="16">
        <f>IF($BY$12=1,NORMDIST(BY3385,$Y$6,$Y$8,TRUE),IF($BY$12=2,IF(BY3385&lt;=$BX$31,0,IF(BY3385&gt;=$BX$32,1,(BY3385-$BX$31)*$BX$33)),SUM($BU$42:BU3385)/$BV$40))</f>
        <v>1</v>
      </c>
      <c r="BW3385" s="16">
        <f t="shared" si="762"/>
        <v>8.8286276048773998E-44</v>
      </c>
      <c r="BY3385" s="16">
        <f t="shared" si="763"/>
        <v>334.30000000000751</v>
      </c>
      <c r="BZ3385" s="16">
        <f t="shared" si="765"/>
        <v>2.6409295856647328E-46</v>
      </c>
      <c r="CA3385" s="16">
        <f t="shared" si="772"/>
        <v>-999</v>
      </c>
      <c r="CE3385" s="16" t="e">
        <f t="shared" si="766"/>
        <v>#N/A</v>
      </c>
      <c r="CF3385" s="16">
        <f t="shared" si="767"/>
        <v>99</v>
      </c>
      <c r="CG3385" s="16">
        <f t="shared" si="768"/>
        <v>0</v>
      </c>
      <c r="CH3385" s="16">
        <f t="shared" si="764"/>
        <v>0</v>
      </c>
      <c r="CJ3385" s="16" t="e">
        <f t="shared" si="769"/>
        <v>#N/A</v>
      </c>
      <c r="CK3385" s="16" t="str">
        <f t="shared" si="770"/>
        <v/>
      </c>
    </row>
    <row r="3386" spans="73:89" ht="12" customHeight="1">
      <c r="BU3386" s="16">
        <f t="shared" si="771"/>
        <v>0</v>
      </c>
      <c r="BV3386" s="16">
        <f>IF($BY$12=1,NORMDIST(BY3386,$Y$6,$Y$8,TRUE),IF($BY$12=2,IF(BY3386&lt;=$BX$31,0,IF(BY3386&gt;=$BX$32,1,(BY3386-$BX$31)*$BX$33)),SUM($BU$42:BU3386)/$BV$40))</f>
        <v>1</v>
      </c>
      <c r="BW3386" s="16">
        <f t="shared" si="762"/>
        <v>8.2252703563531024E-44</v>
      </c>
      <c r="BY3386" s="16">
        <f t="shared" si="763"/>
        <v>334.40000000000754</v>
      </c>
      <c r="BZ3386" s="16">
        <f t="shared" si="765"/>
        <v>2.4597100347945327E-46</v>
      </c>
      <c r="CA3386" s="16">
        <f t="shared" si="772"/>
        <v>-999</v>
      </c>
      <c r="CE3386" s="16" t="e">
        <f t="shared" si="766"/>
        <v>#N/A</v>
      </c>
      <c r="CF3386" s="16">
        <f t="shared" si="767"/>
        <v>99</v>
      </c>
      <c r="CG3386" s="16">
        <f t="shared" si="768"/>
        <v>0</v>
      </c>
      <c r="CH3386" s="16">
        <f t="shared" si="764"/>
        <v>0</v>
      </c>
      <c r="CJ3386" s="16" t="e">
        <f t="shared" si="769"/>
        <v>#N/A</v>
      </c>
      <c r="CK3386" s="16" t="str">
        <f t="shared" si="770"/>
        <v/>
      </c>
    </row>
    <row r="3387" spans="73:89" ht="12" customHeight="1">
      <c r="BU3387" s="16">
        <f t="shared" si="771"/>
        <v>0</v>
      </c>
      <c r="BV3387" s="16">
        <f>IF($BY$12=1,NORMDIST(BY3387,$Y$6,$Y$8,TRUE),IF($BY$12=2,IF(BY3387&lt;=$BX$31,0,IF(BY3387&gt;=$BX$32,1,(BY3387-$BX$31)*$BX$33)),SUM($BU$42:BU3387)/$BV$40))</f>
        <v>1</v>
      </c>
      <c r="BW3387" s="16">
        <f t="shared" ref="BW3387:BW3450" si="773">BY3387*BZ3387</f>
        <v>7.6629548846340699E-44</v>
      </c>
      <c r="BY3387" s="16">
        <f t="shared" ref="BY3387:BY3450" si="774">BY3386+$BZ$1</f>
        <v>334.50000000000756</v>
      </c>
      <c r="BZ3387" s="16">
        <f t="shared" si="765"/>
        <v>2.2908684258995208E-46</v>
      </c>
      <c r="CA3387" s="16">
        <f t="shared" si="772"/>
        <v>-999</v>
      </c>
      <c r="CE3387" s="16" t="e">
        <f t="shared" si="766"/>
        <v>#N/A</v>
      </c>
      <c r="CF3387" s="16">
        <f t="shared" si="767"/>
        <v>99</v>
      </c>
      <c r="CG3387" s="16">
        <f t="shared" si="768"/>
        <v>0</v>
      </c>
      <c r="CH3387" s="16">
        <f t="shared" si="764"/>
        <v>0</v>
      </c>
      <c r="CJ3387" s="16" t="e">
        <f t="shared" si="769"/>
        <v>#N/A</v>
      </c>
      <c r="CK3387" s="16" t="str">
        <f t="shared" si="770"/>
        <v/>
      </c>
    </row>
    <row r="3388" spans="73:89" ht="12" customHeight="1">
      <c r="BU3388" s="16">
        <f t="shared" si="771"/>
        <v>0</v>
      </c>
      <c r="BV3388" s="16">
        <f>IF($BY$12=1,NORMDIST(BY3388,$Y$6,$Y$8,TRUE),IF($BY$12=2,IF(BY3388&lt;=$BX$31,0,IF(BY3388&gt;=$BX$32,1,(BY3388-$BX$31)*$BX$33)),SUM($BU$42:BU3388)/$BV$40))</f>
        <v>1</v>
      </c>
      <c r="BW3388" s="16">
        <f t="shared" si="773"/>
        <v>7.1389026461664067E-44</v>
      </c>
      <c r="BY3388" s="16">
        <f t="shared" si="774"/>
        <v>334.60000000000758</v>
      </c>
      <c r="BZ3388" s="16">
        <f t="shared" si="765"/>
        <v>2.1335632534866243E-46</v>
      </c>
      <c r="CA3388" s="16">
        <f t="shared" si="772"/>
        <v>-999</v>
      </c>
      <c r="CE3388" s="16" t="e">
        <f t="shared" si="766"/>
        <v>#N/A</v>
      </c>
      <c r="CF3388" s="16">
        <f t="shared" si="767"/>
        <v>99</v>
      </c>
      <c r="CG3388" s="16">
        <f t="shared" si="768"/>
        <v>0</v>
      </c>
      <c r="CH3388" s="16">
        <f t="shared" si="764"/>
        <v>0</v>
      </c>
      <c r="CJ3388" s="16" t="e">
        <f t="shared" si="769"/>
        <v>#N/A</v>
      </c>
      <c r="CK3388" s="16" t="str">
        <f t="shared" si="770"/>
        <v/>
      </c>
    </row>
    <row r="3389" spans="73:89" ht="12" customHeight="1">
      <c r="BU3389" s="16">
        <f t="shared" si="771"/>
        <v>0</v>
      </c>
      <c r="BV3389" s="16">
        <f>IF($BY$12=1,NORMDIST(BY3389,$Y$6,$Y$8,TRUE),IF($BY$12=2,IF(BY3389&lt;=$BX$31,0,IF(BY3389&gt;=$BX$32,1,(BY3389-$BX$31)*$BX$33)),SUM($BU$42:BU3389)/$BV$40))</f>
        <v>1</v>
      </c>
      <c r="BW3389" s="16">
        <f t="shared" si="773"/>
        <v>6.6505223016912561E-44</v>
      </c>
      <c r="BY3389" s="16">
        <f t="shared" si="774"/>
        <v>334.70000000000761</v>
      </c>
      <c r="BZ3389" s="16">
        <f t="shared" si="765"/>
        <v>1.9870099497135062E-46</v>
      </c>
      <c r="CA3389" s="16">
        <f t="shared" si="772"/>
        <v>-999</v>
      </c>
      <c r="CE3389" s="16" t="e">
        <f t="shared" si="766"/>
        <v>#N/A</v>
      </c>
      <c r="CF3389" s="16">
        <f t="shared" si="767"/>
        <v>99</v>
      </c>
      <c r="CG3389" s="16">
        <f t="shared" si="768"/>
        <v>0</v>
      </c>
      <c r="CH3389" s="16">
        <f t="shared" si="764"/>
        <v>0</v>
      </c>
      <c r="CJ3389" s="16" t="e">
        <f t="shared" si="769"/>
        <v>#N/A</v>
      </c>
      <c r="CK3389" s="16" t="str">
        <f t="shared" si="770"/>
        <v/>
      </c>
    </row>
    <row r="3390" spans="73:89" ht="12" customHeight="1">
      <c r="BU3390" s="16">
        <f t="shared" si="771"/>
        <v>0</v>
      </c>
      <c r="BV3390" s="16">
        <f>IF($BY$12=1,NORMDIST(BY3390,$Y$6,$Y$8,TRUE),IF($BY$12=2,IF(BY3390&lt;=$BX$31,0,IF(BY3390&gt;=$BX$32,1,(BY3390-$BX$31)*$BX$33)),SUM($BU$42:BU3390)/$BV$40))</f>
        <v>1</v>
      </c>
      <c r="BW3390" s="16">
        <f t="shared" si="773"/>
        <v>6.1953971649386893E-44</v>
      </c>
      <c r="BY3390" s="16">
        <f t="shared" si="774"/>
        <v>334.80000000000763</v>
      </c>
      <c r="BZ3390" s="16">
        <f t="shared" si="765"/>
        <v>1.8504770504595424E-46</v>
      </c>
      <c r="CA3390" s="16">
        <f t="shared" si="772"/>
        <v>-999</v>
      </c>
      <c r="CE3390" s="16" t="e">
        <f t="shared" si="766"/>
        <v>#N/A</v>
      </c>
      <c r="CF3390" s="16">
        <f t="shared" si="767"/>
        <v>99</v>
      </c>
      <c r="CG3390" s="16">
        <f t="shared" si="768"/>
        <v>0</v>
      </c>
      <c r="CH3390" s="16">
        <f t="shared" si="764"/>
        <v>0</v>
      </c>
      <c r="CJ3390" s="16" t="e">
        <f t="shared" si="769"/>
        <v>#N/A</v>
      </c>
      <c r="CK3390" s="16" t="str">
        <f t="shared" si="770"/>
        <v/>
      </c>
    </row>
    <row r="3391" spans="73:89" ht="12" customHeight="1">
      <c r="BU3391" s="16">
        <f t="shared" si="771"/>
        <v>0</v>
      </c>
      <c r="BV3391" s="16">
        <f>IF($BY$12=1,NORMDIST(BY3391,$Y$6,$Y$8,TRUE),IF($BY$12=2,IF(BY3391&lt;=$BX$31,0,IF(BY3391&gt;=$BX$32,1,(BY3391-$BX$31)*$BX$33)),SUM($BU$42:BU3391)/$BV$40))</f>
        <v>1</v>
      </c>
      <c r="BW3391" s="16">
        <f t="shared" si="773"/>
        <v>5.7712734886602761E-44</v>
      </c>
      <c r="BY3391" s="16">
        <f t="shared" si="774"/>
        <v>334.90000000000765</v>
      </c>
      <c r="BZ3391" s="16">
        <f t="shared" si="765"/>
        <v>1.7232826182920705E-46</v>
      </c>
      <c r="CA3391" s="16">
        <f t="shared" si="772"/>
        <v>-999</v>
      </c>
      <c r="CE3391" s="16" t="e">
        <f t="shared" si="766"/>
        <v>#N/A</v>
      </c>
      <c r="CF3391" s="16">
        <f t="shared" si="767"/>
        <v>99</v>
      </c>
      <c r="CG3391" s="16">
        <f t="shared" si="768"/>
        <v>0</v>
      </c>
      <c r="CH3391" s="16">
        <f t="shared" si="764"/>
        <v>0</v>
      </c>
      <c r="CJ3391" s="16" t="e">
        <f t="shared" si="769"/>
        <v>#N/A</v>
      </c>
      <c r="CK3391" s="16" t="str">
        <f t="shared" si="770"/>
        <v/>
      </c>
    </row>
    <row r="3392" spans="73:89" ht="12" customHeight="1">
      <c r="BU3392" s="16">
        <f t="shared" si="771"/>
        <v>0</v>
      </c>
      <c r="BV3392" s="16">
        <f>IF($BY$12=1,NORMDIST(BY3392,$Y$6,$Y$8,TRUE),IF($BY$12=2,IF(BY3392&lt;=$BX$31,0,IF(BY3392&gt;=$BX$32,1,(BY3392-$BX$31)*$BX$33)),SUM($BU$42:BU3392)/$BV$40))</f>
        <v>1</v>
      </c>
      <c r="BW3392" s="16">
        <f t="shared" si="773"/>
        <v>5.3760495324241364E-44</v>
      </c>
      <c r="BY3392" s="16">
        <f t="shared" si="774"/>
        <v>335.00000000000767</v>
      </c>
      <c r="BZ3392" s="16">
        <f t="shared" si="765"/>
        <v>1.604790905201198E-46</v>
      </c>
      <c r="CA3392" s="16">
        <f t="shared" si="772"/>
        <v>-999</v>
      </c>
      <c r="CE3392" s="16" t="e">
        <f t="shared" si="766"/>
        <v>#N/A</v>
      </c>
      <c r="CF3392" s="16">
        <f t="shared" si="767"/>
        <v>99</v>
      </c>
      <c r="CG3392" s="16">
        <f t="shared" si="768"/>
        <v>0</v>
      </c>
      <c r="CH3392" s="16">
        <f t="shared" si="764"/>
        <v>0</v>
      </c>
      <c r="CJ3392" s="16" t="e">
        <f t="shared" si="769"/>
        <v>#N/A</v>
      </c>
      <c r="CK3392" s="16" t="str">
        <f t="shared" si="770"/>
        <v/>
      </c>
    </row>
    <row r="3393" spans="73:89" ht="12" customHeight="1">
      <c r="BU3393" s="16">
        <f t="shared" si="771"/>
        <v>0</v>
      </c>
      <c r="BV3393" s="16">
        <f>IF($BY$12=1,NORMDIST(BY3393,$Y$6,$Y$8,TRUE),IF($BY$12=2,IF(BY3393&lt;=$BX$31,0,IF(BY3393&gt;=$BX$32,1,(BY3393-$BX$31)*$BX$33)),SUM($BU$42:BU3393)/$BV$40))</f>
        <v>1</v>
      </c>
      <c r="BW3393" s="16">
        <f t="shared" si="773"/>
        <v>5.007765360261053E-44</v>
      </c>
      <c r="BY3393" s="16">
        <f t="shared" si="774"/>
        <v>335.1000000000077</v>
      </c>
      <c r="BZ3393" s="16">
        <f t="shared" si="765"/>
        <v>1.4944092391109931E-46</v>
      </c>
      <c r="CA3393" s="16">
        <f t="shared" si="772"/>
        <v>-999</v>
      </c>
      <c r="CE3393" s="16" t="e">
        <f t="shared" si="766"/>
        <v>#N/A</v>
      </c>
      <c r="CF3393" s="16">
        <f t="shared" si="767"/>
        <v>99</v>
      </c>
      <c r="CG3393" s="16">
        <f t="shared" si="768"/>
        <v>0</v>
      </c>
      <c r="CH3393" s="16">
        <f t="shared" si="764"/>
        <v>0</v>
      </c>
      <c r="CJ3393" s="16" t="e">
        <f t="shared" si="769"/>
        <v>#N/A</v>
      </c>
      <c r="CK3393" s="16" t="str">
        <f t="shared" si="770"/>
        <v/>
      </c>
    </row>
    <row r="3394" spans="73:89" ht="12" customHeight="1">
      <c r="BU3394" s="16">
        <f t="shared" si="771"/>
        <v>0</v>
      </c>
      <c r="BV3394" s="16">
        <f>IF($BY$12=1,NORMDIST(BY3394,$Y$6,$Y$8,TRUE),IF($BY$12=2,IF(BY3394&lt;=$BX$31,0,IF(BY3394&gt;=$BX$32,1,(BY3394-$BX$31)*$BX$33)),SUM($BU$42:BU3394)/$BV$40))</f>
        <v>1</v>
      </c>
      <c r="BW3394" s="16">
        <f t="shared" si="773"/>
        <v>4.6645933196804178E-44</v>
      </c>
      <c r="BY3394" s="16">
        <f t="shared" si="774"/>
        <v>335.20000000000772</v>
      </c>
      <c r="BZ3394" s="16">
        <f t="shared" si="765"/>
        <v>1.3915851192363695E-46</v>
      </c>
      <c r="CA3394" s="16">
        <f t="shared" si="772"/>
        <v>-999</v>
      </c>
      <c r="CE3394" s="16" t="e">
        <f t="shared" si="766"/>
        <v>#N/A</v>
      </c>
      <c r="CF3394" s="16">
        <f t="shared" si="767"/>
        <v>99</v>
      </c>
      <c r="CG3394" s="16">
        <f t="shared" si="768"/>
        <v>0</v>
      </c>
      <c r="CH3394" s="16">
        <f t="shared" si="764"/>
        <v>0</v>
      </c>
      <c r="CJ3394" s="16" t="e">
        <f t="shared" si="769"/>
        <v>#N/A</v>
      </c>
      <c r="CK3394" s="16" t="str">
        <f t="shared" si="770"/>
        <v/>
      </c>
    </row>
    <row r="3395" spans="73:89" ht="12" customHeight="1">
      <c r="BU3395" s="16">
        <f t="shared" si="771"/>
        <v>0</v>
      </c>
      <c r="BV3395" s="16">
        <f>IF($BY$12=1,NORMDIST(BY3395,$Y$6,$Y$8,TRUE),IF($BY$12=2,IF(BY3395&lt;=$BX$31,0,IF(BY3395&gt;=$BX$32,1,(BY3395-$BX$31)*$BX$33)),SUM($BU$42:BU3395)/$BV$40))</f>
        <v>1</v>
      </c>
      <c r="BW3395" s="16">
        <f t="shared" si="773"/>
        <v>4.3448291567799299E-44</v>
      </c>
      <c r="BY3395" s="16">
        <f t="shared" si="774"/>
        <v>335.30000000000774</v>
      </c>
      <c r="BZ3395" s="16">
        <f t="shared" si="765"/>
        <v>1.2958035063465045E-46</v>
      </c>
      <c r="CA3395" s="16">
        <f t="shared" si="772"/>
        <v>-999</v>
      </c>
      <c r="CE3395" s="16" t="e">
        <f t="shared" si="766"/>
        <v>#N/A</v>
      </c>
      <c r="CF3395" s="16">
        <f t="shared" si="767"/>
        <v>99</v>
      </c>
      <c r="CG3395" s="16">
        <f t="shared" si="768"/>
        <v>0</v>
      </c>
      <c r="CH3395" s="16">
        <f t="shared" ref="CH3395:CH3458" si="775">IF(CB3395="",0,1)</f>
        <v>0</v>
      </c>
      <c r="CJ3395" s="16" t="e">
        <f t="shared" si="769"/>
        <v>#N/A</v>
      </c>
      <c r="CK3395" s="16" t="str">
        <f t="shared" si="770"/>
        <v/>
      </c>
    </row>
    <row r="3396" spans="73:89" ht="12" customHeight="1">
      <c r="BU3396" s="16">
        <f t="shared" si="771"/>
        <v>0</v>
      </c>
      <c r="BV3396" s="16">
        <f>IF($BY$12=1,NORMDIST(BY3396,$Y$6,$Y$8,TRUE),IF($BY$12=2,IF(BY3396&lt;=$BX$31,0,IF(BY3396&gt;=$BX$32,1,(BY3396-$BX$31)*$BX$33)),SUM($BU$42:BU3396)/$BV$40))</f>
        <v>1</v>
      </c>
      <c r="BW3396" s="16">
        <f t="shared" si="773"/>
        <v>4.0468837251653103E-44</v>
      </c>
      <c r="BY3396" s="16">
        <f t="shared" si="774"/>
        <v>335.40000000000776</v>
      </c>
      <c r="BZ3396" s="16">
        <f t="shared" si="765"/>
        <v>1.2065842949210544E-46</v>
      </c>
      <c r="CA3396" s="16">
        <f t="shared" si="772"/>
        <v>-999</v>
      </c>
      <c r="CE3396" s="16" t="e">
        <f t="shared" si="766"/>
        <v>#N/A</v>
      </c>
      <c r="CF3396" s="16">
        <f t="shared" si="767"/>
        <v>99</v>
      </c>
      <c r="CG3396" s="16">
        <f t="shared" si="768"/>
        <v>0</v>
      </c>
      <c r="CH3396" s="16">
        <f t="shared" si="775"/>
        <v>0</v>
      </c>
      <c r="CJ3396" s="16" t="e">
        <f t="shared" si="769"/>
        <v>#N/A</v>
      </c>
      <c r="CK3396" s="16" t="str">
        <f t="shared" si="770"/>
        <v/>
      </c>
    </row>
    <row r="3397" spans="73:89" ht="12" customHeight="1">
      <c r="BU3397" s="16">
        <f t="shared" si="771"/>
        <v>0</v>
      </c>
      <c r="BV3397" s="16">
        <f>IF($BY$12=1,NORMDIST(BY3397,$Y$6,$Y$8,TRUE),IF($BY$12=2,IF(BY3397&lt;=$BX$31,0,IF(BY3397&gt;=$BX$32,1,(BY3397-$BX$31)*$BX$33)),SUM($BU$42:BU3397)/$BV$40))</f>
        <v>1</v>
      </c>
      <c r="BW3397" s="16">
        <f t="shared" si="773"/>
        <v>3.7692752491921432E-44</v>
      </c>
      <c r="BY3397" s="16">
        <f t="shared" si="774"/>
        <v>335.50000000000779</v>
      </c>
      <c r="BZ3397" s="16">
        <f t="shared" si="765"/>
        <v>1.1234799550497931E-46</v>
      </c>
      <c r="CA3397" s="16">
        <f t="shared" si="772"/>
        <v>-999</v>
      </c>
      <c r="CE3397" s="16" t="e">
        <f t="shared" si="766"/>
        <v>#N/A</v>
      </c>
      <c r="CF3397" s="16">
        <f t="shared" si="767"/>
        <v>99</v>
      </c>
      <c r="CG3397" s="16">
        <f t="shared" si="768"/>
        <v>0</v>
      </c>
      <c r="CH3397" s="16">
        <f t="shared" si="775"/>
        <v>0</v>
      </c>
      <c r="CJ3397" s="16" t="e">
        <f t="shared" si="769"/>
        <v>#N/A</v>
      </c>
      <c r="CK3397" s="16" t="str">
        <f t="shared" si="770"/>
        <v/>
      </c>
    </row>
    <row r="3398" spans="73:89" ht="12" customHeight="1">
      <c r="BU3398" s="16">
        <f t="shared" si="771"/>
        <v>0</v>
      </c>
      <c r="BV3398" s="16">
        <f>IF($BY$12=1,NORMDIST(BY3398,$Y$6,$Y$8,TRUE),IF($BY$12=2,IF(BY3398&lt;=$BX$31,0,IF(BY3398&gt;=$BX$32,1,(BY3398-$BX$31)*$BX$33)),SUM($BU$42:BU3398)/$BV$40))</f>
        <v>1</v>
      </c>
      <c r="BW3398" s="16">
        <f t="shared" si="773"/>
        <v>3.5106221046563355E-44</v>
      </c>
      <c r="BY3398" s="16">
        <f t="shared" si="774"/>
        <v>335.60000000000781</v>
      </c>
      <c r="BZ3398" s="16">
        <f t="shared" si="765"/>
        <v>1.0460733327342831E-46</v>
      </c>
      <c r="CA3398" s="16">
        <f t="shared" si="772"/>
        <v>-999</v>
      </c>
      <c r="CE3398" s="16" t="e">
        <f t="shared" si="766"/>
        <v>#N/A</v>
      </c>
      <c r="CF3398" s="16">
        <f t="shared" si="767"/>
        <v>99</v>
      </c>
      <c r="CG3398" s="16">
        <f t="shared" si="768"/>
        <v>0</v>
      </c>
      <c r="CH3398" s="16">
        <f t="shared" si="775"/>
        <v>0</v>
      </c>
      <c r="CJ3398" s="16" t="e">
        <f t="shared" si="769"/>
        <v>#N/A</v>
      </c>
      <c r="CK3398" s="16" t="str">
        <f t="shared" si="770"/>
        <v/>
      </c>
    </row>
    <row r="3399" spans="73:89" ht="12" customHeight="1">
      <c r="BU3399" s="16">
        <f t="shared" si="771"/>
        <v>0</v>
      </c>
      <c r="BV3399" s="16">
        <f>IF($BY$12=1,NORMDIST(BY3399,$Y$6,$Y$8,TRUE),IF($BY$12=2,IF(BY3399&lt;=$BX$31,0,IF(BY3399&gt;=$BX$32,1,(BY3399-$BX$31)*$BX$33)),SUM($BU$42:BU3399)/$BV$40))</f>
        <v>1</v>
      </c>
      <c r="BW3399" s="16">
        <f t="shared" si="773"/>
        <v>3.2696360824971371E-44</v>
      </c>
      <c r="BY3399" s="16">
        <f t="shared" si="774"/>
        <v>335.70000000000783</v>
      </c>
      <c r="BZ3399" s="16">
        <f t="shared" si="765"/>
        <v>9.7397559800329476E-47</v>
      </c>
      <c r="CA3399" s="16">
        <f t="shared" si="772"/>
        <v>-999</v>
      </c>
      <c r="CE3399" s="16" t="e">
        <f t="shared" si="766"/>
        <v>#N/A</v>
      </c>
      <c r="CF3399" s="16">
        <f t="shared" si="767"/>
        <v>99</v>
      </c>
      <c r="CG3399" s="16">
        <f t="shared" si="768"/>
        <v>0</v>
      </c>
      <c r="CH3399" s="16">
        <f t="shared" si="775"/>
        <v>0</v>
      </c>
      <c r="CJ3399" s="16" t="e">
        <f t="shared" si="769"/>
        <v>#N/A</v>
      </c>
      <c r="CK3399" s="16" t="str">
        <f t="shared" si="770"/>
        <v/>
      </c>
    </row>
    <row r="3400" spans="73:89" ht="12" customHeight="1">
      <c r="BU3400" s="16">
        <f t="shared" si="771"/>
        <v>0</v>
      </c>
      <c r="BV3400" s="16">
        <f>IF($BY$12=1,NORMDIST(BY3400,$Y$6,$Y$8,TRUE),IF($BY$12=2,IF(BY3400&lt;=$BX$31,0,IF(BY3400&gt;=$BX$32,1,(BY3400-$BX$31)*$BX$33)),SUM($BU$42:BU3400)/$BV$40))</f>
        <v>1</v>
      </c>
      <c r="BW3400" s="16">
        <f t="shared" si="773"/>
        <v>3.0451161033598897E-44</v>
      </c>
      <c r="BY3400" s="16">
        <f t="shared" si="774"/>
        <v>335.80000000000786</v>
      </c>
      <c r="BZ3400" s="16">
        <f t="shared" si="765"/>
        <v>9.0682433095885008E-47</v>
      </c>
      <c r="CA3400" s="16">
        <f t="shared" si="772"/>
        <v>-999</v>
      </c>
      <c r="CE3400" s="16" t="e">
        <f t="shared" si="766"/>
        <v>#N/A</v>
      </c>
      <c r="CF3400" s="16">
        <f t="shared" si="767"/>
        <v>99</v>
      </c>
      <c r="CG3400" s="16">
        <f t="shared" si="768"/>
        <v>0</v>
      </c>
      <c r="CH3400" s="16">
        <f t="shared" si="775"/>
        <v>0</v>
      </c>
      <c r="CJ3400" s="16" t="e">
        <f t="shared" si="769"/>
        <v>#N/A</v>
      </c>
      <c r="CK3400" s="16" t="str">
        <f t="shared" si="770"/>
        <v/>
      </c>
    </row>
    <row r="3401" spans="73:89" ht="12" customHeight="1">
      <c r="BU3401" s="16">
        <f t="shared" si="771"/>
        <v>0</v>
      </c>
      <c r="BV3401" s="16">
        <f>IF($BY$12=1,NORMDIST(BY3401,$Y$6,$Y$8,TRUE),IF($BY$12=2,IF(BY3401&lt;=$BX$31,0,IF(BY3401&gt;=$BX$32,1,(BY3401-$BX$31)*$BX$33)),SUM($BU$42:BU3401)/$BV$40))</f>
        <v>1</v>
      </c>
      <c r="BW3401" s="16">
        <f t="shared" si="773"/>
        <v>2.8359423529929557E-44</v>
      </c>
      <c r="BY3401" s="16">
        <f t="shared" si="774"/>
        <v>335.90000000000788</v>
      </c>
      <c r="BZ3401" s="16">
        <f t="shared" si="765"/>
        <v>8.4428173652661179E-47</v>
      </c>
      <c r="CA3401" s="16">
        <f t="shared" si="772"/>
        <v>-999</v>
      </c>
      <c r="CE3401" s="16" t="e">
        <f t="shared" si="766"/>
        <v>#N/A</v>
      </c>
      <c r="CF3401" s="16">
        <f t="shared" si="767"/>
        <v>99</v>
      </c>
      <c r="CG3401" s="16">
        <f t="shared" si="768"/>
        <v>0</v>
      </c>
      <c r="CH3401" s="16">
        <f t="shared" si="775"/>
        <v>0</v>
      </c>
      <c r="CJ3401" s="16" t="e">
        <f t="shared" si="769"/>
        <v>#N/A</v>
      </c>
      <c r="CK3401" s="16" t="str">
        <f t="shared" si="770"/>
        <v/>
      </c>
    </row>
    <row r="3402" spans="73:89" ht="12" customHeight="1">
      <c r="BU3402" s="16">
        <f t="shared" si="771"/>
        <v>0</v>
      </c>
      <c r="BV3402" s="16">
        <f>IF($BY$12=1,NORMDIST(BY3402,$Y$6,$Y$8,TRUE),IF($BY$12=2,IF(BY3402&lt;=$BX$31,0,IF(BY3402&gt;=$BX$32,1,(BY3402-$BX$31)*$BX$33)),SUM($BU$42:BU3402)/$BV$40))</f>
        <v>1</v>
      </c>
      <c r="BW3402" s="16">
        <f t="shared" si="773"/>
        <v>2.6410708104427535E-44</v>
      </c>
      <c r="BY3402" s="16">
        <f t="shared" si="774"/>
        <v>336.0000000000079</v>
      </c>
      <c r="BZ3402" s="16">
        <f t="shared" si="765"/>
        <v>7.8603297929842012E-47</v>
      </c>
      <c r="CA3402" s="16">
        <f t="shared" si="772"/>
        <v>-999</v>
      </c>
      <c r="CE3402" s="16" t="e">
        <f t="shared" si="766"/>
        <v>#N/A</v>
      </c>
      <c r="CF3402" s="16">
        <f t="shared" si="767"/>
        <v>99</v>
      </c>
      <c r="CG3402" s="16">
        <f t="shared" si="768"/>
        <v>0</v>
      </c>
      <c r="CH3402" s="16">
        <f t="shared" si="775"/>
        <v>0</v>
      </c>
      <c r="CJ3402" s="16" t="e">
        <f t="shared" si="769"/>
        <v>#N/A</v>
      </c>
      <c r="CK3402" s="16" t="str">
        <f t="shared" si="770"/>
        <v/>
      </c>
    </row>
    <row r="3403" spans="73:89" ht="12" customHeight="1">
      <c r="BU3403" s="16">
        <f t="shared" si="771"/>
        <v>0</v>
      </c>
      <c r="BV3403" s="16">
        <f>IF($BY$12=1,NORMDIST(BY3403,$Y$6,$Y$8,TRUE),IF($BY$12=2,IF(BY3403&lt;=$BX$31,0,IF(BY3403&gt;=$BX$32,1,(BY3403-$BX$31)*$BX$33)),SUM($BU$42:BU3403)/$BV$40))</f>
        <v>1</v>
      </c>
      <c r="BW3403" s="16">
        <f t="shared" si="773"/>
        <v>2.4595281428704768E-44</v>
      </c>
      <c r="BY3403" s="16">
        <f t="shared" si="774"/>
        <v>336.10000000000792</v>
      </c>
      <c r="BZ3403" s="16">
        <f t="shared" si="765"/>
        <v>7.3178463042856852E-47</v>
      </c>
      <c r="CA3403" s="16">
        <f t="shared" si="772"/>
        <v>-999</v>
      </c>
      <c r="CE3403" s="16" t="e">
        <f t="shared" si="766"/>
        <v>#N/A</v>
      </c>
      <c r="CF3403" s="16">
        <f t="shared" si="767"/>
        <v>99</v>
      </c>
      <c r="CG3403" s="16">
        <f t="shared" si="768"/>
        <v>0</v>
      </c>
      <c r="CH3403" s="16">
        <f t="shared" si="775"/>
        <v>0</v>
      </c>
      <c r="CJ3403" s="16" t="e">
        <f t="shared" si="769"/>
        <v>#N/A</v>
      </c>
      <c r="CK3403" s="16" t="str">
        <f t="shared" si="770"/>
        <v/>
      </c>
    </row>
    <row r="3404" spans="73:89" ht="12" customHeight="1">
      <c r="BU3404" s="16">
        <f t="shared" si="771"/>
        <v>0</v>
      </c>
      <c r="BV3404" s="16">
        <f>IF($BY$12=1,NORMDIST(BY3404,$Y$6,$Y$8,TRUE),IF($BY$12=2,IF(BY3404&lt;=$BX$31,0,IF(BY3404&gt;=$BX$32,1,(BY3404-$BX$31)*$BX$33)),SUM($BU$42:BU3404)/$BV$40))</f>
        <v>1</v>
      </c>
      <c r="BW3404" s="16">
        <f t="shared" si="773"/>
        <v>2.2904069425483282E-44</v>
      </c>
      <c r="BY3404" s="16">
        <f t="shared" si="774"/>
        <v>336.20000000000795</v>
      </c>
      <c r="BZ3404" s="16">
        <f t="shared" si="765"/>
        <v>6.8126321908039078E-47</v>
      </c>
      <c r="CA3404" s="16">
        <f t="shared" si="772"/>
        <v>-999</v>
      </c>
      <c r="CE3404" s="16" t="e">
        <f t="shared" si="766"/>
        <v>#N/A</v>
      </c>
      <c r="CF3404" s="16">
        <f t="shared" si="767"/>
        <v>99</v>
      </c>
      <c r="CG3404" s="16">
        <f t="shared" si="768"/>
        <v>0</v>
      </c>
      <c r="CH3404" s="16">
        <f t="shared" si="775"/>
        <v>0</v>
      </c>
      <c r="CJ3404" s="16" t="e">
        <f t="shared" si="769"/>
        <v>#N/A</v>
      </c>
      <c r="CK3404" s="16" t="str">
        <f t="shared" si="770"/>
        <v/>
      </c>
    </row>
    <row r="3405" spans="73:89" ht="12" customHeight="1">
      <c r="BU3405" s="16">
        <f t="shared" si="771"/>
        <v>0</v>
      </c>
      <c r="BV3405" s="16">
        <f>IF($BY$12=1,NORMDIST(BY3405,$Y$6,$Y$8,TRUE),IF($BY$12=2,IF(BY3405&lt;=$BX$31,0,IF(BY3405&gt;=$BX$32,1,(BY3405-$BX$31)*$BX$33)),SUM($BU$42:BU3405)/$BV$40))</f>
        <v>1</v>
      </c>
      <c r="BW3405" s="16">
        <f t="shared" si="773"/>
        <v>2.1328612832148879E-44</v>
      </c>
      <c r="BY3405" s="16">
        <f t="shared" si="774"/>
        <v>336.30000000000797</v>
      </c>
      <c r="BZ3405" s="16">
        <f t="shared" si="765"/>
        <v>6.3421388141981486E-47</v>
      </c>
      <c r="CA3405" s="16">
        <f t="shared" si="772"/>
        <v>-999</v>
      </c>
      <c r="CE3405" s="16" t="e">
        <f t="shared" si="766"/>
        <v>#N/A</v>
      </c>
      <c r="CF3405" s="16">
        <f t="shared" si="767"/>
        <v>99</v>
      </c>
      <c r="CG3405" s="16">
        <f t="shared" si="768"/>
        <v>0</v>
      </c>
      <c r="CH3405" s="16">
        <f t="shared" si="775"/>
        <v>0</v>
      </c>
      <c r="CJ3405" s="16" t="e">
        <f t="shared" si="769"/>
        <v>#N/A</v>
      </c>
      <c r="CK3405" s="16" t="str">
        <f t="shared" si="770"/>
        <v/>
      </c>
    </row>
    <row r="3406" spans="73:89" ht="12" customHeight="1">
      <c r="BU3406" s="16">
        <f t="shared" si="771"/>
        <v>0</v>
      </c>
      <c r="BV3406" s="16">
        <f>IF($BY$12=1,NORMDIST(BY3406,$Y$6,$Y$8,TRUE),IF($BY$12=2,IF(BY3406&lt;=$BX$31,0,IF(BY3406&gt;=$BX$32,1,(BY3406-$BX$31)*$BX$33)),SUM($BU$42:BU3406)/$BV$40))</f>
        <v>1</v>
      </c>
      <c r="BW3406" s="16">
        <f t="shared" si="773"/>
        <v>1.9861025744834538E-44</v>
      </c>
      <c r="BY3406" s="16">
        <f t="shared" si="774"/>
        <v>336.40000000000799</v>
      </c>
      <c r="BZ3406" s="16">
        <f t="shared" si="765"/>
        <v>5.9039910061932417E-47</v>
      </c>
      <c r="CA3406" s="16">
        <f t="shared" si="772"/>
        <v>-999</v>
      </c>
      <c r="CE3406" s="16" t="e">
        <f t="shared" si="766"/>
        <v>#N/A</v>
      </c>
      <c r="CF3406" s="16">
        <f t="shared" si="767"/>
        <v>99</v>
      </c>
      <c r="CG3406" s="16">
        <f t="shared" si="768"/>
        <v>0</v>
      </c>
      <c r="CH3406" s="16">
        <f t="shared" si="775"/>
        <v>0</v>
      </c>
      <c r="CJ3406" s="16" t="e">
        <f t="shared" si="769"/>
        <v>#N/A</v>
      </c>
      <c r="CK3406" s="16" t="str">
        <f t="shared" si="770"/>
        <v/>
      </c>
    </row>
    <row r="3407" spans="73:89" ht="12" customHeight="1">
      <c r="BU3407" s="16">
        <f t="shared" si="771"/>
        <v>0</v>
      </c>
      <c r="BV3407" s="16">
        <f>IF($BY$12=1,NORMDIST(BY3407,$Y$6,$Y$8,TRUE),IF($BY$12=2,IF(BY3407&lt;=$BX$31,0,IF(BY3407&gt;=$BX$32,1,(BY3407-$BX$31)*$BX$33)),SUM($BU$42:BU3407)/$BV$40))</f>
        <v>1</v>
      </c>
      <c r="BW3407" s="16">
        <f t="shared" si="773"/>
        <v>1.8493956944113186E-44</v>
      </c>
      <c r="BY3407" s="16">
        <f t="shared" si="774"/>
        <v>336.50000000000801</v>
      </c>
      <c r="BZ3407" s="16">
        <f t="shared" si="765"/>
        <v>5.4959753177155262E-47</v>
      </c>
      <c r="CA3407" s="16">
        <f t="shared" si="772"/>
        <v>-999</v>
      </c>
      <c r="CE3407" s="16" t="e">
        <f t="shared" si="766"/>
        <v>#N/A</v>
      </c>
      <c r="CF3407" s="16">
        <f t="shared" si="767"/>
        <v>99</v>
      </c>
      <c r="CG3407" s="16">
        <f t="shared" si="768"/>
        <v>0</v>
      </c>
      <c r="CH3407" s="16">
        <f t="shared" si="775"/>
        <v>0</v>
      </c>
      <c r="CJ3407" s="16" t="e">
        <f t="shared" si="769"/>
        <v>#N/A</v>
      </c>
      <c r="CK3407" s="16" t="str">
        <f t="shared" si="770"/>
        <v/>
      </c>
    </row>
    <row r="3408" spans="73:89" ht="12" customHeight="1">
      <c r="BU3408" s="16">
        <f t="shared" si="771"/>
        <v>0</v>
      </c>
      <c r="BV3408" s="16">
        <f>IF($BY$12=1,NORMDIST(BY3408,$Y$6,$Y$8,TRUE),IF($BY$12=2,IF(BY3408&lt;=$BX$31,0,IF(BY3408&gt;=$BX$32,1,(BY3408-$BX$31)*$BX$33)),SUM($BU$42:BU3408)/$BV$40))</f>
        <v>1</v>
      </c>
      <c r="BW3408" s="16">
        <f t="shared" si="773"/>
        <v>1.7220553816586131E-44</v>
      </c>
      <c r="BY3408" s="16">
        <f t="shared" si="774"/>
        <v>336.60000000000804</v>
      </c>
      <c r="BZ3408" s="16">
        <f t="shared" si="765"/>
        <v>5.1160290601858944E-47</v>
      </c>
      <c r="CA3408" s="16">
        <f t="shared" si="772"/>
        <v>-999</v>
      </c>
      <c r="CE3408" s="16" t="e">
        <f t="shared" si="766"/>
        <v>#N/A</v>
      </c>
      <c r="CF3408" s="16">
        <f t="shared" si="767"/>
        <v>99</v>
      </c>
      <c r="CG3408" s="16">
        <f t="shared" si="768"/>
        <v>0</v>
      </c>
      <c r="CH3408" s="16">
        <f t="shared" si="775"/>
        <v>0</v>
      </c>
      <c r="CJ3408" s="16" t="e">
        <f t="shared" si="769"/>
        <v>#N/A</v>
      </c>
      <c r="CK3408" s="16" t="str">
        <f t="shared" si="770"/>
        <v/>
      </c>
    </row>
    <row r="3409" spans="73:89" ht="12" customHeight="1">
      <c r="BU3409" s="16">
        <f t="shared" si="771"/>
        <v>0</v>
      </c>
      <c r="BV3409" s="16">
        <f>IF($BY$12=1,NORMDIST(BY3409,$Y$6,$Y$8,TRUE),IF($BY$12=2,IF(BY3409&lt;=$BX$31,0,IF(BY3409&gt;=$BX$32,1,(BY3409-$BX$31)*$BX$33)),SUM($BU$42:BU3409)/$BV$40))</f>
        <v>1</v>
      </c>
      <c r="BW3409" s="16">
        <f t="shared" si="773"/>
        <v>1.6034428698994896E-44</v>
      </c>
      <c r="BY3409" s="16">
        <f t="shared" si="774"/>
        <v>336.70000000000806</v>
      </c>
      <c r="BZ3409" s="16">
        <f t="shared" si="765"/>
        <v>4.7622300858314561E-47</v>
      </c>
      <c r="CA3409" s="16">
        <f t="shared" si="772"/>
        <v>-999</v>
      </c>
      <c r="CE3409" s="16" t="e">
        <f t="shared" si="766"/>
        <v>#N/A</v>
      </c>
      <c r="CF3409" s="16">
        <f t="shared" si="767"/>
        <v>99</v>
      </c>
      <c r="CG3409" s="16">
        <f t="shared" si="768"/>
        <v>0</v>
      </c>
      <c r="CH3409" s="16">
        <f t="shared" si="775"/>
        <v>0</v>
      </c>
      <c r="CJ3409" s="16" t="e">
        <f t="shared" si="769"/>
        <v>#N/A</v>
      </c>
      <c r="CK3409" s="16" t="str">
        <f t="shared" si="770"/>
        <v/>
      </c>
    </row>
    <row r="3410" spans="73:89" ht="12" customHeight="1">
      <c r="BU3410" s="16">
        <f t="shared" si="771"/>
        <v>0</v>
      </c>
      <c r="BV3410" s="16">
        <f>IF($BY$12=1,NORMDIST(BY3410,$Y$6,$Y$8,TRUE),IF($BY$12=2,IF(BY3410&lt;=$BX$31,0,IF(BY3410&gt;=$BX$32,1,(BY3410-$BX$31)*$BX$33)),SUM($BU$42:BU3410)/$BV$40))</f>
        <v>1</v>
      </c>
      <c r="BW3410" s="16">
        <f t="shared" si="773"/>
        <v>1.4929627483002955E-44</v>
      </c>
      <c r="BY3410" s="16">
        <f t="shared" si="774"/>
        <v>336.80000000000808</v>
      </c>
      <c r="BZ3410" s="16">
        <f t="shared" si="765"/>
        <v>4.4327872574235738E-47</v>
      </c>
      <c r="CA3410" s="16">
        <f t="shared" si="772"/>
        <v>-999</v>
      </c>
      <c r="CE3410" s="16" t="e">
        <f t="shared" si="766"/>
        <v>#N/A</v>
      </c>
      <c r="CF3410" s="16">
        <f t="shared" si="767"/>
        <v>99</v>
      </c>
      <c r="CG3410" s="16">
        <f t="shared" si="768"/>
        <v>0</v>
      </c>
      <c r="CH3410" s="16">
        <f t="shared" si="775"/>
        <v>0</v>
      </c>
      <c r="CJ3410" s="16" t="e">
        <f t="shared" si="769"/>
        <v>#N/A</v>
      </c>
      <c r="CK3410" s="16" t="str">
        <f t="shared" si="770"/>
        <v/>
      </c>
    </row>
    <row r="3411" spans="73:89" ht="12" customHeight="1">
      <c r="BU3411" s="16">
        <f t="shared" si="771"/>
        <v>0</v>
      </c>
      <c r="BV3411" s="16">
        <f>IF($BY$12=1,NORMDIST(BY3411,$Y$6,$Y$8,TRUE),IF($BY$12=2,IF(BY3411&lt;=$BX$31,0,IF(BY3411&gt;=$BX$32,1,(BY3411-$BX$31)*$BX$33)),SUM($BU$42:BU3411)/$BV$40))</f>
        <v>1</v>
      </c>
      <c r="BW3411" s="16">
        <f t="shared" si="773"/>
        <v>1.390060032954753E-44</v>
      </c>
      <c r="BY3411" s="16">
        <f t="shared" si="774"/>
        <v>336.90000000000811</v>
      </c>
      <c r="BZ3411" s="16">
        <f t="shared" si="765"/>
        <v>4.1260315611597496E-47</v>
      </c>
      <c r="CA3411" s="16">
        <f t="shared" si="772"/>
        <v>-999</v>
      </c>
      <c r="CE3411" s="16" t="e">
        <f t="shared" si="766"/>
        <v>#N/A</v>
      </c>
      <c r="CF3411" s="16">
        <f t="shared" si="767"/>
        <v>99</v>
      </c>
      <c r="CG3411" s="16">
        <f t="shared" si="768"/>
        <v>0</v>
      </c>
      <c r="CH3411" s="16">
        <f t="shared" si="775"/>
        <v>0</v>
      </c>
      <c r="CJ3411" s="16" t="e">
        <f t="shared" si="769"/>
        <v>#N/A</v>
      </c>
      <c r="CK3411" s="16" t="str">
        <f t="shared" si="770"/>
        <v/>
      </c>
    </row>
    <row r="3412" spans="73:89" ht="12" customHeight="1">
      <c r="BU3412" s="16">
        <f t="shared" si="771"/>
        <v>0</v>
      </c>
      <c r="BV3412" s="16">
        <f>IF($BY$12=1,NORMDIST(BY3412,$Y$6,$Y$8,TRUE),IF($BY$12=2,IF(BY3412&lt;=$BX$31,0,IF(BY3412&gt;=$BX$32,1,(BY3412-$BX$31)*$BX$33)),SUM($BU$42:BU3412)/$BV$40))</f>
        <v>1</v>
      </c>
      <c r="BW3412" s="16">
        <f t="shared" si="773"/>
        <v>1.2942174351719994E-44</v>
      </c>
      <c r="BY3412" s="16">
        <f t="shared" si="774"/>
        <v>337.00000000000813</v>
      </c>
      <c r="BZ3412" s="16">
        <f t="shared" si="765"/>
        <v>3.840407819501389E-47</v>
      </c>
      <c r="CA3412" s="16">
        <f t="shared" si="772"/>
        <v>-999</v>
      </c>
      <c r="CE3412" s="16" t="e">
        <f t="shared" si="766"/>
        <v>#N/A</v>
      </c>
      <c r="CF3412" s="16">
        <f t="shared" si="767"/>
        <v>99</v>
      </c>
      <c r="CG3412" s="16">
        <f t="shared" si="768"/>
        <v>0</v>
      </c>
      <c r="CH3412" s="16">
        <f t="shared" si="775"/>
        <v>0</v>
      </c>
      <c r="CJ3412" s="16" t="e">
        <f t="shared" si="769"/>
        <v>#N/A</v>
      </c>
      <c r="CK3412" s="16" t="str">
        <f t="shared" si="770"/>
        <v/>
      </c>
    </row>
    <row r="3413" spans="73:89" ht="12" customHeight="1">
      <c r="BU3413" s="16">
        <f t="shared" si="771"/>
        <v>0</v>
      </c>
      <c r="BV3413" s="16">
        <f>IF($BY$12=1,NORMDIST(BY3413,$Y$6,$Y$8,TRUE),IF($BY$12=2,IF(BY3413&lt;=$BX$31,0,IF(BY3413&gt;=$BX$32,1,(BY3413-$BX$31)*$BX$33)),SUM($BU$42:BU3413)/$BV$40))</f>
        <v>1</v>
      </c>
      <c r="BW3413" s="16">
        <f t="shared" si="773"/>
        <v>1.2049528134503813E-44</v>
      </c>
      <c r="BY3413" s="16">
        <f t="shared" si="774"/>
        <v>337.10000000000815</v>
      </c>
      <c r="BZ3413" s="16">
        <f t="shared" si="765"/>
        <v>3.5744669636616794E-47</v>
      </c>
      <c r="CA3413" s="16">
        <f t="shared" si="772"/>
        <v>-999</v>
      </c>
      <c r="CE3413" s="16" t="e">
        <f t="shared" si="766"/>
        <v>#N/A</v>
      </c>
      <c r="CF3413" s="16">
        <f t="shared" si="767"/>
        <v>99</v>
      </c>
      <c r="CG3413" s="16">
        <f t="shared" si="768"/>
        <v>0</v>
      </c>
      <c r="CH3413" s="16">
        <f t="shared" si="775"/>
        <v>0</v>
      </c>
      <c r="CJ3413" s="16" t="e">
        <f t="shared" si="769"/>
        <v>#N/A</v>
      </c>
      <c r="CK3413" s="16" t="str">
        <f t="shared" si="770"/>
        <v/>
      </c>
    </row>
    <row r="3414" spans="73:89" ht="12" customHeight="1">
      <c r="BU3414" s="16">
        <f t="shared" si="771"/>
        <v>0</v>
      </c>
      <c r="BV3414" s="16">
        <f>IF($BY$12=1,NORMDIST(BY3414,$Y$6,$Y$8,TRUE),IF($BY$12=2,IF(BY3414&lt;=$BX$31,0,IF(BY3414&gt;=$BX$32,1,(BY3414-$BX$31)*$BX$33)),SUM($BU$42:BU3414)/$BV$40))</f>
        <v>1</v>
      </c>
      <c r="BW3414" s="16">
        <f t="shared" si="773"/>
        <v>1.1218167968473634E-44</v>
      </c>
      <c r="BY3414" s="16">
        <f t="shared" si="774"/>
        <v>337.20000000000817</v>
      </c>
      <c r="BZ3414" s="16">
        <f t="shared" si="765"/>
        <v>3.326858828135635E-47</v>
      </c>
      <c r="CA3414" s="16">
        <f t="shared" si="772"/>
        <v>-999</v>
      </c>
      <c r="CE3414" s="16" t="e">
        <f t="shared" si="766"/>
        <v>#N/A</v>
      </c>
      <c r="CF3414" s="16">
        <f t="shared" si="767"/>
        <v>99</v>
      </c>
      <c r="CG3414" s="16">
        <f t="shared" si="768"/>
        <v>0</v>
      </c>
      <c r="CH3414" s="16">
        <f t="shared" si="775"/>
        <v>0</v>
      </c>
      <c r="CJ3414" s="16" t="e">
        <f t="shared" si="769"/>
        <v>#N/A</v>
      </c>
      <c r="CK3414" s="16" t="str">
        <f t="shared" si="770"/>
        <v/>
      </c>
    </row>
    <row r="3415" spans="73:89" ht="12" customHeight="1">
      <c r="BU3415" s="16">
        <f t="shared" si="771"/>
        <v>0</v>
      </c>
      <c r="BV3415" s="16">
        <f>IF($BY$12=1,NORMDIST(BY3415,$Y$6,$Y$8,TRUE),IF($BY$12=2,IF(BY3415&lt;=$BX$31,0,IF(BY3415&gt;=$BX$32,1,(BY3415-$BX$31)*$BX$33)),SUM($BU$42:BU3415)/$BV$40))</f>
        <v>1</v>
      </c>
      <c r="BW3415" s="16">
        <f t="shared" si="773"/>
        <v>1.0443905682732409E-44</v>
      </c>
      <c r="BY3415" s="16">
        <f t="shared" si="774"/>
        <v>337.3000000000082</v>
      </c>
      <c r="BZ3415" s="16">
        <f t="shared" si="765"/>
        <v>3.0963254321767433E-47</v>
      </c>
      <c r="CA3415" s="16">
        <f t="shared" si="772"/>
        <v>-999</v>
      </c>
      <c r="CE3415" s="16" t="e">
        <f t="shared" si="766"/>
        <v>#N/A</v>
      </c>
      <c r="CF3415" s="16">
        <f t="shared" si="767"/>
        <v>99</v>
      </c>
      <c r="CG3415" s="16">
        <f t="shared" si="768"/>
        <v>0</v>
      </c>
      <c r="CH3415" s="16">
        <f t="shared" si="775"/>
        <v>0</v>
      </c>
      <c r="CJ3415" s="16" t="e">
        <f t="shared" si="769"/>
        <v>#N/A</v>
      </c>
      <c r="CK3415" s="16" t="str">
        <f t="shared" si="770"/>
        <v/>
      </c>
    </row>
    <row r="3416" spans="73:89" ht="12" customHeight="1">
      <c r="BU3416" s="16">
        <f t="shared" si="771"/>
        <v>0</v>
      </c>
      <c r="BV3416" s="16">
        <f>IF($BY$12=1,NORMDIST(BY3416,$Y$6,$Y$8,TRUE),IF($BY$12=2,IF(BY3416&lt;=$BX$31,0,IF(BY3416&gt;=$BX$32,1,(BY3416-$BX$31)*$BX$33)),SUM($BU$42:BU3416)/$BV$40))</f>
        <v>1</v>
      </c>
      <c r="BW3416" s="16">
        <f t="shared" si="773"/>
        <v>9.7228379700039459E-45</v>
      </c>
      <c r="BY3416" s="16">
        <f t="shared" si="774"/>
        <v>337.40000000000822</v>
      </c>
      <c r="BZ3416" s="16">
        <f t="shared" si="765"/>
        <v>2.8816947154723499E-47</v>
      </c>
      <c r="CA3416" s="16">
        <f t="shared" si="772"/>
        <v>-999</v>
      </c>
      <c r="CE3416" s="16" t="e">
        <f t="shared" si="766"/>
        <v>#N/A</v>
      </c>
      <c r="CF3416" s="16">
        <f t="shared" si="767"/>
        <v>99</v>
      </c>
      <c r="CG3416" s="16">
        <f t="shared" si="768"/>
        <v>0</v>
      </c>
      <c r="CH3416" s="16">
        <f t="shared" si="775"/>
        <v>0</v>
      </c>
      <c r="CJ3416" s="16" t="e">
        <f t="shared" si="769"/>
        <v>#N/A</v>
      </c>
      <c r="CK3416" s="16" t="str">
        <f t="shared" si="770"/>
        <v/>
      </c>
    </row>
    <row r="3417" spans="73:89" ht="12" customHeight="1">
      <c r="BU3417" s="16">
        <f t="shared" si="771"/>
        <v>0</v>
      </c>
      <c r="BV3417" s="16">
        <f>IF($BY$12=1,NORMDIST(BY3417,$Y$6,$Y$8,TRUE),IF($BY$12=2,IF(BY3417&lt;=$BX$31,0,IF(BY3417&gt;=$BX$32,1,(BY3417-$BX$31)*$BX$33)),SUM($BU$42:BU3417)/$BV$40))</f>
        <v>1</v>
      </c>
      <c r="BW3417" s="16">
        <f t="shared" si="773"/>
        <v>9.0513271039371984E-45</v>
      </c>
      <c r="BY3417" s="16">
        <f t="shared" si="774"/>
        <v>337.50000000000824</v>
      </c>
      <c r="BZ3417" s="16">
        <f t="shared" si="765"/>
        <v>2.6818746974628082E-47</v>
      </c>
      <c r="CA3417" s="16">
        <f t="shared" si="772"/>
        <v>-999</v>
      </c>
      <c r="CE3417" s="16" t="e">
        <f t="shared" si="766"/>
        <v>#N/A</v>
      </c>
      <c r="CF3417" s="16">
        <f t="shared" si="767"/>
        <v>99</v>
      </c>
      <c r="CG3417" s="16">
        <f t="shared" si="768"/>
        <v>0</v>
      </c>
      <c r="CH3417" s="16">
        <f t="shared" si="775"/>
        <v>0</v>
      </c>
      <c r="CJ3417" s="16" t="e">
        <f t="shared" si="769"/>
        <v>#N/A</v>
      </c>
      <c r="CK3417" s="16" t="str">
        <f t="shared" si="770"/>
        <v/>
      </c>
    </row>
    <row r="3418" spans="73:89" ht="12" customHeight="1">
      <c r="BU3418" s="16">
        <f t="shared" si="771"/>
        <v>0</v>
      </c>
      <c r="BV3418" s="16">
        <f>IF($BY$12=1,NORMDIST(BY3418,$Y$6,$Y$8,TRUE),IF($BY$12=2,IF(BY3418&lt;=$BX$31,0,IF(BY3418&gt;=$BX$32,1,(BY3418-$BX$31)*$BX$33)),SUM($BU$42:BU3418)/$BV$40))</f>
        <v>1</v>
      </c>
      <c r="BW3418" s="16">
        <f t="shared" si="773"/>
        <v>8.4259829553352714E-45</v>
      </c>
      <c r="BY3418" s="16">
        <f t="shared" si="774"/>
        <v>337.60000000000827</v>
      </c>
      <c r="BZ3418" s="16">
        <f t="shared" si="765"/>
        <v>2.4958480317935621E-47</v>
      </c>
      <c r="CA3418" s="16">
        <f t="shared" si="772"/>
        <v>-999</v>
      </c>
      <c r="CE3418" s="16" t="e">
        <f t="shared" si="766"/>
        <v>#N/A</v>
      </c>
      <c r="CF3418" s="16">
        <f t="shared" si="767"/>
        <v>99</v>
      </c>
      <c r="CG3418" s="16">
        <f t="shared" si="768"/>
        <v>0</v>
      </c>
      <c r="CH3418" s="16">
        <f t="shared" si="775"/>
        <v>0</v>
      </c>
      <c r="CJ3418" s="16" t="e">
        <f t="shared" si="769"/>
        <v>#N/A</v>
      </c>
      <c r="CK3418" s="16" t="str">
        <f t="shared" si="770"/>
        <v/>
      </c>
    </row>
    <row r="3419" spans="73:89" ht="12" customHeight="1">
      <c r="BU3419" s="16">
        <f t="shared" si="771"/>
        <v>0</v>
      </c>
      <c r="BV3419" s="16">
        <f>IF($BY$12=1,NORMDIST(BY3419,$Y$6,$Y$8,TRUE),IF($BY$12=2,IF(BY3419&lt;=$BX$31,0,IF(BY3419&gt;=$BX$32,1,(BY3419-$BX$31)*$BX$33)),SUM($BU$42:BU3419)/$BV$40))</f>
        <v>1</v>
      </c>
      <c r="BW3419" s="16">
        <f t="shared" si="773"/>
        <v>7.8436462202415216E-45</v>
      </c>
      <c r="BY3419" s="16">
        <f t="shared" si="774"/>
        <v>337.70000000000829</v>
      </c>
      <c r="BZ3419" s="16">
        <f t="shared" si="765"/>
        <v>2.3226669292985873E-47</v>
      </c>
      <c r="CA3419" s="16">
        <f t="shared" si="772"/>
        <v>-999</v>
      </c>
      <c r="CE3419" s="16" t="e">
        <f t="shared" si="766"/>
        <v>#N/A</v>
      </c>
      <c r="CF3419" s="16">
        <f t="shared" si="767"/>
        <v>99</v>
      </c>
      <c r="CG3419" s="16">
        <f t="shared" si="768"/>
        <v>0</v>
      </c>
      <c r="CH3419" s="16">
        <f t="shared" si="775"/>
        <v>0</v>
      </c>
      <c r="CJ3419" s="16" t="e">
        <f t="shared" si="769"/>
        <v>#N/A</v>
      </c>
      <c r="CK3419" s="16" t="str">
        <f t="shared" si="770"/>
        <v/>
      </c>
    </row>
    <row r="3420" spans="73:89" ht="12" customHeight="1">
      <c r="BU3420" s="16">
        <f t="shared" si="771"/>
        <v>0</v>
      </c>
      <c r="BV3420" s="16">
        <f>IF($BY$12=1,NORMDIST(BY3420,$Y$6,$Y$8,TRUE),IF($BY$12=2,IF(BY3420&lt;=$BX$31,0,IF(BY3420&gt;=$BX$32,1,(BY3420-$BX$31)*$BX$33)),SUM($BU$42:BU3420)/$BV$40))</f>
        <v>1</v>
      </c>
      <c r="BW3420" s="16">
        <f t="shared" si="773"/>
        <v>7.3013727786241418E-45</v>
      </c>
      <c r="BY3420" s="16">
        <f t="shared" si="774"/>
        <v>337.80000000000831</v>
      </c>
      <c r="BZ3420" s="16">
        <f t="shared" si="765"/>
        <v>2.1614484246962586E-47</v>
      </c>
      <c r="CA3420" s="16">
        <f t="shared" si="772"/>
        <v>-999</v>
      </c>
      <c r="CE3420" s="16" t="e">
        <f t="shared" si="766"/>
        <v>#N/A</v>
      </c>
      <c r="CF3420" s="16">
        <f t="shared" si="767"/>
        <v>99</v>
      </c>
      <c r="CG3420" s="16">
        <f t="shared" si="768"/>
        <v>0</v>
      </c>
      <c r="CH3420" s="16">
        <f t="shared" si="775"/>
        <v>0</v>
      </c>
      <c r="CJ3420" s="16" t="e">
        <f t="shared" si="769"/>
        <v>#N/A</v>
      </c>
      <c r="CK3420" s="16" t="str">
        <f t="shared" si="770"/>
        <v/>
      </c>
    </row>
    <row r="3421" spans="73:89" ht="12" customHeight="1">
      <c r="BU3421" s="16">
        <f t="shared" si="771"/>
        <v>0</v>
      </c>
      <c r="BV3421" s="16">
        <f>IF($BY$12=1,NORMDIST(BY3421,$Y$6,$Y$8,TRUE),IF($BY$12=2,IF(BY3421&lt;=$BX$31,0,IF(BY3421&gt;=$BX$32,1,(BY3421-$BX$31)*$BX$33)),SUM($BU$42:BU3421)/$BV$40))</f>
        <v>1</v>
      </c>
      <c r="BW3421" s="16">
        <f t="shared" si="773"/>
        <v>6.7964191078214423E-45</v>
      </c>
      <c r="BY3421" s="16">
        <f t="shared" si="774"/>
        <v>337.90000000000833</v>
      </c>
      <c r="BZ3421" s="16">
        <f t="shared" si="765"/>
        <v>2.0113699638417503E-47</v>
      </c>
      <c r="CA3421" s="16">
        <f t="shared" si="772"/>
        <v>-999</v>
      </c>
      <c r="CE3421" s="16" t="e">
        <f t="shared" si="766"/>
        <v>#N/A</v>
      </c>
      <c r="CF3421" s="16">
        <f t="shared" si="767"/>
        <v>99</v>
      </c>
      <c r="CG3421" s="16">
        <f t="shared" si="768"/>
        <v>0</v>
      </c>
      <c r="CH3421" s="16">
        <f t="shared" si="775"/>
        <v>0</v>
      </c>
      <c r="CJ3421" s="16" t="e">
        <f t="shared" si="769"/>
        <v>#N/A</v>
      </c>
      <c r="CK3421" s="16" t="str">
        <f t="shared" si="770"/>
        <v/>
      </c>
    </row>
    <row r="3422" spans="73:89" ht="12" customHeight="1">
      <c r="BU3422" s="16">
        <f t="shared" si="771"/>
        <v>0</v>
      </c>
      <c r="BV3422" s="16">
        <f>IF($BY$12=1,NORMDIST(BY3422,$Y$6,$Y$8,TRUE),IF($BY$12=2,IF(BY3422&lt;=$BX$31,0,IF(BY3422&gt;=$BX$32,1,(BY3422-$BX$31)*$BX$33)),SUM($BU$42:BU3422)/$BV$40))</f>
        <v>1</v>
      </c>
      <c r="BW3422" s="16">
        <f t="shared" si="773"/>
        <v>6.3262286799677924E-45</v>
      </c>
      <c r="BY3422" s="16">
        <f t="shared" si="774"/>
        <v>338.00000000000836</v>
      </c>
      <c r="BZ3422" s="16">
        <f t="shared" si="765"/>
        <v>1.8716652899312532E-47</v>
      </c>
      <c r="CA3422" s="16">
        <f t="shared" si="772"/>
        <v>-999</v>
      </c>
      <c r="CE3422" s="16" t="e">
        <f t="shared" si="766"/>
        <v>#N/A</v>
      </c>
      <c r="CF3422" s="16">
        <f t="shared" si="767"/>
        <v>99</v>
      </c>
      <c r="CG3422" s="16">
        <f t="shared" si="768"/>
        <v>0</v>
      </c>
      <c r="CH3422" s="16">
        <f t="shared" si="775"/>
        <v>0</v>
      </c>
      <c r="CJ3422" s="16" t="e">
        <f t="shared" si="769"/>
        <v>#N/A</v>
      </c>
      <c r="CK3422" s="16" t="str">
        <f t="shared" si="770"/>
        <v/>
      </c>
    </row>
    <row r="3423" spans="73:89" ht="12" customHeight="1">
      <c r="BU3423" s="16">
        <f t="shared" si="771"/>
        <v>0</v>
      </c>
      <c r="BV3423" s="16">
        <f>IF($BY$12=1,NORMDIST(BY3423,$Y$6,$Y$8,TRUE),IF($BY$12=2,IF(BY3423&lt;=$BX$31,0,IF(BY3423&gt;=$BX$32,1,(BY3423-$BX$31)*$BX$33)),SUM($BU$42:BU3423)/$BV$40))</f>
        <v>1</v>
      </c>
      <c r="BW3423" s="16">
        <f t="shared" si="773"/>
        <v>5.8884192773547035E-45</v>
      </c>
      <c r="BY3423" s="16">
        <f t="shared" si="774"/>
        <v>338.10000000000838</v>
      </c>
      <c r="BZ3423" s="16">
        <f t="shared" si="765"/>
        <v>1.7416206085047494E-47</v>
      </c>
      <c r="CA3423" s="16">
        <f t="shared" si="772"/>
        <v>-999</v>
      </c>
      <c r="CE3423" s="16" t="e">
        <f t="shared" si="766"/>
        <v>#N/A</v>
      </c>
      <c r="CF3423" s="16">
        <f t="shared" si="767"/>
        <v>99</v>
      </c>
      <c r="CG3423" s="16">
        <f t="shared" si="768"/>
        <v>0</v>
      </c>
      <c r="CH3423" s="16">
        <f t="shared" si="775"/>
        <v>0</v>
      </c>
      <c r="CJ3423" s="16" t="e">
        <f t="shared" si="769"/>
        <v>#N/A</v>
      </c>
      <c r="CK3423" s="16" t="str">
        <f t="shared" si="770"/>
        <v/>
      </c>
    </row>
    <row r="3424" spans="73:89" ht="12" customHeight="1">
      <c r="BU3424" s="16">
        <f t="shared" si="771"/>
        <v>0</v>
      </c>
      <c r="BV3424" s="16">
        <f>IF($BY$12=1,NORMDIST(BY3424,$Y$6,$Y$8,TRUE),IF($BY$12=2,IF(BY3424&lt;=$BX$31,0,IF(BY3424&gt;=$BX$32,1,(BY3424-$BX$31)*$BX$33)),SUM($BU$42:BU3424)/$BV$40))</f>
        <v>1</v>
      </c>
      <c r="BW3424" s="16">
        <f t="shared" si="773"/>
        <v>5.4807711640815093E-45</v>
      </c>
      <c r="BY3424" s="16">
        <f t="shared" si="774"/>
        <v>338.2000000000084</v>
      </c>
      <c r="BZ3424" s="16">
        <f t="shared" si="765"/>
        <v>1.6205710124427478E-47</v>
      </c>
      <c r="CA3424" s="16">
        <f t="shared" si="772"/>
        <v>-999</v>
      </c>
      <c r="CE3424" s="16" t="e">
        <f t="shared" si="766"/>
        <v>#N/A</v>
      </c>
      <c r="CF3424" s="16">
        <f t="shared" si="767"/>
        <v>99</v>
      </c>
      <c r="CG3424" s="16">
        <f t="shared" si="768"/>
        <v>0</v>
      </c>
      <c r="CH3424" s="16">
        <f t="shared" si="775"/>
        <v>0</v>
      </c>
      <c r="CJ3424" s="16" t="e">
        <f t="shared" si="769"/>
        <v>#N/A</v>
      </c>
      <c r="CK3424" s="16" t="str">
        <f t="shared" si="770"/>
        <v/>
      </c>
    </row>
    <row r="3425" spans="73:89" ht="12" customHeight="1">
      <c r="BU3425" s="16">
        <f t="shared" si="771"/>
        <v>0</v>
      </c>
      <c r="BV3425" s="16">
        <f>IF($BY$12=1,NORMDIST(BY3425,$Y$6,$Y$8,TRUE),IF($BY$12=2,IF(BY3425&lt;=$BX$31,0,IF(BY3425&gt;=$BX$32,1,(BY3425-$BX$31)*$BX$33)),SUM($BU$42:BU3425)/$BV$40))</f>
        <v>1</v>
      </c>
      <c r="BW3425" s="16">
        <f t="shared" si="773"/>
        <v>5.1012160564777248E-45</v>
      </c>
      <c r="BY3425" s="16">
        <f t="shared" si="774"/>
        <v>338.30000000000842</v>
      </c>
      <c r="BZ3425" s="16">
        <f t="shared" si="765"/>
        <v>1.5078971494169665E-47</v>
      </c>
      <c r="CA3425" s="16">
        <f t="shared" si="772"/>
        <v>-999</v>
      </c>
      <c r="CE3425" s="16" t="e">
        <f t="shared" si="766"/>
        <v>#N/A</v>
      </c>
      <c r="CF3425" s="16">
        <f t="shared" si="767"/>
        <v>99</v>
      </c>
      <c r="CG3425" s="16">
        <f t="shared" si="768"/>
        <v>0</v>
      </c>
      <c r="CH3425" s="16">
        <f t="shared" si="775"/>
        <v>0</v>
      </c>
      <c r="CJ3425" s="16" t="e">
        <f t="shared" si="769"/>
        <v>#N/A</v>
      </c>
      <c r="CK3425" s="16" t="str">
        <f t="shared" si="770"/>
        <v/>
      </c>
    </row>
    <row r="3426" spans="73:89" ht="12" customHeight="1">
      <c r="BU3426" s="16">
        <f t="shared" si="771"/>
        <v>0</v>
      </c>
      <c r="BV3426" s="16">
        <f>IF($BY$12=1,NORMDIST(BY3426,$Y$6,$Y$8,TRUE),IF($BY$12=2,IF(BY3426&lt;=$BX$31,0,IF(BY3426&gt;=$BX$32,1,(BY3426-$BX$31)*$BX$33)),SUM($BU$42:BU3426)/$BV$40))</f>
        <v>1</v>
      </c>
      <c r="BW3426" s="16">
        <f t="shared" si="773"/>
        <v>4.7478268386216669E-45</v>
      </c>
      <c r="BY3426" s="16">
        <f t="shared" si="774"/>
        <v>338.40000000000845</v>
      </c>
      <c r="BZ3426" s="16">
        <f t="shared" si="765"/>
        <v>1.4030221154318996E-47</v>
      </c>
      <c r="CA3426" s="16">
        <f t="shared" si="772"/>
        <v>-999</v>
      </c>
      <c r="CE3426" s="16" t="e">
        <f t="shared" si="766"/>
        <v>#N/A</v>
      </c>
      <c r="CF3426" s="16">
        <f t="shared" si="767"/>
        <v>99</v>
      </c>
      <c r="CG3426" s="16">
        <f t="shared" si="768"/>
        <v>0</v>
      </c>
      <c r="CH3426" s="16">
        <f t="shared" si="775"/>
        <v>0</v>
      </c>
      <c r="CJ3426" s="16" t="e">
        <f t="shared" si="769"/>
        <v>#N/A</v>
      </c>
      <c r="CK3426" s="16" t="str">
        <f t="shared" si="770"/>
        <v/>
      </c>
    </row>
    <row r="3427" spans="73:89" ht="12" customHeight="1">
      <c r="BU3427" s="16">
        <f t="shared" si="771"/>
        <v>0</v>
      </c>
      <c r="BV3427" s="16">
        <f>IF($BY$12=1,NORMDIST(BY3427,$Y$6,$Y$8,TRUE),IF($BY$12=2,IF(BY3427&lt;=$BX$31,0,IF(BY3427&gt;=$BX$32,1,(BY3427-$BX$31)*$BX$33)),SUM($BU$42:BU3427)/$BV$40))</f>
        <v>1</v>
      </c>
      <c r="BW3427" s="16">
        <f t="shared" si="773"/>
        <v>4.4188079728641801E-45</v>
      </c>
      <c r="BY3427" s="16">
        <f t="shared" si="774"/>
        <v>338.50000000000847</v>
      </c>
      <c r="BZ3427" s="16">
        <f t="shared" si="765"/>
        <v>1.3054085591917488E-47</v>
      </c>
      <c r="CA3427" s="16">
        <f t="shared" si="772"/>
        <v>-999</v>
      </c>
      <c r="CE3427" s="16" t="e">
        <f t="shared" si="766"/>
        <v>#N/A</v>
      </c>
      <c r="CF3427" s="16">
        <f t="shared" si="767"/>
        <v>99</v>
      </c>
      <c r="CG3427" s="16">
        <f t="shared" si="768"/>
        <v>0</v>
      </c>
      <c r="CH3427" s="16">
        <f t="shared" si="775"/>
        <v>0</v>
      </c>
      <c r="CJ3427" s="16" t="e">
        <f t="shared" si="769"/>
        <v>#N/A</v>
      </c>
      <c r="CK3427" s="16" t="str">
        <f t="shared" si="770"/>
        <v/>
      </c>
    </row>
    <row r="3428" spans="73:89" ht="12" customHeight="1">
      <c r="BU3428" s="16">
        <f t="shared" si="771"/>
        <v>0</v>
      </c>
      <c r="BV3428" s="16">
        <f>IF($BY$12=1,NORMDIST(BY3428,$Y$6,$Y$8,TRUE),IF($BY$12=2,IF(BY3428&lt;=$BX$31,0,IF(BY3428&gt;=$BX$32,1,(BY3428-$BX$31)*$BX$33)),SUM($BU$42:BU3428)/$BV$40))</f>
        <v>1</v>
      </c>
      <c r="BW3428" s="16">
        <f t="shared" si="773"/>
        <v>4.112486558623501E-45</v>
      </c>
      <c r="BY3428" s="16">
        <f t="shared" si="774"/>
        <v>338.60000000000849</v>
      </c>
      <c r="BZ3428" s="16">
        <f t="shared" si="765"/>
        <v>1.2145559830547542E-47</v>
      </c>
      <c r="CA3428" s="16">
        <f t="shared" si="772"/>
        <v>-999</v>
      </c>
      <c r="CE3428" s="16" t="e">
        <f t="shared" si="766"/>
        <v>#N/A</v>
      </c>
      <c r="CF3428" s="16">
        <f t="shared" si="767"/>
        <v>99</v>
      </c>
      <c r="CG3428" s="16">
        <f t="shared" si="768"/>
        <v>0</v>
      </c>
      <c r="CH3428" s="16">
        <f t="shared" si="775"/>
        <v>0</v>
      </c>
      <c r="CJ3428" s="16" t="e">
        <f t="shared" si="769"/>
        <v>#N/A</v>
      </c>
      <c r="CK3428" s="16" t="str">
        <f t="shared" si="770"/>
        <v/>
      </c>
    </row>
    <row r="3429" spans="73:89" ht="12" customHeight="1">
      <c r="BU3429" s="16">
        <f t="shared" si="771"/>
        <v>0</v>
      </c>
      <c r="BV3429" s="16">
        <f>IF($BY$12=1,NORMDIST(BY3429,$Y$6,$Y$8,TRUE),IF($BY$12=2,IF(BY3429&lt;=$BX$31,0,IF(BY3429&gt;=$BX$32,1,(BY3429-$BX$31)*$BX$33)),SUM($BU$42:BU3429)/$BV$40))</f>
        <v>1</v>
      </c>
      <c r="BW3429" s="16">
        <f t="shared" si="773"/>
        <v>3.8273039958398331E-45</v>
      </c>
      <c r="BY3429" s="16">
        <f t="shared" si="774"/>
        <v>338.70000000000852</v>
      </c>
      <c r="BZ3429" s="16">
        <f t="shared" si="765"/>
        <v>1.1299982272925117E-47</v>
      </c>
      <c r="CA3429" s="16">
        <f t="shared" si="772"/>
        <v>-999</v>
      </c>
      <c r="CE3429" s="16" t="e">
        <f t="shared" si="766"/>
        <v>#N/A</v>
      </c>
      <c r="CF3429" s="16">
        <f t="shared" si="767"/>
        <v>99</v>
      </c>
      <c r="CG3429" s="16">
        <f t="shared" si="768"/>
        <v>0</v>
      </c>
      <c r="CH3429" s="16">
        <f t="shared" si="775"/>
        <v>0</v>
      </c>
      <c r="CJ3429" s="16" t="e">
        <f t="shared" si="769"/>
        <v>#N/A</v>
      </c>
      <c r="CK3429" s="16" t="str">
        <f t="shared" si="770"/>
        <v/>
      </c>
    </row>
    <row r="3430" spans="73:89" ht="12" customHeight="1">
      <c r="BU3430" s="16">
        <f t="shared" si="771"/>
        <v>0</v>
      </c>
      <c r="BV3430" s="16">
        <f>IF($BY$12=1,NORMDIST(BY3430,$Y$6,$Y$8,TRUE),IF($BY$12=2,IF(BY3430&lt;=$BX$31,0,IF(BY3430&gt;=$BX$32,1,(BY3430-$BX$31)*$BX$33)),SUM($BU$42:BU3430)/$BV$40))</f>
        <v>1</v>
      </c>
      <c r="BW3430" s="16">
        <f t="shared" si="773"/>
        <v>3.5618082123996626E-45</v>
      </c>
      <c r="BY3430" s="16">
        <f t="shared" si="774"/>
        <v>338.80000000000854</v>
      </c>
      <c r="BZ3430" s="16">
        <f t="shared" si="765"/>
        <v>1.0513011252655174E-47</v>
      </c>
      <c r="CA3430" s="16">
        <f t="shared" si="772"/>
        <v>-999</v>
      </c>
      <c r="CE3430" s="16" t="e">
        <f t="shared" si="766"/>
        <v>#N/A</v>
      </c>
      <c r="CF3430" s="16">
        <f t="shared" si="767"/>
        <v>99</v>
      </c>
      <c r="CG3430" s="16">
        <f t="shared" si="768"/>
        <v>0</v>
      </c>
      <c r="CH3430" s="16">
        <f t="shared" si="775"/>
        <v>0</v>
      </c>
      <c r="CJ3430" s="16" t="e">
        <f t="shared" si="769"/>
        <v>#N/A</v>
      </c>
      <c r="CK3430" s="16" t="str">
        <f t="shared" si="770"/>
        <v/>
      </c>
    </row>
    <row r="3431" spans="73:89" ht="12" customHeight="1">
      <c r="BU3431" s="16">
        <f t="shared" si="771"/>
        <v>0</v>
      </c>
      <c r="BV3431" s="16">
        <f>IF($BY$12=1,NORMDIST(BY3431,$Y$6,$Y$8,TRUE),IF($BY$12=2,IF(BY3431&lt;=$BX$31,0,IF(BY3431&gt;=$BX$32,1,(BY3431-$BX$31)*$BX$33)),SUM($BU$42:BU3431)/$BV$40))</f>
        <v>1</v>
      </c>
      <c r="BW3431" s="16">
        <f t="shared" si="773"/>
        <v>3.3146464175622734E-45</v>
      </c>
      <c r="BY3431" s="16">
        <f t="shared" si="774"/>
        <v>338.90000000000856</v>
      </c>
      <c r="BZ3431" s="16">
        <f t="shared" si="765"/>
        <v>9.7806031795874578E-48</v>
      </c>
      <c r="CA3431" s="16">
        <f t="shared" si="772"/>
        <v>-999</v>
      </c>
      <c r="CE3431" s="16" t="e">
        <f t="shared" si="766"/>
        <v>#N/A</v>
      </c>
      <c r="CF3431" s="16">
        <f t="shared" si="767"/>
        <v>99</v>
      </c>
      <c r="CG3431" s="16">
        <f t="shared" si="768"/>
        <v>0</v>
      </c>
      <c r="CH3431" s="16">
        <f t="shared" si="775"/>
        <v>0</v>
      </c>
      <c r="CJ3431" s="16" t="e">
        <f t="shared" si="769"/>
        <v>#N/A</v>
      </c>
      <c r="CK3431" s="16" t="str">
        <f t="shared" si="770"/>
        <v/>
      </c>
    </row>
    <row r="3432" spans="73:89" ht="12" customHeight="1">
      <c r="BU3432" s="16">
        <f t="shared" si="771"/>
        <v>0</v>
      </c>
      <c r="BV3432" s="16">
        <f>IF($BY$12=1,NORMDIST(BY3432,$Y$6,$Y$8,TRUE),IF($BY$12=2,IF(BY3432&lt;=$BX$31,0,IF(BY3432&gt;=$BX$32,1,(BY3432-$BX$31)*$BX$33)),SUM($BU$42:BU3432)/$BV$40))</f>
        <v>1</v>
      </c>
      <c r="BW3432" s="16">
        <f t="shared" si="773"/>
        <v>3.084558345967127E-45</v>
      </c>
      <c r="BY3432" s="16">
        <f t="shared" si="774"/>
        <v>339.00000000000858</v>
      </c>
      <c r="BZ3432" s="16">
        <f t="shared" si="765"/>
        <v>9.0989921709942446E-48</v>
      </c>
      <c r="CA3432" s="16">
        <f t="shared" si="772"/>
        <v>-999</v>
      </c>
      <c r="CE3432" s="16" t="e">
        <f t="shared" si="766"/>
        <v>#N/A</v>
      </c>
      <c r="CF3432" s="16">
        <f t="shared" si="767"/>
        <v>99</v>
      </c>
      <c r="CG3432" s="16">
        <f t="shared" si="768"/>
        <v>0</v>
      </c>
      <c r="CH3432" s="16">
        <f t="shared" si="775"/>
        <v>0</v>
      </c>
      <c r="CJ3432" s="16" t="e">
        <f t="shared" si="769"/>
        <v>#N/A</v>
      </c>
      <c r="CK3432" s="16" t="str">
        <f t="shared" si="770"/>
        <v/>
      </c>
    </row>
    <row r="3433" spans="73:89" ht="12" customHeight="1">
      <c r="BU3433" s="16">
        <f t="shared" si="771"/>
        <v>0</v>
      </c>
      <c r="BV3433" s="16">
        <f>IF($BY$12=1,NORMDIST(BY3433,$Y$6,$Y$8,TRUE),IF($BY$12=2,IF(BY3433&lt;=$BX$31,0,IF(BY3433&gt;=$BX$32,1,(BY3433-$BX$31)*$BX$33)),SUM($BU$42:BU3433)/$BV$40))</f>
        <v>1</v>
      </c>
      <c r="BW3433" s="16">
        <f t="shared" si="773"/>
        <v>2.8703699591720924E-45</v>
      </c>
      <c r="BY3433" s="16">
        <f t="shared" si="774"/>
        <v>339.10000000000861</v>
      </c>
      <c r="BZ3433" s="16">
        <f t="shared" si="765"/>
        <v>8.4646710680389836E-48</v>
      </c>
      <c r="CA3433" s="16">
        <f t="shared" si="772"/>
        <v>-999</v>
      </c>
      <c r="CE3433" s="16" t="e">
        <f t="shared" si="766"/>
        <v>#N/A</v>
      </c>
      <c r="CF3433" s="16">
        <f t="shared" si="767"/>
        <v>99</v>
      </c>
      <c r="CG3433" s="16">
        <f t="shared" si="768"/>
        <v>0</v>
      </c>
      <c r="CH3433" s="16">
        <f t="shared" si="775"/>
        <v>0</v>
      </c>
      <c r="CJ3433" s="16" t="e">
        <f t="shared" si="769"/>
        <v>#N/A</v>
      </c>
      <c r="CK3433" s="16" t="str">
        <f t="shared" si="770"/>
        <v/>
      </c>
    </row>
    <row r="3434" spans="73:89" ht="12" customHeight="1">
      <c r="BU3434" s="16">
        <f t="shared" si="771"/>
        <v>0</v>
      </c>
      <c r="BV3434" s="16">
        <f>IF($BY$12=1,NORMDIST(BY3434,$Y$6,$Y$8,TRUE),IF($BY$12=2,IF(BY3434&lt;=$BX$31,0,IF(BY3434&gt;=$BX$32,1,(BY3434-$BX$31)*$BX$33)),SUM($BU$42:BU3434)/$BV$40))</f>
        <v>1</v>
      </c>
      <c r="BW3434" s="16">
        <f t="shared" si="773"/>
        <v>2.6709875738881276E-45</v>
      </c>
      <c r="BY3434" s="16">
        <f t="shared" si="774"/>
        <v>339.20000000000863</v>
      </c>
      <c r="BZ3434" s="16">
        <f t="shared" ref="BZ3434:BZ3497" si="776">IF($BZ$5,IF($BY$12=1,NORMDIST(BY3434,$Y$6,$Y$8,FALSE),IF($BY$12=2,IF(AND(BY3434&gt;=$BX$31,BY3434&lt;=$BX$32),$BX$33,0),IF(BY3434&lt;=$BX$13,0,NORMDIST(LN((BY3434-$BX$13)/$BX$12),0,$BW$8,FALSE)/((BY3434-$BX$13)/$BX$12)))),-999)</f>
        <v>7.8743737437737607E-48</v>
      </c>
      <c r="CA3434" s="16">
        <f t="shared" si="772"/>
        <v>-999</v>
      </c>
      <c r="CE3434" s="16" t="e">
        <f t="shared" ref="CE3434:CE3497" si="777">IF(AND($CB$7,$CD$2,$CD$1),26+$P$23/2-CC3434*$P$23,NA())</f>
        <v>#N/A</v>
      </c>
      <c r="CF3434" s="16">
        <f t="shared" ref="CF3434:CF3497" si="778">IF(ISNA(CJ3434),99,CJ3434)</f>
        <v>99</v>
      </c>
      <c r="CG3434" s="16">
        <f t="shared" ref="CG3434:CG3497" si="779">IF(ISNA(CJ3434),0,CJ3434)</f>
        <v>0</v>
      </c>
      <c r="CH3434" s="16">
        <f t="shared" si="775"/>
        <v>0</v>
      </c>
      <c r="CJ3434" s="16" t="e">
        <f t="shared" ref="CJ3434:CJ3497" si="780">IF(CH3434=1,CE3434,NA())</f>
        <v>#N/A</v>
      </c>
      <c r="CK3434" s="16" t="str">
        <f t="shared" ref="CK3434:CK3497" si="781">IF(CH3434=1,M3333,"")</f>
        <v/>
      </c>
    </row>
    <row r="3435" spans="73:89" ht="12" customHeight="1">
      <c r="BU3435" s="16">
        <f t="shared" ref="BU3435:BU3498" si="782">IF($BY$12&lt;3,0,IF(BY3435&lt;=$BX$13,0,NORMDIST(LN((BY3435-$BX$13)/$BX$12),0,$BW$8,FALSE)/((BY3435-$BX$13)/$BX$12)))</f>
        <v>0</v>
      </c>
      <c r="BV3435" s="16">
        <f>IF($BY$12=1,NORMDIST(BY3435,$Y$6,$Y$8,TRUE),IF($BY$12=2,IF(BY3435&lt;=$BX$31,0,IF(BY3435&gt;=$BX$32,1,(BY3435-$BX$31)*$BX$33)),SUM($BU$42:BU3435)/$BV$40))</f>
        <v>1</v>
      </c>
      <c r="BW3435" s="16">
        <f t="shared" si="773"/>
        <v>2.485392388145046E-45</v>
      </c>
      <c r="BY3435" s="16">
        <f t="shared" si="774"/>
        <v>339.30000000000865</v>
      </c>
      <c r="BZ3435" s="16">
        <f t="shared" si="776"/>
        <v>7.3250586152224657E-48</v>
      </c>
      <c r="CA3435" s="16">
        <f t="shared" ref="CA3435:CA3498" si="783">IF(AND($CD$1,$CD$3),26-$CD$40*NORMDIST(BY3435,$Y$6,$Y$8/SQRT($T$18),FALSE),-999)</f>
        <v>-999</v>
      </c>
      <c r="CE3435" s="16" t="e">
        <f t="shared" si="777"/>
        <v>#N/A</v>
      </c>
      <c r="CF3435" s="16">
        <f t="shared" si="778"/>
        <v>99</v>
      </c>
      <c r="CG3435" s="16">
        <f t="shared" si="779"/>
        <v>0</v>
      </c>
      <c r="CH3435" s="16">
        <f t="shared" si="775"/>
        <v>0</v>
      </c>
      <c r="CJ3435" s="16" t="e">
        <f t="shared" si="780"/>
        <v>#N/A</v>
      </c>
      <c r="CK3435" s="16" t="str">
        <f t="shared" si="781"/>
        <v/>
      </c>
    </row>
    <row r="3436" spans="73:89" ht="12" customHeight="1">
      <c r="BU3436" s="16">
        <f t="shared" si="782"/>
        <v>0</v>
      </c>
      <c r="BV3436" s="16">
        <f>IF($BY$12=1,NORMDIST(BY3436,$Y$6,$Y$8,TRUE),IF($BY$12=2,IF(BY3436&lt;=$BX$31,0,IF(BY3436&gt;=$BX$32,1,(BY3436-$BX$31)*$BX$33)),SUM($BU$42:BU3436)/$BV$40))</f>
        <v>1</v>
      </c>
      <c r="BW3436" s="16">
        <f t="shared" si="773"/>
        <v>2.3126353785515386E-45</v>
      </c>
      <c r="BY3436" s="16">
        <f t="shared" si="774"/>
        <v>339.40000000000867</v>
      </c>
      <c r="BZ3436" s="16">
        <f t="shared" si="776"/>
        <v>6.8138932779949307E-48</v>
      </c>
      <c r="CA3436" s="16">
        <f t="shared" si="783"/>
        <v>-999</v>
      </c>
      <c r="CE3436" s="16" t="e">
        <f t="shared" si="777"/>
        <v>#N/A</v>
      </c>
      <c r="CF3436" s="16">
        <f t="shared" si="778"/>
        <v>99</v>
      </c>
      <c r="CG3436" s="16">
        <f t="shared" si="779"/>
        <v>0</v>
      </c>
      <c r="CH3436" s="16">
        <f t="shared" si="775"/>
        <v>0</v>
      </c>
      <c r="CJ3436" s="16" t="e">
        <f t="shared" si="780"/>
        <v>#N/A</v>
      </c>
      <c r="CK3436" s="16" t="str">
        <f t="shared" si="781"/>
        <v/>
      </c>
    </row>
    <row r="3437" spans="73:89" ht="12" customHeight="1">
      <c r="BU3437" s="16">
        <f t="shared" si="782"/>
        <v>0</v>
      </c>
      <c r="BV3437" s="16">
        <f>IF($BY$12=1,NORMDIST(BY3437,$Y$6,$Y$8,TRUE),IF($BY$12=2,IF(BY3437&lt;=$BX$31,0,IF(BY3437&gt;=$BX$32,1,(BY3437-$BX$31)*$BX$33)),SUM($BU$42:BU3437)/$BV$40))</f>
        <v>1</v>
      </c>
      <c r="BW3437" s="16">
        <f t="shared" si="773"/>
        <v>2.1518325436135516E-45</v>
      </c>
      <c r="BY3437" s="16">
        <f t="shared" si="774"/>
        <v>339.5000000000087</v>
      </c>
      <c r="BZ3437" s="16">
        <f t="shared" si="776"/>
        <v>6.3382401873740693E-48</v>
      </c>
      <c r="CA3437" s="16">
        <f t="shared" si="783"/>
        <v>-999</v>
      </c>
      <c r="CE3437" s="16" t="e">
        <f t="shared" si="777"/>
        <v>#N/A</v>
      </c>
      <c r="CF3437" s="16">
        <f t="shared" si="778"/>
        <v>99</v>
      </c>
      <c r="CG3437" s="16">
        <f t="shared" si="779"/>
        <v>0</v>
      </c>
      <c r="CH3437" s="16">
        <f t="shared" si="775"/>
        <v>0</v>
      </c>
      <c r="CJ3437" s="16" t="e">
        <f t="shared" si="780"/>
        <v>#N/A</v>
      </c>
      <c r="CK3437" s="16" t="str">
        <f t="shared" si="781"/>
        <v/>
      </c>
    </row>
    <row r="3438" spans="73:89" ht="12" customHeight="1">
      <c r="BU3438" s="16">
        <f t="shared" si="782"/>
        <v>0</v>
      </c>
      <c r="BV3438" s="16">
        <f>IF($BY$12=1,NORMDIST(BY3438,$Y$6,$Y$8,TRUE),IF($BY$12=2,IF(BY3438&lt;=$BX$31,0,IF(BY3438&gt;=$BX$32,1,(BY3438-$BX$31)*$BX$33)),SUM($BU$42:BU3438)/$BV$40))</f>
        <v>1</v>
      </c>
      <c r="BW3438" s="16">
        <f t="shared" si="773"/>
        <v>2.0021604697564254E-45</v>
      </c>
      <c r="BY3438" s="16">
        <f t="shared" si="774"/>
        <v>339.60000000000872</v>
      </c>
      <c r="BZ3438" s="16">
        <f t="shared" si="776"/>
        <v>5.8956433149480982E-48</v>
      </c>
      <c r="CA3438" s="16">
        <f t="shared" si="783"/>
        <v>-999</v>
      </c>
      <c r="CE3438" s="16" t="e">
        <f t="shared" si="777"/>
        <v>#N/A</v>
      </c>
      <c r="CF3438" s="16">
        <f t="shared" si="778"/>
        <v>99</v>
      </c>
      <c r="CG3438" s="16">
        <f t="shared" si="779"/>
        <v>0</v>
      </c>
      <c r="CH3438" s="16">
        <f t="shared" si="775"/>
        <v>0</v>
      </c>
      <c r="CJ3438" s="16" t="e">
        <f t="shared" si="780"/>
        <v>#N/A</v>
      </c>
      <c r="CK3438" s="16" t="str">
        <f t="shared" si="781"/>
        <v/>
      </c>
    </row>
    <row r="3439" spans="73:89" ht="12" customHeight="1">
      <c r="BU3439" s="16">
        <f t="shared" si="782"/>
        <v>0</v>
      </c>
      <c r="BV3439" s="16">
        <f>IF($BY$12=1,NORMDIST(BY3439,$Y$6,$Y$8,TRUE),IF($BY$12=2,IF(BY3439&lt;=$BX$31,0,IF(BY3439&gt;=$BX$32,1,(BY3439-$BX$31)*$BX$33)),SUM($BU$42:BU3439)/$BV$40))</f>
        <v>1</v>
      </c>
      <c r="BW3439" s="16">
        <f t="shared" si="773"/>
        <v>1.8628521982641811E-45</v>
      </c>
      <c r="BY3439" s="16">
        <f t="shared" si="774"/>
        <v>339.70000000000874</v>
      </c>
      <c r="BZ3439" s="16">
        <f t="shared" si="776"/>
        <v>5.4838157146427236E-48</v>
      </c>
      <c r="CA3439" s="16">
        <f t="shared" si="783"/>
        <v>-999</v>
      </c>
      <c r="CE3439" s="16" t="e">
        <f t="shared" si="777"/>
        <v>#N/A</v>
      </c>
      <c r="CF3439" s="16">
        <f t="shared" si="778"/>
        <v>99</v>
      </c>
      <c r="CG3439" s="16">
        <f t="shared" si="779"/>
        <v>0</v>
      </c>
      <c r="CH3439" s="16">
        <f t="shared" si="775"/>
        <v>0</v>
      </c>
      <c r="CJ3439" s="16" t="e">
        <f t="shared" si="780"/>
        <v>#N/A</v>
      </c>
      <c r="CK3439" s="16" t="str">
        <f t="shared" si="781"/>
        <v/>
      </c>
    </row>
    <row r="3440" spans="73:89" ht="12" customHeight="1">
      <c r="BU3440" s="16">
        <f t="shared" si="782"/>
        <v>0</v>
      </c>
      <c r="BV3440" s="16">
        <f>IF($BY$12=1,NORMDIST(BY3440,$Y$6,$Y$8,TRUE),IF($BY$12=2,IF(BY3440&lt;=$BX$31,0,IF(BY3440&gt;=$BX$32,1,(BY3440-$BX$31)*$BX$33)),SUM($BU$42:BU3440)/$BV$40))</f>
        <v>1</v>
      </c>
      <c r="BW3440" s="16">
        <f t="shared" si="773"/>
        <v>1.7331933728127024E-45</v>
      </c>
      <c r="BY3440" s="16">
        <f t="shared" si="774"/>
        <v>339.80000000000877</v>
      </c>
      <c r="BZ3440" s="16">
        <f t="shared" si="776"/>
        <v>5.1006279364704467E-48</v>
      </c>
      <c r="CA3440" s="16">
        <f t="shared" si="783"/>
        <v>-999</v>
      </c>
      <c r="CE3440" s="16" t="e">
        <f t="shared" si="777"/>
        <v>#N/A</v>
      </c>
      <c r="CF3440" s="16">
        <f t="shared" si="778"/>
        <v>99</v>
      </c>
      <c r="CG3440" s="16">
        <f t="shared" si="779"/>
        <v>0</v>
      </c>
      <c r="CH3440" s="16">
        <f t="shared" si="775"/>
        <v>0</v>
      </c>
      <c r="CJ3440" s="16" t="e">
        <f t="shared" si="780"/>
        <v>#N/A</v>
      </c>
      <c r="CK3440" s="16" t="str">
        <f t="shared" si="781"/>
        <v/>
      </c>
    </row>
    <row r="3441" spans="73:89" ht="12" customHeight="1">
      <c r="BU3441" s="16">
        <f t="shared" si="782"/>
        <v>0</v>
      </c>
      <c r="BV3441" s="16">
        <f>IF($BY$12=1,NORMDIST(BY3441,$Y$6,$Y$8,TRUE),IF($BY$12=2,IF(BY3441&lt;=$BX$31,0,IF(BY3441&gt;=$BX$32,1,(BY3441-$BX$31)*$BX$33)),SUM($BU$42:BU3441)/$BV$40))</f>
        <v>1</v>
      </c>
      <c r="BW3441" s="16">
        <f t="shared" si="773"/>
        <v>1.6125186486402222E-45</v>
      </c>
      <c r="BY3441" s="16">
        <f t="shared" si="774"/>
        <v>339.90000000000879</v>
      </c>
      <c r="BZ3441" s="16">
        <f t="shared" si="776"/>
        <v>4.7440972304800839E-48</v>
      </c>
      <c r="CA3441" s="16">
        <f t="shared" si="783"/>
        <v>-999</v>
      </c>
      <c r="CE3441" s="16" t="e">
        <f t="shared" si="777"/>
        <v>#N/A</v>
      </c>
      <c r="CF3441" s="16">
        <f t="shared" si="778"/>
        <v>99</v>
      </c>
      <c r="CG3441" s="16">
        <f t="shared" si="779"/>
        <v>0</v>
      </c>
      <c r="CH3441" s="16">
        <f t="shared" si="775"/>
        <v>0</v>
      </c>
      <c r="CJ3441" s="16" t="e">
        <f t="shared" si="780"/>
        <v>#N/A</v>
      </c>
      <c r="CK3441" s="16" t="str">
        <f t="shared" si="781"/>
        <v/>
      </c>
    </row>
    <row r="3442" spans="73:89" ht="12" customHeight="1">
      <c r="BU3442" s="16">
        <f t="shared" si="782"/>
        <v>0</v>
      </c>
      <c r="BV3442" s="16">
        <f>IF($BY$12=1,NORMDIST(BY3442,$Y$6,$Y$8,TRUE),IF($BY$12=2,IF(BY3442&lt;=$BX$31,0,IF(BY3442&gt;=$BX$32,1,(BY3442-$BX$31)*$BX$33)),SUM($BU$42:BU3442)/$BV$40))</f>
        <v>1</v>
      </c>
      <c r="BW3442" s="16">
        <f t="shared" si="773"/>
        <v>1.5002083456715865E-45</v>
      </c>
      <c r="BY3442" s="16">
        <f t="shared" si="774"/>
        <v>340.00000000000881</v>
      </c>
      <c r="BZ3442" s="16">
        <f t="shared" si="776"/>
        <v>4.4123774872692581E-48</v>
      </c>
      <c r="CA3442" s="16">
        <f t="shared" si="783"/>
        <v>-999</v>
      </c>
      <c r="CE3442" s="16" t="e">
        <f t="shared" si="777"/>
        <v>#N/A</v>
      </c>
      <c r="CF3442" s="16">
        <f t="shared" si="778"/>
        <v>99</v>
      </c>
      <c r="CG3442" s="16">
        <f t="shared" si="779"/>
        <v>0</v>
      </c>
      <c r="CH3442" s="16">
        <f t="shared" si="775"/>
        <v>0</v>
      </c>
      <c r="CJ3442" s="16" t="e">
        <f t="shared" si="780"/>
        <v>#N/A</v>
      </c>
      <c r="CK3442" s="16" t="str">
        <f t="shared" si="781"/>
        <v/>
      </c>
    </row>
    <row r="3443" spans="73:89" ht="12" customHeight="1">
      <c r="BU3443" s="16">
        <f t="shared" si="782"/>
        <v>0</v>
      </c>
      <c r="BV3443" s="16">
        <f>IF($BY$12=1,NORMDIST(BY3443,$Y$6,$Y$8,TRUE),IF($BY$12=2,IF(BY3443&lt;=$BX$31,0,IF(BY3443&gt;=$BX$32,1,(BY3443-$BX$31)*$BX$33)),SUM($BU$42:BU3443)/$BV$40))</f>
        <v>1</v>
      </c>
      <c r="BW3443" s="16">
        <f t="shared" si="773"/>
        <v>1.3956853291035552E-45</v>
      </c>
      <c r="BY3443" s="16">
        <f t="shared" si="774"/>
        <v>340.10000000000883</v>
      </c>
      <c r="BZ3443" s="16">
        <f t="shared" si="776"/>
        <v>4.1037498650500412E-48</v>
      </c>
      <c r="CA3443" s="16">
        <f t="shared" si="783"/>
        <v>-999</v>
      </c>
      <c r="CE3443" s="16" t="e">
        <f t="shared" si="777"/>
        <v>#N/A</v>
      </c>
      <c r="CF3443" s="16">
        <f t="shared" si="778"/>
        <v>99</v>
      </c>
      <c r="CG3443" s="16">
        <f t="shared" si="779"/>
        <v>0</v>
      </c>
      <c r="CH3443" s="16">
        <f t="shared" si="775"/>
        <v>0</v>
      </c>
      <c r="CJ3443" s="16" t="e">
        <f t="shared" si="780"/>
        <v>#N/A</v>
      </c>
      <c r="CK3443" s="16" t="str">
        <f t="shared" si="781"/>
        <v/>
      </c>
    </row>
    <row r="3444" spans="73:89" ht="12" customHeight="1">
      <c r="BU3444" s="16">
        <f t="shared" si="782"/>
        <v>0</v>
      </c>
      <c r="BV3444" s="16">
        <f>IF($BY$12=1,NORMDIST(BY3444,$Y$6,$Y$8,TRUE),IF($BY$12=2,IF(BY3444&lt;=$BX$31,0,IF(BY3444&gt;=$BX$32,1,(BY3444-$BX$31)*$BX$33)),SUM($BU$42:BU3444)/$BV$40))</f>
        <v>1</v>
      </c>
      <c r="BW3444" s="16">
        <f t="shared" si="773"/>
        <v>1.2984121020669128E-45</v>
      </c>
      <c r="BY3444" s="16">
        <f t="shared" si="774"/>
        <v>340.20000000000886</v>
      </c>
      <c r="BZ3444" s="16">
        <f t="shared" si="776"/>
        <v>3.8166140566339772E-48</v>
      </c>
      <c r="CA3444" s="16">
        <f t="shared" si="783"/>
        <v>-999</v>
      </c>
      <c r="CE3444" s="16" t="e">
        <f t="shared" si="777"/>
        <v>#N/A</v>
      </c>
      <c r="CF3444" s="16">
        <f t="shared" si="778"/>
        <v>99</v>
      </c>
      <c r="CG3444" s="16">
        <f t="shared" si="779"/>
        <v>0</v>
      </c>
      <c r="CH3444" s="16">
        <f t="shared" si="775"/>
        <v>0</v>
      </c>
      <c r="CJ3444" s="16" t="e">
        <f t="shared" si="780"/>
        <v>#N/A</v>
      </c>
      <c r="CK3444" s="16" t="str">
        <f t="shared" si="781"/>
        <v/>
      </c>
    </row>
    <row r="3445" spans="73:89" ht="12" customHeight="1">
      <c r="BU3445" s="16">
        <f t="shared" si="782"/>
        <v>0</v>
      </c>
      <c r="BV3445" s="16">
        <f>IF($BY$12=1,NORMDIST(BY3445,$Y$6,$Y$8,TRUE),IF($BY$12=2,IF(BY3445&lt;=$BX$31,0,IF(BY3445&gt;=$BX$32,1,(BY3445-$BX$31)*$BX$33)),SUM($BU$42:BU3445)/$BV$40))</f>
        <v>1</v>
      </c>
      <c r="BW3445" s="16">
        <f t="shared" si="773"/>
        <v>1.2078880960166239E-45</v>
      </c>
      <c r="BY3445" s="16">
        <f t="shared" si="774"/>
        <v>340.30000000000888</v>
      </c>
      <c r="BZ3445" s="16">
        <f t="shared" si="776"/>
        <v>3.5494801528551054E-48</v>
      </c>
      <c r="CA3445" s="16">
        <f t="shared" si="783"/>
        <v>-999</v>
      </c>
      <c r="CE3445" s="16" t="e">
        <f t="shared" si="777"/>
        <v>#N/A</v>
      </c>
      <c r="CF3445" s="16">
        <f t="shared" si="778"/>
        <v>99</v>
      </c>
      <c r="CG3445" s="16">
        <f t="shared" si="779"/>
        <v>0</v>
      </c>
      <c r="CH3445" s="16">
        <f t="shared" si="775"/>
        <v>0</v>
      </c>
      <c r="CJ3445" s="16" t="e">
        <f t="shared" si="780"/>
        <v>#N/A</v>
      </c>
      <c r="CK3445" s="16" t="str">
        <f t="shared" si="781"/>
        <v/>
      </c>
    </row>
    <row r="3446" spans="73:89" ht="12" customHeight="1">
      <c r="BU3446" s="16">
        <f t="shared" si="782"/>
        <v>0</v>
      </c>
      <c r="BV3446" s="16">
        <f>IF($BY$12=1,NORMDIST(BY3446,$Y$6,$Y$8,TRUE),IF($BY$12=2,IF(BY3446&lt;=$BX$31,0,IF(BY3446&gt;=$BX$32,1,(BY3446-$BX$31)*$BX$33)),SUM($BU$42:BU3446)/$BV$40))</f>
        <v>1</v>
      </c>
      <c r="BW3446" s="16">
        <f t="shared" si="773"/>
        <v>1.1236471454677808E-45</v>
      </c>
      <c r="BY3446" s="16">
        <f t="shared" si="774"/>
        <v>340.4000000000089</v>
      </c>
      <c r="BZ3446" s="16">
        <f t="shared" si="776"/>
        <v>3.3009610618911615E-48</v>
      </c>
      <c r="CA3446" s="16">
        <f t="shared" si="783"/>
        <v>-999</v>
      </c>
      <c r="CE3446" s="16" t="e">
        <f t="shared" si="777"/>
        <v>#N/A</v>
      </c>
      <c r="CF3446" s="16">
        <f t="shared" si="778"/>
        <v>99</v>
      </c>
      <c r="CG3446" s="16">
        <f t="shared" si="779"/>
        <v>0</v>
      </c>
      <c r="CH3446" s="16">
        <f t="shared" si="775"/>
        <v>0</v>
      </c>
      <c r="CJ3446" s="16" t="e">
        <f t="shared" si="780"/>
        <v>#N/A</v>
      </c>
      <c r="CK3446" s="16" t="str">
        <f t="shared" si="781"/>
        <v/>
      </c>
    </row>
    <row r="3447" spans="73:89" ht="12" customHeight="1">
      <c r="BU3447" s="16">
        <f t="shared" si="782"/>
        <v>0</v>
      </c>
      <c r="BV3447" s="16">
        <f>IF($BY$12=1,NORMDIST(BY3447,$Y$6,$Y$8,TRUE),IF($BY$12=2,IF(BY3447&lt;=$BX$31,0,IF(BY3447&gt;=$BX$32,1,(BY3447-$BX$31)*$BX$33)),SUM($BU$42:BU3447)/$BV$40))</f>
        <v>1</v>
      </c>
      <c r="BW3447" s="16">
        <f t="shared" si="773"/>
        <v>1.0452551345962537E-45</v>
      </c>
      <c r="BY3447" s="16">
        <f t="shared" si="774"/>
        <v>340.50000000000892</v>
      </c>
      <c r="BZ3447" s="16">
        <f t="shared" si="776"/>
        <v>3.0697654466849524E-48</v>
      </c>
      <c r="CA3447" s="16">
        <f t="shared" si="783"/>
        <v>-999</v>
      </c>
      <c r="CE3447" s="16" t="e">
        <f t="shared" si="777"/>
        <v>#N/A</v>
      </c>
      <c r="CF3447" s="16">
        <f t="shared" si="778"/>
        <v>99</v>
      </c>
      <c r="CG3447" s="16">
        <f t="shared" si="779"/>
        <v>0</v>
      </c>
      <c r="CH3447" s="16">
        <f t="shared" si="775"/>
        <v>0</v>
      </c>
      <c r="CJ3447" s="16" t="e">
        <f t="shared" si="780"/>
        <v>#N/A</v>
      </c>
      <c r="CK3447" s="16" t="str">
        <f t="shared" si="781"/>
        <v/>
      </c>
    </row>
    <row r="3448" spans="73:89" ht="12" customHeight="1">
      <c r="BU3448" s="16">
        <f t="shared" si="782"/>
        <v>0</v>
      </c>
      <c r="BV3448" s="16">
        <f>IF($BY$12=1,NORMDIST(BY3448,$Y$6,$Y$8,TRUE),IF($BY$12=2,IF(BY3448&lt;=$BX$31,0,IF(BY3448&gt;=$BX$32,1,(BY3448-$BX$31)*$BX$33)),SUM($BU$42:BU3448)/$BV$40))</f>
        <v>1</v>
      </c>
      <c r="BW3448" s="16">
        <f t="shared" si="773"/>
        <v>9.7230780406312525E-46</v>
      </c>
      <c r="BY3448" s="16">
        <f t="shared" si="774"/>
        <v>340.60000000000895</v>
      </c>
      <c r="BZ3448" s="16">
        <f t="shared" si="776"/>
        <v>2.8546911452234282E-48</v>
      </c>
      <c r="CA3448" s="16">
        <f t="shared" si="783"/>
        <v>-999</v>
      </c>
      <c r="CE3448" s="16" t="e">
        <f t="shared" si="777"/>
        <v>#N/A</v>
      </c>
      <c r="CF3448" s="16">
        <f t="shared" si="778"/>
        <v>99</v>
      </c>
      <c r="CG3448" s="16">
        <f t="shared" si="779"/>
        <v>0</v>
      </c>
      <c r="CH3448" s="16">
        <f t="shared" si="775"/>
        <v>0</v>
      </c>
      <c r="CJ3448" s="16" t="e">
        <f t="shared" si="780"/>
        <v>#N/A</v>
      </c>
      <c r="CK3448" s="16" t="str">
        <f t="shared" si="781"/>
        <v/>
      </c>
    </row>
    <row r="3449" spans="73:89" ht="12" customHeight="1">
      <c r="BU3449" s="16">
        <f t="shared" si="782"/>
        <v>0</v>
      </c>
      <c r="BV3449" s="16">
        <f>IF($BY$12=1,NORMDIST(BY3449,$Y$6,$Y$8,TRUE),IF($BY$12=2,IF(BY3449&lt;=$BX$31,0,IF(BY3449&gt;=$BX$32,1,(BY3449-$BX$31)*$BX$33)),SUM($BU$42:BU3449)/$BV$40))</f>
        <v>1</v>
      </c>
      <c r="BW3449" s="16">
        <f t="shared" si="773"/>
        <v>9.0442870720786047E-46</v>
      </c>
      <c r="BY3449" s="16">
        <f t="shared" si="774"/>
        <v>340.70000000000897</v>
      </c>
      <c r="BZ3449" s="16">
        <f t="shared" si="776"/>
        <v>2.6546190408213578E-48</v>
      </c>
      <c r="CA3449" s="16">
        <f t="shared" si="783"/>
        <v>-999</v>
      </c>
      <c r="CE3449" s="16" t="e">
        <f t="shared" si="777"/>
        <v>#N/A</v>
      </c>
      <c r="CF3449" s="16">
        <f t="shared" si="778"/>
        <v>99</v>
      </c>
      <c r="CG3449" s="16">
        <f t="shared" si="779"/>
        <v>0</v>
      </c>
      <c r="CH3449" s="16">
        <f t="shared" si="775"/>
        <v>0</v>
      </c>
      <c r="CJ3449" s="16" t="e">
        <f t="shared" si="780"/>
        <v>#N/A</v>
      </c>
      <c r="CK3449" s="16" t="str">
        <f t="shared" si="781"/>
        <v/>
      </c>
    </row>
    <row r="3450" spans="73:89" ht="12" customHeight="1">
      <c r="BU3450" s="16">
        <f t="shared" si="782"/>
        <v>0</v>
      </c>
      <c r="BV3450" s="16">
        <f>IF($BY$12=1,NORMDIST(BY3450,$Y$6,$Y$8,TRUE),IF($BY$12=2,IF(BY3450&lt;=$BX$31,0,IF(BY3450&gt;=$BX$32,1,(BY3450-$BX$31)*$BX$33)),SUM($BU$42:BU3450)/$BV$40))</f>
        <v>1</v>
      </c>
      <c r="BW3450" s="16">
        <f t="shared" si="773"/>
        <v>8.4126730548568194E-46</v>
      </c>
      <c r="BY3450" s="16">
        <f t="shared" si="774"/>
        <v>340.80000000000899</v>
      </c>
      <c r="BZ3450" s="16">
        <f t="shared" si="776"/>
        <v>2.4685073517771704E-48</v>
      </c>
      <c r="CA3450" s="16">
        <f t="shared" si="783"/>
        <v>-999</v>
      </c>
      <c r="CE3450" s="16" t="e">
        <f t="shared" si="777"/>
        <v>#N/A</v>
      </c>
      <c r="CF3450" s="16">
        <f t="shared" si="778"/>
        <v>99</v>
      </c>
      <c r="CG3450" s="16">
        <f t="shared" si="779"/>
        <v>0</v>
      </c>
      <c r="CH3450" s="16">
        <f t="shared" si="775"/>
        <v>0</v>
      </c>
      <c r="CJ3450" s="16" t="e">
        <f t="shared" si="780"/>
        <v>#N/A</v>
      </c>
      <c r="CK3450" s="16" t="str">
        <f t="shared" si="781"/>
        <v/>
      </c>
    </row>
    <row r="3451" spans="73:89" ht="12" customHeight="1">
      <c r="BU3451" s="16">
        <f t="shared" si="782"/>
        <v>0</v>
      </c>
      <c r="BV3451" s="16">
        <f>IF($BY$12=1,NORMDIST(BY3451,$Y$6,$Y$8,TRUE),IF($BY$12=2,IF(BY3451&lt;=$BX$31,0,IF(BY3451&gt;=$BX$32,1,(BY3451-$BX$31)*$BX$33)),SUM($BU$42:BU3451)/$BV$40))</f>
        <v>1</v>
      </c>
      <c r="BW3451" s="16">
        <f t="shared" ref="BW3451:BW3514" si="784">BY3451*BZ3451</f>
        <v>7.8249719370848506E-46</v>
      </c>
      <c r="BY3451" s="16">
        <f t="shared" ref="BY3451:BY3514" si="785">BY3450+$BZ$1</f>
        <v>340.90000000000902</v>
      </c>
      <c r="BZ3451" s="16">
        <f t="shared" si="776"/>
        <v>2.2953863118464783E-48</v>
      </c>
      <c r="CA3451" s="16">
        <f t="shared" si="783"/>
        <v>-999</v>
      </c>
      <c r="CE3451" s="16" t="e">
        <f t="shared" si="777"/>
        <v>#N/A</v>
      </c>
      <c r="CF3451" s="16">
        <f t="shared" si="778"/>
        <v>99</v>
      </c>
      <c r="CG3451" s="16">
        <f t="shared" si="779"/>
        <v>0</v>
      </c>
      <c r="CH3451" s="16">
        <f t="shared" si="775"/>
        <v>0</v>
      </c>
      <c r="CJ3451" s="16" t="e">
        <f t="shared" si="780"/>
        <v>#N/A</v>
      </c>
      <c r="CK3451" s="16" t="str">
        <f t="shared" si="781"/>
        <v/>
      </c>
    </row>
    <row r="3452" spans="73:89" ht="12" customHeight="1">
      <c r="BU3452" s="16">
        <f t="shared" si="782"/>
        <v>0</v>
      </c>
      <c r="BV3452" s="16">
        <f>IF($BY$12=1,NORMDIST(BY3452,$Y$6,$Y$8,TRUE),IF($BY$12=2,IF(BY3452&lt;=$BX$31,0,IF(BY3452&gt;=$BX$32,1,(BY3452-$BX$31)*$BX$33)),SUM($BU$42:BU3452)/$BV$40))</f>
        <v>1</v>
      </c>
      <c r="BW3452" s="16">
        <f t="shared" si="784"/>
        <v>7.2781444628519349E-46</v>
      </c>
      <c r="BY3452" s="16">
        <f t="shared" si="785"/>
        <v>341.00000000000904</v>
      </c>
      <c r="BZ3452" s="16">
        <f t="shared" si="776"/>
        <v>2.1343532149125345E-48</v>
      </c>
      <c r="CA3452" s="16">
        <f t="shared" si="783"/>
        <v>-999</v>
      </c>
      <c r="CE3452" s="16" t="e">
        <f t="shared" si="777"/>
        <v>#N/A</v>
      </c>
      <c r="CF3452" s="16">
        <f t="shared" si="778"/>
        <v>99</v>
      </c>
      <c r="CG3452" s="16">
        <f t="shared" si="779"/>
        <v>0</v>
      </c>
      <c r="CH3452" s="16">
        <f t="shared" si="775"/>
        <v>0</v>
      </c>
      <c r="CJ3452" s="16" t="e">
        <f t="shared" si="780"/>
        <v>#N/A</v>
      </c>
      <c r="CK3452" s="16" t="str">
        <f t="shared" si="781"/>
        <v/>
      </c>
    </row>
    <row r="3453" spans="73:89" ht="12" customHeight="1">
      <c r="BU3453" s="16">
        <f t="shared" si="782"/>
        <v>0</v>
      </c>
      <c r="BV3453" s="16">
        <f>IF($BY$12=1,NORMDIST(BY3453,$Y$6,$Y$8,TRUE),IF($BY$12=2,IF(BY3453&lt;=$BX$31,0,IF(BY3453&gt;=$BX$32,1,(BY3453-$BX$31)*$BX$33)),SUM($BU$42:BU3453)/$BV$40))</f>
        <v>1</v>
      </c>
      <c r="BW3453" s="16">
        <f t="shared" si="784"/>
        <v>6.769360762513855E-46</v>
      </c>
      <c r="BY3453" s="16">
        <f t="shared" si="785"/>
        <v>341.10000000000906</v>
      </c>
      <c r="BZ3453" s="16">
        <f t="shared" si="776"/>
        <v>1.984567799036551E-48</v>
      </c>
      <c r="CA3453" s="16">
        <f t="shared" si="783"/>
        <v>-999</v>
      </c>
      <c r="CE3453" s="16" t="e">
        <f t="shared" si="777"/>
        <v>#N/A</v>
      </c>
      <c r="CF3453" s="16">
        <f t="shared" si="778"/>
        <v>99</v>
      </c>
      <c r="CG3453" s="16">
        <f t="shared" si="779"/>
        <v>0</v>
      </c>
      <c r="CH3453" s="16">
        <f t="shared" si="775"/>
        <v>0</v>
      </c>
      <c r="CJ3453" s="16" t="e">
        <f t="shared" si="780"/>
        <v>#N/A</v>
      </c>
      <c r="CK3453" s="16" t="str">
        <f t="shared" si="781"/>
        <v/>
      </c>
    </row>
    <row r="3454" spans="73:89" ht="12" customHeight="1">
      <c r="BU3454" s="16">
        <f t="shared" si="782"/>
        <v>0</v>
      </c>
      <c r="BV3454" s="16">
        <f>IF($BY$12=1,NORMDIST(BY3454,$Y$6,$Y$8,TRUE),IF($BY$12=2,IF(BY3454&lt;=$BX$31,0,IF(BY3454&gt;=$BX$32,1,(BY3454-$BX$31)*$BX$33)),SUM($BU$42:BU3454)/$BV$40))</f>
        <v>1</v>
      </c>
      <c r="BW3454" s="16">
        <f t="shared" si="784"/>
        <v>6.2959859943324203E-46</v>
      </c>
      <c r="BY3454" s="16">
        <f t="shared" si="785"/>
        <v>341.20000000000908</v>
      </c>
      <c r="BZ3454" s="16">
        <f t="shared" si="776"/>
        <v>1.8452479467562287E-48</v>
      </c>
      <c r="CA3454" s="16">
        <f t="shared" si="783"/>
        <v>-999</v>
      </c>
      <c r="CE3454" s="16" t="e">
        <f t="shared" si="777"/>
        <v>#N/A</v>
      </c>
      <c r="CF3454" s="16">
        <f t="shared" si="778"/>
        <v>99</v>
      </c>
      <c r="CG3454" s="16">
        <f t="shared" si="779"/>
        <v>0</v>
      </c>
      <c r="CH3454" s="16">
        <f t="shared" si="775"/>
        <v>0</v>
      </c>
      <c r="CJ3454" s="16" t="e">
        <f t="shared" si="780"/>
        <v>#N/A</v>
      </c>
      <c r="CK3454" s="16" t="str">
        <f t="shared" si="781"/>
        <v/>
      </c>
    </row>
    <row r="3455" spans="73:89" ht="12" customHeight="1">
      <c r="BU3455" s="16">
        <f t="shared" si="782"/>
        <v>0</v>
      </c>
      <c r="BV3455" s="16">
        <f>IF($BY$12=1,NORMDIST(BY3455,$Y$6,$Y$8,TRUE),IF($BY$12=2,IF(BY3455&lt;=$BX$31,0,IF(BY3455&gt;=$BX$32,1,(BY3455-$BX$31)*$BX$33)),SUM($BU$42:BU3455)/$BV$40))</f>
        <v>1</v>
      </c>
      <c r="BW3455" s="16">
        <f t="shared" si="784"/>
        <v>5.8555669660676204E-46</v>
      </c>
      <c r="BY3455" s="16">
        <f t="shared" si="785"/>
        <v>341.30000000000911</v>
      </c>
      <c r="BZ3455" s="16">
        <f t="shared" si="776"/>
        <v>1.7156656800666465E-48</v>
      </c>
      <c r="CA3455" s="16">
        <f t="shared" si="783"/>
        <v>-999</v>
      </c>
      <c r="CE3455" s="16" t="e">
        <f t="shared" si="777"/>
        <v>#N/A</v>
      </c>
      <c r="CF3455" s="16">
        <f t="shared" si="778"/>
        <v>99</v>
      </c>
      <c r="CG3455" s="16">
        <f t="shared" si="779"/>
        <v>0</v>
      </c>
      <c r="CH3455" s="16">
        <f t="shared" si="775"/>
        <v>0</v>
      </c>
      <c r="CJ3455" s="16" t="e">
        <f t="shared" si="780"/>
        <v>#N/A</v>
      </c>
      <c r="CK3455" s="16" t="str">
        <f t="shared" si="781"/>
        <v/>
      </c>
    </row>
    <row r="3456" spans="73:89" ht="12" customHeight="1">
      <c r="BU3456" s="16">
        <f t="shared" si="782"/>
        <v>0</v>
      </c>
      <c r="BV3456" s="16">
        <f>IF($BY$12=1,NORMDIST(BY3456,$Y$6,$Y$8,TRUE),IF($BY$12=2,IF(BY3456&lt;=$BX$31,0,IF(BY3456&gt;=$BX$32,1,(BY3456-$BX$31)*$BX$33)),SUM($BU$42:BU3456)/$BV$40))</f>
        <v>1</v>
      </c>
      <c r="BW3456" s="16">
        <f t="shared" si="784"/>
        <v>5.4458196699666284E-46</v>
      </c>
      <c r="BY3456" s="16">
        <f t="shared" si="785"/>
        <v>341.40000000000913</v>
      </c>
      <c r="BZ3456" s="16">
        <f t="shared" si="776"/>
        <v>1.5951434299843241E-48</v>
      </c>
      <c r="CA3456" s="16">
        <f t="shared" si="783"/>
        <v>-999</v>
      </c>
      <c r="CE3456" s="16" t="e">
        <f t="shared" si="777"/>
        <v>#N/A</v>
      </c>
      <c r="CF3456" s="16">
        <f t="shared" si="778"/>
        <v>99</v>
      </c>
      <c r="CG3456" s="16">
        <f t="shared" si="779"/>
        <v>0</v>
      </c>
      <c r="CH3456" s="16">
        <f t="shared" si="775"/>
        <v>0</v>
      </c>
      <c r="CJ3456" s="16" t="e">
        <f t="shared" si="780"/>
        <v>#N/A</v>
      </c>
      <c r="CK3456" s="16" t="str">
        <f t="shared" si="781"/>
        <v/>
      </c>
    </row>
    <row r="3457" spans="73:89" ht="12" customHeight="1">
      <c r="BU3457" s="16">
        <f t="shared" si="782"/>
        <v>0</v>
      </c>
      <c r="BV3457" s="16">
        <f>IF($BY$12=1,NORMDIST(BY3457,$Y$6,$Y$8,TRUE),IF($BY$12=2,IF(BY3457&lt;=$BX$31,0,IF(BY3457&gt;=$BX$32,1,(BY3457-$BX$31)*$BX$33)),SUM($BU$42:BU3457)/$BV$40))</f>
        <v>1</v>
      </c>
      <c r="BW3457" s="16">
        <f t="shared" si="784"/>
        <v>5.0646176690833783E-46</v>
      </c>
      <c r="BY3457" s="16">
        <f t="shared" si="785"/>
        <v>341.50000000000915</v>
      </c>
      <c r="BZ3457" s="16">
        <f t="shared" si="776"/>
        <v>1.4830505619570257E-48</v>
      </c>
      <c r="CA3457" s="16">
        <f t="shared" si="783"/>
        <v>-999</v>
      </c>
      <c r="CE3457" s="16" t="e">
        <f t="shared" si="777"/>
        <v>#N/A</v>
      </c>
      <c r="CF3457" s="16">
        <f t="shared" si="778"/>
        <v>99</v>
      </c>
      <c r="CG3457" s="16">
        <f t="shared" si="779"/>
        <v>0</v>
      </c>
      <c r="CH3457" s="16">
        <f t="shared" si="775"/>
        <v>0</v>
      </c>
      <c r="CJ3457" s="16" t="e">
        <f t="shared" si="780"/>
        <v>#N/A</v>
      </c>
      <c r="CK3457" s="16" t="str">
        <f t="shared" si="781"/>
        <v/>
      </c>
    </row>
    <row r="3458" spans="73:89" ht="12" customHeight="1">
      <c r="BU3458" s="16">
        <f t="shared" si="782"/>
        <v>0</v>
      </c>
      <c r="BV3458" s="16">
        <f>IF($BY$12=1,NORMDIST(BY3458,$Y$6,$Y$8,TRUE),IF($BY$12=2,IF(BY3458&lt;=$BX$31,0,IF(BY3458&gt;=$BX$32,1,(BY3458-$BX$31)*$BX$33)),SUM($BU$42:BU3458)/$BV$40))</f>
        <v>1</v>
      </c>
      <c r="BW3458" s="16">
        <f t="shared" si="784"/>
        <v>4.7099812770659062E-46</v>
      </c>
      <c r="BY3458" s="16">
        <f t="shared" si="785"/>
        <v>341.60000000000917</v>
      </c>
      <c r="BZ3458" s="16">
        <f t="shared" si="776"/>
        <v>1.3788001396562587E-48</v>
      </c>
      <c r="CA3458" s="16">
        <f t="shared" si="783"/>
        <v>-999</v>
      </c>
      <c r="CE3458" s="16" t="e">
        <f t="shared" si="777"/>
        <v>#N/A</v>
      </c>
      <c r="CF3458" s="16">
        <f t="shared" si="778"/>
        <v>99</v>
      </c>
      <c r="CG3458" s="16">
        <f t="shared" si="779"/>
        <v>0</v>
      </c>
      <c r="CH3458" s="16">
        <f t="shared" si="775"/>
        <v>0</v>
      </c>
      <c r="CJ3458" s="16" t="e">
        <f t="shared" si="780"/>
        <v>#N/A</v>
      </c>
      <c r="CK3458" s="16" t="str">
        <f t="shared" si="781"/>
        <v/>
      </c>
    </row>
    <row r="3459" spans="73:89" ht="12" customHeight="1">
      <c r="BU3459" s="16">
        <f t="shared" si="782"/>
        <v>0</v>
      </c>
      <c r="BV3459" s="16">
        <f>IF($BY$12=1,NORMDIST(BY3459,$Y$6,$Y$8,TRUE),IF($BY$12=2,IF(BY3459&lt;=$BX$31,0,IF(BY3459&gt;=$BX$32,1,(BY3459-$BX$31)*$BX$33)),SUM($BU$42:BU3459)/$BV$40))</f>
        <v>1</v>
      </c>
      <c r="BW3459" s="16">
        <f t="shared" si="784"/>
        <v>4.3800674774579284E-46</v>
      </c>
      <c r="BY3459" s="16">
        <f t="shared" si="785"/>
        <v>341.7000000000092</v>
      </c>
      <c r="BZ3459" s="16">
        <f t="shared" si="776"/>
        <v>1.2818459108743958E-48</v>
      </c>
      <c r="CA3459" s="16">
        <f t="shared" si="783"/>
        <v>-999</v>
      </c>
      <c r="CE3459" s="16" t="e">
        <f t="shared" si="777"/>
        <v>#N/A</v>
      </c>
      <c r="CF3459" s="16">
        <f t="shared" si="778"/>
        <v>99</v>
      </c>
      <c r="CG3459" s="16">
        <f t="shared" si="779"/>
        <v>0</v>
      </c>
      <c r="CH3459" s="16">
        <f t="shared" ref="CH3459:CH3522" si="786">IF(CB3459="",0,1)</f>
        <v>0</v>
      </c>
      <c r="CJ3459" s="16" t="e">
        <f t="shared" si="780"/>
        <v>#N/A</v>
      </c>
      <c r="CK3459" s="16" t="str">
        <f t="shared" si="781"/>
        <v/>
      </c>
    </row>
    <row r="3460" spans="73:89" ht="12" customHeight="1">
      <c r="BU3460" s="16">
        <f t="shared" si="782"/>
        <v>0</v>
      </c>
      <c r="BV3460" s="16">
        <f>IF($BY$12=1,NORMDIST(BY3460,$Y$6,$Y$8,TRUE),IF($BY$12=2,IF(BY3460&lt;=$BX$31,0,IF(BY3460&gt;=$BX$32,1,(BY3460-$BX$31)*$BX$33)),SUM($BU$42:BU3460)/$BV$40))</f>
        <v>1</v>
      </c>
      <c r="BW3460" s="16">
        <f t="shared" si="784"/>
        <v>4.0731605322145854E-46</v>
      </c>
      <c r="BY3460" s="16">
        <f t="shared" si="785"/>
        <v>341.80000000000922</v>
      </c>
      <c r="BZ3460" s="16">
        <f t="shared" si="776"/>
        <v>1.1916795003553177E-48</v>
      </c>
      <c r="CA3460" s="16">
        <f t="shared" si="783"/>
        <v>-999</v>
      </c>
      <c r="CE3460" s="16" t="e">
        <f t="shared" si="777"/>
        <v>#N/A</v>
      </c>
      <c r="CF3460" s="16">
        <f t="shared" si="778"/>
        <v>99</v>
      </c>
      <c r="CG3460" s="16">
        <f t="shared" si="779"/>
        <v>0</v>
      </c>
      <c r="CH3460" s="16">
        <f t="shared" si="786"/>
        <v>0</v>
      </c>
      <c r="CJ3460" s="16" t="e">
        <f t="shared" si="780"/>
        <v>#N/A</v>
      </c>
      <c r="CK3460" s="16" t="str">
        <f t="shared" si="781"/>
        <v/>
      </c>
    </row>
    <row r="3461" spans="73:89" ht="12" customHeight="1">
      <c r="BU3461" s="16">
        <f t="shared" si="782"/>
        <v>0</v>
      </c>
      <c r="BV3461" s="16">
        <f>IF($BY$12=1,NORMDIST(BY3461,$Y$6,$Y$8,TRUE),IF($BY$12=2,IF(BY3461&lt;=$BX$31,0,IF(BY3461&gt;=$BX$32,1,(BY3461-$BX$31)*$BX$33)),SUM($BU$42:BU3461)/$BV$40))</f>
        <v>1</v>
      </c>
      <c r="BW3461" s="16">
        <f t="shared" si="784"/>
        <v>3.7876632325355683E-46</v>
      </c>
      <c r="BY3461" s="16">
        <f t="shared" si="785"/>
        <v>341.90000000000924</v>
      </c>
      <c r="BZ3461" s="16">
        <f t="shared" si="776"/>
        <v>1.1078277954183871E-48</v>
      </c>
      <c r="CA3461" s="16">
        <f t="shared" si="783"/>
        <v>-999</v>
      </c>
      <c r="CE3461" s="16" t="e">
        <f t="shared" si="777"/>
        <v>#N/A</v>
      </c>
      <c r="CF3461" s="16">
        <f t="shared" si="778"/>
        <v>99</v>
      </c>
      <c r="CG3461" s="16">
        <f t="shared" si="779"/>
        <v>0</v>
      </c>
      <c r="CH3461" s="16">
        <f t="shared" si="786"/>
        <v>0</v>
      </c>
      <c r="CJ3461" s="16" t="e">
        <f t="shared" si="780"/>
        <v>#N/A</v>
      </c>
      <c r="CK3461" s="16" t="str">
        <f t="shared" si="781"/>
        <v/>
      </c>
    </row>
    <row r="3462" spans="73:89" ht="12" customHeight="1">
      <c r="BU3462" s="16">
        <f t="shared" si="782"/>
        <v>0</v>
      </c>
      <c r="BV3462" s="16">
        <f>IF($BY$12=1,NORMDIST(BY3462,$Y$6,$Y$8,TRUE),IF($BY$12=2,IF(BY3462&lt;=$BX$31,0,IF(BY3462&gt;=$BX$32,1,(BY3462-$BX$31)*$BX$33)),SUM($BU$42:BU3462)/$BV$40))</f>
        <v>1</v>
      </c>
      <c r="BW3462" s="16">
        <f t="shared" si="784"/>
        <v>3.5220887482955423E-46</v>
      </c>
      <c r="BY3462" s="16">
        <f t="shared" si="785"/>
        <v>342.00000000000927</v>
      </c>
      <c r="BZ3462" s="16">
        <f t="shared" si="776"/>
        <v>1.0298505111974991E-48</v>
      </c>
      <c r="CA3462" s="16">
        <f t="shared" si="783"/>
        <v>-999</v>
      </c>
      <c r="CE3462" s="16" t="e">
        <f t="shared" si="777"/>
        <v>#N/A</v>
      </c>
      <c r="CF3462" s="16">
        <f t="shared" si="778"/>
        <v>99</v>
      </c>
      <c r="CG3462" s="16">
        <f t="shared" si="779"/>
        <v>0</v>
      </c>
      <c r="CH3462" s="16">
        <f t="shared" si="786"/>
        <v>0</v>
      </c>
      <c r="CJ3462" s="16" t="e">
        <f t="shared" si="780"/>
        <v>#N/A</v>
      </c>
      <c r="CK3462" s="16" t="str">
        <f t="shared" si="781"/>
        <v/>
      </c>
    </row>
    <row r="3463" spans="73:89" ht="12" customHeight="1">
      <c r="BU3463" s="16">
        <f t="shared" si="782"/>
        <v>0</v>
      </c>
      <c r="BV3463" s="16">
        <f>IF($BY$12=1,NORMDIST(BY3463,$Y$6,$Y$8,TRUE),IF($BY$12=2,IF(BY3463&lt;=$BX$31,0,IF(BY3463&gt;=$BX$32,1,(BY3463-$BX$31)*$BX$33)),SUM($BU$42:BU3463)/$BV$40))</f>
        <v>1</v>
      </c>
      <c r="BW3463" s="16">
        <f t="shared" si="784"/>
        <v>3.2750530353111396E-46</v>
      </c>
      <c r="BY3463" s="16">
        <f t="shared" si="785"/>
        <v>342.10000000000929</v>
      </c>
      <c r="BZ3463" s="16">
        <f t="shared" si="776"/>
        <v>9.5733792321281811E-49</v>
      </c>
      <c r="CA3463" s="16">
        <f t="shared" si="783"/>
        <v>-999</v>
      </c>
      <c r="CE3463" s="16" t="e">
        <f t="shared" si="777"/>
        <v>#N/A</v>
      </c>
      <c r="CF3463" s="16">
        <f t="shared" si="778"/>
        <v>99</v>
      </c>
      <c r="CG3463" s="16">
        <f t="shared" si="779"/>
        <v>0</v>
      </c>
      <c r="CH3463" s="16">
        <f t="shared" si="786"/>
        <v>0</v>
      </c>
      <c r="CJ3463" s="16" t="e">
        <f t="shared" si="780"/>
        <v>#N/A</v>
      </c>
      <c r="CK3463" s="16" t="str">
        <f t="shared" si="781"/>
        <v/>
      </c>
    </row>
    <row r="3464" spans="73:89" ht="12" customHeight="1">
      <c r="BU3464" s="16">
        <f t="shared" si="782"/>
        <v>0</v>
      </c>
      <c r="BV3464" s="16">
        <f>IF($BY$12=1,NORMDIST(BY3464,$Y$6,$Y$8,TRUE),IF($BY$12=2,IF(BY3464&lt;=$BX$31,0,IF(BY3464&gt;=$BX$32,1,(BY3464-$BX$31)*$BX$33)),SUM($BU$42:BU3464)/$BV$40))</f>
        <v>1</v>
      </c>
      <c r="BW3464" s="16">
        <f t="shared" si="784"/>
        <v>3.0452677624494446E-46</v>
      </c>
      <c r="BY3464" s="16">
        <f t="shared" si="785"/>
        <v>342.20000000000931</v>
      </c>
      <c r="BZ3464" s="16">
        <f t="shared" si="776"/>
        <v>8.8990875582973754E-49</v>
      </c>
      <c r="CA3464" s="16">
        <f t="shared" si="783"/>
        <v>-999</v>
      </c>
      <c r="CE3464" s="16" t="e">
        <f t="shared" si="777"/>
        <v>#N/A</v>
      </c>
      <c r="CF3464" s="16">
        <f t="shared" si="778"/>
        <v>99</v>
      </c>
      <c r="CG3464" s="16">
        <f t="shared" si="779"/>
        <v>0</v>
      </c>
      <c r="CH3464" s="16">
        <f t="shared" si="786"/>
        <v>0</v>
      </c>
      <c r="CJ3464" s="16" t="e">
        <f t="shared" si="780"/>
        <v>#N/A</v>
      </c>
      <c r="CK3464" s="16" t="str">
        <f t="shared" si="781"/>
        <v/>
      </c>
    </row>
    <row r="3465" spans="73:89" ht="12" customHeight="1">
      <c r="BU3465" s="16">
        <f t="shared" si="782"/>
        <v>0</v>
      </c>
      <c r="BV3465" s="16">
        <f>IF($BY$12=1,NORMDIST(BY3465,$Y$6,$Y$8,TRUE),IF($BY$12=2,IF(BY3465&lt;=$BX$31,0,IF(BY3465&gt;=$BX$32,1,(BY3465-$BX$31)*$BX$33)),SUM($BU$42:BU3465)/$BV$40))</f>
        <v>1</v>
      </c>
      <c r="BW3465" s="16">
        <f t="shared" si="784"/>
        <v>2.8315337231536501E-46</v>
      </c>
      <c r="BY3465" s="16">
        <f t="shared" si="785"/>
        <v>342.30000000000933</v>
      </c>
      <c r="BZ3465" s="16">
        <f t="shared" si="776"/>
        <v>8.27208215937357E-49</v>
      </c>
      <c r="CA3465" s="16">
        <f t="shared" si="783"/>
        <v>-999</v>
      </c>
      <c r="CE3465" s="16" t="e">
        <f t="shared" si="777"/>
        <v>#N/A</v>
      </c>
      <c r="CF3465" s="16">
        <f t="shared" si="778"/>
        <v>99</v>
      </c>
      <c r="CG3465" s="16">
        <f t="shared" si="779"/>
        <v>0</v>
      </c>
      <c r="CH3465" s="16">
        <f t="shared" si="786"/>
        <v>0</v>
      </c>
      <c r="CJ3465" s="16" t="e">
        <f t="shared" si="780"/>
        <v>#N/A</v>
      </c>
      <c r="CK3465" s="16" t="str">
        <f t="shared" si="781"/>
        <v/>
      </c>
    </row>
    <row r="3466" spans="73:89" ht="12" customHeight="1">
      <c r="BU3466" s="16">
        <f t="shared" si="782"/>
        <v>0</v>
      </c>
      <c r="BV3466" s="16">
        <f>IF($BY$12=1,NORMDIST(BY3466,$Y$6,$Y$8,TRUE),IF($BY$12=2,IF(BY3466&lt;=$BX$31,0,IF(BY3466&gt;=$BX$32,1,(BY3466-$BX$31)*$BX$33)),SUM($BU$42:BU3466)/$BV$40))</f>
        <v>1</v>
      </c>
      <c r="BW3466" s="16">
        <f t="shared" si="784"/>
        <v>2.6327346983689208E-46</v>
      </c>
      <c r="BY3466" s="16">
        <f t="shared" si="785"/>
        <v>342.40000000000936</v>
      </c>
      <c r="BZ3466" s="16">
        <f t="shared" si="776"/>
        <v>7.6890616190678996E-49</v>
      </c>
      <c r="CA3466" s="16">
        <f t="shared" si="783"/>
        <v>-999</v>
      </c>
      <c r="CE3466" s="16" t="e">
        <f t="shared" si="777"/>
        <v>#N/A</v>
      </c>
      <c r="CF3466" s="16">
        <f t="shared" si="778"/>
        <v>99</v>
      </c>
      <c r="CG3466" s="16">
        <f t="shared" si="779"/>
        <v>0</v>
      </c>
      <c r="CH3466" s="16">
        <f t="shared" si="786"/>
        <v>0</v>
      </c>
      <c r="CJ3466" s="16" t="e">
        <f t="shared" si="780"/>
        <v>#N/A</v>
      </c>
      <c r="CK3466" s="16" t="str">
        <f t="shared" si="781"/>
        <v/>
      </c>
    </row>
    <row r="3467" spans="73:89" ht="12" customHeight="1">
      <c r="BU3467" s="16">
        <f t="shared" si="782"/>
        <v>0</v>
      </c>
      <c r="BV3467" s="16">
        <f>IF($BY$12=1,NORMDIST(BY3467,$Y$6,$Y$8,TRUE),IF($BY$12=2,IF(BY3467&lt;=$BX$31,0,IF(BY3467&gt;=$BX$32,1,(BY3467-$BX$31)*$BX$33)),SUM($BU$42:BU3467)/$BV$40))</f>
        <v>1</v>
      </c>
      <c r="BW3467" s="16">
        <f t="shared" si="784"/>
        <v>2.44783174008616E-46</v>
      </c>
      <c r="BY3467" s="16">
        <f t="shared" si="785"/>
        <v>342.50000000000938</v>
      </c>
      <c r="BZ3467" s="16">
        <f t="shared" si="776"/>
        <v>7.1469539856528259E-49</v>
      </c>
      <c r="CA3467" s="16">
        <f t="shared" si="783"/>
        <v>-999</v>
      </c>
      <c r="CE3467" s="16" t="e">
        <f t="shared" si="777"/>
        <v>#N/A</v>
      </c>
      <c r="CF3467" s="16">
        <f t="shared" si="778"/>
        <v>99</v>
      </c>
      <c r="CG3467" s="16">
        <f t="shared" si="779"/>
        <v>0</v>
      </c>
      <c r="CH3467" s="16">
        <f t="shared" si="786"/>
        <v>0</v>
      </c>
      <c r="CJ3467" s="16" t="e">
        <f t="shared" si="780"/>
        <v>#N/A</v>
      </c>
      <c r="CK3467" s="16" t="str">
        <f t="shared" si="781"/>
        <v/>
      </c>
    </row>
    <row r="3468" spans="73:89" ht="12" customHeight="1">
      <c r="BU3468" s="16">
        <f t="shared" si="782"/>
        <v>0</v>
      </c>
      <c r="BV3468" s="16">
        <f>IF($BY$12=1,NORMDIST(BY3468,$Y$6,$Y$8,TRUE),IF($BY$12=2,IF(BY3468&lt;=$BX$31,0,IF(BY3468&gt;=$BX$32,1,(BY3468-$BX$31)*$BX$33)),SUM($BU$42:BU3468)/$BV$40))</f>
        <v>1</v>
      </c>
      <c r="BW3468" s="16">
        <f t="shared" si="784"/>
        <v>2.275857846814402E-46</v>
      </c>
      <c r="BY3468" s="16">
        <f t="shared" si="785"/>
        <v>342.6000000000094</v>
      </c>
      <c r="BZ3468" s="16">
        <f t="shared" si="776"/>
        <v>6.6429008955468173E-49</v>
      </c>
      <c r="CA3468" s="16">
        <f t="shared" si="783"/>
        <v>-999</v>
      </c>
      <c r="CE3468" s="16" t="e">
        <f t="shared" si="777"/>
        <v>#N/A</v>
      </c>
      <c r="CF3468" s="16">
        <f t="shared" si="778"/>
        <v>99</v>
      </c>
      <c r="CG3468" s="16">
        <f t="shared" si="779"/>
        <v>0</v>
      </c>
      <c r="CH3468" s="16">
        <f t="shared" si="786"/>
        <v>0</v>
      </c>
      <c r="CJ3468" s="16" t="e">
        <f t="shared" si="780"/>
        <v>#N/A</v>
      </c>
      <c r="CK3468" s="16" t="str">
        <f t="shared" si="781"/>
        <v/>
      </c>
    </row>
    <row r="3469" spans="73:89" ht="12" customHeight="1">
      <c r="BU3469" s="16">
        <f t="shared" si="782"/>
        <v>0</v>
      </c>
      <c r="BV3469" s="16">
        <f>IF($BY$12=1,NORMDIST(BY3469,$Y$6,$Y$8,TRUE),IF($BY$12=2,IF(BY3469&lt;=$BX$31,0,IF(BY3469&gt;=$BX$32,1,(BY3469-$BX$31)*$BX$33)),SUM($BU$42:BU3469)/$BV$40))</f>
        <v>1</v>
      </c>
      <c r="BW3469" s="16">
        <f t="shared" si="784"/>
        <v>2.115913004236564E-46</v>
      </c>
      <c r="BY3469" s="16">
        <f t="shared" si="785"/>
        <v>342.70000000000942</v>
      </c>
      <c r="BZ3469" s="16">
        <f t="shared" si="776"/>
        <v>6.1742427903020308E-49</v>
      </c>
      <c r="CA3469" s="16">
        <f t="shared" si="783"/>
        <v>-999</v>
      </c>
      <c r="CE3469" s="16" t="e">
        <f t="shared" si="777"/>
        <v>#N/A</v>
      </c>
      <c r="CF3469" s="16">
        <f t="shared" si="778"/>
        <v>99</v>
      </c>
      <c r="CG3469" s="16">
        <f t="shared" si="779"/>
        <v>0</v>
      </c>
      <c r="CH3469" s="16">
        <f t="shared" si="786"/>
        <v>0</v>
      </c>
      <c r="CJ3469" s="16" t="e">
        <f t="shared" si="780"/>
        <v>#N/A</v>
      </c>
      <c r="CK3469" s="16" t="str">
        <f t="shared" si="781"/>
        <v/>
      </c>
    </row>
    <row r="3470" spans="73:89" ht="12" customHeight="1">
      <c r="BU3470" s="16">
        <f t="shared" si="782"/>
        <v>0</v>
      </c>
      <c r="BV3470" s="16">
        <f>IF($BY$12=1,NORMDIST(BY3470,$Y$6,$Y$8,TRUE),IF($BY$12=2,IF(BY3470&lt;=$BX$31,0,IF(BY3470&gt;=$BX$32,1,(BY3470-$BX$31)*$BX$33)),SUM($BU$42:BU3470)/$BV$40))</f>
        <v>1</v>
      </c>
      <c r="BW3470" s="16">
        <f t="shared" si="784"/>
        <v>1.9671595661231509E-46</v>
      </c>
      <c r="BY3470" s="16">
        <f t="shared" si="785"/>
        <v>342.80000000000945</v>
      </c>
      <c r="BZ3470" s="16">
        <f t="shared" si="776"/>
        <v>5.7385051520510405E-49</v>
      </c>
      <c r="CA3470" s="16">
        <f t="shared" si="783"/>
        <v>-999</v>
      </c>
      <c r="CE3470" s="16" t="e">
        <f t="shared" si="777"/>
        <v>#N/A</v>
      </c>
      <c r="CF3470" s="16">
        <f t="shared" si="778"/>
        <v>99</v>
      </c>
      <c r="CG3470" s="16">
        <f t="shared" si="779"/>
        <v>0</v>
      </c>
      <c r="CH3470" s="16">
        <f t="shared" si="786"/>
        <v>0</v>
      </c>
      <c r="CJ3470" s="16" t="e">
        <f t="shared" si="780"/>
        <v>#N/A</v>
      </c>
      <c r="CK3470" s="16" t="str">
        <f t="shared" si="781"/>
        <v/>
      </c>
    </row>
    <row r="3471" spans="73:89" ht="12" customHeight="1">
      <c r="BU3471" s="16">
        <f t="shared" si="782"/>
        <v>0</v>
      </c>
      <c r="BV3471" s="16">
        <f>IF($BY$12=1,NORMDIST(BY3471,$Y$6,$Y$8,TRUE),IF($BY$12=2,IF(BY3471&lt;=$BX$31,0,IF(BY3471&gt;=$BX$32,1,(BY3471-$BX$31)*$BX$33)),SUM($BU$42:BU3471)/$BV$40))</f>
        <v>1</v>
      </c>
      <c r="BW3471" s="16">
        <f t="shared" si="784"/>
        <v>1.8288179522673967E-46</v>
      </c>
      <c r="BY3471" s="16">
        <f t="shared" si="785"/>
        <v>342.90000000000947</v>
      </c>
      <c r="BZ3471" s="16">
        <f t="shared" si="776"/>
        <v>5.3333856875688141E-49</v>
      </c>
      <c r="CA3471" s="16">
        <f t="shared" si="783"/>
        <v>-999</v>
      </c>
      <c r="CE3471" s="16" t="e">
        <f t="shared" si="777"/>
        <v>#N/A</v>
      </c>
      <c r="CF3471" s="16">
        <f t="shared" si="778"/>
        <v>99</v>
      </c>
      <c r="CG3471" s="16">
        <f t="shared" si="779"/>
        <v>0</v>
      </c>
      <c r="CH3471" s="16">
        <f t="shared" si="786"/>
        <v>0</v>
      </c>
      <c r="CJ3471" s="16" t="e">
        <f t="shared" si="780"/>
        <v>#N/A</v>
      </c>
      <c r="CK3471" s="16" t="str">
        <f t="shared" si="781"/>
        <v/>
      </c>
    </row>
    <row r="3472" spans="73:89" ht="12" customHeight="1">
      <c r="BU3472" s="16">
        <f t="shared" si="782"/>
        <v>0</v>
      </c>
      <c r="BV3472" s="16">
        <f>IF($BY$12=1,NORMDIST(BY3472,$Y$6,$Y$8,TRUE),IF($BY$12=2,IF(BY3472&lt;=$BX$31,0,IF(BY3472&gt;=$BX$32,1,(BY3472-$BX$31)*$BX$33)),SUM($BU$42:BU3472)/$BV$40))</f>
        <v>1</v>
      </c>
      <c r="BW3472" s="16">
        <f t="shared" si="784"/>
        <v>1.700162641788891E-46</v>
      </c>
      <c r="BY3472" s="16">
        <f t="shared" si="785"/>
        <v>343.00000000000949</v>
      </c>
      <c r="BZ3472" s="16">
        <f t="shared" si="776"/>
        <v>4.9567423958858425E-49</v>
      </c>
      <c r="CA3472" s="16">
        <f t="shared" si="783"/>
        <v>-999</v>
      </c>
      <c r="CE3472" s="16" t="e">
        <f t="shared" si="777"/>
        <v>#N/A</v>
      </c>
      <c r="CF3472" s="16">
        <f t="shared" si="778"/>
        <v>99</v>
      </c>
      <c r="CG3472" s="16">
        <f t="shared" si="779"/>
        <v>0</v>
      </c>
      <c r="CH3472" s="16">
        <f t="shared" si="786"/>
        <v>0</v>
      </c>
      <c r="CJ3472" s="16" t="e">
        <f t="shared" si="780"/>
        <v>#N/A</v>
      </c>
      <c r="CK3472" s="16" t="str">
        <f t="shared" si="781"/>
        <v/>
      </c>
    </row>
    <row r="3473" spans="73:89" ht="12" customHeight="1">
      <c r="BU3473" s="16">
        <f t="shared" si="782"/>
        <v>0</v>
      </c>
      <c r="BV3473" s="16">
        <f>IF($BY$12=1,NORMDIST(BY3473,$Y$6,$Y$8,TRUE),IF($BY$12=2,IF(BY3473&lt;=$BX$31,0,IF(BY3473&gt;=$BX$32,1,(BY3473-$BX$31)*$BX$33)),SUM($BU$42:BU3473)/$BV$40))</f>
        <v>1</v>
      </c>
      <c r="BW3473" s="16">
        <f t="shared" si="784"/>
        <v>1.5805184416208314E-46</v>
      </c>
      <c r="BY3473" s="16">
        <f t="shared" si="785"/>
        <v>343.10000000000952</v>
      </c>
      <c r="BZ3473" s="16">
        <f t="shared" si="776"/>
        <v>4.6065824588189672E-49</v>
      </c>
      <c r="CA3473" s="16">
        <f t="shared" si="783"/>
        <v>-999</v>
      </c>
      <c r="CE3473" s="16" t="e">
        <f t="shared" si="777"/>
        <v>#N/A</v>
      </c>
      <c r="CF3473" s="16">
        <f t="shared" si="778"/>
        <v>99</v>
      </c>
      <c r="CG3473" s="16">
        <f t="shared" si="779"/>
        <v>0</v>
      </c>
      <c r="CH3473" s="16">
        <f t="shared" si="786"/>
        <v>0</v>
      </c>
      <c r="CJ3473" s="16" t="e">
        <f t="shared" si="780"/>
        <v>#N/A</v>
      </c>
      <c r="CK3473" s="16" t="str">
        <f t="shared" si="781"/>
        <v/>
      </c>
    </row>
    <row r="3474" spans="73:89" ht="12" customHeight="1">
      <c r="BU3474" s="16">
        <f t="shared" si="782"/>
        <v>0</v>
      </c>
      <c r="BV3474" s="16">
        <f>IF($BY$12=1,NORMDIST(BY3474,$Y$6,$Y$8,TRUE),IF($BY$12=2,IF(BY3474&lt;=$BX$31,0,IF(BY3474&gt;=$BX$32,1,(BY3474-$BX$31)*$BX$33)),SUM($BU$42:BU3474)/$BV$40))</f>
        <v>1</v>
      </c>
      <c r="BW3474" s="16">
        <f t="shared" si="784"/>
        <v>1.4692570113712503E-46</v>
      </c>
      <c r="BY3474" s="16">
        <f t="shared" si="785"/>
        <v>343.20000000000954</v>
      </c>
      <c r="BZ3474" s="16">
        <f t="shared" si="776"/>
        <v>4.2810518979347593E-49</v>
      </c>
      <c r="CA3474" s="16">
        <f t="shared" si="783"/>
        <v>-999</v>
      </c>
      <c r="CE3474" s="16" t="e">
        <f t="shared" si="777"/>
        <v>#N/A</v>
      </c>
      <c r="CF3474" s="16">
        <f t="shared" si="778"/>
        <v>99</v>
      </c>
      <c r="CG3474" s="16">
        <f t="shared" si="779"/>
        <v>0</v>
      </c>
      <c r="CH3474" s="16">
        <f t="shared" si="786"/>
        <v>0</v>
      </c>
      <c r="CJ3474" s="16" t="e">
        <f t="shared" si="780"/>
        <v>#N/A</v>
      </c>
      <c r="CK3474" s="16" t="str">
        <f t="shared" si="781"/>
        <v/>
      </c>
    </row>
    <row r="3475" spans="73:89" ht="12" customHeight="1">
      <c r="BU3475" s="16">
        <f t="shared" si="782"/>
        <v>0</v>
      </c>
      <c r="BV3475" s="16">
        <f>IF($BY$12=1,NORMDIST(BY3475,$Y$6,$Y$8,TRUE),IF($BY$12=2,IF(BY3475&lt;=$BX$31,0,IF(BY3475&gt;=$BX$32,1,(BY3475-$BX$31)*$BX$33)),SUM($BU$42:BU3475)/$BV$40))</f>
        <v>1</v>
      </c>
      <c r="BW3475" s="16">
        <f t="shared" si="784"/>
        <v>1.365793627027165E-46</v>
      </c>
      <c r="BY3475" s="16">
        <f t="shared" si="785"/>
        <v>343.30000000000956</v>
      </c>
      <c r="BZ3475" s="16">
        <f t="shared" si="776"/>
        <v>3.9784259453164199E-49</v>
      </c>
      <c r="CA3475" s="16">
        <f t="shared" si="783"/>
        <v>-999</v>
      </c>
      <c r="CE3475" s="16" t="e">
        <f t="shared" si="777"/>
        <v>#N/A</v>
      </c>
      <c r="CF3475" s="16">
        <f t="shared" si="778"/>
        <v>99</v>
      </c>
      <c r="CG3475" s="16">
        <f t="shared" si="779"/>
        <v>0</v>
      </c>
      <c r="CH3475" s="16">
        <f t="shared" si="786"/>
        <v>0</v>
      </c>
      <c r="CJ3475" s="16" t="e">
        <f t="shared" si="780"/>
        <v>#N/A</v>
      </c>
      <c r="CK3475" s="16" t="str">
        <f t="shared" si="781"/>
        <v/>
      </c>
    </row>
    <row r="3476" spans="73:89" ht="12" customHeight="1">
      <c r="BU3476" s="16">
        <f t="shared" si="782"/>
        <v>0</v>
      </c>
      <c r="BV3476" s="16">
        <f>IF($BY$12=1,NORMDIST(BY3476,$Y$6,$Y$8,TRUE),IF($BY$12=2,IF(BY3476&lt;=$BX$31,0,IF(BY3476&gt;=$BX$32,1,(BY3476-$BX$31)*$BX$33)),SUM($BU$42:BU3476)/$BV$40))</f>
        <v>1</v>
      </c>
      <c r="BW3476" s="16">
        <f t="shared" si="784"/>
        <v>1.269584167163102E-46</v>
      </c>
      <c r="BY3476" s="16">
        <f t="shared" si="785"/>
        <v>343.40000000000958</v>
      </c>
      <c r="BZ3476" s="16">
        <f t="shared" si="776"/>
        <v>3.6971000791003684E-49</v>
      </c>
      <c r="CA3476" s="16">
        <f t="shared" si="783"/>
        <v>-999</v>
      </c>
      <c r="CE3476" s="16" t="e">
        <f t="shared" si="777"/>
        <v>#N/A</v>
      </c>
      <c r="CF3476" s="16">
        <f t="shared" si="778"/>
        <v>99</v>
      </c>
      <c r="CG3476" s="16">
        <f t="shared" si="779"/>
        <v>0</v>
      </c>
      <c r="CH3476" s="16">
        <f t="shared" si="786"/>
        <v>0</v>
      </c>
      <c r="CJ3476" s="16" t="e">
        <f t="shared" si="780"/>
        <v>#N/A</v>
      </c>
      <c r="CK3476" s="16" t="str">
        <f t="shared" si="781"/>
        <v/>
      </c>
    </row>
    <row r="3477" spans="73:89" ht="12" customHeight="1">
      <c r="BU3477" s="16">
        <f t="shared" si="782"/>
        <v>0</v>
      </c>
      <c r="BV3477" s="16">
        <f>IF($BY$12=1,NORMDIST(BY3477,$Y$6,$Y$8,TRUE),IF($BY$12=2,IF(BY3477&lt;=$BX$31,0,IF(BY3477&gt;=$BX$32,1,(BY3477-$BX$31)*$BX$33)),SUM($BU$42:BU3477)/$BV$40))</f>
        <v>1</v>
      </c>
      <c r="BW3477" s="16">
        <f t="shared" si="784"/>
        <v>1.1801223064294367E-46</v>
      </c>
      <c r="BY3477" s="16">
        <f t="shared" si="785"/>
        <v>343.50000000000961</v>
      </c>
      <c r="BZ3477" s="16">
        <f t="shared" si="776"/>
        <v>3.4355816781059789E-49</v>
      </c>
      <c r="CA3477" s="16">
        <f t="shared" si="783"/>
        <v>-999</v>
      </c>
      <c r="CE3477" s="16" t="e">
        <f t="shared" si="777"/>
        <v>#N/A</v>
      </c>
      <c r="CF3477" s="16">
        <f t="shared" si="778"/>
        <v>99</v>
      </c>
      <c r="CG3477" s="16">
        <f t="shared" si="779"/>
        <v>0</v>
      </c>
      <c r="CH3477" s="16">
        <f t="shared" si="786"/>
        <v>0</v>
      </c>
      <c r="CJ3477" s="16" t="e">
        <f t="shared" si="780"/>
        <v>#N/A</v>
      </c>
      <c r="CK3477" s="16" t="str">
        <f t="shared" si="781"/>
        <v/>
      </c>
    </row>
    <row r="3478" spans="73:89" ht="12" customHeight="1">
      <c r="BU3478" s="16">
        <f t="shared" si="782"/>
        <v>0</v>
      </c>
      <c r="BV3478" s="16">
        <f>IF($BY$12=1,NORMDIST(BY3478,$Y$6,$Y$8,TRUE),IF($BY$12=2,IF(BY3478&lt;=$BX$31,0,IF(BY3478&gt;=$BX$32,1,(BY3478-$BX$31)*$BX$33)),SUM($BU$42:BU3478)/$BV$40))</f>
        <v>1</v>
      </c>
      <c r="BW3478" s="16">
        <f t="shared" si="784"/>
        <v>1.0969369021305411E-46</v>
      </c>
      <c r="BY3478" s="16">
        <f t="shared" si="785"/>
        <v>343.60000000000963</v>
      </c>
      <c r="BZ3478" s="16">
        <f t="shared" si="776"/>
        <v>3.192482252999157E-49</v>
      </c>
      <c r="CA3478" s="16">
        <f t="shared" si="783"/>
        <v>-999</v>
      </c>
      <c r="CE3478" s="16" t="e">
        <f t="shared" si="777"/>
        <v>#N/A</v>
      </c>
      <c r="CF3478" s="16">
        <f t="shared" si="778"/>
        <v>99</v>
      </c>
      <c r="CG3478" s="16">
        <f t="shared" si="779"/>
        <v>0</v>
      </c>
      <c r="CH3478" s="16">
        <f t="shared" si="786"/>
        <v>0</v>
      </c>
      <c r="CJ3478" s="16" t="e">
        <f t="shared" si="780"/>
        <v>#N/A</v>
      </c>
      <c r="CK3478" s="16" t="str">
        <f t="shared" si="781"/>
        <v/>
      </c>
    </row>
    <row r="3479" spans="73:89" ht="12" customHeight="1">
      <c r="BU3479" s="16">
        <f t="shared" si="782"/>
        <v>0</v>
      </c>
      <c r="BV3479" s="16">
        <f>IF($BY$12=1,NORMDIST(BY3479,$Y$6,$Y$8,TRUE),IF($BY$12=2,IF(BY3479&lt;=$BX$31,0,IF(BY3479&gt;=$BX$32,1,(BY3479-$BX$31)*$BX$33)),SUM($BU$42:BU3479)/$BV$40))</f>
        <v>1</v>
      </c>
      <c r="BW3479" s="16">
        <f t="shared" si="784"/>
        <v>1.0195895606712041E-46</v>
      </c>
      <c r="BY3479" s="16">
        <f t="shared" si="785"/>
        <v>343.70000000000965</v>
      </c>
      <c r="BZ3479" s="16">
        <f t="shared" si="776"/>
        <v>2.9665102143473247E-49</v>
      </c>
      <c r="CA3479" s="16">
        <f t="shared" si="783"/>
        <v>-999</v>
      </c>
      <c r="CE3479" s="16" t="e">
        <f t="shared" si="777"/>
        <v>#N/A</v>
      </c>
      <c r="CF3479" s="16">
        <f t="shared" si="778"/>
        <v>99</v>
      </c>
      <c r="CG3479" s="16">
        <f t="shared" si="779"/>
        <v>0</v>
      </c>
      <c r="CH3479" s="16">
        <f t="shared" si="786"/>
        <v>0</v>
      </c>
      <c r="CJ3479" s="16" t="e">
        <f t="shared" si="780"/>
        <v>#N/A</v>
      </c>
      <c r="CK3479" s="16" t="str">
        <f t="shared" si="781"/>
        <v/>
      </c>
    </row>
    <row r="3480" spans="73:89" ht="12" customHeight="1">
      <c r="BU3480" s="16">
        <f t="shared" si="782"/>
        <v>0</v>
      </c>
      <c r="BV3480" s="16">
        <f>IF($BY$12=1,NORMDIST(BY3480,$Y$6,$Y$8,TRUE),IF($BY$12=2,IF(BY3480&lt;=$BX$31,0,IF(BY3480&gt;=$BX$32,1,(BY3480-$BX$31)*$BX$33)),SUM($BU$42:BU3480)/$BV$40))</f>
        <v>1</v>
      </c>
      <c r="BW3480" s="16">
        <f t="shared" si="784"/>
        <v>9.4767237155031217E-47</v>
      </c>
      <c r="BY3480" s="16">
        <f t="shared" si="785"/>
        <v>343.80000000000967</v>
      </c>
      <c r="BZ3480" s="16">
        <f t="shared" si="776"/>
        <v>2.7564641406349199E-49</v>
      </c>
      <c r="CA3480" s="16">
        <f t="shared" si="783"/>
        <v>-999</v>
      </c>
      <c r="CE3480" s="16" t="e">
        <f t="shared" si="777"/>
        <v>#N/A</v>
      </c>
      <c r="CF3480" s="16">
        <f t="shared" si="778"/>
        <v>99</v>
      </c>
      <c r="CG3480" s="16">
        <f t="shared" si="779"/>
        <v>0</v>
      </c>
      <c r="CH3480" s="16">
        <f t="shared" si="786"/>
        <v>0</v>
      </c>
      <c r="CJ3480" s="16" t="e">
        <f t="shared" si="780"/>
        <v>#N/A</v>
      </c>
      <c r="CK3480" s="16" t="str">
        <f t="shared" si="781"/>
        <v/>
      </c>
    </row>
    <row r="3481" spans="73:89" ht="12" customHeight="1">
      <c r="BU3481" s="16">
        <f t="shared" si="782"/>
        <v>0</v>
      </c>
      <c r="BV3481" s="16">
        <f>IF($BY$12=1,NORMDIST(BY3481,$Y$6,$Y$8,TRUE),IF($BY$12=2,IF(BY3481&lt;=$BX$31,0,IF(BY3481&gt;=$BX$32,1,(BY3481-$BX$31)*$BX$33)),SUM($BU$42:BU3481)/$BV$40))</f>
        <v>1</v>
      </c>
      <c r="BW3481" s="16">
        <f t="shared" si="784"/>
        <v>8.8080579742021983E-47</v>
      </c>
      <c r="BY3481" s="16">
        <f t="shared" si="785"/>
        <v>343.9000000000097</v>
      </c>
      <c r="BZ3481" s="16">
        <f t="shared" si="776"/>
        <v>2.5612265118354028E-49</v>
      </c>
      <c r="CA3481" s="16">
        <f t="shared" si="783"/>
        <v>-999</v>
      </c>
      <c r="CE3481" s="16" t="e">
        <f t="shared" si="777"/>
        <v>#N/A</v>
      </c>
      <c r="CF3481" s="16">
        <f t="shared" si="778"/>
        <v>99</v>
      </c>
      <c r="CG3481" s="16">
        <f t="shared" si="779"/>
        <v>0</v>
      </c>
      <c r="CH3481" s="16">
        <f t="shared" si="786"/>
        <v>0</v>
      </c>
      <c r="CJ3481" s="16" t="e">
        <f t="shared" si="780"/>
        <v>#N/A</v>
      </c>
      <c r="CK3481" s="16" t="str">
        <f t="shared" si="781"/>
        <v/>
      </c>
    </row>
    <row r="3482" spans="73:89" ht="12" customHeight="1">
      <c r="BU3482" s="16">
        <f t="shared" si="782"/>
        <v>0</v>
      </c>
      <c r="BV3482" s="16">
        <f>IF($BY$12=1,NORMDIST(BY3482,$Y$6,$Y$8,TRUE),IF($BY$12=2,IF(BY3482&lt;=$BX$31,0,IF(BY3482&gt;=$BX$32,1,(BY3482-$BX$31)*$BX$33)),SUM($BU$42:BU3482)/$BV$40))</f>
        <v>1</v>
      </c>
      <c r="BW3482" s="16">
        <f t="shared" si="784"/>
        <v>8.1863670951371056E-47</v>
      </c>
      <c r="BY3482" s="16">
        <f t="shared" si="785"/>
        <v>344.00000000000972</v>
      </c>
      <c r="BZ3482" s="16">
        <f t="shared" si="776"/>
        <v>2.3797578764932774E-49</v>
      </c>
      <c r="CA3482" s="16">
        <f t="shared" si="783"/>
        <v>-999</v>
      </c>
      <c r="CE3482" s="16" t="e">
        <f t="shared" si="777"/>
        <v>#N/A</v>
      </c>
      <c r="CF3482" s="16">
        <f t="shared" si="778"/>
        <v>99</v>
      </c>
      <c r="CG3482" s="16">
        <f t="shared" si="779"/>
        <v>0</v>
      </c>
      <c r="CH3482" s="16">
        <f t="shared" si="786"/>
        <v>0</v>
      </c>
      <c r="CJ3482" s="16" t="e">
        <f t="shared" si="780"/>
        <v>#N/A</v>
      </c>
      <c r="CK3482" s="16" t="str">
        <f t="shared" si="781"/>
        <v/>
      </c>
    </row>
    <row r="3483" spans="73:89" ht="12" customHeight="1">
      <c r="BU3483" s="16">
        <f t="shared" si="782"/>
        <v>0</v>
      </c>
      <c r="BV3483" s="16">
        <f>IF($BY$12=1,NORMDIST(BY3483,$Y$6,$Y$8,TRUE),IF($BY$12=2,IF(BY3483&lt;=$BX$31,0,IF(BY3483&gt;=$BX$32,1,(BY3483-$BX$31)*$BX$33)),SUM($BU$42:BU3483)/$BV$40))</f>
        <v>1</v>
      </c>
      <c r="BW3483" s="16">
        <f t="shared" si="784"/>
        <v>7.6083655847071134E-47</v>
      </c>
      <c r="BY3483" s="16">
        <f t="shared" si="785"/>
        <v>344.10000000000974</v>
      </c>
      <c r="BZ3483" s="16">
        <f t="shared" si="776"/>
        <v>2.2110914224664046E-49</v>
      </c>
      <c r="CA3483" s="16">
        <f t="shared" si="783"/>
        <v>-999</v>
      </c>
      <c r="CE3483" s="16" t="e">
        <f t="shared" si="777"/>
        <v>#N/A</v>
      </c>
      <c r="CF3483" s="16">
        <f t="shared" si="778"/>
        <v>99</v>
      </c>
      <c r="CG3483" s="16">
        <f t="shared" si="779"/>
        <v>0</v>
      </c>
      <c r="CH3483" s="16">
        <f t="shared" si="786"/>
        <v>0</v>
      </c>
      <c r="CJ3483" s="16" t="e">
        <f t="shared" si="780"/>
        <v>#N/A</v>
      </c>
      <c r="CK3483" s="16" t="str">
        <f t="shared" si="781"/>
        <v/>
      </c>
    </row>
    <row r="3484" spans="73:89" ht="12" customHeight="1">
      <c r="BU3484" s="16">
        <f t="shared" si="782"/>
        <v>0</v>
      </c>
      <c r="BV3484" s="16">
        <f>IF($BY$12=1,NORMDIST(BY3484,$Y$6,$Y$8,TRUE),IF($BY$12=2,IF(BY3484&lt;=$BX$31,0,IF(BY3484&gt;=$BX$32,1,(BY3484-$BX$31)*$BX$33)),SUM($BU$42:BU3484)/$BV$40))</f>
        <v>1</v>
      </c>
      <c r="BW3484" s="16">
        <f t="shared" si="784"/>
        <v>7.0709967127611811E-47</v>
      </c>
      <c r="BY3484" s="16">
        <f t="shared" si="785"/>
        <v>344.20000000000977</v>
      </c>
      <c r="BZ3484" s="16">
        <f t="shared" si="776"/>
        <v>2.0543279235214934E-49</v>
      </c>
      <c r="CA3484" s="16">
        <f t="shared" si="783"/>
        <v>-999</v>
      </c>
      <c r="CE3484" s="16" t="e">
        <f t="shared" si="777"/>
        <v>#N/A</v>
      </c>
      <c r="CF3484" s="16">
        <f t="shared" si="778"/>
        <v>99</v>
      </c>
      <c r="CG3484" s="16">
        <f t="shared" si="779"/>
        <v>0</v>
      </c>
      <c r="CH3484" s="16">
        <f t="shared" si="786"/>
        <v>0</v>
      </c>
      <c r="CJ3484" s="16" t="e">
        <f t="shared" si="780"/>
        <v>#N/A</v>
      </c>
      <c r="CK3484" s="16" t="str">
        <f t="shared" si="781"/>
        <v/>
      </c>
    </row>
    <row r="3485" spans="73:89" ht="12" customHeight="1">
      <c r="BU3485" s="16">
        <f t="shared" si="782"/>
        <v>0</v>
      </c>
      <c r="BV3485" s="16">
        <f>IF($BY$12=1,NORMDIST(BY3485,$Y$6,$Y$8,TRUE),IF($BY$12=2,IF(BY3485&lt;=$BX$31,0,IF(BY3485&gt;=$BX$32,1,(BY3485-$BX$31)*$BX$33)),SUM($BU$42:BU3485)/$BV$40))</f>
        <v>1</v>
      </c>
      <c r="BW3485" s="16">
        <f t="shared" si="784"/>
        <v>6.5714166565522313E-47</v>
      </c>
      <c r="BY3485" s="16">
        <f t="shared" si="785"/>
        <v>344.30000000000979</v>
      </c>
      <c r="BZ3485" s="16">
        <f t="shared" si="776"/>
        <v>1.908631035884997E-49</v>
      </c>
      <c r="CA3485" s="16">
        <f t="shared" si="783"/>
        <v>-999</v>
      </c>
      <c r="CE3485" s="16" t="e">
        <f t="shared" si="777"/>
        <v>#N/A</v>
      </c>
      <c r="CF3485" s="16">
        <f t="shared" si="778"/>
        <v>99</v>
      </c>
      <c r="CG3485" s="16">
        <f t="shared" si="779"/>
        <v>0</v>
      </c>
      <c r="CH3485" s="16">
        <f t="shared" si="786"/>
        <v>0</v>
      </c>
      <c r="CJ3485" s="16" t="e">
        <f t="shared" si="780"/>
        <v>#N/A</v>
      </c>
      <c r="CK3485" s="16" t="str">
        <f t="shared" si="781"/>
        <v/>
      </c>
    </row>
    <row r="3486" spans="73:89" ht="12" customHeight="1">
      <c r="BU3486" s="16">
        <f t="shared" si="782"/>
        <v>0</v>
      </c>
      <c r="BV3486" s="16">
        <f>IF($BY$12=1,NORMDIST(BY3486,$Y$6,$Y$8,TRUE),IF($BY$12=2,IF(BY3486&lt;=$BX$31,0,IF(BY3486&gt;=$BX$32,1,(BY3486-$BX$31)*$BX$33)),SUM($BU$42:BU3486)/$BV$40))</f>
        <v>1</v>
      </c>
      <c r="BW3486" s="16">
        <f t="shared" si="784"/>
        <v>6.1069797386373588E-47</v>
      </c>
      <c r="BY3486" s="16">
        <f t="shared" si="785"/>
        <v>344.40000000000981</v>
      </c>
      <c r="BZ3486" s="16">
        <f t="shared" si="776"/>
        <v>1.7732229206263602E-49</v>
      </c>
      <c r="CA3486" s="16">
        <f t="shared" si="783"/>
        <v>-999</v>
      </c>
      <c r="CE3486" s="16" t="e">
        <f t="shared" si="777"/>
        <v>#N/A</v>
      </c>
      <c r="CF3486" s="16">
        <f t="shared" si="778"/>
        <v>99</v>
      </c>
      <c r="CG3486" s="16">
        <f t="shared" si="779"/>
        <v>0</v>
      </c>
      <c r="CH3486" s="16">
        <f t="shared" si="786"/>
        <v>0</v>
      </c>
      <c r="CJ3486" s="16" t="e">
        <f t="shared" si="780"/>
        <v>#N/A</v>
      </c>
      <c r="CK3486" s="16" t="str">
        <f t="shared" si="781"/>
        <v/>
      </c>
    </row>
    <row r="3487" spans="73:89" ht="12" customHeight="1">
      <c r="BU3487" s="16">
        <f t="shared" si="782"/>
        <v>0</v>
      </c>
      <c r="BV3487" s="16">
        <f>IF($BY$12=1,NORMDIST(BY3487,$Y$6,$Y$8,TRUE),IF($BY$12=2,IF(BY3487&lt;=$BX$31,0,IF(BY3487&gt;=$BX$32,1,(BY3487-$BX$31)*$BX$33)),SUM($BU$42:BU3487)/$BV$40))</f>
        <v>1</v>
      </c>
      <c r="BW3487" s="16">
        <f t="shared" si="784"/>
        <v>5.6752246836026752E-47</v>
      </c>
      <c r="BY3487" s="16">
        <f t="shared" si="785"/>
        <v>344.50000000000983</v>
      </c>
      <c r="BZ3487" s="16">
        <f t="shared" si="776"/>
        <v>1.6473801694056642E-49</v>
      </c>
      <c r="CA3487" s="16">
        <f t="shared" si="783"/>
        <v>-999</v>
      </c>
      <c r="CE3487" s="16" t="e">
        <f t="shared" si="777"/>
        <v>#N/A</v>
      </c>
      <c r="CF3487" s="16">
        <f t="shared" si="778"/>
        <v>99</v>
      </c>
      <c r="CG3487" s="16">
        <f t="shared" si="779"/>
        <v>0</v>
      </c>
      <c r="CH3487" s="16">
        <f t="shared" si="786"/>
        <v>0</v>
      </c>
      <c r="CJ3487" s="16" t="e">
        <f t="shared" si="780"/>
        <v>#N/A</v>
      </c>
      <c r="CK3487" s="16" t="str">
        <f t="shared" si="781"/>
        <v/>
      </c>
    </row>
    <row r="3488" spans="73:89" ht="12" customHeight="1">
      <c r="BU3488" s="16">
        <f t="shared" si="782"/>
        <v>0</v>
      </c>
      <c r="BV3488" s="16">
        <f>IF($BY$12=1,NORMDIST(BY3488,$Y$6,$Y$8,TRUE),IF($BY$12=2,IF(BY3488&lt;=$BX$31,0,IF(BY3488&gt;=$BX$32,1,(BY3488-$BX$31)*$BX$33)),SUM($BU$42:BU3488)/$BV$40))</f>
        <v>1</v>
      </c>
      <c r="BW3488" s="16">
        <f t="shared" si="784"/>
        <v>5.2738618236270613E-47</v>
      </c>
      <c r="BY3488" s="16">
        <f t="shared" si="785"/>
        <v>344.60000000000986</v>
      </c>
      <c r="BZ3488" s="16">
        <f t="shared" si="776"/>
        <v>1.5304300126601596E-49</v>
      </c>
      <c r="CA3488" s="16">
        <f t="shared" si="783"/>
        <v>-999</v>
      </c>
      <c r="CE3488" s="16" t="e">
        <f t="shared" si="777"/>
        <v>#N/A</v>
      </c>
      <c r="CF3488" s="16">
        <f t="shared" si="778"/>
        <v>99</v>
      </c>
      <c r="CG3488" s="16">
        <f t="shared" si="779"/>
        <v>0</v>
      </c>
      <c r="CH3488" s="16">
        <f t="shared" si="786"/>
        <v>0</v>
      </c>
      <c r="CJ3488" s="16" t="e">
        <f t="shared" si="780"/>
        <v>#N/A</v>
      </c>
      <c r="CK3488" s="16" t="str">
        <f t="shared" si="781"/>
        <v/>
      </c>
    </row>
    <row r="3489" spans="73:89" ht="12" customHeight="1">
      <c r="BU3489" s="16">
        <f t="shared" si="782"/>
        <v>0</v>
      </c>
      <c r="BV3489" s="16">
        <f>IF($BY$12=1,NORMDIST(BY3489,$Y$6,$Y$8,TRUE),IF($BY$12=2,IF(BY3489&lt;=$BX$31,0,IF(BY3489&gt;=$BX$32,1,(BY3489-$BX$31)*$BX$33)),SUM($BU$42:BU3489)/$BV$40))</f>
        <v>1</v>
      </c>
      <c r="BW3489" s="16">
        <f t="shared" si="784"/>
        <v>4.9007611876833235E-47</v>
      </c>
      <c r="BY3489" s="16">
        <f t="shared" si="785"/>
        <v>344.70000000000988</v>
      </c>
      <c r="BZ3489" s="16">
        <f t="shared" si="776"/>
        <v>1.4217467907406972E-49</v>
      </c>
      <c r="CA3489" s="16">
        <f t="shared" si="783"/>
        <v>-999</v>
      </c>
      <c r="CE3489" s="16" t="e">
        <f t="shared" si="777"/>
        <v>#N/A</v>
      </c>
      <c r="CF3489" s="16">
        <f t="shared" si="778"/>
        <v>99</v>
      </c>
      <c r="CG3489" s="16">
        <f t="shared" si="779"/>
        <v>0</v>
      </c>
      <c r="CH3489" s="16">
        <f t="shared" si="786"/>
        <v>0</v>
      </c>
      <c r="CJ3489" s="16" t="e">
        <f t="shared" si="780"/>
        <v>#N/A</v>
      </c>
      <c r="CK3489" s="16" t="str">
        <f t="shared" si="781"/>
        <v/>
      </c>
    </row>
    <row r="3490" spans="73:89" ht="12" customHeight="1">
      <c r="BU3490" s="16">
        <f t="shared" si="782"/>
        <v>0</v>
      </c>
      <c r="BV3490" s="16">
        <f>IF($BY$12=1,NORMDIST(BY3490,$Y$6,$Y$8,TRUE),IF($BY$12=2,IF(BY3490&lt;=$BX$31,0,IF(BY3490&gt;=$BX$32,1,(BY3490-$BX$31)*$BX$33)),SUM($BU$42:BU3490)/$BV$40))</f>
        <v>1</v>
      </c>
      <c r="BW3490" s="16">
        <f t="shared" si="784"/>
        <v>4.553941413632293E-47</v>
      </c>
      <c r="BY3490" s="16">
        <f t="shared" si="785"/>
        <v>344.8000000000099</v>
      </c>
      <c r="BZ3490" s="16">
        <f t="shared" si="776"/>
        <v>1.3207486698469147E-49</v>
      </c>
      <c r="CA3490" s="16">
        <f t="shared" si="783"/>
        <v>-999</v>
      </c>
      <c r="CE3490" s="16" t="e">
        <f t="shared" si="777"/>
        <v>#N/A</v>
      </c>
      <c r="CF3490" s="16">
        <f t="shared" si="778"/>
        <v>99</v>
      </c>
      <c r="CG3490" s="16">
        <f t="shared" si="779"/>
        <v>0</v>
      </c>
      <c r="CH3490" s="16">
        <f t="shared" si="786"/>
        <v>0</v>
      </c>
      <c r="CJ3490" s="16" t="e">
        <f t="shared" si="780"/>
        <v>#N/A</v>
      </c>
      <c r="CK3490" s="16" t="str">
        <f t="shared" si="781"/>
        <v/>
      </c>
    </row>
    <row r="3491" spans="73:89" ht="12" customHeight="1">
      <c r="BU3491" s="16">
        <f t="shared" si="782"/>
        <v>0</v>
      </c>
      <c r="BV3491" s="16">
        <f>IF($BY$12=1,NORMDIST(BY3491,$Y$6,$Y$8,TRUE),IF($BY$12=2,IF(BY3491&lt;=$BX$31,0,IF(BY3491&gt;=$BX$32,1,(BY3491-$BX$31)*$BX$33)),SUM($BU$42:BU3491)/$BV$40))</f>
        <v>1</v>
      </c>
      <c r="BW3491" s="16">
        <f t="shared" si="784"/>
        <v>4.2315594266256316E-47</v>
      </c>
      <c r="BY3491" s="16">
        <f t="shared" si="785"/>
        <v>344.90000000000992</v>
      </c>
      <c r="BZ3491" s="16">
        <f t="shared" si="776"/>
        <v>1.2268945858583675E-49</v>
      </c>
      <c r="CA3491" s="16">
        <f t="shared" si="783"/>
        <v>-999</v>
      </c>
      <c r="CE3491" s="16" t="e">
        <f t="shared" si="777"/>
        <v>#N/A</v>
      </c>
      <c r="CF3491" s="16">
        <f t="shared" si="778"/>
        <v>99</v>
      </c>
      <c r="CG3491" s="16">
        <f t="shared" si="779"/>
        <v>0</v>
      </c>
      <c r="CH3491" s="16">
        <f t="shared" si="786"/>
        <v>0</v>
      </c>
      <c r="CJ3491" s="16" t="e">
        <f t="shared" si="780"/>
        <v>#N/A</v>
      </c>
      <c r="CK3491" s="16" t="str">
        <f t="shared" si="781"/>
        <v/>
      </c>
    </row>
    <row r="3492" spans="73:89" ht="12" customHeight="1">
      <c r="BU3492" s="16">
        <f t="shared" si="782"/>
        <v>0</v>
      </c>
      <c r="BV3492" s="16">
        <f>IF($BY$12=1,NORMDIST(BY3492,$Y$6,$Y$8,TRUE),IF($BY$12=2,IF(BY3492&lt;=$BX$31,0,IF(BY3492&gt;=$BX$32,1,(BY3492-$BX$31)*$BX$33)),SUM($BU$42:BU3492)/$BV$40))</f>
        <v>1</v>
      </c>
      <c r="BW3492" s="16">
        <f t="shared" si="784"/>
        <v>3.9319008311014237E-47</v>
      </c>
      <c r="BY3492" s="16">
        <f t="shared" si="785"/>
        <v>345.00000000000995</v>
      </c>
      <c r="BZ3492" s="16">
        <f t="shared" si="776"/>
        <v>1.1396814003192204E-49</v>
      </c>
      <c r="CA3492" s="16">
        <f t="shared" si="783"/>
        <v>-999</v>
      </c>
      <c r="CE3492" s="16" t="e">
        <f t="shared" si="777"/>
        <v>#N/A</v>
      </c>
      <c r="CF3492" s="16">
        <f t="shared" si="778"/>
        <v>99</v>
      </c>
      <c r="CG3492" s="16">
        <f t="shared" si="779"/>
        <v>0</v>
      </c>
      <c r="CH3492" s="16">
        <f t="shared" si="786"/>
        <v>0</v>
      </c>
      <c r="CJ3492" s="16" t="e">
        <f t="shared" si="780"/>
        <v>#N/A</v>
      </c>
      <c r="CK3492" s="16" t="str">
        <f t="shared" si="781"/>
        <v/>
      </c>
    </row>
    <row r="3493" spans="73:89" ht="12" customHeight="1">
      <c r="BU3493" s="16">
        <f t="shared" si="782"/>
        <v>0</v>
      </c>
      <c r="BV3493" s="16">
        <f>IF($BY$12=1,NORMDIST(BY3493,$Y$6,$Y$8,TRUE),IF($BY$12=2,IF(BY3493&lt;=$BX$31,0,IF(BY3493&gt;=$BX$32,1,(BY3493-$BX$31)*$BX$33)),SUM($BU$42:BU3493)/$BV$40))</f>
        <v>1</v>
      </c>
      <c r="BW3493" s="16">
        <f t="shared" si="784"/>
        <v>3.6533709672676957E-47</v>
      </c>
      <c r="BY3493" s="16">
        <f t="shared" si="785"/>
        <v>345.10000000000997</v>
      </c>
      <c r="BZ3493" s="16">
        <f t="shared" si="776"/>
        <v>1.0586412539170067E-49</v>
      </c>
      <c r="CA3493" s="16">
        <f t="shared" si="783"/>
        <v>-999</v>
      </c>
      <c r="CE3493" s="16" t="e">
        <f t="shared" si="777"/>
        <v>#N/A</v>
      </c>
      <c r="CF3493" s="16">
        <f t="shared" si="778"/>
        <v>99</v>
      </c>
      <c r="CG3493" s="16">
        <f t="shared" si="779"/>
        <v>0</v>
      </c>
      <c r="CH3493" s="16">
        <f t="shared" si="786"/>
        <v>0</v>
      </c>
      <c r="CJ3493" s="16" t="e">
        <f t="shared" si="780"/>
        <v>#N/A</v>
      </c>
      <c r="CK3493" s="16" t="str">
        <f t="shared" si="781"/>
        <v/>
      </c>
    </row>
    <row r="3494" spans="73:89" ht="12" customHeight="1">
      <c r="BU3494" s="16">
        <f t="shared" si="782"/>
        <v>0</v>
      </c>
      <c r="BV3494" s="16">
        <f>IF($BY$12=1,NORMDIST(BY3494,$Y$6,$Y$8,TRUE),IF($BY$12=2,IF(BY3494&lt;=$BX$31,0,IF(BY3494&gt;=$BX$32,1,(BY3494-$BX$31)*$BX$33)),SUM($BU$42:BU3494)/$BV$40))</f>
        <v>1</v>
      </c>
      <c r="BW3494" s="16">
        <f t="shared" si="784"/>
        <v>3.3944865863333701E-47</v>
      </c>
      <c r="BY3494" s="16">
        <f t="shared" si="785"/>
        <v>345.20000000000999</v>
      </c>
      <c r="BZ3494" s="16">
        <f t="shared" si="776"/>
        <v>9.8333910380453992E-50</v>
      </c>
      <c r="CA3494" s="16">
        <f t="shared" si="783"/>
        <v>-999</v>
      </c>
      <c r="CE3494" s="16" t="e">
        <f t="shared" si="777"/>
        <v>#N/A</v>
      </c>
      <c r="CF3494" s="16">
        <f t="shared" si="778"/>
        <v>99</v>
      </c>
      <c r="CG3494" s="16">
        <f t="shared" si="779"/>
        <v>0</v>
      </c>
      <c r="CH3494" s="16">
        <f t="shared" si="786"/>
        <v>0</v>
      </c>
      <c r="CJ3494" s="16" t="e">
        <f t="shared" si="780"/>
        <v>#N/A</v>
      </c>
      <c r="CK3494" s="16" t="str">
        <f t="shared" si="781"/>
        <v/>
      </c>
    </row>
    <row r="3495" spans="73:89" ht="12" customHeight="1">
      <c r="BU3495" s="16">
        <f t="shared" si="782"/>
        <v>0</v>
      </c>
      <c r="BV3495" s="16">
        <f>IF($BY$12=1,NORMDIST(BY3495,$Y$6,$Y$8,TRUE),IF($BY$12=2,IF(BY3495&lt;=$BX$31,0,IF(BY3495&gt;=$BX$32,1,(BY3495-$BX$31)*$BX$33)),SUM($BU$42:BU3495)/$BV$40))</f>
        <v>1</v>
      </c>
      <c r="BW3495" s="16">
        <f t="shared" si="784"/>
        <v>3.1538681018762719E-47</v>
      </c>
      <c r="BY3495" s="16">
        <f t="shared" si="785"/>
        <v>345.30000000001002</v>
      </c>
      <c r="BZ3495" s="16">
        <f t="shared" si="776"/>
        <v>9.1337043205218082E-50</v>
      </c>
      <c r="CA3495" s="16">
        <f t="shared" si="783"/>
        <v>-999</v>
      </c>
      <c r="CE3495" s="16" t="e">
        <f t="shared" si="777"/>
        <v>#N/A</v>
      </c>
      <c r="CF3495" s="16">
        <f t="shared" si="778"/>
        <v>99</v>
      </c>
      <c r="CG3495" s="16">
        <f t="shared" si="779"/>
        <v>0</v>
      </c>
      <c r="CH3495" s="16">
        <f t="shared" si="786"/>
        <v>0</v>
      </c>
      <c r="CJ3495" s="16" t="e">
        <f t="shared" si="780"/>
        <v>#N/A</v>
      </c>
      <c r="CK3495" s="16" t="str">
        <f t="shared" si="781"/>
        <v/>
      </c>
    </row>
    <row r="3496" spans="73:89" ht="12" customHeight="1">
      <c r="BU3496" s="16">
        <f t="shared" si="782"/>
        <v>0</v>
      </c>
      <c r="BV3496" s="16">
        <f>IF($BY$12=1,NORMDIST(BY3496,$Y$6,$Y$8,TRUE),IF($BY$12=2,IF(BY3496&lt;=$BX$31,0,IF(BY3496&gt;=$BX$32,1,(BY3496-$BX$31)*$BX$33)),SUM($BU$42:BU3496)/$BV$40))</f>
        <v>1</v>
      </c>
      <c r="BW3496" s="16">
        <f t="shared" si="784"/>
        <v>2.9302323776628922E-47</v>
      </c>
      <c r="BY3496" s="16">
        <f t="shared" si="785"/>
        <v>345.40000000001004</v>
      </c>
      <c r="BZ3496" s="16">
        <f t="shared" si="776"/>
        <v>8.4835911339398008E-50</v>
      </c>
      <c r="CA3496" s="16">
        <f t="shared" si="783"/>
        <v>-999</v>
      </c>
      <c r="CE3496" s="16" t="e">
        <f t="shared" si="777"/>
        <v>#N/A</v>
      </c>
      <c r="CF3496" s="16">
        <f t="shared" si="778"/>
        <v>99</v>
      </c>
      <c r="CG3496" s="16">
        <f t="shared" si="779"/>
        <v>0</v>
      </c>
      <c r="CH3496" s="16">
        <f t="shared" si="786"/>
        <v>0</v>
      </c>
      <c r="CJ3496" s="16" t="e">
        <f t="shared" si="780"/>
        <v>#N/A</v>
      </c>
      <c r="CK3496" s="16" t="str">
        <f t="shared" si="781"/>
        <v/>
      </c>
    </row>
    <row r="3497" spans="73:89" ht="12" customHeight="1">
      <c r="BU3497" s="16">
        <f t="shared" si="782"/>
        <v>0</v>
      </c>
      <c r="BV3497" s="16">
        <f>IF($BY$12=1,NORMDIST(BY3497,$Y$6,$Y$8,TRUE),IF($BY$12=2,IF(BY3497&lt;=$BX$31,0,IF(BY3497&gt;=$BX$32,1,(BY3497-$BX$31)*$BX$33)),SUM($BU$42:BU3497)/$BV$40))</f>
        <v>1</v>
      </c>
      <c r="BW3497" s="16">
        <f t="shared" si="784"/>
        <v>2.7223860149506926E-47</v>
      </c>
      <c r="BY3497" s="16">
        <f t="shared" si="785"/>
        <v>345.50000000001006</v>
      </c>
      <c r="BZ3497" s="16">
        <f t="shared" si="776"/>
        <v>7.8795543124475066E-50</v>
      </c>
      <c r="CA3497" s="16">
        <f t="shared" si="783"/>
        <v>-999</v>
      </c>
      <c r="CE3497" s="16" t="e">
        <f t="shared" si="777"/>
        <v>#N/A</v>
      </c>
      <c r="CF3497" s="16">
        <f t="shared" si="778"/>
        <v>99</v>
      </c>
      <c r="CG3497" s="16">
        <f t="shared" si="779"/>
        <v>0</v>
      </c>
      <c r="CH3497" s="16">
        <f t="shared" si="786"/>
        <v>0</v>
      </c>
      <c r="CJ3497" s="16" t="e">
        <f t="shared" si="780"/>
        <v>#N/A</v>
      </c>
      <c r="CK3497" s="16" t="str">
        <f t="shared" si="781"/>
        <v/>
      </c>
    </row>
    <row r="3498" spans="73:89" ht="12" customHeight="1">
      <c r="BU3498" s="16">
        <f t="shared" si="782"/>
        <v>0</v>
      </c>
      <c r="BV3498" s="16">
        <f>IF($BY$12=1,NORMDIST(BY3498,$Y$6,$Y$8,TRUE),IF($BY$12=2,IF(BY3498&lt;=$BX$31,0,IF(BY3498&gt;=$BX$32,1,(BY3498-$BX$31)*$BX$33)),SUM($BU$42:BU3498)/$BV$40))</f>
        <v>1</v>
      </c>
      <c r="BW3498" s="16">
        <f t="shared" si="784"/>
        <v>2.5292191048437477E-47</v>
      </c>
      <c r="BY3498" s="16">
        <f t="shared" si="785"/>
        <v>345.60000000001008</v>
      </c>
      <c r="BZ3498" s="16">
        <f t="shared" ref="BZ3498:BZ3561" si="787">IF($BZ$5,IF($BY$12=1,NORMDIST(BY3498,$Y$6,$Y$8,FALSE),IF($BY$12=2,IF(AND(BY3498&gt;=$BX$31,BY3498&lt;=$BX$32),$BX$33,0),IF(BY3498&lt;=$BX$13,0,NORMDIST(LN((BY3498-$BX$13)/$BX$12),0,$BW$8,FALSE)/((BY3498-$BX$13)/$BX$12)))),-999)</f>
        <v>7.3183423172560005E-50</v>
      </c>
      <c r="CA3498" s="16">
        <f t="shared" si="783"/>
        <v>-999</v>
      </c>
      <c r="CE3498" s="16" t="e">
        <f t="shared" ref="CE3498:CE3561" si="788">IF(AND($CB$7,$CD$2,$CD$1),26+$P$23/2-CC3498*$P$23,NA())</f>
        <v>#N/A</v>
      </c>
      <c r="CF3498" s="16">
        <f t="shared" ref="CF3498:CF3561" si="789">IF(ISNA(CJ3498),99,CJ3498)</f>
        <v>99</v>
      </c>
      <c r="CG3498" s="16">
        <f t="shared" ref="CG3498:CG3561" si="790">IF(ISNA(CJ3498),0,CJ3498)</f>
        <v>0</v>
      </c>
      <c r="CH3498" s="16">
        <f t="shared" si="786"/>
        <v>0</v>
      </c>
      <c r="CJ3498" s="16" t="e">
        <f t="shared" ref="CJ3498:CJ3561" si="791">IF(CH3498=1,CE3498,NA())</f>
        <v>#N/A</v>
      </c>
      <c r="CK3498" s="16" t="str">
        <f t="shared" ref="CK3498:CK3561" si="792">IF(CH3498=1,M3397,"")</f>
        <v/>
      </c>
    </row>
    <row r="3499" spans="73:89" ht="12" customHeight="1">
      <c r="BU3499" s="16">
        <f t="shared" ref="BU3499:BU3562" si="793">IF($BY$12&lt;3,0,IF(BY3499&lt;=$BX$13,0,NORMDIST(LN((BY3499-$BX$13)/$BX$12),0,$BW$8,FALSE)/((BY3499-$BX$13)/$BX$12)))</f>
        <v>0</v>
      </c>
      <c r="BV3499" s="16">
        <f>IF($BY$12=1,NORMDIST(BY3499,$Y$6,$Y$8,TRUE),IF($BY$12=2,IF(BY3499&lt;=$BX$31,0,IF(BY3499&gt;=$BX$32,1,(BY3499-$BX$31)*$BX$33)),SUM($BU$42:BU3499)/$BV$40))</f>
        <v>1</v>
      </c>
      <c r="BW3499" s="16">
        <f t="shared" si="784"/>
        <v>2.3496994136305731E-47</v>
      </c>
      <c r="BY3499" s="16">
        <f t="shared" si="785"/>
        <v>345.70000000001011</v>
      </c>
      <c r="BZ3499" s="16">
        <f t="shared" si="787"/>
        <v>6.7969320614130883E-50</v>
      </c>
      <c r="CA3499" s="16">
        <f t="shared" ref="CA3499:CA3562" si="794">IF(AND($CD$1,$CD$3),26-$CD$40*NORMDIST(BY3499,$Y$6,$Y$8/SQRT($T$18),FALSE),-999)</f>
        <v>-999</v>
      </c>
      <c r="CE3499" s="16" t="e">
        <f t="shared" si="788"/>
        <v>#N/A</v>
      </c>
      <c r="CF3499" s="16">
        <f t="shared" si="789"/>
        <v>99</v>
      </c>
      <c r="CG3499" s="16">
        <f t="shared" si="790"/>
        <v>0</v>
      </c>
      <c r="CH3499" s="16">
        <f t="shared" si="786"/>
        <v>0</v>
      </c>
      <c r="CJ3499" s="16" t="e">
        <f t="shared" si="791"/>
        <v>#N/A</v>
      </c>
      <c r="CK3499" s="16" t="str">
        <f t="shared" si="792"/>
        <v/>
      </c>
    </row>
    <row r="3500" spans="73:89" ht="12" customHeight="1">
      <c r="BU3500" s="16">
        <f t="shared" si="793"/>
        <v>0</v>
      </c>
      <c r="BV3500" s="16">
        <f>IF($BY$12=1,NORMDIST(BY3500,$Y$6,$Y$8,TRUE),IF($BY$12=2,IF(BY3500&lt;=$BX$31,0,IF(BY3500&gt;=$BX$32,1,(BY3500-$BX$31)*$BX$33)),SUM($BU$42:BU3500)/$BV$40))</f>
        <v>1</v>
      </c>
      <c r="BW3500" s="16">
        <f t="shared" si="784"/>
        <v>2.1828669712375417E-47</v>
      </c>
      <c r="BY3500" s="16">
        <f t="shared" si="785"/>
        <v>345.80000000001013</v>
      </c>
      <c r="BZ3500" s="16">
        <f t="shared" si="787"/>
        <v>6.3125129301257307E-50</v>
      </c>
      <c r="CA3500" s="16">
        <f t="shared" si="794"/>
        <v>-999</v>
      </c>
      <c r="CE3500" s="16" t="e">
        <f t="shared" si="788"/>
        <v>#N/A</v>
      </c>
      <c r="CF3500" s="16">
        <f t="shared" si="789"/>
        <v>99</v>
      </c>
      <c r="CG3500" s="16">
        <f t="shared" si="790"/>
        <v>0</v>
      </c>
      <c r="CH3500" s="16">
        <f t="shared" si="786"/>
        <v>0</v>
      </c>
      <c r="CJ3500" s="16" t="e">
        <f t="shared" si="791"/>
        <v>#N/A</v>
      </c>
      <c r="CK3500" s="16" t="str">
        <f t="shared" si="792"/>
        <v/>
      </c>
    </row>
    <row r="3501" spans="73:89" ht="12" customHeight="1">
      <c r="BU3501" s="16">
        <f t="shared" si="793"/>
        <v>0</v>
      </c>
      <c r="BV3501" s="16">
        <f>IF($BY$12=1,NORMDIST(BY3501,$Y$6,$Y$8,TRUE),IF($BY$12=2,IF(BY3501&lt;=$BX$31,0,IF(BY3501&gt;=$BX$32,1,(BY3501-$BX$31)*$BX$33)),SUM($BU$42:BU3501)/$BV$40))</f>
        <v>1</v>
      </c>
      <c r="BW3501" s="16">
        <f t="shared" si="784"/>
        <v>2.027829034979858E-47</v>
      </c>
      <c r="BY3501" s="16">
        <f t="shared" si="785"/>
        <v>345.90000000001015</v>
      </c>
      <c r="BZ3501" s="16">
        <f t="shared" si="787"/>
        <v>5.8624719137895298E-50</v>
      </c>
      <c r="CA3501" s="16">
        <f t="shared" si="794"/>
        <v>-999</v>
      </c>
      <c r="CE3501" s="16" t="e">
        <f t="shared" si="788"/>
        <v>#N/A</v>
      </c>
      <c r="CF3501" s="16">
        <f t="shared" si="789"/>
        <v>99</v>
      </c>
      <c r="CG3501" s="16">
        <f t="shared" si="790"/>
        <v>0</v>
      </c>
      <c r="CH3501" s="16">
        <f t="shared" si="786"/>
        <v>0</v>
      </c>
      <c r="CJ3501" s="16" t="e">
        <f t="shared" si="791"/>
        <v>#N/A</v>
      </c>
      <c r="CK3501" s="16" t="str">
        <f t="shared" si="792"/>
        <v/>
      </c>
    </row>
    <row r="3502" spans="73:89" ht="12" customHeight="1">
      <c r="BU3502" s="16">
        <f t="shared" si="793"/>
        <v>0</v>
      </c>
      <c r="BV3502" s="16">
        <f>IF($BY$12=1,NORMDIST(BY3502,$Y$6,$Y$8,TRUE),IF($BY$12=2,IF(BY3502&lt;=$BX$31,0,IF(BY3502&gt;=$BX$32,1,(BY3502-$BX$31)*$BX$33)),SUM($BU$42:BU3502)/$BV$40))</f>
        <v>1</v>
      </c>
      <c r="BW3502" s="16">
        <f t="shared" si="784"/>
        <v>1.8837554027028521E-47</v>
      </c>
      <c r="BY3502" s="16">
        <f t="shared" si="785"/>
        <v>346.00000000001017</v>
      </c>
      <c r="BZ3502" s="16">
        <f t="shared" si="787"/>
        <v>5.4443797765976782E-50</v>
      </c>
      <c r="CA3502" s="16">
        <f t="shared" si="794"/>
        <v>-999</v>
      </c>
      <c r="CE3502" s="16" t="e">
        <f t="shared" si="788"/>
        <v>#N/A</v>
      </c>
      <c r="CF3502" s="16">
        <f t="shared" si="789"/>
        <v>99</v>
      </c>
      <c r="CG3502" s="16">
        <f t="shared" si="790"/>
        <v>0</v>
      </c>
      <c r="CH3502" s="16">
        <f t="shared" si="786"/>
        <v>0</v>
      </c>
      <c r="CJ3502" s="16" t="e">
        <f t="shared" si="791"/>
        <v>#N/A</v>
      </c>
      <c r="CK3502" s="16" t="str">
        <f t="shared" si="792"/>
        <v/>
      </c>
    </row>
    <row r="3503" spans="73:89" ht="12" customHeight="1">
      <c r="BU3503" s="16">
        <f t="shared" si="793"/>
        <v>0</v>
      </c>
      <c r="BV3503" s="16">
        <f>IF($BY$12=1,NORMDIST(BY3503,$Y$6,$Y$8,TRUE),IF($BY$12=2,IF(BY3503&lt;=$BX$31,0,IF(BY3503&gt;=$BX$32,1,(BY3503-$BX$31)*$BX$33)),SUM($BU$42:BU3503)/$BV$40))</f>
        <v>1</v>
      </c>
      <c r="BW3503" s="16">
        <f t="shared" si="784"/>
        <v>1.7498740511872483E-47</v>
      </c>
      <c r="BY3503" s="16">
        <f t="shared" si="785"/>
        <v>346.1000000000102</v>
      </c>
      <c r="BZ3503" s="16">
        <f t="shared" si="787"/>
        <v>5.0559781889257347E-50</v>
      </c>
      <c r="CA3503" s="16">
        <f t="shared" si="794"/>
        <v>-999</v>
      </c>
      <c r="CE3503" s="16" t="e">
        <f t="shared" si="788"/>
        <v>#N/A</v>
      </c>
      <c r="CF3503" s="16">
        <f t="shared" si="789"/>
        <v>99</v>
      </c>
      <c r="CG3503" s="16">
        <f t="shared" si="790"/>
        <v>0</v>
      </c>
      <c r="CH3503" s="16">
        <f t="shared" si="786"/>
        <v>0</v>
      </c>
      <c r="CJ3503" s="16" t="e">
        <f t="shared" si="791"/>
        <v>#N/A</v>
      </c>
      <c r="CK3503" s="16" t="str">
        <f t="shared" si="792"/>
        <v/>
      </c>
    </row>
    <row r="3504" spans="73:89" ht="12" customHeight="1">
      <c r="BU3504" s="16">
        <f t="shared" si="793"/>
        <v>0</v>
      </c>
      <c r="BV3504" s="16">
        <f>IF($BY$12=1,NORMDIST(BY3504,$Y$6,$Y$8,TRUE),IF($BY$12=2,IF(BY3504&lt;=$BX$31,0,IF(BY3504&gt;=$BX$32,1,(BY3504-$BX$31)*$BX$33)),SUM($BU$42:BU3504)/$BV$40))</f>
        <v>1</v>
      </c>
      <c r="BW3504" s="16">
        <f t="shared" si="784"/>
        <v>1.6254670773495017E-47</v>
      </c>
      <c r="BY3504" s="16">
        <f t="shared" si="785"/>
        <v>346.20000000001022</v>
      </c>
      <c r="BZ3504" s="16">
        <f t="shared" si="787"/>
        <v>4.6951677566419807E-50</v>
      </c>
      <c r="CA3504" s="16">
        <f t="shared" si="794"/>
        <v>-999</v>
      </c>
      <c r="CE3504" s="16" t="e">
        <f t="shared" si="788"/>
        <v>#N/A</v>
      </c>
      <c r="CF3504" s="16">
        <f t="shared" si="789"/>
        <v>99</v>
      </c>
      <c r="CG3504" s="16">
        <f t="shared" si="790"/>
        <v>0</v>
      </c>
      <c r="CH3504" s="16">
        <f t="shared" si="786"/>
        <v>0</v>
      </c>
      <c r="CJ3504" s="16" t="e">
        <f t="shared" si="791"/>
        <v>#N/A</v>
      </c>
      <c r="CK3504" s="16" t="str">
        <f t="shared" si="792"/>
        <v/>
      </c>
    </row>
    <row r="3505" spans="73:89" ht="12" customHeight="1">
      <c r="BU3505" s="16">
        <f t="shared" si="793"/>
        <v>0</v>
      </c>
      <c r="BV3505" s="16">
        <f>IF($BY$12=1,NORMDIST(BY3505,$Y$6,$Y$8,TRUE),IF($BY$12=2,IF(BY3505&lt;=$BX$31,0,IF(BY3505&gt;=$BX$32,1,(BY3505-$BX$31)*$BX$33)),SUM($BU$42:BU3505)/$BV$40))</f>
        <v>1</v>
      </c>
      <c r="BW3505" s="16">
        <f t="shared" si="784"/>
        <v>1.5098669213131112E-47</v>
      </c>
      <c r="BY3505" s="16">
        <f t="shared" si="785"/>
        <v>346.30000000001024</v>
      </c>
      <c r="BZ3505" s="16">
        <f t="shared" si="787"/>
        <v>4.3599968851084794E-50</v>
      </c>
      <c r="CA3505" s="16">
        <f t="shared" si="794"/>
        <v>-999</v>
      </c>
      <c r="CE3505" s="16" t="e">
        <f t="shared" si="788"/>
        <v>#N/A</v>
      </c>
      <c r="CF3505" s="16">
        <f t="shared" si="789"/>
        <v>99</v>
      </c>
      <c r="CG3505" s="16">
        <f t="shared" si="790"/>
        <v>0</v>
      </c>
      <c r="CH3505" s="16">
        <f t="shared" si="786"/>
        <v>0</v>
      </c>
      <c r="CJ3505" s="16" t="e">
        <f t="shared" si="791"/>
        <v>#N/A</v>
      </c>
      <c r="CK3505" s="16" t="str">
        <f t="shared" si="792"/>
        <v/>
      </c>
    </row>
    <row r="3506" spans="73:89" ht="12" customHeight="1">
      <c r="BU3506" s="16">
        <f t="shared" si="793"/>
        <v>0</v>
      </c>
      <c r="BV3506" s="16">
        <f>IF($BY$12=1,NORMDIST(BY3506,$Y$6,$Y$8,TRUE),IF($BY$12=2,IF(BY3506&lt;=$BX$31,0,IF(BY3506&gt;=$BX$32,1,(BY3506-$BX$31)*$BX$33)),SUM($BU$42:BU3506)/$BV$40))</f>
        <v>1</v>
      </c>
      <c r="BW3506" s="16">
        <f t="shared" si="784"/>
        <v>1.4024528518665343E-47</v>
      </c>
      <c r="BY3506" s="16">
        <f t="shared" si="785"/>
        <v>346.40000000001027</v>
      </c>
      <c r="BZ3506" s="16">
        <f t="shared" si="787"/>
        <v>4.0486514199379116E-50</v>
      </c>
      <c r="CA3506" s="16">
        <f t="shared" si="794"/>
        <v>-999</v>
      </c>
      <c r="CE3506" s="16" t="e">
        <f t="shared" si="788"/>
        <v>#N/A</v>
      </c>
      <c r="CF3506" s="16">
        <f t="shared" si="789"/>
        <v>99</v>
      </c>
      <c r="CG3506" s="16">
        <f t="shared" si="790"/>
        <v>0</v>
      </c>
      <c r="CH3506" s="16">
        <f t="shared" si="786"/>
        <v>0</v>
      </c>
      <c r="CJ3506" s="16" t="e">
        <f t="shared" si="791"/>
        <v>#N/A</v>
      </c>
      <c r="CK3506" s="16" t="str">
        <f t="shared" si="792"/>
        <v/>
      </c>
    </row>
    <row r="3507" spans="73:89" ht="12" customHeight="1">
      <c r="BU3507" s="16">
        <f t="shared" si="793"/>
        <v>0</v>
      </c>
      <c r="BV3507" s="16">
        <f>IF($BY$12=1,NORMDIST(BY3507,$Y$6,$Y$8,TRUE),IF($BY$12=2,IF(BY3507&lt;=$BX$31,0,IF(BY3507&gt;=$BX$32,1,(BY3507-$BX$31)*$BX$33)),SUM($BU$42:BU3507)/$BV$40))</f>
        <v>1</v>
      </c>
      <c r="BW3507" s="16">
        <f t="shared" si="784"/>
        <v>1.3026476961631695E-47</v>
      </c>
      <c r="BY3507" s="16">
        <f t="shared" si="785"/>
        <v>346.50000000001029</v>
      </c>
      <c r="BZ3507" s="16">
        <f t="shared" si="787"/>
        <v>3.7594450105718066E-50</v>
      </c>
      <c r="CA3507" s="16">
        <f t="shared" si="794"/>
        <v>-999</v>
      </c>
      <c r="CE3507" s="16" t="e">
        <f t="shared" si="788"/>
        <v>#N/A</v>
      </c>
      <c r="CF3507" s="16">
        <f t="shared" si="789"/>
        <v>99</v>
      </c>
      <c r="CG3507" s="16">
        <f t="shared" si="790"/>
        <v>0</v>
      </c>
      <c r="CH3507" s="16">
        <f t="shared" si="786"/>
        <v>0</v>
      </c>
      <c r="CJ3507" s="16" t="e">
        <f t="shared" si="791"/>
        <v>#N/A</v>
      </c>
      <c r="CK3507" s="16" t="str">
        <f t="shared" si="792"/>
        <v/>
      </c>
    </row>
    <row r="3508" spans="73:89" ht="12" customHeight="1">
      <c r="BU3508" s="16">
        <f t="shared" si="793"/>
        <v>0</v>
      </c>
      <c r="BV3508" s="16">
        <f>IF($BY$12=1,NORMDIST(BY3508,$Y$6,$Y$8,TRUE),IF($BY$12=2,IF(BY3508&lt;=$BX$31,0,IF(BY3508&gt;=$BX$32,1,(BY3508-$BX$31)*$BX$33)),SUM($BU$42:BU3508)/$BV$40))</f>
        <v>1</v>
      </c>
      <c r="BW3508" s="16">
        <f t="shared" si="784"/>
        <v>1.2099147967683252E-47</v>
      </c>
      <c r="BY3508" s="16">
        <f t="shared" si="785"/>
        <v>346.60000000001031</v>
      </c>
      <c r="BZ3508" s="16">
        <f t="shared" si="787"/>
        <v>3.4908101464751563E-50</v>
      </c>
      <c r="CA3508" s="16">
        <f t="shared" si="794"/>
        <v>-999</v>
      </c>
      <c r="CE3508" s="16" t="e">
        <f t="shared" si="788"/>
        <v>#N/A</v>
      </c>
      <c r="CF3508" s="16">
        <f t="shared" si="789"/>
        <v>99</v>
      </c>
      <c r="CG3508" s="16">
        <f t="shared" si="790"/>
        <v>0</v>
      </c>
      <c r="CH3508" s="16">
        <f t="shared" si="786"/>
        <v>0</v>
      </c>
      <c r="CJ3508" s="16" t="e">
        <f t="shared" si="791"/>
        <v>#N/A</v>
      </c>
      <c r="CK3508" s="16" t="str">
        <f t="shared" si="792"/>
        <v/>
      </c>
    </row>
    <row r="3509" spans="73:89" ht="12" customHeight="1">
      <c r="BU3509" s="16">
        <f t="shared" si="793"/>
        <v>0</v>
      </c>
      <c r="BV3509" s="16">
        <f>IF($BY$12=1,NORMDIST(BY3509,$Y$6,$Y$8,TRUE),IF($BY$12=2,IF(BY3509&lt;=$BX$31,0,IF(BY3509&gt;=$BX$32,1,(BY3509-$BX$31)*$BX$33)),SUM($BU$42:BU3509)/$BV$40))</f>
        <v>1</v>
      </c>
      <c r="BW3509" s="16">
        <f t="shared" si="784"/>
        <v>1.1237551803209203E-47</v>
      </c>
      <c r="BY3509" s="16">
        <f t="shared" si="785"/>
        <v>346.70000000001033</v>
      </c>
      <c r="BZ3509" s="16">
        <f t="shared" si="787"/>
        <v>3.2412898192122489E-50</v>
      </c>
      <c r="CA3509" s="16">
        <f t="shared" si="794"/>
        <v>-999</v>
      </c>
      <c r="CE3509" s="16" t="e">
        <f t="shared" si="788"/>
        <v>#N/A</v>
      </c>
      <c r="CF3509" s="16">
        <f t="shared" si="789"/>
        <v>99</v>
      </c>
      <c r="CG3509" s="16">
        <f t="shared" si="790"/>
        <v>0</v>
      </c>
      <c r="CH3509" s="16">
        <f t="shared" si="786"/>
        <v>0</v>
      </c>
      <c r="CJ3509" s="16" t="e">
        <f t="shared" si="791"/>
        <v>#N/A</v>
      </c>
      <c r="CK3509" s="16" t="str">
        <f t="shared" si="792"/>
        <v/>
      </c>
    </row>
    <row r="3510" spans="73:89" ht="12" customHeight="1">
      <c r="BU3510" s="16">
        <f t="shared" si="793"/>
        <v>0</v>
      </c>
      <c r="BV3510" s="16">
        <f>IF($BY$12=1,NORMDIST(BY3510,$Y$6,$Y$8,TRUE),IF($BY$12=2,IF(BY3510&lt;=$BX$31,0,IF(BY3510&gt;=$BX$32,1,(BY3510-$BX$31)*$BX$33)),SUM($BU$42:BU3510)/$BV$40))</f>
        <v>1</v>
      </c>
      <c r="BW3510" s="16">
        <f t="shared" si="784"/>
        <v>1.0437049231615758E-47</v>
      </c>
      <c r="BY3510" s="16">
        <f t="shared" si="785"/>
        <v>346.80000000001036</v>
      </c>
      <c r="BZ3510" s="16">
        <f t="shared" si="787"/>
        <v>3.0095297669018011E-50</v>
      </c>
      <c r="CA3510" s="16">
        <f t="shared" si="794"/>
        <v>-999</v>
      </c>
      <c r="CE3510" s="16" t="e">
        <f t="shared" si="788"/>
        <v>#N/A</v>
      </c>
      <c r="CF3510" s="16">
        <f t="shared" si="789"/>
        <v>99</v>
      </c>
      <c r="CG3510" s="16">
        <f t="shared" si="790"/>
        <v>0</v>
      </c>
      <c r="CH3510" s="16">
        <f t="shared" si="786"/>
        <v>0</v>
      </c>
      <c r="CJ3510" s="16" t="e">
        <f t="shared" si="791"/>
        <v>#N/A</v>
      </c>
      <c r="CK3510" s="16" t="str">
        <f t="shared" si="792"/>
        <v/>
      </c>
    </row>
    <row r="3511" spans="73:89" ht="12" customHeight="1">
      <c r="BU3511" s="16">
        <f t="shared" si="793"/>
        <v>0</v>
      </c>
      <c r="BV3511" s="16">
        <f>IF($BY$12=1,NORMDIST(BY3511,$Y$6,$Y$8,TRUE),IF($BY$12=2,IF(BY3511&lt;=$BX$31,0,IF(BY3511&gt;=$BX$32,1,(BY3511-$BX$31)*$BX$33)),SUM($BU$42:BU3511)/$BV$40))</f>
        <v>1</v>
      </c>
      <c r="BW3511" s="16">
        <f t="shared" si="784"/>
        <v>9.6933270028747534E-48</v>
      </c>
      <c r="BY3511" s="16">
        <f t="shared" si="785"/>
        <v>346.90000000001038</v>
      </c>
      <c r="BZ3511" s="16">
        <f t="shared" si="787"/>
        <v>2.794271260557643E-50</v>
      </c>
      <c r="CA3511" s="16">
        <f t="shared" si="794"/>
        <v>-999</v>
      </c>
      <c r="CE3511" s="16" t="e">
        <f t="shared" si="788"/>
        <v>#N/A</v>
      </c>
      <c r="CF3511" s="16">
        <f t="shared" si="789"/>
        <v>99</v>
      </c>
      <c r="CG3511" s="16">
        <f t="shared" si="790"/>
        <v>0</v>
      </c>
      <c r="CH3511" s="16">
        <f t="shared" si="786"/>
        <v>0</v>
      </c>
      <c r="CJ3511" s="16" t="e">
        <f t="shared" si="791"/>
        <v>#N/A</v>
      </c>
      <c r="CK3511" s="16" t="str">
        <f t="shared" si="792"/>
        <v/>
      </c>
    </row>
    <row r="3512" spans="73:89" ht="12" customHeight="1">
      <c r="BU3512" s="16">
        <f t="shared" si="793"/>
        <v>0</v>
      </c>
      <c r="BV3512" s="16">
        <f>IF($BY$12=1,NORMDIST(BY3512,$Y$6,$Y$8,TRUE),IF($BY$12=2,IF(BY3512&lt;=$BX$31,0,IF(BY3512&gt;=$BX$32,1,(BY3512-$BX$31)*$BX$33)),SUM($BU$42:BU3512)/$BV$40))</f>
        <v>1</v>
      </c>
      <c r="BW3512" s="16">
        <f t="shared" si="784"/>
        <v>9.002375049352133E-48</v>
      </c>
      <c r="BY3512" s="16">
        <f t="shared" si="785"/>
        <v>347.0000000000104</v>
      </c>
      <c r="BZ3512" s="16">
        <f t="shared" si="787"/>
        <v>2.5943443946258971E-50</v>
      </c>
      <c r="CA3512" s="16">
        <f t="shared" si="794"/>
        <v>-999</v>
      </c>
      <c r="CE3512" s="16" t="e">
        <f t="shared" si="788"/>
        <v>#N/A</v>
      </c>
      <c r="CF3512" s="16">
        <f t="shared" si="789"/>
        <v>99</v>
      </c>
      <c r="CG3512" s="16">
        <f t="shared" si="790"/>
        <v>0</v>
      </c>
      <c r="CH3512" s="16">
        <f t="shared" si="786"/>
        <v>0</v>
      </c>
      <c r="CJ3512" s="16" t="e">
        <f t="shared" si="791"/>
        <v>#N/A</v>
      </c>
      <c r="CK3512" s="16" t="str">
        <f t="shared" si="792"/>
        <v/>
      </c>
    </row>
    <row r="3513" spans="73:89" ht="12" customHeight="1">
      <c r="BU3513" s="16">
        <f t="shared" si="793"/>
        <v>0</v>
      </c>
      <c r="BV3513" s="16">
        <f>IF($BY$12=1,NORMDIST(BY3513,$Y$6,$Y$8,TRUE),IF($BY$12=2,IF(BY3513&lt;=$BX$31,0,IF(BY3513&gt;=$BX$32,1,(BY3513-$BX$31)*$BX$33)),SUM($BU$42:BU3513)/$BV$40))</f>
        <v>1</v>
      </c>
      <c r="BW3513" s="16">
        <f t="shared" si="784"/>
        <v>8.3604652696770757E-48</v>
      </c>
      <c r="BY3513" s="16">
        <f t="shared" si="785"/>
        <v>347.10000000001043</v>
      </c>
      <c r="BZ3513" s="16">
        <f t="shared" si="787"/>
        <v>2.4086618466369416E-50</v>
      </c>
      <c r="CA3513" s="16">
        <f t="shared" si="794"/>
        <v>-999</v>
      </c>
      <c r="CE3513" s="16" t="e">
        <f t="shared" si="788"/>
        <v>#N/A</v>
      </c>
      <c r="CF3513" s="16">
        <f t="shared" si="789"/>
        <v>99</v>
      </c>
      <c r="CG3513" s="16">
        <f t="shared" si="790"/>
        <v>0</v>
      </c>
      <c r="CH3513" s="16">
        <f t="shared" si="786"/>
        <v>0</v>
      </c>
      <c r="CJ3513" s="16" t="e">
        <f t="shared" si="791"/>
        <v>#N/A</v>
      </c>
      <c r="CK3513" s="16" t="str">
        <f t="shared" si="792"/>
        <v/>
      </c>
    </row>
    <row r="3514" spans="73:89" ht="12" customHeight="1">
      <c r="BU3514" s="16">
        <f t="shared" si="793"/>
        <v>0</v>
      </c>
      <c r="BV3514" s="16">
        <f>IF($BY$12=1,NORMDIST(BY3514,$Y$6,$Y$8,TRUE),IF($BY$12=2,IF(BY3514&lt;=$BX$31,0,IF(BY3514&gt;=$BX$32,1,(BY3514-$BX$31)*$BX$33)),SUM($BU$42:BU3514)/$BV$40))</f>
        <v>1</v>
      </c>
      <c r="BW3514" s="16">
        <f t="shared" si="784"/>
        <v>7.7641317905715237E-48</v>
      </c>
      <c r="BY3514" s="16">
        <f t="shared" si="785"/>
        <v>347.20000000001045</v>
      </c>
      <c r="BZ3514" s="16">
        <f t="shared" si="787"/>
        <v>2.236213073321224E-50</v>
      </c>
      <c r="CA3514" s="16">
        <f t="shared" si="794"/>
        <v>-999</v>
      </c>
      <c r="CE3514" s="16" t="e">
        <f t="shared" si="788"/>
        <v>#N/A</v>
      </c>
      <c r="CF3514" s="16">
        <f t="shared" si="789"/>
        <v>99</v>
      </c>
      <c r="CG3514" s="16">
        <f t="shared" si="790"/>
        <v>0</v>
      </c>
      <c r="CH3514" s="16">
        <f t="shared" si="786"/>
        <v>0</v>
      </c>
      <c r="CJ3514" s="16" t="e">
        <f t="shared" si="791"/>
        <v>#N/A</v>
      </c>
      <c r="CK3514" s="16" t="str">
        <f t="shared" si="792"/>
        <v/>
      </c>
    </row>
    <row r="3515" spans="73:89" ht="12" customHeight="1">
      <c r="BU3515" s="16">
        <f t="shared" si="793"/>
        <v>0</v>
      </c>
      <c r="BV3515" s="16">
        <f>IF($BY$12=1,NORMDIST(BY3515,$Y$6,$Y$8,TRUE),IF($BY$12=2,IF(BY3515&lt;=$BX$31,0,IF(BY3515&gt;=$BX$32,1,(BY3515-$BX$31)*$BX$33)),SUM($BU$42:BU3515)/$BV$40))</f>
        <v>1</v>
      </c>
      <c r="BW3515" s="16">
        <f t="shared" ref="BW3515:BW3578" si="795">BY3515*BZ3515</f>
        <v>7.2101526041557899E-48</v>
      </c>
      <c r="BY3515" s="16">
        <f t="shared" ref="BY3515:BY3578" si="796">BY3514+$BZ$1</f>
        <v>347.30000000001047</v>
      </c>
      <c r="BZ3515" s="16">
        <f t="shared" si="787"/>
        <v>2.0760589128003377E-50</v>
      </c>
      <c r="CA3515" s="16">
        <f t="shared" si="794"/>
        <v>-999</v>
      </c>
      <c r="CE3515" s="16" t="e">
        <f t="shared" si="788"/>
        <v>#N/A</v>
      </c>
      <c r="CF3515" s="16">
        <f t="shared" si="789"/>
        <v>99</v>
      </c>
      <c r="CG3515" s="16">
        <f t="shared" si="790"/>
        <v>0</v>
      </c>
      <c r="CH3515" s="16">
        <f t="shared" si="786"/>
        <v>0</v>
      </c>
      <c r="CJ3515" s="16" t="e">
        <f t="shared" si="791"/>
        <v>#N/A</v>
      </c>
      <c r="CK3515" s="16" t="str">
        <f t="shared" si="792"/>
        <v/>
      </c>
    </row>
    <row r="3516" spans="73:89" ht="12" customHeight="1">
      <c r="BU3516" s="16">
        <f t="shared" si="793"/>
        <v>0</v>
      </c>
      <c r="BV3516" s="16">
        <f>IF($BY$12=1,NORMDIST(BY3516,$Y$6,$Y$8,TRUE),IF($BY$12=2,IF(BY3516&lt;=$BX$31,0,IF(BY3516&gt;=$BX$32,1,(BY3516-$BX$31)*$BX$33)),SUM($BU$42:BU3516)/$BV$40))</f>
        <v>1</v>
      </c>
      <c r="BW3516" s="16">
        <f t="shared" si="795"/>
        <v>6.6955324853143075E-48</v>
      </c>
      <c r="BY3516" s="16">
        <f t="shared" si="796"/>
        <v>347.40000000001049</v>
      </c>
      <c r="BZ3516" s="16">
        <f t="shared" si="787"/>
        <v>1.9273265645694029E-50</v>
      </c>
      <c r="CA3516" s="16">
        <f t="shared" si="794"/>
        <v>-999</v>
      </c>
      <c r="CE3516" s="16" t="e">
        <f t="shared" si="788"/>
        <v>#N/A</v>
      </c>
      <c r="CF3516" s="16">
        <f t="shared" si="789"/>
        <v>99</v>
      </c>
      <c r="CG3516" s="16">
        <f t="shared" si="790"/>
        <v>0</v>
      </c>
      <c r="CH3516" s="16">
        <f t="shared" si="786"/>
        <v>0</v>
      </c>
      <c r="CJ3516" s="16" t="e">
        <f t="shared" si="791"/>
        <v>#N/A</v>
      </c>
      <c r="CK3516" s="16" t="str">
        <f t="shared" si="792"/>
        <v/>
      </c>
    </row>
    <row r="3517" spans="73:89" ht="12" customHeight="1">
      <c r="BU3517" s="16">
        <f t="shared" si="793"/>
        <v>0</v>
      </c>
      <c r="BV3517" s="16">
        <f>IF($BY$12=1,NORMDIST(BY3517,$Y$6,$Y$8,TRUE),IF($BY$12=2,IF(BY3517&lt;=$BX$31,0,IF(BY3517&gt;=$BX$32,1,(BY3517-$BX$31)*$BX$33)),SUM($BU$42:BU3517)/$BV$40))</f>
        <v>1</v>
      </c>
      <c r="BW3517" s="16">
        <f t="shared" si="795"/>
        <v>6.2174871002998198E-48</v>
      </c>
      <c r="BY3517" s="16">
        <f t="shared" si="796"/>
        <v>347.50000000001052</v>
      </c>
      <c r="BZ3517" s="16">
        <f t="shared" si="787"/>
        <v>1.7892049209495344E-50</v>
      </c>
      <c r="CA3517" s="16">
        <f t="shared" si="794"/>
        <v>-999</v>
      </c>
      <c r="CE3517" s="16" t="e">
        <f t="shared" si="788"/>
        <v>#N/A</v>
      </c>
      <c r="CF3517" s="16">
        <f t="shared" si="789"/>
        <v>99</v>
      </c>
      <c r="CG3517" s="16">
        <f t="shared" si="790"/>
        <v>0</v>
      </c>
      <c r="CH3517" s="16">
        <f t="shared" si="786"/>
        <v>0</v>
      </c>
      <c r="CJ3517" s="16" t="e">
        <f t="shared" si="791"/>
        <v>#N/A</v>
      </c>
      <c r="CK3517" s="16" t="str">
        <f t="shared" si="792"/>
        <v/>
      </c>
    </row>
    <row r="3518" spans="73:89" ht="12" customHeight="1">
      <c r="BU3518" s="16">
        <f t="shared" si="793"/>
        <v>0</v>
      </c>
      <c r="BV3518" s="16">
        <f>IF($BY$12=1,NORMDIST(BY3518,$Y$6,$Y$8,TRUE),IF($BY$12=2,IF(BY3518&lt;=$BX$31,0,IF(BY3518&gt;=$BX$32,1,(BY3518-$BX$31)*$BX$33)),SUM($BU$42:BU3518)/$BV$40))</f>
        <v>1</v>
      </c>
      <c r="BW3518" s="16">
        <f t="shared" si="795"/>
        <v>5.7734282238853563E-48</v>
      </c>
      <c r="BY3518" s="16">
        <f t="shared" si="796"/>
        <v>347.60000000001054</v>
      </c>
      <c r="BZ3518" s="16">
        <f t="shared" si="787"/>
        <v>1.6609402255135735E-50</v>
      </c>
      <c r="CA3518" s="16">
        <f t="shared" si="794"/>
        <v>-999</v>
      </c>
      <c r="CE3518" s="16" t="e">
        <f t="shared" si="788"/>
        <v>#N/A</v>
      </c>
      <c r="CF3518" s="16">
        <f t="shared" si="789"/>
        <v>99</v>
      </c>
      <c r="CG3518" s="16">
        <f t="shared" si="790"/>
        <v>0</v>
      </c>
      <c r="CH3518" s="16">
        <f t="shared" si="786"/>
        <v>0</v>
      </c>
      <c r="CJ3518" s="16" t="e">
        <f t="shared" si="791"/>
        <v>#N/A</v>
      </c>
      <c r="CK3518" s="16" t="str">
        <f t="shared" si="792"/>
        <v/>
      </c>
    </row>
    <row r="3519" spans="73:89" ht="12" customHeight="1">
      <c r="BU3519" s="16">
        <f t="shared" si="793"/>
        <v>0</v>
      </c>
      <c r="BV3519" s="16">
        <f>IF($BY$12=1,NORMDIST(BY3519,$Y$6,$Y$8,TRUE),IF($BY$12=2,IF(BY3519&lt;=$BX$31,0,IF(BY3519&gt;=$BX$32,1,(BY3519-$BX$31)*$BX$33)),SUM($BU$42:BU3519)/$BV$40))</f>
        <v>1</v>
      </c>
      <c r="BW3519" s="16">
        <f t="shared" si="795"/>
        <v>5.3609499880867297E-48</v>
      </c>
      <c r="BY3519" s="16">
        <f t="shared" si="796"/>
        <v>347.70000000001056</v>
      </c>
      <c r="BZ3519" s="16">
        <f t="shared" si="787"/>
        <v>1.5418320356878248E-50</v>
      </c>
      <c r="CA3519" s="16">
        <f t="shared" si="794"/>
        <v>-999</v>
      </c>
      <c r="CE3519" s="16" t="e">
        <f t="shared" si="788"/>
        <v>#N/A</v>
      </c>
      <c r="CF3519" s="16">
        <f t="shared" si="789"/>
        <v>99</v>
      </c>
      <c r="CG3519" s="16">
        <f t="shared" si="790"/>
        <v>0</v>
      </c>
      <c r="CH3519" s="16">
        <f t="shared" si="786"/>
        <v>0</v>
      </c>
      <c r="CJ3519" s="16" t="e">
        <f t="shared" si="791"/>
        <v>#N/A</v>
      </c>
      <c r="CK3519" s="16" t="str">
        <f t="shared" si="792"/>
        <v/>
      </c>
    </row>
    <row r="3520" spans="73:89" ht="12" customHeight="1">
      <c r="BU3520" s="16">
        <f t="shared" si="793"/>
        <v>0</v>
      </c>
      <c r="BV3520" s="16">
        <f>IF($BY$12=1,NORMDIST(BY3520,$Y$6,$Y$8,TRUE),IF($BY$12=2,IF(BY3520&lt;=$BX$31,0,IF(BY3520&gt;=$BX$32,1,(BY3520-$BX$31)*$BX$33)),SUM($BU$42:BU3520)/$BV$40))</f>
        <v>1</v>
      </c>
      <c r="BW3520" s="16">
        <f t="shared" si="795"/>
        <v>4.9778160908013604E-48</v>
      </c>
      <c r="BY3520" s="16">
        <f t="shared" si="796"/>
        <v>347.80000000001058</v>
      </c>
      <c r="BZ3520" s="16">
        <f t="shared" si="787"/>
        <v>1.4312294683154712E-50</v>
      </c>
      <c r="CA3520" s="16">
        <f t="shared" si="794"/>
        <v>-999</v>
      </c>
      <c r="CE3520" s="16" t="e">
        <f t="shared" si="788"/>
        <v>#N/A</v>
      </c>
      <c r="CF3520" s="16">
        <f t="shared" si="789"/>
        <v>99</v>
      </c>
      <c r="CG3520" s="16">
        <f t="shared" si="790"/>
        <v>0</v>
      </c>
      <c r="CH3520" s="16">
        <f t="shared" si="786"/>
        <v>0</v>
      </c>
      <c r="CJ3520" s="16" t="e">
        <f t="shared" si="791"/>
        <v>#N/A</v>
      </c>
      <c r="CK3520" s="16" t="str">
        <f t="shared" si="792"/>
        <v/>
      </c>
    </row>
    <row r="3521" spans="73:89" ht="12" customHeight="1">
      <c r="BU3521" s="16">
        <f t="shared" si="793"/>
        <v>0</v>
      </c>
      <c r="BV3521" s="16">
        <f>IF($BY$12=1,NORMDIST(BY3521,$Y$6,$Y$8,TRUE),IF($BY$12=2,IF(BY3521&lt;=$BX$31,0,IF(BY3521&gt;=$BX$32,1,(BY3521-$BX$31)*$BX$33)),SUM($BU$42:BU3521)/$BV$40))</f>
        <v>1</v>
      </c>
      <c r="BW3521" s="16">
        <f t="shared" si="795"/>
        <v>4.6219478976587619E-48</v>
      </c>
      <c r="BY3521" s="16">
        <f t="shared" si="796"/>
        <v>347.90000000001061</v>
      </c>
      <c r="BZ3521" s="16">
        <f t="shared" si="787"/>
        <v>1.3285277084388104E-50</v>
      </c>
      <c r="CA3521" s="16">
        <f t="shared" si="794"/>
        <v>-999</v>
      </c>
      <c r="CE3521" s="16" t="e">
        <f t="shared" si="788"/>
        <v>#N/A</v>
      </c>
      <c r="CF3521" s="16">
        <f t="shared" si="789"/>
        <v>99</v>
      </c>
      <c r="CG3521" s="16">
        <f t="shared" si="790"/>
        <v>0</v>
      </c>
      <c r="CH3521" s="16">
        <f t="shared" si="786"/>
        <v>0</v>
      </c>
      <c r="CJ3521" s="16" t="e">
        <f t="shared" si="791"/>
        <v>#N/A</v>
      </c>
      <c r="CK3521" s="16" t="str">
        <f t="shared" si="792"/>
        <v/>
      </c>
    </row>
    <row r="3522" spans="73:89" ht="12" customHeight="1">
      <c r="BU3522" s="16">
        <f t="shared" si="793"/>
        <v>0</v>
      </c>
      <c r="BV3522" s="16">
        <f>IF($BY$12=1,NORMDIST(BY3522,$Y$6,$Y$8,TRUE),IF($BY$12=2,IF(BY3522&lt;=$BX$31,0,IF(BY3522&gt;=$BX$32,1,(BY3522-$BX$31)*$BX$33)),SUM($BU$42:BU3522)/$BV$40))</f>
        <v>1</v>
      </c>
      <c r="BW3522" s="16">
        <f t="shared" si="795"/>
        <v>4.2914133749983818E-48</v>
      </c>
      <c r="BY3522" s="16">
        <f t="shared" si="796"/>
        <v>348.00000000001063</v>
      </c>
      <c r="BZ3522" s="16">
        <f t="shared" si="787"/>
        <v>1.2331647629305319E-50</v>
      </c>
      <c r="CA3522" s="16">
        <f t="shared" si="794"/>
        <v>-999</v>
      </c>
      <c r="CE3522" s="16" t="e">
        <f t="shared" si="788"/>
        <v>#N/A</v>
      </c>
      <c r="CF3522" s="16">
        <f t="shared" si="789"/>
        <v>99</v>
      </c>
      <c r="CG3522" s="16">
        <f t="shared" si="790"/>
        <v>0</v>
      </c>
      <c r="CH3522" s="16">
        <f t="shared" si="786"/>
        <v>0</v>
      </c>
      <c r="CJ3522" s="16" t="e">
        <f t="shared" si="791"/>
        <v>#N/A</v>
      </c>
      <c r="CK3522" s="16" t="str">
        <f t="shared" si="792"/>
        <v/>
      </c>
    </row>
    <row r="3523" spans="73:89" ht="12" customHeight="1">
      <c r="BU3523" s="16">
        <f t="shared" si="793"/>
        <v>0</v>
      </c>
      <c r="BV3523" s="16">
        <f>IF($BY$12=1,NORMDIST(BY3523,$Y$6,$Y$8,TRUE),IF($BY$12=2,IF(BY3523&lt;=$BX$31,0,IF(BY3523&gt;=$BX$32,1,(BY3523-$BX$31)*$BX$33)),SUM($BU$42:BU3523)/$BV$40))</f>
        <v>1</v>
      </c>
      <c r="BW3523" s="16">
        <f t="shared" si="795"/>
        <v>3.9844167961785446E-48</v>
      </c>
      <c r="BY3523" s="16">
        <f t="shared" si="796"/>
        <v>348.10000000001065</v>
      </c>
      <c r="BZ3523" s="16">
        <f t="shared" si="787"/>
        <v>1.1446184418783173E-50</v>
      </c>
      <c r="CA3523" s="16">
        <f t="shared" si="794"/>
        <v>-999</v>
      </c>
      <c r="CE3523" s="16" t="e">
        <f t="shared" si="788"/>
        <v>#N/A</v>
      </c>
      <c r="CF3523" s="16">
        <f t="shared" si="789"/>
        <v>99</v>
      </c>
      <c r="CG3523" s="16">
        <f t="shared" si="790"/>
        <v>0</v>
      </c>
      <c r="CH3523" s="16">
        <f t="shared" ref="CH3523:CH3586" si="797">IF(CB3523="",0,1)</f>
        <v>0</v>
      </c>
      <c r="CJ3523" s="16" t="e">
        <f t="shared" si="791"/>
        <v>#N/A</v>
      </c>
      <c r="CK3523" s="16" t="str">
        <f t="shared" si="792"/>
        <v/>
      </c>
    </row>
    <row r="3524" spans="73:89" ht="12" customHeight="1">
      <c r="BU3524" s="16">
        <f t="shared" si="793"/>
        <v>0</v>
      </c>
      <c r="BV3524" s="16">
        <f>IF($BY$12=1,NORMDIST(BY3524,$Y$6,$Y$8,TRUE),IF($BY$12=2,IF(BY3524&lt;=$BX$31,0,IF(BY3524&gt;=$BX$32,1,(BY3524-$BX$31)*$BX$33)),SUM($BU$42:BU3524)/$BV$40))</f>
        <v>1</v>
      </c>
      <c r="BW3524" s="16">
        <f t="shared" si="795"/>
        <v>3.6992891674268265E-48</v>
      </c>
      <c r="BY3524" s="16">
        <f t="shared" si="796"/>
        <v>348.20000000001068</v>
      </c>
      <c r="BZ3524" s="16">
        <f t="shared" si="787"/>
        <v>1.0624035518169767E-50</v>
      </c>
      <c r="CA3524" s="16">
        <f t="shared" si="794"/>
        <v>-999</v>
      </c>
      <c r="CE3524" s="16" t="e">
        <f t="shared" si="788"/>
        <v>#N/A</v>
      </c>
      <c r="CF3524" s="16">
        <f t="shared" si="789"/>
        <v>99</v>
      </c>
      <c r="CG3524" s="16">
        <f t="shared" si="790"/>
        <v>0</v>
      </c>
      <c r="CH3524" s="16">
        <f t="shared" si="797"/>
        <v>0</v>
      </c>
      <c r="CJ3524" s="16" t="e">
        <f t="shared" si="791"/>
        <v>#N/A</v>
      </c>
      <c r="CK3524" s="16" t="str">
        <f t="shared" si="792"/>
        <v/>
      </c>
    </row>
    <row r="3525" spans="73:89" ht="12" customHeight="1">
      <c r="BU3525" s="16">
        <f t="shared" si="793"/>
        <v>0</v>
      </c>
      <c r="BV3525" s="16">
        <f>IF($BY$12=1,NORMDIST(BY3525,$Y$6,$Y$8,TRUE),IF($BY$12=2,IF(BY3525&lt;=$BX$31,0,IF(BY3525&gt;=$BX$32,1,(BY3525-$BX$31)*$BX$33)),SUM($BU$42:BU3525)/$BV$40))</f>
        <v>1</v>
      </c>
      <c r="BW3525" s="16">
        <f t="shared" si="795"/>
        <v>3.4344793231623785E-48</v>
      </c>
      <c r="BY3525" s="16">
        <f t="shared" si="796"/>
        <v>348.3000000000107</v>
      </c>
      <c r="BZ3525" s="16">
        <f t="shared" si="787"/>
        <v>9.8606928600696907E-51</v>
      </c>
      <c r="CA3525" s="16">
        <f t="shared" si="794"/>
        <v>-999</v>
      </c>
      <c r="CE3525" s="16" t="e">
        <f t="shared" si="788"/>
        <v>#N/A</v>
      </c>
      <c r="CF3525" s="16">
        <f t="shared" si="789"/>
        <v>99</v>
      </c>
      <c r="CG3525" s="16">
        <f t="shared" si="790"/>
        <v>0</v>
      </c>
      <c r="CH3525" s="16">
        <f t="shared" si="797"/>
        <v>0</v>
      </c>
      <c r="CJ3525" s="16" t="e">
        <f t="shared" si="791"/>
        <v>#N/A</v>
      </c>
      <c r="CK3525" s="16" t="str">
        <f t="shared" si="792"/>
        <v/>
      </c>
    </row>
    <row r="3526" spans="73:89" ht="12" customHeight="1">
      <c r="BU3526" s="16">
        <f t="shared" si="793"/>
        <v>0</v>
      </c>
      <c r="BV3526" s="16">
        <f>IF($BY$12=1,NORMDIST(BY3526,$Y$6,$Y$8,TRUE),IF($BY$12=2,IF(BY3526&lt;=$BX$31,0,IF(BY3526&gt;=$BX$32,1,(BY3526-$BX$31)*$BX$33)),SUM($BU$42:BU3526)/$BV$40))</f>
        <v>1</v>
      </c>
      <c r="BW3526" s="16">
        <f t="shared" si="795"/>
        <v>3.1885456441911287E-48</v>
      </c>
      <c r="BY3526" s="16">
        <f t="shared" si="796"/>
        <v>348.40000000001072</v>
      </c>
      <c r="BZ3526" s="16">
        <f t="shared" si="787"/>
        <v>9.1519679798824067E-51</v>
      </c>
      <c r="CA3526" s="16">
        <f t="shared" si="794"/>
        <v>-999</v>
      </c>
      <c r="CE3526" s="16" t="e">
        <f t="shared" si="788"/>
        <v>#N/A</v>
      </c>
      <c r="CF3526" s="16">
        <f t="shared" si="789"/>
        <v>99</v>
      </c>
      <c r="CG3526" s="16">
        <f t="shared" si="790"/>
        <v>0</v>
      </c>
      <c r="CH3526" s="16">
        <f t="shared" si="797"/>
        <v>0</v>
      </c>
      <c r="CJ3526" s="16" t="e">
        <f t="shared" si="791"/>
        <v>#N/A</v>
      </c>
      <c r="CK3526" s="16" t="str">
        <f t="shared" si="792"/>
        <v/>
      </c>
    </row>
    <row r="3527" spans="73:89" ht="12" customHeight="1">
      <c r="BU3527" s="16">
        <f t="shared" si="793"/>
        <v>0</v>
      </c>
      <c r="BV3527" s="16">
        <f>IF($BY$12=1,NORMDIST(BY3527,$Y$6,$Y$8,TRUE),IF($BY$12=2,IF(BY3527&lt;=$BX$31,0,IF(BY3527&gt;=$BX$32,1,(BY3527-$BX$31)*$BX$33)),SUM($BU$42:BU3527)/$BV$40))</f>
        <v>1</v>
      </c>
      <c r="BW3527" s="16">
        <f t="shared" si="795"/>
        <v>2.9601483554016311E-48</v>
      </c>
      <c r="BY3527" s="16">
        <f t="shared" si="796"/>
        <v>348.50000000001074</v>
      </c>
      <c r="BZ3527" s="16">
        <f t="shared" si="787"/>
        <v>8.4939694559585077E-51</v>
      </c>
      <c r="CA3527" s="16">
        <f t="shared" si="794"/>
        <v>-999</v>
      </c>
      <c r="CE3527" s="16" t="e">
        <f t="shared" si="788"/>
        <v>#N/A</v>
      </c>
      <c r="CF3527" s="16">
        <f t="shared" si="789"/>
        <v>99</v>
      </c>
      <c r="CG3527" s="16">
        <f t="shared" si="790"/>
        <v>0</v>
      </c>
      <c r="CH3527" s="16">
        <f t="shared" si="797"/>
        <v>0</v>
      </c>
      <c r="CJ3527" s="16" t="e">
        <f t="shared" si="791"/>
        <v>#N/A</v>
      </c>
      <c r="CK3527" s="16" t="str">
        <f t="shared" si="792"/>
        <v/>
      </c>
    </row>
    <row r="3528" spans="73:89" ht="12" customHeight="1">
      <c r="BU3528" s="16">
        <f t="shared" si="793"/>
        <v>0</v>
      </c>
      <c r="BV3528" s="16">
        <f>IF($BY$12=1,NORMDIST(BY3528,$Y$6,$Y$8,TRUE),IF($BY$12=2,IF(BY3528&lt;=$BX$31,0,IF(BY3528&gt;=$BX$32,1,(BY3528-$BX$31)*$BX$33)),SUM($BU$42:BU3528)/$BV$40))</f>
        <v>1</v>
      </c>
      <c r="BW3528" s="16">
        <f t="shared" si="795"/>
        <v>2.7480423625968878E-48</v>
      </c>
      <c r="BY3528" s="16">
        <f t="shared" si="796"/>
        <v>348.60000000001077</v>
      </c>
      <c r="BZ3528" s="16">
        <f t="shared" si="787"/>
        <v>7.8830819351600771E-51</v>
      </c>
      <c r="CA3528" s="16">
        <f t="shared" si="794"/>
        <v>-999</v>
      </c>
      <c r="CE3528" s="16" t="e">
        <f t="shared" si="788"/>
        <v>#N/A</v>
      </c>
      <c r="CF3528" s="16">
        <f t="shared" si="789"/>
        <v>99</v>
      </c>
      <c r="CG3528" s="16">
        <f t="shared" si="790"/>
        <v>0</v>
      </c>
      <c r="CH3528" s="16">
        <f t="shared" si="797"/>
        <v>0</v>
      </c>
      <c r="CJ3528" s="16" t="e">
        <f t="shared" si="791"/>
        <v>#N/A</v>
      </c>
      <c r="CK3528" s="16" t="str">
        <f t="shared" si="792"/>
        <v/>
      </c>
    </row>
    <row r="3529" spans="73:89" ht="12" customHeight="1">
      <c r="BU3529" s="16">
        <f t="shared" si="793"/>
        <v>0</v>
      </c>
      <c r="BV3529" s="16">
        <f>IF($BY$12=1,NORMDIST(BY3529,$Y$6,$Y$8,TRUE),IF($BY$12=2,IF(BY3529&lt;=$BX$31,0,IF(BY3529&gt;=$BX$32,1,(BY3529-$BX$31)*$BX$33)),SUM($BU$42:BU3529)/$BV$40))</f>
        <v>1</v>
      </c>
      <c r="BW3529" s="16">
        <f t="shared" si="795"/>
        <v>2.5510705908951945E-48</v>
      </c>
      <c r="BY3529" s="16">
        <f t="shared" si="796"/>
        <v>348.70000000001079</v>
      </c>
      <c r="BZ3529" s="16">
        <f t="shared" si="787"/>
        <v>7.3159466329082749E-51</v>
      </c>
      <c r="CA3529" s="16">
        <f t="shared" si="794"/>
        <v>-999</v>
      </c>
      <c r="CE3529" s="16" t="e">
        <f t="shared" si="788"/>
        <v>#N/A</v>
      </c>
      <c r="CF3529" s="16">
        <f t="shared" si="789"/>
        <v>99</v>
      </c>
      <c r="CG3529" s="16">
        <f t="shared" si="790"/>
        <v>0</v>
      </c>
      <c r="CH3529" s="16">
        <f t="shared" si="797"/>
        <v>0</v>
      </c>
      <c r="CJ3529" s="16" t="e">
        <f t="shared" si="791"/>
        <v>#N/A</v>
      </c>
      <c r="CK3529" s="16" t="str">
        <f t="shared" si="792"/>
        <v/>
      </c>
    </row>
    <row r="3530" spans="73:89" ht="12" customHeight="1">
      <c r="BU3530" s="16">
        <f t="shared" si="793"/>
        <v>0</v>
      </c>
      <c r="BV3530" s="16">
        <f>IF($BY$12=1,NORMDIST(BY3530,$Y$6,$Y$8,TRUE),IF($BY$12=2,IF(BY3530&lt;=$BX$31,0,IF(BY3530&gt;=$BX$32,1,(BY3530-$BX$31)*$BX$33)),SUM($BU$42:BU3530)/$BV$40))</f>
        <v>1</v>
      </c>
      <c r="BW3530" s="16">
        <f t="shared" si="795"/>
        <v>2.3681577897394254E-48</v>
      </c>
      <c r="BY3530" s="16">
        <f t="shared" si="796"/>
        <v>348.80000000001081</v>
      </c>
      <c r="BZ3530" s="16">
        <f t="shared" si="787"/>
        <v>6.7894432045279592E-51</v>
      </c>
      <c r="CA3530" s="16">
        <f t="shared" si="794"/>
        <v>-999</v>
      </c>
      <c r="CE3530" s="16" t="e">
        <f t="shared" si="788"/>
        <v>#N/A</v>
      </c>
      <c r="CF3530" s="16">
        <f t="shared" si="789"/>
        <v>99</v>
      </c>
      <c r="CG3530" s="16">
        <f t="shared" si="790"/>
        <v>0</v>
      </c>
      <c r="CH3530" s="16">
        <f t="shared" si="797"/>
        <v>0</v>
      </c>
      <c r="CJ3530" s="16" t="e">
        <f t="shared" si="791"/>
        <v>#N/A</v>
      </c>
      <c r="CK3530" s="16" t="str">
        <f t="shared" si="792"/>
        <v/>
      </c>
    </row>
    <row r="3531" spans="73:89" ht="12" customHeight="1">
      <c r="BU3531" s="16">
        <f t="shared" si="793"/>
        <v>0</v>
      </c>
      <c r="BV3531" s="16">
        <f>IF($BY$12=1,NORMDIST(BY3531,$Y$6,$Y$8,TRUE),IF($BY$12=2,IF(BY3531&lt;=$BX$31,0,IF(BY3531&gt;=$BX$32,1,(BY3531-$BX$31)*$BX$33)),SUM($BU$42:BU3531)/$BV$40))</f>
        <v>1</v>
      </c>
      <c r="BW3531" s="16">
        <f t="shared" si="795"/>
        <v>2.1983047719786498E-48</v>
      </c>
      <c r="BY3531" s="16">
        <f t="shared" si="796"/>
        <v>348.90000000001083</v>
      </c>
      <c r="BZ3531" s="16">
        <f t="shared" si="787"/>
        <v>6.3006728918847277E-51</v>
      </c>
      <c r="CA3531" s="16">
        <f t="shared" si="794"/>
        <v>-999</v>
      </c>
      <c r="CE3531" s="16" t="e">
        <f t="shared" si="788"/>
        <v>#N/A</v>
      </c>
      <c r="CF3531" s="16">
        <f t="shared" si="789"/>
        <v>99</v>
      </c>
      <c r="CG3531" s="16">
        <f t="shared" si="790"/>
        <v>0</v>
      </c>
      <c r="CH3531" s="16">
        <f t="shared" si="797"/>
        <v>0</v>
      </c>
      <c r="CJ3531" s="16" t="e">
        <f t="shared" si="791"/>
        <v>#N/A</v>
      </c>
      <c r="CK3531" s="16" t="str">
        <f t="shared" si="792"/>
        <v/>
      </c>
    </row>
    <row r="3532" spans="73:89" ht="12" customHeight="1">
      <c r="BU3532" s="16">
        <f t="shared" si="793"/>
        <v>0</v>
      </c>
      <c r="BV3532" s="16">
        <f>IF($BY$12=1,NORMDIST(BY3532,$Y$6,$Y$8,TRUE),IF($BY$12=2,IF(BY3532&lt;=$BX$31,0,IF(BY3532&gt;=$BX$32,1,(BY3532-$BX$31)*$BX$33)),SUM($BU$42:BU3532)/$BV$40))</f>
        <v>1</v>
      </c>
      <c r="BW3532" s="16">
        <f t="shared" si="795"/>
        <v>2.0405830567457203E-48</v>
      </c>
      <c r="BY3532" s="16">
        <f t="shared" si="796"/>
        <v>349.00000000001086</v>
      </c>
      <c r="BZ3532" s="16">
        <f t="shared" si="787"/>
        <v>5.8469428560047477E-51</v>
      </c>
      <c r="CA3532" s="16">
        <f t="shared" si="794"/>
        <v>-999</v>
      </c>
      <c r="CE3532" s="16" t="e">
        <f t="shared" si="788"/>
        <v>#N/A</v>
      </c>
      <c r="CF3532" s="16">
        <f t="shared" si="789"/>
        <v>99</v>
      </c>
      <c r="CG3532" s="16">
        <f t="shared" si="790"/>
        <v>0</v>
      </c>
      <c r="CH3532" s="16">
        <f t="shared" si="797"/>
        <v>0</v>
      </c>
      <c r="CJ3532" s="16" t="e">
        <f t="shared" si="791"/>
        <v>#N/A</v>
      </c>
      <c r="CK3532" s="16" t="str">
        <f t="shared" si="792"/>
        <v/>
      </c>
    </row>
    <row r="3533" spans="73:89" ht="12" customHeight="1">
      <c r="BU3533" s="16">
        <f t="shared" si="793"/>
        <v>0</v>
      </c>
      <c r="BV3533" s="16">
        <f>IF($BY$12=1,NORMDIST(BY3533,$Y$6,$Y$8,TRUE),IF($BY$12=2,IF(BY3533&lt;=$BX$31,0,IF(BY3533&gt;=$BX$32,1,(BY3533-$BX$31)*$BX$33)),SUM($BU$42:BU3533)/$BV$40))</f>
        <v>1</v>
      </c>
      <c r="BW3533" s="16">
        <f t="shared" si="795"/>
        <v>1.8941298879554082E-48</v>
      </c>
      <c r="BY3533" s="16">
        <f t="shared" si="796"/>
        <v>349.10000000001088</v>
      </c>
      <c r="BZ3533" s="16">
        <f t="shared" si="787"/>
        <v>5.4257516125905156E-51</v>
      </c>
      <c r="CA3533" s="16">
        <f t="shared" si="794"/>
        <v>-999</v>
      </c>
      <c r="CE3533" s="16" t="e">
        <f t="shared" si="788"/>
        <v>#N/A</v>
      </c>
      <c r="CF3533" s="16">
        <f t="shared" si="789"/>
        <v>99</v>
      </c>
      <c r="CG3533" s="16">
        <f t="shared" si="790"/>
        <v>0</v>
      </c>
      <c r="CH3533" s="16">
        <f t="shared" si="797"/>
        <v>0</v>
      </c>
      <c r="CJ3533" s="16" t="e">
        <f t="shared" si="791"/>
        <v>#N/A</v>
      </c>
      <c r="CK3533" s="16" t="str">
        <f t="shared" si="792"/>
        <v/>
      </c>
    </row>
    <row r="3534" spans="73:89" ht="12" customHeight="1">
      <c r="BU3534" s="16">
        <f t="shared" si="793"/>
        <v>0</v>
      </c>
      <c r="BV3534" s="16">
        <f>IF($BY$12=1,NORMDIST(BY3534,$Y$6,$Y$8,TRUE),IF($BY$12=2,IF(BY3534&lt;=$BX$31,0,IF(BY3534&gt;=$BX$32,1,(BY3534-$BX$31)*$BX$33)),SUM($BU$42:BU3534)/$BV$40))</f>
        <v>1</v>
      </c>
      <c r="BW3534" s="16">
        <f t="shared" si="795"/>
        <v>1.7581436022052339E-48</v>
      </c>
      <c r="BY3534" s="16">
        <f t="shared" si="796"/>
        <v>349.2000000000109</v>
      </c>
      <c r="BZ3534" s="16">
        <f t="shared" si="787"/>
        <v>5.034775493141979E-51</v>
      </c>
      <c r="CA3534" s="16">
        <f t="shared" si="794"/>
        <v>-999</v>
      </c>
      <c r="CE3534" s="16" t="e">
        <f t="shared" si="788"/>
        <v>#N/A</v>
      </c>
      <c r="CF3534" s="16">
        <f t="shared" si="789"/>
        <v>99</v>
      </c>
      <c r="CG3534" s="16">
        <f t="shared" si="790"/>
        <v>0</v>
      </c>
      <c r="CH3534" s="16">
        <f t="shared" si="797"/>
        <v>0</v>
      </c>
      <c r="CJ3534" s="16" t="e">
        <f t="shared" si="791"/>
        <v>#N/A</v>
      </c>
      <c r="CK3534" s="16" t="str">
        <f t="shared" si="792"/>
        <v/>
      </c>
    </row>
    <row r="3535" spans="73:89" ht="12" customHeight="1">
      <c r="BU3535" s="16">
        <f t="shared" si="793"/>
        <v>0</v>
      </c>
      <c r="BV3535" s="16">
        <f>IF($BY$12=1,NORMDIST(BY3535,$Y$6,$Y$8,TRUE),IF($BY$12=2,IF(BY3535&lt;=$BX$31,0,IF(BY3535&gt;=$BX$32,1,(BY3535-$BX$31)*$BX$33)),SUM($BU$42:BU3535)/$BV$40))</f>
        <v>1</v>
      </c>
      <c r="BW3535" s="16">
        <f t="shared" si="795"/>
        <v>1.6318793216822076E-48</v>
      </c>
      <c r="BY3535" s="16">
        <f t="shared" si="796"/>
        <v>349.30000000001093</v>
      </c>
      <c r="BZ3535" s="16">
        <f t="shared" si="787"/>
        <v>4.6718560597828699E-51</v>
      </c>
      <c r="CA3535" s="16">
        <f t="shared" si="794"/>
        <v>-999</v>
      </c>
      <c r="CE3535" s="16" t="e">
        <f t="shared" si="788"/>
        <v>#N/A</v>
      </c>
      <c r="CF3535" s="16">
        <f t="shared" si="789"/>
        <v>99</v>
      </c>
      <c r="CG3535" s="16">
        <f t="shared" si="790"/>
        <v>0</v>
      </c>
      <c r="CH3535" s="16">
        <f t="shared" si="797"/>
        <v>0</v>
      </c>
      <c r="CJ3535" s="16" t="e">
        <f t="shared" si="791"/>
        <v>#N/A</v>
      </c>
      <c r="CK3535" s="16" t="str">
        <f t="shared" si="792"/>
        <v/>
      </c>
    </row>
    <row r="3536" spans="73:89" ht="12" customHeight="1">
      <c r="BU3536" s="16">
        <f t="shared" si="793"/>
        <v>0</v>
      </c>
      <c r="BV3536" s="16">
        <f>IF($BY$12=1,NORMDIST(BY3536,$Y$6,$Y$8,TRUE),IF($BY$12=2,IF(BY3536&lt;=$BX$31,0,IF(BY3536&gt;=$BX$32,1,(BY3536-$BX$31)*$BX$33)),SUM($BU$42:BU3536)/$BV$40))</f>
        <v>1</v>
      </c>
      <c r="BW3536" s="16">
        <f t="shared" si="795"/>
        <v>1.5146449493750651E-48</v>
      </c>
      <c r="BY3536" s="16">
        <f t="shared" si="796"/>
        <v>349.40000000001095</v>
      </c>
      <c r="BZ3536" s="16">
        <f t="shared" si="787"/>
        <v>4.3349884069118993E-51</v>
      </c>
      <c r="CA3536" s="16">
        <f t="shared" si="794"/>
        <v>-999</v>
      </c>
      <c r="CE3536" s="16" t="e">
        <f t="shared" si="788"/>
        <v>#N/A</v>
      </c>
      <c r="CF3536" s="16">
        <f t="shared" si="789"/>
        <v>99</v>
      </c>
      <c r="CG3536" s="16">
        <f t="shared" si="790"/>
        <v>0</v>
      </c>
      <c r="CH3536" s="16">
        <f t="shared" si="797"/>
        <v>0</v>
      </c>
      <c r="CJ3536" s="16" t="e">
        <f t="shared" si="791"/>
        <v>#N/A</v>
      </c>
      <c r="CK3536" s="16" t="str">
        <f t="shared" si="792"/>
        <v/>
      </c>
    </row>
    <row r="3537" spans="73:89" ht="12" customHeight="1">
      <c r="BU3537" s="16">
        <f t="shared" si="793"/>
        <v>0</v>
      </c>
      <c r="BV3537" s="16">
        <f>IF($BY$12=1,NORMDIST(BY3537,$Y$6,$Y$8,TRUE),IF($BY$12=2,IF(BY3537&lt;=$BX$31,0,IF(BY3537&gt;=$BX$32,1,(BY3537-$BX$31)*$BX$33)),SUM($BU$42:BU3537)/$BV$40))</f>
        <v>1</v>
      </c>
      <c r="BW3537" s="16">
        <f t="shared" si="795"/>
        <v>1.4057974454690692E-48</v>
      </c>
      <c r="BY3537" s="16">
        <f t="shared" si="796"/>
        <v>349.50000000001097</v>
      </c>
      <c r="BZ3537" s="16">
        <f t="shared" si="787"/>
        <v>4.022310287465022E-51</v>
      </c>
      <c r="CA3537" s="16">
        <f t="shared" si="794"/>
        <v>-999</v>
      </c>
      <c r="CE3537" s="16" t="e">
        <f t="shared" si="788"/>
        <v>#N/A</v>
      </c>
      <c r="CF3537" s="16">
        <f t="shared" si="789"/>
        <v>99</v>
      </c>
      <c r="CG3537" s="16">
        <f t="shared" si="790"/>
        <v>0</v>
      </c>
      <c r="CH3537" s="16">
        <f t="shared" si="797"/>
        <v>0</v>
      </c>
      <c r="CJ3537" s="16" t="e">
        <f t="shared" si="791"/>
        <v>#N/A</v>
      </c>
      <c r="CK3537" s="16" t="str">
        <f t="shared" si="792"/>
        <v/>
      </c>
    </row>
    <row r="3538" spans="73:89" ht="12" customHeight="1">
      <c r="BU3538" s="16">
        <f t="shared" si="793"/>
        <v>0</v>
      </c>
      <c r="BV3538" s="16">
        <f>IF($BY$12=1,NORMDIST(BY3538,$Y$6,$Y$8,TRUE),IF($BY$12=2,IF(BY3538&lt;=$BX$31,0,IF(BY3538&gt;=$BX$32,1,(BY3538-$BX$31)*$BX$33)),SUM($BU$42:BU3538)/$BV$40))</f>
        <v>1</v>
      </c>
      <c r="BW3538" s="16">
        <f t="shared" si="795"/>
        <v>1.3047393652705122E-48</v>
      </c>
      <c r="BY3538" s="16">
        <f t="shared" si="796"/>
        <v>349.60000000001099</v>
      </c>
      <c r="BZ3538" s="16">
        <f t="shared" si="787"/>
        <v>3.7320920059224005E-51</v>
      </c>
      <c r="CA3538" s="16">
        <f t="shared" si="794"/>
        <v>-999</v>
      </c>
      <c r="CE3538" s="16" t="e">
        <f t="shared" si="788"/>
        <v>#N/A</v>
      </c>
      <c r="CF3538" s="16">
        <f t="shared" si="789"/>
        <v>99</v>
      </c>
      <c r="CG3538" s="16">
        <f t="shared" si="790"/>
        <v>0</v>
      </c>
      <c r="CH3538" s="16">
        <f t="shared" si="797"/>
        <v>0</v>
      </c>
      <c r="CJ3538" s="16" t="e">
        <f t="shared" si="791"/>
        <v>#N/A</v>
      </c>
      <c r="CK3538" s="16" t="str">
        <f t="shared" si="792"/>
        <v/>
      </c>
    </row>
    <row r="3539" spans="73:89" ht="12" customHeight="1">
      <c r="BU3539" s="16">
        <f t="shared" si="793"/>
        <v>0</v>
      </c>
      <c r="BV3539" s="16">
        <f>IF($BY$12=1,NORMDIST(BY3539,$Y$6,$Y$8,TRUE),IF($BY$12=2,IF(BY3539&lt;=$BX$31,0,IF(BY3539&gt;=$BX$32,1,(BY3539-$BX$31)*$BX$33)),SUM($BU$42:BU3539)/$BV$40))</f>
        <v>1</v>
      </c>
      <c r="BW3539" s="16">
        <f t="shared" si="795"/>
        <v>1.2109156403741573E-48</v>
      </c>
      <c r="BY3539" s="16">
        <f t="shared" si="796"/>
        <v>349.70000000001102</v>
      </c>
      <c r="BZ3539" s="16">
        <f t="shared" si="787"/>
        <v>3.4627270242325397E-51</v>
      </c>
      <c r="CA3539" s="16">
        <f t="shared" si="794"/>
        <v>-999</v>
      </c>
      <c r="CE3539" s="16" t="e">
        <f t="shared" si="788"/>
        <v>#N/A</v>
      </c>
      <c r="CF3539" s="16">
        <f t="shared" si="789"/>
        <v>99</v>
      </c>
      <c r="CG3539" s="16">
        <f t="shared" si="790"/>
        <v>0</v>
      </c>
      <c r="CH3539" s="16">
        <f t="shared" si="797"/>
        <v>0</v>
      </c>
      <c r="CJ3539" s="16" t="e">
        <f t="shared" si="791"/>
        <v>#N/A</v>
      </c>
      <c r="CK3539" s="16" t="str">
        <f t="shared" si="792"/>
        <v/>
      </c>
    </row>
    <row r="3540" spans="73:89" ht="12" customHeight="1">
      <c r="BU3540" s="16">
        <f t="shared" si="793"/>
        <v>0</v>
      </c>
      <c r="BV3540" s="16">
        <f>IF($BY$12=1,NORMDIST(BY3540,$Y$6,$Y$8,TRUE),IF($BY$12=2,IF(BY3540&lt;=$BX$31,0,IF(BY3540&gt;=$BX$32,1,(BY3540-$BX$31)*$BX$33)),SUM($BU$42:BU3540)/$BV$40))</f>
        <v>1</v>
      </c>
      <c r="BW3540" s="16">
        <f t="shared" si="795"/>
        <v>1.1238105860613704E-48</v>
      </c>
      <c r="BY3540" s="16">
        <f t="shared" si="796"/>
        <v>349.80000000001104</v>
      </c>
      <c r="BZ3540" s="16">
        <f t="shared" si="787"/>
        <v>3.2127232305927245E-51</v>
      </c>
      <c r="CA3540" s="16">
        <f t="shared" si="794"/>
        <v>-999</v>
      </c>
      <c r="CE3540" s="16" t="e">
        <f t="shared" si="788"/>
        <v>#N/A</v>
      </c>
      <c r="CF3540" s="16">
        <f t="shared" si="789"/>
        <v>99</v>
      </c>
      <c r="CG3540" s="16">
        <f t="shared" si="790"/>
        <v>0</v>
      </c>
      <c r="CH3540" s="16">
        <f t="shared" si="797"/>
        <v>0</v>
      </c>
      <c r="CJ3540" s="16" t="e">
        <f t="shared" si="791"/>
        <v>#N/A</v>
      </c>
      <c r="CK3540" s="16" t="str">
        <f t="shared" si="792"/>
        <v/>
      </c>
    </row>
    <row r="3541" spans="73:89" ht="12" customHeight="1">
      <c r="BU3541" s="16">
        <f t="shared" si="793"/>
        <v>0</v>
      </c>
      <c r="BV3541" s="16">
        <f>IF($BY$12=1,NORMDIST(BY3541,$Y$6,$Y$8,TRUE),IF($BY$12=2,IF(BY3541&lt;=$BX$31,0,IF(BY3541&gt;=$BX$32,1,(BY3541-$BX$31)*$BX$33)),SUM($BU$42:BU3541)/$BV$40))</f>
        <v>1</v>
      </c>
      <c r="BW3541" s="16">
        <f t="shared" si="795"/>
        <v>1.0429451190991931E-48</v>
      </c>
      <c r="BY3541" s="16">
        <f t="shared" si="796"/>
        <v>349.90000000001106</v>
      </c>
      <c r="BZ3541" s="16">
        <f t="shared" si="787"/>
        <v>2.9806948245188914E-51</v>
      </c>
      <c r="CA3541" s="16">
        <f t="shared" si="794"/>
        <v>-999</v>
      </c>
      <c r="CE3541" s="16" t="e">
        <f t="shared" si="788"/>
        <v>#N/A</v>
      </c>
      <c r="CF3541" s="16">
        <f t="shared" si="789"/>
        <v>99</v>
      </c>
      <c r="CG3541" s="16">
        <f t="shared" si="790"/>
        <v>0</v>
      </c>
      <c r="CH3541" s="16">
        <f t="shared" si="797"/>
        <v>0</v>
      </c>
      <c r="CJ3541" s="16" t="e">
        <f t="shared" si="791"/>
        <v>#N/A</v>
      </c>
      <c r="CK3541" s="16" t="str">
        <f t="shared" si="792"/>
        <v/>
      </c>
    </row>
    <row r="3542" spans="73:89" ht="12" customHeight="1">
      <c r="BU3542" s="16">
        <f t="shared" si="793"/>
        <v>0</v>
      </c>
      <c r="BV3542" s="16">
        <f>IF($BY$12=1,NORMDIST(BY3542,$Y$6,$Y$8,TRUE),IF($BY$12=2,IF(BY3542&lt;=$BX$31,0,IF(BY3542&gt;=$BX$32,1,(BY3542-$BX$31)*$BX$33)),SUM($BU$42:BU3542)/$BV$40))</f>
        <v>1</v>
      </c>
      <c r="BW3542" s="16">
        <f t="shared" si="795"/>
        <v>9.6787417121475721E-49</v>
      </c>
      <c r="BY3542" s="16">
        <f t="shared" si="796"/>
        <v>350.00000000001108</v>
      </c>
      <c r="BZ3542" s="16">
        <f t="shared" si="787"/>
        <v>2.7653547748992186E-51</v>
      </c>
      <c r="CA3542" s="16">
        <f t="shared" si="794"/>
        <v>-999</v>
      </c>
      <c r="CE3542" s="16" t="e">
        <f t="shared" si="788"/>
        <v>#N/A</v>
      </c>
      <c r="CF3542" s="16">
        <f t="shared" si="789"/>
        <v>99</v>
      </c>
      <c r="CG3542" s="16">
        <f t="shared" si="790"/>
        <v>0</v>
      </c>
      <c r="CH3542" s="16">
        <f t="shared" si="797"/>
        <v>0</v>
      </c>
      <c r="CJ3542" s="16" t="e">
        <f t="shared" si="791"/>
        <v>#N/A</v>
      </c>
      <c r="CK3542" s="16" t="str">
        <f t="shared" si="792"/>
        <v/>
      </c>
    </row>
    <row r="3543" spans="73:89" ht="12" customHeight="1">
      <c r="BU3543" s="16">
        <f t="shared" si="793"/>
        <v>0</v>
      </c>
      <c r="BV3543" s="16">
        <f>IF($BY$12=1,NORMDIST(BY3543,$Y$6,$Y$8,TRUE),IF($BY$12=2,IF(BY3543&lt;=$BX$31,0,IF(BY3543&gt;=$BX$32,1,(BY3543-$BX$31)*$BX$33)),SUM($BU$42:BU3543)/$BV$40))</f>
        <v>1</v>
      </c>
      <c r="BW3543" s="16">
        <f t="shared" si="795"/>
        <v>8.9818428454437746E-49</v>
      </c>
      <c r="BY3543" s="16">
        <f t="shared" si="796"/>
        <v>350.10000000001111</v>
      </c>
      <c r="BZ3543" s="16">
        <f t="shared" si="787"/>
        <v>2.5655078107522108E-51</v>
      </c>
      <c r="CA3543" s="16">
        <f t="shared" si="794"/>
        <v>-999</v>
      </c>
      <c r="CE3543" s="16" t="e">
        <f t="shared" si="788"/>
        <v>#N/A</v>
      </c>
      <c r="CF3543" s="16">
        <f t="shared" si="789"/>
        <v>99</v>
      </c>
      <c r="CG3543" s="16">
        <f t="shared" si="790"/>
        <v>0</v>
      </c>
      <c r="CH3543" s="16">
        <f t="shared" si="797"/>
        <v>0</v>
      </c>
      <c r="CJ3543" s="16" t="e">
        <f t="shared" si="791"/>
        <v>#N/A</v>
      </c>
      <c r="CK3543" s="16" t="str">
        <f t="shared" si="792"/>
        <v/>
      </c>
    </row>
    <row r="3544" spans="73:89" ht="12" customHeight="1">
      <c r="BU3544" s="16">
        <f t="shared" si="793"/>
        <v>0</v>
      </c>
      <c r="BV3544" s="16">
        <f>IF($BY$12=1,NORMDIST(BY3544,$Y$6,$Y$8,TRUE),IF($BY$12=2,IF(BY3544&lt;=$BX$31,0,IF(BY3544&gt;=$BX$32,1,(BY3544-$BX$31)*$BX$33)),SUM($BU$42:BU3544)/$BV$40))</f>
        <v>1</v>
      </c>
      <c r="BW3544" s="16">
        <f t="shared" si="795"/>
        <v>8.3349137631207501E-49</v>
      </c>
      <c r="BY3544" s="16">
        <f t="shared" si="796"/>
        <v>350.20000000001113</v>
      </c>
      <c r="BZ3544" s="16">
        <f t="shared" si="787"/>
        <v>2.3800439072302925E-51</v>
      </c>
      <c r="CA3544" s="16">
        <f t="shared" si="794"/>
        <v>-999</v>
      </c>
      <c r="CE3544" s="16" t="e">
        <f t="shared" si="788"/>
        <v>#N/A</v>
      </c>
      <c r="CF3544" s="16">
        <f t="shared" si="789"/>
        <v>99</v>
      </c>
      <c r="CG3544" s="16">
        <f t="shared" si="790"/>
        <v>0</v>
      </c>
      <c r="CH3544" s="16">
        <f t="shared" si="797"/>
        <v>0</v>
      </c>
      <c r="CJ3544" s="16" t="e">
        <f t="shared" si="791"/>
        <v>#N/A</v>
      </c>
      <c r="CK3544" s="16" t="str">
        <f t="shared" si="792"/>
        <v/>
      </c>
    </row>
    <row r="3545" spans="73:89" ht="12" customHeight="1">
      <c r="BU3545" s="16">
        <f t="shared" si="793"/>
        <v>0</v>
      </c>
      <c r="BV3545" s="16">
        <f>IF($BY$12=1,NORMDIST(BY3545,$Y$6,$Y$8,TRUE),IF($BY$12=2,IF(BY3545&lt;=$BX$31,0,IF(BY3545&gt;=$BX$32,1,(BY3545-$BX$31)*$BX$33)),SUM($BU$42:BU3545)/$BV$40))</f>
        <v>1</v>
      </c>
      <c r="BW3545" s="16">
        <f t="shared" si="795"/>
        <v>7.7343866088078833E-49</v>
      </c>
      <c r="BY3545" s="16">
        <f t="shared" si="796"/>
        <v>350.30000000001115</v>
      </c>
      <c r="BZ3545" s="16">
        <f t="shared" si="787"/>
        <v>2.2079322320318689E-51</v>
      </c>
      <c r="CA3545" s="16">
        <f t="shared" si="794"/>
        <v>-999</v>
      </c>
      <c r="CE3545" s="16" t="e">
        <f t="shared" si="788"/>
        <v>#N/A</v>
      </c>
      <c r="CF3545" s="16">
        <f t="shared" si="789"/>
        <v>99</v>
      </c>
      <c r="CG3545" s="16">
        <f t="shared" si="790"/>
        <v>0</v>
      </c>
      <c r="CH3545" s="16">
        <f t="shared" si="797"/>
        <v>0</v>
      </c>
      <c r="CJ3545" s="16" t="e">
        <f t="shared" si="791"/>
        <v>#N/A</v>
      </c>
      <c r="CK3545" s="16" t="str">
        <f t="shared" si="792"/>
        <v/>
      </c>
    </row>
    <row r="3546" spans="73:89" ht="12" customHeight="1">
      <c r="BU3546" s="16">
        <f t="shared" si="793"/>
        <v>0</v>
      </c>
      <c r="BV3546" s="16">
        <f>IF($BY$12=1,NORMDIST(BY3546,$Y$6,$Y$8,TRUE),IF($BY$12=2,IF(BY3546&lt;=$BX$31,0,IF(BY3546&gt;=$BX$32,1,(BY3546-$BX$31)*$BX$33)),SUM($BU$42:BU3546)/$BV$40))</f>
        <v>1</v>
      </c>
      <c r="BW3546" s="16">
        <f t="shared" si="795"/>
        <v>7.176947181461325E-49</v>
      </c>
      <c r="BY3546" s="16">
        <f t="shared" si="796"/>
        <v>350.40000000001118</v>
      </c>
      <c r="BZ3546" s="16">
        <f t="shared" si="787"/>
        <v>2.0482155198233721E-51</v>
      </c>
      <c r="CA3546" s="16">
        <f t="shared" si="794"/>
        <v>-999</v>
      </c>
      <c r="CE3546" s="16" t="e">
        <f t="shared" si="788"/>
        <v>#N/A</v>
      </c>
      <c r="CF3546" s="16">
        <f t="shared" si="789"/>
        <v>99</v>
      </c>
      <c r="CG3546" s="16">
        <f t="shared" si="790"/>
        <v>0</v>
      </c>
      <c r="CH3546" s="16">
        <f t="shared" si="797"/>
        <v>0</v>
      </c>
      <c r="CJ3546" s="16" t="e">
        <f t="shared" si="791"/>
        <v>#N/A</v>
      </c>
      <c r="CK3546" s="16" t="str">
        <f t="shared" si="792"/>
        <v/>
      </c>
    </row>
    <row r="3547" spans="73:89" ht="12" customHeight="1">
      <c r="BU3547" s="16">
        <f t="shared" si="793"/>
        <v>0</v>
      </c>
      <c r="BV3547" s="16">
        <f>IF($BY$12=1,NORMDIST(BY3547,$Y$6,$Y$8,TRUE),IF($BY$12=2,IF(BY3547&lt;=$BX$31,0,IF(BY3547&gt;=$BX$32,1,(BY3547-$BX$31)*$BX$33)),SUM($BU$42:BU3547)/$BV$40))</f>
        <v>1</v>
      </c>
      <c r="BW3547" s="16">
        <f t="shared" si="795"/>
        <v>6.6595169801277093E-49</v>
      </c>
      <c r="BY3547" s="16">
        <f t="shared" si="796"/>
        <v>350.5000000000112</v>
      </c>
      <c r="BZ3547" s="16">
        <f t="shared" si="787"/>
        <v>1.9000048445442216E-51</v>
      </c>
      <c r="CA3547" s="16">
        <f t="shared" si="794"/>
        <v>-999</v>
      </c>
      <c r="CE3547" s="16" t="e">
        <f t="shared" si="788"/>
        <v>#N/A</v>
      </c>
      <c r="CF3547" s="16">
        <f t="shared" si="789"/>
        <v>99</v>
      </c>
      <c r="CG3547" s="16">
        <f t="shared" si="790"/>
        <v>0</v>
      </c>
      <c r="CH3547" s="16">
        <f t="shared" si="797"/>
        <v>0</v>
      </c>
      <c r="CJ3547" s="16" t="e">
        <f t="shared" si="791"/>
        <v>#N/A</v>
      </c>
      <c r="CK3547" s="16" t="str">
        <f t="shared" si="792"/>
        <v/>
      </c>
    </row>
    <row r="3548" spans="73:89" ht="12" customHeight="1">
      <c r="BU3548" s="16">
        <f t="shared" si="793"/>
        <v>0</v>
      </c>
      <c r="BV3548" s="16">
        <f>IF($BY$12=1,NORMDIST(BY3548,$Y$6,$Y$8,TRUE),IF($BY$12=2,IF(BY3548&lt;=$BX$31,0,IF(BY3548&gt;=$BX$32,1,(BY3548-$BX$31)*$BX$33)),SUM($BU$42:BU3548)/$BV$40))</f>
        <v>1</v>
      </c>
      <c r="BW3548" s="16">
        <f t="shared" si="795"/>
        <v>6.1792365140896922E-49</v>
      </c>
      <c r="BY3548" s="16">
        <f t="shared" si="796"/>
        <v>350.60000000001122</v>
      </c>
      <c r="BZ3548" s="16">
        <f t="shared" si="787"/>
        <v>1.7624747615771519E-51</v>
      </c>
      <c r="CA3548" s="16">
        <f t="shared" si="794"/>
        <v>-999</v>
      </c>
      <c r="CE3548" s="16" t="e">
        <f t="shared" si="788"/>
        <v>#N/A</v>
      </c>
      <c r="CF3548" s="16">
        <f t="shared" si="789"/>
        <v>99</v>
      </c>
      <c r="CG3548" s="16">
        <f t="shared" si="790"/>
        <v>0</v>
      </c>
      <c r="CH3548" s="16">
        <f t="shared" si="797"/>
        <v>0</v>
      </c>
      <c r="CJ3548" s="16" t="e">
        <f t="shared" si="791"/>
        <v>#N/A</v>
      </c>
      <c r="CK3548" s="16" t="str">
        <f t="shared" si="792"/>
        <v/>
      </c>
    </row>
    <row r="3549" spans="73:89" ht="12" customHeight="1">
      <c r="BU3549" s="16">
        <f t="shared" si="793"/>
        <v>0</v>
      </c>
      <c r="BV3549" s="16">
        <f>IF($BY$12=1,NORMDIST(BY3549,$Y$6,$Y$8,TRUE),IF($BY$12=2,IF(BY3549&lt;=$BX$31,0,IF(BY3549&gt;=$BX$32,1,(BY3549-$BX$31)*$BX$33)),SUM($BU$42:BU3549)/$BV$40))</f>
        <v>1</v>
      </c>
      <c r="BW3549" s="16">
        <f t="shared" si="795"/>
        <v>5.7334497896157429E-49</v>
      </c>
      <c r="BY3549" s="16">
        <f t="shared" si="796"/>
        <v>350.70000000001124</v>
      </c>
      <c r="BZ3549" s="16">
        <f t="shared" si="787"/>
        <v>1.6348587937312687E-51</v>
      </c>
      <c r="CA3549" s="16">
        <f t="shared" si="794"/>
        <v>-999</v>
      </c>
      <c r="CE3549" s="16" t="e">
        <f t="shared" si="788"/>
        <v>#N/A</v>
      </c>
      <c r="CF3549" s="16">
        <f t="shared" si="789"/>
        <v>99</v>
      </c>
      <c r="CG3549" s="16">
        <f t="shared" si="790"/>
        <v>0</v>
      </c>
      <c r="CH3549" s="16">
        <f t="shared" si="797"/>
        <v>0</v>
      </c>
      <c r="CJ3549" s="16" t="e">
        <f t="shared" si="791"/>
        <v>#N/A</v>
      </c>
      <c r="CK3549" s="16" t="str">
        <f t="shared" si="792"/>
        <v/>
      </c>
    </row>
    <row r="3550" spans="73:89" ht="12" customHeight="1">
      <c r="BU3550" s="16">
        <f t="shared" si="793"/>
        <v>0</v>
      </c>
      <c r="BV3550" s="16">
        <f>IF($BY$12=1,NORMDIST(BY3550,$Y$6,$Y$8,TRUE),IF($BY$12=2,IF(BY3550&lt;=$BX$31,0,IF(BY3550&gt;=$BX$32,1,(BY3550-$BX$31)*$BX$33)),SUM($BU$42:BU3550)/$BV$40))</f>
        <v>1</v>
      </c>
      <c r="BW3550" s="16">
        <f t="shared" si="795"/>
        <v>5.3196898907340946E-49</v>
      </c>
      <c r="BY3550" s="16">
        <f t="shared" si="796"/>
        <v>350.80000000001127</v>
      </c>
      <c r="BZ3550" s="16">
        <f t="shared" si="787"/>
        <v>1.5164452368112668E-51</v>
      </c>
      <c r="CA3550" s="16">
        <f t="shared" si="794"/>
        <v>-999</v>
      </c>
      <c r="CE3550" s="16" t="e">
        <f t="shared" si="788"/>
        <v>#N/A</v>
      </c>
      <c r="CF3550" s="16">
        <f t="shared" si="789"/>
        <v>99</v>
      </c>
      <c r="CG3550" s="16">
        <f t="shared" si="790"/>
        <v>0</v>
      </c>
      <c r="CH3550" s="16">
        <f t="shared" si="797"/>
        <v>0</v>
      </c>
      <c r="CJ3550" s="16" t="e">
        <f t="shared" si="791"/>
        <v>#N/A</v>
      </c>
      <c r="CK3550" s="16" t="str">
        <f t="shared" si="792"/>
        <v/>
      </c>
    </row>
    <row r="3551" spans="73:89" ht="12" customHeight="1">
      <c r="BU3551" s="16">
        <f t="shared" si="793"/>
        <v>0</v>
      </c>
      <c r="BV3551" s="16">
        <f>IF($BY$12=1,NORMDIST(BY3551,$Y$6,$Y$8,TRUE),IF($BY$12=2,IF(BY3551&lt;=$BX$31,0,IF(BY3551&gt;=$BX$32,1,(BY3551-$BX$31)*$BX$33)),SUM($BU$42:BU3551)/$BV$40))</f>
        <v>1</v>
      </c>
      <c r="BW3551" s="16">
        <f t="shared" si="795"/>
        <v>4.9356655772260036E-49</v>
      </c>
      <c r="BY3551" s="16">
        <f t="shared" si="796"/>
        <v>350.90000000001129</v>
      </c>
      <c r="BZ3551" s="16">
        <f t="shared" si="787"/>
        <v>1.4065732622473198E-51</v>
      </c>
      <c r="CA3551" s="16">
        <f t="shared" si="794"/>
        <v>-999</v>
      </c>
      <c r="CE3551" s="16" t="e">
        <f t="shared" si="788"/>
        <v>#N/A</v>
      </c>
      <c r="CF3551" s="16">
        <f t="shared" si="789"/>
        <v>99</v>
      </c>
      <c r="CG3551" s="16">
        <f t="shared" si="790"/>
        <v>0</v>
      </c>
      <c r="CH3551" s="16">
        <f t="shared" si="797"/>
        <v>0</v>
      </c>
      <c r="CJ3551" s="16" t="e">
        <f t="shared" si="791"/>
        <v>#N/A</v>
      </c>
      <c r="CK3551" s="16" t="str">
        <f t="shared" si="792"/>
        <v/>
      </c>
    </row>
    <row r="3552" spans="73:89" ht="12" customHeight="1">
      <c r="BU3552" s="16">
        <f t="shared" si="793"/>
        <v>0</v>
      </c>
      <c r="BV3552" s="16">
        <f>IF($BY$12=1,NORMDIST(BY3552,$Y$6,$Y$8,TRUE),IF($BY$12=2,IF(BY3552&lt;=$BX$31,0,IF(BY3552&gt;=$BX$32,1,(BY3552-$BX$31)*$BX$33)),SUM($BU$42:BU3552)/$BV$40))</f>
        <v>1</v>
      </c>
      <c r="BW3552" s="16">
        <f t="shared" si="795"/>
        <v>4.5792488283934148E-49</v>
      </c>
      <c r="BY3552" s="16">
        <f t="shared" si="796"/>
        <v>351.00000000001131</v>
      </c>
      <c r="BZ3552" s="16">
        <f t="shared" si="787"/>
        <v>1.3046292958385378E-51</v>
      </c>
      <c r="CA3552" s="16">
        <f t="shared" si="794"/>
        <v>-999</v>
      </c>
      <c r="CE3552" s="16" t="e">
        <f t="shared" si="788"/>
        <v>#N/A</v>
      </c>
      <c r="CF3552" s="16">
        <f t="shared" si="789"/>
        <v>99</v>
      </c>
      <c r="CG3552" s="16">
        <f t="shared" si="790"/>
        <v>0</v>
      </c>
      <c r="CH3552" s="16">
        <f t="shared" si="797"/>
        <v>0</v>
      </c>
      <c r="CJ3552" s="16" t="e">
        <f t="shared" si="791"/>
        <v>#N/A</v>
      </c>
      <c r="CK3552" s="16" t="str">
        <f t="shared" si="792"/>
        <v/>
      </c>
    </row>
    <row r="3553" spans="73:89" ht="12" customHeight="1">
      <c r="BU3553" s="16">
        <f t="shared" si="793"/>
        <v>0</v>
      </c>
      <c r="BV3553" s="16">
        <f>IF($BY$12=1,NORMDIST(BY3553,$Y$6,$Y$8,TRUE),IF($BY$12=2,IF(BY3553&lt;=$BX$31,0,IF(BY3553&gt;=$BX$32,1,(BY3553-$BX$31)*$BX$33)),SUM($BU$42:BU3553)/$BV$40))</f>
        <v>1</v>
      </c>
      <c r="BW3553" s="16">
        <f t="shared" si="795"/>
        <v>4.2484632661578314E-49</v>
      </c>
      <c r="BY3553" s="16">
        <f t="shared" si="796"/>
        <v>351.10000000001133</v>
      </c>
      <c r="BZ3553" s="16">
        <f t="shared" si="787"/>
        <v>1.2100436531352019E-51</v>
      </c>
      <c r="CA3553" s="16">
        <f t="shared" si="794"/>
        <v>-999</v>
      </c>
      <c r="CE3553" s="16" t="e">
        <f t="shared" si="788"/>
        <v>#N/A</v>
      </c>
      <c r="CF3553" s="16">
        <f t="shared" si="789"/>
        <v>99</v>
      </c>
      <c r="CG3553" s="16">
        <f t="shared" si="790"/>
        <v>0</v>
      </c>
      <c r="CH3553" s="16">
        <f t="shared" si="797"/>
        <v>0</v>
      </c>
      <c r="CJ3553" s="16" t="e">
        <f t="shared" si="791"/>
        <v>#N/A</v>
      </c>
      <c r="CK3553" s="16" t="str">
        <f t="shared" si="792"/>
        <v/>
      </c>
    </row>
    <row r="3554" spans="73:89" ht="12" customHeight="1">
      <c r="BU3554" s="16">
        <f t="shared" si="793"/>
        <v>0</v>
      </c>
      <c r="BV3554" s="16">
        <f>IF($BY$12=1,NORMDIST(BY3554,$Y$6,$Y$8,TRUE),IF($BY$12=2,IF(BY3554&lt;=$BX$31,0,IF(BY3554&gt;=$BX$32,1,(BY3554-$BX$31)*$BX$33)),SUM($BU$42:BU3554)/$BV$40))</f>
        <v>1</v>
      </c>
      <c r="BW3554" s="16">
        <f t="shared" si="795"/>
        <v>3.9414733956907859E-49</v>
      </c>
      <c r="BY3554" s="16">
        <f t="shared" si="796"/>
        <v>351.20000000001136</v>
      </c>
      <c r="BZ3554" s="16">
        <f t="shared" si="787"/>
        <v>1.1222874133515543E-51</v>
      </c>
      <c r="CA3554" s="16">
        <f t="shared" si="794"/>
        <v>-999</v>
      </c>
      <c r="CE3554" s="16" t="e">
        <f t="shared" si="788"/>
        <v>#N/A</v>
      </c>
      <c r="CF3554" s="16">
        <f t="shared" si="789"/>
        <v>99</v>
      </c>
      <c r="CG3554" s="16">
        <f t="shared" si="790"/>
        <v>0</v>
      </c>
      <c r="CH3554" s="16">
        <f t="shared" si="797"/>
        <v>0</v>
      </c>
      <c r="CJ3554" s="16" t="e">
        <f t="shared" si="791"/>
        <v>#N/A</v>
      </c>
      <c r="CK3554" s="16" t="str">
        <f t="shared" si="792"/>
        <v/>
      </c>
    </row>
    <row r="3555" spans="73:89" ht="12" customHeight="1">
      <c r="BU3555" s="16">
        <f t="shared" si="793"/>
        <v>0</v>
      </c>
      <c r="BV3555" s="16">
        <f>IF($BY$12=1,NORMDIST(BY3555,$Y$6,$Y$8,TRUE),IF($BY$12=2,IF(BY3555&lt;=$BX$31,0,IF(BY3555&gt;=$BX$32,1,(BY3555-$BX$31)*$BX$33)),SUM($BU$42:BU3555)/$BV$40))</f>
        <v>1</v>
      </c>
      <c r="BW3555" s="16">
        <f t="shared" si="795"/>
        <v>3.6565746061001595E-49</v>
      </c>
      <c r="BY3555" s="16">
        <f t="shared" si="796"/>
        <v>351.30000000001138</v>
      </c>
      <c r="BZ3555" s="16">
        <f t="shared" si="787"/>
        <v>1.0408695149729692E-51</v>
      </c>
      <c r="CA3555" s="16">
        <f t="shared" si="794"/>
        <v>-999</v>
      </c>
      <c r="CE3555" s="16" t="e">
        <f t="shared" si="788"/>
        <v>#N/A</v>
      </c>
      <c r="CF3555" s="16">
        <f t="shared" si="789"/>
        <v>99</v>
      </c>
      <c r="CG3555" s="16">
        <f t="shared" si="790"/>
        <v>0</v>
      </c>
      <c r="CH3555" s="16">
        <f t="shared" si="797"/>
        <v>0</v>
      </c>
      <c r="CJ3555" s="16" t="e">
        <f t="shared" si="791"/>
        <v>#N/A</v>
      </c>
      <c r="CK3555" s="16" t="str">
        <f t="shared" si="792"/>
        <v/>
      </c>
    </row>
    <row r="3556" spans="73:89" ht="12" customHeight="1">
      <c r="BU3556" s="16">
        <f t="shared" si="793"/>
        <v>0</v>
      </c>
      <c r="BV3556" s="16">
        <f>IF($BY$12=1,NORMDIST(BY3556,$Y$6,$Y$8,TRUE),IF($BY$12=2,IF(BY3556&lt;=$BX$31,0,IF(BY3556&gt;=$BX$32,1,(BY3556-$BX$31)*$BX$33)),SUM($BU$42:BU3556)/$BV$40))</f>
        <v>1</v>
      </c>
      <c r="BW3556" s="16">
        <f t="shared" si="795"/>
        <v>3.3921838777204523E-49</v>
      </c>
      <c r="BY3556" s="16">
        <f t="shared" si="796"/>
        <v>351.4000000000114</v>
      </c>
      <c r="BZ3556" s="16">
        <f t="shared" si="787"/>
        <v>9.6533405740476446E-52</v>
      </c>
      <c r="CA3556" s="16">
        <f t="shared" si="794"/>
        <v>-999</v>
      </c>
      <c r="CE3556" s="16" t="e">
        <f t="shared" si="788"/>
        <v>#N/A</v>
      </c>
      <c r="CF3556" s="16">
        <f t="shared" si="789"/>
        <v>99</v>
      </c>
      <c r="CG3556" s="16">
        <f t="shared" si="790"/>
        <v>0</v>
      </c>
      <c r="CH3556" s="16">
        <f t="shared" si="797"/>
        <v>0</v>
      </c>
      <c r="CJ3556" s="16" t="e">
        <f t="shared" si="791"/>
        <v>#N/A</v>
      </c>
      <c r="CK3556" s="16" t="str">
        <f t="shared" si="792"/>
        <v/>
      </c>
    </row>
    <row r="3557" spans="73:89" ht="12" customHeight="1">
      <c r="BU3557" s="16">
        <f t="shared" si="793"/>
        <v>0</v>
      </c>
      <c r="BV3557" s="16">
        <f>IF($BY$12=1,NORMDIST(BY3557,$Y$6,$Y$8,TRUE),IF($BY$12=2,IF(BY3557&lt;=$BX$31,0,IF(BY3557&gt;=$BX$32,1,(BY3557-$BX$31)*$BX$33)),SUM($BU$42:BU3557)/$BV$40))</f>
        <v>1</v>
      </c>
      <c r="BW3557" s="16">
        <f t="shared" si="795"/>
        <v>3.1468311462955774E-49</v>
      </c>
      <c r="BY3557" s="16">
        <f t="shared" si="796"/>
        <v>351.50000000001143</v>
      </c>
      <c r="BZ3557" s="16">
        <f t="shared" si="787"/>
        <v>8.9525779410966572E-52</v>
      </c>
      <c r="CA3557" s="16">
        <f t="shared" si="794"/>
        <v>-999</v>
      </c>
      <c r="CE3557" s="16" t="e">
        <f t="shared" si="788"/>
        <v>#N/A</v>
      </c>
      <c r="CF3557" s="16">
        <f t="shared" si="789"/>
        <v>99</v>
      </c>
      <c r="CG3557" s="16">
        <f t="shared" si="790"/>
        <v>0</v>
      </c>
      <c r="CH3557" s="16">
        <f t="shared" si="797"/>
        <v>0</v>
      </c>
      <c r="CJ3557" s="16" t="e">
        <f t="shared" si="791"/>
        <v>#N/A</v>
      </c>
      <c r="CK3557" s="16" t="str">
        <f t="shared" si="792"/>
        <v/>
      </c>
    </row>
    <row r="3558" spans="73:89" ht="12" customHeight="1">
      <c r="BU3558" s="16">
        <f t="shared" si="793"/>
        <v>0</v>
      </c>
      <c r="BV3558" s="16">
        <f>IF($BY$12=1,NORMDIST(BY3558,$Y$6,$Y$8,TRUE),IF($BY$12=2,IF(BY3558&lt;=$BX$31,0,IF(BY3558&gt;=$BX$32,1,(BY3558-$BX$31)*$BX$33)),SUM($BU$42:BU3558)/$BV$40))</f>
        <v>1</v>
      </c>
      <c r="BW3558" s="16">
        <f t="shared" si="795"/>
        <v>2.9191512778256349E-49</v>
      </c>
      <c r="BY3558" s="16">
        <f t="shared" si="796"/>
        <v>351.60000000001145</v>
      </c>
      <c r="BZ3558" s="16">
        <f t="shared" si="787"/>
        <v>8.3024780370464728E-52</v>
      </c>
      <c r="CA3558" s="16">
        <f t="shared" si="794"/>
        <v>-999</v>
      </c>
      <c r="CE3558" s="16" t="e">
        <f t="shared" si="788"/>
        <v>#N/A</v>
      </c>
      <c r="CF3558" s="16">
        <f t="shared" si="789"/>
        <v>99</v>
      </c>
      <c r="CG3558" s="16">
        <f t="shared" si="790"/>
        <v>0</v>
      </c>
      <c r="CH3558" s="16">
        <f t="shared" si="797"/>
        <v>0</v>
      </c>
      <c r="CJ3558" s="16" t="e">
        <f t="shared" si="791"/>
        <v>#N/A</v>
      </c>
      <c r="CK3558" s="16" t="str">
        <f t="shared" si="792"/>
        <v/>
      </c>
    </row>
    <row r="3559" spans="73:89" ht="12" customHeight="1">
      <c r="BU3559" s="16">
        <f t="shared" si="793"/>
        <v>0</v>
      </c>
      <c r="BV3559" s="16">
        <f>IF($BY$12=1,NORMDIST(BY3559,$Y$6,$Y$8,TRUE),IF($BY$12=2,IF(BY3559&lt;=$BX$31,0,IF(BY3559&gt;=$BX$32,1,(BY3559-$BX$31)*$BX$33)),SUM($BU$42:BU3559)/$BV$40))</f>
        <v>1</v>
      </c>
      <c r="BW3559" s="16">
        <f t="shared" si="795"/>
        <v>2.7078766110874374E-49</v>
      </c>
      <c r="BY3559" s="16">
        <f t="shared" si="796"/>
        <v>351.70000000001147</v>
      </c>
      <c r="BZ3559" s="16">
        <f t="shared" si="787"/>
        <v>7.6993932643939412E-52</v>
      </c>
      <c r="CA3559" s="16">
        <f t="shared" si="794"/>
        <v>-999</v>
      </c>
      <c r="CE3559" s="16" t="e">
        <f t="shared" si="788"/>
        <v>#N/A</v>
      </c>
      <c r="CF3559" s="16">
        <f t="shared" si="789"/>
        <v>99</v>
      </c>
      <c r="CG3559" s="16">
        <f t="shared" si="790"/>
        <v>0</v>
      </c>
      <c r="CH3559" s="16">
        <f t="shared" si="797"/>
        <v>0</v>
      </c>
      <c r="CJ3559" s="16" t="e">
        <f t="shared" si="791"/>
        <v>#N/A</v>
      </c>
      <c r="CK3559" s="16" t="str">
        <f t="shared" si="792"/>
        <v/>
      </c>
    </row>
    <row r="3560" spans="73:89" ht="12" customHeight="1">
      <c r="BU3560" s="16">
        <f t="shared" si="793"/>
        <v>0</v>
      </c>
      <c r="BV3560" s="16">
        <f>IF($BY$12=1,NORMDIST(BY3560,$Y$6,$Y$8,TRUE),IF($BY$12=2,IF(BY3560&lt;=$BX$31,0,IF(BY3560&gt;=$BX$32,1,(BY3560-$BX$31)*$BX$33)),SUM($BU$42:BU3560)/$BV$40))</f>
        <v>1</v>
      </c>
      <c r="BW3560" s="16">
        <f t="shared" si="795"/>
        <v>2.5118300278505333E-49</v>
      </c>
      <c r="BY3560" s="16">
        <f t="shared" si="796"/>
        <v>351.80000000001149</v>
      </c>
      <c r="BZ3560" s="16">
        <f t="shared" si="787"/>
        <v>7.1399375436340288E-52</v>
      </c>
      <c r="CA3560" s="16">
        <f t="shared" si="794"/>
        <v>-999</v>
      </c>
      <c r="CE3560" s="16" t="e">
        <f t="shared" si="788"/>
        <v>#N/A</v>
      </c>
      <c r="CF3560" s="16">
        <f t="shared" si="789"/>
        <v>99</v>
      </c>
      <c r="CG3560" s="16">
        <f t="shared" si="790"/>
        <v>0</v>
      </c>
      <c r="CH3560" s="16">
        <f t="shared" si="797"/>
        <v>0</v>
      </c>
      <c r="CJ3560" s="16" t="e">
        <f t="shared" si="791"/>
        <v>#N/A</v>
      </c>
      <c r="CK3560" s="16" t="str">
        <f t="shared" si="792"/>
        <v/>
      </c>
    </row>
    <row r="3561" spans="73:89" ht="12" customHeight="1">
      <c r="BU3561" s="16">
        <f t="shared" si="793"/>
        <v>0</v>
      </c>
      <c r="BV3561" s="16">
        <f>IF($BY$12=1,NORMDIST(BY3561,$Y$6,$Y$8,TRUE),IF($BY$12=2,IF(BY3561&lt;=$BX$31,0,IF(BY3561&gt;=$BX$32,1,(BY3561-$BX$31)*$BX$33)),SUM($BU$42:BU3561)/$BV$40))</f>
        <v>1</v>
      </c>
      <c r="BW3561" s="16">
        <f t="shared" si="795"/>
        <v>2.3299185136145884E-49</v>
      </c>
      <c r="BY3561" s="16">
        <f t="shared" si="796"/>
        <v>351.90000000001152</v>
      </c>
      <c r="BZ3561" s="16">
        <f t="shared" si="787"/>
        <v>6.6209676431216598E-52</v>
      </c>
      <c r="CA3561" s="16">
        <f t="shared" si="794"/>
        <v>-999</v>
      </c>
      <c r="CE3561" s="16" t="e">
        <f t="shared" si="788"/>
        <v>#N/A</v>
      </c>
      <c r="CF3561" s="16">
        <f t="shared" si="789"/>
        <v>99</v>
      </c>
      <c r="CG3561" s="16">
        <f t="shared" si="790"/>
        <v>0</v>
      </c>
      <c r="CH3561" s="16">
        <f t="shared" si="797"/>
        <v>0</v>
      </c>
      <c r="CJ3561" s="16" t="e">
        <f t="shared" si="791"/>
        <v>#N/A</v>
      </c>
      <c r="CK3561" s="16" t="str">
        <f t="shared" si="792"/>
        <v/>
      </c>
    </row>
    <row r="3562" spans="73:89" ht="12" customHeight="1">
      <c r="BU3562" s="16">
        <f t="shared" si="793"/>
        <v>0</v>
      </c>
      <c r="BV3562" s="16">
        <f>IF($BY$12=1,NORMDIST(BY3562,$Y$6,$Y$8,TRUE),IF($BY$12=2,IF(BY3562&lt;=$BX$31,0,IF(BY3562&gt;=$BX$32,1,(BY3562-$BX$31)*$BX$33)),SUM($BU$42:BU3562)/$BV$40))</f>
        <v>1</v>
      </c>
      <c r="BW3562" s="16">
        <f t="shared" si="795"/>
        <v>2.1611271743007328E-49</v>
      </c>
      <c r="BY3562" s="16">
        <f t="shared" si="796"/>
        <v>352.00000000001154</v>
      </c>
      <c r="BZ3562" s="16">
        <f t="shared" ref="BZ3562:BZ3625" si="798">IF($BZ$5,IF($BY$12=1,NORMDIST(BY3562,$Y$6,$Y$8,FALSE),IF($BY$12=2,IF(AND(BY3562&gt;=$BX$31,BY3562&lt;=$BX$32),$BX$33,0),IF(BY3562&lt;=$BX$13,0,NORMDIST(LN((BY3562-$BX$13)/$BX$12),0,$BW$8,FALSE)/((BY3562-$BX$13)/$BX$12)))),-999)</f>
        <v>6.1395658360814263E-52</v>
      </c>
      <c r="CA3562" s="16">
        <f t="shared" si="794"/>
        <v>-999</v>
      </c>
      <c r="CE3562" s="16" t="e">
        <f t="shared" ref="CE3562:CE3625" si="799">IF(AND($CB$7,$CD$2,$CD$1),26+$P$23/2-CC3562*$P$23,NA())</f>
        <v>#N/A</v>
      </c>
      <c r="CF3562" s="16">
        <f t="shared" ref="CF3562:CF3625" si="800">IF(ISNA(CJ3562),99,CJ3562)</f>
        <v>99</v>
      </c>
      <c r="CG3562" s="16">
        <f t="shared" ref="CG3562:CG3625" si="801">IF(ISNA(CJ3562),0,CJ3562)</f>
        <v>0</v>
      </c>
      <c r="CH3562" s="16">
        <f t="shared" si="797"/>
        <v>0</v>
      </c>
      <c r="CJ3562" s="16" t="e">
        <f t="shared" ref="CJ3562:CJ3625" si="802">IF(CH3562=1,CE3562,NA())</f>
        <v>#N/A</v>
      </c>
      <c r="CK3562" s="16" t="str">
        <f t="shared" ref="CK3562:CK3625" si="803">IF(CH3562=1,M3461,"")</f>
        <v/>
      </c>
    </row>
    <row r="3563" spans="73:89" ht="12" customHeight="1">
      <c r="BU3563" s="16">
        <f t="shared" ref="BU3563:BU3626" si="804">IF($BY$12&lt;3,0,IF(BY3563&lt;=$BX$13,0,NORMDIST(LN((BY3563-$BX$13)/$BX$12),0,$BW$8,FALSE)/((BY3563-$BX$13)/$BX$12)))</f>
        <v>0</v>
      </c>
      <c r="BV3563" s="16">
        <f>IF($BY$12=1,NORMDIST(BY3563,$Y$6,$Y$8,TRUE),IF($BY$12=2,IF(BY3563&lt;=$BX$31,0,IF(BY3563&gt;=$BX$32,1,(BY3563-$BX$31)*$BX$33)),SUM($BU$42:BU3563)/$BV$40))</f>
        <v>1</v>
      </c>
      <c r="BW3563" s="16">
        <f t="shared" si="795"/>
        <v>2.0045136767530697E-49</v>
      </c>
      <c r="BY3563" s="16">
        <f t="shared" si="796"/>
        <v>352.10000000001156</v>
      </c>
      <c r="BZ3563" s="16">
        <f t="shared" si="798"/>
        <v>5.6930237908350015E-52</v>
      </c>
      <c r="CA3563" s="16">
        <f t="shared" ref="CA3563:CA3626" si="805">IF(AND($CD$1,$CD$3),26-$CD$40*NORMDIST(BY3563,$Y$6,$Y$8/SQRT($T$18),FALSE),-999)</f>
        <v>-999</v>
      </c>
      <c r="CE3563" s="16" t="e">
        <f t="shared" si="799"/>
        <v>#N/A</v>
      </c>
      <c r="CF3563" s="16">
        <f t="shared" si="800"/>
        <v>99</v>
      </c>
      <c r="CG3563" s="16">
        <f t="shared" si="801"/>
        <v>0</v>
      </c>
      <c r="CH3563" s="16">
        <f t="shared" si="797"/>
        <v>0</v>
      </c>
      <c r="CJ3563" s="16" t="e">
        <f t="shared" si="802"/>
        <v>#N/A</v>
      </c>
      <c r="CK3563" s="16" t="str">
        <f t="shared" si="803"/>
        <v/>
      </c>
    </row>
    <row r="3564" spans="73:89" ht="12" customHeight="1">
      <c r="BU3564" s="16">
        <f t="shared" si="804"/>
        <v>0</v>
      </c>
      <c r="BV3564" s="16">
        <f>IF($BY$12=1,NORMDIST(BY3564,$Y$6,$Y$8,TRUE),IF($BY$12=2,IF(BY3564&lt;=$BX$31,0,IF(BY3564&gt;=$BX$32,1,(BY3564-$BX$31)*$BX$33)),SUM($BU$42:BU3564)/$BV$40))</f>
        <v>1</v>
      </c>
      <c r="BW3564" s="16">
        <f t="shared" si="795"/>
        <v>1.8592030831650647E-49</v>
      </c>
      <c r="BY3564" s="16">
        <f t="shared" si="796"/>
        <v>352.20000000001158</v>
      </c>
      <c r="BZ3564" s="16">
        <f t="shared" si="798"/>
        <v>5.278827606942089E-52</v>
      </c>
      <c r="CA3564" s="16">
        <f t="shared" si="805"/>
        <v>-999</v>
      </c>
      <c r="CE3564" s="16" t="e">
        <f t="shared" si="799"/>
        <v>#N/A</v>
      </c>
      <c r="CF3564" s="16">
        <f t="shared" si="800"/>
        <v>99</v>
      </c>
      <c r="CG3564" s="16">
        <f t="shared" si="801"/>
        <v>0</v>
      </c>
      <c r="CH3564" s="16">
        <f t="shared" si="797"/>
        <v>0</v>
      </c>
      <c r="CJ3564" s="16" t="e">
        <f t="shared" si="802"/>
        <v>#N/A</v>
      </c>
      <c r="CK3564" s="16" t="str">
        <f t="shared" si="803"/>
        <v/>
      </c>
    </row>
    <row r="3565" spans="73:89" ht="12" customHeight="1">
      <c r="BU3565" s="16">
        <f t="shared" si="804"/>
        <v>0</v>
      </c>
      <c r="BV3565" s="16">
        <f>IF($BY$12=1,NORMDIST(BY3565,$Y$6,$Y$8,TRUE),IF($BY$12=2,IF(BY3565&lt;=$BX$31,0,IF(BY3565&gt;=$BX$32,1,(BY3565-$BX$31)*$BX$33)),SUM($BU$42:BU3565)/$BV$40))</f>
        <v>1</v>
      </c>
      <c r="BW3565" s="16">
        <f t="shared" si="795"/>
        <v>1.7243830516405828E-49</v>
      </c>
      <c r="BY3565" s="16">
        <f t="shared" si="796"/>
        <v>352.30000000001161</v>
      </c>
      <c r="BZ3565" s="16">
        <f t="shared" si="798"/>
        <v>4.8946439160957303E-52</v>
      </c>
      <c r="CA3565" s="16">
        <f t="shared" si="805"/>
        <v>-999</v>
      </c>
      <c r="CE3565" s="16" t="e">
        <f t="shared" si="799"/>
        <v>#N/A</v>
      </c>
      <c r="CF3565" s="16">
        <f t="shared" si="800"/>
        <v>99</v>
      </c>
      <c r="CG3565" s="16">
        <f t="shared" si="801"/>
        <v>0</v>
      </c>
      <c r="CH3565" s="16">
        <f t="shared" si="797"/>
        <v>0</v>
      </c>
      <c r="CJ3565" s="16" t="e">
        <f t="shared" si="802"/>
        <v>#N/A</v>
      </c>
      <c r="CK3565" s="16" t="str">
        <f t="shared" si="803"/>
        <v/>
      </c>
    </row>
    <row r="3566" spans="73:89" ht="12" customHeight="1">
      <c r="BU3566" s="16">
        <f t="shared" si="804"/>
        <v>0</v>
      </c>
      <c r="BV3566" s="16">
        <f>IF($BY$12=1,NORMDIST(BY3566,$Y$6,$Y$8,TRUE),IF($BY$12=2,IF(BY3566&lt;=$BX$31,0,IF(BY3566&gt;=$BX$32,1,(BY3566-$BX$31)*$BX$33)),SUM($BU$42:BU3566)/$BV$40))</f>
        <v>1</v>
      </c>
      <c r="BW3566" s="16">
        <f t="shared" si="795"/>
        <v>1.5992993770538243E-49</v>
      </c>
      <c r="BY3566" s="16">
        <f t="shared" si="796"/>
        <v>352.40000000001163</v>
      </c>
      <c r="BZ3566" s="16">
        <f t="shared" si="798"/>
        <v>4.5383069723432792E-52</v>
      </c>
      <c r="CA3566" s="16">
        <f t="shared" si="805"/>
        <v>-999</v>
      </c>
      <c r="CE3566" s="16" t="e">
        <f t="shared" si="799"/>
        <v>#N/A</v>
      </c>
      <c r="CF3566" s="16">
        <f t="shared" si="800"/>
        <v>99</v>
      </c>
      <c r="CG3566" s="16">
        <f t="shared" si="801"/>
        <v>0</v>
      </c>
      <c r="CH3566" s="16">
        <f t="shared" si="797"/>
        <v>0</v>
      </c>
      <c r="CJ3566" s="16" t="e">
        <f t="shared" si="802"/>
        <v>#N/A</v>
      </c>
      <c r="CK3566" s="16" t="str">
        <f t="shared" si="803"/>
        <v/>
      </c>
    </row>
    <row r="3567" spans="73:89" ht="12" customHeight="1">
      <c r="BU3567" s="16">
        <f t="shared" si="804"/>
        <v>0</v>
      </c>
      <c r="BV3567" s="16">
        <f>IF($BY$12=1,NORMDIST(BY3567,$Y$6,$Y$8,TRUE),IF($BY$12=2,IF(BY3567&lt;=$BX$31,0,IF(BY3567&gt;=$BX$32,1,(BY3567-$BX$31)*$BX$33)),SUM($BU$42:BU3567)/$BV$40))</f>
        <v>1</v>
      </c>
      <c r="BW3567" s="16">
        <f t="shared" si="795"/>
        <v>1.4832518481847973E-49</v>
      </c>
      <c r="BY3567" s="16">
        <f t="shared" si="796"/>
        <v>352.50000000001165</v>
      </c>
      <c r="BZ3567" s="16">
        <f t="shared" si="798"/>
        <v>4.2078066615170162E-52</v>
      </c>
      <c r="CA3567" s="16">
        <f t="shared" si="805"/>
        <v>-999</v>
      </c>
      <c r="CE3567" s="16" t="e">
        <f t="shared" si="799"/>
        <v>#N/A</v>
      </c>
      <c r="CF3567" s="16">
        <f t="shared" si="800"/>
        <v>99</v>
      </c>
      <c r="CG3567" s="16">
        <f t="shared" si="801"/>
        <v>0</v>
      </c>
      <c r="CH3567" s="16">
        <f t="shared" si="797"/>
        <v>0</v>
      </c>
      <c r="CJ3567" s="16" t="e">
        <f t="shared" si="802"/>
        <v>#N/A</v>
      </c>
      <c r="CK3567" s="16" t="str">
        <f t="shared" si="803"/>
        <v/>
      </c>
    </row>
    <row r="3568" spans="73:89" ht="12" customHeight="1">
      <c r="BU3568" s="16">
        <f t="shared" si="804"/>
        <v>0</v>
      </c>
      <c r="BV3568" s="16">
        <f>IF($BY$12=1,NORMDIST(BY3568,$Y$6,$Y$8,TRUE),IF($BY$12=2,IF(BY3568&lt;=$BX$31,0,IF(BY3568&gt;=$BX$32,1,(BY3568-$BX$31)*$BX$33)),SUM($BU$42:BU3568)/$BV$40))</f>
        <v>1</v>
      </c>
      <c r="BW3568" s="16">
        <f t="shared" si="795"/>
        <v>1.375590398797481E-49</v>
      </c>
      <c r="BY3568" s="16">
        <f t="shared" si="796"/>
        <v>352.60000000001168</v>
      </c>
      <c r="BZ3568" s="16">
        <f t="shared" si="798"/>
        <v>3.9012773647119557E-52</v>
      </c>
      <c r="CA3568" s="16">
        <f t="shared" si="805"/>
        <v>-999</v>
      </c>
      <c r="CE3568" s="16" t="e">
        <f t="shared" si="799"/>
        <v>#N/A</v>
      </c>
      <c r="CF3568" s="16">
        <f t="shared" si="800"/>
        <v>99</v>
      </c>
      <c r="CG3568" s="16">
        <f t="shared" si="801"/>
        <v>0</v>
      </c>
      <c r="CH3568" s="16">
        <f t="shared" si="797"/>
        <v>0</v>
      </c>
      <c r="CJ3568" s="16" t="e">
        <f t="shared" si="802"/>
        <v>#N/A</v>
      </c>
      <c r="CK3568" s="16" t="str">
        <f t="shared" si="803"/>
        <v/>
      </c>
    </row>
    <row r="3569" spans="73:89" ht="12" customHeight="1">
      <c r="BU3569" s="16">
        <f t="shared" si="804"/>
        <v>0</v>
      </c>
      <c r="BV3569" s="16">
        <f>IF($BY$12=1,NORMDIST(BY3569,$Y$6,$Y$8,TRUE),IF($BY$12=2,IF(BY3569&lt;=$BX$31,0,IF(BY3569&gt;=$BX$32,1,(BY3569-$BX$31)*$BX$33)),SUM($BU$42:BU3569)/$BV$40))</f>
        <v>1</v>
      </c>
      <c r="BW3569" s="16">
        <f t="shared" si="795"/>
        <v>1.2757115318961997E-49</v>
      </c>
      <c r="BY3569" s="16">
        <f t="shared" si="796"/>
        <v>352.7000000000117</v>
      </c>
      <c r="BZ3569" s="16">
        <f t="shared" si="798"/>
        <v>3.6169876152428621E-52</v>
      </c>
      <c r="CA3569" s="16">
        <f t="shared" si="805"/>
        <v>-999</v>
      </c>
      <c r="CE3569" s="16" t="e">
        <f t="shared" si="799"/>
        <v>#N/A</v>
      </c>
      <c r="CF3569" s="16">
        <f t="shared" si="800"/>
        <v>99</v>
      </c>
      <c r="CG3569" s="16">
        <f t="shared" si="801"/>
        <v>0</v>
      </c>
      <c r="CH3569" s="16">
        <f t="shared" si="797"/>
        <v>0</v>
      </c>
      <c r="CJ3569" s="16" t="e">
        <f t="shared" si="802"/>
        <v>#N/A</v>
      </c>
      <c r="CK3569" s="16" t="str">
        <f t="shared" si="803"/>
        <v/>
      </c>
    </row>
    <row r="3570" spans="73:89" ht="12" customHeight="1">
      <c r="BU3570" s="16">
        <f t="shared" si="804"/>
        <v>0</v>
      </c>
      <c r="BV3570" s="16">
        <f>IF($BY$12=1,NORMDIST(BY3570,$Y$6,$Y$8,TRUE),IF($BY$12=2,IF(BY3570&lt;=$BX$31,0,IF(BY3570&gt;=$BX$32,1,(BY3570-$BX$31)*$BX$33)),SUM($BU$42:BU3570)/$BV$40))</f>
        <v>1</v>
      </c>
      <c r="BW3570" s="16">
        <f t="shared" si="795"/>
        <v>1.1830549978566228E-49</v>
      </c>
      <c r="BY3570" s="16">
        <f t="shared" si="796"/>
        <v>352.80000000001172</v>
      </c>
      <c r="BZ3570" s="16">
        <f t="shared" si="798"/>
        <v>3.3533304927907695E-52</v>
      </c>
      <c r="CA3570" s="16">
        <f t="shared" si="805"/>
        <v>-999</v>
      </c>
      <c r="CE3570" s="16" t="e">
        <f t="shared" si="799"/>
        <v>#N/A</v>
      </c>
      <c r="CF3570" s="16">
        <f t="shared" si="800"/>
        <v>99</v>
      </c>
      <c r="CG3570" s="16">
        <f t="shared" si="801"/>
        <v>0</v>
      </c>
      <c r="CH3570" s="16">
        <f t="shared" si="797"/>
        <v>0</v>
      </c>
      <c r="CJ3570" s="16" t="e">
        <f t="shared" si="802"/>
        <v>#N/A</v>
      </c>
      <c r="CK3570" s="16" t="str">
        <f t="shared" si="803"/>
        <v/>
      </c>
    </row>
    <row r="3571" spans="73:89" ht="12" customHeight="1">
      <c r="BU3571" s="16">
        <f t="shared" si="804"/>
        <v>0</v>
      </c>
      <c r="BV3571" s="16">
        <f>IF($BY$12=1,NORMDIST(BY3571,$Y$6,$Y$8,TRUE),IF($BY$12=2,IF(BY3571&lt;=$BX$31,0,IF(BY3571&gt;=$BX$32,1,(BY3571-$BX$31)*$BX$33)),SUM($BU$42:BU3571)/$BV$40))</f>
        <v>1</v>
      </c>
      <c r="BW3571" s="16">
        <f t="shared" si="795"/>
        <v>1.0971007084861544E-49</v>
      </c>
      <c r="BY3571" s="16">
        <f t="shared" si="796"/>
        <v>352.90000000001174</v>
      </c>
      <c r="BZ3571" s="16">
        <f t="shared" si="798"/>
        <v>3.10881470242595E-52</v>
      </c>
      <c r="CA3571" s="16">
        <f t="shared" si="805"/>
        <v>-999</v>
      </c>
      <c r="CE3571" s="16" t="e">
        <f t="shared" si="799"/>
        <v>#N/A</v>
      </c>
      <c r="CF3571" s="16">
        <f t="shared" si="800"/>
        <v>99</v>
      </c>
      <c r="CG3571" s="16">
        <f t="shared" si="801"/>
        <v>0</v>
      </c>
      <c r="CH3571" s="16">
        <f t="shared" si="797"/>
        <v>0</v>
      </c>
      <c r="CJ3571" s="16" t="e">
        <f t="shared" si="802"/>
        <v>#N/A</v>
      </c>
      <c r="CK3571" s="16" t="str">
        <f t="shared" si="803"/>
        <v/>
      </c>
    </row>
    <row r="3572" spans="73:89" ht="12" customHeight="1">
      <c r="BU3572" s="16">
        <f t="shared" si="804"/>
        <v>0</v>
      </c>
      <c r="BV3572" s="16">
        <f>IF($BY$12=1,NORMDIST(BY3572,$Y$6,$Y$8,TRUE),IF($BY$12=2,IF(BY3572&lt;=$BX$31,0,IF(BY3572&gt;=$BX$32,1,(BY3572-$BX$31)*$BX$33)),SUM($BU$42:BU3572)/$BV$40))</f>
        <v>1</v>
      </c>
      <c r="BW3572" s="16">
        <f t="shared" si="795"/>
        <v>1.017365870330266E-49</v>
      </c>
      <c r="BY3572" s="16">
        <f t="shared" si="796"/>
        <v>353.00000000001177</v>
      </c>
      <c r="BZ3572" s="16">
        <f t="shared" si="798"/>
        <v>2.882056289887343E-52</v>
      </c>
      <c r="CA3572" s="16">
        <f t="shared" si="805"/>
        <v>-999</v>
      </c>
      <c r="CE3572" s="16" t="e">
        <f t="shared" si="799"/>
        <v>#N/A</v>
      </c>
      <c r="CF3572" s="16">
        <f t="shared" si="800"/>
        <v>99</v>
      </c>
      <c r="CG3572" s="16">
        <f t="shared" si="801"/>
        <v>0</v>
      </c>
      <c r="CH3572" s="16">
        <f t="shared" si="797"/>
        <v>0</v>
      </c>
      <c r="CJ3572" s="16" t="e">
        <f t="shared" si="802"/>
        <v>#N/A</v>
      </c>
      <c r="CK3572" s="16" t="str">
        <f t="shared" si="803"/>
        <v/>
      </c>
    </row>
    <row r="3573" spans="73:89" ht="12" customHeight="1">
      <c r="BU3573" s="16">
        <f t="shared" si="804"/>
        <v>0</v>
      </c>
      <c r="BV3573" s="16">
        <f>IF($BY$12=1,NORMDIST(BY3573,$Y$6,$Y$8,TRUE),IF($BY$12=2,IF(BY3573&lt;=$BX$31,0,IF(BY3573&gt;=$BX$32,1,(BY3573-$BX$31)*$BX$33)),SUM($BU$42:BU3573)/$BV$40))</f>
        <v>1</v>
      </c>
      <c r="BW3573" s="16">
        <f t="shared" si="795"/>
        <v>9.4340232171684745E-50</v>
      </c>
      <c r="BY3573" s="16">
        <f t="shared" si="796"/>
        <v>353.10000000001179</v>
      </c>
      <c r="BZ3573" s="16">
        <f t="shared" si="798"/>
        <v>2.6717709479377397E-52</v>
      </c>
      <c r="CA3573" s="16">
        <f t="shared" si="805"/>
        <v>-999</v>
      </c>
      <c r="CE3573" s="16" t="e">
        <f t="shared" si="799"/>
        <v>#N/A</v>
      </c>
      <c r="CF3573" s="16">
        <f t="shared" si="800"/>
        <v>99</v>
      </c>
      <c r="CG3573" s="16">
        <f t="shared" si="801"/>
        <v>0</v>
      </c>
      <c r="CH3573" s="16">
        <f t="shared" si="797"/>
        <v>0</v>
      </c>
      <c r="CJ3573" s="16" t="e">
        <f t="shared" si="802"/>
        <v>#N/A</v>
      </c>
      <c r="CK3573" s="16" t="str">
        <f t="shared" si="803"/>
        <v/>
      </c>
    </row>
    <row r="3574" spans="73:89" ht="12" customHeight="1">
      <c r="BU3574" s="16">
        <f t="shared" si="804"/>
        <v>0</v>
      </c>
      <c r="BV3574" s="16">
        <f>IF($BY$12=1,NORMDIST(BY3574,$Y$6,$Y$8,TRUE),IF($BY$12=2,IF(BY3574&lt;=$BX$31,0,IF(BY3574&gt;=$BX$32,1,(BY3574-$BX$31)*$BX$33)),SUM($BU$42:BU3574)/$BV$40))</f>
        <v>1</v>
      </c>
      <c r="BW3574" s="16">
        <f t="shared" si="795"/>
        <v>8.7479405912213537E-50</v>
      </c>
      <c r="BY3574" s="16">
        <f t="shared" si="796"/>
        <v>353.20000000001181</v>
      </c>
      <c r="BZ3574" s="16">
        <f t="shared" si="798"/>
        <v>2.4767668718066426E-52</v>
      </c>
      <c r="CA3574" s="16">
        <f t="shared" si="805"/>
        <v>-999</v>
      </c>
      <c r="CE3574" s="16" t="e">
        <f t="shared" si="799"/>
        <v>#N/A</v>
      </c>
      <c r="CF3574" s="16">
        <f t="shared" si="800"/>
        <v>99</v>
      </c>
      <c r="CG3574" s="16">
        <f t="shared" si="801"/>
        <v>0</v>
      </c>
      <c r="CH3574" s="16">
        <f t="shared" si="797"/>
        <v>0</v>
      </c>
      <c r="CJ3574" s="16" t="e">
        <f t="shared" si="802"/>
        <v>#N/A</v>
      </c>
      <c r="CK3574" s="16" t="str">
        <f t="shared" si="803"/>
        <v/>
      </c>
    </row>
    <row r="3575" spans="73:89" ht="12" customHeight="1">
      <c r="BU3575" s="16">
        <f t="shared" si="804"/>
        <v>0</v>
      </c>
      <c r="BV3575" s="16">
        <f>IF($BY$12=1,NORMDIST(BY3575,$Y$6,$Y$8,TRUE),IF($BY$12=2,IF(BY3575&lt;=$BX$31,0,IF(BY3575&gt;=$BX$32,1,(BY3575-$BX$31)*$BX$33)),SUM($BU$42:BU3575)/$BV$40))</f>
        <v>1</v>
      </c>
      <c r="BW3575" s="16">
        <f t="shared" si="795"/>
        <v>8.1115493945737422E-50</v>
      </c>
      <c r="BY3575" s="16">
        <f t="shared" si="796"/>
        <v>353.30000000001183</v>
      </c>
      <c r="BZ3575" s="16">
        <f t="shared" si="798"/>
        <v>2.2959381247023693E-52</v>
      </c>
      <c r="CA3575" s="16">
        <f t="shared" si="805"/>
        <v>-999</v>
      </c>
      <c r="CE3575" s="16" t="e">
        <f t="shared" si="799"/>
        <v>#N/A</v>
      </c>
      <c r="CF3575" s="16">
        <f t="shared" si="800"/>
        <v>99</v>
      </c>
      <c r="CG3575" s="16">
        <f t="shared" si="801"/>
        <v>0</v>
      </c>
      <c r="CH3575" s="16">
        <f t="shared" si="797"/>
        <v>0</v>
      </c>
      <c r="CJ3575" s="16" t="e">
        <f t="shared" si="802"/>
        <v>#N/A</v>
      </c>
      <c r="CK3575" s="16" t="str">
        <f t="shared" si="803"/>
        <v/>
      </c>
    </row>
    <row r="3576" spans="73:89" ht="12" customHeight="1">
      <c r="BU3576" s="16">
        <f t="shared" si="804"/>
        <v>0</v>
      </c>
      <c r="BV3576" s="16">
        <f>IF($BY$12=1,NORMDIST(BY3576,$Y$6,$Y$8,TRUE),IF($BY$12=2,IF(BY3576&lt;=$BX$31,0,IF(BY3576&gt;=$BX$32,1,(BY3576-$BX$31)*$BX$33)),SUM($BU$42:BU3576)/$BV$40))</f>
        <v>1</v>
      </c>
      <c r="BW3576" s="16">
        <f t="shared" si="795"/>
        <v>7.5212654581989915E-50</v>
      </c>
      <c r="BY3576" s="16">
        <f t="shared" si="796"/>
        <v>353.40000000001186</v>
      </c>
      <c r="BZ3576" s="16">
        <f t="shared" si="798"/>
        <v>2.1282584771360327E-52</v>
      </c>
      <c r="CA3576" s="16">
        <f t="shared" si="805"/>
        <v>-999</v>
      </c>
      <c r="CE3576" s="16" t="e">
        <f t="shared" si="799"/>
        <v>#N/A</v>
      </c>
      <c r="CF3576" s="16">
        <f t="shared" si="800"/>
        <v>99</v>
      </c>
      <c r="CG3576" s="16">
        <f t="shared" si="801"/>
        <v>0</v>
      </c>
      <c r="CH3576" s="16">
        <f t="shared" si="797"/>
        <v>0</v>
      </c>
      <c r="CJ3576" s="16" t="e">
        <f t="shared" si="802"/>
        <v>#N/A</v>
      </c>
      <c r="CK3576" s="16" t="str">
        <f t="shared" si="803"/>
        <v/>
      </c>
    </row>
    <row r="3577" spans="73:89" ht="12" customHeight="1">
      <c r="BU3577" s="16">
        <f t="shared" si="804"/>
        <v>0</v>
      </c>
      <c r="BV3577" s="16">
        <f>IF($BY$12=1,NORMDIST(BY3577,$Y$6,$Y$8,TRUE),IF($BY$12=2,IF(BY3577&lt;=$BX$31,0,IF(BY3577&gt;=$BX$32,1,(BY3577-$BX$31)*$BX$33)),SUM($BU$42:BU3577)/$BV$40))</f>
        <v>1</v>
      </c>
      <c r="BW3577" s="16">
        <f t="shared" si="795"/>
        <v>6.9737620513035963E-50</v>
      </c>
      <c r="BY3577" s="16">
        <f t="shared" si="796"/>
        <v>353.50000000001188</v>
      </c>
      <c r="BZ3577" s="16">
        <f t="shared" si="798"/>
        <v>1.9727756863658732E-52</v>
      </c>
      <c r="CA3577" s="16">
        <f t="shared" si="805"/>
        <v>-999</v>
      </c>
      <c r="CE3577" s="16" t="e">
        <f t="shared" si="799"/>
        <v>#N/A</v>
      </c>
      <c r="CF3577" s="16">
        <f t="shared" si="800"/>
        <v>99</v>
      </c>
      <c r="CG3577" s="16">
        <f t="shared" si="801"/>
        <v>0</v>
      </c>
      <c r="CH3577" s="16">
        <f t="shared" si="797"/>
        <v>0</v>
      </c>
      <c r="CJ3577" s="16" t="e">
        <f t="shared" si="802"/>
        <v>#N/A</v>
      </c>
      <c r="CK3577" s="16" t="str">
        <f t="shared" si="803"/>
        <v/>
      </c>
    </row>
    <row r="3578" spans="73:89" ht="12" customHeight="1">
      <c r="BU3578" s="16">
        <f t="shared" si="804"/>
        <v>0</v>
      </c>
      <c r="BV3578" s="16">
        <f>IF($BY$12=1,NORMDIST(BY3578,$Y$6,$Y$8,TRUE),IF($BY$12=2,IF(BY3578&lt;=$BX$31,0,IF(BY3578&gt;=$BX$32,1,(BY3578-$BX$31)*$BX$33)),SUM($BU$42:BU3578)/$BV$40))</f>
        <v>1</v>
      </c>
      <c r="BW3578" s="16">
        <f t="shared" si="795"/>
        <v>6.4659514689394002E-50</v>
      </c>
      <c r="BY3578" s="16">
        <f t="shared" si="796"/>
        <v>353.6000000000119</v>
      </c>
      <c r="BZ3578" s="16">
        <f t="shared" si="798"/>
        <v>1.8286061846547461E-52</v>
      </c>
      <c r="CA3578" s="16">
        <f t="shared" si="805"/>
        <v>-999</v>
      </c>
      <c r="CE3578" s="16" t="e">
        <f t="shared" si="799"/>
        <v>#N/A</v>
      </c>
      <c r="CF3578" s="16">
        <f t="shared" si="800"/>
        <v>99</v>
      </c>
      <c r="CG3578" s="16">
        <f t="shared" si="801"/>
        <v>0</v>
      </c>
      <c r="CH3578" s="16">
        <f t="shared" si="797"/>
        <v>0</v>
      </c>
      <c r="CJ3578" s="16" t="e">
        <f t="shared" si="802"/>
        <v>#N/A</v>
      </c>
      <c r="CK3578" s="16" t="str">
        <f t="shared" si="803"/>
        <v/>
      </c>
    </row>
    <row r="3579" spans="73:89" ht="12" customHeight="1">
      <c r="BU3579" s="16">
        <f t="shared" si="804"/>
        <v>0</v>
      </c>
      <c r="BV3579" s="16">
        <f>IF($BY$12=1,NORMDIST(BY3579,$Y$6,$Y$8,TRUE),IF($BY$12=2,IF(BY3579&lt;=$BX$31,0,IF(BY3579&gt;=$BX$32,1,(BY3579-$BX$31)*$BX$33)),SUM($BU$42:BU3579)/$BV$40))</f>
        <v>1</v>
      </c>
      <c r="BW3579" s="16">
        <f t="shared" ref="BW3579:BW3642" si="806">BY3579*BZ3579</f>
        <v>5.9949679308317004E-50</v>
      </c>
      <c r="BY3579" s="16">
        <f t="shared" ref="BY3579:BY3642" si="807">BY3578+$BZ$1</f>
        <v>353.70000000001193</v>
      </c>
      <c r="BZ3579" s="16">
        <f t="shared" si="798"/>
        <v>1.694930147252332E-52</v>
      </c>
      <c r="CA3579" s="16">
        <f t="shared" si="805"/>
        <v>-999</v>
      </c>
      <c r="CE3579" s="16" t="e">
        <f t="shared" si="799"/>
        <v>#N/A</v>
      </c>
      <c r="CF3579" s="16">
        <f t="shared" si="800"/>
        <v>99</v>
      </c>
      <c r="CG3579" s="16">
        <f t="shared" si="801"/>
        <v>0</v>
      </c>
      <c r="CH3579" s="16">
        <f t="shared" si="797"/>
        <v>0</v>
      </c>
      <c r="CJ3579" s="16" t="e">
        <f t="shared" si="802"/>
        <v>#N/A</v>
      </c>
      <c r="CK3579" s="16" t="str">
        <f t="shared" si="803"/>
        <v/>
      </c>
    </row>
    <row r="3580" spans="73:89" ht="12" customHeight="1">
      <c r="BU3580" s="16">
        <f t="shared" si="804"/>
        <v>0</v>
      </c>
      <c r="BV3580" s="16">
        <f>IF($BY$12=1,NORMDIST(BY3580,$Y$6,$Y$8,TRUE),IF($BY$12=2,IF(BY3580&lt;=$BX$31,0,IF(BY3580&gt;=$BX$32,1,(BY3580-$BX$31)*$BX$33)),SUM($BU$42:BU3580)/$BV$40))</f>
        <v>1</v>
      </c>
      <c r="BW3580" s="16">
        <f t="shared" si="806"/>
        <v>5.5581516984536092E-50</v>
      </c>
      <c r="BY3580" s="16">
        <f t="shared" si="807"/>
        <v>353.80000000001195</v>
      </c>
      <c r="BZ3580" s="16">
        <f t="shared" si="798"/>
        <v>1.5709869130733244E-52</v>
      </c>
      <c r="CA3580" s="16">
        <f t="shared" si="805"/>
        <v>-999</v>
      </c>
      <c r="CE3580" s="16" t="e">
        <f t="shared" si="799"/>
        <v>#N/A</v>
      </c>
      <c r="CF3580" s="16">
        <f t="shared" si="800"/>
        <v>99</v>
      </c>
      <c r="CG3580" s="16">
        <f t="shared" si="801"/>
        <v>0</v>
      </c>
      <c r="CH3580" s="16">
        <f t="shared" si="797"/>
        <v>0</v>
      </c>
      <c r="CJ3580" s="16" t="e">
        <f t="shared" si="802"/>
        <v>#N/A</v>
      </c>
      <c r="CK3580" s="16" t="str">
        <f t="shared" si="803"/>
        <v/>
      </c>
    </row>
    <row r="3581" spans="73:89" ht="12" customHeight="1">
      <c r="BU3581" s="16">
        <f t="shared" si="804"/>
        <v>0</v>
      </c>
      <c r="BV3581" s="16">
        <f>IF($BY$12=1,NORMDIST(BY3581,$Y$6,$Y$8,TRUE),IF($BY$12=2,IF(BY3581&lt;=$BX$31,0,IF(BY3581&gt;=$BX$32,1,(BY3581-$BX$31)*$BX$33)),SUM($BU$42:BU3581)/$BV$40))</f>
        <v>1</v>
      </c>
      <c r="BW3581" s="16">
        <f t="shared" si="806"/>
        <v>5.1530343239374962E-50</v>
      </c>
      <c r="BY3581" s="16">
        <f t="shared" si="807"/>
        <v>353.90000000001197</v>
      </c>
      <c r="BZ3581" s="16">
        <f t="shared" si="798"/>
        <v>1.4560707329577062E-52</v>
      </c>
      <c r="CA3581" s="16">
        <f t="shared" si="805"/>
        <v>-999</v>
      </c>
      <c r="CE3581" s="16" t="e">
        <f t="shared" si="799"/>
        <v>#N/A</v>
      </c>
      <c r="CF3581" s="16">
        <f t="shared" si="800"/>
        <v>99</v>
      </c>
      <c r="CG3581" s="16">
        <f t="shared" si="801"/>
        <v>0</v>
      </c>
      <c r="CH3581" s="16">
        <f t="shared" si="797"/>
        <v>0</v>
      </c>
      <c r="CJ3581" s="16" t="e">
        <f t="shared" si="802"/>
        <v>#N/A</v>
      </c>
      <c r="CK3581" s="16" t="str">
        <f t="shared" si="803"/>
        <v/>
      </c>
    </row>
    <row r="3582" spans="73:89" ht="12" customHeight="1">
      <c r="BU3582" s="16">
        <f t="shared" si="804"/>
        <v>0</v>
      </c>
      <c r="BV3582" s="16">
        <f>IF($BY$12=1,NORMDIST(BY3582,$Y$6,$Y$8,TRUE),IF($BY$12=2,IF(BY3582&lt;=$BX$31,0,IF(BY3582&gt;=$BX$32,1,(BY3582-$BX$31)*$BX$33)),SUM($BU$42:BU3582)/$BV$40))</f>
        <v>1</v>
      </c>
      <c r="BW3582" s="16">
        <f t="shared" si="806"/>
        <v>4.777324950523846E-50</v>
      </c>
      <c r="BY3582" s="16">
        <f t="shared" si="807"/>
        <v>354.00000000001199</v>
      </c>
      <c r="BZ3582" s="16">
        <f t="shared" si="798"/>
        <v>1.3495268221818318E-52</v>
      </c>
      <c r="CA3582" s="16">
        <f t="shared" si="805"/>
        <v>-999</v>
      </c>
      <c r="CE3582" s="16" t="e">
        <f t="shared" si="799"/>
        <v>#N/A</v>
      </c>
      <c r="CF3582" s="16">
        <f t="shared" si="800"/>
        <v>99</v>
      </c>
      <c r="CG3582" s="16">
        <f t="shared" si="801"/>
        <v>0</v>
      </c>
      <c r="CH3582" s="16">
        <f t="shared" si="797"/>
        <v>0</v>
      </c>
      <c r="CJ3582" s="16" t="e">
        <f t="shared" si="802"/>
        <v>#N/A</v>
      </c>
      <c r="CK3582" s="16" t="str">
        <f t="shared" si="803"/>
        <v/>
      </c>
    </row>
    <row r="3583" spans="73:89" ht="12" customHeight="1">
      <c r="BU3583" s="16">
        <f t="shared" si="804"/>
        <v>0</v>
      </c>
      <c r="BV3583" s="16">
        <f>IF($BY$12=1,NORMDIST(BY3583,$Y$6,$Y$8,TRUE),IF($BY$12=2,IF(BY3583&lt;=$BX$31,0,IF(BY3583&gt;=$BX$32,1,(BY3583-$BX$31)*$BX$33)),SUM($BU$42:BU3583)/$BV$40))</f>
        <v>1</v>
      </c>
      <c r="BW3583" s="16">
        <f t="shared" si="806"/>
        <v>4.4288975899100817E-50</v>
      </c>
      <c r="BY3583" s="16">
        <f t="shared" si="807"/>
        <v>354.10000000001202</v>
      </c>
      <c r="BZ3583" s="16">
        <f t="shared" si="798"/>
        <v>1.2507476955407883E-52</v>
      </c>
      <c r="CA3583" s="16">
        <f t="shared" si="805"/>
        <v>-999</v>
      </c>
      <c r="CE3583" s="16" t="e">
        <f t="shared" si="799"/>
        <v>#N/A</v>
      </c>
      <c r="CF3583" s="16">
        <f t="shared" si="800"/>
        <v>99</v>
      </c>
      <c r="CG3583" s="16">
        <f t="shared" si="801"/>
        <v>0</v>
      </c>
      <c r="CH3583" s="16">
        <f t="shared" si="797"/>
        <v>0</v>
      </c>
      <c r="CJ3583" s="16" t="e">
        <f t="shared" si="802"/>
        <v>#N/A</v>
      </c>
      <c r="CK3583" s="16" t="str">
        <f t="shared" si="803"/>
        <v/>
      </c>
    </row>
    <row r="3584" spans="73:89" ht="12" customHeight="1">
      <c r="BU3584" s="16">
        <f t="shared" si="804"/>
        <v>0</v>
      </c>
      <c r="BV3584" s="16">
        <f>IF($BY$12=1,NORMDIST(BY3584,$Y$6,$Y$8,TRUE),IF($BY$12=2,IF(BY3584&lt;=$BX$31,0,IF(BY3584&gt;=$BX$32,1,(BY3584-$BX$31)*$BX$33)),SUM($BU$42:BU3584)/$BV$40))</f>
        <v>1</v>
      </c>
      <c r="BW3584" s="16">
        <f t="shared" si="806"/>
        <v>4.1057793071439585E-50</v>
      </c>
      <c r="BY3584" s="16">
        <f t="shared" si="807"/>
        <v>354.20000000001204</v>
      </c>
      <c r="BZ3584" s="16">
        <f t="shared" si="798"/>
        <v>1.1591697648627382E-52</v>
      </c>
      <c r="CA3584" s="16">
        <f t="shared" si="805"/>
        <v>-999</v>
      </c>
      <c r="CE3584" s="16" t="e">
        <f t="shared" si="799"/>
        <v>#N/A</v>
      </c>
      <c r="CF3584" s="16">
        <f t="shared" si="800"/>
        <v>99</v>
      </c>
      <c r="CG3584" s="16">
        <f t="shared" si="801"/>
        <v>0</v>
      </c>
      <c r="CH3584" s="16">
        <f t="shared" si="797"/>
        <v>0</v>
      </c>
      <c r="CJ3584" s="16" t="e">
        <f t="shared" si="802"/>
        <v>#N/A</v>
      </c>
      <c r="CK3584" s="16" t="str">
        <f t="shared" si="803"/>
        <v/>
      </c>
    </row>
    <row r="3585" spans="73:89" ht="12" customHeight="1">
      <c r="BU3585" s="16">
        <f t="shared" si="804"/>
        <v>0</v>
      </c>
      <c r="BV3585" s="16">
        <f>IF($BY$12=1,NORMDIST(BY3585,$Y$6,$Y$8,TRUE),IF($BY$12=2,IF(BY3585&lt;=$BX$31,0,IF(BY3585&gt;=$BX$32,1,(BY3585-$BX$31)*$BX$33)),SUM($BU$42:BU3585)/$BV$40))</f>
        <v>1</v>
      </c>
      <c r="BW3585" s="16">
        <f t="shared" si="806"/>
        <v>3.8061392486042641E-50</v>
      </c>
      <c r="BY3585" s="16">
        <f t="shared" si="807"/>
        <v>354.30000000001206</v>
      </c>
      <c r="BZ3585" s="16">
        <f t="shared" si="798"/>
        <v>1.0742701802438991E-52</v>
      </c>
      <c r="CA3585" s="16">
        <f t="shared" si="805"/>
        <v>-999</v>
      </c>
      <c r="CE3585" s="16" t="e">
        <f t="shared" si="799"/>
        <v>#N/A</v>
      </c>
      <c r="CF3585" s="16">
        <f t="shared" si="800"/>
        <v>99</v>
      </c>
      <c r="CG3585" s="16">
        <f t="shared" si="801"/>
        <v>0</v>
      </c>
      <c r="CH3585" s="16">
        <f t="shared" si="797"/>
        <v>0</v>
      </c>
      <c r="CJ3585" s="16" t="e">
        <f t="shared" si="802"/>
        <v>#N/A</v>
      </c>
      <c r="CK3585" s="16" t="str">
        <f t="shared" si="803"/>
        <v/>
      </c>
    </row>
    <row r="3586" spans="73:89" ht="12" customHeight="1">
      <c r="BU3586" s="16">
        <f t="shared" si="804"/>
        <v>0</v>
      </c>
      <c r="BV3586" s="16">
        <f>IF($BY$12=1,NORMDIST(BY3586,$Y$6,$Y$8,TRUE),IF($BY$12=2,IF(BY3586&lt;=$BX$31,0,IF(BY3586&gt;=$BX$32,1,(BY3586-$BX$31)*$BX$33)),SUM($BU$42:BU3586)/$BV$40))</f>
        <v>1</v>
      </c>
      <c r="BW3586" s="16">
        <f t="shared" si="806"/>
        <v>3.5282784531696185E-50</v>
      </c>
      <c r="BY3586" s="16">
        <f t="shared" si="807"/>
        <v>354.40000000001208</v>
      </c>
      <c r="BZ3586" s="16">
        <f t="shared" si="798"/>
        <v>9.9556389762119029E-53</v>
      </c>
      <c r="CA3586" s="16">
        <f t="shared" si="805"/>
        <v>-999</v>
      </c>
      <c r="CE3586" s="16" t="e">
        <f t="shared" si="799"/>
        <v>#N/A</v>
      </c>
      <c r="CF3586" s="16">
        <f t="shared" si="800"/>
        <v>99</v>
      </c>
      <c r="CG3586" s="16">
        <f t="shared" si="801"/>
        <v>0</v>
      </c>
      <c r="CH3586" s="16">
        <f t="shared" si="797"/>
        <v>0</v>
      </c>
      <c r="CJ3586" s="16" t="e">
        <f t="shared" si="802"/>
        <v>#N/A</v>
      </c>
      <c r="CK3586" s="16" t="str">
        <f t="shared" si="803"/>
        <v/>
      </c>
    </row>
    <row r="3587" spans="73:89" ht="12" customHeight="1">
      <c r="BU3587" s="16">
        <f t="shared" si="804"/>
        <v>0</v>
      </c>
      <c r="BV3587" s="16">
        <f>IF($BY$12=1,NORMDIST(BY3587,$Y$6,$Y$8,TRUE),IF($BY$12=2,IF(BY3587&lt;=$BX$31,0,IF(BY3587&gt;=$BX$32,1,(BY3587-$BX$31)*$BX$33)),SUM($BU$42:BU3587)/$BV$40))</f>
        <v>1</v>
      </c>
      <c r="BW3587" s="16">
        <f t="shared" si="806"/>
        <v>3.270620390915131E-50</v>
      </c>
      <c r="BY3587" s="16">
        <f t="shared" si="807"/>
        <v>354.50000000001211</v>
      </c>
      <c r="BZ3587" s="16">
        <f t="shared" si="798"/>
        <v>9.2260095653456118E-53</v>
      </c>
      <c r="CA3587" s="16">
        <f t="shared" si="805"/>
        <v>-999</v>
      </c>
      <c r="CE3587" s="16" t="e">
        <f t="shared" si="799"/>
        <v>#N/A</v>
      </c>
      <c r="CF3587" s="16">
        <f t="shared" si="800"/>
        <v>99</v>
      </c>
      <c r="CG3587" s="16">
        <f t="shared" si="801"/>
        <v>0</v>
      </c>
      <c r="CH3587" s="16">
        <f t="shared" ref="CH3587:CH3650" si="808">IF(CB3587="",0,1)</f>
        <v>0</v>
      </c>
      <c r="CJ3587" s="16" t="e">
        <f t="shared" si="802"/>
        <v>#N/A</v>
      </c>
      <c r="CK3587" s="16" t="str">
        <f t="shared" si="803"/>
        <v/>
      </c>
    </row>
    <row r="3588" spans="73:89" ht="12" customHeight="1">
      <c r="BU3588" s="16">
        <f t="shared" si="804"/>
        <v>0</v>
      </c>
      <c r="BV3588" s="16">
        <f>IF($BY$12=1,NORMDIST(BY3588,$Y$6,$Y$8,TRUE),IF($BY$12=2,IF(BY3588&lt;=$BX$31,0,IF(BY3588&gt;=$BX$32,1,(BY3588-$BX$31)*$BX$33)),SUM($BU$42:BU3588)/$BV$40))</f>
        <v>1</v>
      </c>
      <c r="BW3588" s="16">
        <f t="shared" si="806"/>
        <v>3.0317021776125435E-50</v>
      </c>
      <c r="BY3588" s="16">
        <f t="shared" si="807"/>
        <v>354.60000000001213</v>
      </c>
      <c r="BZ3588" s="16">
        <f t="shared" si="798"/>
        <v>8.5496395307739421E-53</v>
      </c>
      <c r="CA3588" s="16">
        <f t="shared" si="805"/>
        <v>-999</v>
      </c>
      <c r="CE3588" s="16" t="e">
        <f t="shared" si="799"/>
        <v>#N/A</v>
      </c>
      <c r="CF3588" s="16">
        <f t="shared" si="800"/>
        <v>99</v>
      </c>
      <c r="CG3588" s="16">
        <f t="shared" si="801"/>
        <v>0</v>
      </c>
      <c r="CH3588" s="16">
        <f t="shared" si="808"/>
        <v>0</v>
      </c>
      <c r="CJ3588" s="16" t="e">
        <f t="shared" si="802"/>
        <v>#N/A</v>
      </c>
      <c r="CK3588" s="16" t="str">
        <f t="shared" si="803"/>
        <v/>
      </c>
    </row>
    <row r="3589" spans="73:89" ht="12" customHeight="1">
      <c r="BU3589" s="16">
        <f t="shared" si="804"/>
        <v>0</v>
      </c>
      <c r="BV3589" s="16">
        <f>IF($BY$12=1,NORMDIST(BY3589,$Y$6,$Y$8,TRUE),IF($BY$12=2,IF(BY3589&lt;=$BX$31,0,IF(BY3589&gt;=$BX$32,1,(BY3589-$BX$31)*$BX$33)),SUM($BU$42:BU3589)/$BV$40))</f>
        <v>1</v>
      </c>
      <c r="BW3589" s="16">
        <f t="shared" si="806"/>
        <v>2.8101664169726395E-50</v>
      </c>
      <c r="BY3589" s="16">
        <f t="shared" si="807"/>
        <v>354.70000000001215</v>
      </c>
      <c r="BZ3589" s="16">
        <f t="shared" si="798"/>
        <v>7.9226569409995583E-53</v>
      </c>
      <c r="CA3589" s="16">
        <f t="shared" si="805"/>
        <v>-999</v>
      </c>
      <c r="CE3589" s="16" t="e">
        <f t="shared" si="799"/>
        <v>#N/A</v>
      </c>
      <c r="CF3589" s="16">
        <f t="shared" si="800"/>
        <v>99</v>
      </c>
      <c r="CG3589" s="16">
        <f t="shared" si="801"/>
        <v>0</v>
      </c>
      <c r="CH3589" s="16">
        <f t="shared" si="808"/>
        <v>0</v>
      </c>
      <c r="CJ3589" s="16" t="e">
        <f t="shared" si="802"/>
        <v>#N/A</v>
      </c>
      <c r="CK3589" s="16" t="str">
        <f t="shared" si="803"/>
        <v/>
      </c>
    </row>
    <row r="3590" spans="73:89" ht="12" customHeight="1">
      <c r="BU3590" s="16">
        <f t="shared" si="804"/>
        <v>0</v>
      </c>
      <c r="BV3590" s="16">
        <f>IF($BY$12=1,NORMDIST(BY3590,$Y$6,$Y$8,TRUE),IF($BY$12=2,IF(BY3590&lt;=$BX$31,0,IF(BY3590&gt;=$BX$32,1,(BY3590-$BX$31)*$BX$33)),SUM($BU$42:BU3590)/$BV$40))</f>
        <v>1</v>
      </c>
      <c r="BW3590" s="16">
        <f t="shared" si="806"/>
        <v>2.6047536259698476E-50</v>
      </c>
      <c r="BY3590" s="16">
        <f t="shared" si="807"/>
        <v>354.80000000001218</v>
      </c>
      <c r="BZ3590" s="16">
        <f t="shared" si="798"/>
        <v>7.3414701972090137E-53</v>
      </c>
      <c r="CA3590" s="16">
        <f t="shared" si="805"/>
        <v>-999</v>
      </c>
      <c r="CE3590" s="16" t="e">
        <f t="shared" si="799"/>
        <v>#N/A</v>
      </c>
      <c r="CF3590" s="16">
        <f t="shared" si="800"/>
        <v>99</v>
      </c>
      <c r="CG3590" s="16">
        <f t="shared" si="801"/>
        <v>0</v>
      </c>
      <c r="CH3590" s="16">
        <f t="shared" si="808"/>
        <v>0</v>
      </c>
      <c r="CJ3590" s="16" t="e">
        <f t="shared" si="802"/>
        <v>#N/A</v>
      </c>
      <c r="CK3590" s="16" t="str">
        <f t="shared" si="803"/>
        <v/>
      </c>
    </row>
    <row r="3591" spans="73:89" ht="12" customHeight="1">
      <c r="BU3591" s="16">
        <f t="shared" si="804"/>
        <v>0</v>
      </c>
      <c r="BV3591" s="16">
        <f>IF($BY$12=1,NORMDIST(BY3591,$Y$6,$Y$8,TRUE),IF($BY$12=2,IF(BY3591&lt;=$BX$31,0,IF(BY3591&gt;=$BX$32,1,(BY3591-$BX$31)*$BX$33)),SUM($BU$42:BU3591)/$BV$40))</f>
        <v>1</v>
      </c>
      <c r="BW3591" s="16">
        <f t="shared" si="806"/>
        <v>2.4142952017545249E-50</v>
      </c>
      <c r="BY3591" s="16">
        <f t="shared" si="807"/>
        <v>354.9000000000122</v>
      </c>
      <c r="BZ3591" s="16">
        <f t="shared" si="798"/>
        <v>6.8027478212297602E-53</v>
      </c>
      <c r="CA3591" s="16">
        <f t="shared" si="805"/>
        <v>-999</v>
      </c>
      <c r="CE3591" s="16" t="e">
        <f t="shared" si="799"/>
        <v>#N/A</v>
      </c>
      <c r="CF3591" s="16">
        <f t="shared" si="800"/>
        <v>99</v>
      </c>
      <c r="CG3591" s="16">
        <f t="shared" si="801"/>
        <v>0</v>
      </c>
      <c r="CH3591" s="16">
        <f t="shared" si="808"/>
        <v>0</v>
      </c>
      <c r="CJ3591" s="16" t="e">
        <f t="shared" si="802"/>
        <v>#N/A</v>
      </c>
      <c r="CK3591" s="16" t="str">
        <f t="shared" si="803"/>
        <v/>
      </c>
    </row>
    <row r="3592" spans="73:89" ht="12" customHeight="1">
      <c r="BU3592" s="16">
        <f t="shared" si="804"/>
        <v>0</v>
      </c>
      <c r="BV3592" s="16">
        <f>IF($BY$12=1,NORMDIST(BY3592,$Y$6,$Y$8,TRUE),IF($BY$12=2,IF(BY3592&lt;=$BX$31,0,IF(BY3592&gt;=$BX$32,1,(BY3592-$BX$31)*$BX$33)),SUM($BU$42:BU3592)/$BV$40))</f>
        <v>1</v>
      </c>
      <c r="BW3592" s="16">
        <f t="shared" si="806"/>
        <v>2.2377068915955439E-50</v>
      </c>
      <c r="BY3592" s="16">
        <f t="shared" si="807"/>
        <v>355.00000000001222</v>
      </c>
      <c r="BZ3592" s="16">
        <f t="shared" si="798"/>
        <v>6.3033996946351176E-53</v>
      </c>
      <c r="CA3592" s="16">
        <f t="shared" si="805"/>
        <v>-999</v>
      </c>
      <c r="CE3592" s="16" t="e">
        <f t="shared" si="799"/>
        <v>#N/A</v>
      </c>
      <c r="CF3592" s="16">
        <f t="shared" si="800"/>
        <v>99</v>
      </c>
      <c r="CG3592" s="16">
        <f t="shared" si="801"/>
        <v>0</v>
      </c>
      <c r="CH3592" s="16">
        <f t="shared" si="808"/>
        <v>0</v>
      </c>
      <c r="CJ3592" s="16" t="e">
        <f t="shared" si="802"/>
        <v>#N/A</v>
      </c>
      <c r="CK3592" s="16" t="str">
        <f t="shared" si="803"/>
        <v/>
      </c>
    </row>
    <row r="3593" spans="73:89" ht="12" customHeight="1">
      <c r="BU3593" s="16">
        <f t="shared" si="804"/>
        <v>0</v>
      </c>
      <c r="BV3593" s="16">
        <f>IF($BY$12=1,NORMDIST(BY3593,$Y$6,$Y$8,TRUE),IF($BY$12=2,IF(BY3593&lt;=$BX$31,0,IF(BY3593&gt;=$BX$32,1,(BY3593-$BX$31)*$BX$33)),SUM($BU$42:BU3593)/$BV$40))</f>
        <v>1</v>
      </c>
      <c r="BW3593" s="16">
        <f t="shared" si="806"/>
        <v>2.0739827300315522E-50</v>
      </c>
      <c r="BY3593" s="16">
        <f t="shared" si="807"/>
        <v>355.10000000001224</v>
      </c>
      <c r="BZ3593" s="16">
        <f t="shared" si="798"/>
        <v>5.8405596452590278E-53</v>
      </c>
      <c r="CA3593" s="16">
        <f t="shared" si="805"/>
        <v>-999</v>
      </c>
      <c r="CE3593" s="16" t="e">
        <f t="shared" si="799"/>
        <v>#N/A</v>
      </c>
      <c r="CF3593" s="16">
        <f t="shared" si="800"/>
        <v>99</v>
      </c>
      <c r="CG3593" s="16">
        <f t="shared" si="801"/>
        <v>0</v>
      </c>
      <c r="CH3593" s="16">
        <f t="shared" si="808"/>
        <v>0</v>
      </c>
      <c r="CJ3593" s="16" t="e">
        <f t="shared" si="802"/>
        <v>#N/A</v>
      </c>
      <c r="CK3593" s="16" t="str">
        <f t="shared" si="803"/>
        <v/>
      </c>
    </row>
    <row r="3594" spans="73:89" ht="12" customHeight="1">
      <c r="BU3594" s="16">
        <f t="shared" si="804"/>
        <v>0</v>
      </c>
      <c r="BV3594" s="16">
        <f>IF($BY$12=1,NORMDIST(BY3594,$Y$6,$Y$8,TRUE),IF($BY$12=2,IF(BY3594&lt;=$BX$31,0,IF(BY3594&gt;=$BX$32,1,(BY3594-$BX$31)*$BX$33)),SUM($BU$42:BU3594)/$BV$40))</f>
        <v>1</v>
      </c>
      <c r="BW3594" s="16">
        <f t="shared" si="806"/>
        <v>1.9221894099475051E-50</v>
      </c>
      <c r="BY3594" s="16">
        <f t="shared" si="807"/>
        <v>355.20000000001227</v>
      </c>
      <c r="BZ3594" s="16">
        <f t="shared" si="798"/>
        <v>5.4115692847619331E-53</v>
      </c>
      <c r="CA3594" s="16">
        <f t="shared" si="805"/>
        <v>-999</v>
      </c>
      <c r="CE3594" s="16" t="e">
        <f t="shared" si="799"/>
        <v>#N/A</v>
      </c>
      <c r="CF3594" s="16">
        <f t="shared" si="800"/>
        <v>99</v>
      </c>
      <c r="CG3594" s="16">
        <f t="shared" si="801"/>
        <v>0</v>
      </c>
      <c r="CH3594" s="16">
        <f t="shared" si="808"/>
        <v>0</v>
      </c>
      <c r="CJ3594" s="16" t="e">
        <f t="shared" si="802"/>
        <v>#N/A</v>
      </c>
      <c r="CK3594" s="16" t="str">
        <f t="shared" si="803"/>
        <v/>
      </c>
    </row>
    <row r="3595" spans="73:89" ht="12" customHeight="1">
      <c r="BU3595" s="16">
        <f t="shared" si="804"/>
        <v>0</v>
      </c>
      <c r="BV3595" s="16">
        <f>IF($BY$12=1,NORMDIST(BY3595,$Y$6,$Y$8,TRUE),IF($BY$12=2,IF(BY3595&lt;=$BX$31,0,IF(BY3595&gt;=$BX$32,1,(BY3595-$BX$31)*$BX$33)),SUM($BU$42:BU3595)/$BV$40))</f>
        <v>1</v>
      </c>
      <c r="BW3595" s="16">
        <f t="shared" si="806"/>
        <v>1.7814610566530473E-50</v>
      </c>
      <c r="BY3595" s="16">
        <f t="shared" si="807"/>
        <v>355.30000000001229</v>
      </c>
      <c r="BZ3595" s="16">
        <f t="shared" si="798"/>
        <v>5.0139630077483416E-53</v>
      </c>
      <c r="CA3595" s="16">
        <f t="shared" si="805"/>
        <v>-999</v>
      </c>
      <c r="CE3595" s="16" t="e">
        <f t="shared" si="799"/>
        <v>#N/A</v>
      </c>
      <c r="CF3595" s="16">
        <f t="shared" si="800"/>
        <v>99</v>
      </c>
      <c r="CG3595" s="16">
        <f t="shared" si="801"/>
        <v>0</v>
      </c>
      <c r="CH3595" s="16">
        <f t="shared" si="808"/>
        <v>0</v>
      </c>
      <c r="CJ3595" s="16" t="e">
        <f t="shared" si="802"/>
        <v>#N/A</v>
      </c>
      <c r="CK3595" s="16" t="str">
        <f t="shared" si="803"/>
        <v/>
      </c>
    </row>
    <row r="3596" spans="73:89" ht="12" customHeight="1">
      <c r="BU3596" s="16">
        <f t="shared" si="804"/>
        <v>0</v>
      </c>
      <c r="BV3596" s="16">
        <f>IF($BY$12=1,NORMDIST(BY3596,$Y$6,$Y$8,TRUE),IF($BY$12=2,IF(BY3596&lt;=$BX$31,0,IF(BY3596&gt;=$BX$32,1,(BY3596-$BX$31)*$BX$33)),SUM($BU$42:BU3596)/$BV$40))</f>
        <v>1</v>
      </c>
      <c r="BW3596" s="16">
        <f t="shared" si="806"/>
        <v>1.6509943762360285E-50</v>
      </c>
      <c r="BY3596" s="16">
        <f t="shared" si="807"/>
        <v>355.40000000001231</v>
      </c>
      <c r="BZ3596" s="16">
        <f t="shared" si="798"/>
        <v>4.6454540693189962E-53</v>
      </c>
      <c r="CA3596" s="16">
        <f t="shared" si="805"/>
        <v>-999</v>
      </c>
      <c r="CE3596" s="16" t="e">
        <f t="shared" si="799"/>
        <v>#N/A</v>
      </c>
      <c r="CF3596" s="16">
        <f t="shared" si="800"/>
        <v>99</v>
      </c>
      <c r="CG3596" s="16">
        <f t="shared" si="801"/>
        <v>0</v>
      </c>
      <c r="CH3596" s="16">
        <f t="shared" si="808"/>
        <v>0</v>
      </c>
      <c r="CJ3596" s="16" t="e">
        <f t="shared" si="802"/>
        <v>#N/A</v>
      </c>
      <c r="CK3596" s="16" t="str">
        <f t="shared" si="803"/>
        <v/>
      </c>
    </row>
    <row r="3597" spans="73:89" ht="12" customHeight="1">
      <c r="BU3597" s="16">
        <f t="shared" si="804"/>
        <v>0</v>
      </c>
      <c r="BV3597" s="16">
        <f>IF($BY$12=1,NORMDIST(BY3597,$Y$6,$Y$8,TRUE),IF($BY$12=2,IF(BY3597&lt;=$BX$31,0,IF(BY3597&gt;=$BX$32,1,(BY3597-$BX$31)*$BX$33)),SUM($BU$42:BU3597)/$BV$40))</f>
        <v>1</v>
      </c>
      <c r="BW3597" s="16">
        <f t="shared" si="806"/>
        <v>1.5300441515000028E-50</v>
      </c>
      <c r="BY3597" s="16">
        <f t="shared" si="807"/>
        <v>355.50000000001234</v>
      </c>
      <c r="BZ3597" s="16">
        <f t="shared" si="798"/>
        <v>4.3039216638535861E-53</v>
      </c>
      <c r="CA3597" s="16">
        <f t="shared" si="805"/>
        <v>-999</v>
      </c>
      <c r="CE3597" s="16" t="e">
        <f t="shared" si="799"/>
        <v>#N/A</v>
      </c>
      <c r="CF3597" s="16">
        <f t="shared" si="800"/>
        <v>99</v>
      </c>
      <c r="CG3597" s="16">
        <f t="shared" si="801"/>
        <v>0</v>
      </c>
      <c r="CH3597" s="16">
        <f t="shared" si="808"/>
        <v>0</v>
      </c>
      <c r="CJ3597" s="16" t="e">
        <f t="shared" si="802"/>
        <v>#N/A</v>
      </c>
      <c r="CK3597" s="16" t="str">
        <f t="shared" si="803"/>
        <v/>
      </c>
    </row>
    <row r="3598" spans="73:89" ht="12" customHeight="1">
      <c r="BU3598" s="16">
        <f t="shared" si="804"/>
        <v>0</v>
      </c>
      <c r="BV3598" s="16">
        <f>IF($BY$12=1,NORMDIST(BY3598,$Y$6,$Y$8,TRUE),IF($BY$12=2,IF(BY3598&lt;=$BX$31,0,IF(BY3598&gt;=$BX$32,1,(BY3598-$BX$31)*$BX$33)),SUM($BU$42:BU3598)/$BV$40))</f>
        <v>1</v>
      </c>
      <c r="BW3598" s="16">
        <f t="shared" si="806"/>
        <v>1.4179190606920748E-50</v>
      </c>
      <c r="BY3598" s="16">
        <f t="shared" si="807"/>
        <v>355.60000000001236</v>
      </c>
      <c r="BZ3598" s="16">
        <f t="shared" si="798"/>
        <v>3.987398933329656E-53</v>
      </c>
      <c r="CA3598" s="16">
        <f t="shared" si="805"/>
        <v>-999</v>
      </c>
      <c r="CE3598" s="16" t="e">
        <f t="shared" si="799"/>
        <v>#N/A</v>
      </c>
      <c r="CF3598" s="16">
        <f t="shared" si="800"/>
        <v>99</v>
      </c>
      <c r="CG3598" s="16">
        <f t="shared" si="801"/>
        <v>0</v>
      </c>
      <c r="CH3598" s="16">
        <f t="shared" si="808"/>
        <v>0</v>
      </c>
      <c r="CJ3598" s="16" t="e">
        <f t="shared" si="802"/>
        <v>#N/A</v>
      </c>
      <c r="CK3598" s="16" t="str">
        <f t="shared" si="803"/>
        <v/>
      </c>
    </row>
    <row r="3599" spans="73:89" ht="12" customHeight="1">
      <c r="BU3599" s="16">
        <f t="shared" si="804"/>
        <v>0</v>
      </c>
      <c r="BV3599" s="16">
        <f>IF($BY$12=1,NORMDIST(BY3599,$Y$6,$Y$8,TRUE),IF($BY$12=2,IF(BY3599&lt;=$BX$31,0,IF(BY3599&gt;=$BX$32,1,(BY3599-$BX$31)*$BX$33)),SUM($BU$42:BU3599)/$BV$40))</f>
        <v>1</v>
      </c>
      <c r="BW3599" s="16">
        <f t="shared" si="806"/>
        <v>1.3139777959872063E-50</v>
      </c>
      <c r="BY3599" s="16">
        <f t="shared" si="807"/>
        <v>355.70000000001238</v>
      </c>
      <c r="BZ3599" s="16">
        <f t="shared" si="798"/>
        <v>3.6940618385919609E-53</v>
      </c>
      <c r="CA3599" s="16">
        <f t="shared" si="805"/>
        <v>-999</v>
      </c>
      <c r="CE3599" s="16" t="e">
        <f t="shared" si="799"/>
        <v>#N/A</v>
      </c>
      <c r="CF3599" s="16">
        <f t="shared" si="800"/>
        <v>99</v>
      </c>
      <c r="CG3599" s="16">
        <f t="shared" si="801"/>
        <v>0</v>
      </c>
      <c r="CH3599" s="16">
        <f t="shared" si="808"/>
        <v>0</v>
      </c>
      <c r="CJ3599" s="16" t="e">
        <f t="shared" si="802"/>
        <v>#N/A</v>
      </c>
      <c r="CK3599" s="16" t="str">
        <f t="shared" si="803"/>
        <v/>
      </c>
    </row>
    <row r="3600" spans="73:89" ht="12" customHeight="1">
      <c r="BU3600" s="16">
        <f t="shared" si="804"/>
        <v>0</v>
      </c>
      <c r="BV3600" s="16">
        <f>IF($BY$12=1,NORMDIST(BY3600,$Y$6,$Y$8,TRUE),IF($BY$12=2,IF(BY3600&lt;=$BX$31,0,IF(BY3600&gt;=$BX$32,1,(BY3600-$BX$31)*$BX$33)),SUM($BU$42:BU3600)/$BV$40))</f>
        <v>1</v>
      </c>
      <c r="BW3600" s="16">
        <f t="shared" si="806"/>
        <v>1.217625460331658E-50</v>
      </c>
      <c r="BY3600" s="16">
        <f t="shared" si="807"/>
        <v>355.8000000000124</v>
      </c>
      <c r="BZ3600" s="16">
        <f t="shared" si="798"/>
        <v>3.4222188317358501E-53</v>
      </c>
      <c r="CA3600" s="16">
        <f t="shared" si="805"/>
        <v>-999</v>
      </c>
      <c r="CE3600" s="16" t="e">
        <f t="shared" si="799"/>
        <v>#N/A</v>
      </c>
      <c r="CF3600" s="16">
        <f t="shared" si="800"/>
        <v>99</v>
      </c>
      <c r="CG3600" s="16">
        <f t="shared" si="801"/>
        <v>0</v>
      </c>
      <c r="CH3600" s="16">
        <f t="shared" si="808"/>
        <v>0</v>
      </c>
      <c r="CJ3600" s="16" t="e">
        <f t="shared" si="802"/>
        <v>#N/A</v>
      </c>
      <c r="CK3600" s="16" t="str">
        <f t="shared" si="803"/>
        <v/>
      </c>
    </row>
    <row r="3601" spans="73:89" ht="12" customHeight="1">
      <c r="BU3601" s="16">
        <f t="shared" si="804"/>
        <v>0</v>
      </c>
      <c r="BV3601" s="16">
        <f>IF($BY$12=1,NORMDIST(BY3601,$Y$6,$Y$8,TRUE),IF($BY$12=2,IF(BY3601&lt;=$BX$31,0,IF(BY3601&gt;=$BX$32,1,(BY3601-$BX$31)*$BX$33)),SUM($BU$42:BU3601)/$BV$40))</f>
        <v>1</v>
      </c>
      <c r="BW3601" s="16">
        <f t="shared" si="806"/>
        <v>1.1283102227692935E-50</v>
      </c>
      <c r="BY3601" s="16">
        <f t="shared" si="807"/>
        <v>355.90000000001243</v>
      </c>
      <c r="BZ3601" s="16">
        <f t="shared" si="798"/>
        <v>3.1703012721811021E-53</v>
      </c>
      <c r="CA3601" s="16">
        <f t="shared" si="805"/>
        <v>-999</v>
      </c>
      <c r="CE3601" s="16" t="e">
        <f t="shared" si="799"/>
        <v>#N/A</v>
      </c>
      <c r="CF3601" s="16">
        <f t="shared" si="800"/>
        <v>99</v>
      </c>
      <c r="CG3601" s="16">
        <f t="shared" si="801"/>
        <v>0</v>
      </c>
      <c r="CH3601" s="16">
        <f t="shared" si="808"/>
        <v>0</v>
      </c>
      <c r="CJ3601" s="16" t="e">
        <f t="shared" si="802"/>
        <v>#N/A</v>
      </c>
      <c r="CK3601" s="16" t="str">
        <f t="shared" si="803"/>
        <v/>
      </c>
    </row>
    <row r="3602" spans="73:89" ht="12" customHeight="1">
      <c r="BU3602" s="16">
        <f t="shared" si="804"/>
        <v>0</v>
      </c>
      <c r="BV3602" s="16">
        <f>IF($BY$12=1,NORMDIST(BY3602,$Y$6,$Y$8,TRUE),IF($BY$12=2,IF(BY3602&lt;=$BX$31,0,IF(BY3602&gt;=$BX$32,1,(BY3602-$BX$31)*$BX$33)),SUM($BU$42:BU3602)/$BV$40))</f>
        <v>1</v>
      </c>
      <c r="BW3602" s="16">
        <f t="shared" si="806"/>
        <v>1.0455202137874342E-50</v>
      </c>
      <c r="BY3602" s="16">
        <f t="shared" si="807"/>
        <v>356.00000000001245</v>
      </c>
      <c r="BZ3602" s="16">
        <f t="shared" si="798"/>
        <v>2.9368545331106675E-53</v>
      </c>
      <c r="CA3602" s="16">
        <f t="shared" si="805"/>
        <v>-999</v>
      </c>
      <c r="CE3602" s="16" t="e">
        <f t="shared" si="799"/>
        <v>#N/A</v>
      </c>
      <c r="CF3602" s="16">
        <f t="shared" si="800"/>
        <v>99</v>
      </c>
      <c r="CG3602" s="16">
        <f t="shared" si="801"/>
        <v>0</v>
      </c>
      <c r="CH3602" s="16">
        <f t="shared" si="808"/>
        <v>0</v>
      </c>
      <c r="CJ3602" s="16" t="e">
        <f t="shared" si="802"/>
        <v>#N/A</v>
      </c>
      <c r="CK3602" s="16" t="str">
        <f t="shared" si="803"/>
        <v/>
      </c>
    </row>
    <row r="3603" spans="73:89" ht="12" customHeight="1">
      <c r="BU3603" s="16">
        <f t="shared" si="804"/>
        <v>0</v>
      </c>
      <c r="BV3603" s="16">
        <f>IF($BY$12=1,NORMDIST(BY3603,$Y$6,$Y$8,TRUE),IF($BY$12=2,IF(BY3603&lt;=$BX$31,0,IF(BY3603&gt;=$BX$32,1,(BY3603-$BX$31)*$BX$33)),SUM($BU$42:BU3603)/$BV$40))</f>
        <v>1</v>
      </c>
      <c r="BW3603" s="16">
        <f t="shared" si="806"/>
        <v>9.6878064353168391E-51</v>
      </c>
      <c r="BY3603" s="16">
        <f t="shared" si="807"/>
        <v>356.10000000001247</v>
      </c>
      <c r="BZ3603" s="16">
        <f t="shared" si="798"/>
        <v>2.7205297487549845E-53</v>
      </c>
      <c r="CA3603" s="16">
        <f t="shared" si="805"/>
        <v>-999</v>
      </c>
      <c r="CE3603" s="16" t="e">
        <f t="shared" si="799"/>
        <v>#N/A</v>
      </c>
      <c r="CF3603" s="16">
        <f t="shared" si="800"/>
        <v>99</v>
      </c>
      <c r="CG3603" s="16">
        <f t="shared" si="801"/>
        <v>0</v>
      </c>
      <c r="CH3603" s="16">
        <f t="shared" si="808"/>
        <v>0</v>
      </c>
      <c r="CJ3603" s="16" t="e">
        <f t="shared" si="802"/>
        <v>#N/A</v>
      </c>
      <c r="CK3603" s="16" t="str">
        <f t="shared" si="803"/>
        <v/>
      </c>
    </row>
    <row r="3604" spans="73:89" ht="12" customHeight="1">
      <c r="BU3604" s="16">
        <f t="shared" si="804"/>
        <v>0</v>
      </c>
      <c r="BV3604" s="16">
        <f>IF($BY$12=1,NORMDIST(BY3604,$Y$6,$Y$8,TRUE),IF($BY$12=2,IF(BY3604&lt;=$BX$31,0,IF(BY3604&gt;=$BX$32,1,(BY3604-$BX$31)*$BX$33)),SUM($BU$42:BU3604)/$BV$40))</f>
        <v>1</v>
      </c>
      <c r="BW3604" s="16">
        <f t="shared" si="806"/>
        <v>8.9765112695983689E-51</v>
      </c>
      <c r="BY3604" s="16">
        <f t="shared" si="807"/>
        <v>356.20000000001249</v>
      </c>
      <c r="BZ3604" s="16">
        <f t="shared" si="798"/>
        <v>2.5200761565407227E-53</v>
      </c>
      <c r="CA3604" s="16">
        <f t="shared" si="805"/>
        <v>-999</v>
      </c>
      <c r="CE3604" s="16" t="e">
        <f t="shared" si="799"/>
        <v>#N/A</v>
      </c>
      <c r="CF3604" s="16">
        <f t="shared" si="800"/>
        <v>99</v>
      </c>
      <c r="CG3604" s="16">
        <f t="shared" si="801"/>
        <v>0</v>
      </c>
      <c r="CH3604" s="16">
        <f t="shared" si="808"/>
        <v>0</v>
      </c>
      <c r="CJ3604" s="16" t="e">
        <f t="shared" si="802"/>
        <v>#N/A</v>
      </c>
      <c r="CK3604" s="16" t="str">
        <f t="shared" si="803"/>
        <v/>
      </c>
    </row>
    <row r="3605" spans="73:89" ht="12" customHeight="1">
      <c r="BU3605" s="16">
        <f t="shared" si="804"/>
        <v>0</v>
      </c>
      <c r="BV3605" s="16">
        <f>IF($BY$12=1,NORMDIST(BY3605,$Y$6,$Y$8,TRUE),IF($BY$12=2,IF(BY3605&lt;=$BX$31,0,IF(BY3605&gt;=$BX$32,1,(BY3605-$BX$31)*$BX$33)),SUM($BU$42:BU3605)/$BV$40))</f>
        <v>1</v>
      </c>
      <c r="BW3605" s="16">
        <f t="shared" si="806"/>
        <v>8.3172320113849129E-51</v>
      </c>
      <c r="BY3605" s="16">
        <f t="shared" si="807"/>
        <v>356.30000000001252</v>
      </c>
      <c r="BZ3605" s="16">
        <f t="shared" si="798"/>
        <v>2.3343339914074154E-53</v>
      </c>
      <c r="CA3605" s="16">
        <f t="shared" si="805"/>
        <v>-999</v>
      </c>
      <c r="CE3605" s="16" t="e">
        <f t="shared" si="799"/>
        <v>#N/A</v>
      </c>
      <c r="CF3605" s="16">
        <f t="shared" si="800"/>
        <v>99</v>
      </c>
      <c r="CG3605" s="16">
        <f t="shared" si="801"/>
        <v>0</v>
      </c>
      <c r="CH3605" s="16">
        <f t="shared" si="808"/>
        <v>0</v>
      </c>
      <c r="CJ3605" s="16" t="e">
        <f t="shared" si="802"/>
        <v>#N/A</v>
      </c>
      <c r="CK3605" s="16" t="str">
        <f t="shared" si="803"/>
        <v/>
      </c>
    </row>
    <row r="3606" spans="73:89" ht="12" customHeight="1">
      <c r="BU3606" s="16">
        <f t="shared" si="804"/>
        <v>0</v>
      </c>
      <c r="BV3606" s="16">
        <f>IF($BY$12=1,NORMDIST(BY3606,$Y$6,$Y$8,TRUE),IF($BY$12=2,IF(BY3606&lt;=$BX$31,0,IF(BY3606&gt;=$BX$32,1,(BY3606-$BX$31)*$BX$33)),SUM($BU$42:BU3606)/$BV$40))</f>
        <v>1</v>
      </c>
      <c r="BW3606" s="16">
        <f t="shared" si="806"/>
        <v>7.7061802093890277E-51</v>
      </c>
      <c r="BY3606" s="16">
        <f t="shared" si="807"/>
        <v>356.40000000001254</v>
      </c>
      <c r="BZ3606" s="16">
        <f t="shared" si="798"/>
        <v>2.1622278926455547E-53</v>
      </c>
      <c r="CA3606" s="16">
        <f t="shared" si="805"/>
        <v>-999</v>
      </c>
      <c r="CE3606" s="16" t="e">
        <f t="shared" si="799"/>
        <v>#N/A</v>
      </c>
      <c r="CF3606" s="16">
        <f t="shared" si="800"/>
        <v>99</v>
      </c>
      <c r="CG3606" s="16">
        <f t="shared" si="801"/>
        <v>0</v>
      </c>
      <c r="CH3606" s="16">
        <f t="shared" si="808"/>
        <v>0</v>
      </c>
      <c r="CJ3606" s="16" t="e">
        <f t="shared" si="802"/>
        <v>#N/A</v>
      </c>
      <c r="CK3606" s="16" t="str">
        <f t="shared" si="803"/>
        <v/>
      </c>
    </row>
    <row r="3607" spans="73:89" ht="12" customHeight="1">
      <c r="BU3607" s="16">
        <f t="shared" si="804"/>
        <v>0</v>
      </c>
      <c r="BV3607" s="16">
        <f>IF($BY$12=1,NORMDIST(BY3607,$Y$6,$Y$8,TRUE),IF($BY$12=2,IF(BY3607&lt;=$BX$31,0,IF(BY3607&gt;=$BX$32,1,(BY3607-$BX$31)*$BX$33)),SUM($BU$42:BU3607)/$BV$40))</f>
        <v>1</v>
      </c>
      <c r="BW3607" s="16">
        <f t="shared" si="806"/>
        <v>7.1398422036805864E-51</v>
      </c>
      <c r="BY3607" s="16">
        <f t="shared" si="807"/>
        <v>356.50000000001256</v>
      </c>
      <c r="BZ3607" s="16">
        <f t="shared" si="798"/>
        <v>2.0027607864460969E-53</v>
      </c>
      <c r="CA3607" s="16">
        <f t="shared" si="805"/>
        <v>-999</v>
      </c>
      <c r="CE3607" s="16" t="e">
        <f t="shared" si="799"/>
        <v>#N/A</v>
      </c>
      <c r="CF3607" s="16">
        <f t="shared" si="800"/>
        <v>99</v>
      </c>
      <c r="CG3607" s="16">
        <f t="shared" si="801"/>
        <v>0</v>
      </c>
      <c r="CH3607" s="16">
        <f t="shared" si="808"/>
        <v>0</v>
      </c>
      <c r="CJ3607" s="16" t="e">
        <f t="shared" si="802"/>
        <v>#N/A</v>
      </c>
      <c r="CK3607" s="16" t="str">
        <f t="shared" si="803"/>
        <v/>
      </c>
    </row>
    <row r="3608" spans="73:89" ht="12" customHeight="1">
      <c r="BU3608" s="16">
        <f t="shared" si="804"/>
        <v>0</v>
      </c>
      <c r="BV3608" s="16">
        <f>IF($BY$12=1,NORMDIST(BY3608,$Y$6,$Y$8,TRUE),IF($BY$12=2,IF(BY3608&lt;=$BX$31,0,IF(BY3608&gt;=$BX$32,1,(BY3608-$BX$31)*$BX$33)),SUM($BU$42:BU3608)/$BV$40))</f>
        <v>1</v>
      </c>
      <c r="BW3608" s="16">
        <f t="shared" si="806"/>
        <v>6.6149592767974021E-51</v>
      </c>
      <c r="BY3608" s="16">
        <f t="shared" si="807"/>
        <v>356.60000000001259</v>
      </c>
      <c r="BZ3608" s="16">
        <f t="shared" si="798"/>
        <v>1.8550082099823806E-53</v>
      </c>
      <c r="CA3608" s="16">
        <f t="shared" si="805"/>
        <v>-999</v>
      </c>
      <c r="CE3608" s="16" t="e">
        <f t="shared" si="799"/>
        <v>#N/A</v>
      </c>
      <c r="CF3608" s="16">
        <f t="shared" si="800"/>
        <v>99</v>
      </c>
      <c r="CG3608" s="16">
        <f t="shared" si="801"/>
        <v>0</v>
      </c>
      <c r="CH3608" s="16">
        <f t="shared" si="808"/>
        <v>0</v>
      </c>
      <c r="CJ3608" s="16" t="e">
        <f t="shared" si="802"/>
        <v>#N/A</v>
      </c>
      <c r="CK3608" s="16" t="str">
        <f t="shared" si="803"/>
        <v/>
      </c>
    </row>
    <row r="3609" spans="73:89" ht="12" customHeight="1">
      <c r="BU3609" s="16">
        <f t="shared" si="804"/>
        <v>0</v>
      </c>
      <c r="BV3609" s="16">
        <f>IF($BY$12=1,NORMDIST(BY3609,$Y$6,$Y$8,TRUE),IF($BY$12=2,IF(BY3609&lt;=$BX$31,0,IF(BY3609&gt;=$BX$32,1,(BY3609-$BX$31)*$BX$33)),SUM($BU$42:BU3609)/$BV$40))</f>
        <v>1</v>
      </c>
      <c r="BW3609" s="16">
        <f t="shared" si="806"/>
        <v>6.128509232554281E-51</v>
      </c>
      <c r="BY3609" s="16">
        <f t="shared" si="807"/>
        <v>356.70000000001261</v>
      </c>
      <c r="BZ3609" s="16">
        <f t="shared" si="798"/>
        <v>1.7181130452912993E-53</v>
      </c>
      <c r="CA3609" s="16">
        <f t="shared" si="805"/>
        <v>-999</v>
      </c>
      <c r="CE3609" s="16" t="e">
        <f t="shared" si="799"/>
        <v>#N/A</v>
      </c>
      <c r="CF3609" s="16">
        <f t="shared" si="800"/>
        <v>99</v>
      </c>
      <c r="CG3609" s="16">
        <f t="shared" si="801"/>
        <v>0</v>
      </c>
      <c r="CH3609" s="16">
        <f t="shared" si="808"/>
        <v>0</v>
      </c>
      <c r="CJ3609" s="16" t="e">
        <f t="shared" si="802"/>
        <v>#N/A</v>
      </c>
      <c r="CK3609" s="16" t="str">
        <f t="shared" si="803"/>
        <v/>
      </c>
    </row>
    <row r="3610" spans="73:89" ht="12" customHeight="1">
      <c r="BU3610" s="16">
        <f t="shared" si="804"/>
        <v>0</v>
      </c>
      <c r="BV3610" s="16">
        <f>IF($BY$12=1,NORMDIST(BY3610,$Y$6,$Y$8,TRUE),IF($BY$12=2,IF(BY3610&lt;=$BX$31,0,IF(BY3610&gt;=$BX$32,1,(BY3610-$BX$31)*$BX$33)),SUM($BU$42:BU3610)/$BV$40))</f>
        <v>1</v>
      </c>
      <c r="BW3610" s="16">
        <f t="shared" si="806"/>
        <v>5.6776893002958258E-51</v>
      </c>
      <c r="BY3610" s="16">
        <f t="shared" si="807"/>
        <v>356.80000000001263</v>
      </c>
      <c r="BZ3610" s="16">
        <f t="shared" si="798"/>
        <v>1.5912806334909263E-53</v>
      </c>
      <c r="CA3610" s="16">
        <f t="shared" si="805"/>
        <v>-999</v>
      </c>
      <c r="CE3610" s="16" t="e">
        <f t="shared" si="799"/>
        <v>#N/A</v>
      </c>
      <c r="CF3610" s="16">
        <f t="shared" si="800"/>
        <v>99</v>
      </c>
      <c r="CG3610" s="16">
        <f t="shared" si="801"/>
        <v>0</v>
      </c>
      <c r="CH3610" s="16">
        <f t="shared" si="808"/>
        <v>0</v>
      </c>
      <c r="CJ3610" s="16" t="e">
        <f t="shared" si="802"/>
        <v>#N/A</v>
      </c>
      <c r="CK3610" s="16" t="str">
        <f t="shared" si="803"/>
        <v/>
      </c>
    </row>
    <row r="3611" spans="73:89" ht="12" customHeight="1">
      <c r="BU3611" s="16">
        <f t="shared" si="804"/>
        <v>0</v>
      </c>
      <c r="BV3611" s="16">
        <f>IF($BY$12=1,NORMDIST(BY3611,$Y$6,$Y$8,TRUE),IF($BY$12=2,IF(BY3611&lt;=$BX$31,0,IF(BY3611&gt;=$BX$32,1,(BY3611-$BX$31)*$BX$33)),SUM($BU$42:BU3611)/$BV$40))</f>
        <v>1</v>
      </c>
      <c r="BW3611" s="16">
        <f t="shared" si="806"/>
        <v>5.2599002696332473E-51</v>
      </c>
      <c r="BY3611" s="16">
        <f t="shared" si="807"/>
        <v>356.90000000001265</v>
      </c>
      <c r="BZ3611" s="16">
        <f t="shared" si="798"/>
        <v>1.4737742419818046E-53</v>
      </c>
      <c r="CA3611" s="16">
        <f t="shared" si="805"/>
        <v>-999</v>
      </c>
      <c r="CE3611" s="16" t="e">
        <f t="shared" si="799"/>
        <v>#N/A</v>
      </c>
      <c r="CF3611" s="16">
        <f t="shared" si="800"/>
        <v>99</v>
      </c>
      <c r="CG3611" s="16">
        <f t="shared" si="801"/>
        <v>0</v>
      </c>
      <c r="CH3611" s="16">
        <f t="shared" si="808"/>
        <v>0</v>
      </c>
      <c r="CJ3611" s="16" t="e">
        <f t="shared" si="802"/>
        <v>#N/A</v>
      </c>
      <c r="CK3611" s="16" t="str">
        <f t="shared" si="803"/>
        <v/>
      </c>
    </row>
    <row r="3612" spans="73:89" ht="12" customHeight="1">
      <c r="BU3612" s="16">
        <f t="shared" si="804"/>
        <v>0</v>
      </c>
      <c r="BV3612" s="16">
        <f>IF($BY$12=1,NORMDIST(BY3612,$Y$6,$Y$8,TRUE),IF($BY$12=2,IF(BY3612&lt;=$BX$31,0,IF(BY3612&gt;=$BX$32,1,(BY3612-$BX$31)*$BX$33)),SUM($BU$42:BU3612)/$BV$40))</f>
        <v>1</v>
      </c>
      <c r="BW3612" s="16">
        <f t="shared" si="806"/>
        <v>4.8727317674753596E-51</v>
      </c>
      <c r="BY3612" s="16">
        <f t="shared" si="807"/>
        <v>357.00000000001268</v>
      </c>
      <c r="BZ3612" s="16">
        <f t="shared" si="798"/>
        <v>1.3649108592367469E-53</v>
      </c>
      <c r="CA3612" s="16">
        <f t="shared" si="805"/>
        <v>-999</v>
      </c>
      <c r="CE3612" s="16" t="e">
        <f t="shared" si="799"/>
        <v>#N/A</v>
      </c>
      <c r="CF3612" s="16">
        <f t="shared" si="800"/>
        <v>99</v>
      </c>
      <c r="CG3612" s="16">
        <f t="shared" si="801"/>
        <v>0</v>
      </c>
      <c r="CH3612" s="16">
        <f t="shared" si="808"/>
        <v>0</v>
      </c>
      <c r="CJ3612" s="16" t="e">
        <f t="shared" si="802"/>
        <v>#N/A</v>
      </c>
      <c r="CK3612" s="16" t="str">
        <f t="shared" si="803"/>
        <v/>
      </c>
    </row>
    <row r="3613" spans="73:89" ht="12" customHeight="1">
      <c r="BU3613" s="16">
        <f t="shared" si="804"/>
        <v>0</v>
      </c>
      <c r="BV3613" s="16">
        <f>IF($BY$12=1,NORMDIST(BY3613,$Y$6,$Y$8,TRUE),IF($BY$12=2,IF(BY3613&lt;=$BX$31,0,IF(BY3613&gt;=$BX$32,1,(BY3613-$BX$31)*$BX$33)),SUM($BU$42:BU3613)/$BV$40))</f>
        <v>1</v>
      </c>
      <c r="BW3613" s="16">
        <f t="shared" si="806"/>
        <v>4.5139485954611002E-51</v>
      </c>
      <c r="BY3613" s="16">
        <f t="shared" si="807"/>
        <v>357.1000000000127</v>
      </c>
      <c r="BZ3613" s="16">
        <f t="shared" si="798"/>
        <v>1.2640572936042956E-53</v>
      </c>
      <c r="CA3613" s="16">
        <f t="shared" si="805"/>
        <v>-999</v>
      </c>
      <c r="CE3613" s="16" t="e">
        <f t="shared" si="799"/>
        <v>#N/A</v>
      </c>
      <c r="CF3613" s="16">
        <f t="shared" si="800"/>
        <v>99</v>
      </c>
      <c r="CG3613" s="16">
        <f t="shared" si="801"/>
        <v>0</v>
      </c>
      <c r="CH3613" s="16">
        <f t="shared" si="808"/>
        <v>0</v>
      </c>
      <c r="CJ3613" s="16" t="e">
        <f t="shared" si="802"/>
        <v>#N/A</v>
      </c>
      <c r="CK3613" s="16" t="str">
        <f t="shared" si="803"/>
        <v/>
      </c>
    </row>
    <row r="3614" spans="73:89" ht="12" customHeight="1">
      <c r="BU3614" s="16">
        <f t="shared" si="804"/>
        <v>0</v>
      </c>
      <c r="BV3614" s="16">
        <f>IF($BY$12=1,NORMDIST(BY3614,$Y$6,$Y$8,TRUE),IF($BY$12=2,IF(BY3614&lt;=$BX$31,0,IF(BY3614&gt;=$BX$32,1,(BY3614-$BX$31)*$BX$33)),SUM($BU$42:BU3614)/$BV$40))</f>
        <v>1</v>
      </c>
      <c r="BW3614" s="16">
        <f t="shared" si="806"/>
        <v>4.1814780517439607E-51</v>
      </c>
      <c r="BY3614" s="16">
        <f t="shared" si="807"/>
        <v>357.20000000001272</v>
      </c>
      <c r="BZ3614" s="16">
        <f t="shared" si="798"/>
        <v>1.1706265542395889E-53</v>
      </c>
      <c r="CA3614" s="16">
        <f t="shared" si="805"/>
        <v>-999</v>
      </c>
      <c r="CE3614" s="16" t="e">
        <f t="shared" si="799"/>
        <v>#N/A</v>
      </c>
      <c r="CF3614" s="16">
        <f t="shared" si="800"/>
        <v>99</v>
      </c>
      <c r="CG3614" s="16">
        <f t="shared" si="801"/>
        <v>0</v>
      </c>
      <c r="CH3614" s="16">
        <f t="shared" si="808"/>
        <v>0</v>
      </c>
      <c r="CJ3614" s="16" t="e">
        <f t="shared" si="802"/>
        <v>#N/A</v>
      </c>
      <c r="CK3614" s="16" t="str">
        <f t="shared" si="803"/>
        <v/>
      </c>
    </row>
    <row r="3615" spans="73:89" ht="12" customHeight="1">
      <c r="BU3615" s="16">
        <f t="shared" si="804"/>
        <v>0</v>
      </c>
      <c r="BV3615" s="16">
        <f>IF($BY$12=1,NORMDIST(BY3615,$Y$6,$Y$8,TRUE),IF($BY$12=2,IF(BY3615&lt;=$BX$31,0,IF(BY3615&gt;=$BX$32,1,(BY3615-$BX$31)*$BX$33)),SUM($BU$42:BU3615)/$BV$40))</f>
        <v>1</v>
      </c>
      <c r="BW3615" s="16">
        <f t="shared" si="806"/>
        <v>3.8733981665102011E-51</v>
      </c>
      <c r="BY3615" s="16">
        <f t="shared" si="807"/>
        <v>357.30000000001274</v>
      </c>
      <c r="BZ3615" s="16">
        <f t="shared" si="798"/>
        <v>1.0840744938455256E-53</v>
      </c>
      <c r="CA3615" s="16">
        <f t="shared" si="805"/>
        <v>-999</v>
      </c>
      <c r="CE3615" s="16" t="e">
        <f t="shared" si="799"/>
        <v>#N/A</v>
      </c>
      <c r="CF3615" s="16">
        <f t="shared" si="800"/>
        <v>99</v>
      </c>
      <c r="CG3615" s="16">
        <f t="shared" si="801"/>
        <v>0</v>
      </c>
      <c r="CH3615" s="16">
        <f t="shared" si="808"/>
        <v>0</v>
      </c>
      <c r="CJ3615" s="16" t="e">
        <f t="shared" si="802"/>
        <v>#N/A</v>
      </c>
      <c r="CK3615" s="16" t="str">
        <f t="shared" si="803"/>
        <v/>
      </c>
    </row>
    <row r="3616" spans="73:89" ht="12" customHeight="1">
      <c r="BU3616" s="16">
        <f t="shared" si="804"/>
        <v>0</v>
      </c>
      <c r="BV3616" s="16">
        <f>IF($BY$12=1,NORMDIST(BY3616,$Y$6,$Y$8,TRUE),IF($BY$12=2,IF(BY3616&lt;=$BX$31,0,IF(BY3616&gt;=$BX$32,1,(BY3616-$BX$31)*$BX$33)),SUM($BU$42:BU3616)/$BV$40))</f>
        <v>1</v>
      </c>
      <c r="BW3616" s="16">
        <f t="shared" si="806"/>
        <v>3.5879267856575035E-51</v>
      </c>
      <c r="BY3616" s="16">
        <f t="shared" si="807"/>
        <v>357.40000000001277</v>
      </c>
      <c r="BZ3616" s="16">
        <f t="shared" si="798"/>
        <v>1.003896694364123E-53</v>
      </c>
      <c r="CA3616" s="16">
        <f t="shared" si="805"/>
        <v>-999</v>
      </c>
      <c r="CE3616" s="16" t="e">
        <f t="shared" si="799"/>
        <v>#N/A</v>
      </c>
      <c r="CF3616" s="16">
        <f t="shared" si="800"/>
        <v>99</v>
      </c>
      <c r="CG3616" s="16">
        <f t="shared" si="801"/>
        <v>0</v>
      </c>
      <c r="CH3616" s="16">
        <f t="shared" si="808"/>
        <v>0</v>
      </c>
      <c r="CJ3616" s="16" t="e">
        <f t="shared" si="802"/>
        <v>#N/A</v>
      </c>
      <c r="CK3616" s="16" t="str">
        <f t="shared" si="803"/>
        <v/>
      </c>
    </row>
    <row r="3617" spans="73:89" ht="12" customHeight="1">
      <c r="BU3617" s="16">
        <f t="shared" si="804"/>
        <v>0</v>
      </c>
      <c r="BV3617" s="16">
        <f>IF($BY$12=1,NORMDIST(BY3617,$Y$6,$Y$8,TRUE),IF($BY$12=2,IF(BY3617&lt;=$BX$31,0,IF(BY3617&gt;=$BX$32,1,(BY3617-$BX$31)*$BX$33)),SUM($BU$42:BU3617)/$BV$40))</f>
        <v>1</v>
      </c>
      <c r="BW3617" s="16">
        <f t="shared" si="806"/>
        <v>3.3234114417446252E-51</v>
      </c>
      <c r="BY3617" s="16">
        <f t="shared" si="807"/>
        <v>357.50000000001279</v>
      </c>
      <c r="BZ3617" s="16">
        <f t="shared" si="798"/>
        <v>9.2962557811035145E-54</v>
      </c>
      <c r="CA3617" s="16">
        <f t="shared" si="805"/>
        <v>-999</v>
      </c>
      <c r="CE3617" s="16" t="e">
        <f t="shared" si="799"/>
        <v>#N/A</v>
      </c>
      <c r="CF3617" s="16">
        <f t="shared" si="800"/>
        <v>99</v>
      </c>
      <c r="CG3617" s="16">
        <f t="shared" si="801"/>
        <v>0</v>
      </c>
      <c r="CH3617" s="16">
        <f t="shared" si="808"/>
        <v>0</v>
      </c>
      <c r="CJ3617" s="16" t="e">
        <f t="shared" si="802"/>
        <v>#N/A</v>
      </c>
      <c r="CK3617" s="16" t="str">
        <f t="shared" si="803"/>
        <v/>
      </c>
    </row>
    <row r="3618" spans="73:89" ht="12" customHeight="1">
      <c r="BU3618" s="16">
        <f t="shared" si="804"/>
        <v>0</v>
      </c>
      <c r="BV3618" s="16">
        <f>IF($BY$12=1,NORMDIST(BY3618,$Y$6,$Y$8,TRUE),IF($BY$12=2,IF(BY3618&lt;=$BX$31,0,IF(BY3618&gt;=$BX$32,1,(BY3618-$BX$31)*$BX$33)),SUM($BU$42:BU3618)/$BV$40))</f>
        <v>1</v>
      </c>
      <c r="BW3618" s="16">
        <f t="shared" si="806"/>
        <v>3.0783199556772213E-51</v>
      </c>
      <c r="BY3618" s="16">
        <f t="shared" si="807"/>
        <v>357.60000000001281</v>
      </c>
      <c r="BZ3618" s="16">
        <f t="shared" si="798"/>
        <v>8.6082772809762614E-54</v>
      </c>
      <c r="CA3618" s="16">
        <f t="shared" si="805"/>
        <v>-999</v>
      </c>
      <c r="CE3618" s="16" t="e">
        <f t="shared" si="799"/>
        <v>#N/A</v>
      </c>
      <c r="CF3618" s="16">
        <f t="shared" si="800"/>
        <v>99</v>
      </c>
      <c r="CG3618" s="16">
        <f t="shared" si="801"/>
        <v>0</v>
      </c>
      <c r="CH3618" s="16">
        <f t="shared" si="808"/>
        <v>0</v>
      </c>
      <c r="CJ3618" s="16" t="e">
        <f t="shared" si="802"/>
        <v>#N/A</v>
      </c>
      <c r="CK3618" s="16" t="str">
        <f t="shared" si="803"/>
        <v/>
      </c>
    </row>
    <row r="3619" spans="73:89" ht="12" customHeight="1">
      <c r="BU3619" s="16">
        <f t="shared" si="804"/>
        <v>0</v>
      </c>
      <c r="BV3619" s="16">
        <f>IF($BY$12=1,NORMDIST(BY3619,$Y$6,$Y$8,TRUE),IF($BY$12=2,IF(BY3619&lt;=$BX$31,0,IF(BY3619&gt;=$BX$32,1,(BY3619-$BX$31)*$BX$33)),SUM($BU$42:BU3619)/$BV$40))</f>
        <v>1</v>
      </c>
      <c r="BW3619" s="16">
        <f t="shared" si="806"/>
        <v>2.8512317166356796E-51</v>
      </c>
      <c r="BY3619" s="16">
        <f t="shared" si="807"/>
        <v>357.70000000001284</v>
      </c>
      <c r="BZ3619" s="16">
        <f t="shared" si="798"/>
        <v>7.9710140247010829E-54</v>
      </c>
      <c r="CA3619" s="16">
        <f t="shared" si="805"/>
        <v>-999</v>
      </c>
      <c r="CE3619" s="16" t="e">
        <f t="shared" si="799"/>
        <v>#N/A</v>
      </c>
      <c r="CF3619" s="16">
        <f t="shared" si="800"/>
        <v>99</v>
      </c>
      <c r="CG3619" s="16">
        <f t="shared" si="801"/>
        <v>0</v>
      </c>
      <c r="CH3619" s="16">
        <f t="shared" si="808"/>
        <v>0</v>
      </c>
      <c r="CJ3619" s="16" t="e">
        <f t="shared" si="802"/>
        <v>#N/A</v>
      </c>
      <c r="CK3619" s="16" t="str">
        <f t="shared" si="803"/>
        <v/>
      </c>
    </row>
    <row r="3620" spans="73:89" ht="12" customHeight="1">
      <c r="BU3620" s="16">
        <f t="shared" si="804"/>
        <v>0</v>
      </c>
      <c r="BV3620" s="16">
        <f>IF($BY$12=1,NORMDIST(BY3620,$Y$6,$Y$8,TRUE),IF($BY$12=2,IF(BY3620&lt;=$BX$31,0,IF(BY3620&gt;=$BX$32,1,(BY3620-$BX$31)*$BX$33)),SUM($BU$42:BU3620)/$BV$40))</f>
        <v>1</v>
      </c>
      <c r="BW3620" s="16">
        <f t="shared" si="806"/>
        <v>2.6408295915064809E-51</v>
      </c>
      <c r="BY3620" s="16">
        <f t="shared" si="807"/>
        <v>357.80000000001286</v>
      </c>
      <c r="BZ3620" s="16">
        <f t="shared" si="798"/>
        <v>7.3807422904035385E-54</v>
      </c>
      <c r="CA3620" s="16">
        <f t="shared" si="805"/>
        <v>-999</v>
      </c>
      <c r="CE3620" s="16" t="e">
        <f t="shared" si="799"/>
        <v>#N/A</v>
      </c>
      <c r="CF3620" s="16">
        <f t="shared" si="800"/>
        <v>99</v>
      </c>
      <c r="CG3620" s="16">
        <f t="shared" si="801"/>
        <v>0</v>
      </c>
      <c r="CH3620" s="16">
        <f t="shared" si="808"/>
        <v>0</v>
      </c>
      <c r="CJ3620" s="16" t="e">
        <f t="shared" si="802"/>
        <v>#N/A</v>
      </c>
      <c r="CK3620" s="16" t="str">
        <f t="shared" si="803"/>
        <v/>
      </c>
    </row>
    <row r="3621" spans="73:89" ht="12" customHeight="1">
      <c r="BU3621" s="16">
        <f t="shared" si="804"/>
        <v>0</v>
      </c>
      <c r="BV3621" s="16">
        <f>IF($BY$12=1,NORMDIST(BY3621,$Y$6,$Y$8,TRUE),IF($BY$12=2,IF(BY3621&lt;=$BX$31,0,IF(BY3621&gt;=$BX$32,1,(BY3621-$BX$31)*$BX$33)),SUM($BU$42:BU3621)/$BV$40))</f>
        <v>1</v>
      </c>
      <c r="BW3621" s="16">
        <f t="shared" si="806"/>
        <v>2.44589241856541E-51</v>
      </c>
      <c r="BY3621" s="16">
        <f t="shared" si="807"/>
        <v>357.90000000001288</v>
      </c>
      <c r="BZ3621" s="16">
        <f t="shared" si="798"/>
        <v>6.8340106693638501E-54</v>
      </c>
      <c r="CA3621" s="16">
        <f t="shared" si="805"/>
        <v>-999</v>
      </c>
      <c r="CE3621" s="16" t="e">
        <f t="shared" si="799"/>
        <v>#N/A</v>
      </c>
      <c r="CF3621" s="16">
        <f t="shared" si="800"/>
        <v>99</v>
      </c>
      <c r="CG3621" s="16">
        <f t="shared" si="801"/>
        <v>0</v>
      </c>
      <c r="CH3621" s="16">
        <f t="shared" si="808"/>
        <v>0</v>
      </c>
      <c r="CJ3621" s="16" t="e">
        <f t="shared" si="802"/>
        <v>#N/A</v>
      </c>
      <c r="CK3621" s="16" t="str">
        <f t="shared" si="803"/>
        <v/>
      </c>
    </row>
    <row r="3622" spans="73:89" ht="12" customHeight="1">
      <c r="BU3622" s="16">
        <f t="shared" si="804"/>
        <v>0</v>
      </c>
      <c r="BV3622" s="16">
        <f>IF($BY$12=1,NORMDIST(BY3622,$Y$6,$Y$8,TRUE),IF($BY$12=2,IF(BY3622&lt;=$BX$31,0,IF(BY3622&gt;=$BX$32,1,(BY3622-$BX$31)*$BX$33)),SUM($BU$42:BU3622)/$BV$40))</f>
        <v>1</v>
      </c>
      <c r="BW3622" s="16">
        <f t="shared" si="806"/>
        <v>2.2652880434001172E-51</v>
      </c>
      <c r="BY3622" s="16">
        <f t="shared" si="807"/>
        <v>358.0000000000129</v>
      </c>
      <c r="BZ3622" s="16">
        <f t="shared" si="798"/>
        <v>6.3276202329609933E-54</v>
      </c>
      <c r="CA3622" s="16">
        <f t="shared" si="805"/>
        <v>-999</v>
      </c>
      <c r="CE3622" s="16" t="e">
        <f t="shared" si="799"/>
        <v>#N/A</v>
      </c>
      <c r="CF3622" s="16">
        <f t="shared" si="800"/>
        <v>99</v>
      </c>
      <c r="CG3622" s="16">
        <f t="shared" si="801"/>
        <v>0</v>
      </c>
      <c r="CH3622" s="16">
        <f t="shared" si="808"/>
        <v>0</v>
      </c>
      <c r="CJ3622" s="16" t="e">
        <f t="shared" si="802"/>
        <v>#N/A</v>
      </c>
      <c r="CK3622" s="16" t="str">
        <f t="shared" si="803"/>
        <v/>
      </c>
    </row>
    <row r="3623" spans="73:89" ht="12" customHeight="1">
      <c r="BU3623" s="16">
        <f t="shared" si="804"/>
        <v>0</v>
      </c>
      <c r="BV3623" s="16">
        <f>IF($BY$12=1,NORMDIST(BY3623,$Y$6,$Y$8,TRUE),IF($BY$12=2,IF(BY3623&lt;=$BX$31,0,IF(BY3623&gt;=$BX$32,1,(BY3623-$BX$31)*$BX$33)),SUM($BU$42:BU3623)/$BV$40))</f>
        <v>1</v>
      </c>
      <c r="BW3623" s="16">
        <f t="shared" si="806"/>
        <v>2.0979668580677171E-51</v>
      </c>
      <c r="BY3623" s="16">
        <f t="shared" si="807"/>
        <v>358.10000000001293</v>
      </c>
      <c r="BZ3623" s="16">
        <f t="shared" si="798"/>
        <v>5.8586061381391831E-54</v>
      </c>
      <c r="CA3623" s="16">
        <f t="shared" si="805"/>
        <v>-999</v>
      </c>
      <c r="CE3623" s="16" t="e">
        <f t="shared" si="799"/>
        <v>#N/A</v>
      </c>
      <c r="CF3623" s="16">
        <f t="shared" si="800"/>
        <v>99</v>
      </c>
      <c r="CG3623" s="16">
        <f t="shared" si="801"/>
        <v>0</v>
      </c>
      <c r="CH3623" s="16">
        <f t="shared" si="808"/>
        <v>0</v>
      </c>
      <c r="CJ3623" s="16" t="e">
        <f t="shared" si="802"/>
        <v>#N/A</v>
      </c>
      <c r="CK3623" s="16" t="str">
        <f t="shared" si="803"/>
        <v/>
      </c>
    </row>
    <row r="3624" spans="73:89" ht="12" customHeight="1">
      <c r="BU3624" s="16">
        <f t="shared" si="804"/>
        <v>0</v>
      </c>
      <c r="BV3624" s="16">
        <f>IF($BY$12=1,NORMDIST(BY3624,$Y$6,$Y$8,TRUE),IF($BY$12=2,IF(BY3624&lt;=$BX$31,0,IF(BY3624&gt;=$BX$32,1,(BY3624-$BX$31)*$BX$33)),SUM($BU$42:BU3624)/$BV$40))</f>
        <v>1</v>
      </c>
      <c r="BW3624" s="16">
        <f t="shared" si="806"/>
        <v>1.9429558072765917E-51</v>
      </c>
      <c r="BY3624" s="16">
        <f t="shared" si="807"/>
        <v>358.20000000001295</v>
      </c>
      <c r="BZ3624" s="16">
        <f t="shared" si="798"/>
        <v>5.4242205674944762E-54</v>
      </c>
      <c r="CA3624" s="16">
        <f t="shared" si="805"/>
        <v>-999</v>
      </c>
      <c r="CE3624" s="16" t="e">
        <f t="shared" si="799"/>
        <v>#N/A</v>
      </c>
      <c r="CF3624" s="16">
        <f t="shared" si="800"/>
        <v>99</v>
      </c>
      <c r="CG3624" s="16">
        <f t="shared" si="801"/>
        <v>0</v>
      </c>
      <c r="CH3624" s="16">
        <f t="shared" si="808"/>
        <v>0</v>
      </c>
      <c r="CJ3624" s="16" t="e">
        <f t="shared" si="802"/>
        <v>#N/A</v>
      </c>
      <c r="CK3624" s="16" t="str">
        <f t="shared" si="803"/>
        <v/>
      </c>
    </row>
    <row r="3625" spans="73:89" ht="12" customHeight="1">
      <c r="BU3625" s="16">
        <f t="shared" si="804"/>
        <v>0</v>
      </c>
      <c r="BV3625" s="16">
        <f>IF($BY$12=1,NORMDIST(BY3625,$Y$6,$Y$8,TRUE),IF($BY$12=2,IF(BY3625&lt;=$BX$31,0,IF(BY3625&gt;=$BX$32,1,(BY3625-$BX$31)*$BX$33)),SUM($BU$42:BU3625)/$BV$40))</f>
        <v>1</v>
      </c>
      <c r="BW3625" s="16">
        <f t="shared" si="806"/>
        <v>1.7993528279757021E-51</v>
      </c>
      <c r="BY3625" s="16">
        <f t="shared" si="807"/>
        <v>358.30000000001297</v>
      </c>
      <c r="BZ3625" s="16">
        <f t="shared" si="798"/>
        <v>5.0219169075513171E-54</v>
      </c>
      <c r="CA3625" s="16">
        <f t="shared" si="805"/>
        <v>-999</v>
      </c>
      <c r="CE3625" s="16" t="e">
        <f t="shared" si="799"/>
        <v>#N/A</v>
      </c>
      <c r="CF3625" s="16">
        <f t="shared" si="800"/>
        <v>99</v>
      </c>
      <c r="CG3625" s="16">
        <f t="shared" si="801"/>
        <v>0</v>
      </c>
      <c r="CH3625" s="16">
        <f t="shared" si="808"/>
        <v>0</v>
      </c>
      <c r="CJ3625" s="16" t="e">
        <f t="shared" si="802"/>
        <v>#N/A</v>
      </c>
      <c r="CK3625" s="16" t="str">
        <f t="shared" si="803"/>
        <v/>
      </c>
    </row>
    <row r="3626" spans="73:89" ht="12" customHeight="1">
      <c r="BU3626" s="16">
        <f t="shared" si="804"/>
        <v>0</v>
      </c>
      <c r="BV3626" s="16">
        <f>IF($BY$12=1,NORMDIST(BY3626,$Y$6,$Y$8,TRUE),IF($BY$12=2,IF(BY3626&lt;=$BX$31,0,IF(BY3626&gt;=$BX$32,1,(BY3626-$BX$31)*$BX$33)),SUM($BU$42:BU3626)/$BV$40))</f>
        <v>1</v>
      </c>
      <c r="BW3626" s="16">
        <f t="shared" si="806"/>
        <v>1.6663216911448117E-51</v>
      </c>
      <c r="BY3626" s="16">
        <f t="shared" si="807"/>
        <v>358.40000000001299</v>
      </c>
      <c r="BZ3626" s="16">
        <f t="shared" ref="BZ3626:BZ3689" si="809">IF($BZ$5,IF($BY$12=1,NORMDIST(BY3626,$Y$6,$Y$8,FALSE),IF($BY$12=2,IF(AND(BY3626&gt;=$BX$31,BY3626&lt;=$BX$32),$BX$33,0),IF(BY3626&lt;=$BX$13,0,NORMDIST(LN((BY3626-$BX$13)/$BX$12),0,$BW$8,FALSE)/((BY3626-$BX$13)/$BX$12)))),-999)</f>
        <v>4.6493350757387038E-54</v>
      </c>
      <c r="CA3626" s="16">
        <f t="shared" si="805"/>
        <v>-999</v>
      </c>
      <c r="CE3626" s="16" t="e">
        <f t="shared" ref="CE3626:CE3689" si="810">IF(AND($CB$7,$CD$2,$CD$1),26+$P$23/2-CC3626*$P$23,NA())</f>
        <v>#N/A</v>
      </c>
      <c r="CF3626" s="16">
        <f t="shared" ref="CF3626:CF3689" si="811">IF(ISNA(CJ3626),99,CJ3626)</f>
        <v>99</v>
      </c>
      <c r="CG3626" s="16">
        <f t="shared" ref="CG3626:CG3689" si="812">IF(ISNA(CJ3626),0,CJ3626)</f>
        <v>0</v>
      </c>
      <c r="CH3626" s="16">
        <f t="shared" si="808"/>
        <v>0</v>
      </c>
      <c r="CJ3626" s="16" t="e">
        <f t="shared" ref="CJ3626:CJ3689" si="813">IF(CH3626=1,CE3626,NA())</f>
        <v>#N/A</v>
      </c>
      <c r="CK3626" s="16" t="str">
        <f t="shared" ref="CK3626:CK3689" si="814">IF(CH3626=1,M3525,"")</f>
        <v/>
      </c>
    </row>
    <row r="3627" spans="73:89" ht="12" customHeight="1">
      <c r="BU3627" s="16">
        <f t="shared" ref="BU3627:BU3690" si="815">IF($BY$12&lt;3,0,IF(BY3627&lt;=$BX$13,0,NORMDIST(LN((BY3627-$BX$13)/$BX$12),0,$BW$8,FALSE)/((BY3627-$BX$13)/$BX$12)))</f>
        <v>0</v>
      </c>
      <c r="BV3627" s="16">
        <f>IF($BY$12=1,NORMDIST(BY3627,$Y$6,$Y$8,TRUE),IF($BY$12=2,IF(BY3627&lt;=$BX$31,0,IF(BY3627&gt;=$BX$32,1,(BY3627-$BX$31)*$BX$33)),SUM($BU$42:BU3627)/$BV$40))</f>
        <v>1</v>
      </c>
      <c r="BW3627" s="16">
        <f t="shared" si="806"/>
        <v>1.5430872168155138E-51</v>
      </c>
      <c r="BY3627" s="16">
        <f t="shared" si="807"/>
        <v>358.50000000001302</v>
      </c>
      <c r="BZ3627" s="16">
        <f t="shared" si="809"/>
        <v>4.3042879130138292E-54</v>
      </c>
      <c r="CA3627" s="16">
        <f t="shared" ref="CA3627:CA3690" si="816">IF(AND($CD$1,$CD$3),26-$CD$40*NORMDIST(BY3627,$Y$6,$Y$8/SQRT($T$18),FALSE),-999)</f>
        <v>-999</v>
      </c>
      <c r="CE3627" s="16" t="e">
        <f t="shared" si="810"/>
        <v>#N/A</v>
      </c>
      <c r="CF3627" s="16">
        <f t="shared" si="811"/>
        <v>99</v>
      </c>
      <c r="CG3627" s="16">
        <f t="shared" si="812"/>
        <v>0</v>
      </c>
      <c r="CH3627" s="16">
        <f t="shared" si="808"/>
        <v>0</v>
      </c>
      <c r="CJ3627" s="16" t="e">
        <f t="shared" si="813"/>
        <v>#N/A</v>
      </c>
      <c r="CK3627" s="16" t="str">
        <f t="shared" si="814"/>
        <v/>
      </c>
    </row>
    <row r="3628" spans="73:89" ht="12" customHeight="1">
      <c r="BU3628" s="16">
        <f t="shared" si="815"/>
        <v>0</v>
      </c>
      <c r="BV3628" s="16">
        <f>IF($BY$12=1,NORMDIST(BY3628,$Y$6,$Y$8,TRUE),IF($BY$12=2,IF(BY3628&lt;=$BX$31,0,IF(BY3628&gt;=$BX$32,1,(BY3628-$BX$31)*$BX$33)),SUM($BU$42:BU3628)/$BV$40))</f>
        <v>1</v>
      </c>
      <c r="BW3628" s="16">
        <f t="shared" si="806"/>
        <v>1.4289308354315546E-51</v>
      </c>
      <c r="BY3628" s="16">
        <f t="shared" si="807"/>
        <v>358.60000000001304</v>
      </c>
      <c r="BZ3628" s="16">
        <f t="shared" si="809"/>
        <v>3.9847485650627512E-54</v>
      </c>
      <c r="CA3628" s="16">
        <f t="shared" si="816"/>
        <v>-999</v>
      </c>
      <c r="CE3628" s="16" t="e">
        <f t="shared" si="810"/>
        <v>#N/A</v>
      </c>
      <c r="CF3628" s="16">
        <f t="shared" si="811"/>
        <v>99</v>
      </c>
      <c r="CG3628" s="16">
        <f t="shared" si="812"/>
        <v>0</v>
      </c>
      <c r="CH3628" s="16">
        <f t="shared" si="808"/>
        <v>0</v>
      </c>
      <c r="CJ3628" s="16" t="e">
        <f t="shared" si="813"/>
        <v>#N/A</v>
      </c>
      <c r="CK3628" s="16" t="str">
        <f t="shared" si="814"/>
        <v/>
      </c>
    </row>
    <row r="3629" spans="73:89" ht="12" customHeight="1">
      <c r="BU3629" s="16">
        <f t="shared" si="815"/>
        <v>0</v>
      </c>
      <c r="BV3629" s="16">
        <f>IF($BY$12=1,NORMDIST(BY3629,$Y$6,$Y$8,TRUE),IF($BY$12=2,IF(BY3629&lt;=$BX$31,0,IF(BY3629&gt;=$BX$32,1,(BY3629-$BX$31)*$BX$33)),SUM($BU$42:BU3629)/$BV$40))</f>
        <v>1</v>
      </c>
      <c r="BW3629" s="16">
        <f t="shared" si="806"/>
        <v>1.323186470585454E-51</v>
      </c>
      <c r="BY3629" s="16">
        <f t="shared" si="807"/>
        <v>358.70000000001306</v>
      </c>
      <c r="BZ3629" s="16">
        <f t="shared" si="809"/>
        <v>3.6888387805559126E-54</v>
      </c>
      <c r="CA3629" s="16">
        <f t="shared" si="816"/>
        <v>-999</v>
      </c>
      <c r="CE3629" s="16" t="e">
        <f t="shared" si="810"/>
        <v>#N/A</v>
      </c>
      <c r="CF3629" s="16">
        <f t="shared" si="811"/>
        <v>99</v>
      </c>
      <c r="CG3629" s="16">
        <f t="shared" si="812"/>
        <v>0</v>
      </c>
      <c r="CH3629" s="16">
        <f t="shared" si="808"/>
        <v>0</v>
      </c>
      <c r="CJ3629" s="16" t="e">
        <f t="shared" si="813"/>
        <v>#N/A</v>
      </c>
      <c r="CK3629" s="16" t="str">
        <f t="shared" si="814"/>
        <v/>
      </c>
    </row>
    <row r="3630" spans="73:89" ht="12" customHeight="1">
      <c r="BU3630" s="16">
        <f t="shared" si="815"/>
        <v>0</v>
      </c>
      <c r="BV3630" s="16">
        <f>IF($BY$12=1,NORMDIST(BY3630,$Y$6,$Y$8,TRUE),IF($BY$12=2,IF(BY3630&lt;=$BX$31,0,IF(BY3630&gt;=$BX$32,1,(BY3630-$BX$31)*$BX$33)),SUM($BU$42:BU3630)/$BV$40))</f>
        <v>1</v>
      </c>
      <c r="BW3630" s="16">
        <f t="shared" si="806"/>
        <v>1.2252367199605821E-51</v>
      </c>
      <c r="BY3630" s="16">
        <f t="shared" si="807"/>
        <v>358.80000000001309</v>
      </c>
      <c r="BZ3630" s="16">
        <f t="shared" si="809"/>
        <v>3.4148180600906837E-54</v>
      </c>
      <c r="CA3630" s="16">
        <f t="shared" si="816"/>
        <v>-999</v>
      </c>
      <c r="CE3630" s="16" t="e">
        <f t="shared" si="810"/>
        <v>#N/A</v>
      </c>
      <c r="CF3630" s="16">
        <f t="shared" si="811"/>
        <v>99</v>
      </c>
      <c r="CG3630" s="16">
        <f t="shared" si="812"/>
        <v>0</v>
      </c>
      <c r="CH3630" s="16">
        <f t="shared" si="808"/>
        <v>0</v>
      </c>
      <c r="CJ3630" s="16" t="e">
        <f t="shared" si="813"/>
        <v>#N/A</v>
      </c>
      <c r="CK3630" s="16" t="str">
        <f t="shared" si="814"/>
        <v/>
      </c>
    </row>
    <row r="3631" spans="73:89" ht="12" customHeight="1">
      <c r="BU3631" s="16">
        <f t="shared" si="815"/>
        <v>0</v>
      </c>
      <c r="BV3631" s="16">
        <f>IF($BY$12=1,NORMDIST(BY3631,$Y$6,$Y$8,TRUE),IF($BY$12=2,IF(BY3631&lt;=$BX$31,0,IF(BY3631&gt;=$BX$32,1,(BY3631-$BX$31)*$BX$33)),SUM($BU$42:BU3631)/$BV$40))</f>
        <v>1</v>
      </c>
      <c r="BW3631" s="16">
        <f t="shared" si="806"/>
        <v>1.1345093129710489E-51</v>
      </c>
      <c r="BY3631" s="16">
        <f t="shared" si="807"/>
        <v>358.90000000001311</v>
      </c>
      <c r="BZ3631" s="16">
        <f t="shared" si="809"/>
        <v>3.1610735942351837E-54</v>
      </c>
      <c r="CA3631" s="16">
        <f t="shared" si="816"/>
        <v>-999</v>
      </c>
      <c r="CE3631" s="16" t="e">
        <f t="shared" si="810"/>
        <v>#N/A</v>
      </c>
      <c r="CF3631" s="16">
        <f t="shared" si="811"/>
        <v>99</v>
      </c>
      <c r="CG3631" s="16">
        <f t="shared" si="812"/>
        <v>0</v>
      </c>
      <c r="CH3631" s="16">
        <f t="shared" si="808"/>
        <v>0</v>
      </c>
      <c r="CJ3631" s="16" t="e">
        <f t="shared" si="813"/>
        <v>#N/A</v>
      </c>
      <c r="CK3631" s="16" t="str">
        <f t="shared" si="814"/>
        <v/>
      </c>
    </row>
    <row r="3632" spans="73:89" ht="12" customHeight="1">
      <c r="BU3632" s="16">
        <f t="shared" si="815"/>
        <v>0</v>
      </c>
      <c r="BV3632" s="16">
        <f>IF($BY$12=1,NORMDIST(BY3632,$Y$6,$Y$8,TRUE),IF($BY$12=2,IF(BY3632&lt;=$BX$31,0,IF(BY3632&gt;=$BX$32,1,(BY3632-$BX$31)*$BX$33)),SUM($BU$42:BU3632)/$BV$40))</f>
        <v>1</v>
      </c>
      <c r="BW3632" s="16">
        <f t="shared" si="806"/>
        <v>1.0504738251362109E-51</v>
      </c>
      <c r="BY3632" s="16">
        <f t="shared" si="807"/>
        <v>359.00000000001313</v>
      </c>
      <c r="BZ3632" s="16">
        <f t="shared" si="809"/>
        <v>2.9261109335269428E-54</v>
      </c>
      <c r="CA3632" s="16">
        <f t="shared" si="816"/>
        <v>-999</v>
      </c>
      <c r="CE3632" s="16" t="e">
        <f t="shared" si="810"/>
        <v>#N/A</v>
      </c>
      <c r="CF3632" s="16">
        <f t="shared" si="811"/>
        <v>99</v>
      </c>
      <c r="CG3632" s="16">
        <f t="shared" si="812"/>
        <v>0</v>
      </c>
      <c r="CH3632" s="16">
        <f t="shared" si="808"/>
        <v>0</v>
      </c>
      <c r="CJ3632" s="16" t="e">
        <f t="shared" si="813"/>
        <v>#N/A</v>
      </c>
      <c r="CK3632" s="16" t="str">
        <f t="shared" si="814"/>
        <v/>
      </c>
    </row>
    <row r="3633" spans="73:89" ht="12" customHeight="1">
      <c r="BU3633" s="16">
        <f t="shared" si="815"/>
        <v>0</v>
      </c>
      <c r="BV3633" s="16">
        <f>IF($BY$12=1,NORMDIST(BY3633,$Y$6,$Y$8,TRUE),IF($BY$12=2,IF(BY3633&lt;=$BX$31,0,IF(BY3633&gt;=$BX$32,1,(BY3633-$BX$31)*$BX$33)),SUM($BU$42:BU3633)/$BV$40))</f>
        <v>1</v>
      </c>
      <c r="BW3633" s="16">
        <f t="shared" si="806"/>
        <v>9.7263863066127118E-52</v>
      </c>
      <c r="BY3633" s="16">
        <f t="shared" si="807"/>
        <v>359.10000000001315</v>
      </c>
      <c r="BZ3633" s="16">
        <f t="shared" si="809"/>
        <v>2.7085453374024937E-54</v>
      </c>
      <c r="CA3633" s="16">
        <f t="shared" si="816"/>
        <v>-999</v>
      </c>
      <c r="CE3633" s="16" t="e">
        <f t="shared" si="810"/>
        <v>#N/A</v>
      </c>
      <c r="CF3633" s="16">
        <f t="shared" si="811"/>
        <v>99</v>
      </c>
      <c r="CG3633" s="16">
        <f t="shared" si="812"/>
        <v>0</v>
      </c>
      <c r="CH3633" s="16">
        <f t="shared" si="808"/>
        <v>0</v>
      </c>
      <c r="CJ3633" s="16" t="e">
        <f t="shared" si="813"/>
        <v>#N/A</v>
      </c>
      <c r="CK3633" s="16" t="str">
        <f t="shared" si="814"/>
        <v/>
      </c>
    </row>
    <row r="3634" spans="73:89" ht="12" customHeight="1">
      <c r="BU3634" s="16">
        <f t="shared" si="815"/>
        <v>0</v>
      </c>
      <c r="BV3634" s="16">
        <f>IF($BY$12=1,NORMDIST(BY3634,$Y$6,$Y$8,TRUE),IF($BY$12=2,IF(BY3634&lt;=$BX$31,0,IF(BY3634&gt;=$BX$32,1,(BY3634-$BX$31)*$BX$33)),SUM($BU$42:BU3634)/$BV$40))</f>
        <v>1</v>
      </c>
      <c r="BW3634" s="16">
        <f t="shared" si="806"/>
        <v>9.0054807602618191E-52</v>
      </c>
      <c r="BY3634" s="16">
        <f t="shared" si="807"/>
        <v>359.20000000001318</v>
      </c>
      <c r="BZ3634" s="16">
        <f t="shared" si="809"/>
        <v>2.5070937528567617E-54</v>
      </c>
      <c r="CA3634" s="16">
        <f t="shared" si="816"/>
        <v>-999</v>
      </c>
      <c r="CE3634" s="16" t="e">
        <f t="shared" si="810"/>
        <v>#N/A</v>
      </c>
      <c r="CF3634" s="16">
        <f t="shared" si="811"/>
        <v>99</v>
      </c>
      <c r="CG3634" s="16">
        <f t="shared" si="812"/>
        <v>0</v>
      </c>
      <c r="CH3634" s="16">
        <f t="shared" si="808"/>
        <v>0</v>
      </c>
      <c r="CJ3634" s="16" t="e">
        <f t="shared" si="813"/>
        <v>#N/A</v>
      </c>
      <c r="CK3634" s="16" t="str">
        <f t="shared" si="814"/>
        <v/>
      </c>
    </row>
    <row r="3635" spans="73:89" ht="12" customHeight="1">
      <c r="BU3635" s="16">
        <f t="shared" si="815"/>
        <v>0</v>
      </c>
      <c r="BV3635" s="16">
        <f>IF($BY$12=1,NORMDIST(BY3635,$Y$6,$Y$8,TRUE),IF($BY$12=2,IF(BY3635&lt;=$BX$31,0,IF(BY3635&gt;=$BX$32,1,(BY3635-$BX$31)*$BX$33)),SUM($BU$42:BU3635)/$BV$40))</f>
        <v>1</v>
      </c>
      <c r="BW3635" s="16">
        <f t="shared" si="806"/>
        <v>8.3377985862227802E-52</v>
      </c>
      <c r="BY3635" s="16">
        <f t="shared" si="807"/>
        <v>359.3000000000132</v>
      </c>
      <c r="BZ3635" s="16">
        <f t="shared" si="809"/>
        <v>2.3205673771841008E-54</v>
      </c>
      <c r="CA3635" s="16">
        <f t="shared" si="816"/>
        <v>-999</v>
      </c>
      <c r="CE3635" s="16" t="e">
        <f t="shared" si="810"/>
        <v>#N/A</v>
      </c>
      <c r="CF3635" s="16">
        <f t="shared" si="811"/>
        <v>99</v>
      </c>
      <c r="CG3635" s="16">
        <f t="shared" si="812"/>
        <v>0</v>
      </c>
      <c r="CH3635" s="16">
        <f t="shared" si="808"/>
        <v>0</v>
      </c>
      <c r="CJ3635" s="16" t="e">
        <f t="shared" si="813"/>
        <v>#N/A</v>
      </c>
      <c r="CK3635" s="16" t="str">
        <f t="shared" si="814"/>
        <v/>
      </c>
    </row>
    <row r="3636" spans="73:89" ht="12" customHeight="1">
      <c r="BU3636" s="16">
        <f t="shared" si="815"/>
        <v>0</v>
      </c>
      <c r="BV3636" s="16">
        <f>IF($BY$12=1,NORMDIST(BY3636,$Y$6,$Y$8,TRUE),IF($BY$12=2,IF(BY3636&lt;=$BX$31,0,IF(BY3636&gt;=$BX$32,1,(BY3636-$BX$31)*$BX$33)),SUM($BU$42:BU3636)/$BV$40))</f>
        <v>1</v>
      </c>
      <c r="BW3636" s="16">
        <f t="shared" si="806"/>
        <v>7.7194259562321747E-52</v>
      </c>
      <c r="BY3636" s="16">
        <f t="shared" si="807"/>
        <v>359.40000000001322</v>
      </c>
      <c r="BZ3636" s="16">
        <f t="shared" si="809"/>
        <v>2.1478647624462691E-54</v>
      </c>
      <c r="CA3636" s="16">
        <f t="shared" si="816"/>
        <v>-999</v>
      </c>
      <c r="CE3636" s="16" t="e">
        <f t="shared" si="810"/>
        <v>#N/A</v>
      </c>
      <c r="CF3636" s="16">
        <f t="shared" si="811"/>
        <v>99</v>
      </c>
      <c r="CG3636" s="16">
        <f t="shared" si="812"/>
        <v>0</v>
      </c>
      <c r="CH3636" s="16">
        <f t="shared" si="808"/>
        <v>0</v>
      </c>
      <c r="CJ3636" s="16" t="e">
        <f t="shared" si="813"/>
        <v>#N/A</v>
      </c>
      <c r="CK3636" s="16" t="str">
        <f t="shared" si="814"/>
        <v/>
      </c>
    </row>
    <row r="3637" spans="73:89" ht="12" customHeight="1">
      <c r="BU3637" s="16">
        <f t="shared" si="815"/>
        <v>0</v>
      </c>
      <c r="BV3637" s="16">
        <f>IF($BY$12=1,NORMDIST(BY3637,$Y$6,$Y$8,TRUE),IF($BY$12=2,IF(BY3637&lt;=$BX$31,0,IF(BY3637&gt;=$BX$32,1,(BY3637-$BX$31)*$BX$33)),SUM($BU$42:BU3637)/$BV$40))</f>
        <v>1</v>
      </c>
      <c r="BW3637" s="16">
        <f t="shared" si="806"/>
        <v>7.1467356934239315E-52</v>
      </c>
      <c r="BY3637" s="16">
        <f t="shared" si="807"/>
        <v>359.50000000001324</v>
      </c>
      <c r="BZ3637" s="16">
        <f t="shared" si="809"/>
        <v>1.9879654223709786E-54</v>
      </c>
      <c r="CA3637" s="16">
        <f t="shared" si="816"/>
        <v>-999</v>
      </c>
      <c r="CE3637" s="16" t="e">
        <f t="shared" si="810"/>
        <v>#N/A</v>
      </c>
      <c r="CF3637" s="16">
        <f t="shared" si="811"/>
        <v>99</v>
      </c>
      <c r="CG3637" s="16">
        <f t="shared" si="812"/>
        <v>0</v>
      </c>
      <c r="CH3637" s="16">
        <f t="shared" si="808"/>
        <v>0</v>
      </c>
      <c r="CJ3637" s="16" t="e">
        <f t="shared" si="813"/>
        <v>#N/A</v>
      </c>
      <c r="CK3637" s="16" t="str">
        <f t="shared" si="814"/>
        <v/>
      </c>
    </row>
    <row r="3638" spans="73:89" ht="12" customHeight="1">
      <c r="BU3638" s="16">
        <f t="shared" si="815"/>
        <v>0</v>
      </c>
      <c r="BV3638" s="16">
        <f>IF($BY$12=1,NORMDIST(BY3638,$Y$6,$Y$8,TRUE),IF($BY$12=2,IF(BY3638&lt;=$BX$31,0,IF(BY3638&gt;=$BX$32,1,(BY3638-$BX$31)*$BX$33)),SUM($BU$42:BU3638)/$BV$40))</f>
        <v>1</v>
      </c>
      <c r="BW3638" s="16">
        <f t="shared" si="806"/>
        <v>6.6163663631880178E-52</v>
      </c>
      <c r="BY3638" s="16">
        <f t="shared" si="807"/>
        <v>359.60000000001327</v>
      </c>
      <c r="BZ3638" s="16">
        <f t="shared" si="809"/>
        <v>1.8399239052246312E-54</v>
      </c>
      <c r="CA3638" s="16">
        <f t="shared" si="816"/>
        <v>-999</v>
      </c>
      <c r="CE3638" s="16" t="e">
        <f t="shared" si="810"/>
        <v>#N/A</v>
      </c>
      <c r="CF3638" s="16">
        <f t="shared" si="811"/>
        <v>99</v>
      </c>
      <c r="CG3638" s="16">
        <f t="shared" si="812"/>
        <v>0</v>
      </c>
      <c r="CH3638" s="16">
        <f t="shared" si="808"/>
        <v>0</v>
      </c>
      <c r="CJ3638" s="16" t="e">
        <f t="shared" si="813"/>
        <v>#N/A</v>
      </c>
      <c r="CK3638" s="16" t="str">
        <f t="shared" si="814"/>
        <v/>
      </c>
    </row>
    <row r="3639" spans="73:89" ht="12" customHeight="1">
      <c r="BU3639" s="16">
        <f t="shared" si="815"/>
        <v>0</v>
      </c>
      <c r="BV3639" s="16">
        <f>IF($BY$12=1,NORMDIST(BY3639,$Y$6,$Y$8,TRUE),IF($BY$12=2,IF(BY3639&lt;=$BX$31,0,IF(BY3639&gt;=$BX$32,1,(BY3639-$BX$31)*$BX$33)),SUM($BU$42:BU3639)/$BV$40))</f>
        <v>1</v>
      </c>
      <c r="BW3639" s="16">
        <f t="shared" si="806"/>
        <v>6.1252028829125718E-52</v>
      </c>
      <c r="BY3639" s="16">
        <f t="shared" si="807"/>
        <v>359.70000000001329</v>
      </c>
      <c r="BZ3639" s="16">
        <f t="shared" si="809"/>
        <v>1.7028642988357925E-54</v>
      </c>
      <c r="CA3639" s="16">
        <f t="shared" si="816"/>
        <v>-999</v>
      </c>
      <c r="CE3639" s="16" t="e">
        <f t="shared" si="810"/>
        <v>#N/A</v>
      </c>
      <c r="CF3639" s="16">
        <f t="shared" si="811"/>
        <v>99</v>
      </c>
      <c r="CG3639" s="16">
        <f t="shared" si="812"/>
        <v>0</v>
      </c>
      <c r="CH3639" s="16">
        <f t="shared" si="808"/>
        <v>0</v>
      </c>
      <c r="CJ3639" s="16" t="e">
        <f t="shared" si="813"/>
        <v>#N/A</v>
      </c>
      <c r="CK3639" s="16" t="str">
        <f t="shared" si="814"/>
        <v/>
      </c>
    </row>
    <row r="3640" spans="73:89" ht="12" customHeight="1">
      <c r="BU3640" s="16">
        <f t="shared" si="815"/>
        <v>0</v>
      </c>
      <c r="BV3640" s="16">
        <f>IF($BY$12=1,NORMDIST(BY3640,$Y$6,$Y$8,TRUE),IF($BY$12=2,IF(BY3640&lt;=$BX$31,0,IF(BY3640&gt;=$BX$32,1,(BY3640-$BX$31)*$BX$33)),SUM($BU$42:BU3640)/$BV$40))</f>
        <v>1</v>
      </c>
      <c r="BW3640" s="16">
        <f t="shared" si="806"/>
        <v>5.6703585407345227E-52</v>
      </c>
      <c r="BY3640" s="16">
        <f t="shared" si="807"/>
        <v>359.80000000001331</v>
      </c>
      <c r="BZ3640" s="16">
        <f t="shared" si="809"/>
        <v>1.5759751363908596E-54</v>
      </c>
      <c r="CA3640" s="16">
        <f t="shared" si="816"/>
        <v>-999</v>
      </c>
      <c r="CE3640" s="16" t="e">
        <f t="shared" si="810"/>
        <v>#N/A</v>
      </c>
      <c r="CF3640" s="16">
        <f t="shared" si="811"/>
        <v>99</v>
      </c>
      <c r="CG3640" s="16">
        <f t="shared" si="812"/>
        <v>0</v>
      </c>
      <c r="CH3640" s="16">
        <f t="shared" si="808"/>
        <v>0</v>
      </c>
      <c r="CJ3640" s="16" t="e">
        <f t="shared" si="813"/>
        <v>#N/A</v>
      </c>
      <c r="CK3640" s="16" t="str">
        <f t="shared" si="814"/>
        <v/>
      </c>
    </row>
    <row r="3641" spans="73:89" ht="12" customHeight="1">
      <c r="BU3641" s="16">
        <f t="shared" si="815"/>
        <v>0</v>
      </c>
      <c r="BV3641" s="16">
        <f>IF($BY$12=1,NORMDIST(BY3641,$Y$6,$Y$8,TRUE),IF($BY$12=2,IF(BY3641&lt;=$BX$31,0,IF(BY3641&gt;=$BX$32,1,(BY3641-$BX$31)*$BX$33)),SUM($BU$42:BU3641)/$BV$40))</f>
        <v>1</v>
      </c>
      <c r="BW3641" s="16">
        <f t="shared" si="806"/>
        <v>5.2491583213411543E-52</v>
      </c>
      <c r="BY3641" s="16">
        <f t="shared" si="807"/>
        <v>359.90000000001334</v>
      </c>
      <c r="BZ3641" s="16">
        <f t="shared" si="809"/>
        <v>1.4585046738930146E-54</v>
      </c>
      <c r="CA3641" s="16">
        <f t="shared" si="816"/>
        <v>-999</v>
      </c>
      <c r="CE3641" s="16" t="e">
        <f t="shared" si="810"/>
        <v>#N/A</v>
      </c>
      <c r="CF3641" s="16">
        <f t="shared" si="811"/>
        <v>99</v>
      </c>
      <c r="CG3641" s="16">
        <f t="shared" si="812"/>
        <v>0</v>
      </c>
      <c r="CH3641" s="16">
        <f t="shared" si="808"/>
        <v>0</v>
      </c>
      <c r="CJ3641" s="16" t="e">
        <f t="shared" si="813"/>
        <v>#N/A</v>
      </c>
      <c r="CK3641" s="16" t="str">
        <f t="shared" si="814"/>
        <v/>
      </c>
    </row>
    <row r="3642" spans="73:89" ht="12" customHeight="1">
      <c r="BU3642" s="16">
        <f t="shared" si="815"/>
        <v>0</v>
      </c>
      <c r="BV3642" s="16">
        <f>IF($BY$12=1,NORMDIST(BY3642,$Y$6,$Y$8,TRUE),IF($BY$12=2,IF(BY3642&lt;=$BX$31,0,IF(BY3642&gt;=$BX$32,1,(BY3642-$BX$31)*$BX$33)),SUM($BU$42:BU3642)/$BV$40))</f>
        <v>1</v>
      </c>
      <c r="BW3642" s="16">
        <f t="shared" si="806"/>
        <v>4.8591234442093669E-52</v>
      </c>
      <c r="BY3642" s="16">
        <f t="shared" si="807"/>
        <v>360.00000000001336</v>
      </c>
      <c r="BZ3642" s="16">
        <f t="shared" si="809"/>
        <v>1.3497565122803297E-54</v>
      </c>
      <c r="CA3642" s="16">
        <f t="shared" si="816"/>
        <v>-999</v>
      </c>
      <c r="CE3642" s="16" t="e">
        <f t="shared" si="810"/>
        <v>#N/A</v>
      </c>
      <c r="CF3642" s="16">
        <f t="shared" si="811"/>
        <v>99</v>
      </c>
      <c r="CG3642" s="16">
        <f t="shared" si="812"/>
        <v>0</v>
      </c>
      <c r="CH3642" s="16">
        <f t="shared" si="808"/>
        <v>0</v>
      </c>
      <c r="CJ3642" s="16" t="e">
        <f t="shared" si="813"/>
        <v>#N/A</v>
      </c>
      <c r="CK3642" s="16" t="str">
        <f t="shared" si="814"/>
        <v/>
      </c>
    </row>
    <row r="3643" spans="73:89" ht="12" customHeight="1">
      <c r="BU3643" s="16">
        <f t="shared" si="815"/>
        <v>0</v>
      </c>
      <c r="BV3643" s="16">
        <f>IF($BY$12=1,NORMDIST(BY3643,$Y$6,$Y$8,TRUE),IF($BY$12=2,IF(BY3643&lt;=$BX$31,0,IF(BY3643&gt;=$BX$32,1,(BY3643-$BX$31)*$BX$33)),SUM($BU$42:BU3643)/$BV$40))</f>
        <v>1</v>
      </c>
      <c r="BW3643" s="16">
        <f t="shared" ref="BW3643:BW3706" si="817">BY3643*BZ3643</f>
        <v>4.4979570264890164E-52</v>
      </c>
      <c r="BY3643" s="16">
        <f t="shared" ref="BY3643:BY3706" si="818">BY3642+$BZ$1</f>
        <v>360.10000000001338</v>
      </c>
      <c r="BZ3643" s="16">
        <f t="shared" si="809"/>
        <v>1.2490855391526935E-54</v>
      </c>
      <c r="CA3643" s="16">
        <f t="shared" si="816"/>
        <v>-999</v>
      </c>
      <c r="CE3643" s="16" t="e">
        <f t="shared" si="810"/>
        <v>#N/A</v>
      </c>
      <c r="CF3643" s="16">
        <f t="shared" si="811"/>
        <v>99</v>
      </c>
      <c r="CG3643" s="16">
        <f t="shared" si="812"/>
        <v>0</v>
      </c>
      <c r="CH3643" s="16">
        <f t="shared" si="808"/>
        <v>0</v>
      </c>
      <c r="CJ3643" s="16" t="e">
        <f t="shared" si="813"/>
        <v>#N/A</v>
      </c>
      <c r="CK3643" s="16" t="str">
        <f t="shared" si="814"/>
        <v/>
      </c>
    </row>
    <row r="3644" spans="73:89" ht="12" customHeight="1">
      <c r="BU3644" s="16">
        <f t="shared" si="815"/>
        <v>0</v>
      </c>
      <c r="BV3644" s="16">
        <f>IF($BY$12=1,NORMDIST(BY3644,$Y$6,$Y$8,TRUE),IF($BY$12=2,IF(BY3644&lt;=$BX$31,0,IF(BY3644&gt;=$BX$32,1,(BY3644-$BX$31)*$BX$33)),SUM($BU$42:BU3644)/$BV$40))</f>
        <v>1</v>
      </c>
      <c r="BW3644" s="16">
        <f t="shared" si="817"/>
        <v>4.1635307890692589E-52</v>
      </c>
      <c r="BY3644" s="16">
        <f t="shared" si="818"/>
        <v>360.2000000000134</v>
      </c>
      <c r="BZ3644" s="16">
        <f t="shared" si="809"/>
        <v>1.1558941668709338E-54</v>
      </c>
      <c r="CA3644" s="16">
        <f t="shared" si="816"/>
        <v>-999</v>
      </c>
      <c r="CE3644" s="16" t="e">
        <f t="shared" si="810"/>
        <v>#N/A</v>
      </c>
      <c r="CF3644" s="16">
        <f t="shared" si="811"/>
        <v>99</v>
      </c>
      <c r="CG3644" s="16">
        <f t="shared" si="812"/>
        <v>0</v>
      </c>
      <c r="CH3644" s="16">
        <f t="shared" si="808"/>
        <v>0</v>
      </c>
      <c r="CJ3644" s="16" t="e">
        <f t="shared" si="813"/>
        <v>#N/A</v>
      </c>
      <c r="CK3644" s="16" t="str">
        <f t="shared" si="814"/>
        <v/>
      </c>
    </row>
    <row r="3645" spans="73:89" ht="12" customHeight="1">
      <c r="BU3645" s="16">
        <f t="shared" si="815"/>
        <v>0</v>
      </c>
      <c r="BV3645" s="16">
        <f>IF($BY$12=1,NORMDIST(BY3645,$Y$6,$Y$8,TRUE),IF($BY$12=2,IF(BY3645&lt;=$BX$31,0,IF(BY3645&gt;=$BX$32,1,(BY3645-$BX$31)*$BX$33)),SUM($BU$42:BU3645)/$BV$40))</f>
        <v>1</v>
      </c>
      <c r="BW3645" s="16">
        <f t="shared" si="817"/>
        <v>3.8538727302385124E-52</v>
      </c>
      <c r="BY3645" s="16">
        <f t="shared" si="818"/>
        <v>360.30000000001343</v>
      </c>
      <c r="BZ3645" s="16">
        <f t="shared" si="809"/>
        <v>1.0696288454727641E-54</v>
      </c>
      <c r="CA3645" s="16">
        <f t="shared" si="816"/>
        <v>-999</v>
      </c>
      <c r="CE3645" s="16" t="e">
        <f t="shared" si="810"/>
        <v>#N/A</v>
      </c>
      <c r="CF3645" s="16">
        <f t="shared" si="811"/>
        <v>99</v>
      </c>
      <c r="CG3645" s="16">
        <f t="shared" si="812"/>
        <v>0</v>
      </c>
      <c r="CH3645" s="16">
        <f t="shared" si="808"/>
        <v>0</v>
      </c>
      <c r="CJ3645" s="16" t="e">
        <f t="shared" si="813"/>
        <v>#N/A</v>
      </c>
      <c r="CK3645" s="16" t="str">
        <f t="shared" si="814"/>
        <v/>
      </c>
    </row>
    <row r="3646" spans="73:89" ht="12" customHeight="1">
      <c r="BU3646" s="16">
        <f t="shared" si="815"/>
        <v>0</v>
      </c>
      <c r="BV3646" s="16">
        <f>IF($BY$12=1,NORMDIST(BY3646,$Y$6,$Y$8,TRUE),IF($BY$12=2,IF(BY3646&lt;=$BX$31,0,IF(BY3646&gt;=$BX$32,1,(BY3646-$BX$31)*$BX$33)),SUM($BU$42:BU3646)/$BV$40))</f>
        <v>1</v>
      </c>
      <c r="BW3646" s="16">
        <f t="shared" si="817"/>
        <v>3.5671556968081818E-52</v>
      </c>
      <c r="BY3646" s="16">
        <f t="shared" si="818"/>
        <v>360.40000000001345</v>
      </c>
      <c r="BZ3646" s="16">
        <f t="shared" si="809"/>
        <v>9.8977683041288812E-55</v>
      </c>
      <c r="CA3646" s="16">
        <f t="shared" si="816"/>
        <v>-999</v>
      </c>
      <c r="CE3646" s="16" t="e">
        <f t="shared" si="810"/>
        <v>#N/A</v>
      </c>
      <c r="CF3646" s="16">
        <f t="shared" si="811"/>
        <v>99</v>
      </c>
      <c r="CG3646" s="16">
        <f t="shared" si="812"/>
        <v>0</v>
      </c>
      <c r="CH3646" s="16">
        <f t="shared" si="808"/>
        <v>0</v>
      </c>
      <c r="CJ3646" s="16" t="e">
        <f t="shared" si="813"/>
        <v>#N/A</v>
      </c>
      <c r="CK3646" s="16" t="str">
        <f t="shared" si="814"/>
        <v/>
      </c>
    </row>
    <row r="3647" spans="73:89" ht="12" customHeight="1">
      <c r="BU3647" s="16">
        <f t="shared" si="815"/>
        <v>0</v>
      </c>
      <c r="BV3647" s="16">
        <f>IF($BY$12=1,NORMDIST(BY3647,$Y$6,$Y$8,TRUE),IF($BY$12=2,IF(BY3647&lt;=$BX$31,0,IF(BY3647&gt;=$BX$32,1,(BY3647-$BX$31)*$BX$33)),SUM($BU$42:BU3647)/$BV$40))</f>
        <v>1</v>
      </c>
      <c r="BW3647" s="16">
        <f t="shared" si="817"/>
        <v>3.3016867876257659E-52</v>
      </c>
      <c r="BY3647" s="16">
        <f t="shared" si="818"/>
        <v>360.50000000001347</v>
      </c>
      <c r="BZ3647" s="16">
        <f t="shared" si="809"/>
        <v>9.1586318658131554E-55</v>
      </c>
      <c r="CA3647" s="16">
        <f t="shared" si="816"/>
        <v>-999</v>
      </c>
      <c r="CE3647" s="16" t="e">
        <f t="shared" si="810"/>
        <v>#N/A</v>
      </c>
      <c r="CF3647" s="16">
        <f t="shared" si="811"/>
        <v>99</v>
      </c>
      <c r="CG3647" s="16">
        <f t="shared" si="812"/>
        <v>0</v>
      </c>
      <c r="CH3647" s="16">
        <f t="shared" si="808"/>
        <v>0</v>
      </c>
      <c r="CJ3647" s="16" t="e">
        <f t="shared" si="813"/>
        <v>#N/A</v>
      </c>
      <c r="CK3647" s="16" t="str">
        <f t="shared" si="814"/>
        <v/>
      </c>
    </row>
    <row r="3648" spans="73:89" ht="12" customHeight="1">
      <c r="BU3648" s="16">
        <f t="shared" si="815"/>
        <v>0</v>
      </c>
      <c r="BV3648" s="16">
        <f>IF($BY$12=1,NORMDIST(BY3648,$Y$6,$Y$8,TRUE),IF($BY$12=2,IF(BY3648&lt;=$BX$31,0,IF(BY3648&gt;=$BX$32,1,(BY3648-$BX$31)*$BX$33)),SUM($BU$42:BU3648)/$BV$40))</f>
        <v>1</v>
      </c>
      <c r="BW3648" s="16">
        <f t="shared" si="817"/>
        <v>3.0558975291062875E-52</v>
      </c>
      <c r="BY3648" s="16">
        <f t="shared" si="818"/>
        <v>360.60000000001349</v>
      </c>
      <c r="BZ3648" s="16">
        <f t="shared" si="809"/>
        <v>8.4744801139938247E-55</v>
      </c>
      <c r="CA3648" s="16">
        <f t="shared" si="816"/>
        <v>-999</v>
      </c>
      <c r="CE3648" s="16" t="e">
        <f t="shared" si="810"/>
        <v>#N/A</v>
      </c>
      <c r="CF3648" s="16">
        <f t="shared" si="811"/>
        <v>99</v>
      </c>
      <c r="CG3648" s="16">
        <f t="shared" si="812"/>
        <v>0</v>
      </c>
      <c r="CH3648" s="16">
        <f t="shared" si="808"/>
        <v>0</v>
      </c>
      <c r="CJ3648" s="16" t="e">
        <f t="shared" si="813"/>
        <v>#N/A</v>
      </c>
      <c r="CK3648" s="16" t="str">
        <f t="shared" si="814"/>
        <v/>
      </c>
    </row>
    <row r="3649" spans="73:89" ht="12" customHeight="1">
      <c r="BU3649" s="16">
        <f t="shared" si="815"/>
        <v>0</v>
      </c>
      <c r="BV3649" s="16">
        <f>IF($BY$12=1,NORMDIST(BY3649,$Y$6,$Y$8,TRUE),IF($BY$12=2,IF(BY3649&lt;=$BX$31,0,IF(BY3649&gt;=$BX$32,1,(BY3649-$BX$31)*$BX$33)),SUM($BU$42:BU3649)/$BV$40))</f>
        <v>1</v>
      </c>
      <c r="BW3649" s="16">
        <f t="shared" si="817"/>
        <v>2.82833476676882E-52</v>
      </c>
      <c r="BY3649" s="16">
        <f t="shared" si="818"/>
        <v>360.70000000001352</v>
      </c>
      <c r="BZ3649" s="16">
        <f t="shared" si="809"/>
        <v>7.8412386103928863E-55</v>
      </c>
      <c r="CA3649" s="16">
        <f t="shared" si="816"/>
        <v>-999</v>
      </c>
      <c r="CE3649" s="16" t="e">
        <f t="shared" si="810"/>
        <v>#N/A</v>
      </c>
      <c r="CF3649" s="16">
        <f t="shared" si="811"/>
        <v>99</v>
      </c>
      <c r="CG3649" s="16">
        <f t="shared" si="812"/>
        <v>0</v>
      </c>
      <c r="CH3649" s="16">
        <f t="shared" si="808"/>
        <v>0</v>
      </c>
      <c r="CJ3649" s="16" t="e">
        <f t="shared" si="813"/>
        <v>#N/A</v>
      </c>
      <c r="CK3649" s="16" t="str">
        <f t="shared" si="814"/>
        <v/>
      </c>
    </row>
    <row r="3650" spans="73:89" ht="12" customHeight="1">
      <c r="BU3650" s="16">
        <f t="shared" si="815"/>
        <v>0</v>
      </c>
      <c r="BV3650" s="16">
        <f>IF($BY$12=1,NORMDIST(BY3650,$Y$6,$Y$8,TRUE),IF($BY$12=2,IF(BY3650&lt;=$BX$31,0,IF(BY3650&gt;=$BX$32,1,(BY3650-$BX$31)*$BX$33)),SUM($BU$42:BU3650)/$BV$40))</f>
        <v>1</v>
      </c>
      <c r="BW3650" s="16">
        <f t="shared" si="817"/>
        <v>2.6176522208121821E-52</v>
      </c>
      <c r="BY3650" s="16">
        <f t="shared" si="818"/>
        <v>360.80000000001354</v>
      </c>
      <c r="BZ3650" s="16">
        <f t="shared" si="809"/>
        <v>7.2551336497008976E-55</v>
      </c>
      <c r="CA3650" s="16">
        <f t="shared" si="816"/>
        <v>-999</v>
      </c>
      <c r="CE3650" s="16" t="e">
        <f t="shared" si="810"/>
        <v>#N/A</v>
      </c>
      <c r="CF3650" s="16">
        <f t="shared" si="811"/>
        <v>99</v>
      </c>
      <c r="CG3650" s="16">
        <f t="shared" si="812"/>
        <v>0</v>
      </c>
      <c r="CH3650" s="16">
        <f t="shared" si="808"/>
        <v>0</v>
      </c>
      <c r="CJ3650" s="16" t="e">
        <f t="shared" si="813"/>
        <v>#N/A</v>
      </c>
      <c r="CK3650" s="16" t="str">
        <f t="shared" si="814"/>
        <v/>
      </c>
    </row>
    <row r="3651" spans="73:89" ht="12" customHeight="1">
      <c r="BU3651" s="16">
        <f t="shared" si="815"/>
        <v>0</v>
      </c>
      <c r="BV3651" s="16">
        <f>IF($BY$12=1,NORMDIST(BY3651,$Y$6,$Y$8,TRUE),IF($BY$12=2,IF(BY3651&lt;=$BX$31,0,IF(BY3651&gt;=$BX$32,1,(BY3651-$BX$31)*$BX$33)),SUM($BU$42:BU3651)/$BV$40))</f>
        <v>1</v>
      </c>
      <c r="BW3651" s="16">
        <f t="shared" si="817"/>
        <v>2.4226026575194686E-52</v>
      </c>
      <c r="BY3651" s="16">
        <f t="shared" si="818"/>
        <v>360.90000000001356</v>
      </c>
      <c r="BZ3651" s="16">
        <f t="shared" si="809"/>
        <v>6.7126701510650528E-55</v>
      </c>
      <c r="CA3651" s="16">
        <f t="shared" si="816"/>
        <v>-999</v>
      </c>
      <c r="CE3651" s="16" t="e">
        <f t="shared" si="810"/>
        <v>#N/A</v>
      </c>
      <c r="CF3651" s="16">
        <f t="shared" si="811"/>
        <v>99</v>
      </c>
      <c r="CG3651" s="16">
        <f t="shared" si="812"/>
        <v>0</v>
      </c>
      <c r="CH3651" s="16">
        <f t="shared" ref="CH3651:CH3714" si="819">IF(CB3651="",0,1)</f>
        <v>0</v>
      </c>
      <c r="CJ3651" s="16" t="e">
        <f t="shared" si="813"/>
        <v>#N/A</v>
      </c>
      <c r="CK3651" s="16" t="str">
        <f t="shared" si="814"/>
        <v/>
      </c>
    </row>
    <row r="3652" spans="73:89" ht="12" customHeight="1">
      <c r="BU3652" s="16">
        <f t="shared" si="815"/>
        <v>0</v>
      </c>
      <c r="BV3652" s="16">
        <f>IF($BY$12=1,NORMDIST(BY3652,$Y$6,$Y$8,TRUE),IF($BY$12=2,IF(BY3652&lt;=$BX$31,0,IF(BY3652&gt;=$BX$32,1,(BY3652-$BX$31)*$BX$33)),SUM($BU$42:BU3652)/$BV$40))</f>
        <v>1</v>
      </c>
      <c r="BW3652" s="16">
        <f t="shared" si="817"/>
        <v>2.2420306317676441E-52</v>
      </c>
      <c r="BY3652" s="16">
        <f t="shared" si="818"/>
        <v>361.00000000001359</v>
      </c>
      <c r="BZ3652" s="16">
        <f t="shared" si="809"/>
        <v>6.2106111683311906E-55</v>
      </c>
      <c r="CA3652" s="16">
        <f t="shared" si="816"/>
        <v>-999</v>
      </c>
      <c r="CE3652" s="16" t="e">
        <f t="shared" si="810"/>
        <v>#N/A</v>
      </c>
      <c r="CF3652" s="16">
        <f t="shared" si="811"/>
        <v>99</v>
      </c>
      <c r="CG3652" s="16">
        <f t="shared" si="812"/>
        <v>0</v>
      </c>
      <c r="CH3652" s="16">
        <f t="shared" si="819"/>
        <v>0</v>
      </c>
      <c r="CJ3652" s="16" t="e">
        <f t="shared" si="813"/>
        <v>#N/A</v>
      </c>
      <c r="CK3652" s="16" t="str">
        <f t="shared" si="814"/>
        <v/>
      </c>
    </row>
    <row r="3653" spans="73:89" ht="12" customHeight="1">
      <c r="BU3653" s="16">
        <f t="shared" si="815"/>
        <v>0</v>
      </c>
      <c r="BV3653" s="16">
        <f>IF($BY$12=1,NORMDIST(BY3653,$Y$6,$Y$8,TRUE),IF($BY$12=2,IF(BY3653&lt;=$BX$31,0,IF(BY3653&gt;=$BX$32,1,(BY3653-$BX$31)*$BX$33)),SUM($BU$42:BU3653)/$BV$40))</f>
        <v>1</v>
      </c>
      <c r="BW3653" s="16">
        <f t="shared" si="817"/>
        <v>2.0748657591504794E-52</v>
      </c>
      <c r="BY3653" s="16">
        <f t="shared" si="818"/>
        <v>361.10000000001361</v>
      </c>
      <c r="BZ3653" s="16">
        <f t="shared" si="809"/>
        <v>5.7459589009980653E-55</v>
      </c>
      <c r="CA3653" s="16">
        <f t="shared" si="816"/>
        <v>-999</v>
      </c>
      <c r="CE3653" s="16" t="e">
        <f t="shared" si="810"/>
        <v>#N/A</v>
      </c>
      <c r="CF3653" s="16">
        <f t="shared" si="811"/>
        <v>99</v>
      </c>
      <c r="CG3653" s="16">
        <f t="shared" si="812"/>
        <v>0</v>
      </c>
      <c r="CH3653" s="16">
        <f t="shared" si="819"/>
        <v>0</v>
      </c>
      <c r="CJ3653" s="16" t="e">
        <f t="shared" si="813"/>
        <v>#N/A</v>
      </c>
      <c r="CK3653" s="16" t="str">
        <f t="shared" si="814"/>
        <v/>
      </c>
    </row>
    <row r="3654" spans="73:89" ht="12" customHeight="1">
      <c r="BU3654" s="16">
        <f t="shared" si="815"/>
        <v>0</v>
      </c>
      <c r="BV3654" s="16">
        <f>IF($BY$12=1,NORMDIST(BY3654,$Y$6,$Y$8,TRUE),IF($BY$12=2,IF(BY3654&lt;=$BX$31,0,IF(BY3654&gt;=$BX$32,1,(BY3654-$BX$31)*$BX$33)),SUM($BU$42:BU3654)/$BV$40))</f>
        <v>1</v>
      </c>
      <c r="BW3654" s="16">
        <f t="shared" si="817"/>
        <v>1.9201164792276517E-52</v>
      </c>
      <c r="BY3654" s="16">
        <f t="shared" si="818"/>
        <v>361.20000000001363</v>
      </c>
      <c r="BZ3654" s="16">
        <f t="shared" si="809"/>
        <v>5.3159370964218695E-55</v>
      </c>
      <c r="CA3654" s="16">
        <f t="shared" si="816"/>
        <v>-999</v>
      </c>
      <c r="CE3654" s="16" t="e">
        <f t="shared" si="810"/>
        <v>#N/A</v>
      </c>
      <c r="CF3654" s="16">
        <f t="shared" si="811"/>
        <v>99</v>
      </c>
      <c r="CG3654" s="16">
        <f t="shared" si="812"/>
        <v>0</v>
      </c>
      <c r="CH3654" s="16">
        <f t="shared" si="819"/>
        <v>0</v>
      </c>
      <c r="CJ3654" s="16" t="e">
        <f t="shared" si="813"/>
        <v>#N/A</v>
      </c>
      <c r="CK3654" s="16" t="str">
        <f t="shared" si="814"/>
        <v/>
      </c>
    </row>
    <row r="3655" spans="73:89" ht="12" customHeight="1">
      <c r="BU3655" s="16">
        <f t="shared" si="815"/>
        <v>0</v>
      </c>
      <c r="BV3655" s="16">
        <f>IF($BY$12=1,NORMDIST(BY3655,$Y$6,$Y$8,TRUE),IF($BY$12=2,IF(BY3655&lt;=$BX$31,0,IF(BY3655&gt;=$BX$32,1,(BY3655-$BX$31)*$BX$33)),SUM($BU$42:BU3655)/$BV$40))</f>
        <v>1</v>
      </c>
      <c r="BW3655" s="16">
        <f t="shared" si="817"/>
        <v>1.7768642741957811E-52</v>
      </c>
      <c r="BY3655" s="16">
        <f t="shared" si="818"/>
        <v>361.30000000001365</v>
      </c>
      <c r="BZ3655" s="16">
        <f t="shared" si="809"/>
        <v>4.9179747417539832E-55</v>
      </c>
      <c r="CA3655" s="16">
        <f t="shared" si="816"/>
        <v>-999</v>
      </c>
      <c r="CE3655" s="16" t="e">
        <f t="shared" si="810"/>
        <v>#N/A</v>
      </c>
      <c r="CF3655" s="16">
        <f t="shared" si="811"/>
        <v>99</v>
      </c>
      <c r="CG3655" s="16">
        <f t="shared" si="812"/>
        <v>0</v>
      </c>
      <c r="CH3655" s="16">
        <f t="shared" si="819"/>
        <v>0</v>
      </c>
      <c r="CJ3655" s="16" t="e">
        <f t="shared" si="813"/>
        <v>#N/A</v>
      </c>
      <c r="CK3655" s="16" t="str">
        <f t="shared" si="814"/>
        <v/>
      </c>
    </row>
    <row r="3656" spans="73:89" ht="12" customHeight="1">
      <c r="BU3656" s="16">
        <f t="shared" si="815"/>
        <v>0</v>
      </c>
      <c r="BV3656" s="16">
        <f>IF($BY$12=1,NORMDIST(BY3656,$Y$6,$Y$8,TRUE),IF($BY$12=2,IF(BY3656&lt;=$BX$31,0,IF(BY3656&gt;=$BX$32,1,(BY3656-$BX$31)*$BX$33)),SUM($BU$42:BU3656)/$BV$40))</f>
        <v>1</v>
      </c>
      <c r="BW3656" s="16">
        <f t="shared" si="817"/>
        <v>1.6442583098630345E-52</v>
      </c>
      <c r="BY3656" s="16">
        <f t="shared" si="818"/>
        <v>361.40000000001368</v>
      </c>
      <c r="BZ3656" s="16">
        <f t="shared" si="809"/>
        <v>4.5496909514747435E-55</v>
      </c>
      <c r="CA3656" s="16">
        <f t="shared" si="816"/>
        <v>-999</v>
      </c>
      <c r="CE3656" s="16" t="e">
        <f t="shared" si="810"/>
        <v>#N/A</v>
      </c>
      <c r="CF3656" s="16">
        <f t="shared" si="811"/>
        <v>99</v>
      </c>
      <c r="CG3656" s="16">
        <f t="shared" si="812"/>
        <v>0</v>
      </c>
      <c r="CH3656" s="16">
        <f t="shared" si="819"/>
        <v>0</v>
      </c>
      <c r="CJ3656" s="16" t="e">
        <f t="shared" si="813"/>
        <v>#N/A</v>
      </c>
      <c r="CK3656" s="16" t="str">
        <f t="shared" si="814"/>
        <v/>
      </c>
    </row>
    <row r="3657" spans="73:89" ht="12" customHeight="1">
      <c r="BU3657" s="16">
        <f t="shared" si="815"/>
        <v>0</v>
      </c>
      <c r="BV3657" s="16">
        <f>IF($BY$12=1,NORMDIST(BY3657,$Y$6,$Y$8,TRUE),IF($BY$12=2,IF(BY3657&lt;=$BX$31,0,IF(BY3657&gt;=$BX$32,1,(BY3657-$BX$31)*$BX$33)),SUM($BU$42:BU3657)/$BV$40))</f>
        <v>1</v>
      </c>
      <c r="BW3657" s="16">
        <f t="shared" si="817"/>
        <v>1.5215104682070944E-52</v>
      </c>
      <c r="BY3657" s="16">
        <f t="shared" si="818"/>
        <v>361.5000000000137</v>
      </c>
      <c r="BZ3657" s="16">
        <f t="shared" si="809"/>
        <v>4.2088809632283176E-55</v>
      </c>
      <c r="CA3657" s="16">
        <f t="shared" si="816"/>
        <v>-999</v>
      </c>
      <c r="CE3657" s="16" t="e">
        <f t="shared" si="810"/>
        <v>#N/A</v>
      </c>
      <c r="CF3657" s="16">
        <f t="shared" si="811"/>
        <v>99</v>
      </c>
      <c r="CG3657" s="16">
        <f t="shared" si="812"/>
        <v>0</v>
      </c>
      <c r="CH3657" s="16">
        <f t="shared" si="819"/>
        <v>0</v>
      </c>
      <c r="CJ3657" s="16" t="e">
        <f t="shared" si="813"/>
        <v>#N/A</v>
      </c>
      <c r="CK3657" s="16" t="str">
        <f t="shared" si="814"/>
        <v/>
      </c>
    </row>
    <row r="3658" spans="73:89" ht="12" customHeight="1">
      <c r="BU3658" s="16">
        <f t="shared" si="815"/>
        <v>0</v>
      </c>
      <c r="BV3658" s="16">
        <f>IF($BY$12=1,NORMDIST(BY3658,$Y$6,$Y$8,TRUE),IF($BY$12=2,IF(BY3658&lt;=$BX$31,0,IF(BY3658&gt;=$BX$32,1,(BY3658-$BX$31)*$BX$33)),SUM($BU$42:BU3658)/$BV$40))</f>
        <v>1</v>
      </c>
      <c r="BW3658" s="16">
        <f t="shared" si="817"/>
        <v>1.4078907430213927E-52</v>
      </c>
      <c r="BY3658" s="16">
        <f t="shared" si="818"/>
        <v>361.60000000001372</v>
      </c>
      <c r="BZ3658" s="16">
        <f t="shared" si="809"/>
        <v>3.8935031610103413E-55</v>
      </c>
      <c r="CA3658" s="16">
        <f t="shared" si="816"/>
        <v>-999</v>
      </c>
      <c r="CE3658" s="16" t="e">
        <f t="shared" si="810"/>
        <v>#N/A</v>
      </c>
      <c r="CF3658" s="16">
        <f t="shared" si="811"/>
        <v>99</v>
      </c>
      <c r="CG3658" s="16">
        <f t="shared" si="812"/>
        <v>0</v>
      </c>
      <c r="CH3658" s="16">
        <f t="shared" si="819"/>
        <v>0</v>
      </c>
      <c r="CJ3658" s="16" t="e">
        <f t="shared" si="813"/>
        <v>#N/A</v>
      </c>
      <c r="CK3658" s="16" t="str">
        <f t="shared" si="814"/>
        <v/>
      </c>
    </row>
    <row r="3659" spans="73:89" ht="12" customHeight="1">
      <c r="BU3659" s="16">
        <f t="shared" si="815"/>
        <v>0</v>
      </c>
      <c r="BV3659" s="16">
        <f>IF($BY$12=1,NORMDIST(BY3659,$Y$6,$Y$8,TRUE),IF($BY$12=2,IF(BY3659&lt;=$BX$31,0,IF(BY3659&gt;=$BX$32,1,(BY3659-$BX$31)*$BX$33)),SUM($BU$42:BU3659)/$BV$40))</f>
        <v>1</v>
      </c>
      <c r="BW3659" s="16">
        <f t="shared" si="817"/>
        <v>1.3027229722197929E-52</v>
      </c>
      <c r="BY3659" s="16">
        <f t="shared" si="818"/>
        <v>361.70000000001374</v>
      </c>
      <c r="BZ3659" s="16">
        <f t="shared" si="809"/>
        <v>3.601667050649E-55</v>
      </c>
      <c r="CA3659" s="16">
        <f t="shared" si="816"/>
        <v>-999</v>
      </c>
      <c r="CE3659" s="16" t="e">
        <f t="shared" si="810"/>
        <v>#N/A</v>
      </c>
      <c r="CF3659" s="16">
        <f t="shared" si="811"/>
        <v>99</v>
      </c>
      <c r="CG3659" s="16">
        <f t="shared" si="812"/>
        <v>0</v>
      </c>
      <c r="CH3659" s="16">
        <f t="shared" si="819"/>
        <v>0</v>
      </c>
      <c r="CJ3659" s="16" t="e">
        <f t="shared" si="813"/>
        <v>#N/A</v>
      </c>
      <c r="CK3659" s="16" t="str">
        <f t="shared" si="814"/>
        <v/>
      </c>
    </row>
    <row r="3660" spans="73:89" ht="12" customHeight="1">
      <c r="BU3660" s="16">
        <f t="shared" si="815"/>
        <v>0</v>
      </c>
      <c r="BV3660" s="16">
        <f>IF($BY$12=1,NORMDIST(BY3660,$Y$6,$Y$8,TRUE),IF($BY$12=2,IF(BY3660&lt;=$BX$31,0,IF(BY3660&gt;=$BX$32,1,(BY3660-$BX$31)*$BX$33)),SUM($BU$42:BU3660)/$BV$40))</f>
        <v>1</v>
      </c>
      <c r="BW3660" s="16">
        <f t="shared" si="817"/>
        <v>1.2053808822850961E-52</v>
      </c>
      <c r="BY3660" s="16">
        <f t="shared" si="818"/>
        <v>361.80000000001377</v>
      </c>
      <c r="BZ3660" s="16">
        <f t="shared" si="809"/>
        <v>3.3316221179796855E-55</v>
      </c>
      <c r="CA3660" s="16">
        <f t="shared" si="816"/>
        <v>-999</v>
      </c>
      <c r="CE3660" s="16" t="e">
        <f t="shared" si="810"/>
        <v>#N/A</v>
      </c>
      <c r="CF3660" s="16">
        <f t="shared" si="811"/>
        <v>99</v>
      </c>
      <c r="CG3660" s="16">
        <f t="shared" si="812"/>
        <v>0</v>
      </c>
      <c r="CH3660" s="16">
        <f t="shared" si="819"/>
        <v>0</v>
      </c>
      <c r="CJ3660" s="16" t="e">
        <f t="shared" si="813"/>
        <v>#N/A</v>
      </c>
      <c r="CK3660" s="16" t="str">
        <f t="shared" si="814"/>
        <v/>
      </c>
    </row>
    <row r="3661" spans="73:89" ht="12" customHeight="1">
      <c r="BU3661" s="16">
        <f t="shared" si="815"/>
        <v>0</v>
      </c>
      <c r="BV3661" s="16">
        <f>IF($BY$12=1,NORMDIST(BY3661,$Y$6,$Y$8,TRUE),IF($BY$12=2,IF(BY3661&lt;=$BX$31,0,IF(BY3661&gt;=$BX$32,1,(BY3661-$BX$31)*$BX$33)),SUM($BU$42:BU3661)/$BV$40))</f>
        <v>1</v>
      </c>
      <c r="BW3661" s="16">
        <f t="shared" si="817"/>
        <v>1.1152844221252025E-52</v>
      </c>
      <c r="BY3661" s="16">
        <f t="shared" si="818"/>
        <v>361.90000000001379</v>
      </c>
      <c r="BZ3661" s="16">
        <f t="shared" si="809"/>
        <v>3.0817475051814313E-55</v>
      </c>
      <c r="CA3661" s="16">
        <f t="shared" si="816"/>
        <v>-999</v>
      </c>
      <c r="CE3661" s="16" t="e">
        <f t="shared" si="810"/>
        <v>#N/A</v>
      </c>
      <c r="CF3661" s="16">
        <f t="shared" si="811"/>
        <v>99</v>
      </c>
      <c r="CG3661" s="16">
        <f t="shared" si="812"/>
        <v>0</v>
      </c>
      <c r="CH3661" s="16">
        <f t="shared" si="819"/>
        <v>0</v>
      </c>
      <c r="CJ3661" s="16" t="e">
        <f t="shared" si="813"/>
        <v>#N/A</v>
      </c>
      <c r="CK3661" s="16" t="str">
        <f t="shared" si="814"/>
        <v/>
      </c>
    </row>
    <row r="3662" spans="73:89" ht="12" customHeight="1">
      <c r="BU3662" s="16">
        <f t="shared" si="815"/>
        <v>0</v>
      </c>
      <c r="BV3662" s="16">
        <f>IF($BY$12=1,NORMDIST(BY3662,$Y$6,$Y$8,TRUE),IF($BY$12=2,IF(BY3662&lt;=$BX$31,0,IF(BY3662&gt;=$BX$32,1,(BY3662-$BX$31)*$BX$33)),SUM($BU$42:BU3662)/$BV$40))</f>
        <v>1</v>
      </c>
      <c r="BW3662" s="16">
        <f t="shared" si="817"/>
        <v>1.031896365249297E-52</v>
      </c>
      <c r="BY3662" s="16">
        <f t="shared" si="818"/>
        <v>362.00000000001381</v>
      </c>
      <c r="BZ3662" s="16">
        <f t="shared" si="809"/>
        <v>2.8505424454399381E-55</v>
      </c>
      <c r="CA3662" s="16">
        <f t="shared" si="816"/>
        <v>-999</v>
      </c>
      <c r="CE3662" s="16" t="e">
        <f t="shared" si="810"/>
        <v>#N/A</v>
      </c>
      <c r="CF3662" s="16">
        <f t="shared" si="811"/>
        <v>99</v>
      </c>
      <c r="CG3662" s="16">
        <f t="shared" si="812"/>
        <v>0</v>
      </c>
      <c r="CH3662" s="16">
        <f t="shared" si="819"/>
        <v>0</v>
      </c>
      <c r="CJ3662" s="16" t="e">
        <f t="shared" si="813"/>
        <v>#N/A</v>
      </c>
      <c r="CK3662" s="16" t="str">
        <f t="shared" si="814"/>
        <v/>
      </c>
    </row>
    <row r="3663" spans="73:89" ht="12" customHeight="1">
      <c r="BU3663" s="16">
        <f t="shared" si="815"/>
        <v>0</v>
      </c>
      <c r="BV3663" s="16">
        <f>IF($BY$12=1,NORMDIST(BY3663,$Y$6,$Y$8,TRUE),IF($BY$12=2,IF(BY3663&lt;=$BX$31,0,IF(BY3663&gt;=$BX$32,1,(BY3663-$BX$31)*$BX$33)),SUM($BU$42:BU3663)/$BV$40))</f>
        <v>1</v>
      </c>
      <c r="BW3663" s="16">
        <f t="shared" si="817"/>
        <v>9.5471916070689333E-53</v>
      </c>
      <c r="BY3663" s="16">
        <f t="shared" si="818"/>
        <v>362.10000000001384</v>
      </c>
      <c r="BZ3663" s="16">
        <f t="shared" si="809"/>
        <v>2.6366174004608034E-55</v>
      </c>
      <c r="CA3663" s="16">
        <f t="shared" si="816"/>
        <v>-999</v>
      </c>
      <c r="CE3663" s="16" t="e">
        <f t="shared" si="810"/>
        <v>#N/A</v>
      </c>
      <c r="CF3663" s="16">
        <f t="shared" si="811"/>
        <v>99</v>
      </c>
      <c r="CG3663" s="16">
        <f t="shared" si="812"/>
        <v>0</v>
      </c>
      <c r="CH3663" s="16">
        <f t="shared" si="819"/>
        <v>0</v>
      </c>
      <c r="CJ3663" s="16" t="e">
        <f t="shared" si="813"/>
        <v>#N/A</v>
      </c>
      <c r="CK3663" s="16" t="str">
        <f t="shared" si="814"/>
        <v/>
      </c>
    </row>
    <row r="3664" spans="73:89" ht="12" customHeight="1">
      <c r="BU3664" s="16">
        <f t="shared" si="815"/>
        <v>0</v>
      </c>
      <c r="BV3664" s="16">
        <f>IF($BY$12=1,NORMDIST(BY3664,$Y$6,$Y$8,TRUE),IF($BY$12=2,IF(BY3664&lt;=$BX$31,0,IF(BY3664&gt;=$BX$32,1,(BY3664-$BX$31)*$BX$33)),SUM($BU$42:BU3664)/$BV$40))</f>
        <v>1</v>
      </c>
      <c r="BW3664" s="16">
        <f t="shared" si="817"/>
        <v>8.8329201465192261E-53</v>
      </c>
      <c r="BY3664" s="16">
        <f t="shared" si="818"/>
        <v>362.20000000001386</v>
      </c>
      <c r="BZ3664" s="16">
        <f t="shared" si="809"/>
        <v>2.4386858493978157E-55</v>
      </c>
      <c r="CA3664" s="16">
        <f t="shared" si="816"/>
        <v>-999</v>
      </c>
      <c r="CE3664" s="16" t="e">
        <f t="shared" si="810"/>
        <v>#N/A</v>
      </c>
      <c r="CF3664" s="16">
        <f t="shared" si="811"/>
        <v>99</v>
      </c>
      <c r="CG3664" s="16">
        <f t="shared" si="812"/>
        <v>0</v>
      </c>
      <c r="CH3664" s="16">
        <f t="shared" si="819"/>
        <v>0</v>
      </c>
      <c r="CJ3664" s="16" t="e">
        <f t="shared" si="813"/>
        <v>#N/A</v>
      </c>
      <c r="CK3664" s="16" t="str">
        <f t="shared" si="814"/>
        <v/>
      </c>
    </row>
    <row r="3665" spans="73:89" ht="12" customHeight="1">
      <c r="BU3665" s="16">
        <f t="shared" si="815"/>
        <v>0</v>
      </c>
      <c r="BV3665" s="16">
        <f>IF($BY$12=1,NORMDIST(BY3665,$Y$6,$Y$8,TRUE),IF($BY$12=2,IF(BY3665&lt;=$BX$31,0,IF(BY3665&gt;=$BX$32,1,(BY3665-$BX$31)*$BX$33)),SUM($BU$42:BU3665)/$BV$40))</f>
        <v>1</v>
      </c>
      <c r="BW3665" s="16">
        <f t="shared" si="817"/>
        <v>8.1718818571110043E-53</v>
      </c>
      <c r="BY3665" s="16">
        <f t="shared" si="818"/>
        <v>362.30000000001388</v>
      </c>
      <c r="BZ3665" s="16">
        <f t="shared" si="809"/>
        <v>2.2555566815099892E-55</v>
      </c>
      <c r="CA3665" s="16">
        <f t="shared" si="816"/>
        <v>-999</v>
      </c>
      <c r="CE3665" s="16" t="e">
        <f t="shared" si="810"/>
        <v>#N/A</v>
      </c>
      <c r="CF3665" s="16">
        <f t="shared" si="811"/>
        <v>99</v>
      </c>
      <c r="CG3665" s="16">
        <f t="shared" si="812"/>
        <v>0</v>
      </c>
      <c r="CH3665" s="16">
        <f t="shared" si="819"/>
        <v>0</v>
      </c>
      <c r="CJ3665" s="16" t="e">
        <f t="shared" si="813"/>
        <v>#N/A</v>
      </c>
      <c r="CK3665" s="16" t="str">
        <f t="shared" si="814"/>
        <v/>
      </c>
    </row>
    <row r="3666" spans="73:89" ht="12" customHeight="1">
      <c r="BU3666" s="16">
        <f t="shared" si="815"/>
        <v>0</v>
      </c>
      <c r="BV3666" s="16">
        <f>IF($BY$12=1,NORMDIST(BY3666,$Y$6,$Y$8,TRUE),IF($BY$12=2,IF(BY3666&lt;=$BX$31,0,IF(BY3666&gt;=$BX$32,1,(BY3666-$BX$31)*$BX$33)),SUM($BU$42:BU3666)/$BV$40))</f>
        <v>1</v>
      </c>
      <c r="BW3666" s="16">
        <f t="shared" si="817"/>
        <v>7.5601247855758191E-53</v>
      </c>
      <c r="BY3666" s="16">
        <f t="shared" si="818"/>
        <v>362.4000000000139</v>
      </c>
      <c r="BZ3666" s="16">
        <f t="shared" si="809"/>
        <v>2.0861271483376185E-55</v>
      </c>
      <c r="CA3666" s="16">
        <f t="shared" si="816"/>
        <v>-999</v>
      </c>
      <c r="CE3666" s="16" t="e">
        <f t="shared" si="810"/>
        <v>#N/A</v>
      </c>
      <c r="CF3666" s="16">
        <f t="shared" si="811"/>
        <v>99</v>
      </c>
      <c r="CG3666" s="16">
        <f t="shared" si="812"/>
        <v>0</v>
      </c>
      <c r="CH3666" s="16">
        <f t="shared" si="819"/>
        <v>0</v>
      </c>
      <c r="CJ3666" s="16" t="e">
        <f t="shared" si="813"/>
        <v>#N/A</v>
      </c>
      <c r="CK3666" s="16" t="str">
        <f t="shared" si="814"/>
        <v/>
      </c>
    </row>
    <row r="3667" spans="73:89" ht="12" customHeight="1">
      <c r="BU3667" s="16">
        <f t="shared" si="815"/>
        <v>0</v>
      </c>
      <c r="BV3667" s="16">
        <f>IF($BY$12=1,NORMDIST(BY3667,$Y$6,$Y$8,TRUE),IF($BY$12=2,IF(BY3667&lt;=$BX$31,0,IF(BY3667&gt;=$BX$32,1,(BY3667-$BX$31)*$BX$33)),SUM($BU$42:BU3667)/$BV$40))</f>
        <v>1</v>
      </c>
      <c r="BW3667" s="16">
        <f t="shared" si="817"/>
        <v>6.993989212242198E-53</v>
      </c>
      <c r="BY3667" s="16">
        <f t="shared" si="818"/>
        <v>362.50000000001393</v>
      </c>
      <c r="BZ3667" s="16">
        <f t="shared" si="809"/>
        <v>1.9293763344115668E-55</v>
      </c>
      <c r="CA3667" s="16">
        <f t="shared" si="816"/>
        <v>-999</v>
      </c>
      <c r="CE3667" s="16" t="e">
        <f t="shared" si="810"/>
        <v>#N/A</v>
      </c>
      <c r="CF3667" s="16">
        <f t="shared" si="811"/>
        <v>99</v>
      </c>
      <c r="CG3667" s="16">
        <f t="shared" si="812"/>
        <v>0</v>
      </c>
      <c r="CH3667" s="16">
        <f t="shared" si="819"/>
        <v>0</v>
      </c>
      <c r="CJ3667" s="16" t="e">
        <f t="shared" si="813"/>
        <v>#N/A</v>
      </c>
      <c r="CK3667" s="16" t="str">
        <f t="shared" si="814"/>
        <v/>
      </c>
    </row>
    <row r="3668" spans="73:89" ht="12" customHeight="1">
      <c r="BU3668" s="16">
        <f t="shared" si="815"/>
        <v>0</v>
      </c>
      <c r="BV3668" s="16">
        <f>IF($BY$12=1,NORMDIST(BY3668,$Y$6,$Y$8,TRUE),IF($BY$12=2,IF(BY3668&lt;=$BX$31,0,IF(BY3668&gt;=$BX$32,1,(BY3668-$BX$31)*$BX$33)),SUM($BU$42:BU3668)/$BV$40))</f>
        <v>1</v>
      </c>
      <c r="BW3668" s="16">
        <f t="shared" si="817"/>
        <v>6.47008612741994E-53</v>
      </c>
      <c r="BY3668" s="16">
        <f t="shared" si="818"/>
        <v>362.60000000001395</v>
      </c>
      <c r="BZ3668" s="16">
        <f t="shared" si="809"/>
        <v>1.7843591084996389E-55</v>
      </c>
      <c r="CA3668" s="16">
        <f t="shared" si="816"/>
        <v>-999</v>
      </c>
      <c r="CE3668" s="16" t="e">
        <f t="shared" si="810"/>
        <v>#N/A</v>
      </c>
      <c r="CF3668" s="16">
        <f t="shared" si="811"/>
        <v>99</v>
      </c>
      <c r="CG3668" s="16">
        <f t="shared" si="812"/>
        <v>0</v>
      </c>
      <c r="CH3668" s="16">
        <f t="shared" si="819"/>
        <v>0</v>
      </c>
      <c r="CJ3668" s="16" t="e">
        <f t="shared" si="813"/>
        <v>#N/A</v>
      </c>
      <c r="CK3668" s="16" t="str">
        <f t="shared" si="814"/>
        <v/>
      </c>
    </row>
    <row r="3669" spans="73:89" ht="12" customHeight="1">
      <c r="BU3669" s="16">
        <f t="shared" si="815"/>
        <v>0</v>
      </c>
      <c r="BV3669" s="16">
        <f>IF($BY$12=1,NORMDIST(BY3669,$Y$6,$Y$8,TRUE),IF($BY$12=2,IF(BY3669&lt;=$BX$31,0,IF(BY3669&gt;=$BX$32,1,(BY3669-$BX$31)*$BX$33)),SUM($BU$42:BU3669)/$BV$40))</f>
        <v>1</v>
      </c>
      <c r="BW3669" s="16">
        <f t="shared" si="817"/>
        <v>5.9852772866479945E-53</v>
      </c>
      <c r="BY3669" s="16">
        <f t="shared" si="818"/>
        <v>362.70000000001397</v>
      </c>
      <c r="BZ3669" s="16">
        <f t="shared" si="809"/>
        <v>1.6502005201675665E-55</v>
      </c>
      <c r="CA3669" s="16">
        <f t="shared" si="816"/>
        <v>-999</v>
      </c>
      <c r="CE3669" s="16" t="e">
        <f t="shared" si="810"/>
        <v>#N/A</v>
      </c>
      <c r="CF3669" s="16">
        <f t="shared" si="811"/>
        <v>99</v>
      </c>
      <c r="CG3669" s="16">
        <f t="shared" si="812"/>
        <v>0</v>
      </c>
      <c r="CH3669" s="16">
        <f t="shared" si="819"/>
        <v>0</v>
      </c>
      <c r="CJ3669" s="16" t="e">
        <f t="shared" si="813"/>
        <v>#N/A</v>
      </c>
      <c r="CK3669" s="16" t="str">
        <f t="shared" si="814"/>
        <v/>
      </c>
    </row>
    <row r="3670" spans="73:89" ht="12" customHeight="1">
      <c r="BU3670" s="16">
        <f t="shared" si="815"/>
        <v>0</v>
      </c>
      <c r="BV3670" s="16">
        <f>IF($BY$12=1,NORMDIST(BY3670,$Y$6,$Y$8,TRUE),IF($BY$12=2,IF(BY3670&lt;=$BX$31,0,IF(BY3670&gt;=$BX$32,1,(BY3670-$BX$31)*$BX$33)),SUM($BU$42:BU3670)/$BV$40))</f>
        <v>1</v>
      </c>
      <c r="BW3670" s="16">
        <f t="shared" si="817"/>
        <v>5.5366567294592818E-53</v>
      </c>
      <c r="BY3670" s="16">
        <f t="shared" si="818"/>
        <v>362.80000000001399</v>
      </c>
      <c r="BZ3670" s="16">
        <f t="shared" si="809"/>
        <v>1.5260906090019482E-55</v>
      </c>
      <c r="CA3670" s="16">
        <f t="shared" si="816"/>
        <v>-999</v>
      </c>
      <c r="CE3670" s="16" t="e">
        <f t="shared" si="810"/>
        <v>#N/A</v>
      </c>
      <c r="CF3670" s="16">
        <f t="shared" si="811"/>
        <v>99</v>
      </c>
      <c r="CG3670" s="16">
        <f t="shared" si="812"/>
        <v>0</v>
      </c>
      <c r="CH3670" s="16">
        <f t="shared" si="819"/>
        <v>0</v>
      </c>
      <c r="CJ3670" s="16" t="e">
        <f t="shared" si="813"/>
        <v>#N/A</v>
      </c>
      <c r="CK3670" s="16" t="str">
        <f t="shared" si="814"/>
        <v/>
      </c>
    </row>
    <row r="3671" spans="73:89" ht="12" customHeight="1">
      <c r="BU3671" s="16">
        <f t="shared" si="815"/>
        <v>0</v>
      </c>
      <c r="BV3671" s="16">
        <f>IF($BY$12=1,NORMDIST(BY3671,$Y$6,$Y$8,TRUE),IF($BY$12=2,IF(BY3671&lt;=$BX$31,0,IF(BY3671&gt;=$BX$32,1,(BY3671-$BX$31)*$BX$33)),SUM($BU$42:BU3671)/$BV$40))</f>
        <v>1</v>
      </c>
      <c r="BW3671" s="16">
        <f t="shared" si="817"/>
        <v>5.1215336547131176E-53</v>
      </c>
      <c r="BY3671" s="16">
        <f t="shared" si="818"/>
        <v>362.90000000001402</v>
      </c>
      <c r="BZ3671" s="16">
        <f t="shared" si="809"/>
        <v>1.4112795962284155E-55</v>
      </c>
      <c r="CA3671" s="16">
        <f t="shared" si="816"/>
        <v>-999</v>
      </c>
      <c r="CE3671" s="16" t="e">
        <f t="shared" si="810"/>
        <v>#N/A</v>
      </c>
      <c r="CF3671" s="16">
        <f t="shared" si="811"/>
        <v>99</v>
      </c>
      <c r="CG3671" s="16">
        <f t="shared" si="812"/>
        <v>0</v>
      </c>
      <c r="CH3671" s="16">
        <f t="shared" si="819"/>
        <v>0</v>
      </c>
      <c r="CJ3671" s="16" t="e">
        <f t="shared" si="813"/>
        <v>#N/A</v>
      </c>
      <c r="CK3671" s="16" t="str">
        <f t="shared" si="814"/>
        <v/>
      </c>
    </row>
    <row r="3672" spans="73:89" ht="12" customHeight="1">
      <c r="BU3672" s="16">
        <f t="shared" si="815"/>
        <v>0</v>
      </c>
      <c r="BV3672" s="16">
        <f>IF($BY$12=1,NORMDIST(BY3672,$Y$6,$Y$8,TRUE),IF($BY$12=2,IF(BY3672&lt;=$BX$31,0,IF(BY3672&gt;=$BX$32,1,(BY3672-$BX$31)*$BX$33)),SUM($BU$42:BU3672)/$BV$40))</f>
        <v>1</v>
      </c>
      <c r="BW3672" s="16">
        <f t="shared" si="817"/>
        <v>4.7374165533255627E-53</v>
      </c>
      <c r="BY3672" s="16">
        <f t="shared" si="818"/>
        <v>363.00000000001404</v>
      </c>
      <c r="BZ3672" s="16">
        <f t="shared" si="809"/>
        <v>1.3050734306681486E-55</v>
      </c>
      <c r="CA3672" s="16">
        <f t="shared" si="816"/>
        <v>-999</v>
      </c>
      <c r="CE3672" s="16" t="e">
        <f t="shared" si="810"/>
        <v>#N/A</v>
      </c>
      <c r="CF3672" s="16">
        <f t="shared" si="811"/>
        <v>99</v>
      </c>
      <c r="CG3672" s="16">
        <f t="shared" si="812"/>
        <v>0</v>
      </c>
      <c r="CH3672" s="16">
        <f t="shared" si="819"/>
        <v>0</v>
      </c>
      <c r="CJ3672" s="16" t="e">
        <f t="shared" si="813"/>
        <v>#N/A</v>
      </c>
      <c r="CK3672" s="16" t="str">
        <f t="shared" si="814"/>
        <v/>
      </c>
    </row>
    <row r="3673" spans="73:89" ht="12" customHeight="1">
      <c r="BU3673" s="16">
        <f t="shared" si="815"/>
        <v>0</v>
      </c>
      <c r="BV3673" s="16">
        <f>IF($BY$12=1,NORMDIST(BY3673,$Y$6,$Y$8,TRUE),IF($BY$12=2,IF(BY3673&lt;=$BX$31,0,IF(BY3673&gt;=$BX$32,1,(BY3673-$BX$31)*$BX$33)),SUM($BU$42:BU3673)/$BV$40))</f>
        <v>1</v>
      </c>
      <c r="BW3673" s="16">
        <f t="shared" si="817"/>
        <v>4.3819985064473124E-53</v>
      </c>
      <c r="BY3673" s="16">
        <f t="shared" si="818"/>
        <v>363.10000000001406</v>
      </c>
      <c r="BZ3673" s="16">
        <f t="shared" si="809"/>
        <v>1.2068296630259275E-55</v>
      </c>
      <c r="CA3673" s="16">
        <f t="shared" si="816"/>
        <v>-999</v>
      </c>
      <c r="CE3673" s="16" t="e">
        <f t="shared" si="810"/>
        <v>#N/A</v>
      </c>
      <c r="CF3673" s="16">
        <f t="shared" si="811"/>
        <v>99</v>
      </c>
      <c r="CG3673" s="16">
        <f t="shared" si="812"/>
        <v>0</v>
      </c>
      <c r="CH3673" s="16">
        <f t="shared" si="819"/>
        <v>0</v>
      </c>
      <c r="CJ3673" s="16" t="e">
        <f t="shared" si="813"/>
        <v>#N/A</v>
      </c>
      <c r="CK3673" s="16" t="str">
        <f t="shared" si="814"/>
        <v/>
      </c>
    </row>
    <row r="3674" spans="73:89" ht="12" customHeight="1">
      <c r="BU3674" s="16">
        <f t="shared" si="815"/>
        <v>0</v>
      </c>
      <c r="BV3674" s="16">
        <f>IF($BY$12=1,NORMDIST(BY3674,$Y$6,$Y$8,TRUE),IF($BY$12=2,IF(BY3674&lt;=$BX$31,0,IF(BY3674&gt;=$BX$32,1,(BY3674-$BX$31)*$BX$33)),SUM($BU$42:BU3674)/$BV$40))</f>
        <v>1</v>
      </c>
      <c r="BW3674" s="16">
        <f t="shared" si="817"/>
        <v>4.0531435638382766E-53</v>
      </c>
      <c r="BY3674" s="16">
        <f t="shared" si="818"/>
        <v>363.20000000001409</v>
      </c>
      <c r="BZ3674" s="16">
        <f t="shared" si="809"/>
        <v>1.1159536244047685E-55</v>
      </c>
      <c r="CA3674" s="16">
        <f t="shared" si="816"/>
        <v>-999</v>
      </c>
      <c r="CE3674" s="16" t="e">
        <f t="shared" si="810"/>
        <v>#N/A</v>
      </c>
      <c r="CF3674" s="16">
        <f t="shared" si="811"/>
        <v>99</v>
      </c>
      <c r="CG3674" s="16">
        <f t="shared" si="812"/>
        <v>0</v>
      </c>
      <c r="CH3674" s="16">
        <f t="shared" si="819"/>
        <v>0</v>
      </c>
      <c r="CJ3674" s="16" t="e">
        <f t="shared" si="813"/>
        <v>#N/A</v>
      </c>
      <c r="CK3674" s="16" t="str">
        <f t="shared" si="814"/>
        <v/>
      </c>
    </row>
    <row r="3675" spans="73:89" ht="12" customHeight="1">
      <c r="BU3675" s="16">
        <f t="shared" si="815"/>
        <v>0</v>
      </c>
      <c r="BV3675" s="16">
        <f>IF($BY$12=1,NORMDIST(BY3675,$Y$6,$Y$8,TRUE),IF($BY$12=2,IF(BY3675&lt;=$BX$31,0,IF(BY3675&gt;=$BX$32,1,(BY3675-$BX$31)*$BX$33)),SUM($BU$42:BU3675)/$BV$40))</f>
        <v>1</v>
      </c>
      <c r="BW3675" s="16">
        <f t="shared" si="817"/>
        <v>3.748874123395341E-53</v>
      </c>
      <c r="BY3675" s="16">
        <f t="shared" si="818"/>
        <v>363.30000000001411</v>
      </c>
      <c r="BZ3675" s="16">
        <f t="shared" si="809"/>
        <v>1.0318948867038798E-55</v>
      </c>
      <c r="CA3675" s="16">
        <f t="shared" si="816"/>
        <v>-999</v>
      </c>
      <c r="CE3675" s="16" t="e">
        <f t="shared" si="810"/>
        <v>#N/A</v>
      </c>
      <c r="CF3675" s="16">
        <f t="shared" si="811"/>
        <v>99</v>
      </c>
      <c r="CG3675" s="16">
        <f t="shared" si="812"/>
        <v>0</v>
      </c>
      <c r="CH3675" s="16">
        <f t="shared" si="819"/>
        <v>0</v>
      </c>
      <c r="CJ3675" s="16" t="e">
        <f t="shared" si="813"/>
        <v>#N/A</v>
      </c>
      <c r="CK3675" s="16" t="str">
        <f t="shared" si="814"/>
        <v/>
      </c>
    </row>
    <row r="3676" spans="73:89" ht="12" customHeight="1">
      <c r="BU3676" s="16">
        <f t="shared" si="815"/>
        <v>0</v>
      </c>
      <c r="BV3676" s="16">
        <f>IF($BY$12=1,NORMDIST(BY3676,$Y$6,$Y$8,TRUE),IF($BY$12=2,IF(BY3676&lt;=$BX$31,0,IF(BY3676&gt;=$BX$32,1,(BY3676-$BX$31)*$BX$33)),SUM($BU$42:BU3676)/$BV$40))</f>
        <v>1</v>
      </c>
      <c r="BW3676" s="16">
        <f t="shared" si="817"/>
        <v>3.4673592385501854E-53</v>
      </c>
      <c r="BY3676" s="16">
        <f t="shared" si="818"/>
        <v>363.40000000001413</v>
      </c>
      <c r="BZ3676" s="16">
        <f t="shared" si="809"/>
        <v>9.5414398419098802E-56</v>
      </c>
      <c r="CA3676" s="16">
        <f t="shared" si="816"/>
        <v>-999</v>
      </c>
      <c r="CE3676" s="16" t="e">
        <f t="shared" si="810"/>
        <v>#N/A</v>
      </c>
      <c r="CF3676" s="16">
        <f t="shared" si="811"/>
        <v>99</v>
      </c>
      <c r="CG3676" s="16">
        <f t="shared" si="812"/>
        <v>0</v>
      </c>
      <c r="CH3676" s="16">
        <f t="shared" si="819"/>
        <v>0</v>
      </c>
      <c r="CJ3676" s="16" t="e">
        <f t="shared" si="813"/>
        <v>#N/A</v>
      </c>
      <c r="CK3676" s="16" t="str">
        <f t="shared" si="814"/>
        <v/>
      </c>
    </row>
    <row r="3677" spans="73:89" ht="12" customHeight="1">
      <c r="BU3677" s="16">
        <f t="shared" si="815"/>
        <v>0</v>
      </c>
      <c r="BV3677" s="16">
        <f>IF($BY$12=1,NORMDIST(BY3677,$Y$6,$Y$8,TRUE),IF($BY$12=2,IF(BY3677&lt;=$BX$31,0,IF(BY3677&gt;=$BX$32,1,(BY3677-$BX$31)*$BX$33)),SUM($BU$42:BU3677)/$BV$40))</f>
        <v>1</v>
      </c>
      <c r="BW3677" s="16">
        <f t="shared" si="817"/>
        <v>3.2069037855977674E-53</v>
      </c>
      <c r="BY3677" s="16">
        <f t="shared" si="818"/>
        <v>363.50000000001415</v>
      </c>
      <c r="BZ3677" s="16">
        <f t="shared" si="809"/>
        <v>8.8222937705574766E-56</v>
      </c>
      <c r="CA3677" s="16">
        <f t="shared" si="816"/>
        <v>-999</v>
      </c>
      <c r="CE3677" s="16" t="e">
        <f t="shared" si="810"/>
        <v>#N/A</v>
      </c>
      <c r="CF3677" s="16">
        <f t="shared" si="811"/>
        <v>99</v>
      </c>
      <c r="CG3677" s="16">
        <f t="shared" si="812"/>
        <v>0</v>
      </c>
      <c r="CH3677" s="16">
        <f t="shared" si="819"/>
        <v>0</v>
      </c>
      <c r="CJ3677" s="16" t="e">
        <f t="shared" si="813"/>
        <v>#N/A</v>
      </c>
      <c r="CK3677" s="16" t="str">
        <f t="shared" si="814"/>
        <v/>
      </c>
    </row>
    <row r="3678" spans="73:89" ht="12" customHeight="1">
      <c r="BU3678" s="16">
        <f t="shared" si="815"/>
        <v>0</v>
      </c>
      <c r="BV3678" s="16">
        <f>IF($BY$12=1,NORMDIST(BY3678,$Y$6,$Y$8,TRUE),IF($BY$12=2,IF(BY3678&lt;=$BX$31,0,IF(BY3678&gt;=$BX$32,1,(BY3678-$BX$31)*$BX$33)),SUM($BU$42:BU3678)/$BV$40))</f>
        <v>1</v>
      </c>
      <c r="BW3678" s="16">
        <f t="shared" si="817"/>
        <v>2.9659384279688164E-53</v>
      </c>
      <c r="BY3678" s="16">
        <f t="shared" si="818"/>
        <v>363.60000000001418</v>
      </c>
      <c r="BZ3678" s="16">
        <f t="shared" si="809"/>
        <v>8.1571463915530819E-56</v>
      </c>
      <c r="CA3678" s="16">
        <f t="shared" si="816"/>
        <v>-999</v>
      </c>
      <c r="CE3678" s="16" t="e">
        <f t="shared" si="810"/>
        <v>#N/A</v>
      </c>
      <c r="CF3678" s="16">
        <f t="shared" si="811"/>
        <v>99</v>
      </c>
      <c r="CG3678" s="16">
        <f t="shared" si="812"/>
        <v>0</v>
      </c>
      <c r="CH3678" s="16">
        <f t="shared" si="819"/>
        <v>0</v>
      </c>
      <c r="CJ3678" s="16" t="e">
        <f t="shared" si="813"/>
        <v>#N/A</v>
      </c>
      <c r="CK3678" s="16" t="str">
        <f t="shared" si="814"/>
        <v/>
      </c>
    </row>
    <row r="3679" spans="73:89" ht="12" customHeight="1">
      <c r="BU3679" s="16">
        <f t="shared" si="815"/>
        <v>0</v>
      </c>
      <c r="BV3679" s="16">
        <f>IF($BY$12=1,NORMDIST(BY3679,$Y$6,$Y$8,TRUE),IF($BY$12=2,IF(BY3679&lt;=$BX$31,0,IF(BY3679&gt;=$BX$32,1,(BY3679-$BX$31)*$BX$33)),SUM($BU$42:BU3679)/$BV$40))</f>
        <v>1</v>
      </c>
      <c r="BW3679" s="16">
        <f t="shared" si="817"/>
        <v>2.74301031905414E-53</v>
      </c>
      <c r="BY3679" s="16">
        <f t="shared" si="818"/>
        <v>363.7000000000142</v>
      </c>
      <c r="BZ3679" s="16">
        <f t="shared" si="809"/>
        <v>7.5419585346550257E-56</v>
      </c>
      <c r="CA3679" s="16">
        <f t="shared" si="816"/>
        <v>-999</v>
      </c>
      <c r="CE3679" s="16" t="e">
        <f t="shared" si="810"/>
        <v>#N/A</v>
      </c>
      <c r="CF3679" s="16">
        <f t="shared" si="811"/>
        <v>99</v>
      </c>
      <c r="CG3679" s="16">
        <f t="shared" si="812"/>
        <v>0</v>
      </c>
      <c r="CH3679" s="16">
        <f t="shared" si="819"/>
        <v>0</v>
      </c>
      <c r="CJ3679" s="16" t="e">
        <f t="shared" si="813"/>
        <v>#N/A</v>
      </c>
      <c r="CK3679" s="16" t="str">
        <f t="shared" si="814"/>
        <v/>
      </c>
    </row>
    <row r="3680" spans="73:89" ht="12" customHeight="1">
      <c r="BU3680" s="16">
        <f t="shared" si="815"/>
        <v>0</v>
      </c>
      <c r="BV3680" s="16">
        <f>IF($BY$12=1,NORMDIST(BY3680,$Y$6,$Y$8,TRUE),IF($BY$12=2,IF(BY3680&lt;=$BX$31,0,IF(BY3680&gt;=$BX$32,1,(BY3680-$BX$31)*$BX$33)),SUM($BU$42:BU3680)/$BV$40))</f>
        <v>1</v>
      </c>
      <c r="BW3680" s="16">
        <f t="shared" si="817"/>
        <v>2.5367744894501829E-53</v>
      </c>
      <c r="BY3680" s="16">
        <f t="shared" si="818"/>
        <v>363.80000000001422</v>
      </c>
      <c r="BZ3680" s="16">
        <f t="shared" si="809"/>
        <v>6.9729919995879156E-56</v>
      </c>
      <c r="CA3680" s="16">
        <f t="shared" si="816"/>
        <v>-999</v>
      </c>
      <c r="CE3680" s="16" t="e">
        <f t="shared" si="810"/>
        <v>#N/A</v>
      </c>
      <c r="CF3680" s="16">
        <f t="shared" si="811"/>
        <v>99</v>
      </c>
      <c r="CG3680" s="16">
        <f t="shared" si="812"/>
        <v>0</v>
      </c>
      <c r="CH3680" s="16">
        <f t="shared" si="819"/>
        <v>0</v>
      </c>
      <c r="CJ3680" s="16" t="e">
        <f t="shared" si="813"/>
        <v>#N/A</v>
      </c>
      <c r="CK3680" s="16" t="str">
        <f t="shared" si="814"/>
        <v/>
      </c>
    </row>
    <row r="3681" spans="73:89" ht="12" customHeight="1">
      <c r="BU3681" s="16">
        <f t="shared" si="815"/>
        <v>0</v>
      </c>
      <c r="BV3681" s="16">
        <f>IF($BY$12=1,NORMDIST(BY3681,$Y$6,$Y$8,TRUE),IF($BY$12=2,IF(BY3681&lt;=$BX$31,0,IF(BY3681&gt;=$BX$32,1,(BY3681-$BX$31)*$BX$33)),SUM($BU$42:BU3681)/$BV$40))</f>
        <v>1</v>
      </c>
      <c r="BW3681" s="16">
        <f t="shared" si="817"/>
        <v>2.3459858684457566E-53</v>
      </c>
      <c r="BY3681" s="16">
        <f t="shared" si="818"/>
        <v>363.90000000001424</v>
      </c>
      <c r="BZ3681" s="16">
        <f t="shared" si="809"/>
        <v>6.4467872174928962E-56</v>
      </c>
      <c r="CA3681" s="16">
        <f t="shared" si="816"/>
        <v>-999</v>
      </c>
      <c r="CE3681" s="16" t="e">
        <f t="shared" si="810"/>
        <v>#N/A</v>
      </c>
      <c r="CF3681" s="16">
        <f t="shared" si="811"/>
        <v>99</v>
      </c>
      <c r="CG3681" s="16">
        <f t="shared" si="812"/>
        <v>0</v>
      </c>
      <c r="CH3681" s="16">
        <f t="shared" si="819"/>
        <v>0</v>
      </c>
      <c r="CJ3681" s="16" t="e">
        <f t="shared" si="813"/>
        <v>#N/A</v>
      </c>
      <c r="CK3681" s="16" t="str">
        <f t="shared" si="814"/>
        <v/>
      </c>
    </row>
    <row r="3682" spans="73:89" ht="12" customHeight="1">
      <c r="BU3682" s="16">
        <f t="shared" si="815"/>
        <v>0</v>
      </c>
      <c r="BV3682" s="16">
        <f>IF($BY$12=1,NORMDIST(BY3682,$Y$6,$Y$8,TRUE),IF($BY$12=2,IF(BY3682&lt;=$BX$31,0,IF(BY3682&gt;=$BX$32,1,(BY3682-$BX$31)*$BX$33)),SUM($BU$42:BU3682)/$BV$40))</f>
        <v>1</v>
      </c>
      <c r="BW3682" s="16">
        <f t="shared" si="817"/>
        <v>2.1694918932337924E-53</v>
      </c>
      <c r="BY3682" s="16">
        <f t="shared" si="818"/>
        <v>364.00000000001427</v>
      </c>
      <c r="BZ3682" s="16">
        <f t="shared" si="809"/>
        <v>5.9601425638288666E-56</v>
      </c>
      <c r="CA3682" s="16">
        <f t="shared" si="816"/>
        <v>-999</v>
      </c>
      <c r="CE3682" s="16" t="e">
        <f t="shared" si="810"/>
        <v>#N/A</v>
      </c>
      <c r="CF3682" s="16">
        <f t="shared" si="811"/>
        <v>99</v>
      </c>
      <c r="CG3682" s="16">
        <f t="shared" si="812"/>
        <v>0</v>
      </c>
      <c r="CH3682" s="16">
        <f t="shared" si="819"/>
        <v>0</v>
      </c>
      <c r="CJ3682" s="16" t="e">
        <f t="shared" si="813"/>
        <v>#N/A</v>
      </c>
      <c r="CK3682" s="16" t="str">
        <f t="shared" si="814"/>
        <v/>
      </c>
    </row>
    <row r="3683" spans="73:89" ht="12" customHeight="1">
      <c r="BU3683" s="16">
        <f t="shared" si="815"/>
        <v>0</v>
      </c>
      <c r="BV3683" s="16">
        <f>IF($BY$12=1,NORMDIST(BY3683,$Y$6,$Y$8,TRUE),IF($BY$12=2,IF(BY3683&lt;=$BX$31,0,IF(BY3683&gt;=$BX$32,1,(BY3683-$BX$31)*$BX$33)),SUM($BU$42:BU3683)/$BV$40))</f>
        <v>1</v>
      </c>
      <c r="BW3683" s="16">
        <f t="shared" si="817"/>
        <v>2.0062256627296672E-53</v>
      </c>
      <c r="BY3683" s="16">
        <f t="shared" si="818"/>
        <v>364.10000000001429</v>
      </c>
      <c r="BZ3683" s="16">
        <f t="shared" si="809"/>
        <v>5.5100952011249342E-56</v>
      </c>
      <c r="CA3683" s="16">
        <f t="shared" si="816"/>
        <v>-999</v>
      </c>
      <c r="CE3683" s="16" t="e">
        <f t="shared" si="810"/>
        <v>#N/A</v>
      </c>
      <c r="CF3683" s="16">
        <f t="shared" si="811"/>
        <v>99</v>
      </c>
      <c r="CG3683" s="16">
        <f t="shared" si="812"/>
        <v>0</v>
      </c>
      <c r="CH3683" s="16">
        <f t="shared" si="819"/>
        <v>0</v>
      </c>
      <c r="CJ3683" s="16" t="e">
        <f t="shared" si="813"/>
        <v>#N/A</v>
      </c>
      <c r="CK3683" s="16" t="str">
        <f t="shared" si="814"/>
        <v/>
      </c>
    </row>
    <row r="3684" spans="73:89" ht="12" customHeight="1">
      <c r="BU3684" s="16">
        <f t="shared" si="815"/>
        <v>0</v>
      </c>
      <c r="BV3684" s="16">
        <f>IF($BY$12=1,NORMDIST(BY3684,$Y$6,$Y$8,TRUE),IF($BY$12=2,IF(BY3684&lt;=$BX$31,0,IF(BY3684&gt;=$BX$32,1,(BY3684-$BX$31)*$BX$33)),SUM($BU$42:BU3684)/$BV$40))</f>
        <v>1</v>
      </c>
      <c r="BW3684" s="16">
        <f t="shared" si="817"/>
        <v>1.8551995960281589E-53</v>
      </c>
      <c r="BY3684" s="16">
        <f t="shared" si="818"/>
        <v>364.20000000001431</v>
      </c>
      <c r="BZ3684" s="16">
        <f t="shared" si="809"/>
        <v>5.0939033389019381E-56</v>
      </c>
      <c r="CA3684" s="16">
        <f t="shared" si="816"/>
        <v>-999</v>
      </c>
      <c r="CE3684" s="16" t="e">
        <f t="shared" si="810"/>
        <v>#N/A</v>
      </c>
      <c r="CF3684" s="16">
        <f t="shared" si="811"/>
        <v>99</v>
      </c>
      <c r="CG3684" s="16">
        <f t="shared" si="812"/>
        <v>0</v>
      </c>
      <c r="CH3684" s="16">
        <f t="shared" si="819"/>
        <v>0</v>
      </c>
      <c r="CJ3684" s="16" t="e">
        <f t="shared" si="813"/>
        <v>#N/A</v>
      </c>
      <c r="CK3684" s="16" t="str">
        <f t="shared" si="814"/>
        <v/>
      </c>
    </row>
    <row r="3685" spans="73:89" ht="12" customHeight="1">
      <c r="BU3685" s="16">
        <f t="shared" si="815"/>
        <v>0</v>
      </c>
      <c r="BV3685" s="16">
        <f>IF($BY$12=1,NORMDIST(BY3685,$Y$6,$Y$8,TRUE),IF($BY$12=2,IF(BY3685&lt;=$BX$31,0,IF(BY3685&gt;=$BX$32,1,(BY3685-$BX$31)*$BX$33)),SUM($BU$42:BU3685)/$BV$40))</f>
        <v>1</v>
      </c>
      <c r="BW3685" s="16">
        <f t="shared" si="817"/>
        <v>1.7154995584521195E-53</v>
      </c>
      <c r="BY3685" s="16">
        <f t="shared" si="818"/>
        <v>364.30000000001434</v>
      </c>
      <c r="BZ3685" s="16">
        <f t="shared" si="809"/>
        <v>4.7090298063465605E-56</v>
      </c>
      <c r="CA3685" s="16">
        <f t="shared" si="816"/>
        <v>-999</v>
      </c>
      <c r="CE3685" s="16" t="e">
        <f t="shared" si="810"/>
        <v>#N/A</v>
      </c>
      <c r="CF3685" s="16">
        <f t="shared" si="811"/>
        <v>99</v>
      </c>
      <c r="CG3685" s="16">
        <f t="shared" si="812"/>
        <v>0</v>
      </c>
      <c r="CH3685" s="16">
        <f t="shared" si="819"/>
        <v>0</v>
      </c>
      <c r="CJ3685" s="16" t="e">
        <f t="shared" si="813"/>
        <v>#N/A</v>
      </c>
      <c r="CK3685" s="16" t="str">
        <f t="shared" si="814"/>
        <v/>
      </c>
    </row>
    <row r="3686" spans="73:89" ht="12" customHeight="1">
      <c r="BU3686" s="16">
        <f t="shared" si="815"/>
        <v>0</v>
      </c>
      <c r="BV3686" s="16">
        <f>IF($BY$12=1,NORMDIST(BY3686,$Y$6,$Y$8,TRUE),IF($BY$12=2,IF(BY3686&lt;=$BX$31,0,IF(BY3686&gt;=$BX$32,1,(BY3686-$BX$31)*$BX$33)),SUM($BU$42:BU3686)/$BV$40))</f>
        <v>1</v>
      </c>
      <c r="BW3686" s="16">
        <f t="shared" si="817"/>
        <v>1.586279420854283E-53</v>
      </c>
      <c r="BY3686" s="16">
        <f t="shared" si="818"/>
        <v>364.40000000001436</v>
      </c>
      <c r="BZ3686" s="16">
        <f t="shared" si="809"/>
        <v>4.3531268409830418E-56</v>
      </c>
      <c r="CA3686" s="16">
        <f t="shared" si="816"/>
        <v>-999</v>
      </c>
      <c r="CE3686" s="16" t="e">
        <f t="shared" si="810"/>
        <v>#N/A</v>
      </c>
      <c r="CF3686" s="16">
        <f t="shared" si="811"/>
        <v>99</v>
      </c>
      <c r="CG3686" s="16">
        <f t="shared" si="812"/>
        <v>0</v>
      </c>
      <c r="CH3686" s="16">
        <f t="shared" si="819"/>
        <v>0</v>
      </c>
      <c r="CJ3686" s="16" t="e">
        <f t="shared" si="813"/>
        <v>#N/A</v>
      </c>
      <c r="CK3686" s="16" t="str">
        <f t="shared" si="814"/>
        <v/>
      </c>
    </row>
    <row r="3687" spans="73:89" ht="12" customHeight="1">
      <c r="BU3687" s="16">
        <f t="shared" si="815"/>
        <v>0</v>
      </c>
      <c r="BV3687" s="16">
        <f>IF($BY$12=1,NORMDIST(BY3687,$Y$6,$Y$8,TRUE),IF($BY$12=2,IF(BY3687&lt;=$BX$31,0,IF(BY3687&gt;=$BX$32,1,(BY3687-$BX$31)*$BX$33)),SUM($BU$42:BU3687)/$BV$40))</f>
        <v>1</v>
      </c>
      <c r="BW3687" s="16">
        <f t="shared" si="817"/>
        <v>1.4667560203454766E-53</v>
      </c>
      <c r="BY3687" s="16">
        <f t="shared" si="818"/>
        <v>364.50000000001438</v>
      </c>
      <c r="BZ3687" s="16">
        <f t="shared" si="809"/>
        <v>4.0240220036911353E-56</v>
      </c>
      <c r="CA3687" s="16">
        <f t="shared" si="816"/>
        <v>-999</v>
      </c>
      <c r="CE3687" s="16" t="e">
        <f t="shared" si="810"/>
        <v>#N/A</v>
      </c>
      <c r="CF3687" s="16">
        <f t="shared" si="811"/>
        <v>99</v>
      </c>
      <c r="CG3687" s="16">
        <f t="shared" si="812"/>
        <v>0</v>
      </c>
      <c r="CH3687" s="16">
        <f t="shared" si="819"/>
        <v>0</v>
      </c>
      <c r="CJ3687" s="16" t="e">
        <f t="shared" si="813"/>
        <v>#N/A</v>
      </c>
      <c r="CK3687" s="16" t="str">
        <f t="shared" si="814"/>
        <v/>
      </c>
    </row>
    <row r="3688" spans="73:89" ht="12" customHeight="1">
      <c r="BU3688" s="16">
        <f t="shared" si="815"/>
        <v>0</v>
      </c>
      <c r="BV3688" s="16">
        <f>IF($BY$12=1,NORMDIST(BY3688,$Y$6,$Y$8,TRUE),IF($BY$12=2,IF(BY3688&lt;=$BX$31,0,IF(BY3688&gt;=$BX$32,1,(BY3688-$BX$31)*$BX$33)),SUM($BU$42:BU3688)/$BV$40))</f>
        <v>1</v>
      </c>
      <c r="BW3688" s="16">
        <f t="shared" si="817"/>
        <v>1.3562044929507861E-53</v>
      </c>
      <c r="BY3688" s="16">
        <f t="shared" si="818"/>
        <v>364.6000000000144</v>
      </c>
      <c r="BZ3688" s="16">
        <f t="shared" si="809"/>
        <v>3.7197051370014603E-56</v>
      </c>
      <c r="CA3688" s="16">
        <f t="shared" si="816"/>
        <v>-999</v>
      </c>
      <c r="CE3688" s="16" t="e">
        <f t="shared" si="810"/>
        <v>#N/A</v>
      </c>
      <c r="CF3688" s="16">
        <f t="shared" si="811"/>
        <v>99</v>
      </c>
      <c r="CG3688" s="16">
        <f t="shared" si="812"/>
        <v>0</v>
      </c>
      <c r="CH3688" s="16">
        <f t="shared" si="819"/>
        <v>0</v>
      </c>
      <c r="CJ3688" s="16" t="e">
        <f t="shared" si="813"/>
        <v>#N/A</v>
      </c>
      <c r="CK3688" s="16" t="str">
        <f t="shared" si="814"/>
        <v/>
      </c>
    </row>
    <row r="3689" spans="73:89" ht="12" customHeight="1">
      <c r="BU3689" s="16">
        <f t="shared" si="815"/>
        <v>0</v>
      </c>
      <c r="BV3689" s="16">
        <f>IF($BY$12=1,NORMDIST(BY3689,$Y$6,$Y$8,TRUE),IF($BY$12=2,IF(BY3689&lt;=$BX$31,0,IF(BY3689&gt;=$BX$32,1,(BY3689-$BX$31)*$BX$33)),SUM($BU$42:BU3689)/$BV$40))</f>
        <v>1</v>
      </c>
      <c r="BW3689" s="16">
        <f t="shared" si="817"/>
        <v>1.2539539508535487E-53</v>
      </c>
      <c r="BY3689" s="16">
        <f t="shared" si="818"/>
        <v>364.70000000001443</v>
      </c>
      <c r="BZ3689" s="16">
        <f t="shared" si="809"/>
        <v>3.4383162896997508E-56</v>
      </c>
      <c r="CA3689" s="16">
        <f t="shared" si="816"/>
        <v>-999</v>
      </c>
      <c r="CE3689" s="16" t="e">
        <f t="shared" si="810"/>
        <v>#N/A</v>
      </c>
      <c r="CF3689" s="16">
        <f t="shared" si="811"/>
        <v>99</v>
      </c>
      <c r="CG3689" s="16">
        <f t="shared" si="812"/>
        <v>0</v>
      </c>
      <c r="CH3689" s="16">
        <f t="shared" si="819"/>
        <v>0</v>
      </c>
      <c r="CJ3689" s="16" t="e">
        <f t="shared" si="813"/>
        <v>#N/A</v>
      </c>
      <c r="CK3689" s="16" t="str">
        <f t="shared" si="814"/>
        <v/>
      </c>
    </row>
    <row r="3690" spans="73:89" ht="12" customHeight="1">
      <c r="BU3690" s="16">
        <f t="shared" si="815"/>
        <v>0</v>
      </c>
      <c r="BV3690" s="16">
        <f>IF($BY$12=1,NORMDIST(BY3690,$Y$6,$Y$8,TRUE),IF($BY$12=2,IF(BY3690&lt;=$BX$31,0,IF(BY3690&gt;=$BX$32,1,(BY3690-$BX$31)*$BX$33)),SUM($BU$42:BU3690)/$BV$40))</f>
        <v>1</v>
      </c>
      <c r="BW3690" s="16">
        <f t="shared" si="817"/>
        <v>1.1593834788892639E-53</v>
      </c>
      <c r="BY3690" s="16">
        <f t="shared" si="818"/>
        <v>364.80000000001445</v>
      </c>
      <c r="BZ3690" s="16">
        <f t="shared" ref="BZ3690:BZ3753" si="820">IF($BZ$5,IF($BY$12=1,NORMDIST(BY3690,$Y$6,$Y$8,FALSE),IF($BY$12=2,IF(AND(BY3690&gt;=$BX$31,BY3690&lt;=$BX$32),$BX$33,0),IF(BY3690&lt;=$BX$13,0,NORMDIST(LN((BY3690-$BX$13)/$BX$12),0,$BW$8,FALSE)/((BY3690-$BX$13)/$BX$12)))),-999)</f>
        <v>3.1781345364287776E-56</v>
      </c>
      <c r="CA3690" s="16">
        <f t="shared" si="816"/>
        <v>-999</v>
      </c>
      <c r="CE3690" s="16" t="e">
        <f t="shared" ref="CE3690:CE3753" si="821">IF(AND($CB$7,$CD$2,$CD$1),26+$P$23/2-CC3690*$P$23,NA())</f>
        <v>#N/A</v>
      </c>
      <c r="CF3690" s="16">
        <f t="shared" ref="CF3690:CF3753" si="822">IF(ISNA(CJ3690),99,CJ3690)</f>
        <v>99</v>
      </c>
      <c r="CG3690" s="16">
        <f t="shared" ref="CG3690:CG3753" si="823">IF(ISNA(CJ3690),0,CJ3690)</f>
        <v>0</v>
      </c>
      <c r="CH3690" s="16">
        <f t="shared" si="819"/>
        <v>0</v>
      </c>
      <c r="CJ3690" s="16" t="e">
        <f t="shared" ref="CJ3690:CJ3753" si="824">IF(CH3690=1,CE3690,NA())</f>
        <v>#N/A</v>
      </c>
      <c r="CK3690" s="16" t="str">
        <f t="shared" ref="CK3690:CK3753" si="825">IF(CH3690=1,M3589,"")</f>
        <v/>
      </c>
    </row>
    <row r="3691" spans="73:89" ht="12" customHeight="1">
      <c r="BU3691" s="16">
        <f t="shared" ref="BU3691:BU3754" si="826">IF($BY$12&lt;3,0,IF(BY3691&lt;=$BX$13,0,NORMDIST(LN((BY3691-$BX$13)/$BX$12),0,$BW$8,FALSE)/((BY3691-$BX$13)/$BX$12)))</f>
        <v>0</v>
      </c>
      <c r="BV3691" s="16">
        <f>IF($BY$12=1,NORMDIST(BY3691,$Y$6,$Y$8,TRUE),IF($BY$12=2,IF(BY3691&lt;=$BX$31,0,IF(BY3691&gt;=$BX$32,1,(BY3691-$BX$31)*$BX$33)),SUM($BU$42:BU3691)/$BV$40))</f>
        <v>1</v>
      </c>
      <c r="BW3691" s="16">
        <f t="shared" si="817"/>
        <v>1.0719184268069731E-53</v>
      </c>
      <c r="BY3691" s="16">
        <f t="shared" si="818"/>
        <v>364.90000000001447</v>
      </c>
      <c r="BZ3691" s="16">
        <f t="shared" si="820"/>
        <v>2.9375676262179519E-56</v>
      </c>
      <c r="CA3691" s="16">
        <f t="shared" ref="CA3691:CA3754" si="827">IF(AND($CD$1,$CD$3),26-$CD$40*NORMDIST(BY3691,$Y$6,$Y$8/SQRT($T$18),FALSE),-999)</f>
        <v>-999</v>
      </c>
      <c r="CE3691" s="16" t="e">
        <f t="shared" si="821"/>
        <v>#N/A</v>
      </c>
      <c r="CF3691" s="16">
        <f t="shared" si="822"/>
        <v>99</v>
      </c>
      <c r="CG3691" s="16">
        <f t="shared" si="823"/>
        <v>0</v>
      </c>
      <c r="CH3691" s="16">
        <f t="shared" si="819"/>
        <v>0</v>
      </c>
      <c r="CJ3691" s="16" t="e">
        <f t="shared" si="824"/>
        <v>#N/A</v>
      </c>
      <c r="CK3691" s="16" t="str">
        <f t="shared" si="825"/>
        <v/>
      </c>
    </row>
    <row r="3692" spans="73:89" ht="12" customHeight="1">
      <c r="BU3692" s="16">
        <f t="shared" si="826"/>
        <v>0</v>
      </c>
      <c r="BV3692" s="16">
        <f>IF($BY$12=1,NORMDIST(BY3692,$Y$6,$Y$8,TRUE),IF($BY$12=2,IF(BY3692&lt;=$BX$31,0,IF(BY3692&gt;=$BX$32,1,(BY3692-$BX$31)*$BX$33)),SUM($BU$42:BU3692)/$BV$40))</f>
        <v>1</v>
      </c>
      <c r="BW3692" s="16">
        <f t="shared" si="817"/>
        <v>9.9102697553480844E-54</v>
      </c>
      <c r="BY3692" s="16">
        <f t="shared" si="818"/>
        <v>365.0000000000145</v>
      </c>
      <c r="BZ3692" s="16">
        <f t="shared" si="820"/>
        <v>2.7151423987253949E-56</v>
      </c>
      <c r="CA3692" s="16">
        <f t="shared" si="827"/>
        <v>-999</v>
      </c>
      <c r="CE3692" s="16" t="e">
        <f t="shared" si="821"/>
        <v>#N/A</v>
      </c>
      <c r="CF3692" s="16">
        <f t="shared" si="822"/>
        <v>99</v>
      </c>
      <c r="CG3692" s="16">
        <f t="shared" si="823"/>
        <v>0</v>
      </c>
      <c r="CH3692" s="16">
        <f t="shared" si="819"/>
        <v>0</v>
      </c>
      <c r="CJ3692" s="16" t="e">
        <f t="shared" si="824"/>
        <v>#N/A</v>
      </c>
      <c r="CK3692" s="16" t="str">
        <f t="shared" si="825"/>
        <v/>
      </c>
    </row>
    <row r="3693" spans="73:89" ht="12" customHeight="1">
      <c r="BU3693" s="16">
        <f t="shared" si="826"/>
        <v>0</v>
      </c>
      <c r="BV3693" s="16">
        <f>IF($BY$12=1,NORMDIST(BY3693,$Y$6,$Y$8,TRUE),IF($BY$12=2,IF(BY3693&lt;=$BX$31,0,IF(BY3693&gt;=$BX$32,1,(BY3693-$BX$31)*$BX$33)),SUM($BU$42:BU3693)/$BV$40))</f>
        <v>1</v>
      </c>
      <c r="BW3693" s="16">
        <f t="shared" si="817"/>
        <v>9.1621695728313433E-54</v>
      </c>
      <c r="BY3693" s="16">
        <f t="shared" si="818"/>
        <v>365.10000000001452</v>
      </c>
      <c r="BZ3693" s="16">
        <f t="shared" si="820"/>
        <v>2.5094959114847928E-56</v>
      </c>
      <c r="CA3693" s="16">
        <f t="shared" si="827"/>
        <v>-999</v>
      </c>
      <c r="CE3693" s="16" t="e">
        <f t="shared" si="821"/>
        <v>#N/A</v>
      </c>
      <c r="CF3693" s="16">
        <f t="shared" si="822"/>
        <v>99</v>
      </c>
      <c r="CG3693" s="16">
        <f t="shared" si="823"/>
        <v>0</v>
      </c>
      <c r="CH3693" s="16">
        <f t="shared" si="819"/>
        <v>0</v>
      </c>
      <c r="CJ3693" s="16" t="e">
        <f t="shared" si="824"/>
        <v>#N/A</v>
      </c>
      <c r="CK3693" s="16" t="str">
        <f t="shared" si="825"/>
        <v/>
      </c>
    </row>
    <row r="3694" spans="73:89" ht="12" customHeight="1">
      <c r="BU3694" s="16">
        <f t="shared" si="826"/>
        <v>0</v>
      </c>
      <c r="BV3694" s="16">
        <f>IF($BY$12=1,NORMDIST(BY3694,$Y$6,$Y$8,TRUE),IF($BY$12=2,IF(BY3694&lt;=$BX$31,0,IF(BY3694&gt;=$BX$32,1,(BY3694-$BX$31)*$BX$33)),SUM($BU$42:BU3694)/$BV$40))</f>
        <v>1</v>
      </c>
      <c r="BW3694" s="16">
        <f t="shared" si="817"/>
        <v>8.4703291079492721E-54</v>
      </c>
      <c r="BY3694" s="16">
        <f t="shared" si="818"/>
        <v>365.20000000001454</v>
      </c>
      <c r="BZ3694" s="16">
        <f t="shared" si="820"/>
        <v>2.319367225615809E-56</v>
      </c>
      <c r="CA3694" s="16">
        <f t="shared" si="827"/>
        <v>-999</v>
      </c>
      <c r="CE3694" s="16" t="e">
        <f t="shared" si="821"/>
        <v>#N/A</v>
      </c>
      <c r="CF3694" s="16">
        <f t="shared" si="822"/>
        <v>99</v>
      </c>
      <c r="CG3694" s="16">
        <f t="shared" si="823"/>
        <v>0</v>
      </c>
      <c r="CH3694" s="16">
        <f t="shared" si="819"/>
        <v>0</v>
      </c>
      <c r="CJ3694" s="16" t="e">
        <f t="shared" si="824"/>
        <v>#N/A</v>
      </c>
      <c r="CK3694" s="16" t="str">
        <f t="shared" si="825"/>
        <v/>
      </c>
    </row>
    <row r="3695" spans="73:89" ht="12" customHeight="1">
      <c r="BU3695" s="16">
        <f t="shared" si="826"/>
        <v>0</v>
      </c>
      <c r="BV3695" s="16">
        <f>IF($BY$12=1,NORMDIST(BY3695,$Y$6,$Y$8,TRUE),IF($BY$12=2,IF(BY3695&lt;=$BX$31,0,IF(BY3695&gt;=$BX$32,1,(BY3695-$BX$31)*$BX$33)),SUM($BU$42:BU3695)/$BV$40))</f>
        <v>1</v>
      </c>
      <c r="BW3695" s="16">
        <f t="shared" si="817"/>
        <v>7.8305335442523398E-54</v>
      </c>
      <c r="BY3695" s="16">
        <f t="shared" si="818"/>
        <v>365.30000000001456</v>
      </c>
      <c r="BZ3695" s="16">
        <f t="shared" si="820"/>
        <v>2.1435898013282309E-56</v>
      </c>
      <c r="CA3695" s="16">
        <f t="shared" si="827"/>
        <v>-999</v>
      </c>
      <c r="CE3695" s="16" t="e">
        <f t="shared" si="821"/>
        <v>#N/A</v>
      </c>
      <c r="CF3695" s="16">
        <f t="shared" si="822"/>
        <v>99</v>
      </c>
      <c r="CG3695" s="16">
        <f t="shared" si="823"/>
        <v>0</v>
      </c>
      <c r="CH3695" s="16">
        <f t="shared" si="819"/>
        <v>0</v>
      </c>
      <c r="CJ3695" s="16" t="e">
        <f t="shared" si="824"/>
        <v>#N/A</v>
      </c>
      <c r="CK3695" s="16" t="str">
        <f t="shared" si="825"/>
        <v/>
      </c>
    </row>
    <row r="3696" spans="73:89" ht="12" customHeight="1">
      <c r="BU3696" s="16">
        <f t="shared" si="826"/>
        <v>0</v>
      </c>
      <c r="BV3696" s="16">
        <f>IF($BY$12=1,NORMDIST(BY3696,$Y$6,$Y$8,TRUE),IF($BY$12=2,IF(BY3696&lt;=$BX$31,0,IF(BY3696&gt;=$BX$32,1,(BY3696-$BX$31)*$BX$33)),SUM($BU$42:BU3696)/$BV$40))</f>
        <v>1</v>
      </c>
      <c r="BW3696" s="16">
        <f t="shared" si="817"/>
        <v>7.2388826100068931E-54</v>
      </c>
      <c r="BY3696" s="16">
        <f t="shared" si="818"/>
        <v>365.40000000001459</v>
      </c>
      <c r="BZ3696" s="16">
        <f t="shared" si="820"/>
        <v>1.9810844581298861E-56</v>
      </c>
      <c r="CA3696" s="16">
        <f t="shared" si="827"/>
        <v>-999</v>
      </c>
      <c r="CE3696" s="16" t="e">
        <f t="shared" si="821"/>
        <v>#N/A</v>
      </c>
      <c r="CF3696" s="16">
        <f t="shared" si="822"/>
        <v>99</v>
      </c>
      <c r="CG3696" s="16">
        <f t="shared" si="823"/>
        <v>0</v>
      </c>
      <c r="CH3696" s="16">
        <f t="shared" si="819"/>
        <v>0</v>
      </c>
      <c r="CJ3696" s="16" t="e">
        <f t="shared" si="824"/>
        <v>#N/A</v>
      </c>
      <c r="CK3696" s="16" t="str">
        <f t="shared" si="825"/>
        <v/>
      </c>
    </row>
    <row r="3697" spans="73:89" ht="12" customHeight="1">
      <c r="BU3697" s="16">
        <f t="shared" si="826"/>
        <v>0</v>
      </c>
      <c r="BV3697" s="16">
        <f>IF($BY$12=1,NORMDIST(BY3697,$Y$6,$Y$8,TRUE),IF($BY$12=2,IF(BY3697&lt;=$BX$31,0,IF(BY3697&gt;=$BX$32,1,(BY3697-$BX$31)*$BX$33)),SUM($BU$42:BU3697)/$BV$40))</f>
        <v>1</v>
      </c>
      <c r="BW3697" s="16">
        <f t="shared" si="817"/>
        <v>6.6917671958847621E-54</v>
      </c>
      <c r="BY3697" s="16">
        <f t="shared" si="818"/>
        <v>365.50000000001461</v>
      </c>
      <c r="BZ3697" s="16">
        <f t="shared" si="820"/>
        <v>1.8308528579711338E-56</v>
      </c>
      <c r="CA3697" s="16">
        <f t="shared" si="827"/>
        <v>-999</v>
      </c>
      <c r="CE3697" s="16" t="e">
        <f t="shared" si="821"/>
        <v>#N/A</v>
      </c>
      <c r="CF3697" s="16">
        <f t="shared" si="822"/>
        <v>99</v>
      </c>
      <c r="CG3697" s="16">
        <f t="shared" si="823"/>
        <v>0</v>
      </c>
      <c r="CH3697" s="16">
        <f t="shared" si="819"/>
        <v>0</v>
      </c>
      <c r="CJ3697" s="16" t="e">
        <f t="shared" si="824"/>
        <v>#N/A</v>
      </c>
      <c r="CK3697" s="16" t="str">
        <f t="shared" si="825"/>
        <v/>
      </c>
    </row>
    <row r="3698" spans="73:89" ht="12" customHeight="1">
      <c r="BU3698" s="16">
        <f t="shared" si="826"/>
        <v>0</v>
      </c>
      <c r="BV3698" s="16">
        <f>IF($BY$12=1,NORMDIST(BY3698,$Y$6,$Y$8,TRUE),IF($BY$12=2,IF(BY3698&lt;=$BX$31,0,IF(BY3698&gt;=$BX$32,1,(BY3698-$BX$31)*$BX$33)),SUM($BU$42:BU3698)/$BV$40))</f>
        <v>1</v>
      </c>
      <c r="BW3698" s="16">
        <f t="shared" si="817"/>
        <v>6.1858477039491368E-54</v>
      </c>
      <c r="BY3698" s="16">
        <f t="shared" si="818"/>
        <v>365.60000000001463</v>
      </c>
      <c r="BZ3698" s="16">
        <f t="shared" si="820"/>
        <v>1.6919714726337226E-56</v>
      </c>
      <c r="CA3698" s="16">
        <f t="shared" si="827"/>
        <v>-999</v>
      </c>
      <c r="CE3698" s="16" t="e">
        <f t="shared" si="821"/>
        <v>#N/A</v>
      </c>
      <c r="CF3698" s="16">
        <f t="shared" si="822"/>
        <v>99</v>
      </c>
      <c r="CG3698" s="16">
        <f t="shared" si="823"/>
        <v>0</v>
      </c>
      <c r="CH3698" s="16">
        <f t="shared" si="819"/>
        <v>0</v>
      </c>
      <c r="CJ3698" s="16" t="e">
        <f t="shared" si="824"/>
        <v>#N/A</v>
      </c>
      <c r="CK3698" s="16" t="str">
        <f t="shared" si="825"/>
        <v/>
      </c>
    </row>
    <row r="3699" spans="73:89" ht="12" customHeight="1">
      <c r="BU3699" s="16">
        <f t="shared" si="826"/>
        <v>0</v>
      </c>
      <c r="BV3699" s="16">
        <f>IF($BY$12=1,NORMDIST(BY3699,$Y$6,$Y$8,TRUE),IF($BY$12=2,IF(BY3699&lt;=$BX$31,0,IF(BY3699&gt;=$BX$32,1,(BY3699-$BX$31)*$BX$33)),SUM($BU$42:BU3699)/$BV$40))</f>
        <v>1</v>
      </c>
      <c r="BW3699" s="16">
        <f t="shared" si="817"/>
        <v>5.7180340002640163E-54</v>
      </c>
      <c r="BY3699" s="16">
        <f t="shared" si="818"/>
        <v>365.70000000001465</v>
      </c>
      <c r="BZ3699" s="16">
        <f t="shared" si="820"/>
        <v>1.5635859995252359E-56</v>
      </c>
      <c r="CA3699" s="16">
        <f t="shared" si="827"/>
        <v>-999</v>
      </c>
      <c r="CE3699" s="16" t="e">
        <f t="shared" si="821"/>
        <v>#N/A</v>
      </c>
      <c r="CF3699" s="16">
        <f t="shared" si="822"/>
        <v>99</v>
      </c>
      <c r="CG3699" s="16">
        <f t="shared" si="823"/>
        <v>0</v>
      </c>
      <c r="CH3699" s="16">
        <f t="shared" si="819"/>
        <v>0</v>
      </c>
      <c r="CJ3699" s="16" t="e">
        <f t="shared" si="824"/>
        <v>#N/A</v>
      </c>
      <c r="CK3699" s="16" t="str">
        <f t="shared" si="825"/>
        <v/>
      </c>
    </row>
    <row r="3700" spans="73:89" ht="12" customHeight="1">
      <c r="BU3700" s="16">
        <f t="shared" si="826"/>
        <v>0</v>
      </c>
      <c r="BV3700" s="16">
        <f>IF($BY$12=1,NORMDIST(BY3700,$Y$6,$Y$8,TRUE),IF($BY$12=2,IF(BY3700&lt;=$BX$31,0,IF(BY3700&gt;=$BX$32,1,(BY3700-$BX$31)*$BX$33)),SUM($BU$42:BU3700)/$BV$40))</f>
        <v>1</v>
      </c>
      <c r="BW3700" s="16">
        <f t="shared" si="817"/>
        <v>5.2854668528224032E-54</v>
      </c>
      <c r="BY3700" s="16">
        <f t="shared" si="818"/>
        <v>365.80000000001468</v>
      </c>
      <c r="BZ3700" s="16">
        <f t="shared" si="820"/>
        <v>1.4449061926796587E-56</v>
      </c>
      <c r="CA3700" s="16">
        <f t="shared" si="827"/>
        <v>-999</v>
      </c>
      <c r="CE3700" s="16" t="e">
        <f t="shared" si="821"/>
        <v>#N/A</v>
      </c>
      <c r="CF3700" s="16">
        <f t="shared" si="822"/>
        <v>99</v>
      </c>
      <c r="CG3700" s="16">
        <f t="shared" si="823"/>
        <v>0</v>
      </c>
      <c r="CH3700" s="16">
        <f t="shared" si="819"/>
        <v>0</v>
      </c>
      <c r="CJ3700" s="16" t="e">
        <f t="shared" si="824"/>
        <v>#N/A</v>
      </c>
      <c r="CK3700" s="16" t="str">
        <f t="shared" si="825"/>
        <v/>
      </c>
    </row>
    <row r="3701" spans="73:89" ht="12" customHeight="1">
      <c r="BU3701" s="16">
        <f t="shared" si="826"/>
        <v>0</v>
      </c>
      <c r="BV3701" s="16">
        <f>IF($BY$12=1,NORMDIST(BY3701,$Y$6,$Y$8,TRUE),IF($BY$12=2,IF(BY3701&lt;=$BX$31,0,IF(BY3701&gt;=$BX$32,1,(BY3701-$BX$31)*$BX$33)),SUM($BU$42:BU3701)/$BV$40))</f>
        <v>1</v>
      </c>
      <c r="BW3701" s="16">
        <f t="shared" si="817"/>
        <v>4.885500745190925E-54</v>
      </c>
      <c r="BY3701" s="16">
        <f t="shared" si="818"/>
        <v>365.9000000000147</v>
      </c>
      <c r="BZ3701" s="16">
        <f t="shared" si="820"/>
        <v>1.3352010782155586E-56</v>
      </c>
      <c r="CA3701" s="16">
        <f t="shared" si="827"/>
        <v>-999</v>
      </c>
      <c r="CE3701" s="16" t="e">
        <f t="shared" si="821"/>
        <v>#N/A</v>
      </c>
      <c r="CF3701" s="16">
        <f t="shared" si="822"/>
        <v>99</v>
      </c>
      <c r="CG3701" s="16">
        <f t="shared" si="823"/>
        <v>0</v>
      </c>
      <c r="CH3701" s="16">
        <f t="shared" si="819"/>
        <v>0</v>
      </c>
      <c r="CJ3701" s="16" t="e">
        <f t="shared" si="824"/>
        <v>#N/A</v>
      </c>
      <c r="CK3701" s="16" t="str">
        <f t="shared" si="825"/>
        <v/>
      </c>
    </row>
    <row r="3702" spans="73:89" ht="12" customHeight="1">
      <c r="BU3702" s="16">
        <f t="shared" si="826"/>
        <v>0</v>
      </c>
      <c r="BV3702" s="16">
        <f>IF($BY$12=1,NORMDIST(BY3702,$Y$6,$Y$8,TRUE),IF($BY$12=2,IF(BY3702&lt;=$BX$31,0,IF(BY3702&gt;=$BX$32,1,(BY3702-$BX$31)*$BX$33)),SUM($BU$42:BU3702)/$BV$40))</f>
        <v>1</v>
      </c>
      <c r="BW3702" s="16">
        <f t="shared" si="817"/>
        <v>4.5156879643127906E-54</v>
      </c>
      <c r="BY3702" s="16">
        <f t="shared" si="818"/>
        <v>366.00000000001472</v>
      </c>
      <c r="BZ3702" s="16">
        <f t="shared" si="820"/>
        <v>1.2337945257684723E-56</v>
      </c>
      <c r="CA3702" s="16">
        <f t="shared" si="827"/>
        <v>-999</v>
      </c>
      <c r="CE3702" s="16" t="e">
        <f t="shared" si="821"/>
        <v>#N/A</v>
      </c>
      <c r="CF3702" s="16">
        <f t="shared" si="822"/>
        <v>99</v>
      </c>
      <c r="CG3702" s="16">
        <f t="shared" si="823"/>
        <v>0</v>
      </c>
      <c r="CH3702" s="16">
        <f t="shared" si="819"/>
        <v>0</v>
      </c>
      <c r="CJ3702" s="16" t="e">
        <f t="shared" si="824"/>
        <v>#N/A</v>
      </c>
      <c r="CK3702" s="16" t="str">
        <f t="shared" si="825"/>
        <v/>
      </c>
    </row>
    <row r="3703" spans="73:89" ht="12" customHeight="1">
      <c r="BU3703" s="16">
        <f t="shared" si="826"/>
        <v>0</v>
      </c>
      <c r="BV3703" s="16">
        <f>IF($BY$12=1,NORMDIST(BY3703,$Y$6,$Y$8,TRUE),IF($BY$12=2,IF(BY3703&lt;=$BX$31,0,IF(BY3703&gt;=$BX$32,1,(BY3703-$BX$31)*$BX$33)),SUM($BU$42:BU3703)/$BV$40))</f>
        <v>1</v>
      </c>
      <c r="BW3703" s="16">
        <f t="shared" si="817"/>
        <v>4.1737638683869813E-54</v>
      </c>
      <c r="BY3703" s="16">
        <f t="shared" si="818"/>
        <v>366.10000000001475</v>
      </c>
      <c r="BZ3703" s="16">
        <f t="shared" si="820"/>
        <v>1.1400611495183865E-56</v>
      </c>
      <c r="CA3703" s="16">
        <f t="shared" si="827"/>
        <v>-999</v>
      </c>
      <c r="CE3703" s="16" t="e">
        <f t="shared" si="821"/>
        <v>#N/A</v>
      </c>
      <c r="CF3703" s="16">
        <f t="shared" si="822"/>
        <v>99</v>
      </c>
      <c r="CG3703" s="16">
        <f t="shared" si="823"/>
        <v>0</v>
      </c>
      <c r="CH3703" s="16">
        <f t="shared" si="819"/>
        <v>0</v>
      </c>
      <c r="CJ3703" s="16" t="e">
        <f t="shared" si="824"/>
        <v>#N/A</v>
      </c>
      <c r="CK3703" s="16" t="str">
        <f t="shared" si="825"/>
        <v/>
      </c>
    </row>
    <row r="3704" spans="73:89" ht="12" customHeight="1">
      <c r="BU3704" s="16">
        <f t="shared" si="826"/>
        <v>0</v>
      </c>
      <c r="BV3704" s="16">
        <f>IF($BY$12=1,NORMDIST(BY3704,$Y$6,$Y$8,TRUE),IF($BY$12=2,IF(BY3704&lt;=$BX$31,0,IF(BY3704&gt;=$BX$32,1,(BY3704-$BX$31)*$BX$33)),SUM($BU$42:BU3704)/$BV$40))</f>
        <v>1</v>
      </c>
      <c r="BW3704" s="16">
        <f t="shared" si="817"/>
        <v>3.8576332476550814E-54</v>
      </c>
      <c r="BY3704" s="16">
        <f t="shared" si="818"/>
        <v>366.20000000001477</v>
      </c>
      <c r="BZ3704" s="16">
        <f t="shared" si="820"/>
        <v>1.0534225143787345E-56</v>
      </c>
      <c r="CA3704" s="16">
        <f t="shared" si="827"/>
        <v>-999</v>
      </c>
      <c r="CE3704" s="16" t="e">
        <f t="shared" si="821"/>
        <v>#N/A</v>
      </c>
      <c r="CF3704" s="16">
        <f t="shared" si="822"/>
        <v>99</v>
      </c>
      <c r="CG3704" s="16">
        <f t="shared" si="823"/>
        <v>0</v>
      </c>
      <c r="CH3704" s="16">
        <f t="shared" si="819"/>
        <v>0</v>
      </c>
      <c r="CJ3704" s="16" t="e">
        <f t="shared" si="824"/>
        <v>#N/A</v>
      </c>
      <c r="CK3704" s="16" t="str">
        <f t="shared" si="825"/>
        <v/>
      </c>
    </row>
    <row r="3705" spans="73:89" ht="12" customHeight="1">
      <c r="BU3705" s="16">
        <f t="shared" si="826"/>
        <v>0</v>
      </c>
      <c r="BV3705" s="16">
        <f>IF($BY$12=1,NORMDIST(BY3705,$Y$6,$Y$8,TRUE),IF($BY$12=2,IF(BY3705&lt;=$BX$31,0,IF(BY3705&gt;=$BX$32,1,(BY3705-$BX$31)*$BX$33)),SUM($BU$42:BU3705)/$BV$40))</f>
        <v>1</v>
      </c>
      <c r="BW3705" s="16">
        <f t="shared" si="817"/>
        <v>3.5653576973407602E-54</v>
      </c>
      <c r="BY3705" s="16">
        <f t="shared" si="818"/>
        <v>366.30000000001479</v>
      </c>
      <c r="BZ3705" s="16">
        <f t="shared" si="820"/>
        <v>9.7334362471761301E-57</v>
      </c>
      <c r="CA3705" s="16">
        <f t="shared" si="827"/>
        <v>-999</v>
      </c>
      <c r="CE3705" s="16" t="e">
        <f t="shared" si="821"/>
        <v>#N/A</v>
      </c>
      <c r="CF3705" s="16">
        <f t="shared" si="822"/>
        <v>99</v>
      </c>
      <c r="CG3705" s="16">
        <f t="shared" si="823"/>
        <v>0</v>
      </c>
      <c r="CH3705" s="16">
        <f t="shared" si="819"/>
        <v>0</v>
      </c>
      <c r="CJ3705" s="16" t="e">
        <f t="shared" si="824"/>
        <v>#N/A</v>
      </c>
      <c r="CK3705" s="16" t="str">
        <f t="shared" si="825"/>
        <v/>
      </c>
    </row>
    <row r="3706" spans="73:89" ht="12" customHeight="1">
      <c r="BU3706" s="16">
        <f t="shared" si="826"/>
        <v>0</v>
      </c>
      <c r="BV3706" s="16">
        <f>IF($BY$12=1,NORMDIST(BY3706,$Y$6,$Y$8,TRUE),IF($BY$12=2,IF(BY3706&lt;=$BX$31,0,IF(BY3706&gt;=$BX$32,1,(BY3706-$BX$31)*$BX$33)),SUM($BU$42:BU3706)/$BV$40))</f>
        <v>1</v>
      </c>
      <c r="BW3706" s="16">
        <f t="shared" si="817"/>
        <v>3.2951439279315297E-54</v>
      </c>
      <c r="BY3706" s="16">
        <f t="shared" si="818"/>
        <v>366.40000000001481</v>
      </c>
      <c r="BZ3706" s="16">
        <f t="shared" si="820"/>
        <v>8.9932967465376543E-57</v>
      </c>
      <c r="CA3706" s="16">
        <f t="shared" si="827"/>
        <v>-999</v>
      </c>
      <c r="CE3706" s="16" t="e">
        <f t="shared" si="821"/>
        <v>#N/A</v>
      </c>
      <c r="CF3706" s="16">
        <f t="shared" si="822"/>
        <v>99</v>
      </c>
      <c r="CG3706" s="16">
        <f t="shared" si="823"/>
        <v>0</v>
      </c>
      <c r="CH3706" s="16">
        <f t="shared" si="819"/>
        <v>0</v>
      </c>
      <c r="CJ3706" s="16" t="e">
        <f t="shared" si="824"/>
        <v>#N/A</v>
      </c>
      <c r="CK3706" s="16" t="str">
        <f t="shared" si="825"/>
        <v/>
      </c>
    </row>
    <row r="3707" spans="73:89" ht="12" customHeight="1">
      <c r="BU3707" s="16">
        <f t="shared" si="826"/>
        <v>0</v>
      </c>
      <c r="BV3707" s="16">
        <f>IF($BY$12=1,NORMDIST(BY3707,$Y$6,$Y$8,TRUE),IF($BY$12=2,IF(BY3707&lt;=$BX$31,0,IF(BY3707&gt;=$BX$32,1,(BY3707-$BX$31)*$BX$33)),SUM($BU$42:BU3707)/$BV$40))</f>
        <v>1</v>
      </c>
      <c r="BW3707" s="16">
        <f t="shared" ref="BW3707:BW3770" si="828">BY3707*BZ3707</f>
        <v>3.045332943498018E-54</v>
      </c>
      <c r="BY3707" s="16">
        <f t="shared" ref="BY3707:BY3770" si="829">BY3706+$BZ$1</f>
        <v>366.50000000001484</v>
      </c>
      <c r="BZ3707" s="16">
        <f t="shared" si="820"/>
        <v>8.309230405178431E-57</v>
      </c>
      <c r="CA3707" s="16">
        <f t="shared" si="827"/>
        <v>-999</v>
      </c>
      <c r="CE3707" s="16" t="e">
        <f t="shared" si="821"/>
        <v>#N/A</v>
      </c>
      <c r="CF3707" s="16">
        <f t="shared" si="822"/>
        <v>99</v>
      </c>
      <c r="CG3707" s="16">
        <f t="shared" si="823"/>
        <v>0</v>
      </c>
      <c r="CH3707" s="16">
        <f t="shared" si="819"/>
        <v>0</v>
      </c>
      <c r="CJ3707" s="16" t="e">
        <f t="shared" si="824"/>
        <v>#N/A</v>
      </c>
      <c r="CK3707" s="16" t="str">
        <f t="shared" si="825"/>
        <v/>
      </c>
    </row>
    <row r="3708" spans="73:89" ht="12" customHeight="1">
      <c r="BU3708" s="16">
        <f t="shared" si="826"/>
        <v>0</v>
      </c>
      <c r="BV3708" s="16">
        <f>IF($BY$12=1,NORMDIST(BY3708,$Y$6,$Y$8,TRUE),IF($BY$12=2,IF(BY3708&lt;=$BX$31,0,IF(BY3708&gt;=$BX$32,1,(BY3708-$BX$31)*$BX$33)),SUM($BU$42:BU3708)/$BV$40))</f>
        <v>1</v>
      </c>
      <c r="BW3708" s="16">
        <f t="shared" si="828"/>
        <v>2.8143900238492586E-54</v>
      </c>
      <c r="BY3708" s="16">
        <f t="shared" si="829"/>
        <v>366.60000000001486</v>
      </c>
      <c r="BZ3708" s="16">
        <f t="shared" si="820"/>
        <v>7.677004975038583E-57</v>
      </c>
      <c r="CA3708" s="16">
        <f t="shared" si="827"/>
        <v>-999</v>
      </c>
      <c r="CE3708" s="16" t="e">
        <f t="shared" si="821"/>
        <v>#N/A</v>
      </c>
      <c r="CF3708" s="16">
        <f t="shared" si="822"/>
        <v>99</v>
      </c>
      <c r="CG3708" s="16">
        <f t="shared" si="823"/>
        <v>0</v>
      </c>
      <c r="CH3708" s="16">
        <f t="shared" si="819"/>
        <v>0</v>
      </c>
      <c r="CJ3708" s="16" t="e">
        <f t="shared" si="824"/>
        <v>#N/A</v>
      </c>
      <c r="CK3708" s="16" t="str">
        <f t="shared" si="825"/>
        <v/>
      </c>
    </row>
    <row r="3709" spans="73:89" ht="12" customHeight="1">
      <c r="BU3709" s="16">
        <f t="shared" si="826"/>
        <v>0</v>
      </c>
      <c r="BV3709" s="16">
        <f>IF($BY$12=1,NORMDIST(BY3709,$Y$6,$Y$8,TRUE),IF($BY$12=2,IF(BY3709&lt;=$BX$31,0,IF(BY3709&gt;=$BX$32,1,(BY3709-$BX$31)*$BX$33)),SUM($BU$42:BU3709)/$BV$40))</f>
        <v>1</v>
      </c>
      <c r="BW3709" s="16">
        <f t="shared" si="828"/>
        <v>2.6008954510537183E-54</v>
      </c>
      <c r="BY3709" s="16">
        <f t="shared" si="829"/>
        <v>366.70000000001488</v>
      </c>
      <c r="BZ3709" s="16">
        <f t="shared" si="820"/>
        <v>7.0927064386517941E-57</v>
      </c>
      <c r="CA3709" s="16">
        <f t="shared" si="827"/>
        <v>-999</v>
      </c>
      <c r="CE3709" s="16" t="e">
        <f t="shared" si="821"/>
        <v>#N/A</v>
      </c>
      <c r="CF3709" s="16">
        <f t="shared" si="822"/>
        <v>99</v>
      </c>
      <c r="CG3709" s="16">
        <f t="shared" si="823"/>
        <v>0</v>
      </c>
      <c r="CH3709" s="16">
        <f t="shared" si="819"/>
        <v>0</v>
      </c>
      <c r="CJ3709" s="16" t="e">
        <f t="shared" si="824"/>
        <v>#N/A</v>
      </c>
      <c r="CK3709" s="16" t="str">
        <f t="shared" si="825"/>
        <v/>
      </c>
    </row>
    <row r="3710" spans="73:89" ht="12" customHeight="1">
      <c r="BU3710" s="16">
        <f t="shared" si="826"/>
        <v>0</v>
      </c>
      <c r="BV3710" s="16">
        <f>IF($BY$12=1,NORMDIST(BY3710,$Y$6,$Y$8,TRUE),IF($BY$12=2,IF(BY3710&lt;=$BX$31,0,IF(BY3710&gt;=$BX$32,1,(BY3710-$BX$31)*$BX$33)),SUM($BU$42:BU3710)/$BV$40))</f>
        <v>1</v>
      </c>
      <c r="BW3710" s="16">
        <f t="shared" si="828"/>
        <v>2.4035359252350975E-54</v>
      </c>
      <c r="BY3710" s="16">
        <f t="shared" si="829"/>
        <v>366.8000000000149</v>
      </c>
      <c r="BZ3710" s="16">
        <f t="shared" si="820"/>
        <v>6.5527151723964011E-57</v>
      </c>
      <c r="CA3710" s="16">
        <f t="shared" si="827"/>
        <v>-999</v>
      </c>
      <c r="CE3710" s="16" t="e">
        <f t="shared" si="821"/>
        <v>#N/A</v>
      </c>
      <c r="CF3710" s="16">
        <f t="shared" si="822"/>
        <v>99</v>
      </c>
      <c r="CG3710" s="16">
        <f t="shared" si="823"/>
        <v>0</v>
      </c>
      <c r="CH3710" s="16">
        <f t="shared" si="819"/>
        <v>0</v>
      </c>
      <c r="CJ3710" s="16" t="e">
        <f t="shared" si="824"/>
        <v>#N/A</v>
      </c>
      <c r="CK3710" s="16" t="str">
        <f t="shared" si="825"/>
        <v/>
      </c>
    </row>
    <row r="3711" spans="73:89" ht="12" customHeight="1">
      <c r="BU3711" s="16">
        <f t="shared" si="826"/>
        <v>0</v>
      </c>
      <c r="BV3711" s="16">
        <f>IF($BY$12=1,NORMDIST(BY3711,$Y$6,$Y$8,TRUE),IF($BY$12=2,IF(BY3711&lt;=$BX$31,0,IF(BY3711&gt;=$BX$32,1,(BY3711-$BX$31)*$BX$33)),SUM($BU$42:BU3711)/$BV$40))</f>
        <v>1</v>
      </c>
      <c r="BW3711" s="16">
        <f t="shared" si="828"/>
        <v>2.2210966186153109E-54</v>
      </c>
      <c r="BY3711" s="16">
        <f t="shared" si="829"/>
        <v>366.90000000001493</v>
      </c>
      <c r="BZ3711" s="16">
        <f t="shared" si="820"/>
        <v>6.053683888294414E-57</v>
      </c>
      <c r="CA3711" s="16">
        <f t="shared" si="827"/>
        <v>-999</v>
      </c>
      <c r="CE3711" s="16" t="e">
        <f t="shared" si="821"/>
        <v>#N/A</v>
      </c>
      <c r="CF3711" s="16">
        <f t="shared" si="822"/>
        <v>99</v>
      </c>
      <c r="CG3711" s="16">
        <f t="shared" si="823"/>
        <v>0</v>
      </c>
      <c r="CH3711" s="16">
        <f t="shared" si="819"/>
        <v>0</v>
      </c>
      <c r="CJ3711" s="16" t="e">
        <f t="shared" si="824"/>
        <v>#N/A</v>
      </c>
      <c r="CK3711" s="16" t="str">
        <f t="shared" si="825"/>
        <v/>
      </c>
    </row>
    <row r="3712" spans="73:89" ht="12" customHeight="1">
      <c r="BU3712" s="16">
        <f t="shared" si="826"/>
        <v>0</v>
      </c>
      <c r="BV3712" s="16">
        <f>IF($BY$12=1,NORMDIST(BY3712,$Y$6,$Y$8,TRUE),IF($BY$12=2,IF(BY3712&lt;=$BX$31,0,IF(BY3712&gt;=$BX$32,1,(BY3712-$BX$31)*$BX$33)),SUM($BU$42:BU3712)/$BV$40))</f>
        <v>1</v>
      </c>
      <c r="BW3712" s="16">
        <f t="shared" si="828"/>
        <v>2.0524538205382227E-54</v>
      </c>
      <c r="BY3712" s="16">
        <f t="shared" si="829"/>
        <v>367.00000000001495</v>
      </c>
      <c r="BZ3712" s="16">
        <f t="shared" si="820"/>
        <v>5.5925172221747656E-57</v>
      </c>
      <c r="CA3712" s="16">
        <f t="shared" si="827"/>
        <v>-999</v>
      </c>
      <c r="CE3712" s="16" t="e">
        <f t="shared" si="821"/>
        <v>#N/A</v>
      </c>
      <c r="CF3712" s="16">
        <f t="shared" si="822"/>
        <v>99</v>
      </c>
      <c r="CG3712" s="16">
        <f t="shared" si="823"/>
        <v>0</v>
      </c>
      <c r="CH3712" s="16">
        <f t="shared" si="819"/>
        <v>0</v>
      </c>
      <c r="CJ3712" s="16" t="e">
        <f t="shared" si="824"/>
        <v>#N/A</v>
      </c>
      <c r="CK3712" s="16" t="str">
        <f t="shared" si="825"/>
        <v/>
      </c>
    </row>
    <row r="3713" spans="73:89" ht="12" customHeight="1">
      <c r="BU3713" s="16">
        <f t="shared" si="826"/>
        <v>0</v>
      </c>
      <c r="BV3713" s="16">
        <f>IF($BY$12=1,NORMDIST(BY3713,$Y$6,$Y$8,TRUE),IF($BY$12=2,IF(BY3713&lt;=$BX$31,0,IF(BY3713&gt;=$BX$32,1,(BY3713-$BX$31)*$BX$33)),SUM($BU$42:BU3713)/$BV$40))</f>
        <v>1</v>
      </c>
      <c r="BW3713" s="16">
        <f t="shared" si="828"/>
        <v>1.8965681296937994E-54</v>
      </c>
      <c r="BY3713" s="16">
        <f t="shared" si="829"/>
        <v>367.10000000001497</v>
      </c>
      <c r="BZ3713" s="16">
        <f t="shared" si="820"/>
        <v>5.1663528458014767E-57</v>
      </c>
      <c r="CA3713" s="16">
        <f t="shared" si="827"/>
        <v>-999</v>
      </c>
      <c r="CE3713" s="16" t="e">
        <f t="shared" si="821"/>
        <v>#N/A</v>
      </c>
      <c r="CF3713" s="16">
        <f t="shared" si="822"/>
        <v>99</v>
      </c>
      <c r="CG3713" s="16">
        <f t="shared" si="823"/>
        <v>0</v>
      </c>
      <c r="CH3713" s="16">
        <f t="shared" si="819"/>
        <v>0</v>
      </c>
      <c r="CJ3713" s="16" t="e">
        <f t="shared" si="824"/>
        <v>#N/A</v>
      </c>
      <c r="CK3713" s="16" t="str">
        <f t="shared" si="825"/>
        <v/>
      </c>
    </row>
    <row r="3714" spans="73:89" ht="12" customHeight="1">
      <c r="BU3714" s="16">
        <f t="shared" si="826"/>
        <v>0</v>
      </c>
      <c r="BV3714" s="16">
        <f>IF($BY$12=1,NORMDIST(BY3714,$Y$6,$Y$8,TRUE),IF($BY$12=2,IF(BY3714&lt;=$BX$31,0,IF(BY3714&gt;=$BX$32,1,(BY3714-$BX$31)*$BX$33)),SUM($BU$42:BU3714)/$BV$40))</f>
        <v>1</v>
      </c>
      <c r="BW3714" s="16">
        <f t="shared" si="828"/>
        <v>1.7524781529939229E-54</v>
      </c>
      <c r="BY3714" s="16">
        <f t="shared" si="829"/>
        <v>367.200000000015</v>
      </c>
      <c r="BZ3714" s="16">
        <f t="shared" si="820"/>
        <v>4.7725439896346714E-57</v>
      </c>
      <c r="CA3714" s="16">
        <f t="shared" si="827"/>
        <v>-999</v>
      </c>
      <c r="CE3714" s="16" t="e">
        <f t="shared" si="821"/>
        <v>#N/A</v>
      </c>
      <c r="CF3714" s="16">
        <f t="shared" si="822"/>
        <v>99</v>
      </c>
      <c r="CG3714" s="16">
        <f t="shared" si="823"/>
        <v>0</v>
      </c>
      <c r="CH3714" s="16">
        <f t="shared" si="819"/>
        <v>0</v>
      </c>
      <c r="CJ3714" s="16" t="e">
        <f t="shared" si="824"/>
        <v>#N/A</v>
      </c>
      <c r="CK3714" s="16" t="str">
        <f t="shared" si="825"/>
        <v/>
      </c>
    </row>
    <row r="3715" spans="73:89" ht="12" customHeight="1">
      <c r="BU3715" s="16">
        <f t="shared" si="826"/>
        <v>0</v>
      </c>
      <c r="BV3715" s="16">
        <f>IF($BY$12=1,NORMDIST(BY3715,$Y$6,$Y$8,TRUE),IF($BY$12=2,IF(BY3715&lt;=$BX$31,0,IF(BY3715&gt;=$BX$32,1,(BY3715-$BX$31)*$BX$33)),SUM($BU$42:BU3715)/$BV$40))</f>
        <v>1</v>
      </c>
      <c r="BW3715" s="16">
        <f t="shared" si="828"/>
        <v>1.6192946735420645E-54</v>
      </c>
      <c r="BY3715" s="16">
        <f t="shared" si="829"/>
        <v>367.30000000001502</v>
      </c>
      <c r="BZ3715" s="16">
        <f t="shared" si="820"/>
        <v>4.4086432712823254E-57</v>
      </c>
      <c r="CA3715" s="16">
        <f t="shared" si="827"/>
        <v>-999</v>
      </c>
      <c r="CE3715" s="16" t="e">
        <f t="shared" si="821"/>
        <v>#N/A</v>
      </c>
      <c r="CF3715" s="16">
        <f t="shared" si="822"/>
        <v>99</v>
      </c>
      <c r="CG3715" s="16">
        <f t="shared" si="823"/>
        <v>0</v>
      </c>
      <c r="CH3715" s="16">
        <f t="shared" ref="CH3715:CH3778" si="830">IF(CB3715="",0,1)</f>
        <v>0</v>
      </c>
      <c r="CJ3715" s="16" t="e">
        <f t="shared" si="824"/>
        <v>#N/A</v>
      </c>
      <c r="CK3715" s="16" t="str">
        <f t="shared" si="825"/>
        <v/>
      </c>
    </row>
    <row r="3716" spans="73:89" ht="12" customHeight="1">
      <c r="BU3716" s="16">
        <f t="shared" si="826"/>
        <v>0</v>
      </c>
      <c r="BV3716" s="16">
        <f>IF($BY$12=1,NORMDIST(BY3716,$Y$6,$Y$8,TRUE),IF($BY$12=2,IF(BY3716&lt;=$BX$31,0,IF(BY3716&gt;=$BX$32,1,(BY3716-$BX$31)*$BX$33)),SUM($BU$42:BU3716)/$BV$40))</f>
        <v>1</v>
      </c>
      <c r="BW3716" s="16">
        <f t="shared" si="828"/>
        <v>1.4961952529132177E-54</v>
      </c>
      <c r="BY3716" s="16">
        <f t="shared" si="829"/>
        <v>367.40000000001504</v>
      </c>
      <c r="BZ3716" s="16">
        <f t="shared" si="820"/>
        <v>4.0723877324800123E-57</v>
      </c>
      <c r="CA3716" s="16">
        <f t="shared" si="827"/>
        <v>-999</v>
      </c>
      <c r="CE3716" s="16" t="e">
        <f t="shared" si="821"/>
        <v>#N/A</v>
      </c>
      <c r="CF3716" s="16">
        <f t="shared" si="822"/>
        <v>99</v>
      </c>
      <c r="CG3716" s="16">
        <f t="shared" si="823"/>
        <v>0</v>
      </c>
      <c r="CH3716" s="16">
        <f t="shared" si="830"/>
        <v>0</v>
      </c>
      <c r="CJ3716" s="16" t="e">
        <f t="shared" si="824"/>
        <v>#N/A</v>
      </c>
      <c r="CK3716" s="16" t="str">
        <f t="shared" si="825"/>
        <v/>
      </c>
    </row>
    <row r="3717" spans="73:89" ht="12" customHeight="1">
      <c r="BU3717" s="16">
        <f t="shared" si="826"/>
        <v>0</v>
      </c>
      <c r="BV3717" s="16">
        <f>IF($BY$12=1,NORMDIST(BY3717,$Y$6,$Y$8,TRUE),IF($BY$12=2,IF(BY3717&lt;=$BX$31,0,IF(BY3717&gt;=$BX$32,1,(BY3717-$BX$31)*$BX$33)),SUM($BU$42:BU3717)/$BV$40))</f>
        <v>1</v>
      </c>
      <c r="BW3717" s="16">
        <f t="shared" si="828"/>
        <v>1.3824192355291287E-54</v>
      </c>
      <c r="BY3717" s="16">
        <f t="shared" si="829"/>
        <v>367.50000000001506</v>
      </c>
      <c r="BZ3717" s="16">
        <f t="shared" si="820"/>
        <v>3.761684994636931E-57</v>
      </c>
      <c r="CA3717" s="16">
        <f t="shared" si="827"/>
        <v>-999</v>
      </c>
      <c r="CE3717" s="16" t="e">
        <f t="shared" si="821"/>
        <v>#N/A</v>
      </c>
      <c r="CF3717" s="16">
        <f t="shared" si="822"/>
        <v>99</v>
      </c>
      <c r="CG3717" s="16">
        <f t="shared" si="823"/>
        <v>0</v>
      </c>
      <c r="CH3717" s="16">
        <f t="shared" si="830"/>
        <v>0</v>
      </c>
      <c r="CJ3717" s="16" t="e">
        <f t="shared" si="824"/>
        <v>#N/A</v>
      </c>
      <c r="CK3717" s="16" t="str">
        <f t="shared" si="825"/>
        <v/>
      </c>
    </row>
    <row r="3718" spans="73:89" ht="12" customHeight="1">
      <c r="BU3718" s="16">
        <f t="shared" si="826"/>
        <v>0</v>
      </c>
      <c r="BV3718" s="16">
        <f>IF($BY$12=1,NORMDIST(BY3718,$Y$6,$Y$8,TRUE),IF($BY$12=2,IF(BY3718&lt;=$BX$31,0,IF(BY3718&gt;=$BX$32,1,(BY3718-$BX$31)*$BX$33)),SUM($BU$42:BU3718)/$BV$40))</f>
        <v>1</v>
      </c>
      <c r="BW3718" s="16">
        <f t="shared" si="828"/>
        <v>1.2772631252936039E-54</v>
      </c>
      <c r="BY3718" s="16">
        <f t="shared" si="829"/>
        <v>367.60000000001509</v>
      </c>
      <c r="BZ3718" s="16">
        <f t="shared" si="820"/>
        <v>3.4746004496560159E-57</v>
      </c>
      <c r="CA3718" s="16">
        <f t="shared" si="827"/>
        <v>-999</v>
      </c>
      <c r="CE3718" s="16" t="e">
        <f t="shared" si="821"/>
        <v>#N/A</v>
      </c>
      <c r="CF3718" s="16">
        <f t="shared" si="822"/>
        <v>99</v>
      </c>
      <c r="CG3718" s="16">
        <f t="shared" si="823"/>
        <v>0</v>
      </c>
      <c r="CH3718" s="16">
        <f t="shared" si="830"/>
        <v>0</v>
      </c>
      <c r="CJ3718" s="16" t="e">
        <f t="shared" si="824"/>
        <v>#N/A</v>
      </c>
      <c r="CK3718" s="16" t="str">
        <f t="shared" si="825"/>
        <v/>
      </c>
    </row>
    <row r="3719" spans="73:89" ht="12" customHeight="1">
      <c r="BU3719" s="16">
        <f t="shared" si="826"/>
        <v>0</v>
      </c>
      <c r="BV3719" s="16">
        <f>IF($BY$12=1,NORMDIST(BY3719,$Y$6,$Y$8,TRUE),IF($BY$12=2,IF(BY3719&lt;=$BX$31,0,IF(BY3719&gt;=$BX$32,1,(BY3719-$BX$31)*$BX$33)),SUM($BU$42:BU3719)/$BV$40))</f>
        <v>1</v>
      </c>
      <c r="BW3719" s="16">
        <f t="shared" si="828"/>
        <v>1.1800763068574093E-54</v>
      </c>
      <c r="BY3719" s="16">
        <f t="shared" si="829"/>
        <v>367.70000000001511</v>
      </c>
      <c r="BZ3719" s="16">
        <f t="shared" si="820"/>
        <v>3.2093454089131377E-57</v>
      </c>
      <c r="CA3719" s="16">
        <f t="shared" si="827"/>
        <v>-999</v>
      </c>
      <c r="CE3719" s="16" t="e">
        <f t="shared" si="821"/>
        <v>#N/A</v>
      </c>
      <c r="CF3719" s="16">
        <f t="shared" si="822"/>
        <v>99</v>
      </c>
      <c r="CG3719" s="16">
        <f t="shared" si="823"/>
        <v>0</v>
      </c>
      <c r="CH3719" s="16">
        <f t="shared" si="830"/>
        <v>0</v>
      </c>
      <c r="CJ3719" s="16" t="e">
        <f t="shared" si="824"/>
        <v>#N/A</v>
      </c>
      <c r="CK3719" s="16" t="str">
        <f t="shared" si="825"/>
        <v/>
      </c>
    </row>
    <row r="3720" spans="73:89" ht="12" customHeight="1">
      <c r="BU3720" s="16">
        <f t="shared" si="826"/>
        <v>0</v>
      </c>
      <c r="BV3720" s="16">
        <f>IF($BY$12=1,NORMDIST(BY3720,$Y$6,$Y$8,TRUE),IF($BY$12=2,IF(BY3720&lt;=$BX$31,0,IF(BY3720&gt;=$BX$32,1,(BY3720-$BX$31)*$BX$33)),SUM($BU$42:BU3720)/$BV$40))</f>
        <v>1</v>
      </c>
      <c r="BW3720" s="16">
        <f t="shared" si="828"/>
        <v>1.0902570859255259E-54</v>
      </c>
      <c r="BY3720" s="16">
        <f t="shared" si="829"/>
        <v>367.80000000001513</v>
      </c>
      <c r="BZ3720" s="16">
        <f t="shared" si="820"/>
        <v>2.9642661390034829E-57</v>
      </c>
      <c r="CA3720" s="16">
        <f t="shared" si="827"/>
        <v>-999</v>
      </c>
      <c r="CE3720" s="16" t="e">
        <f t="shared" si="821"/>
        <v>#N/A</v>
      </c>
      <c r="CF3720" s="16">
        <f t="shared" si="822"/>
        <v>99</v>
      </c>
      <c r="CG3720" s="16">
        <f t="shared" si="823"/>
        <v>0</v>
      </c>
      <c r="CH3720" s="16">
        <f t="shared" si="830"/>
        <v>0</v>
      </c>
      <c r="CJ3720" s="16" t="e">
        <f t="shared" si="824"/>
        <v>#N/A</v>
      </c>
      <c r="CK3720" s="16" t="str">
        <f t="shared" si="825"/>
        <v/>
      </c>
    </row>
    <row r="3721" spans="73:89" ht="12" customHeight="1">
      <c r="BU3721" s="16">
        <f t="shared" si="826"/>
        <v>0</v>
      </c>
      <c r="BV3721" s="16">
        <f>IF($BY$12=1,NORMDIST(BY3721,$Y$6,$Y$8,TRUE),IF($BY$12=2,IF(BY3721&lt;=$BX$31,0,IF(BY3721&gt;=$BX$32,1,(BY3721-$BX$31)*$BX$33)),SUM($BU$42:BU3721)/$BV$40))</f>
        <v>1</v>
      </c>
      <c r="BW3721" s="16">
        <f t="shared" si="828"/>
        <v>1.0072490249111591E-54</v>
      </c>
      <c r="BY3721" s="16">
        <f t="shared" si="829"/>
        <v>367.90000000001515</v>
      </c>
      <c r="BZ3721" s="16">
        <f t="shared" si="820"/>
        <v>2.7378337181601458E-57</v>
      </c>
      <c r="CA3721" s="16">
        <f t="shared" si="827"/>
        <v>-999</v>
      </c>
      <c r="CE3721" s="16" t="e">
        <f t="shared" si="821"/>
        <v>#N/A</v>
      </c>
      <c r="CF3721" s="16">
        <f t="shared" si="822"/>
        <v>99</v>
      </c>
      <c r="CG3721" s="16">
        <f t="shared" si="823"/>
        <v>0</v>
      </c>
      <c r="CH3721" s="16">
        <f t="shared" si="830"/>
        <v>0</v>
      </c>
      <c r="CJ3721" s="16" t="e">
        <f t="shared" si="824"/>
        <v>#N/A</v>
      </c>
      <c r="CK3721" s="16" t="str">
        <f t="shared" si="825"/>
        <v/>
      </c>
    </row>
    <row r="3722" spans="73:89" ht="12" customHeight="1">
      <c r="BU3722" s="16">
        <f t="shared" si="826"/>
        <v>0</v>
      </c>
      <c r="BV3722" s="16">
        <f>IF($BY$12=1,NORMDIST(BY3722,$Y$6,$Y$8,TRUE),IF($BY$12=2,IF(BY3722&lt;=$BX$31,0,IF(BY3722&gt;=$BX$32,1,(BY3722-$BX$31)*$BX$33)),SUM($BU$42:BU3722)/$BV$40))</f>
        <v>1</v>
      </c>
      <c r="BW3722" s="16">
        <f t="shared" si="828"/>
        <v>9.3053755199388977E-55</v>
      </c>
      <c r="BY3722" s="16">
        <f t="shared" si="829"/>
        <v>368.00000000001518</v>
      </c>
      <c r="BZ3722" s="16">
        <f t="shared" si="820"/>
        <v>2.528634652157205E-57</v>
      </c>
      <c r="CA3722" s="16">
        <f t="shared" si="827"/>
        <v>-999</v>
      </c>
      <c r="CE3722" s="16" t="e">
        <f t="shared" si="821"/>
        <v>#N/A</v>
      </c>
      <c r="CF3722" s="16">
        <f t="shared" si="822"/>
        <v>99</v>
      </c>
      <c r="CG3722" s="16">
        <f t="shared" si="823"/>
        <v>0</v>
      </c>
      <c r="CH3722" s="16">
        <f t="shared" si="830"/>
        <v>0</v>
      </c>
      <c r="CJ3722" s="16" t="e">
        <f t="shared" si="824"/>
        <v>#N/A</v>
      </c>
      <c r="CK3722" s="16" t="str">
        <f t="shared" si="825"/>
        <v/>
      </c>
    </row>
    <row r="3723" spans="73:89" ht="12" customHeight="1">
      <c r="BU3723" s="16">
        <f t="shared" si="826"/>
        <v>0</v>
      </c>
      <c r="BV3723" s="16">
        <f>IF($BY$12=1,NORMDIST(BY3723,$Y$6,$Y$8,TRUE),IF($BY$12=2,IF(BY3723&lt;=$BX$31,0,IF(BY3723&gt;=$BX$32,1,(BY3723-$BX$31)*$BX$33)),SUM($BU$42:BU3723)/$BV$40))</f>
        <v>1</v>
      </c>
      <c r="BW3723" s="16">
        <f t="shared" si="828"/>
        <v>8.5964682326302018E-55</v>
      </c>
      <c r="BY3723" s="16">
        <f t="shared" si="829"/>
        <v>368.1000000000152</v>
      </c>
      <c r="BZ3723" s="16">
        <f t="shared" si="820"/>
        <v>2.3353621930534765E-57</v>
      </c>
      <c r="CA3723" s="16">
        <f t="shared" si="827"/>
        <v>-999</v>
      </c>
      <c r="CE3723" s="16" t="e">
        <f t="shared" si="821"/>
        <v>#N/A</v>
      </c>
      <c r="CF3723" s="16">
        <f t="shared" si="822"/>
        <v>99</v>
      </c>
      <c r="CG3723" s="16">
        <f t="shared" si="823"/>
        <v>0</v>
      </c>
      <c r="CH3723" s="16">
        <f t="shared" si="830"/>
        <v>0</v>
      </c>
      <c r="CJ3723" s="16" t="e">
        <f t="shared" si="824"/>
        <v>#N/A</v>
      </c>
      <c r="CK3723" s="16" t="str">
        <f t="shared" si="825"/>
        <v/>
      </c>
    </row>
    <row r="3724" spans="73:89" ht="12" customHeight="1">
      <c r="BU3724" s="16">
        <f t="shared" si="826"/>
        <v>0</v>
      </c>
      <c r="BV3724" s="16">
        <f>IF($BY$12=1,NORMDIST(BY3724,$Y$6,$Y$8,TRUE),IF($BY$12=2,IF(BY3724&lt;=$BX$31,0,IF(BY3724&gt;=$BX$32,1,(BY3724-$BX$31)*$BX$33)),SUM($BU$42:BU3724)/$BV$40))</f>
        <v>1</v>
      </c>
      <c r="BW3724" s="16">
        <f t="shared" si="828"/>
        <v>7.9413681913145482E-55</v>
      </c>
      <c r="BY3724" s="16">
        <f t="shared" si="829"/>
        <v>368.20000000001522</v>
      </c>
      <c r="BZ3724" s="16">
        <f t="shared" si="820"/>
        <v>2.156808308341722E-57</v>
      </c>
      <c r="CA3724" s="16">
        <f t="shared" si="827"/>
        <v>-999</v>
      </c>
      <c r="CE3724" s="16" t="e">
        <f t="shared" si="821"/>
        <v>#N/A</v>
      </c>
      <c r="CF3724" s="16">
        <f t="shared" si="822"/>
        <v>99</v>
      </c>
      <c r="CG3724" s="16">
        <f t="shared" si="823"/>
        <v>0</v>
      </c>
      <c r="CH3724" s="16">
        <f t="shared" si="830"/>
        <v>0</v>
      </c>
      <c r="CJ3724" s="16" t="e">
        <f t="shared" si="824"/>
        <v>#N/A</v>
      </c>
      <c r="CK3724" s="16" t="str">
        <f t="shared" si="825"/>
        <v/>
      </c>
    </row>
    <row r="3725" spans="73:89" ht="12" customHeight="1">
      <c r="BU3725" s="16">
        <f t="shared" si="826"/>
        <v>0</v>
      </c>
      <c r="BV3725" s="16">
        <f>IF($BY$12=1,NORMDIST(BY3725,$Y$6,$Y$8,TRUE),IF($BY$12=2,IF(BY3725&lt;=$BX$31,0,IF(BY3725&gt;=$BX$32,1,(BY3725-$BX$31)*$BX$33)),SUM($BU$42:BU3725)/$BV$40))</f>
        <v>1</v>
      </c>
      <c r="BW3725" s="16">
        <f t="shared" si="828"/>
        <v>7.3360065759832314E-55</v>
      </c>
      <c r="BY3725" s="16">
        <f t="shared" si="829"/>
        <v>368.30000000001525</v>
      </c>
      <c r="BZ3725" s="16">
        <f t="shared" si="820"/>
        <v>1.9918562519638685E-57</v>
      </c>
      <c r="CA3725" s="16">
        <f t="shared" si="827"/>
        <v>-999</v>
      </c>
      <c r="CE3725" s="16" t="e">
        <f t="shared" si="821"/>
        <v>#N/A</v>
      </c>
      <c r="CF3725" s="16">
        <f t="shared" si="822"/>
        <v>99</v>
      </c>
      <c r="CG3725" s="16">
        <f t="shared" si="823"/>
        <v>0</v>
      </c>
      <c r="CH3725" s="16">
        <f t="shared" si="830"/>
        <v>0</v>
      </c>
      <c r="CJ3725" s="16" t="e">
        <f t="shared" si="824"/>
        <v>#N/A</v>
      </c>
      <c r="CK3725" s="16" t="str">
        <f t="shared" si="825"/>
        <v/>
      </c>
    </row>
    <row r="3726" spans="73:89" ht="12" customHeight="1">
      <c r="BU3726" s="16">
        <f t="shared" si="826"/>
        <v>0</v>
      </c>
      <c r="BV3726" s="16">
        <f>IF($BY$12=1,NORMDIST(BY3726,$Y$6,$Y$8,TRUE),IF($BY$12=2,IF(BY3726&lt;=$BX$31,0,IF(BY3726&gt;=$BX$32,1,(BY3726-$BX$31)*$BX$33)),SUM($BU$42:BU3726)/$BV$40))</f>
        <v>1</v>
      </c>
      <c r="BW3726" s="16">
        <f t="shared" si="828"/>
        <v>6.7766210822891967E-55</v>
      </c>
      <c r="BY3726" s="16">
        <f t="shared" si="829"/>
        <v>368.40000000001527</v>
      </c>
      <c r="BZ3726" s="16">
        <f t="shared" si="820"/>
        <v>1.8394736922608351E-57</v>
      </c>
      <c r="CA3726" s="16">
        <f t="shared" si="827"/>
        <v>-999</v>
      </c>
      <c r="CE3726" s="16" t="e">
        <f t="shared" si="821"/>
        <v>#N/A</v>
      </c>
      <c r="CF3726" s="16">
        <f t="shared" si="822"/>
        <v>99</v>
      </c>
      <c r="CG3726" s="16">
        <f t="shared" si="823"/>
        <v>0</v>
      </c>
      <c r="CH3726" s="16">
        <f t="shared" si="830"/>
        <v>0</v>
      </c>
      <c r="CJ3726" s="16" t="e">
        <f t="shared" si="824"/>
        <v>#N/A</v>
      </c>
      <c r="CK3726" s="16" t="str">
        <f t="shared" si="825"/>
        <v/>
      </c>
    </row>
    <row r="3727" spans="73:89" ht="12" customHeight="1">
      <c r="BU3727" s="16">
        <f t="shared" si="826"/>
        <v>0</v>
      </c>
      <c r="BV3727" s="16">
        <f>IF($BY$12=1,NORMDIST(BY3727,$Y$6,$Y$8,TRUE),IF($BY$12=2,IF(BY3727&lt;=$BX$31,0,IF(BY3727&gt;=$BX$32,1,(BY3727-$BX$31)*$BX$33)),SUM($BU$42:BU3727)/$BV$40))</f>
        <v>1</v>
      </c>
      <c r="BW3727" s="16">
        <f t="shared" si="828"/>
        <v>6.2597329191612379E-55</v>
      </c>
      <c r="BY3727" s="16">
        <f t="shared" si="829"/>
        <v>368.50000000001529</v>
      </c>
      <c r="BZ3727" s="16">
        <f t="shared" si="820"/>
        <v>1.6987063552675652E-57</v>
      </c>
      <c r="CA3727" s="16">
        <f t="shared" si="827"/>
        <v>-999</v>
      </c>
      <c r="CE3727" s="16" t="e">
        <f t="shared" si="821"/>
        <v>#N/A</v>
      </c>
      <c r="CF3727" s="16">
        <f t="shared" si="822"/>
        <v>99</v>
      </c>
      <c r="CG3727" s="16">
        <f t="shared" si="823"/>
        <v>0</v>
      </c>
      <c r="CH3727" s="16">
        <f t="shared" si="830"/>
        <v>0</v>
      </c>
      <c r="CJ3727" s="16" t="e">
        <f t="shared" si="824"/>
        <v>#N/A</v>
      </c>
      <c r="CK3727" s="16" t="str">
        <f t="shared" si="825"/>
        <v/>
      </c>
    </row>
    <row r="3728" spans="73:89" ht="12" customHeight="1">
      <c r="BU3728" s="16">
        <f t="shared" si="826"/>
        <v>0</v>
      </c>
      <c r="BV3728" s="16">
        <f>IF($BY$12=1,NORMDIST(BY3728,$Y$6,$Y$8,TRUE),IF($BY$12=2,IF(BY3728&lt;=$BX$31,0,IF(BY3728&gt;=$BX$32,1,(BY3728-$BX$31)*$BX$33)),SUM($BU$42:BU3728)/$BV$40))</f>
        <v>1</v>
      </c>
      <c r="BW3728" s="16">
        <f t="shared" si="828"/>
        <v>5.7821255259416819E-55</v>
      </c>
      <c r="BY3728" s="16">
        <f t="shared" si="829"/>
        <v>368.60000000001531</v>
      </c>
      <c r="BZ3728" s="16">
        <f t="shared" si="820"/>
        <v>1.5686721448566038E-57</v>
      </c>
      <c r="CA3728" s="16">
        <f t="shared" si="827"/>
        <v>-999</v>
      </c>
      <c r="CE3728" s="16" t="e">
        <f t="shared" si="821"/>
        <v>#N/A</v>
      </c>
      <c r="CF3728" s="16">
        <f t="shared" si="822"/>
        <v>99</v>
      </c>
      <c r="CG3728" s="16">
        <f t="shared" si="823"/>
        <v>0</v>
      </c>
      <c r="CH3728" s="16">
        <f t="shared" si="830"/>
        <v>0</v>
      </c>
      <c r="CJ3728" s="16" t="e">
        <f t="shared" si="824"/>
        <v>#N/A</v>
      </c>
      <c r="CK3728" s="16" t="str">
        <f t="shared" si="825"/>
        <v/>
      </c>
    </row>
    <row r="3729" spans="73:89" ht="12" customHeight="1">
      <c r="BU3729" s="16">
        <f t="shared" si="826"/>
        <v>0</v>
      </c>
      <c r="BV3729" s="16">
        <f>IF($BY$12=1,NORMDIST(BY3729,$Y$6,$Y$8,TRUE),IF($BY$12=2,IF(BY3729&lt;=$BX$31,0,IF(BY3729&gt;=$BX$32,1,(BY3729-$BX$31)*$BX$33)),SUM($BU$42:BU3729)/$BV$40))</f>
        <v>1</v>
      </c>
      <c r="BW3729" s="16">
        <f t="shared" si="828"/>
        <v>5.3408248810099797E-55</v>
      </c>
      <c r="BY3729" s="16">
        <f t="shared" si="829"/>
        <v>368.70000000001534</v>
      </c>
      <c r="BZ3729" s="16">
        <f t="shared" si="820"/>
        <v>1.4485557040981171E-57</v>
      </c>
      <c r="CA3729" s="16">
        <f t="shared" si="827"/>
        <v>-999</v>
      </c>
      <c r="CE3729" s="16" t="e">
        <f t="shared" si="821"/>
        <v>#N/A</v>
      </c>
      <c r="CF3729" s="16">
        <f t="shared" si="822"/>
        <v>99</v>
      </c>
      <c r="CG3729" s="16">
        <f t="shared" si="823"/>
        <v>0</v>
      </c>
      <c r="CH3729" s="16">
        <f t="shared" si="830"/>
        <v>0</v>
      </c>
      <c r="CJ3729" s="16" t="e">
        <f t="shared" si="824"/>
        <v>#N/A</v>
      </c>
      <c r="CK3729" s="16" t="str">
        <f t="shared" si="825"/>
        <v/>
      </c>
    </row>
    <row r="3730" spans="73:89" ht="12" customHeight="1">
      <c r="BU3730" s="16">
        <f t="shared" si="826"/>
        <v>0</v>
      </c>
      <c r="BV3730" s="16">
        <f>IF($BY$12=1,NORMDIST(BY3730,$Y$6,$Y$8,TRUE),IF($BY$12=2,IF(BY3730&lt;=$BX$31,0,IF(BY3730&gt;=$BX$32,1,(BY3730-$BX$31)*$BX$33)),SUM($BU$42:BU3730)/$BV$40))</f>
        <v>1</v>
      </c>
      <c r="BW3730" s="16">
        <f t="shared" si="828"/>
        <v>4.9330812833508051E-55</v>
      </c>
      <c r="BY3730" s="16">
        <f t="shared" si="829"/>
        <v>368.80000000001536</v>
      </c>
      <c r="BZ3730" s="16">
        <f t="shared" si="820"/>
        <v>1.3376033848564532E-57</v>
      </c>
      <c r="CA3730" s="16">
        <f t="shared" si="827"/>
        <v>-999</v>
      </c>
      <c r="CE3730" s="16" t="e">
        <f t="shared" si="821"/>
        <v>#N/A</v>
      </c>
      <c r="CF3730" s="16">
        <f t="shared" si="822"/>
        <v>99</v>
      </c>
      <c r="CG3730" s="16">
        <f t="shared" si="823"/>
        <v>0</v>
      </c>
      <c r="CH3730" s="16">
        <f t="shared" si="830"/>
        <v>0</v>
      </c>
      <c r="CJ3730" s="16" t="e">
        <f t="shared" si="824"/>
        <v>#N/A</v>
      </c>
      <c r="CK3730" s="16" t="str">
        <f t="shared" si="825"/>
        <v/>
      </c>
    </row>
    <row r="3731" spans="73:89" ht="12" customHeight="1">
      <c r="BU3731" s="16">
        <f t="shared" si="826"/>
        <v>0</v>
      </c>
      <c r="BV3731" s="16">
        <f>IF($BY$12=1,NORMDIST(BY3731,$Y$6,$Y$8,TRUE),IF($BY$12=2,IF(BY3731&lt;=$BX$31,0,IF(BY3731&gt;=$BX$32,1,(BY3731-$BX$31)*$BX$33)),SUM($BU$42:BU3731)/$BV$40))</f>
        <v>1</v>
      </c>
      <c r="BW3731" s="16">
        <f t="shared" si="828"/>
        <v>4.5563524973200265E-55</v>
      </c>
      <c r="BY3731" s="16">
        <f t="shared" si="829"/>
        <v>368.90000000001538</v>
      </c>
      <c r="BZ3731" s="16">
        <f t="shared" si="820"/>
        <v>1.2351185950988985E-57</v>
      </c>
      <c r="CA3731" s="16">
        <f t="shared" si="827"/>
        <v>-999</v>
      </c>
      <c r="CE3731" s="16" t="e">
        <f t="shared" si="821"/>
        <v>#N/A</v>
      </c>
      <c r="CF3731" s="16">
        <f t="shared" si="822"/>
        <v>99</v>
      </c>
      <c r="CG3731" s="16">
        <f t="shared" si="823"/>
        <v>0</v>
      </c>
      <c r="CH3731" s="16">
        <f t="shared" si="830"/>
        <v>0</v>
      </c>
      <c r="CJ3731" s="16" t="e">
        <f t="shared" si="824"/>
        <v>#N/A</v>
      </c>
      <c r="CK3731" s="16" t="str">
        <f t="shared" si="825"/>
        <v/>
      </c>
    </row>
    <row r="3732" spans="73:89" ht="12" customHeight="1">
      <c r="BU3732" s="16">
        <f t="shared" si="826"/>
        <v>0</v>
      </c>
      <c r="BV3732" s="16">
        <f>IF($BY$12=1,NORMDIST(BY3732,$Y$6,$Y$8,TRUE),IF($BY$12=2,IF(BY3732&lt;=$BX$31,0,IF(BY3732&gt;=$BX$32,1,(BY3732-$BX$31)*$BX$33)),SUM($BU$42:BU3732)/$BV$40))</f>
        <v>1</v>
      </c>
      <c r="BW3732" s="16">
        <f t="shared" si="828"/>
        <v>4.2082881590062648E-55</v>
      </c>
      <c r="BY3732" s="16">
        <f t="shared" si="829"/>
        <v>369.0000000000154</v>
      </c>
      <c r="BZ3732" s="16">
        <f t="shared" si="820"/>
        <v>1.1404574956656069E-57</v>
      </c>
      <c r="CA3732" s="16">
        <f t="shared" si="827"/>
        <v>-999</v>
      </c>
      <c r="CE3732" s="16" t="e">
        <f t="shared" si="821"/>
        <v>#N/A</v>
      </c>
      <c r="CF3732" s="16">
        <f t="shared" si="822"/>
        <v>99</v>
      </c>
      <c r="CG3732" s="16">
        <f t="shared" si="823"/>
        <v>0</v>
      </c>
      <c r="CH3732" s="16">
        <f t="shared" si="830"/>
        <v>0</v>
      </c>
      <c r="CJ3732" s="16" t="e">
        <f t="shared" si="824"/>
        <v>#N/A</v>
      </c>
      <c r="CK3732" s="16" t="str">
        <f t="shared" si="825"/>
        <v/>
      </c>
    </row>
    <row r="3733" spans="73:89" ht="12" customHeight="1">
      <c r="BU3733" s="16">
        <f t="shared" si="826"/>
        <v>0</v>
      </c>
      <c r="BV3733" s="16">
        <f>IF($BY$12=1,NORMDIST(BY3733,$Y$6,$Y$8,TRUE),IF($BY$12=2,IF(BY3733&lt;=$BX$31,0,IF(BY3733&gt;=$BX$32,1,(BY3733-$BX$31)*$BX$33)),SUM($BU$42:BU3733)/$BV$40))</f>
        <v>1</v>
      </c>
      <c r="BW3733" s="16">
        <f t="shared" si="828"/>
        <v>3.8867153501273123E-55</v>
      </c>
      <c r="BY3733" s="16">
        <f t="shared" si="829"/>
        <v>369.10000000001543</v>
      </c>
      <c r="BZ3733" s="16">
        <f t="shared" si="820"/>
        <v>1.0530250203541453E-57</v>
      </c>
      <c r="CA3733" s="16">
        <f t="shared" si="827"/>
        <v>-999</v>
      </c>
      <c r="CE3733" s="16" t="e">
        <f t="shared" si="821"/>
        <v>#N/A</v>
      </c>
      <c r="CF3733" s="16">
        <f t="shared" si="822"/>
        <v>99</v>
      </c>
      <c r="CG3733" s="16">
        <f t="shared" si="823"/>
        <v>0</v>
      </c>
      <c r="CH3733" s="16">
        <f t="shared" si="830"/>
        <v>0</v>
      </c>
      <c r="CJ3733" s="16" t="e">
        <f t="shared" si="824"/>
        <v>#N/A</v>
      </c>
      <c r="CK3733" s="16" t="str">
        <f t="shared" si="825"/>
        <v/>
      </c>
    </row>
    <row r="3734" spans="73:89" ht="12" customHeight="1">
      <c r="BU3734" s="16">
        <f t="shared" si="826"/>
        <v>0</v>
      </c>
      <c r="BV3734" s="16">
        <f>IF($BY$12=1,NORMDIST(BY3734,$Y$6,$Y$8,TRUE),IF($BY$12=2,IF(BY3734&lt;=$BX$31,0,IF(BY3734&gt;=$BX$32,1,(BY3734-$BX$31)*$BX$33)),SUM($BU$42:BU3734)/$BV$40))</f>
        <v>1</v>
      </c>
      <c r="BW3734" s="16">
        <f t="shared" si="828"/>
        <v>3.5896252523886043E-55</v>
      </c>
      <c r="BY3734" s="16">
        <f t="shared" si="829"/>
        <v>369.20000000001545</v>
      </c>
      <c r="BZ3734" s="16">
        <f t="shared" si="820"/>
        <v>9.7227119512146643E-58</v>
      </c>
      <c r="CA3734" s="16">
        <f t="shared" si="827"/>
        <v>-999</v>
      </c>
      <c r="CE3734" s="16" t="e">
        <f t="shared" si="821"/>
        <v>#N/A</v>
      </c>
      <c r="CF3734" s="16">
        <f t="shared" si="822"/>
        <v>99</v>
      </c>
      <c r="CG3734" s="16">
        <f t="shared" si="823"/>
        <v>0</v>
      </c>
      <c r="CH3734" s="16">
        <f t="shared" si="830"/>
        <v>0</v>
      </c>
      <c r="CJ3734" s="16" t="e">
        <f t="shared" si="824"/>
        <v>#N/A</v>
      </c>
      <c r="CK3734" s="16" t="str">
        <f t="shared" si="825"/>
        <v/>
      </c>
    </row>
    <row r="3735" spans="73:89" ht="12" customHeight="1">
      <c r="BU3735" s="16">
        <f t="shared" si="826"/>
        <v>0</v>
      </c>
      <c r="BV3735" s="16">
        <f>IF($BY$12=1,NORMDIST(BY3735,$Y$6,$Y$8,TRUE),IF($BY$12=2,IF(BY3735&lt;=$BX$31,0,IF(BY3735&gt;=$BX$32,1,(BY3735-$BX$31)*$BX$33)),SUM($BU$42:BU3735)/$BV$40))</f>
        <v>1</v>
      </c>
      <c r="BW3735" s="16">
        <f t="shared" si="828"/>
        <v>3.3151608016950568E-55</v>
      </c>
      <c r="BY3735" s="16">
        <f t="shared" si="829"/>
        <v>369.30000000001547</v>
      </c>
      <c r="BZ3735" s="16">
        <f t="shared" si="820"/>
        <v>8.9768773400891359E-58</v>
      </c>
      <c r="CA3735" s="16">
        <f t="shared" si="827"/>
        <v>-999</v>
      </c>
      <c r="CE3735" s="16" t="e">
        <f t="shared" si="821"/>
        <v>#N/A</v>
      </c>
      <c r="CF3735" s="16">
        <f t="shared" si="822"/>
        <v>99</v>
      </c>
      <c r="CG3735" s="16">
        <f t="shared" si="823"/>
        <v>0</v>
      </c>
      <c r="CH3735" s="16">
        <f t="shared" si="830"/>
        <v>0</v>
      </c>
      <c r="CJ3735" s="16" t="e">
        <f t="shared" si="824"/>
        <v>#N/A</v>
      </c>
      <c r="CK3735" s="16" t="str">
        <f t="shared" si="825"/>
        <v/>
      </c>
    </row>
    <row r="3736" spans="73:89" ht="12" customHeight="1">
      <c r="BU3736" s="16">
        <f t="shared" si="826"/>
        <v>0</v>
      </c>
      <c r="BV3736" s="16">
        <f>IF($BY$12=1,NORMDIST(BY3736,$Y$6,$Y$8,TRUE),IF($BY$12=2,IF(BY3736&lt;=$BX$31,0,IF(BY3736&gt;=$BX$32,1,(BY3736-$BX$31)*$BX$33)),SUM($BU$42:BU3736)/$BV$40))</f>
        <v>1</v>
      </c>
      <c r="BW3736" s="16">
        <f t="shared" si="828"/>
        <v>3.0616052676015306E-55</v>
      </c>
      <c r="BY3736" s="16">
        <f t="shared" si="829"/>
        <v>369.4000000000155</v>
      </c>
      <c r="BZ3736" s="16">
        <f t="shared" si="820"/>
        <v>8.288048910669741E-58</v>
      </c>
      <c r="CA3736" s="16">
        <f t="shared" si="827"/>
        <v>-999</v>
      </c>
      <c r="CE3736" s="16" t="e">
        <f t="shared" si="821"/>
        <v>#N/A</v>
      </c>
      <c r="CF3736" s="16">
        <f t="shared" si="822"/>
        <v>99</v>
      </c>
      <c r="CG3736" s="16">
        <f t="shared" si="823"/>
        <v>0</v>
      </c>
      <c r="CH3736" s="16">
        <f t="shared" si="830"/>
        <v>0</v>
      </c>
      <c r="CJ3736" s="16" t="e">
        <f t="shared" si="824"/>
        <v>#N/A</v>
      </c>
      <c r="CK3736" s="16" t="str">
        <f t="shared" si="825"/>
        <v/>
      </c>
    </row>
    <row r="3737" spans="73:89" ht="12" customHeight="1">
      <c r="BU3737" s="16">
        <f t="shared" si="826"/>
        <v>0</v>
      </c>
      <c r="BV3737" s="16">
        <f>IF($BY$12=1,NORMDIST(BY3737,$Y$6,$Y$8,TRUE),IF($BY$12=2,IF(BY3737&lt;=$BX$31,0,IF(BY3737&gt;=$BX$32,1,(BY3737-$BX$31)*$BX$33)),SUM($BU$42:BU3737)/$BV$40))</f>
        <v>1</v>
      </c>
      <c r="BW3737" s="16">
        <f t="shared" si="828"/>
        <v>2.827371688930215E-55</v>
      </c>
      <c r="BY3737" s="16">
        <f t="shared" si="829"/>
        <v>369.50000000001552</v>
      </c>
      <c r="BZ3737" s="16">
        <f t="shared" si="820"/>
        <v>7.651885491015145E-58</v>
      </c>
      <c r="CA3737" s="16">
        <f t="shared" si="827"/>
        <v>-999</v>
      </c>
      <c r="CE3737" s="16" t="e">
        <f t="shared" si="821"/>
        <v>#N/A</v>
      </c>
      <c r="CF3737" s="16">
        <f t="shared" si="822"/>
        <v>99</v>
      </c>
      <c r="CG3737" s="16">
        <f t="shared" si="823"/>
        <v>0</v>
      </c>
      <c r="CH3737" s="16">
        <f t="shared" si="830"/>
        <v>0</v>
      </c>
      <c r="CJ3737" s="16" t="e">
        <f t="shared" si="824"/>
        <v>#N/A</v>
      </c>
      <c r="CK3737" s="16" t="str">
        <f t="shared" si="825"/>
        <v/>
      </c>
    </row>
    <row r="3738" spans="73:89" ht="12" customHeight="1">
      <c r="BU3738" s="16">
        <f t="shared" si="826"/>
        <v>0</v>
      </c>
      <c r="BV3738" s="16">
        <f>IF($BY$12=1,NORMDIST(BY3738,$Y$6,$Y$8,TRUE),IF($BY$12=2,IF(BY3738&lt;=$BX$31,0,IF(BY3738&gt;=$BX$32,1,(BY3738-$BX$31)*$BX$33)),SUM($BU$42:BU3738)/$BV$40))</f>
        <v>1</v>
      </c>
      <c r="BW3738" s="16">
        <f t="shared" si="828"/>
        <v>2.6109931016218443E-55</v>
      </c>
      <c r="BY3738" s="16">
        <f t="shared" si="829"/>
        <v>369.60000000001554</v>
      </c>
      <c r="BZ3738" s="16">
        <f t="shared" si="820"/>
        <v>7.0643752749505805E-58</v>
      </c>
      <c r="CA3738" s="16">
        <f t="shared" si="827"/>
        <v>-999</v>
      </c>
      <c r="CE3738" s="16" t="e">
        <f t="shared" si="821"/>
        <v>#N/A</v>
      </c>
      <c r="CF3738" s="16">
        <f t="shared" si="822"/>
        <v>99</v>
      </c>
      <c r="CG3738" s="16">
        <f t="shared" si="823"/>
        <v>0</v>
      </c>
      <c r="CH3738" s="16">
        <f t="shared" si="830"/>
        <v>0</v>
      </c>
      <c r="CJ3738" s="16" t="e">
        <f t="shared" si="824"/>
        <v>#N/A</v>
      </c>
      <c r="CK3738" s="16" t="str">
        <f t="shared" si="825"/>
        <v/>
      </c>
    </row>
    <row r="3739" spans="73:89" ht="12" customHeight="1">
      <c r="BU3739" s="16">
        <f t="shared" si="826"/>
        <v>0</v>
      </c>
      <c r="BV3739" s="16">
        <f>IF($BY$12=1,NORMDIST(BY3739,$Y$6,$Y$8,TRUE),IF($BY$12=2,IF(BY3739&lt;=$BX$31,0,IF(BY3739&gt;=$BX$32,1,(BY3739-$BX$31)*$BX$33)),SUM($BU$42:BU3739)/$BV$40))</f>
        <v>1</v>
      </c>
      <c r="BW3739" s="16">
        <f t="shared" si="828"/>
        <v>2.4111134996405594E-55</v>
      </c>
      <c r="BY3739" s="16">
        <f t="shared" si="829"/>
        <v>369.70000000001556</v>
      </c>
      <c r="BZ3739" s="16">
        <f t="shared" si="820"/>
        <v>6.5218109268067568E-58</v>
      </c>
      <c r="CA3739" s="16">
        <f t="shared" si="827"/>
        <v>-999</v>
      </c>
      <c r="CE3739" s="16" t="e">
        <f t="shared" si="821"/>
        <v>#N/A</v>
      </c>
      <c r="CF3739" s="16">
        <f t="shared" si="822"/>
        <v>99</v>
      </c>
      <c r="CG3739" s="16">
        <f t="shared" si="823"/>
        <v>0</v>
      </c>
      <c r="CH3739" s="16">
        <f t="shared" si="830"/>
        <v>0</v>
      </c>
      <c r="CJ3739" s="16" t="e">
        <f t="shared" si="824"/>
        <v>#N/A</v>
      </c>
      <c r="CK3739" s="16" t="str">
        <f t="shared" si="825"/>
        <v/>
      </c>
    </row>
    <row r="3740" spans="73:89" ht="12" customHeight="1">
      <c r="BU3740" s="16">
        <f t="shared" si="826"/>
        <v>0</v>
      </c>
      <c r="BV3740" s="16">
        <f>IF($BY$12=1,NORMDIST(BY3740,$Y$6,$Y$8,TRUE),IF($BY$12=2,IF(BY3740&lt;=$BX$31,0,IF(BY3740&gt;=$BX$32,1,(BY3740-$BX$31)*$BX$33)),SUM($BU$42:BU3740)/$BV$40))</f>
        <v>1</v>
      </c>
      <c r="BW3740" s="16">
        <f t="shared" si="828"/>
        <v>2.2264794741577168E-55</v>
      </c>
      <c r="BY3740" s="16">
        <f t="shared" si="829"/>
        <v>369.80000000001559</v>
      </c>
      <c r="BZ3740" s="16">
        <f t="shared" si="820"/>
        <v>6.0207665607291045E-58</v>
      </c>
      <c r="CA3740" s="16">
        <f t="shared" si="827"/>
        <v>-999</v>
      </c>
      <c r="CE3740" s="16" t="e">
        <f t="shared" si="821"/>
        <v>#N/A</v>
      </c>
      <c r="CF3740" s="16">
        <f t="shared" si="822"/>
        <v>99</v>
      </c>
      <c r="CG3740" s="16">
        <f t="shared" si="823"/>
        <v>0</v>
      </c>
      <c r="CH3740" s="16">
        <f t="shared" si="830"/>
        <v>0</v>
      </c>
      <c r="CJ3740" s="16" t="e">
        <f t="shared" si="824"/>
        <v>#N/A</v>
      </c>
      <c r="CK3740" s="16" t="str">
        <f t="shared" si="825"/>
        <v/>
      </c>
    </row>
    <row r="3741" spans="73:89" ht="12" customHeight="1">
      <c r="BU3741" s="16">
        <f t="shared" si="826"/>
        <v>0</v>
      </c>
      <c r="BV3741" s="16">
        <f>IF($BY$12=1,NORMDIST(BY3741,$Y$6,$Y$8,TRUE),IF($BY$12=2,IF(BY3741&lt;=$BX$31,0,IF(BY3741&gt;=$BX$32,1,(BY3741-$BX$31)*$BX$33)),SUM($BU$42:BU3741)/$BV$40))</f>
        <v>1</v>
      </c>
      <c r="BW3741" s="16">
        <f t="shared" si="828"/>
        <v>2.0559324803147154E-55</v>
      </c>
      <c r="BY3741" s="16">
        <f t="shared" si="829"/>
        <v>369.90000000001561</v>
      </c>
      <c r="BZ3741" s="16">
        <f t="shared" si="820"/>
        <v>5.5580764539460087E-58</v>
      </c>
      <c r="CA3741" s="16">
        <f t="shared" si="827"/>
        <v>-999</v>
      </c>
      <c r="CE3741" s="16" t="e">
        <f t="shared" si="821"/>
        <v>#N/A</v>
      </c>
      <c r="CF3741" s="16">
        <f t="shared" si="822"/>
        <v>99</v>
      </c>
      <c r="CG3741" s="16">
        <f t="shared" si="823"/>
        <v>0</v>
      </c>
      <c r="CH3741" s="16">
        <f t="shared" si="830"/>
        <v>0</v>
      </c>
      <c r="CJ3741" s="16" t="e">
        <f t="shared" si="824"/>
        <v>#N/A</v>
      </c>
      <c r="CK3741" s="16" t="str">
        <f t="shared" si="825"/>
        <v/>
      </c>
    </row>
    <row r="3742" spans="73:89" ht="12" customHeight="1">
      <c r="BU3742" s="16">
        <f t="shared" si="826"/>
        <v>0</v>
      </c>
      <c r="BV3742" s="16">
        <f>IF($BY$12=1,NORMDIST(BY3742,$Y$6,$Y$8,TRUE),IF($BY$12=2,IF(BY3742&lt;=$BX$31,0,IF(BY3742&gt;=$BX$32,1,(BY3742-$BX$31)*$BX$33)),SUM($BU$42:BU3742)/$BV$40))</f>
        <v>1</v>
      </c>
      <c r="BW3742" s="16">
        <f t="shared" si="828"/>
        <v>1.898401684641361E-55</v>
      </c>
      <c r="BY3742" s="16">
        <f t="shared" si="829"/>
        <v>370.00000000001563</v>
      </c>
      <c r="BZ3742" s="16">
        <f t="shared" si="820"/>
        <v>5.1308153638953531E-58</v>
      </c>
      <c r="CA3742" s="16">
        <f t="shared" si="827"/>
        <v>-999</v>
      </c>
      <c r="CE3742" s="16" t="e">
        <f t="shared" si="821"/>
        <v>#N/A</v>
      </c>
      <c r="CF3742" s="16">
        <f t="shared" si="822"/>
        <v>99</v>
      </c>
      <c r="CG3742" s="16">
        <f t="shared" si="823"/>
        <v>0</v>
      </c>
      <c r="CH3742" s="16">
        <f t="shared" si="830"/>
        <v>0</v>
      </c>
      <c r="CJ3742" s="16" t="e">
        <f t="shared" si="824"/>
        <v>#N/A</v>
      </c>
      <c r="CK3742" s="16" t="str">
        <f t="shared" si="825"/>
        <v/>
      </c>
    </row>
    <row r="3743" spans="73:89" ht="12" customHeight="1">
      <c r="BU3743" s="16">
        <f t="shared" si="826"/>
        <v>0</v>
      </c>
      <c r="BV3743" s="16">
        <f>IF($BY$12=1,NORMDIST(BY3743,$Y$6,$Y$8,TRUE),IF($BY$12=2,IF(BY3743&lt;=$BX$31,0,IF(BY3743&gt;=$BX$32,1,(BY3743-$BX$31)*$BX$33)),SUM($BU$42:BU3743)/$BV$40))</f>
        <v>1</v>
      </c>
      <c r="BW3743" s="16">
        <f t="shared" si="828"/>
        <v>1.7528973496998046E-55</v>
      </c>
      <c r="BY3743" s="16">
        <f t="shared" si="829"/>
        <v>370.10000000001565</v>
      </c>
      <c r="BZ3743" s="16">
        <f t="shared" si="820"/>
        <v>4.7362803288293179E-58</v>
      </c>
      <c r="CA3743" s="16">
        <f t="shared" si="827"/>
        <v>-999</v>
      </c>
      <c r="CE3743" s="16" t="e">
        <f t="shared" si="821"/>
        <v>#N/A</v>
      </c>
      <c r="CF3743" s="16">
        <f t="shared" si="822"/>
        <v>99</v>
      </c>
      <c r="CG3743" s="16">
        <f t="shared" si="823"/>
        <v>0</v>
      </c>
      <c r="CH3743" s="16">
        <f t="shared" si="830"/>
        <v>0</v>
      </c>
      <c r="CJ3743" s="16" t="e">
        <f t="shared" si="824"/>
        <v>#N/A</v>
      </c>
      <c r="CK3743" s="16" t="str">
        <f t="shared" si="825"/>
        <v/>
      </c>
    </row>
    <row r="3744" spans="73:89" ht="12" customHeight="1">
      <c r="BU3744" s="16">
        <f t="shared" si="826"/>
        <v>0</v>
      </c>
      <c r="BV3744" s="16">
        <f>IF($BY$12=1,NORMDIST(BY3744,$Y$6,$Y$8,TRUE),IF($BY$12=2,IF(BY3744&lt;=$BX$31,0,IF(BY3744&gt;=$BX$32,1,(BY3744-$BX$31)*$BX$33)),SUM($BU$42:BU3744)/$BV$40))</f>
        <v>1</v>
      </c>
      <c r="BW3744" s="16">
        <f t="shared" si="828"/>
        <v>1.6185047157600446E-55</v>
      </c>
      <c r="BY3744" s="16">
        <f t="shared" si="829"/>
        <v>370.20000000001568</v>
      </c>
      <c r="BZ3744" s="16">
        <f t="shared" si="820"/>
        <v>4.3719738405185739E-58</v>
      </c>
      <c r="CA3744" s="16">
        <f t="shared" si="827"/>
        <v>-999</v>
      </c>
      <c r="CE3744" s="16" t="e">
        <f t="shared" si="821"/>
        <v>#N/A</v>
      </c>
      <c r="CF3744" s="16">
        <f t="shared" si="822"/>
        <v>99</v>
      </c>
      <c r="CG3744" s="16">
        <f t="shared" si="823"/>
        <v>0</v>
      </c>
      <c r="CH3744" s="16">
        <f t="shared" si="830"/>
        <v>0</v>
      </c>
      <c r="CJ3744" s="16" t="e">
        <f t="shared" si="824"/>
        <v>#N/A</v>
      </c>
      <c r="CK3744" s="16" t="str">
        <f t="shared" si="825"/>
        <v/>
      </c>
    </row>
    <row r="3745" spans="73:89" ht="12" customHeight="1">
      <c r="BU3745" s="16">
        <f t="shared" si="826"/>
        <v>0</v>
      </c>
      <c r="BV3745" s="16">
        <f>IF($BY$12=1,NORMDIST(BY3745,$Y$6,$Y$8,TRUE),IF($BY$12=2,IF(BY3745&lt;=$BX$31,0,IF(BY3745&gt;=$BX$32,1,(BY3745-$BX$31)*$BX$33)),SUM($BU$42:BU3745)/$BV$40))</f>
        <v>1</v>
      </c>
      <c r="BW3745" s="16">
        <f t="shared" si="828"/>
        <v>1.4943783423085681E-55</v>
      </c>
      <c r="BY3745" s="16">
        <f t="shared" si="829"/>
        <v>370.3000000000157</v>
      </c>
      <c r="BZ3745" s="16">
        <f t="shared" si="820"/>
        <v>4.0355882860073041E-58</v>
      </c>
      <c r="CA3745" s="16">
        <f t="shared" si="827"/>
        <v>-999</v>
      </c>
      <c r="CE3745" s="16" t="e">
        <f t="shared" si="821"/>
        <v>#N/A</v>
      </c>
      <c r="CF3745" s="16">
        <f t="shared" si="822"/>
        <v>99</v>
      </c>
      <c r="CG3745" s="16">
        <f t="shared" si="823"/>
        <v>0</v>
      </c>
      <c r="CH3745" s="16">
        <f t="shared" si="830"/>
        <v>0</v>
      </c>
      <c r="CJ3745" s="16" t="e">
        <f t="shared" si="824"/>
        <v>#N/A</v>
      </c>
      <c r="CK3745" s="16" t="str">
        <f t="shared" si="825"/>
        <v/>
      </c>
    </row>
    <row r="3746" spans="73:89" ht="12" customHeight="1">
      <c r="BU3746" s="16">
        <f t="shared" si="826"/>
        <v>0</v>
      </c>
      <c r="BV3746" s="16">
        <f>IF($BY$12=1,NORMDIST(BY3746,$Y$6,$Y$8,TRUE),IF($BY$12=2,IF(BY3746&lt;=$BX$31,0,IF(BY3746&gt;=$BX$32,1,(BY3746-$BX$31)*$BX$33)),SUM($BU$42:BU3746)/$BV$40))</f>
        <v>1</v>
      </c>
      <c r="BW3746" s="16">
        <f t="shared" si="828"/>
        <v>1.3797368749640682E-55</v>
      </c>
      <c r="BY3746" s="16">
        <f t="shared" si="829"/>
        <v>370.40000000001572</v>
      </c>
      <c r="BZ3746" s="16">
        <f t="shared" si="820"/>
        <v>3.7249915630777799E-58</v>
      </c>
      <c r="CA3746" s="16">
        <f t="shared" si="827"/>
        <v>-999</v>
      </c>
      <c r="CE3746" s="16" t="e">
        <f t="shared" si="821"/>
        <v>#N/A</v>
      </c>
      <c r="CF3746" s="16">
        <f t="shared" si="822"/>
        <v>99</v>
      </c>
      <c r="CG3746" s="16">
        <f t="shared" si="823"/>
        <v>0</v>
      </c>
      <c r="CH3746" s="16">
        <f t="shared" si="830"/>
        <v>0</v>
      </c>
      <c r="CJ3746" s="16" t="e">
        <f t="shared" si="824"/>
        <v>#N/A</v>
      </c>
      <c r="CK3746" s="16" t="str">
        <f t="shared" si="825"/>
        <v/>
      </c>
    </row>
    <row r="3747" spans="73:89" ht="12" customHeight="1">
      <c r="BU3747" s="16">
        <f t="shared" si="826"/>
        <v>0</v>
      </c>
      <c r="BV3747" s="16">
        <f>IF($BY$12=1,NORMDIST(BY3747,$Y$6,$Y$8,TRUE),IF($BY$12=2,IF(BY3747&lt;=$BX$31,0,IF(BY3747&gt;=$BX$32,1,(BY3747-$BX$31)*$BX$33)),SUM($BU$42:BU3747)/$BV$40))</f>
        <v>1</v>
      </c>
      <c r="BW3747" s="16">
        <f t="shared" si="828"/>
        <v>1.273858205942291E-55</v>
      </c>
      <c r="BY3747" s="16">
        <f t="shared" si="829"/>
        <v>370.50000000001575</v>
      </c>
      <c r="BZ3747" s="16">
        <f t="shared" si="820"/>
        <v>3.4382137812206122E-58</v>
      </c>
      <c r="CA3747" s="16">
        <f t="shared" si="827"/>
        <v>-999</v>
      </c>
      <c r="CE3747" s="16" t="e">
        <f t="shared" si="821"/>
        <v>#N/A</v>
      </c>
      <c r="CF3747" s="16">
        <f t="shared" si="822"/>
        <v>99</v>
      </c>
      <c r="CG3747" s="16">
        <f t="shared" si="823"/>
        <v>0</v>
      </c>
      <c r="CH3747" s="16">
        <f t="shared" si="830"/>
        <v>0</v>
      </c>
      <c r="CJ3747" s="16" t="e">
        <f t="shared" si="824"/>
        <v>#N/A</v>
      </c>
      <c r="CK3747" s="16" t="str">
        <f t="shared" si="825"/>
        <v/>
      </c>
    </row>
    <row r="3748" spans="73:89" ht="12" customHeight="1">
      <c r="BU3748" s="16">
        <f t="shared" si="826"/>
        <v>0</v>
      </c>
      <c r="BV3748" s="16">
        <f>IF($BY$12=1,NORMDIST(BY3748,$Y$6,$Y$8,TRUE),IF($BY$12=2,IF(BY3748&lt;=$BX$31,0,IF(BY3748&gt;=$BX$32,1,(BY3748-$BX$31)*$BX$33)),SUM($BU$42:BU3748)/$BV$40))</f>
        <v>1</v>
      </c>
      <c r="BW3748" s="16">
        <f t="shared" si="828"/>
        <v>1.1760749985880568E-55</v>
      </c>
      <c r="BY3748" s="16">
        <f t="shared" si="829"/>
        <v>370.60000000001577</v>
      </c>
      <c r="BZ3748" s="16">
        <f t="shared" si="820"/>
        <v>3.1734349665083833E-58</v>
      </c>
      <c r="CA3748" s="16">
        <f t="shared" si="827"/>
        <v>-999</v>
      </c>
      <c r="CE3748" s="16" t="e">
        <f t="shared" si="821"/>
        <v>#N/A</v>
      </c>
      <c r="CF3748" s="16">
        <f t="shared" si="822"/>
        <v>99</v>
      </c>
      <c r="CG3748" s="16">
        <f t="shared" si="823"/>
        <v>0</v>
      </c>
      <c r="CH3748" s="16">
        <f t="shared" si="830"/>
        <v>0</v>
      </c>
      <c r="CJ3748" s="16" t="e">
        <f t="shared" si="824"/>
        <v>#N/A</v>
      </c>
      <c r="CK3748" s="16" t="str">
        <f t="shared" si="825"/>
        <v/>
      </c>
    </row>
    <row r="3749" spans="73:89" ht="12" customHeight="1">
      <c r="BU3749" s="16">
        <f t="shared" si="826"/>
        <v>0</v>
      </c>
      <c r="BV3749" s="16">
        <f>IF($BY$12=1,NORMDIST(BY3749,$Y$6,$Y$8,TRUE),IF($BY$12=2,IF(BY3749&lt;=$BX$31,0,IF(BY3749&gt;=$BX$32,1,(BY3749-$BX$31)*$BX$33)),SUM($BU$42:BU3749)/$BV$40))</f>
        <v>1</v>
      </c>
      <c r="BW3749" s="16">
        <f t="shared" si="828"/>
        <v>1.0857705486919186E-55</v>
      </c>
      <c r="BY3749" s="16">
        <f t="shared" si="829"/>
        <v>370.70000000001579</v>
      </c>
      <c r="BZ3749" s="16">
        <f t="shared" si="820"/>
        <v>2.9289736948796122E-58</v>
      </c>
      <c r="CA3749" s="16">
        <f t="shared" si="827"/>
        <v>-999</v>
      </c>
      <c r="CE3749" s="16" t="e">
        <f t="shared" si="821"/>
        <v>#N/A</v>
      </c>
      <c r="CF3749" s="16">
        <f t="shared" si="822"/>
        <v>99</v>
      </c>
      <c r="CG3749" s="16">
        <f t="shared" si="823"/>
        <v>0</v>
      </c>
      <c r="CH3749" s="16">
        <f t="shared" si="830"/>
        <v>0</v>
      </c>
      <c r="CJ3749" s="16" t="e">
        <f t="shared" si="824"/>
        <v>#N/A</v>
      </c>
      <c r="CK3749" s="16" t="str">
        <f t="shared" si="825"/>
        <v/>
      </c>
    </row>
    <row r="3750" spans="73:89" ht="12" customHeight="1">
      <c r="BU3750" s="16">
        <f t="shared" si="826"/>
        <v>0</v>
      </c>
      <c r="BV3750" s="16">
        <f>IF($BY$12=1,NORMDIST(BY3750,$Y$6,$Y$8,TRUE),IF($BY$12=2,IF(BY3750&lt;=$BX$31,0,IF(BY3750&gt;=$BX$32,1,(BY3750-$BX$31)*$BX$33)),SUM($BU$42:BU3750)/$BV$40))</f>
        <v>1</v>
      </c>
      <c r="BW3750" s="16">
        <f t="shared" si="828"/>
        <v>1.0023749573467864E-55</v>
      </c>
      <c r="BY3750" s="16">
        <f t="shared" si="829"/>
        <v>370.80000000001581</v>
      </c>
      <c r="BZ3750" s="16">
        <f t="shared" si="820"/>
        <v>2.703276583998769E-58</v>
      </c>
      <c r="CA3750" s="16">
        <f t="shared" si="827"/>
        <v>-999</v>
      </c>
      <c r="CE3750" s="16" t="e">
        <f t="shared" si="821"/>
        <v>#N/A</v>
      </c>
      <c r="CF3750" s="16">
        <f t="shared" si="822"/>
        <v>99</v>
      </c>
      <c r="CG3750" s="16">
        <f t="shared" si="823"/>
        <v>0</v>
      </c>
      <c r="CH3750" s="16">
        <f t="shared" si="830"/>
        <v>0</v>
      </c>
      <c r="CJ3750" s="16" t="e">
        <f t="shared" si="824"/>
        <v>#N/A</v>
      </c>
      <c r="CK3750" s="16" t="str">
        <f t="shared" si="825"/>
        <v/>
      </c>
    </row>
    <row r="3751" spans="73:89" ht="12" customHeight="1">
      <c r="BU3751" s="16">
        <f t="shared" si="826"/>
        <v>0</v>
      </c>
      <c r="BV3751" s="16">
        <f>IF($BY$12=1,NORMDIST(BY3751,$Y$6,$Y$8,TRUE),IF($BY$12=2,IF(BY3751&lt;=$BX$31,0,IF(BY3751&gt;=$BX$32,1,(BY3751-$BX$31)*$BX$33)),SUM($BU$42:BU3751)/$BV$40))</f>
        <v>1</v>
      </c>
      <c r="BW3751" s="16">
        <f t="shared" si="828"/>
        <v>9.2536159198305372E-56</v>
      </c>
      <c r="BY3751" s="16">
        <f t="shared" si="829"/>
        <v>370.90000000001584</v>
      </c>
      <c r="BZ3751" s="16">
        <f t="shared" si="820"/>
        <v>2.4949085790860453E-58</v>
      </c>
      <c r="CA3751" s="16">
        <f t="shared" si="827"/>
        <v>-999</v>
      </c>
      <c r="CE3751" s="16" t="e">
        <f t="shared" si="821"/>
        <v>#N/A</v>
      </c>
      <c r="CF3751" s="16">
        <f t="shared" si="822"/>
        <v>99</v>
      </c>
      <c r="CG3751" s="16">
        <f t="shared" si="823"/>
        <v>0</v>
      </c>
      <c r="CH3751" s="16">
        <f t="shared" si="830"/>
        <v>0</v>
      </c>
      <c r="CJ3751" s="16" t="e">
        <f t="shared" si="824"/>
        <v>#N/A</v>
      </c>
      <c r="CK3751" s="16" t="str">
        <f t="shared" si="825"/>
        <v/>
      </c>
    </row>
    <row r="3752" spans="73:89" ht="12" customHeight="1">
      <c r="BU3752" s="16">
        <f t="shared" si="826"/>
        <v>0</v>
      </c>
      <c r="BV3752" s="16">
        <f>IF($BY$12=1,NORMDIST(BY3752,$Y$6,$Y$8,TRUE),IF($BY$12=2,IF(BY3752&lt;=$BX$31,0,IF(BY3752&gt;=$BX$32,1,(BY3752-$BX$31)*$BX$33)),SUM($BU$42:BU3752)/$BV$40))</f>
        <v>1</v>
      </c>
      <c r="BW3752" s="16">
        <f t="shared" si="828"/>
        <v>8.542438139670246E-56</v>
      </c>
      <c r="BY3752" s="16">
        <f t="shared" si="829"/>
        <v>371.00000000001586</v>
      </c>
      <c r="BZ3752" s="16">
        <f t="shared" si="820"/>
        <v>2.3025439729568412E-58</v>
      </c>
      <c r="CA3752" s="16">
        <f t="shared" si="827"/>
        <v>-999</v>
      </c>
      <c r="CE3752" s="16" t="e">
        <f t="shared" si="821"/>
        <v>#N/A</v>
      </c>
      <c r="CF3752" s="16">
        <f t="shared" si="822"/>
        <v>99</v>
      </c>
      <c r="CG3752" s="16">
        <f t="shared" si="823"/>
        <v>0</v>
      </c>
      <c r="CH3752" s="16">
        <f t="shared" si="830"/>
        <v>0</v>
      </c>
      <c r="CJ3752" s="16" t="e">
        <f t="shared" si="824"/>
        <v>#N/A</v>
      </c>
      <c r="CK3752" s="16" t="str">
        <f t="shared" si="825"/>
        <v/>
      </c>
    </row>
    <row r="3753" spans="73:89" ht="12" customHeight="1">
      <c r="BU3753" s="16">
        <f t="shared" si="826"/>
        <v>0</v>
      </c>
      <c r="BV3753" s="16">
        <f>IF($BY$12=1,NORMDIST(BY3753,$Y$6,$Y$8,TRUE),IF($BY$12=2,IF(BY3753&lt;=$BX$31,0,IF(BY3753&gt;=$BX$32,1,(BY3753-$BX$31)*$BX$33)),SUM($BU$42:BU3753)/$BV$40))</f>
        <v>1</v>
      </c>
      <c r="BW3753" s="16">
        <f t="shared" si="828"/>
        <v>7.8857195276184766E-56</v>
      </c>
      <c r="BY3753" s="16">
        <f t="shared" si="829"/>
        <v>371.10000000001588</v>
      </c>
      <c r="BZ3753" s="16">
        <f t="shared" si="820"/>
        <v>2.1249581049900672E-58</v>
      </c>
      <c r="CA3753" s="16">
        <f t="shared" si="827"/>
        <v>-999</v>
      </c>
      <c r="CE3753" s="16" t="e">
        <f t="shared" si="821"/>
        <v>#N/A</v>
      </c>
      <c r="CF3753" s="16">
        <f t="shared" si="822"/>
        <v>99</v>
      </c>
      <c r="CG3753" s="16">
        <f t="shared" si="823"/>
        <v>0</v>
      </c>
      <c r="CH3753" s="16">
        <f t="shared" si="830"/>
        <v>0</v>
      </c>
      <c r="CJ3753" s="16" t="e">
        <f t="shared" si="824"/>
        <v>#N/A</v>
      </c>
      <c r="CK3753" s="16" t="str">
        <f t="shared" si="825"/>
        <v/>
      </c>
    </row>
    <row r="3754" spans="73:89" ht="12" customHeight="1">
      <c r="BU3754" s="16">
        <f t="shared" si="826"/>
        <v>0</v>
      </c>
      <c r="BV3754" s="16">
        <f>IF($BY$12=1,NORMDIST(BY3754,$Y$6,$Y$8,TRUE),IF($BY$12=2,IF(BY3754&lt;=$BX$31,0,IF(BY3754&gt;=$BX$32,1,(BY3754-$BX$31)*$BX$33)),SUM($BU$42:BU3754)/$BV$40))</f>
        <v>1</v>
      </c>
      <c r="BW3754" s="16">
        <f t="shared" si="828"/>
        <v>7.2793050814470551E-56</v>
      </c>
      <c r="BY3754" s="16">
        <f t="shared" si="829"/>
        <v>371.2000000000159</v>
      </c>
      <c r="BZ3754" s="16">
        <f t="shared" ref="BZ3754:BZ3817" si="831">IF($BZ$5,IF($BY$12=1,NORMDIST(BY3754,$Y$6,$Y$8,FALSE),IF($BY$12=2,IF(AND(BY3754&gt;=$BX$31,BY3754&lt;=$BX$32),$BX$33,0),IF(BY3754&lt;=$BX$13,0,NORMDIST(LN((BY3754-$BX$13)/$BX$12),0,$BW$8,FALSE)/((BY3754-$BX$13)/$BX$12)))),-999)</f>
        <v>1.9610196878897475E-58</v>
      </c>
      <c r="CA3754" s="16">
        <f t="shared" si="827"/>
        <v>-999</v>
      </c>
      <c r="CE3754" s="16" t="e">
        <f t="shared" ref="CE3754:CE3817" si="832">IF(AND($CB$7,$CD$2,$CD$1),26+$P$23/2-CC3754*$P$23,NA())</f>
        <v>#N/A</v>
      </c>
      <c r="CF3754" s="16">
        <f t="shared" ref="CF3754:CF3817" si="833">IF(ISNA(CJ3754),99,CJ3754)</f>
        <v>99</v>
      </c>
      <c r="CG3754" s="16">
        <f t="shared" ref="CG3754:CG3817" si="834">IF(ISNA(CJ3754),0,CJ3754)</f>
        <v>0</v>
      </c>
      <c r="CH3754" s="16">
        <f t="shared" si="830"/>
        <v>0</v>
      </c>
      <c r="CJ3754" s="16" t="e">
        <f t="shared" ref="CJ3754:CJ3817" si="835">IF(CH3754=1,CE3754,NA())</f>
        <v>#N/A</v>
      </c>
      <c r="CK3754" s="16" t="str">
        <f t="shared" ref="CK3754:CK3817" si="836">IF(CH3754=1,M3653,"")</f>
        <v/>
      </c>
    </row>
    <row r="3755" spans="73:89" ht="12" customHeight="1">
      <c r="BU3755" s="16">
        <f t="shared" ref="BU3755:BU3818" si="837">IF($BY$12&lt;3,0,IF(BY3755&lt;=$BX$13,0,NORMDIST(LN((BY3755-$BX$13)/$BX$12),0,$BW$8,FALSE)/((BY3755-$BX$13)/$BX$12)))</f>
        <v>0</v>
      </c>
      <c r="BV3755" s="16">
        <f>IF($BY$12=1,NORMDIST(BY3755,$Y$6,$Y$8,TRUE),IF($BY$12=2,IF(BY3755&lt;=$BX$31,0,IF(BY3755&gt;=$BX$32,1,(BY3755-$BX$31)*$BX$33)),SUM($BU$42:BU3755)/$BV$40))</f>
        <v>1</v>
      </c>
      <c r="BW3755" s="16">
        <f t="shared" si="828"/>
        <v>6.7193556335852129E-56</v>
      </c>
      <c r="BY3755" s="16">
        <f t="shared" si="829"/>
        <v>371.30000000001593</v>
      </c>
      <c r="BZ3755" s="16">
        <f t="shared" si="831"/>
        <v>1.8096837149434216E-58</v>
      </c>
      <c r="CA3755" s="16">
        <f t="shared" ref="CA3755:CA3818" si="838">IF(AND($CD$1,$CD$3),26-$CD$40*NORMDIST(BY3755,$Y$6,$Y$8/SQRT($T$18),FALSE),-999)</f>
        <v>-999</v>
      </c>
      <c r="CE3755" s="16" t="e">
        <f t="shared" si="832"/>
        <v>#N/A</v>
      </c>
      <c r="CF3755" s="16">
        <f t="shared" si="833"/>
        <v>99</v>
      </c>
      <c r="CG3755" s="16">
        <f t="shared" si="834"/>
        <v>0</v>
      </c>
      <c r="CH3755" s="16">
        <f t="shared" si="830"/>
        <v>0</v>
      </c>
      <c r="CJ3755" s="16" t="e">
        <f t="shared" si="835"/>
        <v>#N/A</v>
      </c>
      <c r="CK3755" s="16" t="str">
        <f t="shared" si="836"/>
        <v/>
      </c>
    </row>
    <row r="3756" spans="73:89" ht="12" customHeight="1">
      <c r="BU3756" s="16">
        <f t="shared" si="837"/>
        <v>0</v>
      </c>
      <c r="BV3756" s="16">
        <f>IF($BY$12=1,NORMDIST(BY3756,$Y$6,$Y$8,TRUE),IF($BY$12=2,IF(BY3756&lt;=$BX$31,0,IF(BY3756&gt;=$BX$32,1,(BY3756-$BX$31)*$BX$33)),SUM($BU$42:BU3756)/$BV$40))</f>
        <v>1</v>
      </c>
      <c r="BW3756" s="16">
        <f t="shared" si="828"/>
        <v>6.2023239335575654E-56</v>
      </c>
      <c r="BY3756" s="16">
        <f t="shared" si="829"/>
        <v>371.40000000001595</v>
      </c>
      <c r="BZ3756" s="16">
        <f t="shared" si="831"/>
        <v>1.6699849040272749E-58</v>
      </c>
      <c r="CA3756" s="16">
        <f t="shared" si="838"/>
        <v>-999</v>
      </c>
      <c r="CE3756" s="16" t="e">
        <f t="shared" si="832"/>
        <v>#N/A</v>
      </c>
      <c r="CF3756" s="16">
        <f t="shared" si="833"/>
        <v>99</v>
      </c>
      <c r="CG3756" s="16">
        <f t="shared" si="834"/>
        <v>0</v>
      </c>
      <c r="CH3756" s="16">
        <f t="shared" si="830"/>
        <v>0</v>
      </c>
      <c r="CJ3756" s="16" t="e">
        <f t="shared" si="835"/>
        <v>#N/A</v>
      </c>
      <c r="CK3756" s="16" t="str">
        <f t="shared" si="836"/>
        <v/>
      </c>
    </row>
    <row r="3757" spans="73:89" ht="12" customHeight="1">
      <c r="BU3757" s="16">
        <f t="shared" si="837"/>
        <v>0</v>
      </c>
      <c r="BV3757" s="16">
        <f>IF($BY$12=1,NORMDIST(BY3757,$Y$6,$Y$8,TRUE),IF($BY$12=2,IF(BY3757&lt;=$BX$31,0,IF(BY3757&gt;=$BX$32,1,(BY3757-$BX$31)*$BX$33)),SUM($BU$42:BU3757)/$BV$40))</f>
        <v>1</v>
      </c>
      <c r="BW3757" s="16">
        <f t="shared" si="828"/>
        <v>5.724932534779701E-56</v>
      </c>
      <c r="BY3757" s="16">
        <f t="shared" si="829"/>
        <v>371.50000000001597</v>
      </c>
      <c r="BZ3757" s="16">
        <f t="shared" si="831"/>
        <v>1.5410316378948734E-58</v>
      </c>
      <c r="CA3757" s="16">
        <f t="shared" si="838"/>
        <v>-999</v>
      </c>
      <c r="CE3757" s="16" t="e">
        <f t="shared" si="832"/>
        <v>#N/A</v>
      </c>
      <c r="CF3757" s="16">
        <f t="shared" si="833"/>
        <v>99</v>
      </c>
      <c r="CG3757" s="16">
        <f t="shared" si="834"/>
        <v>0</v>
      </c>
      <c r="CH3757" s="16">
        <f t="shared" si="830"/>
        <v>0</v>
      </c>
      <c r="CJ3757" s="16" t="e">
        <f t="shared" si="835"/>
        <v>#N/A</v>
      </c>
      <c r="CK3757" s="16" t="str">
        <f t="shared" si="836"/>
        <v/>
      </c>
    </row>
    <row r="3758" spans="73:89" ht="12" customHeight="1">
      <c r="BU3758" s="16">
        <f t="shared" si="837"/>
        <v>0</v>
      </c>
      <c r="BV3758" s="16">
        <f>IF($BY$12=1,NORMDIST(BY3758,$Y$6,$Y$8,TRUE),IF($BY$12=2,IF(BY3758&lt;=$BX$31,0,IF(BY3758&gt;=$BX$32,1,(BY3758-$BX$31)*$BX$33)),SUM($BU$42:BU3758)/$BV$40))</f>
        <v>1</v>
      </c>
      <c r="BW3758" s="16">
        <f t="shared" si="828"/>
        <v>5.2841533501121635E-56</v>
      </c>
      <c r="BY3758" s="16">
        <f t="shared" si="829"/>
        <v>371.600000000016</v>
      </c>
      <c r="BZ3758" s="16">
        <f t="shared" si="831"/>
        <v>1.4220003633239872E-58</v>
      </c>
      <c r="CA3758" s="16">
        <f t="shared" si="838"/>
        <v>-999</v>
      </c>
      <c r="CE3758" s="16" t="e">
        <f t="shared" si="832"/>
        <v>#N/A</v>
      </c>
      <c r="CF3758" s="16">
        <f t="shared" si="833"/>
        <v>99</v>
      </c>
      <c r="CG3758" s="16">
        <f t="shared" si="834"/>
        <v>0</v>
      </c>
      <c r="CH3758" s="16">
        <f t="shared" si="830"/>
        <v>0</v>
      </c>
      <c r="CJ3758" s="16" t="e">
        <f t="shared" si="835"/>
        <v>#N/A</v>
      </c>
      <c r="CK3758" s="16" t="str">
        <f t="shared" si="836"/>
        <v/>
      </c>
    </row>
    <row r="3759" spans="73:89" ht="12" customHeight="1">
      <c r="BU3759" s="16">
        <f t="shared" si="837"/>
        <v>0</v>
      </c>
      <c r="BV3759" s="16">
        <f>IF($BY$12=1,NORMDIST(BY3759,$Y$6,$Y$8,TRUE),IF($BY$12=2,IF(BY3759&lt;=$BX$31,0,IF(BY3759&gt;=$BX$32,1,(BY3759-$BX$31)*$BX$33)),SUM($BU$42:BU3759)/$BV$40))</f>
        <v>1</v>
      </c>
      <c r="BW3759" s="16">
        <f t="shared" si="828"/>
        <v>4.8771887507232754E-56</v>
      </c>
      <c r="BY3759" s="16">
        <f t="shared" si="829"/>
        <v>371.70000000001602</v>
      </c>
      <c r="BZ3759" s="16">
        <f t="shared" si="831"/>
        <v>1.312130414507147E-58</v>
      </c>
      <c r="CA3759" s="16">
        <f t="shared" si="838"/>
        <v>-999</v>
      </c>
      <c r="CE3759" s="16" t="e">
        <f t="shared" si="832"/>
        <v>#N/A</v>
      </c>
      <c r="CF3759" s="16">
        <f t="shared" si="833"/>
        <v>99</v>
      </c>
      <c r="CG3759" s="16">
        <f t="shared" si="834"/>
        <v>0</v>
      </c>
      <c r="CH3759" s="16">
        <f t="shared" si="830"/>
        <v>0</v>
      </c>
      <c r="CJ3759" s="16" t="e">
        <f t="shared" si="835"/>
        <v>#N/A</v>
      </c>
      <c r="CK3759" s="16" t="str">
        <f t="shared" si="836"/>
        <v/>
      </c>
    </row>
    <row r="3760" spans="73:89" ht="12" customHeight="1">
      <c r="BU3760" s="16">
        <f t="shared" si="837"/>
        <v>0</v>
      </c>
      <c r="BV3760" s="16">
        <f>IF($BY$12=1,NORMDIST(BY3760,$Y$6,$Y$8,TRUE),IF($BY$12=2,IF(BY3760&lt;=$BX$31,0,IF(BY3760&gt;=$BX$32,1,(BY3760-$BX$31)*$BX$33)),SUM($BU$42:BU3760)/$BV$40))</f>
        <v>1</v>
      </c>
      <c r="BW3760" s="16">
        <f t="shared" si="828"/>
        <v>4.5014540922084223E-56</v>
      </c>
      <c r="BY3760" s="16">
        <f t="shared" si="829"/>
        <v>371.80000000001604</v>
      </c>
      <c r="BZ3760" s="16">
        <f t="shared" si="831"/>
        <v>1.2107192286735418E-58</v>
      </c>
      <c r="CA3760" s="16">
        <f t="shared" si="838"/>
        <v>-999</v>
      </c>
      <c r="CE3760" s="16" t="e">
        <f t="shared" si="832"/>
        <v>#N/A</v>
      </c>
      <c r="CF3760" s="16">
        <f t="shared" si="833"/>
        <v>99</v>
      </c>
      <c r="CG3760" s="16">
        <f t="shared" si="834"/>
        <v>0</v>
      </c>
      <c r="CH3760" s="16">
        <f t="shared" si="830"/>
        <v>0</v>
      </c>
      <c r="CJ3760" s="16" t="e">
        <f t="shared" si="835"/>
        <v>#N/A</v>
      </c>
      <c r="CK3760" s="16" t="str">
        <f t="shared" si="836"/>
        <v/>
      </c>
    </row>
    <row r="3761" spans="73:89" ht="12" customHeight="1">
      <c r="BU3761" s="16">
        <f t="shared" si="837"/>
        <v>0</v>
      </c>
      <c r="BV3761" s="16">
        <f>IF($BY$12=1,NORMDIST(BY3761,$Y$6,$Y$8,TRUE),IF($BY$12=2,IF(BY3761&lt;=$BX$31,0,IF(BY3761&gt;=$BX$32,1,(BY3761-$BX$31)*$BX$33)),SUM($BU$42:BU3761)/$BV$40))</f>
        <v>1</v>
      </c>
      <c r="BW3761" s="16">
        <f t="shared" si="828"/>
        <v>4.1545615606036915E-56</v>
      </c>
      <c r="BY3761" s="16">
        <f t="shared" si="829"/>
        <v>371.90000000001606</v>
      </c>
      <c r="BZ3761" s="16">
        <f t="shared" si="831"/>
        <v>1.1171179243354429E-58</v>
      </c>
      <c r="CA3761" s="16">
        <f t="shared" si="838"/>
        <v>-999</v>
      </c>
      <c r="CE3761" s="16" t="e">
        <f t="shared" si="832"/>
        <v>#N/A</v>
      </c>
      <c r="CF3761" s="16">
        <f t="shared" si="833"/>
        <v>99</v>
      </c>
      <c r="CG3761" s="16">
        <f t="shared" si="834"/>
        <v>0</v>
      </c>
      <c r="CH3761" s="16">
        <f t="shared" si="830"/>
        <v>0</v>
      </c>
      <c r="CJ3761" s="16" t="e">
        <f t="shared" si="835"/>
        <v>#N/A</v>
      </c>
      <c r="CK3761" s="16" t="str">
        <f t="shared" si="836"/>
        <v/>
      </c>
    </row>
    <row r="3762" spans="73:89" ht="12" customHeight="1">
      <c r="BU3762" s="16">
        <f t="shared" si="837"/>
        <v>0</v>
      </c>
      <c r="BV3762" s="16">
        <f>IF($BY$12=1,NORMDIST(BY3762,$Y$6,$Y$8,TRUE),IF($BY$12=2,IF(BY3762&lt;=$BX$31,0,IF(BY3762&gt;=$BX$32,1,(BY3762-$BX$31)*$BX$33)),SUM($BU$42:BU3762)/$BV$40))</f>
        <v>1</v>
      </c>
      <c r="BW3762" s="16">
        <f t="shared" si="828"/>
        <v>3.8343052389782681E-56</v>
      </c>
      <c r="BY3762" s="16">
        <f t="shared" si="829"/>
        <v>372.00000000001609</v>
      </c>
      <c r="BZ3762" s="16">
        <f t="shared" si="831"/>
        <v>1.0307272147790597E-58</v>
      </c>
      <c r="CA3762" s="16">
        <f t="shared" si="838"/>
        <v>-999</v>
      </c>
      <c r="CE3762" s="16" t="e">
        <f t="shared" si="832"/>
        <v>#N/A</v>
      </c>
      <c r="CF3762" s="16">
        <f t="shared" si="833"/>
        <v>99</v>
      </c>
      <c r="CG3762" s="16">
        <f t="shared" si="834"/>
        <v>0</v>
      </c>
      <c r="CH3762" s="16">
        <f t="shared" si="830"/>
        <v>0</v>
      </c>
      <c r="CJ3762" s="16" t="e">
        <f t="shared" si="835"/>
        <v>#N/A</v>
      </c>
      <c r="CK3762" s="16" t="str">
        <f t="shared" si="836"/>
        <v/>
      </c>
    </row>
    <row r="3763" spans="73:89" ht="12" customHeight="1">
      <c r="BU3763" s="16">
        <f t="shared" si="837"/>
        <v>0</v>
      </c>
      <c r="BV3763" s="16">
        <f>IF($BY$12=1,NORMDIST(BY3763,$Y$6,$Y$8,TRUE),IF($BY$12=2,IF(BY3763&lt;=$BX$31,0,IF(BY3763&gt;=$BX$32,1,(BY3763-$BX$31)*$BX$33)),SUM($BU$42:BU3763)/$BV$40))</f>
        <v>1</v>
      </c>
      <c r="BW3763" s="16">
        <f t="shared" si="828"/>
        <v>3.5386473027313262E-56</v>
      </c>
      <c r="BY3763" s="16">
        <f t="shared" si="829"/>
        <v>372.10000000001611</v>
      </c>
      <c r="BZ3763" s="16">
        <f t="shared" si="831"/>
        <v>9.5099363147841252E-59</v>
      </c>
      <c r="CA3763" s="16">
        <f t="shared" si="838"/>
        <v>-999</v>
      </c>
      <c r="CE3763" s="16" t="e">
        <f t="shared" si="832"/>
        <v>#N/A</v>
      </c>
      <c r="CF3763" s="16">
        <f t="shared" si="833"/>
        <v>99</v>
      </c>
      <c r="CG3763" s="16">
        <f t="shared" si="834"/>
        <v>0</v>
      </c>
      <c r="CH3763" s="16">
        <f t="shared" si="830"/>
        <v>0</v>
      </c>
      <c r="CJ3763" s="16" t="e">
        <f t="shared" si="835"/>
        <v>#N/A</v>
      </c>
      <c r="CK3763" s="16" t="str">
        <f t="shared" si="836"/>
        <v/>
      </c>
    </row>
    <row r="3764" spans="73:89" ht="12" customHeight="1">
      <c r="BU3764" s="16">
        <f t="shared" si="837"/>
        <v>0</v>
      </c>
      <c r="BV3764" s="16">
        <f>IF($BY$12=1,NORMDIST(BY3764,$Y$6,$Y$8,TRUE),IF($BY$12=2,IF(BY3764&lt;=$BX$31,0,IF(BY3764&gt;=$BX$32,1,(BY3764-$BX$31)*$BX$33)),SUM($BU$42:BU3764)/$BV$40))</f>
        <v>1</v>
      </c>
      <c r="BW3764" s="16">
        <f t="shared" si="828"/>
        <v>3.265705258612363E-56</v>
      </c>
      <c r="BY3764" s="16">
        <f t="shared" si="829"/>
        <v>372.20000000001613</v>
      </c>
      <c r="BZ3764" s="16">
        <f t="shared" si="831"/>
        <v>8.7740603401725452E-59</v>
      </c>
      <c r="CA3764" s="16">
        <f t="shared" si="838"/>
        <v>-999</v>
      </c>
      <c r="CE3764" s="16" t="e">
        <f t="shared" si="832"/>
        <v>#N/A</v>
      </c>
      <c r="CF3764" s="16">
        <f t="shared" si="833"/>
        <v>99</v>
      </c>
      <c r="CG3764" s="16">
        <f t="shared" si="834"/>
        <v>0</v>
      </c>
      <c r="CH3764" s="16">
        <f t="shared" si="830"/>
        <v>0</v>
      </c>
      <c r="CJ3764" s="16" t="e">
        <f t="shared" si="835"/>
        <v>#N/A</v>
      </c>
      <c r="CK3764" s="16" t="str">
        <f t="shared" si="836"/>
        <v/>
      </c>
    </row>
    <row r="3765" spans="73:89" ht="12" customHeight="1">
      <c r="BU3765" s="16">
        <f t="shared" si="837"/>
        <v>0</v>
      </c>
      <c r="BV3765" s="16">
        <f>IF($BY$12=1,NORMDIST(BY3765,$Y$6,$Y$8,TRUE),IF($BY$12=2,IF(BY3765&lt;=$BX$31,0,IF(BY3765&gt;=$BX$32,1,(BY3765-$BX$31)*$BX$33)),SUM($BU$42:BU3765)/$BV$40))</f>
        <v>1</v>
      </c>
      <c r="BW3765" s="16">
        <f t="shared" si="828"/>
        <v>3.0137401488519986E-56</v>
      </c>
      <c r="BY3765" s="16">
        <f t="shared" si="829"/>
        <v>372.30000000001615</v>
      </c>
      <c r="BZ3765" s="16">
        <f t="shared" si="831"/>
        <v>8.0949238486485845E-59</v>
      </c>
      <c r="CA3765" s="16">
        <f t="shared" si="838"/>
        <v>-999</v>
      </c>
      <c r="CE3765" s="16" t="e">
        <f t="shared" si="832"/>
        <v>#N/A</v>
      </c>
      <c r="CF3765" s="16">
        <f t="shared" si="833"/>
        <v>99</v>
      </c>
      <c r="CG3765" s="16">
        <f t="shared" si="834"/>
        <v>0</v>
      </c>
      <c r="CH3765" s="16">
        <f t="shared" si="830"/>
        <v>0</v>
      </c>
      <c r="CJ3765" s="16" t="e">
        <f t="shared" si="835"/>
        <v>#N/A</v>
      </c>
      <c r="CK3765" s="16" t="str">
        <f t="shared" si="836"/>
        <v/>
      </c>
    </row>
    <row r="3766" spans="73:89" ht="12" customHeight="1">
      <c r="BU3766" s="16">
        <f t="shared" si="837"/>
        <v>0</v>
      </c>
      <c r="BV3766" s="16">
        <f>IF($BY$12=1,NORMDIST(BY3766,$Y$6,$Y$8,TRUE),IF($BY$12=2,IF(BY3766&lt;=$BX$31,0,IF(BY3766&gt;=$BX$32,1,(BY3766-$BX$31)*$BX$33)),SUM($BU$42:BU3766)/$BV$40))</f>
        <v>1</v>
      </c>
      <c r="BW3766" s="16">
        <f t="shared" si="828"/>
        <v>2.781145647692691E-56</v>
      </c>
      <c r="BY3766" s="16">
        <f t="shared" si="829"/>
        <v>372.40000000001618</v>
      </c>
      <c r="BZ3766" s="16">
        <f t="shared" si="831"/>
        <v>7.4681676898296729E-59</v>
      </c>
      <c r="CA3766" s="16">
        <f t="shared" si="838"/>
        <v>-999</v>
      </c>
      <c r="CE3766" s="16" t="e">
        <f t="shared" si="832"/>
        <v>#N/A</v>
      </c>
      <c r="CF3766" s="16">
        <f t="shared" si="833"/>
        <v>99</v>
      </c>
      <c r="CG3766" s="16">
        <f t="shared" si="834"/>
        <v>0</v>
      </c>
      <c r="CH3766" s="16">
        <f t="shared" si="830"/>
        <v>0</v>
      </c>
      <c r="CJ3766" s="16" t="e">
        <f t="shared" si="835"/>
        <v>#N/A</v>
      </c>
      <c r="CK3766" s="16" t="str">
        <f t="shared" si="836"/>
        <v/>
      </c>
    </row>
    <row r="3767" spans="73:89" ht="12" customHeight="1">
      <c r="BU3767" s="16">
        <f t="shared" si="837"/>
        <v>0</v>
      </c>
      <c r="BV3767" s="16">
        <f>IF($BY$12=1,NORMDIST(BY3767,$Y$6,$Y$8,TRUE),IF($BY$12=2,IF(BY3767&lt;=$BX$31,0,IF(BY3767&gt;=$BX$32,1,(BY3767-$BX$31)*$BX$33)),SUM($BU$42:BU3767)/$BV$40))</f>
        <v>1</v>
      </c>
      <c r="BW3767" s="16">
        <f t="shared" si="828"/>
        <v>2.5664379830637457E-56</v>
      </c>
      <c r="BY3767" s="16">
        <f t="shared" si="829"/>
        <v>372.5000000000162</v>
      </c>
      <c r="BZ3767" s="16">
        <f t="shared" si="831"/>
        <v>6.8897663974862656E-59</v>
      </c>
      <c r="CA3767" s="16">
        <f t="shared" si="838"/>
        <v>-999</v>
      </c>
      <c r="CE3767" s="16" t="e">
        <f t="shared" si="832"/>
        <v>#N/A</v>
      </c>
      <c r="CF3767" s="16">
        <f t="shared" si="833"/>
        <v>99</v>
      </c>
      <c r="CG3767" s="16">
        <f t="shared" si="834"/>
        <v>0</v>
      </c>
      <c r="CH3767" s="16">
        <f t="shared" si="830"/>
        <v>0</v>
      </c>
      <c r="CJ3767" s="16" t="e">
        <f t="shared" si="835"/>
        <v>#N/A</v>
      </c>
      <c r="CK3767" s="16" t="str">
        <f t="shared" si="836"/>
        <v/>
      </c>
    </row>
    <row r="3768" spans="73:89" ht="12" customHeight="1">
      <c r="BU3768" s="16">
        <f t="shared" si="837"/>
        <v>0</v>
      </c>
      <c r="BV3768" s="16">
        <f>IF($BY$12=1,NORMDIST(BY3768,$Y$6,$Y$8,TRUE),IF($BY$12=2,IF(BY3768&lt;=$BX$31,0,IF(BY3768&gt;=$BX$32,1,(BY3768-$BX$31)*$BX$33)),SUM($BU$42:BU3768)/$BV$40))</f>
        <v>1</v>
      </c>
      <c r="BW3768" s="16">
        <f t="shared" si="828"/>
        <v>2.3682466211936643E-56</v>
      </c>
      <c r="BY3768" s="16">
        <f t="shared" si="829"/>
        <v>372.60000000001622</v>
      </c>
      <c r="BZ3768" s="16">
        <f t="shared" si="831"/>
        <v>6.3560027407234597E-59</v>
      </c>
      <c r="CA3768" s="16">
        <f t="shared" si="838"/>
        <v>-999</v>
      </c>
      <c r="CE3768" s="16" t="e">
        <f t="shared" si="832"/>
        <v>#N/A</v>
      </c>
      <c r="CF3768" s="16">
        <f t="shared" si="833"/>
        <v>99</v>
      </c>
      <c r="CG3768" s="16">
        <f t="shared" si="834"/>
        <v>0</v>
      </c>
      <c r="CH3768" s="16">
        <f t="shared" si="830"/>
        <v>0</v>
      </c>
      <c r="CJ3768" s="16" t="e">
        <f t="shared" si="835"/>
        <v>#N/A</v>
      </c>
      <c r="CK3768" s="16" t="str">
        <f t="shared" si="836"/>
        <v/>
      </c>
    </row>
    <row r="3769" spans="73:89" ht="12" customHeight="1">
      <c r="BU3769" s="16">
        <f t="shared" si="837"/>
        <v>0</v>
      </c>
      <c r="BV3769" s="16">
        <f>IF($BY$12=1,NORMDIST(BY3769,$Y$6,$Y$8,TRUE),IF($BY$12=2,IF(BY3769&lt;=$BX$31,0,IF(BY3769&gt;=$BX$32,1,(BY3769-$BX$31)*$BX$33)),SUM($BU$42:BU3769)/$BV$40))</f>
        <v>1</v>
      </c>
      <c r="BW3769" s="16">
        <f t="shared" si="828"/>
        <v>2.1853056566259244E-56</v>
      </c>
      <c r="BY3769" s="16">
        <f t="shared" si="829"/>
        <v>372.70000000001625</v>
      </c>
      <c r="BZ3769" s="16">
        <f t="shared" si="831"/>
        <v>5.8634442088162839E-59</v>
      </c>
      <c r="CA3769" s="16">
        <f t="shared" si="838"/>
        <v>-999</v>
      </c>
      <c r="CE3769" s="16" t="e">
        <f t="shared" si="832"/>
        <v>#N/A</v>
      </c>
      <c r="CF3769" s="16">
        <f t="shared" si="833"/>
        <v>99</v>
      </c>
      <c r="CG3769" s="16">
        <f t="shared" si="834"/>
        <v>0</v>
      </c>
      <c r="CH3769" s="16">
        <f t="shared" si="830"/>
        <v>0</v>
      </c>
      <c r="CJ3769" s="16" t="e">
        <f t="shared" si="835"/>
        <v>#N/A</v>
      </c>
      <c r="CK3769" s="16" t="str">
        <f t="shared" si="836"/>
        <v/>
      </c>
    </row>
    <row r="3770" spans="73:89" ht="12" customHeight="1">
      <c r="BU3770" s="16">
        <f t="shared" si="837"/>
        <v>0</v>
      </c>
      <c r="BV3770" s="16">
        <f>IF($BY$12=1,NORMDIST(BY3770,$Y$6,$Y$8,TRUE),IF($BY$12=2,IF(BY3770&lt;=$BX$31,0,IF(BY3770&gt;=$BX$32,1,(BY3770-$BX$31)*$BX$33)),SUM($BU$42:BU3770)/$BV$40))</f>
        <v>1</v>
      </c>
      <c r="BW3770" s="16">
        <f t="shared" si="828"/>
        <v>2.0164458544250669E-56</v>
      </c>
      <c r="BY3770" s="16">
        <f t="shared" si="829"/>
        <v>372.80000000001627</v>
      </c>
      <c r="BZ3770" s="16">
        <f t="shared" si="831"/>
        <v>5.4089212833288061E-59</v>
      </c>
      <c r="CA3770" s="16">
        <f t="shared" si="838"/>
        <v>-999</v>
      </c>
      <c r="CE3770" s="16" t="e">
        <f t="shared" si="832"/>
        <v>#N/A</v>
      </c>
      <c r="CF3770" s="16">
        <f t="shared" si="833"/>
        <v>99</v>
      </c>
      <c r="CG3770" s="16">
        <f t="shared" si="834"/>
        <v>0</v>
      </c>
      <c r="CH3770" s="16">
        <f t="shared" si="830"/>
        <v>0</v>
      </c>
      <c r="CJ3770" s="16" t="e">
        <f t="shared" si="835"/>
        <v>#N/A</v>
      </c>
      <c r="CK3770" s="16" t="str">
        <f t="shared" si="836"/>
        <v/>
      </c>
    </row>
    <row r="3771" spans="73:89" ht="12" customHeight="1">
      <c r="BU3771" s="16">
        <f t="shared" si="837"/>
        <v>0</v>
      </c>
      <c r="BV3771" s="16">
        <f>IF($BY$12=1,NORMDIST(BY3771,$Y$6,$Y$8,TRUE),IF($BY$12=2,IF(BY3771&lt;=$BX$31,0,IF(BY3771&gt;=$BX$32,1,(BY3771-$BX$31)*$BX$33)),SUM($BU$42:BU3771)/$BV$40))</f>
        <v>1</v>
      </c>
      <c r="BW3771" s="16">
        <f t="shared" ref="BW3771:BW3834" si="839">BY3771*BZ3771</f>
        <v>1.8605872953590695E-56</v>
      </c>
      <c r="BY3771" s="16">
        <f t="shared" ref="BY3771:BY3834" si="840">BY3770+$BZ$1</f>
        <v>372.90000000001629</v>
      </c>
      <c r="BZ3771" s="16">
        <f t="shared" si="831"/>
        <v>4.9895073621855412E-59</v>
      </c>
      <c r="CA3771" s="16">
        <f t="shared" si="838"/>
        <v>-999</v>
      </c>
      <c r="CE3771" s="16" t="e">
        <f t="shared" si="832"/>
        <v>#N/A</v>
      </c>
      <c r="CF3771" s="16">
        <f t="shared" si="833"/>
        <v>99</v>
      </c>
      <c r="CG3771" s="16">
        <f t="shared" si="834"/>
        <v>0</v>
      </c>
      <c r="CH3771" s="16">
        <f t="shared" si="830"/>
        <v>0</v>
      </c>
      <c r="CJ3771" s="16" t="e">
        <f t="shared" si="835"/>
        <v>#N/A</v>
      </c>
      <c r="CK3771" s="16" t="str">
        <f t="shared" si="836"/>
        <v/>
      </c>
    </row>
    <row r="3772" spans="73:89" ht="12" customHeight="1">
      <c r="BU3772" s="16">
        <f t="shared" si="837"/>
        <v>0</v>
      </c>
      <c r="BV3772" s="16">
        <f>IF($BY$12=1,NORMDIST(BY3772,$Y$6,$Y$8,TRUE),IF($BY$12=2,IF(BY3772&lt;=$BX$31,0,IF(BY3772&gt;=$BX$32,1,(BY3772-$BX$31)*$BX$33)),SUM($BU$42:BU3772)/$BV$40))</f>
        <v>1</v>
      </c>
      <c r="BW3772" s="16">
        <f t="shared" si="839"/>
        <v>1.7167325785435975E-56</v>
      </c>
      <c r="BY3772" s="16">
        <f t="shared" si="840"/>
        <v>373.00000000001631</v>
      </c>
      <c r="BZ3772" s="16">
        <f t="shared" si="831"/>
        <v>4.6025002105724459E-59</v>
      </c>
      <c r="CA3772" s="16">
        <f t="shared" si="838"/>
        <v>-999</v>
      </c>
      <c r="CE3772" s="16" t="e">
        <f t="shared" si="832"/>
        <v>#N/A</v>
      </c>
      <c r="CF3772" s="16">
        <f t="shared" si="833"/>
        <v>99</v>
      </c>
      <c r="CG3772" s="16">
        <f t="shared" si="834"/>
        <v>0</v>
      </c>
      <c r="CH3772" s="16">
        <f t="shared" si="830"/>
        <v>0</v>
      </c>
      <c r="CJ3772" s="16" t="e">
        <f t="shared" si="835"/>
        <v>#N/A</v>
      </c>
      <c r="CK3772" s="16" t="str">
        <f t="shared" si="836"/>
        <v/>
      </c>
    </row>
    <row r="3773" spans="73:89" ht="12" customHeight="1">
      <c r="BU3773" s="16">
        <f t="shared" si="837"/>
        <v>0</v>
      </c>
      <c r="BV3773" s="16">
        <f>IF($BY$12=1,NORMDIST(BY3773,$Y$6,$Y$8,TRUE),IF($BY$12=2,IF(BY3773&lt;=$BX$31,0,IF(BY3773&gt;=$BX$32,1,(BY3773-$BX$31)*$BX$33)),SUM($BU$42:BU3773)/$BV$40))</f>
        <v>1</v>
      </c>
      <c r="BW3773" s="16">
        <f t="shared" si="839"/>
        <v>1.5839605394552799E-56</v>
      </c>
      <c r="BY3773" s="16">
        <f t="shared" si="840"/>
        <v>373.10000000001634</v>
      </c>
      <c r="BZ3773" s="16">
        <f t="shared" si="831"/>
        <v>4.2454048229836789E-59</v>
      </c>
      <c r="CA3773" s="16">
        <f t="shared" si="838"/>
        <v>-999</v>
      </c>
      <c r="CE3773" s="16" t="e">
        <f t="shared" si="832"/>
        <v>#N/A</v>
      </c>
      <c r="CF3773" s="16">
        <f t="shared" si="833"/>
        <v>99</v>
      </c>
      <c r="CG3773" s="16">
        <f t="shared" si="834"/>
        <v>0</v>
      </c>
      <c r="CH3773" s="16">
        <f t="shared" si="830"/>
        <v>0</v>
      </c>
      <c r="CJ3773" s="16" t="e">
        <f t="shared" si="835"/>
        <v>#N/A</v>
      </c>
      <c r="CK3773" s="16" t="str">
        <f t="shared" si="836"/>
        <v/>
      </c>
    </row>
    <row r="3774" spans="73:89" ht="12" customHeight="1">
      <c r="BU3774" s="16">
        <f t="shared" si="837"/>
        <v>0</v>
      </c>
      <c r="BV3774" s="16">
        <f>IF($BY$12=1,NORMDIST(BY3774,$Y$6,$Y$8,TRUE),IF($BY$12=2,IF(BY3774&lt;=$BX$31,0,IF(BY3774&gt;=$BX$32,1,(BY3774-$BX$31)*$BX$33)),SUM($BU$42:BU3774)/$BV$40))</f>
        <v>1</v>
      </c>
      <c r="BW3774" s="16">
        <f t="shared" si="839"/>
        <v>1.4614204443879704E-56</v>
      </c>
      <c r="BY3774" s="16">
        <f t="shared" si="840"/>
        <v>373.20000000001636</v>
      </c>
      <c r="BZ3774" s="16">
        <f t="shared" si="831"/>
        <v>3.9159175894638436E-59</v>
      </c>
      <c r="CA3774" s="16">
        <f t="shared" si="838"/>
        <v>-999</v>
      </c>
      <c r="CE3774" s="16" t="e">
        <f t="shared" si="832"/>
        <v>#N/A</v>
      </c>
      <c r="CF3774" s="16">
        <f t="shared" si="833"/>
        <v>99</v>
      </c>
      <c r="CG3774" s="16">
        <f t="shared" si="834"/>
        <v>0</v>
      </c>
      <c r="CH3774" s="16">
        <f t="shared" si="830"/>
        <v>0</v>
      </c>
      <c r="CJ3774" s="16" t="e">
        <f t="shared" si="835"/>
        <v>#N/A</v>
      </c>
      <c r="CK3774" s="16" t="str">
        <f t="shared" si="836"/>
        <v/>
      </c>
    </row>
    <row r="3775" spans="73:89" ht="12" customHeight="1">
      <c r="BU3775" s="16">
        <f t="shared" si="837"/>
        <v>0</v>
      </c>
      <c r="BV3775" s="16">
        <f>IF($BY$12=1,NORMDIST(BY3775,$Y$6,$Y$8,TRUE),IF($BY$12=2,IF(BY3775&lt;=$BX$31,0,IF(BY3775&gt;=$BX$32,1,(BY3775-$BX$31)*$BX$33)),SUM($BU$42:BU3775)/$BV$40))</f>
        <v>1</v>
      </c>
      <c r="BW3775" s="16">
        <f t="shared" si="839"/>
        <v>1.348326625355117E-56</v>
      </c>
      <c r="BY3775" s="16">
        <f t="shared" si="840"/>
        <v>373.30000000001638</v>
      </c>
      <c r="BZ3775" s="16">
        <f t="shared" si="831"/>
        <v>3.6119116671713312E-59</v>
      </c>
      <c r="CA3775" s="16">
        <f t="shared" si="838"/>
        <v>-999</v>
      </c>
      <c r="CE3775" s="16" t="e">
        <f t="shared" si="832"/>
        <v>#N/A</v>
      </c>
      <c r="CF3775" s="16">
        <f t="shared" si="833"/>
        <v>99</v>
      </c>
      <c r="CG3775" s="16">
        <f t="shared" si="834"/>
        <v>0</v>
      </c>
      <c r="CH3775" s="16">
        <f t="shared" si="830"/>
        <v>0</v>
      </c>
      <c r="CJ3775" s="16" t="e">
        <f t="shared" si="835"/>
        <v>#N/A</v>
      </c>
      <c r="CK3775" s="16" t="str">
        <f t="shared" si="836"/>
        <v/>
      </c>
    </row>
    <row r="3776" spans="73:89" ht="12" customHeight="1">
      <c r="BU3776" s="16">
        <f t="shared" si="837"/>
        <v>0</v>
      </c>
      <c r="BV3776" s="16">
        <f>IF($BY$12=1,NORMDIST(BY3776,$Y$6,$Y$8,TRUE),IF($BY$12=2,IF(BY3776&lt;=$BX$31,0,IF(BY3776&gt;=$BX$32,1,(BY3776-$BX$31)*$BX$33)),SUM($BU$42:BU3776)/$BV$40))</f>
        <v>1</v>
      </c>
      <c r="BW3776" s="16">
        <f t="shared" si="839"/>
        <v>1.2439535221488022E-56</v>
      </c>
      <c r="BY3776" s="16">
        <f t="shared" si="840"/>
        <v>373.40000000001641</v>
      </c>
      <c r="BZ3776" s="16">
        <f t="shared" si="831"/>
        <v>3.3314234658509574E-59</v>
      </c>
      <c r="CA3776" s="16">
        <f t="shared" si="838"/>
        <v>-999</v>
      </c>
      <c r="CE3776" s="16" t="e">
        <f t="shared" si="832"/>
        <v>#N/A</v>
      </c>
      <c r="CF3776" s="16">
        <f t="shared" si="833"/>
        <v>99</v>
      </c>
      <c r="CG3776" s="16">
        <f t="shared" si="834"/>
        <v>0</v>
      </c>
      <c r="CH3776" s="16">
        <f t="shared" si="830"/>
        <v>0</v>
      </c>
      <c r="CJ3776" s="16" t="e">
        <f t="shared" si="835"/>
        <v>#N/A</v>
      </c>
      <c r="CK3776" s="16" t="str">
        <f t="shared" si="836"/>
        <v/>
      </c>
    </row>
    <row r="3777" spans="73:89" ht="12" customHeight="1">
      <c r="BU3777" s="16">
        <f t="shared" si="837"/>
        <v>0</v>
      </c>
      <c r="BV3777" s="16">
        <f>IF($BY$12=1,NORMDIST(BY3777,$Y$6,$Y$8,TRUE),IF($BY$12=2,IF(BY3777&lt;=$BX$31,0,IF(BY3777&gt;=$BX$32,1,(BY3777-$BX$31)*$BX$33)),SUM($BU$42:BU3777)/$BV$40))</f>
        <v>1</v>
      </c>
      <c r="BW3777" s="16">
        <f t="shared" si="839"/>
        <v>1.1476311007744265E-56</v>
      </c>
      <c r="BY3777" s="16">
        <f t="shared" si="840"/>
        <v>373.50000000001643</v>
      </c>
      <c r="BZ3777" s="16">
        <f t="shared" si="831"/>
        <v>3.0726401627158662E-59</v>
      </c>
      <c r="CA3777" s="16">
        <f t="shared" si="838"/>
        <v>-999</v>
      </c>
      <c r="CE3777" s="16" t="e">
        <f t="shared" si="832"/>
        <v>#N/A</v>
      </c>
      <c r="CF3777" s="16">
        <f t="shared" si="833"/>
        <v>99</v>
      </c>
      <c r="CG3777" s="16">
        <f t="shared" si="834"/>
        <v>0</v>
      </c>
      <c r="CH3777" s="16">
        <f t="shared" si="830"/>
        <v>0</v>
      </c>
      <c r="CJ3777" s="16" t="e">
        <f t="shared" si="835"/>
        <v>#N/A</v>
      </c>
      <c r="CK3777" s="16" t="str">
        <f t="shared" si="836"/>
        <v/>
      </c>
    </row>
    <row r="3778" spans="73:89" ht="12" customHeight="1">
      <c r="BU3778" s="16">
        <f t="shared" si="837"/>
        <v>0</v>
      </c>
      <c r="BV3778" s="16">
        <f>IF($BY$12=1,NORMDIST(BY3778,$Y$6,$Y$8,TRUE),IF($BY$12=2,IF(BY3778&lt;=$BX$31,0,IF(BY3778&gt;=$BX$32,1,(BY3778-$BX$31)*$BX$33)),SUM($BU$42:BU3778)/$BV$40))</f>
        <v>1</v>
      </c>
      <c r="BW3778" s="16">
        <f t="shared" si="839"/>
        <v>1.0587406197973384E-56</v>
      </c>
      <c r="BY3778" s="16">
        <f t="shared" si="840"/>
        <v>373.60000000001645</v>
      </c>
      <c r="BZ3778" s="16">
        <f t="shared" si="831"/>
        <v>2.8338881686223012E-59</v>
      </c>
      <c r="CA3778" s="16">
        <f t="shared" si="838"/>
        <v>-999</v>
      </c>
      <c r="CE3778" s="16" t="e">
        <f t="shared" si="832"/>
        <v>#N/A</v>
      </c>
      <c r="CF3778" s="16">
        <f t="shared" si="833"/>
        <v>99</v>
      </c>
      <c r="CG3778" s="16">
        <f t="shared" si="834"/>
        <v>0</v>
      </c>
      <c r="CH3778" s="16">
        <f t="shared" si="830"/>
        <v>0</v>
      </c>
      <c r="CJ3778" s="16" t="e">
        <f t="shared" si="835"/>
        <v>#N/A</v>
      </c>
      <c r="CK3778" s="16" t="str">
        <f t="shared" si="836"/>
        <v/>
      </c>
    </row>
    <row r="3779" spans="73:89" ht="12" customHeight="1">
      <c r="BU3779" s="16">
        <f t="shared" si="837"/>
        <v>0</v>
      </c>
      <c r="BV3779" s="16">
        <f>IF($BY$12=1,NORMDIST(BY3779,$Y$6,$Y$8,TRUE),IF($BY$12=2,IF(BY3779&lt;=$BX$31,0,IF(BY3779&gt;=$BX$32,1,(BY3779-$BX$31)*$BX$33)),SUM($BU$42:BU3779)/$BV$40))</f>
        <v>1</v>
      </c>
      <c r="BW3779" s="16">
        <f t="shared" si="839"/>
        <v>9.7671071828134565E-57</v>
      </c>
      <c r="BY3779" s="16">
        <f t="shared" si="840"/>
        <v>373.70000000001647</v>
      </c>
      <c r="BZ3779" s="16">
        <f t="shared" si="831"/>
        <v>2.6136224733243312E-59</v>
      </c>
      <c r="CA3779" s="16">
        <f t="shared" si="838"/>
        <v>-999</v>
      </c>
      <c r="CE3779" s="16" t="e">
        <f t="shared" si="832"/>
        <v>#N/A</v>
      </c>
      <c r="CF3779" s="16">
        <f t="shared" si="833"/>
        <v>99</v>
      </c>
      <c r="CG3779" s="16">
        <f t="shared" si="834"/>
        <v>0</v>
      </c>
      <c r="CH3779" s="16">
        <f t="shared" ref="CH3779:CH3842" si="841">IF(CB3779="",0,1)</f>
        <v>0</v>
      </c>
      <c r="CJ3779" s="16" t="e">
        <f t="shared" si="835"/>
        <v>#N/A</v>
      </c>
      <c r="CK3779" s="16" t="str">
        <f t="shared" si="836"/>
        <v/>
      </c>
    </row>
    <row r="3780" spans="73:89" ht="12" customHeight="1">
      <c r="BU3780" s="16">
        <f t="shared" si="837"/>
        <v>0</v>
      </c>
      <c r="BV3780" s="16">
        <f>IF($BY$12=1,NORMDIST(BY3780,$Y$6,$Y$8,TRUE),IF($BY$12=2,IF(BY3780&lt;=$BX$31,0,IF(BY3780&gt;=$BX$32,1,(BY3780-$BX$31)*$BX$33)),SUM($BU$42:BU3780)/$BV$40))</f>
        <v>1</v>
      </c>
      <c r="BW3780" s="16">
        <f t="shared" si="839"/>
        <v>9.0101380098383647E-57</v>
      </c>
      <c r="BY3780" s="16">
        <f t="shared" si="840"/>
        <v>373.8000000000165</v>
      </c>
      <c r="BZ3780" s="16">
        <f t="shared" si="831"/>
        <v>2.4104168030599164E-59</v>
      </c>
      <c r="CA3780" s="16">
        <f t="shared" si="838"/>
        <v>-999</v>
      </c>
      <c r="CE3780" s="16" t="e">
        <f t="shared" si="832"/>
        <v>#N/A</v>
      </c>
      <c r="CF3780" s="16">
        <f t="shared" si="833"/>
        <v>99</v>
      </c>
      <c r="CG3780" s="16">
        <f t="shared" si="834"/>
        <v>0</v>
      </c>
      <c r="CH3780" s="16">
        <f t="shared" si="841"/>
        <v>0</v>
      </c>
      <c r="CJ3780" s="16" t="e">
        <f t="shared" si="835"/>
        <v>#N/A</v>
      </c>
      <c r="CK3780" s="16" t="str">
        <f t="shared" si="836"/>
        <v/>
      </c>
    </row>
    <row r="3781" spans="73:89" ht="12" customHeight="1">
      <c r="BU3781" s="16">
        <f t="shared" si="837"/>
        <v>0</v>
      </c>
      <c r="BV3781" s="16">
        <f>IF($BY$12=1,NORMDIST(BY3781,$Y$6,$Y$8,TRUE),IF($BY$12=2,IF(BY3781&lt;=$BX$31,0,IF(BY3781&gt;=$BX$32,1,(BY3781-$BX$31)*$BX$33)),SUM($BU$42:BU3781)/$BV$40))</f>
        <v>1</v>
      </c>
      <c r="BW3781" s="16">
        <f t="shared" si="839"/>
        <v>8.3116269830555894E-57</v>
      </c>
      <c r="BY3781" s="16">
        <f t="shared" si="840"/>
        <v>373.90000000001652</v>
      </c>
      <c r="BZ3781" s="16">
        <f t="shared" si="831"/>
        <v>2.2229545287657722E-59</v>
      </c>
      <c r="CA3781" s="16">
        <f t="shared" si="838"/>
        <v>-999</v>
      </c>
      <c r="CE3781" s="16" t="e">
        <f t="shared" si="832"/>
        <v>#N/A</v>
      </c>
      <c r="CF3781" s="16">
        <f t="shared" si="833"/>
        <v>99</v>
      </c>
      <c r="CG3781" s="16">
        <f t="shared" si="834"/>
        <v>0</v>
      </c>
      <c r="CH3781" s="16">
        <f t="shared" si="841"/>
        <v>0</v>
      </c>
      <c r="CJ3781" s="16" t="e">
        <f t="shared" si="835"/>
        <v>#N/A</v>
      </c>
      <c r="CK3781" s="16" t="str">
        <f t="shared" si="836"/>
        <v/>
      </c>
    </row>
    <row r="3782" spans="73:89" ht="12" customHeight="1">
      <c r="BU3782" s="16">
        <f t="shared" si="837"/>
        <v>0</v>
      </c>
      <c r="BV3782" s="16">
        <f>IF($BY$12=1,NORMDIST(BY3782,$Y$6,$Y$8,TRUE),IF($BY$12=2,IF(BY3782&lt;=$BX$31,0,IF(BY3782&gt;=$BX$32,1,(BY3782-$BX$31)*$BX$33)),SUM($BU$42:BU3782)/$BV$40))</f>
        <v>1</v>
      </c>
      <c r="BW3782" s="16">
        <f t="shared" si="839"/>
        <v>7.6670758019056042E-57</v>
      </c>
      <c r="BY3782" s="16">
        <f t="shared" si="840"/>
        <v>374.00000000001654</v>
      </c>
      <c r="BZ3782" s="16">
        <f t="shared" si="831"/>
        <v>2.0500202678891082E-59</v>
      </c>
      <c r="CA3782" s="16">
        <f t="shared" si="838"/>
        <v>-999</v>
      </c>
      <c r="CE3782" s="16" t="e">
        <f t="shared" si="832"/>
        <v>#N/A</v>
      </c>
      <c r="CF3782" s="16">
        <f t="shared" si="833"/>
        <v>99</v>
      </c>
      <c r="CG3782" s="16">
        <f t="shared" si="834"/>
        <v>0</v>
      </c>
      <c r="CH3782" s="16">
        <f t="shared" si="841"/>
        <v>0</v>
      </c>
      <c r="CJ3782" s="16" t="e">
        <f t="shared" si="835"/>
        <v>#N/A</v>
      </c>
      <c r="CK3782" s="16" t="str">
        <f t="shared" si="836"/>
        <v/>
      </c>
    </row>
    <row r="3783" spans="73:89" ht="12" customHeight="1">
      <c r="BU3783" s="16">
        <f t="shared" si="837"/>
        <v>0</v>
      </c>
      <c r="BV3783" s="16">
        <f>IF($BY$12=1,NORMDIST(BY3783,$Y$6,$Y$8,TRUE),IF($BY$12=2,IF(BY3783&lt;=$BX$31,0,IF(BY3783&gt;=$BX$32,1,(BY3783-$BX$31)*$BX$33)),SUM($BU$42:BU3783)/$BV$40))</f>
        <v>1</v>
      </c>
      <c r="BW3783" s="16">
        <f t="shared" si="839"/>
        <v>7.0723310474126177E-57</v>
      </c>
      <c r="BY3783" s="16">
        <f t="shared" si="840"/>
        <v>374.10000000001656</v>
      </c>
      <c r="BZ3783" s="16">
        <f t="shared" si="831"/>
        <v>1.8904921270816105E-59</v>
      </c>
      <c r="CA3783" s="16">
        <f t="shared" si="838"/>
        <v>-999</v>
      </c>
      <c r="CE3783" s="16" t="e">
        <f t="shared" si="832"/>
        <v>#N/A</v>
      </c>
      <c r="CF3783" s="16">
        <f t="shared" si="833"/>
        <v>99</v>
      </c>
      <c r="CG3783" s="16">
        <f t="shared" si="834"/>
        <v>0</v>
      </c>
      <c r="CH3783" s="16">
        <f t="shared" si="841"/>
        <v>0</v>
      </c>
      <c r="CJ3783" s="16" t="e">
        <f t="shared" si="835"/>
        <v>#N/A</v>
      </c>
      <c r="CK3783" s="16" t="str">
        <f t="shared" si="836"/>
        <v/>
      </c>
    </row>
    <row r="3784" spans="73:89" ht="12" customHeight="1">
      <c r="BU3784" s="16">
        <f t="shared" si="837"/>
        <v>0</v>
      </c>
      <c r="BV3784" s="16">
        <f>IF($BY$12=1,NORMDIST(BY3784,$Y$6,$Y$8,TRUE),IF($BY$12=2,IF(BY3784&lt;=$BX$31,0,IF(BY3784&gt;=$BX$32,1,(BY3784-$BX$31)*$BX$33)),SUM($BU$42:BU3784)/$BV$40))</f>
        <v>1</v>
      </c>
      <c r="BW3784" s="16">
        <f t="shared" si="839"/>
        <v>6.5235578376391771E-57</v>
      </c>
      <c r="BY3784" s="16">
        <f t="shared" si="840"/>
        <v>374.20000000001659</v>
      </c>
      <c r="BZ3784" s="16">
        <f t="shared" si="831"/>
        <v>1.7433345370494089E-59</v>
      </c>
      <c r="CA3784" s="16">
        <f t="shared" si="838"/>
        <v>-999</v>
      </c>
      <c r="CE3784" s="16" t="e">
        <f t="shared" si="832"/>
        <v>#N/A</v>
      </c>
      <c r="CF3784" s="16">
        <f t="shared" si="833"/>
        <v>99</v>
      </c>
      <c r="CG3784" s="16">
        <f t="shared" si="834"/>
        <v>0</v>
      </c>
      <c r="CH3784" s="16">
        <f t="shared" si="841"/>
        <v>0</v>
      </c>
      <c r="CJ3784" s="16" t="e">
        <f t="shared" si="835"/>
        <v>#N/A</v>
      </c>
      <c r="CK3784" s="16" t="str">
        <f t="shared" si="836"/>
        <v/>
      </c>
    </row>
    <row r="3785" spans="73:89" ht="12" customHeight="1">
      <c r="BU3785" s="16">
        <f t="shared" si="837"/>
        <v>0</v>
      </c>
      <c r="BV3785" s="16">
        <f>IF($BY$12=1,NORMDIST(BY3785,$Y$6,$Y$8,TRUE),IF($BY$12=2,IF(BY3785&lt;=$BX$31,0,IF(BY3785&gt;=$BX$32,1,(BY3785-$BX$31)*$BX$33)),SUM($BU$42:BU3785)/$BV$40))</f>
        <v>1</v>
      </c>
      <c r="BW3785" s="16">
        <f t="shared" si="839"/>
        <v>6.0172154880362207E-57</v>
      </c>
      <c r="BY3785" s="16">
        <f t="shared" si="840"/>
        <v>374.30000000001661</v>
      </c>
      <c r="BZ3785" s="16">
        <f t="shared" si="831"/>
        <v>1.6075916345273722E-59</v>
      </c>
      <c r="CA3785" s="16">
        <f t="shared" si="838"/>
        <v>-999</v>
      </c>
      <c r="CE3785" s="16" t="e">
        <f t="shared" si="832"/>
        <v>#N/A</v>
      </c>
      <c r="CF3785" s="16">
        <f t="shared" si="833"/>
        <v>99</v>
      </c>
      <c r="CG3785" s="16">
        <f t="shared" si="834"/>
        <v>0</v>
      </c>
      <c r="CH3785" s="16">
        <f t="shared" si="841"/>
        <v>0</v>
      </c>
      <c r="CJ3785" s="16" t="e">
        <f t="shared" si="835"/>
        <v>#N/A</v>
      </c>
      <c r="CK3785" s="16" t="str">
        <f t="shared" si="836"/>
        <v/>
      </c>
    </row>
    <row r="3786" spans="73:89" ht="12" customHeight="1">
      <c r="BU3786" s="16">
        <f t="shared" si="837"/>
        <v>0</v>
      </c>
      <c r="BV3786" s="16">
        <f>IF($BY$12=1,NORMDIST(BY3786,$Y$6,$Y$8,TRUE),IF($BY$12=2,IF(BY3786&lt;=$BX$31,0,IF(BY3786&gt;=$BX$32,1,(BY3786-$BX$31)*$BX$33)),SUM($BU$42:BU3786)/$BV$40))</f>
        <v>1</v>
      </c>
      <c r="BW3786" s="16">
        <f t="shared" si="839"/>
        <v>5.5500350246819335E-57</v>
      </c>
      <c r="BY3786" s="16">
        <f t="shared" si="840"/>
        <v>374.40000000001663</v>
      </c>
      <c r="BZ3786" s="16">
        <f t="shared" si="831"/>
        <v>1.4823811497547242E-59</v>
      </c>
      <c r="CA3786" s="16">
        <f t="shared" si="838"/>
        <v>-999</v>
      </c>
      <c r="CE3786" s="16" t="e">
        <f t="shared" si="832"/>
        <v>#N/A</v>
      </c>
      <c r="CF3786" s="16">
        <f t="shared" si="833"/>
        <v>99</v>
      </c>
      <c r="CG3786" s="16">
        <f t="shared" si="834"/>
        <v>0</v>
      </c>
      <c r="CH3786" s="16">
        <f t="shared" si="841"/>
        <v>0</v>
      </c>
      <c r="CJ3786" s="16" t="e">
        <f t="shared" si="835"/>
        <v>#N/A</v>
      </c>
      <c r="CK3786" s="16" t="str">
        <f t="shared" si="836"/>
        <v/>
      </c>
    </row>
    <row r="3787" spans="73:89" ht="12" customHeight="1">
      <c r="BU3787" s="16">
        <f t="shared" si="837"/>
        <v>0</v>
      </c>
      <c r="BV3787" s="16">
        <f>IF($BY$12=1,NORMDIST(BY3787,$Y$6,$Y$8,TRUE),IF($BY$12=2,IF(BY3787&lt;=$BX$31,0,IF(BY3787&gt;=$BX$32,1,(BY3787-$BX$31)*$BX$33)),SUM($BU$42:BU3787)/$BV$40))</f>
        <v>1</v>
      </c>
      <c r="BW3787" s="16">
        <f t="shared" si="839"/>
        <v>5.1189984098868411E-57</v>
      </c>
      <c r="BY3787" s="16">
        <f t="shared" si="840"/>
        <v>374.50000000001666</v>
      </c>
      <c r="BZ3787" s="16">
        <f t="shared" si="831"/>
        <v>1.3668887609844095E-59</v>
      </c>
      <c r="CA3787" s="16">
        <f t="shared" si="838"/>
        <v>-999</v>
      </c>
      <c r="CE3787" s="16" t="e">
        <f t="shared" si="832"/>
        <v>#N/A</v>
      </c>
      <c r="CF3787" s="16">
        <f t="shared" si="833"/>
        <v>99</v>
      </c>
      <c r="CG3787" s="16">
        <f t="shared" si="834"/>
        <v>0</v>
      </c>
      <c r="CH3787" s="16">
        <f t="shared" si="841"/>
        <v>0</v>
      </c>
      <c r="CJ3787" s="16" t="e">
        <f t="shared" si="835"/>
        <v>#N/A</v>
      </c>
      <c r="CK3787" s="16" t="str">
        <f t="shared" si="836"/>
        <v/>
      </c>
    </row>
    <row r="3788" spans="73:89" ht="12" customHeight="1">
      <c r="BU3788" s="16">
        <f t="shared" si="837"/>
        <v>0</v>
      </c>
      <c r="BV3788" s="16">
        <f>IF($BY$12=1,NORMDIST(BY3788,$Y$6,$Y$8,TRUE),IF($BY$12=2,IF(BY3788&lt;=$BX$31,0,IF(BY3788&gt;=$BX$32,1,(BY3788-$BX$31)*$BX$33)),SUM($BU$42:BU3788)/$BV$40))</f>
        <v>1</v>
      </c>
      <c r="BW3788" s="16">
        <f t="shared" si="839"/>
        <v>4.7213193502607965E-57</v>
      </c>
      <c r="BY3788" s="16">
        <f t="shared" si="840"/>
        <v>374.60000000001668</v>
      </c>
      <c r="BZ3788" s="16">
        <f t="shared" si="831"/>
        <v>1.26036288047533E-59</v>
      </c>
      <c r="CA3788" s="16">
        <f t="shared" si="838"/>
        <v>-999</v>
      </c>
      <c r="CE3788" s="16" t="e">
        <f t="shared" si="832"/>
        <v>#N/A</v>
      </c>
      <c r="CF3788" s="16">
        <f t="shared" si="833"/>
        <v>99</v>
      </c>
      <c r="CG3788" s="16">
        <f t="shared" si="834"/>
        <v>0</v>
      </c>
      <c r="CH3788" s="16">
        <f t="shared" si="841"/>
        <v>0</v>
      </c>
      <c r="CJ3788" s="16" t="e">
        <f t="shared" si="835"/>
        <v>#N/A</v>
      </c>
      <c r="CK3788" s="16" t="str">
        <f t="shared" si="836"/>
        <v/>
      </c>
    </row>
    <row r="3789" spans="73:89" ht="12" customHeight="1">
      <c r="BU3789" s="16">
        <f t="shared" si="837"/>
        <v>0</v>
      </c>
      <c r="BV3789" s="16">
        <f>IF($BY$12=1,NORMDIST(BY3789,$Y$6,$Y$8,TRUE),IF($BY$12=2,IF(BY3789&lt;=$BX$31,0,IF(BY3789&gt;=$BX$32,1,(BY3789-$BX$31)*$BX$33)),SUM($BU$42:BU3789)/$BV$40))</f>
        <v>1</v>
      </c>
      <c r="BW3789" s="16">
        <f t="shared" si="839"/>
        <v>4.3544255671533444E-57</v>
      </c>
      <c r="BY3789" s="16">
        <f t="shared" si="840"/>
        <v>374.7000000000167</v>
      </c>
      <c r="BZ3789" s="16">
        <f t="shared" si="831"/>
        <v>1.1621098391121297E-59</v>
      </c>
      <c r="CA3789" s="16">
        <f t="shared" si="838"/>
        <v>-999</v>
      </c>
      <c r="CE3789" s="16" t="e">
        <f t="shared" si="832"/>
        <v>#N/A</v>
      </c>
      <c r="CF3789" s="16">
        <f t="shared" si="833"/>
        <v>99</v>
      </c>
      <c r="CG3789" s="16">
        <f t="shared" si="834"/>
        <v>0</v>
      </c>
      <c r="CH3789" s="16">
        <f t="shared" si="841"/>
        <v>0</v>
      </c>
      <c r="CJ3789" s="16" t="e">
        <f t="shared" si="835"/>
        <v>#N/A</v>
      </c>
      <c r="CK3789" s="16" t="str">
        <f t="shared" si="836"/>
        <v/>
      </c>
    </row>
    <row r="3790" spans="73:89" ht="12" customHeight="1">
      <c r="BU3790" s="16">
        <f t="shared" si="837"/>
        <v>0</v>
      </c>
      <c r="BV3790" s="16">
        <f>IF($BY$12=1,NORMDIST(BY3790,$Y$6,$Y$8,TRUE),IF($BY$12=2,IF(BY3790&lt;=$BX$31,0,IF(BY3790&gt;=$BX$32,1,(BY3790-$BX$31)*$BX$33)),SUM($BU$42:BU3790)/$BV$40))</f>
        <v>1</v>
      </c>
      <c r="BW3790" s="16">
        <f t="shared" si="839"/>
        <v>4.0159424184555995E-57</v>
      </c>
      <c r="BY3790" s="16">
        <f t="shared" si="840"/>
        <v>374.80000000001672</v>
      </c>
      <c r="BZ3790" s="16">
        <f t="shared" si="831"/>
        <v>1.0714894392890662E-59</v>
      </c>
      <c r="CA3790" s="16">
        <f t="shared" si="838"/>
        <v>-999</v>
      </c>
      <c r="CE3790" s="16" t="e">
        <f t="shared" si="832"/>
        <v>#N/A</v>
      </c>
      <c r="CF3790" s="16">
        <f t="shared" si="833"/>
        <v>99</v>
      </c>
      <c r="CG3790" s="16">
        <f t="shared" si="834"/>
        <v>0</v>
      </c>
      <c r="CH3790" s="16">
        <f t="shared" si="841"/>
        <v>0</v>
      </c>
      <c r="CJ3790" s="16" t="e">
        <f t="shared" si="835"/>
        <v>#N/A</v>
      </c>
      <c r="CK3790" s="16" t="str">
        <f t="shared" si="836"/>
        <v/>
      </c>
    </row>
    <row r="3791" spans="73:89" ht="12" customHeight="1">
      <c r="BU3791" s="16">
        <f t="shared" si="837"/>
        <v>0</v>
      </c>
      <c r="BV3791" s="16">
        <f>IF($BY$12=1,NORMDIST(BY3791,$Y$6,$Y$8,TRUE),IF($BY$12=2,IF(BY3791&lt;=$BX$31,0,IF(BY3791&gt;=$BX$32,1,(BY3791-$BX$31)*$BX$33)),SUM($BU$42:BU3791)/$BV$40))</f>
        <v>1</v>
      </c>
      <c r="BW3791" s="16">
        <f t="shared" si="839"/>
        <v>3.703677769151874E-57</v>
      </c>
      <c r="BY3791" s="16">
        <f t="shared" si="840"/>
        <v>374.90000000001675</v>
      </c>
      <c r="BZ3791" s="16">
        <f t="shared" si="831"/>
        <v>9.8791084799992219E-60</v>
      </c>
      <c r="CA3791" s="16">
        <f t="shared" si="838"/>
        <v>-999</v>
      </c>
      <c r="CE3791" s="16" t="e">
        <f t="shared" si="832"/>
        <v>#N/A</v>
      </c>
      <c r="CF3791" s="16">
        <f t="shared" si="833"/>
        <v>99</v>
      </c>
      <c r="CG3791" s="16">
        <f t="shared" si="834"/>
        <v>0</v>
      </c>
      <c r="CH3791" s="16">
        <f t="shared" si="841"/>
        <v>0</v>
      </c>
      <c r="CJ3791" s="16" t="e">
        <f t="shared" si="835"/>
        <v>#N/A</v>
      </c>
      <c r="CK3791" s="16" t="str">
        <f t="shared" si="836"/>
        <v/>
      </c>
    </row>
    <row r="3792" spans="73:89" ht="12" customHeight="1">
      <c r="BU3792" s="16">
        <f t="shared" si="837"/>
        <v>0</v>
      </c>
      <c r="BV3792" s="16">
        <f>IF($BY$12=1,NORMDIST(BY3792,$Y$6,$Y$8,TRUE),IF($BY$12=2,IF(BY3792&lt;=$BX$31,0,IF(BY3792&gt;=$BX$32,1,(BY3792-$BX$31)*$BX$33)),SUM($BU$42:BU3792)/$BV$40))</f>
        <v>1</v>
      </c>
      <c r="BW3792" s="16">
        <f t="shared" si="839"/>
        <v>3.4156080157649928E-57</v>
      </c>
      <c r="BY3792" s="16">
        <f t="shared" si="840"/>
        <v>375.00000000001677</v>
      </c>
      <c r="BZ3792" s="16">
        <f t="shared" si="831"/>
        <v>9.1082880420395735E-60</v>
      </c>
      <c r="CA3792" s="16">
        <f t="shared" si="838"/>
        <v>-999</v>
      </c>
      <c r="CE3792" s="16" t="e">
        <f t="shared" si="832"/>
        <v>#N/A</v>
      </c>
      <c r="CF3792" s="16">
        <f t="shared" si="833"/>
        <v>99</v>
      </c>
      <c r="CG3792" s="16">
        <f t="shared" si="834"/>
        <v>0</v>
      </c>
      <c r="CH3792" s="16">
        <f t="shared" si="841"/>
        <v>0</v>
      </c>
      <c r="CJ3792" s="16" t="e">
        <f t="shared" si="835"/>
        <v>#N/A</v>
      </c>
      <c r="CK3792" s="16" t="str">
        <f t="shared" si="836"/>
        <v/>
      </c>
    </row>
    <row r="3793" spans="73:89" ht="12" customHeight="1">
      <c r="BU3793" s="16">
        <f t="shared" si="837"/>
        <v>0</v>
      </c>
      <c r="BV3793" s="16">
        <f>IF($BY$12=1,NORMDIST(BY3793,$Y$6,$Y$8,TRUE),IF($BY$12=2,IF(BY3793&lt;=$BX$31,0,IF(BY3793&gt;=$BX$32,1,(BY3793-$BX$31)*$BX$33)),SUM($BU$42:BU3793)/$BV$40))</f>
        <v>1</v>
      </c>
      <c r="BW3793" s="16">
        <f t="shared" si="839"/>
        <v>3.1498651770220557E-57</v>
      </c>
      <c r="BY3793" s="16">
        <f t="shared" si="840"/>
        <v>375.10000000001679</v>
      </c>
      <c r="BZ3793" s="16">
        <f t="shared" si="831"/>
        <v>8.3974011650810838E-60</v>
      </c>
      <c r="CA3793" s="16">
        <f t="shared" si="838"/>
        <v>-999</v>
      </c>
      <c r="CE3793" s="16" t="e">
        <f t="shared" si="832"/>
        <v>#N/A</v>
      </c>
      <c r="CF3793" s="16">
        <f t="shared" si="833"/>
        <v>99</v>
      </c>
      <c r="CG3793" s="16">
        <f t="shared" si="834"/>
        <v>0</v>
      </c>
      <c r="CH3793" s="16">
        <f t="shared" si="841"/>
        <v>0</v>
      </c>
      <c r="CJ3793" s="16" t="e">
        <f t="shared" si="835"/>
        <v>#N/A</v>
      </c>
      <c r="CK3793" s="16" t="str">
        <f t="shared" si="836"/>
        <v/>
      </c>
    </row>
    <row r="3794" spans="73:89" ht="12" customHeight="1">
      <c r="BU3794" s="16">
        <f t="shared" si="837"/>
        <v>0</v>
      </c>
      <c r="BV3794" s="16">
        <f>IF($BY$12=1,NORMDIST(BY3794,$Y$6,$Y$8,TRUE),IF($BY$12=2,IF(BY3794&lt;=$BX$31,0,IF(BY3794&gt;=$BX$32,1,(BY3794-$BX$31)*$BX$33)),SUM($BU$42:BU3794)/$BV$40))</f>
        <v>1</v>
      </c>
      <c r="BW3794" s="16">
        <f t="shared" si="839"/>
        <v>2.9047249697014708E-57</v>
      </c>
      <c r="BY3794" s="16">
        <f t="shared" si="840"/>
        <v>375.20000000001681</v>
      </c>
      <c r="BZ3794" s="16">
        <f t="shared" si="831"/>
        <v>7.7418042902487755E-60</v>
      </c>
      <c r="CA3794" s="16">
        <f t="shared" si="838"/>
        <v>-999</v>
      </c>
      <c r="CE3794" s="16" t="e">
        <f t="shared" si="832"/>
        <v>#N/A</v>
      </c>
      <c r="CF3794" s="16">
        <f t="shared" si="833"/>
        <v>99</v>
      </c>
      <c r="CG3794" s="16">
        <f t="shared" si="834"/>
        <v>0</v>
      </c>
      <c r="CH3794" s="16">
        <f t="shared" si="841"/>
        <v>0</v>
      </c>
      <c r="CJ3794" s="16" t="e">
        <f t="shared" si="835"/>
        <v>#N/A</v>
      </c>
      <c r="CK3794" s="16" t="str">
        <f t="shared" si="836"/>
        <v/>
      </c>
    </row>
    <row r="3795" spans="73:89" ht="12" customHeight="1">
      <c r="BU3795" s="16">
        <f t="shared" si="837"/>
        <v>0</v>
      </c>
      <c r="BV3795" s="16">
        <f>IF($BY$12=1,NORMDIST(BY3795,$Y$6,$Y$8,TRUE),IF($BY$12=2,IF(BY3795&lt;=$BX$31,0,IF(BY3795&gt;=$BX$32,1,(BY3795-$BX$31)*$BX$33)),SUM($BU$42:BU3795)/$BV$40))</f>
        <v>1</v>
      </c>
      <c r="BW3795" s="16">
        <f t="shared" si="839"/>
        <v>2.6785957947576526E-57</v>
      </c>
      <c r="BY3795" s="16">
        <f t="shared" si="840"/>
        <v>375.30000000001684</v>
      </c>
      <c r="BZ3795" s="16">
        <f t="shared" si="831"/>
        <v>7.1372123494738401E-60</v>
      </c>
      <c r="CA3795" s="16">
        <f t="shared" si="838"/>
        <v>-999</v>
      </c>
      <c r="CE3795" s="16" t="e">
        <f t="shared" si="832"/>
        <v>#N/A</v>
      </c>
      <c r="CF3795" s="16">
        <f t="shared" si="833"/>
        <v>99</v>
      </c>
      <c r="CG3795" s="16">
        <f t="shared" si="834"/>
        <v>0</v>
      </c>
      <c r="CH3795" s="16">
        <f t="shared" si="841"/>
        <v>0</v>
      </c>
      <c r="CJ3795" s="16" t="e">
        <f t="shared" si="835"/>
        <v>#N/A</v>
      </c>
      <c r="CK3795" s="16" t="str">
        <f t="shared" si="836"/>
        <v/>
      </c>
    </row>
    <row r="3796" spans="73:89" ht="12" customHeight="1">
      <c r="BU3796" s="16">
        <f t="shared" si="837"/>
        <v>0</v>
      </c>
      <c r="BV3796" s="16">
        <f>IF($BY$12=1,NORMDIST(BY3796,$Y$6,$Y$8,TRUE),IF($BY$12=2,IF(BY3796&lt;=$BX$31,0,IF(BY3796&gt;=$BX$32,1,(BY3796-$BX$31)*$BX$33)),SUM($BU$42:BU3796)/$BV$40))</f>
        <v>1</v>
      </c>
      <c r="BW3796" s="16">
        <f t="shared" si="839"/>
        <v>2.4700085644947864E-57</v>
      </c>
      <c r="BY3796" s="16">
        <f t="shared" si="840"/>
        <v>375.40000000001686</v>
      </c>
      <c r="BZ3796" s="16">
        <f t="shared" si="831"/>
        <v>6.5796711893837923E-60</v>
      </c>
      <c r="CA3796" s="16">
        <f t="shared" si="838"/>
        <v>-999</v>
      </c>
      <c r="CE3796" s="16" t="e">
        <f t="shared" si="832"/>
        <v>#N/A</v>
      </c>
      <c r="CF3796" s="16">
        <f t="shared" si="833"/>
        <v>99</v>
      </c>
      <c r="CG3796" s="16">
        <f t="shared" si="834"/>
        <v>0</v>
      </c>
      <c r="CH3796" s="16">
        <f t="shared" si="841"/>
        <v>0</v>
      </c>
      <c r="CJ3796" s="16" t="e">
        <f t="shared" si="835"/>
        <v>#N/A</v>
      </c>
      <c r="CK3796" s="16" t="str">
        <f t="shared" si="836"/>
        <v/>
      </c>
    </row>
    <row r="3797" spans="73:89" ht="12" customHeight="1">
      <c r="BU3797" s="16">
        <f t="shared" si="837"/>
        <v>0</v>
      </c>
      <c r="BV3797" s="16">
        <f>IF($BY$12=1,NORMDIST(BY3797,$Y$6,$Y$8,TRUE),IF($BY$12=2,IF(BY3797&lt;=$BX$31,0,IF(BY3797&gt;=$BX$32,1,(BY3797-$BX$31)*$BX$33)),SUM($BU$42:BU3797)/$BV$40))</f>
        <v>1</v>
      </c>
      <c r="BW3797" s="16">
        <f t="shared" si="839"/>
        <v>2.2776073068047632E-57</v>
      </c>
      <c r="BY3797" s="16">
        <f t="shared" si="840"/>
        <v>375.50000000001688</v>
      </c>
      <c r="BZ3797" s="16">
        <f t="shared" si="831"/>
        <v>6.0655321086675389E-60</v>
      </c>
      <c r="CA3797" s="16">
        <f t="shared" si="838"/>
        <v>-999</v>
      </c>
      <c r="CE3797" s="16" t="e">
        <f t="shared" si="832"/>
        <v>#N/A</v>
      </c>
      <c r="CF3797" s="16">
        <f t="shared" si="833"/>
        <v>99</v>
      </c>
      <c r="CG3797" s="16">
        <f t="shared" si="834"/>
        <v>0</v>
      </c>
      <c r="CH3797" s="16">
        <f t="shared" si="841"/>
        <v>0</v>
      </c>
      <c r="CJ3797" s="16" t="e">
        <f t="shared" si="835"/>
        <v>#N/A</v>
      </c>
      <c r="CK3797" s="16" t="str">
        <f t="shared" si="836"/>
        <v/>
      </c>
    </row>
    <row r="3798" spans="73:89" ht="12" customHeight="1">
      <c r="BU3798" s="16">
        <f t="shared" si="837"/>
        <v>0</v>
      </c>
      <c r="BV3798" s="16">
        <f>IF($BY$12=1,NORMDIST(BY3798,$Y$6,$Y$8,TRUE),IF($BY$12=2,IF(BY3798&lt;=$BX$31,0,IF(BY3798&gt;=$BX$32,1,(BY3798-$BX$31)*$BX$33)),SUM($BU$42:BU3798)/$BV$40))</f>
        <v>1</v>
      </c>
      <c r="BW3798" s="16">
        <f t="shared" si="839"/>
        <v>2.1001404873342524E-57</v>
      </c>
      <c r="BY3798" s="16">
        <f t="shared" si="840"/>
        <v>375.60000000001691</v>
      </c>
      <c r="BZ3798" s="16">
        <f t="shared" si="831"/>
        <v>5.5914283475350313E-60</v>
      </c>
      <c r="CA3798" s="16">
        <f t="shared" si="838"/>
        <v>-999</v>
      </c>
      <c r="CE3798" s="16" t="e">
        <f t="shared" si="832"/>
        <v>#N/A</v>
      </c>
      <c r="CF3798" s="16">
        <f t="shared" si="833"/>
        <v>99</v>
      </c>
      <c r="CG3798" s="16">
        <f t="shared" si="834"/>
        <v>0</v>
      </c>
      <c r="CH3798" s="16">
        <f t="shared" si="841"/>
        <v>0</v>
      </c>
      <c r="CJ3798" s="16" t="e">
        <f t="shared" si="835"/>
        <v>#N/A</v>
      </c>
      <c r="CK3798" s="16" t="str">
        <f t="shared" si="836"/>
        <v/>
      </c>
    </row>
    <row r="3799" spans="73:89" ht="12" customHeight="1">
      <c r="BU3799" s="16">
        <f t="shared" si="837"/>
        <v>0</v>
      </c>
      <c r="BV3799" s="16">
        <f>IF($BY$12=1,NORMDIST(BY3799,$Y$6,$Y$8,TRUE),IF($BY$12=2,IF(BY3799&lt;=$BX$31,0,IF(BY3799&gt;=$BX$32,1,(BY3799-$BX$31)*$BX$33)),SUM($BU$42:BU3799)/$BV$40))</f>
        <v>1</v>
      </c>
      <c r="BW3799" s="16">
        <f t="shared" si="839"/>
        <v>1.9364529949289713E-57</v>
      </c>
      <c r="BY3799" s="16">
        <f t="shared" si="840"/>
        <v>375.70000000001693</v>
      </c>
      <c r="BZ3799" s="16">
        <f t="shared" si="831"/>
        <v>5.1542533801673786E-60</v>
      </c>
      <c r="CA3799" s="16">
        <f t="shared" si="838"/>
        <v>-999</v>
      </c>
      <c r="CE3799" s="16" t="e">
        <f t="shared" si="832"/>
        <v>#N/A</v>
      </c>
      <c r="CF3799" s="16">
        <f t="shared" si="833"/>
        <v>99</v>
      </c>
      <c r="CG3799" s="16">
        <f t="shared" si="834"/>
        <v>0</v>
      </c>
      <c r="CH3799" s="16">
        <f t="shared" si="841"/>
        <v>0</v>
      </c>
      <c r="CJ3799" s="16" t="e">
        <f t="shared" si="835"/>
        <v>#N/A</v>
      </c>
      <c r="CK3799" s="16" t="str">
        <f t="shared" si="836"/>
        <v/>
      </c>
    </row>
    <row r="3800" spans="73:89" ht="12" customHeight="1">
      <c r="BU3800" s="16">
        <f t="shared" si="837"/>
        <v>0</v>
      </c>
      <c r="BV3800" s="16">
        <f>IF($BY$12=1,NORMDIST(BY3800,$Y$6,$Y$8,TRUE),IF($BY$12=2,IF(BY3800&lt;=$BX$31,0,IF(BY3800&gt;=$BX$32,1,(BY3800-$BX$31)*$BX$33)),SUM($BU$42:BU3800)/$BV$40))</f>
        <v>1</v>
      </c>
      <c r="BW3800" s="16">
        <f t="shared" si="839"/>
        <v>1.7854787398480556E-57</v>
      </c>
      <c r="BY3800" s="16">
        <f t="shared" si="840"/>
        <v>375.80000000001695</v>
      </c>
      <c r="BZ3800" s="16">
        <f t="shared" si="831"/>
        <v>4.7511408724001468E-60</v>
      </c>
      <c r="CA3800" s="16">
        <f t="shared" si="838"/>
        <v>-999</v>
      </c>
      <c r="CE3800" s="16" t="e">
        <f t="shared" si="832"/>
        <v>#N/A</v>
      </c>
      <c r="CF3800" s="16">
        <f t="shared" si="833"/>
        <v>99</v>
      </c>
      <c r="CG3800" s="16">
        <f t="shared" si="834"/>
        <v>0</v>
      </c>
      <c r="CH3800" s="16">
        <f t="shared" si="841"/>
        <v>0</v>
      </c>
      <c r="CJ3800" s="16" t="e">
        <f t="shared" si="835"/>
        <v>#N/A</v>
      </c>
      <c r="CK3800" s="16" t="str">
        <f t="shared" si="836"/>
        <v/>
      </c>
    </row>
    <row r="3801" spans="73:89" ht="12" customHeight="1">
      <c r="BU3801" s="16">
        <f t="shared" si="837"/>
        <v>0</v>
      </c>
      <c r="BV3801" s="16">
        <f>IF($BY$12=1,NORMDIST(BY3801,$Y$6,$Y$8,TRUE),IF($BY$12=2,IF(BY3801&lt;=$BX$31,0,IF(BY3801&gt;=$BX$32,1,(BY3801-$BX$31)*$BX$33)),SUM($BU$42:BU3801)/$BV$40))</f>
        <v>1</v>
      </c>
      <c r="BW3801" s="16">
        <f t="shared" si="839"/>
        <v>1.6462338180724336E-57</v>
      </c>
      <c r="BY3801" s="16">
        <f t="shared" si="840"/>
        <v>375.90000000001697</v>
      </c>
      <c r="BZ3801" s="16">
        <f t="shared" si="831"/>
        <v>4.3794461773672765E-60</v>
      </c>
      <c r="CA3801" s="16">
        <f t="shared" si="838"/>
        <v>-999</v>
      </c>
      <c r="CE3801" s="16" t="e">
        <f t="shared" si="832"/>
        <v>#N/A</v>
      </c>
      <c r="CF3801" s="16">
        <f t="shared" si="833"/>
        <v>99</v>
      </c>
      <c r="CG3801" s="16">
        <f t="shared" si="834"/>
        <v>0</v>
      </c>
      <c r="CH3801" s="16">
        <f t="shared" si="841"/>
        <v>0</v>
      </c>
      <c r="CJ3801" s="16" t="e">
        <f t="shared" si="835"/>
        <v>#N/A</v>
      </c>
      <c r="CK3801" s="16" t="str">
        <f t="shared" si="836"/>
        <v/>
      </c>
    </row>
    <row r="3802" spans="73:89" ht="12" customHeight="1">
      <c r="BU3802" s="16">
        <f t="shared" si="837"/>
        <v>0</v>
      </c>
      <c r="BV3802" s="16">
        <f>IF($BY$12=1,NORMDIST(BY3802,$Y$6,$Y$8,TRUE),IF($BY$12=2,IF(BY3802&lt;=$BX$31,0,IF(BY3802&gt;=$BX$32,1,(BY3802-$BX$31)*$BX$33)),SUM($BU$42:BU3802)/$BV$40))</f>
        <v>1</v>
      </c>
      <c r="BW3802" s="16">
        <f t="shared" si="839"/>
        <v>1.5178101985731354E-57</v>
      </c>
      <c r="BY3802" s="16">
        <f t="shared" si="840"/>
        <v>376.000000000017</v>
      </c>
      <c r="BZ3802" s="16">
        <f t="shared" si="831"/>
        <v>4.0367292515241138E-60</v>
      </c>
      <c r="CA3802" s="16">
        <f t="shared" si="838"/>
        <v>-999</v>
      </c>
      <c r="CE3802" s="16" t="e">
        <f t="shared" si="832"/>
        <v>#N/A</v>
      </c>
      <c r="CF3802" s="16">
        <f t="shared" si="833"/>
        <v>99</v>
      </c>
      <c r="CG3802" s="16">
        <f t="shared" si="834"/>
        <v>0</v>
      </c>
      <c r="CH3802" s="16">
        <f t="shared" si="841"/>
        <v>0</v>
      </c>
      <c r="CJ3802" s="16" t="e">
        <f t="shared" si="835"/>
        <v>#N/A</v>
      </c>
      <c r="CK3802" s="16" t="str">
        <f t="shared" si="836"/>
        <v/>
      </c>
    </row>
    <row r="3803" spans="73:89" ht="12" customHeight="1">
      <c r="BU3803" s="16">
        <f t="shared" si="837"/>
        <v>0</v>
      </c>
      <c r="BV3803" s="16">
        <f>IF($BY$12=1,NORMDIST(BY3803,$Y$6,$Y$8,TRUE),IF($BY$12=2,IF(BY3803&lt;=$BX$31,0,IF(BY3803&gt;=$BX$32,1,(BY3803-$BX$31)*$BX$33)),SUM($BU$42:BU3803)/$BV$40))</f>
        <v>1</v>
      </c>
      <c r="BW3803" s="16">
        <f t="shared" si="839"/>
        <v>1.3993698936808777E-57</v>
      </c>
      <c r="BY3803" s="16">
        <f t="shared" si="840"/>
        <v>376.10000000001702</v>
      </c>
      <c r="BZ3803" s="16">
        <f t="shared" si="831"/>
        <v>3.7207388824270521E-60</v>
      </c>
      <c r="CA3803" s="16">
        <f t="shared" si="838"/>
        <v>-999</v>
      </c>
      <c r="CE3803" s="16" t="e">
        <f t="shared" si="832"/>
        <v>#N/A</v>
      </c>
      <c r="CF3803" s="16">
        <f t="shared" si="833"/>
        <v>99</v>
      </c>
      <c r="CG3803" s="16">
        <f t="shared" si="834"/>
        <v>0</v>
      </c>
      <c r="CH3803" s="16">
        <f t="shared" si="841"/>
        <v>0</v>
      </c>
      <c r="CJ3803" s="16" t="e">
        <f t="shared" si="835"/>
        <v>#N/A</v>
      </c>
      <c r="CK3803" s="16" t="str">
        <f t="shared" si="836"/>
        <v/>
      </c>
    </row>
    <row r="3804" spans="73:89" ht="12" customHeight="1">
      <c r="BU3804" s="16">
        <f t="shared" si="837"/>
        <v>0</v>
      </c>
      <c r="BV3804" s="16">
        <f>IF($BY$12=1,NORMDIST(BY3804,$Y$6,$Y$8,TRUE),IF($BY$12=2,IF(BY3804&lt;=$BX$31,0,IF(BY3804&gt;=$BX$32,1,(BY3804-$BX$31)*$BX$33)),SUM($BU$42:BU3804)/$BV$40))</f>
        <v>1</v>
      </c>
      <c r="BW3804" s="16">
        <f t="shared" si="839"/>
        <v>1.2901395757224356E-57</v>
      </c>
      <c r="BY3804" s="16">
        <f t="shared" si="840"/>
        <v>376.20000000001704</v>
      </c>
      <c r="BZ3804" s="16">
        <f t="shared" si="831"/>
        <v>3.4293981279170044E-60</v>
      </c>
      <c r="CA3804" s="16">
        <f t="shared" si="838"/>
        <v>-999</v>
      </c>
      <c r="CE3804" s="16" t="e">
        <f t="shared" si="832"/>
        <v>#N/A</v>
      </c>
      <c r="CF3804" s="16">
        <f t="shared" si="833"/>
        <v>99</v>
      </c>
      <c r="CG3804" s="16">
        <f t="shared" si="834"/>
        <v>0</v>
      </c>
      <c r="CH3804" s="16">
        <f t="shared" si="841"/>
        <v>0</v>
      </c>
      <c r="CJ3804" s="16" t="e">
        <f t="shared" si="835"/>
        <v>#N/A</v>
      </c>
      <c r="CK3804" s="16" t="str">
        <f t="shared" si="836"/>
        <v/>
      </c>
    </row>
    <row r="3805" spans="73:89" ht="12" customHeight="1">
      <c r="BU3805" s="16">
        <f t="shared" si="837"/>
        <v>0</v>
      </c>
      <c r="BV3805" s="16">
        <f>IF($BY$12=1,NORMDIST(BY3805,$Y$6,$Y$8,TRUE),IF($BY$12=2,IF(BY3805&lt;=$BX$31,0,IF(BY3805&gt;=$BX$32,1,(BY3805-$BX$31)*$BX$33)),SUM($BU$42:BU3805)/$BV$40))</f>
        <v>1</v>
      </c>
      <c r="BW3805" s="16">
        <f t="shared" si="839"/>
        <v>1.1894056058898503E-57</v>
      </c>
      <c r="BY3805" s="16">
        <f t="shared" si="840"/>
        <v>376.30000000001706</v>
      </c>
      <c r="BZ3805" s="16">
        <f t="shared" si="831"/>
        <v>3.160790874009557E-60</v>
      </c>
      <c r="CA3805" s="16">
        <f t="shared" si="838"/>
        <v>-999</v>
      </c>
      <c r="CE3805" s="16" t="e">
        <f t="shared" si="832"/>
        <v>#N/A</v>
      </c>
      <c r="CF3805" s="16">
        <f t="shared" si="833"/>
        <v>99</v>
      </c>
      <c r="CG3805" s="16">
        <f t="shared" si="834"/>
        <v>0</v>
      </c>
      <c r="CH3805" s="16">
        <f t="shared" si="841"/>
        <v>0</v>
      </c>
      <c r="CJ3805" s="16" t="e">
        <f t="shared" si="835"/>
        <v>#N/A</v>
      </c>
      <c r="CK3805" s="16" t="str">
        <f t="shared" si="836"/>
        <v/>
      </c>
    </row>
    <row r="3806" spans="73:89" ht="12" customHeight="1">
      <c r="BU3806" s="16">
        <f t="shared" si="837"/>
        <v>0</v>
      </c>
      <c r="BV3806" s="16">
        <f>IF($BY$12=1,NORMDIST(BY3806,$Y$6,$Y$8,TRUE),IF($BY$12=2,IF(BY3806&lt;=$BX$31,0,IF(BY3806&gt;=$BX$32,1,(BY3806-$BX$31)*$BX$33)),SUM($BU$42:BU3806)/$BV$40))</f>
        <v>1</v>
      </c>
      <c r="BW3806" s="16">
        <f t="shared" si="839"/>
        <v>1.0965094438919321E-57</v>
      </c>
      <c r="BY3806" s="16">
        <f t="shared" si="840"/>
        <v>376.40000000001709</v>
      </c>
      <c r="BZ3806" s="16">
        <f t="shared" si="831"/>
        <v>2.9131494258551602E-60</v>
      </c>
      <c r="CA3806" s="16">
        <f t="shared" si="838"/>
        <v>-999</v>
      </c>
      <c r="CE3806" s="16" t="e">
        <f t="shared" si="832"/>
        <v>#N/A</v>
      </c>
      <c r="CF3806" s="16">
        <f t="shared" si="833"/>
        <v>99</v>
      </c>
      <c r="CG3806" s="16">
        <f t="shared" si="834"/>
        <v>0</v>
      </c>
      <c r="CH3806" s="16">
        <f t="shared" si="841"/>
        <v>0</v>
      </c>
      <c r="CJ3806" s="16" t="e">
        <f t="shared" si="835"/>
        <v>#N/A</v>
      </c>
      <c r="CK3806" s="16" t="str">
        <f t="shared" si="836"/>
        <v/>
      </c>
    </row>
    <row r="3807" spans="73:89" ht="12" customHeight="1">
      <c r="BU3807" s="16">
        <f t="shared" si="837"/>
        <v>0</v>
      </c>
      <c r="BV3807" s="16">
        <f>IF($BY$12=1,NORMDIST(BY3807,$Y$6,$Y$8,TRUE),IF($BY$12=2,IF(BY3807&lt;=$BX$31,0,IF(BY3807&gt;=$BX$32,1,(BY3807-$BX$31)*$BX$33)),SUM($BU$42:BU3807)/$BV$40))</f>
        <v>1</v>
      </c>
      <c r="BW3807" s="16">
        <f t="shared" si="839"/>
        <v>1.010843409329801E-57</v>
      </c>
      <c r="BY3807" s="16">
        <f t="shared" si="840"/>
        <v>376.50000000001711</v>
      </c>
      <c r="BZ3807" s="16">
        <f t="shared" si="831"/>
        <v>2.684843052668672E-60</v>
      </c>
      <c r="CA3807" s="16">
        <f t="shared" si="838"/>
        <v>-999</v>
      </c>
      <c r="CE3807" s="16" t="e">
        <f t="shared" si="832"/>
        <v>#N/A</v>
      </c>
      <c r="CF3807" s="16">
        <f t="shared" si="833"/>
        <v>99</v>
      </c>
      <c r="CG3807" s="16">
        <f t="shared" si="834"/>
        <v>0</v>
      </c>
      <c r="CH3807" s="16">
        <f t="shared" si="841"/>
        <v>0</v>
      </c>
      <c r="CJ3807" s="16" t="e">
        <f t="shared" si="835"/>
        <v>#N/A</v>
      </c>
      <c r="CK3807" s="16" t="str">
        <f t="shared" si="836"/>
        <v/>
      </c>
    </row>
    <row r="3808" spans="73:89" ht="12" customHeight="1">
      <c r="BU3808" s="16">
        <f t="shared" si="837"/>
        <v>0</v>
      </c>
      <c r="BV3808" s="16">
        <f>IF($BY$12=1,NORMDIST(BY3808,$Y$6,$Y$8,TRUE),IF($BY$12=2,IF(BY3808&lt;=$BX$31,0,IF(BY3808&gt;=$BX$32,1,(BY3808-$BX$31)*$BX$33)),SUM($BU$42:BU3808)/$BV$40))</f>
        <v>1</v>
      </c>
      <c r="BW3808" s="16">
        <f t="shared" si="839"/>
        <v>9.3184676794586044E-58</v>
      </c>
      <c r="BY3808" s="16">
        <f t="shared" si="840"/>
        <v>376.60000000001713</v>
      </c>
      <c r="BZ3808" s="16">
        <f t="shared" si="831"/>
        <v>2.4743674135576689E-60</v>
      </c>
      <c r="CA3808" s="16">
        <f t="shared" si="838"/>
        <v>-999</v>
      </c>
      <c r="CE3808" s="16" t="e">
        <f t="shared" si="832"/>
        <v>#N/A</v>
      </c>
      <c r="CF3808" s="16">
        <f t="shared" si="833"/>
        <v>99</v>
      </c>
      <c r="CG3808" s="16">
        <f t="shared" si="834"/>
        <v>0</v>
      </c>
      <c r="CH3808" s="16">
        <f t="shared" si="841"/>
        <v>0</v>
      </c>
      <c r="CJ3808" s="16" t="e">
        <f t="shared" si="835"/>
        <v>#N/A</v>
      </c>
      <c r="CK3808" s="16" t="str">
        <f t="shared" si="836"/>
        <v/>
      </c>
    </row>
    <row r="3809" spans="73:89" ht="12" customHeight="1">
      <c r="BU3809" s="16">
        <f t="shared" si="837"/>
        <v>0</v>
      </c>
      <c r="BV3809" s="16">
        <f>IF($BY$12=1,NORMDIST(BY3809,$Y$6,$Y$8,TRUE),IF($BY$12=2,IF(BY3809&lt;=$BX$31,0,IF(BY3809&gt;=$BX$32,1,(BY3809-$BX$31)*$BX$33)),SUM($BU$42:BU3809)/$BV$40))</f>
        <v>1</v>
      </c>
      <c r="BW3809" s="16">
        <f t="shared" si="839"/>
        <v>8.5900211793914154E-58</v>
      </c>
      <c r="BY3809" s="16">
        <f t="shared" si="840"/>
        <v>376.70000000001716</v>
      </c>
      <c r="BZ3809" s="16">
        <f t="shared" si="831"/>
        <v>2.2803347967589658E-60</v>
      </c>
      <c r="CA3809" s="16">
        <f t="shared" si="838"/>
        <v>-999</v>
      </c>
      <c r="CE3809" s="16" t="e">
        <f t="shared" si="832"/>
        <v>#N/A</v>
      </c>
      <c r="CF3809" s="16">
        <f t="shared" si="833"/>
        <v>99</v>
      </c>
      <c r="CG3809" s="16">
        <f t="shared" si="834"/>
        <v>0</v>
      </c>
      <c r="CH3809" s="16">
        <f t="shared" si="841"/>
        <v>0</v>
      </c>
      <c r="CJ3809" s="16" t="e">
        <f t="shared" si="835"/>
        <v>#N/A</v>
      </c>
      <c r="CK3809" s="16" t="str">
        <f t="shared" si="836"/>
        <v/>
      </c>
    </row>
    <row r="3810" spans="73:89" ht="12" customHeight="1">
      <c r="BU3810" s="16">
        <f t="shared" si="837"/>
        <v>0</v>
      </c>
      <c r="BV3810" s="16">
        <f>IF($BY$12=1,NORMDIST(BY3810,$Y$6,$Y$8,TRUE),IF($BY$12=2,IF(BY3810&lt;=$BX$31,0,IF(BY3810&gt;=$BX$32,1,(BY3810-$BX$31)*$BX$33)),SUM($BU$42:BU3810)/$BV$40))</f>
        <v>1</v>
      </c>
      <c r="BW3810" s="16">
        <f t="shared" si="839"/>
        <v>7.9183205342561038E-58</v>
      </c>
      <c r="BY3810" s="16">
        <f t="shared" si="840"/>
        <v>376.80000000001718</v>
      </c>
      <c r="BZ3810" s="16">
        <f t="shared" si="831"/>
        <v>2.1014651099404837E-60</v>
      </c>
      <c r="CA3810" s="16">
        <f t="shared" si="838"/>
        <v>-999</v>
      </c>
      <c r="CE3810" s="16" t="e">
        <f t="shared" si="832"/>
        <v>#N/A</v>
      </c>
      <c r="CF3810" s="16">
        <f t="shared" si="833"/>
        <v>99</v>
      </c>
      <c r="CG3810" s="16">
        <f t="shared" si="834"/>
        <v>0</v>
      </c>
      <c r="CH3810" s="16">
        <f t="shared" si="841"/>
        <v>0</v>
      </c>
      <c r="CJ3810" s="16" t="e">
        <f t="shared" si="835"/>
        <v>#N/A</v>
      </c>
      <c r="CK3810" s="16" t="str">
        <f t="shared" si="836"/>
        <v/>
      </c>
    </row>
    <row r="3811" spans="73:89" ht="12" customHeight="1">
      <c r="BU3811" s="16">
        <f t="shared" si="837"/>
        <v>0</v>
      </c>
      <c r="BV3811" s="16">
        <f>IF($BY$12=1,NORMDIST(BY3811,$Y$6,$Y$8,TRUE),IF($BY$12=2,IF(BY3811&lt;=$BX$31,0,IF(BY3811&gt;=$BX$32,1,(BY3811-$BX$31)*$BX$33)),SUM($BU$42:BU3811)/$BV$40))</f>
        <v>1</v>
      </c>
      <c r="BW3811" s="16">
        <f t="shared" si="839"/>
        <v>7.2989608386749897E-58</v>
      </c>
      <c r="BY3811" s="16">
        <f t="shared" si="840"/>
        <v>376.9000000000172</v>
      </c>
      <c r="BZ3811" s="16">
        <f t="shared" si="831"/>
        <v>1.9365775639890308E-60</v>
      </c>
      <c r="CA3811" s="16">
        <f t="shared" si="838"/>
        <v>-999</v>
      </c>
      <c r="CE3811" s="16" t="e">
        <f t="shared" si="832"/>
        <v>#N/A</v>
      </c>
      <c r="CF3811" s="16">
        <f t="shared" si="833"/>
        <v>99</v>
      </c>
      <c r="CG3811" s="16">
        <f t="shared" si="834"/>
        <v>0</v>
      </c>
      <c r="CH3811" s="16">
        <f t="shared" si="841"/>
        <v>0</v>
      </c>
      <c r="CJ3811" s="16" t="e">
        <f t="shared" si="835"/>
        <v>#N/A</v>
      </c>
      <c r="CK3811" s="16" t="str">
        <f t="shared" si="836"/>
        <v/>
      </c>
    </row>
    <row r="3812" spans="73:89" ht="12" customHeight="1">
      <c r="BU3812" s="16">
        <f t="shared" si="837"/>
        <v>0</v>
      </c>
      <c r="BV3812" s="16">
        <f>IF($BY$12=1,NORMDIST(BY3812,$Y$6,$Y$8,TRUE),IF($BY$12=2,IF(BY3812&lt;=$BX$31,0,IF(BY3812&gt;=$BX$32,1,(BY3812-$BX$31)*$BX$33)),SUM($BU$42:BU3812)/$BV$40))</f>
        <v>1</v>
      </c>
      <c r="BW3812" s="16">
        <f t="shared" si="839"/>
        <v>6.7278778990717559E-58</v>
      </c>
      <c r="BY3812" s="16">
        <f t="shared" si="840"/>
        <v>377.00000000001722</v>
      </c>
      <c r="BZ3812" s="16">
        <f t="shared" si="831"/>
        <v>1.78458299710118E-60</v>
      </c>
      <c r="CA3812" s="16">
        <f t="shared" si="838"/>
        <v>-999</v>
      </c>
      <c r="CE3812" s="16" t="e">
        <f t="shared" si="832"/>
        <v>#N/A</v>
      </c>
      <c r="CF3812" s="16">
        <f t="shared" si="833"/>
        <v>99</v>
      </c>
      <c r="CG3812" s="16">
        <f t="shared" si="834"/>
        <v>0</v>
      </c>
      <c r="CH3812" s="16">
        <f t="shared" si="841"/>
        <v>0</v>
      </c>
      <c r="CJ3812" s="16" t="e">
        <f t="shared" si="835"/>
        <v>#N/A</v>
      </c>
      <c r="CK3812" s="16" t="str">
        <f t="shared" si="836"/>
        <v/>
      </c>
    </row>
    <row r="3813" spans="73:89" ht="12" customHeight="1">
      <c r="BU3813" s="16">
        <f t="shared" si="837"/>
        <v>0</v>
      </c>
      <c r="BV3813" s="16">
        <f>IF($BY$12=1,NORMDIST(BY3813,$Y$6,$Y$8,TRUE),IF($BY$12=2,IF(BY3813&lt;=$BX$31,0,IF(BY3813&gt;=$BX$32,1,(BY3813-$BX$31)*$BX$33)),SUM($BU$42:BU3813)/$BV$40))</f>
        <v>1</v>
      </c>
      <c r="BW3813" s="16">
        <f t="shared" si="839"/>
        <v>6.2013219753072531E-58</v>
      </c>
      <c r="BY3813" s="16">
        <f t="shared" si="840"/>
        <v>377.10000000001725</v>
      </c>
      <c r="BZ3813" s="16">
        <f t="shared" si="831"/>
        <v>1.6444767900575363E-60</v>
      </c>
      <c r="CA3813" s="16">
        <f t="shared" si="838"/>
        <v>-999</v>
      </c>
      <c r="CE3813" s="16" t="e">
        <f t="shared" si="832"/>
        <v>#N/A</v>
      </c>
      <c r="CF3813" s="16">
        <f t="shared" si="833"/>
        <v>99</v>
      </c>
      <c r="CG3813" s="16">
        <f t="shared" si="834"/>
        <v>0</v>
      </c>
      <c r="CH3813" s="16">
        <f t="shared" si="841"/>
        <v>0</v>
      </c>
      <c r="CJ3813" s="16" t="e">
        <f t="shared" si="835"/>
        <v>#N/A</v>
      </c>
      <c r="CK3813" s="16" t="str">
        <f t="shared" si="836"/>
        <v/>
      </c>
    </row>
    <row r="3814" spans="73:89" ht="12" customHeight="1">
      <c r="BU3814" s="16">
        <f t="shared" si="837"/>
        <v>0</v>
      </c>
      <c r="BV3814" s="16">
        <f>IF($BY$12=1,NORMDIST(BY3814,$Y$6,$Y$8,TRUE),IF($BY$12=2,IF(BY3814&lt;=$BX$31,0,IF(BY3814&gt;=$BX$32,1,(BY3814-$BX$31)*$BX$33)),SUM($BU$42:BU3814)/$BV$40))</f>
        <v>1</v>
      </c>
      <c r="BW3814" s="16">
        <f t="shared" si="839"/>
        <v>5.7158335386344577E-58</v>
      </c>
      <c r="BY3814" s="16">
        <f t="shared" si="840"/>
        <v>377.20000000001727</v>
      </c>
      <c r="BZ3814" s="16">
        <f t="shared" si="831"/>
        <v>1.5153323273155345E-60</v>
      </c>
      <c r="CA3814" s="16">
        <f t="shared" si="838"/>
        <v>-999</v>
      </c>
      <c r="CE3814" s="16" t="e">
        <f t="shared" si="832"/>
        <v>#N/A</v>
      </c>
      <c r="CF3814" s="16">
        <f t="shared" si="833"/>
        <v>99</v>
      </c>
      <c r="CG3814" s="16">
        <f t="shared" si="834"/>
        <v>0</v>
      </c>
      <c r="CH3814" s="16">
        <f t="shared" si="841"/>
        <v>0</v>
      </c>
      <c r="CJ3814" s="16" t="e">
        <f t="shared" si="835"/>
        <v>#N/A</v>
      </c>
      <c r="CK3814" s="16" t="str">
        <f t="shared" si="836"/>
        <v/>
      </c>
    </row>
    <row r="3815" spans="73:89" ht="12" customHeight="1">
      <c r="BU3815" s="16">
        <f t="shared" si="837"/>
        <v>0</v>
      </c>
      <c r="BV3815" s="16">
        <f>IF($BY$12=1,NORMDIST(BY3815,$Y$6,$Y$8,TRUE),IF($BY$12=2,IF(BY3815&lt;=$BX$31,0,IF(BY3815&gt;=$BX$32,1,(BY3815-$BX$31)*$BX$33)),SUM($BU$42:BU3815)/$BV$40))</f>
        <v>1</v>
      </c>
      <c r="BW3815" s="16">
        <f t="shared" si="839"/>
        <v>5.2682208917187856E-58</v>
      </c>
      <c r="BY3815" s="16">
        <f t="shared" si="840"/>
        <v>377.30000000001729</v>
      </c>
      <c r="BZ3815" s="16">
        <f t="shared" si="831"/>
        <v>1.3962949620245279E-60</v>
      </c>
      <c r="CA3815" s="16">
        <f t="shared" si="838"/>
        <v>-999</v>
      </c>
      <c r="CE3815" s="16" t="e">
        <f t="shared" si="832"/>
        <v>#N/A</v>
      </c>
      <c r="CF3815" s="16">
        <f t="shared" si="833"/>
        <v>99</v>
      </c>
      <c r="CG3815" s="16">
        <f t="shared" si="834"/>
        <v>0</v>
      </c>
      <c r="CH3815" s="16">
        <f t="shared" si="841"/>
        <v>0</v>
      </c>
      <c r="CJ3815" s="16" t="e">
        <f t="shared" si="835"/>
        <v>#N/A</v>
      </c>
      <c r="CK3815" s="16" t="str">
        <f t="shared" si="836"/>
        <v/>
      </c>
    </row>
    <row r="3816" spans="73:89" ht="12" customHeight="1">
      <c r="BU3816" s="16">
        <f t="shared" si="837"/>
        <v>0</v>
      </c>
      <c r="BV3816" s="16">
        <f>IF($BY$12=1,NORMDIST(BY3816,$Y$6,$Y$8,TRUE),IF($BY$12=2,IF(BY3816&lt;=$BX$31,0,IF(BY3816&gt;=$BX$32,1,(BY3816-$BX$31)*$BX$33)),SUM($BU$42:BU3816)/$BV$40))</f>
        <v>1</v>
      </c>
      <c r="BW3816" s="16">
        <f t="shared" si="839"/>
        <v>4.8555395082186067E-58</v>
      </c>
      <c r="BY3816" s="16">
        <f t="shared" si="840"/>
        <v>377.40000000001731</v>
      </c>
      <c r="BZ3816" s="16">
        <f t="shared" si="831"/>
        <v>1.2865764462687822E-60</v>
      </c>
      <c r="CA3816" s="16">
        <f t="shared" si="838"/>
        <v>-999</v>
      </c>
      <c r="CE3816" s="16" t="e">
        <f t="shared" si="832"/>
        <v>#N/A</v>
      </c>
      <c r="CF3816" s="16">
        <f t="shared" si="833"/>
        <v>99</v>
      </c>
      <c r="CG3816" s="16">
        <f t="shared" si="834"/>
        <v>0</v>
      </c>
      <c r="CH3816" s="16">
        <f t="shared" si="841"/>
        <v>0</v>
      </c>
      <c r="CJ3816" s="16" t="e">
        <f t="shared" si="835"/>
        <v>#N/A</v>
      </c>
      <c r="CK3816" s="16" t="str">
        <f t="shared" si="836"/>
        <v/>
      </c>
    </row>
    <row r="3817" spans="73:89" ht="12" customHeight="1">
      <c r="BU3817" s="16">
        <f t="shared" si="837"/>
        <v>0</v>
      </c>
      <c r="BV3817" s="16">
        <f>IF($BY$12=1,NORMDIST(BY3817,$Y$6,$Y$8,TRUE),IF($BY$12=2,IF(BY3817&lt;=$BX$31,0,IF(BY3817&gt;=$BX$32,1,(BY3817-$BX$31)*$BX$33)),SUM($BU$42:BU3817)/$BV$40))</f>
        <v>1</v>
      </c>
      <c r="BW3817" s="16">
        <f t="shared" si="839"/>
        <v>4.4750729602971579E-58</v>
      </c>
      <c r="BY3817" s="16">
        <f t="shared" si="840"/>
        <v>377.50000000001734</v>
      </c>
      <c r="BZ3817" s="16">
        <f t="shared" si="831"/>
        <v>1.1854497908071396E-60</v>
      </c>
      <c r="CA3817" s="16">
        <f t="shared" si="838"/>
        <v>-999</v>
      </c>
      <c r="CE3817" s="16" t="e">
        <f t="shared" si="832"/>
        <v>#N/A</v>
      </c>
      <c r="CF3817" s="16">
        <f t="shared" si="833"/>
        <v>99</v>
      </c>
      <c r="CG3817" s="16">
        <f t="shared" si="834"/>
        <v>0</v>
      </c>
      <c r="CH3817" s="16">
        <f t="shared" si="841"/>
        <v>0</v>
      </c>
      <c r="CJ3817" s="16" t="e">
        <f t="shared" si="835"/>
        <v>#N/A</v>
      </c>
      <c r="CK3817" s="16" t="str">
        <f t="shared" si="836"/>
        <v/>
      </c>
    </row>
    <row r="3818" spans="73:89" ht="12" customHeight="1">
      <c r="BU3818" s="16">
        <f t="shared" si="837"/>
        <v>0</v>
      </c>
      <c r="BV3818" s="16">
        <f>IF($BY$12=1,NORMDIST(BY3818,$Y$6,$Y$8,TRUE),IF($BY$12=2,IF(BY3818&lt;=$BX$31,0,IF(BY3818&gt;=$BX$32,1,(BY3818-$BX$31)*$BX$33)),SUM($BU$42:BU3818)/$BV$40))</f>
        <v>1</v>
      </c>
      <c r="BW3818" s="16">
        <f t="shared" si="839"/>
        <v>4.1243153124671011E-58</v>
      </c>
      <c r="BY3818" s="16">
        <f t="shared" si="840"/>
        <v>377.60000000001736</v>
      </c>
      <c r="BZ3818" s="16">
        <f t="shared" ref="BZ3818:BZ3881" si="842">IF($BZ$5,IF($BY$12=1,NORMDIST(BY3818,$Y$6,$Y$8,FALSE),IF($BY$12=2,IF(AND(BY3818&gt;=$BX$31,BY3818&lt;=$BX$32),$BX$33,0),IF(BY3818&lt;=$BX$13,0,NORMDIST(LN((BY3818-$BX$13)/$BX$12),0,$BW$8,FALSE)/((BY3818-$BX$13)/$BX$12)))),-999)</f>
        <v>1.0922445213100931E-60</v>
      </c>
      <c r="CA3818" s="16">
        <f t="shared" si="838"/>
        <v>-999</v>
      </c>
      <c r="CE3818" s="16" t="e">
        <f t="shared" ref="CE3818:CE3881" si="843">IF(AND($CB$7,$CD$2,$CD$1),26+$P$23/2-CC3818*$P$23,NA())</f>
        <v>#N/A</v>
      </c>
      <c r="CF3818" s="16">
        <f t="shared" ref="CF3818:CF3881" si="844">IF(ISNA(CJ3818),99,CJ3818)</f>
        <v>99</v>
      </c>
      <c r="CG3818" s="16">
        <f t="shared" ref="CG3818:CG3881" si="845">IF(ISNA(CJ3818),0,CJ3818)</f>
        <v>0</v>
      </c>
      <c r="CH3818" s="16">
        <f t="shared" si="841"/>
        <v>0</v>
      </c>
      <c r="CJ3818" s="16" t="e">
        <f t="shared" ref="CJ3818:CJ3881" si="846">IF(CH3818=1,CE3818,NA())</f>
        <v>#N/A</v>
      </c>
      <c r="CK3818" s="16" t="str">
        <f t="shared" ref="CK3818:CK3881" si="847">IF(CH3818=1,M3717,"")</f>
        <v/>
      </c>
    </row>
    <row r="3819" spans="73:89" ht="12" customHeight="1">
      <c r="BU3819" s="16">
        <f t="shared" ref="BU3819:BU3882" si="848">IF($BY$12&lt;3,0,IF(BY3819&lt;=$BX$13,0,NORMDIST(LN((BY3819-$BX$13)/$BX$12),0,$BW$8,FALSE)/((BY3819-$BX$13)/$BX$12)))</f>
        <v>0</v>
      </c>
      <c r="BV3819" s="16">
        <f>IF($BY$12=1,NORMDIST(BY3819,$Y$6,$Y$8,TRUE),IF($BY$12=2,IF(BY3819&lt;=$BX$31,0,IF(BY3819&gt;=$BX$32,1,(BY3819-$BX$31)*$BX$33)),SUM($BU$42:BU3819)/$BV$40))</f>
        <v>1</v>
      </c>
      <c r="BW3819" s="16">
        <f t="shared" si="839"/>
        <v>3.8009548694482365E-58</v>
      </c>
      <c r="BY3819" s="16">
        <f t="shared" si="840"/>
        <v>377.70000000001738</v>
      </c>
      <c r="BZ3819" s="16">
        <f t="shared" si="842"/>
        <v>1.0063423006216737E-60</v>
      </c>
      <c r="CA3819" s="16">
        <f t="shared" ref="CA3819:CA3882" si="849">IF(AND($CD$1,$CD$3),26-$CD$40*NORMDIST(BY3819,$Y$6,$Y$8/SQRT($T$18),FALSE),-999)</f>
        <v>-999</v>
      </c>
      <c r="CE3819" s="16" t="e">
        <f t="shared" si="843"/>
        <v>#N/A</v>
      </c>
      <c r="CF3819" s="16">
        <f t="shared" si="844"/>
        <v>99</v>
      </c>
      <c r="CG3819" s="16">
        <f t="shared" si="845"/>
        <v>0</v>
      </c>
      <c r="CH3819" s="16">
        <f t="shared" si="841"/>
        <v>0</v>
      </c>
      <c r="CJ3819" s="16" t="e">
        <f t="shared" si="846"/>
        <v>#N/A</v>
      </c>
      <c r="CK3819" s="16" t="str">
        <f t="shared" si="847"/>
        <v/>
      </c>
    </row>
    <row r="3820" spans="73:89" ht="12" customHeight="1">
      <c r="BU3820" s="16">
        <f t="shared" si="848"/>
        <v>0</v>
      </c>
      <c r="BV3820" s="16">
        <f>IF($BY$12=1,NORMDIST(BY3820,$Y$6,$Y$8,TRUE),IF($BY$12=2,IF(BY3820&lt;=$BX$31,0,IF(BY3820&gt;=$BX$32,1,(BY3820-$BX$31)*$BX$33)),SUM($BU$42:BU3820)/$BV$40))</f>
        <v>1</v>
      </c>
      <c r="BW3820" s="16">
        <f t="shared" si="839"/>
        <v>3.5028591742923947E-58</v>
      </c>
      <c r="BY3820" s="16">
        <f t="shared" si="840"/>
        <v>377.80000000001741</v>
      </c>
      <c r="BZ3820" s="16">
        <f t="shared" si="842"/>
        <v>9.2717288890742007E-61</v>
      </c>
      <c r="CA3820" s="16">
        <f t="shared" si="849"/>
        <v>-999</v>
      </c>
      <c r="CE3820" s="16" t="e">
        <f t="shared" si="843"/>
        <v>#N/A</v>
      </c>
      <c r="CF3820" s="16">
        <f t="shared" si="844"/>
        <v>99</v>
      </c>
      <c r="CG3820" s="16">
        <f t="shared" si="845"/>
        <v>0</v>
      </c>
      <c r="CH3820" s="16">
        <f t="shared" si="841"/>
        <v>0</v>
      </c>
      <c r="CJ3820" s="16" t="e">
        <f t="shared" si="846"/>
        <v>#N/A</v>
      </c>
      <c r="CK3820" s="16" t="str">
        <f t="shared" si="847"/>
        <v/>
      </c>
    </row>
    <row r="3821" spans="73:89" ht="12" customHeight="1">
      <c r="BU3821" s="16">
        <f t="shared" si="848"/>
        <v>0</v>
      </c>
      <c r="BV3821" s="16">
        <f>IF($BY$12=1,NORMDIST(BY3821,$Y$6,$Y$8,TRUE),IF($BY$12=2,IF(BY3821&lt;=$BX$31,0,IF(BY3821&gt;=$BX$32,1,(BY3821-$BX$31)*$BX$33)),SUM($BU$42:BU3821)/$BV$40))</f>
        <v>1</v>
      </c>
      <c r="BW3821" s="16">
        <f t="shared" si="839"/>
        <v>3.2280611609449748E-58</v>
      </c>
      <c r="BY3821" s="16">
        <f t="shared" si="840"/>
        <v>377.90000000001743</v>
      </c>
      <c r="BZ3821" s="16">
        <f t="shared" si="842"/>
        <v>8.5421041570384383E-61</v>
      </c>
      <c r="CA3821" s="16">
        <f t="shared" si="849"/>
        <v>-999</v>
      </c>
      <c r="CE3821" s="16" t="e">
        <f t="shared" si="843"/>
        <v>#N/A</v>
      </c>
      <c r="CF3821" s="16">
        <f t="shared" si="844"/>
        <v>99</v>
      </c>
      <c r="CG3821" s="16">
        <f t="shared" si="845"/>
        <v>0</v>
      </c>
      <c r="CH3821" s="16">
        <f t="shared" si="841"/>
        <v>0</v>
      </c>
      <c r="CJ3821" s="16" t="e">
        <f t="shared" si="846"/>
        <v>#N/A</v>
      </c>
      <c r="CK3821" s="16" t="str">
        <f t="shared" si="847"/>
        <v/>
      </c>
    </row>
    <row r="3822" spans="73:89" ht="12" customHeight="1">
      <c r="BU3822" s="16">
        <f t="shared" si="848"/>
        <v>0</v>
      </c>
      <c r="BV3822" s="16">
        <f>IF($BY$12=1,NORMDIST(BY3822,$Y$6,$Y$8,TRUE),IF($BY$12=2,IF(BY3822&lt;=$BX$31,0,IF(BY3822&gt;=$BX$32,1,(BY3822-$BX$31)*$BX$33)),SUM($BU$42:BU3822)/$BV$40))</f>
        <v>1</v>
      </c>
      <c r="BW3822" s="16">
        <f t="shared" si="839"/>
        <v>2.9747463727353836E-58</v>
      </c>
      <c r="BY3822" s="16">
        <f t="shared" si="840"/>
        <v>378.00000000001745</v>
      </c>
      <c r="BZ3822" s="16">
        <f t="shared" si="842"/>
        <v>7.8696993987704932E-61</v>
      </c>
      <c r="CA3822" s="16">
        <f t="shared" si="849"/>
        <v>-999</v>
      </c>
      <c r="CE3822" s="16" t="e">
        <f t="shared" si="843"/>
        <v>#N/A</v>
      </c>
      <c r="CF3822" s="16">
        <f t="shared" si="844"/>
        <v>99</v>
      </c>
      <c r="CG3822" s="16">
        <f t="shared" si="845"/>
        <v>0</v>
      </c>
      <c r="CH3822" s="16">
        <f t="shared" si="841"/>
        <v>0</v>
      </c>
      <c r="CJ3822" s="16" t="e">
        <f t="shared" si="846"/>
        <v>#N/A</v>
      </c>
      <c r="CK3822" s="16" t="str">
        <f t="shared" si="847"/>
        <v/>
      </c>
    </row>
    <row r="3823" spans="73:89" ht="12" customHeight="1">
      <c r="BU3823" s="16">
        <f t="shared" si="848"/>
        <v>0</v>
      </c>
      <c r="BV3823" s="16">
        <f>IF($BY$12=1,NORMDIST(BY3823,$Y$6,$Y$8,TRUE),IF($BY$12=2,IF(BY3823&lt;=$BX$31,0,IF(BY3823&gt;=$BX$32,1,(BY3823-$BX$31)*$BX$33)),SUM($BU$42:BU3823)/$BV$40))</f>
        <v>1</v>
      </c>
      <c r="BW3823" s="16">
        <f t="shared" si="839"/>
        <v>2.7412411650439558E-58</v>
      </c>
      <c r="BY3823" s="16">
        <f t="shared" si="840"/>
        <v>378.10000000001747</v>
      </c>
      <c r="BZ3823" s="16">
        <f t="shared" si="842"/>
        <v>7.2500427533558034E-61</v>
      </c>
      <c r="CA3823" s="16">
        <f t="shared" si="849"/>
        <v>-999</v>
      </c>
      <c r="CE3823" s="16" t="e">
        <f t="shared" si="843"/>
        <v>#N/A</v>
      </c>
      <c r="CF3823" s="16">
        <f t="shared" si="844"/>
        <v>99</v>
      </c>
      <c r="CG3823" s="16">
        <f t="shared" si="845"/>
        <v>0</v>
      </c>
      <c r="CH3823" s="16">
        <f t="shared" si="841"/>
        <v>0</v>
      </c>
      <c r="CJ3823" s="16" t="e">
        <f t="shared" si="846"/>
        <v>#N/A</v>
      </c>
      <c r="CK3823" s="16" t="str">
        <f t="shared" si="847"/>
        <v/>
      </c>
    </row>
    <row r="3824" spans="73:89" ht="12" customHeight="1">
      <c r="BU3824" s="16">
        <f t="shared" si="848"/>
        <v>0</v>
      </c>
      <c r="BV3824" s="16">
        <f>IF($BY$12=1,NORMDIST(BY3824,$Y$6,$Y$8,TRUE),IF($BY$12=2,IF(BY3824&lt;=$BX$31,0,IF(BY3824&gt;=$BX$32,1,(BY3824-$BX$31)*$BX$33)),SUM($BU$42:BU3824)/$BV$40))</f>
        <v>1</v>
      </c>
      <c r="BW3824" s="16">
        <f t="shared" si="839"/>
        <v>2.5260018166436347E-58</v>
      </c>
      <c r="BY3824" s="16">
        <f t="shared" si="840"/>
        <v>378.2000000000175</v>
      </c>
      <c r="BZ3824" s="16">
        <f t="shared" si="842"/>
        <v>6.6790106204217821E-61</v>
      </c>
      <c r="CA3824" s="16">
        <f t="shared" si="849"/>
        <v>-999</v>
      </c>
      <c r="CE3824" s="16" t="e">
        <f t="shared" si="843"/>
        <v>#N/A</v>
      </c>
      <c r="CF3824" s="16">
        <f t="shared" si="844"/>
        <v>99</v>
      </c>
      <c r="CG3824" s="16">
        <f t="shared" si="845"/>
        <v>0</v>
      </c>
      <c r="CH3824" s="16">
        <f t="shared" si="841"/>
        <v>0</v>
      </c>
      <c r="CJ3824" s="16" t="e">
        <f t="shared" si="846"/>
        <v>#N/A</v>
      </c>
      <c r="CK3824" s="16" t="str">
        <f t="shared" si="847"/>
        <v/>
      </c>
    </row>
    <row r="3825" spans="73:89" ht="12" customHeight="1">
      <c r="BU3825" s="16">
        <f t="shared" si="848"/>
        <v>0</v>
      </c>
      <c r="BV3825" s="16">
        <f>IF($BY$12=1,NORMDIST(BY3825,$Y$6,$Y$8,TRUE),IF($BY$12=2,IF(BY3825&lt;=$BX$31,0,IF(BY3825&gt;=$BX$32,1,(BY3825-$BX$31)*$BX$33)),SUM($BU$42:BU3825)/$BV$40))</f>
        <v>1</v>
      </c>
      <c r="BW3825" s="16">
        <f t="shared" si="839"/>
        <v>2.3276044799831819E-58</v>
      </c>
      <c r="BY3825" s="16">
        <f t="shared" si="840"/>
        <v>378.30000000001752</v>
      </c>
      <c r="BZ3825" s="16">
        <f t="shared" si="842"/>
        <v>6.1528006343723876E-61</v>
      </c>
      <c r="CA3825" s="16">
        <f t="shared" si="849"/>
        <v>-999</v>
      </c>
      <c r="CE3825" s="16" t="e">
        <f t="shared" si="843"/>
        <v>#N/A</v>
      </c>
      <c r="CF3825" s="16">
        <f t="shared" si="844"/>
        <v>99</v>
      </c>
      <c r="CG3825" s="16">
        <f t="shared" si="845"/>
        <v>0</v>
      </c>
      <c r="CH3825" s="16">
        <f t="shared" si="841"/>
        <v>0</v>
      </c>
      <c r="CJ3825" s="16" t="e">
        <f t="shared" si="846"/>
        <v>#N/A</v>
      </c>
      <c r="CK3825" s="16" t="str">
        <f t="shared" si="847"/>
        <v/>
      </c>
    </row>
    <row r="3826" spans="73:89" ht="12" customHeight="1">
      <c r="BU3826" s="16">
        <f t="shared" si="848"/>
        <v>0</v>
      </c>
      <c r="BV3826" s="16">
        <f>IF($BY$12=1,NORMDIST(BY3826,$Y$6,$Y$8,TRUE),IF($BY$12=2,IF(BY3826&lt;=$BX$31,0,IF(BY3826&gt;=$BX$32,1,(BY3826-$BX$31)*$BX$33)),SUM($BU$42:BU3826)/$BV$40))</f>
        <v>1</v>
      </c>
      <c r="BW3826" s="16">
        <f t="shared" si="839"/>
        <v>2.1447359060112983E-58</v>
      </c>
      <c r="BY3826" s="16">
        <f t="shared" si="840"/>
        <v>378.40000000001754</v>
      </c>
      <c r="BZ3826" s="16">
        <f t="shared" si="842"/>
        <v>5.6679067283594051E-61</v>
      </c>
      <c r="CA3826" s="16">
        <f t="shared" si="849"/>
        <v>-999</v>
      </c>
      <c r="CE3826" s="16" t="e">
        <f t="shared" si="843"/>
        <v>#N/A</v>
      </c>
      <c r="CF3826" s="16">
        <f t="shared" si="844"/>
        <v>99</v>
      </c>
      <c r="CG3826" s="16">
        <f t="shared" si="845"/>
        <v>0</v>
      </c>
      <c r="CH3826" s="16">
        <f t="shared" si="841"/>
        <v>0</v>
      </c>
      <c r="CJ3826" s="16" t="e">
        <f t="shared" si="846"/>
        <v>#N/A</v>
      </c>
      <c r="CK3826" s="16" t="str">
        <f t="shared" si="847"/>
        <v/>
      </c>
    </row>
    <row r="3827" spans="73:89" ht="12" customHeight="1">
      <c r="BU3827" s="16">
        <f t="shared" si="848"/>
        <v>0</v>
      </c>
      <c r="BV3827" s="16">
        <f>IF($BY$12=1,NORMDIST(BY3827,$Y$6,$Y$8,TRUE),IF($BY$12=2,IF(BY3827&lt;=$BX$31,0,IF(BY3827&gt;=$BX$32,1,(BY3827-$BX$31)*$BX$33)),SUM($BU$42:BU3827)/$BV$40))</f>
        <v>1</v>
      </c>
      <c r="BW3827" s="16">
        <f t="shared" si="839"/>
        <v>1.9761848840652359E-58</v>
      </c>
      <c r="BY3827" s="16">
        <f t="shared" si="840"/>
        <v>378.50000000001756</v>
      </c>
      <c r="BZ3827" s="16">
        <f t="shared" si="842"/>
        <v>5.221096126988492E-61</v>
      </c>
      <c r="CA3827" s="16">
        <f t="shared" si="849"/>
        <v>-999</v>
      </c>
      <c r="CE3827" s="16" t="e">
        <f t="shared" si="843"/>
        <v>#N/A</v>
      </c>
      <c r="CF3827" s="16">
        <f t="shared" si="844"/>
        <v>99</v>
      </c>
      <c r="CG3827" s="16">
        <f t="shared" si="845"/>
        <v>0</v>
      </c>
      <c r="CH3827" s="16">
        <f t="shared" si="841"/>
        <v>0</v>
      </c>
      <c r="CJ3827" s="16" t="e">
        <f t="shared" si="846"/>
        <v>#N/A</v>
      </c>
      <c r="CK3827" s="16" t="str">
        <f t="shared" si="847"/>
        <v/>
      </c>
    </row>
    <row r="3828" spans="73:89" ht="12" customHeight="1">
      <c r="BU3828" s="16">
        <f t="shared" si="848"/>
        <v>0</v>
      </c>
      <c r="BV3828" s="16">
        <f>IF($BY$12=1,NORMDIST(BY3828,$Y$6,$Y$8,TRUE),IF($BY$12=2,IF(BY3828&lt;=$BX$31,0,IF(BY3828&gt;=$BX$32,1,(BY3828-$BX$31)*$BX$33)),SUM($BU$42:BU3828)/$BV$40))</f>
        <v>1</v>
      </c>
      <c r="BW3828" s="16">
        <f t="shared" si="839"/>
        <v>1.8208343418990383E-58</v>
      </c>
      <c r="BY3828" s="16">
        <f t="shared" si="840"/>
        <v>378.60000000001759</v>
      </c>
      <c r="BZ3828" s="16">
        <f t="shared" si="842"/>
        <v>4.8093881191203215E-61</v>
      </c>
      <c r="CA3828" s="16">
        <f t="shared" si="849"/>
        <v>-999</v>
      </c>
      <c r="CE3828" s="16" t="e">
        <f t="shared" si="843"/>
        <v>#N/A</v>
      </c>
      <c r="CF3828" s="16">
        <f t="shared" si="844"/>
        <v>99</v>
      </c>
      <c r="CG3828" s="16">
        <f t="shared" si="845"/>
        <v>0</v>
      </c>
      <c r="CH3828" s="16">
        <f t="shared" si="841"/>
        <v>0</v>
      </c>
      <c r="CJ3828" s="16" t="e">
        <f t="shared" si="846"/>
        <v>#N/A</v>
      </c>
      <c r="CK3828" s="16" t="str">
        <f t="shared" si="847"/>
        <v/>
      </c>
    </row>
    <row r="3829" spans="73:89" ht="12" customHeight="1">
      <c r="BU3829" s="16">
        <f t="shared" si="848"/>
        <v>0</v>
      </c>
      <c r="BV3829" s="16">
        <f>IF($BY$12=1,NORMDIST(BY3829,$Y$6,$Y$8,TRUE),IF($BY$12=2,IF(BY3829&lt;=$BX$31,0,IF(BY3829&gt;=$BX$32,1,(BY3829-$BX$31)*$BX$33)),SUM($BU$42:BU3829)/$BV$40))</f>
        <v>1</v>
      </c>
      <c r="BW3829" s="16">
        <f t="shared" si="839"/>
        <v>1.6776540551287167E-58</v>
      </c>
      <c r="BY3829" s="16">
        <f t="shared" si="840"/>
        <v>378.70000000001761</v>
      </c>
      <c r="BZ3829" s="16">
        <f t="shared" si="842"/>
        <v>4.4300344735374669E-61</v>
      </c>
      <c r="CA3829" s="16">
        <f t="shared" si="849"/>
        <v>-999</v>
      </c>
      <c r="CE3829" s="16" t="e">
        <f t="shared" si="843"/>
        <v>#N/A</v>
      </c>
      <c r="CF3829" s="16">
        <f t="shared" si="844"/>
        <v>99</v>
      </c>
      <c r="CG3829" s="16">
        <f t="shared" si="845"/>
        <v>0</v>
      </c>
      <c r="CH3829" s="16">
        <f t="shared" si="841"/>
        <v>0</v>
      </c>
      <c r="CJ3829" s="16" t="e">
        <f t="shared" si="846"/>
        <v>#N/A</v>
      </c>
      <c r="CK3829" s="16" t="str">
        <f t="shared" si="847"/>
        <v/>
      </c>
    </row>
    <row r="3830" spans="73:89" ht="12" customHeight="1">
      <c r="BU3830" s="16">
        <f t="shared" si="848"/>
        <v>0</v>
      </c>
      <c r="BV3830" s="16">
        <f>IF($BY$12=1,NORMDIST(BY3830,$Y$6,$Y$8,TRUE),IF($BY$12=2,IF(BY3830&lt;=$BX$31,0,IF(BY3830&gt;=$BX$32,1,(BY3830-$BX$31)*$BX$33)),SUM($BU$42:BU3830)/$BV$40))</f>
        <v>1</v>
      </c>
      <c r="BW3830" s="16">
        <f t="shared" si="839"/>
        <v>1.5456939192549489E-58</v>
      </c>
      <c r="BY3830" s="16">
        <f t="shared" si="840"/>
        <v>378.80000000001763</v>
      </c>
      <c r="BZ3830" s="16">
        <f t="shared" si="842"/>
        <v>4.0805013707890098E-61</v>
      </c>
      <c r="CA3830" s="16">
        <f t="shared" si="849"/>
        <v>-999</v>
      </c>
      <c r="CE3830" s="16" t="e">
        <f t="shared" si="843"/>
        <v>#N/A</v>
      </c>
      <c r="CF3830" s="16">
        <f t="shared" si="844"/>
        <v>99</v>
      </c>
      <c r="CG3830" s="16">
        <f t="shared" si="845"/>
        <v>0</v>
      </c>
      <c r="CH3830" s="16">
        <f t="shared" si="841"/>
        <v>0</v>
      </c>
      <c r="CJ3830" s="16" t="e">
        <f t="shared" si="846"/>
        <v>#N/A</v>
      </c>
      <c r="CK3830" s="16" t="str">
        <f t="shared" si="847"/>
        <v/>
      </c>
    </row>
    <row r="3831" spans="73:89" ht="12" customHeight="1">
      <c r="BU3831" s="16">
        <f t="shared" si="848"/>
        <v>0</v>
      </c>
      <c r="BV3831" s="16">
        <f>IF($BY$12=1,NORMDIST(BY3831,$Y$6,$Y$8,TRUE),IF($BY$12=2,IF(BY3831&lt;=$BX$31,0,IF(BY3831&gt;=$BX$32,1,(BY3831-$BX$31)*$BX$33)),SUM($BU$42:BU3831)/$BV$40))</f>
        <v>1</v>
      </c>
      <c r="BW3831" s="16">
        <f t="shared" si="839"/>
        <v>1.4240777410107918E-58</v>
      </c>
      <c r="BY3831" s="16">
        <f t="shared" si="840"/>
        <v>378.90000000001766</v>
      </c>
      <c r="BZ3831" s="16">
        <f t="shared" si="842"/>
        <v>3.7584527342589746E-61</v>
      </c>
      <c r="CA3831" s="16">
        <f t="shared" si="849"/>
        <v>-999</v>
      </c>
      <c r="CE3831" s="16" t="e">
        <f t="shared" si="843"/>
        <v>#N/A</v>
      </c>
      <c r="CF3831" s="16">
        <f t="shared" si="844"/>
        <v>99</v>
      </c>
      <c r="CG3831" s="16">
        <f t="shared" si="845"/>
        <v>0</v>
      </c>
      <c r="CH3831" s="16">
        <f t="shared" si="841"/>
        <v>0</v>
      </c>
      <c r="CJ3831" s="16" t="e">
        <f t="shared" si="846"/>
        <v>#N/A</v>
      </c>
      <c r="CK3831" s="16" t="str">
        <f t="shared" si="847"/>
        <v/>
      </c>
    </row>
    <row r="3832" spans="73:89" ht="12" customHeight="1">
      <c r="BU3832" s="16">
        <f t="shared" si="848"/>
        <v>0</v>
      </c>
      <c r="BV3832" s="16">
        <f>IF($BY$12=1,NORMDIST(BY3832,$Y$6,$Y$8,TRUE),IF($BY$12=2,IF(BY3832&lt;=$BX$31,0,IF(BY3832&gt;=$BX$32,1,(BY3832-$BX$31)*$BX$33)),SUM($BU$42:BU3832)/$BV$40))</f>
        <v>1</v>
      </c>
      <c r="BW3832" s="16">
        <f t="shared" si="839"/>
        <v>1.311997509094305E-58</v>
      </c>
      <c r="BY3832" s="16">
        <f t="shared" si="840"/>
        <v>379.00000000001768</v>
      </c>
      <c r="BZ3832" s="16">
        <f t="shared" si="842"/>
        <v>3.4617348524914086E-61</v>
      </c>
      <c r="CA3832" s="16">
        <f t="shared" si="849"/>
        <v>-999</v>
      </c>
      <c r="CE3832" s="16" t="e">
        <f t="shared" si="843"/>
        <v>#N/A</v>
      </c>
      <c r="CF3832" s="16">
        <f t="shared" si="844"/>
        <v>99</v>
      </c>
      <c r="CG3832" s="16">
        <f t="shared" si="845"/>
        <v>0</v>
      </c>
      <c r="CH3832" s="16">
        <f t="shared" si="841"/>
        <v>0</v>
      </c>
      <c r="CJ3832" s="16" t="e">
        <f t="shared" si="846"/>
        <v>#N/A</v>
      </c>
      <c r="CK3832" s="16" t="str">
        <f t="shared" si="847"/>
        <v/>
      </c>
    </row>
    <row r="3833" spans="73:89" ht="12" customHeight="1">
      <c r="BU3833" s="16">
        <f t="shared" si="848"/>
        <v>0</v>
      </c>
      <c r="BV3833" s="16">
        <f>IF($BY$12=1,NORMDIST(BY3833,$Y$6,$Y$8,TRUE),IF($BY$12=2,IF(BY3833&lt;=$BX$31,0,IF(BY3833&gt;=$BX$32,1,(BY3833-$BX$31)*$BX$33)),SUM($BU$42:BU3833)/$BV$40))</f>
        <v>1</v>
      </c>
      <c r="BW3833" s="16">
        <f t="shared" si="839"/>
        <v>1.208708107407185E-58</v>
      </c>
      <c r="BY3833" s="16">
        <f t="shared" si="840"/>
        <v>379.1000000000177</v>
      </c>
      <c r="BZ3833" s="16">
        <f t="shared" si="842"/>
        <v>3.1883621931076989E-61</v>
      </c>
      <c r="CA3833" s="16">
        <f t="shared" si="849"/>
        <v>-999</v>
      </c>
      <c r="CE3833" s="16" t="e">
        <f t="shared" si="843"/>
        <v>#N/A</v>
      </c>
      <c r="CF3833" s="16">
        <f t="shared" si="844"/>
        <v>99</v>
      </c>
      <c r="CG3833" s="16">
        <f t="shared" si="845"/>
        <v>0</v>
      </c>
      <c r="CH3833" s="16">
        <f t="shared" si="841"/>
        <v>0</v>
      </c>
      <c r="CJ3833" s="16" t="e">
        <f t="shared" si="846"/>
        <v>#N/A</v>
      </c>
      <c r="CK3833" s="16" t="str">
        <f t="shared" si="847"/>
        <v/>
      </c>
    </row>
    <row r="3834" spans="73:89" ht="12" customHeight="1">
      <c r="BU3834" s="16">
        <f t="shared" si="848"/>
        <v>0</v>
      </c>
      <c r="BV3834" s="16">
        <f>IF($BY$12=1,NORMDIST(BY3834,$Y$6,$Y$8,TRUE),IF($BY$12=2,IF(BY3834&lt;=$BX$31,0,IF(BY3834&gt;=$BX$32,1,(BY3834-$BX$31)*$BX$33)),SUM($BU$42:BU3834)/$BV$40))</f>
        <v>1</v>
      </c>
      <c r="BW3834" s="16">
        <f t="shared" si="839"/>
        <v>1.1135224367466649E-58</v>
      </c>
      <c r="BY3834" s="16">
        <f t="shared" si="840"/>
        <v>379.20000000001772</v>
      </c>
      <c r="BZ3834" s="16">
        <f t="shared" si="842"/>
        <v>2.9365043163149072E-61</v>
      </c>
      <c r="CA3834" s="16">
        <f t="shared" si="849"/>
        <v>-999</v>
      </c>
      <c r="CE3834" s="16" t="e">
        <f t="shared" si="843"/>
        <v>#N/A</v>
      </c>
      <c r="CF3834" s="16">
        <f t="shared" si="844"/>
        <v>99</v>
      </c>
      <c r="CG3834" s="16">
        <f t="shared" si="845"/>
        <v>0</v>
      </c>
      <c r="CH3834" s="16">
        <f t="shared" si="841"/>
        <v>0</v>
      </c>
      <c r="CJ3834" s="16" t="e">
        <f t="shared" si="846"/>
        <v>#N/A</v>
      </c>
      <c r="CK3834" s="16" t="str">
        <f t="shared" si="847"/>
        <v/>
      </c>
    </row>
    <row r="3835" spans="73:89" ht="12" customHeight="1">
      <c r="BU3835" s="16">
        <f t="shared" si="848"/>
        <v>0</v>
      </c>
      <c r="BV3835" s="16">
        <f>IF($BY$12=1,NORMDIST(BY3835,$Y$6,$Y$8,TRUE),IF($BY$12=2,IF(BY3835&lt;=$BX$31,0,IF(BY3835&gt;=$BX$32,1,(BY3835-$BX$31)*$BX$33)),SUM($BU$42:BU3835)/$BV$40))</f>
        <v>1</v>
      </c>
      <c r="BW3835" s="16">
        <f t="shared" ref="BW3835:BW3898" si="850">BY3835*BZ3835</f>
        <v>1.0258069135083049E-58</v>
      </c>
      <c r="BY3835" s="16">
        <f t="shared" ref="BY3835:BY3898" si="851">BY3834+$BZ$1</f>
        <v>379.30000000001775</v>
      </c>
      <c r="BZ3835" s="16">
        <f t="shared" si="842"/>
        <v>2.704473803080034E-61</v>
      </c>
      <c r="CA3835" s="16">
        <f t="shared" si="849"/>
        <v>-999</v>
      </c>
      <c r="CE3835" s="16" t="e">
        <f t="shared" si="843"/>
        <v>#N/A</v>
      </c>
      <c r="CF3835" s="16">
        <f t="shared" si="844"/>
        <v>99</v>
      </c>
      <c r="CG3835" s="16">
        <f t="shared" si="845"/>
        <v>0</v>
      </c>
      <c r="CH3835" s="16">
        <f t="shared" si="841"/>
        <v>0</v>
      </c>
      <c r="CJ3835" s="16" t="e">
        <f t="shared" si="846"/>
        <v>#N/A</v>
      </c>
      <c r="CK3835" s="16" t="str">
        <f t="shared" si="847"/>
        <v/>
      </c>
    </row>
    <row r="3836" spans="73:89" ht="12" customHeight="1">
      <c r="BU3836" s="16">
        <f t="shared" si="848"/>
        <v>0</v>
      </c>
      <c r="BV3836" s="16">
        <f>IF($BY$12=1,NORMDIST(BY3836,$Y$6,$Y$8,TRUE),IF($BY$12=2,IF(BY3836&lt;=$BX$31,0,IF(BY3836&gt;=$BX$32,1,(BY3836-$BX$31)*$BX$33)),SUM($BU$42:BU3836)/$BV$40))</f>
        <v>1</v>
      </c>
      <c r="BW3836" s="16">
        <f t="shared" si="850"/>
        <v>9.4497731637006998E-59</v>
      </c>
      <c r="BY3836" s="16">
        <f t="shared" si="851"/>
        <v>379.40000000001777</v>
      </c>
      <c r="BZ3836" s="16">
        <f t="shared" si="842"/>
        <v>2.490715119583621E-61</v>
      </c>
      <c r="CA3836" s="16">
        <f t="shared" si="849"/>
        <v>-999</v>
      </c>
      <c r="CE3836" s="16" t="e">
        <f t="shared" si="843"/>
        <v>#N/A</v>
      </c>
      <c r="CF3836" s="16">
        <f t="shared" si="844"/>
        <v>99</v>
      </c>
      <c r="CG3836" s="16">
        <f t="shared" si="845"/>
        <v>0</v>
      </c>
      <c r="CH3836" s="16">
        <f t="shared" si="841"/>
        <v>0</v>
      </c>
      <c r="CJ3836" s="16" t="e">
        <f t="shared" si="846"/>
        <v>#N/A</v>
      </c>
      <c r="CK3836" s="16" t="str">
        <f t="shared" si="847"/>
        <v/>
      </c>
    </row>
    <row r="3837" spans="73:89" ht="12" customHeight="1">
      <c r="BU3837" s="16">
        <f t="shared" si="848"/>
        <v>0</v>
      </c>
      <c r="BV3837" s="16">
        <f>IF($BY$12=1,NORMDIST(BY3837,$Y$6,$Y$8,TRUE),IF($BY$12=2,IF(BY3837&lt;=$BX$31,0,IF(BY3837&gt;=$BX$32,1,(BY3837-$BX$31)*$BX$33)),SUM($BU$42:BU3837)/$BV$40))</f>
        <v>1</v>
      </c>
      <c r="BW3837" s="16">
        <f t="shared" si="850"/>
        <v>8.7049495415350561E-59</v>
      </c>
      <c r="BY3837" s="16">
        <f t="shared" si="851"/>
        <v>379.50000000001779</v>
      </c>
      <c r="BZ3837" s="16">
        <f t="shared" si="842"/>
        <v>2.2937943455954278E-61</v>
      </c>
      <c r="CA3837" s="16">
        <f t="shared" si="849"/>
        <v>-999</v>
      </c>
      <c r="CE3837" s="16" t="e">
        <f t="shared" si="843"/>
        <v>#N/A</v>
      </c>
      <c r="CF3837" s="16">
        <f t="shared" si="844"/>
        <v>99</v>
      </c>
      <c r="CG3837" s="16">
        <f t="shared" si="845"/>
        <v>0</v>
      </c>
      <c r="CH3837" s="16">
        <f t="shared" si="841"/>
        <v>0</v>
      </c>
      <c r="CJ3837" s="16" t="e">
        <f t="shared" si="846"/>
        <v>#N/A</v>
      </c>
      <c r="CK3837" s="16" t="str">
        <f t="shared" si="847"/>
        <v/>
      </c>
    </row>
    <row r="3838" spans="73:89" ht="12" customHeight="1">
      <c r="BU3838" s="16">
        <f t="shared" si="848"/>
        <v>0</v>
      </c>
      <c r="BV3838" s="16">
        <f>IF($BY$12=1,NORMDIST(BY3838,$Y$6,$Y$8,TRUE),IF($BY$12=2,IF(BY3838&lt;=$BX$31,0,IF(BY3838&gt;=$BX$32,1,(BY3838-$BX$31)*$BX$33)),SUM($BU$42:BU3838)/$BV$40))</f>
        <v>1</v>
      </c>
      <c r="BW3838" s="16">
        <f t="shared" si="850"/>
        <v>8.0186313011614162E-59</v>
      </c>
      <c r="BY3838" s="16">
        <f t="shared" si="851"/>
        <v>379.60000000001781</v>
      </c>
      <c r="BZ3838" s="16">
        <f t="shared" si="842"/>
        <v>2.1123896999897365E-61</v>
      </c>
      <c r="CA3838" s="16">
        <f t="shared" si="849"/>
        <v>-999</v>
      </c>
      <c r="CE3838" s="16" t="e">
        <f t="shared" si="843"/>
        <v>#N/A</v>
      </c>
      <c r="CF3838" s="16">
        <f t="shared" si="844"/>
        <v>99</v>
      </c>
      <c r="CG3838" s="16">
        <f t="shared" si="845"/>
        <v>0</v>
      </c>
      <c r="CH3838" s="16">
        <f t="shared" si="841"/>
        <v>0</v>
      </c>
      <c r="CJ3838" s="16" t="e">
        <f t="shared" si="846"/>
        <v>#N/A</v>
      </c>
      <c r="CK3838" s="16" t="str">
        <f t="shared" si="847"/>
        <v/>
      </c>
    </row>
    <row r="3839" spans="73:89" ht="12" customHeight="1">
      <c r="BU3839" s="16">
        <f t="shared" si="848"/>
        <v>0</v>
      </c>
      <c r="BV3839" s="16">
        <f>IF($BY$12=1,NORMDIST(BY3839,$Y$6,$Y$8,TRUE),IF($BY$12=2,IF(BY3839&lt;=$BX$31,0,IF(BY3839&gt;=$BX$32,1,(BY3839-$BX$31)*$BX$33)),SUM($BU$42:BU3839)/$BV$40))</f>
        <v>1</v>
      </c>
      <c r="BW3839" s="16">
        <f t="shared" si="850"/>
        <v>7.3862387982829769E-59</v>
      </c>
      <c r="BY3839" s="16">
        <f t="shared" si="851"/>
        <v>379.70000000001784</v>
      </c>
      <c r="BZ3839" s="16">
        <f t="shared" si="842"/>
        <v>1.9452828017599762E-61</v>
      </c>
      <c r="CA3839" s="16">
        <f t="shared" si="849"/>
        <v>-999</v>
      </c>
      <c r="CE3839" s="16" t="e">
        <f t="shared" si="843"/>
        <v>#N/A</v>
      </c>
      <c r="CF3839" s="16">
        <f t="shared" si="844"/>
        <v>99</v>
      </c>
      <c r="CG3839" s="16">
        <f t="shared" si="845"/>
        <v>0</v>
      </c>
      <c r="CH3839" s="16">
        <f t="shared" si="841"/>
        <v>0</v>
      </c>
      <c r="CJ3839" s="16" t="e">
        <f t="shared" si="846"/>
        <v>#N/A</v>
      </c>
      <c r="CK3839" s="16" t="str">
        <f t="shared" si="847"/>
        <v/>
      </c>
    </row>
    <row r="3840" spans="73:89" ht="12" customHeight="1">
      <c r="BU3840" s="16">
        <f t="shared" si="848"/>
        <v>0</v>
      </c>
      <c r="BV3840" s="16">
        <f>IF($BY$12=1,NORMDIST(BY3840,$Y$6,$Y$8,TRUE),IF($BY$12=2,IF(BY3840&lt;=$BX$31,0,IF(BY3840&gt;=$BX$32,1,(BY3840-$BX$31)*$BX$33)),SUM($BU$42:BU3840)/$BV$40))</f>
        <v>1</v>
      </c>
      <c r="BW3840" s="16">
        <f t="shared" si="850"/>
        <v>6.8035496154174665E-59</v>
      </c>
      <c r="BY3840" s="16">
        <f t="shared" si="851"/>
        <v>379.80000000001786</v>
      </c>
      <c r="BZ3840" s="16">
        <f t="shared" si="842"/>
        <v>1.7913506096411655E-61</v>
      </c>
      <c r="CA3840" s="16">
        <f t="shared" si="849"/>
        <v>-999</v>
      </c>
      <c r="CE3840" s="16" t="e">
        <f t="shared" si="843"/>
        <v>#N/A</v>
      </c>
      <c r="CF3840" s="16">
        <f t="shared" si="844"/>
        <v>99</v>
      </c>
      <c r="CG3840" s="16">
        <f t="shared" si="845"/>
        <v>0</v>
      </c>
      <c r="CH3840" s="16">
        <f t="shared" si="841"/>
        <v>0</v>
      </c>
      <c r="CJ3840" s="16" t="e">
        <f t="shared" si="846"/>
        <v>#N/A</v>
      </c>
      <c r="CK3840" s="16" t="str">
        <f t="shared" si="847"/>
        <v/>
      </c>
    </row>
    <row r="3841" spans="73:89" ht="12" customHeight="1">
      <c r="BU3841" s="16">
        <f t="shared" si="848"/>
        <v>0</v>
      </c>
      <c r="BV3841" s="16">
        <f>IF($BY$12=1,NORMDIST(BY3841,$Y$6,$Y$8,TRUE),IF($BY$12=2,IF(BY3841&lt;=$BX$31,0,IF(BY3841&gt;=$BX$32,1,(BY3841-$BX$31)*$BX$33)),SUM($BU$42:BU3841)/$BV$40))</f>
        <v>1</v>
      </c>
      <c r="BW3841" s="16">
        <f t="shared" si="850"/>
        <v>6.2666707957817567E-59</v>
      </c>
      <c r="BY3841" s="16">
        <f t="shared" si="851"/>
        <v>379.90000000001788</v>
      </c>
      <c r="BZ3841" s="16">
        <f t="shared" si="842"/>
        <v>1.6495579878340253E-61</v>
      </c>
      <c r="CA3841" s="16">
        <f t="shared" si="849"/>
        <v>-999</v>
      </c>
      <c r="CE3841" s="16" t="e">
        <f t="shared" si="843"/>
        <v>#N/A</v>
      </c>
      <c r="CF3841" s="16">
        <f t="shared" si="844"/>
        <v>99</v>
      </c>
      <c r="CG3841" s="16">
        <f t="shared" si="845"/>
        <v>0</v>
      </c>
      <c r="CH3841" s="16">
        <f t="shared" si="841"/>
        <v>0</v>
      </c>
      <c r="CJ3841" s="16" t="e">
        <f t="shared" si="846"/>
        <v>#N/A</v>
      </c>
      <c r="CK3841" s="16" t="str">
        <f t="shared" si="847"/>
        <v/>
      </c>
    </row>
    <row r="3842" spans="73:89" ht="12" customHeight="1">
      <c r="BU3842" s="16">
        <f t="shared" si="848"/>
        <v>0</v>
      </c>
      <c r="BV3842" s="16">
        <f>IF($BY$12=1,NORMDIST(BY3842,$Y$6,$Y$8,TRUE),IF($BY$12=2,IF(BY3842&lt;=$BX$31,0,IF(BY3842&gt;=$BX$32,1,(BY3842-$BX$31)*$BX$33)),SUM($BU$42:BU3842)/$BV$40))</f>
        <v>1</v>
      </c>
      <c r="BW3842" s="16">
        <f t="shared" si="850"/>
        <v>5.7720132276158184E-59</v>
      </c>
      <c r="BY3842" s="16">
        <f t="shared" si="851"/>
        <v>380.00000000001791</v>
      </c>
      <c r="BZ3842" s="16">
        <f t="shared" si="842"/>
        <v>1.5189508493725122E-61</v>
      </c>
      <c r="CA3842" s="16">
        <f t="shared" si="849"/>
        <v>-999</v>
      </c>
      <c r="CE3842" s="16" t="e">
        <f t="shared" si="843"/>
        <v>#N/A</v>
      </c>
      <c r="CF3842" s="16">
        <f t="shared" si="844"/>
        <v>99</v>
      </c>
      <c r="CG3842" s="16">
        <f t="shared" si="845"/>
        <v>0</v>
      </c>
      <c r="CH3842" s="16">
        <f t="shared" si="841"/>
        <v>0</v>
      </c>
      <c r="CJ3842" s="16" t="e">
        <f t="shared" si="846"/>
        <v>#N/A</v>
      </c>
      <c r="CK3842" s="16" t="str">
        <f t="shared" si="847"/>
        <v/>
      </c>
    </row>
    <row r="3843" spans="73:89" ht="12" customHeight="1">
      <c r="BU3843" s="16">
        <f t="shared" si="848"/>
        <v>0</v>
      </c>
      <c r="BV3843" s="16">
        <f>IF($BY$12=1,NORMDIST(BY3843,$Y$6,$Y$8,TRUE),IF($BY$12=2,IF(BY3843&lt;=$BX$31,0,IF(BY3843&gt;=$BX$32,1,(BY3843-$BX$31)*$BX$33)),SUM($BU$42:BU3843)/$BV$40))</f>
        <v>1</v>
      </c>
      <c r="BW3843" s="16">
        <f t="shared" si="850"/>
        <v>5.3162680129995272E-59</v>
      </c>
      <c r="BY3843" s="16">
        <f t="shared" si="851"/>
        <v>380.10000000001793</v>
      </c>
      <c r="BZ3843" s="16">
        <f t="shared" si="842"/>
        <v>1.3986498324123326E-61</v>
      </c>
      <c r="CA3843" s="16">
        <f t="shared" si="849"/>
        <v>-999</v>
      </c>
      <c r="CE3843" s="16" t="e">
        <f t="shared" si="843"/>
        <v>#N/A</v>
      </c>
      <c r="CF3843" s="16">
        <f t="shared" si="844"/>
        <v>99</v>
      </c>
      <c r="CG3843" s="16">
        <f t="shared" si="845"/>
        <v>0</v>
      </c>
      <c r="CH3843" s="16">
        <f t="shared" ref="CH3843:CH3906" si="852">IF(CB3843="",0,1)</f>
        <v>0</v>
      </c>
      <c r="CJ3843" s="16" t="e">
        <f t="shared" si="846"/>
        <v>#N/A</v>
      </c>
      <c r="CK3843" s="16" t="str">
        <f t="shared" si="847"/>
        <v/>
      </c>
    </row>
    <row r="3844" spans="73:89" ht="12" customHeight="1">
      <c r="BU3844" s="16">
        <f t="shared" si="848"/>
        <v>0</v>
      </c>
      <c r="BV3844" s="16">
        <f>IF($BY$12=1,NORMDIST(BY3844,$Y$6,$Y$8,TRUE),IF($BY$12=2,IF(BY3844&lt;=$BX$31,0,IF(BY3844&gt;=$BX$32,1,(BY3844-$BX$31)*$BX$33)),SUM($BU$42:BU3844)/$BV$40))</f>
        <v>1</v>
      </c>
      <c r="BW3844" s="16">
        <f t="shared" si="850"/>
        <v>4.8963846679774681E-59</v>
      </c>
      <c r="BY3844" s="16">
        <f t="shared" si="851"/>
        <v>380.20000000001795</v>
      </c>
      <c r="BZ3844" s="16">
        <f t="shared" si="842"/>
        <v>1.2878444681686578E-61</v>
      </c>
      <c r="CA3844" s="16">
        <f t="shared" si="849"/>
        <v>-999</v>
      </c>
      <c r="CE3844" s="16" t="e">
        <f t="shared" si="843"/>
        <v>#N/A</v>
      </c>
      <c r="CF3844" s="16">
        <f t="shared" si="844"/>
        <v>99</v>
      </c>
      <c r="CG3844" s="16">
        <f t="shared" si="845"/>
        <v>0</v>
      </c>
      <c r="CH3844" s="16">
        <f t="shared" si="852"/>
        <v>0</v>
      </c>
      <c r="CJ3844" s="16" t="e">
        <f t="shared" si="846"/>
        <v>#N/A</v>
      </c>
      <c r="CK3844" s="16" t="str">
        <f t="shared" si="847"/>
        <v/>
      </c>
    </row>
    <row r="3845" spans="73:89" ht="12" customHeight="1">
      <c r="BU3845" s="16">
        <f t="shared" si="848"/>
        <v>0</v>
      </c>
      <c r="BV3845" s="16">
        <f>IF($BY$12=1,NORMDIST(BY3845,$Y$6,$Y$8,TRUE),IF($BY$12=2,IF(BY3845&lt;=$BX$31,0,IF(BY3845&gt;=$BX$32,1,(BY3845-$BX$31)*$BX$33)),SUM($BU$42:BU3845)/$BV$40))</f>
        <v>1</v>
      </c>
      <c r="BW3845" s="16">
        <f t="shared" si="850"/>
        <v>4.5095510125905247E-59</v>
      </c>
      <c r="BY3845" s="16">
        <f t="shared" si="851"/>
        <v>380.30000000001797</v>
      </c>
      <c r="BZ3845" s="16">
        <f t="shared" si="842"/>
        <v>1.1857878024165952E-61</v>
      </c>
      <c r="CA3845" s="16">
        <f t="shared" si="849"/>
        <v>-999</v>
      </c>
      <c r="CE3845" s="16" t="e">
        <f t="shared" si="843"/>
        <v>#N/A</v>
      </c>
      <c r="CF3845" s="16">
        <f t="shared" si="844"/>
        <v>99</v>
      </c>
      <c r="CG3845" s="16">
        <f t="shared" si="845"/>
        <v>0</v>
      </c>
      <c r="CH3845" s="16">
        <f t="shared" si="852"/>
        <v>0</v>
      </c>
      <c r="CJ3845" s="16" t="e">
        <f t="shared" si="846"/>
        <v>#N/A</v>
      </c>
      <c r="CK3845" s="16" t="str">
        <f t="shared" si="847"/>
        <v/>
      </c>
    </row>
    <row r="3846" spans="73:89" ht="12" customHeight="1">
      <c r="BU3846" s="16">
        <f t="shared" si="848"/>
        <v>0</v>
      </c>
      <c r="BV3846" s="16">
        <f>IF($BY$12=1,NORMDIST(BY3846,$Y$6,$Y$8,TRUE),IF($BY$12=2,IF(BY3846&lt;=$BX$31,0,IF(BY3846&gt;=$BX$32,1,(BY3846-$BX$31)*$BX$33)),SUM($BU$42:BU3846)/$BV$40))</f>
        <v>1</v>
      </c>
      <c r="BW3846" s="16">
        <f t="shared" si="850"/>
        <v>4.1531746202847469E-59</v>
      </c>
      <c r="BY3846" s="16">
        <f t="shared" si="851"/>
        <v>380.400000000018</v>
      </c>
      <c r="BZ3846" s="16">
        <f t="shared" si="842"/>
        <v>1.0917914354060332E-61</v>
      </c>
      <c r="CA3846" s="16">
        <f t="shared" si="849"/>
        <v>-999</v>
      </c>
      <c r="CE3846" s="16" t="e">
        <f t="shared" si="843"/>
        <v>#N/A</v>
      </c>
      <c r="CF3846" s="16">
        <f t="shared" si="844"/>
        <v>99</v>
      </c>
      <c r="CG3846" s="16">
        <f t="shared" si="845"/>
        <v>0</v>
      </c>
      <c r="CH3846" s="16">
        <f t="shared" si="852"/>
        <v>0</v>
      </c>
      <c r="CJ3846" s="16" t="e">
        <f t="shared" si="846"/>
        <v>#N/A</v>
      </c>
      <c r="CK3846" s="16" t="str">
        <f t="shared" si="847"/>
        <v/>
      </c>
    </row>
    <row r="3847" spans="73:89" ht="12" customHeight="1">
      <c r="BU3847" s="16">
        <f t="shared" si="848"/>
        <v>0</v>
      </c>
      <c r="BV3847" s="16">
        <f>IF($BY$12=1,NORMDIST(BY3847,$Y$6,$Y$8,TRUE),IF($BY$12=2,IF(BY3847&lt;=$BX$31,0,IF(BY3847&gt;=$BX$32,1,(BY3847-$BX$31)*$BX$33)),SUM($BU$42:BU3847)/$BV$40))</f>
        <v>1</v>
      </c>
      <c r="BW3847" s="16">
        <f t="shared" si="850"/>
        <v>3.8248657062190274E-59</v>
      </c>
      <c r="BY3847" s="16">
        <f t="shared" si="851"/>
        <v>380.50000000001802</v>
      </c>
      <c r="BZ3847" s="16">
        <f t="shared" si="842"/>
        <v>1.0052209477579097E-61</v>
      </c>
      <c r="CA3847" s="16">
        <f t="shared" si="849"/>
        <v>-999</v>
      </c>
      <c r="CE3847" s="16" t="e">
        <f t="shared" si="843"/>
        <v>#N/A</v>
      </c>
      <c r="CF3847" s="16">
        <f t="shared" si="844"/>
        <v>99</v>
      </c>
      <c r="CG3847" s="16">
        <f t="shared" si="845"/>
        <v>0</v>
      </c>
      <c r="CH3847" s="16">
        <f t="shared" si="852"/>
        <v>0</v>
      </c>
      <c r="CJ3847" s="16" t="e">
        <f t="shared" si="846"/>
        <v>#N/A</v>
      </c>
      <c r="CK3847" s="16" t="str">
        <f t="shared" si="847"/>
        <v/>
      </c>
    </row>
    <row r="3848" spans="73:89" ht="12" customHeight="1">
      <c r="BU3848" s="16">
        <f t="shared" si="848"/>
        <v>0</v>
      </c>
      <c r="BV3848" s="16">
        <f>IF($BY$12=1,NORMDIST(BY3848,$Y$6,$Y$8,TRUE),IF($BY$12=2,IF(BY3848&lt;=$BX$31,0,IF(BY3848&gt;=$BX$32,1,(BY3848-$BX$31)*$BX$33)),SUM($BU$42:BU3848)/$BV$40))</f>
        <v>1</v>
      </c>
      <c r="BW3848" s="16">
        <f t="shared" si="850"/>
        <v>3.5224213432647658E-59</v>
      </c>
      <c r="BY3848" s="16">
        <f t="shared" si="851"/>
        <v>380.60000000001804</v>
      </c>
      <c r="BZ3848" s="16">
        <f t="shared" si="842"/>
        <v>9.2549168241318934E-62</v>
      </c>
      <c r="CA3848" s="16">
        <f t="shared" si="849"/>
        <v>-999</v>
      </c>
      <c r="CE3848" s="16" t="e">
        <f t="shared" si="843"/>
        <v>#N/A</v>
      </c>
      <c r="CF3848" s="16">
        <f t="shared" si="844"/>
        <v>99</v>
      </c>
      <c r="CG3848" s="16">
        <f t="shared" si="845"/>
        <v>0</v>
      </c>
      <c r="CH3848" s="16">
        <f t="shared" si="852"/>
        <v>0</v>
      </c>
      <c r="CJ3848" s="16" t="e">
        <f t="shared" si="846"/>
        <v>#N/A</v>
      </c>
      <c r="CK3848" s="16" t="str">
        <f t="shared" si="847"/>
        <v/>
      </c>
    </row>
    <row r="3849" spans="73:89" ht="12" customHeight="1">
      <c r="BU3849" s="16">
        <f t="shared" si="848"/>
        <v>0</v>
      </c>
      <c r="BV3849" s="16">
        <f>IF($BY$12=1,NORMDIST(BY3849,$Y$6,$Y$8,TRUE),IF($BY$12=2,IF(BY3849&lt;=$BX$31,0,IF(BY3849&gt;=$BX$32,1,(BY3849-$BX$31)*$BX$33)),SUM($BU$42:BU3849)/$BV$40))</f>
        <v>1</v>
      </c>
      <c r="BW3849" s="16">
        <f t="shared" si="850"/>
        <v>3.2438109030533405E-59</v>
      </c>
      <c r="BY3849" s="16">
        <f t="shared" si="851"/>
        <v>380.70000000001806</v>
      </c>
      <c r="BZ3849" s="16">
        <f t="shared" si="842"/>
        <v>8.5206485501791086E-62</v>
      </c>
      <c r="CA3849" s="16">
        <f t="shared" si="849"/>
        <v>-999</v>
      </c>
      <c r="CE3849" s="16" t="e">
        <f t="shared" si="843"/>
        <v>#N/A</v>
      </c>
      <c r="CF3849" s="16">
        <f t="shared" si="844"/>
        <v>99</v>
      </c>
      <c r="CG3849" s="16">
        <f t="shared" si="845"/>
        <v>0</v>
      </c>
      <c r="CH3849" s="16">
        <f t="shared" si="852"/>
        <v>0</v>
      </c>
      <c r="CJ3849" s="16" t="e">
        <f t="shared" si="846"/>
        <v>#N/A</v>
      </c>
      <c r="CK3849" s="16" t="str">
        <f t="shared" si="847"/>
        <v/>
      </c>
    </row>
    <row r="3850" spans="73:89" ht="12" customHeight="1">
      <c r="BU3850" s="16">
        <f t="shared" si="848"/>
        <v>0</v>
      </c>
      <c r="BV3850" s="16">
        <f>IF($BY$12=1,NORMDIST(BY3850,$Y$6,$Y$8,TRUE),IF($BY$12=2,IF(BY3850&lt;=$BX$31,0,IF(BY3850&gt;=$BX$32,1,(BY3850-$BX$31)*$BX$33)),SUM($BU$42:BU3850)/$BV$40))</f>
        <v>1</v>
      </c>
      <c r="BW3850" s="16">
        <f t="shared" si="850"/>
        <v>2.9871626273358228E-59</v>
      </c>
      <c r="BY3850" s="16">
        <f t="shared" si="851"/>
        <v>380.80000000001809</v>
      </c>
      <c r="BZ3850" s="16">
        <f t="shared" si="842"/>
        <v>7.8444396726252121E-62</v>
      </c>
      <c r="CA3850" s="16">
        <f t="shared" si="849"/>
        <v>-999</v>
      </c>
      <c r="CE3850" s="16" t="e">
        <f t="shared" si="843"/>
        <v>#N/A</v>
      </c>
      <c r="CF3850" s="16">
        <f t="shared" si="844"/>
        <v>99</v>
      </c>
      <c r="CG3850" s="16">
        <f t="shared" si="845"/>
        <v>0</v>
      </c>
      <c r="CH3850" s="16">
        <f t="shared" si="852"/>
        <v>0</v>
      </c>
      <c r="CJ3850" s="16" t="e">
        <f t="shared" si="846"/>
        <v>#N/A</v>
      </c>
      <c r="CK3850" s="16" t="str">
        <f t="shared" si="847"/>
        <v/>
      </c>
    </row>
    <row r="3851" spans="73:89" ht="12" customHeight="1">
      <c r="BU3851" s="16">
        <f t="shared" si="848"/>
        <v>0</v>
      </c>
      <c r="BV3851" s="16">
        <f>IF($BY$12=1,NORMDIST(BY3851,$Y$6,$Y$8,TRUE),IF($BY$12=2,IF(BY3851&lt;=$BX$31,0,IF(BY3851&gt;=$BX$32,1,(BY3851-$BX$31)*$BX$33)),SUM($BU$42:BU3851)/$BV$40))</f>
        <v>1</v>
      </c>
      <c r="BW3851" s="16">
        <f t="shared" si="850"/>
        <v>2.7507512422163304E-59</v>
      </c>
      <c r="BY3851" s="16">
        <f t="shared" si="851"/>
        <v>380.90000000001811</v>
      </c>
      <c r="BZ3851" s="16">
        <f t="shared" si="842"/>
        <v>7.2217149966295605E-62</v>
      </c>
      <c r="CA3851" s="16">
        <f t="shared" si="849"/>
        <v>-999</v>
      </c>
      <c r="CE3851" s="16" t="e">
        <f t="shared" si="843"/>
        <v>#N/A</v>
      </c>
      <c r="CF3851" s="16">
        <f t="shared" si="844"/>
        <v>99</v>
      </c>
      <c r="CG3851" s="16">
        <f t="shared" si="845"/>
        <v>0</v>
      </c>
      <c r="CH3851" s="16">
        <f t="shared" si="852"/>
        <v>0</v>
      </c>
      <c r="CJ3851" s="16" t="e">
        <f t="shared" si="846"/>
        <v>#N/A</v>
      </c>
      <c r="CK3851" s="16" t="str">
        <f t="shared" si="847"/>
        <v/>
      </c>
    </row>
    <row r="3852" spans="73:89" ht="12" customHeight="1">
      <c r="BU3852" s="16">
        <f t="shared" si="848"/>
        <v>0</v>
      </c>
      <c r="BV3852" s="16">
        <f>IF($BY$12=1,NORMDIST(BY3852,$Y$6,$Y$8,TRUE),IF($BY$12=2,IF(BY3852&lt;=$BX$31,0,IF(BY3852&gt;=$BX$32,1,(BY3852-$BX$31)*$BX$33)),SUM($BU$42:BU3852)/$BV$40))</f>
        <v>1</v>
      </c>
      <c r="BW3852" s="16">
        <f t="shared" si="850"/>
        <v>2.5329865345628247E-59</v>
      </c>
      <c r="BY3852" s="16">
        <f t="shared" si="851"/>
        <v>381.00000000001813</v>
      </c>
      <c r="BZ3852" s="16">
        <f t="shared" si="842"/>
        <v>6.6482586208994861E-62</v>
      </c>
      <c r="CA3852" s="16">
        <f t="shared" si="849"/>
        <v>-999</v>
      </c>
      <c r="CE3852" s="16" t="e">
        <f t="shared" si="843"/>
        <v>#N/A</v>
      </c>
      <c r="CF3852" s="16">
        <f t="shared" si="844"/>
        <v>99</v>
      </c>
      <c r="CG3852" s="16">
        <f t="shared" si="845"/>
        <v>0</v>
      </c>
      <c r="CH3852" s="16">
        <f t="shared" si="852"/>
        <v>0</v>
      </c>
      <c r="CJ3852" s="16" t="e">
        <f t="shared" si="846"/>
        <v>#N/A</v>
      </c>
      <c r="CK3852" s="16" t="str">
        <f t="shared" si="847"/>
        <v/>
      </c>
    </row>
    <row r="3853" spans="73:89" ht="12" customHeight="1">
      <c r="BU3853" s="16">
        <f t="shared" si="848"/>
        <v>0</v>
      </c>
      <c r="BV3853" s="16">
        <f>IF($BY$12=1,NORMDIST(BY3853,$Y$6,$Y$8,TRUE),IF($BY$12=2,IF(BY3853&lt;=$BX$31,0,IF(BY3853&gt;=$BX$32,1,(BY3853-$BX$31)*$BX$33)),SUM($BU$42:BU3853)/$BV$40))</f>
        <v>1</v>
      </c>
      <c r="BW3853" s="16">
        <f t="shared" si="850"/>
        <v>2.3324028161158182E-59</v>
      </c>
      <c r="BY3853" s="16">
        <f t="shared" si="851"/>
        <v>381.10000000001816</v>
      </c>
      <c r="BZ3853" s="16">
        <f t="shared" si="842"/>
        <v>6.120185820298365E-62</v>
      </c>
      <c r="CA3853" s="16">
        <f t="shared" si="849"/>
        <v>-999</v>
      </c>
      <c r="CE3853" s="16" t="e">
        <f t="shared" si="843"/>
        <v>#N/A</v>
      </c>
      <c r="CF3853" s="16">
        <f t="shared" si="844"/>
        <v>99</v>
      </c>
      <c r="CG3853" s="16">
        <f t="shared" si="845"/>
        <v>0</v>
      </c>
      <c r="CH3853" s="16">
        <f t="shared" si="852"/>
        <v>0</v>
      </c>
      <c r="CJ3853" s="16" t="e">
        <f t="shared" si="846"/>
        <v>#N/A</v>
      </c>
      <c r="CK3853" s="16" t="str">
        <f t="shared" si="847"/>
        <v/>
      </c>
    </row>
    <row r="3854" spans="73:89" ht="12" customHeight="1">
      <c r="BU3854" s="16">
        <f t="shared" si="848"/>
        <v>0</v>
      </c>
      <c r="BV3854" s="16">
        <f>IF($BY$12=1,NORMDIST(BY3854,$Y$6,$Y$8,TRUE),IF($BY$12=2,IF(BY3854&lt;=$BX$31,0,IF(BY3854&gt;=$BX$32,1,(BY3854-$BX$31)*$BX$33)),SUM($BU$42:BU3854)/$BV$40))</f>
        <v>1</v>
      </c>
      <c r="BW3854" s="16">
        <f t="shared" si="850"/>
        <v>2.1476492065656212E-59</v>
      </c>
      <c r="BY3854" s="16">
        <f t="shared" si="851"/>
        <v>381.20000000001818</v>
      </c>
      <c r="BZ3854" s="16">
        <f t="shared" si="842"/>
        <v>5.6339171211057676E-62</v>
      </c>
      <c r="CA3854" s="16">
        <f t="shared" si="849"/>
        <v>-999</v>
      </c>
      <c r="CE3854" s="16" t="e">
        <f t="shared" si="843"/>
        <v>#N/A</v>
      </c>
      <c r="CF3854" s="16">
        <f t="shared" si="844"/>
        <v>99</v>
      </c>
      <c r="CG3854" s="16">
        <f t="shared" si="845"/>
        <v>0</v>
      </c>
      <c r="CH3854" s="16">
        <f t="shared" si="852"/>
        <v>0</v>
      </c>
      <c r="CJ3854" s="16" t="e">
        <f t="shared" si="846"/>
        <v>#N/A</v>
      </c>
      <c r="CK3854" s="16" t="str">
        <f t="shared" si="847"/>
        <v/>
      </c>
    </row>
    <row r="3855" spans="73:89" ht="12" customHeight="1">
      <c r="BU3855" s="16">
        <f t="shared" si="848"/>
        <v>0</v>
      </c>
      <c r="BV3855" s="16">
        <f>IF($BY$12=1,NORMDIST(BY3855,$Y$6,$Y$8,TRUE),IF($BY$12=2,IF(BY3855&lt;=$BX$31,0,IF(BY3855&gt;=$BX$32,1,(BY3855-$BX$31)*$BX$33)),SUM($BU$42:BU3855)/$BV$40))</f>
        <v>1</v>
      </c>
      <c r="BW3855" s="16">
        <f t="shared" si="850"/>
        <v>1.9774806721653465E-59</v>
      </c>
      <c r="BY3855" s="16">
        <f t="shared" si="851"/>
        <v>381.3000000000182</v>
      </c>
      <c r="BZ3855" s="16">
        <f t="shared" si="842"/>
        <v>5.1861543985451145E-62</v>
      </c>
      <c r="CA3855" s="16">
        <f t="shared" si="849"/>
        <v>-999</v>
      </c>
      <c r="CE3855" s="16" t="e">
        <f t="shared" si="843"/>
        <v>#N/A</v>
      </c>
      <c r="CF3855" s="16">
        <f t="shared" si="844"/>
        <v>99</v>
      </c>
      <c r="CG3855" s="16">
        <f t="shared" si="845"/>
        <v>0</v>
      </c>
      <c r="CH3855" s="16">
        <f t="shared" si="852"/>
        <v>0</v>
      </c>
      <c r="CJ3855" s="16" t="e">
        <f t="shared" si="846"/>
        <v>#N/A</v>
      </c>
      <c r="CK3855" s="16" t="str">
        <f t="shared" si="847"/>
        <v/>
      </c>
    </row>
    <row r="3856" spans="73:89" ht="12" customHeight="1">
      <c r="BU3856" s="16">
        <f t="shared" si="848"/>
        <v>0</v>
      </c>
      <c r="BV3856" s="16">
        <f>IF($BY$12=1,NORMDIST(BY3856,$Y$6,$Y$8,TRUE),IF($BY$12=2,IF(BY3856&lt;=$BX$31,0,IF(BY3856&gt;=$BX$32,1,(BY3856-$BX$31)*$BX$33)),SUM($BU$42:BU3856)/$BV$40))</f>
        <v>1</v>
      </c>
      <c r="BW3856" s="16">
        <f t="shared" si="850"/>
        <v>1.8207497613459511E-59</v>
      </c>
      <c r="BY3856" s="16">
        <f t="shared" si="851"/>
        <v>381.40000000001822</v>
      </c>
      <c r="BZ3856" s="16">
        <f t="shared" si="842"/>
        <v>4.7738588393966023E-62</v>
      </c>
      <c r="CA3856" s="16">
        <f t="shared" si="849"/>
        <v>-999</v>
      </c>
      <c r="CE3856" s="16" t="e">
        <f t="shared" si="843"/>
        <v>#N/A</v>
      </c>
      <c r="CF3856" s="16">
        <f t="shared" si="844"/>
        <v>99</v>
      </c>
      <c r="CG3856" s="16">
        <f t="shared" si="845"/>
        <v>0</v>
      </c>
      <c r="CH3856" s="16">
        <f t="shared" si="852"/>
        <v>0</v>
      </c>
      <c r="CJ3856" s="16" t="e">
        <f t="shared" si="846"/>
        <v>#N/A</v>
      </c>
      <c r="CK3856" s="16" t="str">
        <f t="shared" si="847"/>
        <v/>
      </c>
    </row>
    <row r="3857" spans="73:89" ht="12" customHeight="1">
      <c r="BU3857" s="16">
        <f t="shared" si="848"/>
        <v>0</v>
      </c>
      <c r="BV3857" s="16">
        <f>IF($BY$12=1,NORMDIST(BY3857,$Y$6,$Y$8,TRUE),IF($BY$12=2,IF(BY3857&lt;=$BX$31,0,IF(BY3857&gt;=$BX$32,1,(BY3857-$BX$31)*$BX$33)),SUM($BU$42:BU3857)/$BV$40))</f>
        <v>1</v>
      </c>
      <c r="BW3857" s="16">
        <f t="shared" si="850"/>
        <v>1.6763989833151804E-59</v>
      </c>
      <c r="BY3857" s="16">
        <f t="shared" si="851"/>
        <v>381.50000000001825</v>
      </c>
      <c r="BZ3857" s="16">
        <f t="shared" si="842"/>
        <v>4.3942306246791619E-62</v>
      </c>
      <c r="CA3857" s="16">
        <f t="shared" si="849"/>
        <v>-999</v>
      </c>
      <c r="CE3857" s="16" t="e">
        <f t="shared" si="843"/>
        <v>#N/A</v>
      </c>
      <c r="CF3857" s="16">
        <f t="shared" si="844"/>
        <v>99</v>
      </c>
      <c r="CG3857" s="16">
        <f t="shared" si="845"/>
        <v>0</v>
      </c>
      <c r="CH3857" s="16">
        <f t="shared" si="852"/>
        <v>0</v>
      </c>
      <c r="CJ3857" s="16" t="e">
        <f t="shared" si="846"/>
        <v>#N/A</v>
      </c>
      <c r="CK3857" s="16" t="str">
        <f t="shared" si="847"/>
        <v/>
      </c>
    </row>
    <row r="3858" spans="73:89" ht="12" customHeight="1">
      <c r="BU3858" s="16">
        <f t="shared" si="848"/>
        <v>0</v>
      </c>
      <c r="BV3858" s="16">
        <f>IF($BY$12=1,NORMDIST(BY3858,$Y$6,$Y$8,TRUE),IF($BY$12=2,IF(BY3858&lt;=$BX$31,0,IF(BY3858&gt;=$BX$32,1,(BY3858-$BX$31)*$BX$33)),SUM($BU$42:BU3858)/$BV$40))</f>
        <v>1</v>
      </c>
      <c r="BW3858" s="16">
        <f t="shared" si="850"/>
        <v>1.543453779795774E-59</v>
      </c>
      <c r="BY3858" s="16">
        <f t="shared" si="851"/>
        <v>381.60000000001827</v>
      </c>
      <c r="BZ3858" s="16">
        <f t="shared" si="842"/>
        <v>4.0446901986260487E-62</v>
      </c>
      <c r="CA3858" s="16">
        <f t="shared" si="849"/>
        <v>-999</v>
      </c>
      <c r="CE3858" s="16" t="e">
        <f t="shared" si="843"/>
        <v>#N/A</v>
      </c>
      <c r="CF3858" s="16">
        <f t="shared" si="844"/>
        <v>99</v>
      </c>
      <c r="CG3858" s="16">
        <f t="shared" si="845"/>
        <v>0</v>
      </c>
      <c r="CH3858" s="16">
        <f t="shared" si="852"/>
        <v>0</v>
      </c>
      <c r="CJ3858" s="16" t="e">
        <f t="shared" si="846"/>
        <v>#N/A</v>
      </c>
      <c r="CK3858" s="16" t="str">
        <f t="shared" si="847"/>
        <v/>
      </c>
    </row>
    <row r="3859" spans="73:89" ht="12" customHeight="1">
      <c r="BU3859" s="16">
        <f t="shared" si="848"/>
        <v>0</v>
      </c>
      <c r="BV3859" s="16">
        <f>IF($BY$12=1,NORMDIST(BY3859,$Y$6,$Y$8,TRUE),IF($BY$12=2,IF(BY3859&lt;=$BX$31,0,IF(BY3859&gt;=$BX$32,1,(BY3859-$BX$31)*$BX$33)),SUM($BU$42:BU3859)/$BV$40))</f>
        <v>1</v>
      </c>
      <c r="BW3859" s="16">
        <f t="shared" si="850"/>
        <v>1.4210160439068684E-59</v>
      </c>
      <c r="BY3859" s="16">
        <f t="shared" si="851"/>
        <v>381.70000000001829</v>
      </c>
      <c r="BZ3859" s="16">
        <f t="shared" si="842"/>
        <v>3.7228610005417878E-62</v>
      </c>
      <c r="CA3859" s="16">
        <f t="shared" si="849"/>
        <v>-999</v>
      </c>
      <c r="CE3859" s="16" t="e">
        <f t="shared" si="843"/>
        <v>#N/A</v>
      </c>
      <c r="CF3859" s="16">
        <f t="shared" si="844"/>
        <v>99</v>
      </c>
      <c r="CG3859" s="16">
        <f t="shared" si="845"/>
        <v>0</v>
      </c>
      <c r="CH3859" s="16">
        <f t="shared" si="852"/>
        <v>0</v>
      </c>
      <c r="CJ3859" s="16" t="e">
        <f t="shared" si="846"/>
        <v>#N/A</v>
      </c>
      <c r="CK3859" s="16" t="str">
        <f t="shared" si="847"/>
        <v/>
      </c>
    </row>
    <row r="3860" spans="73:89" ht="12" customHeight="1">
      <c r="BU3860" s="16">
        <f t="shared" si="848"/>
        <v>0</v>
      </c>
      <c r="BV3860" s="16">
        <f>IF($BY$12=1,NORMDIST(BY3860,$Y$6,$Y$8,TRUE),IF($BY$12=2,IF(BY3860&lt;=$BX$31,0,IF(BY3860&gt;=$BX$32,1,(BY3860-$BX$31)*$BX$33)),SUM($BU$42:BU3860)/$BV$40))</f>
        <v>1</v>
      </c>
      <c r="BW3860" s="16">
        <f t="shared" si="850"/>
        <v>1.3082581437459959E-59</v>
      </c>
      <c r="BY3860" s="16">
        <f t="shared" si="851"/>
        <v>381.80000000001831</v>
      </c>
      <c r="BZ3860" s="16">
        <f t="shared" si="842"/>
        <v>3.4265535456939057E-62</v>
      </c>
      <c r="CA3860" s="16">
        <f t="shared" si="849"/>
        <v>-999</v>
      </c>
      <c r="CE3860" s="16" t="e">
        <f t="shared" si="843"/>
        <v>#N/A</v>
      </c>
      <c r="CF3860" s="16">
        <f t="shared" si="844"/>
        <v>99</v>
      </c>
      <c r="CG3860" s="16">
        <f t="shared" si="845"/>
        <v>0</v>
      </c>
      <c r="CH3860" s="16">
        <f t="shared" si="852"/>
        <v>0</v>
      </c>
      <c r="CJ3860" s="16" t="e">
        <f t="shared" si="846"/>
        <v>#N/A</v>
      </c>
      <c r="CK3860" s="16" t="str">
        <f t="shared" si="847"/>
        <v/>
      </c>
    </row>
    <row r="3861" spans="73:89" ht="12" customHeight="1">
      <c r="BU3861" s="16">
        <f t="shared" si="848"/>
        <v>0</v>
      </c>
      <c r="BV3861" s="16">
        <f>IF($BY$12=1,NORMDIST(BY3861,$Y$6,$Y$8,TRUE),IF($BY$12=2,IF(BY3861&lt;=$BX$31,0,IF(BY3861&gt;=$BX$32,1,(BY3861-$BX$31)*$BX$33)),SUM($BU$42:BU3861)/$BV$40))</f>
        <v>1</v>
      </c>
      <c r="BW3861" s="16">
        <f t="shared" si="850"/>
        <v>1.2044174115114539E-59</v>
      </c>
      <c r="BY3861" s="16">
        <f t="shared" si="851"/>
        <v>381.90000000001834</v>
      </c>
      <c r="BZ3861" s="16">
        <f t="shared" si="842"/>
        <v>3.1537507502262272E-62</v>
      </c>
      <c r="CA3861" s="16">
        <f t="shared" si="849"/>
        <v>-999</v>
      </c>
      <c r="CE3861" s="16" t="e">
        <f t="shared" si="843"/>
        <v>#N/A</v>
      </c>
      <c r="CF3861" s="16">
        <f t="shared" si="844"/>
        <v>99</v>
      </c>
      <c r="CG3861" s="16">
        <f t="shared" si="845"/>
        <v>0</v>
      </c>
      <c r="CH3861" s="16">
        <f t="shared" si="852"/>
        <v>0</v>
      </c>
      <c r="CJ3861" s="16" t="e">
        <f t="shared" si="846"/>
        <v>#N/A</v>
      </c>
      <c r="CK3861" s="16" t="str">
        <f t="shared" si="847"/>
        <v/>
      </c>
    </row>
    <row r="3862" spans="73:89" ht="12" customHeight="1">
      <c r="BU3862" s="16">
        <f t="shared" si="848"/>
        <v>0</v>
      </c>
      <c r="BV3862" s="16">
        <f>IF($BY$12=1,NORMDIST(BY3862,$Y$6,$Y$8,TRUE),IF($BY$12=2,IF(BY3862&lt;=$BX$31,0,IF(BY3862&gt;=$BX$32,1,(BY3862-$BX$31)*$BX$33)),SUM($BU$42:BU3862)/$BV$40))</f>
        <v>1</v>
      </c>
      <c r="BW3862" s="16">
        <f t="shared" si="850"/>
        <v>1.1087910620301797E-59</v>
      </c>
      <c r="BY3862" s="16">
        <f t="shared" si="851"/>
        <v>382.00000000001836</v>
      </c>
      <c r="BZ3862" s="16">
        <f t="shared" si="842"/>
        <v>2.9025944032202264E-62</v>
      </c>
      <c r="CA3862" s="16">
        <f t="shared" si="849"/>
        <v>-999</v>
      </c>
      <c r="CE3862" s="16" t="e">
        <f t="shared" si="843"/>
        <v>#N/A</v>
      </c>
      <c r="CF3862" s="16">
        <f t="shared" si="844"/>
        <v>99</v>
      </c>
      <c r="CG3862" s="16">
        <f t="shared" si="845"/>
        <v>0</v>
      </c>
      <c r="CH3862" s="16">
        <f t="shared" si="852"/>
        <v>0</v>
      </c>
      <c r="CJ3862" s="16" t="e">
        <f t="shared" si="846"/>
        <v>#N/A</v>
      </c>
      <c r="CK3862" s="16" t="str">
        <f t="shared" si="847"/>
        <v/>
      </c>
    </row>
    <row r="3863" spans="73:89" ht="12" customHeight="1">
      <c r="BU3863" s="16">
        <f t="shared" si="848"/>
        <v>0</v>
      </c>
      <c r="BV3863" s="16">
        <f>IF($BY$12=1,NORMDIST(BY3863,$Y$6,$Y$8,TRUE),IF($BY$12=2,IF(BY3863&lt;=$BX$31,0,IF(BY3863&gt;=$BX$32,1,(BY3863-$BX$31)*$BX$33)),SUM($BU$42:BU3863)/$BV$40))</f>
        <v>1</v>
      </c>
      <c r="BW3863" s="16">
        <f t="shared" si="850"/>
        <v>1.0207315073521772E-59</v>
      </c>
      <c r="BY3863" s="16">
        <f t="shared" si="851"/>
        <v>382.10000000001838</v>
      </c>
      <c r="BZ3863" s="16">
        <f t="shared" si="842"/>
        <v>2.6713726965509763E-62</v>
      </c>
      <c r="CA3863" s="16">
        <f t="shared" si="849"/>
        <v>-999</v>
      </c>
      <c r="CE3863" s="16" t="e">
        <f t="shared" si="843"/>
        <v>#N/A</v>
      </c>
      <c r="CF3863" s="16">
        <f t="shared" si="844"/>
        <v>99</v>
      </c>
      <c r="CG3863" s="16">
        <f t="shared" si="845"/>
        <v>0</v>
      </c>
      <c r="CH3863" s="16">
        <f t="shared" si="852"/>
        <v>0</v>
      </c>
      <c r="CJ3863" s="16" t="e">
        <f t="shared" si="846"/>
        <v>#N/A</v>
      </c>
      <c r="CK3863" s="16" t="str">
        <f t="shared" si="847"/>
        <v/>
      </c>
    </row>
    <row r="3864" spans="73:89" ht="12" customHeight="1">
      <c r="BU3864" s="16">
        <f t="shared" si="848"/>
        <v>0</v>
      </c>
      <c r="BV3864" s="16">
        <f>IF($BY$12=1,NORMDIST(BY3864,$Y$6,$Y$8,TRUE),IF($BY$12=2,IF(BY3864&lt;=$BX$31,0,IF(BY3864&gt;=$BX$32,1,(BY3864-$BX$31)*$BX$33)),SUM($BU$42:BU3864)/$BV$40))</f>
        <v>1</v>
      </c>
      <c r="BW3864" s="16">
        <f t="shared" si="850"/>
        <v>9.3964203665078431E-60</v>
      </c>
      <c r="BY3864" s="16">
        <f t="shared" si="851"/>
        <v>382.20000000001841</v>
      </c>
      <c r="BZ3864" s="16">
        <f t="shared" si="842"/>
        <v>2.4585087301170567E-62</v>
      </c>
      <c r="CA3864" s="16">
        <f t="shared" si="849"/>
        <v>-999</v>
      </c>
      <c r="CE3864" s="16" t="e">
        <f t="shared" si="843"/>
        <v>#N/A</v>
      </c>
      <c r="CF3864" s="16">
        <f t="shared" si="844"/>
        <v>99</v>
      </c>
      <c r="CG3864" s="16">
        <f t="shared" si="845"/>
        <v>0</v>
      </c>
      <c r="CH3864" s="16">
        <f t="shared" si="852"/>
        <v>0</v>
      </c>
      <c r="CJ3864" s="16" t="e">
        <f t="shared" si="846"/>
        <v>#N/A</v>
      </c>
      <c r="CK3864" s="16" t="str">
        <f t="shared" si="847"/>
        <v/>
      </c>
    </row>
    <row r="3865" spans="73:89" ht="12" customHeight="1">
      <c r="BU3865" s="16">
        <f t="shared" si="848"/>
        <v>0</v>
      </c>
      <c r="BV3865" s="16">
        <f>IF($BY$12=1,NORMDIST(BY3865,$Y$6,$Y$8,TRUE),IF($BY$12=2,IF(BY3865&lt;=$BX$31,0,IF(BY3865&gt;=$BX$32,1,(BY3865-$BX$31)*$BX$33)),SUM($BU$42:BU3865)/$BV$40))</f>
        <v>1</v>
      </c>
      <c r="BW3865" s="16">
        <f t="shared" si="850"/>
        <v>8.6497283304931473E-60</v>
      </c>
      <c r="BY3865" s="16">
        <f t="shared" si="851"/>
        <v>382.30000000001843</v>
      </c>
      <c r="BZ3865" s="16">
        <f t="shared" si="842"/>
        <v>2.2625499164249883E-62</v>
      </c>
      <c r="CA3865" s="16">
        <f t="shared" si="849"/>
        <v>-999</v>
      </c>
      <c r="CE3865" s="16" t="e">
        <f t="shared" si="843"/>
        <v>#N/A</v>
      </c>
      <c r="CF3865" s="16">
        <f t="shared" si="844"/>
        <v>99</v>
      </c>
      <c r="CG3865" s="16">
        <f t="shared" si="845"/>
        <v>0</v>
      </c>
      <c r="CH3865" s="16">
        <f t="shared" si="852"/>
        <v>0</v>
      </c>
      <c r="CJ3865" s="16" t="e">
        <f t="shared" si="846"/>
        <v>#N/A</v>
      </c>
      <c r="CK3865" s="16" t="str">
        <f t="shared" si="847"/>
        <v/>
      </c>
    </row>
    <row r="3866" spans="73:89" ht="12" customHeight="1">
      <c r="BU3866" s="16">
        <f t="shared" si="848"/>
        <v>0</v>
      </c>
      <c r="BV3866" s="16">
        <f>IF($BY$12=1,NORMDIST(BY3866,$Y$6,$Y$8,TRUE),IF($BY$12=2,IF(BY3866&lt;=$BX$31,0,IF(BY3866&gt;=$BX$32,1,(BY3866-$BX$31)*$BX$33)),SUM($BU$42:BU3866)/$BV$40))</f>
        <v>1</v>
      </c>
      <c r="BW3866" s="16">
        <f t="shared" si="850"/>
        <v>7.9621730119033455E-60</v>
      </c>
      <c r="BY3866" s="16">
        <f t="shared" si="851"/>
        <v>382.40000000001845</v>
      </c>
      <c r="BZ3866" s="16">
        <f t="shared" si="842"/>
        <v>2.0821582144097701E-62</v>
      </c>
      <c r="CA3866" s="16">
        <f t="shared" si="849"/>
        <v>-999</v>
      </c>
      <c r="CE3866" s="16" t="e">
        <f t="shared" si="843"/>
        <v>#N/A</v>
      </c>
      <c r="CF3866" s="16">
        <f t="shared" si="844"/>
        <v>99</v>
      </c>
      <c r="CG3866" s="16">
        <f t="shared" si="845"/>
        <v>0</v>
      </c>
      <c r="CH3866" s="16">
        <f t="shared" si="852"/>
        <v>0</v>
      </c>
      <c r="CJ3866" s="16" t="e">
        <f t="shared" si="846"/>
        <v>#N/A</v>
      </c>
      <c r="CK3866" s="16" t="str">
        <f t="shared" si="847"/>
        <v/>
      </c>
    </row>
    <row r="3867" spans="73:89" ht="12" customHeight="1">
      <c r="BU3867" s="16">
        <f t="shared" si="848"/>
        <v>0</v>
      </c>
      <c r="BV3867" s="16">
        <f>IF($BY$12=1,NORMDIST(BY3867,$Y$6,$Y$8,TRUE),IF($BY$12=2,IF(BY3867&lt;=$BX$31,0,IF(BY3867&gt;=$BX$32,1,(BY3867-$BX$31)*$BX$33)),SUM($BU$42:BU3867)/$BV$40))</f>
        <v>1</v>
      </c>
      <c r="BW3867" s="16">
        <f t="shared" si="850"/>
        <v>7.3290868139238044E-60</v>
      </c>
      <c r="BY3867" s="16">
        <f t="shared" si="851"/>
        <v>382.50000000001847</v>
      </c>
      <c r="BZ3867" s="16">
        <f t="shared" si="842"/>
        <v>1.9161011278231242E-62</v>
      </c>
      <c r="CA3867" s="16">
        <f t="shared" si="849"/>
        <v>-999</v>
      </c>
      <c r="CE3867" s="16" t="e">
        <f t="shared" si="843"/>
        <v>#N/A</v>
      </c>
      <c r="CF3867" s="16">
        <f t="shared" si="844"/>
        <v>99</v>
      </c>
      <c r="CG3867" s="16">
        <f t="shared" si="845"/>
        <v>0</v>
      </c>
      <c r="CH3867" s="16">
        <f t="shared" si="852"/>
        <v>0</v>
      </c>
      <c r="CJ3867" s="16" t="e">
        <f t="shared" si="846"/>
        <v>#N/A</v>
      </c>
      <c r="CK3867" s="16" t="str">
        <f t="shared" si="847"/>
        <v/>
      </c>
    </row>
    <row r="3868" spans="73:89" ht="12" customHeight="1">
      <c r="BU3868" s="16">
        <f t="shared" si="848"/>
        <v>0</v>
      </c>
      <c r="BV3868" s="16">
        <f>IF($BY$12=1,NORMDIST(BY3868,$Y$6,$Y$8,TRUE),IF($BY$12=2,IF(BY3868&lt;=$BX$31,0,IF(BY3868&gt;=$BX$32,1,(BY3868-$BX$31)*$BX$33)),SUM($BU$42:BU3868)/$BV$40))</f>
        <v>1</v>
      </c>
      <c r="BW3868" s="16">
        <f t="shared" si="850"/>
        <v>6.7461692810902482E-60</v>
      </c>
      <c r="BY3868" s="16">
        <f t="shared" si="851"/>
        <v>382.6000000000185</v>
      </c>
      <c r="BZ3868" s="16">
        <f t="shared" si="842"/>
        <v>1.7632434085441511E-62</v>
      </c>
      <c r="CA3868" s="16">
        <f t="shared" si="849"/>
        <v>-999</v>
      </c>
      <c r="CE3868" s="16" t="e">
        <f t="shared" si="843"/>
        <v>#N/A</v>
      </c>
      <c r="CF3868" s="16">
        <f t="shared" si="844"/>
        <v>99</v>
      </c>
      <c r="CG3868" s="16">
        <f t="shared" si="845"/>
        <v>0</v>
      </c>
      <c r="CH3868" s="16">
        <f t="shared" si="852"/>
        <v>0</v>
      </c>
      <c r="CJ3868" s="16" t="e">
        <f t="shared" si="846"/>
        <v>#N/A</v>
      </c>
      <c r="CK3868" s="16" t="str">
        <f t="shared" si="847"/>
        <v/>
      </c>
    </row>
    <row r="3869" spans="73:89" ht="12" customHeight="1">
      <c r="BU3869" s="16">
        <f t="shared" si="848"/>
        <v>0</v>
      </c>
      <c r="BV3869" s="16">
        <f>IF($BY$12=1,NORMDIST(BY3869,$Y$6,$Y$8,TRUE),IF($BY$12=2,IF(BY3869&lt;=$BX$31,0,IF(BY3869&gt;=$BX$32,1,(BY3869-$BX$31)*$BX$33)),SUM($BU$42:BU3869)/$BV$40))</f>
        <v>1</v>
      </c>
      <c r="BW3869" s="16">
        <f t="shared" si="850"/>
        <v>6.2094583213202805E-60</v>
      </c>
      <c r="BY3869" s="16">
        <f t="shared" si="851"/>
        <v>382.70000000001852</v>
      </c>
      <c r="BZ3869" s="16">
        <f t="shared" si="842"/>
        <v>1.6225394098040188E-62</v>
      </c>
      <c r="CA3869" s="16">
        <f t="shared" si="849"/>
        <v>-999</v>
      </c>
      <c r="CE3869" s="16" t="e">
        <f t="shared" si="843"/>
        <v>#N/A</v>
      </c>
      <c r="CF3869" s="16">
        <f t="shared" si="844"/>
        <v>99</v>
      </c>
      <c r="CG3869" s="16">
        <f t="shared" si="845"/>
        <v>0</v>
      </c>
      <c r="CH3869" s="16">
        <f t="shared" si="852"/>
        <v>0</v>
      </c>
      <c r="CJ3869" s="16" t="e">
        <f t="shared" si="846"/>
        <v>#N/A</v>
      </c>
      <c r="CK3869" s="16" t="str">
        <f t="shared" si="847"/>
        <v/>
      </c>
    </row>
    <row r="3870" spans="73:89" ht="12" customHeight="1">
      <c r="BU3870" s="16">
        <f t="shared" si="848"/>
        <v>0</v>
      </c>
      <c r="BV3870" s="16">
        <f>IF($BY$12=1,NORMDIST(BY3870,$Y$6,$Y$8,TRUE),IF($BY$12=2,IF(BY3870&lt;=$BX$31,0,IF(BY3870&gt;=$BX$32,1,(BY3870-$BX$31)*$BX$33)),SUM($BU$42:BU3870)/$BV$40))</f>
        <v>1</v>
      </c>
      <c r="BW3870" s="16">
        <f t="shared" si="850"/>
        <v>5.7153036757400443E-60</v>
      </c>
      <c r="BY3870" s="16">
        <f t="shared" si="851"/>
        <v>382.80000000001854</v>
      </c>
      <c r="BZ3870" s="16">
        <f t="shared" si="842"/>
        <v>1.4930260385945055E-62</v>
      </c>
      <c r="CA3870" s="16">
        <f t="shared" si="849"/>
        <v>-999</v>
      </c>
      <c r="CE3870" s="16" t="e">
        <f t="shared" si="843"/>
        <v>#N/A</v>
      </c>
      <c r="CF3870" s="16">
        <f t="shared" si="844"/>
        <v>99</v>
      </c>
      <c r="CG3870" s="16">
        <f t="shared" si="845"/>
        <v>0</v>
      </c>
      <c r="CH3870" s="16">
        <f t="shared" si="852"/>
        <v>0</v>
      </c>
      <c r="CJ3870" s="16" t="e">
        <f t="shared" si="846"/>
        <v>#N/A</v>
      </c>
      <c r="CK3870" s="16" t="str">
        <f t="shared" si="847"/>
        <v/>
      </c>
    </row>
    <row r="3871" spans="73:89" ht="12" customHeight="1">
      <c r="BU3871" s="16">
        <f t="shared" si="848"/>
        <v>0</v>
      </c>
      <c r="BV3871" s="16">
        <f>IF($BY$12=1,NORMDIST(BY3871,$Y$6,$Y$8,TRUE),IF($BY$12=2,IF(BY3871&lt;=$BX$31,0,IF(BY3871&gt;=$BX$32,1,(BY3871-$BX$31)*$BX$33)),SUM($BU$42:BU3871)/$BV$40))</f>
        <v>1</v>
      </c>
      <c r="BW3871" s="16">
        <f t="shared" si="850"/>
        <v>5.2603424613559143E-60</v>
      </c>
      <c r="BY3871" s="16">
        <f t="shared" si="851"/>
        <v>382.90000000001857</v>
      </c>
      <c r="BZ3871" s="16">
        <f t="shared" si="842"/>
        <v>1.3738162604741864E-62</v>
      </c>
      <c r="CA3871" s="16">
        <f t="shared" si="849"/>
        <v>-999</v>
      </c>
      <c r="CE3871" s="16" t="e">
        <f t="shared" si="843"/>
        <v>#N/A</v>
      </c>
      <c r="CF3871" s="16">
        <f t="shared" si="844"/>
        <v>99</v>
      </c>
      <c r="CG3871" s="16">
        <f t="shared" si="845"/>
        <v>0</v>
      </c>
      <c r="CH3871" s="16">
        <f t="shared" si="852"/>
        <v>0</v>
      </c>
      <c r="CJ3871" s="16" t="e">
        <f t="shared" si="846"/>
        <v>#N/A</v>
      </c>
      <c r="CK3871" s="16" t="str">
        <f t="shared" si="847"/>
        <v/>
      </c>
    </row>
    <row r="3872" spans="73:89" ht="12" customHeight="1">
      <c r="BU3872" s="16">
        <f t="shared" si="848"/>
        <v>0</v>
      </c>
      <c r="BV3872" s="16">
        <f>IF($BY$12=1,NORMDIST(BY3872,$Y$6,$Y$8,TRUE),IF($BY$12=2,IF(BY3872&lt;=$BX$31,0,IF(BY3872&gt;=$BX$32,1,(BY3872-$BX$31)*$BX$33)),SUM($BU$42:BU3872)/$BV$40))</f>
        <v>1</v>
      </c>
      <c r="BW3872" s="16">
        <f t="shared" si="850"/>
        <v>4.8414766251968663E-60</v>
      </c>
      <c r="BY3872" s="16">
        <f t="shared" si="851"/>
        <v>383.00000000001859</v>
      </c>
      <c r="BZ3872" s="16">
        <f t="shared" si="842"/>
        <v>1.2640931136283633E-62</v>
      </c>
      <c r="CA3872" s="16">
        <f t="shared" si="849"/>
        <v>-999</v>
      </c>
      <c r="CE3872" s="16" t="e">
        <f t="shared" si="843"/>
        <v>#N/A</v>
      </c>
      <c r="CF3872" s="16">
        <f t="shared" si="844"/>
        <v>99</v>
      </c>
      <c r="CG3872" s="16">
        <f t="shared" si="845"/>
        <v>0</v>
      </c>
      <c r="CH3872" s="16">
        <f t="shared" si="852"/>
        <v>0</v>
      </c>
      <c r="CJ3872" s="16" t="e">
        <f t="shared" si="846"/>
        <v>#N/A</v>
      </c>
      <c r="CK3872" s="16" t="str">
        <f t="shared" si="847"/>
        <v/>
      </c>
    </row>
    <row r="3873" spans="73:89" ht="12" customHeight="1">
      <c r="BU3873" s="16">
        <f t="shared" si="848"/>
        <v>0</v>
      </c>
      <c r="BV3873" s="16">
        <f>IF($BY$12=1,NORMDIST(BY3873,$Y$6,$Y$8,TRUE),IF($BY$12=2,IF(BY3873&lt;=$BX$31,0,IF(BY3873&gt;=$BX$32,1,(BY3873-$BX$31)*$BX$33)),SUM($BU$42:BU3873)/$BV$40))</f>
        <v>1</v>
      </c>
      <c r="BW3873" s="16">
        <f t="shared" si="850"/>
        <v>4.4558521610628512E-60</v>
      </c>
      <c r="BY3873" s="16">
        <f t="shared" si="851"/>
        <v>383.10000000001861</v>
      </c>
      <c r="BZ3873" s="16">
        <f t="shared" si="842"/>
        <v>1.1631041923943186E-62</v>
      </c>
      <c r="CA3873" s="16">
        <f t="shared" si="849"/>
        <v>-999</v>
      </c>
      <c r="CE3873" s="16" t="e">
        <f t="shared" si="843"/>
        <v>#N/A</v>
      </c>
      <c r="CF3873" s="16">
        <f t="shared" si="844"/>
        <v>99</v>
      </c>
      <c r="CG3873" s="16">
        <f t="shared" si="845"/>
        <v>0</v>
      </c>
      <c r="CH3873" s="16">
        <f t="shared" si="852"/>
        <v>0</v>
      </c>
      <c r="CJ3873" s="16" t="e">
        <f t="shared" si="846"/>
        <v>#N/A</v>
      </c>
      <c r="CK3873" s="16" t="str">
        <f t="shared" si="847"/>
        <v/>
      </c>
    </row>
    <row r="3874" spans="73:89" ht="12" customHeight="1">
      <c r="BU3874" s="16">
        <f t="shared" si="848"/>
        <v>0</v>
      </c>
      <c r="BV3874" s="16">
        <f>IF($BY$12=1,NORMDIST(BY3874,$Y$6,$Y$8,TRUE),IF($BY$12=2,IF(BY3874&lt;=$BX$31,0,IF(BY3874&gt;=$BX$32,1,(BY3874-$BX$31)*$BX$33)),SUM($BU$42:BU3874)/$BV$40))</f>
        <v>1</v>
      </c>
      <c r="BW3874" s="16">
        <f t="shared" si="850"/>
        <v>4.1008399515727644E-60</v>
      </c>
      <c r="BY3874" s="16">
        <f t="shared" si="851"/>
        <v>383.20000000001863</v>
      </c>
      <c r="BZ3874" s="16">
        <f t="shared" si="842"/>
        <v>1.0701565635627779E-62</v>
      </c>
      <c r="CA3874" s="16">
        <f t="shared" si="849"/>
        <v>-999</v>
      </c>
      <c r="CE3874" s="16" t="e">
        <f t="shared" si="843"/>
        <v>#N/A</v>
      </c>
      <c r="CF3874" s="16">
        <f t="shared" si="844"/>
        <v>99</v>
      </c>
      <c r="CG3874" s="16">
        <f t="shared" si="845"/>
        <v>0</v>
      </c>
      <c r="CH3874" s="16">
        <f t="shared" si="852"/>
        <v>0</v>
      </c>
      <c r="CJ3874" s="16" t="e">
        <f t="shared" si="846"/>
        <v>#N/A</v>
      </c>
      <c r="CK3874" s="16" t="str">
        <f t="shared" si="847"/>
        <v/>
      </c>
    </row>
    <row r="3875" spans="73:89" ht="12" customHeight="1">
      <c r="BU3875" s="16">
        <f t="shared" si="848"/>
        <v>0</v>
      </c>
      <c r="BV3875" s="16">
        <f>IF($BY$12=1,NORMDIST(BY3875,$Y$6,$Y$8,TRUE),IF($BY$12=2,IF(BY3875&lt;=$BX$31,0,IF(BY3875&gt;=$BX$32,1,(BY3875-$BX$31)*$BX$33)),SUM($BU$42:BU3875)/$BV$40))</f>
        <v>1</v>
      </c>
      <c r="BW3875" s="16">
        <f t="shared" si="850"/>
        <v>3.7740181088605228E-60</v>
      </c>
      <c r="BY3875" s="16">
        <f t="shared" si="851"/>
        <v>383.30000000001866</v>
      </c>
      <c r="BZ3875" s="16">
        <f t="shared" si="842"/>
        <v>9.846120816228383E-63</v>
      </c>
      <c r="CA3875" s="16">
        <f t="shared" si="849"/>
        <v>-999</v>
      </c>
      <c r="CE3875" s="16" t="e">
        <f t="shared" si="843"/>
        <v>#N/A</v>
      </c>
      <c r="CF3875" s="16">
        <f t="shared" si="844"/>
        <v>99</v>
      </c>
      <c r="CG3875" s="16">
        <f t="shared" si="845"/>
        <v>0</v>
      </c>
      <c r="CH3875" s="16">
        <f t="shared" si="852"/>
        <v>0</v>
      </c>
      <c r="CJ3875" s="16" t="e">
        <f t="shared" si="846"/>
        <v>#N/A</v>
      </c>
      <c r="CK3875" s="16" t="str">
        <f t="shared" si="847"/>
        <v/>
      </c>
    </row>
    <row r="3876" spans="73:89" ht="12" customHeight="1">
      <c r="BU3876" s="16">
        <f t="shared" si="848"/>
        <v>0</v>
      </c>
      <c r="BV3876" s="16">
        <f>IF($BY$12=1,NORMDIST(BY3876,$Y$6,$Y$8,TRUE),IF($BY$12=2,IF(BY3876&lt;=$BX$31,0,IF(BY3876&gt;=$BX$32,1,(BY3876-$BX$31)*$BX$33)),SUM($BU$42:BU3876)/$BV$40))</f>
        <v>1</v>
      </c>
      <c r="BW3876" s="16">
        <f t="shared" si="850"/>
        <v>3.4731556971011031E-60</v>
      </c>
      <c r="BY3876" s="16">
        <f t="shared" si="851"/>
        <v>383.40000000001868</v>
      </c>
      <c r="BZ3876" s="16">
        <f t="shared" si="842"/>
        <v>9.058830717529822E-63</v>
      </c>
      <c r="CA3876" s="16">
        <f t="shared" si="849"/>
        <v>-999</v>
      </c>
      <c r="CE3876" s="16" t="e">
        <f t="shared" si="843"/>
        <v>#N/A</v>
      </c>
      <c r="CF3876" s="16">
        <f t="shared" si="844"/>
        <v>99</v>
      </c>
      <c r="CG3876" s="16">
        <f t="shared" si="845"/>
        <v>0</v>
      </c>
      <c r="CH3876" s="16">
        <f t="shared" si="852"/>
        <v>0</v>
      </c>
      <c r="CJ3876" s="16" t="e">
        <f t="shared" si="846"/>
        <v>#N/A</v>
      </c>
      <c r="CK3876" s="16" t="str">
        <f t="shared" si="847"/>
        <v/>
      </c>
    </row>
    <row r="3877" spans="73:89" ht="12" customHeight="1">
      <c r="BU3877" s="16">
        <f t="shared" si="848"/>
        <v>0</v>
      </c>
      <c r="BV3877" s="16">
        <f>IF($BY$12=1,NORMDIST(BY3877,$Y$6,$Y$8,TRUE),IF($BY$12=2,IF(BY3877&lt;=$BX$31,0,IF(BY3877&gt;=$BX$32,1,(BY3877-$BX$31)*$BX$33)),SUM($BU$42:BU3877)/$BV$40))</f>
        <v>1</v>
      </c>
      <c r="BW3877" s="16">
        <f t="shared" si="850"/>
        <v>3.1961977291230169E-60</v>
      </c>
      <c r="BY3877" s="16">
        <f t="shared" si="851"/>
        <v>383.5000000000187</v>
      </c>
      <c r="BZ3877" s="16">
        <f t="shared" si="842"/>
        <v>8.3342835179214104E-63</v>
      </c>
      <c r="CA3877" s="16">
        <f t="shared" si="849"/>
        <v>-999</v>
      </c>
      <c r="CE3877" s="16" t="e">
        <f t="shared" si="843"/>
        <v>#N/A</v>
      </c>
      <c r="CF3877" s="16">
        <f t="shared" si="844"/>
        <v>99</v>
      </c>
      <c r="CG3877" s="16">
        <f t="shared" si="845"/>
        <v>0</v>
      </c>
      <c r="CH3877" s="16">
        <f t="shared" si="852"/>
        <v>0</v>
      </c>
      <c r="CJ3877" s="16" t="e">
        <f t="shared" si="846"/>
        <v>#N/A</v>
      </c>
      <c r="CK3877" s="16" t="str">
        <f t="shared" si="847"/>
        <v/>
      </c>
    </row>
    <row r="3878" spans="73:89" ht="12" customHeight="1">
      <c r="BU3878" s="16">
        <f t="shared" si="848"/>
        <v>0</v>
      </c>
      <c r="BV3878" s="16">
        <f>IF($BY$12=1,NORMDIST(BY3878,$Y$6,$Y$8,TRUE),IF($BY$12=2,IF(BY3878&lt;=$BX$31,0,IF(BY3878&gt;=$BX$32,1,(BY3878-$BX$31)*$BX$33)),SUM($BU$42:BU3878)/$BV$40))</f>
        <v>1</v>
      </c>
      <c r="BW3878" s="16">
        <f t="shared" si="850"/>
        <v>2.9412513377347629E-60</v>
      </c>
      <c r="BY3878" s="16">
        <f t="shared" si="851"/>
        <v>383.60000000001872</v>
      </c>
      <c r="BZ3878" s="16">
        <f t="shared" si="842"/>
        <v>7.6674956666700194E-63</v>
      </c>
      <c r="CA3878" s="16">
        <f t="shared" si="849"/>
        <v>-999</v>
      </c>
      <c r="CE3878" s="16" t="e">
        <f t="shared" si="843"/>
        <v>#N/A</v>
      </c>
      <c r="CF3878" s="16">
        <f t="shared" si="844"/>
        <v>99</v>
      </c>
      <c r="CG3878" s="16">
        <f t="shared" si="845"/>
        <v>0</v>
      </c>
      <c r="CH3878" s="16">
        <f t="shared" si="852"/>
        <v>0</v>
      </c>
      <c r="CJ3878" s="16" t="e">
        <f t="shared" si="846"/>
        <v>#N/A</v>
      </c>
      <c r="CK3878" s="16" t="str">
        <f t="shared" si="847"/>
        <v/>
      </c>
    </row>
    <row r="3879" spans="73:89" ht="12" customHeight="1">
      <c r="BU3879" s="16">
        <f t="shared" si="848"/>
        <v>0</v>
      </c>
      <c r="BV3879" s="16">
        <f>IF($BY$12=1,NORMDIST(BY3879,$Y$6,$Y$8,TRUE),IF($BY$12=2,IF(BY3879&lt;=$BX$31,0,IF(BY3879&gt;=$BX$32,1,(BY3879-$BX$31)*$BX$33)),SUM($BU$42:BU3879)/$BV$40))</f>
        <v>1</v>
      </c>
      <c r="BW3879" s="16">
        <f t="shared" si="850"/>
        <v>2.706573030113459E-60</v>
      </c>
      <c r="BY3879" s="16">
        <f t="shared" si="851"/>
        <v>383.70000000001875</v>
      </c>
      <c r="BZ3879" s="16">
        <f t="shared" si="842"/>
        <v>7.0538781081921472E-63</v>
      </c>
      <c r="CA3879" s="16">
        <f t="shared" si="849"/>
        <v>-999</v>
      </c>
      <c r="CE3879" s="16" t="e">
        <f t="shared" si="843"/>
        <v>#N/A</v>
      </c>
      <c r="CF3879" s="16">
        <f t="shared" si="844"/>
        <v>99</v>
      </c>
      <c r="CG3879" s="16">
        <f t="shared" si="845"/>
        <v>0</v>
      </c>
      <c r="CH3879" s="16">
        <f t="shared" si="852"/>
        <v>0</v>
      </c>
      <c r="CJ3879" s="16" t="e">
        <f t="shared" si="846"/>
        <v>#N/A</v>
      </c>
      <c r="CK3879" s="16" t="str">
        <f t="shared" si="847"/>
        <v/>
      </c>
    </row>
    <row r="3880" spans="73:89" ht="12" customHeight="1">
      <c r="BU3880" s="16">
        <f t="shared" si="848"/>
        <v>0</v>
      </c>
      <c r="BV3880" s="16">
        <f>IF($BY$12=1,NORMDIST(BY3880,$Y$6,$Y$8,TRUE),IF($BY$12=2,IF(BY3880&lt;=$BX$31,0,IF(BY3880&gt;=$BX$32,1,(BY3880-$BX$31)*$BX$33)),SUM($BU$42:BU3880)/$BV$40))</f>
        <v>1</v>
      </c>
      <c r="BW3880" s="16">
        <f t="shared" si="850"/>
        <v>2.490556940730402E-60</v>
      </c>
      <c r="BY3880" s="16">
        <f t="shared" si="851"/>
        <v>383.80000000001877</v>
      </c>
      <c r="BZ3880" s="16">
        <f t="shared" si="842"/>
        <v>6.489205160839709E-63</v>
      </c>
      <c r="CA3880" s="16">
        <f t="shared" si="849"/>
        <v>-999</v>
      </c>
      <c r="CE3880" s="16" t="e">
        <f t="shared" si="843"/>
        <v>#N/A</v>
      </c>
      <c r="CF3880" s="16">
        <f t="shared" si="844"/>
        <v>99</v>
      </c>
      <c r="CG3880" s="16">
        <f t="shared" si="845"/>
        <v>0</v>
      </c>
      <c r="CH3880" s="16">
        <f t="shared" si="852"/>
        <v>0</v>
      </c>
      <c r="CJ3880" s="16" t="e">
        <f t="shared" si="846"/>
        <v>#N/A</v>
      </c>
      <c r="CK3880" s="16" t="str">
        <f t="shared" si="847"/>
        <v/>
      </c>
    </row>
    <row r="3881" spans="73:89" ht="12" customHeight="1">
      <c r="BU3881" s="16">
        <f t="shared" si="848"/>
        <v>0</v>
      </c>
      <c r="BV3881" s="16">
        <f>IF($BY$12=1,NORMDIST(BY3881,$Y$6,$Y$8,TRUE),IF($BY$12=2,IF(BY3881&lt;=$BX$31,0,IF(BY3881&gt;=$BX$32,1,(BY3881-$BX$31)*$BX$33)),SUM($BU$42:BU3881)/$BV$40))</f>
        <v>1</v>
      </c>
      <c r="BW3881" s="16">
        <f t="shared" si="850"/>
        <v>2.2917240048625615E-60</v>
      </c>
      <c r="BY3881" s="16">
        <f t="shared" si="851"/>
        <v>383.90000000001879</v>
      </c>
      <c r="BZ3881" s="16">
        <f t="shared" si="842"/>
        <v>5.9695858423090629E-63</v>
      </c>
      <c r="CA3881" s="16">
        <f t="shared" si="849"/>
        <v>-999</v>
      </c>
      <c r="CE3881" s="16" t="e">
        <f t="shared" si="843"/>
        <v>#N/A</v>
      </c>
      <c r="CF3881" s="16">
        <f t="shared" si="844"/>
        <v>99</v>
      </c>
      <c r="CG3881" s="16">
        <f t="shared" si="845"/>
        <v>0</v>
      </c>
      <c r="CH3881" s="16">
        <f t="shared" si="852"/>
        <v>0</v>
      </c>
      <c r="CJ3881" s="16" t="e">
        <f t="shared" si="846"/>
        <v>#N/A</v>
      </c>
      <c r="CK3881" s="16" t="str">
        <f t="shared" si="847"/>
        <v/>
      </c>
    </row>
    <row r="3882" spans="73:89" ht="12" customHeight="1">
      <c r="BU3882" s="16">
        <f t="shared" si="848"/>
        <v>0</v>
      </c>
      <c r="BV3882" s="16">
        <f>IF($BY$12=1,NORMDIST(BY3882,$Y$6,$Y$8,TRUE),IF($BY$12=2,IF(BY3882&lt;=$BX$31,0,IF(BY3882&gt;=$BX$32,1,(BY3882-$BX$31)*$BX$33)),SUM($BU$42:BU3882)/$BV$40))</f>
        <v>1</v>
      </c>
      <c r="BW3882" s="16">
        <f t="shared" si="850"/>
        <v>2.1087119807993049E-60</v>
      </c>
      <c r="BY3882" s="16">
        <f t="shared" si="851"/>
        <v>384.00000000001882</v>
      </c>
      <c r="BZ3882" s="16">
        <f t="shared" ref="BZ3882:BZ3945" si="853">IF($BZ$5,IF($BY$12=1,NORMDIST(BY3882,$Y$6,$Y$8,FALSE),IF($BY$12=2,IF(AND(BY3882&gt;=$BX$31,BY3882&lt;=$BX$32),$BX$33,0),IF(BY3882&lt;=$BX$13,0,NORMDIST(LN((BY3882-$BX$13)/$BX$12),0,$BW$8,FALSE)/((BY3882-$BX$13)/$BX$12)))),-999)</f>
        <v>5.4914374499979211E-63</v>
      </c>
      <c r="CA3882" s="16">
        <f t="shared" si="849"/>
        <v>-999</v>
      </c>
      <c r="CE3882" s="16" t="e">
        <f t="shared" ref="CE3882:CE3945" si="854">IF(AND($CB$7,$CD$2,$CD$1),26+$P$23/2-CC3882*$P$23,NA())</f>
        <v>#N/A</v>
      </c>
      <c r="CF3882" s="16">
        <f t="shared" ref="CF3882:CF3945" si="855">IF(ISNA(CJ3882),99,CJ3882)</f>
        <v>99</v>
      </c>
      <c r="CG3882" s="16">
        <f t="shared" ref="CG3882:CG3945" si="856">IF(ISNA(CJ3882),0,CJ3882)</f>
        <v>0</v>
      </c>
      <c r="CH3882" s="16">
        <f t="shared" si="852"/>
        <v>0</v>
      </c>
      <c r="CJ3882" s="16" t="e">
        <f t="shared" ref="CJ3882:CJ3945" si="857">IF(CH3882=1,CE3882,NA())</f>
        <v>#N/A</v>
      </c>
      <c r="CK3882" s="16" t="str">
        <f t="shared" ref="CK3882:CK3945" si="858">IF(CH3882=1,M3781,"")</f>
        <v/>
      </c>
    </row>
    <row r="3883" spans="73:89" ht="12" customHeight="1">
      <c r="BU3883" s="16">
        <f t="shared" ref="BU3883:BU3946" si="859">IF($BY$12&lt;3,0,IF(BY3883&lt;=$BX$13,0,NORMDIST(LN((BY3883-$BX$13)/$BX$12),0,$BW$8,FALSE)/((BY3883-$BX$13)/$BX$12)))</f>
        <v>0</v>
      </c>
      <c r="BV3883" s="16">
        <f>IF($BY$12=1,NORMDIST(BY3883,$Y$6,$Y$8,TRUE),IF($BY$12=2,IF(BY3883&lt;=$BX$31,0,IF(BY3883&gt;=$BX$32,1,(BY3883-$BX$31)*$BX$33)),SUM($BU$42:BU3883)/$BV$40))</f>
        <v>1</v>
      </c>
      <c r="BW3883" s="16">
        <f t="shared" si="850"/>
        <v>1.9402662544506676E-60</v>
      </c>
      <c r="BY3883" s="16">
        <f t="shared" si="851"/>
        <v>384.10000000001884</v>
      </c>
      <c r="BZ3883" s="16">
        <f t="shared" si="853"/>
        <v>5.0514612196057599E-63</v>
      </c>
      <c r="CA3883" s="16">
        <f t="shared" ref="CA3883:CA3946" si="860">IF(AND($CD$1,$CD$3),26-$CD$40*NORMDIST(BY3883,$Y$6,$Y$8/SQRT($T$18),FALSE),-999)</f>
        <v>-999</v>
      </c>
      <c r="CE3883" s="16" t="e">
        <f t="shared" si="854"/>
        <v>#N/A</v>
      </c>
      <c r="CF3883" s="16">
        <f t="shared" si="855"/>
        <v>99</v>
      </c>
      <c r="CG3883" s="16">
        <f t="shared" si="856"/>
        <v>0</v>
      </c>
      <c r="CH3883" s="16">
        <f t="shared" si="852"/>
        <v>0</v>
      </c>
      <c r="CJ3883" s="16" t="e">
        <f t="shared" si="857"/>
        <v>#N/A</v>
      </c>
      <c r="CK3883" s="16" t="str">
        <f t="shared" si="858"/>
        <v/>
      </c>
    </row>
    <row r="3884" spans="73:89" ht="12" customHeight="1">
      <c r="BU3884" s="16">
        <f t="shared" si="859"/>
        <v>0</v>
      </c>
      <c r="BV3884" s="16">
        <f>IF($BY$12=1,NORMDIST(BY3884,$Y$6,$Y$8,TRUE),IF($BY$12=2,IF(BY3884&lt;=$BX$31,0,IF(BY3884&gt;=$BX$32,1,(BY3884-$BX$31)*$BX$33)),SUM($BU$42:BU3884)/$BV$40))</f>
        <v>1</v>
      </c>
      <c r="BW3884" s="16">
        <f t="shared" si="850"/>
        <v>1.7852313652216995E-60</v>
      </c>
      <c r="BY3884" s="16">
        <f t="shared" si="851"/>
        <v>384.20000000001886</v>
      </c>
      <c r="BZ3884" s="16">
        <f t="shared" si="853"/>
        <v>4.6466198990671831E-63</v>
      </c>
      <c r="CA3884" s="16">
        <f t="shared" si="860"/>
        <v>-999</v>
      </c>
      <c r="CE3884" s="16" t="e">
        <f t="shared" si="854"/>
        <v>#N/A</v>
      </c>
      <c r="CF3884" s="16">
        <f t="shared" si="855"/>
        <v>99</v>
      </c>
      <c r="CG3884" s="16">
        <f t="shared" si="856"/>
        <v>0</v>
      </c>
      <c r="CH3884" s="16">
        <f t="shared" si="852"/>
        <v>0</v>
      </c>
      <c r="CJ3884" s="16" t="e">
        <f t="shared" si="857"/>
        <v>#N/A</v>
      </c>
      <c r="CK3884" s="16" t="str">
        <f t="shared" si="858"/>
        <v/>
      </c>
    </row>
    <row r="3885" spans="73:89" ht="12" customHeight="1">
      <c r="BU3885" s="16">
        <f t="shared" si="859"/>
        <v>0</v>
      </c>
      <c r="BV3885" s="16">
        <f>IF($BY$12=1,NORMDIST(BY3885,$Y$6,$Y$8,TRUE),IF($BY$12=2,IF(BY3885&lt;=$BX$31,0,IF(BY3885&gt;=$BX$32,1,(BY3885-$BX$31)*$BX$33)),SUM($BU$42:BU3885)/$BV$40))</f>
        <v>1</v>
      </c>
      <c r="BW3885" s="16">
        <f t="shared" si="850"/>
        <v>1.642543196778191E-60</v>
      </c>
      <c r="BY3885" s="16">
        <f t="shared" si="851"/>
        <v>384.30000000001888</v>
      </c>
      <c r="BZ3885" s="16">
        <f t="shared" si="853"/>
        <v>4.2741170876349472E-63</v>
      </c>
      <c r="CA3885" s="16">
        <f t="shared" si="860"/>
        <v>-999</v>
      </c>
      <c r="CE3885" s="16" t="e">
        <f t="shared" si="854"/>
        <v>#N/A</v>
      </c>
      <c r="CF3885" s="16">
        <f t="shared" si="855"/>
        <v>99</v>
      </c>
      <c r="CG3885" s="16">
        <f t="shared" si="856"/>
        <v>0</v>
      </c>
      <c r="CH3885" s="16">
        <f t="shared" si="852"/>
        <v>0</v>
      </c>
      <c r="CJ3885" s="16" t="e">
        <f t="shared" si="857"/>
        <v>#N/A</v>
      </c>
      <c r="CK3885" s="16" t="str">
        <f t="shared" si="858"/>
        <v/>
      </c>
    </row>
    <row r="3886" spans="73:89" ht="12" customHeight="1">
      <c r="BU3886" s="16">
        <f t="shared" si="859"/>
        <v>0</v>
      </c>
      <c r="BV3886" s="16">
        <f>IF($BY$12=1,NORMDIST(BY3886,$Y$6,$Y$8,TRUE),IF($BY$12=2,IF(BY3886&lt;=$BX$31,0,IF(BY3886&gt;=$BX$32,1,(BY3886-$BX$31)*$BX$33)),SUM($BU$42:BU3886)/$BV$40))</f>
        <v>1</v>
      </c>
      <c r="BW3886" s="16">
        <f t="shared" si="850"/>
        <v>1.5112217807188074E-60</v>
      </c>
      <c r="BY3886" s="16">
        <f t="shared" si="851"/>
        <v>384.40000000001891</v>
      </c>
      <c r="BZ3886" s="16">
        <f t="shared" si="853"/>
        <v>3.9313782016616365E-63</v>
      </c>
      <c r="CA3886" s="16">
        <f t="shared" si="860"/>
        <v>-999</v>
      </c>
      <c r="CE3886" s="16" t="e">
        <f t="shared" si="854"/>
        <v>#N/A</v>
      </c>
      <c r="CF3886" s="16">
        <f t="shared" si="855"/>
        <v>99</v>
      </c>
      <c r="CG3886" s="16">
        <f t="shared" si="856"/>
        <v>0</v>
      </c>
      <c r="CH3886" s="16">
        <f t="shared" si="852"/>
        <v>0</v>
      </c>
      <c r="CJ3886" s="16" t="e">
        <f t="shared" si="857"/>
        <v>#N/A</v>
      </c>
      <c r="CK3886" s="16" t="str">
        <f t="shared" si="858"/>
        <v/>
      </c>
    </row>
    <row r="3887" spans="73:89" ht="12" customHeight="1">
      <c r="BU3887" s="16">
        <f t="shared" si="859"/>
        <v>0</v>
      </c>
      <c r="BV3887" s="16">
        <f>IF($BY$12=1,NORMDIST(BY3887,$Y$6,$Y$8,TRUE),IF($BY$12=2,IF(BY3887&lt;=$BX$31,0,IF(BY3887&gt;=$BX$32,1,(BY3887-$BX$31)*$BX$33)),SUM($BU$42:BU3887)/$BV$40))</f>
        <v>1</v>
      </c>
      <c r="BW3887" s="16">
        <f t="shared" si="850"/>
        <v>1.3903646652196795E-60</v>
      </c>
      <c r="BY3887" s="16">
        <f t="shared" si="851"/>
        <v>384.50000000001893</v>
      </c>
      <c r="BZ3887" s="16">
        <f t="shared" si="853"/>
        <v>3.6160329394528245E-63</v>
      </c>
      <c r="CA3887" s="16">
        <f t="shared" si="860"/>
        <v>-999</v>
      </c>
      <c r="CE3887" s="16" t="e">
        <f t="shared" si="854"/>
        <v>#N/A</v>
      </c>
      <c r="CF3887" s="16">
        <f t="shared" si="855"/>
        <v>99</v>
      </c>
      <c r="CG3887" s="16">
        <f t="shared" si="856"/>
        <v>0</v>
      </c>
      <c r="CH3887" s="16">
        <f t="shared" si="852"/>
        <v>0</v>
      </c>
      <c r="CJ3887" s="16" t="e">
        <f t="shared" si="857"/>
        <v>#N/A</v>
      </c>
      <c r="CK3887" s="16" t="str">
        <f t="shared" si="858"/>
        <v/>
      </c>
    </row>
    <row r="3888" spans="73:89" ht="12" customHeight="1">
      <c r="BU3888" s="16">
        <f t="shared" si="859"/>
        <v>0</v>
      </c>
      <c r="BV3888" s="16">
        <f>IF($BY$12=1,NORMDIST(BY3888,$Y$6,$Y$8,TRUE),IF($BY$12=2,IF(BY3888&lt;=$BX$31,0,IF(BY3888&gt;=$BX$32,1,(BY3888-$BX$31)*$BX$33)),SUM($BU$42:BU3888)/$BV$40))</f>
        <v>1</v>
      </c>
      <c r="BW3888" s="16">
        <f t="shared" si="850"/>
        <v>1.2791408044521398E-60</v>
      </c>
      <c r="BY3888" s="16">
        <f t="shared" si="851"/>
        <v>384.60000000001895</v>
      </c>
      <c r="BZ3888" s="16">
        <f t="shared" si="853"/>
        <v>3.3258991275405014E-63</v>
      </c>
      <c r="CA3888" s="16">
        <f t="shared" si="860"/>
        <v>-999</v>
      </c>
      <c r="CE3888" s="16" t="e">
        <f t="shared" si="854"/>
        <v>#N/A</v>
      </c>
      <c r="CF3888" s="16">
        <f t="shared" si="855"/>
        <v>99</v>
      </c>
      <c r="CG3888" s="16">
        <f t="shared" si="856"/>
        <v>0</v>
      </c>
      <c r="CH3888" s="16">
        <f t="shared" si="852"/>
        <v>0</v>
      </c>
      <c r="CJ3888" s="16" t="e">
        <f t="shared" si="857"/>
        <v>#N/A</v>
      </c>
      <c r="CK3888" s="16" t="str">
        <f t="shared" si="858"/>
        <v/>
      </c>
    </row>
    <row r="3889" spans="73:89" ht="12" customHeight="1">
      <c r="BU3889" s="16">
        <f t="shared" si="859"/>
        <v>0</v>
      </c>
      <c r="BV3889" s="16">
        <f>IF($BY$12=1,NORMDIST(BY3889,$Y$6,$Y$8,TRUE),IF($BY$12=2,IF(BY3889&lt;=$BX$31,0,IF(BY3889&gt;=$BX$32,1,(BY3889-$BX$31)*$BX$33)),SUM($BU$42:BU3889)/$BV$40))</f>
        <v>1</v>
      </c>
      <c r="BW3889" s="16">
        <f t="shared" si="850"/>
        <v>1.1767849280203377E-60</v>
      </c>
      <c r="BY3889" s="16">
        <f t="shared" si="851"/>
        <v>384.70000000001897</v>
      </c>
      <c r="BZ3889" s="16">
        <f t="shared" si="853"/>
        <v>3.0589678399279431E-63</v>
      </c>
      <c r="CA3889" s="16">
        <f t="shared" si="860"/>
        <v>-999</v>
      </c>
      <c r="CE3889" s="16" t="e">
        <f t="shared" si="854"/>
        <v>#N/A</v>
      </c>
      <c r="CF3889" s="16">
        <f t="shared" si="855"/>
        <v>99</v>
      </c>
      <c r="CG3889" s="16">
        <f t="shared" si="856"/>
        <v>0</v>
      </c>
      <c r="CH3889" s="16">
        <f t="shared" si="852"/>
        <v>0</v>
      </c>
      <c r="CJ3889" s="16" t="e">
        <f t="shared" si="857"/>
        <v>#N/A</v>
      </c>
      <c r="CK3889" s="16" t="str">
        <f t="shared" si="858"/>
        <v/>
      </c>
    </row>
    <row r="3890" spans="73:89" ht="12" customHeight="1">
      <c r="BU3890" s="16">
        <f t="shared" si="859"/>
        <v>0</v>
      </c>
      <c r="BV3890" s="16">
        <f>IF($BY$12=1,NORMDIST(BY3890,$Y$6,$Y$8,TRUE),IF($BY$12=2,IF(BY3890&lt;=$BX$31,0,IF(BY3890&gt;=$BX$32,1,(BY3890-$BX$31)*$BX$33)),SUM($BU$42:BU3890)/$BV$40))</f>
        <v>1</v>
      </c>
      <c r="BW3890" s="16">
        <f t="shared" si="850"/>
        <v>1.0825923528426797E-60</v>
      </c>
      <c r="BY3890" s="16">
        <f t="shared" si="851"/>
        <v>384.800000000019</v>
      </c>
      <c r="BZ3890" s="16">
        <f t="shared" si="853"/>
        <v>2.8133896903394654E-63</v>
      </c>
      <c r="CA3890" s="16">
        <f t="shared" si="860"/>
        <v>-999</v>
      </c>
      <c r="CE3890" s="16" t="e">
        <f t="shared" si="854"/>
        <v>#N/A</v>
      </c>
      <c r="CF3890" s="16">
        <f t="shared" si="855"/>
        <v>99</v>
      </c>
      <c r="CG3890" s="16">
        <f t="shared" si="856"/>
        <v>0</v>
      </c>
      <c r="CH3890" s="16">
        <f t="shared" si="852"/>
        <v>0</v>
      </c>
      <c r="CJ3890" s="16" t="e">
        <f t="shared" si="857"/>
        <v>#N/A</v>
      </c>
      <c r="CK3890" s="16" t="str">
        <f t="shared" si="858"/>
        <v/>
      </c>
    </row>
    <row r="3891" spans="73:89" ht="12" customHeight="1">
      <c r="BU3891" s="16">
        <f t="shared" si="859"/>
        <v>0</v>
      </c>
      <c r="BV3891" s="16">
        <f>IF($BY$12=1,NORMDIST(BY3891,$Y$6,$Y$8,TRUE),IF($BY$12=2,IF(BY3891&lt;=$BX$31,0,IF(BY3891&gt;=$BX$32,1,(BY3891-$BX$31)*$BX$33)),SUM($BU$42:BU3891)/$BV$40))</f>
        <v>1</v>
      </c>
      <c r="BW3891" s="16">
        <f t="shared" si="850"/>
        <v>9.9591420283278239E-61</v>
      </c>
      <c r="BY3891" s="16">
        <f t="shared" si="851"/>
        <v>384.90000000001902</v>
      </c>
      <c r="BZ3891" s="16">
        <f t="shared" si="853"/>
        <v>2.5874622053331597E-63</v>
      </c>
      <c r="CA3891" s="16">
        <f t="shared" si="860"/>
        <v>-999</v>
      </c>
      <c r="CE3891" s="16" t="e">
        <f t="shared" si="854"/>
        <v>#N/A</v>
      </c>
      <c r="CF3891" s="16">
        <f t="shared" si="855"/>
        <v>99</v>
      </c>
      <c r="CG3891" s="16">
        <f t="shared" si="856"/>
        <v>0</v>
      </c>
      <c r="CH3891" s="16">
        <f t="shared" si="852"/>
        <v>0</v>
      </c>
      <c r="CJ3891" s="16" t="e">
        <f t="shared" si="857"/>
        <v>#N/A</v>
      </c>
      <c r="CK3891" s="16" t="str">
        <f t="shared" si="858"/>
        <v/>
      </c>
    </row>
    <row r="3892" spans="73:89" ht="12" customHeight="1">
      <c r="BU3892" s="16">
        <f t="shared" si="859"/>
        <v>0</v>
      </c>
      <c r="BV3892" s="16">
        <f>IF($BY$12=1,NORMDIST(BY3892,$Y$6,$Y$8,TRUE),IF($BY$12=2,IF(BY3892&lt;=$BX$31,0,IF(BY3892&gt;=$BX$32,1,(BY3892-$BX$31)*$BX$33)),SUM($BU$42:BU3892)/$BV$40))</f>
        <v>1</v>
      </c>
      <c r="BW3892" s="16">
        <f t="shared" si="850"/>
        <v>9.1615300443815645E-61</v>
      </c>
      <c r="BY3892" s="16">
        <f t="shared" si="851"/>
        <v>385.00000000001904</v>
      </c>
      <c r="BZ3892" s="16">
        <f t="shared" si="853"/>
        <v>2.3796181933457432E-63</v>
      </c>
      <c r="CA3892" s="16">
        <f t="shared" si="860"/>
        <v>-999</v>
      </c>
      <c r="CE3892" s="16" t="e">
        <f t="shared" si="854"/>
        <v>#N/A</v>
      </c>
      <c r="CF3892" s="16">
        <f t="shared" si="855"/>
        <v>99</v>
      </c>
      <c r="CG3892" s="16">
        <f t="shared" si="856"/>
        <v>0</v>
      </c>
      <c r="CH3892" s="16">
        <f t="shared" si="852"/>
        <v>0</v>
      </c>
      <c r="CJ3892" s="16" t="e">
        <f t="shared" si="857"/>
        <v>#N/A</v>
      </c>
      <c r="CK3892" s="16" t="str">
        <f t="shared" si="858"/>
        <v/>
      </c>
    </row>
    <row r="3893" spans="73:89" ht="12" customHeight="1">
      <c r="BU3893" s="16">
        <f t="shared" si="859"/>
        <v>0</v>
      </c>
      <c r="BV3893" s="16">
        <f>IF($BY$12=1,NORMDIST(BY3893,$Y$6,$Y$8,TRUE),IF($BY$12=2,IF(BY3893&lt;=$BX$31,0,IF(BY3893&gt;=$BX$32,1,(BY3893-$BX$31)*$BX$33)),SUM($BU$42:BU3893)/$BV$40))</f>
        <v>1</v>
      </c>
      <c r="BW3893" s="16">
        <f t="shared" si="850"/>
        <v>8.427586285880892E-61</v>
      </c>
      <c r="BY3893" s="16">
        <f t="shared" si="851"/>
        <v>385.10000000001907</v>
      </c>
      <c r="BZ3893" s="16">
        <f t="shared" si="853"/>
        <v>2.1884150313893728E-63</v>
      </c>
      <c r="CA3893" s="16">
        <f t="shared" si="860"/>
        <v>-999</v>
      </c>
      <c r="CE3893" s="16" t="e">
        <f t="shared" si="854"/>
        <v>#N/A</v>
      </c>
      <c r="CF3893" s="16">
        <f t="shared" si="855"/>
        <v>99</v>
      </c>
      <c r="CG3893" s="16">
        <f t="shared" si="856"/>
        <v>0</v>
      </c>
      <c r="CH3893" s="16">
        <f t="shared" si="852"/>
        <v>0</v>
      </c>
      <c r="CJ3893" s="16" t="e">
        <f t="shared" si="857"/>
        <v>#N/A</v>
      </c>
      <c r="CK3893" s="16" t="str">
        <f t="shared" si="858"/>
        <v/>
      </c>
    </row>
    <row r="3894" spans="73:89" ht="12" customHeight="1">
      <c r="BU3894" s="16">
        <f t="shared" si="859"/>
        <v>0</v>
      </c>
      <c r="BV3894" s="16">
        <f>IF($BY$12=1,NORMDIST(BY3894,$Y$6,$Y$8,TRUE),IF($BY$12=2,IF(BY3894&lt;=$BX$31,0,IF(BY3894&gt;=$BX$32,1,(BY3894-$BX$31)*$BX$33)),SUM($BU$42:BU3894)/$BV$40))</f>
        <v>1</v>
      </c>
      <c r="BW3894" s="16">
        <f t="shared" si="850"/>
        <v>7.7522455190122651E-61</v>
      </c>
      <c r="BY3894" s="16">
        <f t="shared" si="851"/>
        <v>385.20000000001909</v>
      </c>
      <c r="BZ3894" s="16">
        <f t="shared" si="853"/>
        <v>2.0125247972512671E-63</v>
      </c>
      <c r="CA3894" s="16">
        <f t="shared" si="860"/>
        <v>-999</v>
      </c>
      <c r="CE3894" s="16" t="e">
        <f t="shared" si="854"/>
        <v>#N/A</v>
      </c>
      <c r="CF3894" s="16">
        <f t="shared" si="855"/>
        <v>99</v>
      </c>
      <c r="CG3894" s="16">
        <f t="shared" si="856"/>
        <v>0</v>
      </c>
      <c r="CH3894" s="16">
        <f t="shared" si="852"/>
        <v>0</v>
      </c>
      <c r="CJ3894" s="16" t="e">
        <f t="shared" si="857"/>
        <v>#N/A</v>
      </c>
      <c r="CK3894" s="16" t="str">
        <f t="shared" si="858"/>
        <v/>
      </c>
    </row>
    <row r="3895" spans="73:89" ht="12" customHeight="1">
      <c r="BU3895" s="16">
        <f t="shared" si="859"/>
        <v>0</v>
      </c>
      <c r="BV3895" s="16">
        <f>IF($BY$12=1,NORMDIST(BY3895,$Y$6,$Y$8,TRUE),IF($BY$12=2,IF(BY3895&lt;=$BX$31,0,IF(BY3895&gt;=$BX$32,1,(BY3895-$BX$31)*$BX$33)),SUM($BU$42:BU3895)/$BV$40))</f>
        <v>1</v>
      </c>
      <c r="BW3895" s="16">
        <f t="shared" si="850"/>
        <v>7.1308441212390474E-61</v>
      </c>
      <c r="BY3895" s="16">
        <f t="shared" si="851"/>
        <v>385.30000000001911</v>
      </c>
      <c r="BZ3895" s="16">
        <f t="shared" si="853"/>
        <v>1.8507251807004136E-63</v>
      </c>
      <c r="CA3895" s="16">
        <f t="shared" si="860"/>
        <v>-999</v>
      </c>
      <c r="CE3895" s="16" t="e">
        <f t="shared" si="854"/>
        <v>#N/A</v>
      </c>
      <c r="CF3895" s="16">
        <f t="shared" si="855"/>
        <v>99</v>
      </c>
      <c r="CG3895" s="16">
        <f t="shared" si="856"/>
        <v>0</v>
      </c>
      <c r="CH3895" s="16">
        <f t="shared" si="852"/>
        <v>0</v>
      </c>
      <c r="CJ3895" s="16" t="e">
        <f t="shared" si="857"/>
        <v>#N/A</v>
      </c>
      <c r="CK3895" s="16" t="str">
        <f t="shared" si="858"/>
        <v/>
      </c>
    </row>
    <row r="3896" spans="73:89" ht="12" customHeight="1">
      <c r="BU3896" s="16">
        <f t="shared" si="859"/>
        <v>0</v>
      </c>
      <c r="BV3896" s="16">
        <f>IF($BY$12=1,NORMDIST(BY3896,$Y$6,$Y$8,TRUE),IF($BY$12=2,IF(BY3896&lt;=$BX$31,0,IF(BY3896&gt;=$BX$32,1,(BY3896-$BX$31)*$BX$33)),SUM($BU$42:BU3896)/$BV$40))</f>
        <v>1</v>
      </c>
      <c r="BW3896" s="16">
        <f t="shared" si="850"/>
        <v>6.5590883472474852E-61</v>
      </c>
      <c r="BY3896" s="16">
        <f t="shared" si="851"/>
        <v>385.40000000001913</v>
      </c>
      <c r="BZ3896" s="16">
        <f t="shared" si="853"/>
        <v>1.7018911124149349E-63</v>
      </c>
      <c r="CA3896" s="16">
        <f t="shared" si="860"/>
        <v>-999</v>
      </c>
      <c r="CE3896" s="16" t="e">
        <f t="shared" si="854"/>
        <v>#N/A</v>
      </c>
      <c r="CF3896" s="16">
        <f t="shared" si="855"/>
        <v>99</v>
      </c>
      <c r="CG3896" s="16">
        <f t="shared" si="856"/>
        <v>0</v>
      </c>
      <c r="CH3896" s="16">
        <f t="shared" si="852"/>
        <v>0</v>
      </c>
      <c r="CJ3896" s="16" t="e">
        <f t="shared" si="857"/>
        <v>#N/A</v>
      </c>
      <c r="CK3896" s="16" t="str">
        <f t="shared" si="858"/>
        <v/>
      </c>
    </row>
    <row r="3897" spans="73:89" ht="12" customHeight="1">
      <c r="BU3897" s="16">
        <f t="shared" si="859"/>
        <v>0</v>
      </c>
      <c r="BV3897" s="16">
        <f>IF($BY$12=1,NORMDIST(BY3897,$Y$6,$Y$8,TRUE),IF($BY$12=2,IF(BY3897&lt;=$BX$31,0,IF(BY3897&gt;=$BX$32,1,(BY3897-$BX$31)*$BX$33)),SUM($BU$42:BU3897)/$BV$40))</f>
        <v>1</v>
      </c>
      <c r="BW3897" s="16">
        <f t="shared" si="850"/>
        <v>6.033025093753885E-61</v>
      </c>
      <c r="BY3897" s="16">
        <f t="shared" si="851"/>
        <v>385.50000000001916</v>
      </c>
      <c r="BZ3897" s="16">
        <f t="shared" si="853"/>
        <v>1.5649870541513841E-63</v>
      </c>
      <c r="CA3897" s="16">
        <f t="shared" si="860"/>
        <v>-999</v>
      </c>
      <c r="CE3897" s="16" t="e">
        <f t="shared" si="854"/>
        <v>#N/A</v>
      </c>
      <c r="CF3897" s="16">
        <f t="shared" si="855"/>
        <v>99</v>
      </c>
      <c r="CG3897" s="16">
        <f t="shared" si="856"/>
        <v>0</v>
      </c>
      <c r="CH3897" s="16">
        <f t="shared" si="852"/>
        <v>0</v>
      </c>
      <c r="CJ3897" s="16" t="e">
        <f t="shared" si="857"/>
        <v>#N/A</v>
      </c>
      <c r="CK3897" s="16" t="str">
        <f t="shared" si="858"/>
        <v/>
      </c>
    </row>
    <row r="3898" spans="73:89" ht="12" customHeight="1">
      <c r="BU3898" s="16">
        <f t="shared" si="859"/>
        <v>0</v>
      </c>
      <c r="BV3898" s="16">
        <f>IF($BY$12=1,NORMDIST(BY3898,$Y$6,$Y$8,TRUE),IF($BY$12=2,IF(BY3898&lt;=$BX$31,0,IF(BY3898&gt;=$BX$32,1,(BY3898-$BX$31)*$BX$33)),SUM($BU$42:BU3898)/$BV$40))</f>
        <v>1</v>
      </c>
      <c r="BW3898" s="16">
        <f t="shared" si="850"/>
        <v>5.5490149670865926E-61</v>
      </c>
      <c r="BY3898" s="16">
        <f t="shared" si="851"/>
        <v>385.60000000001918</v>
      </c>
      <c r="BZ3898" s="16">
        <f t="shared" si="853"/>
        <v>1.4390598981032979E-63</v>
      </c>
      <c r="CA3898" s="16">
        <f t="shared" si="860"/>
        <v>-999</v>
      </c>
      <c r="CE3898" s="16" t="e">
        <f t="shared" si="854"/>
        <v>#N/A</v>
      </c>
      <c r="CF3898" s="16">
        <f t="shared" si="855"/>
        <v>99</v>
      </c>
      <c r="CG3898" s="16">
        <f t="shared" si="856"/>
        <v>0</v>
      </c>
      <c r="CH3898" s="16">
        <f t="shared" si="852"/>
        <v>0</v>
      </c>
      <c r="CJ3898" s="16" t="e">
        <f t="shared" si="857"/>
        <v>#N/A</v>
      </c>
      <c r="CK3898" s="16" t="str">
        <f t="shared" si="858"/>
        <v/>
      </c>
    </row>
    <row r="3899" spans="73:89" ht="12" customHeight="1">
      <c r="BU3899" s="16">
        <f t="shared" si="859"/>
        <v>0</v>
      </c>
      <c r="BV3899" s="16">
        <f>IF($BY$12=1,NORMDIST(BY3899,$Y$6,$Y$8,TRUE),IF($BY$12=2,IF(BY3899&lt;=$BX$31,0,IF(BY3899&gt;=$BX$32,1,(BY3899-$BX$31)*$BX$33)),SUM($BU$42:BU3899)/$BV$40))</f>
        <v>1</v>
      </c>
      <c r="BW3899" s="16">
        <f t="shared" ref="BW3899:BW3962" si="861">BY3899*BZ3899</f>
        <v>5.1037074727954636E-61</v>
      </c>
      <c r="BY3899" s="16">
        <f t="shared" ref="BY3899:BY3962" si="862">BY3898+$BZ$1</f>
        <v>385.7000000000192</v>
      </c>
      <c r="BZ3899" s="16">
        <f t="shared" si="853"/>
        <v>1.3232324274812573E-63</v>
      </c>
      <c r="CA3899" s="16">
        <f t="shared" si="860"/>
        <v>-999</v>
      </c>
      <c r="CE3899" s="16" t="e">
        <f t="shared" si="854"/>
        <v>#N/A</v>
      </c>
      <c r="CF3899" s="16">
        <f t="shared" si="855"/>
        <v>99</v>
      </c>
      <c r="CG3899" s="16">
        <f t="shared" si="856"/>
        <v>0</v>
      </c>
      <c r="CH3899" s="16">
        <f t="shared" si="852"/>
        <v>0</v>
      </c>
      <c r="CJ3899" s="16" t="e">
        <f t="shared" si="857"/>
        <v>#N/A</v>
      </c>
      <c r="CK3899" s="16" t="str">
        <f t="shared" si="858"/>
        <v/>
      </c>
    </row>
    <row r="3900" spans="73:89" ht="12" customHeight="1">
      <c r="BU3900" s="16">
        <f t="shared" si="859"/>
        <v>0</v>
      </c>
      <c r="BV3900" s="16">
        <f>IF($BY$12=1,NORMDIST(BY3900,$Y$6,$Y$8,TRUE),IF($BY$12=2,IF(BY3900&lt;=$BX$31,0,IF(BY3900&gt;=$BX$32,1,(BY3900-$BX$31)*$BX$33)),SUM($BU$42:BU3900)/$BV$40))</f>
        <v>1</v>
      </c>
      <c r="BW3900" s="16">
        <f t="shared" si="861"/>
        <v>4.6940181606744519E-61</v>
      </c>
      <c r="BY3900" s="16">
        <f t="shared" si="862"/>
        <v>385.80000000001922</v>
      </c>
      <c r="BZ3900" s="16">
        <f t="shared" si="853"/>
        <v>1.2166972941094396E-63</v>
      </c>
      <c r="CA3900" s="16">
        <f t="shared" si="860"/>
        <v>-999</v>
      </c>
      <c r="CE3900" s="16" t="e">
        <f t="shared" si="854"/>
        <v>#N/A</v>
      </c>
      <c r="CF3900" s="16">
        <f t="shared" si="855"/>
        <v>99</v>
      </c>
      <c r="CG3900" s="16">
        <f t="shared" si="856"/>
        <v>0</v>
      </c>
      <c r="CH3900" s="16">
        <f t="shared" si="852"/>
        <v>0</v>
      </c>
      <c r="CJ3900" s="16" t="e">
        <f t="shared" si="857"/>
        <v>#N/A</v>
      </c>
      <c r="CK3900" s="16" t="str">
        <f t="shared" si="858"/>
        <v/>
      </c>
    </row>
    <row r="3901" spans="73:89" ht="12" customHeight="1">
      <c r="BU3901" s="16">
        <f t="shared" si="859"/>
        <v>0</v>
      </c>
      <c r="BV3901" s="16">
        <f>IF($BY$12=1,NORMDIST(BY3901,$Y$6,$Y$8,TRUE),IF($BY$12=2,IF(BY3901&lt;=$BX$31,0,IF(BY3901&gt;=$BX$32,1,(BY3901-$BX$31)*$BX$33)),SUM($BU$42:BU3901)/$BV$40))</f>
        <v>1</v>
      </c>
      <c r="BW3901" s="16">
        <f t="shared" si="861"/>
        <v>4.3171075716219796E-61</v>
      </c>
      <c r="BY3901" s="16">
        <f t="shared" si="862"/>
        <v>385.90000000001925</v>
      </c>
      <c r="BZ3901" s="16">
        <f t="shared" si="853"/>
        <v>1.1187114723041628E-63</v>
      </c>
      <c r="CA3901" s="16">
        <f t="shared" si="860"/>
        <v>-999</v>
      </c>
      <c r="CE3901" s="16" t="e">
        <f t="shared" si="854"/>
        <v>#N/A</v>
      </c>
      <c r="CF3901" s="16">
        <f t="shared" si="855"/>
        <v>99</v>
      </c>
      <c r="CG3901" s="16">
        <f t="shared" si="856"/>
        <v>0</v>
      </c>
      <c r="CH3901" s="16">
        <f t="shared" si="852"/>
        <v>0</v>
      </c>
      <c r="CJ3901" s="16" t="e">
        <f t="shared" si="857"/>
        <v>#N/A</v>
      </c>
      <c r="CK3901" s="16" t="str">
        <f t="shared" si="858"/>
        <v/>
      </c>
    </row>
    <row r="3902" spans="73:89" ht="12" customHeight="1">
      <c r="BU3902" s="16">
        <f t="shared" si="859"/>
        <v>0</v>
      </c>
      <c r="BV3902" s="16">
        <f>IF($BY$12=1,NORMDIST(BY3902,$Y$6,$Y$8,TRUE),IF($BY$12=2,IF(BY3902&lt;=$BX$31,0,IF(BY3902&gt;=$BX$32,1,(BY3902-$BX$31)*$BX$33)),SUM($BU$42:BU3902)/$BV$40))</f>
        <v>1</v>
      </c>
      <c r="BW3902" s="16">
        <f t="shared" si="861"/>
        <v>3.9703618447812105E-61</v>
      </c>
      <c r="BY3902" s="16">
        <f t="shared" si="862"/>
        <v>386.00000000001927</v>
      </c>
      <c r="BZ3902" s="16">
        <f t="shared" si="853"/>
        <v>1.0285911514976715E-63</v>
      </c>
      <c r="CA3902" s="16">
        <f t="shared" si="860"/>
        <v>-999</v>
      </c>
      <c r="CE3902" s="16" t="e">
        <f t="shared" si="854"/>
        <v>#N/A</v>
      </c>
      <c r="CF3902" s="16">
        <f t="shared" si="855"/>
        <v>99</v>
      </c>
      <c r="CG3902" s="16">
        <f t="shared" si="856"/>
        <v>0</v>
      </c>
      <c r="CH3902" s="16">
        <f t="shared" si="852"/>
        <v>0</v>
      </c>
      <c r="CJ3902" s="16" t="e">
        <f t="shared" si="857"/>
        <v>#N/A</v>
      </c>
      <c r="CK3902" s="16" t="str">
        <f t="shared" si="858"/>
        <v/>
      </c>
    </row>
    <row r="3903" spans="73:89" ht="12" customHeight="1">
      <c r="BU3903" s="16">
        <f t="shared" si="859"/>
        <v>0</v>
      </c>
      <c r="BV3903" s="16">
        <f>IF($BY$12=1,NORMDIST(BY3903,$Y$6,$Y$8,TRUE),IF($BY$12=2,IF(BY3903&lt;=$BX$31,0,IF(BY3903&gt;=$BX$32,1,(BY3903-$BX$31)*$BX$33)),SUM($BU$42:BU3903)/$BV$40))</f>
        <v>1</v>
      </c>
      <c r="BW3903" s="16">
        <f t="shared" si="861"/>
        <v>3.6513748544827253E-61</v>
      </c>
      <c r="BY3903" s="16">
        <f t="shared" si="862"/>
        <v>386.10000000001929</v>
      </c>
      <c r="BZ3903" s="16">
        <f t="shared" si="853"/>
        <v>9.4570703301801153E-64</v>
      </c>
      <c r="CA3903" s="16">
        <f t="shared" si="860"/>
        <v>-999</v>
      </c>
      <c r="CE3903" s="16" t="e">
        <f t="shared" si="854"/>
        <v>#N/A</v>
      </c>
      <c r="CF3903" s="16">
        <f t="shared" si="855"/>
        <v>99</v>
      </c>
      <c r="CG3903" s="16">
        <f t="shared" si="856"/>
        <v>0</v>
      </c>
      <c r="CH3903" s="16">
        <f t="shared" si="852"/>
        <v>0</v>
      </c>
      <c r="CJ3903" s="16" t="e">
        <f t="shared" si="857"/>
        <v>#N/A</v>
      </c>
      <c r="CK3903" s="16" t="str">
        <f t="shared" si="858"/>
        <v/>
      </c>
    </row>
    <row r="3904" spans="73:89" ht="12" customHeight="1">
      <c r="BU3904" s="16">
        <f t="shared" si="859"/>
        <v>0</v>
      </c>
      <c r="BV3904" s="16">
        <f>IF($BY$12=1,NORMDIST(BY3904,$Y$6,$Y$8,TRUE),IF($BY$12=2,IF(BY3904&lt;=$BX$31,0,IF(BY3904&gt;=$BX$32,1,(BY3904-$BX$31)*$BX$33)),SUM($BU$42:BU3904)/$BV$40))</f>
        <v>1</v>
      </c>
      <c r="BW3904" s="16">
        <f t="shared" si="861"/>
        <v>3.3579317567344437E-61</v>
      </c>
      <c r="BY3904" s="16">
        <f t="shared" si="862"/>
        <v>386.20000000001932</v>
      </c>
      <c r="BZ3904" s="16">
        <f t="shared" si="853"/>
        <v>8.6947999915439564E-64</v>
      </c>
      <c r="CA3904" s="16">
        <f t="shared" si="860"/>
        <v>-999</v>
      </c>
      <c r="CE3904" s="16" t="e">
        <f t="shared" si="854"/>
        <v>#N/A</v>
      </c>
      <c r="CF3904" s="16">
        <f t="shared" si="855"/>
        <v>99</v>
      </c>
      <c r="CG3904" s="16">
        <f t="shared" si="856"/>
        <v>0</v>
      </c>
      <c r="CH3904" s="16">
        <f t="shared" si="852"/>
        <v>0</v>
      </c>
      <c r="CJ3904" s="16" t="e">
        <f t="shared" si="857"/>
        <v>#N/A</v>
      </c>
      <c r="CK3904" s="16" t="str">
        <f t="shared" si="858"/>
        <v/>
      </c>
    </row>
    <row r="3905" spans="73:89" ht="12" customHeight="1">
      <c r="BU3905" s="16">
        <f t="shared" si="859"/>
        <v>0</v>
      </c>
      <c r="BV3905" s="16">
        <f>IF($BY$12=1,NORMDIST(BY3905,$Y$6,$Y$8,TRUE),IF($BY$12=2,IF(BY3905&lt;=$BX$31,0,IF(BY3905&gt;=$BX$32,1,(BY3905-$BX$31)*$BX$33)),SUM($BU$42:BU3905)/$BV$40))</f>
        <v>1</v>
      </c>
      <c r="BW3905" s="16">
        <f t="shared" si="861"/>
        <v>3.0879938344176792E-61</v>
      </c>
      <c r="BY3905" s="16">
        <f t="shared" si="862"/>
        <v>386.30000000001934</v>
      </c>
      <c r="BZ3905" s="16">
        <f t="shared" si="853"/>
        <v>7.9937712514044126E-64</v>
      </c>
      <c r="CA3905" s="16">
        <f t="shared" si="860"/>
        <v>-999</v>
      </c>
      <c r="CE3905" s="16" t="e">
        <f t="shared" si="854"/>
        <v>#N/A</v>
      </c>
      <c r="CF3905" s="16">
        <f t="shared" si="855"/>
        <v>99</v>
      </c>
      <c r="CG3905" s="16">
        <f t="shared" si="856"/>
        <v>0</v>
      </c>
      <c r="CH3905" s="16">
        <f t="shared" si="852"/>
        <v>0</v>
      </c>
      <c r="CJ3905" s="16" t="e">
        <f t="shared" si="857"/>
        <v>#N/A</v>
      </c>
      <c r="CK3905" s="16" t="str">
        <f t="shared" si="858"/>
        <v/>
      </c>
    </row>
    <row r="3906" spans="73:89" ht="12" customHeight="1">
      <c r="BU3906" s="16">
        <f t="shared" si="859"/>
        <v>0</v>
      </c>
      <c r="BV3906" s="16">
        <f>IF($BY$12=1,NORMDIST(BY3906,$Y$6,$Y$8,TRUE),IF($BY$12=2,IF(BY3906&lt;=$BX$31,0,IF(BY3906&gt;=$BX$32,1,(BY3906-$BX$31)*$BX$33)),SUM($BU$42:BU3906)/$BV$40))</f>
        <v>1</v>
      </c>
      <c r="BW3906" s="16">
        <f t="shared" si="861"/>
        <v>2.8396845390387306E-61</v>
      </c>
      <c r="BY3906" s="16">
        <f t="shared" si="862"/>
        <v>386.40000000001936</v>
      </c>
      <c r="BZ3906" s="16">
        <f t="shared" si="853"/>
        <v>7.3490800699756426E-64</v>
      </c>
      <c r="CA3906" s="16">
        <f t="shared" si="860"/>
        <v>-999</v>
      </c>
      <c r="CE3906" s="16" t="e">
        <f t="shared" si="854"/>
        <v>#N/A</v>
      </c>
      <c r="CF3906" s="16">
        <f t="shared" si="855"/>
        <v>99</v>
      </c>
      <c r="CG3906" s="16">
        <f t="shared" si="856"/>
        <v>0</v>
      </c>
      <c r="CH3906" s="16">
        <f t="shared" si="852"/>
        <v>0</v>
      </c>
      <c r="CJ3906" s="16" t="e">
        <f t="shared" si="857"/>
        <v>#N/A</v>
      </c>
      <c r="CK3906" s="16" t="str">
        <f t="shared" si="858"/>
        <v/>
      </c>
    </row>
    <row r="3907" spans="73:89" ht="12" customHeight="1">
      <c r="BU3907" s="16">
        <f t="shared" si="859"/>
        <v>0</v>
      </c>
      <c r="BV3907" s="16">
        <f>IF($BY$12=1,NORMDIST(BY3907,$Y$6,$Y$8,TRUE),IF($BY$12=2,IF(BY3907&lt;=$BX$31,0,IF(BY3907&gt;=$BX$32,1,(BY3907-$BX$31)*$BX$33)),SUM($BU$42:BU3907)/$BV$40))</f>
        <v>1</v>
      </c>
      <c r="BW3907" s="16">
        <f t="shared" si="861"/>
        <v>2.6112766348877354E-61</v>
      </c>
      <c r="BY3907" s="16">
        <f t="shared" si="862"/>
        <v>386.50000000001938</v>
      </c>
      <c r="BZ3907" s="16">
        <f t="shared" si="853"/>
        <v>6.7562138030727153E-64</v>
      </c>
      <c r="CA3907" s="16">
        <f t="shared" si="860"/>
        <v>-999</v>
      </c>
      <c r="CE3907" s="16" t="e">
        <f t="shared" si="854"/>
        <v>#N/A</v>
      </c>
      <c r="CF3907" s="16">
        <f t="shared" si="855"/>
        <v>99</v>
      </c>
      <c r="CG3907" s="16">
        <f t="shared" si="856"/>
        <v>0</v>
      </c>
      <c r="CH3907" s="16">
        <f t="shared" ref="CH3907:CH3970" si="863">IF(CB3907="",0,1)</f>
        <v>0</v>
      </c>
      <c r="CJ3907" s="16" t="e">
        <f t="shared" si="857"/>
        <v>#N/A</v>
      </c>
      <c r="CK3907" s="16" t="str">
        <f t="shared" si="858"/>
        <v/>
      </c>
    </row>
    <row r="3908" spans="73:89" ht="12" customHeight="1">
      <c r="BU3908" s="16">
        <f t="shared" si="859"/>
        <v>0</v>
      </c>
      <c r="BV3908" s="16">
        <f>IF($BY$12=1,NORMDIST(BY3908,$Y$6,$Y$8,TRUE),IF($BY$12=2,IF(BY3908&lt;=$BX$31,0,IF(BY3908&gt;=$BX$32,1,(BY3908-$BX$31)*$BX$33)),SUM($BU$42:BU3908)/$BV$40))</f>
        <v>1</v>
      </c>
      <c r="BW3908" s="16">
        <f t="shared" si="861"/>
        <v>2.4011803588418526E-61</v>
      </c>
      <c r="BY3908" s="16">
        <f t="shared" si="862"/>
        <v>386.60000000001941</v>
      </c>
      <c r="BZ3908" s="16">
        <f t="shared" si="853"/>
        <v>6.2110200694302436E-64</v>
      </c>
      <c r="CA3908" s="16">
        <f t="shared" si="860"/>
        <v>-999</v>
      </c>
      <c r="CE3908" s="16" t="e">
        <f t="shared" si="854"/>
        <v>#N/A</v>
      </c>
      <c r="CF3908" s="16">
        <f t="shared" si="855"/>
        <v>99</v>
      </c>
      <c r="CG3908" s="16">
        <f t="shared" si="856"/>
        <v>0</v>
      </c>
      <c r="CH3908" s="16">
        <f t="shared" si="863"/>
        <v>0</v>
      </c>
      <c r="CJ3908" s="16" t="e">
        <f t="shared" si="857"/>
        <v>#N/A</v>
      </c>
      <c r="CK3908" s="16" t="str">
        <f t="shared" si="858"/>
        <v/>
      </c>
    </row>
    <row r="3909" spans="73:89" ht="12" customHeight="1">
      <c r="BU3909" s="16">
        <f t="shared" si="859"/>
        <v>0</v>
      </c>
      <c r="BV3909" s="16">
        <f>IF($BY$12=1,NORMDIST(BY3909,$Y$6,$Y$8,TRUE),IF($BY$12=2,IF(BY3909&lt;=$BX$31,0,IF(BY3909&gt;=$BX$32,1,(BY3909-$BX$31)*$BX$33)),SUM($BU$42:BU3909)/$BV$40))</f>
        <v>1</v>
      </c>
      <c r="BW3909" s="16">
        <f t="shared" si="861"/>
        <v>2.207932515852257E-61</v>
      </c>
      <c r="BY3909" s="16">
        <f t="shared" si="862"/>
        <v>386.70000000001943</v>
      </c>
      <c r="BZ3909" s="16">
        <f t="shared" si="853"/>
        <v>5.7096780859895169E-64</v>
      </c>
      <c r="CA3909" s="16">
        <f t="shared" si="860"/>
        <v>-999</v>
      </c>
      <c r="CE3909" s="16" t="e">
        <f t="shared" si="854"/>
        <v>#N/A</v>
      </c>
      <c r="CF3909" s="16">
        <f t="shared" si="855"/>
        <v>99</v>
      </c>
      <c r="CG3909" s="16">
        <f t="shared" si="856"/>
        <v>0</v>
      </c>
      <c r="CH3909" s="16">
        <f t="shared" si="863"/>
        <v>0</v>
      </c>
      <c r="CJ3909" s="16" t="e">
        <f t="shared" si="857"/>
        <v>#N/A</v>
      </c>
      <c r="CK3909" s="16" t="str">
        <f t="shared" si="858"/>
        <v/>
      </c>
    </row>
    <row r="3910" spans="73:89" ht="12" customHeight="1">
      <c r="BU3910" s="16">
        <f t="shared" si="859"/>
        <v>0</v>
      </c>
      <c r="BV3910" s="16">
        <f>IF($BY$12=1,NORMDIST(BY3910,$Y$6,$Y$8,TRUE),IF($BY$12=2,IF(BY3910&lt;=$BX$31,0,IF(BY3910&gt;=$BX$32,1,(BY3910-$BX$31)*$BX$33)),SUM($BU$42:BU3910)/$BV$40))</f>
        <v>1</v>
      </c>
      <c r="BW3910" s="16">
        <f t="shared" si="861"/>
        <v>2.0301864364268022E-61</v>
      </c>
      <c r="BY3910" s="16">
        <f t="shared" si="862"/>
        <v>386.80000000001945</v>
      </c>
      <c r="BZ3910" s="16">
        <f t="shared" si="853"/>
        <v>5.2486722761807141E-64</v>
      </c>
      <c r="CA3910" s="16">
        <f t="shared" si="860"/>
        <v>-999</v>
      </c>
      <c r="CE3910" s="16" t="e">
        <f t="shared" si="854"/>
        <v>#N/A</v>
      </c>
      <c r="CF3910" s="16">
        <f t="shared" si="855"/>
        <v>99</v>
      </c>
      <c r="CG3910" s="16">
        <f t="shared" si="856"/>
        <v>0</v>
      </c>
      <c r="CH3910" s="16">
        <f t="shared" si="863"/>
        <v>0</v>
      </c>
      <c r="CJ3910" s="16" t="e">
        <f t="shared" si="857"/>
        <v>#N/A</v>
      </c>
      <c r="CK3910" s="16" t="str">
        <f t="shared" si="858"/>
        <v/>
      </c>
    </row>
    <row r="3911" spans="73:89" ht="12" customHeight="1">
      <c r="BU3911" s="16">
        <f t="shared" si="859"/>
        <v>0</v>
      </c>
      <c r="BV3911" s="16">
        <f>IF($BY$12=1,NORMDIST(BY3911,$Y$6,$Y$8,TRUE),IF($BY$12=2,IF(BY3911&lt;=$BX$31,0,IF(BY3911&gt;=$BX$32,1,(BY3911-$BX$31)*$BX$33)),SUM($BU$42:BU3911)/$BV$40))</f>
        <v>1</v>
      </c>
      <c r="BW3911" s="16">
        <f t="shared" si="861"/>
        <v>1.8667027282061092E-61</v>
      </c>
      <c r="BY3911" s="16">
        <f t="shared" si="862"/>
        <v>386.90000000001947</v>
      </c>
      <c r="BZ3911" s="16">
        <f t="shared" si="853"/>
        <v>4.824767971584428E-64</v>
      </c>
      <c r="CA3911" s="16">
        <f t="shared" si="860"/>
        <v>-999</v>
      </c>
      <c r="CE3911" s="16" t="e">
        <f t="shared" si="854"/>
        <v>#N/A</v>
      </c>
      <c r="CF3911" s="16">
        <f t="shared" si="855"/>
        <v>99</v>
      </c>
      <c r="CG3911" s="16">
        <f t="shared" si="856"/>
        <v>0</v>
      </c>
      <c r="CH3911" s="16">
        <f t="shared" si="863"/>
        <v>0</v>
      </c>
      <c r="CJ3911" s="16" t="e">
        <f t="shared" si="857"/>
        <v>#N/A</v>
      </c>
      <c r="CK3911" s="16" t="str">
        <f t="shared" si="858"/>
        <v/>
      </c>
    </row>
    <row r="3912" spans="73:89" ht="12" customHeight="1">
      <c r="BU3912" s="16">
        <f t="shared" si="859"/>
        <v>0</v>
      </c>
      <c r="BV3912" s="16">
        <f>IF($BY$12=1,NORMDIST(BY3912,$Y$6,$Y$8,TRUE),IF($BY$12=2,IF(BY3912&lt;=$BX$31,0,IF(BY3912&gt;=$BX$32,1,(BY3912-$BX$31)*$BX$33)),SUM($BU$42:BU3912)/$BV$40))</f>
        <v>1</v>
      </c>
      <c r="BW3912" s="16">
        <f t="shared" si="861"/>
        <v>1.7163407590580564E-61</v>
      </c>
      <c r="BY3912" s="16">
        <f t="shared" si="862"/>
        <v>387.0000000000195</v>
      </c>
      <c r="BZ3912" s="16">
        <f t="shared" si="853"/>
        <v>4.4349890414934622E-64</v>
      </c>
      <c r="CA3912" s="16">
        <f t="shared" si="860"/>
        <v>-999</v>
      </c>
      <c r="CE3912" s="16" t="e">
        <f t="shared" si="854"/>
        <v>#N/A</v>
      </c>
      <c r="CF3912" s="16">
        <f t="shared" si="855"/>
        <v>99</v>
      </c>
      <c r="CG3912" s="16">
        <f t="shared" si="856"/>
        <v>0</v>
      </c>
      <c r="CH3912" s="16">
        <f t="shared" si="863"/>
        <v>0</v>
      </c>
      <c r="CJ3912" s="16" t="e">
        <f t="shared" si="857"/>
        <v>#N/A</v>
      </c>
      <c r="CK3912" s="16" t="str">
        <f t="shared" si="858"/>
        <v/>
      </c>
    </row>
    <row r="3913" spans="73:89" ht="12" customHeight="1">
      <c r="BU3913" s="16">
        <f t="shared" si="859"/>
        <v>0</v>
      </c>
      <c r="BV3913" s="16">
        <f>IF($BY$12=1,NORMDIST(BY3913,$Y$6,$Y$8,TRUE),IF($BY$12=2,IF(BY3913&lt;=$BX$31,0,IF(BY3913&gt;=$BX$32,1,(BY3913-$BX$31)*$BX$33)),SUM($BU$42:BU3913)/$BV$40))</f>
        <v>1</v>
      </c>
      <c r="BW3913" s="16">
        <f t="shared" si="861"/>
        <v>1.5780508140302692E-61</v>
      </c>
      <c r="BY3913" s="16">
        <f t="shared" si="862"/>
        <v>387.10000000001952</v>
      </c>
      <c r="BZ3913" s="16">
        <f t="shared" si="853"/>
        <v>4.0765972979338406E-64</v>
      </c>
      <c r="CA3913" s="16">
        <f t="shared" si="860"/>
        <v>-999</v>
      </c>
      <c r="CE3913" s="16" t="e">
        <f t="shared" si="854"/>
        <v>#N/A</v>
      </c>
      <c r="CF3913" s="16">
        <f t="shared" si="855"/>
        <v>99</v>
      </c>
      <c r="CG3913" s="16">
        <f t="shared" si="856"/>
        <v>0</v>
      </c>
      <c r="CH3913" s="16">
        <f t="shared" si="863"/>
        <v>0</v>
      </c>
      <c r="CJ3913" s="16" t="e">
        <f t="shared" si="857"/>
        <v>#N/A</v>
      </c>
      <c r="CK3913" s="16" t="str">
        <f t="shared" si="858"/>
        <v/>
      </c>
    </row>
    <row r="3914" spans="73:89" ht="12" customHeight="1">
      <c r="BU3914" s="16">
        <f t="shared" si="859"/>
        <v>0</v>
      </c>
      <c r="BV3914" s="16">
        <f>IF($BY$12=1,NORMDIST(BY3914,$Y$6,$Y$8,TRUE),IF($BY$12=2,IF(BY3914&lt;=$BX$31,0,IF(BY3914&gt;=$BX$32,1,(BY3914-$BX$31)*$BX$33)),SUM($BU$42:BU3914)/$BV$40))</f>
        <v>1</v>
      </c>
      <c r="BW3914" s="16">
        <f t="shared" si="861"/>
        <v>1.450866873029834E-61</v>
      </c>
      <c r="BY3914" s="16">
        <f t="shared" si="862"/>
        <v>387.20000000001954</v>
      </c>
      <c r="BZ3914" s="16">
        <f t="shared" si="853"/>
        <v>3.7470735357173573E-64</v>
      </c>
      <c r="CA3914" s="16">
        <f t="shared" si="860"/>
        <v>-999</v>
      </c>
      <c r="CE3914" s="16" t="e">
        <f t="shared" si="854"/>
        <v>#N/A</v>
      </c>
      <c r="CF3914" s="16">
        <f t="shared" si="855"/>
        <v>99</v>
      </c>
      <c r="CG3914" s="16">
        <f t="shared" si="856"/>
        <v>0</v>
      </c>
      <c r="CH3914" s="16">
        <f t="shared" si="863"/>
        <v>0</v>
      </c>
      <c r="CJ3914" s="16" t="e">
        <f t="shared" si="857"/>
        <v>#N/A</v>
      </c>
      <c r="CK3914" s="16" t="str">
        <f t="shared" si="858"/>
        <v/>
      </c>
    </row>
    <row r="3915" spans="73:89" ht="12" customHeight="1">
      <c r="BU3915" s="16">
        <f t="shared" si="859"/>
        <v>0</v>
      </c>
      <c r="BV3915" s="16">
        <f>IF($BY$12=1,NORMDIST(BY3915,$Y$6,$Y$8,TRUE),IF($BY$12=2,IF(BY3915&lt;=$BX$31,0,IF(BY3915&gt;=$BX$32,1,(BY3915-$BX$31)*$BX$33)),SUM($BU$42:BU3915)/$BV$40))</f>
        <v>1</v>
      </c>
      <c r="BW3915" s="16">
        <f t="shared" si="861"/>
        <v>1.333899960273171E-61</v>
      </c>
      <c r="BY3915" s="16">
        <f t="shared" si="862"/>
        <v>387.30000000001957</v>
      </c>
      <c r="BZ3915" s="16">
        <f t="shared" si="853"/>
        <v>3.4441000781644813E-64</v>
      </c>
      <c r="CA3915" s="16">
        <f t="shared" si="860"/>
        <v>-999</v>
      </c>
      <c r="CE3915" s="16" t="e">
        <f t="shared" si="854"/>
        <v>#N/A</v>
      </c>
      <c r="CF3915" s="16">
        <f t="shared" si="855"/>
        <v>99</v>
      </c>
      <c r="CG3915" s="16">
        <f t="shared" si="856"/>
        <v>0</v>
      </c>
      <c r="CH3915" s="16">
        <f t="shared" si="863"/>
        <v>0</v>
      </c>
      <c r="CJ3915" s="16" t="e">
        <f t="shared" si="857"/>
        <v>#N/A</v>
      </c>
      <c r="CK3915" s="16" t="str">
        <f t="shared" si="858"/>
        <v/>
      </c>
    </row>
    <row r="3916" spans="73:89" ht="12" customHeight="1">
      <c r="BU3916" s="16">
        <f t="shared" si="859"/>
        <v>0</v>
      </c>
      <c r="BV3916" s="16">
        <f>IF($BY$12=1,NORMDIST(BY3916,$Y$6,$Y$8,TRUE),IF($BY$12=2,IF(BY3916&lt;=$BX$31,0,IF(BY3916&gt;=$BX$32,1,(BY3916-$BX$31)*$BX$33)),SUM($BU$42:BU3916)/$BV$40))</f>
        <v>1</v>
      </c>
      <c r="BW3916" s="16">
        <f t="shared" si="861"/>
        <v>1.2263320203970744E-61</v>
      </c>
      <c r="BY3916" s="16">
        <f t="shared" si="862"/>
        <v>387.40000000001959</v>
      </c>
      <c r="BZ3916" s="16">
        <f t="shared" si="853"/>
        <v>3.165544709336635E-64</v>
      </c>
      <c r="CA3916" s="16">
        <f t="shared" si="860"/>
        <v>-999</v>
      </c>
      <c r="CE3916" s="16" t="e">
        <f t="shared" si="854"/>
        <v>#N/A</v>
      </c>
      <c r="CF3916" s="16">
        <f t="shared" si="855"/>
        <v>99</v>
      </c>
      <c r="CG3916" s="16">
        <f t="shared" si="856"/>
        <v>0</v>
      </c>
      <c r="CH3916" s="16">
        <f t="shared" si="863"/>
        <v>0</v>
      </c>
      <c r="CJ3916" s="16" t="e">
        <f t="shared" si="857"/>
        <v>#N/A</v>
      </c>
      <c r="CK3916" s="16" t="str">
        <f t="shared" si="858"/>
        <v/>
      </c>
    </row>
    <row r="3917" spans="73:89" ht="12" customHeight="1">
      <c r="BU3917" s="16">
        <f t="shared" si="859"/>
        <v>0</v>
      </c>
      <c r="BV3917" s="16">
        <f>IF($BY$12=1,NORMDIST(BY3917,$Y$6,$Y$8,TRUE),IF($BY$12=2,IF(BY3917&lt;=$BX$31,0,IF(BY3917&gt;=$BX$32,1,(BY3917-$BX$31)*$BX$33)),SUM($BU$42:BU3917)/$BV$40))</f>
        <v>1</v>
      </c>
      <c r="BW3917" s="16">
        <f t="shared" si="861"/>
        <v>1.1274102796684483E-61</v>
      </c>
      <c r="BY3917" s="16">
        <f t="shared" si="862"/>
        <v>387.50000000001961</v>
      </c>
      <c r="BZ3917" s="16">
        <f t="shared" si="853"/>
        <v>2.9094458830152033E-64</v>
      </c>
      <c r="CA3917" s="16">
        <f t="shared" si="860"/>
        <v>-999</v>
      </c>
      <c r="CE3917" s="16" t="e">
        <f t="shared" si="854"/>
        <v>#N/A</v>
      </c>
      <c r="CF3917" s="16">
        <f t="shared" si="855"/>
        <v>99</v>
      </c>
      <c r="CG3917" s="16">
        <f t="shared" si="856"/>
        <v>0</v>
      </c>
      <c r="CH3917" s="16">
        <f t="shared" si="863"/>
        <v>0</v>
      </c>
      <c r="CJ3917" s="16" t="e">
        <f t="shared" si="857"/>
        <v>#N/A</v>
      </c>
      <c r="CK3917" s="16" t="str">
        <f t="shared" si="858"/>
        <v/>
      </c>
    </row>
    <row r="3918" spans="73:89" ht="12" customHeight="1">
      <c r="BU3918" s="16">
        <f t="shared" si="859"/>
        <v>0</v>
      </c>
      <c r="BV3918" s="16">
        <f>IF($BY$12=1,NORMDIST(BY3918,$Y$6,$Y$8,TRUE),IF($BY$12=2,IF(BY3918&lt;=$BX$31,0,IF(BY3918&gt;=$BX$32,1,(BY3918-$BX$31)*$BX$33)),SUM($BU$42:BU3918)/$BV$40))</f>
        <v>1</v>
      </c>
      <c r="BW3918" s="16">
        <f t="shared" si="861"/>
        <v>1.0364420539982708E-61</v>
      </c>
      <c r="BY3918" s="16">
        <f t="shared" si="862"/>
        <v>387.60000000001963</v>
      </c>
      <c r="BZ3918" s="16">
        <f t="shared" si="853"/>
        <v>2.6739991073225447E-64</v>
      </c>
      <c r="CA3918" s="16">
        <f t="shared" si="860"/>
        <v>-999</v>
      </c>
      <c r="CE3918" s="16" t="e">
        <f t="shared" si="854"/>
        <v>#N/A</v>
      </c>
      <c r="CF3918" s="16">
        <f t="shared" si="855"/>
        <v>99</v>
      </c>
      <c r="CG3918" s="16">
        <f t="shared" si="856"/>
        <v>0</v>
      </c>
      <c r="CH3918" s="16">
        <f t="shared" si="863"/>
        <v>0</v>
      </c>
      <c r="CJ3918" s="16" t="e">
        <f t="shared" si="857"/>
        <v>#N/A</v>
      </c>
      <c r="CK3918" s="16" t="str">
        <f t="shared" si="858"/>
        <v/>
      </c>
    </row>
    <row r="3919" spans="73:89" ht="12" customHeight="1">
      <c r="BU3919" s="16">
        <f t="shared" si="859"/>
        <v>0</v>
      </c>
      <c r="BV3919" s="16">
        <f>IF($BY$12=1,NORMDIST(BY3919,$Y$6,$Y$8,TRUE),IF($BY$12=2,IF(BY3919&lt;=$BX$31,0,IF(BY3919&gt;=$BX$32,1,(BY3919-$BX$31)*$BX$33)),SUM($BU$42:BU3919)/$BV$40))</f>
        <v>1</v>
      </c>
      <c r="BW3919" s="16">
        <f t="shared" si="861"/>
        <v>9.5278996847847705E-62</v>
      </c>
      <c r="BY3919" s="16">
        <f t="shared" si="862"/>
        <v>387.70000000001966</v>
      </c>
      <c r="BZ3919" s="16">
        <f t="shared" si="853"/>
        <v>2.4575444118607914E-64</v>
      </c>
      <c r="CA3919" s="16">
        <f t="shared" si="860"/>
        <v>-999</v>
      </c>
      <c r="CE3919" s="16" t="e">
        <f t="shared" si="854"/>
        <v>#N/A</v>
      </c>
      <c r="CF3919" s="16">
        <f t="shared" si="855"/>
        <v>99</v>
      </c>
      <c r="CG3919" s="16">
        <f t="shared" si="856"/>
        <v>0</v>
      </c>
      <c r="CH3919" s="16">
        <f t="shared" si="863"/>
        <v>0</v>
      </c>
      <c r="CJ3919" s="16" t="e">
        <f t="shared" si="857"/>
        <v>#N/A</v>
      </c>
      <c r="CK3919" s="16" t="str">
        <f t="shared" si="858"/>
        <v/>
      </c>
    </row>
    <row r="3920" spans="73:89" ht="12" customHeight="1">
      <c r="BU3920" s="16">
        <f t="shared" si="859"/>
        <v>0</v>
      </c>
      <c r="BV3920" s="16">
        <f>IF($BY$12=1,NORMDIST(BY3920,$Y$6,$Y$8,TRUE),IF($BY$12=2,IF(BY3920&lt;=$BX$31,0,IF(BY3920&gt;=$BX$32,1,(BY3920-$BX$31)*$BX$33)),SUM($BU$42:BU3920)/$BV$40))</f>
        <v>1</v>
      </c>
      <c r="BW3920" s="16">
        <f t="shared" si="861"/>
        <v>8.7586755593633503E-62</v>
      </c>
      <c r="BY3920" s="16">
        <f t="shared" si="862"/>
        <v>387.80000000001968</v>
      </c>
      <c r="BZ3920" s="16">
        <f t="shared" si="853"/>
        <v>2.2585548115943545E-64</v>
      </c>
      <c r="CA3920" s="16">
        <f t="shared" si="860"/>
        <v>-999</v>
      </c>
      <c r="CE3920" s="16" t="e">
        <f t="shared" si="854"/>
        <v>#N/A</v>
      </c>
      <c r="CF3920" s="16">
        <f t="shared" si="855"/>
        <v>99</v>
      </c>
      <c r="CG3920" s="16">
        <f t="shared" si="856"/>
        <v>0</v>
      </c>
      <c r="CH3920" s="16">
        <f t="shared" si="863"/>
        <v>0</v>
      </c>
      <c r="CJ3920" s="16" t="e">
        <f t="shared" si="857"/>
        <v>#N/A</v>
      </c>
      <c r="CK3920" s="16" t="str">
        <f t="shared" si="858"/>
        <v/>
      </c>
    </row>
    <row r="3921" spans="73:89" ht="12" customHeight="1">
      <c r="BU3921" s="16">
        <f t="shared" si="859"/>
        <v>0</v>
      </c>
      <c r="BV3921" s="16">
        <f>IF($BY$12=1,NORMDIST(BY3921,$Y$6,$Y$8,TRUE),IF($BY$12=2,IF(BY3921&lt;=$BX$31,0,IF(BY3921&gt;=$BX$32,1,(BY3921-$BX$31)*$BX$33)),SUM($BU$42:BU3921)/$BV$40))</f>
        <v>1</v>
      </c>
      <c r="BW3921" s="16">
        <f t="shared" si="861"/>
        <v>8.0513520455911454E-62</v>
      </c>
      <c r="BY3921" s="16">
        <f t="shared" si="862"/>
        <v>387.9000000000197</v>
      </c>
      <c r="BZ3921" s="16">
        <f t="shared" si="853"/>
        <v>2.0756256884740232E-64</v>
      </c>
      <c r="CA3921" s="16">
        <f t="shared" si="860"/>
        <v>-999</v>
      </c>
      <c r="CE3921" s="16" t="e">
        <f t="shared" si="854"/>
        <v>#N/A</v>
      </c>
      <c r="CF3921" s="16">
        <f t="shared" si="855"/>
        <v>99</v>
      </c>
      <c r="CG3921" s="16">
        <f t="shared" si="856"/>
        <v>0</v>
      </c>
      <c r="CH3921" s="16">
        <f t="shared" si="863"/>
        <v>0</v>
      </c>
      <c r="CJ3921" s="16" t="e">
        <f t="shared" si="857"/>
        <v>#N/A</v>
      </c>
      <c r="CK3921" s="16" t="str">
        <f t="shared" si="858"/>
        <v/>
      </c>
    </row>
    <row r="3922" spans="73:89" ht="12" customHeight="1">
      <c r="BU3922" s="16">
        <f t="shared" si="859"/>
        <v>0</v>
      </c>
      <c r="BV3922" s="16">
        <f>IF($BY$12=1,NORMDIST(BY3922,$Y$6,$Y$8,TRUE),IF($BY$12=2,IF(BY3922&lt;=$BX$31,0,IF(BY3922&gt;=$BX$32,1,(BY3922-$BX$31)*$BX$33)),SUM($BU$42:BU3922)/$BV$40))</f>
        <v>1</v>
      </c>
      <c r="BW3922" s="16">
        <f t="shared" si="861"/>
        <v>7.4009642700084227E-62</v>
      </c>
      <c r="BY3922" s="16">
        <f t="shared" si="862"/>
        <v>388.00000000001972</v>
      </c>
      <c r="BZ3922" s="16">
        <f t="shared" si="853"/>
        <v>1.9074650180433109E-64</v>
      </c>
      <c r="CA3922" s="16">
        <f t="shared" si="860"/>
        <v>-999</v>
      </c>
      <c r="CE3922" s="16" t="e">
        <f t="shared" si="854"/>
        <v>#N/A</v>
      </c>
      <c r="CF3922" s="16">
        <f t="shared" si="855"/>
        <v>99</v>
      </c>
      <c r="CG3922" s="16">
        <f t="shared" si="856"/>
        <v>0</v>
      </c>
      <c r="CH3922" s="16">
        <f t="shared" si="863"/>
        <v>0</v>
      </c>
      <c r="CJ3922" s="16" t="e">
        <f t="shared" si="857"/>
        <v>#N/A</v>
      </c>
      <c r="CK3922" s="16" t="str">
        <f t="shared" si="858"/>
        <v/>
      </c>
    </row>
    <row r="3923" spans="73:89" ht="12" customHeight="1">
      <c r="BU3923" s="16">
        <f t="shared" si="859"/>
        <v>0</v>
      </c>
      <c r="BV3923" s="16">
        <f>IF($BY$12=1,NORMDIST(BY3923,$Y$6,$Y$8,TRUE),IF($BY$12=2,IF(BY3923&lt;=$BX$31,0,IF(BY3923&gt;=$BX$32,1,(BY3923-$BX$31)*$BX$33)),SUM($BU$42:BU3923)/$BV$40))</f>
        <v>1</v>
      </c>
      <c r="BW3923" s="16">
        <f t="shared" si="861"/>
        <v>6.8029442555446482E-62</v>
      </c>
      <c r="BY3923" s="16">
        <f t="shared" si="862"/>
        <v>388.10000000001975</v>
      </c>
      <c r="BZ3923" s="16">
        <f t="shared" si="853"/>
        <v>1.7528843740129612E-64</v>
      </c>
      <c r="CA3923" s="16">
        <f t="shared" si="860"/>
        <v>-999</v>
      </c>
      <c r="CE3923" s="16" t="e">
        <f t="shared" si="854"/>
        <v>#N/A</v>
      </c>
      <c r="CF3923" s="16">
        <f t="shared" si="855"/>
        <v>99</v>
      </c>
      <c r="CG3923" s="16">
        <f t="shared" si="856"/>
        <v>0</v>
      </c>
      <c r="CH3923" s="16">
        <f t="shared" si="863"/>
        <v>0</v>
      </c>
      <c r="CJ3923" s="16" t="e">
        <f t="shared" si="857"/>
        <v>#N/A</v>
      </c>
      <c r="CK3923" s="16" t="str">
        <f t="shared" si="858"/>
        <v/>
      </c>
    </row>
    <row r="3924" spans="73:89" ht="12" customHeight="1">
      <c r="BU3924" s="16">
        <f t="shared" si="859"/>
        <v>0</v>
      </c>
      <c r="BV3924" s="16">
        <f>IF($BY$12=1,NORMDIST(BY3924,$Y$6,$Y$8,TRUE),IF($BY$12=2,IF(BY3924&lt;=$BX$31,0,IF(BY3924&gt;=$BX$32,1,(BY3924-$BX$31)*$BX$33)),SUM($BU$42:BU3924)/$BV$40))</f>
        <v>1</v>
      </c>
      <c r="BW3924" s="16">
        <f t="shared" si="861"/>
        <v>6.253089299763479E-62</v>
      </c>
      <c r="BY3924" s="16">
        <f t="shared" si="862"/>
        <v>388.20000000001977</v>
      </c>
      <c r="BZ3924" s="16">
        <f t="shared" si="853"/>
        <v>1.610790649088913E-64</v>
      </c>
      <c r="CA3924" s="16">
        <f t="shared" si="860"/>
        <v>-999</v>
      </c>
      <c r="CE3924" s="16" t="e">
        <f t="shared" si="854"/>
        <v>#N/A</v>
      </c>
      <c r="CF3924" s="16">
        <f t="shared" si="855"/>
        <v>99</v>
      </c>
      <c r="CG3924" s="16">
        <f t="shared" si="856"/>
        <v>0</v>
      </c>
      <c r="CH3924" s="16">
        <f t="shared" si="863"/>
        <v>0</v>
      </c>
      <c r="CJ3924" s="16" t="e">
        <f t="shared" si="857"/>
        <v>#N/A</v>
      </c>
      <c r="CK3924" s="16" t="str">
        <f t="shared" si="858"/>
        <v/>
      </c>
    </row>
    <row r="3925" spans="73:89" ht="12" customHeight="1">
      <c r="BU3925" s="16">
        <f t="shared" si="859"/>
        <v>0</v>
      </c>
      <c r="BV3925" s="16">
        <f>IF($BY$12=1,NORMDIST(BY3925,$Y$6,$Y$8,TRUE),IF($BY$12=2,IF(BY3925&lt;=$BX$31,0,IF(BY3925&gt;=$BX$32,1,(BY3925-$BX$31)*$BX$33)),SUM($BU$42:BU3925)/$BV$40))</f>
        <v>1</v>
      </c>
      <c r="BW3925" s="16">
        <f t="shared" si="861"/>
        <v>5.747532863942153E-62</v>
      </c>
      <c r="BY3925" s="16">
        <f t="shared" si="862"/>
        <v>388.30000000001979</v>
      </c>
      <c r="BZ3925" s="16">
        <f t="shared" si="853"/>
        <v>1.4801784352155188E-64</v>
      </c>
      <c r="CA3925" s="16">
        <f t="shared" si="860"/>
        <v>-999</v>
      </c>
      <c r="CE3925" s="16" t="e">
        <f t="shared" si="854"/>
        <v>#N/A</v>
      </c>
      <c r="CF3925" s="16">
        <f t="shared" si="855"/>
        <v>99</v>
      </c>
      <c r="CG3925" s="16">
        <f t="shared" si="856"/>
        <v>0</v>
      </c>
      <c r="CH3925" s="16">
        <f t="shared" si="863"/>
        <v>0</v>
      </c>
      <c r="CJ3925" s="16" t="e">
        <f t="shared" si="857"/>
        <v>#N/A</v>
      </c>
      <c r="CK3925" s="16" t="str">
        <f t="shared" si="858"/>
        <v/>
      </c>
    </row>
    <row r="3926" spans="73:89" ht="12" customHeight="1">
      <c r="BU3926" s="16">
        <f t="shared" si="859"/>
        <v>0</v>
      </c>
      <c r="BV3926" s="16">
        <f>IF($BY$12=1,NORMDIST(BY3926,$Y$6,$Y$8,TRUE),IF($BY$12=2,IF(BY3926&lt;=$BX$31,0,IF(BY3926&gt;=$BX$32,1,(BY3926-$BX$31)*$BX$33)),SUM($BU$42:BU3926)/$BV$40))</f>
        <v>1</v>
      </c>
      <c r="BW3926" s="16">
        <f t="shared" si="861"/>
        <v>5.282717774307491E-62</v>
      </c>
      <c r="BY3926" s="16">
        <f t="shared" si="862"/>
        <v>388.40000000001982</v>
      </c>
      <c r="BZ3926" s="16">
        <f t="shared" si="853"/>
        <v>1.3601230108926936E-64</v>
      </c>
      <c r="CA3926" s="16">
        <f t="shared" si="860"/>
        <v>-999</v>
      </c>
      <c r="CE3926" s="16" t="e">
        <f t="shared" si="854"/>
        <v>#N/A</v>
      </c>
      <c r="CF3926" s="16">
        <f t="shared" si="855"/>
        <v>99</v>
      </c>
      <c r="CG3926" s="16">
        <f t="shared" si="856"/>
        <v>0</v>
      </c>
      <c r="CH3926" s="16">
        <f t="shared" si="863"/>
        <v>0</v>
      </c>
      <c r="CJ3926" s="16" t="e">
        <f t="shared" si="857"/>
        <v>#N/A</v>
      </c>
      <c r="CK3926" s="16" t="str">
        <f t="shared" si="858"/>
        <v/>
      </c>
    </row>
    <row r="3927" spans="73:89" ht="12" customHeight="1">
      <c r="BU3927" s="16">
        <f t="shared" si="859"/>
        <v>0</v>
      </c>
      <c r="BV3927" s="16">
        <f>IF($BY$12=1,NORMDIST(BY3927,$Y$6,$Y$8,TRUE),IF($BY$12=2,IF(BY3927&lt;=$BX$31,0,IF(BY3927&gt;=$BX$32,1,(BY3927-$BX$31)*$BX$33)),SUM($BU$42:BU3927)/$BV$40))</f>
        <v>1</v>
      </c>
      <c r="BW3927" s="16">
        <f t="shared" si="861"/>
        <v>4.8553715524125106E-62</v>
      </c>
      <c r="BY3927" s="16">
        <f t="shared" si="862"/>
        <v>388.50000000001984</v>
      </c>
      <c r="BZ3927" s="16">
        <f t="shared" si="853"/>
        <v>1.2497738873648039E-64</v>
      </c>
      <c r="CA3927" s="16">
        <f t="shared" si="860"/>
        <v>-999</v>
      </c>
      <c r="CE3927" s="16" t="e">
        <f t="shared" si="854"/>
        <v>#N/A</v>
      </c>
      <c r="CF3927" s="16">
        <f t="shared" si="855"/>
        <v>99</v>
      </c>
      <c r="CG3927" s="16">
        <f t="shared" si="856"/>
        <v>0</v>
      </c>
      <c r="CH3927" s="16">
        <f t="shared" si="863"/>
        <v>0</v>
      </c>
      <c r="CJ3927" s="16" t="e">
        <f t="shared" si="857"/>
        <v>#N/A</v>
      </c>
      <c r="CK3927" s="16" t="str">
        <f t="shared" si="858"/>
        <v/>
      </c>
    </row>
    <row r="3928" spans="73:89" ht="12" customHeight="1">
      <c r="BU3928" s="16">
        <f t="shared" si="859"/>
        <v>0</v>
      </c>
      <c r="BV3928" s="16">
        <f>IF($BY$12=1,NORMDIST(BY3928,$Y$6,$Y$8,TRUE),IF($BY$12=2,IF(BY3928&lt;=$BX$31,0,IF(BY3928&gt;=$BX$32,1,(BY3928-$BX$31)*$BX$33)),SUM($BU$42:BU3928)/$BV$40))</f>
        <v>1</v>
      </c>
      <c r="BW3928" s="16">
        <f t="shared" si="861"/>
        <v>4.4624837060722252E-62</v>
      </c>
      <c r="BY3928" s="16">
        <f t="shared" si="862"/>
        <v>388.60000000001986</v>
      </c>
      <c r="BZ3928" s="16">
        <f t="shared" si="853"/>
        <v>1.1483488692928454E-64</v>
      </c>
      <c r="CA3928" s="16">
        <f t="shared" si="860"/>
        <v>-999</v>
      </c>
      <c r="CE3928" s="16" t="e">
        <f t="shared" si="854"/>
        <v>#N/A</v>
      </c>
      <c r="CF3928" s="16">
        <f t="shared" si="855"/>
        <v>99</v>
      </c>
      <c r="CG3928" s="16">
        <f t="shared" si="856"/>
        <v>0</v>
      </c>
      <c r="CH3928" s="16">
        <f t="shared" si="863"/>
        <v>0</v>
      </c>
      <c r="CJ3928" s="16" t="e">
        <f t="shared" si="857"/>
        <v>#N/A</v>
      </c>
      <c r="CK3928" s="16" t="str">
        <f t="shared" si="858"/>
        <v/>
      </c>
    </row>
    <row r="3929" spans="73:89" ht="12" customHeight="1">
      <c r="BU3929" s="16">
        <f t="shared" si="859"/>
        <v>0</v>
      </c>
      <c r="BV3929" s="16">
        <f>IF($BY$12=1,NORMDIST(BY3929,$Y$6,$Y$8,TRUE),IF($BY$12=2,IF(BY3929&lt;=$BX$31,0,IF(BY3929&gt;=$BX$32,1,(BY3929-$BX$31)*$BX$33)),SUM($BU$42:BU3929)/$BV$40))</f>
        <v>1</v>
      </c>
      <c r="BW3929" s="16">
        <f t="shared" si="861"/>
        <v>4.1012848255857979E-62</v>
      </c>
      <c r="BY3929" s="16">
        <f t="shared" si="862"/>
        <v>388.70000000001988</v>
      </c>
      <c r="BZ3929" s="16">
        <f t="shared" si="853"/>
        <v>1.0551285890366833E-64</v>
      </c>
      <c r="CA3929" s="16">
        <f t="shared" si="860"/>
        <v>-999</v>
      </c>
      <c r="CE3929" s="16" t="e">
        <f t="shared" si="854"/>
        <v>#N/A</v>
      </c>
      <c r="CF3929" s="16">
        <f t="shared" si="855"/>
        <v>99</v>
      </c>
      <c r="CG3929" s="16">
        <f t="shared" si="856"/>
        <v>0</v>
      </c>
      <c r="CH3929" s="16">
        <f t="shared" si="863"/>
        <v>0</v>
      </c>
      <c r="CJ3929" s="16" t="e">
        <f t="shared" si="857"/>
        <v>#N/A</v>
      </c>
      <c r="CK3929" s="16" t="str">
        <f t="shared" si="858"/>
        <v/>
      </c>
    </row>
    <row r="3930" spans="73:89" ht="12" customHeight="1">
      <c r="BU3930" s="16">
        <f t="shared" si="859"/>
        <v>0</v>
      </c>
      <c r="BV3930" s="16">
        <f>IF($BY$12=1,NORMDIST(BY3930,$Y$6,$Y$8,TRUE),IF($BY$12=2,IF(BY3930&lt;=$BX$31,0,IF(BY3930&gt;=$BX$32,1,(BY3930-$BX$31)*$BX$33)),SUM($BU$42:BU3930)/$BV$40))</f>
        <v>1</v>
      </c>
      <c r="BW3930" s="16">
        <f t="shared" si="861"/>
        <v>3.7692273422195886E-62</v>
      </c>
      <c r="BY3930" s="16">
        <f t="shared" si="862"/>
        <v>388.80000000001991</v>
      </c>
      <c r="BZ3930" s="16">
        <f t="shared" si="853"/>
        <v>9.6945147690828071E-65</v>
      </c>
      <c r="CA3930" s="16">
        <f t="shared" si="860"/>
        <v>-999</v>
      </c>
      <c r="CE3930" s="16" t="e">
        <f t="shared" si="854"/>
        <v>#N/A</v>
      </c>
      <c r="CF3930" s="16">
        <f t="shared" si="855"/>
        <v>99</v>
      </c>
      <c r="CG3930" s="16">
        <f t="shared" si="856"/>
        <v>0</v>
      </c>
      <c r="CH3930" s="16">
        <f t="shared" si="863"/>
        <v>0</v>
      </c>
      <c r="CJ3930" s="16" t="e">
        <f t="shared" si="857"/>
        <v>#N/A</v>
      </c>
      <c r="CK3930" s="16" t="str">
        <f t="shared" si="858"/>
        <v/>
      </c>
    </row>
    <row r="3931" spans="73:89" ht="12" customHeight="1">
      <c r="BU3931" s="16">
        <f t="shared" si="859"/>
        <v>0</v>
      </c>
      <c r="BV3931" s="16">
        <f>IF($BY$12=1,NORMDIST(BY3931,$Y$6,$Y$8,TRUE),IF($BY$12=2,IF(BY3931&lt;=$BX$31,0,IF(BY3931&gt;=$BX$32,1,(BY3931-$BX$31)*$BX$33)),SUM($BU$42:BU3931)/$BV$40))</f>
        <v>1</v>
      </c>
      <c r="BW3931" s="16">
        <f t="shared" si="861"/>
        <v>3.4639678172230141E-62</v>
      </c>
      <c r="BY3931" s="16">
        <f t="shared" si="862"/>
        <v>388.90000000001993</v>
      </c>
      <c r="BZ3931" s="16">
        <f t="shared" si="853"/>
        <v>8.9070913273922259E-65</v>
      </c>
      <c r="CA3931" s="16">
        <f t="shared" si="860"/>
        <v>-999</v>
      </c>
      <c r="CE3931" s="16" t="e">
        <f t="shared" si="854"/>
        <v>#N/A</v>
      </c>
      <c r="CF3931" s="16">
        <f t="shared" si="855"/>
        <v>99</v>
      </c>
      <c r="CG3931" s="16">
        <f t="shared" si="856"/>
        <v>0</v>
      </c>
      <c r="CH3931" s="16">
        <f t="shared" si="863"/>
        <v>0</v>
      </c>
      <c r="CJ3931" s="16" t="e">
        <f t="shared" si="857"/>
        <v>#N/A</v>
      </c>
      <c r="CK3931" s="16" t="str">
        <f t="shared" si="858"/>
        <v/>
      </c>
    </row>
    <row r="3932" spans="73:89" ht="12" customHeight="1">
      <c r="BU3932" s="16">
        <f t="shared" si="859"/>
        <v>0</v>
      </c>
      <c r="BV3932" s="16">
        <f>IF($BY$12=1,NORMDIST(BY3932,$Y$6,$Y$8,TRUE),IF($BY$12=2,IF(BY3932&lt;=$BX$31,0,IF(BY3932&gt;=$BX$32,1,(BY3932-$BX$31)*$BX$33)),SUM($BU$42:BU3932)/$BV$40))</f>
        <v>1</v>
      </c>
      <c r="BW3932" s="16">
        <f t="shared" si="861"/>
        <v>3.1833506400470669E-62</v>
      </c>
      <c r="BY3932" s="16">
        <f t="shared" si="862"/>
        <v>389.00000000001995</v>
      </c>
      <c r="BZ3932" s="16">
        <f t="shared" si="853"/>
        <v>8.1834206685010378E-65</v>
      </c>
      <c r="CA3932" s="16">
        <f t="shared" si="860"/>
        <v>-999</v>
      </c>
      <c r="CE3932" s="16" t="e">
        <f t="shared" si="854"/>
        <v>#N/A</v>
      </c>
      <c r="CF3932" s="16">
        <f t="shared" si="855"/>
        <v>99</v>
      </c>
      <c r="CG3932" s="16">
        <f t="shared" si="856"/>
        <v>0</v>
      </c>
      <c r="CH3932" s="16">
        <f t="shared" si="863"/>
        <v>0</v>
      </c>
      <c r="CJ3932" s="16" t="e">
        <f t="shared" si="857"/>
        <v>#N/A</v>
      </c>
      <c r="CK3932" s="16" t="str">
        <f t="shared" si="858"/>
        <v/>
      </c>
    </row>
    <row r="3933" spans="73:89" ht="12" customHeight="1">
      <c r="BU3933" s="16">
        <f t="shared" si="859"/>
        <v>0</v>
      </c>
      <c r="BV3933" s="16">
        <f>IF($BY$12=1,NORMDIST(BY3933,$Y$6,$Y$8,TRUE),IF($BY$12=2,IF(BY3933&lt;=$BX$31,0,IF(BY3933&gt;=$BX$32,1,(BY3933-$BX$31)*$BX$33)),SUM($BU$42:BU3933)/$BV$40))</f>
        <v>1</v>
      </c>
      <c r="BW3933" s="16">
        <f t="shared" si="861"/>
        <v>2.9253930240261984E-62</v>
      </c>
      <c r="BY3933" s="16">
        <f t="shared" si="862"/>
        <v>389.10000000001997</v>
      </c>
      <c r="BZ3933" s="16">
        <f t="shared" si="853"/>
        <v>7.5183578103984791E-65</v>
      </c>
      <c r="CA3933" s="16">
        <f t="shared" si="860"/>
        <v>-999</v>
      </c>
      <c r="CE3933" s="16" t="e">
        <f t="shared" si="854"/>
        <v>#N/A</v>
      </c>
      <c r="CF3933" s="16">
        <f t="shared" si="855"/>
        <v>99</v>
      </c>
      <c r="CG3933" s="16">
        <f t="shared" si="856"/>
        <v>0</v>
      </c>
      <c r="CH3933" s="16">
        <f t="shared" si="863"/>
        <v>0</v>
      </c>
      <c r="CJ3933" s="16" t="e">
        <f t="shared" si="857"/>
        <v>#N/A</v>
      </c>
      <c r="CK3933" s="16" t="str">
        <f t="shared" si="858"/>
        <v/>
      </c>
    </row>
    <row r="3934" spans="73:89" ht="12" customHeight="1">
      <c r="BU3934" s="16">
        <f t="shared" si="859"/>
        <v>0</v>
      </c>
      <c r="BV3934" s="16">
        <f>IF($BY$12=1,NORMDIST(BY3934,$Y$6,$Y$8,TRUE),IF($BY$12=2,IF(BY3934&lt;=$BX$31,0,IF(BY3934&gt;=$BX$32,1,(BY3934-$BX$31)*$BX$33)),SUM($BU$42:BU3934)/$BV$40))</f>
        <v>1</v>
      </c>
      <c r="BW3934" s="16">
        <f t="shared" si="861"/>
        <v>2.6882711966084959E-62</v>
      </c>
      <c r="BY3934" s="16">
        <f t="shared" si="862"/>
        <v>389.20000000002</v>
      </c>
      <c r="BZ3934" s="16">
        <f t="shared" si="853"/>
        <v>6.9071716254068798E-65</v>
      </c>
      <c r="CA3934" s="16">
        <f t="shared" si="860"/>
        <v>-999</v>
      </c>
      <c r="CE3934" s="16" t="e">
        <f t="shared" si="854"/>
        <v>#N/A</v>
      </c>
      <c r="CF3934" s="16">
        <f t="shared" si="855"/>
        <v>99</v>
      </c>
      <c r="CG3934" s="16">
        <f t="shared" si="856"/>
        <v>0</v>
      </c>
      <c r="CH3934" s="16">
        <f t="shared" si="863"/>
        <v>0</v>
      </c>
      <c r="CJ3934" s="16" t="e">
        <f t="shared" si="857"/>
        <v>#N/A</v>
      </c>
      <c r="CK3934" s="16" t="str">
        <f t="shared" si="858"/>
        <v/>
      </c>
    </row>
    <row r="3935" spans="73:89" ht="12" customHeight="1">
      <c r="BU3935" s="16">
        <f t="shared" si="859"/>
        <v>0</v>
      </c>
      <c r="BV3935" s="16">
        <f>IF($BY$12=1,NORMDIST(BY3935,$Y$6,$Y$8,TRUE),IF($BY$12=2,IF(BY3935&lt;=$BX$31,0,IF(BY3935&gt;=$BX$32,1,(BY3935-$BX$31)*$BX$33)),SUM($BU$42:BU3935)/$BV$40))</f>
        <v>1</v>
      </c>
      <c r="BW3935" s="16">
        <f t="shared" si="861"/>
        <v>2.4703076893573742E-62</v>
      </c>
      <c r="BY3935" s="16">
        <f t="shared" si="862"/>
        <v>389.30000000002002</v>
      </c>
      <c r="BZ3935" s="16">
        <f t="shared" si="853"/>
        <v>6.3455116603063121E-65</v>
      </c>
      <c r="CA3935" s="16">
        <f t="shared" si="860"/>
        <v>-999</v>
      </c>
      <c r="CE3935" s="16" t="e">
        <f t="shared" si="854"/>
        <v>#N/A</v>
      </c>
      <c r="CF3935" s="16">
        <f t="shared" si="855"/>
        <v>99</v>
      </c>
      <c r="CG3935" s="16">
        <f t="shared" si="856"/>
        <v>0</v>
      </c>
      <c r="CH3935" s="16">
        <f t="shared" si="863"/>
        <v>0</v>
      </c>
      <c r="CJ3935" s="16" t="e">
        <f t="shared" si="857"/>
        <v>#N/A</v>
      </c>
      <c r="CK3935" s="16" t="str">
        <f t="shared" si="858"/>
        <v/>
      </c>
    </row>
    <row r="3936" spans="73:89" ht="12" customHeight="1">
      <c r="BU3936" s="16">
        <f t="shared" si="859"/>
        <v>0</v>
      </c>
      <c r="BV3936" s="16">
        <f>IF($BY$12=1,NORMDIST(BY3936,$Y$6,$Y$8,TRUE),IF($BY$12=2,IF(BY3936&lt;=$BX$31,0,IF(BY3936&gt;=$BX$32,1,(BY3936-$BX$31)*$BX$33)),SUM($BU$42:BU3936)/$BV$40))</f>
        <v>1</v>
      </c>
      <c r="BW3936" s="16">
        <f t="shared" si="861"/>
        <v>2.2699596404397961E-62</v>
      </c>
      <c r="BY3936" s="16">
        <f t="shared" si="862"/>
        <v>389.40000000002004</v>
      </c>
      <c r="BZ3936" s="16">
        <f t="shared" si="853"/>
        <v>5.8293776077033367E-65</v>
      </c>
      <c r="CA3936" s="16">
        <f t="shared" si="860"/>
        <v>-999</v>
      </c>
      <c r="CE3936" s="16" t="e">
        <f t="shared" si="854"/>
        <v>#N/A</v>
      </c>
      <c r="CF3936" s="16">
        <f t="shared" si="855"/>
        <v>99</v>
      </c>
      <c r="CG3936" s="16">
        <f t="shared" si="856"/>
        <v>0</v>
      </c>
      <c r="CH3936" s="16">
        <f t="shared" si="863"/>
        <v>0</v>
      </c>
      <c r="CJ3936" s="16" t="e">
        <f t="shared" si="857"/>
        <v>#N/A</v>
      </c>
      <c r="CK3936" s="16" t="str">
        <f t="shared" si="858"/>
        <v/>
      </c>
    </row>
    <row r="3937" spans="73:89" ht="12" customHeight="1">
      <c r="BU3937" s="16">
        <f t="shared" si="859"/>
        <v>0</v>
      </c>
      <c r="BV3937" s="16">
        <f>IF($BY$12=1,NORMDIST(BY3937,$Y$6,$Y$8,TRUE),IF($BY$12=2,IF(BY3937&lt;=$BX$31,0,IF(BY3937&gt;=$BX$32,1,(BY3937-$BX$31)*$BX$33)),SUM($BU$42:BU3937)/$BV$40))</f>
        <v>1</v>
      </c>
      <c r="BW3937" s="16">
        <f t="shared" si="861"/>
        <v>2.0858080292212651E-62</v>
      </c>
      <c r="BY3937" s="16">
        <f t="shared" si="862"/>
        <v>389.50000000002007</v>
      </c>
      <c r="BZ3937" s="16">
        <f t="shared" si="853"/>
        <v>5.3550912175126E-65</v>
      </c>
      <c r="CA3937" s="16">
        <f t="shared" si="860"/>
        <v>-999</v>
      </c>
      <c r="CE3937" s="16" t="e">
        <f t="shared" si="854"/>
        <v>#N/A</v>
      </c>
      <c r="CF3937" s="16">
        <f t="shared" si="855"/>
        <v>99</v>
      </c>
      <c r="CG3937" s="16">
        <f t="shared" si="856"/>
        <v>0</v>
      </c>
      <c r="CH3937" s="16">
        <f t="shared" si="863"/>
        <v>0</v>
      </c>
      <c r="CJ3937" s="16" t="e">
        <f t="shared" si="857"/>
        <v>#N/A</v>
      </c>
      <c r="CK3937" s="16" t="str">
        <f t="shared" si="858"/>
        <v/>
      </c>
    </row>
    <row r="3938" spans="73:89" ht="12" customHeight="1">
      <c r="BU3938" s="16">
        <f t="shared" si="859"/>
        <v>0</v>
      </c>
      <c r="BV3938" s="16">
        <f>IF($BY$12=1,NORMDIST(BY3938,$Y$6,$Y$8,TRUE),IF($BY$12=2,IF(BY3938&lt;=$BX$31,0,IF(BY3938&gt;=$BX$32,1,(BY3938-$BX$31)*$BX$33)),SUM($BU$42:BU3938)/$BV$40))</f>
        <v>1</v>
      </c>
      <c r="BW3938" s="16">
        <f t="shared" si="861"/>
        <v>1.9165477689459018E-62</v>
      </c>
      <c r="BY3938" s="16">
        <f t="shared" si="862"/>
        <v>389.60000000002009</v>
      </c>
      <c r="BZ3938" s="16">
        <f t="shared" si="853"/>
        <v>4.9192704541730058E-65</v>
      </c>
      <c r="CA3938" s="16">
        <f t="shared" si="860"/>
        <v>-999</v>
      </c>
      <c r="CE3938" s="16" t="e">
        <f t="shared" si="854"/>
        <v>#N/A</v>
      </c>
      <c r="CF3938" s="16">
        <f t="shared" si="855"/>
        <v>99</v>
      </c>
      <c r="CG3938" s="16">
        <f t="shared" si="856"/>
        <v>0</v>
      </c>
      <c r="CH3938" s="16">
        <f t="shared" si="863"/>
        <v>0</v>
      </c>
      <c r="CJ3938" s="16" t="e">
        <f t="shared" si="857"/>
        <v>#N/A</v>
      </c>
      <c r="CK3938" s="16" t="str">
        <f t="shared" si="858"/>
        <v/>
      </c>
    </row>
    <row r="3939" spans="73:89" ht="12" customHeight="1">
      <c r="BU3939" s="16">
        <f t="shared" si="859"/>
        <v>0</v>
      </c>
      <c r="BV3939" s="16">
        <f>IF($BY$12=1,NORMDIST(BY3939,$Y$6,$Y$8,TRUE),IF($BY$12=2,IF(BY3939&lt;=$BX$31,0,IF(BY3939&gt;=$BX$32,1,(BY3939-$BX$31)*$BX$33)),SUM($BU$42:BU3939)/$BV$40))</f>
        <v>1</v>
      </c>
      <c r="BW3939" s="16">
        <f t="shared" si="861"/>
        <v>1.7609785893387269E-62</v>
      </c>
      <c r="BY3939" s="16">
        <f t="shared" si="862"/>
        <v>389.70000000002011</v>
      </c>
      <c r="BZ3939" s="16">
        <f t="shared" si="853"/>
        <v>4.5188057206534156E-65</v>
      </c>
      <c r="CA3939" s="16">
        <f t="shared" si="860"/>
        <v>-999</v>
      </c>
      <c r="CE3939" s="16" t="e">
        <f t="shared" si="854"/>
        <v>#N/A</v>
      </c>
      <c r="CF3939" s="16">
        <f t="shared" si="855"/>
        <v>99</v>
      </c>
      <c r="CG3939" s="16">
        <f t="shared" si="856"/>
        <v>0</v>
      </c>
      <c r="CH3939" s="16">
        <f t="shared" si="863"/>
        <v>0</v>
      </c>
      <c r="CJ3939" s="16" t="e">
        <f t="shared" si="857"/>
        <v>#N/A</v>
      </c>
      <c r="CK3939" s="16" t="str">
        <f t="shared" si="858"/>
        <v/>
      </c>
    </row>
    <row r="3940" spans="73:89" ht="12" customHeight="1">
      <c r="BU3940" s="16">
        <f t="shared" si="859"/>
        <v>0</v>
      </c>
      <c r="BV3940" s="16">
        <f>IF($BY$12=1,NORMDIST(BY3940,$Y$6,$Y$8,TRUE),IF($BY$12=2,IF(BY3940&lt;=$BX$31,0,IF(BY3940&gt;=$BX$32,1,(BY3940-$BX$31)*$BX$33)),SUM($BU$42:BU3940)/$BV$40))</f>
        <v>1</v>
      </c>
      <c r="BW3940" s="16">
        <f t="shared" si="861"/>
        <v>1.6179966463623699E-62</v>
      </c>
      <c r="BY3940" s="16">
        <f t="shared" si="862"/>
        <v>389.80000000002013</v>
      </c>
      <c r="BZ3940" s="16">
        <f t="shared" si="853"/>
        <v>4.1508379845107398E-65</v>
      </c>
      <c r="CA3940" s="16">
        <f t="shared" si="860"/>
        <v>-999</v>
      </c>
      <c r="CE3940" s="16" t="e">
        <f t="shared" si="854"/>
        <v>#N/A</v>
      </c>
      <c r="CF3940" s="16">
        <f t="shared" si="855"/>
        <v>99</v>
      </c>
      <c r="CG3940" s="16">
        <f t="shared" si="856"/>
        <v>0</v>
      </c>
      <c r="CH3940" s="16">
        <f t="shared" si="863"/>
        <v>0</v>
      </c>
      <c r="CJ3940" s="16" t="e">
        <f t="shared" si="857"/>
        <v>#N/A</v>
      </c>
      <c r="CK3940" s="16" t="str">
        <f t="shared" si="858"/>
        <v/>
      </c>
    </row>
    <row r="3941" spans="73:89" ht="12" customHeight="1">
      <c r="BU3941" s="16">
        <f t="shared" si="859"/>
        <v>0</v>
      </c>
      <c r="BV3941" s="16">
        <f>IF($BY$12=1,NORMDIST(BY3941,$Y$6,$Y$8,TRUE),IF($BY$12=2,IF(BY3941&lt;=$BX$31,0,IF(BY3941&gt;=$BX$32,1,(BY3941-$BX$31)*$BX$33)),SUM($BU$42:BU3941)/$BV$40))</f>
        <v>1</v>
      </c>
      <c r="BW3941" s="16">
        <f t="shared" si="861"/>
        <v>1.4865868013319116E-62</v>
      </c>
      <c r="BY3941" s="16">
        <f t="shared" si="862"/>
        <v>389.90000000002016</v>
      </c>
      <c r="BZ3941" s="16">
        <f t="shared" si="853"/>
        <v>3.8127386543519743E-65</v>
      </c>
      <c r="CA3941" s="16">
        <f t="shared" si="860"/>
        <v>-999</v>
      </c>
      <c r="CE3941" s="16" t="e">
        <f t="shared" si="854"/>
        <v>#N/A</v>
      </c>
      <c r="CF3941" s="16">
        <f t="shared" si="855"/>
        <v>99</v>
      </c>
      <c r="CG3941" s="16">
        <f t="shared" si="856"/>
        <v>0</v>
      </c>
      <c r="CH3941" s="16">
        <f t="shared" si="863"/>
        <v>0</v>
      </c>
      <c r="CJ3941" s="16" t="e">
        <f t="shared" si="857"/>
        <v>#N/A</v>
      </c>
      <c r="CK3941" s="16" t="str">
        <f t="shared" si="858"/>
        <v/>
      </c>
    </row>
    <row r="3942" spans="73:89" ht="12" customHeight="1">
      <c r="BU3942" s="16">
        <f t="shared" si="859"/>
        <v>0</v>
      </c>
      <c r="BV3942" s="16">
        <f>IF($BY$12=1,NORMDIST(BY3942,$Y$6,$Y$8,TRUE),IF($BY$12=2,IF(BY3942&lt;=$BX$31,0,IF(BY3942&gt;=$BX$32,1,(BY3942-$BX$31)*$BX$33)),SUM($BU$42:BU3942)/$BV$40))</f>
        <v>1</v>
      </c>
      <c r="BW3942" s="16">
        <f t="shared" si="861"/>
        <v>1.3658155161687474E-62</v>
      </c>
      <c r="BY3942" s="16">
        <f t="shared" si="862"/>
        <v>390.00000000002018</v>
      </c>
      <c r="BZ3942" s="16">
        <f t="shared" si="853"/>
        <v>3.5020910670991707E-65</v>
      </c>
      <c r="CA3942" s="16">
        <f t="shared" si="860"/>
        <v>-999</v>
      </c>
      <c r="CE3942" s="16" t="e">
        <f t="shared" si="854"/>
        <v>#N/A</v>
      </c>
      <c r="CF3942" s="16">
        <f t="shared" si="855"/>
        <v>99</v>
      </c>
      <c r="CG3942" s="16">
        <f t="shared" si="856"/>
        <v>0</v>
      </c>
      <c r="CH3942" s="16">
        <f t="shared" si="863"/>
        <v>0</v>
      </c>
      <c r="CJ3942" s="16" t="e">
        <f t="shared" si="857"/>
        <v>#N/A</v>
      </c>
      <c r="CK3942" s="16" t="str">
        <f t="shared" si="858"/>
        <v/>
      </c>
    </row>
    <row r="3943" spans="73:89" ht="12" customHeight="1">
      <c r="BU3943" s="16">
        <f t="shared" si="859"/>
        <v>0</v>
      </c>
      <c r="BV3943" s="16">
        <f>IF($BY$12=1,NORMDIST(BY3943,$Y$6,$Y$8,TRUE),IF($BY$12=2,IF(BY3943&lt;=$BX$31,0,IF(BY3943&gt;=$BX$32,1,(BY3943-$BX$31)*$BX$33)),SUM($BU$42:BU3943)/$BV$40))</f>
        <v>1</v>
      </c>
      <c r="BW3943" s="16">
        <f t="shared" si="861"/>
        <v>1.2548243157917472E-62</v>
      </c>
      <c r="BY3943" s="16">
        <f t="shared" si="862"/>
        <v>390.1000000000202</v>
      </c>
      <c r="BZ3943" s="16">
        <f t="shared" si="853"/>
        <v>3.2166734575536586E-65</v>
      </c>
      <c r="CA3943" s="16">
        <f t="shared" si="860"/>
        <v>-999</v>
      </c>
      <c r="CE3943" s="16" t="e">
        <f t="shared" si="854"/>
        <v>#N/A</v>
      </c>
      <c r="CF3943" s="16">
        <f t="shared" si="855"/>
        <v>99</v>
      </c>
      <c r="CG3943" s="16">
        <f t="shared" si="856"/>
        <v>0</v>
      </c>
      <c r="CH3943" s="16">
        <f t="shared" si="863"/>
        <v>0</v>
      </c>
      <c r="CJ3943" s="16" t="e">
        <f t="shared" si="857"/>
        <v>#N/A</v>
      </c>
      <c r="CK3943" s="16" t="str">
        <f t="shared" si="858"/>
        <v/>
      </c>
    </row>
    <row r="3944" spans="73:89" ht="12" customHeight="1">
      <c r="BU3944" s="16">
        <f t="shared" si="859"/>
        <v>0</v>
      </c>
      <c r="BV3944" s="16">
        <f>IF($BY$12=1,NORMDIST(BY3944,$Y$6,$Y$8,TRUE),IF($BY$12=2,IF(BY3944&lt;=$BX$31,0,IF(BY3944&gt;=$BX$32,1,(BY3944-$BX$31)*$BX$33)),SUM($BU$42:BU3944)/$BV$40))</f>
        <v>1</v>
      </c>
      <c r="BW3944" s="16">
        <f t="shared" si="861"/>
        <v>1.1528237725268502E-62</v>
      </c>
      <c r="BY3944" s="16">
        <f t="shared" si="862"/>
        <v>390.20000000002022</v>
      </c>
      <c r="BZ3944" s="16">
        <f t="shared" si="853"/>
        <v>2.9544432919702475E-65</v>
      </c>
      <c r="CA3944" s="16">
        <f t="shared" si="860"/>
        <v>-999</v>
      </c>
      <c r="CE3944" s="16" t="e">
        <f t="shared" si="854"/>
        <v>#N/A</v>
      </c>
      <c r="CF3944" s="16">
        <f t="shared" si="855"/>
        <v>99</v>
      </c>
      <c r="CG3944" s="16">
        <f t="shared" si="856"/>
        <v>0</v>
      </c>
      <c r="CH3944" s="16">
        <f t="shared" si="863"/>
        <v>0</v>
      </c>
      <c r="CJ3944" s="16" t="e">
        <f t="shared" si="857"/>
        <v>#N/A</v>
      </c>
      <c r="CK3944" s="16" t="str">
        <f t="shared" si="858"/>
        <v/>
      </c>
    </row>
    <row r="3945" spans="73:89" ht="12" customHeight="1">
      <c r="BU3945" s="16">
        <f t="shared" si="859"/>
        <v>0</v>
      </c>
      <c r="BV3945" s="16">
        <f>IF($BY$12=1,NORMDIST(BY3945,$Y$6,$Y$8,TRUE),IF($BY$12=2,IF(BY3945&lt;=$BX$31,0,IF(BY3945&gt;=$BX$32,1,(BY3945-$BX$31)*$BX$33)),SUM($BU$42:BU3945)/$BV$40))</f>
        <v>1</v>
      </c>
      <c r="BW3945" s="16">
        <f t="shared" si="861"/>
        <v>1.0590879709948842E-62</v>
      </c>
      <c r="BY3945" s="16">
        <f t="shared" si="862"/>
        <v>390.30000000002025</v>
      </c>
      <c r="BZ3945" s="16">
        <f t="shared" si="853"/>
        <v>2.7135228567635901E-65</v>
      </c>
      <c r="CA3945" s="16">
        <f t="shared" si="860"/>
        <v>-999</v>
      </c>
      <c r="CE3945" s="16" t="e">
        <f t="shared" si="854"/>
        <v>#N/A</v>
      </c>
      <c r="CF3945" s="16">
        <f t="shared" si="855"/>
        <v>99</v>
      </c>
      <c r="CG3945" s="16">
        <f t="shared" si="856"/>
        <v>0</v>
      </c>
      <c r="CH3945" s="16">
        <f t="shared" si="863"/>
        <v>0</v>
      </c>
      <c r="CJ3945" s="16" t="e">
        <f t="shared" si="857"/>
        <v>#N/A</v>
      </c>
      <c r="CK3945" s="16" t="str">
        <f t="shared" si="858"/>
        <v/>
      </c>
    </row>
    <row r="3946" spans="73:89" ht="12" customHeight="1">
      <c r="BU3946" s="16">
        <f t="shared" si="859"/>
        <v>0</v>
      </c>
      <c r="BV3946" s="16">
        <f>IF($BY$12=1,NORMDIST(BY3946,$Y$6,$Y$8,TRUE),IF($BY$12=2,IF(BY3946&lt;=$BX$31,0,IF(BY3946&gt;=$BX$32,1,(BY3946-$BX$31)*$BX$33)),SUM($BU$42:BU3946)/$BV$40))</f>
        <v>1</v>
      </c>
      <c r="BW3946" s="16">
        <f t="shared" si="861"/>
        <v>9.7294941522985475E-63</v>
      </c>
      <c r="BY3946" s="16">
        <f t="shared" si="862"/>
        <v>390.40000000002027</v>
      </c>
      <c r="BZ3946" s="16">
        <f t="shared" ref="BZ3946:BZ4009" si="864">IF($BZ$5,IF($BY$12=1,NORMDIST(BY3946,$Y$6,$Y$8,FALSE),IF($BY$12=2,IF(AND(BY3946&gt;=$BX$31,BY3946&lt;=$BX$32),$BX$33,0),IF(BY3946&lt;=$BX$13,0,NORMDIST(LN((BY3946-$BX$13)/$BX$12),0,$BW$8,FALSE)/((BY3946-$BX$13)/$BX$12)))),-999)</f>
        <v>2.4921860021255233E-65</v>
      </c>
      <c r="CA3946" s="16">
        <f t="shared" si="860"/>
        <v>-999</v>
      </c>
      <c r="CE3946" s="16" t="e">
        <f t="shared" ref="CE3946:CE4009" si="865">IF(AND($CB$7,$CD$2,$CD$1),26+$P$23/2-CC3946*$P$23,NA())</f>
        <v>#N/A</v>
      </c>
      <c r="CF3946" s="16">
        <f t="shared" ref="CF3946:CF4009" si="866">IF(ISNA(CJ3946),99,CJ3946)</f>
        <v>99</v>
      </c>
      <c r="CG3946" s="16">
        <f t="shared" ref="CG3946:CG4009" si="867">IF(ISNA(CJ3946),0,CJ3946)</f>
        <v>0</v>
      </c>
      <c r="CH3946" s="16">
        <f t="shared" si="863"/>
        <v>0</v>
      </c>
      <c r="CJ3946" s="16" t="e">
        <f t="shared" ref="CJ3946:CJ4009" si="868">IF(CH3946=1,CE3946,NA())</f>
        <v>#N/A</v>
      </c>
      <c r="CK3946" s="16" t="str">
        <f t="shared" ref="CK3946:CK4009" si="869">IF(CH3946=1,M3845,"")</f>
        <v/>
      </c>
    </row>
    <row r="3947" spans="73:89" ht="12" customHeight="1">
      <c r="BU3947" s="16">
        <f t="shared" ref="BU3947:BU4010" si="870">IF($BY$12&lt;3,0,IF(BY3947&lt;=$BX$13,0,NORMDIST(LN((BY3947-$BX$13)/$BX$12),0,$BW$8,FALSE)/((BY3947-$BX$13)/$BX$12)))</f>
        <v>0</v>
      </c>
      <c r="BV3947" s="16">
        <f>IF($BY$12=1,NORMDIST(BY3947,$Y$6,$Y$8,TRUE),IF($BY$12=2,IF(BY3947&lt;=$BX$31,0,IF(BY3947&gt;=$BX$32,1,(BY3947-$BX$31)*$BX$33)),SUM($BU$42:BU3947)/$BV$40))</f>
        <v>1</v>
      </c>
      <c r="BW3947" s="16">
        <f t="shared" si="861"/>
        <v>8.9379434281580413E-63</v>
      </c>
      <c r="BY3947" s="16">
        <f t="shared" si="862"/>
        <v>390.50000000002029</v>
      </c>
      <c r="BZ3947" s="16">
        <f t="shared" si="864"/>
        <v>2.2888459483117995E-65</v>
      </c>
      <c r="CA3947" s="16">
        <f t="shared" ref="CA3947:CA4010" si="871">IF(AND($CD$1,$CD$3),26-$CD$40*NORMDIST(BY3947,$Y$6,$Y$8/SQRT($T$18),FALSE),-999)</f>
        <v>-999</v>
      </c>
      <c r="CE3947" s="16" t="e">
        <f t="shared" si="865"/>
        <v>#N/A</v>
      </c>
      <c r="CF3947" s="16">
        <f t="shared" si="866"/>
        <v>99</v>
      </c>
      <c r="CG3947" s="16">
        <f t="shared" si="867"/>
        <v>0</v>
      </c>
      <c r="CH3947" s="16">
        <f t="shared" si="863"/>
        <v>0</v>
      </c>
      <c r="CJ3947" s="16" t="e">
        <f t="shared" si="868"/>
        <v>#N/A</v>
      </c>
      <c r="CK3947" s="16" t="str">
        <f t="shared" si="869"/>
        <v/>
      </c>
    </row>
    <row r="3948" spans="73:89" ht="12" customHeight="1">
      <c r="BU3948" s="16">
        <f t="shared" si="870"/>
        <v>0</v>
      </c>
      <c r="BV3948" s="16">
        <f>IF($BY$12=1,NORMDIST(BY3948,$Y$6,$Y$8,TRUE),IF($BY$12=2,IF(BY3948&lt;=$BX$31,0,IF(BY3948&gt;=$BX$32,1,(BY3948-$BX$31)*$BX$33)),SUM($BU$42:BU3948)/$BV$40))</f>
        <v>1</v>
      </c>
      <c r="BW3948" s="16">
        <f t="shared" si="861"/>
        <v>8.2105841362308474E-63</v>
      </c>
      <c r="BY3948" s="16">
        <f t="shared" si="862"/>
        <v>390.60000000002032</v>
      </c>
      <c r="BZ3948" s="16">
        <f t="shared" si="864"/>
        <v>2.1020440696954481E-65</v>
      </c>
      <c r="CA3948" s="16">
        <f t="shared" si="871"/>
        <v>-999</v>
      </c>
      <c r="CE3948" s="16" t="e">
        <f t="shared" si="865"/>
        <v>#N/A</v>
      </c>
      <c r="CF3948" s="16">
        <f t="shared" si="866"/>
        <v>99</v>
      </c>
      <c r="CG3948" s="16">
        <f t="shared" si="867"/>
        <v>0</v>
      </c>
      <c r="CH3948" s="16">
        <f t="shared" si="863"/>
        <v>0</v>
      </c>
      <c r="CJ3948" s="16" t="e">
        <f t="shared" si="868"/>
        <v>#N/A</v>
      </c>
      <c r="CK3948" s="16" t="str">
        <f t="shared" si="869"/>
        <v/>
      </c>
    </row>
    <row r="3949" spans="73:89" ht="12" customHeight="1">
      <c r="BU3949" s="16">
        <f t="shared" si="870"/>
        <v>0</v>
      </c>
      <c r="BV3949" s="16">
        <f>IF($BY$12=1,NORMDIST(BY3949,$Y$6,$Y$8,TRUE),IF($BY$12=2,IF(BY3949&lt;=$BX$31,0,IF(BY3949&gt;=$BX$32,1,(BY3949-$BX$31)*$BX$33)),SUM($BU$42:BU3949)/$BV$40))</f>
        <v>1</v>
      </c>
      <c r="BW3949" s="16">
        <f t="shared" si="861"/>
        <v>7.5422274329957229E-63</v>
      </c>
      <c r="BY3949" s="16">
        <f t="shared" si="862"/>
        <v>390.70000000002034</v>
      </c>
      <c r="BZ3949" s="16">
        <f t="shared" si="864"/>
        <v>1.9304395784477426E-65</v>
      </c>
      <c r="CA3949" s="16">
        <f t="shared" si="871"/>
        <v>-999</v>
      </c>
      <c r="CE3949" s="16" t="e">
        <f t="shared" si="865"/>
        <v>#N/A</v>
      </c>
      <c r="CF3949" s="16">
        <f t="shared" si="866"/>
        <v>99</v>
      </c>
      <c r="CG3949" s="16">
        <f t="shared" si="867"/>
        <v>0</v>
      </c>
      <c r="CH3949" s="16">
        <f t="shared" si="863"/>
        <v>0</v>
      </c>
      <c r="CJ3949" s="16" t="e">
        <f t="shared" si="868"/>
        <v>#N/A</v>
      </c>
      <c r="CK3949" s="16" t="str">
        <f t="shared" si="869"/>
        <v/>
      </c>
    </row>
    <row r="3950" spans="73:89" ht="12" customHeight="1">
      <c r="BU3950" s="16">
        <f t="shared" si="870"/>
        <v>0</v>
      </c>
      <c r="BV3950" s="16">
        <f>IF($BY$12=1,NORMDIST(BY3950,$Y$6,$Y$8,TRUE),IF($BY$12=2,IF(BY3950&lt;=$BX$31,0,IF(BY3950&gt;=$BX$32,1,(BY3950-$BX$31)*$BX$33)),SUM($BU$42:BU3950)/$BV$40))</f>
        <v>1</v>
      </c>
      <c r="BW3950" s="16">
        <f t="shared" si="861"/>
        <v>6.928102540406226E-63</v>
      </c>
      <c r="BY3950" s="16">
        <f t="shared" si="862"/>
        <v>390.80000000002036</v>
      </c>
      <c r="BZ3950" s="16">
        <f t="shared" si="864"/>
        <v>1.7728000359278058E-65</v>
      </c>
      <c r="CA3950" s="16">
        <f t="shared" si="871"/>
        <v>-999</v>
      </c>
      <c r="CE3950" s="16" t="e">
        <f t="shared" si="865"/>
        <v>#N/A</v>
      </c>
      <c r="CF3950" s="16">
        <f t="shared" si="866"/>
        <v>99</v>
      </c>
      <c r="CG3950" s="16">
        <f t="shared" si="867"/>
        <v>0</v>
      </c>
      <c r="CH3950" s="16">
        <f t="shared" si="863"/>
        <v>0</v>
      </c>
      <c r="CJ3950" s="16" t="e">
        <f t="shared" si="868"/>
        <v>#N/A</v>
      </c>
      <c r="CK3950" s="16" t="str">
        <f t="shared" si="869"/>
        <v/>
      </c>
    </row>
    <row r="3951" spans="73:89" ht="12" customHeight="1">
      <c r="BU3951" s="16">
        <f t="shared" si="870"/>
        <v>0</v>
      </c>
      <c r="BV3951" s="16">
        <f>IF($BY$12=1,NORMDIST(BY3951,$Y$6,$Y$8,TRUE),IF($BY$12=2,IF(BY3951&lt;=$BX$31,0,IF(BY3951&gt;=$BX$32,1,(BY3951-$BX$31)*$BX$33)),SUM($BU$42:BU3951)/$BV$40))</f>
        <v>1</v>
      </c>
      <c r="BW3951" s="16">
        <f t="shared" si="861"/>
        <v>6.3638231734488653E-63</v>
      </c>
      <c r="BY3951" s="16">
        <f t="shared" si="862"/>
        <v>390.90000000002038</v>
      </c>
      <c r="BZ3951" s="16">
        <f t="shared" si="864"/>
        <v>1.6279926255944061E-65</v>
      </c>
      <c r="CA3951" s="16">
        <f t="shared" si="871"/>
        <v>-999</v>
      </c>
      <c r="CE3951" s="16" t="e">
        <f t="shared" si="865"/>
        <v>#N/A</v>
      </c>
      <c r="CF3951" s="16">
        <f t="shared" si="866"/>
        <v>99</v>
      </c>
      <c r="CG3951" s="16">
        <f t="shared" si="867"/>
        <v>0</v>
      </c>
      <c r="CH3951" s="16">
        <f t="shared" si="863"/>
        <v>0</v>
      </c>
      <c r="CJ3951" s="16" t="e">
        <f t="shared" si="868"/>
        <v>#N/A</v>
      </c>
      <c r="CK3951" s="16" t="str">
        <f t="shared" si="869"/>
        <v/>
      </c>
    </row>
    <row r="3952" spans="73:89" ht="12" customHeight="1">
      <c r="BU3952" s="16">
        <f t="shared" si="870"/>
        <v>0</v>
      </c>
      <c r="BV3952" s="16">
        <f>IF($BY$12=1,NORMDIST(BY3952,$Y$6,$Y$8,TRUE),IF($BY$12=2,IF(BY3952&lt;=$BX$31,0,IF(BY3952&gt;=$BX$32,1,(BY3952-$BX$31)*$BX$33)),SUM($BU$42:BU3952)/$BV$40))</f>
        <v>1</v>
      </c>
      <c r="BW3952" s="16">
        <f t="shared" si="861"/>
        <v>5.8453566547210703E-63</v>
      </c>
      <c r="BY3952" s="16">
        <f t="shared" si="862"/>
        <v>391.00000000002041</v>
      </c>
      <c r="BZ3952" s="16">
        <f t="shared" si="864"/>
        <v>1.4949761265270499E-65</v>
      </c>
      <c r="CA3952" s="16">
        <f t="shared" si="871"/>
        <v>-999</v>
      </c>
      <c r="CE3952" s="16" t="e">
        <f t="shared" si="865"/>
        <v>#N/A</v>
      </c>
      <c r="CF3952" s="16">
        <f t="shared" si="866"/>
        <v>99</v>
      </c>
      <c r="CG3952" s="16">
        <f t="shared" si="867"/>
        <v>0</v>
      </c>
      <c r="CH3952" s="16">
        <f t="shared" si="863"/>
        <v>0</v>
      </c>
      <c r="CJ3952" s="16" t="e">
        <f t="shared" si="868"/>
        <v>#N/A</v>
      </c>
      <c r="CK3952" s="16" t="str">
        <f t="shared" si="869"/>
        <v/>
      </c>
    </row>
    <row r="3953" spans="73:89" ht="12" customHeight="1">
      <c r="BU3953" s="16">
        <f t="shared" si="870"/>
        <v>0</v>
      </c>
      <c r="BV3953" s="16">
        <f>IF($BY$12=1,NORMDIST(BY3953,$Y$6,$Y$8,TRUE),IF($BY$12=2,IF(BY3953&lt;=$BX$31,0,IF(BY3953&gt;=$BX$32,1,(BY3953-$BX$31)*$BX$33)),SUM($BU$42:BU3953)/$BV$40))</f>
        <v>1</v>
      </c>
      <c r="BW3953" s="16">
        <f t="shared" si="861"/>
        <v>5.3689955016920125E-63</v>
      </c>
      <c r="BY3953" s="16">
        <f t="shared" si="862"/>
        <v>391.10000000002043</v>
      </c>
      <c r="BZ3953" s="16">
        <f t="shared" si="864"/>
        <v>1.372793531498781E-65</v>
      </c>
      <c r="CA3953" s="16">
        <f t="shared" si="871"/>
        <v>-999</v>
      </c>
      <c r="CE3953" s="16" t="e">
        <f t="shared" si="865"/>
        <v>#N/A</v>
      </c>
      <c r="CF3953" s="16">
        <f t="shared" si="866"/>
        <v>99</v>
      </c>
      <c r="CG3953" s="16">
        <f t="shared" si="867"/>
        <v>0</v>
      </c>
      <c r="CH3953" s="16">
        <f t="shared" si="863"/>
        <v>0</v>
      </c>
      <c r="CJ3953" s="16" t="e">
        <f t="shared" si="868"/>
        <v>#N/A</v>
      </c>
      <c r="CK3953" s="16" t="str">
        <f t="shared" si="869"/>
        <v/>
      </c>
    </row>
    <row r="3954" spans="73:89" ht="12" customHeight="1">
      <c r="BU3954" s="16">
        <f t="shared" si="870"/>
        <v>0</v>
      </c>
      <c r="BV3954" s="16">
        <f>IF($BY$12=1,NORMDIST(BY3954,$Y$6,$Y$8,TRUE),IF($BY$12=2,IF(BY3954&lt;=$BX$31,0,IF(BY3954&gt;=$BX$32,1,(BY3954-$BX$31)*$BX$33)),SUM($BU$42:BU3954)/$BV$40))</f>
        <v>1</v>
      </c>
      <c r="BW3954" s="16">
        <f t="shared" si="861"/>
        <v>4.9313312893549066E-63</v>
      </c>
      <c r="BY3954" s="16">
        <f t="shared" si="862"/>
        <v>391.20000000002045</v>
      </c>
      <c r="BZ3954" s="16">
        <f t="shared" si="864"/>
        <v>1.260565258014992E-65</v>
      </c>
      <c r="CA3954" s="16">
        <f t="shared" si="871"/>
        <v>-999</v>
      </c>
      <c r="CE3954" s="16" t="e">
        <f t="shared" si="865"/>
        <v>#N/A</v>
      </c>
      <c r="CF3954" s="16">
        <f t="shared" si="866"/>
        <v>99</v>
      </c>
      <c r="CG3954" s="16">
        <f t="shared" si="867"/>
        <v>0</v>
      </c>
      <c r="CH3954" s="16">
        <f t="shared" si="863"/>
        <v>0</v>
      </c>
      <c r="CJ3954" s="16" t="e">
        <f t="shared" si="868"/>
        <v>#N/A</v>
      </c>
      <c r="CK3954" s="16" t="str">
        <f t="shared" si="869"/>
        <v/>
      </c>
    </row>
    <row r="3955" spans="73:89" ht="12" customHeight="1">
      <c r="BU3955" s="16">
        <f t="shared" si="870"/>
        <v>0</v>
      </c>
      <c r="BV3955" s="16">
        <f>IF($BY$12=1,NORMDIST(BY3955,$Y$6,$Y$8,TRUE),IF($BY$12=2,IF(BY3955&lt;=$BX$31,0,IF(BY3955&gt;=$BX$32,1,(BY3955-$BX$31)*$BX$33)),SUM($BU$42:BU3955)/$BV$40))</f>
        <v>1</v>
      </c>
      <c r="BW3955" s="16">
        <f t="shared" si="861"/>
        <v>4.5292306066588828E-63</v>
      </c>
      <c r="BY3955" s="16">
        <f t="shared" si="862"/>
        <v>391.30000000002047</v>
      </c>
      <c r="BZ3955" s="16">
        <f t="shared" si="864"/>
        <v>1.157482904845041E-65</v>
      </c>
      <c r="CA3955" s="16">
        <f t="shared" si="871"/>
        <v>-999</v>
      </c>
      <c r="CE3955" s="16" t="e">
        <f t="shared" si="865"/>
        <v>#N/A</v>
      </c>
      <c r="CF3955" s="16">
        <f t="shared" si="866"/>
        <v>99</v>
      </c>
      <c r="CG3955" s="16">
        <f t="shared" si="867"/>
        <v>0</v>
      </c>
      <c r="CH3955" s="16">
        <f t="shared" si="863"/>
        <v>0</v>
      </c>
      <c r="CJ3955" s="16" t="e">
        <f t="shared" si="868"/>
        <v>#N/A</v>
      </c>
      <c r="CK3955" s="16" t="str">
        <f t="shared" si="869"/>
        <v/>
      </c>
    </row>
    <row r="3956" spans="73:89" ht="12" customHeight="1">
      <c r="BU3956" s="16">
        <f t="shared" si="870"/>
        <v>0</v>
      </c>
      <c r="BV3956" s="16">
        <f>IF($BY$12=1,NORMDIST(BY3956,$Y$6,$Y$8,TRUE),IF($BY$12=2,IF(BY3956&lt;=$BX$31,0,IF(BY3956&gt;=$BX$32,1,(BY3956-$BX$31)*$BX$33)),SUM($BU$42:BU3956)/$BV$40))</f>
        <v>1</v>
      </c>
      <c r="BW3956" s="16">
        <f t="shared" si="861"/>
        <v>4.1598129395621936E-63</v>
      </c>
      <c r="BY3956" s="16">
        <f t="shared" si="862"/>
        <v>391.4000000000205</v>
      </c>
      <c r="BZ3956" s="16">
        <f t="shared" si="864"/>
        <v>1.0628035103633051E-65</v>
      </c>
      <c r="CA3956" s="16">
        <f t="shared" si="871"/>
        <v>-999</v>
      </c>
      <c r="CE3956" s="16" t="e">
        <f t="shared" si="865"/>
        <v>#N/A</v>
      </c>
      <c r="CF3956" s="16">
        <f t="shared" si="866"/>
        <v>99</v>
      </c>
      <c r="CG3956" s="16">
        <f t="shared" si="867"/>
        <v>0</v>
      </c>
      <c r="CH3956" s="16">
        <f t="shared" si="863"/>
        <v>0</v>
      </c>
      <c r="CJ3956" s="16" t="e">
        <f t="shared" si="868"/>
        <v>#N/A</v>
      </c>
      <c r="CK3956" s="16" t="str">
        <f t="shared" si="869"/>
        <v/>
      </c>
    </row>
    <row r="3957" spans="73:89" ht="12" customHeight="1">
      <c r="BU3957" s="16">
        <f t="shared" si="870"/>
        <v>0</v>
      </c>
      <c r="BV3957" s="16">
        <f>IF($BY$12=1,NORMDIST(BY3957,$Y$6,$Y$8,TRUE),IF($BY$12=2,IF(BY3957&lt;=$BX$31,0,IF(BY3957&gt;=$BX$32,1,(BY3957-$BX$31)*$BX$33)),SUM($BU$42:BU3957)/$BV$40))</f>
        <v>1</v>
      </c>
      <c r="BW3957" s="16">
        <f t="shared" si="861"/>
        <v>3.8204303268420442E-63</v>
      </c>
      <c r="BY3957" s="16">
        <f t="shared" si="862"/>
        <v>391.50000000002052</v>
      </c>
      <c r="BZ3957" s="16">
        <f t="shared" si="864"/>
        <v>9.7584427250110962E-66</v>
      </c>
      <c r="CA3957" s="16">
        <f t="shared" si="871"/>
        <v>-999</v>
      </c>
      <c r="CE3957" s="16" t="e">
        <f t="shared" si="865"/>
        <v>#N/A</v>
      </c>
      <c r="CF3957" s="16">
        <f t="shared" si="866"/>
        <v>99</v>
      </c>
      <c r="CG3957" s="16">
        <f t="shared" si="867"/>
        <v>0</v>
      </c>
      <c r="CH3957" s="16">
        <f t="shared" si="863"/>
        <v>0</v>
      </c>
      <c r="CJ3957" s="16" t="e">
        <f t="shared" si="868"/>
        <v>#N/A</v>
      </c>
      <c r="CK3957" s="16" t="str">
        <f t="shared" si="869"/>
        <v/>
      </c>
    </row>
    <row r="3958" spans="73:89" ht="12" customHeight="1">
      <c r="BU3958" s="16">
        <f t="shared" si="870"/>
        <v>0</v>
      </c>
      <c r="BV3958" s="16">
        <f>IF($BY$12=1,NORMDIST(BY3958,$Y$6,$Y$8,TRUE),IF($BY$12=2,IF(BY3958&lt;=$BX$31,0,IF(BY3958&gt;=$BX$32,1,(BY3958-$BX$31)*$BX$33)),SUM($BU$42:BU3958)/$BV$40))</f>
        <v>1</v>
      </c>
      <c r="BW3958" s="16">
        <f t="shared" si="861"/>
        <v>3.5086486470486407E-63</v>
      </c>
      <c r="BY3958" s="16">
        <f t="shared" si="862"/>
        <v>391.60000000002054</v>
      </c>
      <c r="BZ3958" s="16">
        <f t="shared" si="864"/>
        <v>8.9597769332187345E-66</v>
      </c>
      <c r="CA3958" s="16">
        <f t="shared" si="871"/>
        <v>-999</v>
      </c>
      <c r="CE3958" s="16" t="e">
        <f t="shared" si="865"/>
        <v>#N/A</v>
      </c>
      <c r="CF3958" s="16">
        <f t="shared" si="866"/>
        <v>99</v>
      </c>
      <c r="CG3958" s="16">
        <f t="shared" si="867"/>
        <v>0</v>
      </c>
      <c r="CH3958" s="16">
        <f t="shared" si="863"/>
        <v>0</v>
      </c>
      <c r="CJ3958" s="16" t="e">
        <f t="shared" si="868"/>
        <v>#N/A</v>
      </c>
      <c r="CK3958" s="16" t="str">
        <f t="shared" si="869"/>
        <v/>
      </c>
    </row>
    <row r="3959" spans="73:89" ht="12" customHeight="1">
      <c r="BU3959" s="16">
        <f t="shared" si="870"/>
        <v>0</v>
      </c>
      <c r="BV3959" s="16">
        <f>IF($BY$12=1,NORMDIST(BY3959,$Y$6,$Y$8,TRUE),IF($BY$12=2,IF(BY3959&lt;=$BX$31,0,IF(BY3959&gt;=$BX$32,1,(BY3959-$BX$31)*$BX$33)),SUM($BU$42:BU3959)/$BV$40))</f>
        <v>1</v>
      </c>
      <c r="BW3959" s="16">
        <f t="shared" si="861"/>
        <v>3.2222304062589353E-63</v>
      </c>
      <c r="BY3959" s="16">
        <f t="shared" si="862"/>
        <v>391.70000000002057</v>
      </c>
      <c r="BZ3959" s="16">
        <f t="shared" si="864"/>
        <v>8.2262711418400969E-66</v>
      </c>
      <c r="CA3959" s="16">
        <f t="shared" si="871"/>
        <v>-999</v>
      </c>
      <c r="CE3959" s="16" t="e">
        <f t="shared" si="865"/>
        <v>#N/A</v>
      </c>
      <c r="CF3959" s="16">
        <f t="shared" si="866"/>
        <v>99</v>
      </c>
      <c r="CG3959" s="16">
        <f t="shared" si="867"/>
        <v>0</v>
      </c>
      <c r="CH3959" s="16">
        <f t="shared" si="863"/>
        <v>0</v>
      </c>
      <c r="CJ3959" s="16" t="e">
        <f t="shared" si="868"/>
        <v>#N/A</v>
      </c>
      <c r="CK3959" s="16" t="str">
        <f t="shared" si="869"/>
        <v/>
      </c>
    </row>
    <row r="3960" spans="73:89" ht="12" customHeight="1">
      <c r="BU3960" s="16">
        <f t="shared" si="870"/>
        <v>0</v>
      </c>
      <c r="BV3960" s="16">
        <f>IF($BY$12=1,NORMDIST(BY3960,$Y$6,$Y$8,TRUE),IF($BY$12=2,IF(BY3960&lt;=$BX$31,0,IF(BY3960&gt;=$BX$32,1,(BY3960-$BX$31)*$BX$33)),SUM($BU$42:BU3960)/$BV$40))</f>
        <v>1</v>
      </c>
      <c r="BW3960" s="16">
        <f t="shared" si="861"/>
        <v>2.9591189066705728E-63</v>
      </c>
      <c r="BY3960" s="16">
        <f t="shared" si="862"/>
        <v>391.80000000002059</v>
      </c>
      <c r="BZ3960" s="16">
        <f t="shared" si="864"/>
        <v>7.5526261017621679E-66</v>
      </c>
      <c r="CA3960" s="16">
        <f t="shared" si="871"/>
        <v>-999</v>
      </c>
      <c r="CE3960" s="16" t="e">
        <f t="shared" si="865"/>
        <v>#N/A</v>
      </c>
      <c r="CF3960" s="16">
        <f t="shared" si="866"/>
        <v>99</v>
      </c>
      <c r="CG3960" s="16">
        <f t="shared" si="867"/>
        <v>0</v>
      </c>
      <c r="CH3960" s="16">
        <f t="shared" si="863"/>
        <v>0</v>
      </c>
      <c r="CJ3960" s="16" t="e">
        <f t="shared" si="868"/>
        <v>#N/A</v>
      </c>
      <c r="CK3960" s="16" t="str">
        <f t="shared" si="869"/>
        <v/>
      </c>
    </row>
    <row r="3961" spans="73:89" ht="12" customHeight="1">
      <c r="BU3961" s="16">
        <f t="shared" si="870"/>
        <v>0</v>
      </c>
      <c r="BV3961" s="16">
        <f>IF($BY$12=1,NORMDIST(BY3961,$Y$6,$Y$8,TRUE),IF($BY$12=2,IF(BY3961&lt;=$BX$31,0,IF(BY3961&gt;=$BX$32,1,(BY3961-$BX$31)*$BX$33)),SUM($BU$42:BU3961)/$BV$40))</f>
        <v>1</v>
      </c>
      <c r="BW3961" s="16">
        <f t="shared" si="861"/>
        <v>2.7174236856305402E-63</v>
      </c>
      <c r="BY3961" s="16">
        <f t="shared" si="862"/>
        <v>391.90000000002061</v>
      </c>
      <c r="BZ3961" s="16">
        <f t="shared" si="864"/>
        <v>6.9339721501158397E-66</v>
      </c>
      <c r="CA3961" s="16">
        <f t="shared" si="871"/>
        <v>-999</v>
      </c>
      <c r="CE3961" s="16" t="e">
        <f t="shared" si="865"/>
        <v>#N/A</v>
      </c>
      <c r="CF3961" s="16">
        <f t="shared" si="866"/>
        <v>99</v>
      </c>
      <c r="CG3961" s="16">
        <f t="shared" si="867"/>
        <v>0</v>
      </c>
      <c r="CH3961" s="16">
        <f t="shared" si="863"/>
        <v>0</v>
      </c>
      <c r="CJ3961" s="16" t="e">
        <f t="shared" si="868"/>
        <v>#N/A</v>
      </c>
      <c r="CK3961" s="16" t="str">
        <f t="shared" si="869"/>
        <v/>
      </c>
    </row>
    <row r="3962" spans="73:89" ht="12" customHeight="1">
      <c r="BU3962" s="16">
        <f t="shared" si="870"/>
        <v>0</v>
      </c>
      <c r="BV3962" s="16">
        <f>IF($BY$12=1,NORMDIST(BY3962,$Y$6,$Y$8,TRUE),IF($BY$12=2,IF(BY3962&lt;=$BX$31,0,IF(BY3962&gt;=$BX$32,1,(BY3962-$BX$31)*$BX$33)),SUM($BU$42:BU3962)/$BV$40))</f>
        <v>1</v>
      </c>
      <c r="BW3962" s="16">
        <f t="shared" si="861"/>
        <v>2.4954071234895825E-63</v>
      </c>
      <c r="BY3962" s="16">
        <f t="shared" si="862"/>
        <v>392.00000000002063</v>
      </c>
      <c r="BZ3962" s="16">
        <f t="shared" si="864"/>
        <v>6.3658344986975796E-66</v>
      </c>
      <c r="CA3962" s="16">
        <f t="shared" si="871"/>
        <v>-999</v>
      </c>
      <c r="CE3962" s="16" t="e">
        <f t="shared" si="865"/>
        <v>#N/A</v>
      </c>
      <c r="CF3962" s="16">
        <f t="shared" si="866"/>
        <v>99</v>
      </c>
      <c r="CG3962" s="16">
        <f t="shared" si="867"/>
        <v>0</v>
      </c>
      <c r="CH3962" s="16">
        <f t="shared" si="863"/>
        <v>0</v>
      </c>
      <c r="CJ3962" s="16" t="e">
        <f t="shared" si="868"/>
        <v>#N/A</v>
      </c>
      <c r="CK3962" s="16" t="str">
        <f t="shared" si="869"/>
        <v/>
      </c>
    </row>
    <row r="3963" spans="73:89" ht="12" customHeight="1">
      <c r="BU3963" s="16">
        <f t="shared" si="870"/>
        <v>0</v>
      </c>
      <c r="BV3963" s="16">
        <f>IF($BY$12=1,NORMDIST(BY3963,$Y$6,$Y$8,TRUE),IF($BY$12=2,IF(BY3963&lt;=$BX$31,0,IF(BY3963&gt;=$BX$32,1,(BY3963-$BX$31)*$BX$33)),SUM($BU$42:BU3963)/$BV$40))</f>
        <v>1</v>
      </c>
      <c r="BW3963" s="16">
        <f t="shared" ref="BW3963:BW4026" si="872">BY3963*BZ3963</f>
        <v>2.291472126775662E-63</v>
      </c>
      <c r="BY3963" s="16">
        <f t="shared" ref="BY3963:BY4026" si="873">BY3962+$BZ$1</f>
        <v>392.10000000002066</v>
      </c>
      <c r="BZ3963" s="16">
        <f t="shared" si="864"/>
        <v>5.8441013179687361E-66</v>
      </c>
      <c r="CA3963" s="16">
        <f t="shared" si="871"/>
        <v>-999</v>
      </c>
      <c r="CE3963" s="16" t="e">
        <f t="shared" si="865"/>
        <v>#N/A</v>
      </c>
      <c r="CF3963" s="16">
        <f t="shared" si="866"/>
        <v>99</v>
      </c>
      <c r="CG3963" s="16">
        <f t="shared" si="867"/>
        <v>0</v>
      </c>
      <c r="CH3963" s="16">
        <f t="shared" si="863"/>
        <v>0</v>
      </c>
      <c r="CJ3963" s="16" t="e">
        <f t="shared" si="868"/>
        <v>#N/A</v>
      </c>
      <c r="CK3963" s="16" t="str">
        <f t="shared" si="869"/>
        <v/>
      </c>
    </row>
    <row r="3964" spans="73:89" ht="12" customHeight="1">
      <c r="BU3964" s="16">
        <f t="shared" si="870"/>
        <v>0</v>
      </c>
      <c r="BV3964" s="16">
        <f>IF($BY$12=1,NORMDIST(BY3964,$Y$6,$Y$8,TRUE),IF($BY$12=2,IF(BY3964&lt;=$BX$31,0,IF(BY3964&gt;=$BX$32,1,(BY3964-$BX$31)*$BX$33)),SUM($BU$42:BU3964)/$BV$40))</f>
        <v>1</v>
      </c>
      <c r="BW3964" s="16">
        <f t="shared" si="872"/>
        <v>2.1041508006311095E-63</v>
      </c>
      <c r="BY3964" s="16">
        <f t="shared" si="873"/>
        <v>392.20000000002068</v>
      </c>
      <c r="BZ3964" s="16">
        <f t="shared" si="864"/>
        <v>5.3649943922259011E-66</v>
      </c>
      <c r="CA3964" s="16">
        <f t="shared" si="871"/>
        <v>-999</v>
      </c>
      <c r="CE3964" s="16" t="e">
        <f t="shared" si="865"/>
        <v>#N/A</v>
      </c>
      <c r="CF3964" s="16">
        <f t="shared" si="866"/>
        <v>99</v>
      </c>
      <c r="CG3964" s="16">
        <f t="shared" si="867"/>
        <v>0</v>
      </c>
      <c r="CH3964" s="16">
        <f t="shared" si="863"/>
        <v>0</v>
      </c>
      <c r="CJ3964" s="16" t="e">
        <f t="shared" si="868"/>
        <v>#N/A</v>
      </c>
      <c r="CK3964" s="16" t="str">
        <f t="shared" si="869"/>
        <v/>
      </c>
    </row>
    <row r="3965" spans="73:89" ht="12" customHeight="1">
      <c r="BU3965" s="16">
        <f t="shared" si="870"/>
        <v>0</v>
      </c>
      <c r="BV3965" s="16">
        <f>IF($BY$12=1,NORMDIST(BY3965,$Y$6,$Y$8,TRUE),IF($BY$12=2,IF(BY3965&lt;=$BX$31,0,IF(BY3965&gt;=$BX$32,1,(BY3965-$BX$31)*$BX$33)),SUM($BU$42:BU3965)/$BV$40))</f>
        <v>1</v>
      </c>
      <c r="BW3965" s="16">
        <f t="shared" si="872"/>
        <v>1.9320940313250652E-63</v>
      </c>
      <c r="BY3965" s="16">
        <f t="shared" si="873"/>
        <v>392.3000000000207</v>
      </c>
      <c r="BZ3965" s="16">
        <f t="shared" si="864"/>
        <v>4.9250421394977392E-66</v>
      </c>
      <c r="CA3965" s="16">
        <f t="shared" si="871"/>
        <v>-999</v>
      </c>
      <c r="CE3965" s="16" t="e">
        <f t="shared" si="865"/>
        <v>#N/A</v>
      </c>
      <c r="CF3965" s="16">
        <f t="shared" si="866"/>
        <v>99</v>
      </c>
      <c r="CG3965" s="16">
        <f t="shared" si="867"/>
        <v>0</v>
      </c>
      <c r="CH3965" s="16">
        <f t="shared" si="863"/>
        <v>0</v>
      </c>
      <c r="CJ3965" s="16" t="e">
        <f t="shared" si="868"/>
        <v>#N/A</v>
      </c>
      <c r="CK3965" s="16" t="str">
        <f t="shared" si="869"/>
        <v/>
      </c>
    </row>
    <row r="3966" spans="73:89" ht="12" customHeight="1">
      <c r="BU3966" s="16">
        <f t="shared" si="870"/>
        <v>0</v>
      </c>
      <c r="BV3966" s="16">
        <f>IF($BY$12=1,NORMDIST(BY3966,$Y$6,$Y$8,TRUE),IF($BY$12=2,IF(BY3966&lt;=$BX$31,0,IF(BY3966&gt;=$BX$32,1,(BY3966-$BX$31)*$BX$33)),SUM($BU$42:BU3966)/$BV$40))</f>
        <v>1</v>
      </c>
      <c r="BW3966" s="16">
        <f t="shared" si="872"/>
        <v>1.7740619059673846E-63</v>
      </c>
      <c r="BY3966" s="16">
        <f t="shared" si="873"/>
        <v>392.40000000002073</v>
      </c>
      <c r="BZ3966" s="16">
        <f t="shared" si="864"/>
        <v>4.5210548062367253E-66</v>
      </c>
      <c r="CA3966" s="16">
        <f t="shared" si="871"/>
        <v>-999</v>
      </c>
      <c r="CE3966" s="16" t="e">
        <f t="shared" si="865"/>
        <v>#N/A</v>
      </c>
      <c r="CF3966" s="16">
        <f t="shared" si="866"/>
        <v>99</v>
      </c>
      <c r="CG3966" s="16">
        <f t="shared" si="867"/>
        <v>0</v>
      </c>
      <c r="CH3966" s="16">
        <f t="shared" si="863"/>
        <v>0</v>
      </c>
      <c r="CJ3966" s="16" t="e">
        <f t="shared" si="868"/>
        <v>#N/A</v>
      </c>
      <c r="CK3966" s="16" t="str">
        <f t="shared" si="869"/>
        <v/>
      </c>
    </row>
    <row r="3967" spans="73:89" ht="12" customHeight="1">
      <c r="BU3967" s="16">
        <f t="shared" si="870"/>
        <v>0</v>
      </c>
      <c r="BV3967" s="16">
        <f>IF($BY$12=1,NORMDIST(BY3967,$Y$6,$Y$8,TRUE),IF($BY$12=2,IF(BY3967&lt;=$BX$31,0,IF(BY3967&gt;=$BX$32,1,(BY3967-$BX$31)*$BX$33)),SUM($BU$42:BU3967)/$BV$40))</f>
        <v>1</v>
      </c>
      <c r="BW3967" s="16">
        <f t="shared" si="872"/>
        <v>1.628914902368567E-63</v>
      </c>
      <c r="BY3967" s="16">
        <f t="shared" si="873"/>
        <v>392.50000000002075</v>
      </c>
      <c r="BZ3967" s="16">
        <f t="shared" si="864"/>
        <v>4.1501016620853019E-66</v>
      </c>
      <c r="CA3967" s="16">
        <f t="shared" si="871"/>
        <v>-999</v>
      </c>
      <c r="CE3967" s="16" t="e">
        <f t="shared" si="865"/>
        <v>#N/A</v>
      </c>
      <c r="CF3967" s="16">
        <f t="shared" si="866"/>
        <v>99</v>
      </c>
      <c r="CG3967" s="16">
        <f t="shared" si="867"/>
        <v>0</v>
      </c>
      <c r="CH3967" s="16">
        <f t="shared" si="863"/>
        <v>0</v>
      </c>
      <c r="CJ3967" s="16" t="e">
        <f t="shared" si="868"/>
        <v>#N/A</v>
      </c>
      <c r="CK3967" s="16" t="str">
        <f t="shared" si="869"/>
        <v/>
      </c>
    </row>
    <row r="3968" spans="73:89" ht="12" customHeight="1">
      <c r="BU3968" s="16">
        <f t="shared" si="870"/>
        <v>0</v>
      </c>
      <c r="BV3968" s="16">
        <f>IF($BY$12=1,NORMDIST(BY3968,$Y$6,$Y$8,TRUE),IF($BY$12=2,IF(BY3968&lt;=$BX$31,0,IF(BY3968&gt;=$BX$32,1,(BY3968-$BX$31)*$BX$33)),SUM($BU$42:BU3968)/$BV$40))</f>
        <v>1</v>
      </c>
      <c r="BW3968" s="16">
        <f t="shared" si="872"/>
        <v>1.4956057873401256E-63</v>
      </c>
      <c r="BY3968" s="16">
        <f t="shared" si="873"/>
        <v>392.60000000002077</v>
      </c>
      <c r="BZ3968" s="16">
        <f t="shared" si="864"/>
        <v>3.8094900339787223E-66</v>
      </c>
      <c r="CA3968" s="16">
        <f t="shared" si="871"/>
        <v>-999</v>
      </c>
      <c r="CE3968" s="16" t="e">
        <f t="shared" si="865"/>
        <v>#N/A</v>
      </c>
      <c r="CF3968" s="16">
        <f t="shared" si="866"/>
        <v>99</v>
      </c>
      <c r="CG3968" s="16">
        <f t="shared" si="867"/>
        <v>0</v>
      </c>
      <c r="CH3968" s="16">
        <f t="shared" si="863"/>
        <v>0</v>
      </c>
      <c r="CJ3968" s="16" t="e">
        <f t="shared" si="868"/>
        <v>#N/A</v>
      </c>
      <c r="CK3968" s="16" t="str">
        <f t="shared" si="869"/>
        <v/>
      </c>
    </row>
    <row r="3969" spans="73:89" ht="12" customHeight="1">
      <c r="BU3969" s="16">
        <f t="shared" si="870"/>
        <v>0</v>
      </c>
      <c r="BV3969" s="16">
        <f>IF($BY$12=1,NORMDIST(BY3969,$Y$6,$Y$8,TRUE),IF($BY$12=2,IF(BY3969&lt;=$BX$31,0,IF(BY3969&gt;=$BX$32,1,(BY3969-$BX$31)*$BX$33)),SUM($BU$42:BU3969)/$BV$40))</f>
        <v>1</v>
      </c>
      <c r="BW3969" s="16">
        <f t="shared" si="872"/>
        <v>1.3731721666592215E-63</v>
      </c>
      <c r="BY3969" s="16">
        <f t="shared" si="873"/>
        <v>392.70000000002079</v>
      </c>
      <c r="BZ3969" s="16">
        <f t="shared" si="864"/>
        <v>3.4967460317268875E-66</v>
      </c>
      <c r="CA3969" s="16">
        <f t="shared" si="871"/>
        <v>-999</v>
      </c>
      <c r="CE3969" s="16" t="e">
        <f t="shared" si="865"/>
        <v>#N/A</v>
      </c>
      <c r="CF3969" s="16">
        <f t="shared" si="866"/>
        <v>99</v>
      </c>
      <c r="CG3969" s="16">
        <f t="shared" si="867"/>
        <v>0</v>
      </c>
      <c r="CH3969" s="16">
        <f t="shared" si="863"/>
        <v>0</v>
      </c>
      <c r="CJ3969" s="16" t="e">
        <f t="shared" si="868"/>
        <v>#N/A</v>
      </c>
      <c r="CK3969" s="16" t="str">
        <f t="shared" si="869"/>
        <v/>
      </c>
    </row>
    <row r="3970" spans="73:89" ht="12" customHeight="1">
      <c r="BU3970" s="16">
        <f t="shared" si="870"/>
        <v>0</v>
      </c>
      <c r="BV3970" s="16">
        <f>IF($BY$12=1,NORMDIST(BY3970,$Y$6,$Y$8,TRUE),IF($BY$12=2,IF(BY3970&lt;=$BX$31,0,IF(BY3970&gt;=$BX$32,1,(BY3970-$BX$31)*$BX$33)),SUM($BU$42:BU3970)/$BV$40))</f>
        <v>1</v>
      </c>
      <c r="BW3970" s="16">
        <f t="shared" si="872"/>
        <v>1.2607296344553602E-63</v>
      </c>
      <c r="BY3970" s="16">
        <f t="shared" si="873"/>
        <v>392.80000000002082</v>
      </c>
      <c r="BZ3970" s="16">
        <f t="shared" si="864"/>
        <v>3.2095968290613374E-66</v>
      </c>
      <c r="CA3970" s="16">
        <f t="shared" si="871"/>
        <v>-999</v>
      </c>
      <c r="CE3970" s="16" t="e">
        <f t="shared" si="865"/>
        <v>#N/A</v>
      </c>
      <c r="CF3970" s="16">
        <f t="shared" si="866"/>
        <v>99</v>
      </c>
      <c r="CG3970" s="16">
        <f t="shared" si="867"/>
        <v>0</v>
      </c>
      <c r="CH3970" s="16">
        <f t="shared" si="863"/>
        <v>0</v>
      </c>
      <c r="CJ3970" s="16" t="e">
        <f t="shared" si="868"/>
        <v>#N/A</v>
      </c>
      <c r="CK3970" s="16" t="str">
        <f t="shared" si="869"/>
        <v/>
      </c>
    </row>
    <row r="3971" spans="73:89" ht="12" customHeight="1">
      <c r="BU3971" s="16">
        <f t="shared" si="870"/>
        <v>0</v>
      </c>
      <c r="BV3971" s="16">
        <f>IF($BY$12=1,NORMDIST(BY3971,$Y$6,$Y$8,TRUE),IF($BY$12=2,IF(BY3971&lt;=$BX$31,0,IF(BY3971&gt;=$BX$32,1,(BY3971-$BX$31)*$BX$33)),SUM($BU$42:BU3971)/$BV$40))</f>
        <v>1</v>
      </c>
      <c r="BW3971" s="16">
        <f t="shared" si="872"/>
        <v>1.1574654739504517E-63</v>
      </c>
      <c r="BY3971" s="16">
        <f t="shared" si="873"/>
        <v>392.90000000002084</v>
      </c>
      <c r="BZ3971" s="16">
        <f t="shared" si="864"/>
        <v>2.945954375032808E-66</v>
      </c>
      <c r="CA3971" s="16">
        <f t="shared" si="871"/>
        <v>-999</v>
      </c>
      <c r="CE3971" s="16" t="e">
        <f t="shared" si="865"/>
        <v>#N/A</v>
      </c>
      <c r="CF3971" s="16">
        <f t="shared" si="866"/>
        <v>99</v>
      </c>
      <c r="CG3971" s="16">
        <f t="shared" si="867"/>
        <v>0</v>
      </c>
      <c r="CH3971" s="16">
        <f t="shared" ref="CH3971:CH4034" si="874">IF(CB3971="",0,1)</f>
        <v>0</v>
      </c>
      <c r="CJ3971" s="16" t="e">
        <f t="shared" si="868"/>
        <v>#N/A</v>
      </c>
      <c r="CK3971" s="16" t="str">
        <f t="shared" si="869"/>
        <v/>
      </c>
    </row>
    <row r="3972" spans="73:89" ht="12" customHeight="1">
      <c r="BU3972" s="16">
        <f t="shared" si="870"/>
        <v>0</v>
      </c>
      <c r="BV3972" s="16">
        <f>IF($BY$12=1,NORMDIST(BY3972,$Y$6,$Y$8,TRUE),IF($BY$12=2,IF(BY3972&lt;=$BX$31,0,IF(BY3972&gt;=$BX$32,1,(BY3972-$BX$31)*$BX$33)),SUM($BU$42:BU3972)/$BV$40))</f>
        <v>1</v>
      </c>
      <c r="BW3972" s="16">
        <f t="shared" si="872"/>
        <v>1.0626328653267347E-63</v>
      </c>
      <c r="BY3972" s="16">
        <f t="shared" si="873"/>
        <v>393.00000000002086</v>
      </c>
      <c r="BZ3972" s="16">
        <f t="shared" si="864"/>
        <v>2.7039004206785706E-66</v>
      </c>
      <c r="CA3972" s="16">
        <f t="shared" si="871"/>
        <v>-999</v>
      </c>
      <c r="CE3972" s="16" t="e">
        <f t="shared" si="865"/>
        <v>#N/A</v>
      </c>
      <c r="CF3972" s="16">
        <f t="shared" si="866"/>
        <v>99</v>
      </c>
      <c r="CG3972" s="16">
        <f t="shared" si="867"/>
        <v>0</v>
      </c>
      <c r="CH3972" s="16">
        <f t="shared" si="874"/>
        <v>0</v>
      </c>
      <c r="CJ3972" s="16" t="e">
        <f t="shared" si="868"/>
        <v>#N/A</v>
      </c>
      <c r="CK3972" s="16" t="str">
        <f t="shared" si="869"/>
        <v/>
      </c>
    </row>
    <row r="3973" spans="73:89" ht="12" customHeight="1">
      <c r="BU3973" s="16">
        <f t="shared" si="870"/>
        <v>0</v>
      </c>
      <c r="BV3973" s="16">
        <f>IF($BY$12=1,NORMDIST(BY3973,$Y$6,$Y$8,TRUE),IF($BY$12=2,IF(BY3973&lt;=$BX$31,0,IF(BY3973&gt;=$BX$32,1,(BY3973-$BX$31)*$BX$33)),SUM($BU$42:BU3973)/$BV$40))</f>
        <v>1</v>
      </c>
      <c r="BW3973" s="16">
        <f t="shared" si="872"/>
        <v>9.7554556003074133E-64</v>
      </c>
      <c r="BY3973" s="16">
        <f t="shared" si="873"/>
        <v>393.10000000002088</v>
      </c>
      <c r="BZ3973" s="16">
        <f t="shared" si="864"/>
        <v>2.4816727551022375E-66</v>
      </c>
      <c r="CA3973" s="16">
        <f t="shared" si="871"/>
        <v>-999</v>
      </c>
      <c r="CE3973" s="16" t="e">
        <f t="shared" si="865"/>
        <v>#N/A</v>
      </c>
      <c r="CF3973" s="16">
        <f t="shared" si="866"/>
        <v>99</v>
      </c>
      <c r="CG3973" s="16">
        <f t="shared" si="867"/>
        <v>0</v>
      </c>
      <c r="CH3973" s="16">
        <f t="shared" si="874"/>
        <v>0</v>
      </c>
      <c r="CJ3973" s="16" t="e">
        <f t="shared" si="868"/>
        <v>#N/A</v>
      </c>
      <c r="CK3973" s="16" t="str">
        <f t="shared" si="869"/>
        <v/>
      </c>
    </row>
    <row r="3974" spans="73:89" ht="12" customHeight="1">
      <c r="BU3974" s="16">
        <f t="shared" si="870"/>
        <v>0</v>
      </c>
      <c r="BV3974" s="16">
        <f>IF($BY$12=1,NORMDIST(BY3974,$Y$6,$Y$8,TRUE),IF($BY$12=2,IF(BY3974&lt;=$BX$31,0,IF(BY3974&gt;=$BX$32,1,(BY3974-$BX$31)*$BX$33)),SUM($BU$42:BU3974)/$BV$40))</f>
        <v>1</v>
      </c>
      <c r="BW3974" s="16">
        <f t="shared" si="872"/>
        <v>8.9557298407720719E-64</v>
      </c>
      <c r="BY3974" s="16">
        <f t="shared" si="873"/>
        <v>393.20000000002091</v>
      </c>
      <c r="BZ3974" s="16">
        <f t="shared" si="864"/>
        <v>2.27765255360417E-66</v>
      </c>
      <c r="CA3974" s="16">
        <f t="shared" si="871"/>
        <v>-999</v>
      </c>
      <c r="CE3974" s="16" t="e">
        <f t="shared" si="865"/>
        <v>#N/A</v>
      </c>
      <c r="CF3974" s="16">
        <f t="shared" si="866"/>
        <v>99</v>
      </c>
      <c r="CG3974" s="16">
        <f t="shared" si="867"/>
        <v>0</v>
      </c>
      <c r="CH3974" s="16">
        <f t="shared" si="874"/>
        <v>0</v>
      </c>
      <c r="CJ3974" s="16" t="e">
        <f t="shared" si="868"/>
        <v>#N/A</v>
      </c>
      <c r="CK3974" s="16" t="str">
        <f t="shared" si="869"/>
        <v/>
      </c>
    </row>
    <row r="3975" spans="73:89" ht="12" customHeight="1">
      <c r="BU3975" s="16">
        <f t="shared" si="870"/>
        <v>0</v>
      </c>
      <c r="BV3975" s="16">
        <f>IF($BY$12=1,NORMDIST(BY3975,$Y$6,$Y$8,TRUE),IF($BY$12=2,IF(BY3975&lt;=$BX$31,0,IF(BY3975&gt;=$BX$32,1,(BY3975-$BX$31)*$BX$33)),SUM($BU$42:BU3975)/$BV$40))</f>
        <v>1</v>
      </c>
      <c r="BW3975" s="16">
        <f t="shared" si="872"/>
        <v>8.2213573591000853E-64</v>
      </c>
      <c r="BY3975" s="16">
        <f t="shared" si="873"/>
        <v>393.30000000002093</v>
      </c>
      <c r="BZ3975" s="16">
        <f t="shared" si="864"/>
        <v>2.0903527483090891E-66</v>
      </c>
      <c r="CA3975" s="16">
        <f t="shared" si="871"/>
        <v>-999</v>
      </c>
      <c r="CE3975" s="16" t="e">
        <f t="shared" si="865"/>
        <v>#N/A</v>
      </c>
      <c r="CF3975" s="16">
        <f t="shared" si="866"/>
        <v>99</v>
      </c>
      <c r="CG3975" s="16">
        <f t="shared" si="867"/>
        <v>0</v>
      </c>
      <c r="CH3975" s="16">
        <f t="shared" si="874"/>
        <v>0</v>
      </c>
      <c r="CJ3975" s="16" t="e">
        <f t="shared" si="868"/>
        <v>#N/A</v>
      </c>
      <c r="CK3975" s="16" t="str">
        <f t="shared" si="869"/>
        <v/>
      </c>
    </row>
    <row r="3976" spans="73:89" ht="12" customHeight="1">
      <c r="BU3976" s="16">
        <f t="shared" si="870"/>
        <v>0</v>
      </c>
      <c r="BV3976" s="16">
        <f>IF($BY$12=1,NORMDIST(BY3976,$Y$6,$Y$8,TRUE),IF($BY$12=2,IF(BY3976&lt;=$BX$31,0,IF(BY3976&gt;=$BX$32,1,(BY3976-$BX$31)*$BX$33)),SUM($BU$42:BU3976)/$BV$40))</f>
        <v>1</v>
      </c>
      <c r="BW3976" s="16">
        <f t="shared" si="872"/>
        <v>7.5470144713452625E-64</v>
      </c>
      <c r="BY3976" s="16">
        <f t="shared" si="873"/>
        <v>393.40000000002095</v>
      </c>
      <c r="BZ3976" s="16">
        <f t="shared" si="864"/>
        <v>1.9184073389285359E-66</v>
      </c>
      <c r="CA3976" s="16">
        <f t="shared" si="871"/>
        <v>-999</v>
      </c>
      <c r="CE3976" s="16" t="e">
        <f t="shared" si="865"/>
        <v>#N/A</v>
      </c>
      <c r="CF3976" s="16">
        <f t="shared" si="866"/>
        <v>99</v>
      </c>
      <c r="CG3976" s="16">
        <f t="shared" si="867"/>
        <v>0</v>
      </c>
      <c r="CH3976" s="16">
        <f t="shared" si="874"/>
        <v>0</v>
      </c>
      <c r="CJ3976" s="16" t="e">
        <f t="shared" si="868"/>
        <v>#N/A</v>
      </c>
      <c r="CK3976" s="16" t="str">
        <f t="shared" si="869"/>
        <v/>
      </c>
    </row>
    <row r="3977" spans="73:89" ht="12" customHeight="1">
      <c r="BU3977" s="16">
        <f t="shared" si="870"/>
        <v>0</v>
      </c>
      <c r="BV3977" s="16">
        <f>IF($BY$12=1,NORMDIST(BY3977,$Y$6,$Y$8,TRUE),IF($BY$12=2,IF(BY3977&lt;=$BX$31,0,IF(BY3977&gt;=$BX$32,1,(BY3977-$BX$31)*$BX$33)),SUM($BU$42:BU3977)/$BV$40))</f>
        <v>1</v>
      </c>
      <c r="BW3977" s="16">
        <f t="shared" si="872"/>
        <v>6.9278097697054954E-64</v>
      </c>
      <c r="BY3977" s="16">
        <f t="shared" si="873"/>
        <v>393.50000000002098</v>
      </c>
      <c r="BZ3977" s="16">
        <f t="shared" si="864"/>
        <v>1.7605615679047333E-66</v>
      </c>
      <c r="CA3977" s="16">
        <f t="shared" si="871"/>
        <v>-999</v>
      </c>
      <c r="CE3977" s="16" t="e">
        <f t="shared" si="865"/>
        <v>#N/A</v>
      </c>
      <c r="CF3977" s="16">
        <f t="shared" si="866"/>
        <v>99</v>
      </c>
      <c r="CG3977" s="16">
        <f t="shared" si="867"/>
        <v>0</v>
      </c>
      <c r="CH3977" s="16">
        <f t="shared" si="874"/>
        <v>0</v>
      </c>
      <c r="CJ3977" s="16" t="e">
        <f t="shared" si="868"/>
        <v>#N/A</v>
      </c>
      <c r="CK3977" s="16" t="str">
        <f t="shared" si="869"/>
        <v/>
      </c>
    </row>
    <row r="3978" spans="73:89" ht="12" customHeight="1">
      <c r="BU3978" s="16">
        <f t="shared" si="870"/>
        <v>0</v>
      </c>
      <c r="BV3978" s="16">
        <f>IF($BY$12=1,NORMDIST(BY3978,$Y$6,$Y$8,TRUE),IF($BY$12=2,IF(BY3978&lt;=$BX$31,0,IF(BY3978&gt;=$BX$32,1,(BY3978-$BX$31)*$BX$33)),SUM($BU$42:BU3978)/$BV$40))</f>
        <v>1</v>
      </c>
      <c r="BW3978" s="16">
        <f t="shared" si="872"/>
        <v>6.3592491360977187E-64</v>
      </c>
      <c r="BY3978" s="16">
        <f t="shared" si="873"/>
        <v>393.600000000021</v>
      </c>
      <c r="BZ3978" s="16">
        <f t="shared" si="864"/>
        <v>1.6156628902686433E-66</v>
      </c>
      <c r="CA3978" s="16">
        <f t="shared" si="871"/>
        <v>-999</v>
      </c>
      <c r="CE3978" s="16" t="e">
        <f t="shared" si="865"/>
        <v>#N/A</v>
      </c>
      <c r="CF3978" s="16">
        <f t="shared" si="866"/>
        <v>99</v>
      </c>
      <c r="CG3978" s="16">
        <f t="shared" si="867"/>
        <v>0</v>
      </c>
      <c r="CH3978" s="16">
        <f t="shared" si="874"/>
        <v>0</v>
      </c>
      <c r="CJ3978" s="16" t="e">
        <f t="shared" si="868"/>
        <v>#N/A</v>
      </c>
      <c r="CK3978" s="16" t="str">
        <f t="shared" si="869"/>
        <v/>
      </c>
    </row>
    <row r="3979" spans="73:89" ht="12" customHeight="1">
      <c r="BU3979" s="16">
        <f t="shared" si="870"/>
        <v>0</v>
      </c>
      <c r="BV3979" s="16">
        <f>IF($BY$12=1,NORMDIST(BY3979,$Y$6,$Y$8,TRUE),IF($BY$12=2,IF(BY3979&lt;=$BX$31,0,IF(BY3979&gt;=$BX$32,1,(BY3979-$BX$31)*$BX$33)),SUM($BU$42:BU3979)/$BV$40))</f>
        <v>1</v>
      </c>
      <c r="BW3979" s="16">
        <f t="shared" si="872"/>
        <v>5.8372035780908568E-64</v>
      </c>
      <c r="BY3979" s="16">
        <f t="shared" si="873"/>
        <v>393.70000000002102</v>
      </c>
      <c r="BZ3979" s="16">
        <f t="shared" si="864"/>
        <v>1.4826526741403467E-66</v>
      </c>
      <c r="CA3979" s="16">
        <f t="shared" si="871"/>
        <v>-999</v>
      </c>
      <c r="CE3979" s="16" t="e">
        <f t="shared" si="865"/>
        <v>#N/A</v>
      </c>
      <c r="CF3979" s="16">
        <f t="shared" si="866"/>
        <v>99</v>
      </c>
      <c r="CG3979" s="16">
        <f t="shared" si="867"/>
        <v>0</v>
      </c>
      <c r="CH3979" s="16">
        <f t="shared" si="874"/>
        <v>0</v>
      </c>
      <c r="CJ3979" s="16" t="e">
        <f t="shared" si="868"/>
        <v>#N/A</v>
      </c>
      <c r="CK3979" s="16" t="str">
        <f t="shared" si="869"/>
        <v/>
      </c>
    </row>
    <row r="3980" spans="73:89" ht="12" customHeight="1">
      <c r="BU3980" s="16">
        <f t="shared" si="870"/>
        <v>0</v>
      </c>
      <c r="BV3980" s="16">
        <f>IF($BY$12=1,NORMDIST(BY3980,$Y$6,$Y$8,TRUE),IF($BY$12=2,IF(BY3980&lt;=$BX$31,0,IF(BY3980&gt;=$BX$32,1,(BY3980-$BX$31)*$BX$33)),SUM($BU$42:BU3980)/$BV$40))</f>
        <v>1</v>
      </c>
      <c r="BW3980" s="16">
        <f t="shared" si="872"/>
        <v>5.3578796602687121E-64</v>
      </c>
      <c r="BY3980" s="16">
        <f t="shared" si="873"/>
        <v>393.80000000002104</v>
      </c>
      <c r="BZ3980" s="16">
        <f t="shared" si="864"/>
        <v>1.3605585729477972E-66</v>
      </c>
      <c r="CA3980" s="16">
        <f t="shared" si="871"/>
        <v>-999</v>
      </c>
      <c r="CE3980" s="16" t="e">
        <f t="shared" si="865"/>
        <v>#N/A</v>
      </c>
      <c r="CF3980" s="16">
        <f t="shared" si="866"/>
        <v>99</v>
      </c>
      <c r="CG3980" s="16">
        <f t="shared" si="867"/>
        <v>0</v>
      </c>
      <c r="CH3980" s="16">
        <f t="shared" si="874"/>
        <v>0</v>
      </c>
      <c r="CJ3980" s="16" t="e">
        <f t="shared" si="868"/>
        <v>#N/A</v>
      </c>
      <c r="CK3980" s="16" t="str">
        <f t="shared" si="869"/>
        <v/>
      </c>
    </row>
    <row r="3981" spans="73:89" ht="12" customHeight="1">
      <c r="BU3981" s="16">
        <f t="shared" si="870"/>
        <v>0</v>
      </c>
      <c r="BV3981" s="16">
        <f>IF($BY$12=1,NORMDIST(BY3981,$Y$6,$Y$8,TRUE),IF($BY$12=2,IF(BY3981&lt;=$BX$31,0,IF(BY3981&gt;=$BX$32,1,(BY3981-$BX$31)*$BX$33)),SUM($BU$42:BU3981)/$BV$40))</f>
        <v>1</v>
      </c>
      <c r="BW3981" s="16">
        <f t="shared" si="872"/>
        <v>4.9177923222863241E-64</v>
      </c>
      <c r="BY3981" s="16">
        <f t="shared" si="873"/>
        <v>393.90000000002107</v>
      </c>
      <c r="BZ3981" s="16">
        <f t="shared" si="864"/>
        <v>1.2484875151779795E-66</v>
      </c>
      <c r="CA3981" s="16">
        <f t="shared" si="871"/>
        <v>-999</v>
      </c>
      <c r="CE3981" s="16" t="e">
        <f t="shared" si="865"/>
        <v>#N/A</v>
      </c>
      <c r="CF3981" s="16">
        <f t="shared" si="866"/>
        <v>99</v>
      </c>
      <c r="CG3981" s="16">
        <f t="shared" si="867"/>
        <v>0</v>
      </c>
      <c r="CH3981" s="16">
        <f t="shared" si="874"/>
        <v>0</v>
      </c>
      <c r="CJ3981" s="16" t="e">
        <f t="shared" si="868"/>
        <v>#N/A</v>
      </c>
      <c r="CK3981" s="16" t="str">
        <f t="shared" si="869"/>
        <v/>
      </c>
    </row>
    <row r="3982" spans="73:89" ht="12" customHeight="1">
      <c r="BU3982" s="16">
        <f t="shared" si="870"/>
        <v>0</v>
      </c>
      <c r="BV3982" s="16">
        <f>IF($BY$12=1,NORMDIST(BY3982,$Y$6,$Y$8,TRUE),IF($BY$12=2,IF(BY3982&lt;=$BX$31,0,IF(BY3982&gt;=$BX$32,1,(BY3982-$BX$31)*$BX$33)),SUM($BU$42:BU3982)/$BV$40))</f>
        <v>1</v>
      </c>
      <c r="BW3982" s="16">
        <f t="shared" si="872"/>
        <v>4.5137398916061691E-64</v>
      </c>
      <c r="BY3982" s="16">
        <f t="shared" si="873"/>
        <v>394.00000000002109</v>
      </c>
      <c r="BZ3982" s="16">
        <f t="shared" si="864"/>
        <v>1.1456192618289157E-66</v>
      </c>
      <c r="CA3982" s="16">
        <f t="shared" si="871"/>
        <v>-999</v>
      </c>
      <c r="CE3982" s="16" t="e">
        <f t="shared" si="865"/>
        <v>#N/A</v>
      </c>
      <c r="CF3982" s="16">
        <f t="shared" si="866"/>
        <v>99</v>
      </c>
      <c r="CG3982" s="16">
        <f t="shared" si="867"/>
        <v>0</v>
      </c>
      <c r="CH3982" s="16">
        <f t="shared" si="874"/>
        <v>0</v>
      </c>
      <c r="CJ3982" s="16" t="e">
        <f t="shared" si="868"/>
        <v>#N/A</v>
      </c>
      <c r="CK3982" s="16" t="str">
        <f t="shared" si="869"/>
        <v/>
      </c>
    </row>
    <row r="3983" spans="73:89" ht="12" customHeight="1">
      <c r="BU3983" s="16">
        <f t="shared" si="870"/>
        <v>0</v>
      </c>
      <c r="BV3983" s="16">
        <f>IF($BY$12=1,NORMDIST(BY3983,$Y$6,$Y$8,TRUE),IF($BY$12=2,IF(BY3983&lt;=$BX$31,0,IF(BY3983&gt;=$BX$32,1,(BY3983-$BX$31)*$BX$33)),SUM($BU$42:BU3983)/$BV$40))</f>
        <v>1</v>
      </c>
      <c r="BW3983" s="16">
        <f t="shared" si="872"/>
        <v>4.1427811143042958E-64</v>
      </c>
      <c r="BY3983" s="16">
        <f t="shared" si="873"/>
        <v>394.10000000002111</v>
      </c>
      <c r="BZ3983" s="16">
        <f t="shared" si="864"/>
        <v>1.0512004857406937E-66</v>
      </c>
      <c r="CA3983" s="16">
        <f t="shared" si="871"/>
        <v>-999</v>
      </c>
      <c r="CE3983" s="16" t="e">
        <f t="shared" si="865"/>
        <v>#N/A</v>
      </c>
      <c r="CF3983" s="16">
        <f t="shared" si="866"/>
        <v>99</v>
      </c>
      <c r="CG3983" s="16">
        <f t="shared" si="867"/>
        <v>0</v>
      </c>
      <c r="CH3983" s="16">
        <f t="shared" si="874"/>
        <v>0</v>
      </c>
      <c r="CJ3983" s="16" t="e">
        <f t="shared" si="868"/>
        <v>#N/A</v>
      </c>
      <c r="CK3983" s="16" t="str">
        <f t="shared" si="869"/>
        <v/>
      </c>
    </row>
    <row r="3984" spans="73:89" ht="12" customHeight="1">
      <c r="BU3984" s="16">
        <f t="shared" si="870"/>
        <v>0</v>
      </c>
      <c r="BV3984" s="16">
        <f>IF($BY$12=1,NORMDIST(BY3984,$Y$6,$Y$8,TRUE),IF($BY$12=2,IF(BY3984&lt;=$BX$31,0,IF(BY3984&gt;=$BX$32,1,(BY3984-$BX$31)*$BX$33)),SUM($BU$42:BU3984)/$BV$40))</f>
        <v>1</v>
      </c>
      <c r="BW3984" s="16">
        <f t="shared" si="872"/>
        <v>3.8022140414948394E-64</v>
      </c>
      <c r="BY3984" s="16">
        <f t="shared" si="873"/>
        <v>394.20000000002113</v>
      </c>
      <c r="BZ3984" s="16">
        <f t="shared" si="864"/>
        <v>9.6453933066835001E-67</v>
      </c>
      <c r="CA3984" s="16">
        <f t="shared" si="871"/>
        <v>-999</v>
      </c>
      <c r="CE3984" s="16" t="e">
        <f t="shared" si="865"/>
        <v>#N/A</v>
      </c>
      <c r="CF3984" s="16">
        <f t="shared" si="866"/>
        <v>99</v>
      </c>
      <c r="CG3984" s="16">
        <f t="shared" si="867"/>
        <v>0</v>
      </c>
      <c r="CH3984" s="16">
        <f t="shared" si="874"/>
        <v>0</v>
      </c>
      <c r="CJ3984" s="16" t="e">
        <f t="shared" si="868"/>
        <v>#N/A</v>
      </c>
      <c r="CK3984" s="16" t="str">
        <f t="shared" si="869"/>
        <v/>
      </c>
    </row>
    <row r="3985" spans="73:89" ht="12" customHeight="1">
      <c r="BU3985" s="16">
        <f t="shared" si="870"/>
        <v>0</v>
      </c>
      <c r="BV3985" s="16">
        <f>IF($BY$12=1,NORMDIST(BY3985,$Y$6,$Y$8,TRUE),IF($BY$12=2,IF(BY3985&lt;=$BX$31,0,IF(BY3985&gt;=$BX$32,1,(BY3985-$BX$31)*$BX$33)),SUM($BU$42:BU3985)/$BV$40))</f>
        <v>1</v>
      </c>
      <c r="BW3985" s="16">
        <f t="shared" si="872"/>
        <v>3.4895566219608834E-64</v>
      </c>
      <c r="BY3985" s="16">
        <f t="shared" si="873"/>
        <v>394.30000000002116</v>
      </c>
      <c r="BZ3985" s="16">
        <f t="shared" si="864"/>
        <v>8.8500041135193922E-67</v>
      </c>
      <c r="CA3985" s="16">
        <f t="shared" si="871"/>
        <v>-999</v>
      </c>
      <c r="CE3985" s="16" t="e">
        <f t="shared" si="865"/>
        <v>#N/A</v>
      </c>
      <c r="CF3985" s="16">
        <f t="shared" si="866"/>
        <v>99</v>
      </c>
      <c r="CG3985" s="16">
        <f t="shared" si="867"/>
        <v>0</v>
      </c>
      <c r="CH3985" s="16">
        <f t="shared" si="874"/>
        <v>0</v>
      </c>
      <c r="CJ3985" s="16" t="e">
        <f t="shared" si="868"/>
        <v>#N/A</v>
      </c>
      <c r="CK3985" s="16" t="str">
        <f t="shared" si="869"/>
        <v/>
      </c>
    </row>
    <row r="3986" spans="73:89" ht="12" customHeight="1">
      <c r="BU3986" s="16">
        <f t="shared" si="870"/>
        <v>0</v>
      </c>
      <c r="BV3986" s="16">
        <f>IF($BY$12=1,NORMDIST(BY3986,$Y$6,$Y$8,TRUE),IF($BY$12=2,IF(BY3986&lt;=$BX$31,0,IF(BY3986&gt;=$BX$32,1,(BY3986-$BX$31)*$BX$33)),SUM($BU$42:BU3986)/$BV$40))</f>
        <v>1</v>
      </c>
      <c r="BW3986" s="16">
        <f t="shared" si="872"/>
        <v>3.2025288635638071E-64</v>
      </c>
      <c r="BY3986" s="16">
        <f t="shared" si="873"/>
        <v>394.40000000002118</v>
      </c>
      <c r="BZ3986" s="16">
        <f t="shared" si="864"/>
        <v>8.1200021895629688E-67</v>
      </c>
      <c r="CA3986" s="16">
        <f t="shared" si="871"/>
        <v>-999</v>
      </c>
      <c r="CE3986" s="16" t="e">
        <f t="shared" si="865"/>
        <v>#N/A</v>
      </c>
      <c r="CF3986" s="16">
        <f t="shared" si="866"/>
        <v>99</v>
      </c>
      <c r="CG3986" s="16">
        <f t="shared" si="867"/>
        <v>0</v>
      </c>
      <c r="CH3986" s="16">
        <f t="shared" si="874"/>
        <v>0</v>
      </c>
      <c r="CJ3986" s="16" t="e">
        <f t="shared" si="868"/>
        <v>#N/A</v>
      </c>
      <c r="CK3986" s="16" t="str">
        <f t="shared" si="869"/>
        <v/>
      </c>
    </row>
    <row r="3987" spans="73:89" ht="12" customHeight="1">
      <c r="BU3987" s="16">
        <f t="shared" si="870"/>
        <v>0</v>
      </c>
      <c r="BV3987" s="16">
        <f>IF($BY$12=1,NORMDIST(BY3987,$Y$6,$Y$8,TRUE),IF($BY$12=2,IF(BY3987&lt;=$BX$31,0,IF(BY3987&gt;=$BX$32,1,(BY3987-$BX$31)*$BX$33)),SUM($BU$42:BU3987)/$BV$40))</f>
        <v>1</v>
      </c>
      <c r="BW3987" s="16">
        <f t="shared" si="872"/>
        <v>2.9390364370402629E-64</v>
      </c>
      <c r="BY3987" s="16">
        <f t="shared" si="873"/>
        <v>394.5000000000212</v>
      </c>
      <c r="BZ3987" s="16">
        <f t="shared" si="864"/>
        <v>7.4500289912296706E-67</v>
      </c>
      <c r="CA3987" s="16">
        <f t="shared" si="871"/>
        <v>-999</v>
      </c>
      <c r="CE3987" s="16" t="e">
        <f t="shared" si="865"/>
        <v>#N/A</v>
      </c>
      <c r="CF3987" s="16">
        <f t="shared" si="866"/>
        <v>99</v>
      </c>
      <c r="CG3987" s="16">
        <f t="shared" si="867"/>
        <v>0</v>
      </c>
      <c r="CH3987" s="16">
        <f t="shared" si="874"/>
        <v>0</v>
      </c>
      <c r="CJ3987" s="16" t="e">
        <f t="shared" si="868"/>
        <v>#N/A</v>
      </c>
      <c r="CK3987" s="16" t="str">
        <f t="shared" si="869"/>
        <v/>
      </c>
    </row>
    <row r="3988" spans="73:89" ht="12" customHeight="1">
      <c r="BU3988" s="16">
        <f t="shared" si="870"/>
        <v>0</v>
      </c>
      <c r="BV3988" s="16">
        <f>IF($BY$12=1,NORMDIST(BY3988,$Y$6,$Y$8,TRUE),IF($BY$12=2,IF(BY3988&lt;=$BX$31,0,IF(BY3988&gt;=$BX$32,1,(BY3988-$BX$31)*$BX$33)),SUM($BU$42:BU3988)/$BV$40))</f>
        <v>1</v>
      </c>
      <c r="BW3988" s="16">
        <f t="shared" si="872"/>
        <v>2.6971556059428968E-64</v>
      </c>
      <c r="BY3988" s="16">
        <f t="shared" si="873"/>
        <v>394.60000000002123</v>
      </c>
      <c r="BZ3988" s="16">
        <f t="shared" si="864"/>
        <v>6.835163725146355E-67</v>
      </c>
      <c r="CA3988" s="16">
        <f t="shared" si="871"/>
        <v>-999</v>
      </c>
      <c r="CE3988" s="16" t="e">
        <f t="shared" si="865"/>
        <v>#N/A</v>
      </c>
      <c r="CF3988" s="16">
        <f t="shared" si="866"/>
        <v>99</v>
      </c>
      <c r="CG3988" s="16">
        <f t="shared" si="867"/>
        <v>0</v>
      </c>
      <c r="CH3988" s="16">
        <f t="shared" si="874"/>
        <v>0</v>
      </c>
      <c r="CJ3988" s="16" t="e">
        <f t="shared" si="868"/>
        <v>#N/A</v>
      </c>
      <c r="CK3988" s="16" t="str">
        <f t="shared" si="869"/>
        <v/>
      </c>
    </row>
    <row r="3989" spans="73:89" ht="12" customHeight="1">
      <c r="BU3989" s="16">
        <f t="shared" si="870"/>
        <v>0</v>
      </c>
      <c r="BV3989" s="16">
        <f>IF($BY$12=1,NORMDIST(BY3989,$Y$6,$Y$8,TRUE),IF($BY$12=2,IF(BY3989&lt;=$BX$31,0,IF(BY3989&gt;=$BX$32,1,(BY3989-$BX$31)*$BX$33)),SUM($BU$42:BU3989)/$BV$40))</f>
        <v>1</v>
      </c>
      <c r="BW3989" s="16">
        <f t="shared" si="872"/>
        <v>2.4751193758169349E-64</v>
      </c>
      <c r="BY3989" s="16">
        <f t="shared" si="873"/>
        <v>394.70000000002125</v>
      </c>
      <c r="BZ3989" s="16">
        <f t="shared" si="864"/>
        <v>6.2708877015880452E-67</v>
      </c>
      <c r="CA3989" s="16">
        <f t="shared" si="871"/>
        <v>-999</v>
      </c>
      <c r="CE3989" s="16" t="e">
        <f t="shared" si="865"/>
        <v>#N/A</v>
      </c>
      <c r="CF3989" s="16">
        <f t="shared" si="866"/>
        <v>99</v>
      </c>
      <c r="CG3989" s="16">
        <f t="shared" si="867"/>
        <v>0</v>
      </c>
      <c r="CH3989" s="16">
        <f t="shared" si="874"/>
        <v>0</v>
      </c>
      <c r="CJ3989" s="16" t="e">
        <f t="shared" si="868"/>
        <v>#N/A</v>
      </c>
      <c r="CK3989" s="16" t="str">
        <f t="shared" si="869"/>
        <v/>
      </c>
    </row>
    <row r="3990" spans="73:89" ht="12" customHeight="1">
      <c r="BU3990" s="16">
        <f t="shared" si="870"/>
        <v>0</v>
      </c>
      <c r="BV3990" s="16">
        <f>IF($BY$12=1,NORMDIST(BY3990,$Y$6,$Y$8,TRUE),IF($BY$12=2,IF(BY3990&lt;=$BX$31,0,IF(BY3990&gt;=$BX$32,1,(BY3990-$BX$31)*$BX$33)),SUM($BU$42:BU3990)/$BV$40))</f>
        <v>1</v>
      </c>
      <c r="BW3990" s="16">
        <f t="shared" si="872"/>
        <v>2.2713047642976693E-64</v>
      </c>
      <c r="BY3990" s="16">
        <f t="shared" si="873"/>
        <v>394.80000000002127</v>
      </c>
      <c r="BZ3990" s="16">
        <f t="shared" si="864"/>
        <v>5.7530515813007776E-67</v>
      </c>
      <c r="CA3990" s="16">
        <f t="shared" si="871"/>
        <v>-999</v>
      </c>
      <c r="CE3990" s="16" t="e">
        <f t="shared" si="865"/>
        <v>#N/A</v>
      </c>
      <c r="CF3990" s="16">
        <f t="shared" si="866"/>
        <v>99</v>
      </c>
      <c r="CG3990" s="16">
        <f t="shared" si="867"/>
        <v>0</v>
      </c>
      <c r="CH3990" s="16">
        <f t="shared" si="874"/>
        <v>0</v>
      </c>
      <c r="CJ3990" s="16" t="e">
        <f t="shared" si="868"/>
        <v>#N/A</v>
      </c>
      <c r="CK3990" s="16" t="str">
        <f t="shared" si="869"/>
        <v/>
      </c>
    </row>
    <row r="3991" spans="73:89" ht="12" customHeight="1">
      <c r="BU3991" s="16">
        <f t="shared" si="870"/>
        <v>0</v>
      </c>
      <c r="BV3991" s="16">
        <f>IF($BY$12=1,NORMDIST(BY3991,$Y$6,$Y$8,TRUE),IF($BY$12=2,IF(BY3991&lt;=$BX$31,0,IF(BY3991&gt;=$BX$32,1,(BY3991-$BX$31)*$BX$33)),SUM($BU$42:BU3991)/$BV$40))</f>
        <v>1</v>
      </c>
      <c r="BW3991" s="16">
        <f t="shared" si="872"/>
        <v>2.0842211017113329E-64</v>
      </c>
      <c r="BY3991" s="16">
        <f t="shared" si="873"/>
        <v>394.90000000002129</v>
      </c>
      <c r="BZ3991" s="16">
        <f t="shared" si="864"/>
        <v>5.27784528161869E-67</v>
      </c>
      <c r="CA3991" s="16">
        <f t="shared" si="871"/>
        <v>-999</v>
      </c>
      <c r="CE3991" s="16" t="e">
        <f t="shared" si="865"/>
        <v>#N/A</v>
      </c>
      <c r="CF3991" s="16">
        <f t="shared" si="866"/>
        <v>99</v>
      </c>
      <c r="CG3991" s="16">
        <f t="shared" si="867"/>
        <v>0</v>
      </c>
      <c r="CH3991" s="16">
        <f t="shared" si="874"/>
        <v>0</v>
      </c>
      <c r="CJ3991" s="16" t="e">
        <f t="shared" si="868"/>
        <v>#N/A</v>
      </c>
      <c r="CK3991" s="16" t="str">
        <f t="shared" si="869"/>
        <v/>
      </c>
    </row>
    <row r="3992" spans="73:89" ht="12" customHeight="1">
      <c r="BU3992" s="16">
        <f t="shared" si="870"/>
        <v>0</v>
      </c>
      <c r="BV3992" s="16">
        <f>IF($BY$12=1,NORMDIST(BY3992,$Y$6,$Y$8,TRUE),IF($BY$12=2,IF(BY3992&lt;=$BX$31,0,IF(BY3992&gt;=$BX$32,1,(BY3992-$BX$31)*$BX$33)),SUM($BU$42:BU3992)/$BV$40))</f>
        <v>1</v>
      </c>
      <c r="BW3992" s="16">
        <f t="shared" si="872"/>
        <v>1.9124992790344787E-64</v>
      </c>
      <c r="BY3992" s="16">
        <f t="shared" si="873"/>
        <v>395.00000000002132</v>
      </c>
      <c r="BZ3992" s="16">
        <f t="shared" si="864"/>
        <v>4.8417703266693054E-67</v>
      </c>
      <c r="CA3992" s="16">
        <f t="shared" si="871"/>
        <v>-999</v>
      </c>
      <c r="CE3992" s="16" t="e">
        <f t="shared" si="865"/>
        <v>#N/A</v>
      </c>
      <c r="CF3992" s="16">
        <f t="shared" si="866"/>
        <v>99</v>
      </c>
      <c r="CG3992" s="16">
        <f t="shared" si="867"/>
        <v>0</v>
      </c>
      <c r="CH3992" s="16">
        <f t="shared" si="874"/>
        <v>0</v>
      </c>
      <c r="CJ3992" s="16" t="e">
        <f t="shared" si="868"/>
        <v>#N/A</v>
      </c>
      <c r="CK3992" s="16" t="str">
        <f t="shared" si="869"/>
        <v/>
      </c>
    </row>
    <row r="3993" spans="73:89" ht="12" customHeight="1">
      <c r="BU3993" s="16">
        <f t="shared" si="870"/>
        <v>0</v>
      </c>
      <c r="BV3993" s="16">
        <f>IF($BY$12=1,NORMDIST(BY3993,$Y$6,$Y$8,TRUE),IF($BY$12=2,IF(BY3993&lt;=$BX$31,0,IF(BY3993&gt;=$BX$32,1,(BY3993-$BX$31)*$BX$33)),SUM($BU$42:BU3993)/$BV$40))</f>
        <v>1</v>
      </c>
      <c r="BW3993" s="16">
        <f t="shared" si="872"/>
        <v>1.7548818667503171E-64</v>
      </c>
      <c r="BY3993" s="16">
        <f t="shared" si="873"/>
        <v>395.10000000002134</v>
      </c>
      <c r="BZ3993" s="16">
        <f t="shared" si="864"/>
        <v>4.4416144438122556E-67</v>
      </c>
      <c r="CA3993" s="16">
        <f t="shared" si="871"/>
        <v>-999</v>
      </c>
      <c r="CE3993" s="16" t="e">
        <f t="shared" si="865"/>
        <v>#N/A</v>
      </c>
      <c r="CF3993" s="16">
        <f t="shared" si="866"/>
        <v>99</v>
      </c>
      <c r="CG3993" s="16">
        <f t="shared" si="867"/>
        <v>0</v>
      </c>
      <c r="CH3993" s="16">
        <f t="shared" si="874"/>
        <v>0</v>
      </c>
      <c r="CJ3993" s="16" t="e">
        <f t="shared" si="868"/>
        <v>#N/A</v>
      </c>
      <c r="CK3993" s="16" t="str">
        <f t="shared" si="869"/>
        <v/>
      </c>
    </row>
    <row r="3994" spans="73:89" ht="12" customHeight="1">
      <c r="BU3994" s="16">
        <f t="shared" si="870"/>
        <v>0</v>
      </c>
      <c r="BV3994" s="16">
        <f>IF($BY$12=1,NORMDIST(BY3994,$Y$6,$Y$8,TRUE),IF($BY$12=2,IF(BY3994&lt;=$BX$31,0,IF(BY3994&gt;=$BX$32,1,(BY3994-$BX$31)*$BX$33)),SUM($BU$42:BU3994)/$BV$40))</f>
        <v>1</v>
      </c>
      <c r="BW3994" s="16">
        <f t="shared" si="872"/>
        <v>1.6102140342935837E-64</v>
      </c>
      <c r="BY3994" s="16">
        <f t="shared" si="873"/>
        <v>395.20000000002136</v>
      </c>
      <c r="BZ3994" s="16">
        <f t="shared" si="864"/>
        <v>4.0744282244268639E-67</v>
      </c>
      <c r="CA3994" s="16">
        <f t="shared" si="871"/>
        <v>-999</v>
      </c>
      <c r="CE3994" s="16" t="e">
        <f t="shared" si="865"/>
        <v>#N/A</v>
      </c>
      <c r="CF3994" s="16">
        <f t="shared" si="866"/>
        <v>99</v>
      </c>
      <c r="CG3994" s="16">
        <f t="shared" si="867"/>
        <v>0</v>
      </c>
      <c r="CH3994" s="16">
        <f t="shared" si="874"/>
        <v>0</v>
      </c>
      <c r="CJ3994" s="16" t="e">
        <f t="shared" si="868"/>
        <v>#N/A</v>
      </c>
      <c r="CK3994" s="16" t="str">
        <f t="shared" si="869"/>
        <v/>
      </c>
    </row>
    <row r="3995" spans="73:89" ht="12" customHeight="1">
      <c r="BU3995" s="16">
        <f t="shared" si="870"/>
        <v>0</v>
      </c>
      <c r="BV3995" s="16">
        <f>IF($BY$12=1,NORMDIST(BY3995,$Y$6,$Y$8,TRUE),IF($BY$12=2,IF(BY3995&lt;=$BX$31,0,IF(BY3995&gt;=$BX$32,1,(BY3995-$BX$31)*$BX$33)),SUM($BU$42:BU3995)/$BV$40))</f>
        <v>1</v>
      </c>
      <c r="BW3995" s="16">
        <f t="shared" si="872"/>
        <v>1.4774352054313119E-64</v>
      </c>
      <c r="BY3995" s="16">
        <f t="shared" si="873"/>
        <v>395.30000000002138</v>
      </c>
      <c r="BZ3995" s="16">
        <f t="shared" si="864"/>
        <v>3.7375036818396966E-67</v>
      </c>
      <c r="CA3995" s="16">
        <f t="shared" si="871"/>
        <v>-999</v>
      </c>
      <c r="CE3995" s="16" t="e">
        <f t="shared" si="865"/>
        <v>#N/A</v>
      </c>
      <c r="CF3995" s="16">
        <f t="shared" si="866"/>
        <v>99</v>
      </c>
      <c r="CG3995" s="16">
        <f t="shared" si="867"/>
        <v>0</v>
      </c>
      <c r="CH3995" s="16">
        <f t="shared" si="874"/>
        <v>0</v>
      </c>
      <c r="CJ3995" s="16" t="e">
        <f t="shared" si="868"/>
        <v>#N/A</v>
      </c>
      <c r="CK3995" s="16" t="str">
        <f t="shared" si="869"/>
        <v/>
      </c>
    </row>
    <row r="3996" spans="73:89" ht="12" customHeight="1">
      <c r="BU3996" s="16">
        <f t="shared" si="870"/>
        <v>0</v>
      </c>
      <c r="BV3996" s="16">
        <f>IF($BY$12=1,NORMDIST(BY3996,$Y$6,$Y$8,TRUE),IF($BY$12=2,IF(BY3996&lt;=$BX$31,0,IF(BY3996&gt;=$BX$32,1,(BY3996-$BX$31)*$BX$33)),SUM($BU$42:BU3996)/$BV$40))</f>
        <v>1</v>
      </c>
      <c r="BW3996" s="16">
        <f t="shared" si="872"/>
        <v>1.3555713901301929E-64</v>
      </c>
      <c r="BY3996" s="16">
        <f t="shared" si="873"/>
        <v>395.40000000002141</v>
      </c>
      <c r="BZ3996" s="16">
        <f t="shared" si="864"/>
        <v>3.4283545526811317E-67</v>
      </c>
      <c r="CA3996" s="16">
        <f t="shared" si="871"/>
        <v>-999</v>
      </c>
      <c r="CE3996" s="16" t="e">
        <f t="shared" si="865"/>
        <v>#N/A</v>
      </c>
      <c r="CF3996" s="16">
        <f t="shared" si="866"/>
        <v>99</v>
      </c>
      <c r="CG3996" s="16">
        <f t="shared" si="867"/>
        <v>0</v>
      </c>
      <c r="CH3996" s="16">
        <f t="shared" si="874"/>
        <v>0</v>
      </c>
      <c r="CJ3996" s="16" t="e">
        <f t="shared" si="868"/>
        <v>#N/A</v>
      </c>
      <c r="CK3996" s="16" t="str">
        <f t="shared" si="869"/>
        <v/>
      </c>
    </row>
    <row r="3997" spans="73:89" ht="12" customHeight="1">
      <c r="BU3997" s="16">
        <f t="shared" si="870"/>
        <v>0</v>
      </c>
      <c r="BV3997" s="16">
        <f>IF($BY$12=1,NORMDIST(BY3997,$Y$6,$Y$8,TRUE),IF($BY$12=2,IF(BY3997&lt;=$BX$31,0,IF(BY3997&gt;=$BX$32,1,(BY3997-$BX$31)*$BX$33)),SUM($BU$42:BU3997)/$BV$40))</f>
        <v>1</v>
      </c>
      <c r="BW3997" s="16">
        <f t="shared" si="872"/>
        <v>1.2437281382496976E-64</v>
      </c>
      <c r="BY3997" s="16">
        <f t="shared" si="873"/>
        <v>395.50000000002143</v>
      </c>
      <c r="BZ3997" s="16">
        <f t="shared" si="864"/>
        <v>3.1446982003783316E-67</v>
      </c>
      <c r="CA3997" s="16">
        <f t="shared" si="871"/>
        <v>-999</v>
      </c>
      <c r="CE3997" s="16" t="e">
        <f t="shared" si="865"/>
        <v>#N/A</v>
      </c>
      <c r="CF3997" s="16">
        <f t="shared" si="866"/>
        <v>99</v>
      </c>
      <c r="CG3997" s="16">
        <f t="shared" si="867"/>
        <v>0</v>
      </c>
      <c r="CH3997" s="16">
        <f t="shared" si="874"/>
        <v>0</v>
      </c>
      <c r="CJ3997" s="16" t="e">
        <f t="shared" si="868"/>
        <v>#N/A</v>
      </c>
      <c r="CK3997" s="16" t="str">
        <f t="shared" si="869"/>
        <v/>
      </c>
    </row>
    <row r="3998" spans="73:89" ht="12" customHeight="1">
      <c r="BU3998" s="16">
        <f t="shared" si="870"/>
        <v>0</v>
      </c>
      <c r="BV3998" s="16">
        <f>IF($BY$12=1,NORMDIST(BY3998,$Y$6,$Y$8,TRUE),IF($BY$12=2,IF(BY3998&lt;=$BX$31,0,IF(BY3998&gt;=$BX$32,1,(BY3998-$BX$31)*$BX$33)),SUM($BU$42:BU3998)/$BV$40))</f>
        <v>1</v>
      </c>
      <c r="BW3998" s="16">
        <f t="shared" si="872"/>
        <v>1.1410840648001982E-64</v>
      </c>
      <c r="BY3998" s="16">
        <f t="shared" si="873"/>
        <v>395.60000000002145</v>
      </c>
      <c r="BZ3998" s="16">
        <f t="shared" si="864"/>
        <v>2.8844389909002433E-67</v>
      </c>
      <c r="CA3998" s="16">
        <f t="shared" si="871"/>
        <v>-999</v>
      </c>
      <c r="CE3998" s="16" t="e">
        <f t="shared" si="865"/>
        <v>#N/A</v>
      </c>
      <c r="CF3998" s="16">
        <f t="shared" si="866"/>
        <v>99</v>
      </c>
      <c r="CG3998" s="16">
        <f t="shared" si="867"/>
        <v>0</v>
      </c>
      <c r="CH3998" s="16">
        <f t="shared" si="874"/>
        <v>0</v>
      </c>
      <c r="CJ3998" s="16" t="e">
        <f t="shared" si="868"/>
        <v>#N/A</v>
      </c>
      <c r="CK3998" s="16" t="str">
        <f t="shared" si="869"/>
        <v/>
      </c>
    </row>
    <row r="3999" spans="73:89" ht="12" customHeight="1">
      <c r="BU3999" s="16">
        <f t="shared" si="870"/>
        <v>0</v>
      </c>
      <c r="BV3999" s="16">
        <f>IF($BY$12=1,NORMDIST(BY3999,$Y$6,$Y$8,TRUE),IF($BY$12=2,IF(BY3999&lt;=$BX$31,0,IF(BY3999&gt;=$BX$32,1,(BY3999-$BX$31)*$BX$33)),SUM($BU$42:BU3999)/$BV$40))</f>
        <v>1</v>
      </c>
      <c r="BW3999" s="16">
        <f t="shared" si="872"/>
        <v>1.0468849005549832E-64</v>
      </c>
      <c r="BY3999" s="16">
        <f t="shared" si="873"/>
        <v>395.70000000002148</v>
      </c>
      <c r="BZ3999" s="16">
        <f t="shared" si="864"/>
        <v>2.6456530213670111E-67</v>
      </c>
      <c r="CA3999" s="16">
        <f t="shared" si="871"/>
        <v>-999</v>
      </c>
      <c r="CE3999" s="16" t="e">
        <f t="shared" si="865"/>
        <v>#N/A</v>
      </c>
      <c r="CF3999" s="16">
        <f t="shared" si="866"/>
        <v>99</v>
      </c>
      <c r="CG3999" s="16">
        <f t="shared" si="867"/>
        <v>0</v>
      </c>
      <c r="CH3999" s="16">
        <f t="shared" si="874"/>
        <v>0</v>
      </c>
      <c r="CJ3999" s="16" t="e">
        <f t="shared" si="868"/>
        <v>#N/A</v>
      </c>
      <c r="CK3999" s="16" t="str">
        <f t="shared" si="869"/>
        <v/>
      </c>
    </row>
    <row r="4000" spans="73:89" ht="12" customHeight="1">
      <c r="BU4000" s="16">
        <f t="shared" si="870"/>
        <v>0</v>
      </c>
      <c r="BV4000" s="16">
        <f>IF($BY$12=1,NORMDIST(BY4000,$Y$6,$Y$8,TRUE),IF($BY$12=2,IF(BY4000&lt;=$BX$31,0,IF(BY4000&gt;=$BX$32,1,(BY4000-$BX$31)*$BX$33)),SUM($BU$42:BU4000)/$BV$40))</f>
        <v>1</v>
      </c>
      <c r="BW4000" s="16">
        <f t="shared" si="872"/>
        <v>9.6043802552924428E-65</v>
      </c>
      <c r="BY4000" s="16">
        <f t="shared" si="873"/>
        <v>395.8000000000215</v>
      </c>
      <c r="BZ4000" s="16">
        <f t="shared" si="864"/>
        <v>2.4265740917867411E-67</v>
      </c>
      <c r="CA4000" s="16">
        <f t="shared" si="871"/>
        <v>-999</v>
      </c>
      <c r="CE4000" s="16" t="e">
        <f t="shared" si="865"/>
        <v>#N/A</v>
      </c>
      <c r="CF4000" s="16">
        <f t="shared" si="866"/>
        <v>99</v>
      </c>
      <c r="CG4000" s="16">
        <f t="shared" si="867"/>
        <v>0</v>
      </c>
      <c r="CH4000" s="16">
        <f t="shared" si="874"/>
        <v>0</v>
      </c>
      <c r="CJ4000" s="16" t="e">
        <f t="shared" si="868"/>
        <v>#N/A</v>
      </c>
      <c r="CK4000" s="16" t="str">
        <f t="shared" si="869"/>
        <v/>
      </c>
    </row>
    <row r="4001" spans="73:89" ht="12" customHeight="1">
      <c r="BU4001" s="16">
        <f t="shared" si="870"/>
        <v>0</v>
      </c>
      <c r="BV4001" s="16">
        <f>IF($BY$12=1,NORMDIST(BY4001,$Y$6,$Y$8,TRUE),IF($BY$12=2,IF(BY4001&lt;=$BX$31,0,IF(BY4001&gt;=$BX$32,1,(BY4001-$BX$31)*$BX$33)),SUM($BU$42:BU4001)/$BV$40))</f>
        <v>1</v>
      </c>
      <c r="BW4001" s="16">
        <f t="shared" si="872"/>
        <v>8.8110744626330127E-65</v>
      </c>
      <c r="BY4001" s="16">
        <f t="shared" si="873"/>
        <v>395.90000000002152</v>
      </c>
      <c r="BZ4001" s="16">
        <f t="shared" si="864"/>
        <v>2.2255808190534309E-67</v>
      </c>
      <c r="CA4001" s="16">
        <f t="shared" si="871"/>
        <v>-999</v>
      </c>
      <c r="CE4001" s="16" t="e">
        <f t="shared" si="865"/>
        <v>#N/A</v>
      </c>
      <c r="CF4001" s="16">
        <f t="shared" si="866"/>
        <v>99</v>
      </c>
      <c r="CG4001" s="16">
        <f t="shared" si="867"/>
        <v>0</v>
      </c>
      <c r="CH4001" s="16">
        <f t="shared" si="874"/>
        <v>0</v>
      </c>
      <c r="CJ4001" s="16" t="e">
        <f t="shared" si="868"/>
        <v>#N/A</v>
      </c>
      <c r="CK4001" s="16" t="str">
        <f t="shared" si="869"/>
        <v/>
      </c>
    </row>
    <row r="4002" spans="73:89" ht="12" customHeight="1">
      <c r="BU4002" s="16">
        <f t="shared" si="870"/>
        <v>0</v>
      </c>
      <c r="BV4002" s="16">
        <f>IF($BY$12=1,NORMDIST(BY4002,$Y$6,$Y$8,TRUE),IF($BY$12=2,IF(BY4002&lt;=$BX$31,0,IF(BY4002&gt;=$BX$32,1,(BY4002-$BX$31)*$BX$33)),SUM($BU$42:BU4002)/$BV$40))</f>
        <v>1</v>
      </c>
      <c r="BW4002" s="16">
        <f t="shared" si="872"/>
        <v>8.0830918099715543E-65</v>
      </c>
      <c r="BY4002" s="16">
        <f t="shared" si="873"/>
        <v>396.00000000002154</v>
      </c>
      <c r="BZ4002" s="16">
        <f t="shared" si="864"/>
        <v>2.041184800497756E-67</v>
      </c>
      <c r="CA4002" s="16">
        <f t="shared" si="871"/>
        <v>-999</v>
      </c>
      <c r="CE4002" s="16" t="e">
        <f t="shared" si="865"/>
        <v>#N/A</v>
      </c>
      <c r="CF4002" s="16">
        <f t="shared" si="866"/>
        <v>99</v>
      </c>
      <c r="CG4002" s="16">
        <f t="shared" si="867"/>
        <v>0</v>
      </c>
      <c r="CH4002" s="16">
        <f t="shared" si="874"/>
        <v>0</v>
      </c>
      <c r="CJ4002" s="16" t="e">
        <f t="shared" si="868"/>
        <v>#N/A</v>
      </c>
      <c r="CK4002" s="16" t="str">
        <f t="shared" si="869"/>
        <v/>
      </c>
    </row>
    <row r="4003" spans="73:89" ht="12" customHeight="1">
      <c r="BU4003" s="16">
        <f t="shared" si="870"/>
        <v>0</v>
      </c>
      <c r="BV4003" s="16">
        <f>IF($BY$12=1,NORMDIST(BY4003,$Y$6,$Y$8,TRUE),IF($BY$12=2,IF(BY4003&lt;=$BX$31,0,IF(BY4003&gt;=$BX$32,1,(BY4003-$BX$31)*$BX$33)),SUM($BU$42:BU4003)/$BV$40))</f>
        <v>1</v>
      </c>
      <c r="BW4003" s="16">
        <f t="shared" si="872"/>
        <v>7.4150701972006325E-65</v>
      </c>
      <c r="BY4003" s="16">
        <f t="shared" si="873"/>
        <v>396.10000000002157</v>
      </c>
      <c r="BZ4003" s="16">
        <f t="shared" si="864"/>
        <v>1.8720197417824359E-67</v>
      </c>
      <c r="CA4003" s="16">
        <f t="shared" si="871"/>
        <v>-999</v>
      </c>
      <c r="CE4003" s="16" t="e">
        <f t="shared" si="865"/>
        <v>#N/A</v>
      </c>
      <c r="CF4003" s="16">
        <f t="shared" si="866"/>
        <v>99</v>
      </c>
      <c r="CG4003" s="16">
        <f t="shared" si="867"/>
        <v>0</v>
      </c>
      <c r="CH4003" s="16">
        <f t="shared" si="874"/>
        <v>0</v>
      </c>
      <c r="CJ4003" s="16" t="e">
        <f t="shared" si="868"/>
        <v>#N/A</v>
      </c>
      <c r="CK4003" s="16" t="str">
        <f t="shared" si="869"/>
        <v/>
      </c>
    </row>
    <row r="4004" spans="73:89" ht="12" customHeight="1">
      <c r="BU4004" s="16">
        <f t="shared" si="870"/>
        <v>0</v>
      </c>
      <c r="BV4004" s="16">
        <f>IF($BY$12=1,NORMDIST(BY4004,$Y$6,$Y$8,TRUE),IF($BY$12=2,IF(BY4004&lt;=$BX$31,0,IF(BY4004&gt;=$BX$32,1,(BY4004-$BX$31)*$BX$33)),SUM($BU$42:BU4004)/$BV$40))</f>
        <v>1</v>
      </c>
      <c r="BW4004" s="16">
        <f t="shared" si="872"/>
        <v>6.8020862874212437E-65</v>
      </c>
      <c r="BY4004" s="16">
        <f t="shared" si="873"/>
        <v>396.20000000002159</v>
      </c>
      <c r="BZ4004" s="16">
        <f t="shared" si="864"/>
        <v>1.716831470828085E-67</v>
      </c>
      <c r="CA4004" s="16">
        <f t="shared" si="871"/>
        <v>-999</v>
      </c>
      <c r="CE4004" s="16" t="e">
        <f t="shared" si="865"/>
        <v>#N/A</v>
      </c>
      <c r="CF4004" s="16">
        <f t="shared" si="866"/>
        <v>99</v>
      </c>
      <c r="CG4004" s="16">
        <f t="shared" si="867"/>
        <v>0</v>
      </c>
      <c r="CH4004" s="16">
        <f t="shared" si="874"/>
        <v>0</v>
      </c>
      <c r="CJ4004" s="16" t="e">
        <f t="shared" si="868"/>
        <v>#N/A</v>
      </c>
      <c r="CK4004" s="16" t="str">
        <f t="shared" si="869"/>
        <v/>
      </c>
    </row>
    <row r="4005" spans="73:89" ht="12" customHeight="1">
      <c r="BU4005" s="16">
        <f t="shared" si="870"/>
        <v>0</v>
      </c>
      <c r="BV4005" s="16">
        <f>IF($BY$12=1,NORMDIST(BY4005,$Y$6,$Y$8,TRUE),IF($BY$12=2,IF(BY4005&lt;=$BX$31,0,IF(BY4005&gt;=$BX$32,1,(BY4005-$BX$31)*$BX$33)),SUM($BU$42:BU4005)/$BV$40))</f>
        <v>1</v>
      </c>
      <c r="BW4005" s="16">
        <f t="shared" si="872"/>
        <v>6.23961971884847E-65</v>
      </c>
      <c r="BY4005" s="16">
        <f t="shared" si="873"/>
        <v>396.30000000002161</v>
      </c>
      <c r="BZ4005" s="16">
        <f t="shared" si="864"/>
        <v>1.5744687657956422E-67</v>
      </c>
      <c r="CA4005" s="16">
        <f t="shared" si="871"/>
        <v>-999</v>
      </c>
      <c r="CE4005" s="16" t="e">
        <f t="shared" si="865"/>
        <v>#N/A</v>
      </c>
      <c r="CF4005" s="16">
        <f t="shared" si="866"/>
        <v>99</v>
      </c>
      <c r="CG4005" s="16">
        <f t="shared" si="867"/>
        <v>0</v>
      </c>
      <c r="CH4005" s="16">
        <f t="shared" si="874"/>
        <v>0</v>
      </c>
      <c r="CJ4005" s="16" t="e">
        <f t="shared" si="868"/>
        <v>#N/A</v>
      </c>
      <c r="CK4005" s="16" t="str">
        <f t="shared" si="869"/>
        <v/>
      </c>
    </row>
    <row r="4006" spans="73:89" ht="12" customHeight="1">
      <c r="BU4006" s="16">
        <f t="shared" si="870"/>
        <v>0</v>
      </c>
      <c r="BV4006" s="16">
        <f>IF($BY$12=1,NORMDIST(BY4006,$Y$6,$Y$8,TRUE),IF($BY$12=2,IF(BY4006&lt;=$BX$31,0,IF(BY4006&gt;=$BX$32,1,(BY4006-$BX$31)*$BX$33)),SUM($BU$42:BU4006)/$BV$40))</f>
        <v>1</v>
      </c>
      <c r="BW4006" s="16">
        <f t="shared" si="872"/>
        <v>5.7235202263985213E-65</v>
      </c>
      <c r="BY4006" s="16">
        <f t="shared" si="873"/>
        <v>396.40000000002163</v>
      </c>
      <c r="BZ4006" s="16">
        <f t="shared" si="864"/>
        <v>1.4438749309783574E-67</v>
      </c>
      <c r="CA4006" s="16">
        <f t="shared" si="871"/>
        <v>-999</v>
      </c>
      <c r="CE4006" s="16" t="e">
        <f t="shared" si="865"/>
        <v>#N/A</v>
      </c>
      <c r="CF4006" s="16">
        <f t="shared" si="866"/>
        <v>99</v>
      </c>
      <c r="CG4006" s="16">
        <f t="shared" si="867"/>
        <v>0</v>
      </c>
      <c r="CH4006" s="16">
        <f t="shared" si="874"/>
        <v>0</v>
      </c>
      <c r="CJ4006" s="16" t="e">
        <f t="shared" si="868"/>
        <v>#N/A</v>
      </c>
      <c r="CK4006" s="16" t="str">
        <f t="shared" si="869"/>
        <v/>
      </c>
    </row>
    <row r="4007" spans="73:89" ht="12" customHeight="1">
      <c r="BU4007" s="16">
        <f t="shared" si="870"/>
        <v>0</v>
      </c>
      <c r="BV4007" s="16">
        <f>IF($BY$12=1,NORMDIST(BY4007,$Y$6,$Y$8,TRUE),IF($BY$12=2,IF(BY4007&lt;=$BX$31,0,IF(BY4007&gt;=$BX$32,1,(BY4007-$BX$31)*$BX$33)),SUM($BU$42:BU4007)/$BV$40))</f>
        <v>1</v>
      </c>
      <c r="BW4007" s="16">
        <f t="shared" si="872"/>
        <v>5.2499774371601235E-65</v>
      </c>
      <c r="BY4007" s="16">
        <f t="shared" si="873"/>
        <v>396.50000000002166</v>
      </c>
      <c r="BZ4007" s="16">
        <f t="shared" si="864"/>
        <v>1.3240800598133259E-67</v>
      </c>
      <c r="CA4007" s="16">
        <f t="shared" si="871"/>
        <v>-999</v>
      </c>
      <c r="CE4007" s="16" t="e">
        <f t="shared" si="865"/>
        <v>#N/A</v>
      </c>
      <c r="CF4007" s="16">
        <f t="shared" si="866"/>
        <v>99</v>
      </c>
      <c r="CG4007" s="16">
        <f t="shared" si="867"/>
        <v>0</v>
      </c>
      <c r="CH4007" s="16">
        <f t="shared" si="874"/>
        <v>0</v>
      </c>
      <c r="CJ4007" s="16" t="e">
        <f t="shared" si="868"/>
        <v>#N/A</v>
      </c>
      <c r="CK4007" s="16" t="str">
        <f t="shared" si="869"/>
        <v/>
      </c>
    </row>
    <row r="4008" spans="73:89" ht="12" customHeight="1">
      <c r="BU4008" s="16">
        <f t="shared" si="870"/>
        <v>0</v>
      </c>
      <c r="BV4008" s="16">
        <f>IF($BY$12=1,NORMDIST(BY4008,$Y$6,$Y$8,TRUE),IF($BY$12=2,IF(BY4008&lt;=$BX$31,0,IF(BY4008&gt;=$BX$32,1,(BY4008-$BX$31)*$BX$33)),SUM($BU$42:BU4008)/$BV$40))</f>
        <v>1</v>
      </c>
      <c r="BW4008" s="16">
        <f t="shared" si="872"/>
        <v>4.8154931230013965E-65</v>
      </c>
      <c r="BY4008" s="16">
        <f t="shared" si="873"/>
        <v>396.60000000002168</v>
      </c>
      <c r="BZ4008" s="16">
        <f t="shared" si="864"/>
        <v>1.2141939291480416E-67</v>
      </c>
      <c r="CA4008" s="16">
        <f t="shared" si="871"/>
        <v>-999</v>
      </c>
      <c r="CE4008" s="16" t="e">
        <f t="shared" si="865"/>
        <v>#N/A</v>
      </c>
      <c r="CF4008" s="16">
        <f t="shared" si="866"/>
        <v>99</v>
      </c>
      <c r="CG4008" s="16">
        <f t="shared" si="867"/>
        <v>0</v>
      </c>
      <c r="CH4008" s="16">
        <f t="shared" si="874"/>
        <v>0</v>
      </c>
      <c r="CJ4008" s="16" t="e">
        <f t="shared" si="868"/>
        <v>#N/A</v>
      </c>
      <c r="CK4008" s="16" t="str">
        <f t="shared" si="869"/>
        <v/>
      </c>
    </row>
    <row r="4009" spans="73:89" ht="12" customHeight="1">
      <c r="BU4009" s="16">
        <f t="shared" si="870"/>
        <v>0</v>
      </c>
      <c r="BV4009" s="16">
        <f>IF($BY$12=1,NORMDIST(BY4009,$Y$6,$Y$8,TRUE),IF($BY$12=2,IF(BY4009&lt;=$BX$31,0,IF(BY4009&gt;=$BX$32,1,(BY4009-$BX$31)*$BX$33)),SUM($BU$42:BU4009)/$BV$40))</f>
        <v>1</v>
      </c>
      <c r="BW4009" s="16">
        <f t="shared" si="872"/>
        <v>4.4168557110756942E-65</v>
      </c>
      <c r="BY4009" s="16">
        <f t="shared" si="873"/>
        <v>396.7000000000217</v>
      </c>
      <c r="BZ4009" s="16">
        <f t="shared" si="864"/>
        <v>1.1133994734246161E-67</v>
      </c>
      <c r="CA4009" s="16">
        <f t="shared" si="871"/>
        <v>-999</v>
      </c>
      <c r="CE4009" s="16" t="e">
        <f t="shared" si="865"/>
        <v>#N/A</v>
      </c>
      <c r="CF4009" s="16">
        <f t="shared" si="866"/>
        <v>99</v>
      </c>
      <c r="CG4009" s="16">
        <f t="shared" si="867"/>
        <v>0</v>
      </c>
      <c r="CH4009" s="16">
        <f t="shared" si="874"/>
        <v>0</v>
      </c>
      <c r="CJ4009" s="16" t="e">
        <f t="shared" si="868"/>
        <v>#N/A</v>
      </c>
      <c r="CK4009" s="16" t="str">
        <f t="shared" si="869"/>
        <v/>
      </c>
    </row>
    <row r="4010" spans="73:89" ht="12" customHeight="1">
      <c r="BU4010" s="16">
        <f t="shared" si="870"/>
        <v>0</v>
      </c>
      <c r="BV4010" s="16">
        <f>IF($BY$12=1,NORMDIST(BY4010,$Y$6,$Y$8,TRUE),IF($BY$12=2,IF(BY4010&lt;=$BX$31,0,IF(BY4010&gt;=$BX$32,1,(BY4010-$BX$31)*$BX$33)),SUM($BU$42:BU4010)/$BV$40))</f>
        <v>1</v>
      </c>
      <c r="BW4010" s="16">
        <f t="shared" si="872"/>
        <v>4.0511168690888575E-65</v>
      </c>
      <c r="BY4010" s="16">
        <f t="shared" si="873"/>
        <v>396.80000000002173</v>
      </c>
      <c r="BZ4010" s="16">
        <f t="shared" ref="BZ4010:BZ4042" si="875">IF($BZ$5,IF($BY$12=1,NORMDIST(BY4010,$Y$6,$Y$8,FALSE),IF($BY$12=2,IF(AND(BY4010&gt;=$BX$31,BY4010&lt;=$BX$32),$BX$33,0),IF(BY4010&lt;=$BX$13,0,NORMDIST(LN((BY4010-$BX$13)/$BX$12),0,$BW$8,FALSE)/((BY4010-$BX$13)/$BX$12)))),-999)</f>
        <v>1.0209467916049988E-67</v>
      </c>
      <c r="CA4010" s="16">
        <f t="shared" si="871"/>
        <v>-999</v>
      </c>
      <c r="CE4010" s="16" t="e">
        <f t="shared" ref="CE4010:CE4042" si="876">IF(AND($CB$7,$CD$2,$CD$1),26+$P$23/2-CC4010*$P$23,NA())</f>
        <v>#N/A</v>
      </c>
      <c r="CF4010" s="16">
        <f t="shared" ref="CF4010:CF4042" si="877">IF(ISNA(CJ4010),99,CJ4010)</f>
        <v>99</v>
      </c>
      <c r="CG4010" s="16">
        <f t="shared" ref="CG4010:CG4042" si="878">IF(ISNA(CJ4010),0,CJ4010)</f>
        <v>0</v>
      </c>
      <c r="CH4010" s="16">
        <f t="shared" si="874"/>
        <v>0</v>
      </c>
      <c r="CJ4010" s="16" t="e">
        <f t="shared" ref="CJ4010:CJ4042" si="879">IF(CH4010=1,CE4010,NA())</f>
        <v>#N/A</v>
      </c>
      <c r="CK4010" s="16" t="str">
        <f t="shared" ref="CK4010:CK4042" si="880">IF(CH4010=1,M3909,"")</f>
        <v/>
      </c>
    </row>
    <row r="4011" spans="73:89" ht="12" customHeight="1">
      <c r="BU4011" s="16">
        <f t="shared" ref="BU4011:BU4042" si="881">IF($BY$12&lt;3,0,IF(BY4011&lt;=$BX$13,0,NORMDIST(LN((BY4011-$BX$13)/$BX$12),0,$BW$8,FALSE)/((BY4011-$BX$13)/$BX$12)))</f>
        <v>0</v>
      </c>
      <c r="BV4011" s="16">
        <f>IF($BY$12=1,NORMDIST(BY4011,$Y$6,$Y$8,TRUE),IF($BY$12=2,IF(BY4011&lt;=$BX$31,0,IF(BY4011&gt;=$BX$32,1,(BY4011-$BX$31)*$BX$33)),SUM($BU$42:BU4011)/$BV$40))</f>
        <v>1</v>
      </c>
      <c r="BW4011" s="16">
        <f t="shared" si="872"/>
        <v>3.7155699969977561E-65</v>
      </c>
      <c r="BY4011" s="16">
        <f t="shared" si="873"/>
        <v>396.90000000002175</v>
      </c>
      <c r="BZ4011" s="16">
        <f t="shared" si="875"/>
        <v>9.3614764348640778E-68</v>
      </c>
      <c r="CA4011" s="16">
        <f t="shared" ref="CA4011:CA4042" si="882">IF(AND($CD$1,$CD$3),26-$CD$40*NORMDIST(BY4011,$Y$6,$Y$8/SQRT($T$18),FALSE),-999)</f>
        <v>-999</v>
      </c>
      <c r="CE4011" s="16" t="e">
        <f t="shared" si="876"/>
        <v>#N/A</v>
      </c>
      <c r="CF4011" s="16">
        <f t="shared" si="877"/>
        <v>99</v>
      </c>
      <c r="CG4011" s="16">
        <f t="shared" si="878"/>
        <v>0</v>
      </c>
      <c r="CH4011" s="16">
        <f t="shared" si="874"/>
        <v>0</v>
      </c>
      <c r="CJ4011" s="16" t="e">
        <f t="shared" si="879"/>
        <v>#N/A</v>
      </c>
      <c r="CK4011" s="16" t="str">
        <f t="shared" si="880"/>
        <v/>
      </c>
    </row>
    <row r="4012" spans="73:89" ht="12" customHeight="1">
      <c r="BU4012" s="16">
        <f t="shared" si="881"/>
        <v>0</v>
      </c>
      <c r="BV4012" s="16">
        <f>IF($BY$12=1,NORMDIST(BY4012,$Y$6,$Y$8,TRUE),IF($BY$12=2,IF(BY4012&lt;=$BX$31,0,IF(BY4012&gt;=$BX$32,1,(BY4012-$BX$31)*$BX$33)),SUM($BU$42:BU4012)/$BV$40))</f>
        <v>1</v>
      </c>
      <c r="BW4012" s="16">
        <f t="shared" si="872"/>
        <v>3.4077304704242034E-65</v>
      </c>
      <c r="BY4012" s="16">
        <f t="shared" si="873"/>
        <v>397.00000000002177</v>
      </c>
      <c r="BZ4012" s="16">
        <f t="shared" si="875"/>
        <v>8.5837039557280013E-68</v>
      </c>
      <c r="CA4012" s="16">
        <f t="shared" si="882"/>
        <v>-999</v>
      </c>
      <c r="CE4012" s="16" t="e">
        <f t="shared" si="876"/>
        <v>#N/A</v>
      </c>
      <c r="CF4012" s="16">
        <f t="shared" si="877"/>
        <v>99</v>
      </c>
      <c r="CG4012" s="16">
        <f t="shared" si="878"/>
        <v>0</v>
      </c>
      <c r="CH4012" s="16">
        <f t="shared" si="874"/>
        <v>0</v>
      </c>
      <c r="CJ4012" s="16" t="e">
        <f t="shared" si="879"/>
        <v>#N/A</v>
      </c>
      <c r="CK4012" s="16" t="str">
        <f t="shared" si="880"/>
        <v/>
      </c>
    </row>
    <row r="4013" spans="73:89" ht="12" customHeight="1">
      <c r="BU4013" s="16">
        <f t="shared" si="881"/>
        <v>0</v>
      </c>
      <c r="BV4013" s="16">
        <f>IF($BY$12=1,NORMDIST(BY4013,$Y$6,$Y$8,TRUE),IF($BY$12=2,IF(BY4013&lt;=$BX$31,0,IF(BY4013&gt;=$BX$32,1,(BY4013-$BX$31)*$BX$33)),SUM($BU$42:BU4013)/$BV$40))</f>
        <v>1</v>
      </c>
      <c r="BW4013" s="16">
        <f t="shared" si="872"/>
        <v>3.1253174935781648E-65</v>
      </c>
      <c r="BY4013" s="16">
        <f t="shared" si="873"/>
        <v>397.10000000002179</v>
      </c>
      <c r="BZ4013" s="16">
        <f t="shared" si="875"/>
        <v>7.870353798987644E-68</v>
      </c>
      <c r="CA4013" s="16">
        <f t="shared" si="882"/>
        <v>-999</v>
      </c>
      <c r="CE4013" s="16" t="e">
        <f t="shared" si="876"/>
        <v>#N/A</v>
      </c>
      <c r="CF4013" s="16">
        <f t="shared" si="877"/>
        <v>99</v>
      </c>
      <c r="CG4013" s="16">
        <f t="shared" si="878"/>
        <v>0</v>
      </c>
      <c r="CH4013" s="16">
        <f t="shared" si="874"/>
        <v>0</v>
      </c>
      <c r="CJ4013" s="16" t="e">
        <f t="shared" si="879"/>
        <v>#N/A</v>
      </c>
      <c r="CK4013" s="16" t="str">
        <f t="shared" si="880"/>
        <v/>
      </c>
    </row>
    <row r="4014" spans="73:89" ht="12" customHeight="1">
      <c r="BU4014" s="16">
        <f t="shared" si="881"/>
        <v>0</v>
      </c>
      <c r="BV4014" s="16">
        <f>IF($BY$12=1,NORMDIST(BY4014,$Y$6,$Y$8,TRUE),IF($BY$12=2,IF(BY4014&lt;=$BX$31,0,IF(BY4014&gt;=$BX$32,1,(BY4014-$BX$31)*$BX$33)),SUM($BU$42:BU4014)/$BV$40))</f>
        <v>1</v>
      </c>
      <c r="BW4014" s="16">
        <f t="shared" si="872"/>
        <v>2.8662374309952844E-65</v>
      </c>
      <c r="BY4014" s="16">
        <f t="shared" si="873"/>
        <v>397.20000000002182</v>
      </c>
      <c r="BZ4014" s="16">
        <f t="shared" si="875"/>
        <v>7.2161063217399976E-68</v>
      </c>
      <c r="CA4014" s="16">
        <f t="shared" si="882"/>
        <v>-999</v>
      </c>
      <c r="CE4014" s="16" t="e">
        <f t="shared" si="876"/>
        <v>#N/A</v>
      </c>
      <c r="CF4014" s="16">
        <f t="shared" si="877"/>
        <v>99</v>
      </c>
      <c r="CG4014" s="16">
        <f t="shared" si="878"/>
        <v>0</v>
      </c>
      <c r="CH4014" s="16">
        <f t="shared" si="874"/>
        <v>0</v>
      </c>
      <c r="CJ4014" s="16" t="e">
        <f t="shared" si="879"/>
        <v>#N/A</v>
      </c>
      <c r="CK4014" s="16" t="str">
        <f t="shared" si="880"/>
        <v/>
      </c>
    </row>
    <row r="4015" spans="73:89" ht="12" customHeight="1">
      <c r="BU4015" s="16">
        <f t="shared" si="881"/>
        <v>0</v>
      </c>
      <c r="BV4015" s="16">
        <f>IF($BY$12=1,NORMDIST(BY4015,$Y$6,$Y$8,TRUE),IF($BY$12=2,IF(BY4015&lt;=$BX$31,0,IF(BY4015&gt;=$BX$32,1,(BY4015-$BX$31)*$BX$33)),SUM($BU$42:BU4015)/$BV$40))</f>
        <v>1</v>
      </c>
      <c r="BW4015" s="16">
        <f t="shared" si="872"/>
        <v>2.6285684979691207E-65</v>
      </c>
      <c r="BY4015" s="16">
        <f t="shared" si="873"/>
        <v>397.30000000002184</v>
      </c>
      <c r="BZ4015" s="16">
        <f t="shared" si="875"/>
        <v>6.6160797834608007E-68</v>
      </c>
      <c r="CA4015" s="16">
        <f t="shared" si="882"/>
        <v>-999</v>
      </c>
      <c r="CE4015" s="16" t="e">
        <f t="shared" si="876"/>
        <v>#N/A</v>
      </c>
      <c r="CF4015" s="16">
        <f t="shared" si="877"/>
        <v>99</v>
      </c>
      <c r="CG4015" s="16">
        <f t="shared" si="878"/>
        <v>0</v>
      </c>
      <c r="CH4015" s="16">
        <f t="shared" si="874"/>
        <v>0</v>
      </c>
      <c r="CJ4015" s="16" t="e">
        <f t="shared" si="879"/>
        <v>#N/A</v>
      </c>
      <c r="CK4015" s="16" t="str">
        <f t="shared" si="880"/>
        <v/>
      </c>
    </row>
    <row r="4016" spans="73:89" ht="12" customHeight="1">
      <c r="BU4016" s="16">
        <f t="shared" si="881"/>
        <v>0</v>
      </c>
      <c r="BV4016" s="16">
        <f>IF($BY$12=1,NORMDIST(BY4016,$Y$6,$Y$8,TRUE),IF($BY$12=2,IF(BY4016&lt;=$BX$31,0,IF(BY4016&gt;=$BX$32,1,(BY4016-$BX$31)*$BX$33)),SUM($BU$42:BU4016)/$BV$40))</f>
        <v>1</v>
      </c>
      <c r="BW4016" s="16">
        <f t="shared" si="872"/>
        <v>2.4105466992847055E-65</v>
      </c>
      <c r="BY4016" s="16">
        <f t="shared" si="873"/>
        <v>397.40000000002186</v>
      </c>
      <c r="BZ4016" s="16">
        <f t="shared" si="875"/>
        <v>6.065794411888709E-68</v>
      </c>
      <c r="CA4016" s="16">
        <f t="shared" si="882"/>
        <v>-999</v>
      </c>
      <c r="CE4016" s="16" t="e">
        <f t="shared" si="876"/>
        <v>#N/A</v>
      </c>
      <c r="CF4016" s="16">
        <f t="shared" si="877"/>
        <v>99</v>
      </c>
      <c r="CG4016" s="16">
        <f t="shared" si="878"/>
        <v>0</v>
      </c>
      <c r="CH4016" s="16">
        <f t="shared" si="874"/>
        <v>0</v>
      </c>
      <c r="CJ4016" s="16" t="e">
        <f t="shared" si="879"/>
        <v>#N/A</v>
      </c>
      <c r="CK4016" s="16" t="str">
        <f t="shared" si="880"/>
        <v/>
      </c>
    </row>
    <row r="4017" spans="73:89" ht="12" customHeight="1">
      <c r="BU4017" s="16">
        <f t="shared" si="881"/>
        <v>0</v>
      </c>
      <c r="BV4017" s="16">
        <f>IF($BY$12=1,NORMDIST(BY4017,$Y$6,$Y$8,TRUE),IF($BY$12=2,IF(BY4017&lt;=$BX$31,0,IF(BY4017&gt;=$BX$32,1,(BY4017-$BX$31)*$BX$33)),SUM($BU$42:BU4017)/$BV$40))</f>
        <v>1</v>
      </c>
      <c r="BW4017" s="16">
        <f t="shared" si="872"/>
        <v>2.210552914798863E-65</v>
      </c>
      <c r="BY4017" s="16">
        <f t="shared" si="873"/>
        <v>397.50000000002188</v>
      </c>
      <c r="BZ4017" s="16">
        <f t="shared" si="875"/>
        <v>5.5611394082987204E-68</v>
      </c>
      <c r="CA4017" s="16">
        <f t="shared" si="882"/>
        <v>-999</v>
      </c>
      <c r="CE4017" s="16" t="e">
        <f t="shared" si="876"/>
        <v>#N/A</v>
      </c>
      <c r="CF4017" s="16">
        <f t="shared" si="877"/>
        <v>99</v>
      </c>
      <c r="CG4017" s="16">
        <f t="shared" si="878"/>
        <v>0</v>
      </c>
      <c r="CH4017" s="16">
        <f t="shared" si="874"/>
        <v>0</v>
      </c>
      <c r="CJ4017" s="16" t="e">
        <f t="shared" si="879"/>
        <v>#N/A</v>
      </c>
      <c r="CK4017" s="16" t="str">
        <f t="shared" si="880"/>
        <v/>
      </c>
    </row>
    <row r="4018" spans="73:89" ht="12" customHeight="1">
      <c r="BU4018" s="16">
        <f t="shared" si="881"/>
        <v>0</v>
      </c>
      <c r="BV4018" s="16">
        <f>IF($BY$12=1,NORMDIST(BY4018,$Y$6,$Y$8,TRUE),IF($BY$12=2,IF(BY4018&lt;=$BX$31,0,IF(BY4018&gt;=$BX$32,1,(BY4018-$BX$31)*$BX$33)),SUM($BU$42:BU4018)/$BV$40))</f>
        <v>1</v>
      </c>
      <c r="BW4018" s="16">
        <f t="shared" si="872"/>
        <v>2.0271010386328857E-65</v>
      </c>
      <c r="BY4018" s="16">
        <f t="shared" si="873"/>
        <v>397.60000000002191</v>
      </c>
      <c r="BZ4018" s="16">
        <f t="shared" si="875"/>
        <v>5.0983426524969163E-68</v>
      </c>
      <c r="CA4018" s="16">
        <f t="shared" si="882"/>
        <v>-999</v>
      </c>
      <c r="CE4018" s="16" t="e">
        <f t="shared" si="876"/>
        <v>#N/A</v>
      </c>
      <c r="CF4018" s="16">
        <f t="shared" si="877"/>
        <v>99</v>
      </c>
      <c r="CG4018" s="16">
        <f t="shared" si="878"/>
        <v>0</v>
      </c>
      <c r="CH4018" s="16">
        <f t="shared" si="874"/>
        <v>0</v>
      </c>
      <c r="CJ4018" s="16" t="e">
        <f t="shared" si="879"/>
        <v>#N/A</v>
      </c>
      <c r="CK4018" s="16" t="str">
        <f t="shared" si="880"/>
        <v/>
      </c>
    </row>
    <row r="4019" spans="73:89" ht="12" customHeight="1">
      <c r="BU4019" s="16">
        <f t="shared" si="881"/>
        <v>0</v>
      </c>
      <c r="BV4019" s="16">
        <f>IF($BY$12=1,NORMDIST(BY4019,$Y$6,$Y$8,TRUE),IF($BY$12=2,IF(BY4019&lt;=$BX$31,0,IF(BY4019&gt;=$BX$32,1,(BY4019-$BX$31)*$BX$33)),SUM($BU$42:BU4019)/$BV$40))</f>
        <v>1</v>
      </c>
      <c r="BW4019" s="16">
        <f t="shared" si="872"/>
        <v>1.8588270862968788E-65</v>
      </c>
      <c r="BY4019" s="16">
        <f t="shared" si="873"/>
        <v>397.70000000002193</v>
      </c>
      <c r="BZ4019" s="16">
        <f t="shared" si="875"/>
        <v>4.6739428873441698E-68</v>
      </c>
      <c r="CA4019" s="16">
        <f t="shared" si="882"/>
        <v>-999</v>
      </c>
      <c r="CE4019" s="16" t="e">
        <f t="shared" si="876"/>
        <v>#N/A</v>
      </c>
      <c r="CF4019" s="16">
        <f t="shared" si="877"/>
        <v>99</v>
      </c>
      <c r="CG4019" s="16">
        <f t="shared" si="878"/>
        <v>0</v>
      </c>
      <c r="CH4019" s="16">
        <f t="shared" si="874"/>
        <v>0</v>
      </c>
      <c r="CJ4019" s="16" t="e">
        <f t="shared" si="879"/>
        <v>#N/A</v>
      </c>
      <c r="CK4019" s="16" t="str">
        <f t="shared" si="880"/>
        <v/>
      </c>
    </row>
    <row r="4020" spans="73:89" ht="12" customHeight="1">
      <c r="BU4020" s="16">
        <f t="shared" si="881"/>
        <v>0</v>
      </c>
      <c r="BV4020" s="16">
        <f>IF($BY$12=1,NORMDIST(BY4020,$Y$6,$Y$8,TRUE),IF($BY$12=2,IF(BY4020&lt;=$BX$31,0,IF(BY4020&gt;=$BX$32,1,(BY4020-$BX$31)*$BX$33)),SUM($BU$42:BU4020)/$BV$40))</f>
        <v>1</v>
      </c>
      <c r="BW4020" s="16">
        <f t="shared" si="872"/>
        <v>1.7044791910103121E-65</v>
      </c>
      <c r="BY4020" s="16">
        <f t="shared" si="873"/>
        <v>397.80000000002195</v>
      </c>
      <c r="BZ4020" s="16">
        <f t="shared" si="875"/>
        <v>4.2847641805183963E-68</v>
      </c>
      <c r="CA4020" s="16">
        <f t="shared" si="882"/>
        <v>-999</v>
      </c>
      <c r="CE4020" s="16" t="e">
        <f t="shared" si="876"/>
        <v>#N/A</v>
      </c>
      <c r="CF4020" s="16">
        <f t="shared" si="877"/>
        <v>99</v>
      </c>
      <c r="CG4020" s="16">
        <f t="shared" si="878"/>
        <v>0</v>
      </c>
      <c r="CH4020" s="16">
        <f t="shared" si="874"/>
        <v>0</v>
      </c>
      <c r="CJ4020" s="16" t="e">
        <f t="shared" si="879"/>
        <v>#N/A</v>
      </c>
      <c r="CK4020" s="16" t="str">
        <f t="shared" si="880"/>
        <v/>
      </c>
    </row>
    <row r="4021" spans="73:89" ht="12" customHeight="1">
      <c r="BU4021" s="16">
        <f t="shared" si="881"/>
        <v>0</v>
      </c>
      <c r="BV4021" s="16">
        <f>IF($BY$12=1,NORMDIST(BY4021,$Y$6,$Y$8,TRUE),IF($BY$12=2,IF(BY4021&lt;=$BX$31,0,IF(BY4021&gt;=$BX$32,1,(BY4021-$BX$31)*$BX$33)),SUM($BU$42:BU4021)/$BV$40))</f>
        <v>1</v>
      </c>
      <c r="BW4021" s="16">
        <f t="shared" si="872"/>
        <v>1.5629084168676093E-65</v>
      </c>
      <c r="BY4021" s="16">
        <f t="shared" si="873"/>
        <v>397.90000000002198</v>
      </c>
      <c r="BZ4021" s="16">
        <f t="shared" si="875"/>
        <v>3.9278924776766097E-68</v>
      </c>
      <c r="CA4021" s="16">
        <f t="shared" si="882"/>
        <v>-999</v>
      </c>
      <c r="CE4021" s="16" t="e">
        <f t="shared" si="876"/>
        <v>#N/A</v>
      </c>
      <c r="CF4021" s="16">
        <f t="shared" si="877"/>
        <v>99</v>
      </c>
      <c r="CG4021" s="16">
        <f t="shared" si="878"/>
        <v>0</v>
      </c>
      <c r="CH4021" s="16">
        <f t="shared" si="874"/>
        <v>0</v>
      </c>
      <c r="CJ4021" s="16" t="e">
        <f t="shared" si="879"/>
        <v>#N/A</v>
      </c>
      <c r="CK4021" s="16" t="str">
        <f t="shared" si="880"/>
        <v/>
      </c>
    </row>
    <row r="4022" spans="73:89" ht="12" customHeight="1">
      <c r="BU4022" s="16">
        <f t="shared" si="881"/>
        <v>0</v>
      </c>
      <c r="BV4022" s="16">
        <f>IF($BY$12=1,NORMDIST(BY4022,$Y$6,$Y$8,TRUE),IF($BY$12=2,IF(BY4022&lt;=$BX$31,0,IF(BY4022&gt;=$BX$32,1,(BY4022-$BX$31)*$BX$33)),SUM($BU$42:BU4022)/$BV$40))</f>
        <v>1</v>
      </c>
      <c r="BW4022" s="16">
        <f t="shared" si="872"/>
        <v>1.4330603223637311E-65</v>
      </c>
      <c r="BY4022" s="16">
        <f t="shared" si="873"/>
        <v>398.000000000022</v>
      </c>
      <c r="BZ4022" s="16">
        <f t="shared" si="875"/>
        <v>3.6006540762905825E-68</v>
      </c>
      <c r="CA4022" s="16">
        <f t="shared" si="882"/>
        <v>-999</v>
      </c>
      <c r="CE4022" s="16" t="e">
        <f t="shared" si="876"/>
        <v>#N/A</v>
      </c>
      <c r="CF4022" s="16">
        <f t="shared" si="877"/>
        <v>99</v>
      </c>
      <c r="CG4022" s="16">
        <f t="shared" si="878"/>
        <v>0</v>
      </c>
      <c r="CH4022" s="16">
        <f t="shared" si="874"/>
        <v>0</v>
      </c>
      <c r="CJ4022" s="16" t="e">
        <f t="shared" si="879"/>
        <v>#N/A</v>
      </c>
      <c r="CK4022" s="16" t="str">
        <f t="shared" si="880"/>
        <v/>
      </c>
    </row>
    <row r="4023" spans="73:89" ht="12" customHeight="1">
      <c r="BU4023" s="16">
        <f t="shared" si="881"/>
        <v>0</v>
      </c>
      <c r="BV4023" s="16">
        <f>IF($BY$12=1,NORMDIST(BY4023,$Y$6,$Y$8,TRUE),IF($BY$12=2,IF(BY4023&lt;=$BX$31,0,IF(BY4023&gt;=$BX$32,1,(BY4023-$BX$31)*$BX$33)),SUM($BU$42:BU4023)/$BV$40))</f>
        <v>1</v>
      </c>
      <c r="BW4023" s="16">
        <f t="shared" si="872"/>
        <v>1.3139672131907219E-65</v>
      </c>
      <c r="BY4023" s="16">
        <f t="shared" si="873"/>
        <v>398.10000000002202</v>
      </c>
      <c r="BZ4023" s="16">
        <f t="shared" si="875"/>
        <v>3.3005958633274284E-68</v>
      </c>
      <c r="CA4023" s="16">
        <f t="shared" si="882"/>
        <v>-999</v>
      </c>
      <c r="CE4023" s="16" t="e">
        <f t="shared" si="876"/>
        <v>#N/A</v>
      </c>
      <c r="CF4023" s="16">
        <f t="shared" si="877"/>
        <v>99</v>
      </c>
      <c r="CG4023" s="16">
        <f t="shared" si="878"/>
        <v>0</v>
      </c>
      <c r="CH4023" s="16">
        <f t="shared" si="874"/>
        <v>0</v>
      </c>
      <c r="CJ4023" s="16" t="e">
        <f t="shared" si="879"/>
        <v>#N/A</v>
      </c>
      <c r="CK4023" s="16" t="str">
        <f t="shared" si="880"/>
        <v/>
      </c>
    </row>
    <row r="4024" spans="73:89" ht="12" customHeight="1">
      <c r="BU4024" s="16">
        <f t="shared" si="881"/>
        <v>0</v>
      </c>
      <c r="BV4024" s="16">
        <f>IF($BY$12=1,NORMDIST(BY4024,$Y$6,$Y$8,TRUE),IF($BY$12=2,IF(BY4024&lt;=$BX$31,0,IF(BY4024&gt;=$BX$32,1,(BY4024-$BX$31)*$BX$33)),SUM($BU$42:BU4024)/$BV$40))</f>
        <v>1</v>
      </c>
      <c r="BW4024" s="16">
        <f t="shared" si="872"/>
        <v>1.2047410281721491E-65</v>
      </c>
      <c r="BY4024" s="16">
        <f t="shared" si="873"/>
        <v>398.20000000002204</v>
      </c>
      <c r="BZ4024" s="16">
        <f t="shared" si="875"/>
        <v>3.025467172707389E-68</v>
      </c>
      <c r="CA4024" s="16">
        <f t="shared" si="882"/>
        <v>-999</v>
      </c>
      <c r="CE4024" s="16" t="e">
        <f t="shared" si="876"/>
        <v>#N/A</v>
      </c>
      <c r="CF4024" s="16">
        <f t="shared" si="877"/>
        <v>99</v>
      </c>
      <c r="CG4024" s="16">
        <f t="shared" si="878"/>
        <v>0</v>
      </c>
      <c r="CH4024" s="16">
        <f t="shared" si="874"/>
        <v>0</v>
      </c>
      <c r="CJ4024" s="16" t="e">
        <f t="shared" si="879"/>
        <v>#N/A</v>
      </c>
      <c r="CK4024" s="16" t="str">
        <f t="shared" si="880"/>
        <v/>
      </c>
    </row>
    <row r="4025" spans="73:89" ht="12" customHeight="1">
      <c r="BU4025" s="16">
        <f t="shared" si="881"/>
        <v>0</v>
      </c>
      <c r="BV4025" s="16">
        <f>IF($BY$12=1,NORMDIST(BY4025,$Y$6,$Y$8,TRUE),IF($BY$12=2,IF(BY4025&lt;=$BX$31,0,IF(BY4025&gt;=$BX$32,1,(BY4025-$BX$31)*$BX$33)),SUM($BU$42:BU4025)/$BV$40))</f>
        <v>1</v>
      </c>
      <c r="BW4025" s="16">
        <f t="shared" si="872"/>
        <v>1.1045668067581982E-65</v>
      </c>
      <c r="BY4025" s="16">
        <f t="shared" si="873"/>
        <v>398.30000000002207</v>
      </c>
      <c r="BZ4025" s="16">
        <f t="shared" si="875"/>
        <v>2.7732031301986868E-68</v>
      </c>
      <c r="CA4025" s="16">
        <f t="shared" si="882"/>
        <v>-999</v>
      </c>
      <c r="CE4025" s="16" t="e">
        <f t="shared" si="876"/>
        <v>#N/A</v>
      </c>
      <c r="CF4025" s="16">
        <f t="shared" si="877"/>
        <v>99</v>
      </c>
      <c r="CG4025" s="16">
        <f t="shared" si="878"/>
        <v>0</v>
      </c>
      <c r="CH4025" s="16">
        <f t="shared" si="874"/>
        <v>0</v>
      </c>
      <c r="CJ4025" s="16" t="e">
        <f t="shared" si="879"/>
        <v>#N/A</v>
      </c>
      <c r="CK4025" s="16" t="str">
        <f t="shared" si="880"/>
        <v/>
      </c>
    </row>
    <row r="4026" spans="73:89" ht="12" customHeight="1">
      <c r="BU4026" s="16">
        <f t="shared" si="881"/>
        <v>0</v>
      </c>
      <c r="BV4026" s="16">
        <f>IF($BY$12=1,NORMDIST(BY4026,$Y$6,$Y$8,TRUE),IF($BY$12=2,IF(BY4026&lt;=$BX$31,0,IF(BY4026&gt;=$BX$32,1,(BY4026-$BX$31)*$BX$33)),SUM($BU$42:BU4026)/$BV$40))</f>
        <v>1</v>
      </c>
      <c r="BW4026" s="16">
        <f t="shared" si="872"/>
        <v>1.012696690693687E-65</v>
      </c>
      <c r="BY4026" s="16">
        <f t="shared" si="873"/>
        <v>398.40000000002209</v>
      </c>
      <c r="BZ4026" s="16">
        <f t="shared" si="875"/>
        <v>2.5419093641908404E-68</v>
      </c>
      <c r="CA4026" s="16">
        <f t="shared" si="882"/>
        <v>-999</v>
      </c>
      <c r="CE4026" s="16" t="e">
        <f t="shared" si="876"/>
        <v>#N/A</v>
      </c>
      <c r="CF4026" s="16">
        <f t="shared" si="877"/>
        <v>99</v>
      </c>
      <c r="CG4026" s="16">
        <f t="shared" si="878"/>
        <v>0</v>
      </c>
      <c r="CH4026" s="16">
        <f t="shared" si="874"/>
        <v>0</v>
      </c>
      <c r="CJ4026" s="16" t="e">
        <f t="shared" si="879"/>
        <v>#N/A</v>
      </c>
      <c r="CK4026" s="16" t="str">
        <f t="shared" si="880"/>
        <v/>
      </c>
    </row>
    <row r="4027" spans="73:89" ht="12" customHeight="1">
      <c r="BU4027" s="16">
        <f t="shared" si="881"/>
        <v>0</v>
      </c>
      <c r="BV4027" s="16">
        <f>IF($BY$12=1,NORMDIST(BY4027,$Y$6,$Y$8,TRUE),IF($BY$12=2,IF(BY4027&lt;=$BX$31,0,IF(BY4027&gt;=$BX$32,1,(BY4027-$BX$31)*$BX$33)),SUM($BU$42:BU4027)/$BV$40))</f>
        <v>1</v>
      </c>
      <c r="BW4027" s="16">
        <f t="shared" ref="BW4027:BW4042" si="883">BY4027*BZ4027</f>
        <v>9.2844441631931541E-66</v>
      </c>
      <c r="BY4027" s="16">
        <f t="shared" ref="BY4027:BY4042" si="884">BY4026+$BZ$1</f>
        <v>398.50000000002211</v>
      </c>
      <c r="BZ4027" s="16">
        <f t="shared" si="875"/>
        <v>2.3298479706882406E-68</v>
      </c>
      <c r="CA4027" s="16">
        <f t="shared" si="882"/>
        <v>-999</v>
      </c>
      <c r="CE4027" s="16" t="e">
        <f t="shared" si="876"/>
        <v>#N/A</v>
      </c>
      <c r="CF4027" s="16">
        <f t="shared" si="877"/>
        <v>99</v>
      </c>
      <c r="CG4027" s="16">
        <f t="shared" si="878"/>
        <v>0</v>
      </c>
      <c r="CH4027" s="16">
        <f t="shared" si="874"/>
        <v>0</v>
      </c>
      <c r="CJ4027" s="16" t="e">
        <f t="shared" si="879"/>
        <v>#N/A</v>
      </c>
      <c r="CK4027" s="16" t="str">
        <f t="shared" si="880"/>
        <v/>
      </c>
    </row>
    <row r="4028" spans="73:89" ht="12" customHeight="1">
      <c r="BU4028" s="16">
        <f t="shared" si="881"/>
        <v>0</v>
      </c>
      <c r="BV4028" s="16">
        <f>IF($BY$12=1,NORMDIST(BY4028,$Y$6,$Y$8,TRUE),IF($BY$12=2,IF(BY4028&lt;=$BX$31,0,IF(BY4028&gt;=$BX$32,1,(BY4028-$BX$31)*$BX$33)),SUM($BU$42:BU4028)/$BV$40))</f>
        <v>1</v>
      </c>
      <c r="BW4028" s="16">
        <f t="shared" si="883"/>
        <v>8.5118025750341259E-66</v>
      </c>
      <c r="BY4028" s="16">
        <f t="shared" si="884"/>
        <v>398.60000000002213</v>
      </c>
      <c r="BZ4028" s="16">
        <f t="shared" si="875"/>
        <v>2.1354246299632849E-68</v>
      </c>
      <c r="CA4028" s="16">
        <f t="shared" si="882"/>
        <v>-999</v>
      </c>
      <c r="CE4028" s="16" t="e">
        <f t="shared" si="876"/>
        <v>#N/A</v>
      </c>
      <c r="CF4028" s="16">
        <f t="shared" si="877"/>
        <v>99</v>
      </c>
      <c r="CG4028" s="16">
        <f t="shared" si="878"/>
        <v>0</v>
      </c>
      <c r="CH4028" s="16">
        <f t="shared" si="874"/>
        <v>0</v>
      </c>
      <c r="CJ4028" s="16" t="e">
        <f t="shared" si="879"/>
        <v>#N/A</v>
      </c>
      <c r="CK4028" s="16" t="str">
        <f t="shared" si="880"/>
        <v/>
      </c>
    </row>
    <row r="4029" spans="73:89" ht="12" customHeight="1">
      <c r="BU4029" s="16">
        <f t="shared" si="881"/>
        <v>0</v>
      </c>
      <c r="BV4029" s="16">
        <f>IF($BY$12=1,NORMDIST(BY4029,$Y$6,$Y$8,TRUE),IF($BY$12=2,IF(BY4029&lt;=$BX$31,0,IF(BY4029&gt;=$BX$32,1,(BY4029-$BX$31)*$BX$33)),SUM($BU$42:BU4029)/$BV$40))</f>
        <v>1</v>
      </c>
      <c r="BW4029" s="16">
        <f t="shared" si="883"/>
        <v>7.80326382452801E-66</v>
      </c>
      <c r="BY4029" s="16">
        <f t="shared" si="884"/>
        <v>398.70000000002216</v>
      </c>
      <c r="BZ4029" s="16">
        <f t="shared" si="875"/>
        <v>1.9571767806690687E-68</v>
      </c>
      <c r="CA4029" s="16">
        <f t="shared" si="882"/>
        <v>-999</v>
      </c>
      <c r="CE4029" s="16" t="e">
        <f t="shared" si="876"/>
        <v>#N/A</v>
      </c>
      <c r="CF4029" s="16">
        <f t="shared" si="877"/>
        <v>99</v>
      </c>
      <c r="CG4029" s="16">
        <f t="shared" si="878"/>
        <v>0</v>
      </c>
      <c r="CH4029" s="16">
        <f t="shared" si="874"/>
        <v>0</v>
      </c>
      <c r="CJ4029" s="16" t="e">
        <f t="shared" si="879"/>
        <v>#N/A</v>
      </c>
      <c r="CK4029" s="16" t="str">
        <f t="shared" si="880"/>
        <v/>
      </c>
    </row>
    <row r="4030" spans="73:89" ht="12" customHeight="1">
      <c r="BU4030" s="16">
        <f t="shared" si="881"/>
        <v>0</v>
      </c>
      <c r="BV4030" s="16">
        <f>IF($BY$12=1,NORMDIST(BY4030,$Y$6,$Y$8,TRUE),IF($BY$12=2,IF(BY4030&lt;=$BX$31,0,IF(BY4030&gt;=$BX$32,1,(BY4030-$BX$31)*$BX$33)),SUM($BU$42:BU4030)/$BV$40))</f>
        <v>1</v>
      </c>
      <c r="BW4030" s="16">
        <f t="shared" si="883"/>
        <v>7.1535259063934491E-66</v>
      </c>
      <c r="BY4030" s="16">
        <f t="shared" si="884"/>
        <v>398.80000000002218</v>
      </c>
      <c r="BZ4030" s="16">
        <f t="shared" si="875"/>
        <v>1.7937627648929417E-68</v>
      </c>
      <c r="CA4030" s="16">
        <f t="shared" si="882"/>
        <v>-999</v>
      </c>
      <c r="CE4030" s="16" t="e">
        <f t="shared" si="876"/>
        <v>#N/A</v>
      </c>
      <c r="CF4030" s="16">
        <f t="shared" si="877"/>
        <v>99</v>
      </c>
      <c r="CG4030" s="16">
        <f t="shared" si="878"/>
        <v>0</v>
      </c>
      <c r="CH4030" s="16">
        <f t="shared" si="874"/>
        <v>0</v>
      </c>
      <c r="CJ4030" s="16" t="e">
        <f t="shared" si="879"/>
        <v>#N/A</v>
      </c>
      <c r="CK4030" s="16" t="str">
        <f t="shared" si="880"/>
        <v/>
      </c>
    </row>
    <row r="4031" spans="73:89" ht="12" customHeight="1">
      <c r="BU4031" s="16">
        <f t="shared" si="881"/>
        <v>0</v>
      </c>
      <c r="BV4031" s="16">
        <f>IF($BY$12=1,NORMDIST(BY4031,$Y$6,$Y$8,TRUE),IF($BY$12=2,IF(BY4031&lt;=$BX$31,0,IF(BY4031&gt;=$BX$32,1,(BY4031-$BX$31)*$BX$33)),SUM($BU$42:BU4031)/$BV$40))</f>
        <v>1</v>
      </c>
      <c r="BW4031" s="16">
        <f t="shared" si="883"/>
        <v>6.5577239882316007E-66</v>
      </c>
      <c r="BY4031" s="16">
        <f t="shared" si="884"/>
        <v>398.9000000000222</v>
      </c>
      <c r="BZ4031" s="16">
        <f t="shared" si="875"/>
        <v>1.6439518646856946E-68</v>
      </c>
      <c r="CA4031" s="16">
        <f t="shared" si="882"/>
        <v>-999</v>
      </c>
      <c r="CE4031" s="16" t="e">
        <f t="shared" si="876"/>
        <v>#N/A</v>
      </c>
      <c r="CF4031" s="16">
        <f t="shared" si="877"/>
        <v>99</v>
      </c>
      <c r="CG4031" s="16">
        <f t="shared" si="878"/>
        <v>0</v>
      </c>
      <c r="CH4031" s="16">
        <f t="shared" si="874"/>
        <v>0</v>
      </c>
      <c r="CJ4031" s="16" t="e">
        <f t="shared" si="879"/>
        <v>#N/A</v>
      </c>
      <c r="CK4031" s="16" t="str">
        <f t="shared" si="880"/>
        <v/>
      </c>
    </row>
    <row r="4032" spans="73:89" ht="12" customHeight="1">
      <c r="BU4032" s="16">
        <f t="shared" si="881"/>
        <v>0</v>
      </c>
      <c r="BV4032" s="16">
        <f>IF($BY$12=1,NORMDIST(BY4032,$Y$6,$Y$8,TRUE),IF($BY$12=2,IF(BY4032&lt;=$BX$31,0,IF(BY4032&gt;=$BX$32,1,(BY4032-$BX$31)*$BX$33)),SUM($BU$42:BU4032)/$BV$40))</f>
        <v>1</v>
      </c>
      <c r="BW4032" s="16">
        <f t="shared" si="883"/>
        <v>6.0113944767748223E-66</v>
      </c>
      <c r="BY4032" s="16">
        <f t="shared" si="884"/>
        <v>399.00000000002223</v>
      </c>
      <c r="BZ4032" s="16">
        <f t="shared" si="875"/>
        <v>1.5066151570863377E-68</v>
      </c>
      <c r="CA4032" s="16">
        <f t="shared" si="882"/>
        <v>-999</v>
      </c>
      <c r="CE4032" s="16" t="e">
        <f t="shared" si="876"/>
        <v>#N/A</v>
      </c>
      <c r="CF4032" s="16">
        <f t="shared" si="877"/>
        <v>99</v>
      </c>
      <c r="CG4032" s="16">
        <f t="shared" si="878"/>
        <v>0</v>
      </c>
      <c r="CH4032" s="16">
        <f t="shared" si="874"/>
        <v>0</v>
      </c>
      <c r="CJ4032" s="16" t="e">
        <f t="shared" si="879"/>
        <v>#N/A</v>
      </c>
      <c r="CK4032" s="16" t="str">
        <f t="shared" si="880"/>
        <v/>
      </c>
    </row>
    <row r="4033" spans="73:89" ht="12" customHeight="1">
      <c r="BU4033" s="16">
        <f t="shared" si="881"/>
        <v>0</v>
      </c>
      <c r="BV4033" s="16">
        <f>IF($BY$12=1,NORMDIST(BY4033,$Y$6,$Y$8,TRUE),IF($BY$12=2,IF(BY4033&lt;=$BX$31,0,IF(BY4033&gt;=$BX$32,1,(BY4033-$BX$31)*$BX$33)),SUM($BU$42:BU4033)/$BV$40))</f>
        <v>1</v>
      </c>
      <c r="BW4033" s="16">
        <f t="shared" si="883"/>
        <v>5.5104420283803384E-66</v>
      </c>
      <c r="BY4033" s="16">
        <f t="shared" si="884"/>
        <v>399.10000000002225</v>
      </c>
      <c r="BZ4033" s="16">
        <f t="shared" si="875"/>
        <v>1.3807171206163946E-68</v>
      </c>
      <c r="CA4033" s="16">
        <f t="shared" si="882"/>
        <v>-999</v>
      </c>
      <c r="CE4033" s="16" t="e">
        <f t="shared" si="876"/>
        <v>#N/A</v>
      </c>
      <c r="CF4033" s="16">
        <f t="shared" si="877"/>
        <v>99</v>
      </c>
      <c r="CG4033" s="16">
        <f t="shared" si="878"/>
        <v>0</v>
      </c>
      <c r="CH4033" s="16">
        <f t="shared" si="874"/>
        <v>0</v>
      </c>
      <c r="CJ4033" s="16" t="e">
        <f t="shared" si="879"/>
        <v>#N/A</v>
      </c>
      <c r="CK4033" s="16" t="str">
        <f t="shared" si="880"/>
        <v/>
      </c>
    </row>
    <row r="4034" spans="73:89" ht="12" customHeight="1">
      <c r="BU4034" s="16">
        <f t="shared" si="881"/>
        <v>0</v>
      </c>
      <c r="BV4034" s="16">
        <f>IF($BY$12=1,NORMDIST(BY4034,$Y$6,$Y$8,TRUE),IF($BY$12=2,IF(BY4034&lt;=$BX$31,0,IF(BY4034&gt;=$BX$32,1,(BY4034-$BX$31)*$BX$33)),SUM($BU$42:BU4034)/$BV$40))</f>
        <v>1</v>
      </c>
      <c r="BW4034" s="16">
        <f t="shared" si="883"/>
        <v>5.0511092633043261E-66</v>
      </c>
      <c r="BY4034" s="16">
        <f t="shared" si="884"/>
        <v>399.20000000002227</v>
      </c>
      <c r="BZ4034" s="16">
        <f t="shared" si="875"/>
        <v>1.2653079316893899E-68</v>
      </c>
      <c r="CA4034" s="16">
        <f t="shared" si="882"/>
        <v>-999</v>
      </c>
      <c r="CE4034" s="16" t="e">
        <f t="shared" si="876"/>
        <v>#N/A</v>
      </c>
      <c r="CF4034" s="16">
        <f t="shared" si="877"/>
        <v>99</v>
      </c>
      <c r="CG4034" s="16">
        <f t="shared" si="878"/>
        <v>0</v>
      </c>
      <c r="CH4034" s="16">
        <f t="shared" si="874"/>
        <v>0</v>
      </c>
      <c r="CJ4034" s="16" t="e">
        <f t="shared" si="879"/>
        <v>#N/A</v>
      </c>
      <c r="CK4034" s="16" t="str">
        <f t="shared" si="880"/>
        <v/>
      </c>
    </row>
    <row r="4035" spans="73:89" ht="12" customHeight="1">
      <c r="BU4035" s="16">
        <f t="shared" si="881"/>
        <v>0</v>
      </c>
      <c r="BV4035" s="16">
        <f>IF($BY$12=1,NORMDIST(BY4035,$Y$6,$Y$8,TRUE),IF($BY$12=2,IF(BY4035&lt;=$BX$31,0,IF(BY4035&gt;=$BX$32,1,(BY4035-$BX$31)*$BX$33)),SUM($BU$42:BU4035)/$BV$40))</f>
        <v>1</v>
      </c>
      <c r="BW4035" s="16">
        <f t="shared" si="883"/>
        <v>4.629948962865138E-66</v>
      </c>
      <c r="BY4035" s="16">
        <f t="shared" si="884"/>
        <v>399.30000000002229</v>
      </c>
      <c r="BZ4035" s="16">
        <f t="shared" si="875"/>
        <v>1.1595163944064312E-68</v>
      </c>
      <c r="CA4035" s="16">
        <f t="shared" si="882"/>
        <v>-999</v>
      </c>
      <c r="CE4035" s="16" t="e">
        <f t="shared" si="876"/>
        <v>#N/A</v>
      </c>
      <c r="CF4035" s="16">
        <f t="shared" si="877"/>
        <v>99</v>
      </c>
      <c r="CG4035" s="16">
        <f t="shared" si="878"/>
        <v>0</v>
      </c>
      <c r="CH4035" s="16">
        <f t="shared" ref="CH4035:CH4042" si="885">IF(CB4035="",0,1)</f>
        <v>0</v>
      </c>
      <c r="CJ4035" s="16" t="e">
        <f t="shared" si="879"/>
        <v>#N/A</v>
      </c>
      <c r="CK4035" s="16" t="str">
        <f t="shared" si="880"/>
        <v/>
      </c>
    </row>
    <row r="4036" spans="73:89" ht="12" customHeight="1">
      <c r="BU4036" s="16">
        <f t="shared" si="881"/>
        <v>0</v>
      </c>
      <c r="BV4036" s="16">
        <f>IF($BY$12=1,NORMDIST(BY4036,$Y$6,$Y$8,TRUE),IF($BY$12=2,IF(BY4036&lt;=$BX$31,0,IF(BY4036&gt;=$BX$32,1,(BY4036-$BX$31)*$BX$33)),SUM($BU$42:BU4036)/$BV$40))</f>
        <v>1</v>
      </c>
      <c r="BW4036" s="16">
        <f t="shared" si="883"/>
        <v>4.2437985465953699E-66</v>
      </c>
      <c r="BY4036" s="16">
        <f t="shared" si="884"/>
        <v>399.40000000002232</v>
      </c>
      <c r="BZ4036" s="16">
        <f t="shared" si="875"/>
        <v>1.0625434518265229E-68</v>
      </c>
      <c r="CA4036" s="16">
        <f t="shared" si="882"/>
        <v>-999</v>
      </c>
      <c r="CE4036" s="16" t="e">
        <f t="shared" si="876"/>
        <v>#N/A</v>
      </c>
      <c r="CF4036" s="16">
        <f t="shared" si="877"/>
        <v>99</v>
      </c>
      <c r="CG4036" s="16">
        <f t="shared" si="878"/>
        <v>0</v>
      </c>
      <c r="CH4036" s="16">
        <f t="shared" si="885"/>
        <v>0</v>
      </c>
      <c r="CJ4036" s="16" t="e">
        <f t="shared" si="879"/>
        <v>#N/A</v>
      </c>
      <c r="CK4036" s="16" t="str">
        <f t="shared" si="880"/>
        <v/>
      </c>
    </row>
    <row r="4037" spans="73:89" ht="12" customHeight="1">
      <c r="BU4037" s="16">
        <f t="shared" si="881"/>
        <v>0</v>
      </c>
      <c r="BV4037" s="16">
        <f>IF($BY$12=1,NORMDIST(BY4037,$Y$6,$Y$8,TRUE),IF($BY$12=2,IF(BY4037&lt;=$BX$31,0,IF(BY4037&gt;=$BX$32,1,(BY4037-$BX$31)*$BX$33)),SUM($BU$42:BU4037)/$BV$40))</f>
        <v>1</v>
      </c>
      <c r="BW4037" s="16">
        <f t="shared" si="883"/>
        <v>3.8897566430074548E-66</v>
      </c>
      <c r="BY4037" s="16">
        <f t="shared" si="884"/>
        <v>399.50000000002234</v>
      </c>
      <c r="BZ4037" s="16">
        <f t="shared" si="875"/>
        <v>9.7365623104061002E-69</v>
      </c>
      <c r="CA4037" s="16">
        <f t="shared" si="882"/>
        <v>-999</v>
      </c>
      <c r="CE4037" s="16" t="e">
        <f t="shared" si="876"/>
        <v>#N/A</v>
      </c>
      <c r="CF4037" s="16">
        <f t="shared" si="877"/>
        <v>99</v>
      </c>
      <c r="CG4037" s="16">
        <f t="shared" si="878"/>
        <v>0</v>
      </c>
      <c r="CH4037" s="16">
        <f t="shared" si="885"/>
        <v>0</v>
      </c>
      <c r="CJ4037" s="16" t="e">
        <f t="shared" si="879"/>
        <v>#N/A</v>
      </c>
      <c r="CK4037" s="16" t="str">
        <f t="shared" si="880"/>
        <v/>
      </c>
    </row>
    <row r="4038" spans="73:89" ht="12" customHeight="1">
      <c r="BU4038" s="16">
        <f t="shared" si="881"/>
        <v>0</v>
      </c>
      <c r="BV4038" s="16">
        <f>IF($BY$12=1,NORMDIST(BY4038,$Y$6,$Y$8,TRUE),IF($BY$12=2,IF(BY4038&lt;=$BX$31,0,IF(BY4038&gt;=$BX$32,1,(BY4038-$BX$31)*$BX$33)),SUM($BU$42:BU4038)/$BV$40))</f>
        <v>1</v>
      </c>
      <c r="BW4038" s="16">
        <f t="shared" si="883"/>
        <v>3.5651615827841756E-66</v>
      </c>
      <c r="BY4038" s="16">
        <f t="shared" si="884"/>
        <v>399.60000000002236</v>
      </c>
      <c r="BZ4038" s="16">
        <f t="shared" si="875"/>
        <v>8.9218257827426829E-69</v>
      </c>
      <c r="CA4038" s="16">
        <f t="shared" si="882"/>
        <v>-999</v>
      </c>
      <c r="CE4038" s="16" t="e">
        <f t="shared" si="876"/>
        <v>#N/A</v>
      </c>
      <c r="CF4038" s="16">
        <f t="shared" si="877"/>
        <v>99</v>
      </c>
      <c r="CG4038" s="16">
        <f t="shared" si="878"/>
        <v>0</v>
      </c>
      <c r="CH4038" s="16">
        <f t="shared" si="885"/>
        <v>0</v>
      </c>
      <c r="CJ4038" s="16" t="e">
        <f t="shared" si="879"/>
        <v>#N/A</v>
      </c>
      <c r="CK4038" s="16" t="str">
        <f t="shared" si="880"/>
        <v/>
      </c>
    </row>
    <row r="4039" spans="73:89" ht="12" customHeight="1">
      <c r="BU4039" s="16">
        <f t="shared" si="881"/>
        <v>0</v>
      </c>
      <c r="BV4039" s="16">
        <f>IF($BY$12=1,NORMDIST(BY4039,$Y$6,$Y$8,TRUE),IF($BY$12=2,IF(BY4039&lt;=$BX$31,0,IF(BY4039&gt;=$BX$32,1,(BY4039-$BX$31)*$BX$33)),SUM($BU$42:BU4039)/$BV$40))</f>
        <v>1</v>
      </c>
      <c r="BW4039" s="16">
        <f t="shared" si="883"/>
        <v>3.2675716571583505E-66</v>
      </c>
      <c r="BY4039" s="16">
        <f t="shared" si="884"/>
        <v>399.70000000002238</v>
      </c>
      <c r="BZ4039" s="16">
        <f t="shared" si="875"/>
        <v>8.1750604382240868E-69</v>
      </c>
      <c r="CA4039" s="16">
        <f t="shared" si="882"/>
        <v>-999</v>
      </c>
      <c r="CE4039" s="16" t="e">
        <f t="shared" si="876"/>
        <v>#N/A</v>
      </c>
      <c r="CF4039" s="16">
        <f t="shared" si="877"/>
        <v>99</v>
      </c>
      <c r="CG4039" s="16">
        <f t="shared" si="878"/>
        <v>0</v>
      </c>
      <c r="CH4039" s="16">
        <f t="shared" si="885"/>
        <v>0</v>
      </c>
      <c r="CJ4039" s="16" t="e">
        <f t="shared" si="879"/>
        <v>#N/A</v>
      </c>
      <c r="CK4039" s="16" t="str">
        <f t="shared" si="880"/>
        <v/>
      </c>
    </row>
    <row r="4040" spans="73:89" ht="12" customHeight="1">
      <c r="BU4040" s="16">
        <f t="shared" si="881"/>
        <v>0</v>
      </c>
      <c r="BV4040" s="16">
        <f>IF($BY$12=1,NORMDIST(BY4040,$Y$6,$Y$8,TRUE),IF($BY$12=2,IF(BY4040&lt;=$BX$31,0,IF(BY4040&gt;=$BX$32,1,(BY4040-$BX$31)*$BX$33)),SUM($BU$42:BU4040)/$BV$40))</f>
        <v>1</v>
      </c>
      <c r="BW4040" s="16">
        <f t="shared" si="883"/>
        <v>2.9947469970633098E-66</v>
      </c>
      <c r="BY4040" s="16">
        <f t="shared" si="884"/>
        <v>399.80000000002241</v>
      </c>
      <c r="BZ4040" s="16">
        <f t="shared" si="875"/>
        <v>7.4906127990573841E-69</v>
      </c>
      <c r="CA4040" s="16">
        <f t="shared" si="882"/>
        <v>-999</v>
      </c>
      <c r="CE4040" s="16" t="e">
        <f t="shared" si="876"/>
        <v>#N/A</v>
      </c>
      <c r="CF4040" s="16">
        <f t="shared" si="877"/>
        <v>99</v>
      </c>
      <c r="CG4040" s="16">
        <f t="shared" si="878"/>
        <v>0</v>
      </c>
      <c r="CH4040" s="16">
        <f t="shared" si="885"/>
        <v>0</v>
      </c>
      <c r="CJ4040" s="16" t="e">
        <f t="shared" si="879"/>
        <v>#N/A</v>
      </c>
      <c r="CK4040" s="16" t="str">
        <f t="shared" si="880"/>
        <v/>
      </c>
    </row>
    <row r="4041" spans="73:89" ht="12" customHeight="1">
      <c r="BU4041" s="16">
        <f t="shared" si="881"/>
        <v>0</v>
      </c>
      <c r="BV4041" s="16">
        <f>IF($BY$12=1,NORMDIST(BY4041,$Y$6,$Y$8,TRUE),IF($BY$12=2,IF(BY4041&lt;=$BX$31,0,IF(BY4041&gt;=$BX$32,1,(BY4041-$BX$31)*$BX$33)),SUM($BU$42:BU4041)/$BV$40))</f>
        <v>1</v>
      </c>
      <c r="BW4041" s="16">
        <f t="shared" si="883"/>
        <v>2.7446329404152231E-66</v>
      </c>
      <c r="BY4041" s="16">
        <f t="shared" si="884"/>
        <v>399.90000000002243</v>
      </c>
      <c r="BZ4041" s="16">
        <f t="shared" si="875"/>
        <v>6.863298175581568E-69</v>
      </c>
      <c r="CA4041" s="16">
        <f t="shared" si="882"/>
        <v>-999</v>
      </c>
      <c r="CE4041" s="16" t="e">
        <f t="shared" si="876"/>
        <v>#N/A</v>
      </c>
      <c r="CF4041" s="16">
        <f t="shared" si="877"/>
        <v>99</v>
      </c>
      <c r="CG4041" s="16">
        <f t="shared" si="878"/>
        <v>0</v>
      </c>
      <c r="CH4041" s="16">
        <f t="shared" si="885"/>
        <v>0</v>
      </c>
      <c r="CJ4041" s="16" t="e">
        <f t="shared" si="879"/>
        <v>#N/A</v>
      </c>
      <c r="CK4041" s="16" t="str">
        <f t="shared" si="880"/>
        <v/>
      </c>
    </row>
    <row r="4042" spans="73:89" ht="12" customHeight="1">
      <c r="BU4042" s="16">
        <f t="shared" si="881"/>
        <v>0</v>
      </c>
      <c r="BV4042" s="16">
        <f>IF($BY$12=1,NORMDIST(BY4042,$Y$6,$Y$8,TRUE),IF($BY$12=2,IF(BY4042&lt;=$BX$31,0,IF(BY4042&gt;=$BX$32,1,(BY4042-$BX$31)*$BX$33)),SUM($BU$42:BU4042)/$BV$40))</f>
        <v>1</v>
      </c>
      <c r="BW4042" s="16">
        <f t="shared" si="883"/>
        <v>2.5153447657071281E-66</v>
      </c>
      <c r="BY4042" s="16">
        <f t="shared" si="884"/>
        <v>400.00000000002245</v>
      </c>
      <c r="BZ4042" s="16">
        <f t="shared" si="875"/>
        <v>6.2883619142674674E-69</v>
      </c>
      <c r="CA4042" s="16">
        <f t="shared" si="882"/>
        <v>-999</v>
      </c>
      <c r="CE4042" s="16" t="e">
        <f t="shared" si="876"/>
        <v>#N/A</v>
      </c>
      <c r="CF4042" s="16">
        <f t="shared" si="877"/>
        <v>99</v>
      </c>
      <c r="CG4042" s="16">
        <f t="shared" si="878"/>
        <v>0</v>
      </c>
      <c r="CH4042" s="16">
        <f t="shared" si="885"/>
        <v>0</v>
      </c>
      <c r="CJ4042" s="16" t="e">
        <f t="shared" si="879"/>
        <v>#N/A</v>
      </c>
      <c r="CK4042" s="16" t="str">
        <f t="shared" si="880"/>
        <v/>
      </c>
    </row>
  </sheetData>
  <sheetProtection sheet="1" scenarios="1" selectLockedCells="1"/>
  <phoneticPr fontId="3" type="noConversion"/>
  <dataValidations count="5">
    <dataValidation type="decimal" allowBlank="1" showErrorMessage="1" errorTitle="Comparison value for mean" error="Number, min 0, max 100" sqref="CB2">
      <formula1>0</formula1>
      <formula2>100</formula2>
    </dataValidation>
    <dataValidation type="decimal" allowBlank="1" showErrorMessage="1" errorTitle="Confidence level" error="Number, min 0, max 99.9" sqref="Y28">
      <formula1>0</formula1>
      <formula2>99.9</formula2>
    </dataValidation>
    <dataValidation type="whole" allowBlank="1" showErrorMessage="1" errorTitle="Sample size" error="Integer, min 1, max 100" sqref="T18">
      <formula1>1</formula1>
      <formula2>100</formula2>
    </dataValidation>
    <dataValidation type="decimal" allowBlank="1" showErrorMessage="1" errorTitle="Population standard deviation" error="Number, min 1, max 50" sqref="Y8">
      <formula1>1</formula1>
      <formula2>50</formula2>
    </dataValidation>
    <dataValidation type="decimal" allowBlank="1" showErrorMessage="1" errorTitle="Population mean" error="Number, min 0, max 100" sqref="Y6">
      <formula1>0</formula1>
      <formula2>100</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oleObjects>
    <oleObject progId="PBrush" shapeId="26696" r:id="rId4"/>
  </oleObjects>
</worksheet>
</file>

<file path=xl/worksheets/sheet6.xml><?xml version="1.0" encoding="utf-8"?>
<worksheet xmlns="http://schemas.openxmlformats.org/spreadsheetml/2006/main" xmlns:r="http://schemas.openxmlformats.org/officeDocument/2006/relationships">
  <sheetPr codeName="Sheet6"/>
  <dimension ref="A1:BH209"/>
  <sheetViews>
    <sheetView showGridLines="0" showRowColHeaders="0" zoomScale="120" workbookViewId="0">
      <selection activeCell="E1" sqref="E1"/>
    </sheetView>
  </sheetViews>
  <sheetFormatPr defaultColWidth="9" defaultRowHeight="12" customHeight="1"/>
  <cols>
    <col min="1" max="1" width="3" style="960" customWidth="1"/>
    <col min="2" max="2" width="6.85546875" style="960" customWidth="1"/>
    <col min="3" max="3" width="5.42578125" style="960" customWidth="1"/>
    <col min="4" max="4" width="3.28515625" style="960" customWidth="1"/>
    <col min="5" max="5" width="4.28515625" style="958" customWidth="1"/>
    <col min="6" max="6" width="3.42578125" style="958" customWidth="1"/>
    <col min="7" max="7" width="4.7109375" style="961" customWidth="1"/>
    <col min="8" max="8" width="2" style="960" customWidth="1"/>
    <col min="9" max="9" width="1.85546875" style="960" customWidth="1"/>
    <col min="10" max="10" width="1.5703125" style="960" customWidth="1"/>
    <col min="11" max="11" width="9.28515625" style="960" customWidth="1"/>
    <col min="12" max="16" width="9.28515625" style="1095" customWidth="1"/>
    <col min="17" max="18" width="6.140625" style="1095" customWidth="1"/>
    <col min="19" max="19" width="7.7109375" style="1096" customWidth="1"/>
    <col min="20" max="27" width="12.140625" style="1096" customWidth="1"/>
    <col min="28" max="28" width="12.140625" style="960" customWidth="1"/>
    <col min="29" max="30" width="6.42578125" style="960" customWidth="1"/>
    <col min="31" max="31" width="6.140625" style="960" customWidth="1"/>
    <col min="32" max="32" width="6.42578125" style="960" customWidth="1"/>
    <col min="33" max="33" width="5.42578125" style="960" customWidth="1"/>
    <col min="34" max="34" width="4.5703125" style="960" customWidth="1"/>
    <col min="35" max="35" width="6.42578125" style="960" customWidth="1"/>
    <col min="36" max="36" width="5.85546875" style="960" customWidth="1"/>
    <col min="37" max="37" width="5.7109375" style="960" customWidth="1"/>
    <col min="38" max="38" width="5.42578125" style="960" customWidth="1"/>
    <col min="39" max="39" width="6.42578125" style="971" customWidth="1"/>
    <col min="40" max="40" width="6.85546875" style="960" customWidth="1"/>
    <col min="41" max="41" width="9" style="960" customWidth="1"/>
    <col min="42" max="42" width="10.42578125" style="1093" customWidth="1"/>
    <col min="43" max="48" width="9" style="960" customWidth="1"/>
    <col min="49" max="55" width="6.42578125" style="181" customWidth="1"/>
    <col min="56" max="59" width="6.42578125" style="960" customWidth="1"/>
    <col min="60" max="16384" width="9" style="960"/>
  </cols>
  <sheetData>
    <row r="1" spans="1:60" ht="12" customHeight="1">
      <c r="A1" s="959"/>
      <c r="C1" s="957" t="s">
        <v>1366</v>
      </c>
      <c r="D1" s="957"/>
      <c r="K1" s="962"/>
      <c r="L1" s="963">
        <f>(AE7+AE6)/1000000</f>
        <v>3.3100000000000002E-4</v>
      </c>
      <c r="M1" s="963">
        <f t="shared" ref="M1:S1" si="0">$L$1</f>
        <v>3.3100000000000002E-4</v>
      </c>
      <c r="N1" s="963">
        <f t="shared" si="0"/>
        <v>3.3100000000000002E-4</v>
      </c>
      <c r="O1" s="963">
        <f t="shared" si="0"/>
        <v>3.3100000000000002E-4</v>
      </c>
      <c r="P1" s="963">
        <f t="shared" si="0"/>
        <v>3.3100000000000002E-4</v>
      </c>
      <c r="Q1" s="963">
        <f t="shared" si="0"/>
        <v>3.3100000000000002E-4</v>
      </c>
      <c r="R1" s="963">
        <f t="shared" si="0"/>
        <v>3.3100000000000002E-4</v>
      </c>
      <c r="S1" s="964">
        <f t="shared" si="0"/>
        <v>3.3100000000000002E-4</v>
      </c>
      <c r="T1" s="964"/>
      <c r="U1" s="964"/>
      <c r="V1" s="964"/>
      <c r="W1" s="964"/>
      <c r="X1" s="964"/>
      <c r="Y1" s="964"/>
      <c r="Z1" s="964"/>
      <c r="AA1" s="964"/>
      <c r="AC1" s="965"/>
      <c r="AD1" s="966" t="s">
        <v>1355</v>
      </c>
      <c r="AE1" s="966">
        <f>AE21+2*$AG$15+$AI$15</f>
        <v>1</v>
      </c>
      <c r="AF1" s="966">
        <f>(350-AE7)/100</f>
        <v>1.1399999999999999</v>
      </c>
      <c r="AG1" s="967"/>
      <c r="AH1" s="968" t="s">
        <v>1356</v>
      </c>
      <c r="AI1" s="969">
        <f>AE1-AI2</f>
        <v>0.84</v>
      </c>
      <c r="AJ1" s="970">
        <v>9</v>
      </c>
      <c r="AK1" s="971"/>
      <c r="AL1" s="971"/>
      <c r="AN1" s="964"/>
      <c r="AO1" s="964"/>
      <c r="AP1" s="964"/>
    </row>
    <row r="2" spans="1:60" ht="12" customHeight="1">
      <c r="C2" s="958" t="s">
        <v>1357</v>
      </c>
      <c r="D2" s="958"/>
      <c r="K2" s="972"/>
      <c r="L2" s="963">
        <f>$L$1</f>
        <v>3.3100000000000002E-4</v>
      </c>
      <c r="M2" s="973"/>
      <c r="N2" s="973"/>
      <c r="O2" s="973"/>
      <c r="P2" s="973"/>
      <c r="Q2" s="973"/>
      <c r="R2" s="973"/>
      <c r="S2" s="964">
        <f t="shared" ref="S2:S16" si="1">$L$1</f>
        <v>3.3100000000000002E-4</v>
      </c>
      <c r="T2" s="964"/>
      <c r="U2" s="964"/>
      <c r="V2" s="964"/>
      <c r="W2" s="964"/>
      <c r="X2" s="964"/>
      <c r="Y2" s="964"/>
      <c r="Z2" s="964"/>
      <c r="AA2" s="964"/>
      <c r="AC2" s="974"/>
      <c r="AD2" s="975" t="s">
        <v>1358</v>
      </c>
      <c r="AE2" s="976">
        <v>0.1</v>
      </c>
      <c r="AF2" s="976">
        <f>CIoL</f>
        <v>1.1399999999999999</v>
      </c>
      <c r="AG2" s="977"/>
      <c r="AH2" s="978"/>
      <c r="AI2" s="979">
        <v>0.16</v>
      </c>
      <c r="AJ2" s="980"/>
      <c r="AK2" s="540"/>
      <c r="AL2" s="981"/>
      <c r="AO2" s="964"/>
      <c r="AP2" s="964"/>
      <c r="BD2" s="181"/>
      <c r="BE2" s="181"/>
      <c r="BF2" s="181"/>
      <c r="BG2" s="181"/>
      <c r="BH2" s="181"/>
    </row>
    <row r="3" spans="1:60" ht="12" customHeight="1">
      <c r="C3" s="961" t="s">
        <v>1387</v>
      </c>
      <c r="D3" s="961"/>
      <c r="K3" s="972"/>
      <c r="L3" s="963">
        <f t="shared" ref="L3:L36" si="2">$L$1</f>
        <v>3.3100000000000002E-4</v>
      </c>
      <c r="M3" s="973"/>
      <c r="N3" s="973"/>
      <c r="O3" s="973"/>
      <c r="P3" s="973"/>
      <c r="Q3" s="973"/>
      <c r="R3" s="973"/>
      <c r="S3" s="964">
        <f t="shared" si="1"/>
        <v>3.3100000000000002E-4</v>
      </c>
      <c r="T3" s="964"/>
      <c r="U3" s="964"/>
      <c r="V3" s="964"/>
      <c r="W3" s="964"/>
      <c r="X3" s="964"/>
      <c r="Y3" s="964"/>
      <c r="Z3" s="964"/>
      <c r="AA3" s="964"/>
      <c r="AC3" s="965"/>
      <c r="AD3" s="966" t="s">
        <v>1395</v>
      </c>
      <c r="AE3" s="982">
        <v>0</v>
      </c>
      <c r="AF3" s="982">
        <v>0</v>
      </c>
      <c r="AG3" s="983"/>
      <c r="AH3" s="968" t="s">
        <v>1389</v>
      </c>
      <c r="AI3" s="984" t="b">
        <v>0</v>
      </c>
      <c r="AJ3" s="540"/>
      <c r="AK3" s="540"/>
      <c r="AL3" s="981"/>
      <c r="AO3" s="964"/>
      <c r="AP3" s="964"/>
      <c r="BD3" s="181"/>
      <c r="BE3" s="181"/>
      <c r="BF3" s="181"/>
      <c r="BG3" s="181"/>
      <c r="BH3" s="181"/>
    </row>
    <row r="4" spans="1:60" ht="12" customHeight="1">
      <c r="C4" s="960" t="s">
        <v>1388</v>
      </c>
      <c r="D4" s="985"/>
      <c r="K4" s="972"/>
      <c r="L4" s="963">
        <f t="shared" si="2"/>
        <v>3.3100000000000002E-4</v>
      </c>
      <c r="M4" s="973"/>
      <c r="N4" s="973"/>
      <c r="O4" s="973"/>
      <c r="P4" s="973"/>
      <c r="Q4" s="973"/>
      <c r="R4" s="973"/>
      <c r="S4" s="964">
        <f t="shared" si="1"/>
        <v>3.3100000000000002E-4</v>
      </c>
      <c r="T4" s="964"/>
      <c r="U4" s="964"/>
      <c r="V4" s="964"/>
      <c r="W4" s="964"/>
      <c r="X4" s="964"/>
      <c r="Y4" s="964"/>
      <c r="Z4" s="964"/>
      <c r="AA4" s="964"/>
      <c r="AC4" s="974"/>
      <c r="AD4" s="986"/>
      <c r="AE4" s="987">
        <v>3</v>
      </c>
      <c r="AF4" s="976">
        <v>0</v>
      </c>
      <c r="AG4" s="988"/>
      <c r="AH4" s="989" t="s">
        <v>1401</v>
      </c>
      <c r="AI4" s="990" t="b">
        <v>0</v>
      </c>
      <c r="AJ4" s="540"/>
      <c r="AK4" s="540"/>
      <c r="AL4" s="981"/>
      <c r="AO4" s="964"/>
      <c r="AP4" s="964"/>
      <c r="BD4" s="181"/>
      <c r="BE4" s="181"/>
      <c r="BF4" s="181"/>
      <c r="BG4" s="181"/>
      <c r="BH4" s="181"/>
    </row>
    <row r="5" spans="1:60" ht="12" customHeight="1">
      <c r="B5" s="973"/>
      <c r="C5" s="991" t="s">
        <v>1364</v>
      </c>
      <c r="D5" s="973"/>
      <c r="E5" s="373"/>
      <c r="F5" s="373"/>
      <c r="G5" s="992"/>
      <c r="H5" s="973"/>
      <c r="I5" s="373"/>
      <c r="J5" s="973"/>
      <c r="K5" s="972"/>
      <c r="L5" s="963">
        <f t="shared" si="2"/>
        <v>3.3100000000000002E-4</v>
      </c>
      <c r="M5" s="973"/>
      <c r="N5" s="973"/>
      <c r="O5" s="973"/>
      <c r="P5" s="973"/>
      <c r="Q5" s="973"/>
      <c r="R5" s="973"/>
      <c r="S5" s="964">
        <f t="shared" si="1"/>
        <v>3.3100000000000002E-4</v>
      </c>
      <c r="T5" s="964"/>
      <c r="U5" s="964"/>
      <c r="V5" s="964"/>
      <c r="W5" s="964"/>
      <c r="X5" s="964"/>
      <c r="Y5" s="964"/>
      <c r="Z5" s="964"/>
      <c r="AA5" s="964"/>
      <c r="AC5" s="993"/>
      <c r="AD5" s="994" t="s">
        <v>1396</v>
      </c>
      <c r="AE5" s="995">
        <v>0</v>
      </c>
      <c r="AF5" s="995">
        <v>0.05</v>
      </c>
      <c r="AG5" s="988"/>
      <c r="AH5" s="989" t="s">
        <v>1391</v>
      </c>
      <c r="AI5" s="990" t="b">
        <v>1</v>
      </c>
      <c r="AJ5" s="540"/>
      <c r="AK5" s="540"/>
      <c r="AL5" s="981"/>
      <c r="AO5" s="964"/>
      <c r="AP5" s="964"/>
      <c r="BD5" s="181"/>
      <c r="BE5" s="181"/>
      <c r="BF5" s="181"/>
      <c r="BG5" s="181"/>
      <c r="BH5" s="181"/>
    </row>
    <row r="6" spans="1:60" ht="12" customHeight="1">
      <c r="J6" s="976"/>
      <c r="K6" s="972"/>
      <c r="L6" s="963">
        <f t="shared" si="2"/>
        <v>3.3100000000000002E-4</v>
      </c>
      <c r="M6" s="973"/>
      <c r="N6" s="973"/>
      <c r="O6" s="973"/>
      <c r="P6" s="973"/>
      <c r="Q6" s="973"/>
      <c r="R6" s="973"/>
      <c r="S6" s="964">
        <f t="shared" si="1"/>
        <v>3.3100000000000002E-4</v>
      </c>
      <c r="T6" s="964"/>
      <c r="U6" s="964"/>
      <c r="V6" s="964"/>
      <c r="W6" s="964"/>
      <c r="X6" s="964"/>
      <c r="Y6" s="964"/>
      <c r="Z6" s="964"/>
      <c r="AA6" s="964"/>
      <c r="AC6" s="993"/>
      <c r="AD6" s="996" t="s">
        <v>1394</v>
      </c>
      <c r="AE6" s="997">
        <v>95</v>
      </c>
      <c r="AF6" s="998"/>
      <c r="AG6" s="974"/>
      <c r="AH6" s="986" t="s">
        <v>1404</v>
      </c>
      <c r="AI6" s="999" t="b">
        <v>0</v>
      </c>
      <c r="AJ6" s="540"/>
      <c r="AK6" s="540"/>
      <c r="AL6" s="981"/>
      <c r="AO6" s="964"/>
      <c r="AP6" s="964"/>
      <c r="BD6" s="181"/>
      <c r="BE6" s="181"/>
      <c r="BF6" s="181"/>
      <c r="BG6" s="181"/>
      <c r="BH6" s="181"/>
    </row>
    <row r="7" spans="1:60" ht="12" customHeight="1">
      <c r="A7" s="171">
        <v>1</v>
      </c>
      <c r="B7" s="1000" t="s">
        <v>1365</v>
      </c>
      <c r="C7" s="1001"/>
      <c r="D7" s="1001"/>
      <c r="E7" s="1002"/>
      <c r="F7" s="1002"/>
      <c r="G7" s="1003"/>
      <c r="H7" s="1001"/>
      <c r="I7" s="1001"/>
      <c r="J7" s="1001"/>
      <c r="K7" s="1004"/>
      <c r="L7" s="963">
        <f t="shared" si="2"/>
        <v>3.3100000000000002E-4</v>
      </c>
      <c r="M7" s="973"/>
      <c r="N7" s="973"/>
      <c r="O7" s="973"/>
      <c r="P7" s="973"/>
      <c r="Q7" s="973"/>
      <c r="R7" s="973"/>
      <c r="S7" s="964">
        <f t="shared" si="1"/>
        <v>3.3100000000000002E-4</v>
      </c>
      <c r="T7" s="964"/>
      <c r="U7" s="964"/>
      <c r="V7" s="964"/>
      <c r="W7" s="964"/>
      <c r="X7" s="964"/>
      <c r="Y7" s="964"/>
      <c r="Z7" s="964"/>
      <c r="AA7" s="964"/>
      <c r="AC7" s="1005"/>
      <c r="AD7" s="966" t="s">
        <v>1390</v>
      </c>
      <c r="AE7" s="1006">
        <v>236</v>
      </c>
      <c r="AF7" s="1007"/>
      <c r="AG7" s="993"/>
      <c r="AH7" s="995"/>
      <c r="AI7" s="1008"/>
      <c r="AJ7" s="540"/>
      <c r="AK7" s="540"/>
      <c r="AL7" s="981"/>
      <c r="AO7" s="964"/>
      <c r="AP7" s="964"/>
      <c r="BD7" s="181"/>
      <c r="BE7" s="181"/>
      <c r="BF7" s="181"/>
      <c r="BG7" s="181"/>
      <c r="BH7" s="181"/>
    </row>
    <row r="8" spans="1:60" ht="12" customHeight="1">
      <c r="A8" s="1009"/>
      <c r="B8" s="1010"/>
      <c r="C8" s="1010"/>
      <c r="D8" s="1010"/>
      <c r="E8" s="1011"/>
      <c r="F8" s="1011"/>
      <c r="G8" s="1012"/>
      <c r="H8" s="1010"/>
      <c r="I8" s="1010"/>
      <c r="J8" s="1010"/>
      <c r="K8" s="1004"/>
      <c r="L8" s="963">
        <f t="shared" si="2"/>
        <v>3.3100000000000002E-4</v>
      </c>
      <c r="M8" s="973"/>
      <c r="N8" s="973"/>
      <c r="O8" s="973"/>
      <c r="P8" s="973"/>
      <c r="Q8" s="973"/>
      <c r="R8" s="973"/>
      <c r="S8" s="964">
        <f t="shared" si="1"/>
        <v>3.3100000000000002E-4</v>
      </c>
      <c r="T8" s="964"/>
      <c r="U8" s="964"/>
      <c r="V8" s="964"/>
      <c r="W8" s="964"/>
      <c r="X8" s="964"/>
      <c r="Y8" s="964"/>
      <c r="Z8" s="964"/>
      <c r="AA8" s="964"/>
      <c r="AD8" s="1005"/>
      <c r="AE8" s="1013" t="s">
        <v>1359</v>
      </c>
      <c r="AF8" s="1014">
        <f>NORMSINV(0.5+95/200)</f>
        <v>1.959963984540054</v>
      </c>
      <c r="AJ8" s="540"/>
      <c r="AK8" s="540"/>
      <c r="AL8" s="981"/>
      <c r="AO8" s="964"/>
      <c r="AP8" s="964"/>
      <c r="BD8" s="181"/>
      <c r="BE8" s="181"/>
      <c r="BF8" s="181"/>
      <c r="BG8" s="181"/>
      <c r="BH8" s="181"/>
    </row>
    <row r="9" spans="1:60" ht="12" customHeight="1">
      <c r="A9" s="1015"/>
      <c r="B9" s="1016"/>
      <c r="C9" s="1016"/>
      <c r="D9" s="1016"/>
      <c r="E9" s="1017"/>
      <c r="F9" s="1017"/>
      <c r="G9" s="1018"/>
      <c r="H9" s="1016"/>
      <c r="I9" s="1016"/>
      <c r="J9" s="742"/>
      <c r="K9" s="1004"/>
      <c r="L9" s="963">
        <f t="shared" si="2"/>
        <v>3.3100000000000002E-4</v>
      </c>
      <c r="M9" s="973"/>
      <c r="N9" s="973"/>
      <c r="O9" s="973"/>
      <c r="P9" s="973"/>
      <c r="Q9" s="973"/>
      <c r="R9" s="973"/>
      <c r="S9" s="964">
        <f t="shared" si="1"/>
        <v>3.3100000000000002E-4</v>
      </c>
      <c r="T9" s="964"/>
      <c r="U9" s="964"/>
      <c r="V9" s="964"/>
      <c r="W9" s="964"/>
      <c r="X9" s="964"/>
      <c r="Y9" s="964"/>
      <c r="Z9" s="964"/>
      <c r="AA9" s="964"/>
      <c r="AC9" s="965"/>
      <c r="AD9" s="1019" t="s">
        <v>1360</v>
      </c>
      <c r="AE9" s="982">
        <f>IF($AI$5,AE1-AG9,NA())</f>
        <v>0.9</v>
      </c>
      <c r="AF9" s="982">
        <f>-AG10</f>
        <v>-0.28000000000000003</v>
      </c>
      <c r="AG9" s="1020">
        <v>0.1</v>
      </c>
      <c r="AH9" s="979"/>
      <c r="AI9" s="979"/>
      <c r="AJ9" s="1021"/>
      <c r="AK9" s="979"/>
      <c r="AL9" s="981"/>
      <c r="AO9" s="964"/>
      <c r="AP9" s="964"/>
      <c r="BD9" s="181"/>
      <c r="BE9" s="181"/>
      <c r="BF9" s="181"/>
      <c r="BG9" s="181"/>
      <c r="BH9" s="181"/>
    </row>
    <row r="10" spans="1:60" ht="12" customHeight="1">
      <c r="J10" s="1022"/>
      <c r="K10" s="1004"/>
      <c r="L10" s="963">
        <f t="shared" si="2"/>
        <v>3.3100000000000002E-4</v>
      </c>
      <c r="M10" s="973"/>
      <c r="N10" s="973"/>
      <c r="O10" s="973"/>
      <c r="P10" s="973"/>
      <c r="Q10" s="973"/>
      <c r="R10" s="973"/>
      <c r="S10" s="964">
        <f t="shared" si="1"/>
        <v>3.3100000000000002E-4</v>
      </c>
      <c r="T10" s="964"/>
      <c r="U10" s="964"/>
      <c r="V10" s="964"/>
      <c r="W10" s="964"/>
      <c r="X10" s="964"/>
      <c r="Y10" s="964"/>
      <c r="Z10" s="964"/>
      <c r="AA10" s="964"/>
      <c r="AC10" s="974"/>
      <c r="AD10" s="975" t="s">
        <v>1361</v>
      </c>
      <c r="AE10" s="976">
        <f>IF(AD13&gt;=0.01,AE9,NA())</f>
        <v>0.9</v>
      </c>
      <c r="AF10" s="976">
        <f>-2*AG10</f>
        <v>-0.56000000000000005</v>
      </c>
      <c r="AG10" s="1023">
        <v>0.28000000000000003</v>
      </c>
      <c r="AH10" s="979"/>
      <c r="AI10" s="979"/>
      <c r="AJ10" s="398"/>
      <c r="AK10" s="398"/>
      <c r="AL10" s="981"/>
      <c r="AO10" s="964"/>
      <c r="AP10" s="964"/>
      <c r="BD10" s="181"/>
      <c r="BE10" s="181"/>
      <c r="BF10" s="181"/>
      <c r="BG10" s="181"/>
      <c r="BH10" s="181"/>
    </row>
    <row r="11" spans="1:60" ht="12" customHeight="1">
      <c r="A11" s="174">
        <v>2</v>
      </c>
      <c r="B11" s="1108" t="s">
        <v>1362</v>
      </c>
      <c r="C11" s="1024"/>
      <c r="D11" s="1024"/>
      <c r="E11" s="914"/>
      <c r="F11" s="914"/>
      <c r="G11" s="1025"/>
      <c r="H11" s="1026"/>
      <c r="I11" s="915"/>
      <c r="J11" s="1022"/>
      <c r="K11" s="1004"/>
      <c r="L11" s="963">
        <f t="shared" si="2"/>
        <v>3.3100000000000002E-4</v>
      </c>
      <c r="M11" s="973"/>
      <c r="N11" s="973"/>
      <c r="O11" s="973"/>
      <c r="P11" s="973"/>
      <c r="Q11" s="973"/>
      <c r="R11" s="973"/>
      <c r="S11" s="964">
        <f t="shared" si="1"/>
        <v>3.3100000000000002E-4</v>
      </c>
      <c r="T11" s="964"/>
      <c r="U11" s="964"/>
      <c r="V11" s="964"/>
      <c r="W11" s="964"/>
      <c r="X11" s="964"/>
      <c r="Y11" s="964"/>
      <c r="Z11" s="964"/>
      <c r="AA11" s="964"/>
      <c r="AC11" s="974"/>
      <c r="AD11" s="975"/>
      <c r="AE11" s="976"/>
      <c r="AF11" s="1027">
        <f>AD13</f>
        <v>0.25428630112559647</v>
      </c>
      <c r="AG11" s="1023"/>
      <c r="AH11" s="979"/>
      <c r="AI11" s="979"/>
      <c r="AJ11" s="398"/>
      <c r="AK11" s="398"/>
      <c r="AL11" s="981"/>
      <c r="AO11" s="964"/>
      <c r="AP11" s="964"/>
      <c r="BD11" s="181"/>
      <c r="BE11" s="181"/>
      <c r="BF11" s="181"/>
      <c r="BG11" s="181"/>
      <c r="BH11" s="181"/>
    </row>
    <row r="12" spans="1:60" ht="12" customHeight="1">
      <c r="A12" s="1028"/>
      <c r="B12" s="1029"/>
      <c r="C12" s="1029"/>
      <c r="D12" s="1029"/>
      <c r="E12" s="1030"/>
      <c r="F12" s="1030"/>
      <c r="G12" s="918"/>
      <c r="H12" s="1029"/>
      <c r="I12" s="920"/>
      <c r="J12" s="1022"/>
      <c r="K12" s="1004"/>
      <c r="L12" s="963">
        <f t="shared" si="2"/>
        <v>3.3100000000000002E-4</v>
      </c>
      <c r="M12" s="973"/>
      <c r="N12" s="973"/>
      <c r="O12" s="973"/>
      <c r="P12" s="973"/>
      <c r="Q12" s="973"/>
      <c r="R12" s="973"/>
      <c r="S12" s="964">
        <f t="shared" si="1"/>
        <v>3.3100000000000002E-4</v>
      </c>
      <c r="T12" s="964"/>
      <c r="U12" s="964"/>
      <c r="V12" s="964"/>
      <c r="W12" s="964"/>
      <c r="X12" s="964"/>
      <c r="Y12" s="964"/>
      <c r="Z12" s="964"/>
      <c r="AA12" s="964"/>
      <c r="AC12" s="974"/>
      <c r="AD12" s="975" t="s">
        <v>1363</v>
      </c>
      <c r="AE12" s="976" t="e">
        <f>IF(AD13&lt;0.01,AE9,NA())</f>
        <v>#N/A</v>
      </c>
      <c r="AF12" s="976">
        <f>AF10</f>
        <v>-0.56000000000000005</v>
      </c>
      <c r="AG12" s="1023"/>
      <c r="AH12" s="979"/>
      <c r="AI12" s="979"/>
      <c r="AJ12" s="976"/>
      <c r="AK12" s="976"/>
      <c r="AL12" s="981"/>
      <c r="AO12" s="964"/>
      <c r="AP12" s="964"/>
      <c r="BD12" s="181"/>
      <c r="BE12" s="181"/>
      <c r="BF12" s="181"/>
      <c r="BG12" s="181"/>
      <c r="BH12" s="181"/>
    </row>
    <row r="13" spans="1:60" ht="12" customHeight="1">
      <c r="A13" s="1028"/>
      <c r="B13" s="1029"/>
      <c r="C13" s="1029" t="s">
        <v>1367</v>
      </c>
      <c r="D13" s="1029"/>
      <c r="E13" s="1029"/>
      <c r="F13" s="1031"/>
      <c r="G13" s="1032"/>
      <c r="H13" s="1033"/>
      <c r="I13" s="1034"/>
      <c r="J13" s="1022"/>
      <c r="K13" s="1004"/>
      <c r="L13" s="963">
        <f t="shared" si="2"/>
        <v>3.3100000000000002E-4</v>
      </c>
      <c r="M13" s="973"/>
      <c r="N13" s="973"/>
      <c r="O13" s="973"/>
      <c r="P13" s="973"/>
      <c r="Q13" s="973"/>
      <c r="R13" s="973"/>
      <c r="S13" s="964">
        <f t="shared" si="1"/>
        <v>3.3100000000000002E-4</v>
      </c>
      <c r="T13" s="964"/>
      <c r="U13" s="964"/>
      <c r="V13" s="964"/>
      <c r="W13" s="964"/>
      <c r="X13" s="964"/>
      <c r="Y13" s="964"/>
      <c r="Z13" s="964"/>
      <c r="AA13" s="964"/>
      <c r="AC13" s="993"/>
      <c r="AD13" s="995">
        <f>1-2*(NORMSDIST(ABS(CIoL))-0.5)</f>
        <v>0.25428630112559647</v>
      </c>
      <c r="AE13" s="995"/>
      <c r="AF13" s="1035">
        <f>AD13</f>
        <v>0.25428630112559647</v>
      </c>
      <c r="AG13" s="1036"/>
      <c r="AH13" s="979"/>
      <c r="AI13" s="979"/>
      <c r="AJ13" s="976"/>
      <c r="AK13" s="976"/>
      <c r="AL13" s="981"/>
      <c r="AO13" s="964"/>
      <c r="AP13" s="964"/>
      <c r="BD13" s="181"/>
      <c r="BE13" s="181"/>
      <c r="BF13" s="181"/>
      <c r="BG13" s="181"/>
      <c r="BH13" s="181"/>
    </row>
    <row r="14" spans="1:60" ht="12" customHeight="1">
      <c r="A14" s="1037"/>
      <c r="B14" s="1038"/>
      <c r="C14" s="1038"/>
      <c r="D14" s="1038"/>
      <c r="E14" s="1039"/>
      <c r="F14" s="1039"/>
      <c r="G14" s="1040"/>
      <c r="H14" s="1038"/>
      <c r="I14" s="1041"/>
      <c r="J14" s="973"/>
      <c r="K14" s="972"/>
      <c r="L14" s="963">
        <f t="shared" si="2"/>
        <v>3.3100000000000002E-4</v>
      </c>
      <c r="M14" s="973"/>
      <c r="N14" s="973"/>
      <c r="O14" s="973"/>
      <c r="P14" s="973"/>
      <c r="Q14" s="973"/>
      <c r="R14" s="973"/>
      <c r="S14" s="964">
        <f t="shared" si="1"/>
        <v>3.3100000000000002E-4</v>
      </c>
      <c r="T14" s="964"/>
      <c r="U14" s="964"/>
      <c r="V14" s="964"/>
      <c r="W14" s="964"/>
      <c r="X14" s="964"/>
      <c r="Y14" s="964"/>
      <c r="Z14" s="964"/>
      <c r="AA14" s="964"/>
      <c r="AE14" s="976"/>
      <c r="AF14" s="1042"/>
      <c r="AO14" s="964"/>
      <c r="AP14" s="964"/>
      <c r="BD14" s="181"/>
      <c r="BE14" s="181"/>
      <c r="BF14" s="181"/>
      <c r="BG14" s="181"/>
      <c r="BH14" s="181"/>
    </row>
    <row r="15" spans="1:60" ht="12" customHeight="1">
      <c r="A15" s="973"/>
      <c r="B15" s="973"/>
      <c r="C15" s="973"/>
      <c r="D15" s="973"/>
      <c r="E15" s="1043"/>
      <c r="F15" s="1043"/>
      <c r="G15" s="992"/>
      <c r="H15" s="973"/>
      <c r="I15" s="973"/>
      <c r="J15" s="973"/>
      <c r="K15" s="972"/>
      <c r="L15" s="963">
        <f t="shared" si="2"/>
        <v>3.3100000000000002E-4</v>
      </c>
      <c r="M15" s="973"/>
      <c r="N15" s="973"/>
      <c r="O15" s="973"/>
      <c r="P15" s="973"/>
      <c r="Q15" s="973"/>
      <c r="R15" s="973"/>
      <c r="S15" s="964">
        <f t="shared" si="1"/>
        <v>3.3100000000000002E-4</v>
      </c>
      <c r="T15" s="964"/>
      <c r="U15" s="964"/>
      <c r="V15" s="964"/>
      <c r="W15" s="964"/>
      <c r="X15" s="964"/>
      <c r="Y15" s="964"/>
      <c r="Z15" s="964"/>
      <c r="AA15" s="964"/>
      <c r="AC15" s="965">
        <v>0.06</v>
      </c>
      <c r="AD15" s="982">
        <v>0.03</v>
      </c>
      <c r="AE15" s="982" t="s">
        <v>1392</v>
      </c>
      <c r="AF15" s="982"/>
      <c r="AG15" s="982">
        <v>0.3</v>
      </c>
      <c r="AH15" s="982">
        <v>0.8</v>
      </c>
      <c r="AI15" s="982">
        <v>0</v>
      </c>
      <c r="AJ15" s="969" t="s">
        <v>1044</v>
      </c>
      <c r="AK15" s="1044">
        <v>0.15</v>
      </c>
      <c r="AO15" s="964"/>
      <c r="AP15" s="964"/>
      <c r="BD15" s="181"/>
      <c r="BE15" s="181"/>
      <c r="BF15" s="181"/>
      <c r="BG15" s="181"/>
      <c r="BH15" s="181"/>
    </row>
    <row r="16" spans="1:60" ht="12" customHeight="1">
      <c r="A16" s="172">
        <v>3</v>
      </c>
      <c r="B16" s="1045" t="s">
        <v>1400</v>
      </c>
      <c r="C16" s="1046"/>
      <c r="D16" s="1046"/>
      <c r="E16" s="1047"/>
      <c r="F16" s="1047"/>
      <c r="G16" s="1048"/>
      <c r="H16" s="1046"/>
      <c r="I16" s="1049"/>
      <c r="J16" s="973"/>
      <c r="K16" s="972"/>
      <c r="L16" s="963">
        <f t="shared" si="2"/>
        <v>3.3100000000000002E-4</v>
      </c>
      <c r="M16" s="973"/>
      <c r="N16" s="973"/>
      <c r="O16" s="973"/>
      <c r="P16" s="973"/>
      <c r="Q16" s="973"/>
      <c r="R16" s="973"/>
      <c r="S16" s="964">
        <f t="shared" si="1"/>
        <v>3.3100000000000002E-4</v>
      </c>
      <c r="T16" s="964"/>
      <c r="U16" s="964"/>
      <c r="V16" s="964"/>
      <c r="W16" s="964"/>
      <c r="X16" s="964"/>
      <c r="Y16" s="964"/>
      <c r="Z16" s="964"/>
      <c r="AA16" s="964"/>
      <c r="AC16" s="974" t="e">
        <f>AE16+$AC$15-$AC$21</f>
        <v>#N/A</v>
      </c>
      <c r="AD16" s="976" t="e">
        <f>IF($AI$3,AE16+$AD$15,NA())</f>
        <v>#N/A</v>
      </c>
      <c r="AE16" s="976" t="e">
        <f>IF($AI$3,AE21,NA())</f>
        <v>#N/A</v>
      </c>
      <c r="AF16" s="976" t="e">
        <f>IF($AI$3,CIoL,NA())</f>
        <v>#N/A</v>
      </c>
      <c r="AG16" s="976">
        <f>NORMSINV(1-(1-AJ16/100)/2)</f>
        <v>3.2905267314916609</v>
      </c>
      <c r="AH16" s="976">
        <f>AG16+CIoL</f>
        <v>4.4305267314916605</v>
      </c>
      <c r="AI16" s="976" t="e">
        <f>$AE$1-AD16-$AD$15+$AK$15</f>
        <v>#N/A</v>
      </c>
      <c r="AJ16" s="1050">
        <v>99.9</v>
      </c>
      <c r="AK16" s="1051">
        <v>0.13</v>
      </c>
      <c r="AO16" s="964"/>
      <c r="AP16" s="964"/>
      <c r="BD16" s="181"/>
      <c r="BE16" s="181"/>
      <c r="BF16" s="181"/>
      <c r="BG16" s="181"/>
      <c r="BH16" s="181"/>
    </row>
    <row r="17" spans="1:60" ht="12" customHeight="1">
      <c r="A17" s="1052"/>
      <c r="B17" s="930"/>
      <c r="C17" s="930"/>
      <c r="D17" s="930"/>
      <c r="E17" s="930"/>
      <c r="F17" s="930"/>
      <c r="G17" s="930"/>
      <c r="H17" s="930"/>
      <c r="I17" s="1053"/>
      <c r="J17" s="973"/>
      <c r="K17" s="972"/>
      <c r="L17" s="963">
        <f t="shared" si="2"/>
        <v>3.3100000000000002E-4</v>
      </c>
      <c r="M17" s="973"/>
      <c r="N17" s="973"/>
      <c r="O17" s="973"/>
      <c r="P17" s="973"/>
      <c r="Q17" s="973"/>
      <c r="R17" s="973"/>
      <c r="S17" s="964">
        <f t="shared" ref="S17:S36" si="3">$L$1</f>
        <v>3.3100000000000002E-4</v>
      </c>
      <c r="T17" s="964"/>
      <c r="U17" s="964"/>
      <c r="V17" s="964"/>
      <c r="W17" s="964"/>
      <c r="X17" s="964"/>
      <c r="Y17" s="964"/>
      <c r="Z17" s="964"/>
      <c r="AA17" s="964"/>
      <c r="AC17" s="974" t="e">
        <f>AE17+$AC$15-$AC$21</f>
        <v>#N/A</v>
      </c>
      <c r="AD17" s="976" t="e">
        <f>IF($AI$3,AE17+$AD$15,NA())</f>
        <v>#N/A</v>
      </c>
      <c r="AE17" s="976" t="e">
        <f>IF($AI$3,AE16+$AG$15,NA())</f>
        <v>#N/A</v>
      </c>
      <c r="AF17" s="976" t="e">
        <f>IF($AI$3,CIoL,NA())</f>
        <v>#N/A</v>
      </c>
      <c r="AG17" s="976">
        <f>NORMSINV(1-(1-AJ17/100)/2)</f>
        <v>2.5758293035489102</v>
      </c>
      <c r="AH17" s="976">
        <f>AG17+CIoL</f>
        <v>3.7158293035489098</v>
      </c>
      <c r="AI17" s="976" t="e">
        <f>$AE$1-AD17-$AD$15+$AK$15</f>
        <v>#N/A</v>
      </c>
      <c r="AJ17" s="1050">
        <v>99</v>
      </c>
      <c r="AK17" s="1051">
        <f>AK16</f>
        <v>0.13</v>
      </c>
      <c r="AO17" s="964"/>
      <c r="AP17" s="964"/>
      <c r="BD17" s="181"/>
      <c r="BE17" s="181"/>
      <c r="BF17" s="181"/>
      <c r="BG17" s="181"/>
      <c r="BH17" s="181"/>
    </row>
    <row r="18" spans="1:60" ht="12" customHeight="1">
      <c r="A18" s="1054"/>
      <c r="B18" s="1055"/>
      <c r="C18" s="1055" t="s">
        <v>2</v>
      </c>
      <c r="D18" s="1055"/>
      <c r="E18" s="1056"/>
      <c r="F18" s="1056"/>
      <c r="G18" s="1057"/>
      <c r="H18" s="1055"/>
      <c r="I18" s="1053"/>
      <c r="J18" s="973"/>
      <c r="K18" s="972"/>
      <c r="L18" s="963">
        <f t="shared" si="2"/>
        <v>3.3100000000000002E-4</v>
      </c>
      <c r="M18" s="973"/>
      <c r="N18" s="973"/>
      <c r="O18" s="973"/>
      <c r="P18" s="973"/>
      <c r="Q18" s="973"/>
      <c r="R18" s="973"/>
      <c r="S18" s="964">
        <f t="shared" si="3"/>
        <v>3.3100000000000002E-4</v>
      </c>
      <c r="T18" s="964"/>
      <c r="U18" s="964"/>
      <c r="V18" s="964"/>
      <c r="W18" s="964"/>
      <c r="X18" s="964"/>
      <c r="Y18" s="964"/>
      <c r="Z18" s="964"/>
      <c r="AA18" s="964"/>
      <c r="AC18" s="974" t="e">
        <f>AE18+$AC$15-$AC$21</f>
        <v>#N/A</v>
      </c>
      <c r="AD18" s="976" t="e">
        <f>IF($AI$3,AE18-AK18,NA())</f>
        <v>#N/A</v>
      </c>
      <c r="AE18" s="976" t="e">
        <f>IF($AI$3,AE17+$AH$15,NA())</f>
        <v>#N/A</v>
      </c>
      <c r="AF18" s="976" t="e">
        <f>IF($AI$3,CIoL,NA())</f>
        <v>#N/A</v>
      </c>
      <c r="AG18" s="976">
        <f>NORMSINV(1-(1-AJ19/100)/2)</f>
        <v>1.2815515655446004</v>
      </c>
      <c r="AH18" s="976">
        <f>AG18+CIoL</f>
        <v>2.4215515655446005</v>
      </c>
      <c r="AI18" s="976" t="e">
        <f>-(AE18-$AE$1+$AK$15-AK18)</f>
        <v>#N/A</v>
      </c>
      <c r="AJ18" s="1050">
        <v>90</v>
      </c>
      <c r="AK18" s="1051">
        <v>0.19</v>
      </c>
      <c r="AO18" s="964"/>
      <c r="AP18" s="964"/>
      <c r="BD18" s="181"/>
      <c r="BE18" s="181"/>
      <c r="BF18" s="181"/>
      <c r="BG18" s="181"/>
      <c r="BH18" s="181"/>
    </row>
    <row r="19" spans="1:60" ht="12" customHeight="1">
      <c r="A19" s="1054"/>
      <c r="B19" s="1055"/>
      <c r="C19" s="1055"/>
      <c r="D19" s="1055"/>
      <c r="E19" s="1058"/>
      <c r="F19" s="1058"/>
      <c r="G19" s="1056"/>
      <c r="H19" s="1055"/>
      <c r="I19" s="1053"/>
      <c r="J19" s="973"/>
      <c r="K19" s="972"/>
      <c r="L19" s="963">
        <f t="shared" si="2"/>
        <v>3.3100000000000002E-4</v>
      </c>
      <c r="M19" s="973"/>
      <c r="N19" s="973"/>
      <c r="O19" s="973"/>
      <c r="P19" s="973"/>
      <c r="Q19" s="973"/>
      <c r="R19" s="973"/>
      <c r="S19" s="964">
        <f t="shared" si="3"/>
        <v>3.3100000000000002E-4</v>
      </c>
      <c r="T19" s="964"/>
      <c r="U19" s="964"/>
      <c r="V19" s="964"/>
      <c r="W19" s="964"/>
      <c r="X19" s="964"/>
      <c r="Y19" s="964"/>
      <c r="Z19" s="964"/>
      <c r="AA19" s="964"/>
      <c r="AC19" s="974" t="e">
        <f>AE19+$AC$15-$AC$21</f>
        <v>#N/A</v>
      </c>
      <c r="AD19" s="976" t="e">
        <f>IF($AI$3,AE19-AK19,NA())</f>
        <v>#N/A</v>
      </c>
      <c r="AE19" s="976" t="e">
        <f>IF($AI$3,AE18+$AG$15,NA())</f>
        <v>#N/A</v>
      </c>
      <c r="AF19" s="976" t="e">
        <f>IF($AI$3,CIoL,NA())</f>
        <v>#N/A</v>
      </c>
      <c r="AG19" s="976">
        <f>NORMSINV(1-(1-AJ19/100)/2)</f>
        <v>1.2815515655446004</v>
      </c>
      <c r="AH19" s="976">
        <f>AG19+CIoL</f>
        <v>2.4215515655446005</v>
      </c>
      <c r="AI19" s="976" t="e">
        <f>-(AE19-$AE$1+$AK$15-AK19)</f>
        <v>#N/A</v>
      </c>
      <c r="AJ19" s="1050">
        <v>80</v>
      </c>
      <c r="AK19" s="1051">
        <f>AK18</f>
        <v>0.19</v>
      </c>
      <c r="AO19" s="964"/>
      <c r="AP19" s="964"/>
      <c r="BD19" s="181"/>
      <c r="BE19" s="181"/>
      <c r="BF19" s="181"/>
      <c r="BG19" s="181"/>
      <c r="BH19" s="181"/>
    </row>
    <row r="20" spans="1:60" ht="12" customHeight="1">
      <c r="A20" s="1054"/>
      <c r="B20" s="1055"/>
      <c r="C20" s="1055" t="s">
        <v>3</v>
      </c>
      <c r="D20" s="1055"/>
      <c r="E20" s="1055"/>
      <c r="F20" s="1055"/>
      <c r="G20" s="1058"/>
      <c r="H20" s="1055"/>
      <c r="I20" s="1053"/>
      <c r="J20" s="973"/>
      <c r="K20" s="972"/>
      <c r="L20" s="963">
        <f t="shared" si="2"/>
        <v>3.3100000000000002E-4</v>
      </c>
      <c r="M20" s="973"/>
      <c r="N20" s="973"/>
      <c r="O20" s="973"/>
      <c r="P20" s="973"/>
      <c r="Q20" s="973"/>
      <c r="R20" s="973"/>
      <c r="S20" s="964">
        <f t="shared" si="3"/>
        <v>3.3100000000000002E-4</v>
      </c>
      <c r="T20" s="964"/>
      <c r="U20" s="964"/>
      <c r="V20" s="964"/>
      <c r="W20" s="964"/>
      <c r="X20" s="964"/>
      <c r="Y20" s="964"/>
      <c r="Z20" s="964"/>
      <c r="AA20" s="964"/>
      <c r="AC20" s="974" t="e">
        <f>AE20+$AC$15-$AC$21</f>
        <v>#N/A</v>
      </c>
      <c r="AD20" s="976" t="e">
        <f>IF($AI$3,AE20-AK20,NA())</f>
        <v>#N/A</v>
      </c>
      <c r="AE20" s="976" t="e">
        <f>IF($AI$3,AE19+$AG$15,NA())</f>
        <v>#N/A</v>
      </c>
      <c r="AF20" s="976" t="e">
        <f>IF($AI$3,CIoL,NA())</f>
        <v>#N/A</v>
      </c>
      <c r="AG20" s="976">
        <f>NORMSINV(1-(1-AJ20/100)/2)</f>
        <v>0.67448975019608159</v>
      </c>
      <c r="AH20" s="976">
        <f>AG20+CIoL</f>
        <v>1.8144897501960815</v>
      </c>
      <c r="AI20" s="976" t="e">
        <f>-(AE20-$AE$1+$AK$15-AK20)</f>
        <v>#N/A</v>
      </c>
      <c r="AJ20" s="1050">
        <v>50</v>
      </c>
      <c r="AK20" s="1051">
        <f>AK19</f>
        <v>0.19</v>
      </c>
      <c r="AO20" s="964"/>
      <c r="AP20" s="964"/>
      <c r="BD20" s="181"/>
      <c r="BE20" s="181"/>
      <c r="BF20" s="181"/>
      <c r="BG20" s="181"/>
      <c r="BH20" s="181"/>
    </row>
    <row r="21" spans="1:60" ht="12" customHeight="1">
      <c r="A21" s="1059"/>
      <c r="B21" s="1060"/>
      <c r="C21" s="1060"/>
      <c r="D21" s="1060"/>
      <c r="E21" s="1061"/>
      <c r="F21" s="1061"/>
      <c r="G21" s="1062"/>
      <c r="H21" s="1060"/>
      <c r="I21" s="1063"/>
      <c r="J21" s="973"/>
      <c r="K21" s="972"/>
      <c r="L21" s="963">
        <f t="shared" si="2"/>
        <v>3.3100000000000002E-4</v>
      </c>
      <c r="M21" s="973"/>
      <c r="N21" s="973"/>
      <c r="O21" s="973"/>
      <c r="P21" s="973"/>
      <c r="Q21" s="973"/>
      <c r="R21" s="973"/>
      <c r="S21" s="964">
        <f t="shared" si="3"/>
        <v>3.3100000000000002E-4</v>
      </c>
      <c r="T21" s="964"/>
      <c r="U21" s="964"/>
      <c r="V21" s="964"/>
      <c r="W21" s="964"/>
      <c r="X21" s="964"/>
      <c r="Y21" s="964"/>
      <c r="Z21" s="964"/>
      <c r="AA21" s="964"/>
      <c r="AC21" s="974">
        <v>0.03</v>
      </c>
      <c r="AD21" s="976" t="s">
        <v>1393</v>
      </c>
      <c r="AE21" s="976">
        <v>0.4</v>
      </c>
      <c r="AF21" s="976"/>
      <c r="AG21" s="976"/>
      <c r="AH21" s="976" t="s">
        <v>1397</v>
      </c>
      <c r="AI21" s="976"/>
      <c r="AJ21" s="1050"/>
      <c r="AK21" s="1051"/>
      <c r="AO21" s="964"/>
      <c r="AP21" s="964"/>
      <c r="BD21" s="181"/>
      <c r="BE21" s="181"/>
      <c r="BF21" s="181"/>
      <c r="BG21" s="181"/>
      <c r="BH21" s="181"/>
    </row>
    <row r="22" spans="1:60" ht="12" customHeight="1">
      <c r="A22" s="973"/>
      <c r="B22" s="973"/>
      <c r="C22" s="973"/>
      <c r="D22" s="973"/>
      <c r="E22" s="1043"/>
      <c r="F22" s="1043"/>
      <c r="G22" s="992"/>
      <c r="H22" s="973"/>
      <c r="I22" s="973"/>
      <c r="J22" s="976"/>
      <c r="K22" s="972"/>
      <c r="L22" s="963">
        <f t="shared" si="2"/>
        <v>3.3100000000000002E-4</v>
      </c>
      <c r="M22" s="973"/>
      <c r="N22" s="973"/>
      <c r="O22" s="973"/>
      <c r="P22" s="973"/>
      <c r="Q22" s="973"/>
      <c r="R22" s="973"/>
      <c r="S22" s="964">
        <f t="shared" si="3"/>
        <v>3.3100000000000002E-4</v>
      </c>
      <c r="T22" s="964"/>
      <c r="U22" s="964"/>
      <c r="V22" s="964"/>
      <c r="W22" s="964"/>
      <c r="X22" s="964"/>
      <c r="Y22" s="964"/>
      <c r="Z22" s="964"/>
      <c r="AA22" s="964"/>
      <c r="AB22" s="981"/>
      <c r="AC22" s="1064" t="s">
        <v>1397</v>
      </c>
      <c r="AD22" s="1065"/>
      <c r="AE22" s="1065"/>
      <c r="AF22" s="1065"/>
      <c r="AG22" s="995" t="e">
        <f>IF(AI3,AE1+$AC$15-$AC$21,NA())</f>
        <v>#N/A</v>
      </c>
      <c r="AH22" s="995">
        <f>CIoL+CIoR</f>
        <v>3.0999639845400537</v>
      </c>
      <c r="AI22" s="995"/>
      <c r="AJ22" s="1066"/>
      <c r="AK22" s="1008"/>
      <c r="AO22" s="964"/>
      <c r="AP22" s="964"/>
      <c r="BD22" s="181"/>
      <c r="BE22" s="181"/>
      <c r="BF22" s="181"/>
      <c r="BG22" s="181"/>
      <c r="BH22" s="181"/>
    </row>
    <row r="23" spans="1:60" ht="12" customHeight="1">
      <c r="A23" s="173">
        <v>4</v>
      </c>
      <c r="B23" s="1067" t="s">
        <v>1</v>
      </c>
      <c r="C23" s="1068"/>
      <c r="D23" s="1068"/>
      <c r="E23" s="1069"/>
      <c r="F23" s="1069"/>
      <c r="G23" s="1070"/>
      <c r="H23" s="1068"/>
      <c r="I23" s="1071"/>
      <c r="J23" s="973"/>
      <c r="K23" s="972"/>
      <c r="L23" s="963">
        <f t="shared" si="2"/>
        <v>3.3100000000000002E-4</v>
      </c>
      <c r="M23" s="973"/>
      <c r="N23" s="973"/>
      <c r="O23" s="973"/>
      <c r="P23" s="973"/>
      <c r="Q23" s="973"/>
      <c r="R23" s="973"/>
      <c r="S23" s="964">
        <f t="shared" si="3"/>
        <v>3.3100000000000002E-4</v>
      </c>
      <c r="T23" s="964"/>
      <c r="U23" s="964"/>
      <c r="V23" s="964"/>
      <c r="W23" s="964"/>
      <c r="X23" s="964"/>
      <c r="Y23" s="964"/>
      <c r="Z23" s="964"/>
      <c r="AA23" s="964"/>
      <c r="AB23" s="981"/>
      <c r="AC23" s="1072"/>
      <c r="AD23" s="1073" t="s">
        <v>1400</v>
      </c>
      <c r="AE23" s="1073"/>
      <c r="AF23" s="1073"/>
      <c r="AG23" s="1073" t="s">
        <v>1402</v>
      </c>
      <c r="AH23" s="1073"/>
      <c r="AI23" s="1020"/>
      <c r="AO23" s="964"/>
      <c r="AP23" s="964"/>
      <c r="BD23" s="181"/>
      <c r="BE23" s="181"/>
      <c r="BF23" s="181"/>
      <c r="BG23" s="181"/>
      <c r="BH23" s="181"/>
    </row>
    <row r="24" spans="1:60" ht="12" customHeight="1">
      <c r="A24" s="1074"/>
      <c r="B24" s="1075"/>
      <c r="C24" s="1075"/>
      <c r="D24" s="1075"/>
      <c r="E24" s="1076"/>
      <c r="F24" s="1076"/>
      <c r="G24" s="1077"/>
      <c r="H24" s="1075"/>
      <c r="I24" s="1078"/>
      <c r="J24" s="373"/>
      <c r="K24" s="972"/>
      <c r="L24" s="963">
        <f t="shared" si="2"/>
        <v>3.3100000000000002E-4</v>
      </c>
      <c r="M24" s="973"/>
      <c r="N24" s="973"/>
      <c r="O24" s="973"/>
      <c r="P24" s="973"/>
      <c r="Q24" s="973"/>
      <c r="R24" s="973"/>
      <c r="S24" s="964">
        <f t="shared" si="3"/>
        <v>3.3100000000000002E-4</v>
      </c>
      <c r="T24" s="964"/>
      <c r="U24" s="964"/>
      <c r="V24" s="964"/>
      <c r="W24" s="964"/>
      <c r="X24" s="964"/>
      <c r="Y24" s="964"/>
      <c r="Z24" s="964"/>
      <c r="AA24" s="964"/>
      <c r="AB24" s="981"/>
      <c r="AC24" s="988"/>
      <c r="AD24" s="979" t="e">
        <f t="shared" ref="AD24:AD29" si="4">IF($AI$4,$AE$1,NA())</f>
        <v>#N/A</v>
      </c>
      <c r="AE24" s="979">
        <f>AH16</f>
        <v>4.4305267314916605</v>
      </c>
      <c r="AF24" s="979">
        <v>0.06</v>
      </c>
      <c r="AG24" s="979" t="e">
        <f t="shared" ref="AG24:AG29" si="5">AD24+$AF$24-$AI$24</f>
        <v>#N/A</v>
      </c>
      <c r="AH24" s="979">
        <f t="shared" ref="AH24:AH29" si="6">AE24</f>
        <v>4.4305267314916605</v>
      </c>
      <c r="AI24" s="1023">
        <v>0.04</v>
      </c>
      <c r="AO24" s="964"/>
      <c r="AP24" s="964"/>
      <c r="BD24" s="181"/>
      <c r="BE24" s="181"/>
      <c r="BF24" s="181"/>
      <c r="BG24" s="181"/>
      <c r="BH24" s="181"/>
    </row>
    <row r="25" spans="1:60" ht="12" customHeight="1">
      <c r="A25" s="1074"/>
      <c r="B25" s="1079"/>
      <c r="C25" s="1075" t="s">
        <v>4</v>
      </c>
      <c r="D25" s="1075"/>
      <c r="E25" s="1075"/>
      <c r="F25" s="1076"/>
      <c r="G25" s="1080"/>
      <c r="H25" s="1075"/>
      <c r="I25" s="1078"/>
      <c r="J25" s="373"/>
      <c r="K25" s="972"/>
      <c r="L25" s="963">
        <f t="shared" si="2"/>
        <v>3.3100000000000002E-4</v>
      </c>
      <c r="M25" s="973"/>
      <c r="N25" s="973"/>
      <c r="O25" s="973"/>
      <c r="P25" s="973"/>
      <c r="Q25" s="973"/>
      <c r="R25" s="973"/>
      <c r="S25" s="964">
        <f t="shared" si="3"/>
        <v>3.3100000000000002E-4</v>
      </c>
      <c r="T25" s="964"/>
      <c r="U25" s="964"/>
      <c r="V25" s="964"/>
      <c r="W25" s="964"/>
      <c r="X25" s="964"/>
      <c r="Y25" s="964"/>
      <c r="Z25" s="964"/>
      <c r="AA25" s="964"/>
      <c r="AB25" s="981"/>
      <c r="AC25" s="988"/>
      <c r="AD25" s="979" t="e">
        <f t="shared" si="4"/>
        <v>#N/A</v>
      </c>
      <c r="AE25" s="979">
        <f>AH17</f>
        <v>3.7158293035489098</v>
      </c>
      <c r="AF25" s="979"/>
      <c r="AG25" s="979" t="e">
        <f t="shared" si="5"/>
        <v>#N/A</v>
      </c>
      <c r="AH25" s="979">
        <f t="shared" si="6"/>
        <v>3.7158293035489098</v>
      </c>
      <c r="AI25" s="1023"/>
      <c r="AO25" s="964"/>
      <c r="AP25" s="964"/>
      <c r="BD25" s="181"/>
      <c r="BE25" s="181"/>
      <c r="BF25" s="181"/>
      <c r="BG25" s="181"/>
      <c r="BH25" s="181"/>
    </row>
    <row r="26" spans="1:60" ht="12" customHeight="1">
      <c r="A26" s="1074"/>
      <c r="B26" s="1081"/>
      <c r="C26" s="1081"/>
      <c r="D26" s="1081"/>
      <c r="E26" s="1081"/>
      <c r="F26" s="1081"/>
      <c r="G26" s="1081"/>
      <c r="H26" s="1081"/>
      <c r="I26" s="1078"/>
      <c r="J26" s="973"/>
      <c r="K26" s="972"/>
      <c r="L26" s="963">
        <f t="shared" si="2"/>
        <v>3.3100000000000002E-4</v>
      </c>
      <c r="M26" s="973"/>
      <c r="N26" s="973"/>
      <c r="O26" s="973"/>
      <c r="P26" s="973"/>
      <c r="Q26" s="973"/>
      <c r="R26" s="973"/>
      <c r="S26" s="964">
        <f t="shared" si="3"/>
        <v>3.3100000000000002E-4</v>
      </c>
      <c r="T26" s="964"/>
      <c r="U26" s="964"/>
      <c r="V26" s="964"/>
      <c r="W26" s="964"/>
      <c r="X26" s="964"/>
      <c r="Y26" s="964"/>
      <c r="Z26" s="964"/>
      <c r="AA26" s="964"/>
      <c r="AB26" s="981"/>
      <c r="AC26" s="974"/>
      <c r="AD26" s="979" t="e">
        <f t="shared" si="4"/>
        <v>#N/A</v>
      </c>
      <c r="AE26" s="976">
        <f>AH22</f>
        <v>3.0999639845400537</v>
      </c>
      <c r="AF26" s="976"/>
      <c r="AG26" s="979" t="e">
        <f t="shared" si="5"/>
        <v>#N/A</v>
      </c>
      <c r="AH26" s="979">
        <f t="shared" si="6"/>
        <v>3.0999639845400537</v>
      </c>
      <c r="AI26" s="1051"/>
      <c r="AO26" s="964"/>
      <c r="AP26" s="964"/>
      <c r="BD26" s="181"/>
      <c r="BE26" s="181"/>
      <c r="BF26" s="181"/>
      <c r="BG26" s="181"/>
      <c r="BH26" s="181"/>
    </row>
    <row r="27" spans="1:60" ht="12" customHeight="1">
      <c r="A27" s="1074"/>
      <c r="B27" s="1075"/>
      <c r="C27" s="1075"/>
      <c r="D27" s="1075"/>
      <c r="E27" s="1082"/>
      <c r="F27" s="1083" t="s">
        <v>5</v>
      </c>
      <c r="G27" s="1084" t="str">
        <f>IF(AI6,IF(AE6&lt;100,AE6,99+(AE6-99)/10),"")</f>
        <v/>
      </c>
      <c r="H27" s="1075"/>
      <c r="I27" s="1078"/>
      <c r="K27" s="972"/>
      <c r="L27" s="963">
        <f t="shared" si="2"/>
        <v>3.3100000000000002E-4</v>
      </c>
      <c r="M27" s="973"/>
      <c r="N27" s="973"/>
      <c r="O27" s="973"/>
      <c r="P27" s="973"/>
      <c r="Q27" s="973"/>
      <c r="R27" s="973"/>
      <c r="S27" s="964">
        <f t="shared" si="3"/>
        <v>3.3100000000000002E-4</v>
      </c>
      <c r="T27" s="964"/>
      <c r="U27" s="964"/>
      <c r="V27" s="964"/>
      <c r="W27" s="964"/>
      <c r="X27" s="964"/>
      <c r="Y27" s="964"/>
      <c r="Z27" s="964"/>
      <c r="AA27" s="964"/>
      <c r="AB27" s="981"/>
      <c r="AC27" s="988"/>
      <c r="AD27" s="979" t="e">
        <f t="shared" si="4"/>
        <v>#N/A</v>
      </c>
      <c r="AE27" s="979" t="e">
        <f>NA()</f>
        <v>#N/A</v>
      </c>
      <c r="AF27" s="979"/>
      <c r="AG27" s="979" t="e">
        <f t="shared" si="5"/>
        <v>#N/A</v>
      </c>
      <c r="AH27" s="979" t="e">
        <f t="shared" si="6"/>
        <v>#N/A</v>
      </c>
      <c r="AI27" s="1023"/>
      <c r="AO27" s="964"/>
      <c r="AP27" s="964"/>
      <c r="BD27" s="181"/>
      <c r="BE27" s="181"/>
      <c r="BF27" s="181"/>
      <c r="BG27" s="181"/>
      <c r="BH27" s="181"/>
    </row>
    <row r="28" spans="1:60" ht="12" customHeight="1">
      <c r="A28" s="1074"/>
      <c r="B28" s="1075"/>
      <c r="C28" s="1075"/>
      <c r="D28" s="1075"/>
      <c r="E28" s="1085"/>
      <c r="F28" s="1085"/>
      <c r="G28" s="1085"/>
      <c r="H28" s="1075"/>
      <c r="I28" s="1078"/>
      <c r="K28" s="972"/>
      <c r="L28" s="963">
        <f t="shared" si="2"/>
        <v>3.3100000000000002E-4</v>
      </c>
      <c r="M28" s="973"/>
      <c r="N28" s="973"/>
      <c r="O28" s="973"/>
      <c r="P28" s="973"/>
      <c r="Q28" s="973"/>
      <c r="R28" s="973"/>
      <c r="S28" s="964">
        <f t="shared" si="3"/>
        <v>3.3100000000000002E-4</v>
      </c>
      <c r="T28" s="964"/>
      <c r="U28" s="964"/>
      <c r="V28" s="964"/>
      <c r="W28" s="964"/>
      <c r="X28" s="964"/>
      <c r="Y28" s="964"/>
      <c r="Z28" s="964"/>
      <c r="AA28" s="964"/>
      <c r="AB28" s="981"/>
      <c r="AC28" s="988"/>
      <c r="AD28" s="979" t="e">
        <f t="shared" si="4"/>
        <v>#N/A</v>
      </c>
      <c r="AE28" s="979">
        <f>AH19</f>
        <v>2.4215515655446005</v>
      </c>
      <c r="AF28" s="979"/>
      <c r="AG28" s="979" t="e">
        <f t="shared" si="5"/>
        <v>#N/A</v>
      </c>
      <c r="AH28" s="979">
        <f t="shared" si="6"/>
        <v>2.4215515655446005</v>
      </c>
      <c r="AI28" s="1023"/>
      <c r="AO28" s="964"/>
      <c r="AP28" s="964"/>
      <c r="BD28" s="181"/>
      <c r="BE28" s="181"/>
      <c r="BF28" s="181"/>
      <c r="BG28" s="181"/>
      <c r="BH28" s="181"/>
    </row>
    <row r="29" spans="1:60" ht="12" customHeight="1">
      <c r="A29" s="1086"/>
      <c r="B29" s="1087"/>
      <c r="C29" s="1087"/>
      <c r="D29" s="1087"/>
      <c r="E29" s="1088"/>
      <c r="F29" s="1088"/>
      <c r="G29" s="473"/>
      <c r="H29" s="473"/>
      <c r="I29" s="1089"/>
      <c r="K29" s="972"/>
      <c r="L29" s="963">
        <f t="shared" si="2"/>
        <v>3.3100000000000002E-4</v>
      </c>
      <c r="M29" s="973"/>
      <c r="N29" s="973"/>
      <c r="O29" s="973"/>
      <c r="P29" s="973"/>
      <c r="Q29" s="973"/>
      <c r="R29" s="973"/>
      <c r="S29" s="964">
        <f t="shared" si="3"/>
        <v>3.3100000000000002E-4</v>
      </c>
      <c r="T29" s="964"/>
      <c r="U29" s="964"/>
      <c r="V29" s="964"/>
      <c r="W29" s="964"/>
      <c r="X29" s="964"/>
      <c r="Y29" s="964"/>
      <c r="Z29" s="964"/>
      <c r="AA29" s="964"/>
      <c r="AB29" s="981"/>
      <c r="AC29" s="1064"/>
      <c r="AD29" s="1065" t="e">
        <f t="shared" si="4"/>
        <v>#N/A</v>
      </c>
      <c r="AE29" s="1065" t="e">
        <f>NA()</f>
        <v>#N/A</v>
      </c>
      <c r="AF29" s="1065"/>
      <c r="AG29" s="1065" t="e">
        <f t="shared" si="5"/>
        <v>#N/A</v>
      </c>
      <c r="AH29" s="1065" t="e">
        <f t="shared" si="6"/>
        <v>#N/A</v>
      </c>
      <c r="AI29" s="1036"/>
      <c r="AO29" s="964"/>
      <c r="AP29" s="964"/>
      <c r="BD29" s="181"/>
      <c r="BE29" s="181"/>
      <c r="BF29" s="181"/>
      <c r="BG29" s="181"/>
      <c r="BH29" s="181"/>
    </row>
    <row r="30" spans="1:60" ht="12" customHeight="1">
      <c r="A30" s="321"/>
      <c r="B30" s="321"/>
      <c r="C30" s="321"/>
      <c r="D30" s="321"/>
      <c r="H30" s="321"/>
      <c r="I30" s="321"/>
      <c r="K30" s="972"/>
      <c r="L30" s="963">
        <f t="shared" si="2"/>
        <v>3.3100000000000002E-4</v>
      </c>
      <c r="M30" s="973"/>
      <c r="N30" s="973"/>
      <c r="O30" s="973"/>
      <c r="P30" s="973"/>
      <c r="Q30" s="973"/>
      <c r="R30" s="973"/>
      <c r="S30" s="964">
        <f t="shared" si="3"/>
        <v>3.3100000000000002E-4</v>
      </c>
      <c r="T30" s="964"/>
      <c r="U30" s="964"/>
      <c r="V30" s="964"/>
      <c r="W30" s="964"/>
      <c r="X30" s="964"/>
      <c r="Y30" s="964"/>
      <c r="Z30" s="964"/>
      <c r="AA30" s="964"/>
      <c r="AB30" s="981"/>
      <c r="AC30" s="981"/>
      <c r="AD30" s="1072"/>
      <c r="AE30" s="1073" t="s">
        <v>1403</v>
      </c>
      <c r="AF30" s="1020"/>
      <c r="AG30" s="981"/>
      <c r="AH30" s="981"/>
      <c r="AI30" s="981"/>
      <c r="AO30" s="964"/>
      <c r="AP30" s="964"/>
      <c r="BD30" s="181"/>
      <c r="BE30" s="181"/>
      <c r="BF30" s="181"/>
      <c r="BG30" s="181"/>
      <c r="BH30" s="181"/>
    </row>
    <row r="31" spans="1:60" ht="12" customHeight="1">
      <c r="A31" s="321"/>
      <c r="B31" s="321"/>
      <c r="C31" s="321"/>
      <c r="D31" s="321"/>
      <c r="H31" s="321"/>
      <c r="I31" s="321"/>
      <c r="K31" s="972"/>
      <c r="L31" s="963">
        <f t="shared" si="2"/>
        <v>3.3100000000000002E-4</v>
      </c>
      <c r="M31" s="973"/>
      <c r="N31" s="973"/>
      <c r="O31" s="973"/>
      <c r="P31" s="973"/>
      <c r="Q31" s="973"/>
      <c r="R31" s="973"/>
      <c r="S31" s="964">
        <f t="shared" si="3"/>
        <v>3.3100000000000002E-4</v>
      </c>
      <c r="T31" s="964"/>
      <c r="U31" s="964"/>
      <c r="V31" s="964"/>
      <c r="W31" s="964"/>
      <c r="X31" s="964"/>
      <c r="Y31" s="964"/>
      <c r="Z31" s="964"/>
      <c r="AA31" s="964"/>
      <c r="AB31" s="981"/>
      <c r="AC31" s="981"/>
      <c r="AD31" s="988" t="e">
        <f>IF(AI6,AE1+$AG$15,NA())</f>
        <v>#N/A</v>
      </c>
      <c r="AE31" s="976">
        <f>CIoL</f>
        <v>1.1399999999999999</v>
      </c>
      <c r="AF31" s="1023" t="e">
        <f>IF(G27="",NA(),NORMSINV(0.5+G27/200))</f>
        <v>#N/A</v>
      </c>
      <c r="AG31" s="981"/>
      <c r="AH31" s="981"/>
      <c r="AI31" s="981"/>
      <c r="AO31" s="964"/>
      <c r="AP31" s="964"/>
      <c r="BD31" s="181"/>
      <c r="BE31" s="181"/>
      <c r="BF31" s="181"/>
      <c r="BG31" s="181"/>
      <c r="BH31" s="181"/>
    </row>
    <row r="32" spans="1:60" ht="12" customHeight="1">
      <c r="A32" s="321"/>
      <c r="B32" s="321"/>
      <c r="C32" s="321"/>
      <c r="D32" s="321"/>
      <c r="E32" s="321"/>
      <c r="F32" s="321"/>
      <c r="G32" s="321"/>
      <c r="H32" s="321"/>
      <c r="I32" s="321"/>
      <c r="K32" s="972"/>
      <c r="L32" s="963">
        <f t="shared" si="2"/>
        <v>3.3100000000000002E-4</v>
      </c>
      <c r="M32" s="973"/>
      <c r="N32" s="973"/>
      <c r="O32" s="973"/>
      <c r="P32" s="973"/>
      <c r="Q32" s="973"/>
      <c r="R32" s="973"/>
      <c r="S32" s="964">
        <f t="shared" si="3"/>
        <v>3.3100000000000002E-4</v>
      </c>
      <c r="T32" s="964"/>
      <c r="U32" s="964"/>
      <c r="V32" s="964"/>
      <c r="W32" s="964"/>
      <c r="X32" s="964"/>
      <c r="Y32" s="964"/>
      <c r="Z32" s="964"/>
      <c r="AA32" s="964"/>
      <c r="AB32" s="981"/>
      <c r="AC32" s="1072"/>
      <c r="AD32" s="1073" t="s">
        <v>0</v>
      </c>
      <c r="AE32" s="982"/>
      <c r="AF32" s="1020"/>
      <c r="AG32" s="981"/>
      <c r="AH32" s="981"/>
      <c r="AI32" s="981"/>
      <c r="AO32" s="964"/>
      <c r="AP32" s="964"/>
      <c r="BD32" s="181"/>
      <c r="BE32" s="181"/>
      <c r="BF32" s="181"/>
      <c r="BG32" s="181"/>
      <c r="BH32" s="181"/>
    </row>
    <row r="33" spans="1:60" ht="12" customHeight="1">
      <c r="A33" s="321"/>
      <c r="B33" s="321"/>
      <c r="C33" s="321"/>
      <c r="D33" s="321"/>
      <c r="E33" s="321"/>
      <c r="F33" s="321"/>
      <c r="G33" s="321"/>
      <c r="H33" s="321"/>
      <c r="I33" s="321"/>
      <c r="K33" s="972"/>
      <c r="L33" s="963">
        <f t="shared" si="2"/>
        <v>3.3100000000000002E-4</v>
      </c>
      <c r="M33" s="973"/>
      <c r="N33" s="973"/>
      <c r="O33" s="973"/>
      <c r="P33" s="973"/>
      <c r="Q33" s="973"/>
      <c r="R33" s="973"/>
      <c r="S33" s="964">
        <f t="shared" si="3"/>
        <v>3.3100000000000002E-4</v>
      </c>
      <c r="T33" s="964"/>
      <c r="U33" s="964"/>
      <c r="V33" s="964"/>
      <c r="W33" s="964"/>
      <c r="X33" s="964"/>
      <c r="Y33" s="964"/>
      <c r="Z33" s="964"/>
      <c r="AA33" s="964"/>
      <c r="AB33" s="981"/>
      <c r="AC33" s="1090" t="s">
        <v>1398</v>
      </c>
      <c r="AD33" s="979" t="e">
        <f>IF(AND(AI6,AC36&gt;0.99),AE1+$AG$15-AF33,NA())</f>
        <v>#N/A</v>
      </c>
      <c r="AE33" s="979">
        <f>CIoL+AF9</f>
        <v>0.85999999999999988</v>
      </c>
      <c r="AF33" s="1023">
        <v>0.1</v>
      </c>
      <c r="AG33" s="981"/>
      <c r="AH33" s="981"/>
      <c r="AI33" s="981"/>
      <c r="AO33" s="964"/>
      <c r="AP33" s="964"/>
      <c r="BD33" s="181"/>
      <c r="BE33" s="181"/>
      <c r="BF33" s="181"/>
      <c r="BG33" s="181"/>
      <c r="BH33" s="181"/>
    </row>
    <row r="34" spans="1:60" ht="12" customHeight="1">
      <c r="A34" s="321"/>
      <c r="B34" s="321"/>
      <c r="C34" s="321"/>
      <c r="D34" s="321"/>
      <c r="E34" s="321"/>
      <c r="F34" s="321"/>
      <c r="G34" s="321"/>
      <c r="H34" s="321"/>
      <c r="I34" s="321"/>
      <c r="K34" s="972"/>
      <c r="L34" s="963">
        <f t="shared" si="2"/>
        <v>3.3100000000000002E-4</v>
      </c>
      <c r="M34" s="973"/>
      <c r="N34" s="973"/>
      <c r="O34" s="973"/>
      <c r="P34" s="973"/>
      <c r="Q34" s="973"/>
      <c r="R34" s="973"/>
      <c r="S34" s="964">
        <f t="shared" si="3"/>
        <v>3.3100000000000002E-4</v>
      </c>
      <c r="T34" s="964"/>
      <c r="U34" s="964"/>
      <c r="V34" s="964"/>
      <c r="W34" s="964"/>
      <c r="X34" s="964"/>
      <c r="Y34" s="964"/>
      <c r="Z34" s="964"/>
      <c r="AA34" s="964"/>
      <c r="AB34" s="981"/>
      <c r="AC34" s="974"/>
      <c r="AD34" s="979"/>
      <c r="AE34" s="1091">
        <f>AC36</f>
        <v>0.95</v>
      </c>
      <c r="AF34" s="1023"/>
      <c r="AG34" s="981"/>
      <c r="AH34" s="981"/>
      <c r="AI34" s="981"/>
      <c r="AO34" s="964"/>
      <c r="AP34" s="964"/>
      <c r="BD34" s="181"/>
      <c r="BE34" s="181"/>
      <c r="BF34" s="181"/>
      <c r="BG34" s="181"/>
      <c r="BH34" s="181"/>
    </row>
    <row r="35" spans="1:60" ht="12" customHeight="1">
      <c r="A35" s="321"/>
      <c r="B35" s="321"/>
      <c r="C35" s="321"/>
      <c r="D35" s="321"/>
      <c r="E35" s="321"/>
      <c r="F35" s="321"/>
      <c r="G35" s="321"/>
      <c r="H35" s="321"/>
      <c r="I35" s="321"/>
      <c r="K35" s="972"/>
      <c r="L35" s="963">
        <f t="shared" si="2"/>
        <v>3.3100000000000002E-4</v>
      </c>
      <c r="M35" s="973"/>
      <c r="N35" s="973"/>
      <c r="O35" s="973"/>
      <c r="P35" s="973"/>
      <c r="Q35" s="973"/>
      <c r="R35" s="973"/>
      <c r="S35" s="964">
        <f t="shared" si="3"/>
        <v>3.3100000000000002E-4</v>
      </c>
      <c r="T35" s="964"/>
      <c r="U35" s="964"/>
      <c r="V35" s="964"/>
      <c r="W35" s="964"/>
      <c r="X35" s="964"/>
      <c r="Y35" s="964"/>
      <c r="Z35" s="964"/>
      <c r="AA35" s="964"/>
      <c r="AB35" s="981"/>
      <c r="AC35" s="1090" t="s">
        <v>1399</v>
      </c>
      <c r="AD35" s="979" t="e">
        <f>IF(AND(AI6,AC36&lt;=0.99),AE1+$AG$15-AF33,NA())</f>
        <v>#N/A</v>
      </c>
      <c r="AE35" s="979">
        <f>AE33</f>
        <v>0.85999999999999988</v>
      </c>
      <c r="AF35" s="1023"/>
      <c r="AG35" s="981"/>
      <c r="AH35" s="981"/>
      <c r="AI35" s="981"/>
      <c r="AO35" s="964"/>
      <c r="AP35" s="964"/>
    </row>
    <row r="36" spans="1:60" ht="12" customHeight="1">
      <c r="K36" s="972"/>
      <c r="L36" s="963">
        <f t="shared" si="2"/>
        <v>3.3100000000000002E-4</v>
      </c>
      <c r="M36" s="973"/>
      <c r="N36" s="973"/>
      <c r="O36" s="973"/>
      <c r="P36" s="973"/>
      <c r="Q36" s="973"/>
      <c r="R36" s="973"/>
      <c r="S36" s="964">
        <f t="shared" si="3"/>
        <v>3.3100000000000002E-4</v>
      </c>
      <c r="T36" s="964"/>
      <c r="U36" s="964"/>
      <c r="V36" s="964"/>
      <c r="W36" s="964"/>
      <c r="X36" s="964"/>
      <c r="Y36" s="964"/>
      <c r="Z36" s="964"/>
      <c r="AA36" s="964"/>
      <c r="AB36" s="981"/>
      <c r="AC36" s="1064">
        <f>IF(AE6&lt;100,AE6,99+(AE6-99)/10)/100</f>
        <v>0.95</v>
      </c>
      <c r="AD36" s="1065"/>
      <c r="AE36" s="1092">
        <f>AC36</f>
        <v>0.95</v>
      </c>
      <c r="AF36" s="1036"/>
      <c r="AG36" s="981"/>
      <c r="AH36" s="981"/>
      <c r="AI36" s="981"/>
      <c r="AO36" s="964"/>
      <c r="AP36" s="964"/>
    </row>
    <row r="37" spans="1:60" ht="12" customHeight="1">
      <c r="K37" s="972"/>
      <c r="L37" s="963"/>
      <c r="M37" s="973"/>
      <c r="N37" s="973"/>
      <c r="O37" s="973"/>
      <c r="P37" s="973"/>
      <c r="Q37" s="973"/>
      <c r="R37" s="973"/>
      <c r="S37" s="964"/>
      <c r="T37" s="964"/>
      <c r="U37" s="964"/>
      <c r="V37" s="964"/>
      <c r="W37" s="964"/>
      <c r="X37" s="964"/>
      <c r="Y37" s="964"/>
      <c r="Z37" s="964"/>
      <c r="AA37" s="964"/>
      <c r="AB37" s="981"/>
      <c r="AC37" s="981"/>
      <c r="AD37" s="981"/>
      <c r="AE37" s="981"/>
      <c r="AF37" s="981"/>
      <c r="AG37" s="981"/>
      <c r="AH37" s="981"/>
      <c r="AI37" s="981"/>
      <c r="AO37" s="964"/>
      <c r="AP37" s="964"/>
    </row>
    <row r="38" spans="1:60" ht="12" customHeight="1">
      <c r="K38" s="972"/>
      <c r="L38" s="963"/>
      <c r="M38" s="973"/>
      <c r="N38" s="973"/>
      <c r="O38" s="973"/>
      <c r="P38" s="973"/>
      <c r="Q38" s="973"/>
      <c r="R38" s="973"/>
      <c r="S38" s="964"/>
      <c r="T38" s="964"/>
      <c r="U38" s="964"/>
      <c r="V38" s="964"/>
      <c r="W38" s="964"/>
      <c r="X38" s="964"/>
      <c r="Y38" s="964"/>
      <c r="Z38" s="964"/>
      <c r="AA38" s="964"/>
      <c r="AB38" s="981"/>
      <c r="AC38" s="981"/>
      <c r="AD38" s="981"/>
      <c r="AE38" s="981"/>
      <c r="AF38" s="981"/>
      <c r="AG38" s="981"/>
      <c r="AH38" s="981"/>
      <c r="AI38" s="981"/>
      <c r="AP38" s="963"/>
    </row>
    <row r="39" spans="1:60" ht="12" customHeight="1">
      <c r="K39" s="972"/>
      <c r="L39" s="973"/>
      <c r="M39" s="973"/>
      <c r="N39" s="973"/>
      <c r="O39" s="973"/>
      <c r="P39" s="973"/>
      <c r="Q39" s="973"/>
      <c r="R39" s="973"/>
      <c r="S39" s="985"/>
      <c r="T39" s="985"/>
      <c r="U39" s="985"/>
      <c r="V39" s="985"/>
      <c r="W39" s="985"/>
      <c r="X39" s="985"/>
      <c r="Y39" s="985"/>
      <c r="Z39" s="985"/>
      <c r="AA39" s="985"/>
      <c r="AB39" s="981"/>
      <c r="AC39" s="981"/>
      <c r="AD39" s="981"/>
      <c r="AE39" s="981"/>
      <c r="AF39" s="981"/>
      <c r="AG39" s="981"/>
      <c r="AH39" s="981"/>
      <c r="AI39" s="981"/>
    </row>
    <row r="40" spans="1:60" ht="12" customHeight="1">
      <c r="K40" s="1094"/>
      <c r="L40" s="973"/>
      <c r="M40" s="973"/>
      <c r="N40" s="973"/>
      <c r="O40" s="973"/>
      <c r="P40" s="973"/>
      <c r="Q40" s="973"/>
      <c r="R40" s="973"/>
      <c r="S40" s="985"/>
      <c r="T40" s="985"/>
      <c r="U40" s="985"/>
      <c r="V40" s="985"/>
      <c r="W40" s="985"/>
      <c r="X40" s="985"/>
      <c r="Y40" s="985"/>
      <c r="Z40" s="985"/>
      <c r="AA40" s="985"/>
      <c r="AB40" s="981"/>
      <c r="AC40" s="981"/>
      <c r="AD40" s="981"/>
      <c r="AE40" s="981"/>
      <c r="AF40" s="981"/>
      <c r="AG40" s="981"/>
      <c r="AH40" s="981"/>
      <c r="AI40" s="981"/>
    </row>
    <row r="41" spans="1:60" ht="12" customHeight="1">
      <c r="AB41" s="981"/>
      <c r="AC41" s="981"/>
      <c r="AD41" s="981"/>
      <c r="AE41" s="981"/>
      <c r="AF41" s="981"/>
      <c r="AG41" s="981"/>
      <c r="AH41" s="981"/>
      <c r="AI41" s="981"/>
    </row>
    <row r="42" spans="1:60" ht="12" customHeight="1">
      <c r="AB42" s="981"/>
      <c r="AC42" s="981"/>
      <c r="AD42" s="981"/>
      <c r="AE42" s="981"/>
      <c r="AF42" s="981"/>
      <c r="AG42" s="981"/>
      <c r="AH42" s="981"/>
      <c r="AI42" s="981"/>
    </row>
    <row r="43" spans="1:60" ht="12" customHeight="1">
      <c r="G43" s="960"/>
      <c r="H43" s="1097"/>
      <c r="K43" s="1097"/>
      <c r="L43" s="1098"/>
      <c r="M43" s="1098"/>
      <c r="N43" s="1098"/>
      <c r="O43" s="1098"/>
      <c r="P43" s="1098"/>
      <c r="Q43" s="1098"/>
      <c r="R43" s="1098"/>
      <c r="AB43" s="981"/>
      <c r="AC43" s="981"/>
      <c r="AD43" s="1099"/>
      <c r="AE43" s="1099"/>
      <c r="AF43" s="981"/>
      <c r="AG43" s="981"/>
      <c r="AH43" s="981"/>
      <c r="AI43" s="981"/>
      <c r="AM43" s="981"/>
      <c r="AO43" s="964"/>
    </row>
    <row r="44" spans="1:60" ht="12" customHeight="1">
      <c r="B44" s="1097"/>
      <c r="C44" s="1097"/>
      <c r="D44" s="1097"/>
      <c r="E44" s="1100"/>
      <c r="F44" s="1100"/>
      <c r="G44" s="1101"/>
      <c r="H44" s="1097"/>
      <c r="J44" s="1102"/>
      <c r="K44" s="1097"/>
      <c r="L44" s="1098"/>
      <c r="M44" s="1098"/>
      <c r="N44" s="1098"/>
      <c r="O44" s="1098"/>
      <c r="P44" s="1098"/>
      <c r="Q44" s="1098"/>
      <c r="R44" s="1098"/>
      <c r="AB44" s="1103"/>
      <c r="AC44" s="1103"/>
      <c r="AD44" s="1099"/>
      <c r="AE44" s="1099"/>
      <c r="AF44" s="1099"/>
      <c r="AG44" s="1099"/>
      <c r="AH44" s="1099"/>
      <c r="AI44" s="1099"/>
      <c r="AJ44" s="1097"/>
      <c r="AK44" s="1097"/>
      <c r="AL44" s="1097"/>
      <c r="AM44" s="1099"/>
      <c r="AN44" s="1097"/>
      <c r="AO44" s="1097"/>
      <c r="AQ44" s="1097"/>
      <c r="AR44" s="1097"/>
      <c r="AT44" s="1102"/>
    </row>
    <row r="45" spans="1:60" ht="12" customHeight="1">
      <c r="B45" s="1097"/>
      <c r="C45" s="1097"/>
      <c r="D45" s="1097"/>
      <c r="E45" s="1097"/>
      <c r="F45" s="1097"/>
      <c r="G45" s="960"/>
      <c r="H45" s="1104"/>
      <c r="J45" s="961"/>
      <c r="K45" s="1104"/>
      <c r="L45" s="1105"/>
      <c r="M45" s="1105"/>
      <c r="N45" s="1105"/>
      <c r="O45" s="1105"/>
      <c r="P45" s="1105"/>
      <c r="Q45" s="1105"/>
      <c r="R45" s="1105"/>
      <c r="S45" s="1106"/>
      <c r="T45" s="1106"/>
      <c r="U45" s="1106"/>
      <c r="V45" s="1106"/>
      <c r="W45" s="1106"/>
      <c r="X45" s="1106"/>
      <c r="Y45" s="1106"/>
      <c r="Z45" s="1106"/>
      <c r="AA45" s="1106"/>
      <c r="AB45" s="961"/>
      <c r="AD45" s="1104"/>
      <c r="AE45" s="1104"/>
      <c r="AG45" s="1097"/>
      <c r="AH45" s="1097"/>
      <c r="AI45" s="1097"/>
      <c r="AJ45" s="1097"/>
      <c r="AK45" s="1097"/>
      <c r="AL45" s="1097"/>
      <c r="AM45" s="1099"/>
      <c r="AN45" s="1097"/>
      <c r="AT45" s="961"/>
    </row>
    <row r="46" spans="1:60" ht="12" customHeight="1">
      <c r="B46" s="1097"/>
      <c r="C46" s="1097"/>
      <c r="D46" s="1097"/>
      <c r="E46" s="1097"/>
      <c r="F46" s="1097"/>
      <c r="G46" s="958"/>
      <c r="H46" s="1104"/>
      <c r="J46" s="961"/>
      <c r="K46" s="1104"/>
      <c r="L46" s="1105"/>
      <c r="M46" s="1105"/>
      <c r="N46" s="1105"/>
      <c r="O46" s="1105"/>
      <c r="P46" s="1105"/>
      <c r="Q46" s="1105"/>
      <c r="R46" s="1105"/>
      <c r="S46" s="1106"/>
      <c r="T46" s="1106"/>
      <c r="U46" s="1106"/>
      <c r="V46" s="1106"/>
      <c r="W46" s="1106"/>
      <c r="X46" s="1106"/>
      <c r="Y46" s="1106"/>
      <c r="Z46" s="1106"/>
      <c r="AA46" s="1106"/>
      <c r="AB46" s="961"/>
      <c r="AG46" s="1097"/>
      <c r="AH46" s="1097"/>
      <c r="AI46" s="1107"/>
      <c r="AJ46" s="1107"/>
      <c r="AK46" s="1107"/>
      <c r="AL46" s="1097"/>
      <c r="AM46" s="1099"/>
      <c r="AN46" s="1097"/>
      <c r="AT46" s="961"/>
    </row>
    <row r="47" spans="1:60" ht="12" customHeight="1">
      <c r="B47" s="1097"/>
      <c r="C47" s="1097"/>
      <c r="D47" s="1097"/>
      <c r="E47" s="1097"/>
      <c r="F47" s="1097"/>
      <c r="G47" s="958"/>
      <c r="H47" s="1104"/>
      <c r="J47" s="961"/>
      <c r="K47" s="1104"/>
      <c r="L47" s="1105"/>
      <c r="M47" s="1105"/>
      <c r="N47" s="1105"/>
      <c r="O47" s="1105"/>
      <c r="P47" s="1105"/>
      <c r="Q47" s="1105"/>
      <c r="R47" s="1105"/>
      <c r="S47" s="1106"/>
      <c r="T47" s="1106"/>
      <c r="U47" s="1106"/>
      <c r="V47" s="1106"/>
      <c r="W47" s="1106"/>
      <c r="X47" s="1106"/>
      <c r="Y47" s="1106"/>
      <c r="Z47" s="1106"/>
      <c r="AA47" s="1106"/>
      <c r="AB47" s="961"/>
      <c r="AG47" s="1097"/>
      <c r="AH47" s="1097"/>
      <c r="AI47" s="1107"/>
      <c r="AJ47" s="1107"/>
      <c r="AK47" s="1107"/>
      <c r="AL47" s="1097"/>
      <c r="AM47" s="1099"/>
      <c r="AN47" s="1097"/>
      <c r="AT47" s="961"/>
    </row>
    <row r="48" spans="1:60" ht="12" customHeight="1">
      <c r="B48" s="1097"/>
      <c r="C48" s="1097"/>
      <c r="D48" s="1097"/>
      <c r="E48" s="1097"/>
      <c r="F48" s="1097"/>
      <c r="G48" s="958"/>
      <c r="H48" s="1104"/>
      <c r="J48" s="961"/>
      <c r="K48" s="1104"/>
      <c r="L48" s="1105"/>
      <c r="M48" s="1105"/>
      <c r="N48" s="1105"/>
      <c r="O48" s="1105"/>
      <c r="P48" s="1105"/>
      <c r="Q48" s="1105"/>
      <c r="R48" s="1105"/>
      <c r="S48" s="1106"/>
      <c r="T48" s="1106"/>
      <c r="U48" s="1106"/>
      <c r="V48" s="1106"/>
      <c r="W48" s="1106"/>
      <c r="X48" s="1106"/>
      <c r="Y48" s="1106"/>
      <c r="Z48" s="1106"/>
      <c r="AA48" s="1106"/>
      <c r="AB48" s="961"/>
      <c r="AG48" s="1097"/>
      <c r="AH48" s="1097"/>
      <c r="AI48" s="1107"/>
      <c r="AJ48" s="1107"/>
      <c r="AK48" s="1107"/>
      <c r="AL48" s="1097"/>
      <c r="AM48" s="1099"/>
      <c r="AN48" s="1097"/>
      <c r="AT48" s="961"/>
    </row>
    <row r="49" spans="2:46" ht="12" customHeight="1">
      <c r="B49" s="1097"/>
      <c r="C49" s="1097"/>
      <c r="D49" s="1097"/>
      <c r="E49" s="1097"/>
      <c r="F49" s="1097"/>
      <c r="G49" s="958"/>
      <c r="H49" s="1104"/>
      <c r="J49" s="961"/>
      <c r="K49" s="1104"/>
      <c r="L49" s="1105"/>
      <c r="M49" s="1105"/>
      <c r="N49" s="1105"/>
      <c r="O49" s="1105"/>
      <c r="P49" s="1105"/>
      <c r="Q49" s="1105"/>
      <c r="R49" s="1105"/>
      <c r="S49" s="1106"/>
      <c r="T49" s="1106"/>
      <c r="U49" s="1106"/>
      <c r="V49" s="1106"/>
      <c r="W49" s="1106"/>
      <c r="X49" s="1106"/>
      <c r="Y49" s="1106"/>
      <c r="Z49" s="1106"/>
      <c r="AA49" s="1106"/>
      <c r="AB49" s="961"/>
      <c r="AG49" s="1097"/>
      <c r="AH49" s="1097"/>
      <c r="AI49" s="1107"/>
      <c r="AJ49" s="1107"/>
      <c r="AK49" s="1107"/>
      <c r="AL49" s="1097"/>
      <c r="AM49" s="1099"/>
      <c r="AN49" s="1097"/>
      <c r="AT49" s="961"/>
    </row>
    <row r="50" spans="2:46" ht="12" customHeight="1">
      <c r="B50" s="1097"/>
      <c r="C50" s="1097"/>
      <c r="D50" s="1097"/>
      <c r="E50" s="1097"/>
      <c r="F50" s="1097"/>
      <c r="G50" s="958"/>
      <c r="H50" s="1104"/>
      <c r="J50" s="961"/>
      <c r="K50" s="1104"/>
      <c r="L50" s="1105"/>
      <c r="M50" s="1105"/>
      <c r="N50" s="1105"/>
      <c r="O50" s="1105"/>
      <c r="P50" s="1105"/>
      <c r="Q50" s="1105"/>
      <c r="R50" s="1105"/>
      <c r="S50" s="1106"/>
      <c r="T50" s="1106"/>
      <c r="U50" s="1106"/>
      <c r="V50" s="1106"/>
      <c r="W50" s="1106"/>
      <c r="X50" s="1106"/>
      <c r="Y50" s="1106"/>
      <c r="Z50" s="1106"/>
      <c r="AA50" s="1106"/>
      <c r="AB50" s="961"/>
      <c r="AG50" s="1097"/>
      <c r="AH50" s="1097"/>
      <c r="AI50" s="1107"/>
      <c r="AJ50" s="1107"/>
      <c r="AK50" s="1107"/>
      <c r="AL50" s="1097"/>
      <c r="AM50" s="1099"/>
      <c r="AN50" s="1097"/>
      <c r="AT50" s="961"/>
    </row>
    <row r="51" spans="2:46" ht="12" customHeight="1">
      <c r="B51" s="1097"/>
      <c r="C51" s="1097"/>
      <c r="D51" s="1097"/>
      <c r="E51" s="1097"/>
      <c r="F51" s="1097"/>
      <c r="G51" s="958"/>
      <c r="H51" s="1104"/>
      <c r="J51" s="961"/>
      <c r="K51" s="1104"/>
      <c r="L51" s="1105"/>
      <c r="M51" s="1105"/>
      <c r="N51" s="1105"/>
      <c r="O51" s="1105"/>
      <c r="P51" s="1105"/>
      <c r="Q51" s="1105"/>
      <c r="R51" s="1105"/>
      <c r="S51" s="1106"/>
      <c r="T51" s="1106"/>
      <c r="U51" s="1106"/>
      <c r="V51" s="1106"/>
      <c r="W51" s="1106"/>
      <c r="X51" s="1106"/>
      <c r="Y51" s="1106"/>
      <c r="Z51" s="1106"/>
      <c r="AA51" s="1106"/>
      <c r="AB51" s="961"/>
      <c r="AG51" s="1097"/>
      <c r="AH51" s="1097"/>
      <c r="AI51" s="1107"/>
      <c r="AJ51" s="1107"/>
      <c r="AK51" s="1107"/>
      <c r="AL51" s="1097"/>
      <c r="AM51" s="1099"/>
      <c r="AN51" s="1097"/>
      <c r="AT51" s="961"/>
    </row>
    <row r="52" spans="2:46" ht="12" customHeight="1">
      <c r="B52" s="1097"/>
      <c r="C52" s="1097"/>
      <c r="D52" s="1097"/>
      <c r="E52" s="1097"/>
      <c r="F52" s="1097"/>
      <c r="G52" s="958"/>
      <c r="H52" s="1104"/>
      <c r="J52" s="961"/>
      <c r="K52" s="1104"/>
      <c r="L52" s="1105"/>
      <c r="M52" s="1105"/>
      <c r="N52" s="1105"/>
      <c r="O52" s="1105"/>
      <c r="P52" s="1105"/>
      <c r="Q52" s="1105"/>
      <c r="R52" s="1105"/>
      <c r="S52" s="1106"/>
      <c r="T52" s="1106"/>
      <c r="U52" s="1106"/>
      <c r="V52" s="1106"/>
      <c r="W52" s="1106"/>
      <c r="X52" s="1106"/>
      <c r="Y52" s="1106"/>
      <c r="Z52" s="1106"/>
      <c r="AA52" s="1106"/>
      <c r="AB52" s="961"/>
      <c r="AG52" s="1097"/>
      <c r="AH52" s="1097"/>
      <c r="AI52" s="1107"/>
      <c r="AJ52" s="1107"/>
      <c r="AK52" s="1107"/>
      <c r="AL52" s="1097"/>
      <c r="AM52" s="1099"/>
      <c r="AN52" s="1097"/>
      <c r="AT52" s="961"/>
    </row>
    <row r="53" spans="2:46" ht="12" customHeight="1">
      <c r="B53" s="1097"/>
      <c r="C53" s="1097"/>
      <c r="D53" s="1097"/>
      <c r="E53" s="1097"/>
      <c r="F53" s="1097"/>
      <c r="G53" s="958"/>
      <c r="H53" s="1104"/>
      <c r="J53" s="961"/>
      <c r="K53" s="1104"/>
      <c r="L53" s="1105"/>
      <c r="M53" s="1105"/>
      <c r="N53" s="1105"/>
      <c r="O53" s="1105"/>
      <c r="P53" s="1105"/>
      <c r="Q53" s="1105"/>
      <c r="R53" s="1105"/>
      <c r="S53" s="1106"/>
      <c r="T53" s="1106"/>
      <c r="U53" s="1106"/>
      <c r="V53" s="1106"/>
      <c r="W53" s="1106"/>
      <c r="X53" s="1106"/>
      <c r="Y53" s="1106"/>
      <c r="Z53" s="1106"/>
      <c r="AA53" s="1106"/>
      <c r="AB53" s="961"/>
      <c r="AG53" s="1097"/>
      <c r="AH53" s="1097"/>
      <c r="AI53" s="1107"/>
      <c r="AJ53" s="1107"/>
      <c r="AK53" s="1107"/>
      <c r="AL53" s="1097"/>
      <c r="AM53" s="1099"/>
      <c r="AN53" s="1097"/>
      <c r="AT53" s="961"/>
    </row>
    <row r="54" spans="2:46" ht="12" customHeight="1">
      <c r="B54" s="1097"/>
      <c r="C54" s="1097"/>
      <c r="D54" s="1097"/>
      <c r="E54" s="1097"/>
      <c r="F54" s="1097"/>
      <c r="G54" s="958"/>
      <c r="H54" s="1104"/>
      <c r="J54" s="961"/>
      <c r="K54" s="1104"/>
      <c r="L54" s="1105"/>
      <c r="M54" s="1105"/>
      <c r="N54" s="1105"/>
      <c r="O54" s="1105"/>
      <c r="P54" s="1105"/>
      <c r="Q54" s="1105"/>
      <c r="R54" s="1105"/>
      <c r="S54" s="1106"/>
      <c r="T54" s="1106"/>
      <c r="U54" s="1106"/>
      <c r="V54" s="1106"/>
      <c r="W54" s="1106"/>
      <c r="X54" s="1106"/>
      <c r="Y54" s="1106"/>
      <c r="Z54" s="1106"/>
      <c r="AA54" s="1106"/>
      <c r="AB54" s="961"/>
      <c r="AG54" s="1097"/>
      <c r="AH54" s="1097"/>
      <c r="AI54" s="1107"/>
      <c r="AJ54" s="1107"/>
      <c r="AK54" s="1107"/>
      <c r="AL54" s="1097"/>
      <c r="AM54" s="1099"/>
      <c r="AN54" s="1097"/>
      <c r="AT54" s="961"/>
    </row>
    <row r="55" spans="2:46" ht="12" customHeight="1">
      <c r="B55" s="1097"/>
      <c r="C55" s="1097"/>
      <c r="D55" s="1097"/>
      <c r="E55" s="1097"/>
      <c r="F55" s="1097"/>
      <c r="G55" s="958"/>
      <c r="H55" s="1104"/>
      <c r="J55" s="961"/>
      <c r="K55" s="1104"/>
      <c r="L55" s="1105"/>
      <c r="M55" s="1105"/>
      <c r="N55" s="1105"/>
      <c r="O55" s="1105"/>
      <c r="P55" s="1105"/>
      <c r="Q55" s="1105"/>
      <c r="R55" s="1105"/>
      <c r="S55" s="1106"/>
      <c r="T55" s="1106"/>
      <c r="U55" s="1106"/>
      <c r="V55" s="1106"/>
      <c r="W55" s="1106"/>
      <c r="X55" s="1106"/>
      <c r="Y55" s="1106"/>
      <c r="Z55" s="1106"/>
      <c r="AA55" s="1106"/>
      <c r="AB55" s="961"/>
      <c r="AG55" s="1097"/>
      <c r="AH55" s="1097"/>
      <c r="AI55" s="1107"/>
      <c r="AJ55" s="1107"/>
      <c r="AK55" s="1107"/>
      <c r="AL55" s="1097"/>
      <c r="AM55" s="1099"/>
      <c r="AN55" s="1097"/>
      <c r="AT55" s="961"/>
    </row>
    <row r="56" spans="2:46" ht="12" customHeight="1">
      <c r="B56" s="1097"/>
      <c r="C56" s="1097"/>
      <c r="D56" s="1097"/>
      <c r="E56" s="1097"/>
      <c r="F56" s="1097"/>
      <c r="G56" s="958"/>
      <c r="H56" s="1104"/>
      <c r="J56" s="961"/>
      <c r="K56" s="1104"/>
      <c r="L56" s="1105"/>
      <c r="M56" s="1105"/>
      <c r="N56" s="1105"/>
      <c r="O56" s="1105"/>
      <c r="P56" s="1105"/>
      <c r="Q56" s="1105"/>
      <c r="R56" s="1105"/>
      <c r="S56" s="1106"/>
      <c r="T56" s="1106"/>
      <c r="U56" s="1106"/>
      <c r="V56" s="1106"/>
      <c r="W56" s="1106"/>
      <c r="X56" s="1106"/>
      <c r="Y56" s="1106"/>
      <c r="Z56" s="1106"/>
      <c r="AA56" s="1106"/>
      <c r="AB56" s="961"/>
      <c r="AG56" s="1097"/>
      <c r="AH56" s="1097"/>
      <c r="AI56" s="1107"/>
      <c r="AJ56" s="1107"/>
      <c r="AK56" s="1107"/>
      <c r="AL56" s="1097"/>
      <c r="AM56" s="1099"/>
      <c r="AN56" s="1097"/>
      <c r="AT56" s="961"/>
    </row>
    <row r="57" spans="2:46" ht="12" customHeight="1">
      <c r="B57" s="1097"/>
      <c r="C57" s="1097"/>
      <c r="D57" s="1097"/>
      <c r="E57" s="1097"/>
      <c r="F57" s="1097"/>
      <c r="G57" s="958"/>
      <c r="H57" s="1104"/>
      <c r="J57" s="961"/>
      <c r="K57" s="1104"/>
      <c r="L57" s="1105"/>
      <c r="M57" s="1105"/>
      <c r="N57" s="1105"/>
      <c r="O57" s="1105"/>
      <c r="P57" s="1105"/>
      <c r="Q57" s="1105"/>
      <c r="R57" s="1105"/>
      <c r="S57" s="1106"/>
      <c r="T57" s="1106"/>
      <c r="U57" s="1106"/>
      <c r="V57" s="1106"/>
      <c r="W57" s="1106"/>
      <c r="X57" s="1106"/>
      <c r="Y57" s="1106"/>
      <c r="Z57" s="1106"/>
      <c r="AA57" s="1106"/>
      <c r="AB57" s="961"/>
      <c r="AG57" s="1097"/>
      <c r="AH57" s="1097"/>
      <c r="AI57" s="1107"/>
      <c r="AJ57" s="1107"/>
      <c r="AK57" s="1107"/>
      <c r="AL57" s="1097"/>
      <c r="AM57" s="1099"/>
      <c r="AN57" s="1097"/>
      <c r="AT57" s="961"/>
    </row>
    <row r="58" spans="2:46" ht="12" customHeight="1">
      <c r="B58" s="1097"/>
      <c r="C58" s="1097"/>
      <c r="D58" s="1097"/>
      <c r="E58" s="1097"/>
      <c r="F58" s="1097"/>
      <c r="G58" s="958"/>
      <c r="H58" s="1104"/>
      <c r="J58" s="961"/>
      <c r="K58" s="1104"/>
      <c r="L58" s="1105"/>
      <c r="M58" s="1105"/>
      <c r="N58" s="1105"/>
      <c r="O58" s="1105"/>
      <c r="P58" s="1105"/>
      <c r="Q58" s="1105"/>
      <c r="R58" s="1105"/>
      <c r="S58" s="1106"/>
      <c r="T58" s="1106"/>
      <c r="U58" s="1106"/>
      <c r="V58" s="1106"/>
      <c r="W58" s="1106"/>
      <c r="X58" s="1106"/>
      <c r="Y58" s="1106"/>
      <c r="Z58" s="1106"/>
      <c r="AA58" s="1106"/>
      <c r="AB58" s="961"/>
      <c r="AG58" s="1097"/>
      <c r="AH58" s="1097"/>
      <c r="AI58" s="1107"/>
      <c r="AJ58" s="1107"/>
      <c r="AK58" s="1107"/>
      <c r="AL58" s="1097"/>
      <c r="AM58" s="1099"/>
      <c r="AN58" s="1097"/>
      <c r="AT58" s="961"/>
    </row>
    <row r="59" spans="2:46" ht="12" customHeight="1">
      <c r="B59" s="1097"/>
      <c r="C59" s="1097"/>
      <c r="D59" s="1097"/>
      <c r="E59" s="1097"/>
      <c r="F59" s="1097"/>
      <c r="G59" s="958"/>
      <c r="H59" s="1104"/>
      <c r="J59" s="961"/>
      <c r="K59" s="1104"/>
      <c r="L59" s="1105"/>
      <c r="M59" s="1105"/>
      <c r="N59" s="1105"/>
      <c r="O59" s="1105"/>
      <c r="P59" s="1105"/>
      <c r="Q59" s="1105"/>
      <c r="R59" s="1105"/>
      <c r="S59" s="1106"/>
      <c r="T59" s="1106"/>
      <c r="U59" s="1106"/>
      <c r="V59" s="1106"/>
      <c r="W59" s="1106"/>
      <c r="X59" s="1106"/>
      <c r="Y59" s="1106"/>
      <c r="Z59" s="1106"/>
      <c r="AA59" s="1106"/>
      <c r="AB59" s="961"/>
      <c r="AG59" s="1097"/>
      <c r="AH59" s="1097"/>
      <c r="AI59" s="1107"/>
      <c r="AJ59" s="1107"/>
      <c r="AK59" s="1107"/>
      <c r="AL59" s="1097"/>
      <c r="AM59" s="1099"/>
      <c r="AN59" s="1097"/>
      <c r="AT59" s="961"/>
    </row>
    <row r="60" spans="2:46" ht="12" customHeight="1">
      <c r="B60" s="1097"/>
      <c r="C60" s="1097"/>
      <c r="D60" s="1097"/>
      <c r="E60" s="1097"/>
      <c r="F60" s="1097"/>
      <c r="G60" s="958"/>
      <c r="H60" s="1104"/>
      <c r="J60" s="961"/>
      <c r="K60" s="1104"/>
      <c r="L60" s="1105"/>
      <c r="M60" s="1105"/>
      <c r="N60" s="1105"/>
      <c r="O60" s="1105"/>
      <c r="P60" s="1105"/>
      <c r="Q60" s="1105"/>
      <c r="R60" s="1105"/>
      <c r="S60" s="1106"/>
      <c r="T60" s="1106"/>
      <c r="U60" s="1106"/>
      <c r="V60" s="1106"/>
      <c r="W60" s="1106"/>
      <c r="X60" s="1106"/>
      <c r="Y60" s="1106"/>
      <c r="Z60" s="1106"/>
      <c r="AA60" s="1106"/>
      <c r="AB60" s="961"/>
      <c r="AG60" s="1097"/>
      <c r="AH60" s="1097"/>
      <c r="AI60" s="1107"/>
      <c r="AJ60" s="1107"/>
      <c r="AK60" s="1107"/>
      <c r="AL60" s="1097"/>
      <c r="AM60" s="1099"/>
      <c r="AN60" s="1097"/>
      <c r="AT60" s="961"/>
    </row>
    <row r="61" spans="2:46" ht="12" customHeight="1">
      <c r="B61" s="1097"/>
      <c r="C61" s="1097"/>
      <c r="D61" s="1097"/>
      <c r="E61" s="1097"/>
      <c r="F61" s="1097"/>
      <c r="G61" s="958"/>
      <c r="H61" s="1104"/>
      <c r="J61" s="961"/>
      <c r="K61" s="1104"/>
      <c r="L61" s="1105"/>
      <c r="M61" s="1105"/>
      <c r="N61" s="1105"/>
      <c r="O61" s="1105"/>
      <c r="P61" s="1105"/>
      <c r="Q61" s="1105"/>
      <c r="R61" s="1105"/>
      <c r="S61" s="1106"/>
      <c r="T61" s="1106"/>
      <c r="U61" s="1106"/>
      <c r="V61" s="1106"/>
      <c r="W61" s="1106"/>
      <c r="X61" s="1106"/>
      <c r="Y61" s="1106"/>
      <c r="Z61" s="1106"/>
      <c r="AA61" s="1106"/>
      <c r="AB61" s="961"/>
      <c r="AG61" s="1097"/>
      <c r="AH61" s="1097"/>
      <c r="AI61" s="1107"/>
      <c r="AJ61" s="1107"/>
      <c r="AK61" s="1107"/>
      <c r="AL61" s="1097"/>
      <c r="AM61" s="1099"/>
      <c r="AN61" s="1097"/>
      <c r="AT61" s="961"/>
    </row>
    <row r="62" spans="2:46" ht="12" customHeight="1">
      <c r="B62" s="1097"/>
      <c r="C62" s="1097"/>
      <c r="D62" s="1097"/>
      <c r="E62" s="1097"/>
      <c r="F62" s="1097"/>
      <c r="G62" s="958"/>
      <c r="H62" s="1104"/>
      <c r="J62" s="961"/>
      <c r="K62" s="1104"/>
      <c r="L62" s="1105"/>
      <c r="M62" s="1105"/>
      <c r="N62" s="1105"/>
      <c r="O62" s="1105"/>
      <c r="P62" s="1105"/>
      <c r="Q62" s="1105"/>
      <c r="R62" s="1105"/>
      <c r="S62" s="1106"/>
      <c r="T62" s="1106"/>
      <c r="U62" s="1106"/>
      <c r="V62" s="1106"/>
      <c r="W62" s="1106"/>
      <c r="X62" s="1106"/>
      <c r="Y62" s="1106"/>
      <c r="Z62" s="1106"/>
      <c r="AA62" s="1106"/>
      <c r="AB62" s="961"/>
      <c r="AG62" s="1097"/>
      <c r="AH62" s="1097"/>
      <c r="AI62" s="1107"/>
      <c r="AJ62" s="1107"/>
      <c r="AK62" s="1107"/>
      <c r="AL62" s="1097"/>
      <c r="AM62" s="1099"/>
      <c r="AN62" s="1097"/>
      <c r="AT62" s="961"/>
    </row>
    <row r="63" spans="2:46" ht="12" customHeight="1">
      <c r="B63" s="1097"/>
      <c r="C63" s="1097"/>
      <c r="D63" s="1097"/>
      <c r="E63" s="1097"/>
      <c r="F63" s="1097"/>
      <c r="G63" s="958"/>
      <c r="H63" s="1104"/>
      <c r="J63" s="961"/>
      <c r="K63" s="1104"/>
      <c r="L63" s="1105"/>
      <c r="M63" s="1105"/>
      <c r="N63" s="1105"/>
      <c r="O63" s="1105"/>
      <c r="P63" s="1105"/>
      <c r="Q63" s="1105"/>
      <c r="R63" s="1105"/>
      <c r="S63" s="1106"/>
      <c r="T63" s="1106"/>
      <c r="U63" s="1106"/>
      <c r="V63" s="1106"/>
      <c r="W63" s="1106"/>
      <c r="X63" s="1106"/>
      <c r="Y63" s="1106"/>
      <c r="Z63" s="1106"/>
      <c r="AA63" s="1106"/>
      <c r="AB63" s="961"/>
      <c r="AG63" s="1097"/>
      <c r="AH63" s="1097"/>
      <c r="AI63" s="1107"/>
      <c r="AJ63" s="1107"/>
      <c r="AK63" s="1107"/>
      <c r="AL63" s="1097"/>
      <c r="AM63" s="1099"/>
      <c r="AN63" s="1097"/>
      <c r="AT63" s="961"/>
    </row>
    <row r="64" spans="2:46" ht="12" customHeight="1">
      <c r="B64" s="1097"/>
      <c r="C64" s="1097"/>
      <c r="D64" s="1097"/>
      <c r="E64" s="1097"/>
      <c r="F64" s="1097"/>
      <c r="G64" s="958"/>
      <c r="H64" s="1104"/>
      <c r="J64" s="961"/>
      <c r="K64" s="1104"/>
      <c r="L64" s="1105"/>
      <c r="M64" s="1105"/>
      <c r="N64" s="1105"/>
      <c r="O64" s="1105"/>
      <c r="P64" s="1105"/>
      <c r="Q64" s="1105"/>
      <c r="R64" s="1105"/>
      <c r="S64" s="1106"/>
      <c r="T64" s="1106"/>
      <c r="U64" s="1106"/>
      <c r="V64" s="1106"/>
      <c r="W64" s="1106"/>
      <c r="X64" s="1106"/>
      <c r="Y64" s="1106"/>
      <c r="Z64" s="1106"/>
      <c r="AA64" s="1106"/>
      <c r="AB64" s="961"/>
      <c r="AG64" s="1097"/>
      <c r="AH64" s="1097"/>
      <c r="AI64" s="1107"/>
      <c r="AJ64" s="1107"/>
      <c r="AK64" s="1107"/>
      <c r="AL64" s="1097"/>
      <c r="AM64" s="1099"/>
      <c r="AN64" s="1097"/>
      <c r="AT64" s="961"/>
    </row>
    <row r="65" spans="2:46" ht="12" customHeight="1">
      <c r="B65" s="1097"/>
      <c r="C65" s="1097"/>
      <c r="D65" s="1097"/>
      <c r="E65" s="1097"/>
      <c r="F65" s="1097"/>
      <c r="G65" s="958"/>
      <c r="H65" s="1104"/>
      <c r="J65" s="961"/>
      <c r="K65" s="1104"/>
      <c r="L65" s="1105"/>
      <c r="M65" s="1105"/>
      <c r="N65" s="1105"/>
      <c r="O65" s="1105"/>
      <c r="P65" s="1105"/>
      <c r="Q65" s="1105"/>
      <c r="R65" s="1105"/>
      <c r="S65" s="1106"/>
      <c r="T65" s="1106"/>
      <c r="U65" s="1106"/>
      <c r="V65" s="1106"/>
      <c r="W65" s="1106"/>
      <c r="X65" s="1106"/>
      <c r="Y65" s="1106"/>
      <c r="Z65" s="1106"/>
      <c r="AA65" s="1106"/>
      <c r="AB65" s="961"/>
      <c r="AG65" s="1097"/>
      <c r="AH65" s="1097"/>
      <c r="AI65" s="1107"/>
      <c r="AJ65" s="1107"/>
      <c r="AK65" s="1107"/>
      <c r="AL65" s="1097"/>
      <c r="AM65" s="1099"/>
      <c r="AN65" s="1097"/>
      <c r="AT65" s="961"/>
    </row>
    <row r="66" spans="2:46" ht="12" customHeight="1">
      <c r="B66" s="1097"/>
      <c r="C66" s="1097"/>
      <c r="D66" s="1097"/>
      <c r="E66" s="1097"/>
      <c r="F66" s="1097"/>
      <c r="G66" s="958"/>
      <c r="H66" s="1104"/>
      <c r="J66" s="961"/>
      <c r="K66" s="1104"/>
      <c r="L66" s="1105"/>
      <c r="M66" s="1105"/>
      <c r="N66" s="1105"/>
      <c r="O66" s="1105"/>
      <c r="P66" s="1105"/>
      <c r="Q66" s="1105"/>
      <c r="R66" s="1105"/>
      <c r="S66" s="1106"/>
      <c r="T66" s="1106"/>
      <c r="U66" s="1106"/>
      <c r="V66" s="1106"/>
      <c r="W66" s="1106"/>
      <c r="X66" s="1106"/>
      <c r="Y66" s="1106"/>
      <c r="Z66" s="1106"/>
      <c r="AA66" s="1106"/>
      <c r="AB66" s="961"/>
      <c r="AG66" s="1097"/>
      <c r="AH66" s="1097"/>
      <c r="AI66" s="1107"/>
      <c r="AJ66" s="1107"/>
      <c r="AK66" s="1107"/>
      <c r="AL66" s="1097"/>
      <c r="AM66" s="1099"/>
      <c r="AN66" s="1097"/>
      <c r="AT66" s="961"/>
    </row>
    <row r="67" spans="2:46" ht="12" customHeight="1">
      <c r="B67" s="1097"/>
      <c r="C67" s="1097"/>
      <c r="D67" s="1097"/>
      <c r="E67" s="1097"/>
      <c r="F67" s="1097"/>
      <c r="G67" s="958"/>
      <c r="H67" s="1104"/>
      <c r="J67" s="961"/>
      <c r="K67" s="1104"/>
      <c r="L67" s="1105"/>
      <c r="M67" s="1105"/>
      <c r="N67" s="1105"/>
      <c r="O67" s="1105"/>
      <c r="P67" s="1105"/>
      <c r="Q67" s="1105"/>
      <c r="R67" s="1105"/>
      <c r="S67" s="1106"/>
      <c r="T67" s="1106"/>
      <c r="U67" s="1106"/>
      <c r="V67" s="1106"/>
      <c r="W67" s="1106"/>
      <c r="X67" s="1106"/>
      <c r="Y67" s="1106"/>
      <c r="Z67" s="1106"/>
      <c r="AA67" s="1106"/>
      <c r="AB67" s="961"/>
      <c r="AG67" s="1097"/>
      <c r="AH67" s="1097"/>
      <c r="AI67" s="1107"/>
      <c r="AJ67" s="1107"/>
      <c r="AK67" s="1107"/>
      <c r="AL67" s="1097"/>
      <c r="AM67" s="1099"/>
      <c r="AN67" s="1097"/>
      <c r="AT67" s="961"/>
    </row>
    <row r="68" spans="2:46" ht="12" customHeight="1">
      <c r="B68" s="1097"/>
      <c r="C68" s="1097"/>
      <c r="D68" s="1097"/>
      <c r="E68" s="1097"/>
      <c r="F68" s="1097"/>
      <c r="G68" s="958"/>
      <c r="H68" s="1104"/>
      <c r="J68" s="961"/>
      <c r="K68" s="1104"/>
      <c r="L68" s="1105"/>
      <c r="M68" s="1105"/>
      <c r="N68" s="1105"/>
      <c r="O68" s="1105"/>
      <c r="P68" s="1105"/>
      <c r="Q68" s="1105"/>
      <c r="R68" s="1105"/>
      <c r="S68" s="1106"/>
      <c r="T68" s="1106"/>
      <c r="U68" s="1106"/>
      <c r="V68" s="1106"/>
      <c r="W68" s="1106"/>
      <c r="X68" s="1106"/>
      <c r="Y68" s="1106"/>
      <c r="Z68" s="1106"/>
      <c r="AA68" s="1106"/>
      <c r="AB68" s="961"/>
      <c r="AG68" s="1097"/>
      <c r="AH68" s="1097"/>
      <c r="AI68" s="1107"/>
      <c r="AJ68" s="1107"/>
      <c r="AK68" s="1107"/>
      <c r="AL68" s="1097"/>
      <c r="AM68" s="1099"/>
      <c r="AN68" s="1097"/>
      <c r="AT68" s="961"/>
    </row>
    <row r="69" spans="2:46" ht="12" customHeight="1">
      <c r="B69" s="1097"/>
      <c r="C69" s="1097"/>
      <c r="D69" s="1097"/>
      <c r="E69" s="1097"/>
      <c r="F69" s="1097"/>
      <c r="G69" s="958"/>
      <c r="H69" s="1104"/>
      <c r="J69" s="961"/>
      <c r="K69" s="1104"/>
      <c r="L69" s="1105"/>
      <c r="M69" s="1105"/>
      <c r="N69" s="1105"/>
      <c r="O69" s="1105"/>
      <c r="P69" s="1105"/>
      <c r="Q69" s="1105"/>
      <c r="R69" s="1105"/>
      <c r="S69" s="1106"/>
      <c r="T69" s="1106"/>
      <c r="U69" s="1106"/>
      <c r="V69" s="1106"/>
      <c r="W69" s="1106"/>
      <c r="X69" s="1106"/>
      <c r="Y69" s="1106"/>
      <c r="Z69" s="1106"/>
      <c r="AA69" s="1106"/>
      <c r="AB69" s="961"/>
      <c r="AG69" s="1097"/>
      <c r="AH69" s="1097"/>
      <c r="AI69" s="1107"/>
      <c r="AJ69" s="1107"/>
      <c r="AK69" s="1107"/>
      <c r="AL69" s="1097"/>
      <c r="AM69" s="1099"/>
      <c r="AN69" s="1097"/>
      <c r="AT69" s="961"/>
    </row>
    <row r="70" spans="2:46" ht="12" customHeight="1">
      <c r="B70" s="1097"/>
      <c r="C70" s="1097"/>
      <c r="D70" s="1097"/>
      <c r="E70" s="1097"/>
      <c r="F70" s="1097"/>
      <c r="G70" s="958"/>
      <c r="H70" s="1104"/>
      <c r="J70" s="961"/>
      <c r="K70" s="1104"/>
      <c r="L70" s="1105"/>
      <c r="M70" s="1105"/>
      <c r="N70" s="1105"/>
      <c r="O70" s="1105"/>
      <c r="P70" s="1105"/>
      <c r="Q70" s="1105"/>
      <c r="R70" s="1105"/>
      <c r="S70" s="1106"/>
      <c r="T70" s="1106"/>
      <c r="U70" s="1106"/>
      <c r="V70" s="1106"/>
      <c r="W70" s="1106"/>
      <c r="X70" s="1106"/>
      <c r="Y70" s="1106"/>
      <c r="Z70" s="1106"/>
      <c r="AA70" s="1106"/>
      <c r="AB70" s="961"/>
      <c r="AG70" s="1097"/>
      <c r="AH70" s="1097"/>
      <c r="AI70" s="1107"/>
      <c r="AJ70" s="1107"/>
      <c r="AK70" s="1107"/>
      <c r="AL70" s="1097"/>
      <c r="AM70" s="1099"/>
      <c r="AN70" s="1097"/>
      <c r="AT70" s="961"/>
    </row>
    <row r="71" spans="2:46" ht="12" customHeight="1">
      <c r="B71" s="1097"/>
      <c r="C71" s="1097"/>
      <c r="D71" s="1097"/>
      <c r="E71" s="1097"/>
      <c r="F71" s="1097"/>
      <c r="G71" s="958"/>
      <c r="H71" s="1104"/>
      <c r="J71" s="961"/>
      <c r="K71" s="1104"/>
      <c r="L71" s="1105"/>
      <c r="M71" s="1105"/>
      <c r="N71" s="1105"/>
      <c r="O71" s="1105"/>
      <c r="P71" s="1105"/>
      <c r="Q71" s="1105"/>
      <c r="R71" s="1105"/>
      <c r="S71" s="1106"/>
      <c r="T71" s="1106"/>
      <c r="U71" s="1106"/>
      <c r="V71" s="1106"/>
      <c r="W71" s="1106"/>
      <c r="X71" s="1106"/>
      <c r="Y71" s="1106"/>
      <c r="Z71" s="1106"/>
      <c r="AA71" s="1106"/>
      <c r="AB71" s="961"/>
      <c r="AG71" s="1097"/>
      <c r="AH71" s="1097"/>
      <c r="AI71" s="1107"/>
      <c r="AJ71" s="1107"/>
      <c r="AK71" s="1107"/>
      <c r="AL71" s="1097"/>
      <c r="AM71" s="1099"/>
      <c r="AN71" s="1097"/>
      <c r="AT71" s="961"/>
    </row>
    <row r="72" spans="2:46" ht="12" customHeight="1">
      <c r="B72" s="1097"/>
      <c r="C72" s="1097"/>
      <c r="D72" s="1097"/>
      <c r="E72" s="1097"/>
      <c r="F72" s="1097"/>
      <c r="G72" s="958"/>
      <c r="H72" s="1104"/>
      <c r="J72" s="961"/>
      <c r="K72" s="1104"/>
      <c r="L72" s="1105"/>
      <c r="M72" s="1105"/>
      <c r="N72" s="1105"/>
      <c r="O72" s="1105"/>
      <c r="P72" s="1105"/>
      <c r="Q72" s="1105"/>
      <c r="R72" s="1105"/>
      <c r="S72" s="1106"/>
      <c r="T72" s="1106"/>
      <c r="U72" s="1106"/>
      <c r="V72" s="1106"/>
      <c r="W72" s="1106"/>
      <c r="X72" s="1106"/>
      <c r="Y72" s="1106"/>
      <c r="Z72" s="1106"/>
      <c r="AA72" s="1106"/>
      <c r="AB72" s="961"/>
      <c r="AG72" s="1097"/>
      <c r="AH72" s="1097"/>
      <c r="AI72" s="1107"/>
      <c r="AJ72" s="1107"/>
      <c r="AK72" s="1107"/>
      <c r="AL72" s="1097"/>
      <c r="AM72" s="1099"/>
      <c r="AN72" s="1097"/>
      <c r="AT72" s="961"/>
    </row>
    <row r="73" spans="2:46" ht="12" customHeight="1">
      <c r="B73" s="1097"/>
      <c r="C73" s="1097"/>
      <c r="D73" s="1097"/>
      <c r="E73" s="1097"/>
      <c r="F73" s="1097"/>
      <c r="G73" s="958"/>
      <c r="H73" s="1104"/>
      <c r="J73" s="961"/>
      <c r="K73" s="1104"/>
      <c r="L73" s="1105"/>
      <c r="M73" s="1105"/>
      <c r="N73" s="1105"/>
      <c r="O73" s="1105"/>
      <c r="P73" s="1105"/>
      <c r="Q73" s="1105"/>
      <c r="R73" s="1105"/>
      <c r="S73" s="1106"/>
      <c r="T73" s="1106"/>
      <c r="U73" s="1106"/>
      <c r="V73" s="1106"/>
      <c r="W73" s="1106"/>
      <c r="X73" s="1106"/>
      <c r="Y73" s="1106"/>
      <c r="Z73" s="1106"/>
      <c r="AA73" s="1106"/>
      <c r="AB73" s="961"/>
      <c r="AG73" s="1097"/>
      <c r="AH73" s="1097"/>
      <c r="AI73" s="1107"/>
      <c r="AJ73" s="1107"/>
      <c r="AK73" s="1107"/>
      <c r="AL73" s="1097"/>
      <c r="AM73" s="1099"/>
      <c r="AN73" s="1097"/>
      <c r="AT73" s="961"/>
    </row>
    <row r="74" spans="2:46" ht="12" customHeight="1">
      <c r="B74" s="1097"/>
      <c r="C74" s="1097"/>
      <c r="D74" s="1097"/>
      <c r="E74" s="1097"/>
      <c r="F74" s="1097"/>
      <c r="G74" s="958"/>
      <c r="H74" s="1104"/>
      <c r="J74" s="961"/>
      <c r="K74" s="1104"/>
      <c r="L74" s="1105"/>
      <c r="M74" s="1105"/>
      <c r="N74" s="1105"/>
      <c r="O74" s="1105"/>
      <c r="P74" s="1105"/>
      <c r="Q74" s="1105"/>
      <c r="R74" s="1105"/>
      <c r="S74" s="1106"/>
      <c r="T74" s="1106"/>
      <c r="U74" s="1106"/>
      <c r="V74" s="1106"/>
      <c r="W74" s="1106"/>
      <c r="X74" s="1106"/>
      <c r="Y74" s="1106"/>
      <c r="Z74" s="1106"/>
      <c r="AA74" s="1106"/>
      <c r="AB74" s="961"/>
      <c r="AG74" s="1097"/>
      <c r="AH74" s="1097"/>
      <c r="AI74" s="1107"/>
      <c r="AJ74" s="1107"/>
      <c r="AK74" s="1107"/>
      <c r="AL74" s="1097"/>
      <c r="AM74" s="1099"/>
      <c r="AN74" s="1097"/>
      <c r="AT74" s="961"/>
    </row>
    <row r="75" spans="2:46" ht="12" customHeight="1">
      <c r="B75" s="1097"/>
      <c r="C75" s="1097"/>
      <c r="D75" s="1097"/>
      <c r="E75" s="1097"/>
      <c r="F75" s="1097"/>
      <c r="G75" s="958"/>
      <c r="H75" s="1104"/>
      <c r="J75" s="961"/>
      <c r="K75" s="1104"/>
      <c r="L75" s="1105"/>
      <c r="M75" s="1105"/>
      <c r="N75" s="1105"/>
      <c r="O75" s="1105"/>
      <c r="P75" s="1105"/>
      <c r="Q75" s="1105"/>
      <c r="R75" s="1105"/>
      <c r="S75" s="1106"/>
      <c r="T75" s="1106"/>
      <c r="U75" s="1106"/>
      <c r="V75" s="1106"/>
      <c r="W75" s="1106"/>
      <c r="X75" s="1106"/>
      <c r="Y75" s="1106"/>
      <c r="Z75" s="1106"/>
      <c r="AA75" s="1106"/>
      <c r="AB75" s="961"/>
      <c r="AG75" s="1097"/>
      <c r="AH75" s="1097"/>
      <c r="AI75" s="1107"/>
      <c r="AJ75" s="1107"/>
      <c r="AK75" s="1107"/>
      <c r="AL75" s="1097"/>
      <c r="AM75" s="1099"/>
      <c r="AN75" s="1097"/>
      <c r="AT75" s="961"/>
    </row>
    <row r="76" spans="2:46" ht="12" customHeight="1">
      <c r="B76" s="1097"/>
      <c r="C76" s="1097"/>
      <c r="D76" s="1097"/>
      <c r="E76" s="1097"/>
      <c r="F76" s="1097"/>
      <c r="G76" s="958"/>
      <c r="H76" s="1104"/>
      <c r="J76" s="961"/>
      <c r="K76" s="1104"/>
      <c r="L76" s="1105"/>
      <c r="M76" s="1105"/>
      <c r="N76" s="1105"/>
      <c r="O76" s="1105"/>
      <c r="P76" s="1105"/>
      <c r="Q76" s="1105"/>
      <c r="R76" s="1105"/>
      <c r="S76" s="1106"/>
      <c r="T76" s="1106"/>
      <c r="U76" s="1106"/>
      <c r="V76" s="1106"/>
      <c r="W76" s="1106"/>
      <c r="X76" s="1106"/>
      <c r="Y76" s="1106"/>
      <c r="Z76" s="1106"/>
      <c r="AA76" s="1106"/>
      <c r="AB76" s="961"/>
      <c r="AG76" s="1097"/>
      <c r="AH76" s="1097"/>
      <c r="AI76" s="1107"/>
      <c r="AJ76" s="1107"/>
      <c r="AK76" s="1107"/>
      <c r="AL76" s="1097"/>
      <c r="AM76" s="1099"/>
      <c r="AN76" s="1097"/>
      <c r="AT76" s="961"/>
    </row>
    <row r="77" spans="2:46" ht="12" customHeight="1">
      <c r="B77" s="1097"/>
      <c r="C77" s="1097"/>
      <c r="D77" s="1097"/>
      <c r="E77" s="1097"/>
      <c r="F77" s="1097"/>
      <c r="G77" s="958"/>
      <c r="H77" s="1104"/>
      <c r="J77" s="961"/>
      <c r="K77" s="1104"/>
      <c r="L77" s="1105"/>
      <c r="M77" s="1105"/>
      <c r="N77" s="1105"/>
      <c r="O77" s="1105"/>
      <c r="P77" s="1105"/>
      <c r="Q77" s="1105"/>
      <c r="R77" s="1105"/>
      <c r="S77" s="1106"/>
      <c r="T77" s="1106"/>
      <c r="U77" s="1106"/>
      <c r="V77" s="1106"/>
      <c r="W77" s="1106"/>
      <c r="X77" s="1106"/>
      <c r="Y77" s="1106"/>
      <c r="Z77" s="1106"/>
      <c r="AA77" s="1106"/>
      <c r="AB77" s="961"/>
      <c r="AG77" s="1097"/>
      <c r="AH77" s="1097"/>
      <c r="AI77" s="1107"/>
      <c r="AJ77" s="1107"/>
      <c r="AK77" s="1107"/>
      <c r="AL77" s="1097"/>
      <c r="AM77" s="1099"/>
      <c r="AN77" s="1097"/>
      <c r="AT77" s="961"/>
    </row>
    <row r="78" spans="2:46" ht="12" customHeight="1">
      <c r="B78" s="1097"/>
      <c r="C78" s="1097"/>
      <c r="D78" s="1097"/>
      <c r="E78" s="1097"/>
      <c r="F78" s="1097"/>
      <c r="G78" s="958"/>
      <c r="H78" s="1104"/>
      <c r="J78" s="961"/>
      <c r="K78" s="1104"/>
      <c r="L78" s="1105"/>
      <c r="M78" s="1105"/>
      <c r="N78" s="1105"/>
      <c r="O78" s="1105"/>
      <c r="P78" s="1105"/>
      <c r="Q78" s="1105"/>
      <c r="R78" s="1105"/>
      <c r="S78" s="1106"/>
      <c r="T78" s="1106"/>
      <c r="U78" s="1106"/>
      <c r="V78" s="1106"/>
      <c r="W78" s="1106"/>
      <c r="X78" s="1106"/>
      <c r="Y78" s="1106"/>
      <c r="Z78" s="1106"/>
      <c r="AA78" s="1106"/>
      <c r="AB78" s="961"/>
      <c r="AG78" s="1097"/>
      <c r="AH78" s="1097"/>
      <c r="AI78" s="1107"/>
      <c r="AJ78" s="1107"/>
      <c r="AK78" s="1107"/>
      <c r="AL78" s="1097"/>
      <c r="AM78" s="1099"/>
      <c r="AN78" s="1097"/>
      <c r="AT78" s="961"/>
    </row>
    <row r="79" spans="2:46" ht="12" customHeight="1">
      <c r="B79" s="1097"/>
      <c r="C79" s="1097"/>
      <c r="D79" s="1097"/>
      <c r="E79" s="1097"/>
      <c r="F79" s="1097"/>
      <c r="G79" s="958"/>
      <c r="H79" s="1104"/>
      <c r="J79" s="961"/>
      <c r="K79" s="1104"/>
      <c r="L79" s="1105"/>
      <c r="M79" s="1105"/>
      <c r="N79" s="1105"/>
      <c r="O79" s="1105"/>
      <c r="P79" s="1105"/>
      <c r="Q79" s="1105"/>
      <c r="R79" s="1105"/>
      <c r="S79" s="1106"/>
      <c r="T79" s="1106"/>
      <c r="U79" s="1106"/>
      <c r="V79" s="1106"/>
      <c r="W79" s="1106"/>
      <c r="X79" s="1106"/>
      <c r="Y79" s="1106"/>
      <c r="Z79" s="1106"/>
      <c r="AA79" s="1106"/>
      <c r="AB79" s="961"/>
      <c r="AG79" s="1097"/>
      <c r="AH79" s="1097"/>
      <c r="AI79" s="1107"/>
      <c r="AJ79" s="1107"/>
      <c r="AK79" s="1107"/>
      <c r="AL79" s="1097"/>
      <c r="AM79" s="1099"/>
      <c r="AN79" s="1097"/>
      <c r="AT79" s="961"/>
    </row>
    <row r="80" spans="2:46" ht="12" customHeight="1">
      <c r="B80" s="1097"/>
      <c r="C80" s="1097"/>
      <c r="D80" s="1097"/>
      <c r="E80" s="1097"/>
      <c r="F80" s="1097"/>
      <c r="G80" s="958"/>
      <c r="H80" s="1104"/>
      <c r="J80" s="961"/>
      <c r="K80" s="1104"/>
      <c r="L80" s="1105"/>
      <c r="M80" s="1105"/>
      <c r="N80" s="1105"/>
      <c r="O80" s="1105"/>
      <c r="P80" s="1105"/>
      <c r="Q80" s="1105"/>
      <c r="R80" s="1105"/>
      <c r="S80" s="1106"/>
      <c r="T80" s="1106"/>
      <c r="U80" s="1106"/>
      <c r="V80" s="1106"/>
      <c r="W80" s="1106"/>
      <c r="X80" s="1106"/>
      <c r="Y80" s="1106"/>
      <c r="Z80" s="1106"/>
      <c r="AA80" s="1106"/>
      <c r="AB80" s="961"/>
      <c r="AG80" s="1097"/>
      <c r="AH80" s="1097"/>
      <c r="AI80" s="1107"/>
      <c r="AJ80" s="1107"/>
      <c r="AK80" s="1107"/>
      <c r="AL80" s="1097"/>
      <c r="AM80" s="1099"/>
      <c r="AN80" s="1097"/>
      <c r="AT80" s="961"/>
    </row>
    <row r="81" spans="2:46" ht="12" customHeight="1">
      <c r="B81" s="1097"/>
      <c r="C81" s="1097"/>
      <c r="D81" s="1097"/>
      <c r="E81" s="1097"/>
      <c r="F81" s="1097"/>
      <c r="G81" s="958"/>
      <c r="H81" s="1104"/>
      <c r="J81" s="961"/>
      <c r="K81" s="1104"/>
      <c r="L81" s="1105"/>
      <c r="M81" s="1105"/>
      <c r="N81" s="1105"/>
      <c r="O81" s="1105"/>
      <c r="P81" s="1105"/>
      <c r="Q81" s="1105"/>
      <c r="R81" s="1105"/>
      <c r="S81" s="1106"/>
      <c r="T81" s="1106"/>
      <c r="U81" s="1106"/>
      <c r="V81" s="1106"/>
      <c r="W81" s="1106"/>
      <c r="X81" s="1106"/>
      <c r="Y81" s="1106"/>
      <c r="Z81" s="1106"/>
      <c r="AA81" s="1106"/>
      <c r="AB81" s="961"/>
      <c r="AG81" s="1097"/>
      <c r="AH81" s="1097"/>
      <c r="AI81" s="1107"/>
      <c r="AJ81" s="1107"/>
      <c r="AK81" s="1107"/>
      <c r="AL81" s="1097"/>
      <c r="AM81" s="1099"/>
      <c r="AN81" s="1097"/>
      <c r="AT81" s="961"/>
    </row>
    <row r="82" spans="2:46" ht="12" customHeight="1">
      <c r="B82" s="1097"/>
      <c r="C82" s="1097"/>
      <c r="D82" s="1097"/>
      <c r="E82" s="1097"/>
      <c r="F82" s="1097"/>
      <c r="G82" s="958"/>
      <c r="H82" s="1104"/>
      <c r="J82" s="961"/>
      <c r="K82" s="1104"/>
      <c r="L82" s="1105"/>
      <c r="M82" s="1105"/>
      <c r="N82" s="1105"/>
      <c r="O82" s="1105"/>
      <c r="P82" s="1105"/>
      <c r="Q82" s="1105"/>
      <c r="R82" s="1105"/>
      <c r="S82" s="1106"/>
      <c r="T82" s="1106"/>
      <c r="U82" s="1106"/>
      <c r="V82" s="1106"/>
      <c r="W82" s="1106"/>
      <c r="X82" s="1106"/>
      <c r="Y82" s="1106"/>
      <c r="Z82" s="1106"/>
      <c r="AA82" s="1106"/>
      <c r="AB82" s="961"/>
      <c r="AG82" s="1097"/>
      <c r="AH82" s="1097"/>
      <c r="AI82" s="1107"/>
      <c r="AJ82" s="1107"/>
      <c r="AK82" s="1107"/>
      <c r="AL82" s="1097"/>
      <c r="AM82" s="1099"/>
      <c r="AN82" s="1097"/>
      <c r="AT82" s="961"/>
    </row>
    <row r="83" spans="2:46" ht="12" customHeight="1">
      <c r="B83" s="1097"/>
      <c r="C83" s="1097"/>
      <c r="D83" s="1097"/>
      <c r="E83" s="1097"/>
      <c r="F83" s="1097"/>
      <c r="G83" s="958"/>
      <c r="H83" s="1104"/>
      <c r="J83" s="961"/>
      <c r="K83" s="1104"/>
      <c r="L83" s="1105"/>
      <c r="M83" s="1105"/>
      <c r="N83" s="1105"/>
      <c r="O83" s="1105"/>
      <c r="P83" s="1105"/>
      <c r="Q83" s="1105"/>
      <c r="R83" s="1105"/>
      <c r="S83" s="1106"/>
      <c r="T83" s="1106"/>
      <c r="U83" s="1106"/>
      <c r="V83" s="1106"/>
      <c r="W83" s="1106"/>
      <c r="X83" s="1106"/>
      <c r="Y83" s="1106"/>
      <c r="Z83" s="1106"/>
      <c r="AA83" s="1106"/>
      <c r="AB83" s="961"/>
      <c r="AG83" s="1097"/>
      <c r="AH83" s="1097"/>
      <c r="AI83" s="1107"/>
      <c r="AJ83" s="1107"/>
      <c r="AK83" s="1107"/>
      <c r="AL83" s="1097"/>
      <c r="AM83" s="1099"/>
      <c r="AN83" s="1097"/>
      <c r="AT83" s="961"/>
    </row>
    <row r="84" spans="2:46" ht="12" customHeight="1">
      <c r="B84" s="1097"/>
      <c r="C84" s="1097"/>
      <c r="D84" s="1097"/>
      <c r="E84" s="1097"/>
      <c r="F84" s="1097"/>
      <c r="G84" s="958"/>
      <c r="H84" s="1104"/>
      <c r="J84" s="961"/>
      <c r="K84" s="1104"/>
      <c r="L84" s="1105"/>
      <c r="M84" s="1105"/>
      <c r="N84" s="1105"/>
      <c r="O84" s="1105"/>
      <c r="P84" s="1105"/>
      <c r="Q84" s="1105"/>
      <c r="R84" s="1105"/>
      <c r="S84" s="1106"/>
      <c r="T84" s="1106"/>
      <c r="U84" s="1106"/>
      <c r="V84" s="1106"/>
      <c r="W84" s="1106"/>
      <c r="X84" s="1106"/>
      <c r="Y84" s="1106"/>
      <c r="Z84" s="1106"/>
      <c r="AA84" s="1106"/>
      <c r="AB84" s="961"/>
      <c r="AG84" s="1097"/>
      <c r="AH84" s="1097"/>
      <c r="AI84" s="1107"/>
      <c r="AJ84" s="1107"/>
      <c r="AK84" s="1107"/>
      <c r="AL84" s="1097"/>
      <c r="AM84" s="1099"/>
      <c r="AN84" s="1097"/>
      <c r="AT84" s="961"/>
    </row>
    <row r="85" spans="2:46" ht="12" customHeight="1">
      <c r="B85" s="1097"/>
      <c r="C85" s="1097"/>
      <c r="D85" s="1097"/>
      <c r="E85" s="1097"/>
      <c r="F85" s="1097"/>
      <c r="G85" s="958"/>
      <c r="H85" s="1104"/>
      <c r="J85" s="961"/>
      <c r="K85" s="1104"/>
      <c r="L85" s="1105"/>
      <c r="M85" s="1105"/>
      <c r="N85" s="1105"/>
      <c r="O85" s="1105"/>
      <c r="P85" s="1105"/>
      <c r="Q85" s="1105"/>
      <c r="R85" s="1105"/>
      <c r="S85" s="1106"/>
      <c r="T85" s="1106"/>
      <c r="U85" s="1106"/>
      <c r="V85" s="1106"/>
      <c r="W85" s="1106"/>
      <c r="X85" s="1106"/>
      <c r="Y85" s="1106"/>
      <c r="Z85" s="1106"/>
      <c r="AA85" s="1106"/>
      <c r="AB85" s="961"/>
      <c r="AG85" s="1097"/>
      <c r="AH85" s="1097"/>
      <c r="AI85" s="1107"/>
      <c r="AJ85" s="1107"/>
      <c r="AK85" s="1107"/>
      <c r="AL85" s="1097"/>
      <c r="AM85" s="1099"/>
      <c r="AN85" s="1097"/>
      <c r="AT85" s="961"/>
    </row>
    <row r="86" spans="2:46" ht="12" customHeight="1">
      <c r="B86" s="1097"/>
      <c r="C86" s="1097"/>
      <c r="D86" s="1097"/>
      <c r="E86" s="1097"/>
      <c r="F86" s="1097"/>
      <c r="G86" s="958"/>
      <c r="H86" s="1104"/>
      <c r="J86" s="961"/>
      <c r="K86" s="1104"/>
      <c r="L86" s="1105"/>
      <c r="M86" s="1105"/>
      <c r="N86" s="1105"/>
      <c r="O86" s="1105"/>
      <c r="P86" s="1105"/>
      <c r="Q86" s="1105"/>
      <c r="R86" s="1105"/>
      <c r="S86" s="1106"/>
      <c r="T86" s="1106"/>
      <c r="U86" s="1106"/>
      <c r="V86" s="1106"/>
      <c r="W86" s="1106"/>
      <c r="X86" s="1106"/>
      <c r="Y86" s="1106"/>
      <c r="Z86" s="1106"/>
      <c r="AA86" s="1106"/>
      <c r="AB86" s="961"/>
      <c r="AG86" s="1097"/>
      <c r="AH86" s="1097"/>
      <c r="AI86" s="1107"/>
      <c r="AJ86" s="1107"/>
      <c r="AK86" s="1107"/>
      <c r="AL86" s="1097"/>
      <c r="AM86" s="1099"/>
      <c r="AN86" s="1097"/>
      <c r="AT86" s="961"/>
    </row>
    <row r="87" spans="2:46" ht="12" customHeight="1">
      <c r="B87" s="1097"/>
      <c r="C87" s="1097"/>
      <c r="D87" s="1097"/>
      <c r="E87" s="1097"/>
      <c r="F87" s="1097"/>
      <c r="G87" s="958"/>
      <c r="H87" s="1104"/>
      <c r="J87" s="961"/>
      <c r="K87" s="1104"/>
      <c r="L87" s="1105"/>
      <c r="M87" s="1105"/>
      <c r="N87" s="1105"/>
      <c r="O87" s="1105"/>
      <c r="P87" s="1105"/>
      <c r="Q87" s="1105"/>
      <c r="R87" s="1105"/>
      <c r="S87" s="1106"/>
      <c r="T87" s="1106"/>
      <c r="U87" s="1106"/>
      <c r="V87" s="1106"/>
      <c r="W87" s="1106"/>
      <c r="X87" s="1106"/>
      <c r="Y87" s="1106"/>
      <c r="Z87" s="1106"/>
      <c r="AA87" s="1106"/>
      <c r="AB87" s="961"/>
      <c r="AG87" s="1097"/>
      <c r="AH87" s="1097"/>
      <c r="AI87" s="1107"/>
      <c r="AJ87" s="1107"/>
      <c r="AK87" s="1107"/>
      <c r="AL87" s="1097"/>
      <c r="AM87" s="1099"/>
      <c r="AN87" s="1097"/>
      <c r="AT87" s="961"/>
    </row>
    <row r="88" spans="2:46" ht="12" customHeight="1">
      <c r="B88" s="1097"/>
      <c r="C88" s="1097"/>
      <c r="D88" s="1097"/>
      <c r="E88" s="1097"/>
      <c r="F88" s="1097"/>
      <c r="G88" s="958"/>
      <c r="H88" s="1104"/>
      <c r="J88" s="961"/>
      <c r="K88" s="1104"/>
      <c r="L88" s="1105"/>
      <c r="M88" s="1105"/>
      <c r="N88" s="1105"/>
      <c r="O88" s="1105"/>
      <c r="P88" s="1105"/>
      <c r="Q88" s="1105"/>
      <c r="R88" s="1105"/>
      <c r="S88" s="1106"/>
      <c r="T88" s="1106"/>
      <c r="U88" s="1106"/>
      <c r="V88" s="1106"/>
      <c r="W88" s="1106"/>
      <c r="X88" s="1106"/>
      <c r="Y88" s="1106"/>
      <c r="Z88" s="1106"/>
      <c r="AA88" s="1106"/>
      <c r="AB88" s="961"/>
      <c r="AG88" s="1097"/>
      <c r="AH88" s="1097"/>
      <c r="AI88" s="1107"/>
      <c r="AJ88" s="1107"/>
      <c r="AK88" s="1107"/>
      <c r="AL88" s="1097"/>
      <c r="AM88" s="1099"/>
      <c r="AN88" s="1097"/>
      <c r="AT88" s="961"/>
    </row>
    <row r="89" spans="2:46" ht="12" customHeight="1">
      <c r="B89" s="1097"/>
      <c r="C89" s="1097"/>
      <c r="D89" s="1097"/>
      <c r="E89" s="1097"/>
      <c r="F89" s="1097"/>
      <c r="G89" s="958"/>
      <c r="H89" s="1104"/>
      <c r="J89" s="961"/>
      <c r="K89" s="1104"/>
      <c r="L89" s="1105"/>
      <c r="M89" s="1105"/>
      <c r="N89" s="1105"/>
      <c r="O89" s="1105"/>
      <c r="P89" s="1105"/>
      <c r="Q89" s="1105"/>
      <c r="R89" s="1105"/>
      <c r="S89" s="1106"/>
      <c r="T89" s="1106"/>
      <c r="U89" s="1106"/>
      <c r="V89" s="1106"/>
      <c r="W89" s="1106"/>
      <c r="X89" s="1106"/>
      <c r="Y89" s="1106"/>
      <c r="Z89" s="1106"/>
      <c r="AA89" s="1106"/>
      <c r="AB89" s="961"/>
      <c r="AG89" s="1097"/>
      <c r="AH89" s="1097"/>
      <c r="AI89" s="1107"/>
      <c r="AJ89" s="1107"/>
      <c r="AK89" s="1107"/>
      <c r="AL89" s="1097"/>
      <c r="AM89" s="1099"/>
      <c r="AN89" s="1097"/>
      <c r="AT89" s="961"/>
    </row>
    <row r="90" spans="2:46" ht="12" customHeight="1">
      <c r="B90" s="1097"/>
      <c r="C90" s="1097"/>
      <c r="D90" s="1097"/>
      <c r="E90" s="1097"/>
      <c r="F90" s="1097"/>
      <c r="G90" s="958"/>
      <c r="H90" s="1104"/>
      <c r="J90" s="961"/>
      <c r="K90" s="1104"/>
      <c r="L90" s="1105"/>
      <c r="M90" s="1105"/>
      <c r="N90" s="1105"/>
      <c r="O90" s="1105"/>
      <c r="P90" s="1105"/>
      <c r="Q90" s="1105"/>
      <c r="R90" s="1105"/>
      <c r="S90" s="1106"/>
      <c r="T90" s="1106"/>
      <c r="U90" s="1106"/>
      <c r="V90" s="1106"/>
      <c r="W90" s="1106"/>
      <c r="X90" s="1106"/>
      <c r="Y90" s="1106"/>
      <c r="Z90" s="1106"/>
      <c r="AA90" s="1106"/>
      <c r="AB90" s="961"/>
      <c r="AG90" s="1097"/>
      <c r="AH90" s="1097"/>
      <c r="AI90" s="1107"/>
      <c r="AJ90" s="1107"/>
      <c r="AK90" s="1107"/>
      <c r="AL90" s="1097"/>
      <c r="AM90" s="1099"/>
      <c r="AN90" s="1097"/>
      <c r="AT90" s="961"/>
    </row>
    <row r="91" spans="2:46" ht="12" customHeight="1">
      <c r="B91" s="1097"/>
      <c r="C91" s="1097"/>
      <c r="D91" s="1097"/>
      <c r="E91" s="1097"/>
      <c r="F91" s="1097"/>
      <c r="G91" s="958"/>
      <c r="H91" s="1104"/>
      <c r="J91" s="961"/>
      <c r="K91" s="1104"/>
      <c r="L91" s="1105"/>
      <c r="M91" s="1105"/>
      <c r="N91" s="1105"/>
      <c r="O91" s="1105"/>
      <c r="P91" s="1105"/>
      <c r="Q91" s="1105"/>
      <c r="R91" s="1105"/>
      <c r="S91" s="1106"/>
      <c r="T91" s="1106"/>
      <c r="U91" s="1106"/>
      <c r="V91" s="1106"/>
      <c r="W91" s="1106"/>
      <c r="X91" s="1106"/>
      <c r="Y91" s="1106"/>
      <c r="Z91" s="1106"/>
      <c r="AA91" s="1106"/>
      <c r="AB91" s="961"/>
      <c r="AG91" s="1097"/>
      <c r="AH91" s="1097"/>
      <c r="AI91" s="1107"/>
      <c r="AJ91" s="1107"/>
      <c r="AK91" s="1107"/>
      <c r="AL91" s="1097"/>
      <c r="AM91" s="1099"/>
      <c r="AN91" s="1097"/>
      <c r="AT91" s="961"/>
    </row>
    <row r="92" spans="2:46" ht="12" customHeight="1">
      <c r="B92" s="1097"/>
      <c r="C92" s="1097"/>
      <c r="D92" s="1097"/>
      <c r="E92" s="1097"/>
      <c r="F92" s="1097"/>
      <c r="G92" s="958"/>
      <c r="H92" s="1104"/>
      <c r="J92" s="961"/>
      <c r="K92" s="1104"/>
      <c r="L92" s="1105"/>
      <c r="M92" s="1105"/>
      <c r="N92" s="1105"/>
      <c r="O92" s="1105"/>
      <c r="P92" s="1105"/>
      <c r="Q92" s="1105"/>
      <c r="R92" s="1105"/>
      <c r="S92" s="1106"/>
      <c r="T92" s="1106"/>
      <c r="U92" s="1106"/>
      <c r="V92" s="1106"/>
      <c r="W92" s="1106"/>
      <c r="X92" s="1106"/>
      <c r="Y92" s="1106"/>
      <c r="Z92" s="1106"/>
      <c r="AA92" s="1106"/>
      <c r="AB92" s="961"/>
      <c r="AG92" s="1097"/>
      <c r="AH92" s="1097"/>
      <c r="AI92" s="1107"/>
      <c r="AJ92" s="1107"/>
      <c r="AK92" s="1107"/>
      <c r="AL92" s="1097"/>
      <c r="AM92" s="1099"/>
      <c r="AN92" s="1097"/>
      <c r="AT92" s="961"/>
    </row>
    <row r="93" spans="2:46" ht="12" customHeight="1">
      <c r="B93" s="1097"/>
      <c r="C93" s="1097"/>
      <c r="D93" s="1097"/>
      <c r="E93" s="1097"/>
      <c r="F93" s="1097"/>
      <c r="G93" s="958"/>
      <c r="H93" s="1104"/>
      <c r="J93" s="961"/>
      <c r="K93" s="1104"/>
      <c r="L93" s="1105"/>
      <c r="M93" s="1105"/>
      <c r="N93" s="1105"/>
      <c r="O93" s="1105"/>
      <c r="P93" s="1105"/>
      <c r="Q93" s="1105"/>
      <c r="R93" s="1105"/>
      <c r="S93" s="1106"/>
      <c r="T93" s="1106"/>
      <c r="U93" s="1106"/>
      <c r="V93" s="1106"/>
      <c r="W93" s="1106"/>
      <c r="X93" s="1106"/>
      <c r="Y93" s="1106"/>
      <c r="Z93" s="1106"/>
      <c r="AA93" s="1106"/>
      <c r="AB93" s="961"/>
      <c r="AG93" s="1097"/>
      <c r="AH93" s="1097"/>
      <c r="AI93" s="1107"/>
      <c r="AJ93" s="1107"/>
      <c r="AK93" s="1107"/>
      <c r="AL93" s="1097"/>
      <c r="AM93" s="1099"/>
      <c r="AN93" s="1097"/>
      <c r="AT93" s="961"/>
    </row>
    <row r="94" spans="2:46" ht="12" customHeight="1">
      <c r="B94" s="1097"/>
      <c r="C94" s="1097"/>
      <c r="D94" s="1097"/>
      <c r="E94" s="1097"/>
      <c r="F94" s="1097"/>
      <c r="G94" s="958"/>
      <c r="H94" s="1104"/>
      <c r="J94" s="961"/>
      <c r="K94" s="1104"/>
      <c r="L94" s="1105"/>
      <c r="M94" s="1105"/>
      <c r="N94" s="1105"/>
      <c r="O94" s="1105"/>
      <c r="P94" s="1105"/>
      <c r="Q94" s="1105"/>
      <c r="R94" s="1105"/>
      <c r="S94" s="1106"/>
      <c r="T94" s="1106"/>
      <c r="U94" s="1106"/>
      <c r="V94" s="1106"/>
      <c r="W94" s="1106"/>
      <c r="X94" s="1106"/>
      <c r="Y94" s="1106"/>
      <c r="Z94" s="1106"/>
      <c r="AA94" s="1106"/>
      <c r="AB94" s="961"/>
      <c r="AG94" s="1097"/>
      <c r="AH94" s="1097"/>
      <c r="AI94" s="1107"/>
      <c r="AJ94" s="1107"/>
      <c r="AK94" s="1107"/>
      <c r="AL94" s="1097"/>
      <c r="AM94" s="1099"/>
      <c r="AN94" s="1097"/>
      <c r="AT94" s="961"/>
    </row>
    <row r="95" spans="2:46" ht="12" customHeight="1">
      <c r="B95" s="1097"/>
      <c r="C95" s="1097"/>
      <c r="D95" s="1097"/>
      <c r="E95" s="1097"/>
      <c r="F95" s="1097"/>
      <c r="G95" s="958"/>
      <c r="H95" s="1104"/>
      <c r="J95" s="961"/>
      <c r="K95" s="1104"/>
      <c r="L95" s="1105"/>
      <c r="M95" s="1105"/>
      <c r="N95" s="1105"/>
      <c r="O95" s="1105"/>
      <c r="P95" s="1105"/>
      <c r="Q95" s="1105"/>
      <c r="R95" s="1105"/>
      <c r="S95" s="1106"/>
      <c r="T95" s="1106"/>
      <c r="U95" s="1106"/>
      <c r="V95" s="1106"/>
      <c r="W95" s="1106"/>
      <c r="X95" s="1106"/>
      <c r="Y95" s="1106"/>
      <c r="Z95" s="1106"/>
      <c r="AA95" s="1106"/>
      <c r="AB95" s="961"/>
      <c r="AG95" s="1097"/>
      <c r="AH95" s="1097"/>
      <c r="AI95" s="1107"/>
      <c r="AJ95" s="1107"/>
      <c r="AK95" s="1107"/>
      <c r="AL95" s="1097"/>
      <c r="AM95" s="1099"/>
      <c r="AN95" s="1097"/>
      <c r="AT95" s="961"/>
    </row>
    <row r="96" spans="2:46" ht="12" customHeight="1">
      <c r="B96" s="1097"/>
      <c r="C96" s="1097"/>
      <c r="D96" s="1097"/>
      <c r="E96" s="1097"/>
      <c r="F96" s="1097"/>
      <c r="G96" s="958"/>
      <c r="H96" s="1104"/>
      <c r="J96" s="961"/>
      <c r="K96" s="1104"/>
      <c r="L96" s="1105"/>
      <c r="M96" s="1105"/>
      <c r="N96" s="1105"/>
      <c r="O96" s="1105"/>
      <c r="P96" s="1105"/>
      <c r="Q96" s="1105"/>
      <c r="R96" s="1105"/>
      <c r="S96" s="1106"/>
      <c r="T96" s="1106"/>
      <c r="U96" s="1106"/>
      <c r="V96" s="1106"/>
      <c r="W96" s="1106"/>
      <c r="X96" s="1106"/>
      <c r="Y96" s="1106"/>
      <c r="Z96" s="1106"/>
      <c r="AA96" s="1106"/>
      <c r="AB96" s="961"/>
      <c r="AG96" s="1097"/>
      <c r="AH96" s="1097"/>
      <c r="AI96" s="1107"/>
      <c r="AJ96" s="1107"/>
      <c r="AK96" s="1107"/>
      <c r="AL96" s="1097"/>
      <c r="AM96" s="1099"/>
      <c r="AN96" s="1097"/>
      <c r="AT96" s="961"/>
    </row>
    <row r="97" spans="2:46" ht="12" customHeight="1">
      <c r="B97" s="1097"/>
      <c r="C97" s="1097"/>
      <c r="D97" s="1097"/>
      <c r="E97" s="1097"/>
      <c r="F97" s="1097"/>
      <c r="G97" s="958"/>
      <c r="H97" s="1104"/>
      <c r="J97" s="961"/>
      <c r="K97" s="1104"/>
      <c r="L97" s="1105"/>
      <c r="M97" s="1105"/>
      <c r="N97" s="1105"/>
      <c r="O97" s="1105"/>
      <c r="P97" s="1105"/>
      <c r="Q97" s="1105"/>
      <c r="R97" s="1105"/>
      <c r="S97" s="1106"/>
      <c r="T97" s="1106"/>
      <c r="U97" s="1106"/>
      <c r="V97" s="1106"/>
      <c r="W97" s="1106"/>
      <c r="X97" s="1106"/>
      <c r="Y97" s="1106"/>
      <c r="Z97" s="1106"/>
      <c r="AA97" s="1106"/>
      <c r="AB97" s="961"/>
      <c r="AG97" s="1097"/>
      <c r="AH97" s="1097"/>
      <c r="AI97" s="1107"/>
      <c r="AJ97" s="1107"/>
      <c r="AK97" s="1107"/>
      <c r="AL97" s="1097"/>
      <c r="AM97" s="1099"/>
      <c r="AN97" s="1097"/>
      <c r="AT97" s="961"/>
    </row>
    <row r="98" spans="2:46" ht="12" customHeight="1">
      <c r="B98" s="1097"/>
      <c r="C98" s="1097"/>
      <c r="D98" s="1097"/>
      <c r="E98" s="1097"/>
      <c r="F98" s="1097"/>
      <c r="G98" s="958"/>
      <c r="H98" s="1104"/>
      <c r="J98" s="961"/>
      <c r="K98" s="1104"/>
      <c r="L98" s="1105"/>
      <c r="M98" s="1105"/>
      <c r="N98" s="1105"/>
      <c r="O98" s="1105"/>
      <c r="P98" s="1105"/>
      <c r="Q98" s="1105"/>
      <c r="R98" s="1105"/>
      <c r="S98" s="1106"/>
      <c r="T98" s="1106"/>
      <c r="U98" s="1106"/>
      <c r="V98" s="1106"/>
      <c r="W98" s="1106"/>
      <c r="X98" s="1106"/>
      <c r="Y98" s="1106"/>
      <c r="Z98" s="1106"/>
      <c r="AA98" s="1106"/>
      <c r="AB98" s="961"/>
      <c r="AG98" s="1097"/>
      <c r="AH98" s="1097"/>
      <c r="AI98" s="1107"/>
      <c r="AJ98" s="1107"/>
      <c r="AK98" s="1107"/>
      <c r="AL98" s="1097"/>
      <c r="AM98" s="1099"/>
      <c r="AN98" s="1097"/>
      <c r="AT98" s="961"/>
    </row>
    <row r="99" spans="2:46" ht="12" customHeight="1">
      <c r="B99" s="1097"/>
      <c r="C99" s="1097"/>
      <c r="D99" s="1097"/>
      <c r="E99" s="1097"/>
      <c r="F99" s="1097"/>
      <c r="G99" s="958"/>
      <c r="H99" s="1104"/>
      <c r="J99" s="961"/>
      <c r="K99" s="1104"/>
      <c r="L99" s="1105"/>
      <c r="M99" s="1105"/>
      <c r="N99" s="1105"/>
      <c r="O99" s="1105"/>
      <c r="P99" s="1105"/>
      <c r="Q99" s="1105"/>
      <c r="R99" s="1105"/>
      <c r="S99" s="1106"/>
      <c r="T99" s="1106"/>
      <c r="U99" s="1106"/>
      <c r="V99" s="1106"/>
      <c r="W99" s="1106"/>
      <c r="X99" s="1106"/>
      <c r="Y99" s="1106"/>
      <c r="Z99" s="1106"/>
      <c r="AA99" s="1106"/>
      <c r="AB99" s="961"/>
      <c r="AG99" s="1097"/>
      <c r="AH99" s="1097"/>
      <c r="AI99" s="1107"/>
      <c r="AJ99" s="1107"/>
      <c r="AK99" s="1107"/>
      <c r="AL99" s="1097"/>
      <c r="AM99" s="1099"/>
      <c r="AN99" s="1097"/>
      <c r="AT99" s="961"/>
    </row>
    <row r="100" spans="2:46" ht="12" customHeight="1">
      <c r="B100" s="1097"/>
      <c r="C100" s="1097"/>
      <c r="D100" s="1097"/>
      <c r="E100" s="1097"/>
      <c r="F100" s="1097"/>
      <c r="G100" s="958"/>
      <c r="H100" s="1104"/>
      <c r="J100" s="961"/>
      <c r="K100" s="1104"/>
      <c r="L100" s="1105"/>
      <c r="M100" s="1105"/>
      <c r="N100" s="1105"/>
      <c r="O100" s="1105"/>
      <c r="P100" s="1105"/>
      <c r="Q100" s="1105"/>
      <c r="R100" s="1105"/>
      <c r="S100" s="1106"/>
      <c r="T100" s="1106"/>
      <c r="U100" s="1106"/>
      <c r="V100" s="1106"/>
      <c r="W100" s="1106"/>
      <c r="X100" s="1106"/>
      <c r="Y100" s="1106"/>
      <c r="Z100" s="1106"/>
      <c r="AA100" s="1106"/>
      <c r="AB100" s="961"/>
      <c r="AG100" s="1097"/>
      <c r="AH100" s="1097"/>
      <c r="AI100" s="1107"/>
      <c r="AJ100" s="1107"/>
      <c r="AK100" s="1107"/>
      <c r="AL100" s="1097"/>
      <c r="AM100" s="1099"/>
      <c r="AN100" s="1097"/>
      <c r="AT100" s="961"/>
    </row>
    <row r="101" spans="2:46" ht="12" customHeight="1">
      <c r="B101" s="1097"/>
      <c r="C101" s="1097"/>
      <c r="D101" s="1097"/>
      <c r="E101" s="1097"/>
      <c r="F101" s="1097"/>
      <c r="G101" s="958"/>
      <c r="H101" s="1104"/>
      <c r="J101" s="961"/>
      <c r="K101" s="1104"/>
      <c r="L101" s="1105"/>
      <c r="M101" s="1105"/>
      <c r="N101" s="1105"/>
      <c r="O101" s="1105"/>
      <c r="P101" s="1105"/>
      <c r="Q101" s="1105"/>
      <c r="R101" s="1105"/>
      <c r="S101" s="1106"/>
      <c r="T101" s="1106"/>
      <c r="U101" s="1106"/>
      <c r="V101" s="1106"/>
      <c r="W101" s="1106"/>
      <c r="X101" s="1106"/>
      <c r="Y101" s="1106"/>
      <c r="Z101" s="1106"/>
      <c r="AA101" s="1106"/>
      <c r="AB101" s="961"/>
      <c r="AG101" s="1097"/>
      <c r="AH101" s="1097"/>
      <c r="AI101" s="1107"/>
      <c r="AJ101" s="1107"/>
      <c r="AK101" s="1107"/>
      <c r="AL101" s="1097"/>
      <c r="AM101" s="1099"/>
      <c r="AN101" s="1097"/>
      <c r="AT101" s="961"/>
    </row>
    <row r="102" spans="2:46" ht="12" customHeight="1">
      <c r="B102" s="1097"/>
      <c r="C102" s="1097"/>
      <c r="D102" s="1097"/>
      <c r="E102" s="1097"/>
      <c r="F102" s="1097"/>
      <c r="G102" s="958"/>
      <c r="H102" s="1104"/>
      <c r="J102" s="961"/>
      <c r="K102" s="1104"/>
      <c r="L102" s="1105"/>
      <c r="M102" s="1105"/>
      <c r="N102" s="1105"/>
      <c r="O102" s="1105"/>
      <c r="P102" s="1105"/>
      <c r="Q102" s="1105"/>
      <c r="R102" s="1105"/>
      <c r="S102" s="1106"/>
      <c r="T102" s="1106"/>
      <c r="U102" s="1106"/>
      <c r="V102" s="1106"/>
      <c r="W102" s="1106"/>
      <c r="X102" s="1106"/>
      <c r="Y102" s="1106"/>
      <c r="Z102" s="1106"/>
      <c r="AA102" s="1106"/>
      <c r="AB102" s="961"/>
      <c r="AG102" s="1097"/>
      <c r="AH102" s="1097"/>
      <c r="AI102" s="1107"/>
      <c r="AJ102" s="1107"/>
      <c r="AK102" s="1107"/>
      <c r="AL102" s="1097"/>
      <c r="AM102" s="1099"/>
      <c r="AN102" s="1097"/>
      <c r="AT102" s="961"/>
    </row>
    <row r="103" spans="2:46" ht="12" customHeight="1">
      <c r="B103" s="1097"/>
      <c r="C103" s="1097"/>
      <c r="D103" s="1097"/>
      <c r="E103" s="1097"/>
      <c r="F103" s="1097"/>
      <c r="G103" s="958"/>
      <c r="H103" s="1104"/>
      <c r="J103" s="961"/>
      <c r="K103" s="1104"/>
      <c r="L103" s="1105"/>
      <c r="M103" s="1105"/>
      <c r="N103" s="1105"/>
      <c r="O103" s="1105"/>
      <c r="P103" s="1105"/>
      <c r="Q103" s="1105"/>
      <c r="R103" s="1105"/>
      <c r="S103" s="1106"/>
      <c r="T103" s="1106"/>
      <c r="U103" s="1106"/>
      <c r="V103" s="1106"/>
      <c r="W103" s="1106"/>
      <c r="X103" s="1106"/>
      <c r="Y103" s="1106"/>
      <c r="Z103" s="1106"/>
      <c r="AA103" s="1106"/>
      <c r="AB103" s="961"/>
      <c r="AG103" s="1097"/>
      <c r="AH103" s="1097"/>
      <c r="AI103" s="1107"/>
      <c r="AJ103" s="1107"/>
      <c r="AK103" s="1107"/>
      <c r="AL103" s="1097"/>
      <c r="AM103" s="1099"/>
      <c r="AN103" s="1097"/>
      <c r="AT103" s="961"/>
    </row>
    <row r="104" spans="2:46" ht="12" customHeight="1">
      <c r="B104" s="1097"/>
      <c r="C104" s="1097"/>
      <c r="D104" s="1097"/>
      <c r="E104" s="1097"/>
      <c r="F104" s="1097"/>
      <c r="G104" s="958"/>
      <c r="H104" s="1104"/>
      <c r="J104" s="961"/>
      <c r="K104" s="1104"/>
      <c r="L104" s="1105"/>
      <c r="M104" s="1105"/>
      <c r="N104" s="1105"/>
      <c r="O104" s="1105"/>
      <c r="P104" s="1105"/>
      <c r="Q104" s="1105"/>
      <c r="R104" s="1105"/>
      <c r="S104" s="1106"/>
      <c r="T104" s="1106"/>
      <c r="U104" s="1106"/>
      <c r="V104" s="1106"/>
      <c r="W104" s="1106"/>
      <c r="X104" s="1106"/>
      <c r="Y104" s="1106"/>
      <c r="Z104" s="1106"/>
      <c r="AA104" s="1106"/>
      <c r="AB104" s="961"/>
      <c r="AG104" s="1097"/>
      <c r="AH104" s="1097"/>
      <c r="AI104" s="1107"/>
      <c r="AJ104" s="1107"/>
      <c r="AK104" s="1107"/>
      <c r="AL104" s="1097"/>
      <c r="AM104" s="1099"/>
      <c r="AN104" s="1097"/>
      <c r="AT104" s="961"/>
    </row>
    <row r="105" spans="2:46" ht="12" customHeight="1">
      <c r="B105" s="1097"/>
      <c r="C105" s="1097"/>
      <c r="D105" s="1097"/>
      <c r="E105" s="1097"/>
      <c r="F105" s="1097"/>
      <c r="G105" s="958"/>
      <c r="H105" s="1104"/>
      <c r="J105" s="961"/>
      <c r="K105" s="1104"/>
      <c r="L105" s="1105"/>
      <c r="M105" s="1105"/>
      <c r="N105" s="1105"/>
      <c r="O105" s="1105"/>
      <c r="P105" s="1105"/>
      <c r="Q105" s="1105"/>
      <c r="R105" s="1105"/>
      <c r="S105" s="1106"/>
      <c r="T105" s="1106"/>
      <c r="U105" s="1106"/>
      <c r="V105" s="1106"/>
      <c r="W105" s="1106"/>
      <c r="X105" s="1106"/>
      <c r="Y105" s="1106"/>
      <c r="Z105" s="1106"/>
      <c r="AA105" s="1106"/>
      <c r="AB105" s="961"/>
      <c r="AG105" s="1097"/>
      <c r="AH105" s="1097"/>
      <c r="AI105" s="1107"/>
      <c r="AJ105" s="1107"/>
      <c r="AK105" s="1107"/>
      <c r="AL105" s="1097"/>
      <c r="AM105" s="1099"/>
      <c r="AN105" s="1097"/>
      <c r="AT105" s="961"/>
    </row>
    <row r="106" spans="2:46" ht="12" customHeight="1">
      <c r="B106" s="1097"/>
      <c r="C106" s="1097"/>
      <c r="D106" s="1097"/>
      <c r="E106" s="1097"/>
      <c r="F106" s="1097"/>
      <c r="G106" s="958"/>
      <c r="H106" s="1104"/>
      <c r="J106" s="961"/>
      <c r="K106" s="1104"/>
      <c r="L106" s="1105"/>
      <c r="M106" s="1105"/>
      <c r="N106" s="1105"/>
      <c r="O106" s="1105"/>
      <c r="P106" s="1105"/>
      <c r="Q106" s="1105"/>
      <c r="R106" s="1105"/>
      <c r="S106" s="1106"/>
      <c r="T106" s="1106"/>
      <c r="U106" s="1106"/>
      <c r="V106" s="1106"/>
      <c r="W106" s="1106"/>
      <c r="X106" s="1106"/>
      <c r="Y106" s="1106"/>
      <c r="Z106" s="1106"/>
      <c r="AA106" s="1106"/>
      <c r="AB106" s="961"/>
      <c r="AG106" s="1097"/>
      <c r="AH106" s="1097"/>
      <c r="AI106" s="1107"/>
      <c r="AJ106" s="1107"/>
      <c r="AK106" s="1107"/>
      <c r="AL106" s="1097"/>
      <c r="AM106" s="1099"/>
      <c r="AN106" s="1097"/>
      <c r="AT106" s="961"/>
    </row>
    <row r="107" spans="2:46" ht="12" customHeight="1">
      <c r="B107" s="1097"/>
      <c r="C107" s="1097"/>
      <c r="D107" s="1097"/>
      <c r="E107" s="1097"/>
      <c r="F107" s="1097"/>
      <c r="G107" s="958"/>
      <c r="H107" s="1104"/>
      <c r="J107" s="961"/>
      <c r="K107" s="1104"/>
      <c r="L107" s="1105"/>
      <c r="M107" s="1105"/>
      <c r="N107" s="1105"/>
      <c r="O107" s="1105"/>
      <c r="P107" s="1105"/>
      <c r="Q107" s="1105"/>
      <c r="R107" s="1105"/>
      <c r="S107" s="1106"/>
      <c r="T107" s="1106"/>
      <c r="U107" s="1106"/>
      <c r="V107" s="1106"/>
      <c r="W107" s="1106"/>
      <c r="X107" s="1106"/>
      <c r="Y107" s="1106"/>
      <c r="Z107" s="1106"/>
      <c r="AA107" s="1106"/>
      <c r="AB107" s="961"/>
      <c r="AG107" s="1097"/>
      <c r="AH107" s="1097"/>
      <c r="AI107" s="1107"/>
      <c r="AJ107" s="1107"/>
      <c r="AK107" s="1107"/>
      <c r="AL107" s="1097"/>
      <c r="AM107" s="1099"/>
      <c r="AN107" s="1097"/>
      <c r="AT107" s="961"/>
    </row>
    <row r="108" spans="2:46" ht="12" customHeight="1">
      <c r="B108" s="1097"/>
      <c r="C108" s="1097"/>
      <c r="D108" s="1097"/>
      <c r="E108" s="1097"/>
      <c r="F108" s="1097"/>
      <c r="G108" s="958"/>
      <c r="H108" s="1104"/>
      <c r="J108" s="961"/>
      <c r="K108" s="1104"/>
      <c r="L108" s="1105"/>
      <c r="M108" s="1105"/>
      <c r="N108" s="1105"/>
      <c r="O108" s="1105"/>
      <c r="P108" s="1105"/>
      <c r="Q108" s="1105"/>
      <c r="R108" s="1105"/>
      <c r="S108" s="1106"/>
      <c r="T108" s="1106"/>
      <c r="U108" s="1106"/>
      <c r="V108" s="1106"/>
      <c r="W108" s="1106"/>
      <c r="X108" s="1106"/>
      <c r="Y108" s="1106"/>
      <c r="Z108" s="1106"/>
      <c r="AA108" s="1106"/>
      <c r="AB108" s="961"/>
      <c r="AG108" s="1097"/>
      <c r="AH108" s="1097"/>
      <c r="AI108" s="1107"/>
      <c r="AJ108" s="1107"/>
      <c r="AK108" s="1107"/>
      <c r="AL108" s="1097"/>
      <c r="AM108" s="1099"/>
      <c r="AN108" s="1097"/>
      <c r="AT108" s="961"/>
    </row>
    <row r="109" spans="2:46" ht="12" customHeight="1">
      <c r="B109" s="1097"/>
      <c r="C109" s="1097"/>
      <c r="D109" s="1097"/>
      <c r="E109" s="1097"/>
      <c r="F109" s="1097"/>
      <c r="G109" s="958"/>
      <c r="H109" s="1104"/>
      <c r="J109" s="961"/>
      <c r="K109" s="1104"/>
      <c r="L109" s="1105"/>
      <c r="M109" s="1105"/>
      <c r="N109" s="1105"/>
      <c r="O109" s="1105"/>
      <c r="P109" s="1105"/>
      <c r="Q109" s="1105"/>
      <c r="R109" s="1105"/>
      <c r="S109" s="1106"/>
      <c r="T109" s="1106"/>
      <c r="U109" s="1106"/>
      <c r="V109" s="1106"/>
      <c r="W109" s="1106"/>
      <c r="X109" s="1106"/>
      <c r="Y109" s="1106"/>
      <c r="Z109" s="1106"/>
      <c r="AA109" s="1106"/>
      <c r="AB109" s="961"/>
      <c r="AG109" s="1097"/>
      <c r="AH109" s="1097"/>
      <c r="AI109" s="1107"/>
      <c r="AJ109" s="1107"/>
      <c r="AK109" s="1107"/>
      <c r="AL109" s="1097"/>
      <c r="AM109" s="1099"/>
      <c r="AN109" s="1097"/>
      <c r="AT109" s="961"/>
    </row>
    <row r="110" spans="2:46" ht="12" customHeight="1">
      <c r="B110" s="1097"/>
      <c r="C110" s="1097"/>
      <c r="D110" s="1097"/>
      <c r="E110" s="1097"/>
      <c r="F110" s="1097"/>
      <c r="G110" s="958"/>
      <c r="H110" s="1104"/>
      <c r="J110" s="961"/>
      <c r="K110" s="1104"/>
      <c r="L110" s="1105"/>
      <c r="M110" s="1105"/>
      <c r="N110" s="1105"/>
      <c r="O110" s="1105"/>
      <c r="P110" s="1105"/>
      <c r="Q110" s="1105"/>
      <c r="R110" s="1105"/>
      <c r="S110" s="1106"/>
      <c r="T110" s="1106"/>
      <c r="U110" s="1106"/>
      <c r="V110" s="1106"/>
      <c r="W110" s="1106"/>
      <c r="X110" s="1106"/>
      <c r="Y110" s="1106"/>
      <c r="Z110" s="1106"/>
      <c r="AA110" s="1106"/>
      <c r="AB110" s="961"/>
      <c r="AG110" s="1097"/>
      <c r="AH110" s="1097"/>
      <c r="AI110" s="1107"/>
      <c r="AJ110" s="1107"/>
      <c r="AK110" s="1107"/>
      <c r="AL110" s="1097"/>
      <c r="AM110" s="1099"/>
      <c r="AN110" s="1097"/>
      <c r="AT110" s="961"/>
    </row>
    <row r="111" spans="2:46" ht="12" customHeight="1">
      <c r="B111" s="1097"/>
      <c r="C111" s="1097"/>
      <c r="D111" s="1097"/>
      <c r="E111" s="1097"/>
      <c r="F111" s="1097"/>
      <c r="G111" s="958"/>
      <c r="H111" s="1104"/>
      <c r="J111" s="961"/>
      <c r="K111" s="1104"/>
      <c r="L111" s="1105"/>
      <c r="M111" s="1105"/>
      <c r="N111" s="1105"/>
      <c r="O111" s="1105"/>
      <c r="P111" s="1105"/>
      <c r="Q111" s="1105"/>
      <c r="R111" s="1105"/>
      <c r="S111" s="1106"/>
      <c r="T111" s="1106"/>
      <c r="U111" s="1106"/>
      <c r="V111" s="1106"/>
      <c r="W111" s="1106"/>
      <c r="X111" s="1106"/>
      <c r="Y111" s="1106"/>
      <c r="Z111" s="1106"/>
      <c r="AA111" s="1106"/>
      <c r="AB111" s="961"/>
      <c r="AG111" s="1097"/>
      <c r="AH111" s="1097"/>
      <c r="AI111" s="1107"/>
      <c r="AJ111" s="1107"/>
      <c r="AK111" s="1107"/>
      <c r="AL111" s="1097"/>
      <c r="AM111" s="1099"/>
      <c r="AN111" s="1097"/>
      <c r="AT111" s="961"/>
    </row>
    <row r="112" spans="2:46" ht="12" customHeight="1">
      <c r="B112" s="1097"/>
      <c r="C112" s="1097"/>
      <c r="D112" s="1097"/>
      <c r="E112" s="1097"/>
      <c r="F112" s="1097"/>
      <c r="G112" s="958"/>
      <c r="H112" s="1104"/>
      <c r="J112" s="961"/>
      <c r="K112" s="1104"/>
      <c r="L112" s="1105"/>
      <c r="M112" s="1105"/>
      <c r="N112" s="1105"/>
      <c r="O112" s="1105"/>
      <c r="P112" s="1105"/>
      <c r="Q112" s="1105"/>
      <c r="R112" s="1105"/>
      <c r="S112" s="1106"/>
      <c r="T112" s="1106"/>
      <c r="U112" s="1106"/>
      <c r="V112" s="1106"/>
      <c r="W112" s="1106"/>
      <c r="X112" s="1106"/>
      <c r="Y112" s="1106"/>
      <c r="Z112" s="1106"/>
      <c r="AA112" s="1106"/>
      <c r="AB112" s="961"/>
      <c r="AG112" s="1097"/>
      <c r="AH112" s="1097"/>
      <c r="AI112" s="1107"/>
      <c r="AJ112" s="1107"/>
      <c r="AK112" s="1107"/>
      <c r="AL112" s="1097"/>
      <c r="AM112" s="1099"/>
      <c r="AN112" s="1097"/>
      <c r="AT112" s="961"/>
    </row>
    <row r="113" spans="2:46" ht="12" customHeight="1">
      <c r="B113" s="1097"/>
      <c r="C113" s="1097"/>
      <c r="D113" s="1097"/>
      <c r="E113" s="1097"/>
      <c r="F113" s="1097"/>
      <c r="G113" s="958"/>
      <c r="H113" s="1104"/>
      <c r="J113" s="961"/>
      <c r="K113" s="1104"/>
      <c r="L113" s="1105"/>
      <c r="M113" s="1105"/>
      <c r="N113" s="1105"/>
      <c r="O113" s="1105"/>
      <c r="P113" s="1105"/>
      <c r="Q113" s="1105"/>
      <c r="R113" s="1105"/>
      <c r="S113" s="1106"/>
      <c r="T113" s="1106"/>
      <c r="U113" s="1106"/>
      <c r="V113" s="1106"/>
      <c r="W113" s="1106"/>
      <c r="X113" s="1106"/>
      <c r="Y113" s="1106"/>
      <c r="Z113" s="1106"/>
      <c r="AA113" s="1106"/>
      <c r="AB113" s="961"/>
      <c r="AG113" s="1097"/>
      <c r="AH113" s="1097"/>
      <c r="AI113" s="1107"/>
      <c r="AJ113" s="1107"/>
      <c r="AK113" s="1107"/>
      <c r="AL113" s="1097"/>
      <c r="AM113" s="1099"/>
      <c r="AN113" s="1097"/>
      <c r="AT113" s="961"/>
    </row>
    <row r="114" spans="2:46" ht="12" customHeight="1">
      <c r="B114" s="1097"/>
      <c r="C114" s="1097"/>
      <c r="D114" s="1097"/>
      <c r="E114" s="1097"/>
      <c r="F114" s="1097"/>
      <c r="G114" s="958"/>
      <c r="H114" s="1104"/>
      <c r="J114" s="961"/>
      <c r="K114" s="1104"/>
      <c r="L114" s="1105"/>
      <c r="M114" s="1105"/>
      <c r="N114" s="1105"/>
      <c r="O114" s="1105"/>
      <c r="P114" s="1105"/>
      <c r="Q114" s="1105"/>
      <c r="R114" s="1105"/>
      <c r="S114" s="1106"/>
      <c r="T114" s="1106"/>
      <c r="U114" s="1106"/>
      <c r="V114" s="1106"/>
      <c r="W114" s="1106"/>
      <c r="X114" s="1106"/>
      <c r="Y114" s="1106"/>
      <c r="Z114" s="1106"/>
      <c r="AA114" s="1106"/>
      <c r="AB114" s="961"/>
      <c r="AG114" s="1097"/>
      <c r="AH114" s="1097"/>
      <c r="AI114" s="1107"/>
      <c r="AJ114" s="1107"/>
      <c r="AK114" s="1107"/>
      <c r="AL114" s="1097"/>
      <c r="AM114" s="1099"/>
      <c r="AN114" s="1097"/>
      <c r="AT114" s="961"/>
    </row>
    <row r="115" spans="2:46" ht="12" customHeight="1">
      <c r="B115" s="1097"/>
      <c r="C115" s="1097"/>
      <c r="D115" s="1097"/>
      <c r="E115" s="1097"/>
      <c r="F115" s="1097"/>
      <c r="G115" s="958"/>
      <c r="H115" s="1104"/>
      <c r="J115" s="961"/>
      <c r="K115" s="1104"/>
      <c r="L115" s="1105"/>
      <c r="M115" s="1105"/>
      <c r="N115" s="1105"/>
      <c r="O115" s="1105"/>
      <c r="P115" s="1105"/>
      <c r="Q115" s="1105"/>
      <c r="R115" s="1105"/>
      <c r="S115" s="1106"/>
      <c r="T115" s="1106"/>
      <c r="U115" s="1106"/>
      <c r="V115" s="1106"/>
      <c r="W115" s="1106"/>
      <c r="X115" s="1106"/>
      <c r="Y115" s="1106"/>
      <c r="Z115" s="1106"/>
      <c r="AA115" s="1106"/>
      <c r="AB115" s="961"/>
      <c r="AG115" s="1097"/>
      <c r="AH115" s="1097"/>
      <c r="AI115" s="1107"/>
      <c r="AJ115" s="1107"/>
      <c r="AK115" s="1107"/>
      <c r="AL115" s="1097"/>
      <c r="AM115" s="1099"/>
      <c r="AN115" s="1097"/>
      <c r="AT115" s="961"/>
    </row>
    <row r="116" spans="2:46" ht="12" customHeight="1">
      <c r="B116" s="1097"/>
      <c r="C116" s="1097"/>
      <c r="D116" s="1097"/>
      <c r="E116" s="1097"/>
      <c r="F116" s="1097"/>
      <c r="G116" s="958"/>
      <c r="H116" s="1104"/>
      <c r="J116" s="961"/>
      <c r="K116" s="1104"/>
      <c r="L116" s="1105"/>
      <c r="M116" s="1105"/>
      <c r="N116" s="1105"/>
      <c r="O116" s="1105"/>
      <c r="P116" s="1105"/>
      <c r="Q116" s="1105"/>
      <c r="R116" s="1105"/>
      <c r="S116" s="1106"/>
      <c r="T116" s="1106"/>
      <c r="U116" s="1106"/>
      <c r="V116" s="1106"/>
      <c r="W116" s="1106"/>
      <c r="X116" s="1106"/>
      <c r="Y116" s="1106"/>
      <c r="Z116" s="1106"/>
      <c r="AA116" s="1106"/>
      <c r="AB116" s="961"/>
      <c r="AG116" s="1097"/>
      <c r="AH116" s="1097"/>
      <c r="AI116" s="1107"/>
      <c r="AJ116" s="1107"/>
      <c r="AK116" s="1107"/>
      <c r="AL116" s="1097"/>
      <c r="AM116" s="1099"/>
      <c r="AN116" s="1097"/>
      <c r="AT116" s="961"/>
    </row>
    <row r="117" spans="2:46" ht="12" customHeight="1">
      <c r="B117" s="1097"/>
      <c r="C117" s="1097"/>
      <c r="D117" s="1097"/>
      <c r="E117" s="1097"/>
      <c r="F117" s="1097"/>
      <c r="G117" s="958"/>
      <c r="H117" s="1104"/>
      <c r="J117" s="961"/>
      <c r="K117" s="1104"/>
      <c r="L117" s="1105"/>
      <c r="M117" s="1105"/>
      <c r="N117" s="1105"/>
      <c r="O117" s="1105"/>
      <c r="P117" s="1105"/>
      <c r="Q117" s="1105"/>
      <c r="R117" s="1105"/>
      <c r="S117" s="1106"/>
      <c r="T117" s="1106"/>
      <c r="U117" s="1106"/>
      <c r="V117" s="1106"/>
      <c r="W117" s="1106"/>
      <c r="X117" s="1106"/>
      <c r="Y117" s="1106"/>
      <c r="Z117" s="1106"/>
      <c r="AA117" s="1106"/>
      <c r="AB117" s="961"/>
      <c r="AG117" s="1097"/>
      <c r="AH117" s="1097"/>
      <c r="AI117" s="1107"/>
      <c r="AJ117" s="1107"/>
      <c r="AK117" s="1107"/>
      <c r="AL117" s="1097"/>
      <c r="AM117" s="1099"/>
      <c r="AN117" s="1097"/>
      <c r="AT117" s="961"/>
    </row>
    <row r="118" spans="2:46" ht="12" customHeight="1">
      <c r="B118" s="1097"/>
      <c r="C118" s="1097"/>
      <c r="D118" s="1097"/>
      <c r="E118" s="1097"/>
      <c r="F118" s="1097"/>
      <c r="G118" s="958"/>
      <c r="H118" s="1104"/>
      <c r="J118" s="961"/>
      <c r="K118" s="1104"/>
      <c r="L118" s="1105"/>
      <c r="M118" s="1105"/>
      <c r="N118" s="1105"/>
      <c r="O118" s="1105"/>
      <c r="P118" s="1105"/>
      <c r="Q118" s="1105"/>
      <c r="R118" s="1105"/>
      <c r="S118" s="1106"/>
      <c r="T118" s="1106"/>
      <c r="U118" s="1106"/>
      <c r="V118" s="1106"/>
      <c r="W118" s="1106"/>
      <c r="X118" s="1106"/>
      <c r="Y118" s="1106"/>
      <c r="Z118" s="1106"/>
      <c r="AA118" s="1106"/>
      <c r="AB118" s="961"/>
      <c r="AG118" s="1097"/>
      <c r="AH118" s="1097"/>
      <c r="AI118" s="1107"/>
      <c r="AJ118" s="1107"/>
      <c r="AK118" s="1107"/>
      <c r="AL118" s="1097"/>
      <c r="AM118" s="1099"/>
      <c r="AN118" s="1097"/>
      <c r="AT118" s="961"/>
    </row>
    <row r="119" spans="2:46" ht="12" customHeight="1">
      <c r="B119" s="1097"/>
      <c r="C119" s="1097"/>
      <c r="D119" s="1097"/>
      <c r="E119" s="1097"/>
      <c r="F119" s="1097"/>
      <c r="G119" s="958"/>
      <c r="H119" s="1104"/>
      <c r="J119" s="961"/>
      <c r="K119" s="1104"/>
      <c r="L119" s="1105"/>
      <c r="M119" s="1105"/>
      <c r="N119" s="1105"/>
      <c r="O119" s="1105"/>
      <c r="P119" s="1105"/>
      <c r="Q119" s="1105"/>
      <c r="R119" s="1105"/>
      <c r="S119" s="1106"/>
      <c r="T119" s="1106"/>
      <c r="U119" s="1106"/>
      <c r="V119" s="1106"/>
      <c r="W119" s="1106"/>
      <c r="X119" s="1106"/>
      <c r="Y119" s="1106"/>
      <c r="Z119" s="1106"/>
      <c r="AA119" s="1106"/>
      <c r="AB119" s="961"/>
      <c r="AG119" s="1097"/>
      <c r="AH119" s="1097"/>
      <c r="AI119" s="1107"/>
      <c r="AJ119" s="1107"/>
      <c r="AK119" s="1107"/>
      <c r="AL119" s="1097"/>
      <c r="AM119" s="1099"/>
      <c r="AN119" s="1097"/>
      <c r="AT119" s="961"/>
    </row>
    <row r="120" spans="2:46" ht="12" customHeight="1">
      <c r="B120" s="1097"/>
      <c r="C120" s="1097"/>
      <c r="D120" s="1097"/>
      <c r="E120" s="1097"/>
      <c r="F120" s="1097"/>
      <c r="G120" s="958"/>
      <c r="H120" s="1104"/>
      <c r="J120" s="961"/>
      <c r="K120" s="1104"/>
      <c r="L120" s="1105"/>
      <c r="M120" s="1105"/>
      <c r="N120" s="1105"/>
      <c r="O120" s="1105"/>
      <c r="P120" s="1105"/>
      <c r="Q120" s="1105"/>
      <c r="R120" s="1105"/>
      <c r="S120" s="1106"/>
      <c r="T120" s="1106"/>
      <c r="U120" s="1106"/>
      <c r="V120" s="1106"/>
      <c r="W120" s="1106"/>
      <c r="X120" s="1106"/>
      <c r="Y120" s="1106"/>
      <c r="Z120" s="1106"/>
      <c r="AA120" s="1106"/>
      <c r="AB120" s="961"/>
      <c r="AG120" s="1097"/>
      <c r="AH120" s="1097"/>
      <c r="AI120" s="1107"/>
      <c r="AJ120" s="1107"/>
      <c r="AK120" s="1107"/>
      <c r="AL120" s="1097"/>
      <c r="AM120" s="1099"/>
      <c r="AN120" s="1097"/>
      <c r="AT120" s="961"/>
    </row>
    <row r="121" spans="2:46" ht="12" customHeight="1">
      <c r="B121" s="1097"/>
      <c r="C121" s="1097"/>
      <c r="D121" s="1097"/>
      <c r="E121" s="1097"/>
      <c r="F121" s="1097"/>
      <c r="G121" s="958"/>
      <c r="H121" s="1104"/>
      <c r="J121" s="961"/>
      <c r="K121" s="1104"/>
      <c r="L121" s="1105"/>
      <c r="M121" s="1105"/>
      <c r="N121" s="1105"/>
      <c r="O121" s="1105"/>
      <c r="P121" s="1105"/>
      <c r="Q121" s="1105"/>
      <c r="R121" s="1105"/>
      <c r="S121" s="1106"/>
      <c r="T121" s="1106"/>
      <c r="U121" s="1106"/>
      <c r="V121" s="1106"/>
      <c r="W121" s="1106"/>
      <c r="X121" s="1106"/>
      <c r="Y121" s="1106"/>
      <c r="Z121" s="1106"/>
      <c r="AA121" s="1106"/>
      <c r="AB121" s="961"/>
      <c r="AG121" s="1097"/>
      <c r="AH121" s="1097"/>
      <c r="AI121" s="1107"/>
      <c r="AJ121" s="1107"/>
      <c r="AK121" s="1107"/>
      <c r="AL121" s="1097"/>
      <c r="AM121" s="1099"/>
      <c r="AN121" s="1097"/>
      <c r="AT121" s="961"/>
    </row>
    <row r="122" spans="2:46" ht="12" customHeight="1">
      <c r="B122" s="1097"/>
      <c r="C122" s="1097"/>
      <c r="D122" s="1097"/>
      <c r="E122" s="1097"/>
      <c r="F122" s="1097"/>
      <c r="G122" s="958"/>
      <c r="H122" s="1104"/>
      <c r="J122" s="961"/>
      <c r="K122" s="1104"/>
      <c r="L122" s="1105"/>
      <c r="M122" s="1105"/>
      <c r="N122" s="1105"/>
      <c r="O122" s="1105"/>
      <c r="P122" s="1105"/>
      <c r="Q122" s="1105"/>
      <c r="R122" s="1105"/>
      <c r="S122" s="1106"/>
      <c r="T122" s="1106"/>
      <c r="U122" s="1106"/>
      <c r="V122" s="1106"/>
      <c r="W122" s="1106"/>
      <c r="X122" s="1106"/>
      <c r="Y122" s="1106"/>
      <c r="Z122" s="1106"/>
      <c r="AA122" s="1106"/>
      <c r="AB122" s="961"/>
      <c r="AG122" s="1097"/>
      <c r="AH122" s="1097"/>
      <c r="AI122" s="1107"/>
      <c r="AJ122" s="1107"/>
      <c r="AK122" s="1107"/>
      <c r="AL122" s="1097"/>
      <c r="AM122" s="1099"/>
      <c r="AN122" s="1097"/>
      <c r="AT122" s="961"/>
    </row>
    <row r="123" spans="2:46" ht="12" customHeight="1">
      <c r="B123" s="1097"/>
      <c r="C123" s="1097"/>
      <c r="D123" s="1097"/>
      <c r="E123" s="1097"/>
      <c r="F123" s="1097"/>
      <c r="G123" s="958"/>
      <c r="H123" s="1104"/>
      <c r="J123" s="961"/>
      <c r="K123" s="1104"/>
      <c r="L123" s="1105"/>
      <c r="M123" s="1105"/>
      <c r="N123" s="1105"/>
      <c r="O123" s="1105"/>
      <c r="P123" s="1105"/>
      <c r="Q123" s="1105"/>
      <c r="R123" s="1105"/>
      <c r="S123" s="1106"/>
      <c r="T123" s="1106"/>
      <c r="U123" s="1106"/>
      <c r="V123" s="1106"/>
      <c r="W123" s="1106"/>
      <c r="X123" s="1106"/>
      <c r="Y123" s="1106"/>
      <c r="Z123" s="1106"/>
      <c r="AA123" s="1106"/>
      <c r="AB123" s="961"/>
      <c r="AG123" s="1097"/>
      <c r="AH123" s="1097"/>
      <c r="AI123" s="1107"/>
      <c r="AJ123" s="1107"/>
      <c r="AK123" s="1107"/>
      <c r="AL123" s="1097"/>
      <c r="AM123" s="1099"/>
      <c r="AN123" s="1097"/>
      <c r="AT123" s="961"/>
    </row>
    <row r="124" spans="2:46" ht="12" customHeight="1">
      <c r="B124" s="1097"/>
      <c r="C124" s="1097"/>
      <c r="D124" s="1097"/>
      <c r="E124" s="1097"/>
      <c r="F124" s="1097"/>
      <c r="G124" s="958"/>
      <c r="H124" s="1104"/>
      <c r="J124" s="961"/>
      <c r="K124" s="1104"/>
      <c r="L124" s="1105"/>
      <c r="M124" s="1105"/>
      <c r="N124" s="1105"/>
      <c r="O124" s="1105"/>
      <c r="P124" s="1105"/>
      <c r="Q124" s="1105"/>
      <c r="R124" s="1105"/>
      <c r="S124" s="1106"/>
      <c r="T124" s="1106"/>
      <c r="U124" s="1106"/>
      <c r="V124" s="1106"/>
      <c r="W124" s="1106"/>
      <c r="X124" s="1106"/>
      <c r="Y124" s="1106"/>
      <c r="Z124" s="1106"/>
      <c r="AA124" s="1106"/>
      <c r="AB124" s="961"/>
      <c r="AG124" s="1097"/>
      <c r="AH124" s="1097"/>
      <c r="AI124" s="1107"/>
      <c r="AJ124" s="1107"/>
      <c r="AK124" s="1107"/>
      <c r="AL124" s="1097"/>
      <c r="AM124" s="1099"/>
      <c r="AN124" s="1097"/>
      <c r="AT124" s="961"/>
    </row>
    <row r="125" spans="2:46" ht="12" customHeight="1">
      <c r="B125" s="1097"/>
      <c r="C125" s="1097"/>
      <c r="D125" s="1097"/>
      <c r="E125" s="1097"/>
      <c r="F125" s="1097"/>
      <c r="G125" s="958"/>
      <c r="H125" s="1104"/>
      <c r="J125" s="961"/>
      <c r="K125" s="1104"/>
      <c r="L125" s="1105"/>
      <c r="M125" s="1105"/>
      <c r="N125" s="1105"/>
      <c r="O125" s="1105"/>
      <c r="P125" s="1105"/>
      <c r="Q125" s="1105"/>
      <c r="R125" s="1105"/>
      <c r="S125" s="1106"/>
      <c r="T125" s="1106"/>
      <c r="U125" s="1106"/>
      <c r="V125" s="1106"/>
      <c r="W125" s="1106"/>
      <c r="X125" s="1106"/>
      <c r="Y125" s="1106"/>
      <c r="Z125" s="1106"/>
      <c r="AA125" s="1106"/>
      <c r="AB125" s="961"/>
      <c r="AG125" s="1097"/>
      <c r="AH125" s="1097"/>
      <c r="AI125" s="1107"/>
      <c r="AJ125" s="1107"/>
      <c r="AK125" s="1107"/>
      <c r="AL125" s="1097"/>
      <c r="AM125" s="1099"/>
      <c r="AN125" s="1097"/>
      <c r="AT125" s="961"/>
    </row>
    <row r="126" spans="2:46" ht="12" customHeight="1">
      <c r="B126" s="1097"/>
      <c r="C126" s="1097"/>
      <c r="D126" s="1097"/>
      <c r="E126" s="1097"/>
      <c r="F126" s="1097"/>
      <c r="G126" s="958"/>
      <c r="H126" s="1104"/>
      <c r="J126" s="961"/>
      <c r="K126" s="1104"/>
      <c r="L126" s="1105"/>
      <c r="M126" s="1105"/>
      <c r="N126" s="1105"/>
      <c r="O126" s="1105"/>
      <c r="P126" s="1105"/>
      <c r="Q126" s="1105"/>
      <c r="R126" s="1105"/>
      <c r="S126" s="1106"/>
      <c r="T126" s="1106"/>
      <c r="U126" s="1106"/>
      <c r="V126" s="1106"/>
      <c r="W126" s="1106"/>
      <c r="X126" s="1106"/>
      <c r="Y126" s="1106"/>
      <c r="Z126" s="1106"/>
      <c r="AA126" s="1106"/>
      <c r="AB126" s="961"/>
      <c r="AG126" s="1097"/>
      <c r="AH126" s="1097"/>
      <c r="AI126" s="1107"/>
      <c r="AJ126" s="1107"/>
      <c r="AK126" s="1107"/>
      <c r="AL126" s="1097"/>
      <c r="AM126" s="1099"/>
      <c r="AN126" s="1097"/>
      <c r="AT126" s="961"/>
    </row>
    <row r="127" spans="2:46" ht="12" customHeight="1">
      <c r="B127" s="1097"/>
      <c r="C127" s="1097"/>
      <c r="D127" s="1097"/>
      <c r="E127" s="1097"/>
      <c r="F127" s="1097"/>
      <c r="G127" s="958"/>
      <c r="H127" s="1104"/>
      <c r="J127" s="961"/>
      <c r="K127" s="1104"/>
      <c r="L127" s="1105"/>
      <c r="M127" s="1105"/>
      <c r="N127" s="1105"/>
      <c r="O127" s="1105"/>
      <c r="P127" s="1105"/>
      <c r="Q127" s="1105"/>
      <c r="R127" s="1105"/>
      <c r="S127" s="1106"/>
      <c r="T127" s="1106"/>
      <c r="U127" s="1106"/>
      <c r="V127" s="1106"/>
      <c r="W127" s="1106"/>
      <c r="X127" s="1106"/>
      <c r="Y127" s="1106"/>
      <c r="Z127" s="1106"/>
      <c r="AA127" s="1106"/>
      <c r="AB127" s="961"/>
      <c r="AG127" s="1097"/>
      <c r="AH127" s="1097"/>
      <c r="AI127" s="1107"/>
      <c r="AJ127" s="1107"/>
      <c r="AK127" s="1107"/>
      <c r="AL127" s="1097"/>
      <c r="AM127" s="1099"/>
      <c r="AN127" s="1097"/>
      <c r="AT127" s="961"/>
    </row>
    <row r="128" spans="2:46" ht="12" customHeight="1">
      <c r="B128" s="1097"/>
      <c r="C128" s="1097"/>
      <c r="D128" s="1097"/>
      <c r="E128" s="1097"/>
      <c r="F128" s="1097"/>
      <c r="G128" s="958"/>
      <c r="H128" s="1104"/>
      <c r="J128" s="961"/>
      <c r="K128" s="1104"/>
      <c r="L128" s="1105"/>
      <c r="M128" s="1105"/>
      <c r="N128" s="1105"/>
      <c r="O128" s="1105"/>
      <c r="P128" s="1105"/>
      <c r="Q128" s="1105"/>
      <c r="R128" s="1105"/>
      <c r="S128" s="1106"/>
      <c r="T128" s="1106"/>
      <c r="U128" s="1106"/>
      <c r="V128" s="1106"/>
      <c r="W128" s="1106"/>
      <c r="X128" s="1106"/>
      <c r="Y128" s="1106"/>
      <c r="Z128" s="1106"/>
      <c r="AA128" s="1106"/>
      <c r="AB128" s="961"/>
      <c r="AG128" s="1097"/>
      <c r="AH128" s="1097"/>
      <c r="AI128" s="1107"/>
      <c r="AJ128" s="1107"/>
      <c r="AK128" s="1107"/>
      <c r="AL128" s="1097"/>
      <c r="AM128" s="1099"/>
      <c r="AN128" s="1097"/>
      <c r="AT128" s="961"/>
    </row>
    <row r="129" spans="2:46" ht="12" customHeight="1">
      <c r="B129" s="1097"/>
      <c r="C129" s="1097"/>
      <c r="D129" s="1097"/>
      <c r="E129" s="1097"/>
      <c r="F129" s="1097"/>
      <c r="G129" s="958"/>
      <c r="H129" s="1104"/>
      <c r="J129" s="961"/>
      <c r="K129" s="1104"/>
      <c r="L129" s="1105"/>
      <c r="M129" s="1105"/>
      <c r="N129" s="1105"/>
      <c r="O129" s="1105"/>
      <c r="P129" s="1105"/>
      <c r="Q129" s="1105"/>
      <c r="R129" s="1105"/>
      <c r="S129" s="1106"/>
      <c r="T129" s="1106"/>
      <c r="U129" s="1106"/>
      <c r="V129" s="1106"/>
      <c r="W129" s="1106"/>
      <c r="X129" s="1106"/>
      <c r="Y129" s="1106"/>
      <c r="Z129" s="1106"/>
      <c r="AA129" s="1106"/>
      <c r="AB129" s="961"/>
      <c r="AG129" s="1097"/>
      <c r="AH129" s="1097"/>
      <c r="AI129" s="1107"/>
      <c r="AJ129" s="1107"/>
      <c r="AK129" s="1107"/>
      <c r="AL129" s="1097"/>
      <c r="AM129" s="1099"/>
      <c r="AN129" s="1097"/>
      <c r="AT129" s="961"/>
    </row>
    <row r="130" spans="2:46" ht="12" customHeight="1">
      <c r="B130" s="1097"/>
      <c r="C130" s="1097"/>
      <c r="D130" s="1097"/>
      <c r="E130" s="1097"/>
      <c r="F130" s="1097"/>
      <c r="G130" s="958"/>
      <c r="H130" s="1104"/>
      <c r="J130" s="961"/>
      <c r="K130" s="1104"/>
      <c r="L130" s="1105"/>
      <c r="M130" s="1105"/>
      <c r="N130" s="1105"/>
      <c r="O130" s="1105"/>
      <c r="P130" s="1105"/>
      <c r="Q130" s="1105"/>
      <c r="R130" s="1105"/>
      <c r="S130" s="1106"/>
      <c r="T130" s="1106"/>
      <c r="U130" s="1106"/>
      <c r="V130" s="1106"/>
      <c r="W130" s="1106"/>
      <c r="X130" s="1106"/>
      <c r="Y130" s="1106"/>
      <c r="Z130" s="1106"/>
      <c r="AA130" s="1106"/>
      <c r="AB130" s="961"/>
      <c r="AG130" s="1097"/>
      <c r="AH130" s="1097"/>
      <c r="AI130" s="1107"/>
      <c r="AJ130" s="1107"/>
      <c r="AK130" s="1107"/>
      <c r="AL130" s="1097"/>
      <c r="AM130" s="1099"/>
      <c r="AN130" s="1097"/>
      <c r="AT130" s="961"/>
    </row>
    <row r="131" spans="2:46" ht="12" customHeight="1">
      <c r="B131" s="1097"/>
      <c r="C131" s="1097"/>
      <c r="D131" s="1097"/>
      <c r="E131" s="1097"/>
      <c r="F131" s="1097"/>
      <c r="G131" s="958"/>
      <c r="H131" s="1104"/>
      <c r="J131" s="961"/>
      <c r="K131" s="1104"/>
      <c r="L131" s="1105"/>
      <c r="M131" s="1105"/>
      <c r="N131" s="1105"/>
      <c r="O131" s="1105"/>
      <c r="P131" s="1105"/>
      <c r="Q131" s="1105"/>
      <c r="R131" s="1105"/>
      <c r="S131" s="1106"/>
      <c r="T131" s="1106"/>
      <c r="U131" s="1106"/>
      <c r="V131" s="1106"/>
      <c r="W131" s="1106"/>
      <c r="X131" s="1106"/>
      <c r="Y131" s="1106"/>
      <c r="Z131" s="1106"/>
      <c r="AA131" s="1106"/>
      <c r="AB131" s="961"/>
      <c r="AG131" s="1097"/>
      <c r="AH131" s="1097"/>
      <c r="AI131" s="1107"/>
      <c r="AJ131" s="1107"/>
      <c r="AK131" s="1107"/>
      <c r="AL131" s="1097"/>
      <c r="AM131" s="1099"/>
      <c r="AN131" s="1097"/>
    </row>
    <row r="132" spans="2:46" ht="12" customHeight="1">
      <c r="B132" s="1097"/>
      <c r="C132" s="1097"/>
      <c r="D132" s="1097"/>
      <c r="E132" s="1097"/>
      <c r="F132" s="1097"/>
      <c r="G132" s="958"/>
      <c r="H132" s="1104"/>
      <c r="J132" s="961"/>
      <c r="K132" s="1104"/>
      <c r="L132" s="1105"/>
      <c r="M132" s="1105"/>
      <c r="N132" s="1105"/>
      <c r="O132" s="1105"/>
      <c r="P132" s="1105"/>
      <c r="Q132" s="1105"/>
      <c r="R132" s="1105"/>
      <c r="S132" s="1106"/>
      <c r="T132" s="1106"/>
      <c r="U132" s="1106"/>
      <c r="V132" s="1106"/>
      <c r="W132" s="1106"/>
      <c r="X132" s="1106"/>
      <c r="Y132" s="1106"/>
      <c r="Z132" s="1106"/>
      <c r="AA132" s="1106"/>
      <c r="AB132" s="961"/>
      <c r="AG132" s="1097"/>
      <c r="AH132" s="1097"/>
      <c r="AI132" s="1107"/>
      <c r="AJ132" s="1107"/>
      <c r="AK132" s="1107"/>
      <c r="AL132" s="1097"/>
      <c r="AM132" s="1099"/>
      <c r="AN132" s="1097"/>
    </row>
    <row r="133" spans="2:46" ht="12" customHeight="1">
      <c r="B133" s="1097"/>
      <c r="C133" s="1097"/>
      <c r="D133" s="1097"/>
      <c r="E133" s="1097"/>
      <c r="F133" s="1097"/>
      <c r="G133" s="958"/>
      <c r="H133" s="1104"/>
      <c r="J133" s="961"/>
      <c r="K133" s="1104"/>
      <c r="L133" s="1105"/>
      <c r="M133" s="1105"/>
      <c r="N133" s="1105"/>
      <c r="O133" s="1105"/>
      <c r="P133" s="1105"/>
      <c r="Q133" s="1105"/>
      <c r="R133" s="1105"/>
      <c r="S133" s="1106"/>
      <c r="T133" s="1106"/>
      <c r="U133" s="1106"/>
      <c r="V133" s="1106"/>
      <c r="W133" s="1106"/>
      <c r="X133" s="1106"/>
      <c r="Y133" s="1106"/>
      <c r="Z133" s="1106"/>
      <c r="AA133" s="1106"/>
      <c r="AB133" s="961"/>
      <c r="AG133" s="1097"/>
      <c r="AH133" s="1097"/>
      <c r="AI133" s="1107"/>
      <c r="AJ133" s="1107"/>
      <c r="AK133" s="1107"/>
      <c r="AL133" s="1097"/>
      <c r="AM133" s="1099"/>
      <c r="AN133" s="1097"/>
    </row>
    <row r="134" spans="2:46" ht="12" customHeight="1">
      <c r="B134" s="1097"/>
      <c r="C134" s="1097"/>
      <c r="D134" s="1097"/>
      <c r="E134" s="1097"/>
      <c r="F134" s="1097"/>
      <c r="G134" s="958"/>
      <c r="H134" s="1104"/>
      <c r="J134" s="961"/>
      <c r="K134" s="1104"/>
      <c r="L134" s="1105"/>
      <c r="M134" s="1105"/>
      <c r="N134" s="1105"/>
      <c r="O134" s="1105"/>
      <c r="P134" s="1105"/>
      <c r="Q134" s="1105"/>
      <c r="R134" s="1105"/>
      <c r="S134" s="1106"/>
      <c r="T134" s="1106"/>
      <c r="U134" s="1106"/>
      <c r="V134" s="1106"/>
      <c r="W134" s="1106"/>
      <c r="X134" s="1106"/>
      <c r="Y134" s="1106"/>
      <c r="Z134" s="1106"/>
      <c r="AA134" s="1106"/>
      <c r="AB134" s="961"/>
      <c r="AG134" s="1097"/>
      <c r="AH134" s="1097"/>
      <c r="AI134" s="1107"/>
      <c r="AJ134" s="1107"/>
      <c r="AK134" s="1107"/>
      <c r="AL134" s="1097"/>
      <c r="AM134" s="1099"/>
      <c r="AN134" s="1097"/>
    </row>
    <row r="135" spans="2:46" ht="12" customHeight="1">
      <c r="B135" s="1097"/>
      <c r="C135" s="1097"/>
      <c r="D135" s="1097"/>
      <c r="E135" s="1097"/>
      <c r="F135" s="1097"/>
      <c r="G135" s="958"/>
      <c r="H135" s="1104"/>
      <c r="J135" s="961"/>
      <c r="K135" s="1104"/>
      <c r="L135" s="1105"/>
      <c r="M135" s="1105"/>
      <c r="N135" s="1105"/>
      <c r="O135" s="1105"/>
      <c r="P135" s="1105"/>
      <c r="Q135" s="1105"/>
      <c r="R135" s="1105"/>
      <c r="S135" s="1106"/>
      <c r="T135" s="1106"/>
      <c r="U135" s="1106"/>
      <c r="V135" s="1106"/>
      <c r="W135" s="1106"/>
      <c r="X135" s="1106"/>
      <c r="Y135" s="1106"/>
      <c r="Z135" s="1106"/>
      <c r="AA135" s="1106"/>
      <c r="AB135" s="961"/>
      <c r="AG135" s="1097"/>
      <c r="AH135" s="1097"/>
      <c r="AI135" s="1107"/>
      <c r="AJ135" s="1107"/>
      <c r="AK135" s="1107"/>
      <c r="AL135" s="1097"/>
      <c r="AM135" s="1099"/>
      <c r="AN135" s="1097"/>
    </row>
    <row r="136" spans="2:46" ht="12" customHeight="1">
      <c r="B136" s="1097"/>
      <c r="C136" s="1097"/>
      <c r="D136" s="1097"/>
      <c r="E136" s="1097"/>
      <c r="F136" s="1097"/>
      <c r="G136" s="958"/>
      <c r="H136" s="1104"/>
      <c r="J136" s="961"/>
      <c r="K136" s="1104"/>
      <c r="L136" s="1105"/>
      <c r="M136" s="1105"/>
      <c r="N136" s="1105"/>
      <c r="O136" s="1105"/>
      <c r="P136" s="1105"/>
      <c r="Q136" s="1105"/>
      <c r="R136" s="1105"/>
      <c r="S136" s="1106"/>
      <c r="T136" s="1106"/>
      <c r="U136" s="1106"/>
      <c r="V136" s="1106"/>
      <c r="W136" s="1106"/>
      <c r="X136" s="1106"/>
      <c r="Y136" s="1106"/>
      <c r="Z136" s="1106"/>
      <c r="AA136" s="1106"/>
      <c r="AB136" s="961"/>
      <c r="AG136" s="1097"/>
      <c r="AH136" s="1097"/>
      <c r="AI136" s="1107"/>
      <c r="AJ136" s="1107"/>
      <c r="AK136" s="1107"/>
      <c r="AL136" s="1097"/>
      <c r="AM136" s="1099"/>
      <c r="AN136" s="1097"/>
    </row>
    <row r="137" spans="2:46" ht="12" customHeight="1">
      <c r="B137" s="1097"/>
      <c r="C137" s="1097"/>
      <c r="D137" s="1097"/>
      <c r="E137" s="1097"/>
      <c r="F137" s="1097"/>
      <c r="G137" s="958"/>
      <c r="H137" s="1104"/>
      <c r="J137" s="961"/>
      <c r="K137" s="1104"/>
      <c r="L137" s="1105"/>
      <c r="M137" s="1105"/>
      <c r="N137" s="1105"/>
      <c r="O137" s="1105"/>
      <c r="P137" s="1105"/>
      <c r="Q137" s="1105"/>
      <c r="R137" s="1105"/>
      <c r="S137" s="1106"/>
      <c r="T137" s="1106"/>
      <c r="U137" s="1106"/>
      <c r="V137" s="1106"/>
      <c r="W137" s="1106"/>
      <c r="X137" s="1106"/>
      <c r="Y137" s="1106"/>
      <c r="Z137" s="1106"/>
      <c r="AA137" s="1106"/>
      <c r="AB137" s="961"/>
      <c r="AG137" s="1097"/>
      <c r="AH137" s="1097"/>
      <c r="AI137" s="1107"/>
      <c r="AJ137" s="1107"/>
      <c r="AK137" s="1107"/>
      <c r="AL137" s="1097"/>
      <c r="AM137" s="1099"/>
      <c r="AN137" s="1097"/>
    </row>
    <row r="138" spans="2:46" ht="12" customHeight="1">
      <c r="B138" s="1097"/>
      <c r="C138" s="1097"/>
      <c r="D138" s="1097"/>
      <c r="E138" s="1097"/>
      <c r="F138" s="1097"/>
      <c r="G138" s="958"/>
      <c r="H138" s="1104"/>
      <c r="J138" s="961"/>
      <c r="K138" s="1104"/>
      <c r="L138" s="1105"/>
      <c r="M138" s="1105"/>
      <c r="N138" s="1105"/>
      <c r="O138" s="1105"/>
      <c r="P138" s="1105"/>
      <c r="Q138" s="1105"/>
      <c r="R138" s="1105"/>
      <c r="S138" s="1106"/>
      <c r="T138" s="1106"/>
      <c r="U138" s="1106"/>
      <c r="V138" s="1106"/>
      <c r="W138" s="1106"/>
      <c r="X138" s="1106"/>
      <c r="Y138" s="1106"/>
      <c r="Z138" s="1106"/>
      <c r="AA138" s="1106"/>
      <c r="AB138" s="961"/>
      <c r="AG138" s="1097"/>
      <c r="AH138" s="1097"/>
      <c r="AI138" s="1107"/>
      <c r="AJ138" s="1107"/>
      <c r="AK138" s="1107"/>
      <c r="AL138" s="1097"/>
      <c r="AM138" s="1099"/>
      <c r="AN138" s="1097"/>
    </row>
    <row r="139" spans="2:46" ht="12" customHeight="1">
      <c r="B139" s="1097"/>
      <c r="C139" s="1097"/>
      <c r="D139" s="1097"/>
      <c r="E139" s="1097"/>
      <c r="F139" s="1097"/>
      <c r="G139" s="958"/>
      <c r="H139" s="1104"/>
      <c r="J139" s="961"/>
      <c r="K139" s="1104"/>
      <c r="L139" s="1105"/>
      <c r="M139" s="1105"/>
      <c r="N139" s="1105"/>
      <c r="O139" s="1105"/>
      <c r="P139" s="1105"/>
      <c r="Q139" s="1105"/>
      <c r="R139" s="1105"/>
      <c r="S139" s="1106"/>
      <c r="T139" s="1106"/>
      <c r="U139" s="1106"/>
      <c r="V139" s="1106"/>
      <c r="W139" s="1106"/>
      <c r="X139" s="1106"/>
      <c r="Y139" s="1106"/>
      <c r="Z139" s="1106"/>
      <c r="AA139" s="1106"/>
      <c r="AB139" s="961"/>
      <c r="AG139" s="1097"/>
      <c r="AH139" s="1097"/>
      <c r="AI139" s="1107"/>
      <c r="AJ139" s="1107"/>
      <c r="AK139" s="1107"/>
      <c r="AL139" s="1097"/>
      <c r="AM139" s="1099"/>
      <c r="AN139" s="1097"/>
    </row>
    <row r="140" spans="2:46" ht="12" customHeight="1">
      <c r="B140" s="1097"/>
      <c r="C140" s="1097"/>
      <c r="D140" s="1097"/>
      <c r="E140" s="1097"/>
      <c r="F140" s="1097"/>
      <c r="G140" s="958"/>
      <c r="H140" s="1104"/>
      <c r="J140" s="961"/>
      <c r="K140" s="1104"/>
      <c r="L140" s="1105"/>
      <c r="M140" s="1105"/>
      <c r="N140" s="1105"/>
      <c r="O140" s="1105"/>
      <c r="P140" s="1105"/>
      <c r="Q140" s="1105"/>
      <c r="R140" s="1105"/>
      <c r="S140" s="1106"/>
      <c r="T140" s="1106"/>
      <c r="U140" s="1106"/>
      <c r="V140" s="1106"/>
      <c r="W140" s="1106"/>
      <c r="X140" s="1106"/>
      <c r="Y140" s="1106"/>
      <c r="Z140" s="1106"/>
      <c r="AA140" s="1106"/>
      <c r="AB140" s="961"/>
      <c r="AG140" s="1097"/>
      <c r="AH140" s="1097"/>
      <c r="AI140" s="1107"/>
      <c r="AJ140" s="1107"/>
      <c r="AK140" s="1107"/>
      <c r="AL140" s="1097"/>
      <c r="AM140" s="1099"/>
      <c r="AN140" s="1097"/>
    </row>
    <row r="141" spans="2:46" ht="12" customHeight="1">
      <c r="B141" s="1097"/>
      <c r="C141" s="1097"/>
      <c r="D141" s="1097"/>
      <c r="E141" s="1097"/>
      <c r="F141" s="1097"/>
      <c r="G141" s="958"/>
      <c r="H141" s="1104"/>
      <c r="J141" s="961"/>
      <c r="K141" s="1104"/>
      <c r="L141" s="1105"/>
      <c r="M141" s="1105"/>
      <c r="N141" s="1105"/>
      <c r="O141" s="1105"/>
      <c r="P141" s="1105"/>
      <c r="Q141" s="1105"/>
      <c r="R141" s="1105"/>
      <c r="S141" s="1106"/>
      <c r="T141" s="1106"/>
      <c r="U141" s="1106"/>
      <c r="V141" s="1106"/>
      <c r="W141" s="1106"/>
      <c r="X141" s="1106"/>
      <c r="Y141" s="1106"/>
      <c r="Z141" s="1106"/>
      <c r="AA141" s="1106"/>
      <c r="AB141" s="961"/>
      <c r="AG141" s="1097"/>
      <c r="AH141" s="1097"/>
      <c r="AI141" s="1107"/>
      <c r="AJ141" s="1107"/>
      <c r="AK141" s="1107"/>
      <c r="AL141" s="1097"/>
      <c r="AM141" s="1099"/>
      <c r="AN141" s="1097"/>
    </row>
    <row r="142" spans="2:46" ht="12" customHeight="1">
      <c r="B142" s="1097"/>
      <c r="C142" s="1097"/>
      <c r="D142" s="1097"/>
      <c r="E142" s="1097"/>
      <c r="F142" s="1097"/>
      <c r="G142" s="958"/>
      <c r="H142" s="1104"/>
      <c r="J142" s="961"/>
      <c r="K142" s="1104"/>
      <c r="L142" s="1105"/>
      <c r="M142" s="1105"/>
      <c r="N142" s="1105"/>
      <c r="O142" s="1105"/>
      <c r="P142" s="1105"/>
      <c r="Q142" s="1105"/>
      <c r="R142" s="1105"/>
      <c r="S142" s="1106"/>
      <c r="T142" s="1106"/>
      <c r="U142" s="1106"/>
      <c r="V142" s="1106"/>
      <c r="W142" s="1106"/>
      <c r="X142" s="1106"/>
      <c r="Y142" s="1106"/>
      <c r="Z142" s="1106"/>
      <c r="AA142" s="1106"/>
      <c r="AB142" s="961"/>
      <c r="AG142" s="1097"/>
      <c r="AH142" s="1097"/>
      <c r="AI142" s="1107"/>
      <c r="AJ142" s="1107"/>
      <c r="AK142" s="1107"/>
      <c r="AL142" s="1097"/>
      <c r="AM142" s="1099"/>
      <c r="AN142" s="1097"/>
    </row>
    <row r="143" spans="2:46" ht="12" customHeight="1">
      <c r="B143" s="1097"/>
      <c r="C143" s="1097"/>
      <c r="D143" s="1097"/>
      <c r="E143" s="1097"/>
      <c r="F143" s="1097"/>
      <c r="G143" s="958"/>
      <c r="H143" s="1104"/>
      <c r="J143" s="961"/>
      <c r="K143" s="1104"/>
      <c r="L143" s="1105"/>
      <c r="M143" s="1105"/>
      <c r="N143" s="1105"/>
      <c r="O143" s="1105"/>
      <c r="P143" s="1105"/>
      <c r="Q143" s="1105"/>
      <c r="R143" s="1105"/>
      <c r="S143" s="1106"/>
      <c r="T143" s="1106"/>
      <c r="U143" s="1106"/>
      <c r="V143" s="1106"/>
      <c r="W143" s="1106"/>
      <c r="X143" s="1106"/>
      <c r="Y143" s="1106"/>
      <c r="Z143" s="1106"/>
      <c r="AA143" s="1106"/>
      <c r="AB143" s="961"/>
      <c r="AG143" s="1097"/>
      <c r="AH143" s="1097"/>
      <c r="AI143" s="1107"/>
      <c r="AJ143" s="1107"/>
      <c r="AK143" s="1107"/>
      <c r="AL143" s="1097"/>
      <c r="AM143" s="1099"/>
      <c r="AN143" s="1097"/>
    </row>
    <row r="144" spans="2:46" ht="12" customHeight="1">
      <c r="B144" s="1097"/>
      <c r="C144" s="1097"/>
      <c r="D144" s="1097"/>
      <c r="E144" s="1097"/>
      <c r="F144" s="1097"/>
      <c r="G144" s="958"/>
      <c r="H144" s="1104"/>
      <c r="J144" s="961"/>
      <c r="K144" s="1104"/>
      <c r="L144" s="1105"/>
      <c r="M144" s="1105"/>
      <c r="N144" s="1105"/>
      <c r="O144" s="1105"/>
      <c r="P144" s="1105"/>
      <c r="Q144" s="1105"/>
      <c r="R144" s="1105"/>
      <c r="S144" s="1106"/>
      <c r="T144" s="1106"/>
      <c r="U144" s="1106"/>
      <c r="V144" s="1106"/>
      <c r="W144" s="1106"/>
      <c r="X144" s="1106"/>
      <c r="Y144" s="1106"/>
      <c r="Z144" s="1106"/>
      <c r="AA144" s="1106"/>
      <c r="AB144" s="961"/>
      <c r="AG144" s="1097"/>
      <c r="AH144" s="1097"/>
      <c r="AI144" s="1107"/>
      <c r="AJ144" s="1107"/>
      <c r="AK144" s="1107"/>
      <c r="AL144" s="1097"/>
      <c r="AM144" s="1099"/>
      <c r="AN144" s="1097"/>
    </row>
    <row r="145" spans="2:40" ht="12" customHeight="1">
      <c r="B145" s="1097"/>
      <c r="C145" s="1097"/>
      <c r="D145" s="1097"/>
      <c r="E145" s="1097"/>
      <c r="F145" s="1097"/>
      <c r="G145" s="958"/>
      <c r="H145" s="1104"/>
      <c r="J145" s="961"/>
      <c r="K145" s="1104"/>
      <c r="L145" s="1105"/>
      <c r="M145" s="1105"/>
      <c r="N145" s="1105"/>
      <c r="O145" s="1105"/>
      <c r="P145" s="1105"/>
      <c r="Q145" s="1105"/>
      <c r="R145" s="1105"/>
      <c r="S145" s="1106"/>
      <c r="T145" s="1106"/>
      <c r="U145" s="1106"/>
      <c r="V145" s="1106"/>
      <c r="W145" s="1106"/>
      <c r="X145" s="1106"/>
      <c r="Y145" s="1106"/>
      <c r="Z145" s="1106"/>
      <c r="AA145" s="1106"/>
      <c r="AB145" s="961"/>
      <c r="AG145" s="1097"/>
      <c r="AH145" s="1097"/>
      <c r="AI145" s="1107"/>
      <c r="AJ145" s="1107"/>
      <c r="AK145" s="1107"/>
      <c r="AL145" s="1097"/>
      <c r="AM145" s="1099"/>
      <c r="AN145" s="1097"/>
    </row>
    <row r="146" spans="2:40" ht="12" customHeight="1">
      <c r="B146" s="1097"/>
      <c r="C146" s="1097"/>
      <c r="D146" s="1097"/>
      <c r="E146" s="1097"/>
      <c r="F146" s="1097"/>
      <c r="G146" s="958"/>
      <c r="H146" s="1104"/>
      <c r="J146" s="961"/>
      <c r="K146" s="1104"/>
      <c r="L146" s="1105"/>
      <c r="M146" s="1105"/>
      <c r="N146" s="1105"/>
      <c r="O146" s="1105"/>
      <c r="P146" s="1105"/>
      <c r="Q146" s="1105"/>
      <c r="R146" s="1105"/>
      <c r="S146" s="1106"/>
      <c r="T146" s="1106"/>
      <c r="U146" s="1106"/>
      <c r="V146" s="1106"/>
      <c r="W146" s="1106"/>
      <c r="X146" s="1106"/>
      <c r="Y146" s="1106"/>
      <c r="Z146" s="1106"/>
      <c r="AA146" s="1106"/>
      <c r="AB146" s="961"/>
      <c r="AG146" s="1097"/>
      <c r="AH146" s="1097"/>
      <c r="AI146" s="1107"/>
      <c r="AJ146" s="1107"/>
      <c r="AK146" s="1107"/>
      <c r="AL146" s="1097"/>
      <c r="AM146" s="1099"/>
      <c r="AN146" s="1097"/>
    </row>
    <row r="147" spans="2:40" ht="12" customHeight="1">
      <c r="B147" s="1097"/>
      <c r="C147" s="1097"/>
      <c r="D147" s="1097"/>
      <c r="E147" s="1097"/>
      <c r="F147" s="1097"/>
      <c r="G147" s="958"/>
      <c r="H147" s="1104"/>
      <c r="J147" s="961"/>
      <c r="K147" s="1104"/>
      <c r="L147" s="1105"/>
      <c r="M147" s="1105"/>
      <c r="N147" s="1105"/>
      <c r="O147" s="1105"/>
      <c r="P147" s="1105"/>
      <c r="Q147" s="1105"/>
      <c r="R147" s="1105"/>
      <c r="S147" s="1106"/>
      <c r="T147" s="1106"/>
      <c r="U147" s="1106"/>
      <c r="V147" s="1106"/>
      <c r="W147" s="1106"/>
      <c r="X147" s="1106"/>
      <c r="Y147" s="1106"/>
      <c r="Z147" s="1106"/>
      <c r="AA147" s="1106"/>
      <c r="AB147" s="961"/>
      <c r="AG147" s="1097"/>
      <c r="AH147" s="1097"/>
      <c r="AI147" s="1107"/>
      <c r="AJ147" s="1107"/>
      <c r="AK147" s="1107"/>
      <c r="AL147" s="1097"/>
      <c r="AM147" s="1099"/>
      <c r="AN147" s="1097"/>
    </row>
    <row r="148" spans="2:40" ht="12" customHeight="1">
      <c r="B148" s="1097"/>
      <c r="C148" s="1097"/>
      <c r="D148" s="1097"/>
      <c r="E148" s="1097"/>
      <c r="F148" s="1097"/>
      <c r="G148" s="958"/>
      <c r="H148" s="1104"/>
      <c r="J148" s="961"/>
      <c r="K148" s="1104"/>
      <c r="L148" s="1105"/>
      <c r="M148" s="1105"/>
      <c r="N148" s="1105"/>
      <c r="O148" s="1105"/>
      <c r="P148" s="1105"/>
      <c r="Q148" s="1105"/>
      <c r="R148" s="1105"/>
      <c r="S148" s="1106"/>
      <c r="T148" s="1106"/>
      <c r="U148" s="1106"/>
      <c r="V148" s="1106"/>
      <c r="W148" s="1106"/>
      <c r="X148" s="1106"/>
      <c r="Y148" s="1106"/>
      <c r="Z148" s="1106"/>
      <c r="AA148" s="1106"/>
      <c r="AB148" s="961"/>
      <c r="AG148" s="1097"/>
      <c r="AH148" s="1097"/>
      <c r="AI148" s="1107"/>
      <c r="AJ148" s="1107"/>
      <c r="AK148" s="1107"/>
      <c r="AL148" s="1097"/>
      <c r="AM148" s="1099"/>
      <c r="AN148" s="1097"/>
    </row>
    <row r="149" spans="2:40" ht="12" customHeight="1">
      <c r="B149" s="1097"/>
      <c r="C149" s="1097"/>
      <c r="D149" s="1097"/>
      <c r="E149" s="1097"/>
      <c r="F149" s="1097"/>
      <c r="G149" s="958"/>
      <c r="H149" s="1104"/>
      <c r="J149" s="961"/>
      <c r="K149" s="1104"/>
      <c r="L149" s="1105"/>
      <c r="M149" s="1105"/>
      <c r="N149" s="1105"/>
      <c r="O149" s="1105"/>
      <c r="P149" s="1105"/>
      <c r="Q149" s="1105"/>
      <c r="R149" s="1105"/>
      <c r="S149" s="1106"/>
      <c r="T149" s="1106"/>
      <c r="U149" s="1106"/>
      <c r="V149" s="1106"/>
      <c r="W149" s="1106"/>
      <c r="X149" s="1106"/>
      <c r="Y149" s="1106"/>
      <c r="Z149" s="1106"/>
      <c r="AA149" s="1106"/>
      <c r="AB149" s="961"/>
      <c r="AG149" s="1097"/>
      <c r="AH149" s="1097"/>
      <c r="AI149" s="1107"/>
      <c r="AJ149" s="1107"/>
      <c r="AK149" s="1107"/>
      <c r="AL149" s="1097"/>
      <c r="AM149" s="1099"/>
      <c r="AN149" s="1097"/>
    </row>
    <row r="150" spans="2:40" ht="12" customHeight="1">
      <c r="B150" s="1097"/>
      <c r="C150" s="1097"/>
      <c r="D150" s="1097"/>
      <c r="E150" s="1097"/>
      <c r="F150" s="1097"/>
      <c r="G150" s="958"/>
      <c r="H150" s="1104"/>
      <c r="J150" s="961"/>
      <c r="K150" s="1104"/>
      <c r="L150" s="1105"/>
      <c r="M150" s="1105"/>
      <c r="N150" s="1105"/>
      <c r="O150" s="1105"/>
      <c r="P150" s="1105"/>
      <c r="Q150" s="1105"/>
      <c r="R150" s="1105"/>
      <c r="S150" s="1106"/>
      <c r="T150" s="1106"/>
      <c r="U150" s="1106"/>
      <c r="V150" s="1106"/>
      <c r="W150" s="1106"/>
      <c r="X150" s="1106"/>
      <c r="Y150" s="1106"/>
      <c r="Z150" s="1106"/>
      <c r="AA150" s="1106"/>
      <c r="AB150" s="961"/>
      <c r="AG150" s="1097"/>
      <c r="AH150" s="1097"/>
      <c r="AI150" s="1107"/>
      <c r="AJ150" s="1107"/>
      <c r="AK150" s="1107"/>
      <c r="AL150" s="1097"/>
      <c r="AM150" s="1099"/>
      <c r="AN150" s="1097"/>
    </row>
    <row r="151" spans="2:40" ht="12" customHeight="1">
      <c r="B151" s="1097"/>
      <c r="C151" s="1097"/>
      <c r="D151" s="1097"/>
      <c r="E151" s="1097"/>
      <c r="F151" s="1097"/>
      <c r="G151" s="958"/>
      <c r="H151" s="1104"/>
      <c r="J151" s="961"/>
      <c r="K151" s="1104"/>
      <c r="L151" s="1105"/>
      <c r="M151" s="1105"/>
      <c r="N151" s="1105"/>
      <c r="O151" s="1105"/>
      <c r="P151" s="1105"/>
      <c r="Q151" s="1105"/>
      <c r="R151" s="1105"/>
      <c r="S151" s="1106"/>
      <c r="T151" s="1106"/>
      <c r="U151" s="1106"/>
      <c r="V151" s="1106"/>
      <c r="W151" s="1106"/>
      <c r="X151" s="1106"/>
      <c r="Y151" s="1106"/>
      <c r="Z151" s="1106"/>
      <c r="AA151" s="1106"/>
      <c r="AB151" s="961"/>
      <c r="AG151" s="1097"/>
      <c r="AH151" s="1097"/>
      <c r="AI151" s="1107"/>
      <c r="AJ151" s="1107"/>
      <c r="AK151" s="1107"/>
      <c r="AL151" s="1097"/>
      <c r="AM151" s="1099"/>
      <c r="AN151" s="1097"/>
    </row>
    <row r="152" spans="2:40" ht="12" customHeight="1">
      <c r="B152" s="1097"/>
      <c r="C152" s="1097"/>
      <c r="D152" s="1097"/>
      <c r="E152" s="1097"/>
      <c r="F152" s="1097"/>
      <c r="G152" s="958"/>
      <c r="H152" s="1104"/>
      <c r="J152" s="961"/>
      <c r="K152" s="1104"/>
      <c r="L152" s="1105"/>
      <c r="M152" s="1105"/>
      <c r="N152" s="1105"/>
      <c r="O152" s="1105"/>
      <c r="P152" s="1105"/>
      <c r="Q152" s="1105"/>
      <c r="R152" s="1105"/>
      <c r="S152" s="1106"/>
      <c r="T152" s="1106"/>
      <c r="U152" s="1106"/>
      <c r="V152" s="1106"/>
      <c r="W152" s="1106"/>
      <c r="X152" s="1106"/>
      <c r="Y152" s="1106"/>
      <c r="Z152" s="1106"/>
      <c r="AA152" s="1106"/>
      <c r="AB152" s="961"/>
      <c r="AG152" s="1097"/>
      <c r="AH152" s="1097"/>
      <c r="AI152" s="1107"/>
      <c r="AJ152" s="1107"/>
      <c r="AK152" s="1107"/>
      <c r="AL152" s="1097"/>
      <c r="AM152" s="1099"/>
      <c r="AN152" s="1097"/>
    </row>
    <row r="153" spans="2:40" ht="12" customHeight="1">
      <c r="B153" s="1097"/>
      <c r="C153" s="1097"/>
      <c r="D153" s="1097"/>
      <c r="E153" s="1097"/>
      <c r="F153" s="1097"/>
      <c r="G153" s="958"/>
      <c r="H153" s="1104"/>
      <c r="J153" s="961"/>
      <c r="K153" s="1104"/>
      <c r="L153" s="1105"/>
      <c r="M153" s="1105"/>
      <c r="N153" s="1105"/>
      <c r="O153" s="1105"/>
      <c r="P153" s="1105"/>
      <c r="Q153" s="1105"/>
      <c r="R153" s="1105"/>
      <c r="S153" s="1106"/>
      <c r="T153" s="1106"/>
      <c r="U153" s="1106"/>
      <c r="V153" s="1106"/>
      <c r="W153" s="1106"/>
      <c r="X153" s="1106"/>
      <c r="Y153" s="1106"/>
      <c r="Z153" s="1106"/>
      <c r="AA153" s="1106"/>
      <c r="AB153" s="961"/>
      <c r="AG153" s="1097"/>
      <c r="AH153" s="1097"/>
      <c r="AI153" s="1107"/>
      <c r="AJ153" s="1107"/>
      <c r="AK153" s="1107"/>
      <c r="AL153" s="1097"/>
      <c r="AM153" s="1099"/>
      <c r="AN153" s="1097"/>
    </row>
    <row r="154" spans="2:40" ht="12" customHeight="1">
      <c r="B154" s="1097"/>
      <c r="C154" s="1097"/>
      <c r="D154" s="1097"/>
      <c r="E154" s="1097"/>
      <c r="F154" s="1097"/>
      <c r="G154" s="958"/>
      <c r="H154" s="1104"/>
      <c r="J154" s="961"/>
      <c r="K154" s="1104"/>
      <c r="L154" s="1105"/>
      <c r="M154" s="1105"/>
      <c r="N154" s="1105"/>
      <c r="O154" s="1105"/>
      <c r="P154" s="1105"/>
      <c r="Q154" s="1105"/>
      <c r="R154" s="1105"/>
      <c r="S154" s="1106"/>
      <c r="T154" s="1106"/>
      <c r="U154" s="1106"/>
      <c r="V154" s="1106"/>
      <c r="W154" s="1106"/>
      <c r="X154" s="1106"/>
      <c r="Y154" s="1106"/>
      <c r="Z154" s="1106"/>
      <c r="AA154" s="1106"/>
      <c r="AB154" s="961"/>
      <c r="AG154" s="1097"/>
      <c r="AH154" s="1097"/>
      <c r="AI154" s="1107"/>
      <c r="AJ154" s="1107"/>
      <c r="AK154" s="1107"/>
      <c r="AL154" s="1097"/>
      <c r="AM154" s="1099"/>
      <c r="AN154" s="1097"/>
    </row>
    <row r="155" spans="2:40" ht="12" customHeight="1">
      <c r="B155" s="1097"/>
      <c r="C155" s="1097"/>
      <c r="D155" s="1097"/>
      <c r="E155" s="1097"/>
      <c r="F155" s="1097"/>
      <c r="G155" s="958"/>
      <c r="H155" s="1104"/>
      <c r="J155" s="961"/>
      <c r="K155" s="1104"/>
      <c r="L155" s="1105"/>
      <c r="M155" s="1105"/>
      <c r="N155" s="1105"/>
      <c r="O155" s="1105"/>
      <c r="P155" s="1105"/>
      <c r="Q155" s="1105"/>
      <c r="R155" s="1105"/>
      <c r="S155" s="1106"/>
      <c r="T155" s="1106"/>
      <c r="U155" s="1106"/>
      <c r="V155" s="1106"/>
      <c r="W155" s="1106"/>
      <c r="X155" s="1106"/>
      <c r="Y155" s="1106"/>
      <c r="Z155" s="1106"/>
      <c r="AA155" s="1106"/>
      <c r="AB155" s="961"/>
      <c r="AG155" s="1097"/>
      <c r="AH155" s="1097"/>
      <c r="AI155" s="1107"/>
      <c r="AJ155" s="1107"/>
      <c r="AK155" s="1107"/>
      <c r="AL155" s="1097"/>
      <c r="AM155" s="1099"/>
      <c r="AN155" s="1097"/>
    </row>
    <row r="156" spans="2:40" ht="12" customHeight="1">
      <c r="B156" s="1097"/>
      <c r="C156" s="1097"/>
      <c r="D156" s="1097"/>
      <c r="E156" s="1097"/>
      <c r="F156" s="1097"/>
      <c r="G156" s="958"/>
      <c r="H156" s="1104"/>
      <c r="J156" s="961"/>
      <c r="K156" s="1104"/>
      <c r="L156" s="1105"/>
      <c r="M156" s="1105"/>
      <c r="N156" s="1105"/>
      <c r="O156" s="1105"/>
      <c r="P156" s="1105"/>
      <c r="Q156" s="1105"/>
      <c r="R156" s="1105"/>
      <c r="S156" s="1106"/>
      <c r="T156" s="1106"/>
      <c r="U156" s="1106"/>
      <c r="V156" s="1106"/>
      <c r="W156" s="1106"/>
      <c r="X156" s="1106"/>
      <c r="Y156" s="1106"/>
      <c r="Z156" s="1106"/>
      <c r="AA156" s="1106"/>
      <c r="AB156" s="961"/>
      <c r="AG156" s="1097"/>
      <c r="AH156" s="1097"/>
      <c r="AI156" s="1107"/>
      <c r="AJ156" s="1107"/>
      <c r="AK156" s="1107"/>
      <c r="AL156" s="1097"/>
      <c r="AM156" s="1099"/>
      <c r="AN156" s="1097"/>
    </row>
    <row r="157" spans="2:40" ht="12" customHeight="1">
      <c r="B157" s="1097"/>
      <c r="C157" s="1097"/>
      <c r="D157" s="1097"/>
      <c r="E157" s="1097"/>
      <c r="F157" s="1097"/>
      <c r="G157" s="958"/>
      <c r="H157" s="1104"/>
      <c r="J157" s="961"/>
      <c r="K157" s="1104"/>
      <c r="L157" s="1105"/>
      <c r="M157" s="1105"/>
      <c r="N157" s="1105"/>
      <c r="O157" s="1105"/>
      <c r="P157" s="1105"/>
      <c r="Q157" s="1105"/>
      <c r="R157" s="1105"/>
      <c r="S157" s="1106"/>
      <c r="T157" s="1106"/>
      <c r="U157" s="1106"/>
      <c r="V157" s="1106"/>
      <c r="W157" s="1106"/>
      <c r="X157" s="1106"/>
      <c r="Y157" s="1106"/>
      <c r="Z157" s="1106"/>
      <c r="AA157" s="1106"/>
      <c r="AB157" s="961"/>
      <c r="AG157" s="1097"/>
      <c r="AH157" s="1097"/>
      <c r="AI157" s="1107"/>
      <c r="AJ157" s="1107"/>
      <c r="AK157" s="1107"/>
      <c r="AL157" s="1097"/>
      <c r="AM157" s="1099"/>
      <c r="AN157" s="1097"/>
    </row>
    <row r="158" spans="2:40" ht="12" customHeight="1">
      <c r="B158" s="1097"/>
      <c r="C158" s="1097"/>
      <c r="D158" s="1097"/>
      <c r="E158" s="1097"/>
      <c r="F158" s="1097"/>
      <c r="G158" s="958"/>
      <c r="H158" s="1104"/>
      <c r="J158" s="961"/>
      <c r="K158" s="1104"/>
      <c r="L158" s="1105"/>
      <c r="M158" s="1105"/>
      <c r="N158" s="1105"/>
      <c r="O158" s="1105"/>
      <c r="P158" s="1105"/>
      <c r="Q158" s="1105"/>
      <c r="R158" s="1105"/>
      <c r="S158" s="1106"/>
      <c r="T158" s="1106"/>
      <c r="U158" s="1106"/>
      <c r="V158" s="1106"/>
      <c r="W158" s="1106"/>
      <c r="X158" s="1106"/>
      <c r="Y158" s="1106"/>
      <c r="Z158" s="1106"/>
      <c r="AA158" s="1106"/>
      <c r="AB158" s="961"/>
      <c r="AG158" s="1097"/>
      <c r="AH158" s="1097"/>
      <c r="AI158" s="1107"/>
      <c r="AJ158" s="1107"/>
      <c r="AK158" s="1107"/>
      <c r="AL158" s="1097"/>
      <c r="AM158" s="1099"/>
      <c r="AN158" s="1097"/>
    </row>
    <row r="159" spans="2:40" ht="12" customHeight="1">
      <c r="B159" s="1097"/>
      <c r="C159" s="1097"/>
      <c r="D159" s="1097"/>
      <c r="E159" s="1097"/>
      <c r="F159" s="1097"/>
      <c r="G159" s="958"/>
      <c r="H159" s="1104"/>
      <c r="J159" s="961"/>
      <c r="K159" s="1104"/>
      <c r="L159" s="1105"/>
      <c r="M159" s="1105"/>
      <c r="N159" s="1105"/>
      <c r="O159" s="1105"/>
      <c r="P159" s="1105"/>
      <c r="Q159" s="1105"/>
      <c r="R159" s="1105"/>
      <c r="S159" s="1106"/>
      <c r="T159" s="1106"/>
      <c r="U159" s="1106"/>
      <c r="V159" s="1106"/>
      <c r="W159" s="1106"/>
      <c r="X159" s="1106"/>
      <c r="Y159" s="1106"/>
      <c r="Z159" s="1106"/>
      <c r="AA159" s="1106"/>
      <c r="AB159" s="961"/>
      <c r="AG159" s="1097"/>
      <c r="AH159" s="1097"/>
      <c r="AI159" s="1107"/>
      <c r="AJ159" s="1107"/>
      <c r="AK159" s="1107"/>
      <c r="AL159" s="1097"/>
      <c r="AM159" s="1099"/>
      <c r="AN159" s="1097"/>
    </row>
    <row r="160" spans="2:40" ht="12" customHeight="1">
      <c r="B160" s="1097"/>
      <c r="C160" s="1097"/>
      <c r="D160" s="1097"/>
      <c r="E160" s="1097"/>
      <c r="F160" s="1097"/>
      <c r="G160" s="958"/>
      <c r="H160" s="1104"/>
      <c r="J160" s="961"/>
      <c r="K160" s="1104"/>
      <c r="L160" s="1105"/>
      <c r="M160" s="1105"/>
      <c r="N160" s="1105"/>
      <c r="O160" s="1105"/>
      <c r="P160" s="1105"/>
      <c r="Q160" s="1105"/>
      <c r="R160" s="1105"/>
      <c r="S160" s="1106"/>
      <c r="T160" s="1106"/>
      <c r="U160" s="1106"/>
      <c r="V160" s="1106"/>
      <c r="W160" s="1106"/>
      <c r="X160" s="1106"/>
      <c r="Y160" s="1106"/>
      <c r="Z160" s="1106"/>
      <c r="AA160" s="1106"/>
      <c r="AB160" s="961"/>
      <c r="AG160" s="1097"/>
      <c r="AH160" s="1097"/>
      <c r="AI160" s="1107"/>
      <c r="AJ160" s="1107"/>
      <c r="AK160" s="1107"/>
      <c r="AL160" s="1097"/>
      <c r="AM160" s="1099"/>
      <c r="AN160" s="1097"/>
    </row>
    <row r="161" spans="2:40" ht="12" customHeight="1">
      <c r="B161" s="1097"/>
      <c r="C161" s="1097"/>
      <c r="D161" s="1097"/>
      <c r="E161" s="1097"/>
      <c r="F161" s="1097"/>
      <c r="G161" s="958"/>
      <c r="H161" s="1104"/>
      <c r="J161" s="961"/>
      <c r="K161" s="1104"/>
      <c r="L161" s="1105"/>
      <c r="M161" s="1105"/>
      <c r="N161" s="1105"/>
      <c r="O161" s="1105"/>
      <c r="P161" s="1105"/>
      <c r="Q161" s="1105"/>
      <c r="R161" s="1105"/>
      <c r="S161" s="1106"/>
      <c r="T161" s="1106"/>
      <c r="U161" s="1106"/>
      <c r="V161" s="1106"/>
      <c r="W161" s="1106"/>
      <c r="X161" s="1106"/>
      <c r="Y161" s="1106"/>
      <c r="Z161" s="1106"/>
      <c r="AA161" s="1106"/>
      <c r="AB161" s="961"/>
      <c r="AG161" s="1097"/>
      <c r="AH161" s="1097"/>
      <c r="AI161" s="1107"/>
      <c r="AJ161" s="1107"/>
      <c r="AK161" s="1107"/>
      <c r="AL161" s="1097"/>
      <c r="AM161" s="1099"/>
      <c r="AN161" s="1097"/>
    </row>
    <row r="162" spans="2:40" ht="12" customHeight="1">
      <c r="B162" s="1097"/>
      <c r="C162" s="1097"/>
      <c r="D162" s="1097"/>
      <c r="E162" s="1097"/>
      <c r="F162" s="1097"/>
      <c r="G162" s="958"/>
      <c r="H162" s="1104"/>
      <c r="J162" s="961"/>
      <c r="K162" s="1104"/>
      <c r="L162" s="1105"/>
      <c r="M162" s="1105"/>
      <c r="N162" s="1105"/>
      <c r="O162" s="1105"/>
      <c r="P162" s="1105"/>
      <c r="Q162" s="1105"/>
      <c r="R162" s="1105"/>
      <c r="S162" s="1106"/>
      <c r="T162" s="1106"/>
      <c r="U162" s="1106"/>
      <c r="V162" s="1106"/>
      <c r="W162" s="1106"/>
      <c r="X162" s="1106"/>
      <c r="Y162" s="1106"/>
      <c r="Z162" s="1106"/>
      <c r="AA162" s="1106"/>
      <c r="AB162" s="961"/>
      <c r="AG162" s="1097"/>
      <c r="AH162" s="1097"/>
      <c r="AI162" s="1107"/>
      <c r="AJ162" s="1107"/>
      <c r="AK162" s="1107"/>
      <c r="AL162" s="1097"/>
      <c r="AM162" s="1099"/>
      <c r="AN162" s="1097"/>
    </row>
    <row r="163" spans="2:40" ht="12" customHeight="1">
      <c r="B163" s="1097"/>
      <c r="C163" s="1097"/>
      <c r="D163" s="1097"/>
      <c r="E163" s="1097"/>
      <c r="F163" s="1097"/>
      <c r="G163" s="958"/>
      <c r="H163" s="1104"/>
      <c r="J163" s="961"/>
      <c r="K163" s="1104"/>
      <c r="L163" s="1105"/>
      <c r="M163" s="1105"/>
      <c r="N163" s="1105"/>
      <c r="O163" s="1105"/>
      <c r="P163" s="1105"/>
      <c r="Q163" s="1105"/>
      <c r="R163" s="1105"/>
      <c r="S163" s="1106"/>
      <c r="T163" s="1106"/>
      <c r="U163" s="1106"/>
      <c r="V163" s="1106"/>
      <c r="W163" s="1106"/>
      <c r="X163" s="1106"/>
      <c r="Y163" s="1106"/>
      <c r="Z163" s="1106"/>
      <c r="AA163" s="1106"/>
      <c r="AB163" s="961"/>
      <c r="AG163" s="1097"/>
      <c r="AH163" s="1097"/>
      <c r="AI163" s="1107"/>
      <c r="AJ163" s="1107"/>
      <c r="AK163" s="1107"/>
      <c r="AL163" s="1097"/>
      <c r="AM163" s="1099"/>
      <c r="AN163" s="1097"/>
    </row>
    <row r="164" spans="2:40" ht="12" customHeight="1">
      <c r="B164" s="1097"/>
      <c r="C164" s="1097"/>
      <c r="D164" s="1097"/>
      <c r="E164" s="1097"/>
      <c r="F164" s="1097"/>
      <c r="G164" s="958"/>
      <c r="H164" s="1104"/>
      <c r="J164" s="961"/>
      <c r="K164" s="1104"/>
      <c r="L164" s="1105"/>
      <c r="M164" s="1105"/>
      <c r="N164" s="1105"/>
      <c r="O164" s="1105"/>
      <c r="P164" s="1105"/>
      <c r="Q164" s="1105"/>
      <c r="R164" s="1105"/>
      <c r="S164" s="1106"/>
      <c r="T164" s="1106"/>
      <c r="U164" s="1106"/>
      <c r="V164" s="1106"/>
      <c r="W164" s="1106"/>
      <c r="X164" s="1106"/>
      <c r="Y164" s="1106"/>
      <c r="Z164" s="1106"/>
      <c r="AA164" s="1106"/>
      <c r="AB164" s="961"/>
      <c r="AG164" s="1097"/>
      <c r="AH164" s="1097"/>
      <c r="AI164" s="1107"/>
      <c r="AJ164" s="1107"/>
      <c r="AK164" s="1107"/>
      <c r="AL164" s="1097"/>
      <c r="AM164" s="1099"/>
      <c r="AN164" s="1097"/>
    </row>
    <row r="165" spans="2:40" ht="12" customHeight="1">
      <c r="B165" s="1097"/>
      <c r="C165" s="1097"/>
      <c r="D165" s="1097"/>
      <c r="E165" s="1097"/>
      <c r="F165" s="1097"/>
      <c r="G165" s="958"/>
      <c r="H165" s="1104"/>
      <c r="J165" s="961"/>
      <c r="K165" s="1104"/>
      <c r="L165" s="1105"/>
      <c r="M165" s="1105"/>
      <c r="N165" s="1105"/>
      <c r="O165" s="1105"/>
      <c r="P165" s="1105"/>
      <c r="Q165" s="1105"/>
      <c r="R165" s="1105"/>
      <c r="S165" s="1106"/>
      <c r="T165" s="1106"/>
      <c r="U165" s="1106"/>
      <c r="V165" s="1106"/>
      <c r="W165" s="1106"/>
      <c r="X165" s="1106"/>
      <c r="Y165" s="1106"/>
      <c r="Z165" s="1106"/>
      <c r="AA165" s="1106"/>
      <c r="AB165" s="961"/>
      <c r="AG165" s="1097"/>
      <c r="AH165" s="1097"/>
      <c r="AI165" s="1107"/>
      <c r="AJ165" s="1107"/>
      <c r="AK165" s="1107"/>
      <c r="AL165" s="1097"/>
      <c r="AM165" s="1099"/>
      <c r="AN165" s="1097"/>
    </row>
    <row r="166" spans="2:40" ht="12" customHeight="1">
      <c r="B166" s="1097"/>
      <c r="C166" s="1097"/>
      <c r="D166" s="1097"/>
      <c r="E166" s="1097"/>
      <c r="F166" s="1097"/>
      <c r="G166" s="958"/>
      <c r="H166" s="1104"/>
      <c r="J166" s="961"/>
      <c r="K166" s="1104"/>
      <c r="L166" s="1105"/>
      <c r="M166" s="1105"/>
      <c r="N166" s="1105"/>
      <c r="O166" s="1105"/>
      <c r="P166" s="1105"/>
      <c r="Q166" s="1105"/>
      <c r="R166" s="1105"/>
      <c r="S166" s="1106"/>
      <c r="T166" s="1106"/>
      <c r="U166" s="1106"/>
      <c r="V166" s="1106"/>
      <c r="W166" s="1106"/>
      <c r="X166" s="1106"/>
      <c r="Y166" s="1106"/>
      <c r="Z166" s="1106"/>
      <c r="AA166" s="1106"/>
      <c r="AB166" s="961"/>
      <c r="AG166" s="1097"/>
      <c r="AH166" s="1097"/>
      <c r="AI166" s="1107"/>
      <c r="AJ166" s="1107"/>
      <c r="AK166" s="1107"/>
      <c r="AL166" s="1097"/>
      <c r="AM166" s="1099"/>
      <c r="AN166" s="1097"/>
    </row>
    <row r="167" spans="2:40" ht="12" customHeight="1">
      <c r="B167" s="1097"/>
      <c r="C167" s="1097"/>
      <c r="D167" s="1097"/>
      <c r="E167" s="1097"/>
      <c r="F167" s="1097"/>
      <c r="G167" s="958"/>
      <c r="H167" s="1104"/>
      <c r="J167" s="961"/>
      <c r="K167" s="1104"/>
      <c r="L167" s="1105"/>
      <c r="M167" s="1105"/>
      <c r="N167" s="1105"/>
      <c r="O167" s="1105"/>
      <c r="P167" s="1105"/>
      <c r="Q167" s="1105"/>
      <c r="R167" s="1105"/>
      <c r="S167" s="1106"/>
      <c r="T167" s="1106"/>
      <c r="U167" s="1106"/>
      <c r="V167" s="1106"/>
      <c r="W167" s="1106"/>
      <c r="X167" s="1106"/>
      <c r="Y167" s="1106"/>
      <c r="Z167" s="1106"/>
      <c r="AA167" s="1106"/>
      <c r="AB167" s="961"/>
      <c r="AG167" s="1097"/>
      <c r="AH167" s="1097"/>
      <c r="AI167" s="1107"/>
      <c r="AJ167" s="1107"/>
      <c r="AK167" s="1107"/>
      <c r="AL167" s="1097"/>
      <c r="AM167" s="1099"/>
      <c r="AN167" s="1097"/>
    </row>
    <row r="168" spans="2:40" ht="12" customHeight="1">
      <c r="B168" s="1097"/>
      <c r="C168" s="1097"/>
      <c r="D168" s="1097"/>
      <c r="E168" s="1097"/>
      <c r="F168" s="1097"/>
      <c r="G168" s="958"/>
      <c r="H168" s="1104"/>
      <c r="J168" s="961"/>
      <c r="K168" s="1104"/>
      <c r="L168" s="1105"/>
      <c r="M168" s="1105"/>
      <c r="N168" s="1105"/>
      <c r="O168" s="1105"/>
      <c r="P168" s="1105"/>
      <c r="Q168" s="1105"/>
      <c r="R168" s="1105"/>
      <c r="S168" s="1106"/>
      <c r="T168" s="1106"/>
      <c r="U168" s="1106"/>
      <c r="V168" s="1106"/>
      <c r="W168" s="1106"/>
      <c r="X168" s="1106"/>
      <c r="Y168" s="1106"/>
      <c r="Z168" s="1106"/>
      <c r="AA168" s="1106"/>
      <c r="AB168" s="961"/>
      <c r="AG168" s="1097"/>
      <c r="AH168" s="1097"/>
      <c r="AI168" s="1107"/>
      <c r="AJ168" s="1107"/>
      <c r="AK168" s="1107"/>
      <c r="AL168" s="1097"/>
      <c r="AM168" s="1099"/>
      <c r="AN168" s="1097"/>
    </row>
    <row r="169" spans="2:40" ht="12" customHeight="1">
      <c r="B169" s="1097"/>
      <c r="C169" s="1097"/>
      <c r="D169" s="1097"/>
      <c r="E169" s="1097"/>
      <c r="F169" s="1097"/>
      <c r="G169" s="958"/>
      <c r="H169" s="1104"/>
      <c r="J169" s="961"/>
      <c r="K169" s="1104"/>
      <c r="L169" s="1105"/>
      <c r="M169" s="1105"/>
      <c r="N169" s="1105"/>
      <c r="O169" s="1105"/>
      <c r="P169" s="1105"/>
      <c r="Q169" s="1105"/>
      <c r="R169" s="1105"/>
      <c r="S169" s="1106"/>
      <c r="T169" s="1106"/>
      <c r="U169" s="1106"/>
      <c r="V169" s="1106"/>
      <c r="W169" s="1106"/>
      <c r="X169" s="1106"/>
      <c r="Y169" s="1106"/>
      <c r="Z169" s="1106"/>
      <c r="AA169" s="1106"/>
      <c r="AB169" s="961"/>
      <c r="AG169" s="1097"/>
      <c r="AH169" s="1097"/>
      <c r="AI169" s="1107"/>
      <c r="AJ169" s="1107"/>
      <c r="AK169" s="1107"/>
      <c r="AL169" s="1097"/>
      <c r="AM169" s="1099"/>
      <c r="AN169" s="1097"/>
    </row>
    <row r="170" spans="2:40" ht="12" customHeight="1">
      <c r="B170" s="1097"/>
      <c r="C170" s="1097"/>
      <c r="D170" s="1097"/>
      <c r="E170" s="1097"/>
      <c r="F170" s="1097"/>
      <c r="G170" s="958"/>
      <c r="H170" s="1104"/>
      <c r="J170" s="961"/>
      <c r="K170" s="1104"/>
      <c r="L170" s="1105"/>
      <c r="M170" s="1105"/>
      <c r="N170" s="1105"/>
      <c r="O170" s="1105"/>
      <c r="P170" s="1105"/>
      <c r="Q170" s="1105"/>
      <c r="R170" s="1105"/>
      <c r="S170" s="1106"/>
      <c r="T170" s="1106"/>
      <c r="U170" s="1106"/>
      <c r="V170" s="1106"/>
      <c r="W170" s="1106"/>
      <c r="X170" s="1106"/>
      <c r="Y170" s="1106"/>
      <c r="Z170" s="1106"/>
      <c r="AA170" s="1106"/>
      <c r="AB170" s="961"/>
      <c r="AG170" s="1097"/>
      <c r="AH170" s="1097"/>
      <c r="AI170" s="1107"/>
      <c r="AJ170" s="1107"/>
      <c r="AK170" s="1107"/>
      <c r="AL170" s="1097"/>
      <c r="AM170" s="1099"/>
      <c r="AN170" s="1097"/>
    </row>
    <row r="171" spans="2:40" ht="12" customHeight="1">
      <c r="B171" s="1097"/>
      <c r="C171" s="1097"/>
      <c r="D171" s="1097"/>
      <c r="E171" s="1097"/>
      <c r="F171" s="1097"/>
      <c r="G171" s="958"/>
      <c r="H171" s="1104"/>
      <c r="J171" s="961"/>
      <c r="K171" s="1104"/>
      <c r="L171" s="1105"/>
      <c r="M171" s="1105"/>
      <c r="N171" s="1105"/>
      <c r="O171" s="1105"/>
      <c r="P171" s="1105"/>
      <c r="Q171" s="1105"/>
      <c r="R171" s="1105"/>
      <c r="S171" s="1106"/>
      <c r="T171" s="1106"/>
      <c r="U171" s="1106"/>
      <c r="V171" s="1106"/>
      <c r="W171" s="1106"/>
      <c r="X171" s="1106"/>
      <c r="Y171" s="1106"/>
      <c r="Z171" s="1106"/>
      <c r="AA171" s="1106"/>
      <c r="AB171" s="961"/>
      <c r="AG171" s="1097"/>
      <c r="AH171" s="1097"/>
      <c r="AI171" s="1107"/>
      <c r="AJ171" s="1107"/>
      <c r="AK171" s="1107"/>
      <c r="AL171" s="1097"/>
      <c r="AM171" s="1099"/>
      <c r="AN171" s="1097"/>
    </row>
    <row r="172" spans="2:40" ht="12" customHeight="1">
      <c r="B172" s="1097"/>
      <c r="C172" s="1097"/>
      <c r="D172" s="1097"/>
      <c r="E172" s="1097"/>
      <c r="F172" s="1097"/>
      <c r="G172" s="958"/>
      <c r="H172" s="1104"/>
      <c r="J172" s="961"/>
      <c r="K172" s="1104"/>
      <c r="L172" s="1105"/>
      <c r="M172" s="1105"/>
      <c r="N172" s="1105"/>
      <c r="O172" s="1105"/>
      <c r="P172" s="1105"/>
      <c r="Q172" s="1105"/>
      <c r="R172" s="1105"/>
      <c r="S172" s="1106"/>
      <c r="T172" s="1106"/>
      <c r="U172" s="1106"/>
      <c r="V172" s="1106"/>
      <c r="W172" s="1106"/>
      <c r="X172" s="1106"/>
      <c r="Y172" s="1106"/>
      <c r="Z172" s="1106"/>
      <c r="AA172" s="1106"/>
      <c r="AB172" s="961"/>
      <c r="AG172" s="1097"/>
      <c r="AH172" s="1097"/>
      <c r="AI172" s="1107"/>
      <c r="AJ172" s="1107"/>
      <c r="AK172" s="1107"/>
      <c r="AL172" s="1097"/>
      <c r="AM172" s="1099"/>
      <c r="AN172" s="1097"/>
    </row>
    <row r="173" spans="2:40" ht="12" customHeight="1">
      <c r="B173" s="1097"/>
      <c r="C173" s="1097"/>
      <c r="D173" s="1097"/>
      <c r="E173" s="1097"/>
      <c r="F173" s="1097"/>
      <c r="G173" s="958"/>
      <c r="H173" s="1104"/>
      <c r="J173" s="961"/>
      <c r="K173" s="1104"/>
      <c r="L173" s="1105"/>
      <c r="M173" s="1105"/>
      <c r="N173" s="1105"/>
      <c r="O173" s="1105"/>
      <c r="P173" s="1105"/>
      <c r="Q173" s="1105"/>
      <c r="R173" s="1105"/>
      <c r="S173" s="1106"/>
      <c r="T173" s="1106"/>
      <c r="U173" s="1106"/>
      <c r="V173" s="1106"/>
      <c r="W173" s="1106"/>
      <c r="X173" s="1106"/>
      <c r="Y173" s="1106"/>
      <c r="Z173" s="1106"/>
      <c r="AA173" s="1106"/>
      <c r="AB173" s="961"/>
      <c r="AG173" s="1097"/>
      <c r="AH173" s="1097"/>
      <c r="AI173" s="1107"/>
      <c r="AJ173" s="1107"/>
      <c r="AK173" s="1107"/>
      <c r="AL173" s="1097"/>
      <c r="AM173" s="1099"/>
      <c r="AN173" s="1097"/>
    </row>
    <row r="174" spans="2:40" ht="12" customHeight="1">
      <c r="B174" s="1097"/>
      <c r="C174" s="1097"/>
      <c r="D174" s="1097"/>
      <c r="E174" s="1097"/>
      <c r="F174" s="1097"/>
      <c r="G174" s="958"/>
      <c r="H174" s="1104"/>
      <c r="J174" s="961"/>
      <c r="K174" s="1104"/>
      <c r="L174" s="1105"/>
      <c r="M174" s="1105"/>
      <c r="N174" s="1105"/>
      <c r="O174" s="1105"/>
      <c r="P174" s="1105"/>
      <c r="Q174" s="1105"/>
      <c r="R174" s="1105"/>
      <c r="S174" s="1106"/>
      <c r="T174" s="1106"/>
      <c r="U174" s="1106"/>
      <c r="V174" s="1106"/>
      <c r="W174" s="1106"/>
      <c r="X174" s="1106"/>
      <c r="Y174" s="1106"/>
      <c r="Z174" s="1106"/>
      <c r="AA174" s="1106"/>
      <c r="AB174" s="961"/>
      <c r="AG174" s="1097"/>
      <c r="AH174" s="1097"/>
      <c r="AI174" s="1107"/>
      <c r="AJ174" s="1107"/>
      <c r="AK174" s="1107"/>
      <c r="AL174" s="1097"/>
      <c r="AM174" s="1099"/>
      <c r="AN174" s="1097"/>
    </row>
    <row r="175" spans="2:40" ht="12" customHeight="1">
      <c r="B175" s="1097"/>
      <c r="C175" s="1097"/>
      <c r="D175" s="1097"/>
      <c r="E175" s="1097"/>
      <c r="F175" s="1097"/>
      <c r="G175" s="958"/>
      <c r="H175" s="1104"/>
      <c r="J175" s="961"/>
      <c r="K175" s="1104"/>
      <c r="L175" s="1105"/>
      <c r="M175" s="1105"/>
      <c r="N175" s="1105"/>
      <c r="O175" s="1105"/>
      <c r="P175" s="1105"/>
      <c r="Q175" s="1105"/>
      <c r="R175" s="1105"/>
      <c r="S175" s="1106"/>
      <c r="T175" s="1106"/>
      <c r="U175" s="1106"/>
      <c r="V175" s="1106"/>
      <c r="W175" s="1106"/>
      <c r="X175" s="1106"/>
      <c r="Y175" s="1106"/>
      <c r="Z175" s="1106"/>
      <c r="AA175" s="1106"/>
      <c r="AB175" s="961"/>
      <c r="AG175" s="1097"/>
      <c r="AH175" s="1097"/>
      <c r="AI175" s="1107"/>
      <c r="AJ175" s="1107"/>
      <c r="AK175" s="1107"/>
      <c r="AL175" s="1097"/>
      <c r="AM175" s="1099"/>
      <c r="AN175" s="1097"/>
    </row>
    <row r="176" spans="2:40" ht="12" customHeight="1">
      <c r="B176" s="1097"/>
      <c r="C176" s="1097"/>
      <c r="D176" s="1097"/>
      <c r="E176" s="1097"/>
      <c r="F176" s="1097"/>
      <c r="G176" s="958"/>
      <c r="H176" s="1104"/>
      <c r="J176" s="961"/>
      <c r="K176" s="1104"/>
      <c r="L176" s="1105"/>
      <c r="M176" s="1105"/>
      <c r="N176" s="1105"/>
      <c r="O176" s="1105"/>
      <c r="P176" s="1105"/>
      <c r="Q176" s="1105"/>
      <c r="R176" s="1105"/>
      <c r="S176" s="1106"/>
      <c r="T176" s="1106"/>
      <c r="U176" s="1106"/>
      <c r="V176" s="1106"/>
      <c r="W176" s="1106"/>
      <c r="X176" s="1106"/>
      <c r="Y176" s="1106"/>
      <c r="Z176" s="1106"/>
      <c r="AA176" s="1106"/>
      <c r="AB176" s="961"/>
      <c r="AG176" s="1097"/>
      <c r="AH176" s="1097"/>
      <c r="AI176" s="1107"/>
      <c r="AJ176" s="1107"/>
      <c r="AK176" s="1107"/>
      <c r="AL176" s="1097"/>
      <c r="AM176" s="1099"/>
      <c r="AN176" s="1097"/>
    </row>
    <row r="177" spans="2:41" ht="12" customHeight="1">
      <c r="B177" s="1097"/>
      <c r="C177" s="1097"/>
      <c r="D177" s="1097"/>
      <c r="E177" s="1097"/>
      <c r="F177" s="1097"/>
      <c r="G177" s="958"/>
      <c r="H177" s="1104"/>
      <c r="J177" s="961"/>
      <c r="K177" s="1104"/>
      <c r="L177" s="1105"/>
      <c r="M177" s="1105"/>
      <c r="N177" s="1105"/>
      <c r="O177" s="1105"/>
      <c r="P177" s="1105"/>
      <c r="Q177" s="1105"/>
      <c r="R177" s="1105"/>
      <c r="S177" s="1106"/>
      <c r="T177" s="1106"/>
      <c r="U177" s="1106"/>
      <c r="V177" s="1106"/>
      <c r="W177" s="1106"/>
      <c r="X177" s="1106"/>
      <c r="Y177" s="1106"/>
      <c r="Z177" s="1106"/>
      <c r="AA177" s="1106"/>
      <c r="AB177" s="961"/>
      <c r="AG177" s="1097"/>
      <c r="AH177" s="1097"/>
      <c r="AI177" s="1107"/>
      <c r="AJ177" s="1107"/>
      <c r="AK177" s="1107"/>
      <c r="AL177" s="1097"/>
      <c r="AM177" s="1099"/>
      <c r="AN177" s="1097"/>
    </row>
    <row r="178" spans="2:41" ht="12" customHeight="1">
      <c r="B178" s="1097"/>
      <c r="C178" s="1097"/>
      <c r="D178" s="1097"/>
      <c r="E178" s="1097"/>
      <c r="F178" s="1097"/>
      <c r="G178" s="958"/>
      <c r="H178" s="1104"/>
      <c r="J178" s="961"/>
      <c r="K178" s="1104"/>
      <c r="L178" s="1105"/>
      <c r="M178" s="1105"/>
      <c r="N178" s="1105"/>
      <c r="O178" s="1105"/>
      <c r="P178" s="1105"/>
      <c r="Q178" s="1105"/>
      <c r="R178" s="1105"/>
      <c r="S178" s="1106"/>
      <c r="T178" s="1106"/>
      <c r="U178" s="1106"/>
      <c r="V178" s="1106"/>
      <c r="W178" s="1106"/>
      <c r="X178" s="1106"/>
      <c r="Y178" s="1106"/>
      <c r="Z178" s="1106"/>
      <c r="AA178" s="1106"/>
      <c r="AB178" s="961"/>
      <c r="AG178" s="1097"/>
      <c r="AH178" s="1097"/>
      <c r="AI178" s="1107"/>
      <c r="AJ178" s="1107"/>
      <c r="AK178" s="1107"/>
      <c r="AL178" s="1097"/>
      <c r="AM178" s="1099"/>
      <c r="AN178" s="1097"/>
    </row>
    <row r="179" spans="2:41" ht="12" customHeight="1">
      <c r="B179" s="1097"/>
      <c r="C179" s="1097"/>
      <c r="D179" s="1097"/>
      <c r="E179" s="1097"/>
      <c r="F179" s="1097"/>
      <c r="G179" s="958"/>
      <c r="H179" s="1104"/>
      <c r="J179" s="961"/>
      <c r="K179" s="1104"/>
      <c r="L179" s="1105"/>
      <c r="M179" s="1105"/>
      <c r="N179" s="1105"/>
      <c r="O179" s="1105"/>
      <c r="P179" s="1105"/>
      <c r="Q179" s="1105"/>
      <c r="R179" s="1105"/>
      <c r="S179" s="1106"/>
      <c r="T179" s="1106"/>
      <c r="U179" s="1106"/>
      <c r="V179" s="1106"/>
      <c r="W179" s="1106"/>
      <c r="X179" s="1106"/>
      <c r="Y179" s="1106"/>
      <c r="Z179" s="1106"/>
      <c r="AA179" s="1106"/>
      <c r="AB179" s="961"/>
      <c r="AG179" s="1097"/>
      <c r="AH179" s="1097"/>
      <c r="AI179" s="1107"/>
      <c r="AJ179" s="1107"/>
      <c r="AK179" s="1107"/>
      <c r="AL179" s="1097"/>
      <c r="AM179" s="1099"/>
      <c r="AN179" s="1097"/>
    </row>
    <row r="180" spans="2:41" ht="12" customHeight="1">
      <c r="B180" s="1097"/>
      <c r="C180" s="1097"/>
      <c r="D180" s="1097"/>
      <c r="E180" s="1097"/>
      <c r="F180" s="1097"/>
      <c r="G180" s="958"/>
      <c r="H180" s="1104"/>
      <c r="J180" s="961"/>
      <c r="K180" s="1104"/>
      <c r="L180" s="1105"/>
      <c r="M180" s="1105"/>
      <c r="N180" s="1105"/>
      <c r="O180" s="1105"/>
      <c r="P180" s="1105"/>
      <c r="Q180" s="1105"/>
      <c r="R180" s="1105"/>
      <c r="S180" s="1106"/>
      <c r="T180" s="1106"/>
      <c r="U180" s="1106"/>
      <c r="V180" s="1106"/>
      <c r="W180" s="1106"/>
      <c r="X180" s="1106"/>
      <c r="Y180" s="1106"/>
      <c r="Z180" s="1106"/>
      <c r="AA180" s="1106"/>
      <c r="AB180" s="961"/>
      <c r="AG180" s="1097"/>
      <c r="AH180" s="1097"/>
      <c r="AI180" s="1107"/>
      <c r="AJ180" s="1107"/>
      <c r="AK180" s="1107"/>
      <c r="AL180" s="1097"/>
      <c r="AM180" s="1099"/>
      <c r="AN180" s="1097"/>
    </row>
    <row r="181" spans="2:41" ht="12" customHeight="1">
      <c r="H181" s="1104"/>
      <c r="I181" s="961"/>
      <c r="J181" s="961"/>
      <c r="AE181" s="1097"/>
      <c r="AG181" s="1097"/>
      <c r="AI181" s="1097"/>
      <c r="AJ181" s="1097"/>
      <c r="AK181" s="1097"/>
      <c r="AM181" s="1099"/>
      <c r="AO181" s="1097"/>
    </row>
    <row r="182" spans="2:41" ht="12" customHeight="1">
      <c r="H182" s="1104"/>
      <c r="I182" s="961"/>
      <c r="J182" s="961"/>
      <c r="AE182" s="1097"/>
      <c r="AG182" s="1097"/>
      <c r="AI182" s="1097"/>
      <c r="AJ182" s="1097"/>
      <c r="AK182" s="1097"/>
      <c r="AM182" s="1099"/>
      <c r="AO182" s="1097"/>
    </row>
    <row r="183" spans="2:41" ht="12" customHeight="1">
      <c r="H183" s="1104"/>
      <c r="I183" s="961"/>
      <c r="J183" s="961"/>
      <c r="AE183" s="1097"/>
      <c r="AG183" s="1097"/>
      <c r="AI183" s="1097"/>
      <c r="AJ183" s="1097"/>
      <c r="AK183" s="1097"/>
      <c r="AM183" s="1099"/>
      <c r="AO183" s="1097"/>
    </row>
    <row r="184" spans="2:41" ht="12" customHeight="1">
      <c r="H184" s="1104"/>
      <c r="I184" s="961"/>
      <c r="J184" s="961"/>
      <c r="AE184" s="1097"/>
      <c r="AG184" s="1097"/>
      <c r="AI184" s="1097"/>
      <c r="AJ184" s="1097"/>
      <c r="AK184" s="1097"/>
      <c r="AM184" s="1099"/>
      <c r="AO184" s="1097"/>
    </row>
    <row r="185" spans="2:41" ht="12" customHeight="1">
      <c r="H185" s="1104"/>
      <c r="I185" s="961"/>
      <c r="J185" s="961"/>
      <c r="AE185" s="1097"/>
      <c r="AG185" s="1097"/>
      <c r="AI185" s="1097"/>
      <c r="AJ185" s="1097"/>
      <c r="AK185" s="1097"/>
      <c r="AM185" s="1099"/>
      <c r="AO185" s="1097"/>
    </row>
    <row r="186" spans="2:41" ht="12" customHeight="1">
      <c r="H186" s="1104"/>
      <c r="I186" s="961"/>
      <c r="J186" s="961"/>
      <c r="AE186" s="1097"/>
      <c r="AG186" s="1097"/>
      <c r="AI186" s="1097"/>
      <c r="AJ186" s="1097"/>
      <c r="AK186" s="1097"/>
      <c r="AM186" s="1099"/>
      <c r="AO186" s="1097"/>
    </row>
    <row r="187" spans="2:41" ht="12" customHeight="1">
      <c r="H187" s="1104"/>
      <c r="I187" s="961"/>
      <c r="J187" s="961"/>
      <c r="AE187" s="1097"/>
      <c r="AG187" s="1097"/>
      <c r="AI187" s="1097"/>
      <c r="AJ187" s="1097"/>
      <c r="AK187" s="1097"/>
      <c r="AM187" s="1099"/>
      <c r="AO187" s="1097"/>
    </row>
    <row r="188" spans="2:41" ht="12" customHeight="1">
      <c r="H188" s="1104"/>
      <c r="I188" s="961"/>
      <c r="J188" s="961"/>
      <c r="AE188" s="1097"/>
      <c r="AG188" s="1097"/>
      <c r="AI188" s="1097"/>
      <c r="AJ188" s="1097"/>
      <c r="AK188" s="1097"/>
      <c r="AM188" s="1099"/>
      <c r="AO188" s="1097"/>
    </row>
    <row r="189" spans="2:41" ht="12" customHeight="1">
      <c r="H189" s="1104"/>
      <c r="I189" s="961"/>
      <c r="J189" s="961"/>
      <c r="AE189" s="1097"/>
      <c r="AG189" s="1097"/>
      <c r="AI189" s="1097"/>
      <c r="AJ189" s="1097"/>
      <c r="AK189" s="1097"/>
      <c r="AM189" s="1099"/>
      <c r="AO189" s="1097"/>
    </row>
    <row r="190" spans="2:41" ht="12" customHeight="1">
      <c r="H190" s="1104"/>
      <c r="I190" s="961"/>
      <c r="J190" s="961"/>
      <c r="AE190" s="1097"/>
      <c r="AG190" s="1097"/>
      <c r="AI190" s="1097"/>
      <c r="AJ190" s="1097"/>
      <c r="AK190" s="1097"/>
      <c r="AM190" s="1099"/>
      <c r="AO190" s="1097"/>
    </row>
    <row r="191" spans="2:41" ht="12" customHeight="1">
      <c r="H191" s="1104"/>
      <c r="I191" s="961"/>
      <c r="J191" s="961"/>
      <c r="AE191" s="1097"/>
      <c r="AG191" s="1097"/>
      <c r="AI191" s="1097"/>
      <c r="AJ191" s="1097"/>
      <c r="AK191" s="1097"/>
      <c r="AM191" s="1099"/>
      <c r="AO191" s="1097"/>
    </row>
    <row r="192" spans="2:41" ht="12" customHeight="1">
      <c r="H192" s="1104"/>
      <c r="I192" s="961"/>
      <c r="J192" s="961"/>
      <c r="AE192" s="1097"/>
      <c r="AG192" s="1097"/>
      <c r="AI192" s="1097"/>
      <c r="AJ192" s="1097"/>
      <c r="AK192" s="1097"/>
      <c r="AM192" s="1099"/>
      <c r="AO192" s="1097"/>
    </row>
    <row r="193" spans="8:41" ht="12" customHeight="1">
      <c r="H193" s="1104"/>
      <c r="I193" s="961"/>
      <c r="J193" s="961"/>
      <c r="AE193" s="1097"/>
      <c r="AG193" s="1097"/>
      <c r="AI193" s="1097"/>
      <c r="AJ193" s="1097"/>
      <c r="AK193" s="1097"/>
      <c r="AM193" s="1099"/>
      <c r="AO193" s="1097"/>
    </row>
    <row r="194" spans="8:41" ht="12" customHeight="1">
      <c r="H194" s="1104"/>
      <c r="I194" s="961"/>
      <c r="J194" s="961"/>
      <c r="AE194" s="1097"/>
      <c r="AG194" s="1097"/>
      <c r="AI194" s="1097"/>
      <c r="AJ194" s="1097"/>
      <c r="AK194" s="1097"/>
      <c r="AM194" s="1099"/>
      <c r="AO194" s="1097"/>
    </row>
    <row r="195" spans="8:41" ht="12" customHeight="1">
      <c r="H195" s="1104"/>
      <c r="I195" s="961"/>
      <c r="J195" s="961"/>
      <c r="AE195" s="1097"/>
      <c r="AG195" s="1097"/>
      <c r="AI195" s="1097"/>
      <c r="AJ195" s="1097"/>
      <c r="AK195" s="1097"/>
      <c r="AM195" s="1099"/>
      <c r="AO195" s="1097"/>
    </row>
    <row r="196" spans="8:41" ht="12" customHeight="1">
      <c r="H196" s="1104"/>
      <c r="I196" s="961"/>
      <c r="J196" s="961"/>
      <c r="AE196" s="1097"/>
      <c r="AG196" s="1097"/>
      <c r="AI196" s="1097"/>
      <c r="AJ196" s="1097"/>
      <c r="AK196" s="1097"/>
      <c r="AM196" s="1099"/>
      <c r="AO196" s="1097"/>
    </row>
    <row r="197" spans="8:41" ht="12" customHeight="1">
      <c r="H197" s="1104"/>
      <c r="I197" s="961"/>
      <c r="J197" s="961"/>
      <c r="AE197" s="1097"/>
      <c r="AG197" s="1097"/>
      <c r="AI197" s="1097"/>
      <c r="AJ197" s="1097"/>
      <c r="AK197" s="1097"/>
      <c r="AM197" s="1099"/>
      <c r="AO197" s="1097"/>
    </row>
    <row r="198" spans="8:41" ht="12" customHeight="1">
      <c r="H198" s="1104"/>
      <c r="I198" s="961"/>
      <c r="J198" s="961"/>
      <c r="AE198" s="1097"/>
      <c r="AG198" s="1097"/>
      <c r="AI198" s="1097"/>
      <c r="AJ198" s="1097"/>
      <c r="AK198" s="1097"/>
      <c r="AM198" s="1099"/>
      <c r="AO198" s="1097"/>
    </row>
    <row r="199" spans="8:41" ht="12" customHeight="1">
      <c r="H199" s="1104"/>
      <c r="I199" s="961"/>
      <c r="J199" s="961"/>
      <c r="AE199" s="1097"/>
      <c r="AG199" s="1097"/>
      <c r="AI199" s="1097"/>
      <c r="AJ199" s="1097"/>
      <c r="AK199" s="1097"/>
      <c r="AM199" s="1099"/>
      <c r="AO199" s="1097"/>
    </row>
    <row r="200" spans="8:41" ht="12" customHeight="1">
      <c r="H200" s="1104"/>
      <c r="I200" s="961"/>
      <c r="J200" s="961"/>
      <c r="AE200" s="1097"/>
      <c r="AG200" s="1097"/>
      <c r="AI200" s="1097"/>
      <c r="AJ200" s="1097"/>
      <c r="AK200" s="1097"/>
      <c r="AM200" s="1099"/>
      <c r="AO200" s="1097"/>
    </row>
    <row r="201" spans="8:41" ht="12" customHeight="1">
      <c r="H201" s="1104"/>
      <c r="I201" s="961"/>
      <c r="J201" s="961"/>
      <c r="AE201" s="1097"/>
      <c r="AG201" s="1097"/>
      <c r="AI201" s="1097"/>
      <c r="AJ201" s="1097"/>
      <c r="AK201" s="1097"/>
      <c r="AM201" s="1099"/>
      <c r="AO201" s="1097"/>
    </row>
    <row r="202" spans="8:41" ht="12" customHeight="1">
      <c r="H202" s="1104"/>
      <c r="I202" s="961"/>
      <c r="J202" s="961"/>
      <c r="AE202" s="1097"/>
      <c r="AG202" s="1097"/>
      <c r="AI202" s="1097"/>
      <c r="AJ202" s="1097"/>
      <c r="AK202" s="1097"/>
      <c r="AM202" s="1099"/>
      <c r="AO202" s="1097"/>
    </row>
    <row r="203" spans="8:41" ht="12" customHeight="1">
      <c r="H203" s="1104"/>
      <c r="I203" s="961"/>
      <c r="J203" s="961"/>
      <c r="AE203" s="1097"/>
      <c r="AG203" s="1097"/>
      <c r="AI203" s="1097"/>
      <c r="AJ203" s="1097"/>
      <c r="AK203" s="1097"/>
      <c r="AM203" s="1099"/>
      <c r="AO203" s="1097"/>
    </row>
    <row r="204" spans="8:41" ht="12" customHeight="1">
      <c r="H204" s="1104"/>
      <c r="I204" s="961"/>
      <c r="J204" s="961"/>
      <c r="AE204" s="1097"/>
      <c r="AG204" s="1097"/>
      <c r="AI204" s="1097"/>
      <c r="AJ204" s="1097"/>
      <c r="AK204" s="1097"/>
      <c r="AM204" s="1099"/>
      <c r="AO204" s="1097"/>
    </row>
    <row r="205" spans="8:41" ht="12" customHeight="1">
      <c r="H205" s="1104"/>
      <c r="I205" s="961"/>
      <c r="J205" s="961"/>
      <c r="AE205" s="1097"/>
      <c r="AG205" s="1097"/>
      <c r="AI205" s="1097"/>
      <c r="AJ205" s="1097"/>
      <c r="AK205" s="1097"/>
      <c r="AM205" s="1099"/>
      <c r="AO205" s="1097"/>
    </row>
    <row r="206" spans="8:41" ht="12" customHeight="1">
      <c r="H206" s="1104"/>
      <c r="I206" s="961"/>
      <c r="J206" s="961"/>
      <c r="AE206" s="1097"/>
      <c r="AG206" s="1097"/>
      <c r="AI206" s="1097"/>
      <c r="AJ206" s="1097"/>
      <c r="AK206" s="1097"/>
      <c r="AM206" s="1099"/>
      <c r="AO206" s="1097"/>
    </row>
    <row r="207" spans="8:41" ht="12" customHeight="1">
      <c r="H207" s="1104"/>
      <c r="I207" s="961"/>
      <c r="J207" s="961"/>
      <c r="AE207" s="1097"/>
      <c r="AG207" s="1097"/>
      <c r="AI207" s="1097"/>
      <c r="AJ207" s="1097"/>
      <c r="AK207" s="1097"/>
      <c r="AM207" s="1099"/>
      <c r="AO207" s="1097"/>
    </row>
    <row r="208" spans="8:41" ht="12" customHeight="1">
      <c r="H208" s="1104"/>
      <c r="I208" s="961"/>
      <c r="J208" s="961"/>
      <c r="AE208" s="1097"/>
      <c r="AG208" s="1097"/>
      <c r="AI208" s="1097"/>
      <c r="AJ208" s="1097"/>
      <c r="AK208" s="1097"/>
      <c r="AM208" s="1099"/>
      <c r="AO208" s="1097"/>
    </row>
    <row r="209" spans="8:41" ht="12" customHeight="1">
      <c r="H209" s="1104"/>
      <c r="I209" s="961"/>
      <c r="J209" s="961"/>
      <c r="AE209" s="1097"/>
      <c r="AG209" s="1097"/>
      <c r="AI209" s="1097"/>
      <c r="AJ209" s="1097"/>
      <c r="AK209" s="1097"/>
      <c r="AM209" s="1099"/>
      <c r="AO209" s="1097"/>
    </row>
  </sheetData>
  <sheetProtection sheet="1" objects="1" scenarios="1" selectLockedCells="1" selectUnlockedCells="1"/>
  <phoneticPr fontId="36" type="noConversion"/>
  <dataValidations count="2">
    <dataValidation type="decimal" allowBlank="1" showInputMessage="1" showErrorMessage="1" error="Min 0, max 100" sqref="AH2">
      <formula1>0</formula1>
      <formula2>100</formula2>
    </dataValidation>
    <dataValidation type="whole" allowBlank="1" showInputMessage="1" showErrorMessage="1" error="Min 2, max 1000" sqref="G27">
      <formula1>2</formula1>
      <formula2>1000</formula2>
    </dataValidation>
  </dataValidations>
  <pageMargins left="0.75" right="0.75" top="1" bottom="1" header="0.5" footer="0.5"/>
  <pageSetup orientation="portrait" horizontalDpi="200" verticalDpi="2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sheetPr codeName="Sheet211"/>
  <dimension ref="A1:CF1009"/>
  <sheetViews>
    <sheetView showGridLines="0" showRowColHeaders="0" topLeftCell="D1" zoomScale="120" workbookViewId="0">
      <selection activeCell="F9" sqref="F9"/>
    </sheetView>
  </sheetViews>
  <sheetFormatPr defaultRowHeight="12" customHeight="1"/>
  <cols>
    <col min="1" max="3" width="9.140625" style="16" hidden="1" customWidth="1"/>
    <col min="4" max="4" width="0.28515625" style="16" customWidth="1"/>
    <col min="5" max="5" width="3.85546875" style="16" customWidth="1"/>
    <col min="6" max="6" width="7.7109375" style="16" customWidth="1"/>
    <col min="7" max="7" width="3.5703125" style="136" customWidth="1"/>
    <col min="8" max="8" width="3.85546875" style="16" customWidth="1"/>
    <col min="9" max="9" width="7.7109375" style="16" customWidth="1"/>
    <col min="10" max="10" width="3.5703125" style="16" customWidth="1"/>
    <col min="11" max="11" width="1.42578125" style="16" customWidth="1"/>
    <col min="12" max="12" width="3" style="16" customWidth="1"/>
    <col min="13" max="13" width="5.85546875" style="16" customWidth="1"/>
    <col min="14" max="14" width="4.7109375" style="16" customWidth="1"/>
    <col min="15" max="17" width="7.42578125" style="16" customWidth="1"/>
    <col min="18" max="18" width="0.85546875" style="16" customWidth="1"/>
    <col min="19" max="19" width="7.42578125" style="16" customWidth="1"/>
    <col min="20" max="20" width="2.42578125" style="197" customWidth="1"/>
    <col min="21" max="21" width="1.7109375" style="16" customWidth="1"/>
    <col min="22" max="22" width="3.7109375" style="16" customWidth="1"/>
    <col min="23" max="23" width="8.85546875" style="16" customWidth="1"/>
    <col min="24" max="24" width="11.7109375" style="16" customWidth="1"/>
    <col min="25" max="25" width="8.85546875" style="16" customWidth="1"/>
    <col min="26" max="26" width="8.140625" style="16" customWidth="1"/>
    <col min="27" max="27" width="4.85546875" style="16" customWidth="1"/>
    <col min="28" max="28" width="3.7109375" style="16" customWidth="1"/>
    <col min="29" max="29" width="8.5703125" style="16" customWidth="1"/>
    <col min="30" max="33" width="5.7109375" style="16" customWidth="1"/>
    <col min="34" max="42" width="9.140625" style="16"/>
    <col min="43" max="43" width="3.7109375" style="16" customWidth="1"/>
    <col min="44" max="44" width="4.42578125" style="16" customWidth="1"/>
    <col min="45" max="45" width="6.28515625" style="16" customWidth="1"/>
    <col min="46" max="46" width="4.85546875" style="16" customWidth="1"/>
    <col min="47" max="54" width="9.140625" style="16"/>
    <col min="55" max="55" width="3.7109375" style="16" customWidth="1"/>
    <col min="56" max="56" width="11.7109375" style="16" customWidth="1"/>
    <col min="57" max="60" width="9.140625" style="16"/>
    <col min="61" max="61" width="3.85546875" style="16" customWidth="1"/>
    <col min="62" max="62" width="7.7109375" style="16" customWidth="1"/>
    <col min="63" max="63" width="3.5703125" style="136" customWidth="1"/>
    <col min="64" max="64" width="3.85546875" style="16" customWidth="1"/>
    <col min="65" max="65" width="7.7109375" style="16" customWidth="1"/>
    <col min="66" max="66" width="3.5703125" style="16" customWidth="1"/>
    <col min="67" max="67" width="1.42578125" style="16" customWidth="1"/>
    <col min="68" max="68" width="9.140625" style="16"/>
    <col min="69" max="69" width="3.85546875" style="16" customWidth="1"/>
    <col min="70" max="70" width="7.7109375" style="16" customWidth="1"/>
    <col min="71" max="71" width="3.5703125" style="136" customWidth="1"/>
    <col min="72" max="72" width="3.85546875" style="16" customWidth="1"/>
    <col min="73" max="73" width="7.7109375" style="16" customWidth="1"/>
    <col min="74" max="74" width="3.5703125" style="16" customWidth="1"/>
    <col min="75" max="75" width="1.42578125" style="16" customWidth="1"/>
    <col min="76" max="76" width="9.140625" style="16"/>
    <col min="77" max="77" width="3.85546875" style="16" customWidth="1"/>
    <col min="78" max="78" width="7.7109375" style="16" customWidth="1"/>
    <col min="79" max="79" width="3.5703125" style="136" customWidth="1"/>
    <col min="80" max="80" width="3.85546875" style="16" customWidth="1"/>
    <col min="81" max="81" width="7.7109375" style="16" customWidth="1"/>
    <col min="82" max="82" width="3.5703125" style="16" customWidth="1"/>
    <col min="83" max="83" width="1.42578125" style="16" customWidth="1"/>
    <col min="84" max="16384" width="9.140625" style="16"/>
  </cols>
  <sheetData>
    <row r="1" spans="1:83" ht="12" customHeight="1">
      <c r="F1" s="33"/>
      <c r="G1" s="585" t="s">
        <v>274</v>
      </c>
      <c r="V1" s="179">
        <f>(AS11+AS14+$Q$9)/1000000</f>
        <v>2.1499999999999999E-4</v>
      </c>
      <c r="W1" s="179">
        <f t="shared" ref="W1:AJ1" si="0">$V$1</f>
        <v>2.1499999999999999E-4</v>
      </c>
      <c r="X1" s="179">
        <f t="shared" si="0"/>
        <v>2.1499999999999999E-4</v>
      </c>
      <c r="Y1" s="179">
        <f t="shared" si="0"/>
        <v>2.1499999999999999E-4</v>
      </c>
      <c r="Z1" s="179">
        <f t="shared" si="0"/>
        <v>2.1499999999999999E-4</v>
      </c>
      <c r="AA1" s="180">
        <f t="shared" si="0"/>
        <v>2.1499999999999999E-4</v>
      </c>
      <c r="AB1" s="179">
        <f t="shared" si="0"/>
        <v>2.1499999999999999E-4</v>
      </c>
      <c r="AC1" s="179">
        <f t="shared" si="0"/>
        <v>2.1499999999999999E-4</v>
      </c>
      <c r="AD1" s="179">
        <f t="shared" si="0"/>
        <v>2.1499999999999999E-4</v>
      </c>
      <c r="AE1" s="179">
        <f t="shared" si="0"/>
        <v>2.1499999999999999E-4</v>
      </c>
      <c r="AF1" s="179">
        <f t="shared" si="0"/>
        <v>2.1499999999999999E-4</v>
      </c>
      <c r="AG1" s="179">
        <f t="shared" si="0"/>
        <v>2.1499999999999999E-4</v>
      </c>
      <c r="AH1" s="179">
        <f t="shared" si="0"/>
        <v>2.1499999999999999E-4</v>
      </c>
      <c r="AI1" s="179">
        <f t="shared" si="0"/>
        <v>2.1499999999999999E-4</v>
      </c>
      <c r="AJ1" s="180">
        <f t="shared" si="0"/>
        <v>2.1499999999999999E-4</v>
      </c>
      <c r="BI1" s="239"/>
      <c r="BJ1" s="586"/>
      <c r="BK1" s="587"/>
      <c r="BL1" s="23"/>
      <c r="BM1" s="23"/>
      <c r="BN1" s="23"/>
      <c r="BO1" s="24"/>
      <c r="BQ1" s="239"/>
      <c r="BR1" s="586"/>
      <c r="BS1" s="587"/>
      <c r="BT1" s="23"/>
      <c r="BU1" s="23"/>
      <c r="BV1" s="23"/>
      <c r="BW1" s="24"/>
      <c r="BY1" s="239"/>
      <c r="BZ1" s="586"/>
      <c r="CA1" s="587"/>
      <c r="CB1" s="23"/>
      <c r="CC1" s="23"/>
      <c r="CD1" s="23"/>
      <c r="CE1" s="24"/>
    </row>
    <row r="2" spans="1:83" ht="12" customHeight="1">
      <c r="F2" s="18"/>
      <c r="G2" s="16" t="s">
        <v>275</v>
      </c>
      <c r="Q2" s="588" t="s">
        <v>427</v>
      </c>
      <c r="R2" s="588"/>
      <c r="V2" s="179">
        <f t="shared" ref="V2:V36" si="1">$V$1</f>
        <v>2.1499999999999999E-4</v>
      </c>
      <c r="W2" s="211"/>
      <c r="AA2" s="180">
        <f t="shared" ref="AA2:AB21" si="2">$V$1</f>
        <v>2.1499999999999999E-4</v>
      </c>
      <c r="AB2" s="179">
        <f t="shared" si="2"/>
        <v>2.1499999999999999E-4</v>
      </c>
      <c r="AJ2" s="180">
        <f t="shared" ref="AJ2:AJ36" si="3">$V$1</f>
        <v>2.1499999999999999E-4</v>
      </c>
      <c r="BI2" s="589" t="s">
        <v>277</v>
      </c>
      <c r="BJ2" s="590"/>
      <c r="BK2" s="23"/>
      <c r="BL2" s="23"/>
      <c r="BM2" s="23"/>
      <c r="BN2" s="23"/>
      <c r="BO2" s="24"/>
      <c r="BQ2" s="589" t="s">
        <v>278</v>
      </c>
      <c r="BR2" s="590"/>
      <c r="BS2" s="23"/>
      <c r="BT2" s="23"/>
      <c r="BU2" s="23"/>
      <c r="BV2" s="23"/>
      <c r="BW2" s="24"/>
      <c r="BY2" s="589" t="s">
        <v>510</v>
      </c>
      <c r="BZ2" s="590"/>
      <c r="CA2" s="23"/>
      <c r="CB2" s="23"/>
      <c r="CC2" s="23"/>
      <c r="CD2" s="23"/>
      <c r="CE2" s="24"/>
    </row>
    <row r="3" spans="1:83" ht="12" customHeight="1">
      <c r="F3" s="18"/>
      <c r="G3" s="16" t="s">
        <v>279</v>
      </c>
      <c r="V3" s="179">
        <f t="shared" si="1"/>
        <v>2.1499999999999999E-4</v>
      </c>
      <c r="AA3" s="180">
        <f t="shared" si="2"/>
        <v>2.1499999999999999E-4</v>
      </c>
      <c r="AB3" s="179">
        <f t="shared" si="2"/>
        <v>2.1499999999999999E-4</v>
      </c>
      <c r="AJ3" s="180">
        <f t="shared" si="3"/>
        <v>2.1499999999999999E-4</v>
      </c>
      <c r="BI3" s="239"/>
      <c r="BJ3" s="590"/>
      <c r="BK3" s="23"/>
      <c r="BL3" s="23"/>
      <c r="BM3" s="23"/>
      <c r="BN3" s="23"/>
      <c r="BO3" s="24"/>
      <c r="BQ3" s="239"/>
      <c r="BR3" s="590"/>
      <c r="BS3" s="23"/>
      <c r="BT3" s="23"/>
      <c r="BU3" s="23"/>
      <c r="BV3" s="23"/>
      <c r="BW3" s="24"/>
      <c r="BY3" s="239"/>
      <c r="BZ3" s="590"/>
      <c r="CA3" s="23"/>
      <c r="CB3" s="23"/>
      <c r="CC3" s="23"/>
      <c r="CD3" s="23"/>
      <c r="CE3" s="24"/>
    </row>
    <row r="4" spans="1:83" ht="12" customHeight="1">
      <c r="A4" s="185" t="s">
        <v>280</v>
      </c>
      <c r="B4" s="211">
        <v>103553</v>
      </c>
      <c r="C4" s="16">
        <f>SUM(F9:F1008)</f>
        <v>299.59999999999997</v>
      </c>
      <c r="E4" s="232"/>
      <c r="F4" s="232"/>
      <c r="G4" s="396"/>
      <c r="H4" s="232"/>
      <c r="I4" s="232"/>
      <c r="J4" s="232"/>
      <c r="K4" s="232"/>
      <c r="V4" s="179">
        <f t="shared" si="1"/>
        <v>2.1499999999999999E-4</v>
      </c>
      <c r="AA4" s="180">
        <f t="shared" si="2"/>
        <v>2.1499999999999999E-4</v>
      </c>
      <c r="AB4" s="179">
        <f t="shared" si="2"/>
        <v>2.1499999999999999E-4</v>
      </c>
      <c r="AJ4" s="180">
        <f t="shared" si="3"/>
        <v>2.1499999999999999E-4</v>
      </c>
      <c r="BI4" s="239"/>
      <c r="BJ4" s="23"/>
      <c r="BK4" s="144"/>
      <c r="BL4" s="23"/>
      <c r="BM4" s="23"/>
      <c r="BN4" s="23"/>
      <c r="BO4" s="24"/>
      <c r="BQ4" s="239"/>
      <c r="BR4" s="23"/>
      <c r="BS4" s="144"/>
      <c r="BT4" s="23"/>
      <c r="BU4" s="23"/>
      <c r="BV4" s="23"/>
      <c r="BW4" s="24"/>
      <c r="BY4" s="239"/>
      <c r="BZ4" s="23"/>
      <c r="CA4" s="144"/>
      <c r="CB4" s="23"/>
      <c r="CC4" s="23"/>
      <c r="CD4" s="23"/>
      <c r="CE4" s="24"/>
    </row>
    <row r="5" spans="1:83" ht="12" customHeight="1">
      <c r="A5" s="185" t="s">
        <v>281</v>
      </c>
      <c r="B5" s="211">
        <v>129330</v>
      </c>
      <c r="C5" s="16">
        <f>SUM(I9:I1008)</f>
        <v>450.09999999999997</v>
      </c>
      <c r="E5" s="23"/>
      <c r="F5" s="23"/>
      <c r="G5" s="487" t="s">
        <v>282</v>
      </c>
      <c r="H5" s="591" t="s">
        <v>283</v>
      </c>
      <c r="J5" s="592"/>
      <c r="K5" s="593"/>
      <c r="L5" s="594">
        <v>4</v>
      </c>
      <c r="M5" s="237" t="s">
        <v>388</v>
      </c>
      <c r="N5" s="503"/>
      <c r="O5" s="503"/>
      <c r="P5" s="503"/>
      <c r="Q5" s="503"/>
      <c r="R5" s="503"/>
      <c r="S5" s="503"/>
      <c r="T5" s="546"/>
      <c r="U5" s="30"/>
      <c r="V5" s="179">
        <f t="shared" si="1"/>
        <v>2.1499999999999999E-4</v>
      </c>
      <c r="AA5" s="180">
        <f t="shared" si="2"/>
        <v>2.1499999999999999E-4</v>
      </c>
      <c r="AB5" s="179">
        <f t="shared" si="2"/>
        <v>2.1499999999999999E-4</v>
      </c>
      <c r="AJ5" s="180">
        <f t="shared" si="3"/>
        <v>2.1499999999999999E-4</v>
      </c>
      <c r="BI5" s="239"/>
      <c r="BJ5" s="23"/>
      <c r="BK5" s="491" t="s">
        <v>282</v>
      </c>
      <c r="BL5" s="591" t="s">
        <v>283</v>
      </c>
      <c r="BM5" s="264"/>
      <c r="BN5" s="592"/>
      <c r="BO5" s="595"/>
      <c r="BQ5" s="239"/>
      <c r="BR5" s="23"/>
      <c r="BS5" s="491" t="s">
        <v>282</v>
      </c>
      <c r="BT5" s="591" t="s">
        <v>284</v>
      </c>
      <c r="BU5" s="264"/>
      <c r="BV5" s="592"/>
      <c r="BW5" s="595"/>
      <c r="BY5" s="239"/>
      <c r="BZ5" s="23"/>
      <c r="CA5" s="491" t="s">
        <v>282</v>
      </c>
      <c r="CB5" s="591" t="s">
        <v>285</v>
      </c>
      <c r="CC5" s="264"/>
      <c r="CD5" s="592"/>
      <c r="CE5" s="595"/>
    </row>
    <row r="6" spans="1:83" ht="12" customHeight="1">
      <c r="A6" s="185" t="s">
        <v>286</v>
      </c>
      <c r="B6" s="211">
        <v>310438009</v>
      </c>
      <c r="C6" s="16">
        <f>SUMSQ(F9:F1008)</f>
        <v>3384.36</v>
      </c>
      <c r="E6" s="494">
        <v>1</v>
      </c>
      <c r="F6" s="596" t="s">
        <v>287</v>
      </c>
      <c r="G6" s="591" t="s">
        <v>288</v>
      </c>
      <c r="H6" s="597"/>
      <c r="I6" s="592"/>
      <c r="J6" s="23"/>
      <c r="K6" s="24"/>
      <c r="L6" s="331"/>
      <c r="M6" s="598" t="s">
        <v>289</v>
      </c>
      <c r="N6" s="331"/>
      <c r="O6" s="331"/>
      <c r="P6" s="331"/>
      <c r="Q6" s="598" t="s">
        <v>290</v>
      </c>
      <c r="R6" s="331"/>
      <c r="S6" s="331"/>
      <c r="T6" s="245"/>
      <c r="U6" s="30"/>
      <c r="V6" s="179">
        <f t="shared" si="1"/>
        <v>2.1499999999999999E-4</v>
      </c>
      <c r="AA6" s="180">
        <f t="shared" si="2"/>
        <v>2.1499999999999999E-4</v>
      </c>
      <c r="AB6" s="179">
        <f t="shared" si="2"/>
        <v>2.1499999999999999E-4</v>
      </c>
      <c r="AJ6" s="180">
        <f t="shared" si="3"/>
        <v>2.1499999999999999E-4</v>
      </c>
      <c r="BI6" s="576"/>
      <c r="BJ6" s="596" t="s">
        <v>287</v>
      </c>
      <c r="BK6" s="591" t="s">
        <v>288</v>
      </c>
      <c r="BL6" s="597"/>
      <c r="BM6" s="592"/>
      <c r="BN6" s="23"/>
      <c r="BO6" s="24"/>
      <c r="BQ6" s="576"/>
      <c r="BR6" s="596" t="s">
        <v>287</v>
      </c>
      <c r="BS6" s="591" t="s">
        <v>288</v>
      </c>
      <c r="BT6" s="597"/>
      <c r="BU6" s="592"/>
      <c r="BV6" s="23"/>
      <c r="BW6" s="24"/>
      <c r="BY6" s="576"/>
      <c r="BZ6" s="596" t="s">
        <v>287</v>
      </c>
      <c r="CA6" s="591" t="s">
        <v>288</v>
      </c>
      <c r="CB6" s="597"/>
      <c r="CC6" s="592"/>
      <c r="CD6" s="23"/>
      <c r="CE6" s="24"/>
    </row>
    <row r="7" spans="1:83" ht="12" customHeight="1">
      <c r="A7" s="185" t="s">
        <v>291</v>
      </c>
      <c r="B7" s="211">
        <v>524614900</v>
      </c>
      <c r="C7" s="16">
        <f>SUMSQ(I9:I1008)</f>
        <v>8127.55</v>
      </c>
      <c r="E7" s="599"/>
      <c r="F7" s="600" t="s">
        <v>292</v>
      </c>
      <c r="G7" s="601"/>
      <c r="H7" s="602"/>
      <c r="I7" s="600" t="s">
        <v>293</v>
      </c>
      <c r="J7" s="23"/>
      <c r="K7" s="24"/>
      <c r="L7" s="598"/>
      <c r="M7" s="553"/>
      <c r="N7" s="553"/>
      <c r="O7" s="553"/>
      <c r="P7" s="331"/>
      <c r="Q7" s="553"/>
      <c r="R7" s="553"/>
      <c r="S7" s="553"/>
      <c r="T7" s="245"/>
      <c r="U7" s="603"/>
      <c r="V7" s="179">
        <f t="shared" si="1"/>
        <v>2.1499999999999999E-4</v>
      </c>
      <c r="AA7" s="180">
        <f t="shared" si="2"/>
        <v>2.1499999999999999E-4</v>
      </c>
      <c r="AB7" s="179">
        <f t="shared" si="2"/>
        <v>2.1499999999999999E-4</v>
      </c>
      <c r="AJ7" s="180">
        <f t="shared" si="3"/>
        <v>2.1499999999999999E-4</v>
      </c>
      <c r="BI7" s="604"/>
      <c r="BJ7" s="600" t="s">
        <v>292</v>
      </c>
      <c r="BK7" s="601"/>
      <c r="BL7" s="602"/>
      <c r="BM7" s="600" t="s">
        <v>293</v>
      </c>
      <c r="BN7" s="23"/>
      <c r="BO7" s="24"/>
      <c r="BQ7" s="604"/>
      <c r="BR7" s="600" t="s">
        <v>292</v>
      </c>
      <c r="BS7" s="601"/>
      <c r="BT7" s="602"/>
      <c r="BU7" s="600" t="s">
        <v>293</v>
      </c>
      <c r="BV7" s="23"/>
      <c r="BW7" s="24"/>
      <c r="BY7" s="604"/>
      <c r="BZ7" s="600" t="s">
        <v>292</v>
      </c>
      <c r="CA7" s="601"/>
      <c r="CB7" s="602"/>
      <c r="CC7" s="600" t="s">
        <v>293</v>
      </c>
      <c r="CD7" s="23"/>
      <c r="CE7" s="24"/>
    </row>
    <row r="8" spans="1:83" ht="12" customHeight="1">
      <c r="A8" s="605" t="s">
        <v>1044</v>
      </c>
      <c r="B8" s="211">
        <v>95</v>
      </c>
      <c r="C8" s="16">
        <f>Q9</f>
        <v>95</v>
      </c>
      <c r="E8" s="599"/>
      <c r="F8" s="606" t="s">
        <v>294</v>
      </c>
      <c r="G8" s="607"/>
      <c r="H8" s="23"/>
      <c r="I8" s="606" t="s">
        <v>295</v>
      </c>
      <c r="J8" s="607"/>
      <c r="K8" s="24"/>
      <c r="L8" s="608">
        <v>5</v>
      </c>
      <c r="M8" s="609" t="s">
        <v>296</v>
      </c>
      <c r="N8" s="610"/>
      <c r="O8" s="610"/>
      <c r="P8" s="236"/>
      <c r="Q8" s="236"/>
      <c r="R8" s="236"/>
      <c r="S8" s="610"/>
      <c r="T8" s="611"/>
      <c r="U8" s="30"/>
      <c r="V8" s="179">
        <f t="shared" si="1"/>
        <v>2.1499999999999999E-4</v>
      </c>
      <c r="AA8" s="180">
        <f t="shared" si="2"/>
        <v>2.1499999999999999E-4</v>
      </c>
      <c r="AB8" s="179">
        <f t="shared" si="2"/>
        <v>2.1499999999999999E-4</v>
      </c>
      <c r="AJ8" s="180">
        <f t="shared" si="3"/>
        <v>2.1499999999999999E-4</v>
      </c>
      <c r="AQ8" s="612" t="s">
        <v>276</v>
      </c>
      <c r="AR8" s="342" t="s">
        <v>298</v>
      </c>
      <c r="AS8" s="342"/>
      <c r="AT8" s="569"/>
      <c r="BI8" s="604"/>
      <c r="BJ8" s="606" t="s">
        <v>294</v>
      </c>
      <c r="BK8" s="607"/>
      <c r="BL8" s="23"/>
      <c r="BM8" s="606" t="s">
        <v>295</v>
      </c>
      <c r="BN8" s="607"/>
      <c r="BO8" s="24"/>
      <c r="BQ8" s="604"/>
      <c r="BR8" s="606" t="s">
        <v>294</v>
      </c>
      <c r="BS8" s="607"/>
      <c r="BT8" s="23"/>
      <c r="BU8" s="606" t="s">
        <v>295</v>
      </c>
      <c r="BV8" s="607"/>
      <c r="BW8" s="24"/>
      <c r="BY8" s="604"/>
      <c r="BZ8" s="606" t="s">
        <v>294</v>
      </c>
      <c r="CA8" s="607"/>
      <c r="CB8" s="23"/>
      <c r="CC8" s="606" t="s">
        <v>295</v>
      </c>
      <c r="CD8" s="607"/>
      <c r="CE8" s="24"/>
    </row>
    <row r="9" spans="1:83" ht="12" customHeight="1">
      <c r="A9" s="185" t="s">
        <v>300</v>
      </c>
      <c r="B9" s="211">
        <v>37</v>
      </c>
      <c r="C9" s="16">
        <f>None</f>
        <v>34</v>
      </c>
      <c r="E9" s="576" t="s">
        <v>301</v>
      </c>
      <c r="F9" s="614">
        <v>12.1</v>
      </c>
      <c r="G9" s="169"/>
      <c r="H9" s="615">
        <v>1</v>
      </c>
      <c r="I9" s="616">
        <v>13.7</v>
      </c>
      <c r="J9" s="617"/>
      <c r="K9" s="618"/>
      <c r="L9" s="352"/>
      <c r="M9" s="352" t="s">
        <v>302</v>
      </c>
      <c r="N9" s="352"/>
      <c r="O9" s="352"/>
      <c r="P9" s="619" t="s">
        <v>1044</v>
      </c>
      <c r="Q9" s="242">
        <v>95</v>
      </c>
      <c r="R9" s="620"/>
      <c r="S9" s="352"/>
      <c r="T9" s="501"/>
      <c r="U9" s="30"/>
      <c r="V9" s="179">
        <f t="shared" si="1"/>
        <v>2.1499999999999999E-4</v>
      </c>
      <c r="AA9" s="180">
        <f t="shared" si="2"/>
        <v>2.1499999999999999E-4</v>
      </c>
      <c r="AB9" s="179">
        <f t="shared" si="2"/>
        <v>2.1499999999999999E-4</v>
      </c>
      <c r="AJ9" s="180">
        <f t="shared" si="3"/>
        <v>2.1499999999999999E-4</v>
      </c>
      <c r="AQ9" s="345"/>
      <c r="AR9" s="346"/>
      <c r="AS9" s="346"/>
      <c r="AT9" s="347"/>
      <c r="BI9" s="621">
        <v>1</v>
      </c>
      <c r="BJ9" s="614">
        <v>12.1</v>
      </c>
      <c r="BK9" s="169"/>
      <c r="BL9" s="615">
        <v>1</v>
      </c>
      <c r="BM9" s="616">
        <v>13.7</v>
      </c>
      <c r="BN9" s="617"/>
      <c r="BO9" s="618"/>
      <c r="BQ9" s="621">
        <v>1</v>
      </c>
      <c r="BR9" s="614">
        <v>8.99</v>
      </c>
      <c r="BS9" s="169"/>
      <c r="BT9" s="615">
        <v>1</v>
      </c>
      <c r="BU9" s="616">
        <v>24.82</v>
      </c>
      <c r="BV9" s="617"/>
      <c r="BW9" s="618"/>
      <c r="BY9" s="621">
        <v>1</v>
      </c>
      <c r="BZ9" s="614">
        <v>5.13</v>
      </c>
      <c r="CA9" s="169"/>
      <c r="CB9" s="615">
        <v>1</v>
      </c>
      <c r="CC9" s="616">
        <v>4.62</v>
      </c>
      <c r="CD9" s="617"/>
      <c r="CE9" s="618"/>
    </row>
    <row r="10" spans="1:83" ht="12" customHeight="1">
      <c r="A10" s="185" t="s">
        <v>303</v>
      </c>
      <c r="B10" s="211">
        <v>34</v>
      </c>
      <c r="C10" s="16">
        <f>Ntwo</f>
        <v>31</v>
      </c>
      <c r="E10" s="621">
        <v>2</v>
      </c>
      <c r="F10" s="622">
        <v>6.5</v>
      </c>
      <c r="G10" s="623"/>
      <c r="H10" s="615">
        <v>2</v>
      </c>
      <c r="I10" s="624">
        <v>21.1</v>
      </c>
      <c r="J10" s="23"/>
      <c r="K10" s="24"/>
      <c r="L10" s="352"/>
      <c r="M10" s="352"/>
      <c r="N10" s="352" t="s">
        <v>304</v>
      </c>
      <c r="O10" s="352"/>
      <c r="P10" s="625"/>
      <c r="Q10" s="352"/>
      <c r="R10" s="352"/>
      <c r="S10" s="352"/>
      <c r="T10" s="501"/>
      <c r="V10" s="179">
        <f t="shared" si="1"/>
        <v>2.1499999999999999E-4</v>
      </c>
      <c r="AA10" s="180">
        <f t="shared" si="2"/>
        <v>2.1499999999999999E-4</v>
      </c>
      <c r="AB10" s="179">
        <f t="shared" si="2"/>
        <v>2.1499999999999999E-4</v>
      </c>
      <c r="AJ10" s="180">
        <f t="shared" si="3"/>
        <v>2.1499999999999999E-4</v>
      </c>
      <c r="AQ10" s="345"/>
      <c r="AR10" s="549"/>
      <c r="AS10" s="548" t="s">
        <v>640</v>
      </c>
      <c r="AT10" s="626"/>
      <c r="BI10" s="621">
        <v>2</v>
      </c>
      <c r="BJ10" s="622">
        <v>6.5</v>
      </c>
      <c r="BK10" s="623"/>
      <c r="BL10" s="615">
        <v>2</v>
      </c>
      <c r="BM10" s="624">
        <v>21.1</v>
      </c>
      <c r="BN10" s="23"/>
      <c r="BO10" s="24"/>
      <c r="BQ10" s="621">
        <v>2</v>
      </c>
      <c r="BR10" s="622">
        <v>1.35</v>
      </c>
      <c r="BS10" s="623"/>
      <c r="BT10" s="615">
        <v>2</v>
      </c>
      <c r="BU10" s="624">
        <v>11.76</v>
      </c>
      <c r="BV10" s="23"/>
      <c r="BW10" s="24"/>
      <c r="BY10" s="621">
        <v>2</v>
      </c>
      <c r="BZ10" s="622">
        <v>0.5</v>
      </c>
      <c r="CA10" s="623"/>
      <c r="CB10" s="615">
        <v>2</v>
      </c>
      <c r="CC10" s="624">
        <v>14.95</v>
      </c>
      <c r="CD10" s="23"/>
      <c r="CE10" s="24"/>
    </row>
    <row r="11" spans="1:83" ht="12" customHeight="1">
      <c r="B11" s="185" t="s">
        <v>389</v>
      </c>
      <c r="C11" s="238" t="b">
        <f>IF(AND(S32&lt;&gt;"",P37&lt;&gt;"",X94&lt;&gt;""),AND(X77,Z80=1,S32&lt;=200,ABS(P37)&lt;=10,B4=C4,B5=C5,B6=C6,B7=C7,B8=C8,B9=C9,B10=C10),FALSE)</f>
        <v>0</v>
      </c>
      <c r="E11" s="621">
        <v>3</v>
      </c>
      <c r="F11" s="622">
        <v>8.1</v>
      </c>
      <c r="G11" s="623"/>
      <c r="H11" s="615">
        <v>3</v>
      </c>
      <c r="I11" s="624">
        <v>15.2</v>
      </c>
      <c r="J11" s="23"/>
      <c r="K11" s="24"/>
      <c r="L11" s="247"/>
      <c r="M11" s="247"/>
      <c r="N11" s="247"/>
      <c r="O11" s="247"/>
      <c r="P11" s="247"/>
      <c r="Q11" s="247"/>
      <c r="R11" s="247"/>
      <c r="S11" s="247"/>
      <c r="T11" s="558"/>
      <c r="V11" s="179">
        <f t="shared" si="1"/>
        <v>2.1499999999999999E-4</v>
      </c>
      <c r="AA11" s="180">
        <f t="shared" si="2"/>
        <v>2.1499999999999999E-4</v>
      </c>
      <c r="AB11" s="179">
        <f t="shared" si="2"/>
        <v>2.1499999999999999E-4</v>
      </c>
      <c r="AJ11" s="180">
        <f t="shared" si="3"/>
        <v>2.1499999999999999E-4</v>
      </c>
      <c r="AQ11" s="345"/>
      <c r="AR11" s="549"/>
      <c r="AS11" s="627">
        <v>70</v>
      </c>
      <c r="AT11" s="626"/>
      <c r="BI11" s="621">
        <v>3</v>
      </c>
      <c r="BJ11" s="622">
        <v>8.1</v>
      </c>
      <c r="BK11" s="623"/>
      <c r="BL11" s="615">
        <v>3</v>
      </c>
      <c r="BM11" s="624">
        <v>15.2</v>
      </c>
      <c r="BN11" s="23"/>
      <c r="BO11" s="24"/>
      <c r="BQ11" s="621">
        <v>3</v>
      </c>
      <c r="BR11" s="622">
        <v>8.2200000000000006</v>
      </c>
      <c r="BS11" s="623"/>
      <c r="BT11" s="615">
        <v>3</v>
      </c>
      <c r="BU11" s="624">
        <v>12.72</v>
      </c>
      <c r="BV11" s="23"/>
      <c r="BW11" s="24"/>
      <c r="BY11" s="621">
        <v>3</v>
      </c>
      <c r="BZ11" s="622">
        <v>1.37</v>
      </c>
      <c r="CA11" s="623"/>
      <c r="CB11" s="615">
        <v>3</v>
      </c>
      <c r="CC11" s="624">
        <v>5.24</v>
      </c>
      <c r="CD11" s="23"/>
      <c r="CE11" s="24"/>
    </row>
    <row r="12" spans="1:83" ht="12" customHeight="1">
      <c r="A12" s="217" t="s">
        <v>305</v>
      </c>
      <c r="B12" s="217"/>
      <c r="C12" s="217"/>
      <c r="E12" s="621">
        <v>4</v>
      </c>
      <c r="F12" s="622">
        <v>7.6</v>
      </c>
      <c r="G12" s="623"/>
      <c r="H12" s="615">
        <v>4</v>
      </c>
      <c r="I12" s="624">
        <v>30.4</v>
      </c>
      <c r="J12" s="23"/>
      <c r="K12" s="24"/>
      <c r="L12" s="628">
        <v>6</v>
      </c>
      <c r="M12" s="629" t="s">
        <v>765</v>
      </c>
      <c r="N12" s="270"/>
      <c r="O12" s="260"/>
      <c r="P12" s="270"/>
      <c r="Q12" s="256"/>
      <c r="R12" s="256"/>
      <c r="S12" s="256"/>
      <c r="T12" s="630"/>
      <c r="V12" s="179">
        <f t="shared" si="1"/>
        <v>2.1499999999999999E-4</v>
      </c>
      <c r="AA12" s="180">
        <f t="shared" si="2"/>
        <v>2.1499999999999999E-4</v>
      </c>
      <c r="AB12" s="179">
        <f t="shared" si="2"/>
        <v>2.1499999999999999E-4</v>
      </c>
      <c r="AJ12" s="180">
        <f t="shared" si="3"/>
        <v>2.1499999999999999E-4</v>
      </c>
      <c r="AQ12" s="345"/>
      <c r="AR12" s="549"/>
      <c r="AS12" s="346"/>
      <c r="AT12" s="347"/>
      <c r="BI12" s="621">
        <v>4</v>
      </c>
      <c r="BJ12" s="622">
        <v>7.6</v>
      </c>
      <c r="BK12" s="623"/>
      <c r="BL12" s="615">
        <v>4</v>
      </c>
      <c r="BM12" s="624">
        <v>30.4</v>
      </c>
      <c r="BN12" s="23"/>
      <c r="BO12" s="24"/>
      <c r="BQ12" s="621">
        <v>4</v>
      </c>
      <c r="BR12" s="622">
        <v>4.3099999999999996</v>
      </c>
      <c r="BS12" s="623"/>
      <c r="BT12" s="615">
        <v>4</v>
      </c>
      <c r="BU12" s="624">
        <v>14.19</v>
      </c>
      <c r="BV12" s="23"/>
      <c r="BW12" s="24"/>
      <c r="BY12" s="621">
        <v>4</v>
      </c>
      <c r="BZ12" s="622">
        <v>1.37</v>
      </c>
      <c r="CA12" s="623"/>
      <c r="CB12" s="615">
        <v>4</v>
      </c>
      <c r="CC12" s="624">
        <v>15.28</v>
      </c>
      <c r="CD12" s="23"/>
      <c r="CE12" s="24"/>
    </row>
    <row r="13" spans="1:83" ht="12" customHeight="1">
      <c r="A13" s="183" t="s">
        <v>306</v>
      </c>
      <c r="B13" s="264">
        <f>1-C13</f>
        <v>0.97499999999999998</v>
      </c>
      <c r="C13" s="184">
        <f>(100-Q9)/200</f>
        <v>2.5000000000000001E-2</v>
      </c>
      <c r="E13" s="621">
        <v>5</v>
      </c>
      <c r="F13" s="622">
        <v>12.2</v>
      </c>
      <c r="G13" s="623"/>
      <c r="H13" s="615">
        <v>5</v>
      </c>
      <c r="I13" s="624">
        <v>12.8</v>
      </c>
      <c r="J13" s="23"/>
      <c r="K13" s="24"/>
      <c r="L13" s="260"/>
      <c r="M13" s="260"/>
      <c r="N13" s="260"/>
      <c r="O13" s="631" t="s">
        <v>292</v>
      </c>
      <c r="P13" s="260"/>
      <c r="Q13" s="632" t="s">
        <v>293</v>
      </c>
      <c r="R13" s="632"/>
      <c r="S13" s="260"/>
      <c r="T13" s="633"/>
      <c r="V13" s="179">
        <f t="shared" si="1"/>
        <v>2.1499999999999999E-4</v>
      </c>
      <c r="AA13" s="180">
        <f t="shared" si="2"/>
        <v>2.1499999999999999E-4</v>
      </c>
      <c r="AB13" s="179">
        <f t="shared" si="2"/>
        <v>2.1499999999999999E-4</v>
      </c>
      <c r="AJ13" s="180">
        <f t="shared" si="3"/>
        <v>2.1499999999999999E-4</v>
      </c>
      <c r="AQ13" s="345"/>
      <c r="AR13" s="549"/>
      <c r="AS13" s="548" t="s">
        <v>639</v>
      </c>
      <c r="AT13" s="626"/>
      <c r="BI13" s="621">
        <v>5</v>
      </c>
      <c r="BJ13" s="622">
        <v>12.2</v>
      </c>
      <c r="BK13" s="623"/>
      <c r="BL13" s="615">
        <v>5</v>
      </c>
      <c r="BM13" s="624">
        <v>12.8</v>
      </c>
      <c r="BN13" s="23"/>
      <c r="BO13" s="24"/>
      <c r="BQ13" s="621">
        <v>5</v>
      </c>
      <c r="BR13" s="622">
        <v>6.59</v>
      </c>
      <c r="BS13" s="623"/>
      <c r="BT13" s="615">
        <v>5</v>
      </c>
      <c r="BU13" s="624">
        <v>10.86</v>
      </c>
      <c r="BV13" s="23"/>
      <c r="BW13" s="24"/>
      <c r="BY13" s="621">
        <v>5</v>
      </c>
      <c r="BZ13" s="622">
        <v>5.82</v>
      </c>
      <c r="CA13" s="623"/>
      <c r="CB13" s="615">
        <v>5</v>
      </c>
      <c r="CC13" s="624">
        <v>13.93</v>
      </c>
      <c r="CD13" s="23"/>
      <c r="CE13" s="24"/>
    </row>
    <row r="14" spans="1:83" ht="12" customHeight="1">
      <c r="A14" s="183" t="s">
        <v>307</v>
      </c>
      <c r="B14" s="264">
        <f>100000*(B13-B17)</f>
        <v>12855.270875664593</v>
      </c>
      <c r="C14" s="184">
        <f>100000*(C13-C17)</f>
        <v>2360.5626216298128</v>
      </c>
      <c r="E14" s="621">
        <v>6</v>
      </c>
      <c r="F14" s="622">
        <v>10.8</v>
      </c>
      <c r="G14" s="623"/>
      <c r="H14" s="615">
        <v>6</v>
      </c>
      <c r="I14" s="624">
        <v>9.6</v>
      </c>
      <c r="J14" s="23"/>
      <c r="K14" s="24"/>
      <c r="L14" s="260"/>
      <c r="M14" s="260"/>
      <c r="N14" s="260"/>
      <c r="O14" s="634" t="str">
        <f>IF(F8="","",F8)</f>
        <v>Pen</v>
      </c>
      <c r="P14" s="635"/>
      <c r="Q14" s="634" t="str">
        <f>IF(I8="","",I8)</f>
        <v>Laptop</v>
      </c>
      <c r="R14" s="636"/>
      <c r="S14" s="260"/>
      <c r="T14" s="633"/>
      <c r="V14" s="179">
        <f t="shared" si="1"/>
        <v>2.1499999999999999E-4</v>
      </c>
      <c r="AA14" s="180">
        <f t="shared" si="2"/>
        <v>2.1499999999999999E-4</v>
      </c>
      <c r="AB14" s="179">
        <f t="shared" si="2"/>
        <v>2.1499999999999999E-4</v>
      </c>
      <c r="AJ14" s="180">
        <f t="shared" si="3"/>
        <v>2.1499999999999999E-4</v>
      </c>
      <c r="AQ14" s="345"/>
      <c r="AR14" s="549"/>
      <c r="AS14" s="637">
        <v>50</v>
      </c>
      <c r="AT14" s="347"/>
      <c r="BI14" s="621">
        <v>6</v>
      </c>
      <c r="BJ14" s="622">
        <v>10.8</v>
      </c>
      <c r="BK14" s="623"/>
      <c r="BL14" s="615">
        <v>6</v>
      </c>
      <c r="BM14" s="624">
        <v>9.6</v>
      </c>
      <c r="BN14" s="23"/>
      <c r="BO14" s="24"/>
      <c r="BQ14" s="621">
        <v>6</v>
      </c>
      <c r="BR14" s="622">
        <v>16</v>
      </c>
      <c r="BS14" s="623"/>
      <c r="BT14" s="615">
        <v>6</v>
      </c>
      <c r="BU14" s="624">
        <v>20.09</v>
      </c>
      <c r="BV14" s="23"/>
      <c r="BW14" s="24"/>
      <c r="BY14" s="621">
        <v>6</v>
      </c>
      <c r="BZ14" s="622">
        <v>5.24</v>
      </c>
      <c r="CA14" s="623"/>
      <c r="CB14" s="615">
        <v>6</v>
      </c>
      <c r="CC14" s="624">
        <v>8.0399999999999991</v>
      </c>
      <c r="CD14" s="23"/>
      <c r="CE14" s="24"/>
    </row>
    <row r="15" spans="1:83" ht="12" customHeight="1">
      <c r="A15" s="183" t="s">
        <v>1000</v>
      </c>
      <c r="B15" s="184">
        <f>IF(S32="","",S32)</f>
        <v>63</v>
      </c>
      <c r="E15" s="621">
        <v>7</v>
      </c>
      <c r="F15" s="622">
        <v>1</v>
      </c>
      <c r="G15" s="623"/>
      <c r="H15" s="615">
        <v>7</v>
      </c>
      <c r="I15" s="624">
        <v>9.3000000000000007</v>
      </c>
      <c r="J15" s="23"/>
      <c r="K15" s="24"/>
      <c r="L15" s="260"/>
      <c r="M15" s="260"/>
      <c r="N15" s="42" t="s">
        <v>390</v>
      </c>
      <c r="O15" s="638">
        <f>COUNTA(F9:F1008)</f>
        <v>34</v>
      </c>
      <c r="P15" s="42" t="s">
        <v>391</v>
      </c>
      <c r="Q15" s="639">
        <f>COUNTA(I9:I1008)</f>
        <v>31</v>
      </c>
      <c r="R15" s="640"/>
      <c r="S15" s="260"/>
      <c r="T15" s="633"/>
      <c r="U15" s="30"/>
      <c r="V15" s="179">
        <f t="shared" si="1"/>
        <v>2.1499999999999999E-4</v>
      </c>
      <c r="AA15" s="180">
        <f t="shared" si="2"/>
        <v>2.1499999999999999E-4</v>
      </c>
      <c r="AB15" s="179">
        <f t="shared" si="2"/>
        <v>2.1499999999999999E-4</v>
      </c>
      <c r="AJ15" s="180">
        <f t="shared" si="3"/>
        <v>2.1499999999999999E-4</v>
      </c>
      <c r="AQ15" s="349"/>
      <c r="AR15" s="350"/>
      <c r="AS15" s="350"/>
      <c r="AT15" s="351"/>
      <c r="BI15" s="621">
        <v>7</v>
      </c>
      <c r="BJ15" s="622">
        <v>1</v>
      </c>
      <c r="BK15" s="623"/>
      <c r="BL15" s="615">
        <v>7</v>
      </c>
      <c r="BM15" s="624">
        <v>9.3000000000000007</v>
      </c>
      <c r="BN15" s="23"/>
      <c r="BO15" s="24"/>
      <c r="BQ15" s="621">
        <v>7</v>
      </c>
      <c r="BR15" s="622">
        <v>5.85</v>
      </c>
      <c r="BS15" s="623"/>
      <c r="BT15" s="615">
        <v>7</v>
      </c>
      <c r="BU15" s="624">
        <v>7.66</v>
      </c>
      <c r="BV15" s="23"/>
      <c r="BW15" s="24"/>
      <c r="BY15" s="621">
        <v>7</v>
      </c>
      <c r="BZ15" s="622">
        <v>3.97</v>
      </c>
      <c r="CA15" s="623"/>
      <c r="CB15" s="615">
        <v>7</v>
      </c>
      <c r="CC15" s="624">
        <v>21.81</v>
      </c>
      <c r="CD15" s="23"/>
      <c r="CE15" s="24"/>
    </row>
    <row r="16" spans="1:83" ht="12" customHeight="1">
      <c r="A16" s="183" t="s">
        <v>308</v>
      </c>
      <c r="B16" s="641">
        <v>2.6816257605815146</v>
      </c>
      <c r="C16" s="250">
        <v>6.9168416768223739</v>
      </c>
      <c r="E16" s="621">
        <v>8</v>
      </c>
      <c r="F16" s="622">
        <v>2.9</v>
      </c>
      <c r="G16" s="623"/>
      <c r="H16" s="615">
        <v>8</v>
      </c>
      <c r="I16" s="624">
        <v>17.7</v>
      </c>
      <c r="J16" s="23"/>
      <c r="K16" s="24"/>
      <c r="L16" s="260"/>
      <c r="M16" s="260"/>
      <c r="N16" s="270" t="s">
        <v>392</v>
      </c>
      <c r="O16" s="642">
        <f>IF(None&gt;0,AVERAGE(F9:F1008),"")</f>
        <v>8.8117647058823518</v>
      </c>
      <c r="P16" s="643" t="s">
        <v>393</v>
      </c>
      <c r="Q16" s="642">
        <f>IF(Ntwo&gt;0,AVERAGE(I9:I1008),"")</f>
        <v>14.519354838709676</v>
      </c>
      <c r="R16" s="260" t="str">
        <f>IF($G$6="","",$G$6)</f>
        <v>Transcription %</v>
      </c>
      <c r="S16" s="279"/>
      <c r="T16" s="633"/>
      <c r="U16" s="30"/>
      <c r="V16" s="179">
        <f t="shared" si="1"/>
        <v>2.1499999999999999E-4</v>
      </c>
      <c r="AA16" s="180">
        <f t="shared" si="2"/>
        <v>2.1499999999999999E-4</v>
      </c>
      <c r="AB16" s="179">
        <f t="shared" si="2"/>
        <v>2.1499999999999999E-4</v>
      </c>
      <c r="AJ16" s="180">
        <f t="shared" si="3"/>
        <v>2.1499999999999999E-4</v>
      </c>
      <c r="BI16" s="621">
        <v>8</v>
      </c>
      <c r="BJ16" s="622">
        <v>2.9</v>
      </c>
      <c r="BK16" s="623"/>
      <c r="BL16" s="615">
        <v>8</v>
      </c>
      <c r="BM16" s="624">
        <v>17.7</v>
      </c>
      <c r="BN16" s="23"/>
      <c r="BO16" s="24"/>
      <c r="BQ16" s="621">
        <v>8</v>
      </c>
      <c r="BR16" s="622">
        <v>6.64</v>
      </c>
      <c r="BS16" s="623"/>
      <c r="BT16" s="615">
        <v>8</v>
      </c>
      <c r="BU16" s="624">
        <v>15.72</v>
      </c>
      <c r="BV16" s="23"/>
      <c r="BW16" s="24"/>
      <c r="BY16" s="621">
        <v>8</v>
      </c>
      <c r="BZ16" s="622">
        <v>2.14</v>
      </c>
      <c r="CA16" s="623"/>
      <c r="CB16" s="615">
        <v>8</v>
      </c>
      <c r="CC16" s="624">
        <v>11.36</v>
      </c>
      <c r="CD16" s="23"/>
      <c r="CE16" s="24"/>
    </row>
    <row r="17" spans="1:83" ht="12" customHeight="1">
      <c r="A17" s="183" t="s">
        <v>309</v>
      </c>
      <c r="B17" s="644">
        <f>nct(P32,B16,B15)</f>
        <v>0.84644729124335405</v>
      </c>
      <c r="C17" s="645">
        <f>nct(P32,C16,B15)</f>
        <v>1.3943737837018746E-3</v>
      </c>
      <c r="E17" s="621">
        <v>9</v>
      </c>
      <c r="F17" s="622">
        <v>14.4</v>
      </c>
      <c r="G17" s="623"/>
      <c r="H17" s="615">
        <v>9</v>
      </c>
      <c r="I17" s="624">
        <v>15.4</v>
      </c>
      <c r="J17" s="23"/>
      <c r="K17" s="24"/>
      <c r="L17" s="285"/>
      <c r="M17" s="285"/>
      <c r="N17" s="646" t="s">
        <v>394</v>
      </c>
      <c r="O17" s="642">
        <f>IF(None&gt;1,STDEV(F9:F1008),"")</f>
        <v>4.7493390102063806</v>
      </c>
      <c r="P17" s="647" t="s">
        <v>395</v>
      </c>
      <c r="Q17" s="642">
        <f>IF(Ntwo&gt;1,STDEV(I9:I1008),"")</f>
        <v>7.2855756741129127</v>
      </c>
      <c r="R17" s="285" t="str">
        <f>IF($G$6="","",$G$6)</f>
        <v>Transcription %</v>
      </c>
      <c r="S17" s="279"/>
      <c r="T17" s="648"/>
      <c r="U17" s="30"/>
      <c r="V17" s="649">
        <f t="shared" si="1"/>
        <v>2.1499999999999999E-4</v>
      </c>
      <c r="AA17" s="180">
        <f t="shared" si="2"/>
        <v>2.1499999999999999E-4</v>
      </c>
      <c r="AB17" s="179">
        <f t="shared" si="2"/>
        <v>2.1499999999999999E-4</v>
      </c>
      <c r="AJ17" s="180">
        <f t="shared" si="3"/>
        <v>2.1499999999999999E-4</v>
      </c>
      <c r="BI17" s="621">
        <v>9</v>
      </c>
      <c r="BJ17" s="622">
        <v>14.4</v>
      </c>
      <c r="BK17" s="623"/>
      <c r="BL17" s="615">
        <v>9</v>
      </c>
      <c r="BM17" s="624">
        <v>15.4</v>
      </c>
      <c r="BN17" s="23"/>
      <c r="BO17" s="24"/>
      <c r="BQ17" s="621">
        <v>9</v>
      </c>
      <c r="BR17" s="622">
        <v>5.54</v>
      </c>
      <c r="BS17" s="623"/>
      <c r="BT17" s="615">
        <v>9</v>
      </c>
      <c r="BU17" s="624">
        <v>15.96</v>
      </c>
      <c r="BV17" s="23"/>
      <c r="BW17" s="24"/>
      <c r="BY17" s="621">
        <v>9</v>
      </c>
      <c r="BZ17" s="622">
        <v>4</v>
      </c>
      <c r="CA17" s="623"/>
      <c r="CB17" s="615">
        <v>9</v>
      </c>
      <c r="CC17" s="624">
        <v>18.41</v>
      </c>
      <c r="CD17" s="23"/>
      <c r="CE17" s="24"/>
    </row>
    <row r="18" spans="1:83" ht="12" customHeight="1">
      <c r="A18" s="203" t="s">
        <v>310</v>
      </c>
      <c r="B18" s="650">
        <f>P24-P29</f>
        <v>2.6852653540441924</v>
      </c>
      <c r="C18" s="651">
        <f>P24+P29</f>
        <v>8.7299149116104555</v>
      </c>
      <c r="E18" s="621">
        <v>10</v>
      </c>
      <c r="F18" s="622">
        <v>8.4</v>
      </c>
      <c r="G18" s="623"/>
      <c r="H18" s="615">
        <v>10</v>
      </c>
      <c r="I18" s="624">
        <v>8.6999999999999993</v>
      </c>
      <c r="J18" s="23"/>
      <c r="K18" s="24"/>
      <c r="L18" s="652" t="s">
        <v>440</v>
      </c>
      <c r="M18" s="286" t="s">
        <v>311</v>
      </c>
      <c r="N18" s="287"/>
      <c r="O18" s="287"/>
      <c r="P18" s="287"/>
      <c r="Q18" s="287"/>
      <c r="R18" s="287"/>
      <c r="S18" s="287"/>
      <c r="T18" s="337"/>
      <c r="U18" s="30"/>
      <c r="V18" s="179">
        <f t="shared" si="1"/>
        <v>2.1499999999999999E-4</v>
      </c>
      <c r="AA18" s="180">
        <f t="shared" si="2"/>
        <v>2.1499999999999999E-4</v>
      </c>
      <c r="AB18" s="179">
        <f t="shared" si="2"/>
        <v>2.1499999999999999E-4</v>
      </c>
      <c r="AJ18" s="180">
        <f t="shared" si="3"/>
        <v>2.1499999999999999E-4</v>
      </c>
      <c r="BI18" s="621">
        <v>10</v>
      </c>
      <c r="BJ18" s="622">
        <v>8.4</v>
      </c>
      <c r="BK18" s="623"/>
      <c r="BL18" s="615">
        <v>10</v>
      </c>
      <c r="BM18" s="624">
        <v>8.6999999999999993</v>
      </c>
      <c r="BN18" s="23"/>
      <c r="BO18" s="24"/>
      <c r="BQ18" s="621">
        <v>10</v>
      </c>
      <c r="BR18" s="622">
        <v>4.0199999999999996</v>
      </c>
      <c r="BS18" s="623"/>
      <c r="BT18" s="615">
        <v>10</v>
      </c>
      <c r="BU18" s="624">
        <v>11.27</v>
      </c>
      <c r="BV18" s="23"/>
      <c r="BW18" s="24"/>
      <c r="BY18" s="621">
        <v>10</v>
      </c>
      <c r="BZ18" s="622">
        <v>4.3600000000000003</v>
      </c>
      <c r="CA18" s="623"/>
      <c r="CB18" s="615">
        <v>10</v>
      </c>
      <c r="CC18" s="624">
        <v>11.39</v>
      </c>
      <c r="CD18" s="23"/>
      <c r="CE18" s="24"/>
    </row>
    <row r="19" spans="1:83" ht="12" customHeight="1">
      <c r="A19" s="225" t="s">
        <v>312</v>
      </c>
      <c r="B19" s="197">
        <f>B18/X94</f>
        <v>0.44091202625368198</v>
      </c>
      <c r="C19" s="192">
        <f>C18/X94</f>
        <v>1.4334242487072482</v>
      </c>
      <c r="E19" s="621">
        <v>11</v>
      </c>
      <c r="F19" s="622">
        <v>17.7</v>
      </c>
      <c r="G19" s="623"/>
      <c r="H19" s="615">
        <v>11</v>
      </c>
      <c r="I19" s="624">
        <v>12.8</v>
      </c>
      <c r="J19" s="23"/>
      <c r="K19" s="24"/>
      <c r="L19" s="228"/>
      <c r="M19" s="228"/>
      <c r="N19" s="653" t="s">
        <v>396</v>
      </c>
      <c r="O19" s="654">
        <f>IF(None&gt;1,(O17/SQRT(None))*TINV(1-$Q$9/100,(None-1)),"")</f>
        <v>1.6571227125032257</v>
      </c>
      <c r="P19" s="655" t="s">
        <v>397</v>
      </c>
      <c r="Q19" s="654">
        <f>IF(Ntwo&gt;1,(Q17/SQRT(Ntwo))*TINV(1-$Q$9/100,(Ntwo-1)),"")</f>
        <v>2.6723707232205554</v>
      </c>
      <c r="R19" s="656" t="str">
        <f>IF($G$6="","",$G$6)</f>
        <v>Transcription %</v>
      </c>
      <c r="S19" s="657"/>
      <c r="T19" s="338"/>
      <c r="V19" s="179">
        <f t="shared" si="1"/>
        <v>2.1499999999999999E-4</v>
      </c>
      <c r="AA19" s="180">
        <f t="shared" si="2"/>
        <v>2.1499999999999999E-4</v>
      </c>
      <c r="AB19" s="179">
        <f t="shared" si="2"/>
        <v>2.1499999999999999E-4</v>
      </c>
      <c r="AJ19" s="180">
        <f t="shared" si="3"/>
        <v>2.1499999999999999E-4</v>
      </c>
      <c r="BI19" s="621">
        <v>11</v>
      </c>
      <c r="BJ19" s="622">
        <v>17.7</v>
      </c>
      <c r="BK19" s="623"/>
      <c r="BL19" s="615">
        <v>11</v>
      </c>
      <c r="BM19" s="624">
        <v>12.8</v>
      </c>
      <c r="BN19" s="23"/>
      <c r="BO19" s="24"/>
      <c r="BQ19" s="621">
        <v>11</v>
      </c>
      <c r="BR19" s="622">
        <v>3.73</v>
      </c>
      <c r="BS19" s="623"/>
      <c r="BT19" s="615">
        <v>11</v>
      </c>
      <c r="BU19" s="624">
        <v>12.5</v>
      </c>
      <c r="BV19" s="23"/>
      <c r="BW19" s="24"/>
      <c r="BY19" s="621">
        <v>11</v>
      </c>
      <c r="BZ19" s="622">
        <v>8.61</v>
      </c>
      <c r="CA19" s="623"/>
      <c r="CB19" s="615">
        <v>11</v>
      </c>
      <c r="CC19" s="624">
        <v>22.61</v>
      </c>
      <c r="CD19" s="23"/>
      <c r="CE19" s="24"/>
    </row>
    <row r="20" spans="1:83" ht="12" customHeight="1">
      <c r="A20" s="249" t="s">
        <v>313</v>
      </c>
      <c r="B20" s="232">
        <f>B19/SQRT(1/O15+1/Q15)</f>
        <v>1.7754791305641089</v>
      </c>
      <c r="C20" s="262">
        <f>C19/SQRT(1/O15+1/Q15)</f>
        <v>5.7721601754631271</v>
      </c>
      <c r="E20" s="621">
        <v>12</v>
      </c>
      <c r="F20" s="622">
        <v>20.100000000000001</v>
      </c>
      <c r="G20" s="623"/>
      <c r="H20" s="615">
        <v>12</v>
      </c>
      <c r="I20" s="624">
        <v>10.6</v>
      </c>
      <c r="J20" s="23"/>
      <c r="K20" s="24"/>
      <c r="L20" s="228"/>
      <c r="M20" s="228"/>
      <c r="N20" s="658" t="s">
        <v>398</v>
      </c>
      <c r="O20" s="659">
        <f>IF(None&gt;1,O16-O19,"")</f>
        <v>7.1546419933791263</v>
      </c>
      <c r="P20" s="660" t="s">
        <v>399</v>
      </c>
      <c r="Q20" s="659">
        <f>IF(Ntwo&gt;1,Q16-Q19,"")</f>
        <v>11.846984115489121</v>
      </c>
      <c r="R20" s="228" t="s">
        <v>314</v>
      </c>
      <c r="S20" s="657"/>
      <c r="T20" s="338"/>
      <c r="V20" s="179">
        <f t="shared" si="1"/>
        <v>2.1499999999999999E-4</v>
      </c>
      <c r="AA20" s="180">
        <f t="shared" si="2"/>
        <v>2.1499999999999999E-4</v>
      </c>
      <c r="AB20" s="179">
        <f t="shared" si="2"/>
        <v>2.1499999999999999E-4</v>
      </c>
      <c r="AJ20" s="180">
        <f t="shared" si="3"/>
        <v>2.1499999999999999E-4</v>
      </c>
      <c r="AV20" s="187"/>
      <c r="BI20" s="621">
        <v>12</v>
      </c>
      <c r="BJ20" s="622">
        <v>20.100000000000001</v>
      </c>
      <c r="BK20" s="623"/>
      <c r="BL20" s="615">
        <v>12</v>
      </c>
      <c r="BM20" s="624">
        <v>10.6</v>
      </c>
      <c r="BN20" s="23"/>
      <c r="BO20" s="24"/>
      <c r="BQ20" s="621">
        <v>12</v>
      </c>
      <c r="BR20" s="622">
        <v>3.81</v>
      </c>
      <c r="BS20" s="623"/>
      <c r="BT20" s="615">
        <v>12</v>
      </c>
      <c r="BU20" s="624">
        <v>5.92</v>
      </c>
      <c r="BV20" s="23"/>
      <c r="BW20" s="24"/>
      <c r="BY20" s="621">
        <v>12</v>
      </c>
      <c r="BZ20" s="622">
        <v>1.26</v>
      </c>
      <c r="CA20" s="623"/>
      <c r="CB20" s="615">
        <v>12</v>
      </c>
      <c r="CC20" s="624">
        <v>19.91</v>
      </c>
      <c r="CD20" s="23"/>
      <c r="CE20" s="24"/>
    </row>
    <row r="21" spans="1:83" ht="12" customHeight="1">
      <c r="B21" s="185" t="s">
        <v>315</v>
      </c>
      <c r="C21" s="16" t="b">
        <f>(Z80=1)</f>
        <v>1</v>
      </c>
      <c r="E21" s="621">
        <v>13</v>
      </c>
      <c r="F21" s="622">
        <v>2.1</v>
      </c>
      <c r="G21" s="623"/>
      <c r="H21" s="615">
        <v>13</v>
      </c>
      <c r="I21" s="624">
        <v>5.0999999999999996</v>
      </c>
      <c r="J21" s="23"/>
      <c r="K21" s="24"/>
      <c r="L21" s="228"/>
      <c r="M21" s="228"/>
      <c r="N21" s="658"/>
      <c r="O21" s="661">
        <f>IF(None&gt;1,O16+O19,"")</f>
        <v>10.468887418385577</v>
      </c>
      <c r="P21" s="662" t="s">
        <v>316</v>
      </c>
      <c r="Q21" s="661">
        <f>IF(Ntwo&gt;1,Q16+Q19,"")</f>
        <v>17.19172556193023</v>
      </c>
      <c r="R21" s="336" t="s">
        <v>316</v>
      </c>
      <c r="S21" s="657"/>
      <c r="T21" s="663"/>
      <c r="V21" s="179">
        <f t="shared" si="1"/>
        <v>2.1499999999999999E-4</v>
      </c>
      <c r="AA21" s="180">
        <f t="shared" si="2"/>
        <v>2.1499999999999999E-4</v>
      </c>
      <c r="AB21" s="179">
        <f t="shared" si="2"/>
        <v>2.1499999999999999E-4</v>
      </c>
      <c r="AJ21" s="180">
        <f t="shared" si="3"/>
        <v>2.1499999999999999E-4</v>
      </c>
      <c r="BI21" s="621">
        <v>13</v>
      </c>
      <c r="BJ21" s="622">
        <v>2.1</v>
      </c>
      <c r="BK21" s="623"/>
      <c r="BL21" s="615">
        <v>13</v>
      </c>
      <c r="BM21" s="624">
        <v>5.0999999999999996</v>
      </c>
      <c r="BN21" s="23"/>
      <c r="BO21" s="24"/>
      <c r="BQ21" s="621">
        <v>13</v>
      </c>
      <c r="BR21" s="622">
        <v>13.33</v>
      </c>
      <c r="BS21" s="623"/>
      <c r="BT21" s="615">
        <v>13</v>
      </c>
      <c r="BU21" s="624">
        <v>8.7100000000000009</v>
      </c>
      <c r="BV21" s="23"/>
      <c r="BW21" s="24"/>
      <c r="BY21" s="621">
        <v>13</v>
      </c>
      <c r="BZ21" s="622">
        <v>4.95</v>
      </c>
      <c r="CA21" s="623"/>
      <c r="CB21" s="615">
        <v>13</v>
      </c>
      <c r="CC21" s="624">
        <v>11.33</v>
      </c>
      <c r="CD21" s="23"/>
      <c r="CE21" s="24"/>
    </row>
    <row r="22" spans="1:83" ht="12" customHeight="1">
      <c r="B22" s="187"/>
      <c r="C22" s="187"/>
      <c r="E22" s="621">
        <v>14</v>
      </c>
      <c r="F22" s="622">
        <v>11.1</v>
      </c>
      <c r="G22" s="623"/>
      <c r="H22" s="615">
        <v>14</v>
      </c>
      <c r="I22" s="624">
        <v>16.7</v>
      </c>
      <c r="J22" s="23"/>
      <c r="K22" s="24"/>
      <c r="L22" s="228"/>
      <c r="M22" s="228"/>
      <c r="N22" s="228"/>
      <c r="O22" s="664" t="s">
        <v>400</v>
      </c>
      <c r="P22" s="665">
        <f>IF(AND(O19&lt;&gt;"",Q19&lt;&gt;""),(O19+Q19)/2,"")</f>
        <v>2.1647467178618904</v>
      </c>
      <c r="Q22" s="656" t="str">
        <f>IF($G$6="","",$G$6)</f>
        <v>Transcription %</v>
      </c>
      <c r="R22" s="656"/>
      <c r="S22" s="228"/>
      <c r="T22" s="338"/>
      <c r="V22" s="179">
        <f t="shared" si="1"/>
        <v>2.1499999999999999E-4</v>
      </c>
      <c r="AA22" s="180">
        <f t="shared" ref="AA22:AB36" si="4">$V$1</f>
        <v>2.1499999999999999E-4</v>
      </c>
      <c r="AB22" s="179">
        <f t="shared" si="4"/>
        <v>2.1499999999999999E-4</v>
      </c>
      <c r="AJ22" s="180">
        <f t="shared" si="3"/>
        <v>2.1499999999999999E-4</v>
      </c>
      <c r="BI22" s="621">
        <v>14</v>
      </c>
      <c r="BJ22" s="622">
        <v>11.1</v>
      </c>
      <c r="BK22" s="623"/>
      <c r="BL22" s="615">
        <v>14</v>
      </c>
      <c r="BM22" s="624">
        <v>16.7</v>
      </c>
      <c r="BN22" s="23"/>
      <c r="BO22" s="24"/>
      <c r="BQ22" s="621">
        <v>14</v>
      </c>
      <c r="BR22" s="622">
        <v>5.31</v>
      </c>
      <c r="BS22" s="623"/>
      <c r="BT22" s="615">
        <v>14</v>
      </c>
      <c r="BU22" s="624">
        <v>9.31</v>
      </c>
      <c r="BV22" s="23"/>
      <c r="BW22" s="24"/>
      <c r="BY22" s="621">
        <v>14</v>
      </c>
      <c r="BZ22" s="622">
        <v>6.7</v>
      </c>
      <c r="CA22" s="623"/>
      <c r="CB22" s="615">
        <v>14</v>
      </c>
      <c r="CC22" s="624">
        <v>16.309999999999999</v>
      </c>
      <c r="CD22" s="23"/>
      <c r="CE22" s="24"/>
    </row>
    <row r="23" spans="1:83" ht="12" customHeight="1">
      <c r="A23" s="185"/>
      <c r="E23" s="666">
        <v>15</v>
      </c>
      <c r="F23" s="622">
        <v>11.2</v>
      </c>
      <c r="G23" s="623"/>
      <c r="H23" s="615">
        <v>15</v>
      </c>
      <c r="I23" s="624">
        <v>17.7</v>
      </c>
      <c r="J23" s="23"/>
      <c r="K23" s="24"/>
      <c r="L23" s="228"/>
      <c r="M23" s="228"/>
      <c r="N23" s="228"/>
      <c r="O23" s="667" t="str">
        <f>IF(AND(O19&lt;&gt;"",Q19&lt;&gt;"",NOT(AND(O19=0,Q19=0))),IF((MIN(O16+O19,Q16+Q19)-MAX(O16-O19,Q16-Q19))/P22&gt;=0,"Overlap","Gap"),"")</f>
        <v>Gap</v>
      </c>
      <c r="P23" s="668">
        <f>IF(AND(O19&lt;&gt;"",Q19&lt;&gt;"",NOT(AND(O19=0,Q19=0))),ABS((MIN(O16+O19,Q16+Q19)-MAX(O16-O19,Q16-Q19))/P22),"")</f>
        <v>0.63660874768050613</v>
      </c>
      <c r="Q23" s="669"/>
      <c r="R23" s="669"/>
      <c r="S23" s="228"/>
      <c r="T23" s="338"/>
      <c r="V23" s="179">
        <f t="shared" si="1"/>
        <v>2.1499999999999999E-4</v>
      </c>
      <c r="AA23" s="180">
        <f t="shared" si="4"/>
        <v>2.1499999999999999E-4</v>
      </c>
      <c r="AB23" s="179">
        <f t="shared" si="4"/>
        <v>2.1499999999999999E-4</v>
      </c>
      <c r="AJ23" s="180">
        <f t="shared" si="3"/>
        <v>2.1499999999999999E-4</v>
      </c>
      <c r="BI23" s="666">
        <v>15</v>
      </c>
      <c r="BJ23" s="622">
        <v>11.2</v>
      </c>
      <c r="BK23" s="623"/>
      <c r="BL23" s="615">
        <v>15</v>
      </c>
      <c r="BM23" s="624">
        <v>17.7</v>
      </c>
      <c r="BN23" s="23"/>
      <c r="BO23" s="24"/>
      <c r="BQ23" s="666">
        <v>15</v>
      </c>
      <c r="BR23" s="622">
        <v>18.03</v>
      </c>
      <c r="BS23" s="623"/>
      <c r="BT23" s="615">
        <v>15</v>
      </c>
      <c r="BU23" s="624">
        <v>20.89</v>
      </c>
      <c r="BV23" s="23"/>
      <c r="BW23" s="24"/>
      <c r="BY23" s="666">
        <v>15</v>
      </c>
      <c r="BZ23" s="622">
        <v>8.59</v>
      </c>
      <c r="CA23" s="623"/>
      <c r="CB23" s="615">
        <v>15</v>
      </c>
      <c r="CC23" s="624">
        <v>6.95</v>
      </c>
      <c r="CD23" s="23"/>
      <c r="CE23" s="24"/>
    </row>
    <row r="24" spans="1:83" ht="12" customHeight="1">
      <c r="E24" s="621">
        <v>16</v>
      </c>
      <c r="F24" s="622">
        <v>10.7</v>
      </c>
      <c r="G24" s="623"/>
      <c r="H24" s="615">
        <v>16</v>
      </c>
      <c r="I24" s="624">
        <v>8.6999999999999993</v>
      </c>
      <c r="J24" s="23"/>
      <c r="K24" s="24"/>
      <c r="L24" s="228"/>
      <c r="M24" s="228"/>
      <c r="N24" s="228"/>
      <c r="O24" s="670" t="s">
        <v>317</v>
      </c>
      <c r="P24" s="671">
        <f>IF(AND(O16&lt;&gt;"",Q16&lt;&gt;""),Q16-O16,"")</f>
        <v>5.707590132827324</v>
      </c>
      <c r="Q24" s="228" t="str">
        <f>IF($G$6="","",$G$6)</f>
        <v>Transcription %</v>
      </c>
      <c r="R24" s="228"/>
      <c r="S24" s="228"/>
      <c r="T24" s="338"/>
      <c r="V24" s="179">
        <f t="shared" si="1"/>
        <v>2.1499999999999999E-4</v>
      </c>
      <c r="AA24" s="180">
        <f t="shared" si="4"/>
        <v>2.1499999999999999E-4</v>
      </c>
      <c r="AB24" s="179">
        <f t="shared" si="4"/>
        <v>2.1499999999999999E-4</v>
      </c>
      <c r="AJ24" s="180">
        <f t="shared" si="3"/>
        <v>2.1499999999999999E-4</v>
      </c>
      <c r="BI24" s="621">
        <v>16</v>
      </c>
      <c r="BJ24" s="622">
        <v>10.7</v>
      </c>
      <c r="BK24" s="623"/>
      <c r="BL24" s="615">
        <v>16</v>
      </c>
      <c r="BM24" s="624">
        <v>8.6999999999999993</v>
      </c>
      <c r="BN24" s="23"/>
      <c r="BO24" s="24"/>
      <c r="BQ24" s="621">
        <v>16</v>
      </c>
      <c r="BR24" s="622">
        <v>5.44</v>
      </c>
      <c r="BS24" s="623"/>
      <c r="BT24" s="615">
        <v>16</v>
      </c>
      <c r="BU24" s="624">
        <v>15.49</v>
      </c>
      <c r="BV24" s="23"/>
      <c r="BW24" s="24"/>
      <c r="BY24" s="621">
        <v>16</v>
      </c>
      <c r="BZ24" s="622">
        <v>8.18</v>
      </c>
      <c r="CA24" s="623"/>
      <c r="CB24" s="615">
        <v>16</v>
      </c>
      <c r="CC24" s="624">
        <v>9.9</v>
      </c>
      <c r="CD24" s="23"/>
      <c r="CE24" s="24"/>
    </row>
    <row r="25" spans="1:83" ht="12" customHeight="1">
      <c r="E25" s="621">
        <v>17</v>
      </c>
      <c r="F25" s="622">
        <v>1.9</v>
      </c>
      <c r="G25" s="623"/>
      <c r="H25" s="615">
        <v>17</v>
      </c>
      <c r="I25" s="624">
        <v>26.4</v>
      </c>
      <c r="J25" s="23"/>
      <c r="K25" s="24"/>
      <c r="L25" s="672">
        <v>8</v>
      </c>
      <c r="M25" s="342" t="s">
        <v>318</v>
      </c>
      <c r="N25" s="343"/>
      <c r="O25" s="343"/>
      <c r="P25" s="343"/>
      <c r="Q25" s="343" t="s">
        <v>319</v>
      </c>
      <c r="R25" s="343"/>
      <c r="S25" s="343"/>
      <c r="T25" s="569"/>
      <c r="V25" s="179">
        <f t="shared" si="1"/>
        <v>2.1499999999999999E-4</v>
      </c>
      <c r="AA25" s="180">
        <f t="shared" si="4"/>
        <v>2.1499999999999999E-4</v>
      </c>
      <c r="AB25" s="179">
        <f t="shared" si="4"/>
        <v>2.1499999999999999E-4</v>
      </c>
      <c r="AJ25" s="180">
        <f t="shared" si="3"/>
        <v>2.1499999999999999E-4</v>
      </c>
      <c r="BI25" s="621">
        <v>17</v>
      </c>
      <c r="BJ25" s="622">
        <v>1.9</v>
      </c>
      <c r="BK25" s="623"/>
      <c r="BL25" s="615">
        <v>17</v>
      </c>
      <c r="BM25" s="624">
        <v>26.4</v>
      </c>
      <c r="BN25" s="23"/>
      <c r="BO25" s="24"/>
      <c r="BQ25" s="621">
        <v>17</v>
      </c>
      <c r="BR25" s="622">
        <v>7.06</v>
      </c>
      <c r="BS25" s="623"/>
      <c r="BT25" s="615">
        <v>17</v>
      </c>
      <c r="BU25" s="624">
        <v>17.68</v>
      </c>
      <c r="BV25" s="23"/>
      <c r="BW25" s="24"/>
      <c r="BY25" s="621">
        <v>17</v>
      </c>
      <c r="BZ25" s="622">
        <v>8.91</v>
      </c>
      <c r="CA25" s="623"/>
      <c r="CB25" s="615">
        <v>17</v>
      </c>
      <c r="CC25" s="624">
        <v>11.06</v>
      </c>
      <c r="CD25" s="23"/>
      <c r="CE25" s="24"/>
    </row>
    <row r="26" spans="1:83" ht="12" customHeight="1">
      <c r="E26" s="621">
        <v>18</v>
      </c>
      <c r="F26" s="622">
        <v>5.2</v>
      </c>
      <c r="G26" s="623"/>
      <c r="H26" s="615">
        <v>18</v>
      </c>
      <c r="I26" s="624">
        <v>18</v>
      </c>
      <c r="J26" s="23"/>
      <c r="K26" s="24"/>
      <c r="L26" s="346"/>
      <c r="M26" s="346"/>
      <c r="N26" s="346"/>
      <c r="O26" s="346"/>
      <c r="P26" s="548" t="s">
        <v>320</v>
      </c>
      <c r="Q26" s="346"/>
      <c r="R26" s="346"/>
      <c r="S26" s="346"/>
      <c r="T26" s="347"/>
      <c r="V26" s="179">
        <f t="shared" si="1"/>
        <v>2.1499999999999999E-4</v>
      </c>
      <c r="AA26" s="180">
        <f t="shared" si="4"/>
        <v>2.1499999999999999E-4</v>
      </c>
      <c r="AB26" s="179">
        <f t="shared" si="4"/>
        <v>2.1499999999999999E-4</v>
      </c>
      <c r="AJ26" s="180">
        <f t="shared" si="3"/>
        <v>2.1499999999999999E-4</v>
      </c>
      <c r="BI26" s="621">
        <v>18</v>
      </c>
      <c r="BJ26" s="622">
        <v>5.2</v>
      </c>
      <c r="BK26" s="623"/>
      <c r="BL26" s="615">
        <v>18</v>
      </c>
      <c r="BM26" s="624">
        <v>18</v>
      </c>
      <c r="BN26" s="23"/>
      <c r="BO26" s="24"/>
      <c r="BQ26" s="621">
        <v>18</v>
      </c>
      <c r="BR26" s="622">
        <v>15.38</v>
      </c>
      <c r="BS26" s="623"/>
      <c r="BT26" s="615">
        <v>18</v>
      </c>
      <c r="BU26" s="624">
        <v>12.21</v>
      </c>
      <c r="BV26" s="23"/>
      <c r="BW26" s="24"/>
      <c r="BY26" s="621">
        <v>18</v>
      </c>
      <c r="BZ26" s="622">
        <v>4.51</v>
      </c>
      <c r="CA26" s="623"/>
      <c r="CB26" s="615">
        <v>18</v>
      </c>
      <c r="CC26" s="624">
        <v>10.71</v>
      </c>
      <c r="CD26" s="23"/>
      <c r="CE26" s="24"/>
    </row>
    <row r="27" spans="1:83" ht="12" customHeight="1">
      <c r="E27" s="621">
        <v>19</v>
      </c>
      <c r="F27" s="622">
        <v>9.6999999999999993</v>
      </c>
      <c r="G27" s="623"/>
      <c r="H27" s="615">
        <v>19</v>
      </c>
      <c r="I27" s="624">
        <v>19</v>
      </c>
      <c r="J27" s="23"/>
      <c r="K27" s="24"/>
      <c r="L27" s="350"/>
      <c r="M27" s="350"/>
      <c r="N27" s="350"/>
      <c r="O27" s="350"/>
      <c r="P27" s="350"/>
      <c r="Q27" s="350" t="s">
        <v>321</v>
      </c>
      <c r="R27" s="350"/>
      <c r="S27" s="350"/>
      <c r="T27" s="351"/>
      <c r="V27" s="179">
        <f t="shared" si="1"/>
        <v>2.1499999999999999E-4</v>
      </c>
      <c r="AA27" s="180">
        <f t="shared" si="4"/>
        <v>2.1499999999999999E-4</v>
      </c>
      <c r="AB27" s="179">
        <f t="shared" si="4"/>
        <v>2.1499999999999999E-4</v>
      </c>
      <c r="AJ27" s="180">
        <f t="shared" si="3"/>
        <v>2.1499999999999999E-4</v>
      </c>
      <c r="BI27" s="621">
        <v>19</v>
      </c>
      <c r="BJ27" s="622">
        <v>9.6999999999999993</v>
      </c>
      <c r="BK27" s="623"/>
      <c r="BL27" s="615">
        <v>19</v>
      </c>
      <c r="BM27" s="624">
        <v>19</v>
      </c>
      <c r="BN27" s="23"/>
      <c r="BO27" s="24"/>
      <c r="BQ27" s="621">
        <v>19</v>
      </c>
      <c r="BR27" s="622">
        <v>4.55</v>
      </c>
      <c r="BS27" s="623"/>
      <c r="BT27" s="615">
        <v>19</v>
      </c>
      <c r="BU27" s="624">
        <v>8</v>
      </c>
      <c r="BV27" s="23"/>
      <c r="BW27" s="24"/>
      <c r="BY27" s="621">
        <v>19</v>
      </c>
      <c r="BZ27" s="622">
        <v>3.01</v>
      </c>
      <c r="CA27" s="623"/>
      <c r="CB27" s="615">
        <v>19</v>
      </c>
      <c r="CC27" s="624">
        <v>15.32</v>
      </c>
      <c r="CD27" s="23"/>
      <c r="CE27" s="24"/>
    </row>
    <row r="28" spans="1:83" ht="12" customHeight="1">
      <c r="E28" s="621">
        <v>20</v>
      </c>
      <c r="F28" s="622">
        <v>5.2</v>
      </c>
      <c r="G28" s="623"/>
      <c r="H28" s="615">
        <v>20</v>
      </c>
      <c r="I28" s="624">
        <v>16.899999999999999</v>
      </c>
      <c r="J28" s="23"/>
      <c r="K28" s="24"/>
      <c r="L28" s="673">
        <v>9</v>
      </c>
      <c r="M28" s="674" t="s">
        <v>322</v>
      </c>
      <c r="N28" s="675"/>
      <c r="O28" s="676" t="s">
        <v>401</v>
      </c>
      <c r="P28" s="677">
        <f>IF(AND(X94&lt;&gt;"",Z80=1),X94,"")</f>
        <v>6.0902520098174984</v>
      </c>
      <c r="Q28" s="287" t="str">
        <f>IF(AND(Z80=1,$G$6&lt;&gt;""),$G$6,"")</f>
        <v>Transcription %</v>
      </c>
      <c r="R28" s="287"/>
      <c r="S28" s="287"/>
      <c r="T28" s="337"/>
      <c r="V28" s="179">
        <f t="shared" si="1"/>
        <v>2.1499999999999999E-4</v>
      </c>
      <c r="AA28" s="180">
        <f t="shared" si="4"/>
        <v>2.1499999999999999E-4</v>
      </c>
      <c r="AB28" s="179">
        <f t="shared" si="4"/>
        <v>2.1499999999999999E-4</v>
      </c>
      <c r="AJ28" s="180">
        <f t="shared" si="3"/>
        <v>2.1499999999999999E-4</v>
      </c>
      <c r="BI28" s="621">
        <v>20</v>
      </c>
      <c r="BJ28" s="622">
        <v>5.2</v>
      </c>
      <c r="BK28" s="623"/>
      <c r="BL28" s="615">
        <v>20</v>
      </c>
      <c r="BM28" s="624">
        <v>16.899999999999999</v>
      </c>
      <c r="BN28" s="23"/>
      <c r="BO28" s="24"/>
      <c r="BQ28" s="621">
        <v>20</v>
      </c>
      <c r="BR28" s="622">
        <v>12.5</v>
      </c>
      <c r="BS28" s="623"/>
      <c r="BT28" s="615">
        <v>20</v>
      </c>
      <c r="BU28" s="624">
        <v>13.43</v>
      </c>
      <c r="BV28" s="23"/>
      <c r="BW28" s="24"/>
      <c r="BY28" s="621">
        <v>20</v>
      </c>
      <c r="BZ28" s="622">
        <v>3.13</v>
      </c>
      <c r="CA28" s="623"/>
      <c r="CB28" s="615">
        <v>20</v>
      </c>
      <c r="CC28" s="624">
        <v>16.5</v>
      </c>
      <c r="CD28" s="23"/>
      <c r="CE28" s="24"/>
    </row>
    <row r="29" spans="1:83" ht="12" customHeight="1">
      <c r="E29" s="621">
        <v>21</v>
      </c>
      <c r="F29" s="622">
        <v>2.4</v>
      </c>
      <c r="G29" s="623"/>
      <c r="H29" s="615">
        <v>21</v>
      </c>
      <c r="I29" s="624">
        <v>18.8</v>
      </c>
      <c r="J29" s="23"/>
      <c r="K29" s="24"/>
      <c r="L29" s="228"/>
      <c r="M29" s="228"/>
      <c r="N29" s="228"/>
      <c r="O29" s="678" t="s">
        <v>402</v>
      </c>
      <c r="P29" s="679">
        <f>IF(X94&lt;&gt;"",IF(Z80=1,X96,X106),"")</f>
        <v>3.0223247787831315</v>
      </c>
      <c r="Q29" s="656" t="str">
        <f>IF($G$6="","",$G$6)</f>
        <v>Transcription %</v>
      </c>
      <c r="R29" s="228"/>
      <c r="S29" s="228"/>
      <c r="T29" s="338"/>
      <c r="V29" s="179">
        <f t="shared" si="1"/>
        <v>2.1499999999999999E-4</v>
      </c>
      <c r="AA29" s="180">
        <f t="shared" si="4"/>
        <v>2.1499999999999999E-4</v>
      </c>
      <c r="AB29" s="179">
        <f t="shared" si="4"/>
        <v>2.1499999999999999E-4</v>
      </c>
      <c r="AJ29" s="180">
        <f t="shared" si="3"/>
        <v>2.1499999999999999E-4</v>
      </c>
      <c r="BI29" s="621">
        <v>21</v>
      </c>
      <c r="BJ29" s="622">
        <v>2.4</v>
      </c>
      <c r="BK29" s="623"/>
      <c r="BL29" s="615">
        <v>21</v>
      </c>
      <c r="BM29" s="624">
        <v>18.8</v>
      </c>
      <c r="BN29" s="23"/>
      <c r="BO29" s="24"/>
      <c r="BQ29" s="621">
        <v>21</v>
      </c>
      <c r="BR29" s="622">
        <v>1.33</v>
      </c>
      <c r="BS29" s="623"/>
      <c r="BT29" s="615">
        <v>21</v>
      </c>
      <c r="BU29" s="624">
        <v>19.63</v>
      </c>
      <c r="BV29" s="23"/>
      <c r="BW29" s="24"/>
      <c r="BY29" s="621">
        <v>21</v>
      </c>
      <c r="BZ29" s="622">
        <v>6.43</v>
      </c>
      <c r="CA29" s="623"/>
      <c r="CB29" s="615">
        <v>21</v>
      </c>
      <c r="CC29" s="624">
        <v>24.98</v>
      </c>
      <c r="CD29" s="23"/>
      <c r="CE29" s="24"/>
    </row>
    <row r="30" spans="1:83" ht="12" customHeight="1">
      <c r="E30" s="621">
        <v>22</v>
      </c>
      <c r="F30" s="622">
        <v>7.1</v>
      </c>
      <c r="G30" s="623"/>
      <c r="H30" s="615">
        <v>22</v>
      </c>
      <c r="I30" s="624">
        <v>8.5</v>
      </c>
      <c r="J30" s="23"/>
      <c r="K30" s="24"/>
      <c r="L30" s="228"/>
      <c r="M30" s="228"/>
      <c r="N30" s="228"/>
      <c r="O30" s="658" t="s">
        <v>398</v>
      </c>
      <c r="P30" s="659">
        <f>IF(AND(P24&lt;&gt;"",P29&lt;&gt;""),P24-P29,"")</f>
        <v>2.6852653540441924</v>
      </c>
      <c r="Q30" s="228" t="s">
        <v>314</v>
      </c>
      <c r="R30" s="228"/>
      <c r="S30" s="228"/>
      <c r="T30" s="338"/>
      <c r="U30" s="657"/>
      <c r="V30" s="179">
        <f t="shared" si="1"/>
        <v>2.1499999999999999E-4</v>
      </c>
      <c r="AA30" s="180">
        <f t="shared" si="4"/>
        <v>2.1499999999999999E-4</v>
      </c>
      <c r="AB30" s="179">
        <f t="shared" si="4"/>
        <v>2.1499999999999999E-4</v>
      </c>
      <c r="AJ30" s="180">
        <f t="shared" si="3"/>
        <v>2.1499999999999999E-4</v>
      </c>
      <c r="BI30" s="621">
        <v>22</v>
      </c>
      <c r="BJ30" s="622">
        <v>7.1</v>
      </c>
      <c r="BK30" s="623"/>
      <c r="BL30" s="615">
        <v>22</v>
      </c>
      <c r="BM30" s="624">
        <v>8.5</v>
      </c>
      <c r="BN30" s="23"/>
      <c r="BO30" s="24"/>
      <c r="BQ30" s="621">
        <v>22</v>
      </c>
      <c r="BR30" s="622">
        <v>4.21</v>
      </c>
      <c r="BS30" s="623"/>
      <c r="BT30" s="615">
        <v>22</v>
      </c>
      <c r="BU30" s="624">
        <v>18.079999999999998</v>
      </c>
      <c r="BV30" s="23"/>
      <c r="BW30" s="24"/>
      <c r="BY30" s="621">
        <v>22</v>
      </c>
      <c r="BZ30" s="622">
        <v>5.32</v>
      </c>
      <c r="CA30" s="623"/>
      <c r="CB30" s="615">
        <v>22</v>
      </c>
      <c r="CC30" s="624">
        <v>4.8</v>
      </c>
      <c r="CD30" s="23"/>
      <c r="CE30" s="24"/>
    </row>
    <row r="31" spans="1:83" ht="12" customHeight="1">
      <c r="E31" s="621">
        <v>23</v>
      </c>
      <c r="F31" s="622">
        <v>8.6999999999999993</v>
      </c>
      <c r="G31" s="623"/>
      <c r="H31" s="615">
        <v>23</v>
      </c>
      <c r="I31" s="624">
        <v>1.2</v>
      </c>
      <c r="J31" s="23"/>
      <c r="K31" s="24"/>
      <c r="L31" s="228"/>
      <c r="M31" s="228"/>
      <c r="N31" s="228"/>
      <c r="O31" s="228"/>
      <c r="P31" s="661">
        <f>IF(AND(P24&lt;&gt;"",P29&lt;&gt;""),P24+P29,"")</f>
        <v>8.7299149116104555</v>
      </c>
      <c r="Q31" s="336" t="s">
        <v>316</v>
      </c>
      <c r="R31" s="228"/>
      <c r="S31" s="228"/>
      <c r="T31" s="338"/>
      <c r="U31" s="657"/>
      <c r="V31" s="179">
        <f t="shared" si="1"/>
        <v>2.1499999999999999E-4</v>
      </c>
      <c r="AA31" s="180">
        <f t="shared" si="4"/>
        <v>2.1499999999999999E-4</v>
      </c>
      <c r="AB31" s="179">
        <f t="shared" si="4"/>
        <v>2.1499999999999999E-4</v>
      </c>
      <c r="AJ31" s="180">
        <f t="shared" si="3"/>
        <v>2.1499999999999999E-4</v>
      </c>
      <c r="AU31" s="181"/>
      <c r="BI31" s="621">
        <v>23</v>
      </c>
      <c r="BJ31" s="622">
        <v>8.6999999999999993</v>
      </c>
      <c r="BK31" s="623"/>
      <c r="BL31" s="615">
        <v>23</v>
      </c>
      <c r="BM31" s="624">
        <v>1.2</v>
      </c>
      <c r="BN31" s="23"/>
      <c r="BO31" s="24"/>
      <c r="BQ31" s="621">
        <v>23</v>
      </c>
      <c r="BR31" s="622">
        <v>6.63</v>
      </c>
      <c r="BS31" s="623"/>
      <c r="BT31" s="615">
        <v>23</v>
      </c>
      <c r="BU31" s="624">
        <v>8.16</v>
      </c>
      <c r="BV31" s="23"/>
      <c r="BW31" s="24"/>
      <c r="BY31" s="621">
        <v>23</v>
      </c>
      <c r="BZ31" s="622">
        <v>1.19</v>
      </c>
      <c r="CA31" s="623"/>
      <c r="CB31" s="615">
        <v>23</v>
      </c>
      <c r="CC31" s="624">
        <v>10.5</v>
      </c>
      <c r="CD31" s="23"/>
      <c r="CE31" s="24"/>
    </row>
    <row r="32" spans="1:83" ht="12" customHeight="1">
      <c r="A32" s="181"/>
      <c r="E32" s="666">
        <v>24</v>
      </c>
      <c r="F32" s="622">
        <v>8</v>
      </c>
      <c r="G32" s="623"/>
      <c r="H32" s="615">
        <v>24</v>
      </c>
      <c r="I32" s="624">
        <v>11.5</v>
      </c>
      <c r="J32" s="680"/>
      <c r="K32" s="681"/>
      <c r="L32" s="228"/>
      <c r="M32" s="228"/>
      <c r="N32" s="228"/>
      <c r="O32" s="682" t="s">
        <v>403</v>
      </c>
      <c r="P32" s="683">
        <f>IF(AND(X94&gt;0,X94&lt;&gt;""),IF(Z80=1,(Q16-O16)/(X94*SQRT(1/None+1/Ntwo)),X100),"")</f>
        <v>3.7738196530136179</v>
      </c>
      <c r="Q32" s="653" t="s">
        <v>323</v>
      </c>
      <c r="R32" s="657"/>
      <c r="S32" s="684">
        <f>IF(X94&lt;&gt;"",IF(Z80=1,None+Ntwo-2,X101),"")</f>
        <v>63</v>
      </c>
      <c r="T32" s="338"/>
      <c r="V32" s="179">
        <f t="shared" si="1"/>
        <v>2.1499999999999999E-4</v>
      </c>
      <c r="AA32" s="180">
        <f t="shared" si="4"/>
        <v>2.1499999999999999E-4</v>
      </c>
      <c r="AB32" s="179">
        <f t="shared" si="4"/>
        <v>2.1499999999999999E-4</v>
      </c>
      <c r="AJ32" s="180">
        <f t="shared" si="3"/>
        <v>2.1499999999999999E-4</v>
      </c>
      <c r="BI32" s="666">
        <v>24</v>
      </c>
      <c r="BJ32" s="622">
        <v>8</v>
      </c>
      <c r="BK32" s="623"/>
      <c r="BL32" s="615">
        <v>24</v>
      </c>
      <c r="BM32" s="624">
        <v>11.5</v>
      </c>
      <c r="BN32" s="680"/>
      <c r="BO32" s="681"/>
      <c r="BQ32" s="666">
        <v>24</v>
      </c>
      <c r="BR32" s="622">
        <v>5.56</v>
      </c>
      <c r="BS32" s="623"/>
      <c r="BT32" s="615">
        <v>24</v>
      </c>
      <c r="BU32" s="624">
        <v>10</v>
      </c>
      <c r="BV32" s="680"/>
      <c r="BW32" s="681"/>
      <c r="BY32" s="666">
        <v>24</v>
      </c>
      <c r="BZ32" s="622">
        <v>4.5199999999999996</v>
      </c>
      <c r="CA32" s="623"/>
      <c r="CB32" s="615">
        <v>24</v>
      </c>
      <c r="CC32" s="624">
        <v>5.26</v>
      </c>
      <c r="CD32" s="680"/>
      <c r="CE32" s="681"/>
    </row>
    <row r="33" spans="5:84" ht="12" customHeight="1">
      <c r="E33" s="621">
        <v>25</v>
      </c>
      <c r="F33" s="622">
        <v>11.3</v>
      </c>
      <c r="G33" s="623"/>
      <c r="H33" s="615">
        <v>25</v>
      </c>
      <c r="I33" s="624">
        <v>21.4</v>
      </c>
      <c r="J33" s="23"/>
      <c r="K33" s="24"/>
      <c r="L33" s="228"/>
      <c r="M33" s="228"/>
      <c r="N33" s="228"/>
      <c r="O33" s="685" t="s">
        <v>404</v>
      </c>
      <c r="P33" s="686">
        <f>IF(P32&lt;&gt;"",IF(Z80=1,TDIST(ABS(P32),None+Ntwo-2,2),X105),"")</f>
        <v>3.5792814764061326E-4</v>
      </c>
      <c r="Q33" s="228"/>
      <c r="R33" s="228"/>
      <c r="S33" s="228"/>
      <c r="T33" s="338"/>
      <c r="V33" s="179">
        <f t="shared" si="1"/>
        <v>2.1499999999999999E-4</v>
      </c>
      <c r="AA33" s="180">
        <f t="shared" si="4"/>
        <v>2.1499999999999999E-4</v>
      </c>
      <c r="AB33" s="179">
        <f t="shared" si="4"/>
        <v>2.1499999999999999E-4</v>
      </c>
      <c r="AJ33" s="180">
        <f t="shared" si="3"/>
        <v>2.1499999999999999E-4</v>
      </c>
      <c r="BI33" s="621">
        <v>25</v>
      </c>
      <c r="BJ33" s="622">
        <v>11.3</v>
      </c>
      <c r="BK33" s="623"/>
      <c r="BL33" s="615">
        <v>25</v>
      </c>
      <c r="BM33" s="624">
        <v>21.4</v>
      </c>
      <c r="BN33" s="23"/>
      <c r="BO33" s="24"/>
      <c r="BQ33" s="621">
        <v>25</v>
      </c>
      <c r="BR33" s="622">
        <v>2.67</v>
      </c>
      <c r="BS33" s="623"/>
      <c r="BT33" s="615">
        <v>25</v>
      </c>
      <c r="BU33" s="624">
        <v>16.05</v>
      </c>
      <c r="BV33" s="23"/>
      <c r="BW33" s="24"/>
      <c r="BY33" s="621">
        <v>25</v>
      </c>
      <c r="BZ33" s="622">
        <v>2.61</v>
      </c>
      <c r="CA33" s="623"/>
      <c r="CB33" s="615">
        <v>25</v>
      </c>
      <c r="CC33" s="624">
        <v>9.1999999999999993</v>
      </c>
      <c r="CD33" s="23"/>
      <c r="CE33" s="24"/>
    </row>
    <row r="34" spans="5:84" ht="12" customHeight="1">
      <c r="E34" s="621">
        <v>26</v>
      </c>
      <c r="F34" s="622">
        <v>8.5</v>
      </c>
      <c r="G34" s="623"/>
      <c r="H34" s="615">
        <v>26</v>
      </c>
      <c r="I34" s="624">
        <v>10.3</v>
      </c>
      <c r="J34" s="23"/>
      <c r="K34" s="24"/>
      <c r="L34" s="340"/>
      <c r="M34" s="340"/>
      <c r="N34" s="340"/>
      <c r="O34" s="340"/>
      <c r="P34" s="340"/>
      <c r="Q34" s="340"/>
      <c r="R34" s="340"/>
      <c r="S34" s="340"/>
      <c r="T34" s="341"/>
      <c r="U34" s="613"/>
      <c r="V34" s="179">
        <f t="shared" si="1"/>
        <v>2.1499999999999999E-4</v>
      </c>
      <c r="AA34" s="180">
        <f t="shared" si="4"/>
        <v>2.1499999999999999E-4</v>
      </c>
      <c r="AB34" s="179">
        <f t="shared" si="4"/>
        <v>2.1499999999999999E-4</v>
      </c>
      <c r="AJ34" s="180">
        <f t="shared" si="3"/>
        <v>2.1499999999999999E-4</v>
      </c>
      <c r="BI34" s="621">
        <v>26</v>
      </c>
      <c r="BJ34" s="622">
        <v>8.5</v>
      </c>
      <c r="BK34" s="623"/>
      <c r="BL34" s="615">
        <v>26</v>
      </c>
      <c r="BM34" s="624">
        <v>10.3</v>
      </c>
      <c r="BN34" s="23"/>
      <c r="BO34" s="24"/>
      <c r="BQ34" s="621">
        <v>26</v>
      </c>
      <c r="BR34" s="622">
        <v>5.29</v>
      </c>
      <c r="BS34" s="623"/>
      <c r="BT34" s="615">
        <v>26</v>
      </c>
      <c r="BU34" s="624">
        <v>5.19</v>
      </c>
      <c r="BV34" s="23"/>
      <c r="BW34" s="24"/>
      <c r="BY34" s="621">
        <v>26</v>
      </c>
      <c r="BZ34" s="622">
        <v>3.61</v>
      </c>
      <c r="CA34" s="623"/>
      <c r="CB34" s="615">
        <v>26</v>
      </c>
      <c r="CC34" s="624">
        <v>13.9</v>
      </c>
      <c r="CD34" s="23"/>
      <c r="CE34" s="24"/>
    </row>
    <row r="35" spans="5:84" ht="12" customHeight="1">
      <c r="E35" s="621">
        <v>27</v>
      </c>
      <c r="F35" s="622">
        <v>9.1</v>
      </c>
      <c r="G35" s="623"/>
      <c r="H35" s="615">
        <v>27</v>
      </c>
      <c r="I35" s="624">
        <v>9</v>
      </c>
      <c r="J35" s="23"/>
      <c r="K35" s="24"/>
      <c r="L35" s="687">
        <v>10</v>
      </c>
      <c r="M35" s="688" t="s">
        <v>324</v>
      </c>
      <c r="O35" s="181"/>
      <c r="P35" s="181"/>
      <c r="Q35" s="181"/>
      <c r="R35" s="181"/>
      <c r="U35" s="192"/>
      <c r="V35" s="179">
        <f t="shared" si="1"/>
        <v>2.1499999999999999E-4</v>
      </c>
      <c r="AA35" s="180">
        <f t="shared" si="4"/>
        <v>2.1499999999999999E-4</v>
      </c>
      <c r="AB35" s="179">
        <f t="shared" si="4"/>
        <v>2.1499999999999999E-4</v>
      </c>
      <c r="AJ35" s="180">
        <f t="shared" si="3"/>
        <v>2.1499999999999999E-4</v>
      </c>
      <c r="BI35" s="621">
        <v>27</v>
      </c>
      <c r="BJ35" s="622">
        <v>9.1</v>
      </c>
      <c r="BK35" s="623"/>
      <c r="BL35" s="615">
        <v>27</v>
      </c>
      <c r="BM35" s="624">
        <v>9</v>
      </c>
      <c r="BN35" s="23"/>
      <c r="BO35" s="24"/>
      <c r="BQ35" s="621">
        <v>27</v>
      </c>
      <c r="BR35" s="622">
        <v>18.18</v>
      </c>
      <c r="BS35" s="623"/>
      <c r="BT35" s="615">
        <v>27</v>
      </c>
      <c r="BU35" s="624">
        <v>10.14</v>
      </c>
      <c r="BV35" s="23"/>
      <c r="BW35" s="24"/>
      <c r="BY35" s="621">
        <v>27</v>
      </c>
      <c r="BZ35" s="622">
        <v>4.97</v>
      </c>
      <c r="CA35" s="623"/>
      <c r="CB35" s="615">
        <v>27</v>
      </c>
      <c r="CC35" s="624">
        <v>13.39</v>
      </c>
      <c r="CD35" s="23"/>
      <c r="CE35" s="24"/>
    </row>
    <row r="36" spans="5:84" ht="12" customHeight="1">
      <c r="E36" s="621">
        <v>28</v>
      </c>
      <c r="F36" s="622">
        <v>4.5</v>
      </c>
      <c r="G36" s="623"/>
      <c r="H36" s="615">
        <v>28</v>
      </c>
      <c r="I36" s="624">
        <v>12.8</v>
      </c>
      <c r="J36" s="23"/>
      <c r="K36" s="24"/>
      <c r="O36" s="947" t="s">
        <v>297</v>
      </c>
      <c r="P36" s="948" t="s">
        <v>1339</v>
      </c>
      <c r="U36" s="192"/>
      <c r="V36" s="179">
        <f t="shared" si="1"/>
        <v>2.1499999999999999E-4</v>
      </c>
      <c r="AA36" s="180">
        <f t="shared" si="4"/>
        <v>2.1499999999999999E-4</v>
      </c>
      <c r="AB36" s="179">
        <f t="shared" si="4"/>
        <v>2.1499999999999999E-4</v>
      </c>
      <c r="AJ36" s="180">
        <f t="shared" si="3"/>
        <v>2.1499999999999999E-4</v>
      </c>
      <c r="BI36" s="621">
        <v>28</v>
      </c>
      <c r="BJ36" s="622">
        <v>4.5</v>
      </c>
      <c r="BK36" s="623"/>
      <c r="BL36" s="615">
        <v>28</v>
      </c>
      <c r="BM36" s="624">
        <v>12.8</v>
      </c>
      <c r="BN36" s="23"/>
      <c r="BO36" s="24"/>
      <c r="BQ36" s="621">
        <v>28</v>
      </c>
      <c r="BR36" s="622">
        <v>10.48</v>
      </c>
      <c r="BS36" s="623"/>
      <c r="BT36" s="615">
        <v>28</v>
      </c>
      <c r="BU36" s="624">
        <v>2.37</v>
      </c>
      <c r="BV36" s="23"/>
      <c r="BW36" s="24"/>
      <c r="BY36" s="621">
        <v>28</v>
      </c>
      <c r="BZ36" s="622">
        <v>0.34</v>
      </c>
      <c r="CA36" s="623"/>
      <c r="CB36" s="615">
        <v>28</v>
      </c>
      <c r="CC36" s="624">
        <v>7.78</v>
      </c>
      <c r="CD36" s="23"/>
      <c r="CE36" s="24"/>
    </row>
    <row r="37" spans="5:84" ht="12" customHeight="1">
      <c r="E37" s="621">
        <v>29</v>
      </c>
      <c r="F37" s="622">
        <v>9.1999999999999993</v>
      </c>
      <c r="G37" s="623"/>
      <c r="H37" s="615">
        <v>29</v>
      </c>
      <c r="I37" s="624">
        <v>12</v>
      </c>
      <c r="J37" s="23"/>
      <c r="K37" s="24"/>
      <c r="L37" s="689">
        <v>12</v>
      </c>
      <c r="M37" s="690" t="s">
        <v>405</v>
      </c>
      <c r="N37" s="236"/>
      <c r="O37" s="809" t="s">
        <v>325</v>
      </c>
      <c r="P37" s="946" t="str">
        <f>IF(AND(X94&gt;0,dispddt,O17&lt;&gt;"",Q17&lt;&gt;"",Z80=1),P24/X94,"")</f>
        <v/>
      </c>
      <c r="Q37" s="236"/>
      <c r="R37" s="236"/>
      <c r="S37" s="236"/>
      <c r="T37" s="613"/>
      <c r="U37" s="197"/>
      <c r="BI37" s="621">
        <v>29</v>
      </c>
      <c r="BJ37" s="622">
        <v>9.1999999999999993</v>
      </c>
      <c r="BK37" s="623"/>
      <c r="BL37" s="615">
        <v>29</v>
      </c>
      <c r="BM37" s="624">
        <v>12</v>
      </c>
      <c r="BN37" s="23"/>
      <c r="BO37" s="23"/>
      <c r="BP37" s="221"/>
      <c r="BQ37" s="621">
        <v>29</v>
      </c>
      <c r="BR37" s="622">
        <v>4.04</v>
      </c>
      <c r="BS37" s="623"/>
      <c r="BT37" s="615">
        <v>29</v>
      </c>
      <c r="BU37" s="624">
        <v>9.64</v>
      </c>
      <c r="BV37" s="23"/>
      <c r="BW37" s="23"/>
      <c r="BX37" s="221"/>
      <c r="BY37" s="621">
        <v>29</v>
      </c>
      <c r="BZ37" s="622">
        <v>5.38</v>
      </c>
      <c r="CA37" s="623"/>
      <c r="CB37" s="615">
        <v>29</v>
      </c>
      <c r="CC37" s="624">
        <v>13.82</v>
      </c>
      <c r="CD37" s="23"/>
      <c r="CE37" s="23"/>
      <c r="CF37" s="222"/>
    </row>
    <row r="38" spans="5:84" ht="12" customHeight="1">
      <c r="E38" s="621">
        <v>30</v>
      </c>
      <c r="F38" s="622">
        <v>13.3</v>
      </c>
      <c r="G38" s="623"/>
      <c r="H38" s="615">
        <v>30</v>
      </c>
      <c r="I38" s="624">
        <v>34.700000000000003</v>
      </c>
      <c r="J38" s="23"/>
      <c r="K38" s="24"/>
      <c r="L38" s="691" t="s">
        <v>406</v>
      </c>
      <c r="M38" s="352"/>
      <c r="N38" s="352"/>
      <c r="O38" s="692" t="s">
        <v>407</v>
      </c>
      <c r="P38" s="693" t="str">
        <f>IF(AND(X94&gt;0,dispddt,O17&lt;&gt;"",Q17&lt;&gt;"",Z80=1),P37*X76,"")</f>
        <v/>
      </c>
      <c r="Q38" s="352"/>
      <c r="R38" s="352"/>
      <c r="S38" s="352"/>
      <c r="T38" s="501"/>
      <c r="BI38" s="621">
        <v>30</v>
      </c>
      <c r="BJ38" s="622">
        <v>13.3</v>
      </c>
      <c r="BK38" s="623"/>
      <c r="BL38" s="615">
        <v>30</v>
      </c>
      <c r="BM38" s="624">
        <v>34.700000000000003</v>
      </c>
      <c r="BN38" s="23"/>
      <c r="BO38" s="23"/>
      <c r="BP38" s="221"/>
      <c r="BQ38" s="621">
        <v>30</v>
      </c>
      <c r="BR38" s="622">
        <v>2.94</v>
      </c>
      <c r="BS38" s="623"/>
      <c r="BT38" s="615">
        <v>30</v>
      </c>
      <c r="BU38" s="624">
        <v>20</v>
      </c>
      <c r="BV38" s="23"/>
      <c r="BW38" s="23"/>
      <c r="BX38" s="221"/>
      <c r="BY38" s="621">
        <v>30</v>
      </c>
      <c r="BZ38" s="622">
        <v>0</v>
      </c>
      <c r="CA38" s="623"/>
      <c r="CB38" s="615">
        <v>30</v>
      </c>
      <c r="CC38" s="624">
        <v>3.2</v>
      </c>
      <c r="CD38" s="23"/>
      <c r="CE38" s="23"/>
      <c r="CF38" s="222"/>
    </row>
    <row r="39" spans="5:84" ht="12" customHeight="1">
      <c r="E39" s="621">
        <v>31</v>
      </c>
      <c r="F39" s="622">
        <v>18.3</v>
      </c>
      <c r="G39" s="623"/>
      <c r="H39" s="615">
        <v>31</v>
      </c>
      <c r="I39" s="624">
        <v>4.0999999999999996</v>
      </c>
      <c r="J39" s="23"/>
      <c r="K39" s="24"/>
      <c r="L39" s="694"/>
      <c r="M39" s="352"/>
      <c r="N39" s="352"/>
      <c r="O39" s="352"/>
      <c r="P39" s="767"/>
      <c r="Q39" s="352"/>
      <c r="R39" s="695" t="s">
        <v>558</v>
      </c>
      <c r="S39" s="352"/>
      <c r="T39" s="501"/>
      <c r="BI39" s="621">
        <v>31</v>
      </c>
      <c r="BJ39" s="622">
        <v>18.3</v>
      </c>
      <c r="BK39" s="623"/>
      <c r="BL39" s="615">
        <v>31</v>
      </c>
      <c r="BM39" s="624">
        <v>4.0999999999999996</v>
      </c>
      <c r="BN39" s="23"/>
      <c r="BO39" s="23"/>
      <c r="BP39" s="221"/>
      <c r="BQ39" s="621">
        <v>31</v>
      </c>
      <c r="BR39" s="622">
        <v>2.84</v>
      </c>
      <c r="BS39" s="623"/>
      <c r="BT39" s="615">
        <v>31</v>
      </c>
      <c r="BU39" s="624">
        <v>14.45</v>
      </c>
      <c r="BV39" s="23"/>
      <c r="BW39" s="23"/>
      <c r="BX39" s="221"/>
      <c r="BY39" s="621">
        <v>31</v>
      </c>
      <c r="BZ39" s="622">
        <v>6.2</v>
      </c>
      <c r="CA39" s="623"/>
      <c r="CB39" s="615">
        <v>31</v>
      </c>
      <c r="CC39" s="624">
        <v>5.65</v>
      </c>
      <c r="CD39" s="23"/>
      <c r="CE39" s="23"/>
      <c r="CF39" s="222"/>
    </row>
    <row r="40" spans="5:84" ht="12" customHeight="1">
      <c r="E40" s="621">
        <v>32</v>
      </c>
      <c r="F40" s="622">
        <v>2.8</v>
      </c>
      <c r="G40" s="623"/>
      <c r="H40" s="615">
        <v>32</v>
      </c>
      <c r="I40" s="624"/>
      <c r="J40" s="23"/>
      <c r="K40" s="24"/>
      <c r="L40" s="240"/>
      <c r="M40" s="352"/>
      <c r="N40" s="352"/>
      <c r="O40" s="352"/>
      <c r="P40" s="696" t="s">
        <v>326</v>
      </c>
      <c r="Q40" s="697" t="str">
        <f>IF(C11,cidtl*SQRT(1/None+1/Ntwo),"")</f>
        <v/>
      </c>
      <c r="R40" s="698" t="s">
        <v>327</v>
      </c>
      <c r="S40" s="697" t="str">
        <f>IF(C11,cidtu*SQRT(1/None+1/Ntwo),"")</f>
        <v/>
      </c>
      <c r="T40" s="699" t="s">
        <v>316</v>
      </c>
      <c r="V40" s="185"/>
      <c r="BI40" s="621">
        <v>32</v>
      </c>
      <c r="BJ40" s="622">
        <v>2.8</v>
      </c>
      <c r="BK40" s="623"/>
      <c r="BL40" s="615">
        <v>32</v>
      </c>
      <c r="BM40" s="624"/>
      <c r="BN40" s="23"/>
      <c r="BO40" s="23"/>
      <c r="BP40" s="221"/>
      <c r="BQ40" s="621">
        <v>32</v>
      </c>
      <c r="BR40" s="622">
        <v>3.55</v>
      </c>
      <c r="BS40" s="623"/>
      <c r="BT40" s="615">
        <v>32</v>
      </c>
      <c r="BU40" s="624">
        <v>12.41</v>
      </c>
      <c r="BV40" s="23"/>
      <c r="BW40" s="23"/>
      <c r="BX40" s="221"/>
      <c r="BY40" s="621">
        <v>32</v>
      </c>
      <c r="BZ40" s="622">
        <v>2.44</v>
      </c>
      <c r="CA40" s="623"/>
      <c r="CB40" s="615">
        <v>32</v>
      </c>
      <c r="CC40" s="624">
        <v>11.3</v>
      </c>
      <c r="CD40" s="23"/>
      <c r="CE40" s="23"/>
      <c r="CF40" s="222"/>
    </row>
    <row r="41" spans="5:84" ht="12" customHeight="1">
      <c r="E41" s="621">
        <v>33</v>
      </c>
      <c r="F41" s="622">
        <v>5.0999999999999996</v>
      </c>
      <c r="G41" s="623"/>
      <c r="H41" s="615">
        <v>33</v>
      </c>
      <c r="I41" s="624"/>
      <c r="J41" s="23"/>
      <c r="K41" s="24"/>
      <c r="L41" s="240"/>
      <c r="M41" s="352"/>
      <c r="N41" s="352"/>
      <c r="O41" s="692" t="s">
        <v>408</v>
      </c>
      <c r="P41" s="693" t="str">
        <f>IF(C11,(S40-Q40)/2,"")</f>
        <v/>
      </c>
      <c r="Q41" s="352"/>
      <c r="R41" s="352"/>
      <c r="S41" s="352"/>
      <c r="T41" s="501"/>
      <c r="BI41" s="621">
        <v>33</v>
      </c>
      <c r="BJ41" s="622">
        <v>5.0999999999999996</v>
      </c>
      <c r="BK41" s="623"/>
      <c r="BL41" s="615">
        <v>33</v>
      </c>
      <c r="BM41" s="624"/>
      <c r="BN41" s="23"/>
      <c r="BO41" s="23"/>
      <c r="BP41" s="221"/>
      <c r="BQ41" s="621">
        <v>33</v>
      </c>
      <c r="BR41" s="622">
        <v>6.25</v>
      </c>
      <c r="BS41" s="623"/>
      <c r="BT41" s="615">
        <v>33</v>
      </c>
      <c r="BU41" s="624">
        <v>3.57</v>
      </c>
      <c r="BV41" s="23"/>
      <c r="BW41" s="23"/>
      <c r="BX41" s="221"/>
      <c r="BY41" s="621">
        <v>33</v>
      </c>
      <c r="BZ41" s="622">
        <v>1.96</v>
      </c>
      <c r="CA41" s="623"/>
      <c r="CB41" s="615">
        <v>33</v>
      </c>
      <c r="CC41" s="624">
        <v>9.61</v>
      </c>
      <c r="CD41" s="23"/>
      <c r="CE41" s="23"/>
      <c r="CF41" s="222"/>
    </row>
    <row r="42" spans="5:84" ht="12" customHeight="1">
      <c r="E42" s="621">
        <v>34</v>
      </c>
      <c r="F42" s="622">
        <v>12.4</v>
      </c>
      <c r="G42" s="623"/>
      <c r="H42" s="615">
        <v>34</v>
      </c>
      <c r="I42" s="624"/>
      <c r="J42" s="23"/>
      <c r="K42" s="24"/>
      <c r="L42" s="246"/>
      <c r="M42" s="247"/>
      <c r="N42" s="247"/>
      <c r="O42" s="247"/>
      <c r="P42" s="700"/>
      <c r="Q42" s="701"/>
      <c r="R42" s="702"/>
      <c r="S42" s="701"/>
      <c r="T42" s="703"/>
      <c r="BI42" s="621">
        <v>34</v>
      </c>
      <c r="BJ42" s="622">
        <v>12.4</v>
      </c>
      <c r="BK42" s="623"/>
      <c r="BL42" s="615">
        <v>34</v>
      </c>
      <c r="BM42" s="624"/>
      <c r="BN42" s="23"/>
      <c r="BO42" s="24"/>
      <c r="BQ42" s="621">
        <v>34</v>
      </c>
      <c r="BR42" s="622">
        <v>10.23</v>
      </c>
      <c r="BS42" s="623"/>
      <c r="BT42" s="615">
        <v>34</v>
      </c>
      <c r="BU42" s="624">
        <v>4.78</v>
      </c>
      <c r="BV42" s="23"/>
      <c r="BW42" s="24"/>
      <c r="BY42" s="621">
        <v>34</v>
      </c>
      <c r="BZ42" s="622">
        <v>1.19</v>
      </c>
      <c r="CA42" s="623"/>
      <c r="CB42" s="615">
        <v>34</v>
      </c>
      <c r="CC42" s="624">
        <v>6.23</v>
      </c>
      <c r="CD42" s="23"/>
      <c r="CE42" s="24"/>
    </row>
    <row r="43" spans="5:84" ht="12" customHeight="1">
      <c r="E43" s="621">
        <v>35</v>
      </c>
      <c r="F43" s="622"/>
      <c r="G43" s="623"/>
      <c r="H43" s="615">
        <v>35</v>
      </c>
      <c r="I43" s="624"/>
      <c r="J43" s="23"/>
      <c r="K43" s="24"/>
      <c r="X43"/>
      <c r="Y43"/>
      <c r="BI43" s="621">
        <v>35</v>
      </c>
      <c r="BJ43" s="622"/>
      <c r="BK43" s="623"/>
      <c r="BL43" s="615">
        <v>35</v>
      </c>
      <c r="BM43" s="624"/>
      <c r="BN43" s="23"/>
      <c r="BO43" s="24"/>
      <c r="BQ43" s="621">
        <v>35</v>
      </c>
      <c r="BR43" s="622">
        <v>1</v>
      </c>
      <c r="BS43" s="623"/>
      <c r="BT43" s="615">
        <v>35</v>
      </c>
      <c r="BU43" s="624">
        <v>17.829999999999998</v>
      </c>
      <c r="BV43" s="23"/>
      <c r="BW43" s="24"/>
      <c r="BY43" s="621">
        <v>35</v>
      </c>
      <c r="BZ43" s="622">
        <v>6.42</v>
      </c>
      <c r="CA43" s="623"/>
      <c r="CB43" s="615">
        <v>35</v>
      </c>
      <c r="CC43" s="624">
        <v>5.91</v>
      </c>
      <c r="CD43" s="23"/>
      <c r="CE43" s="24"/>
    </row>
    <row r="44" spans="5:84" ht="12" customHeight="1">
      <c r="E44" s="621">
        <v>36</v>
      </c>
      <c r="F44" s="622"/>
      <c r="G44" s="623"/>
      <c r="H44" s="615">
        <v>36</v>
      </c>
      <c r="I44" s="624"/>
      <c r="J44" s="23"/>
      <c r="K44" s="24"/>
      <c r="X44"/>
      <c r="Y44"/>
      <c r="BI44" s="621">
        <v>36</v>
      </c>
      <c r="BJ44" s="622"/>
      <c r="BK44" s="623"/>
      <c r="BL44" s="615">
        <v>36</v>
      </c>
      <c r="BM44" s="624"/>
      <c r="BN44" s="23"/>
      <c r="BO44" s="24"/>
      <c r="BQ44" s="621">
        <v>36</v>
      </c>
      <c r="BR44" s="622">
        <v>8</v>
      </c>
      <c r="BS44" s="623"/>
      <c r="BT44" s="615">
        <v>36</v>
      </c>
      <c r="BU44" s="624">
        <v>7.97</v>
      </c>
      <c r="BV44" s="23"/>
      <c r="BW44" s="24"/>
      <c r="BY44" s="621">
        <v>36</v>
      </c>
      <c r="BZ44" s="622">
        <v>2.5499999999999998</v>
      </c>
      <c r="CA44" s="623"/>
      <c r="CB44" s="615">
        <v>36</v>
      </c>
      <c r="CC44" s="624">
        <v>17.86</v>
      </c>
      <c r="CD44" s="23"/>
      <c r="CE44" s="24"/>
    </row>
    <row r="45" spans="5:84" ht="12" customHeight="1">
      <c r="E45" s="621">
        <v>37</v>
      </c>
      <c r="F45" s="622"/>
      <c r="G45" s="623"/>
      <c r="H45" s="615">
        <v>37</v>
      </c>
      <c r="I45" s="624"/>
      <c r="J45" s="23"/>
      <c r="K45" s="24"/>
      <c r="L45" s="30"/>
      <c r="M45" s="30"/>
      <c r="X45"/>
      <c r="Y45"/>
      <c r="BI45" s="621">
        <v>37</v>
      </c>
      <c r="BJ45" s="622"/>
      <c r="BK45" s="623"/>
      <c r="BL45" s="615">
        <v>37</v>
      </c>
      <c r="BM45" s="624"/>
      <c r="BN45" s="23"/>
      <c r="BO45" s="24"/>
      <c r="BQ45" s="621">
        <v>37</v>
      </c>
      <c r="BR45" s="622">
        <v>4.6900000000000004</v>
      </c>
      <c r="BS45" s="623"/>
      <c r="BT45" s="615">
        <v>37</v>
      </c>
      <c r="BU45" s="624">
        <v>13.18</v>
      </c>
      <c r="BV45" s="23"/>
      <c r="BW45" s="24"/>
      <c r="BY45" s="621">
        <v>37</v>
      </c>
      <c r="BZ45" s="622">
        <v>2.2599999999999998</v>
      </c>
      <c r="CA45" s="623"/>
      <c r="CB45" s="615">
        <v>37</v>
      </c>
      <c r="CC45" s="624">
        <v>2.0699999999999998</v>
      </c>
      <c r="CD45" s="23"/>
      <c r="CE45" s="24"/>
    </row>
    <row r="46" spans="5:84" ht="12" customHeight="1">
      <c r="E46" s="621">
        <v>38</v>
      </c>
      <c r="F46" s="622"/>
      <c r="G46" s="623"/>
      <c r="H46" s="615">
        <v>38</v>
      </c>
      <c r="I46" s="624"/>
      <c r="J46" s="23"/>
      <c r="K46" s="24"/>
      <c r="L46" s="30"/>
      <c r="M46" s="30"/>
      <c r="X46"/>
      <c r="Y46"/>
      <c r="AF46" s="181"/>
      <c r="AH46" s="181"/>
      <c r="BI46" s="621">
        <v>38</v>
      </c>
      <c r="BJ46" s="622"/>
      <c r="BK46" s="623"/>
      <c r="BL46" s="615">
        <v>38</v>
      </c>
      <c r="BM46" s="624"/>
      <c r="BN46" s="23"/>
      <c r="BO46" s="24"/>
      <c r="BQ46" s="621">
        <v>38</v>
      </c>
      <c r="BR46" s="622">
        <v>5.17</v>
      </c>
      <c r="BS46" s="623"/>
      <c r="BT46" s="615">
        <v>38</v>
      </c>
      <c r="BU46" s="624">
        <v>13.64</v>
      </c>
      <c r="BV46" s="23"/>
      <c r="BW46" s="24"/>
      <c r="BY46" s="621">
        <v>38</v>
      </c>
      <c r="BZ46" s="622">
        <v>3.66</v>
      </c>
      <c r="CA46" s="623"/>
      <c r="CB46" s="615">
        <v>38</v>
      </c>
      <c r="CC46" s="624">
        <v>20.21</v>
      </c>
      <c r="CD46" s="23"/>
      <c r="CE46" s="24"/>
    </row>
    <row r="47" spans="5:84" ht="12" customHeight="1">
      <c r="E47" s="621">
        <v>39</v>
      </c>
      <c r="F47" s="622"/>
      <c r="G47" s="623"/>
      <c r="H47" s="615">
        <v>39</v>
      </c>
      <c r="I47" s="624"/>
      <c r="J47" s="23"/>
      <c r="K47" s="24"/>
      <c r="M47" s="30"/>
      <c r="BI47" s="621">
        <v>39</v>
      </c>
      <c r="BJ47" s="622"/>
      <c r="BK47" s="623"/>
      <c r="BL47" s="615">
        <v>39</v>
      </c>
      <c r="BM47" s="624"/>
      <c r="BN47" s="23"/>
      <c r="BO47" s="24"/>
      <c r="BQ47" s="621">
        <v>39</v>
      </c>
      <c r="BR47" s="622">
        <v>5.63</v>
      </c>
      <c r="BS47" s="623"/>
      <c r="BT47" s="615">
        <v>39</v>
      </c>
      <c r="BU47" s="624">
        <v>10.19</v>
      </c>
      <c r="BV47" s="23"/>
      <c r="BW47" s="24"/>
      <c r="BY47" s="621">
        <v>39</v>
      </c>
      <c r="BZ47" s="622">
        <v>2.75</v>
      </c>
      <c r="CA47" s="623"/>
      <c r="CB47" s="615">
        <v>39</v>
      </c>
      <c r="CC47" s="624">
        <v>23.86</v>
      </c>
      <c r="CD47" s="23"/>
      <c r="CE47" s="24"/>
    </row>
    <row r="48" spans="5:84" ht="12" customHeight="1">
      <c r="E48" s="621">
        <v>40</v>
      </c>
      <c r="F48" s="622"/>
      <c r="G48" s="623"/>
      <c r="H48" s="615">
        <v>40</v>
      </c>
      <c r="I48" s="624"/>
      <c r="J48" s="23"/>
      <c r="K48" s="24"/>
      <c r="L48" s="30"/>
      <c r="M48" s="30"/>
      <c r="BI48" s="621">
        <v>40</v>
      </c>
      <c r="BJ48" s="622"/>
      <c r="BK48" s="623"/>
      <c r="BL48" s="615">
        <v>40</v>
      </c>
      <c r="BM48" s="624"/>
      <c r="BN48" s="23"/>
      <c r="BO48" s="24"/>
      <c r="BQ48" s="621">
        <v>40</v>
      </c>
      <c r="BR48" s="622">
        <v>10.119999999999999</v>
      </c>
      <c r="BS48" s="623"/>
      <c r="BT48" s="615">
        <v>40</v>
      </c>
      <c r="BU48" s="624">
        <v>15.89</v>
      </c>
      <c r="BV48" s="23"/>
      <c r="BW48" s="24"/>
      <c r="BY48" s="621">
        <v>40</v>
      </c>
      <c r="BZ48" s="622">
        <v>6.3</v>
      </c>
      <c r="CA48" s="623"/>
      <c r="CB48" s="615">
        <v>40</v>
      </c>
      <c r="CC48" s="624">
        <v>13.28</v>
      </c>
      <c r="CD48" s="23"/>
      <c r="CE48" s="24"/>
    </row>
    <row r="49" spans="5:83" ht="12" customHeight="1">
      <c r="E49" s="621">
        <v>41</v>
      </c>
      <c r="F49" s="622"/>
      <c r="G49" s="623"/>
      <c r="H49" s="615">
        <v>41</v>
      </c>
      <c r="I49" s="624"/>
      <c r="J49" s="23"/>
      <c r="K49" s="24"/>
      <c r="M49" s="30"/>
      <c r="BI49" s="621">
        <v>41</v>
      </c>
      <c r="BJ49" s="622"/>
      <c r="BK49" s="623"/>
      <c r="BL49" s="615">
        <v>41</v>
      </c>
      <c r="BM49" s="624"/>
      <c r="BN49" s="23"/>
      <c r="BO49" s="24"/>
      <c r="BQ49" s="621">
        <v>41</v>
      </c>
      <c r="BR49" s="622">
        <v>13.21</v>
      </c>
      <c r="BS49" s="623"/>
      <c r="BT49" s="615">
        <v>41</v>
      </c>
      <c r="BU49" s="624">
        <v>6.6</v>
      </c>
      <c r="BV49" s="23"/>
      <c r="BW49" s="24"/>
      <c r="BY49" s="621">
        <v>41</v>
      </c>
      <c r="BZ49" s="622">
        <v>1.63</v>
      </c>
      <c r="CA49" s="623"/>
      <c r="CB49" s="615">
        <v>41</v>
      </c>
      <c r="CC49" s="624">
        <v>5.86</v>
      </c>
      <c r="CD49" s="23"/>
      <c r="CE49" s="24"/>
    </row>
    <row r="50" spans="5:83" ht="12" customHeight="1">
      <c r="E50" s="621">
        <v>42</v>
      </c>
      <c r="F50" s="622"/>
      <c r="G50" s="623"/>
      <c r="H50" s="615">
        <v>42</v>
      </c>
      <c r="I50" s="624"/>
      <c r="J50" s="23"/>
      <c r="K50" s="24"/>
      <c r="L50" s="30"/>
      <c r="M50" s="30"/>
      <c r="BI50" s="621">
        <v>42</v>
      </c>
      <c r="BJ50" s="622"/>
      <c r="BK50" s="623"/>
      <c r="BL50" s="615">
        <v>42</v>
      </c>
      <c r="BM50" s="624"/>
      <c r="BN50" s="23"/>
      <c r="BO50" s="24"/>
      <c r="BQ50" s="621">
        <v>42</v>
      </c>
      <c r="BR50" s="622">
        <v>8.3800000000000008</v>
      </c>
      <c r="BS50" s="623"/>
      <c r="BT50" s="615">
        <v>42</v>
      </c>
      <c r="BU50" s="624">
        <v>7.81</v>
      </c>
      <c r="BV50" s="23"/>
      <c r="BW50" s="24"/>
      <c r="BY50" s="621">
        <v>42</v>
      </c>
      <c r="BZ50" s="622">
        <v>3.29</v>
      </c>
      <c r="CA50" s="623"/>
      <c r="CB50" s="615">
        <v>42</v>
      </c>
      <c r="CC50" s="624">
        <v>11.71</v>
      </c>
      <c r="CD50" s="23"/>
      <c r="CE50" s="24"/>
    </row>
    <row r="51" spans="5:83" ht="12" customHeight="1">
      <c r="E51" s="621">
        <v>43</v>
      </c>
      <c r="F51" s="622"/>
      <c r="G51" s="623"/>
      <c r="H51" s="615">
        <v>43</v>
      </c>
      <c r="I51" s="624"/>
      <c r="J51" s="23"/>
      <c r="K51" s="24"/>
      <c r="BI51" s="621">
        <v>43</v>
      </c>
      <c r="BJ51" s="622"/>
      <c r="BK51" s="623"/>
      <c r="BL51" s="615">
        <v>43</v>
      </c>
      <c r="BM51" s="624"/>
      <c r="BN51" s="23"/>
      <c r="BO51" s="24"/>
      <c r="BQ51" s="621">
        <v>43</v>
      </c>
      <c r="BR51" s="622">
        <v>3.82</v>
      </c>
      <c r="BS51" s="623"/>
      <c r="BT51" s="615">
        <v>43</v>
      </c>
      <c r="BU51" s="624">
        <v>10.9</v>
      </c>
      <c r="BV51" s="23"/>
      <c r="BW51" s="24"/>
      <c r="BY51" s="621">
        <v>43</v>
      </c>
      <c r="BZ51" s="622">
        <v>6.09</v>
      </c>
      <c r="CA51" s="623"/>
      <c r="CB51" s="615">
        <v>43</v>
      </c>
      <c r="CC51" s="624">
        <v>12.69</v>
      </c>
      <c r="CD51" s="23"/>
      <c r="CE51" s="24"/>
    </row>
    <row r="52" spans="5:83" ht="12" customHeight="1">
      <c r="E52" s="621">
        <v>44</v>
      </c>
      <c r="F52" s="622"/>
      <c r="G52" s="623"/>
      <c r="H52" s="615">
        <v>44</v>
      </c>
      <c r="I52" s="624"/>
      <c r="J52" s="23"/>
      <c r="K52" s="24"/>
      <c r="L52" s="30"/>
      <c r="BI52" s="621">
        <v>44</v>
      </c>
      <c r="BJ52" s="622"/>
      <c r="BK52" s="623"/>
      <c r="BL52" s="615">
        <v>44</v>
      </c>
      <c r="BM52" s="624"/>
      <c r="BN52" s="23"/>
      <c r="BO52" s="24"/>
      <c r="BQ52" s="621">
        <v>44</v>
      </c>
      <c r="BR52" s="622">
        <v>3.7</v>
      </c>
      <c r="BS52" s="623"/>
      <c r="BT52" s="615">
        <v>44</v>
      </c>
      <c r="BU52" s="624">
        <v>21.63</v>
      </c>
      <c r="BV52" s="23"/>
      <c r="BW52" s="24"/>
      <c r="BY52" s="621">
        <v>44</v>
      </c>
      <c r="BZ52" s="622">
        <v>2.5499999999999998</v>
      </c>
      <c r="CA52" s="623"/>
      <c r="CB52" s="615">
        <v>44</v>
      </c>
      <c r="CC52" s="624">
        <v>10.86</v>
      </c>
      <c r="CD52" s="23"/>
      <c r="CE52" s="24"/>
    </row>
    <row r="53" spans="5:83" ht="12" customHeight="1">
      <c r="E53" s="621">
        <v>45</v>
      </c>
      <c r="F53" s="622"/>
      <c r="G53" s="623"/>
      <c r="H53" s="615">
        <v>45</v>
      </c>
      <c r="I53" s="624"/>
      <c r="J53" s="23"/>
      <c r="K53" s="24"/>
      <c r="BI53" s="621">
        <v>45</v>
      </c>
      <c r="BJ53" s="622"/>
      <c r="BK53" s="623"/>
      <c r="BL53" s="615">
        <v>45</v>
      </c>
      <c r="BM53" s="624"/>
      <c r="BN53" s="23"/>
      <c r="BO53" s="24"/>
      <c r="BQ53" s="621">
        <v>45</v>
      </c>
      <c r="BR53" s="622">
        <v>7.83</v>
      </c>
      <c r="BS53" s="623"/>
      <c r="BT53" s="615">
        <v>45</v>
      </c>
      <c r="BU53" s="624">
        <v>6.36</v>
      </c>
      <c r="BV53" s="23"/>
      <c r="BW53" s="24"/>
      <c r="BY53" s="621">
        <v>45</v>
      </c>
      <c r="BZ53" s="622">
        <v>9.09</v>
      </c>
      <c r="CA53" s="623"/>
      <c r="CB53" s="615">
        <v>45</v>
      </c>
      <c r="CC53" s="624">
        <v>7.12</v>
      </c>
      <c r="CD53" s="23"/>
      <c r="CE53" s="24"/>
    </row>
    <row r="54" spans="5:83" ht="12" customHeight="1">
      <c r="E54" s="621">
        <v>46</v>
      </c>
      <c r="F54" s="622"/>
      <c r="G54" s="623"/>
      <c r="H54" s="615">
        <v>46</v>
      </c>
      <c r="I54" s="624"/>
      <c r="J54" s="23"/>
      <c r="K54" s="24"/>
      <c r="L54" s="30"/>
      <c r="BI54" s="621">
        <v>46</v>
      </c>
      <c r="BJ54" s="622"/>
      <c r="BK54" s="623"/>
      <c r="BL54" s="615">
        <v>46</v>
      </c>
      <c r="BM54" s="624"/>
      <c r="BN54" s="23"/>
      <c r="BO54" s="24"/>
      <c r="BQ54" s="621">
        <v>46</v>
      </c>
      <c r="BR54" s="622">
        <v>3.66</v>
      </c>
      <c r="BS54" s="623"/>
      <c r="BT54" s="615">
        <v>46</v>
      </c>
      <c r="BU54" s="624">
        <v>16.96</v>
      </c>
      <c r="BV54" s="23"/>
      <c r="BW54" s="24"/>
      <c r="BY54" s="621">
        <v>46</v>
      </c>
      <c r="BZ54" s="622">
        <v>3.49</v>
      </c>
      <c r="CA54" s="623"/>
      <c r="CB54" s="615">
        <v>46</v>
      </c>
      <c r="CC54" s="624">
        <v>8.33</v>
      </c>
      <c r="CD54" s="23"/>
      <c r="CE54" s="24"/>
    </row>
    <row r="55" spans="5:83" ht="12" customHeight="1">
      <c r="E55" s="621">
        <v>47</v>
      </c>
      <c r="F55" s="622"/>
      <c r="G55" s="623"/>
      <c r="H55" s="615">
        <v>47</v>
      </c>
      <c r="I55" s="624"/>
      <c r="J55" s="23"/>
      <c r="K55" s="24"/>
      <c r="BI55" s="621">
        <v>47</v>
      </c>
      <c r="BJ55" s="622"/>
      <c r="BK55" s="623"/>
      <c r="BL55" s="615">
        <v>47</v>
      </c>
      <c r="BM55" s="624"/>
      <c r="BN55" s="23"/>
      <c r="BO55" s="24"/>
      <c r="BQ55" s="621">
        <v>47</v>
      </c>
      <c r="BR55" s="622">
        <v>9.06</v>
      </c>
      <c r="BS55" s="623"/>
      <c r="BT55" s="615">
        <v>47</v>
      </c>
      <c r="BU55" s="624">
        <v>8.4</v>
      </c>
      <c r="BV55" s="23"/>
      <c r="BW55" s="24"/>
      <c r="BY55" s="621">
        <v>47</v>
      </c>
      <c r="BZ55" s="622">
        <v>9.98</v>
      </c>
      <c r="CA55" s="623"/>
      <c r="CB55" s="615">
        <v>47</v>
      </c>
      <c r="CC55" s="624">
        <v>2.44</v>
      </c>
      <c r="CD55" s="23"/>
      <c r="CE55" s="24"/>
    </row>
    <row r="56" spans="5:83" ht="12" customHeight="1">
      <c r="E56" s="621">
        <v>48</v>
      </c>
      <c r="F56" s="622"/>
      <c r="G56" s="623"/>
      <c r="H56" s="615">
        <v>48</v>
      </c>
      <c r="I56" s="624"/>
      <c r="J56" s="23"/>
      <c r="K56" s="24"/>
      <c r="L56" s="30"/>
      <c r="BI56" s="621">
        <v>48</v>
      </c>
      <c r="BJ56" s="622"/>
      <c r="BK56" s="623"/>
      <c r="BL56" s="615">
        <v>48</v>
      </c>
      <c r="BM56" s="624"/>
      <c r="BN56" s="23"/>
      <c r="BO56" s="24"/>
      <c r="BQ56" s="621">
        <v>48</v>
      </c>
      <c r="BR56" s="622">
        <v>5.16</v>
      </c>
      <c r="BS56" s="623"/>
      <c r="BT56" s="615">
        <v>48</v>
      </c>
      <c r="BU56" s="624">
        <v>7.75</v>
      </c>
      <c r="BV56" s="23"/>
      <c r="BW56" s="24"/>
      <c r="BY56" s="621">
        <v>48</v>
      </c>
      <c r="BZ56" s="622">
        <v>1.1100000000000001</v>
      </c>
      <c r="CA56" s="623"/>
      <c r="CB56" s="615">
        <v>48</v>
      </c>
      <c r="CC56" s="624">
        <v>9.86</v>
      </c>
      <c r="CD56" s="23"/>
      <c r="CE56" s="24"/>
    </row>
    <row r="57" spans="5:83" ht="12" customHeight="1">
      <c r="E57" s="621">
        <v>49</v>
      </c>
      <c r="F57" s="622"/>
      <c r="G57" s="623"/>
      <c r="H57" s="615">
        <v>49</v>
      </c>
      <c r="I57" s="624"/>
      <c r="J57" s="23"/>
      <c r="K57" s="24"/>
      <c r="BI57" s="621">
        <v>49</v>
      </c>
      <c r="BJ57" s="622"/>
      <c r="BK57" s="623"/>
      <c r="BL57" s="615">
        <v>49</v>
      </c>
      <c r="BM57" s="624"/>
      <c r="BN57" s="23"/>
      <c r="BO57" s="24"/>
      <c r="BQ57" s="621">
        <v>49</v>
      </c>
      <c r="BR57" s="622"/>
      <c r="BS57" s="623"/>
      <c r="BT57" s="615">
        <v>49</v>
      </c>
      <c r="BU57" s="624">
        <v>8.7899999999999991</v>
      </c>
      <c r="BV57" s="23"/>
      <c r="BW57" s="24"/>
      <c r="BY57" s="621">
        <v>49</v>
      </c>
      <c r="BZ57" s="622">
        <v>1.75</v>
      </c>
      <c r="CA57" s="623"/>
      <c r="CB57" s="615">
        <v>49</v>
      </c>
      <c r="CC57" s="624">
        <v>22.53</v>
      </c>
      <c r="CD57" s="23"/>
      <c r="CE57" s="24"/>
    </row>
    <row r="58" spans="5:83" ht="12" customHeight="1">
      <c r="E58" s="621">
        <v>50</v>
      </c>
      <c r="F58" s="622"/>
      <c r="G58" s="623"/>
      <c r="H58" s="615">
        <v>50</v>
      </c>
      <c r="I58" s="624"/>
      <c r="J58" s="23"/>
      <c r="K58" s="24"/>
      <c r="L58" s="30"/>
      <c r="BI58" s="621">
        <v>50</v>
      </c>
      <c r="BJ58" s="622"/>
      <c r="BK58" s="623"/>
      <c r="BL58" s="615">
        <v>50</v>
      </c>
      <c r="BM58" s="624"/>
      <c r="BN58" s="23"/>
      <c r="BO58" s="24"/>
      <c r="BQ58" s="621">
        <v>50</v>
      </c>
      <c r="BR58" s="622"/>
      <c r="BS58" s="623"/>
      <c r="BT58" s="615">
        <v>50</v>
      </c>
      <c r="BU58" s="624">
        <v>9.77</v>
      </c>
      <c r="BV58" s="23"/>
      <c r="BW58" s="24"/>
      <c r="BY58" s="621">
        <v>50</v>
      </c>
      <c r="BZ58" s="622">
        <v>6.23</v>
      </c>
      <c r="CA58" s="623"/>
      <c r="CB58" s="615">
        <v>50</v>
      </c>
      <c r="CC58" s="624">
        <v>13.2</v>
      </c>
      <c r="CD58" s="23"/>
      <c r="CE58" s="24"/>
    </row>
    <row r="59" spans="5:83" ht="12" customHeight="1">
      <c r="E59" s="621">
        <v>51</v>
      </c>
      <c r="F59" s="622"/>
      <c r="G59" s="623"/>
      <c r="H59" s="615">
        <v>51</v>
      </c>
      <c r="I59" s="624"/>
      <c r="J59" s="23"/>
      <c r="K59" s="24"/>
      <c r="BI59" s="621">
        <v>51</v>
      </c>
      <c r="BJ59" s="622"/>
      <c r="BK59" s="623"/>
      <c r="BL59" s="615">
        <v>51</v>
      </c>
      <c r="BM59" s="624"/>
      <c r="BN59" s="23"/>
      <c r="BO59" s="24"/>
      <c r="BQ59" s="621">
        <v>51</v>
      </c>
      <c r="BR59" s="622"/>
      <c r="BS59" s="623"/>
      <c r="BT59" s="615">
        <v>51</v>
      </c>
      <c r="BU59" s="624">
        <v>10.220000000000001</v>
      </c>
      <c r="BV59" s="23"/>
      <c r="BW59" s="24"/>
      <c r="BY59" s="621">
        <v>51</v>
      </c>
      <c r="BZ59" s="622">
        <v>8.7799999999999994</v>
      </c>
      <c r="CA59" s="623"/>
      <c r="CB59" s="615">
        <v>51</v>
      </c>
      <c r="CC59" s="624">
        <v>11.89</v>
      </c>
      <c r="CD59" s="23"/>
      <c r="CE59" s="24"/>
    </row>
    <row r="60" spans="5:83" ht="12" customHeight="1">
      <c r="E60" s="621">
        <v>52</v>
      </c>
      <c r="F60" s="622"/>
      <c r="G60" s="623"/>
      <c r="H60" s="615">
        <v>52</v>
      </c>
      <c r="I60" s="624"/>
      <c r="J60" s="23"/>
      <c r="K60" s="24"/>
      <c r="L60" s="30"/>
      <c r="BI60" s="621">
        <v>52</v>
      </c>
      <c r="BJ60" s="622"/>
      <c r="BK60" s="623"/>
      <c r="BL60" s="615">
        <v>52</v>
      </c>
      <c r="BM60" s="624"/>
      <c r="BN60" s="23"/>
      <c r="BO60" s="24"/>
      <c r="BQ60" s="621">
        <v>52</v>
      </c>
      <c r="BR60" s="622"/>
      <c r="BS60" s="623"/>
      <c r="BT60" s="615">
        <v>52</v>
      </c>
      <c r="BU60" s="624">
        <v>8.2799999999999994</v>
      </c>
      <c r="BV60" s="23"/>
      <c r="BW60" s="24"/>
      <c r="BY60" s="621">
        <v>52</v>
      </c>
      <c r="BZ60" s="622">
        <v>4.82</v>
      </c>
      <c r="CA60" s="623"/>
      <c r="CB60" s="615">
        <v>52</v>
      </c>
      <c r="CC60" s="624">
        <v>7.47</v>
      </c>
      <c r="CD60" s="23"/>
      <c r="CE60" s="24"/>
    </row>
    <row r="61" spans="5:83" ht="12" customHeight="1">
      <c r="E61" s="621">
        <v>53</v>
      </c>
      <c r="F61" s="622"/>
      <c r="G61" s="623"/>
      <c r="H61" s="615">
        <v>53</v>
      </c>
      <c r="I61" s="624"/>
      <c r="J61" s="23"/>
      <c r="K61" s="24"/>
      <c r="BI61" s="621">
        <v>53</v>
      </c>
      <c r="BJ61" s="622"/>
      <c r="BK61" s="623"/>
      <c r="BL61" s="615">
        <v>53</v>
      </c>
      <c r="BM61" s="624"/>
      <c r="BN61" s="23"/>
      <c r="BO61" s="24"/>
      <c r="BQ61" s="621">
        <v>53</v>
      </c>
      <c r="BR61" s="622"/>
      <c r="BS61" s="623"/>
      <c r="BT61" s="615">
        <v>53</v>
      </c>
      <c r="BU61" s="624">
        <v>21.43</v>
      </c>
      <c r="BV61" s="23"/>
      <c r="BW61" s="24"/>
      <c r="BY61" s="621">
        <v>53</v>
      </c>
      <c r="BZ61" s="622">
        <v>2.15</v>
      </c>
      <c r="CA61" s="623"/>
      <c r="CB61" s="615">
        <v>53</v>
      </c>
      <c r="CC61" s="624">
        <v>14.16</v>
      </c>
      <c r="CD61" s="23"/>
      <c r="CE61" s="24"/>
    </row>
    <row r="62" spans="5:83" ht="12" customHeight="1">
      <c r="E62" s="621">
        <v>54</v>
      </c>
      <c r="F62" s="622"/>
      <c r="G62" s="623"/>
      <c r="H62" s="615">
        <v>54</v>
      </c>
      <c r="I62" s="624"/>
      <c r="J62" s="23"/>
      <c r="K62" s="24"/>
      <c r="L62" s="30"/>
      <c r="BI62" s="621">
        <v>54</v>
      </c>
      <c r="BJ62" s="622"/>
      <c r="BK62" s="623"/>
      <c r="BL62" s="615">
        <v>54</v>
      </c>
      <c r="BM62" s="624"/>
      <c r="BN62" s="23"/>
      <c r="BO62" s="24"/>
      <c r="BQ62" s="621">
        <v>54</v>
      </c>
      <c r="BR62" s="622"/>
      <c r="BS62" s="623"/>
      <c r="BT62" s="615">
        <v>54</v>
      </c>
      <c r="BU62" s="624">
        <v>6.25</v>
      </c>
      <c r="BV62" s="23"/>
      <c r="BW62" s="24"/>
      <c r="BY62" s="621">
        <v>54</v>
      </c>
      <c r="BZ62" s="622">
        <v>2.82</v>
      </c>
      <c r="CA62" s="623"/>
      <c r="CB62" s="615">
        <v>54</v>
      </c>
      <c r="CC62" s="624">
        <v>7.11</v>
      </c>
      <c r="CD62" s="23"/>
      <c r="CE62" s="24"/>
    </row>
    <row r="63" spans="5:83" ht="12" customHeight="1">
      <c r="E63" s="621">
        <v>55</v>
      </c>
      <c r="F63" s="622"/>
      <c r="G63" s="623"/>
      <c r="H63" s="615">
        <v>55</v>
      </c>
      <c r="I63" s="624"/>
      <c r="J63" s="23"/>
      <c r="K63" s="24"/>
      <c r="BI63" s="621">
        <v>55</v>
      </c>
      <c r="BJ63" s="622"/>
      <c r="BK63" s="623"/>
      <c r="BL63" s="615">
        <v>55</v>
      </c>
      <c r="BM63" s="624"/>
      <c r="BN63" s="23"/>
      <c r="BO63" s="24"/>
      <c r="BQ63" s="621">
        <v>55</v>
      </c>
      <c r="BR63" s="622"/>
      <c r="BS63" s="623"/>
      <c r="BT63" s="615">
        <v>55</v>
      </c>
      <c r="BU63" s="624">
        <v>10.61</v>
      </c>
      <c r="BV63" s="23"/>
      <c r="BW63" s="24"/>
      <c r="BY63" s="621">
        <v>55</v>
      </c>
      <c r="BZ63" s="622"/>
      <c r="CA63" s="623"/>
      <c r="CB63" s="615">
        <v>55</v>
      </c>
      <c r="CC63" s="624">
        <v>5.52</v>
      </c>
      <c r="CD63" s="23"/>
      <c r="CE63" s="24"/>
    </row>
    <row r="64" spans="5:83" ht="12" customHeight="1">
      <c r="E64" s="621">
        <v>56</v>
      </c>
      <c r="F64" s="622"/>
      <c r="G64" s="623"/>
      <c r="H64" s="615">
        <v>56</v>
      </c>
      <c r="I64" s="624"/>
      <c r="J64" s="23"/>
      <c r="K64" s="24"/>
      <c r="L64" s="30"/>
      <c r="BI64" s="621">
        <v>56</v>
      </c>
      <c r="BJ64" s="622"/>
      <c r="BK64" s="623"/>
      <c r="BL64" s="615">
        <v>56</v>
      </c>
      <c r="BM64" s="624"/>
      <c r="BN64" s="23"/>
      <c r="BO64" s="24"/>
      <c r="BQ64" s="621">
        <v>56</v>
      </c>
      <c r="BR64" s="622"/>
      <c r="BS64" s="623"/>
      <c r="BT64" s="615">
        <v>56</v>
      </c>
      <c r="BU64" s="624">
        <v>3.41</v>
      </c>
      <c r="BV64" s="23"/>
      <c r="BW64" s="24"/>
      <c r="BY64" s="621">
        <v>56</v>
      </c>
      <c r="BZ64" s="622"/>
      <c r="CA64" s="623"/>
      <c r="CB64" s="615">
        <v>56</v>
      </c>
      <c r="CC64" s="624"/>
      <c r="CD64" s="23"/>
      <c r="CE64" s="24"/>
    </row>
    <row r="65" spans="5:83" ht="12" customHeight="1">
      <c r="E65" s="621">
        <v>57</v>
      </c>
      <c r="F65" s="622"/>
      <c r="G65" s="623"/>
      <c r="H65" s="615">
        <v>57</v>
      </c>
      <c r="I65" s="624"/>
      <c r="J65" s="23"/>
      <c r="K65" s="24"/>
      <c r="BI65" s="621">
        <v>57</v>
      </c>
      <c r="BJ65" s="622"/>
      <c r="BK65" s="623"/>
      <c r="BL65" s="615">
        <v>57</v>
      </c>
      <c r="BM65" s="624"/>
      <c r="BN65" s="23"/>
      <c r="BO65" s="24"/>
      <c r="BQ65" s="621">
        <v>57</v>
      </c>
      <c r="BR65" s="622"/>
      <c r="BS65" s="623"/>
      <c r="BT65" s="615">
        <v>57</v>
      </c>
      <c r="BU65" s="624">
        <v>15.29</v>
      </c>
      <c r="BV65" s="23"/>
      <c r="BW65" s="24"/>
      <c r="BY65" s="621">
        <v>57</v>
      </c>
      <c r="BZ65" s="622"/>
      <c r="CA65" s="623"/>
      <c r="CB65" s="615">
        <v>57</v>
      </c>
      <c r="CC65" s="624"/>
      <c r="CD65" s="23"/>
      <c r="CE65" s="24"/>
    </row>
    <row r="66" spans="5:83" ht="12" customHeight="1">
      <c r="E66" s="621">
        <v>58</v>
      </c>
      <c r="F66" s="622"/>
      <c r="G66" s="623"/>
      <c r="H66" s="615">
        <v>58</v>
      </c>
      <c r="I66" s="624"/>
      <c r="J66" s="23"/>
      <c r="K66" s="24"/>
      <c r="L66" s="30"/>
      <c r="BI66" s="621">
        <v>58</v>
      </c>
      <c r="BJ66" s="622"/>
      <c r="BK66" s="623"/>
      <c r="BL66" s="615">
        <v>58</v>
      </c>
      <c r="BM66" s="624"/>
      <c r="BN66" s="23"/>
      <c r="BO66" s="24"/>
      <c r="BQ66" s="621">
        <v>58</v>
      </c>
      <c r="BR66" s="622"/>
      <c r="BS66" s="623"/>
      <c r="BT66" s="615">
        <v>58</v>
      </c>
      <c r="BU66" s="624">
        <v>10.28</v>
      </c>
      <c r="BV66" s="23"/>
      <c r="BW66" s="24"/>
      <c r="BY66" s="621">
        <v>58</v>
      </c>
      <c r="BZ66" s="622"/>
      <c r="CA66" s="623"/>
      <c r="CB66" s="615">
        <v>58</v>
      </c>
      <c r="CC66" s="624"/>
      <c r="CD66" s="23"/>
      <c r="CE66" s="24"/>
    </row>
    <row r="67" spans="5:83" ht="12" customHeight="1">
      <c r="E67" s="621">
        <v>59</v>
      </c>
      <c r="F67" s="622"/>
      <c r="G67" s="623"/>
      <c r="H67" s="615">
        <v>59</v>
      </c>
      <c r="I67" s="624"/>
      <c r="J67" s="23"/>
      <c r="K67" s="24"/>
      <c r="BI67" s="621">
        <v>59</v>
      </c>
      <c r="BJ67" s="622"/>
      <c r="BK67" s="623"/>
      <c r="BL67" s="615">
        <v>59</v>
      </c>
      <c r="BM67" s="624"/>
      <c r="BN67" s="23"/>
      <c r="BO67" s="24"/>
      <c r="BQ67" s="621">
        <v>59</v>
      </c>
      <c r="BR67" s="622"/>
      <c r="BS67" s="623"/>
      <c r="BT67" s="615">
        <v>59</v>
      </c>
      <c r="BU67" s="624">
        <v>18.899999999999999</v>
      </c>
      <c r="BV67" s="23"/>
      <c r="BW67" s="24"/>
      <c r="BY67" s="621">
        <v>59</v>
      </c>
      <c r="BZ67" s="622"/>
      <c r="CA67" s="623"/>
      <c r="CB67" s="615">
        <v>59</v>
      </c>
      <c r="CC67" s="624"/>
      <c r="CD67" s="23"/>
      <c r="CE67" s="24"/>
    </row>
    <row r="68" spans="5:83" ht="12" customHeight="1">
      <c r="E68" s="621">
        <v>60</v>
      </c>
      <c r="F68" s="622"/>
      <c r="G68" s="623"/>
      <c r="H68" s="615">
        <v>60</v>
      </c>
      <c r="I68" s="624"/>
      <c r="J68" s="23"/>
      <c r="K68" s="24"/>
      <c r="L68" s="30"/>
      <c r="BI68" s="621">
        <v>60</v>
      </c>
      <c r="BJ68" s="622"/>
      <c r="BK68" s="623"/>
      <c r="BL68" s="615">
        <v>60</v>
      </c>
      <c r="BM68" s="624"/>
      <c r="BN68" s="23"/>
      <c r="BO68" s="24"/>
      <c r="BQ68" s="621">
        <v>60</v>
      </c>
      <c r="BR68" s="622"/>
      <c r="BS68" s="623"/>
      <c r="BT68" s="615">
        <v>60</v>
      </c>
      <c r="BU68" s="624">
        <v>17.690000000000001</v>
      </c>
      <c r="BV68" s="23"/>
      <c r="BW68" s="24"/>
      <c r="BY68" s="621">
        <v>60</v>
      </c>
      <c r="BZ68" s="622"/>
      <c r="CA68" s="623"/>
      <c r="CB68" s="615">
        <v>60</v>
      </c>
      <c r="CC68" s="624"/>
      <c r="CD68" s="23"/>
      <c r="CE68" s="24"/>
    </row>
    <row r="69" spans="5:83" ht="12" customHeight="1">
      <c r="E69" s="621">
        <v>61</v>
      </c>
      <c r="F69" s="622"/>
      <c r="G69" s="623"/>
      <c r="H69" s="615">
        <v>61</v>
      </c>
      <c r="I69" s="624"/>
      <c r="J69" s="23"/>
      <c r="K69" s="24"/>
      <c r="BI69" s="621">
        <v>61</v>
      </c>
      <c r="BJ69" s="622"/>
      <c r="BK69" s="623"/>
      <c r="BL69" s="615">
        <v>61</v>
      </c>
      <c r="BM69" s="624"/>
      <c r="BN69" s="23"/>
      <c r="BO69" s="24"/>
      <c r="BQ69" s="621">
        <v>61</v>
      </c>
      <c r="BR69" s="622"/>
      <c r="BS69" s="623"/>
      <c r="BT69" s="615">
        <v>61</v>
      </c>
      <c r="BU69" s="624">
        <v>9.2799999999999994</v>
      </c>
      <c r="BV69" s="23"/>
      <c r="BW69" s="24"/>
      <c r="BY69" s="621">
        <v>61</v>
      </c>
      <c r="BZ69" s="622"/>
      <c r="CA69" s="623"/>
      <c r="CB69" s="615">
        <v>61</v>
      </c>
      <c r="CC69" s="624"/>
      <c r="CD69" s="23"/>
      <c r="CE69" s="24"/>
    </row>
    <row r="70" spans="5:83" ht="12" customHeight="1">
      <c r="E70" s="621">
        <v>62</v>
      </c>
      <c r="F70" s="622"/>
      <c r="G70" s="623"/>
      <c r="H70" s="615">
        <v>62</v>
      </c>
      <c r="I70" s="624"/>
      <c r="J70" s="23"/>
      <c r="K70" s="24"/>
      <c r="L70" s="30"/>
      <c r="BI70" s="621">
        <v>62</v>
      </c>
      <c r="BJ70" s="622"/>
      <c r="BK70" s="623"/>
      <c r="BL70" s="615">
        <v>62</v>
      </c>
      <c r="BM70" s="624"/>
      <c r="BN70" s="23"/>
      <c r="BO70" s="24"/>
      <c r="BQ70" s="621">
        <v>62</v>
      </c>
      <c r="BR70" s="622"/>
      <c r="BS70" s="623"/>
      <c r="BT70" s="615">
        <v>62</v>
      </c>
      <c r="BU70" s="624">
        <v>27.03</v>
      </c>
      <c r="BV70" s="23"/>
      <c r="BW70" s="24"/>
      <c r="BY70" s="621">
        <v>62</v>
      </c>
      <c r="BZ70" s="622"/>
      <c r="CA70" s="623"/>
      <c r="CB70" s="615">
        <v>62</v>
      </c>
      <c r="CC70" s="624"/>
      <c r="CD70" s="23"/>
      <c r="CE70" s="24"/>
    </row>
    <row r="71" spans="5:83" ht="12" customHeight="1">
      <c r="E71" s="621">
        <v>63</v>
      </c>
      <c r="F71" s="622"/>
      <c r="G71" s="623"/>
      <c r="H71" s="615">
        <v>63</v>
      </c>
      <c r="I71" s="624"/>
      <c r="J71" s="23"/>
      <c r="K71" s="24"/>
      <c r="BI71" s="621">
        <v>63</v>
      </c>
      <c r="BJ71" s="622"/>
      <c r="BK71" s="623"/>
      <c r="BL71" s="615">
        <v>63</v>
      </c>
      <c r="BM71" s="624"/>
      <c r="BN71" s="23"/>
      <c r="BO71" s="24"/>
      <c r="BQ71" s="621">
        <v>63</v>
      </c>
      <c r="BR71" s="622"/>
      <c r="BS71" s="623"/>
      <c r="BT71" s="615">
        <v>63</v>
      </c>
      <c r="BU71" s="624">
        <v>7.69</v>
      </c>
      <c r="BV71" s="23"/>
      <c r="BW71" s="24"/>
      <c r="BY71" s="621">
        <v>63</v>
      </c>
      <c r="BZ71" s="622"/>
      <c r="CA71" s="623"/>
      <c r="CB71" s="615">
        <v>63</v>
      </c>
      <c r="CC71" s="624"/>
      <c r="CD71" s="23"/>
      <c r="CE71" s="24"/>
    </row>
    <row r="72" spans="5:83" ht="12" customHeight="1">
      <c r="E72" s="621">
        <v>64</v>
      </c>
      <c r="F72" s="622"/>
      <c r="G72" s="623"/>
      <c r="H72" s="615">
        <v>64</v>
      </c>
      <c r="I72" s="624"/>
      <c r="J72" s="23"/>
      <c r="K72" s="24"/>
      <c r="L72" s="30"/>
      <c r="BI72" s="621">
        <v>64</v>
      </c>
      <c r="BJ72" s="622"/>
      <c r="BK72" s="623"/>
      <c r="BL72" s="615">
        <v>64</v>
      </c>
      <c r="BM72" s="624"/>
      <c r="BN72" s="23"/>
      <c r="BO72" s="24"/>
      <c r="BQ72" s="621">
        <v>64</v>
      </c>
      <c r="BR72" s="622"/>
      <c r="BS72" s="623"/>
      <c r="BT72" s="615">
        <v>64</v>
      </c>
      <c r="BU72" s="624">
        <v>8.2899999999999991</v>
      </c>
      <c r="BV72" s="23"/>
      <c r="BW72" s="24"/>
      <c r="BY72" s="621">
        <v>64</v>
      </c>
      <c r="BZ72" s="622"/>
      <c r="CA72" s="623"/>
      <c r="CB72" s="615">
        <v>64</v>
      </c>
      <c r="CC72" s="624"/>
      <c r="CD72" s="23"/>
      <c r="CE72" s="24"/>
    </row>
    <row r="73" spans="5:83" ht="12" customHeight="1">
      <c r="E73" s="621">
        <v>65</v>
      </c>
      <c r="F73" s="624"/>
      <c r="G73" s="623"/>
      <c r="H73" s="615">
        <v>65</v>
      </c>
      <c r="I73" s="624"/>
      <c r="J73" s="23"/>
      <c r="K73" s="24"/>
      <c r="BI73" s="621">
        <v>65</v>
      </c>
      <c r="BJ73" s="624"/>
      <c r="BK73" s="623"/>
      <c r="BL73" s="615">
        <v>65</v>
      </c>
      <c r="BM73" s="624"/>
      <c r="BN73" s="23"/>
      <c r="BO73" s="24"/>
      <c r="BQ73" s="621">
        <v>65</v>
      </c>
      <c r="BR73" s="624"/>
      <c r="BS73" s="623"/>
      <c r="BT73" s="615">
        <v>65</v>
      </c>
      <c r="BU73" s="624">
        <v>15.85</v>
      </c>
      <c r="BV73" s="23"/>
      <c r="BW73" s="24"/>
      <c r="BY73" s="621">
        <v>65</v>
      </c>
      <c r="BZ73" s="624"/>
      <c r="CA73" s="623"/>
      <c r="CB73" s="615">
        <v>65</v>
      </c>
      <c r="CC73" s="624"/>
      <c r="CD73" s="23"/>
      <c r="CE73" s="24"/>
    </row>
    <row r="74" spans="5:83" ht="12" customHeight="1">
      <c r="E74" s="621">
        <v>66</v>
      </c>
      <c r="F74" s="624"/>
      <c r="G74" s="623"/>
      <c r="H74" s="615">
        <v>66</v>
      </c>
      <c r="I74" s="624"/>
      <c r="J74" s="23"/>
      <c r="K74" s="24"/>
      <c r="L74" s="30"/>
      <c r="BI74" s="621">
        <v>66</v>
      </c>
      <c r="BJ74" s="624"/>
      <c r="BK74" s="623"/>
      <c r="BL74" s="615">
        <v>66</v>
      </c>
      <c r="BM74" s="624"/>
      <c r="BN74" s="23"/>
      <c r="BO74" s="24"/>
      <c r="BQ74" s="621">
        <v>66</v>
      </c>
      <c r="BR74" s="624"/>
      <c r="BS74" s="623"/>
      <c r="BT74" s="615">
        <v>66</v>
      </c>
      <c r="BU74" s="624">
        <v>22.54</v>
      </c>
      <c r="BV74" s="23"/>
      <c r="BW74" s="24"/>
      <c r="BY74" s="621">
        <v>66</v>
      </c>
      <c r="BZ74" s="624"/>
      <c r="CA74" s="623"/>
      <c r="CB74" s="615">
        <v>66</v>
      </c>
      <c r="CC74" s="624"/>
      <c r="CD74" s="23"/>
      <c r="CE74" s="24"/>
    </row>
    <row r="75" spans="5:83" ht="12" customHeight="1">
      <c r="E75" s="621">
        <v>67</v>
      </c>
      <c r="F75" s="624"/>
      <c r="G75" s="623"/>
      <c r="H75" s="615">
        <v>67</v>
      </c>
      <c r="I75" s="624"/>
      <c r="J75" s="23"/>
      <c r="K75" s="24"/>
      <c r="AK75" s="185" t="s">
        <v>328</v>
      </c>
      <c r="AL75" s="211" t="b">
        <v>1</v>
      </c>
      <c r="BI75" s="621">
        <v>67</v>
      </c>
      <c r="BJ75" s="624"/>
      <c r="BK75" s="623"/>
      <c r="BL75" s="615">
        <v>67</v>
      </c>
      <c r="BM75" s="624"/>
      <c r="BN75" s="23"/>
      <c r="BO75" s="24"/>
      <c r="BQ75" s="621">
        <v>67</v>
      </c>
      <c r="BR75" s="624"/>
      <c r="BS75" s="623"/>
      <c r="BT75" s="615">
        <v>67</v>
      </c>
      <c r="BU75" s="624">
        <v>10.77</v>
      </c>
      <c r="BV75" s="23"/>
      <c r="BW75" s="24"/>
      <c r="BY75" s="621">
        <v>67</v>
      </c>
      <c r="BZ75" s="624"/>
      <c r="CA75" s="623"/>
      <c r="CB75" s="615">
        <v>67</v>
      </c>
      <c r="CC75" s="624"/>
      <c r="CD75" s="23"/>
      <c r="CE75" s="24"/>
    </row>
    <row r="76" spans="5:83" ht="12" customHeight="1">
      <c r="E76" s="621">
        <v>68</v>
      </c>
      <c r="F76" s="624"/>
      <c r="G76" s="623"/>
      <c r="H76" s="615">
        <v>68</v>
      </c>
      <c r="I76" s="624"/>
      <c r="J76" s="23"/>
      <c r="K76" s="24"/>
      <c r="L76" s="30"/>
      <c r="M76" s="30"/>
      <c r="N76" s="185" t="s">
        <v>329</v>
      </c>
      <c r="O76" s="16" t="s">
        <v>330</v>
      </c>
      <c r="Q76" s="16" t="s">
        <v>331</v>
      </c>
      <c r="W76" s="185" t="s">
        <v>332</v>
      </c>
      <c r="X76" s="16">
        <f>EXP(GAMMALN(S32/2))/(SQRT(S32/2)*EXP(GAMMALN(S32/2-0.5)))</f>
        <v>0.98803984414825563</v>
      </c>
      <c r="AI76" s="16" t="s">
        <v>333</v>
      </c>
      <c r="AJ76" s="16" t="s">
        <v>334</v>
      </c>
      <c r="AK76" s="16" t="s">
        <v>335</v>
      </c>
      <c r="AL76" s="16" t="s">
        <v>336</v>
      </c>
      <c r="AM76" s="16" t="s">
        <v>337</v>
      </c>
      <c r="AN76" s="16" t="s">
        <v>338</v>
      </c>
      <c r="AO76" s="16" t="s">
        <v>339</v>
      </c>
      <c r="AP76" s="16" t="s">
        <v>340</v>
      </c>
      <c r="AQ76" s="16" t="s">
        <v>341</v>
      </c>
      <c r="AR76" s="16" t="s">
        <v>342</v>
      </c>
      <c r="BI76" s="621">
        <v>68</v>
      </c>
      <c r="BJ76" s="624"/>
      <c r="BK76" s="623"/>
      <c r="BL76" s="615">
        <v>68</v>
      </c>
      <c r="BM76" s="624"/>
      <c r="BN76" s="23"/>
      <c r="BO76" s="24"/>
      <c r="BQ76" s="621">
        <v>68</v>
      </c>
      <c r="BR76" s="624"/>
      <c r="BS76" s="623"/>
      <c r="BT76" s="615">
        <v>68</v>
      </c>
      <c r="BU76" s="624">
        <v>0.56000000000000005</v>
      </c>
      <c r="BV76" s="23"/>
      <c r="BW76" s="24"/>
      <c r="BY76" s="621">
        <v>68</v>
      </c>
      <c r="BZ76" s="624"/>
      <c r="CA76" s="623"/>
      <c r="CB76" s="615">
        <v>68</v>
      </c>
      <c r="CC76" s="624"/>
      <c r="CD76" s="23"/>
      <c r="CE76" s="24"/>
    </row>
    <row r="77" spans="5:83" ht="12" customHeight="1">
      <c r="E77" s="621">
        <v>69</v>
      </c>
      <c r="F77" s="624"/>
      <c r="G77" s="623"/>
      <c r="H77" s="615">
        <v>69</v>
      </c>
      <c r="I77" s="624"/>
      <c r="J77" s="23"/>
      <c r="K77" s="24"/>
      <c r="N77" s="16">
        <f t="shared" ref="N77:N108" si="5">0.85-IF($AL$75,AM77,0)</f>
        <v>0.75</v>
      </c>
      <c r="O77" s="16">
        <f t="shared" ref="O77:O108" si="6">IF(AJ77="",NA(),IF($AL$75,AJ77,AI77))</f>
        <v>12.266800000000002</v>
      </c>
      <c r="P77" s="16">
        <f t="shared" ref="P77:P108" si="7">2.15+IF($AL$75,AR77,0)</f>
        <v>2.15</v>
      </c>
      <c r="Q77" s="16">
        <f t="shared" ref="Q77:Q108" si="8">IF(AO77="",NA(),IF($AL$75,AO77,AN77))</f>
        <v>13.682200000000002</v>
      </c>
      <c r="W77" s="185" t="s">
        <v>409</v>
      </c>
      <c r="X77" s="211" t="b">
        <v>0</v>
      </c>
      <c r="Y77" s="185" t="s">
        <v>1058</v>
      </c>
      <c r="Z77" s="211" t="b">
        <v>1</v>
      </c>
      <c r="AC77" s="16" t="s">
        <v>343</v>
      </c>
      <c r="AF77" s="16" t="s">
        <v>344</v>
      </c>
      <c r="AI77" s="16">
        <f t="shared" ref="AI77:AI140" si="9">IF(AND($X$80,NOT(F9=""),$X$78),F9,NA())</f>
        <v>12.1</v>
      </c>
      <c r="AJ77" s="16">
        <f t="shared" ref="AJ77:AJ140" si="10">IF(AK77="","",IF($AU$79=0,AI77,AK77*$AU$79))</f>
        <v>12.266800000000002</v>
      </c>
      <c r="AK77" s="16">
        <f t="shared" ref="AK77:AK140" si="11">IF(ISNA(AI77),"",IF($AU$79=0,AI77,ROUND(AI77/$AU$79,0)))</f>
        <v>26</v>
      </c>
      <c r="AL77" s="16">
        <f>IF(AK77="",NA(),COUNTIF(AK77:$AK$176,AK77))</f>
        <v>3</v>
      </c>
      <c r="AM77" s="16">
        <f t="shared" ref="AM77:AM140" si="12">(AL77-1)*$AU$82</f>
        <v>0.1</v>
      </c>
      <c r="AN77" s="16">
        <f t="shared" ref="AN77:AN140" si="13">IF(AND($X$80,NOT(I9=""),$X$79),I9,NA())</f>
        <v>13.7</v>
      </c>
      <c r="AO77" s="16">
        <f t="shared" ref="AO77:AO140" si="14">IF(AP77="","",IF($AU$79=0,AN77,AP77*$AU$79))</f>
        <v>13.682200000000002</v>
      </c>
      <c r="AP77" s="16">
        <f t="shared" ref="AP77:AP140" si="15">IF(ISNA(AN77),"",IF($AU$79=0,AN77,ROUND(AN77/$AU$79,0)))</f>
        <v>29</v>
      </c>
      <c r="AQ77" s="16">
        <f>IF(AP77="",NA(),COUNTIF(AP77:$AP$176,AP77))</f>
        <v>1</v>
      </c>
      <c r="AR77" s="16">
        <f t="shared" ref="AR77:AR140" si="16">(AQ77-1)*$AU$82</f>
        <v>0</v>
      </c>
      <c r="AV77" s="16" t="s">
        <v>345</v>
      </c>
      <c r="BI77" s="621">
        <v>69</v>
      </c>
      <c r="BJ77" s="624"/>
      <c r="BK77" s="623"/>
      <c r="BL77" s="615">
        <v>69</v>
      </c>
      <c r="BM77" s="624"/>
      <c r="BN77" s="23"/>
      <c r="BO77" s="24"/>
      <c r="BQ77" s="621">
        <v>69</v>
      </c>
      <c r="BR77" s="624"/>
      <c r="BS77" s="623"/>
      <c r="BT77" s="615">
        <v>69</v>
      </c>
      <c r="BU77" s="624">
        <v>9.82</v>
      </c>
      <c r="BV77" s="23"/>
      <c r="BW77" s="24"/>
      <c r="BY77" s="621">
        <v>69</v>
      </c>
      <c r="BZ77" s="624"/>
      <c r="CA77" s="623"/>
      <c r="CB77" s="615">
        <v>69</v>
      </c>
      <c r="CC77" s="624"/>
      <c r="CD77" s="23"/>
      <c r="CE77" s="24"/>
    </row>
    <row r="78" spans="5:83" ht="12" customHeight="1">
      <c r="E78" s="621">
        <v>70</v>
      </c>
      <c r="F78" s="624"/>
      <c r="G78" s="623"/>
      <c r="H78" s="615">
        <v>70</v>
      </c>
      <c r="I78" s="624"/>
      <c r="J78" s="23"/>
      <c r="K78" s="24"/>
      <c r="L78" s="30"/>
      <c r="M78" s="30"/>
      <c r="N78" s="16">
        <f t="shared" si="5"/>
        <v>0.85</v>
      </c>
      <c r="O78" s="16">
        <f t="shared" si="6"/>
        <v>6.6052000000000008</v>
      </c>
      <c r="P78" s="16">
        <f t="shared" si="7"/>
        <v>2.1999999999999997</v>
      </c>
      <c r="Q78" s="16">
        <f t="shared" si="8"/>
        <v>21.231000000000002</v>
      </c>
      <c r="W78" s="185" t="s">
        <v>346</v>
      </c>
      <c r="X78" s="136" t="b">
        <v>1</v>
      </c>
      <c r="Y78" s="185" t="s">
        <v>347</v>
      </c>
      <c r="Z78" s="211" t="b">
        <v>0</v>
      </c>
      <c r="AC78" s="185">
        <v>1</v>
      </c>
      <c r="AD78" s="16">
        <f>X90</f>
        <v>1</v>
      </c>
      <c r="AF78" s="16">
        <f>IF(AH84,1,NA())</f>
        <v>1</v>
      </c>
      <c r="AG78" s="16">
        <f>O16</f>
        <v>8.8117647058823518</v>
      </c>
      <c r="AI78" s="16">
        <f t="shared" si="9"/>
        <v>6.5</v>
      </c>
      <c r="AJ78" s="16">
        <f t="shared" si="10"/>
        <v>6.6052000000000008</v>
      </c>
      <c r="AK78" s="16">
        <f t="shared" si="11"/>
        <v>14</v>
      </c>
      <c r="AL78" s="16">
        <f>IF(AK78="",NA(),COUNTIF(AK78:$AK$176,AK78))</f>
        <v>1</v>
      </c>
      <c r="AM78" s="16">
        <f t="shared" si="12"/>
        <v>0</v>
      </c>
      <c r="AN78" s="16">
        <f t="shared" si="13"/>
        <v>21.1</v>
      </c>
      <c r="AO78" s="16">
        <f t="shared" si="14"/>
        <v>21.231000000000002</v>
      </c>
      <c r="AP78" s="16">
        <f t="shared" si="15"/>
        <v>45</v>
      </c>
      <c r="AQ78" s="16">
        <f>IF(AP78="",NA(),COUNTIF(AP78:$AP$176,AP78))</f>
        <v>2</v>
      </c>
      <c r="AR78" s="16">
        <f t="shared" si="16"/>
        <v>0.05</v>
      </c>
      <c r="AU78" s="16" t="s">
        <v>348</v>
      </c>
      <c r="AV78" s="16">
        <f>MAX(F9:F1008,I9:I1008)</f>
        <v>34.700000000000003</v>
      </c>
      <c r="BI78" s="621">
        <v>70</v>
      </c>
      <c r="BJ78" s="624"/>
      <c r="BK78" s="623"/>
      <c r="BL78" s="615">
        <v>70</v>
      </c>
      <c r="BM78" s="624"/>
      <c r="BN78" s="23"/>
      <c r="BO78" s="24"/>
      <c r="BQ78" s="621">
        <v>70</v>
      </c>
      <c r="BR78" s="624"/>
      <c r="BS78" s="623"/>
      <c r="BT78" s="615">
        <v>70</v>
      </c>
      <c r="BU78" s="624">
        <v>14.2</v>
      </c>
      <c r="BV78" s="23"/>
      <c r="BW78" s="24"/>
      <c r="BY78" s="621">
        <v>70</v>
      </c>
      <c r="BZ78" s="624"/>
      <c r="CA78" s="623"/>
      <c r="CB78" s="615">
        <v>70</v>
      </c>
      <c r="CC78" s="624"/>
      <c r="CD78" s="23"/>
      <c r="CE78" s="24"/>
    </row>
    <row r="79" spans="5:83" ht="12" customHeight="1">
      <c r="E79" s="621">
        <v>71</v>
      </c>
      <c r="F79" s="624"/>
      <c r="G79" s="623"/>
      <c r="H79" s="615">
        <v>71</v>
      </c>
      <c r="I79" s="624"/>
      <c r="J79" s="23"/>
      <c r="K79" s="24"/>
      <c r="N79" s="16">
        <f t="shared" si="5"/>
        <v>0.79999999999999993</v>
      </c>
      <c r="O79" s="16">
        <f t="shared" si="6"/>
        <v>8.0206000000000017</v>
      </c>
      <c r="P79" s="16">
        <f t="shared" si="7"/>
        <v>2.15</v>
      </c>
      <c r="Q79" s="16">
        <f t="shared" si="8"/>
        <v>15.097600000000002</v>
      </c>
      <c r="U79" s="185"/>
      <c r="W79" s="185" t="s">
        <v>349</v>
      </c>
      <c r="X79" s="136" t="b">
        <v>1</v>
      </c>
      <c r="Y79" s="185" t="s">
        <v>350</v>
      </c>
      <c r="Z79" s="211">
        <v>1</v>
      </c>
      <c r="AC79" s="185">
        <v>2</v>
      </c>
      <c r="AD79" s="16">
        <f>AD78</f>
        <v>1</v>
      </c>
      <c r="AF79" s="16">
        <f>IF(AH84,AF88,NA())</f>
        <v>3.1</v>
      </c>
      <c r="AG79" s="16">
        <f>AG78</f>
        <v>8.8117647058823518</v>
      </c>
      <c r="AI79" s="16">
        <f t="shared" si="9"/>
        <v>8.1</v>
      </c>
      <c r="AJ79" s="16">
        <f t="shared" si="10"/>
        <v>8.0206000000000017</v>
      </c>
      <c r="AK79" s="16">
        <f t="shared" si="11"/>
        <v>17</v>
      </c>
      <c r="AL79" s="16">
        <f>IF(AK79="",NA(),COUNTIF(AK79:$AK$176,AK79))</f>
        <v>2</v>
      </c>
      <c r="AM79" s="16">
        <f t="shared" si="12"/>
        <v>0.05</v>
      </c>
      <c r="AN79" s="16">
        <f t="shared" si="13"/>
        <v>15.2</v>
      </c>
      <c r="AO79" s="16">
        <f t="shared" si="14"/>
        <v>15.097600000000002</v>
      </c>
      <c r="AP79" s="16">
        <f t="shared" si="15"/>
        <v>32</v>
      </c>
      <c r="AQ79" s="16">
        <f>IF(AP79="",NA(),COUNTIF(AP79:$AP$176,AP79))</f>
        <v>1</v>
      </c>
      <c r="AR79" s="16">
        <f t="shared" si="16"/>
        <v>0</v>
      </c>
      <c r="AU79" s="16">
        <f>(AS11/5000)*ABS(AV78-AV80)</f>
        <v>0.47180000000000005</v>
      </c>
      <c r="AV79" s="16" t="s">
        <v>351</v>
      </c>
      <c r="BI79" s="621">
        <v>71</v>
      </c>
      <c r="BJ79" s="624"/>
      <c r="BK79" s="623"/>
      <c r="BL79" s="615">
        <v>71</v>
      </c>
      <c r="BM79" s="624"/>
      <c r="BN79" s="23"/>
      <c r="BO79" s="24"/>
      <c r="BQ79" s="621">
        <v>71</v>
      </c>
      <c r="BR79" s="624"/>
      <c r="BS79" s="623"/>
      <c r="BT79" s="615">
        <v>71</v>
      </c>
      <c r="BU79" s="624">
        <v>11.11</v>
      </c>
      <c r="BV79" s="23"/>
      <c r="BW79" s="24"/>
      <c r="BY79" s="621">
        <v>71</v>
      </c>
      <c r="BZ79" s="624"/>
      <c r="CA79" s="623"/>
      <c r="CB79" s="615">
        <v>71</v>
      </c>
      <c r="CC79" s="624"/>
      <c r="CD79" s="23"/>
      <c r="CE79" s="24"/>
    </row>
    <row r="80" spans="5:83" ht="12" customHeight="1">
      <c r="E80" s="621">
        <v>72</v>
      </c>
      <c r="F80" s="624"/>
      <c r="G80" s="623"/>
      <c r="H80" s="615">
        <v>72</v>
      </c>
      <c r="I80" s="624"/>
      <c r="J80" s="23"/>
      <c r="K80" s="24"/>
      <c r="L80" s="30"/>
      <c r="M80" s="30"/>
      <c r="N80" s="16">
        <f t="shared" si="5"/>
        <v>0.85</v>
      </c>
      <c r="O80" s="16">
        <f t="shared" si="6"/>
        <v>7.5488000000000008</v>
      </c>
      <c r="P80" s="16">
        <f t="shared" si="7"/>
        <v>2.15</v>
      </c>
      <c r="Q80" s="16">
        <f t="shared" si="8"/>
        <v>30.195200000000003</v>
      </c>
      <c r="W80" s="185" t="s">
        <v>352</v>
      </c>
      <c r="X80" s="211" t="b">
        <v>1</v>
      </c>
      <c r="Y80" s="185" t="s">
        <v>353</v>
      </c>
      <c r="Z80" s="211">
        <v>1</v>
      </c>
      <c r="AC80" s="16">
        <v>3</v>
      </c>
      <c r="AD80" s="16">
        <f>AD79</f>
        <v>1</v>
      </c>
      <c r="AF80" s="16">
        <f>IF(AH84,2,NA())</f>
        <v>2</v>
      </c>
      <c r="AG80" s="16">
        <f>Q16</f>
        <v>14.519354838709676</v>
      </c>
      <c r="AI80" s="16">
        <f t="shared" si="9"/>
        <v>7.6</v>
      </c>
      <c r="AJ80" s="16">
        <f t="shared" si="10"/>
        <v>7.5488000000000008</v>
      </c>
      <c r="AK80" s="16">
        <f t="shared" si="11"/>
        <v>16</v>
      </c>
      <c r="AL80" s="16">
        <f>IF(AK80="",NA(),COUNTIF(AK80:$AK$176,AK80))</f>
        <v>1</v>
      </c>
      <c r="AM80" s="16">
        <f t="shared" si="12"/>
        <v>0</v>
      </c>
      <c r="AN80" s="16">
        <f t="shared" si="13"/>
        <v>30.4</v>
      </c>
      <c r="AO80" s="16">
        <f t="shared" si="14"/>
        <v>30.195200000000003</v>
      </c>
      <c r="AP80" s="16">
        <f t="shared" si="15"/>
        <v>64</v>
      </c>
      <c r="AQ80" s="16">
        <f>IF(AP80="",NA(),COUNTIF(AP80:$AP$176,AP80))</f>
        <v>1</v>
      </c>
      <c r="AR80" s="16">
        <f t="shared" si="16"/>
        <v>0</v>
      </c>
      <c r="AV80" s="16">
        <f>MIN(F9:F1008,I9:I1008)</f>
        <v>1</v>
      </c>
      <c r="BI80" s="621">
        <v>72</v>
      </c>
      <c r="BJ80" s="624"/>
      <c r="BK80" s="623"/>
      <c r="BL80" s="615">
        <v>72</v>
      </c>
      <c r="BM80" s="624"/>
      <c r="BN80" s="23"/>
      <c r="BO80" s="24"/>
      <c r="BQ80" s="621">
        <v>72</v>
      </c>
      <c r="BR80" s="624"/>
      <c r="BS80" s="623"/>
      <c r="BT80" s="615">
        <v>72</v>
      </c>
      <c r="BU80" s="624">
        <v>16.14</v>
      </c>
      <c r="BV80" s="23"/>
      <c r="BW80" s="24"/>
      <c r="BY80" s="621">
        <v>72</v>
      </c>
      <c r="BZ80" s="624"/>
      <c r="CA80" s="623"/>
      <c r="CB80" s="615">
        <v>72</v>
      </c>
      <c r="CC80" s="624"/>
      <c r="CD80" s="23"/>
      <c r="CE80" s="24"/>
    </row>
    <row r="81" spans="5:83" ht="12" customHeight="1">
      <c r="E81" s="621">
        <v>73</v>
      </c>
      <c r="F81" s="624"/>
      <c r="G81" s="623"/>
      <c r="H81" s="615">
        <v>73</v>
      </c>
      <c r="I81" s="624"/>
      <c r="J81" s="23"/>
      <c r="K81" s="24"/>
      <c r="N81" s="16">
        <f t="shared" si="5"/>
        <v>0.79999999999999993</v>
      </c>
      <c r="O81" s="16">
        <f t="shared" si="6"/>
        <v>12.266800000000002</v>
      </c>
      <c r="P81" s="16">
        <f t="shared" si="7"/>
        <v>2.25</v>
      </c>
      <c r="Q81" s="16">
        <f t="shared" si="8"/>
        <v>12.738600000000002</v>
      </c>
      <c r="W81" s="605" t="s">
        <v>410</v>
      </c>
      <c r="X81" s="136" t="b">
        <f>AND(Q9&gt;=0, Q9&lt;=99.9)</f>
        <v>1</v>
      </c>
      <c r="Y81" s="185" t="s">
        <v>354</v>
      </c>
      <c r="Z81" s="211" t="b">
        <v>0</v>
      </c>
      <c r="AC81" s="16" t="s">
        <v>355</v>
      </c>
      <c r="AF81" s="16">
        <f>IF(AH84,AF88,NA())</f>
        <v>3.1</v>
      </c>
      <c r="AG81" s="16">
        <f>AG80</f>
        <v>14.519354838709676</v>
      </c>
      <c r="AI81" s="16">
        <f t="shared" si="9"/>
        <v>12.2</v>
      </c>
      <c r="AJ81" s="16">
        <f t="shared" si="10"/>
        <v>12.266800000000002</v>
      </c>
      <c r="AK81" s="16">
        <f t="shared" si="11"/>
        <v>26</v>
      </c>
      <c r="AL81" s="16">
        <f>IF(AK81="",NA(),COUNTIF(AK81:$AK$176,AK81))</f>
        <v>2</v>
      </c>
      <c r="AM81" s="16">
        <f t="shared" si="12"/>
        <v>0.05</v>
      </c>
      <c r="AN81" s="16">
        <f t="shared" si="13"/>
        <v>12.8</v>
      </c>
      <c r="AO81" s="16">
        <f t="shared" si="14"/>
        <v>12.738600000000002</v>
      </c>
      <c r="AP81" s="16">
        <f t="shared" si="15"/>
        <v>27</v>
      </c>
      <c r="AQ81" s="16">
        <f>IF(AP81="",NA(),COUNTIF(AP81:$AP$176,AP81))</f>
        <v>3</v>
      </c>
      <c r="AR81" s="16">
        <f t="shared" si="16"/>
        <v>0.1</v>
      </c>
      <c r="AU81" s="16" t="s">
        <v>356</v>
      </c>
      <c r="BI81" s="621">
        <v>73</v>
      </c>
      <c r="BJ81" s="624"/>
      <c r="BK81" s="623"/>
      <c r="BL81" s="615">
        <v>73</v>
      </c>
      <c r="BM81" s="624"/>
      <c r="BN81" s="23"/>
      <c r="BO81" s="24"/>
      <c r="BQ81" s="621">
        <v>73</v>
      </c>
      <c r="BR81" s="624"/>
      <c r="BS81" s="623"/>
      <c r="BT81" s="615">
        <v>73</v>
      </c>
      <c r="BU81" s="624">
        <v>4.41</v>
      </c>
      <c r="BV81" s="23"/>
      <c r="BW81" s="24"/>
      <c r="BY81" s="621">
        <v>73</v>
      </c>
      <c r="BZ81" s="624"/>
      <c r="CA81" s="623"/>
      <c r="CB81" s="615">
        <v>73</v>
      </c>
      <c r="CC81" s="624"/>
      <c r="CD81" s="23"/>
      <c r="CE81" s="24"/>
    </row>
    <row r="82" spans="5:83" ht="12" customHeight="1">
      <c r="E82" s="621">
        <v>74</v>
      </c>
      <c r="F82" s="624"/>
      <c r="G82" s="623"/>
      <c r="H82" s="615">
        <v>74</v>
      </c>
      <c r="I82" s="624"/>
      <c r="J82" s="23"/>
      <c r="K82" s="24"/>
      <c r="L82" s="30"/>
      <c r="M82" s="30"/>
      <c r="N82" s="16">
        <f t="shared" si="5"/>
        <v>0.79999999999999993</v>
      </c>
      <c r="O82" s="16">
        <f t="shared" si="6"/>
        <v>10.851400000000002</v>
      </c>
      <c r="P82" s="16">
        <f t="shared" si="7"/>
        <v>2.1999999999999997</v>
      </c>
      <c r="Q82" s="16">
        <f t="shared" si="8"/>
        <v>9.4360000000000017</v>
      </c>
      <c r="W82" s="185" t="s">
        <v>357</v>
      </c>
      <c r="X82" s="16" t="str">
        <f>IF(F8&lt;&gt;"",LEFT("        ",MAX(0,8-0.5*LEN(F8)))&amp;F8&amp;LEFT("        ",MAX(0,8-0.5*LEN(F8))),"      Group 1")</f>
        <v xml:space="preserve">      Pen      </v>
      </c>
      <c r="Y82" s="16" t="str">
        <f>IF(I8&lt;&gt;"",IF(I8="","  ",I8),"Group 2")</f>
        <v>Laptop</v>
      </c>
      <c r="Z82" s="16" t="s">
        <v>358</v>
      </c>
      <c r="AC82" s="185" t="s">
        <v>359</v>
      </c>
      <c r="AD82" s="16">
        <f>IF(X89-X90=0,1,X89-X90)</f>
        <v>33.700000000000003</v>
      </c>
      <c r="AF82" s="16" t="s">
        <v>360</v>
      </c>
      <c r="AH82" s="16" t="s">
        <v>245</v>
      </c>
      <c r="AI82" s="16">
        <f t="shared" si="9"/>
        <v>10.8</v>
      </c>
      <c r="AJ82" s="16">
        <f t="shared" si="10"/>
        <v>10.851400000000002</v>
      </c>
      <c r="AK82" s="16">
        <f t="shared" si="11"/>
        <v>23</v>
      </c>
      <c r="AL82" s="16">
        <f>IF(AK82="",NA(),COUNTIF(AK82:$AK$176,AK82))</f>
        <v>2</v>
      </c>
      <c r="AM82" s="16">
        <f t="shared" si="12"/>
        <v>0.05</v>
      </c>
      <c r="AN82" s="16">
        <f t="shared" si="13"/>
        <v>9.6</v>
      </c>
      <c r="AO82" s="16">
        <f t="shared" si="14"/>
        <v>9.4360000000000017</v>
      </c>
      <c r="AP82" s="16">
        <f t="shared" si="15"/>
        <v>20</v>
      </c>
      <c r="AQ82" s="16">
        <f>IF(AP82="",NA(),COUNTIF(AP82:$AP$176,AP82))</f>
        <v>2</v>
      </c>
      <c r="AR82" s="16">
        <f t="shared" si="16"/>
        <v>0.05</v>
      </c>
      <c r="AU82" s="16">
        <f>AS14/1000</f>
        <v>0.05</v>
      </c>
      <c r="BI82" s="621">
        <v>74</v>
      </c>
      <c r="BJ82" s="624"/>
      <c r="BK82" s="623"/>
      <c r="BL82" s="615">
        <v>74</v>
      </c>
      <c r="BM82" s="624"/>
      <c r="BN82" s="23"/>
      <c r="BO82" s="24"/>
      <c r="BQ82" s="621">
        <v>74</v>
      </c>
      <c r="BR82" s="624"/>
      <c r="BS82" s="623"/>
      <c r="BT82" s="615">
        <v>74</v>
      </c>
      <c r="BU82" s="624">
        <v>5.97</v>
      </c>
      <c r="BV82" s="23"/>
      <c r="BW82" s="24"/>
      <c r="BY82" s="621">
        <v>74</v>
      </c>
      <c r="BZ82" s="624"/>
      <c r="CA82" s="623"/>
      <c r="CB82" s="615">
        <v>74</v>
      </c>
      <c r="CC82" s="624"/>
      <c r="CD82" s="23"/>
      <c r="CE82" s="24"/>
    </row>
    <row r="83" spans="5:83" ht="12" customHeight="1">
      <c r="E83" s="621">
        <v>75</v>
      </c>
      <c r="F83" s="624"/>
      <c r="G83" s="623"/>
      <c r="H83" s="615">
        <v>75</v>
      </c>
      <c r="I83" s="624"/>
      <c r="J83" s="23"/>
      <c r="K83" s="24"/>
      <c r="N83" s="16">
        <f t="shared" si="5"/>
        <v>0.85</v>
      </c>
      <c r="O83" s="16">
        <f t="shared" si="6"/>
        <v>0.94360000000000011</v>
      </c>
      <c r="P83" s="16">
        <f t="shared" si="7"/>
        <v>2.15</v>
      </c>
      <c r="Q83" s="16">
        <f t="shared" si="8"/>
        <v>9.4360000000000017</v>
      </c>
      <c r="W83" s="185" t="s">
        <v>361</v>
      </c>
      <c r="X83" s="16">
        <f>IF(AND($O$16&lt;&gt;"",$Z$79=1,X78),$O$16,NA())</f>
        <v>8.8117647058823518</v>
      </c>
      <c r="Y83" s="16">
        <f>IF(AND($Q$16&lt;&gt;"",$Z$79=1,X79),$Q$16,NA())</f>
        <v>14.519354838709676</v>
      </c>
      <c r="AC83" s="185" t="s">
        <v>362</v>
      </c>
      <c r="AD83" s="16">
        <f>POWER(10,INT(LOG10(AD82)))</f>
        <v>10</v>
      </c>
      <c r="AF83" s="16">
        <f>IF(AND(Z77,AH84),2.7,NA())</f>
        <v>2.7</v>
      </c>
      <c r="AG83" s="16">
        <f>AG80</f>
        <v>14.519354838709676</v>
      </c>
      <c r="AH83" s="16">
        <f>IF(Z80=1,X96,X106)</f>
        <v>3.0223247787831315</v>
      </c>
      <c r="AI83" s="16">
        <f t="shared" si="9"/>
        <v>1</v>
      </c>
      <c r="AJ83" s="16">
        <f t="shared" si="10"/>
        <v>0.94360000000000011</v>
      </c>
      <c r="AK83" s="16">
        <f t="shared" si="11"/>
        <v>2</v>
      </c>
      <c r="AL83" s="16">
        <f>IF(AK83="",NA(),COUNTIF(AK83:$AK$176,AK83))</f>
        <v>1</v>
      </c>
      <c r="AM83" s="16">
        <f t="shared" si="12"/>
        <v>0</v>
      </c>
      <c r="AN83" s="16">
        <f t="shared" si="13"/>
        <v>9.3000000000000007</v>
      </c>
      <c r="AO83" s="16">
        <f t="shared" si="14"/>
        <v>9.4360000000000017</v>
      </c>
      <c r="AP83" s="16">
        <f t="shared" si="15"/>
        <v>20</v>
      </c>
      <c r="AQ83" s="16">
        <f>IF(AP83="",NA(),COUNTIF(AP83:$AP$176,AP83))</f>
        <v>1</v>
      </c>
      <c r="AR83" s="16">
        <f t="shared" si="16"/>
        <v>0</v>
      </c>
      <c r="BI83" s="621">
        <v>75</v>
      </c>
      <c r="BJ83" s="624"/>
      <c r="BK83" s="623"/>
      <c r="BL83" s="615">
        <v>75</v>
      </c>
      <c r="BM83" s="624"/>
      <c r="BN83" s="23"/>
      <c r="BO83" s="24"/>
      <c r="BQ83" s="621">
        <v>75</v>
      </c>
      <c r="BR83" s="624"/>
      <c r="BS83" s="623"/>
      <c r="BT83" s="615">
        <v>75</v>
      </c>
      <c r="BU83" s="624">
        <v>18.420000000000002</v>
      </c>
      <c r="BV83" s="23"/>
      <c r="BW83" s="24"/>
      <c r="BY83" s="621">
        <v>75</v>
      </c>
      <c r="BZ83" s="624"/>
      <c r="CA83" s="623"/>
      <c r="CB83" s="615">
        <v>75</v>
      </c>
      <c r="CC83" s="624"/>
      <c r="CD83" s="23"/>
      <c r="CE83" s="24"/>
    </row>
    <row r="84" spans="5:83" ht="12" customHeight="1">
      <c r="E84" s="621">
        <v>76</v>
      </c>
      <c r="F84" s="624"/>
      <c r="G84" s="623"/>
      <c r="H84" s="615">
        <v>76</v>
      </c>
      <c r="I84" s="624"/>
      <c r="J84" s="23"/>
      <c r="K84" s="24"/>
      <c r="L84" s="30"/>
      <c r="M84" s="30"/>
      <c r="N84" s="16">
        <f t="shared" si="5"/>
        <v>0.79999999999999993</v>
      </c>
      <c r="O84" s="16">
        <f t="shared" si="6"/>
        <v>2.8308000000000004</v>
      </c>
      <c r="P84" s="16">
        <f t="shared" si="7"/>
        <v>2.25</v>
      </c>
      <c r="Q84" s="16">
        <f t="shared" si="8"/>
        <v>17.928400000000003</v>
      </c>
      <c r="W84" s="185" t="s">
        <v>363</v>
      </c>
      <c r="X84" s="16" t="e">
        <f>IF(AND($O$16&lt;&gt;"",$Z$79=2,X78),$O$16,NA())</f>
        <v>#N/A</v>
      </c>
      <c r="Y84" s="16" t="e">
        <f>IF(AND($Q$16&lt;&gt;"",$Z$79=2,X79),$Q$16,NA())</f>
        <v>#N/A</v>
      </c>
      <c r="AC84" s="185" t="s">
        <v>364</v>
      </c>
      <c r="AD84" s="16">
        <f>ROUNDUP(AD82/AD83,0)</f>
        <v>4</v>
      </c>
      <c r="AG84" s="185" t="s">
        <v>365</v>
      </c>
      <c r="AH84" s="16" t="b">
        <f>AND(O16&lt;&gt;"",Q16&lt;&gt;"",X78,X79)</f>
        <v>1</v>
      </c>
      <c r="AI84" s="16">
        <f t="shared" si="9"/>
        <v>2.9</v>
      </c>
      <c r="AJ84" s="16">
        <f t="shared" si="10"/>
        <v>2.8308000000000004</v>
      </c>
      <c r="AK84" s="16">
        <f t="shared" si="11"/>
        <v>6</v>
      </c>
      <c r="AL84" s="16">
        <f>IF(AK84="",NA(),COUNTIF(AK84:$AK$176,AK84))</f>
        <v>2</v>
      </c>
      <c r="AM84" s="16">
        <f t="shared" si="12"/>
        <v>0.05</v>
      </c>
      <c r="AN84" s="16">
        <f t="shared" si="13"/>
        <v>17.7</v>
      </c>
      <c r="AO84" s="16">
        <f t="shared" si="14"/>
        <v>17.928400000000003</v>
      </c>
      <c r="AP84" s="16">
        <f t="shared" si="15"/>
        <v>38</v>
      </c>
      <c r="AQ84" s="16">
        <f>IF(AP84="",NA(),COUNTIF(AP84:$AP$176,AP84))</f>
        <v>3</v>
      </c>
      <c r="AR84" s="16">
        <f t="shared" si="16"/>
        <v>0.1</v>
      </c>
      <c r="BI84" s="621">
        <v>76</v>
      </c>
      <c r="BJ84" s="624"/>
      <c r="BK84" s="623"/>
      <c r="BL84" s="615">
        <v>76</v>
      </c>
      <c r="BM84" s="624"/>
      <c r="BN84" s="23"/>
      <c r="BO84" s="24"/>
      <c r="BQ84" s="621">
        <v>76</v>
      </c>
      <c r="BR84" s="624"/>
      <c r="BS84" s="623"/>
      <c r="BT84" s="615">
        <v>76</v>
      </c>
      <c r="BU84" s="624">
        <v>16.899999999999999</v>
      </c>
      <c r="BV84" s="23"/>
      <c r="BW84" s="24"/>
      <c r="BY84" s="621">
        <v>76</v>
      </c>
      <c r="BZ84" s="624"/>
      <c r="CA84" s="623"/>
      <c r="CB84" s="615">
        <v>76</v>
      </c>
      <c r="CC84" s="624"/>
      <c r="CD84" s="23"/>
      <c r="CE84" s="24"/>
    </row>
    <row r="85" spans="5:83" ht="12" customHeight="1">
      <c r="E85" s="621">
        <v>77</v>
      </c>
      <c r="F85" s="624"/>
      <c r="G85" s="623"/>
      <c r="H85" s="615">
        <v>77</v>
      </c>
      <c r="I85" s="624"/>
      <c r="J85" s="23"/>
      <c r="K85" s="24"/>
      <c r="N85" s="16">
        <f t="shared" si="5"/>
        <v>0.85</v>
      </c>
      <c r="O85" s="16">
        <f t="shared" si="6"/>
        <v>14.625800000000002</v>
      </c>
      <c r="P85" s="16">
        <f t="shared" si="7"/>
        <v>2.15</v>
      </c>
      <c r="Q85" s="16">
        <f t="shared" si="8"/>
        <v>15.569400000000002</v>
      </c>
      <c r="W85" s="185" t="s">
        <v>366</v>
      </c>
      <c r="X85" s="16">
        <f>IF(AND($O$16&lt;&gt;"",$Z$77,X78),$O$16,NA())</f>
        <v>8.8117647058823518</v>
      </c>
      <c r="Y85" s="16">
        <f>IF(AND($Q$16&lt;&gt;"",$Z$77,X79),$Q$16,NA())</f>
        <v>14.519354838709676</v>
      </c>
      <c r="AC85" s="185" t="s">
        <v>367</v>
      </c>
      <c r="AD85" s="16">
        <f>CHOOSE(AD84,10,5,5,2,2,2,2,1,1,1)</f>
        <v>2</v>
      </c>
      <c r="AI85" s="16">
        <f t="shared" si="9"/>
        <v>14.4</v>
      </c>
      <c r="AJ85" s="16">
        <f t="shared" si="10"/>
        <v>14.625800000000002</v>
      </c>
      <c r="AK85" s="16">
        <f t="shared" si="11"/>
        <v>31</v>
      </c>
      <c r="AL85" s="16">
        <f>IF(AK85="",NA(),COUNTIF(AK85:$AK$176,AK85))</f>
        <v>1</v>
      </c>
      <c r="AM85" s="16">
        <f t="shared" si="12"/>
        <v>0</v>
      </c>
      <c r="AN85" s="16">
        <f t="shared" si="13"/>
        <v>15.4</v>
      </c>
      <c r="AO85" s="16">
        <f t="shared" si="14"/>
        <v>15.569400000000002</v>
      </c>
      <c r="AP85" s="16">
        <f t="shared" si="15"/>
        <v>33</v>
      </c>
      <c r="AQ85" s="16">
        <f>IF(AP85="",NA(),COUNTIF(AP85:$AP$176,AP85))</f>
        <v>1</v>
      </c>
      <c r="AR85" s="16">
        <f t="shared" si="16"/>
        <v>0</v>
      </c>
      <c r="BI85" s="621">
        <v>77</v>
      </c>
      <c r="BJ85" s="624"/>
      <c r="BK85" s="623"/>
      <c r="BL85" s="615">
        <v>77</v>
      </c>
      <c r="BM85" s="624"/>
      <c r="BN85" s="23"/>
      <c r="BO85" s="24"/>
      <c r="BQ85" s="621">
        <v>77</v>
      </c>
      <c r="BR85" s="624"/>
      <c r="BS85" s="623"/>
      <c r="BT85" s="615">
        <v>77</v>
      </c>
      <c r="BU85" s="624">
        <v>7.14</v>
      </c>
      <c r="BV85" s="23"/>
      <c r="BW85" s="24"/>
      <c r="BY85" s="621">
        <v>77</v>
      </c>
      <c r="BZ85" s="624"/>
      <c r="CA85" s="623"/>
      <c r="CB85" s="615">
        <v>77</v>
      </c>
      <c r="CC85" s="624"/>
      <c r="CD85" s="23"/>
      <c r="CE85" s="24"/>
    </row>
    <row r="86" spans="5:83" ht="12" customHeight="1">
      <c r="E86" s="621">
        <v>78</v>
      </c>
      <c r="F86" s="624"/>
      <c r="G86" s="623"/>
      <c r="H86" s="615">
        <v>78</v>
      </c>
      <c r="I86" s="624"/>
      <c r="J86" s="23"/>
      <c r="K86" s="24"/>
      <c r="L86" s="30"/>
      <c r="M86" s="30"/>
      <c r="N86" s="16">
        <f t="shared" si="5"/>
        <v>0.75</v>
      </c>
      <c r="O86" s="16">
        <f t="shared" si="6"/>
        <v>8.4924000000000017</v>
      </c>
      <c r="P86" s="16">
        <f t="shared" si="7"/>
        <v>2.25</v>
      </c>
      <c r="Q86" s="16">
        <f t="shared" si="8"/>
        <v>8.4924000000000017</v>
      </c>
      <c r="W86" s="185" t="s">
        <v>368</v>
      </c>
      <c r="X86" s="704">
        <f>O19</f>
        <v>1.6571227125032257</v>
      </c>
      <c r="Y86" s="705">
        <f>Q19</f>
        <v>2.6723707232205554</v>
      </c>
      <c r="AC86" s="185" t="s">
        <v>622</v>
      </c>
      <c r="AD86" s="16">
        <f>AD83/AD85</f>
        <v>5</v>
      </c>
      <c r="AI86" s="16">
        <f t="shared" si="9"/>
        <v>8.4</v>
      </c>
      <c r="AJ86" s="16">
        <f t="shared" si="10"/>
        <v>8.4924000000000017</v>
      </c>
      <c r="AK86" s="16">
        <f t="shared" si="11"/>
        <v>18</v>
      </c>
      <c r="AL86" s="16">
        <f>IF(AK86="",NA(),COUNTIF(AK86:$AK$176,AK86))</f>
        <v>3</v>
      </c>
      <c r="AM86" s="16">
        <f t="shared" si="12"/>
        <v>0.1</v>
      </c>
      <c r="AN86" s="16">
        <f t="shared" si="13"/>
        <v>8.6999999999999993</v>
      </c>
      <c r="AO86" s="16">
        <f t="shared" si="14"/>
        <v>8.4924000000000017</v>
      </c>
      <c r="AP86" s="16">
        <f t="shared" si="15"/>
        <v>18</v>
      </c>
      <c r="AQ86" s="16">
        <f>IF(AP86="",NA(),COUNTIF(AP86:$AP$176,AP86))</f>
        <v>3</v>
      </c>
      <c r="AR86" s="16">
        <f t="shared" si="16"/>
        <v>0.1</v>
      </c>
      <c r="BI86" s="621">
        <v>78</v>
      </c>
      <c r="BJ86" s="624"/>
      <c r="BK86" s="623"/>
      <c r="BL86" s="615">
        <v>78</v>
      </c>
      <c r="BM86" s="624"/>
      <c r="BN86" s="23"/>
      <c r="BO86" s="24"/>
      <c r="BQ86" s="621">
        <v>78</v>
      </c>
      <c r="BR86" s="624"/>
      <c r="BS86" s="623"/>
      <c r="BT86" s="615">
        <v>78</v>
      </c>
      <c r="BU86" s="624">
        <v>16.850000000000001</v>
      </c>
      <c r="BV86" s="23"/>
      <c r="BW86" s="24"/>
      <c r="BY86" s="621">
        <v>78</v>
      </c>
      <c r="BZ86" s="624"/>
      <c r="CA86" s="623"/>
      <c r="CB86" s="615">
        <v>78</v>
      </c>
      <c r="CC86" s="624"/>
      <c r="CD86" s="23"/>
      <c r="CE86" s="24"/>
    </row>
    <row r="87" spans="5:83" ht="12" customHeight="1">
      <c r="E87" s="621">
        <v>79</v>
      </c>
      <c r="F87" s="624"/>
      <c r="G87" s="623"/>
      <c r="H87" s="615">
        <v>79</v>
      </c>
      <c r="I87" s="624"/>
      <c r="J87" s="23"/>
      <c r="K87" s="24"/>
      <c r="N87" s="16">
        <f t="shared" si="5"/>
        <v>0.85</v>
      </c>
      <c r="O87" s="16">
        <f t="shared" si="6"/>
        <v>17.928400000000003</v>
      </c>
      <c r="P87" s="16">
        <f t="shared" si="7"/>
        <v>2.1999999999999997</v>
      </c>
      <c r="Q87" s="16">
        <f t="shared" si="8"/>
        <v>12.738600000000002</v>
      </c>
      <c r="W87" s="203" t="s">
        <v>369</v>
      </c>
      <c r="X87" s="706" t="e">
        <f>IF(AND($Z$77,$Z$78,$O$19&lt;&gt;"",$Q$19&lt;&gt;"",X78,X79),MIN($O$16+$O$19,$Q$16+$Q$19),NA())</f>
        <v>#N/A</v>
      </c>
      <c r="Y87" s="706" t="e">
        <f>IF(AND($Z$77,$Z$78,$O$19&lt;&gt;"",$Q$19&lt;&gt;"",X78,X79),MIN($O$16+$O$19,$Q$16+$Q$19),NA())</f>
        <v>#N/A</v>
      </c>
      <c r="Z87" s="199"/>
      <c r="AC87" s="185" t="s">
        <v>370</v>
      </c>
      <c r="AD87" s="16" t="s">
        <v>716</v>
      </c>
      <c r="AE87" s="187" t="s">
        <v>640</v>
      </c>
      <c r="AF87" s="187" t="s">
        <v>639</v>
      </c>
      <c r="AG87" s="187" t="s">
        <v>251</v>
      </c>
      <c r="AI87" s="16">
        <f t="shared" si="9"/>
        <v>17.7</v>
      </c>
      <c r="AJ87" s="16">
        <f t="shared" si="10"/>
        <v>17.928400000000003</v>
      </c>
      <c r="AK87" s="16">
        <f t="shared" si="11"/>
        <v>38</v>
      </c>
      <c r="AL87" s="16">
        <f>IF(AK87="",NA(),COUNTIF(AK87:$AK$176,AK87))</f>
        <v>1</v>
      </c>
      <c r="AM87" s="16">
        <f t="shared" si="12"/>
        <v>0</v>
      </c>
      <c r="AN87" s="16">
        <f t="shared" si="13"/>
        <v>12.8</v>
      </c>
      <c r="AO87" s="16">
        <f t="shared" si="14"/>
        <v>12.738600000000002</v>
      </c>
      <c r="AP87" s="16">
        <f t="shared" si="15"/>
        <v>27</v>
      </c>
      <c r="AQ87" s="16">
        <f>IF(AP87="",NA(),COUNTIF(AP87:$AP$176,AP87))</f>
        <v>2</v>
      </c>
      <c r="AR87" s="16">
        <f t="shared" si="16"/>
        <v>0.05</v>
      </c>
      <c r="BI87" s="621">
        <v>79</v>
      </c>
      <c r="BJ87" s="624"/>
      <c r="BK87" s="623"/>
      <c r="BL87" s="615">
        <v>79</v>
      </c>
      <c r="BM87" s="624"/>
      <c r="BN87" s="23"/>
      <c r="BO87" s="24"/>
      <c r="BQ87" s="621">
        <v>79</v>
      </c>
      <c r="BR87" s="624"/>
      <c r="BS87" s="623"/>
      <c r="BT87" s="615">
        <v>79</v>
      </c>
      <c r="BU87" s="624">
        <v>1.92</v>
      </c>
      <c r="BV87" s="23"/>
      <c r="BW87" s="24"/>
      <c r="BY87" s="621">
        <v>79</v>
      </c>
      <c r="BZ87" s="624"/>
      <c r="CA87" s="623"/>
      <c r="CB87" s="615">
        <v>79</v>
      </c>
      <c r="CC87" s="624"/>
      <c r="CD87" s="23"/>
      <c r="CE87" s="24"/>
    </row>
    <row r="88" spans="5:83" ht="12" customHeight="1">
      <c r="E88" s="621">
        <v>80</v>
      </c>
      <c r="F88" s="624"/>
      <c r="G88" s="623"/>
      <c r="H88" s="615">
        <v>80</v>
      </c>
      <c r="I88" s="624"/>
      <c r="J88" s="23"/>
      <c r="K88" s="24"/>
      <c r="L88" s="30"/>
      <c r="M88" s="30"/>
      <c r="N88" s="16">
        <f t="shared" si="5"/>
        <v>0.85</v>
      </c>
      <c r="O88" s="16">
        <f t="shared" si="6"/>
        <v>20.287400000000002</v>
      </c>
      <c r="P88" s="16">
        <f t="shared" si="7"/>
        <v>2.1999999999999997</v>
      </c>
      <c r="Q88" s="16">
        <f t="shared" si="8"/>
        <v>10.379600000000002</v>
      </c>
      <c r="W88" s="231"/>
      <c r="X88" s="707" t="e">
        <f>IF(AND($Z$77,$Z$78,$O$19&lt;&gt;"",$Q$19&lt;&gt;"",X78,X79),MAX($O$16-$O$19,$Q$16-$Q$19),NA())</f>
        <v>#N/A</v>
      </c>
      <c r="Y88" s="707" t="e">
        <f>IF(AND($Z$77,$Z$78,$O$19&lt;&gt;"",$Q$19&lt;&gt;"",X78,X79),MAX($O$16-$O$19,$Q$16-$Q$19),NA())</f>
        <v>#N/A</v>
      </c>
      <c r="Z88" s="262"/>
      <c r="AC88" s="185">
        <v>10</v>
      </c>
      <c r="AD88" s="16">
        <f t="shared" ref="AD88:AD108" si="17">$AD$86*AC88</f>
        <v>50</v>
      </c>
      <c r="AE88" s="16">
        <f t="shared" ref="AE88:AE108" si="18">$O$16+$AD$86*AC88</f>
        <v>58.811764705882354</v>
      </c>
      <c r="AF88" s="16">
        <f>IF(AH84,3.1,NA())</f>
        <v>3.1</v>
      </c>
      <c r="AG88" s="16" t="e">
        <f t="shared" ref="AG88:AG108" si="19">IF(AND(AE88&lt;=$X$89,AE88&gt;=$X$90),AE88,NA())</f>
        <v>#N/A</v>
      </c>
      <c r="AI88" s="16">
        <f t="shared" si="9"/>
        <v>20.100000000000001</v>
      </c>
      <c r="AJ88" s="16">
        <f t="shared" si="10"/>
        <v>20.287400000000002</v>
      </c>
      <c r="AK88" s="16">
        <f t="shared" si="11"/>
        <v>43</v>
      </c>
      <c r="AL88" s="16">
        <f>IF(AK88="",NA(),COUNTIF(AK88:$AK$176,AK88))</f>
        <v>1</v>
      </c>
      <c r="AM88" s="16">
        <f t="shared" si="12"/>
        <v>0</v>
      </c>
      <c r="AN88" s="16">
        <f t="shared" si="13"/>
        <v>10.6</v>
      </c>
      <c r="AO88" s="16">
        <f t="shared" si="14"/>
        <v>10.379600000000002</v>
      </c>
      <c r="AP88" s="16">
        <f t="shared" si="15"/>
        <v>22</v>
      </c>
      <c r="AQ88" s="16">
        <f>IF(AP88="",NA(),COUNTIF(AP88:$AP$176,AP88))</f>
        <v>2</v>
      </c>
      <c r="AR88" s="16">
        <f t="shared" si="16"/>
        <v>0.05</v>
      </c>
      <c r="BI88" s="621">
        <v>80</v>
      </c>
      <c r="BJ88" s="624"/>
      <c r="BK88" s="623"/>
      <c r="BL88" s="615">
        <v>80</v>
      </c>
      <c r="BM88" s="624"/>
      <c r="BN88" s="23"/>
      <c r="BO88" s="24"/>
      <c r="BQ88" s="621">
        <v>80</v>
      </c>
      <c r="BR88" s="624"/>
      <c r="BS88" s="623"/>
      <c r="BT88" s="615">
        <v>80</v>
      </c>
      <c r="BU88" s="624">
        <v>9.57</v>
      </c>
      <c r="BV88" s="23"/>
      <c r="BW88" s="24"/>
      <c r="BY88" s="621">
        <v>80</v>
      </c>
      <c r="BZ88" s="624"/>
      <c r="CA88" s="623"/>
      <c r="CB88" s="615">
        <v>80</v>
      </c>
      <c r="CC88" s="624"/>
      <c r="CD88" s="23"/>
      <c r="CE88" s="24"/>
    </row>
    <row r="89" spans="5:83" ht="12" customHeight="1">
      <c r="E89" s="621">
        <v>81</v>
      </c>
      <c r="F89" s="624"/>
      <c r="G89" s="623"/>
      <c r="H89" s="615">
        <v>81</v>
      </c>
      <c r="I89" s="624"/>
      <c r="J89" s="23"/>
      <c r="K89" s="24"/>
      <c r="N89" s="16">
        <f t="shared" si="5"/>
        <v>0.79999999999999993</v>
      </c>
      <c r="O89" s="16">
        <f t="shared" si="6"/>
        <v>1.8872000000000002</v>
      </c>
      <c r="P89" s="16">
        <f t="shared" si="7"/>
        <v>2.15</v>
      </c>
      <c r="Q89" s="16">
        <f t="shared" si="8"/>
        <v>5.1898000000000009</v>
      </c>
      <c r="W89" s="203" t="s">
        <v>371</v>
      </c>
      <c r="X89" s="650">
        <f>MAX(F9:F108,I9:I108,O21,Q21)</f>
        <v>34.700000000000003</v>
      </c>
      <c r="Y89" s="650">
        <f>MAX(F9:F108,I9:I108,O21,Q21)</f>
        <v>34.700000000000003</v>
      </c>
      <c r="Z89" s="199"/>
      <c r="AC89" s="185">
        <v>9</v>
      </c>
      <c r="AD89" s="16">
        <f t="shared" si="17"/>
        <v>45</v>
      </c>
      <c r="AE89" s="16">
        <f t="shared" si="18"/>
        <v>53.811764705882354</v>
      </c>
      <c r="AF89" s="16">
        <f t="shared" ref="AF89:AF108" si="20">IF($AH$84,AF88,NA())</f>
        <v>3.1</v>
      </c>
      <c r="AG89" s="16" t="e">
        <f t="shared" si="19"/>
        <v>#N/A</v>
      </c>
      <c r="AI89" s="16">
        <f t="shared" si="9"/>
        <v>2.1</v>
      </c>
      <c r="AJ89" s="16">
        <f t="shared" si="10"/>
        <v>1.8872000000000002</v>
      </c>
      <c r="AK89" s="16">
        <f t="shared" si="11"/>
        <v>4</v>
      </c>
      <c r="AL89" s="16">
        <f>IF(AK89="",NA(),COUNTIF(AK89:$AK$176,AK89))</f>
        <v>2</v>
      </c>
      <c r="AM89" s="16">
        <f t="shared" si="12"/>
        <v>0.05</v>
      </c>
      <c r="AN89" s="16">
        <f t="shared" si="13"/>
        <v>5.0999999999999996</v>
      </c>
      <c r="AO89" s="16">
        <f t="shared" si="14"/>
        <v>5.1898000000000009</v>
      </c>
      <c r="AP89" s="16">
        <f t="shared" si="15"/>
        <v>11</v>
      </c>
      <c r="AQ89" s="16">
        <f>IF(AP89="",NA(),COUNTIF(AP89:$AP$176,AP89))</f>
        <v>1</v>
      </c>
      <c r="AR89" s="16">
        <f t="shared" si="16"/>
        <v>0</v>
      </c>
      <c r="BI89" s="621">
        <v>81</v>
      </c>
      <c r="BJ89" s="624"/>
      <c r="BK89" s="623"/>
      <c r="BL89" s="615">
        <v>81</v>
      </c>
      <c r="BM89" s="624"/>
      <c r="BN89" s="23"/>
      <c r="BO89" s="24"/>
      <c r="BQ89" s="621">
        <v>81</v>
      </c>
      <c r="BR89" s="624"/>
      <c r="BS89" s="623"/>
      <c r="BT89" s="615">
        <v>81</v>
      </c>
      <c r="BU89" s="624">
        <v>23.69</v>
      </c>
      <c r="BV89" s="23"/>
      <c r="BW89" s="24"/>
      <c r="BY89" s="621">
        <v>81</v>
      </c>
      <c r="BZ89" s="624"/>
      <c r="CA89" s="623"/>
      <c r="CB89" s="615">
        <v>81</v>
      </c>
      <c r="CC89" s="624"/>
      <c r="CD89" s="23"/>
      <c r="CE89" s="24"/>
    </row>
    <row r="90" spans="5:83" ht="12" customHeight="1">
      <c r="E90" s="621">
        <v>82</v>
      </c>
      <c r="F90" s="624"/>
      <c r="G90" s="623"/>
      <c r="H90" s="615">
        <v>82</v>
      </c>
      <c r="I90" s="624"/>
      <c r="J90" s="23"/>
      <c r="K90" s="24"/>
      <c r="L90" s="30"/>
      <c r="M90" s="30"/>
      <c r="N90" s="16">
        <f t="shared" si="5"/>
        <v>0.75</v>
      </c>
      <c r="O90" s="16">
        <f t="shared" si="6"/>
        <v>11.323200000000002</v>
      </c>
      <c r="P90" s="16">
        <f t="shared" si="7"/>
        <v>2.15</v>
      </c>
      <c r="Q90" s="16">
        <f t="shared" si="8"/>
        <v>16.513000000000002</v>
      </c>
      <c r="W90" s="225" t="s">
        <v>372</v>
      </c>
      <c r="X90" s="197">
        <f>MIN(F9:F108,I9:I108,O20,Q20)</f>
        <v>1</v>
      </c>
      <c r="Y90" s="197">
        <f>MIN(F9:F108,I9:I108,O20,Q20)</f>
        <v>1</v>
      </c>
      <c r="Z90" s="192"/>
      <c r="AC90" s="185">
        <v>8</v>
      </c>
      <c r="AD90" s="16">
        <f t="shared" si="17"/>
        <v>40</v>
      </c>
      <c r="AE90" s="16">
        <f t="shared" si="18"/>
        <v>48.811764705882354</v>
      </c>
      <c r="AF90" s="16">
        <f t="shared" si="20"/>
        <v>3.1</v>
      </c>
      <c r="AG90" s="16" t="e">
        <f t="shared" si="19"/>
        <v>#N/A</v>
      </c>
      <c r="AI90" s="16">
        <f t="shared" si="9"/>
        <v>11.1</v>
      </c>
      <c r="AJ90" s="16">
        <f t="shared" si="10"/>
        <v>11.323200000000002</v>
      </c>
      <c r="AK90" s="16">
        <f t="shared" si="11"/>
        <v>24</v>
      </c>
      <c r="AL90" s="16">
        <f>IF(AK90="",NA(),COUNTIF(AK90:$AK$176,AK90))</f>
        <v>3</v>
      </c>
      <c r="AM90" s="16">
        <f t="shared" si="12"/>
        <v>0.1</v>
      </c>
      <c r="AN90" s="16">
        <f t="shared" si="13"/>
        <v>16.7</v>
      </c>
      <c r="AO90" s="16">
        <f t="shared" si="14"/>
        <v>16.513000000000002</v>
      </c>
      <c r="AP90" s="16">
        <f t="shared" si="15"/>
        <v>35</v>
      </c>
      <c r="AQ90" s="16">
        <f>IF(AP90="",NA(),COUNTIF(AP90:$AP$176,AP90))</f>
        <v>1</v>
      </c>
      <c r="AR90" s="16">
        <f t="shared" si="16"/>
        <v>0</v>
      </c>
      <c r="BI90" s="621">
        <v>82</v>
      </c>
      <c r="BJ90" s="624"/>
      <c r="BK90" s="623"/>
      <c r="BL90" s="615">
        <v>82</v>
      </c>
      <c r="BM90" s="624"/>
      <c r="BN90" s="23"/>
      <c r="BO90" s="24"/>
      <c r="BQ90" s="621">
        <v>82</v>
      </c>
      <c r="BR90" s="624"/>
      <c r="BS90" s="623"/>
      <c r="BT90" s="615">
        <v>82</v>
      </c>
      <c r="BU90" s="624">
        <v>22.64</v>
      </c>
      <c r="BV90" s="23"/>
      <c r="BW90" s="24"/>
      <c r="BY90" s="621">
        <v>82</v>
      </c>
      <c r="BZ90" s="624"/>
      <c r="CA90" s="623"/>
      <c r="CB90" s="615">
        <v>82</v>
      </c>
      <c r="CC90" s="624"/>
      <c r="CD90" s="23"/>
      <c r="CE90" s="24"/>
    </row>
    <row r="91" spans="5:83" ht="12" customHeight="1">
      <c r="E91" s="621">
        <v>83</v>
      </c>
      <c r="F91" s="624"/>
      <c r="G91" s="623"/>
      <c r="H91" s="615">
        <v>83</v>
      </c>
      <c r="I91" s="624"/>
      <c r="J91" s="23"/>
      <c r="K91" s="24"/>
      <c r="N91" s="16">
        <f t="shared" si="5"/>
        <v>0.79999999999999993</v>
      </c>
      <c r="O91" s="16">
        <f t="shared" si="6"/>
        <v>11.323200000000002</v>
      </c>
      <c r="P91" s="16">
        <f t="shared" si="7"/>
        <v>2.1999999999999997</v>
      </c>
      <c r="Q91" s="16">
        <f t="shared" si="8"/>
        <v>17.928400000000003</v>
      </c>
      <c r="W91" s="231"/>
      <c r="X91" s="232"/>
      <c r="Y91" s="275" t="s">
        <v>373</v>
      </c>
      <c r="Z91" s="262"/>
      <c r="AC91" s="185">
        <v>7</v>
      </c>
      <c r="AD91" s="16">
        <f t="shared" si="17"/>
        <v>35</v>
      </c>
      <c r="AE91" s="16">
        <f t="shared" si="18"/>
        <v>43.811764705882354</v>
      </c>
      <c r="AF91" s="16">
        <f t="shared" si="20"/>
        <v>3.1</v>
      </c>
      <c r="AG91" s="16" t="e">
        <f t="shared" si="19"/>
        <v>#N/A</v>
      </c>
      <c r="AI91" s="16">
        <f t="shared" si="9"/>
        <v>11.2</v>
      </c>
      <c r="AJ91" s="16">
        <f t="shared" si="10"/>
        <v>11.323200000000002</v>
      </c>
      <c r="AK91" s="16">
        <f t="shared" si="11"/>
        <v>24</v>
      </c>
      <c r="AL91" s="16">
        <f>IF(AK91="",NA(),COUNTIF(AK91:$AK$176,AK91))</f>
        <v>2</v>
      </c>
      <c r="AM91" s="16">
        <f t="shared" si="12"/>
        <v>0.05</v>
      </c>
      <c r="AN91" s="16">
        <f t="shared" si="13"/>
        <v>17.7</v>
      </c>
      <c r="AO91" s="16">
        <f t="shared" si="14"/>
        <v>17.928400000000003</v>
      </c>
      <c r="AP91" s="16">
        <f t="shared" si="15"/>
        <v>38</v>
      </c>
      <c r="AQ91" s="16">
        <f>IF(AP91="",NA(),COUNTIF(AP91:$AP$176,AP91))</f>
        <v>2</v>
      </c>
      <c r="AR91" s="16">
        <f t="shared" si="16"/>
        <v>0.05</v>
      </c>
      <c r="BI91" s="621">
        <v>83</v>
      </c>
      <c r="BJ91" s="624"/>
      <c r="BK91" s="623"/>
      <c r="BL91" s="615">
        <v>83</v>
      </c>
      <c r="BM91" s="624"/>
      <c r="BN91" s="23"/>
      <c r="BO91" s="24"/>
      <c r="BQ91" s="621">
        <v>83</v>
      </c>
      <c r="BR91" s="624"/>
      <c r="BS91" s="623"/>
      <c r="BT91" s="615">
        <v>83</v>
      </c>
      <c r="BU91" s="624">
        <v>9.92</v>
      </c>
      <c r="BV91" s="23"/>
      <c r="BW91" s="24"/>
      <c r="BY91" s="621">
        <v>83</v>
      </c>
      <c r="BZ91" s="624"/>
      <c r="CA91" s="623"/>
      <c r="CB91" s="615">
        <v>83</v>
      </c>
      <c r="CC91" s="624"/>
      <c r="CD91" s="23"/>
      <c r="CE91" s="24"/>
    </row>
    <row r="92" spans="5:83" ht="12" customHeight="1">
      <c r="E92" s="621">
        <v>84</v>
      </c>
      <c r="F92" s="624"/>
      <c r="G92" s="623"/>
      <c r="H92" s="615">
        <v>84</v>
      </c>
      <c r="I92" s="624"/>
      <c r="J92" s="23"/>
      <c r="K92" s="24"/>
      <c r="L92" s="30"/>
      <c r="M92" s="30"/>
      <c r="N92" s="16">
        <f t="shared" si="5"/>
        <v>0.85</v>
      </c>
      <c r="O92" s="16">
        <f t="shared" si="6"/>
        <v>10.851400000000002</v>
      </c>
      <c r="P92" s="16">
        <f t="shared" si="7"/>
        <v>2.1999999999999997</v>
      </c>
      <c r="Q92" s="16">
        <f t="shared" si="8"/>
        <v>8.4924000000000017</v>
      </c>
      <c r="W92" s="198"/>
      <c r="X92" s="200" t="s">
        <v>374</v>
      </c>
      <c r="Y92" s="200"/>
      <c r="Z92" s="199"/>
      <c r="AC92" s="185">
        <v>6</v>
      </c>
      <c r="AD92" s="16">
        <f t="shared" si="17"/>
        <v>30</v>
      </c>
      <c r="AE92" s="16">
        <f t="shared" si="18"/>
        <v>38.811764705882354</v>
      </c>
      <c r="AF92" s="16">
        <f t="shared" si="20"/>
        <v>3.1</v>
      </c>
      <c r="AG92" s="16" t="e">
        <f t="shared" si="19"/>
        <v>#N/A</v>
      </c>
      <c r="AI92" s="16">
        <f t="shared" si="9"/>
        <v>10.7</v>
      </c>
      <c r="AJ92" s="16">
        <f t="shared" si="10"/>
        <v>10.851400000000002</v>
      </c>
      <c r="AK92" s="16">
        <f t="shared" si="11"/>
        <v>23</v>
      </c>
      <c r="AL92" s="16">
        <f>IF(AK92="",NA(),COUNTIF(AK92:$AK$176,AK92))</f>
        <v>1</v>
      </c>
      <c r="AM92" s="16">
        <f t="shared" si="12"/>
        <v>0</v>
      </c>
      <c r="AN92" s="16">
        <f t="shared" si="13"/>
        <v>8.6999999999999993</v>
      </c>
      <c r="AO92" s="16">
        <f t="shared" si="14"/>
        <v>8.4924000000000017</v>
      </c>
      <c r="AP92" s="16">
        <f t="shared" si="15"/>
        <v>18</v>
      </c>
      <c r="AQ92" s="16">
        <f>IF(AP92="",NA(),COUNTIF(AP92:$AP$176,AP92))</f>
        <v>2</v>
      </c>
      <c r="AR92" s="16">
        <f t="shared" si="16"/>
        <v>0.05</v>
      </c>
      <c r="BI92" s="621">
        <v>84</v>
      </c>
      <c r="BJ92" s="624"/>
      <c r="BK92" s="623"/>
      <c r="BL92" s="615">
        <v>84</v>
      </c>
      <c r="BM92" s="624"/>
      <c r="BN92" s="23"/>
      <c r="BO92" s="24"/>
      <c r="BQ92" s="621">
        <v>84</v>
      </c>
      <c r="BR92" s="624"/>
      <c r="BS92" s="623"/>
      <c r="BT92" s="615">
        <v>84</v>
      </c>
      <c r="BU92" s="624">
        <v>8.98</v>
      </c>
      <c r="BV92" s="23"/>
      <c r="BW92" s="24"/>
      <c r="BY92" s="621">
        <v>84</v>
      </c>
      <c r="BZ92" s="624"/>
      <c r="CA92" s="623"/>
      <c r="CB92" s="615">
        <v>84</v>
      </c>
      <c r="CC92" s="624"/>
      <c r="CD92" s="23"/>
      <c r="CE92" s="24"/>
    </row>
    <row r="93" spans="5:83" ht="12" customHeight="1">
      <c r="E93" s="621">
        <v>85</v>
      </c>
      <c r="F93" s="624"/>
      <c r="G93" s="623"/>
      <c r="H93" s="615">
        <v>85</v>
      </c>
      <c r="I93" s="624"/>
      <c r="J93" s="23"/>
      <c r="K93" s="24"/>
      <c r="N93" s="16">
        <f t="shared" si="5"/>
        <v>0.85</v>
      </c>
      <c r="O93" s="16">
        <f t="shared" si="6"/>
        <v>1.8872000000000002</v>
      </c>
      <c r="P93" s="16">
        <f t="shared" si="7"/>
        <v>2.15</v>
      </c>
      <c r="Q93" s="16">
        <f t="shared" si="8"/>
        <v>26.420800000000003</v>
      </c>
      <c r="W93" s="231"/>
      <c r="X93" s="232" t="str">
        <f>IF(G6="","Dependent variable ",G6)</f>
        <v>Transcription %</v>
      </c>
      <c r="Y93" s="283"/>
      <c r="Z93" s="262"/>
      <c r="AC93" s="185">
        <v>5</v>
      </c>
      <c r="AD93" s="16">
        <f t="shared" si="17"/>
        <v>25</v>
      </c>
      <c r="AE93" s="16">
        <f t="shared" si="18"/>
        <v>33.811764705882354</v>
      </c>
      <c r="AF93" s="16">
        <f t="shared" si="20"/>
        <v>3.1</v>
      </c>
      <c r="AG93" s="16">
        <f t="shared" si="19"/>
        <v>33.811764705882354</v>
      </c>
      <c r="AI93" s="16">
        <f t="shared" si="9"/>
        <v>1.9</v>
      </c>
      <c r="AJ93" s="16">
        <f t="shared" si="10"/>
        <v>1.8872000000000002</v>
      </c>
      <c r="AK93" s="16">
        <f t="shared" si="11"/>
        <v>4</v>
      </c>
      <c r="AL93" s="16">
        <f>IF(AK93="",NA(),COUNTIF(AK93:$AK$176,AK93))</f>
        <v>1</v>
      </c>
      <c r="AM93" s="16">
        <f t="shared" si="12"/>
        <v>0</v>
      </c>
      <c r="AN93" s="16">
        <f t="shared" si="13"/>
        <v>26.4</v>
      </c>
      <c r="AO93" s="16">
        <f t="shared" si="14"/>
        <v>26.420800000000003</v>
      </c>
      <c r="AP93" s="16">
        <f t="shared" si="15"/>
        <v>56</v>
      </c>
      <c r="AQ93" s="16">
        <f>IF(AP93="",NA(),COUNTIF(AP93:$AP$176,AP93))</f>
        <v>1</v>
      </c>
      <c r="AR93" s="16">
        <f t="shared" si="16"/>
        <v>0</v>
      </c>
      <c r="BI93" s="621">
        <v>85</v>
      </c>
      <c r="BJ93" s="624"/>
      <c r="BK93" s="623"/>
      <c r="BL93" s="615">
        <v>85</v>
      </c>
      <c r="BM93" s="624"/>
      <c r="BN93" s="23"/>
      <c r="BO93" s="24"/>
      <c r="BQ93" s="621">
        <v>85</v>
      </c>
      <c r="BR93" s="624"/>
      <c r="BS93" s="623"/>
      <c r="BT93" s="615">
        <v>85</v>
      </c>
      <c r="BU93" s="624">
        <v>11.23</v>
      </c>
      <c r="BV93" s="23"/>
      <c r="BW93" s="24"/>
      <c r="BY93" s="621">
        <v>85</v>
      </c>
      <c r="BZ93" s="624"/>
      <c r="CA93" s="623"/>
      <c r="CB93" s="615">
        <v>85</v>
      </c>
      <c r="CC93" s="624"/>
      <c r="CD93" s="23"/>
      <c r="CE93" s="24"/>
    </row>
    <row r="94" spans="5:83" ht="12" customHeight="1">
      <c r="E94" s="621">
        <v>86</v>
      </c>
      <c r="F94" s="624"/>
      <c r="G94" s="623"/>
      <c r="H94" s="615">
        <v>86</v>
      </c>
      <c r="I94" s="624"/>
      <c r="J94" s="23"/>
      <c r="K94" s="24"/>
      <c r="L94" s="30"/>
      <c r="M94" s="30"/>
      <c r="N94" s="16">
        <f t="shared" si="5"/>
        <v>0.75</v>
      </c>
      <c r="O94" s="16">
        <f t="shared" si="6"/>
        <v>5.1898000000000009</v>
      </c>
      <c r="P94" s="16">
        <f t="shared" si="7"/>
        <v>2.15</v>
      </c>
      <c r="Q94" s="16">
        <f t="shared" si="8"/>
        <v>17.928400000000003</v>
      </c>
      <c r="W94" s="185" t="s">
        <v>375</v>
      </c>
      <c r="X94" s="16">
        <f>IF(AND(O17&lt;&gt;"",Q17&lt;&gt;""),SQRT((O17*O17*(None-1)+Q17*Q17*(Ntwo-1))/(None+Ntwo-2)),"")</f>
        <v>6.0902520098174984</v>
      </c>
      <c r="Y94" s="16">
        <f>None+Ntwo-2</f>
        <v>63</v>
      </c>
      <c r="Z94" s="16" t="s">
        <v>1000</v>
      </c>
      <c r="AC94" s="185">
        <v>4</v>
      </c>
      <c r="AD94" s="16">
        <f t="shared" si="17"/>
        <v>20</v>
      </c>
      <c r="AE94" s="16">
        <f t="shared" si="18"/>
        <v>28.811764705882354</v>
      </c>
      <c r="AF94" s="16">
        <f t="shared" si="20"/>
        <v>3.1</v>
      </c>
      <c r="AG94" s="16">
        <f t="shared" si="19"/>
        <v>28.811764705882354</v>
      </c>
      <c r="AI94" s="16">
        <f t="shared" si="9"/>
        <v>5.2</v>
      </c>
      <c r="AJ94" s="16">
        <f t="shared" si="10"/>
        <v>5.1898000000000009</v>
      </c>
      <c r="AK94" s="16">
        <f t="shared" si="11"/>
        <v>11</v>
      </c>
      <c r="AL94" s="16">
        <f>IF(AK94="",NA(),COUNTIF(AK94:$AK$176,AK94))</f>
        <v>3</v>
      </c>
      <c r="AM94" s="16">
        <f t="shared" si="12"/>
        <v>0.1</v>
      </c>
      <c r="AN94" s="16">
        <f t="shared" si="13"/>
        <v>18</v>
      </c>
      <c r="AO94" s="16">
        <f t="shared" si="14"/>
        <v>17.928400000000003</v>
      </c>
      <c r="AP94" s="16">
        <f t="shared" si="15"/>
        <v>38</v>
      </c>
      <c r="AQ94" s="16">
        <f>IF(AP94="",NA(),COUNTIF(AP94:$AP$176,AP94))</f>
        <v>1</v>
      </c>
      <c r="AR94" s="16">
        <f t="shared" si="16"/>
        <v>0</v>
      </c>
      <c r="BI94" s="621">
        <v>86</v>
      </c>
      <c r="BJ94" s="624"/>
      <c r="BK94" s="623"/>
      <c r="BL94" s="615">
        <v>86</v>
      </c>
      <c r="BM94" s="624"/>
      <c r="BN94" s="23"/>
      <c r="BO94" s="24"/>
      <c r="BQ94" s="621">
        <v>86</v>
      </c>
      <c r="BR94" s="624"/>
      <c r="BS94" s="623"/>
      <c r="BT94" s="615">
        <v>86</v>
      </c>
      <c r="BU94" s="624">
        <v>9.17</v>
      </c>
      <c r="BV94" s="23"/>
      <c r="BW94" s="24"/>
      <c r="BY94" s="621">
        <v>86</v>
      </c>
      <c r="BZ94" s="624"/>
      <c r="CA94" s="623"/>
      <c r="CB94" s="615">
        <v>86</v>
      </c>
      <c r="CC94" s="624"/>
      <c r="CD94" s="23"/>
      <c r="CE94" s="24"/>
    </row>
    <row r="95" spans="5:83" ht="12" customHeight="1">
      <c r="E95" s="621">
        <v>87</v>
      </c>
      <c r="F95" s="624"/>
      <c r="G95" s="623"/>
      <c r="H95" s="615">
        <v>87</v>
      </c>
      <c r="I95" s="624"/>
      <c r="J95" s="23"/>
      <c r="K95" s="24"/>
      <c r="N95" s="16">
        <f t="shared" si="5"/>
        <v>0.85</v>
      </c>
      <c r="O95" s="16">
        <f t="shared" si="6"/>
        <v>9.9078000000000017</v>
      </c>
      <c r="P95" s="16">
        <f t="shared" si="7"/>
        <v>2.1999999999999997</v>
      </c>
      <c r="Q95" s="16">
        <f t="shared" si="8"/>
        <v>18.872000000000003</v>
      </c>
      <c r="W95" s="185" t="s">
        <v>1081</v>
      </c>
      <c r="X95" s="16">
        <f>X94*SQRT(1/None+1/Ntwo)</f>
        <v>1.5124173006702841</v>
      </c>
      <c r="Y95" s="16">
        <f>TINV((1-Q9/100),Y94)</f>
        <v>1.9983405224495088</v>
      </c>
      <c r="Z95" s="16" t="s">
        <v>376</v>
      </c>
      <c r="AC95" s="185">
        <v>3</v>
      </c>
      <c r="AD95" s="16">
        <f t="shared" si="17"/>
        <v>15</v>
      </c>
      <c r="AE95" s="16">
        <f t="shared" si="18"/>
        <v>23.811764705882354</v>
      </c>
      <c r="AF95" s="16">
        <f t="shared" si="20"/>
        <v>3.1</v>
      </c>
      <c r="AG95" s="16">
        <f t="shared" si="19"/>
        <v>23.811764705882354</v>
      </c>
      <c r="AI95" s="16">
        <f t="shared" si="9"/>
        <v>9.6999999999999993</v>
      </c>
      <c r="AJ95" s="16">
        <f t="shared" si="10"/>
        <v>9.9078000000000017</v>
      </c>
      <c r="AK95" s="16">
        <f t="shared" si="11"/>
        <v>21</v>
      </c>
      <c r="AL95" s="16">
        <f>IF(AK95="",NA(),COUNTIF(AK95:$AK$176,AK95))</f>
        <v>1</v>
      </c>
      <c r="AM95" s="16">
        <f t="shared" si="12"/>
        <v>0</v>
      </c>
      <c r="AN95" s="16">
        <f t="shared" si="13"/>
        <v>19</v>
      </c>
      <c r="AO95" s="16">
        <f t="shared" si="14"/>
        <v>18.872000000000003</v>
      </c>
      <c r="AP95" s="16">
        <f t="shared" si="15"/>
        <v>40</v>
      </c>
      <c r="AQ95" s="16">
        <f>IF(AP95="",NA(),COUNTIF(AP95:$AP$176,AP95))</f>
        <v>2</v>
      </c>
      <c r="AR95" s="16">
        <f t="shared" si="16"/>
        <v>0.05</v>
      </c>
      <c r="BI95" s="621">
        <v>87</v>
      </c>
      <c r="BJ95" s="624"/>
      <c r="BK95" s="623"/>
      <c r="BL95" s="615">
        <v>87</v>
      </c>
      <c r="BM95" s="624"/>
      <c r="BN95" s="23"/>
      <c r="BO95" s="24"/>
      <c r="BQ95" s="621">
        <v>87</v>
      </c>
      <c r="BR95" s="624"/>
      <c r="BS95" s="623"/>
      <c r="BT95" s="615">
        <v>87</v>
      </c>
      <c r="BU95" s="624">
        <v>14.29</v>
      </c>
      <c r="BV95" s="23"/>
      <c r="BW95" s="24"/>
      <c r="BY95" s="621">
        <v>87</v>
      </c>
      <c r="BZ95" s="624"/>
      <c r="CA95" s="623"/>
      <c r="CB95" s="615">
        <v>87</v>
      </c>
      <c r="CC95" s="624"/>
      <c r="CD95" s="23"/>
      <c r="CE95" s="24"/>
    </row>
    <row r="96" spans="5:83" ht="12" customHeight="1">
      <c r="E96" s="621">
        <v>88</v>
      </c>
      <c r="F96" s="624"/>
      <c r="G96" s="623"/>
      <c r="H96" s="615">
        <v>88</v>
      </c>
      <c r="I96" s="624"/>
      <c r="J96" s="23"/>
      <c r="K96" s="24"/>
      <c r="L96" s="30"/>
      <c r="M96" s="30"/>
      <c r="N96" s="16">
        <f t="shared" si="5"/>
        <v>0.79999999999999993</v>
      </c>
      <c r="O96" s="16">
        <f t="shared" si="6"/>
        <v>5.1898000000000009</v>
      </c>
      <c r="P96" s="16">
        <f t="shared" si="7"/>
        <v>2.15</v>
      </c>
      <c r="Q96" s="16">
        <f t="shared" si="8"/>
        <v>16.984800000000003</v>
      </c>
      <c r="W96" s="185" t="s">
        <v>245</v>
      </c>
      <c r="X96" s="16">
        <f>Y95*X95</f>
        <v>3.0223247787831315</v>
      </c>
      <c r="AC96" s="185">
        <v>2</v>
      </c>
      <c r="AD96" s="16">
        <f t="shared" si="17"/>
        <v>10</v>
      </c>
      <c r="AE96" s="16">
        <f t="shared" si="18"/>
        <v>18.811764705882354</v>
      </c>
      <c r="AF96" s="16">
        <f t="shared" si="20"/>
        <v>3.1</v>
      </c>
      <c r="AG96" s="16">
        <f t="shared" si="19"/>
        <v>18.811764705882354</v>
      </c>
      <c r="AI96" s="16">
        <f t="shared" si="9"/>
        <v>5.2</v>
      </c>
      <c r="AJ96" s="16">
        <f t="shared" si="10"/>
        <v>5.1898000000000009</v>
      </c>
      <c r="AK96" s="16">
        <f t="shared" si="11"/>
        <v>11</v>
      </c>
      <c r="AL96" s="16">
        <f>IF(AK96="",NA(),COUNTIF(AK96:$AK$176,AK96))</f>
        <v>2</v>
      </c>
      <c r="AM96" s="16">
        <f t="shared" si="12"/>
        <v>0.05</v>
      </c>
      <c r="AN96" s="16">
        <f t="shared" si="13"/>
        <v>16.899999999999999</v>
      </c>
      <c r="AO96" s="16">
        <f t="shared" si="14"/>
        <v>16.984800000000003</v>
      </c>
      <c r="AP96" s="16">
        <f t="shared" si="15"/>
        <v>36</v>
      </c>
      <c r="AQ96" s="16">
        <f>IF(AP96="",NA(),COUNTIF(AP96:$AP$176,AP96))</f>
        <v>1</v>
      </c>
      <c r="AR96" s="16">
        <f t="shared" si="16"/>
        <v>0</v>
      </c>
      <c r="BI96" s="621">
        <v>88</v>
      </c>
      <c r="BJ96" s="624"/>
      <c r="BK96" s="623"/>
      <c r="BL96" s="615">
        <v>88</v>
      </c>
      <c r="BM96" s="624"/>
      <c r="BN96" s="23"/>
      <c r="BO96" s="24"/>
      <c r="BQ96" s="621">
        <v>88</v>
      </c>
      <c r="BR96" s="624"/>
      <c r="BS96" s="623"/>
      <c r="BT96" s="615">
        <v>88</v>
      </c>
      <c r="BU96" s="624">
        <v>12.95</v>
      </c>
      <c r="BV96" s="23"/>
      <c r="BW96" s="24"/>
      <c r="BY96" s="621">
        <v>88</v>
      </c>
      <c r="BZ96" s="624"/>
      <c r="CA96" s="623"/>
      <c r="CB96" s="615">
        <v>88</v>
      </c>
      <c r="CC96" s="624"/>
      <c r="CD96" s="23"/>
      <c r="CE96" s="24"/>
    </row>
    <row r="97" spans="5:83" ht="12" customHeight="1">
      <c r="E97" s="621">
        <v>89</v>
      </c>
      <c r="F97" s="624"/>
      <c r="G97" s="623"/>
      <c r="H97" s="615">
        <v>89</v>
      </c>
      <c r="I97" s="624"/>
      <c r="J97" s="23"/>
      <c r="K97" s="24"/>
      <c r="N97" s="16">
        <f t="shared" si="5"/>
        <v>0.85</v>
      </c>
      <c r="O97" s="16">
        <f t="shared" si="6"/>
        <v>2.3590000000000004</v>
      </c>
      <c r="P97" s="16">
        <f t="shared" si="7"/>
        <v>2.15</v>
      </c>
      <c r="Q97" s="16">
        <f t="shared" si="8"/>
        <v>18.872000000000003</v>
      </c>
      <c r="W97" s="708" t="s">
        <v>377</v>
      </c>
      <c r="X97" s="287"/>
      <c r="Y97" s="287"/>
      <c r="Z97" s="337"/>
      <c r="AC97" s="185">
        <v>1</v>
      </c>
      <c r="AD97" s="16">
        <f t="shared" si="17"/>
        <v>5</v>
      </c>
      <c r="AE97" s="16">
        <f t="shared" si="18"/>
        <v>13.811764705882352</v>
      </c>
      <c r="AF97" s="16">
        <f t="shared" si="20"/>
        <v>3.1</v>
      </c>
      <c r="AG97" s="16">
        <f t="shared" si="19"/>
        <v>13.811764705882352</v>
      </c>
      <c r="AI97" s="16">
        <f t="shared" si="9"/>
        <v>2.4</v>
      </c>
      <c r="AJ97" s="16">
        <f t="shared" si="10"/>
        <v>2.3590000000000004</v>
      </c>
      <c r="AK97" s="16">
        <f t="shared" si="11"/>
        <v>5</v>
      </c>
      <c r="AL97" s="16">
        <f>IF(AK97="",NA(),COUNTIF(AK97:$AK$176,AK97))</f>
        <v>1</v>
      </c>
      <c r="AM97" s="16">
        <f t="shared" si="12"/>
        <v>0</v>
      </c>
      <c r="AN97" s="16">
        <f t="shared" si="13"/>
        <v>18.8</v>
      </c>
      <c r="AO97" s="16">
        <f t="shared" si="14"/>
        <v>18.872000000000003</v>
      </c>
      <c r="AP97" s="16">
        <f t="shared" si="15"/>
        <v>40</v>
      </c>
      <c r="AQ97" s="16">
        <f>IF(AP97="",NA(),COUNTIF(AP97:$AP$176,AP97))</f>
        <v>1</v>
      </c>
      <c r="AR97" s="16">
        <f t="shared" si="16"/>
        <v>0</v>
      </c>
      <c r="BI97" s="621">
        <v>89</v>
      </c>
      <c r="BJ97" s="624"/>
      <c r="BK97" s="623"/>
      <c r="BL97" s="615">
        <v>89</v>
      </c>
      <c r="BM97" s="624"/>
      <c r="BN97" s="23"/>
      <c r="BO97" s="24"/>
      <c r="BQ97" s="621">
        <v>89</v>
      </c>
      <c r="BR97" s="624"/>
      <c r="BS97" s="623"/>
      <c r="BT97" s="615">
        <v>89</v>
      </c>
      <c r="BU97" s="624">
        <v>13.74</v>
      </c>
      <c r="BV97" s="23"/>
      <c r="BW97" s="24"/>
      <c r="BY97" s="621">
        <v>89</v>
      </c>
      <c r="BZ97" s="624"/>
      <c r="CA97" s="623"/>
      <c r="CB97" s="615">
        <v>89</v>
      </c>
      <c r="CC97" s="624"/>
      <c r="CD97" s="23"/>
      <c r="CE97" s="24"/>
    </row>
    <row r="98" spans="5:83" ht="12" customHeight="1">
      <c r="E98" s="621">
        <v>90</v>
      </c>
      <c r="F98" s="624"/>
      <c r="G98" s="623"/>
      <c r="H98" s="615">
        <v>90</v>
      </c>
      <c r="I98" s="624"/>
      <c r="J98" s="23"/>
      <c r="K98" s="24"/>
      <c r="L98" s="30"/>
      <c r="M98" s="30"/>
      <c r="N98" s="16">
        <f t="shared" si="5"/>
        <v>0.85</v>
      </c>
      <c r="O98" s="16">
        <f t="shared" si="6"/>
        <v>7.0770000000000008</v>
      </c>
      <c r="P98" s="16">
        <f t="shared" si="7"/>
        <v>2.15</v>
      </c>
      <c r="Q98" s="16">
        <f t="shared" si="8"/>
        <v>8.4924000000000017</v>
      </c>
      <c r="W98" s="225" t="s">
        <v>378</v>
      </c>
      <c r="X98" s="197">
        <f>O17^2/None+Q17^2/Ntwo</f>
        <v>2.3756638432254169</v>
      </c>
      <c r="Y98" s="197"/>
      <c r="Z98" s="192"/>
      <c r="AC98" s="185">
        <v>0</v>
      </c>
      <c r="AD98" s="16">
        <f t="shared" si="17"/>
        <v>0</v>
      </c>
      <c r="AE98" s="16">
        <f t="shared" si="18"/>
        <v>8.8117647058823518</v>
      </c>
      <c r="AF98" s="16">
        <f t="shared" si="20"/>
        <v>3.1</v>
      </c>
      <c r="AG98" s="16">
        <f t="shared" si="19"/>
        <v>8.8117647058823518</v>
      </c>
      <c r="AI98" s="16">
        <f t="shared" si="9"/>
        <v>7.1</v>
      </c>
      <c r="AJ98" s="16">
        <f t="shared" si="10"/>
        <v>7.0770000000000008</v>
      </c>
      <c r="AK98" s="16">
        <f t="shared" si="11"/>
        <v>15</v>
      </c>
      <c r="AL98" s="16">
        <f>IF(AK98="",NA(),COUNTIF(AK98:$AK$176,AK98))</f>
        <v>1</v>
      </c>
      <c r="AM98" s="16">
        <f t="shared" si="12"/>
        <v>0</v>
      </c>
      <c r="AN98" s="16">
        <f t="shared" si="13"/>
        <v>8.5</v>
      </c>
      <c r="AO98" s="16">
        <f t="shared" si="14"/>
        <v>8.4924000000000017</v>
      </c>
      <c r="AP98" s="16">
        <f t="shared" si="15"/>
        <v>18</v>
      </c>
      <c r="AQ98" s="16">
        <f>IF(AP98="",NA(),COUNTIF(AP98:$AP$176,AP98))</f>
        <v>1</v>
      </c>
      <c r="AR98" s="16">
        <f t="shared" si="16"/>
        <v>0</v>
      </c>
      <c r="BI98" s="621">
        <v>90</v>
      </c>
      <c r="BJ98" s="624"/>
      <c r="BK98" s="623"/>
      <c r="BL98" s="615">
        <v>90</v>
      </c>
      <c r="BM98" s="624"/>
      <c r="BN98" s="23"/>
      <c r="BO98" s="24"/>
      <c r="BQ98" s="621">
        <v>90</v>
      </c>
      <c r="BR98" s="624"/>
      <c r="BS98" s="623"/>
      <c r="BT98" s="615">
        <v>90</v>
      </c>
      <c r="BU98" s="624">
        <v>9.66</v>
      </c>
      <c r="BV98" s="23"/>
      <c r="BW98" s="24"/>
      <c r="BY98" s="621">
        <v>90</v>
      </c>
      <c r="BZ98" s="624"/>
      <c r="CA98" s="623"/>
      <c r="CB98" s="615">
        <v>90</v>
      </c>
      <c r="CC98" s="624"/>
      <c r="CD98" s="23"/>
      <c r="CE98" s="24"/>
    </row>
    <row r="99" spans="5:83" ht="12" customHeight="1">
      <c r="E99" s="621">
        <v>91</v>
      </c>
      <c r="F99" s="624"/>
      <c r="G99" s="623"/>
      <c r="H99" s="615">
        <v>91</v>
      </c>
      <c r="I99" s="624"/>
      <c r="J99" s="23"/>
      <c r="K99" s="24"/>
      <c r="N99" s="16">
        <f t="shared" si="5"/>
        <v>0.79999999999999993</v>
      </c>
      <c r="O99" s="16">
        <f t="shared" si="6"/>
        <v>8.4924000000000017</v>
      </c>
      <c r="P99" s="16">
        <f t="shared" si="7"/>
        <v>2.15</v>
      </c>
      <c r="Q99" s="16">
        <f t="shared" si="8"/>
        <v>1.4154000000000002</v>
      </c>
      <c r="W99" s="225" t="s">
        <v>379</v>
      </c>
      <c r="X99" s="197">
        <f>SQRT(X98)</f>
        <v>1.5413188648769005</v>
      </c>
      <c r="Y99" s="197"/>
      <c r="Z99" s="192"/>
      <c r="AC99" s="185">
        <v>-1</v>
      </c>
      <c r="AD99" s="16">
        <f t="shared" si="17"/>
        <v>-5</v>
      </c>
      <c r="AE99" s="16">
        <f t="shared" si="18"/>
        <v>3.8117647058823518</v>
      </c>
      <c r="AF99" s="16">
        <f t="shared" si="20"/>
        <v>3.1</v>
      </c>
      <c r="AG99" s="16">
        <f t="shared" si="19"/>
        <v>3.8117647058823518</v>
      </c>
      <c r="AI99" s="16">
        <f t="shared" si="9"/>
        <v>8.6999999999999993</v>
      </c>
      <c r="AJ99" s="16">
        <f t="shared" si="10"/>
        <v>8.4924000000000017</v>
      </c>
      <c r="AK99" s="16">
        <f t="shared" si="11"/>
        <v>18</v>
      </c>
      <c r="AL99" s="16">
        <f>IF(AK99="",NA(),COUNTIF(AK99:$AK$176,AK99))</f>
        <v>2</v>
      </c>
      <c r="AM99" s="16">
        <f t="shared" si="12"/>
        <v>0.05</v>
      </c>
      <c r="AN99" s="16">
        <f t="shared" si="13"/>
        <v>1.2</v>
      </c>
      <c r="AO99" s="16">
        <f t="shared" si="14"/>
        <v>1.4154000000000002</v>
      </c>
      <c r="AP99" s="16">
        <f t="shared" si="15"/>
        <v>3</v>
      </c>
      <c r="AQ99" s="16">
        <f>IF(AP99="",NA(),COUNTIF(AP99:$AP$176,AP99))</f>
        <v>1</v>
      </c>
      <c r="AR99" s="16">
        <f t="shared" si="16"/>
        <v>0</v>
      </c>
      <c r="BI99" s="621">
        <v>91</v>
      </c>
      <c r="BJ99" s="624"/>
      <c r="BK99" s="623"/>
      <c r="BL99" s="615">
        <v>91</v>
      </c>
      <c r="BM99" s="624"/>
      <c r="BN99" s="23"/>
      <c r="BO99" s="24"/>
      <c r="BQ99" s="621">
        <v>91</v>
      </c>
      <c r="BR99" s="624"/>
      <c r="BS99" s="623"/>
      <c r="BT99" s="615">
        <v>91</v>
      </c>
      <c r="BU99" s="624">
        <v>11.43</v>
      </c>
      <c r="BV99" s="23"/>
      <c r="BW99" s="24"/>
      <c r="BY99" s="621">
        <v>91</v>
      </c>
      <c r="BZ99" s="624"/>
      <c r="CA99" s="623"/>
      <c r="CB99" s="615">
        <v>91</v>
      </c>
      <c r="CC99" s="624"/>
      <c r="CD99" s="23"/>
      <c r="CE99" s="24"/>
    </row>
    <row r="100" spans="5:83" ht="12" customHeight="1">
      <c r="E100" s="621">
        <v>92</v>
      </c>
      <c r="F100" s="624"/>
      <c r="G100" s="623"/>
      <c r="H100" s="615">
        <v>92</v>
      </c>
      <c r="I100" s="624"/>
      <c r="J100" s="23"/>
      <c r="K100" s="24"/>
      <c r="L100" s="30"/>
      <c r="M100" s="30"/>
      <c r="N100" s="16">
        <f t="shared" si="5"/>
        <v>0.85</v>
      </c>
      <c r="O100" s="16">
        <f t="shared" si="6"/>
        <v>8.0206000000000017</v>
      </c>
      <c r="P100" s="16">
        <f t="shared" si="7"/>
        <v>2.15</v>
      </c>
      <c r="Q100" s="16">
        <f t="shared" si="8"/>
        <v>11.323200000000002</v>
      </c>
      <c r="W100" s="225" t="s">
        <v>380</v>
      </c>
      <c r="X100" s="197">
        <f>(Q16-O16)/X99</f>
        <v>3.7030560404405146</v>
      </c>
      <c r="Y100" s="709"/>
      <c r="Z100" s="192"/>
      <c r="AC100" s="185">
        <v>-2</v>
      </c>
      <c r="AD100" s="16">
        <f t="shared" si="17"/>
        <v>-10</v>
      </c>
      <c r="AE100" s="16">
        <f t="shared" si="18"/>
        <v>-1.1882352941176482</v>
      </c>
      <c r="AF100" s="16">
        <f t="shared" si="20"/>
        <v>3.1</v>
      </c>
      <c r="AG100" s="16" t="e">
        <f t="shared" si="19"/>
        <v>#N/A</v>
      </c>
      <c r="AI100" s="16">
        <f t="shared" si="9"/>
        <v>8</v>
      </c>
      <c r="AJ100" s="16">
        <f t="shared" si="10"/>
        <v>8.0206000000000017</v>
      </c>
      <c r="AK100" s="16">
        <f t="shared" si="11"/>
        <v>17</v>
      </c>
      <c r="AL100" s="16">
        <f>IF(AK100="",NA(),COUNTIF(AK100:$AK$176,AK100))</f>
        <v>1</v>
      </c>
      <c r="AM100" s="16">
        <f t="shared" si="12"/>
        <v>0</v>
      </c>
      <c r="AN100" s="16">
        <f t="shared" si="13"/>
        <v>11.5</v>
      </c>
      <c r="AO100" s="16">
        <f t="shared" si="14"/>
        <v>11.323200000000002</v>
      </c>
      <c r="AP100" s="16">
        <f t="shared" si="15"/>
        <v>24</v>
      </c>
      <c r="AQ100" s="16">
        <f>IF(AP100="",NA(),COUNTIF(AP100:$AP$176,AP100))</f>
        <v>1</v>
      </c>
      <c r="AR100" s="16">
        <f t="shared" si="16"/>
        <v>0</v>
      </c>
      <c r="BI100" s="621">
        <v>92</v>
      </c>
      <c r="BJ100" s="624"/>
      <c r="BK100" s="623"/>
      <c r="BL100" s="615">
        <v>92</v>
      </c>
      <c r="BM100" s="624"/>
      <c r="BN100" s="23"/>
      <c r="BO100" s="24"/>
      <c r="BQ100" s="621">
        <v>92</v>
      </c>
      <c r="BR100" s="624"/>
      <c r="BS100" s="623"/>
      <c r="BT100" s="615">
        <v>92</v>
      </c>
      <c r="BU100" s="624">
        <v>11.35</v>
      </c>
      <c r="BV100" s="23"/>
      <c r="BW100" s="24"/>
      <c r="BY100" s="621">
        <v>92</v>
      </c>
      <c r="BZ100" s="624"/>
      <c r="CA100" s="623"/>
      <c r="CB100" s="615">
        <v>92</v>
      </c>
      <c r="CC100" s="624"/>
      <c r="CD100" s="23"/>
      <c r="CE100" s="24"/>
    </row>
    <row r="101" spans="5:83" ht="12" customHeight="1">
      <c r="E101" s="621">
        <v>93</v>
      </c>
      <c r="F101" s="624"/>
      <c r="G101" s="623"/>
      <c r="H101" s="615">
        <v>93</v>
      </c>
      <c r="I101" s="624"/>
      <c r="J101" s="23"/>
      <c r="K101" s="24"/>
      <c r="N101" s="16">
        <f t="shared" si="5"/>
        <v>0.85</v>
      </c>
      <c r="O101" s="16">
        <f t="shared" si="6"/>
        <v>11.323200000000002</v>
      </c>
      <c r="P101" s="16">
        <f t="shared" si="7"/>
        <v>2.15</v>
      </c>
      <c r="Q101" s="16">
        <f t="shared" si="8"/>
        <v>21.231000000000002</v>
      </c>
      <c r="W101" s="225" t="s">
        <v>381</v>
      </c>
      <c r="X101" s="197">
        <f>X98^2/(O17^4/(None^2*(None-1))+Q17^4/(Ntwo^2*(Ntwo-1)))</f>
        <v>50.815897838625617</v>
      </c>
      <c r="Y101" s="197"/>
      <c r="Z101" s="192"/>
      <c r="AC101" s="185">
        <v>-3</v>
      </c>
      <c r="AD101" s="16">
        <f t="shared" si="17"/>
        <v>-15</v>
      </c>
      <c r="AE101" s="16">
        <f t="shared" si="18"/>
        <v>-6.1882352941176482</v>
      </c>
      <c r="AF101" s="16">
        <f t="shared" si="20"/>
        <v>3.1</v>
      </c>
      <c r="AG101" s="16" t="e">
        <f t="shared" si="19"/>
        <v>#N/A</v>
      </c>
      <c r="AI101" s="16">
        <f t="shared" si="9"/>
        <v>11.3</v>
      </c>
      <c r="AJ101" s="16">
        <f t="shared" si="10"/>
        <v>11.323200000000002</v>
      </c>
      <c r="AK101" s="16">
        <f t="shared" si="11"/>
        <v>24</v>
      </c>
      <c r="AL101" s="16">
        <f>IF(AK101="",NA(),COUNTIF(AK101:$AK$176,AK101))</f>
        <v>1</v>
      </c>
      <c r="AM101" s="16">
        <f t="shared" si="12"/>
        <v>0</v>
      </c>
      <c r="AN101" s="16">
        <f t="shared" si="13"/>
        <v>21.4</v>
      </c>
      <c r="AO101" s="16">
        <f t="shared" si="14"/>
        <v>21.231000000000002</v>
      </c>
      <c r="AP101" s="16">
        <f t="shared" si="15"/>
        <v>45</v>
      </c>
      <c r="AQ101" s="16">
        <f>IF(AP101="",NA(),COUNTIF(AP101:$AP$176,AP101))</f>
        <v>1</v>
      </c>
      <c r="AR101" s="16">
        <f t="shared" si="16"/>
        <v>0</v>
      </c>
      <c r="BI101" s="621">
        <v>93</v>
      </c>
      <c r="BJ101" s="624"/>
      <c r="BK101" s="623"/>
      <c r="BL101" s="615">
        <v>93</v>
      </c>
      <c r="BM101" s="624"/>
      <c r="BN101" s="23"/>
      <c r="BO101" s="24"/>
      <c r="BQ101" s="621">
        <v>93</v>
      </c>
      <c r="BR101" s="624"/>
      <c r="BS101" s="623"/>
      <c r="BT101" s="615">
        <v>93</v>
      </c>
      <c r="BU101" s="624">
        <v>6.25</v>
      </c>
      <c r="BV101" s="23"/>
      <c r="BW101" s="24"/>
      <c r="BY101" s="621">
        <v>93</v>
      </c>
      <c r="BZ101" s="624"/>
      <c r="CA101" s="623"/>
      <c r="CB101" s="615">
        <v>93</v>
      </c>
      <c r="CC101" s="624"/>
      <c r="CD101" s="23"/>
      <c r="CE101" s="24"/>
    </row>
    <row r="102" spans="5:83" ht="12" customHeight="1">
      <c r="E102" s="621">
        <v>94</v>
      </c>
      <c r="F102" s="624"/>
      <c r="G102" s="623"/>
      <c r="H102" s="615">
        <v>94</v>
      </c>
      <c r="I102" s="624"/>
      <c r="J102" s="23"/>
      <c r="K102" s="24"/>
      <c r="L102" s="30"/>
      <c r="M102" s="30"/>
      <c r="N102" s="16">
        <f t="shared" si="5"/>
        <v>0.85</v>
      </c>
      <c r="O102" s="16">
        <f t="shared" si="6"/>
        <v>8.4924000000000017</v>
      </c>
      <c r="P102" s="16">
        <f t="shared" si="7"/>
        <v>2.15</v>
      </c>
      <c r="Q102" s="16">
        <f t="shared" si="8"/>
        <v>10.379600000000002</v>
      </c>
      <c r="W102" s="225" t="s">
        <v>382</v>
      </c>
      <c r="X102" s="197">
        <f>TDIST(ABS(X100),ROUNDDOWN(X101,0),2)</f>
        <v>5.3204461324350043E-4</v>
      </c>
      <c r="Y102" s="197">
        <f>TINV((1-Q9/100),ROUNDDOWN(X101,0))</f>
        <v>2.0085590721432576</v>
      </c>
      <c r="Z102" s="192" t="s">
        <v>383</v>
      </c>
      <c r="AC102" s="185">
        <v>-4</v>
      </c>
      <c r="AD102" s="16">
        <f t="shared" si="17"/>
        <v>-20</v>
      </c>
      <c r="AE102" s="16">
        <f t="shared" si="18"/>
        <v>-11.188235294117648</v>
      </c>
      <c r="AF102" s="16">
        <f t="shared" si="20"/>
        <v>3.1</v>
      </c>
      <c r="AG102" s="16" t="e">
        <f t="shared" si="19"/>
        <v>#N/A</v>
      </c>
      <c r="AI102" s="16">
        <f t="shared" si="9"/>
        <v>8.5</v>
      </c>
      <c r="AJ102" s="16">
        <f t="shared" si="10"/>
        <v>8.4924000000000017</v>
      </c>
      <c r="AK102" s="16">
        <f t="shared" si="11"/>
        <v>18</v>
      </c>
      <c r="AL102" s="16">
        <f>IF(AK102="",NA(),COUNTIF(AK102:$AK$176,AK102))</f>
        <v>1</v>
      </c>
      <c r="AM102" s="16">
        <f t="shared" si="12"/>
        <v>0</v>
      </c>
      <c r="AN102" s="16">
        <f t="shared" si="13"/>
        <v>10.3</v>
      </c>
      <c r="AO102" s="16">
        <f t="shared" si="14"/>
        <v>10.379600000000002</v>
      </c>
      <c r="AP102" s="16">
        <f t="shared" si="15"/>
        <v>22</v>
      </c>
      <c r="AQ102" s="16">
        <f>IF(AP102="",NA(),COUNTIF(AP102:$AP$176,AP102))</f>
        <v>1</v>
      </c>
      <c r="AR102" s="16">
        <f t="shared" si="16"/>
        <v>0</v>
      </c>
      <c r="BI102" s="621">
        <v>94</v>
      </c>
      <c r="BJ102" s="624"/>
      <c r="BK102" s="623"/>
      <c r="BL102" s="615">
        <v>94</v>
      </c>
      <c r="BM102" s="624"/>
      <c r="BN102" s="23"/>
      <c r="BO102" s="24"/>
      <c r="BQ102" s="621">
        <v>94</v>
      </c>
      <c r="BR102" s="624"/>
      <c r="BS102" s="623"/>
      <c r="BT102" s="615">
        <v>94</v>
      </c>
      <c r="BU102" s="624">
        <v>9.4499999999999993</v>
      </c>
      <c r="BV102" s="23"/>
      <c r="BW102" s="24"/>
      <c r="BY102" s="621">
        <v>94</v>
      </c>
      <c r="BZ102" s="624"/>
      <c r="CA102" s="623"/>
      <c r="CB102" s="615">
        <v>94</v>
      </c>
      <c r="CC102" s="624"/>
      <c r="CD102" s="23"/>
      <c r="CE102" s="24"/>
    </row>
    <row r="103" spans="5:83" ht="12" customHeight="1">
      <c r="E103" s="621">
        <v>95</v>
      </c>
      <c r="F103" s="624"/>
      <c r="G103" s="623"/>
      <c r="H103" s="615">
        <v>95</v>
      </c>
      <c r="I103" s="624"/>
      <c r="J103" s="23"/>
      <c r="K103" s="24"/>
      <c r="N103" s="16">
        <f t="shared" si="5"/>
        <v>0.79999999999999993</v>
      </c>
      <c r="O103" s="16">
        <f t="shared" si="6"/>
        <v>8.9642000000000017</v>
      </c>
      <c r="P103" s="16">
        <f t="shared" si="7"/>
        <v>2.15</v>
      </c>
      <c r="Q103" s="16">
        <f t="shared" si="8"/>
        <v>8.9642000000000017</v>
      </c>
      <c r="W103" s="225" t="s">
        <v>384</v>
      </c>
      <c r="X103" s="197">
        <f>TDIST(ABS(X100),ROUNDUP(X101,0),2)</f>
        <v>5.2391857637971333E-4</v>
      </c>
      <c r="Y103" s="197">
        <f>TINV((1-Q9/100),ROUNDUP(X101,0))</f>
        <v>2.0075837281747022</v>
      </c>
      <c r="Z103" s="192" t="s">
        <v>385</v>
      </c>
      <c r="AC103" s="185">
        <v>-5</v>
      </c>
      <c r="AD103" s="16">
        <f t="shared" si="17"/>
        <v>-25</v>
      </c>
      <c r="AE103" s="16">
        <f t="shared" si="18"/>
        <v>-16.188235294117646</v>
      </c>
      <c r="AF103" s="16">
        <f t="shared" si="20"/>
        <v>3.1</v>
      </c>
      <c r="AG103" s="16" t="e">
        <f t="shared" si="19"/>
        <v>#N/A</v>
      </c>
      <c r="AI103" s="16">
        <f t="shared" si="9"/>
        <v>9.1</v>
      </c>
      <c r="AJ103" s="16">
        <f t="shared" si="10"/>
        <v>8.9642000000000017</v>
      </c>
      <c r="AK103" s="16">
        <f t="shared" si="11"/>
        <v>19</v>
      </c>
      <c r="AL103" s="16">
        <f>IF(AK103="",NA(),COUNTIF(AK103:$AK$176,AK103))</f>
        <v>2</v>
      </c>
      <c r="AM103" s="16">
        <f t="shared" si="12"/>
        <v>0.05</v>
      </c>
      <c r="AN103" s="16">
        <f t="shared" si="13"/>
        <v>9</v>
      </c>
      <c r="AO103" s="16">
        <f t="shared" si="14"/>
        <v>8.9642000000000017</v>
      </c>
      <c r="AP103" s="16">
        <f t="shared" si="15"/>
        <v>19</v>
      </c>
      <c r="AQ103" s="16">
        <f>IF(AP103="",NA(),COUNTIF(AP103:$AP$176,AP103))</f>
        <v>1</v>
      </c>
      <c r="AR103" s="16">
        <f t="shared" si="16"/>
        <v>0</v>
      </c>
      <c r="BI103" s="621">
        <v>95</v>
      </c>
      <c r="BJ103" s="624"/>
      <c r="BK103" s="623"/>
      <c r="BL103" s="615">
        <v>95</v>
      </c>
      <c r="BM103" s="624"/>
      <c r="BN103" s="23"/>
      <c r="BO103" s="24"/>
      <c r="BQ103" s="621">
        <v>95</v>
      </c>
      <c r="BR103" s="624"/>
      <c r="BS103" s="623"/>
      <c r="BT103" s="615">
        <v>95</v>
      </c>
      <c r="BU103" s="624">
        <v>13.39</v>
      </c>
      <c r="BV103" s="23"/>
      <c r="BW103" s="24"/>
      <c r="BY103" s="621">
        <v>95</v>
      </c>
      <c r="BZ103" s="624"/>
      <c r="CA103" s="623"/>
      <c r="CB103" s="615">
        <v>95</v>
      </c>
      <c r="CC103" s="624"/>
      <c r="CD103" s="23"/>
      <c r="CE103" s="24"/>
    </row>
    <row r="104" spans="5:83" ht="12" customHeight="1">
      <c r="E104" s="621">
        <v>96</v>
      </c>
      <c r="F104" s="624"/>
      <c r="G104" s="623"/>
      <c r="H104" s="615">
        <v>96</v>
      </c>
      <c r="I104" s="624"/>
      <c r="J104" s="23"/>
      <c r="K104" s="24"/>
      <c r="L104" s="30"/>
      <c r="M104" s="30"/>
      <c r="N104" s="16">
        <f t="shared" si="5"/>
        <v>0.85</v>
      </c>
      <c r="O104" s="16">
        <f t="shared" si="6"/>
        <v>4.7180000000000009</v>
      </c>
      <c r="P104" s="16">
        <f t="shared" si="7"/>
        <v>2.15</v>
      </c>
      <c r="Q104" s="16">
        <f t="shared" si="8"/>
        <v>12.738600000000002</v>
      </c>
      <c r="W104" s="225" t="s">
        <v>386</v>
      </c>
      <c r="X104" s="197">
        <f>X101-ROUNDDOWN(X101,0)</f>
        <v>0.8158978386256166</v>
      </c>
      <c r="Y104" s="197"/>
      <c r="Z104" s="192"/>
      <c r="AC104" s="185">
        <v>-6</v>
      </c>
      <c r="AD104" s="16">
        <f t="shared" si="17"/>
        <v>-30</v>
      </c>
      <c r="AE104" s="16">
        <f t="shared" si="18"/>
        <v>-21.188235294117646</v>
      </c>
      <c r="AF104" s="16">
        <f t="shared" si="20"/>
        <v>3.1</v>
      </c>
      <c r="AG104" s="16" t="e">
        <f t="shared" si="19"/>
        <v>#N/A</v>
      </c>
      <c r="AI104" s="16">
        <f t="shared" si="9"/>
        <v>4.5</v>
      </c>
      <c r="AJ104" s="16">
        <f t="shared" si="10"/>
        <v>4.7180000000000009</v>
      </c>
      <c r="AK104" s="16">
        <f t="shared" si="11"/>
        <v>10</v>
      </c>
      <c r="AL104" s="16">
        <f>IF(AK104="",NA(),COUNTIF(AK104:$AK$176,AK104))</f>
        <v>1</v>
      </c>
      <c r="AM104" s="16">
        <f t="shared" si="12"/>
        <v>0</v>
      </c>
      <c r="AN104" s="16">
        <f t="shared" si="13"/>
        <v>12.8</v>
      </c>
      <c r="AO104" s="16">
        <f t="shared" si="14"/>
        <v>12.738600000000002</v>
      </c>
      <c r="AP104" s="16">
        <f t="shared" si="15"/>
        <v>27</v>
      </c>
      <c r="AQ104" s="16">
        <f>IF(AP104="",NA(),COUNTIF(AP104:$AP$176,AP104))</f>
        <v>1</v>
      </c>
      <c r="AR104" s="16">
        <f t="shared" si="16"/>
        <v>0</v>
      </c>
      <c r="BI104" s="621">
        <v>96</v>
      </c>
      <c r="BJ104" s="624"/>
      <c r="BK104" s="623"/>
      <c r="BL104" s="615">
        <v>96</v>
      </c>
      <c r="BM104" s="624"/>
      <c r="BN104" s="23"/>
      <c r="BO104" s="24"/>
      <c r="BQ104" s="621">
        <v>96</v>
      </c>
      <c r="BR104" s="624"/>
      <c r="BS104" s="623"/>
      <c r="BT104" s="615">
        <v>96</v>
      </c>
      <c r="BU104" s="624">
        <v>4.07</v>
      </c>
      <c r="BV104" s="23"/>
      <c r="BW104" s="24"/>
      <c r="BY104" s="621">
        <v>96</v>
      </c>
      <c r="BZ104" s="624"/>
      <c r="CA104" s="623"/>
      <c r="CB104" s="615">
        <v>96</v>
      </c>
      <c r="CC104" s="624"/>
      <c r="CD104" s="23"/>
      <c r="CE104" s="24"/>
    </row>
    <row r="105" spans="5:83" ht="12" customHeight="1">
      <c r="E105" s="621">
        <v>97</v>
      </c>
      <c r="F105" s="624"/>
      <c r="G105" s="623"/>
      <c r="H105" s="615">
        <v>97</v>
      </c>
      <c r="I105" s="624"/>
      <c r="J105" s="23"/>
      <c r="K105" s="24"/>
      <c r="N105" s="16">
        <f t="shared" si="5"/>
        <v>0.85</v>
      </c>
      <c r="O105" s="16">
        <f t="shared" si="6"/>
        <v>8.9642000000000017</v>
      </c>
      <c r="P105" s="16">
        <f t="shared" si="7"/>
        <v>2.15</v>
      </c>
      <c r="Q105" s="16">
        <f t="shared" si="8"/>
        <v>11.795000000000002</v>
      </c>
      <c r="W105" s="225" t="s">
        <v>387</v>
      </c>
      <c r="X105" s="197">
        <f>X103*$X$104+X102*(1-$X$104)</f>
        <v>5.2541459732974446E-4</v>
      </c>
      <c r="Y105" s="197">
        <f>Y103*$X$104+Y102*(1-$X$104)</f>
        <v>2.0077632911073966</v>
      </c>
      <c r="Z105" s="192" t="s">
        <v>376</v>
      </c>
      <c r="AC105" s="185">
        <v>-7</v>
      </c>
      <c r="AD105" s="16">
        <f t="shared" si="17"/>
        <v>-35</v>
      </c>
      <c r="AE105" s="16">
        <f t="shared" si="18"/>
        <v>-26.188235294117646</v>
      </c>
      <c r="AF105" s="16">
        <f t="shared" si="20"/>
        <v>3.1</v>
      </c>
      <c r="AG105" s="16" t="e">
        <f t="shared" si="19"/>
        <v>#N/A</v>
      </c>
      <c r="AI105" s="16">
        <f t="shared" si="9"/>
        <v>9.1999999999999993</v>
      </c>
      <c r="AJ105" s="16">
        <f t="shared" si="10"/>
        <v>8.9642000000000017</v>
      </c>
      <c r="AK105" s="16">
        <f t="shared" si="11"/>
        <v>19</v>
      </c>
      <c r="AL105" s="16">
        <f>IF(AK105="",NA(),COUNTIF(AK105:$AK$176,AK105))</f>
        <v>1</v>
      </c>
      <c r="AM105" s="16">
        <f t="shared" si="12"/>
        <v>0</v>
      </c>
      <c r="AN105" s="16">
        <f t="shared" si="13"/>
        <v>12</v>
      </c>
      <c r="AO105" s="16">
        <f t="shared" si="14"/>
        <v>11.795000000000002</v>
      </c>
      <c r="AP105" s="16">
        <f t="shared" si="15"/>
        <v>25</v>
      </c>
      <c r="AQ105" s="16">
        <f>IF(AP105="",NA(),COUNTIF(AP105:$AP$176,AP105))</f>
        <v>1</v>
      </c>
      <c r="AR105" s="16">
        <f t="shared" si="16"/>
        <v>0</v>
      </c>
      <c r="BI105" s="621">
        <v>97</v>
      </c>
      <c r="BJ105" s="624"/>
      <c r="BK105" s="623"/>
      <c r="BL105" s="615">
        <v>97</v>
      </c>
      <c r="BM105" s="624"/>
      <c r="BN105" s="23"/>
      <c r="BO105" s="24"/>
      <c r="BQ105" s="621">
        <v>97</v>
      </c>
      <c r="BR105" s="624"/>
      <c r="BS105" s="623"/>
      <c r="BT105" s="615">
        <v>97</v>
      </c>
      <c r="BU105" s="624">
        <v>11.4</v>
      </c>
      <c r="BV105" s="23"/>
      <c r="BW105" s="24"/>
      <c r="BY105" s="621">
        <v>97</v>
      </c>
      <c r="BZ105" s="624"/>
      <c r="CA105" s="623"/>
      <c r="CB105" s="615">
        <v>97</v>
      </c>
      <c r="CC105" s="624"/>
      <c r="CD105" s="23"/>
      <c r="CE105" s="24"/>
    </row>
    <row r="106" spans="5:83" ht="12" customHeight="1">
      <c r="E106" s="621">
        <v>98</v>
      </c>
      <c r="F106" s="624"/>
      <c r="G106" s="623"/>
      <c r="H106" s="615">
        <v>98</v>
      </c>
      <c r="I106" s="624"/>
      <c r="J106" s="23"/>
      <c r="K106" s="24"/>
      <c r="L106" s="30"/>
      <c r="M106" s="30"/>
      <c r="N106" s="16">
        <f t="shared" si="5"/>
        <v>0.85</v>
      </c>
      <c r="O106" s="16">
        <f t="shared" si="6"/>
        <v>13.210400000000002</v>
      </c>
      <c r="P106" s="16">
        <f t="shared" si="7"/>
        <v>2.15</v>
      </c>
      <c r="Q106" s="16">
        <f t="shared" si="8"/>
        <v>34.913200000000003</v>
      </c>
      <c r="W106" s="249" t="s">
        <v>245</v>
      </c>
      <c r="X106" s="232">
        <f>Y105*X99</f>
        <v>3.0946034367911626</v>
      </c>
      <c r="Y106" s="710"/>
      <c r="Z106" s="262"/>
      <c r="AC106" s="185">
        <v>-8</v>
      </c>
      <c r="AD106" s="16">
        <f t="shared" si="17"/>
        <v>-40</v>
      </c>
      <c r="AE106" s="16">
        <f t="shared" si="18"/>
        <v>-31.188235294117646</v>
      </c>
      <c r="AF106" s="16">
        <f t="shared" si="20"/>
        <v>3.1</v>
      </c>
      <c r="AG106" s="16" t="e">
        <f t="shared" si="19"/>
        <v>#N/A</v>
      </c>
      <c r="AI106" s="16">
        <f t="shared" si="9"/>
        <v>13.3</v>
      </c>
      <c r="AJ106" s="16">
        <f t="shared" si="10"/>
        <v>13.210400000000002</v>
      </c>
      <c r="AK106" s="16">
        <f t="shared" si="11"/>
        <v>28</v>
      </c>
      <c r="AL106" s="16">
        <f>IF(AK106="",NA(),COUNTIF(AK106:$AK$176,AK106))</f>
        <v>1</v>
      </c>
      <c r="AM106" s="16">
        <f t="shared" si="12"/>
        <v>0</v>
      </c>
      <c r="AN106" s="16">
        <f t="shared" si="13"/>
        <v>34.700000000000003</v>
      </c>
      <c r="AO106" s="16">
        <f t="shared" si="14"/>
        <v>34.913200000000003</v>
      </c>
      <c r="AP106" s="16">
        <f t="shared" si="15"/>
        <v>74</v>
      </c>
      <c r="AQ106" s="16">
        <f>IF(AP106="",NA(),COUNTIF(AP106:$AP$176,AP106))</f>
        <v>1</v>
      </c>
      <c r="AR106" s="16">
        <f t="shared" si="16"/>
        <v>0</v>
      </c>
      <c r="BI106" s="621">
        <v>98</v>
      </c>
      <c r="BJ106" s="624"/>
      <c r="BK106" s="623"/>
      <c r="BL106" s="615">
        <v>98</v>
      </c>
      <c r="BM106" s="624"/>
      <c r="BN106" s="23"/>
      <c r="BO106" s="24"/>
      <c r="BQ106" s="621">
        <v>98</v>
      </c>
      <c r="BR106" s="624"/>
      <c r="BS106" s="623"/>
      <c r="BT106" s="615">
        <v>98</v>
      </c>
      <c r="BU106" s="624">
        <v>11.51</v>
      </c>
      <c r="BV106" s="23"/>
      <c r="BW106" s="24"/>
      <c r="BY106" s="621">
        <v>98</v>
      </c>
      <c r="BZ106" s="624"/>
      <c r="CA106" s="623"/>
      <c r="CB106" s="615">
        <v>98</v>
      </c>
      <c r="CC106" s="624"/>
      <c r="CD106" s="23"/>
      <c r="CE106" s="24"/>
    </row>
    <row r="107" spans="5:83" ht="12" customHeight="1">
      <c r="E107" s="621">
        <v>99</v>
      </c>
      <c r="F107" s="624"/>
      <c r="G107" s="623"/>
      <c r="H107" s="615">
        <v>99</v>
      </c>
      <c r="I107" s="624"/>
      <c r="J107" s="23"/>
      <c r="K107" s="24"/>
      <c r="N107" s="16">
        <f t="shared" si="5"/>
        <v>0.85</v>
      </c>
      <c r="O107" s="16">
        <f t="shared" si="6"/>
        <v>18.400200000000002</v>
      </c>
      <c r="P107" s="16">
        <f t="shared" si="7"/>
        <v>2.15</v>
      </c>
      <c r="Q107" s="16">
        <f t="shared" si="8"/>
        <v>4.2462000000000009</v>
      </c>
      <c r="AC107" s="185">
        <v>-9</v>
      </c>
      <c r="AD107" s="16">
        <f t="shared" si="17"/>
        <v>-45</v>
      </c>
      <c r="AE107" s="16">
        <f t="shared" si="18"/>
        <v>-36.188235294117646</v>
      </c>
      <c r="AF107" s="16">
        <f t="shared" si="20"/>
        <v>3.1</v>
      </c>
      <c r="AG107" s="16" t="e">
        <f t="shared" si="19"/>
        <v>#N/A</v>
      </c>
      <c r="AI107" s="16">
        <f t="shared" si="9"/>
        <v>18.3</v>
      </c>
      <c r="AJ107" s="16">
        <f t="shared" si="10"/>
        <v>18.400200000000002</v>
      </c>
      <c r="AK107" s="16">
        <f t="shared" si="11"/>
        <v>39</v>
      </c>
      <c r="AL107" s="16">
        <f>IF(AK107="",NA(),COUNTIF(AK107:$AK$176,AK107))</f>
        <v>1</v>
      </c>
      <c r="AM107" s="16">
        <f t="shared" si="12"/>
        <v>0</v>
      </c>
      <c r="AN107" s="16">
        <f t="shared" si="13"/>
        <v>4.0999999999999996</v>
      </c>
      <c r="AO107" s="16">
        <f t="shared" si="14"/>
        <v>4.2462000000000009</v>
      </c>
      <c r="AP107" s="16">
        <f t="shared" si="15"/>
        <v>9</v>
      </c>
      <c r="AQ107" s="16">
        <f>IF(AP107="",NA(),COUNTIF(AP107:$AP$176,AP107))</f>
        <v>1</v>
      </c>
      <c r="AR107" s="16">
        <f t="shared" si="16"/>
        <v>0</v>
      </c>
      <c r="BI107" s="621">
        <v>99</v>
      </c>
      <c r="BJ107" s="624"/>
      <c r="BK107" s="623"/>
      <c r="BL107" s="615">
        <v>99</v>
      </c>
      <c r="BM107" s="624"/>
      <c r="BN107" s="23"/>
      <c r="BO107" s="24"/>
      <c r="BQ107" s="621">
        <v>99</v>
      </c>
      <c r="BR107" s="624"/>
      <c r="BS107" s="623"/>
      <c r="BT107" s="615">
        <v>99</v>
      </c>
      <c r="BU107" s="624">
        <v>12.88</v>
      </c>
      <c r="BV107" s="23"/>
      <c r="BW107" s="24"/>
      <c r="BY107" s="621">
        <v>99</v>
      </c>
      <c r="BZ107" s="624"/>
      <c r="CA107" s="623"/>
      <c r="CB107" s="615">
        <v>99</v>
      </c>
      <c r="CC107" s="624"/>
      <c r="CD107" s="23"/>
      <c r="CE107" s="24"/>
    </row>
    <row r="108" spans="5:83" ht="12" customHeight="1">
      <c r="E108" s="621">
        <v>100</v>
      </c>
      <c r="F108" s="624"/>
      <c r="G108" s="623"/>
      <c r="H108" s="615">
        <v>100</v>
      </c>
      <c r="I108" s="624"/>
      <c r="J108" s="239"/>
      <c r="K108" s="24"/>
      <c r="L108" s="30"/>
      <c r="M108" s="30"/>
      <c r="N108" s="16">
        <f t="shared" si="5"/>
        <v>0.85</v>
      </c>
      <c r="O108" s="16">
        <f t="shared" si="6"/>
        <v>2.8308000000000004</v>
      </c>
      <c r="P108" s="16" t="e">
        <f t="shared" si="7"/>
        <v>#N/A</v>
      </c>
      <c r="Q108" s="16" t="e">
        <f t="shared" si="8"/>
        <v>#N/A</v>
      </c>
      <c r="AC108" s="185">
        <v>-10</v>
      </c>
      <c r="AD108" s="16">
        <f t="shared" si="17"/>
        <v>-50</v>
      </c>
      <c r="AE108" s="16">
        <f t="shared" si="18"/>
        <v>-41.188235294117646</v>
      </c>
      <c r="AF108" s="16">
        <f t="shared" si="20"/>
        <v>3.1</v>
      </c>
      <c r="AG108" s="16" t="e">
        <f t="shared" si="19"/>
        <v>#N/A</v>
      </c>
      <c r="AI108" s="16">
        <f t="shared" si="9"/>
        <v>2.8</v>
      </c>
      <c r="AJ108" s="16">
        <f t="shared" si="10"/>
        <v>2.8308000000000004</v>
      </c>
      <c r="AK108" s="16">
        <f t="shared" si="11"/>
        <v>6</v>
      </c>
      <c r="AL108" s="16">
        <f>IF(AK108="",NA(),COUNTIF(AK108:$AK$176,AK108))</f>
        <v>1</v>
      </c>
      <c r="AM108" s="16">
        <f t="shared" si="12"/>
        <v>0</v>
      </c>
      <c r="AN108" s="16" t="e">
        <f t="shared" si="13"/>
        <v>#N/A</v>
      </c>
      <c r="AO108" s="16" t="str">
        <f t="shared" si="14"/>
        <v/>
      </c>
      <c r="AP108" s="16" t="str">
        <f t="shared" si="15"/>
        <v/>
      </c>
      <c r="AQ108" s="16" t="e">
        <f>IF(AP108="",NA(),COUNTIF(AP108:$AP$176,AP108))</f>
        <v>#N/A</v>
      </c>
      <c r="AR108" s="16" t="e">
        <f t="shared" si="16"/>
        <v>#N/A</v>
      </c>
      <c r="BI108" s="621">
        <v>100</v>
      </c>
      <c r="BJ108" s="624"/>
      <c r="BK108" s="623"/>
      <c r="BL108" s="615">
        <v>100</v>
      </c>
      <c r="BM108" s="624"/>
      <c r="BN108" s="239"/>
      <c r="BO108" s="24"/>
      <c r="BQ108" s="621">
        <v>100</v>
      </c>
      <c r="BR108" s="624"/>
      <c r="BS108" s="623"/>
      <c r="BT108" s="615">
        <v>100</v>
      </c>
      <c r="BU108" s="624">
        <v>5.64</v>
      </c>
      <c r="BV108" s="239"/>
      <c r="BW108" s="24"/>
      <c r="BY108" s="621">
        <v>100</v>
      </c>
      <c r="BZ108" s="624"/>
      <c r="CA108" s="623"/>
      <c r="CB108" s="615">
        <v>100</v>
      </c>
      <c r="CC108" s="624"/>
      <c r="CD108" s="239"/>
      <c r="CE108" s="24"/>
    </row>
    <row r="109" spans="5:83" ht="12" customHeight="1">
      <c r="E109" s="621">
        <v>101</v>
      </c>
      <c r="F109" s="624"/>
      <c r="G109" s="623"/>
      <c r="H109" s="615">
        <v>101</v>
      </c>
      <c r="I109" s="624"/>
      <c r="J109" s="239"/>
      <c r="K109" s="24"/>
      <c r="N109" s="16">
        <f t="shared" ref="N109:N140" si="21">0.85-IF($AL$75,AM109,0)</f>
        <v>0.85</v>
      </c>
      <c r="O109" s="16">
        <f t="shared" ref="O109:O140" si="22">IF(AJ109="",NA(),IF($AL$75,AJ109,AI109))</f>
        <v>5.1898000000000009</v>
      </c>
      <c r="P109" s="16" t="e">
        <f t="shared" ref="P109:P140" si="23">2.15+IF($AL$75,AR109,0)</f>
        <v>#N/A</v>
      </c>
      <c r="Q109" s="16" t="e">
        <f t="shared" ref="Q109:Q140" si="24">IF(AO109="",NA(),IF($AL$75,AO109,AN109))</f>
        <v>#N/A</v>
      </c>
      <c r="AI109" s="16">
        <f t="shared" si="9"/>
        <v>5.0999999999999996</v>
      </c>
      <c r="AJ109" s="16">
        <f t="shared" si="10"/>
        <v>5.1898000000000009</v>
      </c>
      <c r="AK109" s="16">
        <f t="shared" si="11"/>
        <v>11</v>
      </c>
      <c r="AL109" s="16">
        <f>IF(AK109="",NA(),COUNTIF(AK109:$AK$176,AK109))</f>
        <v>1</v>
      </c>
      <c r="AM109" s="16">
        <f t="shared" si="12"/>
        <v>0</v>
      </c>
      <c r="AN109" s="16" t="e">
        <f t="shared" si="13"/>
        <v>#N/A</v>
      </c>
      <c r="AO109" s="16" t="str">
        <f t="shared" si="14"/>
        <v/>
      </c>
      <c r="AP109" s="16" t="str">
        <f t="shared" si="15"/>
        <v/>
      </c>
      <c r="AQ109" s="16" t="e">
        <f>IF(AP109="",NA(),COUNTIF(AP109:$AP$176,AP109))</f>
        <v>#N/A</v>
      </c>
      <c r="AR109" s="16" t="e">
        <f t="shared" si="16"/>
        <v>#N/A</v>
      </c>
      <c r="BI109" s="621">
        <v>101</v>
      </c>
      <c r="BJ109" s="624"/>
      <c r="BK109" s="623"/>
      <c r="BL109" s="615">
        <v>101</v>
      </c>
      <c r="BM109" s="624"/>
      <c r="BN109" s="239"/>
      <c r="BO109" s="24"/>
      <c r="BQ109" s="621">
        <v>101</v>
      </c>
      <c r="BR109" s="624"/>
      <c r="BS109" s="623"/>
      <c r="BT109" s="615">
        <v>101</v>
      </c>
      <c r="BU109" s="624">
        <v>7.78</v>
      </c>
      <c r="BV109" s="239"/>
      <c r="BW109" s="24"/>
      <c r="BY109" s="621">
        <v>101</v>
      </c>
      <c r="BZ109" s="624"/>
      <c r="CA109" s="623"/>
      <c r="CB109" s="615">
        <v>101</v>
      </c>
      <c r="CC109" s="624"/>
      <c r="CD109" s="239"/>
      <c r="CE109" s="24"/>
    </row>
    <row r="110" spans="5:83" ht="12" customHeight="1">
      <c r="E110" s="621">
        <v>102</v>
      </c>
      <c r="F110" s="624"/>
      <c r="G110" s="623"/>
      <c r="H110" s="615">
        <v>102</v>
      </c>
      <c r="I110" s="624"/>
      <c r="J110" s="239"/>
      <c r="K110" s="24"/>
      <c r="L110" s="30"/>
      <c r="M110" s="30"/>
      <c r="N110" s="16">
        <f t="shared" si="21"/>
        <v>0.85</v>
      </c>
      <c r="O110" s="16">
        <f t="shared" si="22"/>
        <v>12.266800000000002</v>
      </c>
      <c r="P110" s="16" t="e">
        <f t="shared" si="23"/>
        <v>#N/A</v>
      </c>
      <c r="Q110" s="16" t="e">
        <f t="shared" si="24"/>
        <v>#N/A</v>
      </c>
      <c r="AI110" s="16">
        <f t="shared" si="9"/>
        <v>12.4</v>
      </c>
      <c r="AJ110" s="16">
        <f t="shared" si="10"/>
        <v>12.266800000000002</v>
      </c>
      <c r="AK110" s="16">
        <f t="shared" si="11"/>
        <v>26</v>
      </c>
      <c r="AL110" s="16">
        <f>IF(AK110="",NA(),COUNTIF(AK110:$AK$176,AK110))</f>
        <v>1</v>
      </c>
      <c r="AM110" s="16">
        <f t="shared" si="12"/>
        <v>0</v>
      </c>
      <c r="AN110" s="16" t="e">
        <f t="shared" si="13"/>
        <v>#N/A</v>
      </c>
      <c r="AO110" s="16" t="str">
        <f t="shared" si="14"/>
        <v/>
      </c>
      <c r="AP110" s="16" t="str">
        <f t="shared" si="15"/>
        <v/>
      </c>
      <c r="AQ110" s="16" t="e">
        <f>IF(AP110="",NA(),COUNTIF(AP110:$AP$176,AP110))</f>
        <v>#N/A</v>
      </c>
      <c r="AR110" s="16" t="e">
        <f t="shared" si="16"/>
        <v>#N/A</v>
      </c>
      <c r="BI110" s="621">
        <v>102</v>
      </c>
      <c r="BJ110" s="624"/>
      <c r="BK110" s="623"/>
      <c r="BL110" s="615">
        <v>102</v>
      </c>
      <c r="BM110" s="624"/>
      <c r="BN110" s="239"/>
      <c r="BO110" s="24"/>
      <c r="BQ110" s="621">
        <v>102</v>
      </c>
      <c r="BR110" s="624"/>
      <c r="BS110" s="623"/>
      <c r="BT110" s="615">
        <v>102</v>
      </c>
      <c r="BU110" s="624">
        <v>26.77</v>
      </c>
      <c r="BV110" s="239"/>
      <c r="BW110" s="24"/>
      <c r="BY110" s="621">
        <v>102</v>
      </c>
      <c r="BZ110" s="624"/>
      <c r="CA110" s="623"/>
      <c r="CB110" s="615">
        <v>102</v>
      </c>
      <c r="CC110" s="624"/>
      <c r="CD110" s="239"/>
      <c r="CE110" s="24"/>
    </row>
    <row r="111" spans="5:83" ht="12" customHeight="1">
      <c r="E111" s="621">
        <v>103</v>
      </c>
      <c r="F111" s="624"/>
      <c r="G111" s="623"/>
      <c r="H111" s="615">
        <v>103</v>
      </c>
      <c r="I111" s="624"/>
      <c r="J111" s="239"/>
      <c r="K111" s="24"/>
      <c r="N111" s="16" t="e">
        <f t="shared" si="21"/>
        <v>#N/A</v>
      </c>
      <c r="O111" s="16" t="e">
        <f t="shared" si="22"/>
        <v>#N/A</v>
      </c>
      <c r="P111" s="16" t="e">
        <f t="shared" si="23"/>
        <v>#N/A</v>
      </c>
      <c r="Q111" s="16" t="e">
        <f t="shared" si="24"/>
        <v>#N/A</v>
      </c>
      <c r="AI111" s="16" t="e">
        <f t="shared" si="9"/>
        <v>#N/A</v>
      </c>
      <c r="AJ111" s="16" t="str">
        <f t="shared" si="10"/>
        <v/>
      </c>
      <c r="AK111" s="16" t="str">
        <f t="shared" si="11"/>
        <v/>
      </c>
      <c r="AL111" s="16" t="e">
        <f>IF(AK111="",NA(),COUNTIF(AK111:$AK$176,AK111))</f>
        <v>#N/A</v>
      </c>
      <c r="AM111" s="16" t="e">
        <f t="shared" si="12"/>
        <v>#N/A</v>
      </c>
      <c r="AN111" s="16" t="e">
        <f t="shared" si="13"/>
        <v>#N/A</v>
      </c>
      <c r="AO111" s="16" t="str">
        <f t="shared" si="14"/>
        <v/>
      </c>
      <c r="AP111" s="16" t="str">
        <f t="shared" si="15"/>
        <v/>
      </c>
      <c r="AQ111" s="16" t="e">
        <f>IF(AP111="",NA(),COUNTIF(AP111:$AP$176,AP111))</f>
        <v>#N/A</v>
      </c>
      <c r="AR111" s="16" t="e">
        <f t="shared" si="16"/>
        <v>#N/A</v>
      </c>
      <c r="BI111" s="621">
        <v>103</v>
      </c>
      <c r="BJ111" s="624"/>
      <c r="BK111" s="623"/>
      <c r="BL111" s="615">
        <v>103</v>
      </c>
      <c r="BM111" s="624"/>
      <c r="BN111" s="239"/>
      <c r="BO111" s="24"/>
      <c r="BQ111" s="621">
        <v>103</v>
      </c>
      <c r="BR111" s="624"/>
      <c r="BS111" s="623"/>
      <c r="BT111" s="615">
        <v>103</v>
      </c>
      <c r="BU111" s="624">
        <v>12.69</v>
      </c>
      <c r="BV111" s="239"/>
      <c r="BW111" s="24"/>
      <c r="BY111" s="621">
        <v>103</v>
      </c>
      <c r="BZ111" s="624"/>
      <c r="CA111" s="623"/>
      <c r="CB111" s="615">
        <v>103</v>
      </c>
      <c r="CC111" s="624"/>
      <c r="CD111" s="239"/>
      <c r="CE111" s="24"/>
    </row>
    <row r="112" spans="5:83" ht="12" customHeight="1">
      <c r="E112" s="621">
        <v>104</v>
      </c>
      <c r="F112" s="624"/>
      <c r="G112" s="623"/>
      <c r="H112" s="615">
        <v>104</v>
      </c>
      <c r="I112" s="624"/>
      <c r="J112" s="239"/>
      <c r="K112" s="24"/>
      <c r="L112" s="30"/>
      <c r="M112" s="30"/>
      <c r="N112" s="16" t="e">
        <f t="shared" si="21"/>
        <v>#N/A</v>
      </c>
      <c r="O112" s="16" t="e">
        <f t="shared" si="22"/>
        <v>#N/A</v>
      </c>
      <c r="P112" s="16" t="e">
        <f t="shared" si="23"/>
        <v>#N/A</v>
      </c>
      <c r="Q112" s="16" t="e">
        <f t="shared" si="24"/>
        <v>#N/A</v>
      </c>
      <c r="AI112" s="16" t="e">
        <f t="shared" si="9"/>
        <v>#N/A</v>
      </c>
      <c r="AJ112" s="16" t="str">
        <f t="shared" si="10"/>
        <v/>
      </c>
      <c r="AK112" s="16" t="str">
        <f t="shared" si="11"/>
        <v/>
      </c>
      <c r="AL112" s="16" t="e">
        <f>IF(AK112="",NA(),COUNTIF(AK112:$AK$176,AK112))</f>
        <v>#N/A</v>
      </c>
      <c r="AM112" s="16" t="e">
        <f t="shared" si="12"/>
        <v>#N/A</v>
      </c>
      <c r="AN112" s="16" t="e">
        <f t="shared" si="13"/>
        <v>#N/A</v>
      </c>
      <c r="AO112" s="16" t="str">
        <f t="shared" si="14"/>
        <v/>
      </c>
      <c r="AP112" s="16" t="str">
        <f t="shared" si="15"/>
        <v/>
      </c>
      <c r="AQ112" s="16" t="e">
        <f>IF(AP112="",NA(),COUNTIF(AP112:$AP$176,AP112))</f>
        <v>#N/A</v>
      </c>
      <c r="AR112" s="16" t="e">
        <f t="shared" si="16"/>
        <v>#N/A</v>
      </c>
      <c r="BI112" s="621">
        <v>104</v>
      </c>
      <c r="BJ112" s="624"/>
      <c r="BK112" s="623"/>
      <c r="BL112" s="615">
        <v>104</v>
      </c>
      <c r="BM112" s="624"/>
      <c r="BN112" s="239"/>
      <c r="BO112" s="24"/>
      <c r="BQ112" s="621">
        <v>104</v>
      </c>
      <c r="BR112" s="624"/>
      <c r="BS112" s="623"/>
      <c r="BT112" s="615">
        <v>104</v>
      </c>
      <c r="BU112" s="624"/>
      <c r="BV112" s="239"/>
      <c r="BW112" s="24"/>
      <c r="BY112" s="621">
        <v>104</v>
      </c>
      <c r="BZ112" s="624"/>
      <c r="CA112" s="623"/>
      <c r="CB112" s="615">
        <v>104</v>
      </c>
      <c r="CC112" s="624"/>
      <c r="CD112" s="239"/>
      <c r="CE112" s="24"/>
    </row>
    <row r="113" spans="5:83" ht="12" customHeight="1">
      <c r="E113" s="621">
        <v>105</v>
      </c>
      <c r="F113" s="624"/>
      <c r="G113" s="623"/>
      <c r="H113" s="615">
        <v>105</v>
      </c>
      <c r="I113" s="624"/>
      <c r="J113" s="239"/>
      <c r="K113" s="24"/>
      <c r="N113" s="16" t="e">
        <f t="shared" si="21"/>
        <v>#N/A</v>
      </c>
      <c r="O113" s="16" t="e">
        <f t="shared" si="22"/>
        <v>#N/A</v>
      </c>
      <c r="P113" s="16" t="e">
        <f t="shared" si="23"/>
        <v>#N/A</v>
      </c>
      <c r="Q113" s="16" t="e">
        <f t="shared" si="24"/>
        <v>#N/A</v>
      </c>
      <c r="AI113" s="16" t="e">
        <f t="shared" si="9"/>
        <v>#N/A</v>
      </c>
      <c r="AJ113" s="16" t="str">
        <f t="shared" si="10"/>
        <v/>
      </c>
      <c r="AK113" s="16" t="str">
        <f t="shared" si="11"/>
        <v/>
      </c>
      <c r="AL113" s="16" t="e">
        <f>IF(AK113="",NA(),COUNTIF(AK113:$AK$176,AK113))</f>
        <v>#N/A</v>
      </c>
      <c r="AM113" s="16" t="e">
        <f t="shared" si="12"/>
        <v>#N/A</v>
      </c>
      <c r="AN113" s="16" t="e">
        <f t="shared" si="13"/>
        <v>#N/A</v>
      </c>
      <c r="AO113" s="16" t="str">
        <f t="shared" si="14"/>
        <v/>
      </c>
      <c r="AP113" s="16" t="str">
        <f t="shared" si="15"/>
        <v/>
      </c>
      <c r="AQ113" s="16" t="e">
        <f>IF(AP113="",NA(),COUNTIF(AP113:$AP$176,AP113))</f>
        <v>#N/A</v>
      </c>
      <c r="AR113" s="16" t="e">
        <f t="shared" si="16"/>
        <v>#N/A</v>
      </c>
      <c r="BI113" s="621">
        <v>105</v>
      </c>
      <c r="BJ113" s="624"/>
      <c r="BK113" s="623"/>
      <c r="BL113" s="615">
        <v>105</v>
      </c>
      <c r="BM113" s="624"/>
      <c r="BN113" s="239"/>
      <c r="BO113" s="24"/>
      <c r="BQ113" s="621">
        <v>105</v>
      </c>
      <c r="BR113" s="624"/>
      <c r="BS113" s="623"/>
      <c r="BT113" s="615">
        <v>105</v>
      </c>
      <c r="BU113" s="624"/>
      <c r="BV113" s="239"/>
      <c r="BW113" s="24"/>
      <c r="BY113" s="621">
        <v>105</v>
      </c>
      <c r="BZ113" s="624"/>
      <c r="CA113" s="623"/>
      <c r="CB113" s="615">
        <v>105</v>
      </c>
      <c r="CC113" s="624"/>
      <c r="CD113" s="239"/>
      <c r="CE113" s="24"/>
    </row>
    <row r="114" spans="5:83" ht="12" customHeight="1">
      <c r="E114" s="621">
        <v>106</v>
      </c>
      <c r="F114" s="624"/>
      <c r="G114" s="623"/>
      <c r="H114" s="615">
        <v>106</v>
      </c>
      <c r="I114" s="624"/>
      <c r="J114" s="239"/>
      <c r="K114" s="24"/>
      <c r="M114" s="30"/>
      <c r="N114" s="16" t="e">
        <f t="shared" si="21"/>
        <v>#N/A</v>
      </c>
      <c r="O114" s="16" t="e">
        <f t="shared" si="22"/>
        <v>#N/A</v>
      </c>
      <c r="P114" s="16" t="e">
        <f t="shared" si="23"/>
        <v>#N/A</v>
      </c>
      <c r="Q114" s="16" t="e">
        <f t="shared" si="24"/>
        <v>#N/A</v>
      </c>
      <c r="AI114" s="16" t="e">
        <f t="shared" si="9"/>
        <v>#N/A</v>
      </c>
      <c r="AJ114" s="16" t="str">
        <f t="shared" si="10"/>
        <v/>
      </c>
      <c r="AK114" s="16" t="str">
        <f t="shared" si="11"/>
        <v/>
      </c>
      <c r="AL114" s="16" t="e">
        <f>IF(AK114="",NA(),COUNTIF(AK114:$AK$176,AK114))</f>
        <v>#N/A</v>
      </c>
      <c r="AM114" s="16" t="e">
        <f t="shared" si="12"/>
        <v>#N/A</v>
      </c>
      <c r="AN114" s="16" t="e">
        <f t="shared" si="13"/>
        <v>#N/A</v>
      </c>
      <c r="AO114" s="16" t="str">
        <f t="shared" si="14"/>
        <v/>
      </c>
      <c r="AP114" s="16" t="str">
        <f t="shared" si="15"/>
        <v/>
      </c>
      <c r="AQ114" s="16" t="e">
        <f>IF(AP114="",NA(),COUNTIF(AP114:$AP$176,AP114))</f>
        <v>#N/A</v>
      </c>
      <c r="AR114" s="16" t="e">
        <f t="shared" si="16"/>
        <v>#N/A</v>
      </c>
      <c r="BI114" s="621">
        <v>106</v>
      </c>
      <c r="BJ114" s="624"/>
      <c r="BK114" s="623"/>
      <c r="BL114" s="615">
        <v>106</v>
      </c>
      <c r="BM114" s="624"/>
      <c r="BN114" s="239"/>
      <c r="BO114" s="24"/>
      <c r="BQ114" s="621">
        <v>106</v>
      </c>
      <c r="BR114" s="624"/>
      <c r="BS114" s="623"/>
      <c r="BT114" s="615">
        <v>106</v>
      </c>
      <c r="BU114" s="624"/>
      <c r="BV114" s="239"/>
      <c r="BW114" s="24"/>
      <c r="BY114" s="621">
        <v>106</v>
      </c>
      <c r="BZ114" s="624"/>
      <c r="CA114" s="623"/>
      <c r="CB114" s="615">
        <v>106</v>
      </c>
      <c r="CC114" s="624"/>
      <c r="CD114" s="239"/>
      <c r="CE114" s="24"/>
    </row>
    <row r="115" spans="5:83" ht="12" customHeight="1">
      <c r="E115" s="621">
        <v>107</v>
      </c>
      <c r="F115" s="622"/>
      <c r="G115" s="623"/>
      <c r="H115" s="615">
        <v>107</v>
      </c>
      <c r="I115" s="624"/>
      <c r="J115" s="239"/>
      <c r="K115" s="24"/>
      <c r="N115" s="16" t="e">
        <f t="shared" si="21"/>
        <v>#N/A</v>
      </c>
      <c r="O115" s="16" t="e">
        <f t="shared" si="22"/>
        <v>#N/A</v>
      </c>
      <c r="P115" s="16" t="e">
        <f t="shared" si="23"/>
        <v>#N/A</v>
      </c>
      <c r="Q115" s="16" t="e">
        <f t="shared" si="24"/>
        <v>#N/A</v>
      </c>
      <c r="AI115" s="16" t="e">
        <f t="shared" si="9"/>
        <v>#N/A</v>
      </c>
      <c r="AJ115" s="16" t="str">
        <f t="shared" si="10"/>
        <v/>
      </c>
      <c r="AK115" s="16" t="str">
        <f t="shared" si="11"/>
        <v/>
      </c>
      <c r="AL115" s="16" t="e">
        <f>IF(AK115="",NA(),COUNTIF(AK115:$AK$176,AK115))</f>
        <v>#N/A</v>
      </c>
      <c r="AM115" s="16" t="e">
        <f t="shared" si="12"/>
        <v>#N/A</v>
      </c>
      <c r="AN115" s="16" t="e">
        <f t="shared" si="13"/>
        <v>#N/A</v>
      </c>
      <c r="AO115" s="16" t="str">
        <f t="shared" si="14"/>
        <v/>
      </c>
      <c r="AP115" s="16" t="str">
        <f t="shared" si="15"/>
        <v/>
      </c>
      <c r="AQ115" s="16" t="e">
        <f>IF(AP115="",NA(),COUNTIF(AP115:$AP$176,AP115))</f>
        <v>#N/A</v>
      </c>
      <c r="AR115" s="16" t="e">
        <f t="shared" si="16"/>
        <v>#N/A</v>
      </c>
      <c r="BI115" s="621">
        <v>107</v>
      </c>
      <c r="BJ115" s="622"/>
      <c r="BK115" s="623"/>
      <c r="BL115" s="615">
        <v>107</v>
      </c>
      <c r="BM115" s="624"/>
      <c r="BN115" s="239"/>
      <c r="BO115" s="24"/>
      <c r="BQ115" s="621">
        <v>107</v>
      </c>
      <c r="BR115" s="622"/>
      <c r="BS115" s="623"/>
      <c r="BT115" s="615">
        <v>107</v>
      </c>
      <c r="BU115" s="624"/>
      <c r="BV115" s="239"/>
      <c r="BW115" s="24"/>
      <c r="BY115" s="621">
        <v>107</v>
      </c>
      <c r="BZ115" s="622"/>
      <c r="CA115" s="623"/>
      <c r="CB115" s="615">
        <v>107</v>
      </c>
      <c r="CC115" s="624"/>
      <c r="CD115" s="239"/>
      <c r="CE115" s="24"/>
    </row>
    <row r="116" spans="5:83" ht="12" customHeight="1">
      <c r="E116" s="621">
        <v>108</v>
      </c>
      <c r="F116" s="622"/>
      <c r="G116" s="623"/>
      <c r="H116" s="615">
        <v>108</v>
      </c>
      <c r="I116" s="624"/>
      <c r="J116" s="239"/>
      <c r="K116" s="24"/>
      <c r="M116" s="30"/>
      <c r="N116" s="16" t="e">
        <f t="shared" si="21"/>
        <v>#N/A</v>
      </c>
      <c r="O116" s="16" t="e">
        <f t="shared" si="22"/>
        <v>#N/A</v>
      </c>
      <c r="P116" s="16" t="e">
        <f t="shared" si="23"/>
        <v>#N/A</v>
      </c>
      <c r="Q116" s="16" t="e">
        <f t="shared" si="24"/>
        <v>#N/A</v>
      </c>
      <c r="AI116" s="16" t="e">
        <f t="shared" si="9"/>
        <v>#N/A</v>
      </c>
      <c r="AJ116" s="16" t="str">
        <f t="shared" si="10"/>
        <v/>
      </c>
      <c r="AK116" s="16" t="str">
        <f t="shared" si="11"/>
        <v/>
      </c>
      <c r="AL116" s="16" t="e">
        <f>IF(AK116="",NA(),COUNTIF(AK116:$AK$176,AK116))</f>
        <v>#N/A</v>
      </c>
      <c r="AM116" s="16" t="e">
        <f t="shared" si="12"/>
        <v>#N/A</v>
      </c>
      <c r="AN116" s="16" t="e">
        <f t="shared" si="13"/>
        <v>#N/A</v>
      </c>
      <c r="AO116" s="16" t="str">
        <f t="shared" si="14"/>
        <v/>
      </c>
      <c r="AP116" s="16" t="str">
        <f t="shared" si="15"/>
        <v/>
      </c>
      <c r="AQ116" s="16" t="e">
        <f>IF(AP116="",NA(),COUNTIF(AP116:$AP$176,AP116))</f>
        <v>#N/A</v>
      </c>
      <c r="AR116" s="16" t="e">
        <f t="shared" si="16"/>
        <v>#N/A</v>
      </c>
      <c r="BI116" s="621">
        <v>108</v>
      </c>
      <c r="BJ116" s="622"/>
      <c r="BK116" s="623"/>
      <c r="BL116" s="615">
        <v>108</v>
      </c>
      <c r="BM116" s="624"/>
      <c r="BN116" s="239"/>
      <c r="BO116" s="24"/>
      <c r="BQ116" s="621">
        <v>108</v>
      </c>
      <c r="BR116" s="622"/>
      <c r="BS116" s="623"/>
      <c r="BT116" s="615">
        <v>108</v>
      </c>
      <c r="BU116" s="624"/>
      <c r="BV116" s="239"/>
      <c r="BW116" s="24"/>
      <c r="BY116" s="621">
        <v>108</v>
      </c>
      <c r="BZ116" s="622"/>
      <c r="CA116" s="623"/>
      <c r="CB116" s="615">
        <v>108</v>
      </c>
      <c r="CC116" s="624"/>
      <c r="CD116" s="239"/>
      <c r="CE116" s="24"/>
    </row>
    <row r="117" spans="5:83" ht="12" customHeight="1">
      <c r="E117" s="621">
        <v>109</v>
      </c>
      <c r="F117" s="622"/>
      <c r="G117" s="623"/>
      <c r="H117" s="615">
        <v>109</v>
      </c>
      <c r="I117" s="624"/>
      <c r="J117" s="239"/>
      <c r="K117" s="24"/>
      <c r="N117" s="16" t="e">
        <f t="shared" si="21"/>
        <v>#N/A</v>
      </c>
      <c r="O117" s="16" t="e">
        <f t="shared" si="22"/>
        <v>#N/A</v>
      </c>
      <c r="P117" s="16" t="e">
        <f t="shared" si="23"/>
        <v>#N/A</v>
      </c>
      <c r="Q117" s="16" t="e">
        <f t="shared" si="24"/>
        <v>#N/A</v>
      </c>
      <c r="AI117" s="16" t="e">
        <f t="shared" si="9"/>
        <v>#N/A</v>
      </c>
      <c r="AJ117" s="16" t="str">
        <f t="shared" si="10"/>
        <v/>
      </c>
      <c r="AK117" s="16" t="str">
        <f t="shared" si="11"/>
        <v/>
      </c>
      <c r="AL117" s="16" t="e">
        <f>IF(AK117="",NA(),COUNTIF(AK117:$AK$176,AK117))</f>
        <v>#N/A</v>
      </c>
      <c r="AM117" s="16" t="e">
        <f t="shared" si="12"/>
        <v>#N/A</v>
      </c>
      <c r="AN117" s="16" t="e">
        <f t="shared" si="13"/>
        <v>#N/A</v>
      </c>
      <c r="AO117" s="16" t="str">
        <f t="shared" si="14"/>
        <v/>
      </c>
      <c r="AP117" s="16" t="str">
        <f t="shared" si="15"/>
        <v/>
      </c>
      <c r="AQ117" s="16" t="e">
        <f>IF(AP117="",NA(),COUNTIF(AP117:$AP$176,AP117))</f>
        <v>#N/A</v>
      </c>
      <c r="AR117" s="16" t="e">
        <f t="shared" si="16"/>
        <v>#N/A</v>
      </c>
      <c r="BI117" s="621">
        <v>109</v>
      </c>
      <c r="BJ117" s="622"/>
      <c r="BK117" s="623"/>
      <c r="BL117" s="615">
        <v>109</v>
      </c>
      <c r="BM117" s="624"/>
      <c r="BN117" s="239"/>
      <c r="BO117" s="24"/>
      <c r="BQ117" s="621">
        <v>109</v>
      </c>
      <c r="BR117" s="622"/>
      <c r="BS117" s="623"/>
      <c r="BT117" s="615">
        <v>109</v>
      </c>
      <c r="BU117" s="624"/>
      <c r="BV117" s="239"/>
      <c r="BW117" s="24"/>
      <c r="BY117" s="621">
        <v>109</v>
      </c>
      <c r="BZ117" s="622"/>
      <c r="CA117" s="623"/>
      <c r="CB117" s="615">
        <v>109</v>
      </c>
      <c r="CC117" s="624"/>
      <c r="CD117" s="239"/>
      <c r="CE117" s="24"/>
    </row>
    <row r="118" spans="5:83" ht="12" customHeight="1">
      <c r="E118" s="621">
        <v>110</v>
      </c>
      <c r="F118" s="622"/>
      <c r="G118" s="623"/>
      <c r="H118" s="615">
        <v>110</v>
      </c>
      <c r="I118" s="624"/>
      <c r="J118" s="239"/>
      <c r="K118" s="24"/>
      <c r="M118" s="30"/>
      <c r="N118" s="16" t="e">
        <f t="shared" si="21"/>
        <v>#N/A</v>
      </c>
      <c r="O118" s="16" t="e">
        <f t="shared" si="22"/>
        <v>#N/A</v>
      </c>
      <c r="P118" s="16" t="e">
        <f t="shared" si="23"/>
        <v>#N/A</v>
      </c>
      <c r="Q118" s="16" t="e">
        <f t="shared" si="24"/>
        <v>#N/A</v>
      </c>
      <c r="AI118" s="16" t="e">
        <f t="shared" si="9"/>
        <v>#N/A</v>
      </c>
      <c r="AJ118" s="16" t="str">
        <f t="shared" si="10"/>
        <v/>
      </c>
      <c r="AK118" s="16" t="str">
        <f t="shared" si="11"/>
        <v/>
      </c>
      <c r="AL118" s="16" t="e">
        <f>IF(AK118="",NA(),COUNTIF(AK118:$AK$176,AK118))</f>
        <v>#N/A</v>
      </c>
      <c r="AM118" s="16" t="e">
        <f t="shared" si="12"/>
        <v>#N/A</v>
      </c>
      <c r="AN118" s="16" t="e">
        <f t="shared" si="13"/>
        <v>#N/A</v>
      </c>
      <c r="AO118" s="16" t="str">
        <f t="shared" si="14"/>
        <v/>
      </c>
      <c r="AP118" s="16" t="str">
        <f t="shared" si="15"/>
        <v/>
      </c>
      <c r="AQ118" s="16" t="e">
        <f>IF(AP118="",NA(),COUNTIF(AP118:$AP$176,AP118))</f>
        <v>#N/A</v>
      </c>
      <c r="AR118" s="16" t="e">
        <f t="shared" si="16"/>
        <v>#N/A</v>
      </c>
      <c r="BI118" s="621">
        <v>110</v>
      </c>
      <c r="BJ118" s="622"/>
      <c r="BK118" s="623"/>
      <c r="BL118" s="615">
        <v>110</v>
      </c>
      <c r="BM118" s="624"/>
      <c r="BN118" s="239"/>
      <c r="BO118" s="24"/>
      <c r="BQ118" s="621">
        <v>110</v>
      </c>
      <c r="BR118" s="622"/>
      <c r="BS118" s="623"/>
      <c r="BT118" s="615">
        <v>110</v>
      </c>
      <c r="BU118" s="624"/>
      <c r="BV118" s="239"/>
      <c r="BW118" s="24"/>
      <c r="BY118" s="621">
        <v>110</v>
      </c>
      <c r="BZ118" s="622"/>
      <c r="CA118" s="623"/>
      <c r="CB118" s="615">
        <v>110</v>
      </c>
      <c r="CC118" s="624"/>
      <c r="CD118" s="239"/>
      <c r="CE118" s="24"/>
    </row>
    <row r="119" spans="5:83" ht="12" customHeight="1">
      <c r="E119" s="621">
        <v>111</v>
      </c>
      <c r="F119" s="622"/>
      <c r="G119" s="623"/>
      <c r="H119" s="615">
        <v>111</v>
      </c>
      <c r="I119" s="624"/>
      <c r="J119" s="239"/>
      <c r="K119" s="24"/>
      <c r="N119" s="16" t="e">
        <f t="shared" si="21"/>
        <v>#N/A</v>
      </c>
      <c r="O119" s="16" t="e">
        <f t="shared" si="22"/>
        <v>#N/A</v>
      </c>
      <c r="P119" s="16" t="e">
        <f t="shared" si="23"/>
        <v>#N/A</v>
      </c>
      <c r="Q119" s="16" t="e">
        <f t="shared" si="24"/>
        <v>#N/A</v>
      </c>
      <c r="AI119" s="16" t="e">
        <f t="shared" si="9"/>
        <v>#N/A</v>
      </c>
      <c r="AJ119" s="16" t="str">
        <f t="shared" si="10"/>
        <v/>
      </c>
      <c r="AK119" s="16" t="str">
        <f t="shared" si="11"/>
        <v/>
      </c>
      <c r="AL119" s="16" t="e">
        <f>IF(AK119="",NA(),COUNTIF(AK119:$AK$176,AK119))</f>
        <v>#N/A</v>
      </c>
      <c r="AM119" s="16" t="e">
        <f t="shared" si="12"/>
        <v>#N/A</v>
      </c>
      <c r="AN119" s="16" t="e">
        <f t="shared" si="13"/>
        <v>#N/A</v>
      </c>
      <c r="AO119" s="16" t="str">
        <f t="shared" si="14"/>
        <v/>
      </c>
      <c r="AP119" s="16" t="str">
        <f t="shared" si="15"/>
        <v/>
      </c>
      <c r="AQ119" s="16" t="e">
        <f>IF(AP119="",NA(),COUNTIF(AP119:$AP$176,AP119))</f>
        <v>#N/A</v>
      </c>
      <c r="AR119" s="16" t="e">
        <f t="shared" si="16"/>
        <v>#N/A</v>
      </c>
      <c r="BI119" s="621">
        <v>111</v>
      </c>
      <c r="BJ119" s="622"/>
      <c r="BK119" s="623"/>
      <c r="BL119" s="615">
        <v>111</v>
      </c>
      <c r="BM119" s="624"/>
      <c r="BN119" s="239"/>
      <c r="BO119" s="24"/>
      <c r="BQ119" s="621">
        <v>111</v>
      </c>
      <c r="BR119" s="622"/>
      <c r="BS119" s="623"/>
      <c r="BT119" s="615">
        <v>111</v>
      </c>
      <c r="BU119" s="624"/>
      <c r="BV119" s="239"/>
      <c r="BW119" s="24"/>
      <c r="BY119" s="621">
        <v>111</v>
      </c>
      <c r="BZ119" s="622"/>
      <c r="CA119" s="623"/>
      <c r="CB119" s="615">
        <v>111</v>
      </c>
      <c r="CC119" s="624"/>
      <c r="CD119" s="239"/>
      <c r="CE119" s="24"/>
    </row>
    <row r="120" spans="5:83" ht="12" customHeight="1">
      <c r="E120" s="621">
        <v>112</v>
      </c>
      <c r="F120" s="622"/>
      <c r="G120" s="623"/>
      <c r="H120" s="615">
        <v>112</v>
      </c>
      <c r="I120" s="624"/>
      <c r="J120" s="239"/>
      <c r="K120" s="24"/>
      <c r="M120" s="30"/>
      <c r="N120" s="16" t="e">
        <f t="shared" si="21"/>
        <v>#N/A</v>
      </c>
      <c r="O120" s="16" t="e">
        <f t="shared" si="22"/>
        <v>#N/A</v>
      </c>
      <c r="P120" s="16" t="e">
        <f t="shared" si="23"/>
        <v>#N/A</v>
      </c>
      <c r="Q120" s="16" t="e">
        <f t="shared" si="24"/>
        <v>#N/A</v>
      </c>
      <c r="AI120" s="16" t="e">
        <f t="shared" si="9"/>
        <v>#N/A</v>
      </c>
      <c r="AJ120" s="16" t="str">
        <f t="shared" si="10"/>
        <v/>
      </c>
      <c r="AK120" s="16" t="str">
        <f t="shared" si="11"/>
        <v/>
      </c>
      <c r="AL120" s="16" t="e">
        <f>IF(AK120="",NA(),COUNTIF(AK120:$AK$176,AK120))</f>
        <v>#N/A</v>
      </c>
      <c r="AM120" s="16" t="e">
        <f t="shared" si="12"/>
        <v>#N/A</v>
      </c>
      <c r="AN120" s="16" t="e">
        <f t="shared" si="13"/>
        <v>#N/A</v>
      </c>
      <c r="AO120" s="16" t="str">
        <f t="shared" si="14"/>
        <v/>
      </c>
      <c r="AP120" s="16" t="str">
        <f t="shared" si="15"/>
        <v/>
      </c>
      <c r="AQ120" s="16" t="e">
        <f>IF(AP120="",NA(),COUNTIF(AP120:$AP$176,AP120))</f>
        <v>#N/A</v>
      </c>
      <c r="AR120" s="16" t="e">
        <f t="shared" si="16"/>
        <v>#N/A</v>
      </c>
      <c r="BI120" s="621">
        <v>112</v>
      </c>
      <c r="BJ120" s="622"/>
      <c r="BK120" s="623"/>
      <c r="BL120" s="615">
        <v>112</v>
      </c>
      <c r="BM120" s="624"/>
      <c r="BN120" s="239"/>
      <c r="BO120" s="24"/>
      <c r="BQ120" s="621">
        <v>112</v>
      </c>
      <c r="BR120" s="622"/>
      <c r="BS120" s="623"/>
      <c r="BT120" s="615">
        <v>112</v>
      </c>
      <c r="BU120" s="624"/>
      <c r="BV120" s="239"/>
      <c r="BW120" s="24"/>
      <c r="BY120" s="621">
        <v>112</v>
      </c>
      <c r="BZ120" s="622"/>
      <c r="CA120" s="623"/>
      <c r="CB120" s="615">
        <v>112</v>
      </c>
      <c r="CC120" s="624"/>
      <c r="CD120" s="239"/>
      <c r="CE120" s="24"/>
    </row>
    <row r="121" spans="5:83" ht="12" customHeight="1">
      <c r="E121" s="621">
        <v>113</v>
      </c>
      <c r="F121" s="622"/>
      <c r="G121" s="623"/>
      <c r="H121" s="615">
        <v>113</v>
      </c>
      <c r="I121" s="624"/>
      <c r="J121" s="239"/>
      <c r="K121" s="24"/>
      <c r="N121" s="16" t="e">
        <f t="shared" si="21"/>
        <v>#N/A</v>
      </c>
      <c r="O121" s="16" t="e">
        <f t="shared" si="22"/>
        <v>#N/A</v>
      </c>
      <c r="P121" s="16" t="e">
        <f t="shared" si="23"/>
        <v>#N/A</v>
      </c>
      <c r="Q121" s="16" t="e">
        <f t="shared" si="24"/>
        <v>#N/A</v>
      </c>
      <c r="AI121" s="16" t="e">
        <f t="shared" si="9"/>
        <v>#N/A</v>
      </c>
      <c r="AJ121" s="16" t="str">
        <f t="shared" si="10"/>
        <v/>
      </c>
      <c r="AK121" s="16" t="str">
        <f t="shared" si="11"/>
        <v/>
      </c>
      <c r="AL121" s="16" t="e">
        <f>IF(AK121="",NA(),COUNTIF(AK121:$AK$176,AK121))</f>
        <v>#N/A</v>
      </c>
      <c r="AM121" s="16" t="e">
        <f t="shared" si="12"/>
        <v>#N/A</v>
      </c>
      <c r="AN121" s="16" t="e">
        <f t="shared" si="13"/>
        <v>#N/A</v>
      </c>
      <c r="AO121" s="16" t="str">
        <f t="shared" si="14"/>
        <v/>
      </c>
      <c r="AP121" s="16" t="str">
        <f t="shared" si="15"/>
        <v/>
      </c>
      <c r="AQ121" s="16" t="e">
        <f>IF(AP121="",NA(),COUNTIF(AP121:$AP$176,AP121))</f>
        <v>#N/A</v>
      </c>
      <c r="AR121" s="16" t="e">
        <f t="shared" si="16"/>
        <v>#N/A</v>
      </c>
      <c r="BI121" s="621">
        <v>113</v>
      </c>
      <c r="BJ121" s="622"/>
      <c r="BK121" s="623"/>
      <c r="BL121" s="615">
        <v>113</v>
      </c>
      <c r="BM121" s="624"/>
      <c r="BN121" s="239"/>
      <c r="BO121" s="24"/>
      <c r="BQ121" s="621">
        <v>113</v>
      </c>
      <c r="BR121" s="622"/>
      <c r="BS121" s="623"/>
      <c r="BT121" s="615">
        <v>113</v>
      </c>
      <c r="BU121" s="624"/>
      <c r="BV121" s="239"/>
      <c r="BW121" s="24"/>
      <c r="BY121" s="621">
        <v>113</v>
      </c>
      <c r="BZ121" s="622"/>
      <c r="CA121" s="623"/>
      <c r="CB121" s="615">
        <v>113</v>
      </c>
      <c r="CC121" s="624"/>
      <c r="CD121" s="239"/>
      <c r="CE121" s="24"/>
    </row>
    <row r="122" spans="5:83" ht="12" customHeight="1">
      <c r="E122" s="621">
        <v>114</v>
      </c>
      <c r="F122" s="622"/>
      <c r="G122" s="623"/>
      <c r="H122" s="615">
        <v>114</v>
      </c>
      <c r="I122" s="624"/>
      <c r="J122" s="239"/>
      <c r="K122" s="24"/>
      <c r="M122" s="30"/>
      <c r="N122" s="16" t="e">
        <f t="shared" si="21"/>
        <v>#N/A</v>
      </c>
      <c r="O122" s="16" t="e">
        <f t="shared" si="22"/>
        <v>#N/A</v>
      </c>
      <c r="P122" s="16" t="e">
        <f t="shared" si="23"/>
        <v>#N/A</v>
      </c>
      <c r="Q122" s="16" t="e">
        <f t="shared" si="24"/>
        <v>#N/A</v>
      </c>
      <c r="AI122" s="16" t="e">
        <f t="shared" si="9"/>
        <v>#N/A</v>
      </c>
      <c r="AJ122" s="16" t="str">
        <f t="shared" si="10"/>
        <v/>
      </c>
      <c r="AK122" s="16" t="str">
        <f t="shared" si="11"/>
        <v/>
      </c>
      <c r="AL122" s="16" t="e">
        <f>IF(AK122="",NA(),COUNTIF(AK122:$AK$176,AK122))</f>
        <v>#N/A</v>
      </c>
      <c r="AM122" s="16" t="e">
        <f t="shared" si="12"/>
        <v>#N/A</v>
      </c>
      <c r="AN122" s="16" t="e">
        <f t="shared" si="13"/>
        <v>#N/A</v>
      </c>
      <c r="AO122" s="16" t="str">
        <f t="shared" si="14"/>
        <v/>
      </c>
      <c r="AP122" s="16" t="str">
        <f t="shared" si="15"/>
        <v/>
      </c>
      <c r="AQ122" s="16" t="e">
        <f>IF(AP122="",NA(),COUNTIF(AP122:$AP$176,AP122))</f>
        <v>#N/A</v>
      </c>
      <c r="AR122" s="16" t="e">
        <f t="shared" si="16"/>
        <v>#N/A</v>
      </c>
      <c r="BI122" s="621">
        <v>114</v>
      </c>
      <c r="BJ122" s="622"/>
      <c r="BK122" s="623"/>
      <c r="BL122" s="615">
        <v>114</v>
      </c>
      <c r="BM122" s="624"/>
      <c r="BN122" s="239"/>
      <c r="BO122" s="24"/>
      <c r="BQ122" s="621">
        <v>114</v>
      </c>
      <c r="BR122" s="622"/>
      <c r="BS122" s="623"/>
      <c r="BT122" s="615">
        <v>114</v>
      </c>
      <c r="BU122" s="624"/>
      <c r="BV122" s="239"/>
      <c r="BW122" s="24"/>
      <c r="BY122" s="621">
        <v>114</v>
      </c>
      <c r="BZ122" s="622"/>
      <c r="CA122" s="623"/>
      <c r="CB122" s="615">
        <v>114</v>
      </c>
      <c r="CC122" s="624"/>
      <c r="CD122" s="239"/>
      <c r="CE122" s="24"/>
    </row>
    <row r="123" spans="5:83" ht="12" customHeight="1">
      <c r="E123" s="621">
        <v>115</v>
      </c>
      <c r="F123" s="622"/>
      <c r="G123" s="623"/>
      <c r="H123" s="615">
        <v>115</v>
      </c>
      <c r="I123" s="624"/>
      <c r="J123" s="239"/>
      <c r="K123" s="24"/>
      <c r="N123" s="16" t="e">
        <f t="shared" si="21"/>
        <v>#N/A</v>
      </c>
      <c r="O123" s="16" t="e">
        <f t="shared" si="22"/>
        <v>#N/A</v>
      </c>
      <c r="P123" s="16" t="e">
        <f t="shared" si="23"/>
        <v>#N/A</v>
      </c>
      <c r="Q123" s="16" t="e">
        <f t="shared" si="24"/>
        <v>#N/A</v>
      </c>
      <c r="AI123" s="16" t="e">
        <f t="shared" si="9"/>
        <v>#N/A</v>
      </c>
      <c r="AJ123" s="16" t="str">
        <f t="shared" si="10"/>
        <v/>
      </c>
      <c r="AK123" s="16" t="str">
        <f t="shared" si="11"/>
        <v/>
      </c>
      <c r="AL123" s="16" t="e">
        <f>IF(AK123="",NA(),COUNTIF(AK123:$AK$176,AK123))</f>
        <v>#N/A</v>
      </c>
      <c r="AM123" s="16" t="e">
        <f t="shared" si="12"/>
        <v>#N/A</v>
      </c>
      <c r="AN123" s="16" t="e">
        <f t="shared" si="13"/>
        <v>#N/A</v>
      </c>
      <c r="AO123" s="16" t="str">
        <f t="shared" si="14"/>
        <v/>
      </c>
      <c r="AP123" s="16" t="str">
        <f t="shared" si="15"/>
        <v/>
      </c>
      <c r="AQ123" s="16" t="e">
        <f>IF(AP123="",NA(),COUNTIF(AP123:$AP$176,AP123))</f>
        <v>#N/A</v>
      </c>
      <c r="AR123" s="16" t="e">
        <f t="shared" si="16"/>
        <v>#N/A</v>
      </c>
      <c r="BI123" s="621">
        <v>115</v>
      </c>
      <c r="BJ123" s="622"/>
      <c r="BK123" s="623"/>
      <c r="BL123" s="615">
        <v>115</v>
      </c>
      <c r="BM123" s="624"/>
      <c r="BN123" s="239"/>
      <c r="BO123" s="24"/>
      <c r="BQ123" s="621">
        <v>115</v>
      </c>
      <c r="BR123" s="622"/>
      <c r="BS123" s="623"/>
      <c r="BT123" s="615">
        <v>115</v>
      </c>
      <c r="BU123" s="624"/>
      <c r="BV123" s="239"/>
      <c r="BW123" s="24"/>
      <c r="BY123" s="621">
        <v>115</v>
      </c>
      <c r="BZ123" s="622"/>
      <c r="CA123" s="623"/>
      <c r="CB123" s="615">
        <v>115</v>
      </c>
      <c r="CC123" s="624"/>
      <c r="CD123" s="239"/>
      <c r="CE123" s="24"/>
    </row>
    <row r="124" spans="5:83" ht="12" customHeight="1">
      <c r="E124" s="621">
        <v>116</v>
      </c>
      <c r="F124" s="622"/>
      <c r="G124" s="623"/>
      <c r="H124" s="615">
        <v>116</v>
      </c>
      <c r="I124" s="624"/>
      <c r="J124" s="239"/>
      <c r="K124" s="24"/>
      <c r="M124" s="30"/>
      <c r="N124" s="16" t="e">
        <f t="shared" si="21"/>
        <v>#N/A</v>
      </c>
      <c r="O124" s="16" t="e">
        <f t="shared" si="22"/>
        <v>#N/A</v>
      </c>
      <c r="P124" s="16" t="e">
        <f t="shared" si="23"/>
        <v>#N/A</v>
      </c>
      <c r="Q124" s="16" t="e">
        <f t="shared" si="24"/>
        <v>#N/A</v>
      </c>
      <c r="AI124" s="16" t="e">
        <f t="shared" si="9"/>
        <v>#N/A</v>
      </c>
      <c r="AJ124" s="16" t="str">
        <f t="shared" si="10"/>
        <v/>
      </c>
      <c r="AK124" s="16" t="str">
        <f t="shared" si="11"/>
        <v/>
      </c>
      <c r="AL124" s="16" t="e">
        <f>IF(AK124="",NA(),COUNTIF(AK124:$AK$176,AK124))</f>
        <v>#N/A</v>
      </c>
      <c r="AM124" s="16" t="e">
        <f t="shared" si="12"/>
        <v>#N/A</v>
      </c>
      <c r="AN124" s="16" t="e">
        <f t="shared" si="13"/>
        <v>#N/A</v>
      </c>
      <c r="AO124" s="16" t="str">
        <f t="shared" si="14"/>
        <v/>
      </c>
      <c r="AP124" s="16" t="str">
        <f t="shared" si="15"/>
        <v/>
      </c>
      <c r="AQ124" s="16" t="e">
        <f>IF(AP124="",NA(),COUNTIF(AP124:$AP$176,AP124))</f>
        <v>#N/A</v>
      </c>
      <c r="AR124" s="16" t="e">
        <f t="shared" si="16"/>
        <v>#N/A</v>
      </c>
      <c r="BI124" s="621">
        <v>116</v>
      </c>
      <c r="BJ124" s="622"/>
      <c r="BK124" s="623"/>
      <c r="BL124" s="615">
        <v>116</v>
      </c>
      <c r="BM124" s="624"/>
      <c r="BN124" s="239"/>
      <c r="BO124" s="24"/>
      <c r="BQ124" s="621">
        <v>116</v>
      </c>
      <c r="BR124" s="622"/>
      <c r="BS124" s="623"/>
      <c r="BT124" s="615">
        <v>116</v>
      </c>
      <c r="BU124" s="624"/>
      <c r="BV124" s="239"/>
      <c r="BW124" s="24"/>
      <c r="BY124" s="621">
        <v>116</v>
      </c>
      <c r="BZ124" s="622"/>
      <c r="CA124" s="623"/>
      <c r="CB124" s="615">
        <v>116</v>
      </c>
      <c r="CC124" s="624"/>
      <c r="CD124" s="239"/>
      <c r="CE124" s="24"/>
    </row>
    <row r="125" spans="5:83" ht="12" customHeight="1">
      <c r="E125" s="621">
        <v>117</v>
      </c>
      <c r="F125" s="622"/>
      <c r="G125" s="623"/>
      <c r="H125" s="615">
        <v>117</v>
      </c>
      <c r="I125" s="624"/>
      <c r="J125" s="239"/>
      <c r="K125" s="24"/>
      <c r="N125" s="16" t="e">
        <f t="shared" si="21"/>
        <v>#N/A</v>
      </c>
      <c r="O125" s="16" t="e">
        <f t="shared" si="22"/>
        <v>#N/A</v>
      </c>
      <c r="P125" s="16" t="e">
        <f t="shared" si="23"/>
        <v>#N/A</v>
      </c>
      <c r="Q125" s="16" t="e">
        <f t="shared" si="24"/>
        <v>#N/A</v>
      </c>
      <c r="AI125" s="16" t="e">
        <f t="shared" si="9"/>
        <v>#N/A</v>
      </c>
      <c r="AJ125" s="16" t="str">
        <f t="shared" si="10"/>
        <v/>
      </c>
      <c r="AK125" s="16" t="str">
        <f t="shared" si="11"/>
        <v/>
      </c>
      <c r="AL125" s="16" t="e">
        <f>IF(AK125="",NA(),COUNTIF(AK125:$AK$176,AK125))</f>
        <v>#N/A</v>
      </c>
      <c r="AM125" s="16" t="e">
        <f t="shared" si="12"/>
        <v>#N/A</v>
      </c>
      <c r="AN125" s="16" t="e">
        <f t="shared" si="13"/>
        <v>#N/A</v>
      </c>
      <c r="AO125" s="16" t="str">
        <f t="shared" si="14"/>
        <v/>
      </c>
      <c r="AP125" s="16" t="str">
        <f t="shared" si="15"/>
        <v/>
      </c>
      <c r="AQ125" s="16" t="e">
        <f>IF(AP125="",NA(),COUNTIF(AP125:$AP$176,AP125))</f>
        <v>#N/A</v>
      </c>
      <c r="AR125" s="16" t="e">
        <f t="shared" si="16"/>
        <v>#N/A</v>
      </c>
      <c r="BI125" s="621">
        <v>117</v>
      </c>
      <c r="BJ125" s="622"/>
      <c r="BK125" s="623"/>
      <c r="BL125" s="615">
        <v>117</v>
      </c>
      <c r="BM125" s="624"/>
      <c r="BN125" s="239"/>
      <c r="BO125" s="24"/>
      <c r="BQ125" s="621">
        <v>117</v>
      </c>
      <c r="BR125" s="622"/>
      <c r="BS125" s="623"/>
      <c r="BT125" s="615">
        <v>117</v>
      </c>
      <c r="BU125" s="624"/>
      <c r="BV125" s="239"/>
      <c r="BW125" s="24"/>
      <c r="BY125" s="621">
        <v>117</v>
      </c>
      <c r="BZ125" s="622"/>
      <c r="CA125" s="623"/>
      <c r="CB125" s="615">
        <v>117</v>
      </c>
      <c r="CC125" s="624"/>
      <c r="CD125" s="239"/>
      <c r="CE125" s="24"/>
    </row>
    <row r="126" spans="5:83" ht="12" customHeight="1">
      <c r="E126" s="621">
        <v>118</v>
      </c>
      <c r="F126" s="622"/>
      <c r="G126" s="623"/>
      <c r="H126" s="615">
        <v>118</v>
      </c>
      <c r="I126" s="624"/>
      <c r="J126" s="239"/>
      <c r="K126" s="24"/>
      <c r="M126" s="30"/>
      <c r="N126" s="16" t="e">
        <f t="shared" si="21"/>
        <v>#N/A</v>
      </c>
      <c r="O126" s="16" t="e">
        <f t="shared" si="22"/>
        <v>#N/A</v>
      </c>
      <c r="P126" s="16" t="e">
        <f t="shared" si="23"/>
        <v>#N/A</v>
      </c>
      <c r="Q126" s="16" t="e">
        <f t="shared" si="24"/>
        <v>#N/A</v>
      </c>
      <c r="AI126" s="16" t="e">
        <f t="shared" si="9"/>
        <v>#N/A</v>
      </c>
      <c r="AJ126" s="16" t="str">
        <f t="shared" si="10"/>
        <v/>
      </c>
      <c r="AK126" s="16" t="str">
        <f t="shared" si="11"/>
        <v/>
      </c>
      <c r="AL126" s="16" t="e">
        <f>IF(AK126="",NA(),COUNTIF(AK126:$AK$176,AK126))</f>
        <v>#N/A</v>
      </c>
      <c r="AM126" s="16" t="e">
        <f t="shared" si="12"/>
        <v>#N/A</v>
      </c>
      <c r="AN126" s="16" t="e">
        <f t="shared" si="13"/>
        <v>#N/A</v>
      </c>
      <c r="AO126" s="16" t="str">
        <f t="shared" si="14"/>
        <v/>
      </c>
      <c r="AP126" s="16" t="str">
        <f t="shared" si="15"/>
        <v/>
      </c>
      <c r="AQ126" s="16" t="e">
        <f>IF(AP126="",NA(),COUNTIF(AP126:$AP$176,AP126))</f>
        <v>#N/A</v>
      </c>
      <c r="AR126" s="16" t="e">
        <f t="shared" si="16"/>
        <v>#N/A</v>
      </c>
      <c r="BI126" s="621">
        <v>118</v>
      </c>
      <c r="BJ126" s="622"/>
      <c r="BK126" s="623"/>
      <c r="BL126" s="615">
        <v>118</v>
      </c>
      <c r="BM126" s="624"/>
      <c r="BN126" s="239"/>
      <c r="BO126" s="24"/>
      <c r="BQ126" s="621">
        <v>118</v>
      </c>
      <c r="BR126" s="622"/>
      <c r="BS126" s="623"/>
      <c r="BT126" s="615">
        <v>118</v>
      </c>
      <c r="BU126" s="624"/>
      <c r="BV126" s="239"/>
      <c r="BW126" s="24"/>
      <c r="BY126" s="621">
        <v>118</v>
      </c>
      <c r="BZ126" s="622"/>
      <c r="CA126" s="623"/>
      <c r="CB126" s="615">
        <v>118</v>
      </c>
      <c r="CC126" s="624"/>
      <c r="CD126" s="239"/>
      <c r="CE126" s="24"/>
    </row>
    <row r="127" spans="5:83" ht="12" customHeight="1">
      <c r="E127" s="621">
        <v>119</v>
      </c>
      <c r="F127" s="622"/>
      <c r="G127" s="623"/>
      <c r="H127" s="615">
        <v>119</v>
      </c>
      <c r="I127" s="624"/>
      <c r="J127" s="239"/>
      <c r="K127" s="24"/>
      <c r="N127" s="16" t="e">
        <f t="shared" si="21"/>
        <v>#N/A</v>
      </c>
      <c r="O127" s="16" t="e">
        <f t="shared" si="22"/>
        <v>#N/A</v>
      </c>
      <c r="P127" s="16" t="e">
        <f t="shared" si="23"/>
        <v>#N/A</v>
      </c>
      <c r="Q127" s="16" t="e">
        <f t="shared" si="24"/>
        <v>#N/A</v>
      </c>
      <c r="AI127" s="16" t="e">
        <f t="shared" si="9"/>
        <v>#N/A</v>
      </c>
      <c r="AJ127" s="16" t="str">
        <f t="shared" si="10"/>
        <v/>
      </c>
      <c r="AK127" s="16" t="str">
        <f t="shared" si="11"/>
        <v/>
      </c>
      <c r="AL127" s="16" t="e">
        <f>IF(AK127="",NA(),COUNTIF(AK127:$AK$176,AK127))</f>
        <v>#N/A</v>
      </c>
      <c r="AM127" s="16" t="e">
        <f t="shared" si="12"/>
        <v>#N/A</v>
      </c>
      <c r="AN127" s="16" t="e">
        <f t="shared" si="13"/>
        <v>#N/A</v>
      </c>
      <c r="AO127" s="16" t="str">
        <f t="shared" si="14"/>
        <v/>
      </c>
      <c r="AP127" s="16" t="str">
        <f t="shared" si="15"/>
        <v/>
      </c>
      <c r="AQ127" s="16" t="e">
        <f>IF(AP127="",NA(),COUNTIF(AP127:$AP$176,AP127))</f>
        <v>#N/A</v>
      </c>
      <c r="AR127" s="16" t="e">
        <f t="shared" si="16"/>
        <v>#N/A</v>
      </c>
      <c r="BI127" s="621">
        <v>119</v>
      </c>
      <c r="BJ127" s="622"/>
      <c r="BK127" s="623"/>
      <c r="BL127" s="615">
        <v>119</v>
      </c>
      <c r="BM127" s="624"/>
      <c r="BN127" s="239"/>
      <c r="BO127" s="24"/>
      <c r="BQ127" s="621">
        <v>119</v>
      </c>
      <c r="BR127" s="622"/>
      <c r="BS127" s="623"/>
      <c r="BT127" s="615">
        <v>119</v>
      </c>
      <c r="BU127" s="624"/>
      <c r="BV127" s="239"/>
      <c r="BW127" s="24"/>
      <c r="BY127" s="621">
        <v>119</v>
      </c>
      <c r="BZ127" s="622"/>
      <c r="CA127" s="623"/>
      <c r="CB127" s="615">
        <v>119</v>
      </c>
      <c r="CC127" s="624"/>
      <c r="CD127" s="239"/>
      <c r="CE127" s="24"/>
    </row>
    <row r="128" spans="5:83" ht="12" customHeight="1">
      <c r="E128" s="621">
        <v>120</v>
      </c>
      <c r="F128" s="622"/>
      <c r="G128" s="623"/>
      <c r="H128" s="615">
        <v>120</v>
      </c>
      <c r="I128" s="624"/>
      <c r="J128" s="239"/>
      <c r="K128" s="24"/>
      <c r="M128" s="30"/>
      <c r="N128" s="16" t="e">
        <f t="shared" si="21"/>
        <v>#N/A</v>
      </c>
      <c r="O128" s="16" t="e">
        <f t="shared" si="22"/>
        <v>#N/A</v>
      </c>
      <c r="P128" s="16" t="e">
        <f t="shared" si="23"/>
        <v>#N/A</v>
      </c>
      <c r="Q128" s="16" t="e">
        <f t="shared" si="24"/>
        <v>#N/A</v>
      </c>
      <c r="AI128" s="16" t="e">
        <f t="shared" si="9"/>
        <v>#N/A</v>
      </c>
      <c r="AJ128" s="16" t="str">
        <f t="shared" si="10"/>
        <v/>
      </c>
      <c r="AK128" s="16" t="str">
        <f t="shared" si="11"/>
        <v/>
      </c>
      <c r="AL128" s="16" t="e">
        <f>IF(AK128="",NA(),COUNTIF(AK128:$AK$176,AK128))</f>
        <v>#N/A</v>
      </c>
      <c r="AM128" s="16" t="e">
        <f t="shared" si="12"/>
        <v>#N/A</v>
      </c>
      <c r="AN128" s="16" t="e">
        <f t="shared" si="13"/>
        <v>#N/A</v>
      </c>
      <c r="AO128" s="16" t="str">
        <f t="shared" si="14"/>
        <v/>
      </c>
      <c r="AP128" s="16" t="str">
        <f t="shared" si="15"/>
        <v/>
      </c>
      <c r="AQ128" s="16" t="e">
        <f>IF(AP128="",NA(),COUNTIF(AP128:$AP$176,AP128))</f>
        <v>#N/A</v>
      </c>
      <c r="AR128" s="16" t="e">
        <f t="shared" si="16"/>
        <v>#N/A</v>
      </c>
      <c r="BI128" s="621">
        <v>120</v>
      </c>
      <c r="BJ128" s="622"/>
      <c r="BK128" s="623"/>
      <c r="BL128" s="615">
        <v>120</v>
      </c>
      <c r="BM128" s="624"/>
      <c r="BN128" s="239"/>
      <c r="BO128" s="24"/>
      <c r="BQ128" s="621">
        <v>120</v>
      </c>
      <c r="BR128" s="622"/>
      <c r="BS128" s="623"/>
      <c r="BT128" s="615">
        <v>120</v>
      </c>
      <c r="BU128" s="624"/>
      <c r="BV128" s="239"/>
      <c r="BW128" s="24"/>
      <c r="BY128" s="621">
        <v>120</v>
      </c>
      <c r="BZ128" s="622"/>
      <c r="CA128" s="623"/>
      <c r="CB128" s="615">
        <v>120</v>
      </c>
      <c r="CC128" s="624"/>
      <c r="CD128" s="239"/>
      <c r="CE128" s="24"/>
    </row>
    <row r="129" spans="5:83" ht="12" customHeight="1">
      <c r="E129" s="621">
        <v>121</v>
      </c>
      <c r="F129" s="622"/>
      <c r="G129" s="623"/>
      <c r="H129" s="615">
        <v>121</v>
      </c>
      <c r="I129" s="624"/>
      <c r="J129" s="239"/>
      <c r="K129" s="24"/>
      <c r="N129" s="16" t="e">
        <f t="shared" si="21"/>
        <v>#N/A</v>
      </c>
      <c r="O129" s="16" t="e">
        <f t="shared" si="22"/>
        <v>#N/A</v>
      </c>
      <c r="P129" s="16" t="e">
        <f t="shared" si="23"/>
        <v>#N/A</v>
      </c>
      <c r="Q129" s="16" t="e">
        <f t="shared" si="24"/>
        <v>#N/A</v>
      </c>
      <c r="AI129" s="16" t="e">
        <f t="shared" si="9"/>
        <v>#N/A</v>
      </c>
      <c r="AJ129" s="16" t="str">
        <f t="shared" si="10"/>
        <v/>
      </c>
      <c r="AK129" s="16" t="str">
        <f t="shared" si="11"/>
        <v/>
      </c>
      <c r="AL129" s="16" t="e">
        <f>IF(AK129="",NA(),COUNTIF(AK129:$AK$176,AK129))</f>
        <v>#N/A</v>
      </c>
      <c r="AM129" s="16" t="e">
        <f t="shared" si="12"/>
        <v>#N/A</v>
      </c>
      <c r="AN129" s="16" t="e">
        <f t="shared" si="13"/>
        <v>#N/A</v>
      </c>
      <c r="AO129" s="16" t="str">
        <f t="shared" si="14"/>
        <v/>
      </c>
      <c r="AP129" s="16" t="str">
        <f t="shared" si="15"/>
        <v/>
      </c>
      <c r="AQ129" s="16" t="e">
        <f>IF(AP129="",NA(),COUNTIF(AP129:$AP$176,AP129))</f>
        <v>#N/A</v>
      </c>
      <c r="AR129" s="16" t="e">
        <f t="shared" si="16"/>
        <v>#N/A</v>
      </c>
      <c r="BI129" s="621">
        <v>121</v>
      </c>
      <c r="BJ129" s="622"/>
      <c r="BK129" s="623"/>
      <c r="BL129" s="615">
        <v>121</v>
      </c>
      <c r="BM129" s="624"/>
      <c r="BN129" s="239"/>
      <c r="BO129" s="24"/>
      <c r="BQ129" s="621">
        <v>121</v>
      </c>
      <c r="BR129" s="622"/>
      <c r="BS129" s="623"/>
      <c r="BT129" s="615">
        <v>121</v>
      </c>
      <c r="BU129" s="624"/>
      <c r="BV129" s="239"/>
      <c r="BW129" s="24"/>
      <c r="BY129" s="621">
        <v>121</v>
      </c>
      <c r="BZ129" s="622"/>
      <c r="CA129" s="623"/>
      <c r="CB129" s="615">
        <v>121</v>
      </c>
      <c r="CC129" s="624"/>
      <c r="CD129" s="239"/>
      <c r="CE129" s="24"/>
    </row>
    <row r="130" spans="5:83" ht="12" customHeight="1">
      <c r="E130" s="621">
        <v>122</v>
      </c>
      <c r="F130" s="622"/>
      <c r="G130" s="623"/>
      <c r="H130" s="615">
        <v>122</v>
      </c>
      <c r="I130" s="624"/>
      <c r="J130" s="239"/>
      <c r="K130" s="24"/>
      <c r="M130" s="30"/>
      <c r="N130" s="16" t="e">
        <f t="shared" si="21"/>
        <v>#N/A</v>
      </c>
      <c r="O130" s="16" t="e">
        <f t="shared" si="22"/>
        <v>#N/A</v>
      </c>
      <c r="P130" s="16" t="e">
        <f t="shared" si="23"/>
        <v>#N/A</v>
      </c>
      <c r="Q130" s="16" t="e">
        <f t="shared" si="24"/>
        <v>#N/A</v>
      </c>
      <c r="AI130" s="16" t="e">
        <f t="shared" si="9"/>
        <v>#N/A</v>
      </c>
      <c r="AJ130" s="16" t="str">
        <f t="shared" si="10"/>
        <v/>
      </c>
      <c r="AK130" s="16" t="str">
        <f t="shared" si="11"/>
        <v/>
      </c>
      <c r="AL130" s="16" t="e">
        <f>IF(AK130="",NA(),COUNTIF(AK130:$AK$176,AK130))</f>
        <v>#N/A</v>
      </c>
      <c r="AM130" s="16" t="e">
        <f t="shared" si="12"/>
        <v>#N/A</v>
      </c>
      <c r="AN130" s="16" t="e">
        <f t="shared" si="13"/>
        <v>#N/A</v>
      </c>
      <c r="AO130" s="16" t="str">
        <f t="shared" si="14"/>
        <v/>
      </c>
      <c r="AP130" s="16" t="str">
        <f t="shared" si="15"/>
        <v/>
      </c>
      <c r="AQ130" s="16" t="e">
        <f>IF(AP130="",NA(),COUNTIF(AP130:$AP$176,AP130))</f>
        <v>#N/A</v>
      </c>
      <c r="AR130" s="16" t="e">
        <f t="shared" si="16"/>
        <v>#N/A</v>
      </c>
      <c r="BI130" s="621">
        <v>122</v>
      </c>
      <c r="BJ130" s="622"/>
      <c r="BK130" s="623"/>
      <c r="BL130" s="615">
        <v>122</v>
      </c>
      <c r="BM130" s="624"/>
      <c r="BN130" s="239"/>
      <c r="BO130" s="24"/>
      <c r="BQ130" s="621">
        <v>122</v>
      </c>
      <c r="BR130" s="622"/>
      <c r="BS130" s="623"/>
      <c r="BT130" s="615">
        <v>122</v>
      </c>
      <c r="BU130" s="624"/>
      <c r="BV130" s="239"/>
      <c r="BW130" s="24"/>
      <c r="BY130" s="621">
        <v>122</v>
      </c>
      <c r="BZ130" s="622"/>
      <c r="CA130" s="623"/>
      <c r="CB130" s="615">
        <v>122</v>
      </c>
      <c r="CC130" s="624"/>
      <c r="CD130" s="239"/>
      <c r="CE130" s="24"/>
    </row>
    <row r="131" spans="5:83" ht="12" customHeight="1">
      <c r="E131" s="621">
        <v>123</v>
      </c>
      <c r="F131" s="622"/>
      <c r="G131" s="623"/>
      <c r="H131" s="615">
        <v>123</v>
      </c>
      <c r="I131" s="624"/>
      <c r="J131" s="239"/>
      <c r="K131" s="24"/>
      <c r="N131" s="16" t="e">
        <f t="shared" si="21"/>
        <v>#N/A</v>
      </c>
      <c r="O131" s="16" t="e">
        <f t="shared" si="22"/>
        <v>#N/A</v>
      </c>
      <c r="P131" s="16" t="e">
        <f t="shared" si="23"/>
        <v>#N/A</v>
      </c>
      <c r="Q131" s="16" t="e">
        <f t="shared" si="24"/>
        <v>#N/A</v>
      </c>
      <c r="AI131" s="16" t="e">
        <f t="shared" si="9"/>
        <v>#N/A</v>
      </c>
      <c r="AJ131" s="16" t="str">
        <f t="shared" si="10"/>
        <v/>
      </c>
      <c r="AK131" s="16" t="str">
        <f t="shared" si="11"/>
        <v/>
      </c>
      <c r="AL131" s="16" t="e">
        <f>IF(AK131="",NA(),COUNTIF(AK131:$AK$176,AK131))</f>
        <v>#N/A</v>
      </c>
      <c r="AM131" s="16" t="e">
        <f t="shared" si="12"/>
        <v>#N/A</v>
      </c>
      <c r="AN131" s="16" t="e">
        <f t="shared" si="13"/>
        <v>#N/A</v>
      </c>
      <c r="AO131" s="16" t="str">
        <f t="shared" si="14"/>
        <v/>
      </c>
      <c r="AP131" s="16" t="str">
        <f t="shared" si="15"/>
        <v/>
      </c>
      <c r="AQ131" s="16" t="e">
        <f>IF(AP131="",NA(),COUNTIF(AP131:$AP$176,AP131))</f>
        <v>#N/A</v>
      </c>
      <c r="AR131" s="16" t="e">
        <f t="shared" si="16"/>
        <v>#N/A</v>
      </c>
      <c r="BI131" s="621">
        <v>123</v>
      </c>
      <c r="BJ131" s="622"/>
      <c r="BK131" s="623"/>
      <c r="BL131" s="615">
        <v>123</v>
      </c>
      <c r="BM131" s="624"/>
      <c r="BN131" s="239"/>
      <c r="BO131" s="24"/>
      <c r="BQ131" s="621">
        <v>123</v>
      </c>
      <c r="BR131" s="622"/>
      <c r="BS131" s="623"/>
      <c r="BT131" s="615">
        <v>123</v>
      </c>
      <c r="BU131" s="624"/>
      <c r="BV131" s="239"/>
      <c r="BW131" s="24"/>
      <c r="BY131" s="621">
        <v>123</v>
      </c>
      <c r="BZ131" s="622"/>
      <c r="CA131" s="623"/>
      <c r="CB131" s="615">
        <v>123</v>
      </c>
      <c r="CC131" s="624"/>
      <c r="CD131" s="239"/>
      <c r="CE131" s="24"/>
    </row>
    <row r="132" spans="5:83" ht="12" customHeight="1">
      <c r="E132" s="621">
        <v>124</v>
      </c>
      <c r="F132" s="622"/>
      <c r="G132" s="623"/>
      <c r="H132" s="615">
        <v>124</v>
      </c>
      <c r="I132" s="624"/>
      <c r="J132" s="239"/>
      <c r="K132" s="24"/>
      <c r="M132" s="30"/>
      <c r="N132" s="16" t="e">
        <f t="shared" si="21"/>
        <v>#N/A</v>
      </c>
      <c r="O132" s="16" t="e">
        <f t="shared" si="22"/>
        <v>#N/A</v>
      </c>
      <c r="P132" s="16" t="e">
        <f t="shared" si="23"/>
        <v>#N/A</v>
      </c>
      <c r="Q132" s="16" t="e">
        <f t="shared" si="24"/>
        <v>#N/A</v>
      </c>
      <c r="AI132" s="16" t="e">
        <f t="shared" si="9"/>
        <v>#N/A</v>
      </c>
      <c r="AJ132" s="16" t="str">
        <f t="shared" si="10"/>
        <v/>
      </c>
      <c r="AK132" s="16" t="str">
        <f t="shared" si="11"/>
        <v/>
      </c>
      <c r="AL132" s="16" t="e">
        <f>IF(AK132="",NA(),COUNTIF(AK132:$AK$176,AK132))</f>
        <v>#N/A</v>
      </c>
      <c r="AM132" s="16" t="e">
        <f t="shared" si="12"/>
        <v>#N/A</v>
      </c>
      <c r="AN132" s="16" t="e">
        <f t="shared" si="13"/>
        <v>#N/A</v>
      </c>
      <c r="AO132" s="16" t="str">
        <f t="shared" si="14"/>
        <v/>
      </c>
      <c r="AP132" s="16" t="str">
        <f t="shared" si="15"/>
        <v/>
      </c>
      <c r="AQ132" s="16" t="e">
        <f>IF(AP132="",NA(),COUNTIF(AP132:$AP$176,AP132))</f>
        <v>#N/A</v>
      </c>
      <c r="AR132" s="16" t="e">
        <f t="shared" si="16"/>
        <v>#N/A</v>
      </c>
      <c r="BI132" s="621">
        <v>124</v>
      </c>
      <c r="BJ132" s="622"/>
      <c r="BK132" s="623"/>
      <c r="BL132" s="615">
        <v>124</v>
      </c>
      <c r="BM132" s="624"/>
      <c r="BN132" s="239"/>
      <c r="BO132" s="24"/>
      <c r="BQ132" s="621">
        <v>124</v>
      </c>
      <c r="BR132" s="622"/>
      <c r="BS132" s="623"/>
      <c r="BT132" s="615">
        <v>124</v>
      </c>
      <c r="BU132" s="624"/>
      <c r="BV132" s="239"/>
      <c r="BW132" s="24"/>
      <c r="BY132" s="621">
        <v>124</v>
      </c>
      <c r="BZ132" s="622"/>
      <c r="CA132" s="623"/>
      <c r="CB132" s="615">
        <v>124</v>
      </c>
      <c r="CC132" s="624"/>
      <c r="CD132" s="239"/>
      <c r="CE132" s="24"/>
    </row>
    <row r="133" spans="5:83" ht="12" customHeight="1">
      <c r="E133" s="621">
        <v>125</v>
      </c>
      <c r="F133" s="622"/>
      <c r="G133" s="623"/>
      <c r="H133" s="615">
        <v>125</v>
      </c>
      <c r="I133" s="624"/>
      <c r="J133" s="239"/>
      <c r="K133" s="24"/>
      <c r="N133" s="16" t="e">
        <f t="shared" si="21"/>
        <v>#N/A</v>
      </c>
      <c r="O133" s="16" t="e">
        <f t="shared" si="22"/>
        <v>#N/A</v>
      </c>
      <c r="P133" s="16" t="e">
        <f t="shared" si="23"/>
        <v>#N/A</v>
      </c>
      <c r="Q133" s="16" t="e">
        <f t="shared" si="24"/>
        <v>#N/A</v>
      </c>
      <c r="AI133" s="16" t="e">
        <f t="shared" si="9"/>
        <v>#N/A</v>
      </c>
      <c r="AJ133" s="16" t="str">
        <f t="shared" si="10"/>
        <v/>
      </c>
      <c r="AK133" s="16" t="str">
        <f t="shared" si="11"/>
        <v/>
      </c>
      <c r="AL133" s="16" t="e">
        <f>IF(AK133="",NA(),COUNTIF(AK133:$AK$176,AK133))</f>
        <v>#N/A</v>
      </c>
      <c r="AM133" s="16" t="e">
        <f t="shared" si="12"/>
        <v>#N/A</v>
      </c>
      <c r="AN133" s="16" t="e">
        <f t="shared" si="13"/>
        <v>#N/A</v>
      </c>
      <c r="AO133" s="16" t="str">
        <f t="shared" si="14"/>
        <v/>
      </c>
      <c r="AP133" s="16" t="str">
        <f t="shared" si="15"/>
        <v/>
      </c>
      <c r="AQ133" s="16" t="e">
        <f>IF(AP133="",NA(),COUNTIF(AP133:$AP$176,AP133))</f>
        <v>#N/A</v>
      </c>
      <c r="AR133" s="16" t="e">
        <f t="shared" si="16"/>
        <v>#N/A</v>
      </c>
      <c r="BI133" s="621">
        <v>125</v>
      </c>
      <c r="BJ133" s="622"/>
      <c r="BK133" s="623"/>
      <c r="BL133" s="615">
        <v>125</v>
      </c>
      <c r="BM133" s="624"/>
      <c r="BN133" s="239"/>
      <c r="BO133" s="24"/>
      <c r="BQ133" s="621">
        <v>125</v>
      </c>
      <c r="BR133" s="622"/>
      <c r="BS133" s="623"/>
      <c r="BT133" s="615">
        <v>125</v>
      </c>
      <c r="BU133" s="624"/>
      <c r="BV133" s="239"/>
      <c r="BW133" s="24"/>
      <c r="BY133" s="621">
        <v>125</v>
      </c>
      <c r="BZ133" s="622"/>
      <c r="CA133" s="623"/>
      <c r="CB133" s="615">
        <v>125</v>
      </c>
      <c r="CC133" s="624"/>
      <c r="CD133" s="239"/>
      <c r="CE133" s="24"/>
    </row>
    <row r="134" spans="5:83" ht="12" customHeight="1">
      <c r="E134" s="621">
        <v>126</v>
      </c>
      <c r="F134" s="622"/>
      <c r="G134" s="623"/>
      <c r="H134" s="615">
        <v>126</v>
      </c>
      <c r="I134" s="624"/>
      <c r="J134" s="239"/>
      <c r="K134" s="24"/>
      <c r="M134" s="30"/>
      <c r="N134" s="16" t="e">
        <f t="shared" si="21"/>
        <v>#N/A</v>
      </c>
      <c r="O134" s="16" t="e">
        <f t="shared" si="22"/>
        <v>#N/A</v>
      </c>
      <c r="P134" s="16" t="e">
        <f t="shared" si="23"/>
        <v>#N/A</v>
      </c>
      <c r="Q134" s="16" t="e">
        <f t="shared" si="24"/>
        <v>#N/A</v>
      </c>
      <c r="AI134" s="16" t="e">
        <f t="shared" si="9"/>
        <v>#N/A</v>
      </c>
      <c r="AJ134" s="16" t="str">
        <f t="shared" si="10"/>
        <v/>
      </c>
      <c r="AK134" s="16" t="str">
        <f t="shared" si="11"/>
        <v/>
      </c>
      <c r="AL134" s="16" t="e">
        <f>IF(AK134="",NA(),COUNTIF(AK134:$AK$176,AK134))</f>
        <v>#N/A</v>
      </c>
      <c r="AM134" s="16" t="e">
        <f t="shared" si="12"/>
        <v>#N/A</v>
      </c>
      <c r="AN134" s="16" t="e">
        <f t="shared" si="13"/>
        <v>#N/A</v>
      </c>
      <c r="AO134" s="16" t="str">
        <f t="shared" si="14"/>
        <v/>
      </c>
      <c r="AP134" s="16" t="str">
        <f t="shared" si="15"/>
        <v/>
      </c>
      <c r="AQ134" s="16" t="e">
        <f>IF(AP134="",NA(),COUNTIF(AP134:$AP$176,AP134))</f>
        <v>#N/A</v>
      </c>
      <c r="AR134" s="16" t="e">
        <f t="shared" si="16"/>
        <v>#N/A</v>
      </c>
      <c r="BI134" s="621">
        <v>126</v>
      </c>
      <c r="BJ134" s="622"/>
      <c r="BK134" s="623"/>
      <c r="BL134" s="615">
        <v>126</v>
      </c>
      <c r="BM134" s="624"/>
      <c r="BN134" s="239"/>
      <c r="BO134" s="24"/>
      <c r="BQ134" s="621">
        <v>126</v>
      </c>
      <c r="BR134" s="622"/>
      <c r="BS134" s="623"/>
      <c r="BT134" s="615">
        <v>126</v>
      </c>
      <c r="BU134" s="624"/>
      <c r="BV134" s="239"/>
      <c r="BW134" s="24"/>
      <c r="BY134" s="621">
        <v>126</v>
      </c>
      <c r="BZ134" s="622"/>
      <c r="CA134" s="623"/>
      <c r="CB134" s="615">
        <v>126</v>
      </c>
      <c r="CC134" s="624"/>
      <c r="CD134" s="239"/>
      <c r="CE134" s="24"/>
    </row>
    <row r="135" spans="5:83" ht="12" customHeight="1">
      <c r="E135" s="621">
        <v>127</v>
      </c>
      <c r="F135" s="622"/>
      <c r="G135" s="623"/>
      <c r="H135" s="615">
        <v>127</v>
      </c>
      <c r="I135" s="624"/>
      <c r="J135" s="239"/>
      <c r="K135" s="24"/>
      <c r="N135" s="16" t="e">
        <f t="shared" si="21"/>
        <v>#N/A</v>
      </c>
      <c r="O135" s="16" t="e">
        <f t="shared" si="22"/>
        <v>#N/A</v>
      </c>
      <c r="P135" s="16" t="e">
        <f t="shared" si="23"/>
        <v>#N/A</v>
      </c>
      <c r="Q135" s="16" t="e">
        <f t="shared" si="24"/>
        <v>#N/A</v>
      </c>
      <c r="AI135" s="16" t="e">
        <f t="shared" si="9"/>
        <v>#N/A</v>
      </c>
      <c r="AJ135" s="16" t="str">
        <f t="shared" si="10"/>
        <v/>
      </c>
      <c r="AK135" s="16" t="str">
        <f t="shared" si="11"/>
        <v/>
      </c>
      <c r="AL135" s="16" t="e">
        <f>IF(AK135="",NA(),COUNTIF(AK135:$AK$176,AK135))</f>
        <v>#N/A</v>
      </c>
      <c r="AM135" s="16" t="e">
        <f t="shared" si="12"/>
        <v>#N/A</v>
      </c>
      <c r="AN135" s="16" t="e">
        <f t="shared" si="13"/>
        <v>#N/A</v>
      </c>
      <c r="AO135" s="16" t="str">
        <f t="shared" si="14"/>
        <v/>
      </c>
      <c r="AP135" s="16" t="str">
        <f t="shared" si="15"/>
        <v/>
      </c>
      <c r="AQ135" s="16" t="e">
        <f>IF(AP135="",NA(),COUNTIF(AP135:$AP$176,AP135))</f>
        <v>#N/A</v>
      </c>
      <c r="AR135" s="16" t="e">
        <f t="shared" si="16"/>
        <v>#N/A</v>
      </c>
      <c r="BI135" s="621">
        <v>127</v>
      </c>
      <c r="BJ135" s="622"/>
      <c r="BK135" s="623"/>
      <c r="BL135" s="615">
        <v>127</v>
      </c>
      <c r="BM135" s="624"/>
      <c r="BN135" s="239"/>
      <c r="BO135" s="24"/>
      <c r="BQ135" s="621">
        <v>127</v>
      </c>
      <c r="BR135" s="622"/>
      <c r="BS135" s="623"/>
      <c r="BT135" s="615">
        <v>127</v>
      </c>
      <c r="BU135" s="624"/>
      <c r="BV135" s="239"/>
      <c r="BW135" s="24"/>
      <c r="BY135" s="621">
        <v>127</v>
      </c>
      <c r="BZ135" s="622"/>
      <c r="CA135" s="623"/>
      <c r="CB135" s="615">
        <v>127</v>
      </c>
      <c r="CC135" s="624"/>
      <c r="CD135" s="239"/>
      <c r="CE135" s="24"/>
    </row>
    <row r="136" spans="5:83" ht="12" customHeight="1">
      <c r="E136" s="621">
        <v>128</v>
      </c>
      <c r="F136" s="622"/>
      <c r="G136" s="623"/>
      <c r="H136" s="615">
        <v>128</v>
      </c>
      <c r="I136" s="624"/>
      <c r="J136" s="239"/>
      <c r="K136" s="24"/>
      <c r="M136" s="30"/>
      <c r="N136" s="16" t="e">
        <f t="shared" si="21"/>
        <v>#N/A</v>
      </c>
      <c r="O136" s="16" t="e">
        <f t="shared" si="22"/>
        <v>#N/A</v>
      </c>
      <c r="P136" s="16" t="e">
        <f t="shared" si="23"/>
        <v>#N/A</v>
      </c>
      <c r="Q136" s="16" t="e">
        <f t="shared" si="24"/>
        <v>#N/A</v>
      </c>
      <c r="AI136" s="16" t="e">
        <f t="shared" si="9"/>
        <v>#N/A</v>
      </c>
      <c r="AJ136" s="16" t="str">
        <f t="shared" si="10"/>
        <v/>
      </c>
      <c r="AK136" s="16" t="str">
        <f t="shared" si="11"/>
        <v/>
      </c>
      <c r="AL136" s="16" t="e">
        <f>IF(AK136="",NA(),COUNTIF(AK136:$AK$176,AK136))</f>
        <v>#N/A</v>
      </c>
      <c r="AM136" s="16" t="e">
        <f t="shared" si="12"/>
        <v>#N/A</v>
      </c>
      <c r="AN136" s="16" t="e">
        <f t="shared" si="13"/>
        <v>#N/A</v>
      </c>
      <c r="AO136" s="16" t="str">
        <f t="shared" si="14"/>
        <v/>
      </c>
      <c r="AP136" s="16" t="str">
        <f t="shared" si="15"/>
        <v/>
      </c>
      <c r="AQ136" s="16" t="e">
        <f>IF(AP136="",NA(),COUNTIF(AP136:$AP$176,AP136))</f>
        <v>#N/A</v>
      </c>
      <c r="AR136" s="16" t="e">
        <f t="shared" si="16"/>
        <v>#N/A</v>
      </c>
      <c r="BI136" s="621">
        <v>128</v>
      </c>
      <c r="BJ136" s="622"/>
      <c r="BK136" s="623"/>
      <c r="BL136" s="615">
        <v>128</v>
      </c>
      <c r="BM136" s="624"/>
      <c r="BN136" s="239"/>
      <c r="BO136" s="24"/>
      <c r="BQ136" s="621">
        <v>128</v>
      </c>
      <c r="BR136" s="622"/>
      <c r="BS136" s="623"/>
      <c r="BT136" s="615">
        <v>128</v>
      </c>
      <c r="BU136" s="624"/>
      <c r="BV136" s="239"/>
      <c r="BW136" s="24"/>
      <c r="BY136" s="621">
        <v>128</v>
      </c>
      <c r="BZ136" s="622"/>
      <c r="CA136" s="623"/>
      <c r="CB136" s="615">
        <v>128</v>
      </c>
      <c r="CC136" s="624"/>
      <c r="CD136" s="239"/>
      <c r="CE136" s="24"/>
    </row>
    <row r="137" spans="5:83" ht="12" customHeight="1">
      <c r="E137" s="621">
        <v>129</v>
      </c>
      <c r="F137" s="622"/>
      <c r="G137" s="623"/>
      <c r="H137" s="615">
        <v>129</v>
      </c>
      <c r="I137" s="624"/>
      <c r="J137" s="239"/>
      <c r="K137" s="24"/>
      <c r="N137" s="16" t="e">
        <f t="shared" si="21"/>
        <v>#N/A</v>
      </c>
      <c r="O137" s="16" t="e">
        <f t="shared" si="22"/>
        <v>#N/A</v>
      </c>
      <c r="P137" s="16" t="e">
        <f t="shared" si="23"/>
        <v>#N/A</v>
      </c>
      <c r="Q137" s="16" t="e">
        <f t="shared" si="24"/>
        <v>#N/A</v>
      </c>
      <c r="AI137" s="16" t="e">
        <f t="shared" si="9"/>
        <v>#N/A</v>
      </c>
      <c r="AJ137" s="16" t="str">
        <f t="shared" si="10"/>
        <v/>
      </c>
      <c r="AK137" s="16" t="str">
        <f t="shared" si="11"/>
        <v/>
      </c>
      <c r="AL137" s="16" t="e">
        <f>IF(AK137="",NA(),COUNTIF(AK137:$AK$176,AK137))</f>
        <v>#N/A</v>
      </c>
      <c r="AM137" s="16" t="e">
        <f t="shared" si="12"/>
        <v>#N/A</v>
      </c>
      <c r="AN137" s="16" t="e">
        <f t="shared" si="13"/>
        <v>#N/A</v>
      </c>
      <c r="AO137" s="16" t="str">
        <f t="shared" si="14"/>
        <v/>
      </c>
      <c r="AP137" s="16" t="str">
        <f t="shared" si="15"/>
        <v/>
      </c>
      <c r="AQ137" s="16" t="e">
        <f>IF(AP137="",NA(),COUNTIF(AP137:$AP$176,AP137))</f>
        <v>#N/A</v>
      </c>
      <c r="AR137" s="16" t="e">
        <f t="shared" si="16"/>
        <v>#N/A</v>
      </c>
      <c r="BI137" s="621">
        <v>129</v>
      </c>
      <c r="BJ137" s="622"/>
      <c r="BK137" s="623"/>
      <c r="BL137" s="615">
        <v>129</v>
      </c>
      <c r="BM137" s="624"/>
      <c r="BN137" s="239"/>
      <c r="BO137" s="24"/>
      <c r="BQ137" s="621">
        <v>129</v>
      </c>
      <c r="BR137" s="622"/>
      <c r="BS137" s="623"/>
      <c r="BT137" s="615">
        <v>129</v>
      </c>
      <c r="BU137" s="624"/>
      <c r="BV137" s="239"/>
      <c r="BW137" s="24"/>
      <c r="BY137" s="621">
        <v>129</v>
      </c>
      <c r="BZ137" s="622"/>
      <c r="CA137" s="623"/>
      <c r="CB137" s="615">
        <v>129</v>
      </c>
      <c r="CC137" s="624"/>
      <c r="CD137" s="239"/>
      <c r="CE137" s="24"/>
    </row>
    <row r="138" spans="5:83" ht="12" customHeight="1">
      <c r="E138" s="621">
        <v>130</v>
      </c>
      <c r="F138" s="622"/>
      <c r="G138" s="623"/>
      <c r="H138" s="615">
        <v>130</v>
      </c>
      <c r="I138" s="624"/>
      <c r="J138" s="239"/>
      <c r="K138" s="24"/>
      <c r="M138" s="30"/>
      <c r="N138" s="16" t="e">
        <f t="shared" si="21"/>
        <v>#N/A</v>
      </c>
      <c r="O138" s="16" t="e">
        <f t="shared" si="22"/>
        <v>#N/A</v>
      </c>
      <c r="P138" s="16" t="e">
        <f t="shared" si="23"/>
        <v>#N/A</v>
      </c>
      <c r="Q138" s="16" t="e">
        <f t="shared" si="24"/>
        <v>#N/A</v>
      </c>
      <c r="AI138" s="16" t="e">
        <f t="shared" si="9"/>
        <v>#N/A</v>
      </c>
      <c r="AJ138" s="16" t="str">
        <f t="shared" si="10"/>
        <v/>
      </c>
      <c r="AK138" s="16" t="str">
        <f t="shared" si="11"/>
        <v/>
      </c>
      <c r="AL138" s="16" t="e">
        <f>IF(AK138="",NA(),COUNTIF(AK138:$AK$176,AK138))</f>
        <v>#N/A</v>
      </c>
      <c r="AM138" s="16" t="e">
        <f t="shared" si="12"/>
        <v>#N/A</v>
      </c>
      <c r="AN138" s="16" t="e">
        <f t="shared" si="13"/>
        <v>#N/A</v>
      </c>
      <c r="AO138" s="16" t="str">
        <f t="shared" si="14"/>
        <v/>
      </c>
      <c r="AP138" s="16" t="str">
        <f t="shared" si="15"/>
        <v/>
      </c>
      <c r="AQ138" s="16" t="e">
        <f>IF(AP138="",NA(),COUNTIF(AP138:$AP$176,AP138))</f>
        <v>#N/A</v>
      </c>
      <c r="AR138" s="16" t="e">
        <f t="shared" si="16"/>
        <v>#N/A</v>
      </c>
      <c r="BI138" s="621">
        <v>130</v>
      </c>
      <c r="BJ138" s="622"/>
      <c r="BK138" s="623"/>
      <c r="BL138" s="615">
        <v>130</v>
      </c>
      <c r="BM138" s="624"/>
      <c r="BN138" s="239"/>
      <c r="BO138" s="24"/>
      <c r="BQ138" s="621">
        <v>130</v>
      </c>
      <c r="BR138" s="622"/>
      <c r="BS138" s="623"/>
      <c r="BT138" s="615">
        <v>130</v>
      </c>
      <c r="BU138" s="624"/>
      <c r="BV138" s="239"/>
      <c r="BW138" s="24"/>
      <c r="BY138" s="621">
        <v>130</v>
      </c>
      <c r="BZ138" s="622"/>
      <c r="CA138" s="623"/>
      <c r="CB138" s="615">
        <v>130</v>
      </c>
      <c r="CC138" s="624"/>
      <c r="CD138" s="239"/>
      <c r="CE138" s="24"/>
    </row>
    <row r="139" spans="5:83" ht="12" customHeight="1">
      <c r="E139" s="621">
        <v>131</v>
      </c>
      <c r="F139" s="622"/>
      <c r="G139" s="623"/>
      <c r="H139" s="615">
        <v>131</v>
      </c>
      <c r="I139" s="624"/>
      <c r="J139" s="239"/>
      <c r="K139" s="24"/>
      <c r="N139" s="16" t="e">
        <f t="shared" si="21"/>
        <v>#N/A</v>
      </c>
      <c r="O139" s="16" t="e">
        <f t="shared" si="22"/>
        <v>#N/A</v>
      </c>
      <c r="P139" s="16" t="e">
        <f t="shared" si="23"/>
        <v>#N/A</v>
      </c>
      <c r="Q139" s="16" t="e">
        <f t="shared" si="24"/>
        <v>#N/A</v>
      </c>
      <c r="AI139" s="16" t="e">
        <f t="shared" si="9"/>
        <v>#N/A</v>
      </c>
      <c r="AJ139" s="16" t="str">
        <f t="shared" si="10"/>
        <v/>
      </c>
      <c r="AK139" s="16" t="str">
        <f t="shared" si="11"/>
        <v/>
      </c>
      <c r="AL139" s="16" t="e">
        <f>IF(AK139="",NA(),COUNTIF(AK139:$AK$176,AK139))</f>
        <v>#N/A</v>
      </c>
      <c r="AM139" s="16" t="e">
        <f t="shared" si="12"/>
        <v>#N/A</v>
      </c>
      <c r="AN139" s="16" t="e">
        <f t="shared" si="13"/>
        <v>#N/A</v>
      </c>
      <c r="AO139" s="16" t="str">
        <f t="shared" si="14"/>
        <v/>
      </c>
      <c r="AP139" s="16" t="str">
        <f t="shared" si="15"/>
        <v/>
      </c>
      <c r="AQ139" s="16" t="e">
        <f>IF(AP139="",NA(),COUNTIF(AP139:$AP$176,AP139))</f>
        <v>#N/A</v>
      </c>
      <c r="AR139" s="16" t="e">
        <f t="shared" si="16"/>
        <v>#N/A</v>
      </c>
      <c r="BI139" s="621">
        <v>131</v>
      </c>
      <c r="BJ139" s="622"/>
      <c r="BK139" s="623"/>
      <c r="BL139" s="615">
        <v>131</v>
      </c>
      <c r="BM139" s="624"/>
      <c r="BN139" s="239"/>
      <c r="BO139" s="24"/>
      <c r="BQ139" s="621">
        <v>131</v>
      </c>
      <c r="BR139" s="622"/>
      <c r="BS139" s="623"/>
      <c r="BT139" s="615">
        <v>131</v>
      </c>
      <c r="BU139" s="624"/>
      <c r="BV139" s="239"/>
      <c r="BW139" s="24"/>
      <c r="BY139" s="621">
        <v>131</v>
      </c>
      <c r="BZ139" s="622"/>
      <c r="CA139" s="623"/>
      <c r="CB139" s="615">
        <v>131</v>
      </c>
      <c r="CC139" s="624"/>
      <c r="CD139" s="239"/>
      <c r="CE139" s="24"/>
    </row>
    <row r="140" spans="5:83" ht="12" customHeight="1">
      <c r="E140" s="621">
        <v>132</v>
      </c>
      <c r="F140" s="622"/>
      <c r="G140" s="623"/>
      <c r="H140" s="615">
        <v>132</v>
      </c>
      <c r="I140" s="624"/>
      <c r="J140" s="239"/>
      <c r="K140" s="24"/>
      <c r="M140" s="30"/>
      <c r="N140" s="16" t="e">
        <f t="shared" si="21"/>
        <v>#N/A</v>
      </c>
      <c r="O140" s="16" t="e">
        <f t="shared" si="22"/>
        <v>#N/A</v>
      </c>
      <c r="P140" s="16" t="e">
        <f t="shared" si="23"/>
        <v>#N/A</v>
      </c>
      <c r="Q140" s="16" t="e">
        <f t="shared" si="24"/>
        <v>#N/A</v>
      </c>
      <c r="AI140" s="16" t="e">
        <f t="shared" si="9"/>
        <v>#N/A</v>
      </c>
      <c r="AJ140" s="16" t="str">
        <f t="shared" si="10"/>
        <v/>
      </c>
      <c r="AK140" s="16" t="str">
        <f t="shared" si="11"/>
        <v/>
      </c>
      <c r="AL140" s="16" t="e">
        <f>IF(AK140="",NA(),COUNTIF(AK140:$AK$176,AK140))</f>
        <v>#N/A</v>
      </c>
      <c r="AM140" s="16" t="e">
        <f t="shared" si="12"/>
        <v>#N/A</v>
      </c>
      <c r="AN140" s="16" t="e">
        <f t="shared" si="13"/>
        <v>#N/A</v>
      </c>
      <c r="AO140" s="16" t="str">
        <f t="shared" si="14"/>
        <v/>
      </c>
      <c r="AP140" s="16" t="str">
        <f t="shared" si="15"/>
        <v/>
      </c>
      <c r="AQ140" s="16" t="e">
        <f>IF(AP140="",NA(),COUNTIF(AP140:$AP$176,AP140))</f>
        <v>#N/A</v>
      </c>
      <c r="AR140" s="16" t="e">
        <f t="shared" si="16"/>
        <v>#N/A</v>
      </c>
      <c r="BI140" s="621">
        <v>132</v>
      </c>
      <c r="BJ140" s="622"/>
      <c r="BK140" s="623"/>
      <c r="BL140" s="615">
        <v>132</v>
      </c>
      <c r="BM140" s="624"/>
      <c r="BN140" s="239"/>
      <c r="BO140" s="24"/>
      <c r="BQ140" s="621">
        <v>132</v>
      </c>
      <c r="BR140" s="622"/>
      <c r="BS140" s="623"/>
      <c r="BT140" s="615">
        <v>132</v>
      </c>
      <c r="BU140" s="624"/>
      <c r="BV140" s="239"/>
      <c r="BW140" s="24"/>
      <c r="BY140" s="621">
        <v>132</v>
      </c>
      <c r="BZ140" s="622"/>
      <c r="CA140" s="623"/>
      <c r="CB140" s="615">
        <v>132</v>
      </c>
      <c r="CC140" s="624"/>
      <c r="CD140" s="239"/>
      <c r="CE140" s="24"/>
    </row>
    <row r="141" spans="5:83" ht="12" customHeight="1">
      <c r="E141" s="621">
        <v>133</v>
      </c>
      <c r="F141" s="622"/>
      <c r="G141" s="623"/>
      <c r="H141" s="615">
        <v>133</v>
      </c>
      <c r="I141" s="624"/>
      <c r="J141" s="239"/>
      <c r="K141" s="24"/>
      <c r="N141" s="16" t="e">
        <f t="shared" ref="N141:N176" si="25">0.85-IF($AL$75,AM141,0)</f>
        <v>#N/A</v>
      </c>
      <c r="O141" s="16" t="e">
        <f t="shared" ref="O141:O176" si="26">IF(AJ141="",NA(),IF($AL$75,AJ141,AI141))</f>
        <v>#N/A</v>
      </c>
      <c r="P141" s="16" t="e">
        <f t="shared" ref="P141:P176" si="27">2.15+IF($AL$75,AR141,0)</f>
        <v>#N/A</v>
      </c>
      <c r="Q141" s="16" t="e">
        <f t="shared" ref="Q141:Q176" si="28">IF(AO141="",NA(),IF($AL$75,AO141,AN141))</f>
        <v>#N/A</v>
      </c>
      <c r="AI141" s="16" t="e">
        <f t="shared" ref="AI141:AI204" si="29">IF(AND($X$80,NOT(F73=""),$X$78),F73,NA())</f>
        <v>#N/A</v>
      </c>
      <c r="AJ141" s="16" t="str">
        <f t="shared" ref="AJ141:AJ204" si="30">IF(AK141="","",IF($AU$79=0,AI141,AK141*$AU$79))</f>
        <v/>
      </c>
      <c r="AK141" s="16" t="str">
        <f t="shared" ref="AK141:AK204" si="31">IF(ISNA(AI141),"",IF($AU$79=0,AI141,ROUND(AI141/$AU$79,0)))</f>
        <v/>
      </c>
      <c r="AL141" s="16" t="e">
        <f>IF(AK141="",NA(),COUNTIF(AK141:$AK$176,AK141))</f>
        <v>#N/A</v>
      </c>
      <c r="AM141" s="16" t="e">
        <f t="shared" ref="AM141:AM204" si="32">(AL141-1)*$AU$82</f>
        <v>#N/A</v>
      </c>
      <c r="AN141" s="16" t="e">
        <f t="shared" ref="AN141:AN204" si="33">IF(AND($X$80,NOT(I73=""),$X$79),I73,NA())</f>
        <v>#N/A</v>
      </c>
      <c r="AO141" s="16" t="str">
        <f t="shared" ref="AO141:AO204" si="34">IF(AP141="","",IF($AU$79=0,AN141,AP141*$AU$79))</f>
        <v/>
      </c>
      <c r="AP141" s="16" t="str">
        <f t="shared" ref="AP141:AP204" si="35">IF(ISNA(AN141),"",IF($AU$79=0,AN141,ROUND(AN141/$AU$79,0)))</f>
        <v/>
      </c>
      <c r="AQ141" s="16" t="e">
        <f>IF(AP141="",NA(),COUNTIF(AP141:$AP$176,AP141))</f>
        <v>#N/A</v>
      </c>
      <c r="AR141" s="16" t="e">
        <f t="shared" ref="AR141:AR204" si="36">(AQ141-1)*$AU$82</f>
        <v>#N/A</v>
      </c>
      <c r="BI141" s="621">
        <v>133</v>
      </c>
      <c r="BJ141" s="622"/>
      <c r="BK141" s="623"/>
      <c r="BL141" s="615">
        <v>133</v>
      </c>
      <c r="BM141" s="624"/>
      <c r="BN141" s="239"/>
      <c r="BO141" s="24"/>
      <c r="BQ141" s="621">
        <v>133</v>
      </c>
      <c r="BR141" s="622"/>
      <c r="BS141" s="623"/>
      <c r="BT141" s="615">
        <v>133</v>
      </c>
      <c r="BU141" s="624"/>
      <c r="BV141" s="239"/>
      <c r="BW141" s="24"/>
      <c r="BY141" s="621">
        <v>133</v>
      </c>
      <c r="BZ141" s="622"/>
      <c r="CA141" s="623"/>
      <c r="CB141" s="615">
        <v>133</v>
      </c>
      <c r="CC141" s="624"/>
      <c r="CD141" s="239"/>
      <c r="CE141" s="24"/>
    </row>
    <row r="142" spans="5:83" ht="12" customHeight="1">
      <c r="E142" s="621">
        <v>134</v>
      </c>
      <c r="F142" s="622"/>
      <c r="G142" s="623"/>
      <c r="H142" s="615">
        <v>134</v>
      </c>
      <c r="I142" s="624"/>
      <c r="J142" s="239"/>
      <c r="K142" s="24"/>
      <c r="M142" s="30"/>
      <c r="N142" s="16" t="e">
        <f t="shared" si="25"/>
        <v>#N/A</v>
      </c>
      <c r="O142" s="16" t="e">
        <f t="shared" si="26"/>
        <v>#N/A</v>
      </c>
      <c r="P142" s="16" t="e">
        <f t="shared" si="27"/>
        <v>#N/A</v>
      </c>
      <c r="Q142" s="16" t="e">
        <f t="shared" si="28"/>
        <v>#N/A</v>
      </c>
      <c r="AI142" s="16" t="e">
        <f t="shared" si="29"/>
        <v>#N/A</v>
      </c>
      <c r="AJ142" s="16" t="str">
        <f t="shared" si="30"/>
        <v/>
      </c>
      <c r="AK142" s="16" t="str">
        <f t="shared" si="31"/>
        <v/>
      </c>
      <c r="AL142" s="16" t="e">
        <f>IF(AK142="",NA(),COUNTIF(AK142:$AK$176,AK142))</f>
        <v>#N/A</v>
      </c>
      <c r="AM142" s="16" t="e">
        <f t="shared" si="32"/>
        <v>#N/A</v>
      </c>
      <c r="AN142" s="16" t="e">
        <f t="shared" si="33"/>
        <v>#N/A</v>
      </c>
      <c r="AO142" s="16" t="str">
        <f t="shared" si="34"/>
        <v/>
      </c>
      <c r="AP142" s="16" t="str">
        <f t="shared" si="35"/>
        <v/>
      </c>
      <c r="AQ142" s="16" t="e">
        <f>IF(AP142="",NA(),COUNTIF(AP142:$AP$176,AP142))</f>
        <v>#N/A</v>
      </c>
      <c r="AR142" s="16" t="e">
        <f t="shared" si="36"/>
        <v>#N/A</v>
      </c>
      <c r="BI142" s="621">
        <v>134</v>
      </c>
      <c r="BJ142" s="622"/>
      <c r="BK142" s="623"/>
      <c r="BL142" s="615">
        <v>134</v>
      </c>
      <c r="BM142" s="624"/>
      <c r="BN142" s="239"/>
      <c r="BO142" s="24"/>
      <c r="BQ142" s="621">
        <v>134</v>
      </c>
      <c r="BR142" s="622"/>
      <c r="BS142" s="623"/>
      <c r="BT142" s="615">
        <v>134</v>
      </c>
      <c r="BU142" s="624"/>
      <c r="BV142" s="239"/>
      <c r="BW142" s="24"/>
      <c r="BY142" s="621">
        <v>134</v>
      </c>
      <c r="BZ142" s="622"/>
      <c r="CA142" s="623"/>
      <c r="CB142" s="615">
        <v>134</v>
      </c>
      <c r="CC142" s="624"/>
      <c r="CD142" s="239"/>
      <c r="CE142" s="24"/>
    </row>
    <row r="143" spans="5:83" ht="12" customHeight="1">
      <c r="E143" s="621">
        <v>135</v>
      </c>
      <c r="F143" s="622"/>
      <c r="G143" s="623"/>
      <c r="H143" s="615">
        <v>135</v>
      </c>
      <c r="I143" s="624"/>
      <c r="J143" s="239"/>
      <c r="K143" s="24"/>
      <c r="N143" s="16" t="e">
        <f t="shared" si="25"/>
        <v>#N/A</v>
      </c>
      <c r="O143" s="16" t="e">
        <f t="shared" si="26"/>
        <v>#N/A</v>
      </c>
      <c r="P143" s="16" t="e">
        <f t="shared" si="27"/>
        <v>#N/A</v>
      </c>
      <c r="Q143" s="16" t="e">
        <f t="shared" si="28"/>
        <v>#N/A</v>
      </c>
      <c r="AI143" s="16" t="e">
        <f t="shared" si="29"/>
        <v>#N/A</v>
      </c>
      <c r="AJ143" s="16" t="str">
        <f t="shared" si="30"/>
        <v/>
      </c>
      <c r="AK143" s="16" t="str">
        <f t="shared" si="31"/>
        <v/>
      </c>
      <c r="AL143" s="16" t="e">
        <f>IF(AK143="",NA(),COUNTIF(AK143:$AK$176,AK143))</f>
        <v>#N/A</v>
      </c>
      <c r="AM143" s="16" t="e">
        <f t="shared" si="32"/>
        <v>#N/A</v>
      </c>
      <c r="AN143" s="16" t="e">
        <f t="shared" si="33"/>
        <v>#N/A</v>
      </c>
      <c r="AO143" s="16" t="str">
        <f t="shared" si="34"/>
        <v/>
      </c>
      <c r="AP143" s="16" t="str">
        <f t="shared" si="35"/>
        <v/>
      </c>
      <c r="AQ143" s="16" t="e">
        <f>IF(AP143="",NA(),COUNTIF(AP143:$AP$176,AP143))</f>
        <v>#N/A</v>
      </c>
      <c r="AR143" s="16" t="e">
        <f t="shared" si="36"/>
        <v>#N/A</v>
      </c>
      <c r="BI143" s="621">
        <v>135</v>
      </c>
      <c r="BJ143" s="622"/>
      <c r="BK143" s="623"/>
      <c r="BL143" s="615">
        <v>135</v>
      </c>
      <c r="BM143" s="624"/>
      <c r="BN143" s="239"/>
      <c r="BO143" s="24"/>
      <c r="BQ143" s="621">
        <v>135</v>
      </c>
      <c r="BR143" s="622"/>
      <c r="BS143" s="623"/>
      <c r="BT143" s="615">
        <v>135</v>
      </c>
      <c r="BU143" s="624"/>
      <c r="BV143" s="239"/>
      <c r="BW143" s="24"/>
      <c r="BY143" s="621">
        <v>135</v>
      </c>
      <c r="BZ143" s="622"/>
      <c r="CA143" s="623"/>
      <c r="CB143" s="615">
        <v>135</v>
      </c>
      <c r="CC143" s="624"/>
      <c r="CD143" s="239"/>
      <c r="CE143" s="24"/>
    </row>
    <row r="144" spans="5:83" ht="12" customHeight="1">
      <c r="E144" s="621">
        <v>136</v>
      </c>
      <c r="F144" s="622"/>
      <c r="G144" s="623"/>
      <c r="H144" s="615">
        <v>136</v>
      </c>
      <c r="I144" s="624"/>
      <c r="J144" s="239"/>
      <c r="K144" s="24"/>
      <c r="M144" s="30"/>
      <c r="N144" s="16" t="e">
        <f t="shared" si="25"/>
        <v>#N/A</v>
      </c>
      <c r="O144" s="16" t="e">
        <f t="shared" si="26"/>
        <v>#N/A</v>
      </c>
      <c r="P144" s="16" t="e">
        <f t="shared" si="27"/>
        <v>#N/A</v>
      </c>
      <c r="Q144" s="16" t="e">
        <f t="shared" si="28"/>
        <v>#N/A</v>
      </c>
      <c r="AI144" s="16" t="e">
        <f t="shared" si="29"/>
        <v>#N/A</v>
      </c>
      <c r="AJ144" s="16" t="str">
        <f t="shared" si="30"/>
        <v/>
      </c>
      <c r="AK144" s="16" t="str">
        <f t="shared" si="31"/>
        <v/>
      </c>
      <c r="AL144" s="16" t="e">
        <f>IF(AK144="",NA(),COUNTIF(AK144:$AK$176,AK144))</f>
        <v>#N/A</v>
      </c>
      <c r="AM144" s="16" t="e">
        <f t="shared" si="32"/>
        <v>#N/A</v>
      </c>
      <c r="AN144" s="16" t="e">
        <f t="shared" si="33"/>
        <v>#N/A</v>
      </c>
      <c r="AO144" s="16" t="str">
        <f t="shared" si="34"/>
        <v/>
      </c>
      <c r="AP144" s="16" t="str">
        <f t="shared" si="35"/>
        <v/>
      </c>
      <c r="AQ144" s="16" t="e">
        <f>IF(AP144="",NA(),COUNTIF(AP144:$AP$176,AP144))</f>
        <v>#N/A</v>
      </c>
      <c r="AR144" s="16" t="e">
        <f t="shared" si="36"/>
        <v>#N/A</v>
      </c>
      <c r="BI144" s="621">
        <v>136</v>
      </c>
      <c r="BJ144" s="622"/>
      <c r="BK144" s="623"/>
      <c r="BL144" s="615">
        <v>136</v>
      </c>
      <c r="BM144" s="624"/>
      <c r="BN144" s="239"/>
      <c r="BO144" s="24"/>
      <c r="BQ144" s="621">
        <v>136</v>
      </c>
      <c r="BR144" s="622"/>
      <c r="BS144" s="623"/>
      <c r="BT144" s="615">
        <v>136</v>
      </c>
      <c r="BU144" s="624"/>
      <c r="BV144" s="239"/>
      <c r="BW144" s="24"/>
      <c r="BY144" s="621">
        <v>136</v>
      </c>
      <c r="BZ144" s="622"/>
      <c r="CA144" s="623"/>
      <c r="CB144" s="615">
        <v>136</v>
      </c>
      <c r="CC144" s="624"/>
      <c r="CD144" s="239"/>
      <c r="CE144" s="24"/>
    </row>
    <row r="145" spans="5:83" ht="12" customHeight="1">
      <c r="E145" s="621">
        <v>137</v>
      </c>
      <c r="F145" s="622"/>
      <c r="G145" s="623"/>
      <c r="H145" s="615">
        <v>137</v>
      </c>
      <c r="I145" s="624"/>
      <c r="J145" s="239"/>
      <c r="K145" s="24"/>
      <c r="N145" s="16" t="e">
        <f t="shared" si="25"/>
        <v>#N/A</v>
      </c>
      <c r="O145" s="16" t="e">
        <f t="shared" si="26"/>
        <v>#N/A</v>
      </c>
      <c r="P145" s="16" t="e">
        <f t="shared" si="27"/>
        <v>#N/A</v>
      </c>
      <c r="Q145" s="16" t="e">
        <f t="shared" si="28"/>
        <v>#N/A</v>
      </c>
      <c r="AI145" s="16" t="e">
        <f t="shared" si="29"/>
        <v>#N/A</v>
      </c>
      <c r="AJ145" s="16" t="str">
        <f t="shared" si="30"/>
        <v/>
      </c>
      <c r="AK145" s="16" t="str">
        <f t="shared" si="31"/>
        <v/>
      </c>
      <c r="AL145" s="16" t="e">
        <f>IF(AK145="",NA(),COUNTIF(AK145:$AK$176,AK145))</f>
        <v>#N/A</v>
      </c>
      <c r="AM145" s="16" t="e">
        <f t="shared" si="32"/>
        <v>#N/A</v>
      </c>
      <c r="AN145" s="16" t="e">
        <f t="shared" si="33"/>
        <v>#N/A</v>
      </c>
      <c r="AO145" s="16" t="str">
        <f t="shared" si="34"/>
        <v/>
      </c>
      <c r="AP145" s="16" t="str">
        <f t="shared" si="35"/>
        <v/>
      </c>
      <c r="AQ145" s="16" t="e">
        <f>IF(AP145="",NA(),COUNTIF(AP145:$AP$176,AP145))</f>
        <v>#N/A</v>
      </c>
      <c r="AR145" s="16" t="e">
        <f t="shared" si="36"/>
        <v>#N/A</v>
      </c>
      <c r="BI145" s="621">
        <v>137</v>
      </c>
      <c r="BJ145" s="622"/>
      <c r="BK145" s="623"/>
      <c r="BL145" s="615">
        <v>137</v>
      </c>
      <c r="BM145" s="624"/>
      <c r="BN145" s="239"/>
      <c r="BO145" s="24"/>
      <c r="BQ145" s="621">
        <v>137</v>
      </c>
      <c r="BR145" s="622"/>
      <c r="BS145" s="623"/>
      <c r="BT145" s="615">
        <v>137</v>
      </c>
      <c r="BU145" s="624"/>
      <c r="BV145" s="239"/>
      <c r="BW145" s="24"/>
      <c r="BY145" s="621">
        <v>137</v>
      </c>
      <c r="BZ145" s="622"/>
      <c r="CA145" s="623"/>
      <c r="CB145" s="615">
        <v>137</v>
      </c>
      <c r="CC145" s="624"/>
      <c r="CD145" s="239"/>
      <c r="CE145" s="24"/>
    </row>
    <row r="146" spans="5:83" ht="12" customHeight="1">
      <c r="E146" s="621">
        <v>138</v>
      </c>
      <c r="F146" s="622"/>
      <c r="G146" s="623"/>
      <c r="H146" s="615">
        <v>138</v>
      </c>
      <c r="I146" s="624"/>
      <c r="J146" s="239"/>
      <c r="K146" s="24"/>
      <c r="M146" s="30"/>
      <c r="N146" s="16" t="e">
        <f t="shared" si="25"/>
        <v>#N/A</v>
      </c>
      <c r="O146" s="16" t="e">
        <f t="shared" si="26"/>
        <v>#N/A</v>
      </c>
      <c r="P146" s="16" t="e">
        <f t="shared" si="27"/>
        <v>#N/A</v>
      </c>
      <c r="Q146" s="16" t="e">
        <f t="shared" si="28"/>
        <v>#N/A</v>
      </c>
      <c r="AI146" s="16" t="e">
        <f t="shared" si="29"/>
        <v>#N/A</v>
      </c>
      <c r="AJ146" s="16" t="str">
        <f t="shared" si="30"/>
        <v/>
      </c>
      <c r="AK146" s="16" t="str">
        <f t="shared" si="31"/>
        <v/>
      </c>
      <c r="AL146" s="16" t="e">
        <f>IF(AK146="",NA(),COUNTIF(AK146:$AK$176,AK146))</f>
        <v>#N/A</v>
      </c>
      <c r="AM146" s="16" t="e">
        <f t="shared" si="32"/>
        <v>#N/A</v>
      </c>
      <c r="AN146" s="16" t="e">
        <f t="shared" si="33"/>
        <v>#N/A</v>
      </c>
      <c r="AO146" s="16" t="str">
        <f t="shared" si="34"/>
        <v/>
      </c>
      <c r="AP146" s="16" t="str">
        <f t="shared" si="35"/>
        <v/>
      </c>
      <c r="AQ146" s="16" t="e">
        <f>IF(AP146="",NA(),COUNTIF(AP146:$AP$176,AP146))</f>
        <v>#N/A</v>
      </c>
      <c r="AR146" s="16" t="e">
        <f t="shared" si="36"/>
        <v>#N/A</v>
      </c>
      <c r="BI146" s="621">
        <v>138</v>
      </c>
      <c r="BJ146" s="622"/>
      <c r="BK146" s="623"/>
      <c r="BL146" s="615">
        <v>138</v>
      </c>
      <c r="BM146" s="624"/>
      <c r="BN146" s="239"/>
      <c r="BO146" s="24"/>
      <c r="BQ146" s="621">
        <v>138</v>
      </c>
      <c r="BR146" s="622"/>
      <c r="BS146" s="623"/>
      <c r="BT146" s="615">
        <v>138</v>
      </c>
      <c r="BU146" s="624"/>
      <c r="BV146" s="239"/>
      <c r="BW146" s="24"/>
      <c r="BY146" s="621">
        <v>138</v>
      </c>
      <c r="BZ146" s="622"/>
      <c r="CA146" s="623"/>
      <c r="CB146" s="615">
        <v>138</v>
      </c>
      <c r="CC146" s="624"/>
      <c r="CD146" s="239"/>
      <c r="CE146" s="24"/>
    </row>
    <row r="147" spans="5:83" ht="12" customHeight="1">
      <c r="E147" s="621">
        <v>139</v>
      </c>
      <c r="F147" s="622"/>
      <c r="G147" s="623"/>
      <c r="H147" s="615">
        <v>139</v>
      </c>
      <c r="I147" s="624"/>
      <c r="J147" s="239"/>
      <c r="K147" s="24"/>
      <c r="N147" s="16" t="e">
        <f t="shared" si="25"/>
        <v>#N/A</v>
      </c>
      <c r="O147" s="16" t="e">
        <f t="shared" si="26"/>
        <v>#N/A</v>
      </c>
      <c r="P147" s="16" t="e">
        <f t="shared" si="27"/>
        <v>#N/A</v>
      </c>
      <c r="Q147" s="16" t="e">
        <f t="shared" si="28"/>
        <v>#N/A</v>
      </c>
      <c r="AI147" s="16" t="e">
        <f t="shared" si="29"/>
        <v>#N/A</v>
      </c>
      <c r="AJ147" s="16" t="str">
        <f t="shared" si="30"/>
        <v/>
      </c>
      <c r="AK147" s="16" t="str">
        <f t="shared" si="31"/>
        <v/>
      </c>
      <c r="AL147" s="16" t="e">
        <f>IF(AK147="",NA(),COUNTIF(AK147:$AK$176,AK147))</f>
        <v>#N/A</v>
      </c>
      <c r="AM147" s="16" t="e">
        <f t="shared" si="32"/>
        <v>#N/A</v>
      </c>
      <c r="AN147" s="16" t="e">
        <f t="shared" si="33"/>
        <v>#N/A</v>
      </c>
      <c r="AO147" s="16" t="str">
        <f t="shared" si="34"/>
        <v/>
      </c>
      <c r="AP147" s="16" t="str">
        <f t="shared" si="35"/>
        <v/>
      </c>
      <c r="AQ147" s="16" t="e">
        <f>IF(AP147="",NA(),COUNTIF(AP147:$AP$176,AP147))</f>
        <v>#N/A</v>
      </c>
      <c r="AR147" s="16" t="e">
        <f t="shared" si="36"/>
        <v>#N/A</v>
      </c>
      <c r="BI147" s="621">
        <v>139</v>
      </c>
      <c r="BJ147" s="622"/>
      <c r="BK147" s="623"/>
      <c r="BL147" s="615">
        <v>139</v>
      </c>
      <c r="BM147" s="624"/>
      <c r="BN147" s="239"/>
      <c r="BO147" s="24"/>
      <c r="BQ147" s="621">
        <v>139</v>
      </c>
      <c r="BR147" s="622"/>
      <c r="BS147" s="623"/>
      <c r="BT147" s="615">
        <v>139</v>
      </c>
      <c r="BU147" s="624"/>
      <c r="BV147" s="239"/>
      <c r="BW147" s="24"/>
      <c r="BY147" s="621">
        <v>139</v>
      </c>
      <c r="BZ147" s="622"/>
      <c r="CA147" s="623"/>
      <c r="CB147" s="615">
        <v>139</v>
      </c>
      <c r="CC147" s="624"/>
      <c r="CD147" s="239"/>
      <c r="CE147" s="24"/>
    </row>
    <row r="148" spans="5:83" ht="12" customHeight="1">
      <c r="E148" s="621">
        <v>140</v>
      </c>
      <c r="F148" s="622"/>
      <c r="G148" s="623"/>
      <c r="H148" s="615">
        <v>140</v>
      </c>
      <c r="I148" s="624"/>
      <c r="J148" s="239"/>
      <c r="K148" s="24"/>
      <c r="N148" s="16" t="e">
        <f t="shared" si="25"/>
        <v>#N/A</v>
      </c>
      <c r="O148" s="16" t="e">
        <f t="shared" si="26"/>
        <v>#N/A</v>
      </c>
      <c r="P148" s="16" t="e">
        <f t="shared" si="27"/>
        <v>#N/A</v>
      </c>
      <c r="Q148" s="16" t="e">
        <f t="shared" si="28"/>
        <v>#N/A</v>
      </c>
      <c r="AI148" s="16" t="e">
        <f t="shared" si="29"/>
        <v>#N/A</v>
      </c>
      <c r="AJ148" s="16" t="str">
        <f t="shared" si="30"/>
        <v/>
      </c>
      <c r="AK148" s="16" t="str">
        <f t="shared" si="31"/>
        <v/>
      </c>
      <c r="AL148" s="16" t="e">
        <f>IF(AK148="",NA(),COUNTIF(AK148:$AK$176,AK148))</f>
        <v>#N/A</v>
      </c>
      <c r="AM148" s="16" t="e">
        <f t="shared" si="32"/>
        <v>#N/A</v>
      </c>
      <c r="AN148" s="16" t="e">
        <f t="shared" si="33"/>
        <v>#N/A</v>
      </c>
      <c r="AO148" s="16" t="str">
        <f t="shared" si="34"/>
        <v/>
      </c>
      <c r="AP148" s="16" t="str">
        <f t="shared" si="35"/>
        <v/>
      </c>
      <c r="AQ148" s="16" t="e">
        <f>IF(AP148="",NA(),COUNTIF(AP148:$AP$176,AP148))</f>
        <v>#N/A</v>
      </c>
      <c r="AR148" s="16" t="e">
        <f t="shared" si="36"/>
        <v>#N/A</v>
      </c>
      <c r="BI148" s="621">
        <v>140</v>
      </c>
      <c r="BJ148" s="622"/>
      <c r="BK148" s="623"/>
      <c r="BL148" s="615">
        <v>140</v>
      </c>
      <c r="BM148" s="624"/>
      <c r="BN148" s="239"/>
      <c r="BO148" s="24"/>
      <c r="BQ148" s="621">
        <v>140</v>
      </c>
      <c r="BR148" s="622"/>
      <c r="BS148" s="623"/>
      <c r="BT148" s="615">
        <v>140</v>
      </c>
      <c r="BU148" s="624"/>
      <c r="BV148" s="239"/>
      <c r="BW148" s="24"/>
      <c r="BY148" s="621">
        <v>140</v>
      </c>
      <c r="BZ148" s="622"/>
      <c r="CA148" s="623"/>
      <c r="CB148" s="615">
        <v>140</v>
      </c>
      <c r="CC148" s="624"/>
      <c r="CD148" s="239"/>
      <c r="CE148" s="24"/>
    </row>
    <row r="149" spans="5:83" ht="12" customHeight="1">
      <c r="E149" s="621">
        <v>141</v>
      </c>
      <c r="F149" s="622"/>
      <c r="G149" s="623"/>
      <c r="H149" s="615">
        <v>141</v>
      </c>
      <c r="I149" s="624"/>
      <c r="J149" s="239"/>
      <c r="K149" s="24"/>
      <c r="N149" s="16" t="e">
        <f t="shared" si="25"/>
        <v>#N/A</v>
      </c>
      <c r="O149" s="16" t="e">
        <f t="shared" si="26"/>
        <v>#N/A</v>
      </c>
      <c r="P149" s="16" t="e">
        <f t="shared" si="27"/>
        <v>#N/A</v>
      </c>
      <c r="Q149" s="16" t="e">
        <f t="shared" si="28"/>
        <v>#N/A</v>
      </c>
      <c r="AI149" s="16" t="e">
        <f t="shared" si="29"/>
        <v>#N/A</v>
      </c>
      <c r="AJ149" s="16" t="str">
        <f t="shared" si="30"/>
        <v/>
      </c>
      <c r="AK149" s="16" t="str">
        <f t="shared" si="31"/>
        <v/>
      </c>
      <c r="AL149" s="16" t="e">
        <f>IF(AK149="",NA(),COUNTIF(AK149:$AK$176,AK149))</f>
        <v>#N/A</v>
      </c>
      <c r="AM149" s="16" t="e">
        <f t="shared" si="32"/>
        <v>#N/A</v>
      </c>
      <c r="AN149" s="16" t="e">
        <f t="shared" si="33"/>
        <v>#N/A</v>
      </c>
      <c r="AO149" s="16" t="str">
        <f t="shared" si="34"/>
        <v/>
      </c>
      <c r="AP149" s="16" t="str">
        <f t="shared" si="35"/>
        <v/>
      </c>
      <c r="AQ149" s="16" t="e">
        <f>IF(AP149="",NA(),COUNTIF(AP149:$AP$176,AP149))</f>
        <v>#N/A</v>
      </c>
      <c r="AR149" s="16" t="e">
        <f t="shared" si="36"/>
        <v>#N/A</v>
      </c>
      <c r="BI149" s="621">
        <v>141</v>
      </c>
      <c r="BJ149" s="622"/>
      <c r="BK149" s="623"/>
      <c r="BL149" s="615">
        <v>141</v>
      </c>
      <c r="BM149" s="624"/>
      <c r="BN149" s="239"/>
      <c r="BO149" s="24"/>
      <c r="BQ149" s="621">
        <v>141</v>
      </c>
      <c r="BR149" s="622"/>
      <c r="BS149" s="623"/>
      <c r="BT149" s="615">
        <v>141</v>
      </c>
      <c r="BU149" s="624"/>
      <c r="BV149" s="239"/>
      <c r="BW149" s="24"/>
      <c r="BY149" s="621">
        <v>141</v>
      </c>
      <c r="BZ149" s="622"/>
      <c r="CA149" s="623"/>
      <c r="CB149" s="615">
        <v>141</v>
      </c>
      <c r="CC149" s="624"/>
      <c r="CD149" s="239"/>
      <c r="CE149" s="24"/>
    </row>
    <row r="150" spans="5:83" ht="12" customHeight="1">
      <c r="E150" s="621">
        <v>142</v>
      </c>
      <c r="F150" s="622"/>
      <c r="G150" s="623"/>
      <c r="H150" s="615">
        <v>142</v>
      </c>
      <c r="I150" s="624"/>
      <c r="J150" s="239"/>
      <c r="K150" s="24"/>
      <c r="N150" s="16" t="e">
        <f t="shared" si="25"/>
        <v>#N/A</v>
      </c>
      <c r="O150" s="16" t="e">
        <f t="shared" si="26"/>
        <v>#N/A</v>
      </c>
      <c r="P150" s="16" t="e">
        <f t="shared" si="27"/>
        <v>#N/A</v>
      </c>
      <c r="Q150" s="16" t="e">
        <f t="shared" si="28"/>
        <v>#N/A</v>
      </c>
      <c r="AI150" s="16" t="e">
        <f t="shared" si="29"/>
        <v>#N/A</v>
      </c>
      <c r="AJ150" s="16" t="str">
        <f t="shared" si="30"/>
        <v/>
      </c>
      <c r="AK150" s="16" t="str">
        <f t="shared" si="31"/>
        <v/>
      </c>
      <c r="AL150" s="16" t="e">
        <f>IF(AK150="",NA(),COUNTIF(AK150:$AK$176,AK150))</f>
        <v>#N/A</v>
      </c>
      <c r="AM150" s="16" t="e">
        <f t="shared" si="32"/>
        <v>#N/A</v>
      </c>
      <c r="AN150" s="16" t="e">
        <f t="shared" si="33"/>
        <v>#N/A</v>
      </c>
      <c r="AO150" s="16" t="str">
        <f t="shared" si="34"/>
        <v/>
      </c>
      <c r="AP150" s="16" t="str">
        <f t="shared" si="35"/>
        <v/>
      </c>
      <c r="AQ150" s="16" t="e">
        <f>IF(AP150="",NA(),COUNTIF(AP150:$AP$176,AP150))</f>
        <v>#N/A</v>
      </c>
      <c r="AR150" s="16" t="e">
        <f t="shared" si="36"/>
        <v>#N/A</v>
      </c>
      <c r="BI150" s="621">
        <v>142</v>
      </c>
      <c r="BJ150" s="622"/>
      <c r="BK150" s="623"/>
      <c r="BL150" s="615">
        <v>142</v>
      </c>
      <c r="BM150" s="624"/>
      <c r="BN150" s="239"/>
      <c r="BO150" s="24"/>
      <c r="BQ150" s="621">
        <v>142</v>
      </c>
      <c r="BR150" s="622"/>
      <c r="BS150" s="623"/>
      <c r="BT150" s="615">
        <v>142</v>
      </c>
      <c r="BU150" s="624"/>
      <c r="BV150" s="239"/>
      <c r="BW150" s="24"/>
      <c r="BY150" s="621">
        <v>142</v>
      </c>
      <c r="BZ150" s="622"/>
      <c r="CA150" s="623"/>
      <c r="CB150" s="615">
        <v>142</v>
      </c>
      <c r="CC150" s="624"/>
      <c r="CD150" s="239"/>
      <c r="CE150" s="24"/>
    </row>
    <row r="151" spans="5:83" ht="12" customHeight="1">
      <c r="E151" s="621">
        <v>143</v>
      </c>
      <c r="F151" s="622"/>
      <c r="G151" s="623"/>
      <c r="H151" s="615">
        <v>143</v>
      </c>
      <c r="I151" s="624"/>
      <c r="J151" s="239"/>
      <c r="K151" s="24"/>
      <c r="N151" s="16" t="e">
        <f t="shared" si="25"/>
        <v>#N/A</v>
      </c>
      <c r="O151" s="16" t="e">
        <f t="shared" si="26"/>
        <v>#N/A</v>
      </c>
      <c r="P151" s="16" t="e">
        <f t="shared" si="27"/>
        <v>#N/A</v>
      </c>
      <c r="Q151" s="16" t="e">
        <f t="shared" si="28"/>
        <v>#N/A</v>
      </c>
      <c r="AI151" s="16" t="e">
        <f t="shared" si="29"/>
        <v>#N/A</v>
      </c>
      <c r="AJ151" s="16" t="str">
        <f t="shared" si="30"/>
        <v/>
      </c>
      <c r="AK151" s="16" t="str">
        <f t="shared" si="31"/>
        <v/>
      </c>
      <c r="AL151" s="16" t="e">
        <f>IF(AK151="",NA(),COUNTIF(AK151:$AK$176,AK151))</f>
        <v>#N/A</v>
      </c>
      <c r="AM151" s="16" t="e">
        <f t="shared" si="32"/>
        <v>#N/A</v>
      </c>
      <c r="AN151" s="16" t="e">
        <f t="shared" si="33"/>
        <v>#N/A</v>
      </c>
      <c r="AO151" s="16" t="str">
        <f t="shared" si="34"/>
        <v/>
      </c>
      <c r="AP151" s="16" t="str">
        <f t="shared" si="35"/>
        <v/>
      </c>
      <c r="AQ151" s="16" t="e">
        <f>IF(AP151="",NA(),COUNTIF(AP151:$AP$176,AP151))</f>
        <v>#N/A</v>
      </c>
      <c r="AR151" s="16" t="e">
        <f t="shared" si="36"/>
        <v>#N/A</v>
      </c>
      <c r="BI151" s="621">
        <v>143</v>
      </c>
      <c r="BJ151" s="622"/>
      <c r="BK151" s="623"/>
      <c r="BL151" s="615">
        <v>143</v>
      </c>
      <c r="BM151" s="624"/>
      <c r="BN151" s="239"/>
      <c r="BO151" s="24"/>
      <c r="BQ151" s="621">
        <v>143</v>
      </c>
      <c r="BR151" s="622"/>
      <c r="BS151" s="623"/>
      <c r="BT151" s="615">
        <v>143</v>
      </c>
      <c r="BU151" s="624"/>
      <c r="BV151" s="239"/>
      <c r="BW151" s="24"/>
      <c r="BY151" s="621">
        <v>143</v>
      </c>
      <c r="BZ151" s="622"/>
      <c r="CA151" s="623"/>
      <c r="CB151" s="615">
        <v>143</v>
      </c>
      <c r="CC151" s="624"/>
      <c r="CD151" s="239"/>
      <c r="CE151" s="24"/>
    </row>
    <row r="152" spans="5:83" ht="12" customHeight="1">
      <c r="E152" s="621">
        <v>144</v>
      </c>
      <c r="F152" s="622"/>
      <c r="G152" s="623"/>
      <c r="H152" s="615">
        <v>144</v>
      </c>
      <c r="I152" s="624"/>
      <c r="J152" s="239"/>
      <c r="K152" s="24"/>
      <c r="N152" s="16" t="e">
        <f t="shared" si="25"/>
        <v>#N/A</v>
      </c>
      <c r="O152" s="16" t="e">
        <f t="shared" si="26"/>
        <v>#N/A</v>
      </c>
      <c r="P152" s="16" t="e">
        <f t="shared" si="27"/>
        <v>#N/A</v>
      </c>
      <c r="Q152" s="16" t="e">
        <f t="shared" si="28"/>
        <v>#N/A</v>
      </c>
      <c r="AI152" s="16" t="e">
        <f t="shared" si="29"/>
        <v>#N/A</v>
      </c>
      <c r="AJ152" s="16" t="str">
        <f t="shared" si="30"/>
        <v/>
      </c>
      <c r="AK152" s="16" t="str">
        <f t="shared" si="31"/>
        <v/>
      </c>
      <c r="AL152" s="16" t="e">
        <f>IF(AK152="",NA(),COUNTIF(AK152:$AK$176,AK152))</f>
        <v>#N/A</v>
      </c>
      <c r="AM152" s="16" t="e">
        <f t="shared" si="32"/>
        <v>#N/A</v>
      </c>
      <c r="AN152" s="16" t="e">
        <f t="shared" si="33"/>
        <v>#N/A</v>
      </c>
      <c r="AO152" s="16" t="str">
        <f t="shared" si="34"/>
        <v/>
      </c>
      <c r="AP152" s="16" t="str">
        <f t="shared" si="35"/>
        <v/>
      </c>
      <c r="AQ152" s="16" t="e">
        <f>IF(AP152="",NA(),COUNTIF(AP152:$AP$176,AP152))</f>
        <v>#N/A</v>
      </c>
      <c r="AR152" s="16" t="e">
        <f t="shared" si="36"/>
        <v>#N/A</v>
      </c>
      <c r="BI152" s="621">
        <v>144</v>
      </c>
      <c r="BJ152" s="622"/>
      <c r="BK152" s="623"/>
      <c r="BL152" s="615">
        <v>144</v>
      </c>
      <c r="BM152" s="624"/>
      <c r="BN152" s="239"/>
      <c r="BO152" s="24"/>
      <c r="BQ152" s="621">
        <v>144</v>
      </c>
      <c r="BR152" s="622"/>
      <c r="BS152" s="623"/>
      <c r="BT152" s="615">
        <v>144</v>
      </c>
      <c r="BU152" s="624"/>
      <c r="BV152" s="239"/>
      <c r="BW152" s="24"/>
      <c r="BY152" s="621">
        <v>144</v>
      </c>
      <c r="BZ152" s="622"/>
      <c r="CA152" s="623"/>
      <c r="CB152" s="615">
        <v>144</v>
      </c>
      <c r="CC152" s="624"/>
      <c r="CD152" s="239"/>
      <c r="CE152" s="24"/>
    </row>
    <row r="153" spans="5:83" ht="12" customHeight="1">
      <c r="E153" s="621">
        <v>145</v>
      </c>
      <c r="F153" s="622"/>
      <c r="G153" s="623"/>
      <c r="H153" s="615">
        <v>145</v>
      </c>
      <c r="I153" s="624"/>
      <c r="J153" s="239"/>
      <c r="K153" s="24"/>
      <c r="N153" s="16" t="e">
        <f t="shared" si="25"/>
        <v>#N/A</v>
      </c>
      <c r="O153" s="16" t="e">
        <f t="shared" si="26"/>
        <v>#N/A</v>
      </c>
      <c r="P153" s="16" t="e">
        <f t="shared" si="27"/>
        <v>#N/A</v>
      </c>
      <c r="Q153" s="16" t="e">
        <f t="shared" si="28"/>
        <v>#N/A</v>
      </c>
      <c r="AI153" s="16" t="e">
        <f t="shared" si="29"/>
        <v>#N/A</v>
      </c>
      <c r="AJ153" s="16" t="str">
        <f t="shared" si="30"/>
        <v/>
      </c>
      <c r="AK153" s="16" t="str">
        <f t="shared" si="31"/>
        <v/>
      </c>
      <c r="AL153" s="16" t="e">
        <f>IF(AK153="",NA(),COUNTIF(AK153:$AK$176,AK153))</f>
        <v>#N/A</v>
      </c>
      <c r="AM153" s="16" t="e">
        <f t="shared" si="32"/>
        <v>#N/A</v>
      </c>
      <c r="AN153" s="16" t="e">
        <f t="shared" si="33"/>
        <v>#N/A</v>
      </c>
      <c r="AO153" s="16" t="str">
        <f t="shared" si="34"/>
        <v/>
      </c>
      <c r="AP153" s="16" t="str">
        <f t="shared" si="35"/>
        <v/>
      </c>
      <c r="AQ153" s="16" t="e">
        <f>IF(AP153="",NA(),COUNTIF(AP153:$AP$176,AP153))</f>
        <v>#N/A</v>
      </c>
      <c r="AR153" s="16" t="e">
        <f t="shared" si="36"/>
        <v>#N/A</v>
      </c>
      <c r="BI153" s="621">
        <v>145</v>
      </c>
      <c r="BJ153" s="622"/>
      <c r="BK153" s="623"/>
      <c r="BL153" s="615">
        <v>145</v>
      </c>
      <c r="BM153" s="624"/>
      <c r="BN153" s="239"/>
      <c r="BO153" s="24"/>
      <c r="BQ153" s="621">
        <v>145</v>
      </c>
      <c r="BR153" s="622"/>
      <c r="BS153" s="623"/>
      <c r="BT153" s="615">
        <v>145</v>
      </c>
      <c r="BU153" s="624"/>
      <c r="BV153" s="239"/>
      <c r="BW153" s="24"/>
      <c r="BY153" s="621">
        <v>145</v>
      </c>
      <c r="BZ153" s="622"/>
      <c r="CA153" s="623"/>
      <c r="CB153" s="615">
        <v>145</v>
      </c>
      <c r="CC153" s="624"/>
      <c r="CD153" s="239"/>
      <c r="CE153" s="24"/>
    </row>
    <row r="154" spans="5:83" ht="12" customHeight="1">
      <c r="E154" s="621">
        <v>146</v>
      </c>
      <c r="F154" s="622"/>
      <c r="G154" s="623"/>
      <c r="H154" s="615">
        <v>146</v>
      </c>
      <c r="I154" s="624"/>
      <c r="J154" s="239"/>
      <c r="K154" s="24"/>
      <c r="N154" s="16" t="e">
        <f t="shared" si="25"/>
        <v>#N/A</v>
      </c>
      <c r="O154" s="16" t="e">
        <f t="shared" si="26"/>
        <v>#N/A</v>
      </c>
      <c r="P154" s="16" t="e">
        <f t="shared" si="27"/>
        <v>#N/A</v>
      </c>
      <c r="Q154" s="16" t="e">
        <f t="shared" si="28"/>
        <v>#N/A</v>
      </c>
      <c r="AI154" s="16" t="e">
        <f t="shared" si="29"/>
        <v>#N/A</v>
      </c>
      <c r="AJ154" s="16" t="str">
        <f t="shared" si="30"/>
        <v/>
      </c>
      <c r="AK154" s="16" t="str">
        <f t="shared" si="31"/>
        <v/>
      </c>
      <c r="AL154" s="16" t="e">
        <f>IF(AK154="",NA(),COUNTIF(AK154:$AK$176,AK154))</f>
        <v>#N/A</v>
      </c>
      <c r="AM154" s="16" t="e">
        <f t="shared" si="32"/>
        <v>#N/A</v>
      </c>
      <c r="AN154" s="16" t="e">
        <f t="shared" si="33"/>
        <v>#N/A</v>
      </c>
      <c r="AO154" s="16" t="str">
        <f t="shared" si="34"/>
        <v/>
      </c>
      <c r="AP154" s="16" t="str">
        <f t="shared" si="35"/>
        <v/>
      </c>
      <c r="AQ154" s="16" t="e">
        <f>IF(AP154="",NA(),COUNTIF(AP154:$AP$176,AP154))</f>
        <v>#N/A</v>
      </c>
      <c r="AR154" s="16" t="e">
        <f t="shared" si="36"/>
        <v>#N/A</v>
      </c>
      <c r="BI154" s="621">
        <v>146</v>
      </c>
      <c r="BJ154" s="622"/>
      <c r="BK154" s="623"/>
      <c r="BL154" s="615">
        <v>146</v>
      </c>
      <c r="BM154" s="624"/>
      <c r="BN154" s="239"/>
      <c r="BO154" s="24"/>
      <c r="BQ154" s="621">
        <v>146</v>
      </c>
      <c r="BR154" s="622"/>
      <c r="BS154" s="623"/>
      <c r="BT154" s="615">
        <v>146</v>
      </c>
      <c r="BU154" s="624"/>
      <c r="BV154" s="239"/>
      <c r="BW154" s="24"/>
      <c r="BY154" s="621">
        <v>146</v>
      </c>
      <c r="BZ154" s="622"/>
      <c r="CA154" s="623"/>
      <c r="CB154" s="615">
        <v>146</v>
      </c>
      <c r="CC154" s="624"/>
      <c r="CD154" s="239"/>
      <c r="CE154" s="24"/>
    </row>
    <row r="155" spans="5:83" ht="12" customHeight="1">
      <c r="E155" s="621">
        <v>147</v>
      </c>
      <c r="F155" s="622"/>
      <c r="G155" s="623"/>
      <c r="H155" s="615">
        <v>147</v>
      </c>
      <c r="I155" s="624"/>
      <c r="J155" s="239"/>
      <c r="K155" s="24"/>
      <c r="N155" s="16" t="e">
        <f t="shared" si="25"/>
        <v>#N/A</v>
      </c>
      <c r="O155" s="16" t="e">
        <f t="shared" si="26"/>
        <v>#N/A</v>
      </c>
      <c r="P155" s="16" t="e">
        <f t="shared" si="27"/>
        <v>#N/A</v>
      </c>
      <c r="Q155" s="16" t="e">
        <f t="shared" si="28"/>
        <v>#N/A</v>
      </c>
      <c r="AI155" s="16" t="e">
        <f t="shared" si="29"/>
        <v>#N/A</v>
      </c>
      <c r="AJ155" s="16" t="str">
        <f t="shared" si="30"/>
        <v/>
      </c>
      <c r="AK155" s="16" t="str">
        <f t="shared" si="31"/>
        <v/>
      </c>
      <c r="AL155" s="16" t="e">
        <f>IF(AK155="",NA(),COUNTIF(AK155:$AK$176,AK155))</f>
        <v>#N/A</v>
      </c>
      <c r="AM155" s="16" t="e">
        <f t="shared" si="32"/>
        <v>#N/A</v>
      </c>
      <c r="AN155" s="16" t="e">
        <f t="shared" si="33"/>
        <v>#N/A</v>
      </c>
      <c r="AO155" s="16" t="str">
        <f t="shared" si="34"/>
        <v/>
      </c>
      <c r="AP155" s="16" t="str">
        <f t="shared" si="35"/>
        <v/>
      </c>
      <c r="AQ155" s="16" t="e">
        <f>IF(AP155="",NA(),COUNTIF(AP155:$AP$176,AP155))</f>
        <v>#N/A</v>
      </c>
      <c r="AR155" s="16" t="e">
        <f t="shared" si="36"/>
        <v>#N/A</v>
      </c>
      <c r="BI155" s="621">
        <v>147</v>
      </c>
      <c r="BJ155" s="622"/>
      <c r="BK155" s="623"/>
      <c r="BL155" s="615">
        <v>147</v>
      </c>
      <c r="BM155" s="624"/>
      <c r="BN155" s="239"/>
      <c r="BO155" s="24"/>
      <c r="BQ155" s="621">
        <v>147</v>
      </c>
      <c r="BR155" s="622"/>
      <c r="BS155" s="623"/>
      <c r="BT155" s="615">
        <v>147</v>
      </c>
      <c r="BU155" s="624"/>
      <c r="BV155" s="239"/>
      <c r="BW155" s="24"/>
      <c r="BY155" s="621">
        <v>147</v>
      </c>
      <c r="BZ155" s="622"/>
      <c r="CA155" s="623"/>
      <c r="CB155" s="615">
        <v>147</v>
      </c>
      <c r="CC155" s="624"/>
      <c r="CD155" s="239"/>
      <c r="CE155" s="24"/>
    </row>
    <row r="156" spans="5:83" ht="12" customHeight="1">
      <c r="E156" s="621">
        <v>148</v>
      </c>
      <c r="F156" s="622"/>
      <c r="G156" s="623"/>
      <c r="H156" s="615">
        <v>148</v>
      </c>
      <c r="I156" s="624"/>
      <c r="J156" s="239"/>
      <c r="K156" s="24"/>
      <c r="N156" s="16" t="e">
        <f t="shared" si="25"/>
        <v>#N/A</v>
      </c>
      <c r="O156" s="16" t="e">
        <f t="shared" si="26"/>
        <v>#N/A</v>
      </c>
      <c r="P156" s="16" t="e">
        <f t="shared" si="27"/>
        <v>#N/A</v>
      </c>
      <c r="Q156" s="16" t="e">
        <f t="shared" si="28"/>
        <v>#N/A</v>
      </c>
      <c r="AI156" s="16" t="e">
        <f t="shared" si="29"/>
        <v>#N/A</v>
      </c>
      <c r="AJ156" s="16" t="str">
        <f t="shared" si="30"/>
        <v/>
      </c>
      <c r="AK156" s="16" t="str">
        <f t="shared" si="31"/>
        <v/>
      </c>
      <c r="AL156" s="16" t="e">
        <f>IF(AK156="",NA(),COUNTIF(AK156:$AK$176,AK156))</f>
        <v>#N/A</v>
      </c>
      <c r="AM156" s="16" t="e">
        <f t="shared" si="32"/>
        <v>#N/A</v>
      </c>
      <c r="AN156" s="16" t="e">
        <f t="shared" si="33"/>
        <v>#N/A</v>
      </c>
      <c r="AO156" s="16" t="str">
        <f t="shared" si="34"/>
        <v/>
      </c>
      <c r="AP156" s="16" t="str">
        <f t="shared" si="35"/>
        <v/>
      </c>
      <c r="AQ156" s="16" t="e">
        <f>IF(AP156="",NA(),COUNTIF(AP156:$AP$176,AP156))</f>
        <v>#N/A</v>
      </c>
      <c r="AR156" s="16" t="e">
        <f t="shared" si="36"/>
        <v>#N/A</v>
      </c>
      <c r="BI156" s="621">
        <v>148</v>
      </c>
      <c r="BJ156" s="622"/>
      <c r="BK156" s="623"/>
      <c r="BL156" s="615">
        <v>148</v>
      </c>
      <c r="BM156" s="624"/>
      <c r="BN156" s="239"/>
      <c r="BO156" s="24"/>
      <c r="BQ156" s="621">
        <v>148</v>
      </c>
      <c r="BR156" s="622"/>
      <c r="BS156" s="623"/>
      <c r="BT156" s="615">
        <v>148</v>
      </c>
      <c r="BU156" s="624"/>
      <c r="BV156" s="239"/>
      <c r="BW156" s="24"/>
      <c r="BY156" s="621">
        <v>148</v>
      </c>
      <c r="BZ156" s="622"/>
      <c r="CA156" s="623"/>
      <c r="CB156" s="615">
        <v>148</v>
      </c>
      <c r="CC156" s="624"/>
      <c r="CD156" s="239"/>
      <c r="CE156" s="24"/>
    </row>
    <row r="157" spans="5:83" ht="12" customHeight="1">
      <c r="E157" s="621">
        <v>149</v>
      </c>
      <c r="F157" s="622"/>
      <c r="G157" s="623"/>
      <c r="H157" s="615">
        <v>149</v>
      </c>
      <c r="I157" s="624"/>
      <c r="J157" s="239"/>
      <c r="K157" s="24"/>
      <c r="N157" s="16" t="e">
        <f t="shared" si="25"/>
        <v>#N/A</v>
      </c>
      <c r="O157" s="16" t="e">
        <f t="shared" si="26"/>
        <v>#N/A</v>
      </c>
      <c r="P157" s="16" t="e">
        <f t="shared" si="27"/>
        <v>#N/A</v>
      </c>
      <c r="Q157" s="16" t="e">
        <f t="shared" si="28"/>
        <v>#N/A</v>
      </c>
      <c r="AI157" s="16" t="e">
        <f t="shared" si="29"/>
        <v>#N/A</v>
      </c>
      <c r="AJ157" s="16" t="str">
        <f t="shared" si="30"/>
        <v/>
      </c>
      <c r="AK157" s="16" t="str">
        <f t="shared" si="31"/>
        <v/>
      </c>
      <c r="AL157" s="16" t="e">
        <f>IF(AK157="",NA(),COUNTIF(AK157:$AK$176,AK157))</f>
        <v>#N/A</v>
      </c>
      <c r="AM157" s="16" t="e">
        <f t="shared" si="32"/>
        <v>#N/A</v>
      </c>
      <c r="AN157" s="16" t="e">
        <f t="shared" si="33"/>
        <v>#N/A</v>
      </c>
      <c r="AO157" s="16" t="str">
        <f t="shared" si="34"/>
        <v/>
      </c>
      <c r="AP157" s="16" t="str">
        <f t="shared" si="35"/>
        <v/>
      </c>
      <c r="AQ157" s="16" t="e">
        <f>IF(AP157="",NA(),COUNTIF(AP157:$AP$176,AP157))</f>
        <v>#N/A</v>
      </c>
      <c r="AR157" s="16" t="e">
        <f t="shared" si="36"/>
        <v>#N/A</v>
      </c>
      <c r="BI157" s="621">
        <v>149</v>
      </c>
      <c r="BJ157" s="622"/>
      <c r="BK157" s="623"/>
      <c r="BL157" s="615">
        <v>149</v>
      </c>
      <c r="BM157" s="624"/>
      <c r="BN157" s="239"/>
      <c r="BO157" s="24"/>
      <c r="BQ157" s="621">
        <v>149</v>
      </c>
      <c r="BR157" s="622"/>
      <c r="BS157" s="623"/>
      <c r="BT157" s="615">
        <v>149</v>
      </c>
      <c r="BU157" s="624"/>
      <c r="BV157" s="239"/>
      <c r="BW157" s="24"/>
      <c r="BY157" s="621">
        <v>149</v>
      </c>
      <c r="BZ157" s="622"/>
      <c r="CA157" s="623"/>
      <c r="CB157" s="615">
        <v>149</v>
      </c>
      <c r="CC157" s="624"/>
      <c r="CD157" s="239"/>
      <c r="CE157" s="24"/>
    </row>
    <row r="158" spans="5:83" ht="12" customHeight="1">
      <c r="E158" s="621">
        <v>150</v>
      </c>
      <c r="F158" s="622"/>
      <c r="G158" s="623"/>
      <c r="H158" s="615">
        <v>150</v>
      </c>
      <c r="I158" s="624"/>
      <c r="J158" s="239"/>
      <c r="K158" s="24"/>
      <c r="N158" s="16" t="e">
        <f t="shared" si="25"/>
        <v>#N/A</v>
      </c>
      <c r="O158" s="16" t="e">
        <f t="shared" si="26"/>
        <v>#N/A</v>
      </c>
      <c r="P158" s="16" t="e">
        <f t="shared" si="27"/>
        <v>#N/A</v>
      </c>
      <c r="Q158" s="16" t="e">
        <f t="shared" si="28"/>
        <v>#N/A</v>
      </c>
      <c r="AI158" s="16" t="e">
        <f t="shared" si="29"/>
        <v>#N/A</v>
      </c>
      <c r="AJ158" s="16" t="str">
        <f t="shared" si="30"/>
        <v/>
      </c>
      <c r="AK158" s="16" t="str">
        <f t="shared" si="31"/>
        <v/>
      </c>
      <c r="AL158" s="16" t="e">
        <f>IF(AK158="",NA(),COUNTIF(AK158:$AK$176,AK158))</f>
        <v>#N/A</v>
      </c>
      <c r="AM158" s="16" t="e">
        <f t="shared" si="32"/>
        <v>#N/A</v>
      </c>
      <c r="AN158" s="16" t="e">
        <f t="shared" si="33"/>
        <v>#N/A</v>
      </c>
      <c r="AO158" s="16" t="str">
        <f t="shared" si="34"/>
        <v/>
      </c>
      <c r="AP158" s="16" t="str">
        <f t="shared" si="35"/>
        <v/>
      </c>
      <c r="AQ158" s="16" t="e">
        <f>IF(AP158="",NA(),COUNTIF(AP158:$AP$176,AP158))</f>
        <v>#N/A</v>
      </c>
      <c r="AR158" s="16" t="e">
        <f t="shared" si="36"/>
        <v>#N/A</v>
      </c>
      <c r="BI158" s="621">
        <v>150</v>
      </c>
      <c r="BJ158" s="622"/>
      <c r="BK158" s="623"/>
      <c r="BL158" s="615">
        <v>150</v>
      </c>
      <c r="BM158" s="624"/>
      <c r="BN158" s="239"/>
      <c r="BO158" s="24"/>
      <c r="BQ158" s="621">
        <v>150</v>
      </c>
      <c r="BR158" s="622"/>
      <c r="BS158" s="623"/>
      <c r="BT158" s="615">
        <v>150</v>
      </c>
      <c r="BU158" s="624"/>
      <c r="BV158" s="239"/>
      <c r="BW158" s="24"/>
      <c r="BY158" s="621">
        <v>150</v>
      </c>
      <c r="BZ158" s="622"/>
      <c r="CA158" s="623"/>
      <c r="CB158" s="615">
        <v>150</v>
      </c>
      <c r="CC158" s="624"/>
      <c r="CD158" s="239"/>
      <c r="CE158" s="24"/>
    </row>
    <row r="159" spans="5:83" ht="12" customHeight="1">
      <c r="E159" s="621">
        <v>151</v>
      </c>
      <c r="F159" s="622"/>
      <c r="G159" s="623"/>
      <c r="H159" s="615">
        <v>151</v>
      </c>
      <c r="I159" s="624"/>
      <c r="J159" s="239"/>
      <c r="K159" s="24"/>
      <c r="N159" s="16" t="e">
        <f t="shared" si="25"/>
        <v>#N/A</v>
      </c>
      <c r="O159" s="16" t="e">
        <f t="shared" si="26"/>
        <v>#N/A</v>
      </c>
      <c r="P159" s="16" t="e">
        <f t="shared" si="27"/>
        <v>#N/A</v>
      </c>
      <c r="Q159" s="16" t="e">
        <f t="shared" si="28"/>
        <v>#N/A</v>
      </c>
      <c r="AI159" s="16" t="e">
        <f t="shared" si="29"/>
        <v>#N/A</v>
      </c>
      <c r="AJ159" s="16" t="str">
        <f t="shared" si="30"/>
        <v/>
      </c>
      <c r="AK159" s="16" t="str">
        <f t="shared" si="31"/>
        <v/>
      </c>
      <c r="AL159" s="16" t="e">
        <f>IF(AK159="",NA(),COUNTIF(AK159:$AK$176,AK159))</f>
        <v>#N/A</v>
      </c>
      <c r="AM159" s="16" t="e">
        <f t="shared" si="32"/>
        <v>#N/A</v>
      </c>
      <c r="AN159" s="16" t="e">
        <f t="shared" si="33"/>
        <v>#N/A</v>
      </c>
      <c r="AO159" s="16" t="str">
        <f t="shared" si="34"/>
        <v/>
      </c>
      <c r="AP159" s="16" t="str">
        <f t="shared" si="35"/>
        <v/>
      </c>
      <c r="AQ159" s="16" t="e">
        <f>IF(AP159="",NA(),COUNTIF(AP159:$AP$176,AP159))</f>
        <v>#N/A</v>
      </c>
      <c r="AR159" s="16" t="e">
        <f t="shared" si="36"/>
        <v>#N/A</v>
      </c>
      <c r="BI159" s="621">
        <v>151</v>
      </c>
      <c r="BJ159" s="622"/>
      <c r="BK159" s="623"/>
      <c r="BL159" s="615">
        <v>151</v>
      </c>
      <c r="BM159" s="624"/>
      <c r="BN159" s="239"/>
      <c r="BO159" s="24"/>
      <c r="BQ159" s="621">
        <v>151</v>
      </c>
      <c r="BR159" s="622"/>
      <c r="BS159" s="623"/>
      <c r="BT159" s="615">
        <v>151</v>
      </c>
      <c r="BU159" s="624"/>
      <c r="BV159" s="239"/>
      <c r="BW159" s="24"/>
      <c r="BY159" s="621">
        <v>151</v>
      </c>
      <c r="BZ159" s="622"/>
      <c r="CA159" s="623"/>
      <c r="CB159" s="615">
        <v>151</v>
      </c>
      <c r="CC159" s="624"/>
      <c r="CD159" s="239"/>
      <c r="CE159" s="24"/>
    </row>
    <row r="160" spans="5:83" ht="12" customHeight="1">
      <c r="E160" s="621">
        <v>152</v>
      </c>
      <c r="F160" s="622"/>
      <c r="G160" s="623"/>
      <c r="H160" s="615">
        <v>152</v>
      </c>
      <c r="I160" s="624"/>
      <c r="J160" s="239"/>
      <c r="K160" s="24"/>
      <c r="N160" s="16" t="e">
        <f t="shared" si="25"/>
        <v>#N/A</v>
      </c>
      <c r="O160" s="16" t="e">
        <f t="shared" si="26"/>
        <v>#N/A</v>
      </c>
      <c r="P160" s="16" t="e">
        <f t="shared" si="27"/>
        <v>#N/A</v>
      </c>
      <c r="Q160" s="16" t="e">
        <f t="shared" si="28"/>
        <v>#N/A</v>
      </c>
      <c r="AI160" s="16" t="e">
        <f t="shared" si="29"/>
        <v>#N/A</v>
      </c>
      <c r="AJ160" s="16" t="str">
        <f t="shared" si="30"/>
        <v/>
      </c>
      <c r="AK160" s="16" t="str">
        <f t="shared" si="31"/>
        <v/>
      </c>
      <c r="AL160" s="16" t="e">
        <f>IF(AK160="",NA(),COUNTIF(AK160:$AK$176,AK160))</f>
        <v>#N/A</v>
      </c>
      <c r="AM160" s="16" t="e">
        <f t="shared" si="32"/>
        <v>#N/A</v>
      </c>
      <c r="AN160" s="16" t="e">
        <f t="shared" si="33"/>
        <v>#N/A</v>
      </c>
      <c r="AO160" s="16" t="str">
        <f t="shared" si="34"/>
        <v/>
      </c>
      <c r="AP160" s="16" t="str">
        <f t="shared" si="35"/>
        <v/>
      </c>
      <c r="AQ160" s="16" t="e">
        <f>IF(AP160="",NA(),COUNTIF(AP160:$AP$176,AP160))</f>
        <v>#N/A</v>
      </c>
      <c r="AR160" s="16" t="e">
        <f t="shared" si="36"/>
        <v>#N/A</v>
      </c>
      <c r="BI160" s="621">
        <v>152</v>
      </c>
      <c r="BJ160" s="622"/>
      <c r="BK160" s="623"/>
      <c r="BL160" s="615">
        <v>152</v>
      </c>
      <c r="BM160" s="624"/>
      <c r="BN160" s="239"/>
      <c r="BO160" s="24"/>
      <c r="BQ160" s="621">
        <v>152</v>
      </c>
      <c r="BR160" s="622"/>
      <c r="BS160" s="623"/>
      <c r="BT160" s="615">
        <v>152</v>
      </c>
      <c r="BU160" s="624"/>
      <c r="BV160" s="239"/>
      <c r="BW160" s="24"/>
      <c r="BY160" s="621">
        <v>152</v>
      </c>
      <c r="BZ160" s="622"/>
      <c r="CA160" s="623"/>
      <c r="CB160" s="615">
        <v>152</v>
      </c>
      <c r="CC160" s="624"/>
      <c r="CD160" s="239"/>
      <c r="CE160" s="24"/>
    </row>
    <row r="161" spans="5:83" ht="12" customHeight="1">
      <c r="E161" s="621">
        <v>153</v>
      </c>
      <c r="F161" s="622"/>
      <c r="G161" s="623"/>
      <c r="H161" s="615">
        <v>153</v>
      </c>
      <c r="I161" s="624"/>
      <c r="J161" s="239"/>
      <c r="K161" s="24"/>
      <c r="N161" s="16" t="e">
        <f t="shared" si="25"/>
        <v>#N/A</v>
      </c>
      <c r="O161" s="16" t="e">
        <f t="shared" si="26"/>
        <v>#N/A</v>
      </c>
      <c r="P161" s="16" t="e">
        <f t="shared" si="27"/>
        <v>#N/A</v>
      </c>
      <c r="Q161" s="16" t="e">
        <f t="shared" si="28"/>
        <v>#N/A</v>
      </c>
      <c r="AI161" s="16" t="e">
        <f t="shared" si="29"/>
        <v>#N/A</v>
      </c>
      <c r="AJ161" s="16" t="str">
        <f t="shared" si="30"/>
        <v/>
      </c>
      <c r="AK161" s="16" t="str">
        <f t="shared" si="31"/>
        <v/>
      </c>
      <c r="AL161" s="16" t="e">
        <f>IF(AK161="",NA(),COUNTIF(AK161:$AK$176,AK161))</f>
        <v>#N/A</v>
      </c>
      <c r="AM161" s="16" t="e">
        <f t="shared" si="32"/>
        <v>#N/A</v>
      </c>
      <c r="AN161" s="16" t="e">
        <f t="shared" si="33"/>
        <v>#N/A</v>
      </c>
      <c r="AO161" s="16" t="str">
        <f t="shared" si="34"/>
        <v/>
      </c>
      <c r="AP161" s="16" t="str">
        <f t="shared" si="35"/>
        <v/>
      </c>
      <c r="AQ161" s="16" t="e">
        <f>IF(AP161="",NA(),COUNTIF(AP161:$AP$176,AP161))</f>
        <v>#N/A</v>
      </c>
      <c r="AR161" s="16" t="e">
        <f t="shared" si="36"/>
        <v>#N/A</v>
      </c>
      <c r="BI161" s="621">
        <v>153</v>
      </c>
      <c r="BJ161" s="622"/>
      <c r="BK161" s="623"/>
      <c r="BL161" s="615">
        <v>153</v>
      </c>
      <c r="BM161" s="624"/>
      <c r="BN161" s="239"/>
      <c r="BO161" s="24"/>
      <c r="BQ161" s="621">
        <v>153</v>
      </c>
      <c r="BR161" s="622"/>
      <c r="BS161" s="623"/>
      <c r="BT161" s="615">
        <v>153</v>
      </c>
      <c r="BU161" s="624"/>
      <c r="BV161" s="239"/>
      <c r="BW161" s="24"/>
      <c r="BY161" s="621">
        <v>153</v>
      </c>
      <c r="BZ161" s="622"/>
      <c r="CA161" s="623"/>
      <c r="CB161" s="615">
        <v>153</v>
      </c>
      <c r="CC161" s="624"/>
      <c r="CD161" s="239"/>
      <c r="CE161" s="24"/>
    </row>
    <row r="162" spans="5:83" ht="12" customHeight="1">
      <c r="E162" s="621">
        <v>154</v>
      </c>
      <c r="F162" s="622"/>
      <c r="G162" s="623"/>
      <c r="H162" s="615">
        <v>154</v>
      </c>
      <c r="I162" s="624"/>
      <c r="J162" s="239"/>
      <c r="K162" s="24"/>
      <c r="N162" s="16" t="e">
        <f t="shared" si="25"/>
        <v>#N/A</v>
      </c>
      <c r="O162" s="16" t="e">
        <f t="shared" si="26"/>
        <v>#N/A</v>
      </c>
      <c r="P162" s="16" t="e">
        <f t="shared" si="27"/>
        <v>#N/A</v>
      </c>
      <c r="Q162" s="16" t="e">
        <f t="shared" si="28"/>
        <v>#N/A</v>
      </c>
      <c r="AI162" s="16" t="e">
        <f t="shared" si="29"/>
        <v>#N/A</v>
      </c>
      <c r="AJ162" s="16" t="str">
        <f t="shared" si="30"/>
        <v/>
      </c>
      <c r="AK162" s="16" t="str">
        <f t="shared" si="31"/>
        <v/>
      </c>
      <c r="AL162" s="16" t="e">
        <f>IF(AK162="",NA(),COUNTIF(AK162:$AK$176,AK162))</f>
        <v>#N/A</v>
      </c>
      <c r="AM162" s="16" t="e">
        <f t="shared" si="32"/>
        <v>#N/A</v>
      </c>
      <c r="AN162" s="16" t="e">
        <f t="shared" si="33"/>
        <v>#N/A</v>
      </c>
      <c r="AO162" s="16" t="str">
        <f t="shared" si="34"/>
        <v/>
      </c>
      <c r="AP162" s="16" t="str">
        <f t="shared" si="35"/>
        <v/>
      </c>
      <c r="AQ162" s="16" t="e">
        <f>IF(AP162="",NA(),COUNTIF(AP162:$AP$176,AP162))</f>
        <v>#N/A</v>
      </c>
      <c r="AR162" s="16" t="e">
        <f t="shared" si="36"/>
        <v>#N/A</v>
      </c>
      <c r="BI162" s="621">
        <v>154</v>
      </c>
      <c r="BJ162" s="622"/>
      <c r="BK162" s="623"/>
      <c r="BL162" s="615">
        <v>154</v>
      </c>
      <c r="BM162" s="624"/>
      <c r="BN162" s="239"/>
      <c r="BO162" s="24"/>
      <c r="BQ162" s="621">
        <v>154</v>
      </c>
      <c r="BR162" s="622"/>
      <c r="BS162" s="623"/>
      <c r="BT162" s="615">
        <v>154</v>
      </c>
      <c r="BU162" s="624"/>
      <c r="BV162" s="239"/>
      <c r="BW162" s="24"/>
      <c r="BY162" s="621">
        <v>154</v>
      </c>
      <c r="BZ162" s="622"/>
      <c r="CA162" s="623"/>
      <c r="CB162" s="615">
        <v>154</v>
      </c>
      <c r="CC162" s="624"/>
      <c r="CD162" s="239"/>
      <c r="CE162" s="24"/>
    </row>
    <row r="163" spans="5:83" ht="12" customHeight="1">
      <c r="E163" s="621">
        <v>155</v>
      </c>
      <c r="F163" s="622"/>
      <c r="G163" s="623"/>
      <c r="H163" s="615">
        <v>155</v>
      </c>
      <c r="I163" s="624"/>
      <c r="J163" s="239"/>
      <c r="K163" s="24"/>
      <c r="N163" s="16" t="e">
        <f t="shared" si="25"/>
        <v>#N/A</v>
      </c>
      <c r="O163" s="16" t="e">
        <f t="shared" si="26"/>
        <v>#N/A</v>
      </c>
      <c r="P163" s="16" t="e">
        <f t="shared" si="27"/>
        <v>#N/A</v>
      </c>
      <c r="Q163" s="16" t="e">
        <f t="shared" si="28"/>
        <v>#N/A</v>
      </c>
      <c r="AI163" s="16" t="e">
        <f t="shared" si="29"/>
        <v>#N/A</v>
      </c>
      <c r="AJ163" s="16" t="str">
        <f t="shared" si="30"/>
        <v/>
      </c>
      <c r="AK163" s="16" t="str">
        <f t="shared" si="31"/>
        <v/>
      </c>
      <c r="AL163" s="16" t="e">
        <f>IF(AK163="",NA(),COUNTIF(AK163:$AK$176,AK163))</f>
        <v>#N/A</v>
      </c>
      <c r="AM163" s="16" t="e">
        <f t="shared" si="32"/>
        <v>#N/A</v>
      </c>
      <c r="AN163" s="16" t="e">
        <f t="shared" si="33"/>
        <v>#N/A</v>
      </c>
      <c r="AO163" s="16" t="str">
        <f t="shared" si="34"/>
        <v/>
      </c>
      <c r="AP163" s="16" t="str">
        <f t="shared" si="35"/>
        <v/>
      </c>
      <c r="AQ163" s="16" t="e">
        <f>IF(AP163="",NA(),COUNTIF(AP163:$AP$176,AP163))</f>
        <v>#N/A</v>
      </c>
      <c r="AR163" s="16" t="e">
        <f t="shared" si="36"/>
        <v>#N/A</v>
      </c>
      <c r="BI163" s="621">
        <v>155</v>
      </c>
      <c r="BJ163" s="622"/>
      <c r="BK163" s="623"/>
      <c r="BL163" s="615">
        <v>155</v>
      </c>
      <c r="BM163" s="624"/>
      <c r="BN163" s="239"/>
      <c r="BO163" s="24"/>
      <c r="BQ163" s="621">
        <v>155</v>
      </c>
      <c r="BR163" s="622"/>
      <c r="BS163" s="623"/>
      <c r="BT163" s="615">
        <v>155</v>
      </c>
      <c r="BU163" s="624"/>
      <c r="BV163" s="239"/>
      <c r="BW163" s="24"/>
      <c r="BY163" s="621">
        <v>155</v>
      </c>
      <c r="BZ163" s="622"/>
      <c r="CA163" s="623"/>
      <c r="CB163" s="615">
        <v>155</v>
      </c>
      <c r="CC163" s="624"/>
      <c r="CD163" s="239"/>
      <c r="CE163" s="24"/>
    </row>
    <row r="164" spans="5:83" ht="12" customHeight="1">
      <c r="E164" s="621">
        <v>156</v>
      </c>
      <c r="F164" s="622"/>
      <c r="G164" s="623"/>
      <c r="H164" s="615">
        <v>156</v>
      </c>
      <c r="I164" s="624"/>
      <c r="J164" s="239"/>
      <c r="K164" s="24"/>
      <c r="N164" s="16" t="e">
        <f t="shared" si="25"/>
        <v>#N/A</v>
      </c>
      <c r="O164" s="16" t="e">
        <f t="shared" si="26"/>
        <v>#N/A</v>
      </c>
      <c r="P164" s="16" t="e">
        <f t="shared" si="27"/>
        <v>#N/A</v>
      </c>
      <c r="Q164" s="16" t="e">
        <f t="shared" si="28"/>
        <v>#N/A</v>
      </c>
      <c r="AI164" s="16" t="e">
        <f t="shared" si="29"/>
        <v>#N/A</v>
      </c>
      <c r="AJ164" s="16" t="str">
        <f t="shared" si="30"/>
        <v/>
      </c>
      <c r="AK164" s="16" t="str">
        <f t="shared" si="31"/>
        <v/>
      </c>
      <c r="AL164" s="16" t="e">
        <f>IF(AK164="",NA(),COUNTIF(AK164:$AK$176,AK164))</f>
        <v>#N/A</v>
      </c>
      <c r="AM164" s="16" t="e">
        <f t="shared" si="32"/>
        <v>#N/A</v>
      </c>
      <c r="AN164" s="16" t="e">
        <f t="shared" si="33"/>
        <v>#N/A</v>
      </c>
      <c r="AO164" s="16" t="str">
        <f t="shared" si="34"/>
        <v/>
      </c>
      <c r="AP164" s="16" t="str">
        <f t="shared" si="35"/>
        <v/>
      </c>
      <c r="AQ164" s="16" t="e">
        <f>IF(AP164="",NA(),COUNTIF(AP164:$AP$176,AP164))</f>
        <v>#N/A</v>
      </c>
      <c r="AR164" s="16" t="e">
        <f t="shared" si="36"/>
        <v>#N/A</v>
      </c>
      <c r="BI164" s="621">
        <v>156</v>
      </c>
      <c r="BJ164" s="622"/>
      <c r="BK164" s="623"/>
      <c r="BL164" s="615">
        <v>156</v>
      </c>
      <c r="BM164" s="624"/>
      <c r="BN164" s="239"/>
      <c r="BO164" s="24"/>
      <c r="BQ164" s="621">
        <v>156</v>
      </c>
      <c r="BR164" s="622"/>
      <c r="BS164" s="623"/>
      <c r="BT164" s="615">
        <v>156</v>
      </c>
      <c r="BU164" s="624"/>
      <c r="BV164" s="239"/>
      <c r="BW164" s="24"/>
      <c r="BY164" s="621">
        <v>156</v>
      </c>
      <c r="BZ164" s="622"/>
      <c r="CA164" s="623"/>
      <c r="CB164" s="615">
        <v>156</v>
      </c>
      <c r="CC164" s="624"/>
      <c r="CD164" s="239"/>
      <c r="CE164" s="24"/>
    </row>
    <row r="165" spans="5:83" ht="12" customHeight="1">
      <c r="E165" s="621">
        <v>157</v>
      </c>
      <c r="F165" s="622"/>
      <c r="G165" s="623"/>
      <c r="H165" s="615">
        <v>157</v>
      </c>
      <c r="I165" s="624"/>
      <c r="J165" s="239"/>
      <c r="K165" s="24"/>
      <c r="N165" s="16" t="e">
        <f t="shared" si="25"/>
        <v>#N/A</v>
      </c>
      <c r="O165" s="16" t="e">
        <f t="shared" si="26"/>
        <v>#N/A</v>
      </c>
      <c r="P165" s="16" t="e">
        <f t="shared" si="27"/>
        <v>#N/A</v>
      </c>
      <c r="Q165" s="16" t="e">
        <f t="shared" si="28"/>
        <v>#N/A</v>
      </c>
      <c r="AI165" s="16" t="e">
        <f t="shared" si="29"/>
        <v>#N/A</v>
      </c>
      <c r="AJ165" s="16" t="str">
        <f t="shared" si="30"/>
        <v/>
      </c>
      <c r="AK165" s="16" t="str">
        <f t="shared" si="31"/>
        <v/>
      </c>
      <c r="AL165" s="16" t="e">
        <f>IF(AK165="",NA(),COUNTIF(AK165:$AK$176,AK165))</f>
        <v>#N/A</v>
      </c>
      <c r="AM165" s="16" t="e">
        <f t="shared" si="32"/>
        <v>#N/A</v>
      </c>
      <c r="AN165" s="16" t="e">
        <f t="shared" si="33"/>
        <v>#N/A</v>
      </c>
      <c r="AO165" s="16" t="str">
        <f t="shared" si="34"/>
        <v/>
      </c>
      <c r="AP165" s="16" t="str">
        <f t="shared" si="35"/>
        <v/>
      </c>
      <c r="AQ165" s="16" t="e">
        <f>IF(AP165="",NA(),COUNTIF(AP165:$AP$176,AP165))</f>
        <v>#N/A</v>
      </c>
      <c r="AR165" s="16" t="e">
        <f t="shared" si="36"/>
        <v>#N/A</v>
      </c>
      <c r="BI165" s="621">
        <v>157</v>
      </c>
      <c r="BJ165" s="622"/>
      <c r="BK165" s="623"/>
      <c r="BL165" s="615">
        <v>157</v>
      </c>
      <c r="BM165" s="624"/>
      <c r="BN165" s="239"/>
      <c r="BO165" s="24"/>
      <c r="BQ165" s="621">
        <v>157</v>
      </c>
      <c r="BR165" s="622"/>
      <c r="BS165" s="623"/>
      <c r="BT165" s="615">
        <v>157</v>
      </c>
      <c r="BU165" s="624"/>
      <c r="BV165" s="239"/>
      <c r="BW165" s="24"/>
      <c r="BY165" s="621">
        <v>157</v>
      </c>
      <c r="BZ165" s="622"/>
      <c r="CA165" s="623"/>
      <c r="CB165" s="615">
        <v>157</v>
      </c>
      <c r="CC165" s="624"/>
      <c r="CD165" s="239"/>
      <c r="CE165" s="24"/>
    </row>
    <row r="166" spans="5:83" ht="12" customHeight="1">
      <c r="E166" s="621">
        <v>158</v>
      </c>
      <c r="F166" s="622"/>
      <c r="G166" s="623"/>
      <c r="H166" s="615">
        <v>158</v>
      </c>
      <c r="I166" s="624"/>
      <c r="J166" s="239"/>
      <c r="K166" s="24"/>
      <c r="N166" s="16" t="e">
        <f t="shared" si="25"/>
        <v>#N/A</v>
      </c>
      <c r="O166" s="16" t="e">
        <f t="shared" si="26"/>
        <v>#N/A</v>
      </c>
      <c r="P166" s="16" t="e">
        <f t="shared" si="27"/>
        <v>#N/A</v>
      </c>
      <c r="Q166" s="16" t="e">
        <f t="shared" si="28"/>
        <v>#N/A</v>
      </c>
      <c r="AI166" s="16" t="e">
        <f t="shared" si="29"/>
        <v>#N/A</v>
      </c>
      <c r="AJ166" s="16" t="str">
        <f t="shared" si="30"/>
        <v/>
      </c>
      <c r="AK166" s="16" t="str">
        <f t="shared" si="31"/>
        <v/>
      </c>
      <c r="AL166" s="16" t="e">
        <f>IF(AK166="",NA(),COUNTIF(AK166:$AK$176,AK166))</f>
        <v>#N/A</v>
      </c>
      <c r="AM166" s="16" t="e">
        <f t="shared" si="32"/>
        <v>#N/A</v>
      </c>
      <c r="AN166" s="16" t="e">
        <f t="shared" si="33"/>
        <v>#N/A</v>
      </c>
      <c r="AO166" s="16" t="str">
        <f t="shared" si="34"/>
        <v/>
      </c>
      <c r="AP166" s="16" t="str">
        <f t="shared" si="35"/>
        <v/>
      </c>
      <c r="AQ166" s="16" t="e">
        <f>IF(AP166="",NA(),COUNTIF(AP166:$AP$176,AP166))</f>
        <v>#N/A</v>
      </c>
      <c r="AR166" s="16" t="e">
        <f t="shared" si="36"/>
        <v>#N/A</v>
      </c>
      <c r="BI166" s="621">
        <v>158</v>
      </c>
      <c r="BJ166" s="622"/>
      <c r="BK166" s="623"/>
      <c r="BL166" s="615">
        <v>158</v>
      </c>
      <c r="BM166" s="624"/>
      <c r="BN166" s="239"/>
      <c r="BO166" s="24"/>
      <c r="BQ166" s="621">
        <v>158</v>
      </c>
      <c r="BR166" s="622"/>
      <c r="BS166" s="623"/>
      <c r="BT166" s="615">
        <v>158</v>
      </c>
      <c r="BU166" s="624"/>
      <c r="BV166" s="239"/>
      <c r="BW166" s="24"/>
      <c r="BY166" s="621">
        <v>158</v>
      </c>
      <c r="BZ166" s="622"/>
      <c r="CA166" s="623"/>
      <c r="CB166" s="615">
        <v>158</v>
      </c>
      <c r="CC166" s="624"/>
      <c r="CD166" s="239"/>
      <c r="CE166" s="24"/>
    </row>
    <row r="167" spans="5:83" ht="12" customHeight="1">
      <c r="E167" s="621">
        <v>159</v>
      </c>
      <c r="F167" s="622"/>
      <c r="G167" s="623"/>
      <c r="H167" s="615">
        <v>159</v>
      </c>
      <c r="I167" s="624"/>
      <c r="J167" s="239"/>
      <c r="K167" s="24"/>
      <c r="N167" s="16" t="e">
        <f t="shared" si="25"/>
        <v>#N/A</v>
      </c>
      <c r="O167" s="16" t="e">
        <f t="shared" si="26"/>
        <v>#N/A</v>
      </c>
      <c r="P167" s="16" t="e">
        <f t="shared" si="27"/>
        <v>#N/A</v>
      </c>
      <c r="Q167" s="16" t="e">
        <f t="shared" si="28"/>
        <v>#N/A</v>
      </c>
      <c r="AI167" s="16" t="e">
        <f t="shared" si="29"/>
        <v>#N/A</v>
      </c>
      <c r="AJ167" s="16" t="str">
        <f t="shared" si="30"/>
        <v/>
      </c>
      <c r="AK167" s="16" t="str">
        <f t="shared" si="31"/>
        <v/>
      </c>
      <c r="AL167" s="16" t="e">
        <f>IF(AK167="",NA(),COUNTIF(AK167:$AK$176,AK167))</f>
        <v>#N/A</v>
      </c>
      <c r="AM167" s="16" t="e">
        <f t="shared" si="32"/>
        <v>#N/A</v>
      </c>
      <c r="AN167" s="16" t="e">
        <f t="shared" si="33"/>
        <v>#N/A</v>
      </c>
      <c r="AO167" s="16" t="str">
        <f t="shared" si="34"/>
        <v/>
      </c>
      <c r="AP167" s="16" t="str">
        <f t="shared" si="35"/>
        <v/>
      </c>
      <c r="AQ167" s="16" t="e">
        <f>IF(AP167="",NA(),COUNTIF(AP167:$AP$176,AP167))</f>
        <v>#N/A</v>
      </c>
      <c r="AR167" s="16" t="e">
        <f t="shared" si="36"/>
        <v>#N/A</v>
      </c>
      <c r="BI167" s="621">
        <v>159</v>
      </c>
      <c r="BJ167" s="622"/>
      <c r="BK167" s="623"/>
      <c r="BL167" s="615">
        <v>159</v>
      </c>
      <c r="BM167" s="624"/>
      <c r="BN167" s="239"/>
      <c r="BO167" s="24"/>
      <c r="BQ167" s="621">
        <v>159</v>
      </c>
      <c r="BR167" s="622"/>
      <c r="BS167" s="623"/>
      <c r="BT167" s="615">
        <v>159</v>
      </c>
      <c r="BU167" s="624"/>
      <c r="BV167" s="239"/>
      <c r="BW167" s="24"/>
      <c r="BY167" s="621">
        <v>159</v>
      </c>
      <c r="BZ167" s="622"/>
      <c r="CA167" s="623"/>
      <c r="CB167" s="615">
        <v>159</v>
      </c>
      <c r="CC167" s="624"/>
      <c r="CD167" s="239"/>
      <c r="CE167" s="24"/>
    </row>
    <row r="168" spans="5:83" ht="12" customHeight="1">
      <c r="E168" s="621">
        <v>160</v>
      </c>
      <c r="F168" s="711"/>
      <c r="G168" s="712"/>
      <c r="H168" s="713">
        <v>160</v>
      </c>
      <c r="I168" s="714"/>
      <c r="J168" s="239"/>
      <c r="K168" s="24"/>
      <c r="N168" s="16" t="e">
        <f t="shared" si="25"/>
        <v>#N/A</v>
      </c>
      <c r="O168" s="16" t="e">
        <f t="shared" si="26"/>
        <v>#N/A</v>
      </c>
      <c r="P168" s="16" t="e">
        <f t="shared" si="27"/>
        <v>#N/A</v>
      </c>
      <c r="Q168" s="16" t="e">
        <f t="shared" si="28"/>
        <v>#N/A</v>
      </c>
      <c r="AI168" s="16" t="e">
        <f t="shared" si="29"/>
        <v>#N/A</v>
      </c>
      <c r="AJ168" s="16" t="str">
        <f t="shared" si="30"/>
        <v/>
      </c>
      <c r="AK168" s="16" t="str">
        <f t="shared" si="31"/>
        <v/>
      </c>
      <c r="AL168" s="16" t="e">
        <f>IF(AK168="",NA(),COUNTIF(AK168:$AK$176,AK168))</f>
        <v>#N/A</v>
      </c>
      <c r="AM168" s="16" t="e">
        <f t="shared" si="32"/>
        <v>#N/A</v>
      </c>
      <c r="AN168" s="16" t="e">
        <f t="shared" si="33"/>
        <v>#N/A</v>
      </c>
      <c r="AO168" s="16" t="str">
        <f t="shared" si="34"/>
        <v/>
      </c>
      <c r="AP168" s="16" t="str">
        <f t="shared" si="35"/>
        <v/>
      </c>
      <c r="AQ168" s="16" t="e">
        <f>IF(AP168="",NA(),COUNTIF(AP168:$AP$176,AP168))</f>
        <v>#N/A</v>
      </c>
      <c r="AR168" s="16" t="e">
        <f t="shared" si="36"/>
        <v>#N/A</v>
      </c>
      <c r="BI168" s="621">
        <v>160</v>
      </c>
      <c r="BJ168" s="711"/>
      <c r="BK168" s="712"/>
      <c r="BL168" s="713">
        <v>160</v>
      </c>
      <c r="BM168" s="714"/>
      <c r="BN168" s="239"/>
      <c r="BO168" s="24"/>
      <c r="BQ168" s="621">
        <v>160</v>
      </c>
      <c r="BR168" s="711"/>
      <c r="BS168" s="712"/>
      <c r="BT168" s="713">
        <v>160</v>
      </c>
      <c r="BU168" s="714"/>
      <c r="BV168" s="239"/>
      <c r="BW168" s="24"/>
      <c r="BY168" s="621">
        <v>160</v>
      </c>
      <c r="BZ168" s="711"/>
      <c r="CA168" s="712"/>
      <c r="CB168" s="713">
        <v>160</v>
      </c>
      <c r="CC168" s="714"/>
      <c r="CD168" s="239"/>
      <c r="CE168" s="24"/>
    </row>
    <row r="169" spans="5:83" ht="12" customHeight="1">
      <c r="E169" s="621">
        <v>161</v>
      </c>
      <c r="F169" s="711"/>
      <c r="G169" s="712"/>
      <c r="H169" s="713">
        <v>161</v>
      </c>
      <c r="I169" s="714"/>
      <c r="J169" s="239"/>
      <c r="K169" s="24"/>
      <c r="N169" s="16" t="e">
        <f t="shared" si="25"/>
        <v>#N/A</v>
      </c>
      <c r="O169" s="16" t="e">
        <f t="shared" si="26"/>
        <v>#N/A</v>
      </c>
      <c r="P169" s="16" t="e">
        <f t="shared" si="27"/>
        <v>#N/A</v>
      </c>
      <c r="Q169" s="16" t="e">
        <f t="shared" si="28"/>
        <v>#N/A</v>
      </c>
      <c r="AI169" s="16" t="e">
        <f t="shared" si="29"/>
        <v>#N/A</v>
      </c>
      <c r="AJ169" s="16" t="str">
        <f t="shared" si="30"/>
        <v/>
      </c>
      <c r="AK169" s="16" t="str">
        <f t="shared" si="31"/>
        <v/>
      </c>
      <c r="AL169" s="16" t="e">
        <f>IF(AK169="",NA(),COUNTIF(AK169:$AK$176,AK169))</f>
        <v>#N/A</v>
      </c>
      <c r="AM169" s="16" t="e">
        <f t="shared" si="32"/>
        <v>#N/A</v>
      </c>
      <c r="AN169" s="16" t="e">
        <f t="shared" si="33"/>
        <v>#N/A</v>
      </c>
      <c r="AO169" s="16" t="str">
        <f t="shared" si="34"/>
        <v/>
      </c>
      <c r="AP169" s="16" t="str">
        <f t="shared" si="35"/>
        <v/>
      </c>
      <c r="AQ169" s="16" t="e">
        <f>IF(AP169="",NA(),COUNTIF(AP169:$AP$176,AP169))</f>
        <v>#N/A</v>
      </c>
      <c r="AR169" s="16" t="e">
        <f t="shared" si="36"/>
        <v>#N/A</v>
      </c>
      <c r="BI169" s="621">
        <v>161</v>
      </c>
      <c r="BJ169" s="711"/>
      <c r="BK169" s="712"/>
      <c r="BL169" s="713">
        <v>161</v>
      </c>
      <c r="BM169" s="714"/>
      <c r="BN169" s="239"/>
      <c r="BO169" s="24"/>
      <c r="BQ169" s="621">
        <v>161</v>
      </c>
      <c r="BR169" s="711"/>
      <c r="BS169" s="712"/>
      <c r="BT169" s="713">
        <v>161</v>
      </c>
      <c r="BU169" s="714"/>
      <c r="BV169" s="239"/>
      <c r="BW169" s="24"/>
      <c r="BY169" s="621">
        <v>161</v>
      </c>
      <c r="BZ169" s="711"/>
      <c r="CA169" s="712"/>
      <c r="CB169" s="713">
        <v>161</v>
      </c>
      <c r="CC169" s="714"/>
      <c r="CD169" s="239"/>
      <c r="CE169" s="24"/>
    </row>
    <row r="170" spans="5:83" ht="12" customHeight="1">
      <c r="E170" s="621">
        <v>162</v>
      </c>
      <c r="F170" s="711"/>
      <c r="G170" s="712"/>
      <c r="H170" s="713">
        <v>162</v>
      </c>
      <c r="I170" s="714"/>
      <c r="J170" s="239"/>
      <c r="K170" s="24"/>
      <c r="N170" s="16" t="e">
        <f t="shared" si="25"/>
        <v>#N/A</v>
      </c>
      <c r="O170" s="16" t="e">
        <f t="shared" si="26"/>
        <v>#N/A</v>
      </c>
      <c r="P170" s="16" t="e">
        <f t="shared" si="27"/>
        <v>#N/A</v>
      </c>
      <c r="Q170" s="16" t="e">
        <f t="shared" si="28"/>
        <v>#N/A</v>
      </c>
      <c r="AI170" s="16" t="e">
        <f t="shared" si="29"/>
        <v>#N/A</v>
      </c>
      <c r="AJ170" s="16" t="str">
        <f t="shared" si="30"/>
        <v/>
      </c>
      <c r="AK170" s="16" t="str">
        <f t="shared" si="31"/>
        <v/>
      </c>
      <c r="AL170" s="16" t="e">
        <f>IF(AK170="",NA(),COUNTIF(AK170:$AK$176,AK170))</f>
        <v>#N/A</v>
      </c>
      <c r="AM170" s="16" t="e">
        <f t="shared" si="32"/>
        <v>#N/A</v>
      </c>
      <c r="AN170" s="16" t="e">
        <f t="shared" si="33"/>
        <v>#N/A</v>
      </c>
      <c r="AO170" s="16" t="str">
        <f t="shared" si="34"/>
        <v/>
      </c>
      <c r="AP170" s="16" t="str">
        <f t="shared" si="35"/>
        <v/>
      </c>
      <c r="AQ170" s="16" t="e">
        <f>IF(AP170="",NA(),COUNTIF(AP170:$AP$176,AP170))</f>
        <v>#N/A</v>
      </c>
      <c r="AR170" s="16" t="e">
        <f t="shared" si="36"/>
        <v>#N/A</v>
      </c>
      <c r="BI170" s="621">
        <v>162</v>
      </c>
      <c r="BJ170" s="711"/>
      <c r="BK170" s="712"/>
      <c r="BL170" s="713">
        <v>162</v>
      </c>
      <c r="BM170" s="714"/>
      <c r="BN170" s="239"/>
      <c r="BO170" s="24"/>
      <c r="BQ170" s="621">
        <v>162</v>
      </c>
      <c r="BR170" s="711"/>
      <c r="BS170" s="712"/>
      <c r="BT170" s="713">
        <v>162</v>
      </c>
      <c r="BU170" s="714"/>
      <c r="BV170" s="239"/>
      <c r="BW170" s="24"/>
      <c r="BY170" s="621">
        <v>162</v>
      </c>
      <c r="BZ170" s="711"/>
      <c r="CA170" s="712"/>
      <c r="CB170" s="713">
        <v>162</v>
      </c>
      <c r="CC170" s="714"/>
      <c r="CD170" s="239"/>
      <c r="CE170" s="24"/>
    </row>
    <row r="171" spans="5:83" ht="12" customHeight="1">
      <c r="E171" s="621">
        <v>163</v>
      </c>
      <c r="F171" s="711"/>
      <c r="G171" s="712"/>
      <c r="H171" s="713">
        <v>163</v>
      </c>
      <c r="I171" s="714"/>
      <c r="J171" s="239"/>
      <c r="K171" s="24"/>
      <c r="N171" s="16" t="e">
        <f t="shared" si="25"/>
        <v>#N/A</v>
      </c>
      <c r="O171" s="16" t="e">
        <f t="shared" si="26"/>
        <v>#N/A</v>
      </c>
      <c r="P171" s="16" t="e">
        <f t="shared" si="27"/>
        <v>#N/A</v>
      </c>
      <c r="Q171" s="16" t="e">
        <f t="shared" si="28"/>
        <v>#N/A</v>
      </c>
      <c r="AI171" s="16" t="e">
        <f t="shared" si="29"/>
        <v>#N/A</v>
      </c>
      <c r="AJ171" s="16" t="str">
        <f t="shared" si="30"/>
        <v/>
      </c>
      <c r="AK171" s="16" t="str">
        <f t="shared" si="31"/>
        <v/>
      </c>
      <c r="AL171" s="16" t="e">
        <f>IF(AK171="",NA(),COUNTIF(AK171:$AK$176,AK171))</f>
        <v>#N/A</v>
      </c>
      <c r="AM171" s="16" t="e">
        <f t="shared" si="32"/>
        <v>#N/A</v>
      </c>
      <c r="AN171" s="16" t="e">
        <f t="shared" si="33"/>
        <v>#N/A</v>
      </c>
      <c r="AO171" s="16" t="str">
        <f t="shared" si="34"/>
        <v/>
      </c>
      <c r="AP171" s="16" t="str">
        <f t="shared" si="35"/>
        <v/>
      </c>
      <c r="AQ171" s="16" t="e">
        <f>IF(AP171="",NA(),COUNTIF(AP171:$AP$176,AP171))</f>
        <v>#N/A</v>
      </c>
      <c r="AR171" s="16" t="e">
        <f t="shared" si="36"/>
        <v>#N/A</v>
      </c>
      <c r="BI171" s="621">
        <v>163</v>
      </c>
      <c r="BJ171" s="711"/>
      <c r="BK171" s="712"/>
      <c r="BL171" s="713">
        <v>163</v>
      </c>
      <c r="BM171" s="714"/>
      <c r="BN171" s="239"/>
      <c r="BO171" s="24"/>
      <c r="BQ171" s="621">
        <v>163</v>
      </c>
      <c r="BR171" s="711"/>
      <c r="BS171" s="712"/>
      <c r="BT171" s="713">
        <v>163</v>
      </c>
      <c r="BU171" s="714"/>
      <c r="BV171" s="239"/>
      <c r="BW171" s="24"/>
      <c r="BY171" s="621">
        <v>163</v>
      </c>
      <c r="BZ171" s="711"/>
      <c r="CA171" s="712"/>
      <c r="CB171" s="713">
        <v>163</v>
      </c>
      <c r="CC171" s="714"/>
      <c r="CD171" s="239"/>
      <c r="CE171" s="24"/>
    </row>
    <row r="172" spans="5:83" ht="12" customHeight="1">
      <c r="E172" s="621">
        <v>164</v>
      </c>
      <c r="F172" s="711"/>
      <c r="G172" s="712"/>
      <c r="H172" s="713">
        <v>164</v>
      </c>
      <c r="I172" s="714"/>
      <c r="J172" s="239"/>
      <c r="K172" s="24"/>
      <c r="N172" s="16" t="e">
        <f t="shared" si="25"/>
        <v>#N/A</v>
      </c>
      <c r="O172" s="16" t="e">
        <f t="shared" si="26"/>
        <v>#N/A</v>
      </c>
      <c r="P172" s="16" t="e">
        <f t="shared" si="27"/>
        <v>#N/A</v>
      </c>
      <c r="Q172" s="16" t="e">
        <f t="shared" si="28"/>
        <v>#N/A</v>
      </c>
      <c r="AI172" s="16" t="e">
        <f t="shared" si="29"/>
        <v>#N/A</v>
      </c>
      <c r="AJ172" s="16" t="str">
        <f t="shared" si="30"/>
        <v/>
      </c>
      <c r="AK172" s="16" t="str">
        <f t="shared" si="31"/>
        <v/>
      </c>
      <c r="AL172" s="16" t="e">
        <f>IF(AK172="",NA(),COUNTIF(AK172:$AK$176,AK172))</f>
        <v>#N/A</v>
      </c>
      <c r="AM172" s="16" t="e">
        <f t="shared" si="32"/>
        <v>#N/A</v>
      </c>
      <c r="AN172" s="16" t="e">
        <f t="shared" si="33"/>
        <v>#N/A</v>
      </c>
      <c r="AO172" s="16" t="str">
        <f t="shared" si="34"/>
        <v/>
      </c>
      <c r="AP172" s="16" t="str">
        <f t="shared" si="35"/>
        <v/>
      </c>
      <c r="AQ172" s="16" t="e">
        <f>IF(AP172="",NA(),COUNTIF(AP172:$AP$176,AP172))</f>
        <v>#N/A</v>
      </c>
      <c r="AR172" s="16" t="e">
        <f t="shared" si="36"/>
        <v>#N/A</v>
      </c>
      <c r="BI172" s="621">
        <v>164</v>
      </c>
      <c r="BJ172" s="711"/>
      <c r="BK172" s="712"/>
      <c r="BL172" s="713">
        <v>164</v>
      </c>
      <c r="BM172" s="714"/>
      <c r="BN172" s="239"/>
      <c r="BO172" s="24"/>
      <c r="BQ172" s="621">
        <v>164</v>
      </c>
      <c r="BR172" s="711"/>
      <c r="BS172" s="712"/>
      <c r="BT172" s="713">
        <v>164</v>
      </c>
      <c r="BU172" s="714"/>
      <c r="BV172" s="239"/>
      <c r="BW172" s="24"/>
      <c r="BY172" s="621">
        <v>164</v>
      </c>
      <c r="BZ172" s="711"/>
      <c r="CA172" s="712"/>
      <c r="CB172" s="713">
        <v>164</v>
      </c>
      <c r="CC172" s="714"/>
      <c r="CD172" s="239"/>
      <c r="CE172" s="24"/>
    </row>
    <row r="173" spans="5:83" ht="12" customHeight="1">
      <c r="E173" s="621">
        <v>165</v>
      </c>
      <c r="F173" s="711"/>
      <c r="G173" s="712"/>
      <c r="H173" s="713">
        <v>165</v>
      </c>
      <c r="I173" s="714"/>
      <c r="J173" s="239"/>
      <c r="K173" s="24"/>
      <c r="N173" s="16" t="e">
        <f t="shared" si="25"/>
        <v>#N/A</v>
      </c>
      <c r="O173" s="16" t="e">
        <f t="shared" si="26"/>
        <v>#N/A</v>
      </c>
      <c r="P173" s="16" t="e">
        <f t="shared" si="27"/>
        <v>#N/A</v>
      </c>
      <c r="Q173" s="16" t="e">
        <f t="shared" si="28"/>
        <v>#N/A</v>
      </c>
      <c r="AI173" s="16" t="e">
        <f t="shared" si="29"/>
        <v>#N/A</v>
      </c>
      <c r="AJ173" s="16" t="str">
        <f t="shared" si="30"/>
        <v/>
      </c>
      <c r="AK173" s="16" t="str">
        <f t="shared" si="31"/>
        <v/>
      </c>
      <c r="AL173" s="16" t="e">
        <f>IF(AK173="",NA(),COUNTIF(AK173:$AK$176,AK173))</f>
        <v>#N/A</v>
      </c>
      <c r="AM173" s="16" t="e">
        <f t="shared" si="32"/>
        <v>#N/A</v>
      </c>
      <c r="AN173" s="16" t="e">
        <f t="shared" si="33"/>
        <v>#N/A</v>
      </c>
      <c r="AO173" s="16" t="str">
        <f t="shared" si="34"/>
        <v/>
      </c>
      <c r="AP173" s="16" t="str">
        <f t="shared" si="35"/>
        <v/>
      </c>
      <c r="AQ173" s="16" t="e">
        <f>IF(AP173="",NA(),COUNTIF(AP173:$AP$176,AP173))</f>
        <v>#N/A</v>
      </c>
      <c r="AR173" s="16" t="e">
        <f t="shared" si="36"/>
        <v>#N/A</v>
      </c>
      <c r="BI173" s="621">
        <v>165</v>
      </c>
      <c r="BJ173" s="711"/>
      <c r="BK173" s="712"/>
      <c r="BL173" s="713">
        <v>165</v>
      </c>
      <c r="BM173" s="714"/>
      <c r="BN173" s="239"/>
      <c r="BO173" s="24"/>
      <c r="BQ173" s="621">
        <v>165</v>
      </c>
      <c r="BR173" s="711"/>
      <c r="BS173" s="712"/>
      <c r="BT173" s="713">
        <v>165</v>
      </c>
      <c r="BU173" s="714"/>
      <c r="BV173" s="239"/>
      <c r="BW173" s="24"/>
      <c r="BY173" s="621">
        <v>165</v>
      </c>
      <c r="BZ173" s="711"/>
      <c r="CA173" s="712"/>
      <c r="CB173" s="713">
        <v>165</v>
      </c>
      <c r="CC173" s="714"/>
      <c r="CD173" s="239"/>
      <c r="CE173" s="24"/>
    </row>
    <row r="174" spans="5:83" ht="12" customHeight="1">
      <c r="E174" s="621">
        <v>166</v>
      </c>
      <c r="F174" s="711"/>
      <c r="G174" s="712"/>
      <c r="H174" s="713">
        <v>166</v>
      </c>
      <c r="I174" s="714"/>
      <c r="J174" s="239"/>
      <c r="K174" s="24"/>
      <c r="N174" s="16" t="e">
        <f t="shared" si="25"/>
        <v>#N/A</v>
      </c>
      <c r="O174" s="16" t="e">
        <f t="shared" si="26"/>
        <v>#N/A</v>
      </c>
      <c r="P174" s="16" t="e">
        <f t="shared" si="27"/>
        <v>#N/A</v>
      </c>
      <c r="Q174" s="16" t="e">
        <f t="shared" si="28"/>
        <v>#N/A</v>
      </c>
      <c r="AI174" s="16" t="e">
        <f t="shared" si="29"/>
        <v>#N/A</v>
      </c>
      <c r="AJ174" s="16" t="str">
        <f t="shared" si="30"/>
        <v/>
      </c>
      <c r="AK174" s="16" t="str">
        <f t="shared" si="31"/>
        <v/>
      </c>
      <c r="AL174" s="16" t="e">
        <f>IF(AK174="",NA(),COUNTIF(AK174:$AK$176,AK174))</f>
        <v>#N/A</v>
      </c>
      <c r="AM174" s="16" t="e">
        <f t="shared" si="32"/>
        <v>#N/A</v>
      </c>
      <c r="AN174" s="16" t="e">
        <f t="shared" si="33"/>
        <v>#N/A</v>
      </c>
      <c r="AO174" s="16" t="str">
        <f t="shared" si="34"/>
        <v/>
      </c>
      <c r="AP174" s="16" t="str">
        <f t="shared" si="35"/>
        <v/>
      </c>
      <c r="AQ174" s="16" t="e">
        <f>IF(AP174="",NA(),COUNTIF(AP174:$AP$176,AP174))</f>
        <v>#N/A</v>
      </c>
      <c r="AR174" s="16" t="e">
        <f t="shared" si="36"/>
        <v>#N/A</v>
      </c>
      <c r="BI174" s="621">
        <v>166</v>
      </c>
      <c r="BJ174" s="711"/>
      <c r="BK174" s="712"/>
      <c r="BL174" s="713">
        <v>166</v>
      </c>
      <c r="BM174" s="714"/>
      <c r="BN174" s="239"/>
      <c r="BO174" s="24"/>
      <c r="BQ174" s="621">
        <v>166</v>
      </c>
      <c r="BR174" s="711"/>
      <c r="BS174" s="712"/>
      <c r="BT174" s="713">
        <v>166</v>
      </c>
      <c r="BU174" s="714"/>
      <c r="BV174" s="239"/>
      <c r="BW174" s="24"/>
      <c r="BY174" s="621">
        <v>166</v>
      </c>
      <c r="BZ174" s="711"/>
      <c r="CA174" s="712"/>
      <c r="CB174" s="713">
        <v>166</v>
      </c>
      <c r="CC174" s="714"/>
      <c r="CD174" s="239"/>
      <c r="CE174" s="24"/>
    </row>
    <row r="175" spans="5:83" ht="12" customHeight="1">
      <c r="E175" s="621">
        <v>167</v>
      </c>
      <c r="F175" s="711"/>
      <c r="G175" s="712"/>
      <c r="H175" s="713">
        <v>167</v>
      </c>
      <c r="I175" s="714"/>
      <c r="J175" s="239"/>
      <c r="K175" s="24"/>
      <c r="N175" s="16" t="e">
        <f t="shared" si="25"/>
        <v>#N/A</v>
      </c>
      <c r="O175" s="16" t="e">
        <f t="shared" si="26"/>
        <v>#N/A</v>
      </c>
      <c r="P175" s="16" t="e">
        <f t="shared" si="27"/>
        <v>#N/A</v>
      </c>
      <c r="Q175" s="16" t="e">
        <f t="shared" si="28"/>
        <v>#N/A</v>
      </c>
      <c r="AI175" s="16" t="e">
        <f t="shared" si="29"/>
        <v>#N/A</v>
      </c>
      <c r="AJ175" s="16" t="str">
        <f t="shared" si="30"/>
        <v/>
      </c>
      <c r="AK175" s="16" t="str">
        <f t="shared" si="31"/>
        <v/>
      </c>
      <c r="AL175" s="16" t="e">
        <f>IF(AK175="",NA(),COUNTIF(AK175:$AK$176,AK175))</f>
        <v>#N/A</v>
      </c>
      <c r="AM175" s="16" t="e">
        <f t="shared" si="32"/>
        <v>#N/A</v>
      </c>
      <c r="AN175" s="16" t="e">
        <f t="shared" si="33"/>
        <v>#N/A</v>
      </c>
      <c r="AO175" s="16" t="str">
        <f t="shared" si="34"/>
        <v/>
      </c>
      <c r="AP175" s="16" t="str">
        <f t="shared" si="35"/>
        <v/>
      </c>
      <c r="AQ175" s="16" t="e">
        <f>IF(AP175="",NA(),COUNTIF(AP175:$AP$176,AP175))</f>
        <v>#N/A</v>
      </c>
      <c r="AR175" s="16" t="e">
        <f t="shared" si="36"/>
        <v>#N/A</v>
      </c>
      <c r="BI175" s="621">
        <v>167</v>
      </c>
      <c r="BJ175" s="711"/>
      <c r="BK175" s="712"/>
      <c r="BL175" s="713">
        <v>167</v>
      </c>
      <c r="BM175" s="714"/>
      <c r="BN175" s="239"/>
      <c r="BO175" s="24"/>
      <c r="BQ175" s="621">
        <v>167</v>
      </c>
      <c r="BR175" s="711"/>
      <c r="BS175" s="712"/>
      <c r="BT175" s="713">
        <v>167</v>
      </c>
      <c r="BU175" s="714"/>
      <c r="BV175" s="239"/>
      <c r="BW175" s="24"/>
      <c r="BY175" s="621">
        <v>167</v>
      </c>
      <c r="BZ175" s="711"/>
      <c r="CA175" s="712"/>
      <c r="CB175" s="713">
        <v>167</v>
      </c>
      <c r="CC175" s="714"/>
      <c r="CD175" s="239"/>
      <c r="CE175" s="24"/>
    </row>
    <row r="176" spans="5:83" ht="12" customHeight="1">
      <c r="E176" s="621">
        <v>168</v>
      </c>
      <c r="F176" s="711"/>
      <c r="G176" s="712"/>
      <c r="H176" s="713">
        <v>168</v>
      </c>
      <c r="I176" s="714"/>
      <c r="J176" s="239"/>
      <c r="K176" s="24"/>
      <c r="N176" s="16" t="e">
        <f t="shared" si="25"/>
        <v>#N/A</v>
      </c>
      <c r="O176" s="16" t="e">
        <f t="shared" si="26"/>
        <v>#N/A</v>
      </c>
      <c r="P176" s="16" t="e">
        <f t="shared" si="27"/>
        <v>#N/A</v>
      </c>
      <c r="Q176" s="16" t="e">
        <f t="shared" si="28"/>
        <v>#N/A</v>
      </c>
      <c r="AI176" s="16" t="e">
        <f t="shared" si="29"/>
        <v>#N/A</v>
      </c>
      <c r="AJ176" s="16" t="str">
        <f t="shared" si="30"/>
        <v/>
      </c>
      <c r="AK176" s="16" t="str">
        <f t="shared" si="31"/>
        <v/>
      </c>
      <c r="AL176" s="16" t="e">
        <f>IF(AK176="",NA(),COUNTIF(AK176:$AK$176,AK176))</f>
        <v>#N/A</v>
      </c>
      <c r="AM176" s="16" t="e">
        <f t="shared" si="32"/>
        <v>#N/A</v>
      </c>
      <c r="AN176" s="16" t="e">
        <f t="shared" si="33"/>
        <v>#N/A</v>
      </c>
      <c r="AO176" s="16" t="str">
        <f t="shared" si="34"/>
        <v/>
      </c>
      <c r="AP176" s="16" t="str">
        <f t="shared" si="35"/>
        <v/>
      </c>
      <c r="AQ176" s="16" t="e">
        <f>IF(AP176="",NA(),COUNTIF(AP176:$AP$176,AP176))</f>
        <v>#N/A</v>
      </c>
      <c r="AR176" s="16" t="e">
        <f t="shared" si="36"/>
        <v>#N/A</v>
      </c>
      <c r="BI176" s="621">
        <v>168</v>
      </c>
      <c r="BJ176" s="711"/>
      <c r="BK176" s="712"/>
      <c r="BL176" s="713">
        <v>168</v>
      </c>
      <c r="BM176" s="714"/>
      <c r="BN176" s="239"/>
      <c r="BO176" s="24"/>
      <c r="BQ176" s="621">
        <v>168</v>
      </c>
      <c r="BR176" s="711"/>
      <c r="BS176" s="712"/>
      <c r="BT176" s="713">
        <v>168</v>
      </c>
      <c r="BU176" s="714"/>
      <c r="BV176" s="239"/>
      <c r="BW176" s="24"/>
      <c r="BY176" s="621">
        <v>168</v>
      </c>
      <c r="BZ176" s="711"/>
      <c r="CA176" s="712"/>
      <c r="CB176" s="713">
        <v>168</v>
      </c>
      <c r="CC176" s="714"/>
      <c r="CD176" s="239"/>
      <c r="CE176" s="24"/>
    </row>
    <row r="177" spans="5:83" ht="12" customHeight="1">
      <c r="E177" s="621">
        <v>169</v>
      </c>
      <c r="F177" s="711"/>
      <c r="G177" s="712"/>
      <c r="H177" s="713">
        <v>169</v>
      </c>
      <c r="I177" s="714"/>
      <c r="J177" s="239"/>
      <c r="K177" s="24"/>
      <c r="AI177" s="16" t="e">
        <f t="shared" si="29"/>
        <v>#N/A</v>
      </c>
      <c r="AJ177" s="16" t="str">
        <f t="shared" si="30"/>
        <v/>
      </c>
      <c r="AK177" s="16" t="str">
        <f t="shared" si="31"/>
        <v/>
      </c>
      <c r="AL177" s="16" t="e">
        <f>IF(AK177="",NA(),COUNTIF(AK$176:$AK177,AK177))</f>
        <v>#N/A</v>
      </c>
      <c r="AM177" s="16" t="e">
        <f t="shared" si="32"/>
        <v>#N/A</v>
      </c>
      <c r="AN177" s="16" t="e">
        <f t="shared" si="33"/>
        <v>#N/A</v>
      </c>
      <c r="AO177" s="16" t="str">
        <f t="shared" si="34"/>
        <v/>
      </c>
      <c r="AP177" s="16" t="str">
        <f t="shared" si="35"/>
        <v/>
      </c>
      <c r="AQ177" s="16" t="e">
        <f>IF(AP177="",NA(),COUNTIF(AP$176:$AP177,AP177))</f>
        <v>#N/A</v>
      </c>
      <c r="AR177" s="16" t="e">
        <f t="shared" si="36"/>
        <v>#N/A</v>
      </c>
      <c r="BI177" s="621">
        <v>169</v>
      </c>
      <c r="BJ177" s="711"/>
      <c r="BK177" s="712"/>
      <c r="BL177" s="713">
        <v>169</v>
      </c>
      <c r="BM177" s="714"/>
      <c r="BN177" s="239"/>
      <c r="BO177" s="24"/>
      <c r="BQ177" s="621">
        <v>169</v>
      </c>
      <c r="BR177" s="711"/>
      <c r="BS177" s="712"/>
      <c r="BT177" s="713">
        <v>169</v>
      </c>
      <c r="BU177" s="714"/>
      <c r="BV177" s="239"/>
      <c r="BW177" s="24"/>
      <c r="BY177" s="621">
        <v>169</v>
      </c>
      <c r="BZ177" s="711"/>
      <c r="CA177" s="712"/>
      <c r="CB177" s="713">
        <v>169</v>
      </c>
      <c r="CC177" s="714"/>
      <c r="CD177" s="239"/>
      <c r="CE177" s="24"/>
    </row>
    <row r="178" spans="5:83" ht="12" customHeight="1">
      <c r="E178" s="621">
        <v>170</v>
      </c>
      <c r="F178" s="711"/>
      <c r="G178" s="712"/>
      <c r="H178" s="713">
        <v>170</v>
      </c>
      <c r="I178" s="714"/>
      <c r="J178" s="239"/>
      <c r="K178" s="24"/>
      <c r="AI178" s="16" t="e">
        <f t="shared" si="29"/>
        <v>#N/A</v>
      </c>
      <c r="AJ178" s="16" t="str">
        <f t="shared" si="30"/>
        <v/>
      </c>
      <c r="AK178" s="16" t="str">
        <f t="shared" si="31"/>
        <v/>
      </c>
      <c r="AL178" s="16" t="e">
        <f>IF(AK178="",NA(),COUNTIF(AK$176:$AK178,AK178))</f>
        <v>#N/A</v>
      </c>
      <c r="AM178" s="16" t="e">
        <f t="shared" si="32"/>
        <v>#N/A</v>
      </c>
      <c r="AN178" s="16" t="e">
        <f t="shared" si="33"/>
        <v>#N/A</v>
      </c>
      <c r="AO178" s="16" t="str">
        <f t="shared" si="34"/>
        <v/>
      </c>
      <c r="AP178" s="16" t="str">
        <f t="shared" si="35"/>
        <v/>
      </c>
      <c r="AQ178" s="16" t="e">
        <f>IF(AP178="",NA(),COUNTIF(AP$176:$AP178,AP178))</f>
        <v>#N/A</v>
      </c>
      <c r="AR178" s="16" t="e">
        <f t="shared" si="36"/>
        <v>#N/A</v>
      </c>
      <c r="BI178" s="621">
        <v>170</v>
      </c>
      <c r="BJ178" s="711"/>
      <c r="BK178" s="712"/>
      <c r="BL178" s="713">
        <v>170</v>
      </c>
      <c r="BM178" s="714"/>
      <c r="BN178" s="239"/>
      <c r="BO178" s="24"/>
      <c r="BQ178" s="621">
        <v>170</v>
      </c>
      <c r="BR178" s="711"/>
      <c r="BS178" s="712"/>
      <c r="BT178" s="713">
        <v>170</v>
      </c>
      <c r="BU178" s="714"/>
      <c r="BV178" s="239"/>
      <c r="BW178" s="24"/>
      <c r="BY178" s="621">
        <v>170</v>
      </c>
      <c r="BZ178" s="711"/>
      <c r="CA178" s="712"/>
      <c r="CB178" s="713">
        <v>170</v>
      </c>
      <c r="CC178" s="714"/>
      <c r="CD178" s="239"/>
      <c r="CE178" s="24"/>
    </row>
    <row r="179" spans="5:83" ht="12" customHeight="1">
      <c r="E179" s="621">
        <v>171</v>
      </c>
      <c r="F179" s="711"/>
      <c r="G179" s="712"/>
      <c r="H179" s="713">
        <v>171</v>
      </c>
      <c r="I179" s="714"/>
      <c r="J179" s="239"/>
      <c r="K179" s="24"/>
      <c r="AI179" s="16" t="e">
        <f t="shared" si="29"/>
        <v>#N/A</v>
      </c>
      <c r="AJ179" s="16" t="str">
        <f t="shared" si="30"/>
        <v/>
      </c>
      <c r="AK179" s="16" t="str">
        <f t="shared" si="31"/>
        <v/>
      </c>
      <c r="AL179" s="16" t="e">
        <f>IF(AK179="",NA(),COUNTIF(AK$176:$AK179,AK179))</f>
        <v>#N/A</v>
      </c>
      <c r="AM179" s="16" t="e">
        <f t="shared" si="32"/>
        <v>#N/A</v>
      </c>
      <c r="AN179" s="16" t="e">
        <f t="shared" si="33"/>
        <v>#N/A</v>
      </c>
      <c r="AO179" s="16" t="str">
        <f t="shared" si="34"/>
        <v/>
      </c>
      <c r="AP179" s="16" t="str">
        <f t="shared" si="35"/>
        <v/>
      </c>
      <c r="AQ179" s="16" t="e">
        <f>IF(AP179="",NA(),COUNTIF(AP$176:$AP179,AP179))</f>
        <v>#N/A</v>
      </c>
      <c r="AR179" s="16" t="e">
        <f t="shared" si="36"/>
        <v>#N/A</v>
      </c>
      <c r="BI179" s="621">
        <v>171</v>
      </c>
      <c r="BJ179" s="711"/>
      <c r="BK179" s="712"/>
      <c r="BL179" s="713">
        <v>171</v>
      </c>
      <c r="BM179" s="714"/>
      <c r="BN179" s="239"/>
      <c r="BO179" s="24"/>
      <c r="BQ179" s="621">
        <v>171</v>
      </c>
      <c r="BR179" s="711"/>
      <c r="BS179" s="712"/>
      <c r="BT179" s="713">
        <v>171</v>
      </c>
      <c r="BU179" s="714"/>
      <c r="BV179" s="239"/>
      <c r="BW179" s="24"/>
      <c r="BY179" s="621">
        <v>171</v>
      </c>
      <c r="BZ179" s="711"/>
      <c r="CA179" s="712"/>
      <c r="CB179" s="713">
        <v>171</v>
      </c>
      <c r="CC179" s="714"/>
      <c r="CD179" s="239"/>
      <c r="CE179" s="24"/>
    </row>
    <row r="180" spans="5:83" ht="12" customHeight="1">
      <c r="E180" s="621">
        <v>172</v>
      </c>
      <c r="F180" s="711"/>
      <c r="G180" s="712"/>
      <c r="H180" s="713">
        <v>172</v>
      </c>
      <c r="I180" s="714"/>
      <c r="J180" s="239"/>
      <c r="K180" s="24"/>
      <c r="AI180" s="16" t="e">
        <f t="shared" si="29"/>
        <v>#N/A</v>
      </c>
      <c r="AJ180" s="16" t="str">
        <f t="shared" si="30"/>
        <v/>
      </c>
      <c r="AK180" s="16" t="str">
        <f t="shared" si="31"/>
        <v/>
      </c>
      <c r="AL180" s="16" t="e">
        <f>IF(AK180="",NA(),COUNTIF(AK$176:$AK180,AK180))</f>
        <v>#N/A</v>
      </c>
      <c r="AM180" s="16" t="e">
        <f t="shared" si="32"/>
        <v>#N/A</v>
      </c>
      <c r="AN180" s="16" t="e">
        <f t="shared" si="33"/>
        <v>#N/A</v>
      </c>
      <c r="AO180" s="16" t="str">
        <f t="shared" si="34"/>
        <v/>
      </c>
      <c r="AP180" s="16" t="str">
        <f t="shared" si="35"/>
        <v/>
      </c>
      <c r="AQ180" s="16" t="e">
        <f>IF(AP180="",NA(),COUNTIF(AP$176:$AP180,AP180))</f>
        <v>#N/A</v>
      </c>
      <c r="AR180" s="16" t="e">
        <f t="shared" si="36"/>
        <v>#N/A</v>
      </c>
      <c r="BI180" s="621">
        <v>172</v>
      </c>
      <c r="BJ180" s="711"/>
      <c r="BK180" s="712"/>
      <c r="BL180" s="713">
        <v>172</v>
      </c>
      <c r="BM180" s="714"/>
      <c r="BN180" s="239"/>
      <c r="BO180" s="24"/>
      <c r="BQ180" s="621">
        <v>172</v>
      </c>
      <c r="BR180" s="711"/>
      <c r="BS180" s="712"/>
      <c r="BT180" s="713">
        <v>172</v>
      </c>
      <c r="BU180" s="714"/>
      <c r="BV180" s="239"/>
      <c r="BW180" s="24"/>
      <c r="BY180" s="621">
        <v>172</v>
      </c>
      <c r="BZ180" s="711"/>
      <c r="CA180" s="712"/>
      <c r="CB180" s="713">
        <v>172</v>
      </c>
      <c r="CC180" s="714"/>
      <c r="CD180" s="239"/>
      <c r="CE180" s="24"/>
    </row>
    <row r="181" spans="5:83" ht="12" customHeight="1">
      <c r="E181" s="621">
        <v>173</v>
      </c>
      <c r="F181" s="711"/>
      <c r="G181" s="712"/>
      <c r="H181" s="713">
        <v>173</v>
      </c>
      <c r="I181" s="714"/>
      <c r="J181" s="239"/>
      <c r="K181" s="24"/>
      <c r="AI181" s="16" t="e">
        <f t="shared" si="29"/>
        <v>#N/A</v>
      </c>
      <c r="AJ181" s="16" t="str">
        <f t="shared" si="30"/>
        <v/>
      </c>
      <c r="AK181" s="16" t="str">
        <f t="shared" si="31"/>
        <v/>
      </c>
      <c r="AL181" s="16" t="e">
        <f>IF(AK181="",NA(),COUNTIF(AK$176:$AK181,AK181))</f>
        <v>#N/A</v>
      </c>
      <c r="AM181" s="16" t="e">
        <f t="shared" si="32"/>
        <v>#N/A</v>
      </c>
      <c r="AN181" s="16" t="e">
        <f t="shared" si="33"/>
        <v>#N/A</v>
      </c>
      <c r="AO181" s="16" t="str">
        <f t="shared" si="34"/>
        <v/>
      </c>
      <c r="AP181" s="16" t="str">
        <f t="shared" si="35"/>
        <v/>
      </c>
      <c r="AQ181" s="16" t="e">
        <f>IF(AP181="",NA(),COUNTIF(AP$176:$AP181,AP181))</f>
        <v>#N/A</v>
      </c>
      <c r="AR181" s="16" t="e">
        <f t="shared" si="36"/>
        <v>#N/A</v>
      </c>
      <c r="BI181" s="621">
        <v>173</v>
      </c>
      <c r="BJ181" s="711"/>
      <c r="BK181" s="712"/>
      <c r="BL181" s="713">
        <v>173</v>
      </c>
      <c r="BM181" s="714"/>
      <c r="BN181" s="239"/>
      <c r="BO181" s="24"/>
      <c r="BQ181" s="621">
        <v>173</v>
      </c>
      <c r="BR181" s="711"/>
      <c r="BS181" s="712"/>
      <c r="BT181" s="713">
        <v>173</v>
      </c>
      <c r="BU181" s="714"/>
      <c r="BV181" s="239"/>
      <c r="BW181" s="24"/>
      <c r="BY181" s="621">
        <v>173</v>
      </c>
      <c r="BZ181" s="711"/>
      <c r="CA181" s="712"/>
      <c r="CB181" s="713">
        <v>173</v>
      </c>
      <c r="CC181" s="714"/>
      <c r="CD181" s="239"/>
      <c r="CE181" s="24"/>
    </row>
    <row r="182" spans="5:83" ht="12" customHeight="1">
      <c r="E182" s="621">
        <v>174</v>
      </c>
      <c r="F182" s="711"/>
      <c r="G182" s="712"/>
      <c r="H182" s="713">
        <v>174</v>
      </c>
      <c r="I182" s="714"/>
      <c r="J182" s="239"/>
      <c r="K182" s="24"/>
      <c r="AI182" s="16" t="e">
        <f t="shared" si="29"/>
        <v>#N/A</v>
      </c>
      <c r="AJ182" s="16" t="str">
        <f t="shared" si="30"/>
        <v/>
      </c>
      <c r="AK182" s="16" t="str">
        <f t="shared" si="31"/>
        <v/>
      </c>
      <c r="AL182" s="16" t="e">
        <f>IF(AK182="",NA(),COUNTIF(AK$176:$AK182,AK182))</f>
        <v>#N/A</v>
      </c>
      <c r="AM182" s="16" t="e">
        <f t="shared" si="32"/>
        <v>#N/A</v>
      </c>
      <c r="AN182" s="16" t="e">
        <f t="shared" si="33"/>
        <v>#N/A</v>
      </c>
      <c r="AO182" s="16" t="str">
        <f t="shared" si="34"/>
        <v/>
      </c>
      <c r="AP182" s="16" t="str">
        <f t="shared" si="35"/>
        <v/>
      </c>
      <c r="AQ182" s="16" t="e">
        <f>IF(AP182="",NA(),COUNTIF(AP$176:$AP182,AP182))</f>
        <v>#N/A</v>
      </c>
      <c r="AR182" s="16" t="e">
        <f t="shared" si="36"/>
        <v>#N/A</v>
      </c>
      <c r="BI182" s="621">
        <v>174</v>
      </c>
      <c r="BJ182" s="711"/>
      <c r="BK182" s="712"/>
      <c r="BL182" s="713">
        <v>174</v>
      </c>
      <c r="BM182" s="714"/>
      <c r="BN182" s="239"/>
      <c r="BO182" s="24"/>
      <c r="BQ182" s="621">
        <v>174</v>
      </c>
      <c r="BR182" s="711"/>
      <c r="BS182" s="712"/>
      <c r="BT182" s="713">
        <v>174</v>
      </c>
      <c r="BU182" s="714"/>
      <c r="BV182" s="239"/>
      <c r="BW182" s="24"/>
      <c r="BY182" s="621">
        <v>174</v>
      </c>
      <c r="BZ182" s="711"/>
      <c r="CA182" s="712"/>
      <c r="CB182" s="713">
        <v>174</v>
      </c>
      <c r="CC182" s="714"/>
      <c r="CD182" s="239"/>
      <c r="CE182" s="24"/>
    </row>
    <row r="183" spans="5:83" ht="12" customHeight="1">
      <c r="E183" s="621">
        <v>175</v>
      </c>
      <c r="F183" s="711"/>
      <c r="G183" s="712"/>
      <c r="H183" s="713">
        <v>175</v>
      </c>
      <c r="I183" s="714"/>
      <c r="J183" s="239"/>
      <c r="K183" s="24"/>
      <c r="AI183" s="16" t="e">
        <f t="shared" si="29"/>
        <v>#N/A</v>
      </c>
      <c r="AJ183" s="16" t="str">
        <f t="shared" si="30"/>
        <v/>
      </c>
      <c r="AK183" s="16" t="str">
        <f t="shared" si="31"/>
        <v/>
      </c>
      <c r="AL183" s="16" t="e">
        <f>IF(AK183="",NA(),COUNTIF(AK$176:$AK183,AK183))</f>
        <v>#N/A</v>
      </c>
      <c r="AM183" s="16" t="e">
        <f t="shared" si="32"/>
        <v>#N/A</v>
      </c>
      <c r="AN183" s="16" t="e">
        <f t="shared" si="33"/>
        <v>#N/A</v>
      </c>
      <c r="AO183" s="16" t="str">
        <f t="shared" si="34"/>
        <v/>
      </c>
      <c r="AP183" s="16" t="str">
        <f t="shared" si="35"/>
        <v/>
      </c>
      <c r="AQ183" s="16" t="e">
        <f>IF(AP183="",NA(),COUNTIF(AP$176:$AP183,AP183))</f>
        <v>#N/A</v>
      </c>
      <c r="AR183" s="16" t="e">
        <f t="shared" si="36"/>
        <v>#N/A</v>
      </c>
      <c r="BI183" s="621">
        <v>175</v>
      </c>
      <c r="BJ183" s="711"/>
      <c r="BK183" s="712"/>
      <c r="BL183" s="713">
        <v>175</v>
      </c>
      <c r="BM183" s="714"/>
      <c r="BN183" s="239"/>
      <c r="BO183" s="24"/>
      <c r="BQ183" s="621">
        <v>175</v>
      </c>
      <c r="BR183" s="711"/>
      <c r="BS183" s="712"/>
      <c r="BT183" s="713">
        <v>175</v>
      </c>
      <c r="BU183" s="714"/>
      <c r="BV183" s="239"/>
      <c r="BW183" s="24"/>
      <c r="BY183" s="621">
        <v>175</v>
      </c>
      <c r="BZ183" s="711"/>
      <c r="CA183" s="712"/>
      <c r="CB183" s="713">
        <v>175</v>
      </c>
      <c r="CC183" s="714"/>
      <c r="CD183" s="239"/>
      <c r="CE183" s="24"/>
    </row>
    <row r="184" spans="5:83" ht="12" customHeight="1">
      <c r="E184" s="621">
        <v>176</v>
      </c>
      <c r="F184" s="711"/>
      <c r="G184" s="712"/>
      <c r="H184" s="713">
        <v>176</v>
      </c>
      <c r="I184" s="714"/>
      <c r="J184" s="239"/>
      <c r="K184" s="24"/>
      <c r="AI184" s="16" t="e">
        <f t="shared" si="29"/>
        <v>#N/A</v>
      </c>
      <c r="AJ184" s="16" t="str">
        <f t="shared" si="30"/>
        <v/>
      </c>
      <c r="AK184" s="16" t="str">
        <f t="shared" si="31"/>
        <v/>
      </c>
      <c r="AL184" s="16" t="e">
        <f>IF(AK184="",NA(),COUNTIF(AK$176:$AK184,AK184))</f>
        <v>#N/A</v>
      </c>
      <c r="AM184" s="16" t="e">
        <f t="shared" si="32"/>
        <v>#N/A</v>
      </c>
      <c r="AN184" s="16" t="e">
        <f t="shared" si="33"/>
        <v>#N/A</v>
      </c>
      <c r="AO184" s="16" t="str">
        <f t="shared" si="34"/>
        <v/>
      </c>
      <c r="AP184" s="16" t="str">
        <f t="shared" si="35"/>
        <v/>
      </c>
      <c r="AQ184" s="16" t="e">
        <f>IF(AP184="",NA(),COUNTIF(AP$176:$AP184,AP184))</f>
        <v>#N/A</v>
      </c>
      <c r="AR184" s="16" t="e">
        <f t="shared" si="36"/>
        <v>#N/A</v>
      </c>
      <c r="BI184" s="621">
        <v>176</v>
      </c>
      <c r="BJ184" s="711"/>
      <c r="BK184" s="712"/>
      <c r="BL184" s="713">
        <v>176</v>
      </c>
      <c r="BM184" s="714"/>
      <c r="BN184" s="239"/>
      <c r="BO184" s="24"/>
      <c r="BQ184" s="621">
        <v>176</v>
      </c>
      <c r="BR184" s="711"/>
      <c r="BS184" s="712"/>
      <c r="BT184" s="713">
        <v>176</v>
      </c>
      <c r="BU184" s="714"/>
      <c r="BV184" s="239"/>
      <c r="BW184" s="24"/>
      <c r="BY184" s="621">
        <v>176</v>
      </c>
      <c r="BZ184" s="711"/>
      <c r="CA184" s="712"/>
      <c r="CB184" s="713">
        <v>176</v>
      </c>
      <c r="CC184" s="714"/>
      <c r="CD184" s="239"/>
      <c r="CE184" s="24"/>
    </row>
    <row r="185" spans="5:83" ht="12" customHeight="1">
      <c r="E185" s="621">
        <v>177</v>
      </c>
      <c r="F185" s="711"/>
      <c r="G185" s="712"/>
      <c r="H185" s="713">
        <v>177</v>
      </c>
      <c r="I185" s="714"/>
      <c r="J185" s="239"/>
      <c r="K185" s="24"/>
      <c r="AI185" s="16" t="e">
        <f t="shared" si="29"/>
        <v>#N/A</v>
      </c>
      <c r="AJ185" s="16" t="str">
        <f t="shared" si="30"/>
        <v/>
      </c>
      <c r="AK185" s="16" t="str">
        <f t="shared" si="31"/>
        <v/>
      </c>
      <c r="AL185" s="16" t="e">
        <f>IF(AK185="",NA(),COUNTIF(AK$176:$AK185,AK185))</f>
        <v>#N/A</v>
      </c>
      <c r="AM185" s="16" t="e">
        <f t="shared" si="32"/>
        <v>#N/A</v>
      </c>
      <c r="AN185" s="16" t="e">
        <f t="shared" si="33"/>
        <v>#N/A</v>
      </c>
      <c r="AO185" s="16" t="str">
        <f t="shared" si="34"/>
        <v/>
      </c>
      <c r="AP185" s="16" t="str">
        <f t="shared" si="35"/>
        <v/>
      </c>
      <c r="AQ185" s="16" t="e">
        <f>IF(AP185="",NA(),COUNTIF(AP$176:$AP185,AP185))</f>
        <v>#N/A</v>
      </c>
      <c r="AR185" s="16" t="e">
        <f t="shared" si="36"/>
        <v>#N/A</v>
      </c>
      <c r="BI185" s="621">
        <v>177</v>
      </c>
      <c r="BJ185" s="711"/>
      <c r="BK185" s="712"/>
      <c r="BL185" s="713">
        <v>177</v>
      </c>
      <c r="BM185" s="714"/>
      <c r="BN185" s="239"/>
      <c r="BO185" s="24"/>
      <c r="BQ185" s="621">
        <v>177</v>
      </c>
      <c r="BR185" s="711"/>
      <c r="BS185" s="712"/>
      <c r="BT185" s="713">
        <v>177</v>
      </c>
      <c r="BU185" s="714"/>
      <c r="BV185" s="239"/>
      <c r="BW185" s="24"/>
      <c r="BY185" s="621">
        <v>177</v>
      </c>
      <c r="BZ185" s="711"/>
      <c r="CA185" s="712"/>
      <c r="CB185" s="713">
        <v>177</v>
      </c>
      <c r="CC185" s="714"/>
      <c r="CD185" s="239"/>
      <c r="CE185" s="24"/>
    </row>
    <row r="186" spans="5:83" ht="12" customHeight="1">
      <c r="E186" s="621">
        <v>178</v>
      </c>
      <c r="F186" s="711"/>
      <c r="G186" s="712"/>
      <c r="H186" s="713">
        <v>178</v>
      </c>
      <c r="I186" s="714"/>
      <c r="J186" s="239"/>
      <c r="K186" s="24"/>
      <c r="AI186" s="16" t="e">
        <f t="shared" si="29"/>
        <v>#N/A</v>
      </c>
      <c r="AJ186" s="16" t="str">
        <f t="shared" si="30"/>
        <v/>
      </c>
      <c r="AK186" s="16" t="str">
        <f t="shared" si="31"/>
        <v/>
      </c>
      <c r="AL186" s="16" t="e">
        <f>IF(AK186="",NA(),COUNTIF(AK$176:$AK186,AK186))</f>
        <v>#N/A</v>
      </c>
      <c r="AM186" s="16" t="e">
        <f t="shared" si="32"/>
        <v>#N/A</v>
      </c>
      <c r="AN186" s="16" t="e">
        <f t="shared" si="33"/>
        <v>#N/A</v>
      </c>
      <c r="AO186" s="16" t="str">
        <f t="shared" si="34"/>
        <v/>
      </c>
      <c r="AP186" s="16" t="str">
        <f t="shared" si="35"/>
        <v/>
      </c>
      <c r="AQ186" s="16" t="e">
        <f>IF(AP186="",NA(),COUNTIF(AP$176:$AP186,AP186))</f>
        <v>#N/A</v>
      </c>
      <c r="AR186" s="16" t="e">
        <f t="shared" si="36"/>
        <v>#N/A</v>
      </c>
      <c r="BI186" s="621">
        <v>178</v>
      </c>
      <c r="BJ186" s="711"/>
      <c r="BK186" s="712"/>
      <c r="BL186" s="713">
        <v>178</v>
      </c>
      <c r="BM186" s="714"/>
      <c r="BN186" s="239"/>
      <c r="BO186" s="24"/>
      <c r="BQ186" s="621">
        <v>178</v>
      </c>
      <c r="BR186" s="711"/>
      <c r="BS186" s="712"/>
      <c r="BT186" s="713">
        <v>178</v>
      </c>
      <c r="BU186" s="714"/>
      <c r="BV186" s="239"/>
      <c r="BW186" s="24"/>
      <c r="BY186" s="621">
        <v>178</v>
      </c>
      <c r="BZ186" s="711"/>
      <c r="CA186" s="712"/>
      <c r="CB186" s="713">
        <v>178</v>
      </c>
      <c r="CC186" s="714"/>
      <c r="CD186" s="239"/>
      <c r="CE186" s="24"/>
    </row>
    <row r="187" spans="5:83" ht="12" customHeight="1">
      <c r="E187" s="621">
        <v>179</v>
      </c>
      <c r="F187" s="711"/>
      <c r="G187" s="712"/>
      <c r="H187" s="713">
        <v>179</v>
      </c>
      <c r="I187" s="714"/>
      <c r="J187" s="239"/>
      <c r="K187" s="24"/>
      <c r="AI187" s="16" t="e">
        <f t="shared" si="29"/>
        <v>#N/A</v>
      </c>
      <c r="AJ187" s="16" t="str">
        <f t="shared" si="30"/>
        <v/>
      </c>
      <c r="AK187" s="16" t="str">
        <f t="shared" si="31"/>
        <v/>
      </c>
      <c r="AL187" s="16" t="e">
        <f>IF(AK187="",NA(),COUNTIF(AK$176:$AK187,AK187))</f>
        <v>#N/A</v>
      </c>
      <c r="AM187" s="16" t="e">
        <f t="shared" si="32"/>
        <v>#N/A</v>
      </c>
      <c r="AN187" s="16" t="e">
        <f t="shared" si="33"/>
        <v>#N/A</v>
      </c>
      <c r="AO187" s="16" t="str">
        <f t="shared" si="34"/>
        <v/>
      </c>
      <c r="AP187" s="16" t="str">
        <f t="shared" si="35"/>
        <v/>
      </c>
      <c r="AQ187" s="16" t="e">
        <f>IF(AP187="",NA(),COUNTIF(AP$176:$AP187,AP187))</f>
        <v>#N/A</v>
      </c>
      <c r="AR187" s="16" t="e">
        <f t="shared" si="36"/>
        <v>#N/A</v>
      </c>
      <c r="BI187" s="621">
        <v>179</v>
      </c>
      <c r="BJ187" s="711"/>
      <c r="BK187" s="712"/>
      <c r="BL187" s="713">
        <v>179</v>
      </c>
      <c r="BM187" s="714"/>
      <c r="BN187" s="239"/>
      <c r="BO187" s="24"/>
      <c r="BQ187" s="621">
        <v>179</v>
      </c>
      <c r="BR187" s="711"/>
      <c r="BS187" s="712"/>
      <c r="BT187" s="713">
        <v>179</v>
      </c>
      <c r="BU187" s="714"/>
      <c r="BV187" s="239"/>
      <c r="BW187" s="24"/>
      <c r="BY187" s="621">
        <v>179</v>
      </c>
      <c r="BZ187" s="711"/>
      <c r="CA187" s="712"/>
      <c r="CB187" s="713">
        <v>179</v>
      </c>
      <c r="CC187" s="714"/>
      <c r="CD187" s="239"/>
      <c r="CE187" s="24"/>
    </row>
    <row r="188" spans="5:83" ht="12" customHeight="1">
      <c r="E188" s="621">
        <v>180</v>
      </c>
      <c r="F188" s="711"/>
      <c r="G188" s="712"/>
      <c r="H188" s="713">
        <v>180</v>
      </c>
      <c r="I188" s="714"/>
      <c r="J188" s="239"/>
      <c r="K188" s="24"/>
      <c r="AI188" s="16" t="e">
        <f t="shared" si="29"/>
        <v>#N/A</v>
      </c>
      <c r="AJ188" s="16" t="str">
        <f t="shared" si="30"/>
        <v/>
      </c>
      <c r="AK188" s="16" t="str">
        <f t="shared" si="31"/>
        <v/>
      </c>
      <c r="AL188" s="16" t="e">
        <f>IF(AK188="",NA(),COUNTIF(AK$176:$AK188,AK188))</f>
        <v>#N/A</v>
      </c>
      <c r="AM188" s="16" t="e">
        <f t="shared" si="32"/>
        <v>#N/A</v>
      </c>
      <c r="AN188" s="16" t="e">
        <f t="shared" si="33"/>
        <v>#N/A</v>
      </c>
      <c r="AO188" s="16" t="str">
        <f t="shared" si="34"/>
        <v/>
      </c>
      <c r="AP188" s="16" t="str">
        <f t="shared" si="35"/>
        <v/>
      </c>
      <c r="AQ188" s="16" t="e">
        <f>IF(AP188="",NA(),COUNTIF(AP$176:$AP188,AP188))</f>
        <v>#N/A</v>
      </c>
      <c r="AR188" s="16" t="e">
        <f t="shared" si="36"/>
        <v>#N/A</v>
      </c>
      <c r="BI188" s="621">
        <v>180</v>
      </c>
      <c r="BJ188" s="711"/>
      <c r="BK188" s="712"/>
      <c r="BL188" s="713">
        <v>180</v>
      </c>
      <c r="BM188" s="714"/>
      <c r="BN188" s="239"/>
      <c r="BO188" s="24"/>
      <c r="BQ188" s="621">
        <v>180</v>
      </c>
      <c r="BR188" s="711"/>
      <c r="BS188" s="712"/>
      <c r="BT188" s="713">
        <v>180</v>
      </c>
      <c r="BU188" s="714"/>
      <c r="BV188" s="239"/>
      <c r="BW188" s="24"/>
      <c r="BY188" s="621">
        <v>180</v>
      </c>
      <c r="BZ188" s="711"/>
      <c r="CA188" s="712"/>
      <c r="CB188" s="713">
        <v>180</v>
      </c>
      <c r="CC188" s="714"/>
      <c r="CD188" s="239"/>
      <c r="CE188" s="24"/>
    </row>
    <row r="189" spans="5:83" ht="12" customHeight="1">
      <c r="E189" s="621">
        <v>181</v>
      </c>
      <c r="F189" s="711"/>
      <c r="G189" s="712"/>
      <c r="H189" s="713">
        <v>181</v>
      </c>
      <c r="I189" s="714"/>
      <c r="J189" s="239"/>
      <c r="K189" s="24"/>
      <c r="AI189" s="16" t="e">
        <f t="shared" si="29"/>
        <v>#N/A</v>
      </c>
      <c r="AJ189" s="16" t="str">
        <f t="shared" si="30"/>
        <v/>
      </c>
      <c r="AK189" s="16" t="str">
        <f t="shared" si="31"/>
        <v/>
      </c>
      <c r="AL189" s="16" t="e">
        <f>IF(AK189="",NA(),COUNTIF(AK$176:$AK189,AK189))</f>
        <v>#N/A</v>
      </c>
      <c r="AM189" s="16" t="e">
        <f t="shared" si="32"/>
        <v>#N/A</v>
      </c>
      <c r="AN189" s="16" t="e">
        <f t="shared" si="33"/>
        <v>#N/A</v>
      </c>
      <c r="AO189" s="16" t="str">
        <f t="shared" si="34"/>
        <v/>
      </c>
      <c r="AP189" s="16" t="str">
        <f t="shared" si="35"/>
        <v/>
      </c>
      <c r="AQ189" s="16" t="e">
        <f>IF(AP189="",NA(),COUNTIF(AP$176:$AP189,AP189))</f>
        <v>#N/A</v>
      </c>
      <c r="AR189" s="16" t="e">
        <f t="shared" si="36"/>
        <v>#N/A</v>
      </c>
      <c r="BI189" s="621">
        <v>181</v>
      </c>
      <c r="BJ189" s="711"/>
      <c r="BK189" s="712"/>
      <c r="BL189" s="713">
        <v>181</v>
      </c>
      <c r="BM189" s="714"/>
      <c r="BN189" s="239"/>
      <c r="BO189" s="24"/>
      <c r="BQ189" s="621">
        <v>181</v>
      </c>
      <c r="BR189" s="711"/>
      <c r="BS189" s="712"/>
      <c r="BT189" s="713">
        <v>181</v>
      </c>
      <c r="BU189" s="714"/>
      <c r="BV189" s="239"/>
      <c r="BW189" s="24"/>
      <c r="BY189" s="621">
        <v>181</v>
      </c>
      <c r="BZ189" s="711"/>
      <c r="CA189" s="712"/>
      <c r="CB189" s="713">
        <v>181</v>
      </c>
      <c r="CC189" s="714"/>
      <c r="CD189" s="239"/>
      <c r="CE189" s="24"/>
    </row>
    <row r="190" spans="5:83" ht="12" customHeight="1">
      <c r="E190" s="621">
        <v>182</v>
      </c>
      <c r="F190" s="711"/>
      <c r="G190" s="712"/>
      <c r="H190" s="713">
        <v>182</v>
      </c>
      <c r="I190" s="714"/>
      <c r="J190" s="239"/>
      <c r="K190" s="24"/>
      <c r="AI190" s="16" t="e">
        <f t="shared" si="29"/>
        <v>#N/A</v>
      </c>
      <c r="AJ190" s="16" t="str">
        <f t="shared" si="30"/>
        <v/>
      </c>
      <c r="AK190" s="16" t="str">
        <f t="shared" si="31"/>
        <v/>
      </c>
      <c r="AL190" s="16" t="e">
        <f>IF(AK190="",NA(),COUNTIF(AK$176:$AK190,AK190))</f>
        <v>#N/A</v>
      </c>
      <c r="AM190" s="16" t="e">
        <f t="shared" si="32"/>
        <v>#N/A</v>
      </c>
      <c r="AN190" s="16" t="e">
        <f t="shared" si="33"/>
        <v>#N/A</v>
      </c>
      <c r="AO190" s="16" t="str">
        <f t="shared" si="34"/>
        <v/>
      </c>
      <c r="AP190" s="16" t="str">
        <f t="shared" si="35"/>
        <v/>
      </c>
      <c r="AQ190" s="16" t="e">
        <f>IF(AP190="",NA(),COUNTIF(AP$176:$AP190,AP190))</f>
        <v>#N/A</v>
      </c>
      <c r="AR190" s="16" t="e">
        <f t="shared" si="36"/>
        <v>#N/A</v>
      </c>
      <c r="BI190" s="621">
        <v>182</v>
      </c>
      <c r="BJ190" s="711"/>
      <c r="BK190" s="712"/>
      <c r="BL190" s="713">
        <v>182</v>
      </c>
      <c r="BM190" s="714"/>
      <c r="BN190" s="239"/>
      <c r="BO190" s="24"/>
      <c r="BQ190" s="621">
        <v>182</v>
      </c>
      <c r="BR190" s="711"/>
      <c r="BS190" s="712"/>
      <c r="BT190" s="713">
        <v>182</v>
      </c>
      <c r="BU190" s="714"/>
      <c r="BV190" s="239"/>
      <c r="BW190" s="24"/>
      <c r="BY190" s="621">
        <v>182</v>
      </c>
      <c r="BZ190" s="711"/>
      <c r="CA190" s="712"/>
      <c r="CB190" s="713">
        <v>182</v>
      </c>
      <c r="CC190" s="714"/>
      <c r="CD190" s="239"/>
      <c r="CE190" s="24"/>
    </row>
    <row r="191" spans="5:83" ht="12" customHeight="1">
      <c r="E191" s="621">
        <v>183</v>
      </c>
      <c r="F191" s="711"/>
      <c r="G191" s="712"/>
      <c r="H191" s="713">
        <v>183</v>
      </c>
      <c r="I191" s="714"/>
      <c r="J191" s="239"/>
      <c r="K191" s="24"/>
      <c r="AI191" s="16" t="e">
        <f t="shared" si="29"/>
        <v>#N/A</v>
      </c>
      <c r="AJ191" s="16" t="str">
        <f t="shared" si="30"/>
        <v/>
      </c>
      <c r="AK191" s="16" t="str">
        <f t="shared" si="31"/>
        <v/>
      </c>
      <c r="AL191" s="16" t="e">
        <f>IF(AK191="",NA(),COUNTIF(AK$176:$AK191,AK191))</f>
        <v>#N/A</v>
      </c>
      <c r="AM191" s="16" t="e">
        <f t="shared" si="32"/>
        <v>#N/A</v>
      </c>
      <c r="AN191" s="16" t="e">
        <f t="shared" si="33"/>
        <v>#N/A</v>
      </c>
      <c r="AO191" s="16" t="str">
        <f t="shared" si="34"/>
        <v/>
      </c>
      <c r="AP191" s="16" t="str">
        <f t="shared" si="35"/>
        <v/>
      </c>
      <c r="AQ191" s="16" t="e">
        <f>IF(AP191="",NA(),COUNTIF(AP$176:$AP191,AP191))</f>
        <v>#N/A</v>
      </c>
      <c r="AR191" s="16" t="e">
        <f t="shared" si="36"/>
        <v>#N/A</v>
      </c>
      <c r="BI191" s="621">
        <v>183</v>
      </c>
      <c r="BJ191" s="711"/>
      <c r="BK191" s="712"/>
      <c r="BL191" s="713">
        <v>183</v>
      </c>
      <c r="BM191" s="714"/>
      <c r="BN191" s="239"/>
      <c r="BO191" s="24"/>
      <c r="BQ191" s="621">
        <v>183</v>
      </c>
      <c r="BR191" s="711"/>
      <c r="BS191" s="712"/>
      <c r="BT191" s="713">
        <v>183</v>
      </c>
      <c r="BU191" s="714"/>
      <c r="BV191" s="239"/>
      <c r="BW191" s="24"/>
      <c r="BY191" s="621">
        <v>183</v>
      </c>
      <c r="BZ191" s="711"/>
      <c r="CA191" s="712"/>
      <c r="CB191" s="713">
        <v>183</v>
      </c>
      <c r="CC191" s="714"/>
      <c r="CD191" s="239"/>
      <c r="CE191" s="24"/>
    </row>
    <row r="192" spans="5:83" ht="12" customHeight="1">
      <c r="E192" s="621">
        <v>184</v>
      </c>
      <c r="F192" s="711"/>
      <c r="G192" s="712"/>
      <c r="H192" s="713">
        <v>184</v>
      </c>
      <c r="I192" s="714"/>
      <c r="J192" s="239"/>
      <c r="K192" s="24"/>
      <c r="AI192" s="16" t="e">
        <f t="shared" si="29"/>
        <v>#N/A</v>
      </c>
      <c r="AJ192" s="16" t="str">
        <f t="shared" si="30"/>
        <v/>
      </c>
      <c r="AK192" s="16" t="str">
        <f t="shared" si="31"/>
        <v/>
      </c>
      <c r="AL192" s="16" t="e">
        <f>IF(AK192="",NA(),COUNTIF(AK$176:$AK192,AK192))</f>
        <v>#N/A</v>
      </c>
      <c r="AM192" s="16" t="e">
        <f t="shared" si="32"/>
        <v>#N/A</v>
      </c>
      <c r="AN192" s="16" t="e">
        <f t="shared" si="33"/>
        <v>#N/A</v>
      </c>
      <c r="AO192" s="16" t="str">
        <f t="shared" si="34"/>
        <v/>
      </c>
      <c r="AP192" s="16" t="str">
        <f t="shared" si="35"/>
        <v/>
      </c>
      <c r="AQ192" s="16" t="e">
        <f>IF(AP192="",NA(),COUNTIF(AP$176:$AP192,AP192))</f>
        <v>#N/A</v>
      </c>
      <c r="AR192" s="16" t="e">
        <f t="shared" si="36"/>
        <v>#N/A</v>
      </c>
      <c r="BI192" s="621">
        <v>184</v>
      </c>
      <c r="BJ192" s="711"/>
      <c r="BK192" s="712"/>
      <c r="BL192" s="713">
        <v>184</v>
      </c>
      <c r="BM192" s="714"/>
      <c r="BN192" s="239"/>
      <c r="BO192" s="24"/>
      <c r="BQ192" s="621">
        <v>184</v>
      </c>
      <c r="BR192" s="711"/>
      <c r="BS192" s="712"/>
      <c r="BT192" s="713">
        <v>184</v>
      </c>
      <c r="BU192" s="714"/>
      <c r="BV192" s="239"/>
      <c r="BW192" s="24"/>
      <c r="BY192" s="621">
        <v>184</v>
      </c>
      <c r="BZ192" s="711"/>
      <c r="CA192" s="712"/>
      <c r="CB192" s="713">
        <v>184</v>
      </c>
      <c r="CC192" s="714"/>
      <c r="CD192" s="239"/>
      <c r="CE192" s="24"/>
    </row>
    <row r="193" spans="5:83" ht="12" customHeight="1">
      <c r="E193" s="621">
        <v>185</v>
      </c>
      <c r="F193" s="711"/>
      <c r="G193" s="712"/>
      <c r="H193" s="713">
        <v>185</v>
      </c>
      <c r="I193" s="714"/>
      <c r="J193" s="239"/>
      <c r="K193" s="24"/>
      <c r="AI193" s="16" t="e">
        <f t="shared" si="29"/>
        <v>#N/A</v>
      </c>
      <c r="AJ193" s="16" t="str">
        <f t="shared" si="30"/>
        <v/>
      </c>
      <c r="AK193" s="16" t="str">
        <f t="shared" si="31"/>
        <v/>
      </c>
      <c r="AL193" s="16" t="e">
        <f>IF(AK193="",NA(),COUNTIF(AK$176:$AK193,AK193))</f>
        <v>#N/A</v>
      </c>
      <c r="AM193" s="16" t="e">
        <f t="shared" si="32"/>
        <v>#N/A</v>
      </c>
      <c r="AN193" s="16" t="e">
        <f t="shared" si="33"/>
        <v>#N/A</v>
      </c>
      <c r="AO193" s="16" t="str">
        <f t="shared" si="34"/>
        <v/>
      </c>
      <c r="AP193" s="16" t="str">
        <f t="shared" si="35"/>
        <v/>
      </c>
      <c r="AQ193" s="16" t="e">
        <f>IF(AP193="",NA(),COUNTIF(AP$176:$AP193,AP193))</f>
        <v>#N/A</v>
      </c>
      <c r="AR193" s="16" t="e">
        <f t="shared" si="36"/>
        <v>#N/A</v>
      </c>
      <c r="BI193" s="621">
        <v>185</v>
      </c>
      <c r="BJ193" s="711"/>
      <c r="BK193" s="712"/>
      <c r="BL193" s="713">
        <v>185</v>
      </c>
      <c r="BM193" s="714"/>
      <c r="BN193" s="239"/>
      <c r="BO193" s="24"/>
      <c r="BQ193" s="621">
        <v>185</v>
      </c>
      <c r="BR193" s="711"/>
      <c r="BS193" s="712"/>
      <c r="BT193" s="713">
        <v>185</v>
      </c>
      <c r="BU193" s="714"/>
      <c r="BV193" s="239"/>
      <c r="BW193" s="24"/>
      <c r="BY193" s="621">
        <v>185</v>
      </c>
      <c r="BZ193" s="711"/>
      <c r="CA193" s="712"/>
      <c r="CB193" s="713">
        <v>185</v>
      </c>
      <c r="CC193" s="714"/>
      <c r="CD193" s="239"/>
      <c r="CE193" s="24"/>
    </row>
    <row r="194" spans="5:83" ht="12" customHeight="1">
      <c r="E194" s="621">
        <v>186</v>
      </c>
      <c r="F194" s="711"/>
      <c r="G194" s="712"/>
      <c r="H194" s="713">
        <v>186</v>
      </c>
      <c r="I194" s="714"/>
      <c r="J194" s="239"/>
      <c r="K194" s="24"/>
      <c r="AI194" s="16" t="e">
        <f t="shared" si="29"/>
        <v>#N/A</v>
      </c>
      <c r="AJ194" s="16" t="str">
        <f t="shared" si="30"/>
        <v/>
      </c>
      <c r="AK194" s="16" t="str">
        <f t="shared" si="31"/>
        <v/>
      </c>
      <c r="AL194" s="16" t="e">
        <f>IF(AK194="",NA(),COUNTIF(AK$176:$AK194,AK194))</f>
        <v>#N/A</v>
      </c>
      <c r="AM194" s="16" t="e">
        <f t="shared" si="32"/>
        <v>#N/A</v>
      </c>
      <c r="AN194" s="16" t="e">
        <f t="shared" si="33"/>
        <v>#N/A</v>
      </c>
      <c r="AO194" s="16" t="str">
        <f t="shared" si="34"/>
        <v/>
      </c>
      <c r="AP194" s="16" t="str">
        <f t="shared" si="35"/>
        <v/>
      </c>
      <c r="AQ194" s="16" t="e">
        <f>IF(AP194="",NA(),COUNTIF(AP$176:$AP194,AP194))</f>
        <v>#N/A</v>
      </c>
      <c r="AR194" s="16" t="e">
        <f t="shared" si="36"/>
        <v>#N/A</v>
      </c>
      <c r="BI194" s="621">
        <v>186</v>
      </c>
      <c r="BJ194" s="711"/>
      <c r="BK194" s="712"/>
      <c r="BL194" s="713">
        <v>186</v>
      </c>
      <c r="BM194" s="714"/>
      <c r="BN194" s="239"/>
      <c r="BO194" s="24"/>
      <c r="BQ194" s="621">
        <v>186</v>
      </c>
      <c r="BR194" s="711"/>
      <c r="BS194" s="712"/>
      <c r="BT194" s="713">
        <v>186</v>
      </c>
      <c r="BU194" s="714"/>
      <c r="BV194" s="239"/>
      <c r="BW194" s="24"/>
      <c r="BY194" s="621">
        <v>186</v>
      </c>
      <c r="BZ194" s="711"/>
      <c r="CA194" s="712"/>
      <c r="CB194" s="713">
        <v>186</v>
      </c>
      <c r="CC194" s="714"/>
      <c r="CD194" s="239"/>
      <c r="CE194" s="24"/>
    </row>
    <row r="195" spans="5:83" ht="12" customHeight="1">
      <c r="E195" s="621">
        <v>187</v>
      </c>
      <c r="F195" s="711"/>
      <c r="G195" s="712"/>
      <c r="H195" s="713">
        <v>187</v>
      </c>
      <c r="I195" s="714"/>
      <c r="J195" s="239"/>
      <c r="K195" s="24"/>
      <c r="AI195" s="16" t="e">
        <f t="shared" si="29"/>
        <v>#N/A</v>
      </c>
      <c r="AJ195" s="16" t="str">
        <f t="shared" si="30"/>
        <v/>
      </c>
      <c r="AK195" s="16" t="str">
        <f t="shared" si="31"/>
        <v/>
      </c>
      <c r="AL195" s="16" t="e">
        <f>IF(AK195="",NA(),COUNTIF(AK$176:$AK195,AK195))</f>
        <v>#N/A</v>
      </c>
      <c r="AM195" s="16" t="e">
        <f t="shared" si="32"/>
        <v>#N/A</v>
      </c>
      <c r="AN195" s="16" t="e">
        <f t="shared" si="33"/>
        <v>#N/A</v>
      </c>
      <c r="AO195" s="16" t="str">
        <f t="shared" si="34"/>
        <v/>
      </c>
      <c r="AP195" s="16" t="str">
        <f t="shared" si="35"/>
        <v/>
      </c>
      <c r="AQ195" s="16" t="e">
        <f>IF(AP195="",NA(),COUNTIF(AP$176:$AP195,AP195))</f>
        <v>#N/A</v>
      </c>
      <c r="AR195" s="16" t="e">
        <f t="shared" si="36"/>
        <v>#N/A</v>
      </c>
      <c r="BI195" s="621">
        <v>187</v>
      </c>
      <c r="BJ195" s="711"/>
      <c r="BK195" s="712"/>
      <c r="BL195" s="713">
        <v>187</v>
      </c>
      <c r="BM195" s="714"/>
      <c r="BN195" s="239"/>
      <c r="BO195" s="24"/>
      <c r="BQ195" s="621">
        <v>187</v>
      </c>
      <c r="BR195" s="711"/>
      <c r="BS195" s="712"/>
      <c r="BT195" s="713">
        <v>187</v>
      </c>
      <c r="BU195" s="714"/>
      <c r="BV195" s="239"/>
      <c r="BW195" s="24"/>
      <c r="BY195" s="621">
        <v>187</v>
      </c>
      <c r="BZ195" s="711"/>
      <c r="CA195" s="712"/>
      <c r="CB195" s="713">
        <v>187</v>
      </c>
      <c r="CC195" s="714"/>
      <c r="CD195" s="239"/>
      <c r="CE195" s="24"/>
    </row>
    <row r="196" spans="5:83" ht="12" customHeight="1">
      <c r="E196" s="621">
        <v>188</v>
      </c>
      <c r="F196" s="711"/>
      <c r="G196" s="712"/>
      <c r="H196" s="713">
        <v>188</v>
      </c>
      <c r="I196" s="714"/>
      <c r="J196" s="239"/>
      <c r="K196" s="24"/>
      <c r="AI196" s="16" t="e">
        <f t="shared" si="29"/>
        <v>#N/A</v>
      </c>
      <c r="AJ196" s="16" t="str">
        <f t="shared" si="30"/>
        <v/>
      </c>
      <c r="AK196" s="16" t="str">
        <f t="shared" si="31"/>
        <v/>
      </c>
      <c r="AL196" s="16" t="e">
        <f>IF(AK196="",NA(),COUNTIF(AK$176:$AK196,AK196))</f>
        <v>#N/A</v>
      </c>
      <c r="AM196" s="16" t="e">
        <f t="shared" si="32"/>
        <v>#N/A</v>
      </c>
      <c r="AN196" s="16" t="e">
        <f t="shared" si="33"/>
        <v>#N/A</v>
      </c>
      <c r="AO196" s="16" t="str">
        <f t="shared" si="34"/>
        <v/>
      </c>
      <c r="AP196" s="16" t="str">
        <f t="shared" si="35"/>
        <v/>
      </c>
      <c r="AQ196" s="16" t="e">
        <f>IF(AP196="",NA(),COUNTIF(AP$176:$AP196,AP196))</f>
        <v>#N/A</v>
      </c>
      <c r="AR196" s="16" t="e">
        <f t="shared" si="36"/>
        <v>#N/A</v>
      </c>
      <c r="BI196" s="621">
        <v>188</v>
      </c>
      <c r="BJ196" s="711"/>
      <c r="BK196" s="712"/>
      <c r="BL196" s="713">
        <v>188</v>
      </c>
      <c r="BM196" s="714"/>
      <c r="BN196" s="239"/>
      <c r="BO196" s="24"/>
      <c r="BQ196" s="621">
        <v>188</v>
      </c>
      <c r="BR196" s="711"/>
      <c r="BS196" s="712"/>
      <c r="BT196" s="713">
        <v>188</v>
      </c>
      <c r="BU196" s="714"/>
      <c r="BV196" s="239"/>
      <c r="BW196" s="24"/>
      <c r="BY196" s="621">
        <v>188</v>
      </c>
      <c r="BZ196" s="711"/>
      <c r="CA196" s="712"/>
      <c r="CB196" s="713">
        <v>188</v>
      </c>
      <c r="CC196" s="714"/>
      <c r="CD196" s="239"/>
      <c r="CE196" s="24"/>
    </row>
    <row r="197" spans="5:83" ht="12" customHeight="1">
      <c r="E197" s="621">
        <v>189</v>
      </c>
      <c r="F197" s="711"/>
      <c r="G197" s="712"/>
      <c r="H197" s="713">
        <v>189</v>
      </c>
      <c r="I197" s="714"/>
      <c r="J197" s="239"/>
      <c r="K197" s="24"/>
      <c r="AI197" s="16" t="e">
        <f t="shared" si="29"/>
        <v>#N/A</v>
      </c>
      <c r="AJ197" s="16" t="str">
        <f t="shared" si="30"/>
        <v/>
      </c>
      <c r="AK197" s="16" t="str">
        <f t="shared" si="31"/>
        <v/>
      </c>
      <c r="AL197" s="16" t="e">
        <f>IF(AK197="",NA(),COUNTIF(AK$176:$AK197,AK197))</f>
        <v>#N/A</v>
      </c>
      <c r="AM197" s="16" t="e">
        <f t="shared" si="32"/>
        <v>#N/A</v>
      </c>
      <c r="AN197" s="16" t="e">
        <f t="shared" si="33"/>
        <v>#N/A</v>
      </c>
      <c r="AO197" s="16" t="str">
        <f t="shared" si="34"/>
        <v/>
      </c>
      <c r="AP197" s="16" t="str">
        <f t="shared" si="35"/>
        <v/>
      </c>
      <c r="AQ197" s="16" t="e">
        <f>IF(AP197="",NA(),COUNTIF(AP$176:$AP197,AP197))</f>
        <v>#N/A</v>
      </c>
      <c r="AR197" s="16" t="e">
        <f t="shared" si="36"/>
        <v>#N/A</v>
      </c>
      <c r="BI197" s="621">
        <v>189</v>
      </c>
      <c r="BJ197" s="711"/>
      <c r="BK197" s="712"/>
      <c r="BL197" s="713">
        <v>189</v>
      </c>
      <c r="BM197" s="714"/>
      <c r="BN197" s="239"/>
      <c r="BO197" s="24"/>
      <c r="BQ197" s="621">
        <v>189</v>
      </c>
      <c r="BR197" s="711"/>
      <c r="BS197" s="712"/>
      <c r="BT197" s="713">
        <v>189</v>
      </c>
      <c r="BU197" s="714"/>
      <c r="BV197" s="239"/>
      <c r="BW197" s="24"/>
      <c r="BY197" s="621">
        <v>189</v>
      </c>
      <c r="BZ197" s="711"/>
      <c r="CA197" s="712"/>
      <c r="CB197" s="713">
        <v>189</v>
      </c>
      <c r="CC197" s="714"/>
      <c r="CD197" s="239"/>
      <c r="CE197" s="24"/>
    </row>
    <row r="198" spans="5:83" ht="12" customHeight="1">
      <c r="E198" s="621">
        <v>190</v>
      </c>
      <c r="F198" s="711"/>
      <c r="G198" s="712"/>
      <c r="H198" s="713">
        <v>190</v>
      </c>
      <c r="I198" s="714"/>
      <c r="J198" s="239"/>
      <c r="K198" s="24"/>
      <c r="AI198" s="16" t="e">
        <f t="shared" si="29"/>
        <v>#N/A</v>
      </c>
      <c r="AJ198" s="16" t="str">
        <f t="shared" si="30"/>
        <v/>
      </c>
      <c r="AK198" s="16" t="str">
        <f t="shared" si="31"/>
        <v/>
      </c>
      <c r="AL198" s="16" t="e">
        <f>IF(AK198="",NA(),COUNTIF(AK$176:$AK198,AK198))</f>
        <v>#N/A</v>
      </c>
      <c r="AM198" s="16" t="e">
        <f t="shared" si="32"/>
        <v>#N/A</v>
      </c>
      <c r="AN198" s="16" t="e">
        <f t="shared" si="33"/>
        <v>#N/A</v>
      </c>
      <c r="AO198" s="16" t="str">
        <f t="shared" si="34"/>
        <v/>
      </c>
      <c r="AP198" s="16" t="str">
        <f t="shared" si="35"/>
        <v/>
      </c>
      <c r="AQ198" s="16" t="e">
        <f>IF(AP198="",NA(),COUNTIF(AP$176:$AP198,AP198))</f>
        <v>#N/A</v>
      </c>
      <c r="AR198" s="16" t="e">
        <f t="shared" si="36"/>
        <v>#N/A</v>
      </c>
      <c r="BI198" s="621">
        <v>190</v>
      </c>
      <c r="BJ198" s="711"/>
      <c r="BK198" s="712"/>
      <c r="BL198" s="713">
        <v>190</v>
      </c>
      <c r="BM198" s="714"/>
      <c r="BN198" s="239"/>
      <c r="BO198" s="24"/>
      <c r="BQ198" s="621">
        <v>190</v>
      </c>
      <c r="BR198" s="711"/>
      <c r="BS198" s="712"/>
      <c r="BT198" s="713">
        <v>190</v>
      </c>
      <c r="BU198" s="714"/>
      <c r="BV198" s="239"/>
      <c r="BW198" s="24"/>
      <c r="BY198" s="621">
        <v>190</v>
      </c>
      <c r="BZ198" s="711"/>
      <c r="CA198" s="712"/>
      <c r="CB198" s="713">
        <v>190</v>
      </c>
      <c r="CC198" s="714"/>
      <c r="CD198" s="239"/>
      <c r="CE198" s="24"/>
    </row>
    <row r="199" spans="5:83" ht="12" customHeight="1">
      <c r="E199" s="621">
        <v>191</v>
      </c>
      <c r="F199" s="711"/>
      <c r="G199" s="712"/>
      <c r="H199" s="713">
        <v>191</v>
      </c>
      <c r="I199" s="714"/>
      <c r="J199" s="239"/>
      <c r="K199" s="24"/>
      <c r="AI199" s="16" t="e">
        <f t="shared" si="29"/>
        <v>#N/A</v>
      </c>
      <c r="AJ199" s="16" t="str">
        <f t="shared" si="30"/>
        <v/>
      </c>
      <c r="AK199" s="16" t="str">
        <f t="shared" si="31"/>
        <v/>
      </c>
      <c r="AL199" s="16" t="e">
        <f>IF(AK199="",NA(),COUNTIF(AK$176:$AK199,AK199))</f>
        <v>#N/A</v>
      </c>
      <c r="AM199" s="16" t="e">
        <f t="shared" si="32"/>
        <v>#N/A</v>
      </c>
      <c r="AN199" s="16" t="e">
        <f t="shared" si="33"/>
        <v>#N/A</v>
      </c>
      <c r="AO199" s="16" t="str">
        <f t="shared" si="34"/>
        <v/>
      </c>
      <c r="AP199" s="16" t="str">
        <f t="shared" si="35"/>
        <v/>
      </c>
      <c r="AQ199" s="16" t="e">
        <f>IF(AP199="",NA(),COUNTIF(AP$176:$AP199,AP199))</f>
        <v>#N/A</v>
      </c>
      <c r="AR199" s="16" t="e">
        <f t="shared" si="36"/>
        <v>#N/A</v>
      </c>
      <c r="BI199" s="621">
        <v>191</v>
      </c>
      <c r="BJ199" s="711"/>
      <c r="BK199" s="712"/>
      <c r="BL199" s="713">
        <v>191</v>
      </c>
      <c r="BM199" s="714"/>
      <c r="BN199" s="239"/>
      <c r="BO199" s="24"/>
      <c r="BQ199" s="621">
        <v>191</v>
      </c>
      <c r="BR199" s="711"/>
      <c r="BS199" s="712"/>
      <c r="BT199" s="713">
        <v>191</v>
      </c>
      <c r="BU199" s="714"/>
      <c r="BV199" s="239"/>
      <c r="BW199" s="24"/>
      <c r="BY199" s="621">
        <v>191</v>
      </c>
      <c r="BZ199" s="711"/>
      <c r="CA199" s="712"/>
      <c r="CB199" s="713">
        <v>191</v>
      </c>
      <c r="CC199" s="714"/>
      <c r="CD199" s="239"/>
      <c r="CE199" s="24"/>
    </row>
    <row r="200" spans="5:83" ht="12" customHeight="1">
      <c r="E200" s="621">
        <v>192</v>
      </c>
      <c r="F200" s="711"/>
      <c r="G200" s="712"/>
      <c r="H200" s="713">
        <v>192</v>
      </c>
      <c r="I200" s="714"/>
      <c r="J200" s="239"/>
      <c r="K200" s="24"/>
      <c r="AI200" s="16" t="e">
        <f t="shared" si="29"/>
        <v>#N/A</v>
      </c>
      <c r="AJ200" s="16" t="str">
        <f t="shared" si="30"/>
        <v/>
      </c>
      <c r="AK200" s="16" t="str">
        <f t="shared" si="31"/>
        <v/>
      </c>
      <c r="AL200" s="16" t="e">
        <f>IF(AK200="",NA(),COUNTIF(AK$176:$AK200,AK200))</f>
        <v>#N/A</v>
      </c>
      <c r="AM200" s="16" t="e">
        <f t="shared" si="32"/>
        <v>#N/A</v>
      </c>
      <c r="AN200" s="16" t="e">
        <f t="shared" si="33"/>
        <v>#N/A</v>
      </c>
      <c r="AO200" s="16" t="str">
        <f t="shared" si="34"/>
        <v/>
      </c>
      <c r="AP200" s="16" t="str">
        <f t="shared" si="35"/>
        <v/>
      </c>
      <c r="AQ200" s="16" t="e">
        <f>IF(AP200="",NA(),COUNTIF(AP$176:$AP200,AP200))</f>
        <v>#N/A</v>
      </c>
      <c r="AR200" s="16" t="e">
        <f t="shared" si="36"/>
        <v>#N/A</v>
      </c>
      <c r="BI200" s="621">
        <v>192</v>
      </c>
      <c r="BJ200" s="711"/>
      <c r="BK200" s="712"/>
      <c r="BL200" s="713">
        <v>192</v>
      </c>
      <c r="BM200" s="714"/>
      <c r="BN200" s="239"/>
      <c r="BO200" s="24"/>
      <c r="BQ200" s="621">
        <v>192</v>
      </c>
      <c r="BR200" s="711"/>
      <c r="BS200" s="712"/>
      <c r="BT200" s="713">
        <v>192</v>
      </c>
      <c r="BU200" s="714"/>
      <c r="BV200" s="239"/>
      <c r="BW200" s="24"/>
      <c r="BY200" s="621">
        <v>192</v>
      </c>
      <c r="BZ200" s="711"/>
      <c r="CA200" s="712"/>
      <c r="CB200" s="713">
        <v>192</v>
      </c>
      <c r="CC200" s="714"/>
      <c r="CD200" s="239"/>
      <c r="CE200" s="24"/>
    </row>
    <row r="201" spans="5:83" ht="12" customHeight="1">
      <c r="E201" s="621">
        <v>193</v>
      </c>
      <c r="F201" s="711"/>
      <c r="G201" s="712"/>
      <c r="H201" s="713">
        <v>193</v>
      </c>
      <c r="I201" s="714"/>
      <c r="J201" s="239"/>
      <c r="K201" s="24"/>
      <c r="AI201" s="16" t="e">
        <f t="shared" si="29"/>
        <v>#N/A</v>
      </c>
      <c r="AJ201" s="16" t="str">
        <f t="shared" si="30"/>
        <v/>
      </c>
      <c r="AK201" s="16" t="str">
        <f t="shared" si="31"/>
        <v/>
      </c>
      <c r="AL201" s="16" t="e">
        <f>IF(AK201="",NA(),COUNTIF(AK$176:$AK201,AK201))</f>
        <v>#N/A</v>
      </c>
      <c r="AM201" s="16" t="e">
        <f t="shared" si="32"/>
        <v>#N/A</v>
      </c>
      <c r="AN201" s="16" t="e">
        <f t="shared" si="33"/>
        <v>#N/A</v>
      </c>
      <c r="AO201" s="16" t="str">
        <f t="shared" si="34"/>
        <v/>
      </c>
      <c r="AP201" s="16" t="str">
        <f t="shared" si="35"/>
        <v/>
      </c>
      <c r="AQ201" s="16" t="e">
        <f>IF(AP201="",NA(),COUNTIF(AP$176:$AP201,AP201))</f>
        <v>#N/A</v>
      </c>
      <c r="AR201" s="16" t="e">
        <f t="shared" si="36"/>
        <v>#N/A</v>
      </c>
      <c r="BI201" s="621">
        <v>193</v>
      </c>
      <c r="BJ201" s="711"/>
      <c r="BK201" s="712"/>
      <c r="BL201" s="713">
        <v>193</v>
      </c>
      <c r="BM201" s="714"/>
      <c r="BN201" s="239"/>
      <c r="BO201" s="24"/>
      <c r="BQ201" s="621">
        <v>193</v>
      </c>
      <c r="BR201" s="711"/>
      <c r="BS201" s="712"/>
      <c r="BT201" s="713">
        <v>193</v>
      </c>
      <c r="BU201" s="714"/>
      <c r="BV201" s="239"/>
      <c r="BW201" s="24"/>
      <c r="BY201" s="621">
        <v>193</v>
      </c>
      <c r="BZ201" s="711"/>
      <c r="CA201" s="712"/>
      <c r="CB201" s="713">
        <v>193</v>
      </c>
      <c r="CC201" s="714"/>
      <c r="CD201" s="239"/>
      <c r="CE201" s="24"/>
    </row>
    <row r="202" spans="5:83" ht="12" customHeight="1">
      <c r="E202" s="621">
        <v>194</v>
      </c>
      <c r="F202" s="711"/>
      <c r="G202" s="712"/>
      <c r="H202" s="713">
        <v>194</v>
      </c>
      <c r="I202" s="714"/>
      <c r="J202" s="239"/>
      <c r="K202" s="24"/>
      <c r="AI202" s="16" t="e">
        <f t="shared" si="29"/>
        <v>#N/A</v>
      </c>
      <c r="AJ202" s="16" t="str">
        <f t="shared" si="30"/>
        <v/>
      </c>
      <c r="AK202" s="16" t="str">
        <f t="shared" si="31"/>
        <v/>
      </c>
      <c r="AL202" s="16" t="e">
        <f>IF(AK202="",NA(),COUNTIF(AK$176:$AK202,AK202))</f>
        <v>#N/A</v>
      </c>
      <c r="AM202" s="16" t="e">
        <f t="shared" si="32"/>
        <v>#N/A</v>
      </c>
      <c r="AN202" s="16" t="e">
        <f t="shared" si="33"/>
        <v>#N/A</v>
      </c>
      <c r="AO202" s="16" t="str">
        <f t="shared" si="34"/>
        <v/>
      </c>
      <c r="AP202" s="16" t="str">
        <f t="shared" si="35"/>
        <v/>
      </c>
      <c r="AQ202" s="16" t="e">
        <f>IF(AP202="",NA(),COUNTIF(AP$176:$AP202,AP202))</f>
        <v>#N/A</v>
      </c>
      <c r="AR202" s="16" t="e">
        <f t="shared" si="36"/>
        <v>#N/A</v>
      </c>
      <c r="BI202" s="621">
        <v>194</v>
      </c>
      <c r="BJ202" s="711"/>
      <c r="BK202" s="712"/>
      <c r="BL202" s="713">
        <v>194</v>
      </c>
      <c r="BM202" s="714"/>
      <c r="BN202" s="239"/>
      <c r="BO202" s="24"/>
      <c r="BQ202" s="621">
        <v>194</v>
      </c>
      <c r="BR202" s="711"/>
      <c r="BS202" s="712"/>
      <c r="BT202" s="713">
        <v>194</v>
      </c>
      <c r="BU202" s="714"/>
      <c r="BV202" s="239"/>
      <c r="BW202" s="24"/>
      <c r="BY202" s="621">
        <v>194</v>
      </c>
      <c r="BZ202" s="711"/>
      <c r="CA202" s="712"/>
      <c r="CB202" s="713">
        <v>194</v>
      </c>
      <c r="CC202" s="714"/>
      <c r="CD202" s="239"/>
      <c r="CE202" s="24"/>
    </row>
    <row r="203" spans="5:83" ht="12" customHeight="1">
      <c r="E203" s="621">
        <v>195</v>
      </c>
      <c r="F203" s="711"/>
      <c r="G203" s="712"/>
      <c r="H203" s="713">
        <v>195</v>
      </c>
      <c r="I203" s="714"/>
      <c r="J203" s="239"/>
      <c r="K203" s="24"/>
      <c r="AI203" s="16" t="e">
        <f t="shared" si="29"/>
        <v>#N/A</v>
      </c>
      <c r="AJ203" s="16" t="str">
        <f t="shared" si="30"/>
        <v/>
      </c>
      <c r="AK203" s="16" t="str">
        <f t="shared" si="31"/>
        <v/>
      </c>
      <c r="AL203" s="16" t="e">
        <f>IF(AK203="",NA(),COUNTIF(AK$176:$AK203,AK203))</f>
        <v>#N/A</v>
      </c>
      <c r="AM203" s="16" t="e">
        <f t="shared" si="32"/>
        <v>#N/A</v>
      </c>
      <c r="AN203" s="16" t="e">
        <f t="shared" si="33"/>
        <v>#N/A</v>
      </c>
      <c r="AO203" s="16" t="str">
        <f t="shared" si="34"/>
        <v/>
      </c>
      <c r="AP203" s="16" t="str">
        <f t="shared" si="35"/>
        <v/>
      </c>
      <c r="AQ203" s="16" t="e">
        <f>IF(AP203="",NA(),COUNTIF(AP$176:$AP203,AP203))</f>
        <v>#N/A</v>
      </c>
      <c r="AR203" s="16" t="e">
        <f t="shared" si="36"/>
        <v>#N/A</v>
      </c>
      <c r="BI203" s="621">
        <v>195</v>
      </c>
      <c r="BJ203" s="711"/>
      <c r="BK203" s="712"/>
      <c r="BL203" s="713">
        <v>195</v>
      </c>
      <c r="BM203" s="714"/>
      <c r="BN203" s="239"/>
      <c r="BO203" s="24"/>
      <c r="BQ203" s="621">
        <v>195</v>
      </c>
      <c r="BR203" s="711"/>
      <c r="BS203" s="712"/>
      <c r="BT203" s="713">
        <v>195</v>
      </c>
      <c r="BU203" s="714"/>
      <c r="BV203" s="239"/>
      <c r="BW203" s="24"/>
      <c r="BY203" s="621">
        <v>195</v>
      </c>
      <c r="BZ203" s="711"/>
      <c r="CA203" s="712"/>
      <c r="CB203" s="713">
        <v>195</v>
      </c>
      <c r="CC203" s="714"/>
      <c r="CD203" s="239"/>
      <c r="CE203" s="24"/>
    </row>
    <row r="204" spans="5:83" ht="12" customHeight="1">
      <c r="E204" s="621">
        <v>196</v>
      </c>
      <c r="F204" s="711"/>
      <c r="G204" s="712"/>
      <c r="H204" s="713">
        <v>196</v>
      </c>
      <c r="I204" s="714"/>
      <c r="J204" s="239"/>
      <c r="K204" s="24"/>
      <c r="AI204" s="16" t="e">
        <f t="shared" si="29"/>
        <v>#N/A</v>
      </c>
      <c r="AJ204" s="16" t="str">
        <f t="shared" si="30"/>
        <v/>
      </c>
      <c r="AK204" s="16" t="str">
        <f t="shared" si="31"/>
        <v/>
      </c>
      <c r="AL204" s="16" t="e">
        <f>IF(AK204="",NA(),COUNTIF(AK$176:$AK204,AK204))</f>
        <v>#N/A</v>
      </c>
      <c r="AM204" s="16" t="e">
        <f t="shared" si="32"/>
        <v>#N/A</v>
      </c>
      <c r="AN204" s="16" t="e">
        <f t="shared" si="33"/>
        <v>#N/A</v>
      </c>
      <c r="AO204" s="16" t="str">
        <f t="shared" si="34"/>
        <v/>
      </c>
      <c r="AP204" s="16" t="str">
        <f t="shared" si="35"/>
        <v/>
      </c>
      <c r="AQ204" s="16" t="e">
        <f>IF(AP204="",NA(),COUNTIF(AP$176:$AP204,AP204))</f>
        <v>#N/A</v>
      </c>
      <c r="AR204" s="16" t="e">
        <f t="shared" si="36"/>
        <v>#N/A</v>
      </c>
      <c r="BI204" s="621">
        <v>196</v>
      </c>
      <c r="BJ204" s="711"/>
      <c r="BK204" s="712"/>
      <c r="BL204" s="713">
        <v>196</v>
      </c>
      <c r="BM204" s="714"/>
      <c r="BN204" s="239"/>
      <c r="BO204" s="24"/>
      <c r="BQ204" s="621">
        <v>196</v>
      </c>
      <c r="BR204" s="711"/>
      <c r="BS204" s="712"/>
      <c r="BT204" s="713">
        <v>196</v>
      </c>
      <c r="BU204" s="714"/>
      <c r="BV204" s="239"/>
      <c r="BW204" s="24"/>
      <c r="BY204" s="621">
        <v>196</v>
      </c>
      <c r="BZ204" s="711"/>
      <c r="CA204" s="712"/>
      <c r="CB204" s="713">
        <v>196</v>
      </c>
      <c r="CC204" s="714"/>
      <c r="CD204" s="239"/>
      <c r="CE204" s="24"/>
    </row>
    <row r="205" spans="5:83" ht="12" customHeight="1">
      <c r="E205" s="621">
        <v>197</v>
      </c>
      <c r="F205" s="711"/>
      <c r="G205" s="712"/>
      <c r="H205" s="713">
        <v>197</v>
      </c>
      <c r="I205" s="714"/>
      <c r="J205" s="239"/>
      <c r="K205" s="24"/>
      <c r="AI205" s="16" t="e">
        <f t="shared" ref="AI205:AI268" si="37">IF(AND($X$80,NOT(F137=""),$X$78),F137,NA())</f>
        <v>#N/A</v>
      </c>
      <c r="AJ205" s="16" t="str">
        <f t="shared" ref="AJ205:AJ268" si="38">IF(AK205="","",IF($AU$79=0,AI205,AK205*$AU$79))</f>
        <v/>
      </c>
      <c r="AK205" s="16" t="str">
        <f t="shared" ref="AK205:AK268" si="39">IF(ISNA(AI205),"",IF($AU$79=0,AI205,ROUND(AI205/$AU$79,0)))</f>
        <v/>
      </c>
      <c r="AL205" s="16" t="e">
        <f>IF(AK205="",NA(),COUNTIF(AK$176:$AK205,AK205))</f>
        <v>#N/A</v>
      </c>
      <c r="AM205" s="16" t="e">
        <f t="shared" ref="AM205:AM268" si="40">(AL205-1)*$AU$82</f>
        <v>#N/A</v>
      </c>
      <c r="AN205" s="16" t="e">
        <f t="shared" ref="AN205:AN268" si="41">IF(AND($X$80,NOT(I137=""),$X$79),I137,NA())</f>
        <v>#N/A</v>
      </c>
      <c r="AO205" s="16" t="str">
        <f t="shared" ref="AO205:AO268" si="42">IF(AP205="","",IF($AU$79=0,AN205,AP205*$AU$79))</f>
        <v/>
      </c>
      <c r="AP205" s="16" t="str">
        <f t="shared" ref="AP205:AP268" si="43">IF(ISNA(AN205),"",IF($AU$79=0,AN205,ROUND(AN205/$AU$79,0)))</f>
        <v/>
      </c>
      <c r="AQ205" s="16" t="e">
        <f>IF(AP205="",NA(),COUNTIF(AP$176:$AP205,AP205))</f>
        <v>#N/A</v>
      </c>
      <c r="AR205" s="16" t="e">
        <f t="shared" ref="AR205:AR268" si="44">(AQ205-1)*$AU$82</f>
        <v>#N/A</v>
      </c>
      <c r="BI205" s="621">
        <v>197</v>
      </c>
      <c r="BJ205" s="711"/>
      <c r="BK205" s="712"/>
      <c r="BL205" s="713">
        <v>197</v>
      </c>
      <c r="BM205" s="714"/>
      <c r="BN205" s="239"/>
      <c r="BO205" s="24"/>
      <c r="BQ205" s="621">
        <v>197</v>
      </c>
      <c r="BR205" s="711"/>
      <c r="BS205" s="712"/>
      <c r="BT205" s="713">
        <v>197</v>
      </c>
      <c r="BU205" s="714"/>
      <c r="BV205" s="239"/>
      <c r="BW205" s="24"/>
      <c r="BY205" s="621">
        <v>197</v>
      </c>
      <c r="BZ205" s="711"/>
      <c r="CA205" s="712"/>
      <c r="CB205" s="713">
        <v>197</v>
      </c>
      <c r="CC205" s="714"/>
      <c r="CD205" s="239"/>
      <c r="CE205" s="24"/>
    </row>
    <row r="206" spans="5:83" ht="12" customHeight="1">
      <c r="E206" s="621">
        <v>198</v>
      </c>
      <c r="F206" s="711"/>
      <c r="G206" s="712"/>
      <c r="H206" s="713">
        <v>198</v>
      </c>
      <c r="I206" s="714"/>
      <c r="J206" s="239"/>
      <c r="K206" s="24"/>
      <c r="AI206" s="16" t="e">
        <f t="shared" si="37"/>
        <v>#N/A</v>
      </c>
      <c r="AJ206" s="16" t="str">
        <f t="shared" si="38"/>
        <v/>
      </c>
      <c r="AK206" s="16" t="str">
        <f t="shared" si="39"/>
        <v/>
      </c>
      <c r="AL206" s="16" t="e">
        <f>IF(AK206="",NA(),COUNTIF(AK$176:$AK206,AK206))</f>
        <v>#N/A</v>
      </c>
      <c r="AM206" s="16" t="e">
        <f t="shared" si="40"/>
        <v>#N/A</v>
      </c>
      <c r="AN206" s="16" t="e">
        <f t="shared" si="41"/>
        <v>#N/A</v>
      </c>
      <c r="AO206" s="16" t="str">
        <f t="shared" si="42"/>
        <v/>
      </c>
      <c r="AP206" s="16" t="str">
        <f t="shared" si="43"/>
        <v/>
      </c>
      <c r="AQ206" s="16" t="e">
        <f>IF(AP206="",NA(),COUNTIF(AP$176:$AP206,AP206))</f>
        <v>#N/A</v>
      </c>
      <c r="AR206" s="16" t="e">
        <f t="shared" si="44"/>
        <v>#N/A</v>
      </c>
      <c r="BI206" s="621">
        <v>198</v>
      </c>
      <c r="BJ206" s="711"/>
      <c r="BK206" s="712"/>
      <c r="BL206" s="713">
        <v>198</v>
      </c>
      <c r="BM206" s="714"/>
      <c r="BN206" s="239"/>
      <c r="BO206" s="24"/>
      <c r="BQ206" s="621">
        <v>198</v>
      </c>
      <c r="BR206" s="711"/>
      <c r="BS206" s="712"/>
      <c r="BT206" s="713">
        <v>198</v>
      </c>
      <c r="BU206" s="714"/>
      <c r="BV206" s="239"/>
      <c r="BW206" s="24"/>
      <c r="BY206" s="621">
        <v>198</v>
      </c>
      <c r="BZ206" s="711"/>
      <c r="CA206" s="712"/>
      <c r="CB206" s="713">
        <v>198</v>
      </c>
      <c r="CC206" s="714"/>
      <c r="CD206" s="239"/>
      <c r="CE206" s="24"/>
    </row>
    <row r="207" spans="5:83" ht="12" customHeight="1">
      <c r="E207" s="621">
        <v>199</v>
      </c>
      <c r="F207" s="711"/>
      <c r="G207" s="712"/>
      <c r="H207" s="713">
        <v>199</v>
      </c>
      <c r="I207" s="714"/>
      <c r="J207" s="239"/>
      <c r="K207" s="24"/>
      <c r="AI207" s="16" t="e">
        <f t="shared" si="37"/>
        <v>#N/A</v>
      </c>
      <c r="AJ207" s="16" t="str">
        <f t="shared" si="38"/>
        <v/>
      </c>
      <c r="AK207" s="16" t="str">
        <f t="shared" si="39"/>
        <v/>
      </c>
      <c r="AL207" s="16" t="e">
        <f>IF(AK207="",NA(),COUNTIF(AK$176:$AK207,AK207))</f>
        <v>#N/A</v>
      </c>
      <c r="AM207" s="16" t="e">
        <f t="shared" si="40"/>
        <v>#N/A</v>
      </c>
      <c r="AN207" s="16" t="e">
        <f t="shared" si="41"/>
        <v>#N/A</v>
      </c>
      <c r="AO207" s="16" t="str">
        <f t="shared" si="42"/>
        <v/>
      </c>
      <c r="AP207" s="16" t="str">
        <f t="shared" si="43"/>
        <v/>
      </c>
      <c r="AQ207" s="16" t="e">
        <f>IF(AP207="",NA(),COUNTIF(AP$176:$AP207,AP207))</f>
        <v>#N/A</v>
      </c>
      <c r="AR207" s="16" t="e">
        <f t="shared" si="44"/>
        <v>#N/A</v>
      </c>
      <c r="BI207" s="621">
        <v>199</v>
      </c>
      <c r="BJ207" s="711"/>
      <c r="BK207" s="712"/>
      <c r="BL207" s="713">
        <v>199</v>
      </c>
      <c r="BM207" s="714"/>
      <c r="BN207" s="239"/>
      <c r="BO207" s="24"/>
      <c r="BQ207" s="621">
        <v>199</v>
      </c>
      <c r="BR207" s="711"/>
      <c r="BS207" s="712"/>
      <c r="BT207" s="713">
        <v>199</v>
      </c>
      <c r="BU207" s="714"/>
      <c r="BV207" s="239"/>
      <c r="BW207" s="24"/>
      <c r="BY207" s="621">
        <v>199</v>
      </c>
      <c r="BZ207" s="711"/>
      <c r="CA207" s="712"/>
      <c r="CB207" s="713">
        <v>199</v>
      </c>
      <c r="CC207" s="714"/>
      <c r="CD207" s="239"/>
      <c r="CE207" s="24"/>
    </row>
    <row r="208" spans="5:83" ht="12" customHeight="1">
      <c r="E208" s="621">
        <v>200</v>
      </c>
      <c r="F208" s="711"/>
      <c r="G208" s="712"/>
      <c r="H208" s="713">
        <v>200</v>
      </c>
      <c r="I208" s="714"/>
      <c r="J208" s="239"/>
      <c r="K208" s="24"/>
      <c r="AI208" s="16" t="e">
        <f t="shared" si="37"/>
        <v>#N/A</v>
      </c>
      <c r="AJ208" s="16" t="str">
        <f t="shared" si="38"/>
        <v/>
      </c>
      <c r="AK208" s="16" t="str">
        <f t="shared" si="39"/>
        <v/>
      </c>
      <c r="AL208" s="16" t="e">
        <f>IF(AK208="",NA(),COUNTIF(AK$176:$AK208,AK208))</f>
        <v>#N/A</v>
      </c>
      <c r="AM208" s="16" t="e">
        <f t="shared" si="40"/>
        <v>#N/A</v>
      </c>
      <c r="AN208" s="16" t="e">
        <f t="shared" si="41"/>
        <v>#N/A</v>
      </c>
      <c r="AO208" s="16" t="str">
        <f t="shared" si="42"/>
        <v/>
      </c>
      <c r="AP208" s="16" t="str">
        <f t="shared" si="43"/>
        <v/>
      </c>
      <c r="AQ208" s="16" t="e">
        <f>IF(AP208="",NA(),COUNTIF(AP$176:$AP208,AP208))</f>
        <v>#N/A</v>
      </c>
      <c r="AR208" s="16" t="e">
        <f t="shared" si="44"/>
        <v>#N/A</v>
      </c>
      <c r="BI208" s="621">
        <v>200</v>
      </c>
      <c r="BJ208" s="711"/>
      <c r="BK208" s="712"/>
      <c r="BL208" s="713">
        <v>200</v>
      </c>
      <c r="BM208" s="714"/>
      <c r="BN208" s="239"/>
      <c r="BO208" s="24"/>
      <c r="BQ208" s="621">
        <v>200</v>
      </c>
      <c r="BR208" s="711"/>
      <c r="BS208" s="712"/>
      <c r="BT208" s="713">
        <v>200</v>
      </c>
      <c r="BU208" s="714"/>
      <c r="BV208" s="239"/>
      <c r="BW208" s="24"/>
      <c r="BY208" s="621">
        <v>200</v>
      </c>
      <c r="BZ208" s="711"/>
      <c r="CA208" s="712"/>
      <c r="CB208" s="713">
        <v>200</v>
      </c>
      <c r="CC208" s="714"/>
      <c r="CD208" s="239"/>
      <c r="CE208" s="24"/>
    </row>
    <row r="209" spans="5:83" ht="12" customHeight="1">
      <c r="E209" s="621">
        <v>201</v>
      </c>
      <c r="F209" s="711"/>
      <c r="G209" s="712"/>
      <c r="H209" s="713">
        <v>201</v>
      </c>
      <c r="I209" s="714"/>
      <c r="J209" s="239"/>
      <c r="K209" s="24"/>
      <c r="AI209" s="16" t="e">
        <f t="shared" si="37"/>
        <v>#N/A</v>
      </c>
      <c r="AJ209" s="16" t="str">
        <f t="shared" si="38"/>
        <v/>
      </c>
      <c r="AK209" s="16" t="str">
        <f t="shared" si="39"/>
        <v/>
      </c>
      <c r="AL209" s="16" t="e">
        <f>IF(AK209="",NA(),COUNTIF(AK$176:$AK209,AK209))</f>
        <v>#N/A</v>
      </c>
      <c r="AM209" s="16" t="e">
        <f t="shared" si="40"/>
        <v>#N/A</v>
      </c>
      <c r="AN209" s="16" t="e">
        <f t="shared" si="41"/>
        <v>#N/A</v>
      </c>
      <c r="AO209" s="16" t="str">
        <f t="shared" si="42"/>
        <v/>
      </c>
      <c r="AP209" s="16" t="str">
        <f t="shared" si="43"/>
        <v/>
      </c>
      <c r="AQ209" s="16" t="e">
        <f>IF(AP209="",NA(),COUNTIF(AP$176:$AP209,AP209))</f>
        <v>#N/A</v>
      </c>
      <c r="AR209" s="16" t="e">
        <f t="shared" si="44"/>
        <v>#N/A</v>
      </c>
      <c r="BI209" s="621">
        <v>201</v>
      </c>
      <c r="BJ209" s="711"/>
      <c r="BK209" s="712"/>
      <c r="BL209" s="713">
        <v>201</v>
      </c>
      <c r="BM209" s="714"/>
      <c r="BN209" s="239"/>
      <c r="BO209" s="24"/>
      <c r="BQ209" s="621">
        <v>201</v>
      </c>
      <c r="BR209" s="711"/>
      <c r="BS209" s="712"/>
      <c r="BT209" s="713">
        <v>201</v>
      </c>
      <c r="BU209" s="714"/>
      <c r="BV209" s="239"/>
      <c r="BW209" s="24"/>
      <c r="BY209" s="621">
        <v>201</v>
      </c>
      <c r="BZ209" s="711"/>
      <c r="CA209" s="712"/>
      <c r="CB209" s="713">
        <v>201</v>
      </c>
      <c r="CC209" s="714"/>
      <c r="CD209" s="239"/>
      <c r="CE209" s="24"/>
    </row>
    <row r="210" spans="5:83" ht="12" customHeight="1">
      <c r="E210" s="621">
        <v>202</v>
      </c>
      <c r="F210" s="711"/>
      <c r="G210" s="712"/>
      <c r="H210" s="713">
        <v>202</v>
      </c>
      <c r="I210" s="714"/>
      <c r="J210" s="239"/>
      <c r="K210" s="24"/>
      <c r="AI210" s="16" t="e">
        <f t="shared" si="37"/>
        <v>#N/A</v>
      </c>
      <c r="AJ210" s="16" t="str">
        <f t="shared" si="38"/>
        <v/>
      </c>
      <c r="AK210" s="16" t="str">
        <f t="shared" si="39"/>
        <v/>
      </c>
      <c r="AL210" s="16" t="e">
        <f>IF(AK210="",NA(),COUNTIF(AK$176:$AK210,AK210))</f>
        <v>#N/A</v>
      </c>
      <c r="AM210" s="16" t="e">
        <f t="shared" si="40"/>
        <v>#N/A</v>
      </c>
      <c r="AN210" s="16" t="e">
        <f t="shared" si="41"/>
        <v>#N/A</v>
      </c>
      <c r="AO210" s="16" t="str">
        <f t="shared" si="42"/>
        <v/>
      </c>
      <c r="AP210" s="16" t="str">
        <f t="shared" si="43"/>
        <v/>
      </c>
      <c r="AQ210" s="16" t="e">
        <f>IF(AP210="",NA(),COUNTIF(AP$176:$AP210,AP210))</f>
        <v>#N/A</v>
      </c>
      <c r="AR210" s="16" t="e">
        <f t="shared" si="44"/>
        <v>#N/A</v>
      </c>
      <c r="BI210" s="621">
        <v>202</v>
      </c>
      <c r="BJ210" s="711"/>
      <c r="BK210" s="712"/>
      <c r="BL210" s="713">
        <v>202</v>
      </c>
      <c r="BM210" s="714"/>
      <c r="BN210" s="239"/>
      <c r="BO210" s="24"/>
      <c r="BQ210" s="621">
        <v>202</v>
      </c>
      <c r="BR210" s="711"/>
      <c r="BS210" s="712"/>
      <c r="BT210" s="713">
        <v>202</v>
      </c>
      <c r="BU210" s="714"/>
      <c r="BV210" s="239"/>
      <c r="BW210" s="24"/>
      <c r="BY210" s="621">
        <v>202</v>
      </c>
      <c r="BZ210" s="711"/>
      <c r="CA210" s="712"/>
      <c r="CB210" s="713">
        <v>202</v>
      </c>
      <c r="CC210" s="714"/>
      <c r="CD210" s="239"/>
      <c r="CE210" s="24"/>
    </row>
    <row r="211" spans="5:83" ht="12" customHeight="1">
      <c r="E211" s="621">
        <v>203</v>
      </c>
      <c r="F211" s="711"/>
      <c r="G211" s="712"/>
      <c r="H211" s="713">
        <v>203</v>
      </c>
      <c r="I211" s="714"/>
      <c r="J211" s="239"/>
      <c r="K211" s="24"/>
      <c r="AI211" s="16" t="e">
        <f t="shared" si="37"/>
        <v>#N/A</v>
      </c>
      <c r="AJ211" s="16" t="str">
        <f t="shared" si="38"/>
        <v/>
      </c>
      <c r="AK211" s="16" t="str">
        <f t="shared" si="39"/>
        <v/>
      </c>
      <c r="AL211" s="16" t="e">
        <f>IF(AK211="",NA(),COUNTIF(AK$176:$AK211,AK211))</f>
        <v>#N/A</v>
      </c>
      <c r="AM211" s="16" t="e">
        <f t="shared" si="40"/>
        <v>#N/A</v>
      </c>
      <c r="AN211" s="16" t="e">
        <f t="shared" si="41"/>
        <v>#N/A</v>
      </c>
      <c r="AO211" s="16" t="str">
        <f t="shared" si="42"/>
        <v/>
      </c>
      <c r="AP211" s="16" t="str">
        <f t="shared" si="43"/>
        <v/>
      </c>
      <c r="AQ211" s="16" t="e">
        <f>IF(AP211="",NA(),COUNTIF(AP$176:$AP211,AP211))</f>
        <v>#N/A</v>
      </c>
      <c r="AR211" s="16" t="e">
        <f t="shared" si="44"/>
        <v>#N/A</v>
      </c>
      <c r="BI211" s="621">
        <v>203</v>
      </c>
      <c r="BJ211" s="711"/>
      <c r="BK211" s="712"/>
      <c r="BL211" s="713">
        <v>203</v>
      </c>
      <c r="BM211" s="714"/>
      <c r="BN211" s="239"/>
      <c r="BO211" s="24"/>
      <c r="BQ211" s="621">
        <v>203</v>
      </c>
      <c r="BR211" s="711"/>
      <c r="BS211" s="712"/>
      <c r="BT211" s="713">
        <v>203</v>
      </c>
      <c r="BU211" s="714"/>
      <c r="BV211" s="239"/>
      <c r="BW211" s="24"/>
      <c r="BY211" s="621">
        <v>203</v>
      </c>
      <c r="BZ211" s="711"/>
      <c r="CA211" s="712"/>
      <c r="CB211" s="713">
        <v>203</v>
      </c>
      <c r="CC211" s="714"/>
      <c r="CD211" s="239"/>
      <c r="CE211" s="24"/>
    </row>
    <row r="212" spans="5:83" ht="12" customHeight="1">
      <c r="E212" s="621">
        <v>204</v>
      </c>
      <c r="F212" s="711"/>
      <c r="G212" s="712"/>
      <c r="H212" s="713">
        <v>204</v>
      </c>
      <c r="I212" s="714"/>
      <c r="J212" s="239"/>
      <c r="K212" s="24"/>
      <c r="AI212" s="16" t="e">
        <f t="shared" si="37"/>
        <v>#N/A</v>
      </c>
      <c r="AJ212" s="16" t="str">
        <f t="shared" si="38"/>
        <v/>
      </c>
      <c r="AK212" s="16" t="str">
        <f t="shared" si="39"/>
        <v/>
      </c>
      <c r="AL212" s="16" t="e">
        <f>IF(AK212="",NA(),COUNTIF(AK$176:$AK212,AK212))</f>
        <v>#N/A</v>
      </c>
      <c r="AM212" s="16" t="e">
        <f t="shared" si="40"/>
        <v>#N/A</v>
      </c>
      <c r="AN212" s="16" t="e">
        <f t="shared" si="41"/>
        <v>#N/A</v>
      </c>
      <c r="AO212" s="16" t="str">
        <f t="shared" si="42"/>
        <v/>
      </c>
      <c r="AP212" s="16" t="str">
        <f t="shared" si="43"/>
        <v/>
      </c>
      <c r="AQ212" s="16" t="e">
        <f>IF(AP212="",NA(),COUNTIF(AP$176:$AP212,AP212))</f>
        <v>#N/A</v>
      </c>
      <c r="AR212" s="16" t="e">
        <f t="shared" si="44"/>
        <v>#N/A</v>
      </c>
      <c r="BI212" s="621">
        <v>204</v>
      </c>
      <c r="BJ212" s="711"/>
      <c r="BK212" s="712"/>
      <c r="BL212" s="713">
        <v>204</v>
      </c>
      <c r="BM212" s="714"/>
      <c r="BN212" s="239"/>
      <c r="BO212" s="24"/>
      <c r="BQ212" s="621">
        <v>204</v>
      </c>
      <c r="BR212" s="711"/>
      <c r="BS212" s="712"/>
      <c r="BT212" s="713">
        <v>204</v>
      </c>
      <c r="BU212" s="714"/>
      <c r="BV212" s="239"/>
      <c r="BW212" s="24"/>
      <c r="BY212" s="621">
        <v>204</v>
      </c>
      <c r="BZ212" s="711"/>
      <c r="CA212" s="712"/>
      <c r="CB212" s="713">
        <v>204</v>
      </c>
      <c r="CC212" s="714"/>
      <c r="CD212" s="239"/>
      <c r="CE212" s="24"/>
    </row>
    <row r="213" spans="5:83" ht="12" customHeight="1">
      <c r="E213" s="621">
        <v>205</v>
      </c>
      <c r="F213" s="711"/>
      <c r="G213" s="712"/>
      <c r="H213" s="713">
        <v>205</v>
      </c>
      <c r="I213" s="714"/>
      <c r="J213" s="239"/>
      <c r="K213" s="24"/>
      <c r="AI213" s="16" t="e">
        <f t="shared" si="37"/>
        <v>#N/A</v>
      </c>
      <c r="AJ213" s="16" t="str">
        <f t="shared" si="38"/>
        <v/>
      </c>
      <c r="AK213" s="16" t="str">
        <f t="shared" si="39"/>
        <v/>
      </c>
      <c r="AL213" s="16" t="e">
        <f>IF(AK213="",NA(),COUNTIF(AK$176:$AK213,AK213))</f>
        <v>#N/A</v>
      </c>
      <c r="AM213" s="16" t="e">
        <f t="shared" si="40"/>
        <v>#N/A</v>
      </c>
      <c r="AN213" s="16" t="e">
        <f t="shared" si="41"/>
        <v>#N/A</v>
      </c>
      <c r="AO213" s="16" t="str">
        <f t="shared" si="42"/>
        <v/>
      </c>
      <c r="AP213" s="16" t="str">
        <f t="shared" si="43"/>
        <v/>
      </c>
      <c r="AQ213" s="16" t="e">
        <f>IF(AP213="",NA(),COUNTIF(AP$176:$AP213,AP213))</f>
        <v>#N/A</v>
      </c>
      <c r="AR213" s="16" t="e">
        <f t="shared" si="44"/>
        <v>#N/A</v>
      </c>
      <c r="BI213" s="621">
        <v>205</v>
      </c>
      <c r="BJ213" s="711"/>
      <c r="BK213" s="712"/>
      <c r="BL213" s="713">
        <v>205</v>
      </c>
      <c r="BM213" s="714"/>
      <c r="BN213" s="239"/>
      <c r="BO213" s="24"/>
      <c r="BQ213" s="621">
        <v>205</v>
      </c>
      <c r="BR213" s="711"/>
      <c r="BS213" s="712"/>
      <c r="BT213" s="713">
        <v>205</v>
      </c>
      <c r="BU213" s="714"/>
      <c r="BV213" s="239"/>
      <c r="BW213" s="24"/>
      <c r="BY213" s="621">
        <v>205</v>
      </c>
      <c r="BZ213" s="711"/>
      <c r="CA213" s="712"/>
      <c r="CB213" s="713">
        <v>205</v>
      </c>
      <c r="CC213" s="714"/>
      <c r="CD213" s="239"/>
      <c r="CE213" s="24"/>
    </row>
    <row r="214" spans="5:83" ht="12" customHeight="1">
      <c r="E214" s="621">
        <v>206</v>
      </c>
      <c r="F214" s="711"/>
      <c r="G214" s="712"/>
      <c r="H214" s="713">
        <v>206</v>
      </c>
      <c r="I214" s="714"/>
      <c r="J214" s="239"/>
      <c r="K214" s="24"/>
      <c r="AI214" s="16" t="e">
        <f t="shared" si="37"/>
        <v>#N/A</v>
      </c>
      <c r="AJ214" s="16" t="str">
        <f t="shared" si="38"/>
        <v/>
      </c>
      <c r="AK214" s="16" t="str">
        <f t="shared" si="39"/>
        <v/>
      </c>
      <c r="AL214" s="16" t="e">
        <f>IF(AK214="",NA(),COUNTIF(AK$176:$AK214,AK214))</f>
        <v>#N/A</v>
      </c>
      <c r="AM214" s="16" t="e">
        <f t="shared" si="40"/>
        <v>#N/A</v>
      </c>
      <c r="AN214" s="16" t="e">
        <f t="shared" si="41"/>
        <v>#N/A</v>
      </c>
      <c r="AO214" s="16" t="str">
        <f t="shared" si="42"/>
        <v/>
      </c>
      <c r="AP214" s="16" t="str">
        <f t="shared" si="43"/>
        <v/>
      </c>
      <c r="AQ214" s="16" t="e">
        <f>IF(AP214="",NA(),COUNTIF(AP$176:$AP214,AP214))</f>
        <v>#N/A</v>
      </c>
      <c r="AR214" s="16" t="e">
        <f t="shared" si="44"/>
        <v>#N/A</v>
      </c>
      <c r="BI214" s="621">
        <v>206</v>
      </c>
      <c r="BJ214" s="711"/>
      <c r="BK214" s="712"/>
      <c r="BL214" s="713">
        <v>206</v>
      </c>
      <c r="BM214" s="714"/>
      <c r="BN214" s="239"/>
      <c r="BO214" s="24"/>
      <c r="BQ214" s="621">
        <v>206</v>
      </c>
      <c r="BR214" s="711"/>
      <c r="BS214" s="712"/>
      <c r="BT214" s="713">
        <v>206</v>
      </c>
      <c r="BU214" s="714"/>
      <c r="BV214" s="239"/>
      <c r="BW214" s="24"/>
      <c r="BY214" s="621">
        <v>206</v>
      </c>
      <c r="BZ214" s="711"/>
      <c r="CA214" s="712"/>
      <c r="CB214" s="713">
        <v>206</v>
      </c>
      <c r="CC214" s="714"/>
      <c r="CD214" s="239"/>
      <c r="CE214" s="24"/>
    </row>
    <row r="215" spans="5:83" ht="12" customHeight="1">
      <c r="E215" s="621">
        <v>207</v>
      </c>
      <c r="F215" s="711"/>
      <c r="G215" s="712"/>
      <c r="H215" s="713">
        <v>207</v>
      </c>
      <c r="I215" s="714"/>
      <c r="J215" s="239"/>
      <c r="K215" s="24"/>
      <c r="AI215" s="16" t="e">
        <f t="shared" si="37"/>
        <v>#N/A</v>
      </c>
      <c r="AJ215" s="16" t="str">
        <f t="shared" si="38"/>
        <v/>
      </c>
      <c r="AK215" s="16" t="str">
        <f t="shared" si="39"/>
        <v/>
      </c>
      <c r="AL215" s="16" t="e">
        <f>IF(AK215="",NA(),COUNTIF(AK$176:$AK215,AK215))</f>
        <v>#N/A</v>
      </c>
      <c r="AM215" s="16" t="e">
        <f t="shared" si="40"/>
        <v>#N/A</v>
      </c>
      <c r="AN215" s="16" t="e">
        <f t="shared" si="41"/>
        <v>#N/A</v>
      </c>
      <c r="AO215" s="16" t="str">
        <f t="shared" si="42"/>
        <v/>
      </c>
      <c r="AP215" s="16" t="str">
        <f t="shared" si="43"/>
        <v/>
      </c>
      <c r="AQ215" s="16" t="e">
        <f>IF(AP215="",NA(),COUNTIF(AP$176:$AP215,AP215))</f>
        <v>#N/A</v>
      </c>
      <c r="AR215" s="16" t="e">
        <f t="shared" si="44"/>
        <v>#N/A</v>
      </c>
      <c r="BI215" s="621">
        <v>207</v>
      </c>
      <c r="BJ215" s="711"/>
      <c r="BK215" s="712"/>
      <c r="BL215" s="713">
        <v>207</v>
      </c>
      <c r="BM215" s="714"/>
      <c r="BN215" s="239"/>
      <c r="BO215" s="24"/>
      <c r="BQ215" s="621">
        <v>207</v>
      </c>
      <c r="BR215" s="711"/>
      <c r="BS215" s="712"/>
      <c r="BT215" s="713">
        <v>207</v>
      </c>
      <c r="BU215" s="714"/>
      <c r="BV215" s="239"/>
      <c r="BW215" s="24"/>
      <c r="BY215" s="621">
        <v>207</v>
      </c>
      <c r="BZ215" s="711"/>
      <c r="CA215" s="712"/>
      <c r="CB215" s="713">
        <v>207</v>
      </c>
      <c r="CC215" s="714"/>
      <c r="CD215" s="239"/>
      <c r="CE215" s="24"/>
    </row>
    <row r="216" spans="5:83" ht="12" customHeight="1">
      <c r="E216" s="621">
        <v>208</v>
      </c>
      <c r="F216" s="711"/>
      <c r="G216" s="712"/>
      <c r="H216" s="713">
        <v>208</v>
      </c>
      <c r="I216" s="714"/>
      <c r="J216" s="239"/>
      <c r="K216" s="24"/>
      <c r="AI216" s="16" t="e">
        <f t="shared" si="37"/>
        <v>#N/A</v>
      </c>
      <c r="AJ216" s="16" t="str">
        <f t="shared" si="38"/>
        <v/>
      </c>
      <c r="AK216" s="16" t="str">
        <f t="shared" si="39"/>
        <v/>
      </c>
      <c r="AL216" s="16" t="e">
        <f>IF(AK216="",NA(),COUNTIF(AK$176:$AK216,AK216))</f>
        <v>#N/A</v>
      </c>
      <c r="AM216" s="16" t="e">
        <f t="shared" si="40"/>
        <v>#N/A</v>
      </c>
      <c r="AN216" s="16" t="e">
        <f t="shared" si="41"/>
        <v>#N/A</v>
      </c>
      <c r="AO216" s="16" t="str">
        <f t="shared" si="42"/>
        <v/>
      </c>
      <c r="AP216" s="16" t="str">
        <f t="shared" si="43"/>
        <v/>
      </c>
      <c r="AQ216" s="16" t="e">
        <f>IF(AP216="",NA(),COUNTIF(AP$176:$AP216,AP216))</f>
        <v>#N/A</v>
      </c>
      <c r="AR216" s="16" t="e">
        <f t="shared" si="44"/>
        <v>#N/A</v>
      </c>
      <c r="BI216" s="621">
        <v>208</v>
      </c>
      <c r="BJ216" s="711"/>
      <c r="BK216" s="712"/>
      <c r="BL216" s="713">
        <v>208</v>
      </c>
      <c r="BM216" s="714"/>
      <c r="BN216" s="239"/>
      <c r="BO216" s="24"/>
      <c r="BQ216" s="621">
        <v>208</v>
      </c>
      <c r="BR216" s="711"/>
      <c r="BS216" s="712"/>
      <c r="BT216" s="713">
        <v>208</v>
      </c>
      <c r="BU216" s="714"/>
      <c r="BV216" s="239"/>
      <c r="BW216" s="24"/>
      <c r="BY216" s="621">
        <v>208</v>
      </c>
      <c r="BZ216" s="711"/>
      <c r="CA216" s="712"/>
      <c r="CB216" s="713">
        <v>208</v>
      </c>
      <c r="CC216" s="714"/>
      <c r="CD216" s="239"/>
      <c r="CE216" s="24"/>
    </row>
    <row r="217" spans="5:83" ht="12" customHeight="1">
      <c r="E217" s="621">
        <v>209</v>
      </c>
      <c r="F217" s="711"/>
      <c r="G217" s="712"/>
      <c r="H217" s="713">
        <v>209</v>
      </c>
      <c r="I217" s="714"/>
      <c r="J217" s="239"/>
      <c r="K217" s="24"/>
      <c r="AI217" s="16" t="e">
        <f t="shared" si="37"/>
        <v>#N/A</v>
      </c>
      <c r="AJ217" s="16" t="str">
        <f t="shared" si="38"/>
        <v/>
      </c>
      <c r="AK217" s="16" t="str">
        <f t="shared" si="39"/>
        <v/>
      </c>
      <c r="AL217" s="16" t="e">
        <f>IF(AK217="",NA(),COUNTIF(AK$176:$AK217,AK217))</f>
        <v>#N/A</v>
      </c>
      <c r="AM217" s="16" t="e">
        <f t="shared" si="40"/>
        <v>#N/A</v>
      </c>
      <c r="AN217" s="16" t="e">
        <f t="shared" si="41"/>
        <v>#N/A</v>
      </c>
      <c r="AO217" s="16" t="str">
        <f t="shared" si="42"/>
        <v/>
      </c>
      <c r="AP217" s="16" t="str">
        <f t="shared" si="43"/>
        <v/>
      </c>
      <c r="AQ217" s="16" t="e">
        <f>IF(AP217="",NA(),COUNTIF(AP$176:$AP217,AP217))</f>
        <v>#N/A</v>
      </c>
      <c r="AR217" s="16" t="e">
        <f t="shared" si="44"/>
        <v>#N/A</v>
      </c>
      <c r="BI217" s="621">
        <v>209</v>
      </c>
      <c r="BJ217" s="711"/>
      <c r="BK217" s="712"/>
      <c r="BL217" s="713">
        <v>209</v>
      </c>
      <c r="BM217" s="714"/>
      <c r="BN217" s="239"/>
      <c r="BO217" s="24"/>
      <c r="BQ217" s="621">
        <v>209</v>
      </c>
      <c r="BR217" s="711"/>
      <c r="BS217" s="712"/>
      <c r="BT217" s="713">
        <v>209</v>
      </c>
      <c r="BU217" s="714"/>
      <c r="BV217" s="239"/>
      <c r="BW217" s="24"/>
      <c r="BY217" s="621">
        <v>209</v>
      </c>
      <c r="BZ217" s="711"/>
      <c r="CA217" s="712"/>
      <c r="CB217" s="713">
        <v>209</v>
      </c>
      <c r="CC217" s="714"/>
      <c r="CD217" s="239"/>
      <c r="CE217" s="24"/>
    </row>
    <row r="218" spans="5:83" ht="12" customHeight="1">
      <c r="E218" s="621">
        <v>210</v>
      </c>
      <c r="F218" s="711"/>
      <c r="G218" s="712"/>
      <c r="H218" s="713">
        <v>210</v>
      </c>
      <c r="I218" s="714"/>
      <c r="J218" s="239"/>
      <c r="K218" s="24"/>
      <c r="AI218" s="16" t="e">
        <f t="shared" si="37"/>
        <v>#N/A</v>
      </c>
      <c r="AJ218" s="16" t="str">
        <f t="shared" si="38"/>
        <v/>
      </c>
      <c r="AK218" s="16" t="str">
        <f t="shared" si="39"/>
        <v/>
      </c>
      <c r="AL218" s="16" t="e">
        <f>IF(AK218="",NA(),COUNTIF(AK$176:$AK218,AK218))</f>
        <v>#N/A</v>
      </c>
      <c r="AM218" s="16" t="e">
        <f t="shared" si="40"/>
        <v>#N/A</v>
      </c>
      <c r="AN218" s="16" t="e">
        <f t="shared" si="41"/>
        <v>#N/A</v>
      </c>
      <c r="AO218" s="16" t="str">
        <f t="shared" si="42"/>
        <v/>
      </c>
      <c r="AP218" s="16" t="str">
        <f t="shared" si="43"/>
        <v/>
      </c>
      <c r="AQ218" s="16" t="e">
        <f>IF(AP218="",NA(),COUNTIF(AP$176:$AP218,AP218))</f>
        <v>#N/A</v>
      </c>
      <c r="AR218" s="16" t="e">
        <f t="shared" si="44"/>
        <v>#N/A</v>
      </c>
      <c r="BI218" s="621">
        <v>210</v>
      </c>
      <c r="BJ218" s="711"/>
      <c r="BK218" s="712"/>
      <c r="BL218" s="713">
        <v>210</v>
      </c>
      <c r="BM218" s="714"/>
      <c r="BN218" s="239"/>
      <c r="BO218" s="24"/>
      <c r="BQ218" s="621">
        <v>210</v>
      </c>
      <c r="BR218" s="711"/>
      <c r="BS218" s="712"/>
      <c r="BT218" s="713">
        <v>210</v>
      </c>
      <c r="BU218" s="714"/>
      <c r="BV218" s="239"/>
      <c r="BW218" s="24"/>
      <c r="BY218" s="621">
        <v>210</v>
      </c>
      <c r="BZ218" s="711"/>
      <c r="CA218" s="712"/>
      <c r="CB218" s="713">
        <v>210</v>
      </c>
      <c r="CC218" s="714"/>
      <c r="CD218" s="239"/>
      <c r="CE218" s="24"/>
    </row>
    <row r="219" spans="5:83" ht="12" customHeight="1">
      <c r="E219" s="621">
        <v>211</v>
      </c>
      <c r="F219" s="711"/>
      <c r="G219" s="712"/>
      <c r="H219" s="713">
        <v>211</v>
      </c>
      <c r="I219" s="714"/>
      <c r="J219" s="239"/>
      <c r="K219" s="24"/>
      <c r="AI219" s="16" t="e">
        <f t="shared" si="37"/>
        <v>#N/A</v>
      </c>
      <c r="AJ219" s="16" t="str">
        <f t="shared" si="38"/>
        <v/>
      </c>
      <c r="AK219" s="16" t="str">
        <f t="shared" si="39"/>
        <v/>
      </c>
      <c r="AL219" s="16" t="e">
        <f>IF(AK219="",NA(),COUNTIF(AK$176:$AK219,AK219))</f>
        <v>#N/A</v>
      </c>
      <c r="AM219" s="16" t="e">
        <f t="shared" si="40"/>
        <v>#N/A</v>
      </c>
      <c r="AN219" s="16" t="e">
        <f t="shared" si="41"/>
        <v>#N/A</v>
      </c>
      <c r="AO219" s="16" t="str">
        <f t="shared" si="42"/>
        <v/>
      </c>
      <c r="AP219" s="16" t="str">
        <f t="shared" si="43"/>
        <v/>
      </c>
      <c r="AQ219" s="16" t="e">
        <f>IF(AP219="",NA(),COUNTIF(AP$176:$AP219,AP219))</f>
        <v>#N/A</v>
      </c>
      <c r="AR219" s="16" t="e">
        <f t="shared" si="44"/>
        <v>#N/A</v>
      </c>
      <c r="BI219" s="621">
        <v>211</v>
      </c>
      <c r="BJ219" s="711"/>
      <c r="BK219" s="712"/>
      <c r="BL219" s="713">
        <v>211</v>
      </c>
      <c r="BM219" s="714"/>
      <c r="BN219" s="239"/>
      <c r="BO219" s="24"/>
      <c r="BQ219" s="621">
        <v>211</v>
      </c>
      <c r="BR219" s="711"/>
      <c r="BS219" s="712"/>
      <c r="BT219" s="713">
        <v>211</v>
      </c>
      <c r="BU219" s="714"/>
      <c r="BV219" s="239"/>
      <c r="BW219" s="24"/>
      <c r="BY219" s="621">
        <v>211</v>
      </c>
      <c r="BZ219" s="711"/>
      <c r="CA219" s="712"/>
      <c r="CB219" s="713">
        <v>211</v>
      </c>
      <c r="CC219" s="714"/>
      <c r="CD219" s="239"/>
      <c r="CE219" s="24"/>
    </row>
    <row r="220" spans="5:83" ht="12" customHeight="1">
      <c r="E220" s="621">
        <v>212</v>
      </c>
      <c r="F220" s="711"/>
      <c r="G220" s="712"/>
      <c r="H220" s="713">
        <v>212</v>
      </c>
      <c r="I220" s="714"/>
      <c r="J220" s="239"/>
      <c r="K220" s="24"/>
      <c r="AI220" s="16" t="e">
        <f t="shared" si="37"/>
        <v>#N/A</v>
      </c>
      <c r="AJ220" s="16" t="str">
        <f t="shared" si="38"/>
        <v/>
      </c>
      <c r="AK220" s="16" t="str">
        <f t="shared" si="39"/>
        <v/>
      </c>
      <c r="AL220" s="16" t="e">
        <f>IF(AK220="",NA(),COUNTIF(AK$176:$AK220,AK220))</f>
        <v>#N/A</v>
      </c>
      <c r="AM220" s="16" t="e">
        <f t="shared" si="40"/>
        <v>#N/A</v>
      </c>
      <c r="AN220" s="16" t="e">
        <f t="shared" si="41"/>
        <v>#N/A</v>
      </c>
      <c r="AO220" s="16" t="str">
        <f t="shared" si="42"/>
        <v/>
      </c>
      <c r="AP220" s="16" t="str">
        <f t="shared" si="43"/>
        <v/>
      </c>
      <c r="AQ220" s="16" t="e">
        <f>IF(AP220="",NA(),COUNTIF(AP$176:$AP220,AP220))</f>
        <v>#N/A</v>
      </c>
      <c r="AR220" s="16" t="e">
        <f t="shared" si="44"/>
        <v>#N/A</v>
      </c>
      <c r="BI220" s="621">
        <v>212</v>
      </c>
      <c r="BJ220" s="711"/>
      <c r="BK220" s="712"/>
      <c r="BL220" s="713">
        <v>212</v>
      </c>
      <c r="BM220" s="714"/>
      <c r="BN220" s="239"/>
      <c r="BO220" s="24"/>
      <c r="BQ220" s="621">
        <v>212</v>
      </c>
      <c r="BR220" s="711"/>
      <c r="BS220" s="712"/>
      <c r="BT220" s="713">
        <v>212</v>
      </c>
      <c r="BU220" s="714"/>
      <c r="BV220" s="239"/>
      <c r="BW220" s="24"/>
      <c r="BY220" s="621">
        <v>212</v>
      </c>
      <c r="BZ220" s="711"/>
      <c r="CA220" s="712"/>
      <c r="CB220" s="713">
        <v>212</v>
      </c>
      <c r="CC220" s="714"/>
      <c r="CD220" s="239"/>
      <c r="CE220" s="24"/>
    </row>
    <row r="221" spans="5:83" ht="12" customHeight="1">
      <c r="E221" s="621">
        <v>213</v>
      </c>
      <c r="F221" s="711"/>
      <c r="G221" s="712"/>
      <c r="H221" s="713">
        <v>213</v>
      </c>
      <c r="I221" s="714"/>
      <c r="J221" s="239"/>
      <c r="K221" s="24"/>
      <c r="AI221" s="16" t="e">
        <f t="shared" si="37"/>
        <v>#N/A</v>
      </c>
      <c r="AJ221" s="16" t="str">
        <f t="shared" si="38"/>
        <v/>
      </c>
      <c r="AK221" s="16" t="str">
        <f t="shared" si="39"/>
        <v/>
      </c>
      <c r="AL221" s="16" t="e">
        <f>IF(AK221="",NA(),COUNTIF(AK$176:$AK221,AK221))</f>
        <v>#N/A</v>
      </c>
      <c r="AM221" s="16" t="e">
        <f t="shared" si="40"/>
        <v>#N/A</v>
      </c>
      <c r="AN221" s="16" t="e">
        <f t="shared" si="41"/>
        <v>#N/A</v>
      </c>
      <c r="AO221" s="16" t="str">
        <f t="shared" si="42"/>
        <v/>
      </c>
      <c r="AP221" s="16" t="str">
        <f t="shared" si="43"/>
        <v/>
      </c>
      <c r="AQ221" s="16" t="e">
        <f>IF(AP221="",NA(),COUNTIF(AP$176:$AP221,AP221))</f>
        <v>#N/A</v>
      </c>
      <c r="AR221" s="16" t="e">
        <f t="shared" si="44"/>
        <v>#N/A</v>
      </c>
      <c r="BI221" s="621">
        <v>213</v>
      </c>
      <c r="BJ221" s="711"/>
      <c r="BK221" s="712"/>
      <c r="BL221" s="713">
        <v>213</v>
      </c>
      <c r="BM221" s="714"/>
      <c r="BN221" s="239"/>
      <c r="BO221" s="24"/>
      <c r="BQ221" s="621">
        <v>213</v>
      </c>
      <c r="BR221" s="711"/>
      <c r="BS221" s="712"/>
      <c r="BT221" s="713">
        <v>213</v>
      </c>
      <c r="BU221" s="714"/>
      <c r="BV221" s="239"/>
      <c r="BW221" s="24"/>
      <c r="BY221" s="621">
        <v>213</v>
      </c>
      <c r="BZ221" s="711"/>
      <c r="CA221" s="712"/>
      <c r="CB221" s="713">
        <v>213</v>
      </c>
      <c r="CC221" s="714"/>
      <c r="CD221" s="239"/>
      <c r="CE221" s="24"/>
    </row>
    <row r="222" spans="5:83" ht="12" customHeight="1">
      <c r="E222" s="621">
        <v>214</v>
      </c>
      <c r="F222" s="711"/>
      <c r="G222" s="712"/>
      <c r="H222" s="713">
        <v>214</v>
      </c>
      <c r="I222" s="714"/>
      <c r="J222" s="239"/>
      <c r="K222" s="24"/>
      <c r="AI222" s="16" t="e">
        <f t="shared" si="37"/>
        <v>#N/A</v>
      </c>
      <c r="AJ222" s="16" t="str">
        <f t="shared" si="38"/>
        <v/>
      </c>
      <c r="AK222" s="16" t="str">
        <f t="shared" si="39"/>
        <v/>
      </c>
      <c r="AL222" s="16" t="e">
        <f>IF(AK222="",NA(),COUNTIF(AK$176:$AK222,AK222))</f>
        <v>#N/A</v>
      </c>
      <c r="AM222" s="16" t="e">
        <f t="shared" si="40"/>
        <v>#N/A</v>
      </c>
      <c r="AN222" s="16" t="e">
        <f t="shared" si="41"/>
        <v>#N/A</v>
      </c>
      <c r="AO222" s="16" t="str">
        <f t="shared" si="42"/>
        <v/>
      </c>
      <c r="AP222" s="16" t="str">
        <f t="shared" si="43"/>
        <v/>
      </c>
      <c r="AQ222" s="16" t="e">
        <f>IF(AP222="",NA(),COUNTIF(AP$176:$AP222,AP222))</f>
        <v>#N/A</v>
      </c>
      <c r="AR222" s="16" t="e">
        <f t="shared" si="44"/>
        <v>#N/A</v>
      </c>
      <c r="BI222" s="621">
        <v>214</v>
      </c>
      <c r="BJ222" s="711"/>
      <c r="BK222" s="712"/>
      <c r="BL222" s="713">
        <v>214</v>
      </c>
      <c r="BM222" s="714"/>
      <c r="BN222" s="239"/>
      <c r="BO222" s="24"/>
      <c r="BQ222" s="621">
        <v>214</v>
      </c>
      <c r="BR222" s="711"/>
      <c r="BS222" s="712"/>
      <c r="BT222" s="713">
        <v>214</v>
      </c>
      <c r="BU222" s="714"/>
      <c r="BV222" s="239"/>
      <c r="BW222" s="24"/>
      <c r="BY222" s="621">
        <v>214</v>
      </c>
      <c r="BZ222" s="711"/>
      <c r="CA222" s="712"/>
      <c r="CB222" s="713">
        <v>214</v>
      </c>
      <c r="CC222" s="714"/>
      <c r="CD222" s="239"/>
      <c r="CE222" s="24"/>
    </row>
    <row r="223" spans="5:83" ht="12" customHeight="1">
      <c r="E223" s="621">
        <v>215</v>
      </c>
      <c r="F223" s="711"/>
      <c r="G223" s="712"/>
      <c r="H223" s="713">
        <v>215</v>
      </c>
      <c r="I223" s="714"/>
      <c r="J223" s="239"/>
      <c r="K223" s="24"/>
      <c r="AI223" s="16" t="e">
        <f t="shared" si="37"/>
        <v>#N/A</v>
      </c>
      <c r="AJ223" s="16" t="str">
        <f t="shared" si="38"/>
        <v/>
      </c>
      <c r="AK223" s="16" t="str">
        <f t="shared" si="39"/>
        <v/>
      </c>
      <c r="AL223" s="16" t="e">
        <f>IF(AK223="",NA(),COUNTIF(AK$176:$AK223,AK223))</f>
        <v>#N/A</v>
      </c>
      <c r="AM223" s="16" t="e">
        <f t="shared" si="40"/>
        <v>#N/A</v>
      </c>
      <c r="AN223" s="16" t="e">
        <f t="shared" si="41"/>
        <v>#N/A</v>
      </c>
      <c r="AO223" s="16" t="str">
        <f t="shared" si="42"/>
        <v/>
      </c>
      <c r="AP223" s="16" t="str">
        <f t="shared" si="43"/>
        <v/>
      </c>
      <c r="AQ223" s="16" t="e">
        <f>IF(AP223="",NA(),COUNTIF(AP$176:$AP223,AP223))</f>
        <v>#N/A</v>
      </c>
      <c r="AR223" s="16" t="e">
        <f t="shared" si="44"/>
        <v>#N/A</v>
      </c>
      <c r="BI223" s="621">
        <v>215</v>
      </c>
      <c r="BJ223" s="711"/>
      <c r="BK223" s="712"/>
      <c r="BL223" s="713">
        <v>215</v>
      </c>
      <c r="BM223" s="714"/>
      <c r="BN223" s="239"/>
      <c r="BO223" s="24"/>
      <c r="BQ223" s="621">
        <v>215</v>
      </c>
      <c r="BR223" s="711"/>
      <c r="BS223" s="712"/>
      <c r="BT223" s="713">
        <v>215</v>
      </c>
      <c r="BU223" s="714"/>
      <c r="BV223" s="239"/>
      <c r="BW223" s="24"/>
      <c r="BY223" s="621">
        <v>215</v>
      </c>
      <c r="BZ223" s="711"/>
      <c r="CA223" s="712"/>
      <c r="CB223" s="713">
        <v>215</v>
      </c>
      <c r="CC223" s="714"/>
      <c r="CD223" s="239"/>
      <c r="CE223" s="24"/>
    </row>
    <row r="224" spans="5:83" ht="12" customHeight="1">
      <c r="E224" s="621">
        <v>216</v>
      </c>
      <c r="F224" s="711"/>
      <c r="G224" s="712"/>
      <c r="H224" s="713">
        <v>216</v>
      </c>
      <c r="I224" s="714"/>
      <c r="J224" s="239"/>
      <c r="K224" s="24"/>
      <c r="AI224" s="16" t="e">
        <f t="shared" si="37"/>
        <v>#N/A</v>
      </c>
      <c r="AJ224" s="16" t="str">
        <f t="shared" si="38"/>
        <v/>
      </c>
      <c r="AK224" s="16" t="str">
        <f t="shared" si="39"/>
        <v/>
      </c>
      <c r="AL224" s="16" t="e">
        <f>IF(AK224="",NA(),COUNTIF(AK$176:$AK224,AK224))</f>
        <v>#N/A</v>
      </c>
      <c r="AM224" s="16" t="e">
        <f t="shared" si="40"/>
        <v>#N/A</v>
      </c>
      <c r="AN224" s="16" t="e">
        <f t="shared" si="41"/>
        <v>#N/A</v>
      </c>
      <c r="AO224" s="16" t="str">
        <f t="shared" si="42"/>
        <v/>
      </c>
      <c r="AP224" s="16" t="str">
        <f t="shared" si="43"/>
        <v/>
      </c>
      <c r="AQ224" s="16" t="e">
        <f>IF(AP224="",NA(),COUNTIF(AP$176:$AP224,AP224))</f>
        <v>#N/A</v>
      </c>
      <c r="AR224" s="16" t="e">
        <f t="shared" si="44"/>
        <v>#N/A</v>
      </c>
      <c r="BI224" s="621">
        <v>216</v>
      </c>
      <c r="BJ224" s="711"/>
      <c r="BK224" s="712"/>
      <c r="BL224" s="713">
        <v>216</v>
      </c>
      <c r="BM224" s="714"/>
      <c r="BN224" s="239"/>
      <c r="BO224" s="24"/>
      <c r="BQ224" s="621">
        <v>216</v>
      </c>
      <c r="BR224" s="711"/>
      <c r="BS224" s="712"/>
      <c r="BT224" s="713">
        <v>216</v>
      </c>
      <c r="BU224" s="714"/>
      <c r="BV224" s="239"/>
      <c r="BW224" s="24"/>
      <c r="BY224" s="621">
        <v>216</v>
      </c>
      <c r="BZ224" s="711"/>
      <c r="CA224" s="712"/>
      <c r="CB224" s="713">
        <v>216</v>
      </c>
      <c r="CC224" s="714"/>
      <c r="CD224" s="239"/>
      <c r="CE224" s="24"/>
    </row>
    <row r="225" spans="5:83" ht="12" customHeight="1">
      <c r="E225" s="621">
        <v>217</v>
      </c>
      <c r="F225" s="711"/>
      <c r="G225" s="712"/>
      <c r="H225" s="713">
        <v>217</v>
      </c>
      <c r="I225" s="714"/>
      <c r="J225" s="239"/>
      <c r="K225" s="24"/>
      <c r="AI225" s="16" t="e">
        <f t="shared" si="37"/>
        <v>#N/A</v>
      </c>
      <c r="AJ225" s="16" t="str">
        <f t="shared" si="38"/>
        <v/>
      </c>
      <c r="AK225" s="16" t="str">
        <f t="shared" si="39"/>
        <v/>
      </c>
      <c r="AL225" s="16" t="e">
        <f>IF(AK225="",NA(),COUNTIF(AK$176:$AK225,AK225))</f>
        <v>#N/A</v>
      </c>
      <c r="AM225" s="16" t="e">
        <f t="shared" si="40"/>
        <v>#N/A</v>
      </c>
      <c r="AN225" s="16" t="e">
        <f t="shared" si="41"/>
        <v>#N/A</v>
      </c>
      <c r="AO225" s="16" t="str">
        <f t="shared" si="42"/>
        <v/>
      </c>
      <c r="AP225" s="16" t="str">
        <f t="shared" si="43"/>
        <v/>
      </c>
      <c r="AQ225" s="16" t="e">
        <f>IF(AP225="",NA(),COUNTIF(AP$176:$AP225,AP225))</f>
        <v>#N/A</v>
      </c>
      <c r="AR225" s="16" t="e">
        <f t="shared" si="44"/>
        <v>#N/A</v>
      </c>
      <c r="BI225" s="621">
        <v>217</v>
      </c>
      <c r="BJ225" s="711"/>
      <c r="BK225" s="712"/>
      <c r="BL225" s="713">
        <v>217</v>
      </c>
      <c r="BM225" s="714"/>
      <c r="BN225" s="239"/>
      <c r="BO225" s="24"/>
      <c r="BQ225" s="621">
        <v>217</v>
      </c>
      <c r="BR225" s="711"/>
      <c r="BS225" s="712"/>
      <c r="BT225" s="713">
        <v>217</v>
      </c>
      <c r="BU225" s="714"/>
      <c r="BV225" s="239"/>
      <c r="BW225" s="24"/>
      <c r="BY225" s="621">
        <v>217</v>
      </c>
      <c r="BZ225" s="711"/>
      <c r="CA225" s="712"/>
      <c r="CB225" s="713">
        <v>217</v>
      </c>
      <c r="CC225" s="714"/>
      <c r="CD225" s="239"/>
      <c r="CE225" s="24"/>
    </row>
    <row r="226" spans="5:83" ht="12" customHeight="1">
      <c r="E226" s="621">
        <v>218</v>
      </c>
      <c r="F226" s="711"/>
      <c r="G226" s="712"/>
      <c r="H226" s="713">
        <v>218</v>
      </c>
      <c r="I226" s="714"/>
      <c r="J226" s="239"/>
      <c r="K226" s="24"/>
      <c r="AI226" s="16" t="e">
        <f t="shared" si="37"/>
        <v>#N/A</v>
      </c>
      <c r="AJ226" s="16" t="str">
        <f t="shared" si="38"/>
        <v/>
      </c>
      <c r="AK226" s="16" t="str">
        <f t="shared" si="39"/>
        <v/>
      </c>
      <c r="AL226" s="16" t="e">
        <f>IF(AK226="",NA(),COUNTIF(AK$176:$AK226,AK226))</f>
        <v>#N/A</v>
      </c>
      <c r="AM226" s="16" t="e">
        <f t="shared" si="40"/>
        <v>#N/A</v>
      </c>
      <c r="AN226" s="16" t="e">
        <f t="shared" si="41"/>
        <v>#N/A</v>
      </c>
      <c r="AO226" s="16" t="str">
        <f t="shared" si="42"/>
        <v/>
      </c>
      <c r="AP226" s="16" t="str">
        <f t="shared" si="43"/>
        <v/>
      </c>
      <c r="AQ226" s="16" t="e">
        <f>IF(AP226="",NA(),COUNTIF(AP$176:$AP226,AP226))</f>
        <v>#N/A</v>
      </c>
      <c r="AR226" s="16" t="e">
        <f t="shared" si="44"/>
        <v>#N/A</v>
      </c>
      <c r="BI226" s="621">
        <v>218</v>
      </c>
      <c r="BJ226" s="711"/>
      <c r="BK226" s="712"/>
      <c r="BL226" s="713">
        <v>218</v>
      </c>
      <c r="BM226" s="714"/>
      <c r="BN226" s="239"/>
      <c r="BO226" s="24"/>
      <c r="BQ226" s="621">
        <v>218</v>
      </c>
      <c r="BR226" s="711"/>
      <c r="BS226" s="712"/>
      <c r="BT226" s="713">
        <v>218</v>
      </c>
      <c r="BU226" s="714"/>
      <c r="BV226" s="239"/>
      <c r="BW226" s="24"/>
      <c r="BY226" s="621">
        <v>218</v>
      </c>
      <c r="BZ226" s="711"/>
      <c r="CA226" s="712"/>
      <c r="CB226" s="713">
        <v>218</v>
      </c>
      <c r="CC226" s="714"/>
      <c r="CD226" s="239"/>
      <c r="CE226" s="24"/>
    </row>
    <row r="227" spans="5:83" ht="12" customHeight="1">
      <c r="E227" s="621">
        <v>219</v>
      </c>
      <c r="F227" s="711"/>
      <c r="G227" s="712"/>
      <c r="H227" s="713">
        <v>219</v>
      </c>
      <c r="I227" s="714"/>
      <c r="J227" s="239"/>
      <c r="K227" s="24"/>
      <c r="AI227" s="16" t="e">
        <f t="shared" si="37"/>
        <v>#N/A</v>
      </c>
      <c r="AJ227" s="16" t="str">
        <f t="shared" si="38"/>
        <v/>
      </c>
      <c r="AK227" s="16" t="str">
        <f t="shared" si="39"/>
        <v/>
      </c>
      <c r="AL227" s="16" t="e">
        <f>IF(AK227="",NA(),COUNTIF(AK$176:$AK227,AK227))</f>
        <v>#N/A</v>
      </c>
      <c r="AM227" s="16" t="e">
        <f t="shared" si="40"/>
        <v>#N/A</v>
      </c>
      <c r="AN227" s="16" t="e">
        <f t="shared" si="41"/>
        <v>#N/A</v>
      </c>
      <c r="AO227" s="16" t="str">
        <f t="shared" si="42"/>
        <v/>
      </c>
      <c r="AP227" s="16" t="str">
        <f t="shared" si="43"/>
        <v/>
      </c>
      <c r="AQ227" s="16" t="e">
        <f>IF(AP227="",NA(),COUNTIF(AP$176:$AP227,AP227))</f>
        <v>#N/A</v>
      </c>
      <c r="AR227" s="16" t="e">
        <f t="shared" si="44"/>
        <v>#N/A</v>
      </c>
      <c r="BI227" s="621">
        <v>219</v>
      </c>
      <c r="BJ227" s="711"/>
      <c r="BK227" s="712"/>
      <c r="BL227" s="713">
        <v>219</v>
      </c>
      <c r="BM227" s="714"/>
      <c r="BN227" s="239"/>
      <c r="BO227" s="24"/>
      <c r="BQ227" s="621">
        <v>219</v>
      </c>
      <c r="BR227" s="711"/>
      <c r="BS227" s="712"/>
      <c r="BT227" s="713">
        <v>219</v>
      </c>
      <c r="BU227" s="714"/>
      <c r="BV227" s="239"/>
      <c r="BW227" s="24"/>
      <c r="BY227" s="621">
        <v>219</v>
      </c>
      <c r="BZ227" s="711"/>
      <c r="CA227" s="712"/>
      <c r="CB227" s="713">
        <v>219</v>
      </c>
      <c r="CC227" s="714"/>
      <c r="CD227" s="239"/>
      <c r="CE227" s="24"/>
    </row>
    <row r="228" spans="5:83" ht="12" customHeight="1">
      <c r="E228" s="621">
        <v>220</v>
      </c>
      <c r="F228" s="711"/>
      <c r="G228" s="712"/>
      <c r="H228" s="713">
        <v>220</v>
      </c>
      <c r="I228" s="714"/>
      <c r="J228" s="239"/>
      <c r="K228" s="24"/>
      <c r="AI228" s="16" t="e">
        <f t="shared" si="37"/>
        <v>#N/A</v>
      </c>
      <c r="AJ228" s="16" t="str">
        <f t="shared" si="38"/>
        <v/>
      </c>
      <c r="AK228" s="16" t="str">
        <f t="shared" si="39"/>
        <v/>
      </c>
      <c r="AL228" s="16" t="e">
        <f>IF(AK228="",NA(),COUNTIF(AK$176:$AK228,AK228))</f>
        <v>#N/A</v>
      </c>
      <c r="AM228" s="16" t="e">
        <f t="shared" si="40"/>
        <v>#N/A</v>
      </c>
      <c r="AN228" s="16" t="e">
        <f t="shared" si="41"/>
        <v>#N/A</v>
      </c>
      <c r="AO228" s="16" t="str">
        <f t="shared" si="42"/>
        <v/>
      </c>
      <c r="AP228" s="16" t="str">
        <f t="shared" si="43"/>
        <v/>
      </c>
      <c r="AQ228" s="16" t="e">
        <f>IF(AP228="",NA(),COUNTIF(AP$176:$AP228,AP228))</f>
        <v>#N/A</v>
      </c>
      <c r="AR228" s="16" t="e">
        <f t="shared" si="44"/>
        <v>#N/A</v>
      </c>
      <c r="BI228" s="621">
        <v>220</v>
      </c>
      <c r="BJ228" s="711"/>
      <c r="BK228" s="712"/>
      <c r="BL228" s="713">
        <v>220</v>
      </c>
      <c r="BM228" s="714"/>
      <c r="BN228" s="239"/>
      <c r="BO228" s="24"/>
      <c r="BQ228" s="621">
        <v>220</v>
      </c>
      <c r="BR228" s="711"/>
      <c r="BS228" s="712"/>
      <c r="BT228" s="713">
        <v>220</v>
      </c>
      <c r="BU228" s="714"/>
      <c r="BV228" s="239"/>
      <c r="BW228" s="24"/>
      <c r="BY228" s="621">
        <v>220</v>
      </c>
      <c r="BZ228" s="711"/>
      <c r="CA228" s="712"/>
      <c r="CB228" s="713">
        <v>220</v>
      </c>
      <c r="CC228" s="714"/>
      <c r="CD228" s="239"/>
      <c r="CE228" s="24"/>
    </row>
    <row r="229" spans="5:83" ht="12" customHeight="1">
      <c r="E229" s="621">
        <v>221</v>
      </c>
      <c r="F229" s="711"/>
      <c r="G229" s="712"/>
      <c r="H229" s="713">
        <v>221</v>
      </c>
      <c r="I229" s="714"/>
      <c r="J229" s="239"/>
      <c r="K229" s="24"/>
      <c r="AI229" s="16" t="e">
        <f t="shared" si="37"/>
        <v>#N/A</v>
      </c>
      <c r="AJ229" s="16" t="str">
        <f t="shared" si="38"/>
        <v/>
      </c>
      <c r="AK229" s="16" t="str">
        <f t="shared" si="39"/>
        <v/>
      </c>
      <c r="AL229" s="16" t="e">
        <f>IF(AK229="",NA(),COUNTIF(AK$176:$AK229,AK229))</f>
        <v>#N/A</v>
      </c>
      <c r="AM229" s="16" t="e">
        <f t="shared" si="40"/>
        <v>#N/A</v>
      </c>
      <c r="AN229" s="16" t="e">
        <f t="shared" si="41"/>
        <v>#N/A</v>
      </c>
      <c r="AO229" s="16" t="str">
        <f t="shared" si="42"/>
        <v/>
      </c>
      <c r="AP229" s="16" t="str">
        <f t="shared" si="43"/>
        <v/>
      </c>
      <c r="AQ229" s="16" t="e">
        <f>IF(AP229="",NA(),COUNTIF(AP$176:$AP229,AP229))</f>
        <v>#N/A</v>
      </c>
      <c r="AR229" s="16" t="e">
        <f t="shared" si="44"/>
        <v>#N/A</v>
      </c>
      <c r="BI229" s="621">
        <v>221</v>
      </c>
      <c r="BJ229" s="711"/>
      <c r="BK229" s="712"/>
      <c r="BL229" s="713">
        <v>221</v>
      </c>
      <c r="BM229" s="714"/>
      <c r="BN229" s="239"/>
      <c r="BO229" s="24"/>
      <c r="BQ229" s="621">
        <v>221</v>
      </c>
      <c r="BR229" s="711"/>
      <c r="BS229" s="712"/>
      <c r="BT229" s="713">
        <v>221</v>
      </c>
      <c r="BU229" s="714"/>
      <c r="BV229" s="239"/>
      <c r="BW229" s="24"/>
      <c r="BY229" s="621">
        <v>221</v>
      </c>
      <c r="BZ229" s="711"/>
      <c r="CA229" s="712"/>
      <c r="CB229" s="713">
        <v>221</v>
      </c>
      <c r="CC229" s="714"/>
      <c r="CD229" s="239"/>
      <c r="CE229" s="24"/>
    </row>
    <row r="230" spans="5:83" ht="12" customHeight="1">
      <c r="E230" s="621">
        <v>222</v>
      </c>
      <c r="F230" s="711"/>
      <c r="G230" s="712"/>
      <c r="H230" s="713">
        <v>222</v>
      </c>
      <c r="I230" s="714"/>
      <c r="J230" s="239"/>
      <c r="K230" s="24"/>
      <c r="AI230" s="16" t="e">
        <f t="shared" si="37"/>
        <v>#N/A</v>
      </c>
      <c r="AJ230" s="16" t="str">
        <f t="shared" si="38"/>
        <v/>
      </c>
      <c r="AK230" s="16" t="str">
        <f t="shared" si="39"/>
        <v/>
      </c>
      <c r="AL230" s="16" t="e">
        <f>IF(AK230="",NA(),COUNTIF(AK$176:$AK230,AK230))</f>
        <v>#N/A</v>
      </c>
      <c r="AM230" s="16" t="e">
        <f t="shared" si="40"/>
        <v>#N/A</v>
      </c>
      <c r="AN230" s="16" t="e">
        <f t="shared" si="41"/>
        <v>#N/A</v>
      </c>
      <c r="AO230" s="16" t="str">
        <f t="shared" si="42"/>
        <v/>
      </c>
      <c r="AP230" s="16" t="str">
        <f t="shared" si="43"/>
        <v/>
      </c>
      <c r="AQ230" s="16" t="e">
        <f>IF(AP230="",NA(),COUNTIF(AP$176:$AP230,AP230))</f>
        <v>#N/A</v>
      </c>
      <c r="AR230" s="16" t="e">
        <f t="shared" si="44"/>
        <v>#N/A</v>
      </c>
      <c r="BI230" s="621">
        <v>222</v>
      </c>
      <c r="BJ230" s="711"/>
      <c r="BK230" s="712"/>
      <c r="BL230" s="713">
        <v>222</v>
      </c>
      <c r="BM230" s="714"/>
      <c r="BN230" s="239"/>
      <c r="BO230" s="24"/>
      <c r="BQ230" s="621">
        <v>222</v>
      </c>
      <c r="BR230" s="711"/>
      <c r="BS230" s="712"/>
      <c r="BT230" s="713">
        <v>222</v>
      </c>
      <c r="BU230" s="714"/>
      <c r="BV230" s="239"/>
      <c r="BW230" s="24"/>
      <c r="BY230" s="621">
        <v>222</v>
      </c>
      <c r="BZ230" s="711"/>
      <c r="CA230" s="712"/>
      <c r="CB230" s="713">
        <v>222</v>
      </c>
      <c r="CC230" s="714"/>
      <c r="CD230" s="239"/>
      <c r="CE230" s="24"/>
    </row>
    <row r="231" spans="5:83" ht="12" customHeight="1">
      <c r="E231" s="621">
        <v>223</v>
      </c>
      <c r="F231" s="711"/>
      <c r="G231" s="712"/>
      <c r="H231" s="713">
        <v>223</v>
      </c>
      <c r="I231" s="714"/>
      <c r="J231" s="239"/>
      <c r="K231" s="24"/>
      <c r="AI231" s="16" t="e">
        <f t="shared" si="37"/>
        <v>#N/A</v>
      </c>
      <c r="AJ231" s="16" t="str">
        <f t="shared" si="38"/>
        <v/>
      </c>
      <c r="AK231" s="16" t="str">
        <f t="shared" si="39"/>
        <v/>
      </c>
      <c r="AL231" s="16" t="e">
        <f>IF(AK231="",NA(),COUNTIF(AK$176:$AK231,AK231))</f>
        <v>#N/A</v>
      </c>
      <c r="AM231" s="16" t="e">
        <f t="shared" si="40"/>
        <v>#N/A</v>
      </c>
      <c r="AN231" s="16" t="e">
        <f t="shared" si="41"/>
        <v>#N/A</v>
      </c>
      <c r="AO231" s="16" t="str">
        <f t="shared" si="42"/>
        <v/>
      </c>
      <c r="AP231" s="16" t="str">
        <f t="shared" si="43"/>
        <v/>
      </c>
      <c r="AQ231" s="16" t="e">
        <f>IF(AP231="",NA(),COUNTIF(AP$176:$AP231,AP231))</f>
        <v>#N/A</v>
      </c>
      <c r="AR231" s="16" t="e">
        <f t="shared" si="44"/>
        <v>#N/A</v>
      </c>
      <c r="BI231" s="621">
        <v>223</v>
      </c>
      <c r="BJ231" s="711"/>
      <c r="BK231" s="712"/>
      <c r="BL231" s="713">
        <v>223</v>
      </c>
      <c r="BM231" s="714"/>
      <c r="BN231" s="239"/>
      <c r="BO231" s="24"/>
      <c r="BQ231" s="621">
        <v>223</v>
      </c>
      <c r="BR231" s="711"/>
      <c r="BS231" s="712"/>
      <c r="BT231" s="713">
        <v>223</v>
      </c>
      <c r="BU231" s="714"/>
      <c r="BV231" s="239"/>
      <c r="BW231" s="24"/>
      <c r="BY231" s="621">
        <v>223</v>
      </c>
      <c r="BZ231" s="711"/>
      <c r="CA231" s="712"/>
      <c r="CB231" s="713">
        <v>223</v>
      </c>
      <c r="CC231" s="714"/>
      <c r="CD231" s="239"/>
      <c r="CE231" s="24"/>
    </row>
    <row r="232" spans="5:83" ht="12" customHeight="1">
      <c r="E232" s="621">
        <v>224</v>
      </c>
      <c r="F232" s="711"/>
      <c r="G232" s="712"/>
      <c r="H232" s="713">
        <v>224</v>
      </c>
      <c r="I232" s="714"/>
      <c r="J232" s="239"/>
      <c r="K232" s="24"/>
      <c r="AI232" s="16" t="e">
        <f t="shared" si="37"/>
        <v>#N/A</v>
      </c>
      <c r="AJ232" s="16" t="str">
        <f t="shared" si="38"/>
        <v/>
      </c>
      <c r="AK232" s="16" t="str">
        <f t="shared" si="39"/>
        <v/>
      </c>
      <c r="AL232" s="16" t="e">
        <f>IF(AK232="",NA(),COUNTIF(AK$176:$AK232,AK232))</f>
        <v>#N/A</v>
      </c>
      <c r="AM232" s="16" t="e">
        <f t="shared" si="40"/>
        <v>#N/A</v>
      </c>
      <c r="AN232" s="16" t="e">
        <f t="shared" si="41"/>
        <v>#N/A</v>
      </c>
      <c r="AO232" s="16" t="str">
        <f t="shared" si="42"/>
        <v/>
      </c>
      <c r="AP232" s="16" t="str">
        <f t="shared" si="43"/>
        <v/>
      </c>
      <c r="AQ232" s="16" t="e">
        <f>IF(AP232="",NA(),COUNTIF(AP$176:$AP232,AP232))</f>
        <v>#N/A</v>
      </c>
      <c r="AR232" s="16" t="e">
        <f t="shared" si="44"/>
        <v>#N/A</v>
      </c>
      <c r="BI232" s="621">
        <v>224</v>
      </c>
      <c r="BJ232" s="711"/>
      <c r="BK232" s="712"/>
      <c r="BL232" s="713">
        <v>224</v>
      </c>
      <c r="BM232" s="714"/>
      <c r="BN232" s="239"/>
      <c r="BO232" s="24"/>
      <c r="BQ232" s="621">
        <v>224</v>
      </c>
      <c r="BR232" s="711"/>
      <c r="BS232" s="712"/>
      <c r="BT232" s="713">
        <v>224</v>
      </c>
      <c r="BU232" s="714"/>
      <c r="BV232" s="239"/>
      <c r="BW232" s="24"/>
      <c r="BY232" s="621">
        <v>224</v>
      </c>
      <c r="BZ232" s="711"/>
      <c r="CA232" s="712"/>
      <c r="CB232" s="713">
        <v>224</v>
      </c>
      <c r="CC232" s="714"/>
      <c r="CD232" s="239"/>
      <c r="CE232" s="24"/>
    </row>
    <row r="233" spans="5:83" ht="12" customHeight="1">
      <c r="E233" s="621">
        <v>225</v>
      </c>
      <c r="F233" s="711"/>
      <c r="G233" s="712"/>
      <c r="H233" s="713">
        <v>225</v>
      </c>
      <c r="I233" s="714"/>
      <c r="J233" s="239"/>
      <c r="K233" s="24"/>
      <c r="AI233" s="16" t="e">
        <f t="shared" si="37"/>
        <v>#N/A</v>
      </c>
      <c r="AJ233" s="16" t="str">
        <f t="shared" si="38"/>
        <v/>
      </c>
      <c r="AK233" s="16" t="str">
        <f t="shared" si="39"/>
        <v/>
      </c>
      <c r="AL233" s="16" t="e">
        <f>IF(AK233="",NA(),COUNTIF(AK$176:$AK233,AK233))</f>
        <v>#N/A</v>
      </c>
      <c r="AM233" s="16" t="e">
        <f t="shared" si="40"/>
        <v>#N/A</v>
      </c>
      <c r="AN233" s="16" t="e">
        <f t="shared" si="41"/>
        <v>#N/A</v>
      </c>
      <c r="AO233" s="16" t="str">
        <f t="shared" si="42"/>
        <v/>
      </c>
      <c r="AP233" s="16" t="str">
        <f t="shared" si="43"/>
        <v/>
      </c>
      <c r="AQ233" s="16" t="e">
        <f>IF(AP233="",NA(),COUNTIF(AP$176:$AP233,AP233))</f>
        <v>#N/A</v>
      </c>
      <c r="AR233" s="16" t="e">
        <f t="shared" si="44"/>
        <v>#N/A</v>
      </c>
      <c r="BI233" s="621">
        <v>225</v>
      </c>
      <c r="BJ233" s="711"/>
      <c r="BK233" s="712"/>
      <c r="BL233" s="713">
        <v>225</v>
      </c>
      <c r="BM233" s="714"/>
      <c r="BN233" s="239"/>
      <c r="BO233" s="24"/>
      <c r="BQ233" s="621">
        <v>225</v>
      </c>
      <c r="BR233" s="711"/>
      <c r="BS233" s="712"/>
      <c r="BT233" s="713">
        <v>225</v>
      </c>
      <c r="BU233" s="714"/>
      <c r="BV233" s="239"/>
      <c r="BW233" s="24"/>
      <c r="BY233" s="621">
        <v>225</v>
      </c>
      <c r="BZ233" s="711"/>
      <c r="CA233" s="712"/>
      <c r="CB233" s="713">
        <v>225</v>
      </c>
      <c r="CC233" s="714"/>
      <c r="CD233" s="239"/>
      <c r="CE233" s="24"/>
    </row>
    <row r="234" spans="5:83" ht="12" customHeight="1">
      <c r="E234" s="621">
        <v>226</v>
      </c>
      <c r="F234" s="711"/>
      <c r="G234" s="712"/>
      <c r="H234" s="713">
        <v>226</v>
      </c>
      <c r="I234" s="714"/>
      <c r="J234" s="239"/>
      <c r="K234" s="24"/>
      <c r="AI234" s="16" t="e">
        <f t="shared" si="37"/>
        <v>#N/A</v>
      </c>
      <c r="AJ234" s="16" t="str">
        <f t="shared" si="38"/>
        <v/>
      </c>
      <c r="AK234" s="16" t="str">
        <f t="shared" si="39"/>
        <v/>
      </c>
      <c r="AL234" s="16" t="e">
        <f>IF(AK234="",NA(),COUNTIF(AK$176:$AK234,AK234))</f>
        <v>#N/A</v>
      </c>
      <c r="AM234" s="16" t="e">
        <f t="shared" si="40"/>
        <v>#N/A</v>
      </c>
      <c r="AN234" s="16" t="e">
        <f t="shared" si="41"/>
        <v>#N/A</v>
      </c>
      <c r="AO234" s="16" t="str">
        <f t="shared" si="42"/>
        <v/>
      </c>
      <c r="AP234" s="16" t="str">
        <f t="shared" si="43"/>
        <v/>
      </c>
      <c r="AQ234" s="16" t="e">
        <f>IF(AP234="",NA(),COUNTIF(AP$176:$AP234,AP234))</f>
        <v>#N/A</v>
      </c>
      <c r="AR234" s="16" t="e">
        <f t="shared" si="44"/>
        <v>#N/A</v>
      </c>
      <c r="BI234" s="621">
        <v>226</v>
      </c>
      <c r="BJ234" s="711"/>
      <c r="BK234" s="712"/>
      <c r="BL234" s="713">
        <v>226</v>
      </c>
      <c r="BM234" s="714"/>
      <c r="BN234" s="239"/>
      <c r="BO234" s="24"/>
      <c r="BQ234" s="621">
        <v>226</v>
      </c>
      <c r="BR234" s="711"/>
      <c r="BS234" s="712"/>
      <c r="BT234" s="713">
        <v>226</v>
      </c>
      <c r="BU234" s="714"/>
      <c r="BV234" s="239"/>
      <c r="BW234" s="24"/>
      <c r="BY234" s="621">
        <v>226</v>
      </c>
      <c r="BZ234" s="711"/>
      <c r="CA234" s="712"/>
      <c r="CB234" s="713">
        <v>226</v>
      </c>
      <c r="CC234" s="714"/>
      <c r="CD234" s="239"/>
      <c r="CE234" s="24"/>
    </row>
    <row r="235" spans="5:83" ht="12" customHeight="1">
      <c r="E235" s="621">
        <v>227</v>
      </c>
      <c r="F235" s="711"/>
      <c r="G235" s="712"/>
      <c r="H235" s="713">
        <v>227</v>
      </c>
      <c r="I235" s="714"/>
      <c r="J235" s="239"/>
      <c r="K235" s="24"/>
      <c r="AI235" s="16" t="e">
        <f t="shared" si="37"/>
        <v>#N/A</v>
      </c>
      <c r="AJ235" s="16" t="str">
        <f t="shared" si="38"/>
        <v/>
      </c>
      <c r="AK235" s="16" t="str">
        <f t="shared" si="39"/>
        <v/>
      </c>
      <c r="AL235" s="16" t="e">
        <f>IF(AK235="",NA(),COUNTIF(AK$176:$AK235,AK235))</f>
        <v>#N/A</v>
      </c>
      <c r="AM235" s="16" t="e">
        <f t="shared" si="40"/>
        <v>#N/A</v>
      </c>
      <c r="AN235" s="16" t="e">
        <f t="shared" si="41"/>
        <v>#N/A</v>
      </c>
      <c r="AO235" s="16" t="str">
        <f t="shared" si="42"/>
        <v/>
      </c>
      <c r="AP235" s="16" t="str">
        <f t="shared" si="43"/>
        <v/>
      </c>
      <c r="AQ235" s="16" t="e">
        <f>IF(AP235="",NA(),COUNTIF(AP$176:$AP235,AP235))</f>
        <v>#N/A</v>
      </c>
      <c r="AR235" s="16" t="e">
        <f t="shared" si="44"/>
        <v>#N/A</v>
      </c>
      <c r="BI235" s="621">
        <v>227</v>
      </c>
      <c r="BJ235" s="711"/>
      <c r="BK235" s="712"/>
      <c r="BL235" s="713">
        <v>227</v>
      </c>
      <c r="BM235" s="714"/>
      <c r="BN235" s="239"/>
      <c r="BO235" s="24"/>
      <c r="BQ235" s="621">
        <v>227</v>
      </c>
      <c r="BR235" s="711"/>
      <c r="BS235" s="712"/>
      <c r="BT235" s="713">
        <v>227</v>
      </c>
      <c r="BU235" s="714"/>
      <c r="BV235" s="239"/>
      <c r="BW235" s="24"/>
      <c r="BY235" s="621">
        <v>227</v>
      </c>
      <c r="BZ235" s="711"/>
      <c r="CA235" s="712"/>
      <c r="CB235" s="713">
        <v>227</v>
      </c>
      <c r="CC235" s="714"/>
      <c r="CD235" s="239"/>
      <c r="CE235" s="24"/>
    </row>
    <row r="236" spans="5:83" ht="12" customHeight="1">
      <c r="E236" s="621">
        <v>228</v>
      </c>
      <c r="F236" s="711"/>
      <c r="G236" s="712"/>
      <c r="H236" s="713">
        <v>228</v>
      </c>
      <c r="I236" s="714"/>
      <c r="J236" s="239"/>
      <c r="K236" s="24"/>
      <c r="AI236" s="16" t="e">
        <f t="shared" si="37"/>
        <v>#N/A</v>
      </c>
      <c r="AJ236" s="16" t="str">
        <f t="shared" si="38"/>
        <v/>
      </c>
      <c r="AK236" s="16" t="str">
        <f t="shared" si="39"/>
        <v/>
      </c>
      <c r="AL236" s="16" t="e">
        <f>IF(AK236="",NA(),COUNTIF(AK$176:$AK236,AK236))</f>
        <v>#N/A</v>
      </c>
      <c r="AM236" s="16" t="e">
        <f t="shared" si="40"/>
        <v>#N/A</v>
      </c>
      <c r="AN236" s="16" t="e">
        <f t="shared" si="41"/>
        <v>#N/A</v>
      </c>
      <c r="AO236" s="16" t="str">
        <f t="shared" si="42"/>
        <v/>
      </c>
      <c r="AP236" s="16" t="str">
        <f t="shared" si="43"/>
        <v/>
      </c>
      <c r="AQ236" s="16" t="e">
        <f>IF(AP236="",NA(),COUNTIF(AP$176:$AP236,AP236))</f>
        <v>#N/A</v>
      </c>
      <c r="AR236" s="16" t="e">
        <f t="shared" si="44"/>
        <v>#N/A</v>
      </c>
      <c r="BI236" s="621">
        <v>228</v>
      </c>
      <c r="BJ236" s="711"/>
      <c r="BK236" s="712"/>
      <c r="BL236" s="713">
        <v>228</v>
      </c>
      <c r="BM236" s="714"/>
      <c r="BN236" s="239"/>
      <c r="BO236" s="24"/>
      <c r="BQ236" s="621">
        <v>228</v>
      </c>
      <c r="BR236" s="711"/>
      <c r="BS236" s="712"/>
      <c r="BT236" s="713">
        <v>228</v>
      </c>
      <c r="BU236" s="714"/>
      <c r="BV236" s="239"/>
      <c r="BW236" s="24"/>
      <c r="BY236" s="621">
        <v>228</v>
      </c>
      <c r="BZ236" s="711"/>
      <c r="CA236" s="712"/>
      <c r="CB236" s="713">
        <v>228</v>
      </c>
      <c r="CC236" s="714"/>
      <c r="CD236" s="239"/>
      <c r="CE236" s="24"/>
    </row>
    <row r="237" spans="5:83" ht="12" customHeight="1">
      <c r="E237" s="621">
        <v>229</v>
      </c>
      <c r="F237" s="711"/>
      <c r="G237" s="712"/>
      <c r="H237" s="713">
        <v>229</v>
      </c>
      <c r="I237" s="714"/>
      <c r="J237" s="239"/>
      <c r="K237" s="24"/>
      <c r="AI237" s="16" t="e">
        <f t="shared" si="37"/>
        <v>#N/A</v>
      </c>
      <c r="AJ237" s="16" t="str">
        <f t="shared" si="38"/>
        <v/>
      </c>
      <c r="AK237" s="16" t="str">
        <f t="shared" si="39"/>
        <v/>
      </c>
      <c r="AL237" s="16" t="e">
        <f>IF(AK237="",NA(),COUNTIF(AK$176:$AK237,AK237))</f>
        <v>#N/A</v>
      </c>
      <c r="AM237" s="16" t="e">
        <f t="shared" si="40"/>
        <v>#N/A</v>
      </c>
      <c r="AN237" s="16" t="e">
        <f t="shared" si="41"/>
        <v>#N/A</v>
      </c>
      <c r="AO237" s="16" t="str">
        <f t="shared" si="42"/>
        <v/>
      </c>
      <c r="AP237" s="16" t="str">
        <f t="shared" si="43"/>
        <v/>
      </c>
      <c r="AQ237" s="16" t="e">
        <f>IF(AP237="",NA(),COUNTIF(AP$176:$AP237,AP237))</f>
        <v>#N/A</v>
      </c>
      <c r="AR237" s="16" t="e">
        <f t="shared" si="44"/>
        <v>#N/A</v>
      </c>
      <c r="BI237" s="621">
        <v>229</v>
      </c>
      <c r="BJ237" s="711"/>
      <c r="BK237" s="712"/>
      <c r="BL237" s="713">
        <v>229</v>
      </c>
      <c r="BM237" s="714"/>
      <c r="BN237" s="239"/>
      <c r="BO237" s="24"/>
      <c r="BQ237" s="621">
        <v>229</v>
      </c>
      <c r="BR237" s="711"/>
      <c r="BS237" s="712"/>
      <c r="BT237" s="713">
        <v>229</v>
      </c>
      <c r="BU237" s="714"/>
      <c r="BV237" s="239"/>
      <c r="BW237" s="24"/>
      <c r="BY237" s="621">
        <v>229</v>
      </c>
      <c r="BZ237" s="711"/>
      <c r="CA237" s="712"/>
      <c r="CB237" s="713">
        <v>229</v>
      </c>
      <c r="CC237" s="714"/>
      <c r="CD237" s="239"/>
      <c r="CE237" s="24"/>
    </row>
    <row r="238" spans="5:83" ht="12" customHeight="1">
      <c r="E238" s="621">
        <v>230</v>
      </c>
      <c r="F238" s="711"/>
      <c r="G238" s="712"/>
      <c r="H238" s="713">
        <v>230</v>
      </c>
      <c r="I238" s="714"/>
      <c r="J238" s="239"/>
      <c r="K238" s="24"/>
      <c r="AI238" s="16" t="e">
        <f t="shared" si="37"/>
        <v>#N/A</v>
      </c>
      <c r="AJ238" s="16" t="str">
        <f t="shared" si="38"/>
        <v/>
      </c>
      <c r="AK238" s="16" t="str">
        <f t="shared" si="39"/>
        <v/>
      </c>
      <c r="AL238" s="16" t="e">
        <f>IF(AK238="",NA(),COUNTIF(AK$176:$AK238,AK238))</f>
        <v>#N/A</v>
      </c>
      <c r="AM238" s="16" t="e">
        <f t="shared" si="40"/>
        <v>#N/A</v>
      </c>
      <c r="AN238" s="16" t="e">
        <f t="shared" si="41"/>
        <v>#N/A</v>
      </c>
      <c r="AO238" s="16" t="str">
        <f t="shared" si="42"/>
        <v/>
      </c>
      <c r="AP238" s="16" t="str">
        <f t="shared" si="43"/>
        <v/>
      </c>
      <c r="AQ238" s="16" t="e">
        <f>IF(AP238="",NA(),COUNTIF(AP$176:$AP238,AP238))</f>
        <v>#N/A</v>
      </c>
      <c r="AR238" s="16" t="e">
        <f t="shared" si="44"/>
        <v>#N/A</v>
      </c>
      <c r="BI238" s="621">
        <v>230</v>
      </c>
      <c r="BJ238" s="711"/>
      <c r="BK238" s="712"/>
      <c r="BL238" s="713">
        <v>230</v>
      </c>
      <c r="BM238" s="714"/>
      <c r="BN238" s="239"/>
      <c r="BO238" s="24"/>
      <c r="BQ238" s="621">
        <v>230</v>
      </c>
      <c r="BR238" s="711"/>
      <c r="BS238" s="712"/>
      <c r="BT238" s="713">
        <v>230</v>
      </c>
      <c r="BU238" s="714"/>
      <c r="BV238" s="239"/>
      <c r="BW238" s="24"/>
      <c r="BY238" s="621">
        <v>230</v>
      </c>
      <c r="BZ238" s="711"/>
      <c r="CA238" s="712"/>
      <c r="CB238" s="713">
        <v>230</v>
      </c>
      <c r="CC238" s="714"/>
      <c r="CD238" s="239"/>
      <c r="CE238" s="24"/>
    </row>
    <row r="239" spans="5:83" ht="12" customHeight="1">
      <c r="E239" s="621">
        <v>231</v>
      </c>
      <c r="F239" s="711"/>
      <c r="G239" s="712"/>
      <c r="H239" s="713">
        <v>231</v>
      </c>
      <c r="I239" s="714"/>
      <c r="J239" s="239"/>
      <c r="K239" s="24"/>
      <c r="AI239" s="16" t="e">
        <f t="shared" si="37"/>
        <v>#N/A</v>
      </c>
      <c r="AJ239" s="16" t="str">
        <f t="shared" si="38"/>
        <v/>
      </c>
      <c r="AK239" s="16" t="str">
        <f t="shared" si="39"/>
        <v/>
      </c>
      <c r="AL239" s="16" t="e">
        <f>IF(AK239="",NA(),COUNTIF(AK$176:$AK239,AK239))</f>
        <v>#N/A</v>
      </c>
      <c r="AM239" s="16" t="e">
        <f t="shared" si="40"/>
        <v>#N/A</v>
      </c>
      <c r="AN239" s="16" t="e">
        <f t="shared" si="41"/>
        <v>#N/A</v>
      </c>
      <c r="AO239" s="16" t="str">
        <f t="shared" si="42"/>
        <v/>
      </c>
      <c r="AP239" s="16" t="str">
        <f t="shared" si="43"/>
        <v/>
      </c>
      <c r="AQ239" s="16" t="e">
        <f>IF(AP239="",NA(),COUNTIF(AP$176:$AP239,AP239))</f>
        <v>#N/A</v>
      </c>
      <c r="AR239" s="16" t="e">
        <f t="shared" si="44"/>
        <v>#N/A</v>
      </c>
      <c r="BI239" s="621">
        <v>231</v>
      </c>
      <c r="BJ239" s="711"/>
      <c r="BK239" s="712"/>
      <c r="BL239" s="713">
        <v>231</v>
      </c>
      <c r="BM239" s="714"/>
      <c r="BN239" s="239"/>
      <c r="BO239" s="24"/>
      <c r="BQ239" s="621">
        <v>231</v>
      </c>
      <c r="BR239" s="711"/>
      <c r="BS239" s="712"/>
      <c r="BT239" s="713">
        <v>231</v>
      </c>
      <c r="BU239" s="714"/>
      <c r="BV239" s="239"/>
      <c r="BW239" s="24"/>
      <c r="BY239" s="621">
        <v>231</v>
      </c>
      <c r="BZ239" s="711"/>
      <c r="CA239" s="712"/>
      <c r="CB239" s="713">
        <v>231</v>
      </c>
      <c r="CC239" s="714"/>
      <c r="CD239" s="239"/>
      <c r="CE239" s="24"/>
    </row>
    <row r="240" spans="5:83" ht="12" customHeight="1">
      <c r="E240" s="621">
        <v>232</v>
      </c>
      <c r="F240" s="711"/>
      <c r="G240" s="712"/>
      <c r="H240" s="713">
        <v>232</v>
      </c>
      <c r="I240" s="714"/>
      <c r="J240" s="239"/>
      <c r="K240" s="24"/>
      <c r="AI240" s="16" t="e">
        <f t="shared" si="37"/>
        <v>#N/A</v>
      </c>
      <c r="AJ240" s="16" t="str">
        <f t="shared" si="38"/>
        <v/>
      </c>
      <c r="AK240" s="16" t="str">
        <f t="shared" si="39"/>
        <v/>
      </c>
      <c r="AL240" s="16" t="e">
        <f>IF(AK240="",NA(),COUNTIF(AK$176:$AK240,AK240))</f>
        <v>#N/A</v>
      </c>
      <c r="AM240" s="16" t="e">
        <f t="shared" si="40"/>
        <v>#N/A</v>
      </c>
      <c r="AN240" s="16" t="e">
        <f t="shared" si="41"/>
        <v>#N/A</v>
      </c>
      <c r="AO240" s="16" t="str">
        <f t="shared" si="42"/>
        <v/>
      </c>
      <c r="AP240" s="16" t="str">
        <f t="shared" si="43"/>
        <v/>
      </c>
      <c r="AQ240" s="16" t="e">
        <f>IF(AP240="",NA(),COUNTIF(AP$176:$AP240,AP240))</f>
        <v>#N/A</v>
      </c>
      <c r="AR240" s="16" t="e">
        <f t="shared" si="44"/>
        <v>#N/A</v>
      </c>
      <c r="BI240" s="621">
        <v>232</v>
      </c>
      <c r="BJ240" s="711"/>
      <c r="BK240" s="712"/>
      <c r="BL240" s="713">
        <v>232</v>
      </c>
      <c r="BM240" s="714"/>
      <c r="BN240" s="239"/>
      <c r="BO240" s="24"/>
      <c r="BQ240" s="621">
        <v>232</v>
      </c>
      <c r="BR240" s="711"/>
      <c r="BS240" s="712"/>
      <c r="BT240" s="713">
        <v>232</v>
      </c>
      <c r="BU240" s="714"/>
      <c r="BV240" s="239"/>
      <c r="BW240" s="24"/>
      <c r="BY240" s="621">
        <v>232</v>
      </c>
      <c r="BZ240" s="711"/>
      <c r="CA240" s="712"/>
      <c r="CB240" s="713">
        <v>232</v>
      </c>
      <c r="CC240" s="714"/>
      <c r="CD240" s="239"/>
      <c r="CE240" s="24"/>
    </row>
    <row r="241" spans="5:83" ht="12" customHeight="1">
      <c r="E241" s="621">
        <v>233</v>
      </c>
      <c r="F241" s="711"/>
      <c r="G241" s="712"/>
      <c r="H241" s="713">
        <v>233</v>
      </c>
      <c r="I241" s="714"/>
      <c r="J241" s="239"/>
      <c r="K241" s="24"/>
      <c r="AI241" s="16" t="e">
        <f t="shared" si="37"/>
        <v>#N/A</v>
      </c>
      <c r="AJ241" s="16" t="str">
        <f t="shared" si="38"/>
        <v/>
      </c>
      <c r="AK241" s="16" t="str">
        <f t="shared" si="39"/>
        <v/>
      </c>
      <c r="AL241" s="16" t="e">
        <f>IF(AK241="",NA(),COUNTIF(AK$176:$AK241,AK241))</f>
        <v>#N/A</v>
      </c>
      <c r="AM241" s="16" t="e">
        <f t="shared" si="40"/>
        <v>#N/A</v>
      </c>
      <c r="AN241" s="16" t="e">
        <f t="shared" si="41"/>
        <v>#N/A</v>
      </c>
      <c r="AO241" s="16" t="str">
        <f t="shared" si="42"/>
        <v/>
      </c>
      <c r="AP241" s="16" t="str">
        <f t="shared" si="43"/>
        <v/>
      </c>
      <c r="AQ241" s="16" t="e">
        <f>IF(AP241="",NA(),COUNTIF(AP$176:$AP241,AP241))</f>
        <v>#N/A</v>
      </c>
      <c r="AR241" s="16" t="e">
        <f t="shared" si="44"/>
        <v>#N/A</v>
      </c>
      <c r="BI241" s="621">
        <v>233</v>
      </c>
      <c r="BJ241" s="711"/>
      <c r="BK241" s="712"/>
      <c r="BL241" s="713">
        <v>233</v>
      </c>
      <c r="BM241" s="714"/>
      <c r="BN241" s="239"/>
      <c r="BO241" s="24"/>
      <c r="BQ241" s="621">
        <v>233</v>
      </c>
      <c r="BR241" s="711"/>
      <c r="BS241" s="712"/>
      <c r="BT241" s="713">
        <v>233</v>
      </c>
      <c r="BU241" s="714"/>
      <c r="BV241" s="239"/>
      <c r="BW241" s="24"/>
      <c r="BY241" s="621">
        <v>233</v>
      </c>
      <c r="BZ241" s="711"/>
      <c r="CA241" s="712"/>
      <c r="CB241" s="713">
        <v>233</v>
      </c>
      <c r="CC241" s="714"/>
      <c r="CD241" s="239"/>
      <c r="CE241" s="24"/>
    </row>
    <row r="242" spans="5:83" ht="12" customHeight="1">
      <c r="E242" s="621">
        <v>234</v>
      </c>
      <c r="F242" s="711"/>
      <c r="G242" s="712"/>
      <c r="H242" s="713">
        <v>234</v>
      </c>
      <c r="I242" s="714"/>
      <c r="J242" s="239"/>
      <c r="K242" s="24"/>
      <c r="AI242" s="16" t="e">
        <f t="shared" si="37"/>
        <v>#N/A</v>
      </c>
      <c r="AJ242" s="16" t="str">
        <f t="shared" si="38"/>
        <v/>
      </c>
      <c r="AK242" s="16" t="str">
        <f t="shared" si="39"/>
        <v/>
      </c>
      <c r="AL242" s="16" t="e">
        <f>IF(AK242="",NA(),COUNTIF(AK$176:$AK242,AK242))</f>
        <v>#N/A</v>
      </c>
      <c r="AM242" s="16" t="e">
        <f t="shared" si="40"/>
        <v>#N/A</v>
      </c>
      <c r="AN242" s="16" t="e">
        <f t="shared" si="41"/>
        <v>#N/A</v>
      </c>
      <c r="AO242" s="16" t="str">
        <f t="shared" si="42"/>
        <v/>
      </c>
      <c r="AP242" s="16" t="str">
        <f t="shared" si="43"/>
        <v/>
      </c>
      <c r="AQ242" s="16" t="e">
        <f>IF(AP242="",NA(),COUNTIF(AP$176:$AP242,AP242))</f>
        <v>#N/A</v>
      </c>
      <c r="AR242" s="16" t="e">
        <f t="shared" si="44"/>
        <v>#N/A</v>
      </c>
      <c r="BI242" s="621">
        <v>234</v>
      </c>
      <c r="BJ242" s="711"/>
      <c r="BK242" s="712"/>
      <c r="BL242" s="713">
        <v>234</v>
      </c>
      <c r="BM242" s="714"/>
      <c r="BN242" s="239"/>
      <c r="BO242" s="24"/>
      <c r="BQ242" s="621">
        <v>234</v>
      </c>
      <c r="BR242" s="711"/>
      <c r="BS242" s="712"/>
      <c r="BT242" s="713">
        <v>234</v>
      </c>
      <c r="BU242" s="714"/>
      <c r="BV242" s="239"/>
      <c r="BW242" s="24"/>
      <c r="BY242" s="621">
        <v>234</v>
      </c>
      <c r="BZ242" s="711"/>
      <c r="CA242" s="712"/>
      <c r="CB242" s="713">
        <v>234</v>
      </c>
      <c r="CC242" s="714"/>
      <c r="CD242" s="239"/>
      <c r="CE242" s="24"/>
    </row>
    <row r="243" spans="5:83" ht="12" customHeight="1">
      <c r="E243" s="621">
        <v>235</v>
      </c>
      <c r="F243" s="711"/>
      <c r="G243" s="712"/>
      <c r="H243" s="713">
        <v>235</v>
      </c>
      <c r="I243" s="714"/>
      <c r="J243" s="239"/>
      <c r="K243" s="24"/>
      <c r="AI243" s="16" t="e">
        <f t="shared" si="37"/>
        <v>#N/A</v>
      </c>
      <c r="AJ243" s="16" t="str">
        <f t="shared" si="38"/>
        <v/>
      </c>
      <c r="AK243" s="16" t="str">
        <f t="shared" si="39"/>
        <v/>
      </c>
      <c r="AL243" s="16" t="e">
        <f>IF(AK243="",NA(),COUNTIF(AK$176:$AK243,AK243))</f>
        <v>#N/A</v>
      </c>
      <c r="AM243" s="16" t="e">
        <f t="shared" si="40"/>
        <v>#N/A</v>
      </c>
      <c r="AN243" s="16" t="e">
        <f t="shared" si="41"/>
        <v>#N/A</v>
      </c>
      <c r="AO243" s="16" t="str">
        <f t="shared" si="42"/>
        <v/>
      </c>
      <c r="AP243" s="16" t="str">
        <f t="shared" si="43"/>
        <v/>
      </c>
      <c r="AQ243" s="16" t="e">
        <f>IF(AP243="",NA(),COUNTIF(AP$176:$AP243,AP243))</f>
        <v>#N/A</v>
      </c>
      <c r="AR243" s="16" t="e">
        <f t="shared" si="44"/>
        <v>#N/A</v>
      </c>
      <c r="BI243" s="621">
        <v>235</v>
      </c>
      <c r="BJ243" s="711"/>
      <c r="BK243" s="712"/>
      <c r="BL243" s="713">
        <v>235</v>
      </c>
      <c r="BM243" s="714"/>
      <c r="BN243" s="239"/>
      <c r="BO243" s="24"/>
      <c r="BQ243" s="621">
        <v>235</v>
      </c>
      <c r="BR243" s="711"/>
      <c r="BS243" s="712"/>
      <c r="BT243" s="713">
        <v>235</v>
      </c>
      <c r="BU243" s="714"/>
      <c r="BV243" s="239"/>
      <c r="BW243" s="24"/>
      <c r="BY243" s="621">
        <v>235</v>
      </c>
      <c r="BZ243" s="711"/>
      <c r="CA243" s="712"/>
      <c r="CB243" s="713">
        <v>235</v>
      </c>
      <c r="CC243" s="714"/>
      <c r="CD243" s="239"/>
      <c r="CE243" s="24"/>
    </row>
    <row r="244" spans="5:83" ht="12" customHeight="1">
      <c r="E244" s="621">
        <v>236</v>
      </c>
      <c r="F244" s="711"/>
      <c r="G244" s="712"/>
      <c r="H244" s="713">
        <v>236</v>
      </c>
      <c r="I244" s="714"/>
      <c r="J244" s="239"/>
      <c r="K244" s="24"/>
      <c r="AI244" s="16" t="e">
        <f t="shared" si="37"/>
        <v>#N/A</v>
      </c>
      <c r="AJ244" s="16" t="str">
        <f t="shared" si="38"/>
        <v/>
      </c>
      <c r="AK244" s="16" t="str">
        <f t="shared" si="39"/>
        <v/>
      </c>
      <c r="AL244" s="16" t="e">
        <f>IF(AK244="",NA(),COUNTIF(AK$176:$AK244,AK244))</f>
        <v>#N/A</v>
      </c>
      <c r="AM244" s="16" t="e">
        <f t="shared" si="40"/>
        <v>#N/A</v>
      </c>
      <c r="AN244" s="16" t="e">
        <f t="shared" si="41"/>
        <v>#N/A</v>
      </c>
      <c r="AO244" s="16" t="str">
        <f t="shared" si="42"/>
        <v/>
      </c>
      <c r="AP244" s="16" t="str">
        <f t="shared" si="43"/>
        <v/>
      </c>
      <c r="AQ244" s="16" t="e">
        <f>IF(AP244="",NA(),COUNTIF(AP$176:$AP244,AP244))</f>
        <v>#N/A</v>
      </c>
      <c r="AR244" s="16" t="e">
        <f t="shared" si="44"/>
        <v>#N/A</v>
      </c>
      <c r="BI244" s="621">
        <v>236</v>
      </c>
      <c r="BJ244" s="711"/>
      <c r="BK244" s="712"/>
      <c r="BL244" s="713">
        <v>236</v>
      </c>
      <c r="BM244" s="714"/>
      <c r="BN244" s="239"/>
      <c r="BO244" s="24"/>
      <c r="BQ244" s="621">
        <v>236</v>
      </c>
      <c r="BR244" s="711"/>
      <c r="BS244" s="712"/>
      <c r="BT244" s="713">
        <v>236</v>
      </c>
      <c r="BU244" s="714"/>
      <c r="BV244" s="239"/>
      <c r="BW244" s="24"/>
      <c r="BY244" s="621">
        <v>236</v>
      </c>
      <c r="BZ244" s="711"/>
      <c r="CA244" s="712"/>
      <c r="CB244" s="713">
        <v>236</v>
      </c>
      <c r="CC244" s="714"/>
      <c r="CD244" s="239"/>
      <c r="CE244" s="24"/>
    </row>
    <row r="245" spans="5:83" ht="12" customHeight="1">
      <c r="E245" s="621">
        <v>237</v>
      </c>
      <c r="F245" s="711"/>
      <c r="G245" s="712"/>
      <c r="H245" s="713">
        <v>237</v>
      </c>
      <c r="I245" s="714"/>
      <c r="J245" s="239"/>
      <c r="K245" s="24"/>
      <c r="AI245" s="16" t="e">
        <f t="shared" si="37"/>
        <v>#N/A</v>
      </c>
      <c r="AJ245" s="16" t="str">
        <f t="shared" si="38"/>
        <v/>
      </c>
      <c r="AK245" s="16" t="str">
        <f t="shared" si="39"/>
        <v/>
      </c>
      <c r="AL245" s="16" t="e">
        <f>IF(AK245="",NA(),COUNTIF(AK$176:$AK245,AK245))</f>
        <v>#N/A</v>
      </c>
      <c r="AM245" s="16" t="e">
        <f t="shared" si="40"/>
        <v>#N/A</v>
      </c>
      <c r="AN245" s="16" t="e">
        <f t="shared" si="41"/>
        <v>#N/A</v>
      </c>
      <c r="AO245" s="16" t="str">
        <f t="shared" si="42"/>
        <v/>
      </c>
      <c r="AP245" s="16" t="str">
        <f t="shared" si="43"/>
        <v/>
      </c>
      <c r="AQ245" s="16" t="e">
        <f>IF(AP245="",NA(),COUNTIF(AP$176:$AP245,AP245))</f>
        <v>#N/A</v>
      </c>
      <c r="AR245" s="16" t="e">
        <f t="shared" si="44"/>
        <v>#N/A</v>
      </c>
      <c r="BI245" s="621">
        <v>237</v>
      </c>
      <c r="BJ245" s="711"/>
      <c r="BK245" s="712"/>
      <c r="BL245" s="713">
        <v>237</v>
      </c>
      <c r="BM245" s="714"/>
      <c r="BN245" s="239"/>
      <c r="BO245" s="24"/>
      <c r="BQ245" s="621">
        <v>237</v>
      </c>
      <c r="BR245" s="711"/>
      <c r="BS245" s="712"/>
      <c r="BT245" s="713">
        <v>237</v>
      </c>
      <c r="BU245" s="714"/>
      <c r="BV245" s="239"/>
      <c r="BW245" s="24"/>
      <c r="BY245" s="621">
        <v>237</v>
      </c>
      <c r="BZ245" s="711"/>
      <c r="CA245" s="712"/>
      <c r="CB245" s="713">
        <v>237</v>
      </c>
      <c r="CC245" s="714"/>
      <c r="CD245" s="239"/>
      <c r="CE245" s="24"/>
    </row>
    <row r="246" spans="5:83" ht="12" customHeight="1">
      <c r="E246" s="621">
        <v>238</v>
      </c>
      <c r="F246" s="711"/>
      <c r="G246" s="712"/>
      <c r="H246" s="713">
        <v>238</v>
      </c>
      <c r="I246" s="714"/>
      <c r="J246" s="239"/>
      <c r="K246" s="24"/>
      <c r="AI246" s="16" t="e">
        <f t="shared" si="37"/>
        <v>#N/A</v>
      </c>
      <c r="AJ246" s="16" t="str">
        <f t="shared" si="38"/>
        <v/>
      </c>
      <c r="AK246" s="16" t="str">
        <f t="shared" si="39"/>
        <v/>
      </c>
      <c r="AL246" s="16" t="e">
        <f>IF(AK246="",NA(),COUNTIF(AK$176:$AK246,AK246))</f>
        <v>#N/A</v>
      </c>
      <c r="AM246" s="16" t="e">
        <f t="shared" si="40"/>
        <v>#N/A</v>
      </c>
      <c r="AN246" s="16" t="e">
        <f t="shared" si="41"/>
        <v>#N/A</v>
      </c>
      <c r="AO246" s="16" t="str">
        <f t="shared" si="42"/>
        <v/>
      </c>
      <c r="AP246" s="16" t="str">
        <f t="shared" si="43"/>
        <v/>
      </c>
      <c r="AQ246" s="16" t="e">
        <f>IF(AP246="",NA(),COUNTIF(AP$176:$AP246,AP246))</f>
        <v>#N/A</v>
      </c>
      <c r="AR246" s="16" t="e">
        <f t="shared" si="44"/>
        <v>#N/A</v>
      </c>
      <c r="BI246" s="621">
        <v>238</v>
      </c>
      <c r="BJ246" s="711"/>
      <c r="BK246" s="712"/>
      <c r="BL246" s="713">
        <v>238</v>
      </c>
      <c r="BM246" s="714"/>
      <c r="BN246" s="239"/>
      <c r="BO246" s="24"/>
      <c r="BQ246" s="621">
        <v>238</v>
      </c>
      <c r="BR246" s="711"/>
      <c r="BS246" s="712"/>
      <c r="BT246" s="713">
        <v>238</v>
      </c>
      <c r="BU246" s="714"/>
      <c r="BV246" s="239"/>
      <c r="BW246" s="24"/>
      <c r="BY246" s="621">
        <v>238</v>
      </c>
      <c r="BZ246" s="711"/>
      <c r="CA246" s="712"/>
      <c r="CB246" s="713">
        <v>238</v>
      </c>
      <c r="CC246" s="714"/>
      <c r="CD246" s="239"/>
      <c r="CE246" s="24"/>
    </row>
    <row r="247" spans="5:83" ht="12" customHeight="1">
      <c r="E247" s="621">
        <v>239</v>
      </c>
      <c r="F247" s="711"/>
      <c r="G247" s="712"/>
      <c r="H247" s="713">
        <v>239</v>
      </c>
      <c r="I247" s="714"/>
      <c r="J247" s="239"/>
      <c r="K247" s="24"/>
      <c r="AI247" s="16" t="e">
        <f t="shared" si="37"/>
        <v>#N/A</v>
      </c>
      <c r="AJ247" s="16" t="str">
        <f t="shared" si="38"/>
        <v/>
      </c>
      <c r="AK247" s="16" t="str">
        <f t="shared" si="39"/>
        <v/>
      </c>
      <c r="AL247" s="16" t="e">
        <f>IF(AK247="",NA(),COUNTIF(AK$176:$AK247,AK247))</f>
        <v>#N/A</v>
      </c>
      <c r="AM247" s="16" t="e">
        <f t="shared" si="40"/>
        <v>#N/A</v>
      </c>
      <c r="AN247" s="16" t="e">
        <f t="shared" si="41"/>
        <v>#N/A</v>
      </c>
      <c r="AO247" s="16" t="str">
        <f t="shared" si="42"/>
        <v/>
      </c>
      <c r="AP247" s="16" t="str">
        <f t="shared" si="43"/>
        <v/>
      </c>
      <c r="AQ247" s="16" t="e">
        <f>IF(AP247="",NA(),COUNTIF(AP$176:$AP247,AP247))</f>
        <v>#N/A</v>
      </c>
      <c r="AR247" s="16" t="e">
        <f t="shared" si="44"/>
        <v>#N/A</v>
      </c>
      <c r="BI247" s="621">
        <v>239</v>
      </c>
      <c r="BJ247" s="711"/>
      <c r="BK247" s="712"/>
      <c r="BL247" s="713">
        <v>239</v>
      </c>
      <c r="BM247" s="714"/>
      <c r="BN247" s="239"/>
      <c r="BO247" s="24"/>
      <c r="BQ247" s="621">
        <v>239</v>
      </c>
      <c r="BR247" s="711"/>
      <c r="BS247" s="712"/>
      <c r="BT247" s="713">
        <v>239</v>
      </c>
      <c r="BU247" s="714"/>
      <c r="BV247" s="239"/>
      <c r="BW247" s="24"/>
      <c r="BY247" s="621">
        <v>239</v>
      </c>
      <c r="BZ247" s="711"/>
      <c r="CA247" s="712"/>
      <c r="CB247" s="713">
        <v>239</v>
      </c>
      <c r="CC247" s="714"/>
      <c r="CD247" s="239"/>
      <c r="CE247" s="24"/>
    </row>
    <row r="248" spans="5:83" ht="12" customHeight="1">
      <c r="E248" s="621">
        <v>240</v>
      </c>
      <c r="F248" s="711"/>
      <c r="G248" s="712"/>
      <c r="H248" s="713">
        <v>240</v>
      </c>
      <c r="I248" s="714"/>
      <c r="J248" s="239"/>
      <c r="K248" s="24"/>
      <c r="AI248" s="16" t="e">
        <f t="shared" si="37"/>
        <v>#N/A</v>
      </c>
      <c r="AJ248" s="16" t="str">
        <f t="shared" si="38"/>
        <v/>
      </c>
      <c r="AK248" s="16" t="str">
        <f t="shared" si="39"/>
        <v/>
      </c>
      <c r="AL248" s="16" t="e">
        <f>IF(AK248="",NA(),COUNTIF(AK$176:$AK248,AK248))</f>
        <v>#N/A</v>
      </c>
      <c r="AM248" s="16" t="e">
        <f t="shared" si="40"/>
        <v>#N/A</v>
      </c>
      <c r="AN248" s="16" t="e">
        <f t="shared" si="41"/>
        <v>#N/A</v>
      </c>
      <c r="AO248" s="16" t="str">
        <f t="shared" si="42"/>
        <v/>
      </c>
      <c r="AP248" s="16" t="str">
        <f t="shared" si="43"/>
        <v/>
      </c>
      <c r="AQ248" s="16" t="e">
        <f>IF(AP248="",NA(),COUNTIF(AP$176:$AP248,AP248))</f>
        <v>#N/A</v>
      </c>
      <c r="AR248" s="16" t="e">
        <f t="shared" si="44"/>
        <v>#N/A</v>
      </c>
      <c r="BI248" s="621">
        <v>240</v>
      </c>
      <c r="BJ248" s="711"/>
      <c r="BK248" s="712"/>
      <c r="BL248" s="713">
        <v>240</v>
      </c>
      <c r="BM248" s="714"/>
      <c r="BN248" s="239"/>
      <c r="BO248" s="24"/>
      <c r="BQ248" s="621">
        <v>240</v>
      </c>
      <c r="BR248" s="711"/>
      <c r="BS248" s="712"/>
      <c r="BT248" s="713">
        <v>240</v>
      </c>
      <c r="BU248" s="714"/>
      <c r="BV248" s="239"/>
      <c r="BW248" s="24"/>
      <c r="BY248" s="621">
        <v>240</v>
      </c>
      <c r="BZ248" s="711"/>
      <c r="CA248" s="712"/>
      <c r="CB248" s="713">
        <v>240</v>
      </c>
      <c r="CC248" s="714"/>
      <c r="CD248" s="239"/>
      <c r="CE248" s="24"/>
    </row>
    <row r="249" spans="5:83" ht="12" customHeight="1">
      <c r="E249" s="621">
        <v>241</v>
      </c>
      <c r="F249" s="711"/>
      <c r="G249" s="712"/>
      <c r="H249" s="713">
        <v>241</v>
      </c>
      <c r="I249" s="714"/>
      <c r="J249" s="239"/>
      <c r="K249" s="24"/>
      <c r="AI249" s="16" t="e">
        <f t="shared" si="37"/>
        <v>#N/A</v>
      </c>
      <c r="AJ249" s="16" t="str">
        <f t="shared" si="38"/>
        <v/>
      </c>
      <c r="AK249" s="16" t="str">
        <f t="shared" si="39"/>
        <v/>
      </c>
      <c r="AL249" s="16" t="e">
        <f>IF(AK249="",NA(),COUNTIF(AK$176:$AK249,AK249))</f>
        <v>#N/A</v>
      </c>
      <c r="AM249" s="16" t="e">
        <f t="shared" si="40"/>
        <v>#N/A</v>
      </c>
      <c r="AN249" s="16" t="e">
        <f t="shared" si="41"/>
        <v>#N/A</v>
      </c>
      <c r="AO249" s="16" t="str">
        <f t="shared" si="42"/>
        <v/>
      </c>
      <c r="AP249" s="16" t="str">
        <f t="shared" si="43"/>
        <v/>
      </c>
      <c r="AQ249" s="16" t="e">
        <f>IF(AP249="",NA(),COUNTIF(AP$176:$AP249,AP249))</f>
        <v>#N/A</v>
      </c>
      <c r="AR249" s="16" t="e">
        <f t="shared" si="44"/>
        <v>#N/A</v>
      </c>
      <c r="BI249" s="621">
        <v>241</v>
      </c>
      <c r="BJ249" s="711"/>
      <c r="BK249" s="712"/>
      <c r="BL249" s="713">
        <v>241</v>
      </c>
      <c r="BM249" s="714"/>
      <c r="BN249" s="239"/>
      <c r="BO249" s="24"/>
      <c r="BQ249" s="621">
        <v>241</v>
      </c>
      <c r="BR249" s="711"/>
      <c r="BS249" s="712"/>
      <c r="BT249" s="713">
        <v>241</v>
      </c>
      <c r="BU249" s="714"/>
      <c r="BV249" s="239"/>
      <c r="BW249" s="24"/>
      <c r="BY249" s="621">
        <v>241</v>
      </c>
      <c r="BZ249" s="711"/>
      <c r="CA249" s="712"/>
      <c r="CB249" s="713">
        <v>241</v>
      </c>
      <c r="CC249" s="714"/>
      <c r="CD249" s="239"/>
      <c r="CE249" s="24"/>
    </row>
    <row r="250" spans="5:83" ht="12" customHeight="1">
      <c r="E250" s="621">
        <v>242</v>
      </c>
      <c r="F250" s="711"/>
      <c r="G250" s="712"/>
      <c r="H250" s="713">
        <v>242</v>
      </c>
      <c r="I250" s="714"/>
      <c r="J250" s="239"/>
      <c r="K250" s="24"/>
      <c r="AI250" s="16" t="e">
        <f t="shared" si="37"/>
        <v>#N/A</v>
      </c>
      <c r="AJ250" s="16" t="str">
        <f t="shared" si="38"/>
        <v/>
      </c>
      <c r="AK250" s="16" t="str">
        <f t="shared" si="39"/>
        <v/>
      </c>
      <c r="AL250" s="16" t="e">
        <f>IF(AK250="",NA(),COUNTIF(AK$176:$AK250,AK250))</f>
        <v>#N/A</v>
      </c>
      <c r="AM250" s="16" t="e">
        <f t="shared" si="40"/>
        <v>#N/A</v>
      </c>
      <c r="AN250" s="16" t="e">
        <f t="shared" si="41"/>
        <v>#N/A</v>
      </c>
      <c r="AO250" s="16" t="str">
        <f t="shared" si="42"/>
        <v/>
      </c>
      <c r="AP250" s="16" t="str">
        <f t="shared" si="43"/>
        <v/>
      </c>
      <c r="AQ250" s="16" t="e">
        <f>IF(AP250="",NA(),COUNTIF(AP$176:$AP250,AP250))</f>
        <v>#N/A</v>
      </c>
      <c r="AR250" s="16" t="e">
        <f t="shared" si="44"/>
        <v>#N/A</v>
      </c>
      <c r="BI250" s="621">
        <v>242</v>
      </c>
      <c r="BJ250" s="711"/>
      <c r="BK250" s="712"/>
      <c r="BL250" s="713">
        <v>242</v>
      </c>
      <c r="BM250" s="714"/>
      <c r="BN250" s="239"/>
      <c r="BO250" s="24"/>
      <c r="BQ250" s="621">
        <v>242</v>
      </c>
      <c r="BR250" s="711"/>
      <c r="BS250" s="712"/>
      <c r="BT250" s="713">
        <v>242</v>
      </c>
      <c r="BU250" s="714"/>
      <c r="BV250" s="239"/>
      <c r="BW250" s="24"/>
      <c r="BY250" s="621">
        <v>242</v>
      </c>
      <c r="BZ250" s="711"/>
      <c r="CA250" s="712"/>
      <c r="CB250" s="713">
        <v>242</v>
      </c>
      <c r="CC250" s="714"/>
      <c r="CD250" s="239"/>
      <c r="CE250" s="24"/>
    </row>
    <row r="251" spans="5:83" ht="12" customHeight="1">
      <c r="E251" s="621">
        <v>243</v>
      </c>
      <c r="F251" s="711"/>
      <c r="G251" s="712"/>
      <c r="H251" s="713">
        <v>243</v>
      </c>
      <c r="I251" s="714"/>
      <c r="J251" s="239"/>
      <c r="K251" s="24"/>
      <c r="AI251" s="16" t="e">
        <f t="shared" si="37"/>
        <v>#N/A</v>
      </c>
      <c r="AJ251" s="16" t="str">
        <f t="shared" si="38"/>
        <v/>
      </c>
      <c r="AK251" s="16" t="str">
        <f t="shared" si="39"/>
        <v/>
      </c>
      <c r="AL251" s="16" t="e">
        <f>IF(AK251="",NA(),COUNTIF(AK$176:$AK251,AK251))</f>
        <v>#N/A</v>
      </c>
      <c r="AM251" s="16" t="e">
        <f t="shared" si="40"/>
        <v>#N/A</v>
      </c>
      <c r="AN251" s="16" t="e">
        <f t="shared" si="41"/>
        <v>#N/A</v>
      </c>
      <c r="AO251" s="16" t="str">
        <f t="shared" si="42"/>
        <v/>
      </c>
      <c r="AP251" s="16" t="str">
        <f t="shared" si="43"/>
        <v/>
      </c>
      <c r="AQ251" s="16" t="e">
        <f>IF(AP251="",NA(),COUNTIF(AP$176:$AP251,AP251))</f>
        <v>#N/A</v>
      </c>
      <c r="AR251" s="16" t="e">
        <f t="shared" si="44"/>
        <v>#N/A</v>
      </c>
      <c r="BI251" s="621">
        <v>243</v>
      </c>
      <c r="BJ251" s="711"/>
      <c r="BK251" s="712"/>
      <c r="BL251" s="713">
        <v>243</v>
      </c>
      <c r="BM251" s="714"/>
      <c r="BN251" s="239"/>
      <c r="BO251" s="24"/>
      <c r="BQ251" s="621">
        <v>243</v>
      </c>
      <c r="BR251" s="711"/>
      <c r="BS251" s="712"/>
      <c r="BT251" s="713">
        <v>243</v>
      </c>
      <c r="BU251" s="714"/>
      <c r="BV251" s="239"/>
      <c r="BW251" s="24"/>
      <c r="BY251" s="621">
        <v>243</v>
      </c>
      <c r="BZ251" s="711"/>
      <c r="CA251" s="712"/>
      <c r="CB251" s="713">
        <v>243</v>
      </c>
      <c r="CC251" s="714"/>
      <c r="CD251" s="239"/>
      <c r="CE251" s="24"/>
    </row>
    <row r="252" spans="5:83" ht="12" customHeight="1">
      <c r="E252" s="621">
        <v>244</v>
      </c>
      <c r="F252" s="711"/>
      <c r="G252" s="712"/>
      <c r="H252" s="713">
        <v>244</v>
      </c>
      <c r="I252" s="714"/>
      <c r="J252" s="239"/>
      <c r="K252" s="24"/>
      <c r="AI252" s="16" t="e">
        <f t="shared" si="37"/>
        <v>#N/A</v>
      </c>
      <c r="AJ252" s="16" t="str">
        <f t="shared" si="38"/>
        <v/>
      </c>
      <c r="AK252" s="16" t="str">
        <f t="shared" si="39"/>
        <v/>
      </c>
      <c r="AL252" s="16" t="e">
        <f>IF(AK252="",NA(),COUNTIF(AK$176:$AK252,AK252))</f>
        <v>#N/A</v>
      </c>
      <c r="AM252" s="16" t="e">
        <f t="shared" si="40"/>
        <v>#N/A</v>
      </c>
      <c r="AN252" s="16" t="e">
        <f t="shared" si="41"/>
        <v>#N/A</v>
      </c>
      <c r="AO252" s="16" t="str">
        <f t="shared" si="42"/>
        <v/>
      </c>
      <c r="AP252" s="16" t="str">
        <f t="shared" si="43"/>
        <v/>
      </c>
      <c r="AQ252" s="16" t="e">
        <f>IF(AP252="",NA(),COUNTIF(AP$176:$AP252,AP252))</f>
        <v>#N/A</v>
      </c>
      <c r="AR252" s="16" t="e">
        <f t="shared" si="44"/>
        <v>#N/A</v>
      </c>
      <c r="BI252" s="621">
        <v>244</v>
      </c>
      <c r="BJ252" s="711"/>
      <c r="BK252" s="712"/>
      <c r="BL252" s="713">
        <v>244</v>
      </c>
      <c r="BM252" s="714"/>
      <c r="BN252" s="239"/>
      <c r="BO252" s="24"/>
      <c r="BQ252" s="621">
        <v>244</v>
      </c>
      <c r="BR252" s="711"/>
      <c r="BS252" s="712"/>
      <c r="BT252" s="713">
        <v>244</v>
      </c>
      <c r="BU252" s="714"/>
      <c r="BV252" s="239"/>
      <c r="BW252" s="24"/>
      <c r="BY252" s="621">
        <v>244</v>
      </c>
      <c r="BZ252" s="711"/>
      <c r="CA252" s="712"/>
      <c r="CB252" s="713">
        <v>244</v>
      </c>
      <c r="CC252" s="714"/>
      <c r="CD252" s="239"/>
      <c r="CE252" s="24"/>
    </row>
    <row r="253" spans="5:83" ht="12" customHeight="1">
      <c r="E253" s="621">
        <v>245</v>
      </c>
      <c r="F253" s="711"/>
      <c r="G253" s="712"/>
      <c r="H253" s="713">
        <v>245</v>
      </c>
      <c r="I253" s="714"/>
      <c r="J253" s="239"/>
      <c r="K253" s="24"/>
      <c r="AI253" s="16" t="e">
        <f t="shared" si="37"/>
        <v>#N/A</v>
      </c>
      <c r="AJ253" s="16" t="str">
        <f t="shared" si="38"/>
        <v/>
      </c>
      <c r="AK253" s="16" t="str">
        <f t="shared" si="39"/>
        <v/>
      </c>
      <c r="AL253" s="16" t="e">
        <f>IF(AK253="",NA(),COUNTIF(AK$176:$AK253,AK253))</f>
        <v>#N/A</v>
      </c>
      <c r="AM253" s="16" t="e">
        <f t="shared" si="40"/>
        <v>#N/A</v>
      </c>
      <c r="AN253" s="16" t="e">
        <f t="shared" si="41"/>
        <v>#N/A</v>
      </c>
      <c r="AO253" s="16" t="str">
        <f t="shared" si="42"/>
        <v/>
      </c>
      <c r="AP253" s="16" t="str">
        <f t="shared" si="43"/>
        <v/>
      </c>
      <c r="AQ253" s="16" t="e">
        <f>IF(AP253="",NA(),COUNTIF(AP$176:$AP253,AP253))</f>
        <v>#N/A</v>
      </c>
      <c r="AR253" s="16" t="e">
        <f t="shared" si="44"/>
        <v>#N/A</v>
      </c>
      <c r="BI253" s="621">
        <v>245</v>
      </c>
      <c r="BJ253" s="711"/>
      <c r="BK253" s="712"/>
      <c r="BL253" s="713">
        <v>245</v>
      </c>
      <c r="BM253" s="714"/>
      <c r="BN253" s="239"/>
      <c r="BO253" s="24"/>
      <c r="BQ253" s="621">
        <v>245</v>
      </c>
      <c r="BR253" s="711"/>
      <c r="BS253" s="712"/>
      <c r="BT253" s="713">
        <v>245</v>
      </c>
      <c r="BU253" s="714"/>
      <c r="BV253" s="239"/>
      <c r="BW253" s="24"/>
      <c r="BY253" s="621">
        <v>245</v>
      </c>
      <c r="BZ253" s="711"/>
      <c r="CA253" s="712"/>
      <c r="CB253" s="713">
        <v>245</v>
      </c>
      <c r="CC253" s="714"/>
      <c r="CD253" s="239"/>
      <c r="CE253" s="24"/>
    </row>
    <row r="254" spans="5:83" ht="12" customHeight="1">
      <c r="E254" s="621">
        <v>246</v>
      </c>
      <c r="F254" s="711"/>
      <c r="G254" s="712"/>
      <c r="H254" s="713">
        <v>246</v>
      </c>
      <c r="I254" s="714"/>
      <c r="J254" s="239"/>
      <c r="K254" s="24"/>
      <c r="AI254" s="16" t="e">
        <f t="shared" si="37"/>
        <v>#N/A</v>
      </c>
      <c r="AJ254" s="16" t="str">
        <f t="shared" si="38"/>
        <v/>
      </c>
      <c r="AK254" s="16" t="str">
        <f t="shared" si="39"/>
        <v/>
      </c>
      <c r="AL254" s="16" t="e">
        <f>IF(AK254="",NA(),COUNTIF(AK$176:$AK254,AK254))</f>
        <v>#N/A</v>
      </c>
      <c r="AM254" s="16" t="e">
        <f t="shared" si="40"/>
        <v>#N/A</v>
      </c>
      <c r="AN254" s="16" t="e">
        <f t="shared" si="41"/>
        <v>#N/A</v>
      </c>
      <c r="AO254" s="16" t="str">
        <f t="shared" si="42"/>
        <v/>
      </c>
      <c r="AP254" s="16" t="str">
        <f t="shared" si="43"/>
        <v/>
      </c>
      <c r="AQ254" s="16" t="e">
        <f>IF(AP254="",NA(),COUNTIF(AP$176:$AP254,AP254))</f>
        <v>#N/A</v>
      </c>
      <c r="AR254" s="16" t="e">
        <f t="shared" si="44"/>
        <v>#N/A</v>
      </c>
      <c r="BI254" s="621">
        <v>246</v>
      </c>
      <c r="BJ254" s="711"/>
      <c r="BK254" s="712"/>
      <c r="BL254" s="713">
        <v>246</v>
      </c>
      <c r="BM254" s="714"/>
      <c r="BN254" s="239"/>
      <c r="BO254" s="24"/>
      <c r="BQ254" s="621">
        <v>246</v>
      </c>
      <c r="BR254" s="711"/>
      <c r="BS254" s="712"/>
      <c r="BT254" s="713">
        <v>246</v>
      </c>
      <c r="BU254" s="714"/>
      <c r="BV254" s="239"/>
      <c r="BW254" s="24"/>
      <c r="BY254" s="621">
        <v>246</v>
      </c>
      <c r="BZ254" s="711"/>
      <c r="CA254" s="712"/>
      <c r="CB254" s="713">
        <v>246</v>
      </c>
      <c r="CC254" s="714"/>
      <c r="CD254" s="239"/>
      <c r="CE254" s="24"/>
    </row>
    <row r="255" spans="5:83" ht="12" customHeight="1">
      <c r="E255" s="621">
        <v>247</v>
      </c>
      <c r="F255" s="711"/>
      <c r="G255" s="712"/>
      <c r="H255" s="713">
        <v>247</v>
      </c>
      <c r="I255" s="714"/>
      <c r="J255" s="239"/>
      <c r="K255" s="24"/>
      <c r="AI255" s="16" t="e">
        <f t="shared" si="37"/>
        <v>#N/A</v>
      </c>
      <c r="AJ255" s="16" t="str">
        <f t="shared" si="38"/>
        <v/>
      </c>
      <c r="AK255" s="16" t="str">
        <f t="shared" si="39"/>
        <v/>
      </c>
      <c r="AL255" s="16" t="e">
        <f>IF(AK255="",NA(),COUNTIF(AK$176:$AK255,AK255))</f>
        <v>#N/A</v>
      </c>
      <c r="AM255" s="16" t="e">
        <f t="shared" si="40"/>
        <v>#N/A</v>
      </c>
      <c r="AN255" s="16" t="e">
        <f t="shared" si="41"/>
        <v>#N/A</v>
      </c>
      <c r="AO255" s="16" t="str">
        <f t="shared" si="42"/>
        <v/>
      </c>
      <c r="AP255" s="16" t="str">
        <f t="shared" si="43"/>
        <v/>
      </c>
      <c r="AQ255" s="16" t="e">
        <f>IF(AP255="",NA(),COUNTIF(AP$176:$AP255,AP255))</f>
        <v>#N/A</v>
      </c>
      <c r="AR255" s="16" t="e">
        <f t="shared" si="44"/>
        <v>#N/A</v>
      </c>
      <c r="BI255" s="621">
        <v>247</v>
      </c>
      <c r="BJ255" s="711"/>
      <c r="BK255" s="712"/>
      <c r="BL255" s="713">
        <v>247</v>
      </c>
      <c r="BM255" s="714"/>
      <c r="BN255" s="239"/>
      <c r="BO255" s="24"/>
      <c r="BQ255" s="621">
        <v>247</v>
      </c>
      <c r="BR255" s="711"/>
      <c r="BS255" s="712"/>
      <c r="BT255" s="713">
        <v>247</v>
      </c>
      <c r="BU255" s="714"/>
      <c r="BV255" s="239"/>
      <c r="BW255" s="24"/>
      <c r="BY255" s="621">
        <v>247</v>
      </c>
      <c r="BZ255" s="711"/>
      <c r="CA255" s="712"/>
      <c r="CB255" s="713">
        <v>247</v>
      </c>
      <c r="CC255" s="714"/>
      <c r="CD255" s="239"/>
      <c r="CE255" s="24"/>
    </row>
    <row r="256" spans="5:83" ht="12" customHeight="1">
      <c r="E256" s="621">
        <v>248</v>
      </c>
      <c r="F256" s="711"/>
      <c r="G256" s="712"/>
      <c r="H256" s="713">
        <v>248</v>
      </c>
      <c r="I256" s="714"/>
      <c r="J256" s="239"/>
      <c r="K256" s="24"/>
      <c r="AI256" s="16" t="e">
        <f t="shared" si="37"/>
        <v>#N/A</v>
      </c>
      <c r="AJ256" s="16" t="str">
        <f t="shared" si="38"/>
        <v/>
      </c>
      <c r="AK256" s="16" t="str">
        <f t="shared" si="39"/>
        <v/>
      </c>
      <c r="AL256" s="16" t="e">
        <f>IF(AK256="",NA(),COUNTIF(AK$176:$AK256,AK256))</f>
        <v>#N/A</v>
      </c>
      <c r="AM256" s="16" t="e">
        <f t="shared" si="40"/>
        <v>#N/A</v>
      </c>
      <c r="AN256" s="16" t="e">
        <f t="shared" si="41"/>
        <v>#N/A</v>
      </c>
      <c r="AO256" s="16" t="str">
        <f t="shared" si="42"/>
        <v/>
      </c>
      <c r="AP256" s="16" t="str">
        <f t="shared" si="43"/>
        <v/>
      </c>
      <c r="AQ256" s="16" t="e">
        <f>IF(AP256="",NA(),COUNTIF(AP$176:$AP256,AP256))</f>
        <v>#N/A</v>
      </c>
      <c r="AR256" s="16" t="e">
        <f t="shared" si="44"/>
        <v>#N/A</v>
      </c>
      <c r="BI256" s="621">
        <v>248</v>
      </c>
      <c r="BJ256" s="711"/>
      <c r="BK256" s="712"/>
      <c r="BL256" s="713">
        <v>248</v>
      </c>
      <c r="BM256" s="714"/>
      <c r="BN256" s="239"/>
      <c r="BO256" s="24"/>
      <c r="BQ256" s="621">
        <v>248</v>
      </c>
      <c r="BR256" s="711"/>
      <c r="BS256" s="712"/>
      <c r="BT256" s="713">
        <v>248</v>
      </c>
      <c r="BU256" s="714"/>
      <c r="BV256" s="239"/>
      <c r="BW256" s="24"/>
      <c r="BY256" s="621">
        <v>248</v>
      </c>
      <c r="BZ256" s="711"/>
      <c r="CA256" s="712"/>
      <c r="CB256" s="713">
        <v>248</v>
      </c>
      <c r="CC256" s="714"/>
      <c r="CD256" s="239"/>
      <c r="CE256" s="24"/>
    </row>
    <row r="257" spans="5:83" ht="12" customHeight="1">
      <c r="E257" s="621">
        <v>249</v>
      </c>
      <c r="F257" s="711"/>
      <c r="G257" s="712"/>
      <c r="H257" s="713">
        <v>249</v>
      </c>
      <c r="I257" s="714"/>
      <c r="J257" s="239"/>
      <c r="K257" s="24"/>
      <c r="AI257" s="16" t="e">
        <f t="shared" si="37"/>
        <v>#N/A</v>
      </c>
      <c r="AJ257" s="16" t="str">
        <f t="shared" si="38"/>
        <v/>
      </c>
      <c r="AK257" s="16" t="str">
        <f t="shared" si="39"/>
        <v/>
      </c>
      <c r="AL257" s="16" t="e">
        <f>IF(AK257="",NA(),COUNTIF(AK$176:$AK257,AK257))</f>
        <v>#N/A</v>
      </c>
      <c r="AM257" s="16" t="e">
        <f t="shared" si="40"/>
        <v>#N/A</v>
      </c>
      <c r="AN257" s="16" t="e">
        <f t="shared" si="41"/>
        <v>#N/A</v>
      </c>
      <c r="AO257" s="16" t="str">
        <f t="shared" si="42"/>
        <v/>
      </c>
      <c r="AP257" s="16" t="str">
        <f t="shared" si="43"/>
        <v/>
      </c>
      <c r="AQ257" s="16" t="e">
        <f>IF(AP257="",NA(),COUNTIF(AP$176:$AP257,AP257))</f>
        <v>#N/A</v>
      </c>
      <c r="AR257" s="16" t="e">
        <f t="shared" si="44"/>
        <v>#N/A</v>
      </c>
      <c r="BI257" s="621">
        <v>249</v>
      </c>
      <c r="BJ257" s="711"/>
      <c r="BK257" s="712"/>
      <c r="BL257" s="713">
        <v>249</v>
      </c>
      <c r="BM257" s="714"/>
      <c r="BN257" s="239"/>
      <c r="BO257" s="24"/>
      <c r="BQ257" s="621">
        <v>249</v>
      </c>
      <c r="BR257" s="711"/>
      <c r="BS257" s="712"/>
      <c r="BT257" s="713">
        <v>249</v>
      </c>
      <c r="BU257" s="714"/>
      <c r="BV257" s="239"/>
      <c r="BW257" s="24"/>
      <c r="BY257" s="621">
        <v>249</v>
      </c>
      <c r="BZ257" s="711"/>
      <c r="CA257" s="712"/>
      <c r="CB257" s="713">
        <v>249</v>
      </c>
      <c r="CC257" s="714"/>
      <c r="CD257" s="239"/>
      <c r="CE257" s="24"/>
    </row>
    <row r="258" spans="5:83" ht="12" customHeight="1">
      <c r="E258" s="621">
        <v>250</v>
      </c>
      <c r="F258" s="711"/>
      <c r="G258" s="712"/>
      <c r="H258" s="713">
        <v>250</v>
      </c>
      <c r="I258" s="714"/>
      <c r="J258" s="239"/>
      <c r="K258" s="24"/>
      <c r="AI258" s="16" t="e">
        <f t="shared" si="37"/>
        <v>#N/A</v>
      </c>
      <c r="AJ258" s="16" t="str">
        <f t="shared" si="38"/>
        <v/>
      </c>
      <c r="AK258" s="16" t="str">
        <f t="shared" si="39"/>
        <v/>
      </c>
      <c r="AL258" s="16" t="e">
        <f>IF(AK258="",NA(),COUNTIF(AK$176:$AK258,AK258))</f>
        <v>#N/A</v>
      </c>
      <c r="AM258" s="16" t="e">
        <f t="shared" si="40"/>
        <v>#N/A</v>
      </c>
      <c r="AN258" s="16" t="e">
        <f t="shared" si="41"/>
        <v>#N/A</v>
      </c>
      <c r="AO258" s="16" t="str">
        <f t="shared" si="42"/>
        <v/>
      </c>
      <c r="AP258" s="16" t="str">
        <f t="shared" si="43"/>
        <v/>
      </c>
      <c r="AQ258" s="16" t="e">
        <f>IF(AP258="",NA(),COUNTIF(AP$176:$AP258,AP258))</f>
        <v>#N/A</v>
      </c>
      <c r="AR258" s="16" t="e">
        <f t="shared" si="44"/>
        <v>#N/A</v>
      </c>
      <c r="BI258" s="621">
        <v>250</v>
      </c>
      <c r="BJ258" s="711"/>
      <c r="BK258" s="712"/>
      <c r="BL258" s="713">
        <v>250</v>
      </c>
      <c r="BM258" s="714"/>
      <c r="BN258" s="239"/>
      <c r="BO258" s="24"/>
      <c r="BQ258" s="621">
        <v>250</v>
      </c>
      <c r="BR258" s="711"/>
      <c r="BS258" s="712"/>
      <c r="BT258" s="713">
        <v>250</v>
      </c>
      <c r="BU258" s="714"/>
      <c r="BV258" s="239"/>
      <c r="BW258" s="24"/>
      <c r="BY258" s="621">
        <v>250</v>
      </c>
      <c r="BZ258" s="711"/>
      <c r="CA258" s="712"/>
      <c r="CB258" s="713">
        <v>250</v>
      </c>
      <c r="CC258" s="714"/>
      <c r="CD258" s="239"/>
      <c r="CE258" s="24"/>
    </row>
    <row r="259" spans="5:83" ht="12" customHeight="1">
      <c r="E259" s="621">
        <v>251</v>
      </c>
      <c r="F259" s="711"/>
      <c r="G259" s="712"/>
      <c r="H259" s="713">
        <v>251</v>
      </c>
      <c r="I259" s="714"/>
      <c r="J259" s="239"/>
      <c r="K259" s="24"/>
      <c r="AI259" s="16" t="e">
        <f t="shared" si="37"/>
        <v>#N/A</v>
      </c>
      <c r="AJ259" s="16" t="str">
        <f t="shared" si="38"/>
        <v/>
      </c>
      <c r="AK259" s="16" t="str">
        <f t="shared" si="39"/>
        <v/>
      </c>
      <c r="AL259" s="16" t="e">
        <f>IF(AK259="",NA(),COUNTIF(AK$176:$AK259,AK259))</f>
        <v>#N/A</v>
      </c>
      <c r="AM259" s="16" t="e">
        <f t="shared" si="40"/>
        <v>#N/A</v>
      </c>
      <c r="AN259" s="16" t="e">
        <f t="shared" si="41"/>
        <v>#N/A</v>
      </c>
      <c r="AO259" s="16" t="str">
        <f t="shared" si="42"/>
        <v/>
      </c>
      <c r="AP259" s="16" t="str">
        <f t="shared" si="43"/>
        <v/>
      </c>
      <c r="AQ259" s="16" t="e">
        <f>IF(AP259="",NA(),COUNTIF(AP$176:$AP259,AP259))</f>
        <v>#N/A</v>
      </c>
      <c r="AR259" s="16" t="e">
        <f t="shared" si="44"/>
        <v>#N/A</v>
      </c>
      <c r="BI259" s="621">
        <v>251</v>
      </c>
      <c r="BJ259" s="711"/>
      <c r="BK259" s="712"/>
      <c r="BL259" s="713">
        <v>251</v>
      </c>
      <c r="BM259" s="714"/>
      <c r="BN259" s="239"/>
      <c r="BO259" s="24"/>
      <c r="BQ259" s="621">
        <v>251</v>
      </c>
      <c r="BR259" s="711"/>
      <c r="BS259" s="712"/>
      <c r="BT259" s="713">
        <v>251</v>
      </c>
      <c r="BU259" s="714"/>
      <c r="BV259" s="239"/>
      <c r="BW259" s="24"/>
      <c r="BY259" s="621">
        <v>251</v>
      </c>
      <c r="BZ259" s="711"/>
      <c r="CA259" s="712"/>
      <c r="CB259" s="713">
        <v>251</v>
      </c>
      <c r="CC259" s="714"/>
      <c r="CD259" s="239"/>
      <c r="CE259" s="24"/>
    </row>
    <row r="260" spans="5:83" ht="12" customHeight="1">
      <c r="E260" s="621">
        <v>252</v>
      </c>
      <c r="F260" s="711"/>
      <c r="G260" s="712"/>
      <c r="H260" s="713">
        <v>252</v>
      </c>
      <c r="I260" s="714"/>
      <c r="J260" s="239"/>
      <c r="K260" s="24"/>
      <c r="AI260" s="16" t="e">
        <f t="shared" si="37"/>
        <v>#N/A</v>
      </c>
      <c r="AJ260" s="16" t="str">
        <f t="shared" si="38"/>
        <v/>
      </c>
      <c r="AK260" s="16" t="str">
        <f t="shared" si="39"/>
        <v/>
      </c>
      <c r="AL260" s="16" t="e">
        <f>IF(AK260="",NA(),COUNTIF(AK$176:$AK260,AK260))</f>
        <v>#N/A</v>
      </c>
      <c r="AM260" s="16" t="e">
        <f t="shared" si="40"/>
        <v>#N/A</v>
      </c>
      <c r="AN260" s="16" t="e">
        <f t="shared" si="41"/>
        <v>#N/A</v>
      </c>
      <c r="AO260" s="16" t="str">
        <f t="shared" si="42"/>
        <v/>
      </c>
      <c r="AP260" s="16" t="str">
        <f t="shared" si="43"/>
        <v/>
      </c>
      <c r="AQ260" s="16" t="e">
        <f>IF(AP260="",NA(),COUNTIF(AP$176:$AP260,AP260))</f>
        <v>#N/A</v>
      </c>
      <c r="AR260" s="16" t="e">
        <f t="shared" si="44"/>
        <v>#N/A</v>
      </c>
      <c r="BI260" s="621">
        <v>252</v>
      </c>
      <c r="BJ260" s="711"/>
      <c r="BK260" s="712"/>
      <c r="BL260" s="713">
        <v>252</v>
      </c>
      <c r="BM260" s="714"/>
      <c r="BN260" s="239"/>
      <c r="BO260" s="24"/>
      <c r="BQ260" s="621">
        <v>252</v>
      </c>
      <c r="BR260" s="711"/>
      <c r="BS260" s="712"/>
      <c r="BT260" s="713">
        <v>252</v>
      </c>
      <c r="BU260" s="714"/>
      <c r="BV260" s="239"/>
      <c r="BW260" s="24"/>
      <c r="BY260" s="621">
        <v>252</v>
      </c>
      <c r="BZ260" s="711"/>
      <c r="CA260" s="712"/>
      <c r="CB260" s="713">
        <v>252</v>
      </c>
      <c r="CC260" s="714"/>
      <c r="CD260" s="239"/>
      <c r="CE260" s="24"/>
    </row>
    <row r="261" spans="5:83" ht="12" customHeight="1">
      <c r="E261" s="621">
        <v>253</v>
      </c>
      <c r="F261" s="711"/>
      <c r="G261" s="712"/>
      <c r="H261" s="713">
        <v>253</v>
      </c>
      <c r="I261" s="714"/>
      <c r="J261" s="239"/>
      <c r="K261" s="24"/>
      <c r="AI261" s="16" t="e">
        <f t="shared" si="37"/>
        <v>#N/A</v>
      </c>
      <c r="AJ261" s="16" t="str">
        <f t="shared" si="38"/>
        <v/>
      </c>
      <c r="AK261" s="16" t="str">
        <f t="shared" si="39"/>
        <v/>
      </c>
      <c r="AL261" s="16" t="e">
        <f>IF(AK261="",NA(),COUNTIF(AK$176:$AK261,AK261))</f>
        <v>#N/A</v>
      </c>
      <c r="AM261" s="16" t="e">
        <f t="shared" si="40"/>
        <v>#N/A</v>
      </c>
      <c r="AN261" s="16" t="e">
        <f t="shared" si="41"/>
        <v>#N/A</v>
      </c>
      <c r="AO261" s="16" t="str">
        <f t="shared" si="42"/>
        <v/>
      </c>
      <c r="AP261" s="16" t="str">
        <f t="shared" si="43"/>
        <v/>
      </c>
      <c r="AQ261" s="16" t="e">
        <f>IF(AP261="",NA(),COUNTIF(AP$176:$AP261,AP261))</f>
        <v>#N/A</v>
      </c>
      <c r="AR261" s="16" t="e">
        <f t="shared" si="44"/>
        <v>#N/A</v>
      </c>
      <c r="BI261" s="621">
        <v>253</v>
      </c>
      <c r="BJ261" s="711"/>
      <c r="BK261" s="712"/>
      <c r="BL261" s="713">
        <v>253</v>
      </c>
      <c r="BM261" s="714"/>
      <c r="BN261" s="239"/>
      <c r="BO261" s="24"/>
      <c r="BQ261" s="621">
        <v>253</v>
      </c>
      <c r="BR261" s="711"/>
      <c r="BS261" s="712"/>
      <c r="BT261" s="713">
        <v>253</v>
      </c>
      <c r="BU261" s="714"/>
      <c r="BV261" s="239"/>
      <c r="BW261" s="24"/>
      <c r="BY261" s="621">
        <v>253</v>
      </c>
      <c r="BZ261" s="711"/>
      <c r="CA261" s="712"/>
      <c r="CB261" s="713">
        <v>253</v>
      </c>
      <c r="CC261" s="714"/>
      <c r="CD261" s="239"/>
      <c r="CE261" s="24"/>
    </row>
    <row r="262" spans="5:83" ht="12" customHeight="1">
      <c r="E262" s="621">
        <v>254</v>
      </c>
      <c r="F262" s="711"/>
      <c r="G262" s="712"/>
      <c r="H262" s="713">
        <v>254</v>
      </c>
      <c r="I262" s="714"/>
      <c r="J262" s="239"/>
      <c r="K262" s="24"/>
      <c r="AI262" s="16" t="e">
        <f t="shared" si="37"/>
        <v>#N/A</v>
      </c>
      <c r="AJ262" s="16" t="str">
        <f t="shared" si="38"/>
        <v/>
      </c>
      <c r="AK262" s="16" t="str">
        <f t="shared" si="39"/>
        <v/>
      </c>
      <c r="AL262" s="16" t="e">
        <f>IF(AK262="",NA(),COUNTIF(AK$176:$AK262,AK262))</f>
        <v>#N/A</v>
      </c>
      <c r="AM262" s="16" t="e">
        <f t="shared" si="40"/>
        <v>#N/A</v>
      </c>
      <c r="AN262" s="16" t="e">
        <f t="shared" si="41"/>
        <v>#N/A</v>
      </c>
      <c r="AO262" s="16" t="str">
        <f t="shared" si="42"/>
        <v/>
      </c>
      <c r="AP262" s="16" t="str">
        <f t="shared" si="43"/>
        <v/>
      </c>
      <c r="AQ262" s="16" t="e">
        <f>IF(AP262="",NA(),COUNTIF(AP$176:$AP262,AP262))</f>
        <v>#N/A</v>
      </c>
      <c r="AR262" s="16" t="e">
        <f t="shared" si="44"/>
        <v>#N/A</v>
      </c>
      <c r="BI262" s="621">
        <v>254</v>
      </c>
      <c r="BJ262" s="711"/>
      <c r="BK262" s="712"/>
      <c r="BL262" s="713">
        <v>254</v>
      </c>
      <c r="BM262" s="714"/>
      <c r="BN262" s="239"/>
      <c r="BO262" s="24"/>
      <c r="BQ262" s="621">
        <v>254</v>
      </c>
      <c r="BR262" s="711"/>
      <c r="BS262" s="712"/>
      <c r="BT262" s="713">
        <v>254</v>
      </c>
      <c r="BU262" s="714"/>
      <c r="BV262" s="239"/>
      <c r="BW262" s="24"/>
      <c r="BY262" s="621">
        <v>254</v>
      </c>
      <c r="BZ262" s="711"/>
      <c r="CA262" s="712"/>
      <c r="CB262" s="713">
        <v>254</v>
      </c>
      <c r="CC262" s="714"/>
      <c r="CD262" s="239"/>
      <c r="CE262" s="24"/>
    </row>
    <row r="263" spans="5:83" ht="12" customHeight="1">
      <c r="E263" s="621">
        <v>255</v>
      </c>
      <c r="F263" s="711"/>
      <c r="G263" s="712"/>
      <c r="H263" s="713">
        <v>255</v>
      </c>
      <c r="I263" s="714"/>
      <c r="J263" s="239"/>
      <c r="K263" s="24"/>
      <c r="AI263" s="16" t="e">
        <f t="shared" si="37"/>
        <v>#N/A</v>
      </c>
      <c r="AJ263" s="16" t="str">
        <f t="shared" si="38"/>
        <v/>
      </c>
      <c r="AK263" s="16" t="str">
        <f t="shared" si="39"/>
        <v/>
      </c>
      <c r="AL263" s="16" t="e">
        <f>IF(AK263="",NA(),COUNTIF(AK$176:$AK263,AK263))</f>
        <v>#N/A</v>
      </c>
      <c r="AM263" s="16" t="e">
        <f t="shared" si="40"/>
        <v>#N/A</v>
      </c>
      <c r="AN263" s="16" t="e">
        <f t="shared" si="41"/>
        <v>#N/A</v>
      </c>
      <c r="AO263" s="16" t="str">
        <f t="shared" si="42"/>
        <v/>
      </c>
      <c r="AP263" s="16" t="str">
        <f t="shared" si="43"/>
        <v/>
      </c>
      <c r="AQ263" s="16" t="e">
        <f>IF(AP263="",NA(),COUNTIF(AP$176:$AP263,AP263))</f>
        <v>#N/A</v>
      </c>
      <c r="AR263" s="16" t="e">
        <f t="shared" si="44"/>
        <v>#N/A</v>
      </c>
      <c r="BI263" s="621">
        <v>255</v>
      </c>
      <c r="BJ263" s="711"/>
      <c r="BK263" s="712"/>
      <c r="BL263" s="713">
        <v>255</v>
      </c>
      <c r="BM263" s="714"/>
      <c r="BN263" s="239"/>
      <c r="BO263" s="24"/>
      <c r="BQ263" s="621">
        <v>255</v>
      </c>
      <c r="BR263" s="711"/>
      <c r="BS263" s="712"/>
      <c r="BT263" s="713">
        <v>255</v>
      </c>
      <c r="BU263" s="714"/>
      <c r="BV263" s="239"/>
      <c r="BW263" s="24"/>
      <c r="BY263" s="621">
        <v>255</v>
      </c>
      <c r="BZ263" s="711"/>
      <c r="CA263" s="712"/>
      <c r="CB263" s="713">
        <v>255</v>
      </c>
      <c r="CC263" s="714"/>
      <c r="CD263" s="239"/>
      <c r="CE263" s="24"/>
    </row>
    <row r="264" spans="5:83" ht="12" customHeight="1">
      <c r="E264" s="621">
        <v>256</v>
      </c>
      <c r="F264" s="711"/>
      <c r="G264" s="712"/>
      <c r="H264" s="713">
        <v>256</v>
      </c>
      <c r="I264" s="714"/>
      <c r="J264" s="239"/>
      <c r="K264" s="24"/>
      <c r="AI264" s="16" t="e">
        <f t="shared" si="37"/>
        <v>#N/A</v>
      </c>
      <c r="AJ264" s="16" t="str">
        <f t="shared" si="38"/>
        <v/>
      </c>
      <c r="AK264" s="16" t="str">
        <f t="shared" si="39"/>
        <v/>
      </c>
      <c r="AL264" s="16" t="e">
        <f>IF(AK264="",NA(),COUNTIF(AK$176:$AK264,AK264))</f>
        <v>#N/A</v>
      </c>
      <c r="AM264" s="16" t="e">
        <f t="shared" si="40"/>
        <v>#N/A</v>
      </c>
      <c r="AN264" s="16" t="e">
        <f t="shared" si="41"/>
        <v>#N/A</v>
      </c>
      <c r="AO264" s="16" t="str">
        <f t="shared" si="42"/>
        <v/>
      </c>
      <c r="AP264" s="16" t="str">
        <f t="shared" si="43"/>
        <v/>
      </c>
      <c r="AQ264" s="16" t="e">
        <f>IF(AP264="",NA(),COUNTIF(AP$176:$AP264,AP264))</f>
        <v>#N/A</v>
      </c>
      <c r="AR264" s="16" t="e">
        <f t="shared" si="44"/>
        <v>#N/A</v>
      </c>
      <c r="BI264" s="621">
        <v>256</v>
      </c>
      <c r="BJ264" s="711"/>
      <c r="BK264" s="712"/>
      <c r="BL264" s="713">
        <v>256</v>
      </c>
      <c r="BM264" s="714"/>
      <c r="BN264" s="239"/>
      <c r="BO264" s="24"/>
      <c r="BQ264" s="621">
        <v>256</v>
      </c>
      <c r="BR264" s="711"/>
      <c r="BS264" s="712"/>
      <c r="BT264" s="713">
        <v>256</v>
      </c>
      <c r="BU264" s="714"/>
      <c r="BV264" s="239"/>
      <c r="BW264" s="24"/>
      <c r="BY264" s="621">
        <v>256</v>
      </c>
      <c r="BZ264" s="711"/>
      <c r="CA264" s="712"/>
      <c r="CB264" s="713">
        <v>256</v>
      </c>
      <c r="CC264" s="714"/>
      <c r="CD264" s="239"/>
      <c r="CE264" s="24"/>
    </row>
    <row r="265" spans="5:83" ht="12" customHeight="1">
      <c r="E265" s="621">
        <v>257</v>
      </c>
      <c r="F265" s="711"/>
      <c r="G265" s="712"/>
      <c r="H265" s="713">
        <v>257</v>
      </c>
      <c r="I265" s="714"/>
      <c r="J265" s="239"/>
      <c r="K265" s="24"/>
      <c r="AI265" s="16" t="e">
        <f t="shared" si="37"/>
        <v>#N/A</v>
      </c>
      <c r="AJ265" s="16" t="str">
        <f t="shared" si="38"/>
        <v/>
      </c>
      <c r="AK265" s="16" t="str">
        <f t="shared" si="39"/>
        <v/>
      </c>
      <c r="AL265" s="16" t="e">
        <f>IF(AK265="",NA(),COUNTIF(AK$176:$AK265,AK265))</f>
        <v>#N/A</v>
      </c>
      <c r="AM265" s="16" t="e">
        <f t="shared" si="40"/>
        <v>#N/A</v>
      </c>
      <c r="AN265" s="16" t="e">
        <f t="shared" si="41"/>
        <v>#N/A</v>
      </c>
      <c r="AO265" s="16" t="str">
        <f t="shared" si="42"/>
        <v/>
      </c>
      <c r="AP265" s="16" t="str">
        <f t="shared" si="43"/>
        <v/>
      </c>
      <c r="AQ265" s="16" t="e">
        <f>IF(AP265="",NA(),COUNTIF(AP$176:$AP265,AP265))</f>
        <v>#N/A</v>
      </c>
      <c r="AR265" s="16" t="e">
        <f t="shared" si="44"/>
        <v>#N/A</v>
      </c>
      <c r="BI265" s="621">
        <v>257</v>
      </c>
      <c r="BJ265" s="711"/>
      <c r="BK265" s="712"/>
      <c r="BL265" s="713">
        <v>257</v>
      </c>
      <c r="BM265" s="714"/>
      <c r="BN265" s="239"/>
      <c r="BO265" s="24"/>
      <c r="BQ265" s="621">
        <v>257</v>
      </c>
      <c r="BR265" s="711"/>
      <c r="BS265" s="712"/>
      <c r="BT265" s="713">
        <v>257</v>
      </c>
      <c r="BU265" s="714"/>
      <c r="BV265" s="239"/>
      <c r="BW265" s="24"/>
      <c r="BY265" s="621">
        <v>257</v>
      </c>
      <c r="BZ265" s="711"/>
      <c r="CA265" s="712"/>
      <c r="CB265" s="713">
        <v>257</v>
      </c>
      <c r="CC265" s="714"/>
      <c r="CD265" s="239"/>
      <c r="CE265" s="24"/>
    </row>
    <row r="266" spans="5:83" ht="12" customHeight="1">
      <c r="E266" s="621">
        <v>258</v>
      </c>
      <c r="F266" s="711"/>
      <c r="G266" s="712"/>
      <c r="H266" s="713">
        <v>258</v>
      </c>
      <c r="I266" s="714"/>
      <c r="J266" s="239"/>
      <c r="K266" s="24"/>
      <c r="AI266" s="16" t="e">
        <f t="shared" si="37"/>
        <v>#N/A</v>
      </c>
      <c r="AJ266" s="16" t="str">
        <f t="shared" si="38"/>
        <v/>
      </c>
      <c r="AK266" s="16" t="str">
        <f t="shared" si="39"/>
        <v/>
      </c>
      <c r="AL266" s="16" t="e">
        <f>IF(AK266="",NA(),COUNTIF(AK$176:$AK266,AK266))</f>
        <v>#N/A</v>
      </c>
      <c r="AM266" s="16" t="e">
        <f t="shared" si="40"/>
        <v>#N/A</v>
      </c>
      <c r="AN266" s="16" t="e">
        <f t="shared" si="41"/>
        <v>#N/A</v>
      </c>
      <c r="AO266" s="16" t="str">
        <f t="shared" si="42"/>
        <v/>
      </c>
      <c r="AP266" s="16" t="str">
        <f t="shared" si="43"/>
        <v/>
      </c>
      <c r="AQ266" s="16" t="e">
        <f>IF(AP266="",NA(),COUNTIF(AP$176:$AP266,AP266))</f>
        <v>#N/A</v>
      </c>
      <c r="AR266" s="16" t="e">
        <f t="shared" si="44"/>
        <v>#N/A</v>
      </c>
      <c r="BI266" s="621">
        <v>258</v>
      </c>
      <c r="BJ266" s="711"/>
      <c r="BK266" s="712"/>
      <c r="BL266" s="713">
        <v>258</v>
      </c>
      <c r="BM266" s="714"/>
      <c r="BN266" s="239"/>
      <c r="BO266" s="24"/>
      <c r="BQ266" s="621">
        <v>258</v>
      </c>
      <c r="BR266" s="711"/>
      <c r="BS266" s="712"/>
      <c r="BT266" s="713">
        <v>258</v>
      </c>
      <c r="BU266" s="714"/>
      <c r="BV266" s="239"/>
      <c r="BW266" s="24"/>
      <c r="BY266" s="621">
        <v>258</v>
      </c>
      <c r="BZ266" s="711"/>
      <c r="CA266" s="712"/>
      <c r="CB266" s="713">
        <v>258</v>
      </c>
      <c r="CC266" s="714"/>
      <c r="CD266" s="239"/>
      <c r="CE266" s="24"/>
    </row>
    <row r="267" spans="5:83" ht="12" customHeight="1">
      <c r="E267" s="621">
        <v>259</v>
      </c>
      <c r="F267" s="711"/>
      <c r="G267" s="712"/>
      <c r="H267" s="713">
        <v>259</v>
      </c>
      <c r="I267" s="714"/>
      <c r="J267" s="239"/>
      <c r="K267" s="24"/>
      <c r="AI267" s="16" t="e">
        <f t="shared" si="37"/>
        <v>#N/A</v>
      </c>
      <c r="AJ267" s="16" t="str">
        <f t="shared" si="38"/>
        <v/>
      </c>
      <c r="AK267" s="16" t="str">
        <f t="shared" si="39"/>
        <v/>
      </c>
      <c r="AL267" s="16" t="e">
        <f>IF(AK267="",NA(),COUNTIF(AK$176:$AK267,AK267))</f>
        <v>#N/A</v>
      </c>
      <c r="AM267" s="16" t="e">
        <f t="shared" si="40"/>
        <v>#N/A</v>
      </c>
      <c r="AN267" s="16" t="e">
        <f t="shared" si="41"/>
        <v>#N/A</v>
      </c>
      <c r="AO267" s="16" t="str">
        <f t="shared" si="42"/>
        <v/>
      </c>
      <c r="AP267" s="16" t="str">
        <f t="shared" si="43"/>
        <v/>
      </c>
      <c r="AQ267" s="16" t="e">
        <f>IF(AP267="",NA(),COUNTIF(AP$176:$AP267,AP267))</f>
        <v>#N/A</v>
      </c>
      <c r="AR267" s="16" t="e">
        <f t="shared" si="44"/>
        <v>#N/A</v>
      </c>
      <c r="BI267" s="621">
        <v>259</v>
      </c>
      <c r="BJ267" s="711"/>
      <c r="BK267" s="712"/>
      <c r="BL267" s="713">
        <v>259</v>
      </c>
      <c r="BM267" s="714"/>
      <c r="BN267" s="239"/>
      <c r="BO267" s="24"/>
      <c r="BQ267" s="621">
        <v>259</v>
      </c>
      <c r="BR267" s="711"/>
      <c r="BS267" s="712"/>
      <c r="BT267" s="713">
        <v>259</v>
      </c>
      <c r="BU267" s="714"/>
      <c r="BV267" s="239"/>
      <c r="BW267" s="24"/>
      <c r="BY267" s="621">
        <v>259</v>
      </c>
      <c r="BZ267" s="711"/>
      <c r="CA267" s="712"/>
      <c r="CB267" s="713">
        <v>259</v>
      </c>
      <c r="CC267" s="714"/>
      <c r="CD267" s="239"/>
      <c r="CE267" s="24"/>
    </row>
    <row r="268" spans="5:83" ht="12" customHeight="1">
      <c r="E268" s="621">
        <v>260</v>
      </c>
      <c r="F268" s="711"/>
      <c r="G268" s="712"/>
      <c r="H268" s="713">
        <v>260</v>
      </c>
      <c r="I268" s="714"/>
      <c r="J268" s="239"/>
      <c r="K268" s="24"/>
      <c r="AI268" s="16" t="e">
        <f t="shared" si="37"/>
        <v>#N/A</v>
      </c>
      <c r="AJ268" s="16" t="str">
        <f t="shared" si="38"/>
        <v/>
      </c>
      <c r="AK268" s="16" t="str">
        <f t="shared" si="39"/>
        <v/>
      </c>
      <c r="AL268" s="16" t="e">
        <f>IF(AK268="",NA(),COUNTIF(AK$176:$AK268,AK268))</f>
        <v>#N/A</v>
      </c>
      <c r="AM268" s="16" t="e">
        <f t="shared" si="40"/>
        <v>#N/A</v>
      </c>
      <c r="AN268" s="16" t="e">
        <f t="shared" si="41"/>
        <v>#N/A</v>
      </c>
      <c r="AO268" s="16" t="str">
        <f t="shared" si="42"/>
        <v/>
      </c>
      <c r="AP268" s="16" t="str">
        <f t="shared" si="43"/>
        <v/>
      </c>
      <c r="AQ268" s="16" t="e">
        <f>IF(AP268="",NA(),COUNTIF(AP$176:$AP268,AP268))</f>
        <v>#N/A</v>
      </c>
      <c r="AR268" s="16" t="e">
        <f t="shared" si="44"/>
        <v>#N/A</v>
      </c>
      <c r="BI268" s="621">
        <v>260</v>
      </c>
      <c r="BJ268" s="711"/>
      <c r="BK268" s="712"/>
      <c r="BL268" s="713">
        <v>260</v>
      </c>
      <c r="BM268" s="714"/>
      <c r="BN268" s="239"/>
      <c r="BO268" s="24"/>
      <c r="BQ268" s="621">
        <v>260</v>
      </c>
      <c r="BR268" s="711"/>
      <c r="BS268" s="712"/>
      <c r="BT268" s="713">
        <v>260</v>
      </c>
      <c r="BU268" s="714"/>
      <c r="BV268" s="239"/>
      <c r="BW268" s="24"/>
      <c r="BY268" s="621">
        <v>260</v>
      </c>
      <c r="BZ268" s="711"/>
      <c r="CA268" s="712"/>
      <c r="CB268" s="713">
        <v>260</v>
      </c>
      <c r="CC268" s="714"/>
      <c r="CD268" s="239"/>
      <c r="CE268" s="24"/>
    </row>
    <row r="269" spans="5:83" ht="12" customHeight="1">
      <c r="E269" s="621">
        <v>261</v>
      </c>
      <c r="F269" s="711"/>
      <c r="G269" s="712"/>
      <c r="H269" s="713">
        <v>261</v>
      </c>
      <c r="I269" s="714"/>
      <c r="J269" s="239"/>
      <c r="K269" s="24"/>
      <c r="AI269" s="16" t="e">
        <f t="shared" ref="AI269:AI332" si="45">IF(AND($X$80,NOT(F201=""),$X$78),F201,NA())</f>
        <v>#N/A</v>
      </c>
      <c r="AJ269" s="16" t="str">
        <f t="shared" ref="AJ269:AJ332" si="46">IF(AK269="","",IF($AU$79=0,AI269,AK269*$AU$79))</f>
        <v/>
      </c>
      <c r="AK269" s="16" t="str">
        <f t="shared" ref="AK269:AK332" si="47">IF(ISNA(AI269),"",IF($AU$79=0,AI269,ROUND(AI269/$AU$79,0)))</f>
        <v/>
      </c>
      <c r="AL269" s="16" t="e">
        <f>IF(AK269="",NA(),COUNTIF(AK$176:$AK269,AK269))</f>
        <v>#N/A</v>
      </c>
      <c r="AM269" s="16" t="e">
        <f t="shared" ref="AM269:AM332" si="48">(AL269-1)*$AU$82</f>
        <v>#N/A</v>
      </c>
      <c r="AN269" s="16" t="e">
        <f t="shared" ref="AN269:AN332" si="49">IF(AND($X$80,NOT(I201=""),$X$79),I201,NA())</f>
        <v>#N/A</v>
      </c>
      <c r="AO269" s="16" t="str">
        <f t="shared" ref="AO269:AO332" si="50">IF(AP269="","",IF($AU$79=0,AN269,AP269*$AU$79))</f>
        <v/>
      </c>
      <c r="AP269" s="16" t="str">
        <f t="shared" ref="AP269:AP332" si="51">IF(ISNA(AN269),"",IF($AU$79=0,AN269,ROUND(AN269/$AU$79,0)))</f>
        <v/>
      </c>
      <c r="AQ269" s="16" t="e">
        <f>IF(AP269="",NA(),COUNTIF(AP$176:$AP269,AP269))</f>
        <v>#N/A</v>
      </c>
      <c r="AR269" s="16" t="e">
        <f t="shared" ref="AR269:AR332" si="52">(AQ269-1)*$AU$82</f>
        <v>#N/A</v>
      </c>
      <c r="BI269" s="621">
        <v>261</v>
      </c>
      <c r="BJ269" s="711"/>
      <c r="BK269" s="712"/>
      <c r="BL269" s="713">
        <v>261</v>
      </c>
      <c r="BM269" s="714"/>
      <c r="BN269" s="239"/>
      <c r="BO269" s="24"/>
      <c r="BQ269" s="621">
        <v>261</v>
      </c>
      <c r="BR269" s="711"/>
      <c r="BS269" s="712"/>
      <c r="BT269" s="713">
        <v>261</v>
      </c>
      <c r="BU269" s="714"/>
      <c r="BV269" s="239"/>
      <c r="BW269" s="24"/>
      <c r="BY269" s="621">
        <v>261</v>
      </c>
      <c r="BZ269" s="711"/>
      <c r="CA269" s="712"/>
      <c r="CB269" s="713">
        <v>261</v>
      </c>
      <c r="CC269" s="714"/>
      <c r="CD269" s="239"/>
      <c r="CE269" s="24"/>
    </row>
    <row r="270" spans="5:83" ht="12" customHeight="1">
      <c r="E270" s="621">
        <v>262</v>
      </c>
      <c r="F270" s="711"/>
      <c r="G270" s="712"/>
      <c r="H270" s="713">
        <v>262</v>
      </c>
      <c r="I270" s="714"/>
      <c r="J270" s="239"/>
      <c r="K270" s="24"/>
      <c r="AI270" s="16" t="e">
        <f t="shared" si="45"/>
        <v>#N/A</v>
      </c>
      <c r="AJ270" s="16" t="str">
        <f t="shared" si="46"/>
        <v/>
      </c>
      <c r="AK270" s="16" t="str">
        <f t="shared" si="47"/>
        <v/>
      </c>
      <c r="AL270" s="16" t="e">
        <f>IF(AK270="",NA(),COUNTIF(AK$176:$AK270,AK270))</f>
        <v>#N/A</v>
      </c>
      <c r="AM270" s="16" t="e">
        <f t="shared" si="48"/>
        <v>#N/A</v>
      </c>
      <c r="AN270" s="16" t="e">
        <f t="shared" si="49"/>
        <v>#N/A</v>
      </c>
      <c r="AO270" s="16" t="str">
        <f t="shared" si="50"/>
        <v/>
      </c>
      <c r="AP270" s="16" t="str">
        <f t="shared" si="51"/>
        <v/>
      </c>
      <c r="AQ270" s="16" t="e">
        <f>IF(AP270="",NA(),COUNTIF(AP$176:$AP270,AP270))</f>
        <v>#N/A</v>
      </c>
      <c r="AR270" s="16" t="e">
        <f t="shared" si="52"/>
        <v>#N/A</v>
      </c>
      <c r="BI270" s="621">
        <v>262</v>
      </c>
      <c r="BJ270" s="711"/>
      <c r="BK270" s="712"/>
      <c r="BL270" s="713">
        <v>262</v>
      </c>
      <c r="BM270" s="714"/>
      <c r="BN270" s="239"/>
      <c r="BO270" s="24"/>
      <c r="BQ270" s="621">
        <v>262</v>
      </c>
      <c r="BR270" s="711"/>
      <c r="BS270" s="712"/>
      <c r="BT270" s="713">
        <v>262</v>
      </c>
      <c r="BU270" s="714"/>
      <c r="BV270" s="239"/>
      <c r="BW270" s="24"/>
      <c r="BY270" s="621">
        <v>262</v>
      </c>
      <c r="BZ270" s="711"/>
      <c r="CA270" s="712"/>
      <c r="CB270" s="713">
        <v>262</v>
      </c>
      <c r="CC270" s="714"/>
      <c r="CD270" s="239"/>
      <c r="CE270" s="24"/>
    </row>
    <row r="271" spans="5:83" ht="12" customHeight="1">
      <c r="E271" s="621">
        <v>263</v>
      </c>
      <c r="F271" s="711"/>
      <c r="G271" s="712"/>
      <c r="H271" s="713">
        <v>263</v>
      </c>
      <c r="I271" s="714"/>
      <c r="J271" s="239"/>
      <c r="K271" s="24"/>
      <c r="AI271" s="16" t="e">
        <f t="shared" si="45"/>
        <v>#N/A</v>
      </c>
      <c r="AJ271" s="16" t="str">
        <f t="shared" si="46"/>
        <v/>
      </c>
      <c r="AK271" s="16" t="str">
        <f t="shared" si="47"/>
        <v/>
      </c>
      <c r="AL271" s="16" t="e">
        <f>IF(AK271="",NA(),COUNTIF(AK$176:$AK271,AK271))</f>
        <v>#N/A</v>
      </c>
      <c r="AM271" s="16" t="e">
        <f t="shared" si="48"/>
        <v>#N/A</v>
      </c>
      <c r="AN271" s="16" t="e">
        <f t="shared" si="49"/>
        <v>#N/A</v>
      </c>
      <c r="AO271" s="16" t="str">
        <f t="shared" si="50"/>
        <v/>
      </c>
      <c r="AP271" s="16" t="str">
        <f t="shared" si="51"/>
        <v/>
      </c>
      <c r="AQ271" s="16" t="e">
        <f>IF(AP271="",NA(),COUNTIF(AP$176:$AP271,AP271))</f>
        <v>#N/A</v>
      </c>
      <c r="AR271" s="16" t="e">
        <f t="shared" si="52"/>
        <v>#N/A</v>
      </c>
      <c r="BI271" s="621">
        <v>263</v>
      </c>
      <c r="BJ271" s="711"/>
      <c r="BK271" s="712"/>
      <c r="BL271" s="713">
        <v>263</v>
      </c>
      <c r="BM271" s="714"/>
      <c r="BN271" s="239"/>
      <c r="BO271" s="24"/>
      <c r="BQ271" s="621">
        <v>263</v>
      </c>
      <c r="BR271" s="711"/>
      <c r="BS271" s="712"/>
      <c r="BT271" s="713">
        <v>263</v>
      </c>
      <c r="BU271" s="714"/>
      <c r="BV271" s="239"/>
      <c r="BW271" s="24"/>
      <c r="BY271" s="621">
        <v>263</v>
      </c>
      <c r="BZ271" s="711"/>
      <c r="CA271" s="712"/>
      <c r="CB271" s="713">
        <v>263</v>
      </c>
      <c r="CC271" s="714"/>
      <c r="CD271" s="239"/>
      <c r="CE271" s="24"/>
    </row>
    <row r="272" spans="5:83" ht="12" customHeight="1">
      <c r="E272" s="621">
        <v>264</v>
      </c>
      <c r="F272" s="711"/>
      <c r="G272" s="712"/>
      <c r="H272" s="713">
        <v>264</v>
      </c>
      <c r="I272" s="714"/>
      <c r="J272" s="239"/>
      <c r="K272" s="24"/>
      <c r="AI272" s="16" t="e">
        <f t="shared" si="45"/>
        <v>#N/A</v>
      </c>
      <c r="AJ272" s="16" t="str">
        <f t="shared" si="46"/>
        <v/>
      </c>
      <c r="AK272" s="16" t="str">
        <f t="shared" si="47"/>
        <v/>
      </c>
      <c r="AL272" s="16" t="e">
        <f>IF(AK272="",NA(),COUNTIF(AK$176:$AK272,AK272))</f>
        <v>#N/A</v>
      </c>
      <c r="AM272" s="16" t="e">
        <f t="shared" si="48"/>
        <v>#N/A</v>
      </c>
      <c r="AN272" s="16" t="e">
        <f t="shared" si="49"/>
        <v>#N/A</v>
      </c>
      <c r="AO272" s="16" t="str">
        <f t="shared" si="50"/>
        <v/>
      </c>
      <c r="AP272" s="16" t="str">
        <f t="shared" si="51"/>
        <v/>
      </c>
      <c r="AQ272" s="16" t="e">
        <f>IF(AP272="",NA(),COUNTIF(AP$176:$AP272,AP272))</f>
        <v>#N/A</v>
      </c>
      <c r="AR272" s="16" t="e">
        <f t="shared" si="52"/>
        <v>#N/A</v>
      </c>
      <c r="BI272" s="621">
        <v>264</v>
      </c>
      <c r="BJ272" s="711"/>
      <c r="BK272" s="712"/>
      <c r="BL272" s="713">
        <v>264</v>
      </c>
      <c r="BM272" s="714"/>
      <c r="BN272" s="239"/>
      <c r="BO272" s="24"/>
      <c r="BQ272" s="621">
        <v>264</v>
      </c>
      <c r="BR272" s="711"/>
      <c r="BS272" s="712"/>
      <c r="BT272" s="713">
        <v>264</v>
      </c>
      <c r="BU272" s="714"/>
      <c r="BV272" s="239"/>
      <c r="BW272" s="24"/>
      <c r="BY272" s="621">
        <v>264</v>
      </c>
      <c r="BZ272" s="711"/>
      <c r="CA272" s="712"/>
      <c r="CB272" s="713">
        <v>264</v>
      </c>
      <c r="CC272" s="714"/>
      <c r="CD272" s="239"/>
      <c r="CE272" s="24"/>
    </row>
    <row r="273" spans="5:83" ht="12" customHeight="1">
      <c r="E273" s="621">
        <v>265</v>
      </c>
      <c r="F273" s="711"/>
      <c r="G273" s="712"/>
      <c r="H273" s="713">
        <v>265</v>
      </c>
      <c r="I273" s="714"/>
      <c r="J273" s="239"/>
      <c r="K273" s="24"/>
      <c r="AI273" s="16" t="e">
        <f t="shared" si="45"/>
        <v>#N/A</v>
      </c>
      <c r="AJ273" s="16" t="str">
        <f t="shared" si="46"/>
        <v/>
      </c>
      <c r="AK273" s="16" t="str">
        <f t="shared" si="47"/>
        <v/>
      </c>
      <c r="AL273" s="16" t="e">
        <f>IF(AK273="",NA(),COUNTIF(AK$176:$AK273,AK273))</f>
        <v>#N/A</v>
      </c>
      <c r="AM273" s="16" t="e">
        <f t="shared" si="48"/>
        <v>#N/A</v>
      </c>
      <c r="AN273" s="16" t="e">
        <f t="shared" si="49"/>
        <v>#N/A</v>
      </c>
      <c r="AO273" s="16" t="str">
        <f t="shared" si="50"/>
        <v/>
      </c>
      <c r="AP273" s="16" t="str">
        <f t="shared" si="51"/>
        <v/>
      </c>
      <c r="AQ273" s="16" t="e">
        <f>IF(AP273="",NA(),COUNTIF(AP$176:$AP273,AP273))</f>
        <v>#N/A</v>
      </c>
      <c r="AR273" s="16" t="e">
        <f t="shared" si="52"/>
        <v>#N/A</v>
      </c>
      <c r="BI273" s="621">
        <v>265</v>
      </c>
      <c r="BJ273" s="711"/>
      <c r="BK273" s="712"/>
      <c r="BL273" s="713">
        <v>265</v>
      </c>
      <c r="BM273" s="714"/>
      <c r="BN273" s="239"/>
      <c r="BO273" s="24"/>
      <c r="BQ273" s="621">
        <v>265</v>
      </c>
      <c r="BR273" s="711"/>
      <c r="BS273" s="712"/>
      <c r="BT273" s="713">
        <v>265</v>
      </c>
      <c r="BU273" s="714"/>
      <c r="BV273" s="239"/>
      <c r="BW273" s="24"/>
      <c r="BY273" s="621">
        <v>265</v>
      </c>
      <c r="BZ273" s="711"/>
      <c r="CA273" s="712"/>
      <c r="CB273" s="713">
        <v>265</v>
      </c>
      <c r="CC273" s="714"/>
      <c r="CD273" s="239"/>
      <c r="CE273" s="24"/>
    </row>
    <row r="274" spans="5:83" ht="12" customHeight="1">
      <c r="E274" s="621">
        <v>266</v>
      </c>
      <c r="F274" s="711"/>
      <c r="G274" s="712"/>
      <c r="H274" s="713">
        <v>266</v>
      </c>
      <c r="I274" s="714"/>
      <c r="J274" s="239"/>
      <c r="K274" s="24"/>
      <c r="AI274" s="16" t="e">
        <f t="shared" si="45"/>
        <v>#N/A</v>
      </c>
      <c r="AJ274" s="16" t="str">
        <f t="shared" si="46"/>
        <v/>
      </c>
      <c r="AK274" s="16" t="str">
        <f t="shared" si="47"/>
        <v/>
      </c>
      <c r="AL274" s="16" t="e">
        <f>IF(AK274="",NA(),COUNTIF(AK$176:$AK274,AK274))</f>
        <v>#N/A</v>
      </c>
      <c r="AM274" s="16" t="e">
        <f t="shared" si="48"/>
        <v>#N/A</v>
      </c>
      <c r="AN274" s="16" t="e">
        <f t="shared" si="49"/>
        <v>#N/A</v>
      </c>
      <c r="AO274" s="16" t="str">
        <f t="shared" si="50"/>
        <v/>
      </c>
      <c r="AP274" s="16" t="str">
        <f t="shared" si="51"/>
        <v/>
      </c>
      <c r="AQ274" s="16" t="e">
        <f>IF(AP274="",NA(),COUNTIF(AP$176:$AP274,AP274))</f>
        <v>#N/A</v>
      </c>
      <c r="AR274" s="16" t="e">
        <f t="shared" si="52"/>
        <v>#N/A</v>
      </c>
      <c r="BI274" s="621">
        <v>266</v>
      </c>
      <c r="BJ274" s="711"/>
      <c r="BK274" s="712"/>
      <c r="BL274" s="713">
        <v>266</v>
      </c>
      <c r="BM274" s="714"/>
      <c r="BN274" s="239"/>
      <c r="BO274" s="24"/>
      <c r="BQ274" s="621">
        <v>266</v>
      </c>
      <c r="BR274" s="711"/>
      <c r="BS274" s="712"/>
      <c r="BT274" s="713">
        <v>266</v>
      </c>
      <c r="BU274" s="714"/>
      <c r="BV274" s="239"/>
      <c r="BW274" s="24"/>
      <c r="BY274" s="621">
        <v>266</v>
      </c>
      <c r="BZ274" s="711"/>
      <c r="CA274" s="712"/>
      <c r="CB274" s="713">
        <v>266</v>
      </c>
      <c r="CC274" s="714"/>
      <c r="CD274" s="239"/>
      <c r="CE274" s="24"/>
    </row>
    <row r="275" spans="5:83" ht="12" customHeight="1">
      <c r="E275" s="621">
        <v>267</v>
      </c>
      <c r="F275" s="711"/>
      <c r="G275" s="712"/>
      <c r="H275" s="713">
        <v>267</v>
      </c>
      <c r="I275" s="714"/>
      <c r="J275" s="239"/>
      <c r="K275" s="24"/>
      <c r="AI275" s="16" t="e">
        <f t="shared" si="45"/>
        <v>#N/A</v>
      </c>
      <c r="AJ275" s="16" t="str">
        <f t="shared" si="46"/>
        <v/>
      </c>
      <c r="AK275" s="16" t="str">
        <f t="shared" si="47"/>
        <v/>
      </c>
      <c r="AL275" s="16" t="e">
        <f>IF(AK275="",NA(),COUNTIF(AK$176:$AK275,AK275))</f>
        <v>#N/A</v>
      </c>
      <c r="AM275" s="16" t="e">
        <f t="shared" si="48"/>
        <v>#N/A</v>
      </c>
      <c r="AN275" s="16" t="e">
        <f t="shared" si="49"/>
        <v>#N/A</v>
      </c>
      <c r="AO275" s="16" t="str">
        <f t="shared" si="50"/>
        <v/>
      </c>
      <c r="AP275" s="16" t="str">
        <f t="shared" si="51"/>
        <v/>
      </c>
      <c r="AQ275" s="16" t="e">
        <f>IF(AP275="",NA(),COUNTIF(AP$176:$AP275,AP275))</f>
        <v>#N/A</v>
      </c>
      <c r="AR275" s="16" t="e">
        <f t="shared" si="52"/>
        <v>#N/A</v>
      </c>
      <c r="BI275" s="621">
        <v>267</v>
      </c>
      <c r="BJ275" s="711"/>
      <c r="BK275" s="712"/>
      <c r="BL275" s="713">
        <v>267</v>
      </c>
      <c r="BM275" s="714"/>
      <c r="BN275" s="239"/>
      <c r="BO275" s="24"/>
      <c r="BQ275" s="621">
        <v>267</v>
      </c>
      <c r="BR275" s="711"/>
      <c r="BS275" s="712"/>
      <c r="BT275" s="713">
        <v>267</v>
      </c>
      <c r="BU275" s="714"/>
      <c r="BV275" s="239"/>
      <c r="BW275" s="24"/>
      <c r="BY275" s="621">
        <v>267</v>
      </c>
      <c r="BZ275" s="711"/>
      <c r="CA275" s="712"/>
      <c r="CB275" s="713">
        <v>267</v>
      </c>
      <c r="CC275" s="714"/>
      <c r="CD275" s="239"/>
      <c r="CE275" s="24"/>
    </row>
    <row r="276" spans="5:83" ht="12" customHeight="1">
      <c r="E276" s="621">
        <v>268</v>
      </c>
      <c r="F276" s="711"/>
      <c r="G276" s="712"/>
      <c r="H276" s="713">
        <v>268</v>
      </c>
      <c r="I276" s="714"/>
      <c r="J276" s="239"/>
      <c r="K276" s="24"/>
      <c r="AI276" s="16" t="e">
        <f t="shared" si="45"/>
        <v>#N/A</v>
      </c>
      <c r="AJ276" s="16" t="str">
        <f t="shared" si="46"/>
        <v/>
      </c>
      <c r="AK276" s="16" t="str">
        <f t="shared" si="47"/>
        <v/>
      </c>
      <c r="AL276" s="16" t="e">
        <f>IF(AK276="",NA(),COUNTIF(AK$176:$AK276,AK276))</f>
        <v>#N/A</v>
      </c>
      <c r="AM276" s="16" t="e">
        <f t="shared" si="48"/>
        <v>#N/A</v>
      </c>
      <c r="AN276" s="16" t="e">
        <f t="shared" si="49"/>
        <v>#N/A</v>
      </c>
      <c r="AO276" s="16" t="str">
        <f t="shared" si="50"/>
        <v/>
      </c>
      <c r="AP276" s="16" t="str">
        <f t="shared" si="51"/>
        <v/>
      </c>
      <c r="AQ276" s="16" t="e">
        <f>IF(AP276="",NA(),COUNTIF(AP$176:$AP276,AP276))</f>
        <v>#N/A</v>
      </c>
      <c r="AR276" s="16" t="e">
        <f t="shared" si="52"/>
        <v>#N/A</v>
      </c>
      <c r="BI276" s="621">
        <v>268</v>
      </c>
      <c r="BJ276" s="711"/>
      <c r="BK276" s="712"/>
      <c r="BL276" s="713">
        <v>268</v>
      </c>
      <c r="BM276" s="714"/>
      <c r="BN276" s="239"/>
      <c r="BO276" s="24"/>
      <c r="BQ276" s="621">
        <v>268</v>
      </c>
      <c r="BR276" s="711"/>
      <c r="BS276" s="712"/>
      <c r="BT276" s="713">
        <v>268</v>
      </c>
      <c r="BU276" s="714"/>
      <c r="BV276" s="239"/>
      <c r="BW276" s="24"/>
      <c r="BY276" s="621">
        <v>268</v>
      </c>
      <c r="BZ276" s="711"/>
      <c r="CA276" s="712"/>
      <c r="CB276" s="713">
        <v>268</v>
      </c>
      <c r="CC276" s="714"/>
      <c r="CD276" s="239"/>
      <c r="CE276" s="24"/>
    </row>
    <row r="277" spans="5:83" ht="12" customHeight="1">
      <c r="E277" s="621">
        <v>269</v>
      </c>
      <c r="F277" s="711"/>
      <c r="G277" s="712"/>
      <c r="H277" s="713">
        <v>269</v>
      </c>
      <c r="I277" s="714"/>
      <c r="J277" s="239"/>
      <c r="K277" s="24"/>
      <c r="AI277" s="16" t="e">
        <f t="shared" si="45"/>
        <v>#N/A</v>
      </c>
      <c r="AJ277" s="16" t="str">
        <f t="shared" si="46"/>
        <v/>
      </c>
      <c r="AK277" s="16" t="str">
        <f t="shared" si="47"/>
        <v/>
      </c>
      <c r="AL277" s="16" t="e">
        <f>IF(AK277="",NA(),COUNTIF(AK$176:$AK277,AK277))</f>
        <v>#N/A</v>
      </c>
      <c r="AM277" s="16" t="e">
        <f t="shared" si="48"/>
        <v>#N/A</v>
      </c>
      <c r="AN277" s="16" t="e">
        <f t="shared" si="49"/>
        <v>#N/A</v>
      </c>
      <c r="AO277" s="16" t="str">
        <f t="shared" si="50"/>
        <v/>
      </c>
      <c r="AP277" s="16" t="str">
        <f t="shared" si="51"/>
        <v/>
      </c>
      <c r="AQ277" s="16" t="e">
        <f>IF(AP277="",NA(),COUNTIF(AP$176:$AP277,AP277))</f>
        <v>#N/A</v>
      </c>
      <c r="AR277" s="16" t="e">
        <f t="shared" si="52"/>
        <v>#N/A</v>
      </c>
      <c r="BI277" s="621">
        <v>269</v>
      </c>
      <c r="BJ277" s="711"/>
      <c r="BK277" s="712"/>
      <c r="BL277" s="713">
        <v>269</v>
      </c>
      <c r="BM277" s="714"/>
      <c r="BN277" s="239"/>
      <c r="BO277" s="24"/>
      <c r="BQ277" s="621">
        <v>269</v>
      </c>
      <c r="BR277" s="711"/>
      <c r="BS277" s="712"/>
      <c r="BT277" s="713">
        <v>269</v>
      </c>
      <c r="BU277" s="714"/>
      <c r="BV277" s="239"/>
      <c r="BW277" s="24"/>
      <c r="BY277" s="621">
        <v>269</v>
      </c>
      <c r="BZ277" s="711"/>
      <c r="CA277" s="712"/>
      <c r="CB277" s="713">
        <v>269</v>
      </c>
      <c r="CC277" s="714"/>
      <c r="CD277" s="239"/>
      <c r="CE277" s="24"/>
    </row>
    <row r="278" spans="5:83" ht="12" customHeight="1">
      <c r="E278" s="621">
        <v>270</v>
      </c>
      <c r="F278" s="711"/>
      <c r="G278" s="712"/>
      <c r="H278" s="713">
        <v>270</v>
      </c>
      <c r="I278" s="714"/>
      <c r="J278" s="239"/>
      <c r="K278" s="24"/>
      <c r="AI278" s="16" t="e">
        <f t="shared" si="45"/>
        <v>#N/A</v>
      </c>
      <c r="AJ278" s="16" t="str">
        <f t="shared" si="46"/>
        <v/>
      </c>
      <c r="AK278" s="16" t="str">
        <f t="shared" si="47"/>
        <v/>
      </c>
      <c r="AL278" s="16" t="e">
        <f>IF(AK278="",NA(),COUNTIF(AK$176:$AK278,AK278))</f>
        <v>#N/A</v>
      </c>
      <c r="AM278" s="16" t="e">
        <f t="shared" si="48"/>
        <v>#N/A</v>
      </c>
      <c r="AN278" s="16" t="e">
        <f t="shared" si="49"/>
        <v>#N/A</v>
      </c>
      <c r="AO278" s="16" t="str">
        <f t="shared" si="50"/>
        <v/>
      </c>
      <c r="AP278" s="16" t="str">
        <f t="shared" si="51"/>
        <v/>
      </c>
      <c r="AQ278" s="16" t="e">
        <f>IF(AP278="",NA(),COUNTIF(AP$176:$AP278,AP278))</f>
        <v>#N/A</v>
      </c>
      <c r="AR278" s="16" t="e">
        <f t="shared" si="52"/>
        <v>#N/A</v>
      </c>
      <c r="BI278" s="621">
        <v>270</v>
      </c>
      <c r="BJ278" s="711"/>
      <c r="BK278" s="712"/>
      <c r="BL278" s="713">
        <v>270</v>
      </c>
      <c r="BM278" s="714"/>
      <c r="BN278" s="239"/>
      <c r="BO278" s="24"/>
      <c r="BQ278" s="621">
        <v>270</v>
      </c>
      <c r="BR278" s="711"/>
      <c r="BS278" s="712"/>
      <c r="BT278" s="713">
        <v>270</v>
      </c>
      <c r="BU278" s="714"/>
      <c r="BV278" s="239"/>
      <c r="BW278" s="24"/>
      <c r="BY278" s="621">
        <v>270</v>
      </c>
      <c r="BZ278" s="711"/>
      <c r="CA278" s="712"/>
      <c r="CB278" s="713">
        <v>270</v>
      </c>
      <c r="CC278" s="714"/>
      <c r="CD278" s="239"/>
      <c r="CE278" s="24"/>
    </row>
    <row r="279" spans="5:83" ht="12" customHeight="1">
      <c r="E279" s="621">
        <v>271</v>
      </c>
      <c r="F279" s="711"/>
      <c r="G279" s="712"/>
      <c r="H279" s="713">
        <v>271</v>
      </c>
      <c r="I279" s="714"/>
      <c r="J279" s="239"/>
      <c r="K279" s="24"/>
      <c r="AI279" s="16" t="e">
        <f t="shared" si="45"/>
        <v>#N/A</v>
      </c>
      <c r="AJ279" s="16" t="str">
        <f t="shared" si="46"/>
        <v/>
      </c>
      <c r="AK279" s="16" t="str">
        <f t="shared" si="47"/>
        <v/>
      </c>
      <c r="AL279" s="16" t="e">
        <f>IF(AK279="",NA(),COUNTIF(AK$176:$AK279,AK279))</f>
        <v>#N/A</v>
      </c>
      <c r="AM279" s="16" t="e">
        <f t="shared" si="48"/>
        <v>#N/A</v>
      </c>
      <c r="AN279" s="16" t="e">
        <f t="shared" si="49"/>
        <v>#N/A</v>
      </c>
      <c r="AO279" s="16" t="str">
        <f t="shared" si="50"/>
        <v/>
      </c>
      <c r="AP279" s="16" t="str">
        <f t="shared" si="51"/>
        <v/>
      </c>
      <c r="AQ279" s="16" t="e">
        <f>IF(AP279="",NA(),COUNTIF(AP$176:$AP279,AP279))</f>
        <v>#N/A</v>
      </c>
      <c r="AR279" s="16" t="e">
        <f t="shared" si="52"/>
        <v>#N/A</v>
      </c>
      <c r="BI279" s="621">
        <v>271</v>
      </c>
      <c r="BJ279" s="711"/>
      <c r="BK279" s="712"/>
      <c r="BL279" s="713">
        <v>271</v>
      </c>
      <c r="BM279" s="714"/>
      <c r="BN279" s="239"/>
      <c r="BO279" s="24"/>
      <c r="BQ279" s="621">
        <v>271</v>
      </c>
      <c r="BR279" s="711"/>
      <c r="BS279" s="712"/>
      <c r="BT279" s="713">
        <v>271</v>
      </c>
      <c r="BU279" s="714"/>
      <c r="BV279" s="239"/>
      <c r="BW279" s="24"/>
      <c r="BY279" s="621">
        <v>271</v>
      </c>
      <c r="BZ279" s="711"/>
      <c r="CA279" s="712"/>
      <c r="CB279" s="713">
        <v>271</v>
      </c>
      <c r="CC279" s="714"/>
      <c r="CD279" s="239"/>
      <c r="CE279" s="24"/>
    </row>
    <row r="280" spans="5:83" ht="12" customHeight="1">
      <c r="E280" s="621">
        <v>272</v>
      </c>
      <c r="F280" s="711"/>
      <c r="G280" s="712"/>
      <c r="H280" s="713">
        <v>272</v>
      </c>
      <c r="I280" s="714"/>
      <c r="J280" s="239"/>
      <c r="K280" s="24"/>
      <c r="AI280" s="16" t="e">
        <f t="shared" si="45"/>
        <v>#N/A</v>
      </c>
      <c r="AJ280" s="16" t="str">
        <f t="shared" si="46"/>
        <v/>
      </c>
      <c r="AK280" s="16" t="str">
        <f t="shared" si="47"/>
        <v/>
      </c>
      <c r="AL280" s="16" t="e">
        <f>IF(AK280="",NA(),COUNTIF(AK$176:$AK280,AK280))</f>
        <v>#N/A</v>
      </c>
      <c r="AM280" s="16" t="e">
        <f t="shared" si="48"/>
        <v>#N/A</v>
      </c>
      <c r="AN280" s="16" t="e">
        <f t="shared" si="49"/>
        <v>#N/A</v>
      </c>
      <c r="AO280" s="16" t="str">
        <f t="shared" si="50"/>
        <v/>
      </c>
      <c r="AP280" s="16" t="str">
        <f t="shared" si="51"/>
        <v/>
      </c>
      <c r="AQ280" s="16" t="e">
        <f>IF(AP280="",NA(),COUNTIF(AP$176:$AP280,AP280))</f>
        <v>#N/A</v>
      </c>
      <c r="AR280" s="16" t="e">
        <f t="shared" si="52"/>
        <v>#N/A</v>
      </c>
      <c r="BI280" s="621">
        <v>272</v>
      </c>
      <c r="BJ280" s="711"/>
      <c r="BK280" s="712"/>
      <c r="BL280" s="713">
        <v>272</v>
      </c>
      <c r="BM280" s="714"/>
      <c r="BN280" s="239"/>
      <c r="BO280" s="24"/>
      <c r="BQ280" s="621">
        <v>272</v>
      </c>
      <c r="BR280" s="711"/>
      <c r="BS280" s="712"/>
      <c r="BT280" s="713">
        <v>272</v>
      </c>
      <c r="BU280" s="714"/>
      <c r="BV280" s="239"/>
      <c r="BW280" s="24"/>
      <c r="BY280" s="621">
        <v>272</v>
      </c>
      <c r="BZ280" s="711"/>
      <c r="CA280" s="712"/>
      <c r="CB280" s="713">
        <v>272</v>
      </c>
      <c r="CC280" s="714"/>
      <c r="CD280" s="239"/>
      <c r="CE280" s="24"/>
    </row>
    <row r="281" spans="5:83" ht="12" customHeight="1">
      <c r="E281" s="621">
        <v>273</v>
      </c>
      <c r="F281" s="711"/>
      <c r="G281" s="712"/>
      <c r="H281" s="713">
        <v>273</v>
      </c>
      <c r="I281" s="714"/>
      <c r="J281" s="239"/>
      <c r="K281" s="24"/>
      <c r="AI281" s="16" t="e">
        <f t="shared" si="45"/>
        <v>#N/A</v>
      </c>
      <c r="AJ281" s="16" t="str">
        <f t="shared" si="46"/>
        <v/>
      </c>
      <c r="AK281" s="16" t="str">
        <f t="shared" si="47"/>
        <v/>
      </c>
      <c r="AL281" s="16" t="e">
        <f>IF(AK281="",NA(),COUNTIF(AK$176:$AK281,AK281))</f>
        <v>#N/A</v>
      </c>
      <c r="AM281" s="16" t="e">
        <f t="shared" si="48"/>
        <v>#N/A</v>
      </c>
      <c r="AN281" s="16" t="e">
        <f t="shared" si="49"/>
        <v>#N/A</v>
      </c>
      <c r="AO281" s="16" t="str">
        <f t="shared" si="50"/>
        <v/>
      </c>
      <c r="AP281" s="16" t="str">
        <f t="shared" si="51"/>
        <v/>
      </c>
      <c r="AQ281" s="16" t="e">
        <f>IF(AP281="",NA(),COUNTIF(AP$176:$AP281,AP281))</f>
        <v>#N/A</v>
      </c>
      <c r="AR281" s="16" t="e">
        <f t="shared" si="52"/>
        <v>#N/A</v>
      </c>
      <c r="BI281" s="621">
        <v>273</v>
      </c>
      <c r="BJ281" s="711"/>
      <c r="BK281" s="712"/>
      <c r="BL281" s="713">
        <v>273</v>
      </c>
      <c r="BM281" s="714"/>
      <c r="BN281" s="239"/>
      <c r="BO281" s="24"/>
      <c r="BQ281" s="621">
        <v>273</v>
      </c>
      <c r="BR281" s="711"/>
      <c r="BS281" s="712"/>
      <c r="BT281" s="713">
        <v>273</v>
      </c>
      <c r="BU281" s="714"/>
      <c r="BV281" s="239"/>
      <c r="BW281" s="24"/>
      <c r="BY281" s="621">
        <v>273</v>
      </c>
      <c r="BZ281" s="711"/>
      <c r="CA281" s="712"/>
      <c r="CB281" s="713">
        <v>273</v>
      </c>
      <c r="CC281" s="714"/>
      <c r="CD281" s="239"/>
      <c r="CE281" s="24"/>
    </row>
    <row r="282" spans="5:83" ht="12" customHeight="1">
      <c r="E282" s="621">
        <v>274</v>
      </c>
      <c r="F282" s="711"/>
      <c r="G282" s="712"/>
      <c r="H282" s="713">
        <v>274</v>
      </c>
      <c r="I282" s="714"/>
      <c r="J282" s="239"/>
      <c r="K282" s="24"/>
      <c r="AI282" s="16" t="e">
        <f t="shared" si="45"/>
        <v>#N/A</v>
      </c>
      <c r="AJ282" s="16" t="str">
        <f t="shared" si="46"/>
        <v/>
      </c>
      <c r="AK282" s="16" t="str">
        <f t="shared" si="47"/>
        <v/>
      </c>
      <c r="AL282" s="16" t="e">
        <f>IF(AK282="",NA(),COUNTIF(AK$176:$AK282,AK282))</f>
        <v>#N/A</v>
      </c>
      <c r="AM282" s="16" t="e">
        <f t="shared" si="48"/>
        <v>#N/A</v>
      </c>
      <c r="AN282" s="16" t="e">
        <f t="shared" si="49"/>
        <v>#N/A</v>
      </c>
      <c r="AO282" s="16" t="str">
        <f t="shared" si="50"/>
        <v/>
      </c>
      <c r="AP282" s="16" t="str">
        <f t="shared" si="51"/>
        <v/>
      </c>
      <c r="AQ282" s="16" t="e">
        <f>IF(AP282="",NA(),COUNTIF(AP$176:$AP282,AP282))</f>
        <v>#N/A</v>
      </c>
      <c r="AR282" s="16" t="e">
        <f t="shared" si="52"/>
        <v>#N/A</v>
      </c>
      <c r="BI282" s="621">
        <v>274</v>
      </c>
      <c r="BJ282" s="711"/>
      <c r="BK282" s="712"/>
      <c r="BL282" s="713">
        <v>274</v>
      </c>
      <c r="BM282" s="714"/>
      <c r="BN282" s="239"/>
      <c r="BO282" s="24"/>
      <c r="BQ282" s="621">
        <v>274</v>
      </c>
      <c r="BR282" s="711"/>
      <c r="BS282" s="712"/>
      <c r="BT282" s="713">
        <v>274</v>
      </c>
      <c r="BU282" s="714"/>
      <c r="BV282" s="239"/>
      <c r="BW282" s="24"/>
      <c r="BY282" s="621">
        <v>274</v>
      </c>
      <c r="BZ282" s="711"/>
      <c r="CA282" s="712"/>
      <c r="CB282" s="713">
        <v>274</v>
      </c>
      <c r="CC282" s="714"/>
      <c r="CD282" s="239"/>
      <c r="CE282" s="24"/>
    </row>
    <row r="283" spans="5:83" ht="12" customHeight="1">
      <c r="E283" s="621">
        <v>275</v>
      </c>
      <c r="F283" s="711"/>
      <c r="G283" s="712"/>
      <c r="H283" s="713">
        <v>275</v>
      </c>
      <c r="I283" s="714"/>
      <c r="J283" s="239"/>
      <c r="K283" s="24"/>
      <c r="AI283" s="16" t="e">
        <f t="shared" si="45"/>
        <v>#N/A</v>
      </c>
      <c r="AJ283" s="16" t="str">
        <f t="shared" si="46"/>
        <v/>
      </c>
      <c r="AK283" s="16" t="str">
        <f t="shared" si="47"/>
        <v/>
      </c>
      <c r="AL283" s="16" t="e">
        <f>IF(AK283="",NA(),COUNTIF(AK$176:$AK283,AK283))</f>
        <v>#N/A</v>
      </c>
      <c r="AM283" s="16" t="e">
        <f t="shared" si="48"/>
        <v>#N/A</v>
      </c>
      <c r="AN283" s="16" t="e">
        <f t="shared" si="49"/>
        <v>#N/A</v>
      </c>
      <c r="AO283" s="16" t="str">
        <f t="shared" si="50"/>
        <v/>
      </c>
      <c r="AP283" s="16" t="str">
        <f t="shared" si="51"/>
        <v/>
      </c>
      <c r="AQ283" s="16" t="e">
        <f>IF(AP283="",NA(),COUNTIF(AP$176:$AP283,AP283))</f>
        <v>#N/A</v>
      </c>
      <c r="AR283" s="16" t="e">
        <f t="shared" si="52"/>
        <v>#N/A</v>
      </c>
      <c r="BI283" s="621">
        <v>275</v>
      </c>
      <c r="BJ283" s="711"/>
      <c r="BK283" s="712"/>
      <c r="BL283" s="713">
        <v>275</v>
      </c>
      <c r="BM283" s="714"/>
      <c r="BN283" s="239"/>
      <c r="BO283" s="24"/>
      <c r="BQ283" s="621">
        <v>275</v>
      </c>
      <c r="BR283" s="711"/>
      <c r="BS283" s="712"/>
      <c r="BT283" s="713">
        <v>275</v>
      </c>
      <c r="BU283" s="714"/>
      <c r="BV283" s="239"/>
      <c r="BW283" s="24"/>
      <c r="BY283" s="621">
        <v>275</v>
      </c>
      <c r="BZ283" s="711"/>
      <c r="CA283" s="712"/>
      <c r="CB283" s="713">
        <v>275</v>
      </c>
      <c r="CC283" s="714"/>
      <c r="CD283" s="239"/>
      <c r="CE283" s="24"/>
    </row>
    <row r="284" spans="5:83" ht="12" customHeight="1">
      <c r="E284" s="621">
        <v>276</v>
      </c>
      <c r="F284" s="711"/>
      <c r="G284" s="712"/>
      <c r="H284" s="713">
        <v>276</v>
      </c>
      <c r="I284" s="714"/>
      <c r="J284" s="239"/>
      <c r="K284" s="24"/>
      <c r="AI284" s="16" t="e">
        <f t="shared" si="45"/>
        <v>#N/A</v>
      </c>
      <c r="AJ284" s="16" t="str">
        <f t="shared" si="46"/>
        <v/>
      </c>
      <c r="AK284" s="16" t="str">
        <f t="shared" si="47"/>
        <v/>
      </c>
      <c r="AL284" s="16" t="e">
        <f>IF(AK284="",NA(),COUNTIF(AK$176:$AK284,AK284))</f>
        <v>#N/A</v>
      </c>
      <c r="AM284" s="16" t="e">
        <f t="shared" si="48"/>
        <v>#N/A</v>
      </c>
      <c r="AN284" s="16" t="e">
        <f t="shared" si="49"/>
        <v>#N/A</v>
      </c>
      <c r="AO284" s="16" t="str">
        <f t="shared" si="50"/>
        <v/>
      </c>
      <c r="AP284" s="16" t="str">
        <f t="shared" si="51"/>
        <v/>
      </c>
      <c r="AQ284" s="16" t="e">
        <f>IF(AP284="",NA(),COUNTIF(AP$176:$AP284,AP284))</f>
        <v>#N/A</v>
      </c>
      <c r="AR284" s="16" t="e">
        <f t="shared" si="52"/>
        <v>#N/A</v>
      </c>
      <c r="BI284" s="621">
        <v>276</v>
      </c>
      <c r="BJ284" s="711"/>
      <c r="BK284" s="712"/>
      <c r="BL284" s="713">
        <v>276</v>
      </c>
      <c r="BM284" s="714"/>
      <c r="BN284" s="239"/>
      <c r="BO284" s="24"/>
      <c r="BQ284" s="621">
        <v>276</v>
      </c>
      <c r="BR284" s="711"/>
      <c r="BS284" s="712"/>
      <c r="BT284" s="713">
        <v>276</v>
      </c>
      <c r="BU284" s="714"/>
      <c r="BV284" s="239"/>
      <c r="BW284" s="24"/>
      <c r="BY284" s="621">
        <v>276</v>
      </c>
      <c r="BZ284" s="711"/>
      <c r="CA284" s="712"/>
      <c r="CB284" s="713">
        <v>276</v>
      </c>
      <c r="CC284" s="714"/>
      <c r="CD284" s="239"/>
      <c r="CE284" s="24"/>
    </row>
    <row r="285" spans="5:83" ht="12" customHeight="1">
      <c r="E285" s="621">
        <v>277</v>
      </c>
      <c r="F285" s="711"/>
      <c r="G285" s="712"/>
      <c r="H285" s="713">
        <v>277</v>
      </c>
      <c r="I285" s="714"/>
      <c r="J285" s="239"/>
      <c r="K285" s="24"/>
      <c r="AI285" s="16" t="e">
        <f t="shared" si="45"/>
        <v>#N/A</v>
      </c>
      <c r="AJ285" s="16" t="str">
        <f t="shared" si="46"/>
        <v/>
      </c>
      <c r="AK285" s="16" t="str">
        <f t="shared" si="47"/>
        <v/>
      </c>
      <c r="AL285" s="16" t="e">
        <f>IF(AK285="",NA(),COUNTIF(AK$176:$AK285,AK285))</f>
        <v>#N/A</v>
      </c>
      <c r="AM285" s="16" t="e">
        <f t="shared" si="48"/>
        <v>#N/A</v>
      </c>
      <c r="AN285" s="16" t="e">
        <f t="shared" si="49"/>
        <v>#N/A</v>
      </c>
      <c r="AO285" s="16" t="str">
        <f t="shared" si="50"/>
        <v/>
      </c>
      <c r="AP285" s="16" t="str">
        <f t="shared" si="51"/>
        <v/>
      </c>
      <c r="AQ285" s="16" t="e">
        <f>IF(AP285="",NA(),COUNTIF(AP$176:$AP285,AP285))</f>
        <v>#N/A</v>
      </c>
      <c r="AR285" s="16" t="e">
        <f t="shared" si="52"/>
        <v>#N/A</v>
      </c>
      <c r="BI285" s="621">
        <v>277</v>
      </c>
      <c r="BJ285" s="711"/>
      <c r="BK285" s="712"/>
      <c r="BL285" s="713">
        <v>277</v>
      </c>
      <c r="BM285" s="714"/>
      <c r="BN285" s="239"/>
      <c r="BO285" s="24"/>
      <c r="BQ285" s="621">
        <v>277</v>
      </c>
      <c r="BR285" s="711"/>
      <c r="BS285" s="712"/>
      <c r="BT285" s="713">
        <v>277</v>
      </c>
      <c r="BU285" s="714"/>
      <c r="BV285" s="239"/>
      <c r="BW285" s="24"/>
      <c r="BY285" s="621">
        <v>277</v>
      </c>
      <c r="BZ285" s="711"/>
      <c r="CA285" s="712"/>
      <c r="CB285" s="713">
        <v>277</v>
      </c>
      <c r="CC285" s="714"/>
      <c r="CD285" s="239"/>
      <c r="CE285" s="24"/>
    </row>
    <row r="286" spans="5:83" ht="12" customHeight="1">
      <c r="E286" s="621">
        <v>278</v>
      </c>
      <c r="F286" s="711"/>
      <c r="G286" s="712"/>
      <c r="H286" s="713">
        <v>278</v>
      </c>
      <c r="I286" s="714"/>
      <c r="J286" s="239"/>
      <c r="K286" s="24"/>
      <c r="AI286" s="16" t="e">
        <f t="shared" si="45"/>
        <v>#N/A</v>
      </c>
      <c r="AJ286" s="16" t="str">
        <f t="shared" si="46"/>
        <v/>
      </c>
      <c r="AK286" s="16" t="str">
        <f t="shared" si="47"/>
        <v/>
      </c>
      <c r="AL286" s="16" t="e">
        <f>IF(AK286="",NA(),COUNTIF(AK$176:$AK286,AK286))</f>
        <v>#N/A</v>
      </c>
      <c r="AM286" s="16" t="e">
        <f t="shared" si="48"/>
        <v>#N/A</v>
      </c>
      <c r="AN286" s="16" t="e">
        <f t="shared" si="49"/>
        <v>#N/A</v>
      </c>
      <c r="AO286" s="16" t="str">
        <f t="shared" si="50"/>
        <v/>
      </c>
      <c r="AP286" s="16" t="str">
        <f t="shared" si="51"/>
        <v/>
      </c>
      <c r="AQ286" s="16" t="e">
        <f>IF(AP286="",NA(),COUNTIF(AP$176:$AP286,AP286))</f>
        <v>#N/A</v>
      </c>
      <c r="AR286" s="16" t="e">
        <f t="shared" si="52"/>
        <v>#N/A</v>
      </c>
      <c r="BI286" s="621">
        <v>278</v>
      </c>
      <c r="BJ286" s="711"/>
      <c r="BK286" s="712"/>
      <c r="BL286" s="713">
        <v>278</v>
      </c>
      <c r="BM286" s="714"/>
      <c r="BN286" s="239"/>
      <c r="BO286" s="24"/>
      <c r="BQ286" s="621">
        <v>278</v>
      </c>
      <c r="BR286" s="711"/>
      <c r="BS286" s="712"/>
      <c r="BT286" s="713">
        <v>278</v>
      </c>
      <c r="BU286" s="714"/>
      <c r="BV286" s="239"/>
      <c r="BW286" s="24"/>
      <c r="BY286" s="621">
        <v>278</v>
      </c>
      <c r="BZ286" s="711"/>
      <c r="CA286" s="712"/>
      <c r="CB286" s="713">
        <v>278</v>
      </c>
      <c r="CC286" s="714"/>
      <c r="CD286" s="239"/>
      <c r="CE286" s="24"/>
    </row>
    <row r="287" spans="5:83" ht="12" customHeight="1">
      <c r="E287" s="621">
        <v>279</v>
      </c>
      <c r="F287" s="711"/>
      <c r="G287" s="712"/>
      <c r="H287" s="713">
        <v>279</v>
      </c>
      <c r="I287" s="714"/>
      <c r="J287" s="239"/>
      <c r="K287" s="24"/>
      <c r="AI287" s="16" t="e">
        <f t="shared" si="45"/>
        <v>#N/A</v>
      </c>
      <c r="AJ287" s="16" t="str">
        <f t="shared" si="46"/>
        <v/>
      </c>
      <c r="AK287" s="16" t="str">
        <f t="shared" si="47"/>
        <v/>
      </c>
      <c r="AL287" s="16" t="e">
        <f>IF(AK287="",NA(),COUNTIF(AK$176:$AK287,AK287))</f>
        <v>#N/A</v>
      </c>
      <c r="AM287" s="16" t="e">
        <f t="shared" si="48"/>
        <v>#N/A</v>
      </c>
      <c r="AN287" s="16" t="e">
        <f t="shared" si="49"/>
        <v>#N/A</v>
      </c>
      <c r="AO287" s="16" t="str">
        <f t="shared" si="50"/>
        <v/>
      </c>
      <c r="AP287" s="16" t="str">
        <f t="shared" si="51"/>
        <v/>
      </c>
      <c r="AQ287" s="16" t="e">
        <f>IF(AP287="",NA(),COUNTIF(AP$176:$AP287,AP287))</f>
        <v>#N/A</v>
      </c>
      <c r="AR287" s="16" t="e">
        <f t="shared" si="52"/>
        <v>#N/A</v>
      </c>
      <c r="BI287" s="621">
        <v>279</v>
      </c>
      <c r="BJ287" s="711"/>
      <c r="BK287" s="712"/>
      <c r="BL287" s="713">
        <v>279</v>
      </c>
      <c r="BM287" s="714"/>
      <c r="BN287" s="239"/>
      <c r="BO287" s="24"/>
      <c r="BQ287" s="621">
        <v>279</v>
      </c>
      <c r="BR287" s="711"/>
      <c r="BS287" s="712"/>
      <c r="BT287" s="713">
        <v>279</v>
      </c>
      <c r="BU287" s="714"/>
      <c r="BV287" s="239"/>
      <c r="BW287" s="24"/>
      <c r="BY287" s="621">
        <v>279</v>
      </c>
      <c r="BZ287" s="711"/>
      <c r="CA287" s="712"/>
      <c r="CB287" s="713">
        <v>279</v>
      </c>
      <c r="CC287" s="714"/>
      <c r="CD287" s="239"/>
      <c r="CE287" s="24"/>
    </row>
    <row r="288" spans="5:83" ht="12" customHeight="1">
      <c r="E288" s="621">
        <v>280</v>
      </c>
      <c r="F288" s="711"/>
      <c r="G288" s="712"/>
      <c r="H288" s="713">
        <v>280</v>
      </c>
      <c r="I288" s="714"/>
      <c r="J288" s="239"/>
      <c r="K288" s="24"/>
      <c r="AI288" s="16" t="e">
        <f t="shared" si="45"/>
        <v>#N/A</v>
      </c>
      <c r="AJ288" s="16" t="str">
        <f t="shared" si="46"/>
        <v/>
      </c>
      <c r="AK288" s="16" t="str">
        <f t="shared" si="47"/>
        <v/>
      </c>
      <c r="AL288" s="16" t="e">
        <f>IF(AK288="",NA(),COUNTIF(AK$176:$AK288,AK288))</f>
        <v>#N/A</v>
      </c>
      <c r="AM288" s="16" t="e">
        <f t="shared" si="48"/>
        <v>#N/A</v>
      </c>
      <c r="AN288" s="16" t="e">
        <f t="shared" si="49"/>
        <v>#N/A</v>
      </c>
      <c r="AO288" s="16" t="str">
        <f t="shared" si="50"/>
        <v/>
      </c>
      <c r="AP288" s="16" t="str">
        <f t="shared" si="51"/>
        <v/>
      </c>
      <c r="AQ288" s="16" t="e">
        <f>IF(AP288="",NA(),COUNTIF(AP$176:$AP288,AP288))</f>
        <v>#N/A</v>
      </c>
      <c r="AR288" s="16" t="e">
        <f t="shared" si="52"/>
        <v>#N/A</v>
      </c>
      <c r="BI288" s="621">
        <v>280</v>
      </c>
      <c r="BJ288" s="711"/>
      <c r="BK288" s="712"/>
      <c r="BL288" s="713">
        <v>280</v>
      </c>
      <c r="BM288" s="714"/>
      <c r="BN288" s="239"/>
      <c r="BO288" s="24"/>
      <c r="BQ288" s="621">
        <v>280</v>
      </c>
      <c r="BR288" s="711"/>
      <c r="BS288" s="712"/>
      <c r="BT288" s="713">
        <v>280</v>
      </c>
      <c r="BU288" s="714"/>
      <c r="BV288" s="239"/>
      <c r="BW288" s="24"/>
      <c r="BY288" s="621">
        <v>280</v>
      </c>
      <c r="BZ288" s="711"/>
      <c r="CA288" s="712"/>
      <c r="CB288" s="713">
        <v>280</v>
      </c>
      <c r="CC288" s="714"/>
      <c r="CD288" s="239"/>
      <c r="CE288" s="24"/>
    </row>
    <row r="289" spans="5:83" ht="12" customHeight="1">
      <c r="E289" s="621">
        <v>281</v>
      </c>
      <c r="F289" s="711"/>
      <c r="G289" s="712"/>
      <c r="H289" s="713">
        <v>281</v>
      </c>
      <c r="I289" s="714"/>
      <c r="J289" s="239"/>
      <c r="K289" s="24"/>
      <c r="AI289" s="16" t="e">
        <f t="shared" si="45"/>
        <v>#N/A</v>
      </c>
      <c r="AJ289" s="16" t="str">
        <f t="shared" si="46"/>
        <v/>
      </c>
      <c r="AK289" s="16" t="str">
        <f t="shared" si="47"/>
        <v/>
      </c>
      <c r="AL289" s="16" t="e">
        <f>IF(AK289="",NA(),COUNTIF(AK$176:$AK289,AK289))</f>
        <v>#N/A</v>
      </c>
      <c r="AM289" s="16" t="e">
        <f t="shared" si="48"/>
        <v>#N/A</v>
      </c>
      <c r="AN289" s="16" t="e">
        <f t="shared" si="49"/>
        <v>#N/A</v>
      </c>
      <c r="AO289" s="16" t="str">
        <f t="shared" si="50"/>
        <v/>
      </c>
      <c r="AP289" s="16" t="str">
        <f t="shared" si="51"/>
        <v/>
      </c>
      <c r="AQ289" s="16" t="e">
        <f>IF(AP289="",NA(),COUNTIF(AP$176:$AP289,AP289))</f>
        <v>#N/A</v>
      </c>
      <c r="AR289" s="16" t="e">
        <f t="shared" si="52"/>
        <v>#N/A</v>
      </c>
      <c r="BI289" s="621">
        <v>281</v>
      </c>
      <c r="BJ289" s="711"/>
      <c r="BK289" s="712"/>
      <c r="BL289" s="713">
        <v>281</v>
      </c>
      <c r="BM289" s="714"/>
      <c r="BN289" s="239"/>
      <c r="BO289" s="24"/>
      <c r="BQ289" s="621">
        <v>281</v>
      </c>
      <c r="BR289" s="711"/>
      <c r="BS289" s="712"/>
      <c r="BT289" s="713">
        <v>281</v>
      </c>
      <c r="BU289" s="714"/>
      <c r="BV289" s="239"/>
      <c r="BW289" s="24"/>
      <c r="BY289" s="621">
        <v>281</v>
      </c>
      <c r="BZ289" s="711"/>
      <c r="CA289" s="712"/>
      <c r="CB289" s="713">
        <v>281</v>
      </c>
      <c r="CC289" s="714"/>
      <c r="CD289" s="239"/>
      <c r="CE289" s="24"/>
    </row>
    <row r="290" spans="5:83" ht="12" customHeight="1">
      <c r="E290" s="621">
        <v>282</v>
      </c>
      <c r="F290" s="711"/>
      <c r="G290" s="712"/>
      <c r="H290" s="713">
        <v>282</v>
      </c>
      <c r="I290" s="714"/>
      <c r="J290" s="239"/>
      <c r="K290" s="24"/>
      <c r="AI290" s="16" t="e">
        <f t="shared" si="45"/>
        <v>#N/A</v>
      </c>
      <c r="AJ290" s="16" t="str">
        <f t="shared" si="46"/>
        <v/>
      </c>
      <c r="AK290" s="16" t="str">
        <f t="shared" si="47"/>
        <v/>
      </c>
      <c r="AL290" s="16" t="e">
        <f>IF(AK290="",NA(),COUNTIF(AK$176:$AK290,AK290))</f>
        <v>#N/A</v>
      </c>
      <c r="AM290" s="16" t="e">
        <f t="shared" si="48"/>
        <v>#N/A</v>
      </c>
      <c r="AN290" s="16" t="e">
        <f t="shared" si="49"/>
        <v>#N/A</v>
      </c>
      <c r="AO290" s="16" t="str">
        <f t="shared" si="50"/>
        <v/>
      </c>
      <c r="AP290" s="16" t="str">
        <f t="shared" si="51"/>
        <v/>
      </c>
      <c r="AQ290" s="16" t="e">
        <f>IF(AP290="",NA(),COUNTIF(AP$176:$AP290,AP290))</f>
        <v>#N/A</v>
      </c>
      <c r="AR290" s="16" t="e">
        <f t="shared" si="52"/>
        <v>#N/A</v>
      </c>
      <c r="BI290" s="621">
        <v>282</v>
      </c>
      <c r="BJ290" s="711"/>
      <c r="BK290" s="712"/>
      <c r="BL290" s="713">
        <v>282</v>
      </c>
      <c r="BM290" s="714"/>
      <c r="BN290" s="239"/>
      <c r="BO290" s="24"/>
      <c r="BQ290" s="621">
        <v>282</v>
      </c>
      <c r="BR290" s="711"/>
      <c r="BS290" s="712"/>
      <c r="BT290" s="713">
        <v>282</v>
      </c>
      <c r="BU290" s="714"/>
      <c r="BV290" s="239"/>
      <c r="BW290" s="24"/>
      <c r="BY290" s="621">
        <v>282</v>
      </c>
      <c r="BZ290" s="711"/>
      <c r="CA290" s="712"/>
      <c r="CB290" s="713">
        <v>282</v>
      </c>
      <c r="CC290" s="714"/>
      <c r="CD290" s="239"/>
      <c r="CE290" s="24"/>
    </row>
    <row r="291" spans="5:83" ht="12" customHeight="1">
      <c r="E291" s="621">
        <v>283</v>
      </c>
      <c r="F291" s="711"/>
      <c r="G291" s="712"/>
      <c r="H291" s="713">
        <v>283</v>
      </c>
      <c r="I291" s="714"/>
      <c r="J291" s="239"/>
      <c r="K291" s="24"/>
      <c r="AI291" s="16" t="e">
        <f t="shared" si="45"/>
        <v>#N/A</v>
      </c>
      <c r="AJ291" s="16" t="str">
        <f t="shared" si="46"/>
        <v/>
      </c>
      <c r="AK291" s="16" t="str">
        <f t="shared" si="47"/>
        <v/>
      </c>
      <c r="AL291" s="16" t="e">
        <f>IF(AK291="",NA(),COUNTIF(AK$176:$AK291,AK291))</f>
        <v>#N/A</v>
      </c>
      <c r="AM291" s="16" t="e">
        <f t="shared" si="48"/>
        <v>#N/A</v>
      </c>
      <c r="AN291" s="16" t="e">
        <f t="shared" si="49"/>
        <v>#N/A</v>
      </c>
      <c r="AO291" s="16" t="str">
        <f t="shared" si="50"/>
        <v/>
      </c>
      <c r="AP291" s="16" t="str">
        <f t="shared" si="51"/>
        <v/>
      </c>
      <c r="AQ291" s="16" t="e">
        <f>IF(AP291="",NA(),COUNTIF(AP$176:$AP291,AP291))</f>
        <v>#N/A</v>
      </c>
      <c r="AR291" s="16" t="e">
        <f t="shared" si="52"/>
        <v>#N/A</v>
      </c>
      <c r="BI291" s="621">
        <v>283</v>
      </c>
      <c r="BJ291" s="711"/>
      <c r="BK291" s="712"/>
      <c r="BL291" s="713">
        <v>283</v>
      </c>
      <c r="BM291" s="714"/>
      <c r="BN291" s="239"/>
      <c r="BO291" s="24"/>
      <c r="BQ291" s="621">
        <v>283</v>
      </c>
      <c r="BR291" s="711"/>
      <c r="BS291" s="712"/>
      <c r="BT291" s="713">
        <v>283</v>
      </c>
      <c r="BU291" s="714"/>
      <c r="BV291" s="239"/>
      <c r="BW291" s="24"/>
      <c r="BY291" s="621">
        <v>283</v>
      </c>
      <c r="BZ291" s="711"/>
      <c r="CA291" s="712"/>
      <c r="CB291" s="713">
        <v>283</v>
      </c>
      <c r="CC291" s="714"/>
      <c r="CD291" s="239"/>
      <c r="CE291" s="24"/>
    </row>
    <row r="292" spans="5:83" ht="12" customHeight="1">
      <c r="E292" s="621">
        <v>284</v>
      </c>
      <c r="F292" s="711"/>
      <c r="G292" s="712"/>
      <c r="H292" s="713">
        <v>284</v>
      </c>
      <c r="I292" s="714"/>
      <c r="J292" s="239"/>
      <c r="K292" s="24"/>
      <c r="AI292" s="16" t="e">
        <f t="shared" si="45"/>
        <v>#N/A</v>
      </c>
      <c r="AJ292" s="16" t="str">
        <f t="shared" si="46"/>
        <v/>
      </c>
      <c r="AK292" s="16" t="str">
        <f t="shared" si="47"/>
        <v/>
      </c>
      <c r="AL292" s="16" t="e">
        <f>IF(AK292="",NA(),COUNTIF(AK$176:$AK292,AK292))</f>
        <v>#N/A</v>
      </c>
      <c r="AM292" s="16" t="e">
        <f t="shared" si="48"/>
        <v>#N/A</v>
      </c>
      <c r="AN292" s="16" t="e">
        <f t="shared" si="49"/>
        <v>#N/A</v>
      </c>
      <c r="AO292" s="16" t="str">
        <f t="shared" si="50"/>
        <v/>
      </c>
      <c r="AP292" s="16" t="str">
        <f t="shared" si="51"/>
        <v/>
      </c>
      <c r="AQ292" s="16" t="e">
        <f>IF(AP292="",NA(),COUNTIF(AP$176:$AP292,AP292))</f>
        <v>#N/A</v>
      </c>
      <c r="AR292" s="16" t="e">
        <f t="shared" si="52"/>
        <v>#N/A</v>
      </c>
      <c r="BI292" s="621">
        <v>284</v>
      </c>
      <c r="BJ292" s="711"/>
      <c r="BK292" s="712"/>
      <c r="BL292" s="713">
        <v>284</v>
      </c>
      <c r="BM292" s="714"/>
      <c r="BN292" s="239"/>
      <c r="BO292" s="24"/>
      <c r="BQ292" s="621">
        <v>284</v>
      </c>
      <c r="BR292" s="711"/>
      <c r="BS292" s="712"/>
      <c r="BT292" s="713">
        <v>284</v>
      </c>
      <c r="BU292" s="714"/>
      <c r="BV292" s="239"/>
      <c r="BW292" s="24"/>
      <c r="BY292" s="621">
        <v>284</v>
      </c>
      <c r="BZ292" s="711"/>
      <c r="CA292" s="712"/>
      <c r="CB292" s="713">
        <v>284</v>
      </c>
      <c r="CC292" s="714"/>
      <c r="CD292" s="239"/>
      <c r="CE292" s="24"/>
    </row>
    <row r="293" spans="5:83" ht="12" customHeight="1">
      <c r="E293" s="621">
        <v>285</v>
      </c>
      <c r="F293" s="711"/>
      <c r="G293" s="712"/>
      <c r="H293" s="713">
        <v>285</v>
      </c>
      <c r="I293" s="714"/>
      <c r="J293" s="239"/>
      <c r="K293" s="24"/>
      <c r="AI293" s="16" t="e">
        <f t="shared" si="45"/>
        <v>#N/A</v>
      </c>
      <c r="AJ293" s="16" t="str">
        <f t="shared" si="46"/>
        <v/>
      </c>
      <c r="AK293" s="16" t="str">
        <f t="shared" si="47"/>
        <v/>
      </c>
      <c r="AL293" s="16" t="e">
        <f>IF(AK293="",NA(),COUNTIF(AK$176:$AK293,AK293))</f>
        <v>#N/A</v>
      </c>
      <c r="AM293" s="16" t="e">
        <f t="shared" si="48"/>
        <v>#N/A</v>
      </c>
      <c r="AN293" s="16" t="e">
        <f t="shared" si="49"/>
        <v>#N/A</v>
      </c>
      <c r="AO293" s="16" t="str">
        <f t="shared" si="50"/>
        <v/>
      </c>
      <c r="AP293" s="16" t="str">
        <f t="shared" si="51"/>
        <v/>
      </c>
      <c r="AQ293" s="16" t="e">
        <f>IF(AP293="",NA(),COUNTIF(AP$176:$AP293,AP293))</f>
        <v>#N/A</v>
      </c>
      <c r="AR293" s="16" t="e">
        <f t="shared" si="52"/>
        <v>#N/A</v>
      </c>
      <c r="BI293" s="621">
        <v>285</v>
      </c>
      <c r="BJ293" s="711"/>
      <c r="BK293" s="712"/>
      <c r="BL293" s="713">
        <v>285</v>
      </c>
      <c r="BM293" s="714"/>
      <c r="BN293" s="239"/>
      <c r="BO293" s="24"/>
      <c r="BQ293" s="621">
        <v>285</v>
      </c>
      <c r="BR293" s="711"/>
      <c r="BS293" s="712"/>
      <c r="BT293" s="713">
        <v>285</v>
      </c>
      <c r="BU293" s="714"/>
      <c r="BV293" s="239"/>
      <c r="BW293" s="24"/>
      <c r="BY293" s="621">
        <v>285</v>
      </c>
      <c r="BZ293" s="711"/>
      <c r="CA293" s="712"/>
      <c r="CB293" s="713">
        <v>285</v>
      </c>
      <c r="CC293" s="714"/>
      <c r="CD293" s="239"/>
      <c r="CE293" s="24"/>
    </row>
    <row r="294" spans="5:83" ht="12" customHeight="1">
      <c r="E294" s="621">
        <v>286</v>
      </c>
      <c r="F294" s="711"/>
      <c r="G294" s="712"/>
      <c r="H294" s="713">
        <v>286</v>
      </c>
      <c r="I294" s="714"/>
      <c r="J294" s="239"/>
      <c r="K294" s="24"/>
      <c r="AI294" s="16" t="e">
        <f t="shared" si="45"/>
        <v>#N/A</v>
      </c>
      <c r="AJ294" s="16" t="str">
        <f t="shared" si="46"/>
        <v/>
      </c>
      <c r="AK294" s="16" t="str">
        <f t="shared" si="47"/>
        <v/>
      </c>
      <c r="AL294" s="16" t="e">
        <f>IF(AK294="",NA(),COUNTIF(AK$176:$AK294,AK294))</f>
        <v>#N/A</v>
      </c>
      <c r="AM294" s="16" t="e">
        <f t="shared" si="48"/>
        <v>#N/A</v>
      </c>
      <c r="AN294" s="16" t="e">
        <f t="shared" si="49"/>
        <v>#N/A</v>
      </c>
      <c r="AO294" s="16" t="str">
        <f t="shared" si="50"/>
        <v/>
      </c>
      <c r="AP294" s="16" t="str">
        <f t="shared" si="51"/>
        <v/>
      </c>
      <c r="AQ294" s="16" t="e">
        <f>IF(AP294="",NA(),COUNTIF(AP$176:$AP294,AP294))</f>
        <v>#N/A</v>
      </c>
      <c r="AR294" s="16" t="e">
        <f t="shared" si="52"/>
        <v>#N/A</v>
      </c>
      <c r="BI294" s="621">
        <v>286</v>
      </c>
      <c r="BJ294" s="711"/>
      <c r="BK294" s="712"/>
      <c r="BL294" s="713">
        <v>286</v>
      </c>
      <c r="BM294" s="714"/>
      <c r="BN294" s="239"/>
      <c r="BO294" s="24"/>
      <c r="BQ294" s="621">
        <v>286</v>
      </c>
      <c r="BR294" s="711"/>
      <c r="BS294" s="712"/>
      <c r="BT294" s="713">
        <v>286</v>
      </c>
      <c r="BU294" s="714"/>
      <c r="BV294" s="239"/>
      <c r="BW294" s="24"/>
      <c r="BY294" s="621">
        <v>286</v>
      </c>
      <c r="BZ294" s="711"/>
      <c r="CA294" s="712"/>
      <c r="CB294" s="713">
        <v>286</v>
      </c>
      <c r="CC294" s="714"/>
      <c r="CD294" s="239"/>
      <c r="CE294" s="24"/>
    </row>
    <row r="295" spans="5:83" ht="12" customHeight="1">
      <c r="E295" s="621">
        <v>287</v>
      </c>
      <c r="F295" s="711"/>
      <c r="G295" s="712"/>
      <c r="H295" s="713">
        <v>287</v>
      </c>
      <c r="I295" s="714"/>
      <c r="J295" s="239"/>
      <c r="K295" s="24"/>
      <c r="AI295" s="16" t="e">
        <f t="shared" si="45"/>
        <v>#N/A</v>
      </c>
      <c r="AJ295" s="16" t="str">
        <f t="shared" si="46"/>
        <v/>
      </c>
      <c r="AK295" s="16" t="str">
        <f t="shared" si="47"/>
        <v/>
      </c>
      <c r="AL295" s="16" t="e">
        <f>IF(AK295="",NA(),COUNTIF(AK$176:$AK295,AK295))</f>
        <v>#N/A</v>
      </c>
      <c r="AM295" s="16" t="e">
        <f t="shared" si="48"/>
        <v>#N/A</v>
      </c>
      <c r="AN295" s="16" t="e">
        <f t="shared" si="49"/>
        <v>#N/A</v>
      </c>
      <c r="AO295" s="16" t="str">
        <f t="shared" si="50"/>
        <v/>
      </c>
      <c r="AP295" s="16" t="str">
        <f t="shared" si="51"/>
        <v/>
      </c>
      <c r="AQ295" s="16" t="e">
        <f>IF(AP295="",NA(),COUNTIF(AP$176:$AP295,AP295))</f>
        <v>#N/A</v>
      </c>
      <c r="AR295" s="16" t="e">
        <f t="shared" si="52"/>
        <v>#N/A</v>
      </c>
      <c r="BI295" s="621">
        <v>287</v>
      </c>
      <c r="BJ295" s="711"/>
      <c r="BK295" s="712"/>
      <c r="BL295" s="713">
        <v>287</v>
      </c>
      <c r="BM295" s="714"/>
      <c r="BN295" s="239"/>
      <c r="BO295" s="24"/>
      <c r="BQ295" s="621">
        <v>287</v>
      </c>
      <c r="BR295" s="711"/>
      <c r="BS295" s="712"/>
      <c r="BT295" s="713">
        <v>287</v>
      </c>
      <c r="BU295" s="714"/>
      <c r="BV295" s="239"/>
      <c r="BW295" s="24"/>
      <c r="BY295" s="621">
        <v>287</v>
      </c>
      <c r="BZ295" s="711"/>
      <c r="CA295" s="712"/>
      <c r="CB295" s="713">
        <v>287</v>
      </c>
      <c r="CC295" s="714"/>
      <c r="CD295" s="239"/>
      <c r="CE295" s="24"/>
    </row>
    <row r="296" spans="5:83" ht="12" customHeight="1">
      <c r="E296" s="621">
        <v>288</v>
      </c>
      <c r="F296" s="711"/>
      <c r="G296" s="712"/>
      <c r="H296" s="713">
        <v>288</v>
      </c>
      <c r="I296" s="714"/>
      <c r="J296" s="239"/>
      <c r="K296" s="24"/>
      <c r="AI296" s="16" t="e">
        <f t="shared" si="45"/>
        <v>#N/A</v>
      </c>
      <c r="AJ296" s="16" t="str">
        <f t="shared" si="46"/>
        <v/>
      </c>
      <c r="AK296" s="16" t="str">
        <f t="shared" si="47"/>
        <v/>
      </c>
      <c r="AL296" s="16" t="e">
        <f>IF(AK296="",NA(),COUNTIF(AK$176:$AK296,AK296))</f>
        <v>#N/A</v>
      </c>
      <c r="AM296" s="16" t="e">
        <f t="shared" si="48"/>
        <v>#N/A</v>
      </c>
      <c r="AN296" s="16" t="e">
        <f t="shared" si="49"/>
        <v>#N/A</v>
      </c>
      <c r="AO296" s="16" t="str">
        <f t="shared" si="50"/>
        <v/>
      </c>
      <c r="AP296" s="16" t="str">
        <f t="shared" si="51"/>
        <v/>
      </c>
      <c r="AQ296" s="16" t="e">
        <f>IF(AP296="",NA(),COUNTIF(AP$176:$AP296,AP296))</f>
        <v>#N/A</v>
      </c>
      <c r="AR296" s="16" t="e">
        <f t="shared" si="52"/>
        <v>#N/A</v>
      </c>
      <c r="BI296" s="621">
        <v>288</v>
      </c>
      <c r="BJ296" s="711"/>
      <c r="BK296" s="712"/>
      <c r="BL296" s="713">
        <v>288</v>
      </c>
      <c r="BM296" s="714"/>
      <c r="BN296" s="239"/>
      <c r="BO296" s="24"/>
      <c r="BQ296" s="621">
        <v>288</v>
      </c>
      <c r="BR296" s="711"/>
      <c r="BS296" s="712"/>
      <c r="BT296" s="713">
        <v>288</v>
      </c>
      <c r="BU296" s="714"/>
      <c r="BV296" s="239"/>
      <c r="BW296" s="24"/>
      <c r="BY296" s="621">
        <v>288</v>
      </c>
      <c r="BZ296" s="711"/>
      <c r="CA296" s="712"/>
      <c r="CB296" s="713">
        <v>288</v>
      </c>
      <c r="CC296" s="714"/>
      <c r="CD296" s="239"/>
      <c r="CE296" s="24"/>
    </row>
    <row r="297" spans="5:83" ht="12" customHeight="1">
      <c r="E297" s="621">
        <v>289</v>
      </c>
      <c r="F297" s="711"/>
      <c r="G297" s="712"/>
      <c r="H297" s="713">
        <v>289</v>
      </c>
      <c r="I297" s="714"/>
      <c r="J297" s="239"/>
      <c r="K297" s="24"/>
      <c r="AI297" s="16" t="e">
        <f t="shared" si="45"/>
        <v>#N/A</v>
      </c>
      <c r="AJ297" s="16" t="str">
        <f t="shared" si="46"/>
        <v/>
      </c>
      <c r="AK297" s="16" t="str">
        <f t="shared" si="47"/>
        <v/>
      </c>
      <c r="AL297" s="16" t="e">
        <f>IF(AK297="",NA(),COUNTIF(AK$176:$AK297,AK297))</f>
        <v>#N/A</v>
      </c>
      <c r="AM297" s="16" t="e">
        <f t="shared" si="48"/>
        <v>#N/A</v>
      </c>
      <c r="AN297" s="16" t="e">
        <f t="shared" si="49"/>
        <v>#N/A</v>
      </c>
      <c r="AO297" s="16" t="str">
        <f t="shared" si="50"/>
        <v/>
      </c>
      <c r="AP297" s="16" t="str">
        <f t="shared" si="51"/>
        <v/>
      </c>
      <c r="AQ297" s="16" t="e">
        <f>IF(AP297="",NA(),COUNTIF(AP$176:$AP297,AP297))</f>
        <v>#N/A</v>
      </c>
      <c r="AR297" s="16" t="e">
        <f t="shared" si="52"/>
        <v>#N/A</v>
      </c>
      <c r="BI297" s="621">
        <v>289</v>
      </c>
      <c r="BJ297" s="711"/>
      <c r="BK297" s="712"/>
      <c r="BL297" s="713">
        <v>289</v>
      </c>
      <c r="BM297" s="714"/>
      <c r="BN297" s="239"/>
      <c r="BO297" s="24"/>
      <c r="BQ297" s="621">
        <v>289</v>
      </c>
      <c r="BR297" s="711"/>
      <c r="BS297" s="712"/>
      <c r="BT297" s="713">
        <v>289</v>
      </c>
      <c r="BU297" s="714"/>
      <c r="BV297" s="239"/>
      <c r="BW297" s="24"/>
      <c r="BY297" s="621">
        <v>289</v>
      </c>
      <c r="BZ297" s="711"/>
      <c r="CA297" s="712"/>
      <c r="CB297" s="713">
        <v>289</v>
      </c>
      <c r="CC297" s="714"/>
      <c r="CD297" s="239"/>
      <c r="CE297" s="24"/>
    </row>
    <row r="298" spans="5:83" ht="12" customHeight="1">
      <c r="E298" s="621">
        <v>290</v>
      </c>
      <c r="F298" s="711"/>
      <c r="G298" s="712"/>
      <c r="H298" s="713">
        <v>290</v>
      </c>
      <c r="I298" s="714"/>
      <c r="J298" s="239"/>
      <c r="K298" s="24"/>
      <c r="AI298" s="16" t="e">
        <f t="shared" si="45"/>
        <v>#N/A</v>
      </c>
      <c r="AJ298" s="16" t="str">
        <f t="shared" si="46"/>
        <v/>
      </c>
      <c r="AK298" s="16" t="str">
        <f t="shared" si="47"/>
        <v/>
      </c>
      <c r="AL298" s="16" t="e">
        <f>IF(AK298="",NA(),COUNTIF(AK$176:$AK298,AK298))</f>
        <v>#N/A</v>
      </c>
      <c r="AM298" s="16" t="e">
        <f t="shared" si="48"/>
        <v>#N/A</v>
      </c>
      <c r="AN298" s="16" t="e">
        <f t="shared" si="49"/>
        <v>#N/A</v>
      </c>
      <c r="AO298" s="16" t="str">
        <f t="shared" si="50"/>
        <v/>
      </c>
      <c r="AP298" s="16" t="str">
        <f t="shared" si="51"/>
        <v/>
      </c>
      <c r="AQ298" s="16" t="e">
        <f>IF(AP298="",NA(),COUNTIF(AP$176:$AP298,AP298))</f>
        <v>#N/A</v>
      </c>
      <c r="AR298" s="16" t="e">
        <f t="shared" si="52"/>
        <v>#N/A</v>
      </c>
      <c r="BI298" s="621">
        <v>290</v>
      </c>
      <c r="BJ298" s="711"/>
      <c r="BK298" s="712"/>
      <c r="BL298" s="713">
        <v>290</v>
      </c>
      <c r="BM298" s="714"/>
      <c r="BN298" s="239"/>
      <c r="BO298" s="24"/>
      <c r="BQ298" s="621">
        <v>290</v>
      </c>
      <c r="BR298" s="711"/>
      <c r="BS298" s="712"/>
      <c r="BT298" s="713">
        <v>290</v>
      </c>
      <c r="BU298" s="714"/>
      <c r="BV298" s="239"/>
      <c r="BW298" s="24"/>
      <c r="BY298" s="621">
        <v>290</v>
      </c>
      <c r="BZ298" s="711"/>
      <c r="CA298" s="712"/>
      <c r="CB298" s="713">
        <v>290</v>
      </c>
      <c r="CC298" s="714"/>
      <c r="CD298" s="239"/>
      <c r="CE298" s="24"/>
    </row>
    <row r="299" spans="5:83" ht="12" customHeight="1">
      <c r="E299" s="621">
        <v>291</v>
      </c>
      <c r="F299" s="711"/>
      <c r="G299" s="712"/>
      <c r="H299" s="713">
        <v>291</v>
      </c>
      <c r="I299" s="714"/>
      <c r="J299" s="239"/>
      <c r="K299" s="24"/>
      <c r="AI299" s="16" t="e">
        <f t="shared" si="45"/>
        <v>#N/A</v>
      </c>
      <c r="AJ299" s="16" t="str">
        <f t="shared" si="46"/>
        <v/>
      </c>
      <c r="AK299" s="16" t="str">
        <f t="shared" si="47"/>
        <v/>
      </c>
      <c r="AL299" s="16" t="e">
        <f>IF(AK299="",NA(),COUNTIF(AK$176:$AK299,AK299))</f>
        <v>#N/A</v>
      </c>
      <c r="AM299" s="16" t="e">
        <f t="shared" si="48"/>
        <v>#N/A</v>
      </c>
      <c r="AN299" s="16" t="e">
        <f t="shared" si="49"/>
        <v>#N/A</v>
      </c>
      <c r="AO299" s="16" t="str">
        <f t="shared" si="50"/>
        <v/>
      </c>
      <c r="AP299" s="16" t="str">
        <f t="shared" si="51"/>
        <v/>
      </c>
      <c r="AQ299" s="16" t="e">
        <f>IF(AP299="",NA(),COUNTIF(AP$176:$AP299,AP299))</f>
        <v>#N/A</v>
      </c>
      <c r="AR299" s="16" t="e">
        <f t="shared" si="52"/>
        <v>#N/A</v>
      </c>
      <c r="BI299" s="621">
        <v>291</v>
      </c>
      <c r="BJ299" s="711"/>
      <c r="BK299" s="712"/>
      <c r="BL299" s="713">
        <v>291</v>
      </c>
      <c r="BM299" s="714"/>
      <c r="BN299" s="239"/>
      <c r="BO299" s="24"/>
      <c r="BQ299" s="621">
        <v>291</v>
      </c>
      <c r="BR299" s="711"/>
      <c r="BS299" s="712"/>
      <c r="BT299" s="713">
        <v>291</v>
      </c>
      <c r="BU299" s="714"/>
      <c r="BV299" s="239"/>
      <c r="BW299" s="24"/>
      <c r="BY299" s="621">
        <v>291</v>
      </c>
      <c r="BZ299" s="711"/>
      <c r="CA299" s="712"/>
      <c r="CB299" s="713">
        <v>291</v>
      </c>
      <c r="CC299" s="714"/>
      <c r="CD299" s="239"/>
      <c r="CE299" s="24"/>
    </row>
    <row r="300" spans="5:83" ht="12" customHeight="1">
      <c r="E300" s="621">
        <v>292</v>
      </c>
      <c r="F300" s="711"/>
      <c r="G300" s="712"/>
      <c r="H300" s="713">
        <v>292</v>
      </c>
      <c r="I300" s="714"/>
      <c r="J300" s="239"/>
      <c r="K300" s="24"/>
      <c r="AI300" s="16" t="e">
        <f t="shared" si="45"/>
        <v>#N/A</v>
      </c>
      <c r="AJ300" s="16" t="str">
        <f t="shared" si="46"/>
        <v/>
      </c>
      <c r="AK300" s="16" t="str">
        <f t="shared" si="47"/>
        <v/>
      </c>
      <c r="AL300" s="16" t="e">
        <f>IF(AK300="",NA(),COUNTIF(AK$176:$AK300,AK300))</f>
        <v>#N/A</v>
      </c>
      <c r="AM300" s="16" t="e">
        <f t="shared" si="48"/>
        <v>#N/A</v>
      </c>
      <c r="AN300" s="16" t="e">
        <f t="shared" si="49"/>
        <v>#N/A</v>
      </c>
      <c r="AO300" s="16" t="str">
        <f t="shared" si="50"/>
        <v/>
      </c>
      <c r="AP300" s="16" t="str">
        <f t="shared" si="51"/>
        <v/>
      </c>
      <c r="AQ300" s="16" t="e">
        <f>IF(AP300="",NA(),COUNTIF(AP$176:$AP300,AP300))</f>
        <v>#N/A</v>
      </c>
      <c r="AR300" s="16" t="e">
        <f t="shared" si="52"/>
        <v>#N/A</v>
      </c>
      <c r="BI300" s="621">
        <v>292</v>
      </c>
      <c r="BJ300" s="711"/>
      <c r="BK300" s="712"/>
      <c r="BL300" s="713">
        <v>292</v>
      </c>
      <c r="BM300" s="714"/>
      <c r="BN300" s="239"/>
      <c r="BO300" s="24"/>
      <c r="BQ300" s="621">
        <v>292</v>
      </c>
      <c r="BR300" s="711"/>
      <c r="BS300" s="712"/>
      <c r="BT300" s="713">
        <v>292</v>
      </c>
      <c r="BU300" s="714"/>
      <c r="BV300" s="239"/>
      <c r="BW300" s="24"/>
      <c r="BY300" s="621">
        <v>292</v>
      </c>
      <c r="BZ300" s="711"/>
      <c r="CA300" s="712"/>
      <c r="CB300" s="713">
        <v>292</v>
      </c>
      <c r="CC300" s="714"/>
      <c r="CD300" s="239"/>
      <c r="CE300" s="24"/>
    </row>
    <row r="301" spans="5:83" ht="12" customHeight="1">
      <c r="E301" s="621">
        <v>293</v>
      </c>
      <c r="F301" s="711"/>
      <c r="G301" s="712"/>
      <c r="H301" s="713">
        <v>293</v>
      </c>
      <c r="I301" s="714"/>
      <c r="J301" s="239"/>
      <c r="K301" s="24"/>
      <c r="AI301" s="16" t="e">
        <f t="shared" si="45"/>
        <v>#N/A</v>
      </c>
      <c r="AJ301" s="16" t="str">
        <f t="shared" si="46"/>
        <v/>
      </c>
      <c r="AK301" s="16" t="str">
        <f t="shared" si="47"/>
        <v/>
      </c>
      <c r="AL301" s="16" t="e">
        <f>IF(AK301="",NA(),COUNTIF(AK$176:$AK301,AK301))</f>
        <v>#N/A</v>
      </c>
      <c r="AM301" s="16" t="e">
        <f t="shared" si="48"/>
        <v>#N/A</v>
      </c>
      <c r="AN301" s="16" t="e">
        <f t="shared" si="49"/>
        <v>#N/A</v>
      </c>
      <c r="AO301" s="16" t="str">
        <f t="shared" si="50"/>
        <v/>
      </c>
      <c r="AP301" s="16" t="str">
        <f t="shared" si="51"/>
        <v/>
      </c>
      <c r="AQ301" s="16" t="e">
        <f>IF(AP301="",NA(),COUNTIF(AP$176:$AP301,AP301))</f>
        <v>#N/A</v>
      </c>
      <c r="AR301" s="16" t="e">
        <f t="shared" si="52"/>
        <v>#N/A</v>
      </c>
      <c r="BI301" s="621">
        <v>293</v>
      </c>
      <c r="BJ301" s="711"/>
      <c r="BK301" s="712"/>
      <c r="BL301" s="713">
        <v>293</v>
      </c>
      <c r="BM301" s="714"/>
      <c r="BN301" s="239"/>
      <c r="BO301" s="24"/>
      <c r="BQ301" s="621">
        <v>293</v>
      </c>
      <c r="BR301" s="711"/>
      <c r="BS301" s="712"/>
      <c r="BT301" s="713">
        <v>293</v>
      </c>
      <c r="BU301" s="714"/>
      <c r="BV301" s="239"/>
      <c r="BW301" s="24"/>
      <c r="BY301" s="621">
        <v>293</v>
      </c>
      <c r="BZ301" s="711"/>
      <c r="CA301" s="712"/>
      <c r="CB301" s="713">
        <v>293</v>
      </c>
      <c r="CC301" s="714"/>
      <c r="CD301" s="239"/>
      <c r="CE301" s="24"/>
    </row>
    <row r="302" spans="5:83" ht="12" customHeight="1">
      <c r="E302" s="621">
        <v>294</v>
      </c>
      <c r="F302" s="711"/>
      <c r="G302" s="712"/>
      <c r="H302" s="713">
        <v>294</v>
      </c>
      <c r="I302" s="714"/>
      <c r="J302" s="239"/>
      <c r="K302" s="24"/>
      <c r="AI302" s="16" t="e">
        <f t="shared" si="45"/>
        <v>#N/A</v>
      </c>
      <c r="AJ302" s="16" t="str">
        <f t="shared" si="46"/>
        <v/>
      </c>
      <c r="AK302" s="16" t="str">
        <f t="shared" si="47"/>
        <v/>
      </c>
      <c r="AL302" s="16" t="e">
        <f>IF(AK302="",NA(),COUNTIF(AK$176:$AK302,AK302))</f>
        <v>#N/A</v>
      </c>
      <c r="AM302" s="16" t="e">
        <f t="shared" si="48"/>
        <v>#N/A</v>
      </c>
      <c r="AN302" s="16" t="e">
        <f t="shared" si="49"/>
        <v>#N/A</v>
      </c>
      <c r="AO302" s="16" t="str">
        <f t="shared" si="50"/>
        <v/>
      </c>
      <c r="AP302" s="16" t="str">
        <f t="shared" si="51"/>
        <v/>
      </c>
      <c r="AQ302" s="16" t="e">
        <f>IF(AP302="",NA(),COUNTIF(AP$176:$AP302,AP302))</f>
        <v>#N/A</v>
      </c>
      <c r="AR302" s="16" t="e">
        <f t="shared" si="52"/>
        <v>#N/A</v>
      </c>
      <c r="BI302" s="621">
        <v>294</v>
      </c>
      <c r="BJ302" s="711"/>
      <c r="BK302" s="712"/>
      <c r="BL302" s="713">
        <v>294</v>
      </c>
      <c r="BM302" s="714"/>
      <c r="BN302" s="239"/>
      <c r="BO302" s="24"/>
      <c r="BQ302" s="621">
        <v>294</v>
      </c>
      <c r="BR302" s="711"/>
      <c r="BS302" s="712"/>
      <c r="BT302" s="713">
        <v>294</v>
      </c>
      <c r="BU302" s="714"/>
      <c r="BV302" s="239"/>
      <c r="BW302" s="24"/>
      <c r="BY302" s="621">
        <v>294</v>
      </c>
      <c r="BZ302" s="711"/>
      <c r="CA302" s="712"/>
      <c r="CB302" s="713">
        <v>294</v>
      </c>
      <c r="CC302" s="714"/>
      <c r="CD302" s="239"/>
      <c r="CE302" s="24"/>
    </row>
    <row r="303" spans="5:83" ht="12" customHeight="1">
      <c r="E303" s="621">
        <v>295</v>
      </c>
      <c r="F303" s="711"/>
      <c r="G303" s="712"/>
      <c r="H303" s="713">
        <v>295</v>
      </c>
      <c r="I303" s="714"/>
      <c r="J303" s="239"/>
      <c r="K303" s="24"/>
      <c r="AI303" s="16" t="e">
        <f t="shared" si="45"/>
        <v>#N/A</v>
      </c>
      <c r="AJ303" s="16" t="str">
        <f t="shared" si="46"/>
        <v/>
      </c>
      <c r="AK303" s="16" t="str">
        <f t="shared" si="47"/>
        <v/>
      </c>
      <c r="AL303" s="16" t="e">
        <f>IF(AK303="",NA(),COUNTIF(AK$176:$AK303,AK303))</f>
        <v>#N/A</v>
      </c>
      <c r="AM303" s="16" t="e">
        <f t="shared" si="48"/>
        <v>#N/A</v>
      </c>
      <c r="AN303" s="16" t="e">
        <f t="shared" si="49"/>
        <v>#N/A</v>
      </c>
      <c r="AO303" s="16" t="str">
        <f t="shared" si="50"/>
        <v/>
      </c>
      <c r="AP303" s="16" t="str">
        <f t="shared" si="51"/>
        <v/>
      </c>
      <c r="AQ303" s="16" t="e">
        <f>IF(AP303="",NA(),COUNTIF(AP$176:$AP303,AP303))</f>
        <v>#N/A</v>
      </c>
      <c r="AR303" s="16" t="e">
        <f t="shared" si="52"/>
        <v>#N/A</v>
      </c>
      <c r="BI303" s="621">
        <v>295</v>
      </c>
      <c r="BJ303" s="711"/>
      <c r="BK303" s="712"/>
      <c r="BL303" s="713">
        <v>295</v>
      </c>
      <c r="BM303" s="714"/>
      <c r="BN303" s="239"/>
      <c r="BO303" s="24"/>
      <c r="BQ303" s="621">
        <v>295</v>
      </c>
      <c r="BR303" s="711"/>
      <c r="BS303" s="712"/>
      <c r="BT303" s="713">
        <v>295</v>
      </c>
      <c r="BU303" s="714"/>
      <c r="BV303" s="239"/>
      <c r="BW303" s="24"/>
      <c r="BY303" s="621">
        <v>295</v>
      </c>
      <c r="BZ303" s="711"/>
      <c r="CA303" s="712"/>
      <c r="CB303" s="713">
        <v>295</v>
      </c>
      <c r="CC303" s="714"/>
      <c r="CD303" s="239"/>
      <c r="CE303" s="24"/>
    </row>
    <row r="304" spans="5:83" ht="12" customHeight="1">
      <c r="E304" s="621">
        <v>296</v>
      </c>
      <c r="F304" s="711"/>
      <c r="G304" s="712"/>
      <c r="H304" s="713">
        <v>296</v>
      </c>
      <c r="I304" s="714"/>
      <c r="J304" s="239"/>
      <c r="K304" s="24"/>
      <c r="AI304" s="16" t="e">
        <f t="shared" si="45"/>
        <v>#N/A</v>
      </c>
      <c r="AJ304" s="16" t="str">
        <f t="shared" si="46"/>
        <v/>
      </c>
      <c r="AK304" s="16" t="str">
        <f t="shared" si="47"/>
        <v/>
      </c>
      <c r="AL304" s="16" t="e">
        <f>IF(AK304="",NA(),COUNTIF(AK$176:$AK304,AK304))</f>
        <v>#N/A</v>
      </c>
      <c r="AM304" s="16" t="e">
        <f t="shared" si="48"/>
        <v>#N/A</v>
      </c>
      <c r="AN304" s="16" t="e">
        <f t="shared" si="49"/>
        <v>#N/A</v>
      </c>
      <c r="AO304" s="16" t="str">
        <f t="shared" si="50"/>
        <v/>
      </c>
      <c r="AP304" s="16" t="str">
        <f t="shared" si="51"/>
        <v/>
      </c>
      <c r="AQ304" s="16" t="e">
        <f>IF(AP304="",NA(),COUNTIF(AP$176:$AP304,AP304))</f>
        <v>#N/A</v>
      </c>
      <c r="AR304" s="16" t="e">
        <f t="shared" si="52"/>
        <v>#N/A</v>
      </c>
      <c r="BI304" s="621">
        <v>296</v>
      </c>
      <c r="BJ304" s="711"/>
      <c r="BK304" s="712"/>
      <c r="BL304" s="713">
        <v>296</v>
      </c>
      <c r="BM304" s="714"/>
      <c r="BN304" s="239"/>
      <c r="BO304" s="24"/>
      <c r="BQ304" s="621">
        <v>296</v>
      </c>
      <c r="BR304" s="711"/>
      <c r="BS304" s="712"/>
      <c r="BT304" s="713">
        <v>296</v>
      </c>
      <c r="BU304" s="714"/>
      <c r="BV304" s="239"/>
      <c r="BW304" s="24"/>
      <c r="BY304" s="621">
        <v>296</v>
      </c>
      <c r="BZ304" s="711"/>
      <c r="CA304" s="712"/>
      <c r="CB304" s="713">
        <v>296</v>
      </c>
      <c r="CC304" s="714"/>
      <c r="CD304" s="239"/>
      <c r="CE304" s="24"/>
    </row>
    <row r="305" spans="5:83" ht="12" customHeight="1">
      <c r="E305" s="621">
        <v>297</v>
      </c>
      <c r="F305" s="711"/>
      <c r="G305" s="712"/>
      <c r="H305" s="713">
        <v>297</v>
      </c>
      <c r="I305" s="714"/>
      <c r="J305" s="239"/>
      <c r="K305" s="24"/>
      <c r="AI305" s="16" t="e">
        <f t="shared" si="45"/>
        <v>#N/A</v>
      </c>
      <c r="AJ305" s="16" t="str">
        <f t="shared" si="46"/>
        <v/>
      </c>
      <c r="AK305" s="16" t="str">
        <f t="shared" si="47"/>
        <v/>
      </c>
      <c r="AL305" s="16" t="e">
        <f>IF(AK305="",NA(),COUNTIF(AK$176:$AK305,AK305))</f>
        <v>#N/A</v>
      </c>
      <c r="AM305" s="16" t="e">
        <f t="shared" si="48"/>
        <v>#N/A</v>
      </c>
      <c r="AN305" s="16" t="e">
        <f t="shared" si="49"/>
        <v>#N/A</v>
      </c>
      <c r="AO305" s="16" t="str">
        <f t="shared" si="50"/>
        <v/>
      </c>
      <c r="AP305" s="16" t="str">
        <f t="shared" si="51"/>
        <v/>
      </c>
      <c r="AQ305" s="16" t="e">
        <f>IF(AP305="",NA(),COUNTIF(AP$176:$AP305,AP305))</f>
        <v>#N/A</v>
      </c>
      <c r="AR305" s="16" t="e">
        <f t="shared" si="52"/>
        <v>#N/A</v>
      </c>
      <c r="BI305" s="621">
        <v>297</v>
      </c>
      <c r="BJ305" s="711"/>
      <c r="BK305" s="712"/>
      <c r="BL305" s="713">
        <v>297</v>
      </c>
      <c r="BM305" s="714"/>
      <c r="BN305" s="239"/>
      <c r="BO305" s="24"/>
      <c r="BQ305" s="621">
        <v>297</v>
      </c>
      <c r="BR305" s="711"/>
      <c r="BS305" s="712"/>
      <c r="BT305" s="713">
        <v>297</v>
      </c>
      <c r="BU305" s="714"/>
      <c r="BV305" s="239"/>
      <c r="BW305" s="24"/>
      <c r="BY305" s="621">
        <v>297</v>
      </c>
      <c r="BZ305" s="711"/>
      <c r="CA305" s="712"/>
      <c r="CB305" s="713">
        <v>297</v>
      </c>
      <c r="CC305" s="714"/>
      <c r="CD305" s="239"/>
      <c r="CE305" s="24"/>
    </row>
    <row r="306" spans="5:83" ht="12" customHeight="1">
      <c r="E306" s="621">
        <v>298</v>
      </c>
      <c r="F306" s="711"/>
      <c r="G306" s="712"/>
      <c r="H306" s="713">
        <v>298</v>
      </c>
      <c r="I306" s="714"/>
      <c r="J306" s="239"/>
      <c r="K306" s="24"/>
      <c r="AI306" s="16" t="e">
        <f t="shared" si="45"/>
        <v>#N/A</v>
      </c>
      <c r="AJ306" s="16" t="str">
        <f t="shared" si="46"/>
        <v/>
      </c>
      <c r="AK306" s="16" t="str">
        <f t="shared" si="47"/>
        <v/>
      </c>
      <c r="AL306" s="16" t="e">
        <f>IF(AK306="",NA(),COUNTIF(AK$176:$AK306,AK306))</f>
        <v>#N/A</v>
      </c>
      <c r="AM306" s="16" t="e">
        <f t="shared" si="48"/>
        <v>#N/A</v>
      </c>
      <c r="AN306" s="16" t="e">
        <f t="shared" si="49"/>
        <v>#N/A</v>
      </c>
      <c r="AO306" s="16" t="str">
        <f t="shared" si="50"/>
        <v/>
      </c>
      <c r="AP306" s="16" t="str">
        <f t="shared" si="51"/>
        <v/>
      </c>
      <c r="AQ306" s="16" t="e">
        <f>IF(AP306="",NA(),COUNTIF(AP$176:$AP306,AP306))</f>
        <v>#N/A</v>
      </c>
      <c r="AR306" s="16" t="e">
        <f t="shared" si="52"/>
        <v>#N/A</v>
      </c>
      <c r="BI306" s="621">
        <v>298</v>
      </c>
      <c r="BJ306" s="711"/>
      <c r="BK306" s="712"/>
      <c r="BL306" s="713">
        <v>298</v>
      </c>
      <c r="BM306" s="714"/>
      <c r="BN306" s="239"/>
      <c r="BO306" s="24"/>
      <c r="BQ306" s="621">
        <v>298</v>
      </c>
      <c r="BR306" s="711"/>
      <c r="BS306" s="712"/>
      <c r="BT306" s="713">
        <v>298</v>
      </c>
      <c r="BU306" s="714"/>
      <c r="BV306" s="239"/>
      <c r="BW306" s="24"/>
      <c r="BY306" s="621">
        <v>298</v>
      </c>
      <c r="BZ306" s="711"/>
      <c r="CA306" s="712"/>
      <c r="CB306" s="713">
        <v>298</v>
      </c>
      <c r="CC306" s="714"/>
      <c r="CD306" s="239"/>
      <c r="CE306" s="24"/>
    </row>
    <row r="307" spans="5:83" ht="12" customHeight="1">
      <c r="E307" s="621">
        <v>299</v>
      </c>
      <c r="F307" s="711"/>
      <c r="G307" s="712"/>
      <c r="H307" s="713">
        <v>299</v>
      </c>
      <c r="I307" s="714"/>
      <c r="J307" s="239"/>
      <c r="K307" s="24"/>
      <c r="AI307" s="16" t="e">
        <f t="shared" si="45"/>
        <v>#N/A</v>
      </c>
      <c r="AJ307" s="16" t="str">
        <f t="shared" si="46"/>
        <v/>
      </c>
      <c r="AK307" s="16" t="str">
        <f t="shared" si="47"/>
        <v/>
      </c>
      <c r="AL307" s="16" t="e">
        <f>IF(AK307="",NA(),COUNTIF(AK$176:$AK307,AK307))</f>
        <v>#N/A</v>
      </c>
      <c r="AM307" s="16" t="e">
        <f t="shared" si="48"/>
        <v>#N/A</v>
      </c>
      <c r="AN307" s="16" t="e">
        <f t="shared" si="49"/>
        <v>#N/A</v>
      </c>
      <c r="AO307" s="16" t="str">
        <f t="shared" si="50"/>
        <v/>
      </c>
      <c r="AP307" s="16" t="str">
        <f t="shared" si="51"/>
        <v/>
      </c>
      <c r="AQ307" s="16" t="e">
        <f>IF(AP307="",NA(),COUNTIF(AP$176:$AP307,AP307))</f>
        <v>#N/A</v>
      </c>
      <c r="AR307" s="16" t="e">
        <f t="shared" si="52"/>
        <v>#N/A</v>
      </c>
      <c r="BI307" s="621">
        <v>299</v>
      </c>
      <c r="BJ307" s="711"/>
      <c r="BK307" s="712"/>
      <c r="BL307" s="713">
        <v>299</v>
      </c>
      <c r="BM307" s="714"/>
      <c r="BN307" s="239"/>
      <c r="BO307" s="24"/>
      <c r="BQ307" s="621">
        <v>299</v>
      </c>
      <c r="BR307" s="711"/>
      <c r="BS307" s="712"/>
      <c r="BT307" s="713">
        <v>299</v>
      </c>
      <c r="BU307" s="714"/>
      <c r="BV307" s="239"/>
      <c r="BW307" s="24"/>
      <c r="BY307" s="621">
        <v>299</v>
      </c>
      <c r="BZ307" s="711"/>
      <c r="CA307" s="712"/>
      <c r="CB307" s="713">
        <v>299</v>
      </c>
      <c r="CC307" s="714"/>
      <c r="CD307" s="239"/>
      <c r="CE307" s="24"/>
    </row>
    <row r="308" spans="5:83" ht="12" customHeight="1">
      <c r="E308" s="621">
        <v>300</v>
      </c>
      <c r="F308" s="711"/>
      <c r="G308" s="712"/>
      <c r="H308" s="713">
        <v>300</v>
      </c>
      <c r="I308" s="714"/>
      <c r="J308" s="239"/>
      <c r="K308" s="24"/>
      <c r="AI308" s="16" t="e">
        <f t="shared" si="45"/>
        <v>#N/A</v>
      </c>
      <c r="AJ308" s="16" t="str">
        <f t="shared" si="46"/>
        <v/>
      </c>
      <c r="AK308" s="16" t="str">
        <f t="shared" si="47"/>
        <v/>
      </c>
      <c r="AL308" s="16" t="e">
        <f>IF(AK308="",NA(),COUNTIF(AK$176:$AK308,AK308))</f>
        <v>#N/A</v>
      </c>
      <c r="AM308" s="16" t="e">
        <f t="shared" si="48"/>
        <v>#N/A</v>
      </c>
      <c r="AN308" s="16" t="e">
        <f t="shared" si="49"/>
        <v>#N/A</v>
      </c>
      <c r="AO308" s="16" t="str">
        <f t="shared" si="50"/>
        <v/>
      </c>
      <c r="AP308" s="16" t="str">
        <f t="shared" si="51"/>
        <v/>
      </c>
      <c r="AQ308" s="16" t="e">
        <f>IF(AP308="",NA(),COUNTIF(AP$176:$AP308,AP308))</f>
        <v>#N/A</v>
      </c>
      <c r="AR308" s="16" t="e">
        <f t="shared" si="52"/>
        <v>#N/A</v>
      </c>
      <c r="BI308" s="621">
        <v>300</v>
      </c>
      <c r="BJ308" s="711"/>
      <c r="BK308" s="712"/>
      <c r="BL308" s="713">
        <v>300</v>
      </c>
      <c r="BM308" s="714"/>
      <c r="BN308" s="239"/>
      <c r="BO308" s="24"/>
      <c r="BQ308" s="621">
        <v>300</v>
      </c>
      <c r="BR308" s="711"/>
      <c r="BS308" s="712"/>
      <c r="BT308" s="713">
        <v>300</v>
      </c>
      <c r="BU308" s="714"/>
      <c r="BV308" s="239"/>
      <c r="BW308" s="24"/>
      <c r="BY308" s="621">
        <v>300</v>
      </c>
      <c r="BZ308" s="711"/>
      <c r="CA308" s="712"/>
      <c r="CB308" s="713">
        <v>300</v>
      </c>
      <c r="CC308" s="714"/>
      <c r="CD308" s="239"/>
      <c r="CE308" s="24"/>
    </row>
    <row r="309" spans="5:83" ht="12" customHeight="1">
      <c r="E309" s="621">
        <v>301</v>
      </c>
      <c r="F309" s="711"/>
      <c r="G309" s="712"/>
      <c r="H309" s="713">
        <v>301</v>
      </c>
      <c r="I309" s="714"/>
      <c r="J309" s="239"/>
      <c r="K309" s="24"/>
      <c r="AI309" s="16" t="e">
        <f t="shared" si="45"/>
        <v>#N/A</v>
      </c>
      <c r="AJ309" s="16" t="str">
        <f t="shared" si="46"/>
        <v/>
      </c>
      <c r="AK309" s="16" t="str">
        <f t="shared" si="47"/>
        <v/>
      </c>
      <c r="AL309" s="16" t="e">
        <f>IF(AK309="",NA(),COUNTIF(AK$176:$AK309,AK309))</f>
        <v>#N/A</v>
      </c>
      <c r="AM309" s="16" t="e">
        <f t="shared" si="48"/>
        <v>#N/A</v>
      </c>
      <c r="AN309" s="16" t="e">
        <f t="shared" si="49"/>
        <v>#N/A</v>
      </c>
      <c r="AO309" s="16" t="str">
        <f t="shared" si="50"/>
        <v/>
      </c>
      <c r="AP309" s="16" t="str">
        <f t="shared" si="51"/>
        <v/>
      </c>
      <c r="AQ309" s="16" t="e">
        <f>IF(AP309="",NA(),COUNTIF(AP$176:$AP309,AP309))</f>
        <v>#N/A</v>
      </c>
      <c r="AR309" s="16" t="e">
        <f t="shared" si="52"/>
        <v>#N/A</v>
      </c>
      <c r="BI309" s="621">
        <v>301</v>
      </c>
      <c r="BJ309" s="711"/>
      <c r="BK309" s="712"/>
      <c r="BL309" s="713">
        <v>301</v>
      </c>
      <c r="BM309" s="714"/>
      <c r="BN309" s="239"/>
      <c r="BO309" s="24"/>
      <c r="BQ309" s="621">
        <v>301</v>
      </c>
      <c r="BR309" s="711"/>
      <c r="BS309" s="712"/>
      <c r="BT309" s="713">
        <v>301</v>
      </c>
      <c r="BU309" s="714"/>
      <c r="BV309" s="239"/>
      <c r="BW309" s="24"/>
      <c r="BY309" s="621">
        <v>301</v>
      </c>
      <c r="BZ309" s="711"/>
      <c r="CA309" s="712"/>
      <c r="CB309" s="713">
        <v>301</v>
      </c>
      <c r="CC309" s="714"/>
      <c r="CD309" s="239"/>
      <c r="CE309" s="24"/>
    </row>
    <row r="310" spans="5:83" ht="12" customHeight="1">
      <c r="E310" s="621">
        <v>302</v>
      </c>
      <c r="F310" s="711"/>
      <c r="G310" s="712"/>
      <c r="H310" s="713">
        <v>302</v>
      </c>
      <c r="I310" s="714"/>
      <c r="J310" s="239"/>
      <c r="K310" s="24"/>
      <c r="AI310" s="16" t="e">
        <f t="shared" si="45"/>
        <v>#N/A</v>
      </c>
      <c r="AJ310" s="16" t="str">
        <f t="shared" si="46"/>
        <v/>
      </c>
      <c r="AK310" s="16" t="str">
        <f t="shared" si="47"/>
        <v/>
      </c>
      <c r="AL310" s="16" t="e">
        <f>IF(AK310="",NA(),COUNTIF(AK$176:$AK310,AK310))</f>
        <v>#N/A</v>
      </c>
      <c r="AM310" s="16" t="e">
        <f t="shared" si="48"/>
        <v>#N/A</v>
      </c>
      <c r="AN310" s="16" t="e">
        <f t="shared" si="49"/>
        <v>#N/A</v>
      </c>
      <c r="AO310" s="16" t="str">
        <f t="shared" si="50"/>
        <v/>
      </c>
      <c r="AP310" s="16" t="str">
        <f t="shared" si="51"/>
        <v/>
      </c>
      <c r="AQ310" s="16" t="e">
        <f>IF(AP310="",NA(),COUNTIF(AP$176:$AP310,AP310))</f>
        <v>#N/A</v>
      </c>
      <c r="AR310" s="16" t="e">
        <f t="shared" si="52"/>
        <v>#N/A</v>
      </c>
      <c r="BI310" s="621">
        <v>302</v>
      </c>
      <c r="BJ310" s="711"/>
      <c r="BK310" s="712"/>
      <c r="BL310" s="713">
        <v>302</v>
      </c>
      <c r="BM310" s="714"/>
      <c r="BN310" s="239"/>
      <c r="BO310" s="24"/>
      <c r="BQ310" s="621">
        <v>302</v>
      </c>
      <c r="BR310" s="711"/>
      <c r="BS310" s="712"/>
      <c r="BT310" s="713">
        <v>302</v>
      </c>
      <c r="BU310" s="714"/>
      <c r="BV310" s="239"/>
      <c r="BW310" s="24"/>
      <c r="BY310" s="621">
        <v>302</v>
      </c>
      <c r="BZ310" s="711"/>
      <c r="CA310" s="712"/>
      <c r="CB310" s="713">
        <v>302</v>
      </c>
      <c r="CC310" s="714"/>
      <c r="CD310" s="239"/>
      <c r="CE310" s="24"/>
    </row>
    <row r="311" spans="5:83" ht="12" customHeight="1">
      <c r="E311" s="621">
        <v>303</v>
      </c>
      <c r="F311" s="711"/>
      <c r="G311" s="712"/>
      <c r="H311" s="713">
        <v>303</v>
      </c>
      <c r="I311" s="714"/>
      <c r="J311" s="239"/>
      <c r="K311" s="24"/>
      <c r="AI311" s="16" t="e">
        <f t="shared" si="45"/>
        <v>#N/A</v>
      </c>
      <c r="AJ311" s="16" t="str">
        <f t="shared" si="46"/>
        <v/>
      </c>
      <c r="AK311" s="16" t="str">
        <f t="shared" si="47"/>
        <v/>
      </c>
      <c r="AL311" s="16" t="e">
        <f>IF(AK311="",NA(),COUNTIF(AK$176:$AK311,AK311))</f>
        <v>#N/A</v>
      </c>
      <c r="AM311" s="16" t="e">
        <f t="shared" si="48"/>
        <v>#N/A</v>
      </c>
      <c r="AN311" s="16" t="e">
        <f t="shared" si="49"/>
        <v>#N/A</v>
      </c>
      <c r="AO311" s="16" t="str">
        <f t="shared" si="50"/>
        <v/>
      </c>
      <c r="AP311" s="16" t="str">
        <f t="shared" si="51"/>
        <v/>
      </c>
      <c r="AQ311" s="16" t="e">
        <f>IF(AP311="",NA(),COUNTIF(AP$176:$AP311,AP311))</f>
        <v>#N/A</v>
      </c>
      <c r="AR311" s="16" t="e">
        <f t="shared" si="52"/>
        <v>#N/A</v>
      </c>
      <c r="BI311" s="621">
        <v>303</v>
      </c>
      <c r="BJ311" s="711"/>
      <c r="BK311" s="712"/>
      <c r="BL311" s="713">
        <v>303</v>
      </c>
      <c r="BM311" s="714"/>
      <c r="BN311" s="239"/>
      <c r="BO311" s="24"/>
      <c r="BQ311" s="621">
        <v>303</v>
      </c>
      <c r="BR311" s="711"/>
      <c r="BS311" s="712"/>
      <c r="BT311" s="713">
        <v>303</v>
      </c>
      <c r="BU311" s="714"/>
      <c r="BV311" s="239"/>
      <c r="BW311" s="24"/>
      <c r="BY311" s="621">
        <v>303</v>
      </c>
      <c r="BZ311" s="711"/>
      <c r="CA311" s="712"/>
      <c r="CB311" s="713">
        <v>303</v>
      </c>
      <c r="CC311" s="714"/>
      <c r="CD311" s="239"/>
      <c r="CE311" s="24"/>
    </row>
    <row r="312" spans="5:83" ht="12" customHeight="1">
      <c r="E312" s="621">
        <v>304</v>
      </c>
      <c r="F312" s="711"/>
      <c r="G312" s="712"/>
      <c r="H312" s="713">
        <v>304</v>
      </c>
      <c r="I312" s="714"/>
      <c r="J312" s="239"/>
      <c r="K312" s="24"/>
      <c r="AI312" s="16" t="e">
        <f t="shared" si="45"/>
        <v>#N/A</v>
      </c>
      <c r="AJ312" s="16" t="str">
        <f t="shared" si="46"/>
        <v/>
      </c>
      <c r="AK312" s="16" t="str">
        <f t="shared" si="47"/>
        <v/>
      </c>
      <c r="AL312" s="16" t="e">
        <f>IF(AK312="",NA(),COUNTIF(AK$176:$AK312,AK312))</f>
        <v>#N/A</v>
      </c>
      <c r="AM312" s="16" t="e">
        <f t="shared" si="48"/>
        <v>#N/A</v>
      </c>
      <c r="AN312" s="16" t="e">
        <f t="shared" si="49"/>
        <v>#N/A</v>
      </c>
      <c r="AO312" s="16" t="str">
        <f t="shared" si="50"/>
        <v/>
      </c>
      <c r="AP312" s="16" t="str">
        <f t="shared" si="51"/>
        <v/>
      </c>
      <c r="AQ312" s="16" t="e">
        <f>IF(AP312="",NA(),COUNTIF(AP$176:$AP312,AP312))</f>
        <v>#N/A</v>
      </c>
      <c r="AR312" s="16" t="e">
        <f t="shared" si="52"/>
        <v>#N/A</v>
      </c>
      <c r="BI312" s="621">
        <v>304</v>
      </c>
      <c r="BJ312" s="711"/>
      <c r="BK312" s="712"/>
      <c r="BL312" s="713">
        <v>304</v>
      </c>
      <c r="BM312" s="714"/>
      <c r="BN312" s="239"/>
      <c r="BO312" s="24"/>
      <c r="BQ312" s="621">
        <v>304</v>
      </c>
      <c r="BR312" s="711"/>
      <c r="BS312" s="712"/>
      <c r="BT312" s="713">
        <v>304</v>
      </c>
      <c r="BU312" s="714"/>
      <c r="BV312" s="239"/>
      <c r="BW312" s="24"/>
      <c r="BY312" s="621">
        <v>304</v>
      </c>
      <c r="BZ312" s="711"/>
      <c r="CA312" s="712"/>
      <c r="CB312" s="713">
        <v>304</v>
      </c>
      <c r="CC312" s="714"/>
      <c r="CD312" s="239"/>
      <c r="CE312" s="24"/>
    </row>
    <row r="313" spans="5:83" ht="12" customHeight="1">
      <c r="E313" s="621">
        <v>305</v>
      </c>
      <c r="F313" s="711"/>
      <c r="G313" s="712"/>
      <c r="H313" s="713">
        <v>305</v>
      </c>
      <c r="I313" s="714"/>
      <c r="J313" s="239"/>
      <c r="K313" s="24"/>
      <c r="AI313" s="16" t="e">
        <f t="shared" si="45"/>
        <v>#N/A</v>
      </c>
      <c r="AJ313" s="16" t="str">
        <f t="shared" si="46"/>
        <v/>
      </c>
      <c r="AK313" s="16" t="str">
        <f t="shared" si="47"/>
        <v/>
      </c>
      <c r="AL313" s="16" t="e">
        <f>IF(AK313="",NA(),COUNTIF(AK$176:$AK313,AK313))</f>
        <v>#N/A</v>
      </c>
      <c r="AM313" s="16" t="e">
        <f t="shared" si="48"/>
        <v>#N/A</v>
      </c>
      <c r="AN313" s="16" t="e">
        <f t="shared" si="49"/>
        <v>#N/A</v>
      </c>
      <c r="AO313" s="16" t="str">
        <f t="shared" si="50"/>
        <v/>
      </c>
      <c r="AP313" s="16" t="str">
        <f t="shared" si="51"/>
        <v/>
      </c>
      <c r="AQ313" s="16" t="e">
        <f>IF(AP313="",NA(),COUNTIF(AP$176:$AP313,AP313))</f>
        <v>#N/A</v>
      </c>
      <c r="AR313" s="16" t="e">
        <f t="shared" si="52"/>
        <v>#N/A</v>
      </c>
      <c r="BI313" s="621">
        <v>305</v>
      </c>
      <c r="BJ313" s="711"/>
      <c r="BK313" s="712"/>
      <c r="BL313" s="713">
        <v>305</v>
      </c>
      <c r="BM313" s="714"/>
      <c r="BN313" s="239"/>
      <c r="BO313" s="24"/>
      <c r="BQ313" s="621">
        <v>305</v>
      </c>
      <c r="BR313" s="711"/>
      <c r="BS313" s="712"/>
      <c r="BT313" s="713">
        <v>305</v>
      </c>
      <c r="BU313" s="714"/>
      <c r="BV313" s="239"/>
      <c r="BW313" s="24"/>
      <c r="BY313" s="621">
        <v>305</v>
      </c>
      <c r="BZ313" s="711"/>
      <c r="CA313" s="712"/>
      <c r="CB313" s="713">
        <v>305</v>
      </c>
      <c r="CC313" s="714"/>
      <c r="CD313" s="239"/>
      <c r="CE313" s="24"/>
    </row>
    <row r="314" spans="5:83" ht="12" customHeight="1">
      <c r="E314" s="621">
        <v>306</v>
      </c>
      <c r="F314" s="711"/>
      <c r="G314" s="712"/>
      <c r="H314" s="713">
        <v>306</v>
      </c>
      <c r="I314" s="714"/>
      <c r="J314" s="239"/>
      <c r="K314" s="24"/>
      <c r="AI314" s="16" t="e">
        <f t="shared" si="45"/>
        <v>#N/A</v>
      </c>
      <c r="AJ314" s="16" t="str">
        <f t="shared" si="46"/>
        <v/>
      </c>
      <c r="AK314" s="16" t="str">
        <f t="shared" si="47"/>
        <v/>
      </c>
      <c r="AL314" s="16" t="e">
        <f>IF(AK314="",NA(),COUNTIF(AK$176:$AK314,AK314))</f>
        <v>#N/A</v>
      </c>
      <c r="AM314" s="16" t="e">
        <f t="shared" si="48"/>
        <v>#N/A</v>
      </c>
      <c r="AN314" s="16" t="e">
        <f t="shared" si="49"/>
        <v>#N/A</v>
      </c>
      <c r="AO314" s="16" t="str">
        <f t="shared" si="50"/>
        <v/>
      </c>
      <c r="AP314" s="16" t="str">
        <f t="shared" si="51"/>
        <v/>
      </c>
      <c r="AQ314" s="16" t="e">
        <f>IF(AP314="",NA(),COUNTIF(AP$176:$AP314,AP314))</f>
        <v>#N/A</v>
      </c>
      <c r="AR314" s="16" t="e">
        <f t="shared" si="52"/>
        <v>#N/A</v>
      </c>
      <c r="BI314" s="621">
        <v>306</v>
      </c>
      <c r="BJ314" s="711"/>
      <c r="BK314" s="712"/>
      <c r="BL314" s="713">
        <v>306</v>
      </c>
      <c r="BM314" s="714"/>
      <c r="BN314" s="239"/>
      <c r="BO314" s="24"/>
      <c r="BQ314" s="621">
        <v>306</v>
      </c>
      <c r="BR314" s="711"/>
      <c r="BS314" s="712"/>
      <c r="BT314" s="713">
        <v>306</v>
      </c>
      <c r="BU314" s="714"/>
      <c r="BV314" s="239"/>
      <c r="BW314" s="24"/>
      <c r="BY314" s="621">
        <v>306</v>
      </c>
      <c r="BZ314" s="711"/>
      <c r="CA314" s="712"/>
      <c r="CB314" s="713">
        <v>306</v>
      </c>
      <c r="CC314" s="714"/>
      <c r="CD314" s="239"/>
      <c r="CE314" s="24"/>
    </row>
    <row r="315" spans="5:83" ht="12" customHeight="1">
      <c r="E315" s="621">
        <v>307</v>
      </c>
      <c r="F315" s="711"/>
      <c r="G315" s="712"/>
      <c r="H315" s="713">
        <v>307</v>
      </c>
      <c r="I315" s="714"/>
      <c r="J315" s="239"/>
      <c r="K315" s="24"/>
      <c r="AI315" s="16" t="e">
        <f t="shared" si="45"/>
        <v>#N/A</v>
      </c>
      <c r="AJ315" s="16" t="str">
        <f t="shared" si="46"/>
        <v/>
      </c>
      <c r="AK315" s="16" t="str">
        <f t="shared" si="47"/>
        <v/>
      </c>
      <c r="AL315" s="16" t="e">
        <f>IF(AK315="",NA(),COUNTIF(AK$176:$AK315,AK315))</f>
        <v>#N/A</v>
      </c>
      <c r="AM315" s="16" t="e">
        <f t="shared" si="48"/>
        <v>#N/A</v>
      </c>
      <c r="AN315" s="16" t="e">
        <f t="shared" si="49"/>
        <v>#N/A</v>
      </c>
      <c r="AO315" s="16" t="str">
        <f t="shared" si="50"/>
        <v/>
      </c>
      <c r="AP315" s="16" t="str">
        <f t="shared" si="51"/>
        <v/>
      </c>
      <c r="AQ315" s="16" t="e">
        <f>IF(AP315="",NA(),COUNTIF(AP$176:$AP315,AP315))</f>
        <v>#N/A</v>
      </c>
      <c r="AR315" s="16" t="e">
        <f t="shared" si="52"/>
        <v>#N/A</v>
      </c>
      <c r="BI315" s="621">
        <v>307</v>
      </c>
      <c r="BJ315" s="711"/>
      <c r="BK315" s="712"/>
      <c r="BL315" s="713">
        <v>307</v>
      </c>
      <c r="BM315" s="714"/>
      <c r="BN315" s="239"/>
      <c r="BO315" s="24"/>
      <c r="BQ315" s="621">
        <v>307</v>
      </c>
      <c r="BR315" s="711"/>
      <c r="BS315" s="712"/>
      <c r="BT315" s="713">
        <v>307</v>
      </c>
      <c r="BU315" s="714"/>
      <c r="BV315" s="239"/>
      <c r="BW315" s="24"/>
      <c r="BY315" s="621">
        <v>307</v>
      </c>
      <c r="BZ315" s="711"/>
      <c r="CA315" s="712"/>
      <c r="CB315" s="713">
        <v>307</v>
      </c>
      <c r="CC315" s="714"/>
      <c r="CD315" s="239"/>
      <c r="CE315" s="24"/>
    </row>
    <row r="316" spans="5:83" ht="12" customHeight="1">
      <c r="E316" s="621">
        <v>308</v>
      </c>
      <c r="F316" s="711"/>
      <c r="G316" s="712"/>
      <c r="H316" s="713">
        <v>308</v>
      </c>
      <c r="I316" s="714"/>
      <c r="J316" s="239"/>
      <c r="K316" s="24"/>
      <c r="AI316" s="16" t="e">
        <f t="shared" si="45"/>
        <v>#N/A</v>
      </c>
      <c r="AJ316" s="16" t="str">
        <f t="shared" si="46"/>
        <v/>
      </c>
      <c r="AK316" s="16" t="str">
        <f t="shared" si="47"/>
        <v/>
      </c>
      <c r="AL316" s="16" t="e">
        <f>IF(AK316="",NA(),COUNTIF(AK$176:$AK316,AK316))</f>
        <v>#N/A</v>
      </c>
      <c r="AM316" s="16" t="e">
        <f t="shared" si="48"/>
        <v>#N/A</v>
      </c>
      <c r="AN316" s="16" t="e">
        <f t="shared" si="49"/>
        <v>#N/A</v>
      </c>
      <c r="AO316" s="16" t="str">
        <f t="shared" si="50"/>
        <v/>
      </c>
      <c r="AP316" s="16" t="str">
        <f t="shared" si="51"/>
        <v/>
      </c>
      <c r="AQ316" s="16" t="e">
        <f>IF(AP316="",NA(),COUNTIF(AP$176:$AP316,AP316))</f>
        <v>#N/A</v>
      </c>
      <c r="AR316" s="16" t="e">
        <f t="shared" si="52"/>
        <v>#N/A</v>
      </c>
      <c r="BI316" s="621">
        <v>308</v>
      </c>
      <c r="BJ316" s="711"/>
      <c r="BK316" s="712"/>
      <c r="BL316" s="713">
        <v>308</v>
      </c>
      <c r="BM316" s="714"/>
      <c r="BN316" s="239"/>
      <c r="BO316" s="24"/>
      <c r="BQ316" s="621">
        <v>308</v>
      </c>
      <c r="BR316" s="711"/>
      <c r="BS316" s="712"/>
      <c r="BT316" s="713">
        <v>308</v>
      </c>
      <c r="BU316" s="714"/>
      <c r="BV316" s="239"/>
      <c r="BW316" s="24"/>
      <c r="BY316" s="621">
        <v>308</v>
      </c>
      <c r="BZ316" s="711"/>
      <c r="CA316" s="712"/>
      <c r="CB316" s="713">
        <v>308</v>
      </c>
      <c r="CC316" s="714"/>
      <c r="CD316" s="239"/>
      <c r="CE316" s="24"/>
    </row>
    <row r="317" spans="5:83" ht="12" customHeight="1">
      <c r="E317" s="621">
        <v>309</v>
      </c>
      <c r="F317" s="711"/>
      <c r="G317" s="712"/>
      <c r="H317" s="713">
        <v>309</v>
      </c>
      <c r="I317" s="714"/>
      <c r="J317" s="239"/>
      <c r="K317" s="24"/>
      <c r="AI317" s="16" t="e">
        <f t="shared" si="45"/>
        <v>#N/A</v>
      </c>
      <c r="AJ317" s="16" t="str">
        <f t="shared" si="46"/>
        <v/>
      </c>
      <c r="AK317" s="16" t="str">
        <f t="shared" si="47"/>
        <v/>
      </c>
      <c r="AL317" s="16" t="e">
        <f>IF(AK317="",NA(),COUNTIF(AK$176:$AK317,AK317))</f>
        <v>#N/A</v>
      </c>
      <c r="AM317" s="16" t="e">
        <f t="shared" si="48"/>
        <v>#N/A</v>
      </c>
      <c r="AN317" s="16" t="e">
        <f t="shared" si="49"/>
        <v>#N/A</v>
      </c>
      <c r="AO317" s="16" t="str">
        <f t="shared" si="50"/>
        <v/>
      </c>
      <c r="AP317" s="16" t="str">
        <f t="shared" si="51"/>
        <v/>
      </c>
      <c r="AQ317" s="16" t="e">
        <f>IF(AP317="",NA(),COUNTIF(AP$176:$AP317,AP317))</f>
        <v>#N/A</v>
      </c>
      <c r="AR317" s="16" t="e">
        <f t="shared" si="52"/>
        <v>#N/A</v>
      </c>
      <c r="BI317" s="621">
        <v>309</v>
      </c>
      <c r="BJ317" s="711"/>
      <c r="BK317" s="712"/>
      <c r="BL317" s="713">
        <v>309</v>
      </c>
      <c r="BM317" s="714"/>
      <c r="BN317" s="239"/>
      <c r="BO317" s="24"/>
      <c r="BQ317" s="621">
        <v>309</v>
      </c>
      <c r="BR317" s="711"/>
      <c r="BS317" s="712"/>
      <c r="BT317" s="713">
        <v>309</v>
      </c>
      <c r="BU317" s="714"/>
      <c r="BV317" s="239"/>
      <c r="BW317" s="24"/>
      <c r="BY317" s="621">
        <v>309</v>
      </c>
      <c r="BZ317" s="711"/>
      <c r="CA317" s="712"/>
      <c r="CB317" s="713">
        <v>309</v>
      </c>
      <c r="CC317" s="714"/>
      <c r="CD317" s="239"/>
      <c r="CE317" s="24"/>
    </row>
    <row r="318" spans="5:83" ht="12" customHeight="1">
      <c r="E318" s="621">
        <v>310</v>
      </c>
      <c r="F318" s="711"/>
      <c r="G318" s="712"/>
      <c r="H318" s="713">
        <v>310</v>
      </c>
      <c r="I318" s="714"/>
      <c r="J318" s="239"/>
      <c r="K318" s="24"/>
      <c r="AI318" s="16" t="e">
        <f t="shared" si="45"/>
        <v>#N/A</v>
      </c>
      <c r="AJ318" s="16" t="str">
        <f t="shared" si="46"/>
        <v/>
      </c>
      <c r="AK318" s="16" t="str">
        <f t="shared" si="47"/>
        <v/>
      </c>
      <c r="AL318" s="16" t="e">
        <f>IF(AK318="",NA(),COUNTIF(AK$176:$AK318,AK318))</f>
        <v>#N/A</v>
      </c>
      <c r="AM318" s="16" t="e">
        <f t="shared" si="48"/>
        <v>#N/A</v>
      </c>
      <c r="AN318" s="16" t="e">
        <f t="shared" si="49"/>
        <v>#N/A</v>
      </c>
      <c r="AO318" s="16" t="str">
        <f t="shared" si="50"/>
        <v/>
      </c>
      <c r="AP318" s="16" t="str">
        <f t="shared" si="51"/>
        <v/>
      </c>
      <c r="AQ318" s="16" t="e">
        <f>IF(AP318="",NA(),COUNTIF(AP$176:$AP318,AP318))</f>
        <v>#N/A</v>
      </c>
      <c r="AR318" s="16" t="e">
        <f t="shared" si="52"/>
        <v>#N/A</v>
      </c>
      <c r="BI318" s="621">
        <v>310</v>
      </c>
      <c r="BJ318" s="711"/>
      <c r="BK318" s="712"/>
      <c r="BL318" s="713">
        <v>310</v>
      </c>
      <c r="BM318" s="714"/>
      <c r="BN318" s="239"/>
      <c r="BO318" s="24"/>
      <c r="BQ318" s="621">
        <v>310</v>
      </c>
      <c r="BR318" s="711"/>
      <c r="BS318" s="712"/>
      <c r="BT318" s="713">
        <v>310</v>
      </c>
      <c r="BU318" s="714"/>
      <c r="BV318" s="239"/>
      <c r="BW318" s="24"/>
      <c r="BY318" s="621">
        <v>310</v>
      </c>
      <c r="BZ318" s="711"/>
      <c r="CA318" s="712"/>
      <c r="CB318" s="713">
        <v>310</v>
      </c>
      <c r="CC318" s="714"/>
      <c r="CD318" s="239"/>
      <c r="CE318" s="24"/>
    </row>
    <row r="319" spans="5:83" ht="12" customHeight="1">
      <c r="E319" s="621">
        <v>311</v>
      </c>
      <c r="F319" s="711"/>
      <c r="G319" s="712"/>
      <c r="H319" s="713">
        <v>311</v>
      </c>
      <c r="I319" s="714"/>
      <c r="J319" s="239"/>
      <c r="K319" s="24"/>
      <c r="AI319" s="16" t="e">
        <f t="shared" si="45"/>
        <v>#N/A</v>
      </c>
      <c r="AJ319" s="16" t="str">
        <f t="shared" si="46"/>
        <v/>
      </c>
      <c r="AK319" s="16" t="str">
        <f t="shared" si="47"/>
        <v/>
      </c>
      <c r="AL319" s="16" t="e">
        <f>IF(AK319="",NA(),COUNTIF(AK$176:$AK319,AK319))</f>
        <v>#N/A</v>
      </c>
      <c r="AM319" s="16" t="e">
        <f t="shared" si="48"/>
        <v>#N/A</v>
      </c>
      <c r="AN319" s="16" t="e">
        <f t="shared" si="49"/>
        <v>#N/A</v>
      </c>
      <c r="AO319" s="16" t="str">
        <f t="shared" si="50"/>
        <v/>
      </c>
      <c r="AP319" s="16" t="str">
        <f t="shared" si="51"/>
        <v/>
      </c>
      <c r="AQ319" s="16" t="e">
        <f>IF(AP319="",NA(),COUNTIF(AP$176:$AP319,AP319))</f>
        <v>#N/A</v>
      </c>
      <c r="AR319" s="16" t="e">
        <f t="shared" si="52"/>
        <v>#N/A</v>
      </c>
      <c r="BI319" s="621">
        <v>311</v>
      </c>
      <c r="BJ319" s="711"/>
      <c r="BK319" s="712"/>
      <c r="BL319" s="713">
        <v>311</v>
      </c>
      <c r="BM319" s="714"/>
      <c r="BN319" s="239"/>
      <c r="BO319" s="24"/>
      <c r="BQ319" s="621">
        <v>311</v>
      </c>
      <c r="BR319" s="711"/>
      <c r="BS319" s="712"/>
      <c r="BT319" s="713">
        <v>311</v>
      </c>
      <c r="BU319" s="714"/>
      <c r="BV319" s="239"/>
      <c r="BW319" s="24"/>
      <c r="BY319" s="621">
        <v>311</v>
      </c>
      <c r="BZ319" s="711"/>
      <c r="CA319" s="712"/>
      <c r="CB319" s="713">
        <v>311</v>
      </c>
      <c r="CC319" s="714"/>
      <c r="CD319" s="239"/>
      <c r="CE319" s="24"/>
    </row>
    <row r="320" spans="5:83" ht="12" customHeight="1">
      <c r="E320" s="621">
        <v>312</v>
      </c>
      <c r="F320" s="711"/>
      <c r="G320" s="712"/>
      <c r="H320" s="713">
        <v>312</v>
      </c>
      <c r="I320" s="714"/>
      <c r="J320" s="239"/>
      <c r="K320" s="24"/>
      <c r="AI320" s="16" t="e">
        <f t="shared" si="45"/>
        <v>#N/A</v>
      </c>
      <c r="AJ320" s="16" t="str">
        <f t="shared" si="46"/>
        <v/>
      </c>
      <c r="AK320" s="16" t="str">
        <f t="shared" si="47"/>
        <v/>
      </c>
      <c r="AL320" s="16" t="e">
        <f>IF(AK320="",NA(),COUNTIF(AK$176:$AK320,AK320))</f>
        <v>#N/A</v>
      </c>
      <c r="AM320" s="16" t="e">
        <f t="shared" si="48"/>
        <v>#N/A</v>
      </c>
      <c r="AN320" s="16" t="e">
        <f t="shared" si="49"/>
        <v>#N/A</v>
      </c>
      <c r="AO320" s="16" t="str">
        <f t="shared" si="50"/>
        <v/>
      </c>
      <c r="AP320" s="16" t="str">
        <f t="shared" si="51"/>
        <v/>
      </c>
      <c r="AQ320" s="16" t="e">
        <f>IF(AP320="",NA(),COUNTIF(AP$176:$AP320,AP320))</f>
        <v>#N/A</v>
      </c>
      <c r="AR320" s="16" t="e">
        <f t="shared" si="52"/>
        <v>#N/A</v>
      </c>
      <c r="BI320" s="621">
        <v>312</v>
      </c>
      <c r="BJ320" s="711"/>
      <c r="BK320" s="712"/>
      <c r="BL320" s="713">
        <v>312</v>
      </c>
      <c r="BM320" s="714"/>
      <c r="BN320" s="239"/>
      <c r="BO320" s="24"/>
      <c r="BQ320" s="621">
        <v>312</v>
      </c>
      <c r="BR320" s="711"/>
      <c r="BS320" s="712"/>
      <c r="BT320" s="713">
        <v>312</v>
      </c>
      <c r="BU320" s="714"/>
      <c r="BV320" s="239"/>
      <c r="BW320" s="24"/>
      <c r="BY320" s="621">
        <v>312</v>
      </c>
      <c r="BZ320" s="711"/>
      <c r="CA320" s="712"/>
      <c r="CB320" s="713">
        <v>312</v>
      </c>
      <c r="CC320" s="714"/>
      <c r="CD320" s="239"/>
      <c r="CE320" s="24"/>
    </row>
    <row r="321" spans="5:83" ht="12" customHeight="1">
      <c r="E321" s="621">
        <v>313</v>
      </c>
      <c r="F321" s="711"/>
      <c r="G321" s="712"/>
      <c r="H321" s="713">
        <v>313</v>
      </c>
      <c r="I321" s="714"/>
      <c r="J321" s="239"/>
      <c r="K321" s="24"/>
      <c r="AI321" s="16" t="e">
        <f t="shared" si="45"/>
        <v>#N/A</v>
      </c>
      <c r="AJ321" s="16" t="str">
        <f t="shared" si="46"/>
        <v/>
      </c>
      <c r="AK321" s="16" t="str">
        <f t="shared" si="47"/>
        <v/>
      </c>
      <c r="AL321" s="16" t="e">
        <f>IF(AK321="",NA(),COUNTIF(AK$176:$AK321,AK321))</f>
        <v>#N/A</v>
      </c>
      <c r="AM321" s="16" t="e">
        <f t="shared" si="48"/>
        <v>#N/A</v>
      </c>
      <c r="AN321" s="16" t="e">
        <f t="shared" si="49"/>
        <v>#N/A</v>
      </c>
      <c r="AO321" s="16" t="str">
        <f t="shared" si="50"/>
        <v/>
      </c>
      <c r="AP321" s="16" t="str">
        <f t="shared" si="51"/>
        <v/>
      </c>
      <c r="AQ321" s="16" t="e">
        <f>IF(AP321="",NA(),COUNTIF(AP$176:$AP321,AP321))</f>
        <v>#N/A</v>
      </c>
      <c r="AR321" s="16" t="e">
        <f t="shared" si="52"/>
        <v>#N/A</v>
      </c>
      <c r="BI321" s="621">
        <v>313</v>
      </c>
      <c r="BJ321" s="711"/>
      <c r="BK321" s="712"/>
      <c r="BL321" s="713">
        <v>313</v>
      </c>
      <c r="BM321" s="714"/>
      <c r="BN321" s="239"/>
      <c r="BO321" s="24"/>
      <c r="BQ321" s="621">
        <v>313</v>
      </c>
      <c r="BR321" s="711"/>
      <c r="BS321" s="712"/>
      <c r="BT321" s="713">
        <v>313</v>
      </c>
      <c r="BU321" s="714"/>
      <c r="BV321" s="239"/>
      <c r="BW321" s="24"/>
      <c r="BY321" s="621">
        <v>313</v>
      </c>
      <c r="BZ321" s="711"/>
      <c r="CA321" s="712"/>
      <c r="CB321" s="713">
        <v>313</v>
      </c>
      <c r="CC321" s="714"/>
      <c r="CD321" s="239"/>
      <c r="CE321" s="24"/>
    </row>
    <row r="322" spans="5:83" ht="12" customHeight="1">
      <c r="E322" s="621">
        <v>314</v>
      </c>
      <c r="F322" s="711"/>
      <c r="G322" s="712"/>
      <c r="H322" s="713">
        <v>314</v>
      </c>
      <c r="I322" s="714"/>
      <c r="J322" s="239"/>
      <c r="K322" s="24"/>
      <c r="AI322" s="16" t="e">
        <f t="shared" si="45"/>
        <v>#N/A</v>
      </c>
      <c r="AJ322" s="16" t="str">
        <f t="shared" si="46"/>
        <v/>
      </c>
      <c r="AK322" s="16" t="str">
        <f t="shared" si="47"/>
        <v/>
      </c>
      <c r="AL322" s="16" t="e">
        <f>IF(AK322="",NA(),COUNTIF(AK$176:$AK322,AK322))</f>
        <v>#N/A</v>
      </c>
      <c r="AM322" s="16" t="e">
        <f t="shared" si="48"/>
        <v>#N/A</v>
      </c>
      <c r="AN322" s="16" t="e">
        <f t="shared" si="49"/>
        <v>#N/A</v>
      </c>
      <c r="AO322" s="16" t="str">
        <f t="shared" si="50"/>
        <v/>
      </c>
      <c r="AP322" s="16" t="str">
        <f t="shared" si="51"/>
        <v/>
      </c>
      <c r="AQ322" s="16" t="e">
        <f>IF(AP322="",NA(),COUNTIF(AP$176:$AP322,AP322))</f>
        <v>#N/A</v>
      </c>
      <c r="AR322" s="16" t="e">
        <f t="shared" si="52"/>
        <v>#N/A</v>
      </c>
      <c r="BI322" s="621">
        <v>314</v>
      </c>
      <c r="BJ322" s="711"/>
      <c r="BK322" s="712"/>
      <c r="BL322" s="713">
        <v>314</v>
      </c>
      <c r="BM322" s="714"/>
      <c r="BN322" s="239"/>
      <c r="BO322" s="24"/>
      <c r="BQ322" s="621">
        <v>314</v>
      </c>
      <c r="BR322" s="711"/>
      <c r="BS322" s="712"/>
      <c r="BT322" s="713">
        <v>314</v>
      </c>
      <c r="BU322" s="714"/>
      <c r="BV322" s="239"/>
      <c r="BW322" s="24"/>
      <c r="BY322" s="621">
        <v>314</v>
      </c>
      <c r="BZ322" s="711"/>
      <c r="CA322" s="712"/>
      <c r="CB322" s="713">
        <v>314</v>
      </c>
      <c r="CC322" s="714"/>
      <c r="CD322" s="239"/>
      <c r="CE322" s="24"/>
    </row>
    <row r="323" spans="5:83" ht="12" customHeight="1">
      <c r="E323" s="621">
        <v>315</v>
      </c>
      <c r="F323" s="711"/>
      <c r="G323" s="712"/>
      <c r="H323" s="713">
        <v>315</v>
      </c>
      <c r="I323" s="714"/>
      <c r="J323" s="239"/>
      <c r="K323" s="24"/>
      <c r="AI323" s="16" t="e">
        <f t="shared" si="45"/>
        <v>#N/A</v>
      </c>
      <c r="AJ323" s="16" t="str">
        <f t="shared" si="46"/>
        <v/>
      </c>
      <c r="AK323" s="16" t="str">
        <f t="shared" si="47"/>
        <v/>
      </c>
      <c r="AL323" s="16" t="e">
        <f>IF(AK323="",NA(),COUNTIF(AK$176:$AK323,AK323))</f>
        <v>#N/A</v>
      </c>
      <c r="AM323" s="16" t="e">
        <f t="shared" si="48"/>
        <v>#N/A</v>
      </c>
      <c r="AN323" s="16" t="e">
        <f t="shared" si="49"/>
        <v>#N/A</v>
      </c>
      <c r="AO323" s="16" t="str">
        <f t="shared" si="50"/>
        <v/>
      </c>
      <c r="AP323" s="16" t="str">
        <f t="shared" si="51"/>
        <v/>
      </c>
      <c r="AQ323" s="16" t="e">
        <f>IF(AP323="",NA(),COUNTIF(AP$176:$AP323,AP323))</f>
        <v>#N/A</v>
      </c>
      <c r="AR323" s="16" t="e">
        <f t="shared" si="52"/>
        <v>#N/A</v>
      </c>
      <c r="BI323" s="621">
        <v>315</v>
      </c>
      <c r="BJ323" s="711"/>
      <c r="BK323" s="712"/>
      <c r="BL323" s="713">
        <v>315</v>
      </c>
      <c r="BM323" s="714"/>
      <c r="BN323" s="239"/>
      <c r="BO323" s="24"/>
      <c r="BQ323" s="621">
        <v>315</v>
      </c>
      <c r="BR323" s="711"/>
      <c r="BS323" s="712"/>
      <c r="BT323" s="713">
        <v>315</v>
      </c>
      <c r="BU323" s="714"/>
      <c r="BV323" s="239"/>
      <c r="BW323" s="24"/>
      <c r="BY323" s="621">
        <v>315</v>
      </c>
      <c r="BZ323" s="711"/>
      <c r="CA323" s="712"/>
      <c r="CB323" s="713">
        <v>315</v>
      </c>
      <c r="CC323" s="714"/>
      <c r="CD323" s="239"/>
      <c r="CE323" s="24"/>
    </row>
    <row r="324" spans="5:83" ht="12" customHeight="1">
      <c r="E324" s="621">
        <v>316</v>
      </c>
      <c r="F324" s="711"/>
      <c r="G324" s="712"/>
      <c r="H324" s="713">
        <v>316</v>
      </c>
      <c r="I324" s="714"/>
      <c r="J324" s="239"/>
      <c r="K324" s="24"/>
      <c r="AI324" s="16" t="e">
        <f t="shared" si="45"/>
        <v>#N/A</v>
      </c>
      <c r="AJ324" s="16" t="str">
        <f t="shared" si="46"/>
        <v/>
      </c>
      <c r="AK324" s="16" t="str">
        <f t="shared" si="47"/>
        <v/>
      </c>
      <c r="AL324" s="16" t="e">
        <f>IF(AK324="",NA(),COUNTIF(AK$176:$AK324,AK324))</f>
        <v>#N/A</v>
      </c>
      <c r="AM324" s="16" t="e">
        <f t="shared" si="48"/>
        <v>#N/A</v>
      </c>
      <c r="AN324" s="16" t="e">
        <f t="shared" si="49"/>
        <v>#N/A</v>
      </c>
      <c r="AO324" s="16" t="str">
        <f t="shared" si="50"/>
        <v/>
      </c>
      <c r="AP324" s="16" t="str">
        <f t="shared" si="51"/>
        <v/>
      </c>
      <c r="AQ324" s="16" t="e">
        <f>IF(AP324="",NA(),COUNTIF(AP$176:$AP324,AP324))</f>
        <v>#N/A</v>
      </c>
      <c r="AR324" s="16" t="e">
        <f t="shared" si="52"/>
        <v>#N/A</v>
      </c>
      <c r="BI324" s="621">
        <v>316</v>
      </c>
      <c r="BJ324" s="711"/>
      <c r="BK324" s="712"/>
      <c r="BL324" s="713">
        <v>316</v>
      </c>
      <c r="BM324" s="714"/>
      <c r="BN324" s="239"/>
      <c r="BO324" s="24"/>
      <c r="BQ324" s="621">
        <v>316</v>
      </c>
      <c r="BR324" s="711"/>
      <c r="BS324" s="712"/>
      <c r="BT324" s="713">
        <v>316</v>
      </c>
      <c r="BU324" s="714"/>
      <c r="BV324" s="239"/>
      <c r="BW324" s="24"/>
      <c r="BY324" s="621">
        <v>316</v>
      </c>
      <c r="BZ324" s="711"/>
      <c r="CA324" s="712"/>
      <c r="CB324" s="713">
        <v>316</v>
      </c>
      <c r="CC324" s="714"/>
      <c r="CD324" s="239"/>
      <c r="CE324" s="24"/>
    </row>
    <row r="325" spans="5:83" ht="12" customHeight="1">
      <c r="E325" s="621">
        <v>317</v>
      </c>
      <c r="F325" s="711"/>
      <c r="G325" s="712"/>
      <c r="H325" s="713">
        <v>317</v>
      </c>
      <c r="I325" s="714"/>
      <c r="J325" s="239"/>
      <c r="K325" s="24"/>
      <c r="AI325" s="16" t="e">
        <f t="shared" si="45"/>
        <v>#N/A</v>
      </c>
      <c r="AJ325" s="16" t="str">
        <f t="shared" si="46"/>
        <v/>
      </c>
      <c r="AK325" s="16" t="str">
        <f t="shared" si="47"/>
        <v/>
      </c>
      <c r="AL325" s="16" t="e">
        <f>IF(AK325="",NA(),COUNTIF(AK$176:$AK325,AK325))</f>
        <v>#N/A</v>
      </c>
      <c r="AM325" s="16" t="e">
        <f t="shared" si="48"/>
        <v>#N/A</v>
      </c>
      <c r="AN325" s="16" t="e">
        <f t="shared" si="49"/>
        <v>#N/A</v>
      </c>
      <c r="AO325" s="16" t="str">
        <f t="shared" si="50"/>
        <v/>
      </c>
      <c r="AP325" s="16" t="str">
        <f t="shared" si="51"/>
        <v/>
      </c>
      <c r="AQ325" s="16" t="e">
        <f>IF(AP325="",NA(),COUNTIF(AP$176:$AP325,AP325))</f>
        <v>#N/A</v>
      </c>
      <c r="AR325" s="16" t="e">
        <f t="shared" si="52"/>
        <v>#N/A</v>
      </c>
      <c r="BI325" s="621">
        <v>317</v>
      </c>
      <c r="BJ325" s="711"/>
      <c r="BK325" s="712"/>
      <c r="BL325" s="713">
        <v>317</v>
      </c>
      <c r="BM325" s="714"/>
      <c r="BN325" s="239"/>
      <c r="BO325" s="24"/>
      <c r="BQ325" s="621">
        <v>317</v>
      </c>
      <c r="BR325" s="711"/>
      <c r="BS325" s="712"/>
      <c r="BT325" s="713">
        <v>317</v>
      </c>
      <c r="BU325" s="714"/>
      <c r="BV325" s="239"/>
      <c r="BW325" s="24"/>
      <c r="BY325" s="621">
        <v>317</v>
      </c>
      <c r="BZ325" s="711"/>
      <c r="CA325" s="712"/>
      <c r="CB325" s="713">
        <v>317</v>
      </c>
      <c r="CC325" s="714"/>
      <c r="CD325" s="239"/>
      <c r="CE325" s="24"/>
    </row>
    <row r="326" spans="5:83" ht="12" customHeight="1">
      <c r="E326" s="621">
        <v>318</v>
      </c>
      <c r="F326" s="711"/>
      <c r="G326" s="712"/>
      <c r="H326" s="713">
        <v>318</v>
      </c>
      <c r="I326" s="714"/>
      <c r="J326" s="239"/>
      <c r="K326" s="24"/>
      <c r="AI326" s="16" t="e">
        <f t="shared" si="45"/>
        <v>#N/A</v>
      </c>
      <c r="AJ326" s="16" t="str">
        <f t="shared" si="46"/>
        <v/>
      </c>
      <c r="AK326" s="16" t="str">
        <f t="shared" si="47"/>
        <v/>
      </c>
      <c r="AL326" s="16" t="e">
        <f>IF(AK326="",NA(),COUNTIF(AK$176:$AK326,AK326))</f>
        <v>#N/A</v>
      </c>
      <c r="AM326" s="16" t="e">
        <f t="shared" si="48"/>
        <v>#N/A</v>
      </c>
      <c r="AN326" s="16" t="e">
        <f t="shared" si="49"/>
        <v>#N/A</v>
      </c>
      <c r="AO326" s="16" t="str">
        <f t="shared" si="50"/>
        <v/>
      </c>
      <c r="AP326" s="16" t="str">
        <f t="shared" si="51"/>
        <v/>
      </c>
      <c r="AQ326" s="16" t="e">
        <f>IF(AP326="",NA(),COUNTIF(AP$176:$AP326,AP326))</f>
        <v>#N/A</v>
      </c>
      <c r="AR326" s="16" t="e">
        <f t="shared" si="52"/>
        <v>#N/A</v>
      </c>
      <c r="BI326" s="621">
        <v>318</v>
      </c>
      <c r="BJ326" s="711"/>
      <c r="BK326" s="712"/>
      <c r="BL326" s="713">
        <v>318</v>
      </c>
      <c r="BM326" s="714"/>
      <c r="BN326" s="239"/>
      <c r="BO326" s="24"/>
      <c r="BQ326" s="621">
        <v>318</v>
      </c>
      <c r="BR326" s="711"/>
      <c r="BS326" s="712"/>
      <c r="BT326" s="713">
        <v>318</v>
      </c>
      <c r="BU326" s="714"/>
      <c r="BV326" s="239"/>
      <c r="BW326" s="24"/>
      <c r="BY326" s="621">
        <v>318</v>
      </c>
      <c r="BZ326" s="711"/>
      <c r="CA326" s="712"/>
      <c r="CB326" s="713">
        <v>318</v>
      </c>
      <c r="CC326" s="714"/>
      <c r="CD326" s="239"/>
      <c r="CE326" s="24"/>
    </row>
    <row r="327" spans="5:83" ht="12" customHeight="1">
      <c r="E327" s="621">
        <v>319</v>
      </c>
      <c r="F327" s="711"/>
      <c r="G327" s="712"/>
      <c r="H327" s="713">
        <v>319</v>
      </c>
      <c r="I327" s="714"/>
      <c r="J327" s="239"/>
      <c r="K327" s="24"/>
      <c r="AI327" s="16" t="e">
        <f t="shared" si="45"/>
        <v>#N/A</v>
      </c>
      <c r="AJ327" s="16" t="str">
        <f t="shared" si="46"/>
        <v/>
      </c>
      <c r="AK327" s="16" t="str">
        <f t="shared" si="47"/>
        <v/>
      </c>
      <c r="AL327" s="16" t="e">
        <f>IF(AK327="",NA(),COUNTIF(AK$176:$AK327,AK327))</f>
        <v>#N/A</v>
      </c>
      <c r="AM327" s="16" t="e">
        <f t="shared" si="48"/>
        <v>#N/A</v>
      </c>
      <c r="AN327" s="16" t="e">
        <f t="shared" si="49"/>
        <v>#N/A</v>
      </c>
      <c r="AO327" s="16" t="str">
        <f t="shared" si="50"/>
        <v/>
      </c>
      <c r="AP327" s="16" t="str">
        <f t="shared" si="51"/>
        <v/>
      </c>
      <c r="AQ327" s="16" t="e">
        <f>IF(AP327="",NA(),COUNTIF(AP$176:$AP327,AP327))</f>
        <v>#N/A</v>
      </c>
      <c r="AR327" s="16" t="e">
        <f t="shared" si="52"/>
        <v>#N/A</v>
      </c>
      <c r="BI327" s="621">
        <v>319</v>
      </c>
      <c r="BJ327" s="711"/>
      <c r="BK327" s="712"/>
      <c r="BL327" s="713">
        <v>319</v>
      </c>
      <c r="BM327" s="714"/>
      <c r="BN327" s="239"/>
      <c r="BO327" s="24"/>
      <c r="BQ327" s="621">
        <v>319</v>
      </c>
      <c r="BR327" s="711"/>
      <c r="BS327" s="712"/>
      <c r="BT327" s="713">
        <v>319</v>
      </c>
      <c r="BU327" s="714"/>
      <c r="BV327" s="239"/>
      <c r="BW327" s="24"/>
      <c r="BY327" s="621">
        <v>319</v>
      </c>
      <c r="BZ327" s="711"/>
      <c r="CA327" s="712"/>
      <c r="CB327" s="713">
        <v>319</v>
      </c>
      <c r="CC327" s="714"/>
      <c r="CD327" s="239"/>
      <c r="CE327" s="24"/>
    </row>
    <row r="328" spans="5:83" ht="12" customHeight="1">
      <c r="E328" s="621">
        <v>320</v>
      </c>
      <c r="F328" s="711"/>
      <c r="G328" s="712"/>
      <c r="H328" s="713">
        <v>320</v>
      </c>
      <c r="I328" s="714"/>
      <c r="J328" s="239"/>
      <c r="K328" s="24"/>
      <c r="AI328" s="16" t="e">
        <f t="shared" si="45"/>
        <v>#N/A</v>
      </c>
      <c r="AJ328" s="16" t="str">
        <f t="shared" si="46"/>
        <v/>
      </c>
      <c r="AK328" s="16" t="str">
        <f t="shared" si="47"/>
        <v/>
      </c>
      <c r="AL328" s="16" t="e">
        <f>IF(AK328="",NA(),COUNTIF(AK$176:$AK328,AK328))</f>
        <v>#N/A</v>
      </c>
      <c r="AM328" s="16" t="e">
        <f t="shared" si="48"/>
        <v>#N/A</v>
      </c>
      <c r="AN328" s="16" t="e">
        <f t="shared" si="49"/>
        <v>#N/A</v>
      </c>
      <c r="AO328" s="16" t="str">
        <f t="shared" si="50"/>
        <v/>
      </c>
      <c r="AP328" s="16" t="str">
        <f t="shared" si="51"/>
        <v/>
      </c>
      <c r="AQ328" s="16" t="e">
        <f>IF(AP328="",NA(),COUNTIF(AP$176:$AP328,AP328))</f>
        <v>#N/A</v>
      </c>
      <c r="AR328" s="16" t="e">
        <f t="shared" si="52"/>
        <v>#N/A</v>
      </c>
      <c r="BI328" s="621">
        <v>320</v>
      </c>
      <c r="BJ328" s="711"/>
      <c r="BK328" s="712"/>
      <c r="BL328" s="713">
        <v>320</v>
      </c>
      <c r="BM328" s="714"/>
      <c r="BN328" s="239"/>
      <c r="BO328" s="24"/>
      <c r="BQ328" s="621">
        <v>320</v>
      </c>
      <c r="BR328" s="711"/>
      <c r="BS328" s="712"/>
      <c r="BT328" s="713">
        <v>320</v>
      </c>
      <c r="BU328" s="714"/>
      <c r="BV328" s="239"/>
      <c r="BW328" s="24"/>
      <c r="BY328" s="621">
        <v>320</v>
      </c>
      <c r="BZ328" s="711"/>
      <c r="CA328" s="712"/>
      <c r="CB328" s="713">
        <v>320</v>
      </c>
      <c r="CC328" s="714"/>
      <c r="CD328" s="239"/>
      <c r="CE328" s="24"/>
    </row>
    <row r="329" spans="5:83" ht="12" customHeight="1">
      <c r="E329" s="621">
        <v>321</v>
      </c>
      <c r="F329" s="711"/>
      <c r="G329" s="712"/>
      <c r="H329" s="713">
        <v>321</v>
      </c>
      <c r="I329" s="714"/>
      <c r="J329" s="239"/>
      <c r="K329" s="24"/>
      <c r="AI329" s="16" t="e">
        <f t="shared" si="45"/>
        <v>#N/A</v>
      </c>
      <c r="AJ329" s="16" t="str">
        <f t="shared" si="46"/>
        <v/>
      </c>
      <c r="AK329" s="16" t="str">
        <f t="shared" si="47"/>
        <v/>
      </c>
      <c r="AL329" s="16" t="e">
        <f>IF(AK329="",NA(),COUNTIF(AK$176:$AK329,AK329))</f>
        <v>#N/A</v>
      </c>
      <c r="AM329" s="16" t="e">
        <f t="shared" si="48"/>
        <v>#N/A</v>
      </c>
      <c r="AN329" s="16" t="e">
        <f t="shared" si="49"/>
        <v>#N/A</v>
      </c>
      <c r="AO329" s="16" t="str">
        <f t="shared" si="50"/>
        <v/>
      </c>
      <c r="AP329" s="16" t="str">
        <f t="shared" si="51"/>
        <v/>
      </c>
      <c r="AQ329" s="16" t="e">
        <f>IF(AP329="",NA(),COUNTIF(AP$176:$AP329,AP329))</f>
        <v>#N/A</v>
      </c>
      <c r="AR329" s="16" t="e">
        <f t="shared" si="52"/>
        <v>#N/A</v>
      </c>
      <c r="BI329" s="621">
        <v>321</v>
      </c>
      <c r="BJ329" s="711"/>
      <c r="BK329" s="712"/>
      <c r="BL329" s="713">
        <v>321</v>
      </c>
      <c r="BM329" s="714"/>
      <c r="BN329" s="239"/>
      <c r="BO329" s="24"/>
      <c r="BQ329" s="621">
        <v>321</v>
      </c>
      <c r="BR329" s="711"/>
      <c r="BS329" s="712"/>
      <c r="BT329" s="713">
        <v>321</v>
      </c>
      <c r="BU329" s="714"/>
      <c r="BV329" s="239"/>
      <c r="BW329" s="24"/>
      <c r="BY329" s="621">
        <v>321</v>
      </c>
      <c r="BZ329" s="711"/>
      <c r="CA329" s="712"/>
      <c r="CB329" s="713">
        <v>321</v>
      </c>
      <c r="CC329" s="714"/>
      <c r="CD329" s="239"/>
      <c r="CE329" s="24"/>
    </row>
    <row r="330" spans="5:83" ht="12" customHeight="1">
      <c r="E330" s="621">
        <v>322</v>
      </c>
      <c r="F330" s="711"/>
      <c r="G330" s="712"/>
      <c r="H330" s="713">
        <v>322</v>
      </c>
      <c r="I330" s="714"/>
      <c r="J330" s="239"/>
      <c r="K330" s="24"/>
      <c r="AI330" s="16" t="e">
        <f t="shared" si="45"/>
        <v>#N/A</v>
      </c>
      <c r="AJ330" s="16" t="str">
        <f t="shared" si="46"/>
        <v/>
      </c>
      <c r="AK330" s="16" t="str">
        <f t="shared" si="47"/>
        <v/>
      </c>
      <c r="AL330" s="16" t="e">
        <f>IF(AK330="",NA(),COUNTIF(AK$176:$AK330,AK330))</f>
        <v>#N/A</v>
      </c>
      <c r="AM330" s="16" t="e">
        <f t="shared" si="48"/>
        <v>#N/A</v>
      </c>
      <c r="AN330" s="16" t="e">
        <f t="shared" si="49"/>
        <v>#N/A</v>
      </c>
      <c r="AO330" s="16" t="str">
        <f t="shared" si="50"/>
        <v/>
      </c>
      <c r="AP330" s="16" t="str">
        <f t="shared" si="51"/>
        <v/>
      </c>
      <c r="AQ330" s="16" t="e">
        <f>IF(AP330="",NA(),COUNTIF(AP$176:$AP330,AP330))</f>
        <v>#N/A</v>
      </c>
      <c r="AR330" s="16" t="e">
        <f t="shared" si="52"/>
        <v>#N/A</v>
      </c>
      <c r="BI330" s="621">
        <v>322</v>
      </c>
      <c r="BJ330" s="711"/>
      <c r="BK330" s="712"/>
      <c r="BL330" s="713">
        <v>322</v>
      </c>
      <c r="BM330" s="714"/>
      <c r="BN330" s="239"/>
      <c r="BO330" s="24"/>
      <c r="BQ330" s="621">
        <v>322</v>
      </c>
      <c r="BR330" s="711"/>
      <c r="BS330" s="712"/>
      <c r="BT330" s="713">
        <v>322</v>
      </c>
      <c r="BU330" s="714"/>
      <c r="BV330" s="239"/>
      <c r="BW330" s="24"/>
      <c r="BY330" s="621">
        <v>322</v>
      </c>
      <c r="BZ330" s="711"/>
      <c r="CA330" s="712"/>
      <c r="CB330" s="713">
        <v>322</v>
      </c>
      <c r="CC330" s="714"/>
      <c r="CD330" s="239"/>
      <c r="CE330" s="24"/>
    </row>
    <row r="331" spans="5:83" ht="12" customHeight="1">
      <c r="E331" s="621">
        <v>323</v>
      </c>
      <c r="F331" s="711"/>
      <c r="G331" s="712"/>
      <c r="H331" s="713">
        <v>323</v>
      </c>
      <c r="I331" s="714"/>
      <c r="J331" s="239"/>
      <c r="K331" s="24"/>
      <c r="AI331" s="16" t="e">
        <f t="shared" si="45"/>
        <v>#N/A</v>
      </c>
      <c r="AJ331" s="16" t="str">
        <f t="shared" si="46"/>
        <v/>
      </c>
      <c r="AK331" s="16" t="str">
        <f t="shared" si="47"/>
        <v/>
      </c>
      <c r="AL331" s="16" t="e">
        <f>IF(AK331="",NA(),COUNTIF(AK$176:$AK331,AK331))</f>
        <v>#N/A</v>
      </c>
      <c r="AM331" s="16" t="e">
        <f t="shared" si="48"/>
        <v>#N/A</v>
      </c>
      <c r="AN331" s="16" t="e">
        <f t="shared" si="49"/>
        <v>#N/A</v>
      </c>
      <c r="AO331" s="16" t="str">
        <f t="shared" si="50"/>
        <v/>
      </c>
      <c r="AP331" s="16" t="str">
        <f t="shared" si="51"/>
        <v/>
      </c>
      <c r="AQ331" s="16" t="e">
        <f>IF(AP331="",NA(),COUNTIF(AP$176:$AP331,AP331))</f>
        <v>#N/A</v>
      </c>
      <c r="AR331" s="16" t="e">
        <f t="shared" si="52"/>
        <v>#N/A</v>
      </c>
      <c r="BI331" s="621">
        <v>323</v>
      </c>
      <c r="BJ331" s="711"/>
      <c r="BK331" s="712"/>
      <c r="BL331" s="713">
        <v>323</v>
      </c>
      <c r="BM331" s="714"/>
      <c r="BN331" s="239"/>
      <c r="BO331" s="24"/>
      <c r="BQ331" s="621">
        <v>323</v>
      </c>
      <c r="BR331" s="711"/>
      <c r="BS331" s="712"/>
      <c r="BT331" s="713">
        <v>323</v>
      </c>
      <c r="BU331" s="714"/>
      <c r="BV331" s="239"/>
      <c r="BW331" s="24"/>
      <c r="BY331" s="621">
        <v>323</v>
      </c>
      <c r="BZ331" s="711"/>
      <c r="CA331" s="712"/>
      <c r="CB331" s="713">
        <v>323</v>
      </c>
      <c r="CC331" s="714"/>
      <c r="CD331" s="239"/>
      <c r="CE331" s="24"/>
    </row>
    <row r="332" spans="5:83" ht="12" customHeight="1">
      <c r="E332" s="621">
        <v>324</v>
      </c>
      <c r="F332" s="711"/>
      <c r="G332" s="712"/>
      <c r="H332" s="713">
        <v>324</v>
      </c>
      <c r="I332" s="714"/>
      <c r="J332" s="239"/>
      <c r="K332" s="24"/>
      <c r="AI332" s="16" t="e">
        <f t="shared" si="45"/>
        <v>#N/A</v>
      </c>
      <c r="AJ332" s="16" t="str">
        <f t="shared" si="46"/>
        <v/>
      </c>
      <c r="AK332" s="16" t="str">
        <f t="shared" si="47"/>
        <v/>
      </c>
      <c r="AL332" s="16" t="e">
        <f>IF(AK332="",NA(),COUNTIF(AK$176:$AK332,AK332))</f>
        <v>#N/A</v>
      </c>
      <c r="AM332" s="16" t="e">
        <f t="shared" si="48"/>
        <v>#N/A</v>
      </c>
      <c r="AN332" s="16" t="e">
        <f t="shared" si="49"/>
        <v>#N/A</v>
      </c>
      <c r="AO332" s="16" t="str">
        <f t="shared" si="50"/>
        <v/>
      </c>
      <c r="AP332" s="16" t="str">
        <f t="shared" si="51"/>
        <v/>
      </c>
      <c r="AQ332" s="16" t="e">
        <f>IF(AP332="",NA(),COUNTIF(AP$176:$AP332,AP332))</f>
        <v>#N/A</v>
      </c>
      <c r="AR332" s="16" t="e">
        <f t="shared" si="52"/>
        <v>#N/A</v>
      </c>
      <c r="BI332" s="621">
        <v>324</v>
      </c>
      <c r="BJ332" s="711"/>
      <c r="BK332" s="712"/>
      <c r="BL332" s="713">
        <v>324</v>
      </c>
      <c r="BM332" s="714"/>
      <c r="BN332" s="239"/>
      <c r="BO332" s="24"/>
      <c r="BQ332" s="621">
        <v>324</v>
      </c>
      <c r="BR332" s="711"/>
      <c r="BS332" s="712"/>
      <c r="BT332" s="713">
        <v>324</v>
      </c>
      <c r="BU332" s="714"/>
      <c r="BV332" s="239"/>
      <c r="BW332" s="24"/>
      <c r="BY332" s="621">
        <v>324</v>
      </c>
      <c r="BZ332" s="711"/>
      <c r="CA332" s="712"/>
      <c r="CB332" s="713">
        <v>324</v>
      </c>
      <c r="CC332" s="714"/>
      <c r="CD332" s="239"/>
      <c r="CE332" s="24"/>
    </row>
    <row r="333" spans="5:83" ht="12" customHeight="1">
      <c r="E333" s="621">
        <v>325</v>
      </c>
      <c r="F333" s="711"/>
      <c r="G333" s="712"/>
      <c r="H333" s="713">
        <v>325</v>
      </c>
      <c r="I333" s="714"/>
      <c r="J333" s="239"/>
      <c r="K333" s="24"/>
      <c r="AI333" s="16" t="e">
        <f t="shared" ref="AI333:AI396" si="53">IF(AND($X$80,NOT(F265=""),$X$78),F265,NA())</f>
        <v>#N/A</v>
      </c>
      <c r="AJ333" s="16" t="str">
        <f t="shared" ref="AJ333:AJ396" si="54">IF(AK333="","",IF($AU$79=0,AI333,AK333*$AU$79))</f>
        <v/>
      </c>
      <c r="AK333" s="16" t="str">
        <f t="shared" ref="AK333:AK396" si="55">IF(ISNA(AI333),"",IF($AU$79=0,AI333,ROUND(AI333/$AU$79,0)))</f>
        <v/>
      </c>
      <c r="AL333" s="16" t="e">
        <f>IF(AK333="",NA(),COUNTIF(AK$176:$AK333,AK333))</f>
        <v>#N/A</v>
      </c>
      <c r="AM333" s="16" t="e">
        <f t="shared" ref="AM333:AM396" si="56">(AL333-1)*$AU$82</f>
        <v>#N/A</v>
      </c>
      <c r="AN333" s="16" t="e">
        <f t="shared" ref="AN333:AN396" si="57">IF(AND($X$80,NOT(I265=""),$X$79),I265,NA())</f>
        <v>#N/A</v>
      </c>
      <c r="AO333" s="16" t="str">
        <f t="shared" ref="AO333:AO396" si="58">IF(AP333="","",IF($AU$79=0,AN333,AP333*$AU$79))</f>
        <v/>
      </c>
      <c r="AP333" s="16" t="str">
        <f t="shared" ref="AP333:AP396" si="59">IF(ISNA(AN333),"",IF($AU$79=0,AN333,ROUND(AN333/$AU$79,0)))</f>
        <v/>
      </c>
      <c r="AQ333" s="16" t="e">
        <f>IF(AP333="",NA(),COUNTIF(AP$176:$AP333,AP333))</f>
        <v>#N/A</v>
      </c>
      <c r="AR333" s="16" t="e">
        <f t="shared" ref="AR333:AR396" si="60">(AQ333-1)*$AU$82</f>
        <v>#N/A</v>
      </c>
      <c r="BI333" s="621">
        <v>325</v>
      </c>
      <c r="BJ333" s="711"/>
      <c r="BK333" s="712"/>
      <c r="BL333" s="713">
        <v>325</v>
      </c>
      <c r="BM333" s="714"/>
      <c r="BN333" s="239"/>
      <c r="BO333" s="24"/>
      <c r="BQ333" s="621">
        <v>325</v>
      </c>
      <c r="BR333" s="711"/>
      <c r="BS333" s="712"/>
      <c r="BT333" s="713">
        <v>325</v>
      </c>
      <c r="BU333" s="714"/>
      <c r="BV333" s="239"/>
      <c r="BW333" s="24"/>
      <c r="BY333" s="621">
        <v>325</v>
      </c>
      <c r="BZ333" s="711"/>
      <c r="CA333" s="712"/>
      <c r="CB333" s="713">
        <v>325</v>
      </c>
      <c r="CC333" s="714"/>
      <c r="CD333" s="239"/>
      <c r="CE333" s="24"/>
    </row>
    <row r="334" spans="5:83" ht="12" customHeight="1">
      <c r="E334" s="621">
        <v>326</v>
      </c>
      <c r="F334" s="711"/>
      <c r="G334" s="712"/>
      <c r="H334" s="713">
        <v>326</v>
      </c>
      <c r="I334" s="714"/>
      <c r="J334" s="239"/>
      <c r="K334" s="24"/>
      <c r="AI334" s="16" t="e">
        <f t="shared" si="53"/>
        <v>#N/A</v>
      </c>
      <c r="AJ334" s="16" t="str">
        <f t="shared" si="54"/>
        <v/>
      </c>
      <c r="AK334" s="16" t="str">
        <f t="shared" si="55"/>
        <v/>
      </c>
      <c r="AL334" s="16" t="e">
        <f>IF(AK334="",NA(),COUNTIF(AK$176:$AK334,AK334))</f>
        <v>#N/A</v>
      </c>
      <c r="AM334" s="16" t="e">
        <f t="shared" si="56"/>
        <v>#N/A</v>
      </c>
      <c r="AN334" s="16" t="e">
        <f t="shared" si="57"/>
        <v>#N/A</v>
      </c>
      <c r="AO334" s="16" t="str">
        <f t="shared" si="58"/>
        <v/>
      </c>
      <c r="AP334" s="16" t="str">
        <f t="shared" si="59"/>
        <v/>
      </c>
      <c r="AQ334" s="16" t="e">
        <f>IF(AP334="",NA(),COUNTIF(AP$176:$AP334,AP334))</f>
        <v>#N/A</v>
      </c>
      <c r="AR334" s="16" t="e">
        <f t="shared" si="60"/>
        <v>#N/A</v>
      </c>
      <c r="BI334" s="621">
        <v>326</v>
      </c>
      <c r="BJ334" s="711"/>
      <c r="BK334" s="712"/>
      <c r="BL334" s="713">
        <v>326</v>
      </c>
      <c r="BM334" s="714"/>
      <c r="BN334" s="239"/>
      <c r="BO334" s="24"/>
      <c r="BQ334" s="621">
        <v>326</v>
      </c>
      <c r="BR334" s="711"/>
      <c r="BS334" s="712"/>
      <c r="BT334" s="713">
        <v>326</v>
      </c>
      <c r="BU334" s="714"/>
      <c r="BV334" s="239"/>
      <c r="BW334" s="24"/>
      <c r="BY334" s="621">
        <v>326</v>
      </c>
      <c r="BZ334" s="711"/>
      <c r="CA334" s="712"/>
      <c r="CB334" s="713">
        <v>326</v>
      </c>
      <c r="CC334" s="714"/>
      <c r="CD334" s="239"/>
      <c r="CE334" s="24"/>
    </row>
    <row r="335" spans="5:83" ht="12" customHeight="1">
      <c r="E335" s="621">
        <v>327</v>
      </c>
      <c r="F335" s="711"/>
      <c r="G335" s="712"/>
      <c r="H335" s="713">
        <v>327</v>
      </c>
      <c r="I335" s="714"/>
      <c r="J335" s="239"/>
      <c r="K335" s="24"/>
      <c r="AI335" s="16" t="e">
        <f t="shared" si="53"/>
        <v>#N/A</v>
      </c>
      <c r="AJ335" s="16" t="str">
        <f t="shared" si="54"/>
        <v/>
      </c>
      <c r="AK335" s="16" t="str">
        <f t="shared" si="55"/>
        <v/>
      </c>
      <c r="AL335" s="16" t="e">
        <f>IF(AK335="",NA(),COUNTIF(AK$176:$AK335,AK335))</f>
        <v>#N/A</v>
      </c>
      <c r="AM335" s="16" t="e">
        <f t="shared" si="56"/>
        <v>#N/A</v>
      </c>
      <c r="AN335" s="16" t="e">
        <f t="shared" si="57"/>
        <v>#N/A</v>
      </c>
      <c r="AO335" s="16" t="str">
        <f t="shared" si="58"/>
        <v/>
      </c>
      <c r="AP335" s="16" t="str">
        <f t="shared" si="59"/>
        <v/>
      </c>
      <c r="AQ335" s="16" t="e">
        <f>IF(AP335="",NA(),COUNTIF(AP$176:$AP335,AP335))</f>
        <v>#N/A</v>
      </c>
      <c r="AR335" s="16" t="e">
        <f t="shared" si="60"/>
        <v>#N/A</v>
      </c>
      <c r="BI335" s="621">
        <v>327</v>
      </c>
      <c r="BJ335" s="711"/>
      <c r="BK335" s="712"/>
      <c r="BL335" s="713">
        <v>327</v>
      </c>
      <c r="BM335" s="714"/>
      <c r="BN335" s="239"/>
      <c r="BO335" s="24"/>
      <c r="BQ335" s="621">
        <v>327</v>
      </c>
      <c r="BR335" s="711"/>
      <c r="BS335" s="712"/>
      <c r="BT335" s="713">
        <v>327</v>
      </c>
      <c r="BU335" s="714"/>
      <c r="BV335" s="239"/>
      <c r="BW335" s="24"/>
      <c r="BY335" s="621">
        <v>327</v>
      </c>
      <c r="BZ335" s="711"/>
      <c r="CA335" s="712"/>
      <c r="CB335" s="713">
        <v>327</v>
      </c>
      <c r="CC335" s="714"/>
      <c r="CD335" s="239"/>
      <c r="CE335" s="24"/>
    </row>
    <row r="336" spans="5:83" ht="12" customHeight="1">
      <c r="E336" s="621">
        <v>328</v>
      </c>
      <c r="F336" s="711"/>
      <c r="G336" s="712"/>
      <c r="H336" s="713">
        <v>328</v>
      </c>
      <c r="I336" s="714"/>
      <c r="J336" s="239"/>
      <c r="K336" s="24"/>
      <c r="AI336" s="16" t="e">
        <f t="shared" si="53"/>
        <v>#N/A</v>
      </c>
      <c r="AJ336" s="16" t="str">
        <f t="shared" si="54"/>
        <v/>
      </c>
      <c r="AK336" s="16" t="str">
        <f t="shared" si="55"/>
        <v/>
      </c>
      <c r="AL336" s="16" t="e">
        <f>IF(AK336="",NA(),COUNTIF(AK$176:$AK336,AK336))</f>
        <v>#N/A</v>
      </c>
      <c r="AM336" s="16" t="e">
        <f t="shared" si="56"/>
        <v>#N/A</v>
      </c>
      <c r="AN336" s="16" t="e">
        <f t="shared" si="57"/>
        <v>#N/A</v>
      </c>
      <c r="AO336" s="16" t="str">
        <f t="shared" si="58"/>
        <v/>
      </c>
      <c r="AP336" s="16" t="str">
        <f t="shared" si="59"/>
        <v/>
      </c>
      <c r="AQ336" s="16" t="e">
        <f>IF(AP336="",NA(),COUNTIF(AP$176:$AP336,AP336))</f>
        <v>#N/A</v>
      </c>
      <c r="AR336" s="16" t="e">
        <f t="shared" si="60"/>
        <v>#N/A</v>
      </c>
      <c r="BI336" s="621">
        <v>328</v>
      </c>
      <c r="BJ336" s="711"/>
      <c r="BK336" s="712"/>
      <c r="BL336" s="713">
        <v>328</v>
      </c>
      <c r="BM336" s="714"/>
      <c r="BN336" s="239"/>
      <c r="BO336" s="24"/>
      <c r="BQ336" s="621">
        <v>328</v>
      </c>
      <c r="BR336" s="711"/>
      <c r="BS336" s="712"/>
      <c r="BT336" s="713">
        <v>328</v>
      </c>
      <c r="BU336" s="714"/>
      <c r="BV336" s="239"/>
      <c r="BW336" s="24"/>
      <c r="BY336" s="621">
        <v>328</v>
      </c>
      <c r="BZ336" s="711"/>
      <c r="CA336" s="712"/>
      <c r="CB336" s="713">
        <v>328</v>
      </c>
      <c r="CC336" s="714"/>
      <c r="CD336" s="239"/>
      <c r="CE336" s="24"/>
    </row>
    <row r="337" spans="5:83" ht="12" customHeight="1">
      <c r="E337" s="621">
        <v>329</v>
      </c>
      <c r="F337" s="711"/>
      <c r="G337" s="712"/>
      <c r="H337" s="713">
        <v>329</v>
      </c>
      <c r="I337" s="714"/>
      <c r="J337" s="239"/>
      <c r="K337" s="24"/>
      <c r="AI337" s="16" t="e">
        <f t="shared" si="53"/>
        <v>#N/A</v>
      </c>
      <c r="AJ337" s="16" t="str">
        <f t="shared" si="54"/>
        <v/>
      </c>
      <c r="AK337" s="16" t="str">
        <f t="shared" si="55"/>
        <v/>
      </c>
      <c r="AL337" s="16" t="e">
        <f>IF(AK337="",NA(),COUNTIF(AK$176:$AK337,AK337))</f>
        <v>#N/A</v>
      </c>
      <c r="AM337" s="16" t="e">
        <f t="shared" si="56"/>
        <v>#N/A</v>
      </c>
      <c r="AN337" s="16" t="e">
        <f t="shared" si="57"/>
        <v>#N/A</v>
      </c>
      <c r="AO337" s="16" t="str">
        <f t="shared" si="58"/>
        <v/>
      </c>
      <c r="AP337" s="16" t="str">
        <f t="shared" si="59"/>
        <v/>
      </c>
      <c r="AQ337" s="16" t="e">
        <f>IF(AP337="",NA(),COUNTIF(AP$176:$AP337,AP337))</f>
        <v>#N/A</v>
      </c>
      <c r="AR337" s="16" t="e">
        <f t="shared" si="60"/>
        <v>#N/A</v>
      </c>
      <c r="BI337" s="621">
        <v>329</v>
      </c>
      <c r="BJ337" s="711"/>
      <c r="BK337" s="712"/>
      <c r="BL337" s="713">
        <v>329</v>
      </c>
      <c r="BM337" s="714"/>
      <c r="BN337" s="239"/>
      <c r="BO337" s="24"/>
      <c r="BQ337" s="621">
        <v>329</v>
      </c>
      <c r="BR337" s="711"/>
      <c r="BS337" s="712"/>
      <c r="BT337" s="713">
        <v>329</v>
      </c>
      <c r="BU337" s="714"/>
      <c r="BV337" s="239"/>
      <c r="BW337" s="24"/>
      <c r="BY337" s="621">
        <v>329</v>
      </c>
      <c r="BZ337" s="711"/>
      <c r="CA337" s="712"/>
      <c r="CB337" s="713">
        <v>329</v>
      </c>
      <c r="CC337" s="714"/>
      <c r="CD337" s="239"/>
      <c r="CE337" s="24"/>
    </row>
    <row r="338" spans="5:83" ht="12" customHeight="1">
      <c r="E338" s="621">
        <v>330</v>
      </c>
      <c r="F338" s="711"/>
      <c r="G338" s="712"/>
      <c r="H338" s="713">
        <v>330</v>
      </c>
      <c r="I338" s="714"/>
      <c r="J338" s="239"/>
      <c r="K338" s="24"/>
      <c r="AI338" s="16" t="e">
        <f t="shared" si="53"/>
        <v>#N/A</v>
      </c>
      <c r="AJ338" s="16" t="str">
        <f t="shared" si="54"/>
        <v/>
      </c>
      <c r="AK338" s="16" t="str">
        <f t="shared" si="55"/>
        <v/>
      </c>
      <c r="AL338" s="16" t="e">
        <f>IF(AK338="",NA(),COUNTIF(AK$176:$AK338,AK338))</f>
        <v>#N/A</v>
      </c>
      <c r="AM338" s="16" t="e">
        <f t="shared" si="56"/>
        <v>#N/A</v>
      </c>
      <c r="AN338" s="16" t="e">
        <f t="shared" si="57"/>
        <v>#N/A</v>
      </c>
      <c r="AO338" s="16" t="str">
        <f t="shared" si="58"/>
        <v/>
      </c>
      <c r="AP338" s="16" t="str">
        <f t="shared" si="59"/>
        <v/>
      </c>
      <c r="AQ338" s="16" t="e">
        <f>IF(AP338="",NA(),COUNTIF(AP$176:$AP338,AP338))</f>
        <v>#N/A</v>
      </c>
      <c r="AR338" s="16" t="e">
        <f t="shared" si="60"/>
        <v>#N/A</v>
      </c>
      <c r="BI338" s="621">
        <v>330</v>
      </c>
      <c r="BJ338" s="711"/>
      <c r="BK338" s="712"/>
      <c r="BL338" s="713">
        <v>330</v>
      </c>
      <c r="BM338" s="714"/>
      <c r="BN338" s="239"/>
      <c r="BO338" s="24"/>
      <c r="BQ338" s="621">
        <v>330</v>
      </c>
      <c r="BR338" s="711"/>
      <c r="BS338" s="712"/>
      <c r="BT338" s="713">
        <v>330</v>
      </c>
      <c r="BU338" s="714"/>
      <c r="BV338" s="239"/>
      <c r="BW338" s="24"/>
      <c r="BY338" s="621">
        <v>330</v>
      </c>
      <c r="BZ338" s="711"/>
      <c r="CA338" s="712"/>
      <c r="CB338" s="713">
        <v>330</v>
      </c>
      <c r="CC338" s="714"/>
      <c r="CD338" s="239"/>
      <c r="CE338" s="24"/>
    </row>
    <row r="339" spans="5:83" ht="12" customHeight="1">
      <c r="E339" s="621">
        <v>331</v>
      </c>
      <c r="F339" s="711"/>
      <c r="G339" s="712"/>
      <c r="H339" s="713">
        <v>331</v>
      </c>
      <c r="I339" s="714"/>
      <c r="J339" s="239"/>
      <c r="K339" s="24"/>
      <c r="AI339" s="16" t="e">
        <f t="shared" si="53"/>
        <v>#N/A</v>
      </c>
      <c r="AJ339" s="16" t="str">
        <f t="shared" si="54"/>
        <v/>
      </c>
      <c r="AK339" s="16" t="str">
        <f t="shared" si="55"/>
        <v/>
      </c>
      <c r="AL339" s="16" t="e">
        <f>IF(AK339="",NA(),COUNTIF(AK$176:$AK339,AK339))</f>
        <v>#N/A</v>
      </c>
      <c r="AM339" s="16" t="e">
        <f t="shared" si="56"/>
        <v>#N/A</v>
      </c>
      <c r="AN339" s="16" t="e">
        <f t="shared" si="57"/>
        <v>#N/A</v>
      </c>
      <c r="AO339" s="16" t="str">
        <f t="shared" si="58"/>
        <v/>
      </c>
      <c r="AP339" s="16" t="str">
        <f t="shared" si="59"/>
        <v/>
      </c>
      <c r="AQ339" s="16" t="e">
        <f>IF(AP339="",NA(),COUNTIF(AP$176:$AP339,AP339))</f>
        <v>#N/A</v>
      </c>
      <c r="AR339" s="16" t="e">
        <f t="shared" si="60"/>
        <v>#N/A</v>
      </c>
      <c r="BI339" s="621">
        <v>331</v>
      </c>
      <c r="BJ339" s="711"/>
      <c r="BK339" s="712"/>
      <c r="BL339" s="713">
        <v>331</v>
      </c>
      <c r="BM339" s="714"/>
      <c r="BN339" s="239"/>
      <c r="BO339" s="24"/>
      <c r="BQ339" s="621">
        <v>331</v>
      </c>
      <c r="BR339" s="711"/>
      <c r="BS339" s="712"/>
      <c r="BT339" s="713">
        <v>331</v>
      </c>
      <c r="BU339" s="714"/>
      <c r="BV339" s="239"/>
      <c r="BW339" s="24"/>
      <c r="BY339" s="621">
        <v>331</v>
      </c>
      <c r="BZ339" s="711"/>
      <c r="CA339" s="712"/>
      <c r="CB339" s="713">
        <v>331</v>
      </c>
      <c r="CC339" s="714"/>
      <c r="CD339" s="239"/>
      <c r="CE339" s="24"/>
    </row>
    <row r="340" spans="5:83" ht="12" customHeight="1">
      <c r="E340" s="621">
        <v>332</v>
      </c>
      <c r="F340" s="711"/>
      <c r="G340" s="712"/>
      <c r="H340" s="713">
        <v>332</v>
      </c>
      <c r="I340" s="714"/>
      <c r="J340" s="239"/>
      <c r="K340" s="24"/>
      <c r="AI340" s="16" t="e">
        <f t="shared" si="53"/>
        <v>#N/A</v>
      </c>
      <c r="AJ340" s="16" t="str">
        <f t="shared" si="54"/>
        <v/>
      </c>
      <c r="AK340" s="16" t="str">
        <f t="shared" si="55"/>
        <v/>
      </c>
      <c r="AL340" s="16" t="e">
        <f>IF(AK340="",NA(),COUNTIF(AK$176:$AK340,AK340))</f>
        <v>#N/A</v>
      </c>
      <c r="AM340" s="16" t="e">
        <f t="shared" si="56"/>
        <v>#N/A</v>
      </c>
      <c r="AN340" s="16" t="e">
        <f t="shared" si="57"/>
        <v>#N/A</v>
      </c>
      <c r="AO340" s="16" t="str">
        <f t="shared" si="58"/>
        <v/>
      </c>
      <c r="AP340" s="16" t="str">
        <f t="shared" si="59"/>
        <v/>
      </c>
      <c r="AQ340" s="16" t="e">
        <f>IF(AP340="",NA(),COUNTIF(AP$176:$AP340,AP340))</f>
        <v>#N/A</v>
      </c>
      <c r="AR340" s="16" t="e">
        <f t="shared" si="60"/>
        <v>#N/A</v>
      </c>
      <c r="BI340" s="621">
        <v>332</v>
      </c>
      <c r="BJ340" s="711"/>
      <c r="BK340" s="712"/>
      <c r="BL340" s="713">
        <v>332</v>
      </c>
      <c r="BM340" s="714"/>
      <c r="BN340" s="239"/>
      <c r="BO340" s="24"/>
      <c r="BQ340" s="621">
        <v>332</v>
      </c>
      <c r="BR340" s="711"/>
      <c r="BS340" s="712"/>
      <c r="BT340" s="713">
        <v>332</v>
      </c>
      <c r="BU340" s="714"/>
      <c r="BV340" s="239"/>
      <c r="BW340" s="24"/>
      <c r="BY340" s="621">
        <v>332</v>
      </c>
      <c r="BZ340" s="711"/>
      <c r="CA340" s="712"/>
      <c r="CB340" s="713">
        <v>332</v>
      </c>
      <c r="CC340" s="714"/>
      <c r="CD340" s="239"/>
      <c r="CE340" s="24"/>
    </row>
    <row r="341" spans="5:83" ht="12" customHeight="1">
      <c r="E341" s="621">
        <v>333</v>
      </c>
      <c r="F341" s="711"/>
      <c r="G341" s="712"/>
      <c r="H341" s="713">
        <v>333</v>
      </c>
      <c r="I341" s="714"/>
      <c r="J341" s="239"/>
      <c r="K341" s="24"/>
      <c r="AI341" s="16" t="e">
        <f t="shared" si="53"/>
        <v>#N/A</v>
      </c>
      <c r="AJ341" s="16" t="str">
        <f t="shared" si="54"/>
        <v/>
      </c>
      <c r="AK341" s="16" t="str">
        <f t="shared" si="55"/>
        <v/>
      </c>
      <c r="AL341" s="16" t="e">
        <f>IF(AK341="",NA(),COUNTIF(AK$176:$AK341,AK341))</f>
        <v>#N/A</v>
      </c>
      <c r="AM341" s="16" t="e">
        <f t="shared" si="56"/>
        <v>#N/A</v>
      </c>
      <c r="AN341" s="16" t="e">
        <f t="shared" si="57"/>
        <v>#N/A</v>
      </c>
      <c r="AO341" s="16" t="str">
        <f t="shared" si="58"/>
        <v/>
      </c>
      <c r="AP341" s="16" t="str">
        <f t="shared" si="59"/>
        <v/>
      </c>
      <c r="AQ341" s="16" t="e">
        <f>IF(AP341="",NA(),COUNTIF(AP$176:$AP341,AP341))</f>
        <v>#N/A</v>
      </c>
      <c r="AR341" s="16" t="e">
        <f t="shared" si="60"/>
        <v>#N/A</v>
      </c>
      <c r="BI341" s="621">
        <v>333</v>
      </c>
      <c r="BJ341" s="711"/>
      <c r="BK341" s="712"/>
      <c r="BL341" s="713">
        <v>333</v>
      </c>
      <c r="BM341" s="714"/>
      <c r="BN341" s="239"/>
      <c r="BO341" s="24"/>
      <c r="BQ341" s="621">
        <v>333</v>
      </c>
      <c r="BR341" s="711"/>
      <c r="BS341" s="712"/>
      <c r="BT341" s="713">
        <v>333</v>
      </c>
      <c r="BU341" s="714"/>
      <c r="BV341" s="239"/>
      <c r="BW341" s="24"/>
      <c r="BY341" s="621">
        <v>333</v>
      </c>
      <c r="BZ341" s="711"/>
      <c r="CA341" s="712"/>
      <c r="CB341" s="713">
        <v>333</v>
      </c>
      <c r="CC341" s="714"/>
      <c r="CD341" s="239"/>
      <c r="CE341" s="24"/>
    </row>
    <row r="342" spans="5:83" ht="12" customHeight="1">
      <c r="E342" s="621">
        <v>334</v>
      </c>
      <c r="F342" s="711"/>
      <c r="G342" s="712"/>
      <c r="H342" s="713">
        <v>334</v>
      </c>
      <c r="I342" s="714"/>
      <c r="J342" s="239"/>
      <c r="K342" s="24"/>
      <c r="AI342" s="16" t="e">
        <f t="shared" si="53"/>
        <v>#N/A</v>
      </c>
      <c r="AJ342" s="16" t="str">
        <f t="shared" si="54"/>
        <v/>
      </c>
      <c r="AK342" s="16" t="str">
        <f t="shared" si="55"/>
        <v/>
      </c>
      <c r="AL342" s="16" t="e">
        <f>IF(AK342="",NA(),COUNTIF(AK$176:$AK342,AK342))</f>
        <v>#N/A</v>
      </c>
      <c r="AM342" s="16" t="e">
        <f t="shared" si="56"/>
        <v>#N/A</v>
      </c>
      <c r="AN342" s="16" t="e">
        <f t="shared" si="57"/>
        <v>#N/A</v>
      </c>
      <c r="AO342" s="16" t="str">
        <f t="shared" si="58"/>
        <v/>
      </c>
      <c r="AP342" s="16" t="str">
        <f t="shared" si="59"/>
        <v/>
      </c>
      <c r="AQ342" s="16" t="e">
        <f>IF(AP342="",NA(),COUNTIF(AP$176:$AP342,AP342))</f>
        <v>#N/A</v>
      </c>
      <c r="AR342" s="16" t="e">
        <f t="shared" si="60"/>
        <v>#N/A</v>
      </c>
      <c r="BI342" s="621">
        <v>334</v>
      </c>
      <c r="BJ342" s="711"/>
      <c r="BK342" s="712"/>
      <c r="BL342" s="713">
        <v>334</v>
      </c>
      <c r="BM342" s="714"/>
      <c r="BN342" s="239"/>
      <c r="BO342" s="24"/>
      <c r="BQ342" s="621">
        <v>334</v>
      </c>
      <c r="BR342" s="711"/>
      <c r="BS342" s="712"/>
      <c r="BT342" s="713">
        <v>334</v>
      </c>
      <c r="BU342" s="714"/>
      <c r="BV342" s="239"/>
      <c r="BW342" s="24"/>
      <c r="BY342" s="621">
        <v>334</v>
      </c>
      <c r="BZ342" s="711"/>
      <c r="CA342" s="712"/>
      <c r="CB342" s="713">
        <v>334</v>
      </c>
      <c r="CC342" s="714"/>
      <c r="CD342" s="239"/>
      <c r="CE342" s="24"/>
    </row>
    <row r="343" spans="5:83" ht="12" customHeight="1">
      <c r="E343" s="621">
        <v>335</v>
      </c>
      <c r="F343" s="711"/>
      <c r="G343" s="712"/>
      <c r="H343" s="713">
        <v>335</v>
      </c>
      <c r="I343" s="714"/>
      <c r="J343" s="239"/>
      <c r="K343" s="24"/>
      <c r="AI343" s="16" t="e">
        <f t="shared" si="53"/>
        <v>#N/A</v>
      </c>
      <c r="AJ343" s="16" t="str">
        <f t="shared" si="54"/>
        <v/>
      </c>
      <c r="AK343" s="16" t="str">
        <f t="shared" si="55"/>
        <v/>
      </c>
      <c r="AL343" s="16" t="e">
        <f>IF(AK343="",NA(),COUNTIF(AK$176:$AK343,AK343))</f>
        <v>#N/A</v>
      </c>
      <c r="AM343" s="16" t="e">
        <f t="shared" si="56"/>
        <v>#N/A</v>
      </c>
      <c r="AN343" s="16" t="e">
        <f t="shared" si="57"/>
        <v>#N/A</v>
      </c>
      <c r="AO343" s="16" t="str">
        <f t="shared" si="58"/>
        <v/>
      </c>
      <c r="AP343" s="16" t="str">
        <f t="shared" si="59"/>
        <v/>
      </c>
      <c r="AQ343" s="16" t="e">
        <f>IF(AP343="",NA(),COUNTIF(AP$176:$AP343,AP343))</f>
        <v>#N/A</v>
      </c>
      <c r="AR343" s="16" t="e">
        <f t="shared" si="60"/>
        <v>#N/A</v>
      </c>
      <c r="BI343" s="621">
        <v>335</v>
      </c>
      <c r="BJ343" s="711"/>
      <c r="BK343" s="712"/>
      <c r="BL343" s="713">
        <v>335</v>
      </c>
      <c r="BM343" s="714"/>
      <c r="BN343" s="239"/>
      <c r="BO343" s="24"/>
      <c r="BQ343" s="621">
        <v>335</v>
      </c>
      <c r="BR343" s="711"/>
      <c r="BS343" s="712"/>
      <c r="BT343" s="713">
        <v>335</v>
      </c>
      <c r="BU343" s="714"/>
      <c r="BV343" s="239"/>
      <c r="BW343" s="24"/>
      <c r="BY343" s="621">
        <v>335</v>
      </c>
      <c r="BZ343" s="711"/>
      <c r="CA343" s="712"/>
      <c r="CB343" s="713">
        <v>335</v>
      </c>
      <c r="CC343" s="714"/>
      <c r="CD343" s="239"/>
      <c r="CE343" s="24"/>
    </row>
    <row r="344" spans="5:83" ht="12" customHeight="1">
      <c r="E344" s="621">
        <v>336</v>
      </c>
      <c r="F344" s="711"/>
      <c r="G344" s="712"/>
      <c r="H344" s="713">
        <v>336</v>
      </c>
      <c r="I344" s="714"/>
      <c r="J344" s="239"/>
      <c r="K344" s="24"/>
      <c r="AI344" s="16" t="e">
        <f t="shared" si="53"/>
        <v>#N/A</v>
      </c>
      <c r="AJ344" s="16" t="str">
        <f t="shared" si="54"/>
        <v/>
      </c>
      <c r="AK344" s="16" t="str">
        <f t="shared" si="55"/>
        <v/>
      </c>
      <c r="AL344" s="16" t="e">
        <f>IF(AK344="",NA(),COUNTIF(AK$176:$AK344,AK344))</f>
        <v>#N/A</v>
      </c>
      <c r="AM344" s="16" t="e">
        <f t="shared" si="56"/>
        <v>#N/A</v>
      </c>
      <c r="AN344" s="16" t="e">
        <f t="shared" si="57"/>
        <v>#N/A</v>
      </c>
      <c r="AO344" s="16" t="str">
        <f t="shared" si="58"/>
        <v/>
      </c>
      <c r="AP344" s="16" t="str">
        <f t="shared" si="59"/>
        <v/>
      </c>
      <c r="AQ344" s="16" t="e">
        <f>IF(AP344="",NA(),COUNTIF(AP$176:$AP344,AP344))</f>
        <v>#N/A</v>
      </c>
      <c r="AR344" s="16" t="e">
        <f t="shared" si="60"/>
        <v>#N/A</v>
      </c>
      <c r="BI344" s="621">
        <v>336</v>
      </c>
      <c r="BJ344" s="711"/>
      <c r="BK344" s="712"/>
      <c r="BL344" s="713">
        <v>336</v>
      </c>
      <c r="BM344" s="714"/>
      <c r="BN344" s="239"/>
      <c r="BO344" s="24"/>
      <c r="BQ344" s="621">
        <v>336</v>
      </c>
      <c r="BR344" s="711"/>
      <c r="BS344" s="712"/>
      <c r="BT344" s="713">
        <v>336</v>
      </c>
      <c r="BU344" s="714"/>
      <c r="BV344" s="239"/>
      <c r="BW344" s="24"/>
      <c r="BY344" s="621">
        <v>336</v>
      </c>
      <c r="BZ344" s="711"/>
      <c r="CA344" s="712"/>
      <c r="CB344" s="713">
        <v>336</v>
      </c>
      <c r="CC344" s="714"/>
      <c r="CD344" s="239"/>
      <c r="CE344" s="24"/>
    </row>
    <row r="345" spans="5:83" ht="12" customHeight="1">
      <c r="E345" s="621">
        <v>337</v>
      </c>
      <c r="F345" s="711"/>
      <c r="G345" s="712"/>
      <c r="H345" s="713">
        <v>337</v>
      </c>
      <c r="I345" s="714"/>
      <c r="J345" s="239"/>
      <c r="K345" s="24"/>
      <c r="AI345" s="16" t="e">
        <f t="shared" si="53"/>
        <v>#N/A</v>
      </c>
      <c r="AJ345" s="16" t="str">
        <f t="shared" si="54"/>
        <v/>
      </c>
      <c r="AK345" s="16" t="str">
        <f t="shared" si="55"/>
        <v/>
      </c>
      <c r="AL345" s="16" t="e">
        <f>IF(AK345="",NA(),COUNTIF(AK$176:$AK345,AK345))</f>
        <v>#N/A</v>
      </c>
      <c r="AM345" s="16" t="e">
        <f t="shared" si="56"/>
        <v>#N/A</v>
      </c>
      <c r="AN345" s="16" t="e">
        <f t="shared" si="57"/>
        <v>#N/A</v>
      </c>
      <c r="AO345" s="16" t="str">
        <f t="shared" si="58"/>
        <v/>
      </c>
      <c r="AP345" s="16" t="str">
        <f t="shared" si="59"/>
        <v/>
      </c>
      <c r="AQ345" s="16" t="e">
        <f>IF(AP345="",NA(),COUNTIF(AP$176:$AP345,AP345))</f>
        <v>#N/A</v>
      </c>
      <c r="AR345" s="16" t="e">
        <f t="shared" si="60"/>
        <v>#N/A</v>
      </c>
      <c r="BI345" s="621">
        <v>337</v>
      </c>
      <c r="BJ345" s="711"/>
      <c r="BK345" s="712"/>
      <c r="BL345" s="713">
        <v>337</v>
      </c>
      <c r="BM345" s="714"/>
      <c r="BN345" s="239"/>
      <c r="BO345" s="24"/>
      <c r="BQ345" s="621">
        <v>337</v>
      </c>
      <c r="BR345" s="711"/>
      <c r="BS345" s="712"/>
      <c r="BT345" s="713">
        <v>337</v>
      </c>
      <c r="BU345" s="714"/>
      <c r="BV345" s="239"/>
      <c r="BW345" s="24"/>
      <c r="BY345" s="621">
        <v>337</v>
      </c>
      <c r="BZ345" s="711"/>
      <c r="CA345" s="712"/>
      <c r="CB345" s="713">
        <v>337</v>
      </c>
      <c r="CC345" s="714"/>
      <c r="CD345" s="239"/>
      <c r="CE345" s="24"/>
    </row>
    <row r="346" spans="5:83" ht="12" customHeight="1">
      <c r="E346" s="621">
        <v>338</v>
      </c>
      <c r="F346" s="711"/>
      <c r="G346" s="712"/>
      <c r="H346" s="713">
        <v>338</v>
      </c>
      <c r="I346" s="714"/>
      <c r="J346" s="239"/>
      <c r="K346" s="24"/>
      <c r="AI346" s="16" t="e">
        <f t="shared" si="53"/>
        <v>#N/A</v>
      </c>
      <c r="AJ346" s="16" t="str">
        <f t="shared" si="54"/>
        <v/>
      </c>
      <c r="AK346" s="16" t="str">
        <f t="shared" si="55"/>
        <v/>
      </c>
      <c r="AL346" s="16" t="e">
        <f>IF(AK346="",NA(),COUNTIF(AK$176:$AK346,AK346))</f>
        <v>#N/A</v>
      </c>
      <c r="AM346" s="16" t="e">
        <f t="shared" si="56"/>
        <v>#N/A</v>
      </c>
      <c r="AN346" s="16" t="e">
        <f t="shared" si="57"/>
        <v>#N/A</v>
      </c>
      <c r="AO346" s="16" t="str">
        <f t="shared" si="58"/>
        <v/>
      </c>
      <c r="AP346" s="16" t="str">
        <f t="shared" si="59"/>
        <v/>
      </c>
      <c r="AQ346" s="16" t="e">
        <f>IF(AP346="",NA(),COUNTIF(AP$176:$AP346,AP346))</f>
        <v>#N/A</v>
      </c>
      <c r="AR346" s="16" t="e">
        <f t="shared" si="60"/>
        <v>#N/A</v>
      </c>
      <c r="BI346" s="621">
        <v>338</v>
      </c>
      <c r="BJ346" s="711"/>
      <c r="BK346" s="712"/>
      <c r="BL346" s="713">
        <v>338</v>
      </c>
      <c r="BM346" s="714"/>
      <c r="BN346" s="239"/>
      <c r="BO346" s="24"/>
      <c r="BQ346" s="621">
        <v>338</v>
      </c>
      <c r="BR346" s="711"/>
      <c r="BS346" s="712"/>
      <c r="BT346" s="713">
        <v>338</v>
      </c>
      <c r="BU346" s="714"/>
      <c r="BV346" s="239"/>
      <c r="BW346" s="24"/>
      <c r="BY346" s="621">
        <v>338</v>
      </c>
      <c r="BZ346" s="711"/>
      <c r="CA346" s="712"/>
      <c r="CB346" s="713">
        <v>338</v>
      </c>
      <c r="CC346" s="714"/>
      <c r="CD346" s="239"/>
      <c r="CE346" s="24"/>
    </row>
    <row r="347" spans="5:83" ht="12" customHeight="1">
      <c r="E347" s="621">
        <v>339</v>
      </c>
      <c r="F347" s="711"/>
      <c r="G347" s="712"/>
      <c r="H347" s="713">
        <v>339</v>
      </c>
      <c r="I347" s="714"/>
      <c r="J347" s="239"/>
      <c r="K347" s="24"/>
      <c r="AI347" s="16" t="e">
        <f t="shared" si="53"/>
        <v>#N/A</v>
      </c>
      <c r="AJ347" s="16" t="str">
        <f t="shared" si="54"/>
        <v/>
      </c>
      <c r="AK347" s="16" t="str">
        <f t="shared" si="55"/>
        <v/>
      </c>
      <c r="AL347" s="16" t="e">
        <f>IF(AK347="",NA(),COUNTIF(AK$176:$AK347,AK347))</f>
        <v>#N/A</v>
      </c>
      <c r="AM347" s="16" t="e">
        <f t="shared" si="56"/>
        <v>#N/A</v>
      </c>
      <c r="AN347" s="16" t="e">
        <f t="shared" si="57"/>
        <v>#N/A</v>
      </c>
      <c r="AO347" s="16" t="str">
        <f t="shared" si="58"/>
        <v/>
      </c>
      <c r="AP347" s="16" t="str">
        <f t="shared" si="59"/>
        <v/>
      </c>
      <c r="AQ347" s="16" t="e">
        <f>IF(AP347="",NA(),COUNTIF(AP$176:$AP347,AP347))</f>
        <v>#N/A</v>
      </c>
      <c r="AR347" s="16" t="e">
        <f t="shared" si="60"/>
        <v>#N/A</v>
      </c>
      <c r="BI347" s="621">
        <v>339</v>
      </c>
      <c r="BJ347" s="711"/>
      <c r="BK347" s="712"/>
      <c r="BL347" s="713">
        <v>339</v>
      </c>
      <c r="BM347" s="714"/>
      <c r="BN347" s="239"/>
      <c r="BO347" s="24"/>
      <c r="BQ347" s="621">
        <v>339</v>
      </c>
      <c r="BR347" s="711"/>
      <c r="BS347" s="712"/>
      <c r="BT347" s="713">
        <v>339</v>
      </c>
      <c r="BU347" s="714"/>
      <c r="BV347" s="239"/>
      <c r="BW347" s="24"/>
      <c r="BY347" s="621">
        <v>339</v>
      </c>
      <c r="BZ347" s="711"/>
      <c r="CA347" s="712"/>
      <c r="CB347" s="713">
        <v>339</v>
      </c>
      <c r="CC347" s="714"/>
      <c r="CD347" s="239"/>
      <c r="CE347" s="24"/>
    </row>
    <row r="348" spans="5:83" ht="12" customHeight="1">
      <c r="E348" s="621">
        <v>340</v>
      </c>
      <c r="F348" s="711"/>
      <c r="G348" s="712"/>
      <c r="H348" s="713">
        <v>340</v>
      </c>
      <c r="I348" s="714"/>
      <c r="J348" s="239"/>
      <c r="K348" s="24"/>
      <c r="AI348" s="16" t="e">
        <f t="shared" si="53"/>
        <v>#N/A</v>
      </c>
      <c r="AJ348" s="16" t="str">
        <f t="shared" si="54"/>
        <v/>
      </c>
      <c r="AK348" s="16" t="str">
        <f t="shared" si="55"/>
        <v/>
      </c>
      <c r="AL348" s="16" t="e">
        <f>IF(AK348="",NA(),COUNTIF(AK$176:$AK348,AK348))</f>
        <v>#N/A</v>
      </c>
      <c r="AM348" s="16" t="e">
        <f t="shared" si="56"/>
        <v>#N/A</v>
      </c>
      <c r="AN348" s="16" t="e">
        <f t="shared" si="57"/>
        <v>#N/A</v>
      </c>
      <c r="AO348" s="16" t="str">
        <f t="shared" si="58"/>
        <v/>
      </c>
      <c r="AP348" s="16" t="str">
        <f t="shared" si="59"/>
        <v/>
      </c>
      <c r="AQ348" s="16" t="e">
        <f>IF(AP348="",NA(),COUNTIF(AP$176:$AP348,AP348))</f>
        <v>#N/A</v>
      </c>
      <c r="AR348" s="16" t="e">
        <f t="shared" si="60"/>
        <v>#N/A</v>
      </c>
      <c r="BI348" s="621">
        <v>340</v>
      </c>
      <c r="BJ348" s="711"/>
      <c r="BK348" s="712"/>
      <c r="BL348" s="713">
        <v>340</v>
      </c>
      <c r="BM348" s="714"/>
      <c r="BN348" s="239"/>
      <c r="BO348" s="24"/>
      <c r="BQ348" s="621">
        <v>340</v>
      </c>
      <c r="BR348" s="711"/>
      <c r="BS348" s="712"/>
      <c r="BT348" s="713">
        <v>340</v>
      </c>
      <c r="BU348" s="714"/>
      <c r="BV348" s="239"/>
      <c r="BW348" s="24"/>
      <c r="BY348" s="621">
        <v>340</v>
      </c>
      <c r="BZ348" s="711"/>
      <c r="CA348" s="712"/>
      <c r="CB348" s="713">
        <v>340</v>
      </c>
      <c r="CC348" s="714"/>
      <c r="CD348" s="239"/>
      <c r="CE348" s="24"/>
    </row>
    <row r="349" spans="5:83" ht="12" customHeight="1">
      <c r="E349" s="621">
        <v>341</v>
      </c>
      <c r="F349" s="711"/>
      <c r="G349" s="712"/>
      <c r="H349" s="713">
        <v>341</v>
      </c>
      <c r="I349" s="714"/>
      <c r="J349" s="239"/>
      <c r="K349" s="24"/>
      <c r="AI349" s="16" t="e">
        <f t="shared" si="53"/>
        <v>#N/A</v>
      </c>
      <c r="AJ349" s="16" t="str">
        <f t="shared" si="54"/>
        <v/>
      </c>
      <c r="AK349" s="16" t="str">
        <f t="shared" si="55"/>
        <v/>
      </c>
      <c r="AL349" s="16" t="e">
        <f>IF(AK349="",NA(),COUNTIF(AK$176:$AK349,AK349))</f>
        <v>#N/A</v>
      </c>
      <c r="AM349" s="16" t="e">
        <f t="shared" si="56"/>
        <v>#N/A</v>
      </c>
      <c r="AN349" s="16" t="e">
        <f t="shared" si="57"/>
        <v>#N/A</v>
      </c>
      <c r="AO349" s="16" t="str">
        <f t="shared" si="58"/>
        <v/>
      </c>
      <c r="AP349" s="16" t="str">
        <f t="shared" si="59"/>
        <v/>
      </c>
      <c r="AQ349" s="16" t="e">
        <f>IF(AP349="",NA(),COUNTIF(AP$176:$AP349,AP349))</f>
        <v>#N/A</v>
      </c>
      <c r="AR349" s="16" t="e">
        <f t="shared" si="60"/>
        <v>#N/A</v>
      </c>
      <c r="BI349" s="621">
        <v>341</v>
      </c>
      <c r="BJ349" s="711"/>
      <c r="BK349" s="712"/>
      <c r="BL349" s="713">
        <v>341</v>
      </c>
      <c r="BM349" s="714"/>
      <c r="BN349" s="239"/>
      <c r="BO349" s="24"/>
      <c r="BQ349" s="621">
        <v>341</v>
      </c>
      <c r="BR349" s="711"/>
      <c r="BS349" s="712"/>
      <c r="BT349" s="713">
        <v>341</v>
      </c>
      <c r="BU349" s="714"/>
      <c r="BV349" s="239"/>
      <c r="BW349" s="24"/>
      <c r="BY349" s="621">
        <v>341</v>
      </c>
      <c r="BZ349" s="711"/>
      <c r="CA349" s="712"/>
      <c r="CB349" s="713">
        <v>341</v>
      </c>
      <c r="CC349" s="714"/>
      <c r="CD349" s="239"/>
      <c r="CE349" s="24"/>
    </row>
    <row r="350" spans="5:83" ht="12" customHeight="1">
      <c r="E350" s="621">
        <v>342</v>
      </c>
      <c r="F350" s="711"/>
      <c r="G350" s="712"/>
      <c r="H350" s="713">
        <v>342</v>
      </c>
      <c r="I350" s="714"/>
      <c r="J350" s="239"/>
      <c r="K350" s="24"/>
      <c r="AI350" s="16" t="e">
        <f t="shared" si="53"/>
        <v>#N/A</v>
      </c>
      <c r="AJ350" s="16" t="str">
        <f t="shared" si="54"/>
        <v/>
      </c>
      <c r="AK350" s="16" t="str">
        <f t="shared" si="55"/>
        <v/>
      </c>
      <c r="AL350" s="16" t="e">
        <f>IF(AK350="",NA(),COUNTIF(AK$176:$AK350,AK350))</f>
        <v>#N/A</v>
      </c>
      <c r="AM350" s="16" t="e">
        <f t="shared" si="56"/>
        <v>#N/A</v>
      </c>
      <c r="AN350" s="16" t="e">
        <f t="shared" si="57"/>
        <v>#N/A</v>
      </c>
      <c r="AO350" s="16" t="str">
        <f t="shared" si="58"/>
        <v/>
      </c>
      <c r="AP350" s="16" t="str">
        <f t="shared" si="59"/>
        <v/>
      </c>
      <c r="AQ350" s="16" t="e">
        <f>IF(AP350="",NA(),COUNTIF(AP$176:$AP350,AP350))</f>
        <v>#N/A</v>
      </c>
      <c r="AR350" s="16" t="e">
        <f t="shared" si="60"/>
        <v>#N/A</v>
      </c>
      <c r="BI350" s="621">
        <v>342</v>
      </c>
      <c r="BJ350" s="711"/>
      <c r="BK350" s="712"/>
      <c r="BL350" s="713">
        <v>342</v>
      </c>
      <c r="BM350" s="714"/>
      <c r="BN350" s="239"/>
      <c r="BO350" s="24"/>
      <c r="BQ350" s="621">
        <v>342</v>
      </c>
      <c r="BR350" s="711"/>
      <c r="BS350" s="712"/>
      <c r="BT350" s="713">
        <v>342</v>
      </c>
      <c r="BU350" s="714"/>
      <c r="BV350" s="239"/>
      <c r="BW350" s="24"/>
      <c r="BY350" s="621">
        <v>342</v>
      </c>
      <c r="BZ350" s="711"/>
      <c r="CA350" s="712"/>
      <c r="CB350" s="713">
        <v>342</v>
      </c>
      <c r="CC350" s="714"/>
      <c r="CD350" s="239"/>
      <c r="CE350" s="24"/>
    </row>
    <row r="351" spans="5:83" ht="12" customHeight="1">
      <c r="E351" s="621">
        <v>343</v>
      </c>
      <c r="F351" s="711"/>
      <c r="G351" s="712"/>
      <c r="H351" s="713">
        <v>343</v>
      </c>
      <c r="I351" s="714"/>
      <c r="J351" s="239"/>
      <c r="K351" s="24"/>
      <c r="AI351" s="16" t="e">
        <f t="shared" si="53"/>
        <v>#N/A</v>
      </c>
      <c r="AJ351" s="16" t="str">
        <f t="shared" si="54"/>
        <v/>
      </c>
      <c r="AK351" s="16" t="str">
        <f t="shared" si="55"/>
        <v/>
      </c>
      <c r="AL351" s="16" t="e">
        <f>IF(AK351="",NA(),COUNTIF(AK$176:$AK351,AK351))</f>
        <v>#N/A</v>
      </c>
      <c r="AM351" s="16" t="e">
        <f t="shared" si="56"/>
        <v>#N/A</v>
      </c>
      <c r="AN351" s="16" t="e">
        <f t="shared" si="57"/>
        <v>#N/A</v>
      </c>
      <c r="AO351" s="16" t="str">
        <f t="shared" si="58"/>
        <v/>
      </c>
      <c r="AP351" s="16" t="str">
        <f t="shared" si="59"/>
        <v/>
      </c>
      <c r="AQ351" s="16" t="e">
        <f>IF(AP351="",NA(),COUNTIF(AP$176:$AP351,AP351))</f>
        <v>#N/A</v>
      </c>
      <c r="AR351" s="16" t="e">
        <f t="shared" si="60"/>
        <v>#N/A</v>
      </c>
      <c r="BI351" s="621">
        <v>343</v>
      </c>
      <c r="BJ351" s="711"/>
      <c r="BK351" s="712"/>
      <c r="BL351" s="713">
        <v>343</v>
      </c>
      <c r="BM351" s="714"/>
      <c r="BN351" s="239"/>
      <c r="BO351" s="24"/>
      <c r="BQ351" s="621">
        <v>343</v>
      </c>
      <c r="BR351" s="711"/>
      <c r="BS351" s="712"/>
      <c r="BT351" s="713">
        <v>343</v>
      </c>
      <c r="BU351" s="714"/>
      <c r="BV351" s="239"/>
      <c r="BW351" s="24"/>
      <c r="BY351" s="621">
        <v>343</v>
      </c>
      <c r="BZ351" s="711"/>
      <c r="CA351" s="712"/>
      <c r="CB351" s="713">
        <v>343</v>
      </c>
      <c r="CC351" s="714"/>
      <c r="CD351" s="239"/>
      <c r="CE351" s="24"/>
    </row>
    <row r="352" spans="5:83" ht="12" customHeight="1">
      <c r="E352" s="621">
        <v>344</v>
      </c>
      <c r="F352" s="711"/>
      <c r="G352" s="712"/>
      <c r="H352" s="713">
        <v>344</v>
      </c>
      <c r="I352" s="714"/>
      <c r="J352" s="239"/>
      <c r="K352" s="24"/>
      <c r="AI352" s="16" t="e">
        <f t="shared" si="53"/>
        <v>#N/A</v>
      </c>
      <c r="AJ352" s="16" t="str">
        <f t="shared" si="54"/>
        <v/>
      </c>
      <c r="AK352" s="16" t="str">
        <f t="shared" si="55"/>
        <v/>
      </c>
      <c r="AL352" s="16" t="e">
        <f>IF(AK352="",NA(),COUNTIF(AK$176:$AK352,AK352))</f>
        <v>#N/A</v>
      </c>
      <c r="AM352" s="16" t="e">
        <f t="shared" si="56"/>
        <v>#N/A</v>
      </c>
      <c r="AN352" s="16" t="e">
        <f t="shared" si="57"/>
        <v>#N/A</v>
      </c>
      <c r="AO352" s="16" t="str">
        <f t="shared" si="58"/>
        <v/>
      </c>
      <c r="AP352" s="16" t="str">
        <f t="shared" si="59"/>
        <v/>
      </c>
      <c r="AQ352" s="16" t="e">
        <f>IF(AP352="",NA(),COUNTIF(AP$176:$AP352,AP352))</f>
        <v>#N/A</v>
      </c>
      <c r="AR352" s="16" t="e">
        <f t="shared" si="60"/>
        <v>#N/A</v>
      </c>
      <c r="BI352" s="621">
        <v>344</v>
      </c>
      <c r="BJ352" s="711"/>
      <c r="BK352" s="712"/>
      <c r="BL352" s="713">
        <v>344</v>
      </c>
      <c r="BM352" s="714"/>
      <c r="BN352" s="239"/>
      <c r="BO352" s="24"/>
      <c r="BQ352" s="621">
        <v>344</v>
      </c>
      <c r="BR352" s="711"/>
      <c r="BS352" s="712"/>
      <c r="BT352" s="713">
        <v>344</v>
      </c>
      <c r="BU352" s="714"/>
      <c r="BV352" s="239"/>
      <c r="BW352" s="24"/>
      <c r="BY352" s="621">
        <v>344</v>
      </c>
      <c r="BZ352" s="711"/>
      <c r="CA352" s="712"/>
      <c r="CB352" s="713">
        <v>344</v>
      </c>
      <c r="CC352" s="714"/>
      <c r="CD352" s="239"/>
      <c r="CE352" s="24"/>
    </row>
    <row r="353" spans="5:83" ht="12" customHeight="1">
      <c r="E353" s="621">
        <v>345</v>
      </c>
      <c r="F353" s="711"/>
      <c r="G353" s="712"/>
      <c r="H353" s="713">
        <v>345</v>
      </c>
      <c r="I353" s="714"/>
      <c r="J353" s="239"/>
      <c r="K353" s="24"/>
      <c r="AI353" s="16" t="e">
        <f t="shared" si="53"/>
        <v>#N/A</v>
      </c>
      <c r="AJ353" s="16" t="str">
        <f t="shared" si="54"/>
        <v/>
      </c>
      <c r="AK353" s="16" t="str">
        <f t="shared" si="55"/>
        <v/>
      </c>
      <c r="AL353" s="16" t="e">
        <f>IF(AK353="",NA(),COUNTIF(AK$176:$AK353,AK353))</f>
        <v>#N/A</v>
      </c>
      <c r="AM353" s="16" t="e">
        <f t="shared" si="56"/>
        <v>#N/A</v>
      </c>
      <c r="AN353" s="16" t="e">
        <f t="shared" si="57"/>
        <v>#N/A</v>
      </c>
      <c r="AO353" s="16" t="str">
        <f t="shared" si="58"/>
        <v/>
      </c>
      <c r="AP353" s="16" t="str">
        <f t="shared" si="59"/>
        <v/>
      </c>
      <c r="AQ353" s="16" t="e">
        <f>IF(AP353="",NA(),COUNTIF(AP$176:$AP353,AP353))</f>
        <v>#N/A</v>
      </c>
      <c r="AR353" s="16" t="e">
        <f t="shared" si="60"/>
        <v>#N/A</v>
      </c>
      <c r="BI353" s="621">
        <v>345</v>
      </c>
      <c r="BJ353" s="711"/>
      <c r="BK353" s="712"/>
      <c r="BL353" s="713">
        <v>345</v>
      </c>
      <c r="BM353" s="714"/>
      <c r="BN353" s="239"/>
      <c r="BO353" s="24"/>
      <c r="BQ353" s="621">
        <v>345</v>
      </c>
      <c r="BR353" s="711"/>
      <c r="BS353" s="712"/>
      <c r="BT353" s="713">
        <v>345</v>
      </c>
      <c r="BU353" s="714"/>
      <c r="BV353" s="239"/>
      <c r="BW353" s="24"/>
      <c r="BY353" s="621">
        <v>345</v>
      </c>
      <c r="BZ353" s="711"/>
      <c r="CA353" s="712"/>
      <c r="CB353" s="713">
        <v>345</v>
      </c>
      <c r="CC353" s="714"/>
      <c r="CD353" s="239"/>
      <c r="CE353" s="24"/>
    </row>
    <row r="354" spans="5:83" ht="12" customHeight="1">
      <c r="E354" s="621">
        <v>346</v>
      </c>
      <c r="F354" s="711"/>
      <c r="G354" s="712"/>
      <c r="H354" s="713">
        <v>346</v>
      </c>
      <c r="I354" s="714"/>
      <c r="J354" s="239"/>
      <c r="K354" s="24"/>
      <c r="AI354" s="16" t="e">
        <f t="shared" si="53"/>
        <v>#N/A</v>
      </c>
      <c r="AJ354" s="16" t="str">
        <f t="shared" si="54"/>
        <v/>
      </c>
      <c r="AK354" s="16" t="str">
        <f t="shared" si="55"/>
        <v/>
      </c>
      <c r="AL354" s="16" t="e">
        <f>IF(AK354="",NA(),COUNTIF(AK$176:$AK354,AK354))</f>
        <v>#N/A</v>
      </c>
      <c r="AM354" s="16" t="e">
        <f t="shared" si="56"/>
        <v>#N/A</v>
      </c>
      <c r="AN354" s="16" t="e">
        <f t="shared" si="57"/>
        <v>#N/A</v>
      </c>
      <c r="AO354" s="16" t="str">
        <f t="shared" si="58"/>
        <v/>
      </c>
      <c r="AP354" s="16" t="str">
        <f t="shared" si="59"/>
        <v/>
      </c>
      <c r="AQ354" s="16" t="e">
        <f>IF(AP354="",NA(),COUNTIF(AP$176:$AP354,AP354))</f>
        <v>#N/A</v>
      </c>
      <c r="AR354" s="16" t="e">
        <f t="shared" si="60"/>
        <v>#N/A</v>
      </c>
      <c r="BI354" s="621">
        <v>346</v>
      </c>
      <c r="BJ354" s="711"/>
      <c r="BK354" s="712"/>
      <c r="BL354" s="713">
        <v>346</v>
      </c>
      <c r="BM354" s="714"/>
      <c r="BN354" s="239"/>
      <c r="BO354" s="24"/>
      <c r="BQ354" s="621">
        <v>346</v>
      </c>
      <c r="BR354" s="711"/>
      <c r="BS354" s="712"/>
      <c r="BT354" s="713">
        <v>346</v>
      </c>
      <c r="BU354" s="714"/>
      <c r="BV354" s="239"/>
      <c r="BW354" s="24"/>
      <c r="BY354" s="621">
        <v>346</v>
      </c>
      <c r="BZ354" s="711"/>
      <c r="CA354" s="712"/>
      <c r="CB354" s="713">
        <v>346</v>
      </c>
      <c r="CC354" s="714"/>
      <c r="CD354" s="239"/>
      <c r="CE354" s="24"/>
    </row>
    <row r="355" spans="5:83" ht="12" customHeight="1">
      <c r="E355" s="621">
        <v>347</v>
      </c>
      <c r="F355" s="711"/>
      <c r="G355" s="712"/>
      <c r="H355" s="713">
        <v>347</v>
      </c>
      <c r="I355" s="714"/>
      <c r="J355" s="239"/>
      <c r="K355" s="24"/>
      <c r="AI355" s="16" t="e">
        <f t="shared" si="53"/>
        <v>#N/A</v>
      </c>
      <c r="AJ355" s="16" t="str">
        <f t="shared" si="54"/>
        <v/>
      </c>
      <c r="AK355" s="16" t="str">
        <f t="shared" si="55"/>
        <v/>
      </c>
      <c r="AL355" s="16" t="e">
        <f>IF(AK355="",NA(),COUNTIF(AK$176:$AK355,AK355))</f>
        <v>#N/A</v>
      </c>
      <c r="AM355" s="16" t="e">
        <f t="shared" si="56"/>
        <v>#N/A</v>
      </c>
      <c r="AN355" s="16" t="e">
        <f t="shared" si="57"/>
        <v>#N/A</v>
      </c>
      <c r="AO355" s="16" t="str">
        <f t="shared" si="58"/>
        <v/>
      </c>
      <c r="AP355" s="16" t="str">
        <f t="shared" si="59"/>
        <v/>
      </c>
      <c r="AQ355" s="16" t="e">
        <f>IF(AP355="",NA(),COUNTIF(AP$176:$AP355,AP355))</f>
        <v>#N/A</v>
      </c>
      <c r="AR355" s="16" t="e">
        <f t="shared" si="60"/>
        <v>#N/A</v>
      </c>
      <c r="BI355" s="621">
        <v>347</v>
      </c>
      <c r="BJ355" s="711"/>
      <c r="BK355" s="712"/>
      <c r="BL355" s="713">
        <v>347</v>
      </c>
      <c r="BM355" s="714"/>
      <c r="BN355" s="239"/>
      <c r="BO355" s="24"/>
      <c r="BQ355" s="621">
        <v>347</v>
      </c>
      <c r="BR355" s="711"/>
      <c r="BS355" s="712"/>
      <c r="BT355" s="713">
        <v>347</v>
      </c>
      <c r="BU355" s="714"/>
      <c r="BV355" s="239"/>
      <c r="BW355" s="24"/>
      <c r="BY355" s="621">
        <v>347</v>
      </c>
      <c r="BZ355" s="711"/>
      <c r="CA355" s="712"/>
      <c r="CB355" s="713">
        <v>347</v>
      </c>
      <c r="CC355" s="714"/>
      <c r="CD355" s="239"/>
      <c r="CE355" s="24"/>
    </row>
    <row r="356" spans="5:83" ht="12" customHeight="1">
      <c r="E356" s="621">
        <v>348</v>
      </c>
      <c r="F356" s="711"/>
      <c r="G356" s="712"/>
      <c r="H356" s="713">
        <v>348</v>
      </c>
      <c r="I356" s="714"/>
      <c r="J356" s="239"/>
      <c r="K356" s="24"/>
      <c r="AI356" s="16" t="e">
        <f t="shared" si="53"/>
        <v>#N/A</v>
      </c>
      <c r="AJ356" s="16" t="str">
        <f t="shared" si="54"/>
        <v/>
      </c>
      <c r="AK356" s="16" t="str">
        <f t="shared" si="55"/>
        <v/>
      </c>
      <c r="AL356" s="16" t="e">
        <f>IF(AK356="",NA(),COUNTIF(AK$176:$AK356,AK356))</f>
        <v>#N/A</v>
      </c>
      <c r="AM356" s="16" t="e">
        <f t="shared" si="56"/>
        <v>#N/A</v>
      </c>
      <c r="AN356" s="16" t="e">
        <f t="shared" si="57"/>
        <v>#N/A</v>
      </c>
      <c r="AO356" s="16" t="str">
        <f t="shared" si="58"/>
        <v/>
      </c>
      <c r="AP356" s="16" t="str">
        <f t="shared" si="59"/>
        <v/>
      </c>
      <c r="AQ356" s="16" t="e">
        <f>IF(AP356="",NA(),COUNTIF(AP$176:$AP356,AP356))</f>
        <v>#N/A</v>
      </c>
      <c r="AR356" s="16" t="e">
        <f t="shared" si="60"/>
        <v>#N/A</v>
      </c>
      <c r="BI356" s="621">
        <v>348</v>
      </c>
      <c r="BJ356" s="711"/>
      <c r="BK356" s="712"/>
      <c r="BL356" s="713">
        <v>348</v>
      </c>
      <c r="BM356" s="714"/>
      <c r="BN356" s="239"/>
      <c r="BO356" s="24"/>
      <c r="BQ356" s="621">
        <v>348</v>
      </c>
      <c r="BR356" s="711"/>
      <c r="BS356" s="712"/>
      <c r="BT356" s="713">
        <v>348</v>
      </c>
      <c r="BU356" s="714"/>
      <c r="BV356" s="239"/>
      <c r="BW356" s="24"/>
      <c r="BY356" s="621">
        <v>348</v>
      </c>
      <c r="BZ356" s="711"/>
      <c r="CA356" s="712"/>
      <c r="CB356" s="713">
        <v>348</v>
      </c>
      <c r="CC356" s="714"/>
      <c r="CD356" s="239"/>
      <c r="CE356" s="24"/>
    </row>
    <row r="357" spans="5:83" ht="12" customHeight="1">
      <c r="E357" s="621">
        <v>349</v>
      </c>
      <c r="F357" s="711"/>
      <c r="G357" s="712"/>
      <c r="H357" s="713">
        <v>349</v>
      </c>
      <c r="I357" s="714"/>
      <c r="J357" s="239"/>
      <c r="K357" s="24"/>
      <c r="AI357" s="16" t="e">
        <f t="shared" si="53"/>
        <v>#N/A</v>
      </c>
      <c r="AJ357" s="16" t="str">
        <f t="shared" si="54"/>
        <v/>
      </c>
      <c r="AK357" s="16" t="str">
        <f t="shared" si="55"/>
        <v/>
      </c>
      <c r="AL357" s="16" t="e">
        <f>IF(AK357="",NA(),COUNTIF(AK$176:$AK357,AK357))</f>
        <v>#N/A</v>
      </c>
      <c r="AM357" s="16" t="e">
        <f t="shared" si="56"/>
        <v>#N/A</v>
      </c>
      <c r="AN357" s="16" t="e">
        <f t="shared" si="57"/>
        <v>#N/A</v>
      </c>
      <c r="AO357" s="16" t="str">
        <f t="shared" si="58"/>
        <v/>
      </c>
      <c r="AP357" s="16" t="str">
        <f t="shared" si="59"/>
        <v/>
      </c>
      <c r="AQ357" s="16" t="e">
        <f>IF(AP357="",NA(),COUNTIF(AP$176:$AP357,AP357))</f>
        <v>#N/A</v>
      </c>
      <c r="AR357" s="16" t="e">
        <f t="shared" si="60"/>
        <v>#N/A</v>
      </c>
      <c r="BI357" s="621">
        <v>349</v>
      </c>
      <c r="BJ357" s="711"/>
      <c r="BK357" s="712"/>
      <c r="BL357" s="713">
        <v>349</v>
      </c>
      <c r="BM357" s="714"/>
      <c r="BN357" s="239"/>
      <c r="BO357" s="24"/>
      <c r="BQ357" s="621">
        <v>349</v>
      </c>
      <c r="BR357" s="711"/>
      <c r="BS357" s="712"/>
      <c r="BT357" s="713">
        <v>349</v>
      </c>
      <c r="BU357" s="714"/>
      <c r="BV357" s="239"/>
      <c r="BW357" s="24"/>
      <c r="BY357" s="621">
        <v>349</v>
      </c>
      <c r="BZ357" s="711"/>
      <c r="CA357" s="712"/>
      <c r="CB357" s="713">
        <v>349</v>
      </c>
      <c r="CC357" s="714"/>
      <c r="CD357" s="239"/>
      <c r="CE357" s="24"/>
    </row>
    <row r="358" spans="5:83" ht="12" customHeight="1">
      <c r="E358" s="621">
        <v>350</v>
      </c>
      <c r="F358" s="711"/>
      <c r="G358" s="712"/>
      <c r="H358" s="713">
        <v>350</v>
      </c>
      <c r="I358" s="714"/>
      <c r="J358" s="239"/>
      <c r="K358" s="24"/>
      <c r="AI358" s="16" t="e">
        <f t="shared" si="53"/>
        <v>#N/A</v>
      </c>
      <c r="AJ358" s="16" t="str">
        <f t="shared" si="54"/>
        <v/>
      </c>
      <c r="AK358" s="16" t="str">
        <f t="shared" si="55"/>
        <v/>
      </c>
      <c r="AL358" s="16" t="e">
        <f>IF(AK358="",NA(),COUNTIF(AK$176:$AK358,AK358))</f>
        <v>#N/A</v>
      </c>
      <c r="AM358" s="16" t="e">
        <f t="shared" si="56"/>
        <v>#N/A</v>
      </c>
      <c r="AN358" s="16" t="e">
        <f t="shared" si="57"/>
        <v>#N/A</v>
      </c>
      <c r="AO358" s="16" t="str">
        <f t="shared" si="58"/>
        <v/>
      </c>
      <c r="AP358" s="16" t="str">
        <f t="shared" si="59"/>
        <v/>
      </c>
      <c r="AQ358" s="16" t="e">
        <f>IF(AP358="",NA(),COUNTIF(AP$176:$AP358,AP358))</f>
        <v>#N/A</v>
      </c>
      <c r="AR358" s="16" t="e">
        <f t="shared" si="60"/>
        <v>#N/A</v>
      </c>
      <c r="BI358" s="621">
        <v>350</v>
      </c>
      <c r="BJ358" s="711"/>
      <c r="BK358" s="712"/>
      <c r="BL358" s="713">
        <v>350</v>
      </c>
      <c r="BM358" s="714"/>
      <c r="BN358" s="239"/>
      <c r="BO358" s="24"/>
      <c r="BQ358" s="621">
        <v>350</v>
      </c>
      <c r="BR358" s="711"/>
      <c r="BS358" s="712"/>
      <c r="BT358" s="713">
        <v>350</v>
      </c>
      <c r="BU358" s="714"/>
      <c r="BV358" s="239"/>
      <c r="BW358" s="24"/>
      <c r="BY358" s="621">
        <v>350</v>
      </c>
      <c r="BZ358" s="711"/>
      <c r="CA358" s="712"/>
      <c r="CB358" s="713">
        <v>350</v>
      </c>
      <c r="CC358" s="714"/>
      <c r="CD358" s="239"/>
      <c r="CE358" s="24"/>
    </row>
    <row r="359" spans="5:83" ht="12" customHeight="1">
      <c r="E359" s="621">
        <v>351</v>
      </c>
      <c r="F359" s="711"/>
      <c r="G359" s="712"/>
      <c r="H359" s="713">
        <v>351</v>
      </c>
      <c r="I359" s="714"/>
      <c r="J359" s="239"/>
      <c r="K359" s="24"/>
      <c r="AI359" s="16" t="e">
        <f t="shared" si="53"/>
        <v>#N/A</v>
      </c>
      <c r="AJ359" s="16" t="str">
        <f t="shared" si="54"/>
        <v/>
      </c>
      <c r="AK359" s="16" t="str">
        <f t="shared" si="55"/>
        <v/>
      </c>
      <c r="AL359" s="16" t="e">
        <f>IF(AK359="",NA(),COUNTIF(AK$176:$AK359,AK359))</f>
        <v>#N/A</v>
      </c>
      <c r="AM359" s="16" t="e">
        <f t="shared" si="56"/>
        <v>#N/A</v>
      </c>
      <c r="AN359" s="16" t="e">
        <f t="shared" si="57"/>
        <v>#N/A</v>
      </c>
      <c r="AO359" s="16" t="str">
        <f t="shared" si="58"/>
        <v/>
      </c>
      <c r="AP359" s="16" t="str">
        <f t="shared" si="59"/>
        <v/>
      </c>
      <c r="AQ359" s="16" t="e">
        <f>IF(AP359="",NA(),COUNTIF(AP$176:$AP359,AP359))</f>
        <v>#N/A</v>
      </c>
      <c r="AR359" s="16" t="e">
        <f t="shared" si="60"/>
        <v>#N/A</v>
      </c>
      <c r="BI359" s="621">
        <v>351</v>
      </c>
      <c r="BJ359" s="711"/>
      <c r="BK359" s="712"/>
      <c r="BL359" s="713">
        <v>351</v>
      </c>
      <c r="BM359" s="714"/>
      <c r="BN359" s="239"/>
      <c r="BO359" s="24"/>
      <c r="BQ359" s="621">
        <v>351</v>
      </c>
      <c r="BR359" s="711"/>
      <c r="BS359" s="712"/>
      <c r="BT359" s="713">
        <v>351</v>
      </c>
      <c r="BU359" s="714"/>
      <c r="BV359" s="239"/>
      <c r="BW359" s="24"/>
      <c r="BY359" s="621">
        <v>351</v>
      </c>
      <c r="BZ359" s="711"/>
      <c r="CA359" s="712"/>
      <c r="CB359" s="713">
        <v>351</v>
      </c>
      <c r="CC359" s="714"/>
      <c r="CD359" s="239"/>
      <c r="CE359" s="24"/>
    </row>
    <row r="360" spans="5:83" ht="12" customHeight="1">
      <c r="E360" s="621">
        <v>352</v>
      </c>
      <c r="F360" s="711"/>
      <c r="G360" s="712"/>
      <c r="H360" s="713">
        <v>352</v>
      </c>
      <c r="I360" s="714"/>
      <c r="J360" s="239"/>
      <c r="K360" s="24"/>
      <c r="AI360" s="16" t="e">
        <f t="shared" si="53"/>
        <v>#N/A</v>
      </c>
      <c r="AJ360" s="16" t="str">
        <f t="shared" si="54"/>
        <v/>
      </c>
      <c r="AK360" s="16" t="str">
        <f t="shared" si="55"/>
        <v/>
      </c>
      <c r="AL360" s="16" t="e">
        <f>IF(AK360="",NA(),COUNTIF(AK$176:$AK360,AK360))</f>
        <v>#N/A</v>
      </c>
      <c r="AM360" s="16" t="e">
        <f t="shared" si="56"/>
        <v>#N/A</v>
      </c>
      <c r="AN360" s="16" t="e">
        <f t="shared" si="57"/>
        <v>#N/A</v>
      </c>
      <c r="AO360" s="16" t="str">
        <f t="shared" si="58"/>
        <v/>
      </c>
      <c r="AP360" s="16" t="str">
        <f t="shared" si="59"/>
        <v/>
      </c>
      <c r="AQ360" s="16" t="e">
        <f>IF(AP360="",NA(),COUNTIF(AP$176:$AP360,AP360))</f>
        <v>#N/A</v>
      </c>
      <c r="AR360" s="16" t="e">
        <f t="shared" si="60"/>
        <v>#N/A</v>
      </c>
      <c r="BI360" s="621">
        <v>352</v>
      </c>
      <c r="BJ360" s="711"/>
      <c r="BK360" s="712"/>
      <c r="BL360" s="713">
        <v>352</v>
      </c>
      <c r="BM360" s="714"/>
      <c r="BN360" s="239"/>
      <c r="BO360" s="24"/>
      <c r="BQ360" s="621">
        <v>352</v>
      </c>
      <c r="BR360" s="711"/>
      <c r="BS360" s="712"/>
      <c r="BT360" s="713">
        <v>352</v>
      </c>
      <c r="BU360" s="714"/>
      <c r="BV360" s="239"/>
      <c r="BW360" s="24"/>
      <c r="BY360" s="621">
        <v>352</v>
      </c>
      <c r="BZ360" s="711"/>
      <c r="CA360" s="712"/>
      <c r="CB360" s="713">
        <v>352</v>
      </c>
      <c r="CC360" s="714"/>
      <c r="CD360" s="239"/>
      <c r="CE360" s="24"/>
    </row>
    <row r="361" spans="5:83" ht="12" customHeight="1">
      <c r="E361" s="621">
        <v>353</v>
      </c>
      <c r="F361" s="711"/>
      <c r="G361" s="712"/>
      <c r="H361" s="713">
        <v>353</v>
      </c>
      <c r="I361" s="714"/>
      <c r="J361" s="239"/>
      <c r="K361" s="24"/>
      <c r="AI361" s="16" t="e">
        <f t="shared" si="53"/>
        <v>#N/A</v>
      </c>
      <c r="AJ361" s="16" t="str">
        <f t="shared" si="54"/>
        <v/>
      </c>
      <c r="AK361" s="16" t="str">
        <f t="shared" si="55"/>
        <v/>
      </c>
      <c r="AL361" s="16" t="e">
        <f>IF(AK361="",NA(),COUNTIF(AK$176:$AK361,AK361))</f>
        <v>#N/A</v>
      </c>
      <c r="AM361" s="16" t="e">
        <f t="shared" si="56"/>
        <v>#N/A</v>
      </c>
      <c r="AN361" s="16" t="e">
        <f t="shared" si="57"/>
        <v>#N/A</v>
      </c>
      <c r="AO361" s="16" t="str">
        <f t="shared" si="58"/>
        <v/>
      </c>
      <c r="AP361" s="16" t="str">
        <f t="shared" si="59"/>
        <v/>
      </c>
      <c r="AQ361" s="16" t="e">
        <f>IF(AP361="",NA(),COUNTIF(AP$176:$AP361,AP361))</f>
        <v>#N/A</v>
      </c>
      <c r="AR361" s="16" t="e">
        <f t="shared" si="60"/>
        <v>#N/A</v>
      </c>
      <c r="BI361" s="621">
        <v>353</v>
      </c>
      <c r="BJ361" s="711"/>
      <c r="BK361" s="712"/>
      <c r="BL361" s="713">
        <v>353</v>
      </c>
      <c r="BM361" s="714"/>
      <c r="BN361" s="239"/>
      <c r="BO361" s="24"/>
      <c r="BQ361" s="621">
        <v>353</v>
      </c>
      <c r="BR361" s="711"/>
      <c r="BS361" s="712"/>
      <c r="BT361" s="713">
        <v>353</v>
      </c>
      <c r="BU361" s="714"/>
      <c r="BV361" s="239"/>
      <c r="BW361" s="24"/>
      <c r="BY361" s="621">
        <v>353</v>
      </c>
      <c r="BZ361" s="711"/>
      <c r="CA361" s="712"/>
      <c r="CB361" s="713">
        <v>353</v>
      </c>
      <c r="CC361" s="714"/>
      <c r="CD361" s="239"/>
      <c r="CE361" s="24"/>
    </row>
    <row r="362" spans="5:83" ht="12" customHeight="1">
      <c r="E362" s="621">
        <v>354</v>
      </c>
      <c r="F362" s="711"/>
      <c r="G362" s="712"/>
      <c r="H362" s="713">
        <v>354</v>
      </c>
      <c r="I362" s="714"/>
      <c r="J362" s="239"/>
      <c r="K362" s="24"/>
      <c r="AI362" s="16" t="e">
        <f t="shared" si="53"/>
        <v>#N/A</v>
      </c>
      <c r="AJ362" s="16" t="str">
        <f t="shared" si="54"/>
        <v/>
      </c>
      <c r="AK362" s="16" t="str">
        <f t="shared" si="55"/>
        <v/>
      </c>
      <c r="AL362" s="16" t="e">
        <f>IF(AK362="",NA(),COUNTIF(AK$176:$AK362,AK362))</f>
        <v>#N/A</v>
      </c>
      <c r="AM362" s="16" t="e">
        <f t="shared" si="56"/>
        <v>#N/A</v>
      </c>
      <c r="AN362" s="16" t="e">
        <f t="shared" si="57"/>
        <v>#N/A</v>
      </c>
      <c r="AO362" s="16" t="str">
        <f t="shared" si="58"/>
        <v/>
      </c>
      <c r="AP362" s="16" t="str">
        <f t="shared" si="59"/>
        <v/>
      </c>
      <c r="AQ362" s="16" t="e">
        <f>IF(AP362="",NA(),COUNTIF(AP$176:$AP362,AP362))</f>
        <v>#N/A</v>
      </c>
      <c r="AR362" s="16" t="e">
        <f t="shared" si="60"/>
        <v>#N/A</v>
      </c>
      <c r="BI362" s="621">
        <v>354</v>
      </c>
      <c r="BJ362" s="711"/>
      <c r="BK362" s="712"/>
      <c r="BL362" s="713">
        <v>354</v>
      </c>
      <c r="BM362" s="714"/>
      <c r="BN362" s="239"/>
      <c r="BO362" s="24"/>
      <c r="BQ362" s="621">
        <v>354</v>
      </c>
      <c r="BR362" s="711"/>
      <c r="BS362" s="712"/>
      <c r="BT362" s="713">
        <v>354</v>
      </c>
      <c r="BU362" s="714"/>
      <c r="BV362" s="239"/>
      <c r="BW362" s="24"/>
      <c r="BY362" s="621">
        <v>354</v>
      </c>
      <c r="BZ362" s="711"/>
      <c r="CA362" s="712"/>
      <c r="CB362" s="713">
        <v>354</v>
      </c>
      <c r="CC362" s="714"/>
      <c r="CD362" s="239"/>
      <c r="CE362" s="24"/>
    </row>
    <row r="363" spans="5:83" ht="12" customHeight="1">
      <c r="E363" s="621">
        <v>355</v>
      </c>
      <c r="F363" s="711"/>
      <c r="G363" s="712"/>
      <c r="H363" s="713">
        <v>355</v>
      </c>
      <c r="I363" s="714"/>
      <c r="J363" s="239"/>
      <c r="K363" s="24"/>
      <c r="AI363" s="16" t="e">
        <f t="shared" si="53"/>
        <v>#N/A</v>
      </c>
      <c r="AJ363" s="16" t="str">
        <f t="shared" si="54"/>
        <v/>
      </c>
      <c r="AK363" s="16" t="str">
        <f t="shared" si="55"/>
        <v/>
      </c>
      <c r="AL363" s="16" t="e">
        <f>IF(AK363="",NA(),COUNTIF(AK$176:$AK363,AK363))</f>
        <v>#N/A</v>
      </c>
      <c r="AM363" s="16" t="e">
        <f t="shared" si="56"/>
        <v>#N/A</v>
      </c>
      <c r="AN363" s="16" t="e">
        <f t="shared" si="57"/>
        <v>#N/A</v>
      </c>
      <c r="AO363" s="16" t="str">
        <f t="shared" si="58"/>
        <v/>
      </c>
      <c r="AP363" s="16" t="str">
        <f t="shared" si="59"/>
        <v/>
      </c>
      <c r="AQ363" s="16" t="e">
        <f>IF(AP363="",NA(),COUNTIF(AP$176:$AP363,AP363))</f>
        <v>#N/A</v>
      </c>
      <c r="AR363" s="16" t="e">
        <f t="shared" si="60"/>
        <v>#N/A</v>
      </c>
      <c r="BI363" s="621">
        <v>355</v>
      </c>
      <c r="BJ363" s="711"/>
      <c r="BK363" s="712"/>
      <c r="BL363" s="713">
        <v>355</v>
      </c>
      <c r="BM363" s="714"/>
      <c r="BN363" s="239"/>
      <c r="BO363" s="24"/>
      <c r="BQ363" s="621">
        <v>355</v>
      </c>
      <c r="BR363" s="711"/>
      <c r="BS363" s="712"/>
      <c r="BT363" s="713">
        <v>355</v>
      </c>
      <c r="BU363" s="714"/>
      <c r="BV363" s="239"/>
      <c r="BW363" s="24"/>
      <c r="BY363" s="621">
        <v>355</v>
      </c>
      <c r="BZ363" s="711"/>
      <c r="CA363" s="712"/>
      <c r="CB363" s="713">
        <v>355</v>
      </c>
      <c r="CC363" s="714"/>
      <c r="CD363" s="239"/>
      <c r="CE363" s="24"/>
    </row>
    <row r="364" spans="5:83" ht="12" customHeight="1">
      <c r="E364" s="621">
        <v>356</v>
      </c>
      <c r="F364" s="711"/>
      <c r="G364" s="712"/>
      <c r="H364" s="713">
        <v>356</v>
      </c>
      <c r="I364" s="714"/>
      <c r="J364" s="239"/>
      <c r="K364" s="24"/>
      <c r="AI364" s="16" t="e">
        <f t="shared" si="53"/>
        <v>#N/A</v>
      </c>
      <c r="AJ364" s="16" t="str">
        <f t="shared" si="54"/>
        <v/>
      </c>
      <c r="AK364" s="16" t="str">
        <f t="shared" si="55"/>
        <v/>
      </c>
      <c r="AL364" s="16" t="e">
        <f>IF(AK364="",NA(),COUNTIF(AK$176:$AK364,AK364))</f>
        <v>#N/A</v>
      </c>
      <c r="AM364" s="16" t="e">
        <f t="shared" si="56"/>
        <v>#N/A</v>
      </c>
      <c r="AN364" s="16" t="e">
        <f t="shared" si="57"/>
        <v>#N/A</v>
      </c>
      <c r="AO364" s="16" t="str">
        <f t="shared" si="58"/>
        <v/>
      </c>
      <c r="AP364" s="16" t="str">
        <f t="shared" si="59"/>
        <v/>
      </c>
      <c r="AQ364" s="16" t="e">
        <f>IF(AP364="",NA(),COUNTIF(AP$176:$AP364,AP364))</f>
        <v>#N/A</v>
      </c>
      <c r="AR364" s="16" t="e">
        <f t="shared" si="60"/>
        <v>#N/A</v>
      </c>
      <c r="BI364" s="621">
        <v>356</v>
      </c>
      <c r="BJ364" s="711"/>
      <c r="BK364" s="712"/>
      <c r="BL364" s="713">
        <v>356</v>
      </c>
      <c r="BM364" s="714"/>
      <c r="BN364" s="239"/>
      <c r="BO364" s="24"/>
      <c r="BQ364" s="621">
        <v>356</v>
      </c>
      <c r="BR364" s="711"/>
      <c r="BS364" s="712"/>
      <c r="BT364" s="713">
        <v>356</v>
      </c>
      <c r="BU364" s="714"/>
      <c r="BV364" s="239"/>
      <c r="BW364" s="24"/>
      <c r="BY364" s="621">
        <v>356</v>
      </c>
      <c r="BZ364" s="711"/>
      <c r="CA364" s="712"/>
      <c r="CB364" s="713">
        <v>356</v>
      </c>
      <c r="CC364" s="714"/>
      <c r="CD364" s="239"/>
      <c r="CE364" s="24"/>
    </row>
    <row r="365" spans="5:83" ht="12" customHeight="1">
      <c r="E365" s="621">
        <v>357</v>
      </c>
      <c r="F365" s="711"/>
      <c r="G365" s="712"/>
      <c r="H365" s="713">
        <v>357</v>
      </c>
      <c r="I365" s="714"/>
      <c r="J365" s="239"/>
      <c r="K365" s="24"/>
      <c r="AI365" s="16" t="e">
        <f t="shared" si="53"/>
        <v>#N/A</v>
      </c>
      <c r="AJ365" s="16" t="str">
        <f t="shared" si="54"/>
        <v/>
      </c>
      <c r="AK365" s="16" t="str">
        <f t="shared" si="55"/>
        <v/>
      </c>
      <c r="AL365" s="16" t="e">
        <f>IF(AK365="",NA(),COUNTIF(AK$176:$AK365,AK365))</f>
        <v>#N/A</v>
      </c>
      <c r="AM365" s="16" t="e">
        <f t="shared" si="56"/>
        <v>#N/A</v>
      </c>
      <c r="AN365" s="16" t="e">
        <f t="shared" si="57"/>
        <v>#N/A</v>
      </c>
      <c r="AO365" s="16" t="str">
        <f t="shared" si="58"/>
        <v/>
      </c>
      <c r="AP365" s="16" t="str">
        <f t="shared" si="59"/>
        <v/>
      </c>
      <c r="AQ365" s="16" t="e">
        <f>IF(AP365="",NA(),COUNTIF(AP$176:$AP365,AP365))</f>
        <v>#N/A</v>
      </c>
      <c r="AR365" s="16" t="e">
        <f t="shared" si="60"/>
        <v>#N/A</v>
      </c>
      <c r="BI365" s="621">
        <v>357</v>
      </c>
      <c r="BJ365" s="711"/>
      <c r="BK365" s="712"/>
      <c r="BL365" s="713">
        <v>357</v>
      </c>
      <c r="BM365" s="714"/>
      <c r="BN365" s="239"/>
      <c r="BO365" s="24"/>
      <c r="BQ365" s="621">
        <v>357</v>
      </c>
      <c r="BR365" s="711"/>
      <c r="BS365" s="712"/>
      <c r="BT365" s="713">
        <v>357</v>
      </c>
      <c r="BU365" s="714"/>
      <c r="BV365" s="239"/>
      <c r="BW365" s="24"/>
      <c r="BY365" s="621">
        <v>357</v>
      </c>
      <c r="BZ365" s="711"/>
      <c r="CA365" s="712"/>
      <c r="CB365" s="713">
        <v>357</v>
      </c>
      <c r="CC365" s="714"/>
      <c r="CD365" s="239"/>
      <c r="CE365" s="24"/>
    </row>
    <row r="366" spans="5:83" ht="12" customHeight="1">
      <c r="E366" s="621">
        <v>358</v>
      </c>
      <c r="F366" s="711"/>
      <c r="G366" s="712"/>
      <c r="H366" s="713">
        <v>358</v>
      </c>
      <c r="I366" s="714"/>
      <c r="J366" s="239"/>
      <c r="K366" s="24"/>
      <c r="AI366" s="16" t="e">
        <f t="shared" si="53"/>
        <v>#N/A</v>
      </c>
      <c r="AJ366" s="16" t="str">
        <f t="shared" si="54"/>
        <v/>
      </c>
      <c r="AK366" s="16" t="str">
        <f t="shared" si="55"/>
        <v/>
      </c>
      <c r="AL366" s="16" t="e">
        <f>IF(AK366="",NA(),COUNTIF(AK$176:$AK366,AK366))</f>
        <v>#N/A</v>
      </c>
      <c r="AM366" s="16" t="e">
        <f t="shared" si="56"/>
        <v>#N/A</v>
      </c>
      <c r="AN366" s="16" t="e">
        <f t="shared" si="57"/>
        <v>#N/A</v>
      </c>
      <c r="AO366" s="16" t="str">
        <f t="shared" si="58"/>
        <v/>
      </c>
      <c r="AP366" s="16" t="str">
        <f t="shared" si="59"/>
        <v/>
      </c>
      <c r="AQ366" s="16" t="e">
        <f>IF(AP366="",NA(),COUNTIF(AP$176:$AP366,AP366))</f>
        <v>#N/A</v>
      </c>
      <c r="AR366" s="16" t="e">
        <f t="shared" si="60"/>
        <v>#N/A</v>
      </c>
      <c r="BI366" s="621">
        <v>358</v>
      </c>
      <c r="BJ366" s="711"/>
      <c r="BK366" s="712"/>
      <c r="BL366" s="713">
        <v>358</v>
      </c>
      <c r="BM366" s="714"/>
      <c r="BN366" s="239"/>
      <c r="BO366" s="24"/>
      <c r="BQ366" s="621">
        <v>358</v>
      </c>
      <c r="BR366" s="711"/>
      <c r="BS366" s="712"/>
      <c r="BT366" s="713">
        <v>358</v>
      </c>
      <c r="BU366" s="714"/>
      <c r="BV366" s="239"/>
      <c r="BW366" s="24"/>
      <c r="BY366" s="621">
        <v>358</v>
      </c>
      <c r="BZ366" s="711"/>
      <c r="CA366" s="712"/>
      <c r="CB366" s="713">
        <v>358</v>
      </c>
      <c r="CC366" s="714"/>
      <c r="CD366" s="239"/>
      <c r="CE366" s="24"/>
    </row>
    <row r="367" spans="5:83" ht="12" customHeight="1">
      <c r="E367" s="621">
        <v>359</v>
      </c>
      <c r="F367" s="711"/>
      <c r="G367" s="712"/>
      <c r="H367" s="713">
        <v>359</v>
      </c>
      <c r="I367" s="714"/>
      <c r="J367" s="239"/>
      <c r="K367" s="24"/>
      <c r="AI367" s="16" t="e">
        <f t="shared" si="53"/>
        <v>#N/A</v>
      </c>
      <c r="AJ367" s="16" t="str">
        <f t="shared" si="54"/>
        <v/>
      </c>
      <c r="AK367" s="16" t="str">
        <f t="shared" si="55"/>
        <v/>
      </c>
      <c r="AL367" s="16" t="e">
        <f>IF(AK367="",NA(),COUNTIF(AK$176:$AK367,AK367))</f>
        <v>#N/A</v>
      </c>
      <c r="AM367" s="16" t="e">
        <f t="shared" si="56"/>
        <v>#N/A</v>
      </c>
      <c r="AN367" s="16" t="e">
        <f t="shared" si="57"/>
        <v>#N/A</v>
      </c>
      <c r="AO367" s="16" t="str">
        <f t="shared" si="58"/>
        <v/>
      </c>
      <c r="AP367" s="16" t="str">
        <f t="shared" si="59"/>
        <v/>
      </c>
      <c r="AQ367" s="16" t="e">
        <f>IF(AP367="",NA(),COUNTIF(AP$176:$AP367,AP367))</f>
        <v>#N/A</v>
      </c>
      <c r="AR367" s="16" t="e">
        <f t="shared" si="60"/>
        <v>#N/A</v>
      </c>
      <c r="BI367" s="621">
        <v>359</v>
      </c>
      <c r="BJ367" s="711"/>
      <c r="BK367" s="712"/>
      <c r="BL367" s="713">
        <v>359</v>
      </c>
      <c r="BM367" s="714"/>
      <c r="BN367" s="239"/>
      <c r="BO367" s="24"/>
      <c r="BQ367" s="621">
        <v>359</v>
      </c>
      <c r="BR367" s="711"/>
      <c r="BS367" s="712"/>
      <c r="BT367" s="713">
        <v>359</v>
      </c>
      <c r="BU367" s="714"/>
      <c r="BV367" s="239"/>
      <c r="BW367" s="24"/>
      <c r="BY367" s="621">
        <v>359</v>
      </c>
      <c r="BZ367" s="711"/>
      <c r="CA367" s="712"/>
      <c r="CB367" s="713">
        <v>359</v>
      </c>
      <c r="CC367" s="714"/>
      <c r="CD367" s="239"/>
      <c r="CE367" s="24"/>
    </row>
    <row r="368" spans="5:83" ht="12" customHeight="1">
      <c r="E368" s="621">
        <v>360</v>
      </c>
      <c r="F368" s="711"/>
      <c r="G368" s="712"/>
      <c r="H368" s="713">
        <v>360</v>
      </c>
      <c r="I368" s="714"/>
      <c r="J368" s="239"/>
      <c r="K368" s="24"/>
      <c r="AI368" s="16" t="e">
        <f t="shared" si="53"/>
        <v>#N/A</v>
      </c>
      <c r="AJ368" s="16" t="str">
        <f t="shared" si="54"/>
        <v/>
      </c>
      <c r="AK368" s="16" t="str">
        <f t="shared" si="55"/>
        <v/>
      </c>
      <c r="AL368" s="16" t="e">
        <f>IF(AK368="",NA(),COUNTIF(AK$176:$AK368,AK368))</f>
        <v>#N/A</v>
      </c>
      <c r="AM368" s="16" t="e">
        <f t="shared" si="56"/>
        <v>#N/A</v>
      </c>
      <c r="AN368" s="16" t="e">
        <f t="shared" si="57"/>
        <v>#N/A</v>
      </c>
      <c r="AO368" s="16" t="str">
        <f t="shared" si="58"/>
        <v/>
      </c>
      <c r="AP368" s="16" t="str">
        <f t="shared" si="59"/>
        <v/>
      </c>
      <c r="AQ368" s="16" t="e">
        <f>IF(AP368="",NA(),COUNTIF(AP$176:$AP368,AP368))</f>
        <v>#N/A</v>
      </c>
      <c r="AR368" s="16" t="e">
        <f t="shared" si="60"/>
        <v>#N/A</v>
      </c>
      <c r="BI368" s="621">
        <v>360</v>
      </c>
      <c r="BJ368" s="711"/>
      <c r="BK368" s="712"/>
      <c r="BL368" s="713">
        <v>360</v>
      </c>
      <c r="BM368" s="714"/>
      <c r="BN368" s="239"/>
      <c r="BO368" s="24"/>
      <c r="BQ368" s="621">
        <v>360</v>
      </c>
      <c r="BR368" s="711"/>
      <c r="BS368" s="712"/>
      <c r="BT368" s="713">
        <v>360</v>
      </c>
      <c r="BU368" s="714"/>
      <c r="BV368" s="239"/>
      <c r="BW368" s="24"/>
      <c r="BY368" s="621">
        <v>360</v>
      </c>
      <c r="BZ368" s="711"/>
      <c r="CA368" s="712"/>
      <c r="CB368" s="713">
        <v>360</v>
      </c>
      <c r="CC368" s="714"/>
      <c r="CD368" s="239"/>
      <c r="CE368" s="24"/>
    </row>
    <row r="369" spans="5:83" ht="12" customHeight="1">
      <c r="E369" s="621">
        <v>361</v>
      </c>
      <c r="F369" s="711"/>
      <c r="G369" s="712"/>
      <c r="H369" s="713">
        <v>361</v>
      </c>
      <c r="I369" s="714"/>
      <c r="J369" s="239"/>
      <c r="K369" s="24"/>
      <c r="AI369" s="16" t="e">
        <f t="shared" si="53"/>
        <v>#N/A</v>
      </c>
      <c r="AJ369" s="16" t="str">
        <f t="shared" si="54"/>
        <v/>
      </c>
      <c r="AK369" s="16" t="str">
        <f t="shared" si="55"/>
        <v/>
      </c>
      <c r="AL369" s="16" t="e">
        <f>IF(AK369="",NA(),COUNTIF(AK$176:$AK369,AK369))</f>
        <v>#N/A</v>
      </c>
      <c r="AM369" s="16" t="e">
        <f t="shared" si="56"/>
        <v>#N/A</v>
      </c>
      <c r="AN369" s="16" t="e">
        <f t="shared" si="57"/>
        <v>#N/A</v>
      </c>
      <c r="AO369" s="16" t="str">
        <f t="shared" si="58"/>
        <v/>
      </c>
      <c r="AP369" s="16" t="str">
        <f t="shared" si="59"/>
        <v/>
      </c>
      <c r="AQ369" s="16" t="e">
        <f>IF(AP369="",NA(),COUNTIF(AP$176:$AP369,AP369))</f>
        <v>#N/A</v>
      </c>
      <c r="AR369" s="16" t="e">
        <f t="shared" si="60"/>
        <v>#N/A</v>
      </c>
      <c r="BI369" s="621">
        <v>361</v>
      </c>
      <c r="BJ369" s="711"/>
      <c r="BK369" s="712"/>
      <c r="BL369" s="713">
        <v>361</v>
      </c>
      <c r="BM369" s="714"/>
      <c r="BN369" s="239"/>
      <c r="BO369" s="24"/>
      <c r="BQ369" s="621">
        <v>361</v>
      </c>
      <c r="BR369" s="711"/>
      <c r="BS369" s="712"/>
      <c r="BT369" s="713">
        <v>361</v>
      </c>
      <c r="BU369" s="714"/>
      <c r="BV369" s="239"/>
      <c r="BW369" s="24"/>
      <c r="BY369" s="621">
        <v>361</v>
      </c>
      <c r="BZ369" s="711"/>
      <c r="CA369" s="712"/>
      <c r="CB369" s="713">
        <v>361</v>
      </c>
      <c r="CC369" s="714"/>
      <c r="CD369" s="239"/>
      <c r="CE369" s="24"/>
    </row>
    <row r="370" spans="5:83" ht="12" customHeight="1">
      <c r="E370" s="621">
        <v>362</v>
      </c>
      <c r="F370" s="711"/>
      <c r="G370" s="712"/>
      <c r="H370" s="713">
        <v>362</v>
      </c>
      <c r="I370" s="714"/>
      <c r="J370" s="239"/>
      <c r="K370" s="24"/>
      <c r="AI370" s="16" t="e">
        <f t="shared" si="53"/>
        <v>#N/A</v>
      </c>
      <c r="AJ370" s="16" t="str">
        <f t="shared" si="54"/>
        <v/>
      </c>
      <c r="AK370" s="16" t="str">
        <f t="shared" si="55"/>
        <v/>
      </c>
      <c r="AL370" s="16" t="e">
        <f>IF(AK370="",NA(),COUNTIF(AK$176:$AK370,AK370))</f>
        <v>#N/A</v>
      </c>
      <c r="AM370" s="16" t="e">
        <f t="shared" si="56"/>
        <v>#N/A</v>
      </c>
      <c r="AN370" s="16" t="e">
        <f t="shared" si="57"/>
        <v>#N/A</v>
      </c>
      <c r="AO370" s="16" t="str">
        <f t="shared" si="58"/>
        <v/>
      </c>
      <c r="AP370" s="16" t="str">
        <f t="shared" si="59"/>
        <v/>
      </c>
      <c r="AQ370" s="16" t="e">
        <f>IF(AP370="",NA(),COUNTIF(AP$176:$AP370,AP370))</f>
        <v>#N/A</v>
      </c>
      <c r="AR370" s="16" t="e">
        <f t="shared" si="60"/>
        <v>#N/A</v>
      </c>
      <c r="BI370" s="621">
        <v>362</v>
      </c>
      <c r="BJ370" s="711"/>
      <c r="BK370" s="712"/>
      <c r="BL370" s="713">
        <v>362</v>
      </c>
      <c r="BM370" s="714"/>
      <c r="BN370" s="239"/>
      <c r="BO370" s="24"/>
      <c r="BQ370" s="621">
        <v>362</v>
      </c>
      <c r="BR370" s="711"/>
      <c r="BS370" s="712"/>
      <c r="BT370" s="713">
        <v>362</v>
      </c>
      <c r="BU370" s="714"/>
      <c r="BV370" s="239"/>
      <c r="BW370" s="24"/>
      <c r="BY370" s="621">
        <v>362</v>
      </c>
      <c r="BZ370" s="711"/>
      <c r="CA370" s="712"/>
      <c r="CB370" s="713">
        <v>362</v>
      </c>
      <c r="CC370" s="714"/>
      <c r="CD370" s="239"/>
      <c r="CE370" s="24"/>
    </row>
    <row r="371" spans="5:83" ht="12" customHeight="1">
      <c r="E371" s="621">
        <v>363</v>
      </c>
      <c r="F371" s="711"/>
      <c r="G371" s="712"/>
      <c r="H371" s="713">
        <v>363</v>
      </c>
      <c r="I371" s="714"/>
      <c r="J371" s="239"/>
      <c r="K371" s="24"/>
      <c r="AI371" s="16" t="e">
        <f t="shared" si="53"/>
        <v>#N/A</v>
      </c>
      <c r="AJ371" s="16" t="str">
        <f t="shared" si="54"/>
        <v/>
      </c>
      <c r="AK371" s="16" t="str">
        <f t="shared" si="55"/>
        <v/>
      </c>
      <c r="AL371" s="16" t="e">
        <f>IF(AK371="",NA(),COUNTIF(AK$176:$AK371,AK371))</f>
        <v>#N/A</v>
      </c>
      <c r="AM371" s="16" t="e">
        <f t="shared" si="56"/>
        <v>#N/A</v>
      </c>
      <c r="AN371" s="16" t="e">
        <f t="shared" si="57"/>
        <v>#N/A</v>
      </c>
      <c r="AO371" s="16" t="str">
        <f t="shared" si="58"/>
        <v/>
      </c>
      <c r="AP371" s="16" t="str">
        <f t="shared" si="59"/>
        <v/>
      </c>
      <c r="AQ371" s="16" t="e">
        <f>IF(AP371="",NA(),COUNTIF(AP$176:$AP371,AP371))</f>
        <v>#N/A</v>
      </c>
      <c r="AR371" s="16" t="e">
        <f t="shared" si="60"/>
        <v>#N/A</v>
      </c>
      <c r="BI371" s="621">
        <v>363</v>
      </c>
      <c r="BJ371" s="711"/>
      <c r="BK371" s="712"/>
      <c r="BL371" s="713">
        <v>363</v>
      </c>
      <c r="BM371" s="714"/>
      <c r="BN371" s="239"/>
      <c r="BO371" s="24"/>
      <c r="BQ371" s="621">
        <v>363</v>
      </c>
      <c r="BR371" s="711"/>
      <c r="BS371" s="712"/>
      <c r="BT371" s="713">
        <v>363</v>
      </c>
      <c r="BU371" s="714"/>
      <c r="BV371" s="239"/>
      <c r="BW371" s="24"/>
      <c r="BY371" s="621">
        <v>363</v>
      </c>
      <c r="BZ371" s="711"/>
      <c r="CA371" s="712"/>
      <c r="CB371" s="713">
        <v>363</v>
      </c>
      <c r="CC371" s="714"/>
      <c r="CD371" s="239"/>
      <c r="CE371" s="24"/>
    </row>
    <row r="372" spans="5:83" ht="12" customHeight="1">
      <c r="E372" s="621">
        <v>364</v>
      </c>
      <c r="F372" s="711"/>
      <c r="G372" s="712"/>
      <c r="H372" s="713">
        <v>364</v>
      </c>
      <c r="I372" s="714"/>
      <c r="J372" s="239"/>
      <c r="K372" s="24"/>
      <c r="AI372" s="16" t="e">
        <f t="shared" si="53"/>
        <v>#N/A</v>
      </c>
      <c r="AJ372" s="16" t="str">
        <f t="shared" si="54"/>
        <v/>
      </c>
      <c r="AK372" s="16" t="str">
        <f t="shared" si="55"/>
        <v/>
      </c>
      <c r="AL372" s="16" t="e">
        <f>IF(AK372="",NA(),COUNTIF(AK$176:$AK372,AK372))</f>
        <v>#N/A</v>
      </c>
      <c r="AM372" s="16" t="e">
        <f t="shared" si="56"/>
        <v>#N/A</v>
      </c>
      <c r="AN372" s="16" t="e">
        <f t="shared" si="57"/>
        <v>#N/A</v>
      </c>
      <c r="AO372" s="16" t="str">
        <f t="shared" si="58"/>
        <v/>
      </c>
      <c r="AP372" s="16" t="str">
        <f t="shared" si="59"/>
        <v/>
      </c>
      <c r="AQ372" s="16" t="e">
        <f>IF(AP372="",NA(),COUNTIF(AP$176:$AP372,AP372))</f>
        <v>#N/A</v>
      </c>
      <c r="AR372" s="16" t="e">
        <f t="shared" si="60"/>
        <v>#N/A</v>
      </c>
      <c r="BI372" s="621">
        <v>364</v>
      </c>
      <c r="BJ372" s="711"/>
      <c r="BK372" s="712"/>
      <c r="BL372" s="713">
        <v>364</v>
      </c>
      <c r="BM372" s="714"/>
      <c r="BN372" s="239"/>
      <c r="BO372" s="24"/>
      <c r="BQ372" s="621">
        <v>364</v>
      </c>
      <c r="BR372" s="711"/>
      <c r="BS372" s="712"/>
      <c r="BT372" s="713">
        <v>364</v>
      </c>
      <c r="BU372" s="714"/>
      <c r="BV372" s="239"/>
      <c r="BW372" s="24"/>
      <c r="BY372" s="621">
        <v>364</v>
      </c>
      <c r="BZ372" s="711"/>
      <c r="CA372" s="712"/>
      <c r="CB372" s="713">
        <v>364</v>
      </c>
      <c r="CC372" s="714"/>
      <c r="CD372" s="239"/>
      <c r="CE372" s="24"/>
    </row>
    <row r="373" spans="5:83" ht="12" customHeight="1">
      <c r="E373" s="621">
        <v>365</v>
      </c>
      <c r="F373" s="711"/>
      <c r="G373" s="712"/>
      <c r="H373" s="713">
        <v>365</v>
      </c>
      <c r="I373" s="714"/>
      <c r="J373" s="239"/>
      <c r="K373" s="24"/>
      <c r="AI373" s="16" t="e">
        <f t="shared" si="53"/>
        <v>#N/A</v>
      </c>
      <c r="AJ373" s="16" t="str">
        <f t="shared" si="54"/>
        <v/>
      </c>
      <c r="AK373" s="16" t="str">
        <f t="shared" si="55"/>
        <v/>
      </c>
      <c r="AL373" s="16" t="e">
        <f>IF(AK373="",NA(),COUNTIF(AK$176:$AK373,AK373))</f>
        <v>#N/A</v>
      </c>
      <c r="AM373" s="16" t="e">
        <f t="shared" si="56"/>
        <v>#N/A</v>
      </c>
      <c r="AN373" s="16" t="e">
        <f t="shared" si="57"/>
        <v>#N/A</v>
      </c>
      <c r="AO373" s="16" t="str">
        <f t="shared" si="58"/>
        <v/>
      </c>
      <c r="AP373" s="16" t="str">
        <f t="shared" si="59"/>
        <v/>
      </c>
      <c r="AQ373" s="16" t="e">
        <f>IF(AP373="",NA(),COUNTIF(AP$176:$AP373,AP373))</f>
        <v>#N/A</v>
      </c>
      <c r="AR373" s="16" t="e">
        <f t="shared" si="60"/>
        <v>#N/A</v>
      </c>
      <c r="BI373" s="621">
        <v>365</v>
      </c>
      <c r="BJ373" s="711"/>
      <c r="BK373" s="712"/>
      <c r="BL373" s="713">
        <v>365</v>
      </c>
      <c r="BM373" s="714"/>
      <c r="BN373" s="239"/>
      <c r="BO373" s="24"/>
      <c r="BQ373" s="621">
        <v>365</v>
      </c>
      <c r="BR373" s="711"/>
      <c r="BS373" s="712"/>
      <c r="BT373" s="713">
        <v>365</v>
      </c>
      <c r="BU373" s="714"/>
      <c r="BV373" s="239"/>
      <c r="BW373" s="24"/>
      <c r="BY373" s="621">
        <v>365</v>
      </c>
      <c r="BZ373" s="711"/>
      <c r="CA373" s="712"/>
      <c r="CB373" s="713">
        <v>365</v>
      </c>
      <c r="CC373" s="714"/>
      <c r="CD373" s="239"/>
      <c r="CE373" s="24"/>
    </row>
    <row r="374" spans="5:83" ht="12" customHeight="1">
      <c r="E374" s="621">
        <v>366</v>
      </c>
      <c r="F374" s="711"/>
      <c r="G374" s="712"/>
      <c r="H374" s="713">
        <v>366</v>
      </c>
      <c r="I374" s="714"/>
      <c r="J374" s="239"/>
      <c r="K374" s="24"/>
      <c r="AI374" s="16" t="e">
        <f t="shared" si="53"/>
        <v>#N/A</v>
      </c>
      <c r="AJ374" s="16" t="str">
        <f t="shared" si="54"/>
        <v/>
      </c>
      <c r="AK374" s="16" t="str">
        <f t="shared" si="55"/>
        <v/>
      </c>
      <c r="AL374" s="16" t="e">
        <f>IF(AK374="",NA(),COUNTIF(AK$176:$AK374,AK374))</f>
        <v>#N/A</v>
      </c>
      <c r="AM374" s="16" t="e">
        <f t="shared" si="56"/>
        <v>#N/A</v>
      </c>
      <c r="AN374" s="16" t="e">
        <f t="shared" si="57"/>
        <v>#N/A</v>
      </c>
      <c r="AO374" s="16" t="str">
        <f t="shared" si="58"/>
        <v/>
      </c>
      <c r="AP374" s="16" t="str">
        <f t="shared" si="59"/>
        <v/>
      </c>
      <c r="AQ374" s="16" t="e">
        <f>IF(AP374="",NA(),COUNTIF(AP$176:$AP374,AP374))</f>
        <v>#N/A</v>
      </c>
      <c r="AR374" s="16" t="e">
        <f t="shared" si="60"/>
        <v>#N/A</v>
      </c>
      <c r="BI374" s="621">
        <v>366</v>
      </c>
      <c r="BJ374" s="711"/>
      <c r="BK374" s="712"/>
      <c r="BL374" s="713">
        <v>366</v>
      </c>
      <c r="BM374" s="714"/>
      <c r="BN374" s="239"/>
      <c r="BO374" s="24"/>
      <c r="BQ374" s="621">
        <v>366</v>
      </c>
      <c r="BR374" s="711"/>
      <c r="BS374" s="712"/>
      <c r="BT374" s="713">
        <v>366</v>
      </c>
      <c r="BU374" s="714"/>
      <c r="BV374" s="239"/>
      <c r="BW374" s="24"/>
      <c r="BY374" s="621">
        <v>366</v>
      </c>
      <c r="BZ374" s="711"/>
      <c r="CA374" s="712"/>
      <c r="CB374" s="713">
        <v>366</v>
      </c>
      <c r="CC374" s="714"/>
      <c r="CD374" s="239"/>
      <c r="CE374" s="24"/>
    </row>
    <row r="375" spans="5:83" ht="12" customHeight="1">
      <c r="E375" s="621">
        <v>367</v>
      </c>
      <c r="F375" s="711"/>
      <c r="G375" s="712"/>
      <c r="H375" s="713">
        <v>367</v>
      </c>
      <c r="I375" s="714"/>
      <c r="J375" s="239"/>
      <c r="K375" s="24"/>
      <c r="AI375" s="16" t="e">
        <f t="shared" si="53"/>
        <v>#N/A</v>
      </c>
      <c r="AJ375" s="16" t="str">
        <f t="shared" si="54"/>
        <v/>
      </c>
      <c r="AK375" s="16" t="str">
        <f t="shared" si="55"/>
        <v/>
      </c>
      <c r="AL375" s="16" t="e">
        <f>IF(AK375="",NA(),COUNTIF(AK$176:$AK375,AK375))</f>
        <v>#N/A</v>
      </c>
      <c r="AM375" s="16" t="e">
        <f t="shared" si="56"/>
        <v>#N/A</v>
      </c>
      <c r="AN375" s="16" t="e">
        <f t="shared" si="57"/>
        <v>#N/A</v>
      </c>
      <c r="AO375" s="16" t="str">
        <f t="shared" si="58"/>
        <v/>
      </c>
      <c r="AP375" s="16" t="str">
        <f t="shared" si="59"/>
        <v/>
      </c>
      <c r="AQ375" s="16" t="e">
        <f>IF(AP375="",NA(),COUNTIF(AP$176:$AP375,AP375))</f>
        <v>#N/A</v>
      </c>
      <c r="AR375" s="16" t="e">
        <f t="shared" si="60"/>
        <v>#N/A</v>
      </c>
      <c r="BI375" s="621">
        <v>367</v>
      </c>
      <c r="BJ375" s="711"/>
      <c r="BK375" s="712"/>
      <c r="BL375" s="713">
        <v>367</v>
      </c>
      <c r="BM375" s="714"/>
      <c r="BN375" s="239"/>
      <c r="BO375" s="24"/>
      <c r="BQ375" s="621">
        <v>367</v>
      </c>
      <c r="BR375" s="711"/>
      <c r="BS375" s="712"/>
      <c r="BT375" s="713">
        <v>367</v>
      </c>
      <c r="BU375" s="714"/>
      <c r="BV375" s="239"/>
      <c r="BW375" s="24"/>
      <c r="BY375" s="621">
        <v>367</v>
      </c>
      <c r="BZ375" s="711"/>
      <c r="CA375" s="712"/>
      <c r="CB375" s="713">
        <v>367</v>
      </c>
      <c r="CC375" s="714"/>
      <c r="CD375" s="239"/>
      <c r="CE375" s="24"/>
    </row>
    <row r="376" spans="5:83" ht="12" customHeight="1">
      <c r="E376" s="621">
        <v>368</v>
      </c>
      <c r="F376" s="711"/>
      <c r="G376" s="712"/>
      <c r="H376" s="713">
        <v>368</v>
      </c>
      <c r="I376" s="714"/>
      <c r="J376" s="239"/>
      <c r="K376" s="24"/>
      <c r="AI376" s="16" t="e">
        <f t="shared" si="53"/>
        <v>#N/A</v>
      </c>
      <c r="AJ376" s="16" t="str">
        <f t="shared" si="54"/>
        <v/>
      </c>
      <c r="AK376" s="16" t="str">
        <f t="shared" si="55"/>
        <v/>
      </c>
      <c r="AL376" s="16" t="e">
        <f>IF(AK376="",NA(),COUNTIF(AK$176:$AK376,AK376))</f>
        <v>#N/A</v>
      </c>
      <c r="AM376" s="16" t="e">
        <f t="shared" si="56"/>
        <v>#N/A</v>
      </c>
      <c r="AN376" s="16" t="e">
        <f t="shared" si="57"/>
        <v>#N/A</v>
      </c>
      <c r="AO376" s="16" t="str">
        <f t="shared" si="58"/>
        <v/>
      </c>
      <c r="AP376" s="16" t="str">
        <f t="shared" si="59"/>
        <v/>
      </c>
      <c r="AQ376" s="16" t="e">
        <f>IF(AP376="",NA(),COUNTIF(AP$176:$AP376,AP376))</f>
        <v>#N/A</v>
      </c>
      <c r="AR376" s="16" t="e">
        <f t="shared" si="60"/>
        <v>#N/A</v>
      </c>
      <c r="BI376" s="621">
        <v>368</v>
      </c>
      <c r="BJ376" s="711"/>
      <c r="BK376" s="712"/>
      <c r="BL376" s="713">
        <v>368</v>
      </c>
      <c r="BM376" s="714"/>
      <c r="BN376" s="239"/>
      <c r="BO376" s="24"/>
      <c r="BQ376" s="621">
        <v>368</v>
      </c>
      <c r="BR376" s="711"/>
      <c r="BS376" s="712"/>
      <c r="BT376" s="713">
        <v>368</v>
      </c>
      <c r="BU376" s="714"/>
      <c r="BV376" s="239"/>
      <c r="BW376" s="24"/>
      <c r="BY376" s="621">
        <v>368</v>
      </c>
      <c r="BZ376" s="711"/>
      <c r="CA376" s="712"/>
      <c r="CB376" s="713">
        <v>368</v>
      </c>
      <c r="CC376" s="714"/>
      <c r="CD376" s="239"/>
      <c r="CE376" s="24"/>
    </row>
    <row r="377" spans="5:83" ht="12" customHeight="1">
      <c r="E377" s="621">
        <v>369</v>
      </c>
      <c r="F377" s="711"/>
      <c r="G377" s="712"/>
      <c r="H377" s="713">
        <v>369</v>
      </c>
      <c r="I377" s="714"/>
      <c r="J377" s="239"/>
      <c r="K377" s="24"/>
      <c r="AI377" s="16" t="e">
        <f t="shared" si="53"/>
        <v>#N/A</v>
      </c>
      <c r="AJ377" s="16" t="str">
        <f t="shared" si="54"/>
        <v/>
      </c>
      <c r="AK377" s="16" t="str">
        <f t="shared" si="55"/>
        <v/>
      </c>
      <c r="AL377" s="16" t="e">
        <f>IF(AK377="",NA(),COUNTIF(AK$176:$AK377,AK377))</f>
        <v>#N/A</v>
      </c>
      <c r="AM377" s="16" t="e">
        <f t="shared" si="56"/>
        <v>#N/A</v>
      </c>
      <c r="AN377" s="16" t="e">
        <f t="shared" si="57"/>
        <v>#N/A</v>
      </c>
      <c r="AO377" s="16" t="str">
        <f t="shared" si="58"/>
        <v/>
      </c>
      <c r="AP377" s="16" t="str">
        <f t="shared" si="59"/>
        <v/>
      </c>
      <c r="AQ377" s="16" t="e">
        <f>IF(AP377="",NA(),COUNTIF(AP$176:$AP377,AP377))</f>
        <v>#N/A</v>
      </c>
      <c r="AR377" s="16" t="e">
        <f t="shared" si="60"/>
        <v>#N/A</v>
      </c>
      <c r="BI377" s="621">
        <v>369</v>
      </c>
      <c r="BJ377" s="711"/>
      <c r="BK377" s="712"/>
      <c r="BL377" s="713">
        <v>369</v>
      </c>
      <c r="BM377" s="714"/>
      <c r="BN377" s="239"/>
      <c r="BO377" s="24"/>
      <c r="BQ377" s="621">
        <v>369</v>
      </c>
      <c r="BR377" s="711"/>
      <c r="BS377" s="712"/>
      <c r="BT377" s="713">
        <v>369</v>
      </c>
      <c r="BU377" s="714"/>
      <c r="BV377" s="239"/>
      <c r="BW377" s="24"/>
      <c r="BY377" s="621">
        <v>369</v>
      </c>
      <c r="BZ377" s="711"/>
      <c r="CA377" s="712"/>
      <c r="CB377" s="713">
        <v>369</v>
      </c>
      <c r="CC377" s="714"/>
      <c r="CD377" s="239"/>
      <c r="CE377" s="24"/>
    </row>
    <row r="378" spans="5:83" ht="12" customHeight="1">
      <c r="E378" s="621">
        <v>370</v>
      </c>
      <c r="F378" s="711"/>
      <c r="G378" s="712"/>
      <c r="H378" s="713">
        <v>370</v>
      </c>
      <c r="I378" s="714"/>
      <c r="J378" s="239"/>
      <c r="K378" s="24"/>
      <c r="AI378" s="16" t="e">
        <f t="shared" si="53"/>
        <v>#N/A</v>
      </c>
      <c r="AJ378" s="16" t="str">
        <f t="shared" si="54"/>
        <v/>
      </c>
      <c r="AK378" s="16" t="str">
        <f t="shared" si="55"/>
        <v/>
      </c>
      <c r="AL378" s="16" t="e">
        <f>IF(AK378="",NA(),COUNTIF(AK$176:$AK378,AK378))</f>
        <v>#N/A</v>
      </c>
      <c r="AM378" s="16" t="e">
        <f t="shared" si="56"/>
        <v>#N/A</v>
      </c>
      <c r="AN378" s="16" t="e">
        <f t="shared" si="57"/>
        <v>#N/A</v>
      </c>
      <c r="AO378" s="16" t="str">
        <f t="shared" si="58"/>
        <v/>
      </c>
      <c r="AP378" s="16" t="str">
        <f t="shared" si="59"/>
        <v/>
      </c>
      <c r="AQ378" s="16" t="e">
        <f>IF(AP378="",NA(),COUNTIF(AP$176:$AP378,AP378))</f>
        <v>#N/A</v>
      </c>
      <c r="AR378" s="16" t="e">
        <f t="shared" si="60"/>
        <v>#N/A</v>
      </c>
      <c r="BI378" s="621">
        <v>370</v>
      </c>
      <c r="BJ378" s="711"/>
      <c r="BK378" s="712"/>
      <c r="BL378" s="713">
        <v>370</v>
      </c>
      <c r="BM378" s="714"/>
      <c r="BN378" s="239"/>
      <c r="BO378" s="24"/>
      <c r="BQ378" s="621">
        <v>370</v>
      </c>
      <c r="BR378" s="711"/>
      <c r="BS378" s="712"/>
      <c r="BT378" s="713">
        <v>370</v>
      </c>
      <c r="BU378" s="714"/>
      <c r="BV378" s="239"/>
      <c r="BW378" s="24"/>
      <c r="BY378" s="621">
        <v>370</v>
      </c>
      <c r="BZ378" s="711"/>
      <c r="CA378" s="712"/>
      <c r="CB378" s="713">
        <v>370</v>
      </c>
      <c r="CC378" s="714"/>
      <c r="CD378" s="239"/>
      <c r="CE378" s="24"/>
    </row>
    <row r="379" spans="5:83" ht="12" customHeight="1">
      <c r="E379" s="621">
        <v>371</v>
      </c>
      <c r="F379" s="711"/>
      <c r="G379" s="712"/>
      <c r="H379" s="713">
        <v>371</v>
      </c>
      <c r="I379" s="714"/>
      <c r="J379" s="239"/>
      <c r="K379" s="24"/>
      <c r="AI379" s="16" t="e">
        <f t="shared" si="53"/>
        <v>#N/A</v>
      </c>
      <c r="AJ379" s="16" t="str">
        <f t="shared" si="54"/>
        <v/>
      </c>
      <c r="AK379" s="16" t="str">
        <f t="shared" si="55"/>
        <v/>
      </c>
      <c r="AL379" s="16" t="e">
        <f>IF(AK379="",NA(),COUNTIF(AK$176:$AK379,AK379))</f>
        <v>#N/A</v>
      </c>
      <c r="AM379" s="16" t="e">
        <f t="shared" si="56"/>
        <v>#N/A</v>
      </c>
      <c r="AN379" s="16" t="e">
        <f t="shared" si="57"/>
        <v>#N/A</v>
      </c>
      <c r="AO379" s="16" t="str">
        <f t="shared" si="58"/>
        <v/>
      </c>
      <c r="AP379" s="16" t="str">
        <f t="shared" si="59"/>
        <v/>
      </c>
      <c r="AQ379" s="16" t="e">
        <f>IF(AP379="",NA(),COUNTIF(AP$176:$AP379,AP379))</f>
        <v>#N/A</v>
      </c>
      <c r="AR379" s="16" t="e">
        <f t="shared" si="60"/>
        <v>#N/A</v>
      </c>
      <c r="BI379" s="621">
        <v>371</v>
      </c>
      <c r="BJ379" s="711"/>
      <c r="BK379" s="712"/>
      <c r="BL379" s="713">
        <v>371</v>
      </c>
      <c r="BM379" s="714"/>
      <c r="BN379" s="239"/>
      <c r="BO379" s="24"/>
      <c r="BQ379" s="621">
        <v>371</v>
      </c>
      <c r="BR379" s="711"/>
      <c r="BS379" s="712"/>
      <c r="BT379" s="713">
        <v>371</v>
      </c>
      <c r="BU379" s="714"/>
      <c r="BV379" s="239"/>
      <c r="BW379" s="24"/>
      <c r="BY379" s="621">
        <v>371</v>
      </c>
      <c r="BZ379" s="711"/>
      <c r="CA379" s="712"/>
      <c r="CB379" s="713">
        <v>371</v>
      </c>
      <c r="CC379" s="714"/>
      <c r="CD379" s="239"/>
      <c r="CE379" s="24"/>
    </row>
    <row r="380" spans="5:83" ht="12" customHeight="1">
      <c r="E380" s="621">
        <v>372</v>
      </c>
      <c r="F380" s="711"/>
      <c r="G380" s="712"/>
      <c r="H380" s="713">
        <v>372</v>
      </c>
      <c r="I380" s="714"/>
      <c r="J380" s="239"/>
      <c r="K380" s="24"/>
      <c r="AI380" s="16" t="e">
        <f t="shared" si="53"/>
        <v>#N/A</v>
      </c>
      <c r="AJ380" s="16" t="str">
        <f t="shared" si="54"/>
        <v/>
      </c>
      <c r="AK380" s="16" t="str">
        <f t="shared" si="55"/>
        <v/>
      </c>
      <c r="AL380" s="16" t="e">
        <f>IF(AK380="",NA(),COUNTIF(AK$176:$AK380,AK380))</f>
        <v>#N/A</v>
      </c>
      <c r="AM380" s="16" t="e">
        <f t="shared" si="56"/>
        <v>#N/A</v>
      </c>
      <c r="AN380" s="16" t="e">
        <f t="shared" si="57"/>
        <v>#N/A</v>
      </c>
      <c r="AO380" s="16" t="str">
        <f t="shared" si="58"/>
        <v/>
      </c>
      <c r="AP380" s="16" t="str">
        <f t="shared" si="59"/>
        <v/>
      </c>
      <c r="AQ380" s="16" t="e">
        <f>IF(AP380="",NA(),COUNTIF(AP$176:$AP380,AP380))</f>
        <v>#N/A</v>
      </c>
      <c r="AR380" s="16" t="e">
        <f t="shared" si="60"/>
        <v>#N/A</v>
      </c>
      <c r="BI380" s="621">
        <v>372</v>
      </c>
      <c r="BJ380" s="711"/>
      <c r="BK380" s="712"/>
      <c r="BL380" s="713">
        <v>372</v>
      </c>
      <c r="BM380" s="714"/>
      <c r="BN380" s="239"/>
      <c r="BO380" s="24"/>
      <c r="BQ380" s="621">
        <v>372</v>
      </c>
      <c r="BR380" s="711"/>
      <c r="BS380" s="712"/>
      <c r="BT380" s="713">
        <v>372</v>
      </c>
      <c r="BU380" s="714"/>
      <c r="BV380" s="239"/>
      <c r="BW380" s="24"/>
      <c r="BY380" s="621">
        <v>372</v>
      </c>
      <c r="BZ380" s="711"/>
      <c r="CA380" s="712"/>
      <c r="CB380" s="713">
        <v>372</v>
      </c>
      <c r="CC380" s="714"/>
      <c r="CD380" s="239"/>
      <c r="CE380" s="24"/>
    </row>
    <row r="381" spans="5:83" ht="12" customHeight="1">
      <c r="E381" s="621">
        <v>373</v>
      </c>
      <c r="F381" s="711"/>
      <c r="G381" s="712"/>
      <c r="H381" s="713">
        <v>373</v>
      </c>
      <c r="I381" s="714"/>
      <c r="J381" s="239"/>
      <c r="K381" s="24"/>
      <c r="AI381" s="16" t="e">
        <f t="shared" si="53"/>
        <v>#N/A</v>
      </c>
      <c r="AJ381" s="16" t="str">
        <f t="shared" si="54"/>
        <v/>
      </c>
      <c r="AK381" s="16" t="str">
        <f t="shared" si="55"/>
        <v/>
      </c>
      <c r="AL381" s="16" t="e">
        <f>IF(AK381="",NA(),COUNTIF(AK$176:$AK381,AK381))</f>
        <v>#N/A</v>
      </c>
      <c r="AM381" s="16" t="e">
        <f t="shared" si="56"/>
        <v>#N/A</v>
      </c>
      <c r="AN381" s="16" t="e">
        <f t="shared" si="57"/>
        <v>#N/A</v>
      </c>
      <c r="AO381" s="16" t="str">
        <f t="shared" si="58"/>
        <v/>
      </c>
      <c r="AP381" s="16" t="str">
        <f t="shared" si="59"/>
        <v/>
      </c>
      <c r="AQ381" s="16" t="e">
        <f>IF(AP381="",NA(),COUNTIF(AP$176:$AP381,AP381))</f>
        <v>#N/A</v>
      </c>
      <c r="AR381" s="16" t="e">
        <f t="shared" si="60"/>
        <v>#N/A</v>
      </c>
      <c r="BI381" s="621">
        <v>373</v>
      </c>
      <c r="BJ381" s="711"/>
      <c r="BK381" s="712"/>
      <c r="BL381" s="713">
        <v>373</v>
      </c>
      <c r="BM381" s="714"/>
      <c r="BN381" s="239"/>
      <c r="BO381" s="24"/>
      <c r="BQ381" s="621">
        <v>373</v>
      </c>
      <c r="BR381" s="711"/>
      <c r="BS381" s="712"/>
      <c r="BT381" s="713">
        <v>373</v>
      </c>
      <c r="BU381" s="714"/>
      <c r="BV381" s="239"/>
      <c r="BW381" s="24"/>
      <c r="BY381" s="621">
        <v>373</v>
      </c>
      <c r="BZ381" s="711"/>
      <c r="CA381" s="712"/>
      <c r="CB381" s="713">
        <v>373</v>
      </c>
      <c r="CC381" s="714"/>
      <c r="CD381" s="239"/>
      <c r="CE381" s="24"/>
    </row>
    <row r="382" spans="5:83" ht="12" customHeight="1">
      <c r="E382" s="621">
        <v>374</v>
      </c>
      <c r="F382" s="711"/>
      <c r="G382" s="712"/>
      <c r="H382" s="713">
        <v>374</v>
      </c>
      <c r="I382" s="714"/>
      <c r="J382" s="239"/>
      <c r="K382" s="24"/>
      <c r="AI382" s="16" t="e">
        <f t="shared" si="53"/>
        <v>#N/A</v>
      </c>
      <c r="AJ382" s="16" t="str">
        <f t="shared" si="54"/>
        <v/>
      </c>
      <c r="AK382" s="16" t="str">
        <f t="shared" si="55"/>
        <v/>
      </c>
      <c r="AL382" s="16" t="e">
        <f>IF(AK382="",NA(),COUNTIF(AK$176:$AK382,AK382))</f>
        <v>#N/A</v>
      </c>
      <c r="AM382" s="16" t="e">
        <f t="shared" si="56"/>
        <v>#N/A</v>
      </c>
      <c r="AN382" s="16" t="e">
        <f t="shared" si="57"/>
        <v>#N/A</v>
      </c>
      <c r="AO382" s="16" t="str">
        <f t="shared" si="58"/>
        <v/>
      </c>
      <c r="AP382" s="16" t="str">
        <f t="shared" si="59"/>
        <v/>
      </c>
      <c r="AQ382" s="16" t="e">
        <f>IF(AP382="",NA(),COUNTIF(AP$176:$AP382,AP382))</f>
        <v>#N/A</v>
      </c>
      <c r="AR382" s="16" t="e">
        <f t="shared" si="60"/>
        <v>#N/A</v>
      </c>
      <c r="BI382" s="621">
        <v>374</v>
      </c>
      <c r="BJ382" s="711"/>
      <c r="BK382" s="712"/>
      <c r="BL382" s="713">
        <v>374</v>
      </c>
      <c r="BM382" s="714"/>
      <c r="BN382" s="239"/>
      <c r="BO382" s="24"/>
      <c r="BQ382" s="621">
        <v>374</v>
      </c>
      <c r="BR382" s="711"/>
      <c r="BS382" s="712"/>
      <c r="BT382" s="713">
        <v>374</v>
      </c>
      <c r="BU382" s="714"/>
      <c r="BV382" s="239"/>
      <c r="BW382" s="24"/>
      <c r="BY382" s="621">
        <v>374</v>
      </c>
      <c r="BZ382" s="711"/>
      <c r="CA382" s="712"/>
      <c r="CB382" s="713">
        <v>374</v>
      </c>
      <c r="CC382" s="714"/>
      <c r="CD382" s="239"/>
      <c r="CE382" s="24"/>
    </row>
    <row r="383" spans="5:83" ht="12" customHeight="1">
      <c r="E383" s="621">
        <v>375</v>
      </c>
      <c r="F383" s="711"/>
      <c r="G383" s="712"/>
      <c r="H383" s="713">
        <v>375</v>
      </c>
      <c r="I383" s="714"/>
      <c r="J383" s="239"/>
      <c r="K383" s="24"/>
      <c r="AI383" s="16" t="e">
        <f t="shared" si="53"/>
        <v>#N/A</v>
      </c>
      <c r="AJ383" s="16" t="str">
        <f t="shared" si="54"/>
        <v/>
      </c>
      <c r="AK383" s="16" t="str">
        <f t="shared" si="55"/>
        <v/>
      </c>
      <c r="AL383" s="16" t="e">
        <f>IF(AK383="",NA(),COUNTIF(AK$176:$AK383,AK383))</f>
        <v>#N/A</v>
      </c>
      <c r="AM383" s="16" t="e">
        <f t="shared" si="56"/>
        <v>#N/A</v>
      </c>
      <c r="AN383" s="16" t="e">
        <f t="shared" si="57"/>
        <v>#N/A</v>
      </c>
      <c r="AO383" s="16" t="str">
        <f t="shared" si="58"/>
        <v/>
      </c>
      <c r="AP383" s="16" t="str">
        <f t="shared" si="59"/>
        <v/>
      </c>
      <c r="AQ383" s="16" t="e">
        <f>IF(AP383="",NA(),COUNTIF(AP$176:$AP383,AP383))</f>
        <v>#N/A</v>
      </c>
      <c r="AR383" s="16" t="e">
        <f t="shared" si="60"/>
        <v>#N/A</v>
      </c>
      <c r="BI383" s="621">
        <v>375</v>
      </c>
      <c r="BJ383" s="711"/>
      <c r="BK383" s="712"/>
      <c r="BL383" s="713">
        <v>375</v>
      </c>
      <c r="BM383" s="714"/>
      <c r="BN383" s="239"/>
      <c r="BO383" s="24"/>
      <c r="BQ383" s="621">
        <v>375</v>
      </c>
      <c r="BR383" s="711"/>
      <c r="BS383" s="712"/>
      <c r="BT383" s="713">
        <v>375</v>
      </c>
      <c r="BU383" s="714"/>
      <c r="BV383" s="239"/>
      <c r="BW383" s="24"/>
      <c r="BY383" s="621">
        <v>375</v>
      </c>
      <c r="BZ383" s="711"/>
      <c r="CA383" s="712"/>
      <c r="CB383" s="713">
        <v>375</v>
      </c>
      <c r="CC383" s="714"/>
      <c r="CD383" s="239"/>
      <c r="CE383" s="24"/>
    </row>
    <row r="384" spans="5:83" ht="12" customHeight="1">
      <c r="E384" s="621">
        <v>376</v>
      </c>
      <c r="F384" s="711"/>
      <c r="G384" s="712"/>
      <c r="H384" s="713">
        <v>376</v>
      </c>
      <c r="I384" s="714"/>
      <c r="J384" s="239"/>
      <c r="K384" s="24"/>
      <c r="AI384" s="16" t="e">
        <f t="shared" si="53"/>
        <v>#N/A</v>
      </c>
      <c r="AJ384" s="16" t="str">
        <f t="shared" si="54"/>
        <v/>
      </c>
      <c r="AK384" s="16" t="str">
        <f t="shared" si="55"/>
        <v/>
      </c>
      <c r="AL384" s="16" t="e">
        <f>IF(AK384="",NA(),COUNTIF(AK$176:$AK384,AK384))</f>
        <v>#N/A</v>
      </c>
      <c r="AM384" s="16" t="e">
        <f t="shared" si="56"/>
        <v>#N/A</v>
      </c>
      <c r="AN384" s="16" t="e">
        <f t="shared" si="57"/>
        <v>#N/A</v>
      </c>
      <c r="AO384" s="16" t="str">
        <f t="shared" si="58"/>
        <v/>
      </c>
      <c r="AP384" s="16" t="str">
        <f t="shared" si="59"/>
        <v/>
      </c>
      <c r="AQ384" s="16" t="e">
        <f>IF(AP384="",NA(),COUNTIF(AP$176:$AP384,AP384))</f>
        <v>#N/A</v>
      </c>
      <c r="AR384" s="16" t="e">
        <f t="shared" si="60"/>
        <v>#N/A</v>
      </c>
      <c r="BI384" s="621">
        <v>376</v>
      </c>
      <c r="BJ384" s="711"/>
      <c r="BK384" s="712"/>
      <c r="BL384" s="713">
        <v>376</v>
      </c>
      <c r="BM384" s="714"/>
      <c r="BN384" s="239"/>
      <c r="BO384" s="24"/>
      <c r="BQ384" s="621">
        <v>376</v>
      </c>
      <c r="BR384" s="711"/>
      <c r="BS384" s="712"/>
      <c r="BT384" s="713">
        <v>376</v>
      </c>
      <c r="BU384" s="714"/>
      <c r="BV384" s="239"/>
      <c r="BW384" s="24"/>
      <c r="BY384" s="621">
        <v>376</v>
      </c>
      <c r="BZ384" s="711"/>
      <c r="CA384" s="712"/>
      <c r="CB384" s="713">
        <v>376</v>
      </c>
      <c r="CC384" s="714"/>
      <c r="CD384" s="239"/>
      <c r="CE384" s="24"/>
    </row>
    <row r="385" spans="5:83" ht="12" customHeight="1">
      <c r="E385" s="621">
        <v>377</v>
      </c>
      <c r="F385" s="711"/>
      <c r="G385" s="712"/>
      <c r="H385" s="713">
        <v>377</v>
      </c>
      <c r="I385" s="714"/>
      <c r="J385" s="239"/>
      <c r="K385" s="24"/>
      <c r="AI385" s="16" t="e">
        <f t="shared" si="53"/>
        <v>#N/A</v>
      </c>
      <c r="AJ385" s="16" t="str">
        <f t="shared" si="54"/>
        <v/>
      </c>
      <c r="AK385" s="16" t="str">
        <f t="shared" si="55"/>
        <v/>
      </c>
      <c r="AL385" s="16" t="e">
        <f>IF(AK385="",NA(),COUNTIF(AK$176:$AK385,AK385))</f>
        <v>#N/A</v>
      </c>
      <c r="AM385" s="16" t="e">
        <f t="shared" si="56"/>
        <v>#N/A</v>
      </c>
      <c r="AN385" s="16" t="e">
        <f t="shared" si="57"/>
        <v>#N/A</v>
      </c>
      <c r="AO385" s="16" t="str">
        <f t="shared" si="58"/>
        <v/>
      </c>
      <c r="AP385" s="16" t="str">
        <f t="shared" si="59"/>
        <v/>
      </c>
      <c r="AQ385" s="16" t="e">
        <f>IF(AP385="",NA(),COUNTIF(AP$176:$AP385,AP385))</f>
        <v>#N/A</v>
      </c>
      <c r="AR385" s="16" t="e">
        <f t="shared" si="60"/>
        <v>#N/A</v>
      </c>
      <c r="BI385" s="621">
        <v>377</v>
      </c>
      <c r="BJ385" s="711"/>
      <c r="BK385" s="712"/>
      <c r="BL385" s="713">
        <v>377</v>
      </c>
      <c r="BM385" s="714"/>
      <c r="BN385" s="239"/>
      <c r="BO385" s="24"/>
      <c r="BQ385" s="621">
        <v>377</v>
      </c>
      <c r="BR385" s="711"/>
      <c r="BS385" s="712"/>
      <c r="BT385" s="713">
        <v>377</v>
      </c>
      <c r="BU385" s="714"/>
      <c r="BV385" s="239"/>
      <c r="BW385" s="24"/>
      <c r="BY385" s="621">
        <v>377</v>
      </c>
      <c r="BZ385" s="711"/>
      <c r="CA385" s="712"/>
      <c r="CB385" s="713">
        <v>377</v>
      </c>
      <c r="CC385" s="714"/>
      <c r="CD385" s="239"/>
      <c r="CE385" s="24"/>
    </row>
    <row r="386" spans="5:83" ht="12" customHeight="1">
      <c r="E386" s="621">
        <v>378</v>
      </c>
      <c r="F386" s="711"/>
      <c r="G386" s="712"/>
      <c r="H386" s="713">
        <v>378</v>
      </c>
      <c r="I386" s="714"/>
      <c r="J386" s="239"/>
      <c r="K386" s="24"/>
      <c r="AI386" s="16" t="e">
        <f t="shared" si="53"/>
        <v>#N/A</v>
      </c>
      <c r="AJ386" s="16" t="str">
        <f t="shared" si="54"/>
        <v/>
      </c>
      <c r="AK386" s="16" t="str">
        <f t="shared" si="55"/>
        <v/>
      </c>
      <c r="AL386" s="16" t="e">
        <f>IF(AK386="",NA(),COUNTIF(AK$176:$AK386,AK386))</f>
        <v>#N/A</v>
      </c>
      <c r="AM386" s="16" t="e">
        <f t="shared" si="56"/>
        <v>#N/A</v>
      </c>
      <c r="AN386" s="16" t="e">
        <f t="shared" si="57"/>
        <v>#N/A</v>
      </c>
      <c r="AO386" s="16" t="str">
        <f t="shared" si="58"/>
        <v/>
      </c>
      <c r="AP386" s="16" t="str">
        <f t="shared" si="59"/>
        <v/>
      </c>
      <c r="AQ386" s="16" t="e">
        <f>IF(AP386="",NA(),COUNTIF(AP$176:$AP386,AP386))</f>
        <v>#N/A</v>
      </c>
      <c r="AR386" s="16" t="e">
        <f t="shared" si="60"/>
        <v>#N/A</v>
      </c>
      <c r="BI386" s="621">
        <v>378</v>
      </c>
      <c r="BJ386" s="711"/>
      <c r="BK386" s="712"/>
      <c r="BL386" s="713">
        <v>378</v>
      </c>
      <c r="BM386" s="714"/>
      <c r="BN386" s="239"/>
      <c r="BO386" s="24"/>
      <c r="BQ386" s="621">
        <v>378</v>
      </c>
      <c r="BR386" s="711"/>
      <c r="BS386" s="712"/>
      <c r="BT386" s="713">
        <v>378</v>
      </c>
      <c r="BU386" s="714"/>
      <c r="BV386" s="239"/>
      <c r="BW386" s="24"/>
      <c r="BY386" s="621">
        <v>378</v>
      </c>
      <c r="BZ386" s="711"/>
      <c r="CA386" s="712"/>
      <c r="CB386" s="713">
        <v>378</v>
      </c>
      <c r="CC386" s="714"/>
      <c r="CD386" s="239"/>
      <c r="CE386" s="24"/>
    </row>
    <row r="387" spans="5:83" ht="12" customHeight="1">
      <c r="E387" s="621">
        <v>379</v>
      </c>
      <c r="F387" s="711"/>
      <c r="G387" s="712"/>
      <c r="H387" s="713">
        <v>379</v>
      </c>
      <c r="I387" s="714"/>
      <c r="J387" s="239"/>
      <c r="K387" s="24"/>
      <c r="AI387" s="16" t="e">
        <f t="shared" si="53"/>
        <v>#N/A</v>
      </c>
      <c r="AJ387" s="16" t="str">
        <f t="shared" si="54"/>
        <v/>
      </c>
      <c r="AK387" s="16" t="str">
        <f t="shared" si="55"/>
        <v/>
      </c>
      <c r="AL387" s="16" t="e">
        <f>IF(AK387="",NA(),COUNTIF(AK$176:$AK387,AK387))</f>
        <v>#N/A</v>
      </c>
      <c r="AM387" s="16" t="e">
        <f t="shared" si="56"/>
        <v>#N/A</v>
      </c>
      <c r="AN387" s="16" t="e">
        <f t="shared" si="57"/>
        <v>#N/A</v>
      </c>
      <c r="AO387" s="16" t="str">
        <f t="shared" si="58"/>
        <v/>
      </c>
      <c r="AP387" s="16" t="str">
        <f t="shared" si="59"/>
        <v/>
      </c>
      <c r="AQ387" s="16" t="e">
        <f>IF(AP387="",NA(),COUNTIF(AP$176:$AP387,AP387))</f>
        <v>#N/A</v>
      </c>
      <c r="AR387" s="16" t="e">
        <f t="shared" si="60"/>
        <v>#N/A</v>
      </c>
      <c r="BI387" s="621">
        <v>379</v>
      </c>
      <c r="BJ387" s="711"/>
      <c r="BK387" s="712"/>
      <c r="BL387" s="713">
        <v>379</v>
      </c>
      <c r="BM387" s="714"/>
      <c r="BN387" s="239"/>
      <c r="BO387" s="24"/>
      <c r="BQ387" s="621">
        <v>379</v>
      </c>
      <c r="BR387" s="711"/>
      <c r="BS387" s="712"/>
      <c r="BT387" s="713">
        <v>379</v>
      </c>
      <c r="BU387" s="714"/>
      <c r="BV387" s="239"/>
      <c r="BW387" s="24"/>
      <c r="BY387" s="621">
        <v>379</v>
      </c>
      <c r="BZ387" s="711"/>
      <c r="CA387" s="712"/>
      <c r="CB387" s="713">
        <v>379</v>
      </c>
      <c r="CC387" s="714"/>
      <c r="CD387" s="239"/>
      <c r="CE387" s="24"/>
    </row>
    <row r="388" spans="5:83" ht="12" customHeight="1">
      <c r="E388" s="621">
        <v>380</v>
      </c>
      <c r="F388" s="711"/>
      <c r="G388" s="712"/>
      <c r="H388" s="713">
        <v>380</v>
      </c>
      <c r="I388" s="714"/>
      <c r="J388" s="239"/>
      <c r="K388" s="24"/>
      <c r="AI388" s="16" t="e">
        <f t="shared" si="53"/>
        <v>#N/A</v>
      </c>
      <c r="AJ388" s="16" t="str">
        <f t="shared" si="54"/>
        <v/>
      </c>
      <c r="AK388" s="16" t="str">
        <f t="shared" si="55"/>
        <v/>
      </c>
      <c r="AL388" s="16" t="e">
        <f>IF(AK388="",NA(),COUNTIF(AK$176:$AK388,AK388))</f>
        <v>#N/A</v>
      </c>
      <c r="AM388" s="16" t="e">
        <f t="shared" si="56"/>
        <v>#N/A</v>
      </c>
      <c r="AN388" s="16" t="e">
        <f t="shared" si="57"/>
        <v>#N/A</v>
      </c>
      <c r="AO388" s="16" t="str">
        <f t="shared" si="58"/>
        <v/>
      </c>
      <c r="AP388" s="16" t="str">
        <f t="shared" si="59"/>
        <v/>
      </c>
      <c r="AQ388" s="16" t="e">
        <f>IF(AP388="",NA(),COUNTIF(AP$176:$AP388,AP388))</f>
        <v>#N/A</v>
      </c>
      <c r="AR388" s="16" t="e">
        <f t="shared" si="60"/>
        <v>#N/A</v>
      </c>
      <c r="BI388" s="621">
        <v>380</v>
      </c>
      <c r="BJ388" s="711"/>
      <c r="BK388" s="712"/>
      <c r="BL388" s="713">
        <v>380</v>
      </c>
      <c r="BM388" s="714"/>
      <c r="BN388" s="239"/>
      <c r="BO388" s="24"/>
      <c r="BQ388" s="621">
        <v>380</v>
      </c>
      <c r="BR388" s="711"/>
      <c r="BS388" s="712"/>
      <c r="BT388" s="713">
        <v>380</v>
      </c>
      <c r="BU388" s="714"/>
      <c r="BV388" s="239"/>
      <c r="BW388" s="24"/>
      <c r="BY388" s="621">
        <v>380</v>
      </c>
      <c r="BZ388" s="711"/>
      <c r="CA388" s="712"/>
      <c r="CB388" s="713">
        <v>380</v>
      </c>
      <c r="CC388" s="714"/>
      <c r="CD388" s="239"/>
      <c r="CE388" s="24"/>
    </row>
    <row r="389" spans="5:83" ht="12" customHeight="1">
      <c r="E389" s="621">
        <v>381</v>
      </c>
      <c r="F389" s="711"/>
      <c r="G389" s="712"/>
      <c r="H389" s="713">
        <v>381</v>
      </c>
      <c r="I389" s="714"/>
      <c r="J389" s="239"/>
      <c r="K389" s="24"/>
      <c r="AI389" s="16" t="e">
        <f t="shared" si="53"/>
        <v>#N/A</v>
      </c>
      <c r="AJ389" s="16" t="str">
        <f t="shared" si="54"/>
        <v/>
      </c>
      <c r="AK389" s="16" t="str">
        <f t="shared" si="55"/>
        <v/>
      </c>
      <c r="AL389" s="16" t="e">
        <f>IF(AK389="",NA(),COUNTIF(AK$176:$AK389,AK389))</f>
        <v>#N/A</v>
      </c>
      <c r="AM389" s="16" t="e">
        <f t="shared" si="56"/>
        <v>#N/A</v>
      </c>
      <c r="AN389" s="16" t="e">
        <f t="shared" si="57"/>
        <v>#N/A</v>
      </c>
      <c r="AO389" s="16" t="str">
        <f t="shared" si="58"/>
        <v/>
      </c>
      <c r="AP389" s="16" t="str">
        <f t="shared" si="59"/>
        <v/>
      </c>
      <c r="AQ389" s="16" t="e">
        <f>IF(AP389="",NA(),COUNTIF(AP$176:$AP389,AP389))</f>
        <v>#N/A</v>
      </c>
      <c r="AR389" s="16" t="e">
        <f t="shared" si="60"/>
        <v>#N/A</v>
      </c>
      <c r="BI389" s="621">
        <v>381</v>
      </c>
      <c r="BJ389" s="711"/>
      <c r="BK389" s="712"/>
      <c r="BL389" s="713">
        <v>381</v>
      </c>
      <c r="BM389" s="714"/>
      <c r="BN389" s="239"/>
      <c r="BO389" s="24"/>
      <c r="BQ389" s="621">
        <v>381</v>
      </c>
      <c r="BR389" s="711"/>
      <c r="BS389" s="712"/>
      <c r="BT389" s="713">
        <v>381</v>
      </c>
      <c r="BU389" s="714"/>
      <c r="BV389" s="239"/>
      <c r="BW389" s="24"/>
      <c r="BY389" s="621">
        <v>381</v>
      </c>
      <c r="BZ389" s="711"/>
      <c r="CA389" s="712"/>
      <c r="CB389" s="713">
        <v>381</v>
      </c>
      <c r="CC389" s="714"/>
      <c r="CD389" s="239"/>
      <c r="CE389" s="24"/>
    </row>
    <row r="390" spans="5:83" ht="12" customHeight="1">
      <c r="E390" s="621">
        <v>382</v>
      </c>
      <c r="F390" s="711"/>
      <c r="G390" s="712"/>
      <c r="H390" s="713">
        <v>382</v>
      </c>
      <c r="I390" s="714"/>
      <c r="J390" s="239"/>
      <c r="K390" s="24"/>
      <c r="AI390" s="16" t="e">
        <f t="shared" si="53"/>
        <v>#N/A</v>
      </c>
      <c r="AJ390" s="16" t="str">
        <f t="shared" si="54"/>
        <v/>
      </c>
      <c r="AK390" s="16" t="str">
        <f t="shared" si="55"/>
        <v/>
      </c>
      <c r="AL390" s="16" t="e">
        <f>IF(AK390="",NA(),COUNTIF(AK$176:$AK390,AK390))</f>
        <v>#N/A</v>
      </c>
      <c r="AM390" s="16" t="e">
        <f t="shared" si="56"/>
        <v>#N/A</v>
      </c>
      <c r="AN390" s="16" t="e">
        <f t="shared" si="57"/>
        <v>#N/A</v>
      </c>
      <c r="AO390" s="16" t="str">
        <f t="shared" si="58"/>
        <v/>
      </c>
      <c r="AP390" s="16" t="str">
        <f t="shared" si="59"/>
        <v/>
      </c>
      <c r="AQ390" s="16" t="e">
        <f>IF(AP390="",NA(),COUNTIF(AP$176:$AP390,AP390))</f>
        <v>#N/A</v>
      </c>
      <c r="AR390" s="16" t="e">
        <f t="shared" si="60"/>
        <v>#N/A</v>
      </c>
      <c r="BI390" s="621">
        <v>382</v>
      </c>
      <c r="BJ390" s="711"/>
      <c r="BK390" s="712"/>
      <c r="BL390" s="713">
        <v>382</v>
      </c>
      <c r="BM390" s="714"/>
      <c r="BN390" s="239"/>
      <c r="BO390" s="24"/>
      <c r="BQ390" s="621">
        <v>382</v>
      </c>
      <c r="BR390" s="711"/>
      <c r="BS390" s="712"/>
      <c r="BT390" s="713">
        <v>382</v>
      </c>
      <c r="BU390" s="714"/>
      <c r="BV390" s="239"/>
      <c r="BW390" s="24"/>
      <c r="BY390" s="621">
        <v>382</v>
      </c>
      <c r="BZ390" s="711"/>
      <c r="CA390" s="712"/>
      <c r="CB390" s="713">
        <v>382</v>
      </c>
      <c r="CC390" s="714"/>
      <c r="CD390" s="239"/>
      <c r="CE390" s="24"/>
    </row>
    <row r="391" spans="5:83" ht="12" customHeight="1">
      <c r="E391" s="621">
        <v>383</v>
      </c>
      <c r="F391" s="711"/>
      <c r="G391" s="712"/>
      <c r="H391" s="713">
        <v>383</v>
      </c>
      <c r="I391" s="714"/>
      <c r="J391" s="239"/>
      <c r="K391" s="24"/>
      <c r="AI391" s="16" t="e">
        <f t="shared" si="53"/>
        <v>#N/A</v>
      </c>
      <c r="AJ391" s="16" t="str">
        <f t="shared" si="54"/>
        <v/>
      </c>
      <c r="AK391" s="16" t="str">
        <f t="shared" si="55"/>
        <v/>
      </c>
      <c r="AL391" s="16" t="e">
        <f>IF(AK391="",NA(),COUNTIF(AK$176:$AK391,AK391))</f>
        <v>#N/A</v>
      </c>
      <c r="AM391" s="16" t="e">
        <f t="shared" si="56"/>
        <v>#N/A</v>
      </c>
      <c r="AN391" s="16" t="e">
        <f t="shared" si="57"/>
        <v>#N/A</v>
      </c>
      <c r="AO391" s="16" t="str">
        <f t="shared" si="58"/>
        <v/>
      </c>
      <c r="AP391" s="16" t="str">
        <f t="shared" si="59"/>
        <v/>
      </c>
      <c r="AQ391" s="16" t="e">
        <f>IF(AP391="",NA(),COUNTIF(AP$176:$AP391,AP391))</f>
        <v>#N/A</v>
      </c>
      <c r="AR391" s="16" t="e">
        <f t="shared" si="60"/>
        <v>#N/A</v>
      </c>
      <c r="BI391" s="621">
        <v>383</v>
      </c>
      <c r="BJ391" s="711"/>
      <c r="BK391" s="712"/>
      <c r="BL391" s="713">
        <v>383</v>
      </c>
      <c r="BM391" s="714"/>
      <c r="BN391" s="239"/>
      <c r="BO391" s="24"/>
      <c r="BQ391" s="621">
        <v>383</v>
      </c>
      <c r="BR391" s="711"/>
      <c r="BS391" s="712"/>
      <c r="BT391" s="713">
        <v>383</v>
      </c>
      <c r="BU391" s="714"/>
      <c r="BV391" s="239"/>
      <c r="BW391" s="24"/>
      <c r="BY391" s="621">
        <v>383</v>
      </c>
      <c r="BZ391" s="711"/>
      <c r="CA391" s="712"/>
      <c r="CB391" s="713">
        <v>383</v>
      </c>
      <c r="CC391" s="714"/>
      <c r="CD391" s="239"/>
      <c r="CE391" s="24"/>
    </row>
    <row r="392" spans="5:83" ht="12" customHeight="1">
      <c r="E392" s="621">
        <v>384</v>
      </c>
      <c r="F392" s="711"/>
      <c r="G392" s="712"/>
      <c r="H392" s="713">
        <v>384</v>
      </c>
      <c r="I392" s="714"/>
      <c r="J392" s="239"/>
      <c r="K392" s="24"/>
      <c r="AI392" s="16" t="e">
        <f t="shared" si="53"/>
        <v>#N/A</v>
      </c>
      <c r="AJ392" s="16" t="str">
        <f t="shared" si="54"/>
        <v/>
      </c>
      <c r="AK392" s="16" t="str">
        <f t="shared" si="55"/>
        <v/>
      </c>
      <c r="AL392" s="16" t="e">
        <f>IF(AK392="",NA(),COUNTIF(AK$176:$AK392,AK392))</f>
        <v>#N/A</v>
      </c>
      <c r="AM392" s="16" t="e">
        <f t="shared" si="56"/>
        <v>#N/A</v>
      </c>
      <c r="AN392" s="16" t="e">
        <f t="shared" si="57"/>
        <v>#N/A</v>
      </c>
      <c r="AO392" s="16" t="str">
        <f t="shared" si="58"/>
        <v/>
      </c>
      <c r="AP392" s="16" t="str">
        <f t="shared" si="59"/>
        <v/>
      </c>
      <c r="AQ392" s="16" t="e">
        <f>IF(AP392="",NA(),COUNTIF(AP$176:$AP392,AP392))</f>
        <v>#N/A</v>
      </c>
      <c r="AR392" s="16" t="e">
        <f t="shared" si="60"/>
        <v>#N/A</v>
      </c>
      <c r="BI392" s="621">
        <v>384</v>
      </c>
      <c r="BJ392" s="711"/>
      <c r="BK392" s="712"/>
      <c r="BL392" s="713">
        <v>384</v>
      </c>
      <c r="BM392" s="714"/>
      <c r="BN392" s="239"/>
      <c r="BO392" s="24"/>
      <c r="BQ392" s="621">
        <v>384</v>
      </c>
      <c r="BR392" s="711"/>
      <c r="BS392" s="712"/>
      <c r="BT392" s="713">
        <v>384</v>
      </c>
      <c r="BU392" s="714"/>
      <c r="BV392" s="239"/>
      <c r="BW392" s="24"/>
      <c r="BY392" s="621">
        <v>384</v>
      </c>
      <c r="BZ392" s="711"/>
      <c r="CA392" s="712"/>
      <c r="CB392" s="713">
        <v>384</v>
      </c>
      <c r="CC392" s="714"/>
      <c r="CD392" s="239"/>
      <c r="CE392" s="24"/>
    </row>
    <row r="393" spans="5:83" ht="12" customHeight="1">
      <c r="E393" s="621">
        <v>385</v>
      </c>
      <c r="F393" s="711"/>
      <c r="G393" s="712"/>
      <c r="H393" s="713">
        <v>385</v>
      </c>
      <c r="I393" s="714"/>
      <c r="J393" s="239"/>
      <c r="K393" s="24"/>
      <c r="AI393" s="16" t="e">
        <f t="shared" si="53"/>
        <v>#N/A</v>
      </c>
      <c r="AJ393" s="16" t="str">
        <f t="shared" si="54"/>
        <v/>
      </c>
      <c r="AK393" s="16" t="str">
        <f t="shared" si="55"/>
        <v/>
      </c>
      <c r="AL393" s="16" t="e">
        <f>IF(AK393="",NA(),COUNTIF(AK$176:$AK393,AK393))</f>
        <v>#N/A</v>
      </c>
      <c r="AM393" s="16" t="e">
        <f t="shared" si="56"/>
        <v>#N/A</v>
      </c>
      <c r="AN393" s="16" t="e">
        <f t="shared" si="57"/>
        <v>#N/A</v>
      </c>
      <c r="AO393" s="16" t="str">
        <f t="shared" si="58"/>
        <v/>
      </c>
      <c r="AP393" s="16" t="str">
        <f t="shared" si="59"/>
        <v/>
      </c>
      <c r="AQ393" s="16" t="e">
        <f>IF(AP393="",NA(),COUNTIF(AP$176:$AP393,AP393))</f>
        <v>#N/A</v>
      </c>
      <c r="AR393" s="16" t="e">
        <f t="shared" si="60"/>
        <v>#N/A</v>
      </c>
      <c r="BI393" s="621">
        <v>385</v>
      </c>
      <c r="BJ393" s="711"/>
      <c r="BK393" s="712"/>
      <c r="BL393" s="713">
        <v>385</v>
      </c>
      <c r="BM393" s="714"/>
      <c r="BN393" s="239"/>
      <c r="BO393" s="24"/>
      <c r="BQ393" s="621">
        <v>385</v>
      </c>
      <c r="BR393" s="711"/>
      <c r="BS393" s="712"/>
      <c r="BT393" s="713">
        <v>385</v>
      </c>
      <c r="BU393" s="714"/>
      <c r="BV393" s="239"/>
      <c r="BW393" s="24"/>
      <c r="BY393" s="621">
        <v>385</v>
      </c>
      <c r="BZ393" s="711"/>
      <c r="CA393" s="712"/>
      <c r="CB393" s="713">
        <v>385</v>
      </c>
      <c r="CC393" s="714"/>
      <c r="CD393" s="239"/>
      <c r="CE393" s="24"/>
    </row>
    <row r="394" spans="5:83" ht="12" customHeight="1">
      <c r="E394" s="621">
        <v>386</v>
      </c>
      <c r="F394" s="711"/>
      <c r="G394" s="712"/>
      <c r="H394" s="713">
        <v>386</v>
      </c>
      <c r="I394" s="714"/>
      <c r="J394" s="239"/>
      <c r="K394" s="24"/>
      <c r="AI394" s="16" t="e">
        <f t="shared" si="53"/>
        <v>#N/A</v>
      </c>
      <c r="AJ394" s="16" t="str">
        <f t="shared" si="54"/>
        <v/>
      </c>
      <c r="AK394" s="16" t="str">
        <f t="shared" si="55"/>
        <v/>
      </c>
      <c r="AL394" s="16" t="e">
        <f>IF(AK394="",NA(),COUNTIF(AK$176:$AK394,AK394))</f>
        <v>#N/A</v>
      </c>
      <c r="AM394" s="16" t="e">
        <f t="shared" si="56"/>
        <v>#N/A</v>
      </c>
      <c r="AN394" s="16" t="e">
        <f t="shared" si="57"/>
        <v>#N/A</v>
      </c>
      <c r="AO394" s="16" t="str">
        <f t="shared" si="58"/>
        <v/>
      </c>
      <c r="AP394" s="16" t="str">
        <f t="shared" si="59"/>
        <v/>
      </c>
      <c r="AQ394" s="16" t="e">
        <f>IF(AP394="",NA(),COUNTIF(AP$176:$AP394,AP394))</f>
        <v>#N/A</v>
      </c>
      <c r="AR394" s="16" t="e">
        <f t="shared" si="60"/>
        <v>#N/A</v>
      </c>
      <c r="BI394" s="621">
        <v>386</v>
      </c>
      <c r="BJ394" s="711"/>
      <c r="BK394" s="712"/>
      <c r="BL394" s="713">
        <v>386</v>
      </c>
      <c r="BM394" s="714"/>
      <c r="BN394" s="239"/>
      <c r="BO394" s="24"/>
      <c r="BQ394" s="621">
        <v>386</v>
      </c>
      <c r="BR394" s="711"/>
      <c r="BS394" s="712"/>
      <c r="BT394" s="713">
        <v>386</v>
      </c>
      <c r="BU394" s="714"/>
      <c r="BV394" s="239"/>
      <c r="BW394" s="24"/>
      <c r="BY394" s="621">
        <v>386</v>
      </c>
      <c r="BZ394" s="711"/>
      <c r="CA394" s="712"/>
      <c r="CB394" s="713">
        <v>386</v>
      </c>
      <c r="CC394" s="714"/>
      <c r="CD394" s="239"/>
      <c r="CE394" s="24"/>
    </row>
    <row r="395" spans="5:83" ht="12" customHeight="1">
      <c r="E395" s="621">
        <v>387</v>
      </c>
      <c r="F395" s="711"/>
      <c r="G395" s="712"/>
      <c r="H395" s="713">
        <v>387</v>
      </c>
      <c r="I395" s="714"/>
      <c r="J395" s="239"/>
      <c r="K395" s="24"/>
      <c r="AI395" s="16" t="e">
        <f t="shared" si="53"/>
        <v>#N/A</v>
      </c>
      <c r="AJ395" s="16" t="str">
        <f t="shared" si="54"/>
        <v/>
      </c>
      <c r="AK395" s="16" t="str">
        <f t="shared" si="55"/>
        <v/>
      </c>
      <c r="AL395" s="16" t="e">
        <f>IF(AK395="",NA(),COUNTIF(AK$176:$AK395,AK395))</f>
        <v>#N/A</v>
      </c>
      <c r="AM395" s="16" t="e">
        <f t="shared" si="56"/>
        <v>#N/A</v>
      </c>
      <c r="AN395" s="16" t="e">
        <f t="shared" si="57"/>
        <v>#N/A</v>
      </c>
      <c r="AO395" s="16" t="str">
        <f t="shared" si="58"/>
        <v/>
      </c>
      <c r="AP395" s="16" t="str">
        <f t="shared" si="59"/>
        <v/>
      </c>
      <c r="AQ395" s="16" t="e">
        <f>IF(AP395="",NA(),COUNTIF(AP$176:$AP395,AP395))</f>
        <v>#N/A</v>
      </c>
      <c r="AR395" s="16" t="e">
        <f t="shared" si="60"/>
        <v>#N/A</v>
      </c>
      <c r="BI395" s="621">
        <v>387</v>
      </c>
      <c r="BJ395" s="711"/>
      <c r="BK395" s="712"/>
      <c r="BL395" s="713">
        <v>387</v>
      </c>
      <c r="BM395" s="714"/>
      <c r="BN395" s="239"/>
      <c r="BO395" s="24"/>
      <c r="BQ395" s="621">
        <v>387</v>
      </c>
      <c r="BR395" s="711"/>
      <c r="BS395" s="712"/>
      <c r="BT395" s="713">
        <v>387</v>
      </c>
      <c r="BU395" s="714"/>
      <c r="BV395" s="239"/>
      <c r="BW395" s="24"/>
      <c r="BY395" s="621">
        <v>387</v>
      </c>
      <c r="BZ395" s="711"/>
      <c r="CA395" s="712"/>
      <c r="CB395" s="713">
        <v>387</v>
      </c>
      <c r="CC395" s="714"/>
      <c r="CD395" s="239"/>
      <c r="CE395" s="24"/>
    </row>
    <row r="396" spans="5:83" ht="12" customHeight="1">
      <c r="E396" s="621">
        <v>388</v>
      </c>
      <c r="F396" s="711"/>
      <c r="G396" s="712"/>
      <c r="H396" s="713">
        <v>388</v>
      </c>
      <c r="I396" s="714"/>
      <c r="J396" s="239"/>
      <c r="K396" s="24"/>
      <c r="AI396" s="16" t="e">
        <f t="shared" si="53"/>
        <v>#N/A</v>
      </c>
      <c r="AJ396" s="16" t="str">
        <f t="shared" si="54"/>
        <v/>
      </c>
      <c r="AK396" s="16" t="str">
        <f t="shared" si="55"/>
        <v/>
      </c>
      <c r="AL396" s="16" t="e">
        <f>IF(AK396="",NA(),COUNTIF(AK$176:$AK396,AK396))</f>
        <v>#N/A</v>
      </c>
      <c r="AM396" s="16" t="e">
        <f t="shared" si="56"/>
        <v>#N/A</v>
      </c>
      <c r="AN396" s="16" t="e">
        <f t="shared" si="57"/>
        <v>#N/A</v>
      </c>
      <c r="AO396" s="16" t="str">
        <f t="shared" si="58"/>
        <v/>
      </c>
      <c r="AP396" s="16" t="str">
        <f t="shared" si="59"/>
        <v/>
      </c>
      <c r="AQ396" s="16" t="e">
        <f>IF(AP396="",NA(),COUNTIF(AP$176:$AP396,AP396))</f>
        <v>#N/A</v>
      </c>
      <c r="AR396" s="16" t="e">
        <f t="shared" si="60"/>
        <v>#N/A</v>
      </c>
      <c r="BI396" s="621">
        <v>388</v>
      </c>
      <c r="BJ396" s="711"/>
      <c r="BK396" s="712"/>
      <c r="BL396" s="713">
        <v>388</v>
      </c>
      <c r="BM396" s="714"/>
      <c r="BN396" s="239"/>
      <c r="BO396" s="24"/>
      <c r="BQ396" s="621">
        <v>388</v>
      </c>
      <c r="BR396" s="711"/>
      <c r="BS396" s="712"/>
      <c r="BT396" s="713">
        <v>388</v>
      </c>
      <c r="BU396" s="714"/>
      <c r="BV396" s="239"/>
      <c r="BW396" s="24"/>
      <c r="BY396" s="621">
        <v>388</v>
      </c>
      <c r="BZ396" s="711"/>
      <c r="CA396" s="712"/>
      <c r="CB396" s="713">
        <v>388</v>
      </c>
      <c r="CC396" s="714"/>
      <c r="CD396" s="239"/>
      <c r="CE396" s="24"/>
    </row>
    <row r="397" spans="5:83" ht="12" customHeight="1">
      <c r="E397" s="621">
        <v>389</v>
      </c>
      <c r="F397" s="711"/>
      <c r="G397" s="712"/>
      <c r="H397" s="713">
        <v>389</v>
      </c>
      <c r="I397" s="714"/>
      <c r="J397" s="239"/>
      <c r="K397" s="24"/>
      <c r="AI397" s="16" t="e">
        <f t="shared" ref="AI397:AI460" si="61">IF(AND($X$80,NOT(F329=""),$X$78),F329,NA())</f>
        <v>#N/A</v>
      </c>
      <c r="AJ397" s="16" t="str">
        <f t="shared" ref="AJ397:AJ460" si="62">IF(AK397="","",IF($AU$79=0,AI397,AK397*$AU$79))</f>
        <v/>
      </c>
      <c r="AK397" s="16" t="str">
        <f t="shared" ref="AK397:AK460" si="63">IF(ISNA(AI397),"",IF($AU$79=0,AI397,ROUND(AI397/$AU$79,0)))</f>
        <v/>
      </c>
      <c r="AL397" s="16" t="e">
        <f>IF(AK397="",NA(),COUNTIF(AK$176:$AK397,AK397))</f>
        <v>#N/A</v>
      </c>
      <c r="AM397" s="16" t="e">
        <f t="shared" ref="AM397:AM460" si="64">(AL397-1)*$AU$82</f>
        <v>#N/A</v>
      </c>
      <c r="AN397" s="16" t="e">
        <f t="shared" ref="AN397:AN460" si="65">IF(AND($X$80,NOT(I329=""),$X$79),I329,NA())</f>
        <v>#N/A</v>
      </c>
      <c r="AO397" s="16" t="str">
        <f t="shared" ref="AO397:AO460" si="66">IF(AP397="","",IF($AU$79=0,AN397,AP397*$AU$79))</f>
        <v/>
      </c>
      <c r="AP397" s="16" t="str">
        <f t="shared" ref="AP397:AP460" si="67">IF(ISNA(AN397),"",IF($AU$79=0,AN397,ROUND(AN397/$AU$79,0)))</f>
        <v/>
      </c>
      <c r="AQ397" s="16" t="e">
        <f>IF(AP397="",NA(),COUNTIF(AP$176:$AP397,AP397))</f>
        <v>#N/A</v>
      </c>
      <c r="AR397" s="16" t="e">
        <f t="shared" ref="AR397:AR460" si="68">(AQ397-1)*$AU$82</f>
        <v>#N/A</v>
      </c>
      <c r="BI397" s="621">
        <v>389</v>
      </c>
      <c r="BJ397" s="711"/>
      <c r="BK397" s="712"/>
      <c r="BL397" s="713">
        <v>389</v>
      </c>
      <c r="BM397" s="714"/>
      <c r="BN397" s="239"/>
      <c r="BO397" s="24"/>
      <c r="BQ397" s="621">
        <v>389</v>
      </c>
      <c r="BR397" s="711"/>
      <c r="BS397" s="712"/>
      <c r="BT397" s="713">
        <v>389</v>
      </c>
      <c r="BU397" s="714"/>
      <c r="BV397" s="239"/>
      <c r="BW397" s="24"/>
      <c r="BY397" s="621">
        <v>389</v>
      </c>
      <c r="BZ397" s="711"/>
      <c r="CA397" s="712"/>
      <c r="CB397" s="713">
        <v>389</v>
      </c>
      <c r="CC397" s="714"/>
      <c r="CD397" s="239"/>
      <c r="CE397" s="24"/>
    </row>
    <row r="398" spans="5:83" ht="12" customHeight="1">
      <c r="E398" s="621">
        <v>390</v>
      </c>
      <c r="F398" s="711"/>
      <c r="G398" s="712"/>
      <c r="H398" s="713">
        <v>390</v>
      </c>
      <c r="I398" s="714"/>
      <c r="J398" s="239"/>
      <c r="K398" s="24"/>
      <c r="AI398" s="16" t="e">
        <f t="shared" si="61"/>
        <v>#N/A</v>
      </c>
      <c r="AJ398" s="16" t="str">
        <f t="shared" si="62"/>
        <v/>
      </c>
      <c r="AK398" s="16" t="str">
        <f t="shared" si="63"/>
        <v/>
      </c>
      <c r="AL398" s="16" t="e">
        <f>IF(AK398="",NA(),COUNTIF(AK$176:$AK398,AK398))</f>
        <v>#N/A</v>
      </c>
      <c r="AM398" s="16" t="e">
        <f t="shared" si="64"/>
        <v>#N/A</v>
      </c>
      <c r="AN398" s="16" t="e">
        <f t="shared" si="65"/>
        <v>#N/A</v>
      </c>
      <c r="AO398" s="16" t="str">
        <f t="shared" si="66"/>
        <v/>
      </c>
      <c r="AP398" s="16" t="str">
        <f t="shared" si="67"/>
        <v/>
      </c>
      <c r="AQ398" s="16" t="e">
        <f>IF(AP398="",NA(),COUNTIF(AP$176:$AP398,AP398))</f>
        <v>#N/A</v>
      </c>
      <c r="AR398" s="16" t="e">
        <f t="shared" si="68"/>
        <v>#N/A</v>
      </c>
      <c r="BI398" s="621">
        <v>390</v>
      </c>
      <c r="BJ398" s="711"/>
      <c r="BK398" s="712"/>
      <c r="BL398" s="713">
        <v>390</v>
      </c>
      <c r="BM398" s="714"/>
      <c r="BN398" s="239"/>
      <c r="BO398" s="24"/>
      <c r="BQ398" s="621">
        <v>390</v>
      </c>
      <c r="BR398" s="711"/>
      <c r="BS398" s="712"/>
      <c r="BT398" s="713">
        <v>390</v>
      </c>
      <c r="BU398" s="714"/>
      <c r="BV398" s="239"/>
      <c r="BW398" s="24"/>
      <c r="BY398" s="621">
        <v>390</v>
      </c>
      <c r="BZ398" s="711"/>
      <c r="CA398" s="712"/>
      <c r="CB398" s="713">
        <v>390</v>
      </c>
      <c r="CC398" s="714"/>
      <c r="CD398" s="239"/>
      <c r="CE398" s="24"/>
    </row>
    <row r="399" spans="5:83" ht="12" customHeight="1">
      <c r="E399" s="621">
        <v>391</v>
      </c>
      <c r="F399" s="711"/>
      <c r="G399" s="712"/>
      <c r="H399" s="713">
        <v>391</v>
      </c>
      <c r="I399" s="714"/>
      <c r="J399" s="239"/>
      <c r="K399" s="24"/>
      <c r="AI399" s="16" t="e">
        <f t="shared" si="61"/>
        <v>#N/A</v>
      </c>
      <c r="AJ399" s="16" t="str">
        <f t="shared" si="62"/>
        <v/>
      </c>
      <c r="AK399" s="16" t="str">
        <f t="shared" si="63"/>
        <v/>
      </c>
      <c r="AL399" s="16" t="e">
        <f>IF(AK399="",NA(),COUNTIF(AK$176:$AK399,AK399))</f>
        <v>#N/A</v>
      </c>
      <c r="AM399" s="16" t="e">
        <f t="shared" si="64"/>
        <v>#N/A</v>
      </c>
      <c r="AN399" s="16" t="e">
        <f t="shared" si="65"/>
        <v>#N/A</v>
      </c>
      <c r="AO399" s="16" t="str">
        <f t="shared" si="66"/>
        <v/>
      </c>
      <c r="AP399" s="16" t="str">
        <f t="shared" si="67"/>
        <v/>
      </c>
      <c r="AQ399" s="16" t="e">
        <f>IF(AP399="",NA(),COUNTIF(AP$176:$AP399,AP399))</f>
        <v>#N/A</v>
      </c>
      <c r="AR399" s="16" t="e">
        <f t="shared" si="68"/>
        <v>#N/A</v>
      </c>
      <c r="BI399" s="621">
        <v>391</v>
      </c>
      <c r="BJ399" s="711"/>
      <c r="BK399" s="712"/>
      <c r="BL399" s="713">
        <v>391</v>
      </c>
      <c r="BM399" s="714"/>
      <c r="BN399" s="239"/>
      <c r="BO399" s="24"/>
      <c r="BQ399" s="621">
        <v>391</v>
      </c>
      <c r="BR399" s="711"/>
      <c r="BS399" s="712"/>
      <c r="BT399" s="713">
        <v>391</v>
      </c>
      <c r="BU399" s="714"/>
      <c r="BV399" s="239"/>
      <c r="BW399" s="24"/>
      <c r="BY399" s="621">
        <v>391</v>
      </c>
      <c r="BZ399" s="711"/>
      <c r="CA399" s="712"/>
      <c r="CB399" s="713">
        <v>391</v>
      </c>
      <c r="CC399" s="714"/>
      <c r="CD399" s="239"/>
      <c r="CE399" s="24"/>
    </row>
    <row r="400" spans="5:83" ht="12" customHeight="1">
      <c r="E400" s="621">
        <v>392</v>
      </c>
      <c r="F400" s="711"/>
      <c r="G400" s="712"/>
      <c r="H400" s="713">
        <v>392</v>
      </c>
      <c r="I400" s="714"/>
      <c r="J400" s="239"/>
      <c r="K400" s="24"/>
      <c r="AI400" s="16" t="e">
        <f t="shared" si="61"/>
        <v>#N/A</v>
      </c>
      <c r="AJ400" s="16" t="str">
        <f t="shared" si="62"/>
        <v/>
      </c>
      <c r="AK400" s="16" t="str">
        <f t="shared" si="63"/>
        <v/>
      </c>
      <c r="AL400" s="16" t="e">
        <f>IF(AK400="",NA(),COUNTIF(AK$176:$AK400,AK400))</f>
        <v>#N/A</v>
      </c>
      <c r="AM400" s="16" t="e">
        <f t="shared" si="64"/>
        <v>#N/A</v>
      </c>
      <c r="AN400" s="16" t="e">
        <f t="shared" si="65"/>
        <v>#N/A</v>
      </c>
      <c r="AO400" s="16" t="str">
        <f t="shared" si="66"/>
        <v/>
      </c>
      <c r="AP400" s="16" t="str">
        <f t="shared" si="67"/>
        <v/>
      </c>
      <c r="AQ400" s="16" t="e">
        <f>IF(AP400="",NA(),COUNTIF(AP$176:$AP400,AP400))</f>
        <v>#N/A</v>
      </c>
      <c r="AR400" s="16" t="e">
        <f t="shared" si="68"/>
        <v>#N/A</v>
      </c>
      <c r="BI400" s="621">
        <v>392</v>
      </c>
      <c r="BJ400" s="711"/>
      <c r="BK400" s="712"/>
      <c r="BL400" s="713">
        <v>392</v>
      </c>
      <c r="BM400" s="714"/>
      <c r="BN400" s="239"/>
      <c r="BO400" s="24"/>
      <c r="BQ400" s="621">
        <v>392</v>
      </c>
      <c r="BR400" s="711"/>
      <c r="BS400" s="712"/>
      <c r="BT400" s="713">
        <v>392</v>
      </c>
      <c r="BU400" s="714"/>
      <c r="BV400" s="239"/>
      <c r="BW400" s="24"/>
      <c r="BY400" s="621">
        <v>392</v>
      </c>
      <c r="BZ400" s="711"/>
      <c r="CA400" s="712"/>
      <c r="CB400" s="713">
        <v>392</v>
      </c>
      <c r="CC400" s="714"/>
      <c r="CD400" s="239"/>
      <c r="CE400" s="24"/>
    </row>
    <row r="401" spans="5:83" ht="12" customHeight="1">
      <c r="E401" s="621">
        <v>393</v>
      </c>
      <c r="F401" s="711"/>
      <c r="G401" s="712"/>
      <c r="H401" s="713">
        <v>393</v>
      </c>
      <c r="I401" s="714"/>
      <c r="J401" s="239"/>
      <c r="K401" s="24"/>
      <c r="AI401" s="16" t="e">
        <f t="shared" si="61"/>
        <v>#N/A</v>
      </c>
      <c r="AJ401" s="16" t="str">
        <f t="shared" si="62"/>
        <v/>
      </c>
      <c r="AK401" s="16" t="str">
        <f t="shared" si="63"/>
        <v/>
      </c>
      <c r="AL401" s="16" t="e">
        <f>IF(AK401="",NA(),COUNTIF(AK$176:$AK401,AK401))</f>
        <v>#N/A</v>
      </c>
      <c r="AM401" s="16" t="e">
        <f t="shared" si="64"/>
        <v>#N/A</v>
      </c>
      <c r="AN401" s="16" t="e">
        <f t="shared" si="65"/>
        <v>#N/A</v>
      </c>
      <c r="AO401" s="16" t="str">
        <f t="shared" si="66"/>
        <v/>
      </c>
      <c r="AP401" s="16" t="str">
        <f t="shared" si="67"/>
        <v/>
      </c>
      <c r="AQ401" s="16" t="e">
        <f>IF(AP401="",NA(),COUNTIF(AP$176:$AP401,AP401))</f>
        <v>#N/A</v>
      </c>
      <c r="AR401" s="16" t="e">
        <f t="shared" si="68"/>
        <v>#N/A</v>
      </c>
      <c r="BI401" s="621">
        <v>393</v>
      </c>
      <c r="BJ401" s="711"/>
      <c r="BK401" s="712"/>
      <c r="BL401" s="713">
        <v>393</v>
      </c>
      <c r="BM401" s="714"/>
      <c r="BN401" s="239"/>
      <c r="BO401" s="24"/>
      <c r="BQ401" s="621">
        <v>393</v>
      </c>
      <c r="BR401" s="711"/>
      <c r="BS401" s="712"/>
      <c r="BT401" s="713">
        <v>393</v>
      </c>
      <c r="BU401" s="714"/>
      <c r="BV401" s="239"/>
      <c r="BW401" s="24"/>
      <c r="BY401" s="621">
        <v>393</v>
      </c>
      <c r="BZ401" s="711"/>
      <c r="CA401" s="712"/>
      <c r="CB401" s="713">
        <v>393</v>
      </c>
      <c r="CC401" s="714"/>
      <c r="CD401" s="239"/>
      <c r="CE401" s="24"/>
    </row>
    <row r="402" spans="5:83" ht="12" customHeight="1">
      <c r="E402" s="621">
        <v>394</v>
      </c>
      <c r="F402" s="711"/>
      <c r="G402" s="712"/>
      <c r="H402" s="713">
        <v>394</v>
      </c>
      <c r="I402" s="714"/>
      <c r="J402" s="239"/>
      <c r="K402" s="24"/>
      <c r="AI402" s="16" t="e">
        <f t="shared" si="61"/>
        <v>#N/A</v>
      </c>
      <c r="AJ402" s="16" t="str">
        <f t="shared" si="62"/>
        <v/>
      </c>
      <c r="AK402" s="16" t="str">
        <f t="shared" si="63"/>
        <v/>
      </c>
      <c r="AL402" s="16" t="e">
        <f>IF(AK402="",NA(),COUNTIF(AK$176:$AK402,AK402))</f>
        <v>#N/A</v>
      </c>
      <c r="AM402" s="16" t="e">
        <f t="shared" si="64"/>
        <v>#N/A</v>
      </c>
      <c r="AN402" s="16" t="e">
        <f t="shared" si="65"/>
        <v>#N/A</v>
      </c>
      <c r="AO402" s="16" t="str">
        <f t="shared" si="66"/>
        <v/>
      </c>
      <c r="AP402" s="16" t="str">
        <f t="shared" si="67"/>
        <v/>
      </c>
      <c r="AQ402" s="16" t="e">
        <f>IF(AP402="",NA(),COUNTIF(AP$176:$AP402,AP402))</f>
        <v>#N/A</v>
      </c>
      <c r="AR402" s="16" t="e">
        <f t="shared" si="68"/>
        <v>#N/A</v>
      </c>
      <c r="BI402" s="621">
        <v>394</v>
      </c>
      <c r="BJ402" s="711"/>
      <c r="BK402" s="712"/>
      <c r="BL402" s="713">
        <v>394</v>
      </c>
      <c r="BM402" s="714"/>
      <c r="BN402" s="239"/>
      <c r="BO402" s="24"/>
      <c r="BQ402" s="621">
        <v>394</v>
      </c>
      <c r="BR402" s="711"/>
      <c r="BS402" s="712"/>
      <c r="BT402" s="713">
        <v>394</v>
      </c>
      <c r="BU402" s="714"/>
      <c r="BV402" s="239"/>
      <c r="BW402" s="24"/>
      <c r="BY402" s="621">
        <v>394</v>
      </c>
      <c r="BZ402" s="711"/>
      <c r="CA402" s="712"/>
      <c r="CB402" s="713">
        <v>394</v>
      </c>
      <c r="CC402" s="714"/>
      <c r="CD402" s="239"/>
      <c r="CE402" s="24"/>
    </row>
    <row r="403" spans="5:83" ht="12" customHeight="1">
      <c r="E403" s="621">
        <v>395</v>
      </c>
      <c r="F403" s="711"/>
      <c r="G403" s="712"/>
      <c r="H403" s="713">
        <v>395</v>
      </c>
      <c r="I403" s="714"/>
      <c r="J403" s="239"/>
      <c r="K403" s="24"/>
      <c r="AI403" s="16" t="e">
        <f t="shared" si="61"/>
        <v>#N/A</v>
      </c>
      <c r="AJ403" s="16" t="str">
        <f t="shared" si="62"/>
        <v/>
      </c>
      <c r="AK403" s="16" t="str">
        <f t="shared" si="63"/>
        <v/>
      </c>
      <c r="AL403" s="16" t="e">
        <f>IF(AK403="",NA(),COUNTIF(AK$176:$AK403,AK403))</f>
        <v>#N/A</v>
      </c>
      <c r="AM403" s="16" t="e">
        <f t="shared" si="64"/>
        <v>#N/A</v>
      </c>
      <c r="AN403" s="16" t="e">
        <f t="shared" si="65"/>
        <v>#N/A</v>
      </c>
      <c r="AO403" s="16" t="str">
        <f t="shared" si="66"/>
        <v/>
      </c>
      <c r="AP403" s="16" t="str">
        <f t="shared" si="67"/>
        <v/>
      </c>
      <c r="AQ403" s="16" t="e">
        <f>IF(AP403="",NA(),COUNTIF(AP$176:$AP403,AP403))</f>
        <v>#N/A</v>
      </c>
      <c r="AR403" s="16" t="e">
        <f t="shared" si="68"/>
        <v>#N/A</v>
      </c>
      <c r="BI403" s="621">
        <v>395</v>
      </c>
      <c r="BJ403" s="711"/>
      <c r="BK403" s="712"/>
      <c r="BL403" s="713">
        <v>395</v>
      </c>
      <c r="BM403" s="714"/>
      <c r="BN403" s="239"/>
      <c r="BO403" s="24"/>
      <c r="BQ403" s="621">
        <v>395</v>
      </c>
      <c r="BR403" s="711"/>
      <c r="BS403" s="712"/>
      <c r="BT403" s="713">
        <v>395</v>
      </c>
      <c r="BU403" s="714"/>
      <c r="BV403" s="239"/>
      <c r="BW403" s="24"/>
      <c r="BY403" s="621">
        <v>395</v>
      </c>
      <c r="BZ403" s="711"/>
      <c r="CA403" s="712"/>
      <c r="CB403" s="713">
        <v>395</v>
      </c>
      <c r="CC403" s="714"/>
      <c r="CD403" s="239"/>
      <c r="CE403" s="24"/>
    </row>
    <row r="404" spans="5:83" ht="12" customHeight="1">
      <c r="E404" s="621">
        <v>396</v>
      </c>
      <c r="F404" s="711"/>
      <c r="G404" s="712"/>
      <c r="H404" s="713">
        <v>396</v>
      </c>
      <c r="I404" s="714"/>
      <c r="J404" s="239"/>
      <c r="K404" s="24"/>
      <c r="AI404" s="16" t="e">
        <f t="shared" si="61"/>
        <v>#N/A</v>
      </c>
      <c r="AJ404" s="16" t="str">
        <f t="shared" si="62"/>
        <v/>
      </c>
      <c r="AK404" s="16" t="str">
        <f t="shared" si="63"/>
        <v/>
      </c>
      <c r="AL404" s="16" t="e">
        <f>IF(AK404="",NA(),COUNTIF(AK$176:$AK404,AK404))</f>
        <v>#N/A</v>
      </c>
      <c r="AM404" s="16" t="e">
        <f t="shared" si="64"/>
        <v>#N/A</v>
      </c>
      <c r="AN404" s="16" t="e">
        <f t="shared" si="65"/>
        <v>#N/A</v>
      </c>
      <c r="AO404" s="16" t="str">
        <f t="shared" si="66"/>
        <v/>
      </c>
      <c r="AP404" s="16" t="str">
        <f t="shared" si="67"/>
        <v/>
      </c>
      <c r="AQ404" s="16" t="e">
        <f>IF(AP404="",NA(),COUNTIF(AP$176:$AP404,AP404))</f>
        <v>#N/A</v>
      </c>
      <c r="AR404" s="16" t="e">
        <f t="shared" si="68"/>
        <v>#N/A</v>
      </c>
      <c r="BI404" s="621">
        <v>396</v>
      </c>
      <c r="BJ404" s="711"/>
      <c r="BK404" s="712"/>
      <c r="BL404" s="713">
        <v>396</v>
      </c>
      <c r="BM404" s="714"/>
      <c r="BN404" s="239"/>
      <c r="BO404" s="24"/>
      <c r="BQ404" s="621">
        <v>396</v>
      </c>
      <c r="BR404" s="711"/>
      <c r="BS404" s="712"/>
      <c r="BT404" s="713">
        <v>396</v>
      </c>
      <c r="BU404" s="714"/>
      <c r="BV404" s="239"/>
      <c r="BW404" s="24"/>
      <c r="BY404" s="621">
        <v>396</v>
      </c>
      <c r="BZ404" s="711"/>
      <c r="CA404" s="712"/>
      <c r="CB404" s="713">
        <v>396</v>
      </c>
      <c r="CC404" s="714"/>
      <c r="CD404" s="239"/>
      <c r="CE404" s="24"/>
    </row>
    <row r="405" spans="5:83" ht="12" customHeight="1">
      <c r="E405" s="621">
        <v>397</v>
      </c>
      <c r="F405" s="711"/>
      <c r="G405" s="712"/>
      <c r="H405" s="713">
        <v>397</v>
      </c>
      <c r="I405" s="714"/>
      <c r="J405" s="239"/>
      <c r="K405" s="24"/>
      <c r="AI405" s="16" t="e">
        <f t="shared" si="61"/>
        <v>#N/A</v>
      </c>
      <c r="AJ405" s="16" t="str">
        <f t="shared" si="62"/>
        <v/>
      </c>
      <c r="AK405" s="16" t="str">
        <f t="shared" si="63"/>
        <v/>
      </c>
      <c r="AL405" s="16" t="e">
        <f>IF(AK405="",NA(),COUNTIF(AK$176:$AK405,AK405))</f>
        <v>#N/A</v>
      </c>
      <c r="AM405" s="16" t="e">
        <f t="shared" si="64"/>
        <v>#N/A</v>
      </c>
      <c r="AN405" s="16" t="e">
        <f t="shared" si="65"/>
        <v>#N/A</v>
      </c>
      <c r="AO405" s="16" t="str">
        <f t="shared" si="66"/>
        <v/>
      </c>
      <c r="AP405" s="16" t="str">
        <f t="shared" si="67"/>
        <v/>
      </c>
      <c r="AQ405" s="16" t="e">
        <f>IF(AP405="",NA(),COUNTIF(AP$176:$AP405,AP405))</f>
        <v>#N/A</v>
      </c>
      <c r="AR405" s="16" t="e">
        <f t="shared" si="68"/>
        <v>#N/A</v>
      </c>
      <c r="BI405" s="621">
        <v>397</v>
      </c>
      <c r="BJ405" s="711"/>
      <c r="BK405" s="712"/>
      <c r="BL405" s="713">
        <v>397</v>
      </c>
      <c r="BM405" s="714"/>
      <c r="BN405" s="239"/>
      <c r="BO405" s="24"/>
      <c r="BQ405" s="621">
        <v>397</v>
      </c>
      <c r="BR405" s="711"/>
      <c r="BS405" s="712"/>
      <c r="BT405" s="713">
        <v>397</v>
      </c>
      <c r="BU405" s="714"/>
      <c r="BV405" s="239"/>
      <c r="BW405" s="24"/>
      <c r="BY405" s="621">
        <v>397</v>
      </c>
      <c r="BZ405" s="711"/>
      <c r="CA405" s="712"/>
      <c r="CB405" s="713">
        <v>397</v>
      </c>
      <c r="CC405" s="714"/>
      <c r="CD405" s="239"/>
      <c r="CE405" s="24"/>
    </row>
    <row r="406" spans="5:83" ht="12" customHeight="1">
      <c r="E406" s="621">
        <v>398</v>
      </c>
      <c r="F406" s="711"/>
      <c r="G406" s="712"/>
      <c r="H406" s="713">
        <v>398</v>
      </c>
      <c r="I406" s="714"/>
      <c r="J406" s="239"/>
      <c r="K406" s="24"/>
      <c r="AI406" s="16" t="e">
        <f t="shared" si="61"/>
        <v>#N/A</v>
      </c>
      <c r="AJ406" s="16" t="str">
        <f t="shared" si="62"/>
        <v/>
      </c>
      <c r="AK406" s="16" t="str">
        <f t="shared" si="63"/>
        <v/>
      </c>
      <c r="AL406" s="16" t="e">
        <f>IF(AK406="",NA(),COUNTIF(AK$176:$AK406,AK406))</f>
        <v>#N/A</v>
      </c>
      <c r="AM406" s="16" t="e">
        <f t="shared" si="64"/>
        <v>#N/A</v>
      </c>
      <c r="AN406" s="16" t="e">
        <f t="shared" si="65"/>
        <v>#N/A</v>
      </c>
      <c r="AO406" s="16" t="str">
        <f t="shared" si="66"/>
        <v/>
      </c>
      <c r="AP406" s="16" t="str">
        <f t="shared" si="67"/>
        <v/>
      </c>
      <c r="AQ406" s="16" t="e">
        <f>IF(AP406="",NA(),COUNTIF(AP$176:$AP406,AP406))</f>
        <v>#N/A</v>
      </c>
      <c r="AR406" s="16" t="e">
        <f t="shared" si="68"/>
        <v>#N/A</v>
      </c>
      <c r="BI406" s="621">
        <v>398</v>
      </c>
      <c r="BJ406" s="711"/>
      <c r="BK406" s="712"/>
      <c r="BL406" s="713">
        <v>398</v>
      </c>
      <c r="BM406" s="714"/>
      <c r="BN406" s="239"/>
      <c r="BO406" s="24"/>
      <c r="BQ406" s="621">
        <v>398</v>
      </c>
      <c r="BR406" s="711"/>
      <c r="BS406" s="712"/>
      <c r="BT406" s="713">
        <v>398</v>
      </c>
      <c r="BU406" s="714"/>
      <c r="BV406" s="239"/>
      <c r="BW406" s="24"/>
      <c r="BY406" s="621">
        <v>398</v>
      </c>
      <c r="BZ406" s="711"/>
      <c r="CA406" s="712"/>
      <c r="CB406" s="713">
        <v>398</v>
      </c>
      <c r="CC406" s="714"/>
      <c r="CD406" s="239"/>
      <c r="CE406" s="24"/>
    </row>
    <row r="407" spans="5:83" ht="12" customHeight="1">
      <c r="E407" s="621">
        <v>399</v>
      </c>
      <c r="F407" s="711"/>
      <c r="G407" s="712"/>
      <c r="H407" s="713">
        <v>399</v>
      </c>
      <c r="I407" s="714"/>
      <c r="J407" s="239"/>
      <c r="K407" s="24"/>
      <c r="AI407" s="16" t="e">
        <f t="shared" si="61"/>
        <v>#N/A</v>
      </c>
      <c r="AJ407" s="16" t="str">
        <f t="shared" si="62"/>
        <v/>
      </c>
      <c r="AK407" s="16" t="str">
        <f t="shared" si="63"/>
        <v/>
      </c>
      <c r="AL407" s="16" t="e">
        <f>IF(AK407="",NA(),COUNTIF(AK$176:$AK407,AK407))</f>
        <v>#N/A</v>
      </c>
      <c r="AM407" s="16" t="e">
        <f t="shared" si="64"/>
        <v>#N/A</v>
      </c>
      <c r="AN407" s="16" t="e">
        <f t="shared" si="65"/>
        <v>#N/A</v>
      </c>
      <c r="AO407" s="16" t="str">
        <f t="shared" si="66"/>
        <v/>
      </c>
      <c r="AP407" s="16" t="str">
        <f t="shared" si="67"/>
        <v/>
      </c>
      <c r="AQ407" s="16" t="e">
        <f>IF(AP407="",NA(),COUNTIF(AP$176:$AP407,AP407))</f>
        <v>#N/A</v>
      </c>
      <c r="AR407" s="16" t="e">
        <f t="shared" si="68"/>
        <v>#N/A</v>
      </c>
      <c r="BI407" s="621">
        <v>399</v>
      </c>
      <c r="BJ407" s="711"/>
      <c r="BK407" s="712"/>
      <c r="BL407" s="713">
        <v>399</v>
      </c>
      <c r="BM407" s="714"/>
      <c r="BN407" s="239"/>
      <c r="BO407" s="24"/>
      <c r="BQ407" s="621">
        <v>399</v>
      </c>
      <c r="BR407" s="711"/>
      <c r="BS407" s="712"/>
      <c r="BT407" s="713">
        <v>399</v>
      </c>
      <c r="BU407" s="714"/>
      <c r="BV407" s="239"/>
      <c r="BW407" s="24"/>
      <c r="BY407" s="621">
        <v>399</v>
      </c>
      <c r="BZ407" s="711"/>
      <c r="CA407" s="712"/>
      <c r="CB407" s="713">
        <v>399</v>
      </c>
      <c r="CC407" s="714"/>
      <c r="CD407" s="239"/>
      <c r="CE407" s="24"/>
    </row>
    <row r="408" spans="5:83" ht="12" customHeight="1">
      <c r="E408" s="621">
        <v>400</v>
      </c>
      <c r="F408" s="711"/>
      <c r="G408" s="712"/>
      <c r="H408" s="713">
        <v>400</v>
      </c>
      <c r="I408" s="714"/>
      <c r="J408" s="239"/>
      <c r="K408" s="24"/>
      <c r="AI408" s="16" t="e">
        <f t="shared" si="61"/>
        <v>#N/A</v>
      </c>
      <c r="AJ408" s="16" t="str">
        <f t="shared" si="62"/>
        <v/>
      </c>
      <c r="AK408" s="16" t="str">
        <f t="shared" si="63"/>
        <v/>
      </c>
      <c r="AL408" s="16" t="e">
        <f>IF(AK408="",NA(),COUNTIF(AK$176:$AK408,AK408))</f>
        <v>#N/A</v>
      </c>
      <c r="AM408" s="16" t="e">
        <f t="shared" si="64"/>
        <v>#N/A</v>
      </c>
      <c r="AN408" s="16" t="e">
        <f t="shared" si="65"/>
        <v>#N/A</v>
      </c>
      <c r="AO408" s="16" t="str">
        <f t="shared" si="66"/>
        <v/>
      </c>
      <c r="AP408" s="16" t="str">
        <f t="shared" si="67"/>
        <v/>
      </c>
      <c r="AQ408" s="16" t="e">
        <f>IF(AP408="",NA(),COUNTIF(AP$176:$AP408,AP408))</f>
        <v>#N/A</v>
      </c>
      <c r="AR408" s="16" t="e">
        <f t="shared" si="68"/>
        <v>#N/A</v>
      </c>
      <c r="BI408" s="621">
        <v>400</v>
      </c>
      <c r="BJ408" s="711"/>
      <c r="BK408" s="712"/>
      <c r="BL408" s="713">
        <v>400</v>
      </c>
      <c r="BM408" s="714"/>
      <c r="BN408" s="239"/>
      <c r="BO408" s="24"/>
      <c r="BQ408" s="621">
        <v>400</v>
      </c>
      <c r="BR408" s="711"/>
      <c r="BS408" s="712"/>
      <c r="BT408" s="713">
        <v>400</v>
      </c>
      <c r="BU408" s="714"/>
      <c r="BV408" s="239"/>
      <c r="BW408" s="24"/>
      <c r="BY408" s="621">
        <v>400</v>
      </c>
      <c r="BZ408" s="711"/>
      <c r="CA408" s="712"/>
      <c r="CB408" s="713">
        <v>400</v>
      </c>
      <c r="CC408" s="714"/>
      <c r="CD408" s="239"/>
      <c r="CE408" s="24"/>
    </row>
    <row r="409" spans="5:83" ht="12" customHeight="1">
      <c r="E409" s="621">
        <v>401</v>
      </c>
      <c r="F409" s="711"/>
      <c r="G409" s="712"/>
      <c r="H409" s="713">
        <v>401</v>
      </c>
      <c r="I409" s="714"/>
      <c r="J409" s="239"/>
      <c r="K409" s="24"/>
      <c r="AI409" s="16" t="e">
        <f t="shared" si="61"/>
        <v>#N/A</v>
      </c>
      <c r="AJ409" s="16" t="str">
        <f t="shared" si="62"/>
        <v/>
      </c>
      <c r="AK409" s="16" t="str">
        <f t="shared" si="63"/>
        <v/>
      </c>
      <c r="AL409" s="16" t="e">
        <f>IF(AK409="",NA(),COUNTIF(AK$176:$AK409,AK409))</f>
        <v>#N/A</v>
      </c>
      <c r="AM409" s="16" t="e">
        <f t="shared" si="64"/>
        <v>#N/A</v>
      </c>
      <c r="AN409" s="16" t="e">
        <f t="shared" si="65"/>
        <v>#N/A</v>
      </c>
      <c r="AO409" s="16" t="str">
        <f t="shared" si="66"/>
        <v/>
      </c>
      <c r="AP409" s="16" t="str">
        <f t="shared" si="67"/>
        <v/>
      </c>
      <c r="AQ409" s="16" t="e">
        <f>IF(AP409="",NA(),COUNTIF(AP$176:$AP409,AP409))</f>
        <v>#N/A</v>
      </c>
      <c r="AR409" s="16" t="e">
        <f t="shared" si="68"/>
        <v>#N/A</v>
      </c>
      <c r="BI409" s="621">
        <v>401</v>
      </c>
      <c r="BJ409" s="711"/>
      <c r="BK409" s="712"/>
      <c r="BL409" s="713">
        <v>401</v>
      </c>
      <c r="BM409" s="714"/>
      <c r="BN409" s="239"/>
      <c r="BO409" s="24"/>
      <c r="BQ409" s="621">
        <v>401</v>
      </c>
      <c r="BR409" s="711"/>
      <c r="BS409" s="712"/>
      <c r="BT409" s="713">
        <v>401</v>
      </c>
      <c r="BU409" s="714"/>
      <c r="BV409" s="239"/>
      <c r="BW409" s="24"/>
      <c r="BY409" s="621">
        <v>401</v>
      </c>
      <c r="BZ409" s="711"/>
      <c r="CA409" s="712"/>
      <c r="CB409" s="713">
        <v>401</v>
      </c>
      <c r="CC409" s="714"/>
      <c r="CD409" s="239"/>
      <c r="CE409" s="24"/>
    </row>
    <row r="410" spans="5:83" ht="12" customHeight="1">
      <c r="E410" s="621">
        <v>402</v>
      </c>
      <c r="F410" s="711"/>
      <c r="G410" s="712"/>
      <c r="H410" s="713">
        <v>402</v>
      </c>
      <c r="I410" s="714"/>
      <c r="J410" s="239"/>
      <c r="K410" s="24"/>
      <c r="AI410" s="16" t="e">
        <f t="shared" si="61"/>
        <v>#N/A</v>
      </c>
      <c r="AJ410" s="16" t="str">
        <f t="shared" si="62"/>
        <v/>
      </c>
      <c r="AK410" s="16" t="str">
        <f t="shared" si="63"/>
        <v/>
      </c>
      <c r="AL410" s="16" t="e">
        <f>IF(AK410="",NA(),COUNTIF(AK$176:$AK410,AK410))</f>
        <v>#N/A</v>
      </c>
      <c r="AM410" s="16" t="e">
        <f t="shared" si="64"/>
        <v>#N/A</v>
      </c>
      <c r="AN410" s="16" t="e">
        <f t="shared" si="65"/>
        <v>#N/A</v>
      </c>
      <c r="AO410" s="16" t="str">
        <f t="shared" si="66"/>
        <v/>
      </c>
      <c r="AP410" s="16" t="str">
        <f t="shared" si="67"/>
        <v/>
      </c>
      <c r="AQ410" s="16" t="e">
        <f>IF(AP410="",NA(),COUNTIF(AP$176:$AP410,AP410))</f>
        <v>#N/A</v>
      </c>
      <c r="AR410" s="16" t="e">
        <f t="shared" si="68"/>
        <v>#N/A</v>
      </c>
      <c r="BI410" s="621">
        <v>402</v>
      </c>
      <c r="BJ410" s="711"/>
      <c r="BK410" s="712"/>
      <c r="BL410" s="713">
        <v>402</v>
      </c>
      <c r="BM410" s="714"/>
      <c r="BN410" s="239"/>
      <c r="BO410" s="24"/>
      <c r="BQ410" s="621">
        <v>402</v>
      </c>
      <c r="BR410" s="711"/>
      <c r="BS410" s="712"/>
      <c r="BT410" s="713">
        <v>402</v>
      </c>
      <c r="BU410" s="714"/>
      <c r="BV410" s="239"/>
      <c r="BW410" s="24"/>
      <c r="BY410" s="621">
        <v>402</v>
      </c>
      <c r="BZ410" s="711"/>
      <c r="CA410" s="712"/>
      <c r="CB410" s="713">
        <v>402</v>
      </c>
      <c r="CC410" s="714"/>
      <c r="CD410" s="239"/>
      <c r="CE410" s="24"/>
    </row>
    <row r="411" spans="5:83" ht="12" customHeight="1">
      <c r="E411" s="621">
        <v>403</v>
      </c>
      <c r="F411" s="711"/>
      <c r="G411" s="712"/>
      <c r="H411" s="713">
        <v>403</v>
      </c>
      <c r="I411" s="714"/>
      <c r="J411" s="239"/>
      <c r="K411" s="24"/>
      <c r="AI411" s="16" t="e">
        <f t="shared" si="61"/>
        <v>#N/A</v>
      </c>
      <c r="AJ411" s="16" t="str">
        <f t="shared" si="62"/>
        <v/>
      </c>
      <c r="AK411" s="16" t="str">
        <f t="shared" si="63"/>
        <v/>
      </c>
      <c r="AL411" s="16" t="e">
        <f>IF(AK411="",NA(),COUNTIF(AK$176:$AK411,AK411))</f>
        <v>#N/A</v>
      </c>
      <c r="AM411" s="16" t="e">
        <f t="shared" si="64"/>
        <v>#N/A</v>
      </c>
      <c r="AN411" s="16" t="e">
        <f t="shared" si="65"/>
        <v>#N/A</v>
      </c>
      <c r="AO411" s="16" t="str">
        <f t="shared" si="66"/>
        <v/>
      </c>
      <c r="AP411" s="16" t="str">
        <f t="shared" si="67"/>
        <v/>
      </c>
      <c r="AQ411" s="16" t="e">
        <f>IF(AP411="",NA(),COUNTIF(AP$176:$AP411,AP411))</f>
        <v>#N/A</v>
      </c>
      <c r="AR411" s="16" t="e">
        <f t="shared" si="68"/>
        <v>#N/A</v>
      </c>
      <c r="BI411" s="621">
        <v>403</v>
      </c>
      <c r="BJ411" s="711"/>
      <c r="BK411" s="712"/>
      <c r="BL411" s="713">
        <v>403</v>
      </c>
      <c r="BM411" s="714"/>
      <c r="BN411" s="239"/>
      <c r="BO411" s="24"/>
      <c r="BQ411" s="621">
        <v>403</v>
      </c>
      <c r="BR411" s="711"/>
      <c r="BS411" s="712"/>
      <c r="BT411" s="713">
        <v>403</v>
      </c>
      <c r="BU411" s="714"/>
      <c r="BV411" s="239"/>
      <c r="BW411" s="24"/>
      <c r="BY411" s="621">
        <v>403</v>
      </c>
      <c r="BZ411" s="711"/>
      <c r="CA411" s="712"/>
      <c r="CB411" s="713">
        <v>403</v>
      </c>
      <c r="CC411" s="714"/>
      <c r="CD411" s="239"/>
      <c r="CE411" s="24"/>
    </row>
    <row r="412" spans="5:83" ht="12" customHeight="1">
      <c r="E412" s="621">
        <v>404</v>
      </c>
      <c r="F412" s="711"/>
      <c r="G412" s="712"/>
      <c r="H412" s="713">
        <v>404</v>
      </c>
      <c r="I412" s="714"/>
      <c r="J412" s="239"/>
      <c r="K412" s="24"/>
      <c r="AI412" s="16" t="e">
        <f t="shared" si="61"/>
        <v>#N/A</v>
      </c>
      <c r="AJ412" s="16" t="str">
        <f t="shared" si="62"/>
        <v/>
      </c>
      <c r="AK412" s="16" t="str">
        <f t="shared" si="63"/>
        <v/>
      </c>
      <c r="AL412" s="16" t="e">
        <f>IF(AK412="",NA(),COUNTIF(AK$176:$AK412,AK412))</f>
        <v>#N/A</v>
      </c>
      <c r="AM412" s="16" t="e">
        <f t="shared" si="64"/>
        <v>#N/A</v>
      </c>
      <c r="AN412" s="16" t="e">
        <f t="shared" si="65"/>
        <v>#N/A</v>
      </c>
      <c r="AO412" s="16" t="str">
        <f t="shared" si="66"/>
        <v/>
      </c>
      <c r="AP412" s="16" t="str">
        <f t="shared" si="67"/>
        <v/>
      </c>
      <c r="AQ412" s="16" t="e">
        <f>IF(AP412="",NA(),COUNTIF(AP$176:$AP412,AP412))</f>
        <v>#N/A</v>
      </c>
      <c r="AR412" s="16" t="e">
        <f t="shared" si="68"/>
        <v>#N/A</v>
      </c>
      <c r="BI412" s="621">
        <v>404</v>
      </c>
      <c r="BJ412" s="711"/>
      <c r="BK412" s="712"/>
      <c r="BL412" s="713">
        <v>404</v>
      </c>
      <c r="BM412" s="714"/>
      <c r="BN412" s="239"/>
      <c r="BO412" s="24"/>
      <c r="BQ412" s="621">
        <v>404</v>
      </c>
      <c r="BR412" s="711"/>
      <c r="BS412" s="712"/>
      <c r="BT412" s="713">
        <v>404</v>
      </c>
      <c r="BU412" s="714"/>
      <c r="BV412" s="239"/>
      <c r="BW412" s="24"/>
      <c r="BY412" s="621">
        <v>404</v>
      </c>
      <c r="BZ412" s="711"/>
      <c r="CA412" s="712"/>
      <c r="CB412" s="713">
        <v>404</v>
      </c>
      <c r="CC412" s="714"/>
      <c r="CD412" s="239"/>
      <c r="CE412" s="24"/>
    </row>
    <row r="413" spans="5:83" ht="12" customHeight="1">
      <c r="E413" s="621">
        <v>405</v>
      </c>
      <c r="F413" s="711"/>
      <c r="G413" s="712"/>
      <c r="H413" s="713">
        <v>405</v>
      </c>
      <c r="I413" s="714"/>
      <c r="J413" s="239"/>
      <c r="K413" s="24"/>
      <c r="AI413" s="16" t="e">
        <f t="shared" si="61"/>
        <v>#N/A</v>
      </c>
      <c r="AJ413" s="16" t="str">
        <f t="shared" si="62"/>
        <v/>
      </c>
      <c r="AK413" s="16" t="str">
        <f t="shared" si="63"/>
        <v/>
      </c>
      <c r="AL413" s="16" t="e">
        <f>IF(AK413="",NA(),COUNTIF(AK$176:$AK413,AK413))</f>
        <v>#N/A</v>
      </c>
      <c r="AM413" s="16" t="e">
        <f t="shared" si="64"/>
        <v>#N/A</v>
      </c>
      <c r="AN413" s="16" t="e">
        <f t="shared" si="65"/>
        <v>#N/A</v>
      </c>
      <c r="AO413" s="16" t="str">
        <f t="shared" si="66"/>
        <v/>
      </c>
      <c r="AP413" s="16" t="str">
        <f t="shared" si="67"/>
        <v/>
      </c>
      <c r="AQ413" s="16" t="e">
        <f>IF(AP413="",NA(),COUNTIF(AP$176:$AP413,AP413))</f>
        <v>#N/A</v>
      </c>
      <c r="AR413" s="16" t="e">
        <f t="shared" si="68"/>
        <v>#N/A</v>
      </c>
      <c r="BI413" s="621">
        <v>405</v>
      </c>
      <c r="BJ413" s="711"/>
      <c r="BK413" s="712"/>
      <c r="BL413" s="713">
        <v>405</v>
      </c>
      <c r="BM413" s="714"/>
      <c r="BN413" s="239"/>
      <c r="BO413" s="24"/>
      <c r="BQ413" s="621">
        <v>405</v>
      </c>
      <c r="BR413" s="711"/>
      <c r="BS413" s="712"/>
      <c r="BT413" s="713">
        <v>405</v>
      </c>
      <c r="BU413" s="714"/>
      <c r="BV413" s="239"/>
      <c r="BW413" s="24"/>
      <c r="BY413" s="621">
        <v>405</v>
      </c>
      <c r="BZ413" s="711"/>
      <c r="CA413" s="712"/>
      <c r="CB413" s="713">
        <v>405</v>
      </c>
      <c r="CC413" s="714"/>
      <c r="CD413" s="239"/>
      <c r="CE413" s="24"/>
    </row>
    <row r="414" spans="5:83" ht="12" customHeight="1">
      <c r="E414" s="621">
        <v>406</v>
      </c>
      <c r="F414" s="711"/>
      <c r="G414" s="712"/>
      <c r="H414" s="713">
        <v>406</v>
      </c>
      <c r="I414" s="714"/>
      <c r="J414" s="239"/>
      <c r="K414" s="24"/>
      <c r="AI414" s="16" t="e">
        <f t="shared" si="61"/>
        <v>#N/A</v>
      </c>
      <c r="AJ414" s="16" t="str">
        <f t="shared" si="62"/>
        <v/>
      </c>
      <c r="AK414" s="16" t="str">
        <f t="shared" si="63"/>
        <v/>
      </c>
      <c r="AL414" s="16" t="e">
        <f>IF(AK414="",NA(),COUNTIF(AK$176:$AK414,AK414))</f>
        <v>#N/A</v>
      </c>
      <c r="AM414" s="16" t="e">
        <f t="shared" si="64"/>
        <v>#N/A</v>
      </c>
      <c r="AN414" s="16" t="e">
        <f t="shared" si="65"/>
        <v>#N/A</v>
      </c>
      <c r="AO414" s="16" t="str">
        <f t="shared" si="66"/>
        <v/>
      </c>
      <c r="AP414" s="16" t="str">
        <f t="shared" si="67"/>
        <v/>
      </c>
      <c r="AQ414" s="16" t="e">
        <f>IF(AP414="",NA(),COUNTIF(AP$176:$AP414,AP414))</f>
        <v>#N/A</v>
      </c>
      <c r="AR414" s="16" t="e">
        <f t="shared" si="68"/>
        <v>#N/A</v>
      </c>
      <c r="BI414" s="621">
        <v>406</v>
      </c>
      <c r="BJ414" s="711"/>
      <c r="BK414" s="712"/>
      <c r="BL414" s="713">
        <v>406</v>
      </c>
      <c r="BM414" s="714"/>
      <c r="BN414" s="239"/>
      <c r="BO414" s="24"/>
      <c r="BQ414" s="621">
        <v>406</v>
      </c>
      <c r="BR414" s="711"/>
      <c r="BS414" s="712"/>
      <c r="BT414" s="713">
        <v>406</v>
      </c>
      <c r="BU414" s="714"/>
      <c r="BV414" s="239"/>
      <c r="BW414" s="24"/>
      <c r="BY414" s="621">
        <v>406</v>
      </c>
      <c r="BZ414" s="711"/>
      <c r="CA414" s="712"/>
      <c r="CB414" s="713">
        <v>406</v>
      </c>
      <c r="CC414" s="714"/>
      <c r="CD414" s="239"/>
      <c r="CE414" s="24"/>
    </row>
    <row r="415" spans="5:83" ht="12" customHeight="1">
      <c r="E415" s="621">
        <v>407</v>
      </c>
      <c r="F415" s="711"/>
      <c r="G415" s="712"/>
      <c r="H415" s="713">
        <v>407</v>
      </c>
      <c r="I415" s="714"/>
      <c r="J415" s="239"/>
      <c r="K415" s="24"/>
      <c r="AI415" s="16" t="e">
        <f t="shared" si="61"/>
        <v>#N/A</v>
      </c>
      <c r="AJ415" s="16" t="str">
        <f t="shared" si="62"/>
        <v/>
      </c>
      <c r="AK415" s="16" t="str">
        <f t="shared" si="63"/>
        <v/>
      </c>
      <c r="AL415" s="16" t="e">
        <f>IF(AK415="",NA(),COUNTIF(AK$176:$AK415,AK415))</f>
        <v>#N/A</v>
      </c>
      <c r="AM415" s="16" t="e">
        <f t="shared" si="64"/>
        <v>#N/A</v>
      </c>
      <c r="AN415" s="16" t="e">
        <f t="shared" si="65"/>
        <v>#N/A</v>
      </c>
      <c r="AO415" s="16" t="str">
        <f t="shared" si="66"/>
        <v/>
      </c>
      <c r="AP415" s="16" t="str">
        <f t="shared" si="67"/>
        <v/>
      </c>
      <c r="AQ415" s="16" t="e">
        <f>IF(AP415="",NA(),COUNTIF(AP$176:$AP415,AP415))</f>
        <v>#N/A</v>
      </c>
      <c r="AR415" s="16" t="e">
        <f t="shared" si="68"/>
        <v>#N/A</v>
      </c>
      <c r="BI415" s="621">
        <v>407</v>
      </c>
      <c r="BJ415" s="711"/>
      <c r="BK415" s="712"/>
      <c r="BL415" s="713">
        <v>407</v>
      </c>
      <c r="BM415" s="714"/>
      <c r="BN415" s="239"/>
      <c r="BO415" s="24"/>
      <c r="BQ415" s="621">
        <v>407</v>
      </c>
      <c r="BR415" s="711"/>
      <c r="BS415" s="712"/>
      <c r="BT415" s="713">
        <v>407</v>
      </c>
      <c r="BU415" s="714"/>
      <c r="BV415" s="239"/>
      <c r="BW415" s="24"/>
      <c r="BY415" s="621">
        <v>407</v>
      </c>
      <c r="BZ415" s="711"/>
      <c r="CA415" s="712"/>
      <c r="CB415" s="713">
        <v>407</v>
      </c>
      <c r="CC415" s="714"/>
      <c r="CD415" s="239"/>
      <c r="CE415" s="24"/>
    </row>
    <row r="416" spans="5:83" ht="12" customHeight="1">
      <c r="E416" s="621">
        <v>408</v>
      </c>
      <c r="F416" s="711"/>
      <c r="G416" s="712"/>
      <c r="H416" s="713">
        <v>408</v>
      </c>
      <c r="I416" s="714"/>
      <c r="J416" s="239"/>
      <c r="K416" s="24"/>
      <c r="AI416" s="16" t="e">
        <f t="shared" si="61"/>
        <v>#N/A</v>
      </c>
      <c r="AJ416" s="16" t="str">
        <f t="shared" si="62"/>
        <v/>
      </c>
      <c r="AK416" s="16" t="str">
        <f t="shared" si="63"/>
        <v/>
      </c>
      <c r="AL416" s="16" t="e">
        <f>IF(AK416="",NA(),COUNTIF(AK$176:$AK416,AK416))</f>
        <v>#N/A</v>
      </c>
      <c r="AM416" s="16" t="e">
        <f t="shared" si="64"/>
        <v>#N/A</v>
      </c>
      <c r="AN416" s="16" t="e">
        <f t="shared" si="65"/>
        <v>#N/A</v>
      </c>
      <c r="AO416" s="16" t="str">
        <f t="shared" si="66"/>
        <v/>
      </c>
      <c r="AP416" s="16" t="str">
        <f t="shared" si="67"/>
        <v/>
      </c>
      <c r="AQ416" s="16" t="e">
        <f>IF(AP416="",NA(),COUNTIF(AP$176:$AP416,AP416))</f>
        <v>#N/A</v>
      </c>
      <c r="AR416" s="16" t="e">
        <f t="shared" si="68"/>
        <v>#N/A</v>
      </c>
      <c r="BI416" s="621">
        <v>408</v>
      </c>
      <c r="BJ416" s="711"/>
      <c r="BK416" s="712"/>
      <c r="BL416" s="713">
        <v>408</v>
      </c>
      <c r="BM416" s="714"/>
      <c r="BN416" s="239"/>
      <c r="BO416" s="24"/>
      <c r="BQ416" s="621">
        <v>408</v>
      </c>
      <c r="BR416" s="711"/>
      <c r="BS416" s="712"/>
      <c r="BT416" s="713">
        <v>408</v>
      </c>
      <c r="BU416" s="714"/>
      <c r="BV416" s="239"/>
      <c r="BW416" s="24"/>
      <c r="BY416" s="621">
        <v>408</v>
      </c>
      <c r="BZ416" s="711"/>
      <c r="CA416" s="712"/>
      <c r="CB416" s="713">
        <v>408</v>
      </c>
      <c r="CC416" s="714"/>
      <c r="CD416" s="239"/>
      <c r="CE416" s="24"/>
    </row>
    <row r="417" spans="5:83" ht="12" customHeight="1">
      <c r="E417" s="621">
        <v>409</v>
      </c>
      <c r="F417" s="711"/>
      <c r="G417" s="712"/>
      <c r="H417" s="713">
        <v>409</v>
      </c>
      <c r="I417" s="714"/>
      <c r="J417" s="239"/>
      <c r="K417" s="24"/>
      <c r="AI417" s="16" t="e">
        <f t="shared" si="61"/>
        <v>#N/A</v>
      </c>
      <c r="AJ417" s="16" t="str">
        <f t="shared" si="62"/>
        <v/>
      </c>
      <c r="AK417" s="16" t="str">
        <f t="shared" si="63"/>
        <v/>
      </c>
      <c r="AL417" s="16" t="e">
        <f>IF(AK417="",NA(),COUNTIF(AK$176:$AK417,AK417))</f>
        <v>#N/A</v>
      </c>
      <c r="AM417" s="16" t="e">
        <f t="shared" si="64"/>
        <v>#N/A</v>
      </c>
      <c r="AN417" s="16" t="e">
        <f t="shared" si="65"/>
        <v>#N/A</v>
      </c>
      <c r="AO417" s="16" t="str">
        <f t="shared" si="66"/>
        <v/>
      </c>
      <c r="AP417" s="16" t="str">
        <f t="shared" si="67"/>
        <v/>
      </c>
      <c r="AQ417" s="16" t="e">
        <f>IF(AP417="",NA(),COUNTIF(AP$176:$AP417,AP417))</f>
        <v>#N/A</v>
      </c>
      <c r="AR417" s="16" t="e">
        <f t="shared" si="68"/>
        <v>#N/A</v>
      </c>
      <c r="BI417" s="621">
        <v>409</v>
      </c>
      <c r="BJ417" s="711"/>
      <c r="BK417" s="712"/>
      <c r="BL417" s="713">
        <v>409</v>
      </c>
      <c r="BM417" s="714"/>
      <c r="BN417" s="239"/>
      <c r="BO417" s="24"/>
      <c r="BQ417" s="621">
        <v>409</v>
      </c>
      <c r="BR417" s="711"/>
      <c r="BS417" s="712"/>
      <c r="BT417" s="713">
        <v>409</v>
      </c>
      <c r="BU417" s="714"/>
      <c r="BV417" s="239"/>
      <c r="BW417" s="24"/>
      <c r="BY417" s="621">
        <v>409</v>
      </c>
      <c r="BZ417" s="711"/>
      <c r="CA417" s="712"/>
      <c r="CB417" s="713">
        <v>409</v>
      </c>
      <c r="CC417" s="714"/>
      <c r="CD417" s="239"/>
      <c r="CE417" s="24"/>
    </row>
    <row r="418" spans="5:83" ht="12" customHeight="1">
      <c r="E418" s="621">
        <v>410</v>
      </c>
      <c r="F418" s="711"/>
      <c r="G418" s="712"/>
      <c r="H418" s="713">
        <v>410</v>
      </c>
      <c r="I418" s="714"/>
      <c r="J418" s="239"/>
      <c r="K418" s="24"/>
      <c r="AI418" s="16" t="e">
        <f t="shared" si="61"/>
        <v>#N/A</v>
      </c>
      <c r="AJ418" s="16" t="str">
        <f t="shared" si="62"/>
        <v/>
      </c>
      <c r="AK418" s="16" t="str">
        <f t="shared" si="63"/>
        <v/>
      </c>
      <c r="AL418" s="16" t="e">
        <f>IF(AK418="",NA(),COUNTIF(AK$176:$AK418,AK418))</f>
        <v>#N/A</v>
      </c>
      <c r="AM418" s="16" t="e">
        <f t="shared" si="64"/>
        <v>#N/A</v>
      </c>
      <c r="AN418" s="16" t="e">
        <f t="shared" si="65"/>
        <v>#N/A</v>
      </c>
      <c r="AO418" s="16" t="str">
        <f t="shared" si="66"/>
        <v/>
      </c>
      <c r="AP418" s="16" t="str">
        <f t="shared" si="67"/>
        <v/>
      </c>
      <c r="AQ418" s="16" t="e">
        <f>IF(AP418="",NA(),COUNTIF(AP$176:$AP418,AP418))</f>
        <v>#N/A</v>
      </c>
      <c r="AR418" s="16" t="e">
        <f t="shared" si="68"/>
        <v>#N/A</v>
      </c>
      <c r="BI418" s="621">
        <v>410</v>
      </c>
      <c r="BJ418" s="711"/>
      <c r="BK418" s="712"/>
      <c r="BL418" s="713">
        <v>410</v>
      </c>
      <c r="BM418" s="714"/>
      <c r="BN418" s="239"/>
      <c r="BO418" s="24"/>
      <c r="BQ418" s="621">
        <v>410</v>
      </c>
      <c r="BR418" s="711"/>
      <c r="BS418" s="712"/>
      <c r="BT418" s="713">
        <v>410</v>
      </c>
      <c r="BU418" s="714"/>
      <c r="BV418" s="239"/>
      <c r="BW418" s="24"/>
      <c r="BY418" s="621">
        <v>410</v>
      </c>
      <c r="BZ418" s="711"/>
      <c r="CA418" s="712"/>
      <c r="CB418" s="713">
        <v>410</v>
      </c>
      <c r="CC418" s="714"/>
      <c r="CD418" s="239"/>
      <c r="CE418" s="24"/>
    </row>
    <row r="419" spans="5:83" ht="12" customHeight="1">
      <c r="E419" s="621">
        <v>411</v>
      </c>
      <c r="F419" s="711"/>
      <c r="G419" s="712"/>
      <c r="H419" s="713">
        <v>411</v>
      </c>
      <c r="I419" s="714"/>
      <c r="J419" s="239"/>
      <c r="K419" s="24"/>
      <c r="AI419" s="16" t="e">
        <f t="shared" si="61"/>
        <v>#N/A</v>
      </c>
      <c r="AJ419" s="16" t="str">
        <f t="shared" si="62"/>
        <v/>
      </c>
      <c r="AK419" s="16" t="str">
        <f t="shared" si="63"/>
        <v/>
      </c>
      <c r="AL419" s="16" t="e">
        <f>IF(AK419="",NA(),COUNTIF(AK$176:$AK419,AK419))</f>
        <v>#N/A</v>
      </c>
      <c r="AM419" s="16" t="e">
        <f t="shared" si="64"/>
        <v>#N/A</v>
      </c>
      <c r="AN419" s="16" t="e">
        <f t="shared" si="65"/>
        <v>#N/A</v>
      </c>
      <c r="AO419" s="16" t="str">
        <f t="shared" si="66"/>
        <v/>
      </c>
      <c r="AP419" s="16" t="str">
        <f t="shared" si="67"/>
        <v/>
      </c>
      <c r="AQ419" s="16" t="e">
        <f>IF(AP419="",NA(),COUNTIF(AP$176:$AP419,AP419))</f>
        <v>#N/A</v>
      </c>
      <c r="AR419" s="16" t="e">
        <f t="shared" si="68"/>
        <v>#N/A</v>
      </c>
      <c r="BI419" s="621">
        <v>411</v>
      </c>
      <c r="BJ419" s="711"/>
      <c r="BK419" s="712"/>
      <c r="BL419" s="713">
        <v>411</v>
      </c>
      <c r="BM419" s="714"/>
      <c r="BN419" s="239"/>
      <c r="BO419" s="24"/>
      <c r="BQ419" s="621">
        <v>411</v>
      </c>
      <c r="BR419" s="711"/>
      <c r="BS419" s="712"/>
      <c r="BT419" s="713">
        <v>411</v>
      </c>
      <c r="BU419" s="714"/>
      <c r="BV419" s="239"/>
      <c r="BW419" s="24"/>
      <c r="BY419" s="621">
        <v>411</v>
      </c>
      <c r="BZ419" s="711"/>
      <c r="CA419" s="712"/>
      <c r="CB419" s="713">
        <v>411</v>
      </c>
      <c r="CC419" s="714"/>
      <c r="CD419" s="239"/>
      <c r="CE419" s="24"/>
    </row>
    <row r="420" spans="5:83" ht="12" customHeight="1">
      <c r="E420" s="621">
        <v>412</v>
      </c>
      <c r="F420" s="711"/>
      <c r="G420" s="712"/>
      <c r="H420" s="713">
        <v>412</v>
      </c>
      <c r="I420" s="714"/>
      <c r="J420" s="239"/>
      <c r="K420" s="24"/>
      <c r="AI420" s="16" t="e">
        <f t="shared" si="61"/>
        <v>#N/A</v>
      </c>
      <c r="AJ420" s="16" t="str">
        <f t="shared" si="62"/>
        <v/>
      </c>
      <c r="AK420" s="16" t="str">
        <f t="shared" si="63"/>
        <v/>
      </c>
      <c r="AL420" s="16" t="e">
        <f>IF(AK420="",NA(),COUNTIF(AK$176:$AK420,AK420))</f>
        <v>#N/A</v>
      </c>
      <c r="AM420" s="16" t="e">
        <f t="shared" si="64"/>
        <v>#N/A</v>
      </c>
      <c r="AN420" s="16" t="e">
        <f t="shared" si="65"/>
        <v>#N/A</v>
      </c>
      <c r="AO420" s="16" t="str">
        <f t="shared" si="66"/>
        <v/>
      </c>
      <c r="AP420" s="16" t="str">
        <f t="shared" si="67"/>
        <v/>
      </c>
      <c r="AQ420" s="16" t="e">
        <f>IF(AP420="",NA(),COUNTIF(AP$176:$AP420,AP420))</f>
        <v>#N/A</v>
      </c>
      <c r="AR420" s="16" t="e">
        <f t="shared" si="68"/>
        <v>#N/A</v>
      </c>
      <c r="BI420" s="621">
        <v>412</v>
      </c>
      <c r="BJ420" s="711"/>
      <c r="BK420" s="712"/>
      <c r="BL420" s="713">
        <v>412</v>
      </c>
      <c r="BM420" s="714"/>
      <c r="BN420" s="239"/>
      <c r="BO420" s="24"/>
      <c r="BQ420" s="621">
        <v>412</v>
      </c>
      <c r="BR420" s="711"/>
      <c r="BS420" s="712"/>
      <c r="BT420" s="713">
        <v>412</v>
      </c>
      <c r="BU420" s="714"/>
      <c r="BV420" s="239"/>
      <c r="BW420" s="24"/>
      <c r="BY420" s="621">
        <v>412</v>
      </c>
      <c r="BZ420" s="711"/>
      <c r="CA420" s="712"/>
      <c r="CB420" s="713">
        <v>412</v>
      </c>
      <c r="CC420" s="714"/>
      <c r="CD420" s="239"/>
      <c r="CE420" s="24"/>
    </row>
    <row r="421" spans="5:83" ht="12" customHeight="1">
      <c r="E421" s="621">
        <v>413</v>
      </c>
      <c r="F421" s="711"/>
      <c r="G421" s="712"/>
      <c r="H421" s="713">
        <v>413</v>
      </c>
      <c r="I421" s="714"/>
      <c r="J421" s="239"/>
      <c r="K421" s="24"/>
      <c r="AI421" s="16" t="e">
        <f t="shared" si="61"/>
        <v>#N/A</v>
      </c>
      <c r="AJ421" s="16" t="str">
        <f t="shared" si="62"/>
        <v/>
      </c>
      <c r="AK421" s="16" t="str">
        <f t="shared" si="63"/>
        <v/>
      </c>
      <c r="AL421" s="16" t="e">
        <f>IF(AK421="",NA(),COUNTIF(AK$176:$AK421,AK421))</f>
        <v>#N/A</v>
      </c>
      <c r="AM421" s="16" t="e">
        <f t="shared" si="64"/>
        <v>#N/A</v>
      </c>
      <c r="AN421" s="16" t="e">
        <f t="shared" si="65"/>
        <v>#N/A</v>
      </c>
      <c r="AO421" s="16" t="str">
        <f t="shared" si="66"/>
        <v/>
      </c>
      <c r="AP421" s="16" t="str">
        <f t="shared" si="67"/>
        <v/>
      </c>
      <c r="AQ421" s="16" t="e">
        <f>IF(AP421="",NA(),COUNTIF(AP$176:$AP421,AP421))</f>
        <v>#N/A</v>
      </c>
      <c r="AR421" s="16" t="e">
        <f t="shared" si="68"/>
        <v>#N/A</v>
      </c>
      <c r="BI421" s="621">
        <v>413</v>
      </c>
      <c r="BJ421" s="711"/>
      <c r="BK421" s="712"/>
      <c r="BL421" s="713">
        <v>413</v>
      </c>
      <c r="BM421" s="714"/>
      <c r="BN421" s="239"/>
      <c r="BO421" s="24"/>
      <c r="BQ421" s="621">
        <v>413</v>
      </c>
      <c r="BR421" s="711"/>
      <c r="BS421" s="712"/>
      <c r="BT421" s="713">
        <v>413</v>
      </c>
      <c r="BU421" s="714"/>
      <c r="BV421" s="239"/>
      <c r="BW421" s="24"/>
      <c r="BY421" s="621">
        <v>413</v>
      </c>
      <c r="BZ421" s="711"/>
      <c r="CA421" s="712"/>
      <c r="CB421" s="713">
        <v>413</v>
      </c>
      <c r="CC421" s="714"/>
      <c r="CD421" s="239"/>
      <c r="CE421" s="24"/>
    </row>
    <row r="422" spans="5:83" ht="12" customHeight="1">
      <c r="E422" s="621">
        <v>414</v>
      </c>
      <c r="F422" s="711"/>
      <c r="G422" s="712"/>
      <c r="H422" s="713">
        <v>414</v>
      </c>
      <c r="I422" s="714"/>
      <c r="J422" s="239"/>
      <c r="K422" s="24"/>
      <c r="AI422" s="16" t="e">
        <f t="shared" si="61"/>
        <v>#N/A</v>
      </c>
      <c r="AJ422" s="16" t="str">
        <f t="shared" si="62"/>
        <v/>
      </c>
      <c r="AK422" s="16" t="str">
        <f t="shared" si="63"/>
        <v/>
      </c>
      <c r="AL422" s="16" t="e">
        <f>IF(AK422="",NA(),COUNTIF(AK$176:$AK422,AK422))</f>
        <v>#N/A</v>
      </c>
      <c r="AM422" s="16" t="e">
        <f t="shared" si="64"/>
        <v>#N/A</v>
      </c>
      <c r="AN422" s="16" t="e">
        <f t="shared" si="65"/>
        <v>#N/A</v>
      </c>
      <c r="AO422" s="16" t="str">
        <f t="shared" si="66"/>
        <v/>
      </c>
      <c r="AP422" s="16" t="str">
        <f t="shared" si="67"/>
        <v/>
      </c>
      <c r="AQ422" s="16" t="e">
        <f>IF(AP422="",NA(),COUNTIF(AP$176:$AP422,AP422))</f>
        <v>#N/A</v>
      </c>
      <c r="AR422" s="16" t="e">
        <f t="shared" si="68"/>
        <v>#N/A</v>
      </c>
      <c r="BI422" s="621">
        <v>414</v>
      </c>
      <c r="BJ422" s="711"/>
      <c r="BK422" s="712"/>
      <c r="BL422" s="713">
        <v>414</v>
      </c>
      <c r="BM422" s="714"/>
      <c r="BN422" s="239"/>
      <c r="BO422" s="24"/>
      <c r="BQ422" s="621">
        <v>414</v>
      </c>
      <c r="BR422" s="711"/>
      <c r="BS422" s="712"/>
      <c r="BT422" s="713">
        <v>414</v>
      </c>
      <c r="BU422" s="714"/>
      <c r="BV422" s="239"/>
      <c r="BW422" s="24"/>
      <c r="BY422" s="621">
        <v>414</v>
      </c>
      <c r="BZ422" s="711"/>
      <c r="CA422" s="712"/>
      <c r="CB422" s="713">
        <v>414</v>
      </c>
      <c r="CC422" s="714"/>
      <c r="CD422" s="239"/>
      <c r="CE422" s="24"/>
    </row>
    <row r="423" spans="5:83" ht="12" customHeight="1">
      <c r="E423" s="621">
        <v>415</v>
      </c>
      <c r="F423" s="711"/>
      <c r="G423" s="712"/>
      <c r="H423" s="713">
        <v>415</v>
      </c>
      <c r="I423" s="714"/>
      <c r="J423" s="239"/>
      <c r="K423" s="24"/>
      <c r="AI423" s="16" t="e">
        <f t="shared" si="61"/>
        <v>#N/A</v>
      </c>
      <c r="AJ423" s="16" t="str">
        <f t="shared" si="62"/>
        <v/>
      </c>
      <c r="AK423" s="16" t="str">
        <f t="shared" si="63"/>
        <v/>
      </c>
      <c r="AL423" s="16" t="e">
        <f>IF(AK423="",NA(),COUNTIF(AK$176:$AK423,AK423))</f>
        <v>#N/A</v>
      </c>
      <c r="AM423" s="16" t="e">
        <f t="shared" si="64"/>
        <v>#N/A</v>
      </c>
      <c r="AN423" s="16" t="e">
        <f t="shared" si="65"/>
        <v>#N/A</v>
      </c>
      <c r="AO423" s="16" t="str">
        <f t="shared" si="66"/>
        <v/>
      </c>
      <c r="AP423" s="16" t="str">
        <f t="shared" si="67"/>
        <v/>
      </c>
      <c r="AQ423" s="16" t="e">
        <f>IF(AP423="",NA(),COUNTIF(AP$176:$AP423,AP423))</f>
        <v>#N/A</v>
      </c>
      <c r="AR423" s="16" t="e">
        <f t="shared" si="68"/>
        <v>#N/A</v>
      </c>
      <c r="BI423" s="621">
        <v>415</v>
      </c>
      <c r="BJ423" s="711"/>
      <c r="BK423" s="712"/>
      <c r="BL423" s="713">
        <v>415</v>
      </c>
      <c r="BM423" s="714"/>
      <c r="BN423" s="239"/>
      <c r="BO423" s="24"/>
      <c r="BQ423" s="621">
        <v>415</v>
      </c>
      <c r="BR423" s="711"/>
      <c r="BS423" s="712"/>
      <c r="BT423" s="713">
        <v>415</v>
      </c>
      <c r="BU423" s="714"/>
      <c r="BV423" s="239"/>
      <c r="BW423" s="24"/>
      <c r="BY423" s="621">
        <v>415</v>
      </c>
      <c r="BZ423" s="711"/>
      <c r="CA423" s="712"/>
      <c r="CB423" s="713">
        <v>415</v>
      </c>
      <c r="CC423" s="714"/>
      <c r="CD423" s="239"/>
      <c r="CE423" s="24"/>
    </row>
    <row r="424" spans="5:83" ht="12" customHeight="1">
      <c r="E424" s="621">
        <v>416</v>
      </c>
      <c r="F424" s="711"/>
      <c r="G424" s="712"/>
      <c r="H424" s="713">
        <v>416</v>
      </c>
      <c r="I424" s="714"/>
      <c r="J424" s="239"/>
      <c r="K424" s="24"/>
      <c r="AI424" s="16" t="e">
        <f t="shared" si="61"/>
        <v>#N/A</v>
      </c>
      <c r="AJ424" s="16" t="str">
        <f t="shared" si="62"/>
        <v/>
      </c>
      <c r="AK424" s="16" t="str">
        <f t="shared" si="63"/>
        <v/>
      </c>
      <c r="AL424" s="16" t="e">
        <f>IF(AK424="",NA(),COUNTIF(AK$176:$AK424,AK424))</f>
        <v>#N/A</v>
      </c>
      <c r="AM424" s="16" t="e">
        <f t="shared" si="64"/>
        <v>#N/A</v>
      </c>
      <c r="AN424" s="16" t="e">
        <f t="shared" si="65"/>
        <v>#N/A</v>
      </c>
      <c r="AO424" s="16" t="str">
        <f t="shared" si="66"/>
        <v/>
      </c>
      <c r="AP424" s="16" t="str">
        <f t="shared" si="67"/>
        <v/>
      </c>
      <c r="AQ424" s="16" t="e">
        <f>IF(AP424="",NA(),COUNTIF(AP$176:$AP424,AP424))</f>
        <v>#N/A</v>
      </c>
      <c r="AR424" s="16" t="e">
        <f t="shared" si="68"/>
        <v>#N/A</v>
      </c>
      <c r="BI424" s="621">
        <v>416</v>
      </c>
      <c r="BJ424" s="711"/>
      <c r="BK424" s="712"/>
      <c r="BL424" s="713">
        <v>416</v>
      </c>
      <c r="BM424" s="714"/>
      <c r="BN424" s="239"/>
      <c r="BO424" s="24"/>
      <c r="BQ424" s="621">
        <v>416</v>
      </c>
      <c r="BR424" s="711"/>
      <c r="BS424" s="712"/>
      <c r="BT424" s="713">
        <v>416</v>
      </c>
      <c r="BU424" s="714"/>
      <c r="BV424" s="239"/>
      <c r="BW424" s="24"/>
      <c r="BY424" s="621">
        <v>416</v>
      </c>
      <c r="BZ424" s="711"/>
      <c r="CA424" s="712"/>
      <c r="CB424" s="713">
        <v>416</v>
      </c>
      <c r="CC424" s="714"/>
      <c r="CD424" s="239"/>
      <c r="CE424" s="24"/>
    </row>
    <row r="425" spans="5:83" ht="12" customHeight="1">
      <c r="E425" s="621">
        <v>417</v>
      </c>
      <c r="F425" s="711"/>
      <c r="G425" s="712"/>
      <c r="H425" s="713">
        <v>417</v>
      </c>
      <c r="I425" s="714"/>
      <c r="J425" s="239"/>
      <c r="K425" s="24"/>
      <c r="AI425" s="16" t="e">
        <f t="shared" si="61"/>
        <v>#N/A</v>
      </c>
      <c r="AJ425" s="16" t="str">
        <f t="shared" si="62"/>
        <v/>
      </c>
      <c r="AK425" s="16" t="str">
        <f t="shared" si="63"/>
        <v/>
      </c>
      <c r="AL425" s="16" t="e">
        <f>IF(AK425="",NA(),COUNTIF(AK$176:$AK425,AK425))</f>
        <v>#N/A</v>
      </c>
      <c r="AM425" s="16" t="e">
        <f t="shared" si="64"/>
        <v>#N/A</v>
      </c>
      <c r="AN425" s="16" t="e">
        <f t="shared" si="65"/>
        <v>#N/A</v>
      </c>
      <c r="AO425" s="16" t="str">
        <f t="shared" si="66"/>
        <v/>
      </c>
      <c r="AP425" s="16" t="str">
        <f t="shared" si="67"/>
        <v/>
      </c>
      <c r="AQ425" s="16" t="e">
        <f>IF(AP425="",NA(),COUNTIF(AP$176:$AP425,AP425))</f>
        <v>#N/A</v>
      </c>
      <c r="AR425" s="16" t="e">
        <f t="shared" si="68"/>
        <v>#N/A</v>
      </c>
      <c r="BI425" s="621">
        <v>417</v>
      </c>
      <c r="BJ425" s="711"/>
      <c r="BK425" s="712"/>
      <c r="BL425" s="713">
        <v>417</v>
      </c>
      <c r="BM425" s="714"/>
      <c r="BN425" s="239"/>
      <c r="BO425" s="24"/>
      <c r="BQ425" s="621">
        <v>417</v>
      </c>
      <c r="BR425" s="711"/>
      <c r="BS425" s="712"/>
      <c r="BT425" s="713">
        <v>417</v>
      </c>
      <c r="BU425" s="714"/>
      <c r="BV425" s="239"/>
      <c r="BW425" s="24"/>
      <c r="BY425" s="621">
        <v>417</v>
      </c>
      <c r="BZ425" s="711"/>
      <c r="CA425" s="712"/>
      <c r="CB425" s="713">
        <v>417</v>
      </c>
      <c r="CC425" s="714"/>
      <c r="CD425" s="239"/>
      <c r="CE425" s="24"/>
    </row>
    <row r="426" spans="5:83" ht="12" customHeight="1">
      <c r="E426" s="621">
        <v>418</v>
      </c>
      <c r="F426" s="711"/>
      <c r="G426" s="712"/>
      <c r="H426" s="713">
        <v>418</v>
      </c>
      <c r="I426" s="714"/>
      <c r="J426" s="239"/>
      <c r="K426" s="24"/>
      <c r="AI426" s="16" t="e">
        <f t="shared" si="61"/>
        <v>#N/A</v>
      </c>
      <c r="AJ426" s="16" t="str">
        <f t="shared" si="62"/>
        <v/>
      </c>
      <c r="AK426" s="16" t="str">
        <f t="shared" si="63"/>
        <v/>
      </c>
      <c r="AL426" s="16" t="e">
        <f>IF(AK426="",NA(),COUNTIF(AK$176:$AK426,AK426))</f>
        <v>#N/A</v>
      </c>
      <c r="AM426" s="16" t="e">
        <f t="shared" si="64"/>
        <v>#N/A</v>
      </c>
      <c r="AN426" s="16" t="e">
        <f t="shared" si="65"/>
        <v>#N/A</v>
      </c>
      <c r="AO426" s="16" t="str">
        <f t="shared" si="66"/>
        <v/>
      </c>
      <c r="AP426" s="16" t="str">
        <f t="shared" si="67"/>
        <v/>
      </c>
      <c r="AQ426" s="16" t="e">
        <f>IF(AP426="",NA(),COUNTIF(AP$176:$AP426,AP426))</f>
        <v>#N/A</v>
      </c>
      <c r="AR426" s="16" t="e">
        <f t="shared" si="68"/>
        <v>#N/A</v>
      </c>
      <c r="BI426" s="621">
        <v>418</v>
      </c>
      <c r="BJ426" s="711"/>
      <c r="BK426" s="712"/>
      <c r="BL426" s="713">
        <v>418</v>
      </c>
      <c r="BM426" s="714"/>
      <c r="BN426" s="239"/>
      <c r="BO426" s="24"/>
      <c r="BQ426" s="621">
        <v>418</v>
      </c>
      <c r="BR426" s="711"/>
      <c r="BS426" s="712"/>
      <c r="BT426" s="713">
        <v>418</v>
      </c>
      <c r="BU426" s="714"/>
      <c r="BV426" s="239"/>
      <c r="BW426" s="24"/>
      <c r="BY426" s="621">
        <v>418</v>
      </c>
      <c r="BZ426" s="711"/>
      <c r="CA426" s="712"/>
      <c r="CB426" s="713">
        <v>418</v>
      </c>
      <c r="CC426" s="714"/>
      <c r="CD426" s="239"/>
      <c r="CE426" s="24"/>
    </row>
    <row r="427" spans="5:83" ht="12" customHeight="1">
      <c r="E427" s="621">
        <v>419</v>
      </c>
      <c r="F427" s="711"/>
      <c r="G427" s="712"/>
      <c r="H427" s="713">
        <v>419</v>
      </c>
      <c r="I427" s="714"/>
      <c r="J427" s="239"/>
      <c r="K427" s="24"/>
      <c r="AI427" s="16" t="e">
        <f t="shared" si="61"/>
        <v>#N/A</v>
      </c>
      <c r="AJ427" s="16" t="str">
        <f t="shared" si="62"/>
        <v/>
      </c>
      <c r="AK427" s="16" t="str">
        <f t="shared" si="63"/>
        <v/>
      </c>
      <c r="AL427" s="16" t="e">
        <f>IF(AK427="",NA(),COUNTIF(AK$176:$AK427,AK427))</f>
        <v>#N/A</v>
      </c>
      <c r="AM427" s="16" t="e">
        <f t="shared" si="64"/>
        <v>#N/A</v>
      </c>
      <c r="AN427" s="16" t="e">
        <f t="shared" si="65"/>
        <v>#N/A</v>
      </c>
      <c r="AO427" s="16" t="str">
        <f t="shared" si="66"/>
        <v/>
      </c>
      <c r="AP427" s="16" t="str">
        <f t="shared" si="67"/>
        <v/>
      </c>
      <c r="AQ427" s="16" t="e">
        <f>IF(AP427="",NA(),COUNTIF(AP$176:$AP427,AP427))</f>
        <v>#N/A</v>
      </c>
      <c r="AR427" s="16" t="e">
        <f t="shared" si="68"/>
        <v>#N/A</v>
      </c>
      <c r="BI427" s="621">
        <v>419</v>
      </c>
      <c r="BJ427" s="711"/>
      <c r="BK427" s="712"/>
      <c r="BL427" s="713">
        <v>419</v>
      </c>
      <c r="BM427" s="714"/>
      <c r="BN427" s="239"/>
      <c r="BO427" s="24"/>
      <c r="BQ427" s="621">
        <v>419</v>
      </c>
      <c r="BR427" s="711"/>
      <c r="BS427" s="712"/>
      <c r="BT427" s="713">
        <v>419</v>
      </c>
      <c r="BU427" s="714"/>
      <c r="BV427" s="239"/>
      <c r="BW427" s="24"/>
      <c r="BY427" s="621">
        <v>419</v>
      </c>
      <c r="BZ427" s="711"/>
      <c r="CA427" s="712"/>
      <c r="CB427" s="713">
        <v>419</v>
      </c>
      <c r="CC427" s="714"/>
      <c r="CD427" s="239"/>
      <c r="CE427" s="24"/>
    </row>
    <row r="428" spans="5:83" ht="12" customHeight="1">
      <c r="E428" s="621">
        <v>420</v>
      </c>
      <c r="F428" s="711"/>
      <c r="G428" s="712"/>
      <c r="H428" s="713">
        <v>420</v>
      </c>
      <c r="I428" s="714"/>
      <c r="J428" s="239"/>
      <c r="K428" s="24"/>
      <c r="AI428" s="16" t="e">
        <f t="shared" si="61"/>
        <v>#N/A</v>
      </c>
      <c r="AJ428" s="16" t="str">
        <f t="shared" si="62"/>
        <v/>
      </c>
      <c r="AK428" s="16" t="str">
        <f t="shared" si="63"/>
        <v/>
      </c>
      <c r="AL428" s="16" t="e">
        <f>IF(AK428="",NA(),COUNTIF(AK$176:$AK428,AK428))</f>
        <v>#N/A</v>
      </c>
      <c r="AM428" s="16" t="e">
        <f t="shared" si="64"/>
        <v>#N/A</v>
      </c>
      <c r="AN428" s="16" t="e">
        <f t="shared" si="65"/>
        <v>#N/A</v>
      </c>
      <c r="AO428" s="16" t="str">
        <f t="shared" si="66"/>
        <v/>
      </c>
      <c r="AP428" s="16" t="str">
        <f t="shared" si="67"/>
        <v/>
      </c>
      <c r="AQ428" s="16" t="e">
        <f>IF(AP428="",NA(),COUNTIF(AP$176:$AP428,AP428))</f>
        <v>#N/A</v>
      </c>
      <c r="AR428" s="16" t="e">
        <f t="shared" si="68"/>
        <v>#N/A</v>
      </c>
      <c r="BI428" s="621">
        <v>420</v>
      </c>
      <c r="BJ428" s="711"/>
      <c r="BK428" s="712"/>
      <c r="BL428" s="713">
        <v>420</v>
      </c>
      <c r="BM428" s="714"/>
      <c r="BN428" s="239"/>
      <c r="BO428" s="24"/>
      <c r="BQ428" s="621">
        <v>420</v>
      </c>
      <c r="BR428" s="711"/>
      <c r="BS428" s="712"/>
      <c r="BT428" s="713">
        <v>420</v>
      </c>
      <c r="BU428" s="714"/>
      <c r="BV428" s="239"/>
      <c r="BW428" s="24"/>
      <c r="BY428" s="621">
        <v>420</v>
      </c>
      <c r="BZ428" s="711"/>
      <c r="CA428" s="712"/>
      <c r="CB428" s="713">
        <v>420</v>
      </c>
      <c r="CC428" s="714"/>
      <c r="CD428" s="239"/>
      <c r="CE428" s="24"/>
    </row>
    <row r="429" spans="5:83" ht="12" customHeight="1">
      <c r="E429" s="621">
        <v>421</v>
      </c>
      <c r="F429" s="711"/>
      <c r="G429" s="712"/>
      <c r="H429" s="713">
        <v>421</v>
      </c>
      <c r="I429" s="714"/>
      <c r="J429" s="239"/>
      <c r="K429" s="24"/>
      <c r="AI429" s="16" t="e">
        <f t="shared" si="61"/>
        <v>#N/A</v>
      </c>
      <c r="AJ429" s="16" t="str">
        <f t="shared" si="62"/>
        <v/>
      </c>
      <c r="AK429" s="16" t="str">
        <f t="shared" si="63"/>
        <v/>
      </c>
      <c r="AL429" s="16" t="e">
        <f>IF(AK429="",NA(),COUNTIF(AK$176:$AK429,AK429))</f>
        <v>#N/A</v>
      </c>
      <c r="AM429" s="16" t="e">
        <f t="shared" si="64"/>
        <v>#N/A</v>
      </c>
      <c r="AN429" s="16" t="e">
        <f t="shared" si="65"/>
        <v>#N/A</v>
      </c>
      <c r="AO429" s="16" t="str">
        <f t="shared" si="66"/>
        <v/>
      </c>
      <c r="AP429" s="16" t="str">
        <f t="shared" si="67"/>
        <v/>
      </c>
      <c r="AQ429" s="16" t="e">
        <f>IF(AP429="",NA(),COUNTIF(AP$176:$AP429,AP429))</f>
        <v>#N/A</v>
      </c>
      <c r="AR429" s="16" t="e">
        <f t="shared" si="68"/>
        <v>#N/A</v>
      </c>
      <c r="BI429" s="621">
        <v>421</v>
      </c>
      <c r="BJ429" s="711"/>
      <c r="BK429" s="712"/>
      <c r="BL429" s="713">
        <v>421</v>
      </c>
      <c r="BM429" s="714"/>
      <c r="BN429" s="239"/>
      <c r="BO429" s="24"/>
      <c r="BQ429" s="621">
        <v>421</v>
      </c>
      <c r="BR429" s="711"/>
      <c r="BS429" s="712"/>
      <c r="BT429" s="713">
        <v>421</v>
      </c>
      <c r="BU429" s="714"/>
      <c r="BV429" s="239"/>
      <c r="BW429" s="24"/>
      <c r="BY429" s="621">
        <v>421</v>
      </c>
      <c r="BZ429" s="711"/>
      <c r="CA429" s="712"/>
      <c r="CB429" s="713">
        <v>421</v>
      </c>
      <c r="CC429" s="714"/>
      <c r="CD429" s="239"/>
      <c r="CE429" s="24"/>
    </row>
    <row r="430" spans="5:83" ht="12" customHeight="1">
      <c r="E430" s="621">
        <v>422</v>
      </c>
      <c r="F430" s="711"/>
      <c r="G430" s="712"/>
      <c r="H430" s="713">
        <v>422</v>
      </c>
      <c r="I430" s="714"/>
      <c r="J430" s="239"/>
      <c r="K430" s="24"/>
      <c r="AI430" s="16" t="e">
        <f t="shared" si="61"/>
        <v>#N/A</v>
      </c>
      <c r="AJ430" s="16" t="str">
        <f t="shared" si="62"/>
        <v/>
      </c>
      <c r="AK430" s="16" t="str">
        <f t="shared" si="63"/>
        <v/>
      </c>
      <c r="AL430" s="16" t="e">
        <f>IF(AK430="",NA(),COUNTIF(AK$176:$AK430,AK430))</f>
        <v>#N/A</v>
      </c>
      <c r="AM430" s="16" t="e">
        <f t="shared" si="64"/>
        <v>#N/A</v>
      </c>
      <c r="AN430" s="16" t="e">
        <f t="shared" si="65"/>
        <v>#N/A</v>
      </c>
      <c r="AO430" s="16" t="str">
        <f t="shared" si="66"/>
        <v/>
      </c>
      <c r="AP430" s="16" t="str">
        <f t="shared" si="67"/>
        <v/>
      </c>
      <c r="AQ430" s="16" t="e">
        <f>IF(AP430="",NA(),COUNTIF(AP$176:$AP430,AP430))</f>
        <v>#N/A</v>
      </c>
      <c r="AR430" s="16" t="e">
        <f t="shared" si="68"/>
        <v>#N/A</v>
      </c>
      <c r="BI430" s="621">
        <v>422</v>
      </c>
      <c r="BJ430" s="711"/>
      <c r="BK430" s="712"/>
      <c r="BL430" s="713">
        <v>422</v>
      </c>
      <c r="BM430" s="714"/>
      <c r="BN430" s="239"/>
      <c r="BO430" s="24"/>
      <c r="BQ430" s="621">
        <v>422</v>
      </c>
      <c r="BR430" s="711"/>
      <c r="BS430" s="712"/>
      <c r="BT430" s="713">
        <v>422</v>
      </c>
      <c r="BU430" s="714"/>
      <c r="BV430" s="239"/>
      <c r="BW430" s="24"/>
      <c r="BY430" s="621">
        <v>422</v>
      </c>
      <c r="BZ430" s="711"/>
      <c r="CA430" s="712"/>
      <c r="CB430" s="713">
        <v>422</v>
      </c>
      <c r="CC430" s="714"/>
      <c r="CD430" s="239"/>
      <c r="CE430" s="24"/>
    </row>
    <row r="431" spans="5:83" ht="12" customHeight="1">
      <c r="E431" s="621">
        <v>423</v>
      </c>
      <c r="F431" s="711"/>
      <c r="G431" s="712"/>
      <c r="H431" s="713">
        <v>423</v>
      </c>
      <c r="I431" s="714"/>
      <c r="J431" s="239"/>
      <c r="K431" s="24"/>
      <c r="AI431" s="16" t="e">
        <f t="shared" si="61"/>
        <v>#N/A</v>
      </c>
      <c r="AJ431" s="16" t="str">
        <f t="shared" si="62"/>
        <v/>
      </c>
      <c r="AK431" s="16" t="str">
        <f t="shared" si="63"/>
        <v/>
      </c>
      <c r="AL431" s="16" t="e">
        <f>IF(AK431="",NA(),COUNTIF(AK$176:$AK431,AK431))</f>
        <v>#N/A</v>
      </c>
      <c r="AM431" s="16" t="e">
        <f t="shared" si="64"/>
        <v>#N/A</v>
      </c>
      <c r="AN431" s="16" t="e">
        <f t="shared" si="65"/>
        <v>#N/A</v>
      </c>
      <c r="AO431" s="16" t="str">
        <f t="shared" si="66"/>
        <v/>
      </c>
      <c r="AP431" s="16" t="str">
        <f t="shared" si="67"/>
        <v/>
      </c>
      <c r="AQ431" s="16" t="e">
        <f>IF(AP431="",NA(),COUNTIF(AP$176:$AP431,AP431))</f>
        <v>#N/A</v>
      </c>
      <c r="AR431" s="16" t="e">
        <f t="shared" si="68"/>
        <v>#N/A</v>
      </c>
      <c r="BI431" s="621">
        <v>423</v>
      </c>
      <c r="BJ431" s="711"/>
      <c r="BK431" s="712"/>
      <c r="BL431" s="713">
        <v>423</v>
      </c>
      <c r="BM431" s="714"/>
      <c r="BN431" s="239"/>
      <c r="BO431" s="24"/>
      <c r="BQ431" s="621">
        <v>423</v>
      </c>
      <c r="BR431" s="711"/>
      <c r="BS431" s="712"/>
      <c r="BT431" s="713">
        <v>423</v>
      </c>
      <c r="BU431" s="714"/>
      <c r="BV431" s="239"/>
      <c r="BW431" s="24"/>
      <c r="BY431" s="621">
        <v>423</v>
      </c>
      <c r="BZ431" s="711"/>
      <c r="CA431" s="712"/>
      <c r="CB431" s="713">
        <v>423</v>
      </c>
      <c r="CC431" s="714"/>
      <c r="CD431" s="239"/>
      <c r="CE431" s="24"/>
    </row>
    <row r="432" spans="5:83" ht="12" customHeight="1">
      <c r="E432" s="621">
        <v>424</v>
      </c>
      <c r="F432" s="711"/>
      <c r="G432" s="712"/>
      <c r="H432" s="713">
        <v>424</v>
      </c>
      <c r="I432" s="714"/>
      <c r="J432" s="239"/>
      <c r="K432" s="24"/>
      <c r="AI432" s="16" t="e">
        <f t="shared" si="61"/>
        <v>#N/A</v>
      </c>
      <c r="AJ432" s="16" t="str">
        <f t="shared" si="62"/>
        <v/>
      </c>
      <c r="AK432" s="16" t="str">
        <f t="shared" si="63"/>
        <v/>
      </c>
      <c r="AL432" s="16" t="e">
        <f>IF(AK432="",NA(),COUNTIF(AK$176:$AK432,AK432))</f>
        <v>#N/A</v>
      </c>
      <c r="AM432" s="16" t="e">
        <f t="shared" si="64"/>
        <v>#N/A</v>
      </c>
      <c r="AN432" s="16" t="e">
        <f t="shared" si="65"/>
        <v>#N/A</v>
      </c>
      <c r="AO432" s="16" t="str">
        <f t="shared" si="66"/>
        <v/>
      </c>
      <c r="AP432" s="16" t="str">
        <f t="shared" si="67"/>
        <v/>
      </c>
      <c r="AQ432" s="16" t="e">
        <f>IF(AP432="",NA(),COUNTIF(AP$176:$AP432,AP432))</f>
        <v>#N/A</v>
      </c>
      <c r="AR432" s="16" t="e">
        <f t="shared" si="68"/>
        <v>#N/A</v>
      </c>
      <c r="BI432" s="621">
        <v>424</v>
      </c>
      <c r="BJ432" s="711"/>
      <c r="BK432" s="712"/>
      <c r="BL432" s="713">
        <v>424</v>
      </c>
      <c r="BM432" s="714"/>
      <c r="BN432" s="239"/>
      <c r="BO432" s="24"/>
      <c r="BQ432" s="621">
        <v>424</v>
      </c>
      <c r="BR432" s="711"/>
      <c r="BS432" s="712"/>
      <c r="BT432" s="713">
        <v>424</v>
      </c>
      <c r="BU432" s="714"/>
      <c r="BV432" s="239"/>
      <c r="BW432" s="24"/>
      <c r="BY432" s="621">
        <v>424</v>
      </c>
      <c r="BZ432" s="711"/>
      <c r="CA432" s="712"/>
      <c r="CB432" s="713">
        <v>424</v>
      </c>
      <c r="CC432" s="714"/>
      <c r="CD432" s="239"/>
      <c r="CE432" s="24"/>
    </row>
    <row r="433" spans="5:83" ht="12" customHeight="1">
      <c r="E433" s="621">
        <v>425</v>
      </c>
      <c r="F433" s="711"/>
      <c r="G433" s="712"/>
      <c r="H433" s="713">
        <v>425</v>
      </c>
      <c r="I433" s="714"/>
      <c r="J433" s="239"/>
      <c r="K433" s="24"/>
      <c r="AI433" s="16" t="e">
        <f t="shared" si="61"/>
        <v>#N/A</v>
      </c>
      <c r="AJ433" s="16" t="str">
        <f t="shared" si="62"/>
        <v/>
      </c>
      <c r="AK433" s="16" t="str">
        <f t="shared" si="63"/>
        <v/>
      </c>
      <c r="AL433" s="16" t="e">
        <f>IF(AK433="",NA(),COUNTIF(AK$176:$AK433,AK433))</f>
        <v>#N/A</v>
      </c>
      <c r="AM433" s="16" t="e">
        <f t="shared" si="64"/>
        <v>#N/A</v>
      </c>
      <c r="AN433" s="16" t="e">
        <f t="shared" si="65"/>
        <v>#N/A</v>
      </c>
      <c r="AO433" s="16" t="str">
        <f t="shared" si="66"/>
        <v/>
      </c>
      <c r="AP433" s="16" t="str">
        <f t="shared" si="67"/>
        <v/>
      </c>
      <c r="AQ433" s="16" t="e">
        <f>IF(AP433="",NA(),COUNTIF(AP$176:$AP433,AP433))</f>
        <v>#N/A</v>
      </c>
      <c r="AR433" s="16" t="e">
        <f t="shared" si="68"/>
        <v>#N/A</v>
      </c>
      <c r="BI433" s="621">
        <v>425</v>
      </c>
      <c r="BJ433" s="711"/>
      <c r="BK433" s="712"/>
      <c r="BL433" s="713">
        <v>425</v>
      </c>
      <c r="BM433" s="714"/>
      <c r="BN433" s="239"/>
      <c r="BO433" s="24"/>
      <c r="BQ433" s="621">
        <v>425</v>
      </c>
      <c r="BR433" s="711"/>
      <c r="BS433" s="712"/>
      <c r="BT433" s="713">
        <v>425</v>
      </c>
      <c r="BU433" s="714"/>
      <c r="BV433" s="239"/>
      <c r="BW433" s="24"/>
      <c r="BY433" s="621">
        <v>425</v>
      </c>
      <c r="BZ433" s="711"/>
      <c r="CA433" s="712"/>
      <c r="CB433" s="713">
        <v>425</v>
      </c>
      <c r="CC433" s="714"/>
      <c r="CD433" s="239"/>
      <c r="CE433" s="24"/>
    </row>
    <row r="434" spans="5:83" ht="12" customHeight="1">
      <c r="E434" s="621">
        <v>426</v>
      </c>
      <c r="F434" s="711"/>
      <c r="G434" s="712"/>
      <c r="H434" s="713">
        <v>426</v>
      </c>
      <c r="I434" s="714"/>
      <c r="J434" s="239"/>
      <c r="K434" s="24"/>
      <c r="AI434" s="16" t="e">
        <f t="shared" si="61"/>
        <v>#N/A</v>
      </c>
      <c r="AJ434" s="16" t="str">
        <f t="shared" si="62"/>
        <v/>
      </c>
      <c r="AK434" s="16" t="str">
        <f t="shared" si="63"/>
        <v/>
      </c>
      <c r="AL434" s="16" t="e">
        <f>IF(AK434="",NA(),COUNTIF(AK$176:$AK434,AK434))</f>
        <v>#N/A</v>
      </c>
      <c r="AM434" s="16" t="e">
        <f t="shared" si="64"/>
        <v>#N/A</v>
      </c>
      <c r="AN434" s="16" t="e">
        <f t="shared" si="65"/>
        <v>#N/A</v>
      </c>
      <c r="AO434" s="16" t="str">
        <f t="shared" si="66"/>
        <v/>
      </c>
      <c r="AP434" s="16" t="str">
        <f t="shared" si="67"/>
        <v/>
      </c>
      <c r="AQ434" s="16" t="e">
        <f>IF(AP434="",NA(),COUNTIF(AP$176:$AP434,AP434))</f>
        <v>#N/A</v>
      </c>
      <c r="AR434" s="16" t="e">
        <f t="shared" si="68"/>
        <v>#N/A</v>
      </c>
      <c r="BI434" s="621">
        <v>426</v>
      </c>
      <c r="BJ434" s="711"/>
      <c r="BK434" s="712"/>
      <c r="BL434" s="713">
        <v>426</v>
      </c>
      <c r="BM434" s="714"/>
      <c r="BN434" s="239"/>
      <c r="BO434" s="24"/>
      <c r="BQ434" s="621">
        <v>426</v>
      </c>
      <c r="BR434" s="711"/>
      <c r="BS434" s="712"/>
      <c r="BT434" s="713">
        <v>426</v>
      </c>
      <c r="BU434" s="714"/>
      <c r="BV434" s="239"/>
      <c r="BW434" s="24"/>
      <c r="BY434" s="621">
        <v>426</v>
      </c>
      <c r="BZ434" s="711"/>
      <c r="CA434" s="712"/>
      <c r="CB434" s="713">
        <v>426</v>
      </c>
      <c r="CC434" s="714"/>
      <c r="CD434" s="239"/>
      <c r="CE434" s="24"/>
    </row>
    <row r="435" spans="5:83" ht="12" customHeight="1">
      <c r="E435" s="621">
        <v>427</v>
      </c>
      <c r="F435" s="711"/>
      <c r="G435" s="712"/>
      <c r="H435" s="713">
        <v>427</v>
      </c>
      <c r="I435" s="714"/>
      <c r="J435" s="239"/>
      <c r="K435" s="24"/>
      <c r="AI435" s="16" t="e">
        <f t="shared" si="61"/>
        <v>#N/A</v>
      </c>
      <c r="AJ435" s="16" t="str">
        <f t="shared" si="62"/>
        <v/>
      </c>
      <c r="AK435" s="16" t="str">
        <f t="shared" si="63"/>
        <v/>
      </c>
      <c r="AL435" s="16" t="e">
        <f>IF(AK435="",NA(),COUNTIF(AK$176:$AK435,AK435))</f>
        <v>#N/A</v>
      </c>
      <c r="AM435" s="16" t="e">
        <f t="shared" si="64"/>
        <v>#N/A</v>
      </c>
      <c r="AN435" s="16" t="e">
        <f t="shared" si="65"/>
        <v>#N/A</v>
      </c>
      <c r="AO435" s="16" t="str">
        <f t="shared" si="66"/>
        <v/>
      </c>
      <c r="AP435" s="16" t="str">
        <f t="shared" si="67"/>
        <v/>
      </c>
      <c r="AQ435" s="16" t="e">
        <f>IF(AP435="",NA(),COUNTIF(AP$176:$AP435,AP435))</f>
        <v>#N/A</v>
      </c>
      <c r="AR435" s="16" t="e">
        <f t="shared" si="68"/>
        <v>#N/A</v>
      </c>
      <c r="BI435" s="621">
        <v>427</v>
      </c>
      <c r="BJ435" s="711"/>
      <c r="BK435" s="712"/>
      <c r="BL435" s="713">
        <v>427</v>
      </c>
      <c r="BM435" s="714"/>
      <c r="BN435" s="239"/>
      <c r="BO435" s="24"/>
      <c r="BQ435" s="621">
        <v>427</v>
      </c>
      <c r="BR435" s="711"/>
      <c r="BS435" s="712"/>
      <c r="BT435" s="713">
        <v>427</v>
      </c>
      <c r="BU435" s="714"/>
      <c r="BV435" s="239"/>
      <c r="BW435" s="24"/>
      <c r="BY435" s="621">
        <v>427</v>
      </c>
      <c r="BZ435" s="711"/>
      <c r="CA435" s="712"/>
      <c r="CB435" s="713">
        <v>427</v>
      </c>
      <c r="CC435" s="714"/>
      <c r="CD435" s="239"/>
      <c r="CE435" s="24"/>
    </row>
    <row r="436" spans="5:83" ht="12" customHeight="1">
      <c r="E436" s="621">
        <v>428</v>
      </c>
      <c r="F436" s="711"/>
      <c r="G436" s="712"/>
      <c r="H436" s="713">
        <v>428</v>
      </c>
      <c r="I436" s="714"/>
      <c r="J436" s="239"/>
      <c r="K436" s="24"/>
      <c r="AI436" s="16" t="e">
        <f t="shared" si="61"/>
        <v>#N/A</v>
      </c>
      <c r="AJ436" s="16" t="str">
        <f t="shared" si="62"/>
        <v/>
      </c>
      <c r="AK436" s="16" t="str">
        <f t="shared" si="63"/>
        <v/>
      </c>
      <c r="AL436" s="16" t="e">
        <f>IF(AK436="",NA(),COUNTIF(AK$176:$AK436,AK436))</f>
        <v>#N/A</v>
      </c>
      <c r="AM436" s="16" t="e">
        <f t="shared" si="64"/>
        <v>#N/A</v>
      </c>
      <c r="AN436" s="16" t="e">
        <f t="shared" si="65"/>
        <v>#N/A</v>
      </c>
      <c r="AO436" s="16" t="str">
        <f t="shared" si="66"/>
        <v/>
      </c>
      <c r="AP436" s="16" t="str">
        <f t="shared" si="67"/>
        <v/>
      </c>
      <c r="AQ436" s="16" t="e">
        <f>IF(AP436="",NA(),COUNTIF(AP$176:$AP436,AP436))</f>
        <v>#N/A</v>
      </c>
      <c r="AR436" s="16" t="e">
        <f t="shared" si="68"/>
        <v>#N/A</v>
      </c>
      <c r="BI436" s="621">
        <v>428</v>
      </c>
      <c r="BJ436" s="711"/>
      <c r="BK436" s="712"/>
      <c r="BL436" s="713">
        <v>428</v>
      </c>
      <c r="BM436" s="714"/>
      <c r="BN436" s="239"/>
      <c r="BO436" s="24"/>
      <c r="BQ436" s="621">
        <v>428</v>
      </c>
      <c r="BR436" s="711"/>
      <c r="BS436" s="712"/>
      <c r="BT436" s="713">
        <v>428</v>
      </c>
      <c r="BU436" s="714"/>
      <c r="BV436" s="239"/>
      <c r="BW436" s="24"/>
      <c r="BY436" s="621">
        <v>428</v>
      </c>
      <c r="BZ436" s="711"/>
      <c r="CA436" s="712"/>
      <c r="CB436" s="713">
        <v>428</v>
      </c>
      <c r="CC436" s="714"/>
      <c r="CD436" s="239"/>
      <c r="CE436" s="24"/>
    </row>
    <row r="437" spans="5:83" ht="12" customHeight="1">
      <c r="E437" s="621">
        <v>429</v>
      </c>
      <c r="F437" s="711"/>
      <c r="G437" s="712"/>
      <c r="H437" s="713">
        <v>429</v>
      </c>
      <c r="I437" s="714"/>
      <c r="J437" s="239"/>
      <c r="K437" s="24"/>
      <c r="AI437" s="16" t="e">
        <f t="shared" si="61"/>
        <v>#N/A</v>
      </c>
      <c r="AJ437" s="16" t="str">
        <f t="shared" si="62"/>
        <v/>
      </c>
      <c r="AK437" s="16" t="str">
        <f t="shared" si="63"/>
        <v/>
      </c>
      <c r="AL437" s="16" t="e">
        <f>IF(AK437="",NA(),COUNTIF(AK$176:$AK437,AK437))</f>
        <v>#N/A</v>
      </c>
      <c r="AM437" s="16" t="e">
        <f t="shared" si="64"/>
        <v>#N/A</v>
      </c>
      <c r="AN437" s="16" t="e">
        <f t="shared" si="65"/>
        <v>#N/A</v>
      </c>
      <c r="AO437" s="16" t="str">
        <f t="shared" si="66"/>
        <v/>
      </c>
      <c r="AP437" s="16" t="str">
        <f t="shared" si="67"/>
        <v/>
      </c>
      <c r="AQ437" s="16" t="e">
        <f>IF(AP437="",NA(),COUNTIF(AP$176:$AP437,AP437))</f>
        <v>#N/A</v>
      </c>
      <c r="AR437" s="16" t="e">
        <f t="shared" si="68"/>
        <v>#N/A</v>
      </c>
      <c r="BI437" s="621">
        <v>429</v>
      </c>
      <c r="BJ437" s="711"/>
      <c r="BK437" s="712"/>
      <c r="BL437" s="713">
        <v>429</v>
      </c>
      <c r="BM437" s="714"/>
      <c r="BN437" s="239"/>
      <c r="BO437" s="24"/>
      <c r="BQ437" s="621">
        <v>429</v>
      </c>
      <c r="BR437" s="711"/>
      <c r="BS437" s="712"/>
      <c r="BT437" s="713">
        <v>429</v>
      </c>
      <c r="BU437" s="714"/>
      <c r="BV437" s="239"/>
      <c r="BW437" s="24"/>
      <c r="BY437" s="621">
        <v>429</v>
      </c>
      <c r="BZ437" s="711"/>
      <c r="CA437" s="712"/>
      <c r="CB437" s="713">
        <v>429</v>
      </c>
      <c r="CC437" s="714"/>
      <c r="CD437" s="239"/>
      <c r="CE437" s="24"/>
    </row>
    <row r="438" spans="5:83" ht="12" customHeight="1">
      <c r="E438" s="621">
        <v>430</v>
      </c>
      <c r="F438" s="711"/>
      <c r="G438" s="712"/>
      <c r="H438" s="713">
        <v>430</v>
      </c>
      <c r="I438" s="714"/>
      <c r="J438" s="239"/>
      <c r="K438" s="24"/>
      <c r="AI438" s="16" t="e">
        <f t="shared" si="61"/>
        <v>#N/A</v>
      </c>
      <c r="AJ438" s="16" t="str">
        <f t="shared" si="62"/>
        <v/>
      </c>
      <c r="AK438" s="16" t="str">
        <f t="shared" si="63"/>
        <v/>
      </c>
      <c r="AL438" s="16" t="e">
        <f>IF(AK438="",NA(),COUNTIF(AK$176:$AK438,AK438))</f>
        <v>#N/A</v>
      </c>
      <c r="AM438" s="16" t="e">
        <f t="shared" si="64"/>
        <v>#N/A</v>
      </c>
      <c r="AN438" s="16" t="e">
        <f t="shared" si="65"/>
        <v>#N/A</v>
      </c>
      <c r="AO438" s="16" t="str">
        <f t="shared" si="66"/>
        <v/>
      </c>
      <c r="AP438" s="16" t="str">
        <f t="shared" si="67"/>
        <v/>
      </c>
      <c r="AQ438" s="16" t="e">
        <f>IF(AP438="",NA(),COUNTIF(AP$176:$AP438,AP438))</f>
        <v>#N/A</v>
      </c>
      <c r="AR438" s="16" t="e">
        <f t="shared" si="68"/>
        <v>#N/A</v>
      </c>
      <c r="BI438" s="621">
        <v>430</v>
      </c>
      <c r="BJ438" s="711"/>
      <c r="BK438" s="712"/>
      <c r="BL438" s="713">
        <v>430</v>
      </c>
      <c r="BM438" s="714"/>
      <c r="BN438" s="239"/>
      <c r="BO438" s="24"/>
      <c r="BQ438" s="621">
        <v>430</v>
      </c>
      <c r="BR438" s="711"/>
      <c r="BS438" s="712"/>
      <c r="BT438" s="713">
        <v>430</v>
      </c>
      <c r="BU438" s="714"/>
      <c r="BV438" s="239"/>
      <c r="BW438" s="24"/>
      <c r="BY438" s="621">
        <v>430</v>
      </c>
      <c r="BZ438" s="711"/>
      <c r="CA438" s="712"/>
      <c r="CB438" s="713">
        <v>430</v>
      </c>
      <c r="CC438" s="714"/>
      <c r="CD438" s="239"/>
      <c r="CE438" s="24"/>
    </row>
    <row r="439" spans="5:83" ht="12" customHeight="1">
      <c r="E439" s="621">
        <v>431</v>
      </c>
      <c r="F439" s="711"/>
      <c r="G439" s="712"/>
      <c r="H439" s="713">
        <v>431</v>
      </c>
      <c r="I439" s="714"/>
      <c r="J439" s="239"/>
      <c r="K439" s="24"/>
      <c r="AI439" s="16" t="e">
        <f t="shared" si="61"/>
        <v>#N/A</v>
      </c>
      <c r="AJ439" s="16" t="str">
        <f t="shared" si="62"/>
        <v/>
      </c>
      <c r="AK439" s="16" t="str">
        <f t="shared" si="63"/>
        <v/>
      </c>
      <c r="AL439" s="16" t="e">
        <f>IF(AK439="",NA(),COUNTIF(AK$176:$AK439,AK439))</f>
        <v>#N/A</v>
      </c>
      <c r="AM439" s="16" t="e">
        <f t="shared" si="64"/>
        <v>#N/A</v>
      </c>
      <c r="AN439" s="16" t="e">
        <f t="shared" si="65"/>
        <v>#N/A</v>
      </c>
      <c r="AO439" s="16" t="str">
        <f t="shared" si="66"/>
        <v/>
      </c>
      <c r="AP439" s="16" t="str">
        <f t="shared" si="67"/>
        <v/>
      </c>
      <c r="AQ439" s="16" t="e">
        <f>IF(AP439="",NA(),COUNTIF(AP$176:$AP439,AP439))</f>
        <v>#N/A</v>
      </c>
      <c r="AR439" s="16" t="e">
        <f t="shared" si="68"/>
        <v>#N/A</v>
      </c>
      <c r="BI439" s="621">
        <v>431</v>
      </c>
      <c r="BJ439" s="711"/>
      <c r="BK439" s="712"/>
      <c r="BL439" s="713">
        <v>431</v>
      </c>
      <c r="BM439" s="714"/>
      <c r="BN439" s="239"/>
      <c r="BO439" s="24"/>
      <c r="BQ439" s="621">
        <v>431</v>
      </c>
      <c r="BR439" s="711"/>
      <c r="BS439" s="712"/>
      <c r="BT439" s="713">
        <v>431</v>
      </c>
      <c r="BU439" s="714"/>
      <c r="BV439" s="239"/>
      <c r="BW439" s="24"/>
      <c r="BY439" s="621">
        <v>431</v>
      </c>
      <c r="BZ439" s="711"/>
      <c r="CA439" s="712"/>
      <c r="CB439" s="713">
        <v>431</v>
      </c>
      <c r="CC439" s="714"/>
      <c r="CD439" s="239"/>
      <c r="CE439" s="24"/>
    </row>
    <row r="440" spans="5:83" ht="12" customHeight="1">
      <c r="E440" s="621">
        <v>432</v>
      </c>
      <c r="F440" s="711"/>
      <c r="G440" s="712"/>
      <c r="H440" s="713">
        <v>432</v>
      </c>
      <c r="I440" s="714"/>
      <c r="J440" s="239"/>
      <c r="K440" s="24"/>
      <c r="AI440" s="16" t="e">
        <f t="shared" si="61"/>
        <v>#N/A</v>
      </c>
      <c r="AJ440" s="16" t="str">
        <f t="shared" si="62"/>
        <v/>
      </c>
      <c r="AK440" s="16" t="str">
        <f t="shared" si="63"/>
        <v/>
      </c>
      <c r="AL440" s="16" t="e">
        <f>IF(AK440="",NA(),COUNTIF(AK$176:$AK440,AK440))</f>
        <v>#N/A</v>
      </c>
      <c r="AM440" s="16" t="e">
        <f t="shared" si="64"/>
        <v>#N/A</v>
      </c>
      <c r="AN440" s="16" t="e">
        <f t="shared" si="65"/>
        <v>#N/A</v>
      </c>
      <c r="AO440" s="16" t="str">
        <f t="shared" si="66"/>
        <v/>
      </c>
      <c r="AP440" s="16" t="str">
        <f t="shared" si="67"/>
        <v/>
      </c>
      <c r="AQ440" s="16" t="e">
        <f>IF(AP440="",NA(),COUNTIF(AP$176:$AP440,AP440))</f>
        <v>#N/A</v>
      </c>
      <c r="AR440" s="16" t="e">
        <f t="shared" si="68"/>
        <v>#N/A</v>
      </c>
      <c r="BI440" s="621">
        <v>432</v>
      </c>
      <c r="BJ440" s="711"/>
      <c r="BK440" s="712"/>
      <c r="BL440" s="713">
        <v>432</v>
      </c>
      <c r="BM440" s="714"/>
      <c r="BN440" s="239"/>
      <c r="BO440" s="24"/>
      <c r="BQ440" s="621">
        <v>432</v>
      </c>
      <c r="BR440" s="711"/>
      <c r="BS440" s="712"/>
      <c r="BT440" s="713">
        <v>432</v>
      </c>
      <c r="BU440" s="714"/>
      <c r="BV440" s="239"/>
      <c r="BW440" s="24"/>
      <c r="BY440" s="621">
        <v>432</v>
      </c>
      <c r="BZ440" s="711"/>
      <c r="CA440" s="712"/>
      <c r="CB440" s="713">
        <v>432</v>
      </c>
      <c r="CC440" s="714"/>
      <c r="CD440" s="239"/>
      <c r="CE440" s="24"/>
    </row>
    <row r="441" spans="5:83" ht="12" customHeight="1">
      <c r="E441" s="621">
        <v>433</v>
      </c>
      <c r="F441" s="711"/>
      <c r="G441" s="712"/>
      <c r="H441" s="713">
        <v>433</v>
      </c>
      <c r="I441" s="714"/>
      <c r="J441" s="239"/>
      <c r="K441" s="24"/>
      <c r="AI441" s="16" t="e">
        <f t="shared" si="61"/>
        <v>#N/A</v>
      </c>
      <c r="AJ441" s="16" t="str">
        <f t="shared" si="62"/>
        <v/>
      </c>
      <c r="AK441" s="16" t="str">
        <f t="shared" si="63"/>
        <v/>
      </c>
      <c r="AL441" s="16" t="e">
        <f>IF(AK441="",NA(),COUNTIF(AK$176:$AK441,AK441))</f>
        <v>#N/A</v>
      </c>
      <c r="AM441" s="16" t="e">
        <f t="shared" si="64"/>
        <v>#N/A</v>
      </c>
      <c r="AN441" s="16" t="e">
        <f t="shared" si="65"/>
        <v>#N/A</v>
      </c>
      <c r="AO441" s="16" t="str">
        <f t="shared" si="66"/>
        <v/>
      </c>
      <c r="AP441" s="16" t="str">
        <f t="shared" si="67"/>
        <v/>
      </c>
      <c r="AQ441" s="16" t="e">
        <f>IF(AP441="",NA(),COUNTIF(AP$176:$AP441,AP441))</f>
        <v>#N/A</v>
      </c>
      <c r="AR441" s="16" t="e">
        <f t="shared" si="68"/>
        <v>#N/A</v>
      </c>
      <c r="BI441" s="621">
        <v>433</v>
      </c>
      <c r="BJ441" s="711"/>
      <c r="BK441" s="712"/>
      <c r="BL441" s="713">
        <v>433</v>
      </c>
      <c r="BM441" s="714"/>
      <c r="BN441" s="239"/>
      <c r="BO441" s="24"/>
      <c r="BQ441" s="621">
        <v>433</v>
      </c>
      <c r="BR441" s="711"/>
      <c r="BS441" s="712"/>
      <c r="BT441" s="713">
        <v>433</v>
      </c>
      <c r="BU441" s="714"/>
      <c r="BV441" s="239"/>
      <c r="BW441" s="24"/>
      <c r="BY441" s="621">
        <v>433</v>
      </c>
      <c r="BZ441" s="711"/>
      <c r="CA441" s="712"/>
      <c r="CB441" s="713">
        <v>433</v>
      </c>
      <c r="CC441" s="714"/>
      <c r="CD441" s="239"/>
      <c r="CE441" s="24"/>
    </row>
    <row r="442" spans="5:83" ht="12" customHeight="1">
      <c r="E442" s="621">
        <v>434</v>
      </c>
      <c r="F442" s="711"/>
      <c r="G442" s="712"/>
      <c r="H442" s="713">
        <v>434</v>
      </c>
      <c r="I442" s="714"/>
      <c r="J442" s="239"/>
      <c r="K442" s="24"/>
      <c r="AI442" s="16" t="e">
        <f t="shared" si="61"/>
        <v>#N/A</v>
      </c>
      <c r="AJ442" s="16" t="str">
        <f t="shared" si="62"/>
        <v/>
      </c>
      <c r="AK442" s="16" t="str">
        <f t="shared" si="63"/>
        <v/>
      </c>
      <c r="AL442" s="16" t="e">
        <f>IF(AK442="",NA(),COUNTIF(AK$176:$AK442,AK442))</f>
        <v>#N/A</v>
      </c>
      <c r="AM442" s="16" t="e">
        <f t="shared" si="64"/>
        <v>#N/A</v>
      </c>
      <c r="AN442" s="16" t="e">
        <f t="shared" si="65"/>
        <v>#N/A</v>
      </c>
      <c r="AO442" s="16" t="str">
        <f t="shared" si="66"/>
        <v/>
      </c>
      <c r="AP442" s="16" t="str">
        <f t="shared" si="67"/>
        <v/>
      </c>
      <c r="AQ442" s="16" t="e">
        <f>IF(AP442="",NA(),COUNTIF(AP$176:$AP442,AP442))</f>
        <v>#N/A</v>
      </c>
      <c r="AR442" s="16" t="e">
        <f t="shared" si="68"/>
        <v>#N/A</v>
      </c>
      <c r="BI442" s="621">
        <v>434</v>
      </c>
      <c r="BJ442" s="711"/>
      <c r="BK442" s="712"/>
      <c r="BL442" s="713">
        <v>434</v>
      </c>
      <c r="BM442" s="714"/>
      <c r="BN442" s="239"/>
      <c r="BO442" s="24"/>
      <c r="BQ442" s="621">
        <v>434</v>
      </c>
      <c r="BR442" s="711"/>
      <c r="BS442" s="712"/>
      <c r="BT442" s="713">
        <v>434</v>
      </c>
      <c r="BU442" s="714"/>
      <c r="BV442" s="239"/>
      <c r="BW442" s="24"/>
      <c r="BY442" s="621">
        <v>434</v>
      </c>
      <c r="BZ442" s="711"/>
      <c r="CA442" s="712"/>
      <c r="CB442" s="713">
        <v>434</v>
      </c>
      <c r="CC442" s="714"/>
      <c r="CD442" s="239"/>
      <c r="CE442" s="24"/>
    </row>
    <row r="443" spans="5:83" ht="12" customHeight="1">
      <c r="E443" s="621">
        <v>435</v>
      </c>
      <c r="F443" s="711"/>
      <c r="G443" s="712"/>
      <c r="H443" s="713">
        <v>435</v>
      </c>
      <c r="I443" s="714"/>
      <c r="J443" s="239"/>
      <c r="K443" s="24"/>
      <c r="AI443" s="16" t="e">
        <f t="shared" si="61"/>
        <v>#N/A</v>
      </c>
      <c r="AJ443" s="16" t="str">
        <f t="shared" si="62"/>
        <v/>
      </c>
      <c r="AK443" s="16" t="str">
        <f t="shared" si="63"/>
        <v/>
      </c>
      <c r="AL443" s="16" t="e">
        <f>IF(AK443="",NA(),COUNTIF(AK$176:$AK443,AK443))</f>
        <v>#N/A</v>
      </c>
      <c r="AM443" s="16" t="e">
        <f t="shared" si="64"/>
        <v>#N/A</v>
      </c>
      <c r="AN443" s="16" t="e">
        <f t="shared" si="65"/>
        <v>#N/A</v>
      </c>
      <c r="AO443" s="16" t="str">
        <f t="shared" si="66"/>
        <v/>
      </c>
      <c r="AP443" s="16" t="str">
        <f t="shared" si="67"/>
        <v/>
      </c>
      <c r="AQ443" s="16" t="e">
        <f>IF(AP443="",NA(),COUNTIF(AP$176:$AP443,AP443))</f>
        <v>#N/A</v>
      </c>
      <c r="AR443" s="16" t="e">
        <f t="shared" si="68"/>
        <v>#N/A</v>
      </c>
      <c r="BI443" s="621">
        <v>435</v>
      </c>
      <c r="BJ443" s="711"/>
      <c r="BK443" s="712"/>
      <c r="BL443" s="713">
        <v>435</v>
      </c>
      <c r="BM443" s="714"/>
      <c r="BN443" s="239"/>
      <c r="BO443" s="24"/>
      <c r="BQ443" s="621">
        <v>435</v>
      </c>
      <c r="BR443" s="711"/>
      <c r="BS443" s="712"/>
      <c r="BT443" s="713">
        <v>435</v>
      </c>
      <c r="BU443" s="714"/>
      <c r="BV443" s="239"/>
      <c r="BW443" s="24"/>
      <c r="BY443" s="621">
        <v>435</v>
      </c>
      <c r="BZ443" s="711"/>
      <c r="CA443" s="712"/>
      <c r="CB443" s="713">
        <v>435</v>
      </c>
      <c r="CC443" s="714"/>
      <c r="CD443" s="239"/>
      <c r="CE443" s="24"/>
    </row>
    <row r="444" spans="5:83" ht="12" customHeight="1">
      <c r="E444" s="621">
        <v>436</v>
      </c>
      <c r="F444" s="711"/>
      <c r="G444" s="712"/>
      <c r="H444" s="713">
        <v>436</v>
      </c>
      <c r="I444" s="714"/>
      <c r="J444" s="239"/>
      <c r="K444" s="24"/>
      <c r="AI444" s="16" t="e">
        <f t="shared" si="61"/>
        <v>#N/A</v>
      </c>
      <c r="AJ444" s="16" t="str">
        <f t="shared" si="62"/>
        <v/>
      </c>
      <c r="AK444" s="16" t="str">
        <f t="shared" si="63"/>
        <v/>
      </c>
      <c r="AL444" s="16" t="e">
        <f>IF(AK444="",NA(),COUNTIF(AK$176:$AK444,AK444))</f>
        <v>#N/A</v>
      </c>
      <c r="AM444" s="16" t="e">
        <f t="shared" si="64"/>
        <v>#N/A</v>
      </c>
      <c r="AN444" s="16" t="e">
        <f t="shared" si="65"/>
        <v>#N/A</v>
      </c>
      <c r="AO444" s="16" t="str">
        <f t="shared" si="66"/>
        <v/>
      </c>
      <c r="AP444" s="16" t="str">
        <f t="shared" si="67"/>
        <v/>
      </c>
      <c r="AQ444" s="16" t="e">
        <f>IF(AP444="",NA(),COUNTIF(AP$176:$AP444,AP444))</f>
        <v>#N/A</v>
      </c>
      <c r="AR444" s="16" t="e">
        <f t="shared" si="68"/>
        <v>#N/A</v>
      </c>
      <c r="BI444" s="621">
        <v>436</v>
      </c>
      <c r="BJ444" s="711"/>
      <c r="BK444" s="712"/>
      <c r="BL444" s="713">
        <v>436</v>
      </c>
      <c r="BM444" s="714"/>
      <c r="BN444" s="239"/>
      <c r="BO444" s="24"/>
      <c r="BQ444" s="621">
        <v>436</v>
      </c>
      <c r="BR444" s="711"/>
      <c r="BS444" s="712"/>
      <c r="BT444" s="713">
        <v>436</v>
      </c>
      <c r="BU444" s="714"/>
      <c r="BV444" s="239"/>
      <c r="BW444" s="24"/>
      <c r="BY444" s="621">
        <v>436</v>
      </c>
      <c r="BZ444" s="711"/>
      <c r="CA444" s="712"/>
      <c r="CB444" s="713">
        <v>436</v>
      </c>
      <c r="CC444" s="714"/>
      <c r="CD444" s="239"/>
      <c r="CE444" s="24"/>
    </row>
    <row r="445" spans="5:83" ht="12" customHeight="1">
      <c r="E445" s="621">
        <v>437</v>
      </c>
      <c r="F445" s="711"/>
      <c r="G445" s="712"/>
      <c r="H445" s="713">
        <v>437</v>
      </c>
      <c r="I445" s="714"/>
      <c r="J445" s="239"/>
      <c r="K445" s="24"/>
      <c r="AI445" s="16" t="e">
        <f t="shared" si="61"/>
        <v>#N/A</v>
      </c>
      <c r="AJ445" s="16" t="str">
        <f t="shared" si="62"/>
        <v/>
      </c>
      <c r="AK445" s="16" t="str">
        <f t="shared" si="63"/>
        <v/>
      </c>
      <c r="AL445" s="16" t="e">
        <f>IF(AK445="",NA(),COUNTIF(AK$176:$AK445,AK445))</f>
        <v>#N/A</v>
      </c>
      <c r="AM445" s="16" t="e">
        <f t="shared" si="64"/>
        <v>#N/A</v>
      </c>
      <c r="AN445" s="16" t="e">
        <f t="shared" si="65"/>
        <v>#N/A</v>
      </c>
      <c r="AO445" s="16" t="str">
        <f t="shared" si="66"/>
        <v/>
      </c>
      <c r="AP445" s="16" t="str">
        <f t="shared" si="67"/>
        <v/>
      </c>
      <c r="AQ445" s="16" t="e">
        <f>IF(AP445="",NA(),COUNTIF(AP$176:$AP445,AP445))</f>
        <v>#N/A</v>
      </c>
      <c r="AR445" s="16" t="e">
        <f t="shared" si="68"/>
        <v>#N/A</v>
      </c>
      <c r="BI445" s="621">
        <v>437</v>
      </c>
      <c r="BJ445" s="711"/>
      <c r="BK445" s="712"/>
      <c r="BL445" s="713">
        <v>437</v>
      </c>
      <c r="BM445" s="714"/>
      <c r="BN445" s="239"/>
      <c r="BO445" s="24"/>
      <c r="BQ445" s="621">
        <v>437</v>
      </c>
      <c r="BR445" s="711"/>
      <c r="BS445" s="712"/>
      <c r="BT445" s="713">
        <v>437</v>
      </c>
      <c r="BU445" s="714"/>
      <c r="BV445" s="239"/>
      <c r="BW445" s="24"/>
      <c r="BY445" s="621">
        <v>437</v>
      </c>
      <c r="BZ445" s="711"/>
      <c r="CA445" s="712"/>
      <c r="CB445" s="713">
        <v>437</v>
      </c>
      <c r="CC445" s="714"/>
      <c r="CD445" s="239"/>
      <c r="CE445" s="24"/>
    </row>
    <row r="446" spans="5:83" ht="12" customHeight="1">
      <c r="E446" s="621">
        <v>438</v>
      </c>
      <c r="F446" s="711"/>
      <c r="G446" s="712"/>
      <c r="H446" s="713">
        <v>438</v>
      </c>
      <c r="I446" s="714"/>
      <c r="J446" s="239"/>
      <c r="K446" s="24"/>
      <c r="AI446" s="16" t="e">
        <f t="shared" si="61"/>
        <v>#N/A</v>
      </c>
      <c r="AJ446" s="16" t="str">
        <f t="shared" si="62"/>
        <v/>
      </c>
      <c r="AK446" s="16" t="str">
        <f t="shared" si="63"/>
        <v/>
      </c>
      <c r="AL446" s="16" t="e">
        <f>IF(AK446="",NA(),COUNTIF(AK$176:$AK446,AK446))</f>
        <v>#N/A</v>
      </c>
      <c r="AM446" s="16" t="e">
        <f t="shared" si="64"/>
        <v>#N/A</v>
      </c>
      <c r="AN446" s="16" t="e">
        <f t="shared" si="65"/>
        <v>#N/A</v>
      </c>
      <c r="AO446" s="16" t="str">
        <f t="shared" si="66"/>
        <v/>
      </c>
      <c r="AP446" s="16" t="str">
        <f t="shared" si="67"/>
        <v/>
      </c>
      <c r="AQ446" s="16" t="e">
        <f>IF(AP446="",NA(),COUNTIF(AP$176:$AP446,AP446))</f>
        <v>#N/A</v>
      </c>
      <c r="AR446" s="16" t="e">
        <f t="shared" si="68"/>
        <v>#N/A</v>
      </c>
      <c r="BI446" s="621">
        <v>438</v>
      </c>
      <c r="BJ446" s="711"/>
      <c r="BK446" s="712"/>
      <c r="BL446" s="713">
        <v>438</v>
      </c>
      <c r="BM446" s="714"/>
      <c r="BN446" s="239"/>
      <c r="BO446" s="24"/>
      <c r="BQ446" s="621">
        <v>438</v>
      </c>
      <c r="BR446" s="711"/>
      <c r="BS446" s="712"/>
      <c r="BT446" s="713">
        <v>438</v>
      </c>
      <c r="BU446" s="714"/>
      <c r="BV446" s="239"/>
      <c r="BW446" s="24"/>
      <c r="BY446" s="621">
        <v>438</v>
      </c>
      <c r="BZ446" s="711"/>
      <c r="CA446" s="712"/>
      <c r="CB446" s="713">
        <v>438</v>
      </c>
      <c r="CC446" s="714"/>
      <c r="CD446" s="239"/>
      <c r="CE446" s="24"/>
    </row>
    <row r="447" spans="5:83" ht="12" customHeight="1">
      <c r="E447" s="621">
        <v>439</v>
      </c>
      <c r="F447" s="711"/>
      <c r="G447" s="712"/>
      <c r="H447" s="713">
        <v>439</v>
      </c>
      <c r="I447" s="714"/>
      <c r="J447" s="239"/>
      <c r="K447" s="24"/>
      <c r="AI447" s="16" t="e">
        <f t="shared" si="61"/>
        <v>#N/A</v>
      </c>
      <c r="AJ447" s="16" t="str">
        <f t="shared" si="62"/>
        <v/>
      </c>
      <c r="AK447" s="16" t="str">
        <f t="shared" si="63"/>
        <v/>
      </c>
      <c r="AL447" s="16" t="e">
        <f>IF(AK447="",NA(),COUNTIF(AK$176:$AK447,AK447))</f>
        <v>#N/A</v>
      </c>
      <c r="AM447" s="16" t="e">
        <f t="shared" si="64"/>
        <v>#N/A</v>
      </c>
      <c r="AN447" s="16" t="e">
        <f t="shared" si="65"/>
        <v>#N/A</v>
      </c>
      <c r="AO447" s="16" t="str">
        <f t="shared" si="66"/>
        <v/>
      </c>
      <c r="AP447" s="16" t="str">
        <f t="shared" si="67"/>
        <v/>
      </c>
      <c r="AQ447" s="16" t="e">
        <f>IF(AP447="",NA(),COUNTIF(AP$176:$AP447,AP447))</f>
        <v>#N/A</v>
      </c>
      <c r="AR447" s="16" t="e">
        <f t="shared" si="68"/>
        <v>#N/A</v>
      </c>
      <c r="BI447" s="621">
        <v>439</v>
      </c>
      <c r="BJ447" s="711"/>
      <c r="BK447" s="712"/>
      <c r="BL447" s="713">
        <v>439</v>
      </c>
      <c r="BM447" s="714"/>
      <c r="BN447" s="239"/>
      <c r="BO447" s="24"/>
      <c r="BQ447" s="621">
        <v>439</v>
      </c>
      <c r="BR447" s="711"/>
      <c r="BS447" s="712"/>
      <c r="BT447" s="713">
        <v>439</v>
      </c>
      <c r="BU447" s="714"/>
      <c r="BV447" s="239"/>
      <c r="BW447" s="24"/>
      <c r="BY447" s="621">
        <v>439</v>
      </c>
      <c r="BZ447" s="711"/>
      <c r="CA447" s="712"/>
      <c r="CB447" s="713">
        <v>439</v>
      </c>
      <c r="CC447" s="714"/>
      <c r="CD447" s="239"/>
      <c r="CE447" s="24"/>
    </row>
    <row r="448" spans="5:83" ht="12" customHeight="1">
      <c r="E448" s="621">
        <v>440</v>
      </c>
      <c r="F448" s="711"/>
      <c r="G448" s="712"/>
      <c r="H448" s="713">
        <v>440</v>
      </c>
      <c r="I448" s="714"/>
      <c r="J448" s="239"/>
      <c r="K448" s="24"/>
      <c r="AI448" s="16" t="e">
        <f t="shared" si="61"/>
        <v>#N/A</v>
      </c>
      <c r="AJ448" s="16" t="str">
        <f t="shared" si="62"/>
        <v/>
      </c>
      <c r="AK448" s="16" t="str">
        <f t="shared" si="63"/>
        <v/>
      </c>
      <c r="AL448" s="16" t="e">
        <f>IF(AK448="",NA(),COUNTIF(AK$176:$AK448,AK448))</f>
        <v>#N/A</v>
      </c>
      <c r="AM448" s="16" t="e">
        <f t="shared" si="64"/>
        <v>#N/A</v>
      </c>
      <c r="AN448" s="16" t="e">
        <f t="shared" si="65"/>
        <v>#N/A</v>
      </c>
      <c r="AO448" s="16" t="str">
        <f t="shared" si="66"/>
        <v/>
      </c>
      <c r="AP448" s="16" t="str">
        <f t="shared" si="67"/>
        <v/>
      </c>
      <c r="AQ448" s="16" t="e">
        <f>IF(AP448="",NA(),COUNTIF(AP$176:$AP448,AP448))</f>
        <v>#N/A</v>
      </c>
      <c r="AR448" s="16" t="e">
        <f t="shared" si="68"/>
        <v>#N/A</v>
      </c>
      <c r="BI448" s="621">
        <v>440</v>
      </c>
      <c r="BJ448" s="711"/>
      <c r="BK448" s="712"/>
      <c r="BL448" s="713">
        <v>440</v>
      </c>
      <c r="BM448" s="714"/>
      <c r="BN448" s="239"/>
      <c r="BO448" s="24"/>
      <c r="BQ448" s="621">
        <v>440</v>
      </c>
      <c r="BR448" s="711"/>
      <c r="BS448" s="712"/>
      <c r="BT448" s="713">
        <v>440</v>
      </c>
      <c r="BU448" s="714"/>
      <c r="BV448" s="239"/>
      <c r="BW448" s="24"/>
      <c r="BY448" s="621">
        <v>440</v>
      </c>
      <c r="BZ448" s="711"/>
      <c r="CA448" s="712"/>
      <c r="CB448" s="713">
        <v>440</v>
      </c>
      <c r="CC448" s="714"/>
      <c r="CD448" s="239"/>
      <c r="CE448" s="24"/>
    </row>
    <row r="449" spans="5:83" ht="12" customHeight="1">
      <c r="E449" s="621">
        <v>441</v>
      </c>
      <c r="F449" s="711"/>
      <c r="G449" s="712"/>
      <c r="H449" s="713">
        <v>441</v>
      </c>
      <c r="I449" s="714"/>
      <c r="J449" s="239"/>
      <c r="K449" s="24"/>
      <c r="AI449" s="16" t="e">
        <f t="shared" si="61"/>
        <v>#N/A</v>
      </c>
      <c r="AJ449" s="16" t="str">
        <f t="shared" si="62"/>
        <v/>
      </c>
      <c r="AK449" s="16" t="str">
        <f t="shared" si="63"/>
        <v/>
      </c>
      <c r="AL449" s="16" t="e">
        <f>IF(AK449="",NA(),COUNTIF(AK$176:$AK449,AK449))</f>
        <v>#N/A</v>
      </c>
      <c r="AM449" s="16" t="e">
        <f t="shared" si="64"/>
        <v>#N/A</v>
      </c>
      <c r="AN449" s="16" t="e">
        <f t="shared" si="65"/>
        <v>#N/A</v>
      </c>
      <c r="AO449" s="16" t="str">
        <f t="shared" si="66"/>
        <v/>
      </c>
      <c r="AP449" s="16" t="str">
        <f t="shared" si="67"/>
        <v/>
      </c>
      <c r="AQ449" s="16" t="e">
        <f>IF(AP449="",NA(),COUNTIF(AP$176:$AP449,AP449))</f>
        <v>#N/A</v>
      </c>
      <c r="AR449" s="16" t="e">
        <f t="shared" si="68"/>
        <v>#N/A</v>
      </c>
      <c r="BI449" s="621">
        <v>441</v>
      </c>
      <c r="BJ449" s="711"/>
      <c r="BK449" s="712"/>
      <c r="BL449" s="713">
        <v>441</v>
      </c>
      <c r="BM449" s="714"/>
      <c r="BN449" s="239"/>
      <c r="BO449" s="24"/>
      <c r="BQ449" s="621">
        <v>441</v>
      </c>
      <c r="BR449" s="711"/>
      <c r="BS449" s="712"/>
      <c r="BT449" s="713">
        <v>441</v>
      </c>
      <c r="BU449" s="714"/>
      <c r="BV449" s="239"/>
      <c r="BW449" s="24"/>
      <c r="BY449" s="621">
        <v>441</v>
      </c>
      <c r="BZ449" s="711"/>
      <c r="CA449" s="712"/>
      <c r="CB449" s="713">
        <v>441</v>
      </c>
      <c r="CC449" s="714"/>
      <c r="CD449" s="239"/>
      <c r="CE449" s="24"/>
    </row>
    <row r="450" spans="5:83" ht="12" customHeight="1">
      <c r="E450" s="621">
        <v>442</v>
      </c>
      <c r="F450" s="711"/>
      <c r="G450" s="712"/>
      <c r="H450" s="713">
        <v>442</v>
      </c>
      <c r="I450" s="714"/>
      <c r="J450" s="239"/>
      <c r="K450" s="24"/>
      <c r="AI450" s="16" t="e">
        <f t="shared" si="61"/>
        <v>#N/A</v>
      </c>
      <c r="AJ450" s="16" t="str">
        <f t="shared" si="62"/>
        <v/>
      </c>
      <c r="AK450" s="16" t="str">
        <f t="shared" si="63"/>
        <v/>
      </c>
      <c r="AL450" s="16" t="e">
        <f>IF(AK450="",NA(),COUNTIF(AK$176:$AK450,AK450))</f>
        <v>#N/A</v>
      </c>
      <c r="AM450" s="16" t="e">
        <f t="shared" si="64"/>
        <v>#N/A</v>
      </c>
      <c r="AN450" s="16" t="e">
        <f t="shared" si="65"/>
        <v>#N/A</v>
      </c>
      <c r="AO450" s="16" t="str">
        <f t="shared" si="66"/>
        <v/>
      </c>
      <c r="AP450" s="16" t="str">
        <f t="shared" si="67"/>
        <v/>
      </c>
      <c r="AQ450" s="16" t="e">
        <f>IF(AP450="",NA(),COUNTIF(AP$176:$AP450,AP450))</f>
        <v>#N/A</v>
      </c>
      <c r="AR450" s="16" t="e">
        <f t="shared" si="68"/>
        <v>#N/A</v>
      </c>
      <c r="BI450" s="621">
        <v>442</v>
      </c>
      <c r="BJ450" s="711"/>
      <c r="BK450" s="712"/>
      <c r="BL450" s="713">
        <v>442</v>
      </c>
      <c r="BM450" s="714"/>
      <c r="BN450" s="239"/>
      <c r="BO450" s="24"/>
      <c r="BQ450" s="621">
        <v>442</v>
      </c>
      <c r="BR450" s="711"/>
      <c r="BS450" s="712"/>
      <c r="BT450" s="713">
        <v>442</v>
      </c>
      <c r="BU450" s="714"/>
      <c r="BV450" s="239"/>
      <c r="BW450" s="24"/>
      <c r="BY450" s="621">
        <v>442</v>
      </c>
      <c r="BZ450" s="711"/>
      <c r="CA450" s="712"/>
      <c r="CB450" s="713">
        <v>442</v>
      </c>
      <c r="CC450" s="714"/>
      <c r="CD450" s="239"/>
      <c r="CE450" s="24"/>
    </row>
    <row r="451" spans="5:83" ht="12" customHeight="1">
      <c r="E451" s="621">
        <v>443</v>
      </c>
      <c r="F451" s="711"/>
      <c r="G451" s="712"/>
      <c r="H451" s="713">
        <v>443</v>
      </c>
      <c r="I451" s="714"/>
      <c r="J451" s="239"/>
      <c r="K451" s="24"/>
      <c r="AI451" s="16" t="e">
        <f t="shared" si="61"/>
        <v>#N/A</v>
      </c>
      <c r="AJ451" s="16" t="str">
        <f t="shared" si="62"/>
        <v/>
      </c>
      <c r="AK451" s="16" t="str">
        <f t="shared" si="63"/>
        <v/>
      </c>
      <c r="AL451" s="16" t="e">
        <f>IF(AK451="",NA(),COUNTIF(AK$176:$AK451,AK451))</f>
        <v>#N/A</v>
      </c>
      <c r="AM451" s="16" t="e">
        <f t="shared" si="64"/>
        <v>#N/A</v>
      </c>
      <c r="AN451" s="16" t="e">
        <f t="shared" si="65"/>
        <v>#N/A</v>
      </c>
      <c r="AO451" s="16" t="str">
        <f t="shared" si="66"/>
        <v/>
      </c>
      <c r="AP451" s="16" t="str">
        <f t="shared" si="67"/>
        <v/>
      </c>
      <c r="AQ451" s="16" t="e">
        <f>IF(AP451="",NA(),COUNTIF(AP$176:$AP451,AP451))</f>
        <v>#N/A</v>
      </c>
      <c r="AR451" s="16" t="e">
        <f t="shared" si="68"/>
        <v>#N/A</v>
      </c>
      <c r="BI451" s="621">
        <v>443</v>
      </c>
      <c r="BJ451" s="711"/>
      <c r="BK451" s="712"/>
      <c r="BL451" s="713">
        <v>443</v>
      </c>
      <c r="BM451" s="714"/>
      <c r="BN451" s="239"/>
      <c r="BO451" s="24"/>
      <c r="BQ451" s="621">
        <v>443</v>
      </c>
      <c r="BR451" s="711"/>
      <c r="BS451" s="712"/>
      <c r="BT451" s="713">
        <v>443</v>
      </c>
      <c r="BU451" s="714"/>
      <c r="BV451" s="239"/>
      <c r="BW451" s="24"/>
      <c r="BY451" s="621">
        <v>443</v>
      </c>
      <c r="BZ451" s="711"/>
      <c r="CA451" s="712"/>
      <c r="CB451" s="713">
        <v>443</v>
      </c>
      <c r="CC451" s="714"/>
      <c r="CD451" s="239"/>
      <c r="CE451" s="24"/>
    </row>
    <row r="452" spans="5:83" ht="12" customHeight="1">
      <c r="E452" s="621">
        <v>444</v>
      </c>
      <c r="F452" s="711"/>
      <c r="G452" s="712"/>
      <c r="H452" s="713">
        <v>444</v>
      </c>
      <c r="I452" s="714"/>
      <c r="J452" s="239"/>
      <c r="K452" s="24"/>
      <c r="AI452" s="16" t="e">
        <f t="shared" si="61"/>
        <v>#N/A</v>
      </c>
      <c r="AJ452" s="16" t="str">
        <f t="shared" si="62"/>
        <v/>
      </c>
      <c r="AK452" s="16" t="str">
        <f t="shared" si="63"/>
        <v/>
      </c>
      <c r="AL452" s="16" t="e">
        <f>IF(AK452="",NA(),COUNTIF(AK$176:$AK452,AK452))</f>
        <v>#N/A</v>
      </c>
      <c r="AM452" s="16" t="e">
        <f t="shared" si="64"/>
        <v>#N/A</v>
      </c>
      <c r="AN452" s="16" t="e">
        <f t="shared" si="65"/>
        <v>#N/A</v>
      </c>
      <c r="AO452" s="16" t="str">
        <f t="shared" si="66"/>
        <v/>
      </c>
      <c r="AP452" s="16" t="str">
        <f t="shared" si="67"/>
        <v/>
      </c>
      <c r="AQ452" s="16" t="e">
        <f>IF(AP452="",NA(),COUNTIF(AP$176:$AP452,AP452))</f>
        <v>#N/A</v>
      </c>
      <c r="AR452" s="16" t="e">
        <f t="shared" si="68"/>
        <v>#N/A</v>
      </c>
      <c r="BI452" s="621">
        <v>444</v>
      </c>
      <c r="BJ452" s="711"/>
      <c r="BK452" s="712"/>
      <c r="BL452" s="713">
        <v>444</v>
      </c>
      <c r="BM452" s="714"/>
      <c r="BN452" s="239"/>
      <c r="BO452" s="24"/>
      <c r="BQ452" s="621">
        <v>444</v>
      </c>
      <c r="BR452" s="711"/>
      <c r="BS452" s="712"/>
      <c r="BT452" s="713">
        <v>444</v>
      </c>
      <c r="BU452" s="714"/>
      <c r="BV452" s="239"/>
      <c r="BW452" s="24"/>
      <c r="BY452" s="621">
        <v>444</v>
      </c>
      <c r="BZ452" s="711"/>
      <c r="CA452" s="712"/>
      <c r="CB452" s="713">
        <v>444</v>
      </c>
      <c r="CC452" s="714"/>
      <c r="CD452" s="239"/>
      <c r="CE452" s="24"/>
    </row>
    <row r="453" spans="5:83" ht="12" customHeight="1">
      <c r="E453" s="621">
        <v>445</v>
      </c>
      <c r="F453" s="711"/>
      <c r="G453" s="712"/>
      <c r="H453" s="713">
        <v>445</v>
      </c>
      <c r="I453" s="714"/>
      <c r="J453" s="239"/>
      <c r="K453" s="24"/>
      <c r="AI453" s="16" t="e">
        <f t="shared" si="61"/>
        <v>#N/A</v>
      </c>
      <c r="AJ453" s="16" t="str">
        <f t="shared" si="62"/>
        <v/>
      </c>
      <c r="AK453" s="16" t="str">
        <f t="shared" si="63"/>
        <v/>
      </c>
      <c r="AL453" s="16" t="e">
        <f>IF(AK453="",NA(),COUNTIF(AK$176:$AK453,AK453))</f>
        <v>#N/A</v>
      </c>
      <c r="AM453" s="16" t="e">
        <f t="shared" si="64"/>
        <v>#N/A</v>
      </c>
      <c r="AN453" s="16" t="e">
        <f t="shared" si="65"/>
        <v>#N/A</v>
      </c>
      <c r="AO453" s="16" t="str">
        <f t="shared" si="66"/>
        <v/>
      </c>
      <c r="AP453" s="16" t="str">
        <f t="shared" si="67"/>
        <v/>
      </c>
      <c r="AQ453" s="16" t="e">
        <f>IF(AP453="",NA(),COUNTIF(AP$176:$AP453,AP453))</f>
        <v>#N/A</v>
      </c>
      <c r="AR453" s="16" t="e">
        <f t="shared" si="68"/>
        <v>#N/A</v>
      </c>
      <c r="BI453" s="621">
        <v>445</v>
      </c>
      <c r="BJ453" s="711"/>
      <c r="BK453" s="712"/>
      <c r="BL453" s="713">
        <v>445</v>
      </c>
      <c r="BM453" s="714"/>
      <c r="BN453" s="239"/>
      <c r="BO453" s="24"/>
      <c r="BQ453" s="621">
        <v>445</v>
      </c>
      <c r="BR453" s="711"/>
      <c r="BS453" s="712"/>
      <c r="BT453" s="713">
        <v>445</v>
      </c>
      <c r="BU453" s="714"/>
      <c r="BV453" s="239"/>
      <c r="BW453" s="24"/>
      <c r="BY453" s="621">
        <v>445</v>
      </c>
      <c r="BZ453" s="711"/>
      <c r="CA453" s="712"/>
      <c r="CB453" s="713">
        <v>445</v>
      </c>
      <c r="CC453" s="714"/>
      <c r="CD453" s="239"/>
      <c r="CE453" s="24"/>
    </row>
    <row r="454" spans="5:83" ht="12" customHeight="1">
      <c r="E454" s="621">
        <v>446</v>
      </c>
      <c r="F454" s="711"/>
      <c r="G454" s="712"/>
      <c r="H454" s="713">
        <v>446</v>
      </c>
      <c r="I454" s="714"/>
      <c r="J454" s="239"/>
      <c r="K454" s="24"/>
      <c r="AI454" s="16" t="e">
        <f t="shared" si="61"/>
        <v>#N/A</v>
      </c>
      <c r="AJ454" s="16" t="str">
        <f t="shared" si="62"/>
        <v/>
      </c>
      <c r="AK454" s="16" t="str">
        <f t="shared" si="63"/>
        <v/>
      </c>
      <c r="AL454" s="16" t="e">
        <f>IF(AK454="",NA(),COUNTIF(AK$176:$AK454,AK454))</f>
        <v>#N/A</v>
      </c>
      <c r="AM454" s="16" t="e">
        <f t="shared" si="64"/>
        <v>#N/A</v>
      </c>
      <c r="AN454" s="16" t="e">
        <f t="shared" si="65"/>
        <v>#N/A</v>
      </c>
      <c r="AO454" s="16" t="str">
        <f t="shared" si="66"/>
        <v/>
      </c>
      <c r="AP454" s="16" t="str">
        <f t="shared" si="67"/>
        <v/>
      </c>
      <c r="AQ454" s="16" t="e">
        <f>IF(AP454="",NA(),COUNTIF(AP$176:$AP454,AP454))</f>
        <v>#N/A</v>
      </c>
      <c r="AR454" s="16" t="e">
        <f t="shared" si="68"/>
        <v>#N/A</v>
      </c>
      <c r="BI454" s="621">
        <v>446</v>
      </c>
      <c r="BJ454" s="711"/>
      <c r="BK454" s="712"/>
      <c r="BL454" s="713">
        <v>446</v>
      </c>
      <c r="BM454" s="714"/>
      <c r="BN454" s="239"/>
      <c r="BO454" s="24"/>
      <c r="BQ454" s="621">
        <v>446</v>
      </c>
      <c r="BR454" s="711"/>
      <c r="BS454" s="712"/>
      <c r="BT454" s="713">
        <v>446</v>
      </c>
      <c r="BU454" s="714"/>
      <c r="BV454" s="239"/>
      <c r="BW454" s="24"/>
      <c r="BY454" s="621">
        <v>446</v>
      </c>
      <c r="BZ454" s="711"/>
      <c r="CA454" s="712"/>
      <c r="CB454" s="713">
        <v>446</v>
      </c>
      <c r="CC454" s="714"/>
      <c r="CD454" s="239"/>
      <c r="CE454" s="24"/>
    </row>
    <row r="455" spans="5:83" ht="12" customHeight="1">
      <c r="E455" s="621">
        <v>447</v>
      </c>
      <c r="F455" s="711"/>
      <c r="G455" s="712"/>
      <c r="H455" s="713">
        <v>447</v>
      </c>
      <c r="I455" s="714"/>
      <c r="J455" s="239"/>
      <c r="K455" s="24"/>
      <c r="AI455" s="16" t="e">
        <f t="shared" si="61"/>
        <v>#N/A</v>
      </c>
      <c r="AJ455" s="16" t="str">
        <f t="shared" si="62"/>
        <v/>
      </c>
      <c r="AK455" s="16" t="str">
        <f t="shared" si="63"/>
        <v/>
      </c>
      <c r="AL455" s="16" t="e">
        <f>IF(AK455="",NA(),COUNTIF(AK$176:$AK455,AK455))</f>
        <v>#N/A</v>
      </c>
      <c r="AM455" s="16" t="e">
        <f t="shared" si="64"/>
        <v>#N/A</v>
      </c>
      <c r="AN455" s="16" t="e">
        <f t="shared" si="65"/>
        <v>#N/A</v>
      </c>
      <c r="AO455" s="16" t="str">
        <f t="shared" si="66"/>
        <v/>
      </c>
      <c r="AP455" s="16" t="str">
        <f t="shared" si="67"/>
        <v/>
      </c>
      <c r="AQ455" s="16" t="e">
        <f>IF(AP455="",NA(),COUNTIF(AP$176:$AP455,AP455))</f>
        <v>#N/A</v>
      </c>
      <c r="AR455" s="16" t="e">
        <f t="shared" si="68"/>
        <v>#N/A</v>
      </c>
      <c r="BI455" s="621">
        <v>447</v>
      </c>
      <c r="BJ455" s="711"/>
      <c r="BK455" s="712"/>
      <c r="BL455" s="713">
        <v>447</v>
      </c>
      <c r="BM455" s="714"/>
      <c r="BN455" s="239"/>
      <c r="BO455" s="24"/>
      <c r="BQ455" s="621">
        <v>447</v>
      </c>
      <c r="BR455" s="711"/>
      <c r="BS455" s="712"/>
      <c r="BT455" s="713">
        <v>447</v>
      </c>
      <c r="BU455" s="714"/>
      <c r="BV455" s="239"/>
      <c r="BW455" s="24"/>
      <c r="BY455" s="621">
        <v>447</v>
      </c>
      <c r="BZ455" s="711"/>
      <c r="CA455" s="712"/>
      <c r="CB455" s="713">
        <v>447</v>
      </c>
      <c r="CC455" s="714"/>
      <c r="CD455" s="239"/>
      <c r="CE455" s="24"/>
    </row>
    <row r="456" spans="5:83" ht="12" customHeight="1">
      <c r="E456" s="621">
        <v>448</v>
      </c>
      <c r="F456" s="711"/>
      <c r="G456" s="712"/>
      <c r="H456" s="713">
        <v>448</v>
      </c>
      <c r="I456" s="714"/>
      <c r="J456" s="239"/>
      <c r="K456" s="24"/>
      <c r="AI456" s="16" t="e">
        <f t="shared" si="61"/>
        <v>#N/A</v>
      </c>
      <c r="AJ456" s="16" t="str">
        <f t="shared" si="62"/>
        <v/>
      </c>
      <c r="AK456" s="16" t="str">
        <f t="shared" si="63"/>
        <v/>
      </c>
      <c r="AL456" s="16" t="e">
        <f>IF(AK456="",NA(),COUNTIF(AK$176:$AK456,AK456))</f>
        <v>#N/A</v>
      </c>
      <c r="AM456" s="16" t="e">
        <f t="shared" si="64"/>
        <v>#N/A</v>
      </c>
      <c r="AN456" s="16" t="e">
        <f t="shared" si="65"/>
        <v>#N/A</v>
      </c>
      <c r="AO456" s="16" t="str">
        <f t="shared" si="66"/>
        <v/>
      </c>
      <c r="AP456" s="16" t="str">
        <f t="shared" si="67"/>
        <v/>
      </c>
      <c r="AQ456" s="16" t="e">
        <f>IF(AP456="",NA(),COUNTIF(AP$176:$AP456,AP456))</f>
        <v>#N/A</v>
      </c>
      <c r="AR456" s="16" t="e">
        <f t="shared" si="68"/>
        <v>#N/A</v>
      </c>
      <c r="BI456" s="621">
        <v>448</v>
      </c>
      <c r="BJ456" s="711"/>
      <c r="BK456" s="712"/>
      <c r="BL456" s="713">
        <v>448</v>
      </c>
      <c r="BM456" s="714"/>
      <c r="BN456" s="239"/>
      <c r="BO456" s="24"/>
      <c r="BQ456" s="621">
        <v>448</v>
      </c>
      <c r="BR456" s="711"/>
      <c r="BS456" s="712"/>
      <c r="BT456" s="713">
        <v>448</v>
      </c>
      <c r="BU456" s="714"/>
      <c r="BV456" s="239"/>
      <c r="BW456" s="24"/>
      <c r="BY456" s="621">
        <v>448</v>
      </c>
      <c r="BZ456" s="711"/>
      <c r="CA456" s="712"/>
      <c r="CB456" s="713">
        <v>448</v>
      </c>
      <c r="CC456" s="714"/>
      <c r="CD456" s="239"/>
      <c r="CE456" s="24"/>
    </row>
    <row r="457" spans="5:83" ht="12" customHeight="1">
      <c r="E457" s="621">
        <v>449</v>
      </c>
      <c r="F457" s="711"/>
      <c r="G457" s="712"/>
      <c r="H457" s="713">
        <v>449</v>
      </c>
      <c r="I457" s="714"/>
      <c r="J457" s="239"/>
      <c r="K457" s="24"/>
      <c r="AI457" s="16" t="e">
        <f t="shared" si="61"/>
        <v>#N/A</v>
      </c>
      <c r="AJ457" s="16" t="str">
        <f t="shared" si="62"/>
        <v/>
      </c>
      <c r="AK457" s="16" t="str">
        <f t="shared" si="63"/>
        <v/>
      </c>
      <c r="AL457" s="16" t="e">
        <f>IF(AK457="",NA(),COUNTIF(AK$176:$AK457,AK457))</f>
        <v>#N/A</v>
      </c>
      <c r="AM457" s="16" t="e">
        <f t="shared" si="64"/>
        <v>#N/A</v>
      </c>
      <c r="AN457" s="16" t="e">
        <f t="shared" si="65"/>
        <v>#N/A</v>
      </c>
      <c r="AO457" s="16" t="str">
        <f t="shared" si="66"/>
        <v/>
      </c>
      <c r="AP457" s="16" t="str">
        <f t="shared" si="67"/>
        <v/>
      </c>
      <c r="AQ457" s="16" t="e">
        <f>IF(AP457="",NA(),COUNTIF(AP$176:$AP457,AP457))</f>
        <v>#N/A</v>
      </c>
      <c r="AR457" s="16" t="e">
        <f t="shared" si="68"/>
        <v>#N/A</v>
      </c>
      <c r="BI457" s="621">
        <v>449</v>
      </c>
      <c r="BJ457" s="711"/>
      <c r="BK457" s="712"/>
      <c r="BL457" s="713">
        <v>449</v>
      </c>
      <c r="BM457" s="714"/>
      <c r="BN457" s="239"/>
      <c r="BO457" s="24"/>
      <c r="BQ457" s="621">
        <v>449</v>
      </c>
      <c r="BR457" s="711"/>
      <c r="BS457" s="712"/>
      <c r="BT457" s="713">
        <v>449</v>
      </c>
      <c r="BU457" s="714"/>
      <c r="BV457" s="239"/>
      <c r="BW457" s="24"/>
      <c r="BY457" s="621">
        <v>449</v>
      </c>
      <c r="BZ457" s="711"/>
      <c r="CA457" s="712"/>
      <c r="CB457" s="713">
        <v>449</v>
      </c>
      <c r="CC457" s="714"/>
      <c r="CD457" s="239"/>
      <c r="CE457" s="24"/>
    </row>
    <row r="458" spans="5:83" ht="12" customHeight="1">
      <c r="E458" s="621">
        <v>450</v>
      </c>
      <c r="F458" s="711"/>
      <c r="G458" s="712"/>
      <c r="H458" s="713">
        <v>450</v>
      </c>
      <c r="I458" s="714"/>
      <c r="J458" s="239"/>
      <c r="K458" s="24"/>
      <c r="AI458" s="16" t="e">
        <f t="shared" si="61"/>
        <v>#N/A</v>
      </c>
      <c r="AJ458" s="16" t="str">
        <f t="shared" si="62"/>
        <v/>
      </c>
      <c r="AK458" s="16" t="str">
        <f t="shared" si="63"/>
        <v/>
      </c>
      <c r="AL458" s="16" t="e">
        <f>IF(AK458="",NA(),COUNTIF(AK$176:$AK458,AK458))</f>
        <v>#N/A</v>
      </c>
      <c r="AM458" s="16" t="e">
        <f t="shared" si="64"/>
        <v>#N/A</v>
      </c>
      <c r="AN458" s="16" t="e">
        <f t="shared" si="65"/>
        <v>#N/A</v>
      </c>
      <c r="AO458" s="16" t="str">
        <f t="shared" si="66"/>
        <v/>
      </c>
      <c r="AP458" s="16" t="str">
        <f t="shared" si="67"/>
        <v/>
      </c>
      <c r="AQ458" s="16" t="e">
        <f>IF(AP458="",NA(),COUNTIF(AP$176:$AP458,AP458))</f>
        <v>#N/A</v>
      </c>
      <c r="AR458" s="16" t="e">
        <f t="shared" si="68"/>
        <v>#N/A</v>
      </c>
      <c r="BI458" s="621">
        <v>450</v>
      </c>
      <c r="BJ458" s="711"/>
      <c r="BK458" s="712"/>
      <c r="BL458" s="713">
        <v>450</v>
      </c>
      <c r="BM458" s="714"/>
      <c r="BN458" s="239"/>
      <c r="BO458" s="24"/>
      <c r="BQ458" s="621">
        <v>450</v>
      </c>
      <c r="BR458" s="711"/>
      <c r="BS458" s="712"/>
      <c r="BT458" s="713">
        <v>450</v>
      </c>
      <c r="BU458" s="714"/>
      <c r="BV458" s="239"/>
      <c r="BW458" s="24"/>
      <c r="BY458" s="621">
        <v>450</v>
      </c>
      <c r="BZ458" s="711"/>
      <c r="CA458" s="712"/>
      <c r="CB458" s="713">
        <v>450</v>
      </c>
      <c r="CC458" s="714"/>
      <c r="CD458" s="239"/>
      <c r="CE458" s="24"/>
    </row>
    <row r="459" spans="5:83" ht="12" customHeight="1">
      <c r="E459" s="621">
        <v>451</v>
      </c>
      <c r="F459" s="711"/>
      <c r="G459" s="712"/>
      <c r="H459" s="713">
        <v>451</v>
      </c>
      <c r="I459" s="714"/>
      <c r="J459" s="239"/>
      <c r="K459" s="24"/>
      <c r="AI459" s="16" t="e">
        <f t="shared" si="61"/>
        <v>#N/A</v>
      </c>
      <c r="AJ459" s="16" t="str">
        <f t="shared" si="62"/>
        <v/>
      </c>
      <c r="AK459" s="16" t="str">
        <f t="shared" si="63"/>
        <v/>
      </c>
      <c r="AL459" s="16" t="e">
        <f>IF(AK459="",NA(),COUNTIF(AK$176:$AK459,AK459))</f>
        <v>#N/A</v>
      </c>
      <c r="AM459" s="16" t="e">
        <f t="shared" si="64"/>
        <v>#N/A</v>
      </c>
      <c r="AN459" s="16" t="e">
        <f t="shared" si="65"/>
        <v>#N/A</v>
      </c>
      <c r="AO459" s="16" t="str">
        <f t="shared" si="66"/>
        <v/>
      </c>
      <c r="AP459" s="16" t="str">
        <f t="shared" si="67"/>
        <v/>
      </c>
      <c r="AQ459" s="16" t="e">
        <f>IF(AP459="",NA(),COUNTIF(AP$176:$AP459,AP459))</f>
        <v>#N/A</v>
      </c>
      <c r="AR459" s="16" t="e">
        <f t="shared" si="68"/>
        <v>#N/A</v>
      </c>
      <c r="BI459" s="621">
        <v>451</v>
      </c>
      <c r="BJ459" s="711"/>
      <c r="BK459" s="712"/>
      <c r="BL459" s="713">
        <v>451</v>
      </c>
      <c r="BM459" s="714"/>
      <c r="BN459" s="239"/>
      <c r="BO459" s="24"/>
      <c r="BQ459" s="621">
        <v>451</v>
      </c>
      <c r="BR459" s="711"/>
      <c r="BS459" s="712"/>
      <c r="BT459" s="713">
        <v>451</v>
      </c>
      <c r="BU459" s="714"/>
      <c r="BV459" s="239"/>
      <c r="BW459" s="24"/>
      <c r="BY459" s="621">
        <v>451</v>
      </c>
      <c r="BZ459" s="711"/>
      <c r="CA459" s="712"/>
      <c r="CB459" s="713">
        <v>451</v>
      </c>
      <c r="CC459" s="714"/>
      <c r="CD459" s="239"/>
      <c r="CE459" s="24"/>
    </row>
    <row r="460" spans="5:83" ht="12" customHeight="1">
      <c r="E460" s="621">
        <v>452</v>
      </c>
      <c r="F460" s="711"/>
      <c r="G460" s="712"/>
      <c r="H460" s="713">
        <v>452</v>
      </c>
      <c r="I460" s="714"/>
      <c r="J460" s="239"/>
      <c r="K460" s="24"/>
      <c r="AI460" s="16" t="e">
        <f t="shared" si="61"/>
        <v>#N/A</v>
      </c>
      <c r="AJ460" s="16" t="str">
        <f t="shared" si="62"/>
        <v/>
      </c>
      <c r="AK460" s="16" t="str">
        <f t="shared" si="63"/>
        <v/>
      </c>
      <c r="AL460" s="16" t="e">
        <f>IF(AK460="",NA(),COUNTIF(AK$176:$AK460,AK460))</f>
        <v>#N/A</v>
      </c>
      <c r="AM460" s="16" t="e">
        <f t="shared" si="64"/>
        <v>#N/A</v>
      </c>
      <c r="AN460" s="16" t="e">
        <f t="shared" si="65"/>
        <v>#N/A</v>
      </c>
      <c r="AO460" s="16" t="str">
        <f t="shared" si="66"/>
        <v/>
      </c>
      <c r="AP460" s="16" t="str">
        <f t="shared" si="67"/>
        <v/>
      </c>
      <c r="AQ460" s="16" t="e">
        <f>IF(AP460="",NA(),COUNTIF(AP$176:$AP460,AP460))</f>
        <v>#N/A</v>
      </c>
      <c r="AR460" s="16" t="e">
        <f t="shared" si="68"/>
        <v>#N/A</v>
      </c>
      <c r="BI460" s="621">
        <v>452</v>
      </c>
      <c r="BJ460" s="711"/>
      <c r="BK460" s="712"/>
      <c r="BL460" s="713">
        <v>452</v>
      </c>
      <c r="BM460" s="714"/>
      <c r="BN460" s="239"/>
      <c r="BO460" s="24"/>
      <c r="BQ460" s="621">
        <v>452</v>
      </c>
      <c r="BR460" s="711"/>
      <c r="BS460" s="712"/>
      <c r="BT460" s="713">
        <v>452</v>
      </c>
      <c r="BU460" s="714"/>
      <c r="BV460" s="239"/>
      <c r="BW460" s="24"/>
      <c r="BY460" s="621">
        <v>452</v>
      </c>
      <c r="BZ460" s="711"/>
      <c r="CA460" s="712"/>
      <c r="CB460" s="713">
        <v>452</v>
      </c>
      <c r="CC460" s="714"/>
      <c r="CD460" s="239"/>
      <c r="CE460" s="24"/>
    </row>
    <row r="461" spans="5:83" ht="12" customHeight="1">
      <c r="E461" s="621">
        <v>453</v>
      </c>
      <c r="F461" s="711"/>
      <c r="G461" s="712"/>
      <c r="H461" s="713">
        <v>453</v>
      </c>
      <c r="I461" s="714"/>
      <c r="J461" s="239"/>
      <c r="K461" s="24"/>
      <c r="AI461" s="16" t="e">
        <f t="shared" ref="AI461:AI524" si="69">IF(AND($X$80,NOT(F393=""),$X$78),F393,NA())</f>
        <v>#N/A</v>
      </c>
      <c r="AJ461" s="16" t="str">
        <f t="shared" ref="AJ461:AJ524" si="70">IF(AK461="","",IF($AU$79=0,AI461,AK461*$AU$79))</f>
        <v/>
      </c>
      <c r="AK461" s="16" t="str">
        <f t="shared" ref="AK461:AK524" si="71">IF(ISNA(AI461),"",IF($AU$79=0,AI461,ROUND(AI461/$AU$79,0)))</f>
        <v/>
      </c>
      <c r="AL461" s="16" t="e">
        <f>IF(AK461="",NA(),COUNTIF(AK$176:$AK461,AK461))</f>
        <v>#N/A</v>
      </c>
      <c r="AM461" s="16" t="e">
        <f t="shared" ref="AM461:AM524" si="72">(AL461-1)*$AU$82</f>
        <v>#N/A</v>
      </c>
      <c r="AN461" s="16" t="e">
        <f t="shared" ref="AN461:AN524" si="73">IF(AND($X$80,NOT(I393=""),$X$79),I393,NA())</f>
        <v>#N/A</v>
      </c>
      <c r="AO461" s="16" t="str">
        <f t="shared" ref="AO461:AO524" si="74">IF(AP461="","",IF($AU$79=0,AN461,AP461*$AU$79))</f>
        <v/>
      </c>
      <c r="AP461" s="16" t="str">
        <f t="shared" ref="AP461:AP524" si="75">IF(ISNA(AN461),"",IF($AU$79=0,AN461,ROUND(AN461/$AU$79,0)))</f>
        <v/>
      </c>
      <c r="AQ461" s="16" t="e">
        <f>IF(AP461="",NA(),COUNTIF(AP$176:$AP461,AP461))</f>
        <v>#N/A</v>
      </c>
      <c r="AR461" s="16" t="e">
        <f t="shared" ref="AR461:AR524" si="76">(AQ461-1)*$AU$82</f>
        <v>#N/A</v>
      </c>
      <c r="BI461" s="621">
        <v>453</v>
      </c>
      <c r="BJ461" s="711"/>
      <c r="BK461" s="712"/>
      <c r="BL461" s="713">
        <v>453</v>
      </c>
      <c r="BM461" s="714"/>
      <c r="BN461" s="239"/>
      <c r="BO461" s="24"/>
      <c r="BQ461" s="621">
        <v>453</v>
      </c>
      <c r="BR461" s="711"/>
      <c r="BS461" s="712"/>
      <c r="BT461" s="713">
        <v>453</v>
      </c>
      <c r="BU461" s="714"/>
      <c r="BV461" s="239"/>
      <c r="BW461" s="24"/>
      <c r="BY461" s="621">
        <v>453</v>
      </c>
      <c r="BZ461" s="711"/>
      <c r="CA461" s="712"/>
      <c r="CB461" s="713">
        <v>453</v>
      </c>
      <c r="CC461" s="714"/>
      <c r="CD461" s="239"/>
      <c r="CE461" s="24"/>
    </row>
    <row r="462" spans="5:83" ht="12" customHeight="1">
      <c r="E462" s="621">
        <v>454</v>
      </c>
      <c r="F462" s="711"/>
      <c r="G462" s="712"/>
      <c r="H462" s="713">
        <v>454</v>
      </c>
      <c r="I462" s="714"/>
      <c r="J462" s="239"/>
      <c r="K462" s="24"/>
      <c r="AI462" s="16" t="e">
        <f t="shared" si="69"/>
        <v>#N/A</v>
      </c>
      <c r="AJ462" s="16" t="str">
        <f t="shared" si="70"/>
        <v/>
      </c>
      <c r="AK462" s="16" t="str">
        <f t="shared" si="71"/>
        <v/>
      </c>
      <c r="AL462" s="16" t="e">
        <f>IF(AK462="",NA(),COUNTIF(AK$176:$AK462,AK462))</f>
        <v>#N/A</v>
      </c>
      <c r="AM462" s="16" t="e">
        <f t="shared" si="72"/>
        <v>#N/A</v>
      </c>
      <c r="AN462" s="16" t="e">
        <f t="shared" si="73"/>
        <v>#N/A</v>
      </c>
      <c r="AO462" s="16" t="str">
        <f t="shared" si="74"/>
        <v/>
      </c>
      <c r="AP462" s="16" t="str">
        <f t="shared" si="75"/>
        <v/>
      </c>
      <c r="AQ462" s="16" t="e">
        <f>IF(AP462="",NA(),COUNTIF(AP$176:$AP462,AP462))</f>
        <v>#N/A</v>
      </c>
      <c r="AR462" s="16" t="e">
        <f t="shared" si="76"/>
        <v>#N/A</v>
      </c>
      <c r="BI462" s="621">
        <v>454</v>
      </c>
      <c r="BJ462" s="711"/>
      <c r="BK462" s="712"/>
      <c r="BL462" s="713">
        <v>454</v>
      </c>
      <c r="BM462" s="714"/>
      <c r="BN462" s="239"/>
      <c r="BO462" s="24"/>
      <c r="BQ462" s="621">
        <v>454</v>
      </c>
      <c r="BR462" s="711"/>
      <c r="BS462" s="712"/>
      <c r="BT462" s="713">
        <v>454</v>
      </c>
      <c r="BU462" s="714"/>
      <c r="BV462" s="239"/>
      <c r="BW462" s="24"/>
      <c r="BY462" s="621">
        <v>454</v>
      </c>
      <c r="BZ462" s="711"/>
      <c r="CA462" s="712"/>
      <c r="CB462" s="713">
        <v>454</v>
      </c>
      <c r="CC462" s="714"/>
      <c r="CD462" s="239"/>
      <c r="CE462" s="24"/>
    </row>
    <row r="463" spans="5:83" ht="12" customHeight="1">
      <c r="E463" s="621">
        <v>455</v>
      </c>
      <c r="F463" s="711"/>
      <c r="G463" s="712"/>
      <c r="H463" s="713">
        <v>455</v>
      </c>
      <c r="I463" s="714"/>
      <c r="J463" s="239"/>
      <c r="K463" s="24"/>
      <c r="AI463" s="16" t="e">
        <f t="shared" si="69"/>
        <v>#N/A</v>
      </c>
      <c r="AJ463" s="16" t="str">
        <f t="shared" si="70"/>
        <v/>
      </c>
      <c r="AK463" s="16" t="str">
        <f t="shared" si="71"/>
        <v/>
      </c>
      <c r="AL463" s="16" t="e">
        <f>IF(AK463="",NA(),COUNTIF(AK$176:$AK463,AK463))</f>
        <v>#N/A</v>
      </c>
      <c r="AM463" s="16" t="e">
        <f t="shared" si="72"/>
        <v>#N/A</v>
      </c>
      <c r="AN463" s="16" t="e">
        <f t="shared" si="73"/>
        <v>#N/A</v>
      </c>
      <c r="AO463" s="16" t="str">
        <f t="shared" si="74"/>
        <v/>
      </c>
      <c r="AP463" s="16" t="str">
        <f t="shared" si="75"/>
        <v/>
      </c>
      <c r="AQ463" s="16" t="e">
        <f>IF(AP463="",NA(),COUNTIF(AP$176:$AP463,AP463))</f>
        <v>#N/A</v>
      </c>
      <c r="AR463" s="16" t="e">
        <f t="shared" si="76"/>
        <v>#N/A</v>
      </c>
      <c r="BI463" s="621">
        <v>455</v>
      </c>
      <c r="BJ463" s="711"/>
      <c r="BK463" s="712"/>
      <c r="BL463" s="713">
        <v>455</v>
      </c>
      <c r="BM463" s="714"/>
      <c r="BN463" s="239"/>
      <c r="BO463" s="24"/>
      <c r="BQ463" s="621">
        <v>455</v>
      </c>
      <c r="BR463" s="711"/>
      <c r="BS463" s="712"/>
      <c r="BT463" s="713">
        <v>455</v>
      </c>
      <c r="BU463" s="714"/>
      <c r="BV463" s="239"/>
      <c r="BW463" s="24"/>
      <c r="BY463" s="621">
        <v>455</v>
      </c>
      <c r="BZ463" s="711"/>
      <c r="CA463" s="712"/>
      <c r="CB463" s="713">
        <v>455</v>
      </c>
      <c r="CC463" s="714"/>
      <c r="CD463" s="239"/>
      <c r="CE463" s="24"/>
    </row>
    <row r="464" spans="5:83" ht="12" customHeight="1">
      <c r="E464" s="621">
        <v>456</v>
      </c>
      <c r="F464" s="711"/>
      <c r="G464" s="712"/>
      <c r="H464" s="713">
        <v>456</v>
      </c>
      <c r="I464" s="714"/>
      <c r="J464" s="239"/>
      <c r="K464" s="24"/>
      <c r="AI464" s="16" t="e">
        <f t="shared" si="69"/>
        <v>#N/A</v>
      </c>
      <c r="AJ464" s="16" t="str">
        <f t="shared" si="70"/>
        <v/>
      </c>
      <c r="AK464" s="16" t="str">
        <f t="shared" si="71"/>
        <v/>
      </c>
      <c r="AL464" s="16" t="e">
        <f>IF(AK464="",NA(),COUNTIF(AK$176:$AK464,AK464))</f>
        <v>#N/A</v>
      </c>
      <c r="AM464" s="16" t="e">
        <f t="shared" si="72"/>
        <v>#N/A</v>
      </c>
      <c r="AN464" s="16" t="e">
        <f t="shared" si="73"/>
        <v>#N/A</v>
      </c>
      <c r="AO464" s="16" t="str">
        <f t="shared" si="74"/>
        <v/>
      </c>
      <c r="AP464" s="16" t="str">
        <f t="shared" si="75"/>
        <v/>
      </c>
      <c r="AQ464" s="16" t="e">
        <f>IF(AP464="",NA(),COUNTIF(AP$176:$AP464,AP464))</f>
        <v>#N/A</v>
      </c>
      <c r="AR464" s="16" t="e">
        <f t="shared" si="76"/>
        <v>#N/A</v>
      </c>
      <c r="BI464" s="621">
        <v>456</v>
      </c>
      <c r="BJ464" s="711"/>
      <c r="BK464" s="712"/>
      <c r="BL464" s="713">
        <v>456</v>
      </c>
      <c r="BM464" s="714"/>
      <c r="BN464" s="239"/>
      <c r="BO464" s="24"/>
      <c r="BQ464" s="621">
        <v>456</v>
      </c>
      <c r="BR464" s="711"/>
      <c r="BS464" s="712"/>
      <c r="BT464" s="713">
        <v>456</v>
      </c>
      <c r="BU464" s="714"/>
      <c r="BV464" s="239"/>
      <c r="BW464" s="24"/>
      <c r="BY464" s="621">
        <v>456</v>
      </c>
      <c r="BZ464" s="711"/>
      <c r="CA464" s="712"/>
      <c r="CB464" s="713">
        <v>456</v>
      </c>
      <c r="CC464" s="714"/>
      <c r="CD464" s="239"/>
      <c r="CE464" s="24"/>
    </row>
    <row r="465" spans="5:83" ht="12" customHeight="1">
      <c r="E465" s="621">
        <v>457</v>
      </c>
      <c r="F465" s="711"/>
      <c r="G465" s="712"/>
      <c r="H465" s="713">
        <v>457</v>
      </c>
      <c r="I465" s="714"/>
      <c r="J465" s="239"/>
      <c r="K465" s="24"/>
      <c r="AI465" s="16" t="e">
        <f t="shared" si="69"/>
        <v>#N/A</v>
      </c>
      <c r="AJ465" s="16" t="str">
        <f t="shared" si="70"/>
        <v/>
      </c>
      <c r="AK465" s="16" t="str">
        <f t="shared" si="71"/>
        <v/>
      </c>
      <c r="AL465" s="16" t="e">
        <f>IF(AK465="",NA(),COUNTIF(AK$176:$AK465,AK465))</f>
        <v>#N/A</v>
      </c>
      <c r="AM465" s="16" t="e">
        <f t="shared" si="72"/>
        <v>#N/A</v>
      </c>
      <c r="AN465" s="16" t="e">
        <f t="shared" si="73"/>
        <v>#N/A</v>
      </c>
      <c r="AO465" s="16" t="str">
        <f t="shared" si="74"/>
        <v/>
      </c>
      <c r="AP465" s="16" t="str">
        <f t="shared" si="75"/>
        <v/>
      </c>
      <c r="AQ465" s="16" t="e">
        <f>IF(AP465="",NA(),COUNTIF(AP$176:$AP465,AP465))</f>
        <v>#N/A</v>
      </c>
      <c r="AR465" s="16" t="e">
        <f t="shared" si="76"/>
        <v>#N/A</v>
      </c>
      <c r="BI465" s="621">
        <v>457</v>
      </c>
      <c r="BJ465" s="711"/>
      <c r="BK465" s="712"/>
      <c r="BL465" s="713">
        <v>457</v>
      </c>
      <c r="BM465" s="714"/>
      <c r="BN465" s="239"/>
      <c r="BO465" s="24"/>
      <c r="BQ465" s="621">
        <v>457</v>
      </c>
      <c r="BR465" s="711"/>
      <c r="BS465" s="712"/>
      <c r="BT465" s="713">
        <v>457</v>
      </c>
      <c r="BU465" s="714"/>
      <c r="BV465" s="239"/>
      <c r="BW465" s="24"/>
      <c r="BY465" s="621">
        <v>457</v>
      </c>
      <c r="BZ465" s="711"/>
      <c r="CA465" s="712"/>
      <c r="CB465" s="713">
        <v>457</v>
      </c>
      <c r="CC465" s="714"/>
      <c r="CD465" s="239"/>
      <c r="CE465" s="24"/>
    </row>
    <row r="466" spans="5:83" ht="12" customHeight="1">
      <c r="E466" s="621">
        <v>458</v>
      </c>
      <c r="F466" s="711"/>
      <c r="G466" s="712"/>
      <c r="H466" s="713">
        <v>458</v>
      </c>
      <c r="I466" s="714"/>
      <c r="J466" s="239"/>
      <c r="K466" s="24"/>
      <c r="AI466" s="16" t="e">
        <f t="shared" si="69"/>
        <v>#N/A</v>
      </c>
      <c r="AJ466" s="16" t="str">
        <f t="shared" si="70"/>
        <v/>
      </c>
      <c r="AK466" s="16" t="str">
        <f t="shared" si="71"/>
        <v/>
      </c>
      <c r="AL466" s="16" t="e">
        <f>IF(AK466="",NA(),COUNTIF(AK$176:$AK466,AK466))</f>
        <v>#N/A</v>
      </c>
      <c r="AM466" s="16" t="e">
        <f t="shared" si="72"/>
        <v>#N/A</v>
      </c>
      <c r="AN466" s="16" t="e">
        <f t="shared" si="73"/>
        <v>#N/A</v>
      </c>
      <c r="AO466" s="16" t="str">
        <f t="shared" si="74"/>
        <v/>
      </c>
      <c r="AP466" s="16" t="str">
        <f t="shared" si="75"/>
        <v/>
      </c>
      <c r="AQ466" s="16" t="e">
        <f>IF(AP466="",NA(),COUNTIF(AP$176:$AP466,AP466))</f>
        <v>#N/A</v>
      </c>
      <c r="AR466" s="16" t="e">
        <f t="shared" si="76"/>
        <v>#N/A</v>
      </c>
      <c r="BI466" s="621">
        <v>458</v>
      </c>
      <c r="BJ466" s="711"/>
      <c r="BK466" s="712"/>
      <c r="BL466" s="713">
        <v>458</v>
      </c>
      <c r="BM466" s="714"/>
      <c r="BN466" s="239"/>
      <c r="BO466" s="24"/>
      <c r="BQ466" s="621">
        <v>458</v>
      </c>
      <c r="BR466" s="711"/>
      <c r="BS466" s="712"/>
      <c r="BT466" s="713">
        <v>458</v>
      </c>
      <c r="BU466" s="714"/>
      <c r="BV466" s="239"/>
      <c r="BW466" s="24"/>
      <c r="BY466" s="621">
        <v>458</v>
      </c>
      <c r="BZ466" s="711"/>
      <c r="CA466" s="712"/>
      <c r="CB466" s="713">
        <v>458</v>
      </c>
      <c r="CC466" s="714"/>
      <c r="CD466" s="239"/>
      <c r="CE466" s="24"/>
    </row>
    <row r="467" spans="5:83" ht="12" customHeight="1">
      <c r="E467" s="621">
        <v>459</v>
      </c>
      <c r="F467" s="711"/>
      <c r="G467" s="712"/>
      <c r="H467" s="713">
        <v>459</v>
      </c>
      <c r="I467" s="714"/>
      <c r="J467" s="239"/>
      <c r="K467" s="24"/>
      <c r="AI467" s="16" t="e">
        <f t="shared" si="69"/>
        <v>#N/A</v>
      </c>
      <c r="AJ467" s="16" t="str">
        <f t="shared" si="70"/>
        <v/>
      </c>
      <c r="AK467" s="16" t="str">
        <f t="shared" si="71"/>
        <v/>
      </c>
      <c r="AL467" s="16" t="e">
        <f>IF(AK467="",NA(),COUNTIF(AK$176:$AK467,AK467))</f>
        <v>#N/A</v>
      </c>
      <c r="AM467" s="16" t="e">
        <f t="shared" si="72"/>
        <v>#N/A</v>
      </c>
      <c r="AN467" s="16" t="e">
        <f t="shared" si="73"/>
        <v>#N/A</v>
      </c>
      <c r="AO467" s="16" t="str">
        <f t="shared" si="74"/>
        <v/>
      </c>
      <c r="AP467" s="16" t="str">
        <f t="shared" si="75"/>
        <v/>
      </c>
      <c r="AQ467" s="16" t="e">
        <f>IF(AP467="",NA(),COUNTIF(AP$176:$AP467,AP467))</f>
        <v>#N/A</v>
      </c>
      <c r="AR467" s="16" t="e">
        <f t="shared" si="76"/>
        <v>#N/A</v>
      </c>
      <c r="BI467" s="621">
        <v>459</v>
      </c>
      <c r="BJ467" s="711"/>
      <c r="BK467" s="712"/>
      <c r="BL467" s="713">
        <v>459</v>
      </c>
      <c r="BM467" s="714"/>
      <c r="BN467" s="239"/>
      <c r="BO467" s="24"/>
      <c r="BQ467" s="621">
        <v>459</v>
      </c>
      <c r="BR467" s="711"/>
      <c r="BS467" s="712"/>
      <c r="BT467" s="713">
        <v>459</v>
      </c>
      <c r="BU467" s="714"/>
      <c r="BV467" s="239"/>
      <c r="BW467" s="24"/>
      <c r="BY467" s="621">
        <v>459</v>
      </c>
      <c r="BZ467" s="711"/>
      <c r="CA467" s="712"/>
      <c r="CB467" s="713">
        <v>459</v>
      </c>
      <c r="CC467" s="714"/>
      <c r="CD467" s="239"/>
      <c r="CE467" s="24"/>
    </row>
    <row r="468" spans="5:83" ht="12" customHeight="1">
      <c r="E468" s="621">
        <v>460</v>
      </c>
      <c r="F468" s="711"/>
      <c r="G468" s="712"/>
      <c r="H468" s="713">
        <v>460</v>
      </c>
      <c r="I468" s="714"/>
      <c r="J468" s="239"/>
      <c r="K468" s="24"/>
      <c r="AI468" s="16" t="e">
        <f t="shared" si="69"/>
        <v>#N/A</v>
      </c>
      <c r="AJ468" s="16" t="str">
        <f t="shared" si="70"/>
        <v/>
      </c>
      <c r="AK468" s="16" t="str">
        <f t="shared" si="71"/>
        <v/>
      </c>
      <c r="AL468" s="16" t="e">
        <f>IF(AK468="",NA(),COUNTIF(AK$176:$AK468,AK468))</f>
        <v>#N/A</v>
      </c>
      <c r="AM468" s="16" t="e">
        <f t="shared" si="72"/>
        <v>#N/A</v>
      </c>
      <c r="AN468" s="16" t="e">
        <f t="shared" si="73"/>
        <v>#N/A</v>
      </c>
      <c r="AO468" s="16" t="str">
        <f t="shared" si="74"/>
        <v/>
      </c>
      <c r="AP468" s="16" t="str">
        <f t="shared" si="75"/>
        <v/>
      </c>
      <c r="AQ468" s="16" t="e">
        <f>IF(AP468="",NA(),COUNTIF(AP$176:$AP468,AP468))</f>
        <v>#N/A</v>
      </c>
      <c r="AR468" s="16" t="e">
        <f t="shared" si="76"/>
        <v>#N/A</v>
      </c>
      <c r="BI468" s="621">
        <v>460</v>
      </c>
      <c r="BJ468" s="711"/>
      <c r="BK468" s="712"/>
      <c r="BL468" s="713">
        <v>460</v>
      </c>
      <c r="BM468" s="714"/>
      <c r="BN468" s="239"/>
      <c r="BO468" s="24"/>
      <c r="BQ468" s="621">
        <v>460</v>
      </c>
      <c r="BR468" s="711"/>
      <c r="BS468" s="712"/>
      <c r="BT468" s="713">
        <v>460</v>
      </c>
      <c r="BU468" s="714"/>
      <c r="BV468" s="239"/>
      <c r="BW468" s="24"/>
      <c r="BY468" s="621">
        <v>460</v>
      </c>
      <c r="BZ468" s="711"/>
      <c r="CA468" s="712"/>
      <c r="CB468" s="713">
        <v>460</v>
      </c>
      <c r="CC468" s="714"/>
      <c r="CD468" s="239"/>
      <c r="CE468" s="24"/>
    </row>
    <row r="469" spans="5:83" ht="12" customHeight="1">
      <c r="E469" s="621">
        <v>461</v>
      </c>
      <c r="F469" s="711"/>
      <c r="G469" s="712"/>
      <c r="H469" s="713">
        <v>461</v>
      </c>
      <c r="I469" s="714"/>
      <c r="J469" s="239"/>
      <c r="K469" s="24"/>
      <c r="AI469" s="16" t="e">
        <f t="shared" si="69"/>
        <v>#N/A</v>
      </c>
      <c r="AJ469" s="16" t="str">
        <f t="shared" si="70"/>
        <v/>
      </c>
      <c r="AK469" s="16" t="str">
        <f t="shared" si="71"/>
        <v/>
      </c>
      <c r="AL469" s="16" t="e">
        <f>IF(AK469="",NA(),COUNTIF(AK$176:$AK469,AK469))</f>
        <v>#N/A</v>
      </c>
      <c r="AM469" s="16" t="e">
        <f t="shared" si="72"/>
        <v>#N/A</v>
      </c>
      <c r="AN469" s="16" t="e">
        <f t="shared" si="73"/>
        <v>#N/A</v>
      </c>
      <c r="AO469" s="16" t="str">
        <f t="shared" si="74"/>
        <v/>
      </c>
      <c r="AP469" s="16" t="str">
        <f t="shared" si="75"/>
        <v/>
      </c>
      <c r="AQ469" s="16" t="e">
        <f>IF(AP469="",NA(),COUNTIF(AP$176:$AP469,AP469))</f>
        <v>#N/A</v>
      </c>
      <c r="AR469" s="16" t="e">
        <f t="shared" si="76"/>
        <v>#N/A</v>
      </c>
      <c r="BI469" s="621">
        <v>461</v>
      </c>
      <c r="BJ469" s="711"/>
      <c r="BK469" s="712"/>
      <c r="BL469" s="713">
        <v>461</v>
      </c>
      <c r="BM469" s="714"/>
      <c r="BN469" s="239"/>
      <c r="BO469" s="24"/>
      <c r="BQ469" s="621">
        <v>461</v>
      </c>
      <c r="BR469" s="711"/>
      <c r="BS469" s="712"/>
      <c r="BT469" s="713">
        <v>461</v>
      </c>
      <c r="BU469" s="714"/>
      <c r="BV469" s="239"/>
      <c r="BW469" s="24"/>
      <c r="BY469" s="621">
        <v>461</v>
      </c>
      <c r="BZ469" s="711"/>
      <c r="CA469" s="712"/>
      <c r="CB469" s="713">
        <v>461</v>
      </c>
      <c r="CC469" s="714"/>
      <c r="CD469" s="239"/>
      <c r="CE469" s="24"/>
    </row>
    <row r="470" spans="5:83" ht="12" customHeight="1">
      <c r="E470" s="621">
        <v>462</v>
      </c>
      <c r="F470" s="711"/>
      <c r="G470" s="712"/>
      <c r="H470" s="713">
        <v>462</v>
      </c>
      <c r="I470" s="714"/>
      <c r="J470" s="239"/>
      <c r="K470" s="24"/>
      <c r="AI470" s="16" t="e">
        <f t="shared" si="69"/>
        <v>#N/A</v>
      </c>
      <c r="AJ470" s="16" t="str">
        <f t="shared" si="70"/>
        <v/>
      </c>
      <c r="AK470" s="16" t="str">
        <f t="shared" si="71"/>
        <v/>
      </c>
      <c r="AL470" s="16" t="e">
        <f>IF(AK470="",NA(),COUNTIF(AK$176:$AK470,AK470))</f>
        <v>#N/A</v>
      </c>
      <c r="AM470" s="16" t="e">
        <f t="shared" si="72"/>
        <v>#N/A</v>
      </c>
      <c r="AN470" s="16" t="e">
        <f t="shared" si="73"/>
        <v>#N/A</v>
      </c>
      <c r="AO470" s="16" t="str">
        <f t="shared" si="74"/>
        <v/>
      </c>
      <c r="AP470" s="16" t="str">
        <f t="shared" si="75"/>
        <v/>
      </c>
      <c r="AQ470" s="16" t="e">
        <f>IF(AP470="",NA(),COUNTIF(AP$176:$AP470,AP470))</f>
        <v>#N/A</v>
      </c>
      <c r="AR470" s="16" t="e">
        <f t="shared" si="76"/>
        <v>#N/A</v>
      </c>
      <c r="BI470" s="621">
        <v>462</v>
      </c>
      <c r="BJ470" s="711"/>
      <c r="BK470" s="712"/>
      <c r="BL470" s="713">
        <v>462</v>
      </c>
      <c r="BM470" s="714"/>
      <c r="BN470" s="239"/>
      <c r="BO470" s="24"/>
      <c r="BQ470" s="621">
        <v>462</v>
      </c>
      <c r="BR470" s="711"/>
      <c r="BS470" s="712"/>
      <c r="BT470" s="713">
        <v>462</v>
      </c>
      <c r="BU470" s="714"/>
      <c r="BV470" s="239"/>
      <c r="BW470" s="24"/>
      <c r="BY470" s="621">
        <v>462</v>
      </c>
      <c r="BZ470" s="711"/>
      <c r="CA470" s="712"/>
      <c r="CB470" s="713">
        <v>462</v>
      </c>
      <c r="CC470" s="714"/>
      <c r="CD470" s="239"/>
      <c r="CE470" s="24"/>
    </row>
    <row r="471" spans="5:83" ht="12" customHeight="1">
      <c r="E471" s="621">
        <v>463</v>
      </c>
      <c r="F471" s="711"/>
      <c r="G471" s="712"/>
      <c r="H471" s="713">
        <v>463</v>
      </c>
      <c r="I471" s="714"/>
      <c r="J471" s="239"/>
      <c r="K471" s="24"/>
      <c r="AI471" s="16" t="e">
        <f t="shared" si="69"/>
        <v>#N/A</v>
      </c>
      <c r="AJ471" s="16" t="str">
        <f t="shared" si="70"/>
        <v/>
      </c>
      <c r="AK471" s="16" t="str">
        <f t="shared" si="71"/>
        <v/>
      </c>
      <c r="AL471" s="16" t="e">
        <f>IF(AK471="",NA(),COUNTIF(AK$176:$AK471,AK471))</f>
        <v>#N/A</v>
      </c>
      <c r="AM471" s="16" t="e">
        <f t="shared" si="72"/>
        <v>#N/A</v>
      </c>
      <c r="AN471" s="16" t="e">
        <f t="shared" si="73"/>
        <v>#N/A</v>
      </c>
      <c r="AO471" s="16" t="str">
        <f t="shared" si="74"/>
        <v/>
      </c>
      <c r="AP471" s="16" t="str">
        <f t="shared" si="75"/>
        <v/>
      </c>
      <c r="AQ471" s="16" t="e">
        <f>IF(AP471="",NA(),COUNTIF(AP$176:$AP471,AP471))</f>
        <v>#N/A</v>
      </c>
      <c r="AR471" s="16" t="e">
        <f t="shared" si="76"/>
        <v>#N/A</v>
      </c>
      <c r="BI471" s="621">
        <v>463</v>
      </c>
      <c r="BJ471" s="711"/>
      <c r="BK471" s="712"/>
      <c r="BL471" s="713">
        <v>463</v>
      </c>
      <c r="BM471" s="714"/>
      <c r="BN471" s="239"/>
      <c r="BO471" s="24"/>
      <c r="BQ471" s="621">
        <v>463</v>
      </c>
      <c r="BR471" s="711"/>
      <c r="BS471" s="712"/>
      <c r="BT471" s="713">
        <v>463</v>
      </c>
      <c r="BU471" s="714"/>
      <c r="BV471" s="239"/>
      <c r="BW471" s="24"/>
      <c r="BY471" s="621">
        <v>463</v>
      </c>
      <c r="BZ471" s="711"/>
      <c r="CA471" s="712"/>
      <c r="CB471" s="713">
        <v>463</v>
      </c>
      <c r="CC471" s="714"/>
      <c r="CD471" s="239"/>
      <c r="CE471" s="24"/>
    </row>
    <row r="472" spans="5:83" ht="12" customHeight="1">
      <c r="E472" s="621">
        <v>464</v>
      </c>
      <c r="F472" s="711"/>
      <c r="G472" s="712"/>
      <c r="H472" s="713">
        <v>464</v>
      </c>
      <c r="I472" s="714"/>
      <c r="J472" s="239"/>
      <c r="K472" s="24"/>
      <c r="AI472" s="16" t="e">
        <f t="shared" si="69"/>
        <v>#N/A</v>
      </c>
      <c r="AJ472" s="16" t="str">
        <f t="shared" si="70"/>
        <v/>
      </c>
      <c r="AK472" s="16" t="str">
        <f t="shared" si="71"/>
        <v/>
      </c>
      <c r="AL472" s="16" t="e">
        <f>IF(AK472="",NA(),COUNTIF(AK$176:$AK472,AK472))</f>
        <v>#N/A</v>
      </c>
      <c r="AM472" s="16" t="e">
        <f t="shared" si="72"/>
        <v>#N/A</v>
      </c>
      <c r="AN472" s="16" t="e">
        <f t="shared" si="73"/>
        <v>#N/A</v>
      </c>
      <c r="AO472" s="16" t="str">
        <f t="shared" si="74"/>
        <v/>
      </c>
      <c r="AP472" s="16" t="str">
        <f t="shared" si="75"/>
        <v/>
      </c>
      <c r="AQ472" s="16" t="e">
        <f>IF(AP472="",NA(),COUNTIF(AP$176:$AP472,AP472))</f>
        <v>#N/A</v>
      </c>
      <c r="AR472" s="16" t="e">
        <f t="shared" si="76"/>
        <v>#N/A</v>
      </c>
      <c r="BI472" s="621">
        <v>464</v>
      </c>
      <c r="BJ472" s="711"/>
      <c r="BK472" s="712"/>
      <c r="BL472" s="713">
        <v>464</v>
      </c>
      <c r="BM472" s="714"/>
      <c r="BN472" s="239"/>
      <c r="BO472" s="24"/>
      <c r="BQ472" s="621">
        <v>464</v>
      </c>
      <c r="BR472" s="711"/>
      <c r="BS472" s="712"/>
      <c r="BT472" s="713">
        <v>464</v>
      </c>
      <c r="BU472" s="714"/>
      <c r="BV472" s="239"/>
      <c r="BW472" s="24"/>
      <c r="BY472" s="621">
        <v>464</v>
      </c>
      <c r="BZ472" s="711"/>
      <c r="CA472" s="712"/>
      <c r="CB472" s="713">
        <v>464</v>
      </c>
      <c r="CC472" s="714"/>
      <c r="CD472" s="239"/>
      <c r="CE472" s="24"/>
    </row>
    <row r="473" spans="5:83" ht="12" customHeight="1">
      <c r="E473" s="621">
        <v>465</v>
      </c>
      <c r="F473" s="711"/>
      <c r="G473" s="712"/>
      <c r="H473" s="713">
        <v>465</v>
      </c>
      <c r="I473" s="714"/>
      <c r="J473" s="239"/>
      <c r="K473" s="24"/>
      <c r="AI473" s="16" t="e">
        <f t="shared" si="69"/>
        <v>#N/A</v>
      </c>
      <c r="AJ473" s="16" t="str">
        <f t="shared" si="70"/>
        <v/>
      </c>
      <c r="AK473" s="16" t="str">
        <f t="shared" si="71"/>
        <v/>
      </c>
      <c r="AL473" s="16" t="e">
        <f>IF(AK473="",NA(),COUNTIF(AK$176:$AK473,AK473))</f>
        <v>#N/A</v>
      </c>
      <c r="AM473" s="16" t="e">
        <f t="shared" si="72"/>
        <v>#N/A</v>
      </c>
      <c r="AN473" s="16" t="e">
        <f t="shared" si="73"/>
        <v>#N/A</v>
      </c>
      <c r="AO473" s="16" t="str">
        <f t="shared" si="74"/>
        <v/>
      </c>
      <c r="AP473" s="16" t="str">
        <f t="shared" si="75"/>
        <v/>
      </c>
      <c r="AQ473" s="16" t="e">
        <f>IF(AP473="",NA(),COUNTIF(AP$176:$AP473,AP473))</f>
        <v>#N/A</v>
      </c>
      <c r="AR473" s="16" t="e">
        <f t="shared" si="76"/>
        <v>#N/A</v>
      </c>
      <c r="BI473" s="621">
        <v>465</v>
      </c>
      <c r="BJ473" s="711"/>
      <c r="BK473" s="712"/>
      <c r="BL473" s="713">
        <v>465</v>
      </c>
      <c r="BM473" s="714"/>
      <c r="BN473" s="239"/>
      <c r="BO473" s="24"/>
      <c r="BQ473" s="621">
        <v>465</v>
      </c>
      <c r="BR473" s="711"/>
      <c r="BS473" s="712"/>
      <c r="BT473" s="713">
        <v>465</v>
      </c>
      <c r="BU473" s="714"/>
      <c r="BV473" s="239"/>
      <c r="BW473" s="24"/>
      <c r="BY473" s="621">
        <v>465</v>
      </c>
      <c r="BZ473" s="711"/>
      <c r="CA473" s="712"/>
      <c r="CB473" s="713">
        <v>465</v>
      </c>
      <c r="CC473" s="714"/>
      <c r="CD473" s="239"/>
      <c r="CE473" s="24"/>
    </row>
    <row r="474" spans="5:83" ht="12" customHeight="1">
      <c r="E474" s="621">
        <v>466</v>
      </c>
      <c r="F474" s="711"/>
      <c r="G474" s="712"/>
      <c r="H474" s="713">
        <v>466</v>
      </c>
      <c r="I474" s="714"/>
      <c r="J474" s="239"/>
      <c r="K474" s="24"/>
      <c r="AI474" s="16" t="e">
        <f t="shared" si="69"/>
        <v>#N/A</v>
      </c>
      <c r="AJ474" s="16" t="str">
        <f t="shared" si="70"/>
        <v/>
      </c>
      <c r="AK474" s="16" t="str">
        <f t="shared" si="71"/>
        <v/>
      </c>
      <c r="AL474" s="16" t="e">
        <f>IF(AK474="",NA(),COUNTIF(AK$176:$AK474,AK474))</f>
        <v>#N/A</v>
      </c>
      <c r="AM474" s="16" t="e">
        <f t="shared" si="72"/>
        <v>#N/A</v>
      </c>
      <c r="AN474" s="16" t="e">
        <f t="shared" si="73"/>
        <v>#N/A</v>
      </c>
      <c r="AO474" s="16" t="str">
        <f t="shared" si="74"/>
        <v/>
      </c>
      <c r="AP474" s="16" t="str">
        <f t="shared" si="75"/>
        <v/>
      </c>
      <c r="AQ474" s="16" t="e">
        <f>IF(AP474="",NA(),COUNTIF(AP$176:$AP474,AP474))</f>
        <v>#N/A</v>
      </c>
      <c r="AR474" s="16" t="e">
        <f t="shared" si="76"/>
        <v>#N/A</v>
      </c>
      <c r="BI474" s="621">
        <v>466</v>
      </c>
      <c r="BJ474" s="711"/>
      <c r="BK474" s="712"/>
      <c r="BL474" s="713">
        <v>466</v>
      </c>
      <c r="BM474" s="714"/>
      <c r="BN474" s="239"/>
      <c r="BO474" s="24"/>
      <c r="BQ474" s="621">
        <v>466</v>
      </c>
      <c r="BR474" s="711"/>
      <c r="BS474" s="712"/>
      <c r="BT474" s="713">
        <v>466</v>
      </c>
      <c r="BU474" s="714"/>
      <c r="BV474" s="239"/>
      <c r="BW474" s="24"/>
      <c r="BY474" s="621">
        <v>466</v>
      </c>
      <c r="BZ474" s="711"/>
      <c r="CA474" s="712"/>
      <c r="CB474" s="713">
        <v>466</v>
      </c>
      <c r="CC474" s="714"/>
      <c r="CD474" s="239"/>
      <c r="CE474" s="24"/>
    </row>
    <row r="475" spans="5:83" ht="12" customHeight="1">
      <c r="E475" s="621">
        <v>467</v>
      </c>
      <c r="F475" s="711"/>
      <c r="G475" s="712"/>
      <c r="H475" s="713">
        <v>467</v>
      </c>
      <c r="I475" s="714"/>
      <c r="J475" s="239"/>
      <c r="K475" s="24"/>
      <c r="AI475" s="16" t="e">
        <f t="shared" si="69"/>
        <v>#N/A</v>
      </c>
      <c r="AJ475" s="16" t="str">
        <f t="shared" si="70"/>
        <v/>
      </c>
      <c r="AK475" s="16" t="str">
        <f t="shared" si="71"/>
        <v/>
      </c>
      <c r="AL475" s="16" t="e">
        <f>IF(AK475="",NA(),COUNTIF(AK$176:$AK475,AK475))</f>
        <v>#N/A</v>
      </c>
      <c r="AM475" s="16" t="e">
        <f t="shared" si="72"/>
        <v>#N/A</v>
      </c>
      <c r="AN475" s="16" t="e">
        <f t="shared" si="73"/>
        <v>#N/A</v>
      </c>
      <c r="AO475" s="16" t="str">
        <f t="shared" si="74"/>
        <v/>
      </c>
      <c r="AP475" s="16" t="str">
        <f t="shared" si="75"/>
        <v/>
      </c>
      <c r="AQ475" s="16" t="e">
        <f>IF(AP475="",NA(),COUNTIF(AP$176:$AP475,AP475))</f>
        <v>#N/A</v>
      </c>
      <c r="AR475" s="16" t="e">
        <f t="shared" si="76"/>
        <v>#N/A</v>
      </c>
      <c r="BI475" s="621">
        <v>467</v>
      </c>
      <c r="BJ475" s="711"/>
      <c r="BK475" s="712"/>
      <c r="BL475" s="713">
        <v>467</v>
      </c>
      <c r="BM475" s="714"/>
      <c r="BN475" s="239"/>
      <c r="BO475" s="24"/>
      <c r="BQ475" s="621">
        <v>467</v>
      </c>
      <c r="BR475" s="711"/>
      <c r="BS475" s="712"/>
      <c r="BT475" s="713">
        <v>467</v>
      </c>
      <c r="BU475" s="714"/>
      <c r="BV475" s="239"/>
      <c r="BW475" s="24"/>
      <c r="BY475" s="621">
        <v>467</v>
      </c>
      <c r="BZ475" s="711"/>
      <c r="CA475" s="712"/>
      <c r="CB475" s="713">
        <v>467</v>
      </c>
      <c r="CC475" s="714"/>
      <c r="CD475" s="239"/>
      <c r="CE475" s="24"/>
    </row>
    <row r="476" spans="5:83" ht="12" customHeight="1">
      <c r="E476" s="621">
        <v>468</v>
      </c>
      <c r="F476" s="711"/>
      <c r="G476" s="712"/>
      <c r="H476" s="713">
        <v>468</v>
      </c>
      <c r="I476" s="714"/>
      <c r="J476" s="239"/>
      <c r="K476" s="24"/>
      <c r="AI476" s="16" t="e">
        <f t="shared" si="69"/>
        <v>#N/A</v>
      </c>
      <c r="AJ476" s="16" t="str">
        <f t="shared" si="70"/>
        <v/>
      </c>
      <c r="AK476" s="16" t="str">
        <f t="shared" si="71"/>
        <v/>
      </c>
      <c r="AL476" s="16" t="e">
        <f>IF(AK476="",NA(),COUNTIF(AK$176:$AK476,AK476))</f>
        <v>#N/A</v>
      </c>
      <c r="AM476" s="16" t="e">
        <f t="shared" si="72"/>
        <v>#N/A</v>
      </c>
      <c r="AN476" s="16" t="e">
        <f t="shared" si="73"/>
        <v>#N/A</v>
      </c>
      <c r="AO476" s="16" t="str">
        <f t="shared" si="74"/>
        <v/>
      </c>
      <c r="AP476" s="16" t="str">
        <f t="shared" si="75"/>
        <v/>
      </c>
      <c r="AQ476" s="16" t="e">
        <f>IF(AP476="",NA(),COUNTIF(AP$176:$AP476,AP476))</f>
        <v>#N/A</v>
      </c>
      <c r="AR476" s="16" t="e">
        <f t="shared" si="76"/>
        <v>#N/A</v>
      </c>
      <c r="BI476" s="621">
        <v>468</v>
      </c>
      <c r="BJ476" s="711"/>
      <c r="BK476" s="712"/>
      <c r="BL476" s="713">
        <v>468</v>
      </c>
      <c r="BM476" s="714"/>
      <c r="BN476" s="239"/>
      <c r="BO476" s="24"/>
      <c r="BQ476" s="621">
        <v>468</v>
      </c>
      <c r="BR476" s="711"/>
      <c r="BS476" s="712"/>
      <c r="BT476" s="713">
        <v>468</v>
      </c>
      <c r="BU476" s="714"/>
      <c r="BV476" s="239"/>
      <c r="BW476" s="24"/>
      <c r="BY476" s="621">
        <v>468</v>
      </c>
      <c r="BZ476" s="711"/>
      <c r="CA476" s="712"/>
      <c r="CB476" s="713">
        <v>468</v>
      </c>
      <c r="CC476" s="714"/>
      <c r="CD476" s="239"/>
      <c r="CE476" s="24"/>
    </row>
    <row r="477" spans="5:83" ht="12" customHeight="1">
      <c r="E477" s="621">
        <v>469</v>
      </c>
      <c r="F477" s="711"/>
      <c r="G477" s="712"/>
      <c r="H477" s="713">
        <v>469</v>
      </c>
      <c r="I477" s="714"/>
      <c r="J477" s="239"/>
      <c r="K477" s="24"/>
      <c r="AI477" s="16" t="e">
        <f t="shared" si="69"/>
        <v>#N/A</v>
      </c>
      <c r="AJ477" s="16" t="str">
        <f t="shared" si="70"/>
        <v/>
      </c>
      <c r="AK477" s="16" t="str">
        <f t="shared" si="71"/>
        <v/>
      </c>
      <c r="AL477" s="16" t="e">
        <f>IF(AK477="",NA(),COUNTIF(AK$176:$AK477,AK477))</f>
        <v>#N/A</v>
      </c>
      <c r="AM477" s="16" t="e">
        <f t="shared" si="72"/>
        <v>#N/A</v>
      </c>
      <c r="AN477" s="16" t="e">
        <f t="shared" si="73"/>
        <v>#N/A</v>
      </c>
      <c r="AO477" s="16" t="str">
        <f t="shared" si="74"/>
        <v/>
      </c>
      <c r="AP477" s="16" t="str">
        <f t="shared" si="75"/>
        <v/>
      </c>
      <c r="AQ477" s="16" t="e">
        <f>IF(AP477="",NA(),COUNTIF(AP$176:$AP477,AP477))</f>
        <v>#N/A</v>
      </c>
      <c r="AR477" s="16" t="e">
        <f t="shared" si="76"/>
        <v>#N/A</v>
      </c>
      <c r="BI477" s="621">
        <v>469</v>
      </c>
      <c r="BJ477" s="711"/>
      <c r="BK477" s="712"/>
      <c r="BL477" s="713">
        <v>469</v>
      </c>
      <c r="BM477" s="714"/>
      <c r="BN477" s="239"/>
      <c r="BO477" s="24"/>
      <c r="BQ477" s="621">
        <v>469</v>
      </c>
      <c r="BR477" s="711"/>
      <c r="BS477" s="712"/>
      <c r="BT477" s="713">
        <v>469</v>
      </c>
      <c r="BU477" s="714"/>
      <c r="BV477" s="239"/>
      <c r="BW477" s="24"/>
      <c r="BY477" s="621">
        <v>469</v>
      </c>
      <c r="BZ477" s="711"/>
      <c r="CA477" s="712"/>
      <c r="CB477" s="713">
        <v>469</v>
      </c>
      <c r="CC477" s="714"/>
      <c r="CD477" s="239"/>
      <c r="CE477" s="24"/>
    </row>
    <row r="478" spans="5:83" ht="12" customHeight="1">
      <c r="E478" s="621">
        <v>470</v>
      </c>
      <c r="F478" s="711"/>
      <c r="G478" s="712"/>
      <c r="H478" s="713">
        <v>470</v>
      </c>
      <c r="I478" s="714"/>
      <c r="J478" s="239"/>
      <c r="K478" s="24"/>
      <c r="AI478" s="16" t="e">
        <f t="shared" si="69"/>
        <v>#N/A</v>
      </c>
      <c r="AJ478" s="16" t="str">
        <f t="shared" si="70"/>
        <v/>
      </c>
      <c r="AK478" s="16" t="str">
        <f t="shared" si="71"/>
        <v/>
      </c>
      <c r="AL478" s="16" t="e">
        <f>IF(AK478="",NA(),COUNTIF(AK$176:$AK478,AK478))</f>
        <v>#N/A</v>
      </c>
      <c r="AM478" s="16" t="e">
        <f t="shared" si="72"/>
        <v>#N/A</v>
      </c>
      <c r="AN478" s="16" t="e">
        <f t="shared" si="73"/>
        <v>#N/A</v>
      </c>
      <c r="AO478" s="16" t="str">
        <f t="shared" si="74"/>
        <v/>
      </c>
      <c r="AP478" s="16" t="str">
        <f t="shared" si="75"/>
        <v/>
      </c>
      <c r="AQ478" s="16" t="e">
        <f>IF(AP478="",NA(),COUNTIF(AP$176:$AP478,AP478))</f>
        <v>#N/A</v>
      </c>
      <c r="AR478" s="16" t="e">
        <f t="shared" si="76"/>
        <v>#N/A</v>
      </c>
      <c r="BI478" s="621">
        <v>470</v>
      </c>
      <c r="BJ478" s="711"/>
      <c r="BK478" s="712"/>
      <c r="BL478" s="713">
        <v>470</v>
      </c>
      <c r="BM478" s="714"/>
      <c r="BN478" s="239"/>
      <c r="BO478" s="24"/>
      <c r="BQ478" s="621">
        <v>470</v>
      </c>
      <c r="BR478" s="711"/>
      <c r="BS478" s="712"/>
      <c r="BT478" s="713">
        <v>470</v>
      </c>
      <c r="BU478" s="714"/>
      <c r="BV478" s="239"/>
      <c r="BW478" s="24"/>
      <c r="BY478" s="621">
        <v>470</v>
      </c>
      <c r="BZ478" s="711"/>
      <c r="CA478" s="712"/>
      <c r="CB478" s="713">
        <v>470</v>
      </c>
      <c r="CC478" s="714"/>
      <c r="CD478" s="239"/>
      <c r="CE478" s="24"/>
    </row>
    <row r="479" spans="5:83" ht="12" customHeight="1">
      <c r="E479" s="621">
        <v>471</v>
      </c>
      <c r="F479" s="711"/>
      <c r="G479" s="712"/>
      <c r="H479" s="713">
        <v>471</v>
      </c>
      <c r="I479" s="714"/>
      <c r="J479" s="239"/>
      <c r="K479" s="24"/>
      <c r="AI479" s="16" t="e">
        <f t="shared" si="69"/>
        <v>#N/A</v>
      </c>
      <c r="AJ479" s="16" t="str">
        <f t="shared" si="70"/>
        <v/>
      </c>
      <c r="AK479" s="16" t="str">
        <f t="shared" si="71"/>
        <v/>
      </c>
      <c r="AL479" s="16" t="e">
        <f>IF(AK479="",NA(),COUNTIF(AK$176:$AK479,AK479))</f>
        <v>#N/A</v>
      </c>
      <c r="AM479" s="16" t="e">
        <f t="shared" si="72"/>
        <v>#N/A</v>
      </c>
      <c r="AN479" s="16" t="e">
        <f t="shared" si="73"/>
        <v>#N/A</v>
      </c>
      <c r="AO479" s="16" t="str">
        <f t="shared" si="74"/>
        <v/>
      </c>
      <c r="AP479" s="16" t="str">
        <f t="shared" si="75"/>
        <v/>
      </c>
      <c r="AQ479" s="16" t="e">
        <f>IF(AP479="",NA(),COUNTIF(AP$176:$AP479,AP479))</f>
        <v>#N/A</v>
      </c>
      <c r="AR479" s="16" t="e">
        <f t="shared" si="76"/>
        <v>#N/A</v>
      </c>
      <c r="BI479" s="621">
        <v>471</v>
      </c>
      <c r="BJ479" s="711"/>
      <c r="BK479" s="712"/>
      <c r="BL479" s="713">
        <v>471</v>
      </c>
      <c r="BM479" s="714"/>
      <c r="BN479" s="239"/>
      <c r="BO479" s="24"/>
      <c r="BQ479" s="621">
        <v>471</v>
      </c>
      <c r="BR479" s="711"/>
      <c r="BS479" s="712"/>
      <c r="BT479" s="713">
        <v>471</v>
      </c>
      <c r="BU479" s="714"/>
      <c r="BV479" s="239"/>
      <c r="BW479" s="24"/>
      <c r="BY479" s="621">
        <v>471</v>
      </c>
      <c r="BZ479" s="711"/>
      <c r="CA479" s="712"/>
      <c r="CB479" s="713">
        <v>471</v>
      </c>
      <c r="CC479" s="714"/>
      <c r="CD479" s="239"/>
      <c r="CE479" s="24"/>
    </row>
    <row r="480" spans="5:83" ht="12" customHeight="1">
      <c r="E480" s="621">
        <v>472</v>
      </c>
      <c r="F480" s="711"/>
      <c r="G480" s="712"/>
      <c r="H480" s="713">
        <v>472</v>
      </c>
      <c r="I480" s="714"/>
      <c r="J480" s="239"/>
      <c r="K480" s="24"/>
      <c r="AI480" s="16" t="e">
        <f t="shared" si="69"/>
        <v>#N/A</v>
      </c>
      <c r="AJ480" s="16" t="str">
        <f t="shared" si="70"/>
        <v/>
      </c>
      <c r="AK480" s="16" t="str">
        <f t="shared" si="71"/>
        <v/>
      </c>
      <c r="AL480" s="16" t="e">
        <f>IF(AK480="",NA(),COUNTIF(AK$176:$AK480,AK480))</f>
        <v>#N/A</v>
      </c>
      <c r="AM480" s="16" t="e">
        <f t="shared" si="72"/>
        <v>#N/A</v>
      </c>
      <c r="AN480" s="16" t="e">
        <f t="shared" si="73"/>
        <v>#N/A</v>
      </c>
      <c r="AO480" s="16" t="str">
        <f t="shared" si="74"/>
        <v/>
      </c>
      <c r="AP480" s="16" t="str">
        <f t="shared" si="75"/>
        <v/>
      </c>
      <c r="AQ480" s="16" t="e">
        <f>IF(AP480="",NA(),COUNTIF(AP$176:$AP480,AP480))</f>
        <v>#N/A</v>
      </c>
      <c r="AR480" s="16" t="e">
        <f t="shared" si="76"/>
        <v>#N/A</v>
      </c>
      <c r="BI480" s="621">
        <v>472</v>
      </c>
      <c r="BJ480" s="711"/>
      <c r="BK480" s="712"/>
      <c r="BL480" s="713">
        <v>472</v>
      </c>
      <c r="BM480" s="714"/>
      <c r="BN480" s="239"/>
      <c r="BO480" s="24"/>
      <c r="BQ480" s="621">
        <v>472</v>
      </c>
      <c r="BR480" s="711"/>
      <c r="BS480" s="712"/>
      <c r="BT480" s="713">
        <v>472</v>
      </c>
      <c r="BU480" s="714"/>
      <c r="BV480" s="239"/>
      <c r="BW480" s="24"/>
      <c r="BY480" s="621">
        <v>472</v>
      </c>
      <c r="BZ480" s="711"/>
      <c r="CA480" s="712"/>
      <c r="CB480" s="713">
        <v>472</v>
      </c>
      <c r="CC480" s="714"/>
      <c r="CD480" s="239"/>
      <c r="CE480" s="24"/>
    </row>
    <row r="481" spans="5:83" ht="12" customHeight="1">
      <c r="E481" s="621">
        <v>473</v>
      </c>
      <c r="F481" s="711"/>
      <c r="G481" s="712"/>
      <c r="H481" s="713">
        <v>473</v>
      </c>
      <c r="I481" s="714"/>
      <c r="J481" s="239"/>
      <c r="K481" s="24"/>
      <c r="AI481" s="16" t="e">
        <f t="shared" si="69"/>
        <v>#N/A</v>
      </c>
      <c r="AJ481" s="16" t="str">
        <f t="shared" si="70"/>
        <v/>
      </c>
      <c r="AK481" s="16" t="str">
        <f t="shared" si="71"/>
        <v/>
      </c>
      <c r="AL481" s="16" t="e">
        <f>IF(AK481="",NA(),COUNTIF(AK$176:$AK481,AK481))</f>
        <v>#N/A</v>
      </c>
      <c r="AM481" s="16" t="e">
        <f t="shared" si="72"/>
        <v>#N/A</v>
      </c>
      <c r="AN481" s="16" t="e">
        <f t="shared" si="73"/>
        <v>#N/A</v>
      </c>
      <c r="AO481" s="16" t="str">
        <f t="shared" si="74"/>
        <v/>
      </c>
      <c r="AP481" s="16" t="str">
        <f t="shared" si="75"/>
        <v/>
      </c>
      <c r="AQ481" s="16" t="e">
        <f>IF(AP481="",NA(),COUNTIF(AP$176:$AP481,AP481))</f>
        <v>#N/A</v>
      </c>
      <c r="AR481" s="16" t="e">
        <f t="shared" si="76"/>
        <v>#N/A</v>
      </c>
      <c r="BI481" s="621">
        <v>473</v>
      </c>
      <c r="BJ481" s="711"/>
      <c r="BK481" s="712"/>
      <c r="BL481" s="713">
        <v>473</v>
      </c>
      <c r="BM481" s="714"/>
      <c r="BN481" s="239"/>
      <c r="BO481" s="24"/>
      <c r="BQ481" s="621">
        <v>473</v>
      </c>
      <c r="BR481" s="711"/>
      <c r="BS481" s="712"/>
      <c r="BT481" s="713">
        <v>473</v>
      </c>
      <c r="BU481" s="714"/>
      <c r="BV481" s="239"/>
      <c r="BW481" s="24"/>
      <c r="BY481" s="621">
        <v>473</v>
      </c>
      <c r="BZ481" s="711"/>
      <c r="CA481" s="712"/>
      <c r="CB481" s="713">
        <v>473</v>
      </c>
      <c r="CC481" s="714"/>
      <c r="CD481" s="239"/>
      <c r="CE481" s="24"/>
    </row>
    <row r="482" spans="5:83" ht="12" customHeight="1">
      <c r="E482" s="621">
        <v>474</v>
      </c>
      <c r="F482" s="711"/>
      <c r="G482" s="712"/>
      <c r="H482" s="713">
        <v>474</v>
      </c>
      <c r="I482" s="714"/>
      <c r="J482" s="239"/>
      <c r="K482" s="24"/>
      <c r="AI482" s="16" t="e">
        <f t="shared" si="69"/>
        <v>#N/A</v>
      </c>
      <c r="AJ482" s="16" t="str">
        <f t="shared" si="70"/>
        <v/>
      </c>
      <c r="AK482" s="16" t="str">
        <f t="shared" si="71"/>
        <v/>
      </c>
      <c r="AL482" s="16" t="e">
        <f>IF(AK482="",NA(),COUNTIF(AK$176:$AK482,AK482))</f>
        <v>#N/A</v>
      </c>
      <c r="AM482" s="16" t="e">
        <f t="shared" si="72"/>
        <v>#N/A</v>
      </c>
      <c r="AN482" s="16" t="e">
        <f t="shared" si="73"/>
        <v>#N/A</v>
      </c>
      <c r="AO482" s="16" t="str">
        <f t="shared" si="74"/>
        <v/>
      </c>
      <c r="AP482" s="16" t="str">
        <f t="shared" si="75"/>
        <v/>
      </c>
      <c r="AQ482" s="16" t="e">
        <f>IF(AP482="",NA(),COUNTIF(AP$176:$AP482,AP482))</f>
        <v>#N/A</v>
      </c>
      <c r="AR482" s="16" t="e">
        <f t="shared" si="76"/>
        <v>#N/A</v>
      </c>
      <c r="BI482" s="621">
        <v>474</v>
      </c>
      <c r="BJ482" s="711"/>
      <c r="BK482" s="712"/>
      <c r="BL482" s="713">
        <v>474</v>
      </c>
      <c r="BM482" s="714"/>
      <c r="BN482" s="239"/>
      <c r="BO482" s="24"/>
      <c r="BQ482" s="621">
        <v>474</v>
      </c>
      <c r="BR482" s="711"/>
      <c r="BS482" s="712"/>
      <c r="BT482" s="713">
        <v>474</v>
      </c>
      <c r="BU482" s="714"/>
      <c r="BV482" s="239"/>
      <c r="BW482" s="24"/>
      <c r="BY482" s="621">
        <v>474</v>
      </c>
      <c r="BZ482" s="711"/>
      <c r="CA482" s="712"/>
      <c r="CB482" s="713">
        <v>474</v>
      </c>
      <c r="CC482" s="714"/>
      <c r="CD482" s="239"/>
      <c r="CE482" s="24"/>
    </row>
    <row r="483" spans="5:83" ht="12" customHeight="1">
      <c r="E483" s="621">
        <v>475</v>
      </c>
      <c r="F483" s="711"/>
      <c r="G483" s="712"/>
      <c r="H483" s="713">
        <v>475</v>
      </c>
      <c r="I483" s="714"/>
      <c r="J483" s="239"/>
      <c r="K483" s="24"/>
      <c r="AI483" s="16" t="e">
        <f t="shared" si="69"/>
        <v>#N/A</v>
      </c>
      <c r="AJ483" s="16" t="str">
        <f t="shared" si="70"/>
        <v/>
      </c>
      <c r="AK483" s="16" t="str">
        <f t="shared" si="71"/>
        <v/>
      </c>
      <c r="AL483" s="16" t="e">
        <f>IF(AK483="",NA(),COUNTIF(AK$176:$AK483,AK483))</f>
        <v>#N/A</v>
      </c>
      <c r="AM483" s="16" t="e">
        <f t="shared" si="72"/>
        <v>#N/A</v>
      </c>
      <c r="AN483" s="16" t="e">
        <f t="shared" si="73"/>
        <v>#N/A</v>
      </c>
      <c r="AO483" s="16" t="str">
        <f t="shared" si="74"/>
        <v/>
      </c>
      <c r="AP483" s="16" t="str">
        <f t="shared" si="75"/>
        <v/>
      </c>
      <c r="AQ483" s="16" t="e">
        <f>IF(AP483="",NA(),COUNTIF(AP$176:$AP483,AP483))</f>
        <v>#N/A</v>
      </c>
      <c r="AR483" s="16" t="e">
        <f t="shared" si="76"/>
        <v>#N/A</v>
      </c>
      <c r="BI483" s="621">
        <v>475</v>
      </c>
      <c r="BJ483" s="711"/>
      <c r="BK483" s="712"/>
      <c r="BL483" s="713">
        <v>475</v>
      </c>
      <c r="BM483" s="714"/>
      <c r="BN483" s="239"/>
      <c r="BO483" s="24"/>
      <c r="BQ483" s="621">
        <v>475</v>
      </c>
      <c r="BR483" s="711"/>
      <c r="BS483" s="712"/>
      <c r="BT483" s="713">
        <v>475</v>
      </c>
      <c r="BU483" s="714"/>
      <c r="BV483" s="239"/>
      <c r="BW483" s="24"/>
      <c r="BY483" s="621">
        <v>475</v>
      </c>
      <c r="BZ483" s="711"/>
      <c r="CA483" s="712"/>
      <c r="CB483" s="713">
        <v>475</v>
      </c>
      <c r="CC483" s="714"/>
      <c r="CD483" s="239"/>
      <c r="CE483" s="24"/>
    </row>
    <row r="484" spans="5:83" ht="12" customHeight="1">
      <c r="E484" s="621">
        <v>476</v>
      </c>
      <c r="F484" s="711"/>
      <c r="G484" s="712"/>
      <c r="H484" s="713">
        <v>476</v>
      </c>
      <c r="I484" s="714"/>
      <c r="J484" s="239"/>
      <c r="K484" s="24"/>
      <c r="AI484" s="16" t="e">
        <f t="shared" si="69"/>
        <v>#N/A</v>
      </c>
      <c r="AJ484" s="16" t="str">
        <f t="shared" si="70"/>
        <v/>
      </c>
      <c r="AK484" s="16" t="str">
        <f t="shared" si="71"/>
        <v/>
      </c>
      <c r="AL484" s="16" t="e">
        <f>IF(AK484="",NA(),COUNTIF(AK$176:$AK484,AK484))</f>
        <v>#N/A</v>
      </c>
      <c r="AM484" s="16" t="e">
        <f t="shared" si="72"/>
        <v>#N/A</v>
      </c>
      <c r="AN484" s="16" t="e">
        <f t="shared" si="73"/>
        <v>#N/A</v>
      </c>
      <c r="AO484" s="16" t="str">
        <f t="shared" si="74"/>
        <v/>
      </c>
      <c r="AP484" s="16" t="str">
        <f t="shared" si="75"/>
        <v/>
      </c>
      <c r="AQ484" s="16" t="e">
        <f>IF(AP484="",NA(),COUNTIF(AP$176:$AP484,AP484))</f>
        <v>#N/A</v>
      </c>
      <c r="AR484" s="16" t="e">
        <f t="shared" si="76"/>
        <v>#N/A</v>
      </c>
      <c r="BI484" s="621">
        <v>476</v>
      </c>
      <c r="BJ484" s="711"/>
      <c r="BK484" s="712"/>
      <c r="BL484" s="713">
        <v>476</v>
      </c>
      <c r="BM484" s="714"/>
      <c r="BN484" s="239"/>
      <c r="BO484" s="24"/>
      <c r="BQ484" s="621">
        <v>476</v>
      </c>
      <c r="BR484" s="711"/>
      <c r="BS484" s="712"/>
      <c r="BT484" s="713">
        <v>476</v>
      </c>
      <c r="BU484" s="714"/>
      <c r="BV484" s="239"/>
      <c r="BW484" s="24"/>
      <c r="BY484" s="621">
        <v>476</v>
      </c>
      <c r="BZ484" s="711"/>
      <c r="CA484" s="712"/>
      <c r="CB484" s="713">
        <v>476</v>
      </c>
      <c r="CC484" s="714"/>
      <c r="CD484" s="239"/>
      <c r="CE484" s="24"/>
    </row>
    <row r="485" spans="5:83" ht="12" customHeight="1">
      <c r="E485" s="621">
        <v>477</v>
      </c>
      <c r="F485" s="711"/>
      <c r="G485" s="712"/>
      <c r="H485" s="713">
        <v>477</v>
      </c>
      <c r="I485" s="714"/>
      <c r="J485" s="239"/>
      <c r="K485" s="24"/>
      <c r="AI485" s="16" t="e">
        <f t="shared" si="69"/>
        <v>#N/A</v>
      </c>
      <c r="AJ485" s="16" t="str">
        <f t="shared" si="70"/>
        <v/>
      </c>
      <c r="AK485" s="16" t="str">
        <f t="shared" si="71"/>
        <v/>
      </c>
      <c r="AL485" s="16" t="e">
        <f>IF(AK485="",NA(),COUNTIF(AK$176:$AK485,AK485))</f>
        <v>#N/A</v>
      </c>
      <c r="AM485" s="16" t="e">
        <f t="shared" si="72"/>
        <v>#N/A</v>
      </c>
      <c r="AN485" s="16" t="e">
        <f t="shared" si="73"/>
        <v>#N/A</v>
      </c>
      <c r="AO485" s="16" t="str">
        <f t="shared" si="74"/>
        <v/>
      </c>
      <c r="AP485" s="16" t="str">
        <f t="shared" si="75"/>
        <v/>
      </c>
      <c r="AQ485" s="16" t="e">
        <f>IF(AP485="",NA(),COUNTIF(AP$176:$AP485,AP485))</f>
        <v>#N/A</v>
      </c>
      <c r="AR485" s="16" t="e">
        <f t="shared" si="76"/>
        <v>#N/A</v>
      </c>
      <c r="BI485" s="621">
        <v>477</v>
      </c>
      <c r="BJ485" s="711"/>
      <c r="BK485" s="712"/>
      <c r="BL485" s="713">
        <v>477</v>
      </c>
      <c r="BM485" s="714"/>
      <c r="BN485" s="239"/>
      <c r="BO485" s="24"/>
      <c r="BQ485" s="621">
        <v>477</v>
      </c>
      <c r="BR485" s="711"/>
      <c r="BS485" s="712"/>
      <c r="BT485" s="713">
        <v>477</v>
      </c>
      <c r="BU485" s="714"/>
      <c r="BV485" s="239"/>
      <c r="BW485" s="24"/>
      <c r="BY485" s="621">
        <v>477</v>
      </c>
      <c r="BZ485" s="711"/>
      <c r="CA485" s="712"/>
      <c r="CB485" s="713">
        <v>477</v>
      </c>
      <c r="CC485" s="714"/>
      <c r="CD485" s="239"/>
      <c r="CE485" s="24"/>
    </row>
    <row r="486" spans="5:83" ht="12" customHeight="1">
      <c r="E486" s="621">
        <v>478</v>
      </c>
      <c r="F486" s="711"/>
      <c r="G486" s="712"/>
      <c r="H486" s="713">
        <v>478</v>
      </c>
      <c r="I486" s="714"/>
      <c r="J486" s="239"/>
      <c r="K486" s="24"/>
      <c r="AI486" s="16" t="e">
        <f t="shared" si="69"/>
        <v>#N/A</v>
      </c>
      <c r="AJ486" s="16" t="str">
        <f t="shared" si="70"/>
        <v/>
      </c>
      <c r="AK486" s="16" t="str">
        <f t="shared" si="71"/>
        <v/>
      </c>
      <c r="AL486" s="16" t="e">
        <f>IF(AK486="",NA(),COUNTIF(AK$176:$AK486,AK486))</f>
        <v>#N/A</v>
      </c>
      <c r="AM486" s="16" t="e">
        <f t="shared" si="72"/>
        <v>#N/A</v>
      </c>
      <c r="AN486" s="16" t="e">
        <f t="shared" si="73"/>
        <v>#N/A</v>
      </c>
      <c r="AO486" s="16" t="str">
        <f t="shared" si="74"/>
        <v/>
      </c>
      <c r="AP486" s="16" t="str">
        <f t="shared" si="75"/>
        <v/>
      </c>
      <c r="AQ486" s="16" t="e">
        <f>IF(AP486="",NA(),COUNTIF(AP$176:$AP486,AP486))</f>
        <v>#N/A</v>
      </c>
      <c r="AR486" s="16" t="e">
        <f t="shared" si="76"/>
        <v>#N/A</v>
      </c>
      <c r="BI486" s="621">
        <v>478</v>
      </c>
      <c r="BJ486" s="711"/>
      <c r="BK486" s="712"/>
      <c r="BL486" s="713">
        <v>478</v>
      </c>
      <c r="BM486" s="714"/>
      <c r="BN486" s="239"/>
      <c r="BO486" s="24"/>
      <c r="BQ486" s="621">
        <v>478</v>
      </c>
      <c r="BR486" s="711"/>
      <c r="BS486" s="712"/>
      <c r="BT486" s="713">
        <v>478</v>
      </c>
      <c r="BU486" s="714"/>
      <c r="BV486" s="239"/>
      <c r="BW486" s="24"/>
      <c r="BY486" s="621">
        <v>478</v>
      </c>
      <c r="BZ486" s="711"/>
      <c r="CA486" s="712"/>
      <c r="CB486" s="713">
        <v>478</v>
      </c>
      <c r="CC486" s="714"/>
      <c r="CD486" s="239"/>
      <c r="CE486" s="24"/>
    </row>
    <row r="487" spans="5:83" ht="12" customHeight="1">
      <c r="E487" s="621">
        <v>479</v>
      </c>
      <c r="F487" s="711"/>
      <c r="G487" s="712"/>
      <c r="H487" s="713">
        <v>479</v>
      </c>
      <c r="I487" s="714"/>
      <c r="J487" s="239"/>
      <c r="K487" s="24"/>
      <c r="AI487" s="16" t="e">
        <f t="shared" si="69"/>
        <v>#N/A</v>
      </c>
      <c r="AJ487" s="16" t="str">
        <f t="shared" si="70"/>
        <v/>
      </c>
      <c r="AK487" s="16" t="str">
        <f t="shared" si="71"/>
        <v/>
      </c>
      <c r="AL487" s="16" t="e">
        <f>IF(AK487="",NA(),COUNTIF(AK$176:$AK487,AK487))</f>
        <v>#N/A</v>
      </c>
      <c r="AM487" s="16" t="e">
        <f t="shared" si="72"/>
        <v>#N/A</v>
      </c>
      <c r="AN487" s="16" t="e">
        <f t="shared" si="73"/>
        <v>#N/A</v>
      </c>
      <c r="AO487" s="16" t="str">
        <f t="shared" si="74"/>
        <v/>
      </c>
      <c r="AP487" s="16" t="str">
        <f t="shared" si="75"/>
        <v/>
      </c>
      <c r="AQ487" s="16" t="e">
        <f>IF(AP487="",NA(),COUNTIF(AP$176:$AP487,AP487))</f>
        <v>#N/A</v>
      </c>
      <c r="AR487" s="16" t="e">
        <f t="shared" si="76"/>
        <v>#N/A</v>
      </c>
      <c r="BI487" s="621">
        <v>479</v>
      </c>
      <c r="BJ487" s="711"/>
      <c r="BK487" s="712"/>
      <c r="BL487" s="713">
        <v>479</v>
      </c>
      <c r="BM487" s="714"/>
      <c r="BN487" s="239"/>
      <c r="BO487" s="24"/>
      <c r="BQ487" s="621">
        <v>479</v>
      </c>
      <c r="BR487" s="711"/>
      <c r="BS487" s="712"/>
      <c r="BT487" s="713">
        <v>479</v>
      </c>
      <c r="BU487" s="714"/>
      <c r="BV487" s="239"/>
      <c r="BW487" s="24"/>
      <c r="BY487" s="621">
        <v>479</v>
      </c>
      <c r="BZ487" s="711"/>
      <c r="CA487" s="712"/>
      <c r="CB487" s="713">
        <v>479</v>
      </c>
      <c r="CC487" s="714"/>
      <c r="CD487" s="239"/>
      <c r="CE487" s="24"/>
    </row>
    <row r="488" spans="5:83" ht="12" customHeight="1">
      <c r="E488" s="621">
        <v>480</v>
      </c>
      <c r="F488" s="711"/>
      <c r="G488" s="712"/>
      <c r="H488" s="713">
        <v>480</v>
      </c>
      <c r="I488" s="714"/>
      <c r="J488" s="239"/>
      <c r="K488" s="24"/>
      <c r="AI488" s="16" t="e">
        <f t="shared" si="69"/>
        <v>#N/A</v>
      </c>
      <c r="AJ488" s="16" t="str">
        <f t="shared" si="70"/>
        <v/>
      </c>
      <c r="AK488" s="16" t="str">
        <f t="shared" si="71"/>
        <v/>
      </c>
      <c r="AL488" s="16" t="e">
        <f>IF(AK488="",NA(),COUNTIF(AK$176:$AK488,AK488))</f>
        <v>#N/A</v>
      </c>
      <c r="AM488" s="16" t="e">
        <f t="shared" si="72"/>
        <v>#N/A</v>
      </c>
      <c r="AN488" s="16" t="e">
        <f t="shared" si="73"/>
        <v>#N/A</v>
      </c>
      <c r="AO488" s="16" t="str">
        <f t="shared" si="74"/>
        <v/>
      </c>
      <c r="AP488" s="16" t="str">
        <f t="shared" si="75"/>
        <v/>
      </c>
      <c r="AQ488" s="16" t="e">
        <f>IF(AP488="",NA(),COUNTIF(AP$176:$AP488,AP488))</f>
        <v>#N/A</v>
      </c>
      <c r="AR488" s="16" t="e">
        <f t="shared" si="76"/>
        <v>#N/A</v>
      </c>
      <c r="BI488" s="621">
        <v>480</v>
      </c>
      <c r="BJ488" s="711"/>
      <c r="BK488" s="712"/>
      <c r="BL488" s="713">
        <v>480</v>
      </c>
      <c r="BM488" s="714"/>
      <c r="BN488" s="239"/>
      <c r="BO488" s="24"/>
      <c r="BQ488" s="621">
        <v>480</v>
      </c>
      <c r="BR488" s="711"/>
      <c r="BS488" s="712"/>
      <c r="BT488" s="713">
        <v>480</v>
      </c>
      <c r="BU488" s="714"/>
      <c r="BV488" s="239"/>
      <c r="BW488" s="24"/>
      <c r="BY488" s="621">
        <v>480</v>
      </c>
      <c r="BZ488" s="711"/>
      <c r="CA488" s="712"/>
      <c r="CB488" s="713">
        <v>480</v>
      </c>
      <c r="CC488" s="714"/>
      <c r="CD488" s="239"/>
      <c r="CE488" s="24"/>
    </row>
    <row r="489" spans="5:83" ht="12" customHeight="1">
      <c r="E489" s="621">
        <v>481</v>
      </c>
      <c r="F489" s="711"/>
      <c r="G489" s="712"/>
      <c r="H489" s="713">
        <v>481</v>
      </c>
      <c r="I489" s="714"/>
      <c r="J489" s="239"/>
      <c r="K489" s="24"/>
      <c r="AI489" s="16" t="e">
        <f t="shared" si="69"/>
        <v>#N/A</v>
      </c>
      <c r="AJ489" s="16" t="str">
        <f t="shared" si="70"/>
        <v/>
      </c>
      <c r="AK489" s="16" t="str">
        <f t="shared" si="71"/>
        <v/>
      </c>
      <c r="AL489" s="16" t="e">
        <f>IF(AK489="",NA(),COUNTIF(AK$176:$AK489,AK489))</f>
        <v>#N/A</v>
      </c>
      <c r="AM489" s="16" t="e">
        <f t="shared" si="72"/>
        <v>#N/A</v>
      </c>
      <c r="AN489" s="16" t="e">
        <f t="shared" si="73"/>
        <v>#N/A</v>
      </c>
      <c r="AO489" s="16" t="str">
        <f t="shared" si="74"/>
        <v/>
      </c>
      <c r="AP489" s="16" t="str">
        <f t="shared" si="75"/>
        <v/>
      </c>
      <c r="AQ489" s="16" t="e">
        <f>IF(AP489="",NA(),COUNTIF(AP$176:$AP489,AP489))</f>
        <v>#N/A</v>
      </c>
      <c r="AR489" s="16" t="e">
        <f t="shared" si="76"/>
        <v>#N/A</v>
      </c>
      <c r="BI489" s="621">
        <v>481</v>
      </c>
      <c r="BJ489" s="711"/>
      <c r="BK489" s="712"/>
      <c r="BL489" s="713">
        <v>481</v>
      </c>
      <c r="BM489" s="714"/>
      <c r="BN489" s="239"/>
      <c r="BO489" s="24"/>
      <c r="BQ489" s="621">
        <v>481</v>
      </c>
      <c r="BR489" s="711"/>
      <c r="BS489" s="712"/>
      <c r="BT489" s="713">
        <v>481</v>
      </c>
      <c r="BU489" s="714"/>
      <c r="BV489" s="239"/>
      <c r="BW489" s="24"/>
      <c r="BY489" s="621">
        <v>481</v>
      </c>
      <c r="BZ489" s="711"/>
      <c r="CA489" s="712"/>
      <c r="CB489" s="713">
        <v>481</v>
      </c>
      <c r="CC489" s="714"/>
      <c r="CD489" s="239"/>
      <c r="CE489" s="24"/>
    </row>
    <row r="490" spans="5:83" ht="12" customHeight="1">
      <c r="E490" s="621">
        <v>482</v>
      </c>
      <c r="F490" s="711"/>
      <c r="G490" s="712"/>
      <c r="H490" s="713">
        <v>482</v>
      </c>
      <c r="I490" s="714"/>
      <c r="J490" s="239"/>
      <c r="K490" s="24"/>
      <c r="AI490" s="16" t="e">
        <f t="shared" si="69"/>
        <v>#N/A</v>
      </c>
      <c r="AJ490" s="16" t="str">
        <f t="shared" si="70"/>
        <v/>
      </c>
      <c r="AK490" s="16" t="str">
        <f t="shared" si="71"/>
        <v/>
      </c>
      <c r="AL490" s="16" t="e">
        <f>IF(AK490="",NA(),COUNTIF(AK$176:$AK490,AK490))</f>
        <v>#N/A</v>
      </c>
      <c r="AM490" s="16" t="e">
        <f t="shared" si="72"/>
        <v>#N/A</v>
      </c>
      <c r="AN490" s="16" t="e">
        <f t="shared" si="73"/>
        <v>#N/A</v>
      </c>
      <c r="AO490" s="16" t="str">
        <f t="shared" si="74"/>
        <v/>
      </c>
      <c r="AP490" s="16" t="str">
        <f t="shared" si="75"/>
        <v/>
      </c>
      <c r="AQ490" s="16" t="e">
        <f>IF(AP490="",NA(),COUNTIF(AP$176:$AP490,AP490))</f>
        <v>#N/A</v>
      </c>
      <c r="AR490" s="16" t="e">
        <f t="shared" si="76"/>
        <v>#N/A</v>
      </c>
      <c r="BI490" s="621">
        <v>482</v>
      </c>
      <c r="BJ490" s="711"/>
      <c r="BK490" s="712"/>
      <c r="BL490" s="713">
        <v>482</v>
      </c>
      <c r="BM490" s="714"/>
      <c r="BN490" s="239"/>
      <c r="BO490" s="24"/>
      <c r="BQ490" s="621">
        <v>482</v>
      </c>
      <c r="BR490" s="711"/>
      <c r="BS490" s="712"/>
      <c r="BT490" s="713">
        <v>482</v>
      </c>
      <c r="BU490" s="714"/>
      <c r="BV490" s="239"/>
      <c r="BW490" s="24"/>
      <c r="BY490" s="621">
        <v>482</v>
      </c>
      <c r="BZ490" s="711"/>
      <c r="CA490" s="712"/>
      <c r="CB490" s="713">
        <v>482</v>
      </c>
      <c r="CC490" s="714"/>
      <c r="CD490" s="239"/>
      <c r="CE490" s="24"/>
    </row>
    <row r="491" spans="5:83" ht="12" customHeight="1">
      <c r="E491" s="621">
        <v>483</v>
      </c>
      <c r="F491" s="711"/>
      <c r="G491" s="712"/>
      <c r="H491" s="713">
        <v>483</v>
      </c>
      <c r="I491" s="714"/>
      <c r="J491" s="239"/>
      <c r="K491" s="24"/>
      <c r="AI491" s="16" t="e">
        <f t="shared" si="69"/>
        <v>#N/A</v>
      </c>
      <c r="AJ491" s="16" t="str">
        <f t="shared" si="70"/>
        <v/>
      </c>
      <c r="AK491" s="16" t="str">
        <f t="shared" si="71"/>
        <v/>
      </c>
      <c r="AL491" s="16" t="e">
        <f>IF(AK491="",NA(),COUNTIF(AK$176:$AK491,AK491))</f>
        <v>#N/A</v>
      </c>
      <c r="AM491" s="16" t="e">
        <f t="shared" si="72"/>
        <v>#N/A</v>
      </c>
      <c r="AN491" s="16" t="e">
        <f t="shared" si="73"/>
        <v>#N/A</v>
      </c>
      <c r="AO491" s="16" t="str">
        <f t="shared" si="74"/>
        <v/>
      </c>
      <c r="AP491" s="16" t="str">
        <f t="shared" si="75"/>
        <v/>
      </c>
      <c r="AQ491" s="16" t="e">
        <f>IF(AP491="",NA(),COUNTIF(AP$176:$AP491,AP491))</f>
        <v>#N/A</v>
      </c>
      <c r="AR491" s="16" t="e">
        <f t="shared" si="76"/>
        <v>#N/A</v>
      </c>
      <c r="BI491" s="621">
        <v>483</v>
      </c>
      <c r="BJ491" s="711"/>
      <c r="BK491" s="712"/>
      <c r="BL491" s="713">
        <v>483</v>
      </c>
      <c r="BM491" s="714"/>
      <c r="BN491" s="239"/>
      <c r="BO491" s="24"/>
      <c r="BQ491" s="621">
        <v>483</v>
      </c>
      <c r="BR491" s="711"/>
      <c r="BS491" s="712"/>
      <c r="BT491" s="713">
        <v>483</v>
      </c>
      <c r="BU491" s="714"/>
      <c r="BV491" s="239"/>
      <c r="BW491" s="24"/>
      <c r="BY491" s="621">
        <v>483</v>
      </c>
      <c r="BZ491" s="711"/>
      <c r="CA491" s="712"/>
      <c r="CB491" s="713">
        <v>483</v>
      </c>
      <c r="CC491" s="714"/>
      <c r="CD491" s="239"/>
      <c r="CE491" s="24"/>
    </row>
    <row r="492" spans="5:83" ht="12" customHeight="1">
      <c r="E492" s="621">
        <v>484</v>
      </c>
      <c r="F492" s="711"/>
      <c r="G492" s="712"/>
      <c r="H492" s="713">
        <v>484</v>
      </c>
      <c r="I492" s="714"/>
      <c r="J492" s="239"/>
      <c r="K492" s="24"/>
      <c r="AI492" s="16" t="e">
        <f t="shared" si="69"/>
        <v>#N/A</v>
      </c>
      <c r="AJ492" s="16" t="str">
        <f t="shared" si="70"/>
        <v/>
      </c>
      <c r="AK492" s="16" t="str">
        <f t="shared" si="71"/>
        <v/>
      </c>
      <c r="AL492" s="16" t="e">
        <f>IF(AK492="",NA(),COUNTIF(AK$176:$AK492,AK492))</f>
        <v>#N/A</v>
      </c>
      <c r="AM492" s="16" t="e">
        <f t="shared" si="72"/>
        <v>#N/A</v>
      </c>
      <c r="AN492" s="16" t="e">
        <f t="shared" si="73"/>
        <v>#N/A</v>
      </c>
      <c r="AO492" s="16" t="str">
        <f t="shared" si="74"/>
        <v/>
      </c>
      <c r="AP492" s="16" t="str">
        <f t="shared" si="75"/>
        <v/>
      </c>
      <c r="AQ492" s="16" t="e">
        <f>IF(AP492="",NA(),COUNTIF(AP$176:$AP492,AP492))</f>
        <v>#N/A</v>
      </c>
      <c r="AR492" s="16" t="e">
        <f t="shared" si="76"/>
        <v>#N/A</v>
      </c>
      <c r="BI492" s="621">
        <v>484</v>
      </c>
      <c r="BJ492" s="711"/>
      <c r="BK492" s="712"/>
      <c r="BL492" s="713">
        <v>484</v>
      </c>
      <c r="BM492" s="714"/>
      <c r="BN492" s="239"/>
      <c r="BO492" s="24"/>
      <c r="BQ492" s="621">
        <v>484</v>
      </c>
      <c r="BR492" s="711"/>
      <c r="BS492" s="712"/>
      <c r="BT492" s="713">
        <v>484</v>
      </c>
      <c r="BU492" s="714"/>
      <c r="BV492" s="239"/>
      <c r="BW492" s="24"/>
      <c r="BY492" s="621">
        <v>484</v>
      </c>
      <c r="BZ492" s="711"/>
      <c r="CA492" s="712"/>
      <c r="CB492" s="713">
        <v>484</v>
      </c>
      <c r="CC492" s="714"/>
      <c r="CD492" s="239"/>
      <c r="CE492" s="24"/>
    </row>
    <row r="493" spans="5:83" ht="12" customHeight="1">
      <c r="E493" s="621">
        <v>485</v>
      </c>
      <c r="F493" s="711"/>
      <c r="G493" s="712"/>
      <c r="H493" s="713">
        <v>485</v>
      </c>
      <c r="I493" s="714"/>
      <c r="J493" s="239"/>
      <c r="K493" s="24"/>
      <c r="AI493" s="16" t="e">
        <f t="shared" si="69"/>
        <v>#N/A</v>
      </c>
      <c r="AJ493" s="16" t="str">
        <f t="shared" si="70"/>
        <v/>
      </c>
      <c r="AK493" s="16" t="str">
        <f t="shared" si="71"/>
        <v/>
      </c>
      <c r="AL493" s="16" t="e">
        <f>IF(AK493="",NA(),COUNTIF(AK$176:$AK493,AK493))</f>
        <v>#N/A</v>
      </c>
      <c r="AM493" s="16" t="e">
        <f t="shared" si="72"/>
        <v>#N/A</v>
      </c>
      <c r="AN493" s="16" t="e">
        <f t="shared" si="73"/>
        <v>#N/A</v>
      </c>
      <c r="AO493" s="16" t="str">
        <f t="shared" si="74"/>
        <v/>
      </c>
      <c r="AP493" s="16" t="str">
        <f t="shared" si="75"/>
        <v/>
      </c>
      <c r="AQ493" s="16" t="e">
        <f>IF(AP493="",NA(),COUNTIF(AP$176:$AP493,AP493))</f>
        <v>#N/A</v>
      </c>
      <c r="AR493" s="16" t="e">
        <f t="shared" si="76"/>
        <v>#N/A</v>
      </c>
      <c r="BI493" s="621">
        <v>485</v>
      </c>
      <c r="BJ493" s="711"/>
      <c r="BK493" s="712"/>
      <c r="BL493" s="713">
        <v>485</v>
      </c>
      <c r="BM493" s="714"/>
      <c r="BN493" s="239"/>
      <c r="BO493" s="24"/>
      <c r="BQ493" s="621">
        <v>485</v>
      </c>
      <c r="BR493" s="711"/>
      <c r="BS493" s="712"/>
      <c r="BT493" s="713">
        <v>485</v>
      </c>
      <c r="BU493" s="714"/>
      <c r="BV493" s="239"/>
      <c r="BW493" s="24"/>
      <c r="BY493" s="621">
        <v>485</v>
      </c>
      <c r="BZ493" s="711"/>
      <c r="CA493" s="712"/>
      <c r="CB493" s="713">
        <v>485</v>
      </c>
      <c r="CC493" s="714"/>
      <c r="CD493" s="239"/>
      <c r="CE493" s="24"/>
    </row>
    <row r="494" spans="5:83" ht="12" customHeight="1">
      <c r="E494" s="621">
        <v>486</v>
      </c>
      <c r="F494" s="711"/>
      <c r="G494" s="712"/>
      <c r="H494" s="713">
        <v>486</v>
      </c>
      <c r="I494" s="714"/>
      <c r="J494" s="239"/>
      <c r="K494" s="24"/>
      <c r="AI494" s="16" t="e">
        <f t="shared" si="69"/>
        <v>#N/A</v>
      </c>
      <c r="AJ494" s="16" t="str">
        <f t="shared" si="70"/>
        <v/>
      </c>
      <c r="AK494" s="16" t="str">
        <f t="shared" si="71"/>
        <v/>
      </c>
      <c r="AL494" s="16" t="e">
        <f>IF(AK494="",NA(),COUNTIF(AK$176:$AK494,AK494))</f>
        <v>#N/A</v>
      </c>
      <c r="AM494" s="16" t="e">
        <f t="shared" si="72"/>
        <v>#N/A</v>
      </c>
      <c r="AN494" s="16" t="e">
        <f t="shared" si="73"/>
        <v>#N/A</v>
      </c>
      <c r="AO494" s="16" t="str">
        <f t="shared" si="74"/>
        <v/>
      </c>
      <c r="AP494" s="16" t="str">
        <f t="shared" si="75"/>
        <v/>
      </c>
      <c r="AQ494" s="16" t="e">
        <f>IF(AP494="",NA(),COUNTIF(AP$176:$AP494,AP494))</f>
        <v>#N/A</v>
      </c>
      <c r="AR494" s="16" t="e">
        <f t="shared" si="76"/>
        <v>#N/A</v>
      </c>
      <c r="BI494" s="621">
        <v>486</v>
      </c>
      <c r="BJ494" s="711"/>
      <c r="BK494" s="712"/>
      <c r="BL494" s="713">
        <v>486</v>
      </c>
      <c r="BM494" s="714"/>
      <c r="BN494" s="239"/>
      <c r="BO494" s="24"/>
      <c r="BQ494" s="621">
        <v>486</v>
      </c>
      <c r="BR494" s="711"/>
      <c r="BS494" s="712"/>
      <c r="BT494" s="713">
        <v>486</v>
      </c>
      <c r="BU494" s="714"/>
      <c r="BV494" s="239"/>
      <c r="BW494" s="24"/>
      <c r="BY494" s="621">
        <v>486</v>
      </c>
      <c r="BZ494" s="711"/>
      <c r="CA494" s="712"/>
      <c r="CB494" s="713">
        <v>486</v>
      </c>
      <c r="CC494" s="714"/>
      <c r="CD494" s="239"/>
      <c r="CE494" s="24"/>
    </row>
    <row r="495" spans="5:83" ht="12" customHeight="1">
      <c r="E495" s="621">
        <v>487</v>
      </c>
      <c r="F495" s="711"/>
      <c r="G495" s="712"/>
      <c r="H495" s="713">
        <v>487</v>
      </c>
      <c r="I495" s="714"/>
      <c r="J495" s="239"/>
      <c r="K495" s="24"/>
      <c r="AI495" s="16" t="e">
        <f t="shared" si="69"/>
        <v>#N/A</v>
      </c>
      <c r="AJ495" s="16" t="str">
        <f t="shared" si="70"/>
        <v/>
      </c>
      <c r="AK495" s="16" t="str">
        <f t="shared" si="71"/>
        <v/>
      </c>
      <c r="AL495" s="16" t="e">
        <f>IF(AK495="",NA(),COUNTIF(AK$176:$AK495,AK495))</f>
        <v>#N/A</v>
      </c>
      <c r="AM495" s="16" t="e">
        <f t="shared" si="72"/>
        <v>#N/A</v>
      </c>
      <c r="AN495" s="16" t="e">
        <f t="shared" si="73"/>
        <v>#N/A</v>
      </c>
      <c r="AO495" s="16" t="str">
        <f t="shared" si="74"/>
        <v/>
      </c>
      <c r="AP495" s="16" t="str">
        <f t="shared" si="75"/>
        <v/>
      </c>
      <c r="AQ495" s="16" t="e">
        <f>IF(AP495="",NA(),COUNTIF(AP$176:$AP495,AP495))</f>
        <v>#N/A</v>
      </c>
      <c r="AR495" s="16" t="e">
        <f t="shared" si="76"/>
        <v>#N/A</v>
      </c>
      <c r="BI495" s="621">
        <v>487</v>
      </c>
      <c r="BJ495" s="711"/>
      <c r="BK495" s="712"/>
      <c r="BL495" s="713">
        <v>487</v>
      </c>
      <c r="BM495" s="714"/>
      <c r="BN495" s="239"/>
      <c r="BO495" s="24"/>
      <c r="BQ495" s="621">
        <v>487</v>
      </c>
      <c r="BR495" s="711"/>
      <c r="BS495" s="712"/>
      <c r="BT495" s="713">
        <v>487</v>
      </c>
      <c r="BU495" s="714"/>
      <c r="BV495" s="239"/>
      <c r="BW495" s="24"/>
      <c r="BY495" s="621">
        <v>487</v>
      </c>
      <c r="BZ495" s="711"/>
      <c r="CA495" s="712"/>
      <c r="CB495" s="713">
        <v>487</v>
      </c>
      <c r="CC495" s="714"/>
      <c r="CD495" s="239"/>
      <c r="CE495" s="24"/>
    </row>
    <row r="496" spans="5:83" ht="12" customHeight="1">
      <c r="E496" s="621">
        <v>488</v>
      </c>
      <c r="F496" s="711"/>
      <c r="G496" s="712"/>
      <c r="H496" s="713">
        <v>488</v>
      </c>
      <c r="I496" s="714"/>
      <c r="J496" s="239"/>
      <c r="K496" s="24"/>
      <c r="AI496" s="16" t="e">
        <f t="shared" si="69"/>
        <v>#N/A</v>
      </c>
      <c r="AJ496" s="16" t="str">
        <f t="shared" si="70"/>
        <v/>
      </c>
      <c r="AK496" s="16" t="str">
        <f t="shared" si="71"/>
        <v/>
      </c>
      <c r="AL496" s="16" t="e">
        <f>IF(AK496="",NA(),COUNTIF(AK$176:$AK496,AK496))</f>
        <v>#N/A</v>
      </c>
      <c r="AM496" s="16" t="e">
        <f t="shared" si="72"/>
        <v>#N/A</v>
      </c>
      <c r="AN496" s="16" t="e">
        <f t="shared" si="73"/>
        <v>#N/A</v>
      </c>
      <c r="AO496" s="16" t="str">
        <f t="shared" si="74"/>
        <v/>
      </c>
      <c r="AP496" s="16" t="str">
        <f t="shared" si="75"/>
        <v/>
      </c>
      <c r="AQ496" s="16" t="e">
        <f>IF(AP496="",NA(),COUNTIF(AP$176:$AP496,AP496))</f>
        <v>#N/A</v>
      </c>
      <c r="AR496" s="16" t="e">
        <f t="shared" si="76"/>
        <v>#N/A</v>
      </c>
      <c r="BI496" s="621">
        <v>488</v>
      </c>
      <c r="BJ496" s="711"/>
      <c r="BK496" s="712"/>
      <c r="BL496" s="713">
        <v>488</v>
      </c>
      <c r="BM496" s="714"/>
      <c r="BN496" s="239"/>
      <c r="BO496" s="24"/>
      <c r="BQ496" s="621">
        <v>488</v>
      </c>
      <c r="BR496" s="711"/>
      <c r="BS496" s="712"/>
      <c r="BT496" s="713">
        <v>488</v>
      </c>
      <c r="BU496" s="714"/>
      <c r="BV496" s="239"/>
      <c r="BW496" s="24"/>
      <c r="BY496" s="621">
        <v>488</v>
      </c>
      <c r="BZ496" s="711"/>
      <c r="CA496" s="712"/>
      <c r="CB496" s="713">
        <v>488</v>
      </c>
      <c r="CC496" s="714"/>
      <c r="CD496" s="239"/>
      <c r="CE496" s="24"/>
    </row>
    <row r="497" spans="5:83" ht="12" customHeight="1">
      <c r="E497" s="621">
        <v>489</v>
      </c>
      <c r="F497" s="711"/>
      <c r="G497" s="712"/>
      <c r="H497" s="713">
        <v>489</v>
      </c>
      <c r="I497" s="714"/>
      <c r="J497" s="239"/>
      <c r="K497" s="24"/>
      <c r="AI497" s="16" t="e">
        <f t="shared" si="69"/>
        <v>#N/A</v>
      </c>
      <c r="AJ497" s="16" t="str">
        <f t="shared" si="70"/>
        <v/>
      </c>
      <c r="AK497" s="16" t="str">
        <f t="shared" si="71"/>
        <v/>
      </c>
      <c r="AL497" s="16" t="e">
        <f>IF(AK497="",NA(),COUNTIF(AK$176:$AK497,AK497))</f>
        <v>#N/A</v>
      </c>
      <c r="AM497" s="16" t="e">
        <f t="shared" si="72"/>
        <v>#N/A</v>
      </c>
      <c r="AN497" s="16" t="e">
        <f t="shared" si="73"/>
        <v>#N/A</v>
      </c>
      <c r="AO497" s="16" t="str">
        <f t="shared" si="74"/>
        <v/>
      </c>
      <c r="AP497" s="16" t="str">
        <f t="shared" si="75"/>
        <v/>
      </c>
      <c r="AQ497" s="16" t="e">
        <f>IF(AP497="",NA(),COUNTIF(AP$176:$AP497,AP497))</f>
        <v>#N/A</v>
      </c>
      <c r="AR497" s="16" t="e">
        <f t="shared" si="76"/>
        <v>#N/A</v>
      </c>
      <c r="BI497" s="621">
        <v>489</v>
      </c>
      <c r="BJ497" s="711"/>
      <c r="BK497" s="712"/>
      <c r="BL497" s="713">
        <v>489</v>
      </c>
      <c r="BM497" s="714"/>
      <c r="BN497" s="239"/>
      <c r="BO497" s="24"/>
      <c r="BQ497" s="621">
        <v>489</v>
      </c>
      <c r="BR497" s="711"/>
      <c r="BS497" s="712"/>
      <c r="BT497" s="713">
        <v>489</v>
      </c>
      <c r="BU497" s="714"/>
      <c r="BV497" s="239"/>
      <c r="BW497" s="24"/>
      <c r="BY497" s="621">
        <v>489</v>
      </c>
      <c r="BZ497" s="711"/>
      <c r="CA497" s="712"/>
      <c r="CB497" s="713">
        <v>489</v>
      </c>
      <c r="CC497" s="714"/>
      <c r="CD497" s="239"/>
      <c r="CE497" s="24"/>
    </row>
    <row r="498" spans="5:83" ht="12" customHeight="1">
      <c r="E498" s="621">
        <v>490</v>
      </c>
      <c r="F498" s="711"/>
      <c r="G498" s="712"/>
      <c r="H498" s="713">
        <v>490</v>
      </c>
      <c r="I498" s="714"/>
      <c r="J498" s="239"/>
      <c r="K498" s="24"/>
      <c r="AI498" s="16" t="e">
        <f t="shared" si="69"/>
        <v>#N/A</v>
      </c>
      <c r="AJ498" s="16" t="str">
        <f t="shared" si="70"/>
        <v/>
      </c>
      <c r="AK498" s="16" t="str">
        <f t="shared" si="71"/>
        <v/>
      </c>
      <c r="AL498" s="16" t="e">
        <f>IF(AK498="",NA(),COUNTIF(AK$176:$AK498,AK498))</f>
        <v>#N/A</v>
      </c>
      <c r="AM498" s="16" t="e">
        <f t="shared" si="72"/>
        <v>#N/A</v>
      </c>
      <c r="AN498" s="16" t="e">
        <f t="shared" si="73"/>
        <v>#N/A</v>
      </c>
      <c r="AO498" s="16" t="str">
        <f t="shared" si="74"/>
        <v/>
      </c>
      <c r="AP498" s="16" t="str">
        <f t="shared" si="75"/>
        <v/>
      </c>
      <c r="AQ498" s="16" t="e">
        <f>IF(AP498="",NA(),COUNTIF(AP$176:$AP498,AP498))</f>
        <v>#N/A</v>
      </c>
      <c r="AR498" s="16" t="e">
        <f t="shared" si="76"/>
        <v>#N/A</v>
      </c>
      <c r="BI498" s="621">
        <v>490</v>
      </c>
      <c r="BJ498" s="711"/>
      <c r="BK498" s="712"/>
      <c r="BL498" s="713">
        <v>490</v>
      </c>
      <c r="BM498" s="714"/>
      <c r="BN498" s="239"/>
      <c r="BO498" s="24"/>
      <c r="BQ498" s="621">
        <v>490</v>
      </c>
      <c r="BR498" s="711"/>
      <c r="BS498" s="712"/>
      <c r="BT498" s="713">
        <v>490</v>
      </c>
      <c r="BU498" s="714"/>
      <c r="BV498" s="239"/>
      <c r="BW498" s="24"/>
      <c r="BY498" s="621">
        <v>490</v>
      </c>
      <c r="BZ498" s="711"/>
      <c r="CA498" s="712"/>
      <c r="CB498" s="713">
        <v>490</v>
      </c>
      <c r="CC498" s="714"/>
      <c r="CD498" s="239"/>
      <c r="CE498" s="24"/>
    </row>
    <row r="499" spans="5:83" ht="12" customHeight="1">
      <c r="E499" s="621">
        <v>491</v>
      </c>
      <c r="F499" s="711"/>
      <c r="G499" s="712"/>
      <c r="H499" s="713">
        <v>491</v>
      </c>
      <c r="I499" s="714"/>
      <c r="J499" s="239"/>
      <c r="K499" s="24"/>
      <c r="AI499" s="16" t="e">
        <f t="shared" si="69"/>
        <v>#N/A</v>
      </c>
      <c r="AJ499" s="16" t="str">
        <f t="shared" si="70"/>
        <v/>
      </c>
      <c r="AK499" s="16" t="str">
        <f t="shared" si="71"/>
        <v/>
      </c>
      <c r="AL499" s="16" t="e">
        <f>IF(AK499="",NA(),COUNTIF(AK$176:$AK499,AK499))</f>
        <v>#N/A</v>
      </c>
      <c r="AM499" s="16" t="e">
        <f t="shared" si="72"/>
        <v>#N/A</v>
      </c>
      <c r="AN499" s="16" t="e">
        <f t="shared" si="73"/>
        <v>#N/A</v>
      </c>
      <c r="AO499" s="16" t="str">
        <f t="shared" si="74"/>
        <v/>
      </c>
      <c r="AP499" s="16" t="str">
        <f t="shared" si="75"/>
        <v/>
      </c>
      <c r="AQ499" s="16" t="e">
        <f>IF(AP499="",NA(),COUNTIF(AP$176:$AP499,AP499))</f>
        <v>#N/A</v>
      </c>
      <c r="AR499" s="16" t="e">
        <f t="shared" si="76"/>
        <v>#N/A</v>
      </c>
      <c r="BI499" s="621">
        <v>491</v>
      </c>
      <c r="BJ499" s="711"/>
      <c r="BK499" s="712"/>
      <c r="BL499" s="713">
        <v>491</v>
      </c>
      <c r="BM499" s="714"/>
      <c r="BN499" s="239"/>
      <c r="BO499" s="24"/>
      <c r="BQ499" s="621">
        <v>491</v>
      </c>
      <c r="BR499" s="711"/>
      <c r="BS499" s="712"/>
      <c r="BT499" s="713">
        <v>491</v>
      </c>
      <c r="BU499" s="714"/>
      <c r="BV499" s="239"/>
      <c r="BW499" s="24"/>
      <c r="BY499" s="621">
        <v>491</v>
      </c>
      <c r="BZ499" s="711"/>
      <c r="CA499" s="712"/>
      <c r="CB499" s="713">
        <v>491</v>
      </c>
      <c r="CC499" s="714"/>
      <c r="CD499" s="239"/>
      <c r="CE499" s="24"/>
    </row>
    <row r="500" spans="5:83" ht="12" customHeight="1">
      <c r="E500" s="621">
        <v>492</v>
      </c>
      <c r="F500" s="711"/>
      <c r="G500" s="712"/>
      <c r="H500" s="713">
        <v>492</v>
      </c>
      <c r="I500" s="714"/>
      <c r="J500" s="239"/>
      <c r="K500" s="24"/>
      <c r="AI500" s="16" t="e">
        <f t="shared" si="69"/>
        <v>#N/A</v>
      </c>
      <c r="AJ500" s="16" t="str">
        <f t="shared" si="70"/>
        <v/>
      </c>
      <c r="AK500" s="16" t="str">
        <f t="shared" si="71"/>
        <v/>
      </c>
      <c r="AL500" s="16" t="e">
        <f>IF(AK500="",NA(),COUNTIF(AK$176:$AK500,AK500))</f>
        <v>#N/A</v>
      </c>
      <c r="AM500" s="16" t="e">
        <f t="shared" si="72"/>
        <v>#N/A</v>
      </c>
      <c r="AN500" s="16" t="e">
        <f t="shared" si="73"/>
        <v>#N/A</v>
      </c>
      <c r="AO500" s="16" t="str">
        <f t="shared" si="74"/>
        <v/>
      </c>
      <c r="AP500" s="16" t="str">
        <f t="shared" si="75"/>
        <v/>
      </c>
      <c r="AQ500" s="16" t="e">
        <f>IF(AP500="",NA(),COUNTIF(AP$176:$AP500,AP500))</f>
        <v>#N/A</v>
      </c>
      <c r="AR500" s="16" t="e">
        <f t="shared" si="76"/>
        <v>#N/A</v>
      </c>
      <c r="BI500" s="621">
        <v>492</v>
      </c>
      <c r="BJ500" s="711"/>
      <c r="BK500" s="712"/>
      <c r="BL500" s="713">
        <v>492</v>
      </c>
      <c r="BM500" s="714"/>
      <c r="BN500" s="239"/>
      <c r="BO500" s="24"/>
      <c r="BQ500" s="621">
        <v>492</v>
      </c>
      <c r="BR500" s="711"/>
      <c r="BS500" s="712"/>
      <c r="BT500" s="713">
        <v>492</v>
      </c>
      <c r="BU500" s="714"/>
      <c r="BV500" s="239"/>
      <c r="BW500" s="24"/>
      <c r="BY500" s="621">
        <v>492</v>
      </c>
      <c r="BZ500" s="711"/>
      <c r="CA500" s="712"/>
      <c r="CB500" s="713">
        <v>492</v>
      </c>
      <c r="CC500" s="714"/>
      <c r="CD500" s="239"/>
      <c r="CE500" s="24"/>
    </row>
    <row r="501" spans="5:83" ht="12" customHeight="1">
      <c r="E501" s="621">
        <v>493</v>
      </c>
      <c r="F501" s="711"/>
      <c r="G501" s="712"/>
      <c r="H501" s="713">
        <v>493</v>
      </c>
      <c r="I501" s="714"/>
      <c r="J501" s="239"/>
      <c r="K501" s="24"/>
      <c r="AI501" s="16" t="e">
        <f t="shared" si="69"/>
        <v>#N/A</v>
      </c>
      <c r="AJ501" s="16" t="str">
        <f t="shared" si="70"/>
        <v/>
      </c>
      <c r="AK501" s="16" t="str">
        <f t="shared" si="71"/>
        <v/>
      </c>
      <c r="AL501" s="16" t="e">
        <f>IF(AK501="",NA(),COUNTIF(AK$176:$AK501,AK501))</f>
        <v>#N/A</v>
      </c>
      <c r="AM501" s="16" t="e">
        <f t="shared" si="72"/>
        <v>#N/A</v>
      </c>
      <c r="AN501" s="16" t="e">
        <f t="shared" si="73"/>
        <v>#N/A</v>
      </c>
      <c r="AO501" s="16" t="str">
        <f t="shared" si="74"/>
        <v/>
      </c>
      <c r="AP501" s="16" t="str">
        <f t="shared" si="75"/>
        <v/>
      </c>
      <c r="AQ501" s="16" t="e">
        <f>IF(AP501="",NA(),COUNTIF(AP$176:$AP501,AP501))</f>
        <v>#N/A</v>
      </c>
      <c r="AR501" s="16" t="e">
        <f t="shared" si="76"/>
        <v>#N/A</v>
      </c>
      <c r="BI501" s="621">
        <v>493</v>
      </c>
      <c r="BJ501" s="711"/>
      <c r="BK501" s="712"/>
      <c r="BL501" s="713">
        <v>493</v>
      </c>
      <c r="BM501" s="714"/>
      <c r="BN501" s="239"/>
      <c r="BO501" s="24"/>
      <c r="BQ501" s="621">
        <v>493</v>
      </c>
      <c r="BR501" s="711"/>
      <c r="BS501" s="712"/>
      <c r="BT501" s="713">
        <v>493</v>
      </c>
      <c r="BU501" s="714"/>
      <c r="BV501" s="239"/>
      <c r="BW501" s="24"/>
      <c r="BY501" s="621">
        <v>493</v>
      </c>
      <c r="BZ501" s="711"/>
      <c r="CA501" s="712"/>
      <c r="CB501" s="713">
        <v>493</v>
      </c>
      <c r="CC501" s="714"/>
      <c r="CD501" s="239"/>
      <c r="CE501" s="24"/>
    </row>
    <row r="502" spans="5:83" ht="12" customHeight="1">
      <c r="E502" s="621">
        <v>494</v>
      </c>
      <c r="F502" s="711"/>
      <c r="G502" s="712"/>
      <c r="H502" s="713">
        <v>494</v>
      </c>
      <c r="I502" s="714"/>
      <c r="J502" s="239"/>
      <c r="K502" s="24"/>
      <c r="AI502" s="16" t="e">
        <f t="shared" si="69"/>
        <v>#N/A</v>
      </c>
      <c r="AJ502" s="16" t="str">
        <f t="shared" si="70"/>
        <v/>
      </c>
      <c r="AK502" s="16" t="str">
        <f t="shared" si="71"/>
        <v/>
      </c>
      <c r="AL502" s="16" t="e">
        <f>IF(AK502="",NA(),COUNTIF(AK$176:$AK502,AK502))</f>
        <v>#N/A</v>
      </c>
      <c r="AM502" s="16" t="e">
        <f t="shared" si="72"/>
        <v>#N/A</v>
      </c>
      <c r="AN502" s="16" t="e">
        <f t="shared" si="73"/>
        <v>#N/A</v>
      </c>
      <c r="AO502" s="16" t="str">
        <f t="shared" si="74"/>
        <v/>
      </c>
      <c r="AP502" s="16" t="str">
        <f t="shared" si="75"/>
        <v/>
      </c>
      <c r="AQ502" s="16" t="e">
        <f>IF(AP502="",NA(),COUNTIF(AP$176:$AP502,AP502))</f>
        <v>#N/A</v>
      </c>
      <c r="AR502" s="16" t="e">
        <f t="shared" si="76"/>
        <v>#N/A</v>
      </c>
      <c r="BI502" s="621">
        <v>494</v>
      </c>
      <c r="BJ502" s="711"/>
      <c r="BK502" s="712"/>
      <c r="BL502" s="713">
        <v>494</v>
      </c>
      <c r="BM502" s="714"/>
      <c r="BN502" s="239"/>
      <c r="BO502" s="24"/>
      <c r="BQ502" s="621">
        <v>494</v>
      </c>
      <c r="BR502" s="711"/>
      <c r="BS502" s="712"/>
      <c r="BT502" s="713">
        <v>494</v>
      </c>
      <c r="BU502" s="714"/>
      <c r="BV502" s="239"/>
      <c r="BW502" s="24"/>
      <c r="BY502" s="621">
        <v>494</v>
      </c>
      <c r="BZ502" s="711"/>
      <c r="CA502" s="712"/>
      <c r="CB502" s="713">
        <v>494</v>
      </c>
      <c r="CC502" s="714"/>
      <c r="CD502" s="239"/>
      <c r="CE502" s="24"/>
    </row>
    <row r="503" spans="5:83" ht="12" customHeight="1">
      <c r="E503" s="621">
        <v>495</v>
      </c>
      <c r="F503" s="711"/>
      <c r="G503" s="712"/>
      <c r="H503" s="713">
        <v>495</v>
      </c>
      <c r="I503" s="714"/>
      <c r="J503" s="239"/>
      <c r="K503" s="24"/>
      <c r="AI503" s="16" t="e">
        <f t="shared" si="69"/>
        <v>#N/A</v>
      </c>
      <c r="AJ503" s="16" t="str">
        <f t="shared" si="70"/>
        <v/>
      </c>
      <c r="AK503" s="16" t="str">
        <f t="shared" si="71"/>
        <v/>
      </c>
      <c r="AL503" s="16" t="e">
        <f>IF(AK503="",NA(),COUNTIF(AK$176:$AK503,AK503))</f>
        <v>#N/A</v>
      </c>
      <c r="AM503" s="16" t="e">
        <f t="shared" si="72"/>
        <v>#N/A</v>
      </c>
      <c r="AN503" s="16" t="e">
        <f t="shared" si="73"/>
        <v>#N/A</v>
      </c>
      <c r="AO503" s="16" t="str">
        <f t="shared" si="74"/>
        <v/>
      </c>
      <c r="AP503" s="16" t="str">
        <f t="shared" si="75"/>
        <v/>
      </c>
      <c r="AQ503" s="16" t="e">
        <f>IF(AP503="",NA(),COUNTIF(AP$176:$AP503,AP503))</f>
        <v>#N/A</v>
      </c>
      <c r="AR503" s="16" t="e">
        <f t="shared" si="76"/>
        <v>#N/A</v>
      </c>
      <c r="BI503" s="621">
        <v>495</v>
      </c>
      <c r="BJ503" s="711"/>
      <c r="BK503" s="712"/>
      <c r="BL503" s="713">
        <v>495</v>
      </c>
      <c r="BM503" s="714"/>
      <c r="BN503" s="239"/>
      <c r="BO503" s="24"/>
      <c r="BQ503" s="621">
        <v>495</v>
      </c>
      <c r="BR503" s="711"/>
      <c r="BS503" s="712"/>
      <c r="BT503" s="713">
        <v>495</v>
      </c>
      <c r="BU503" s="714"/>
      <c r="BV503" s="239"/>
      <c r="BW503" s="24"/>
      <c r="BY503" s="621">
        <v>495</v>
      </c>
      <c r="BZ503" s="711"/>
      <c r="CA503" s="712"/>
      <c r="CB503" s="713">
        <v>495</v>
      </c>
      <c r="CC503" s="714"/>
      <c r="CD503" s="239"/>
      <c r="CE503" s="24"/>
    </row>
    <row r="504" spans="5:83" ht="12" customHeight="1">
      <c r="E504" s="621">
        <v>496</v>
      </c>
      <c r="F504" s="711"/>
      <c r="G504" s="712"/>
      <c r="H504" s="713">
        <v>496</v>
      </c>
      <c r="I504" s="714"/>
      <c r="J504" s="239"/>
      <c r="K504" s="24"/>
      <c r="AI504" s="16" t="e">
        <f t="shared" si="69"/>
        <v>#N/A</v>
      </c>
      <c r="AJ504" s="16" t="str">
        <f t="shared" si="70"/>
        <v/>
      </c>
      <c r="AK504" s="16" t="str">
        <f t="shared" si="71"/>
        <v/>
      </c>
      <c r="AL504" s="16" t="e">
        <f>IF(AK504="",NA(),COUNTIF(AK$176:$AK504,AK504))</f>
        <v>#N/A</v>
      </c>
      <c r="AM504" s="16" t="e">
        <f t="shared" si="72"/>
        <v>#N/A</v>
      </c>
      <c r="AN504" s="16" t="e">
        <f t="shared" si="73"/>
        <v>#N/A</v>
      </c>
      <c r="AO504" s="16" t="str">
        <f t="shared" si="74"/>
        <v/>
      </c>
      <c r="AP504" s="16" t="str">
        <f t="shared" si="75"/>
        <v/>
      </c>
      <c r="AQ504" s="16" t="e">
        <f>IF(AP504="",NA(),COUNTIF(AP$176:$AP504,AP504))</f>
        <v>#N/A</v>
      </c>
      <c r="AR504" s="16" t="e">
        <f t="shared" si="76"/>
        <v>#N/A</v>
      </c>
      <c r="BI504" s="621">
        <v>496</v>
      </c>
      <c r="BJ504" s="711"/>
      <c r="BK504" s="712"/>
      <c r="BL504" s="713">
        <v>496</v>
      </c>
      <c r="BM504" s="714"/>
      <c r="BN504" s="239"/>
      <c r="BO504" s="24"/>
      <c r="BQ504" s="621">
        <v>496</v>
      </c>
      <c r="BR504" s="711"/>
      <c r="BS504" s="712"/>
      <c r="BT504" s="713">
        <v>496</v>
      </c>
      <c r="BU504" s="714"/>
      <c r="BV504" s="239"/>
      <c r="BW504" s="24"/>
      <c r="BY504" s="621">
        <v>496</v>
      </c>
      <c r="BZ504" s="711"/>
      <c r="CA504" s="712"/>
      <c r="CB504" s="713">
        <v>496</v>
      </c>
      <c r="CC504" s="714"/>
      <c r="CD504" s="239"/>
      <c r="CE504" s="24"/>
    </row>
    <row r="505" spans="5:83" ht="12" customHeight="1">
      <c r="E505" s="621">
        <v>497</v>
      </c>
      <c r="F505" s="711"/>
      <c r="G505" s="712"/>
      <c r="H505" s="713">
        <v>497</v>
      </c>
      <c r="I505" s="714"/>
      <c r="J505" s="239"/>
      <c r="K505" s="24"/>
      <c r="AI505" s="16" t="e">
        <f t="shared" si="69"/>
        <v>#N/A</v>
      </c>
      <c r="AJ505" s="16" t="str">
        <f t="shared" si="70"/>
        <v/>
      </c>
      <c r="AK505" s="16" t="str">
        <f t="shared" si="71"/>
        <v/>
      </c>
      <c r="AL505" s="16" t="e">
        <f>IF(AK505="",NA(),COUNTIF(AK$176:$AK505,AK505))</f>
        <v>#N/A</v>
      </c>
      <c r="AM505" s="16" t="e">
        <f t="shared" si="72"/>
        <v>#N/A</v>
      </c>
      <c r="AN505" s="16" t="e">
        <f t="shared" si="73"/>
        <v>#N/A</v>
      </c>
      <c r="AO505" s="16" t="str">
        <f t="shared" si="74"/>
        <v/>
      </c>
      <c r="AP505" s="16" t="str">
        <f t="shared" si="75"/>
        <v/>
      </c>
      <c r="AQ505" s="16" t="e">
        <f>IF(AP505="",NA(),COUNTIF(AP$176:$AP505,AP505))</f>
        <v>#N/A</v>
      </c>
      <c r="AR505" s="16" t="e">
        <f t="shared" si="76"/>
        <v>#N/A</v>
      </c>
      <c r="BI505" s="621">
        <v>497</v>
      </c>
      <c r="BJ505" s="711"/>
      <c r="BK505" s="712"/>
      <c r="BL505" s="713">
        <v>497</v>
      </c>
      <c r="BM505" s="714"/>
      <c r="BN505" s="239"/>
      <c r="BO505" s="24"/>
      <c r="BQ505" s="621">
        <v>497</v>
      </c>
      <c r="BR505" s="711"/>
      <c r="BS505" s="712"/>
      <c r="BT505" s="713">
        <v>497</v>
      </c>
      <c r="BU505" s="714"/>
      <c r="BV505" s="239"/>
      <c r="BW505" s="24"/>
      <c r="BY505" s="621">
        <v>497</v>
      </c>
      <c r="BZ505" s="711"/>
      <c r="CA505" s="712"/>
      <c r="CB505" s="713">
        <v>497</v>
      </c>
      <c r="CC505" s="714"/>
      <c r="CD505" s="239"/>
      <c r="CE505" s="24"/>
    </row>
    <row r="506" spans="5:83" ht="12" customHeight="1">
      <c r="E506" s="621">
        <v>498</v>
      </c>
      <c r="F506" s="711"/>
      <c r="G506" s="712"/>
      <c r="H506" s="713">
        <v>498</v>
      </c>
      <c r="I506" s="714"/>
      <c r="J506" s="239"/>
      <c r="K506" s="24"/>
      <c r="AI506" s="16" t="e">
        <f t="shared" si="69"/>
        <v>#N/A</v>
      </c>
      <c r="AJ506" s="16" t="str">
        <f t="shared" si="70"/>
        <v/>
      </c>
      <c r="AK506" s="16" t="str">
        <f t="shared" si="71"/>
        <v/>
      </c>
      <c r="AL506" s="16" t="e">
        <f>IF(AK506="",NA(),COUNTIF(AK$176:$AK506,AK506))</f>
        <v>#N/A</v>
      </c>
      <c r="AM506" s="16" t="e">
        <f t="shared" si="72"/>
        <v>#N/A</v>
      </c>
      <c r="AN506" s="16" t="e">
        <f t="shared" si="73"/>
        <v>#N/A</v>
      </c>
      <c r="AO506" s="16" t="str">
        <f t="shared" si="74"/>
        <v/>
      </c>
      <c r="AP506" s="16" t="str">
        <f t="shared" si="75"/>
        <v/>
      </c>
      <c r="AQ506" s="16" t="e">
        <f>IF(AP506="",NA(),COUNTIF(AP$176:$AP506,AP506))</f>
        <v>#N/A</v>
      </c>
      <c r="AR506" s="16" t="e">
        <f t="shared" si="76"/>
        <v>#N/A</v>
      </c>
      <c r="BI506" s="621">
        <v>498</v>
      </c>
      <c r="BJ506" s="711"/>
      <c r="BK506" s="712"/>
      <c r="BL506" s="713">
        <v>498</v>
      </c>
      <c r="BM506" s="714"/>
      <c r="BN506" s="239"/>
      <c r="BO506" s="24"/>
      <c r="BQ506" s="621">
        <v>498</v>
      </c>
      <c r="BR506" s="711"/>
      <c r="BS506" s="712"/>
      <c r="BT506" s="713">
        <v>498</v>
      </c>
      <c r="BU506" s="714"/>
      <c r="BV506" s="239"/>
      <c r="BW506" s="24"/>
      <c r="BY506" s="621">
        <v>498</v>
      </c>
      <c r="BZ506" s="711"/>
      <c r="CA506" s="712"/>
      <c r="CB506" s="713">
        <v>498</v>
      </c>
      <c r="CC506" s="714"/>
      <c r="CD506" s="239"/>
      <c r="CE506" s="24"/>
    </row>
    <row r="507" spans="5:83" ht="12" customHeight="1">
      <c r="E507" s="621">
        <v>499</v>
      </c>
      <c r="F507" s="711"/>
      <c r="G507" s="712"/>
      <c r="H507" s="713">
        <v>499</v>
      </c>
      <c r="I507" s="714"/>
      <c r="J507" s="239"/>
      <c r="K507" s="24"/>
      <c r="AI507" s="16" t="e">
        <f t="shared" si="69"/>
        <v>#N/A</v>
      </c>
      <c r="AJ507" s="16" t="str">
        <f t="shared" si="70"/>
        <v/>
      </c>
      <c r="AK507" s="16" t="str">
        <f t="shared" si="71"/>
        <v/>
      </c>
      <c r="AL507" s="16" t="e">
        <f>IF(AK507="",NA(),COUNTIF(AK$176:$AK507,AK507))</f>
        <v>#N/A</v>
      </c>
      <c r="AM507" s="16" t="e">
        <f t="shared" si="72"/>
        <v>#N/A</v>
      </c>
      <c r="AN507" s="16" t="e">
        <f t="shared" si="73"/>
        <v>#N/A</v>
      </c>
      <c r="AO507" s="16" t="str">
        <f t="shared" si="74"/>
        <v/>
      </c>
      <c r="AP507" s="16" t="str">
        <f t="shared" si="75"/>
        <v/>
      </c>
      <c r="AQ507" s="16" t="e">
        <f>IF(AP507="",NA(),COUNTIF(AP$176:$AP507,AP507))</f>
        <v>#N/A</v>
      </c>
      <c r="AR507" s="16" t="e">
        <f t="shared" si="76"/>
        <v>#N/A</v>
      </c>
      <c r="BI507" s="621">
        <v>499</v>
      </c>
      <c r="BJ507" s="711"/>
      <c r="BK507" s="712"/>
      <c r="BL507" s="713">
        <v>499</v>
      </c>
      <c r="BM507" s="714"/>
      <c r="BN507" s="239"/>
      <c r="BO507" s="24"/>
      <c r="BQ507" s="621">
        <v>499</v>
      </c>
      <c r="BR507" s="711"/>
      <c r="BS507" s="712"/>
      <c r="BT507" s="713">
        <v>499</v>
      </c>
      <c r="BU507" s="714"/>
      <c r="BV507" s="239"/>
      <c r="BW507" s="24"/>
      <c r="BY507" s="621">
        <v>499</v>
      </c>
      <c r="BZ507" s="711"/>
      <c r="CA507" s="712"/>
      <c r="CB507" s="713">
        <v>499</v>
      </c>
      <c r="CC507" s="714"/>
      <c r="CD507" s="239"/>
      <c r="CE507" s="24"/>
    </row>
    <row r="508" spans="5:83" ht="12" customHeight="1">
      <c r="E508" s="621">
        <v>500</v>
      </c>
      <c r="F508" s="711"/>
      <c r="G508" s="712"/>
      <c r="H508" s="713">
        <v>500</v>
      </c>
      <c r="I508" s="714"/>
      <c r="J508" s="239"/>
      <c r="K508" s="24"/>
      <c r="AI508" s="16" t="e">
        <f t="shared" si="69"/>
        <v>#N/A</v>
      </c>
      <c r="AJ508" s="16" t="str">
        <f t="shared" si="70"/>
        <v/>
      </c>
      <c r="AK508" s="16" t="str">
        <f t="shared" si="71"/>
        <v/>
      </c>
      <c r="AL508" s="16" t="e">
        <f>IF(AK508="",NA(),COUNTIF(AK$176:$AK508,AK508))</f>
        <v>#N/A</v>
      </c>
      <c r="AM508" s="16" t="e">
        <f t="shared" si="72"/>
        <v>#N/A</v>
      </c>
      <c r="AN508" s="16" t="e">
        <f t="shared" si="73"/>
        <v>#N/A</v>
      </c>
      <c r="AO508" s="16" t="str">
        <f t="shared" si="74"/>
        <v/>
      </c>
      <c r="AP508" s="16" t="str">
        <f t="shared" si="75"/>
        <v/>
      </c>
      <c r="AQ508" s="16" t="e">
        <f>IF(AP508="",NA(),COUNTIF(AP$176:$AP508,AP508))</f>
        <v>#N/A</v>
      </c>
      <c r="AR508" s="16" t="e">
        <f t="shared" si="76"/>
        <v>#N/A</v>
      </c>
      <c r="BI508" s="621">
        <v>500</v>
      </c>
      <c r="BJ508" s="711"/>
      <c r="BK508" s="712"/>
      <c r="BL508" s="713">
        <v>500</v>
      </c>
      <c r="BM508" s="714"/>
      <c r="BN508" s="239"/>
      <c r="BO508" s="24"/>
      <c r="BQ508" s="621">
        <v>500</v>
      </c>
      <c r="BR508" s="711"/>
      <c r="BS508" s="712"/>
      <c r="BT508" s="713">
        <v>500</v>
      </c>
      <c r="BU508" s="714"/>
      <c r="BV508" s="239"/>
      <c r="BW508" s="24"/>
      <c r="BY508" s="621">
        <v>500</v>
      </c>
      <c r="BZ508" s="711"/>
      <c r="CA508" s="712"/>
      <c r="CB508" s="713">
        <v>500</v>
      </c>
      <c r="CC508" s="714"/>
      <c r="CD508" s="239"/>
      <c r="CE508" s="24"/>
    </row>
    <row r="509" spans="5:83" ht="12" customHeight="1">
      <c r="E509" s="621">
        <v>501</v>
      </c>
      <c r="F509" s="711"/>
      <c r="G509" s="712"/>
      <c r="H509" s="713">
        <v>501</v>
      </c>
      <c r="I509" s="714"/>
      <c r="J509" s="239"/>
      <c r="K509" s="24"/>
      <c r="AI509" s="16" t="e">
        <f t="shared" si="69"/>
        <v>#N/A</v>
      </c>
      <c r="AJ509" s="16" t="str">
        <f t="shared" si="70"/>
        <v/>
      </c>
      <c r="AK509" s="16" t="str">
        <f t="shared" si="71"/>
        <v/>
      </c>
      <c r="AL509" s="16" t="e">
        <f>IF(AK509="",NA(),COUNTIF(AK$176:$AK509,AK509))</f>
        <v>#N/A</v>
      </c>
      <c r="AM509" s="16" t="e">
        <f t="shared" si="72"/>
        <v>#N/A</v>
      </c>
      <c r="AN509" s="16" t="e">
        <f t="shared" si="73"/>
        <v>#N/A</v>
      </c>
      <c r="AO509" s="16" t="str">
        <f t="shared" si="74"/>
        <v/>
      </c>
      <c r="AP509" s="16" t="str">
        <f t="shared" si="75"/>
        <v/>
      </c>
      <c r="AQ509" s="16" t="e">
        <f>IF(AP509="",NA(),COUNTIF(AP$176:$AP509,AP509))</f>
        <v>#N/A</v>
      </c>
      <c r="AR509" s="16" t="e">
        <f t="shared" si="76"/>
        <v>#N/A</v>
      </c>
      <c r="BI509" s="621">
        <v>501</v>
      </c>
      <c r="BJ509" s="711"/>
      <c r="BK509" s="712"/>
      <c r="BL509" s="713">
        <v>501</v>
      </c>
      <c r="BM509" s="714"/>
      <c r="BN509" s="239"/>
      <c r="BO509" s="24"/>
      <c r="BQ509" s="621">
        <v>501</v>
      </c>
      <c r="BR509" s="711"/>
      <c r="BS509" s="712"/>
      <c r="BT509" s="713">
        <v>501</v>
      </c>
      <c r="BU509" s="714"/>
      <c r="BV509" s="239"/>
      <c r="BW509" s="24"/>
      <c r="BY509" s="621">
        <v>501</v>
      </c>
      <c r="BZ509" s="711"/>
      <c r="CA509" s="712"/>
      <c r="CB509" s="713">
        <v>501</v>
      </c>
      <c r="CC509" s="714"/>
      <c r="CD509" s="239"/>
      <c r="CE509" s="24"/>
    </row>
    <row r="510" spans="5:83" ht="12" customHeight="1">
      <c r="E510" s="621">
        <v>502</v>
      </c>
      <c r="F510" s="711"/>
      <c r="G510" s="712"/>
      <c r="H510" s="713">
        <v>502</v>
      </c>
      <c r="I510" s="714"/>
      <c r="J510" s="239"/>
      <c r="K510" s="24"/>
      <c r="AI510" s="16" t="e">
        <f t="shared" si="69"/>
        <v>#N/A</v>
      </c>
      <c r="AJ510" s="16" t="str">
        <f t="shared" si="70"/>
        <v/>
      </c>
      <c r="AK510" s="16" t="str">
        <f t="shared" si="71"/>
        <v/>
      </c>
      <c r="AL510" s="16" t="e">
        <f>IF(AK510="",NA(),COUNTIF(AK$176:$AK510,AK510))</f>
        <v>#N/A</v>
      </c>
      <c r="AM510" s="16" t="e">
        <f t="shared" si="72"/>
        <v>#N/A</v>
      </c>
      <c r="AN510" s="16" t="e">
        <f t="shared" si="73"/>
        <v>#N/A</v>
      </c>
      <c r="AO510" s="16" t="str">
        <f t="shared" si="74"/>
        <v/>
      </c>
      <c r="AP510" s="16" t="str">
        <f t="shared" si="75"/>
        <v/>
      </c>
      <c r="AQ510" s="16" t="e">
        <f>IF(AP510="",NA(),COUNTIF(AP$176:$AP510,AP510))</f>
        <v>#N/A</v>
      </c>
      <c r="AR510" s="16" t="e">
        <f t="shared" si="76"/>
        <v>#N/A</v>
      </c>
      <c r="BI510" s="621">
        <v>502</v>
      </c>
      <c r="BJ510" s="711"/>
      <c r="BK510" s="712"/>
      <c r="BL510" s="713">
        <v>502</v>
      </c>
      <c r="BM510" s="714"/>
      <c r="BN510" s="239"/>
      <c r="BO510" s="24"/>
      <c r="BQ510" s="621">
        <v>502</v>
      </c>
      <c r="BR510" s="711"/>
      <c r="BS510" s="712"/>
      <c r="BT510" s="713">
        <v>502</v>
      </c>
      <c r="BU510" s="714"/>
      <c r="BV510" s="239"/>
      <c r="BW510" s="24"/>
      <c r="BY510" s="621">
        <v>502</v>
      </c>
      <c r="BZ510" s="711"/>
      <c r="CA510" s="712"/>
      <c r="CB510" s="713">
        <v>502</v>
      </c>
      <c r="CC510" s="714"/>
      <c r="CD510" s="239"/>
      <c r="CE510" s="24"/>
    </row>
    <row r="511" spans="5:83" ht="12" customHeight="1">
      <c r="E511" s="621">
        <v>503</v>
      </c>
      <c r="F511" s="711"/>
      <c r="G511" s="712"/>
      <c r="H511" s="713">
        <v>503</v>
      </c>
      <c r="I511" s="714"/>
      <c r="J511" s="239"/>
      <c r="K511" s="24"/>
      <c r="AI511" s="16" t="e">
        <f t="shared" si="69"/>
        <v>#N/A</v>
      </c>
      <c r="AJ511" s="16" t="str">
        <f t="shared" si="70"/>
        <v/>
      </c>
      <c r="AK511" s="16" t="str">
        <f t="shared" si="71"/>
        <v/>
      </c>
      <c r="AL511" s="16" t="e">
        <f>IF(AK511="",NA(),COUNTIF(AK$176:$AK511,AK511))</f>
        <v>#N/A</v>
      </c>
      <c r="AM511" s="16" t="e">
        <f t="shared" si="72"/>
        <v>#N/A</v>
      </c>
      <c r="AN511" s="16" t="e">
        <f t="shared" si="73"/>
        <v>#N/A</v>
      </c>
      <c r="AO511" s="16" t="str">
        <f t="shared" si="74"/>
        <v/>
      </c>
      <c r="AP511" s="16" t="str">
        <f t="shared" si="75"/>
        <v/>
      </c>
      <c r="AQ511" s="16" t="e">
        <f>IF(AP511="",NA(),COUNTIF(AP$176:$AP511,AP511))</f>
        <v>#N/A</v>
      </c>
      <c r="AR511" s="16" t="e">
        <f t="shared" si="76"/>
        <v>#N/A</v>
      </c>
      <c r="BI511" s="621">
        <v>503</v>
      </c>
      <c r="BJ511" s="711"/>
      <c r="BK511" s="712"/>
      <c r="BL511" s="713">
        <v>503</v>
      </c>
      <c r="BM511" s="714"/>
      <c r="BN511" s="239"/>
      <c r="BO511" s="24"/>
      <c r="BQ511" s="621">
        <v>503</v>
      </c>
      <c r="BR511" s="711"/>
      <c r="BS511" s="712"/>
      <c r="BT511" s="713">
        <v>503</v>
      </c>
      <c r="BU511" s="714"/>
      <c r="BV511" s="239"/>
      <c r="BW511" s="24"/>
      <c r="BY511" s="621">
        <v>503</v>
      </c>
      <c r="BZ511" s="711"/>
      <c r="CA511" s="712"/>
      <c r="CB511" s="713">
        <v>503</v>
      </c>
      <c r="CC511" s="714"/>
      <c r="CD511" s="239"/>
      <c r="CE511" s="24"/>
    </row>
    <row r="512" spans="5:83" ht="12" customHeight="1">
      <c r="E512" s="621">
        <v>504</v>
      </c>
      <c r="F512" s="711"/>
      <c r="G512" s="712"/>
      <c r="H512" s="713">
        <v>504</v>
      </c>
      <c r="I512" s="714"/>
      <c r="J512" s="239"/>
      <c r="K512" s="24"/>
      <c r="AI512" s="16" t="e">
        <f t="shared" si="69"/>
        <v>#N/A</v>
      </c>
      <c r="AJ512" s="16" t="str">
        <f t="shared" si="70"/>
        <v/>
      </c>
      <c r="AK512" s="16" t="str">
        <f t="shared" si="71"/>
        <v/>
      </c>
      <c r="AL512" s="16" t="e">
        <f>IF(AK512="",NA(),COUNTIF(AK$176:$AK512,AK512))</f>
        <v>#N/A</v>
      </c>
      <c r="AM512" s="16" t="e">
        <f t="shared" si="72"/>
        <v>#N/A</v>
      </c>
      <c r="AN512" s="16" t="e">
        <f t="shared" si="73"/>
        <v>#N/A</v>
      </c>
      <c r="AO512" s="16" t="str">
        <f t="shared" si="74"/>
        <v/>
      </c>
      <c r="AP512" s="16" t="str">
        <f t="shared" si="75"/>
        <v/>
      </c>
      <c r="AQ512" s="16" t="e">
        <f>IF(AP512="",NA(),COUNTIF(AP$176:$AP512,AP512))</f>
        <v>#N/A</v>
      </c>
      <c r="AR512" s="16" t="e">
        <f t="shared" si="76"/>
        <v>#N/A</v>
      </c>
      <c r="BI512" s="621">
        <v>504</v>
      </c>
      <c r="BJ512" s="711"/>
      <c r="BK512" s="712"/>
      <c r="BL512" s="713">
        <v>504</v>
      </c>
      <c r="BM512" s="714"/>
      <c r="BN512" s="239"/>
      <c r="BO512" s="24"/>
      <c r="BQ512" s="621">
        <v>504</v>
      </c>
      <c r="BR512" s="711"/>
      <c r="BS512" s="712"/>
      <c r="BT512" s="713">
        <v>504</v>
      </c>
      <c r="BU512" s="714"/>
      <c r="BV512" s="239"/>
      <c r="BW512" s="24"/>
      <c r="BY512" s="621">
        <v>504</v>
      </c>
      <c r="BZ512" s="711"/>
      <c r="CA512" s="712"/>
      <c r="CB512" s="713">
        <v>504</v>
      </c>
      <c r="CC512" s="714"/>
      <c r="CD512" s="239"/>
      <c r="CE512" s="24"/>
    </row>
    <row r="513" spans="5:83" ht="12" customHeight="1">
      <c r="E513" s="621">
        <v>505</v>
      </c>
      <c r="F513" s="711"/>
      <c r="G513" s="712"/>
      <c r="H513" s="713">
        <v>505</v>
      </c>
      <c r="I513" s="714"/>
      <c r="J513" s="239"/>
      <c r="K513" s="24"/>
      <c r="AI513" s="16" t="e">
        <f t="shared" si="69"/>
        <v>#N/A</v>
      </c>
      <c r="AJ513" s="16" t="str">
        <f t="shared" si="70"/>
        <v/>
      </c>
      <c r="AK513" s="16" t="str">
        <f t="shared" si="71"/>
        <v/>
      </c>
      <c r="AL513" s="16" t="e">
        <f>IF(AK513="",NA(),COUNTIF(AK$176:$AK513,AK513))</f>
        <v>#N/A</v>
      </c>
      <c r="AM513" s="16" t="e">
        <f t="shared" si="72"/>
        <v>#N/A</v>
      </c>
      <c r="AN513" s="16" t="e">
        <f t="shared" si="73"/>
        <v>#N/A</v>
      </c>
      <c r="AO513" s="16" t="str">
        <f t="shared" si="74"/>
        <v/>
      </c>
      <c r="AP513" s="16" t="str">
        <f t="shared" si="75"/>
        <v/>
      </c>
      <c r="AQ513" s="16" t="e">
        <f>IF(AP513="",NA(),COUNTIF(AP$176:$AP513,AP513))</f>
        <v>#N/A</v>
      </c>
      <c r="AR513" s="16" t="e">
        <f t="shared" si="76"/>
        <v>#N/A</v>
      </c>
      <c r="BI513" s="621">
        <v>505</v>
      </c>
      <c r="BJ513" s="711"/>
      <c r="BK513" s="712"/>
      <c r="BL513" s="713">
        <v>505</v>
      </c>
      <c r="BM513" s="714"/>
      <c r="BN513" s="239"/>
      <c r="BO513" s="24"/>
      <c r="BQ513" s="621">
        <v>505</v>
      </c>
      <c r="BR513" s="711"/>
      <c r="BS513" s="712"/>
      <c r="BT513" s="713">
        <v>505</v>
      </c>
      <c r="BU513" s="714"/>
      <c r="BV513" s="239"/>
      <c r="BW513" s="24"/>
      <c r="BY513" s="621">
        <v>505</v>
      </c>
      <c r="BZ513" s="711"/>
      <c r="CA513" s="712"/>
      <c r="CB513" s="713">
        <v>505</v>
      </c>
      <c r="CC513" s="714"/>
      <c r="CD513" s="239"/>
      <c r="CE513" s="24"/>
    </row>
    <row r="514" spans="5:83" ht="12" customHeight="1">
      <c r="E514" s="621">
        <v>506</v>
      </c>
      <c r="F514" s="711"/>
      <c r="G514" s="712"/>
      <c r="H514" s="713">
        <v>506</v>
      </c>
      <c r="I514" s="714"/>
      <c r="J514" s="239"/>
      <c r="K514" s="24"/>
      <c r="AI514" s="16" t="e">
        <f t="shared" si="69"/>
        <v>#N/A</v>
      </c>
      <c r="AJ514" s="16" t="str">
        <f t="shared" si="70"/>
        <v/>
      </c>
      <c r="AK514" s="16" t="str">
        <f t="shared" si="71"/>
        <v/>
      </c>
      <c r="AL514" s="16" t="e">
        <f>IF(AK514="",NA(),COUNTIF(AK$176:$AK514,AK514))</f>
        <v>#N/A</v>
      </c>
      <c r="AM514" s="16" t="e">
        <f t="shared" si="72"/>
        <v>#N/A</v>
      </c>
      <c r="AN514" s="16" t="e">
        <f t="shared" si="73"/>
        <v>#N/A</v>
      </c>
      <c r="AO514" s="16" t="str">
        <f t="shared" si="74"/>
        <v/>
      </c>
      <c r="AP514" s="16" t="str">
        <f t="shared" si="75"/>
        <v/>
      </c>
      <c r="AQ514" s="16" t="e">
        <f>IF(AP514="",NA(),COUNTIF(AP$176:$AP514,AP514))</f>
        <v>#N/A</v>
      </c>
      <c r="AR514" s="16" t="e">
        <f t="shared" si="76"/>
        <v>#N/A</v>
      </c>
      <c r="BI514" s="621">
        <v>506</v>
      </c>
      <c r="BJ514" s="711"/>
      <c r="BK514" s="712"/>
      <c r="BL514" s="713">
        <v>506</v>
      </c>
      <c r="BM514" s="714"/>
      <c r="BN514" s="239"/>
      <c r="BO514" s="24"/>
      <c r="BQ514" s="621">
        <v>506</v>
      </c>
      <c r="BR514" s="711"/>
      <c r="BS514" s="712"/>
      <c r="BT514" s="713">
        <v>506</v>
      </c>
      <c r="BU514" s="714"/>
      <c r="BV514" s="239"/>
      <c r="BW514" s="24"/>
      <c r="BY514" s="621">
        <v>506</v>
      </c>
      <c r="BZ514" s="711"/>
      <c r="CA514" s="712"/>
      <c r="CB514" s="713">
        <v>506</v>
      </c>
      <c r="CC514" s="714"/>
      <c r="CD514" s="239"/>
      <c r="CE514" s="24"/>
    </row>
    <row r="515" spans="5:83" ht="12" customHeight="1">
      <c r="E515" s="621">
        <v>507</v>
      </c>
      <c r="F515" s="711"/>
      <c r="G515" s="712"/>
      <c r="H515" s="713">
        <v>507</v>
      </c>
      <c r="I515" s="714"/>
      <c r="J515" s="239"/>
      <c r="K515" s="24"/>
      <c r="AI515" s="16" t="e">
        <f t="shared" si="69"/>
        <v>#N/A</v>
      </c>
      <c r="AJ515" s="16" t="str">
        <f t="shared" si="70"/>
        <v/>
      </c>
      <c r="AK515" s="16" t="str">
        <f t="shared" si="71"/>
        <v/>
      </c>
      <c r="AL515" s="16" t="e">
        <f>IF(AK515="",NA(),COUNTIF(AK$176:$AK515,AK515))</f>
        <v>#N/A</v>
      </c>
      <c r="AM515" s="16" t="e">
        <f t="shared" si="72"/>
        <v>#N/A</v>
      </c>
      <c r="AN515" s="16" t="e">
        <f t="shared" si="73"/>
        <v>#N/A</v>
      </c>
      <c r="AO515" s="16" t="str">
        <f t="shared" si="74"/>
        <v/>
      </c>
      <c r="AP515" s="16" t="str">
        <f t="shared" si="75"/>
        <v/>
      </c>
      <c r="AQ515" s="16" t="e">
        <f>IF(AP515="",NA(),COUNTIF(AP$176:$AP515,AP515))</f>
        <v>#N/A</v>
      </c>
      <c r="AR515" s="16" t="e">
        <f t="shared" si="76"/>
        <v>#N/A</v>
      </c>
      <c r="BI515" s="621">
        <v>507</v>
      </c>
      <c r="BJ515" s="711"/>
      <c r="BK515" s="712"/>
      <c r="BL515" s="713">
        <v>507</v>
      </c>
      <c r="BM515" s="714"/>
      <c r="BN515" s="239"/>
      <c r="BO515" s="24"/>
      <c r="BQ515" s="621">
        <v>507</v>
      </c>
      <c r="BR515" s="711"/>
      <c r="BS515" s="712"/>
      <c r="BT515" s="713">
        <v>507</v>
      </c>
      <c r="BU515" s="714"/>
      <c r="BV515" s="239"/>
      <c r="BW515" s="24"/>
      <c r="BY515" s="621">
        <v>507</v>
      </c>
      <c r="BZ515" s="711"/>
      <c r="CA515" s="712"/>
      <c r="CB515" s="713">
        <v>507</v>
      </c>
      <c r="CC515" s="714"/>
      <c r="CD515" s="239"/>
      <c r="CE515" s="24"/>
    </row>
    <row r="516" spans="5:83" ht="12" customHeight="1">
      <c r="E516" s="621">
        <v>508</v>
      </c>
      <c r="F516" s="711"/>
      <c r="G516" s="712"/>
      <c r="H516" s="713">
        <v>508</v>
      </c>
      <c r="I516" s="714"/>
      <c r="J516" s="239"/>
      <c r="K516" s="24"/>
      <c r="AI516" s="16" t="e">
        <f t="shared" si="69"/>
        <v>#N/A</v>
      </c>
      <c r="AJ516" s="16" t="str">
        <f t="shared" si="70"/>
        <v/>
      </c>
      <c r="AK516" s="16" t="str">
        <f t="shared" si="71"/>
        <v/>
      </c>
      <c r="AL516" s="16" t="e">
        <f>IF(AK516="",NA(),COUNTIF(AK$176:$AK516,AK516))</f>
        <v>#N/A</v>
      </c>
      <c r="AM516" s="16" t="e">
        <f t="shared" si="72"/>
        <v>#N/A</v>
      </c>
      <c r="AN516" s="16" t="e">
        <f t="shared" si="73"/>
        <v>#N/A</v>
      </c>
      <c r="AO516" s="16" t="str">
        <f t="shared" si="74"/>
        <v/>
      </c>
      <c r="AP516" s="16" t="str">
        <f t="shared" si="75"/>
        <v/>
      </c>
      <c r="AQ516" s="16" t="e">
        <f>IF(AP516="",NA(),COUNTIF(AP$176:$AP516,AP516))</f>
        <v>#N/A</v>
      </c>
      <c r="AR516" s="16" t="e">
        <f t="shared" si="76"/>
        <v>#N/A</v>
      </c>
      <c r="BI516" s="621">
        <v>508</v>
      </c>
      <c r="BJ516" s="711"/>
      <c r="BK516" s="712"/>
      <c r="BL516" s="713">
        <v>508</v>
      </c>
      <c r="BM516" s="714"/>
      <c r="BN516" s="239"/>
      <c r="BO516" s="24"/>
      <c r="BQ516" s="621">
        <v>508</v>
      </c>
      <c r="BR516" s="711"/>
      <c r="BS516" s="712"/>
      <c r="BT516" s="713">
        <v>508</v>
      </c>
      <c r="BU516" s="714"/>
      <c r="BV516" s="239"/>
      <c r="BW516" s="24"/>
      <c r="BY516" s="621">
        <v>508</v>
      </c>
      <c r="BZ516" s="711"/>
      <c r="CA516" s="712"/>
      <c r="CB516" s="713">
        <v>508</v>
      </c>
      <c r="CC516" s="714"/>
      <c r="CD516" s="239"/>
      <c r="CE516" s="24"/>
    </row>
    <row r="517" spans="5:83" ht="12" customHeight="1">
      <c r="E517" s="621">
        <v>509</v>
      </c>
      <c r="F517" s="711"/>
      <c r="G517" s="712"/>
      <c r="H517" s="713">
        <v>509</v>
      </c>
      <c r="I517" s="714"/>
      <c r="J517" s="239"/>
      <c r="K517" s="24"/>
      <c r="AI517" s="16" t="e">
        <f t="shared" si="69"/>
        <v>#N/A</v>
      </c>
      <c r="AJ517" s="16" t="str">
        <f t="shared" si="70"/>
        <v/>
      </c>
      <c r="AK517" s="16" t="str">
        <f t="shared" si="71"/>
        <v/>
      </c>
      <c r="AL517" s="16" t="e">
        <f>IF(AK517="",NA(),COUNTIF(AK$176:$AK517,AK517))</f>
        <v>#N/A</v>
      </c>
      <c r="AM517" s="16" t="e">
        <f t="shared" si="72"/>
        <v>#N/A</v>
      </c>
      <c r="AN517" s="16" t="e">
        <f t="shared" si="73"/>
        <v>#N/A</v>
      </c>
      <c r="AO517" s="16" t="str">
        <f t="shared" si="74"/>
        <v/>
      </c>
      <c r="AP517" s="16" t="str">
        <f t="shared" si="75"/>
        <v/>
      </c>
      <c r="AQ517" s="16" t="e">
        <f>IF(AP517="",NA(),COUNTIF(AP$176:$AP517,AP517))</f>
        <v>#N/A</v>
      </c>
      <c r="AR517" s="16" t="e">
        <f t="shared" si="76"/>
        <v>#N/A</v>
      </c>
      <c r="BI517" s="621">
        <v>509</v>
      </c>
      <c r="BJ517" s="711"/>
      <c r="BK517" s="712"/>
      <c r="BL517" s="713">
        <v>509</v>
      </c>
      <c r="BM517" s="714"/>
      <c r="BN517" s="239"/>
      <c r="BO517" s="24"/>
      <c r="BQ517" s="621">
        <v>509</v>
      </c>
      <c r="BR517" s="711"/>
      <c r="BS517" s="712"/>
      <c r="BT517" s="713">
        <v>509</v>
      </c>
      <c r="BU517" s="714"/>
      <c r="BV517" s="239"/>
      <c r="BW517" s="24"/>
      <c r="BY517" s="621">
        <v>509</v>
      </c>
      <c r="BZ517" s="711"/>
      <c r="CA517" s="712"/>
      <c r="CB517" s="713">
        <v>509</v>
      </c>
      <c r="CC517" s="714"/>
      <c r="CD517" s="239"/>
      <c r="CE517" s="24"/>
    </row>
    <row r="518" spans="5:83" ht="12" customHeight="1">
      <c r="E518" s="621">
        <v>510</v>
      </c>
      <c r="F518" s="711"/>
      <c r="G518" s="712"/>
      <c r="H518" s="713">
        <v>510</v>
      </c>
      <c r="I518" s="714"/>
      <c r="J518" s="239"/>
      <c r="K518" s="24"/>
      <c r="AI518" s="16" t="e">
        <f t="shared" si="69"/>
        <v>#N/A</v>
      </c>
      <c r="AJ518" s="16" t="str">
        <f t="shared" si="70"/>
        <v/>
      </c>
      <c r="AK518" s="16" t="str">
        <f t="shared" si="71"/>
        <v/>
      </c>
      <c r="AL518" s="16" t="e">
        <f>IF(AK518="",NA(),COUNTIF(AK$176:$AK518,AK518))</f>
        <v>#N/A</v>
      </c>
      <c r="AM518" s="16" t="e">
        <f t="shared" si="72"/>
        <v>#N/A</v>
      </c>
      <c r="AN518" s="16" t="e">
        <f t="shared" si="73"/>
        <v>#N/A</v>
      </c>
      <c r="AO518" s="16" t="str">
        <f t="shared" si="74"/>
        <v/>
      </c>
      <c r="AP518" s="16" t="str">
        <f t="shared" si="75"/>
        <v/>
      </c>
      <c r="AQ518" s="16" t="e">
        <f>IF(AP518="",NA(),COUNTIF(AP$176:$AP518,AP518))</f>
        <v>#N/A</v>
      </c>
      <c r="AR518" s="16" t="e">
        <f t="shared" si="76"/>
        <v>#N/A</v>
      </c>
      <c r="BI518" s="621">
        <v>510</v>
      </c>
      <c r="BJ518" s="711"/>
      <c r="BK518" s="712"/>
      <c r="BL518" s="713">
        <v>510</v>
      </c>
      <c r="BM518" s="714"/>
      <c r="BN518" s="239"/>
      <c r="BO518" s="24"/>
      <c r="BQ518" s="621">
        <v>510</v>
      </c>
      <c r="BR518" s="711"/>
      <c r="BS518" s="712"/>
      <c r="BT518" s="713">
        <v>510</v>
      </c>
      <c r="BU518" s="714"/>
      <c r="BV518" s="239"/>
      <c r="BW518" s="24"/>
      <c r="BY518" s="621">
        <v>510</v>
      </c>
      <c r="BZ518" s="711"/>
      <c r="CA518" s="712"/>
      <c r="CB518" s="713">
        <v>510</v>
      </c>
      <c r="CC518" s="714"/>
      <c r="CD518" s="239"/>
      <c r="CE518" s="24"/>
    </row>
    <row r="519" spans="5:83" ht="12" customHeight="1">
      <c r="E519" s="621">
        <v>511</v>
      </c>
      <c r="F519" s="711"/>
      <c r="G519" s="712"/>
      <c r="H519" s="713">
        <v>511</v>
      </c>
      <c r="I519" s="714"/>
      <c r="J519" s="239"/>
      <c r="K519" s="24"/>
      <c r="AI519" s="16" t="e">
        <f t="shared" si="69"/>
        <v>#N/A</v>
      </c>
      <c r="AJ519" s="16" t="str">
        <f t="shared" si="70"/>
        <v/>
      </c>
      <c r="AK519" s="16" t="str">
        <f t="shared" si="71"/>
        <v/>
      </c>
      <c r="AL519" s="16" t="e">
        <f>IF(AK519="",NA(),COUNTIF(AK$176:$AK519,AK519))</f>
        <v>#N/A</v>
      </c>
      <c r="AM519" s="16" t="e">
        <f t="shared" si="72"/>
        <v>#N/A</v>
      </c>
      <c r="AN519" s="16" t="e">
        <f t="shared" si="73"/>
        <v>#N/A</v>
      </c>
      <c r="AO519" s="16" t="str">
        <f t="shared" si="74"/>
        <v/>
      </c>
      <c r="AP519" s="16" t="str">
        <f t="shared" si="75"/>
        <v/>
      </c>
      <c r="AQ519" s="16" t="e">
        <f>IF(AP519="",NA(),COUNTIF(AP$176:$AP519,AP519))</f>
        <v>#N/A</v>
      </c>
      <c r="AR519" s="16" t="e">
        <f t="shared" si="76"/>
        <v>#N/A</v>
      </c>
      <c r="BI519" s="621">
        <v>511</v>
      </c>
      <c r="BJ519" s="711"/>
      <c r="BK519" s="712"/>
      <c r="BL519" s="713">
        <v>511</v>
      </c>
      <c r="BM519" s="714"/>
      <c r="BN519" s="239"/>
      <c r="BO519" s="24"/>
      <c r="BQ519" s="621">
        <v>511</v>
      </c>
      <c r="BR519" s="711"/>
      <c r="BS519" s="712"/>
      <c r="BT519" s="713">
        <v>511</v>
      </c>
      <c r="BU519" s="714"/>
      <c r="BV519" s="239"/>
      <c r="BW519" s="24"/>
      <c r="BY519" s="621">
        <v>511</v>
      </c>
      <c r="BZ519" s="711"/>
      <c r="CA519" s="712"/>
      <c r="CB519" s="713">
        <v>511</v>
      </c>
      <c r="CC519" s="714"/>
      <c r="CD519" s="239"/>
      <c r="CE519" s="24"/>
    </row>
    <row r="520" spans="5:83" ht="12" customHeight="1">
      <c r="E520" s="621">
        <v>512</v>
      </c>
      <c r="F520" s="711"/>
      <c r="G520" s="712"/>
      <c r="H520" s="713">
        <v>512</v>
      </c>
      <c r="I520" s="714"/>
      <c r="J520" s="239"/>
      <c r="K520" s="24"/>
      <c r="AI520" s="16" t="e">
        <f t="shared" si="69"/>
        <v>#N/A</v>
      </c>
      <c r="AJ520" s="16" t="str">
        <f t="shared" si="70"/>
        <v/>
      </c>
      <c r="AK520" s="16" t="str">
        <f t="shared" si="71"/>
        <v/>
      </c>
      <c r="AL520" s="16" t="e">
        <f>IF(AK520="",NA(),COUNTIF(AK$176:$AK520,AK520))</f>
        <v>#N/A</v>
      </c>
      <c r="AM520" s="16" t="e">
        <f t="shared" si="72"/>
        <v>#N/A</v>
      </c>
      <c r="AN520" s="16" t="e">
        <f t="shared" si="73"/>
        <v>#N/A</v>
      </c>
      <c r="AO520" s="16" t="str">
        <f t="shared" si="74"/>
        <v/>
      </c>
      <c r="AP520" s="16" t="str">
        <f t="shared" si="75"/>
        <v/>
      </c>
      <c r="AQ520" s="16" t="e">
        <f>IF(AP520="",NA(),COUNTIF(AP$176:$AP520,AP520))</f>
        <v>#N/A</v>
      </c>
      <c r="AR520" s="16" t="e">
        <f t="shared" si="76"/>
        <v>#N/A</v>
      </c>
      <c r="BI520" s="621">
        <v>512</v>
      </c>
      <c r="BJ520" s="711"/>
      <c r="BK520" s="712"/>
      <c r="BL520" s="713">
        <v>512</v>
      </c>
      <c r="BM520" s="714"/>
      <c r="BN520" s="239"/>
      <c r="BO520" s="24"/>
      <c r="BQ520" s="621">
        <v>512</v>
      </c>
      <c r="BR520" s="711"/>
      <c r="BS520" s="712"/>
      <c r="BT520" s="713">
        <v>512</v>
      </c>
      <c r="BU520" s="714"/>
      <c r="BV520" s="239"/>
      <c r="BW520" s="24"/>
      <c r="BY520" s="621">
        <v>512</v>
      </c>
      <c r="BZ520" s="711"/>
      <c r="CA520" s="712"/>
      <c r="CB520" s="713">
        <v>512</v>
      </c>
      <c r="CC520" s="714"/>
      <c r="CD520" s="239"/>
      <c r="CE520" s="24"/>
    </row>
    <row r="521" spans="5:83" ht="12" customHeight="1">
      <c r="E521" s="621">
        <v>513</v>
      </c>
      <c r="F521" s="711"/>
      <c r="G521" s="712"/>
      <c r="H521" s="713">
        <v>513</v>
      </c>
      <c r="I521" s="714"/>
      <c r="J521" s="239"/>
      <c r="K521" s="24"/>
      <c r="AI521" s="16" t="e">
        <f t="shared" si="69"/>
        <v>#N/A</v>
      </c>
      <c r="AJ521" s="16" t="str">
        <f t="shared" si="70"/>
        <v/>
      </c>
      <c r="AK521" s="16" t="str">
        <f t="shared" si="71"/>
        <v/>
      </c>
      <c r="AL521" s="16" t="e">
        <f>IF(AK521="",NA(),COUNTIF(AK$176:$AK521,AK521))</f>
        <v>#N/A</v>
      </c>
      <c r="AM521" s="16" t="e">
        <f t="shared" si="72"/>
        <v>#N/A</v>
      </c>
      <c r="AN521" s="16" t="e">
        <f t="shared" si="73"/>
        <v>#N/A</v>
      </c>
      <c r="AO521" s="16" t="str">
        <f t="shared" si="74"/>
        <v/>
      </c>
      <c r="AP521" s="16" t="str">
        <f t="shared" si="75"/>
        <v/>
      </c>
      <c r="AQ521" s="16" t="e">
        <f>IF(AP521="",NA(),COUNTIF(AP$176:$AP521,AP521))</f>
        <v>#N/A</v>
      </c>
      <c r="AR521" s="16" t="e">
        <f t="shared" si="76"/>
        <v>#N/A</v>
      </c>
      <c r="BI521" s="621">
        <v>513</v>
      </c>
      <c r="BJ521" s="711"/>
      <c r="BK521" s="712"/>
      <c r="BL521" s="713">
        <v>513</v>
      </c>
      <c r="BM521" s="714"/>
      <c r="BN521" s="239"/>
      <c r="BO521" s="24"/>
      <c r="BQ521" s="621">
        <v>513</v>
      </c>
      <c r="BR521" s="711"/>
      <c r="BS521" s="712"/>
      <c r="BT521" s="713">
        <v>513</v>
      </c>
      <c r="BU521" s="714"/>
      <c r="BV521" s="239"/>
      <c r="BW521" s="24"/>
      <c r="BY521" s="621">
        <v>513</v>
      </c>
      <c r="BZ521" s="711"/>
      <c r="CA521" s="712"/>
      <c r="CB521" s="713">
        <v>513</v>
      </c>
      <c r="CC521" s="714"/>
      <c r="CD521" s="239"/>
      <c r="CE521" s="24"/>
    </row>
    <row r="522" spans="5:83" ht="12" customHeight="1">
      <c r="E522" s="621">
        <v>514</v>
      </c>
      <c r="F522" s="711"/>
      <c r="G522" s="712"/>
      <c r="H522" s="713">
        <v>514</v>
      </c>
      <c r="I522" s="714"/>
      <c r="J522" s="239"/>
      <c r="K522" s="24"/>
      <c r="AI522" s="16" t="e">
        <f t="shared" si="69"/>
        <v>#N/A</v>
      </c>
      <c r="AJ522" s="16" t="str">
        <f t="shared" si="70"/>
        <v/>
      </c>
      <c r="AK522" s="16" t="str">
        <f t="shared" si="71"/>
        <v/>
      </c>
      <c r="AL522" s="16" t="e">
        <f>IF(AK522="",NA(),COUNTIF(AK$176:$AK522,AK522))</f>
        <v>#N/A</v>
      </c>
      <c r="AM522" s="16" t="e">
        <f t="shared" si="72"/>
        <v>#N/A</v>
      </c>
      <c r="AN522" s="16" t="e">
        <f t="shared" si="73"/>
        <v>#N/A</v>
      </c>
      <c r="AO522" s="16" t="str">
        <f t="shared" si="74"/>
        <v/>
      </c>
      <c r="AP522" s="16" t="str">
        <f t="shared" si="75"/>
        <v/>
      </c>
      <c r="AQ522" s="16" t="e">
        <f>IF(AP522="",NA(),COUNTIF(AP$176:$AP522,AP522))</f>
        <v>#N/A</v>
      </c>
      <c r="AR522" s="16" t="e">
        <f t="shared" si="76"/>
        <v>#N/A</v>
      </c>
      <c r="BI522" s="621">
        <v>514</v>
      </c>
      <c r="BJ522" s="711"/>
      <c r="BK522" s="712"/>
      <c r="BL522" s="713">
        <v>514</v>
      </c>
      <c r="BM522" s="714"/>
      <c r="BN522" s="239"/>
      <c r="BO522" s="24"/>
      <c r="BQ522" s="621">
        <v>514</v>
      </c>
      <c r="BR522" s="711"/>
      <c r="BS522" s="712"/>
      <c r="BT522" s="713">
        <v>514</v>
      </c>
      <c r="BU522" s="714"/>
      <c r="BV522" s="239"/>
      <c r="BW522" s="24"/>
      <c r="BY522" s="621">
        <v>514</v>
      </c>
      <c r="BZ522" s="711"/>
      <c r="CA522" s="712"/>
      <c r="CB522" s="713">
        <v>514</v>
      </c>
      <c r="CC522" s="714"/>
      <c r="CD522" s="239"/>
      <c r="CE522" s="24"/>
    </row>
    <row r="523" spans="5:83" ht="12" customHeight="1">
      <c r="E523" s="621">
        <v>515</v>
      </c>
      <c r="F523" s="711"/>
      <c r="G523" s="712"/>
      <c r="H523" s="713">
        <v>515</v>
      </c>
      <c r="I523" s="714"/>
      <c r="J523" s="239"/>
      <c r="K523" s="24"/>
      <c r="AI523" s="16" t="e">
        <f t="shared" si="69"/>
        <v>#N/A</v>
      </c>
      <c r="AJ523" s="16" t="str">
        <f t="shared" si="70"/>
        <v/>
      </c>
      <c r="AK523" s="16" t="str">
        <f t="shared" si="71"/>
        <v/>
      </c>
      <c r="AL523" s="16" t="e">
        <f>IF(AK523="",NA(),COUNTIF(AK$176:$AK523,AK523))</f>
        <v>#N/A</v>
      </c>
      <c r="AM523" s="16" t="e">
        <f t="shared" si="72"/>
        <v>#N/A</v>
      </c>
      <c r="AN523" s="16" t="e">
        <f t="shared" si="73"/>
        <v>#N/A</v>
      </c>
      <c r="AO523" s="16" t="str">
        <f t="shared" si="74"/>
        <v/>
      </c>
      <c r="AP523" s="16" t="str">
        <f t="shared" si="75"/>
        <v/>
      </c>
      <c r="AQ523" s="16" t="e">
        <f>IF(AP523="",NA(),COUNTIF(AP$176:$AP523,AP523))</f>
        <v>#N/A</v>
      </c>
      <c r="AR523" s="16" t="e">
        <f t="shared" si="76"/>
        <v>#N/A</v>
      </c>
      <c r="BI523" s="621">
        <v>515</v>
      </c>
      <c r="BJ523" s="711"/>
      <c r="BK523" s="712"/>
      <c r="BL523" s="713">
        <v>515</v>
      </c>
      <c r="BM523" s="714"/>
      <c r="BN523" s="239"/>
      <c r="BO523" s="24"/>
      <c r="BQ523" s="621">
        <v>515</v>
      </c>
      <c r="BR523" s="711"/>
      <c r="BS523" s="712"/>
      <c r="BT523" s="713">
        <v>515</v>
      </c>
      <c r="BU523" s="714"/>
      <c r="BV523" s="239"/>
      <c r="BW523" s="24"/>
      <c r="BY523" s="621">
        <v>515</v>
      </c>
      <c r="BZ523" s="711"/>
      <c r="CA523" s="712"/>
      <c r="CB523" s="713">
        <v>515</v>
      </c>
      <c r="CC523" s="714"/>
      <c r="CD523" s="239"/>
      <c r="CE523" s="24"/>
    </row>
    <row r="524" spans="5:83" ht="12" customHeight="1">
      <c r="E524" s="621">
        <v>516</v>
      </c>
      <c r="F524" s="711"/>
      <c r="G524" s="712"/>
      <c r="H524" s="713">
        <v>516</v>
      </c>
      <c r="I524" s="714"/>
      <c r="J524" s="239"/>
      <c r="K524" s="24"/>
      <c r="AI524" s="16" t="e">
        <f t="shared" si="69"/>
        <v>#N/A</v>
      </c>
      <c r="AJ524" s="16" t="str">
        <f t="shared" si="70"/>
        <v/>
      </c>
      <c r="AK524" s="16" t="str">
        <f t="shared" si="71"/>
        <v/>
      </c>
      <c r="AL524" s="16" t="e">
        <f>IF(AK524="",NA(),COUNTIF(AK$176:$AK524,AK524))</f>
        <v>#N/A</v>
      </c>
      <c r="AM524" s="16" t="e">
        <f t="shared" si="72"/>
        <v>#N/A</v>
      </c>
      <c r="AN524" s="16" t="e">
        <f t="shared" si="73"/>
        <v>#N/A</v>
      </c>
      <c r="AO524" s="16" t="str">
        <f t="shared" si="74"/>
        <v/>
      </c>
      <c r="AP524" s="16" t="str">
        <f t="shared" si="75"/>
        <v/>
      </c>
      <c r="AQ524" s="16" t="e">
        <f>IF(AP524="",NA(),COUNTIF(AP$176:$AP524,AP524))</f>
        <v>#N/A</v>
      </c>
      <c r="AR524" s="16" t="e">
        <f t="shared" si="76"/>
        <v>#N/A</v>
      </c>
      <c r="BI524" s="621">
        <v>516</v>
      </c>
      <c r="BJ524" s="711"/>
      <c r="BK524" s="712"/>
      <c r="BL524" s="713">
        <v>516</v>
      </c>
      <c r="BM524" s="714"/>
      <c r="BN524" s="239"/>
      <c r="BO524" s="24"/>
      <c r="BQ524" s="621">
        <v>516</v>
      </c>
      <c r="BR524" s="711"/>
      <c r="BS524" s="712"/>
      <c r="BT524" s="713">
        <v>516</v>
      </c>
      <c r="BU524" s="714"/>
      <c r="BV524" s="239"/>
      <c r="BW524" s="24"/>
      <c r="BY524" s="621">
        <v>516</v>
      </c>
      <c r="BZ524" s="711"/>
      <c r="CA524" s="712"/>
      <c r="CB524" s="713">
        <v>516</v>
      </c>
      <c r="CC524" s="714"/>
      <c r="CD524" s="239"/>
      <c r="CE524" s="24"/>
    </row>
    <row r="525" spans="5:83" ht="12" customHeight="1">
      <c r="E525" s="621">
        <v>517</v>
      </c>
      <c r="F525" s="711"/>
      <c r="G525" s="712"/>
      <c r="H525" s="713">
        <v>517</v>
      </c>
      <c r="I525" s="714"/>
      <c r="J525" s="239"/>
      <c r="K525" s="24"/>
      <c r="AI525" s="16" t="e">
        <f t="shared" ref="AI525:AI588" si="77">IF(AND($X$80,NOT(F457=""),$X$78),F457,NA())</f>
        <v>#N/A</v>
      </c>
      <c r="AJ525" s="16" t="str">
        <f t="shared" ref="AJ525:AJ588" si="78">IF(AK525="","",IF($AU$79=0,AI525,AK525*$AU$79))</f>
        <v/>
      </c>
      <c r="AK525" s="16" t="str">
        <f t="shared" ref="AK525:AK588" si="79">IF(ISNA(AI525),"",IF($AU$79=0,AI525,ROUND(AI525/$AU$79,0)))</f>
        <v/>
      </c>
      <c r="AL525" s="16" t="e">
        <f>IF(AK525="",NA(),COUNTIF(AK$176:$AK525,AK525))</f>
        <v>#N/A</v>
      </c>
      <c r="AM525" s="16" t="e">
        <f t="shared" ref="AM525:AM588" si="80">(AL525-1)*$AU$82</f>
        <v>#N/A</v>
      </c>
      <c r="AN525" s="16" t="e">
        <f t="shared" ref="AN525:AN588" si="81">IF(AND($X$80,NOT(I457=""),$X$79),I457,NA())</f>
        <v>#N/A</v>
      </c>
      <c r="AO525" s="16" t="str">
        <f t="shared" ref="AO525:AO588" si="82">IF(AP525="","",IF($AU$79=0,AN525,AP525*$AU$79))</f>
        <v/>
      </c>
      <c r="AP525" s="16" t="str">
        <f t="shared" ref="AP525:AP588" si="83">IF(ISNA(AN525),"",IF($AU$79=0,AN525,ROUND(AN525/$AU$79,0)))</f>
        <v/>
      </c>
      <c r="AQ525" s="16" t="e">
        <f>IF(AP525="",NA(),COUNTIF(AP$176:$AP525,AP525))</f>
        <v>#N/A</v>
      </c>
      <c r="AR525" s="16" t="e">
        <f t="shared" ref="AR525:AR588" si="84">(AQ525-1)*$AU$82</f>
        <v>#N/A</v>
      </c>
      <c r="BI525" s="621">
        <v>517</v>
      </c>
      <c r="BJ525" s="711"/>
      <c r="BK525" s="712"/>
      <c r="BL525" s="713">
        <v>517</v>
      </c>
      <c r="BM525" s="714"/>
      <c r="BN525" s="239"/>
      <c r="BO525" s="24"/>
      <c r="BQ525" s="621">
        <v>517</v>
      </c>
      <c r="BR525" s="711"/>
      <c r="BS525" s="712"/>
      <c r="BT525" s="713">
        <v>517</v>
      </c>
      <c r="BU525" s="714"/>
      <c r="BV525" s="239"/>
      <c r="BW525" s="24"/>
      <c r="BY525" s="621">
        <v>517</v>
      </c>
      <c r="BZ525" s="711"/>
      <c r="CA525" s="712"/>
      <c r="CB525" s="713">
        <v>517</v>
      </c>
      <c r="CC525" s="714"/>
      <c r="CD525" s="239"/>
      <c r="CE525" s="24"/>
    </row>
    <row r="526" spans="5:83" ht="12" customHeight="1">
      <c r="E526" s="621">
        <v>518</v>
      </c>
      <c r="F526" s="711"/>
      <c r="G526" s="712"/>
      <c r="H526" s="713">
        <v>518</v>
      </c>
      <c r="I526" s="714"/>
      <c r="J526" s="239"/>
      <c r="K526" s="24"/>
      <c r="AI526" s="16" t="e">
        <f t="shared" si="77"/>
        <v>#N/A</v>
      </c>
      <c r="AJ526" s="16" t="str">
        <f t="shared" si="78"/>
        <v/>
      </c>
      <c r="AK526" s="16" t="str">
        <f t="shared" si="79"/>
        <v/>
      </c>
      <c r="AL526" s="16" t="e">
        <f>IF(AK526="",NA(),COUNTIF(AK$176:$AK526,AK526))</f>
        <v>#N/A</v>
      </c>
      <c r="AM526" s="16" t="e">
        <f t="shared" si="80"/>
        <v>#N/A</v>
      </c>
      <c r="AN526" s="16" t="e">
        <f t="shared" si="81"/>
        <v>#N/A</v>
      </c>
      <c r="AO526" s="16" t="str">
        <f t="shared" si="82"/>
        <v/>
      </c>
      <c r="AP526" s="16" t="str">
        <f t="shared" si="83"/>
        <v/>
      </c>
      <c r="AQ526" s="16" t="e">
        <f>IF(AP526="",NA(),COUNTIF(AP$176:$AP526,AP526))</f>
        <v>#N/A</v>
      </c>
      <c r="AR526" s="16" t="e">
        <f t="shared" si="84"/>
        <v>#N/A</v>
      </c>
      <c r="BI526" s="621">
        <v>518</v>
      </c>
      <c r="BJ526" s="711"/>
      <c r="BK526" s="712"/>
      <c r="BL526" s="713">
        <v>518</v>
      </c>
      <c r="BM526" s="714"/>
      <c r="BN526" s="239"/>
      <c r="BO526" s="24"/>
      <c r="BQ526" s="621">
        <v>518</v>
      </c>
      <c r="BR526" s="711"/>
      <c r="BS526" s="712"/>
      <c r="BT526" s="713">
        <v>518</v>
      </c>
      <c r="BU526" s="714"/>
      <c r="BV526" s="239"/>
      <c r="BW526" s="24"/>
      <c r="BY526" s="621">
        <v>518</v>
      </c>
      <c r="BZ526" s="711"/>
      <c r="CA526" s="712"/>
      <c r="CB526" s="713">
        <v>518</v>
      </c>
      <c r="CC526" s="714"/>
      <c r="CD526" s="239"/>
      <c r="CE526" s="24"/>
    </row>
    <row r="527" spans="5:83" ht="12" customHeight="1">
      <c r="E527" s="621">
        <v>519</v>
      </c>
      <c r="F527" s="711"/>
      <c r="G527" s="712"/>
      <c r="H527" s="713">
        <v>519</v>
      </c>
      <c r="I527" s="714"/>
      <c r="J527" s="239"/>
      <c r="K527" s="24"/>
      <c r="AI527" s="16" t="e">
        <f t="shared" si="77"/>
        <v>#N/A</v>
      </c>
      <c r="AJ527" s="16" t="str">
        <f t="shared" si="78"/>
        <v/>
      </c>
      <c r="AK527" s="16" t="str">
        <f t="shared" si="79"/>
        <v/>
      </c>
      <c r="AL527" s="16" t="e">
        <f>IF(AK527="",NA(),COUNTIF(AK$176:$AK527,AK527))</f>
        <v>#N/A</v>
      </c>
      <c r="AM527" s="16" t="e">
        <f t="shared" si="80"/>
        <v>#N/A</v>
      </c>
      <c r="AN527" s="16" t="e">
        <f t="shared" si="81"/>
        <v>#N/A</v>
      </c>
      <c r="AO527" s="16" t="str">
        <f t="shared" si="82"/>
        <v/>
      </c>
      <c r="AP527" s="16" t="str">
        <f t="shared" si="83"/>
        <v/>
      </c>
      <c r="AQ527" s="16" t="e">
        <f>IF(AP527="",NA(),COUNTIF(AP$176:$AP527,AP527))</f>
        <v>#N/A</v>
      </c>
      <c r="AR527" s="16" t="e">
        <f t="shared" si="84"/>
        <v>#N/A</v>
      </c>
      <c r="BI527" s="621">
        <v>519</v>
      </c>
      <c r="BJ527" s="711"/>
      <c r="BK527" s="712"/>
      <c r="BL527" s="713">
        <v>519</v>
      </c>
      <c r="BM527" s="714"/>
      <c r="BN527" s="239"/>
      <c r="BO527" s="24"/>
      <c r="BQ527" s="621">
        <v>519</v>
      </c>
      <c r="BR527" s="711"/>
      <c r="BS527" s="712"/>
      <c r="BT527" s="713">
        <v>519</v>
      </c>
      <c r="BU527" s="714"/>
      <c r="BV527" s="239"/>
      <c r="BW527" s="24"/>
      <c r="BY527" s="621">
        <v>519</v>
      </c>
      <c r="BZ527" s="711"/>
      <c r="CA527" s="712"/>
      <c r="CB527" s="713">
        <v>519</v>
      </c>
      <c r="CC527" s="714"/>
      <c r="CD527" s="239"/>
      <c r="CE527" s="24"/>
    </row>
    <row r="528" spans="5:83" ht="12" customHeight="1">
      <c r="E528" s="621">
        <v>520</v>
      </c>
      <c r="F528" s="711"/>
      <c r="G528" s="712"/>
      <c r="H528" s="713">
        <v>520</v>
      </c>
      <c r="I528" s="714"/>
      <c r="J528" s="239"/>
      <c r="K528" s="24"/>
      <c r="AI528" s="16" t="e">
        <f t="shared" si="77"/>
        <v>#N/A</v>
      </c>
      <c r="AJ528" s="16" t="str">
        <f t="shared" si="78"/>
        <v/>
      </c>
      <c r="AK528" s="16" t="str">
        <f t="shared" si="79"/>
        <v/>
      </c>
      <c r="AL528" s="16" t="e">
        <f>IF(AK528="",NA(),COUNTIF(AK$176:$AK528,AK528))</f>
        <v>#N/A</v>
      </c>
      <c r="AM528" s="16" t="e">
        <f t="shared" si="80"/>
        <v>#N/A</v>
      </c>
      <c r="AN528" s="16" t="e">
        <f t="shared" si="81"/>
        <v>#N/A</v>
      </c>
      <c r="AO528" s="16" t="str">
        <f t="shared" si="82"/>
        <v/>
      </c>
      <c r="AP528" s="16" t="str">
        <f t="shared" si="83"/>
        <v/>
      </c>
      <c r="AQ528" s="16" t="e">
        <f>IF(AP528="",NA(),COUNTIF(AP$176:$AP528,AP528))</f>
        <v>#N/A</v>
      </c>
      <c r="AR528" s="16" t="e">
        <f t="shared" si="84"/>
        <v>#N/A</v>
      </c>
      <c r="BI528" s="621">
        <v>520</v>
      </c>
      <c r="BJ528" s="711"/>
      <c r="BK528" s="712"/>
      <c r="BL528" s="713">
        <v>520</v>
      </c>
      <c r="BM528" s="714"/>
      <c r="BN528" s="239"/>
      <c r="BO528" s="24"/>
      <c r="BQ528" s="621">
        <v>520</v>
      </c>
      <c r="BR528" s="711"/>
      <c r="BS528" s="712"/>
      <c r="BT528" s="713">
        <v>520</v>
      </c>
      <c r="BU528" s="714"/>
      <c r="BV528" s="239"/>
      <c r="BW528" s="24"/>
      <c r="BY528" s="621">
        <v>520</v>
      </c>
      <c r="BZ528" s="711"/>
      <c r="CA528" s="712"/>
      <c r="CB528" s="713">
        <v>520</v>
      </c>
      <c r="CC528" s="714"/>
      <c r="CD528" s="239"/>
      <c r="CE528" s="24"/>
    </row>
    <row r="529" spans="5:83" ht="12" customHeight="1">
      <c r="E529" s="621">
        <v>521</v>
      </c>
      <c r="F529" s="711"/>
      <c r="G529" s="712"/>
      <c r="H529" s="713">
        <v>521</v>
      </c>
      <c r="I529" s="714"/>
      <c r="J529" s="239"/>
      <c r="K529" s="24"/>
      <c r="AI529" s="16" t="e">
        <f t="shared" si="77"/>
        <v>#N/A</v>
      </c>
      <c r="AJ529" s="16" t="str">
        <f t="shared" si="78"/>
        <v/>
      </c>
      <c r="AK529" s="16" t="str">
        <f t="shared" si="79"/>
        <v/>
      </c>
      <c r="AL529" s="16" t="e">
        <f>IF(AK529="",NA(),COUNTIF(AK$176:$AK529,AK529))</f>
        <v>#N/A</v>
      </c>
      <c r="AM529" s="16" t="e">
        <f t="shared" si="80"/>
        <v>#N/A</v>
      </c>
      <c r="AN529" s="16" t="e">
        <f t="shared" si="81"/>
        <v>#N/A</v>
      </c>
      <c r="AO529" s="16" t="str">
        <f t="shared" si="82"/>
        <v/>
      </c>
      <c r="AP529" s="16" t="str">
        <f t="shared" si="83"/>
        <v/>
      </c>
      <c r="AQ529" s="16" t="e">
        <f>IF(AP529="",NA(),COUNTIF(AP$176:$AP529,AP529))</f>
        <v>#N/A</v>
      </c>
      <c r="AR529" s="16" t="e">
        <f t="shared" si="84"/>
        <v>#N/A</v>
      </c>
      <c r="BI529" s="621">
        <v>521</v>
      </c>
      <c r="BJ529" s="711"/>
      <c r="BK529" s="712"/>
      <c r="BL529" s="713">
        <v>521</v>
      </c>
      <c r="BM529" s="714"/>
      <c r="BN529" s="239"/>
      <c r="BO529" s="24"/>
      <c r="BQ529" s="621">
        <v>521</v>
      </c>
      <c r="BR529" s="711"/>
      <c r="BS529" s="712"/>
      <c r="BT529" s="713">
        <v>521</v>
      </c>
      <c r="BU529" s="714"/>
      <c r="BV529" s="239"/>
      <c r="BW529" s="24"/>
      <c r="BY529" s="621">
        <v>521</v>
      </c>
      <c r="BZ529" s="711"/>
      <c r="CA529" s="712"/>
      <c r="CB529" s="713">
        <v>521</v>
      </c>
      <c r="CC529" s="714"/>
      <c r="CD529" s="239"/>
      <c r="CE529" s="24"/>
    </row>
    <row r="530" spans="5:83" ht="12" customHeight="1">
      <c r="E530" s="621">
        <v>522</v>
      </c>
      <c r="F530" s="711"/>
      <c r="G530" s="712"/>
      <c r="H530" s="713">
        <v>522</v>
      </c>
      <c r="I530" s="714"/>
      <c r="J530" s="239"/>
      <c r="K530" s="24"/>
      <c r="AI530" s="16" t="e">
        <f t="shared" si="77"/>
        <v>#N/A</v>
      </c>
      <c r="AJ530" s="16" t="str">
        <f t="shared" si="78"/>
        <v/>
      </c>
      <c r="AK530" s="16" t="str">
        <f t="shared" si="79"/>
        <v/>
      </c>
      <c r="AL530" s="16" t="e">
        <f>IF(AK530="",NA(),COUNTIF(AK$176:$AK530,AK530))</f>
        <v>#N/A</v>
      </c>
      <c r="AM530" s="16" t="e">
        <f t="shared" si="80"/>
        <v>#N/A</v>
      </c>
      <c r="AN530" s="16" t="e">
        <f t="shared" si="81"/>
        <v>#N/A</v>
      </c>
      <c r="AO530" s="16" t="str">
        <f t="shared" si="82"/>
        <v/>
      </c>
      <c r="AP530" s="16" t="str">
        <f t="shared" si="83"/>
        <v/>
      </c>
      <c r="AQ530" s="16" t="e">
        <f>IF(AP530="",NA(),COUNTIF(AP$176:$AP530,AP530))</f>
        <v>#N/A</v>
      </c>
      <c r="AR530" s="16" t="e">
        <f t="shared" si="84"/>
        <v>#N/A</v>
      </c>
      <c r="BI530" s="621">
        <v>522</v>
      </c>
      <c r="BJ530" s="711"/>
      <c r="BK530" s="712"/>
      <c r="BL530" s="713">
        <v>522</v>
      </c>
      <c r="BM530" s="714"/>
      <c r="BN530" s="239"/>
      <c r="BO530" s="24"/>
      <c r="BQ530" s="621">
        <v>522</v>
      </c>
      <c r="BR530" s="711"/>
      <c r="BS530" s="712"/>
      <c r="BT530" s="713">
        <v>522</v>
      </c>
      <c r="BU530" s="714"/>
      <c r="BV530" s="239"/>
      <c r="BW530" s="24"/>
      <c r="BY530" s="621">
        <v>522</v>
      </c>
      <c r="BZ530" s="711"/>
      <c r="CA530" s="712"/>
      <c r="CB530" s="713">
        <v>522</v>
      </c>
      <c r="CC530" s="714"/>
      <c r="CD530" s="239"/>
      <c r="CE530" s="24"/>
    </row>
    <row r="531" spans="5:83" ht="12" customHeight="1">
      <c r="E531" s="621">
        <v>523</v>
      </c>
      <c r="F531" s="711"/>
      <c r="G531" s="712"/>
      <c r="H531" s="713">
        <v>523</v>
      </c>
      <c r="I531" s="714"/>
      <c r="J531" s="239"/>
      <c r="K531" s="24"/>
      <c r="AI531" s="16" t="e">
        <f t="shared" si="77"/>
        <v>#N/A</v>
      </c>
      <c r="AJ531" s="16" t="str">
        <f t="shared" si="78"/>
        <v/>
      </c>
      <c r="AK531" s="16" t="str">
        <f t="shared" si="79"/>
        <v/>
      </c>
      <c r="AL531" s="16" t="e">
        <f>IF(AK531="",NA(),COUNTIF(AK$176:$AK531,AK531))</f>
        <v>#N/A</v>
      </c>
      <c r="AM531" s="16" t="e">
        <f t="shared" si="80"/>
        <v>#N/A</v>
      </c>
      <c r="AN531" s="16" t="e">
        <f t="shared" si="81"/>
        <v>#N/A</v>
      </c>
      <c r="AO531" s="16" t="str">
        <f t="shared" si="82"/>
        <v/>
      </c>
      <c r="AP531" s="16" t="str">
        <f t="shared" si="83"/>
        <v/>
      </c>
      <c r="AQ531" s="16" t="e">
        <f>IF(AP531="",NA(),COUNTIF(AP$176:$AP531,AP531))</f>
        <v>#N/A</v>
      </c>
      <c r="AR531" s="16" t="e">
        <f t="shared" si="84"/>
        <v>#N/A</v>
      </c>
      <c r="BI531" s="621">
        <v>523</v>
      </c>
      <c r="BJ531" s="711"/>
      <c r="BK531" s="712"/>
      <c r="BL531" s="713">
        <v>523</v>
      </c>
      <c r="BM531" s="714"/>
      <c r="BN531" s="239"/>
      <c r="BO531" s="24"/>
      <c r="BQ531" s="621">
        <v>523</v>
      </c>
      <c r="BR531" s="711"/>
      <c r="BS531" s="712"/>
      <c r="BT531" s="713">
        <v>523</v>
      </c>
      <c r="BU531" s="714"/>
      <c r="BV531" s="239"/>
      <c r="BW531" s="24"/>
      <c r="BY531" s="621">
        <v>523</v>
      </c>
      <c r="BZ531" s="711"/>
      <c r="CA531" s="712"/>
      <c r="CB531" s="713">
        <v>523</v>
      </c>
      <c r="CC531" s="714"/>
      <c r="CD531" s="239"/>
      <c r="CE531" s="24"/>
    </row>
    <row r="532" spans="5:83" ht="12" customHeight="1">
      <c r="E532" s="621">
        <v>524</v>
      </c>
      <c r="F532" s="711"/>
      <c r="G532" s="712"/>
      <c r="H532" s="713">
        <v>524</v>
      </c>
      <c r="I532" s="714"/>
      <c r="J532" s="239"/>
      <c r="K532" s="24"/>
      <c r="AI532" s="16" t="e">
        <f t="shared" si="77"/>
        <v>#N/A</v>
      </c>
      <c r="AJ532" s="16" t="str">
        <f t="shared" si="78"/>
        <v/>
      </c>
      <c r="AK532" s="16" t="str">
        <f t="shared" si="79"/>
        <v/>
      </c>
      <c r="AL532" s="16" t="e">
        <f>IF(AK532="",NA(),COUNTIF(AK$176:$AK532,AK532))</f>
        <v>#N/A</v>
      </c>
      <c r="AM532" s="16" t="e">
        <f t="shared" si="80"/>
        <v>#N/A</v>
      </c>
      <c r="AN532" s="16" t="e">
        <f t="shared" si="81"/>
        <v>#N/A</v>
      </c>
      <c r="AO532" s="16" t="str">
        <f t="shared" si="82"/>
        <v/>
      </c>
      <c r="AP532" s="16" t="str">
        <f t="shared" si="83"/>
        <v/>
      </c>
      <c r="AQ532" s="16" t="e">
        <f>IF(AP532="",NA(),COUNTIF(AP$176:$AP532,AP532))</f>
        <v>#N/A</v>
      </c>
      <c r="AR532" s="16" t="e">
        <f t="shared" si="84"/>
        <v>#N/A</v>
      </c>
      <c r="BI532" s="621">
        <v>524</v>
      </c>
      <c r="BJ532" s="711"/>
      <c r="BK532" s="712"/>
      <c r="BL532" s="713">
        <v>524</v>
      </c>
      <c r="BM532" s="714"/>
      <c r="BN532" s="239"/>
      <c r="BO532" s="24"/>
      <c r="BQ532" s="621">
        <v>524</v>
      </c>
      <c r="BR532" s="711"/>
      <c r="BS532" s="712"/>
      <c r="BT532" s="713">
        <v>524</v>
      </c>
      <c r="BU532" s="714"/>
      <c r="BV532" s="239"/>
      <c r="BW532" s="24"/>
      <c r="BY532" s="621">
        <v>524</v>
      </c>
      <c r="BZ532" s="711"/>
      <c r="CA532" s="712"/>
      <c r="CB532" s="713">
        <v>524</v>
      </c>
      <c r="CC532" s="714"/>
      <c r="CD532" s="239"/>
      <c r="CE532" s="24"/>
    </row>
    <row r="533" spans="5:83" ht="12" customHeight="1">
      <c r="E533" s="621">
        <v>525</v>
      </c>
      <c r="F533" s="711"/>
      <c r="G533" s="712"/>
      <c r="H533" s="713">
        <v>525</v>
      </c>
      <c r="I533" s="714"/>
      <c r="J533" s="239"/>
      <c r="K533" s="24"/>
      <c r="AI533" s="16" t="e">
        <f t="shared" si="77"/>
        <v>#N/A</v>
      </c>
      <c r="AJ533" s="16" t="str">
        <f t="shared" si="78"/>
        <v/>
      </c>
      <c r="AK533" s="16" t="str">
        <f t="shared" si="79"/>
        <v/>
      </c>
      <c r="AL533" s="16" t="e">
        <f>IF(AK533="",NA(),COUNTIF(AK$176:$AK533,AK533))</f>
        <v>#N/A</v>
      </c>
      <c r="AM533" s="16" t="e">
        <f t="shared" si="80"/>
        <v>#N/A</v>
      </c>
      <c r="AN533" s="16" t="e">
        <f t="shared" si="81"/>
        <v>#N/A</v>
      </c>
      <c r="AO533" s="16" t="str">
        <f t="shared" si="82"/>
        <v/>
      </c>
      <c r="AP533" s="16" t="str">
        <f t="shared" si="83"/>
        <v/>
      </c>
      <c r="AQ533" s="16" t="e">
        <f>IF(AP533="",NA(),COUNTIF(AP$176:$AP533,AP533))</f>
        <v>#N/A</v>
      </c>
      <c r="AR533" s="16" t="e">
        <f t="shared" si="84"/>
        <v>#N/A</v>
      </c>
      <c r="BI533" s="621">
        <v>525</v>
      </c>
      <c r="BJ533" s="711"/>
      <c r="BK533" s="712"/>
      <c r="BL533" s="713">
        <v>525</v>
      </c>
      <c r="BM533" s="714"/>
      <c r="BN533" s="239"/>
      <c r="BO533" s="24"/>
      <c r="BQ533" s="621">
        <v>525</v>
      </c>
      <c r="BR533" s="711"/>
      <c r="BS533" s="712"/>
      <c r="BT533" s="713">
        <v>525</v>
      </c>
      <c r="BU533" s="714"/>
      <c r="BV533" s="239"/>
      <c r="BW533" s="24"/>
      <c r="BY533" s="621">
        <v>525</v>
      </c>
      <c r="BZ533" s="711"/>
      <c r="CA533" s="712"/>
      <c r="CB533" s="713">
        <v>525</v>
      </c>
      <c r="CC533" s="714"/>
      <c r="CD533" s="239"/>
      <c r="CE533" s="24"/>
    </row>
    <row r="534" spans="5:83" ht="12" customHeight="1">
      <c r="E534" s="621">
        <v>526</v>
      </c>
      <c r="F534" s="711"/>
      <c r="G534" s="712"/>
      <c r="H534" s="713">
        <v>526</v>
      </c>
      <c r="I534" s="714"/>
      <c r="J534" s="239"/>
      <c r="K534" s="24"/>
      <c r="AI534" s="16" t="e">
        <f t="shared" si="77"/>
        <v>#N/A</v>
      </c>
      <c r="AJ534" s="16" t="str">
        <f t="shared" si="78"/>
        <v/>
      </c>
      <c r="AK534" s="16" t="str">
        <f t="shared" si="79"/>
        <v/>
      </c>
      <c r="AL534" s="16" t="e">
        <f>IF(AK534="",NA(),COUNTIF(AK$176:$AK534,AK534))</f>
        <v>#N/A</v>
      </c>
      <c r="AM534" s="16" t="e">
        <f t="shared" si="80"/>
        <v>#N/A</v>
      </c>
      <c r="AN534" s="16" t="e">
        <f t="shared" si="81"/>
        <v>#N/A</v>
      </c>
      <c r="AO534" s="16" t="str">
        <f t="shared" si="82"/>
        <v/>
      </c>
      <c r="AP534" s="16" t="str">
        <f t="shared" si="83"/>
        <v/>
      </c>
      <c r="AQ534" s="16" t="e">
        <f>IF(AP534="",NA(),COUNTIF(AP$176:$AP534,AP534))</f>
        <v>#N/A</v>
      </c>
      <c r="AR534" s="16" t="e">
        <f t="shared" si="84"/>
        <v>#N/A</v>
      </c>
      <c r="BI534" s="621">
        <v>526</v>
      </c>
      <c r="BJ534" s="711"/>
      <c r="BK534" s="712"/>
      <c r="BL534" s="713">
        <v>526</v>
      </c>
      <c r="BM534" s="714"/>
      <c r="BN534" s="239"/>
      <c r="BO534" s="24"/>
      <c r="BQ534" s="621">
        <v>526</v>
      </c>
      <c r="BR534" s="711"/>
      <c r="BS534" s="712"/>
      <c r="BT534" s="713">
        <v>526</v>
      </c>
      <c r="BU534" s="714"/>
      <c r="BV534" s="239"/>
      <c r="BW534" s="24"/>
      <c r="BY534" s="621">
        <v>526</v>
      </c>
      <c r="BZ534" s="711"/>
      <c r="CA534" s="712"/>
      <c r="CB534" s="713">
        <v>526</v>
      </c>
      <c r="CC534" s="714"/>
      <c r="CD534" s="239"/>
      <c r="CE534" s="24"/>
    </row>
    <row r="535" spans="5:83" ht="12" customHeight="1">
      <c r="E535" s="621">
        <v>527</v>
      </c>
      <c r="F535" s="711"/>
      <c r="G535" s="712"/>
      <c r="H535" s="713">
        <v>527</v>
      </c>
      <c r="I535" s="714"/>
      <c r="J535" s="239"/>
      <c r="K535" s="24"/>
      <c r="AI535" s="16" t="e">
        <f t="shared" si="77"/>
        <v>#N/A</v>
      </c>
      <c r="AJ535" s="16" t="str">
        <f t="shared" si="78"/>
        <v/>
      </c>
      <c r="AK535" s="16" t="str">
        <f t="shared" si="79"/>
        <v/>
      </c>
      <c r="AL535" s="16" t="e">
        <f>IF(AK535="",NA(),COUNTIF(AK$176:$AK535,AK535))</f>
        <v>#N/A</v>
      </c>
      <c r="AM535" s="16" t="e">
        <f t="shared" si="80"/>
        <v>#N/A</v>
      </c>
      <c r="AN535" s="16" t="e">
        <f t="shared" si="81"/>
        <v>#N/A</v>
      </c>
      <c r="AO535" s="16" t="str">
        <f t="shared" si="82"/>
        <v/>
      </c>
      <c r="AP535" s="16" t="str">
        <f t="shared" si="83"/>
        <v/>
      </c>
      <c r="AQ535" s="16" t="e">
        <f>IF(AP535="",NA(),COUNTIF(AP$176:$AP535,AP535))</f>
        <v>#N/A</v>
      </c>
      <c r="AR535" s="16" t="e">
        <f t="shared" si="84"/>
        <v>#N/A</v>
      </c>
      <c r="BI535" s="621">
        <v>527</v>
      </c>
      <c r="BJ535" s="711"/>
      <c r="BK535" s="712"/>
      <c r="BL535" s="713">
        <v>527</v>
      </c>
      <c r="BM535" s="714"/>
      <c r="BN535" s="239"/>
      <c r="BO535" s="24"/>
      <c r="BQ535" s="621">
        <v>527</v>
      </c>
      <c r="BR535" s="711"/>
      <c r="BS535" s="712"/>
      <c r="BT535" s="713">
        <v>527</v>
      </c>
      <c r="BU535" s="714"/>
      <c r="BV535" s="239"/>
      <c r="BW535" s="24"/>
      <c r="BY535" s="621">
        <v>527</v>
      </c>
      <c r="BZ535" s="711"/>
      <c r="CA535" s="712"/>
      <c r="CB535" s="713">
        <v>527</v>
      </c>
      <c r="CC535" s="714"/>
      <c r="CD535" s="239"/>
      <c r="CE535" s="24"/>
    </row>
    <row r="536" spans="5:83" ht="12" customHeight="1">
      <c r="E536" s="621">
        <v>528</v>
      </c>
      <c r="F536" s="711"/>
      <c r="G536" s="712"/>
      <c r="H536" s="713">
        <v>528</v>
      </c>
      <c r="I536" s="714"/>
      <c r="J536" s="239"/>
      <c r="K536" s="24"/>
      <c r="AI536" s="16" t="e">
        <f t="shared" si="77"/>
        <v>#N/A</v>
      </c>
      <c r="AJ536" s="16" t="str">
        <f t="shared" si="78"/>
        <v/>
      </c>
      <c r="AK536" s="16" t="str">
        <f t="shared" si="79"/>
        <v/>
      </c>
      <c r="AL536" s="16" t="e">
        <f>IF(AK536="",NA(),COUNTIF(AK$176:$AK536,AK536))</f>
        <v>#N/A</v>
      </c>
      <c r="AM536" s="16" t="e">
        <f t="shared" si="80"/>
        <v>#N/A</v>
      </c>
      <c r="AN536" s="16" t="e">
        <f t="shared" si="81"/>
        <v>#N/A</v>
      </c>
      <c r="AO536" s="16" t="str">
        <f t="shared" si="82"/>
        <v/>
      </c>
      <c r="AP536" s="16" t="str">
        <f t="shared" si="83"/>
        <v/>
      </c>
      <c r="AQ536" s="16" t="e">
        <f>IF(AP536="",NA(),COUNTIF(AP$176:$AP536,AP536))</f>
        <v>#N/A</v>
      </c>
      <c r="AR536" s="16" t="e">
        <f t="shared" si="84"/>
        <v>#N/A</v>
      </c>
      <c r="BI536" s="621">
        <v>528</v>
      </c>
      <c r="BJ536" s="711"/>
      <c r="BK536" s="712"/>
      <c r="BL536" s="713">
        <v>528</v>
      </c>
      <c r="BM536" s="714"/>
      <c r="BN536" s="239"/>
      <c r="BO536" s="24"/>
      <c r="BQ536" s="621">
        <v>528</v>
      </c>
      <c r="BR536" s="711"/>
      <c r="BS536" s="712"/>
      <c r="BT536" s="713">
        <v>528</v>
      </c>
      <c r="BU536" s="714"/>
      <c r="BV536" s="239"/>
      <c r="BW536" s="24"/>
      <c r="BY536" s="621">
        <v>528</v>
      </c>
      <c r="BZ536" s="711"/>
      <c r="CA536" s="712"/>
      <c r="CB536" s="713">
        <v>528</v>
      </c>
      <c r="CC536" s="714"/>
      <c r="CD536" s="239"/>
      <c r="CE536" s="24"/>
    </row>
    <row r="537" spans="5:83" ht="12" customHeight="1">
      <c r="E537" s="621">
        <v>529</v>
      </c>
      <c r="F537" s="711"/>
      <c r="G537" s="712"/>
      <c r="H537" s="713">
        <v>529</v>
      </c>
      <c r="I537" s="714"/>
      <c r="J537" s="239"/>
      <c r="K537" s="24"/>
      <c r="AI537" s="16" t="e">
        <f t="shared" si="77"/>
        <v>#N/A</v>
      </c>
      <c r="AJ537" s="16" t="str">
        <f t="shared" si="78"/>
        <v/>
      </c>
      <c r="AK537" s="16" t="str">
        <f t="shared" si="79"/>
        <v/>
      </c>
      <c r="AL537" s="16" t="e">
        <f>IF(AK537="",NA(),COUNTIF(AK$176:$AK537,AK537))</f>
        <v>#N/A</v>
      </c>
      <c r="AM537" s="16" t="e">
        <f t="shared" si="80"/>
        <v>#N/A</v>
      </c>
      <c r="AN537" s="16" t="e">
        <f t="shared" si="81"/>
        <v>#N/A</v>
      </c>
      <c r="AO537" s="16" t="str">
        <f t="shared" si="82"/>
        <v/>
      </c>
      <c r="AP537" s="16" t="str">
        <f t="shared" si="83"/>
        <v/>
      </c>
      <c r="AQ537" s="16" t="e">
        <f>IF(AP537="",NA(),COUNTIF(AP$176:$AP537,AP537))</f>
        <v>#N/A</v>
      </c>
      <c r="AR537" s="16" t="e">
        <f t="shared" si="84"/>
        <v>#N/A</v>
      </c>
      <c r="BI537" s="621">
        <v>529</v>
      </c>
      <c r="BJ537" s="711"/>
      <c r="BK537" s="712"/>
      <c r="BL537" s="713">
        <v>529</v>
      </c>
      <c r="BM537" s="714"/>
      <c r="BN537" s="239"/>
      <c r="BO537" s="24"/>
      <c r="BQ537" s="621">
        <v>529</v>
      </c>
      <c r="BR537" s="711"/>
      <c r="BS537" s="712"/>
      <c r="BT537" s="713">
        <v>529</v>
      </c>
      <c r="BU537" s="714"/>
      <c r="BV537" s="239"/>
      <c r="BW537" s="24"/>
      <c r="BY537" s="621">
        <v>529</v>
      </c>
      <c r="BZ537" s="711"/>
      <c r="CA537" s="712"/>
      <c r="CB537" s="713">
        <v>529</v>
      </c>
      <c r="CC537" s="714"/>
      <c r="CD537" s="239"/>
      <c r="CE537" s="24"/>
    </row>
    <row r="538" spans="5:83" ht="12" customHeight="1">
      <c r="E538" s="621">
        <v>530</v>
      </c>
      <c r="F538" s="711"/>
      <c r="G538" s="712"/>
      <c r="H538" s="713">
        <v>530</v>
      </c>
      <c r="I538" s="714"/>
      <c r="J538" s="239"/>
      <c r="K538" s="24"/>
      <c r="AI538" s="16" t="e">
        <f t="shared" si="77"/>
        <v>#N/A</v>
      </c>
      <c r="AJ538" s="16" t="str">
        <f t="shared" si="78"/>
        <v/>
      </c>
      <c r="AK538" s="16" t="str">
        <f t="shared" si="79"/>
        <v/>
      </c>
      <c r="AL538" s="16" t="e">
        <f>IF(AK538="",NA(),COUNTIF(AK$176:$AK538,AK538))</f>
        <v>#N/A</v>
      </c>
      <c r="AM538" s="16" t="e">
        <f t="shared" si="80"/>
        <v>#N/A</v>
      </c>
      <c r="AN538" s="16" t="e">
        <f t="shared" si="81"/>
        <v>#N/A</v>
      </c>
      <c r="AO538" s="16" t="str">
        <f t="shared" si="82"/>
        <v/>
      </c>
      <c r="AP538" s="16" t="str">
        <f t="shared" si="83"/>
        <v/>
      </c>
      <c r="AQ538" s="16" t="e">
        <f>IF(AP538="",NA(),COUNTIF(AP$176:$AP538,AP538))</f>
        <v>#N/A</v>
      </c>
      <c r="AR538" s="16" t="e">
        <f t="shared" si="84"/>
        <v>#N/A</v>
      </c>
      <c r="BI538" s="621">
        <v>530</v>
      </c>
      <c r="BJ538" s="711"/>
      <c r="BK538" s="712"/>
      <c r="BL538" s="713">
        <v>530</v>
      </c>
      <c r="BM538" s="714"/>
      <c r="BN538" s="239"/>
      <c r="BO538" s="24"/>
      <c r="BQ538" s="621">
        <v>530</v>
      </c>
      <c r="BR538" s="711"/>
      <c r="BS538" s="712"/>
      <c r="BT538" s="713">
        <v>530</v>
      </c>
      <c r="BU538" s="714"/>
      <c r="BV538" s="239"/>
      <c r="BW538" s="24"/>
      <c r="BY538" s="621">
        <v>530</v>
      </c>
      <c r="BZ538" s="711"/>
      <c r="CA538" s="712"/>
      <c r="CB538" s="713">
        <v>530</v>
      </c>
      <c r="CC538" s="714"/>
      <c r="CD538" s="239"/>
      <c r="CE538" s="24"/>
    </row>
    <row r="539" spans="5:83" ht="12" customHeight="1">
      <c r="E539" s="621">
        <v>531</v>
      </c>
      <c r="F539" s="711"/>
      <c r="G539" s="712"/>
      <c r="H539" s="713">
        <v>531</v>
      </c>
      <c r="I539" s="714"/>
      <c r="J539" s="239"/>
      <c r="K539" s="24"/>
      <c r="AI539" s="16" t="e">
        <f t="shared" si="77"/>
        <v>#N/A</v>
      </c>
      <c r="AJ539" s="16" t="str">
        <f t="shared" si="78"/>
        <v/>
      </c>
      <c r="AK539" s="16" t="str">
        <f t="shared" si="79"/>
        <v/>
      </c>
      <c r="AL539" s="16" t="e">
        <f>IF(AK539="",NA(),COUNTIF(AK$176:$AK539,AK539))</f>
        <v>#N/A</v>
      </c>
      <c r="AM539" s="16" t="e">
        <f t="shared" si="80"/>
        <v>#N/A</v>
      </c>
      <c r="AN539" s="16" t="e">
        <f t="shared" si="81"/>
        <v>#N/A</v>
      </c>
      <c r="AO539" s="16" t="str">
        <f t="shared" si="82"/>
        <v/>
      </c>
      <c r="AP539" s="16" t="str">
        <f t="shared" si="83"/>
        <v/>
      </c>
      <c r="AQ539" s="16" t="e">
        <f>IF(AP539="",NA(),COUNTIF(AP$176:$AP539,AP539))</f>
        <v>#N/A</v>
      </c>
      <c r="AR539" s="16" t="e">
        <f t="shared" si="84"/>
        <v>#N/A</v>
      </c>
      <c r="BI539" s="621">
        <v>531</v>
      </c>
      <c r="BJ539" s="711"/>
      <c r="BK539" s="712"/>
      <c r="BL539" s="713">
        <v>531</v>
      </c>
      <c r="BM539" s="714"/>
      <c r="BN539" s="239"/>
      <c r="BO539" s="24"/>
      <c r="BQ539" s="621">
        <v>531</v>
      </c>
      <c r="BR539" s="711"/>
      <c r="BS539" s="712"/>
      <c r="BT539" s="713">
        <v>531</v>
      </c>
      <c r="BU539" s="714"/>
      <c r="BV539" s="239"/>
      <c r="BW539" s="24"/>
      <c r="BY539" s="621">
        <v>531</v>
      </c>
      <c r="BZ539" s="711"/>
      <c r="CA539" s="712"/>
      <c r="CB539" s="713">
        <v>531</v>
      </c>
      <c r="CC539" s="714"/>
      <c r="CD539" s="239"/>
      <c r="CE539" s="24"/>
    </row>
    <row r="540" spans="5:83" ht="12" customHeight="1">
      <c r="E540" s="621">
        <v>532</v>
      </c>
      <c r="F540" s="711"/>
      <c r="G540" s="712"/>
      <c r="H540" s="713">
        <v>532</v>
      </c>
      <c r="I540" s="714"/>
      <c r="J540" s="239"/>
      <c r="K540" s="24"/>
      <c r="AI540" s="16" t="e">
        <f t="shared" si="77"/>
        <v>#N/A</v>
      </c>
      <c r="AJ540" s="16" t="str">
        <f t="shared" si="78"/>
        <v/>
      </c>
      <c r="AK540" s="16" t="str">
        <f t="shared" si="79"/>
        <v/>
      </c>
      <c r="AL540" s="16" t="e">
        <f>IF(AK540="",NA(),COUNTIF(AK$176:$AK540,AK540))</f>
        <v>#N/A</v>
      </c>
      <c r="AM540" s="16" t="e">
        <f t="shared" si="80"/>
        <v>#N/A</v>
      </c>
      <c r="AN540" s="16" t="e">
        <f t="shared" si="81"/>
        <v>#N/A</v>
      </c>
      <c r="AO540" s="16" t="str">
        <f t="shared" si="82"/>
        <v/>
      </c>
      <c r="AP540" s="16" t="str">
        <f t="shared" si="83"/>
        <v/>
      </c>
      <c r="AQ540" s="16" t="e">
        <f>IF(AP540="",NA(),COUNTIF(AP$176:$AP540,AP540))</f>
        <v>#N/A</v>
      </c>
      <c r="AR540" s="16" t="e">
        <f t="shared" si="84"/>
        <v>#N/A</v>
      </c>
      <c r="BI540" s="621">
        <v>532</v>
      </c>
      <c r="BJ540" s="711"/>
      <c r="BK540" s="712"/>
      <c r="BL540" s="713">
        <v>532</v>
      </c>
      <c r="BM540" s="714"/>
      <c r="BN540" s="239"/>
      <c r="BO540" s="24"/>
      <c r="BQ540" s="621">
        <v>532</v>
      </c>
      <c r="BR540" s="711"/>
      <c r="BS540" s="712"/>
      <c r="BT540" s="713">
        <v>532</v>
      </c>
      <c r="BU540" s="714"/>
      <c r="BV540" s="239"/>
      <c r="BW540" s="24"/>
      <c r="BY540" s="621">
        <v>532</v>
      </c>
      <c r="BZ540" s="711"/>
      <c r="CA540" s="712"/>
      <c r="CB540" s="713">
        <v>532</v>
      </c>
      <c r="CC540" s="714"/>
      <c r="CD540" s="239"/>
      <c r="CE540" s="24"/>
    </row>
    <row r="541" spans="5:83" ht="12" customHeight="1">
      <c r="E541" s="621">
        <v>533</v>
      </c>
      <c r="F541" s="711"/>
      <c r="G541" s="712"/>
      <c r="H541" s="713">
        <v>533</v>
      </c>
      <c r="I541" s="714"/>
      <c r="J541" s="239"/>
      <c r="K541" s="24"/>
      <c r="AI541" s="16" t="e">
        <f t="shared" si="77"/>
        <v>#N/A</v>
      </c>
      <c r="AJ541" s="16" t="str">
        <f t="shared" si="78"/>
        <v/>
      </c>
      <c r="AK541" s="16" t="str">
        <f t="shared" si="79"/>
        <v/>
      </c>
      <c r="AL541" s="16" t="e">
        <f>IF(AK541="",NA(),COUNTIF(AK$176:$AK541,AK541))</f>
        <v>#N/A</v>
      </c>
      <c r="AM541" s="16" t="e">
        <f t="shared" si="80"/>
        <v>#N/A</v>
      </c>
      <c r="AN541" s="16" t="e">
        <f t="shared" si="81"/>
        <v>#N/A</v>
      </c>
      <c r="AO541" s="16" t="str">
        <f t="shared" si="82"/>
        <v/>
      </c>
      <c r="AP541" s="16" t="str">
        <f t="shared" si="83"/>
        <v/>
      </c>
      <c r="AQ541" s="16" t="e">
        <f>IF(AP541="",NA(),COUNTIF(AP$176:$AP541,AP541))</f>
        <v>#N/A</v>
      </c>
      <c r="AR541" s="16" t="e">
        <f t="shared" si="84"/>
        <v>#N/A</v>
      </c>
      <c r="BI541" s="621">
        <v>533</v>
      </c>
      <c r="BJ541" s="711"/>
      <c r="BK541" s="712"/>
      <c r="BL541" s="713">
        <v>533</v>
      </c>
      <c r="BM541" s="714"/>
      <c r="BN541" s="239"/>
      <c r="BO541" s="24"/>
      <c r="BQ541" s="621">
        <v>533</v>
      </c>
      <c r="BR541" s="711"/>
      <c r="BS541" s="712"/>
      <c r="BT541" s="713">
        <v>533</v>
      </c>
      <c r="BU541" s="714"/>
      <c r="BV541" s="239"/>
      <c r="BW541" s="24"/>
      <c r="BY541" s="621">
        <v>533</v>
      </c>
      <c r="BZ541" s="711"/>
      <c r="CA541" s="712"/>
      <c r="CB541" s="713">
        <v>533</v>
      </c>
      <c r="CC541" s="714"/>
      <c r="CD541" s="239"/>
      <c r="CE541" s="24"/>
    </row>
    <row r="542" spans="5:83" ht="12" customHeight="1">
      <c r="E542" s="621">
        <v>534</v>
      </c>
      <c r="F542" s="711"/>
      <c r="G542" s="712"/>
      <c r="H542" s="713">
        <v>534</v>
      </c>
      <c r="I542" s="714"/>
      <c r="J542" s="239"/>
      <c r="K542" s="24"/>
      <c r="AI542" s="16" t="e">
        <f t="shared" si="77"/>
        <v>#N/A</v>
      </c>
      <c r="AJ542" s="16" t="str">
        <f t="shared" si="78"/>
        <v/>
      </c>
      <c r="AK542" s="16" t="str">
        <f t="shared" si="79"/>
        <v/>
      </c>
      <c r="AL542" s="16" t="e">
        <f>IF(AK542="",NA(),COUNTIF(AK$176:$AK542,AK542))</f>
        <v>#N/A</v>
      </c>
      <c r="AM542" s="16" t="e">
        <f t="shared" si="80"/>
        <v>#N/A</v>
      </c>
      <c r="AN542" s="16" t="e">
        <f t="shared" si="81"/>
        <v>#N/A</v>
      </c>
      <c r="AO542" s="16" t="str">
        <f t="shared" si="82"/>
        <v/>
      </c>
      <c r="AP542" s="16" t="str">
        <f t="shared" si="83"/>
        <v/>
      </c>
      <c r="AQ542" s="16" t="e">
        <f>IF(AP542="",NA(),COUNTIF(AP$176:$AP542,AP542))</f>
        <v>#N/A</v>
      </c>
      <c r="AR542" s="16" t="e">
        <f t="shared" si="84"/>
        <v>#N/A</v>
      </c>
      <c r="BI542" s="621">
        <v>534</v>
      </c>
      <c r="BJ542" s="711"/>
      <c r="BK542" s="712"/>
      <c r="BL542" s="713">
        <v>534</v>
      </c>
      <c r="BM542" s="714"/>
      <c r="BN542" s="239"/>
      <c r="BO542" s="24"/>
      <c r="BQ542" s="621">
        <v>534</v>
      </c>
      <c r="BR542" s="711"/>
      <c r="BS542" s="712"/>
      <c r="BT542" s="713">
        <v>534</v>
      </c>
      <c r="BU542" s="714"/>
      <c r="BV542" s="239"/>
      <c r="BW542" s="24"/>
      <c r="BY542" s="621">
        <v>534</v>
      </c>
      <c r="BZ542" s="711"/>
      <c r="CA542" s="712"/>
      <c r="CB542" s="713">
        <v>534</v>
      </c>
      <c r="CC542" s="714"/>
      <c r="CD542" s="239"/>
      <c r="CE542" s="24"/>
    </row>
    <row r="543" spans="5:83" ht="12" customHeight="1">
      <c r="E543" s="621">
        <v>535</v>
      </c>
      <c r="F543" s="711"/>
      <c r="G543" s="712"/>
      <c r="H543" s="713">
        <v>535</v>
      </c>
      <c r="I543" s="714"/>
      <c r="J543" s="239"/>
      <c r="K543" s="24"/>
      <c r="AI543" s="16" t="e">
        <f t="shared" si="77"/>
        <v>#N/A</v>
      </c>
      <c r="AJ543" s="16" t="str">
        <f t="shared" si="78"/>
        <v/>
      </c>
      <c r="AK543" s="16" t="str">
        <f t="shared" si="79"/>
        <v/>
      </c>
      <c r="AL543" s="16" t="e">
        <f>IF(AK543="",NA(),COUNTIF(AK$176:$AK543,AK543))</f>
        <v>#N/A</v>
      </c>
      <c r="AM543" s="16" t="e">
        <f t="shared" si="80"/>
        <v>#N/A</v>
      </c>
      <c r="AN543" s="16" t="e">
        <f t="shared" si="81"/>
        <v>#N/A</v>
      </c>
      <c r="AO543" s="16" t="str">
        <f t="shared" si="82"/>
        <v/>
      </c>
      <c r="AP543" s="16" t="str">
        <f t="shared" si="83"/>
        <v/>
      </c>
      <c r="AQ543" s="16" t="e">
        <f>IF(AP543="",NA(),COUNTIF(AP$176:$AP543,AP543))</f>
        <v>#N/A</v>
      </c>
      <c r="AR543" s="16" t="e">
        <f t="shared" si="84"/>
        <v>#N/A</v>
      </c>
      <c r="BI543" s="621">
        <v>535</v>
      </c>
      <c r="BJ543" s="711"/>
      <c r="BK543" s="712"/>
      <c r="BL543" s="713">
        <v>535</v>
      </c>
      <c r="BM543" s="714"/>
      <c r="BN543" s="239"/>
      <c r="BO543" s="24"/>
      <c r="BQ543" s="621">
        <v>535</v>
      </c>
      <c r="BR543" s="711"/>
      <c r="BS543" s="712"/>
      <c r="BT543" s="713">
        <v>535</v>
      </c>
      <c r="BU543" s="714"/>
      <c r="BV543" s="239"/>
      <c r="BW543" s="24"/>
      <c r="BY543" s="621">
        <v>535</v>
      </c>
      <c r="BZ543" s="711"/>
      <c r="CA543" s="712"/>
      <c r="CB543" s="713">
        <v>535</v>
      </c>
      <c r="CC543" s="714"/>
      <c r="CD543" s="239"/>
      <c r="CE543" s="24"/>
    </row>
    <row r="544" spans="5:83" ht="12" customHeight="1">
      <c r="E544" s="621">
        <v>536</v>
      </c>
      <c r="F544" s="711"/>
      <c r="G544" s="712"/>
      <c r="H544" s="713">
        <v>536</v>
      </c>
      <c r="I544" s="714"/>
      <c r="J544" s="239"/>
      <c r="K544" s="24"/>
      <c r="AI544" s="16" t="e">
        <f t="shared" si="77"/>
        <v>#N/A</v>
      </c>
      <c r="AJ544" s="16" t="str">
        <f t="shared" si="78"/>
        <v/>
      </c>
      <c r="AK544" s="16" t="str">
        <f t="shared" si="79"/>
        <v/>
      </c>
      <c r="AL544" s="16" t="e">
        <f>IF(AK544="",NA(),COUNTIF(AK$176:$AK544,AK544))</f>
        <v>#N/A</v>
      </c>
      <c r="AM544" s="16" t="e">
        <f t="shared" si="80"/>
        <v>#N/A</v>
      </c>
      <c r="AN544" s="16" t="e">
        <f t="shared" si="81"/>
        <v>#N/A</v>
      </c>
      <c r="AO544" s="16" t="str">
        <f t="shared" si="82"/>
        <v/>
      </c>
      <c r="AP544" s="16" t="str">
        <f t="shared" si="83"/>
        <v/>
      </c>
      <c r="AQ544" s="16" t="e">
        <f>IF(AP544="",NA(),COUNTIF(AP$176:$AP544,AP544))</f>
        <v>#N/A</v>
      </c>
      <c r="AR544" s="16" t="e">
        <f t="shared" si="84"/>
        <v>#N/A</v>
      </c>
      <c r="BI544" s="621">
        <v>536</v>
      </c>
      <c r="BJ544" s="711"/>
      <c r="BK544" s="712"/>
      <c r="BL544" s="713">
        <v>536</v>
      </c>
      <c r="BM544" s="714"/>
      <c r="BN544" s="239"/>
      <c r="BO544" s="24"/>
      <c r="BQ544" s="621">
        <v>536</v>
      </c>
      <c r="BR544" s="711"/>
      <c r="BS544" s="712"/>
      <c r="BT544" s="713">
        <v>536</v>
      </c>
      <c r="BU544" s="714"/>
      <c r="BV544" s="239"/>
      <c r="BW544" s="24"/>
      <c r="BY544" s="621">
        <v>536</v>
      </c>
      <c r="BZ544" s="711"/>
      <c r="CA544" s="712"/>
      <c r="CB544" s="713">
        <v>536</v>
      </c>
      <c r="CC544" s="714"/>
      <c r="CD544" s="239"/>
      <c r="CE544" s="24"/>
    </row>
    <row r="545" spans="5:83" ht="12" customHeight="1">
      <c r="E545" s="621">
        <v>537</v>
      </c>
      <c r="F545" s="711"/>
      <c r="G545" s="712"/>
      <c r="H545" s="713">
        <v>537</v>
      </c>
      <c r="I545" s="714"/>
      <c r="J545" s="239"/>
      <c r="K545" s="24"/>
      <c r="AI545" s="16" t="e">
        <f t="shared" si="77"/>
        <v>#N/A</v>
      </c>
      <c r="AJ545" s="16" t="str">
        <f t="shared" si="78"/>
        <v/>
      </c>
      <c r="AK545" s="16" t="str">
        <f t="shared" si="79"/>
        <v/>
      </c>
      <c r="AL545" s="16" t="e">
        <f>IF(AK545="",NA(),COUNTIF(AK$176:$AK545,AK545))</f>
        <v>#N/A</v>
      </c>
      <c r="AM545" s="16" t="e">
        <f t="shared" si="80"/>
        <v>#N/A</v>
      </c>
      <c r="AN545" s="16" t="e">
        <f t="shared" si="81"/>
        <v>#N/A</v>
      </c>
      <c r="AO545" s="16" t="str">
        <f t="shared" si="82"/>
        <v/>
      </c>
      <c r="AP545" s="16" t="str">
        <f t="shared" si="83"/>
        <v/>
      </c>
      <c r="AQ545" s="16" t="e">
        <f>IF(AP545="",NA(),COUNTIF(AP$176:$AP545,AP545))</f>
        <v>#N/A</v>
      </c>
      <c r="AR545" s="16" t="e">
        <f t="shared" si="84"/>
        <v>#N/A</v>
      </c>
      <c r="BI545" s="621">
        <v>537</v>
      </c>
      <c r="BJ545" s="711"/>
      <c r="BK545" s="712"/>
      <c r="BL545" s="713">
        <v>537</v>
      </c>
      <c r="BM545" s="714"/>
      <c r="BN545" s="239"/>
      <c r="BO545" s="24"/>
      <c r="BQ545" s="621">
        <v>537</v>
      </c>
      <c r="BR545" s="711"/>
      <c r="BS545" s="712"/>
      <c r="BT545" s="713">
        <v>537</v>
      </c>
      <c r="BU545" s="714"/>
      <c r="BV545" s="239"/>
      <c r="BW545" s="24"/>
      <c r="BY545" s="621">
        <v>537</v>
      </c>
      <c r="BZ545" s="711"/>
      <c r="CA545" s="712"/>
      <c r="CB545" s="713">
        <v>537</v>
      </c>
      <c r="CC545" s="714"/>
      <c r="CD545" s="239"/>
      <c r="CE545" s="24"/>
    </row>
    <row r="546" spans="5:83" ht="12" customHeight="1">
      <c r="E546" s="621">
        <v>538</v>
      </c>
      <c r="F546" s="711"/>
      <c r="G546" s="712"/>
      <c r="H546" s="713">
        <v>538</v>
      </c>
      <c r="I546" s="714"/>
      <c r="J546" s="239"/>
      <c r="K546" s="24"/>
      <c r="AI546" s="16" t="e">
        <f t="shared" si="77"/>
        <v>#N/A</v>
      </c>
      <c r="AJ546" s="16" t="str">
        <f t="shared" si="78"/>
        <v/>
      </c>
      <c r="AK546" s="16" t="str">
        <f t="shared" si="79"/>
        <v/>
      </c>
      <c r="AL546" s="16" t="e">
        <f>IF(AK546="",NA(),COUNTIF(AK$176:$AK546,AK546))</f>
        <v>#N/A</v>
      </c>
      <c r="AM546" s="16" t="e">
        <f t="shared" si="80"/>
        <v>#N/A</v>
      </c>
      <c r="AN546" s="16" t="e">
        <f t="shared" si="81"/>
        <v>#N/A</v>
      </c>
      <c r="AO546" s="16" t="str">
        <f t="shared" si="82"/>
        <v/>
      </c>
      <c r="AP546" s="16" t="str">
        <f t="shared" si="83"/>
        <v/>
      </c>
      <c r="AQ546" s="16" t="e">
        <f>IF(AP546="",NA(),COUNTIF(AP$176:$AP546,AP546))</f>
        <v>#N/A</v>
      </c>
      <c r="AR546" s="16" t="e">
        <f t="shared" si="84"/>
        <v>#N/A</v>
      </c>
      <c r="BI546" s="621">
        <v>538</v>
      </c>
      <c r="BJ546" s="711"/>
      <c r="BK546" s="712"/>
      <c r="BL546" s="713">
        <v>538</v>
      </c>
      <c r="BM546" s="714"/>
      <c r="BN546" s="239"/>
      <c r="BO546" s="24"/>
      <c r="BQ546" s="621">
        <v>538</v>
      </c>
      <c r="BR546" s="711"/>
      <c r="BS546" s="712"/>
      <c r="BT546" s="713">
        <v>538</v>
      </c>
      <c r="BU546" s="714"/>
      <c r="BV546" s="239"/>
      <c r="BW546" s="24"/>
      <c r="BY546" s="621">
        <v>538</v>
      </c>
      <c r="BZ546" s="711"/>
      <c r="CA546" s="712"/>
      <c r="CB546" s="713">
        <v>538</v>
      </c>
      <c r="CC546" s="714"/>
      <c r="CD546" s="239"/>
      <c r="CE546" s="24"/>
    </row>
    <row r="547" spans="5:83" ht="12" customHeight="1">
      <c r="E547" s="621">
        <v>539</v>
      </c>
      <c r="F547" s="711"/>
      <c r="G547" s="712"/>
      <c r="H547" s="713">
        <v>539</v>
      </c>
      <c r="I547" s="714"/>
      <c r="J547" s="239"/>
      <c r="K547" s="24"/>
      <c r="AI547" s="16" t="e">
        <f t="shared" si="77"/>
        <v>#N/A</v>
      </c>
      <c r="AJ547" s="16" t="str">
        <f t="shared" si="78"/>
        <v/>
      </c>
      <c r="AK547" s="16" t="str">
        <f t="shared" si="79"/>
        <v/>
      </c>
      <c r="AL547" s="16" t="e">
        <f>IF(AK547="",NA(),COUNTIF(AK$176:$AK547,AK547))</f>
        <v>#N/A</v>
      </c>
      <c r="AM547" s="16" t="e">
        <f t="shared" si="80"/>
        <v>#N/A</v>
      </c>
      <c r="AN547" s="16" t="e">
        <f t="shared" si="81"/>
        <v>#N/A</v>
      </c>
      <c r="AO547" s="16" t="str">
        <f t="shared" si="82"/>
        <v/>
      </c>
      <c r="AP547" s="16" t="str">
        <f t="shared" si="83"/>
        <v/>
      </c>
      <c r="AQ547" s="16" t="e">
        <f>IF(AP547="",NA(),COUNTIF(AP$176:$AP547,AP547))</f>
        <v>#N/A</v>
      </c>
      <c r="AR547" s="16" t="e">
        <f t="shared" si="84"/>
        <v>#N/A</v>
      </c>
      <c r="BI547" s="621">
        <v>539</v>
      </c>
      <c r="BJ547" s="711"/>
      <c r="BK547" s="712"/>
      <c r="BL547" s="713">
        <v>539</v>
      </c>
      <c r="BM547" s="714"/>
      <c r="BN547" s="239"/>
      <c r="BO547" s="24"/>
      <c r="BQ547" s="621">
        <v>539</v>
      </c>
      <c r="BR547" s="711"/>
      <c r="BS547" s="712"/>
      <c r="BT547" s="713">
        <v>539</v>
      </c>
      <c r="BU547" s="714"/>
      <c r="BV547" s="239"/>
      <c r="BW547" s="24"/>
      <c r="BY547" s="621">
        <v>539</v>
      </c>
      <c r="BZ547" s="711"/>
      <c r="CA547" s="712"/>
      <c r="CB547" s="713">
        <v>539</v>
      </c>
      <c r="CC547" s="714"/>
      <c r="CD547" s="239"/>
      <c r="CE547" s="24"/>
    </row>
    <row r="548" spans="5:83" ht="12" customHeight="1">
      <c r="E548" s="621">
        <v>540</v>
      </c>
      <c r="F548" s="711"/>
      <c r="G548" s="712"/>
      <c r="H548" s="713">
        <v>540</v>
      </c>
      <c r="I548" s="714"/>
      <c r="J548" s="239"/>
      <c r="K548" s="24"/>
      <c r="AI548" s="16" t="e">
        <f t="shared" si="77"/>
        <v>#N/A</v>
      </c>
      <c r="AJ548" s="16" t="str">
        <f t="shared" si="78"/>
        <v/>
      </c>
      <c r="AK548" s="16" t="str">
        <f t="shared" si="79"/>
        <v/>
      </c>
      <c r="AL548" s="16" t="e">
        <f>IF(AK548="",NA(),COUNTIF(AK$176:$AK548,AK548))</f>
        <v>#N/A</v>
      </c>
      <c r="AM548" s="16" t="e">
        <f t="shared" si="80"/>
        <v>#N/A</v>
      </c>
      <c r="AN548" s="16" t="e">
        <f t="shared" si="81"/>
        <v>#N/A</v>
      </c>
      <c r="AO548" s="16" t="str">
        <f t="shared" si="82"/>
        <v/>
      </c>
      <c r="AP548" s="16" t="str">
        <f t="shared" si="83"/>
        <v/>
      </c>
      <c r="AQ548" s="16" t="e">
        <f>IF(AP548="",NA(),COUNTIF(AP$176:$AP548,AP548))</f>
        <v>#N/A</v>
      </c>
      <c r="AR548" s="16" t="e">
        <f t="shared" si="84"/>
        <v>#N/A</v>
      </c>
      <c r="BI548" s="621">
        <v>540</v>
      </c>
      <c r="BJ548" s="711"/>
      <c r="BK548" s="712"/>
      <c r="BL548" s="713">
        <v>540</v>
      </c>
      <c r="BM548" s="714"/>
      <c r="BN548" s="239"/>
      <c r="BO548" s="24"/>
      <c r="BQ548" s="621">
        <v>540</v>
      </c>
      <c r="BR548" s="711"/>
      <c r="BS548" s="712"/>
      <c r="BT548" s="713">
        <v>540</v>
      </c>
      <c r="BU548" s="714"/>
      <c r="BV548" s="239"/>
      <c r="BW548" s="24"/>
      <c r="BY548" s="621">
        <v>540</v>
      </c>
      <c r="BZ548" s="711"/>
      <c r="CA548" s="712"/>
      <c r="CB548" s="713">
        <v>540</v>
      </c>
      <c r="CC548" s="714"/>
      <c r="CD548" s="239"/>
      <c r="CE548" s="24"/>
    </row>
    <row r="549" spans="5:83" ht="12" customHeight="1">
      <c r="E549" s="621">
        <v>541</v>
      </c>
      <c r="F549" s="711"/>
      <c r="G549" s="712"/>
      <c r="H549" s="713">
        <v>541</v>
      </c>
      <c r="I549" s="714"/>
      <c r="J549" s="239"/>
      <c r="K549" s="24"/>
      <c r="AI549" s="16" t="e">
        <f t="shared" si="77"/>
        <v>#N/A</v>
      </c>
      <c r="AJ549" s="16" t="str">
        <f t="shared" si="78"/>
        <v/>
      </c>
      <c r="AK549" s="16" t="str">
        <f t="shared" si="79"/>
        <v/>
      </c>
      <c r="AL549" s="16" t="e">
        <f>IF(AK549="",NA(),COUNTIF(AK$176:$AK549,AK549))</f>
        <v>#N/A</v>
      </c>
      <c r="AM549" s="16" t="e">
        <f t="shared" si="80"/>
        <v>#N/A</v>
      </c>
      <c r="AN549" s="16" t="e">
        <f t="shared" si="81"/>
        <v>#N/A</v>
      </c>
      <c r="AO549" s="16" t="str">
        <f t="shared" si="82"/>
        <v/>
      </c>
      <c r="AP549" s="16" t="str">
        <f t="shared" si="83"/>
        <v/>
      </c>
      <c r="AQ549" s="16" t="e">
        <f>IF(AP549="",NA(),COUNTIF(AP$176:$AP549,AP549))</f>
        <v>#N/A</v>
      </c>
      <c r="AR549" s="16" t="e">
        <f t="shared" si="84"/>
        <v>#N/A</v>
      </c>
      <c r="BI549" s="621">
        <v>541</v>
      </c>
      <c r="BJ549" s="711"/>
      <c r="BK549" s="712"/>
      <c r="BL549" s="713">
        <v>541</v>
      </c>
      <c r="BM549" s="714"/>
      <c r="BN549" s="239"/>
      <c r="BO549" s="24"/>
      <c r="BQ549" s="621">
        <v>541</v>
      </c>
      <c r="BR549" s="711"/>
      <c r="BS549" s="712"/>
      <c r="BT549" s="713">
        <v>541</v>
      </c>
      <c r="BU549" s="714"/>
      <c r="BV549" s="239"/>
      <c r="BW549" s="24"/>
      <c r="BY549" s="621">
        <v>541</v>
      </c>
      <c r="BZ549" s="711"/>
      <c r="CA549" s="712"/>
      <c r="CB549" s="713">
        <v>541</v>
      </c>
      <c r="CC549" s="714"/>
      <c r="CD549" s="239"/>
      <c r="CE549" s="24"/>
    </row>
    <row r="550" spans="5:83" ht="12" customHeight="1">
      <c r="E550" s="621">
        <v>542</v>
      </c>
      <c r="F550" s="711"/>
      <c r="G550" s="712"/>
      <c r="H550" s="713">
        <v>542</v>
      </c>
      <c r="I550" s="714"/>
      <c r="J550" s="239"/>
      <c r="K550" s="24"/>
      <c r="AI550" s="16" t="e">
        <f t="shared" si="77"/>
        <v>#N/A</v>
      </c>
      <c r="AJ550" s="16" t="str">
        <f t="shared" si="78"/>
        <v/>
      </c>
      <c r="AK550" s="16" t="str">
        <f t="shared" si="79"/>
        <v/>
      </c>
      <c r="AL550" s="16" t="e">
        <f>IF(AK550="",NA(),COUNTIF(AK$176:$AK550,AK550))</f>
        <v>#N/A</v>
      </c>
      <c r="AM550" s="16" t="e">
        <f t="shared" si="80"/>
        <v>#N/A</v>
      </c>
      <c r="AN550" s="16" t="e">
        <f t="shared" si="81"/>
        <v>#N/A</v>
      </c>
      <c r="AO550" s="16" t="str">
        <f t="shared" si="82"/>
        <v/>
      </c>
      <c r="AP550" s="16" t="str">
        <f t="shared" si="83"/>
        <v/>
      </c>
      <c r="AQ550" s="16" t="e">
        <f>IF(AP550="",NA(),COUNTIF(AP$176:$AP550,AP550))</f>
        <v>#N/A</v>
      </c>
      <c r="AR550" s="16" t="e">
        <f t="shared" si="84"/>
        <v>#N/A</v>
      </c>
      <c r="BI550" s="621">
        <v>542</v>
      </c>
      <c r="BJ550" s="711"/>
      <c r="BK550" s="712"/>
      <c r="BL550" s="713">
        <v>542</v>
      </c>
      <c r="BM550" s="714"/>
      <c r="BN550" s="239"/>
      <c r="BO550" s="24"/>
      <c r="BQ550" s="621">
        <v>542</v>
      </c>
      <c r="BR550" s="711"/>
      <c r="BS550" s="712"/>
      <c r="BT550" s="713">
        <v>542</v>
      </c>
      <c r="BU550" s="714"/>
      <c r="BV550" s="239"/>
      <c r="BW550" s="24"/>
      <c r="BY550" s="621">
        <v>542</v>
      </c>
      <c r="BZ550" s="711"/>
      <c r="CA550" s="712"/>
      <c r="CB550" s="713">
        <v>542</v>
      </c>
      <c r="CC550" s="714"/>
      <c r="CD550" s="239"/>
      <c r="CE550" s="24"/>
    </row>
    <row r="551" spans="5:83" ht="12" customHeight="1">
      <c r="E551" s="621">
        <v>543</v>
      </c>
      <c r="F551" s="711"/>
      <c r="G551" s="712"/>
      <c r="H551" s="713">
        <v>543</v>
      </c>
      <c r="I551" s="714"/>
      <c r="J551" s="239"/>
      <c r="K551" s="24"/>
      <c r="AI551" s="16" t="e">
        <f t="shared" si="77"/>
        <v>#N/A</v>
      </c>
      <c r="AJ551" s="16" t="str">
        <f t="shared" si="78"/>
        <v/>
      </c>
      <c r="AK551" s="16" t="str">
        <f t="shared" si="79"/>
        <v/>
      </c>
      <c r="AL551" s="16" t="e">
        <f>IF(AK551="",NA(),COUNTIF(AK$176:$AK551,AK551))</f>
        <v>#N/A</v>
      </c>
      <c r="AM551" s="16" t="e">
        <f t="shared" si="80"/>
        <v>#N/A</v>
      </c>
      <c r="AN551" s="16" t="e">
        <f t="shared" si="81"/>
        <v>#N/A</v>
      </c>
      <c r="AO551" s="16" t="str">
        <f t="shared" si="82"/>
        <v/>
      </c>
      <c r="AP551" s="16" t="str">
        <f t="shared" si="83"/>
        <v/>
      </c>
      <c r="AQ551" s="16" t="e">
        <f>IF(AP551="",NA(),COUNTIF(AP$176:$AP551,AP551))</f>
        <v>#N/A</v>
      </c>
      <c r="AR551" s="16" t="e">
        <f t="shared" si="84"/>
        <v>#N/A</v>
      </c>
      <c r="BI551" s="621">
        <v>543</v>
      </c>
      <c r="BJ551" s="711"/>
      <c r="BK551" s="712"/>
      <c r="BL551" s="713">
        <v>543</v>
      </c>
      <c r="BM551" s="714"/>
      <c r="BN551" s="239"/>
      <c r="BO551" s="24"/>
      <c r="BQ551" s="621">
        <v>543</v>
      </c>
      <c r="BR551" s="711"/>
      <c r="BS551" s="712"/>
      <c r="BT551" s="713">
        <v>543</v>
      </c>
      <c r="BU551" s="714"/>
      <c r="BV551" s="239"/>
      <c r="BW551" s="24"/>
      <c r="BY551" s="621">
        <v>543</v>
      </c>
      <c r="BZ551" s="711"/>
      <c r="CA551" s="712"/>
      <c r="CB551" s="713">
        <v>543</v>
      </c>
      <c r="CC551" s="714"/>
      <c r="CD551" s="239"/>
      <c r="CE551" s="24"/>
    </row>
    <row r="552" spans="5:83" ht="12" customHeight="1">
      <c r="E552" s="621">
        <v>544</v>
      </c>
      <c r="F552" s="711"/>
      <c r="G552" s="712"/>
      <c r="H552" s="713">
        <v>544</v>
      </c>
      <c r="I552" s="714"/>
      <c r="J552" s="239"/>
      <c r="K552" s="24"/>
      <c r="AI552" s="16" t="e">
        <f t="shared" si="77"/>
        <v>#N/A</v>
      </c>
      <c r="AJ552" s="16" t="str">
        <f t="shared" si="78"/>
        <v/>
      </c>
      <c r="AK552" s="16" t="str">
        <f t="shared" si="79"/>
        <v/>
      </c>
      <c r="AL552" s="16" t="e">
        <f>IF(AK552="",NA(),COUNTIF(AK$176:$AK552,AK552))</f>
        <v>#N/A</v>
      </c>
      <c r="AM552" s="16" t="e">
        <f t="shared" si="80"/>
        <v>#N/A</v>
      </c>
      <c r="AN552" s="16" t="e">
        <f t="shared" si="81"/>
        <v>#N/A</v>
      </c>
      <c r="AO552" s="16" t="str">
        <f t="shared" si="82"/>
        <v/>
      </c>
      <c r="AP552" s="16" t="str">
        <f t="shared" si="83"/>
        <v/>
      </c>
      <c r="AQ552" s="16" t="e">
        <f>IF(AP552="",NA(),COUNTIF(AP$176:$AP552,AP552))</f>
        <v>#N/A</v>
      </c>
      <c r="AR552" s="16" t="e">
        <f t="shared" si="84"/>
        <v>#N/A</v>
      </c>
      <c r="BI552" s="621">
        <v>544</v>
      </c>
      <c r="BJ552" s="711"/>
      <c r="BK552" s="712"/>
      <c r="BL552" s="713">
        <v>544</v>
      </c>
      <c r="BM552" s="714"/>
      <c r="BN552" s="239"/>
      <c r="BO552" s="24"/>
      <c r="BQ552" s="621">
        <v>544</v>
      </c>
      <c r="BR552" s="711"/>
      <c r="BS552" s="712"/>
      <c r="BT552" s="713">
        <v>544</v>
      </c>
      <c r="BU552" s="714"/>
      <c r="BV552" s="239"/>
      <c r="BW552" s="24"/>
      <c r="BY552" s="621">
        <v>544</v>
      </c>
      <c r="BZ552" s="711"/>
      <c r="CA552" s="712"/>
      <c r="CB552" s="713">
        <v>544</v>
      </c>
      <c r="CC552" s="714"/>
      <c r="CD552" s="239"/>
      <c r="CE552" s="24"/>
    </row>
    <row r="553" spans="5:83" ht="12" customHeight="1">
      <c r="E553" s="621">
        <v>545</v>
      </c>
      <c r="F553" s="711"/>
      <c r="G553" s="712"/>
      <c r="H553" s="713">
        <v>545</v>
      </c>
      <c r="I553" s="714"/>
      <c r="J553" s="239"/>
      <c r="K553" s="24"/>
      <c r="AI553" s="16" t="e">
        <f t="shared" si="77"/>
        <v>#N/A</v>
      </c>
      <c r="AJ553" s="16" t="str">
        <f t="shared" si="78"/>
        <v/>
      </c>
      <c r="AK553" s="16" t="str">
        <f t="shared" si="79"/>
        <v/>
      </c>
      <c r="AL553" s="16" t="e">
        <f>IF(AK553="",NA(),COUNTIF(AK$176:$AK553,AK553))</f>
        <v>#N/A</v>
      </c>
      <c r="AM553" s="16" t="e">
        <f t="shared" si="80"/>
        <v>#N/A</v>
      </c>
      <c r="AN553" s="16" t="e">
        <f t="shared" si="81"/>
        <v>#N/A</v>
      </c>
      <c r="AO553" s="16" t="str">
        <f t="shared" si="82"/>
        <v/>
      </c>
      <c r="AP553" s="16" t="str">
        <f t="shared" si="83"/>
        <v/>
      </c>
      <c r="AQ553" s="16" t="e">
        <f>IF(AP553="",NA(),COUNTIF(AP$176:$AP553,AP553))</f>
        <v>#N/A</v>
      </c>
      <c r="AR553" s="16" t="e">
        <f t="shared" si="84"/>
        <v>#N/A</v>
      </c>
      <c r="BI553" s="621">
        <v>545</v>
      </c>
      <c r="BJ553" s="711"/>
      <c r="BK553" s="712"/>
      <c r="BL553" s="713">
        <v>545</v>
      </c>
      <c r="BM553" s="714"/>
      <c r="BN553" s="239"/>
      <c r="BO553" s="24"/>
      <c r="BQ553" s="621">
        <v>545</v>
      </c>
      <c r="BR553" s="711"/>
      <c r="BS553" s="712"/>
      <c r="BT553" s="713">
        <v>545</v>
      </c>
      <c r="BU553" s="714"/>
      <c r="BV553" s="239"/>
      <c r="BW553" s="24"/>
      <c r="BY553" s="621">
        <v>545</v>
      </c>
      <c r="BZ553" s="711"/>
      <c r="CA553" s="712"/>
      <c r="CB553" s="713">
        <v>545</v>
      </c>
      <c r="CC553" s="714"/>
      <c r="CD553" s="239"/>
      <c r="CE553" s="24"/>
    </row>
    <row r="554" spans="5:83" ht="12" customHeight="1">
      <c r="E554" s="621">
        <v>546</v>
      </c>
      <c r="F554" s="711"/>
      <c r="G554" s="712"/>
      <c r="H554" s="713">
        <v>546</v>
      </c>
      <c r="I554" s="714"/>
      <c r="J554" s="239"/>
      <c r="K554" s="24"/>
      <c r="AI554" s="16" t="e">
        <f t="shared" si="77"/>
        <v>#N/A</v>
      </c>
      <c r="AJ554" s="16" t="str">
        <f t="shared" si="78"/>
        <v/>
      </c>
      <c r="AK554" s="16" t="str">
        <f t="shared" si="79"/>
        <v/>
      </c>
      <c r="AL554" s="16" t="e">
        <f>IF(AK554="",NA(),COUNTIF(AK$176:$AK554,AK554))</f>
        <v>#N/A</v>
      </c>
      <c r="AM554" s="16" t="e">
        <f t="shared" si="80"/>
        <v>#N/A</v>
      </c>
      <c r="AN554" s="16" t="e">
        <f t="shared" si="81"/>
        <v>#N/A</v>
      </c>
      <c r="AO554" s="16" t="str">
        <f t="shared" si="82"/>
        <v/>
      </c>
      <c r="AP554" s="16" t="str">
        <f t="shared" si="83"/>
        <v/>
      </c>
      <c r="AQ554" s="16" t="e">
        <f>IF(AP554="",NA(),COUNTIF(AP$176:$AP554,AP554))</f>
        <v>#N/A</v>
      </c>
      <c r="AR554" s="16" t="e">
        <f t="shared" si="84"/>
        <v>#N/A</v>
      </c>
      <c r="BI554" s="621">
        <v>546</v>
      </c>
      <c r="BJ554" s="711"/>
      <c r="BK554" s="712"/>
      <c r="BL554" s="713">
        <v>546</v>
      </c>
      <c r="BM554" s="714"/>
      <c r="BN554" s="239"/>
      <c r="BO554" s="24"/>
      <c r="BQ554" s="621">
        <v>546</v>
      </c>
      <c r="BR554" s="711"/>
      <c r="BS554" s="712"/>
      <c r="BT554" s="713">
        <v>546</v>
      </c>
      <c r="BU554" s="714"/>
      <c r="BV554" s="239"/>
      <c r="BW554" s="24"/>
      <c r="BY554" s="621">
        <v>546</v>
      </c>
      <c r="BZ554" s="711"/>
      <c r="CA554" s="712"/>
      <c r="CB554" s="713">
        <v>546</v>
      </c>
      <c r="CC554" s="714"/>
      <c r="CD554" s="239"/>
      <c r="CE554" s="24"/>
    </row>
    <row r="555" spans="5:83" ht="12" customHeight="1">
      <c r="E555" s="621">
        <v>547</v>
      </c>
      <c r="F555" s="711"/>
      <c r="G555" s="712"/>
      <c r="H555" s="713">
        <v>547</v>
      </c>
      <c r="I555" s="714"/>
      <c r="J555" s="239"/>
      <c r="K555" s="24"/>
      <c r="AI555" s="16" t="e">
        <f t="shared" si="77"/>
        <v>#N/A</v>
      </c>
      <c r="AJ555" s="16" t="str">
        <f t="shared" si="78"/>
        <v/>
      </c>
      <c r="AK555" s="16" t="str">
        <f t="shared" si="79"/>
        <v/>
      </c>
      <c r="AL555" s="16" t="e">
        <f>IF(AK555="",NA(),COUNTIF(AK$176:$AK555,AK555))</f>
        <v>#N/A</v>
      </c>
      <c r="AM555" s="16" t="e">
        <f t="shared" si="80"/>
        <v>#N/A</v>
      </c>
      <c r="AN555" s="16" t="e">
        <f t="shared" si="81"/>
        <v>#N/A</v>
      </c>
      <c r="AO555" s="16" t="str">
        <f t="shared" si="82"/>
        <v/>
      </c>
      <c r="AP555" s="16" t="str">
        <f t="shared" si="83"/>
        <v/>
      </c>
      <c r="AQ555" s="16" t="e">
        <f>IF(AP555="",NA(),COUNTIF(AP$176:$AP555,AP555))</f>
        <v>#N/A</v>
      </c>
      <c r="AR555" s="16" t="e">
        <f t="shared" si="84"/>
        <v>#N/A</v>
      </c>
      <c r="BI555" s="621">
        <v>547</v>
      </c>
      <c r="BJ555" s="711"/>
      <c r="BK555" s="712"/>
      <c r="BL555" s="713">
        <v>547</v>
      </c>
      <c r="BM555" s="714"/>
      <c r="BN555" s="239"/>
      <c r="BO555" s="24"/>
      <c r="BQ555" s="621">
        <v>547</v>
      </c>
      <c r="BR555" s="711"/>
      <c r="BS555" s="712"/>
      <c r="BT555" s="713">
        <v>547</v>
      </c>
      <c r="BU555" s="714"/>
      <c r="BV555" s="239"/>
      <c r="BW555" s="24"/>
      <c r="BY555" s="621">
        <v>547</v>
      </c>
      <c r="BZ555" s="711"/>
      <c r="CA555" s="712"/>
      <c r="CB555" s="713">
        <v>547</v>
      </c>
      <c r="CC555" s="714"/>
      <c r="CD555" s="239"/>
      <c r="CE555" s="24"/>
    </row>
    <row r="556" spans="5:83" ht="12" customHeight="1">
      <c r="E556" s="621">
        <v>548</v>
      </c>
      <c r="F556" s="711"/>
      <c r="G556" s="712"/>
      <c r="H556" s="713">
        <v>548</v>
      </c>
      <c r="I556" s="714"/>
      <c r="J556" s="239"/>
      <c r="K556" s="24"/>
      <c r="AI556" s="16" t="e">
        <f t="shared" si="77"/>
        <v>#N/A</v>
      </c>
      <c r="AJ556" s="16" t="str">
        <f t="shared" si="78"/>
        <v/>
      </c>
      <c r="AK556" s="16" t="str">
        <f t="shared" si="79"/>
        <v/>
      </c>
      <c r="AL556" s="16" t="e">
        <f>IF(AK556="",NA(),COUNTIF(AK$176:$AK556,AK556))</f>
        <v>#N/A</v>
      </c>
      <c r="AM556" s="16" t="e">
        <f t="shared" si="80"/>
        <v>#N/A</v>
      </c>
      <c r="AN556" s="16" t="e">
        <f t="shared" si="81"/>
        <v>#N/A</v>
      </c>
      <c r="AO556" s="16" t="str">
        <f t="shared" si="82"/>
        <v/>
      </c>
      <c r="AP556" s="16" t="str">
        <f t="shared" si="83"/>
        <v/>
      </c>
      <c r="AQ556" s="16" t="e">
        <f>IF(AP556="",NA(),COUNTIF(AP$176:$AP556,AP556))</f>
        <v>#N/A</v>
      </c>
      <c r="AR556" s="16" t="e">
        <f t="shared" si="84"/>
        <v>#N/A</v>
      </c>
      <c r="BI556" s="621">
        <v>548</v>
      </c>
      <c r="BJ556" s="711"/>
      <c r="BK556" s="712"/>
      <c r="BL556" s="713">
        <v>548</v>
      </c>
      <c r="BM556" s="714"/>
      <c r="BN556" s="239"/>
      <c r="BO556" s="24"/>
      <c r="BQ556" s="621">
        <v>548</v>
      </c>
      <c r="BR556" s="711"/>
      <c r="BS556" s="712"/>
      <c r="BT556" s="713">
        <v>548</v>
      </c>
      <c r="BU556" s="714"/>
      <c r="BV556" s="239"/>
      <c r="BW556" s="24"/>
      <c r="BY556" s="621">
        <v>548</v>
      </c>
      <c r="BZ556" s="711"/>
      <c r="CA556" s="712"/>
      <c r="CB556" s="713">
        <v>548</v>
      </c>
      <c r="CC556" s="714"/>
      <c r="CD556" s="239"/>
      <c r="CE556" s="24"/>
    </row>
    <row r="557" spans="5:83" ht="12" customHeight="1">
      <c r="E557" s="621">
        <v>549</v>
      </c>
      <c r="F557" s="711"/>
      <c r="G557" s="712"/>
      <c r="H557" s="713">
        <v>549</v>
      </c>
      <c r="I557" s="714"/>
      <c r="J557" s="239"/>
      <c r="K557" s="24"/>
      <c r="AI557" s="16" t="e">
        <f t="shared" si="77"/>
        <v>#N/A</v>
      </c>
      <c r="AJ557" s="16" t="str">
        <f t="shared" si="78"/>
        <v/>
      </c>
      <c r="AK557" s="16" t="str">
        <f t="shared" si="79"/>
        <v/>
      </c>
      <c r="AL557" s="16" t="e">
        <f>IF(AK557="",NA(),COUNTIF(AK$176:$AK557,AK557))</f>
        <v>#N/A</v>
      </c>
      <c r="AM557" s="16" t="e">
        <f t="shared" si="80"/>
        <v>#N/A</v>
      </c>
      <c r="AN557" s="16" t="e">
        <f t="shared" si="81"/>
        <v>#N/A</v>
      </c>
      <c r="AO557" s="16" t="str">
        <f t="shared" si="82"/>
        <v/>
      </c>
      <c r="AP557" s="16" t="str">
        <f t="shared" si="83"/>
        <v/>
      </c>
      <c r="AQ557" s="16" t="e">
        <f>IF(AP557="",NA(),COUNTIF(AP$176:$AP557,AP557))</f>
        <v>#N/A</v>
      </c>
      <c r="AR557" s="16" t="e">
        <f t="shared" si="84"/>
        <v>#N/A</v>
      </c>
      <c r="BI557" s="621">
        <v>549</v>
      </c>
      <c r="BJ557" s="711"/>
      <c r="BK557" s="712"/>
      <c r="BL557" s="713">
        <v>549</v>
      </c>
      <c r="BM557" s="714"/>
      <c r="BN557" s="239"/>
      <c r="BO557" s="24"/>
      <c r="BQ557" s="621">
        <v>549</v>
      </c>
      <c r="BR557" s="711"/>
      <c r="BS557" s="712"/>
      <c r="BT557" s="713">
        <v>549</v>
      </c>
      <c r="BU557" s="714"/>
      <c r="BV557" s="239"/>
      <c r="BW557" s="24"/>
      <c r="BY557" s="621">
        <v>549</v>
      </c>
      <c r="BZ557" s="711"/>
      <c r="CA557" s="712"/>
      <c r="CB557" s="713">
        <v>549</v>
      </c>
      <c r="CC557" s="714"/>
      <c r="CD557" s="239"/>
      <c r="CE557" s="24"/>
    </row>
    <row r="558" spans="5:83" ht="12" customHeight="1">
      <c r="E558" s="621">
        <v>550</v>
      </c>
      <c r="F558" s="711"/>
      <c r="G558" s="712"/>
      <c r="H558" s="713">
        <v>550</v>
      </c>
      <c r="I558" s="714"/>
      <c r="J558" s="239"/>
      <c r="K558" s="24"/>
      <c r="AI558" s="16" t="e">
        <f t="shared" si="77"/>
        <v>#N/A</v>
      </c>
      <c r="AJ558" s="16" t="str">
        <f t="shared" si="78"/>
        <v/>
      </c>
      <c r="AK558" s="16" t="str">
        <f t="shared" si="79"/>
        <v/>
      </c>
      <c r="AL558" s="16" t="e">
        <f>IF(AK558="",NA(),COUNTIF(AK$176:$AK558,AK558))</f>
        <v>#N/A</v>
      </c>
      <c r="AM558" s="16" t="e">
        <f t="shared" si="80"/>
        <v>#N/A</v>
      </c>
      <c r="AN558" s="16" t="e">
        <f t="shared" si="81"/>
        <v>#N/A</v>
      </c>
      <c r="AO558" s="16" t="str">
        <f t="shared" si="82"/>
        <v/>
      </c>
      <c r="AP558" s="16" t="str">
        <f t="shared" si="83"/>
        <v/>
      </c>
      <c r="AQ558" s="16" t="e">
        <f>IF(AP558="",NA(),COUNTIF(AP$176:$AP558,AP558))</f>
        <v>#N/A</v>
      </c>
      <c r="AR558" s="16" t="e">
        <f t="shared" si="84"/>
        <v>#N/A</v>
      </c>
      <c r="BI558" s="621">
        <v>550</v>
      </c>
      <c r="BJ558" s="711"/>
      <c r="BK558" s="712"/>
      <c r="BL558" s="713">
        <v>550</v>
      </c>
      <c r="BM558" s="714"/>
      <c r="BN558" s="239"/>
      <c r="BO558" s="24"/>
      <c r="BQ558" s="621">
        <v>550</v>
      </c>
      <c r="BR558" s="711"/>
      <c r="BS558" s="712"/>
      <c r="BT558" s="713">
        <v>550</v>
      </c>
      <c r="BU558" s="714"/>
      <c r="BV558" s="239"/>
      <c r="BW558" s="24"/>
      <c r="BY558" s="621">
        <v>550</v>
      </c>
      <c r="BZ558" s="711"/>
      <c r="CA558" s="712"/>
      <c r="CB558" s="713">
        <v>550</v>
      </c>
      <c r="CC558" s="714"/>
      <c r="CD558" s="239"/>
      <c r="CE558" s="24"/>
    </row>
    <row r="559" spans="5:83" ht="12" customHeight="1">
      <c r="E559" s="621">
        <v>551</v>
      </c>
      <c r="F559" s="711"/>
      <c r="G559" s="712"/>
      <c r="H559" s="713">
        <v>551</v>
      </c>
      <c r="I559" s="714"/>
      <c r="J559" s="239"/>
      <c r="K559" s="24"/>
      <c r="AI559" s="16" t="e">
        <f t="shared" si="77"/>
        <v>#N/A</v>
      </c>
      <c r="AJ559" s="16" t="str">
        <f t="shared" si="78"/>
        <v/>
      </c>
      <c r="AK559" s="16" t="str">
        <f t="shared" si="79"/>
        <v/>
      </c>
      <c r="AL559" s="16" t="e">
        <f>IF(AK559="",NA(),COUNTIF(AK$176:$AK559,AK559))</f>
        <v>#N/A</v>
      </c>
      <c r="AM559" s="16" t="e">
        <f t="shared" si="80"/>
        <v>#N/A</v>
      </c>
      <c r="AN559" s="16" t="e">
        <f t="shared" si="81"/>
        <v>#N/A</v>
      </c>
      <c r="AO559" s="16" t="str">
        <f t="shared" si="82"/>
        <v/>
      </c>
      <c r="AP559" s="16" t="str">
        <f t="shared" si="83"/>
        <v/>
      </c>
      <c r="AQ559" s="16" t="e">
        <f>IF(AP559="",NA(),COUNTIF(AP$176:$AP559,AP559))</f>
        <v>#N/A</v>
      </c>
      <c r="AR559" s="16" t="e">
        <f t="shared" si="84"/>
        <v>#N/A</v>
      </c>
      <c r="BI559" s="621">
        <v>551</v>
      </c>
      <c r="BJ559" s="711"/>
      <c r="BK559" s="712"/>
      <c r="BL559" s="713">
        <v>551</v>
      </c>
      <c r="BM559" s="714"/>
      <c r="BN559" s="239"/>
      <c r="BO559" s="24"/>
      <c r="BQ559" s="621">
        <v>551</v>
      </c>
      <c r="BR559" s="711"/>
      <c r="BS559" s="712"/>
      <c r="BT559" s="713">
        <v>551</v>
      </c>
      <c r="BU559" s="714"/>
      <c r="BV559" s="239"/>
      <c r="BW559" s="24"/>
      <c r="BY559" s="621">
        <v>551</v>
      </c>
      <c r="BZ559" s="711"/>
      <c r="CA559" s="712"/>
      <c r="CB559" s="713">
        <v>551</v>
      </c>
      <c r="CC559" s="714"/>
      <c r="CD559" s="239"/>
      <c r="CE559" s="24"/>
    </row>
    <row r="560" spans="5:83" ht="12" customHeight="1">
      <c r="E560" s="621">
        <v>552</v>
      </c>
      <c r="F560" s="711"/>
      <c r="G560" s="712"/>
      <c r="H560" s="713">
        <v>552</v>
      </c>
      <c r="I560" s="714"/>
      <c r="J560" s="239"/>
      <c r="K560" s="24"/>
      <c r="AI560" s="16" t="e">
        <f t="shared" si="77"/>
        <v>#N/A</v>
      </c>
      <c r="AJ560" s="16" t="str">
        <f t="shared" si="78"/>
        <v/>
      </c>
      <c r="AK560" s="16" t="str">
        <f t="shared" si="79"/>
        <v/>
      </c>
      <c r="AL560" s="16" t="e">
        <f>IF(AK560="",NA(),COUNTIF(AK$176:$AK560,AK560))</f>
        <v>#N/A</v>
      </c>
      <c r="AM560" s="16" t="e">
        <f t="shared" si="80"/>
        <v>#N/A</v>
      </c>
      <c r="AN560" s="16" t="e">
        <f t="shared" si="81"/>
        <v>#N/A</v>
      </c>
      <c r="AO560" s="16" t="str">
        <f t="shared" si="82"/>
        <v/>
      </c>
      <c r="AP560" s="16" t="str">
        <f t="shared" si="83"/>
        <v/>
      </c>
      <c r="AQ560" s="16" t="e">
        <f>IF(AP560="",NA(),COUNTIF(AP$176:$AP560,AP560))</f>
        <v>#N/A</v>
      </c>
      <c r="AR560" s="16" t="e">
        <f t="shared" si="84"/>
        <v>#N/A</v>
      </c>
      <c r="BI560" s="621">
        <v>552</v>
      </c>
      <c r="BJ560" s="711"/>
      <c r="BK560" s="712"/>
      <c r="BL560" s="713">
        <v>552</v>
      </c>
      <c r="BM560" s="714"/>
      <c r="BN560" s="239"/>
      <c r="BO560" s="24"/>
      <c r="BQ560" s="621">
        <v>552</v>
      </c>
      <c r="BR560" s="711"/>
      <c r="BS560" s="712"/>
      <c r="BT560" s="713">
        <v>552</v>
      </c>
      <c r="BU560" s="714"/>
      <c r="BV560" s="239"/>
      <c r="BW560" s="24"/>
      <c r="BY560" s="621">
        <v>552</v>
      </c>
      <c r="BZ560" s="711"/>
      <c r="CA560" s="712"/>
      <c r="CB560" s="713">
        <v>552</v>
      </c>
      <c r="CC560" s="714"/>
      <c r="CD560" s="239"/>
      <c r="CE560" s="24"/>
    </row>
    <row r="561" spans="5:83" ht="12" customHeight="1">
      <c r="E561" s="621">
        <v>553</v>
      </c>
      <c r="F561" s="711"/>
      <c r="G561" s="712"/>
      <c r="H561" s="713">
        <v>553</v>
      </c>
      <c r="I561" s="714"/>
      <c r="J561" s="239"/>
      <c r="K561" s="24"/>
      <c r="AI561" s="16" t="e">
        <f t="shared" si="77"/>
        <v>#N/A</v>
      </c>
      <c r="AJ561" s="16" t="str">
        <f t="shared" si="78"/>
        <v/>
      </c>
      <c r="AK561" s="16" t="str">
        <f t="shared" si="79"/>
        <v/>
      </c>
      <c r="AL561" s="16" t="e">
        <f>IF(AK561="",NA(),COUNTIF(AK$176:$AK561,AK561))</f>
        <v>#N/A</v>
      </c>
      <c r="AM561" s="16" t="e">
        <f t="shared" si="80"/>
        <v>#N/A</v>
      </c>
      <c r="AN561" s="16" t="e">
        <f t="shared" si="81"/>
        <v>#N/A</v>
      </c>
      <c r="AO561" s="16" t="str">
        <f t="shared" si="82"/>
        <v/>
      </c>
      <c r="AP561" s="16" t="str">
        <f t="shared" si="83"/>
        <v/>
      </c>
      <c r="AQ561" s="16" t="e">
        <f>IF(AP561="",NA(),COUNTIF(AP$176:$AP561,AP561))</f>
        <v>#N/A</v>
      </c>
      <c r="AR561" s="16" t="e">
        <f t="shared" si="84"/>
        <v>#N/A</v>
      </c>
      <c r="BI561" s="621">
        <v>553</v>
      </c>
      <c r="BJ561" s="711"/>
      <c r="BK561" s="712"/>
      <c r="BL561" s="713">
        <v>553</v>
      </c>
      <c r="BM561" s="714"/>
      <c r="BN561" s="239"/>
      <c r="BO561" s="24"/>
      <c r="BQ561" s="621">
        <v>553</v>
      </c>
      <c r="BR561" s="711"/>
      <c r="BS561" s="712"/>
      <c r="BT561" s="713">
        <v>553</v>
      </c>
      <c r="BU561" s="714"/>
      <c r="BV561" s="239"/>
      <c r="BW561" s="24"/>
      <c r="BY561" s="621">
        <v>553</v>
      </c>
      <c r="BZ561" s="711"/>
      <c r="CA561" s="712"/>
      <c r="CB561" s="713">
        <v>553</v>
      </c>
      <c r="CC561" s="714"/>
      <c r="CD561" s="239"/>
      <c r="CE561" s="24"/>
    </row>
    <row r="562" spans="5:83" ht="12" customHeight="1">
      <c r="E562" s="621">
        <v>554</v>
      </c>
      <c r="F562" s="711"/>
      <c r="G562" s="712"/>
      <c r="H562" s="713">
        <v>554</v>
      </c>
      <c r="I562" s="714"/>
      <c r="J562" s="239"/>
      <c r="K562" s="24"/>
      <c r="AI562" s="16" t="e">
        <f t="shared" si="77"/>
        <v>#N/A</v>
      </c>
      <c r="AJ562" s="16" t="str">
        <f t="shared" si="78"/>
        <v/>
      </c>
      <c r="AK562" s="16" t="str">
        <f t="shared" si="79"/>
        <v/>
      </c>
      <c r="AL562" s="16" t="e">
        <f>IF(AK562="",NA(),COUNTIF(AK$176:$AK562,AK562))</f>
        <v>#N/A</v>
      </c>
      <c r="AM562" s="16" t="e">
        <f t="shared" si="80"/>
        <v>#N/A</v>
      </c>
      <c r="AN562" s="16" t="e">
        <f t="shared" si="81"/>
        <v>#N/A</v>
      </c>
      <c r="AO562" s="16" t="str">
        <f t="shared" si="82"/>
        <v/>
      </c>
      <c r="AP562" s="16" t="str">
        <f t="shared" si="83"/>
        <v/>
      </c>
      <c r="AQ562" s="16" t="e">
        <f>IF(AP562="",NA(),COUNTIF(AP$176:$AP562,AP562))</f>
        <v>#N/A</v>
      </c>
      <c r="AR562" s="16" t="e">
        <f t="shared" si="84"/>
        <v>#N/A</v>
      </c>
      <c r="BI562" s="621">
        <v>554</v>
      </c>
      <c r="BJ562" s="711"/>
      <c r="BK562" s="712"/>
      <c r="BL562" s="713">
        <v>554</v>
      </c>
      <c r="BM562" s="714"/>
      <c r="BN562" s="239"/>
      <c r="BO562" s="24"/>
      <c r="BQ562" s="621">
        <v>554</v>
      </c>
      <c r="BR562" s="711"/>
      <c r="BS562" s="712"/>
      <c r="BT562" s="713">
        <v>554</v>
      </c>
      <c r="BU562" s="714"/>
      <c r="BV562" s="239"/>
      <c r="BW562" s="24"/>
      <c r="BY562" s="621">
        <v>554</v>
      </c>
      <c r="BZ562" s="711"/>
      <c r="CA562" s="712"/>
      <c r="CB562" s="713">
        <v>554</v>
      </c>
      <c r="CC562" s="714"/>
      <c r="CD562" s="239"/>
      <c r="CE562" s="24"/>
    </row>
    <row r="563" spans="5:83" ht="12" customHeight="1">
      <c r="E563" s="621">
        <v>555</v>
      </c>
      <c r="F563" s="711"/>
      <c r="G563" s="712"/>
      <c r="H563" s="713">
        <v>555</v>
      </c>
      <c r="I563" s="714"/>
      <c r="J563" s="239"/>
      <c r="K563" s="24"/>
      <c r="AI563" s="16" t="e">
        <f t="shared" si="77"/>
        <v>#N/A</v>
      </c>
      <c r="AJ563" s="16" t="str">
        <f t="shared" si="78"/>
        <v/>
      </c>
      <c r="AK563" s="16" t="str">
        <f t="shared" si="79"/>
        <v/>
      </c>
      <c r="AL563" s="16" t="e">
        <f>IF(AK563="",NA(),COUNTIF(AK$176:$AK563,AK563))</f>
        <v>#N/A</v>
      </c>
      <c r="AM563" s="16" t="e">
        <f t="shared" si="80"/>
        <v>#N/A</v>
      </c>
      <c r="AN563" s="16" t="e">
        <f t="shared" si="81"/>
        <v>#N/A</v>
      </c>
      <c r="AO563" s="16" t="str">
        <f t="shared" si="82"/>
        <v/>
      </c>
      <c r="AP563" s="16" t="str">
        <f t="shared" si="83"/>
        <v/>
      </c>
      <c r="AQ563" s="16" t="e">
        <f>IF(AP563="",NA(),COUNTIF(AP$176:$AP563,AP563))</f>
        <v>#N/A</v>
      </c>
      <c r="AR563" s="16" t="e">
        <f t="shared" si="84"/>
        <v>#N/A</v>
      </c>
      <c r="BI563" s="621">
        <v>555</v>
      </c>
      <c r="BJ563" s="711"/>
      <c r="BK563" s="712"/>
      <c r="BL563" s="713">
        <v>555</v>
      </c>
      <c r="BM563" s="714"/>
      <c r="BN563" s="239"/>
      <c r="BO563" s="24"/>
      <c r="BQ563" s="621">
        <v>555</v>
      </c>
      <c r="BR563" s="711"/>
      <c r="BS563" s="712"/>
      <c r="BT563" s="713">
        <v>555</v>
      </c>
      <c r="BU563" s="714"/>
      <c r="BV563" s="239"/>
      <c r="BW563" s="24"/>
      <c r="BY563" s="621">
        <v>555</v>
      </c>
      <c r="BZ563" s="711"/>
      <c r="CA563" s="712"/>
      <c r="CB563" s="713">
        <v>555</v>
      </c>
      <c r="CC563" s="714"/>
      <c r="CD563" s="239"/>
      <c r="CE563" s="24"/>
    </row>
    <row r="564" spans="5:83" ht="12" customHeight="1">
      <c r="E564" s="621">
        <v>556</v>
      </c>
      <c r="F564" s="711"/>
      <c r="G564" s="712"/>
      <c r="H564" s="713">
        <v>556</v>
      </c>
      <c r="I564" s="714"/>
      <c r="J564" s="239"/>
      <c r="K564" s="24"/>
      <c r="AI564" s="16" t="e">
        <f t="shared" si="77"/>
        <v>#N/A</v>
      </c>
      <c r="AJ564" s="16" t="str">
        <f t="shared" si="78"/>
        <v/>
      </c>
      <c r="AK564" s="16" t="str">
        <f t="shared" si="79"/>
        <v/>
      </c>
      <c r="AL564" s="16" t="e">
        <f>IF(AK564="",NA(),COUNTIF(AK$176:$AK564,AK564))</f>
        <v>#N/A</v>
      </c>
      <c r="AM564" s="16" t="e">
        <f t="shared" si="80"/>
        <v>#N/A</v>
      </c>
      <c r="AN564" s="16" t="e">
        <f t="shared" si="81"/>
        <v>#N/A</v>
      </c>
      <c r="AO564" s="16" t="str">
        <f t="shared" si="82"/>
        <v/>
      </c>
      <c r="AP564" s="16" t="str">
        <f t="shared" si="83"/>
        <v/>
      </c>
      <c r="AQ564" s="16" t="e">
        <f>IF(AP564="",NA(),COUNTIF(AP$176:$AP564,AP564))</f>
        <v>#N/A</v>
      </c>
      <c r="AR564" s="16" t="e">
        <f t="shared" si="84"/>
        <v>#N/A</v>
      </c>
      <c r="BI564" s="621">
        <v>556</v>
      </c>
      <c r="BJ564" s="711"/>
      <c r="BK564" s="712"/>
      <c r="BL564" s="713">
        <v>556</v>
      </c>
      <c r="BM564" s="714"/>
      <c r="BN564" s="239"/>
      <c r="BO564" s="24"/>
      <c r="BQ564" s="621">
        <v>556</v>
      </c>
      <c r="BR564" s="711"/>
      <c r="BS564" s="712"/>
      <c r="BT564" s="713">
        <v>556</v>
      </c>
      <c r="BU564" s="714"/>
      <c r="BV564" s="239"/>
      <c r="BW564" s="24"/>
      <c r="BY564" s="621">
        <v>556</v>
      </c>
      <c r="BZ564" s="711"/>
      <c r="CA564" s="712"/>
      <c r="CB564" s="713">
        <v>556</v>
      </c>
      <c r="CC564" s="714"/>
      <c r="CD564" s="239"/>
      <c r="CE564" s="24"/>
    </row>
    <row r="565" spans="5:83" ht="12" customHeight="1">
      <c r="E565" s="621">
        <v>557</v>
      </c>
      <c r="F565" s="711"/>
      <c r="G565" s="712"/>
      <c r="H565" s="713">
        <v>557</v>
      </c>
      <c r="I565" s="714"/>
      <c r="J565" s="239"/>
      <c r="K565" s="24"/>
      <c r="AI565" s="16" t="e">
        <f t="shared" si="77"/>
        <v>#N/A</v>
      </c>
      <c r="AJ565" s="16" t="str">
        <f t="shared" si="78"/>
        <v/>
      </c>
      <c r="AK565" s="16" t="str">
        <f t="shared" si="79"/>
        <v/>
      </c>
      <c r="AL565" s="16" t="e">
        <f>IF(AK565="",NA(),COUNTIF(AK$176:$AK565,AK565))</f>
        <v>#N/A</v>
      </c>
      <c r="AM565" s="16" t="e">
        <f t="shared" si="80"/>
        <v>#N/A</v>
      </c>
      <c r="AN565" s="16" t="e">
        <f t="shared" si="81"/>
        <v>#N/A</v>
      </c>
      <c r="AO565" s="16" t="str">
        <f t="shared" si="82"/>
        <v/>
      </c>
      <c r="AP565" s="16" t="str">
        <f t="shared" si="83"/>
        <v/>
      </c>
      <c r="AQ565" s="16" t="e">
        <f>IF(AP565="",NA(),COUNTIF(AP$176:$AP565,AP565))</f>
        <v>#N/A</v>
      </c>
      <c r="AR565" s="16" t="e">
        <f t="shared" si="84"/>
        <v>#N/A</v>
      </c>
      <c r="BI565" s="621">
        <v>557</v>
      </c>
      <c r="BJ565" s="711"/>
      <c r="BK565" s="712"/>
      <c r="BL565" s="713">
        <v>557</v>
      </c>
      <c r="BM565" s="714"/>
      <c r="BN565" s="239"/>
      <c r="BO565" s="24"/>
      <c r="BQ565" s="621">
        <v>557</v>
      </c>
      <c r="BR565" s="711"/>
      <c r="BS565" s="712"/>
      <c r="BT565" s="713">
        <v>557</v>
      </c>
      <c r="BU565" s="714"/>
      <c r="BV565" s="239"/>
      <c r="BW565" s="24"/>
      <c r="BY565" s="621">
        <v>557</v>
      </c>
      <c r="BZ565" s="711"/>
      <c r="CA565" s="712"/>
      <c r="CB565" s="713">
        <v>557</v>
      </c>
      <c r="CC565" s="714"/>
      <c r="CD565" s="239"/>
      <c r="CE565" s="24"/>
    </row>
    <row r="566" spans="5:83" ht="12" customHeight="1">
      <c r="E566" s="621">
        <v>558</v>
      </c>
      <c r="F566" s="711"/>
      <c r="G566" s="712"/>
      <c r="H566" s="713">
        <v>558</v>
      </c>
      <c r="I566" s="714"/>
      <c r="J566" s="239"/>
      <c r="K566" s="24"/>
      <c r="AI566" s="16" t="e">
        <f t="shared" si="77"/>
        <v>#N/A</v>
      </c>
      <c r="AJ566" s="16" t="str">
        <f t="shared" si="78"/>
        <v/>
      </c>
      <c r="AK566" s="16" t="str">
        <f t="shared" si="79"/>
        <v/>
      </c>
      <c r="AL566" s="16" t="e">
        <f>IF(AK566="",NA(),COUNTIF(AK$176:$AK566,AK566))</f>
        <v>#N/A</v>
      </c>
      <c r="AM566" s="16" t="e">
        <f t="shared" si="80"/>
        <v>#N/A</v>
      </c>
      <c r="AN566" s="16" t="e">
        <f t="shared" si="81"/>
        <v>#N/A</v>
      </c>
      <c r="AO566" s="16" t="str">
        <f t="shared" si="82"/>
        <v/>
      </c>
      <c r="AP566" s="16" t="str">
        <f t="shared" si="83"/>
        <v/>
      </c>
      <c r="AQ566" s="16" t="e">
        <f>IF(AP566="",NA(),COUNTIF(AP$176:$AP566,AP566))</f>
        <v>#N/A</v>
      </c>
      <c r="AR566" s="16" t="e">
        <f t="shared" si="84"/>
        <v>#N/A</v>
      </c>
      <c r="BI566" s="621">
        <v>558</v>
      </c>
      <c r="BJ566" s="711"/>
      <c r="BK566" s="712"/>
      <c r="BL566" s="713">
        <v>558</v>
      </c>
      <c r="BM566" s="714"/>
      <c r="BN566" s="239"/>
      <c r="BO566" s="24"/>
      <c r="BQ566" s="621">
        <v>558</v>
      </c>
      <c r="BR566" s="711"/>
      <c r="BS566" s="712"/>
      <c r="BT566" s="713">
        <v>558</v>
      </c>
      <c r="BU566" s="714"/>
      <c r="BV566" s="239"/>
      <c r="BW566" s="24"/>
      <c r="BY566" s="621">
        <v>558</v>
      </c>
      <c r="BZ566" s="711"/>
      <c r="CA566" s="712"/>
      <c r="CB566" s="713">
        <v>558</v>
      </c>
      <c r="CC566" s="714"/>
      <c r="CD566" s="239"/>
      <c r="CE566" s="24"/>
    </row>
    <row r="567" spans="5:83" ht="12" customHeight="1">
      <c r="E567" s="621">
        <v>559</v>
      </c>
      <c r="F567" s="711"/>
      <c r="G567" s="712"/>
      <c r="H567" s="713">
        <v>559</v>
      </c>
      <c r="I567" s="714"/>
      <c r="J567" s="239"/>
      <c r="K567" s="24"/>
      <c r="AI567" s="16" t="e">
        <f t="shared" si="77"/>
        <v>#N/A</v>
      </c>
      <c r="AJ567" s="16" t="str">
        <f t="shared" si="78"/>
        <v/>
      </c>
      <c r="AK567" s="16" t="str">
        <f t="shared" si="79"/>
        <v/>
      </c>
      <c r="AL567" s="16" t="e">
        <f>IF(AK567="",NA(),COUNTIF(AK$176:$AK567,AK567))</f>
        <v>#N/A</v>
      </c>
      <c r="AM567" s="16" t="e">
        <f t="shared" si="80"/>
        <v>#N/A</v>
      </c>
      <c r="AN567" s="16" t="e">
        <f t="shared" si="81"/>
        <v>#N/A</v>
      </c>
      <c r="AO567" s="16" t="str">
        <f t="shared" si="82"/>
        <v/>
      </c>
      <c r="AP567" s="16" t="str">
        <f t="shared" si="83"/>
        <v/>
      </c>
      <c r="AQ567" s="16" t="e">
        <f>IF(AP567="",NA(),COUNTIF(AP$176:$AP567,AP567))</f>
        <v>#N/A</v>
      </c>
      <c r="AR567" s="16" t="e">
        <f t="shared" si="84"/>
        <v>#N/A</v>
      </c>
      <c r="BI567" s="621">
        <v>559</v>
      </c>
      <c r="BJ567" s="711"/>
      <c r="BK567" s="712"/>
      <c r="BL567" s="713">
        <v>559</v>
      </c>
      <c r="BM567" s="714"/>
      <c r="BN567" s="239"/>
      <c r="BO567" s="24"/>
      <c r="BQ567" s="621">
        <v>559</v>
      </c>
      <c r="BR567" s="711"/>
      <c r="BS567" s="712"/>
      <c r="BT567" s="713">
        <v>559</v>
      </c>
      <c r="BU567" s="714"/>
      <c r="BV567" s="239"/>
      <c r="BW567" s="24"/>
      <c r="BY567" s="621">
        <v>559</v>
      </c>
      <c r="BZ567" s="711"/>
      <c r="CA567" s="712"/>
      <c r="CB567" s="713">
        <v>559</v>
      </c>
      <c r="CC567" s="714"/>
      <c r="CD567" s="239"/>
      <c r="CE567" s="24"/>
    </row>
    <row r="568" spans="5:83" ht="12" customHeight="1">
      <c r="E568" s="621">
        <v>560</v>
      </c>
      <c r="F568" s="711"/>
      <c r="G568" s="712"/>
      <c r="H568" s="713">
        <v>560</v>
      </c>
      <c r="I568" s="714"/>
      <c r="J568" s="239"/>
      <c r="K568" s="24"/>
      <c r="AI568" s="16" t="e">
        <f t="shared" si="77"/>
        <v>#N/A</v>
      </c>
      <c r="AJ568" s="16" t="str">
        <f t="shared" si="78"/>
        <v/>
      </c>
      <c r="AK568" s="16" t="str">
        <f t="shared" si="79"/>
        <v/>
      </c>
      <c r="AL568" s="16" t="e">
        <f>IF(AK568="",NA(),COUNTIF(AK$176:$AK568,AK568))</f>
        <v>#N/A</v>
      </c>
      <c r="AM568" s="16" t="e">
        <f t="shared" si="80"/>
        <v>#N/A</v>
      </c>
      <c r="AN568" s="16" t="e">
        <f t="shared" si="81"/>
        <v>#N/A</v>
      </c>
      <c r="AO568" s="16" t="str">
        <f t="shared" si="82"/>
        <v/>
      </c>
      <c r="AP568" s="16" t="str">
        <f t="shared" si="83"/>
        <v/>
      </c>
      <c r="AQ568" s="16" t="e">
        <f>IF(AP568="",NA(),COUNTIF(AP$176:$AP568,AP568))</f>
        <v>#N/A</v>
      </c>
      <c r="AR568" s="16" t="e">
        <f t="shared" si="84"/>
        <v>#N/A</v>
      </c>
      <c r="BI568" s="621">
        <v>560</v>
      </c>
      <c r="BJ568" s="711"/>
      <c r="BK568" s="712"/>
      <c r="BL568" s="713">
        <v>560</v>
      </c>
      <c r="BM568" s="714"/>
      <c r="BN568" s="239"/>
      <c r="BO568" s="24"/>
      <c r="BQ568" s="621">
        <v>560</v>
      </c>
      <c r="BR568" s="711"/>
      <c r="BS568" s="712"/>
      <c r="BT568" s="713">
        <v>560</v>
      </c>
      <c r="BU568" s="714"/>
      <c r="BV568" s="239"/>
      <c r="BW568" s="24"/>
      <c r="BY568" s="621">
        <v>560</v>
      </c>
      <c r="BZ568" s="711"/>
      <c r="CA568" s="712"/>
      <c r="CB568" s="713">
        <v>560</v>
      </c>
      <c r="CC568" s="714"/>
      <c r="CD568" s="239"/>
      <c r="CE568" s="24"/>
    </row>
    <row r="569" spans="5:83" ht="12" customHeight="1">
      <c r="E569" s="621">
        <v>561</v>
      </c>
      <c r="F569" s="711"/>
      <c r="G569" s="712"/>
      <c r="H569" s="713">
        <v>561</v>
      </c>
      <c r="I569" s="714"/>
      <c r="J569" s="239"/>
      <c r="K569" s="24"/>
      <c r="AI569" s="16" t="e">
        <f t="shared" si="77"/>
        <v>#N/A</v>
      </c>
      <c r="AJ569" s="16" t="str">
        <f t="shared" si="78"/>
        <v/>
      </c>
      <c r="AK569" s="16" t="str">
        <f t="shared" si="79"/>
        <v/>
      </c>
      <c r="AL569" s="16" t="e">
        <f>IF(AK569="",NA(),COUNTIF(AK$176:$AK569,AK569))</f>
        <v>#N/A</v>
      </c>
      <c r="AM569" s="16" t="e">
        <f t="shared" si="80"/>
        <v>#N/A</v>
      </c>
      <c r="AN569" s="16" t="e">
        <f t="shared" si="81"/>
        <v>#N/A</v>
      </c>
      <c r="AO569" s="16" t="str">
        <f t="shared" si="82"/>
        <v/>
      </c>
      <c r="AP569" s="16" t="str">
        <f t="shared" si="83"/>
        <v/>
      </c>
      <c r="AQ569" s="16" t="e">
        <f>IF(AP569="",NA(),COUNTIF(AP$176:$AP569,AP569))</f>
        <v>#N/A</v>
      </c>
      <c r="AR569" s="16" t="e">
        <f t="shared" si="84"/>
        <v>#N/A</v>
      </c>
      <c r="BI569" s="621">
        <v>561</v>
      </c>
      <c r="BJ569" s="711"/>
      <c r="BK569" s="712"/>
      <c r="BL569" s="713">
        <v>561</v>
      </c>
      <c r="BM569" s="714"/>
      <c r="BN569" s="239"/>
      <c r="BO569" s="24"/>
      <c r="BQ569" s="621">
        <v>561</v>
      </c>
      <c r="BR569" s="711"/>
      <c r="BS569" s="712"/>
      <c r="BT569" s="713">
        <v>561</v>
      </c>
      <c r="BU569" s="714"/>
      <c r="BV569" s="239"/>
      <c r="BW569" s="24"/>
      <c r="BY569" s="621">
        <v>561</v>
      </c>
      <c r="BZ569" s="711"/>
      <c r="CA569" s="712"/>
      <c r="CB569" s="713">
        <v>561</v>
      </c>
      <c r="CC569" s="714"/>
      <c r="CD569" s="239"/>
      <c r="CE569" s="24"/>
    </row>
    <row r="570" spans="5:83" ht="12" customHeight="1">
      <c r="E570" s="621">
        <v>562</v>
      </c>
      <c r="F570" s="711"/>
      <c r="G570" s="712"/>
      <c r="H570" s="713">
        <v>562</v>
      </c>
      <c r="I570" s="714"/>
      <c r="J570" s="239"/>
      <c r="K570" s="24"/>
      <c r="AI570" s="16" t="e">
        <f t="shared" si="77"/>
        <v>#N/A</v>
      </c>
      <c r="AJ570" s="16" t="str">
        <f t="shared" si="78"/>
        <v/>
      </c>
      <c r="AK570" s="16" t="str">
        <f t="shared" si="79"/>
        <v/>
      </c>
      <c r="AL570" s="16" t="e">
        <f>IF(AK570="",NA(),COUNTIF(AK$176:$AK570,AK570))</f>
        <v>#N/A</v>
      </c>
      <c r="AM570" s="16" t="e">
        <f t="shared" si="80"/>
        <v>#N/A</v>
      </c>
      <c r="AN570" s="16" t="e">
        <f t="shared" si="81"/>
        <v>#N/A</v>
      </c>
      <c r="AO570" s="16" t="str">
        <f t="shared" si="82"/>
        <v/>
      </c>
      <c r="AP570" s="16" t="str">
        <f t="shared" si="83"/>
        <v/>
      </c>
      <c r="AQ570" s="16" t="e">
        <f>IF(AP570="",NA(),COUNTIF(AP$176:$AP570,AP570))</f>
        <v>#N/A</v>
      </c>
      <c r="AR570" s="16" t="e">
        <f t="shared" si="84"/>
        <v>#N/A</v>
      </c>
      <c r="BI570" s="621">
        <v>562</v>
      </c>
      <c r="BJ570" s="711"/>
      <c r="BK570" s="712"/>
      <c r="BL570" s="713">
        <v>562</v>
      </c>
      <c r="BM570" s="714"/>
      <c r="BN570" s="239"/>
      <c r="BO570" s="24"/>
      <c r="BQ570" s="621">
        <v>562</v>
      </c>
      <c r="BR570" s="711"/>
      <c r="BS570" s="712"/>
      <c r="BT570" s="713">
        <v>562</v>
      </c>
      <c r="BU570" s="714"/>
      <c r="BV570" s="239"/>
      <c r="BW570" s="24"/>
      <c r="BY570" s="621">
        <v>562</v>
      </c>
      <c r="BZ570" s="711"/>
      <c r="CA570" s="712"/>
      <c r="CB570" s="713">
        <v>562</v>
      </c>
      <c r="CC570" s="714"/>
      <c r="CD570" s="239"/>
      <c r="CE570" s="24"/>
    </row>
    <row r="571" spans="5:83" ht="12" customHeight="1">
      <c r="E571" s="621">
        <v>563</v>
      </c>
      <c r="F571" s="711"/>
      <c r="G571" s="712"/>
      <c r="H571" s="713">
        <v>563</v>
      </c>
      <c r="I571" s="714"/>
      <c r="J571" s="239"/>
      <c r="K571" s="24"/>
      <c r="AI571" s="16" t="e">
        <f t="shared" si="77"/>
        <v>#N/A</v>
      </c>
      <c r="AJ571" s="16" t="str">
        <f t="shared" si="78"/>
        <v/>
      </c>
      <c r="AK571" s="16" t="str">
        <f t="shared" si="79"/>
        <v/>
      </c>
      <c r="AL571" s="16" t="e">
        <f>IF(AK571="",NA(),COUNTIF(AK$176:$AK571,AK571))</f>
        <v>#N/A</v>
      </c>
      <c r="AM571" s="16" t="e">
        <f t="shared" si="80"/>
        <v>#N/A</v>
      </c>
      <c r="AN571" s="16" t="e">
        <f t="shared" si="81"/>
        <v>#N/A</v>
      </c>
      <c r="AO571" s="16" t="str">
        <f t="shared" si="82"/>
        <v/>
      </c>
      <c r="AP571" s="16" t="str">
        <f t="shared" si="83"/>
        <v/>
      </c>
      <c r="AQ571" s="16" t="e">
        <f>IF(AP571="",NA(),COUNTIF(AP$176:$AP571,AP571))</f>
        <v>#N/A</v>
      </c>
      <c r="AR571" s="16" t="e">
        <f t="shared" si="84"/>
        <v>#N/A</v>
      </c>
      <c r="BI571" s="621">
        <v>563</v>
      </c>
      <c r="BJ571" s="711"/>
      <c r="BK571" s="712"/>
      <c r="BL571" s="713">
        <v>563</v>
      </c>
      <c r="BM571" s="714"/>
      <c r="BN571" s="239"/>
      <c r="BO571" s="24"/>
      <c r="BQ571" s="621">
        <v>563</v>
      </c>
      <c r="BR571" s="711"/>
      <c r="BS571" s="712"/>
      <c r="BT571" s="713">
        <v>563</v>
      </c>
      <c r="BU571" s="714"/>
      <c r="BV571" s="239"/>
      <c r="BW571" s="24"/>
      <c r="BY571" s="621">
        <v>563</v>
      </c>
      <c r="BZ571" s="711"/>
      <c r="CA571" s="712"/>
      <c r="CB571" s="713">
        <v>563</v>
      </c>
      <c r="CC571" s="714"/>
      <c r="CD571" s="239"/>
      <c r="CE571" s="24"/>
    </row>
    <row r="572" spans="5:83" ht="12" customHeight="1">
      <c r="E572" s="621">
        <v>564</v>
      </c>
      <c r="F572" s="711"/>
      <c r="G572" s="712"/>
      <c r="H572" s="713">
        <v>564</v>
      </c>
      <c r="I572" s="714"/>
      <c r="J572" s="239"/>
      <c r="K572" s="24"/>
      <c r="AI572" s="16" t="e">
        <f t="shared" si="77"/>
        <v>#N/A</v>
      </c>
      <c r="AJ572" s="16" t="str">
        <f t="shared" si="78"/>
        <v/>
      </c>
      <c r="AK572" s="16" t="str">
        <f t="shared" si="79"/>
        <v/>
      </c>
      <c r="AL572" s="16" t="e">
        <f>IF(AK572="",NA(),COUNTIF(AK$176:$AK572,AK572))</f>
        <v>#N/A</v>
      </c>
      <c r="AM572" s="16" t="e">
        <f t="shared" si="80"/>
        <v>#N/A</v>
      </c>
      <c r="AN572" s="16" t="e">
        <f t="shared" si="81"/>
        <v>#N/A</v>
      </c>
      <c r="AO572" s="16" t="str">
        <f t="shared" si="82"/>
        <v/>
      </c>
      <c r="AP572" s="16" t="str">
        <f t="shared" si="83"/>
        <v/>
      </c>
      <c r="AQ572" s="16" t="e">
        <f>IF(AP572="",NA(),COUNTIF(AP$176:$AP572,AP572))</f>
        <v>#N/A</v>
      </c>
      <c r="AR572" s="16" t="e">
        <f t="shared" si="84"/>
        <v>#N/A</v>
      </c>
      <c r="BI572" s="621">
        <v>564</v>
      </c>
      <c r="BJ572" s="711"/>
      <c r="BK572" s="712"/>
      <c r="BL572" s="713">
        <v>564</v>
      </c>
      <c r="BM572" s="714"/>
      <c r="BN572" s="239"/>
      <c r="BO572" s="24"/>
      <c r="BQ572" s="621">
        <v>564</v>
      </c>
      <c r="BR572" s="711"/>
      <c r="BS572" s="712"/>
      <c r="BT572" s="713">
        <v>564</v>
      </c>
      <c r="BU572" s="714"/>
      <c r="BV572" s="239"/>
      <c r="BW572" s="24"/>
      <c r="BY572" s="621">
        <v>564</v>
      </c>
      <c r="BZ572" s="711"/>
      <c r="CA572" s="712"/>
      <c r="CB572" s="713">
        <v>564</v>
      </c>
      <c r="CC572" s="714"/>
      <c r="CD572" s="239"/>
      <c r="CE572" s="24"/>
    </row>
    <row r="573" spans="5:83" ht="12" customHeight="1">
      <c r="E573" s="621">
        <v>565</v>
      </c>
      <c r="F573" s="711"/>
      <c r="G573" s="712"/>
      <c r="H573" s="713">
        <v>565</v>
      </c>
      <c r="I573" s="714"/>
      <c r="J573" s="239"/>
      <c r="K573" s="24"/>
      <c r="AI573" s="16" t="e">
        <f t="shared" si="77"/>
        <v>#N/A</v>
      </c>
      <c r="AJ573" s="16" t="str">
        <f t="shared" si="78"/>
        <v/>
      </c>
      <c r="AK573" s="16" t="str">
        <f t="shared" si="79"/>
        <v/>
      </c>
      <c r="AL573" s="16" t="e">
        <f>IF(AK573="",NA(),COUNTIF(AK$176:$AK573,AK573))</f>
        <v>#N/A</v>
      </c>
      <c r="AM573" s="16" t="e">
        <f t="shared" si="80"/>
        <v>#N/A</v>
      </c>
      <c r="AN573" s="16" t="e">
        <f t="shared" si="81"/>
        <v>#N/A</v>
      </c>
      <c r="AO573" s="16" t="str">
        <f t="shared" si="82"/>
        <v/>
      </c>
      <c r="AP573" s="16" t="str">
        <f t="shared" si="83"/>
        <v/>
      </c>
      <c r="AQ573" s="16" t="e">
        <f>IF(AP573="",NA(),COUNTIF(AP$176:$AP573,AP573))</f>
        <v>#N/A</v>
      </c>
      <c r="AR573" s="16" t="e">
        <f t="shared" si="84"/>
        <v>#N/A</v>
      </c>
      <c r="BI573" s="621">
        <v>565</v>
      </c>
      <c r="BJ573" s="711"/>
      <c r="BK573" s="712"/>
      <c r="BL573" s="713">
        <v>565</v>
      </c>
      <c r="BM573" s="714"/>
      <c r="BN573" s="239"/>
      <c r="BO573" s="24"/>
      <c r="BQ573" s="621">
        <v>565</v>
      </c>
      <c r="BR573" s="711"/>
      <c r="BS573" s="712"/>
      <c r="BT573" s="713">
        <v>565</v>
      </c>
      <c r="BU573" s="714"/>
      <c r="BV573" s="239"/>
      <c r="BW573" s="24"/>
      <c r="BY573" s="621">
        <v>565</v>
      </c>
      <c r="BZ573" s="711"/>
      <c r="CA573" s="712"/>
      <c r="CB573" s="713">
        <v>565</v>
      </c>
      <c r="CC573" s="714"/>
      <c r="CD573" s="239"/>
      <c r="CE573" s="24"/>
    </row>
    <row r="574" spans="5:83" ht="12" customHeight="1">
      <c r="E574" s="621">
        <v>566</v>
      </c>
      <c r="F574" s="711"/>
      <c r="G574" s="712"/>
      <c r="H574" s="713">
        <v>566</v>
      </c>
      <c r="I574" s="714"/>
      <c r="J574" s="239"/>
      <c r="K574" s="24"/>
      <c r="AI574" s="16" t="e">
        <f t="shared" si="77"/>
        <v>#N/A</v>
      </c>
      <c r="AJ574" s="16" t="str">
        <f t="shared" si="78"/>
        <v/>
      </c>
      <c r="AK574" s="16" t="str">
        <f t="shared" si="79"/>
        <v/>
      </c>
      <c r="AL574" s="16" t="e">
        <f>IF(AK574="",NA(),COUNTIF(AK$176:$AK574,AK574))</f>
        <v>#N/A</v>
      </c>
      <c r="AM574" s="16" t="e">
        <f t="shared" si="80"/>
        <v>#N/A</v>
      </c>
      <c r="AN574" s="16" t="e">
        <f t="shared" si="81"/>
        <v>#N/A</v>
      </c>
      <c r="AO574" s="16" t="str">
        <f t="shared" si="82"/>
        <v/>
      </c>
      <c r="AP574" s="16" t="str">
        <f t="shared" si="83"/>
        <v/>
      </c>
      <c r="AQ574" s="16" t="e">
        <f>IF(AP574="",NA(),COUNTIF(AP$176:$AP574,AP574))</f>
        <v>#N/A</v>
      </c>
      <c r="AR574" s="16" t="e">
        <f t="shared" si="84"/>
        <v>#N/A</v>
      </c>
      <c r="BI574" s="621">
        <v>566</v>
      </c>
      <c r="BJ574" s="711"/>
      <c r="BK574" s="712"/>
      <c r="BL574" s="713">
        <v>566</v>
      </c>
      <c r="BM574" s="714"/>
      <c r="BN574" s="239"/>
      <c r="BO574" s="24"/>
      <c r="BQ574" s="621">
        <v>566</v>
      </c>
      <c r="BR574" s="711"/>
      <c r="BS574" s="712"/>
      <c r="BT574" s="713">
        <v>566</v>
      </c>
      <c r="BU574" s="714"/>
      <c r="BV574" s="239"/>
      <c r="BW574" s="24"/>
      <c r="BY574" s="621">
        <v>566</v>
      </c>
      <c r="BZ574" s="711"/>
      <c r="CA574" s="712"/>
      <c r="CB574" s="713">
        <v>566</v>
      </c>
      <c r="CC574" s="714"/>
      <c r="CD574" s="239"/>
      <c r="CE574" s="24"/>
    </row>
    <row r="575" spans="5:83" ht="12" customHeight="1">
      <c r="E575" s="621">
        <v>567</v>
      </c>
      <c r="F575" s="711"/>
      <c r="G575" s="712"/>
      <c r="H575" s="713">
        <v>567</v>
      </c>
      <c r="I575" s="714"/>
      <c r="J575" s="239"/>
      <c r="K575" s="24"/>
      <c r="AI575" s="16" t="e">
        <f t="shared" si="77"/>
        <v>#N/A</v>
      </c>
      <c r="AJ575" s="16" t="str">
        <f t="shared" si="78"/>
        <v/>
      </c>
      <c r="AK575" s="16" t="str">
        <f t="shared" si="79"/>
        <v/>
      </c>
      <c r="AL575" s="16" t="e">
        <f>IF(AK575="",NA(),COUNTIF(AK$176:$AK575,AK575))</f>
        <v>#N/A</v>
      </c>
      <c r="AM575" s="16" t="e">
        <f t="shared" si="80"/>
        <v>#N/A</v>
      </c>
      <c r="AN575" s="16" t="e">
        <f t="shared" si="81"/>
        <v>#N/A</v>
      </c>
      <c r="AO575" s="16" t="str">
        <f t="shared" si="82"/>
        <v/>
      </c>
      <c r="AP575" s="16" t="str">
        <f t="shared" si="83"/>
        <v/>
      </c>
      <c r="AQ575" s="16" t="e">
        <f>IF(AP575="",NA(),COUNTIF(AP$176:$AP575,AP575))</f>
        <v>#N/A</v>
      </c>
      <c r="AR575" s="16" t="e">
        <f t="shared" si="84"/>
        <v>#N/A</v>
      </c>
      <c r="BI575" s="621">
        <v>567</v>
      </c>
      <c r="BJ575" s="711"/>
      <c r="BK575" s="712"/>
      <c r="BL575" s="713">
        <v>567</v>
      </c>
      <c r="BM575" s="714"/>
      <c r="BN575" s="239"/>
      <c r="BO575" s="24"/>
      <c r="BQ575" s="621">
        <v>567</v>
      </c>
      <c r="BR575" s="711"/>
      <c r="BS575" s="712"/>
      <c r="BT575" s="713">
        <v>567</v>
      </c>
      <c r="BU575" s="714"/>
      <c r="BV575" s="239"/>
      <c r="BW575" s="24"/>
      <c r="BY575" s="621">
        <v>567</v>
      </c>
      <c r="BZ575" s="711"/>
      <c r="CA575" s="712"/>
      <c r="CB575" s="713">
        <v>567</v>
      </c>
      <c r="CC575" s="714"/>
      <c r="CD575" s="239"/>
      <c r="CE575" s="24"/>
    </row>
    <row r="576" spans="5:83" ht="12" customHeight="1">
      <c r="E576" s="621">
        <v>568</v>
      </c>
      <c r="F576" s="711"/>
      <c r="G576" s="712"/>
      <c r="H576" s="713">
        <v>568</v>
      </c>
      <c r="I576" s="714"/>
      <c r="J576" s="239"/>
      <c r="K576" s="24"/>
      <c r="AI576" s="16" t="e">
        <f t="shared" si="77"/>
        <v>#N/A</v>
      </c>
      <c r="AJ576" s="16" t="str">
        <f t="shared" si="78"/>
        <v/>
      </c>
      <c r="AK576" s="16" t="str">
        <f t="shared" si="79"/>
        <v/>
      </c>
      <c r="AL576" s="16" t="e">
        <f>IF(AK576="",NA(),COUNTIF(AK$176:$AK576,AK576))</f>
        <v>#N/A</v>
      </c>
      <c r="AM576" s="16" t="e">
        <f t="shared" si="80"/>
        <v>#N/A</v>
      </c>
      <c r="AN576" s="16" t="e">
        <f t="shared" si="81"/>
        <v>#N/A</v>
      </c>
      <c r="AO576" s="16" t="str">
        <f t="shared" si="82"/>
        <v/>
      </c>
      <c r="AP576" s="16" t="str">
        <f t="shared" si="83"/>
        <v/>
      </c>
      <c r="AQ576" s="16" t="e">
        <f>IF(AP576="",NA(),COUNTIF(AP$176:$AP576,AP576))</f>
        <v>#N/A</v>
      </c>
      <c r="AR576" s="16" t="e">
        <f t="shared" si="84"/>
        <v>#N/A</v>
      </c>
      <c r="BI576" s="621">
        <v>568</v>
      </c>
      <c r="BJ576" s="711"/>
      <c r="BK576" s="712"/>
      <c r="BL576" s="713">
        <v>568</v>
      </c>
      <c r="BM576" s="714"/>
      <c r="BN576" s="239"/>
      <c r="BO576" s="24"/>
      <c r="BQ576" s="621">
        <v>568</v>
      </c>
      <c r="BR576" s="711"/>
      <c r="BS576" s="712"/>
      <c r="BT576" s="713">
        <v>568</v>
      </c>
      <c r="BU576" s="714"/>
      <c r="BV576" s="239"/>
      <c r="BW576" s="24"/>
      <c r="BY576" s="621">
        <v>568</v>
      </c>
      <c r="BZ576" s="711"/>
      <c r="CA576" s="712"/>
      <c r="CB576" s="713">
        <v>568</v>
      </c>
      <c r="CC576" s="714"/>
      <c r="CD576" s="239"/>
      <c r="CE576" s="24"/>
    </row>
    <row r="577" spans="5:83" ht="12" customHeight="1">
      <c r="E577" s="621">
        <v>569</v>
      </c>
      <c r="F577" s="711"/>
      <c r="G577" s="712"/>
      <c r="H577" s="713">
        <v>569</v>
      </c>
      <c r="I577" s="714"/>
      <c r="J577" s="239"/>
      <c r="K577" s="24"/>
      <c r="AI577" s="16" t="e">
        <f t="shared" si="77"/>
        <v>#N/A</v>
      </c>
      <c r="AJ577" s="16" t="str">
        <f t="shared" si="78"/>
        <v/>
      </c>
      <c r="AK577" s="16" t="str">
        <f t="shared" si="79"/>
        <v/>
      </c>
      <c r="AL577" s="16" t="e">
        <f>IF(AK577="",NA(),COUNTIF(AK$176:$AK577,AK577))</f>
        <v>#N/A</v>
      </c>
      <c r="AM577" s="16" t="e">
        <f t="shared" si="80"/>
        <v>#N/A</v>
      </c>
      <c r="AN577" s="16" t="e">
        <f t="shared" si="81"/>
        <v>#N/A</v>
      </c>
      <c r="AO577" s="16" t="str">
        <f t="shared" si="82"/>
        <v/>
      </c>
      <c r="AP577" s="16" t="str">
        <f t="shared" si="83"/>
        <v/>
      </c>
      <c r="AQ577" s="16" t="e">
        <f>IF(AP577="",NA(),COUNTIF(AP$176:$AP577,AP577))</f>
        <v>#N/A</v>
      </c>
      <c r="AR577" s="16" t="e">
        <f t="shared" si="84"/>
        <v>#N/A</v>
      </c>
      <c r="BI577" s="621">
        <v>569</v>
      </c>
      <c r="BJ577" s="711"/>
      <c r="BK577" s="712"/>
      <c r="BL577" s="713">
        <v>569</v>
      </c>
      <c r="BM577" s="714"/>
      <c r="BN577" s="239"/>
      <c r="BO577" s="24"/>
      <c r="BQ577" s="621">
        <v>569</v>
      </c>
      <c r="BR577" s="711"/>
      <c r="BS577" s="712"/>
      <c r="BT577" s="713">
        <v>569</v>
      </c>
      <c r="BU577" s="714"/>
      <c r="BV577" s="239"/>
      <c r="BW577" s="24"/>
      <c r="BY577" s="621">
        <v>569</v>
      </c>
      <c r="BZ577" s="711"/>
      <c r="CA577" s="712"/>
      <c r="CB577" s="713">
        <v>569</v>
      </c>
      <c r="CC577" s="714"/>
      <c r="CD577" s="239"/>
      <c r="CE577" s="24"/>
    </row>
    <row r="578" spans="5:83" ht="12" customHeight="1">
      <c r="E578" s="621">
        <v>570</v>
      </c>
      <c r="F578" s="711"/>
      <c r="G578" s="712"/>
      <c r="H578" s="713">
        <v>570</v>
      </c>
      <c r="I578" s="714"/>
      <c r="J578" s="239"/>
      <c r="K578" s="24"/>
      <c r="AI578" s="16" t="e">
        <f t="shared" si="77"/>
        <v>#N/A</v>
      </c>
      <c r="AJ578" s="16" t="str">
        <f t="shared" si="78"/>
        <v/>
      </c>
      <c r="AK578" s="16" t="str">
        <f t="shared" si="79"/>
        <v/>
      </c>
      <c r="AL578" s="16" t="e">
        <f>IF(AK578="",NA(),COUNTIF(AK$176:$AK578,AK578))</f>
        <v>#N/A</v>
      </c>
      <c r="AM578" s="16" t="e">
        <f t="shared" si="80"/>
        <v>#N/A</v>
      </c>
      <c r="AN578" s="16" t="e">
        <f t="shared" si="81"/>
        <v>#N/A</v>
      </c>
      <c r="AO578" s="16" t="str">
        <f t="shared" si="82"/>
        <v/>
      </c>
      <c r="AP578" s="16" t="str">
        <f t="shared" si="83"/>
        <v/>
      </c>
      <c r="AQ578" s="16" t="e">
        <f>IF(AP578="",NA(),COUNTIF(AP$176:$AP578,AP578))</f>
        <v>#N/A</v>
      </c>
      <c r="AR578" s="16" t="e">
        <f t="shared" si="84"/>
        <v>#N/A</v>
      </c>
      <c r="BI578" s="621">
        <v>570</v>
      </c>
      <c r="BJ578" s="711"/>
      <c r="BK578" s="712"/>
      <c r="BL578" s="713">
        <v>570</v>
      </c>
      <c r="BM578" s="714"/>
      <c r="BN578" s="239"/>
      <c r="BO578" s="24"/>
      <c r="BQ578" s="621">
        <v>570</v>
      </c>
      <c r="BR578" s="711"/>
      <c r="BS578" s="712"/>
      <c r="BT578" s="713">
        <v>570</v>
      </c>
      <c r="BU578" s="714"/>
      <c r="BV578" s="239"/>
      <c r="BW578" s="24"/>
      <c r="BY578" s="621">
        <v>570</v>
      </c>
      <c r="BZ578" s="711"/>
      <c r="CA578" s="712"/>
      <c r="CB578" s="713">
        <v>570</v>
      </c>
      <c r="CC578" s="714"/>
      <c r="CD578" s="239"/>
      <c r="CE578" s="24"/>
    </row>
    <row r="579" spans="5:83" ht="12" customHeight="1">
      <c r="E579" s="621">
        <v>571</v>
      </c>
      <c r="F579" s="711"/>
      <c r="G579" s="712"/>
      <c r="H579" s="713">
        <v>571</v>
      </c>
      <c r="I579" s="714"/>
      <c r="J579" s="239"/>
      <c r="K579" s="24"/>
      <c r="AI579" s="16" t="e">
        <f t="shared" si="77"/>
        <v>#N/A</v>
      </c>
      <c r="AJ579" s="16" t="str">
        <f t="shared" si="78"/>
        <v/>
      </c>
      <c r="AK579" s="16" t="str">
        <f t="shared" si="79"/>
        <v/>
      </c>
      <c r="AL579" s="16" t="e">
        <f>IF(AK579="",NA(),COUNTIF(AK$176:$AK579,AK579))</f>
        <v>#N/A</v>
      </c>
      <c r="AM579" s="16" t="e">
        <f t="shared" si="80"/>
        <v>#N/A</v>
      </c>
      <c r="AN579" s="16" t="e">
        <f t="shared" si="81"/>
        <v>#N/A</v>
      </c>
      <c r="AO579" s="16" t="str">
        <f t="shared" si="82"/>
        <v/>
      </c>
      <c r="AP579" s="16" t="str">
        <f t="shared" si="83"/>
        <v/>
      </c>
      <c r="AQ579" s="16" t="e">
        <f>IF(AP579="",NA(),COUNTIF(AP$176:$AP579,AP579))</f>
        <v>#N/A</v>
      </c>
      <c r="AR579" s="16" t="e">
        <f t="shared" si="84"/>
        <v>#N/A</v>
      </c>
      <c r="BI579" s="621">
        <v>571</v>
      </c>
      <c r="BJ579" s="711"/>
      <c r="BK579" s="712"/>
      <c r="BL579" s="713">
        <v>571</v>
      </c>
      <c r="BM579" s="714"/>
      <c r="BN579" s="239"/>
      <c r="BO579" s="24"/>
      <c r="BQ579" s="621">
        <v>571</v>
      </c>
      <c r="BR579" s="711"/>
      <c r="BS579" s="712"/>
      <c r="BT579" s="713">
        <v>571</v>
      </c>
      <c r="BU579" s="714"/>
      <c r="BV579" s="239"/>
      <c r="BW579" s="24"/>
      <c r="BY579" s="621">
        <v>571</v>
      </c>
      <c r="BZ579" s="711"/>
      <c r="CA579" s="712"/>
      <c r="CB579" s="713">
        <v>571</v>
      </c>
      <c r="CC579" s="714"/>
      <c r="CD579" s="239"/>
      <c r="CE579" s="24"/>
    </row>
    <row r="580" spans="5:83" ht="12" customHeight="1">
      <c r="E580" s="621">
        <v>572</v>
      </c>
      <c r="F580" s="711"/>
      <c r="G580" s="712"/>
      <c r="H580" s="713">
        <v>572</v>
      </c>
      <c r="I580" s="714"/>
      <c r="J580" s="239"/>
      <c r="K580" s="24"/>
      <c r="AI580" s="16" t="e">
        <f t="shared" si="77"/>
        <v>#N/A</v>
      </c>
      <c r="AJ580" s="16" t="str">
        <f t="shared" si="78"/>
        <v/>
      </c>
      <c r="AK580" s="16" t="str">
        <f t="shared" si="79"/>
        <v/>
      </c>
      <c r="AL580" s="16" t="e">
        <f>IF(AK580="",NA(),COUNTIF(AK$176:$AK580,AK580))</f>
        <v>#N/A</v>
      </c>
      <c r="AM580" s="16" t="e">
        <f t="shared" si="80"/>
        <v>#N/A</v>
      </c>
      <c r="AN580" s="16" t="e">
        <f t="shared" si="81"/>
        <v>#N/A</v>
      </c>
      <c r="AO580" s="16" t="str">
        <f t="shared" si="82"/>
        <v/>
      </c>
      <c r="AP580" s="16" t="str">
        <f t="shared" si="83"/>
        <v/>
      </c>
      <c r="AQ580" s="16" t="e">
        <f>IF(AP580="",NA(),COUNTIF(AP$176:$AP580,AP580))</f>
        <v>#N/A</v>
      </c>
      <c r="AR580" s="16" t="e">
        <f t="shared" si="84"/>
        <v>#N/A</v>
      </c>
      <c r="BI580" s="621">
        <v>572</v>
      </c>
      <c r="BJ580" s="711"/>
      <c r="BK580" s="712"/>
      <c r="BL580" s="713">
        <v>572</v>
      </c>
      <c r="BM580" s="714"/>
      <c r="BN580" s="239"/>
      <c r="BO580" s="24"/>
      <c r="BQ580" s="621">
        <v>572</v>
      </c>
      <c r="BR580" s="711"/>
      <c r="BS580" s="712"/>
      <c r="BT580" s="713">
        <v>572</v>
      </c>
      <c r="BU580" s="714"/>
      <c r="BV580" s="239"/>
      <c r="BW580" s="24"/>
      <c r="BY580" s="621">
        <v>572</v>
      </c>
      <c r="BZ580" s="711"/>
      <c r="CA580" s="712"/>
      <c r="CB580" s="713">
        <v>572</v>
      </c>
      <c r="CC580" s="714"/>
      <c r="CD580" s="239"/>
      <c r="CE580" s="24"/>
    </row>
    <row r="581" spans="5:83" ht="12" customHeight="1">
      <c r="E581" s="621">
        <v>573</v>
      </c>
      <c r="F581" s="711"/>
      <c r="G581" s="712"/>
      <c r="H581" s="713">
        <v>573</v>
      </c>
      <c r="I581" s="714"/>
      <c r="J581" s="239"/>
      <c r="K581" s="24"/>
      <c r="AI581" s="16" t="e">
        <f t="shared" si="77"/>
        <v>#N/A</v>
      </c>
      <c r="AJ581" s="16" t="str">
        <f t="shared" si="78"/>
        <v/>
      </c>
      <c r="AK581" s="16" t="str">
        <f t="shared" si="79"/>
        <v/>
      </c>
      <c r="AL581" s="16" t="e">
        <f>IF(AK581="",NA(),COUNTIF(AK$176:$AK581,AK581))</f>
        <v>#N/A</v>
      </c>
      <c r="AM581" s="16" t="e">
        <f t="shared" si="80"/>
        <v>#N/A</v>
      </c>
      <c r="AN581" s="16" t="e">
        <f t="shared" si="81"/>
        <v>#N/A</v>
      </c>
      <c r="AO581" s="16" t="str">
        <f t="shared" si="82"/>
        <v/>
      </c>
      <c r="AP581" s="16" t="str">
        <f t="shared" si="83"/>
        <v/>
      </c>
      <c r="AQ581" s="16" t="e">
        <f>IF(AP581="",NA(),COUNTIF(AP$176:$AP581,AP581))</f>
        <v>#N/A</v>
      </c>
      <c r="AR581" s="16" t="e">
        <f t="shared" si="84"/>
        <v>#N/A</v>
      </c>
      <c r="BI581" s="621">
        <v>573</v>
      </c>
      <c r="BJ581" s="711"/>
      <c r="BK581" s="712"/>
      <c r="BL581" s="713">
        <v>573</v>
      </c>
      <c r="BM581" s="714"/>
      <c r="BN581" s="239"/>
      <c r="BO581" s="24"/>
      <c r="BQ581" s="621">
        <v>573</v>
      </c>
      <c r="BR581" s="711"/>
      <c r="BS581" s="712"/>
      <c r="BT581" s="713">
        <v>573</v>
      </c>
      <c r="BU581" s="714"/>
      <c r="BV581" s="239"/>
      <c r="BW581" s="24"/>
      <c r="BY581" s="621">
        <v>573</v>
      </c>
      <c r="BZ581" s="711"/>
      <c r="CA581" s="712"/>
      <c r="CB581" s="713">
        <v>573</v>
      </c>
      <c r="CC581" s="714"/>
      <c r="CD581" s="239"/>
      <c r="CE581" s="24"/>
    </row>
    <row r="582" spans="5:83" ht="12" customHeight="1">
      <c r="E582" s="621">
        <v>574</v>
      </c>
      <c r="F582" s="711"/>
      <c r="G582" s="712"/>
      <c r="H582" s="713">
        <v>574</v>
      </c>
      <c r="I582" s="714"/>
      <c r="J582" s="239"/>
      <c r="K582" s="24"/>
      <c r="AI582" s="16" t="e">
        <f t="shared" si="77"/>
        <v>#N/A</v>
      </c>
      <c r="AJ582" s="16" t="str">
        <f t="shared" si="78"/>
        <v/>
      </c>
      <c r="AK582" s="16" t="str">
        <f t="shared" si="79"/>
        <v/>
      </c>
      <c r="AL582" s="16" t="e">
        <f>IF(AK582="",NA(),COUNTIF(AK$176:$AK582,AK582))</f>
        <v>#N/A</v>
      </c>
      <c r="AM582" s="16" t="e">
        <f t="shared" si="80"/>
        <v>#N/A</v>
      </c>
      <c r="AN582" s="16" t="e">
        <f t="shared" si="81"/>
        <v>#N/A</v>
      </c>
      <c r="AO582" s="16" t="str">
        <f t="shared" si="82"/>
        <v/>
      </c>
      <c r="AP582" s="16" t="str">
        <f t="shared" si="83"/>
        <v/>
      </c>
      <c r="AQ582" s="16" t="e">
        <f>IF(AP582="",NA(),COUNTIF(AP$176:$AP582,AP582))</f>
        <v>#N/A</v>
      </c>
      <c r="AR582" s="16" t="e">
        <f t="shared" si="84"/>
        <v>#N/A</v>
      </c>
      <c r="BI582" s="621">
        <v>574</v>
      </c>
      <c r="BJ582" s="711"/>
      <c r="BK582" s="712"/>
      <c r="BL582" s="713">
        <v>574</v>
      </c>
      <c r="BM582" s="714"/>
      <c r="BN582" s="239"/>
      <c r="BO582" s="24"/>
      <c r="BQ582" s="621">
        <v>574</v>
      </c>
      <c r="BR582" s="711"/>
      <c r="BS582" s="712"/>
      <c r="BT582" s="713">
        <v>574</v>
      </c>
      <c r="BU582" s="714"/>
      <c r="BV582" s="239"/>
      <c r="BW582" s="24"/>
      <c r="BY582" s="621">
        <v>574</v>
      </c>
      <c r="BZ582" s="711"/>
      <c r="CA582" s="712"/>
      <c r="CB582" s="713">
        <v>574</v>
      </c>
      <c r="CC582" s="714"/>
      <c r="CD582" s="239"/>
      <c r="CE582" s="24"/>
    </row>
    <row r="583" spans="5:83" ht="12" customHeight="1">
      <c r="E583" s="621">
        <v>575</v>
      </c>
      <c r="F583" s="711"/>
      <c r="G583" s="712"/>
      <c r="H583" s="713">
        <v>575</v>
      </c>
      <c r="I583" s="714"/>
      <c r="J583" s="239"/>
      <c r="K583" s="24"/>
      <c r="AI583" s="16" t="e">
        <f t="shared" si="77"/>
        <v>#N/A</v>
      </c>
      <c r="AJ583" s="16" t="str">
        <f t="shared" si="78"/>
        <v/>
      </c>
      <c r="AK583" s="16" t="str">
        <f t="shared" si="79"/>
        <v/>
      </c>
      <c r="AL583" s="16" t="e">
        <f>IF(AK583="",NA(),COUNTIF(AK$176:$AK583,AK583))</f>
        <v>#N/A</v>
      </c>
      <c r="AM583" s="16" t="e">
        <f t="shared" si="80"/>
        <v>#N/A</v>
      </c>
      <c r="AN583" s="16" t="e">
        <f t="shared" si="81"/>
        <v>#N/A</v>
      </c>
      <c r="AO583" s="16" t="str">
        <f t="shared" si="82"/>
        <v/>
      </c>
      <c r="AP583" s="16" t="str">
        <f t="shared" si="83"/>
        <v/>
      </c>
      <c r="AQ583" s="16" t="e">
        <f>IF(AP583="",NA(),COUNTIF(AP$176:$AP583,AP583))</f>
        <v>#N/A</v>
      </c>
      <c r="AR583" s="16" t="e">
        <f t="shared" si="84"/>
        <v>#N/A</v>
      </c>
      <c r="BI583" s="621">
        <v>575</v>
      </c>
      <c r="BJ583" s="711"/>
      <c r="BK583" s="712"/>
      <c r="BL583" s="713">
        <v>575</v>
      </c>
      <c r="BM583" s="714"/>
      <c r="BN583" s="239"/>
      <c r="BO583" s="24"/>
      <c r="BQ583" s="621">
        <v>575</v>
      </c>
      <c r="BR583" s="711"/>
      <c r="BS583" s="712"/>
      <c r="BT583" s="713">
        <v>575</v>
      </c>
      <c r="BU583" s="714"/>
      <c r="BV583" s="239"/>
      <c r="BW583" s="24"/>
      <c r="BY583" s="621">
        <v>575</v>
      </c>
      <c r="BZ583" s="711"/>
      <c r="CA583" s="712"/>
      <c r="CB583" s="713">
        <v>575</v>
      </c>
      <c r="CC583" s="714"/>
      <c r="CD583" s="239"/>
      <c r="CE583" s="24"/>
    </row>
    <row r="584" spans="5:83" ht="12" customHeight="1">
      <c r="E584" s="621">
        <v>576</v>
      </c>
      <c r="F584" s="711"/>
      <c r="G584" s="712"/>
      <c r="H584" s="713">
        <v>576</v>
      </c>
      <c r="I584" s="714"/>
      <c r="J584" s="239"/>
      <c r="K584" s="24"/>
      <c r="AI584" s="16" t="e">
        <f t="shared" si="77"/>
        <v>#N/A</v>
      </c>
      <c r="AJ584" s="16" t="str">
        <f t="shared" si="78"/>
        <v/>
      </c>
      <c r="AK584" s="16" t="str">
        <f t="shared" si="79"/>
        <v/>
      </c>
      <c r="AL584" s="16" t="e">
        <f>IF(AK584="",NA(),COUNTIF(AK$176:$AK584,AK584))</f>
        <v>#N/A</v>
      </c>
      <c r="AM584" s="16" t="e">
        <f t="shared" si="80"/>
        <v>#N/A</v>
      </c>
      <c r="AN584" s="16" t="e">
        <f t="shared" si="81"/>
        <v>#N/A</v>
      </c>
      <c r="AO584" s="16" t="str">
        <f t="shared" si="82"/>
        <v/>
      </c>
      <c r="AP584" s="16" t="str">
        <f t="shared" si="83"/>
        <v/>
      </c>
      <c r="AQ584" s="16" t="e">
        <f>IF(AP584="",NA(),COUNTIF(AP$176:$AP584,AP584))</f>
        <v>#N/A</v>
      </c>
      <c r="AR584" s="16" t="e">
        <f t="shared" si="84"/>
        <v>#N/A</v>
      </c>
      <c r="BI584" s="621">
        <v>576</v>
      </c>
      <c r="BJ584" s="711"/>
      <c r="BK584" s="712"/>
      <c r="BL584" s="713">
        <v>576</v>
      </c>
      <c r="BM584" s="714"/>
      <c r="BN584" s="239"/>
      <c r="BO584" s="24"/>
      <c r="BQ584" s="621">
        <v>576</v>
      </c>
      <c r="BR584" s="711"/>
      <c r="BS584" s="712"/>
      <c r="BT584" s="713">
        <v>576</v>
      </c>
      <c r="BU584" s="714"/>
      <c r="BV584" s="239"/>
      <c r="BW584" s="24"/>
      <c r="BY584" s="621">
        <v>576</v>
      </c>
      <c r="BZ584" s="711"/>
      <c r="CA584" s="712"/>
      <c r="CB584" s="713">
        <v>576</v>
      </c>
      <c r="CC584" s="714"/>
      <c r="CD584" s="239"/>
      <c r="CE584" s="24"/>
    </row>
    <row r="585" spans="5:83" ht="12" customHeight="1">
      <c r="E585" s="621">
        <v>577</v>
      </c>
      <c r="F585" s="711"/>
      <c r="G585" s="712"/>
      <c r="H585" s="713">
        <v>577</v>
      </c>
      <c r="I585" s="714"/>
      <c r="J585" s="239"/>
      <c r="K585" s="24"/>
      <c r="AI585" s="16" t="e">
        <f t="shared" si="77"/>
        <v>#N/A</v>
      </c>
      <c r="AJ585" s="16" t="str">
        <f t="shared" si="78"/>
        <v/>
      </c>
      <c r="AK585" s="16" t="str">
        <f t="shared" si="79"/>
        <v/>
      </c>
      <c r="AL585" s="16" t="e">
        <f>IF(AK585="",NA(),COUNTIF(AK$176:$AK585,AK585))</f>
        <v>#N/A</v>
      </c>
      <c r="AM585" s="16" t="e">
        <f t="shared" si="80"/>
        <v>#N/A</v>
      </c>
      <c r="AN585" s="16" t="e">
        <f t="shared" si="81"/>
        <v>#N/A</v>
      </c>
      <c r="AO585" s="16" t="str">
        <f t="shared" si="82"/>
        <v/>
      </c>
      <c r="AP585" s="16" t="str">
        <f t="shared" si="83"/>
        <v/>
      </c>
      <c r="AQ585" s="16" t="e">
        <f>IF(AP585="",NA(),COUNTIF(AP$176:$AP585,AP585))</f>
        <v>#N/A</v>
      </c>
      <c r="AR585" s="16" t="e">
        <f t="shared" si="84"/>
        <v>#N/A</v>
      </c>
      <c r="BI585" s="621">
        <v>577</v>
      </c>
      <c r="BJ585" s="711"/>
      <c r="BK585" s="712"/>
      <c r="BL585" s="713">
        <v>577</v>
      </c>
      <c r="BM585" s="714"/>
      <c r="BN585" s="239"/>
      <c r="BO585" s="24"/>
      <c r="BQ585" s="621">
        <v>577</v>
      </c>
      <c r="BR585" s="711"/>
      <c r="BS585" s="712"/>
      <c r="BT585" s="713">
        <v>577</v>
      </c>
      <c r="BU585" s="714"/>
      <c r="BV585" s="239"/>
      <c r="BW585" s="24"/>
      <c r="BY585" s="621">
        <v>577</v>
      </c>
      <c r="BZ585" s="711"/>
      <c r="CA585" s="712"/>
      <c r="CB585" s="713">
        <v>577</v>
      </c>
      <c r="CC585" s="714"/>
      <c r="CD585" s="239"/>
      <c r="CE585" s="24"/>
    </row>
    <row r="586" spans="5:83" ht="12" customHeight="1">
      <c r="E586" s="621">
        <v>578</v>
      </c>
      <c r="F586" s="711"/>
      <c r="G586" s="712"/>
      <c r="H586" s="713">
        <v>578</v>
      </c>
      <c r="I586" s="714"/>
      <c r="J586" s="239"/>
      <c r="K586" s="24"/>
      <c r="AI586" s="16" t="e">
        <f t="shared" si="77"/>
        <v>#N/A</v>
      </c>
      <c r="AJ586" s="16" t="str">
        <f t="shared" si="78"/>
        <v/>
      </c>
      <c r="AK586" s="16" t="str">
        <f t="shared" si="79"/>
        <v/>
      </c>
      <c r="AL586" s="16" t="e">
        <f>IF(AK586="",NA(),COUNTIF(AK$176:$AK586,AK586))</f>
        <v>#N/A</v>
      </c>
      <c r="AM586" s="16" t="e">
        <f t="shared" si="80"/>
        <v>#N/A</v>
      </c>
      <c r="AN586" s="16" t="e">
        <f t="shared" si="81"/>
        <v>#N/A</v>
      </c>
      <c r="AO586" s="16" t="str">
        <f t="shared" si="82"/>
        <v/>
      </c>
      <c r="AP586" s="16" t="str">
        <f t="shared" si="83"/>
        <v/>
      </c>
      <c r="AQ586" s="16" t="e">
        <f>IF(AP586="",NA(),COUNTIF(AP$176:$AP586,AP586))</f>
        <v>#N/A</v>
      </c>
      <c r="AR586" s="16" t="e">
        <f t="shared" si="84"/>
        <v>#N/A</v>
      </c>
      <c r="BI586" s="621">
        <v>578</v>
      </c>
      <c r="BJ586" s="711"/>
      <c r="BK586" s="712"/>
      <c r="BL586" s="713">
        <v>578</v>
      </c>
      <c r="BM586" s="714"/>
      <c r="BN586" s="239"/>
      <c r="BO586" s="24"/>
      <c r="BQ586" s="621">
        <v>578</v>
      </c>
      <c r="BR586" s="711"/>
      <c r="BS586" s="712"/>
      <c r="BT586" s="713">
        <v>578</v>
      </c>
      <c r="BU586" s="714"/>
      <c r="BV586" s="239"/>
      <c r="BW586" s="24"/>
      <c r="BY586" s="621">
        <v>578</v>
      </c>
      <c r="BZ586" s="711"/>
      <c r="CA586" s="712"/>
      <c r="CB586" s="713">
        <v>578</v>
      </c>
      <c r="CC586" s="714"/>
      <c r="CD586" s="239"/>
      <c r="CE586" s="24"/>
    </row>
    <row r="587" spans="5:83" ht="12" customHeight="1">
      <c r="E587" s="621">
        <v>579</v>
      </c>
      <c r="F587" s="711"/>
      <c r="G587" s="712"/>
      <c r="H587" s="713">
        <v>579</v>
      </c>
      <c r="I587" s="714"/>
      <c r="J587" s="239"/>
      <c r="K587" s="24"/>
      <c r="AI587" s="16" t="e">
        <f t="shared" si="77"/>
        <v>#N/A</v>
      </c>
      <c r="AJ587" s="16" t="str">
        <f t="shared" si="78"/>
        <v/>
      </c>
      <c r="AK587" s="16" t="str">
        <f t="shared" si="79"/>
        <v/>
      </c>
      <c r="AL587" s="16" t="e">
        <f>IF(AK587="",NA(),COUNTIF(AK$176:$AK587,AK587))</f>
        <v>#N/A</v>
      </c>
      <c r="AM587" s="16" t="e">
        <f t="shared" si="80"/>
        <v>#N/A</v>
      </c>
      <c r="AN587" s="16" t="e">
        <f t="shared" si="81"/>
        <v>#N/A</v>
      </c>
      <c r="AO587" s="16" t="str">
        <f t="shared" si="82"/>
        <v/>
      </c>
      <c r="AP587" s="16" t="str">
        <f t="shared" si="83"/>
        <v/>
      </c>
      <c r="AQ587" s="16" t="e">
        <f>IF(AP587="",NA(),COUNTIF(AP$176:$AP587,AP587))</f>
        <v>#N/A</v>
      </c>
      <c r="AR587" s="16" t="e">
        <f t="shared" si="84"/>
        <v>#N/A</v>
      </c>
      <c r="BI587" s="621">
        <v>579</v>
      </c>
      <c r="BJ587" s="711"/>
      <c r="BK587" s="712"/>
      <c r="BL587" s="713">
        <v>579</v>
      </c>
      <c r="BM587" s="714"/>
      <c r="BN587" s="239"/>
      <c r="BO587" s="24"/>
      <c r="BQ587" s="621">
        <v>579</v>
      </c>
      <c r="BR587" s="711"/>
      <c r="BS587" s="712"/>
      <c r="BT587" s="713">
        <v>579</v>
      </c>
      <c r="BU587" s="714"/>
      <c r="BV587" s="239"/>
      <c r="BW587" s="24"/>
      <c r="BY587" s="621">
        <v>579</v>
      </c>
      <c r="BZ587" s="711"/>
      <c r="CA587" s="712"/>
      <c r="CB587" s="713">
        <v>579</v>
      </c>
      <c r="CC587" s="714"/>
      <c r="CD587" s="239"/>
      <c r="CE587" s="24"/>
    </row>
    <row r="588" spans="5:83" ht="12" customHeight="1">
      <c r="E588" s="621">
        <v>580</v>
      </c>
      <c r="F588" s="711"/>
      <c r="G588" s="712"/>
      <c r="H588" s="713">
        <v>580</v>
      </c>
      <c r="I588" s="714"/>
      <c r="J588" s="239"/>
      <c r="K588" s="24"/>
      <c r="AI588" s="16" t="e">
        <f t="shared" si="77"/>
        <v>#N/A</v>
      </c>
      <c r="AJ588" s="16" t="str">
        <f t="shared" si="78"/>
        <v/>
      </c>
      <c r="AK588" s="16" t="str">
        <f t="shared" si="79"/>
        <v/>
      </c>
      <c r="AL588" s="16" t="e">
        <f>IF(AK588="",NA(),COUNTIF(AK$176:$AK588,AK588))</f>
        <v>#N/A</v>
      </c>
      <c r="AM588" s="16" t="e">
        <f t="shared" si="80"/>
        <v>#N/A</v>
      </c>
      <c r="AN588" s="16" t="e">
        <f t="shared" si="81"/>
        <v>#N/A</v>
      </c>
      <c r="AO588" s="16" t="str">
        <f t="shared" si="82"/>
        <v/>
      </c>
      <c r="AP588" s="16" t="str">
        <f t="shared" si="83"/>
        <v/>
      </c>
      <c r="AQ588" s="16" t="e">
        <f>IF(AP588="",NA(),COUNTIF(AP$176:$AP588,AP588))</f>
        <v>#N/A</v>
      </c>
      <c r="AR588" s="16" t="e">
        <f t="shared" si="84"/>
        <v>#N/A</v>
      </c>
      <c r="BI588" s="621">
        <v>580</v>
      </c>
      <c r="BJ588" s="711"/>
      <c r="BK588" s="712"/>
      <c r="BL588" s="713">
        <v>580</v>
      </c>
      <c r="BM588" s="714"/>
      <c r="BN588" s="239"/>
      <c r="BO588" s="24"/>
      <c r="BQ588" s="621">
        <v>580</v>
      </c>
      <c r="BR588" s="711"/>
      <c r="BS588" s="712"/>
      <c r="BT588" s="713">
        <v>580</v>
      </c>
      <c r="BU588" s="714"/>
      <c r="BV588" s="239"/>
      <c r="BW588" s="24"/>
      <c r="BY588" s="621">
        <v>580</v>
      </c>
      <c r="BZ588" s="711"/>
      <c r="CA588" s="712"/>
      <c r="CB588" s="713">
        <v>580</v>
      </c>
      <c r="CC588" s="714"/>
      <c r="CD588" s="239"/>
      <c r="CE588" s="24"/>
    </row>
    <row r="589" spans="5:83" ht="12" customHeight="1">
      <c r="E589" s="621">
        <v>581</v>
      </c>
      <c r="F589" s="711"/>
      <c r="G589" s="712"/>
      <c r="H589" s="713">
        <v>581</v>
      </c>
      <c r="I589" s="714"/>
      <c r="J589" s="239"/>
      <c r="K589" s="24"/>
      <c r="AI589" s="16" t="e">
        <f t="shared" ref="AI589:AI652" si="85">IF(AND($X$80,NOT(F521=""),$X$78),F521,NA())</f>
        <v>#N/A</v>
      </c>
      <c r="AJ589" s="16" t="str">
        <f t="shared" ref="AJ589:AJ652" si="86">IF(AK589="","",IF($AU$79=0,AI589,AK589*$AU$79))</f>
        <v/>
      </c>
      <c r="AK589" s="16" t="str">
        <f t="shared" ref="AK589:AK652" si="87">IF(ISNA(AI589),"",IF($AU$79=0,AI589,ROUND(AI589/$AU$79,0)))</f>
        <v/>
      </c>
      <c r="AL589" s="16" t="e">
        <f>IF(AK589="",NA(),COUNTIF(AK$176:$AK589,AK589))</f>
        <v>#N/A</v>
      </c>
      <c r="AM589" s="16" t="e">
        <f t="shared" ref="AM589:AM652" si="88">(AL589-1)*$AU$82</f>
        <v>#N/A</v>
      </c>
      <c r="AN589" s="16" t="e">
        <f t="shared" ref="AN589:AN652" si="89">IF(AND($X$80,NOT(I521=""),$X$79),I521,NA())</f>
        <v>#N/A</v>
      </c>
      <c r="AO589" s="16" t="str">
        <f t="shared" ref="AO589:AO652" si="90">IF(AP589="","",IF($AU$79=0,AN589,AP589*$AU$79))</f>
        <v/>
      </c>
      <c r="AP589" s="16" t="str">
        <f t="shared" ref="AP589:AP652" si="91">IF(ISNA(AN589),"",IF($AU$79=0,AN589,ROUND(AN589/$AU$79,0)))</f>
        <v/>
      </c>
      <c r="AQ589" s="16" t="e">
        <f>IF(AP589="",NA(),COUNTIF(AP$176:$AP589,AP589))</f>
        <v>#N/A</v>
      </c>
      <c r="AR589" s="16" t="e">
        <f t="shared" ref="AR589:AR652" si="92">(AQ589-1)*$AU$82</f>
        <v>#N/A</v>
      </c>
      <c r="BI589" s="621">
        <v>581</v>
      </c>
      <c r="BJ589" s="711"/>
      <c r="BK589" s="712"/>
      <c r="BL589" s="713">
        <v>581</v>
      </c>
      <c r="BM589" s="714"/>
      <c r="BN589" s="239"/>
      <c r="BO589" s="24"/>
      <c r="BQ589" s="621">
        <v>581</v>
      </c>
      <c r="BR589" s="711"/>
      <c r="BS589" s="712"/>
      <c r="BT589" s="713">
        <v>581</v>
      </c>
      <c r="BU589" s="714"/>
      <c r="BV589" s="239"/>
      <c r="BW589" s="24"/>
      <c r="BY589" s="621">
        <v>581</v>
      </c>
      <c r="BZ589" s="711"/>
      <c r="CA589" s="712"/>
      <c r="CB589" s="713">
        <v>581</v>
      </c>
      <c r="CC589" s="714"/>
      <c r="CD589" s="239"/>
      <c r="CE589" s="24"/>
    </row>
    <row r="590" spans="5:83" ht="12" customHeight="1">
      <c r="E590" s="621">
        <v>582</v>
      </c>
      <c r="F590" s="711"/>
      <c r="G590" s="712"/>
      <c r="H590" s="713">
        <v>582</v>
      </c>
      <c r="I590" s="714"/>
      <c r="J590" s="239"/>
      <c r="K590" s="24"/>
      <c r="AI590" s="16" t="e">
        <f t="shared" si="85"/>
        <v>#N/A</v>
      </c>
      <c r="AJ590" s="16" t="str">
        <f t="shared" si="86"/>
        <v/>
      </c>
      <c r="AK590" s="16" t="str">
        <f t="shared" si="87"/>
        <v/>
      </c>
      <c r="AL590" s="16" t="e">
        <f>IF(AK590="",NA(),COUNTIF(AK$176:$AK590,AK590))</f>
        <v>#N/A</v>
      </c>
      <c r="AM590" s="16" t="e">
        <f t="shared" si="88"/>
        <v>#N/A</v>
      </c>
      <c r="AN590" s="16" t="e">
        <f t="shared" si="89"/>
        <v>#N/A</v>
      </c>
      <c r="AO590" s="16" t="str">
        <f t="shared" si="90"/>
        <v/>
      </c>
      <c r="AP590" s="16" t="str">
        <f t="shared" si="91"/>
        <v/>
      </c>
      <c r="AQ590" s="16" t="e">
        <f>IF(AP590="",NA(),COUNTIF(AP$176:$AP590,AP590))</f>
        <v>#N/A</v>
      </c>
      <c r="AR590" s="16" t="e">
        <f t="shared" si="92"/>
        <v>#N/A</v>
      </c>
      <c r="BI590" s="621">
        <v>582</v>
      </c>
      <c r="BJ590" s="711"/>
      <c r="BK590" s="712"/>
      <c r="BL590" s="713">
        <v>582</v>
      </c>
      <c r="BM590" s="714"/>
      <c r="BN590" s="239"/>
      <c r="BO590" s="24"/>
      <c r="BQ590" s="621">
        <v>582</v>
      </c>
      <c r="BR590" s="711"/>
      <c r="BS590" s="712"/>
      <c r="BT590" s="713">
        <v>582</v>
      </c>
      <c r="BU590" s="714"/>
      <c r="BV590" s="239"/>
      <c r="BW590" s="24"/>
      <c r="BY590" s="621">
        <v>582</v>
      </c>
      <c r="BZ590" s="711"/>
      <c r="CA590" s="712"/>
      <c r="CB590" s="713">
        <v>582</v>
      </c>
      <c r="CC590" s="714"/>
      <c r="CD590" s="239"/>
      <c r="CE590" s="24"/>
    </row>
    <row r="591" spans="5:83" ht="12" customHeight="1">
      <c r="E591" s="621">
        <v>583</v>
      </c>
      <c r="F591" s="711"/>
      <c r="G591" s="712"/>
      <c r="H591" s="713">
        <v>583</v>
      </c>
      <c r="I591" s="714"/>
      <c r="J591" s="239"/>
      <c r="K591" s="24"/>
      <c r="AI591" s="16" t="e">
        <f t="shared" si="85"/>
        <v>#N/A</v>
      </c>
      <c r="AJ591" s="16" t="str">
        <f t="shared" si="86"/>
        <v/>
      </c>
      <c r="AK591" s="16" t="str">
        <f t="shared" si="87"/>
        <v/>
      </c>
      <c r="AL591" s="16" t="e">
        <f>IF(AK591="",NA(),COUNTIF(AK$176:$AK591,AK591))</f>
        <v>#N/A</v>
      </c>
      <c r="AM591" s="16" t="e">
        <f t="shared" si="88"/>
        <v>#N/A</v>
      </c>
      <c r="AN591" s="16" t="e">
        <f t="shared" si="89"/>
        <v>#N/A</v>
      </c>
      <c r="AO591" s="16" t="str">
        <f t="shared" si="90"/>
        <v/>
      </c>
      <c r="AP591" s="16" t="str">
        <f t="shared" si="91"/>
        <v/>
      </c>
      <c r="AQ591" s="16" t="e">
        <f>IF(AP591="",NA(),COUNTIF(AP$176:$AP591,AP591))</f>
        <v>#N/A</v>
      </c>
      <c r="AR591" s="16" t="e">
        <f t="shared" si="92"/>
        <v>#N/A</v>
      </c>
      <c r="BI591" s="621">
        <v>583</v>
      </c>
      <c r="BJ591" s="711"/>
      <c r="BK591" s="712"/>
      <c r="BL591" s="713">
        <v>583</v>
      </c>
      <c r="BM591" s="714"/>
      <c r="BN591" s="239"/>
      <c r="BO591" s="24"/>
      <c r="BQ591" s="621">
        <v>583</v>
      </c>
      <c r="BR591" s="711"/>
      <c r="BS591" s="712"/>
      <c r="BT591" s="713">
        <v>583</v>
      </c>
      <c r="BU591" s="714"/>
      <c r="BV591" s="239"/>
      <c r="BW591" s="24"/>
      <c r="BY591" s="621">
        <v>583</v>
      </c>
      <c r="BZ591" s="711"/>
      <c r="CA591" s="712"/>
      <c r="CB591" s="713">
        <v>583</v>
      </c>
      <c r="CC591" s="714"/>
      <c r="CD591" s="239"/>
      <c r="CE591" s="24"/>
    </row>
    <row r="592" spans="5:83" ht="12" customHeight="1">
      <c r="E592" s="621">
        <v>584</v>
      </c>
      <c r="F592" s="711"/>
      <c r="G592" s="712"/>
      <c r="H592" s="713">
        <v>584</v>
      </c>
      <c r="I592" s="714"/>
      <c r="J592" s="239"/>
      <c r="K592" s="24"/>
      <c r="AI592" s="16" t="e">
        <f t="shared" si="85"/>
        <v>#N/A</v>
      </c>
      <c r="AJ592" s="16" t="str">
        <f t="shared" si="86"/>
        <v/>
      </c>
      <c r="AK592" s="16" t="str">
        <f t="shared" si="87"/>
        <v/>
      </c>
      <c r="AL592" s="16" t="e">
        <f>IF(AK592="",NA(),COUNTIF(AK$176:$AK592,AK592))</f>
        <v>#N/A</v>
      </c>
      <c r="AM592" s="16" t="e">
        <f t="shared" si="88"/>
        <v>#N/A</v>
      </c>
      <c r="AN592" s="16" t="e">
        <f t="shared" si="89"/>
        <v>#N/A</v>
      </c>
      <c r="AO592" s="16" t="str">
        <f t="shared" si="90"/>
        <v/>
      </c>
      <c r="AP592" s="16" t="str">
        <f t="shared" si="91"/>
        <v/>
      </c>
      <c r="AQ592" s="16" t="e">
        <f>IF(AP592="",NA(),COUNTIF(AP$176:$AP592,AP592))</f>
        <v>#N/A</v>
      </c>
      <c r="AR592" s="16" t="e">
        <f t="shared" si="92"/>
        <v>#N/A</v>
      </c>
      <c r="BI592" s="621">
        <v>584</v>
      </c>
      <c r="BJ592" s="711"/>
      <c r="BK592" s="712"/>
      <c r="BL592" s="713">
        <v>584</v>
      </c>
      <c r="BM592" s="714"/>
      <c r="BN592" s="239"/>
      <c r="BO592" s="24"/>
      <c r="BQ592" s="621">
        <v>584</v>
      </c>
      <c r="BR592" s="711"/>
      <c r="BS592" s="712"/>
      <c r="BT592" s="713">
        <v>584</v>
      </c>
      <c r="BU592" s="714"/>
      <c r="BV592" s="239"/>
      <c r="BW592" s="24"/>
      <c r="BY592" s="621">
        <v>584</v>
      </c>
      <c r="BZ592" s="711"/>
      <c r="CA592" s="712"/>
      <c r="CB592" s="713">
        <v>584</v>
      </c>
      <c r="CC592" s="714"/>
      <c r="CD592" s="239"/>
      <c r="CE592" s="24"/>
    </row>
    <row r="593" spans="5:83" ht="12" customHeight="1">
      <c r="E593" s="621">
        <v>585</v>
      </c>
      <c r="F593" s="711"/>
      <c r="G593" s="712"/>
      <c r="H593" s="713">
        <v>585</v>
      </c>
      <c r="I593" s="714"/>
      <c r="J593" s="239"/>
      <c r="K593" s="24"/>
      <c r="AI593" s="16" t="e">
        <f t="shared" si="85"/>
        <v>#N/A</v>
      </c>
      <c r="AJ593" s="16" t="str">
        <f t="shared" si="86"/>
        <v/>
      </c>
      <c r="AK593" s="16" t="str">
        <f t="shared" si="87"/>
        <v/>
      </c>
      <c r="AL593" s="16" t="e">
        <f>IF(AK593="",NA(),COUNTIF(AK$176:$AK593,AK593))</f>
        <v>#N/A</v>
      </c>
      <c r="AM593" s="16" t="e">
        <f t="shared" si="88"/>
        <v>#N/A</v>
      </c>
      <c r="AN593" s="16" t="e">
        <f t="shared" si="89"/>
        <v>#N/A</v>
      </c>
      <c r="AO593" s="16" t="str">
        <f t="shared" si="90"/>
        <v/>
      </c>
      <c r="AP593" s="16" t="str">
        <f t="shared" si="91"/>
        <v/>
      </c>
      <c r="AQ593" s="16" t="e">
        <f>IF(AP593="",NA(),COUNTIF(AP$176:$AP593,AP593))</f>
        <v>#N/A</v>
      </c>
      <c r="AR593" s="16" t="e">
        <f t="shared" si="92"/>
        <v>#N/A</v>
      </c>
      <c r="BI593" s="621">
        <v>585</v>
      </c>
      <c r="BJ593" s="711"/>
      <c r="BK593" s="712"/>
      <c r="BL593" s="713">
        <v>585</v>
      </c>
      <c r="BM593" s="714"/>
      <c r="BN593" s="239"/>
      <c r="BO593" s="24"/>
      <c r="BQ593" s="621">
        <v>585</v>
      </c>
      <c r="BR593" s="711"/>
      <c r="BS593" s="712"/>
      <c r="BT593" s="713">
        <v>585</v>
      </c>
      <c r="BU593" s="714"/>
      <c r="BV593" s="239"/>
      <c r="BW593" s="24"/>
      <c r="BY593" s="621">
        <v>585</v>
      </c>
      <c r="BZ593" s="711"/>
      <c r="CA593" s="712"/>
      <c r="CB593" s="713">
        <v>585</v>
      </c>
      <c r="CC593" s="714"/>
      <c r="CD593" s="239"/>
      <c r="CE593" s="24"/>
    </row>
    <row r="594" spans="5:83" ht="12" customHeight="1">
      <c r="E594" s="621">
        <v>586</v>
      </c>
      <c r="F594" s="711"/>
      <c r="G594" s="712"/>
      <c r="H594" s="713">
        <v>586</v>
      </c>
      <c r="I594" s="714"/>
      <c r="J594" s="239"/>
      <c r="K594" s="24"/>
      <c r="AI594" s="16" t="e">
        <f t="shared" si="85"/>
        <v>#N/A</v>
      </c>
      <c r="AJ594" s="16" t="str">
        <f t="shared" si="86"/>
        <v/>
      </c>
      <c r="AK594" s="16" t="str">
        <f t="shared" si="87"/>
        <v/>
      </c>
      <c r="AL594" s="16" t="e">
        <f>IF(AK594="",NA(),COUNTIF(AK$176:$AK594,AK594))</f>
        <v>#N/A</v>
      </c>
      <c r="AM594" s="16" t="e">
        <f t="shared" si="88"/>
        <v>#N/A</v>
      </c>
      <c r="AN594" s="16" t="e">
        <f t="shared" si="89"/>
        <v>#N/A</v>
      </c>
      <c r="AO594" s="16" t="str">
        <f t="shared" si="90"/>
        <v/>
      </c>
      <c r="AP594" s="16" t="str">
        <f t="shared" si="91"/>
        <v/>
      </c>
      <c r="AQ594" s="16" t="e">
        <f>IF(AP594="",NA(),COUNTIF(AP$176:$AP594,AP594))</f>
        <v>#N/A</v>
      </c>
      <c r="AR594" s="16" t="e">
        <f t="shared" si="92"/>
        <v>#N/A</v>
      </c>
      <c r="BI594" s="621">
        <v>586</v>
      </c>
      <c r="BJ594" s="711"/>
      <c r="BK594" s="712"/>
      <c r="BL594" s="713">
        <v>586</v>
      </c>
      <c r="BM594" s="714"/>
      <c r="BN594" s="239"/>
      <c r="BO594" s="24"/>
      <c r="BQ594" s="621">
        <v>586</v>
      </c>
      <c r="BR594" s="711"/>
      <c r="BS594" s="712"/>
      <c r="BT594" s="713">
        <v>586</v>
      </c>
      <c r="BU594" s="714"/>
      <c r="BV594" s="239"/>
      <c r="BW594" s="24"/>
      <c r="BY594" s="621">
        <v>586</v>
      </c>
      <c r="BZ594" s="711"/>
      <c r="CA594" s="712"/>
      <c r="CB594" s="713">
        <v>586</v>
      </c>
      <c r="CC594" s="714"/>
      <c r="CD594" s="239"/>
      <c r="CE594" s="24"/>
    </row>
    <row r="595" spans="5:83" ht="12" customHeight="1">
      <c r="E595" s="621">
        <v>587</v>
      </c>
      <c r="F595" s="711"/>
      <c r="G595" s="712"/>
      <c r="H595" s="713">
        <v>587</v>
      </c>
      <c r="I595" s="714"/>
      <c r="J595" s="239"/>
      <c r="K595" s="24"/>
      <c r="AI595" s="16" t="e">
        <f t="shared" si="85"/>
        <v>#N/A</v>
      </c>
      <c r="AJ595" s="16" t="str">
        <f t="shared" si="86"/>
        <v/>
      </c>
      <c r="AK595" s="16" t="str">
        <f t="shared" si="87"/>
        <v/>
      </c>
      <c r="AL595" s="16" t="e">
        <f>IF(AK595="",NA(),COUNTIF(AK$176:$AK595,AK595))</f>
        <v>#N/A</v>
      </c>
      <c r="AM595" s="16" t="e">
        <f t="shared" si="88"/>
        <v>#N/A</v>
      </c>
      <c r="AN595" s="16" t="e">
        <f t="shared" si="89"/>
        <v>#N/A</v>
      </c>
      <c r="AO595" s="16" t="str">
        <f t="shared" si="90"/>
        <v/>
      </c>
      <c r="AP595" s="16" t="str">
        <f t="shared" si="91"/>
        <v/>
      </c>
      <c r="AQ595" s="16" t="e">
        <f>IF(AP595="",NA(),COUNTIF(AP$176:$AP595,AP595))</f>
        <v>#N/A</v>
      </c>
      <c r="AR595" s="16" t="e">
        <f t="shared" si="92"/>
        <v>#N/A</v>
      </c>
      <c r="BI595" s="621">
        <v>587</v>
      </c>
      <c r="BJ595" s="711"/>
      <c r="BK595" s="712"/>
      <c r="BL595" s="713">
        <v>587</v>
      </c>
      <c r="BM595" s="714"/>
      <c r="BN595" s="239"/>
      <c r="BO595" s="24"/>
      <c r="BQ595" s="621">
        <v>587</v>
      </c>
      <c r="BR595" s="711"/>
      <c r="BS595" s="712"/>
      <c r="BT595" s="713">
        <v>587</v>
      </c>
      <c r="BU595" s="714"/>
      <c r="BV595" s="239"/>
      <c r="BW595" s="24"/>
      <c r="BY595" s="621">
        <v>587</v>
      </c>
      <c r="BZ595" s="711"/>
      <c r="CA595" s="712"/>
      <c r="CB595" s="713">
        <v>587</v>
      </c>
      <c r="CC595" s="714"/>
      <c r="CD595" s="239"/>
      <c r="CE595" s="24"/>
    </row>
    <row r="596" spans="5:83" ht="12" customHeight="1">
      <c r="E596" s="621">
        <v>588</v>
      </c>
      <c r="F596" s="711"/>
      <c r="G596" s="712"/>
      <c r="H596" s="713">
        <v>588</v>
      </c>
      <c r="I596" s="714"/>
      <c r="J596" s="239"/>
      <c r="K596" s="24"/>
      <c r="AI596" s="16" t="e">
        <f t="shared" si="85"/>
        <v>#N/A</v>
      </c>
      <c r="AJ596" s="16" t="str">
        <f t="shared" si="86"/>
        <v/>
      </c>
      <c r="AK596" s="16" t="str">
        <f t="shared" si="87"/>
        <v/>
      </c>
      <c r="AL596" s="16" t="e">
        <f>IF(AK596="",NA(),COUNTIF(AK$176:$AK596,AK596))</f>
        <v>#N/A</v>
      </c>
      <c r="AM596" s="16" t="e">
        <f t="shared" si="88"/>
        <v>#N/A</v>
      </c>
      <c r="AN596" s="16" t="e">
        <f t="shared" si="89"/>
        <v>#N/A</v>
      </c>
      <c r="AO596" s="16" t="str">
        <f t="shared" si="90"/>
        <v/>
      </c>
      <c r="AP596" s="16" t="str">
        <f t="shared" si="91"/>
        <v/>
      </c>
      <c r="AQ596" s="16" t="e">
        <f>IF(AP596="",NA(),COUNTIF(AP$176:$AP596,AP596))</f>
        <v>#N/A</v>
      </c>
      <c r="AR596" s="16" t="e">
        <f t="shared" si="92"/>
        <v>#N/A</v>
      </c>
      <c r="BI596" s="621">
        <v>588</v>
      </c>
      <c r="BJ596" s="711"/>
      <c r="BK596" s="712"/>
      <c r="BL596" s="713">
        <v>588</v>
      </c>
      <c r="BM596" s="714"/>
      <c r="BN596" s="239"/>
      <c r="BO596" s="24"/>
      <c r="BQ596" s="621">
        <v>588</v>
      </c>
      <c r="BR596" s="711"/>
      <c r="BS596" s="712"/>
      <c r="BT596" s="713">
        <v>588</v>
      </c>
      <c r="BU596" s="714"/>
      <c r="BV596" s="239"/>
      <c r="BW596" s="24"/>
      <c r="BY596" s="621">
        <v>588</v>
      </c>
      <c r="BZ596" s="711"/>
      <c r="CA596" s="712"/>
      <c r="CB596" s="713">
        <v>588</v>
      </c>
      <c r="CC596" s="714"/>
      <c r="CD596" s="239"/>
      <c r="CE596" s="24"/>
    </row>
    <row r="597" spans="5:83" ht="12" customHeight="1">
      <c r="E597" s="621">
        <v>589</v>
      </c>
      <c r="F597" s="711"/>
      <c r="G597" s="712"/>
      <c r="H597" s="713">
        <v>589</v>
      </c>
      <c r="I597" s="714"/>
      <c r="J597" s="239"/>
      <c r="K597" s="24"/>
      <c r="AI597" s="16" t="e">
        <f t="shared" si="85"/>
        <v>#N/A</v>
      </c>
      <c r="AJ597" s="16" t="str">
        <f t="shared" si="86"/>
        <v/>
      </c>
      <c r="AK597" s="16" t="str">
        <f t="shared" si="87"/>
        <v/>
      </c>
      <c r="AL597" s="16" t="e">
        <f>IF(AK597="",NA(),COUNTIF(AK$176:$AK597,AK597))</f>
        <v>#N/A</v>
      </c>
      <c r="AM597" s="16" t="e">
        <f t="shared" si="88"/>
        <v>#N/A</v>
      </c>
      <c r="AN597" s="16" t="e">
        <f t="shared" si="89"/>
        <v>#N/A</v>
      </c>
      <c r="AO597" s="16" t="str">
        <f t="shared" si="90"/>
        <v/>
      </c>
      <c r="AP597" s="16" t="str">
        <f t="shared" si="91"/>
        <v/>
      </c>
      <c r="AQ597" s="16" t="e">
        <f>IF(AP597="",NA(),COUNTIF(AP$176:$AP597,AP597))</f>
        <v>#N/A</v>
      </c>
      <c r="AR597" s="16" t="e">
        <f t="shared" si="92"/>
        <v>#N/A</v>
      </c>
      <c r="BI597" s="621">
        <v>589</v>
      </c>
      <c r="BJ597" s="711"/>
      <c r="BK597" s="712"/>
      <c r="BL597" s="713">
        <v>589</v>
      </c>
      <c r="BM597" s="714"/>
      <c r="BN597" s="239"/>
      <c r="BO597" s="24"/>
      <c r="BQ597" s="621">
        <v>589</v>
      </c>
      <c r="BR597" s="711"/>
      <c r="BS597" s="712"/>
      <c r="BT597" s="713">
        <v>589</v>
      </c>
      <c r="BU597" s="714"/>
      <c r="BV597" s="239"/>
      <c r="BW597" s="24"/>
      <c r="BY597" s="621">
        <v>589</v>
      </c>
      <c r="BZ597" s="711"/>
      <c r="CA597" s="712"/>
      <c r="CB597" s="713">
        <v>589</v>
      </c>
      <c r="CC597" s="714"/>
      <c r="CD597" s="239"/>
      <c r="CE597" s="24"/>
    </row>
    <row r="598" spans="5:83" ht="12" customHeight="1">
      <c r="E598" s="621">
        <v>590</v>
      </c>
      <c r="F598" s="711"/>
      <c r="G598" s="712"/>
      <c r="H598" s="713">
        <v>590</v>
      </c>
      <c r="I598" s="714"/>
      <c r="J598" s="239"/>
      <c r="K598" s="24"/>
      <c r="AI598" s="16" t="e">
        <f t="shared" si="85"/>
        <v>#N/A</v>
      </c>
      <c r="AJ598" s="16" t="str">
        <f t="shared" si="86"/>
        <v/>
      </c>
      <c r="AK598" s="16" t="str">
        <f t="shared" si="87"/>
        <v/>
      </c>
      <c r="AL598" s="16" t="e">
        <f>IF(AK598="",NA(),COUNTIF(AK$176:$AK598,AK598))</f>
        <v>#N/A</v>
      </c>
      <c r="AM598" s="16" t="e">
        <f t="shared" si="88"/>
        <v>#N/A</v>
      </c>
      <c r="AN598" s="16" t="e">
        <f t="shared" si="89"/>
        <v>#N/A</v>
      </c>
      <c r="AO598" s="16" t="str">
        <f t="shared" si="90"/>
        <v/>
      </c>
      <c r="AP598" s="16" t="str">
        <f t="shared" si="91"/>
        <v/>
      </c>
      <c r="AQ598" s="16" t="e">
        <f>IF(AP598="",NA(),COUNTIF(AP$176:$AP598,AP598))</f>
        <v>#N/A</v>
      </c>
      <c r="AR598" s="16" t="e">
        <f t="shared" si="92"/>
        <v>#N/A</v>
      </c>
      <c r="BI598" s="621">
        <v>590</v>
      </c>
      <c r="BJ598" s="711"/>
      <c r="BK598" s="712"/>
      <c r="BL598" s="713">
        <v>590</v>
      </c>
      <c r="BM598" s="714"/>
      <c r="BN598" s="239"/>
      <c r="BO598" s="24"/>
      <c r="BQ598" s="621">
        <v>590</v>
      </c>
      <c r="BR598" s="711"/>
      <c r="BS598" s="712"/>
      <c r="BT598" s="713">
        <v>590</v>
      </c>
      <c r="BU598" s="714"/>
      <c r="BV598" s="239"/>
      <c r="BW598" s="24"/>
      <c r="BY598" s="621">
        <v>590</v>
      </c>
      <c r="BZ598" s="711"/>
      <c r="CA598" s="712"/>
      <c r="CB598" s="713">
        <v>590</v>
      </c>
      <c r="CC598" s="714"/>
      <c r="CD598" s="239"/>
      <c r="CE598" s="24"/>
    </row>
    <row r="599" spans="5:83" ht="12" customHeight="1">
      <c r="E599" s="621">
        <v>591</v>
      </c>
      <c r="F599" s="711"/>
      <c r="G599" s="712"/>
      <c r="H599" s="713">
        <v>591</v>
      </c>
      <c r="I599" s="714"/>
      <c r="J599" s="239"/>
      <c r="K599" s="24"/>
      <c r="AI599" s="16" t="e">
        <f t="shared" si="85"/>
        <v>#N/A</v>
      </c>
      <c r="AJ599" s="16" t="str">
        <f t="shared" si="86"/>
        <v/>
      </c>
      <c r="AK599" s="16" t="str">
        <f t="shared" si="87"/>
        <v/>
      </c>
      <c r="AL599" s="16" t="e">
        <f>IF(AK599="",NA(),COUNTIF(AK$176:$AK599,AK599))</f>
        <v>#N/A</v>
      </c>
      <c r="AM599" s="16" t="e">
        <f t="shared" si="88"/>
        <v>#N/A</v>
      </c>
      <c r="AN599" s="16" t="e">
        <f t="shared" si="89"/>
        <v>#N/A</v>
      </c>
      <c r="AO599" s="16" t="str">
        <f t="shared" si="90"/>
        <v/>
      </c>
      <c r="AP599" s="16" t="str">
        <f t="shared" si="91"/>
        <v/>
      </c>
      <c r="AQ599" s="16" t="e">
        <f>IF(AP599="",NA(),COUNTIF(AP$176:$AP599,AP599))</f>
        <v>#N/A</v>
      </c>
      <c r="AR599" s="16" t="e">
        <f t="shared" si="92"/>
        <v>#N/A</v>
      </c>
      <c r="BI599" s="621">
        <v>591</v>
      </c>
      <c r="BJ599" s="711"/>
      <c r="BK599" s="712"/>
      <c r="BL599" s="713">
        <v>591</v>
      </c>
      <c r="BM599" s="714"/>
      <c r="BN599" s="239"/>
      <c r="BO599" s="24"/>
      <c r="BQ599" s="621">
        <v>591</v>
      </c>
      <c r="BR599" s="711"/>
      <c r="BS599" s="712"/>
      <c r="BT599" s="713">
        <v>591</v>
      </c>
      <c r="BU599" s="714"/>
      <c r="BV599" s="239"/>
      <c r="BW599" s="24"/>
      <c r="BY599" s="621">
        <v>591</v>
      </c>
      <c r="BZ599" s="711"/>
      <c r="CA599" s="712"/>
      <c r="CB599" s="713">
        <v>591</v>
      </c>
      <c r="CC599" s="714"/>
      <c r="CD599" s="239"/>
      <c r="CE599" s="24"/>
    </row>
    <row r="600" spans="5:83" ht="12" customHeight="1">
      <c r="E600" s="621">
        <v>592</v>
      </c>
      <c r="F600" s="711"/>
      <c r="G600" s="712"/>
      <c r="H600" s="713">
        <v>592</v>
      </c>
      <c r="I600" s="714"/>
      <c r="J600" s="239"/>
      <c r="K600" s="24"/>
      <c r="AI600" s="16" t="e">
        <f t="shared" si="85"/>
        <v>#N/A</v>
      </c>
      <c r="AJ600" s="16" t="str">
        <f t="shared" si="86"/>
        <v/>
      </c>
      <c r="AK600" s="16" t="str">
        <f t="shared" si="87"/>
        <v/>
      </c>
      <c r="AL600" s="16" t="e">
        <f>IF(AK600="",NA(),COUNTIF(AK$176:$AK600,AK600))</f>
        <v>#N/A</v>
      </c>
      <c r="AM600" s="16" t="e">
        <f t="shared" si="88"/>
        <v>#N/A</v>
      </c>
      <c r="AN600" s="16" t="e">
        <f t="shared" si="89"/>
        <v>#N/A</v>
      </c>
      <c r="AO600" s="16" t="str">
        <f t="shared" si="90"/>
        <v/>
      </c>
      <c r="AP600" s="16" t="str">
        <f t="shared" si="91"/>
        <v/>
      </c>
      <c r="AQ600" s="16" t="e">
        <f>IF(AP600="",NA(),COUNTIF(AP$176:$AP600,AP600))</f>
        <v>#N/A</v>
      </c>
      <c r="AR600" s="16" t="e">
        <f t="shared" si="92"/>
        <v>#N/A</v>
      </c>
      <c r="BI600" s="621">
        <v>592</v>
      </c>
      <c r="BJ600" s="711"/>
      <c r="BK600" s="712"/>
      <c r="BL600" s="713">
        <v>592</v>
      </c>
      <c r="BM600" s="714"/>
      <c r="BN600" s="239"/>
      <c r="BO600" s="24"/>
      <c r="BQ600" s="621">
        <v>592</v>
      </c>
      <c r="BR600" s="711"/>
      <c r="BS600" s="712"/>
      <c r="BT600" s="713">
        <v>592</v>
      </c>
      <c r="BU600" s="714"/>
      <c r="BV600" s="239"/>
      <c r="BW600" s="24"/>
      <c r="BY600" s="621">
        <v>592</v>
      </c>
      <c r="BZ600" s="711"/>
      <c r="CA600" s="712"/>
      <c r="CB600" s="713">
        <v>592</v>
      </c>
      <c r="CC600" s="714"/>
      <c r="CD600" s="239"/>
      <c r="CE600" s="24"/>
    </row>
    <row r="601" spans="5:83" ht="12" customHeight="1">
      <c r="E601" s="621">
        <v>593</v>
      </c>
      <c r="F601" s="711"/>
      <c r="G601" s="712"/>
      <c r="H601" s="713">
        <v>593</v>
      </c>
      <c r="I601" s="714"/>
      <c r="J601" s="239"/>
      <c r="K601" s="24"/>
      <c r="AI601" s="16" t="e">
        <f t="shared" si="85"/>
        <v>#N/A</v>
      </c>
      <c r="AJ601" s="16" t="str">
        <f t="shared" si="86"/>
        <v/>
      </c>
      <c r="AK601" s="16" t="str">
        <f t="shared" si="87"/>
        <v/>
      </c>
      <c r="AL601" s="16" t="e">
        <f>IF(AK601="",NA(),COUNTIF(AK$176:$AK601,AK601))</f>
        <v>#N/A</v>
      </c>
      <c r="AM601" s="16" t="e">
        <f t="shared" si="88"/>
        <v>#N/A</v>
      </c>
      <c r="AN601" s="16" t="e">
        <f t="shared" si="89"/>
        <v>#N/A</v>
      </c>
      <c r="AO601" s="16" t="str">
        <f t="shared" si="90"/>
        <v/>
      </c>
      <c r="AP601" s="16" t="str">
        <f t="shared" si="91"/>
        <v/>
      </c>
      <c r="AQ601" s="16" t="e">
        <f>IF(AP601="",NA(),COUNTIF(AP$176:$AP601,AP601))</f>
        <v>#N/A</v>
      </c>
      <c r="AR601" s="16" t="e">
        <f t="shared" si="92"/>
        <v>#N/A</v>
      </c>
      <c r="BI601" s="621">
        <v>593</v>
      </c>
      <c r="BJ601" s="711"/>
      <c r="BK601" s="712"/>
      <c r="BL601" s="713">
        <v>593</v>
      </c>
      <c r="BM601" s="714"/>
      <c r="BN601" s="239"/>
      <c r="BO601" s="24"/>
      <c r="BQ601" s="621">
        <v>593</v>
      </c>
      <c r="BR601" s="711"/>
      <c r="BS601" s="712"/>
      <c r="BT601" s="713">
        <v>593</v>
      </c>
      <c r="BU601" s="714"/>
      <c r="BV601" s="239"/>
      <c r="BW601" s="24"/>
      <c r="BY601" s="621">
        <v>593</v>
      </c>
      <c r="BZ601" s="711"/>
      <c r="CA601" s="712"/>
      <c r="CB601" s="713">
        <v>593</v>
      </c>
      <c r="CC601" s="714"/>
      <c r="CD601" s="239"/>
      <c r="CE601" s="24"/>
    </row>
    <row r="602" spans="5:83" ht="12" customHeight="1">
      <c r="E602" s="621">
        <v>594</v>
      </c>
      <c r="F602" s="711"/>
      <c r="G602" s="712"/>
      <c r="H602" s="713">
        <v>594</v>
      </c>
      <c r="I602" s="714"/>
      <c r="J602" s="239"/>
      <c r="K602" s="24"/>
      <c r="AI602" s="16" t="e">
        <f t="shared" si="85"/>
        <v>#N/A</v>
      </c>
      <c r="AJ602" s="16" t="str">
        <f t="shared" si="86"/>
        <v/>
      </c>
      <c r="AK602" s="16" t="str">
        <f t="shared" si="87"/>
        <v/>
      </c>
      <c r="AL602" s="16" t="e">
        <f>IF(AK602="",NA(),COUNTIF(AK$176:$AK602,AK602))</f>
        <v>#N/A</v>
      </c>
      <c r="AM602" s="16" t="e">
        <f t="shared" si="88"/>
        <v>#N/A</v>
      </c>
      <c r="AN602" s="16" t="e">
        <f t="shared" si="89"/>
        <v>#N/A</v>
      </c>
      <c r="AO602" s="16" t="str">
        <f t="shared" si="90"/>
        <v/>
      </c>
      <c r="AP602" s="16" t="str">
        <f t="shared" si="91"/>
        <v/>
      </c>
      <c r="AQ602" s="16" t="e">
        <f>IF(AP602="",NA(),COUNTIF(AP$176:$AP602,AP602))</f>
        <v>#N/A</v>
      </c>
      <c r="AR602" s="16" t="e">
        <f t="shared" si="92"/>
        <v>#N/A</v>
      </c>
      <c r="BI602" s="621">
        <v>594</v>
      </c>
      <c r="BJ602" s="711"/>
      <c r="BK602" s="712"/>
      <c r="BL602" s="713">
        <v>594</v>
      </c>
      <c r="BM602" s="714"/>
      <c r="BN602" s="239"/>
      <c r="BO602" s="24"/>
      <c r="BQ602" s="621">
        <v>594</v>
      </c>
      <c r="BR602" s="711"/>
      <c r="BS602" s="712"/>
      <c r="BT602" s="713">
        <v>594</v>
      </c>
      <c r="BU602" s="714"/>
      <c r="BV602" s="239"/>
      <c r="BW602" s="24"/>
      <c r="BY602" s="621">
        <v>594</v>
      </c>
      <c r="BZ602" s="711"/>
      <c r="CA602" s="712"/>
      <c r="CB602" s="713">
        <v>594</v>
      </c>
      <c r="CC602" s="714"/>
      <c r="CD602" s="239"/>
      <c r="CE602" s="24"/>
    </row>
    <row r="603" spans="5:83" ht="12" customHeight="1">
      <c r="E603" s="621">
        <v>595</v>
      </c>
      <c r="F603" s="711"/>
      <c r="G603" s="712"/>
      <c r="H603" s="713">
        <v>595</v>
      </c>
      <c r="I603" s="714"/>
      <c r="J603" s="239"/>
      <c r="K603" s="24"/>
      <c r="AI603" s="16" t="e">
        <f t="shared" si="85"/>
        <v>#N/A</v>
      </c>
      <c r="AJ603" s="16" t="str">
        <f t="shared" si="86"/>
        <v/>
      </c>
      <c r="AK603" s="16" t="str">
        <f t="shared" si="87"/>
        <v/>
      </c>
      <c r="AL603" s="16" t="e">
        <f>IF(AK603="",NA(),COUNTIF(AK$176:$AK603,AK603))</f>
        <v>#N/A</v>
      </c>
      <c r="AM603" s="16" t="e">
        <f t="shared" si="88"/>
        <v>#N/A</v>
      </c>
      <c r="AN603" s="16" t="e">
        <f t="shared" si="89"/>
        <v>#N/A</v>
      </c>
      <c r="AO603" s="16" t="str">
        <f t="shared" si="90"/>
        <v/>
      </c>
      <c r="AP603" s="16" t="str">
        <f t="shared" si="91"/>
        <v/>
      </c>
      <c r="AQ603" s="16" t="e">
        <f>IF(AP603="",NA(),COUNTIF(AP$176:$AP603,AP603))</f>
        <v>#N/A</v>
      </c>
      <c r="AR603" s="16" t="e">
        <f t="shared" si="92"/>
        <v>#N/A</v>
      </c>
      <c r="BI603" s="621">
        <v>595</v>
      </c>
      <c r="BJ603" s="711"/>
      <c r="BK603" s="712"/>
      <c r="BL603" s="713">
        <v>595</v>
      </c>
      <c r="BM603" s="714"/>
      <c r="BN603" s="239"/>
      <c r="BO603" s="24"/>
      <c r="BQ603" s="621">
        <v>595</v>
      </c>
      <c r="BR603" s="711"/>
      <c r="BS603" s="712"/>
      <c r="BT603" s="713">
        <v>595</v>
      </c>
      <c r="BU603" s="714"/>
      <c r="BV603" s="239"/>
      <c r="BW603" s="24"/>
      <c r="BY603" s="621">
        <v>595</v>
      </c>
      <c r="BZ603" s="711"/>
      <c r="CA603" s="712"/>
      <c r="CB603" s="713">
        <v>595</v>
      </c>
      <c r="CC603" s="714"/>
      <c r="CD603" s="239"/>
      <c r="CE603" s="24"/>
    </row>
    <row r="604" spans="5:83" ht="12" customHeight="1">
      <c r="E604" s="621">
        <v>596</v>
      </c>
      <c r="F604" s="711"/>
      <c r="G604" s="712"/>
      <c r="H604" s="713">
        <v>596</v>
      </c>
      <c r="I604" s="714"/>
      <c r="J604" s="239"/>
      <c r="K604" s="24"/>
      <c r="AI604" s="16" t="e">
        <f t="shared" si="85"/>
        <v>#N/A</v>
      </c>
      <c r="AJ604" s="16" t="str">
        <f t="shared" si="86"/>
        <v/>
      </c>
      <c r="AK604" s="16" t="str">
        <f t="shared" si="87"/>
        <v/>
      </c>
      <c r="AL604" s="16" t="e">
        <f>IF(AK604="",NA(),COUNTIF(AK$176:$AK604,AK604))</f>
        <v>#N/A</v>
      </c>
      <c r="AM604" s="16" t="e">
        <f t="shared" si="88"/>
        <v>#N/A</v>
      </c>
      <c r="AN604" s="16" t="e">
        <f t="shared" si="89"/>
        <v>#N/A</v>
      </c>
      <c r="AO604" s="16" t="str">
        <f t="shared" si="90"/>
        <v/>
      </c>
      <c r="AP604" s="16" t="str">
        <f t="shared" si="91"/>
        <v/>
      </c>
      <c r="AQ604" s="16" t="e">
        <f>IF(AP604="",NA(),COUNTIF(AP$176:$AP604,AP604))</f>
        <v>#N/A</v>
      </c>
      <c r="AR604" s="16" t="e">
        <f t="shared" si="92"/>
        <v>#N/A</v>
      </c>
      <c r="BI604" s="621">
        <v>596</v>
      </c>
      <c r="BJ604" s="711"/>
      <c r="BK604" s="712"/>
      <c r="BL604" s="713">
        <v>596</v>
      </c>
      <c r="BM604" s="714"/>
      <c r="BN604" s="239"/>
      <c r="BO604" s="24"/>
      <c r="BQ604" s="621">
        <v>596</v>
      </c>
      <c r="BR604" s="711"/>
      <c r="BS604" s="712"/>
      <c r="BT604" s="713">
        <v>596</v>
      </c>
      <c r="BU604" s="714"/>
      <c r="BV604" s="239"/>
      <c r="BW604" s="24"/>
      <c r="BY604" s="621">
        <v>596</v>
      </c>
      <c r="BZ604" s="711"/>
      <c r="CA604" s="712"/>
      <c r="CB604" s="713">
        <v>596</v>
      </c>
      <c r="CC604" s="714"/>
      <c r="CD604" s="239"/>
      <c r="CE604" s="24"/>
    </row>
    <row r="605" spans="5:83" ht="12" customHeight="1">
      <c r="E605" s="621">
        <v>597</v>
      </c>
      <c r="F605" s="711"/>
      <c r="G605" s="712"/>
      <c r="H605" s="713">
        <v>597</v>
      </c>
      <c r="I605" s="714"/>
      <c r="J605" s="239"/>
      <c r="K605" s="24"/>
      <c r="AI605" s="16" t="e">
        <f t="shared" si="85"/>
        <v>#N/A</v>
      </c>
      <c r="AJ605" s="16" t="str">
        <f t="shared" si="86"/>
        <v/>
      </c>
      <c r="AK605" s="16" t="str">
        <f t="shared" si="87"/>
        <v/>
      </c>
      <c r="AL605" s="16" t="e">
        <f>IF(AK605="",NA(),COUNTIF(AK$176:$AK605,AK605))</f>
        <v>#N/A</v>
      </c>
      <c r="AM605" s="16" t="e">
        <f t="shared" si="88"/>
        <v>#N/A</v>
      </c>
      <c r="AN605" s="16" t="e">
        <f t="shared" si="89"/>
        <v>#N/A</v>
      </c>
      <c r="AO605" s="16" t="str">
        <f t="shared" si="90"/>
        <v/>
      </c>
      <c r="AP605" s="16" t="str">
        <f t="shared" si="91"/>
        <v/>
      </c>
      <c r="AQ605" s="16" t="e">
        <f>IF(AP605="",NA(),COUNTIF(AP$176:$AP605,AP605))</f>
        <v>#N/A</v>
      </c>
      <c r="AR605" s="16" t="e">
        <f t="shared" si="92"/>
        <v>#N/A</v>
      </c>
      <c r="BI605" s="621">
        <v>597</v>
      </c>
      <c r="BJ605" s="711"/>
      <c r="BK605" s="712"/>
      <c r="BL605" s="713">
        <v>597</v>
      </c>
      <c r="BM605" s="714"/>
      <c r="BN605" s="239"/>
      <c r="BO605" s="24"/>
      <c r="BQ605" s="621">
        <v>597</v>
      </c>
      <c r="BR605" s="711"/>
      <c r="BS605" s="712"/>
      <c r="BT605" s="713">
        <v>597</v>
      </c>
      <c r="BU605" s="714"/>
      <c r="BV605" s="239"/>
      <c r="BW605" s="24"/>
      <c r="BY605" s="621">
        <v>597</v>
      </c>
      <c r="BZ605" s="711"/>
      <c r="CA605" s="712"/>
      <c r="CB605" s="713">
        <v>597</v>
      </c>
      <c r="CC605" s="714"/>
      <c r="CD605" s="239"/>
      <c r="CE605" s="24"/>
    </row>
    <row r="606" spans="5:83" ht="12" customHeight="1">
      <c r="E606" s="621">
        <v>598</v>
      </c>
      <c r="F606" s="711"/>
      <c r="G606" s="712"/>
      <c r="H606" s="713">
        <v>598</v>
      </c>
      <c r="I606" s="714"/>
      <c r="J606" s="239"/>
      <c r="K606" s="24"/>
      <c r="AI606" s="16" t="e">
        <f t="shared" si="85"/>
        <v>#N/A</v>
      </c>
      <c r="AJ606" s="16" t="str">
        <f t="shared" si="86"/>
        <v/>
      </c>
      <c r="AK606" s="16" t="str">
        <f t="shared" si="87"/>
        <v/>
      </c>
      <c r="AL606" s="16" t="e">
        <f>IF(AK606="",NA(),COUNTIF(AK$176:$AK606,AK606))</f>
        <v>#N/A</v>
      </c>
      <c r="AM606" s="16" t="e">
        <f t="shared" si="88"/>
        <v>#N/A</v>
      </c>
      <c r="AN606" s="16" t="e">
        <f t="shared" si="89"/>
        <v>#N/A</v>
      </c>
      <c r="AO606" s="16" t="str">
        <f t="shared" si="90"/>
        <v/>
      </c>
      <c r="AP606" s="16" t="str">
        <f t="shared" si="91"/>
        <v/>
      </c>
      <c r="AQ606" s="16" t="e">
        <f>IF(AP606="",NA(),COUNTIF(AP$176:$AP606,AP606))</f>
        <v>#N/A</v>
      </c>
      <c r="AR606" s="16" t="e">
        <f t="shared" si="92"/>
        <v>#N/A</v>
      </c>
      <c r="BI606" s="621">
        <v>598</v>
      </c>
      <c r="BJ606" s="711"/>
      <c r="BK606" s="712"/>
      <c r="BL606" s="713">
        <v>598</v>
      </c>
      <c r="BM606" s="714"/>
      <c r="BN606" s="239"/>
      <c r="BO606" s="24"/>
      <c r="BQ606" s="621">
        <v>598</v>
      </c>
      <c r="BR606" s="711"/>
      <c r="BS606" s="712"/>
      <c r="BT606" s="713">
        <v>598</v>
      </c>
      <c r="BU606" s="714"/>
      <c r="BV606" s="239"/>
      <c r="BW606" s="24"/>
      <c r="BY606" s="621">
        <v>598</v>
      </c>
      <c r="BZ606" s="711"/>
      <c r="CA606" s="712"/>
      <c r="CB606" s="713">
        <v>598</v>
      </c>
      <c r="CC606" s="714"/>
      <c r="CD606" s="239"/>
      <c r="CE606" s="24"/>
    </row>
    <row r="607" spans="5:83" ht="12" customHeight="1">
      <c r="E607" s="621">
        <v>599</v>
      </c>
      <c r="F607" s="711"/>
      <c r="G607" s="712"/>
      <c r="H607" s="713">
        <v>599</v>
      </c>
      <c r="I607" s="714"/>
      <c r="J607" s="239"/>
      <c r="K607" s="24"/>
      <c r="AI607" s="16" t="e">
        <f t="shared" si="85"/>
        <v>#N/A</v>
      </c>
      <c r="AJ607" s="16" t="str">
        <f t="shared" si="86"/>
        <v/>
      </c>
      <c r="AK607" s="16" t="str">
        <f t="shared" si="87"/>
        <v/>
      </c>
      <c r="AL607" s="16" t="e">
        <f>IF(AK607="",NA(),COUNTIF(AK$176:$AK607,AK607))</f>
        <v>#N/A</v>
      </c>
      <c r="AM607" s="16" t="e">
        <f t="shared" si="88"/>
        <v>#N/A</v>
      </c>
      <c r="AN607" s="16" t="e">
        <f t="shared" si="89"/>
        <v>#N/A</v>
      </c>
      <c r="AO607" s="16" t="str">
        <f t="shared" si="90"/>
        <v/>
      </c>
      <c r="AP607" s="16" t="str">
        <f t="shared" si="91"/>
        <v/>
      </c>
      <c r="AQ607" s="16" t="e">
        <f>IF(AP607="",NA(),COUNTIF(AP$176:$AP607,AP607))</f>
        <v>#N/A</v>
      </c>
      <c r="AR607" s="16" t="e">
        <f t="shared" si="92"/>
        <v>#N/A</v>
      </c>
      <c r="BI607" s="621">
        <v>599</v>
      </c>
      <c r="BJ607" s="711"/>
      <c r="BK607" s="712"/>
      <c r="BL607" s="713">
        <v>599</v>
      </c>
      <c r="BM607" s="714"/>
      <c r="BN607" s="239"/>
      <c r="BO607" s="24"/>
      <c r="BQ607" s="621">
        <v>599</v>
      </c>
      <c r="BR607" s="711"/>
      <c r="BS607" s="712"/>
      <c r="BT607" s="713">
        <v>599</v>
      </c>
      <c r="BU607" s="714"/>
      <c r="BV607" s="239"/>
      <c r="BW607" s="24"/>
      <c r="BY607" s="621">
        <v>599</v>
      </c>
      <c r="BZ607" s="711"/>
      <c r="CA607" s="712"/>
      <c r="CB607" s="713">
        <v>599</v>
      </c>
      <c r="CC607" s="714"/>
      <c r="CD607" s="239"/>
      <c r="CE607" s="24"/>
    </row>
    <row r="608" spans="5:83" ht="12" customHeight="1">
      <c r="E608" s="621">
        <v>600</v>
      </c>
      <c r="F608" s="711"/>
      <c r="G608" s="712"/>
      <c r="H608" s="713">
        <v>600</v>
      </c>
      <c r="I608" s="714"/>
      <c r="J608" s="239"/>
      <c r="K608" s="24"/>
      <c r="AI608" s="16" t="e">
        <f t="shared" si="85"/>
        <v>#N/A</v>
      </c>
      <c r="AJ608" s="16" t="str">
        <f t="shared" si="86"/>
        <v/>
      </c>
      <c r="AK608" s="16" t="str">
        <f t="shared" si="87"/>
        <v/>
      </c>
      <c r="AL608" s="16" t="e">
        <f>IF(AK608="",NA(),COUNTIF(AK$176:$AK608,AK608))</f>
        <v>#N/A</v>
      </c>
      <c r="AM608" s="16" t="e">
        <f t="shared" si="88"/>
        <v>#N/A</v>
      </c>
      <c r="AN608" s="16" t="e">
        <f t="shared" si="89"/>
        <v>#N/A</v>
      </c>
      <c r="AO608" s="16" t="str">
        <f t="shared" si="90"/>
        <v/>
      </c>
      <c r="AP608" s="16" t="str">
        <f t="shared" si="91"/>
        <v/>
      </c>
      <c r="AQ608" s="16" t="e">
        <f>IF(AP608="",NA(),COUNTIF(AP$176:$AP608,AP608))</f>
        <v>#N/A</v>
      </c>
      <c r="AR608" s="16" t="e">
        <f t="shared" si="92"/>
        <v>#N/A</v>
      </c>
      <c r="BI608" s="621">
        <v>600</v>
      </c>
      <c r="BJ608" s="711"/>
      <c r="BK608" s="712"/>
      <c r="BL608" s="713">
        <v>600</v>
      </c>
      <c r="BM608" s="714"/>
      <c r="BN608" s="239"/>
      <c r="BO608" s="24"/>
      <c r="BQ608" s="621">
        <v>600</v>
      </c>
      <c r="BR608" s="711"/>
      <c r="BS608" s="712"/>
      <c r="BT608" s="713">
        <v>600</v>
      </c>
      <c r="BU608" s="714"/>
      <c r="BV608" s="239"/>
      <c r="BW608" s="24"/>
      <c r="BY608" s="621">
        <v>600</v>
      </c>
      <c r="BZ608" s="711"/>
      <c r="CA608" s="712"/>
      <c r="CB608" s="713">
        <v>600</v>
      </c>
      <c r="CC608" s="714"/>
      <c r="CD608" s="239"/>
      <c r="CE608" s="24"/>
    </row>
    <row r="609" spans="5:83" ht="12" customHeight="1">
      <c r="E609" s="621">
        <v>601</v>
      </c>
      <c r="F609" s="711"/>
      <c r="G609" s="712"/>
      <c r="H609" s="713">
        <v>601</v>
      </c>
      <c r="I609" s="714"/>
      <c r="J609" s="239"/>
      <c r="K609" s="24"/>
      <c r="AI609" s="16" t="e">
        <f t="shared" si="85"/>
        <v>#N/A</v>
      </c>
      <c r="AJ609" s="16" t="str">
        <f t="shared" si="86"/>
        <v/>
      </c>
      <c r="AK609" s="16" t="str">
        <f t="shared" si="87"/>
        <v/>
      </c>
      <c r="AL609" s="16" t="e">
        <f>IF(AK609="",NA(),COUNTIF(AK$176:$AK609,AK609))</f>
        <v>#N/A</v>
      </c>
      <c r="AM609" s="16" t="e">
        <f t="shared" si="88"/>
        <v>#N/A</v>
      </c>
      <c r="AN609" s="16" t="e">
        <f t="shared" si="89"/>
        <v>#N/A</v>
      </c>
      <c r="AO609" s="16" t="str">
        <f t="shared" si="90"/>
        <v/>
      </c>
      <c r="AP609" s="16" t="str">
        <f t="shared" si="91"/>
        <v/>
      </c>
      <c r="AQ609" s="16" t="e">
        <f>IF(AP609="",NA(),COUNTIF(AP$176:$AP609,AP609))</f>
        <v>#N/A</v>
      </c>
      <c r="AR609" s="16" t="e">
        <f t="shared" si="92"/>
        <v>#N/A</v>
      </c>
      <c r="BI609" s="621">
        <v>601</v>
      </c>
      <c r="BJ609" s="711"/>
      <c r="BK609" s="712"/>
      <c r="BL609" s="713">
        <v>601</v>
      </c>
      <c r="BM609" s="714"/>
      <c r="BN609" s="239"/>
      <c r="BO609" s="24"/>
      <c r="BQ609" s="621">
        <v>601</v>
      </c>
      <c r="BR609" s="711"/>
      <c r="BS609" s="712"/>
      <c r="BT609" s="713">
        <v>601</v>
      </c>
      <c r="BU609" s="714"/>
      <c r="BV609" s="239"/>
      <c r="BW609" s="24"/>
      <c r="BY609" s="621">
        <v>601</v>
      </c>
      <c r="BZ609" s="711"/>
      <c r="CA609" s="712"/>
      <c r="CB609" s="713">
        <v>601</v>
      </c>
      <c r="CC609" s="714"/>
      <c r="CD609" s="239"/>
      <c r="CE609" s="24"/>
    </row>
    <row r="610" spans="5:83" ht="12" customHeight="1">
      <c r="E610" s="621">
        <v>602</v>
      </c>
      <c r="F610" s="711"/>
      <c r="G610" s="712"/>
      <c r="H610" s="713">
        <v>602</v>
      </c>
      <c r="I610" s="714"/>
      <c r="J610" s="239"/>
      <c r="K610" s="24"/>
      <c r="AI610" s="16" t="e">
        <f t="shared" si="85"/>
        <v>#N/A</v>
      </c>
      <c r="AJ610" s="16" t="str">
        <f t="shared" si="86"/>
        <v/>
      </c>
      <c r="AK610" s="16" t="str">
        <f t="shared" si="87"/>
        <v/>
      </c>
      <c r="AL610" s="16" t="e">
        <f>IF(AK610="",NA(),COUNTIF(AK$176:$AK610,AK610))</f>
        <v>#N/A</v>
      </c>
      <c r="AM610" s="16" t="e">
        <f t="shared" si="88"/>
        <v>#N/A</v>
      </c>
      <c r="AN610" s="16" t="e">
        <f t="shared" si="89"/>
        <v>#N/A</v>
      </c>
      <c r="AO610" s="16" t="str">
        <f t="shared" si="90"/>
        <v/>
      </c>
      <c r="AP610" s="16" t="str">
        <f t="shared" si="91"/>
        <v/>
      </c>
      <c r="AQ610" s="16" t="e">
        <f>IF(AP610="",NA(),COUNTIF(AP$176:$AP610,AP610))</f>
        <v>#N/A</v>
      </c>
      <c r="AR610" s="16" t="e">
        <f t="shared" si="92"/>
        <v>#N/A</v>
      </c>
      <c r="BI610" s="621">
        <v>602</v>
      </c>
      <c r="BJ610" s="711"/>
      <c r="BK610" s="712"/>
      <c r="BL610" s="713">
        <v>602</v>
      </c>
      <c r="BM610" s="714"/>
      <c r="BN610" s="239"/>
      <c r="BO610" s="24"/>
      <c r="BQ610" s="621">
        <v>602</v>
      </c>
      <c r="BR610" s="711"/>
      <c r="BS610" s="712"/>
      <c r="BT610" s="713">
        <v>602</v>
      </c>
      <c r="BU610" s="714"/>
      <c r="BV610" s="239"/>
      <c r="BW610" s="24"/>
      <c r="BY610" s="621">
        <v>602</v>
      </c>
      <c r="BZ610" s="711"/>
      <c r="CA610" s="712"/>
      <c r="CB610" s="713">
        <v>602</v>
      </c>
      <c r="CC610" s="714"/>
      <c r="CD610" s="239"/>
      <c r="CE610" s="24"/>
    </row>
    <row r="611" spans="5:83" ht="12" customHeight="1">
      <c r="E611" s="621">
        <v>603</v>
      </c>
      <c r="F611" s="711"/>
      <c r="G611" s="712"/>
      <c r="H611" s="713">
        <v>603</v>
      </c>
      <c r="I611" s="714"/>
      <c r="J611" s="239"/>
      <c r="K611" s="24"/>
      <c r="AI611" s="16" t="e">
        <f t="shared" si="85"/>
        <v>#N/A</v>
      </c>
      <c r="AJ611" s="16" t="str">
        <f t="shared" si="86"/>
        <v/>
      </c>
      <c r="AK611" s="16" t="str">
        <f t="shared" si="87"/>
        <v/>
      </c>
      <c r="AL611" s="16" t="e">
        <f>IF(AK611="",NA(),COUNTIF(AK$176:$AK611,AK611))</f>
        <v>#N/A</v>
      </c>
      <c r="AM611" s="16" t="e">
        <f t="shared" si="88"/>
        <v>#N/A</v>
      </c>
      <c r="AN611" s="16" t="e">
        <f t="shared" si="89"/>
        <v>#N/A</v>
      </c>
      <c r="AO611" s="16" t="str">
        <f t="shared" si="90"/>
        <v/>
      </c>
      <c r="AP611" s="16" t="str">
        <f t="shared" si="91"/>
        <v/>
      </c>
      <c r="AQ611" s="16" t="e">
        <f>IF(AP611="",NA(),COUNTIF(AP$176:$AP611,AP611))</f>
        <v>#N/A</v>
      </c>
      <c r="AR611" s="16" t="e">
        <f t="shared" si="92"/>
        <v>#N/A</v>
      </c>
      <c r="BI611" s="621">
        <v>603</v>
      </c>
      <c r="BJ611" s="711"/>
      <c r="BK611" s="712"/>
      <c r="BL611" s="713">
        <v>603</v>
      </c>
      <c r="BM611" s="714"/>
      <c r="BN611" s="239"/>
      <c r="BO611" s="24"/>
      <c r="BQ611" s="621">
        <v>603</v>
      </c>
      <c r="BR611" s="711"/>
      <c r="BS611" s="712"/>
      <c r="BT611" s="713">
        <v>603</v>
      </c>
      <c r="BU611" s="714"/>
      <c r="BV611" s="239"/>
      <c r="BW611" s="24"/>
      <c r="BY611" s="621">
        <v>603</v>
      </c>
      <c r="BZ611" s="711"/>
      <c r="CA611" s="712"/>
      <c r="CB611" s="713">
        <v>603</v>
      </c>
      <c r="CC611" s="714"/>
      <c r="CD611" s="239"/>
      <c r="CE611" s="24"/>
    </row>
    <row r="612" spans="5:83" ht="12" customHeight="1">
      <c r="E612" s="621">
        <v>604</v>
      </c>
      <c r="F612" s="711"/>
      <c r="G612" s="712"/>
      <c r="H612" s="713">
        <v>604</v>
      </c>
      <c r="I612" s="714"/>
      <c r="J612" s="239"/>
      <c r="K612" s="24"/>
      <c r="AI612" s="16" t="e">
        <f t="shared" si="85"/>
        <v>#N/A</v>
      </c>
      <c r="AJ612" s="16" t="str">
        <f t="shared" si="86"/>
        <v/>
      </c>
      <c r="AK612" s="16" t="str">
        <f t="shared" si="87"/>
        <v/>
      </c>
      <c r="AL612" s="16" t="e">
        <f>IF(AK612="",NA(),COUNTIF(AK$176:$AK612,AK612))</f>
        <v>#N/A</v>
      </c>
      <c r="AM612" s="16" t="e">
        <f t="shared" si="88"/>
        <v>#N/A</v>
      </c>
      <c r="AN612" s="16" t="e">
        <f t="shared" si="89"/>
        <v>#N/A</v>
      </c>
      <c r="AO612" s="16" t="str">
        <f t="shared" si="90"/>
        <v/>
      </c>
      <c r="AP612" s="16" t="str">
        <f t="shared" si="91"/>
        <v/>
      </c>
      <c r="AQ612" s="16" t="e">
        <f>IF(AP612="",NA(),COUNTIF(AP$176:$AP612,AP612))</f>
        <v>#N/A</v>
      </c>
      <c r="AR612" s="16" t="e">
        <f t="shared" si="92"/>
        <v>#N/A</v>
      </c>
      <c r="BI612" s="621">
        <v>604</v>
      </c>
      <c r="BJ612" s="711"/>
      <c r="BK612" s="712"/>
      <c r="BL612" s="713">
        <v>604</v>
      </c>
      <c r="BM612" s="714"/>
      <c r="BN612" s="239"/>
      <c r="BO612" s="24"/>
      <c r="BQ612" s="621">
        <v>604</v>
      </c>
      <c r="BR612" s="711"/>
      <c r="BS612" s="712"/>
      <c r="BT612" s="713">
        <v>604</v>
      </c>
      <c r="BU612" s="714"/>
      <c r="BV612" s="239"/>
      <c r="BW612" s="24"/>
      <c r="BY612" s="621">
        <v>604</v>
      </c>
      <c r="BZ612" s="711"/>
      <c r="CA612" s="712"/>
      <c r="CB612" s="713">
        <v>604</v>
      </c>
      <c r="CC612" s="714"/>
      <c r="CD612" s="239"/>
      <c r="CE612" s="24"/>
    </row>
    <row r="613" spans="5:83" ht="12" customHeight="1">
      <c r="E613" s="621">
        <v>605</v>
      </c>
      <c r="F613" s="711"/>
      <c r="G613" s="712"/>
      <c r="H613" s="713">
        <v>605</v>
      </c>
      <c r="I613" s="714"/>
      <c r="J613" s="239"/>
      <c r="K613" s="24"/>
      <c r="AI613" s="16" t="e">
        <f t="shared" si="85"/>
        <v>#N/A</v>
      </c>
      <c r="AJ613" s="16" t="str">
        <f t="shared" si="86"/>
        <v/>
      </c>
      <c r="AK613" s="16" t="str">
        <f t="shared" si="87"/>
        <v/>
      </c>
      <c r="AL613" s="16" t="e">
        <f>IF(AK613="",NA(),COUNTIF(AK$176:$AK613,AK613))</f>
        <v>#N/A</v>
      </c>
      <c r="AM613" s="16" t="e">
        <f t="shared" si="88"/>
        <v>#N/A</v>
      </c>
      <c r="AN613" s="16" t="e">
        <f t="shared" si="89"/>
        <v>#N/A</v>
      </c>
      <c r="AO613" s="16" t="str">
        <f t="shared" si="90"/>
        <v/>
      </c>
      <c r="AP613" s="16" t="str">
        <f t="shared" si="91"/>
        <v/>
      </c>
      <c r="AQ613" s="16" t="e">
        <f>IF(AP613="",NA(),COUNTIF(AP$176:$AP613,AP613))</f>
        <v>#N/A</v>
      </c>
      <c r="AR613" s="16" t="e">
        <f t="shared" si="92"/>
        <v>#N/A</v>
      </c>
      <c r="BI613" s="621">
        <v>605</v>
      </c>
      <c r="BJ613" s="711"/>
      <c r="BK613" s="712"/>
      <c r="BL613" s="713">
        <v>605</v>
      </c>
      <c r="BM613" s="714"/>
      <c r="BN613" s="239"/>
      <c r="BO613" s="24"/>
      <c r="BQ613" s="621">
        <v>605</v>
      </c>
      <c r="BR613" s="711"/>
      <c r="BS613" s="712"/>
      <c r="BT613" s="713">
        <v>605</v>
      </c>
      <c r="BU613" s="714"/>
      <c r="BV613" s="239"/>
      <c r="BW613" s="24"/>
      <c r="BY613" s="621">
        <v>605</v>
      </c>
      <c r="BZ613" s="711"/>
      <c r="CA613" s="712"/>
      <c r="CB613" s="713">
        <v>605</v>
      </c>
      <c r="CC613" s="714"/>
      <c r="CD613" s="239"/>
      <c r="CE613" s="24"/>
    </row>
    <row r="614" spans="5:83" ht="12" customHeight="1">
      <c r="E614" s="621">
        <v>606</v>
      </c>
      <c r="F614" s="711"/>
      <c r="G614" s="712"/>
      <c r="H614" s="713">
        <v>606</v>
      </c>
      <c r="I614" s="714"/>
      <c r="J614" s="239"/>
      <c r="K614" s="24"/>
      <c r="AI614" s="16" t="e">
        <f t="shared" si="85"/>
        <v>#N/A</v>
      </c>
      <c r="AJ614" s="16" t="str">
        <f t="shared" si="86"/>
        <v/>
      </c>
      <c r="AK614" s="16" t="str">
        <f t="shared" si="87"/>
        <v/>
      </c>
      <c r="AL614" s="16" t="e">
        <f>IF(AK614="",NA(),COUNTIF(AK$176:$AK614,AK614))</f>
        <v>#N/A</v>
      </c>
      <c r="AM614" s="16" t="e">
        <f t="shared" si="88"/>
        <v>#N/A</v>
      </c>
      <c r="AN614" s="16" t="e">
        <f t="shared" si="89"/>
        <v>#N/A</v>
      </c>
      <c r="AO614" s="16" t="str">
        <f t="shared" si="90"/>
        <v/>
      </c>
      <c r="AP614" s="16" t="str">
        <f t="shared" si="91"/>
        <v/>
      </c>
      <c r="AQ614" s="16" t="e">
        <f>IF(AP614="",NA(),COUNTIF(AP$176:$AP614,AP614))</f>
        <v>#N/A</v>
      </c>
      <c r="AR614" s="16" t="e">
        <f t="shared" si="92"/>
        <v>#N/A</v>
      </c>
      <c r="BI614" s="621">
        <v>606</v>
      </c>
      <c r="BJ614" s="711"/>
      <c r="BK614" s="712"/>
      <c r="BL614" s="713">
        <v>606</v>
      </c>
      <c r="BM614" s="714"/>
      <c r="BN614" s="239"/>
      <c r="BO614" s="24"/>
      <c r="BQ614" s="621">
        <v>606</v>
      </c>
      <c r="BR614" s="711"/>
      <c r="BS614" s="712"/>
      <c r="BT614" s="713">
        <v>606</v>
      </c>
      <c r="BU614" s="714"/>
      <c r="BV614" s="239"/>
      <c r="BW614" s="24"/>
      <c r="BY614" s="621">
        <v>606</v>
      </c>
      <c r="BZ614" s="711"/>
      <c r="CA614" s="712"/>
      <c r="CB614" s="713">
        <v>606</v>
      </c>
      <c r="CC614" s="714"/>
      <c r="CD614" s="239"/>
      <c r="CE614" s="24"/>
    </row>
    <row r="615" spans="5:83" ht="12" customHeight="1">
      <c r="E615" s="621">
        <v>607</v>
      </c>
      <c r="F615" s="711"/>
      <c r="G615" s="712"/>
      <c r="H615" s="713">
        <v>607</v>
      </c>
      <c r="I615" s="714"/>
      <c r="J615" s="239"/>
      <c r="K615" s="24"/>
      <c r="AI615" s="16" t="e">
        <f t="shared" si="85"/>
        <v>#N/A</v>
      </c>
      <c r="AJ615" s="16" t="str">
        <f t="shared" si="86"/>
        <v/>
      </c>
      <c r="AK615" s="16" t="str">
        <f t="shared" si="87"/>
        <v/>
      </c>
      <c r="AL615" s="16" t="e">
        <f>IF(AK615="",NA(),COUNTIF(AK$176:$AK615,AK615))</f>
        <v>#N/A</v>
      </c>
      <c r="AM615" s="16" t="e">
        <f t="shared" si="88"/>
        <v>#N/A</v>
      </c>
      <c r="AN615" s="16" t="e">
        <f t="shared" si="89"/>
        <v>#N/A</v>
      </c>
      <c r="AO615" s="16" t="str">
        <f t="shared" si="90"/>
        <v/>
      </c>
      <c r="AP615" s="16" t="str">
        <f t="shared" si="91"/>
        <v/>
      </c>
      <c r="AQ615" s="16" t="e">
        <f>IF(AP615="",NA(),COUNTIF(AP$176:$AP615,AP615))</f>
        <v>#N/A</v>
      </c>
      <c r="AR615" s="16" t="e">
        <f t="shared" si="92"/>
        <v>#N/A</v>
      </c>
      <c r="BI615" s="621">
        <v>607</v>
      </c>
      <c r="BJ615" s="711"/>
      <c r="BK615" s="712"/>
      <c r="BL615" s="713">
        <v>607</v>
      </c>
      <c r="BM615" s="714"/>
      <c r="BN615" s="239"/>
      <c r="BO615" s="24"/>
      <c r="BQ615" s="621">
        <v>607</v>
      </c>
      <c r="BR615" s="711"/>
      <c r="BS615" s="712"/>
      <c r="BT615" s="713">
        <v>607</v>
      </c>
      <c r="BU615" s="714"/>
      <c r="BV615" s="239"/>
      <c r="BW615" s="24"/>
      <c r="BY615" s="621">
        <v>607</v>
      </c>
      <c r="BZ615" s="711"/>
      <c r="CA615" s="712"/>
      <c r="CB615" s="713">
        <v>607</v>
      </c>
      <c r="CC615" s="714"/>
      <c r="CD615" s="239"/>
      <c r="CE615" s="24"/>
    </row>
    <row r="616" spans="5:83" ht="12" customHeight="1">
      <c r="E616" s="621">
        <v>608</v>
      </c>
      <c r="F616" s="711"/>
      <c r="G616" s="712"/>
      <c r="H616" s="713">
        <v>608</v>
      </c>
      <c r="I616" s="714"/>
      <c r="J616" s="239"/>
      <c r="K616" s="24"/>
      <c r="AI616" s="16" t="e">
        <f t="shared" si="85"/>
        <v>#N/A</v>
      </c>
      <c r="AJ616" s="16" t="str">
        <f t="shared" si="86"/>
        <v/>
      </c>
      <c r="AK616" s="16" t="str">
        <f t="shared" si="87"/>
        <v/>
      </c>
      <c r="AL616" s="16" t="e">
        <f>IF(AK616="",NA(),COUNTIF(AK$176:$AK616,AK616))</f>
        <v>#N/A</v>
      </c>
      <c r="AM616" s="16" t="e">
        <f t="shared" si="88"/>
        <v>#N/A</v>
      </c>
      <c r="AN616" s="16" t="e">
        <f t="shared" si="89"/>
        <v>#N/A</v>
      </c>
      <c r="AO616" s="16" t="str">
        <f t="shared" si="90"/>
        <v/>
      </c>
      <c r="AP616" s="16" t="str">
        <f t="shared" si="91"/>
        <v/>
      </c>
      <c r="AQ616" s="16" t="e">
        <f>IF(AP616="",NA(),COUNTIF(AP$176:$AP616,AP616))</f>
        <v>#N/A</v>
      </c>
      <c r="AR616" s="16" t="e">
        <f t="shared" si="92"/>
        <v>#N/A</v>
      </c>
      <c r="BI616" s="621">
        <v>608</v>
      </c>
      <c r="BJ616" s="711"/>
      <c r="BK616" s="712"/>
      <c r="BL616" s="713">
        <v>608</v>
      </c>
      <c r="BM616" s="714"/>
      <c r="BN616" s="239"/>
      <c r="BO616" s="24"/>
      <c r="BQ616" s="621">
        <v>608</v>
      </c>
      <c r="BR616" s="711"/>
      <c r="BS616" s="712"/>
      <c r="BT616" s="713">
        <v>608</v>
      </c>
      <c r="BU616" s="714"/>
      <c r="BV616" s="239"/>
      <c r="BW616" s="24"/>
      <c r="BY616" s="621">
        <v>608</v>
      </c>
      <c r="BZ616" s="711"/>
      <c r="CA616" s="712"/>
      <c r="CB616" s="713">
        <v>608</v>
      </c>
      <c r="CC616" s="714"/>
      <c r="CD616" s="239"/>
      <c r="CE616" s="24"/>
    </row>
    <row r="617" spans="5:83" ht="12" customHeight="1">
      <c r="E617" s="621">
        <v>609</v>
      </c>
      <c r="F617" s="711"/>
      <c r="G617" s="712"/>
      <c r="H617" s="713">
        <v>609</v>
      </c>
      <c r="I617" s="714"/>
      <c r="J617" s="239"/>
      <c r="K617" s="24"/>
      <c r="AI617" s="16" t="e">
        <f t="shared" si="85"/>
        <v>#N/A</v>
      </c>
      <c r="AJ617" s="16" t="str">
        <f t="shared" si="86"/>
        <v/>
      </c>
      <c r="AK617" s="16" t="str">
        <f t="shared" si="87"/>
        <v/>
      </c>
      <c r="AL617" s="16" t="e">
        <f>IF(AK617="",NA(),COUNTIF(AK$176:$AK617,AK617))</f>
        <v>#N/A</v>
      </c>
      <c r="AM617" s="16" t="e">
        <f t="shared" si="88"/>
        <v>#N/A</v>
      </c>
      <c r="AN617" s="16" t="e">
        <f t="shared" si="89"/>
        <v>#N/A</v>
      </c>
      <c r="AO617" s="16" t="str">
        <f t="shared" si="90"/>
        <v/>
      </c>
      <c r="AP617" s="16" t="str">
        <f t="shared" si="91"/>
        <v/>
      </c>
      <c r="AQ617" s="16" t="e">
        <f>IF(AP617="",NA(),COUNTIF(AP$176:$AP617,AP617))</f>
        <v>#N/A</v>
      </c>
      <c r="AR617" s="16" t="e">
        <f t="shared" si="92"/>
        <v>#N/A</v>
      </c>
      <c r="BI617" s="621">
        <v>609</v>
      </c>
      <c r="BJ617" s="711"/>
      <c r="BK617" s="712"/>
      <c r="BL617" s="713">
        <v>609</v>
      </c>
      <c r="BM617" s="714"/>
      <c r="BN617" s="239"/>
      <c r="BO617" s="24"/>
      <c r="BQ617" s="621">
        <v>609</v>
      </c>
      <c r="BR617" s="711"/>
      <c r="BS617" s="712"/>
      <c r="BT617" s="713">
        <v>609</v>
      </c>
      <c r="BU617" s="714"/>
      <c r="BV617" s="239"/>
      <c r="BW617" s="24"/>
      <c r="BY617" s="621">
        <v>609</v>
      </c>
      <c r="BZ617" s="711"/>
      <c r="CA617" s="712"/>
      <c r="CB617" s="713">
        <v>609</v>
      </c>
      <c r="CC617" s="714"/>
      <c r="CD617" s="239"/>
      <c r="CE617" s="24"/>
    </row>
    <row r="618" spans="5:83" ht="12" customHeight="1">
      <c r="E618" s="621">
        <v>610</v>
      </c>
      <c r="F618" s="711"/>
      <c r="G618" s="712"/>
      <c r="H618" s="713">
        <v>610</v>
      </c>
      <c r="I618" s="714"/>
      <c r="J618" s="239"/>
      <c r="K618" s="24"/>
      <c r="AI618" s="16" t="e">
        <f t="shared" si="85"/>
        <v>#N/A</v>
      </c>
      <c r="AJ618" s="16" t="str">
        <f t="shared" si="86"/>
        <v/>
      </c>
      <c r="AK618" s="16" t="str">
        <f t="shared" si="87"/>
        <v/>
      </c>
      <c r="AL618" s="16" t="e">
        <f>IF(AK618="",NA(),COUNTIF(AK$176:$AK618,AK618))</f>
        <v>#N/A</v>
      </c>
      <c r="AM618" s="16" t="e">
        <f t="shared" si="88"/>
        <v>#N/A</v>
      </c>
      <c r="AN618" s="16" t="e">
        <f t="shared" si="89"/>
        <v>#N/A</v>
      </c>
      <c r="AO618" s="16" t="str">
        <f t="shared" si="90"/>
        <v/>
      </c>
      <c r="AP618" s="16" t="str">
        <f t="shared" si="91"/>
        <v/>
      </c>
      <c r="AQ618" s="16" t="e">
        <f>IF(AP618="",NA(),COUNTIF(AP$176:$AP618,AP618))</f>
        <v>#N/A</v>
      </c>
      <c r="AR618" s="16" t="e">
        <f t="shared" si="92"/>
        <v>#N/A</v>
      </c>
      <c r="BI618" s="621">
        <v>610</v>
      </c>
      <c r="BJ618" s="711"/>
      <c r="BK618" s="712"/>
      <c r="BL618" s="713">
        <v>610</v>
      </c>
      <c r="BM618" s="714"/>
      <c r="BN618" s="239"/>
      <c r="BO618" s="24"/>
      <c r="BQ618" s="621">
        <v>610</v>
      </c>
      <c r="BR618" s="711"/>
      <c r="BS618" s="712"/>
      <c r="BT618" s="713">
        <v>610</v>
      </c>
      <c r="BU618" s="714"/>
      <c r="BV618" s="239"/>
      <c r="BW618" s="24"/>
      <c r="BY618" s="621">
        <v>610</v>
      </c>
      <c r="BZ618" s="711"/>
      <c r="CA618" s="712"/>
      <c r="CB618" s="713">
        <v>610</v>
      </c>
      <c r="CC618" s="714"/>
      <c r="CD618" s="239"/>
      <c r="CE618" s="24"/>
    </row>
    <row r="619" spans="5:83" ht="12" customHeight="1">
      <c r="E619" s="621">
        <v>611</v>
      </c>
      <c r="F619" s="711"/>
      <c r="G619" s="712"/>
      <c r="H619" s="713">
        <v>611</v>
      </c>
      <c r="I619" s="714"/>
      <c r="J619" s="239"/>
      <c r="K619" s="24"/>
      <c r="AI619" s="16" t="e">
        <f t="shared" si="85"/>
        <v>#N/A</v>
      </c>
      <c r="AJ619" s="16" t="str">
        <f t="shared" si="86"/>
        <v/>
      </c>
      <c r="AK619" s="16" t="str">
        <f t="shared" si="87"/>
        <v/>
      </c>
      <c r="AL619" s="16" t="e">
        <f>IF(AK619="",NA(),COUNTIF(AK$176:$AK619,AK619))</f>
        <v>#N/A</v>
      </c>
      <c r="AM619" s="16" t="e">
        <f t="shared" si="88"/>
        <v>#N/A</v>
      </c>
      <c r="AN619" s="16" t="e">
        <f t="shared" si="89"/>
        <v>#N/A</v>
      </c>
      <c r="AO619" s="16" t="str">
        <f t="shared" si="90"/>
        <v/>
      </c>
      <c r="AP619" s="16" t="str">
        <f t="shared" si="91"/>
        <v/>
      </c>
      <c r="AQ619" s="16" t="e">
        <f>IF(AP619="",NA(),COUNTIF(AP$176:$AP619,AP619))</f>
        <v>#N/A</v>
      </c>
      <c r="AR619" s="16" t="e">
        <f t="shared" si="92"/>
        <v>#N/A</v>
      </c>
      <c r="BI619" s="621">
        <v>611</v>
      </c>
      <c r="BJ619" s="711"/>
      <c r="BK619" s="712"/>
      <c r="BL619" s="713">
        <v>611</v>
      </c>
      <c r="BM619" s="714"/>
      <c r="BN619" s="239"/>
      <c r="BO619" s="24"/>
      <c r="BQ619" s="621">
        <v>611</v>
      </c>
      <c r="BR619" s="711"/>
      <c r="BS619" s="712"/>
      <c r="BT619" s="713">
        <v>611</v>
      </c>
      <c r="BU619" s="714"/>
      <c r="BV619" s="239"/>
      <c r="BW619" s="24"/>
      <c r="BY619" s="621">
        <v>611</v>
      </c>
      <c r="BZ619" s="711"/>
      <c r="CA619" s="712"/>
      <c r="CB619" s="713">
        <v>611</v>
      </c>
      <c r="CC619" s="714"/>
      <c r="CD619" s="239"/>
      <c r="CE619" s="24"/>
    </row>
    <row r="620" spans="5:83" ht="12" customHeight="1">
      <c r="E620" s="621">
        <v>612</v>
      </c>
      <c r="F620" s="711"/>
      <c r="G620" s="712"/>
      <c r="H620" s="713">
        <v>612</v>
      </c>
      <c r="I620" s="714"/>
      <c r="J620" s="239"/>
      <c r="K620" s="24"/>
      <c r="AI620" s="16" t="e">
        <f t="shared" si="85"/>
        <v>#N/A</v>
      </c>
      <c r="AJ620" s="16" t="str">
        <f t="shared" si="86"/>
        <v/>
      </c>
      <c r="AK620" s="16" t="str">
        <f t="shared" si="87"/>
        <v/>
      </c>
      <c r="AL620" s="16" t="e">
        <f>IF(AK620="",NA(),COUNTIF(AK$176:$AK620,AK620))</f>
        <v>#N/A</v>
      </c>
      <c r="AM620" s="16" t="e">
        <f t="shared" si="88"/>
        <v>#N/A</v>
      </c>
      <c r="AN620" s="16" t="e">
        <f t="shared" si="89"/>
        <v>#N/A</v>
      </c>
      <c r="AO620" s="16" t="str">
        <f t="shared" si="90"/>
        <v/>
      </c>
      <c r="AP620" s="16" t="str">
        <f t="shared" si="91"/>
        <v/>
      </c>
      <c r="AQ620" s="16" t="e">
        <f>IF(AP620="",NA(),COUNTIF(AP$176:$AP620,AP620))</f>
        <v>#N/A</v>
      </c>
      <c r="AR620" s="16" t="e">
        <f t="shared" si="92"/>
        <v>#N/A</v>
      </c>
      <c r="BI620" s="621">
        <v>612</v>
      </c>
      <c r="BJ620" s="711"/>
      <c r="BK620" s="712"/>
      <c r="BL620" s="713">
        <v>612</v>
      </c>
      <c r="BM620" s="714"/>
      <c r="BN620" s="239"/>
      <c r="BO620" s="24"/>
      <c r="BQ620" s="621">
        <v>612</v>
      </c>
      <c r="BR620" s="711"/>
      <c r="BS620" s="712"/>
      <c r="BT620" s="713">
        <v>612</v>
      </c>
      <c r="BU620" s="714"/>
      <c r="BV620" s="239"/>
      <c r="BW620" s="24"/>
      <c r="BY620" s="621">
        <v>612</v>
      </c>
      <c r="BZ620" s="711"/>
      <c r="CA620" s="712"/>
      <c r="CB620" s="713">
        <v>612</v>
      </c>
      <c r="CC620" s="714"/>
      <c r="CD620" s="239"/>
      <c r="CE620" s="24"/>
    </row>
    <row r="621" spans="5:83" ht="12" customHeight="1">
      <c r="E621" s="621">
        <v>613</v>
      </c>
      <c r="F621" s="711"/>
      <c r="G621" s="712"/>
      <c r="H621" s="713">
        <v>613</v>
      </c>
      <c r="I621" s="714"/>
      <c r="J621" s="239"/>
      <c r="K621" s="24"/>
      <c r="AI621" s="16" t="e">
        <f t="shared" si="85"/>
        <v>#N/A</v>
      </c>
      <c r="AJ621" s="16" t="str">
        <f t="shared" si="86"/>
        <v/>
      </c>
      <c r="AK621" s="16" t="str">
        <f t="shared" si="87"/>
        <v/>
      </c>
      <c r="AL621" s="16" t="e">
        <f>IF(AK621="",NA(),COUNTIF(AK$176:$AK621,AK621))</f>
        <v>#N/A</v>
      </c>
      <c r="AM621" s="16" t="e">
        <f t="shared" si="88"/>
        <v>#N/A</v>
      </c>
      <c r="AN621" s="16" t="e">
        <f t="shared" si="89"/>
        <v>#N/A</v>
      </c>
      <c r="AO621" s="16" t="str">
        <f t="shared" si="90"/>
        <v/>
      </c>
      <c r="AP621" s="16" t="str">
        <f t="shared" si="91"/>
        <v/>
      </c>
      <c r="AQ621" s="16" t="e">
        <f>IF(AP621="",NA(),COUNTIF(AP$176:$AP621,AP621))</f>
        <v>#N/A</v>
      </c>
      <c r="AR621" s="16" t="e">
        <f t="shared" si="92"/>
        <v>#N/A</v>
      </c>
      <c r="BI621" s="621">
        <v>613</v>
      </c>
      <c r="BJ621" s="711"/>
      <c r="BK621" s="712"/>
      <c r="BL621" s="713">
        <v>613</v>
      </c>
      <c r="BM621" s="714"/>
      <c r="BN621" s="239"/>
      <c r="BO621" s="24"/>
      <c r="BQ621" s="621">
        <v>613</v>
      </c>
      <c r="BR621" s="711"/>
      <c r="BS621" s="712"/>
      <c r="BT621" s="713">
        <v>613</v>
      </c>
      <c r="BU621" s="714"/>
      <c r="BV621" s="239"/>
      <c r="BW621" s="24"/>
      <c r="BY621" s="621">
        <v>613</v>
      </c>
      <c r="BZ621" s="711"/>
      <c r="CA621" s="712"/>
      <c r="CB621" s="713">
        <v>613</v>
      </c>
      <c r="CC621" s="714"/>
      <c r="CD621" s="239"/>
      <c r="CE621" s="24"/>
    </row>
    <row r="622" spans="5:83" ht="12" customHeight="1">
      <c r="E622" s="621">
        <v>614</v>
      </c>
      <c r="F622" s="711"/>
      <c r="G622" s="712"/>
      <c r="H622" s="713">
        <v>614</v>
      </c>
      <c r="I622" s="714"/>
      <c r="J622" s="239"/>
      <c r="K622" s="24"/>
      <c r="AI622" s="16" t="e">
        <f t="shared" si="85"/>
        <v>#N/A</v>
      </c>
      <c r="AJ622" s="16" t="str">
        <f t="shared" si="86"/>
        <v/>
      </c>
      <c r="AK622" s="16" t="str">
        <f t="shared" si="87"/>
        <v/>
      </c>
      <c r="AL622" s="16" t="e">
        <f>IF(AK622="",NA(),COUNTIF(AK$176:$AK622,AK622))</f>
        <v>#N/A</v>
      </c>
      <c r="AM622" s="16" t="e">
        <f t="shared" si="88"/>
        <v>#N/A</v>
      </c>
      <c r="AN622" s="16" t="e">
        <f t="shared" si="89"/>
        <v>#N/A</v>
      </c>
      <c r="AO622" s="16" t="str">
        <f t="shared" si="90"/>
        <v/>
      </c>
      <c r="AP622" s="16" t="str">
        <f t="shared" si="91"/>
        <v/>
      </c>
      <c r="AQ622" s="16" t="e">
        <f>IF(AP622="",NA(),COUNTIF(AP$176:$AP622,AP622))</f>
        <v>#N/A</v>
      </c>
      <c r="AR622" s="16" t="e">
        <f t="shared" si="92"/>
        <v>#N/A</v>
      </c>
      <c r="BI622" s="621">
        <v>614</v>
      </c>
      <c r="BJ622" s="711"/>
      <c r="BK622" s="712"/>
      <c r="BL622" s="713">
        <v>614</v>
      </c>
      <c r="BM622" s="714"/>
      <c r="BN622" s="239"/>
      <c r="BO622" s="24"/>
      <c r="BQ622" s="621">
        <v>614</v>
      </c>
      <c r="BR622" s="711"/>
      <c r="BS622" s="712"/>
      <c r="BT622" s="713">
        <v>614</v>
      </c>
      <c r="BU622" s="714"/>
      <c r="BV622" s="239"/>
      <c r="BW622" s="24"/>
      <c r="BY622" s="621">
        <v>614</v>
      </c>
      <c r="BZ622" s="711"/>
      <c r="CA622" s="712"/>
      <c r="CB622" s="713">
        <v>614</v>
      </c>
      <c r="CC622" s="714"/>
      <c r="CD622" s="239"/>
      <c r="CE622" s="24"/>
    </row>
    <row r="623" spans="5:83" ht="12" customHeight="1">
      <c r="E623" s="621">
        <v>615</v>
      </c>
      <c r="F623" s="711"/>
      <c r="G623" s="712"/>
      <c r="H623" s="713">
        <v>615</v>
      </c>
      <c r="I623" s="714"/>
      <c r="J623" s="239"/>
      <c r="K623" s="24"/>
      <c r="AI623" s="16" t="e">
        <f t="shared" si="85"/>
        <v>#N/A</v>
      </c>
      <c r="AJ623" s="16" t="str">
        <f t="shared" si="86"/>
        <v/>
      </c>
      <c r="AK623" s="16" t="str">
        <f t="shared" si="87"/>
        <v/>
      </c>
      <c r="AL623" s="16" t="e">
        <f>IF(AK623="",NA(),COUNTIF(AK$176:$AK623,AK623))</f>
        <v>#N/A</v>
      </c>
      <c r="AM623" s="16" t="e">
        <f t="shared" si="88"/>
        <v>#N/A</v>
      </c>
      <c r="AN623" s="16" t="e">
        <f t="shared" si="89"/>
        <v>#N/A</v>
      </c>
      <c r="AO623" s="16" t="str">
        <f t="shared" si="90"/>
        <v/>
      </c>
      <c r="AP623" s="16" t="str">
        <f t="shared" si="91"/>
        <v/>
      </c>
      <c r="AQ623" s="16" t="e">
        <f>IF(AP623="",NA(),COUNTIF(AP$176:$AP623,AP623))</f>
        <v>#N/A</v>
      </c>
      <c r="AR623" s="16" t="e">
        <f t="shared" si="92"/>
        <v>#N/A</v>
      </c>
      <c r="BI623" s="621">
        <v>615</v>
      </c>
      <c r="BJ623" s="711"/>
      <c r="BK623" s="712"/>
      <c r="BL623" s="713">
        <v>615</v>
      </c>
      <c r="BM623" s="714"/>
      <c r="BN623" s="239"/>
      <c r="BO623" s="24"/>
      <c r="BQ623" s="621">
        <v>615</v>
      </c>
      <c r="BR623" s="711"/>
      <c r="BS623" s="712"/>
      <c r="BT623" s="713">
        <v>615</v>
      </c>
      <c r="BU623" s="714"/>
      <c r="BV623" s="239"/>
      <c r="BW623" s="24"/>
      <c r="BY623" s="621">
        <v>615</v>
      </c>
      <c r="BZ623" s="711"/>
      <c r="CA623" s="712"/>
      <c r="CB623" s="713">
        <v>615</v>
      </c>
      <c r="CC623" s="714"/>
      <c r="CD623" s="239"/>
      <c r="CE623" s="24"/>
    </row>
    <row r="624" spans="5:83" ht="12" customHeight="1">
      <c r="E624" s="621">
        <v>616</v>
      </c>
      <c r="F624" s="711"/>
      <c r="G624" s="712"/>
      <c r="H624" s="713">
        <v>616</v>
      </c>
      <c r="I624" s="714"/>
      <c r="J624" s="239"/>
      <c r="K624" s="24"/>
      <c r="AI624" s="16" t="e">
        <f t="shared" si="85"/>
        <v>#N/A</v>
      </c>
      <c r="AJ624" s="16" t="str">
        <f t="shared" si="86"/>
        <v/>
      </c>
      <c r="AK624" s="16" t="str">
        <f t="shared" si="87"/>
        <v/>
      </c>
      <c r="AL624" s="16" t="e">
        <f>IF(AK624="",NA(),COUNTIF(AK$176:$AK624,AK624))</f>
        <v>#N/A</v>
      </c>
      <c r="AM624" s="16" t="e">
        <f t="shared" si="88"/>
        <v>#N/A</v>
      </c>
      <c r="AN624" s="16" t="e">
        <f t="shared" si="89"/>
        <v>#N/A</v>
      </c>
      <c r="AO624" s="16" t="str">
        <f t="shared" si="90"/>
        <v/>
      </c>
      <c r="AP624" s="16" t="str">
        <f t="shared" si="91"/>
        <v/>
      </c>
      <c r="AQ624" s="16" t="e">
        <f>IF(AP624="",NA(),COUNTIF(AP$176:$AP624,AP624))</f>
        <v>#N/A</v>
      </c>
      <c r="AR624" s="16" t="e">
        <f t="shared" si="92"/>
        <v>#N/A</v>
      </c>
      <c r="BI624" s="621">
        <v>616</v>
      </c>
      <c r="BJ624" s="711"/>
      <c r="BK624" s="712"/>
      <c r="BL624" s="713">
        <v>616</v>
      </c>
      <c r="BM624" s="714"/>
      <c r="BN624" s="239"/>
      <c r="BO624" s="24"/>
      <c r="BQ624" s="621">
        <v>616</v>
      </c>
      <c r="BR624" s="711"/>
      <c r="BS624" s="712"/>
      <c r="BT624" s="713">
        <v>616</v>
      </c>
      <c r="BU624" s="714"/>
      <c r="BV624" s="239"/>
      <c r="BW624" s="24"/>
      <c r="BY624" s="621">
        <v>616</v>
      </c>
      <c r="BZ624" s="711"/>
      <c r="CA624" s="712"/>
      <c r="CB624" s="713">
        <v>616</v>
      </c>
      <c r="CC624" s="714"/>
      <c r="CD624" s="239"/>
      <c r="CE624" s="24"/>
    </row>
    <row r="625" spans="5:83" ht="12" customHeight="1">
      <c r="E625" s="621">
        <v>617</v>
      </c>
      <c r="F625" s="711"/>
      <c r="G625" s="712"/>
      <c r="H625" s="713">
        <v>617</v>
      </c>
      <c r="I625" s="714"/>
      <c r="J625" s="239"/>
      <c r="K625" s="24"/>
      <c r="AI625" s="16" t="e">
        <f t="shared" si="85"/>
        <v>#N/A</v>
      </c>
      <c r="AJ625" s="16" t="str">
        <f t="shared" si="86"/>
        <v/>
      </c>
      <c r="AK625" s="16" t="str">
        <f t="shared" si="87"/>
        <v/>
      </c>
      <c r="AL625" s="16" t="e">
        <f>IF(AK625="",NA(),COUNTIF(AK$176:$AK625,AK625))</f>
        <v>#N/A</v>
      </c>
      <c r="AM625" s="16" t="e">
        <f t="shared" si="88"/>
        <v>#N/A</v>
      </c>
      <c r="AN625" s="16" t="e">
        <f t="shared" si="89"/>
        <v>#N/A</v>
      </c>
      <c r="AO625" s="16" t="str">
        <f t="shared" si="90"/>
        <v/>
      </c>
      <c r="AP625" s="16" t="str">
        <f t="shared" si="91"/>
        <v/>
      </c>
      <c r="AQ625" s="16" t="e">
        <f>IF(AP625="",NA(),COUNTIF(AP$176:$AP625,AP625))</f>
        <v>#N/A</v>
      </c>
      <c r="AR625" s="16" t="e">
        <f t="shared" si="92"/>
        <v>#N/A</v>
      </c>
      <c r="BI625" s="621">
        <v>617</v>
      </c>
      <c r="BJ625" s="711"/>
      <c r="BK625" s="712"/>
      <c r="BL625" s="713">
        <v>617</v>
      </c>
      <c r="BM625" s="714"/>
      <c r="BN625" s="239"/>
      <c r="BO625" s="24"/>
      <c r="BQ625" s="621">
        <v>617</v>
      </c>
      <c r="BR625" s="711"/>
      <c r="BS625" s="712"/>
      <c r="BT625" s="713">
        <v>617</v>
      </c>
      <c r="BU625" s="714"/>
      <c r="BV625" s="239"/>
      <c r="BW625" s="24"/>
      <c r="BY625" s="621">
        <v>617</v>
      </c>
      <c r="BZ625" s="711"/>
      <c r="CA625" s="712"/>
      <c r="CB625" s="713">
        <v>617</v>
      </c>
      <c r="CC625" s="714"/>
      <c r="CD625" s="239"/>
      <c r="CE625" s="24"/>
    </row>
    <row r="626" spans="5:83" ht="12" customHeight="1">
      <c r="E626" s="621">
        <v>618</v>
      </c>
      <c r="F626" s="711"/>
      <c r="G626" s="712"/>
      <c r="H626" s="713">
        <v>618</v>
      </c>
      <c r="I626" s="714"/>
      <c r="J626" s="239"/>
      <c r="K626" s="24"/>
      <c r="AI626" s="16" t="e">
        <f t="shared" si="85"/>
        <v>#N/A</v>
      </c>
      <c r="AJ626" s="16" t="str">
        <f t="shared" si="86"/>
        <v/>
      </c>
      <c r="AK626" s="16" t="str">
        <f t="shared" si="87"/>
        <v/>
      </c>
      <c r="AL626" s="16" t="e">
        <f>IF(AK626="",NA(),COUNTIF(AK$176:$AK626,AK626))</f>
        <v>#N/A</v>
      </c>
      <c r="AM626" s="16" t="e">
        <f t="shared" si="88"/>
        <v>#N/A</v>
      </c>
      <c r="AN626" s="16" t="e">
        <f t="shared" si="89"/>
        <v>#N/A</v>
      </c>
      <c r="AO626" s="16" t="str">
        <f t="shared" si="90"/>
        <v/>
      </c>
      <c r="AP626" s="16" t="str">
        <f t="shared" si="91"/>
        <v/>
      </c>
      <c r="AQ626" s="16" t="e">
        <f>IF(AP626="",NA(),COUNTIF(AP$176:$AP626,AP626))</f>
        <v>#N/A</v>
      </c>
      <c r="AR626" s="16" t="e">
        <f t="shared" si="92"/>
        <v>#N/A</v>
      </c>
      <c r="BI626" s="621">
        <v>618</v>
      </c>
      <c r="BJ626" s="711"/>
      <c r="BK626" s="712"/>
      <c r="BL626" s="713">
        <v>618</v>
      </c>
      <c r="BM626" s="714"/>
      <c r="BN626" s="239"/>
      <c r="BO626" s="24"/>
      <c r="BQ626" s="621">
        <v>618</v>
      </c>
      <c r="BR626" s="711"/>
      <c r="BS626" s="712"/>
      <c r="BT626" s="713">
        <v>618</v>
      </c>
      <c r="BU626" s="714"/>
      <c r="BV626" s="239"/>
      <c r="BW626" s="24"/>
      <c r="BY626" s="621">
        <v>618</v>
      </c>
      <c r="BZ626" s="711"/>
      <c r="CA626" s="712"/>
      <c r="CB626" s="713">
        <v>618</v>
      </c>
      <c r="CC626" s="714"/>
      <c r="CD626" s="239"/>
      <c r="CE626" s="24"/>
    </row>
    <row r="627" spans="5:83" ht="12" customHeight="1">
      <c r="E627" s="621">
        <v>619</v>
      </c>
      <c r="F627" s="711"/>
      <c r="G627" s="712"/>
      <c r="H627" s="713">
        <v>619</v>
      </c>
      <c r="I627" s="714"/>
      <c r="J627" s="239"/>
      <c r="K627" s="24"/>
      <c r="AI627" s="16" t="e">
        <f t="shared" si="85"/>
        <v>#N/A</v>
      </c>
      <c r="AJ627" s="16" t="str">
        <f t="shared" si="86"/>
        <v/>
      </c>
      <c r="AK627" s="16" t="str">
        <f t="shared" si="87"/>
        <v/>
      </c>
      <c r="AL627" s="16" t="e">
        <f>IF(AK627="",NA(),COUNTIF(AK$176:$AK627,AK627))</f>
        <v>#N/A</v>
      </c>
      <c r="AM627" s="16" t="e">
        <f t="shared" si="88"/>
        <v>#N/A</v>
      </c>
      <c r="AN627" s="16" t="e">
        <f t="shared" si="89"/>
        <v>#N/A</v>
      </c>
      <c r="AO627" s="16" t="str">
        <f t="shared" si="90"/>
        <v/>
      </c>
      <c r="AP627" s="16" t="str">
        <f t="shared" si="91"/>
        <v/>
      </c>
      <c r="AQ627" s="16" t="e">
        <f>IF(AP627="",NA(),COUNTIF(AP$176:$AP627,AP627))</f>
        <v>#N/A</v>
      </c>
      <c r="AR627" s="16" t="e">
        <f t="shared" si="92"/>
        <v>#N/A</v>
      </c>
      <c r="BI627" s="621">
        <v>619</v>
      </c>
      <c r="BJ627" s="711"/>
      <c r="BK627" s="712"/>
      <c r="BL627" s="713">
        <v>619</v>
      </c>
      <c r="BM627" s="714"/>
      <c r="BN627" s="239"/>
      <c r="BO627" s="24"/>
      <c r="BQ627" s="621">
        <v>619</v>
      </c>
      <c r="BR627" s="711"/>
      <c r="BS627" s="712"/>
      <c r="BT627" s="713">
        <v>619</v>
      </c>
      <c r="BU627" s="714"/>
      <c r="BV627" s="239"/>
      <c r="BW627" s="24"/>
      <c r="BY627" s="621">
        <v>619</v>
      </c>
      <c r="BZ627" s="711"/>
      <c r="CA627" s="712"/>
      <c r="CB627" s="713">
        <v>619</v>
      </c>
      <c r="CC627" s="714"/>
      <c r="CD627" s="239"/>
      <c r="CE627" s="24"/>
    </row>
    <row r="628" spans="5:83" ht="12" customHeight="1">
      <c r="E628" s="621">
        <v>620</v>
      </c>
      <c r="F628" s="711"/>
      <c r="G628" s="712"/>
      <c r="H628" s="713">
        <v>620</v>
      </c>
      <c r="I628" s="714"/>
      <c r="J628" s="239"/>
      <c r="K628" s="24"/>
      <c r="AI628" s="16" t="e">
        <f t="shared" si="85"/>
        <v>#N/A</v>
      </c>
      <c r="AJ628" s="16" t="str">
        <f t="shared" si="86"/>
        <v/>
      </c>
      <c r="AK628" s="16" t="str">
        <f t="shared" si="87"/>
        <v/>
      </c>
      <c r="AL628" s="16" t="e">
        <f>IF(AK628="",NA(),COUNTIF(AK$176:$AK628,AK628))</f>
        <v>#N/A</v>
      </c>
      <c r="AM628" s="16" t="e">
        <f t="shared" si="88"/>
        <v>#N/A</v>
      </c>
      <c r="AN628" s="16" t="e">
        <f t="shared" si="89"/>
        <v>#N/A</v>
      </c>
      <c r="AO628" s="16" t="str">
        <f t="shared" si="90"/>
        <v/>
      </c>
      <c r="AP628" s="16" t="str">
        <f t="shared" si="91"/>
        <v/>
      </c>
      <c r="AQ628" s="16" t="e">
        <f>IF(AP628="",NA(),COUNTIF(AP$176:$AP628,AP628))</f>
        <v>#N/A</v>
      </c>
      <c r="AR628" s="16" t="e">
        <f t="shared" si="92"/>
        <v>#N/A</v>
      </c>
      <c r="BI628" s="621">
        <v>620</v>
      </c>
      <c r="BJ628" s="711"/>
      <c r="BK628" s="712"/>
      <c r="BL628" s="713">
        <v>620</v>
      </c>
      <c r="BM628" s="714"/>
      <c r="BN628" s="239"/>
      <c r="BO628" s="24"/>
      <c r="BQ628" s="621">
        <v>620</v>
      </c>
      <c r="BR628" s="711"/>
      <c r="BS628" s="712"/>
      <c r="BT628" s="713">
        <v>620</v>
      </c>
      <c r="BU628" s="714"/>
      <c r="BV628" s="239"/>
      <c r="BW628" s="24"/>
      <c r="BY628" s="621">
        <v>620</v>
      </c>
      <c r="BZ628" s="711"/>
      <c r="CA628" s="712"/>
      <c r="CB628" s="713">
        <v>620</v>
      </c>
      <c r="CC628" s="714"/>
      <c r="CD628" s="239"/>
      <c r="CE628" s="24"/>
    </row>
    <row r="629" spans="5:83" ht="12" customHeight="1">
      <c r="E629" s="621">
        <v>621</v>
      </c>
      <c r="F629" s="711"/>
      <c r="G629" s="712"/>
      <c r="H629" s="713">
        <v>621</v>
      </c>
      <c r="I629" s="714"/>
      <c r="J629" s="239"/>
      <c r="K629" s="24"/>
      <c r="AI629" s="16" t="e">
        <f t="shared" si="85"/>
        <v>#N/A</v>
      </c>
      <c r="AJ629" s="16" t="str">
        <f t="shared" si="86"/>
        <v/>
      </c>
      <c r="AK629" s="16" t="str">
        <f t="shared" si="87"/>
        <v/>
      </c>
      <c r="AL629" s="16" t="e">
        <f>IF(AK629="",NA(),COUNTIF(AK$176:$AK629,AK629))</f>
        <v>#N/A</v>
      </c>
      <c r="AM629" s="16" t="e">
        <f t="shared" si="88"/>
        <v>#N/A</v>
      </c>
      <c r="AN629" s="16" t="e">
        <f t="shared" si="89"/>
        <v>#N/A</v>
      </c>
      <c r="AO629" s="16" t="str">
        <f t="shared" si="90"/>
        <v/>
      </c>
      <c r="AP629" s="16" t="str">
        <f t="shared" si="91"/>
        <v/>
      </c>
      <c r="AQ629" s="16" t="e">
        <f>IF(AP629="",NA(),COUNTIF(AP$176:$AP629,AP629))</f>
        <v>#N/A</v>
      </c>
      <c r="AR629" s="16" t="e">
        <f t="shared" si="92"/>
        <v>#N/A</v>
      </c>
      <c r="BI629" s="621">
        <v>621</v>
      </c>
      <c r="BJ629" s="711"/>
      <c r="BK629" s="712"/>
      <c r="BL629" s="713">
        <v>621</v>
      </c>
      <c r="BM629" s="714"/>
      <c r="BN629" s="239"/>
      <c r="BO629" s="24"/>
      <c r="BQ629" s="621">
        <v>621</v>
      </c>
      <c r="BR629" s="711"/>
      <c r="BS629" s="712"/>
      <c r="BT629" s="713">
        <v>621</v>
      </c>
      <c r="BU629" s="714"/>
      <c r="BV629" s="239"/>
      <c r="BW629" s="24"/>
      <c r="BY629" s="621">
        <v>621</v>
      </c>
      <c r="BZ629" s="711"/>
      <c r="CA629" s="712"/>
      <c r="CB629" s="713">
        <v>621</v>
      </c>
      <c r="CC629" s="714"/>
      <c r="CD629" s="239"/>
      <c r="CE629" s="24"/>
    </row>
    <row r="630" spans="5:83" ht="12" customHeight="1">
      <c r="E630" s="621">
        <v>622</v>
      </c>
      <c r="F630" s="711"/>
      <c r="G630" s="712"/>
      <c r="H630" s="713">
        <v>622</v>
      </c>
      <c r="I630" s="714"/>
      <c r="J630" s="239"/>
      <c r="K630" s="24"/>
      <c r="AI630" s="16" t="e">
        <f t="shared" si="85"/>
        <v>#N/A</v>
      </c>
      <c r="AJ630" s="16" t="str">
        <f t="shared" si="86"/>
        <v/>
      </c>
      <c r="AK630" s="16" t="str">
        <f t="shared" si="87"/>
        <v/>
      </c>
      <c r="AL630" s="16" t="e">
        <f>IF(AK630="",NA(),COUNTIF(AK$176:$AK630,AK630))</f>
        <v>#N/A</v>
      </c>
      <c r="AM630" s="16" t="e">
        <f t="shared" si="88"/>
        <v>#N/A</v>
      </c>
      <c r="AN630" s="16" t="e">
        <f t="shared" si="89"/>
        <v>#N/A</v>
      </c>
      <c r="AO630" s="16" t="str">
        <f t="shared" si="90"/>
        <v/>
      </c>
      <c r="AP630" s="16" t="str">
        <f t="shared" si="91"/>
        <v/>
      </c>
      <c r="AQ630" s="16" t="e">
        <f>IF(AP630="",NA(),COUNTIF(AP$176:$AP630,AP630))</f>
        <v>#N/A</v>
      </c>
      <c r="AR630" s="16" t="e">
        <f t="shared" si="92"/>
        <v>#N/A</v>
      </c>
      <c r="BI630" s="621">
        <v>622</v>
      </c>
      <c r="BJ630" s="711"/>
      <c r="BK630" s="712"/>
      <c r="BL630" s="713">
        <v>622</v>
      </c>
      <c r="BM630" s="714"/>
      <c r="BN630" s="239"/>
      <c r="BO630" s="24"/>
      <c r="BQ630" s="621">
        <v>622</v>
      </c>
      <c r="BR630" s="711"/>
      <c r="BS630" s="712"/>
      <c r="BT630" s="713">
        <v>622</v>
      </c>
      <c r="BU630" s="714"/>
      <c r="BV630" s="239"/>
      <c r="BW630" s="24"/>
      <c r="BY630" s="621">
        <v>622</v>
      </c>
      <c r="BZ630" s="711"/>
      <c r="CA630" s="712"/>
      <c r="CB630" s="713">
        <v>622</v>
      </c>
      <c r="CC630" s="714"/>
      <c r="CD630" s="239"/>
      <c r="CE630" s="24"/>
    </row>
    <row r="631" spans="5:83" ht="12" customHeight="1">
      <c r="E631" s="621">
        <v>623</v>
      </c>
      <c r="F631" s="711"/>
      <c r="G631" s="712"/>
      <c r="H631" s="713">
        <v>623</v>
      </c>
      <c r="I631" s="714"/>
      <c r="J631" s="239"/>
      <c r="K631" s="24"/>
      <c r="AI631" s="16" t="e">
        <f t="shared" si="85"/>
        <v>#N/A</v>
      </c>
      <c r="AJ631" s="16" t="str">
        <f t="shared" si="86"/>
        <v/>
      </c>
      <c r="AK631" s="16" t="str">
        <f t="shared" si="87"/>
        <v/>
      </c>
      <c r="AL631" s="16" t="e">
        <f>IF(AK631="",NA(),COUNTIF(AK$176:$AK631,AK631))</f>
        <v>#N/A</v>
      </c>
      <c r="AM631" s="16" t="e">
        <f t="shared" si="88"/>
        <v>#N/A</v>
      </c>
      <c r="AN631" s="16" t="e">
        <f t="shared" si="89"/>
        <v>#N/A</v>
      </c>
      <c r="AO631" s="16" t="str">
        <f t="shared" si="90"/>
        <v/>
      </c>
      <c r="AP631" s="16" t="str">
        <f t="shared" si="91"/>
        <v/>
      </c>
      <c r="AQ631" s="16" t="e">
        <f>IF(AP631="",NA(),COUNTIF(AP$176:$AP631,AP631))</f>
        <v>#N/A</v>
      </c>
      <c r="AR631" s="16" t="e">
        <f t="shared" si="92"/>
        <v>#N/A</v>
      </c>
      <c r="BI631" s="621">
        <v>623</v>
      </c>
      <c r="BJ631" s="711"/>
      <c r="BK631" s="712"/>
      <c r="BL631" s="713">
        <v>623</v>
      </c>
      <c r="BM631" s="714"/>
      <c r="BN631" s="239"/>
      <c r="BO631" s="24"/>
      <c r="BQ631" s="621">
        <v>623</v>
      </c>
      <c r="BR631" s="711"/>
      <c r="BS631" s="712"/>
      <c r="BT631" s="713">
        <v>623</v>
      </c>
      <c r="BU631" s="714"/>
      <c r="BV631" s="239"/>
      <c r="BW631" s="24"/>
      <c r="BY631" s="621">
        <v>623</v>
      </c>
      <c r="BZ631" s="711"/>
      <c r="CA631" s="712"/>
      <c r="CB631" s="713">
        <v>623</v>
      </c>
      <c r="CC631" s="714"/>
      <c r="CD631" s="239"/>
      <c r="CE631" s="24"/>
    </row>
    <row r="632" spans="5:83" ht="12" customHeight="1">
      <c r="E632" s="621">
        <v>624</v>
      </c>
      <c r="F632" s="711"/>
      <c r="G632" s="712"/>
      <c r="H632" s="713">
        <v>624</v>
      </c>
      <c r="I632" s="714"/>
      <c r="J632" s="239"/>
      <c r="K632" s="24"/>
      <c r="AI632" s="16" t="e">
        <f t="shared" si="85"/>
        <v>#N/A</v>
      </c>
      <c r="AJ632" s="16" t="str">
        <f t="shared" si="86"/>
        <v/>
      </c>
      <c r="AK632" s="16" t="str">
        <f t="shared" si="87"/>
        <v/>
      </c>
      <c r="AL632" s="16" t="e">
        <f>IF(AK632="",NA(),COUNTIF(AK$176:$AK632,AK632))</f>
        <v>#N/A</v>
      </c>
      <c r="AM632" s="16" t="e">
        <f t="shared" si="88"/>
        <v>#N/A</v>
      </c>
      <c r="AN632" s="16" t="e">
        <f t="shared" si="89"/>
        <v>#N/A</v>
      </c>
      <c r="AO632" s="16" t="str">
        <f t="shared" si="90"/>
        <v/>
      </c>
      <c r="AP632" s="16" t="str">
        <f t="shared" si="91"/>
        <v/>
      </c>
      <c r="AQ632" s="16" t="e">
        <f>IF(AP632="",NA(),COUNTIF(AP$176:$AP632,AP632))</f>
        <v>#N/A</v>
      </c>
      <c r="AR632" s="16" t="e">
        <f t="shared" si="92"/>
        <v>#N/A</v>
      </c>
      <c r="BI632" s="621">
        <v>624</v>
      </c>
      <c r="BJ632" s="711"/>
      <c r="BK632" s="712"/>
      <c r="BL632" s="713">
        <v>624</v>
      </c>
      <c r="BM632" s="714"/>
      <c r="BN632" s="239"/>
      <c r="BO632" s="24"/>
      <c r="BQ632" s="621">
        <v>624</v>
      </c>
      <c r="BR632" s="711"/>
      <c r="BS632" s="712"/>
      <c r="BT632" s="713">
        <v>624</v>
      </c>
      <c r="BU632" s="714"/>
      <c r="BV632" s="239"/>
      <c r="BW632" s="24"/>
      <c r="BY632" s="621">
        <v>624</v>
      </c>
      <c r="BZ632" s="711"/>
      <c r="CA632" s="712"/>
      <c r="CB632" s="713">
        <v>624</v>
      </c>
      <c r="CC632" s="714"/>
      <c r="CD632" s="239"/>
      <c r="CE632" s="24"/>
    </row>
    <row r="633" spans="5:83" ht="12" customHeight="1">
      <c r="E633" s="621">
        <v>625</v>
      </c>
      <c r="F633" s="711"/>
      <c r="G633" s="712"/>
      <c r="H633" s="713">
        <v>625</v>
      </c>
      <c r="I633" s="714"/>
      <c r="J633" s="239"/>
      <c r="K633" s="24"/>
      <c r="AI633" s="16" t="e">
        <f t="shared" si="85"/>
        <v>#N/A</v>
      </c>
      <c r="AJ633" s="16" t="str">
        <f t="shared" si="86"/>
        <v/>
      </c>
      <c r="AK633" s="16" t="str">
        <f t="shared" si="87"/>
        <v/>
      </c>
      <c r="AL633" s="16" t="e">
        <f>IF(AK633="",NA(),COUNTIF(AK$176:$AK633,AK633))</f>
        <v>#N/A</v>
      </c>
      <c r="AM633" s="16" t="e">
        <f t="shared" si="88"/>
        <v>#N/A</v>
      </c>
      <c r="AN633" s="16" t="e">
        <f t="shared" si="89"/>
        <v>#N/A</v>
      </c>
      <c r="AO633" s="16" t="str">
        <f t="shared" si="90"/>
        <v/>
      </c>
      <c r="AP633" s="16" t="str">
        <f t="shared" si="91"/>
        <v/>
      </c>
      <c r="AQ633" s="16" t="e">
        <f>IF(AP633="",NA(),COUNTIF(AP$176:$AP633,AP633))</f>
        <v>#N/A</v>
      </c>
      <c r="AR633" s="16" t="e">
        <f t="shared" si="92"/>
        <v>#N/A</v>
      </c>
      <c r="BI633" s="621">
        <v>625</v>
      </c>
      <c r="BJ633" s="711"/>
      <c r="BK633" s="712"/>
      <c r="BL633" s="713">
        <v>625</v>
      </c>
      <c r="BM633" s="714"/>
      <c r="BN633" s="239"/>
      <c r="BO633" s="24"/>
      <c r="BQ633" s="621">
        <v>625</v>
      </c>
      <c r="BR633" s="711"/>
      <c r="BS633" s="712"/>
      <c r="BT633" s="713">
        <v>625</v>
      </c>
      <c r="BU633" s="714"/>
      <c r="BV633" s="239"/>
      <c r="BW633" s="24"/>
      <c r="BY633" s="621">
        <v>625</v>
      </c>
      <c r="BZ633" s="711"/>
      <c r="CA633" s="712"/>
      <c r="CB633" s="713">
        <v>625</v>
      </c>
      <c r="CC633" s="714"/>
      <c r="CD633" s="239"/>
      <c r="CE633" s="24"/>
    </row>
    <row r="634" spans="5:83" ht="12" customHeight="1">
      <c r="E634" s="621">
        <v>626</v>
      </c>
      <c r="F634" s="711"/>
      <c r="G634" s="712"/>
      <c r="H634" s="713">
        <v>626</v>
      </c>
      <c r="I634" s="714"/>
      <c r="J634" s="239"/>
      <c r="K634" s="24"/>
      <c r="AI634" s="16" t="e">
        <f t="shared" si="85"/>
        <v>#N/A</v>
      </c>
      <c r="AJ634" s="16" t="str">
        <f t="shared" si="86"/>
        <v/>
      </c>
      <c r="AK634" s="16" t="str">
        <f t="shared" si="87"/>
        <v/>
      </c>
      <c r="AL634" s="16" t="e">
        <f>IF(AK634="",NA(),COUNTIF(AK$176:$AK634,AK634))</f>
        <v>#N/A</v>
      </c>
      <c r="AM634" s="16" t="e">
        <f t="shared" si="88"/>
        <v>#N/A</v>
      </c>
      <c r="AN634" s="16" t="e">
        <f t="shared" si="89"/>
        <v>#N/A</v>
      </c>
      <c r="AO634" s="16" t="str">
        <f t="shared" si="90"/>
        <v/>
      </c>
      <c r="AP634" s="16" t="str">
        <f t="shared" si="91"/>
        <v/>
      </c>
      <c r="AQ634" s="16" t="e">
        <f>IF(AP634="",NA(),COUNTIF(AP$176:$AP634,AP634))</f>
        <v>#N/A</v>
      </c>
      <c r="AR634" s="16" t="e">
        <f t="shared" si="92"/>
        <v>#N/A</v>
      </c>
      <c r="BI634" s="621">
        <v>626</v>
      </c>
      <c r="BJ634" s="711"/>
      <c r="BK634" s="712"/>
      <c r="BL634" s="713">
        <v>626</v>
      </c>
      <c r="BM634" s="714"/>
      <c r="BN634" s="239"/>
      <c r="BO634" s="24"/>
      <c r="BQ634" s="621">
        <v>626</v>
      </c>
      <c r="BR634" s="711"/>
      <c r="BS634" s="712"/>
      <c r="BT634" s="713">
        <v>626</v>
      </c>
      <c r="BU634" s="714"/>
      <c r="BV634" s="239"/>
      <c r="BW634" s="24"/>
      <c r="BY634" s="621">
        <v>626</v>
      </c>
      <c r="BZ634" s="711"/>
      <c r="CA634" s="712"/>
      <c r="CB634" s="713">
        <v>626</v>
      </c>
      <c r="CC634" s="714"/>
      <c r="CD634" s="239"/>
      <c r="CE634" s="24"/>
    </row>
    <row r="635" spans="5:83" ht="12" customHeight="1">
      <c r="E635" s="621">
        <v>627</v>
      </c>
      <c r="F635" s="711"/>
      <c r="G635" s="712"/>
      <c r="H635" s="713">
        <v>627</v>
      </c>
      <c r="I635" s="714"/>
      <c r="J635" s="239"/>
      <c r="K635" s="24"/>
      <c r="AI635" s="16" t="e">
        <f t="shared" si="85"/>
        <v>#N/A</v>
      </c>
      <c r="AJ635" s="16" t="str">
        <f t="shared" si="86"/>
        <v/>
      </c>
      <c r="AK635" s="16" t="str">
        <f t="shared" si="87"/>
        <v/>
      </c>
      <c r="AL635" s="16" t="e">
        <f>IF(AK635="",NA(),COUNTIF(AK$176:$AK635,AK635))</f>
        <v>#N/A</v>
      </c>
      <c r="AM635" s="16" t="e">
        <f t="shared" si="88"/>
        <v>#N/A</v>
      </c>
      <c r="AN635" s="16" t="e">
        <f t="shared" si="89"/>
        <v>#N/A</v>
      </c>
      <c r="AO635" s="16" t="str">
        <f t="shared" si="90"/>
        <v/>
      </c>
      <c r="AP635" s="16" t="str">
        <f t="shared" si="91"/>
        <v/>
      </c>
      <c r="AQ635" s="16" t="e">
        <f>IF(AP635="",NA(),COUNTIF(AP$176:$AP635,AP635))</f>
        <v>#N/A</v>
      </c>
      <c r="AR635" s="16" t="e">
        <f t="shared" si="92"/>
        <v>#N/A</v>
      </c>
      <c r="BI635" s="621">
        <v>627</v>
      </c>
      <c r="BJ635" s="711"/>
      <c r="BK635" s="712"/>
      <c r="BL635" s="713">
        <v>627</v>
      </c>
      <c r="BM635" s="714"/>
      <c r="BN635" s="239"/>
      <c r="BO635" s="24"/>
      <c r="BQ635" s="621">
        <v>627</v>
      </c>
      <c r="BR635" s="711"/>
      <c r="BS635" s="712"/>
      <c r="BT635" s="713">
        <v>627</v>
      </c>
      <c r="BU635" s="714"/>
      <c r="BV635" s="239"/>
      <c r="BW635" s="24"/>
      <c r="BY635" s="621">
        <v>627</v>
      </c>
      <c r="BZ635" s="711"/>
      <c r="CA635" s="712"/>
      <c r="CB635" s="713">
        <v>627</v>
      </c>
      <c r="CC635" s="714"/>
      <c r="CD635" s="239"/>
      <c r="CE635" s="24"/>
    </row>
    <row r="636" spans="5:83" ht="12" customHeight="1">
      <c r="E636" s="621">
        <v>628</v>
      </c>
      <c r="F636" s="711"/>
      <c r="G636" s="712"/>
      <c r="H636" s="713">
        <v>628</v>
      </c>
      <c r="I636" s="714"/>
      <c r="J636" s="239"/>
      <c r="K636" s="24"/>
      <c r="AI636" s="16" t="e">
        <f t="shared" si="85"/>
        <v>#N/A</v>
      </c>
      <c r="AJ636" s="16" t="str">
        <f t="shared" si="86"/>
        <v/>
      </c>
      <c r="AK636" s="16" t="str">
        <f t="shared" si="87"/>
        <v/>
      </c>
      <c r="AL636" s="16" t="e">
        <f>IF(AK636="",NA(),COUNTIF(AK$176:$AK636,AK636))</f>
        <v>#N/A</v>
      </c>
      <c r="AM636" s="16" t="e">
        <f t="shared" si="88"/>
        <v>#N/A</v>
      </c>
      <c r="AN636" s="16" t="e">
        <f t="shared" si="89"/>
        <v>#N/A</v>
      </c>
      <c r="AO636" s="16" t="str">
        <f t="shared" si="90"/>
        <v/>
      </c>
      <c r="AP636" s="16" t="str">
        <f t="shared" si="91"/>
        <v/>
      </c>
      <c r="AQ636" s="16" t="e">
        <f>IF(AP636="",NA(),COUNTIF(AP$176:$AP636,AP636))</f>
        <v>#N/A</v>
      </c>
      <c r="AR636" s="16" t="e">
        <f t="shared" si="92"/>
        <v>#N/A</v>
      </c>
      <c r="BI636" s="621">
        <v>628</v>
      </c>
      <c r="BJ636" s="711"/>
      <c r="BK636" s="712"/>
      <c r="BL636" s="713">
        <v>628</v>
      </c>
      <c r="BM636" s="714"/>
      <c r="BN636" s="239"/>
      <c r="BO636" s="24"/>
      <c r="BQ636" s="621">
        <v>628</v>
      </c>
      <c r="BR636" s="711"/>
      <c r="BS636" s="712"/>
      <c r="BT636" s="713">
        <v>628</v>
      </c>
      <c r="BU636" s="714"/>
      <c r="BV636" s="239"/>
      <c r="BW636" s="24"/>
      <c r="BY636" s="621">
        <v>628</v>
      </c>
      <c r="BZ636" s="711"/>
      <c r="CA636" s="712"/>
      <c r="CB636" s="713">
        <v>628</v>
      </c>
      <c r="CC636" s="714"/>
      <c r="CD636" s="239"/>
      <c r="CE636" s="24"/>
    </row>
    <row r="637" spans="5:83" ht="12" customHeight="1">
      <c r="E637" s="621">
        <v>629</v>
      </c>
      <c r="F637" s="711"/>
      <c r="G637" s="712"/>
      <c r="H637" s="713">
        <v>629</v>
      </c>
      <c r="I637" s="714"/>
      <c r="J637" s="239"/>
      <c r="K637" s="24"/>
      <c r="AI637" s="16" t="e">
        <f t="shared" si="85"/>
        <v>#N/A</v>
      </c>
      <c r="AJ637" s="16" t="str">
        <f t="shared" si="86"/>
        <v/>
      </c>
      <c r="AK637" s="16" t="str">
        <f t="shared" si="87"/>
        <v/>
      </c>
      <c r="AL637" s="16" t="e">
        <f>IF(AK637="",NA(),COUNTIF(AK$176:$AK637,AK637))</f>
        <v>#N/A</v>
      </c>
      <c r="AM637" s="16" t="e">
        <f t="shared" si="88"/>
        <v>#N/A</v>
      </c>
      <c r="AN637" s="16" t="e">
        <f t="shared" si="89"/>
        <v>#N/A</v>
      </c>
      <c r="AO637" s="16" t="str">
        <f t="shared" si="90"/>
        <v/>
      </c>
      <c r="AP637" s="16" t="str">
        <f t="shared" si="91"/>
        <v/>
      </c>
      <c r="AQ637" s="16" t="e">
        <f>IF(AP637="",NA(),COUNTIF(AP$176:$AP637,AP637))</f>
        <v>#N/A</v>
      </c>
      <c r="AR637" s="16" t="e">
        <f t="shared" si="92"/>
        <v>#N/A</v>
      </c>
      <c r="BI637" s="621">
        <v>629</v>
      </c>
      <c r="BJ637" s="711"/>
      <c r="BK637" s="712"/>
      <c r="BL637" s="713">
        <v>629</v>
      </c>
      <c r="BM637" s="714"/>
      <c r="BN637" s="239"/>
      <c r="BO637" s="24"/>
      <c r="BQ637" s="621">
        <v>629</v>
      </c>
      <c r="BR637" s="711"/>
      <c r="BS637" s="712"/>
      <c r="BT637" s="713">
        <v>629</v>
      </c>
      <c r="BU637" s="714"/>
      <c r="BV637" s="239"/>
      <c r="BW637" s="24"/>
      <c r="BY637" s="621">
        <v>629</v>
      </c>
      <c r="BZ637" s="711"/>
      <c r="CA637" s="712"/>
      <c r="CB637" s="713">
        <v>629</v>
      </c>
      <c r="CC637" s="714"/>
      <c r="CD637" s="239"/>
      <c r="CE637" s="24"/>
    </row>
    <row r="638" spans="5:83" ht="12" customHeight="1">
      <c r="E638" s="621">
        <v>630</v>
      </c>
      <c r="F638" s="711"/>
      <c r="G638" s="712"/>
      <c r="H638" s="713">
        <v>630</v>
      </c>
      <c r="I638" s="714"/>
      <c r="J638" s="239"/>
      <c r="K638" s="24"/>
      <c r="AI638" s="16" t="e">
        <f t="shared" si="85"/>
        <v>#N/A</v>
      </c>
      <c r="AJ638" s="16" t="str">
        <f t="shared" si="86"/>
        <v/>
      </c>
      <c r="AK638" s="16" t="str">
        <f t="shared" si="87"/>
        <v/>
      </c>
      <c r="AL638" s="16" t="e">
        <f>IF(AK638="",NA(),COUNTIF(AK$176:$AK638,AK638))</f>
        <v>#N/A</v>
      </c>
      <c r="AM638" s="16" t="e">
        <f t="shared" si="88"/>
        <v>#N/A</v>
      </c>
      <c r="AN638" s="16" t="e">
        <f t="shared" si="89"/>
        <v>#N/A</v>
      </c>
      <c r="AO638" s="16" t="str">
        <f t="shared" si="90"/>
        <v/>
      </c>
      <c r="AP638" s="16" t="str">
        <f t="shared" si="91"/>
        <v/>
      </c>
      <c r="AQ638" s="16" t="e">
        <f>IF(AP638="",NA(),COUNTIF(AP$176:$AP638,AP638))</f>
        <v>#N/A</v>
      </c>
      <c r="AR638" s="16" t="e">
        <f t="shared" si="92"/>
        <v>#N/A</v>
      </c>
      <c r="BI638" s="621">
        <v>630</v>
      </c>
      <c r="BJ638" s="711"/>
      <c r="BK638" s="712"/>
      <c r="BL638" s="713">
        <v>630</v>
      </c>
      <c r="BM638" s="714"/>
      <c r="BN638" s="239"/>
      <c r="BO638" s="24"/>
      <c r="BQ638" s="621">
        <v>630</v>
      </c>
      <c r="BR638" s="711"/>
      <c r="BS638" s="712"/>
      <c r="BT638" s="713">
        <v>630</v>
      </c>
      <c r="BU638" s="714"/>
      <c r="BV638" s="239"/>
      <c r="BW638" s="24"/>
      <c r="BY638" s="621">
        <v>630</v>
      </c>
      <c r="BZ638" s="711"/>
      <c r="CA638" s="712"/>
      <c r="CB638" s="713">
        <v>630</v>
      </c>
      <c r="CC638" s="714"/>
      <c r="CD638" s="239"/>
      <c r="CE638" s="24"/>
    </row>
    <row r="639" spans="5:83" ht="12" customHeight="1">
      <c r="E639" s="621">
        <v>631</v>
      </c>
      <c r="F639" s="711"/>
      <c r="G639" s="712"/>
      <c r="H639" s="713">
        <v>631</v>
      </c>
      <c r="I639" s="714"/>
      <c r="J639" s="239"/>
      <c r="K639" s="24"/>
      <c r="AI639" s="16" t="e">
        <f t="shared" si="85"/>
        <v>#N/A</v>
      </c>
      <c r="AJ639" s="16" t="str">
        <f t="shared" si="86"/>
        <v/>
      </c>
      <c r="AK639" s="16" t="str">
        <f t="shared" si="87"/>
        <v/>
      </c>
      <c r="AL639" s="16" t="e">
        <f>IF(AK639="",NA(),COUNTIF(AK$176:$AK639,AK639))</f>
        <v>#N/A</v>
      </c>
      <c r="AM639" s="16" t="e">
        <f t="shared" si="88"/>
        <v>#N/A</v>
      </c>
      <c r="AN639" s="16" t="e">
        <f t="shared" si="89"/>
        <v>#N/A</v>
      </c>
      <c r="AO639" s="16" t="str">
        <f t="shared" si="90"/>
        <v/>
      </c>
      <c r="AP639" s="16" t="str">
        <f t="shared" si="91"/>
        <v/>
      </c>
      <c r="AQ639" s="16" t="e">
        <f>IF(AP639="",NA(),COUNTIF(AP$176:$AP639,AP639))</f>
        <v>#N/A</v>
      </c>
      <c r="AR639" s="16" t="e">
        <f t="shared" si="92"/>
        <v>#N/A</v>
      </c>
      <c r="BI639" s="621">
        <v>631</v>
      </c>
      <c r="BJ639" s="711"/>
      <c r="BK639" s="712"/>
      <c r="BL639" s="713">
        <v>631</v>
      </c>
      <c r="BM639" s="714"/>
      <c r="BN639" s="239"/>
      <c r="BO639" s="24"/>
      <c r="BQ639" s="621">
        <v>631</v>
      </c>
      <c r="BR639" s="711"/>
      <c r="BS639" s="712"/>
      <c r="BT639" s="713">
        <v>631</v>
      </c>
      <c r="BU639" s="714"/>
      <c r="BV639" s="239"/>
      <c r="BW639" s="24"/>
      <c r="BY639" s="621">
        <v>631</v>
      </c>
      <c r="BZ639" s="711"/>
      <c r="CA639" s="712"/>
      <c r="CB639" s="713">
        <v>631</v>
      </c>
      <c r="CC639" s="714"/>
      <c r="CD639" s="239"/>
      <c r="CE639" s="24"/>
    </row>
    <row r="640" spans="5:83" ht="12" customHeight="1">
      <c r="E640" s="621">
        <v>632</v>
      </c>
      <c r="F640" s="711"/>
      <c r="G640" s="712"/>
      <c r="H640" s="713">
        <v>632</v>
      </c>
      <c r="I640" s="714"/>
      <c r="J640" s="239"/>
      <c r="K640" s="24"/>
      <c r="AI640" s="16" t="e">
        <f t="shared" si="85"/>
        <v>#N/A</v>
      </c>
      <c r="AJ640" s="16" t="str">
        <f t="shared" si="86"/>
        <v/>
      </c>
      <c r="AK640" s="16" t="str">
        <f t="shared" si="87"/>
        <v/>
      </c>
      <c r="AL640" s="16" t="e">
        <f>IF(AK640="",NA(),COUNTIF(AK$176:$AK640,AK640))</f>
        <v>#N/A</v>
      </c>
      <c r="AM640" s="16" t="e">
        <f t="shared" si="88"/>
        <v>#N/A</v>
      </c>
      <c r="AN640" s="16" t="e">
        <f t="shared" si="89"/>
        <v>#N/A</v>
      </c>
      <c r="AO640" s="16" t="str">
        <f t="shared" si="90"/>
        <v/>
      </c>
      <c r="AP640" s="16" t="str">
        <f t="shared" si="91"/>
        <v/>
      </c>
      <c r="AQ640" s="16" t="e">
        <f>IF(AP640="",NA(),COUNTIF(AP$176:$AP640,AP640))</f>
        <v>#N/A</v>
      </c>
      <c r="AR640" s="16" t="e">
        <f t="shared" si="92"/>
        <v>#N/A</v>
      </c>
      <c r="BI640" s="621">
        <v>632</v>
      </c>
      <c r="BJ640" s="711"/>
      <c r="BK640" s="712"/>
      <c r="BL640" s="713">
        <v>632</v>
      </c>
      <c r="BM640" s="714"/>
      <c r="BN640" s="239"/>
      <c r="BO640" s="24"/>
      <c r="BQ640" s="621">
        <v>632</v>
      </c>
      <c r="BR640" s="711"/>
      <c r="BS640" s="712"/>
      <c r="BT640" s="713">
        <v>632</v>
      </c>
      <c r="BU640" s="714"/>
      <c r="BV640" s="239"/>
      <c r="BW640" s="24"/>
      <c r="BY640" s="621">
        <v>632</v>
      </c>
      <c r="BZ640" s="711"/>
      <c r="CA640" s="712"/>
      <c r="CB640" s="713">
        <v>632</v>
      </c>
      <c r="CC640" s="714"/>
      <c r="CD640" s="239"/>
      <c r="CE640" s="24"/>
    </row>
    <row r="641" spans="5:83" ht="12" customHeight="1">
      <c r="E641" s="621">
        <v>633</v>
      </c>
      <c r="F641" s="711"/>
      <c r="G641" s="712"/>
      <c r="H641" s="713">
        <v>633</v>
      </c>
      <c r="I641" s="714"/>
      <c r="J641" s="239"/>
      <c r="K641" s="24"/>
      <c r="AI641" s="16" t="e">
        <f t="shared" si="85"/>
        <v>#N/A</v>
      </c>
      <c r="AJ641" s="16" t="str">
        <f t="shared" si="86"/>
        <v/>
      </c>
      <c r="AK641" s="16" t="str">
        <f t="shared" si="87"/>
        <v/>
      </c>
      <c r="AL641" s="16" t="e">
        <f>IF(AK641="",NA(),COUNTIF(AK$176:$AK641,AK641))</f>
        <v>#N/A</v>
      </c>
      <c r="AM641" s="16" t="e">
        <f t="shared" si="88"/>
        <v>#N/A</v>
      </c>
      <c r="AN641" s="16" t="e">
        <f t="shared" si="89"/>
        <v>#N/A</v>
      </c>
      <c r="AO641" s="16" t="str">
        <f t="shared" si="90"/>
        <v/>
      </c>
      <c r="AP641" s="16" t="str">
        <f t="shared" si="91"/>
        <v/>
      </c>
      <c r="AQ641" s="16" t="e">
        <f>IF(AP641="",NA(),COUNTIF(AP$176:$AP641,AP641))</f>
        <v>#N/A</v>
      </c>
      <c r="AR641" s="16" t="e">
        <f t="shared" si="92"/>
        <v>#N/A</v>
      </c>
      <c r="BI641" s="621">
        <v>633</v>
      </c>
      <c r="BJ641" s="711"/>
      <c r="BK641" s="712"/>
      <c r="BL641" s="713">
        <v>633</v>
      </c>
      <c r="BM641" s="714"/>
      <c r="BN641" s="239"/>
      <c r="BO641" s="24"/>
      <c r="BQ641" s="621">
        <v>633</v>
      </c>
      <c r="BR641" s="711"/>
      <c r="BS641" s="712"/>
      <c r="BT641" s="713">
        <v>633</v>
      </c>
      <c r="BU641" s="714"/>
      <c r="BV641" s="239"/>
      <c r="BW641" s="24"/>
      <c r="BY641" s="621">
        <v>633</v>
      </c>
      <c r="BZ641" s="711"/>
      <c r="CA641" s="712"/>
      <c r="CB641" s="713">
        <v>633</v>
      </c>
      <c r="CC641" s="714"/>
      <c r="CD641" s="239"/>
      <c r="CE641" s="24"/>
    </row>
    <row r="642" spans="5:83" ht="12" customHeight="1">
      <c r="E642" s="621">
        <v>634</v>
      </c>
      <c r="F642" s="711"/>
      <c r="G642" s="712"/>
      <c r="H642" s="713">
        <v>634</v>
      </c>
      <c r="I642" s="714"/>
      <c r="J642" s="239"/>
      <c r="K642" s="24"/>
      <c r="AI642" s="16" t="e">
        <f t="shared" si="85"/>
        <v>#N/A</v>
      </c>
      <c r="AJ642" s="16" t="str">
        <f t="shared" si="86"/>
        <v/>
      </c>
      <c r="AK642" s="16" t="str">
        <f t="shared" si="87"/>
        <v/>
      </c>
      <c r="AL642" s="16" t="e">
        <f>IF(AK642="",NA(),COUNTIF(AK$176:$AK642,AK642))</f>
        <v>#N/A</v>
      </c>
      <c r="AM642" s="16" t="e">
        <f t="shared" si="88"/>
        <v>#N/A</v>
      </c>
      <c r="AN642" s="16" t="e">
        <f t="shared" si="89"/>
        <v>#N/A</v>
      </c>
      <c r="AO642" s="16" t="str">
        <f t="shared" si="90"/>
        <v/>
      </c>
      <c r="AP642" s="16" t="str">
        <f t="shared" si="91"/>
        <v/>
      </c>
      <c r="AQ642" s="16" t="e">
        <f>IF(AP642="",NA(),COUNTIF(AP$176:$AP642,AP642))</f>
        <v>#N/A</v>
      </c>
      <c r="AR642" s="16" t="e">
        <f t="shared" si="92"/>
        <v>#N/A</v>
      </c>
      <c r="BI642" s="621">
        <v>634</v>
      </c>
      <c r="BJ642" s="711"/>
      <c r="BK642" s="712"/>
      <c r="BL642" s="713">
        <v>634</v>
      </c>
      <c r="BM642" s="714"/>
      <c r="BN642" s="239"/>
      <c r="BO642" s="24"/>
      <c r="BQ642" s="621">
        <v>634</v>
      </c>
      <c r="BR642" s="711"/>
      <c r="BS642" s="712"/>
      <c r="BT642" s="713">
        <v>634</v>
      </c>
      <c r="BU642" s="714"/>
      <c r="BV642" s="239"/>
      <c r="BW642" s="24"/>
      <c r="BY642" s="621">
        <v>634</v>
      </c>
      <c r="BZ642" s="711"/>
      <c r="CA642" s="712"/>
      <c r="CB642" s="713">
        <v>634</v>
      </c>
      <c r="CC642" s="714"/>
      <c r="CD642" s="239"/>
      <c r="CE642" s="24"/>
    </row>
    <row r="643" spans="5:83" ht="12" customHeight="1">
      <c r="E643" s="621">
        <v>635</v>
      </c>
      <c r="F643" s="711"/>
      <c r="G643" s="712"/>
      <c r="H643" s="713">
        <v>635</v>
      </c>
      <c r="I643" s="714"/>
      <c r="J643" s="239"/>
      <c r="K643" s="24"/>
      <c r="AI643" s="16" t="e">
        <f t="shared" si="85"/>
        <v>#N/A</v>
      </c>
      <c r="AJ643" s="16" t="str">
        <f t="shared" si="86"/>
        <v/>
      </c>
      <c r="AK643" s="16" t="str">
        <f t="shared" si="87"/>
        <v/>
      </c>
      <c r="AL643" s="16" t="e">
        <f>IF(AK643="",NA(),COUNTIF(AK$176:$AK643,AK643))</f>
        <v>#N/A</v>
      </c>
      <c r="AM643" s="16" t="e">
        <f t="shared" si="88"/>
        <v>#N/A</v>
      </c>
      <c r="AN643" s="16" t="e">
        <f t="shared" si="89"/>
        <v>#N/A</v>
      </c>
      <c r="AO643" s="16" t="str">
        <f t="shared" si="90"/>
        <v/>
      </c>
      <c r="AP643" s="16" t="str">
        <f t="shared" si="91"/>
        <v/>
      </c>
      <c r="AQ643" s="16" t="e">
        <f>IF(AP643="",NA(),COUNTIF(AP$176:$AP643,AP643))</f>
        <v>#N/A</v>
      </c>
      <c r="AR643" s="16" t="e">
        <f t="shared" si="92"/>
        <v>#N/A</v>
      </c>
      <c r="BI643" s="621">
        <v>635</v>
      </c>
      <c r="BJ643" s="711"/>
      <c r="BK643" s="712"/>
      <c r="BL643" s="713">
        <v>635</v>
      </c>
      <c r="BM643" s="714"/>
      <c r="BN643" s="239"/>
      <c r="BO643" s="24"/>
      <c r="BQ643" s="621">
        <v>635</v>
      </c>
      <c r="BR643" s="711"/>
      <c r="BS643" s="712"/>
      <c r="BT643" s="713">
        <v>635</v>
      </c>
      <c r="BU643" s="714"/>
      <c r="BV643" s="239"/>
      <c r="BW643" s="24"/>
      <c r="BY643" s="621">
        <v>635</v>
      </c>
      <c r="BZ643" s="711"/>
      <c r="CA643" s="712"/>
      <c r="CB643" s="713">
        <v>635</v>
      </c>
      <c r="CC643" s="714"/>
      <c r="CD643" s="239"/>
      <c r="CE643" s="24"/>
    </row>
    <row r="644" spans="5:83" ht="12" customHeight="1">
      <c r="E644" s="621">
        <v>636</v>
      </c>
      <c r="F644" s="711"/>
      <c r="G644" s="712"/>
      <c r="H644" s="713">
        <v>636</v>
      </c>
      <c r="I644" s="714"/>
      <c r="J644" s="239"/>
      <c r="K644" s="24"/>
      <c r="AI644" s="16" t="e">
        <f t="shared" si="85"/>
        <v>#N/A</v>
      </c>
      <c r="AJ644" s="16" t="str">
        <f t="shared" si="86"/>
        <v/>
      </c>
      <c r="AK644" s="16" t="str">
        <f t="shared" si="87"/>
        <v/>
      </c>
      <c r="AL644" s="16" t="e">
        <f>IF(AK644="",NA(),COUNTIF(AK$176:$AK644,AK644))</f>
        <v>#N/A</v>
      </c>
      <c r="AM644" s="16" t="e">
        <f t="shared" si="88"/>
        <v>#N/A</v>
      </c>
      <c r="AN644" s="16" t="e">
        <f t="shared" si="89"/>
        <v>#N/A</v>
      </c>
      <c r="AO644" s="16" t="str">
        <f t="shared" si="90"/>
        <v/>
      </c>
      <c r="AP644" s="16" t="str">
        <f t="shared" si="91"/>
        <v/>
      </c>
      <c r="AQ644" s="16" t="e">
        <f>IF(AP644="",NA(),COUNTIF(AP$176:$AP644,AP644))</f>
        <v>#N/A</v>
      </c>
      <c r="AR644" s="16" t="e">
        <f t="shared" si="92"/>
        <v>#N/A</v>
      </c>
      <c r="BI644" s="621">
        <v>636</v>
      </c>
      <c r="BJ644" s="711"/>
      <c r="BK644" s="712"/>
      <c r="BL644" s="713">
        <v>636</v>
      </c>
      <c r="BM644" s="714"/>
      <c r="BN644" s="239"/>
      <c r="BO644" s="24"/>
      <c r="BQ644" s="621">
        <v>636</v>
      </c>
      <c r="BR644" s="711"/>
      <c r="BS644" s="712"/>
      <c r="BT644" s="713">
        <v>636</v>
      </c>
      <c r="BU644" s="714"/>
      <c r="BV644" s="239"/>
      <c r="BW644" s="24"/>
      <c r="BY644" s="621">
        <v>636</v>
      </c>
      <c r="BZ644" s="711"/>
      <c r="CA644" s="712"/>
      <c r="CB644" s="713">
        <v>636</v>
      </c>
      <c r="CC644" s="714"/>
      <c r="CD644" s="239"/>
      <c r="CE644" s="24"/>
    </row>
    <row r="645" spans="5:83" ht="12" customHeight="1">
      <c r="E645" s="621">
        <v>637</v>
      </c>
      <c r="F645" s="711"/>
      <c r="G645" s="712"/>
      <c r="H645" s="713">
        <v>637</v>
      </c>
      <c r="I645" s="714"/>
      <c r="J645" s="239"/>
      <c r="K645" s="24"/>
      <c r="AI645" s="16" t="e">
        <f t="shared" si="85"/>
        <v>#N/A</v>
      </c>
      <c r="AJ645" s="16" t="str">
        <f t="shared" si="86"/>
        <v/>
      </c>
      <c r="AK645" s="16" t="str">
        <f t="shared" si="87"/>
        <v/>
      </c>
      <c r="AL645" s="16" t="e">
        <f>IF(AK645="",NA(),COUNTIF(AK$176:$AK645,AK645))</f>
        <v>#N/A</v>
      </c>
      <c r="AM645" s="16" t="e">
        <f t="shared" si="88"/>
        <v>#N/A</v>
      </c>
      <c r="AN645" s="16" t="e">
        <f t="shared" si="89"/>
        <v>#N/A</v>
      </c>
      <c r="AO645" s="16" t="str">
        <f t="shared" si="90"/>
        <v/>
      </c>
      <c r="AP645" s="16" t="str">
        <f t="shared" si="91"/>
        <v/>
      </c>
      <c r="AQ645" s="16" t="e">
        <f>IF(AP645="",NA(),COUNTIF(AP$176:$AP645,AP645))</f>
        <v>#N/A</v>
      </c>
      <c r="AR645" s="16" t="e">
        <f t="shared" si="92"/>
        <v>#N/A</v>
      </c>
      <c r="BI645" s="621">
        <v>637</v>
      </c>
      <c r="BJ645" s="711"/>
      <c r="BK645" s="712"/>
      <c r="BL645" s="713">
        <v>637</v>
      </c>
      <c r="BM645" s="714"/>
      <c r="BN645" s="239"/>
      <c r="BO645" s="24"/>
      <c r="BQ645" s="621">
        <v>637</v>
      </c>
      <c r="BR645" s="711"/>
      <c r="BS645" s="712"/>
      <c r="BT645" s="713">
        <v>637</v>
      </c>
      <c r="BU645" s="714"/>
      <c r="BV645" s="239"/>
      <c r="BW645" s="24"/>
      <c r="BY645" s="621">
        <v>637</v>
      </c>
      <c r="BZ645" s="711"/>
      <c r="CA645" s="712"/>
      <c r="CB645" s="713">
        <v>637</v>
      </c>
      <c r="CC645" s="714"/>
      <c r="CD645" s="239"/>
      <c r="CE645" s="24"/>
    </row>
    <row r="646" spans="5:83" ht="12" customHeight="1">
      <c r="E646" s="621">
        <v>638</v>
      </c>
      <c r="F646" s="711"/>
      <c r="G646" s="712"/>
      <c r="H646" s="713">
        <v>638</v>
      </c>
      <c r="I646" s="714"/>
      <c r="J646" s="239"/>
      <c r="K646" s="24"/>
      <c r="AI646" s="16" t="e">
        <f t="shared" si="85"/>
        <v>#N/A</v>
      </c>
      <c r="AJ646" s="16" t="str">
        <f t="shared" si="86"/>
        <v/>
      </c>
      <c r="AK646" s="16" t="str">
        <f t="shared" si="87"/>
        <v/>
      </c>
      <c r="AL646" s="16" t="e">
        <f>IF(AK646="",NA(),COUNTIF(AK$176:$AK646,AK646))</f>
        <v>#N/A</v>
      </c>
      <c r="AM646" s="16" t="e">
        <f t="shared" si="88"/>
        <v>#N/A</v>
      </c>
      <c r="AN646" s="16" t="e">
        <f t="shared" si="89"/>
        <v>#N/A</v>
      </c>
      <c r="AO646" s="16" t="str">
        <f t="shared" si="90"/>
        <v/>
      </c>
      <c r="AP646" s="16" t="str">
        <f t="shared" si="91"/>
        <v/>
      </c>
      <c r="AQ646" s="16" t="e">
        <f>IF(AP646="",NA(),COUNTIF(AP$176:$AP646,AP646))</f>
        <v>#N/A</v>
      </c>
      <c r="AR646" s="16" t="e">
        <f t="shared" si="92"/>
        <v>#N/A</v>
      </c>
      <c r="BI646" s="621">
        <v>638</v>
      </c>
      <c r="BJ646" s="711"/>
      <c r="BK646" s="712"/>
      <c r="BL646" s="713">
        <v>638</v>
      </c>
      <c r="BM646" s="714"/>
      <c r="BN646" s="239"/>
      <c r="BO646" s="24"/>
      <c r="BQ646" s="621">
        <v>638</v>
      </c>
      <c r="BR646" s="711"/>
      <c r="BS646" s="712"/>
      <c r="BT646" s="713">
        <v>638</v>
      </c>
      <c r="BU646" s="714"/>
      <c r="BV646" s="239"/>
      <c r="BW646" s="24"/>
      <c r="BY646" s="621">
        <v>638</v>
      </c>
      <c r="BZ646" s="711"/>
      <c r="CA646" s="712"/>
      <c r="CB646" s="713">
        <v>638</v>
      </c>
      <c r="CC646" s="714"/>
      <c r="CD646" s="239"/>
      <c r="CE646" s="24"/>
    </row>
    <row r="647" spans="5:83" ht="12" customHeight="1">
      <c r="E647" s="621">
        <v>639</v>
      </c>
      <c r="F647" s="711"/>
      <c r="G647" s="712"/>
      <c r="H647" s="713">
        <v>639</v>
      </c>
      <c r="I647" s="714"/>
      <c r="J647" s="239"/>
      <c r="K647" s="24"/>
      <c r="AI647" s="16" t="e">
        <f t="shared" si="85"/>
        <v>#N/A</v>
      </c>
      <c r="AJ647" s="16" t="str">
        <f t="shared" si="86"/>
        <v/>
      </c>
      <c r="AK647" s="16" t="str">
        <f t="shared" si="87"/>
        <v/>
      </c>
      <c r="AL647" s="16" t="e">
        <f>IF(AK647="",NA(),COUNTIF(AK$176:$AK647,AK647))</f>
        <v>#N/A</v>
      </c>
      <c r="AM647" s="16" t="e">
        <f t="shared" si="88"/>
        <v>#N/A</v>
      </c>
      <c r="AN647" s="16" t="e">
        <f t="shared" si="89"/>
        <v>#N/A</v>
      </c>
      <c r="AO647" s="16" t="str">
        <f t="shared" si="90"/>
        <v/>
      </c>
      <c r="AP647" s="16" t="str">
        <f t="shared" si="91"/>
        <v/>
      </c>
      <c r="AQ647" s="16" t="e">
        <f>IF(AP647="",NA(),COUNTIF(AP$176:$AP647,AP647))</f>
        <v>#N/A</v>
      </c>
      <c r="AR647" s="16" t="e">
        <f t="shared" si="92"/>
        <v>#N/A</v>
      </c>
      <c r="BI647" s="621">
        <v>639</v>
      </c>
      <c r="BJ647" s="711"/>
      <c r="BK647" s="712"/>
      <c r="BL647" s="713">
        <v>639</v>
      </c>
      <c r="BM647" s="714"/>
      <c r="BN647" s="239"/>
      <c r="BO647" s="24"/>
      <c r="BQ647" s="621">
        <v>639</v>
      </c>
      <c r="BR647" s="711"/>
      <c r="BS647" s="712"/>
      <c r="BT647" s="713">
        <v>639</v>
      </c>
      <c r="BU647" s="714"/>
      <c r="BV647" s="239"/>
      <c r="BW647" s="24"/>
      <c r="BY647" s="621">
        <v>639</v>
      </c>
      <c r="BZ647" s="711"/>
      <c r="CA647" s="712"/>
      <c r="CB647" s="713">
        <v>639</v>
      </c>
      <c r="CC647" s="714"/>
      <c r="CD647" s="239"/>
      <c r="CE647" s="24"/>
    </row>
    <row r="648" spans="5:83" ht="12" customHeight="1">
      <c r="E648" s="621">
        <v>640</v>
      </c>
      <c r="F648" s="711"/>
      <c r="G648" s="712"/>
      <c r="H648" s="713">
        <v>640</v>
      </c>
      <c r="I648" s="714"/>
      <c r="J648" s="239"/>
      <c r="K648" s="24"/>
      <c r="AI648" s="16" t="e">
        <f t="shared" si="85"/>
        <v>#N/A</v>
      </c>
      <c r="AJ648" s="16" t="str">
        <f t="shared" si="86"/>
        <v/>
      </c>
      <c r="AK648" s="16" t="str">
        <f t="shared" si="87"/>
        <v/>
      </c>
      <c r="AL648" s="16" t="e">
        <f>IF(AK648="",NA(),COUNTIF(AK$176:$AK648,AK648))</f>
        <v>#N/A</v>
      </c>
      <c r="AM648" s="16" t="e">
        <f t="shared" si="88"/>
        <v>#N/A</v>
      </c>
      <c r="AN648" s="16" t="e">
        <f t="shared" si="89"/>
        <v>#N/A</v>
      </c>
      <c r="AO648" s="16" t="str">
        <f t="shared" si="90"/>
        <v/>
      </c>
      <c r="AP648" s="16" t="str">
        <f t="shared" si="91"/>
        <v/>
      </c>
      <c r="AQ648" s="16" t="e">
        <f>IF(AP648="",NA(),COUNTIF(AP$176:$AP648,AP648))</f>
        <v>#N/A</v>
      </c>
      <c r="AR648" s="16" t="e">
        <f t="shared" si="92"/>
        <v>#N/A</v>
      </c>
      <c r="BI648" s="621">
        <v>640</v>
      </c>
      <c r="BJ648" s="711"/>
      <c r="BK648" s="712"/>
      <c r="BL648" s="713">
        <v>640</v>
      </c>
      <c r="BM648" s="714"/>
      <c r="BN648" s="239"/>
      <c r="BO648" s="24"/>
      <c r="BQ648" s="621">
        <v>640</v>
      </c>
      <c r="BR648" s="711"/>
      <c r="BS648" s="712"/>
      <c r="BT648" s="713">
        <v>640</v>
      </c>
      <c r="BU648" s="714"/>
      <c r="BV648" s="239"/>
      <c r="BW648" s="24"/>
      <c r="BY648" s="621">
        <v>640</v>
      </c>
      <c r="BZ648" s="711"/>
      <c r="CA648" s="712"/>
      <c r="CB648" s="713">
        <v>640</v>
      </c>
      <c r="CC648" s="714"/>
      <c r="CD648" s="239"/>
      <c r="CE648" s="24"/>
    </row>
    <row r="649" spans="5:83" ht="12" customHeight="1">
      <c r="E649" s="621">
        <v>641</v>
      </c>
      <c r="F649" s="711"/>
      <c r="G649" s="712"/>
      <c r="H649" s="713">
        <v>641</v>
      </c>
      <c r="I649" s="714"/>
      <c r="J649" s="239"/>
      <c r="K649" s="24"/>
      <c r="AI649" s="16" t="e">
        <f t="shared" si="85"/>
        <v>#N/A</v>
      </c>
      <c r="AJ649" s="16" t="str">
        <f t="shared" si="86"/>
        <v/>
      </c>
      <c r="AK649" s="16" t="str">
        <f t="shared" si="87"/>
        <v/>
      </c>
      <c r="AL649" s="16" t="e">
        <f>IF(AK649="",NA(),COUNTIF(AK$176:$AK649,AK649))</f>
        <v>#N/A</v>
      </c>
      <c r="AM649" s="16" t="e">
        <f t="shared" si="88"/>
        <v>#N/A</v>
      </c>
      <c r="AN649" s="16" t="e">
        <f t="shared" si="89"/>
        <v>#N/A</v>
      </c>
      <c r="AO649" s="16" t="str">
        <f t="shared" si="90"/>
        <v/>
      </c>
      <c r="AP649" s="16" t="str">
        <f t="shared" si="91"/>
        <v/>
      </c>
      <c r="AQ649" s="16" t="e">
        <f>IF(AP649="",NA(),COUNTIF(AP$176:$AP649,AP649))</f>
        <v>#N/A</v>
      </c>
      <c r="AR649" s="16" t="e">
        <f t="shared" si="92"/>
        <v>#N/A</v>
      </c>
      <c r="BI649" s="621">
        <v>641</v>
      </c>
      <c r="BJ649" s="711"/>
      <c r="BK649" s="712"/>
      <c r="BL649" s="713">
        <v>641</v>
      </c>
      <c r="BM649" s="714"/>
      <c r="BN649" s="239"/>
      <c r="BO649" s="24"/>
      <c r="BQ649" s="621">
        <v>641</v>
      </c>
      <c r="BR649" s="711"/>
      <c r="BS649" s="712"/>
      <c r="BT649" s="713">
        <v>641</v>
      </c>
      <c r="BU649" s="714"/>
      <c r="BV649" s="239"/>
      <c r="BW649" s="24"/>
      <c r="BY649" s="621">
        <v>641</v>
      </c>
      <c r="BZ649" s="711"/>
      <c r="CA649" s="712"/>
      <c r="CB649" s="713">
        <v>641</v>
      </c>
      <c r="CC649" s="714"/>
      <c r="CD649" s="239"/>
      <c r="CE649" s="24"/>
    </row>
    <row r="650" spans="5:83" ht="12" customHeight="1">
      <c r="E650" s="621">
        <v>642</v>
      </c>
      <c r="F650" s="711"/>
      <c r="G650" s="712"/>
      <c r="H650" s="713">
        <v>642</v>
      </c>
      <c r="I650" s="714"/>
      <c r="J650" s="239"/>
      <c r="K650" s="24"/>
      <c r="AI650" s="16" t="e">
        <f t="shared" si="85"/>
        <v>#N/A</v>
      </c>
      <c r="AJ650" s="16" t="str">
        <f t="shared" si="86"/>
        <v/>
      </c>
      <c r="AK650" s="16" t="str">
        <f t="shared" si="87"/>
        <v/>
      </c>
      <c r="AL650" s="16" t="e">
        <f>IF(AK650="",NA(),COUNTIF(AK$176:$AK650,AK650))</f>
        <v>#N/A</v>
      </c>
      <c r="AM650" s="16" t="e">
        <f t="shared" si="88"/>
        <v>#N/A</v>
      </c>
      <c r="AN650" s="16" t="e">
        <f t="shared" si="89"/>
        <v>#N/A</v>
      </c>
      <c r="AO650" s="16" t="str">
        <f t="shared" si="90"/>
        <v/>
      </c>
      <c r="AP650" s="16" t="str">
        <f t="shared" si="91"/>
        <v/>
      </c>
      <c r="AQ650" s="16" t="e">
        <f>IF(AP650="",NA(),COUNTIF(AP$176:$AP650,AP650))</f>
        <v>#N/A</v>
      </c>
      <c r="AR650" s="16" t="e">
        <f t="shared" si="92"/>
        <v>#N/A</v>
      </c>
      <c r="BI650" s="621">
        <v>642</v>
      </c>
      <c r="BJ650" s="711"/>
      <c r="BK650" s="712"/>
      <c r="BL650" s="713">
        <v>642</v>
      </c>
      <c r="BM650" s="714"/>
      <c r="BN650" s="239"/>
      <c r="BO650" s="24"/>
      <c r="BQ650" s="621">
        <v>642</v>
      </c>
      <c r="BR650" s="711"/>
      <c r="BS650" s="712"/>
      <c r="BT650" s="713">
        <v>642</v>
      </c>
      <c r="BU650" s="714"/>
      <c r="BV650" s="239"/>
      <c r="BW650" s="24"/>
      <c r="BY650" s="621">
        <v>642</v>
      </c>
      <c r="BZ650" s="711"/>
      <c r="CA650" s="712"/>
      <c r="CB650" s="713">
        <v>642</v>
      </c>
      <c r="CC650" s="714"/>
      <c r="CD650" s="239"/>
      <c r="CE650" s="24"/>
    </row>
    <row r="651" spans="5:83" ht="12" customHeight="1">
      <c r="E651" s="621">
        <v>643</v>
      </c>
      <c r="F651" s="711"/>
      <c r="G651" s="712"/>
      <c r="H651" s="713">
        <v>643</v>
      </c>
      <c r="I651" s="714"/>
      <c r="J651" s="239"/>
      <c r="K651" s="24"/>
      <c r="AI651" s="16" t="e">
        <f t="shared" si="85"/>
        <v>#N/A</v>
      </c>
      <c r="AJ651" s="16" t="str">
        <f t="shared" si="86"/>
        <v/>
      </c>
      <c r="AK651" s="16" t="str">
        <f t="shared" si="87"/>
        <v/>
      </c>
      <c r="AL651" s="16" t="e">
        <f>IF(AK651="",NA(),COUNTIF(AK$176:$AK651,AK651))</f>
        <v>#N/A</v>
      </c>
      <c r="AM651" s="16" t="e">
        <f t="shared" si="88"/>
        <v>#N/A</v>
      </c>
      <c r="AN651" s="16" t="e">
        <f t="shared" si="89"/>
        <v>#N/A</v>
      </c>
      <c r="AO651" s="16" t="str">
        <f t="shared" si="90"/>
        <v/>
      </c>
      <c r="AP651" s="16" t="str">
        <f t="shared" si="91"/>
        <v/>
      </c>
      <c r="AQ651" s="16" t="e">
        <f>IF(AP651="",NA(),COUNTIF(AP$176:$AP651,AP651))</f>
        <v>#N/A</v>
      </c>
      <c r="AR651" s="16" t="e">
        <f t="shared" si="92"/>
        <v>#N/A</v>
      </c>
      <c r="BI651" s="621">
        <v>643</v>
      </c>
      <c r="BJ651" s="711"/>
      <c r="BK651" s="712"/>
      <c r="BL651" s="713">
        <v>643</v>
      </c>
      <c r="BM651" s="714"/>
      <c r="BN651" s="239"/>
      <c r="BO651" s="24"/>
      <c r="BQ651" s="621">
        <v>643</v>
      </c>
      <c r="BR651" s="711"/>
      <c r="BS651" s="712"/>
      <c r="BT651" s="713">
        <v>643</v>
      </c>
      <c r="BU651" s="714"/>
      <c r="BV651" s="239"/>
      <c r="BW651" s="24"/>
      <c r="BY651" s="621">
        <v>643</v>
      </c>
      <c r="BZ651" s="711"/>
      <c r="CA651" s="712"/>
      <c r="CB651" s="713">
        <v>643</v>
      </c>
      <c r="CC651" s="714"/>
      <c r="CD651" s="239"/>
      <c r="CE651" s="24"/>
    </row>
    <row r="652" spans="5:83" ht="12" customHeight="1">
      <c r="E652" s="621">
        <v>644</v>
      </c>
      <c r="F652" s="711"/>
      <c r="G652" s="712"/>
      <c r="H652" s="713">
        <v>644</v>
      </c>
      <c r="I652" s="714"/>
      <c r="J652" s="239"/>
      <c r="K652" s="24"/>
      <c r="AI652" s="16" t="e">
        <f t="shared" si="85"/>
        <v>#N/A</v>
      </c>
      <c r="AJ652" s="16" t="str">
        <f t="shared" si="86"/>
        <v/>
      </c>
      <c r="AK652" s="16" t="str">
        <f t="shared" si="87"/>
        <v/>
      </c>
      <c r="AL652" s="16" t="e">
        <f>IF(AK652="",NA(),COUNTIF(AK$176:$AK652,AK652))</f>
        <v>#N/A</v>
      </c>
      <c r="AM652" s="16" t="e">
        <f t="shared" si="88"/>
        <v>#N/A</v>
      </c>
      <c r="AN652" s="16" t="e">
        <f t="shared" si="89"/>
        <v>#N/A</v>
      </c>
      <c r="AO652" s="16" t="str">
        <f t="shared" si="90"/>
        <v/>
      </c>
      <c r="AP652" s="16" t="str">
        <f t="shared" si="91"/>
        <v/>
      </c>
      <c r="AQ652" s="16" t="e">
        <f>IF(AP652="",NA(),COUNTIF(AP$176:$AP652,AP652))</f>
        <v>#N/A</v>
      </c>
      <c r="AR652" s="16" t="e">
        <f t="shared" si="92"/>
        <v>#N/A</v>
      </c>
      <c r="BI652" s="621">
        <v>644</v>
      </c>
      <c r="BJ652" s="711"/>
      <c r="BK652" s="712"/>
      <c r="BL652" s="713">
        <v>644</v>
      </c>
      <c r="BM652" s="714"/>
      <c r="BN652" s="239"/>
      <c r="BO652" s="24"/>
      <c r="BQ652" s="621">
        <v>644</v>
      </c>
      <c r="BR652" s="711"/>
      <c r="BS652" s="712"/>
      <c r="BT652" s="713">
        <v>644</v>
      </c>
      <c r="BU652" s="714"/>
      <c r="BV652" s="239"/>
      <c r="BW652" s="24"/>
      <c r="BY652" s="621">
        <v>644</v>
      </c>
      <c r="BZ652" s="711"/>
      <c r="CA652" s="712"/>
      <c r="CB652" s="713">
        <v>644</v>
      </c>
      <c r="CC652" s="714"/>
      <c r="CD652" s="239"/>
      <c r="CE652" s="24"/>
    </row>
    <row r="653" spans="5:83" ht="12" customHeight="1">
      <c r="E653" s="621">
        <v>645</v>
      </c>
      <c r="F653" s="711"/>
      <c r="G653" s="712"/>
      <c r="H653" s="713">
        <v>645</v>
      </c>
      <c r="I653" s="714"/>
      <c r="J653" s="239"/>
      <c r="K653" s="24"/>
      <c r="AI653" s="16" t="e">
        <f t="shared" ref="AI653:AI716" si="93">IF(AND($X$80,NOT(F585=""),$X$78),F585,NA())</f>
        <v>#N/A</v>
      </c>
      <c r="AJ653" s="16" t="str">
        <f t="shared" ref="AJ653:AJ716" si="94">IF(AK653="","",IF($AU$79=0,AI653,AK653*$AU$79))</f>
        <v/>
      </c>
      <c r="AK653" s="16" t="str">
        <f t="shared" ref="AK653:AK716" si="95">IF(ISNA(AI653),"",IF($AU$79=0,AI653,ROUND(AI653/$AU$79,0)))</f>
        <v/>
      </c>
      <c r="AL653" s="16" t="e">
        <f>IF(AK653="",NA(),COUNTIF(AK$176:$AK653,AK653))</f>
        <v>#N/A</v>
      </c>
      <c r="AM653" s="16" t="e">
        <f t="shared" ref="AM653:AM716" si="96">(AL653-1)*$AU$82</f>
        <v>#N/A</v>
      </c>
      <c r="AN653" s="16" t="e">
        <f t="shared" ref="AN653:AN716" si="97">IF(AND($X$80,NOT(I585=""),$X$79),I585,NA())</f>
        <v>#N/A</v>
      </c>
      <c r="AO653" s="16" t="str">
        <f t="shared" ref="AO653:AO716" si="98">IF(AP653="","",IF($AU$79=0,AN653,AP653*$AU$79))</f>
        <v/>
      </c>
      <c r="AP653" s="16" t="str">
        <f t="shared" ref="AP653:AP716" si="99">IF(ISNA(AN653),"",IF($AU$79=0,AN653,ROUND(AN653/$AU$79,0)))</f>
        <v/>
      </c>
      <c r="AQ653" s="16" t="e">
        <f>IF(AP653="",NA(),COUNTIF(AP$176:$AP653,AP653))</f>
        <v>#N/A</v>
      </c>
      <c r="AR653" s="16" t="e">
        <f t="shared" ref="AR653:AR716" si="100">(AQ653-1)*$AU$82</f>
        <v>#N/A</v>
      </c>
      <c r="BI653" s="621">
        <v>645</v>
      </c>
      <c r="BJ653" s="711"/>
      <c r="BK653" s="712"/>
      <c r="BL653" s="713">
        <v>645</v>
      </c>
      <c r="BM653" s="714"/>
      <c r="BN653" s="239"/>
      <c r="BO653" s="24"/>
      <c r="BQ653" s="621">
        <v>645</v>
      </c>
      <c r="BR653" s="711"/>
      <c r="BS653" s="712"/>
      <c r="BT653" s="713">
        <v>645</v>
      </c>
      <c r="BU653" s="714"/>
      <c r="BV653" s="239"/>
      <c r="BW653" s="24"/>
      <c r="BY653" s="621">
        <v>645</v>
      </c>
      <c r="BZ653" s="711"/>
      <c r="CA653" s="712"/>
      <c r="CB653" s="713">
        <v>645</v>
      </c>
      <c r="CC653" s="714"/>
      <c r="CD653" s="239"/>
      <c r="CE653" s="24"/>
    </row>
    <row r="654" spans="5:83" ht="12" customHeight="1">
      <c r="E654" s="621">
        <v>646</v>
      </c>
      <c r="F654" s="711"/>
      <c r="G654" s="712"/>
      <c r="H654" s="713">
        <v>646</v>
      </c>
      <c r="I654" s="714"/>
      <c r="J654" s="239"/>
      <c r="K654" s="24"/>
      <c r="AI654" s="16" t="e">
        <f t="shared" si="93"/>
        <v>#N/A</v>
      </c>
      <c r="AJ654" s="16" t="str">
        <f t="shared" si="94"/>
        <v/>
      </c>
      <c r="AK654" s="16" t="str">
        <f t="shared" si="95"/>
        <v/>
      </c>
      <c r="AL654" s="16" t="e">
        <f>IF(AK654="",NA(),COUNTIF(AK$176:$AK654,AK654))</f>
        <v>#N/A</v>
      </c>
      <c r="AM654" s="16" t="e">
        <f t="shared" si="96"/>
        <v>#N/A</v>
      </c>
      <c r="AN654" s="16" t="e">
        <f t="shared" si="97"/>
        <v>#N/A</v>
      </c>
      <c r="AO654" s="16" t="str">
        <f t="shared" si="98"/>
        <v/>
      </c>
      <c r="AP654" s="16" t="str">
        <f t="shared" si="99"/>
        <v/>
      </c>
      <c r="AQ654" s="16" t="e">
        <f>IF(AP654="",NA(),COUNTIF(AP$176:$AP654,AP654))</f>
        <v>#N/A</v>
      </c>
      <c r="AR654" s="16" t="e">
        <f t="shared" si="100"/>
        <v>#N/A</v>
      </c>
      <c r="BI654" s="621">
        <v>646</v>
      </c>
      <c r="BJ654" s="711"/>
      <c r="BK654" s="712"/>
      <c r="BL654" s="713">
        <v>646</v>
      </c>
      <c r="BM654" s="714"/>
      <c r="BN654" s="239"/>
      <c r="BO654" s="24"/>
      <c r="BQ654" s="621">
        <v>646</v>
      </c>
      <c r="BR654" s="711"/>
      <c r="BS654" s="712"/>
      <c r="BT654" s="713">
        <v>646</v>
      </c>
      <c r="BU654" s="714"/>
      <c r="BV654" s="239"/>
      <c r="BW654" s="24"/>
      <c r="BY654" s="621">
        <v>646</v>
      </c>
      <c r="BZ654" s="711"/>
      <c r="CA654" s="712"/>
      <c r="CB654" s="713">
        <v>646</v>
      </c>
      <c r="CC654" s="714"/>
      <c r="CD654" s="239"/>
      <c r="CE654" s="24"/>
    </row>
    <row r="655" spans="5:83" ht="12" customHeight="1">
      <c r="E655" s="621">
        <v>647</v>
      </c>
      <c r="F655" s="711"/>
      <c r="G655" s="712"/>
      <c r="H655" s="713">
        <v>647</v>
      </c>
      <c r="I655" s="714"/>
      <c r="J655" s="239"/>
      <c r="K655" s="24"/>
      <c r="AI655" s="16" t="e">
        <f t="shared" si="93"/>
        <v>#N/A</v>
      </c>
      <c r="AJ655" s="16" t="str">
        <f t="shared" si="94"/>
        <v/>
      </c>
      <c r="AK655" s="16" t="str">
        <f t="shared" si="95"/>
        <v/>
      </c>
      <c r="AL655" s="16" t="e">
        <f>IF(AK655="",NA(),COUNTIF(AK$176:$AK655,AK655))</f>
        <v>#N/A</v>
      </c>
      <c r="AM655" s="16" t="e">
        <f t="shared" si="96"/>
        <v>#N/A</v>
      </c>
      <c r="AN655" s="16" t="e">
        <f t="shared" si="97"/>
        <v>#N/A</v>
      </c>
      <c r="AO655" s="16" t="str">
        <f t="shared" si="98"/>
        <v/>
      </c>
      <c r="AP655" s="16" t="str">
        <f t="shared" si="99"/>
        <v/>
      </c>
      <c r="AQ655" s="16" t="e">
        <f>IF(AP655="",NA(),COUNTIF(AP$176:$AP655,AP655))</f>
        <v>#N/A</v>
      </c>
      <c r="AR655" s="16" t="e">
        <f t="shared" si="100"/>
        <v>#N/A</v>
      </c>
      <c r="BI655" s="621">
        <v>647</v>
      </c>
      <c r="BJ655" s="711"/>
      <c r="BK655" s="712"/>
      <c r="BL655" s="713">
        <v>647</v>
      </c>
      <c r="BM655" s="714"/>
      <c r="BN655" s="239"/>
      <c r="BO655" s="24"/>
      <c r="BQ655" s="621">
        <v>647</v>
      </c>
      <c r="BR655" s="711"/>
      <c r="BS655" s="712"/>
      <c r="BT655" s="713">
        <v>647</v>
      </c>
      <c r="BU655" s="714"/>
      <c r="BV655" s="239"/>
      <c r="BW655" s="24"/>
      <c r="BY655" s="621">
        <v>647</v>
      </c>
      <c r="BZ655" s="711"/>
      <c r="CA655" s="712"/>
      <c r="CB655" s="713">
        <v>647</v>
      </c>
      <c r="CC655" s="714"/>
      <c r="CD655" s="239"/>
      <c r="CE655" s="24"/>
    </row>
    <row r="656" spans="5:83" ht="12" customHeight="1">
      <c r="E656" s="621">
        <v>648</v>
      </c>
      <c r="F656" s="711"/>
      <c r="G656" s="712"/>
      <c r="H656" s="713">
        <v>648</v>
      </c>
      <c r="I656" s="714"/>
      <c r="J656" s="239"/>
      <c r="K656" s="24"/>
      <c r="AI656" s="16" t="e">
        <f t="shared" si="93"/>
        <v>#N/A</v>
      </c>
      <c r="AJ656" s="16" t="str">
        <f t="shared" si="94"/>
        <v/>
      </c>
      <c r="AK656" s="16" t="str">
        <f t="shared" si="95"/>
        <v/>
      </c>
      <c r="AL656" s="16" t="e">
        <f>IF(AK656="",NA(),COUNTIF(AK$176:$AK656,AK656))</f>
        <v>#N/A</v>
      </c>
      <c r="AM656" s="16" t="e">
        <f t="shared" si="96"/>
        <v>#N/A</v>
      </c>
      <c r="AN656" s="16" t="e">
        <f t="shared" si="97"/>
        <v>#N/A</v>
      </c>
      <c r="AO656" s="16" t="str">
        <f t="shared" si="98"/>
        <v/>
      </c>
      <c r="AP656" s="16" t="str">
        <f t="shared" si="99"/>
        <v/>
      </c>
      <c r="AQ656" s="16" t="e">
        <f>IF(AP656="",NA(),COUNTIF(AP$176:$AP656,AP656))</f>
        <v>#N/A</v>
      </c>
      <c r="AR656" s="16" t="e">
        <f t="shared" si="100"/>
        <v>#N/A</v>
      </c>
      <c r="BI656" s="621">
        <v>648</v>
      </c>
      <c r="BJ656" s="711"/>
      <c r="BK656" s="712"/>
      <c r="BL656" s="713">
        <v>648</v>
      </c>
      <c r="BM656" s="714"/>
      <c r="BN656" s="239"/>
      <c r="BO656" s="24"/>
      <c r="BQ656" s="621">
        <v>648</v>
      </c>
      <c r="BR656" s="711"/>
      <c r="BS656" s="712"/>
      <c r="BT656" s="713">
        <v>648</v>
      </c>
      <c r="BU656" s="714"/>
      <c r="BV656" s="239"/>
      <c r="BW656" s="24"/>
      <c r="BY656" s="621">
        <v>648</v>
      </c>
      <c r="BZ656" s="711"/>
      <c r="CA656" s="712"/>
      <c r="CB656" s="713">
        <v>648</v>
      </c>
      <c r="CC656" s="714"/>
      <c r="CD656" s="239"/>
      <c r="CE656" s="24"/>
    </row>
    <row r="657" spans="5:83" ht="12" customHeight="1">
      <c r="E657" s="621">
        <v>649</v>
      </c>
      <c r="F657" s="711"/>
      <c r="G657" s="712"/>
      <c r="H657" s="713">
        <v>649</v>
      </c>
      <c r="I657" s="714"/>
      <c r="J657" s="239"/>
      <c r="K657" s="24"/>
      <c r="AI657" s="16" t="e">
        <f t="shared" si="93"/>
        <v>#N/A</v>
      </c>
      <c r="AJ657" s="16" t="str">
        <f t="shared" si="94"/>
        <v/>
      </c>
      <c r="AK657" s="16" t="str">
        <f t="shared" si="95"/>
        <v/>
      </c>
      <c r="AL657" s="16" t="e">
        <f>IF(AK657="",NA(),COUNTIF(AK$176:$AK657,AK657))</f>
        <v>#N/A</v>
      </c>
      <c r="AM657" s="16" t="e">
        <f t="shared" si="96"/>
        <v>#N/A</v>
      </c>
      <c r="AN657" s="16" t="e">
        <f t="shared" si="97"/>
        <v>#N/A</v>
      </c>
      <c r="AO657" s="16" t="str">
        <f t="shared" si="98"/>
        <v/>
      </c>
      <c r="AP657" s="16" t="str">
        <f t="shared" si="99"/>
        <v/>
      </c>
      <c r="AQ657" s="16" t="e">
        <f>IF(AP657="",NA(),COUNTIF(AP$176:$AP657,AP657))</f>
        <v>#N/A</v>
      </c>
      <c r="AR657" s="16" t="e">
        <f t="shared" si="100"/>
        <v>#N/A</v>
      </c>
      <c r="BI657" s="621">
        <v>649</v>
      </c>
      <c r="BJ657" s="711"/>
      <c r="BK657" s="712"/>
      <c r="BL657" s="713">
        <v>649</v>
      </c>
      <c r="BM657" s="714"/>
      <c r="BN657" s="239"/>
      <c r="BO657" s="24"/>
      <c r="BQ657" s="621">
        <v>649</v>
      </c>
      <c r="BR657" s="711"/>
      <c r="BS657" s="712"/>
      <c r="BT657" s="713">
        <v>649</v>
      </c>
      <c r="BU657" s="714"/>
      <c r="BV657" s="239"/>
      <c r="BW657" s="24"/>
      <c r="BY657" s="621">
        <v>649</v>
      </c>
      <c r="BZ657" s="711"/>
      <c r="CA657" s="712"/>
      <c r="CB657" s="713">
        <v>649</v>
      </c>
      <c r="CC657" s="714"/>
      <c r="CD657" s="239"/>
      <c r="CE657" s="24"/>
    </row>
    <row r="658" spans="5:83" ht="12" customHeight="1">
      <c r="E658" s="621">
        <v>650</v>
      </c>
      <c r="F658" s="711"/>
      <c r="G658" s="712"/>
      <c r="H658" s="713">
        <v>650</v>
      </c>
      <c r="I658" s="714"/>
      <c r="J658" s="239"/>
      <c r="K658" s="24"/>
      <c r="AI658" s="16" t="e">
        <f t="shared" si="93"/>
        <v>#N/A</v>
      </c>
      <c r="AJ658" s="16" t="str">
        <f t="shared" si="94"/>
        <v/>
      </c>
      <c r="AK658" s="16" t="str">
        <f t="shared" si="95"/>
        <v/>
      </c>
      <c r="AL658" s="16" t="e">
        <f>IF(AK658="",NA(),COUNTIF(AK$176:$AK658,AK658))</f>
        <v>#N/A</v>
      </c>
      <c r="AM658" s="16" t="e">
        <f t="shared" si="96"/>
        <v>#N/A</v>
      </c>
      <c r="AN658" s="16" t="e">
        <f t="shared" si="97"/>
        <v>#N/A</v>
      </c>
      <c r="AO658" s="16" t="str">
        <f t="shared" si="98"/>
        <v/>
      </c>
      <c r="AP658" s="16" t="str">
        <f t="shared" si="99"/>
        <v/>
      </c>
      <c r="AQ658" s="16" t="e">
        <f>IF(AP658="",NA(),COUNTIF(AP$176:$AP658,AP658))</f>
        <v>#N/A</v>
      </c>
      <c r="AR658" s="16" t="e">
        <f t="shared" si="100"/>
        <v>#N/A</v>
      </c>
      <c r="BI658" s="621">
        <v>650</v>
      </c>
      <c r="BJ658" s="711"/>
      <c r="BK658" s="712"/>
      <c r="BL658" s="713">
        <v>650</v>
      </c>
      <c r="BM658" s="714"/>
      <c r="BN658" s="239"/>
      <c r="BO658" s="24"/>
      <c r="BQ658" s="621">
        <v>650</v>
      </c>
      <c r="BR658" s="711"/>
      <c r="BS658" s="712"/>
      <c r="BT658" s="713">
        <v>650</v>
      </c>
      <c r="BU658" s="714"/>
      <c r="BV658" s="239"/>
      <c r="BW658" s="24"/>
      <c r="BY658" s="621">
        <v>650</v>
      </c>
      <c r="BZ658" s="711"/>
      <c r="CA658" s="712"/>
      <c r="CB658" s="713">
        <v>650</v>
      </c>
      <c r="CC658" s="714"/>
      <c r="CD658" s="239"/>
      <c r="CE658" s="24"/>
    </row>
    <row r="659" spans="5:83" ht="12" customHeight="1">
      <c r="E659" s="621">
        <v>651</v>
      </c>
      <c r="F659" s="711"/>
      <c r="G659" s="712"/>
      <c r="H659" s="713">
        <v>651</v>
      </c>
      <c r="I659" s="714"/>
      <c r="J659" s="239"/>
      <c r="K659" s="24"/>
      <c r="AI659" s="16" t="e">
        <f t="shared" si="93"/>
        <v>#N/A</v>
      </c>
      <c r="AJ659" s="16" t="str">
        <f t="shared" si="94"/>
        <v/>
      </c>
      <c r="AK659" s="16" t="str">
        <f t="shared" si="95"/>
        <v/>
      </c>
      <c r="AL659" s="16" t="e">
        <f>IF(AK659="",NA(),COUNTIF(AK$176:$AK659,AK659))</f>
        <v>#N/A</v>
      </c>
      <c r="AM659" s="16" t="e">
        <f t="shared" si="96"/>
        <v>#N/A</v>
      </c>
      <c r="AN659" s="16" t="e">
        <f t="shared" si="97"/>
        <v>#N/A</v>
      </c>
      <c r="AO659" s="16" t="str">
        <f t="shared" si="98"/>
        <v/>
      </c>
      <c r="AP659" s="16" t="str">
        <f t="shared" si="99"/>
        <v/>
      </c>
      <c r="AQ659" s="16" t="e">
        <f>IF(AP659="",NA(),COUNTIF(AP$176:$AP659,AP659))</f>
        <v>#N/A</v>
      </c>
      <c r="AR659" s="16" t="e">
        <f t="shared" si="100"/>
        <v>#N/A</v>
      </c>
      <c r="BI659" s="621">
        <v>651</v>
      </c>
      <c r="BJ659" s="711"/>
      <c r="BK659" s="712"/>
      <c r="BL659" s="713">
        <v>651</v>
      </c>
      <c r="BM659" s="714"/>
      <c r="BN659" s="239"/>
      <c r="BO659" s="24"/>
      <c r="BQ659" s="621">
        <v>651</v>
      </c>
      <c r="BR659" s="711"/>
      <c r="BS659" s="712"/>
      <c r="BT659" s="713">
        <v>651</v>
      </c>
      <c r="BU659" s="714"/>
      <c r="BV659" s="239"/>
      <c r="BW659" s="24"/>
      <c r="BY659" s="621">
        <v>651</v>
      </c>
      <c r="BZ659" s="711"/>
      <c r="CA659" s="712"/>
      <c r="CB659" s="713">
        <v>651</v>
      </c>
      <c r="CC659" s="714"/>
      <c r="CD659" s="239"/>
      <c r="CE659" s="24"/>
    </row>
    <row r="660" spans="5:83" ht="12" customHeight="1">
      <c r="E660" s="621">
        <v>652</v>
      </c>
      <c r="F660" s="711"/>
      <c r="G660" s="712"/>
      <c r="H660" s="713">
        <v>652</v>
      </c>
      <c r="I660" s="714"/>
      <c r="J660" s="239"/>
      <c r="K660" s="24"/>
      <c r="AI660" s="16" t="e">
        <f t="shared" si="93"/>
        <v>#N/A</v>
      </c>
      <c r="AJ660" s="16" t="str">
        <f t="shared" si="94"/>
        <v/>
      </c>
      <c r="AK660" s="16" t="str">
        <f t="shared" si="95"/>
        <v/>
      </c>
      <c r="AL660" s="16" t="e">
        <f>IF(AK660="",NA(),COUNTIF(AK$176:$AK660,AK660))</f>
        <v>#N/A</v>
      </c>
      <c r="AM660" s="16" t="e">
        <f t="shared" si="96"/>
        <v>#N/A</v>
      </c>
      <c r="AN660" s="16" t="e">
        <f t="shared" si="97"/>
        <v>#N/A</v>
      </c>
      <c r="AO660" s="16" t="str">
        <f t="shared" si="98"/>
        <v/>
      </c>
      <c r="AP660" s="16" t="str">
        <f t="shared" si="99"/>
        <v/>
      </c>
      <c r="AQ660" s="16" t="e">
        <f>IF(AP660="",NA(),COUNTIF(AP$176:$AP660,AP660))</f>
        <v>#N/A</v>
      </c>
      <c r="AR660" s="16" t="e">
        <f t="shared" si="100"/>
        <v>#N/A</v>
      </c>
      <c r="BI660" s="621">
        <v>652</v>
      </c>
      <c r="BJ660" s="711"/>
      <c r="BK660" s="712"/>
      <c r="BL660" s="713">
        <v>652</v>
      </c>
      <c r="BM660" s="714"/>
      <c r="BN660" s="239"/>
      <c r="BO660" s="24"/>
      <c r="BQ660" s="621">
        <v>652</v>
      </c>
      <c r="BR660" s="711"/>
      <c r="BS660" s="712"/>
      <c r="BT660" s="713">
        <v>652</v>
      </c>
      <c r="BU660" s="714"/>
      <c r="BV660" s="239"/>
      <c r="BW660" s="24"/>
      <c r="BY660" s="621">
        <v>652</v>
      </c>
      <c r="BZ660" s="711"/>
      <c r="CA660" s="712"/>
      <c r="CB660" s="713">
        <v>652</v>
      </c>
      <c r="CC660" s="714"/>
      <c r="CD660" s="239"/>
      <c r="CE660" s="24"/>
    </row>
    <row r="661" spans="5:83" ht="12" customHeight="1">
      <c r="E661" s="621">
        <v>653</v>
      </c>
      <c r="F661" s="711"/>
      <c r="G661" s="712"/>
      <c r="H661" s="713">
        <v>653</v>
      </c>
      <c r="I661" s="714"/>
      <c r="J661" s="239"/>
      <c r="K661" s="24"/>
      <c r="AI661" s="16" t="e">
        <f t="shared" si="93"/>
        <v>#N/A</v>
      </c>
      <c r="AJ661" s="16" t="str">
        <f t="shared" si="94"/>
        <v/>
      </c>
      <c r="AK661" s="16" t="str">
        <f t="shared" si="95"/>
        <v/>
      </c>
      <c r="AL661" s="16" t="e">
        <f>IF(AK661="",NA(),COUNTIF(AK$176:$AK661,AK661))</f>
        <v>#N/A</v>
      </c>
      <c r="AM661" s="16" t="e">
        <f t="shared" si="96"/>
        <v>#N/A</v>
      </c>
      <c r="AN661" s="16" t="e">
        <f t="shared" si="97"/>
        <v>#N/A</v>
      </c>
      <c r="AO661" s="16" t="str">
        <f t="shared" si="98"/>
        <v/>
      </c>
      <c r="AP661" s="16" t="str">
        <f t="shared" si="99"/>
        <v/>
      </c>
      <c r="AQ661" s="16" t="e">
        <f>IF(AP661="",NA(),COUNTIF(AP$176:$AP661,AP661))</f>
        <v>#N/A</v>
      </c>
      <c r="AR661" s="16" t="e">
        <f t="shared" si="100"/>
        <v>#N/A</v>
      </c>
      <c r="BI661" s="621">
        <v>653</v>
      </c>
      <c r="BJ661" s="711"/>
      <c r="BK661" s="712"/>
      <c r="BL661" s="713">
        <v>653</v>
      </c>
      <c r="BM661" s="714"/>
      <c r="BN661" s="239"/>
      <c r="BO661" s="24"/>
      <c r="BQ661" s="621">
        <v>653</v>
      </c>
      <c r="BR661" s="711"/>
      <c r="BS661" s="712"/>
      <c r="BT661" s="713">
        <v>653</v>
      </c>
      <c r="BU661" s="714"/>
      <c r="BV661" s="239"/>
      <c r="BW661" s="24"/>
      <c r="BY661" s="621">
        <v>653</v>
      </c>
      <c r="BZ661" s="711"/>
      <c r="CA661" s="712"/>
      <c r="CB661" s="713">
        <v>653</v>
      </c>
      <c r="CC661" s="714"/>
      <c r="CD661" s="239"/>
      <c r="CE661" s="24"/>
    </row>
    <row r="662" spans="5:83" ht="12" customHeight="1">
      <c r="E662" s="621">
        <v>654</v>
      </c>
      <c r="F662" s="711"/>
      <c r="G662" s="712"/>
      <c r="H662" s="713">
        <v>654</v>
      </c>
      <c r="I662" s="714"/>
      <c r="J662" s="239"/>
      <c r="K662" s="24"/>
      <c r="AI662" s="16" t="e">
        <f t="shared" si="93"/>
        <v>#N/A</v>
      </c>
      <c r="AJ662" s="16" t="str">
        <f t="shared" si="94"/>
        <v/>
      </c>
      <c r="AK662" s="16" t="str">
        <f t="shared" si="95"/>
        <v/>
      </c>
      <c r="AL662" s="16" t="e">
        <f>IF(AK662="",NA(),COUNTIF(AK$176:$AK662,AK662))</f>
        <v>#N/A</v>
      </c>
      <c r="AM662" s="16" t="e">
        <f t="shared" si="96"/>
        <v>#N/A</v>
      </c>
      <c r="AN662" s="16" t="e">
        <f t="shared" si="97"/>
        <v>#N/A</v>
      </c>
      <c r="AO662" s="16" t="str">
        <f t="shared" si="98"/>
        <v/>
      </c>
      <c r="AP662" s="16" t="str">
        <f t="shared" si="99"/>
        <v/>
      </c>
      <c r="AQ662" s="16" t="e">
        <f>IF(AP662="",NA(),COUNTIF(AP$176:$AP662,AP662))</f>
        <v>#N/A</v>
      </c>
      <c r="AR662" s="16" t="e">
        <f t="shared" si="100"/>
        <v>#N/A</v>
      </c>
      <c r="BI662" s="621">
        <v>654</v>
      </c>
      <c r="BJ662" s="711"/>
      <c r="BK662" s="712"/>
      <c r="BL662" s="713">
        <v>654</v>
      </c>
      <c r="BM662" s="714"/>
      <c r="BN662" s="239"/>
      <c r="BO662" s="24"/>
      <c r="BQ662" s="621">
        <v>654</v>
      </c>
      <c r="BR662" s="711"/>
      <c r="BS662" s="712"/>
      <c r="BT662" s="713">
        <v>654</v>
      </c>
      <c r="BU662" s="714"/>
      <c r="BV662" s="239"/>
      <c r="BW662" s="24"/>
      <c r="BY662" s="621">
        <v>654</v>
      </c>
      <c r="BZ662" s="711"/>
      <c r="CA662" s="712"/>
      <c r="CB662" s="713">
        <v>654</v>
      </c>
      <c r="CC662" s="714"/>
      <c r="CD662" s="239"/>
      <c r="CE662" s="24"/>
    </row>
    <row r="663" spans="5:83" ht="12" customHeight="1">
      <c r="E663" s="621">
        <v>655</v>
      </c>
      <c r="F663" s="711"/>
      <c r="G663" s="712"/>
      <c r="H663" s="713">
        <v>655</v>
      </c>
      <c r="I663" s="714"/>
      <c r="J663" s="239"/>
      <c r="K663" s="24"/>
      <c r="AI663" s="16" t="e">
        <f t="shared" si="93"/>
        <v>#N/A</v>
      </c>
      <c r="AJ663" s="16" t="str">
        <f t="shared" si="94"/>
        <v/>
      </c>
      <c r="AK663" s="16" t="str">
        <f t="shared" si="95"/>
        <v/>
      </c>
      <c r="AL663" s="16" t="e">
        <f>IF(AK663="",NA(),COUNTIF(AK$176:$AK663,AK663))</f>
        <v>#N/A</v>
      </c>
      <c r="AM663" s="16" t="e">
        <f t="shared" si="96"/>
        <v>#N/A</v>
      </c>
      <c r="AN663" s="16" t="e">
        <f t="shared" si="97"/>
        <v>#N/A</v>
      </c>
      <c r="AO663" s="16" t="str">
        <f t="shared" si="98"/>
        <v/>
      </c>
      <c r="AP663" s="16" t="str">
        <f t="shared" si="99"/>
        <v/>
      </c>
      <c r="AQ663" s="16" t="e">
        <f>IF(AP663="",NA(),COUNTIF(AP$176:$AP663,AP663))</f>
        <v>#N/A</v>
      </c>
      <c r="AR663" s="16" t="e">
        <f t="shared" si="100"/>
        <v>#N/A</v>
      </c>
      <c r="BI663" s="621">
        <v>655</v>
      </c>
      <c r="BJ663" s="711"/>
      <c r="BK663" s="712"/>
      <c r="BL663" s="713">
        <v>655</v>
      </c>
      <c r="BM663" s="714"/>
      <c r="BN663" s="239"/>
      <c r="BO663" s="24"/>
      <c r="BQ663" s="621">
        <v>655</v>
      </c>
      <c r="BR663" s="711"/>
      <c r="BS663" s="712"/>
      <c r="BT663" s="713">
        <v>655</v>
      </c>
      <c r="BU663" s="714"/>
      <c r="BV663" s="239"/>
      <c r="BW663" s="24"/>
      <c r="BY663" s="621">
        <v>655</v>
      </c>
      <c r="BZ663" s="711"/>
      <c r="CA663" s="712"/>
      <c r="CB663" s="713">
        <v>655</v>
      </c>
      <c r="CC663" s="714"/>
      <c r="CD663" s="239"/>
      <c r="CE663" s="24"/>
    </row>
    <row r="664" spans="5:83" ht="12" customHeight="1">
      <c r="E664" s="621">
        <v>656</v>
      </c>
      <c r="F664" s="711"/>
      <c r="G664" s="712"/>
      <c r="H664" s="713">
        <v>656</v>
      </c>
      <c r="I664" s="714"/>
      <c r="J664" s="239"/>
      <c r="K664" s="24"/>
      <c r="AI664" s="16" t="e">
        <f t="shared" si="93"/>
        <v>#N/A</v>
      </c>
      <c r="AJ664" s="16" t="str">
        <f t="shared" si="94"/>
        <v/>
      </c>
      <c r="AK664" s="16" t="str">
        <f t="shared" si="95"/>
        <v/>
      </c>
      <c r="AL664" s="16" t="e">
        <f>IF(AK664="",NA(),COUNTIF(AK$176:$AK664,AK664))</f>
        <v>#N/A</v>
      </c>
      <c r="AM664" s="16" t="e">
        <f t="shared" si="96"/>
        <v>#N/A</v>
      </c>
      <c r="AN664" s="16" t="e">
        <f t="shared" si="97"/>
        <v>#N/A</v>
      </c>
      <c r="AO664" s="16" t="str">
        <f t="shared" si="98"/>
        <v/>
      </c>
      <c r="AP664" s="16" t="str">
        <f t="shared" si="99"/>
        <v/>
      </c>
      <c r="AQ664" s="16" t="e">
        <f>IF(AP664="",NA(),COUNTIF(AP$176:$AP664,AP664))</f>
        <v>#N/A</v>
      </c>
      <c r="AR664" s="16" t="e">
        <f t="shared" si="100"/>
        <v>#N/A</v>
      </c>
      <c r="BI664" s="621">
        <v>656</v>
      </c>
      <c r="BJ664" s="711"/>
      <c r="BK664" s="712"/>
      <c r="BL664" s="713">
        <v>656</v>
      </c>
      <c r="BM664" s="714"/>
      <c r="BN664" s="239"/>
      <c r="BO664" s="24"/>
      <c r="BQ664" s="621">
        <v>656</v>
      </c>
      <c r="BR664" s="711"/>
      <c r="BS664" s="712"/>
      <c r="BT664" s="713">
        <v>656</v>
      </c>
      <c r="BU664" s="714"/>
      <c r="BV664" s="239"/>
      <c r="BW664" s="24"/>
      <c r="BY664" s="621">
        <v>656</v>
      </c>
      <c r="BZ664" s="711"/>
      <c r="CA664" s="712"/>
      <c r="CB664" s="713">
        <v>656</v>
      </c>
      <c r="CC664" s="714"/>
      <c r="CD664" s="239"/>
      <c r="CE664" s="24"/>
    </row>
    <row r="665" spans="5:83" ht="12" customHeight="1">
      <c r="E665" s="621">
        <v>657</v>
      </c>
      <c r="F665" s="711"/>
      <c r="G665" s="712"/>
      <c r="H665" s="713">
        <v>657</v>
      </c>
      <c r="I665" s="714"/>
      <c r="J665" s="239"/>
      <c r="K665" s="24"/>
      <c r="AI665" s="16" t="e">
        <f t="shared" si="93"/>
        <v>#N/A</v>
      </c>
      <c r="AJ665" s="16" t="str">
        <f t="shared" si="94"/>
        <v/>
      </c>
      <c r="AK665" s="16" t="str">
        <f t="shared" si="95"/>
        <v/>
      </c>
      <c r="AL665" s="16" t="e">
        <f>IF(AK665="",NA(),COUNTIF(AK$176:$AK665,AK665))</f>
        <v>#N/A</v>
      </c>
      <c r="AM665" s="16" t="e">
        <f t="shared" si="96"/>
        <v>#N/A</v>
      </c>
      <c r="AN665" s="16" t="e">
        <f t="shared" si="97"/>
        <v>#N/A</v>
      </c>
      <c r="AO665" s="16" t="str">
        <f t="shared" si="98"/>
        <v/>
      </c>
      <c r="AP665" s="16" t="str">
        <f t="shared" si="99"/>
        <v/>
      </c>
      <c r="AQ665" s="16" t="e">
        <f>IF(AP665="",NA(),COUNTIF(AP$176:$AP665,AP665))</f>
        <v>#N/A</v>
      </c>
      <c r="AR665" s="16" t="e">
        <f t="shared" si="100"/>
        <v>#N/A</v>
      </c>
      <c r="BI665" s="621">
        <v>657</v>
      </c>
      <c r="BJ665" s="711"/>
      <c r="BK665" s="712"/>
      <c r="BL665" s="713">
        <v>657</v>
      </c>
      <c r="BM665" s="714"/>
      <c r="BN665" s="239"/>
      <c r="BO665" s="24"/>
      <c r="BQ665" s="621">
        <v>657</v>
      </c>
      <c r="BR665" s="711"/>
      <c r="BS665" s="712"/>
      <c r="BT665" s="713">
        <v>657</v>
      </c>
      <c r="BU665" s="714"/>
      <c r="BV665" s="239"/>
      <c r="BW665" s="24"/>
      <c r="BY665" s="621">
        <v>657</v>
      </c>
      <c r="BZ665" s="711"/>
      <c r="CA665" s="712"/>
      <c r="CB665" s="713">
        <v>657</v>
      </c>
      <c r="CC665" s="714"/>
      <c r="CD665" s="239"/>
      <c r="CE665" s="24"/>
    </row>
    <row r="666" spans="5:83" ht="12" customHeight="1">
      <c r="E666" s="621">
        <v>658</v>
      </c>
      <c r="F666" s="711"/>
      <c r="G666" s="712"/>
      <c r="H666" s="713">
        <v>658</v>
      </c>
      <c r="I666" s="714"/>
      <c r="J666" s="239"/>
      <c r="K666" s="24"/>
      <c r="AI666" s="16" t="e">
        <f t="shared" si="93"/>
        <v>#N/A</v>
      </c>
      <c r="AJ666" s="16" t="str">
        <f t="shared" si="94"/>
        <v/>
      </c>
      <c r="AK666" s="16" t="str">
        <f t="shared" si="95"/>
        <v/>
      </c>
      <c r="AL666" s="16" t="e">
        <f>IF(AK666="",NA(),COUNTIF(AK$176:$AK666,AK666))</f>
        <v>#N/A</v>
      </c>
      <c r="AM666" s="16" t="e">
        <f t="shared" si="96"/>
        <v>#N/A</v>
      </c>
      <c r="AN666" s="16" t="e">
        <f t="shared" si="97"/>
        <v>#N/A</v>
      </c>
      <c r="AO666" s="16" t="str">
        <f t="shared" si="98"/>
        <v/>
      </c>
      <c r="AP666" s="16" t="str">
        <f t="shared" si="99"/>
        <v/>
      </c>
      <c r="AQ666" s="16" t="e">
        <f>IF(AP666="",NA(),COUNTIF(AP$176:$AP666,AP666))</f>
        <v>#N/A</v>
      </c>
      <c r="AR666" s="16" t="e">
        <f t="shared" si="100"/>
        <v>#N/A</v>
      </c>
      <c r="BI666" s="621">
        <v>658</v>
      </c>
      <c r="BJ666" s="711"/>
      <c r="BK666" s="712"/>
      <c r="BL666" s="713">
        <v>658</v>
      </c>
      <c r="BM666" s="714"/>
      <c r="BN666" s="239"/>
      <c r="BO666" s="24"/>
      <c r="BQ666" s="621">
        <v>658</v>
      </c>
      <c r="BR666" s="711"/>
      <c r="BS666" s="712"/>
      <c r="BT666" s="713">
        <v>658</v>
      </c>
      <c r="BU666" s="714"/>
      <c r="BV666" s="239"/>
      <c r="BW666" s="24"/>
      <c r="BY666" s="621">
        <v>658</v>
      </c>
      <c r="BZ666" s="711"/>
      <c r="CA666" s="712"/>
      <c r="CB666" s="713">
        <v>658</v>
      </c>
      <c r="CC666" s="714"/>
      <c r="CD666" s="239"/>
      <c r="CE666" s="24"/>
    </row>
    <row r="667" spans="5:83" ht="12" customHeight="1">
      <c r="E667" s="621">
        <v>659</v>
      </c>
      <c r="F667" s="711"/>
      <c r="G667" s="712"/>
      <c r="H667" s="713">
        <v>659</v>
      </c>
      <c r="I667" s="714"/>
      <c r="J667" s="239"/>
      <c r="K667" s="24"/>
      <c r="AI667" s="16" t="e">
        <f t="shared" si="93"/>
        <v>#N/A</v>
      </c>
      <c r="AJ667" s="16" t="str">
        <f t="shared" si="94"/>
        <v/>
      </c>
      <c r="AK667" s="16" t="str">
        <f t="shared" si="95"/>
        <v/>
      </c>
      <c r="AL667" s="16" t="e">
        <f>IF(AK667="",NA(),COUNTIF(AK$176:$AK667,AK667))</f>
        <v>#N/A</v>
      </c>
      <c r="AM667" s="16" t="e">
        <f t="shared" si="96"/>
        <v>#N/A</v>
      </c>
      <c r="AN667" s="16" t="e">
        <f t="shared" si="97"/>
        <v>#N/A</v>
      </c>
      <c r="AO667" s="16" t="str">
        <f t="shared" si="98"/>
        <v/>
      </c>
      <c r="AP667" s="16" t="str">
        <f t="shared" si="99"/>
        <v/>
      </c>
      <c r="AQ667" s="16" t="e">
        <f>IF(AP667="",NA(),COUNTIF(AP$176:$AP667,AP667))</f>
        <v>#N/A</v>
      </c>
      <c r="AR667" s="16" t="e">
        <f t="shared" si="100"/>
        <v>#N/A</v>
      </c>
      <c r="BI667" s="621">
        <v>659</v>
      </c>
      <c r="BJ667" s="711"/>
      <c r="BK667" s="712"/>
      <c r="BL667" s="713">
        <v>659</v>
      </c>
      <c r="BM667" s="714"/>
      <c r="BN667" s="239"/>
      <c r="BO667" s="24"/>
      <c r="BQ667" s="621">
        <v>659</v>
      </c>
      <c r="BR667" s="711"/>
      <c r="BS667" s="712"/>
      <c r="BT667" s="713">
        <v>659</v>
      </c>
      <c r="BU667" s="714"/>
      <c r="BV667" s="239"/>
      <c r="BW667" s="24"/>
      <c r="BY667" s="621">
        <v>659</v>
      </c>
      <c r="BZ667" s="711"/>
      <c r="CA667" s="712"/>
      <c r="CB667" s="713">
        <v>659</v>
      </c>
      <c r="CC667" s="714"/>
      <c r="CD667" s="239"/>
      <c r="CE667" s="24"/>
    </row>
    <row r="668" spans="5:83" ht="12" customHeight="1">
      <c r="E668" s="621">
        <v>660</v>
      </c>
      <c r="F668" s="711"/>
      <c r="G668" s="712"/>
      <c r="H668" s="713">
        <v>660</v>
      </c>
      <c r="I668" s="714"/>
      <c r="J668" s="239"/>
      <c r="K668" s="24"/>
      <c r="AI668" s="16" t="e">
        <f t="shared" si="93"/>
        <v>#N/A</v>
      </c>
      <c r="AJ668" s="16" t="str">
        <f t="shared" si="94"/>
        <v/>
      </c>
      <c r="AK668" s="16" t="str">
        <f t="shared" si="95"/>
        <v/>
      </c>
      <c r="AL668" s="16" t="e">
        <f>IF(AK668="",NA(),COUNTIF(AK$176:$AK668,AK668))</f>
        <v>#N/A</v>
      </c>
      <c r="AM668" s="16" t="e">
        <f t="shared" si="96"/>
        <v>#N/A</v>
      </c>
      <c r="AN668" s="16" t="e">
        <f t="shared" si="97"/>
        <v>#N/A</v>
      </c>
      <c r="AO668" s="16" t="str">
        <f t="shared" si="98"/>
        <v/>
      </c>
      <c r="AP668" s="16" t="str">
        <f t="shared" si="99"/>
        <v/>
      </c>
      <c r="AQ668" s="16" t="e">
        <f>IF(AP668="",NA(),COUNTIF(AP$176:$AP668,AP668))</f>
        <v>#N/A</v>
      </c>
      <c r="AR668" s="16" t="e">
        <f t="shared" si="100"/>
        <v>#N/A</v>
      </c>
      <c r="BI668" s="621">
        <v>660</v>
      </c>
      <c r="BJ668" s="711"/>
      <c r="BK668" s="712"/>
      <c r="BL668" s="713">
        <v>660</v>
      </c>
      <c r="BM668" s="714"/>
      <c r="BN668" s="239"/>
      <c r="BO668" s="24"/>
      <c r="BQ668" s="621">
        <v>660</v>
      </c>
      <c r="BR668" s="711"/>
      <c r="BS668" s="712"/>
      <c r="BT668" s="713">
        <v>660</v>
      </c>
      <c r="BU668" s="714"/>
      <c r="BV668" s="239"/>
      <c r="BW668" s="24"/>
      <c r="BY668" s="621">
        <v>660</v>
      </c>
      <c r="BZ668" s="711"/>
      <c r="CA668" s="712"/>
      <c r="CB668" s="713">
        <v>660</v>
      </c>
      <c r="CC668" s="714"/>
      <c r="CD668" s="239"/>
      <c r="CE668" s="24"/>
    </row>
    <row r="669" spans="5:83" ht="12" customHeight="1">
      <c r="E669" s="621">
        <v>661</v>
      </c>
      <c r="F669" s="711"/>
      <c r="G669" s="712"/>
      <c r="H669" s="713">
        <v>661</v>
      </c>
      <c r="I669" s="714"/>
      <c r="J669" s="239"/>
      <c r="K669" s="24"/>
      <c r="AI669" s="16" t="e">
        <f t="shared" si="93"/>
        <v>#N/A</v>
      </c>
      <c r="AJ669" s="16" t="str">
        <f t="shared" si="94"/>
        <v/>
      </c>
      <c r="AK669" s="16" t="str">
        <f t="shared" si="95"/>
        <v/>
      </c>
      <c r="AL669" s="16" t="e">
        <f>IF(AK669="",NA(),COUNTIF(AK$176:$AK669,AK669))</f>
        <v>#N/A</v>
      </c>
      <c r="AM669" s="16" t="e">
        <f t="shared" si="96"/>
        <v>#N/A</v>
      </c>
      <c r="AN669" s="16" t="e">
        <f t="shared" si="97"/>
        <v>#N/A</v>
      </c>
      <c r="AO669" s="16" t="str">
        <f t="shared" si="98"/>
        <v/>
      </c>
      <c r="AP669" s="16" t="str">
        <f t="shared" si="99"/>
        <v/>
      </c>
      <c r="AQ669" s="16" t="e">
        <f>IF(AP669="",NA(),COUNTIF(AP$176:$AP669,AP669))</f>
        <v>#N/A</v>
      </c>
      <c r="AR669" s="16" t="e">
        <f t="shared" si="100"/>
        <v>#N/A</v>
      </c>
      <c r="BI669" s="621">
        <v>661</v>
      </c>
      <c r="BJ669" s="711"/>
      <c r="BK669" s="712"/>
      <c r="BL669" s="713">
        <v>661</v>
      </c>
      <c r="BM669" s="714"/>
      <c r="BN669" s="239"/>
      <c r="BO669" s="24"/>
      <c r="BQ669" s="621">
        <v>661</v>
      </c>
      <c r="BR669" s="711"/>
      <c r="BS669" s="712"/>
      <c r="BT669" s="713">
        <v>661</v>
      </c>
      <c r="BU669" s="714"/>
      <c r="BV669" s="239"/>
      <c r="BW669" s="24"/>
      <c r="BY669" s="621">
        <v>661</v>
      </c>
      <c r="BZ669" s="711"/>
      <c r="CA669" s="712"/>
      <c r="CB669" s="713">
        <v>661</v>
      </c>
      <c r="CC669" s="714"/>
      <c r="CD669" s="239"/>
      <c r="CE669" s="24"/>
    </row>
    <row r="670" spans="5:83" ht="12" customHeight="1">
      <c r="E670" s="621">
        <v>662</v>
      </c>
      <c r="F670" s="711"/>
      <c r="G670" s="712"/>
      <c r="H670" s="713">
        <v>662</v>
      </c>
      <c r="I670" s="714"/>
      <c r="J670" s="239"/>
      <c r="K670" s="24"/>
      <c r="AI670" s="16" t="e">
        <f t="shared" si="93"/>
        <v>#N/A</v>
      </c>
      <c r="AJ670" s="16" t="str">
        <f t="shared" si="94"/>
        <v/>
      </c>
      <c r="AK670" s="16" t="str">
        <f t="shared" si="95"/>
        <v/>
      </c>
      <c r="AL670" s="16" t="e">
        <f>IF(AK670="",NA(),COUNTIF(AK$176:$AK670,AK670))</f>
        <v>#N/A</v>
      </c>
      <c r="AM670" s="16" t="e">
        <f t="shared" si="96"/>
        <v>#N/A</v>
      </c>
      <c r="AN670" s="16" t="e">
        <f t="shared" si="97"/>
        <v>#N/A</v>
      </c>
      <c r="AO670" s="16" t="str">
        <f t="shared" si="98"/>
        <v/>
      </c>
      <c r="AP670" s="16" t="str">
        <f t="shared" si="99"/>
        <v/>
      </c>
      <c r="AQ670" s="16" t="e">
        <f>IF(AP670="",NA(),COUNTIF(AP$176:$AP670,AP670))</f>
        <v>#N/A</v>
      </c>
      <c r="AR670" s="16" t="e">
        <f t="shared" si="100"/>
        <v>#N/A</v>
      </c>
      <c r="BI670" s="621">
        <v>662</v>
      </c>
      <c r="BJ670" s="711"/>
      <c r="BK670" s="712"/>
      <c r="BL670" s="713">
        <v>662</v>
      </c>
      <c r="BM670" s="714"/>
      <c r="BN670" s="239"/>
      <c r="BO670" s="24"/>
      <c r="BQ670" s="621">
        <v>662</v>
      </c>
      <c r="BR670" s="711"/>
      <c r="BS670" s="712"/>
      <c r="BT670" s="713">
        <v>662</v>
      </c>
      <c r="BU670" s="714"/>
      <c r="BV670" s="239"/>
      <c r="BW670" s="24"/>
      <c r="BY670" s="621">
        <v>662</v>
      </c>
      <c r="BZ670" s="711"/>
      <c r="CA670" s="712"/>
      <c r="CB670" s="713">
        <v>662</v>
      </c>
      <c r="CC670" s="714"/>
      <c r="CD670" s="239"/>
      <c r="CE670" s="24"/>
    </row>
    <row r="671" spans="5:83" ht="12" customHeight="1">
      <c r="E671" s="621">
        <v>663</v>
      </c>
      <c r="F671" s="711"/>
      <c r="G671" s="712"/>
      <c r="H671" s="713">
        <v>663</v>
      </c>
      <c r="I671" s="714"/>
      <c r="J671" s="239"/>
      <c r="K671" s="24"/>
      <c r="AI671" s="16" t="e">
        <f t="shared" si="93"/>
        <v>#N/A</v>
      </c>
      <c r="AJ671" s="16" t="str">
        <f t="shared" si="94"/>
        <v/>
      </c>
      <c r="AK671" s="16" t="str">
        <f t="shared" si="95"/>
        <v/>
      </c>
      <c r="AL671" s="16" t="e">
        <f>IF(AK671="",NA(),COUNTIF(AK$176:$AK671,AK671))</f>
        <v>#N/A</v>
      </c>
      <c r="AM671" s="16" t="e">
        <f t="shared" si="96"/>
        <v>#N/A</v>
      </c>
      <c r="AN671" s="16" t="e">
        <f t="shared" si="97"/>
        <v>#N/A</v>
      </c>
      <c r="AO671" s="16" t="str">
        <f t="shared" si="98"/>
        <v/>
      </c>
      <c r="AP671" s="16" t="str">
        <f t="shared" si="99"/>
        <v/>
      </c>
      <c r="AQ671" s="16" t="e">
        <f>IF(AP671="",NA(),COUNTIF(AP$176:$AP671,AP671))</f>
        <v>#N/A</v>
      </c>
      <c r="AR671" s="16" t="e">
        <f t="shared" si="100"/>
        <v>#N/A</v>
      </c>
      <c r="BI671" s="621">
        <v>663</v>
      </c>
      <c r="BJ671" s="711"/>
      <c r="BK671" s="712"/>
      <c r="BL671" s="713">
        <v>663</v>
      </c>
      <c r="BM671" s="714"/>
      <c r="BN671" s="239"/>
      <c r="BO671" s="24"/>
      <c r="BQ671" s="621">
        <v>663</v>
      </c>
      <c r="BR671" s="711"/>
      <c r="BS671" s="712"/>
      <c r="BT671" s="713">
        <v>663</v>
      </c>
      <c r="BU671" s="714"/>
      <c r="BV671" s="239"/>
      <c r="BW671" s="24"/>
      <c r="BY671" s="621">
        <v>663</v>
      </c>
      <c r="BZ671" s="711"/>
      <c r="CA671" s="712"/>
      <c r="CB671" s="713">
        <v>663</v>
      </c>
      <c r="CC671" s="714"/>
      <c r="CD671" s="239"/>
      <c r="CE671" s="24"/>
    </row>
    <row r="672" spans="5:83" ht="12" customHeight="1">
      <c r="E672" s="621">
        <v>664</v>
      </c>
      <c r="F672" s="711"/>
      <c r="G672" s="712"/>
      <c r="H672" s="713">
        <v>664</v>
      </c>
      <c r="I672" s="714"/>
      <c r="J672" s="239"/>
      <c r="K672" s="24"/>
      <c r="AI672" s="16" t="e">
        <f t="shared" si="93"/>
        <v>#N/A</v>
      </c>
      <c r="AJ672" s="16" t="str">
        <f t="shared" si="94"/>
        <v/>
      </c>
      <c r="AK672" s="16" t="str">
        <f t="shared" si="95"/>
        <v/>
      </c>
      <c r="AL672" s="16" t="e">
        <f>IF(AK672="",NA(),COUNTIF(AK$176:$AK672,AK672))</f>
        <v>#N/A</v>
      </c>
      <c r="AM672" s="16" t="e">
        <f t="shared" si="96"/>
        <v>#N/A</v>
      </c>
      <c r="AN672" s="16" t="e">
        <f t="shared" si="97"/>
        <v>#N/A</v>
      </c>
      <c r="AO672" s="16" t="str">
        <f t="shared" si="98"/>
        <v/>
      </c>
      <c r="AP672" s="16" t="str">
        <f t="shared" si="99"/>
        <v/>
      </c>
      <c r="AQ672" s="16" t="e">
        <f>IF(AP672="",NA(),COUNTIF(AP$176:$AP672,AP672))</f>
        <v>#N/A</v>
      </c>
      <c r="AR672" s="16" t="e">
        <f t="shared" si="100"/>
        <v>#N/A</v>
      </c>
      <c r="BI672" s="621">
        <v>664</v>
      </c>
      <c r="BJ672" s="711"/>
      <c r="BK672" s="712"/>
      <c r="BL672" s="713">
        <v>664</v>
      </c>
      <c r="BM672" s="714"/>
      <c r="BN672" s="239"/>
      <c r="BO672" s="24"/>
      <c r="BQ672" s="621">
        <v>664</v>
      </c>
      <c r="BR672" s="711"/>
      <c r="BS672" s="712"/>
      <c r="BT672" s="713">
        <v>664</v>
      </c>
      <c r="BU672" s="714"/>
      <c r="BV672" s="239"/>
      <c r="BW672" s="24"/>
      <c r="BY672" s="621">
        <v>664</v>
      </c>
      <c r="BZ672" s="711"/>
      <c r="CA672" s="712"/>
      <c r="CB672" s="713">
        <v>664</v>
      </c>
      <c r="CC672" s="714"/>
      <c r="CD672" s="239"/>
      <c r="CE672" s="24"/>
    </row>
    <row r="673" spans="5:83" ht="12" customHeight="1">
      <c r="E673" s="621">
        <v>665</v>
      </c>
      <c r="F673" s="711"/>
      <c r="G673" s="712"/>
      <c r="H673" s="713">
        <v>665</v>
      </c>
      <c r="I673" s="714"/>
      <c r="J673" s="239"/>
      <c r="K673" s="24"/>
      <c r="AI673" s="16" t="e">
        <f t="shared" si="93"/>
        <v>#N/A</v>
      </c>
      <c r="AJ673" s="16" t="str">
        <f t="shared" si="94"/>
        <v/>
      </c>
      <c r="AK673" s="16" t="str">
        <f t="shared" si="95"/>
        <v/>
      </c>
      <c r="AL673" s="16" t="e">
        <f>IF(AK673="",NA(),COUNTIF(AK$176:$AK673,AK673))</f>
        <v>#N/A</v>
      </c>
      <c r="AM673" s="16" t="e">
        <f t="shared" si="96"/>
        <v>#N/A</v>
      </c>
      <c r="AN673" s="16" t="e">
        <f t="shared" si="97"/>
        <v>#N/A</v>
      </c>
      <c r="AO673" s="16" t="str">
        <f t="shared" si="98"/>
        <v/>
      </c>
      <c r="AP673" s="16" t="str">
        <f t="shared" si="99"/>
        <v/>
      </c>
      <c r="AQ673" s="16" t="e">
        <f>IF(AP673="",NA(),COUNTIF(AP$176:$AP673,AP673))</f>
        <v>#N/A</v>
      </c>
      <c r="AR673" s="16" t="e">
        <f t="shared" si="100"/>
        <v>#N/A</v>
      </c>
      <c r="BI673" s="621">
        <v>665</v>
      </c>
      <c r="BJ673" s="711"/>
      <c r="BK673" s="712"/>
      <c r="BL673" s="713">
        <v>665</v>
      </c>
      <c r="BM673" s="714"/>
      <c r="BN673" s="239"/>
      <c r="BO673" s="24"/>
      <c r="BQ673" s="621">
        <v>665</v>
      </c>
      <c r="BR673" s="711"/>
      <c r="BS673" s="712"/>
      <c r="BT673" s="713">
        <v>665</v>
      </c>
      <c r="BU673" s="714"/>
      <c r="BV673" s="239"/>
      <c r="BW673" s="24"/>
      <c r="BY673" s="621">
        <v>665</v>
      </c>
      <c r="BZ673" s="711"/>
      <c r="CA673" s="712"/>
      <c r="CB673" s="713">
        <v>665</v>
      </c>
      <c r="CC673" s="714"/>
      <c r="CD673" s="239"/>
      <c r="CE673" s="24"/>
    </row>
    <row r="674" spans="5:83" ht="12" customHeight="1">
      <c r="E674" s="621">
        <v>666</v>
      </c>
      <c r="F674" s="711"/>
      <c r="G674" s="712"/>
      <c r="H674" s="713">
        <v>666</v>
      </c>
      <c r="I674" s="714"/>
      <c r="J674" s="239"/>
      <c r="K674" s="24"/>
      <c r="AI674" s="16" t="e">
        <f t="shared" si="93"/>
        <v>#N/A</v>
      </c>
      <c r="AJ674" s="16" t="str">
        <f t="shared" si="94"/>
        <v/>
      </c>
      <c r="AK674" s="16" t="str">
        <f t="shared" si="95"/>
        <v/>
      </c>
      <c r="AL674" s="16" t="e">
        <f>IF(AK674="",NA(),COUNTIF(AK$176:$AK674,AK674))</f>
        <v>#N/A</v>
      </c>
      <c r="AM674" s="16" t="e">
        <f t="shared" si="96"/>
        <v>#N/A</v>
      </c>
      <c r="AN674" s="16" t="e">
        <f t="shared" si="97"/>
        <v>#N/A</v>
      </c>
      <c r="AO674" s="16" t="str">
        <f t="shared" si="98"/>
        <v/>
      </c>
      <c r="AP674" s="16" t="str">
        <f t="shared" si="99"/>
        <v/>
      </c>
      <c r="AQ674" s="16" t="e">
        <f>IF(AP674="",NA(),COUNTIF(AP$176:$AP674,AP674))</f>
        <v>#N/A</v>
      </c>
      <c r="AR674" s="16" t="e">
        <f t="shared" si="100"/>
        <v>#N/A</v>
      </c>
      <c r="BI674" s="621">
        <v>666</v>
      </c>
      <c r="BJ674" s="711"/>
      <c r="BK674" s="712"/>
      <c r="BL674" s="713">
        <v>666</v>
      </c>
      <c r="BM674" s="714"/>
      <c r="BN674" s="239"/>
      <c r="BO674" s="24"/>
      <c r="BQ674" s="621">
        <v>666</v>
      </c>
      <c r="BR674" s="711"/>
      <c r="BS674" s="712"/>
      <c r="BT674" s="713">
        <v>666</v>
      </c>
      <c r="BU674" s="714"/>
      <c r="BV674" s="239"/>
      <c r="BW674" s="24"/>
      <c r="BY674" s="621">
        <v>666</v>
      </c>
      <c r="BZ674" s="711"/>
      <c r="CA674" s="712"/>
      <c r="CB674" s="713">
        <v>666</v>
      </c>
      <c r="CC674" s="714"/>
      <c r="CD674" s="239"/>
      <c r="CE674" s="24"/>
    </row>
    <row r="675" spans="5:83" ht="12" customHeight="1">
      <c r="E675" s="621">
        <v>667</v>
      </c>
      <c r="F675" s="711"/>
      <c r="G675" s="712"/>
      <c r="H675" s="713">
        <v>667</v>
      </c>
      <c r="I675" s="714"/>
      <c r="J675" s="239"/>
      <c r="K675" s="24"/>
      <c r="AI675" s="16" t="e">
        <f t="shared" si="93"/>
        <v>#N/A</v>
      </c>
      <c r="AJ675" s="16" t="str">
        <f t="shared" si="94"/>
        <v/>
      </c>
      <c r="AK675" s="16" t="str">
        <f t="shared" si="95"/>
        <v/>
      </c>
      <c r="AL675" s="16" t="e">
        <f>IF(AK675="",NA(),COUNTIF(AK$176:$AK675,AK675))</f>
        <v>#N/A</v>
      </c>
      <c r="AM675" s="16" t="e">
        <f t="shared" si="96"/>
        <v>#N/A</v>
      </c>
      <c r="AN675" s="16" t="e">
        <f t="shared" si="97"/>
        <v>#N/A</v>
      </c>
      <c r="AO675" s="16" t="str">
        <f t="shared" si="98"/>
        <v/>
      </c>
      <c r="AP675" s="16" t="str">
        <f t="shared" si="99"/>
        <v/>
      </c>
      <c r="AQ675" s="16" t="e">
        <f>IF(AP675="",NA(),COUNTIF(AP$176:$AP675,AP675))</f>
        <v>#N/A</v>
      </c>
      <c r="AR675" s="16" t="e">
        <f t="shared" si="100"/>
        <v>#N/A</v>
      </c>
      <c r="BI675" s="621">
        <v>667</v>
      </c>
      <c r="BJ675" s="711"/>
      <c r="BK675" s="712"/>
      <c r="BL675" s="713">
        <v>667</v>
      </c>
      <c r="BM675" s="714"/>
      <c r="BN675" s="239"/>
      <c r="BO675" s="24"/>
      <c r="BQ675" s="621">
        <v>667</v>
      </c>
      <c r="BR675" s="711"/>
      <c r="BS675" s="712"/>
      <c r="BT675" s="713">
        <v>667</v>
      </c>
      <c r="BU675" s="714"/>
      <c r="BV675" s="239"/>
      <c r="BW675" s="24"/>
      <c r="BY675" s="621">
        <v>667</v>
      </c>
      <c r="BZ675" s="711"/>
      <c r="CA675" s="712"/>
      <c r="CB675" s="713">
        <v>667</v>
      </c>
      <c r="CC675" s="714"/>
      <c r="CD675" s="239"/>
      <c r="CE675" s="24"/>
    </row>
    <row r="676" spans="5:83" ht="12" customHeight="1">
      <c r="E676" s="621">
        <v>668</v>
      </c>
      <c r="F676" s="711"/>
      <c r="G676" s="712"/>
      <c r="H676" s="713">
        <v>668</v>
      </c>
      <c r="I676" s="714"/>
      <c r="J676" s="239"/>
      <c r="K676" s="24"/>
      <c r="AI676" s="16" t="e">
        <f t="shared" si="93"/>
        <v>#N/A</v>
      </c>
      <c r="AJ676" s="16" t="str">
        <f t="shared" si="94"/>
        <v/>
      </c>
      <c r="AK676" s="16" t="str">
        <f t="shared" si="95"/>
        <v/>
      </c>
      <c r="AL676" s="16" t="e">
        <f>IF(AK676="",NA(),COUNTIF(AK$176:$AK676,AK676))</f>
        <v>#N/A</v>
      </c>
      <c r="AM676" s="16" t="e">
        <f t="shared" si="96"/>
        <v>#N/A</v>
      </c>
      <c r="AN676" s="16" t="e">
        <f t="shared" si="97"/>
        <v>#N/A</v>
      </c>
      <c r="AO676" s="16" t="str">
        <f t="shared" si="98"/>
        <v/>
      </c>
      <c r="AP676" s="16" t="str">
        <f t="shared" si="99"/>
        <v/>
      </c>
      <c r="AQ676" s="16" t="e">
        <f>IF(AP676="",NA(),COUNTIF(AP$176:$AP676,AP676))</f>
        <v>#N/A</v>
      </c>
      <c r="AR676" s="16" t="e">
        <f t="shared" si="100"/>
        <v>#N/A</v>
      </c>
      <c r="BI676" s="621">
        <v>668</v>
      </c>
      <c r="BJ676" s="711"/>
      <c r="BK676" s="712"/>
      <c r="BL676" s="713">
        <v>668</v>
      </c>
      <c r="BM676" s="714"/>
      <c r="BN676" s="239"/>
      <c r="BO676" s="24"/>
      <c r="BQ676" s="621">
        <v>668</v>
      </c>
      <c r="BR676" s="711"/>
      <c r="BS676" s="712"/>
      <c r="BT676" s="713">
        <v>668</v>
      </c>
      <c r="BU676" s="714"/>
      <c r="BV676" s="239"/>
      <c r="BW676" s="24"/>
      <c r="BY676" s="621">
        <v>668</v>
      </c>
      <c r="BZ676" s="711"/>
      <c r="CA676" s="712"/>
      <c r="CB676" s="713">
        <v>668</v>
      </c>
      <c r="CC676" s="714"/>
      <c r="CD676" s="239"/>
      <c r="CE676" s="24"/>
    </row>
    <row r="677" spans="5:83" ht="12" customHeight="1">
      <c r="E677" s="621">
        <v>669</v>
      </c>
      <c r="F677" s="711"/>
      <c r="G677" s="712"/>
      <c r="H677" s="713">
        <v>669</v>
      </c>
      <c r="I677" s="714"/>
      <c r="J677" s="239"/>
      <c r="K677" s="24"/>
      <c r="AI677" s="16" t="e">
        <f t="shared" si="93"/>
        <v>#N/A</v>
      </c>
      <c r="AJ677" s="16" t="str">
        <f t="shared" si="94"/>
        <v/>
      </c>
      <c r="AK677" s="16" t="str">
        <f t="shared" si="95"/>
        <v/>
      </c>
      <c r="AL677" s="16" t="e">
        <f>IF(AK677="",NA(),COUNTIF(AK$176:$AK677,AK677))</f>
        <v>#N/A</v>
      </c>
      <c r="AM677" s="16" t="e">
        <f t="shared" si="96"/>
        <v>#N/A</v>
      </c>
      <c r="AN677" s="16" t="e">
        <f t="shared" si="97"/>
        <v>#N/A</v>
      </c>
      <c r="AO677" s="16" t="str">
        <f t="shared" si="98"/>
        <v/>
      </c>
      <c r="AP677" s="16" t="str">
        <f t="shared" si="99"/>
        <v/>
      </c>
      <c r="AQ677" s="16" t="e">
        <f>IF(AP677="",NA(),COUNTIF(AP$176:$AP677,AP677))</f>
        <v>#N/A</v>
      </c>
      <c r="AR677" s="16" t="e">
        <f t="shared" si="100"/>
        <v>#N/A</v>
      </c>
      <c r="BI677" s="621">
        <v>669</v>
      </c>
      <c r="BJ677" s="711"/>
      <c r="BK677" s="712"/>
      <c r="BL677" s="713">
        <v>669</v>
      </c>
      <c r="BM677" s="714"/>
      <c r="BN677" s="239"/>
      <c r="BO677" s="24"/>
      <c r="BQ677" s="621">
        <v>669</v>
      </c>
      <c r="BR677" s="711"/>
      <c r="BS677" s="712"/>
      <c r="BT677" s="713">
        <v>669</v>
      </c>
      <c r="BU677" s="714"/>
      <c r="BV677" s="239"/>
      <c r="BW677" s="24"/>
      <c r="BY677" s="621">
        <v>669</v>
      </c>
      <c r="BZ677" s="711"/>
      <c r="CA677" s="712"/>
      <c r="CB677" s="713">
        <v>669</v>
      </c>
      <c r="CC677" s="714"/>
      <c r="CD677" s="239"/>
      <c r="CE677" s="24"/>
    </row>
    <row r="678" spans="5:83" ht="12" customHeight="1">
      <c r="E678" s="621">
        <v>670</v>
      </c>
      <c r="F678" s="711"/>
      <c r="G678" s="712"/>
      <c r="H678" s="713">
        <v>670</v>
      </c>
      <c r="I678" s="714"/>
      <c r="J678" s="239"/>
      <c r="K678" s="24"/>
      <c r="AI678" s="16" t="e">
        <f t="shared" si="93"/>
        <v>#N/A</v>
      </c>
      <c r="AJ678" s="16" t="str">
        <f t="shared" si="94"/>
        <v/>
      </c>
      <c r="AK678" s="16" t="str">
        <f t="shared" si="95"/>
        <v/>
      </c>
      <c r="AL678" s="16" t="e">
        <f>IF(AK678="",NA(),COUNTIF(AK$176:$AK678,AK678))</f>
        <v>#N/A</v>
      </c>
      <c r="AM678" s="16" t="e">
        <f t="shared" si="96"/>
        <v>#N/A</v>
      </c>
      <c r="AN678" s="16" t="e">
        <f t="shared" si="97"/>
        <v>#N/A</v>
      </c>
      <c r="AO678" s="16" t="str">
        <f t="shared" si="98"/>
        <v/>
      </c>
      <c r="AP678" s="16" t="str">
        <f t="shared" si="99"/>
        <v/>
      </c>
      <c r="AQ678" s="16" t="e">
        <f>IF(AP678="",NA(),COUNTIF(AP$176:$AP678,AP678))</f>
        <v>#N/A</v>
      </c>
      <c r="AR678" s="16" t="e">
        <f t="shared" si="100"/>
        <v>#N/A</v>
      </c>
      <c r="BI678" s="621">
        <v>670</v>
      </c>
      <c r="BJ678" s="711"/>
      <c r="BK678" s="712"/>
      <c r="BL678" s="713">
        <v>670</v>
      </c>
      <c r="BM678" s="714"/>
      <c r="BN678" s="239"/>
      <c r="BO678" s="24"/>
      <c r="BQ678" s="621">
        <v>670</v>
      </c>
      <c r="BR678" s="711"/>
      <c r="BS678" s="712"/>
      <c r="BT678" s="713">
        <v>670</v>
      </c>
      <c r="BU678" s="714"/>
      <c r="BV678" s="239"/>
      <c r="BW678" s="24"/>
      <c r="BY678" s="621">
        <v>670</v>
      </c>
      <c r="BZ678" s="711"/>
      <c r="CA678" s="712"/>
      <c r="CB678" s="713">
        <v>670</v>
      </c>
      <c r="CC678" s="714"/>
      <c r="CD678" s="239"/>
      <c r="CE678" s="24"/>
    </row>
    <row r="679" spans="5:83" ht="12" customHeight="1">
      <c r="E679" s="621">
        <v>671</v>
      </c>
      <c r="F679" s="711"/>
      <c r="G679" s="712"/>
      <c r="H679" s="713">
        <v>671</v>
      </c>
      <c r="I679" s="714"/>
      <c r="J679" s="239"/>
      <c r="K679" s="24"/>
      <c r="AI679" s="16" t="e">
        <f t="shared" si="93"/>
        <v>#N/A</v>
      </c>
      <c r="AJ679" s="16" t="str">
        <f t="shared" si="94"/>
        <v/>
      </c>
      <c r="AK679" s="16" t="str">
        <f t="shared" si="95"/>
        <v/>
      </c>
      <c r="AL679" s="16" t="e">
        <f>IF(AK679="",NA(),COUNTIF(AK$176:$AK679,AK679))</f>
        <v>#N/A</v>
      </c>
      <c r="AM679" s="16" t="e">
        <f t="shared" si="96"/>
        <v>#N/A</v>
      </c>
      <c r="AN679" s="16" t="e">
        <f t="shared" si="97"/>
        <v>#N/A</v>
      </c>
      <c r="AO679" s="16" t="str">
        <f t="shared" si="98"/>
        <v/>
      </c>
      <c r="AP679" s="16" t="str">
        <f t="shared" si="99"/>
        <v/>
      </c>
      <c r="AQ679" s="16" t="e">
        <f>IF(AP679="",NA(),COUNTIF(AP$176:$AP679,AP679))</f>
        <v>#N/A</v>
      </c>
      <c r="AR679" s="16" t="e">
        <f t="shared" si="100"/>
        <v>#N/A</v>
      </c>
      <c r="BI679" s="621">
        <v>671</v>
      </c>
      <c r="BJ679" s="711"/>
      <c r="BK679" s="712"/>
      <c r="BL679" s="713">
        <v>671</v>
      </c>
      <c r="BM679" s="714"/>
      <c r="BN679" s="239"/>
      <c r="BO679" s="24"/>
      <c r="BQ679" s="621">
        <v>671</v>
      </c>
      <c r="BR679" s="711"/>
      <c r="BS679" s="712"/>
      <c r="BT679" s="713">
        <v>671</v>
      </c>
      <c r="BU679" s="714"/>
      <c r="BV679" s="239"/>
      <c r="BW679" s="24"/>
      <c r="BY679" s="621">
        <v>671</v>
      </c>
      <c r="BZ679" s="711"/>
      <c r="CA679" s="712"/>
      <c r="CB679" s="713">
        <v>671</v>
      </c>
      <c r="CC679" s="714"/>
      <c r="CD679" s="239"/>
      <c r="CE679" s="24"/>
    </row>
    <row r="680" spans="5:83" ht="12" customHeight="1">
      <c r="E680" s="621">
        <v>672</v>
      </c>
      <c r="F680" s="711"/>
      <c r="G680" s="712"/>
      <c r="H680" s="713">
        <v>672</v>
      </c>
      <c r="I680" s="714"/>
      <c r="J680" s="239"/>
      <c r="K680" s="24"/>
      <c r="AI680" s="16" t="e">
        <f t="shared" si="93"/>
        <v>#N/A</v>
      </c>
      <c r="AJ680" s="16" t="str">
        <f t="shared" si="94"/>
        <v/>
      </c>
      <c r="AK680" s="16" t="str">
        <f t="shared" si="95"/>
        <v/>
      </c>
      <c r="AL680" s="16" t="e">
        <f>IF(AK680="",NA(),COUNTIF(AK$176:$AK680,AK680))</f>
        <v>#N/A</v>
      </c>
      <c r="AM680" s="16" t="e">
        <f t="shared" si="96"/>
        <v>#N/A</v>
      </c>
      <c r="AN680" s="16" t="e">
        <f t="shared" si="97"/>
        <v>#N/A</v>
      </c>
      <c r="AO680" s="16" t="str">
        <f t="shared" si="98"/>
        <v/>
      </c>
      <c r="AP680" s="16" t="str">
        <f t="shared" si="99"/>
        <v/>
      </c>
      <c r="AQ680" s="16" t="e">
        <f>IF(AP680="",NA(),COUNTIF(AP$176:$AP680,AP680))</f>
        <v>#N/A</v>
      </c>
      <c r="AR680" s="16" t="e">
        <f t="shared" si="100"/>
        <v>#N/A</v>
      </c>
      <c r="BI680" s="621">
        <v>672</v>
      </c>
      <c r="BJ680" s="711"/>
      <c r="BK680" s="712"/>
      <c r="BL680" s="713">
        <v>672</v>
      </c>
      <c r="BM680" s="714"/>
      <c r="BN680" s="239"/>
      <c r="BO680" s="24"/>
      <c r="BQ680" s="621">
        <v>672</v>
      </c>
      <c r="BR680" s="711"/>
      <c r="BS680" s="712"/>
      <c r="BT680" s="713">
        <v>672</v>
      </c>
      <c r="BU680" s="714"/>
      <c r="BV680" s="239"/>
      <c r="BW680" s="24"/>
      <c r="BY680" s="621">
        <v>672</v>
      </c>
      <c r="BZ680" s="711"/>
      <c r="CA680" s="712"/>
      <c r="CB680" s="713">
        <v>672</v>
      </c>
      <c r="CC680" s="714"/>
      <c r="CD680" s="239"/>
      <c r="CE680" s="24"/>
    </row>
    <row r="681" spans="5:83" ht="12" customHeight="1">
      <c r="E681" s="621">
        <v>673</v>
      </c>
      <c r="F681" s="711"/>
      <c r="G681" s="712"/>
      <c r="H681" s="713">
        <v>673</v>
      </c>
      <c r="I681" s="714"/>
      <c r="J681" s="239"/>
      <c r="K681" s="24"/>
      <c r="AI681" s="16" t="e">
        <f t="shared" si="93"/>
        <v>#N/A</v>
      </c>
      <c r="AJ681" s="16" t="str">
        <f t="shared" si="94"/>
        <v/>
      </c>
      <c r="AK681" s="16" t="str">
        <f t="shared" si="95"/>
        <v/>
      </c>
      <c r="AL681" s="16" t="e">
        <f>IF(AK681="",NA(),COUNTIF(AK$176:$AK681,AK681))</f>
        <v>#N/A</v>
      </c>
      <c r="AM681" s="16" t="e">
        <f t="shared" si="96"/>
        <v>#N/A</v>
      </c>
      <c r="AN681" s="16" t="e">
        <f t="shared" si="97"/>
        <v>#N/A</v>
      </c>
      <c r="AO681" s="16" t="str">
        <f t="shared" si="98"/>
        <v/>
      </c>
      <c r="AP681" s="16" t="str">
        <f t="shared" si="99"/>
        <v/>
      </c>
      <c r="AQ681" s="16" t="e">
        <f>IF(AP681="",NA(),COUNTIF(AP$176:$AP681,AP681))</f>
        <v>#N/A</v>
      </c>
      <c r="AR681" s="16" t="e">
        <f t="shared" si="100"/>
        <v>#N/A</v>
      </c>
      <c r="BI681" s="621">
        <v>673</v>
      </c>
      <c r="BJ681" s="711"/>
      <c r="BK681" s="712"/>
      <c r="BL681" s="713">
        <v>673</v>
      </c>
      <c r="BM681" s="714"/>
      <c r="BN681" s="239"/>
      <c r="BO681" s="24"/>
      <c r="BQ681" s="621">
        <v>673</v>
      </c>
      <c r="BR681" s="711"/>
      <c r="BS681" s="712"/>
      <c r="BT681" s="713">
        <v>673</v>
      </c>
      <c r="BU681" s="714"/>
      <c r="BV681" s="239"/>
      <c r="BW681" s="24"/>
      <c r="BY681" s="621">
        <v>673</v>
      </c>
      <c r="BZ681" s="711"/>
      <c r="CA681" s="712"/>
      <c r="CB681" s="713">
        <v>673</v>
      </c>
      <c r="CC681" s="714"/>
      <c r="CD681" s="239"/>
      <c r="CE681" s="24"/>
    </row>
    <row r="682" spans="5:83" ht="12" customHeight="1">
      <c r="E682" s="621">
        <v>674</v>
      </c>
      <c r="F682" s="711"/>
      <c r="G682" s="712"/>
      <c r="H682" s="713">
        <v>674</v>
      </c>
      <c r="I682" s="714"/>
      <c r="J682" s="239"/>
      <c r="K682" s="24"/>
      <c r="AI682" s="16" t="e">
        <f t="shared" si="93"/>
        <v>#N/A</v>
      </c>
      <c r="AJ682" s="16" t="str">
        <f t="shared" si="94"/>
        <v/>
      </c>
      <c r="AK682" s="16" t="str">
        <f t="shared" si="95"/>
        <v/>
      </c>
      <c r="AL682" s="16" t="e">
        <f>IF(AK682="",NA(),COUNTIF(AK$176:$AK682,AK682))</f>
        <v>#N/A</v>
      </c>
      <c r="AM682" s="16" t="e">
        <f t="shared" si="96"/>
        <v>#N/A</v>
      </c>
      <c r="AN682" s="16" t="e">
        <f t="shared" si="97"/>
        <v>#N/A</v>
      </c>
      <c r="AO682" s="16" t="str">
        <f t="shared" si="98"/>
        <v/>
      </c>
      <c r="AP682" s="16" t="str">
        <f t="shared" si="99"/>
        <v/>
      </c>
      <c r="AQ682" s="16" t="e">
        <f>IF(AP682="",NA(),COUNTIF(AP$176:$AP682,AP682))</f>
        <v>#N/A</v>
      </c>
      <c r="AR682" s="16" t="e">
        <f t="shared" si="100"/>
        <v>#N/A</v>
      </c>
      <c r="BI682" s="621">
        <v>674</v>
      </c>
      <c r="BJ682" s="711"/>
      <c r="BK682" s="712"/>
      <c r="BL682" s="713">
        <v>674</v>
      </c>
      <c r="BM682" s="714"/>
      <c r="BN682" s="239"/>
      <c r="BO682" s="24"/>
      <c r="BQ682" s="621">
        <v>674</v>
      </c>
      <c r="BR682" s="711"/>
      <c r="BS682" s="712"/>
      <c r="BT682" s="713">
        <v>674</v>
      </c>
      <c r="BU682" s="714"/>
      <c r="BV682" s="239"/>
      <c r="BW682" s="24"/>
      <c r="BY682" s="621">
        <v>674</v>
      </c>
      <c r="BZ682" s="711"/>
      <c r="CA682" s="712"/>
      <c r="CB682" s="713">
        <v>674</v>
      </c>
      <c r="CC682" s="714"/>
      <c r="CD682" s="239"/>
      <c r="CE682" s="24"/>
    </row>
    <row r="683" spans="5:83" ht="12" customHeight="1">
      <c r="E683" s="621">
        <v>675</v>
      </c>
      <c r="F683" s="711"/>
      <c r="G683" s="712"/>
      <c r="H683" s="713">
        <v>675</v>
      </c>
      <c r="I683" s="714"/>
      <c r="J683" s="239"/>
      <c r="K683" s="24"/>
      <c r="AI683" s="16" t="e">
        <f t="shared" si="93"/>
        <v>#N/A</v>
      </c>
      <c r="AJ683" s="16" t="str">
        <f t="shared" si="94"/>
        <v/>
      </c>
      <c r="AK683" s="16" t="str">
        <f t="shared" si="95"/>
        <v/>
      </c>
      <c r="AL683" s="16" t="e">
        <f>IF(AK683="",NA(),COUNTIF(AK$176:$AK683,AK683))</f>
        <v>#N/A</v>
      </c>
      <c r="AM683" s="16" t="e">
        <f t="shared" si="96"/>
        <v>#N/A</v>
      </c>
      <c r="AN683" s="16" t="e">
        <f t="shared" si="97"/>
        <v>#N/A</v>
      </c>
      <c r="AO683" s="16" t="str">
        <f t="shared" si="98"/>
        <v/>
      </c>
      <c r="AP683" s="16" t="str">
        <f t="shared" si="99"/>
        <v/>
      </c>
      <c r="AQ683" s="16" t="e">
        <f>IF(AP683="",NA(),COUNTIF(AP$176:$AP683,AP683))</f>
        <v>#N/A</v>
      </c>
      <c r="AR683" s="16" t="e">
        <f t="shared" si="100"/>
        <v>#N/A</v>
      </c>
      <c r="BI683" s="621">
        <v>675</v>
      </c>
      <c r="BJ683" s="711"/>
      <c r="BK683" s="712"/>
      <c r="BL683" s="713">
        <v>675</v>
      </c>
      <c r="BM683" s="714"/>
      <c r="BN683" s="239"/>
      <c r="BO683" s="24"/>
      <c r="BQ683" s="621">
        <v>675</v>
      </c>
      <c r="BR683" s="711"/>
      <c r="BS683" s="712"/>
      <c r="BT683" s="713">
        <v>675</v>
      </c>
      <c r="BU683" s="714"/>
      <c r="BV683" s="239"/>
      <c r="BW683" s="24"/>
      <c r="BY683" s="621">
        <v>675</v>
      </c>
      <c r="BZ683" s="711"/>
      <c r="CA683" s="712"/>
      <c r="CB683" s="713">
        <v>675</v>
      </c>
      <c r="CC683" s="714"/>
      <c r="CD683" s="239"/>
      <c r="CE683" s="24"/>
    </row>
    <row r="684" spans="5:83" ht="12" customHeight="1">
      <c r="E684" s="621">
        <v>676</v>
      </c>
      <c r="F684" s="711"/>
      <c r="G684" s="712"/>
      <c r="H684" s="713">
        <v>676</v>
      </c>
      <c r="I684" s="714"/>
      <c r="J684" s="239"/>
      <c r="K684" s="24"/>
      <c r="AI684" s="16" t="e">
        <f t="shared" si="93"/>
        <v>#N/A</v>
      </c>
      <c r="AJ684" s="16" t="str">
        <f t="shared" si="94"/>
        <v/>
      </c>
      <c r="AK684" s="16" t="str">
        <f t="shared" si="95"/>
        <v/>
      </c>
      <c r="AL684" s="16" t="e">
        <f>IF(AK684="",NA(),COUNTIF(AK$176:$AK684,AK684))</f>
        <v>#N/A</v>
      </c>
      <c r="AM684" s="16" t="e">
        <f t="shared" si="96"/>
        <v>#N/A</v>
      </c>
      <c r="AN684" s="16" t="e">
        <f t="shared" si="97"/>
        <v>#N/A</v>
      </c>
      <c r="AO684" s="16" t="str">
        <f t="shared" si="98"/>
        <v/>
      </c>
      <c r="AP684" s="16" t="str">
        <f t="shared" si="99"/>
        <v/>
      </c>
      <c r="AQ684" s="16" t="e">
        <f>IF(AP684="",NA(),COUNTIF(AP$176:$AP684,AP684))</f>
        <v>#N/A</v>
      </c>
      <c r="AR684" s="16" t="e">
        <f t="shared" si="100"/>
        <v>#N/A</v>
      </c>
      <c r="BI684" s="621">
        <v>676</v>
      </c>
      <c r="BJ684" s="711"/>
      <c r="BK684" s="712"/>
      <c r="BL684" s="713">
        <v>676</v>
      </c>
      <c r="BM684" s="714"/>
      <c r="BN684" s="239"/>
      <c r="BO684" s="24"/>
      <c r="BQ684" s="621">
        <v>676</v>
      </c>
      <c r="BR684" s="711"/>
      <c r="BS684" s="712"/>
      <c r="BT684" s="713">
        <v>676</v>
      </c>
      <c r="BU684" s="714"/>
      <c r="BV684" s="239"/>
      <c r="BW684" s="24"/>
      <c r="BY684" s="621">
        <v>676</v>
      </c>
      <c r="BZ684" s="711"/>
      <c r="CA684" s="712"/>
      <c r="CB684" s="713">
        <v>676</v>
      </c>
      <c r="CC684" s="714"/>
      <c r="CD684" s="239"/>
      <c r="CE684" s="24"/>
    </row>
    <row r="685" spans="5:83" ht="12" customHeight="1">
      <c r="E685" s="621">
        <v>677</v>
      </c>
      <c r="F685" s="711"/>
      <c r="G685" s="712"/>
      <c r="H685" s="713">
        <v>677</v>
      </c>
      <c r="I685" s="714"/>
      <c r="J685" s="239"/>
      <c r="K685" s="24"/>
      <c r="AI685" s="16" t="e">
        <f t="shared" si="93"/>
        <v>#N/A</v>
      </c>
      <c r="AJ685" s="16" t="str">
        <f t="shared" si="94"/>
        <v/>
      </c>
      <c r="AK685" s="16" t="str">
        <f t="shared" si="95"/>
        <v/>
      </c>
      <c r="AL685" s="16" t="e">
        <f>IF(AK685="",NA(),COUNTIF(AK$176:$AK685,AK685))</f>
        <v>#N/A</v>
      </c>
      <c r="AM685" s="16" t="e">
        <f t="shared" si="96"/>
        <v>#N/A</v>
      </c>
      <c r="AN685" s="16" t="e">
        <f t="shared" si="97"/>
        <v>#N/A</v>
      </c>
      <c r="AO685" s="16" t="str">
        <f t="shared" si="98"/>
        <v/>
      </c>
      <c r="AP685" s="16" t="str">
        <f t="shared" si="99"/>
        <v/>
      </c>
      <c r="AQ685" s="16" t="e">
        <f>IF(AP685="",NA(),COUNTIF(AP$176:$AP685,AP685))</f>
        <v>#N/A</v>
      </c>
      <c r="AR685" s="16" t="e">
        <f t="shared" si="100"/>
        <v>#N/A</v>
      </c>
      <c r="BI685" s="621">
        <v>677</v>
      </c>
      <c r="BJ685" s="711"/>
      <c r="BK685" s="712"/>
      <c r="BL685" s="713">
        <v>677</v>
      </c>
      <c r="BM685" s="714"/>
      <c r="BN685" s="239"/>
      <c r="BO685" s="24"/>
      <c r="BQ685" s="621">
        <v>677</v>
      </c>
      <c r="BR685" s="711"/>
      <c r="BS685" s="712"/>
      <c r="BT685" s="713">
        <v>677</v>
      </c>
      <c r="BU685" s="714"/>
      <c r="BV685" s="239"/>
      <c r="BW685" s="24"/>
      <c r="BY685" s="621">
        <v>677</v>
      </c>
      <c r="BZ685" s="711"/>
      <c r="CA685" s="712"/>
      <c r="CB685" s="713">
        <v>677</v>
      </c>
      <c r="CC685" s="714"/>
      <c r="CD685" s="239"/>
      <c r="CE685" s="24"/>
    </row>
    <row r="686" spans="5:83" ht="12" customHeight="1">
      <c r="E686" s="621">
        <v>678</v>
      </c>
      <c r="F686" s="711"/>
      <c r="G686" s="712"/>
      <c r="H686" s="713">
        <v>678</v>
      </c>
      <c r="I686" s="714"/>
      <c r="J686" s="239"/>
      <c r="K686" s="24"/>
      <c r="AI686" s="16" t="e">
        <f t="shared" si="93"/>
        <v>#N/A</v>
      </c>
      <c r="AJ686" s="16" t="str">
        <f t="shared" si="94"/>
        <v/>
      </c>
      <c r="AK686" s="16" t="str">
        <f t="shared" si="95"/>
        <v/>
      </c>
      <c r="AL686" s="16" t="e">
        <f>IF(AK686="",NA(),COUNTIF(AK$176:$AK686,AK686))</f>
        <v>#N/A</v>
      </c>
      <c r="AM686" s="16" t="e">
        <f t="shared" si="96"/>
        <v>#N/A</v>
      </c>
      <c r="AN686" s="16" t="e">
        <f t="shared" si="97"/>
        <v>#N/A</v>
      </c>
      <c r="AO686" s="16" t="str">
        <f t="shared" si="98"/>
        <v/>
      </c>
      <c r="AP686" s="16" t="str">
        <f t="shared" si="99"/>
        <v/>
      </c>
      <c r="AQ686" s="16" t="e">
        <f>IF(AP686="",NA(),COUNTIF(AP$176:$AP686,AP686))</f>
        <v>#N/A</v>
      </c>
      <c r="AR686" s="16" t="e">
        <f t="shared" si="100"/>
        <v>#N/A</v>
      </c>
      <c r="BI686" s="621">
        <v>678</v>
      </c>
      <c r="BJ686" s="711"/>
      <c r="BK686" s="712"/>
      <c r="BL686" s="713">
        <v>678</v>
      </c>
      <c r="BM686" s="714"/>
      <c r="BN686" s="239"/>
      <c r="BO686" s="24"/>
      <c r="BQ686" s="621">
        <v>678</v>
      </c>
      <c r="BR686" s="711"/>
      <c r="BS686" s="712"/>
      <c r="BT686" s="713">
        <v>678</v>
      </c>
      <c r="BU686" s="714"/>
      <c r="BV686" s="239"/>
      <c r="BW686" s="24"/>
      <c r="BY686" s="621">
        <v>678</v>
      </c>
      <c r="BZ686" s="711"/>
      <c r="CA686" s="712"/>
      <c r="CB686" s="713">
        <v>678</v>
      </c>
      <c r="CC686" s="714"/>
      <c r="CD686" s="239"/>
      <c r="CE686" s="24"/>
    </row>
    <row r="687" spans="5:83" ht="12" customHeight="1">
      <c r="E687" s="621">
        <v>679</v>
      </c>
      <c r="F687" s="711"/>
      <c r="G687" s="712"/>
      <c r="H687" s="713">
        <v>679</v>
      </c>
      <c r="I687" s="714"/>
      <c r="J687" s="239"/>
      <c r="K687" s="24"/>
      <c r="AI687" s="16" t="e">
        <f t="shared" si="93"/>
        <v>#N/A</v>
      </c>
      <c r="AJ687" s="16" t="str">
        <f t="shared" si="94"/>
        <v/>
      </c>
      <c r="AK687" s="16" t="str">
        <f t="shared" si="95"/>
        <v/>
      </c>
      <c r="AL687" s="16" t="e">
        <f>IF(AK687="",NA(),COUNTIF(AK$176:$AK687,AK687))</f>
        <v>#N/A</v>
      </c>
      <c r="AM687" s="16" t="e">
        <f t="shared" si="96"/>
        <v>#N/A</v>
      </c>
      <c r="AN687" s="16" t="e">
        <f t="shared" si="97"/>
        <v>#N/A</v>
      </c>
      <c r="AO687" s="16" t="str">
        <f t="shared" si="98"/>
        <v/>
      </c>
      <c r="AP687" s="16" t="str">
        <f t="shared" si="99"/>
        <v/>
      </c>
      <c r="AQ687" s="16" t="e">
        <f>IF(AP687="",NA(),COUNTIF(AP$176:$AP687,AP687))</f>
        <v>#N/A</v>
      </c>
      <c r="AR687" s="16" t="e">
        <f t="shared" si="100"/>
        <v>#N/A</v>
      </c>
      <c r="BI687" s="621">
        <v>679</v>
      </c>
      <c r="BJ687" s="711"/>
      <c r="BK687" s="712"/>
      <c r="BL687" s="713">
        <v>679</v>
      </c>
      <c r="BM687" s="714"/>
      <c r="BN687" s="239"/>
      <c r="BO687" s="24"/>
      <c r="BQ687" s="621">
        <v>679</v>
      </c>
      <c r="BR687" s="711"/>
      <c r="BS687" s="712"/>
      <c r="BT687" s="713">
        <v>679</v>
      </c>
      <c r="BU687" s="714"/>
      <c r="BV687" s="239"/>
      <c r="BW687" s="24"/>
      <c r="BY687" s="621">
        <v>679</v>
      </c>
      <c r="BZ687" s="711"/>
      <c r="CA687" s="712"/>
      <c r="CB687" s="713">
        <v>679</v>
      </c>
      <c r="CC687" s="714"/>
      <c r="CD687" s="239"/>
      <c r="CE687" s="24"/>
    </row>
    <row r="688" spans="5:83" ht="12" customHeight="1">
      <c r="E688" s="621">
        <v>680</v>
      </c>
      <c r="F688" s="711"/>
      <c r="G688" s="712"/>
      <c r="H688" s="713">
        <v>680</v>
      </c>
      <c r="I688" s="714"/>
      <c r="J688" s="239"/>
      <c r="K688" s="24"/>
      <c r="AI688" s="16" t="e">
        <f t="shared" si="93"/>
        <v>#N/A</v>
      </c>
      <c r="AJ688" s="16" t="str">
        <f t="shared" si="94"/>
        <v/>
      </c>
      <c r="AK688" s="16" t="str">
        <f t="shared" si="95"/>
        <v/>
      </c>
      <c r="AL688" s="16" t="e">
        <f>IF(AK688="",NA(),COUNTIF(AK$176:$AK688,AK688))</f>
        <v>#N/A</v>
      </c>
      <c r="AM688" s="16" t="e">
        <f t="shared" si="96"/>
        <v>#N/A</v>
      </c>
      <c r="AN688" s="16" t="e">
        <f t="shared" si="97"/>
        <v>#N/A</v>
      </c>
      <c r="AO688" s="16" t="str">
        <f t="shared" si="98"/>
        <v/>
      </c>
      <c r="AP688" s="16" t="str">
        <f t="shared" si="99"/>
        <v/>
      </c>
      <c r="AQ688" s="16" t="e">
        <f>IF(AP688="",NA(),COUNTIF(AP$176:$AP688,AP688))</f>
        <v>#N/A</v>
      </c>
      <c r="AR688" s="16" t="e">
        <f t="shared" si="100"/>
        <v>#N/A</v>
      </c>
      <c r="BI688" s="621">
        <v>680</v>
      </c>
      <c r="BJ688" s="711"/>
      <c r="BK688" s="712"/>
      <c r="BL688" s="713">
        <v>680</v>
      </c>
      <c r="BM688" s="714"/>
      <c r="BN688" s="239"/>
      <c r="BO688" s="24"/>
      <c r="BQ688" s="621">
        <v>680</v>
      </c>
      <c r="BR688" s="711"/>
      <c r="BS688" s="712"/>
      <c r="BT688" s="713">
        <v>680</v>
      </c>
      <c r="BU688" s="714"/>
      <c r="BV688" s="239"/>
      <c r="BW688" s="24"/>
      <c r="BY688" s="621">
        <v>680</v>
      </c>
      <c r="BZ688" s="711"/>
      <c r="CA688" s="712"/>
      <c r="CB688" s="713">
        <v>680</v>
      </c>
      <c r="CC688" s="714"/>
      <c r="CD688" s="239"/>
      <c r="CE688" s="24"/>
    </row>
    <row r="689" spans="5:83" ht="12" customHeight="1">
      <c r="E689" s="621">
        <v>681</v>
      </c>
      <c r="F689" s="711"/>
      <c r="G689" s="712"/>
      <c r="H689" s="713">
        <v>681</v>
      </c>
      <c r="I689" s="714"/>
      <c r="J689" s="239"/>
      <c r="K689" s="24"/>
      <c r="AI689" s="16" t="e">
        <f t="shared" si="93"/>
        <v>#N/A</v>
      </c>
      <c r="AJ689" s="16" t="str">
        <f t="shared" si="94"/>
        <v/>
      </c>
      <c r="AK689" s="16" t="str">
        <f t="shared" si="95"/>
        <v/>
      </c>
      <c r="AL689" s="16" t="e">
        <f>IF(AK689="",NA(),COUNTIF(AK$176:$AK689,AK689))</f>
        <v>#N/A</v>
      </c>
      <c r="AM689" s="16" t="e">
        <f t="shared" si="96"/>
        <v>#N/A</v>
      </c>
      <c r="AN689" s="16" t="e">
        <f t="shared" si="97"/>
        <v>#N/A</v>
      </c>
      <c r="AO689" s="16" t="str">
        <f t="shared" si="98"/>
        <v/>
      </c>
      <c r="AP689" s="16" t="str">
        <f t="shared" si="99"/>
        <v/>
      </c>
      <c r="AQ689" s="16" t="e">
        <f>IF(AP689="",NA(),COUNTIF(AP$176:$AP689,AP689))</f>
        <v>#N/A</v>
      </c>
      <c r="AR689" s="16" t="e">
        <f t="shared" si="100"/>
        <v>#N/A</v>
      </c>
      <c r="BI689" s="621">
        <v>681</v>
      </c>
      <c r="BJ689" s="711"/>
      <c r="BK689" s="712"/>
      <c r="BL689" s="713">
        <v>681</v>
      </c>
      <c r="BM689" s="714"/>
      <c r="BN689" s="239"/>
      <c r="BO689" s="24"/>
      <c r="BQ689" s="621">
        <v>681</v>
      </c>
      <c r="BR689" s="711"/>
      <c r="BS689" s="712"/>
      <c r="BT689" s="713">
        <v>681</v>
      </c>
      <c r="BU689" s="714"/>
      <c r="BV689" s="239"/>
      <c r="BW689" s="24"/>
      <c r="BY689" s="621">
        <v>681</v>
      </c>
      <c r="BZ689" s="711"/>
      <c r="CA689" s="712"/>
      <c r="CB689" s="713">
        <v>681</v>
      </c>
      <c r="CC689" s="714"/>
      <c r="CD689" s="239"/>
      <c r="CE689" s="24"/>
    </row>
    <row r="690" spans="5:83" ht="12" customHeight="1">
      <c r="E690" s="621">
        <v>682</v>
      </c>
      <c r="F690" s="711"/>
      <c r="G690" s="712"/>
      <c r="H690" s="713">
        <v>682</v>
      </c>
      <c r="I690" s="714"/>
      <c r="J690" s="239"/>
      <c r="K690" s="24"/>
      <c r="AI690" s="16" t="e">
        <f t="shared" si="93"/>
        <v>#N/A</v>
      </c>
      <c r="AJ690" s="16" t="str">
        <f t="shared" si="94"/>
        <v/>
      </c>
      <c r="AK690" s="16" t="str">
        <f t="shared" si="95"/>
        <v/>
      </c>
      <c r="AL690" s="16" t="e">
        <f>IF(AK690="",NA(),COUNTIF(AK$176:$AK690,AK690))</f>
        <v>#N/A</v>
      </c>
      <c r="AM690" s="16" t="e">
        <f t="shared" si="96"/>
        <v>#N/A</v>
      </c>
      <c r="AN690" s="16" t="e">
        <f t="shared" si="97"/>
        <v>#N/A</v>
      </c>
      <c r="AO690" s="16" t="str">
        <f t="shared" si="98"/>
        <v/>
      </c>
      <c r="AP690" s="16" t="str">
        <f t="shared" si="99"/>
        <v/>
      </c>
      <c r="AQ690" s="16" t="e">
        <f>IF(AP690="",NA(),COUNTIF(AP$176:$AP690,AP690))</f>
        <v>#N/A</v>
      </c>
      <c r="AR690" s="16" t="e">
        <f t="shared" si="100"/>
        <v>#N/A</v>
      </c>
      <c r="BI690" s="621">
        <v>682</v>
      </c>
      <c r="BJ690" s="711"/>
      <c r="BK690" s="712"/>
      <c r="BL690" s="713">
        <v>682</v>
      </c>
      <c r="BM690" s="714"/>
      <c r="BN690" s="239"/>
      <c r="BO690" s="24"/>
      <c r="BQ690" s="621">
        <v>682</v>
      </c>
      <c r="BR690" s="711"/>
      <c r="BS690" s="712"/>
      <c r="BT690" s="713">
        <v>682</v>
      </c>
      <c r="BU690" s="714"/>
      <c r="BV690" s="239"/>
      <c r="BW690" s="24"/>
      <c r="BY690" s="621">
        <v>682</v>
      </c>
      <c r="BZ690" s="711"/>
      <c r="CA690" s="712"/>
      <c r="CB690" s="713">
        <v>682</v>
      </c>
      <c r="CC690" s="714"/>
      <c r="CD690" s="239"/>
      <c r="CE690" s="24"/>
    </row>
    <row r="691" spans="5:83" ht="12" customHeight="1">
      <c r="E691" s="621">
        <v>683</v>
      </c>
      <c r="F691" s="711"/>
      <c r="G691" s="712"/>
      <c r="H691" s="713">
        <v>683</v>
      </c>
      <c r="I691" s="714"/>
      <c r="J691" s="239"/>
      <c r="K691" s="24"/>
      <c r="AI691" s="16" t="e">
        <f t="shared" si="93"/>
        <v>#N/A</v>
      </c>
      <c r="AJ691" s="16" t="str">
        <f t="shared" si="94"/>
        <v/>
      </c>
      <c r="AK691" s="16" t="str">
        <f t="shared" si="95"/>
        <v/>
      </c>
      <c r="AL691" s="16" t="e">
        <f>IF(AK691="",NA(),COUNTIF(AK$176:$AK691,AK691))</f>
        <v>#N/A</v>
      </c>
      <c r="AM691" s="16" t="e">
        <f t="shared" si="96"/>
        <v>#N/A</v>
      </c>
      <c r="AN691" s="16" t="e">
        <f t="shared" si="97"/>
        <v>#N/A</v>
      </c>
      <c r="AO691" s="16" t="str">
        <f t="shared" si="98"/>
        <v/>
      </c>
      <c r="AP691" s="16" t="str">
        <f t="shared" si="99"/>
        <v/>
      </c>
      <c r="AQ691" s="16" t="e">
        <f>IF(AP691="",NA(),COUNTIF(AP$176:$AP691,AP691))</f>
        <v>#N/A</v>
      </c>
      <c r="AR691" s="16" t="e">
        <f t="shared" si="100"/>
        <v>#N/A</v>
      </c>
      <c r="BI691" s="621">
        <v>683</v>
      </c>
      <c r="BJ691" s="711"/>
      <c r="BK691" s="712"/>
      <c r="BL691" s="713">
        <v>683</v>
      </c>
      <c r="BM691" s="714"/>
      <c r="BN691" s="239"/>
      <c r="BO691" s="24"/>
      <c r="BQ691" s="621">
        <v>683</v>
      </c>
      <c r="BR691" s="711"/>
      <c r="BS691" s="712"/>
      <c r="BT691" s="713">
        <v>683</v>
      </c>
      <c r="BU691" s="714"/>
      <c r="BV691" s="239"/>
      <c r="BW691" s="24"/>
      <c r="BY691" s="621">
        <v>683</v>
      </c>
      <c r="BZ691" s="711"/>
      <c r="CA691" s="712"/>
      <c r="CB691" s="713">
        <v>683</v>
      </c>
      <c r="CC691" s="714"/>
      <c r="CD691" s="239"/>
      <c r="CE691" s="24"/>
    </row>
    <row r="692" spans="5:83" ht="12" customHeight="1">
      <c r="E692" s="621">
        <v>684</v>
      </c>
      <c r="F692" s="711"/>
      <c r="G692" s="712"/>
      <c r="H692" s="713">
        <v>684</v>
      </c>
      <c r="I692" s="714"/>
      <c r="J692" s="239"/>
      <c r="K692" s="24"/>
      <c r="AI692" s="16" t="e">
        <f t="shared" si="93"/>
        <v>#N/A</v>
      </c>
      <c r="AJ692" s="16" t="str">
        <f t="shared" si="94"/>
        <v/>
      </c>
      <c r="AK692" s="16" t="str">
        <f t="shared" si="95"/>
        <v/>
      </c>
      <c r="AL692" s="16" t="e">
        <f>IF(AK692="",NA(),COUNTIF(AK$176:$AK692,AK692))</f>
        <v>#N/A</v>
      </c>
      <c r="AM692" s="16" t="e">
        <f t="shared" si="96"/>
        <v>#N/A</v>
      </c>
      <c r="AN692" s="16" t="e">
        <f t="shared" si="97"/>
        <v>#N/A</v>
      </c>
      <c r="AO692" s="16" t="str">
        <f t="shared" si="98"/>
        <v/>
      </c>
      <c r="AP692" s="16" t="str">
        <f t="shared" si="99"/>
        <v/>
      </c>
      <c r="AQ692" s="16" t="e">
        <f>IF(AP692="",NA(),COUNTIF(AP$176:$AP692,AP692))</f>
        <v>#N/A</v>
      </c>
      <c r="AR692" s="16" t="e">
        <f t="shared" si="100"/>
        <v>#N/A</v>
      </c>
      <c r="BI692" s="621">
        <v>684</v>
      </c>
      <c r="BJ692" s="711"/>
      <c r="BK692" s="712"/>
      <c r="BL692" s="713">
        <v>684</v>
      </c>
      <c r="BM692" s="714"/>
      <c r="BN692" s="239"/>
      <c r="BO692" s="24"/>
      <c r="BQ692" s="621">
        <v>684</v>
      </c>
      <c r="BR692" s="711"/>
      <c r="BS692" s="712"/>
      <c r="BT692" s="713">
        <v>684</v>
      </c>
      <c r="BU692" s="714"/>
      <c r="BV692" s="239"/>
      <c r="BW692" s="24"/>
      <c r="BY692" s="621">
        <v>684</v>
      </c>
      <c r="BZ692" s="711"/>
      <c r="CA692" s="712"/>
      <c r="CB692" s="713">
        <v>684</v>
      </c>
      <c r="CC692" s="714"/>
      <c r="CD692" s="239"/>
      <c r="CE692" s="24"/>
    </row>
    <row r="693" spans="5:83" ht="12" customHeight="1">
      <c r="E693" s="621">
        <v>685</v>
      </c>
      <c r="F693" s="711"/>
      <c r="G693" s="712"/>
      <c r="H693" s="713">
        <v>685</v>
      </c>
      <c r="I693" s="714"/>
      <c r="J693" s="239"/>
      <c r="K693" s="24"/>
      <c r="AI693" s="16" t="e">
        <f t="shared" si="93"/>
        <v>#N/A</v>
      </c>
      <c r="AJ693" s="16" t="str">
        <f t="shared" si="94"/>
        <v/>
      </c>
      <c r="AK693" s="16" t="str">
        <f t="shared" si="95"/>
        <v/>
      </c>
      <c r="AL693" s="16" t="e">
        <f>IF(AK693="",NA(),COUNTIF(AK$176:$AK693,AK693))</f>
        <v>#N/A</v>
      </c>
      <c r="AM693" s="16" t="e">
        <f t="shared" si="96"/>
        <v>#N/A</v>
      </c>
      <c r="AN693" s="16" t="e">
        <f t="shared" si="97"/>
        <v>#N/A</v>
      </c>
      <c r="AO693" s="16" t="str">
        <f t="shared" si="98"/>
        <v/>
      </c>
      <c r="AP693" s="16" t="str">
        <f t="shared" si="99"/>
        <v/>
      </c>
      <c r="AQ693" s="16" t="e">
        <f>IF(AP693="",NA(),COUNTIF(AP$176:$AP693,AP693))</f>
        <v>#N/A</v>
      </c>
      <c r="AR693" s="16" t="e">
        <f t="shared" si="100"/>
        <v>#N/A</v>
      </c>
      <c r="BI693" s="621">
        <v>685</v>
      </c>
      <c r="BJ693" s="711"/>
      <c r="BK693" s="712"/>
      <c r="BL693" s="713">
        <v>685</v>
      </c>
      <c r="BM693" s="714"/>
      <c r="BN693" s="239"/>
      <c r="BO693" s="24"/>
      <c r="BQ693" s="621">
        <v>685</v>
      </c>
      <c r="BR693" s="711"/>
      <c r="BS693" s="712"/>
      <c r="BT693" s="713">
        <v>685</v>
      </c>
      <c r="BU693" s="714"/>
      <c r="BV693" s="239"/>
      <c r="BW693" s="24"/>
      <c r="BY693" s="621">
        <v>685</v>
      </c>
      <c r="BZ693" s="711"/>
      <c r="CA693" s="712"/>
      <c r="CB693" s="713">
        <v>685</v>
      </c>
      <c r="CC693" s="714"/>
      <c r="CD693" s="239"/>
      <c r="CE693" s="24"/>
    </row>
    <row r="694" spans="5:83" ht="12" customHeight="1">
      <c r="E694" s="621">
        <v>686</v>
      </c>
      <c r="F694" s="711"/>
      <c r="G694" s="712"/>
      <c r="H694" s="713">
        <v>686</v>
      </c>
      <c r="I694" s="714"/>
      <c r="J694" s="239"/>
      <c r="K694" s="24"/>
      <c r="AI694" s="16" t="e">
        <f t="shared" si="93"/>
        <v>#N/A</v>
      </c>
      <c r="AJ694" s="16" t="str">
        <f t="shared" si="94"/>
        <v/>
      </c>
      <c r="AK694" s="16" t="str">
        <f t="shared" si="95"/>
        <v/>
      </c>
      <c r="AL694" s="16" t="e">
        <f>IF(AK694="",NA(),COUNTIF(AK$176:$AK694,AK694))</f>
        <v>#N/A</v>
      </c>
      <c r="AM694" s="16" t="e">
        <f t="shared" si="96"/>
        <v>#N/A</v>
      </c>
      <c r="AN694" s="16" t="e">
        <f t="shared" si="97"/>
        <v>#N/A</v>
      </c>
      <c r="AO694" s="16" t="str">
        <f t="shared" si="98"/>
        <v/>
      </c>
      <c r="AP694" s="16" t="str">
        <f t="shared" si="99"/>
        <v/>
      </c>
      <c r="AQ694" s="16" t="e">
        <f>IF(AP694="",NA(),COUNTIF(AP$176:$AP694,AP694))</f>
        <v>#N/A</v>
      </c>
      <c r="AR694" s="16" t="e">
        <f t="shared" si="100"/>
        <v>#N/A</v>
      </c>
      <c r="BI694" s="621">
        <v>686</v>
      </c>
      <c r="BJ694" s="711"/>
      <c r="BK694" s="712"/>
      <c r="BL694" s="713">
        <v>686</v>
      </c>
      <c r="BM694" s="714"/>
      <c r="BN694" s="239"/>
      <c r="BO694" s="24"/>
      <c r="BQ694" s="621">
        <v>686</v>
      </c>
      <c r="BR694" s="711"/>
      <c r="BS694" s="712"/>
      <c r="BT694" s="713">
        <v>686</v>
      </c>
      <c r="BU694" s="714"/>
      <c r="BV694" s="239"/>
      <c r="BW694" s="24"/>
      <c r="BY694" s="621">
        <v>686</v>
      </c>
      <c r="BZ694" s="711"/>
      <c r="CA694" s="712"/>
      <c r="CB694" s="713">
        <v>686</v>
      </c>
      <c r="CC694" s="714"/>
      <c r="CD694" s="239"/>
      <c r="CE694" s="24"/>
    </row>
    <row r="695" spans="5:83" ht="12" customHeight="1">
      <c r="E695" s="621">
        <v>687</v>
      </c>
      <c r="F695" s="711"/>
      <c r="G695" s="712"/>
      <c r="H695" s="713">
        <v>687</v>
      </c>
      <c r="I695" s="714"/>
      <c r="J695" s="239"/>
      <c r="K695" s="24"/>
      <c r="AI695" s="16" t="e">
        <f t="shared" si="93"/>
        <v>#N/A</v>
      </c>
      <c r="AJ695" s="16" t="str">
        <f t="shared" si="94"/>
        <v/>
      </c>
      <c r="AK695" s="16" t="str">
        <f t="shared" si="95"/>
        <v/>
      </c>
      <c r="AL695" s="16" t="e">
        <f>IF(AK695="",NA(),COUNTIF(AK$176:$AK695,AK695))</f>
        <v>#N/A</v>
      </c>
      <c r="AM695" s="16" t="e">
        <f t="shared" si="96"/>
        <v>#N/A</v>
      </c>
      <c r="AN695" s="16" t="e">
        <f t="shared" si="97"/>
        <v>#N/A</v>
      </c>
      <c r="AO695" s="16" t="str">
        <f t="shared" si="98"/>
        <v/>
      </c>
      <c r="AP695" s="16" t="str">
        <f t="shared" si="99"/>
        <v/>
      </c>
      <c r="AQ695" s="16" t="e">
        <f>IF(AP695="",NA(),COUNTIF(AP$176:$AP695,AP695))</f>
        <v>#N/A</v>
      </c>
      <c r="AR695" s="16" t="e">
        <f t="shared" si="100"/>
        <v>#N/A</v>
      </c>
      <c r="BI695" s="621">
        <v>687</v>
      </c>
      <c r="BJ695" s="711"/>
      <c r="BK695" s="712"/>
      <c r="BL695" s="713">
        <v>687</v>
      </c>
      <c r="BM695" s="714"/>
      <c r="BN695" s="239"/>
      <c r="BO695" s="24"/>
      <c r="BQ695" s="621">
        <v>687</v>
      </c>
      <c r="BR695" s="711"/>
      <c r="BS695" s="712"/>
      <c r="BT695" s="713">
        <v>687</v>
      </c>
      <c r="BU695" s="714"/>
      <c r="BV695" s="239"/>
      <c r="BW695" s="24"/>
      <c r="BY695" s="621">
        <v>687</v>
      </c>
      <c r="BZ695" s="711"/>
      <c r="CA695" s="712"/>
      <c r="CB695" s="713">
        <v>687</v>
      </c>
      <c r="CC695" s="714"/>
      <c r="CD695" s="239"/>
      <c r="CE695" s="24"/>
    </row>
    <row r="696" spans="5:83" ht="12" customHeight="1">
      <c r="E696" s="621">
        <v>688</v>
      </c>
      <c r="F696" s="711"/>
      <c r="G696" s="712"/>
      <c r="H696" s="713">
        <v>688</v>
      </c>
      <c r="I696" s="714"/>
      <c r="J696" s="239"/>
      <c r="K696" s="24"/>
      <c r="AI696" s="16" t="e">
        <f t="shared" si="93"/>
        <v>#N/A</v>
      </c>
      <c r="AJ696" s="16" t="str">
        <f t="shared" si="94"/>
        <v/>
      </c>
      <c r="AK696" s="16" t="str">
        <f t="shared" si="95"/>
        <v/>
      </c>
      <c r="AL696" s="16" t="e">
        <f>IF(AK696="",NA(),COUNTIF(AK$176:$AK696,AK696))</f>
        <v>#N/A</v>
      </c>
      <c r="AM696" s="16" t="e">
        <f t="shared" si="96"/>
        <v>#N/A</v>
      </c>
      <c r="AN696" s="16" t="e">
        <f t="shared" si="97"/>
        <v>#N/A</v>
      </c>
      <c r="AO696" s="16" t="str">
        <f t="shared" si="98"/>
        <v/>
      </c>
      <c r="AP696" s="16" t="str">
        <f t="shared" si="99"/>
        <v/>
      </c>
      <c r="AQ696" s="16" t="e">
        <f>IF(AP696="",NA(),COUNTIF(AP$176:$AP696,AP696))</f>
        <v>#N/A</v>
      </c>
      <c r="AR696" s="16" t="e">
        <f t="shared" si="100"/>
        <v>#N/A</v>
      </c>
      <c r="BI696" s="621">
        <v>688</v>
      </c>
      <c r="BJ696" s="711"/>
      <c r="BK696" s="712"/>
      <c r="BL696" s="713">
        <v>688</v>
      </c>
      <c r="BM696" s="714"/>
      <c r="BN696" s="239"/>
      <c r="BO696" s="24"/>
      <c r="BQ696" s="621">
        <v>688</v>
      </c>
      <c r="BR696" s="711"/>
      <c r="BS696" s="712"/>
      <c r="BT696" s="713">
        <v>688</v>
      </c>
      <c r="BU696" s="714"/>
      <c r="BV696" s="239"/>
      <c r="BW696" s="24"/>
      <c r="BY696" s="621">
        <v>688</v>
      </c>
      <c r="BZ696" s="711"/>
      <c r="CA696" s="712"/>
      <c r="CB696" s="713">
        <v>688</v>
      </c>
      <c r="CC696" s="714"/>
      <c r="CD696" s="239"/>
      <c r="CE696" s="24"/>
    </row>
    <row r="697" spans="5:83" ht="12" customHeight="1">
      <c r="E697" s="621">
        <v>689</v>
      </c>
      <c r="F697" s="711"/>
      <c r="G697" s="712"/>
      <c r="H697" s="713">
        <v>689</v>
      </c>
      <c r="I697" s="714"/>
      <c r="J697" s="239"/>
      <c r="K697" s="24"/>
      <c r="AI697" s="16" t="e">
        <f t="shared" si="93"/>
        <v>#N/A</v>
      </c>
      <c r="AJ697" s="16" t="str">
        <f t="shared" si="94"/>
        <v/>
      </c>
      <c r="AK697" s="16" t="str">
        <f t="shared" si="95"/>
        <v/>
      </c>
      <c r="AL697" s="16" t="e">
        <f>IF(AK697="",NA(),COUNTIF(AK$176:$AK697,AK697))</f>
        <v>#N/A</v>
      </c>
      <c r="AM697" s="16" t="e">
        <f t="shared" si="96"/>
        <v>#N/A</v>
      </c>
      <c r="AN697" s="16" t="e">
        <f t="shared" si="97"/>
        <v>#N/A</v>
      </c>
      <c r="AO697" s="16" t="str">
        <f t="shared" si="98"/>
        <v/>
      </c>
      <c r="AP697" s="16" t="str">
        <f t="shared" si="99"/>
        <v/>
      </c>
      <c r="AQ697" s="16" t="e">
        <f>IF(AP697="",NA(),COUNTIF(AP$176:$AP697,AP697))</f>
        <v>#N/A</v>
      </c>
      <c r="AR697" s="16" t="e">
        <f t="shared" si="100"/>
        <v>#N/A</v>
      </c>
      <c r="BI697" s="621">
        <v>689</v>
      </c>
      <c r="BJ697" s="711"/>
      <c r="BK697" s="712"/>
      <c r="BL697" s="713">
        <v>689</v>
      </c>
      <c r="BM697" s="714"/>
      <c r="BN697" s="239"/>
      <c r="BO697" s="24"/>
      <c r="BQ697" s="621">
        <v>689</v>
      </c>
      <c r="BR697" s="711"/>
      <c r="BS697" s="712"/>
      <c r="BT697" s="713">
        <v>689</v>
      </c>
      <c r="BU697" s="714"/>
      <c r="BV697" s="239"/>
      <c r="BW697" s="24"/>
      <c r="BY697" s="621">
        <v>689</v>
      </c>
      <c r="BZ697" s="711"/>
      <c r="CA697" s="712"/>
      <c r="CB697" s="713">
        <v>689</v>
      </c>
      <c r="CC697" s="714"/>
      <c r="CD697" s="239"/>
      <c r="CE697" s="24"/>
    </row>
    <row r="698" spans="5:83" ht="12" customHeight="1">
      <c r="E698" s="621">
        <v>690</v>
      </c>
      <c r="F698" s="711"/>
      <c r="G698" s="712"/>
      <c r="H698" s="713">
        <v>690</v>
      </c>
      <c r="I698" s="714"/>
      <c r="J698" s="239"/>
      <c r="K698" s="24"/>
      <c r="AI698" s="16" t="e">
        <f t="shared" si="93"/>
        <v>#N/A</v>
      </c>
      <c r="AJ698" s="16" t="str">
        <f t="shared" si="94"/>
        <v/>
      </c>
      <c r="AK698" s="16" t="str">
        <f t="shared" si="95"/>
        <v/>
      </c>
      <c r="AL698" s="16" t="e">
        <f>IF(AK698="",NA(),COUNTIF(AK$176:$AK698,AK698))</f>
        <v>#N/A</v>
      </c>
      <c r="AM698" s="16" t="e">
        <f t="shared" si="96"/>
        <v>#N/A</v>
      </c>
      <c r="AN698" s="16" t="e">
        <f t="shared" si="97"/>
        <v>#N/A</v>
      </c>
      <c r="AO698" s="16" t="str">
        <f t="shared" si="98"/>
        <v/>
      </c>
      <c r="AP698" s="16" t="str">
        <f t="shared" si="99"/>
        <v/>
      </c>
      <c r="AQ698" s="16" t="e">
        <f>IF(AP698="",NA(),COUNTIF(AP$176:$AP698,AP698))</f>
        <v>#N/A</v>
      </c>
      <c r="AR698" s="16" t="e">
        <f t="shared" si="100"/>
        <v>#N/A</v>
      </c>
      <c r="BI698" s="621">
        <v>690</v>
      </c>
      <c r="BJ698" s="711"/>
      <c r="BK698" s="712"/>
      <c r="BL698" s="713">
        <v>690</v>
      </c>
      <c r="BM698" s="714"/>
      <c r="BN698" s="239"/>
      <c r="BO698" s="24"/>
      <c r="BQ698" s="621">
        <v>690</v>
      </c>
      <c r="BR698" s="711"/>
      <c r="BS698" s="712"/>
      <c r="BT698" s="713">
        <v>690</v>
      </c>
      <c r="BU698" s="714"/>
      <c r="BV698" s="239"/>
      <c r="BW698" s="24"/>
      <c r="BY698" s="621">
        <v>690</v>
      </c>
      <c r="BZ698" s="711"/>
      <c r="CA698" s="712"/>
      <c r="CB698" s="713">
        <v>690</v>
      </c>
      <c r="CC698" s="714"/>
      <c r="CD698" s="239"/>
      <c r="CE698" s="24"/>
    </row>
    <row r="699" spans="5:83" ht="12" customHeight="1">
      <c r="E699" s="621">
        <v>691</v>
      </c>
      <c r="F699" s="711"/>
      <c r="G699" s="712"/>
      <c r="H699" s="713">
        <v>691</v>
      </c>
      <c r="I699" s="714"/>
      <c r="J699" s="239"/>
      <c r="K699" s="24"/>
      <c r="AI699" s="16" t="e">
        <f t="shared" si="93"/>
        <v>#N/A</v>
      </c>
      <c r="AJ699" s="16" t="str">
        <f t="shared" si="94"/>
        <v/>
      </c>
      <c r="AK699" s="16" t="str">
        <f t="shared" si="95"/>
        <v/>
      </c>
      <c r="AL699" s="16" t="e">
        <f>IF(AK699="",NA(),COUNTIF(AK$176:$AK699,AK699))</f>
        <v>#N/A</v>
      </c>
      <c r="AM699" s="16" t="e">
        <f t="shared" si="96"/>
        <v>#N/A</v>
      </c>
      <c r="AN699" s="16" t="e">
        <f t="shared" si="97"/>
        <v>#N/A</v>
      </c>
      <c r="AO699" s="16" t="str">
        <f t="shared" si="98"/>
        <v/>
      </c>
      <c r="AP699" s="16" t="str">
        <f t="shared" si="99"/>
        <v/>
      </c>
      <c r="AQ699" s="16" t="e">
        <f>IF(AP699="",NA(),COUNTIF(AP$176:$AP699,AP699))</f>
        <v>#N/A</v>
      </c>
      <c r="AR699" s="16" t="e">
        <f t="shared" si="100"/>
        <v>#N/A</v>
      </c>
      <c r="BI699" s="621">
        <v>691</v>
      </c>
      <c r="BJ699" s="711"/>
      <c r="BK699" s="712"/>
      <c r="BL699" s="713">
        <v>691</v>
      </c>
      <c r="BM699" s="714"/>
      <c r="BN699" s="239"/>
      <c r="BO699" s="24"/>
      <c r="BQ699" s="621">
        <v>691</v>
      </c>
      <c r="BR699" s="711"/>
      <c r="BS699" s="712"/>
      <c r="BT699" s="713">
        <v>691</v>
      </c>
      <c r="BU699" s="714"/>
      <c r="BV699" s="239"/>
      <c r="BW699" s="24"/>
      <c r="BY699" s="621">
        <v>691</v>
      </c>
      <c r="BZ699" s="711"/>
      <c r="CA699" s="712"/>
      <c r="CB699" s="713">
        <v>691</v>
      </c>
      <c r="CC699" s="714"/>
      <c r="CD699" s="239"/>
      <c r="CE699" s="24"/>
    </row>
    <row r="700" spans="5:83" ht="12" customHeight="1">
      <c r="E700" s="621">
        <v>692</v>
      </c>
      <c r="F700" s="711"/>
      <c r="G700" s="712"/>
      <c r="H700" s="713">
        <v>692</v>
      </c>
      <c r="I700" s="714"/>
      <c r="J700" s="239"/>
      <c r="K700" s="24"/>
      <c r="AI700" s="16" t="e">
        <f t="shared" si="93"/>
        <v>#N/A</v>
      </c>
      <c r="AJ700" s="16" t="str">
        <f t="shared" si="94"/>
        <v/>
      </c>
      <c r="AK700" s="16" t="str">
        <f t="shared" si="95"/>
        <v/>
      </c>
      <c r="AL700" s="16" t="e">
        <f>IF(AK700="",NA(),COUNTIF(AK$176:$AK700,AK700))</f>
        <v>#N/A</v>
      </c>
      <c r="AM700" s="16" t="e">
        <f t="shared" si="96"/>
        <v>#N/A</v>
      </c>
      <c r="AN700" s="16" t="e">
        <f t="shared" si="97"/>
        <v>#N/A</v>
      </c>
      <c r="AO700" s="16" t="str">
        <f t="shared" si="98"/>
        <v/>
      </c>
      <c r="AP700" s="16" t="str">
        <f t="shared" si="99"/>
        <v/>
      </c>
      <c r="AQ700" s="16" t="e">
        <f>IF(AP700="",NA(),COUNTIF(AP$176:$AP700,AP700))</f>
        <v>#N/A</v>
      </c>
      <c r="AR700" s="16" t="e">
        <f t="shared" si="100"/>
        <v>#N/A</v>
      </c>
      <c r="BI700" s="621">
        <v>692</v>
      </c>
      <c r="BJ700" s="711"/>
      <c r="BK700" s="712"/>
      <c r="BL700" s="713">
        <v>692</v>
      </c>
      <c r="BM700" s="714"/>
      <c r="BN700" s="239"/>
      <c r="BO700" s="24"/>
      <c r="BQ700" s="621">
        <v>692</v>
      </c>
      <c r="BR700" s="711"/>
      <c r="BS700" s="712"/>
      <c r="BT700" s="713">
        <v>692</v>
      </c>
      <c r="BU700" s="714"/>
      <c r="BV700" s="239"/>
      <c r="BW700" s="24"/>
      <c r="BY700" s="621">
        <v>692</v>
      </c>
      <c r="BZ700" s="711"/>
      <c r="CA700" s="712"/>
      <c r="CB700" s="713">
        <v>692</v>
      </c>
      <c r="CC700" s="714"/>
      <c r="CD700" s="239"/>
      <c r="CE700" s="24"/>
    </row>
    <row r="701" spans="5:83" ht="12" customHeight="1">
      <c r="E701" s="621">
        <v>693</v>
      </c>
      <c r="F701" s="711"/>
      <c r="G701" s="712"/>
      <c r="H701" s="713">
        <v>693</v>
      </c>
      <c r="I701" s="714"/>
      <c r="J701" s="239"/>
      <c r="K701" s="24"/>
      <c r="AI701" s="16" t="e">
        <f t="shared" si="93"/>
        <v>#N/A</v>
      </c>
      <c r="AJ701" s="16" t="str">
        <f t="shared" si="94"/>
        <v/>
      </c>
      <c r="AK701" s="16" t="str">
        <f t="shared" si="95"/>
        <v/>
      </c>
      <c r="AL701" s="16" t="e">
        <f>IF(AK701="",NA(),COUNTIF(AK$176:$AK701,AK701))</f>
        <v>#N/A</v>
      </c>
      <c r="AM701" s="16" t="e">
        <f t="shared" si="96"/>
        <v>#N/A</v>
      </c>
      <c r="AN701" s="16" t="e">
        <f t="shared" si="97"/>
        <v>#N/A</v>
      </c>
      <c r="AO701" s="16" t="str">
        <f t="shared" si="98"/>
        <v/>
      </c>
      <c r="AP701" s="16" t="str">
        <f t="shared" si="99"/>
        <v/>
      </c>
      <c r="AQ701" s="16" t="e">
        <f>IF(AP701="",NA(),COUNTIF(AP$176:$AP701,AP701))</f>
        <v>#N/A</v>
      </c>
      <c r="AR701" s="16" t="e">
        <f t="shared" si="100"/>
        <v>#N/A</v>
      </c>
      <c r="BI701" s="621">
        <v>693</v>
      </c>
      <c r="BJ701" s="711"/>
      <c r="BK701" s="712"/>
      <c r="BL701" s="713">
        <v>693</v>
      </c>
      <c r="BM701" s="714"/>
      <c r="BN701" s="239"/>
      <c r="BO701" s="24"/>
      <c r="BQ701" s="621">
        <v>693</v>
      </c>
      <c r="BR701" s="711"/>
      <c r="BS701" s="712"/>
      <c r="BT701" s="713">
        <v>693</v>
      </c>
      <c r="BU701" s="714"/>
      <c r="BV701" s="239"/>
      <c r="BW701" s="24"/>
      <c r="BY701" s="621">
        <v>693</v>
      </c>
      <c r="BZ701" s="711"/>
      <c r="CA701" s="712"/>
      <c r="CB701" s="713">
        <v>693</v>
      </c>
      <c r="CC701" s="714"/>
      <c r="CD701" s="239"/>
      <c r="CE701" s="24"/>
    </row>
    <row r="702" spans="5:83" ht="12" customHeight="1">
      <c r="E702" s="621">
        <v>694</v>
      </c>
      <c r="F702" s="711"/>
      <c r="G702" s="712"/>
      <c r="H702" s="713">
        <v>694</v>
      </c>
      <c r="I702" s="714"/>
      <c r="J702" s="239"/>
      <c r="K702" s="24"/>
      <c r="AI702" s="16" t="e">
        <f t="shared" si="93"/>
        <v>#N/A</v>
      </c>
      <c r="AJ702" s="16" t="str">
        <f t="shared" si="94"/>
        <v/>
      </c>
      <c r="AK702" s="16" t="str">
        <f t="shared" si="95"/>
        <v/>
      </c>
      <c r="AL702" s="16" t="e">
        <f>IF(AK702="",NA(),COUNTIF(AK$176:$AK702,AK702))</f>
        <v>#N/A</v>
      </c>
      <c r="AM702" s="16" t="e">
        <f t="shared" si="96"/>
        <v>#N/A</v>
      </c>
      <c r="AN702" s="16" t="e">
        <f t="shared" si="97"/>
        <v>#N/A</v>
      </c>
      <c r="AO702" s="16" t="str">
        <f t="shared" si="98"/>
        <v/>
      </c>
      <c r="AP702" s="16" t="str">
        <f t="shared" si="99"/>
        <v/>
      </c>
      <c r="AQ702" s="16" t="e">
        <f>IF(AP702="",NA(),COUNTIF(AP$176:$AP702,AP702))</f>
        <v>#N/A</v>
      </c>
      <c r="AR702" s="16" t="e">
        <f t="shared" si="100"/>
        <v>#N/A</v>
      </c>
      <c r="BI702" s="621">
        <v>694</v>
      </c>
      <c r="BJ702" s="711"/>
      <c r="BK702" s="712"/>
      <c r="BL702" s="713">
        <v>694</v>
      </c>
      <c r="BM702" s="714"/>
      <c r="BN702" s="239"/>
      <c r="BO702" s="24"/>
      <c r="BQ702" s="621">
        <v>694</v>
      </c>
      <c r="BR702" s="711"/>
      <c r="BS702" s="712"/>
      <c r="BT702" s="713">
        <v>694</v>
      </c>
      <c r="BU702" s="714"/>
      <c r="BV702" s="239"/>
      <c r="BW702" s="24"/>
      <c r="BY702" s="621">
        <v>694</v>
      </c>
      <c r="BZ702" s="711"/>
      <c r="CA702" s="712"/>
      <c r="CB702" s="713">
        <v>694</v>
      </c>
      <c r="CC702" s="714"/>
      <c r="CD702" s="239"/>
      <c r="CE702" s="24"/>
    </row>
    <row r="703" spans="5:83" ht="12" customHeight="1">
      <c r="E703" s="621">
        <v>695</v>
      </c>
      <c r="F703" s="711"/>
      <c r="G703" s="712"/>
      <c r="H703" s="713">
        <v>695</v>
      </c>
      <c r="I703" s="714"/>
      <c r="J703" s="239"/>
      <c r="K703" s="24"/>
      <c r="AI703" s="16" t="e">
        <f t="shared" si="93"/>
        <v>#N/A</v>
      </c>
      <c r="AJ703" s="16" t="str">
        <f t="shared" si="94"/>
        <v/>
      </c>
      <c r="AK703" s="16" t="str">
        <f t="shared" si="95"/>
        <v/>
      </c>
      <c r="AL703" s="16" t="e">
        <f>IF(AK703="",NA(),COUNTIF(AK$176:$AK703,AK703))</f>
        <v>#N/A</v>
      </c>
      <c r="AM703" s="16" t="e">
        <f t="shared" si="96"/>
        <v>#N/A</v>
      </c>
      <c r="AN703" s="16" t="e">
        <f t="shared" si="97"/>
        <v>#N/A</v>
      </c>
      <c r="AO703" s="16" t="str">
        <f t="shared" si="98"/>
        <v/>
      </c>
      <c r="AP703" s="16" t="str">
        <f t="shared" si="99"/>
        <v/>
      </c>
      <c r="AQ703" s="16" t="e">
        <f>IF(AP703="",NA(),COUNTIF(AP$176:$AP703,AP703))</f>
        <v>#N/A</v>
      </c>
      <c r="AR703" s="16" t="e">
        <f t="shared" si="100"/>
        <v>#N/A</v>
      </c>
      <c r="BI703" s="621">
        <v>695</v>
      </c>
      <c r="BJ703" s="711"/>
      <c r="BK703" s="712"/>
      <c r="BL703" s="713">
        <v>695</v>
      </c>
      <c r="BM703" s="714"/>
      <c r="BN703" s="239"/>
      <c r="BO703" s="24"/>
      <c r="BQ703" s="621">
        <v>695</v>
      </c>
      <c r="BR703" s="711"/>
      <c r="BS703" s="712"/>
      <c r="BT703" s="713">
        <v>695</v>
      </c>
      <c r="BU703" s="714"/>
      <c r="BV703" s="239"/>
      <c r="BW703" s="24"/>
      <c r="BY703" s="621">
        <v>695</v>
      </c>
      <c r="BZ703" s="711"/>
      <c r="CA703" s="712"/>
      <c r="CB703" s="713">
        <v>695</v>
      </c>
      <c r="CC703" s="714"/>
      <c r="CD703" s="239"/>
      <c r="CE703" s="24"/>
    </row>
    <row r="704" spans="5:83" ht="12" customHeight="1">
      <c r="E704" s="621">
        <v>696</v>
      </c>
      <c r="F704" s="711"/>
      <c r="G704" s="712"/>
      <c r="H704" s="713">
        <v>696</v>
      </c>
      <c r="I704" s="714"/>
      <c r="J704" s="239"/>
      <c r="K704" s="24"/>
      <c r="AI704" s="16" t="e">
        <f t="shared" si="93"/>
        <v>#N/A</v>
      </c>
      <c r="AJ704" s="16" t="str">
        <f t="shared" si="94"/>
        <v/>
      </c>
      <c r="AK704" s="16" t="str">
        <f t="shared" si="95"/>
        <v/>
      </c>
      <c r="AL704" s="16" t="e">
        <f>IF(AK704="",NA(),COUNTIF(AK$176:$AK704,AK704))</f>
        <v>#N/A</v>
      </c>
      <c r="AM704" s="16" t="e">
        <f t="shared" si="96"/>
        <v>#N/A</v>
      </c>
      <c r="AN704" s="16" t="e">
        <f t="shared" si="97"/>
        <v>#N/A</v>
      </c>
      <c r="AO704" s="16" t="str">
        <f t="shared" si="98"/>
        <v/>
      </c>
      <c r="AP704" s="16" t="str">
        <f t="shared" si="99"/>
        <v/>
      </c>
      <c r="AQ704" s="16" t="e">
        <f>IF(AP704="",NA(),COUNTIF(AP$176:$AP704,AP704))</f>
        <v>#N/A</v>
      </c>
      <c r="AR704" s="16" t="e">
        <f t="shared" si="100"/>
        <v>#N/A</v>
      </c>
      <c r="BI704" s="621">
        <v>696</v>
      </c>
      <c r="BJ704" s="711"/>
      <c r="BK704" s="712"/>
      <c r="BL704" s="713">
        <v>696</v>
      </c>
      <c r="BM704" s="714"/>
      <c r="BN704" s="239"/>
      <c r="BO704" s="24"/>
      <c r="BQ704" s="621">
        <v>696</v>
      </c>
      <c r="BR704" s="711"/>
      <c r="BS704" s="712"/>
      <c r="BT704" s="713">
        <v>696</v>
      </c>
      <c r="BU704" s="714"/>
      <c r="BV704" s="239"/>
      <c r="BW704" s="24"/>
      <c r="BY704" s="621">
        <v>696</v>
      </c>
      <c r="BZ704" s="711"/>
      <c r="CA704" s="712"/>
      <c r="CB704" s="713">
        <v>696</v>
      </c>
      <c r="CC704" s="714"/>
      <c r="CD704" s="239"/>
      <c r="CE704" s="24"/>
    </row>
    <row r="705" spans="5:83" ht="12" customHeight="1">
      <c r="E705" s="621">
        <v>697</v>
      </c>
      <c r="F705" s="711"/>
      <c r="G705" s="712"/>
      <c r="H705" s="713">
        <v>697</v>
      </c>
      <c r="I705" s="714"/>
      <c r="J705" s="239"/>
      <c r="K705" s="24"/>
      <c r="AI705" s="16" t="e">
        <f t="shared" si="93"/>
        <v>#N/A</v>
      </c>
      <c r="AJ705" s="16" t="str">
        <f t="shared" si="94"/>
        <v/>
      </c>
      <c r="AK705" s="16" t="str">
        <f t="shared" si="95"/>
        <v/>
      </c>
      <c r="AL705" s="16" t="e">
        <f>IF(AK705="",NA(),COUNTIF(AK$176:$AK705,AK705))</f>
        <v>#N/A</v>
      </c>
      <c r="AM705" s="16" t="e">
        <f t="shared" si="96"/>
        <v>#N/A</v>
      </c>
      <c r="AN705" s="16" t="e">
        <f t="shared" si="97"/>
        <v>#N/A</v>
      </c>
      <c r="AO705" s="16" t="str">
        <f t="shared" si="98"/>
        <v/>
      </c>
      <c r="AP705" s="16" t="str">
        <f t="shared" si="99"/>
        <v/>
      </c>
      <c r="AQ705" s="16" t="e">
        <f>IF(AP705="",NA(),COUNTIF(AP$176:$AP705,AP705))</f>
        <v>#N/A</v>
      </c>
      <c r="AR705" s="16" t="e">
        <f t="shared" si="100"/>
        <v>#N/A</v>
      </c>
      <c r="BI705" s="621">
        <v>697</v>
      </c>
      <c r="BJ705" s="711"/>
      <c r="BK705" s="712"/>
      <c r="BL705" s="713">
        <v>697</v>
      </c>
      <c r="BM705" s="714"/>
      <c r="BN705" s="239"/>
      <c r="BO705" s="24"/>
      <c r="BQ705" s="621">
        <v>697</v>
      </c>
      <c r="BR705" s="711"/>
      <c r="BS705" s="712"/>
      <c r="BT705" s="713">
        <v>697</v>
      </c>
      <c r="BU705" s="714"/>
      <c r="BV705" s="239"/>
      <c r="BW705" s="24"/>
      <c r="BY705" s="621">
        <v>697</v>
      </c>
      <c r="BZ705" s="711"/>
      <c r="CA705" s="712"/>
      <c r="CB705" s="713">
        <v>697</v>
      </c>
      <c r="CC705" s="714"/>
      <c r="CD705" s="239"/>
      <c r="CE705" s="24"/>
    </row>
    <row r="706" spans="5:83" ht="12" customHeight="1">
      <c r="E706" s="621">
        <v>698</v>
      </c>
      <c r="F706" s="711"/>
      <c r="G706" s="712"/>
      <c r="H706" s="713">
        <v>698</v>
      </c>
      <c r="I706" s="714"/>
      <c r="J706" s="239"/>
      <c r="K706" s="24"/>
      <c r="AI706" s="16" t="e">
        <f t="shared" si="93"/>
        <v>#N/A</v>
      </c>
      <c r="AJ706" s="16" t="str">
        <f t="shared" si="94"/>
        <v/>
      </c>
      <c r="AK706" s="16" t="str">
        <f t="shared" si="95"/>
        <v/>
      </c>
      <c r="AL706" s="16" t="e">
        <f>IF(AK706="",NA(),COUNTIF(AK$176:$AK706,AK706))</f>
        <v>#N/A</v>
      </c>
      <c r="AM706" s="16" t="e">
        <f t="shared" si="96"/>
        <v>#N/A</v>
      </c>
      <c r="AN706" s="16" t="e">
        <f t="shared" si="97"/>
        <v>#N/A</v>
      </c>
      <c r="AO706" s="16" t="str">
        <f t="shared" si="98"/>
        <v/>
      </c>
      <c r="AP706" s="16" t="str">
        <f t="shared" si="99"/>
        <v/>
      </c>
      <c r="AQ706" s="16" t="e">
        <f>IF(AP706="",NA(),COUNTIF(AP$176:$AP706,AP706))</f>
        <v>#N/A</v>
      </c>
      <c r="AR706" s="16" t="e">
        <f t="shared" si="100"/>
        <v>#N/A</v>
      </c>
      <c r="BI706" s="621">
        <v>698</v>
      </c>
      <c r="BJ706" s="711"/>
      <c r="BK706" s="712"/>
      <c r="BL706" s="713">
        <v>698</v>
      </c>
      <c r="BM706" s="714"/>
      <c r="BN706" s="239"/>
      <c r="BO706" s="24"/>
      <c r="BQ706" s="621">
        <v>698</v>
      </c>
      <c r="BR706" s="711"/>
      <c r="BS706" s="712"/>
      <c r="BT706" s="713">
        <v>698</v>
      </c>
      <c r="BU706" s="714"/>
      <c r="BV706" s="239"/>
      <c r="BW706" s="24"/>
      <c r="BY706" s="621">
        <v>698</v>
      </c>
      <c r="BZ706" s="711"/>
      <c r="CA706" s="712"/>
      <c r="CB706" s="713">
        <v>698</v>
      </c>
      <c r="CC706" s="714"/>
      <c r="CD706" s="239"/>
      <c r="CE706" s="24"/>
    </row>
    <row r="707" spans="5:83" ht="12" customHeight="1">
      <c r="E707" s="621">
        <v>699</v>
      </c>
      <c r="F707" s="711"/>
      <c r="G707" s="712"/>
      <c r="H707" s="713">
        <v>699</v>
      </c>
      <c r="I707" s="714"/>
      <c r="J707" s="239"/>
      <c r="K707" s="24"/>
      <c r="AI707" s="16" t="e">
        <f t="shared" si="93"/>
        <v>#N/A</v>
      </c>
      <c r="AJ707" s="16" t="str">
        <f t="shared" si="94"/>
        <v/>
      </c>
      <c r="AK707" s="16" t="str">
        <f t="shared" si="95"/>
        <v/>
      </c>
      <c r="AL707" s="16" t="e">
        <f>IF(AK707="",NA(),COUNTIF(AK$176:$AK707,AK707))</f>
        <v>#N/A</v>
      </c>
      <c r="AM707" s="16" t="e">
        <f t="shared" si="96"/>
        <v>#N/A</v>
      </c>
      <c r="AN707" s="16" t="e">
        <f t="shared" si="97"/>
        <v>#N/A</v>
      </c>
      <c r="AO707" s="16" t="str">
        <f t="shared" si="98"/>
        <v/>
      </c>
      <c r="AP707" s="16" t="str">
        <f t="shared" si="99"/>
        <v/>
      </c>
      <c r="AQ707" s="16" t="e">
        <f>IF(AP707="",NA(),COUNTIF(AP$176:$AP707,AP707))</f>
        <v>#N/A</v>
      </c>
      <c r="AR707" s="16" t="e">
        <f t="shared" si="100"/>
        <v>#N/A</v>
      </c>
      <c r="BI707" s="621">
        <v>699</v>
      </c>
      <c r="BJ707" s="711"/>
      <c r="BK707" s="712"/>
      <c r="BL707" s="713">
        <v>699</v>
      </c>
      <c r="BM707" s="714"/>
      <c r="BN707" s="239"/>
      <c r="BO707" s="24"/>
      <c r="BQ707" s="621">
        <v>699</v>
      </c>
      <c r="BR707" s="711"/>
      <c r="BS707" s="712"/>
      <c r="BT707" s="713">
        <v>699</v>
      </c>
      <c r="BU707" s="714"/>
      <c r="BV707" s="239"/>
      <c r="BW707" s="24"/>
      <c r="BY707" s="621">
        <v>699</v>
      </c>
      <c r="BZ707" s="711"/>
      <c r="CA707" s="712"/>
      <c r="CB707" s="713">
        <v>699</v>
      </c>
      <c r="CC707" s="714"/>
      <c r="CD707" s="239"/>
      <c r="CE707" s="24"/>
    </row>
    <row r="708" spans="5:83" ht="12" customHeight="1">
      <c r="E708" s="621">
        <v>700</v>
      </c>
      <c r="F708" s="711"/>
      <c r="G708" s="712"/>
      <c r="H708" s="713">
        <v>700</v>
      </c>
      <c r="I708" s="714"/>
      <c r="J708" s="239"/>
      <c r="K708" s="24"/>
      <c r="AI708" s="16" t="e">
        <f t="shared" si="93"/>
        <v>#N/A</v>
      </c>
      <c r="AJ708" s="16" t="str">
        <f t="shared" si="94"/>
        <v/>
      </c>
      <c r="AK708" s="16" t="str">
        <f t="shared" si="95"/>
        <v/>
      </c>
      <c r="AL708" s="16" t="e">
        <f>IF(AK708="",NA(),COUNTIF(AK$176:$AK708,AK708))</f>
        <v>#N/A</v>
      </c>
      <c r="AM708" s="16" t="e">
        <f t="shared" si="96"/>
        <v>#N/A</v>
      </c>
      <c r="AN708" s="16" t="e">
        <f t="shared" si="97"/>
        <v>#N/A</v>
      </c>
      <c r="AO708" s="16" t="str">
        <f t="shared" si="98"/>
        <v/>
      </c>
      <c r="AP708" s="16" t="str">
        <f t="shared" si="99"/>
        <v/>
      </c>
      <c r="AQ708" s="16" t="e">
        <f>IF(AP708="",NA(),COUNTIF(AP$176:$AP708,AP708))</f>
        <v>#N/A</v>
      </c>
      <c r="AR708" s="16" t="e">
        <f t="shared" si="100"/>
        <v>#N/A</v>
      </c>
      <c r="BI708" s="621">
        <v>700</v>
      </c>
      <c r="BJ708" s="711"/>
      <c r="BK708" s="712"/>
      <c r="BL708" s="713">
        <v>700</v>
      </c>
      <c r="BM708" s="714"/>
      <c r="BN708" s="239"/>
      <c r="BO708" s="24"/>
      <c r="BQ708" s="621">
        <v>700</v>
      </c>
      <c r="BR708" s="711"/>
      <c r="BS708" s="712"/>
      <c r="BT708" s="713">
        <v>700</v>
      </c>
      <c r="BU708" s="714"/>
      <c r="BV708" s="239"/>
      <c r="BW708" s="24"/>
      <c r="BY708" s="621">
        <v>700</v>
      </c>
      <c r="BZ708" s="711"/>
      <c r="CA708" s="712"/>
      <c r="CB708" s="713">
        <v>700</v>
      </c>
      <c r="CC708" s="714"/>
      <c r="CD708" s="239"/>
      <c r="CE708" s="24"/>
    </row>
    <row r="709" spans="5:83" ht="12" customHeight="1">
      <c r="E709" s="621">
        <v>701</v>
      </c>
      <c r="F709" s="711"/>
      <c r="G709" s="712"/>
      <c r="H709" s="713">
        <v>701</v>
      </c>
      <c r="I709" s="714"/>
      <c r="J709" s="239"/>
      <c r="K709" s="24"/>
      <c r="AI709" s="16" t="e">
        <f t="shared" si="93"/>
        <v>#N/A</v>
      </c>
      <c r="AJ709" s="16" t="str">
        <f t="shared" si="94"/>
        <v/>
      </c>
      <c r="AK709" s="16" t="str">
        <f t="shared" si="95"/>
        <v/>
      </c>
      <c r="AL709" s="16" t="e">
        <f>IF(AK709="",NA(),COUNTIF(AK$176:$AK709,AK709))</f>
        <v>#N/A</v>
      </c>
      <c r="AM709" s="16" t="e">
        <f t="shared" si="96"/>
        <v>#N/A</v>
      </c>
      <c r="AN709" s="16" t="e">
        <f t="shared" si="97"/>
        <v>#N/A</v>
      </c>
      <c r="AO709" s="16" t="str">
        <f t="shared" si="98"/>
        <v/>
      </c>
      <c r="AP709" s="16" t="str">
        <f t="shared" si="99"/>
        <v/>
      </c>
      <c r="AQ709" s="16" t="e">
        <f>IF(AP709="",NA(),COUNTIF(AP$176:$AP709,AP709))</f>
        <v>#N/A</v>
      </c>
      <c r="AR709" s="16" t="e">
        <f t="shared" si="100"/>
        <v>#N/A</v>
      </c>
      <c r="BI709" s="621">
        <v>701</v>
      </c>
      <c r="BJ709" s="711"/>
      <c r="BK709" s="712"/>
      <c r="BL709" s="713">
        <v>701</v>
      </c>
      <c r="BM709" s="714"/>
      <c r="BN709" s="239"/>
      <c r="BO709" s="24"/>
      <c r="BQ709" s="621">
        <v>701</v>
      </c>
      <c r="BR709" s="711"/>
      <c r="BS709" s="712"/>
      <c r="BT709" s="713">
        <v>701</v>
      </c>
      <c r="BU709" s="714"/>
      <c r="BV709" s="239"/>
      <c r="BW709" s="24"/>
      <c r="BY709" s="621">
        <v>701</v>
      </c>
      <c r="BZ709" s="711"/>
      <c r="CA709" s="712"/>
      <c r="CB709" s="713">
        <v>701</v>
      </c>
      <c r="CC709" s="714"/>
      <c r="CD709" s="239"/>
      <c r="CE709" s="24"/>
    </row>
    <row r="710" spans="5:83" ht="12" customHeight="1">
      <c r="E710" s="621">
        <v>702</v>
      </c>
      <c r="F710" s="711"/>
      <c r="G710" s="712"/>
      <c r="H710" s="713">
        <v>702</v>
      </c>
      <c r="I710" s="714"/>
      <c r="J710" s="239"/>
      <c r="K710" s="24"/>
      <c r="AI710" s="16" t="e">
        <f t="shared" si="93"/>
        <v>#N/A</v>
      </c>
      <c r="AJ710" s="16" t="str">
        <f t="shared" si="94"/>
        <v/>
      </c>
      <c r="AK710" s="16" t="str">
        <f t="shared" si="95"/>
        <v/>
      </c>
      <c r="AL710" s="16" t="e">
        <f>IF(AK710="",NA(),COUNTIF(AK$176:$AK710,AK710))</f>
        <v>#N/A</v>
      </c>
      <c r="AM710" s="16" t="e">
        <f t="shared" si="96"/>
        <v>#N/A</v>
      </c>
      <c r="AN710" s="16" t="e">
        <f t="shared" si="97"/>
        <v>#N/A</v>
      </c>
      <c r="AO710" s="16" t="str">
        <f t="shared" si="98"/>
        <v/>
      </c>
      <c r="AP710" s="16" t="str">
        <f t="shared" si="99"/>
        <v/>
      </c>
      <c r="AQ710" s="16" t="e">
        <f>IF(AP710="",NA(),COUNTIF(AP$176:$AP710,AP710))</f>
        <v>#N/A</v>
      </c>
      <c r="AR710" s="16" t="e">
        <f t="shared" si="100"/>
        <v>#N/A</v>
      </c>
      <c r="BI710" s="621">
        <v>702</v>
      </c>
      <c r="BJ710" s="711"/>
      <c r="BK710" s="712"/>
      <c r="BL710" s="713">
        <v>702</v>
      </c>
      <c r="BM710" s="714"/>
      <c r="BN710" s="239"/>
      <c r="BO710" s="24"/>
      <c r="BQ710" s="621">
        <v>702</v>
      </c>
      <c r="BR710" s="711"/>
      <c r="BS710" s="712"/>
      <c r="BT710" s="713">
        <v>702</v>
      </c>
      <c r="BU710" s="714"/>
      <c r="BV710" s="239"/>
      <c r="BW710" s="24"/>
      <c r="BY710" s="621">
        <v>702</v>
      </c>
      <c r="BZ710" s="711"/>
      <c r="CA710" s="712"/>
      <c r="CB710" s="713">
        <v>702</v>
      </c>
      <c r="CC710" s="714"/>
      <c r="CD710" s="239"/>
      <c r="CE710" s="24"/>
    </row>
    <row r="711" spans="5:83" ht="12" customHeight="1">
      <c r="E711" s="621">
        <v>703</v>
      </c>
      <c r="F711" s="711"/>
      <c r="G711" s="712"/>
      <c r="H711" s="713">
        <v>703</v>
      </c>
      <c r="I711" s="714"/>
      <c r="J711" s="239"/>
      <c r="K711" s="24"/>
      <c r="AI711" s="16" t="e">
        <f t="shared" si="93"/>
        <v>#N/A</v>
      </c>
      <c r="AJ711" s="16" t="str">
        <f t="shared" si="94"/>
        <v/>
      </c>
      <c r="AK711" s="16" t="str">
        <f t="shared" si="95"/>
        <v/>
      </c>
      <c r="AL711" s="16" t="e">
        <f>IF(AK711="",NA(),COUNTIF(AK$176:$AK711,AK711))</f>
        <v>#N/A</v>
      </c>
      <c r="AM711" s="16" t="e">
        <f t="shared" si="96"/>
        <v>#N/A</v>
      </c>
      <c r="AN711" s="16" t="e">
        <f t="shared" si="97"/>
        <v>#N/A</v>
      </c>
      <c r="AO711" s="16" t="str">
        <f t="shared" si="98"/>
        <v/>
      </c>
      <c r="AP711" s="16" t="str">
        <f t="shared" si="99"/>
        <v/>
      </c>
      <c r="AQ711" s="16" t="e">
        <f>IF(AP711="",NA(),COUNTIF(AP$176:$AP711,AP711))</f>
        <v>#N/A</v>
      </c>
      <c r="AR711" s="16" t="e">
        <f t="shared" si="100"/>
        <v>#N/A</v>
      </c>
      <c r="BI711" s="621">
        <v>703</v>
      </c>
      <c r="BJ711" s="711"/>
      <c r="BK711" s="712"/>
      <c r="BL711" s="713">
        <v>703</v>
      </c>
      <c r="BM711" s="714"/>
      <c r="BN711" s="239"/>
      <c r="BO711" s="24"/>
      <c r="BQ711" s="621">
        <v>703</v>
      </c>
      <c r="BR711" s="711"/>
      <c r="BS711" s="712"/>
      <c r="BT711" s="713">
        <v>703</v>
      </c>
      <c r="BU711" s="714"/>
      <c r="BV711" s="239"/>
      <c r="BW711" s="24"/>
      <c r="BY711" s="621">
        <v>703</v>
      </c>
      <c r="BZ711" s="711"/>
      <c r="CA711" s="712"/>
      <c r="CB711" s="713">
        <v>703</v>
      </c>
      <c r="CC711" s="714"/>
      <c r="CD711" s="239"/>
      <c r="CE711" s="24"/>
    </row>
    <row r="712" spans="5:83" ht="12" customHeight="1">
      <c r="E712" s="621">
        <v>704</v>
      </c>
      <c r="F712" s="711"/>
      <c r="G712" s="712"/>
      <c r="H712" s="713">
        <v>704</v>
      </c>
      <c r="I712" s="714"/>
      <c r="J712" s="239"/>
      <c r="K712" s="24"/>
      <c r="AI712" s="16" t="e">
        <f t="shared" si="93"/>
        <v>#N/A</v>
      </c>
      <c r="AJ712" s="16" t="str">
        <f t="shared" si="94"/>
        <v/>
      </c>
      <c r="AK712" s="16" t="str">
        <f t="shared" si="95"/>
        <v/>
      </c>
      <c r="AL712" s="16" t="e">
        <f>IF(AK712="",NA(),COUNTIF(AK$176:$AK712,AK712))</f>
        <v>#N/A</v>
      </c>
      <c r="AM712" s="16" t="e">
        <f t="shared" si="96"/>
        <v>#N/A</v>
      </c>
      <c r="AN712" s="16" t="e">
        <f t="shared" si="97"/>
        <v>#N/A</v>
      </c>
      <c r="AO712" s="16" t="str">
        <f t="shared" si="98"/>
        <v/>
      </c>
      <c r="AP712" s="16" t="str">
        <f t="shared" si="99"/>
        <v/>
      </c>
      <c r="AQ712" s="16" t="e">
        <f>IF(AP712="",NA(),COUNTIF(AP$176:$AP712,AP712))</f>
        <v>#N/A</v>
      </c>
      <c r="AR712" s="16" t="e">
        <f t="shared" si="100"/>
        <v>#N/A</v>
      </c>
      <c r="BI712" s="621">
        <v>704</v>
      </c>
      <c r="BJ712" s="711"/>
      <c r="BK712" s="712"/>
      <c r="BL712" s="713">
        <v>704</v>
      </c>
      <c r="BM712" s="714"/>
      <c r="BN712" s="239"/>
      <c r="BO712" s="24"/>
      <c r="BQ712" s="621">
        <v>704</v>
      </c>
      <c r="BR712" s="711"/>
      <c r="BS712" s="712"/>
      <c r="BT712" s="713">
        <v>704</v>
      </c>
      <c r="BU712" s="714"/>
      <c r="BV712" s="239"/>
      <c r="BW712" s="24"/>
      <c r="BY712" s="621">
        <v>704</v>
      </c>
      <c r="BZ712" s="711"/>
      <c r="CA712" s="712"/>
      <c r="CB712" s="713">
        <v>704</v>
      </c>
      <c r="CC712" s="714"/>
      <c r="CD712" s="239"/>
      <c r="CE712" s="24"/>
    </row>
    <row r="713" spans="5:83" ht="12" customHeight="1">
      <c r="E713" s="621">
        <v>705</v>
      </c>
      <c r="F713" s="711"/>
      <c r="G713" s="712"/>
      <c r="H713" s="713">
        <v>705</v>
      </c>
      <c r="I713" s="714"/>
      <c r="J713" s="239"/>
      <c r="K713" s="24"/>
      <c r="AI713" s="16" t="e">
        <f t="shared" si="93"/>
        <v>#N/A</v>
      </c>
      <c r="AJ713" s="16" t="str">
        <f t="shared" si="94"/>
        <v/>
      </c>
      <c r="AK713" s="16" t="str">
        <f t="shared" si="95"/>
        <v/>
      </c>
      <c r="AL713" s="16" t="e">
        <f>IF(AK713="",NA(),COUNTIF(AK$176:$AK713,AK713))</f>
        <v>#N/A</v>
      </c>
      <c r="AM713" s="16" t="e">
        <f t="shared" si="96"/>
        <v>#N/A</v>
      </c>
      <c r="AN713" s="16" t="e">
        <f t="shared" si="97"/>
        <v>#N/A</v>
      </c>
      <c r="AO713" s="16" t="str">
        <f t="shared" si="98"/>
        <v/>
      </c>
      <c r="AP713" s="16" t="str">
        <f t="shared" si="99"/>
        <v/>
      </c>
      <c r="AQ713" s="16" t="e">
        <f>IF(AP713="",NA(),COUNTIF(AP$176:$AP713,AP713))</f>
        <v>#N/A</v>
      </c>
      <c r="AR713" s="16" t="e">
        <f t="shared" si="100"/>
        <v>#N/A</v>
      </c>
      <c r="BI713" s="621">
        <v>705</v>
      </c>
      <c r="BJ713" s="711"/>
      <c r="BK713" s="712"/>
      <c r="BL713" s="713">
        <v>705</v>
      </c>
      <c r="BM713" s="714"/>
      <c r="BN713" s="239"/>
      <c r="BO713" s="24"/>
      <c r="BQ713" s="621">
        <v>705</v>
      </c>
      <c r="BR713" s="711"/>
      <c r="BS713" s="712"/>
      <c r="BT713" s="713">
        <v>705</v>
      </c>
      <c r="BU713" s="714"/>
      <c r="BV713" s="239"/>
      <c r="BW713" s="24"/>
      <c r="BY713" s="621">
        <v>705</v>
      </c>
      <c r="BZ713" s="711"/>
      <c r="CA713" s="712"/>
      <c r="CB713" s="713">
        <v>705</v>
      </c>
      <c r="CC713" s="714"/>
      <c r="CD713" s="239"/>
      <c r="CE713" s="24"/>
    </row>
    <row r="714" spans="5:83" ht="12" customHeight="1">
      <c r="E714" s="621">
        <v>706</v>
      </c>
      <c r="F714" s="711"/>
      <c r="G714" s="712"/>
      <c r="H714" s="713">
        <v>706</v>
      </c>
      <c r="I714" s="714"/>
      <c r="J714" s="239"/>
      <c r="K714" s="24"/>
      <c r="AI714" s="16" t="e">
        <f t="shared" si="93"/>
        <v>#N/A</v>
      </c>
      <c r="AJ714" s="16" t="str">
        <f t="shared" si="94"/>
        <v/>
      </c>
      <c r="AK714" s="16" t="str">
        <f t="shared" si="95"/>
        <v/>
      </c>
      <c r="AL714" s="16" t="e">
        <f>IF(AK714="",NA(),COUNTIF(AK$176:$AK714,AK714))</f>
        <v>#N/A</v>
      </c>
      <c r="AM714" s="16" t="e">
        <f t="shared" si="96"/>
        <v>#N/A</v>
      </c>
      <c r="AN714" s="16" t="e">
        <f t="shared" si="97"/>
        <v>#N/A</v>
      </c>
      <c r="AO714" s="16" t="str">
        <f t="shared" si="98"/>
        <v/>
      </c>
      <c r="AP714" s="16" t="str">
        <f t="shared" si="99"/>
        <v/>
      </c>
      <c r="AQ714" s="16" t="e">
        <f>IF(AP714="",NA(),COUNTIF(AP$176:$AP714,AP714))</f>
        <v>#N/A</v>
      </c>
      <c r="AR714" s="16" t="e">
        <f t="shared" si="100"/>
        <v>#N/A</v>
      </c>
      <c r="BI714" s="621">
        <v>706</v>
      </c>
      <c r="BJ714" s="711"/>
      <c r="BK714" s="712"/>
      <c r="BL714" s="713">
        <v>706</v>
      </c>
      <c r="BM714" s="714"/>
      <c r="BN714" s="239"/>
      <c r="BO714" s="24"/>
      <c r="BQ714" s="621">
        <v>706</v>
      </c>
      <c r="BR714" s="711"/>
      <c r="BS714" s="712"/>
      <c r="BT714" s="713">
        <v>706</v>
      </c>
      <c r="BU714" s="714"/>
      <c r="BV714" s="239"/>
      <c r="BW714" s="24"/>
      <c r="BY714" s="621">
        <v>706</v>
      </c>
      <c r="BZ714" s="711"/>
      <c r="CA714" s="712"/>
      <c r="CB714" s="713">
        <v>706</v>
      </c>
      <c r="CC714" s="714"/>
      <c r="CD714" s="239"/>
      <c r="CE714" s="24"/>
    </row>
    <row r="715" spans="5:83" ht="12" customHeight="1">
      <c r="E715" s="621">
        <v>707</v>
      </c>
      <c r="F715" s="711"/>
      <c r="G715" s="712"/>
      <c r="H715" s="713">
        <v>707</v>
      </c>
      <c r="I715" s="714"/>
      <c r="J715" s="239"/>
      <c r="K715" s="24"/>
      <c r="AI715" s="16" t="e">
        <f t="shared" si="93"/>
        <v>#N/A</v>
      </c>
      <c r="AJ715" s="16" t="str">
        <f t="shared" si="94"/>
        <v/>
      </c>
      <c r="AK715" s="16" t="str">
        <f t="shared" si="95"/>
        <v/>
      </c>
      <c r="AL715" s="16" t="e">
        <f>IF(AK715="",NA(),COUNTIF(AK$176:$AK715,AK715))</f>
        <v>#N/A</v>
      </c>
      <c r="AM715" s="16" t="e">
        <f t="shared" si="96"/>
        <v>#N/A</v>
      </c>
      <c r="AN715" s="16" t="e">
        <f t="shared" si="97"/>
        <v>#N/A</v>
      </c>
      <c r="AO715" s="16" t="str">
        <f t="shared" si="98"/>
        <v/>
      </c>
      <c r="AP715" s="16" t="str">
        <f t="shared" si="99"/>
        <v/>
      </c>
      <c r="AQ715" s="16" t="e">
        <f>IF(AP715="",NA(),COUNTIF(AP$176:$AP715,AP715))</f>
        <v>#N/A</v>
      </c>
      <c r="AR715" s="16" t="e">
        <f t="shared" si="100"/>
        <v>#N/A</v>
      </c>
      <c r="BI715" s="621">
        <v>707</v>
      </c>
      <c r="BJ715" s="711"/>
      <c r="BK715" s="712"/>
      <c r="BL715" s="713">
        <v>707</v>
      </c>
      <c r="BM715" s="714"/>
      <c r="BN715" s="239"/>
      <c r="BO715" s="24"/>
      <c r="BQ715" s="621">
        <v>707</v>
      </c>
      <c r="BR715" s="711"/>
      <c r="BS715" s="712"/>
      <c r="BT715" s="713">
        <v>707</v>
      </c>
      <c r="BU715" s="714"/>
      <c r="BV715" s="239"/>
      <c r="BW715" s="24"/>
      <c r="BY715" s="621">
        <v>707</v>
      </c>
      <c r="BZ715" s="711"/>
      <c r="CA715" s="712"/>
      <c r="CB715" s="713">
        <v>707</v>
      </c>
      <c r="CC715" s="714"/>
      <c r="CD715" s="239"/>
      <c r="CE715" s="24"/>
    </row>
    <row r="716" spans="5:83" ht="12" customHeight="1">
      <c r="E716" s="621">
        <v>708</v>
      </c>
      <c r="F716" s="711"/>
      <c r="G716" s="712"/>
      <c r="H716" s="713">
        <v>708</v>
      </c>
      <c r="I716" s="714"/>
      <c r="J716" s="239"/>
      <c r="K716" s="24"/>
      <c r="AI716" s="16" t="e">
        <f t="shared" si="93"/>
        <v>#N/A</v>
      </c>
      <c r="AJ716" s="16" t="str">
        <f t="shared" si="94"/>
        <v/>
      </c>
      <c r="AK716" s="16" t="str">
        <f t="shared" si="95"/>
        <v/>
      </c>
      <c r="AL716" s="16" t="e">
        <f>IF(AK716="",NA(),COUNTIF(AK$176:$AK716,AK716))</f>
        <v>#N/A</v>
      </c>
      <c r="AM716" s="16" t="e">
        <f t="shared" si="96"/>
        <v>#N/A</v>
      </c>
      <c r="AN716" s="16" t="e">
        <f t="shared" si="97"/>
        <v>#N/A</v>
      </c>
      <c r="AO716" s="16" t="str">
        <f t="shared" si="98"/>
        <v/>
      </c>
      <c r="AP716" s="16" t="str">
        <f t="shared" si="99"/>
        <v/>
      </c>
      <c r="AQ716" s="16" t="e">
        <f>IF(AP716="",NA(),COUNTIF(AP$176:$AP716,AP716))</f>
        <v>#N/A</v>
      </c>
      <c r="AR716" s="16" t="e">
        <f t="shared" si="100"/>
        <v>#N/A</v>
      </c>
      <c r="BI716" s="621">
        <v>708</v>
      </c>
      <c r="BJ716" s="711"/>
      <c r="BK716" s="712"/>
      <c r="BL716" s="713">
        <v>708</v>
      </c>
      <c r="BM716" s="714"/>
      <c r="BN716" s="239"/>
      <c r="BO716" s="24"/>
      <c r="BQ716" s="621">
        <v>708</v>
      </c>
      <c r="BR716" s="711"/>
      <c r="BS716" s="712"/>
      <c r="BT716" s="713">
        <v>708</v>
      </c>
      <c r="BU716" s="714"/>
      <c r="BV716" s="239"/>
      <c r="BW716" s="24"/>
      <c r="BY716" s="621">
        <v>708</v>
      </c>
      <c r="BZ716" s="711"/>
      <c r="CA716" s="712"/>
      <c r="CB716" s="713">
        <v>708</v>
      </c>
      <c r="CC716" s="714"/>
      <c r="CD716" s="239"/>
      <c r="CE716" s="24"/>
    </row>
    <row r="717" spans="5:83" ht="12" customHeight="1">
      <c r="E717" s="621">
        <v>709</v>
      </c>
      <c r="F717" s="711"/>
      <c r="G717" s="712"/>
      <c r="H717" s="713">
        <v>709</v>
      </c>
      <c r="I717" s="714"/>
      <c r="J717" s="239"/>
      <c r="K717" s="24"/>
      <c r="AI717" s="16" t="e">
        <f t="shared" ref="AI717:AI780" si="101">IF(AND($X$80,NOT(F649=""),$X$78),F649,NA())</f>
        <v>#N/A</v>
      </c>
      <c r="AJ717" s="16" t="str">
        <f t="shared" ref="AJ717:AJ780" si="102">IF(AK717="","",IF($AU$79=0,AI717,AK717*$AU$79))</f>
        <v/>
      </c>
      <c r="AK717" s="16" t="str">
        <f t="shared" ref="AK717:AK780" si="103">IF(ISNA(AI717),"",IF($AU$79=0,AI717,ROUND(AI717/$AU$79,0)))</f>
        <v/>
      </c>
      <c r="AL717" s="16" t="e">
        <f>IF(AK717="",NA(),COUNTIF(AK$176:$AK717,AK717))</f>
        <v>#N/A</v>
      </c>
      <c r="AM717" s="16" t="e">
        <f t="shared" ref="AM717:AM780" si="104">(AL717-1)*$AU$82</f>
        <v>#N/A</v>
      </c>
      <c r="AN717" s="16" t="e">
        <f t="shared" ref="AN717:AN780" si="105">IF(AND($X$80,NOT(I649=""),$X$79),I649,NA())</f>
        <v>#N/A</v>
      </c>
      <c r="AO717" s="16" t="str">
        <f t="shared" ref="AO717:AO780" si="106">IF(AP717="","",IF($AU$79=0,AN717,AP717*$AU$79))</f>
        <v/>
      </c>
      <c r="AP717" s="16" t="str">
        <f t="shared" ref="AP717:AP780" si="107">IF(ISNA(AN717),"",IF($AU$79=0,AN717,ROUND(AN717/$AU$79,0)))</f>
        <v/>
      </c>
      <c r="AQ717" s="16" t="e">
        <f>IF(AP717="",NA(),COUNTIF(AP$176:$AP717,AP717))</f>
        <v>#N/A</v>
      </c>
      <c r="AR717" s="16" t="e">
        <f t="shared" ref="AR717:AR780" si="108">(AQ717-1)*$AU$82</f>
        <v>#N/A</v>
      </c>
      <c r="BI717" s="621">
        <v>709</v>
      </c>
      <c r="BJ717" s="711"/>
      <c r="BK717" s="712"/>
      <c r="BL717" s="713">
        <v>709</v>
      </c>
      <c r="BM717" s="714"/>
      <c r="BN717" s="239"/>
      <c r="BO717" s="24"/>
      <c r="BQ717" s="621">
        <v>709</v>
      </c>
      <c r="BR717" s="711"/>
      <c r="BS717" s="712"/>
      <c r="BT717" s="713">
        <v>709</v>
      </c>
      <c r="BU717" s="714"/>
      <c r="BV717" s="239"/>
      <c r="BW717" s="24"/>
      <c r="BY717" s="621">
        <v>709</v>
      </c>
      <c r="BZ717" s="711"/>
      <c r="CA717" s="712"/>
      <c r="CB717" s="713">
        <v>709</v>
      </c>
      <c r="CC717" s="714"/>
      <c r="CD717" s="239"/>
      <c r="CE717" s="24"/>
    </row>
    <row r="718" spans="5:83" ht="12" customHeight="1">
      <c r="E718" s="621">
        <v>710</v>
      </c>
      <c r="F718" s="711"/>
      <c r="G718" s="712"/>
      <c r="H718" s="713">
        <v>710</v>
      </c>
      <c r="I718" s="714"/>
      <c r="J718" s="239"/>
      <c r="K718" s="24"/>
      <c r="AI718" s="16" t="e">
        <f t="shared" si="101"/>
        <v>#N/A</v>
      </c>
      <c r="AJ718" s="16" t="str">
        <f t="shared" si="102"/>
        <v/>
      </c>
      <c r="AK718" s="16" t="str">
        <f t="shared" si="103"/>
        <v/>
      </c>
      <c r="AL718" s="16" t="e">
        <f>IF(AK718="",NA(),COUNTIF(AK$176:$AK718,AK718))</f>
        <v>#N/A</v>
      </c>
      <c r="AM718" s="16" t="e">
        <f t="shared" si="104"/>
        <v>#N/A</v>
      </c>
      <c r="AN718" s="16" t="e">
        <f t="shared" si="105"/>
        <v>#N/A</v>
      </c>
      <c r="AO718" s="16" t="str">
        <f t="shared" si="106"/>
        <v/>
      </c>
      <c r="AP718" s="16" t="str">
        <f t="shared" si="107"/>
        <v/>
      </c>
      <c r="AQ718" s="16" t="e">
        <f>IF(AP718="",NA(),COUNTIF(AP$176:$AP718,AP718))</f>
        <v>#N/A</v>
      </c>
      <c r="AR718" s="16" t="e">
        <f t="shared" si="108"/>
        <v>#N/A</v>
      </c>
      <c r="BI718" s="621">
        <v>710</v>
      </c>
      <c r="BJ718" s="711"/>
      <c r="BK718" s="712"/>
      <c r="BL718" s="713">
        <v>710</v>
      </c>
      <c r="BM718" s="714"/>
      <c r="BN718" s="239"/>
      <c r="BO718" s="24"/>
      <c r="BQ718" s="621">
        <v>710</v>
      </c>
      <c r="BR718" s="711"/>
      <c r="BS718" s="712"/>
      <c r="BT718" s="713">
        <v>710</v>
      </c>
      <c r="BU718" s="714"/>
      <c r="BV718" s="239"/>
      <c r="BW718" s="24"/>
      <c r="BY718" s="621">
        <v>710</v>
      </c>
      <c r="BZ718" s="711"/>
      <c r="CA718" s="712"/>
      <c r="CB718" s="713">
        <v>710</v>
      </c>
      <c r="CC718" s="714"/>
      <c r="CD718" s="239"/>
      <c r="CE718" s="24"/>
    </row>
    <row r="719" spans="5:83" ht="12" customHeight="1">
      <c r="E719" s="621">
        <v>711</v>
      </c>
      <c r="F719" s="711"/>
      <c r="G719" s="712"/>
      <c r="H719" s="713">
        <v>711</v>
      </c>
      <c r="I719" s="714"/>
      <c r="J719" s="239"/>
      <c r="K719" s="24"/>
      <c r="AI719" s="16" t="e">
        <f t="shared" si="101"/>
        <v>#N/A</v>
      </c>
      <c r="AJ719" s="16" t="str">
        <f t="shared" si="102"/>
        <v/>
      </c>
      <c r="AK719" s="16" t="str">
        <f t="shared" si="103"/>
        <v/>
      </c>
      <c r="AL719" s="16" t="e">
        <f>IF(AK719="",NA(),COUNTIF(AK$176:$AK719,AK719))</f>
        <v>#N/A</v>
      </c>
      <c r="AM719" s="16" t="e">
        <f t="shared" si="104"/>
        <v>#N/A</v>
      </c>
      <c r="AN719" s="16" t="e">
        <f t="shared" si="105"/>
        <v>#N/A</v>
      </c>
      <c r="AO719" s="16" t="str">
        <f t="shared" si="106"/>
        <v/>
      </c>
      <c r="AP719" s="16" t="str">
        <f t="shared" si="107"/>
        <v/>
      </c>
      <c r="AQ719" s="16" t="e">
        <f>IF(AP719="",NA(),COUNTIF(AP$176:$AP719,AP719))</f>
        <v>#N/A</v>
      </c>
      <c r="AR719" s="16" t="e">
        <f t="shared" si="108"/>
        <v>#N/A</v>
      </c>
      <c r="BI719" s="621">
        <v>711</v>
      </c>
      <c r="BJ719" s="711"/>
      <c r="BK719" s="712"/>
      <c r="BL719" s="713">
        <v>711</v>
      </c>
      <c r="BM719" s="714"/>
      <c r="BN719" s="239"/>
      <c r="BO719" s="24"/>
      <c r="BQ719" s="621">
        <v>711</v>
      </c>
      <c r="BR719" s="711"/>
      <c r="BS719" s="712"/>
      <c r="BT719" s="713">
        <v>711</v>
      </c>
      <c r="BU719" s="714"/>
      <c r="BV719" s="239"/>
      <c r="BW719" s="24"/>
      <c r="BY719" s="621">
        <v>711</v>
      </c>
      <c r="BZ719" s="711"/>
      <c r="CA719" s="712"/>
      <c r="CB719" s="713">
        <v>711</v>
      </c>
      <c r="CC719" s="714"/>
      <c r="CD719" s="239"/>
      <c r="CE719" s="24"/>
    </row>
    <row r="720" spans="5:83" ht="12" customHeight="1">
      <c r="E720" s="621">
        <v>712</v>
      </c>
      <c r="F720" s="711"/>
      <c r="G720" s="712"/>
      <c r="H720" s="713">
        <v>712</v>
      </c>
      <c r="I720" s="714"/>
      <c r="J720" s="239"/>
      <c r="K720" s="24"/>
      <c r="AI720" s="16" t="e">
        <f t="shared" si="101"/>
        <v>#N/A</v>
      </c>
      <c r="AJ720" s="16" t="str">
        <f t="shared" si="102"/>
        <v/>
      </c>
      <c r="AK720" s="16" t="str">
        <f t="shared" si="103"/>
        <v/>
      </c>
      <c r="AL720" s="16" t="e">
        <f>IF(AK720="",NA(),COUNTIF(AK$176:$AK720,AK720))</f>
        <v>#N/A</v>
      </c>
      <c r="AM720" s="16" t="e">
        <f t="shared" si="104"/>
        <v>#N/A</v>
      </c>
      <c r="AN720" s="16" t="e">
        <f t="shared" si="105"/>
        <v>#N/A</v>
      </c>
      <c r="AO720" s="16" t="str">
        <f t="shared" si="106"/>
        <v/>
      </c>
      <c r="AP720" s="16" t="str">
        <f t="shared" si="107"/>
        <v/>
      </c>
      <c r="AQ720" s="16" t="e">
        <f>IF(AP720="",NA(),COUNTIF(AP$176:$AP720,AP720))</f>
        <v>#N/A</v>
      </c>
      <c r="AR720" s="16" t="e">
        <f t="shared" si="108"/>
        <v>#N/A</v>
      </c>
      <c r="BI720" s="621">
        <v>712</v>
      </c>
      <c r="BJ720" s="711"/>
      <c r="BK720" s="712"/>
      <c r="BL720" s="713">
        <v>712</v>
      </c>
      <c r="BM720" s="714"/>
      <c r="BN720" s="239"/>
      <c r="BO720" s="24"/>
      <c r="BQ720" s="621">
        <v>712</v>
      </c>
      <c r="BR720" s="711"/>
      <c r="BS720" s="712"/>
      <c r="BT720" s="713">
        <v>712</v>
      </c>
      <c r="BU720" s="714"/>
      <c r="BV720" s="239"/>
      <c r="BW720" s="24"/>
      <c r="BY720" s="621">
        <v>712</v>
      </c>
      <c r="BZ720" s="711"/>
      <c r="CA720" s="712"/>
      <c r="CB720" s="713">
        <v>712</v>
      </c>
      <c r="CC720" s="714"/>
      <c r="CD720" s="239"/>
      <c r="CE720" s="24"/>
    </row>
    <row r="721" spans="5:83" ht="12" customHeight="1">
      <c r="E721" s="621">
        <v>713</v>
      </c>
      <c r="F721" s="711"/>
      <c r="G721" s="712"/>
      <c r="H721" s="713">
        <v>713</v>
      </c>
      <c r="I721" s="714"/>
      <c r="J721" s="239"/>
      <c r="K721" s="24"/>
      <c r="AI721" s="16" t="e">
        <f t="shared" si="101"/>
        <v>#N/A</v>
      </c>
      <c r="AJ721" s="16" t="str">
        <f t="shared" si="102"/>
        <v/>
      </c>
      <c r="AK721" s="16" t="str">
        <f t="shared" si="103"/>
        <v/>
      </c>
      <c r="AL721" s="16" t="e">
        <f>IF(AK721="",NA(),COUNTIF(AK$176:$AK721,AK721))</f>
        <v>#N/A</v>
      </c>
      <c r="AM721" s="16" t="e">
        <f t="shared" si="104"/>
        <v>#N/A</v>
      </c>
      <c r="AN721" s="16" t="e">
        <f t="shared" si="105"/>
        <v>#N/A</v>
      </c>
      <c r="AO721" s="16" t="str">
        <f t="shared" si="106"/>
        <v/>
      </c>
      <c r="AP721" s="16" t="str">
        <f t="shared" si="107"/>
        <v/>
      </c>
      <c r="AQ721" s="16" t="e">
        <f>IF(AP721="",NA(),COUNTIF(AP$176:$AP721,AP721))</f>
        <v>#N/A</v>
      </c>
      <c r="AR721" s="16" t="e">
        <f t="shared" si="108"/>
        <v>#N/A</v>
      </c>
      <c r="BI721" s="621">
        <v>713</v>
      </c>
      <c r="BJ721" s="711"/>
      <c r="BK721" s="712"/>
      <c r="BL721" s="713">
        <v>713</v>
      </c>
      <c r="BM721" s="714"/>
      <c r="BN721" s="239"/>
      <c r="BO721" s="24"/>
      <c r="BQ721" s="621">
        <v>713</v>
      </c>
      <c r="BR721" s="711"/>
      <c r="BS721" s="712"/>
      <c r="BT721" s="713">
        <v>713</v>
      </c>
      <c r="BU721" s="714"/>
      <c r="BV721" s="239"/>
      <c r="BW721" s="24"/>
      <c r="BY721" s="621">
        <v>713</v>
      </c>
      <c r="BZ721" s="711"/>
      <c r="CA721" s="712"/>
      <c r="CB721" s="713">
        <v>713</v>
      </c>
      <c r="CC721" s="714"/>
      <c r="CD721" s="239"/>
      <c r="CE721" s="24"/>
    </row>
    <row r="722" spans="5:83" ht="12" customHeight="1">
      <c r="E722" s="621">
        <v>714</v>
      </c>
      <c r="F722" s="711"/>
      <c r="G722" s="712"/>
      <c r="H722" s="713">
        <v>714</v>
      </c>
      <c r="I722" s="714"/>
      <c r="J722" s="239"/>
      <c r="K722" s="24"/>
      <c r="AI722" s="16" t="e">
        <f t="shared" si="101"/>
        <v>#N/A</v>
      </c>
      <c r="AJ722" s="16" t="str">
        <f t="shared" si="102"/>
        <v/>
      </c>
      <c r="AK722" s="16" t="str">
        <f t="shared" si="103"/>
        <v/>
      </c>
      <c r="AL722" s="16" t="e">
        <f>IF(AK722="",NA(),COUNTIF(AK$176:$AK722,AK722))</f>
        <v>#N/A</v>
      </c>
      <c r="AM722" s="16" t="e">
        <f t="shared" si="104"/>
        <v>#N/A</v>
      </c>
      <c r="AN722" s="16" t="e">
        <f t="shared" si="105"/>
        <v>#N/A</v>
      </c>
      <c r="AO722" s="16" t="str">
        <f t="shared" si="106"/>
        <v/>
      </c>
      <c r="AP722" s="16" t="str">
        <f t="shared" si="107"/>
        <v/>
      </c>
      <c r="AQ722" s="16" t="e">
        <f>IF(AP722="",NA(),COUNTIF(AP$176:$AP722,AP722))</f>
        <v>#N/A</v>
      </c>
      <c r="AR722" s="16" t="e">
        <f t="shared" si="108"/>
        <v>#N/A</v>
      </c>
      <c r="BI722" s="621">
        <v>714</v>
      </c>
      <c r="BJ722" s="711"/>
      <c r="BK722" s="712"/>
      <c r="BL722" s="713">
        <v>714</v>
      </c>
      <c r="BM722" s="714"/>
      <c r="BN722" s="239"/>
      <c r="BO722" s="24"/>
      <c r="BQ722" s="621">
        <v>714</v>
      </c>
      <c r="BR722" s="711"/>
      <c r="BS722" s="712"/>
      <c r="BT722" s="713">
        <v>714</v>
      </c>
      <c r="BU722" s="714"/>
      <c r="BV722" s="239"/>
      <c r="BW722" s="24"/>
      <c r="BY722" s="621">
        <v>714</v>
      </c>
      <c r="BZ722" s="711"/>
      <c r="CA722" s="712"/>
      <c r="CB722" s="713">
        <v>714</v>
      </c>
      <c r="CC722" s="714"/>
      <c r="CD722" s="239"/>
      <c r="CE722" s="24"/>
    </row>
    <row r="723" spans="5:83" ht="12" customHeight="1">
      <c r="E723" s="621">
        <v>715</v>
      </c>
      <c r="F723" s="711"/>
      <c r="G723" s="712"/>
      <c r="H723" s="713">
        <v>715</v>
      </c>
      <c r="I723" s="714"/>
      <c r="J723" s="239"/>
      <c r="K723" s="24"/>
      <c r="AI723" s="16" t="e">
        <f t="shared" si="101"/>
        <v>#N/A</v>
      </c>
      <c r="AJ723" s="16" t="str">
        <f t="shared" si="102"/>
        <v/>
      </c>
      <c r="AK723" s="16" t="str">
        <f t="shared" si="103"/>
        <v/>
      </c>
      <c r="AL723" s="16" t="e">
        <f>IF(AK723="",NA(),COUNTIF(AK$176:$AK723,AK723))</f>
        <v>#N/A</v>
      </c>
      <c r="AM723" s="16" t="e">
        <f t="shared" si="104"/>
        <v>#N/A</v>
      </c>
      <c r="AN723" s="16" t="e">
        <f t="shared" si="105"/>
        <v>#N/A</v>
      </c>
      <c r="AO723" s="16" t="str">
        <f t="shared" si="106"/>
        <v/>
      </c>
      <c r="AP723" s="16" t="str">
        <f t="shared" si="107"/>
        <v/>
      </c>
      <c r="AQ723" s="16" t="e">
        <f>IF(AP723="",NA(),COUNTIF(AP$176:$AP723,AP723))</f>
        <v>#N/A</v>
      </c>
      <c r="AR723" s="16" t="e">
        <f t="shared" si="108"/>
        <v>#N/A</v>
      </c>
      <c r="BI723" s="621">
        <v>715</v>
      </c>
      <c r="BJ723" s="711"/>
      <c r="BK723" s="712"/>
      <c r="BL723" s="713">
        <v>715</v>
      </c>
      <c r="BM723" s="714"/>
      <c r="BN723" s="239"/>
      <c r="BO723" s="24"/>
      <c r="BQ723" s="621">
        <v>715</v>
      </c>
      <c r="BR723" s="711"/>
      <c r="BS723" s="712"/>
      <c r="BT723" s="713">
        <v>715</v>
      </c>
      <c r="BU723" s="714"/>
      <c r="BV723" s="239"/>
      <c r="BW723" s="24"/>
      <c r="BY723" s="621">
        <v>715</v>
      </c>
      <c r="BZ723" s="711"/>
      <c r="CA723" s="712"/>
      <c r="CB723" s="713">
        <v>715</v>
      </c>
      <c r="CC723" s="714"/>
      <c r="CD723" s="239"/>
      <c r="CE723" s="24"/>
    </row>
    <row r="724" spans="5:83" ht="12" customHeight="1">
      <c r="E724" s="621">
        <v>716</v>
      </c>
      <c r="F724" s="711"/>
      <c r="G724" s="712"/>
      <c r="H724" s="713">
        <v>716</v>
      </c>
      <c r="I724" s="714"/>
      <c r="J724" s="239"/>
      <c r="K724" s="24"/>
      <c r="AI724" s="16" t="e">
        <f t="shared" si="101"/>
        <v>#N/A</v>
      </c>
      <c r="AJ724" s="16" t="str">
        <f t="shared" si="102"/>
        <v/>
      </c>
      <c r="AK724" s="16" t="str">
        <f t="shared" si="103"/>
        <v/>
      </c>
      <c r="AL724" s="16" t="e">
        <f>IF(AK724="",NA(),COUNTIF(AK$176:$AK724,AK724))</f>
        <v>#N/A</v>
      </c>
      <c r="AM724" s="16" t="e">
        <f t="shared" si="104"/>
        <v>#N/A</v>
      </c>
      <c r="AN724" s="16" t="e">
        <f t="shared" si="105"/>
        <v>#N/A</v>
      </c>
      <c r="AO724" s="16" t="str">
        <f t="shared" si="106"/>
        <v/>
      </c>
      <c r="AP724" s="16" t="str">
        <f t="shared" si="107"/>
        <v/>
      </c>
      <c r="AQ724" s="16" t="e">
        <f>IF(AP724="",NA(),COUNTIF(AP$176:$AP724,AP724))</f>
        <v>#N/A</v>
      </c>
      <c r="AR724" s="16" t="e">
        <f t="shared" si="108"/>
        <v>#N/A</v>
      </c>
      <c r="BI724" s="621">
        <v>716</v>
      </c>
      <c r="BJ724" s="711"/>
      <c r="BK724" s="712"/>
      <c r="BL724" s="713">
        <v>716</v>
      </c>
      <c r="BM724" s="714"/>
      <c r="BN724" s="239"/>
      <c r="BO724" s="24"/>
      <c r="BQ724" s="621">
        <v>716</v>
      </c>
      <c r="BR724" s="711"/>
      <c r="BS724" s="712"/>
      <c r="BT724" s="713">
        <v>716</v>
      </c>
      <c r="BU724" s="714"/>
      <c r="BV724" s="239"/>
      <c r="BW724" s="24"/>
      <c r="BY724" s="621">
        <v>716</v>
      </c>
      <c r="BZ724" s="711"/>
      <c r="CA724" s="712"/>
      <c r="CB724" s="713">
        <v>716</v>
      </c>
      <c r="CC724" s="714"/>
      <c r="CD724" s="239"/>
      <c r="CE724" s="24"/>
    </row>
    <row r="725" spans="5:83" ht="12" customHeight="1">
      <c r="E725" s="621">
        <v>717</v>
      </c>
      <c r="F725" s="711"/>
      <c r="G725" s="712"/>
      <c r="H725" s="713">
        <v>717</v>
      </c>
      <c r="I725" s="714"/>
      <c r="J725" s="239"/>
      <c r="K725" s="24"/>
      <c r="AI725" s="16" t="e">
        <f t="shared" si="101"/>
        <v>#N/A</v>
      </c>
      <c r="AJ725" s="16" t="str">
        <f t="shared" si="102"/>
        <v/>
      </c>
      <c r="AK725" s="16" t="str">
        <f t="shared" si="103"/>
        <v/>
      </c>
      <c r="AL725" s="16" t="e">
        <f>IF(AK725="",NA(),COUNTIF(AK$176:$AK725,AK725))</f>
        <v>#N/A</v>
      </c>
      <c r="AM725" s="16" t="e">
        <f t="shared" si="104"/>
        <v>#N/A</v>
      </c>
      <c r="AN725" s="16" t="e">
        <f t="shared" si="105"/>
        <v>#N/A</v>
      </c>
      <c r="AO725" s="16" t="str">
        <f t="shared" si="106"/>
        <v/>
      </c>
      <c r="AP725" s="16" t="str">
        <f t="shared" si="107"/>
        <v/>
      </c>
      <c r="AQ725" s="16" t="e">
        <f>IF(AP725="",NA(),COUNTIF(AP$176:$AP725,AP725))</f>
        <v>#N/A</v>
      </c>
      <c r="AR725" s="16" t="e">
        <f t="shared" si="108"/>
        <v>#N/A</v>
      </c>
      <c r="BI725" s="621">
        <v>717</v>
      </c>
      <c r="BJ725" s="711"/>
      <c r="BK725" s="712"/>
      <c r="BL725" s="713">
        <v>717</v>
      </c>
      <c r="BM725" s="714"/>
      <c r="BN725" s="239"/>
      <c r="BO725" s="24"/>
      <c r="BQ725" s="621">
        <v>717</v>
      </c>
      <c r="BR725" s="711"/>
      <c r="BS725" s="712"/>
      <c r="BT725" s="713">
        <v>717</v>
      </c>
      <c r="BU725" s="714"/>
      <c r="BV725" s="239"/>
      <c r="BW725" s="24"/>
      <c r="BY725" s="621">
        <v>717</v>
      </c>
      <c r="BZ725" s="711"/>
      <c r="CA725" s="712"/>
      <c r="CB725" s="713">
        <v>717</v>
      </c>
      <c r="CC725" s="714"/>
      <c r="CD725" s="239"/>
      <c r="CE725" s="24"/>
    </row>
    <row r="726" spans="5:83" ht="12" customHeight="1">
      <c r="E726" s="621">
        <v>718</v>
      </c>
      <c r="F726" s="711"/>
      <c r="G726" s="712"/>
      <c r="H726" s="713">
        <v>718</v>
      </c>
      <c r="I726" s="714"/>
      <c r="J726" s="239"/>
      <c r="K726" s="24"/>
      <c r="AI726" s="16" t="e">
        <f t="shared" si="101"/>
        <v>#N/A</v>
      </c>
      <c r="AJ726" s="16" t="str">
        <f t="shared" si="102"/>
        <v/>
      </c>
      <c r="AK726" s="16" t="str">
        <f t="shared" si="103"/>
        <v/>
      </c>
      <c r="AL726" s="16" t="e">
        <f>IF(AK726="",NA(),COUNTIF(AK$176:$AK726,AK726))</f>
        <v>#N/A</v>
      </c>
      <c r="AM726" s="16" t="e">
        <f t="shared" si="104"/>
        <v>#N/A</v>
      </c>
      <c r="AN726" s="16" t="e">
        <f t="shared" si="105"/>
        <v>#N/A</v>
      </c>
      <c r="AO726" s="16" t="str">
        <f t="shared" si="106"/>
        <v/>
      </c>
      <c r="AP726" s="16" t="str">
        <f t="shared" si="107"/>
        <v/>
      </c>
      <c r="AQ726" s="16" t="e">
        <f>IF(AP726="",NA(),COUNTIF(AP$176:$AP726,AP726))</f>
        <v>#N/A</v>
      </c>
      <c r="AR726" s="16" t="e">
        <f t="shared" si="108"/>
        <v>#N/A</v>
      </c>
      <c r="BI726" s="621">
        <v>718</v>
      </c>
      <c r="BJ726" s="711"/>
      <c r="BK726" s="712"/>
      <c r="BL726" s="713">
        <v>718</v>
      </c>
      <c r="BM726" s="714"/>
      <c r="BN726" s="239"/>
      <c r="BO726" s="24"/>
      <c r="BQ726" s="621">
        <v>718</v>
      </c>
      <c r="BR726" s="711"/>
      <c r="BS726" s="712"/>
      <c r="BT726" s="713">
        <v>718</v>
      </c>
      <c r="BU726" s="714"/>
      <c r="BV726" s="239"/>
      <c r="BW726" s="24"/>
      <c r="BY726" s="621">
        <v>718</v>
      </c>
      <c r="BZ726" s="711"/>
      <c r="CA726" s="712"/>
      <c r="CB726" s="713">
        <v>718</v>
      </c>
      <c r="CC726" s="714"/>
      <c r="CD726" s="239"/>
      <c r="CE726" s="24"/>
    </row>
    <row r="727" spans="5:83" ht="12" customHeight="1">
      <c r="E727" s="621">
        <v>719</v>
      </c>
      <c r="F727" s="711"/>
      <c r="G727" s="712"/>
      <c r="H727" s="713">
        <v>719</v>
      </c>
      <c r="I727" s="714"/>
      <c r="J727" s="239"/>
      <c r="K727" s="24"/>
      <c r="AI727" s="16" t="e">
        <f t="shared" si="101"/>
        <v>#N/A</v>
      </c>
      <c r="AJ727" s="16" t="str">
        <f t="shared" si="102"/>
        <v/>
      </c>
      <c r="AK727" s="16" t="str">
        <f t="shared" si="103"/>
        <v/>
      </c>
      <c r="AL727" s="16" t="e">
        <f>IF(AK727="",NA(),COUNTIF(AK$176:$AK727,AK727))</f>
        <v>#N/A</v>
      </c>
      <c r="AM727" s="16" t="e">
        <f t="shared" si="104"/>
        <v>#N/A</v>
      </c>
      <c r="AN727" s="16" t="e">
        <f t="shared" si="105"/>
        <v>#N/A</v>
      </c>
      <c r="AO727" s="16" t="str">
        <f t="shared" si="106"/>
        <v/>
      </c>
      <c r="AP727" s="16" t="str">
        <f t="shared" si="107"/>
        <v/>
      </c>
      <c r="AQ727" s="16" t="e">
        <f>IF(AP727="",NA(),COUNTIF(AP$176:$AP727,AP727))</f>
        <v>#N/A</v>
      </c>
      <c r="AR727" s="16" t="e">
        <f t="shared" si="108"/>
        <v>#N/A</v>
      </c>
      <c r="BI727" s="621">
        <v>719</v>
      </c>
      <c r="BJ727" s="711"/>
      <c r="BK727" s="712"/>
      <c r="BL727" s="713">
        <v>719</v>
      </c>
      <c r="BM727" s="714"/>
      <c r="BN727" s="239"/>
      <c r="BO727" s="24"/>
      <c r="BQ727" s="621">
        <v>719</v>
      </c>
      <c r="BR727" s="711"/>
      <c r="BS727" s="712"/>
      <c r="BT727" s="713">
        <v>719</v>
      </c>
      <c r="BU727" s="714"/>
      <c r="BV727" s="239"/>
      <c r="BW727" s="24"/>
      <c r="BY727" s="621">
        <v>719</v>
      </c>
      <c r="BZ727" s="711"/>
      <c r="CA727" s="712"/>
      <c r="CB727" s="713">
        <v>719</v>
      </c>
      <c r="CC727" s="714"/>
      <c r="CD727" s="239"/>
      <c r="CE727" s="24"/>
    </row>
    <row r="728" spans="5:83" ht="12" customHeight="1">
      <c r="E728" s="621">
        <v>720</v>
      </c>
      <c r="F728" s="711"/>
      <c r="G728" s="712"/>
      <c r="H728" s="713">
        <v>720</v>
      </c>
      <c r="I728" s="714"/>
      <c r="J728" s="239"/>
      <c r="K728" s="24"/>
      <c r="AI728" s="16" t="e">
        <f t="shared" si="101"/>
        <v>#N/A</v>
      </c>
      <c r="AJ728" s="16" t="str">
        <f t="shared" si="102"/>
        <v/>
      </c>
      <c r="AK728" s="16" t="str">
        <f t="shared" si="103"/>
        <v/>
      </c>
      <c r="AL728" s="16" t="e">
        <f>IF(AK728="",NA(),COUNTIF(AK$176:$AK728,AK728))</f>
        <v>#N/A</v>
      </c>
      <c r="AM728" s="16" t="e">
        <f t="shared" si="104"/>
        <v>#N/A</v>
      </c>
      <c r="AN728" s="16" t="e">
        <f t="shared" si="105"/>
        <v>#N/A</v>
      </c>
      <c r="AO728" s="16" t="str">
        <f t="shared" si="106"/>
        <v/>
      </c>
      <c r="AP728" s="16" t="str">
        <f t="shared" si="107"/>
        <v/>
      </c>
      <c r="AQ728" s="16" t="e">
        <f>IF(AP728="",NA(),COUNTIF(AP$176:$AP728,AP728))</f>
        <v>#N/A</v>
      </c>
      <c r="AR728" s="16" t="e">
        <f t="shared" si="108"/>
        <v>#N/A</v>
      </c>
      <c r="BI728" s="621">
        <v>720</v>
      </c>
      <c r="BJ728" s="711"/>
      <c r="BK728" s="712"/>
      <c r="BL728" s="713">
        <v>720</v>
      </c>
      <c r="BM728" s="714"/>
      <c r="BN728" s="239"/>
      <c r="BO728" s="24"/>
      <c r="BQ728" s="621">
        <v>720</v>
      </c>
      <c r="BR728" s="711"/>
      <c r="BS728" s="712"/>
      <c r="BT728" s="713">
        <v>720</v>
      </c>
      <c r="BU728" s="714"/>
      <c r="BV728" s="239"/>
      <c r="BW728" s="24"/>
      <c r="BY728" s="621">
        <v>720</v>
      </c>
      <c r="BZ728" s="711"/>
      <c r="CA728" s="712"/>
      <c r="CB728" s="713">
        <v>720</v>
      </c>
      <c r="CC728" s="714"/>
      <c r="CD728" s="239"/>
      <c r="CE728" s="24"/>
    </row>
    <row r="729" spans="5:83" ht="12" customHeight="1">
      <c r="E729" s="621">
        <v>721</v>
      </c>
      <c r="F729" s="711"/>
      <c r="G729" s="712"/>
      <c r="H729" s="713">
        <v>721</v>
      </c>
      <c r="I729" s="714"/>
      <c r="J729" s="239"/>
      <c r="K729" s="24"/>
      <c r="AI729" s="16" t="e">
        <f t="shared" si="101"/>
        <v>#N/A</v>
      </c>
      <c r="AJ729" s="16" t="str">
        <f t="shared" si="102"/>
        <v/>
      </c>
      <c r="AK729" s="16" t="str">
        <f t="shared" si="103"/>
        <v/>
      </c>
      <c r="AL729" s="16" t="e">
        <f>IF(AK729="",NA(),COUNTIF(AK$176:$AK729,AK729))</f>
        <v>#N/A</v>
      </c>
      <c r="AM729" s="16" t="e">
        <f t="shared" si="104"/>
        <v>#N/A</v>
      </c>
      <c r="AN729" s="16" t="e">
        <f t="shared" si="105"/>
        <v>#N/A</v>
      </c>
      <c r="AO729" s="16" t="str">
        <f t="shared" si="106"/>
        <v/>
      </c>
      <c r="AP729" s="16" t="str">
        <f t="shared" si="107"/>
        <v/>
      </c>
      <c r="AQ729" s="16" t="e">
        <f>IF(AP729="",NA(),COUNTIF(AP$176:$AP729,AP729))</f>
        <v>#N/A</v>
      </c>
      <c r="AR729" s="16" t="e">
        <f t="shared" si="108"/>
        <v>#N/A</v>
      </c>
      <c r="BI729" s="621">
        <v>721</v>
      </c>
      <c r="BJ729" s="711"/>
      <c r="BK729" s="712"/>
      <c r="BL729" s="713">
        <v>721</v>
      </c>
      <c r="BM729" s="714"/>
      <c r="BN729" s="239"/>
      <c r="BO729" s="24"/>
      <c r="BQ729" s="621">
        <v>721</v>
      </c>
      <c r="BR729" s="711"/>
      <c r="BS729" s="712"/>
      <c r="BT729" s="713">
        <v>721</v>
      </c>
      <c r="BU729" s="714"/>
      <c r="BV729" s="239"/>
      <c r="BW729" s="24"/>
      <c r="BY729" s="621">
        <v>721</v>
      </c>
      <c r="BZ729" s="711"/>
      <c r="CA729" s="712"/>
      <c r="CB729" s="713">
        <v>721</v>
      </c>
      <c r="CC729" s="714"/>
      <c r="CD729" s="239"/>
      <c r="CE729" s="24"/>
    </row>
    <row r="730" spans="5:83" ht="12" customHeight="1">
      <c r="E730" s="621">
        <v>722</v>
      </c>
      <c r="F730" s="711"/>
      <c r="G730" s="712"/>
      <c r="H730" s="713">
        <v>722</v>
      </c>
      <c r="I730" s="714"/>
      <c r="J730" s="239"/>
      <c r="K730" s="24"/>
      <c r="AI730" s="16" t="e">
        <f t="shared" si="101"/>
        <v>#N/A</v>
      </c>
      <c r="AJ730" s="16" t="str">
        <f t="shared" si="102"/>
        <v/>
      </c>
      <c r="AK730" s="16" t="str">
        <f t="shared" si="103"/>
        <v/>
      </c>
      <c r="AL730" s="16" t="e">
        <f>IF(AK730="",NA(),COUNTIF(AK$176:$AK730,AK730))</f>
        <v>#N/A</v>
      </c>
      <c r="AM730" s="16" t="e">
        <f t="shared" si="104"/>
        <v>#N/A</v>
      </c>
      <c r="AN730" s="16" t="e">
        <f t="shared" si="105"/>
        <v>#N/A</v>
      </c>
      <c r="AO730" s="16" t="str">
        <f t="shared" si="106"/>
        <v/>
      </c>
      <c r="AP730" s="16" t="str">
        <f t="shared" si="107"/>
        <v/>
      </c>
      <c r="AQ730" s="16" t="e">
        <f>IF(AP730="",NA(),COUNTIF(AP$176:$AP730,AP730))</f>
        <v>#N/A</v>
      </c>
      <c r="AR730" s="16" t="e">
        <f t="shared" si="108"/>
        <v>#N/A</v>
      </c>
      <c r="BI730" s="621">
        <v>722</v>
      </c>
      <c r="BJ730" s="711"/>
      <c r="BK730" s="712"/>
      <c r="BL730" s="713">
        <v>722</v>
      </c>
      <c r="BM730" s="714"/>
      <c r="BN730" s="239"/>
      <c r="BO730" s="24"/>
      <c r="BQ730" s="621">
        <v>722</v>
      </c>
      <c r="BR730" s="711"/>
      <c r="BS730" s="712"/>
      <c r="BT730" s="713">
        <v>722</v>
      </c>
      <c r="BU730" s="714"/>
      <c r="BV730" s="239"/>
      <c r="BW730" s="24"/>
      <c r="BY730" s="621">
        <v>722</v>
      </c>
      <c r="BZ730" s="711"/>
      <c r="CA730" s="712"/>
      <c r="CB730" s="713">
        <v>722</v>
      </c>
      <c r="CC730" s="714"/>
      <c r="CD730" s="239"/>
      <c r="CE730" s="24"/>
    </row>
    <row r="731" spans="5:83" ht="12" customHeight="1">
      <c r="E731" s="621">
        <v>723</v>
      </c>
      <c r="F731" s="711"/>
      <c r="G731" s="712"/>
      <c r="H731" s="713">
        <v>723</v>
      </c>
      <c r="I731" s="714"/>
      <c r="J731" s="239"/>
      <c r="K731" s="24"/>
      <c r="AI731" s="16" t="e">
        <f t="shared" si="101"/>
        <v>#N/A</v>
      </c>
      <c r="AJ731" s="16" t="str">
        <f t="shared" si="102"/>
        <v/>
      </c>
      <c r="AK731" s="16" t="str">
        <f t="shared" si="103"/>
        <v/>
      </c>
      <c r="AL731" s="16" t="e">
        <f>IF(AK731="",NA(),COUNTIF(AK$176:$AK731,AK731))</f>
        <v>#N/A</v>
      </c>
      <c r="AM731" s="16" t="e">
        <f t="shared" si="104"/>
        <v>#N/A</v>
      </c>
      <c r="AN731" s="16" t="e">
        <f t="shared" si="105"/>
        <v>#N/A</v>
      </c>
      <c r="AO731" s="16" t="str">
        <f t="shared" si="106"/>
        <v/>
      </c>
      <c r="AP731" s="16" t="str">
        <f t="shared" si="107"/>
        <v/>
      </c>
      <c r="AQ731" s="16" t="e">
        <f>IF(AP731="",NA(),COUNTIF(AP$176:$AP731,AP731))</f>
        <v>#N/A</v>
      </c>
      <c r="AR731" s="16" t="e">
        <f t="shared" si="108"/>
        <v>#N/A</v>
      </c>
      <c r="BI731" s="621">
        <v>723</v>
      </c>
      <c r="BJ731" s="711"/>
      <c r="BK731" s="712"/>
      <c r="BL731" s="713">
        <v>723</v>
      </c>
      <c r="BM731" s="714"/>
      <c r="BN731" s="239"/>
      <c r="BO731" s="24"/>
      <c r="BQ731" s="621">
        <v>723</v>
      </c>
      <c r="BR731" s="711"/>
      <c r="BS731" s="712"/>
      <c r="BT731" s="713">
        <v>723</v>
      </c>
      <c r="BU731" s="714"/>
      <c r="BV731" s="239"/>
      <c r="BW731" s="24"/>
      <c r="BY731" s="621">
        <v>723</v>
      </c>
      <c r="BZ731" s="711"/>
      <c r="CA731" s="712"/>
      <c r="CB731" s="713">
        <v>723</v>
      </c>
      <c r="CC731" s="714"/>
      <c r="CD731" s="239"/>
      <c r="CE731" s="24"/>
    </row>
    <row r="732" spans="5:83" ht="12" customHeight="1">
      <c r="E732" s="621">
        <v>724</v>
      </c>
      <c r="F732" s="711"/>
      <c r="G732" s="712"/>
      <c r="H732" s="713">
        <v>724</v>
      </c>
      <c r="I732" s="714"/>
      <c r="J732" s="239"/>
      <c r="K732" s="24"/>
      <c r="AI732" s="16" t="e">
        <f t="shared" si="101"/>
        <v>#N/A</v>
      </c>
      <c r="AJ732" s="16" t="str">
        <f t="shared" si="102"/>
        <v/>
      </c>
      <c r="AK732" s="16" t="str">
        <f t="shared" si="103"/>
        <v/>
      </c>
      <c r="AL732" s="16" t="e">
        <f>IF(AK732="",NA(),COUNTIF(AK$176:$AK732,AK732))</f>
        <v>#N/A</v>
      </c>
      <c r="AM732" s="16" t="e">
        <f t="shared" si="104"/>
        <v>#N/A</v>
      </c>
      <c r="AN732" s="16" t="e">
        <f t="shared" si="105"/>
        <v>#N/A</v>
      </c>
      <c r="AO732" s="16" t="str">
        <f t="shared" si="106"/>
        <v/>
      </c>
      <c r="AP732" s="16" t="str">
        <f t="shared" si="107"/>
        <v/>
      </c>
      <c r="AQ732" s="16" t="e">
        <f>IF(AP732="",NA(),COUNTIF(AP$176:$AP732,AP732))</f>
        <v>#N/A</v>
      </c>
      <c r="AR732" s="16" t="e">
        <f t="shared" si="108"/>
        <v>#N/A</v>
      </c>
      <c r="BI732" s="621">
        <v>724</v>
      </c>
      <c r="BJ732" s="711"/>
      <c r="BK732" s="712"/>
      <c r="BL732" s="713">
        <v>724</v>
      </c>
      <c r="BM732" s="714"/>
      <c r="BN732" s="239"/>
      <c r="BO732" s="24"/>
      <c r="BQ732" s="621">
        <v>724</v>
      </c>
      <c r="BR732" s="711"/>
      <c r="BS732" s="712"/>
      <c r="BT732" s="713">
        <v>724</v>
      </c>
      <c r="BU732" s="714"/>
      <c r="BV732" s="239"/>
      <c r="BW732" s="24"/>
      <c r="BY732" s="621">
        <v>724</v>
      </c>
      <c r="BZ732" s="711"/>
      <c r="CA732" s="712"/>
      <c r="CB732" s="713">
        <v>724</v>
      </c>
      <c r="CC732" s="714"/>
      <c r="CD732" s="239"/>
      <c r="CE732" s="24"/>
    </row>
    <row r="733" spans="5:83" ht="12" customHeight="1">
      <c r="E733" s="621">
        <v>725</v>
      </c>
      <c r="F733" s="711"/>
      <c r="G733" s="712"/>
      <c r="H733" s="713">
        <v>725</v>
      </c>
      <c r="I733" s="714"/>
      <c r="J733" s="239"/>
      <c r="K733" s="24"/>
      <c r="AI733" s="16" t="e">
        <f t="shared" si="101"/>
        <v>#N/A</v>
      </c>
      <c r="AJ733" s="16" t="str">
        <f t="shared" si="102"/>
        <v/>
      </c>
      <c r="AK733" s="16" t="str">
        <f t="shared" si="103"/>
        <v/>
      </c>
      <c r="AL733" s="16" t="e">
        <f>IF(AK733="",NA(),COUNTIF(AK$176:$AK733,AK733))</f>
        <v>#N/A</v>
      </c>
      <c r="AM733" s="16" t="e">
        <f t="shared" si="104"/>
        <v>#N/A</v>
      </c>
      <c r="AN733" s="16" t="e">
        <f t="shared" si="105"/>
        <v>#N/A</v>
      </c>
      <c r="AO733" s="16" t="str">
        <f t="shared" si="106"/>
        <v/>
      </c>
      <c r="AP733" s="16" t="str">
        <f t="shared" si="107"/>
        <v/>
      </c>
      <c r="AQ733" s="16" t="e">
        <f>IF(AP733="",NA(),COUNTIF(AP$176:$AP733,AP733))</f>
        <v>#N/A</v>
      </c>
      <c r="AR733" s="16" t="e">
        <f t="shared" si="108"/>
        <v>#N/A</v>
      </c>
      <c r="BI733" s="621">
        <v>725</v>
      </c>
      <c r="BJ733" s="711"/>
      <c r="BK733" s="712"/>
      <c r="BL733" s="713">
        <v>725</v>
      </c>
      <c r="BM733" s="714"/>
      <c r="BN733" s="239"/>
      <c r="BO733" s="24"/>
      <c r="BQ733" s="621">
        <v>725</v>
      </c>
      <c r="BR733" s="711"/>
      <c r="BS733" s="712"/>
      <c r="BT733" s="713">
        <v>725</v>
      </c>
      <c r="BU733" s="714"/>
      <c r="BV733" s="239"/>
      <c r="BW733" s="24"/>
      <c r="BY733" s="621">
        <v>725</v>
      </c>
      <c r="BZ733" s="711"/>
      <c r="CA733" s="712"/>
      <c r="CB733" s="713">
        <v>725</v>
      </c>
      <c r="CC733" s="714"/>
      <c r="CD733" s="239"/>
      <c r="CE733" s="24"/>
    </row>
    <row r="734" spans="5:83" ht="12" customHeight="1">
      <c r="E734" s="621">
        <v>726</v>
      </c>
      <c r="F734" s="711"/>
      <c r="G734" s="712"/>
      <c r="H734" s="713">
        <v>726</v>
      </c>
      <c r="I734" s="714"/>
      <c r="J734" s="239"/>
      <c r="K734" s="24"/>
      <c r="AI734" s="16" t="e">
        <f t="shared" si="101"/>
        <v>#N/A</v>
      </c>
      <c r="AJ734" s="16" t="str">
        <f t="shared" si="102"/>
        <v/>
      </c>
      <c r="AK734" s="16" t="str">
        <f t="shared" si="103"/>
        <v/>
      </c>
      <c r="AL734" s="16" t="e">
        <f>IF(AK734="",NA(),COUNTIF(AK$176:$AK734,AK734))</f>
        <v>#N/A</v>
      </c>
      <c r="AM734" s="16" t="e">
        <f t="shared" si="104"/>
        <v>#N/A</v>
      </c>
      <c r="AN734" s="16" t="e">
        <f t="shared" si="105"/>
        <v>#N/A</v>
      </c>
      <c r="AO734" s="16" t="str">
        <f t="shared" si="106"/>
        <v/>
      </c>
      <c r="AP734" s="16" t="str">
        <f t="shared" si="107"/>
        <v/>
      </c>
      <c r="AQ734" s="16" t="e">
        <f>IF(AP734="",NA(),COUNTIF(AP$176:$AP734,AP734))</f>
        <v>#N/A</v>
      </c>
      <c r="AR734" s="16" t="e">
        <f t="shared" si="108"/>
        <v>#N/A</v>
      </c>
      <c r="BI734" s="621">
        <v>726</v>
      </c>
      <c r="BJ734" s="711"/>
      <c r="BK734" s="712"/>
      <c r="BL734" s="713">
        <v>726</v>
      </c>
      <c r="BM734" s="714"/>
      <c r="BN734" s="239"/>
      <c r="BO734" s="24"/>
      <c r="BQ734" s="621">
        <v>726</v>
      </c>
      <c r="BR734" s="711"/>
      <c r="BS734" s="712"/>
      <c r="BT734" s="713">
        <v>726</v>
      </c>
      <c r="BU734" s="714"/>
      <c r="BV734" s="239"/>
      <c r="BW734" s="24"/>
      <c r="BY734" s="621">
        <v>726</v>
      </c>
      <c r="BZ734" s="711"/>
      <c r="CA734" s="712"/>
      <c r="CB734" s="713">
        <v>726</v>
      </c>
      <c r="CC734" s="714"/>
      <c r="CD734" s="239"/>
      <c r="CE734" s="24"/>
    </row>
    <row r="735" spans="5:83" ht="12" customHeight="1">
      <c r="E735" s="621">
        <v>727</v>
      </c>
      <c r="F735" s="711"/>
      <c r="G735" s="712"/>
      <c r="H735" s="713">
        <v>727</v>
      </c>
      <c r="I735" s="714"/>
      <c r="J735" s="239"/>
      <c r="K735" s="24"/>
      <c r="AI735" s="16" t="e">
        <f t="shared" si="101"/>
        <v>#N/A</v>
      </c>
      <c r="AJ735" s="16" t="str">
        <f t="shared" si="102"/>
        <v/>
      </c>
      <c r="AK735" s="16" t="str">
        <f t="shared" si="103"/>
        <v/>
      </c>
      <c r="AL735" s="16" t="e">
        <f>IF(AK735="",NA(),COUNTIF(AK$176:$AK735,AK735))</f>
        <v>#N/A</v>
      </c>
      <c r="AM735" s="16" t="e">
        <f t="shared" si="104"/>
        <v>#N/A</v>
      </c>
      <c r="AN735" s="16" t="e">
        <f t="shared" si="105"/>
        <v>#N/A</v>
      </c>
      <c r="AO735" s="16" t="str">
        <f t="shared" si="106"/>
        <v/>
      </c>
      <c r="AP735" s="16" t="str">
        <f t="shared" si="107"/>
        <v/>
      </c>
      <c r="AQ735" s="16" t="e">
        <f>IF(AP735="",NA(),COUNTIF(AP$176:$AP735,AP735))</f>
        <v>#N/A</v>
      </c>
      <c r="AR735" s="16" t="e">
        <f t="shared" si="108"/>
        <v>#N/A</v>
      </c>
      <c r="BI735" s="621">
        <v>727</v>
      </c>
      <c r="BJ735" s="711"/>
      <c r="BK735" s="712"/>
      <c r="BL735" s="713">
        <v>727</v>
      </c>
      <c r="BM735" s="714"/>
      <c r="BN735" s="239"/>
      <c r="BO735" s="24"/>
      <c r="BQ735" s="621">
        <v>727</v>
      </c>
      <c r="BR735" s="711"/>
      <c r="BS735" s="712"/>
      <c r="BT735" s="713">
        <v>727</v>
      </c>
      <c r="BU735" s="714"/>
      <c r="BV735" s="239"/>
      <c r="BW735" s="24"/>
      <c r="BY735" s="621">
        <v>727</v>
      </c>
      <c r="BZ735" s="711"/>
      <c r="CA735" s="712"/>
      <c r="CB735" s="713">
        <v>727</v>
      </c>
      <c r="CC735" s="714"/>
      <c r="CD735" s="239"/>
      <c r="CE735" s="24"/>
    </row>
    <row r="736" spans="5:83" ht="12" customHeight="1">
      <c r="E736" s="621">
        <v>728</v>
      </c>
      <c r="F736" s="711"/>
      <c r="G736" s="712"/>
      <c r="H736" s="713">
        <v>728</v>
      </c>
      <c r="I736" s="714"/>
      <c r="J736" s="239"/>
      <c r="K736" s="24"/>
      <c r="AI736" s="16" t="e">
        <f t="shared" si="101"/>
        <v>#N/A</v>
      </c>
      <c r="AJ736" s="16" t="str">
        <f t="shared" si="102"/>
        <v/>
      </c>
      <c r="AK736" s="16" t="str">
        <f t="shared" si="103"/>
        <v/>
      </c>
      <c r="AL736" s="16" t="e">
        <f>IF(AK736="",NA(),COUNTIF(AK$176:$AK736,AK736))</f>
        <v>#N/A</v>
      </c>
      <c r="AM736" s="16" t="e">
        <f t="shared" si="104"/>
        <v>#N/A</v>
      </c>
      <c r="AN736" s="16" t="e">
        <f t="shared" si="105"/>
        <v>#N/A</v>
      </c>
      <c r="AO736" s="16" t="str">
        <f t="shared" si="106"/>
        <v/>
      </c>
      <c r="AP736" s="16" t="str">
        <f t="shared" si="107"/>
        <v/>
      </c>
      <c r="AQ736" s="16" t="e">
        <f>IF(AP736="",NA(),COUNTIF(AP$176:$AP736,AP736))</f>
        <v>#N/A</v>
      </c>
      <c r="AR736" s="16" t="e">
        <f t="shared" si="108"/>
        <v>#N/A</v>
      </c>
      <c r="BI736" s="621">
        <v>728</v>
      </c>
      <c r="BJ736" s="711"/>
      <c r="BK736" s="712"/>
      <c r="BL736" s="713">
        <v>728</v>
      </c>
      <c r="BM736" s="714"/>
      <c r="BN736" s="239"/>
      <c r="BO736" s="24"/>
      <c r="BQ736" s="621">
        <v>728</v>
      </c>
      <c r="BR736" s="711"/>
      <c r="BS736" s="712"/>
      <c r="BT736" s="713">
        <v>728</v>
      </c>
      <c r="BU736" s="714"/>
      <c r="BV736" s="239"/>
      <c r="BW736" s="24"/>
      <c r="BY736" s="621">
        <v>728</v>
      </c>
      <c r="BZ736" s="711"/>
      <c r="CA736" s="712"/>
      <c r="CB736" s="713">
        <v>728</v>
      </c>
      <c r="CC736" s="714"/>
      <c r="CD736" s="239"/>
      <c r="CE736" s="24"/>
    </row>
    <row r="737" spans="5:83" ht="12" customHeight="1">
      <c r="E737" s="621">
        <v>729</v>
      </c>
      <c r="F737" s="711"/>
      <c r="G737" s="712"/>
      <c r="H737" s="713">
        <v>729</v>
      </c>
      <c r="I737" s="714"/>
      <c r="J737" s="239"/>
      <c r="K737" s="24"/>
      <c r="AI737" s="16" t="e">
        <f t="shared" si="101"/>
        <v>#N/A</v>
      </c>
      <c r="AJ737" s="16" t="str">
        <f t="shared" si="102"/>
        <v/>
      </c>
      <c r="AK737" s="16" t="str">
        <f t="shared" si="103"/>
        <v/>
      </c>
      <c r="AL737" s="16" t="e">
        <f>IF(AK737="",NA(),COUNTIF(AK$176:$AK737,AK737))</f>
        <v>#N/A</v>
      </c>
      <c r="AM737" s="16" t="e">
        <f t="shared" si="104"/>
        <v>#N/A</v>
      </c>
      <c r="AN737" s="16" t="e">
        <f t="shared" si="105"/>
        <v>#N/A</v>
      </c>
      <c r="AO737" s="16" t="str">
        <f t="shared" si="106"/>
        <v/>
      </c>
      <c r="AP737" s="16" t="str">
        <f t="shared" si="107"/>
        <v/>
      </c>
      <c r="AQ737" s="16" t="e">
        <f>IF(AP737="",NA(),COUNTIF(AP$176:$AP737,AP737))</f>
        <v>#N/A</v>
      </c>
      <c r="AR737" s="16" t="e">
        <f t="shared" si="108"/>
        <v>#N/A</v>
      </c>
      <c r="BI737" s="621">
        <v>729</v>
      </c>
      <c r="BJ737" s="711"/>
      <c r="BK737" s="712"/>
      <c r="BL737" s="713">
        <v>729</v>
      </c>
      <c r="BM737" s="714"/>
      <c r="BN737" s="239"/>
      <c r="BO737" s="24"/>
      <c r="BQ737" s="621">
        <v>729</v>
      </c>
      <c r="BR737" s="711"/>
      <c r="BS737" s="712"/>
      <c r="BT737" s="713">
        <v>729</v>
      </c>
      <c r="BU737" s="714"/>
      <c r="BV737" s="239"/>
      <c r="BW737" s="24"/>
      <c r="BY737" s="621">
        <v>729</v>
      </c>
      <c r="BZ737" s="711"/>
      <c r="CA737" s="712"/>
      <c r="CB737" s="713">
        <v>729</v>
      </c>
      <c r="CC737" s="714"/>
      <c r="CD737" s="239"/>
      <c r="CE737" s="24"/>
    </row>
    <row r="738" spans="5:83" ht="12" customHeight="1">
      <c r="E738" s="621">
        <v>730</v>
      </c>
      <c r="F738" s="711"/>
      <c r="G738" s="712"/>
      <c r="H738" s="713">
        <v>730</v>
      </c>
      <c r="I738" s="714"/>
      <c r="J738" s="239"/>
      <c r="K738" s="24"/>
      <c r="AI738" s="16" t="e">
        <f t="shared" si="101"/>
        <v>#N/A</v>
      </c>
      <c r="AJ738" s="16" t="str">
        <f t="shared" si="102"/>
        <v/>
      </c>
      <c r="AK738" s="16" t="str">
        <f t="shared" si="103"/>
        <v/>
      </c>
      <c r="AL738" s="16" t="e">
        <f>IF(AK738="",NA(),COUNTIF(AK$176:$AK738,AK738))</f>
        <v>#N/A</v>
      </c>
      <c r="AM738" s="16" t="e">
        <f t="shared" si="104"/>
        <v>#N/A</v>
      </c>
      <c r="AN738" s="16" t="e">
        <f t="shared" si="105"/>
        <v>#N/A</v>
      </c>
      <c r="AO738" s="16" t="str">
        <f t="shared" si="106"/>
        <v/>
      </c>
      <c r="AP738" s="16" t="str">
        <f t="shared" si="107"/>
        <v/>
      </c>
      <c r="AQ738" s="16" t="e">
        <f>IF(AP738="",NA(),COUNTIF(AP$176:$AP738,AP738))</f>
        <v>#N/A</v>
      </c>
      <c r="AR738" s="16" t="e">
        <f t="shared" si="108"/>
        <v>#N/A</v>
      </c>
      <c r="BI738" s="621">
        <v>730</v>
      </c>
      <c r="BJ738" s="711"/>
      <c r="BK738" s="712"/>
      <c r="BL738" s="713">
        <v>730</v>
      </c>
      <c r="BM738" s="714"/>
      <c r="BN738" s="239"/>
      <c r="BO738" s="24"/>
      <c r="BQ738" s="621">
        <v>730</v>
      </c>
      <c r="BR738" s="711"/>
      <c r="BS738" s="712"/>
      <c r="BT738" s="713">
        <v>730</v>
      </c>
      <c r="BU738" s="714"/>
      <c r="BV738" s="239"/>
      <c r="BW738" s="24"/>
      <c r="BY738" s="621">
        <v>730</v>
      </c>
      <c r="BZ738" s="711"/>
      <c r="CA738" s="712"/>
      <c r="CB738" s="713">
        <v>730</v>
      </c>
      <c r="CC738" s="714"/>
      <c r="CD738" s="239"/>
      <c r="CE738" s="24"/>
    </row>
    <row r="739" spans="5:83" ht="12" customHeight="1">
      <c r="E739" s="621">
        <v>731</v>
      </c>
      <c r="F739" s="711"/>
      <c r="G739" s="712"/>
      <c r="H739" s="713">
        <v>731</v>
      </c>
      <c r="I739" s="714"/>
      <c r="J739" s="239"/>
      <c r="K739" s="24"/>
      <c r="AI739" s="16" t="e">
        <f t="shared" si="101"/>
        <v>#N/A</v>
      </c>
      <c r="AJ739" s="16" t="str">
        <f t="shared" si="102"/>
        <v/>
      </c>
      <c r="AK739" s="16" t="str">
        <f t="shared" si="103"/>
        <v/>
      </c>
      <c r="AL739" s="16" t="e">
        <f>IF(AK739="",NA(),COUNTIF(AK$176:$AK739,AK739))</f>
        <v>#N/A</v>
      </c>
      <c r="AM739" s="16" t="e">
        <f t="shared" si="104"/>
        <v>#N/A</v>
      </c>
      <c r="AN739" s="16" t="e">
        <f t="shared" si="105"/>
        <v>#N/A</v>
      </c>
      <c r="AO739" s="16" t="str">
        <f t="shared" si="106"/>
        <v/>
      </c>
      <c r="AP739" s="16" t="str">
        <f t="shared" si="107"/>
        <v/>
      </c>
      <c r="AQ739" s="16" t="e">
        <f>IF(AP739="",NA(),COUNTIF(AP$176:$AP739,AP739))</f>
        <v>#N/A</v>
      </c>
      <c r="AR739" s="16" t="e">
        <f t="shared" si="108"/>
        <v>#N/A</v>
      </c>
      <c r="BI739" s="621">
        <v>731</v>
      </c>
      <c r="BJ739" s="711"/>
      <c r="BK739" s="712"/>
      <c r="BL739" s="713">
        <v>731</v>
      </c>
      <c r="BM739" s="714"/>
      <c r="BN739" s="239"/>
      <c r="BO739" s="24"/>
      <c r="BQ739" s="621">
        <v>731</v>
      </c>
      <c r="BR739" s="711"/>
      <c r="BS739" s="712"/>
      <c r="BT739" s="713">
        <v>731</v>
      </c>
      <c r="BU739" s="714"/>
      <c r="BV739" s="239"/>
      <c r="BW739" s="24"/>
      <c r="BY739" s="621">
        <v>731</v>
      </c>
      <c r="BZ739" s="711"/>
      <c r="CA739" s="712"/>
      <c r="CB739" s="713">
        <v>731</v>
      </c>
      <c r="CC739" s="714"/>
      <c r="CD739" s="239"/>
      <c r="CE739" s="24"/>
    </row>
    <row r="740" spans="5:83" ht="12" customHeight="1">
      <c r="E740" s="621">
        <v>732</v>
      </c>
      <c r="F740" s="711"/>
      <c r="G740" s="712"/>
      <c r="H740" s="713">
        <v>732</v>
      </c>
      <c r="I740" s="714"/>
      <c r="J740" s="239"/>
      <c r="K740" s="24"/>
      <c r="AI740" s="16" t="e">
        <f t="shared" si="101"/>
        <v>#N/A</v>
      </c>
      <c r="AJ740" s="16" t="str">
        <f t="shared" si="102"/>
        <v/>
      </c>
      <c r="AK740" s="16" t="str">
        <f t="shared" si="103"/>
        <v/>
      </c>
      <c r="AL740" s="16" t="e">
        <f>IF(AK740="",NA(),COUNTIF(AK$176:$AK740,AK740))</f>
        <v>#N/A</v>
      </c>
      <c r="AM740" s="16" t="e">
        <f t="shared" si="104"/>
        <v>#N/A</v>
      </c>
      <c r="AN740" s="16" t="e">
        <f t="shared" si="105"/>
        <v>#N/A</v>
      </c>
      <c r="AO740" s="16" t="str">
        <f t="shared" si="106"/>
        <v/>
      </c>
      <c r="AP740" s="16" t="str">
        <f t="shared" si="107"/>
        <v/>
      </c>
      <c r="AQ740" s="16" t="e">
        <f>IF(AP740="",NA(),COUNTIF(AP$176:$AP740,AP740))</f>
        <v>#N/A</v>
      </c>
      <c r="AR740" s="16" t="e">
        <f t="shared" si="108"/>
        <v>#N/A</v>
      </c>
      <c r="BI740" s="621">
        <v>732</v>
      </c>
      <c r="BJ740" s="711"/>
      <c r="BK740" s="712"/>
      <c r="BL740" s="713">
        <v>732</v>
      </c>
      <c r="BM740" s="714"/>
      <c r="BN740" s="239"/>
      <c r="BO740" s="24"/>
      <c r="BQ740" s="621">
        <v>732</v>
      </c>
      <c r="BR740" s="711"/>
      <c r="BS740" s="712"/>
      <c r="BT740" s="713">
        <v>732</v>
      </c>
      <c r="BU740" s="714"/>
      <c r="BV740" s="239"/>
      <c r="BW740" s="24"/>
      <c r="BY740" s="621">
        <v>732</v>
      </c>
      <c r="BZ740" s="711"/>
      <c r="CA740" s="712"/>
      <c r="CB740" s="713">
        <v>732</v>
      </c>
      <c r="CC740" s="714"/>
      <c r="CD740" s="239"/>
      <c r="CE740" s="24"/>
    </row>
    <row r="741" spans="5:83" ht="12" customHeight="1">
      <c r="E741" s="621">
        <v>733</v>
      </c>
      <c r="F741" s="711"/>
      <c r="G741" s="712"/>
      <c r="H741" s="713">
        <v>733</v>
      </c>
      <c r="I741" s="714"/>
      <c r="J741" s="239"/>
      <c r="K741" s="24"/>
      <c r="AI741" s="16" t="e">
        <f t="shared" si="101"/>
        <v>#N/A</v>
      </c>
      <c r="AJ741" s="16" t="str">
        <f t="shared" si="102"/>
        <v/>
      </c>
      <c r="AK741" s="16" t="str">
        <f t="shared" si="103"/>
        <v/>
      </c>
      <c r="AL741" s="16" t="e">
        <f>IF(AK741="",NA(),COUNTIF(AK$176:$AK741,AK741))</f>
        <v>#N/A</v>
      </c>
      <c r="AM741" s="16" t="e">
        <f t="shared" si="104"/>
        <v>#N/A</v>
      </c>
      <c r="AN741" s="16" t="e">
        <f t="shared" si="105"/>
        <v>#N/A</v>
      </c>
      <c r="AO741" s="16" t="str">
        <f t="shared" si="106"/>
        <v/>
      </c>
      <c r="AP741" s="16" t="str">
        <f t="shared" si="107"/>
        <v/>
      </c>
      <c r="AQ741" s="16" t="e">
        <f>IF(AP741="",NA(),COUNTIF(AP$176:$AP741,AP741))</f>
        <v>#N/A</v>
      </c>
      <c r="AR741" s="16" t="e">
        <f t="shared" si="108"/>
        <v>#N/A</v>
      </c>
      <c r="BI741" s="621">
        <v>733</v>
      </c>
      <c r="BJ741" s="711"/>
      <c r="BK741" s="712"/>
      <c r="BL741" s="713">
        <v>733</v>
      </c>
      <c r="BM741" s="714"/>
      <c r="BN741" s="239"/>
      <c r="BO741" s="24"/>
      <c r="BQ741" s="621">
        <v>733</v>
      </c>
      <c r="BR741" s="711"/>
      <c r="BS741" s="712"/>
      <c r="BT741" s="713">
        <v>733</v>
      </c>
      <c r="BU741" s="714"/>
      <c r="BV741" s="239"/>
      <c r="BW741" s="24"/>
      <c r="BY741" s="621">
        <v>733</v>
      </c>
      <c r="BZ741" s="711"/>
      <c r="CA741" s="712"/>
      <c r="CB741" s="713">
        <v>733</v>
      </c>
      <c r="CC741" s="714"/>
      <c r="CD741" s="239"/>
      <c r="CE741" s="24"/>
    </row>
    <row r="742" spans="5:83" ht="12" customHeight="1">
      <c r="E742" s="621">
        <v>734</v>
      </c>
      <c r="F742" s="711"/>
      <c r="G742" s="712"/>
      <c r="H742" s="713">
        <v>734</v>
      </c>
      <c r="I742" s="714"/>
      <c r="J742" s="239"/>
      <c r="K742" s="24"/>
      <c r="AI742" s="16" t="e">
        <f t="shared" si="101"/>
        <v>#N/A</v>
      </c>
      <c r="AJ742" s="16" t="str">
        <f t="shared" si="102"/>
        <v/>
      </c>
      <c r="AK742" s="16" t="str">
        <f t="shared" si="103"/>
        <v/>
      </c>
      <c r="AL742" s="16" t="e">
        <f>IF(AK742="",NA(),COUNTIF(AK$176:$AK742,AK742))</f>
        <v>#N/A</v>
      </c>
      <c r="AM742" s="16" t="e">
        <f t="shared" si="104"/>
        <v>#N/A</v>
      </c>
      <c r="AN742" s="16" t="e">
        <f t="shared" si="105"/>
        <v>#N/A</v>
      </c>
      <c r="AO742" s="16" t="str">
        <f t="shared" si="106"/>
        <v/>
      </c>
      <c r="AP742" s="16" t="str">
        <f t="shared" si="107"/>
        <v/>
      </c>
      <c r="AQ742" s="16" t="e">
        <f>IF(AP742="",NA(),COUNTIF(AP$176:$AP742,AP742))</f>
        <v>#N/A</v>
      </c>
      <c r="AR742" s="16" t="e">
        <f t="shared" si="108"/>
        <v>#N/A</v>
      </c>
      <c r="BI742" s="621">
        <v>734</v>
      </c>
      <c r="BJ742" s="711"/>
      <c r="BK742" s="712"/>
      <c r="BL742" s="713">
        <v>734</v>
      </c>
      <c r="BM742" s="714"/>
      <c r="BN742" s="239"/>
      <c r="BO742" s="24"/>
      <c r="BQ742" s="621">
        <v>734</v>
      </c>
      <c r="BR742" s="711"/>
      <c r="BS742" s="712"/>
      <c r="BT742" s="713">
        <v>734</v>
      </c>
      <c r="BU742" s="714"/>
      <c r="BV742" s="239"/>
      <c r="BW742" s="24"/>
      <c r="BY742" s="621">
        <v>734</v>
      </c>
      <c r="BZ742" s="711"/>
      <c r="CA742" s="712"/>
      <c r="CB742" s="713">
        <v>734</v>
      </c>
      <c r="CC742" s="714"/>
      <c r="CD742" s="239"/>
      <c r="CE742" s="24"/>
    </row>
    <row r="743" spans="5:83" ht="12" customHeight="1">
      <c r="E743" s="621">
        <v>735</v>
      </c>
      <c r="F743" s="711"/>
      <c r="G743" s="712"/>
      <c r="H743" s="713">
        <v>735</v>
      </c>
      <c r="I743" s="714"/>
      <c r="J743" s="239"/>
      <c r="K743" s="24"/>
      <c r="AI743" s="16" t="e">
        <f t="shared" si="101"/>
        <v>#N/A</v>
      </c>
      <c r="AJ743" s="16" t="str">
        <f t="shared" si="102"/>
        <v/>
      </c>
      <c r="AK743" s="16" t="str">
        <f t="shared" si="103"/>
        <v/>
      </c>
      <c r="AL743" s="16" t="e">
        <f>IF(AK743="",NA(),COUNTIF(AK$176:$AK743,AK743))</f>
        <v>#N/A</v>
      </c>
      <c r="AM743" s="16" t="e">
        <f t="shared" si="104"/>
        <v>#N/A</v>
      </c>
      <c r="AN743" s="16" t="e">
        <f t="shared" si="105"/>
        <v>#N/A</v>
      </c>
      <c r="AO743" s="16" t="str">
        <f t="shared" si="106"/>
        <v/>
      </c>
      <c r="AP743" s="16" t="str">
        <f t="shared" si="107"/>
        <v/>
      </c>
      <c r="AQ743" s="16" t="e">
        <f>IF(AP743="",NA(),COUNTIF(AP$176:$AP743,AP743))</f>
        <v>#N/A</v>
      </c>
      <c r="AR743" s="16" t="e">
        <f t="shared" si="108"/>
        <v>#N/A</v>
      </c>
      <c r="BI743" s="621">
        <v>735</v>
      </c>
      <c r="BJ743" s="711"/>
      <c r="BK743" s="712"/>
      <c r="BL743" s="713">
        <v>735</v>
      </c>
      <c r="BM743" s="714"/>
      <c r="BN743" s="239"/>
      <c r="BO743" s="24"/>
      <c r="BQ743" s="621">
        <v>735</v>
      </c>
      <c r="BR743" s="711"/>
      <c r="BS743" s="712"/>
      <c r="BT743" s="713">
        <v>735</v>
      </c>
      <c r="BU743" s="714"/>
      <c r="BV743" s="239"/>
      <c r="BW743" s="24"/>
      <c r="BY743" s="621">
        <v>735</v>
      </c>
      <c r="BZ743" s="711"/>
      <c r="CA743" s="712"/>
      <c r="CB743" s="713">
        <v>735</v>
      </c>
      <c r="CC743" s="714"/>
      <c r="CD743" s="239"/>
      <c r="CE743" s="24"/>
    </row>
    <row r="744" spans="5:83" ht="12" customHeight="1">
      <c r="E744" s="621">
        <v>736</v>
      </c>
      <c r="F744" s="711"/>
      <c r="G744" s="712"/>
      <c r="H744" s="713">
        <v>736</v>
      </c>
      <c r="I744" s="714"/>
      <c r="J744" s="239"/>
      <c r="K744" s="24"/>
      <c r="AI744" s="16" t="e">
        <f t="shared" si="101"/>
        <v>#N/A</v>
      </c>
      <c r="AJ744" s="16" t="str">
        <f t="shared" si="102"/>
        <v/>
      </c>
      <c r="AK744" s="16" t="str">
        <f t="shared" si="103"/>
        <v/>
      </c>
      <c r="AL744" s="16" t="e">
        <f>IF(AK744="",NA(),COUNTIF(AK$176:$AK744,AK744))</f>
        <v>#N/A</v>
      </c>
      <c r="AM744" s="16" t="e">
        <f t="shared" si="104"/>
        <v>#N/A</v>
      </c>
      <c r="AN744" s="16" t="e">
        <f t="shared" si="105"/>
        <v>#N/A</v>
      </c>
      <c r="AO744" s="16" t="str">
        <f t="shared" si="106"/>
        <v/>
      </c>
      <c r="AP744" s="16" t="str">
        <f t="shared" si="107"/>
        <v/>
      </c>
      <c r="AQ744" s="16" t="e">
        <f>IF(AP744="",NA(),COUNTIF(AP$176:$AP744,AP744))</f>
        <v>#N/A</v>
      </c>
      <c r="AR744" s="16" t="e">
        <f t="shared" si="108"/>
        <v>#N/A</v>
      </c>
      <c r="BI744" s="621">
        <v>736</v>
      </c>
      <c r="BJ744" s="711"/>
      <c r="BK744" s="712"/>
      <c r="BL744" s="713">
        <v>736</v>
      </c>
      <c r="BM744" s="714"/>
      <c r="BN744" s="239"/>
      <c r="BO744" s="24"/>
      <c r="BQ744" s="621">
        <v>736</v>
      </c>
      <c r="BR744" s="711"/>
      <c r="BS744" s="712"/>
      <c r="BT744" s="713">
        <v>736</v>
      </c>
      <c r="BU744" s="714"/>
      <c r="BV744" s="239"/>
      <c r="BW744" s="24"/>
      <c r="BY744" s="621">
        <v>736</v>
      </c>
      <c r="BZ744" s="711"/>
      <c r="CA744" s="712"/>
      <c r="CB744" s="713">
        <v>736</v>
      </c>
      <c r="CC744" s="714"/>
      <c r="CD744" s="239"/>
      <c r="CE744" s="24"/>
    </row>
    <row r="745" spans="5:83" ht="12" customHeight="1">
      <c r="E745" s="621">
        <v>737</v>
      </c>
      <c r="F745" s="711"/>
      <c r="G745" s="712"/>
      <c r="H745" s="713">
        <v>737</v>
      </c>
      <c r="I745" s="714"/>
      <c r="J745" s="239"/>
      <c r="K745" s="24"/>
      <c r="AI745" s="16" t="e">
        <f t="shared" si="101"/>
        <v>#N/A</v>
      </c>
      <c r="AJ745" s="16" t="str">
        <f t="shared" si="102"/>
        <v/>
      </c>
      <c r="AK745" s="16" t="str">
        <f t="shared" si="103"/>
        <v/>
      </c>
      <c r="AL745" s="16" t="e">
        <f>IF(AK745="",NA(),COUNTIF(AK$176:$AK745,AK745))</f>
        <v>#N/A</v>
      </c>
      <c r="AM745" s="16" t="e">
        <f t="shared" si="104"/>
        <v>#N/A</v>
      </c>
      <c r="AN745" s="16" t="e">
        <f t="shared" si="105"/>
        <v>#N/A</v>
      </c>
      <c r="AO745" s="16" t="str">
        <f t="shared" si="106"/>
        <v/>
      </c>
      <c r="AP745" s="16" t="str">
        <f t="shared" si="107"/>
        <v/>
      </c>
      <c r="AQ745" s="16" t="e">
        <f>IF(AP745="",NA(),COUNTIF(AP$176:$AP745,AP745))</f>
        <v>#N/A</v>
      </c>
      <c r="AR745" s="16" t="e">
        <f t="shared" si="108"/>
        <v>#N/A</v>
      </c>
      <c r="BI745" s="621">
        <v>737</v>
      </c>
      <c r="BJ745" s="711"/>
      <c r="BK745" s="712"/>
      <c r="BL745" s="713">
        <v>737</v>
      </c>
      <c r="BM745" s="714"/>
      <c r="BN745" s="239"/>
      <c r="BO745" s="24"/>
      <c r="BQ745" s="621">
        <v>737</v>
      </c>
      <c r="BR745" s="711"/>
      <c r="BS745" s="712"/>
      <c r="BT745" s="713">
        <v>737</v>
      </c>
      <c r="BU745" s="714"/>
      <c r="BV745" s="239"/>
      <c r="BW745" s="24"/>
      <c r="BY745" s="621">
        <v>737</v>
      </c>
      <c r="BZ745" s="711"/>
      <c r="CA745" s="712"/>
      <c r="CB745" s="713">
        <v>737</v>
      </c>
      <c r="CC745" s="714"/>
      <c r="CD745" s="239"/>
      <c r="CE745" s="24"/>
    </row>
    <row r="746" spans="5:83" ht="12" customHeight="1">
      <c r="E746" s="621">
        <v>738</v>
      </c>
      <c r="F746" s="711"/>
      <c r="G746" s="712"/>
      <c r="H746" s="713">
        <v>738</v>
      </c>
      <c r="I746" s="714"/>
      <c r="J746" s="239"/>
      <c r="K746" s="24"/>
      <c r="AI746" s="16" t="e">
        <f t="shared" si="101"/>
        <v>#N/A</v>
      </c>
      <c r="AJ746" s="16" t="str">
        <f t="shared" si="102"/>
        <v/>
      </c>
      <c r="AK746" s="16" t="str">
        <f t="shared" si="103"/>
        <v/>
      </c>
      <c r="AL746" s="16" t="e">
        <f>IF(AK746="",NA(),COUNTIF(AK$176:$AK746,AK746))</f>
        <v>#N/A</v>
      </c>
      <c r="AM746" s="16" t="e">
        <f t="shared" si="104"/>
        <v>#N/A</v>
      </c>
      <c r="AN746" s="16" t="e">
        <f t="shared" si="105"/>
        <v>#N/A</v>
      </c>
      <c r="AO746" s="16" t="str">
        <f t="shared" si="106"/>
        <v/>
      </c>
      <c r="AP746" s="16" t="str">
        <f t="shared" si="107"/>
        <v/>
      </c>
      <c r="AQ746" s="16" t="e">
        <f>IF(AP746="",NA(),COUNTIF(AP$176:$AP746,AP746))</f>
        <v>#N/A</v>
      </c>
      <c r="AR746" s="16" t="e">
        <f t="shared" si="108"/>
        <v>#N/A</v>
      </c>
      <c r="BI746" s="621">
        <v>738</v>
      </c>
      <c r="BJ746" s="711"/>
      <c r="BK746" s="712"/>
      <c r="BL746" s="713">
        <v>738</v>
      </c>
      <c r="BM746" s="714"/>
      <c r="BN746" s="239"/>
      <c r="BO746" s="24"/>
      <c r="BQ746" s="621">
        <v>738</v>
      </c>
      <c r="BR746" s="711"/>
      <c r="BS746" s="712"/>
      <c r="BT746" s="713">
        <v>738</v>
      </c>
      <c r="BU746" s="714"/>
      <c r="BV746" s="239"/>
      <c r="BW746" s="24"/>
      <c r="BY746" s="621">
        <v>738</v>
      </c>
      <c r="BZ746" s="711"/>
      <c r="CA746" s="712"/>
      <c r="CB746" s="713">
        <v>738</v>
      </c>
      <c r="CC746" s="714"/>
      <c r="CD746" s="239"/>
      <c r="CE746" s="24"/>
    </row>
    <row r="747" spans="5:83" ht="12" customHeight="1">
      <c r="E747" s="621">
        <v>739</v>
      </c>
      <c r="F747" s="711"/>
      <c r="G747" s="712"/>
      <c r="H747" s="713">
        <v>739</v>
      </c>
      <c r="I747" s="714"/>
      <c r="J747" s="239"/>
      <c r="K747" s="24"/>
      <c r="AI747" s="16" t="e">
        <f t="shared" si="101"/>
        <v>#N/A</v>
      </c>
      <c r="AJ747" s="16" t="str">
        <f t="shared" si="102"/>
        <v/>
      </c>
      <c r="AK747" s="16" t="str">
        <f t="shared" si="103"/>
        <v/>
      </c>
      <c r="AL747" s="16" t="e">
        <f>IF(AK747="",NA(),COUNTIF(AK$176:$AK747,AK747))</f>
        <v>#N/A</v>
      </c>
      <c r="AM747" s="16" t="e">
        <f t="shared" si="104"/>
        <v>#N/A</v>
      </c>
      <c r="AN747" s="16" t="e">
        <f t="shared" si="105"/>
        <v>#N/A</v>
      </c>
      <c r="AO747" s="16" t="str">
        <f t="shared" si="106"/>
        <v/>
      </c>
      <c r="AP747" s="16" t="str">
        <f t="shared" si="107"/>
        <v/>
      </c>
      <c r="AQ747" s="16" t="e">
        <f>IF(AP747="",NA(),COUNTIF(AP$176:$AP747,AP747))</f>
        <v>#N/A</v>
      </c>
      <c r="AR747" s="16" t="e">
        <f t="shared" si="108"/>
        <v>#N/A</v>
      </c>
      <c r="BI747" s="621">
        <v>739</v>
      </c>
      <c r="BJ747" s="711"/>
      <c r="BK747" s="712"/>
      <c r="BL747" s="713">
        <v>739</v>
      </c>
      <c r="BM747" s="714"/>
      <c r="BN747" s="239"/>
      <c r="BO747" s="24"/>
      <c r="BQ747" s="621">
        <v>739</v>
      </c>
      <c r="BR747" s="711"/>
      <c r="BS747" s="712"/>
      <c r="BT747" s="713">
        <v>739</v>
      </c>
      <c r="BU747" s="714"/>
      <c r="BV747" s="239"/>
      <c r="BW747" s="24"/>
      <c r="BY747" s="621">
        <v>739</v>
      </c>
      <c r="BZ747" s="711"/>
      <c r="CA747" s="712"/>
      <c r="CB747" s="713">
        <v>739</v>
      </c>
      <c r="CC747" s="714"/>
      <c r="CD747" s="239"/>
      <c r="CE747" s="24"/>
    </row>
    <row r="748" spans="5:83" ht="12" customHeight="1">
      <c r="E748" s="621">
        <v>740</v>
      </c>
      <c r="F748" s="711"/>
      <c r="G748" s="712"/>
      <c r="H748" s="713">
        <v>740</v>
      </c>
      <c r="I748" s="714"/>
      <c r="J748" s="239"/>
      <c r="K748" s="24"/>
      <c r="AI748" s="16" t="e">
        <f t="shared" si="101"/>
        <v>#N/A</v>
      </c>
      <c r="AJ748" s="16" t="str">
        <f t="shared" si="102"/>
        <v/>
      </c>
      <c r="AK748" s="16" t="str">
        <f t="shared" si="103"/>
        <v/>
      </c>
      <c r="AL748" s="16" t="e">
        <f>IF(AK748="",NA(),COUNTIF(AK$176:$AK748,AK748))</f>
        <v>#N/A</v>
      </c>
      <c r="AM748" s="16" t="e">
        <f t="shared" si="104"/>
        <v>#N/A</v>
      </c>
      <c r="AN748" s="16" t="e">
        <f t="shared" si="105"/>
        <v>#N/A</v>
      </c>
      <c r="AO748" s="16" t="str">
        <f t="shared" si="106"/>
        <v/>
      </c>
      <c r="AP748" s="16" t="str">
        <f t="shared" si="107"/>
        <v/>
      </c>
      <c r="AQ748" s="16" t="e">
        <f>IF(AP748="",NA(),COUNTIF(AP$176:$AP748,AP748))</f>
        <v>#N/A</v>
      </c>
      <c r="AR748" s="16" t="e">
        <f t="shared" si="108"/>
        <v>#N/A</v>
      </c>
      <c r="BI748" s="621">
        <v>740</v>
      </c>
      <c r="BJ748" s="711"/>
      <c r="BK748" s="712"/>
      <c r="BL748" s="713">
        <v>740</v>
      </c>
      <c r="BM748" s="714"/>
      <c r="BN748" s="239"/>
      <c r="BO748" s="24"/>
      <c r="BQ748" s="621">
        <v>740</v>
      </c>
      <c r="BR748" s="711"/>
      <c r="BS748" s="712"/>
      <c r="BT748" s="713">
        <v>740</v>
      </c>
      <c r="BU748" s="714"/>
      <c r="BV748" s="239"/>
      <c r="BW748" s="24"/>
      <c r="BY748" s="621">
        <v>740</v>
      </c>
      <c r="BZ748" s="711"/>
      <c r="CA748" s="712"/>
      <c r="CB748" s="713">
        <v>740</v>
      </c>
      <c r="CC748" s="714"/>
      <c r="CD748" s="239"/>
      <c r="CE748" s="24"/>
    </row>
    <row r="749" spans="5:83" ht="12" customHeight="1">
      <c r="E749" s="621">
        <v>741</v>
      </c>
      <c r="F749" s="711"/>
      <c r="G749" s="712"/>
      <c r="H749" s="713">
        <v>741</v>
      </c>
      <c r="I749" s="714"/>
      <c r="J749" s="239"/>
      <c r="K749" s="24"/>
      <c r="AI749" s="16" t="e">
        <f t="shared" si="101"/>
        <v>#N/A</v>
      </c>
      <c r="AJ749" s="16" t="str">
        <f t="shared" si="102"/>
        <v/>
      </c>
      <c r="AK749" s="16" t="str">
        <f t="shared" si="103"/>
        <v/>
      </c>
      <c r="AL749" s="16" t="e">
        <f>IF(AK749="",NA(),COUNTIF(AK$176:$AK749,AK749))</f>
        <v>#N/A</v>
      </c>
      <c r="AM749" s="16" t="e">
        <f t="shared" si="104"/>
        <v>#N/A</v>
      </c>
      <c r="AN749" s="16" t="e">
        <f t="shared" si="105"/>
        <v>#N/A</v>
      </c>
      <c r="AO749" s="16" t="str">
        <f t="shared" si="106"/>
        <v/>
      </c>
      <c r="AP749" s="16" t="str">
        <f t="shared" si="107"/>
        <v/>
      </c>
      <c r="AQ749" s="16" t="e">
        <f>IF(AP749="",NA(),COUNTIF(AP$176:$AP749,AP749))</f>
        <v>#N/A</v>
      </c>
      <c r="AR749" s="16" t="e">
        <f t="shared" si="108"/>
        <v>#N/A</v>
      </c>
      <c r="BI749" s="621">
        <v>741</v>
      </c>
      <c r="BJ749" s="711"/>
      <c r="BK749" s="712"/>
      <c r="BL749" s="713">
        <v>741</v>
      </c>
      <c r="BM749" s="714"/>
      <c r="BN749" s="239"/>
      <c r="BO749" s="24"/>
      <c r="BQ749" s="621">
        <v>741</v>
      </c>
      <c r="BR749" s="711"/>
      <c r="BS749" s="712"/>
      <c r="BT749" s="713">
        <v>741</v>
      </c>
      <c r="BU749" s="714"/>
      <c r="BV749" s="239"/>
      <c r="BW749" s="24"/>
      <c r="BY749" s="621">
        <v>741</v>
      </c>
      <c r="BZ749" s="711"/>
      <c r="CA749" s="712"/>
      <c r="CB749" s="713">
        <v>741</v>
      </c>
      <c r="CC749" s="714"/>
      <c r="CD749" s="239"/>
      <c r="CE749" s="24"/>
    </row>
    <row r="750" spans="5:83" ht="12" customHeight="1">
      <c r="E750" s="621">
        <v>742</v>
      </c>
      <c r="F750" s="711"/>
      <c r="G750" s="712"/>
      <c r="H750" s="713">
        <v>742</v>
      </c>
      <c r="I750" s="714"/>
      <c r="J750" s="239"/>
      <c r="K750" s="24"/>
      <c r="AI750" s="16" t="e">
        <f t="shared" si="101"/>
        <v>#N/A</v>
      </c>
      <c r="AJ750" s="16" t="str">
        <f t="shared" si="102"/>
        <v/>
      </c>
      <c r="AK750" s="16" t="str">
        <f t="shared" si="103"/>
        <v/>
      </c>
      <c r="AL750" s="16" t="e">
        <f>IF(AK750="",NA(),COUNTIF(AK$176:$AK750,AK750))</f>
        <v>#N/A</v>
      </c>
      <c r="AM750" s="16" t="e">
        <f t="shared" si="104"/>
        <v>#N/A</v>
      </c>
      <c r="AN750" s="16" t="e">
        <f t="shared" si="105"/>
        <v>#N/A</v>
      </c>
      <c r="AO750" s="16" t="str">
        <f t="shared" si="106"/>
        <v/>
      </c>
      <c r="AP750" s="16" t="str">
        <f t="shared" si="107"/>
        <v/>
      </c>
      <c r="AQ750" s="16" t="e">
        <f>IF(AP750="",NA(),COUNTIF(AP$176:$AP750,AP750))</f>
        <v>#N/A</v>
      </c>
      <c r="AR750" s="16" t="e">
        <f t="shared" si="108"/>
        <v>#N/A</v>
      </c>
      <c r="BI750" s="621">
        <v>742</v>
      </c>
      <c r="BJ750" s="711"/>
      <c r="BK750" s="712"/>
      <c r="BL750" s="713">
        <v>742</v>
      </c>
      <c r="BM750" s="714"/>
      <c r="BN750" s="239"/>
      <c r="BO750" s="24"/>
      <c r="BQ750" s="621">
        <v>742</v>
      </c>
      <c r="BR750" s="711"/>
      <c r="BS750" s="712"/>
      <c r="BT750" s="713">
        <v>742</v>
      </c>
      <c r="BU750" s="714"/>
      <c r="BV750" s="239"/>
      <c r="BW750" s="24"/>
      <c r="BY750" s="621">
        <v>742</v>
      </c>
      <c r="BZ750" s="711"/>
      <c r="CA750" s="712"/>
      <c r="CB750" s="713">
        <v>742</v>
      </c>
      <c r="CC750" s="714"/>
      <c r="CD750" s="239"/>
      <c r="CE750" s="24"/>
    </row>
    <row r="751" spans="5:83" ht="12" customHeight="1">
      <c r="E751" s="621">
        <v>743</v>
      </c>
      <c r="F751" s="711"/>
      <c r="G751" s="712"/>
      <c r="H751" s="713">
        <v>743</v>
      </c>
      <c r="I751" s="714"/>
      <c r="J751" s="239"/>
      <c r="K751" s="24"/>
      <c r="AI751" s="16" t="e">
        <f t="shared" si="101"/>
        <v>#N/A</v>
      </c>
      <c r="AJ751" s="16" t="str">
        <f t="shared" si="102"/>
        <v/>
      </c>
      <c r="AK751" s="16" t="str">
        <f t="shared" si="103"/>
        <v/>
      </c>
      <c r="AL751" s="16" t="e">
        <f>IF(AK751="",NA(),COUNTIF(AK$176:$AK751,AK751))</f>
        <v>#N/A</v>
      </c>
      <c r="AM751" s="16" t="e">
        <f t="shared" si="104"/>
        <v>#N/A</v>
      </c>
      <c r="AN751" s="16" t="e">
        <f t="shared" si="105"/>
        <v>#N/A</v>
      </c>
      <c r="AO751" s="16" t="str">
        <f t="shared" si="106"/>
        <v/>
      </c>
      <c r="AP751" s="16" t="str">
        <f t="shared" si="107"/>
        <v/>
      </c>
      <c r="AQ751" s="16" t="e">
        <f>IF(AP751="",NA(),COUNTIF(AP$176:$AP751,AP751))</f>
        <v>#N/A</v>
      </c>
      <c r="AR751" s="16" t="e">
        <f t="shared" si="108"/>
        <v>#N/A</v>
      </c>
      <c r="BI751" s="621">
        <v>743</v>
      </c>
      <c r="BJ751" s="711"/>
      <c r="BK751" s="712"/>
      <c r="BL751" s="713">
        <v>743</v>
      </c>
      <c r="BM751" s="714"/>
      <c r="BN751" s="239"/>
      <c r="BO751" s="24"/>
      <c r="BQ751" s="621">
        <v>743</v>
      </c>
      <c r="BR751" s="711"/>
      <c r="BS751" s="712"/>
      <c r="BT751" s="713">
        <v>743</v>
      </c>
      <c r="BU751" s="714"/>
      <c r="BV751" s="239"/>
      <c r="BW751" s="24"/>
      <c r="BY751" s="621">
        <v>743</v>
      </c>
      <c r="BZ751" s="711"/>
      <c r="CA751" s="712"/>
      <c r="CB751" s="713">
        <v>743</v>
      </c>
      <c r="CC751" s="714"/>
      <c r="CD751" s="239"/>
      <c r="CE751" s="24"/>
    </row>
    <row r="752" spans="5:83" ht="12" customHeight="1">
      <c r="E752" s="621">
        <v>744</v>
      </c>
      <c r="F752" s="711"/>
      <c r="G752" s="712"/>
      <c r="H752" s="713">
        <v>744</v>
      </c>
      <c r="I752" s="714"/>
      <c r="J752" s="239"/>
      <c r="K752" s="24"/>
      <c r="AI752" s="16" t="e">
        <f t="shared" si="101"/>
        <v>#N/A</v>
      </c>
      <c r="AJ752" s="16" t="str">
        <f t="shared" si="102"/>
        <v/>
      </c>
      <c r="AK752" s="16" t="str">
        <f t="shared" si="103"/>
        <v/>
      </c>
      <c r="AL752" s="16" t="e">
        <f>IF(AK752="",NA(),COUNTIF(AK$176:$AK752,AK752))</f>
        <v>#N/A</v>
      </c>
      <c r="AM752" s="16" t="e">
        <f t="shared" si="104"/>
        <v>#N/A</v>
      </c>
      <c r="AN752" s="16" t="e">
        <f t="shared" si="105"/>
        <v>#N/A</v>
      </c>
      <c r="AO752" s="16" t="str">
        <f t="shared" si="106"/>
        <v/>
      </c>
      <c r="AP752" s="16" t="str">
        <f t="shared" si="107"/>
        <v/>
      </c>
      <c r="AQ752" s="16" t="e">
        <f>IF(AP752="",NA(),COUNTIF(AP$176:$AP752,AP752))</f>
        <v>#N/A</v>
      </c>
      <c r="AR752" s="16" t="e">
        <f t="shared" si="108"/>
        <v>#N/A</v>
      </c>
      <c r="BI752" s="621">
        <v>744</v>
      </c>
      <c r="BJ752" s="711"/>
      <c r="BK752" s="712"/>
      <c r="BL752" s="713">
        <v>744</v>
      </c>
      <c r="BM752" s="714"/>
      <c r="BN752" s="239"/>
      <c r="BO752" s="24"/>
      <c r="BQ752" s="621">
        <v>744</v>
      </c>
      <c r="BR752" s="711"/>
      <c r="BS752" s="712"/>
      <c r="BT752" s="713">
        <v>744</v>
      </c>
      <c r="BU752" s="714"/>
      <c r="BV752" s="239"/>
      <c r="BW752" s="24"/>
      <c r="BY752" s="621">
        <v>744</v>
      </c>
      <c r="BZ752" s="711"/>
      <c r="CA752" s="712"/>
      <c r="CB752" s="713">
        <v>744</v>
      </c>
      <c r="CC752" s="714"/>
      <c r="CD752" s="239"/>
      <c r="CE752" s="24"/>
    </row>
    <row r="753" spans="5:83" ht="12" customHeight="1">
      <c r="E753" s="621">
        <v>745</v>
      </c>
      <c r="F753" s="711"/>
      <c r="G753" s="712"/>
      <c r="H753" s="713">
        <v>745</v>
      </c>
      <c r="I753" s="714"/>
      <c r="J753" s="239"/>
      <c r="K753" s="24"/>
      <c r="AI753" s="16" t="e">
        <f t="shared" si="101"/>
        <v>#N/A</v>
      </c>
      <c r="AJ753" s="16" t="str">
        <f t="shared" si="102"/>
        <v/>
      </c>
      <c r="AK753" s="16" t="str">
        <f t="shared" si="103"/>
        <v/>
      </c>
      <c r="AL753" s="16" t="e">
        <f>IF(AK753="",NA(),COUNTIF(AK$176:$AK753,AK753))</f>
        <v>#N/A</v>
      </c>
      <c r="AM753" s="16" t="e">
        <f t="shared" si="104"/>
        <v>#N/A</v>
      </c>
      <c r="AN753" s="16" t="e">
        <f t="shared" si="105"/>
        <v>#N/A</v>
      </c>
      <c r="AO753" s="16" t="str">
        <f t="shared" si="106"/>
        <v/>
      </c>
      <c r="AP753" s="16" t="str">
        <f t="shared" si="107"/>
        <v/>
      </c>
      <c r="AQ753" s="16" t="e">
        <f>IF(AP753="",NA(),COUNTIF(AP$176:$AP753,AP753))</f>
        <v>#N/A</v>
      </c>
      <c r="AR753" s="16" t="e">
        <f t="shared" si="108"/>
        <v>#N/A</v>
      </c>
      <c r="BI753" s="621">
        <v>745</v>
      </c>
      <c r="BJ753" s="711"/>
      <c r="BK753" s="712"/>
      <c r="BL753" s="713">
        <v>745</v>
      </c>
      <c r="BM753" s="714"/>
      <c r="BN753" s="239"/>
      <c r="BO753" s="24"/>
      <c r="BQ753" s="621">
        <v>745</v>
      </c>
      <c r="BR753" s="711"/>
      <c r="BS753" s="712"/>
      <c r="BT753" s="713">
        <v>745</v>
      </c>
      <c r="BU753" s="714"/>
      <c r="BV753" s="239"/>
      <c r="BW753" s="24"/>
      <c r="BY753" s="621">
        <v>745</v>
      </c>
      <c r="BZ753" s="711"/>
      <c r="CA753" s="712"/>
      <c r="CB753" s="713">
        <v>745</v>
      </c>
      <c r="CC753" s="714"/>
      <c r="CD753" s="239"/>
      <c r="CE753" s="24"/>
    </row>
    <row r="754" spans="5:83" ht="12" customHeight="1">
      <c r="E754" s="621">
        <v>746</v>
      </c>
      <c r="F754" s="711"/>
      <c r="G754" s="712"/>
      <c r="H754" s="713">
        <v>746</v>
      </c>
      <c r="I754" s="714"/>
      <c r="J754" s="239"/>
      <c r="K754" s="24"/>
      <c r="AI754" s="16" t="e">
        <f t="shared" si="101"/>
        <v>#N/A</v>
      </c>
      <c r="AJ754" s="16" t="str">
        <f t="shared" si="102"/>
        <v/>
      </c>
      <c r="AK754" s="16" t="str">
        <f t="shared" si="103"/>
        <v/>
      </c>
      <c r="AL754" s="16" t="e">
        <f>IF(AK754="",NA(),COUNTIF(AK$176:$AK754,AK754))</f>
        <v>#N/A</v>
      </c>
      <c r="AM754" s="16" t="e">
        <f t="shared" si="104"/>
        <v>#N/A</v>
      </c>
      <c r="AN754" s="16" t="e">
        <f t="shared" si="105"/>
        <v>#N/A</v>
      </c>
      <c r="AO754" s="16" t="str">
        <f t="shared" si="106"/>
        <v/>
      </c>
      <c r="AP754" s="16" t="str">
        <f t="shared" si="107"/>
        <v/>
      </c>
      <c r="AQ754" s="16" t="e">
        <f>IF(AP754="",NA(),COUNTIF(AP$176:$AP754,AP754))</f>
        <v>#N/A</v>
      </c>
      <c r="AR754" s="16" t="e">
        <f t="shared" si="108"/>
        <v>#N/A</v>
      </c>
      <c r="BI754" s="621">
        <v>746</v>
      </c>
      <c r="BJ754" s="711"/>
      <c r="BK754" s="712"/>
      <c r="BL754" s="713">
        <v>746</v>
      </c>
      <c r="BM754" s="714"/>
      <c r="BN754" s="239"/>
      <c r="BO754" s="24"/>
      <c r="BQ754" s="621">
        <v>746</v>
      </c>
      <c r="BR754" s="711"/>
      <c r="BS754" s="712"/>
      <c r="BT754" s="713">
        <v>746</v>
      </c>
      <c r="BU754" s="714"/>
      <c r="BV754" s="239"/>
      <c r="BW754" s="24"/>
      <c r="BY754" s="621">
        <v>746</v>
      </c>
      <c r="BZ754" s="711"/>
      <c r="CA754" s="712"/>
      <c r="CB754" s="713">
        <v>746</v>
      </c>
      <c r="CC754" s="714"/>
      <c r="CD754" s="239"/>
      <c r="CE754" s="24"/>
    </row>
    <row r="755" spans="5:83" ht="12" customHeight="1">
      <c r="E755" s="621">
        <v>747</v>
      </c>
      <c r="F755" s="711"/>
      <c r="G755" s="712"/>
      <c r="H755" s="713">
        <v>747</v>
      </c>
      <c r="I755" s="714"/>
      <c r="J755" s="239"/>
      <c r="K755" s="24"/>
      <c r="AI755" s="16" t="e">
        <f t="shared" si="101"/>
        <v>#N/A</v>
      </c>
      <c r="AJ755" s="16" t="str">
        <f t="shared" si="102"/>
        <v/>
      </c>
      <c r="AK755" s="16" t="str">
        <f t="shared" si="103"/>
        <v/>
      </c>
      <c r="AL755" s="16" t="e">
        <f>IF(AK755="",NA(),COUNTIF(AK$176:$AK755,AK755))</f>
        <v>#N/A</v>
      </c>
      <c r="AM755" s="16" t="e">
        <f t="shared" si="104"/>
        <v>#N/A</v>
      </c>
      <c r="AN755" s="16" t="e">
        <f t="shared" si="105"/>
        <v>#N/A</v>
      </c>
      <c r="AO755" s="16" t="str">
        <f t="shared" si="106"/>
        <v/>
      </c>
      <c r="AP755" s="16" t="str">
        <f t="shared" si="107"/>
        <v/>
      </c>
      <c r="AQ755" s="16" t="e">
        <f>IF(AP755="",NA(),COUNTIF(AP$176:$AP755,AP755))</f>
        <v>#N/A</v>
      </c>
      <c r="AR755" s="16" t="e">
        <f t="shared" si="108"/>
        <v>#N/A</v>
      </c>
      <c r="BI755" s="621">
        <v>747</v>
      </c>
      <c r="BJ755" s="711"/>
      <c r="BK755" s="712"/>
      <c r="BL755" s="713">
        <v>747</v>
      </c>
      <c r="BM755" s="714"/>
      <c r="BN755" s="239"/>
      <c r="BO755" s="24"/>
      <c r="BQ755" s="621">
        <v>747</v>
      </c>
      <c r="BR755" s="711"/>
      <c r="BS755" s="712"/>
      <c r="BT755" s="713">
        <v>747</v>
      </c>
      <c r="BU755" s="714"/>
      <c r="BV755" s="239"/>
      <c r="BW755" s="24"/>
      <c r="BY755" s="621">
        <v>747</v>
      </c>
      <c r="BZ755" s="711"/>
      <c r="CA755" s="712"/>
      <c r="CB755" s="713">
        <v>747</v>
      </c>
      <c r="CC755" s="714"/>
      <c r="CD755" s="239"/>
      <c r="CE755" s="24"/>
    </row>
    <row r="756" spans="5:83" ht="12" customHeight="1">
      <c r="E756" s="621">
        <v>748</v>
      </c>
      <c r="F756" s="711"/>
      <c r="G756" s="712"/>
      <c r="H756" s="713">
        <v>748</v>
      </c>
      <c r="I756" s="714"/>
      <c r="J756" s="239"/>
      <c r="K756" s="24"/>
      <c r="AI756" s="16" t="e">
        <f t="shared" si="101"/>
        <v>#N/A</v>
      </c>
      <c r="AJ756" s="16" t="str">
        <f t="shared" si="102"/>
        <v/>
      </c>
      <c r="AK756" s="16" t="str">
        <f t="shared" si="103"/>
        <v/>
      </c>
      <c r="AL756" s="16" t="e">
        <f>IF(AK756="",NA(),COUNTIF(AK$176:$AK756,AK756))</f>
        <v>#N/A</v>
      </c>
      <c r="AM756" s="16" t="e">
        <f t="shared" si="104"/>
        <v>#N/A</v>
      </c>
      <c r="AN756" s="16" t="e">
        <f t="shared" si="105"/>
        <v>#N/A</v>
      </c>
      <c r="AO756" s="16" t="str">
        <f t="shared" si="106"/>
        <v/>
      </c>
      <c r="AP756" s="16" t="str">
        <f t="shared" si="107"/>
        <v/>
      </c>
      <c r="AQ756" s="16" t="e">
        <f>IF(AP756="",NA(),COUNTIF(AP$176:$AP756,AP756))</f>
        <v>#N/A</v>
      </c>
      <c r="AR756" s="16" t="e">
        <f t="shared" si="108"/>
        <v>#N/A</v>
      </c>
      <c r="BI756" s="621">
        <v>748</v>
      </c>
      <c r="BJ756" s="711"/>
      <c r="BK756" s="712"/>
      <c r="BL756" s="713">
        <v>748</v>
      </c>
      <c r="BM756" s="714"/>
      <c r="BN756" s="239"/>
      <c r="BO756" s="24"/>
      <c r="BQ756" s="621">
        <v>748</v>
      </c>
      <c r="BR756" s="711"/>
      <c r="BS756" s="712"/>
      <c r="BT756" s="713">
        <v>748</v>
      </c>
      <c r="BU756" s="714"/>
      <c r="BV756" s="239"/>
      <c r="BW756" s="24"/>
      <c r="BY756" s="621">
        <v>748</v>
      </c>
      <c r="BZ756" s="711"/>
      <c r="CA756" s="712"/>
      <c r="CB756" s="713">
        <v>748</v>
      </c>
      <c r="CC756" s="714"/>
      <c r="CD756" s="239"/>
      <c r="CE756" s="24"/>
    </row>
    <row r="757" spans="5:83" ht="12" customHeight="1">
      <c r="E757" s="621">
        <v>749</v>
      </c>
      <c r="F757" s="711"/>
      <c r="G757" s="712"/>
      <c r="H757" s="713">
        <v>749</v>
      </c>
      <c r="I757" s="714"/>
      <c r="J757" s="239"/>
      <c r="K757" s="24"/>
      <c r="AI757" s="16" t="e">
        <f t="shared" si="101"/>
        <v>#N/A</v>
      </c>
      <c r="AJ757" s="16" t="str">
        <f t="shared" si="102"/>
        <v/>
      </c>
      <c r="AK757" s="16" t="str">
        <f t="shared" si="103"/>
        <v/>
      </c>
      <c r="AL757" s="16" t="e">
        <f>IF(AK757="",NA(),COUNTIF(AK$176:$AK757,AK757))</f>
        <v>#N/A</v>
      </c>
      <c r="AM757" s="16" t="e">
        <f t="shared" si="104"/>
        <v>#N/A</v>
      </c>
      <c r="AN757" s="16" t="e">
        <f t="shared" si="105"/>
        <v>#N/A</v>
      </c>
      <c r="AO757" s="16" t="str">
        <f t="shared" si="106"/>
        <v/>
      </c>
      <c r="AP757" s="16" t="str">
        <f t="shared" si="107"/>
        <v/>
      </c>
      <c r="AQ757" s="16" t="e">
        <f>IF(AP757="",NA(),COUNTIF(AP$176:$AP757,AP757))</f>
        <v>#N/A</v>
      </c>
      <c r="AR757" s="16" t="e">
        <f t="shared" si="108"/>
        <v>#N/A</v>
      </c>
      <c r="BI757" s="621">
        <v>749</v>
      </c>
      <c r="BJ757" s="711"/>
      <c r="BK757" s="712"/>
      <c r="BL757" s="713">
        <v>749</v>
      </c>
      <c r="BM757" s="714"/>
      <c r="BN757" s="239"/>
      <c r="BO757" s="24"/>
      <c r="BQ757" s="621">
        <v>749</v>
      </c>
      <c r="BR757" s="711"/>
      <c r="BS757" s="712"/>
      <c r="BT757" s="713">
        <v>749</v>
      </c>
      <c r="BU757" s="714"/>
      <c r="BV757" s="239"/>
      <c r="BW757" s="24"/>
      <c r="BY757" s="621">
        <v>749</v>
      </c>
      <c r="BZ757" s="711"/>
      <c r="CA757" s="712"/>
      <c r="CB757" s="713">
        <v>749</v>
      </c>
      <c r="CC757" s="714"/>
      <c r="CD757" s="239"/>
      <c r="CE757" s="24"/>
    </row>
    <row r="758" spans="5:83" ht="12" customHeight="1">
      <c r="E758" s="621">
        <v>750</v>
      </c>
      <c r="F758" s="711"/>
      <c r="G758" s="712"/>
      <c r="H758" s="713">
        <v>750</v>
      </c>
      <c r="I758" s="714"/>
      <c r="J758" s="239"/>
      <c r="K758" s="24"/>
      <c r="AI758" s="16" t="e">
        <f t="shared" si="101"/>
        <v>#N/A</v>
      </c>
      <c r="AJ758" s="16" t="str">
        <f t="shared" si="102"/>
        <v/>
      </c>
      <c r="AK758" s="16" t="str">
        <f t="shared" si="103"/>
        <v/>
      </c>
      <c r="AL758" s="16" t="e">
        <f>IF(AK758="",NA(),COUNTIF(AK$176:$AK758,AK758))</f>
        <v>#N/A</v>
      </c>
      <c r="AM758" s="16" t="e">
        <f t="shared" si="104"/>
        <v>#N/A</v>
      </c>
      <c r="AN758" s="16" t="e">
        <f t="shared" si="105"/>
        <v>#N/A</v>
      </c>
      <c r="AO758" s="16" t="str">
        <f t="shared" si="106"/>
        <v/>
      </c>
      <c r="AP758" s="16" t="str">
        <f t="shared" si="107"/>
        <v/>
      </c>
      <c r="AQ758" s="16" t="e">
        <f>IF(AP758="",NA(),COUNTIF(AP$176:$AP758,AP758))</f>
        <v>#N/A</v>
      </c>
      <c r="AR758" s="16" t="e">
        <f t="shared" si="108"/>
        <v>#N/A</v>
      </c>
      <c r="BI758" s="621">
        <v>750</v>
      </c>
      <c r="BJ758" s="711"/>
      <c r="BK758" s="712"/>
      <c r="BL758" s="713">
        <v>750</v>
      </c>
      <c r="BM758" s="714"/>
      <c r="BN758" s="239"/>
      <c r="BO758" s="24"/>
      <c r="BQ758" s="621">
        <v>750</v>
      </c>
      <c r="BR758" s="711"/>
      <c r="BS758" s="712"/>
      <c r="BT758" s="713">
        <v>750</v>
      </c>
      <c r="BU758" s="714"/>
      <c r="BV758" s="239"/>
      <c r="BW758" s="24"/>
      <c r="BY758" s="621">
        <v>750</v>
      </c>
      <c r="BZ758" s="711"/>
      <c r="CA758" s="712"/>
      <c r="CB758" s="713">
        <v>750</v>
      </c>
      <c r="CC758" s="714"/>
      <c r="CD758" s="239"/>
      <c r="CE758" s="24"/>
    </row>
    <row r="759" spans="5:83" ht="12" customHeight="1">
      <c r="E759" s="621">
        <v>751</v>
      </c>
      <c r="F759" s="711"/>
      <c r="G759" s="712"/>
      <c r="H759" s="713">
        <v>751</v>
      </c>
      <c r="I759" s="714"/>
      <c r="J759" s="239"/>
      <c r="K759" s="24"/>
      <c r="AI759" s="16" t="e">
        <f t="shared" si="101"/>
        <v>#N/A</v>
      </c>
      <c r="AJ759" s="16" t="str">
        <f t="shared" si="102"/>
        <v/>
      </c>
      <c r="AK759" s="16" t="str">
        <f t="shared" si="103"/>
        <v/>
      </c>
      <c r="AL759" s="16" t="e">
        <f>IF(AK759="",NA(),COUNTIF(AK$176:$AK759,AK759))</f>
        <v>#N/A</v>
      </c>
      <c r="AM759" s="16" t="e">
        <f t="shared" si="104"/>
        <v>#N/A</v>
      </c>
      <c r="AN759" s="16" t="e">
        <f t="shared" si="105"/>
        <v>#N/A</v>
      </c>
      <c r="AO759" s="16" t="str">
        <f t="shared" si="106"/>
        <v/>
      </c>
      <c r="AP759" s="16" t="str">
        <f t="shared" si="107"/>
        <v/>
      </c>
      <c r="AQ759" s="16" t="e">
        <f>IF(AP759="",NA(),COUNTIF(AP$176:$AP759,AP759))</f>
        <v>#N/A</v>
      </c>
      <c r="AR759" s="16" t="e">
        <f t="shared" si="108"/>
        <v>#N/A</v>
      </c>
      <c r="BI759" s="621">
        <v>751</v>
      </c>
      <c r="BJ759" s="711"/>
      <c r="BK759" s="712"/>
      <c r="BL759" s="713">
        <v>751</v>
      </c>
      <c r="BM759" s="714"/>
      <c r="BN759" s="239"/>
      <c r="BO759" s="24"/>
      <c r="BQ759" s="621">
        <v>751</v>
      </c>
      <c r="BR759" s="711"/>
      <c r="BS759" s="712"/>
      <c r="BT759" s="713">
        <v>751</v>
      </c>
      <c r="BU759" s="714"/>
      <c r="BV759" s="239"/>
      <c r="BW759" s="24"/>
      <c r="BY759" s="621">
        <v>751</v>
      </c>
      <c r="BZ759" s="711"/>
      <c r="CA759" s="712"/>
      <c r="CB759" s="713">
        <v>751</v>
      </c>
      <c r="CC759" s="714"/>
      <c r="CD759" s="239"/>
      <c r="CE759" s="24"/>
    </row>
    <row r="760" spans="5:83" ht="12" customHeight="1">
      <c r="E760" s="621">
        <v>752</v>
      </c>
      <c r="F760" s="711"/>
      <c r="G760" s="712"/>
      <c r="H760" s="713">
        <v>752</v>
      </c>
      <c r="I760" s="714"/>
      <c r="J760" s="239"/>
      <c r="K760" s="24"/>
      <c r="AI760" s="16" t="e">
        <f t="shared" si="101"/>
        <v>#N/A</v>
      </c>
      <c r="AJ760" s="16" t="str">
        <f t="shared" si="102"/>
        <v/>
      </c>
      <c r="AK760" s="16" t="str">
        <f t="shared" si="103"/>
        <v/>
      </c>
      <c r="AL760" s="16" t="e">
        <f>IF(AK760="",NA(),COUNTIF(AK$176:$AK760,AK760))</f>
        <v>#N/A</v>
      </c>
      <c r="AM760" s="16" t="e">
        <f t="shared" si="104"/>
        <v>#N/A</v>
      </c>
      <c r="AN760" s="16" t="e">
        <f t="shared" si="105"/>
        <v>#N/A</v>
      </c>
      <c r="AO760" s="16" t="str">
        <f t="shared" si="106"/>
        <v/>
      </c>
      <c r="AP760" s="16" t="str">
        <f t="shared" si="107"/>
        <v/>
      </c>
      <c r="AQ760" s="16" t="e">
        <f>IF(AP760="",NA(),COUNTIF(AP$176:$AP760,AP760))</f>
        <v>#N/A</v>
      </c>
      <c r="AR760" s="16" t="e">
        <f t="shared" si="108"/>
        <v>#N/A</v>
      </c>
      <c r="BI760" s="621">
        <v>752</v>
      </c>
      <c r="BJ760" s="711"/>
      <c r="BK760" s="712"/>
      <c r="BL760" s="713">
        <v>752</v>
      </c>
      <c r="BM760" s="714"/>
      <c r="BN760" s="239"/>
      <c r="BO760" s="24"/>
      <c r="BQ760" s="621">
        <v>752</v>
      </c>
      <c r="BR760" s="711"/>
      <c r="BS760" s="712"/>
      <c r="BT760" s="713">
        <v>752</v>
      </c>
      <c r="BU760" s="714"/>
      <c r="BV760" s="239"/>
      <c r="BW760" s="24"/>
      <c r="BY760" s="621">
        <v>752</v>
      </c>
      <c r="BZ760" s="711"/>
      <c r="CA760" s="712"/>
      <c r="CB760" s="713">
        <v>752</v>
      </c>
      <c r="CC760" s="714"/>
      <c r="CD760" s="239"/>
      <c r="CE760" s="24"/>
    </row>
    <row r="761" spans="5:83" ht="12" customHeight="1">
      <c r="E761" s="621">
        <v>753</v>
      </c>
      <c r="F761" s="711"/>
      <c r="G761" s="712"/>
      <c r="H761" s="713">
        <v>753</v>
      </c>
      <c r="I761" s="714"/>
      <c r="J761" s="239"/>
      <c r="K761" s="24"/>
      <c r="AI761" s="16" t="e">
        <f t="shared" si="101"/>
        <v>#N/A</v>
      </c>
      <c r="AJ761" s="16" t="str">
        <f t="shared" si="102"/>
        <v/>
      </c>
      <c r="AK761" s="16" t="str">
        <f t="shared" si="103"/>
        <v/>
      </c>
      <c r="AL761" s="16" t="e">
        <f>IF(AK761="",NA(),COUNTIF(AK$176:$AK761,AK761))</f>
        <v>#N/A</v>
      </c>
      <c r="AM761" s="16" t="e">
        <f t="shared" si="104"/>
        <v>#N/A</v>
      </c>
      <c r="AN761" s="16" t="e">
        <f t="shared" si="105"/>
        <v>#N/A</v>
      </c>
      <c r="AO761" s="16" t="str">
        <f t="shared" si="106"/>
        <v/>
      </c>
      <c r="AP761" s="16" t="str">
        <f t="shared" si="107"/>
        <v/>
      </c>
      <c r="AQ761" s="16" t="e">
        <f>IF(AP761="",NA(),COUNTIF(AP$176:$AP761,AP761))</f>
        <v>#N/A</v>
      </c>
      <c r="AR761" s="16" t="e">
        <f t="shared" si="108"/>
        <v>#N/A</v>
      </c>
      <c r="BI761" s="621">
        <v>753</v>
      </c>
      <c r="BJ761" s="711"/>
      <c r="BK761" s="712"/>
      <c r="BL761" s="713">
        <v>753</v>
      </c>
      <c r="BM761" s="714"/>
      <c r="BN761" s="239"/>
      <c r="BO761" s="24"/>
      <c r="BQ761" s="621">
        <v>753</v>
      </c>
      <c r="BR761" s="711"/>
      <c r="BS761" s="712"/>
      <c r="BT761" s="713">
        <v>753</v>
      </c>
      <c r="BU761" s="714"/>
      <c r="BV761" s="239"/>
      <c r="BW761" s="24"/>
      <c r="BY761" s="621">
        <v>753</v>
      </c>
      <c r="BZ761" s="711"/>
      <c r="CA761" s="712"/>
      <c r="CB761" s="713">
        <v>753</v>
      </c>
      <c r="CC761" s="714"/>
      <c r="CD761" s="239"/>
      <c r="CE761" s="24"/>
    </row>
    <row r="762" spans="5:83" ht="12" customHeight="1">
      <c r="E762" s="621">
        <v>754</v>
      </c>
      <c r="F762" s="711"/>
      <c r="G762" s="712"/>
      <c r="H762" s="713">
        <v>754</v>
      </c>
      <c r="I762" s="714"/>
      <c r="J762" s="239"/>
      <c r="K762" s="24"/>
      <c r="AI762" s="16" t="e">
        <f t="shared" si="101"/>
        <v>#N/A</v>
      </c>
      <c r="AJ762" s="16" t="str">
        <f t="shared" si="102"/>
        <v/>
      </c>
      <c r="AK762" s="16" t="str">
        <f t="shared" si="103"/>
        <v/>
      </c>
      <c r="AL762" s="16" t="e">
        <f>IF(AK762="",NA(),COUNTIF(AK$176:$AK762,AK762))</f>
        <v>#N/A</v>
      </c>
      <c r="AM762" s="16" t="e">
        <f t="shared" si="104"/>
        <v>#N/A</v>
      </c>
      <c r="AN762" s="16" t="e">
        <f t="shared" si="105"/>
        <v>#N/A</v>
      </c>
      <c r="AO762" s="16" t="str">
        <f t="shared" si="106"/>
        <v/>
      </c>
      <c r="AP762" s="16" t="str">
        <f t="shared" si="107"/>
        <v/>
      </c>
      <c r="AQ762" s="16" t="e">
        <f>IF(AP762="",NA(),COUNTIF(AP$176:$AP762,AP762))</f>
        <v>#N/A</v>
      </c>
      <c r="AR762" s="16" t="e">
        <f t="shared" si="108"/>
        <v>#N/A</v>
      </c>
      <c r="BI762" s="621">
        <v>754</v>
      </c>
      <c r="BJ762" s="711"/>
      <c r="BK762" s="712"/>
      <c r="BL762" s="713">
        <v>754</v>
      </c>
      <c r="BM762" s="714"/>
      <c r="BN762" s="239"/>
      <c r="BO762" s="24"/>
      <c r="BQ762" s="621">
        <v>754</v>
      </c>
      <c r="BR762" s="711"/>
      <c r="BS762" s="712"/>
      <c r="BT762" s="713">
        <v>754</v>
      </c>
      <c r="BU762" s="714"/>
      <c r="BV762" s="239"/>
      <c r="BW762" s="24"/>
      <c r="BY762" s="621">
        <v>754</v>
      </c>
      <c r="BZ762" s="711"/>
      <c r="CA762" s="712"/>
      <c r="CB762" s="713">
        <v>754</v>
      </c>
      <c r="CC762" s="714"/>
      <c r="CD762" s="239"/>
      <c r="CE762" s="24"/>
    </row>
    <row r="763" spans="5:83" ht="12" customHeight="1">
      <c r="E763" s="621">
        <v>755</v>
      </c>
      <c r="F763" s="711"/>
      <c r="G763" s="712"/>
      <c r="H763" s="713">
        <v>755</v>
      </c>
      <c r="I763" s="714"/>
      <c r="J763" s="239"/>
      <c r="K763" s="24"/>
      <c r="AI763" s="16" t="e">
        <f t="shared" si="101"/>
        <v>#N/A</v>
      </c>
      <c r="AJ763" s="16" t="str">
        <f t="shared" si="102"/>
        <v/>
      </c>
      <c r="AK763" s="16" t="str">
        <f t="shared" si="103"/>
        <v/>
      </c>
      <c r="AL763" s="16" t="e">
        <f>IF(AK763="",NA(),COUNTIF(AK$176:$AK763,AK763))</f>
        <v>#N/A</v>
      </c>
      <c r="AM763" s="16" t="e">
        <f t="shared" si="104"/>
        <v>#N/A</v>
      </c>
      <c r="AN763" s="16" t="e">
        <f t="shared" si="105"/>
        <v>#N/A</v>
      </c>
      <c r="AO763" s="16" t="str">
        <f t="shared" si="106"/>
        <v/>
      </c>
      <c r="AP763" s="16" t="str">
        <f t="shared" si="107"/>
        <v/>
      </c>
      <c r="AQ763" s="16" t="e">
        <f>IF(AP763="",NA(),COUNTIF(AP$176:$AP763,AP763))</f>
        <v>#N/A</v>
      </c>
      <c r="AR763" s="16" t="e">
        <f t="shared" si="108"/>
        <v>#N/A</v>
      </c>
      <c r="BI763" s="621">
        <v>755</v>
      </c>
      <c r="BJ763" s="711"/>
      <c r="BK763" s="712"/>
      <c r="BL763" s="713">
        <v>755</v>
      </c>
      <c r="BM763" s="714"/>
      <c r="BN763" s="239"/>
      <c r="BO763" s="24"/>
      <c r="BQ763" s="621">
        <v>755</v>
      </c>
      <c r="BR763" s="711"/>
      <c r="BS763" s="712"/>
      <c r="BT763" s="713">
        <v>755</v>
      </c>
      <c r="BU763" s="714"/>
      <c r="BV763" s="239"/>
      <c r="BW763" s="24"/>
      <c r="BY763" s="621">
        <v>755</v>
      </c>
      <c r="BZ763" s="711"/>
      <c r="CA763" s="712"/>
      <c r="CB763" s="713">
        <v>755</v>
      </c>
      <c r="CC763" s="714"/>
      <c r="CD763" s="239"/>
      <c r="CE763" s="24"/>
    </row>
    <row r="764" spans="5:83" ht="12" customHeight="1">
      <c r="E764" s="621">
        <v>756</v>
      </c>
      <c r="F764" s="711"/>
      <c r="G764" s="712"/>
      <c r="H764" s="713">
        <v>756</v>
      </c>
      <c r="I764" s="714"/>
      <c r="J764" s="239"/>
      <c r="K764" s="24"/>
      <c r="AI764" s="16" t="e">
        <f t="shared" si="101"/>
        <v>#N/A</v>
      </c>
      <c r="AJ764" s="16" t="str">
        <f t="shared" si="102"/>
        <v/>
      </c>
      <c r="AK764" s="16" t="str">
        <f t="shared" si="103"/>
        <v/>
      </c>
      <c r="AL764" s="16" t="e">
        <f>IF(AK764="",NA(),COUNTIF(AK$176:$AK764,AK764))</f>
        <v>#N/A</v>
      </c>
      <c r="AM764" s="16" t="e">
        <f t="shared" si="104"/>
        <v>#N/A</v>
      </c>
      <c r="AN764" s="16" t="e">
        <f t="shared" si="105"/>
        <v>#N/A</v>
      </c>
      <c r="AO764" s="16" t="str">
        <f t="shared" si="106"/>
        <v/>
      </c>
      <c r="AP764" s="16" t="str">
        <f t="shared" si="107"/>
        <v/>
      </c>
      <c r="AQ764" s="16" t="e">
        <f>IF(AP764="",NA(),COUNTIF(AP$176:$AP764,AP764))</f>
        <v>#N/A</v>
      </c>
      <c r="AR764" s="16" t="e">
        <f t="shared" si="108"/>
        <v>#N/A</v>
      </c>
      <c r="BI764" s="621">
        <v>756</v>
      </c>
      <c r="BJ764" s="711"/>
      <c r="BK764" s="712"/>
      <c r="BL764" s="713">
        <v>756</v>
      </c>
      <c r="BM764" s="714"/>
      <c r="BN764" s="239"/>
      <c r="BO764" s="24"/>
      <c r="BQ764" s="621">
        <v>756</v>
      </c>
      <c r="BR764" s="711"/>
      <c r="BS764" s="712"/>
      <c r="BT764" s="713">
        <v>756</v>
      </c>
      <c r="BU764" s="714"/>
      <c r="BV764" s="239"/>
      <c r="BW764" s="24"/>
      <c r="BY764" s="621">
        <v>756</v>
      </c>
      <c r="BZ764" s="711"/>
      <c r="CA764" s="712"/>
      <c r="CB764" s="713">
        <v>756</v>
      </c>
      <c r="CC764" s="714"/>
      <c r="CD764" s="239"/>
      <c r="CE764" s="24"/>
    </row>
    <row r="765" spans="5:83" ht="12" customHeight="1">
      <c r="E765" s="621">
        <v>757</v>
      </c>
      <c r="F765" s="711"/>
      <c r="G765" s="712"/>
      <c r="H765" s="713">
        <v>757</v>
      </c>
      <c r="I765" s="714"/>
      <c r="J765" s="239"/>
      <c r="K765" s="24"/>
      <c r="AI765" s="16" t="e">
        <f t="shared" si="101"/>
        <v>#N/A</v>
      </c>
      <c r="AJ765" s="16" t="str">
        <f t="shared" si="102"/>
        <v/>
      </c>
      <c r="AK765" s="16" t="str">
        <f t="shared" si="103"/>
        <v/>
      </c>
      <c r="AL765" s="16" t="e">
        <f>IF(AK765="",NA(),COUNTIF(AK$176:$AK765,AK765))</f>
        <v>#N/A</v>
      </c>
      <c r="AM765" s="16" t="e">
        <f t="shared" si="104"/>
        <v>#N/A</v>
      </c>
      <c r="AN765" s="16" t="e">
        <f t="shared" si="105"/>
        <v>#N/A</v>
      </c>
      <c r="AO765" s="16" t="str">
        <f t="shared" si="106"/>
        <v/>
      </c>
      <c r="AP765" s="16" t="str">
        <f t="shared" si="107"/>
        <v/>
      </c>
      <c r="AQ765" s="16" t="e">
        <f>IF(AP765="",NA(),COUNTIF(AP$176:$AP765,AP765))</f>
        <v>#N/A</v>
      </c>
      <c r="AR765" s="16" t="e">
        <f t="shared" si="108"/>
        <v>#N/A</v>
      </c>
      <c r="BI765" s="621">
        <v>757</v>
      </c>
      <c r="BJ765" s="711"/>
      <c r="BK765" s="712"/>
      <c r="BL765" s="713">
        <v>757</v>
      </c>
      <c r="BM765" s="714"/>
      <c r="BN765" s="239"/>
      <c r="BO765" s="24"/>
      <c r="BQ765" s="621">
        <v>757</v>
      </c>
      <c r="BR765" s="711"/>
      <c r="BS765" s="712"/>
      <c r="BT765" s="713">
        <v>757</v>
      </c>
      <c r="BU765" s="714"/>
      <c r="BV765" s="239"/>
      <c r="BW765" s="24"/>
      <c r="BY765" s="621">
        <v>757</v>
      </c>
      <c r="BZ765" s="711"/>
      <c r="CA765" s="712"/>
      <c r="CB765" s="713">
        <v>757</v>
      </c>
      <c r="CC765" s="714"/>
      <c r="CD765" s="239"/>
      <c r="CE765" s="24"/>
    </row>
    <row r="766" spans="5:83" ht="12" customHeight="1">
      <c r="E766" s="621">
        <v>758</v>
      </c>
      <c r="F766" s="711"/>
      <c r="G766" s="712"/>
      <c r="H766" s="713">
        <v>758</v>
      </c>
      <c r="I766" s="714"/>
      <c r="J766" s="239"/>
      <c r="K766" s="24"/>
      <c r="AI766" s="16" t="e">
        <f t="shared" si="101"/>
        <v>#N/A</v>
      </c>
      <c r="AJ766" s="16" t="str">
        <f t="shared" si="102"/>
        <v/>
      </c>
      <c r="AK766" s="16" t="str">
        <f t="shared" si="103"/>
        <v/>
      </c>
      <c r="AL766" s="16" t="e">
        <f>IF(AK766="",NA(),COUNTIF(AK$176:$AK766,AK766))</f>
        <v>#N/A</v>
      </c>
      <c r="AM766" s="16" t="e">
        <f t="shared" si="104"/>
        <v>#N/A</v>
      </c>
      <c r="AN766" s="16" t="e">
        <f t="shared" si="105"/>
        <v>#N/A</v>
      </c>
      <c r="AO766" s="16" t="str">
        <f t="shared" si="106"/>
        <v/>
      </c>
      <c r="AP766" s="16" t="str">
        <f t="shared" si="107"/>
        <v/>
      </c>
      <c r="AQ766" s="16" t="e">
        <f>IF(AP766="",NA(),COUNTIF(AP$176:$AP766,AP766))</f>
        <v>#N/A</v>
      </c>
      <c r="AR766" s="16" t="e">
        <f t="shared" si="108"/>
        <v>#N/A</v>
      </c>
      <c r="BI766" s="621">
        <v>758</v>
      </c>
      <c r="BJ766" s="711"/>
      <c r="BK766" s="712"/>
      <c r="BL766" s="713">
        <v>758</v>
      </c>
      <c r="BM766" s="714"/>
      <c r="BN766" s="239"/>
      <c r="BO766" s="24"/>
      <c r="BQ766" s="621">
        <v>758</v>
      </c>
      <c r="BR766" s="711"/>
      <c r="BS766" s="712"/>
      <c r="BT766" s="713">
        <v>758</v>
      </c>
      <c r="BU766" s="714"/>
      <c r="BV766" s="239"/>
      <c r="BW766" s="24"/>
      <c r="BY766" s="621">
        <v>758</v>
      </c>
      <c r="BZ766" s="711"/>
      <c r="CA766" s="712"/>
      <c r="CB766" s="713">
        <v>758</v>
      </c>
      <c r="CC766" s="714"/>
      <c r="CD766" s="239"/>
      <c r="CE766" s="24"/>
    </row>
    <row r="767" spans="5:83" ht="12" customHeight="1">
      <c r="E767" s="621">
        <v>759</v>
      </c>
      <c r="F767" s="711"/>
      <c r="G767" s="712"/>
      <c r="H767" s="713">
        <v>759</v>
      </c>
      <c r="I767" s="714"/>
      <c r="J767" s="239"/>
      <c r="K767" s="24"/>
      <c r="AI767" s="16" t="e">
        <f t="shared" si="101"/>
        <v>#N/A</v>
      </c>
      <c r="AJ767" s="16" t="str">
        <f t="shared" si="102"/>
        <v/>
      </c>
      <c r="AK767" s="16" t="str">
        <f t="shared" si="103"/>
        <v/>
      </c>
      <c r="AL767" s="16" t="e">
        <f>IF(AK767="",NA(),COUNTIF(AK$176:$AK767,AK767))</f>
        <v>#N/A</v>
      </c>
      <c r="AM767" s="16" t="e">
        <f t="shared" si="104"/>
        <v>#N/A</v>
      </c>
      <c r="AN767" s="16" t="e">
        <f t="shared" si="105"/>
        <v>#N/A</v>
      </c>
      <c r="AO767" s="16" t="str">
        <f t="shared" si="106"/>
        <v/>
      </c>
      <c r="AP767" s="16" t="str">
        <f t="shared" si="107"/>
        <v/>
      </c>
      <c r="AQ767" s="16" t="e">
        <f>IF(AP767="",NA(),COUNTIF(AP$176:$AP767,AP767))</f>
        <v>#N/A</v>
      </c>
      <c r="AR767" s="16" t="e">
        <f t="shared" si="108"/>
        <v>#N/A</v>
      </c>
      <c r="BI767" s="621">
        <v>759</v>
      </c>
      <c r="BJ767" s="711"/>
      <c r="BK767" s="712"/>
      <c r="BL767" s="713">
        <v>759</v>
      </c>
      <c r="BM767" s="714"/>
      <c r="BN767" s="239"/>
      <c r="BO767" s="24"/>
      <c r="BQ767" s="621">
        <v>759</v>
      </c>
      <c r="BR767" s="711"/>
      <c r="BS767" s="712"/>
      <c r="BT767" s="713">
        <v>759</v>
      </c>
      <c r="BU767" s="714"/>
      <c r="BV767" s="239"/>
      <c r="BW767" s="24"/>
      <c r="BY767" s="621">
        <v>759</v>
      </c>
      <c r="BZ767" s="711"/>
      <c r="CA767" s="712"/>
      <c r="CB767" s="713">
        <v>759</v>
      </c>
      <c r="CC767" s="714"/>
      <c r="CD767" s="239"/>
      <c r="CE767" s="24"/>
    </row>
    <row r="768" spans="5:83" ht="12" customHeight="1">
      <c r="E768" s="621">
        <v>760</v>
      </c>
      <c r="F768" s="711"/>
      <c r="G768" s="712"/>
      <c r="H768" s="713">
        <v>760</v>
      </c>
      <c r="I768" s="714"/>
      <c r="J768" s="239"/>
      <c r="K768" s="24"/>
      <c r="AI768" s="16" t="e">
        <f t="shared" si="101"/>
        <v>#N/A</v>
      </c>
      <c r="AJ768" s="16" t="str">
        <f t="shared" si="102"/>
        <v/>
      </c>
      <c r="AK768" s="16" t="str">
        <f t="shared" si="103"/>
        <v/>
      </c>
      <c r="AL768" s="16" t="e">
        <f>IF(AK768="",NA(),COUNTIF(AK$176:$AK768,AK768))</f>
        <v>#N/A</v>
      </c>
      <c r="AM768" s="16" t="e">
        <f t="shared" si="104"/>
        <v>#N/A</v>
      </c>
      <c r="AN768" s="16" t="e">
        <f t="shared" si="105"/>
        <v>#N/A</v>
      </c>
      <c r="AO768" s="16" t="str">
        <f t="shared" si="106"/>
        <v/>
      </c>
      <c r="AP768" s="16" t="str">
        <f t="shared" si="107"/>
        <v/>
      </c>
      <c r="AQ768" s="16" t="e">
        <f>IF(AP768="",NA(),COUNTIF(AP$176:$AP768,AP768))</f>
        <v>#N/A</v>
      </c>
      <c r="AR768" s="16" t="e">
        <f t="shared" si="108"/>
        <v>#N/A</v>
      </c>
      <c r="BI768" s="621">
        <v>760</v>
      </c>
      <c r="BJ768" s="711"/>
      <c r="BK768" s="712"/>
      <c r="BL768" s="713">
        <v>760</v>
      </c>
      <c r="BM768" s="714"/>
      <c r="BN768" s="239"/>
      <c r="BO768" s="24"/>
      <c r="BQ768" s="621">
        <v>760</v>
      </c>
      <c r="BR768" s="711"/>
      <c r="BS768" s="712"/>
      <c r="BT768" s="713">
        <v>760</v>
      </c>
      <c r="BU768" s="714"/>
      <c r="BV768" s="239"/>
      <c r="BW768" s="24"/>
      <c r="BY768" s="621">
        <v>760</v>
      </c>
      <c r="BZ768" s="711"/>
      <c r="CA768" s="712"/>
      <c r="CB768" s="713">
        <v>760</v>
      </c>
      <c r="CC768" s="714"/>
      <c r="CD768" s="239"/>
      <c r="CE768" s="24"/>
    </row>
    <row r="769" spans="5:83" ht="12" customHeight="1">
      <c r="E769" s="621">
        <v>761</v>
      </c>
      <c r="F769" s="711"/>
      <c r="G769" s="712"/>
      <c r="H769" s="713">
        <v>761</v>
      </c>
      <c r="I769" s="714"/>
      <c r="J769" s="239"/>
      <c r="K769" s="24"/>
      <c r="AI769" s="16" t="e">
        <f t="shared" si="101"/>
        <v>#N/A</v>
      </c>
      <c r="AJ769" s="16" t="str">
        <f t="shared" si="102"/>
        <v/>
      </c>
      <c r="AK769" s="16" t="str">
        <f t="shared" si="103"/>
        <v/>
      </c>
      <c r="AL769" s="16" t="e">
        <f>IF(AK769="",NA(),COUNTIF(AK$176:$AK769,AK769))</f>
        <v>#N/A</v>
      </c>
      <c r="AM769" s="16" t="e">
        <f t="shared" si="104"/>
        <v>#N/A</v>
      </c>
      <c r="AN769" s="16" t="e">
        <f t="shared" si="105"/>
        <v>#N/A</v>
      </c>
      <c r="AO769" s="16" t="str">
        <f t="shared" si="106"/>
        <v/>
      </c>
      <c r="AP769" s="16" t="str">
        <f t="shared" si="107"/>
        <v/>
      </c>
      <c r="AQ769" s="16" t="e">
        <f>IF(AP769="",NA(),COUNTIF(AP$176:$AP769,AP769))</f>
        <v>#N/A</v>
      </c>
      <c r="AR769" s="16" t="e">
        <f t="shared" si="108"/>
        <v>#N/A</v>
      </c>
      <c r="BI769" s="621">
        <v>761</v>
      </c>
      <c r="BJ769" s="711"/>
      <c r="BK769" s="712"/>
      <c r="BL769" s="713">
        <v>761</v>
      </c>
      <c r="BM769" s="714"/>
      <c r="BN769" s="239"/>
      <c r="BO769" s="24"/>
      <c r="BQ769" s="621">
        <v>761</v>
      </c>
      <c r="BR769" s="711"/>
      <c r="BS769" s="712"/>
      <c r="BT769" s="713">
        <v>761</v>
      </c>
      <c r="BU769" s="714"/>
      <c r="BV769" s="239"/>
      <c r="BW769" s="24"/>
      <c r="BY769" s="621">
        <v>761</v>
      </c>
      <c r="BZ769" s="711"/>
      <c r="CA769" s="712"/>
      <c r="CB769" s="713">
        <v>761</v>
      </c>
      <c r="CC769" s="714"/>
      <c r="CD769" s="239"/>
      <c r="CE769" s="24"/>
    </row>
    <row r="770" spans="5:83" ht="12" customHeight="1">
      <c r="E770" s="621">
        <v>762</v>
      </c>
      <c r="F770" s="711"/>
      <c r="G770" s="712"/>
      <c r="H770" s="713">
        <v>762</v>
      </c>
      <c r="I770" s="714"/>
      <c r="J770" s="239"/>
      <c r="K770" s="24"/>
      <c r="AI770" s="16" t="e">
        <f t="shared" si="101"/>
        <v>#N/A</v>
      </c>
      <c r="AJ770" s="16" t="str">
        <f t="shared" si="102"/>
        <v/>
      </c>
      <c r="AK770" s="16" t="str">
        <f t="shared" si="103"/>
        <v/>
      </c>
      <c r="AL770" s="16" t="e">
        <f>IF(AK770="",NA(),COUNTIF(AK$176:$AK770,AK770))</f>
        <v>#N/A</v>
      </c>
      <c r="AM770" s="16" t="e">
        <f t="shared" si="104"/>
        <v>#N/A</v>
      </c>
      <c r="AN770" s="16" t="e">
        <f t="shared" si="105"/>
        <v>#N/A</v>
      </c>
      <c r="AO770" s="16" t="str">
        <f t="shared" si="106"/>
        <v/>
      </c>
      <c r="AP770" s="16" t="str">
        <f t="shared" si="107"/>
        <v/>
      </c>
      <c r="AQ770" s="16" t="e">
        <f>IF(AP770="",NA(),COUNTIF(AP$176:$AP770,AP770))</f>
        <v>#N/A</v>
      </c>
      <c r="AR770" s="16" t="e">
        <f t="shared" si="108"/>
        <v>#N/A</v>
      </c>
      <c r="BI770" s="621">
        <v>762</v>
      </c>
      <c r="BJ770" s="711"/>
      <c r="BK770" s="712"/>
      <c r="BL770" s="713">
        <v>762</v>
      </c>
      <c r="BM770" s="714"/>
      <c r="BN770" s="239"/>
      <c r="BO770" s="24"/>
      <c r="BQ770" s="621">
        <v>762</v>
      </c>
      <c r="BR770" s="711"/>
      <c r="BS770" s="712"/>
      <c r="BT770" s="713">
        <v>762</v>
      </c>
      <c r="BU770" s="714"/>
      <c r="BV770" s="239"/>
      <c r="BW770" s="24"/>
      <c r="BY770" s="621">
        <v>762</v>
      </c>
      <c r="BZ770" s="711"/>
      <c r="CA770" s="712"/>
      <c r="CB770" s="713">
        <v>762</v>
      </c>
      <c r="CC770" s="714"/>
      <c r="CD770" s="239"/>
      <c r="CE770" s="24"/>
    </row>
    <row r="771" spans="5:83" ht="12" customHeight="1">
      <c r="E771" s="621">
        <v>763</v>
      </c>
      <c r="F771" s="711"/>
      <c r="G771" s="712"/>
      <c r="H771" s="713">
        <v>763</v>
      </c>
      <c r="I771" s="714"/>
      <c r="J771" s="239"/>
      <c r="K771" s="24"/>
      <c r="AI771" s="16" t="e">
        <f t="shared" si="101"/>
        <v>#N/A</v>
      </c>
      <c r="AJ771" s="16" t="str">
        <f t="shared" si="102"/>
        <v/>
      </c>
      <c r="AK771" s="16" t="str">
        <f t="shared" si="103"/>
        <v/>
      </c>
      <c r="AL771" s="16" t="e">
        <f>IF(AK771="",NA(),COUNTIF(AK$176:$AK771,AK771))</f>
        <v>#N/A</v>
      </c>
      <c r="AM771" s="16" t="e">
        <f t="shared" si="104"/>
        <v>#N/A</v>
      </c>
      <c r="AN771" s="16" t="e">
        <f t="shared" si="105"/>
        <v>#N/A</v>
      </c>
      <c r="AO771" s="16" t="str">
        <f t="shared" si="106"/>
        <v/>
      </c>
      <c r="AP771" s="16" t="str">
        <f t="shared" si="107"/>
        <v/>
      </c>
      <c r="AQ771" s="16" t="e">
        <f>IF(AP771="",NA(),COUNTIF(AP$176:$AP771,AP771))</f>
        <v>#N/A</v>
      </c>
      <c r="AR771" s="16" t="e">
        <f t="shared" si="108"/>
        <v>#N/A</v>
      </c>
      <c r="BI771" s="621">
        <v>763</v>
      </c>
      <c r="BJ771" s="711"/>
      <c r="BK771" s="712"/>
      <c r="BL771" s="713">
        <v>763</v>
      </c>
      <c r="BM771" s="714"/>
      <c r="BN771" s="239"/>
      <c r="BO771" s="24"/>
      <c r="BQ771" s="621">
        <v>763</v>
      </c>
      <c r="BR771" s="711"/>
      <c r="BS771" s="712"/>
      <c r="BT771" s="713">
        <v>763</v>
      </c>
      <c r="BU771" s="714"/>
      <c r="BV771" s="239"/>
      <c r="BW771" s="24"/>
      <c r="BY771" s="621">
        <v>763</v>
      </c>
      <c r="BZ771" s="711"/>
      <c r="CA771" s="712"/>
      <c r="CB771" s="713">
        <v>763</v>
      </c>
      <c r="CC771" s="714"/>
      <c r="CD771" s="239"/>
      <c r="CE771" s="24"/>
    </row>
    <row r="772" spans="5:83" ht="12" customHeight="1">
      <c r="E772" s="621">
        <v>764</v>
      </c>
      <c r="F772" s="711"/>
      <c r="G772" s="712"/>
      <c r="H772" s="713">
        <v>764</v>
      </c>
      <c r="I772" s="714"/>
      <c r="J772" s="239"/>
      <c r="K772" s="24"/>
      <c r="AI772" s="16" t="e">
        <f t="shared" si="101"/>
        <v>#N/A</v>
      </c>
      <c r="AJ772" s="16" t="str">
        <f t="shared" si="102"/>
        <v/>
      </c>
      <c r="AK772" s="16" t="str">
        <f t="shared" si="103"/>
        <v/>
      </c>
      <c r="AL772" s="16" t="e">
        <f>IF(AK772="",NA(),COUNTIF(AK$176:$AK772,AK772))</f>
        <v>#N/A</v>
      </c>
      <c r="AM772" s="16" t="e">
        <f t="shared" si="104"/>
        <v>#N/A</v>
      </c>
      <c r="AN772" s="16" t="e">
        <f t="shared" si="105"/>
        <v>#N/A</v>
      </c>
      <c r="AO772" s="16" t="str">
        <f t="shared" si="106"/>
        <v/>
      </c>
      <c r="AP772" s="16" t="str">
        <f t="shared" si="107"/>
        <v/>
      </c>
      <c r="AQ772" s="16" t="e">
        <f>IF(AP772="",NA(),COUNTIF(AP$176:$AP772,AP772))</f>
        <v>#N/A</v>
      </c>
      <c r="AR772" s="16" t="e">
        <f t="shared" si="108"/>
        <v>#N/A</v>
      </c>
      <c r="BI772" s="621">
        <v>764</v>
      </c>
      <c r="BJ772" s="711"/>
      <c r="BK772" s="712"/>
      <c r="BL772" s="713">
        <v>764</v>
      </c>
      <c r="BM772" s="714"/>
      <c r="BN772" s="239"/>
      <c r="BO772" s="24"/>
      <c r="BQ772" s="621">
        <v>764</v>
      </c>
      <c r="BR772" s="711"/>
      <c r="BS772" s="712"/>
      <c r="BT772" s="713">
        <v>764</v>
      </c>
      <c r="BU772" s="714"/>
      <c r="BV772" s="239"/>
      <c r="BW772" s="24"/>
      <c r="BY772" s="621">
        <v>764</v>
      </c>
      <c r="BZ772" s="711"/>
      <c r="CA772" s="712"/>
      <c r="CB772" s="713">
        <v>764</v>
      </c>
      <c r="CC772" s="714"/>
      <c r="CD772" s="239"/>
      <c r="CE772" s="24"/>
    </row>
    <row r="773" spans="5:83" ht="12" customHeight="1">
      <c r="E773" s="621">
        <v>765</v>
      </c>
      <c r="F773" s="711"/>
      <c r="G773" s="712"/>
      <c r="H773" s="713">
        <v>765</v>
      </c>
      <c r="I773" s="714"/>
      <c r="J773" s="239"/>
      <c r="K773" s="24"/>
      <c r="AI773" s="16" t="e">
        <f t="shared" si="101"/>
        <v>#N/A</v>
      </c>
      <c r="AJ773" s="16" t="str">
        <f t="shared" si="102"/>
        <v/>
      </c>
      <c r="AK773" s="16" t="str">
        <f t="shared" si="103"/>
        <v/>
      </c>
      <c r="AL773" s="16" t="e">
        <f>IF(AK773="",NA(),COUNTIF(AK$176:$AK773,AK773))</f>
        <v>#N/A</v>
      </c>
      <c r="AM773" s="16" t="e">
        <f t="shared" si="104"/>
        <v>#N/A</v>
      </c>
      <c r="AN773" s="16" t="e">
        <f t="shared" si="105"/>
        <v>#N/A</v>
      </c>
      <c r="AO773" s="16" t="str">
        <f t="shared" si="106"/>
        <v/>
      </c>
      <c r="AP773" s="16" t="str">
        <f t="shared" si="107"/>
        <v/>
      </c>
      <c r="AQ773" s="16" t="e">
        <f>IF(AP773="",NA(),COUNTIF(AP$176:$AP773,AP773))</f>
        <v>#N/A</v>
      </c>
      <c r="AR773" s="16" t="e">
        <f t="shared" si="108"/>
        <v>#N/A</v>
      </c>
      <c r="BI773" s="621">
        <v>765</v>
      </c>
      <c r="BJ773" s="711"/>
      <c r="BK773" s="712"/>
      <c r="BL773" s="713">
        <v>765</v>
      </c>
      <c r="BM773" s="714"/>
      <c r="BN773" s="239"/>
      <c r="BO773" s="24"/>
      <c r="BQ773" s="621">
        <v>765</v>
      </c>
      <c r="BR773" s="711"/>
      <c r="BS773" s="712"/>
      <c r="BT773" s="713">
        <v>765</v>
      </c>
      <c r="BU773" s="714"/>
      <c r="BV773" s="239"/>
      <c r="BW773" s="24"/>
      <c r="BY773" s="621">
        <v>765</v>
      </c>
      <c r="BZ773" s="711"/>
      <c r="CA773" s="712"/>
      <c r="CB773" s="713">
        <v>765</v>
      </c>
      <c r="CC773" s="714"/>
      <c r="CD773" s="239"/>
      <c r="CE773" s="24"/>
    </row>
    <row r="774" spans="5:83" ht="12" customHeight="1">
      <c r="E774" s="621">
        <v>766</v>
      </c>
      <c r="F774" s="711"/>
      <c r="G774" s="712"/>
      <c r="H774" s="713">
        <v>766</v>
      </c>
      <c r="I774" s="714"/>
      <c r="J774" s="239"/>
      <c r="K774" s="24"/>
      <c r="AI774" s="16" t="e">
        <f t="shared" si="101"/>
        <v>#N/A</v>
      </c>
      <c r="AJ774" s="16" t="str">
        <f t="shared" si="102"/>
        <v/>
      </c>
      <c r="AK774" s="16" t="str">
        <f t="shared" si="103"/>
        <v/>
      </c>
      <c r="AL774" s="16" t="e">
        <f>IF(AK774="",NA(),COUNTIF(AK$176:$AK774,AK774))</f>
        <v>#N/A</v>
      </c>
      <c r="AM774" s="16" t="e">
        <f t="shared" si="104"/>
        <v>#N/A</v>
      </c>
      <c r="AN774" s="16" t="e">
        <f t="shared" si="105"/>
        <v>#N/A</v>
      </c>
      <c r="AO774" s="16" t="str">
        <f t="shared" si="106"/>
        <v/>
      </c>
      <c r="AP774" s="16" t="str">
        <f t="shared" si="107"/>
        <v/>
      </c>
      <c r="AQ774" s="16" t="e">
        <f>IF(AP774="",NA(),COUNTIF(AP$176:$AP774,AP774))</f>
        <v>#N/A</v>
      </c>
      <c r="AR774" s="16" t="e">
        <f t="shared" si="108"/>
        <v>#N/A</v>
      </c>
      <c r="BI774" s="621">
        <v>766</v>
      </c>
      <c r="BJ774" s="711"/>
      <c r="BK774" s="712"/>
      <c r="BL774" s="713">
        <v>766</v>
      </c>
      <c r="BM774" s="714"/>
      <c r="BN774" s="239"/>
      <c r="BO774" s="24"/>
      <c r="BQ774" s="621">
        <v>766</v>
      </c>
      <c r="BR774" s="711"/>
      <c r="BS774" s="712"/>
      <c r="BT774" s="713">
        <v>766</v>
      </c>
      <c r="BU774" s="714"/>
      <c r="BV774" s="239"/>
      <c r="BW774" s="24"/>
      <c r="BY774" s="621">
        <v>766</v>
      </c>
      <c r="BZ774" s="711"/>
      <c r="CA774" s="712"/>
      <c r="CB774" s="713">
        <v>766</v>
      </c>
      <c r="CC774" s="714"/>
      <c r="CD774" s="239"/>
      <c r="CE774" s="24"/>
    </row>
    <row r="775" spans="5:83" ht="12" customHeight="1">
      <c r="E775" s="621">
        <v>767</v>
      </c>
      <c r="F775" s="711"/>
      <c r="G775" s="712"/>
      <c r="H775" s="713">
        <v>767</v>
      </c>
      <c r="I775" s="714"/>
      <c r="J775" s="239"/>
      <c r="K775" s="24"/>
      <c r="AI775" s="16" t="e">
        <f t="shared" si="101"/>
        <v>#N/A</v>
      </c>
      <c r="AJ775" s="16" t="str">
        <f t="shared" si="102"/>
        <v/>
      </c>
      <c r="AK775" s="16" t="str">
        <f t="shared" si="103"/>
        <v/>
      </c>
      <c r="AL775" s="16" t="e">
        <f>IF(AK775="",NA(),COUNTIF(AK$176:$AK775,AK775))</f>
        <v>#N/A</v>
      </c>
      <c r="AM775" s="16" t="e">
        <f t="shared" si="104"/>
        <v>#N/A</v>
      </c>
      <c r="AN775" s="16" t="e">
        <f t="shared" si="105"/>
        <v>#N/A</v>
      </c>
      <c r="AO775" s="16" t="str">
        <f t="shared" si="106"/>
        <v/>
      </c>
      <c r="AP775" s="16" t="str">
        <f t="shared" si="107"/>
        <v/>
      </c>
      <c r="AQ775" s="16" t="e">
        <f>IF(AP775="",NA(),COUNTIF(AP$176:$AP775,AP775))</f>
        <v>#N/A</v>
      </c>
      <c r="AR775" s="16" t="e">
        <f t="shared" si="108"/>
        <v>#N/A</v>
      </c>
      <c r="BI775" s="621">
        <v>767</v>
      </c>
      <c r="BJ775" s="711"/>
      <c r="BK775" s="712"/>
      <c r="BL775" s="713">
        <v>767</v>
      </c>
      <c r="BM775" s="714"/>
      <c r="BN775" s="239"/>
      <c r="BO775" s="24"/>
      <c r="BQ775" s="621">
        <v>767</v>
      </c>
      <c r="BR775" s="711"/>
      <c r="BS775" s="712"/>
      <c r="BT775" s="713">
        <v>767</v>
      </c>
      <c r="BU775" s="714"/>
      <c r="BV775" s="239"/>
      <c r="BW775" s="24"/>
      <c r="BY775" s="621">
        <v>767</v>
      </c>
      <c r="BZ775" s="711"/>
      <c r="CA775" s="712"/>
      <c r="CB775" s="713">
        <v>767</v>
      </c>
      <c r="CC775" s="714"/>
      <c r="CD775" s="239"/>
      <c r="CE775" s="24"/>
    </row>
    <row r="776" spans="5:83" ht="12" customHeight="1">
      <c r="E776" s="621">
        <v>768</v>
      </c>
      <c r="F776" s="711"/>
      <c r="G776" s="712"/>
      <c r="H776" s="713">
        <v>768</v>
      </c>
      <c r="I776" s="714"/>
      <c r="J776" s="239"/>
      <c r="K776" s="24"/>
      <c r="AI776" s="16" t="e">
        <f t="shared" si="101"/>
        <v>#N/A</v>
      </c>
      <c r="AJ776" s="16" t="str">
        <f t="shared" si="102"/>
        <v/>
      </c>
      <c r="AK776" s="16" t="str">
        <f t="shared" si="103"/>
        <v/>
      </c>
      <c r="AL776" s="16" t="e">
        <f>IF(AK776="",NA(),COUNTIF(AK$176:$AK776,AK776))</f>
        <v>#N/A</v>
      </c>
      <c r="AM776" s="16" t="e">
        <f t="shared" si="104"/>
        <v>#N/A</v>
      </c>
      <c r="AN776" s="16" t="e">
        <f t="shared" si="105"/>
        <v>#N/A</v>
      </c>
      <c r="AO776" s="16" t="str">
        <f t="shared" si="106"/>
        <v/>
      </c>
      <c r="AP776" s="16" t="str">
        <f t="shared" si="107"/>
        <v/>
      </c>
      <c r="AQ776" s="16" t="e">
        <f>IF(AP776="",NA(),COUNTIF(AP$176:$AP776,AP776))</f>
        <v>#N/A</v>
      </c>
      <c r="AR776" s="16" t="e">
        <f t="shared" si="108"/>
        <v>#N/A</v>
      </c>
      <c r="BI776" s="621">
        <v>768</v>
      </c>
      <c r="BJ776" s="711"/>
      <c r="BK776" s="712"/>
      <c r="BL776" s="713">
        <v>768</v>
      </c>
      <c r="BM776" s="714"/>
      <c r="BN776" s="239"/>
      <c r="BO776" s="24"/>
      <c r="BQ776" s="621">
        <v>768</v>
      </c>
      <c r="BR776" s="711"/>
      <c r="BS776" s="712"/>
      <c r="BT776" s="713">
        <v>768</v>
      </c>
      <c r="BU776" s="714"/>
      <c r="BV776" s="239"/>
      <c r="BW776" s="24"/>
      <c r="BY776" s="621">
        <v>768</v>
      </c>
      <c r="BZ776" s="711"/>
      <c r="CA776" s="712"/>
      <c r="CB776" s="713">
        <v>768</v>
      </c>
      <c r="CC776" s="714"/>
      <c r="CD776" s="239"/>
      <c r="CE776" s="24"/>
    </row>
    <row r="777" spans="5:83" ht="12" customHeight="1">
      <c r="E777" s="621">
        <v>769</v>
      </c>
      <c r="F777" s="711"/>
      <c r="G777" s="712"/>
      <c r="H777" s="713">
        <v>769</v>
      </c>
      <c r="I777" s="714"/>
      <c r="J777" s="239"/>
      <c r="K777" s="24"/>
      <c r="AI777" s="16" t="e">
        <f t="shared" si="101"/>
        <v>#N/A</v>
      </c>
      <c r="AJ777" s="16" t="str">
        <f t="shared" si="102"/>
        <v/>
      </c>
      <c r="AK777" s="16" t="str">
        <f t="shared" si="103"/>
        <v/>
      </c>
      <c r="AL777" s="16" t="e">
        <f>IF(AK777="",NA(),COUNTIF(AK$176:$AK777,AK777))</f>
        <v>#N/A</v>
      </c>
      <c r="AM777" s="16" t="e">
        <f t="shared" si="104"/>
        <v>#N/A</v>
      </c>
      <c r="AN777" s="16" t="e">
        <f t="shared" si="105"/>
        <v>#N/A</v>
      </c>
      <c r="AO777" s="16" t="str">
        <f t="shared" si="106"/>
        <v/>
      </c>
      <c r="AP777" s="16" t="str">
        <f t="shared" si="107"/>
        <v/>
      </c>
      <c r="AQ777" s="16" t="e">
        <f>IF(AP777="",NA(),COUNTIF(AP$176:$AP777,AP777))</f>
        <v>#N/A</v>
      </c>
      <c r="AR777" s="16" t="e">
        <f t="shared" si="108"/>
        <v>#N/A</v>
      </c>
      <c r="BI777" s="621">
        <v>769</v>
      </c>
      <c r="BJ777" s="711"/>
      <c r="BK777" s="712"/>
      <c r="BL777" s="713">
        <v>769</v>
      </c>
      <c r="BM777" s="714"/>
      <c r="BN777" s="239"/>
      <c r="BO777" s="24"/>
      <c r="BQ777" s="621">
        <v>769</v>
      </c>
      <c r="BR777" s="711"/>
      <c r="BS777" s="712"/>
      <c r="BT777" s="713">
        <v>769</v>
      </c>
      <c r="BU777" s="714"/>
      <c r="BV777" s="239"/>
      <c r="BW777" s="24"/>
      <c r="BY777" s="621">
        <v>769</v>
      </c>
      <c r="BZ777" s="711"/>
      <c r="CA777" s="712"/>
      <c r="CB777" s="713">
        <v>769</v>
      </c>
      <c r="CC777" s="714"/>
      <c r="CD777" s="239"/>
      <c r="CE777" s="24"/>
    </row>
    <row r="778" spans="5:83" ht="12" customHeight="1">
      <c r="E778" s="621">
        <v>770</v>
      </c>
      <c r="F778" s="711"/>
      <c r="G778" s="712"/>
      <c r="H778" s="713">
        <v>770</v>
      </c>
      <c r="I778" s="714"/>
      <c r="J778" s="239"/>
      <c r="K778" s="24"/>
      <c r="AI778" s="16" t="e">
        <f t="shared" si="101"/>
        <v>#N/A</v>
      </c>
      <c r="AJ778" s="16" t="str">
        <f t="shared" si="102"/>
        <v/>
      </c>
      <c r="AK778" s="16" t="str">
        <f t="shared" si="103"/>
        <v/>
      </c>
      <c r="AL778" s="16" t="e">
        <f>IF(AK778="",NA(),COUNTIF(AK$176:$AK778,AK778))</f>
        <v>#N/A</v>
      </c>
      <c r="AM778" s="16" t="e">
        <f t="shared" si="104"/>
        <v>#N/A</v>
      </c>
      <c r="AN778" s="16" t="e">
        <f t="shared" si="105"/>
        <v>#N/A</v>
      </c>
      <c r="AO778" s="16" t="str">
        <f t="shared" si="106"/>
        <v/>
      </c>
      <c r="AP778" s="16" t="str">
        <f t="shared" si="107"/>
        <v/>
      </c>
      <c r="AQ778" s="16" t="e">
        <f>IF(AP778="",NA(),COUNTIF(AP$176:$AP778,AP778))</f>
        <v>#N/A</v>
      </c>
      <c r="AR778" s="16" t="e">
        <f t="shared" si="108"/>
        <v>#N/A</v>
      </c>
      <c r="BI778" s="621">
        <v>770</v>
      </c>
      <c r="BJ778" s="711"/>
      <c r="BK778" s="712"/>
      <c r="BL778" s="713">
        <v>770</v>
      </c>
      <c r="BM778" s="714"/>
      <c r="BN778" s="239"/>
      <c r="BO778" s="24"/>
      <c r="BQ778" s="621">
        <v>770</v>
      </c>
      <c r="BR778" s="711"/>
      <c r="BS778" s="712"/>
      <c r="BT778" s="713">
        <v>770</v>
      </c>
      <c r="BU778" s="714"/>
      <c r="BV778" s="239"/>
      <c r="BW778" s="24"/>
      <c r="BY778" s="621">
        <v>770</v>
      </c>
      <c r="BZ778" s="711"/>
      <c r="CA778" s="712"/>
      <c r="CB778" s="713">
        <v>770</v>
      </c>
      <c r="CC778" s="714"/>
      <c r="CD778" s="239"/>
      <c r="CE778" s="24"/>
    </row>
    <row r="779" spans="5:83" ht="12" customHeight="1">
      <c r="E779" s="621">
        <v>771</v>
      </c>
      <c r="F779" s="711"/>
      <c r="G779" s="712"/>
      <c r="H779" s="713">
        <v>771</v>
      </c>
      <c r="I779" s="714"/>
      <c r="J779" s="239"/>
      <c r="K779" s="24"/>
      <c r="AI779" s="16" t="e">
        <f t="shared" si="101"/>
        <v>#N/A</v>
      </c>
      <c r="AJ779" s="16" t="str">
        <f t="shared" si="102"/>
        <v/>
      </c>
      <c r="AK779" s="16" t="str">
        <f t="shared" si="103"/>
        <v/>
      </c>
      <c r="AL779" s="16" t="e">
        <f>IF(AK779="",NA(),COUNTIF(AK$176:$AK779,AK779))</f>
        <v>#N/A</v>
      </c>
      <c r="AM779" s="16" t="e">
        <f t="shared" si="104"/>
        <v>#N/A</v>
      </c>
      <c r="AN779" s="16" t="e">
        <f t="shared" si="105"/>
        <v>#N/A</v>
      </c>
      <c r="AO779" s="16" t="str">
        <f t="shared" si="106"/>
        <v/>
      </c>
      <c r="AP779" s="16" t="str">
        <f t="shared" si="107"/>
        <v/>
      </c>
      <c r="AQ779" s="16" t="e">
        <f>IF(AP779="",NA(),COUNTIF(AP$176:$AP779,AP779))</f>
        <v>#N/A</v>
      </c>
      <c r="AR779" s="16" t="e">
        <f t="shared" si="108"/>
        <v>#N/A</v>
      </c>
      <c r="BI779" s="621">
        <v>771</v>
      </c>
      <c r="BJ779" s="711"/>
      <c r="BK779" s="712"/>
      <c r="BL779" s="713">
        <v>771</v>
      </c>
      <c r="BM779" s="714"/>
      <c r="BN779" s="239"/>
      <c r="BO779" s="24"/>
      <c r="BQ779" s="621">
        <v>771</v>
      </c>
      <c r="BR779" s="711"/>
      <c r="BS779" s="712"/>
      <c r="BT779" s="713">
        <v>771</v>
      </c>
      <c r="BU779" s="714"/>
      <c r="BV779" s="239"/>
      <c r="BW779" s="24"/>
      <c r="BY779" s="621">
        <v>771</v>
      </c>
      <c r="BZ779" s="711"/>
      <c r="CA779" s="712"/>
      <c r="CB779" s="713">
        <v>771</v>
      </c>
      <c r="CC779" s="714"/>
      <c r="CD779" s="239"/>
      <c r="CE779" s="24"/>
    </row>
    <row r="780" spans="5:83" ht="12" customHeight="1">
      <c r="E780" s="621">
        <v>772</v>
      </c>
      <c r="F780" s="711"/>
      <c r="G780" s="712"/>
      <c r="H780" s="713">
        <v>772</v>
      </c>
      <c r="I780" s="714"/>
      <c r="J780" s="239"/>
      <c r="K780" s="24"/>
      <c r="AI780" s="16" t="e">
        <f t="shared" si="101"/>
        <v>#N/A</v>
      </c>
      <c r="AJ780" s="16" t="str">
        <f t="shared" si="102"/>
        <v/>
      </c>
      <c r="AK780" s="16" t="str">
        <f t="shared" si="103"/>
        <v/>
      </c>
      <c r="AL780" s="16" t="e">
        <f>IF(AK780="",NA(),COUNTIF(AK$176:$AK780,AK780))</f>
        <v>#N/A</v>
      </c>
      <c r="AM780" s="16" t="e">
        <f t="shared" si="104"/>
        <v>#N/A</v>
      </c>
      <c r="AN780" s="16" t="e">
        <f t="shared" si="105"/>
        <v>#N/A</v>
      </c>
      <c r="AO780" s="16" t="str">
        <f t="shared" si="106"/>
        <v/>
      </c>
      <c r="AP780" s="16" t="str">
        <f t="shared" si="107"/>
        <v/>
      </c>
      <c r="AQ780" s="16" t="e">
        <f>IF(AP780="",NA(),COUNTIF(AP$176:$AP780,AP780))</f>
        <v>#N/A</v>
      </c>
      <c r="AR780" s="16" t="e">
        <f t="shared" si="108"/>
        <v>#N/A</v>
      </c>
      <c r="BI780" s="621">
        <v>772</v>
      </c>
      <c r="BJ780" s="711"/>
      <c r="BK780" s="712"/>
      <c r="BL780" s="713">
        <v>772</v>
      </c>
      <c r="BM780" s="714"/>
      <c r="BN780" s="239"/>
      <c r="BO780" s="24"/>
      <c r="BQ780" s="621">
        <v>772</v>
      </c>
      <c r="BR780" s="711"/>
      <c r="BS780" s="712"/>
      <c r="BT780" s="713">
        <v>772</v>
      </c>
      <c r="BU780" s="714"/>
      <c r="BV780" s="239"/>
      <c r="BW780" s="24"/>
      <c r="BY780" s="621">
        <v>772</v>
      </c>
      <c r="BZ780" s="711"/>
      <c r="CA780" s="712"/>
      <c r="CB780" s="713">
        <v>772</v>
      </c>
      <c r="CC780" s="714"/>
      <c r="CD780" s="239"/>
      <c r="CE780" s="24"/>
    </row>
    <row r="781" spans="5:83" ht="12" customHeight="1">
      <c r="E781" s="621">
        <v>773</v>
      </c>
      <c r="F781" s="711"/>
      <c r="G781" s="712"/>
      <c r="H781" s="713">
        <v>773</v>
      </c>
      <c r="I781" s="714"/>
      <c r="J781" s="239"/>
      <c r="K781" s="24"/>
      <c r="AI781" s="16" t="e">
        <f t="shared" ref="AI781:AI844" si="109">IF(AND($X$80,NOT(F713=""),$X$78),F713,NA())</f>
        <v>#N/A</v>
      </c>
      <c r="AJ781" s="16" t="str">
        <f t="shared" ref="AJ781:AJ844" si="110">IF(AK781="","",IF($AU$79=0,AI781,AK781*$AU$79))</f>
        <v/>
      </c>
      <c r="AK781" s="16" t="str">
        <f t="shared" ref="AK781:AK844" si="111">IF(ISNA(AI781),"",IF($AU$79=0,AI781,ROUND(AI781/$AU$79,0)))</f>
        <v/>
      </c>
      <c r="AL781" s="16" t="e">
        <f>IF(AK781="",NA(),COUNTIF(AK$176:$AK781,AK781))</f>
        <v>#N/A</v>
      </c>
      <c r="AM781" s="16" t="e">
        <f t="shared" ref="AM781:AM844" si="112">(AL781-1)*$AU$82</f>
        <v>#N/A</v>
      </c>
      <c r="AN781" s="16" t="e">
        <f t="shared" ref="AN781:AN844" si="113">IF(AND($X$80,NOT(I713=""),$X$79),I713,NA())</f>
        <v>#N/A</v>
      </c>
      <c r="AO781" s="16" t="str">
        <f t="shared" ref="AO781:AO844" si="114">IF(AP781="","",IF($AU$79=0,AN781,AP781*$AU$79))</f>
        <v/>
      </c>
      <c r="AP781" s="16" t="str">
        <f t="shared" ref="AP781:AP844" si="115">IF(ISNA(AN781),"",IF($AU$79=0,AN781,ROUND(AN781/$AU$79,0)))</f>
        <v/>
      </c>
      <c r="AQ781" s="16" t="e">
        <f>IF(AP781="",NA(),COUNTIF(AP$176:$AP781,AP781))</f>
        <v>#N/A</v>
      </c>
      <c r="AR781" s="16" t="e">
        <f t="shared" ref="AR781:AR844" si="116">(AQ781-1)*$AU$82</f>
        <v>#N/A</v>
      </c>
      <c r="BI781" s="621">
        <v>773</v>
      </c>
      <c r="BJ781" s="711"/>
      <c r="BK781" s="712"/>
      <c r="BL781" s="713">
        <v>773</v>
      </c>
      <c r="BM781" s="714"/>
      <c r="BN781" s="239"/>
      <c r="BO781" s="24"/>
      <c r="BQ781" s="621">
        <v>773</v>
      </c>
      <c r="BR781" s="711"/>
      <c r="BS781" s="712"/>
      <c r="BT781" s="713">
        <v>773</v>
      </c>
      <c r="BU781" s="714"/>
      <c r="BV781" s="239"/>
      <c r="BW781" s="24"/>
      <c r="BY781" s="621">
        <v>773</v>
      </c>
      <c r="BZ781" s="711"/>
      <c r="CA781" s="712"/>
      <c r="CB781" s="713">
        <v>773</v>
      </c>
      <c r="CC781" s="714"/>
      <c r="CD781" s="239"/>
      <c r="CE781" s="24"/>
    </row>
    <row r="782" spans="5:83" ht="12" customHeight="1">
      <c r="E782" s="621">
        <v>774</v>
      </c>
      <c r="F782" s="711"/>
      <c r="G782" s="712"/>
      <c r="H782" s="713">
        <v>774</v>
      </c>
      <c r="I782" s="714"/>
      <c r="J782" s="239"/>
      <c r="K782" s="24"/>
      <c r="AI782" s="16" t="e">
        <f t="shared" si="109"/>
        <v>#N/A</v>
      </c>
      <c r="AJ782" s="16" t="str">
        <f t="shared" si="110"/>
        <v/>
      </c>
      <c r="AK782" s="16" t="str">
        <f t="shared" si="111"/>
        <v/>
      </c>
      <c r="AL782" s="16" t="e">
        <f>IF(AK782="",NA(),COUNTIF(AK$176:$AK782,AK782))</f>
        <v>#N/A</v>
      </c>
      <c r="AM782" s="16" t="e">
        <f t="shared" si="112"/>
        <v>#N/A</v>
      </c>
      <c r="AN782" s="16" t="e">
        <f t="shared" si="113"/>
        <v>#N/A</v>
      </c>
      <c r="AO782" s="16" t="str">
        <f t="shared" si="114"/>
        <v/>
      </c>
      <c r="AP782" s="16" t="str">
        <f t="shared" si="115"/>
        <v/>
      </c>
      <c r="AQ782" s="16" t="e">
        <f>IF(AP782="",NA(),COUNTIF(AP$176:$AP782,AP782))</f>
        <v>#N/A</v>
      </c>
      <c r="AR782" s="16" t="e">
        <f t="shared" si="116"/>
        <v>#N/A</v>
      </c>
      <c r="BI782" s="621">
        <v>774</v>
      </c>
      <c r="BJ782" s="711"/>
      <c r="BK782" s="712"/>
      <c r="BL782" s="713">
        <v>774</v>
      </c>
      <c r="BM782" s="714"/>
      <c r="BN782" s="239"/>
      <c r="BO782" s="24"/>
      <c r="BQ782" s="621">
        <v>774</v>
      </c>
      <c r="BR782" s="711"/>
      <c r="BS782" s="712"/>
      <c r="BT782" s="713">
        <v>774</v>
      </c>
      <c r="BU782" s="714"/>
      <c r="BV782" s="239"/>
      <c r="BW782" s="24"/>
      <c r="BY782" s="621">
        <v>774</v>
      </c>
      <c r="BZ782" s="711"/>
      <c r="CA782" s="712"/>
      <c r="CB782" s="713">
        <v>774</v>
      </c>
      <c r="CC782" s="714"/>
      <c r="CD782" s="239"/>
      <c r="CE782" s="24"/>
    </row>
    <row r="783" spans="5:83" ht="12" customHeight="1">
      <c r="E783" s="621">
        <v>775</v>
      </c>
      <c r="F783" s="711"/>
      <c r="G783" s="712"/>
      <c r="H783" s="713">
        <v>775</v>
      </c>
      <c r="I783" s="714"/>
      <c r="J783" s="239"/>
      <c r="K783" s="24"/>
      <c r="AI783" s="16" t="e">
        <f t="shared" si="109"/>
        <v>#N/A</v>
      </c>
      <c r="AJ783" s="16" t="str">
        <f t="shared" si="110"/>
        <v/>
      </c>
      <c r="AK783" s="16" t="str">
        <f t="shared" si="111"/>
        <v/>
      </c>
      <c r="AL783" s="16" t="e">
        <f>IF(AK783="",NA(),COUNTIF(AK$176:$AK783,AK783))</f>
        <v>#N/A</v>
      </c>
      <c r="AM783" s="16" t="e">
        <f t="shared" si="112"/>
        <v>#N/A</v>
      </c>
      <c r="AN783" s="16" t="e">
        <f t="shared" si="113"/>
        <v>#N/A</v>
      </c>
      <c r="AO783" s="16" t="str">
        <f t="shared" si="114"/>
        <v/>
      </c>
      <c r="AP783" s="16" t="str">
        <f t="shared" si="115"/>
        <v/>
      </c>
      <c r="AQ783" s="16" t="e">
        <f>IF(AP783="",NA(),COUNTIF(AP$176:$AP783,AP783))</f>
        <v>#N/A</v>
      </c>
      <c r="AR783" s="16" t="e">
        <f t="shared" si="116"/>
        <v>#N/A</v>
      </c>
      <c r="BI783" s="621">
        <v>775</v>
      </c>
      <c r="BJ783" s="711"/>
      <c r="BK783" s="712"/>
      <c r="BL783" s="713">
        <v>775</v>
      </c>
      <c r="BM783" s="714"/>
      <c r="BN783" s="239"/>
      <c r="BO783" s="24"/>
      <c r="BQ783" s="621">
        <v>775</v>
      </c>
      <c r="BR783" s="711"/>
      <c r="BS783" s="712"/>
      <c r="BT783" s="713">
        <v>775</v>
      </c>
      <c r="BU783" s="714"/>
      <c r="BV783" s="239"/>
      <c r="BW783" s="24"/>
      <c r="BY783" s="621">
        <v>775</v>
      </c>
      <c r="BZ783" s="711"/>
      <c r="CA783" s="712"/>
      <c r="CB783" s="713">
        <v>775</v>
      </c>
      <c r="CC783" s="714"/>
      <c r="CD783" s="239"/>
      <c r="CE783" s="24"/>
    </row>
    <row r="784" spans="5:83" ht="12" customHeight="1">
      <c r="E784" s="621">
        <v>776</v>
      </c>
      <c r="F784" s="711"/>
      <c r="G784" s="712"/>
      <c r="H784" s="713">
        <v>776</v>
      </c>
      <c r="I784" s="714"/>
      <c r="J784" s="239"/>
      <c r="K784" s="24"/>
      <c r="AI784" s="16" t="e">
        <f t="shared" si="109"/>
        <v>#N/A</v>
      </c>
      <c r="AJ784" s="16" t="str">
        <f t="shared" si="110"/>
        <v/>
      </c>
      <c r="AK784" s="16" t="str">
        <f t="shared" si="111"/>
        <v/>
      </c>
      <c r="AL784" s="16" t="e">
        <f>IF(AK784="",NA(),COUNTIF(AK$176:$AK784,AK784))</f>
        <v>#N/A</v>
      </c>
      <c r="AM784" s="16" t="e">
        <f t="shared" si="112"/>
        <v>#N/A</v>
      </c>
      <c r="AN784" s="16" t="e">
        <f t="shared" si="113"/>
        <v>#N/A</v>
      </c>
      <c r="AO784" s="16" t="str">
        <f t="shared" si="114"/>
        <v/>
      </c>
      <c r="AP784" s="16" t="str">
        <f t="shared" si="115"/>
        <v/>
      </c>
      <c r="AQ784" s="16" t="e">
        <f>IF(AP784="",NA(),COUNTIF(AP$176:$AP784,AP784))</f>
        <v>#N/A</v>
      </c>
      <c r="AR784" s="16" t="e">
        <f t="shared" si="116"/>
        <v>#N/A</v>
      </c>
      <c r="BI784" s="621">
        <v>776</v>
      </c>
      <c r="BJ784" s="711"/>
      <c r="BK784" s="712"/>
      <c r="BL784" s="713">
        <v>776</v>
      </c>
      <c r="BM784" s="714"/>
      <c r="BN784" s="239"/>
      <c r="BO784" s="24"/>
      <c r="BQ784" s="621">
        <v>776</v>
      </c>
      <c r="BR784" s="711"/>
      <c r="BS784" s="712"/>
      <c r="BT784" s="713">
        <v>776</v>
      </c>
      <c r="BU784" s="714"/>
      <c r="BV784" s="239"/>
      <c r="BW784" s="24"/>
      <c r="BY784" s="621">
        <v>776</v>
      </c>
      <c r="BZ784" s="711"/>
      <c r="CA784" s="712"/>
      <c r="CB784" s="713">
        <v>776</v>
      </c>
      <c r="CC784" s="714"/>
      <c r="CD784" s="239"/>
      <c r="CE784" s="24"/>
    </row>
    <row r="785" spans="5:83" ht="12" customHeight="1">
      <c r="E785" s="621">
        <v>777</v>
      </c>
      <c r="F785" s="711"/>
      <c r="G785" s="712"/>
      <c r="H785" s="713">
        <v>777</v>
      </c>
      <c r="I785" s="714"/>
      <c r="J785" s="239"/>
      <c r="K785" s="24"/>
      <c r="AI785" s="16" t="e">
        <f t="shared" si="109"/>
        <v>#N/A</v>
      </c>
      <c r="AJ785" s="16" t="str">
        <f t="shared" si="110"/>
        <v/>
      </c>
      <c r="AK785" s="16" t="str">
        <f t="shared" si="111"/>
        <v/>
      </c>
      <c r="AL785" s="16" t="e">
        <f>IF(AK785="",NA(),COUNTIF(AK$176:$AK785,AK785))</f>
        <v>#N/A</v>
      </c>
      <c r="AM785" s="16" t="e">
        <f t="shared" si="112"/>
        <v>#N/A</v>
      </c>
      <c r="AN785" s="16" t="e">
        <f t="shared" si="113"/>
        <v>#N/A</v>
      </c>
      <c r="AO785" s="16" t="str">
        <f t="shared" si="114"/>
        <v/>
      </c>
      <c r="AP785" s="16" t="str">
        <f t="shared" si="115"/>
        <v/>
      </c>
      <c r="AQ785" s="16" t="e">
        <f>IF(AP785="",NA(),COUNTIF(AP$176:$AP785,AP785))</f>
        <v>#N/A</v>
      </c>
      <c r="AR785" s="16" t="e">
        <f t="shared" si="116"/>
        <v>#N/A</v>
      </c>
      <c r="BI785" s="621">
        <v>777</v>
      </c>
      <c r="BJ785" s="711"/>
      <c r="BK785" s="712"/>
      <c r="BL785" s="713">
        <v>777</v>
      </c>
      <c r="BM785" s="714"/>
      <c r="BN785" s="239"/>
      <c r="BO785" s="24"/>
      <c r="BQ785" s="621">
        <v>777</v>
      </c>
      <c r="BR785" s="711"/>
      <c r="BS785" s="712"/>
      <c r="BT785" s="713">
        <v>777</v>
      </c>
      <c r="BU785" s="714"/>
      <c r="BV785" s="239"/>
      <c r="BW785" s="24"/>
      <c r="BY785" s="621">
        <v>777</v>
      </c>
      <c r="BZ785" s="711"/>
      <c r="CA785" s="712"/>
      <c r="CB785" s="713">
        <v>777</v>
      </c>
      <c r="CC785" s="714"/>
      <c r="CD785" s="239"/>
      <c r="CE785" s="24"/>
    </row>
    <row r="786" spans="5:83" ht="12" customHeight="1">
      <c r="E786" s="621">
        <v>778</v>
      </c>
      <c r="F786" s="711"/>
      <c r="G786" s="712"/>
      <c r="H786" s="713">
        <v>778</v>
      </c>
      <c r="I786" s="714"/>
      <c r="J786" s="239"/>
      <c r="K786" s="24"/>
      <c r="AI786" s="16" t="e">
        <f t="shared" si="109"/>
        <v>#N/A</v>
      </c>
      <c r="AJ786" s="16" t="str">
        <f t="shared" si="110"/>
        <v/>
      </c>
      <c r="AK786" s="16" t="str">
        <f t="shared" si="111"/>
        <v/>
      </c>
      <c r="AL786" s="16" t="e">
        <f>IF(AK786="",NA(),COUNTIF(AK$176:$AK786,AK786))</f>
        <v>#N/A</v>
      </c>
      <c r="AM786" s="16" t="e">
        <f t="shared" si="112"/>
        <v>#N/A</v>
      </c>
      <c r="AN786" s="16" t="e">
        <f t="shared" si="113"/>
        <v>#N/A</v>
      </c>
      <c r="AO786" s="16" t="str">
        <f t="shared" si="114"/>
        <v/>
      </c>
      <c r="AP786" s="16" t="str">
        <f t="shared" si="115"/>
        <v/>
      </c>
      <c r="AQ786" s="16" t="e">
        <f>IF(AP786="",NA(),COUNTIF(AP$176:$AP786,AP786))</f>
        <v>#N/A</v>
      </c>
      <c r="AR786" s="16" t="e">
        <f t="shared" si="116"/>
        <v>#N/A</v>
      </c>
      <c r="BI786" s="621">
        <v>778</v>
      </c>
      <c r="BJ786" s="711"/>
      <c r="BK786" s="712"/>
      <c r="BL786" s="713">
        <v>778</v>
      </c>
      <c r="BM786" s="714"/>
      <c r="BN786" s="239"/>
      <c r="BO786" s="24"/>
      <c r="BQ786" s="621">
        <v>778</v>
      </c>
      <c r="BR786" s="711"/>
      <c r="BS786" s="712"/>
      <c r="BT786" s="713">
        <v>778</v>
      </c>
      <c r="BU786" s="714"/>
      <c r="BV786" s="239"/>
      <c r="BW786" s="24"/>
      <c r="BY786" s="621">
        <v>778</v>
      </c>
      <c r="BZ786" s="711"/>
      <c r="CA786" s="712"/>
      <c r="CB786" s="713">
        <v>778</v>
      </c>
      <c r="CC786" s="714"/>
      <c r="CD786" s="239"/>
      <c r="CE786" s="24"/>
    </row>
    <row r="787" spans="5:83" ht="12" customHeight="1">
      <c r="E787" s="621">
        <v>779</v>
      </c>
      <c r="F787" s="711"/>
      <c r="G787" s="712"/>
      <c r="H787" s="713">
        <v>779</v>
      </c>
      <c r="I787" s="714"/>
      <c r="J787" s="239"/>
      <c r="K787" s="24"/>
      <c r="AI787" s="16" t="e">
        <f t="shared" si="109"/>
        <v>#N/A</v>
      </c>
      <c r="AJ787" s="16" t="str">
        <f t="shared" si="110"/>
        <v/>
      </c>
      <c r="AK787" s="16" t="str">
        <f t="shared" si="111"/>
        <v/>
      </c>
      <c r="AL787" s="16" t="e">
        <f>IF(AK787="",NA(),COUNTIF(AK$176:$AK787,AK787))</f>
        <v>#N/A</v>
      </c>
      <c r="AM787" s="16" t="e">
        <f t="shared" si="112"/>
        <v>#N/A</v>
      </c>
      <c r="AN787" s="16" t="e">
        <f t="shared" si="113"/>
        <v>#N/A</v>
      </c>
      <c r="AO787" s="16" t="str">
        <f t="shared" si="114"/>
        <v/>
      </c>
      <c r="AP787" s="16" t="str">
        <f t="shared" si="115"/>
        <v/>
      </c>
      <c r="AQ787" s="16" t="e">
        <f>IF(AP787="",NA(),COUNTIF(AP$176:$AP787,AP787))</f>
        <v>#N/A</v>
      </c>
      <c r="AR787" s="16" t="e">
        <f t="shared" si="116"/>
        <v>#N/A</v>
      </c>
      <c r="BI787" s="621">
        <v>779</v>
      </c>
      <c r="BJ787" s="711"/>
      <c r="BK787" s="712"/>
      <c r="BL787" s="713">
        <v>779</v>
      </c>
      <c r="BM787" s="714"/>
      <c r="BN787" s="239"/>
      <c r="BO787" s="24"/>
      <c r="BQ787" s="621">
        <v>779</v>
      </c>
      <c r="BR787" s="711"/>
      <c r="BS787" s="712"/>
      <c r="BT787" s="713">
        <v>779</v>
      </c>
      <c r="BU787" s="714"/>
      <c r="BV787" s="239"/>
      <c r="BW787" s="24"/>
      <c r="BY787" s="621">
        <v>779</v>
      </c>
      <c r="BZ787" s="711"/>
      <c r="CA787" s="712"/>
      <c r="CB787" s="713">
        <v>779</v>
      </c>
      <c r="CC787" s="714"/>
      <c r="CD787" s="239"/>
      <c r="CE787" s="24"/>
    </row>
    <row r="788" spans="5:83" ht="12" customHeight="1">
      <c r="E788" s="621">
        <v>780</v>
      </c>
      <c r="F788" s="711"/>
      <c r="G788" s="712"/>
      <c r="H788" s="713">
        <v>780</v>
      </c>
      <c r="I788" s="714"/>
      <c r="J788" s="239"/>
      <c r="K788" s="24"/>
      <c r="AI788" s="16" t="e">
        <f t="shared" si="109"/>
        <v>#N/A</v>
      </c>
      <c r="AJ788" s="16" t="str">
        <f t="shared" si="110"/>
        <v/>
      </c>
      <c r="AK788" s="16" t="str">
        <f t="shared" si="111"/>
        <v/>
      </c>
      <c r="AL788" s="16" t="e">
        <f>IF(AK788="",NA(),COUNTIF(AK$176:$AK788,AK788))</f>
        <v>#N/A</v>
      </c>
      <c r="AM788" s="16" t="e">
        <f t="shared" si="112"/>
        <v>#N/A</v>
      </c>
      <c r="AN788" s="16" t="e">
        <f t="shared" si="113"/>
        <v>#N/A</v>
      </c>
      <c r="AO788" s="16" t="str">
        <f t="shared" si="114"/>
        <v/>
      </c>
      <c r="AP788" s="16" t="str">
        <f t="shared" si="115"/>
        <v/>
      </c>
      <c r="AQ788" s="16" t="e">
        <f>IF(AP788="",NA(),COUNTIF(AP$176:$AP788,AP788))</f>
        <v>#N/A</v>
      </c>
      <c r="AR788" s="16" t="e">
        <f t="shared" si="116"/>
        <v>#N/A</v>
      </c>
      <c r="BI788" s="621">
        <v>780</v>
      </c>
      <c r="BJ788" s="711"/>
      <c r="BK788" s="712"/>
      <c r="BL788" s="713">
        <v>780</v>
      </c>
      <c r="BM788" s="714"/>
      <c r="BN788" s="239"/>
      <c r="BO788" s="24"/>
      <c r="BQ788" s="621">
        <v>780</v>
      </c>
      <c r="BR788" s="711"/>
      <c r="BS788" s="712"/>
      <c r="BT788" s="713">
        <v>780</v>
      </c>
      <c r="BU788" s="714"/>
      <c r="BV788" s="239"/>
      <c r="BW788" s="24"/>
      <c r="BY788" s="621">
        <v>780</v>
      </c>
      <c r="BZ788" s="711"/>
      <c r="CA788" s="712"/>
      <c r="CB788" s="713">
        <v>780</v>
      </c>
      <c r="CC788" s="714"/>
      <c r="CD788" s="239"/>
      <c r="CE788" s="24"/>
    </row>
    <row r="789" spans="5:83" ht="12" customHeight="1">
      <c r="E789" s="621">
        <v>781</v>
      </c>
      <c r="F789" s="711"/>
      <c r="G789" s="712"/>
      <c r="H789" s="713">
        <v>781</v>
      </c>
      <c r="I789" s="714"/>
      <c r="J789" s="239"/>
      <c r="K789" s="24"/>
      <c r="AI789" s="16" t="e">
        <f t="shared" si="109"/>
        <v>#N/A</v>
      </c>
      <c r="AJ789" s="16" t="str">
        <f t="shared" si="110"/>
        <v/>
      </c>
      <c r="AK789" s="16" t="str">
        <f t="shared" si="111"/>
        <v/>
      </c>
      <c r="AL789" s="16" t="e">
        <f>IF(AK789="",NA(),COUNTIF(AK$176:$AK789,AK789))</f>
        <v>#N/A</v>
      </c>
      <c r="AM789" s="16" t="e">
        <f t="shared" si="112"/>
        <v>#N/A</v>
      </c>
      <c r="AN789" s="16" t="e">
        <f t="shared" si="113"/>
        <v>#N/A</v>
      </c>
      <c r="AO789" s="16" t="str">
        <f t="shared" si="114"/>
        <v/>
      </c>
      <c r="AP789" s="16" t="str">
        <f t="shared" si="115"/>
        <v/>
      </c>
      <c r="AQ789" s="16" t="e">
        <f>IF(AP789="",NA(),COUNTIF(AP$176:$AP789,AP789))</f>
        <v>#N/A</v>
      </c>
      <c r="AR789" s="16" t="e">
        <f t="shared" si="116"/>
        <v>#N/A</v>
      </c>
      <c r="BI789" s="621">
        <v>781</v>
      </c>
      <c r="BJ789" s="711"/>
      <c r="BK789" s="712"/>
      <c r="BL789" s="713">
        <v>781</v>
      </c>
      <c r="BM789" s="714"/>
      <c r="BN789" s="239"/>
      <c r="BO789" s="24"/>
      <c r="BQ789" s="621">
        <v>781</v>
      </c>
      <c r="BR789" s="711"/>
      <c r="BS789" s="712"/>
      <c r="BT789" s="713">
        <v>781</v>
      </c>
      <c r="BU789" s="714"/>
      <c r="BV789" s="239"/>
      <c r="BW789" s="24"/>
      <c r="BY789" s="621">
        <v>781</v>
      </c>
      <c r="BZ789" s="711"/>
      <c r="CA789" s="712"/>
      <c r="CB789" s="713">
        <v>781</v>
      </c>
      <c r="CC789" s="714"/>
      <c r="CD789" s="239"/>
      <c r="CE789" s="24"/>
    </row>
    <row r="790" spans="5:83" ht="12" customHeight="1">
      <c r="E790" s="621">
        <v>782</v>
      </c>
      <c r="F790" s="711"/>
      <c r="G790" s="712"/>
      <c r="H790" s="713">
        <v>782</v>
      </c>
      <c r="I790" s="714"/>
      <c r="J790" s="239"/>
      <c r="K790" s="24"/>
      <c r="AI790" s="16" t="e">
        <f t="shared" si="109"/>
        <v>#N/A</v>
      </c>
      <c r="AJ790" s="16" t="str">
        <f t="shared" si="110"/>
        <v/>
      </c>
      <c r="AK790" s="16" t="str">
        <f t="shared" si="111"/>
        <v/>
      </c>
      <c r="AL790" s="16" t="e">
        <f>IF(AK790="",NA(),COUNTIF(AK$176:$AK790,AK790))</f>
        <v>#N/A</v>
      </c>
      <c r="AM790" s="16" t="e">
        <f t="shared" si="112"/>
        <v>#N/A</v>
      </c>
      <c r="AN790" s="16" t="e">
        <f t="shared" si="113"/>
        <v>#N/A</v>
      </c>
      <c r="AO790" s="16" t="str">
        <f t="shared" si="114"/>
        <v/>
      </c>
      <c r="AP790" s="16" t="str">
        <f t="shared" si="115"/>
        <v/>
      </c>
      <c r="AQ790" s="16" t="e">
        <f>IF(AP790="",NA(),COUNTIF(AP$176:$AP790,AP790))</f>
        <v>#N/A</v>
      </c>
      <c r="AR790" s="16" t="e">
        <f t="shared" si="116"/>
        <v>#N/A</v>
      </c>
      <c r="BI790" s="621">
        <v>782</v>
      </c>
      <c r="BJ790" s="711"/>
      <c r="BK790" s="712"/>
      <c r="BL790" s="713">
        <v>782</v>
      </c>
      <c r="BM790" s="714"/>
      <c r="BN790" s="239"/>
      <c r="BO790" s="24"/>
      <c r="BQ790" s="621">
        <v>782</v>
      </c>
      <c r="BR790" s="711"/>
      <c r="BS790" s="712"/>
      <c r="BT790" s="713">
        <v>782</v>
      </c>
      <c r="BU790" s="714"/>
      <c r="BV790" s="239"/>
      <c r="BW790" s="24"/>
      <c r="BY790" s="621">
        <v>782</v>
      </c>
      <c r="BZ790" s="711"/>
      <c r="CA790" s="712"/>
      <c r="CB790" s="713">
        <v>782</v>
      </c>
      <c r="CC790" s="714"/>
      <c r="CD790" s="239"/>
      <c r="CE790" s="24"/>
    </row>
    <row r="791" spans="5:83" ht="12" customHeight="1">
      <c r="E791" s="621">
        <v>783</v>
      </c>
      <c r="F791" s="711"/>
      <c r="G791" s="712"/>
      <c r="H791" s="713">
        <v>783</v>
      </c>
      <c r="I791" s="714"/>
      <c r="J791" s="239"/>
      <c r="K791" s="24"/>
      <c r="AI791" s="16" t="e">
        <f t="shared" si="109"/>
        <v>#N/A</v>
      </c>
      <c r="AJ791" s="16" t="str">
        <f t="shared" si="110"/>
        <v/>
      </c>
      <c r="AK791" s="16" t="str">
        <f t="shared" si="111"/>
        <v/>
      </c>
      <c r="AL791" s="16" t="e">
        <f>IF(AK791="",NA(),COUNTIF(AK$176:$AK791,AK791))</f>
        <v>#N/A</v>
      </c>
      <c r="AM791" s="16" t="e">
        <f t="shared" si="112"/>
        <v>#N/A</v>
      </c>
      <c r="AN791" s="16" t="e">
        <f t="shared" si="113"/>
        <v>#N/A</v>
      </c>
      <c r="AO791" s="16" t="str">
        <f t="shared" si="114"/>
        <v/>
      </c>
      <c r="AP791" s="16" t="str">
        <f t="shared" si="115"/>
        <v/>
      </c>
      <c r="AQ791" s="16" t="e">
        <f>IF(AP791="",NA(),COUNTIF(AP$176:$AP791,AP791))</f>
        <v>#N/A</v>
      </c>
      <c r="AR791" s="16" t="e">
        <f t="shared" si="116"/>
        <v>#N/A</v>
      </c>
      <c r="BI791" s="621">
        <v>783</v>
      </c>
      <c r="BJ791" s="711"/>
      <c r="BK791" s="712"/>
      <c r="BL791" s="713">
        <v>783</v>
      </c>
      <c r="BM791" s="714"/>
      <c r="BN791" s="239"/>
      <c r="BO791" s="24"/>
      <c r="BQ791" s="621">
        <v>783</v>
      </c>
      <c r="BR791" s="711"/>
      <c r="BS791" s="712"/>
      <c r="BT791" s="713">
        <v>783</v>
      </c>
      <c r="BU791" s="714"/>
      <c r="BV791" s="239"/>
      <c r="BW791" s="24"/>
      <c r="BY791" s="621">
        <v>783</v>
      </c>
      <c r="BZ791" s="711"/>
      <c r="CA791" s="712"/>
      <c r="CB791" s="713">
        <v>783</v>
      </c>
      <c r="CC791" s="714"/>
      <c r="CD791" s="239"/>
      <c r="CE791" s="24"/>
    </row>
    <row r="792" spans="5:83" ht="12" customHeight="1">
      <c r="E792" s="621">
        <v>784</v>
      </c>
      <c r="F792" s="711"/>
      <c r="G792" s="712"/>
      <c r="H792" s="713">
        <v>784</v>
      </c>
      <c r="I792" s="714"/>
      <c r="J792" s="239"/>
      <c r="K792" s="24"/>
      <c r="AI792" s="16" t="e">
        <f t="shared" si="109"/>
        <v>#N/A</v>
      </c>
      <c r="AJ792" s="16" t="str">
        <f t="shared" si="110"/>
        <v/>
      </c>
      <c r="AK792" s="16" t="str">
        <f t="shared" si="111"/>
        <v/>
      </c>
      <c r="AL792" s="16" t="e">
        <f>IF(AK792="",NA(),COUNTIF(AK$176:$AK792,AK792))</f>
        <v>#N/A</v>
      </c>
      <c r="AM792" s="16" t="e">
        <f t="shared" si="112"/>
        <v>#N/A</v>
      </c>
      <c r="AN792" s="16" t="e">
        <f t="shared" si="113"/>
        <v>#N/A</v>
      </c>
      <c r="AO792" s="16" t="str">
        <f t="shared" si="114"/>
        <v/>
      </c>
      <c r="AP792" s="16" t="str">
        <f t="shared" si="115"/>
        <v/>
      </c>
      <c r="AQ792" s="16" t="e">
        <f>IF(AP792="",NA(),COUNTIF(AP$176:$AP792,AP792))</f>
        <v>#N/A</v>
      </c>
      <c r="AR792" s="16" t="e">
        <f t="shared" si="116"/>
        <v>#N/A</v>
      </c>
      <c r="BI792" s="621">
        <v>784</v>
      </c>
      <c r="BJ792" s="711"/>
      <c r="BK792" s="712"/>
      <c r="BL792" s="713">
        <v>784</v>
      </c>
      <c r="BM792" s="714"/>
      <c r="BN792" s="239"/>
      <c r="BO792" s="24"/>
      <c r="BQ792" s="621">
        <v>784</v>
      </c>
      <c r="BR792" s="711"/>
      <c r="BS792" s="712"/>
      <c r="BT792" s="713">
        <v>784</v>
      </c>
      <c r="BU792" s="714"/>
      <c r="BV792" s="239"/>
      <c r="BW792" s="24"/>
      <c r="BY792" s="621">
        <v>784</v>
      </c>
      <c r="BZ792" s="711"/>
      <c r="CA792" s="712"/>
      <c r="CB792" s="713">
        <v>784</v>
      </c>
      <c r="CC792" s="714"/>
      <c r="CD792" s="239"/>
      <c r="CE792" s="24"/>
    </row>
    <row r="793" spans="5:83" ht="12" customHeight="1">
      <c r="E793" s="621">
        <v>785</v>
      </c>
      <c r="F793" s="711"/>
      <c r="G793" s="712"/>
      <c r="H793" s="713">
        <v>785</v>
      </c>
      <c r="I793" s="714"/>
      <c r="J793" s="239"/>
      <c r="K793" s="24"/>
      <c r="AI793" s="16" t="e">
        <f t="shared" si="109"/>
        <v>#N/A</v>
      </c>
      <c r="AJ793" s="16" t="str">
        <f t="shared" si="110"/>
        <v/>
      </c>
      <c r="AK793" s="16" t="str">
        <f t="shared" si="111"/>
        <v/>
      </c>
      <c r="AL793" s="16" t="e">
        <f>IF(AK793="",NA(),COUNTIF(AK$176:$AK793,AK793))</f>
        <v>#N/A</v>
      </c>
      <c r="AM793" s="16" t="e">
        <f t="shared" si="112"/>
        <v>#N/A</v>
      </c>
      <c r="AN793" s="16" t="e">
        <f t="shared" si="113"/>
        <v>#N/A</v>
      </c>
      <c r="AO793" s="16" t="str">
        <f t="shared" si="114"/>
        <v/>
      </c>
      <c r="AP793" s="16" t="str">
        <f t="shared" si="115"/>
        <v/>
      </c>
      <c r="AQ793" s="16" t="e">
        <f>IF(AP793="",NA(),COUNTIF(AP$176:$AP793,AP793))</f>
        <v>#N/A</v>
      </c>
      <c r="AR793" s="16" t="e">
        <f t="shared" si="116"/>
        <v>#N/A</v>
      </c>
      <c r="BI793" s="621">
        <v>785</v>
      </c>
      <c r="BJ793" s="711"/>
      <c r="BK793" s="712"/>
      <c r="BL793" s="713">
        <v>785</v>
      </c>
      <c r="BM793" s="714"/>
      <c r="BN793" s="239"/>
      <c r="BO793" s="24"/>
      <c r="BQ793" s="621">
        <v>785</v>
      </c>
      <c r="BR793" s="711"/>
      <c r="BS793" s="712"/>
      <c r="BT793" s="713">
        <v>785</v>
      </c>
      <c r="BU793" s="714"/>
      <c r="BV793" s="239"/>
      <c r="BW793" s="24"/>
      <c r="BY793" s="621">
        <v>785</v>
      </c>
      <c r="BZ793" s="711"/>
      <c r="CA793" s="712"/>
      <c r="CB793" s="713">
        <v>785</v>
      </c>
      <c r="CC793" s="714"/>
      <c r="CD793" s="239"/>
      <c r="CE793" s="24"/>
    </row>
    <row r="794" spans="5:83" ht="12" customHeight="1">
      <c r="E794" s="621">
        <v>786</v>
      </c>
      <c r="F794" s="711"/>
      <c r="G794" s="712"/>
      <c r="H794" s="713">
        <v>786</v>
      </c>
      <c r="I794" s="714"/>
      <c r="J794" s="239"/>
      <c r="K794" s="24"/>
      <c r="AI794" s="16" t="e">
        <f t="shared" si="109"/>
        <v>#N/A</v>
      </c>
      <c r="AJ794" s="16" t="str">
        <f t="shared" si="110"/>
        <v/>
      </c>
      <c r="AK794" s="16" t="str">
        <f t="shared" si="111"/>
        <v/>
      </c>
      <c r="AL794" s="16" t="e">
        <f>IF(AK794="",NA(),COUNTIF(AK$176:$AK794,AK794))</f>
        <v>#N/A</v>
      </c>
      <c r="AM794" s="16" t="e">
        <f t="shared" si="112"/>
        <v>#N/A</v>
      </c>
      <c r="AN794" s="16" t="e">
        <f t="shared" si="113"/>
        <v>#N/A</v>
      </c>
      <c r="AO794" s="16" t="str">
        <f t="shared" si="114"/>
        <v/>
      </c>
      <c r="AP794" s="16" t="str">
        <f t="shared" si="115"/>
        <v/>
      </c>
      <c r="AQ794" s="16" t="e">
        <f>IF(AP794="",NA(),COUNTIF(AP$176:$AP794,AP794))</f>
        <v>#N/A</v>
      </c>
      <c r="AR794" s="16" t="e">
        <f t="shared" si="116"/>
        <v>#N/A</v>
      </c>
      <c r="BI794" s="621">
        <v>786</v>
      </c>
      <c r="BJ794" s="711"/>
      <c r="BK794" s="712"/>
      <c r="BL794" s="713">
        <v>786</v>
      </c>
      <c r="BM794" s="714"/>
      <c r="BN794" s="239"/>
      <c r="BO794" s="24"/>
      <c r="BQ794" s="621">
        <v>786</v>
      </c>
      <c r="BR794" s="711"/>
      <c r="BS794" s="712"/>
      <c r="BT794" s="713">
        <v>786</v>
      </c>
      <c r="BU794" s="714"/>
      <c r="BV794" s="239"/>
      <c r="BW794" s="24"/>
      <c r="BY794" s="621">
        <v>786</v>
      </c>
      <c r="BZ794" s="711"/>
      <c r="CA794" s="712"/>
      <c r="CB794" s="713">
        <v>786</v>
      </c>
      <c r="CC794" s="714"/>
      <c r="CD794" s="239"/>
      <c r="CE794" s="24"/>
    </row>
    <row r="795" spans="5:83" ht="12" customHeight="1">
      <c r="E795" s="621">
        <v>787</v>
      </c>
      <c r="F795" s="711"/>
      <c r="G795" s="712"/>
      <c r="H795" s="713">
        <v>787</v>
      </c>
      <c r="I795" s="714"/>
      <c r="J795" s="239"/>
      <c r="K795" s="24"/>
      <c r="AI795" s="16" t="e">
        <f t="shared" si="109"/>
        <v>#N/A</v>
      </c>
      <c r="AJ795" s="16" t="str">
        <f t="shared" si="110"/>
        <v/>
      </c>
      <c r="AK795" s="16" t="str">
        <f t="shared" si="111"/>
        <v/>
      </c>
      <c r="AL795" s="16" t="e">
        <f>IF(AK795="",NA(),COUNTIF(AK$176:$AK795,AK795))</f>
        <v>#N/A</v>
      </c>
      <c r="AM795" s="16" t="e">
        <f t="shared" si="112"/>
        <v>#N/A</v>
      </c>
      <c r="AN795" s="16" t="e">
        <f t="shared" si="113"/>
        <v>#N/A</v>
      </c>
      <c r="AO795" s="16" t="str">
        <f t="shared" si="114"/>
        <v/>
      </c>
      <c r="AP795" s="16" t="str">
        <f t="shared" si="115"/>
        <v/>
      </c>
      <c r="AQ795" s="16" t="e">
        <f>IF(AP795="",NA(),COUNTIF(AP$176:$AP795,AP795))</f>
        <v>#N/A</v>
      </c>
      <c r="AR795" s="16" t="e">
        <f t="shared" si="116"/>
        <v>#N/A</v>
      </c>
      <c r="BI795" s="621">
        <v>787</v>
      </c>
      <c r="BJ795" s="711"/>
      <c r="BK795" s="712"/>
      <c r="BL795" s="713">
        <v>787</v>
      </c>
      <c r="BM795" s="714"/>
      <c r="BN795" s="239"/>
      <c r="BO795" s="24"/>
      <c r="BQ795" s="621">
        <v>787</v>
      </c>
      <c r="BR795" s="711"/>
      <c r="BS795" s="712"/>
      <c r="BT795" s="713">
        <v>787</v>
      </c>
      <c r="BU795" s="714"/>
      <c r="BV795" s="239"/>
      <c r="BW795" s="24"/>
      <c r="BY795" s="621">
        <v>787</v>
      </c>
      <c r="BZ795" s="711"/>
      <c r="CA795" s="712"/>
      <c r="CB795" s="713">
        <v>787</v>
      </c>
      <c r="CC795" s="714"/>
      <c r="CD795" s="239"/>
      <c r="CE795" s="24"/>
    </row>
    <row r="796" spans="5:83" ht="12" customHeight="1">
      <c r="E796" s="621">
        <v>788</v>
      </c>
      <c r="F796" s="711"/>
      <c r="G796" s="712"/>
      <c r="H796" s="713">
        <v>788</v>
      </c>
      <c r="I796" s="714"/>
      <c r="J796" s="239"/>
      <c r="K796" s="24"/>
      <c r="AI796" s="16" t="e">
        <f t="shared" si="109"/>
        <v>#N/A</v>
      </c>
      <c r="AJ796" s="16" t="str">
        <f t="shared" si="110"/>
        <v/>
      </c>
      <c r="AK796" s="16" t="str">
        <f t="shared" si="111"/>
        <v/>
      </c>
      <c r="AL796" s="16" t="e">
        <f>IF(AK796="",NA(),COUNTIF(AK$176:$AK796,AK796))</f>
        <v>#N/A</v>
      </c>
      <c r="AM796" s="16" t="e">
        <f t="shared" si="112"/>
        <v>#N/A</v>
      </c>
      <c r="AN796" s="16" t="e">
        <f t="shared" si="113"/>
        <v>#N/A</v>
      </c>
      <c r="AO796" s="16" t="str">
        <f t="shared" si="114"/>
        <v/>
      </c>
      <c r="AP796" s="16" t="str">
        <f t="shared" si="115"/>
        <v/>
      </c>
      <c r="AQ796" s="16" t="e">
        <f>IF(AP796="",NA(),COUNTIF(AP$176:$AP796,AP796))</f>
        <v>#N/A</v>
      </c>
      <c r="AR796" s="16" t="e">
        <f t="shared" si="116"/>
        <v>#N/A</v>
      </c>
      <c r="BI796" s="621">
        <v>788</v>
      </c>
      <c r="BJ796" s="711"/>
      <c r="BK796" s="712"/>
      <c r="BL796" s="713">
        <v>788</v>
      </c>
      <c r="BM796" s="714"/>
      <c r="BN796" s="239"/>
      <c r="BO796" s="24"/>
      <c r="BQ796" s="621">
        <v>788</v>
      </c>
      <c r="BR796" s="711"/>
      <c r="BS796" s="712"/>
      <c r="BT796" s="713">
        <v>788</v>
      </c>
      <c r="BU796" s="714"/>
      <c r="BV796" s="239"/>
      <c r="BW796" s="24"/>
      <c r="BY796" s="621">
        <v>788</v>
      </c>
      <c r="BZ796" s="711"/>
      <c r="CA796" s="712"/>
      <c r="CB796" s="713">
        <v>788</v>
      </c>
      <c r="CC796" s="714"/>
      <c r="CD796" s="239"/>
      <c r="CE796" s="24"/>
    </row>
    <row r="797" spans="5:83" ht="12" customHeight="1">
      <c r="E797" s="621">
        <v>789</v>
      </c>
      <c r="F797" s="711"/>
      <c r="G797" s="712"/>
      <c r="H797" s="713">
        <v>789</v>
      </c>
      <c r="I797" s="714"/>
      <c r="J797" s="239"/>
      <c r="K797" s="24"/>
      <c r="AI797" s="16" t="e">
        <f t="shared" si="109"/>
        <v>#N/A</v>
      </c>
      <c r="AJ797" s="16" t="str">
        <f t="shared" si="110"/>
        <v/>
      </c>
      <c r="AK797" s="16" t="str">
        <f t="shared" si="111"/>
        <v/>
      </c>
      <c r="AL797" s="16" t="e">
        <f>IF(AK797="",NA(),COUNTIF(AK$176:$AK797,AK797))</f>
        <v>#N/A</v>
      </c>
      <c r="AM797" s="16" t="e">
        <f t="shared" si="112"/>
        <v>#N/A</v>
      </c>
      <c r="AN797" s="16" t="e">
        <f t="shared" si="113"/>
        <v>#N/A</v>
      </c>
      <c r="AO797" s="16" t="str">
        <f t="shared" si="114"/>
        <v/>
      </c>
      <c r="AP797" s="16" t="str">
        <f t="shared" si="115"/>
        <v/>
      </c>
      <c r="AQ797" s="16" t="e">
        <f>IF(AP797="",NA(),COUNTIF(AP$176:$AP797,AP797))</f>
        <v>#N/A</v>
      </c>
      <c r="AR797" s="16" t="e">
        <f t="shared" si="116"/>
        <v>#N/A</v>
      </c>
      <c r="BI797" s="621">
        <v>789</v>
      </c>
      <c r="BJ797" s="711"/>
      <c r="BK797" s="712"/>
      <c r="BL797" s="713">
        <v>789</v>
      </c>
      <c r="BM797" s="714"/>
      <c r="BN797" s="239"/>
      <c r="BO797" s="24"/>
      <c r="BQ797" s="621">
        <v>789</v>
      </c>
      <c r="BR797" s="711"/>
      <c r="BS797" s="712"/>
      <c r="BT797" s="713">
        <v>789</v>
      </c>
      <c r="BU797" s="714"/>
      <c r="BV797" s="239"/>
      <c r="BW797" s="24"/>
      <c r="BY797" s="621">
        <v>789</v>
      </c>
      <c r="BZ797" s="711"/>
      <c r="CA797" s="712"/>
      <c r="CB797" s="713">
        <v>789</v>
      </c>
      <c r="CC797" s="714"/>
      <c r="CD797" s="239"/>
      <c r="CE797" s="24"/>
    </row>
    <row r="798" spans="5:83" ht="12" customHeight="1">
      <c r="E798" s="621">
        <v>790</v>
      </c>
      <c r="F798" s="711"/>
      <c r="G798" s="712"/>
      <c r="H798" s="713">
        <v>790</v>
      </c>
      <c r="I798" s="714"/>
      <c r="J798" s="239"/>
      <c r="K798" s="24"/>
      <c r="AI798" s="16" t="e">
        <f t="shared" si="109"/>
        <v>#N/A</v>
      </c>
      <c r="AJ798" s="16" t="str">
        <f t="shared" si="110"/>
        <v/>
      </c>
      <c r="AK798" s="16" t="str">
        <f t="shared" si="111"/>
        <v/>
      </c>
      <c r="AL798" s="16" t="e">
        <f>IF(AK798="",NA(),COUNTIF(AK$176:$AK798,AK798))</f>
        <v>#N/A</v>
      </c>
      <c r="AM798" s="16" t="e">
        <f t="shared" si="112"/>
        <v>#N/A</v>
      </c>
      <c r="AN798" s="16" t="e">
        <f t="shared" si="113"/>
        <v>#N/A</v>
      </c>
      <c r="AO798" s="16" t="str">
        <f t="shared" si="114"/>
        <v/>
      </c>
      <c r="AP798" s="16" t="str">
        <f t="shared" si="115"/>
        <v/>
      </c>
      <c r="AQ798" s="16" t="e">
        <f>IF(AP798="",NA(),COUNTIF(AP$176:$AP798,AP798))</f>
        <v>#N/A</v>
      </c>
      <c r="AR798" s="16" t="e">
        <f t="shared" si="116"/>
        <v>#N/A</v>
      </c>
      <c r="BI798" s="621">
        <v>790</v>
      </c>
      <c r="BJ798" s="711"/>
      <c r="BK798" s="712"/>
      <c r="BL798" s="713">
        <v>790</v>
      </c>
      <c r="BM798" s="714"/>
      <c r="BN798" s="239"/>
      <c r="BO798" s="24"/>
      <c r="BQ798" s="621">
        <v>790</v>
      </c>
      <c r="BR798" s="711"/>
      <c r="BS798" s="712"/>
      <c r="BT798" s="713">
        <v>790</v>
      </c>
      <c r="BU798" s="714"/>
      <c r="BV798" s="239"/>
      <c r="BW798" s="24"/>
      <c r="BY798" s="621">
        <v>790</v>
      </c>
      <c r="BZ798" s="711"/>
      <c r="CA798" s="712"/>
      <c r="CB798" s="713">
        <v>790</v>
      </c>
      <c r="CC798" s="714"/>
      <c r="CD798" s="239"/>
      <c r="CE798" s="24"/>
    </row>
    <row r="799" spans="5:83" ht="12" customHeight="1">
      <c r="E799" s="621">
        <v>791</v>
      </c>
      <c r="F799" s="711"/>
      <c r="G799" s="712"/>
      <c r="H799" s="713">
        <v>791</v>
      </c>
      <c r="I799" s="714"/>
      <c r="J799" s="239"/>
      <c r="K799" s="24"/>
      <c r="AI799" s="16" t="e">
        <f t="shared" si="109"/>
        <v>#N/A</v>
      </c>
      <c r="AJ799" s="16" t="str">
        <f t="shared" si="110"/>
        <v/>
      </c>
      <c r="AK799" s="16" t="str">
        <f t="shared" si="111"/>
        <v/>
      </c>
      <c r="AL799" s="16" t="e">
        <f>IF(AK799="",NA(),COUNTIF(AK$176:$AK799,AK799))</f>
        <v>#N/A</v>
      </c>
      <c r="AM799" s="16" t="e">
        <f t="shared" si="112"/>
        <v>#N/A</v>
      </c>
      <c r="AN799" s="16" t="e">
        <f t="shared" si="113"/>
        <v>#N/A</v>
      </c>
      <c r="AO799" s="16" t="str">
        <f t="shared" si="114"/>
        <v/>
      </c>
      <c r="AP799" s="16" t="str">
        <f t="shared" si="115"/>
        <v/>
      </c>
      <c r="AQ799" s="16" t="e">
        <f>IF(AP799="",NA(),COUNTIF(AP$176:$AP799,AP799))</f>
        <v>#N/A</v>
      </c>
      <c r="AR799" s="16" t="e">
        <f t="shared" si="116"/>
        <v>#N/A</v>
      </c>
      <c r="BI799" s="621">
        <v>791</v>
      </c>
      <c r="BJ799" s="711"/>
      <c r="BK799" s="712"/>
      <c r="BL799" s="713">
        <v>791</v>
      </c>
      <c r="BM799" s="714"/>
      <c r="BN799" s="239"/>
      <c r="BO799" s="24"/>
      <c r="BQ799" s="621">
        <v>791</v>
      </c>
      <c r="BR799" s="711"/>
      <c r="BS799" s="712"/>
      <c r="BT799" s="713">
        <v>791</v>
      </c>
      <c r="BU799" s="714"/>
      <c r="BV799" s="239"/>
      <c r="BW799" s="24"/>
      <c r="BY799" s="621">
        <v>791</v>
      </c>
      <c r="BZ799" s="711"/>
      <c r="CA799" s="712"/>
      <c r="CB799" s="713">
        <v>791</v>
      </c>
      <c r="CC799" s="714"/>
      <c r="CD799" s="239"/>
      <c r="CE799" s="24"/>
    </row>
    <row r="800" spans="5:83" ht="12" customHeight="1">
      <c r="E800" s="621">
        <v>792</v>
      </c>
      <c r="F800" s="711"/>
      <c r="G800" s="712"/>
      <c r="H800" s="713">
        <v>792</v>
      </c>
      <c r="I800" s="714"/>
      <c r="J800" s="239"/>
      <c r="K800" s="24"/>
      <c r="AI800" s="16" t="e">
        <f t="shared" si="109"/>
        <v>#N/A</v>
      </c>
      <c r="AJ800" s="16" t="str">
        <f t="shared" si="110"/>
        <v/>
      </c>
      <c r="AK800" s="16" t="str">
        <f t="shared" si="111"/>
        <v/>
      </c>
      <c r="AL800" s="16" t="e">
        <f>IF(AK800="",NA(),COUNTIF(AK$176:$AK800,AK800))</f>
        <v>#N/A</v>
      </c>
      <c r="AM800" s="16" t="e">
        <f t="shared" si="112"/>
        <v>#N/A</v>
      </c>
      <c r="AN800" s="16" t="e">
        <f t="shared" si="113"/>
        <v>#N/A</v>
      </c>
      <c r="AO800" s="16" t="str">
        <f t="shared" si="114"/>
        <v/>
      </c>
      <c r="AP800" s="16" t="str">
        <f t="shared" si="115"/>
        <v/>
      </c>
      <c r="AQ800" s="16" t="e">
        <f>IF(AP800="",NA(),COUNTIF(AP$176:$AP800,AP800))</f>
        <v>#N/A</v>
      </c>
      <c r="AR800" s="16" t="e">
        <f t="shared" si="116"/>
        <v>#N/A</v>
      </c>
      <c r="BI800" s="621">
        <v>792</v>
      </c>
      <c r="BJ800" s="711"/>
      <c r="BK800" s="712"/>
      <c r="BL800" s="713">
        <v>792</v>
      </c>
      <c r="BM800" s="714"/>
      <c r="BN800" s="239"/>
      <c r="BO800" s="24"/>
      <c r="BQ800" s="621">
        <v>792</v>
      </c>
      <c r="BR800" s="711"/>
      <c r="BS800" s="712"/>
      <c r="BT800" s="713">
        <v>792</v>
      </c>
      <c r="BU800" s="714"/>
      <c r="BV800" s="239"/>
      <c r="BW800" s="24"/>
      <c r="BY800" s="621">
        <v>792</v>
      </c>
      <c r="BZ800" s="711"/>
      <c r="CA800" s="712"/>
      <c r="CB800" s="713">
        <v>792</v>
      </c>
      <c r="CC800" s="714"/>
      <c r="CD800" s="239"/>
      <c r="CE800" s="24"/>
    </row>
    <row r="801" spans="5:83" ht="12" customHeight="1">
      <c r="E801" s="621">
        <v>793</v>
      </c>
      <c r="F801" s="711"/>
      <c r="G801" s="712"/>
      <c r="H801" s="713">
        <v>793</v>
      </c>
      <c r="I801" s="714"/>
      <c r="J801" s="239"/>
      <c r="K801" s="24"/>
      <c r="AI801" s="16" t="e">
        <f t="shared" si="109"/>
        <v>#N/A</v>
      </c>
      <c r="AJ801" s="16" t="str">
        <f t="shared" si="110"/>
        <v/>
      </c>
      <c r="AK801" s="16" t="str">
        <f t="shared" si="111"/>
        <v/>
      </c>
      <c r="AL801" s="16" t="e">
        <f>IF(AK801="",NA(),COUNTIF(AK$176:$AK801,AK801))</f>
        <v>#N/A</v>
      </c>
      <c r="AM801" s="16" t="e">
        <f t="shared" si="112"/>
        <v>#N/A</v>
      </c>
      <c r="AN801" s="16" t="e">
        <f t="shared" si="113"/>
        <v>#N/A</v>
      </c>
      <c r="AO801" s="16" t="str">
        <f t="shared" si="114"/>
        <v/>
      </c>
      <c r="AP801" s="16" t="str">
        <f t="shared" si="115"/>
        <v/>
      </c>
      <c r="AQ801" s="16" t="e">
        <f>IF(AP801="",NA(),COUNTIF(AP$176:$AP801,AP801))</f>
        <v>#N/A</v>
      </c>
      <c r="AR801" s="16" t="e">
        <f t="shared" si="116"/>
        <v>#N/A</v>
      </c>
      <c r="BI801" s="621">
        <v>793</v>
      </c>
      <c r="BJ801" s="711"/>
      <c r="BK801" s="712"/>
      <c r="BL801" s="713">
        <v>793</v>
      </c>
      <c r="BM801" s="714"/>
      <c r="BN801" s="239"/>
      <c r="BO801" s="24"/>
      <c r="BQ801" s="621">
        <v>793</v>
      </c>
      <c r="BR801" s="711"/>
      <c r="BS801" s="712"/>
      <c r="BT801" s="713">
        <v>793</v>
      </c>
      <c r="BU801" s="714"/>
      <c r="BV801" s="239"/>
      <c r="BW801" s="24"/>
      <c r="BY801" s="621">
        <v>793</v>
      </c>
      <c r="BZ801" s="711"/>
      <c r="CA801" s="712"/>
      <c r="CB801" s="713">
        <v>793</v>
      </c>
      <c r="CC801" s="714"/>
      <c r="CD801" s="239"/>
      <c r="CE801" s="24"/>
    </row>
    <row r="802" spans="5:83" ht="12" customHeight="1">
      <c r="E802" s="621">
        <v>794</v>
      </c>
      <c r="F802" s="711"/>
      <c r="G802" s="712"/>
      <c r="H802" s="713">
        <v>794</v>
      </c>
      <c r="I802" s="714"/>
      <c r="J802" s="239"/>
      <c r="K802" s="24"/>
      <c r="AI802" s="16" t="e">
        <f t="shared" si="109"/>
        <v>#N/A</v>
      </c>
      <c r="AJ802" s="16" t="str">
        <f t="shared" si="110"/>
        <v/>
      </c>
      <c r="AK802" s="16" t="str">
        <f t="shared" si="111"/>
        <v/>
      </c>
      <c r="AL802" s="16" t="e">
        <f>IF(AK802="",NA(),COUNTIF(AK$176:$AK802,AK802))</f>
        <v>#N/A</v>
      </c>
      <c r="AM802" s="16" t="e">
        <f t="shared" si="112"/>
        <v>#N/A</v>
      </c>
      <c r="AN802" s="16" t="e">
        <f t="shared" si="113"/>
        <v>#N/A</v>
      </c>
      <c r="AO802" s="16" t="str">
        <f t="shared" si="114"/>
        <v/>
      </c>
      <c r="AP802" s="16" t="str">
        <f t="shared" si="115"/>
        <v/>
      </c>
      <c r="AQ802" s="16" t="e">
        <f>IF(AP802="",NA(),COUNTIF(AP$176:$AP802,AP802))</f>
        <v>#N/A</v>
      </c>
      <c r="AR802" s="16" t="e">
        <f t="shared" si="116"/>
        <v>#N/A</v>
      </c>
      <c r="BI802" s="621">
        <v>794</v>
      </c>
      <c r="BJ802" s="711"/>
      <c r="BK802" s="712"/>
      <c r="BL802" s="713">
        <v>794</v>
      </c>
      <c r="BM802" s="714"/>
      <c r="BN802" s="239"/>
      <c r="BO802" s="24"/>
      <c r="BQ802" s="621">
        <v>794</v>
      </c>
      <c r="BR802" s="711"/>
      <c r="BS802" s="712"/>
      <c r="BT802" s="713">
        <v>794</v>
      </c>
      <c r="BU802" s="714"/>
      <c r="BV802" s="239"/>
      <c r="BW802" s="24"/>
      <c r="BY802" s="621">
        <v>794</v>
      </c>
      <c r="BZ802" s="711"/>
      <c r="CA802" s="712"/>
      <c r="CB802" s="713">
        <v>794</v>
      </c>
      <c r="CC802" s="714"/>
      <c r="CD802" s="239"/>
      <c r="CE802" s="24"/>
    </row>
    <row r="803" spans="5:83" ht="12" customHeight="1">
      <c r="E803" s="621">
        <v>795</v>
      </c>
      <c r="F803" s="711"/>
      <c r="G803" s="712"/>
      <c r="H803" s="713">
        <v>795</v>
      </c>
      <c r="I803" s="714"/>
      <c r="J803" s="239"/>
      <c r="K803" s="24"/>
      <c r="AI803" s="16" t="e">
        <f t="shared" si="109"/>
        <v>#N/A</v>
      </c>
      <c r="AJ803" s="16" t="str">
        <f t="shared" si="110"/>
        <v/>
      </c>
      <c r="AK803" s="16" t="str">
        <f t="shared" si="111"/>
        <v/>
      </c>
      <c r="AL803" s="16" t="e">
        <f>IF(AK803="",NA(),COUNTIF(AK$176:$AK803,AK803))</f>
        <v>#N/A</v>
      </c>
      <c r="AM803" s="16" t="e">
        <f t="shared" si="112"/>
        <v>#N/A</v>
      </c>
      <c r="AN803" s="16" t="e">
        <f t="shared" si="113"/>
        <v>#N/A</v>
      </c>
      <c r="AO803" s="16" t="str">
        <f t="shared" si="114"/>
        <v/>
      </c>
      <c r="AP803" s="16" t="str">
        <f t="shared" si="115"/>
        <v/>
      </c>
      <c r="AQ803" s="16" t="e">
        <f>IF(AP803="",NA(),COUNTIF(AP$176:$AP803,AP803))</f>
        <v>#N/A</v>
      </c>
      <c r="AR803" s="16" t="e">
        <f t="shared" si="116"/>
        <v>#N/A</v>
      </c>
      <c r="BI803" s="621">
        <v>795</v>
      </c>
      <c r="BJ803" s="711"/>
      <c r="BK803" s="712"/>
      <c r="BL803" s="713">
        <v>795</v>
      </c>
      <c r="BM803" s="714"/>
      <c r="BN803" s="239"/>
      <c r="BO803" s="24"/>
      <c r="BQ803" s="621">
        <v>795</v>
      </c>
      <c r="BR803" s="711"/>
      <c r="BS803" s="712"/>
      <c r="BT803" s="713">
        <v>795</v>
      </c>
      <c r="BU803" s="714"/>
      <c r="BV803" s="239"/>
      <c r="BW803" s="24"/>
      <c r="BY803" s="621">
        <v>795</v>
      </c>
      <c r="BZ803" s="711"/>
      <c r="CA803" s="712"/>
      <c r="CB803" s="713">
        <v>795</v>
      </c>
      <c r="CC803" s="714"/>
      <c r="CD803" s="239"/>
      <c r="CE803" s="24"/>
    </row>
    <row r="804" spans="5:83" ht="12" customHeight="1">
      <c r="E804" s="621">
        <v>796</v>
      </c>
      <c r="F804" s="711"/>
      <c r="G804" s="712"/>
      <c r="H804" s="713">
        <v>796</v>
      </c>
      <c r="I804" s="714"/>
      <c r="J804" s="239"/>
      <c r="K804" s="24"/>
      <c r="AI804" s="16" t="e">
        <f t="shared" si="109"/>
        <v>#N/A</v>
      </c>
      <c r="AJ804" s="16" t="str">
        <f t="shared" si="110"/>
        <v/>
      </c>
      <c r="AK804" s="16" t="str">
        <f t="shared" si="111"/>
        <v/>
      </c>
      <c r="AL804" s="16" t="e">
        <f>IF(AK804="",NA(),COUNTIF(AK$176:$AK804,AK804))</f>
        <v>#N/A</v>
      </c>
      <c r="AM804" s="16" t="e">
        <f t="shared" si="112"/>
        <v>#N/A</v>
      </c>
      <c r="AN804" s="16" t="e">
        <f t="shared" si="113"/>
        <v>#N/A</v>
      </c>
      <c r="AO804" s="16" t="str">
        <f t="shared" si="114"/>
        <v/>
      </c>
      <c r="AP804" s="16" t="str">
        <f t="shared" si="115"/>
        <v/>
      </c>
      <c r="AQ804" s="16" t="e">
        <f>IF(AP804="",NA(),COUNTIF(AP$176:$AP804,AP804))</f>
        <v>#N/A</v>
      </c>
      <c r="AR804" s="16" t="e">
        <f t="shared" si="116"/>
        <v>#N/A</v>
      </c>
      <c r="BI804" s="621">
        <v>796</v>
      </c>
      <c r="BJ804" s="711"/>
      <c r="BK804" s="712"/>
      <c r="BL804" s="713">
        <v>796</v>
      </c>
      <c r="BM804" s="714"/>
      <c r="BN804" s="239"/>
      <c r="BO804" s="24"/>
      <c r="BQ804" s="621">
        <v>796</v>
      </c>
      <c r="BR804" s="711"/>
      <c r="BS804" s="712"/>
      <c r="BT804" s="713">
        <v>796</v>
      </c>
      <c r="BU804" s="714"/>
      <c r="BV804" s="239"/>
      <c r="BW804" s="24"/>
      <c r="BY804" s="621">
        <v>796</v>
      </c>
      <c r="BZ804" s="711"/>
      <c r="CA804" s="712"/>
      <c r="CB804" s="713">
        <v>796</v>
      </c>
      <c r="CC804" s="714"/>
      <c r="CD804" s="239"/>
      <c r="CE804" s="24"/>
    </row>
    <row r="805" spans="5:83" ht="12" customHeight="1">
      <c r="E805" s="621">
        <v>797</v>
      </c>
      <c r="F805" s="711"/>
      <c r="G805" s="712"/>
      <c r="H805" s="713">
        <v>797</v>
      </c>
      <c r="I805" s="714"/>
      <c r="J805" s="239"/>
      <c r="K805" s="24"/>
      <c r="AI805" s="16" t="e">
        <f t="shared" si="109"/>
        <v>#N/A</v>
      </c>
      <c r="AJ805" s="16" t="str">
        <f t="shared" si="110"/>
        <v/>
      </c>
      <c r="AK805" s="16" t="str">
        <f t="shared" si="111"/>
        <v/>
      </c>
      <c r="AL805" s="16" t="e">
        <f>IF(AK805="",NA(),COUNTIF(AK$176:$AK805,AK805))</f>
        <v>#N/A</v>
      </c>
      <c r="AM805" s="16" t="e">
        <f t="shared" si="112"/>
        <v>#N/A</v>
      </c>
      <c r="AN805" s="16" t="e">
        <f t="shared" si="113"/>
        <v>#N/A</v>
      </c>
      <c r="AO805" s="16" t="str">
        <f t="shared" si="114"/>
        <v/>
      </c>
      <c r="AP805" s="16" t="str">
        <f t="shared" si="115"/>
        <v/>
      </c>
      <c r="AQ805" s="16" t="e">
        <f>IF(AP805="",NA(),COUNTIF(AP$176:$AP805,AP805))</f>
        <v>#N/A</v>
      </c>
      <c r="AR805" s="16" t="e">
        <f t="shared" si="116"/>
        <v>#N/A</v>
      </c>
      <c r="BI805" s="621">
        <v>797</v>
      </c>
      <c r="BJ805" s="711"/>
      <c r="BK805" s="712"/>
      <c r="BL805" s="713">
        <v>797</v>
      </c>
      <c r="BM805" s="714"/>
      <c r="BN805" s="239"/>
      <c r="BO805" s="24"/>
      <c r="BQ805" s="621">
        <v>797</v>
      </c>
      <c r="BR805" s="711"/>
      <c r="BS805" s="712"/>
      <c r="BT805" s="713">
        <v>797</v>
      </c>
      <c r="BU805" s="714"/>
      <c r="BV805" s="239"/>
      <c r="BW805" s="24"/>
      <c r="BY805" s="621">
        <v>797</v>
      </c>
      <c r="BZ805" s="711"/>
      <c r="CA805" s="712"/>
      <c r="CB805" s="713">
        <v>797</v>
      </c>
      <c r="CC805" s="714"/>
      <c r="CD805" s="239"/>
      <c r="CE805" s="24"/>
    </row>
    <row r="806" spans="5:83" ht="12" customHeight="1">
      <c r="E806" s="621">
        <v>798</v>
      </c>
      <c r="F806" s="711"/>
      <c r="G806" s="712"/>
      <c r="H806" s="713">
        <v>798</v>
      </c>
      <c r="I806" s="714"/>
      <c r="J806" s="239"/>
      <c r="K806" s="24"/>
      <c r="AI806" s="16" t="e">
        <f t="shared" si="109"/>
        <v>#N/A</v>
      </c>
      <c r="AJ806" s="16" t="str">
        <f t="shared" si="110"/>
        <v/>
      </c>
      <c r="AK806" s="16" t="str">
        <f t="shared" si="111"/>
        <v/>
      </c>
      <c r="AL806" s="16" t="e">
        <f>IF(AK806="",NA(),COUNTIF(AK$176:$AK806,AK806))</f>
        <v>#N/A</v>
      </c>
      <c r="AM806" s="16" t="e">
        <f t="shared" si="112"/>
        <v>#N/A</v>
      </c>
      <c r="AN806" s="16" t="e">
        <f t="shared" si="113"/>
        <v>#N/A</v>
      </c>
      <c r="AO806" s="16" t="str">
        <f t="shared" si="114"/>
        <v/>
      </c>
      <c r="AP806" s="16" t="str">
        <f t="shared" si="115"/>
        <v/>
      </c>
      <c r="AQ806" s="16" t="e">
        <f>IF(AP806="",NA(),COUNTIF(AP$176:$AP806,AP806))</f>
        <v>#N/A</v>
      </c>
      <c r="AR806" s="16" t="e">
        <f t="shared" si="116"/>
        <v>#N/A</v>
      </c>
      <c r="BI806" s="621">
        <v>798</v>
      </c>
      <c r="BJ806" s="711"/>
      <c r="BK806" s="712"/>
      <c r="BL806" s="713">
        <v>798</v>
      </c>
      <c r="BM806" s="714"/>
      <c r="BN806" s="239"/>
      <c r="BO806" s="24"/>
      <c r="BQ806" s="621">
        <v>798</v>
      </c>
      <c r="BR806" s="711"/>
      <c r="BS806" s="712"/>
      <c r="BT806" s="713">
        <v>798</v>
      </c>
      <c r="BU806" s="714"/>
      <c r="BV806" s="239"/>
      <c r="BW806" s="24"/>
      <c r="BY806" s="621">
        <v>798</v>
      </c>
      <c r="BZ806" s="711"/>
      <c r="CA806" s="712"/>
      <c r="CB806" s="713">
        <v>798</v>
      </c>
      <c r="CC806" s="714"/>
      <c r="CD806" s="239"/>
      <c r="CE806" s="24"/>
    </row>
    <row r="807" spans="5:83" ht="12" customHeight="1">
      <c r="E807" s="621">
        <v>799</v>
      </c>
      <c r="F807" s="711"/>
      <c r="G807" s="712"/>
      <c r="H807" s="713">
        <v>799</v>
      </c>
      <c r="I807" s="714"/>
      <c r="J807" s="239"/>
      <c r="K807" s="24"/>
      <c r="AI807" s="16" t="e">
        <f t="shared" si="109"/>
        <v>#N/A</v>
      </c>
      <c r="AJ807" s="16" t="str">
        <f t="shared" si="110"/>
        <v/>
      </c>
      <c r="AK807" s="16" t="str">
        <f t="shared" si="111"/>
        <v/>
      </c>
      <c r="AL807" s="16" t="e">
        <f>IF(AK807="",NA(),COUNTIF(AK$176:$AK807,AK807))</f>
        <v>#N/A</v>
      </c>
      <c r="AM807" s="16" t="e">
        <f t="shared" si="112"/>
        <v>#N/A</v>
      </c>
      <c r="AN807" s="16" t="e">
        <f t="shared" si="113"/>
        <v>#N/A</v>
      </c>
      <c r="AO807" s="16" t="str">
        <f t="shared" si="114"/>
        <v/>
      </c>
      <c r="AP807" s="16" t="str">
        <f t="shared" si="115"/>
        <v/>
      </c>
      <c r="AQ807" s="16" t="e">
        <f>IF(AP807="",NA(),COUNTIF(AP$176:$AP807,AP807))</f>
        <v>#N/A</v>
      </c>
      <c r="AR807" s="16" t="e">
        <f t="shared" si="116"/>
        <v>#N/A</v>
      </c>
      <c r="BI807" s="621">
        <v>799</v>
      </c>
      <c r="BJ807" s="711"/>
      <c r="BK807" s="712"/>
      <c r="BL807" s="713">
        <v>799</v>
      </c>
      <c r="BM807" s="714"/>
      <c r="BN807" s="239"/>
      <c r="BO807" s="24"/>
      <c r="BQ807" s="621">
        <v>799</v>
      </c>
      <c r="BR807" s="711"/>
      <c r="BS807" s="712"/>
      <c r="BT807" s="713">
        <v>799</v>
      </c>
      <c r="BU807" s="714"/>
      <c r="BV807" s="239"/>
      <c r="BW807" s="24"/>
      <c r="BY807" s="621">
        <v>799</v>
      </c>
      <c r="BZ807" s="711"/>
      <c r="CA807" s="712"/>
      <c r="CB807" s="713">
        <v>799</v>
      </c>
      <c r="CC807" s="714"/>
      <c r="CD807" s="239"/>
      <c r="CE807" s="24"/>
    </row>
    <row r="808" spans="5:83" ht="12" customHeight="1">
      <c r="E808" s="621">
        <v>800</v>
      </c>
      <c r="F808" s="711"/>
      <c r="G808" s="712"/>
      <c r="H808" s="713">
        <v>800</v>
      </c>
      <c r="I808" s="714"/>
      <c r="J808" s="239"/>
      <c r="K808" s="24"/>
      <c r="AI808" s="16" t="e">
        <f t="shared" si="109"/>
        <v>#N/A</v>
      </c>
      <c r="AJ808" s="16" t="str">
        <f t="shared" si="110"/>
        <v/>
      </c>
      <c r="AK808" s="16" t="str">
        <f t="shared" si="111"/>
        <v/>
      </c>
      <c r="AL808" s="16" t="e">
        <f>IF(AK808="",NA(),COUNTIF(AK$176:$AK808,AK808))</f>
        <v>#N/A</v>
      </c>
      <c r="AM808" s="16" t="e">
        <f t="shared" si="112"/>
        <v>#N/A</v>
      </c>
      <c r="AN808" s="16" t="e">
        <f t="shared" si="113"/>
        <v>#N/A</v>
      </c>
      <c r="AO808" s="16" t="str">
        <f t="shared" si="114"/>
        <v/>
      </c>
      <c r="AP808" s="16" t="str">
        <f t="shared" si="115"/>
        <v/>
      </c>
      <c r="AQ808" s="16" t="e">
        <f>IF(AP808="",NA(),COUNTIF(AP$176:$AP808,AP808))</f>
        <v>#N/A</v>
      </c>
      <c r="AR808" s="16" t="e">
        <f t="shared" si="116"/>
        <v>#N/A</v>
      </c>
      <c r="BI808" s="621">
        <v>800</v>
      </c>
      <c r="BJ808" s="711"/>
      <c r="BK808" s="712"/>
      <c r="BL808" s="713">
        <v>800</v>
      </c>
      <c r="BM808" s="714"/>
      <c r="BN808" s="239"/>
      <c r="BO808" s="24"/>
      <c r="BQ808" s="621">
        <v>800</v>
      </c>
      <c r="BR808" s="711"/>
      <c r="BS808" s="712"/>
      <c r="BT808" s="713">
        <v>800</v>
      </c>
      <c r="BU808" s="714"/>
      <c r="BV808" s="239"/>
      <c r="BW808" s="24"/>
      <c r="BY808" s="621">
        <v>800</v>
      </c>
      <c r="BZ808" s="711"/>
      <c r="CA808" s="712"/>
      <c r="CB808" s="713">
        <v>800</v>
      </c>
      <c r="CC808" s="714"/>
      <c r="CD808" s="239"/>
      <c r="CE808" s="24"/>
    </row>
    <row r="809" spans="5:83" ht="12" customHeight="1">
      <c r="E809" s="621">
        <v>801</v>
      </c>
      <c r="F809" s="711"/>
      <c r="G809" s="712"/>
      <c r="H809" s="713">
        <v>801</v>
      </c>
      <c r="I809" s="714"/>
      <c r="J809" s="239"/>
      <c r="K809" s="24"/>
      <c r="AI809" s="16" t="e">
        <f t="shared" si="109"/>
        <v>#N/A</v>
      </c>
      <c r="AJ809" s="16" t="str">
        <f t="shared" si="110"/>
        <v/>
      </c>
      <c r="AK809" s="16" t="str">
        <f t="shared" si="111"/>
        <v/>
      </c>
      <c r="AL809" s="16" t="e">
        <f>IF(AK809="",NA(),COUNTIF(AK$176:$AK809,AK809))</f>
        <v>#N/A</v>
      </c>
      <c r="AM809" s="16" t="e">
        <f t="shared" si="112"/>
        <v>#N/A</v>
      </c>
      <c r="AN809" s="16" t="e">
        <f t="shared" si="113"/>
        <v>#N/A</v>
      </c>
      <c r="AO809" s="16" t="str">
        <f t="shared" si="114"/>
        <v/>
      </c>
      <c r="AP809" s="16" t="str">
        <f t="shared" si="115"/>
        <v/>
      </c>
      <c r="AQ809" s="16" t="e">
        <f>IF(AP809="",NA(),COUNTIF(AP$176:$AP809,AP809))</f>
        <v>#N/A</v>
      </c>
      <c r="AR809" s="16" t="e">
        <f t="shared" si="116"/>
        <v>#N/A</v>
      </c>
      <c r="BI809" s="621">
        <v>801</v>
      </c>
      <c r="BJ809" s="711"/>
      <c r="BK809" s="712"/>
      <c r="BL809" s="713">
        <v>801</v>
      </c>
      <c r="BM809" s="714"/>
      <c r="BN809" s="239"/>
      <c r="BO809" s="24"/>
      <c r="BQ809" s="621">
        <v>801</v>
      </c>
      <c r="BR809" s="711"/>
      <c r="BS809" s="712"/>
      <c r="BT809" s="713">
        <v>801</v>
      </c>
      <c r="BU809" s="714"/>
      <c r="BV809" s="239"/>
      <c r="BW809" s="24"/>
      <c r="BY809" s="621">
        <v>801</v>
      </c>
      <c r="BZ809" s="711"/>
      <c r="CA809" s="712"/>
      <c r="CB809" s="713">
        <v>801</v>
      </c>
      <c r="CC809" s="714"/>
      <c r="CD809" s="239"/>
      <c r="CE809" s="24"/>
    </row>
    <row r="810" spans="5:83" ht="12" customHeight="1">
      <c r="E810" s="621">
        <v>802</v>
      </c>
      <c r="F810" s="711"/>
      <c r="G810" s="712"/>
      <c r="H810" s="713">
        <v>802</v>
      </c>
      <c r="I810" s="714"/>
      <c r="J810" s="239"/>
      <c r="K810" s="24"/>
      <c r="AI810" s="16" t="e">
        <f t="shared" si="109"/>
        <v>#N/A</v>
      </c>
      <c r="AJ810" s="16" t="str">
        <f t="shared" si="110"/>
        <v/>
      </c>
      <c r="AK810" s="16" t="str">
        <f t="shared" si="111"/>
        <v/>
      </c>
      <c r="AL810" s="16" t="e">
        <f>IF(AK810="",NA(),COUNTIF(AK$176:$AK810,AK810))</f>
        <v>#N/A</v>
      </c>
      <c r="AM810" s="16" t="e">
        <f t="shared" si="112"/>
        <v>#N/A</v>
      </c>
      <c r="AN810" s="16" t="e">
        <f t="shared" si="113"/>
        <v>#N/A</v>
      </c>
      <c r="AO810" s="16" t="str">
        <f t="shared" si="114"/>
        <v/>
      </c>
      <c r="AP810" s="16" t="str">
        <f t="shared" si="115"/>
        <v/>
      </c>
      <c r="AQ810" s="16" t="e">
        <f>IF(AP810="",NA(),COUNTIF(AP$176:$AP810,AP810))</f>
        <v>#N/A</v>
      </c>
      <c r="AR810" s="16" t="e">
        <f t="shared" si="116"/>
        <v>#N/A</v>
      </c>
      <c r="BI810" s="621">
        <v>802</v>
      </c>
      <c r="BJ810" s="711"/>
      <c r="BK810" s="712"/>
      <c r="BL810" s="713">
        <v>802</v>
      </c>
      <c r="BM810" s="714"/>
      <c r="BN810" s="239"/>
      <c r="BO810" s="24"/>
      <c r="BQ810" s="621">
        <v>802</v>
      </c>
      <c r="BR810" s="711"/>
      <c r="BS810" s="712"/>
      <c r="BT810" s="713">
        <v>802</v>
      </c>
      <c r="BU810" s="714"/>
      <c r="BV810" s="239"/>
      <c r="BW810" s="24"/>
      <c r="BY810" s="621">
        <v>802</v>
      </c>
      <c r="BZ810" s="711"/>
      <c r="CA810" s="712"/>
      <c r="CB810" s="713">
        <v>802</v>
      </c>
      <c r="CC810" s="714"/>
      <c r="CD810" s="239"/>
      <c r="CE810" s="24"/>
    </row>
    <row r="811" spans="5:83" ht="12" customHeight="1">
      <c r="E811" s="621">
        <v>803</v>
      </c>
      <c r="F811" s="711"/>
      <c r="G811" s="712"/>
      <c r="H811" s="713">
        <v>803</v>
      </c>
      <c r="I811" s="714"/>
      <c r="J811" s="239"/>
      <c r="K811" s="24"/>
      <c r="AI811" s="16" t="e">
        <f t="shared" si="109"/>
        <v>#N/A</v>
      </c>
      <c r="AJ811" s="16" t="str">
        <f t="shared" si="110"/>
        <v/>
      </c>
      <c r="AK811" s="16" t="str">
        <f t="shared" si="111"/>
        <v/>
      </c>
      <c r="AL811" s="16" t="e">
        <f>IF(AK811="",NA(),COUNTIF(AK$176:$AK811,AK811))</f>
        <v>#N/A</v>
      </c>
      <c r="AM811" s="16" t="e">
        <f t="shared" si="112"/>
        <v>#N/A</v>
      </c>
      <c r="AN811" s="16" t="e">
        <f t="shared" si="113"/>
        <v>#N/A</v>
      </c>
      <c r="AO811" s="16" t="str">
        <f t="shared" si="114"/>
        <v/>
      </c>
      <c r="AP811" s="16" t="str">
        <f t="shared" si="115"/>
        <v/>
      </c>
      <c r="AQ811" s="16" t="e">
        <f>IF(AP811="",NA(),COUNTIF(AP$176:$AP811,AP811))</f>
        <v>#N/A</v>
      </c>
      <c r="AR811" s="16" t="e">
        <f t="shared" si="116"/>
        <v>#N/A</v>
      </c>
      <c r="BI811" s="621">
        <v>803</v>
      </c>
      <c r="BJ811" s="711"/>
      <c r="BK811" s="712"/>
      <c r="BL811" s="713">
        <v>803</v>
      </c>
      <c r="BM811" s="714"/>
      <c r="BN811" s="239"/>
      <c r="BO811" s="24"/>
      <c r="BQ811" s="621">
        <v>803</v>
      </c>
      <c r="BR811" s="711"/>
      <c r="BS811" s="712"/>
      <c r="BT811" s="713">
        <v>803</v>
      </c>
      <c r="BU811" s="714"/>
      <c r="BV811" s="239"/>
      <c r="BW811" s="24"/>
      <c r="BY811" s="621">
        <v>803</v>
      </c>
      <c r="BZ811" s="711"/>
      <c r="CA811" s="712"/>
      <c r="CB811" s="713">
        <v>803</v>
      </c>
      <c r="CC811" s="714"/>
      <c r="CD811" s="239"/>
      <c r="CE811" s="24"/>
    </row>
    <row r="812" spans="5:83" ht="12" customHeight="1">
      <c r="E812" s="621">
        <v>804</v>
      </c>
      <c r="F812" s="711"/>
      <c r="G812" s="712"/>
      <c r="H812" s="713">
        <v>804</v>
      </c>
      <c r="I812" s="714"/>
      <c r="J812" s="239"/>
      <c r="K812" s="24"/>
      <c r="AI812" s="16" t="e">
        <f t="shared" si="109"/>
        <v>#N/A</v>
      </c>
      <c r="AJ812" s="16" t="str">
        <f t="shared" si="110"/>
        <v/>
      </c>
      <c r="AK812" s="16" t="str">
        <f t="shared" si="111"/>
        <v/>
      </c>
      <c r="AL812" s="16" t="e">
        <f>IF(AK812="",NA(),COUNTIF(AK$176:$AK812,AK812))</f>
        <v>#N/A</v>
      </c>
      <c r="AM812" s="16" t="e">
        <f t="shared" si="112"/>
        <v>#N/A</v>
      </c>
      <c r="AN812" s="16" t="e">
        <f t="shared" si="113"/>
        <v>#N/A</v>
      </c>
      <c r="AO812" s="16" t="str">
        <f t="shared" si="114"/>
        <v/>
      </c>
      <c r="AP812" s="16" t="str">
        <f t="shared" si="115"/>
        <v/>
      </c>
      <c r="AQ812" s="16" t="e">
        <f>IF(AP812="",NA(),COUNTIF(AP$176:$AP812,AP812))</f>
        <v>#N/A</v>
      </c>
      <c r="AR812" s="16" t="e">
        <f t="shared" si="116"/>
        <v>#N/A</v>
      </c>
      <c r="BI812" s="621">
        <v>804</v>
      </c>
      <c r="BJ812" s="711"/>
      <c r="BK812" s="712"/>
      <c r="BL812" s="713">
        <v>804</v>
      </c>
      <c r="BM812" s="714"/>
      <c r="BN812" s="239"/>
      <c r="BO812" s="24"/>
      <c r="BQ812" s="621">
        <v>804</v>
      </c>
      <c r="BR812" s="711"/>
      <c r="BS812" s="712"/>
      <c r="BT812" s="713">
        <v>804</v>
      </c>
      <c r="BU812" s="714"/>
      <c r="BV812" s="239"/>
      <c r="BW812" s="24"/>
      <c r="BY812" s="621">
        <v>804</v>
      </c>
      <c r="BZ812" s="711"/>
      <c r="CA812" s="712"/>
      <c r="CB812" s="713">
        <v>804</v>
      </c>
      <c r="CC812" s="714"/>
      <c r="CD812" s="239"/>
      <c r="CE812" s="24"/>
    </row>
    <row r="813" spans="5:83" ht="12" customHeight="1">
      <c r="E813" s="621">
        <v>805</v>
      </c>
      <c r="F813" s="711"/>
      <c r="G813" s="712"/>
      <c r="H813" s="713">
        <v>805</v>
      </c>
      <c r="I813" s="714"/>
      <c r="J813" s="239"/>
      <c r="K813" s="24"/>
      <c r="AI813" s="16" t="e">
        <f t="shared" si="109"/>
        <v>#N/A</v>
      </c>
      <c r="AJ813" s="16" t="str">
        <f t="shared" si="110"/>
        <v/>
      </c>
      <c r="AK813" s="16" t="str">
        <f t="shared" si="111"/>
        <v/>
      </c>
      <c r="AL813" s="16" t="e">
        <f>IF(AK813="",NA(),COUNTIF(AK$176:$AK813,AK813))</f>
        <v>#N/A</v>
      </c>
      <c r="AM813" s="16" t="e">
        <f t="shared" si="112"/>
        <v>#N/A</v>
      </c>
      <c r="AN813" s="16" t="e">
        <f t="shared" si="113"/>
        <v>#N/A</v>
      </c>
      <c r="AO813" s="16" t="str">
        <f t="shared" si="114"/>
        <v/>
      </c>
      <c r="AP813" s="16" t="str">
        <f t="shared" si="115"/>
        <v/>
      </c>
      <c r="AQ813" s="16" t="e">
        <f>IF(AP813="",NA(),COUNTIF(AP$176:$AP813,AP813))</f>
        <v>#N/A</v>
      </c>
      <c r="AR813" s="16" t="e">
        <f t="shared" si="116"/>
        <v>#N/A</v>
      </c>
      <c r="BI813" s="621">
        <v>805</v>
      </c>
      <c r="BJ813" s="711"/>
      <c r="BK813" s="712"/>
      <c r="BL813" s="713">
        <v>805</v>
      </c>
      <c r="BM813" s="714"/>
      <c r="BN813" s="239"/>
      <c r="BO813" s="24"/>
      <c r="BQ813" s="621">
        <v>805</v>
      </c>
      <c r="BR813" s="711"/>
      <c r="BS813" s="712"/>
      <c r="BT813" s="713">
        <v>805</v>
      </c>
      <c r="BU813" s="714"/>
      <c r="BV813" s="239"/>
      <c r="BW813" s="24"/>
      <c r="BY813" s="621">
        <v>805</v>
      </c>
      <c r="BZ813" s="711"/>
      <c r="CA813" s="712"/>
      <c r="CB813" s="713">
        <v>805</v>
      </c>
      <c r="CC813" s="714"/>
      <c r="CD813" s="239"/>
      <c r="CE813" s="24"/>
    </row>
    <row r="814" spans="5:83" ht="12" customHeight="1">
      <c r="E814" s="621">
        <v>806</v>
      </c>
      <c r="F814" s="711"/>
      <c r="G814" s="712"/>
      <c r="H814" s="713">
        <v>806</v>
      </c>
      <c r="I814" s="714"/>
      <c r="J814" s="239"/>
      <c r="K814" s="24"/>
      <c r="AI814" s="16" t="e">
        <f t="shared" si="109"/>
        <v>#N/A</v>
      </c>
      <c r="AJ814" s="16" t="str">
        <f t="shared" si="110"/>
        <v/>
      </c>
      <c r="AK814" s="16" t="str">
        <f t="shared" si="111"/>
        <v/>
      </c>
      <c r="AL814" s="16" t="e">
        <f>IF(AK814="",NA(),COUNTIF(AK$176:$AK814,AK814))</f>
        <v>#N/A</v>
      </c>
      <c r="AM814" s="16" t="e">
        <f t="shared" si="112"/>
        <v>#N/A</v>
      </c>
      <c r="AN814" s="16" t="e">
        <f t="shared" si="113"/>
        <v>#N/A</v>
      </c>
      <c r="AO814" s="16" t="str">
        <f t="shared" si="114"/>
        <v/>
      </c>
      <c r="AP814" s="16" t="str">
        <f t="shared" si="115"/>
        <v/>
      </c>
      <c r="AQ814" s="16" t="e">
        <f>IF(AP814="",NA(),COUNTIF(AP$176:$AP814,AP814))</f>
        <v>#N/A</v>
      </c>
      <c r="AR814" s="16" t="e">
        <f t="shared" si="116"/>
        <v>#N/A</v>
      </c>
      <c r="BI814" s="621">
        <v>806</v>
      </c>
      <c r="BJ814" s="711"/>
      <c r="BK814" s="712"/>
      <c r="BL814" s="713">
        <v>806</v>
      </c>
      <c r="BM814" s="714"/>
      <c r="BN814" s="239"/>
      <c r="BO814" s="24"/>
      <c r="BQ814" s="621">
        <v>806</v>
      </c>
      <c r="BR814" s="711"/>
      <c r="BS814" s="712"/>
      <c r="BT814" s="713">
        <v>806</v>
      </c>
      <c r="BU814" s="714"/>
      <c r="BV814" s="239"/>
      <c r="BW814" s="24"/>
      <c r="BY814" s="621">
        <v>806</v>
      </c>
      <c r="BZ814" s="711"/>
      <c r="CA814" s="712"/>
      <c r="CB814" s="713">
        <v>806</v>
      </c>
      <c r="CC814" s="714"/>
      <c r="CD814" s="239"/>
      <c r="CE814" s="24"/>
    </row>
    <row r="815" spans="5:83" ht="12" customHeight="1">
      <c r="E815" s="621">
        <v>807</v>
      </c>
      <c r="F815" s="711"/>
      <c r="G815" s="712"/>
      <c r="H815" s="713">
        <v>807</v>
      </c>
      <c r="I815" s="714"/>
      <c r="J815" s="239"/>
      <c r="K815" s="24"/>
      <c r="AI815" s="16" t="e">
        <f t="shared" si="109"/>
        <v>#N/A</v>
      </c>
      <c r="AJ815" s="16" t="str">
        <f t="shared" si="110"/>
        <v/>
      </c>
      <c r="AK815" s="16" t="str">
        <f t="shared" si="111"/>
        <v/>
      </c>
      <c r="AL815" s="16" t="e">
        <f>IF(AK815="",NA(),COUNTIF(AK$176:$AK815,AK815))</f>
        <v>#N/A</v>
      </c>
      <c r="AM815" s="16" t="e">
        <f t="shared" si="112"/>
        <v>#N/A</v>
      </c>
      <c r="AN815" s="16" t="e">
        <f t="shared" si="113"/>
        <v>#N/A</v>
      </c>
      <c r="AO815" s="16" t="str">
        <f t="shared" si="114"/>
        <v/>
      </c>
      <c r="AP815" s="16" t="str">
        <f t="shared" si="115"/>
        <v/>
      </c>
      <c r="AQ815" s="16" t="e">
        <f>IF(AP815="",NA(),COUNTIF(AP$176:$AP815,AP815))</f>
        <v>#N/A</v>
      </c>
      <c r="AR815" s="16" t="e">
        <f t="shared" si="116"/>
        <v>#N/A</v>
      </c>
      <c r="BI815" s="621">
        <v>807</v>
      </c>
      <c r="BJ815" s="711"/>
      <c r="BK815" s="712"/>
      <c r="BL815" s="713">
        <v>807</v>
      </c>
      <c r="BM815" s="714"/>
      <c r="BN815" s="239"/>
      <c r="BO815" s="24"/>
      <c r="BQ815" s="621">
        <v>807</v>
      </c>
      <c r="BR815" s="711"/>
      <c r="BS815" s="712"/>
      <c r="BT815" s="713">
        <v>807</v>
      </c>
      <c r="BU815" s="714"/>
      <c r="BV815" s="239"/>
      <c r="BW815" s="24"/>
      <c r="BY815" s="621">
        <v>807</v>
      </c>
      <c r="BZ815" s="711"/>
      <c r="CA815" s="712"/>
      <c r="CB815" s="713">
        <v>807</v>
      </c>
      <c r="CC815" s="714"/>
      <c r="CD815" s="239"/>
      <c r="CE815" s="24"/>
    </row>
    <row r="816" spans="5:83" ht="12" customHeight="1">
      <c r="E816" s="621">
        <v>808</v>
      </c>
      <c r="F816" s="711"/>
      <c r="G816" s="712"/>
      <c r="H816" s="713">
        <v>808</v>
      </c>
      <c r="I816" s="714"/>
      <c r="J816" s="239"/>
      <c r="K816" s="24"/>
      <c r="AI816" s="16" t="e">
        <f t="shared" si="109"/>
        <v>#N/A</v>
      </c>
      <c r="AJ816" s="16" t="str">
        <f t="shared" si="110"/>
        <v/>
      </c>
      <c r="AK816" s="16" t="str">
        <f t="shared" si="111"/>
        <v/>
      </c>
      <c r="AL816" s="16" t="e">
        <f>IF(AK816="",NA(),COUNTIF(AK$176:$AK816,AK816))</f>
        <v>#N/A</v>
      </c>
      <c r="AM816" s="16" t="e">
        <f t="shared" si="112"/>
        <v>#N/A</v>
      </c>
      <c r="AN816" s="16" t="e">
        <f t="shared" si="113"/>
        <v>#N/A</v>
      </c>
      <c r="AO816" s="16" t="str">
        <f t="shared" si="114"/>
        <v/>
      </c>
      <c r="AP816" s="16" t="str">
        <f t="shared" si="115"/>
        <v/>
      </c>
      <c r="AQ816" s="16" t="e">
        <f>IF(AP816="",NA(),COUNTIF(AP$176:$AP816,AP816))</f>
        <v>#N/A</v>
      </c>
      <c r="AR816" s="16" t="e">
        <f t="shared" si="116"/>
        <v>#N/A</v>
      </c>
      <c r="BI816" s="621">
        <v>808</v>
      </c>
      <c r="BJ816" s="711"/>
      <c r="BK816" s="712"/>
      <c r="BL816" s="713">
        <v>808</v>
      </c>
      <c r="BM816" s="714"/>
      <c r="BN816" s="239"/>
      <c r="BO816" s="24"/>
      <c r="BQ816" s="621">
        <v>808</v>
      </c>
      <c r="BR816" s="711"/>
      <c r="BS816" s="712"/>
      <c r="BT816" s="713">
        <v>808</v>
      </c>
      <c r="BU816" s="714"/>
      <c r="BV816" s="239"/>
      <c r="BW816" s="24"/>
      <c r="BY816" s="621">
        <v>808</v>
      </c>
      <c r="BZ816" s="711"/>
      <c r="CA816" s="712"/>
      <c r="CB816" s="713">
        <v>808</v>
      </c>
      <c r="CC816" s="714"/>
      <c r="CD816" s="239"/>
      <c r="CE816" s="24"/>
    </row>
    <row r="817" spans="5:83" ht="12" customHeight="1">
      <c r="E817" s="621">
        <v>809</v>
      </c>
      <c r="F817" s="711"/>
      <c r="G817" s="712"/>
      <c r="H817" s="713">
        <v>809</v>
      </c>
      <c r="I817" s="714"/>
      <c r="J817" s="239"/>
      <c r="K817" s="24"/>
      <c r="AI817" s="16" t="e">
        <f t="shared" si="109"/>
        <v>#N/A</v>
      </c>
      <c r="AJ817" s="16" t="str">
        <f t="shared" si="110"/>
        <v/>
      </c>
      <c r="AK817" s="16" t="str">
        <f t="shared" si="111"/>
        <v/>
      </c>
      <c r="AL817" s="16" t="e">
        <f>IF(AK817="",NA(),COUNTIF(AK$176:$AK817,AK817))</f>
        <v>#N/A</v>
      </c>
      <c r="AM817" s="16" t="e">
        <f t="shared" si="112"/>
        <v>#N/A</v>
      </c>
      <c r="AN817" s="16" t="e">
        <f t="shared" si="113"/>
        <v>#N/A</v>
      </c>
      <c r="AO817" s="16" t="str">
        <f t="shared" si="114"/>
        <v/>
      </c>
      <c r="AP817" s="16" t="str">
        <f t="shared" si="115"/>
        <v/>
      </c>
      <c r="AQ817" s="16" t="e">
        <f>IF(AP817="",NA(),COUNTIF(AP$176:$AP817,AP817))</f>
        <v>#N/A</v>
      </c>
      <c r="AR817" s="16" t="e">
        <f t="shared" si="116"/>
        <v>#N/A</v>
      </c>
      <c r="BI817" s="621">
        <v>809</v>
      </c>
      <c r="BJ817" s="711"/>
      <c r="BK817" s="712"/>
      <c r="BL817" s="713">
        <v>809</v>
      </c>
      <c r="BM817" s="714"/>
      <c r="BN817" s="239"/>
      <c r="BO817" s="24"/>
      <c r="BQ817" s="621">
        <v>809</v>
      </c>
      <c r="BR817" s="711"/>
      <c r="BS817" s="712"/>
      <c r="BT817" s="713">
        <v>809</v>
      </c>
      <c r="BU817" s="714"/>
      <c r="BV817" s="239"/>
      <c r="BW817" s="24"/>
      <c r="BY817" s="621">
        <v>809</v>
      </c>
      <c r="BZ817" s="711"/>
      <c r="CA817" s="712"/>
      <c r="CB817" s="713">
        <v>809</v>
      </c>
      <c r="CC817" s="714"/>
      <c r="CD817" s="239"/>
      <c r="CE817" s="24"/>
    </row>
    <row r="818" spans="5:83" ht="12" customHeight="1">
      <c r="E818" s="621">
        <v>810</v>
      </c>
      <c r="F818" s="711"/>
      <c r="G818" s="712"/>
      <c r="H818" s="713">
        <v>810</v>
      </c>
      <c r="I818" s="714"/>
      <c r="J818" s="239"/>
      <c r="K818" s="24"/>
      <c r="AI818" s="16" t="e">
        <f t="shared" si="109"/>
        <v>#N/A</v>
      </c>
      <c r="AJ818" s="16" t="str">
        <f t="shared" si="110"/>
        <v/>
      </c>
      <c r="AK818" s="16" t="str">
        <f t="shared" si="111"/>
        <v/>
      </c>
      <c r="AL818" s="16" t="e">
        <f>IF(AK818="",NA(),COUNTIF(AK$176:$AK818,AK818))</f>
        <v>#N/A</v>
      </c>
      <c r="AM818" s="16" t="e">
        <f t="shared" si="112"/>
        <v>#N/A</v>
      </c>
      <c r="AN818" s="16" t="e">
        <f t="shared" si="113"/>
        <v>#N/A</v>
      </c>
      <c r="AO818" s="16" t="str">
        <f t="shared" si="114"/>
        <v/>
      </c>
      <c r="AP818" s="16" t="str">
        <f t="shared" si="115"/>
        <v/>
      </c>
      <c r="AQ818" s="16" t="e">
        <f>IF(AP818="",NA(),COUNTIF(AP$176:$AP818,AP818))</f>
        <v>#N/A</v>
      </c>
      <c r="AR818" s="16" t="e">
        <f t="shared" si="116"/>
        <v>#N/A</v>
      </c>
      <c r="BI818" s="621">
        <v>810</v>
      </c>
      <c r="BJ818" s="711"/>
      <c r="BK818" s="712"/>
      <c r="BL818" s="713">
        <v>810</v>
      </c>
      <c r="BM818" s="714"/>
      <c r="BN818" s="239"/>
      <c r="BO818" s="24"/>
      <c r="BQ818" s="621">
        <v>810</v>
      </c>
      <c r="BR818" s="711"/>
      <c r="BS818" s="712"/>
      <c r="BT818" s="713">
        <v>810</v>
      </c>
      <c r="BU818" s="714"/>
      <c r="BV818" s="239"/>
      <c r="BW818" s="24"/>
      <c r="BY818" s="621">
        <v>810</v>
      </c>
      <c r="BZ818" s="711"/>
      <c r="CA818" s="712"/>
      <c r="CB818" s="713">
        <v>810</v>
      </c>
      <c r="CC818" s="714"/>
      <c r="CD818" s="239"/>
      <c r="CE818" s="24"/>
    </row>
    <row r="819" spans="5:83" ht="12" customHeight="1">
      <c r="E819" s="621">
        <v>811</v>
      </c>
      <c r="F819" s="711"/>
      <c r="G819" s="712"/>
      <c r="H819" s="713">
        <v>811</v>
      </c>
      <c r="I819" s="714"/>
      <c r="J819" s="239"/>
      <c r="K819" s="24"/>
      <c r="AI819" s="16" t="e">
        <f t="shared" si="109"/>
        <v>#N/A</v>
      </c>
      <c r="AJ819" s="16" t="str">
        <f t="shared" si="110"/>
        <v/>
      </c>
      <c r="AK819" s="16" t="str">
        <f t="shared" si="111"/>
        <v/>
      </c>
      <c r="AL819" s="16" t="e">
        <f>IF(AK819="",NA(),COUNTIF(AK$176:$AK819,AK819))</f>
        <v>#N/A</v>
      </c>
      <c r="AM819" s="16" t="e">
        <f t="shared" si="112"/>
        <v>#N/A</v>
      </c>
      <c r="AN819" s="16" t="e">
        <f t="shared" si="113"/>
        <v>#N/A</v>
      </c>
      <c r="AO819" s="16" t="str">
        <f t="shared" si="114"/>
        <v/>
      </c>
      <c r="AP819" s="16" t="str">
        <f t="shared" si="115"/>
        <v/>
      </c>
      <c r="AQ819" s="16" t="e">
        <f>IF(AP819="",NA(),COUNTIF(AP$176:$AP819,AP819))</f>
        <v>#N/A</v>
      </c>
      <c r="AR819" s="16" t="e">
        <f t="shared" si="116"/>
        <v>#N/A</v>
      </c>
      <c r="BI819" s="621">
        <v>811</v>
      </c>
      <c r="BJ819" s="711"/>
      <c r="BK819" s="712"/>
      <c r="BL819" s="713">
        <v>811</v>
      </c>
      <c r="BM819" s="714"/>
      <c r="BN819" s="239"/>
      <c r="BO819" s="24"/>
      <c r="BQ819" s="621">
        <v>811</v>
      </c>
      <c r="BR819" s="711"/>
      <c r="BS819" s="712"/>
      <c r="BT819" s="713">
        <v>811</v>
      </c>
      <c r="BU819" s="714"/>
      <c r="BV819" s="239"/>
      <c r="BW819" s="24"/>
      <c r="BY819" s="621">
        <v>811</v>
      </c>
      <c r="BZ819" s="711"/>
      <c r="CA819" s="712"/>
      <c r="CB819" s="713">
        <v>811</v>
      </c>
      <c r="CC819" s="714"/>
      <c r="CD819" s="239"/>
      <c r="CE819" s="24"/>
    </row>
    <row r="820" spans="5:83" ht="12" customHeight="1">
      <c r="E820" s="621">
        <v>812</v>
      </c>
      <c r="F820" s="711"/>
      <c r="G820" s="712"/>
      <c r="H820" s="713">
        <v>812</v>
      </c>
      <c r="I820" s="714"/>
      <c r="J820" s="239"/>
      <c r="K820" s="24"/>
      <c r="AI820" s="16" t="e">
        <f t="shared" si="109"/>
        <v>#N/A</v>
      </c>
      <c r="AJ820" s="16" t="str">
        <f t="shared" si="110"/>
        <v/>
      </c>
      <c r="AK820" s="16" t="str">
        <f t="shared" si="111"/>
        <v/>
      </c>
      <c r="AL820" s="16" t="e">
        <f>IF(AK820="",NA(),COUNTIF(AK$176:$AK820,AK820))</f>
        <v>#N/A</v>
      </c>
      <c r="AM820" s="16" t="e">
        <f t="shared" si="112"/>
        <v>#N/A</v>
      </c>
      <c r="AN820" s="16" t="e">
        <f t="shared" si="113"/>
        <v>#N/A</v>
      </c>
      <c r="AO820" s="16" t="str">
        <f t="shared" si="114"/>
        <v/>
      </c>
      <c r="AP820" s="16" t="str">
        <f t="shared" si="115"/>
        <v/>
      </c>
      <c r="AQ820" s="16" t="e">
        <f>IF(AP820="",NA(),COUNTIF(AP$176:$AP820,AP820))</f>
        <v>#N/A</v>
      </c>
      <c r="AR820" s="16" t="e">
        <f t="shared" si="116"/>
        <v>#N/A</v>
      </c>
      <c r="BI820" s="621">
        <v>812</v>
      </c>
      <c r="BJ820" s="711"/>
      <c r="BK820" s="712"/>
      <c r="BL820" s="713">
        <v>812</v>
      </c>
      <c r="BM820" s="714"/>
      <c r="BN820" s="239"/>
      <c r="BO820" s="24"/>
      <c r="BQ820" s="621">
        <v>812</v>
      </c>
      <c r="BR820" s="711"/>
      <c r="BS820" s="712"/>
      <c r="BT820" s="713">
        <v>812</v>
      </c>
      <c r="BU820" s="714"/>
      <c r="BV820" s="239"/>
      <c r="BW820" s="24"/>
      <c r="BY820" s="621">
        <v>812</v>
      </c>
      <c r="BZ820" s="711"/>
      <c r="CA820" s="712"/>
      <c r="CB820" s="713">
        <v>812</v>
      </c>
      <c r="CC820" s="714"/>
      <c r="CD820" s="239"/>
      <c r="CE820" s="24"/>
    </row>
    <row r="821" spans="5:83" ht="12" customHeight="1">
      <c r="E821" s="621">
        <v>813</v>
      </c>
      <c r="F821" s="711"/>
      <c r="G821" s="712"/>
      <c r="H821" s="713">
        <v>813</v>
      </c>
      <c r="I821" s="714"/>
      <c r="J821" s="239"/>
      <c r="K821" s="24"/>
      <c r="AI821" s="16" t="e">
        <f t="shared" si="109"/>
        <v>#N/A</v>
      </c>
      <c r="AJ821" s="16" t="str">
        <f t="shared" si="110"/>
        <v/>
      </c>
      <c r="AK821" s="16" t="str">
        <f t="shared" si="111"/>
        <v/>
      </c>
      <c r="AL821" s="16" t="e">
        <f>IF(AK821="",NA(),COUNTIF(AK$176:$AK821,AK821))</f>
        <v>#N/A</v>
      </c>
      <c r="AM821" s="16" t="e">
        <f t="shared" si="112"/>
        <v>#N/A</v>
      </c>
      <c r="AN821" s="16" t="e">
        <f t="shared" si="113"/>
        <v>#N/A</v>
      </c>
      <c r="AO821" s="16" t="str">
        <f t="shared" si="114"/>
        <v/>
      </c>
      <c r="AP821" s="16" t="str">
        <f t="shared" si="115"/>
        <v/>
      </c>
      <c r="AQ821" s="16" t="e">
        <f>IF(AP821="",NA(),COUNTIF(AP$176:$AP821,AP821))</f>
        <v>#N/A</v>
      </c>
      <c r="AR821" s="16" t="e">
        <f t="shared" si="116"/>
        <v>#N/A</v>
      </c>
      <c r="BI821" s="621">
        <v>813</v>
      </c>
      <c r="BJ821" s="711"/>
      <c r="BK821" s="712"/>
      <c r="BL821" s="713">
        <v>813</v>
      </c>
      <c r="BM821" s="714"/>
      <c r="BN821" s="239"/>
      <c r="BO821" s="24"/>
      <c r="BQ821" s="621">
        <v>813</v>
      </c>
      <c r="BR821" s="711"/>
      <c r="BS821" s="712"/>
      <c r="BT821" s="713">
        <v>813</v>
      </c>
      <c r="BU821" s="714"/>
      <c r="BV821" s="239"/>
      <c r="BW821" s="24"/>
      <c r="BY821" s="621">
        <v>813</v>
      </c>
      <c r="BZ821" s="711"/>
      <c r="CA821" s="712"/>
      <c r="CB821" s="713">
        <v>813</v>
      </c>
      <c r="CC821" s="714"/>
      <c r="CD821" s="239"/>
      <c r="CE821" s="24"/>
    </row>
    <row r="822" spans="5:83" ht="12" customHeight="1">
      <c r="E822" s="621">
        <v>814</v>
      </c>
      <c r="F822" s="711"/>
      <c r="G822" s="712"/>
      <c r="H822" s="713">
        <v>814</v>
      </c>
      <c r="I822" s="714"/>
      <c r="J822" s="239"/>
      <c r="K822" s="24"/>
      <c r="AI822" s="16" t="e">
        <f t="shared" si="109"/>
        <v>#N/A</v>
      </c>
      <c r="AJ822" s="16" t="str">
        <f t="shared" si="110"/>
        <v/>
      </c>
      <c r="AK822" s="16" t="str">
        <f t="shared" si="111"/>
        <v/>
      </c>
      <c r="AL822" s="16" t="e">
        <f>IF(AK822="",NA(),COUNTIF(AK$176:$AK822,AK822))</f>
        <v>#N/A</v>
      </c>
      <c r="AM822" s="16" t="e">
        <f t="shared" si="112"/>
        <v>#N/A</v>
      </c>
      <c r="AN822" s="16" t="e">
        <f t="shared" si="113"/>
        <v>#N/A</v>
      </c>
      <c r="AO822" s="16" t="str">
        <f t="shared" si="114"/>
        <v/>
      </c>
      <c r="AP822" s="16" t="str">
        <f t="shared" si="115"/>
        <v/>
      </c>
      <c r="AQ822" s="16" t="e">
        <f>IF(AP822="",NA(),COUNTIF(AP$176:$AP822,AP822))</f>
        <v>#N/A</v>
      </c>
      <c r="AR822" s="16" t="e">
        <f t="shared" si="116"/>
        <v>#N/A</v>
      </c>
      <c r="BI822" s="621">
        <v>814</v>
      </c>
      <c r="BJ822" s="711"/>
      <c r="BK822" s="712"/>
      <c r="BL822" s="713">
        <v>814</v>
      </c>
      <c r="BM822" s="714"/>
      <c r="BN822" s="239"/>
      <c r="BO822" s="24"/>
      <c r="BQ822" s="621">
        <v>814</v>
      </c>
      <c r="BR822" s="711"/>
      <c r="BS822" s="712"/>
      <c r="BT822" s="713">
        <v>814</v>
      </c>
      <c r="BU822" s="714"/>
      <c r="BV822" s="239"/>
      <c r="BW822" s="24"/>
      <c r="BY822" s="621">
        <v>814</v>
      </c>
      <c r="BZ822" s="711"/>
      <c r="CA822" s="712"/>
      <c r="CB822" s="713">
        <v>814</v>
      </c>
      <c r="CC822" s="714"/>
      <c r="CD822" s="239"/>
      <c r="CE822" s="24"/>
    </row>
    <row r="823" spans="5:83" ht="12" customHeight="1">
      <c r="E823" s="621">
        <v>815</v>
      </c>
      <c r="F823" s="711"/>
      <c r="G823" s="712"/>
      <c r="H823" s="713">
        <v>815</v>
      </c>
      <c r="I823" s="714"/>
      <c r="J823" s="239"/>
      <c r="K823" s="24"/>
      <c r="AI823" s="16" t="e">
        <f t="shared" si="109"/>
        <v>#N/A</v>
      </c>
      <c r="AJ823" s="16" t="str">
        <f t="shared" si="110"/>
        <v/>
      </c>
      <c r="AK823" s="16" t="str">
        <f t="shared" si="111"/>
        <v/>
      </c>
      <c r="AL823" s="16" t="e">
        <f>IF(AK823="",NA(),COUNTIF(AK$176:$AK823,AK823))</f>
        <v>#N/A</v>
      </c>
      <c r="AM823" s="16" t="e">
        <f t="shared" si="112"/>
        <v>#N/A</v>
      </c>
      <c r="AN823" s="16" t="e">
        <f t="shared" si="113"/>
        <v>#N/A</v>
      </c>
      <c r="AO823" s="16" t="str">
        <f t="shared" si="114"/>
        <v/>
      </c>
      <c r="AP823" s="16" t="str">
        <f t="shared" si="115"/>
        <v/>
      </c>
      <c r="AQ823" s="16" t="e">
        <f>IF(AP823="",NA(),COUNTIF(AP$176:$AP823,AP823))</f>
        <v>#N/A</v>
      </c>
      <c r="AR823" s="16" t="e">
        <f t="shared" si="116"/>
        <v>#N/A</v>
      </c>
      <c r="BI823" s="621">
        <v>815</v>
      </c>
      <c r="BJ823" s="711"/>
      <c r="BK823" s="712"/>
      <c r="BL823" s="713">
        <v>815</v>
      </c>
      <c r="BM823" s="714"/>
      <c r="BN823" s="239"/>
      <c r="BO823" s="24"/>
      <c r="BQ823" s="621">
        <v>815</v>
      </c>
      <c r="BR823" s="711"/>
      <c r="BS823" s="712"/>
      <c r="BT823" s="713">
        <v>815</v>
      </c>
      <c r="BU823" s="714"/>
      <c r="BV823" s="239"/>
      <c r="BW823" s="24"/>
      <c r="BY823" s="621">
        <v>815</v>
      </c>
      <c r="BZ823" s="711"/>
      <c r="CA823" s="712"/>
      <c r="CB823" s="713">
        <v>815</v>
      </c>
      <c r="CC823" s="714"/>
      <c r="CD823" s="239"/>
      <c r="CE823" s="24"/>
    </row>
    <row r="824" spans="5:83" ht="12" customHeight="1">
      <c r="E824" s="621">
        <v>816</v>
      </c>
      <c r="F824" s="711"/>
      <c r="G824" s="712"/>
      <c r="H824" s="713">
        <v>816</v>
      </c>
      <c r="I824" s="714"/>
      <c r="J824" s="239"/>
      <c r="K824" s="24"/>
      <c r="AI824" s="16" t="e">
        <f t="shared" si="109"/>
        <v>#N/A</v>
      </c>
      <c r="AJ824" s="16" t="str">
        <f t="shared" si="110"/>
        <v/>
      </c>
      <c r="AK824" s="16" t="str">
        <f t="shared" si="111"/>
        <v/>
      </c>
      <c r="AL824" s="16" t="e">
        <f>IF(AK824="",NA(),COUNTIF(AK$176:$AK824,AK824))</f>
        <v>#N/A</v>
      </c>
      <c r="AM824" s="16" t="e">
        <f t="shared" si="112"/>
        <v>#N/A</v>
      </c>
      <c r="AN824" s="16" t="e">
        <f t="shared" si="113"/>
        <v>#N/A</v>
      </c>
      <c r="AO824" s="16" t="str">
        <f t="shared" si="114"/>
        <v/>
      </c>
      <c r="AP824" s="16" t="str">
        <f t="shared" si="115"/>
        <v/>
      </c>
      <c r="AQ824" s="16" t="e">
        <f>IF(AP824="",NA(),COUNTIF(AP$176:$AP824,AP824))</f>
        <v>#N/A</v>
      </c>
      <c r="AR824" s="16" t="e">
        <f t="shared" si="116"/>
        <v>#N/A</v>
      </c>
      <c r="BI824" s="621">
        <v>816</v>
      </c>
      <c r="BJ824" s="711"/>
      <c r="BK824" s="712"/>
      <c r="BL824" s="713">
        <v>816</v>
      </c>
      <c r="BM824" s="714"/>
      <c r="BN824" s="239"/>
      <c r="BO824" s="24"/>
      <c r="BQ824" s="621">
        <v>816</v>
      </c>
      <c r="BR824" s="711"/>
      <c r="BS824" s="712"/>
      <c r="BT824" s="713">
        <v>816</v>
      </c>
      <c r="BU824" s="714"/>
      <c r="BV824" s="239"/>
      <c r="BW824" s="24"/>
      <c r="BY824" s="621">
        <v>816</v>
      </c>
      <c r="BZ824" s="711"/>
      <c r="CA824" s="712"/>
      <c r="CB824" s="713">
        <v>816</v>
      </c>
      <c r="CC824" s="714"/>
      <c r="CD824" s="239"/>
      <c r="CE824" s="24"/>
    </row>
    <row r="825" spans="5:83" ht="12" customHeight="1">
      <c r="E825" s="621">
        <v>817</v>
      </c>
      <c r="F825" s="711"/>
      <c r="G825" s="712"/>
      <c r="H825" s="713">
        <v>817</v>
      </c>
      <c r="I825" s="714"/>
      <c r="J825" s="239"/>
      <c r="K825" s="24"/>
      <c r="AI825" s="16" t="e">
        <f t="shared" si="109"/>
        <v>#N/A</v>
      </c>
      <c r="AJ825" s="16" t="str">
        <f t="shared" si="110"/>
        <v/>
      </c>
      <c r="AK825" s="16" t="str">
        <f t="shared" si="111"/>
        <v/>
      </c>
      <c r="AL825" s="16" t="e">
        <f>IF(AK825="",NA(),COUNTIF(AK$176:$AK825,AK825))</f>
        <v>#N/A</v>
      </c>
      <c r="AM825" s="16" t="e">
        <f t="shared" si="112"/>
        <v>#N/A</v>
      </c>
      <c r="AN825" s="16" t="e">
        <f t="shared" si="113"/>
        <v>#N/A</v>
      </c>
      <c r="AO825" s="16" t="str">
        <f t="shared" si="114"/>
        <v/>
      </c>
      <c r="AP825" s="16" t="str">
        <f t="shared" si="115"/>
        <v/>
      </c>
      <c r="AQ825" s="16" t="e">
        <f>IF(AP825="",NA(),COUNTIF(AP$176:$AP825,AP825))</f>
        <v>#N/A</v>
      </c>
      <c r="AR825" s="16" t="e">
        <f t="shared" si="116"/>
        <v>#N/A</v>
      </c>
      <c r="BI825" s="621">
        <v>817</v>
      </c>
      <c r="BJ825" s="711"/>
      <c r="BK825" s="712"/>
      <c r="BL825" s="713">
        <v>817</v>
      </c>
      <c r="BM825" s="714"/>
      <c r="BN825" s="239"/>
      <c r="BO825" s="24"/>
      <c r="BQ825" s="621">
        <v>817</v>
      </c>
      <c r="BR825" s="711"/>
      <c r="BS825" s="712"/>
      <c r="BT825" s="713">
        <v>817</v>
      </c>
      <c r="BU825" s="714"/>
      <c r="BV825" s="239"/>
      <c r="BW825" s="24"/>
      <c r="BY825" s="621">
        <v>817</v>
      </c>
      <c r="BZ825" s="711"/>
      <c r="CA825" s="712"/>
      <c r="CB825" s="713">
        <v>817</v>
      </c>
      <c r="CC825" s="714"/>
      <c r="CD825" s="239"/>
      <c r="CE825" s="24"/>
    </row>
    <row r="826" spans="5:83" ht="12" customHeight="1">
      <c r="E826" s="621">
        <v>818</v>
      </c>
      <c r="F826" s="711"/>
      <c r="G826" s="712"/>
      <c r="H826" s="713">
        <v>818</v>
      </c>
      <c r="I826" s="714"/>
      <c r="J826" s="239"/>
      <c r="K826" s="24"/>
      <c r="AI826" s="16" t="e">
        <f t="shared" si="109"/>
        <v>#N/A</v>
      </c>
      <c r="AJ826" s="16" t="str">
        <f t="shared" si="110"/>
        <v/>
      </c>
      <c r="AK826" s="16" t="str">
        <f t="shared" si="111"/>
        <v/>
      </c>
      <c r="AL826" s="16" t="e">
        <f>IF(AK826="",NA(),COUNTIF(AK$176:$AK826,AK826))</f>
        <v>#N/A</v>
      </c>
      <c r="AM826" s="16" t="e">
        <f t="shared" si="112"/>
        <v>#N/A</v>
      </c>
      <c r="AN826" s="16" t="e">
        <f t="shared" si="113"/>
        <v>#N/A</v>
      </c>
      <c r="AO826" s="16" t="str">
        <f t="shared" si="114"/>
        <v/>
      </c>
      <c r="AP826" s="16" t="str">
        <f t="shared" si="115"/>
        <v/>
      </c>
      <c r="AQ826" s="16" t="e">
        <f>IF(AP826="",NA(),COUNTIF(AP$176:$AP826,AP826))</f>
        <v>#N/A</v>
      </c>
      <c r="AR826" s="16" t="e">
        <f t="shared" si="116"/>
        <v>#N/A</v>
      </c>
      <c r="BI826" s="621">
        <v>818</v>
      </c>
      <c r="BJ826" s="711"/>
      <c r="BK826" s="712"/>
      <c r="BL826" s="713">
        <v>818</v>
      </c>
      <c r="BM826" s="714"/>
      <c r="BN826" s="239"/>
      <c r="BO826" s="24"/>
      <c r="BQ826" s="621">
        <v>818</v>
      </c>
      <c r="BR826" s="711"/>
      <c r="BS826" s="712"/>
      <c r="BT826" s="713">
        <v>818</v>
      </c>
      <c r="BU826" s="714"/>
      <c r="BV826" s="239"/>
      <c r="BW826" s="24"/>
      <c r="BY826" s="621">
        <v>818</v>
      </c>
      <c r="BZ826" s="711"/>
      <c r="CA826" s="712"/>
      <c r="CB826" s="713">
        <v>818</v>
      </c>
      <c r="CC826" s="714"/>
      <c r="CD826" s="239"/>
      <c r="CE826" s="24"/>
    </row>
    <row r="827" spans="5:83" ht="12" customHeight="1">
      <c r="E827" s="621">
        <v>819</v>
      </c>
      <c r="F827" s="711"/>
      <c r="G827" s="712"/>
      <c r="H827" s="713">
        <v>819</v>
      </c>
      <c r="I827" s="714"/>
      <c r="J827" s="239"/>
      <c r="K827" s="24"/>
      <c r="AI827" s="16" t="e">
        <f t="shared" si="109"/>
        <v>#N/A</v>
      </c>
      <c r="AJ827" s="16" t="str">
        <f t="shared" si="110"/>
        <v/>
      </c>
      <c r="AK827" s="16" t="str">
        <f t="shared" si="111"/>
        <v/>
      </c>
      <c r="AL827" s="16" t="e">
        <f>IF(AK827="",NA(),COUNTIF(AK$176:$AK827,AK827))</f>
        <v>#N/A</v>
      </c>
      <c r="AM827" s="16" t="e">
        <f t="shared" si="112"/>
        <v>#N/A</v>
      </c>
      <c r="AN827" s="16" t="e">
        <f t="shared" si="113"/>
        <v>#N/A</v>
      </c>
      <c r="AO827" s="16" t="str">
        <f t="shared" si="114"/>
        <v/>
      </c>
      <c r="AP827" s="16" t="str">
        <f t="shared" si="115"/>
        <v/>
      </c>
      <c r="AQ827" s="16" t="e">
        <f>IF(AP827="",NA(),COUNTIF(AP$176:$AP827,AP827))</f>
        <v>#N/A</v>
      </c>
      <c r="AR827" s="16" t="e">
        <f t="shared" si="116"/>
        <v>#N/A</v>
      </c>
      <c r="BI827" s="621">
        <v>819</v>
      </c>
      <c r="BJ827" s="711"/>
      <c r="BK827" s="712"/>
      <c r="BL827" s="713">
        <v>819</v>
      </c>
      <c r="BM827" s="714"/>
      <c r="BN827" s="239"/>
      <c r="BO827" s="24"/>
      <c r="BQ827" s="621">
        <v>819</v>
      </c>
      <c r="BR827" s="711"/>
      <c r="BS827" s="712"/>
      <c r="BT827" s="713">
        <v>819</v>
      </c>
      <c r="BU827" s="714"/>
      <c r="BV827" s="239"/>
      <c r="BW827" s="24"/>
      <c r="BY827" s="621">
        <v>819</v>
      </c>
      <c r="BZ827" s="711"/>
      <c r="CA827" s="712"/>
      <c r="CB827" s="713">
        <v>819</v>
      </c>
      <c r="CC827" s="714"/>
      <c r="CD827" s="239"/>
      <c r="CE827" s="24"/>
    </row>
    <row r="828" spans="5:83" ht="12" customHeight="1">
      <c r="E828" s="621">
        <v>820</v>
      </c>
      <c r="F828" s="711"/>
      <c r="G828" s="712"/>
      <c r="H828" s="713">
        <v>820</v>
      </c>
      <c r="I828" s="714"/>
      <c r="J828" s="239"/>
      <c r="K828" s="24"/>
      <c r="AI828" s="16" t="e">
        <f t="shared" si="109"/>
        <v>#N/A</v>
      </c>
      <c r="AJ828" s="16" t="str">
        <f t="shared" si="110"/>
        <v/>
      </c>
      <c r="AK828" s="16" t="str">
        <f t="shared" si="111"/>
        <v/>
      </c>
      <c r="AL828" s="16" t="e">
        <f>IF(AK828="",NA(),COUNTIF(AK$176:$AK828,AK828))</f>
        <v>#N/A</v>
      </c>
      <c r="AM828" s="16" t="e">
        <f t="shared" si="112"/>
        <v>#N/A</v>
      </c>
      <c r="AN828" s="16" t="e">
        <f t="shared" si="113"/>
        <v>#N/A</v>
      </c>
      <c r="AO828" s="16" t="str">
        <f t="shared" si="114"/>
        <v/>
      </c>
      <c r="AP828" s="16" t="str">
        <f t="shared" si="115"/>
        <v/>
      </c>
      <c r="AQ828" s="16" t="e">
        <f>IF(AP828="",NA(),COUNTIF(AP$176:$AP828,AP828))</f>
        <v>#N/A</v>
      </c>
      <c r="AR828" s="16" t="e">
        <f t="shared" si="116"/>
        <v>#N/A</v>
      </c>
      <c r="BI828" s="621">
        <v>820</v>
      </c>
      <c r="BJ828" s="711"/>
      <c r="BK828" s="712"/>
      <c r="BL828" s="713">
        <v>820</v>
      </c>
      <c r="BM828" s="714"/>
      <c r="BN828" s="239"/>
      <c r="BO828" s="24"/>
      <c r="BQ828" s="621">
        <v>820</v>
      </c>
      <c r="BR828" s="711"/>
      <c r="BS828" s="712"/>
      <c r="BT828" s="713">
        <v>820</v>
      </c>
      <c r="BU828" s="714"/>
      <c r="BV828" s="239"/>
      <c r="BW828" s="24"/>
      <c r="BY828" s="621">
        <v>820</v>
      </c>
      <c r="BZ828" s="711"/>
      <c r="CA828" s="712"/>
      <c r="CB828" s="713">
        <v>820</v>
      </c>
      <c r="CC828" s="714"/>
      <c r="CD828" s="239"/>
      <c r="CE828" s="24"/>
    </row>
    <row r="829" spans="5:83" ht="12" customHeight="1">
      <c r="E829" s="621">
        <v>821</v>
      </c>
      <c r="F829" s="711"/>
      <c r="G829" s="712"/>
      <c r="H829" s="713">
        <v>821</v>
      </c>
      <c r="I829" s="714"/>
      <c r="J829" s="239"/>
      <c r="K829" s="24"/>
      <c r="AI829" s="16" t="e">
        <f t="shared" si="109"/>
        <v>#N/A</v>
      </c>
      <c r="AJ829" s="16" t="str">
        <f t="shared" si="110"/>
        <v/>
      </c>
      <c r="AK829" s="16" t="str">
        <f t="shared" si="111"/>
        <v/>
      </c>
      <c r="AL829" s="16" t="e">
        <f>IF(AK829="",NA(),COUNTIF(AK$176:$AK829,AK829))</f>
        <v>#N/A</v>
      </c>
      <c r="AM829" s="16" t="e">
        <f t="shared" si="112"/>
        <v>#N/A</v>
      </c>
      <c r="AN829" s="16" t="e">
        <f t="shared" si="113"/>
        <v>#N/A</v>
      </c>
      <c r="AO829" s="16" t="str">
        <f t="shared" si="114"/>
        <v/>
      </c>
      <c r="AP829" s="16" t="str">
        <f t="shared" si="115"/>
        <v/>
      </c>
      <c r="AQ829" s="16" t="e">
        <f>IF(AP829="",NA(),COUNTIF(AP$176:$AP829,AP829))</f>
        <v>#N/A</v>
      </c>
      <c r="AR829" s="16" t="e">
        <f t="shared" si="116"/>
        <v>#N/A</v>
      </c>
      <c r="BI829" s="621">
        <v>821</v>
      </c>
      <c r="BJ829" s="711"/>
      <c r="BK829" s="712"/>
      <c r="BL829" s="713">
        <v>821</v>
      </c>
      <c r="BM829" s="714"/>
      <c r="BN829" s="239"/>
      <c r="BO829" s="24"/>
      <c r="BQ829" s="621">
        <v>821</v>
      </c>
      <c r="BR829" s="711"/>
      <c r="BS829" s="712"/>
      <c r="BT829" s="713">
        <v>821</v>
      </c>
      <c r="BU829" s="714"/>
      <c r="BV829" s="239"/>
      <c r="BW829" s="24"/>
      <c r="BY829" s="621">
        <v>821</v>
      </c>
      <c r="BZ829" s="711"/>
      <c r="CA829" s="712"/>
      <c r="CB829" s="713">
        <v>821</v>
      </c>
      <c r="CC829" s="714"/>
      <c r="CD829" s="239"/>
      <c r="CE829" s="24"/>
    </row>
    <row r="830" spans="5:83" ht="12" customHeight="1">
      <c r="E830" s="621">
        <v>822</v>
      </c>
      <c r="F830" s="711"/>
      <c r="G830" s="712"/>
      <c r="H830" s="713">
        <v>822</v>
      </c>
      <c r="I830" s="714"/>
      <c r="J830" s="239"/>
      <c r="K830" s="24"/>
      <c r="AI830" s="16" t="e">
        <f t="shared" si="109"/>
        <v>#N/A</v>
      </c>
      <c r="AJ830" s="16" t="str">
        <f t="shared" si="110"/>
        <v/>
      </c>
      <c r="AK830" s="16" t="str">
        <f t="shared" si="111"/>
        <v/>
      </c>
      <c r="AL830" s="16" t="e">
        <f>IF(AK830="",NA(),COUNTIF(AK$176:$AK830,AK830))</f>
        <v>#N/A</v>
      </c>
      <c r="AM830" s="16" t="e">
        <f t="shared" si="112"/>
        <v>#N/A</v>
      </c>
      <c r="AN830" s="16" t="e">
        <f t="shared" si="113"/>
        <v>#N/A</v>
      </c>
      <c r="AO830" s="16" t="str">
        <f t="shared" si="114"/>
        <v/>
      </c>
      <c r="AP830" s="16" t="str">
        <f t="shared" si="115"/>
        <v/>
      </c>
      <c r="AQ830" s="16" t="e">
        <f>IF(AP830="",NA(),COUNTIF(AP$176:$AP830,AP830))</f>
        <v>#N/A</v>
      </c>
      <c r="AR830" s="16" t="e">
        <f t="shared" si="116"/>
        <v>#N/A</v>
      </c>
      <c r="BI830" s="621">
        <v>822</v>
      </c>
      <c r="BJ830" s="711"/>
      <c r="BK830" s="712"/>
      <c r="BL830" s="713">
        <v>822</v>
      </c>
      <c r="BM830" s="714"/>
      <c r="BN830" s="239"/>
      <c r="BO830" s="24"/>
      <c r="BQ830" s="621">
        <v>822</v>
      </c>
      <c r="BR830" s="711"/>
      <c r="BS830" s="712"/>
      <c r="BT830" s="713">
        <v>822</v>
      </c>
      <c r="BU830" s="714"/>
      <c r="BV830" s="239"/>
      <c r="BW830" s="24"/>
      <c r="BY830" s="621">
        <v>822</v>
      </c>
      <c r="BZ830" s="711"/>
      <c r="CA830" s="712"/>
      <c r="CB830" s="713">
        <v>822</v>
      </c>
      <c r="CC830" s="714"/>
      <c r="CD830" s="239"/>
      <c r="CE830" s="24"/>
    </row>
    <row r="831" spans="5:83" ht="12" customHeight="1">
      <c r="E831" s="621">
        <v>823</v>
      </c>
      <c r="F831" s="711"/>
      <c r="G831" s="712"/>
      <c r="H831" s="713">
        <v>823</v>
      </c>
      <c r="I831" s="714"/>
      <c r="J831" s="239"/>
      <c r="K831" s="24"/>
      <c r="AI831" s="16" t="e">
        <f t="shared" si="109"/>
        <v>#N/A</v>
      </c>
      <c r="AJ831" s="16" t="str">
        <f t="shared" si="110"/>
        <v/>
      </c>
      <c r="AK831" s="16" t="str">
        <f t="shared" si="111"/>
        <v/>
      </c>
      <c r="AL831" s="16" t="e">
        <f>IF(AK831="",NA(),COUNTIF(AK$176:$AK831,AK831))</f>
        <v>#N/A</v>
      </c>
      <c r="AM831" s="16" t="e">
        <f t="shared" si="112"/>
        <v>#N/A</v>
      </c>
      <c r="AN831" s="16" t="e">
        <f t="shared" si="113"/>
        <v>#N/A</v>
      </c>
      <c r="AO831" s="16" t="str">
        <f t="shared" si="114"/>
        <v/>
      </c>
      <c r="AP831" s="16" t="str">
        <f t="shared" si="115"/>
        <v/>
      </c>
      <c r="AQ831" s="16" t="e">
        <f>IF(AP831="",NA(),COUNTIF(AP$176:$AP831,AP831))</f>
        <v>#N/A</v>
      </c>
      <c r="AR831" s="16" t="e">
        <f t="shared" si="116"/>
        <v>#N/A</v>
      </c>
      <c r="BI831" s="621">
        <v>823</v>
      </c>
      <c r="BJ831" s="711"/>
      <c r="BK831" s="712"/>
      <c r="BL831" s="713">
        <v>823</v>
      </c>
      <c r="BM831" s="714"/>
      <c r="BN831" s="239"/>
      <c r="BO831" s="24"/>
      <c r="BQ831" s="621">
        <v>823</v>
      </c>
      <c r="BR831" s="711"/>
      <c r="BS831" s="712"/>
      <c r="BT831" s="713">
        <v>823</v>
      </c>
      <c r="BU831" s="714"/>
      <c r="BV831" s="239"/>
      <c r="BW831" s="24"/>
      <c r="BY831" s="621">
        <v>823</v>
      </c>
      <c r="BZ831" s="711"/>
      <c r="CA831" s="712"/>
      <c r="CB831" s="713">
        <v>823</v>
      </c>
      <c r="CC831" s="714"/>
      <c r="CD831" s="239"/>
      <c r="CE831" s="24"/>
    </row>
    <row r="832" spans="5:83" ht="12" customHeight="1">
      <c r="E832" s="621">
        <v>824</v>
      </c>
      <c r="F832" s="711"/>
      <c r="G832" s="712"/>
      <c r="H832" s="713">
        <v>824</v>
      </c>
      <c r="I832" s="714"/>
      <c r="J832" s="239"/>
      <c r="K832" s="24"/>
      <c r="AI832" s="16" t="e">
        <f t="shared" si="109"/>
        <v>#N/A</v>
      </c>
      <c r="AJ832" s="16" t="str">
        <f t="shared" si="110"/>
        <v/>
      </c>
      <c r="AK832" s="16" t="str">
        <f t="shared" si="111"/>
        <v/>
      </c>
      <c r="AL832" s="16" t="e">
        <f>IF(AK832="",NA(),COUNTIF(AK$176:$AK832,AK832))</f>
        <v>#N/A</v>
      </c>
      <c r="AM832" s="16" t="e">
        <f t="shared" si="112"/>
        <v>#N/A</v>
      </c>
      <c r="AN832" s="16" t="e">
        <f t="shared" si="113"/>
        <v>#N/A</v>
      </c>
      <c r="AO832" s="16" t="str">
        <f t="shared" si="114"/>
        <v/>
      </c>
      <c r="AP832" s="16" t="str">
        <f t="shared" si="115"/>
        <v/>
      </c>
      <c r="AQ832" s="16" t="e">
        <f>IF(AP832="",NA(),COUNTIF(AP$176:$AP832,AP832))</f>
        <v>#N/A</v>
      </c>
      <c r="AR832" s="16" t="e">
        <f t="shared" si="116"/>
        <v>#N/A</v>
      </c>
      <c r="BI832" s="621">
        <v>824</v>
      </c>
      <c r="BJ832" s="711"/>
      <c r="BK832" s="712"/>
      <c r="BL832" s="713">
        <v>824</v>
      </c>
      <c r="BM832" s="714"/>
      <c r="BN832" s="239"/>
      <c r="BO832" s="24"/>
      <c r="BQ832" s="621">
        <v>824</v>
      </c>
      <c r="BR832" s="711"/>
      <c r="BS832" s="712"/>
      <c r="BT832" s="713">
        <v>824</v>
      </c>
      <c r="BU832" s="714"/>
      <c r="BV832" s="239"/>
      <c r="BW832" s="24"/>
      <c r="BY832" s="621">
        <v>824</v>
      </c>
      <c r="BZ832" s="711"/>
      <c r="CA832" s="712"/>
      <c r="CB832" s="713">
        <v>824</v>
      </c>
      <c r="CC832" s="714"/>
      <c r="CD832" s="239"/>
      <c r="CE832" s="24"/>
    </row>
    <row r="833" spans="5:83" ht="12" customHeight="1">
      <c r="E833" s="621">
        <v>825</v>
      </c>
      <c r="F833" s="711"/>
      <c r="G833" s="712"/>
      <c r="H833" s="713">
        <v>825</v>
      </c>
      <c r="I833" s="714"/>
      <c r="J833" s="239"/>
      <c r="K833" s="24"/>
      <c r="AI833" s="16" t="e">
        <f t="shared" si="109"/>
        <v>#N/A</v>
      </c>
      <c r="AJ833" s="16" t="str">
        <f t="shared" si="110"/>
        <v/>
      </c>
      <c r="AK833" s="16" t="str">
        <f t="shared" si="111"/>
        <v/>
      </c>
      <c r="AL833" s="16" t="e">
        <f>IF(AK833="",NA(),COUNTIF(AK$176:$AK833,AK833))</f>
        <v>#N/A</v>
      </c>
      <c r="AM833" s="16" t="e">
        <f t="shared" si="112"/>
        <v>#N/A</v>
      </c>
      <c r="AN833" s="16" t="e">
        <f t="shared" si="113"/>
        <v>#N/A</v>
      </c>
      <c r="AO833" s="16" t="str">
        <f t="shared" si="114"/>
        <v/>
      </c>
      <c r="AP833" s="16" t="str">
        <f t="shared" si="115"/>
        <v/>
      </c>
      <c r="AQ833" s="16" t="e">
        <f>IF(AP833="",NA(),COUNTIF(AP$176:$AP833,AP833))</f>
        <v>#N/A</v>
      </c>
      <c r="AR833" s="16" t="e">
        <f t="shared" si="116"/>
        <v>#N/A</v>
      </c>
      <c r="BI833" s="621">
        <v>825</v>
      </c>
      <c r="BJ833" s="711"/>
      <c r="BK833" s="712"/>
      <c r="BL833" s="713">
        <v>825</v>
      </c>
      <c r="BM833" s="714"/>
      <c r="BN833" s="239"/>
      <c r="BO833" s="24"/>
      <c r="BQ833" s="621">
        <v>825</v>
      </c>
      <c r="BR833" s="711"/>
      <c r="BS833" s="712"/>
      <c r="BT833" s="713">
        <v>825</v>
      </c>
      <c r="BU833" s="714"/>
      <c r="BV833" s="239"/>
      <c r="BW833" s="24"/>
      <c r="BY833" s="621">
        <v>825</v>
      </c>
      <c r="BZ833" s="711"/>
      <c r="CA833" s="712"/>
      <c r="CB833" s="713">
        <v>825</v>
      </c>
      <c r="CC833" s="714"/>
      <c r="CD833" s="239"/>
      <c r="CE833" s="24"/>
    </row>
    <row r="834" spans="5:83" ht="12" customHeight="1">
      <c r="E834" s="621">
        <v>826</v>
      </c>
      <c r="F834" s="711"/>
      <c r="G834" s="712"/>
      <c r="H834" s="713">
        <v>826</v>
      </c>
      <c r="I834" s="714"/>
      <c r="J834" s="239"/>
      <c r="K834" s="24"/>
      <c r="AI834" s="16" t="e">
        <f t="shared" si="109"/>
        <v>#N/A</v>
      </c>
      <c r="AJ834" s="16" t="str">
        <f t="shared" si="110"/>
        <v/>
      </c>
      <c r="AK834" s="16" t="str">
        <f t="shared" si="111"/>
        <v/>
      </c>
      <c r="AL834" s="16" t="e">
        <f>IF(AK834="",NA(),COUNTIF(AK$176:$AK834,AK834))</f>
        <v>#N/A</v>
      </c>
      <c r="AM834" s="16" t="e">
        <f t="shared" si="112"/>
        <v>#N/A</v>
      </c>
      <c r="AN834" s="16" t="e">
        <f t="shared" si="113"/>
        <v>#N/A</v>
      </c>
      <c r="AO834" s="16" t="str">
        <f t="shared" si="114"/>
        <v/>
      </c>
      <c r="AP834" s="16" t="str">
        <f t="shared" si="115"/>
        <v/>
      </c>
      <c r="AQ834" s="16" t="e">
        <f>IF(AP834="",NA(),COUNTIF(AP$176:$AP834,AP834))</f>
        <v>#N/A</v>
      </c>
      <c r="AR834" s="16" t="e">
        <f t="shared" si="116"/>
        <v>#N/A</v>
      </c>
      <c r="BI834" s="621">
        <v>826</v>
      </c>
      <c r="BJ834" s="711"/>
      <c r="BK834" s="712"/>
      <c r="BL834" s="713">
        <v>826</v>
      </c>
      <c r="BM834" s="714"/>
      <c r="BN834" s="239"/>
      <c r="BO834" s="24"/>
      <c r="BQ834" s="621">
        <v>826</v>
      </c>
      <c r="BR834" s="711"/>
      <c r="BS834" s="712"/>
      <c r="BT834" s="713">
        <v>826</v>
      </c>
      <c r="BU834" s="714"/>
      <c r="BV834" s="239"/>
      <c r="BW834" s="24"/>
      <c r="BY834" s="621">
        <v>826</v>
      </c>
      <c r="BZ834" s="711"/>
      <c r="CA834" s="712"/>
      <c r="CB834" s="713">
        <v>826</v>
      </c>
      <c r="CC834" s="714"/>
      <c r="CD834" s="239"/>
      <c r="CE834" s="24"/>
    </row>
    <row r="835" spans="5:83" ht="12" customHeight="1">
      <c r="E835" s="621">
        <v>827</v>
      </c>
      <c r="F835" s="711"/>
      <c r="G835" s="712"/>
      <c r="H835" s="713">
        <v>827</v>
      </c>
      <c r="I835" s="714"/>
      <c r="J835" s="239"/>
      <c r="K835" s="24"/>
      <c r="AI835" s="16" t="e">
        <f t="shared" si="109"/>
        <v>#N/A</v>
      </c>
      <c r="AJ835" s="16" t="str">
        <f t="shared" si="110"/>
        <v/>
      </c>
      <c r="AK835" s="16" t="str">
        <f t="shared" si="111"/>
        <v/>
      </c>
      <c r="AL835" s="16" t="e">
        <f>IF(AK835="",NA(),COUNTIF(AK$176:$AK835,AK835))</f>
        <v>#N/A</v>
      </c>
      <c r="AM835" s="16" t="e">
        <f t="shared" si="112"/>
        <v>#N/A</v>
      </c>
      <c r="AN835" s="16" t="e">
        <f t="shared" si="113"/>
        <v>#N/A</v>
      </c>
      <c r="AO835" s="16" t="str">
        <f t="shared" si="114"/>
        <v/>
      </c>
      <c r="AP835" s="16" t="str">
        <f t="shared" si="115"/>
        <v/>
      </c>
      <c r="AQ835" s="16" t="e">
        <f>IF(AP835="",NA(),COUNTIF(AP$176:$AP835,AP835))</f>
        <v>#N/A</v>
      </c>
      <c r="AR835" s="16" t="e">
        <f t="shared" si="116"/>
        <v>#N/A</v>
      </c>
      <c r="BI835" s="621">
        <v>827</v>
      </c>
      <c r="BJ835" s="711"/>
      <c r="BK835" s="712"/>
      <c r="BL835" s="713">
        <v>827</v>
      </c>
      <c r="BM835" s="714"/>
      <c r="BN835" s="239"/>
      <c r="BO835" s="24"/>
      <c r="BQ835" s="621">
        <v>827</v>
      </c>
      <c r="BR835" s="711"/>
      <c r="BS835" s="712"/>
      <c r="BT835" s="713">
        <v>827</v>
      </c>
      <c r="BU835" s="714"/>
      <c r="BV835" s="239"/>
      <c r="BW835" s="24"/>
      <c r="BY835" s="621">
        <v>827</v>
      </c>
      <c r="BZ835" s="711"/>
      <c r="CA835" s="712"/>
      <c r="CB835" s="713">
        <v>827</v>
      </c>
      <c r="CC835" s="714"/>
      <c r="CD835" s="239"/>
      <c r="CE835" s="24"/>
    </row>
    <row r="836" spans="5:83" ht="12" customHeight="1">
      <c r="E836" s="621">
        <v>828</v>
      </c>
      <c r="F836" s="711"/>
      <c r="G836" s="712"/>
      <c r="H836" s="713">
        <v>828</v>
      </c>
      <c r="I836" s="714"/>
      <c r="J836" s="239"/>
      <c r="K836" s="24"/>
      <c r="AI836" s="16" t="e">
        <f t="shared" si="109"/>
        <v>#N/A</v>
      </c>
      <c r="AJ836" s="16" t="str">
        <f t="shared" si="110"/>
        <v/>
      </c>
      <c r="AK836" s="16" t="str">
        <f t="shared" si="111"/>
        <v/>
      </c>
      <c r="AL836" s="16" t="e">
        <f>IF(AK836="",NA(),COUNTIF(AK$176:$AK836,AK836))</f>
        <v>#N/A</v>
      </c>
      <c r="AM836" s="16" t="e">
        <f t="shared" si="112"/>
        <v>#N/A</v>
      </c>
      <c r="AN836" s="16" t="e">
        <f t="shared" si="113"/>
        <v>#N/A</v>
      </c>
      <c r="AO836" s="16" t="str">
        <f t="shared" si="114"/>
        <v/>
      </c>
      <c r="AP836" s="16" t="str">
        <f t="shared" si="115"/>
        <v/>
      </c>
      <c r="AQ836" s="16" t="e">
        <f>IF(AP836="",NA(),COUNTIF(AP$176:$AP836,AP836))</f>
        <v>#N/A</v>
      </c>
      <c r="AR836" s="16" t="e">
        <f t="shared" si="116"/>
        <v>#N/A</v>
      </c>
      <c r="BI836" s="621">
        <v>828</v>
      </c>
      <c r="BJ836" s="711"/>
      <c r="BK836" s="712"/>
      <c r="BL836" s="713">
        <v>828</v>
      </c>
      <c r="BM836" s="714"/>
      <c r="BN836" s="239"/>
      <c r="BO836" s="24"/>
      <c r="BQ836" s="621">
        <v>828</v>
      </c>
      <c r="BR836" s="711"/>
      <c r="BS836" s="712"/>
      <c r="BT836" s="713">
        <v>828</v>
      </c>
      <c r="BU836" s="714"/>
      <c r="BV836" s="239"/>
      <c r="BW836" s="24"/>
      <c r="BY836" s="621">
        <v>828</v>
      </c>
      <c r="BZ836" s="711"/>
      <c r="CA836" s="712"/>
      <c r="CB836" s="713">
        <v>828</v>
      </c>
      <c r="CC836" s="714"/>
      <c r="CD836" s="239"/>
      <c r="CE836" s="24"/>
    </row>
    <row r="837" spans="5:83" ht="12" customHeight="1">
      <c r="E837" s="621">
        <v>829</v>
      </c>
      <c r="F837" s="711"/>
      <c r="G837" s="712"/>
      <c r="H837" s="713">
        <v>829</v>
      </c>
      <c r="I837" s="714"/>
      <c r="J837" s="239"/>
      <c r="K837" s="24"/>
      <c r="AI837" s="16" t="e">
        <f t="shared" si="109"/>
        <v>#N/A</v>
      </c>
      <c r="AJ837" s="16" t="str">
        <f t="shared" si="110"/>
        <v/>
      </c>
      <c r="AK837" s="16" t="str">
        <f t="shared" si="111"/>
        <v/>
      </c>
      <c r="AL837" s="16" t="e">
        <f>IF(AK837="",NA(),COUNTIF(AK$176:$AK837,AK837))</f>
        <v>#N/A</v>
      </c>
      <c r="AM837" s="16" t="e">
        <f t="shared" si="112"/>
        <v>#N/A</v>
      </c>
      <c r="AN837" s="16" t="e">
        <f t="shared" si="113"/>
        <v>#N/A</v>
      </c>
      <c r="AO837" s="16" t="str">
        <f t="shared" si="114"/>
        <v/>
      </c>
      <c r="AP837" s="16" t="str">
        <f t="shared" si="115"/>
        <v/>
      </c>
      <c r="AQ837" s="16" t="e">
        <f>IF(AP837="",NA(),COUNTIF(AP$176:$AP837,AP837))</f>
        <v>#N/A</v>
      </c>
      <c r="AR837" s="16" t="e">
        <f t="shared" si="116"/>
        <v>#N/A</v>
      </c>
      <c r="BI837" s="621">
        <v>829</v>
      </c>
      <c r="BJ837" s="711"/>
      <c r="BK837" s="712"/>
      <c r="BL837" s="713">
        <v>829</v>
      </c>
      <c r="BM837" s="714"/>
      <c r="BN837" s="239"/>
      <c r="BO837" s="24"/>
      <c r="BQ837" s="621">
        <v>829</v>
      </c>
      <c r="BR837" s="711"/>
      <c r="BS837" s="712"/>
      <c r="BT837" s="713">
        <v>829</v>
      </c>
      <c r="BU837" s="714"/>
      <c r="BV837" s="239"/>
      <c r="BW837" s="24"/>
      <c r="BY837" s="621">
        <v>829</v>
      </c>
      <c r="BZ837" s="711"/>
      <c r="CA837" s="712"/>
      <c r="CB837" s="713">
        <v>829</v>
      </c>
      <c r="CC837" s="714"/>
      <c r="CD837" s="239"/>
      <c r="CE837" s="24"/>
    </row>
    <row r="838" spans="5:83" ht="12" customHeight="1">
      <c r="E838" s="621">
        <v>830</v>
      </c>
      <c r="F838" s="711"/>
      <c r="G838" s="712"/>
      <c r="H838" s="713">
        <v>830</v>
      </c>
      <c r="I838" s="714"/>
      <c r="J838" s="239"/>
      <c r="K838" s="24"/>
      <c r="AI838" s="16" t="e">
        <f t="shared" si="109"/>
        <v>#N/A</v>
      </c>
      <c r="AJ838" s="16" t="str">
        <f t="shared" si="110"/>
        <v/>
      </c>
      <c r="AK838" s="16" t="str">
        <f t="shared" si="111"/>
        <v/>
      </c>
      <c r="AL838" s="16" t="e">
        <f>IF(AK838="",NA(),COUNTIF(AK$176:$AK838,AK838))</f>
        <v>#N/A</v>
      </c>
      <c r="AM838" s="16" t="e">
        <f t="shared" si="112"/>
        <v>#N/A</v>
      </c>
      <c r="AN838" s="16" t="e">
        <f t="shared" si="113"/>
        <v>#N/A</v>
      </c>
      <c r="AO838" s="16" t="str">
        <f t="shared" si="114"/>
        <v/>
      </c>
      <c r="AP838" s="16" t="str">
        <f t="shared" si="115"/>
        <v/>
      </c>
      <c r="AQ838" s="16" t="e">
        <f>IF(AP838="",NA(),COUNTIF(AP$176:$AP838,AP838))</f>
        <v>#N/A</v>
      </c>
      <c r="AR838" s="16" t="e">
        <f t="shared" si="116"/>
        <v>#N/A</v>
      </c>
      <c r="BI838" s="621">
        <v>830</v>
      </c>
      <c r="BJ838" s="711"/>
      <c r="BK838" s="712"/>
      <c r="BL838" s="713">
        <v>830</v>
      </c>
      <c r="BM838" s="714"/>
      <c r="BN838" s="239"/>
      <c r="BO838" s="24"/>
      <c r="BQ838" s="621">
        <v>830</v>
      </c>
      <c r="BR838" s="711"/>
      <c r="BS838" s="712"/>
      <c r="BT838" s="713">
        <v>830</v>
      </c>
      <c r="BU838" s="714"/>
      <c r="BV838" s="239"/>
      <c r="BW838" s="24"/>
      <c r="BY838" s="621">
        <v>830</v>
      </c>
      <c r="BZ838" s="711"/>
      <c r="CA838" s="712"/>
      <c r="CB838" s="713">
        <v>830</v>
      </c>
      <c r="CC838" s="714"/>
      <c r="CD838" s="239"/>
      <c r="CE838" s="24"/>
    </row>
    <row r="839" spans="5:83" ht="12" customHeight="1">
      <c r="E839" s="621">
        <v>831</v>
      </c>
      <c r="F839" s="711"/>
      <c r="G839" s="712"/>
      <c r="H839" s="713">
        <v>831</v>
      </c>
      <c r="I839" s="714"/>
      <c r="J839" s="239"/>
      <c r="K839" s="24"/>
      <c r="AI839" s="16" t="e">
        <f t="shared" si="109"/>
        <v>#N/A</v>
      </c>
      <c r="AJ839" s="16" t="str">
        <f t="shared" si="110"/>
        <v/>
      </c>
      <c r="AK839" s="16" t="str">
        <f t="shared" si="111"/>
        <v/>
      </c>
      <c r="AL839" s="16" t="e">
        <f>IF(AK839="",NA(),COUNTIF(AK$176:$AK839,AK839))</f>
        <v>#N/A</v>
      </c>
      <c r="AM839" s="16" t="e">
        <f t="shared" si="112"/>
        <v>#N/A</v>
      </c>
      <c r="AN839" s="16" t="e">
        <f t="shared" si="113"/>
        <v>#N/A</v>
      </c>
      <c r="AO839" s="16" t="str">
        <f t="shared" si="114"/>
        <v/>
      </c>
      <c r="AP839" s="16" t="str">
        <f t="shared" si="115"/>
        <v/>
      </c>
      <c r="AQ839" s="16" t="e">
        <f>IF(AP839="",NA(),COUNTIF(AP$176:$AP839,AP839))</f>
        <v>#N/A</v>
      </c>
      <c r="AR839" s="16" t="e">
        <f t="shared" si="116"/>
        <v>#N/A</v>
      </c>
      <c r="BI839" s="621">
        <v>831</v>
      </c>
      <c r="BJ839" s="711"/>
      <c r="BK839" s="712"/>
      <c r="BL839" s="713">
        <v>831</v>
      </c>
      <c r="BM839" s="714"/>
      <c r="BN839" s="239"/>
      <c r="BO839" s="24"/>
      <c r="BQ839" s="621">
        <v>831</v>
      </c>
      <c r="BR839" s="711"/>
      <c r="BS839" s="712"/>
      <c r="BT839" s="713">
        <v>831</v>
      </c>
      <c r="BU839" s="714"/>
      <c r="BV839" s="239"/>
      <c r="BW839" s="24"/>
      <c r="BY839" s="621">
        <v>831</v>
      </c>
      <c r="BZ839" s="711"/>
      <c r="CA839" s="712"/>
      <c r="CB839" s="713">
        <v>831</v>
      </c>
      <c r="CC839" s="714"/>
      <c r="CD839" s="239"/>
      <c r="CE839" s="24"/>
    </row>
    <row r="840" spans="5:83" ht="12" customHeight="1">
      <c r="E840" s="621">
        <v>832</v>
      </c>
      <c r="F840" s="711"/>
      <c r="G840" s="712"/>
      <c r="H840" s="713">
        <v>832</v>
      </c>
      <c r="I840" s="714"/>
      <c r="J840" s="239"/>
      <c r="K840" s="24"/>
      <c r="AI840" s="16" t="e">
        <f t="shared" si="109"/>
        <v>#N/A</v>
      </c>
      <c r="AJ840" s="16" t="str">
        <f t="shared" si="110"/>
        <v/>
      </c>
      <c r="AK840" s="16" t="str">
        <f t="shared" si="111"/>
        <v/>
      </c>
      <c r="AL840" s="16" t="e">
        <f>IF(AK840="",NA(),COUNTIF(AK$176:$AK840,AK840))</f>
        <v>#N/A</v>
      </c>
      <c r="AM840" s="16" t="e">
        <f t="shared" si="112"/>
        <v>#N/A</v>
      </c>
      <c r="AN840" s="16" t="e">
        <f t="shared" si="113"/>
        <v>#N/A</v>
      </c>
      <c r="AO840" s="16" t="str">
        <f t="shared" si="114"/>
        <v/>
      </c>
      <c r="AP840" s="16" t="str">
        <f t="shared" si="115"/>
        <v/>
      </c>
      <c r="AQ840" s="16" t="e">
        <f>IF(AP840="",NA(),COUNTIF(AP$176:$AP840,AP840))</f>
        <v>#N/A</v>
      </c>
      <c r="AR840" s="16" t="e">
        <f t="shared" si="116"/>
        <v>#N/A</v>
      </c>
      <c r="BI840" s="621">
        <v>832</v>
      </c>
      <c r="BJ840" s="711"/>
      <c r="BK840" s="712"/>
      <c r="BL840" s="713">
        <v>832</v>
      </c>
      <c r="BM840" s="714"/>
      <c r="BN840" s="239"/>
      <c r="BO840" s="24"/>
      <c r="BQ840" s="621">
        <v>832</v>
      </c>
      <c r="BR840" s="711"/>
      <c r="BS840" s="712"/>
      <c r="BT840" s="713">
        <v>832</v>
      </c>
      <c r="BU840" s="714"/>
      <c r="BV840" s="239"/>
      <c r="BW840" s="24"/>
      <c r="BY840" s="621">
        <v>832</v>
      </c>
      <c r="BZ840" s="711"/>
      <c r="CA840" s="712"/>
      <c r="CB840" s="713">
        <v>832</v>
      </c>
      <c r="CC840" s="714"/>
      <c r="CD840" s="239"/>
      <c r="CE840" s="24"/>
    </row>
    <row r="841" spans="5:83" ht="12" customHeight="1">
      <c r="E841" s="621">
        <v>833</v>
      </c>
      <c r="F841" s="711"/>
      <c r="G841" s="712"/>
      <c r="H841" s="713">
        <v>833</v>
      </c>
      <c r="I841" s="714"/>
      <c r="J841" s="239"/>
      <c r="K841" s="24"/>
      <c r="AI841" s="16" t="e">
        <f t="shared" si="109"/>
        <v>#N/A</v>
      </c>
      <c r="AJ841" s="16" t="str">
        <f t="shared" si="110"/>
        <v/>
      </c>
      <c r="AK841" s="16" t="str">
        <f t="shared" si="111"/>
        <v/>
      </c>
      <c r="AL841" s="16" t="e">
        <f>IF(AK841="",NA(),COUNTIF(AK$176:$AK841,AK841))</f>
        <v>#N/A</v>
      </c>
      <c r="AM841" s="16" t="e">
        <f t="shared" si="112"/>
        <v>#N/A</v>
      </c>
      <c r="AN841" s="16" t="e">
        <f t="shared" si="113"/>
        <v>#N/A</v>
      </c>
      <c r="AO841" s="16" t="str">
        <f t="shared" si="114"/>
        <v/>
      </c>
      <c r="AP841" s="16" t="str">
        <f t="shared" si="115"/>
        <v/>
      </c>
      <c r="AQ841" s="16" t="e">
        <f>IF(AP841="",NA(),COUNTIF(AP$176:$AP841,AP841))</f>
        <v>#N/A</v>
      </c>
      <c r="AR841" s="16" t="e">
        <f t="shared" si="116"/>
        <v>#N/A</v>
      </c>
      <c r="BI841" s="621">
        <v>833</v>
      </c>
      <c r="BJ841" s="711"/>
      <c r="BK841" s="712"/>
      <c r="BL841" s="713">
        <v>833</v>
      </c>
      <c r="BM841" s="714"/>
      <c r="BN841" s="239"/>
      <c r="BO841" s="24"/>
      <c r="BQ841" s="621">
        <v>833</v>
      </c>
      <c r="BR841" s="711"/>
      <c r="BS841" s="712"/>
      <c r="BT841" s="713">
        <v>833</v>
      </c>
      <c r="BU841" s="714"/>
      <c r="BV841" s="239"/>
      <c r="BW841" s="24"/>
      <c r="BY841" s="621">
        <v>833</v>
      </c>
      <c r="BZ841" s="711"/>
      <c r="CA841" s="712"/>
      <c r="CB841" s="713">
        <v>833</v>
      </c>
      <c r="CC841" s="714"/>
      <c r="CD841" s="239"/>
      <c r="CE841" s="24"/>
    </row>
    <row r="842" spans="5:83" ht="12" customHeight="1">
      <c r="E842" s="621">
        <v>834</v>
      </c>
      <c r="F842" s="711"/>
      <c r="G842" s="712"/>
      <c r="H842" s="713">
        <v>834</v>
      </c>
      <c r="I842" s="714"/>
      <c r="J842" s="239"/>
      <c r="K842" s="24"/>
      <c r="AI842" s="16" t="e">
        <f t="shared" si="109"/>
        <v>#N/A</v>
      </c>
      <c r="AJ842" s="16" t="str">
        <f t="shared" si="110"/>
        <v/>
      </c>
      <c r="AK842" s="16" t="str">
        <f t="shared" si="111"/>
        <v/>
      </c>
      <c r="AL842" s="16" t="e">
        <f>IF(AK842="",NA(),COUNTIF(AK$176:$AK842,AK842))</f>
        <v>#N/A</v>
      </c>
      <c r="AM842" s="16" t="e">
        <f t="shared" si="112"/>
        <v>#N/A</v>
      </c>
      <c r="AN842" s="16" t="e">
        <f t="shared" si="113"/>
        <v>#N/A</v>
      </c>
      <c r="AO842" s="16" t="str">
        <f t="shared" si="114"/>
        <v/>
      </c>
      <c r="AP842" s="16" t="str">
        <f t="shared" si="115"/>
        <v/>
      </c>
      <c r="AQ842" s="16" t="e">
        <f>IF(AP842="",NA(),COUNTIF(AP$176:$AP842,AP842))</f>
        <v>#N/A</v>
      </c>
      <c r="AR842" s="16" t="e">
        <f t="shared" si="116"/>
        <v>#N/A</v>
      </c>
      <c r="BI842" s="621">
        <v>834</v>
      </c>
      <c r="BJ842" s="711"/>
      <c r="BK842" s="712"/>
      <c r="BL842" s="713">
        <v>834</v>
      </c>
      <c r="BM842" s="714"/>
      <c r="BN842" s="239"/>
      <c r="BO842" s="24"/>
      <c r="BQ842" s="621">
        <v>834</v>
      </c>
      <c r="BR842" s="711"/>
      <c r="BS842" s="712"/>
      <c r="BT842" s="713">
        <v>834</v>
      </c>
      <c r="BU842" s="714"/>
      <c r="BV842" s="239"/>
      <c r="BW842" s="24"/>
      <c r="BY842" s="621">
        <v>834</v>
      </c>
      <c r="BZ842" s="711"/>
      <c r="CA842" s="712"/>
      <c r="CB842" s="713">
        <v>834</v>
      </c>
      <c r="CC842" s="714"/>
      <c r="CD842" s="239"/>
      <c r="CE842" s="24"/>
    </row>
    <row r="843" spans="5:83" ht="12" customHeight="1">
      <c r="E843" s="621">
        <v>835</v>
      </c>
      <c r="F843" s="711"/>
      <c r="G843" s="712"/>
      <c r="H843" s="713">
        <v>835</v>
      </c>
      <c r="I843" s="714"/>
      <c r="J843" s="239"/>
      <c r="K843" s="24"/>
      <c r="AI843" s="16" t="e">
        <f t="shared" si="109"/>
        <v>#N/A</v>
      </c>
      <c r="AJ843" s="16" t="str">
        <f t="shared" si="110"/>
        <v/>
      </c>
      <c r="AK843" s="16" t="str">
        <f t="shared" si="111"/>
        <v/>
      </c>
      <c r="AL843" s="16" t="e">
        <f>IF(AK843="",NA(),COUNTIF(AK$176:$AK843,AK843))</f>
        <v>#N/A</v>
      </c>
      <c r="AM843" s="16" t="e">
        <f t="shared" si="112"/>
        <v>#N/A</v>
      </c>
      <c r="AN843" s="16" t="e">
        <f t="shared" si="113"/>
        <v>#N/A</v>
      </c>
      <c r="AO843" s="16" t="str">
        <f t="shared" si="114"/>
        <v/>
      </c>
      <c r="AP843" s="16" t="str">
        <f t="shared" si="115"/>
        <v/>
      </c>
      <c r="AQ843" s="16" t="e">
        <f>IF(AP843="",NA(),COUNTIF(AP$176:$AP843,AP843))</f>
        <v>#N/A</v>
      </c>
      <c r="AR843" s="16" t="e">
        <f t="shared" si="116"/>
        <v>#N/A</v>
      </c>
      <c r="BI843" s="621">
        <v>835</v>
      </c>
      <c r="BJ843" s="711"/>
      <c r="BK843" s="712"/>
      <c r="BL843" s="713">
        <v>835</v>
      </c>
      <c r="BM843" s="714"/>
      <c r="BN843" s="239"/>
      <c r="BO843" s="24"/>
      <c r="BQ843" s="621">
        <v>835</v>
      </c>
      <c r="BR843" s="711"/>
      <c r="BS843" s="712"/>
      <c r="BT843" s="713">
        <v>835</v>
      </c>
      <c r="BU843" s="714"/>
      <c r="BV843" s="239"/>
      <c r="BW843" s="24"/>
      <c r="BY843" s="621">
        <v>835</v>
      </c>
      <c r="BZ843" s="711"/>
      <c r="CA843" s="712"/>
      <c r="CB843" s="713">
        <v>835</v>
      </c>
      <c r="CC843" s="714"/>
      <c r="CD843" s="239"/>
      <c r="CE843" s="24"/>
    </row>
    <row r="844" spans="5:83" ht="12" customHeight="1">
      <c r="E844" s="621">
        <v>836</v>
      </c>
      <c r="F844" s="711"/>
      <c r="G844" s="712"/>
      <c r="H844" s="713">
        <v>836</v>
      </c>
      <c r="I844" s="714"/>
      <c r="J844" s="239"/>
      <c r="K844" s="24"/>
      <c r="AI844" s="16" t="e">
        <f t="shared" si="109"/>
        <v>#N/A</v>
      </c>
      <c r="AJ844" s="16" t="str">
        <f t="shared" si="110"/>
        <v/>
      </c>
      <c r="AK844" s="16" t="str">
        <f t="shared" si="111"/>
        <v/>
      </c>
      <c r="AL844" s="16" t="e">
        <f>IF(AK844="",NA(),COUNTIF(AK$176:$AK844,AK844))</f>
        <v>#N/A</v>
      </c>
      <c r="AM844" s="16" t="e">
        <f t="shared" si="112"/>
        <v>#N/A</v>
      </c>
      <c r="AN844" s="16" t="e">
        <f t="shared" si="113"/>
        <v>#N/A</v>
      </c>
      <c r="AO844" s="16" t="str">
        <f t="shared" si="114"/>
        <v/>
      </c>
      <c r="AP844" s="16" t="str">
        <f t="shared" si="115"/>
        <v/>
      </c>
      <c r="AQ844" s="16" t="e">
        <f>IF(AP844="",NA(),COUNTIF(AP$176:$AP844,AP844))</f>
        <v>#N/A</v>
      </c>
      <c r="AR844" s="16" t="e">
        <f t="shared" si="116"/>
        <v>#N/A</v>
      </c>
      <c r="BI844" s="621">
        <v>836</v>
      </c>
      <c r="BJ844" s="711"/>
      <c r="BK844" s="712"/>
      <c r="BL844" s="713">
        <v>836</v>
      </c>
      <c r="BM844" s="714"/>
      <c r="BN844" s="239"/>
      <c r="BO844" s="24"/>
      <c r="BQ844" s="621">
        <v>836</v>
      </c>
      <c r="BR844" s="711"/>
      <c r="BS844" s="712"/>
      <c r="BT844" s="713">
        <v>836</v>
      </c>
      <c r="BU844" s="714"/>
      <c r="BV844" s="239"/>
      <c r="BW844" s="24"/>
      <c r="BY844" s="621">
        <v>836</v>
      </c>
      <c r="BZ844" s="711"/>
      <c r="CA844" s="712"/>
      <c r="CB844" s="713">
        <v>836</v>
      </c>
      <c r="CC844" s="714"/>
      <c r="CD844" s="239"/>
      <c r="CE844" s="24"/>
    </row>
    <row r="845" spans="5:83" ht="12" customHeight="1">
      <c r="E845" s="621">
        <v>837</v>
      </c>
      <c r="F845" s="711"/>
      <c r="G845" s="712"/>
      <c r="H845" s="713">
        <v>837</v>
      </c>
      <c r="I845" s="714"/>
      <c r="J845" s="239"/>
      <c r="K845" s="24"/>
      <c r="AI845" s="16" t="e">
        <f t="shared" ref="AI845:AI908" si="117">IF(AND($X$80,NOT(F777=""),$X$78),F777,NA())</f>
        <v>#N/A</v>
      </c>
      <c r="AJ845" s="16" t="str">
        <f t="shared" ref="AJ845:AJ908" si="118">IF(AK845="","",IF($AU$79=0,AI845,AK845*$AU$79))</f>
        <v/>
      </c>
      <c r="AK845" s="16" t="str">
        <f t="shared" ref="AK845:AK908" si="119">IF(ISNA(AI845),"",IF($AU$79=0,AI845,ROUND(AI845/$AU$79,0)))</f>
        <v/>
      </c>
      <c r="AL845" s="16" t="e">
        <f>IF(AK845="",NA(),COUNTIF(AK$176:$AK845,AK845))</f>
        <v>#N/A</v>
      </c>
      <c r="AM845" s="16" t="e">
        <f t="shared" ref="AM845:AM908" si="120">(AL845-1)*$AU$82</f>
        <v>#N/A</v>
      </c>
      <c r="AN845" s="16" t="e">
        <f t="shared" ref="AN845:AN908" si="121">IF(AND($X$80,NOT(I777=""),$X$79),I777,NA())</f>
        <v>#N/A</v>
      </c>
      <c r="AO845" s="16" t="str">
        <f t="shared" ref="AO845:AO908" si="122">IF(AP845="","",IF($AU$79=0,AN845,AP845*$AU$79))</f>
        <v/>
      </c>
      <c r="AP845" s="16" t="str">
        <f t="shared" ref="AP845:AP908" si="123">IF(ISNA(AN845),"",IF($AU$79=0,AN845,ROUND(AN845/$AU$79,0)))</f>
        <v/>
      </c>
      <c r="AQ845" s="16" t="e">
        <f>IF(AP845="",NA(),COUNTIF(AP$176:$AP845,AP845))</f>
        <v>#N/A</v>
      </c>
      <c r="AR845" s="16" t="e">
        <f t="shared" ref="AR845:AR908" si="124">(AQ845-1)*$AU$82</f>
        <v>#N/A</v>
      </c>
      <c r="BI845" s="621">
        <v>837</v>
      </c>
      <c r="BJ845" s="711"/>
      <c r="BK845" s="712"/>
      <c r="BL845" s="713">
        <v>837</v>
      </c>
      <c r="BM845" s="714"/>
      <c r="BN845" s="239"/>
      <c r="BO845" s="24"/>
      <c r="BQ845" s="621">
        <v>837</v>
      </c>
      <c r="BR845" s="711"/>
      <c r="BS845" s="712"/>
      <c r="BT845" s="713">
        <v>837</v>
      </c>
      <c r="BU845" s="714"/>
      <c r="BV845" s="239"/>
      <c r="BW845" s="24"/>
      <c r="BY845" s="621">
        <v>837</v>
      </c>
      <c r="BZ845" s="711"/>
      <c r="CA845" s="712"/>
      <c r="CB845" s="713">
        <v>837</v>
      </c>
      <c r="CC845" s="714"/>
      <c r="CD845" s="239"/>
      <c r="CE845" s="24"/>
    </row>
    <row r="846" spans="5:83" ht="12" customHeight="1">
      <c r="E846" s="621">
        <v>838</v>
      </c>
      <c r="F846" s="711"/>
      <c r="G846" s="712"/>
      <c r="H846" s="713">
        <v>838</v>
      </c>
      <c r="I846" s="714"/>
      <c r="J846" s="239"/>
      <c r="K846" s="24"/>
      <c r="AI846" s="16" t="e">
        <f t="shared" si="117"/>
        <v>#N/A</v>
      </c>
      <c r="AJ846" s="16" t="str">
        <f t="shared" si="118"/>
        <v/>
      </c>
      <c r="AK846" s="16" t="str">
        <f t="shared" si="119"/>
        <v/>
      </c>
      <c r="AL846" s="16" t="e">
        <f>IF(AK846="",NA(),COUNTIF(AK$176:$AK846,AK846))</f>
        <v>#N/A</v>
      </c>
      <c r="AM846" s="16" t="e">
        <f t="shared" si="120"/>
        <v>#N/A</v>
      </c>
      <c r="AN846" s="16" t="e">
        <f t="shared" si="121"/>
        <v>#N/A</v>
      </c>
      <c r="AO846" s="16" t="str">
        <f t="shared" si="122"/>
        <v/>
      </c>
      <c r="AP846" s="16" t="str">
        <f t="shared" si="123"/>
        <v/>
      </c>
      <c r="AQ846" s="16" t="e">
        <f>IF(AP846="",NA(),COUNTIF(AP$176:$AP846,AP846))</f>
        <v>#N/A</v>
      </c>
      <c r="AR846" s="16" t="e">
        <f t="shared" si="124"/>
        <v>#N/A</v>
      </c>
      <c r="BI846" s="621">
        <v>838</v>
      </c>
      <c r="BJ846" s="711"/>
      <c r="BK846" s="712"/>
      <c r="BL846" s="713">
        <v>838</v>
      </c>
      <c r="BM846" s="714"/>
      <c r="BN846" s="239"/>
      <c r="BO846" s="24"/>
      <c r="BQ846" s="621">
        <v>838</v>
      </c>
      <c r="BR846" s="711"/>
      <c r="BS846" s="712"/>
      <c r="BT846" s="713">
        <v>838</v>
      </c>
      <c r="BU846" s="714"/>
      <c r="BV846" s="239"/>
      <c r="BW846" s="24"/>
      <c r="BY846" s="621">
        <v>838</v>
      </c>
      <c r="BZ846" s="711"/>
      <c r="CA846" s="712"/>
      <c r="CB846" s="713">
        <v>838</v>
      </c>
      <c r="CC846" s="714"/>
      <c r="CD846" s="239"/>
      <c r="CE846" s="24"/>
    </row>
    <row r="847" spans="5:83" ht="12" customHeight="1">
      <c r="E847" s="621">
        <v>839</v>
      </c>
      <c r="F847" s="711"/>
      <c r="G847" s="712"/>
      <c r="H847" s="713">
        <v>839</v>
      </c>
      <c r="I847" s="714"/>
      <c r="J847" s="239"/>
      <c r="K847" s="24"/>
      <c r="AI847" s="16" t="e">
        <f t="shared" si="117"/>
        <v>#N/A</v>
      </c>
      <c r="AJ847" s="16" t="str">
        <f t="shared" si="118"/>
        <v/>
      </c>
      <c r="AK847" s="16" t="str">
        <f t="shared" si="119"/>
        <v/>
      </c>
      <c r="AL847" s="16" t="e">
        <f>IF(AK847="",NA(),COUNTIF(AK$176:$AK847,AK847))</f>
        <v>#N/A</v>
      </c>
      <c r="AM847" s="16" t="e">
        <f t="shared" si="120"/>
        <v>#N/A</v>
      </c>
      <c r="AN847" s="16" t="e">
        <f t="shared" si="121"/>
        <v>#N/A</v>
      </c>
      <c r="AO847" s="16" t="str">
        <f t="shared" si="122"/>
        <v/>
      </c>
      <c r="AP847" s="16" t="str">
        <f t="shared" si="123"/>
        <v/>
      </c>
      <c r="AQ847" s="16" t="e">
        <f>IF(AP847="",NA(),COUNTIF(AP$176:$AP847,AP847))</f>
        <v>#N/A</v>
      </c>
      <c r="AR847" s="16" t="e">
        <f t="shared" si="124"/>
        <v>#N/A</v>
      </c>
      <c r="BI847" s="621">
        <v>839</v>
      </c>
      <c r="BJ847" s="711"/>
      <c r="BK847" s="712"/>
      <c r="BL847" s="713">
        <v>839</v>
      </c>
      <c r="BM847" s="714"/>
      <c r="BN847" s="239"/>
      <c r="BO847" s="24"/>
      <c r="BQ847" s="621">
        <v>839</v>
      </c>
      <c r="BR847" s="711"/>
      <c r="BS847" s="712"/>
      <c r="BT847" s="713">
        <v>839</v>
      </c>
      <c r="BU847" s="714"/>
      <c r="BV847" s="239"/>
      <c r="BW847" s="24"/>
      <c r="BY847" s="621">
        <v>839</v>
      </c>
      <c r="BZ847" s="711"/>
      <c r="CA847" s="712"/>
      <c r="CB847" s="713">
        <v>839</v>
      </c>
      <c r="CC847" s="714"/>
      <c r="CD847" s="239"/>
      <c r="CE847" s="24"/>
    </row>
    <row r="848" spans="5:83" ht="12" customHeight="1">
      <c r="E848" s="621">
        <v>840</v>
      </c>
      <c r="F848" s="711"/>
      <c r="G848" s="712"/>
      <c r="H848" s="713">
        <v>840</v>
      </c>
      <c r="I848" s="714"/>
      <c r="J848" s="239"/>
      <c r="K848" s="24"/>
      <c r="AI848" s="16" t="e">
        <f t="shared" si="117"/>
        <v>#N/A</v>
      </c>
      <c r="AJ848" s="16" t="str">
        <f t="shared" si="118"/>
        <v/>
      </c>
      <c r="AK848" s="16" t="str">
        <f t="shared" si="119"/>
        <v/>
      </c>
      <c r="AL848" s="16" t="e">
        <f>IF(AK848="",NA(),COUNTIF(AK$176:$AK848,AK848))</f>
        <v>#N/A</v>
      </c>
      <c r="AM848" s="16" t="e">
        <f t="shared" si="120"/>
        <v>#N/A</v>
      </c>
      <c r="AN848" s="16" t="e">
        <f t="shared" si="121"/>
        <v>#N/A</v>
      </c>
      <c r="AO848" s="16" t="str">
        <f t="shared" si="122"/>
        <v/>
      </c>
      <c r="AP848" s="16" t="str">
        <f t="shared" si="123"/>
        <v/>
      </c>
      <c r="AQ848" s="16" t="e">
        <f>IF(AP848="",NA(),COUNTIF(AP$176:$AP848,AP848))</f>
        <v>#N/A</v>
      </c>
      <c r="AR848" s="16" t="e">
        <f t="shared" si="124"/>
        <v>#N/A</v>
      </c>
      <c r="BI848" s="621">
        <v>840</v>
      </c>
      <c r="BJ848" s="711"/>
      <c r="BK848" s="712"/>
      <c r="BL848" s="713">
        <v>840</v>
      </c>
      <c r="BM848" s="714"/>
      <c r="BN848" s="239"/>
      <c r="BO848" s="24"/>
      <c r="BQ848" s="621">
        <v>840</v>
      </c>
      <c r="BR848" s="711"/>
      <c r="BS848" s="712"/>
      <c r="BT848" s="713">
        <v>840</v>
      </c>
      <c r="BU848" s="714"/>
      <c r="BV848" s="239"/>
      <c r="BW848" s="24"/>
      <c r="BY848" s="621">
        <v>840</v>
      </c>
      <c r="BZ848" s="711"/>
      <c r="CA848" s="712"/>
      <c r="CB848" s="713">
        <v>840</v>
      </c>
      <c r="CC848" s="714"/>
      <c r="CD848" s="239"/>
      <c r="CE848" s="24"/>
    </row>
    <row r="849" spans="5:83" ht="12" customHeight="1">
      <c r="E849" s="621">
        <v>841</v>
      </c>
      <c r="F849" s="711"/>
      <c r="G849" s="712"/>
      <c r="H849" s="713">
        <v>841</v>
      </c>
      <c r="I849" s="714"/>
      <c r="J849" s="239"/>
      <c r="K849" s="24"/>
      <c r="AI849" s="16" t="e">
        <f t="shared" si="117"/>
        <v>#N/A</v>
      </c>
      <c r="AJ849" s="16" t="str">
        <f t="shared" si="118"/>
        <v/>
      </c>
      <c r="AK849" s="16" t="str">
        <f t="shared" si="119"/>
        <v/>
      </c>
      <c r="AL849" s="16" t="e">
        <f>IF(AK849="",NA(),COUNTIF(AK$176:$AK849,AK849))</f>
        <v>#N/A</v>
      </c>
      <c r="AM849" s="16" t="e">
        <f t="shared" si="120"/>
        <v>#N/A</v>
      </c>
      <c r="AN849" s="16" t="e">
        <f t="shared" si="121"/>
        <v>#N/A</v>
      </c>
      <c r="AO849" s="16" t="str">
        <f t="shared" si="122"/>
        <v/>
      </c>
      <c r="AP849" s="16" t="str">
        <f t="shared" si="123"/>
        <v/>
      </c>
      <c r="AQ849" s="16" t="e">
        <f>IF(AP849="",NA(),COUNTIF(AP$176:$AP849,AP849))</f>
        <v>#N/A</v>
      </c>
      <c r="AR849" s="16" t="e">
        <f t="shared" si="124"/>
        <v>#N/A</v>
      </c>
      <c r="BI849" s="621">
        <v>841</v>
      </c>
      <c r="BJ849" s="711"/>
      <c r="BK849" s="712"/>
      <c r="BL849" s="713">
        <v>841</v>
      </c>
      <c r="BM849" s="714"/>
      <c r="BN849" s="239"/>
      <c r="BO849" s="24"/>
      <c r="BQ849" s="621">
        <v>841</v>
      </c>
      <c r="BR849" s="711"/>
      <c r="BS849" s="712"/>
      <c r="BT849" s="713">
        <v>841</v>
      </c>
      <c r="BU849" s="714"/>
      <c r="BV849" s="239"/>
      <c r="BW849" s="24"/>
      <c r="BY849" s="621">
        <v>841</v>
      </c>
      <c r="BZ849" s="711"/>
      <c r="CA849" s="712"/>
      <c r="CB849" s="713">
        <v>841</v>
      </c>
      <c r="CC849" s="714"/>
      <c r="CD849" s="239"/>
      <c r="CE849" s="24"/>
    </row>
    <row r="850" spans="5:83" ht="12" customHeight="1">
      <c r="E850" s="621">
        <v>842</v>
      </c>
      <c r="F850" s="711"/>
      <c r="G850" s="712"/>
      <c r="H850" s="713">
        <v>842</v>
      </c>
      <c r="I850" s="714"/>
      <c r="J850" s="239"/>
      <c r="K850" s="24"/>
      <c r="AI850" s="16" t="e">
        <f t="shared" si="117"/>
        <v>#N/A</v>
      </c>
      <c r="AJ850" s="16" t="str">
        <f t="shared" si="118"/>
        <v/>
      </c>
      <c r="AK850" s="16" t="str">
        <f t="shared" si="119"/>
        <v/>
      </c>
      <c r="AL850" s="16" t="e">
        <f>IF(AK850="",NA(),COUNTIF(AK$176:$AK850,AK850))</f>
        <v>#N/A</v>
      </c>
      <c r="AM850" s="16" t="e">
        <f t="shared" si="120"/>
        <v>#N/A</v>
      </c>
      <c r="AN850" s="16" t="e">
        <f t="shared" si="121"/>
        <v>#N/A</v>
      </c>
      <c r="AO850" s="16" t="str">
        <f t="shared" si="122"/>
        <v/>
      </c>
      <c r="AP850" s="16" t="str">
        <f t="shared" si="123"/>
        <v/>
      </c>
      <c r="AQ850" s="16" t="e">
        <f>IF(AP850="",NA(),COUNTIF(AP$176:$AP850,AP850))</f>
        <v>#N/A</v>
      </c>
      <c r="AR850" s="16" t="e">
        <f t="shared" si="124"/>
        <v>#N/A</v>
      </c>
      <c r="BI850" s="621">
        <v>842</v>
      </c>
      <c r="BJ850" s="711"/>
      <c r="BK850" s="712"/>
      <c r="BL850" s="713">
        <v>842</v>
      </c>
      <c r="BM850" s="714"/>
      <c r="BN850" s="239"/>
      <c r="BO850" s="24"/>
      <c r="BQ850" s="621">
        <v>842</v>
      </c>
      <c r="BR850" s="711"/>
      <c r="BS850" s="712"/>
      <c r="BT850" s="713">
        <v>842</v>
      </c>
      <c r="BU850" s="714"/>
      <c r="BV850" s="239"/>
      <c r="BW850" s="24"/>
      <c r="BY850" s="621">
        <v>842</v>
      </c>
      <c r="BZ850" s="711"/>
      <c r="CA850" s="712"/>
      <c r="CB850" s="713">
        <v>842</v>
      </c>
      <c r="CC850" s="714"/>
      <c r="CD850" s="239"/>
      <c r="CE850" s="24"/>
    </row>
    <row r="851" spans="5:83" ht="12" customHeight="1">
      <c r="E851" s="621">
        <v>843</v>
      </c>
      <c r="F851" s="711"/>
      <c r="G851" s="712"/>
      <c r="H851" s="713">
        <v>843</v>
      </c>
      <c r="I851" s="714"/>
      <c r="J851" s="239"/>
      <c r="K851" s="24"/>
      <c r="AI851" s="16" t="e">
        <f t="shared" si="117"/>
        <v>#N/A</v>
      </c>
      <c r="AJ851" s="16" t="str">
        <f t="shared" si="118"/>
        <v/>
      </c>
      <c r="AK851" s="16" t="str">
        <f t="shared" si="119"/>
        <v/>
      </c>
      <c r="AL851" s="16" t="e">
        <f>IF(AK851="",NA(),COUNTIF(AK$176:$AK851,AK851))</f>
        <v>#N/A</v>
      </c>
      <c r="AM851" s="16" t="e">
        <f t="shared" si="120"/>
        <v>#N/A</v>
      </c>
      <c r="AN851" s="16" t="e">
        <f t="shared" si="121"/>
        <v>#N/A</v>
      </c>
      <c r="AO851" s="16" t="str">
        <f t="shared" si="122"/>
        <v/>
      </c>
      <c r="AP851" s="16" t="str">
        <f t="shared" si="123"/>
        <v/>
      </c>
      <c r="AQ851" s="16" t="e">
        <f>IF(AP851="",NA(),COUNTIF(AP$176:$AP851,AP851))</f>
        <v>#N/A</v>
      </c>
      <c r="AR851" s="16" t="e">
        <f t="shared" si="124"/>
        <v>#N/A</v>
      </c>
      <c r="BI851" s="621">
        <v>843</v>
      </c>
      <c r="BJ851" s="711"/>
      <c r="BK851" s="712"/>
      <c r="BL851" s="713">
        <v>843</v>
      </c>
      <c r="BM851" s="714"/>
      <c r="BN851" s="239"/>
      <c r="BO851" s="24"/>
      <c r="BQ851" s="621">
        <v>843</v>
      </c>
      <c r="BR851" s="711"/>
      <c r="BS851" s="712"/>
      <c r="BT851" s="713">
        <v>843</v>
      </c>
      <c r="BU851" s="714"/>
      <c r="BV851" s="239"/>
      <c r="BW851" s="24"/>
      <c r="BY851" s="621">
        <v>843</v>
      </c>
      <c r="BZ851" s="711"/>
      <c r="CA851" s="712"/>
      <c r="CB851" s="713">
        <v>843</v>
      </c>
      <c r="CC851" s="714"/>
      <c r="CD851" s="239"/>
      <c r="CE851" s="24"/>
    </row>
    <row r="852" spans="5:83" ht="12" customHeight="1">
      <c r="E852" s="621">
        <v>844</v>
      </c>
      <c r="F852" s="711"/>
      <c r="G852" s="712"/>
      <c r="H852" s="713">
        <v>844</v>
      </c>
      <c r="I852" s="714"/>
      <c r="J852" s="239"/>
      <c r="K852" s="24"/>
      <c r="AI852" s="16" t="e">
        <f t="shared" si="117"/>
        <v>#N/A</v>
      </c>
      <c r="AJ852" s="16" t="str">
        <f t="shared" si="118"/>
        <v/>
      </c>
      <c r="AK852" s="16" t="str">
        <f t="shared" si="119"/>
        <v/>
      </c>
      <c r="AL852" s="16" t="e">
        <f>IF(AK852="",NA(),COUNTIF(AK$176:$AK852,AK852))</f>
        <v>#N/A</v>
      </c>
      <c r="AM852" s="16" t="e">
        <f t="shared" si="120"/>
        <v>#N/A</v>
      </c>
      <c r="AN852" s="16" t="e">
        <f t="shared" si="121"/>
        <v>#N/A</v>
      </c>
      <c r="AO852" s="16" t="str">
        <f t="shared" si="122"/>
        <v/>
      </c>
      <c r="AP852" s="16" t="str">
        <f t="shared" si="123"/>
        <v/>
      </c>
      <c r="AQ852" s="16" t="e">
        <f>IF(AP852="",NA(),COUNTIF(AP$176:$AP852,AP852))</f>
        <v>#N/A</v>
      </c>
      <c r="AR852" s="16" t="e">
        <f t="shared" si="124"/>
        <v>#N/A</v>
      </c>
      <c r="BI852" s="621">
        <v>844</v>
      </c>
      <c r="BJ852" s="711"/>
      <c r="BK852" s="712"/>
      <c r="BL852" s="713">
        <v>844</v>
      </c>
      <c r="BM852" s="714"/>
      <c r="BN852" s="239"/>
      <c r="BO852" s="24"/>
      <c r="BQ852" s="621">
        <v>844</v>
      </c>
      <c r="BR852" s="711"/>
      <c r="BS852" s="712"/>
      <c r="BT852" s="713">
        <v>844</v>
      </c>
      <c r="BU852" s="714"/>
      <c r="BV852" s="239"/>
      <c r="BW852" s="24"/>
      <c r="BY852" s="621">
        <v>844</v>
      </c>
      <c r="BZ852" s="711"/>
      <c r="CA852" s="712"/>
      <c r="CB852" s="713">
        <v>844</v>
      </c>
      <c r="CC852" s="714"/>
      <c r="CD852" s="239"/>
      <c r="CE852" s="24"/>
    </row>
    <row r="853" spans="5:83" ht="12" customHeight="1">
      <c r="E853" s="621">
        <v>845</v>
      </c>
      <c r="F853" s="711"/>
      <c r="G853" s="712"/>
      <c r="H853" s="713">
        <v>845</v>
      </c>
      <c r="I853" s="714"/>
      <c r="J853" s="239"/>
      <c r="K853" s="24"/>
      <c r="AI853" s="16" t="e">
        <f t="shared" si="117"/>
        <v>#N/A</v>
      </c>
      <c r="AJ853" s="16" t="str">
        <f t="shared" si="118"/>
        <v/>
      </c>
      <c r="AK853" s="16" t="str">
        <f t="shared" si="119"/>
        <v/>
      </c>
      <c r="AL853" s="16" t="e">
        <f>IF(AK853="",NA(),COUNTIF(AK$176:$AK853,AK853))</f>
        <v>#N/A</v>
      </c>
      <c r="AM853" s="16" t="e">
        <f t="shared" si="120"/>
        <v>#N/A</v>
      </c>
      <c r="AN853" s="16" t="e">
        <f t="shared" si="121"/>
        <v>#N/A</v>
      </c>
      <c r="AO853" s="16" t="str">
        <f t="shared" si="122"/>
        <v/>
      </c>
      <c r="AP853" s="16" t="str">
        <f t="shared" si="123"/>
        <v/>
      </c>
      <c r="AQ853" s="16" t="e">
        <f>IF(AP853="",NA(),COUNTIF(AP$176:$AP853,AP853))</f>
        <v>#N/A</v>
      </c>
      <c r="AR853" s="16" t="e">
        <f t="shared" si="124"/>
        <v>#N/A</v>
      </c>
      <c r="BI853" s="621">
        <v>845</v>
      </c>
      <c r="BJ853" s="711"/>
      <c r="BK853" s="712"/>
      <c r="BL853" s="713">
        <v>845</v>
      </c>
      <c r="BM853" s="714"/>
      <c r="BN853" s="239"/>
      <c r="BO853" s="24"/>
      <c r="BQ853" s="621">
        <v>845</v>
      </c>
      <c r="BR853" s="711"/>
      <c r="BS853" s="712"/>
      <c r="BT853" s="713">
        <v>845</v>
      </c>
      <c r="BU853" s="714"/>
      <c r="BV853" s="239"/>
      <c r="BW853" s="24"/>
      <c r="BY853" s="621">
        <v>845</v>
      </c>
      <c r="BZ853" s="711"/>
      <c r="CA853" s="712"/>
      <c r="CB853" s="713">
        <v>845</v>
      </c>
      <c r="CC853" s="714"/>
      <c r="CD853" s="239"/>
      <c r="CE853" s="24"/>
    </row>
    <row r="854" spans="5:83" ht="12" customHeight="1">
      <c r="E854" s="621">
        <v>846</v>
      </c>
      <c r="F854" s="711"/>
      <c r="G854" s="712"/>
      <c r="H854" s="713">
        <v>846</v>
      </c>
      <c r="I854" s="714"/>
      <c r="J854" s="239"/>
      <c r="K854" s="24"/>
      <c r="AI854" s="16" t="e">
        <f t="shared" si="117"/>
        <v>#N/A</v>
      </c>
      <c r="AJ854" s="16" t="str">
        <f t="shared" si="118"/>
        <v/>
      </c>
      <c r="AK854" s="16" t="str">
        <f t="shared" si="119"/>
        <v/>
      </c>
      <c r="AL854" s="16" t="e">
        <f>IF(AK854="",NA(),COUNTIF(AK$176:$AK854,AK854))</f>
        <v>#N/A</v>
      </c>
      <c r="AM854" s="16" t="e">
        <f t="shared" si="120"/>
        <v>#N/A</v>
      </c>
      <c r="AN854" s="16" t="e">
        <f t="shared" si="121"/>
        <v>#N/A</v>
      </c>
      <c r="AO854" s="16" t="str">
        <f t="shared" si="122"/>
        <v/>
      </c>
      <c r="AP854" s="16" t="str">
        <f t="shared" si="123"/>
        <v/>
      </c>
      <c r="AQ854" s="16" t="e">
        <f>IF(AP854="",NA(),COUNTIF(AP$176:$AP854,AP854))</f>
        <v>#N/A</v>
      </c>
      <c r="AR854" s="16" t="e">
        <f t="shared" si="124"/>
        <v>#N/A</v>
      </c>
      <c r="BI854" s="621">
        <v>846</v>
      </c>
      <c r="BJ854" s="711"/>
      <c r="BK854" s="712"/>
      <c r="BL854" s="713">
        <v>846</v>
      </c>
      <c r="BM854" s="714"/>
      <c r="BN854" s="239"/>
      <c r="BO854" s="24"/>
      <c r="BQ854" s="621">
        <v>846</v>
      </c>
      <c r="BR854" s="711"/>
      <c r="BS854" s="712"/>
      <c r="BT854" s="713">
        <v>846</v>
      </c>
      <c r="BU854" s="714"/>
      <c r="BV854" s="239"/>
      <c r="BW854" s="24"/>
      <c r="BY854" s="621">
        <v>846</v>
      </c>
      <c r="BZ854" s="711"/>
      <c r="CA854" s="712"/>
      <c r="CB854" s="713">
        <v>846</v>
      </c>
      <c r="CC854" s="714"/>
      <c r="CD854" s="239"/>
      <c r="CE854" s="24"/>
    </row>
    <row r="855" spans="5:83" ht="12" customHeight="1">
      <c r="E855" s="621">
        <v>847</v>
      </c>
      <c r="F855" s="711"/>
      <c r="G855" s="712"/>
      <c r="H855" s="713">
        <v>847</v>
      </c>
      <c r="I855" s="714"/>
      <c r="J855" s="239"/>
      <c r="K855" s="24"/>
      <c r="AI855" s="16" t="e">
        <f t="shared" si="117"/>
        <v>#N/A</v>
      </c>
      <c r="AJ855" s="16" t="str">
        <f t="shared" si="118"/>
        <v/>
      </c>
      <c r="AK855" s="16" t="str">
        <f t="shared" si="119"/>
        <v/>
      </c>
      <c r="AL855" s="16" t="e">
        <f>IF(AK855="",NA(),COUNTIF(AK$176:$AK855,AK855))</f>
        <v>#N/A</v>
      </c>
      <c r="AM855" s="16" t="e">
        <f t="shared" si="120"/>
        <v>#N/A</v>
      </c>
      <c r="AN855" s="16" t="e">
        <f t="shared" si="121"/>
        <v>#N/A</v>
      </c>
      <c r="AO855" s="16" t="str">
        <f t="shared" si="122"/>
        <v/>
      </c>
      <c r="AP855" s="16" t="str">
        <f t="shared" si="123"/>
        <v/>
      </c>
      <c r="AQ855" s="16" t="e">
        <f>IF(AP855="",NA(),COUNTIF(AP$176:$AP855,AP855))</f>
        <v>#N/A</v>
      </c>
      <c r="AR855" s="16" t="e">
        <f t="shared" si="124"/>
        <v>#N/A</v>
      </c>
      <c r="BI855" s="621">
        <v>847</v>
      </c>
      <c r="BJ855" s="711"/>
      <c r="BK855" s="712"/>
      <c r="BL855" s="713">
        <v>847</v>
      </c>
      <c r="BM855" s="714"/>
      <c r="BN855" s="239"/>
      <c r="BO855" s="24"/>
      <c r="BQ855" s="621">
        <v>847</v>
      </c>
      <c r="BR855" s="711"/>
      <c r="BS855" s="712"/>
      <c r="BT855" s="713">
        <v>847</v>
      </c>
      <c r="BU855" s="714"/>
      <c r="BV855" s="239"/>
      <c r="BW855" s="24"/>
      <c r="BY855" s="621">
        <v>847</v>
      </c>
      <c r="BZ855" s="711"/>
      <c r="CA855" s="712"/>
      <c r="CB855" s="713">
        <v>847</v>
      </c>
      <c r="CC855" s="714"/>
      <c r="CD855" s="239"/>
      <c r="CE855" s="24"/>
    </row>
    <row r="856" spans="5:83" ht="12" customHeight="1">
      <c r="E856" s="621">
        <v>848</v>
      </c>
      <c r="F856" s="711"/>
      <c r="G856" s="712"/>
      <c r="H856" s="713">
        <v>848</v>
      </c>
      <c r="I856" s="714"/>
      <c r="J856" s="239"/>
      <c r="K856" s="24"/>
      <c r="AI856" s="16" t="e">
        <f t="shared" si="117"/>
        <v>#N/A</v>
      </c>
      <c r="AJ856" s="16" t="str">
        <f t="shared" si="118"/>
        <v/>
      </c>
      <c r="AK856" s="16" t="str">
        <f t="shared" si="119"/>
        <v/>
      </c>
      <c r="AL856" s="16" t="e">
        <f>IF(AK856="",NA(),COUNTIF(AK$176:$AK856,AK856))</f>
        <v>#N/A</v>
      </c>
      <c r="AM856" s="16" t="e">
        <f t="shared" si="120"/>
        <v>#N/A</v>
      </c>
      <c r="AN856" s="16" t="e">
        <f t="shared" si="121"/>
        <v>#N/A</v>
      </c>
      <c r="AO856" s="16" t="str">
        <f t="shared" si="122"/>
        <v/>
      </c>
      <c r="AP856" s="16" t="str">
        <f t="shared" si="123"/>
        <v/>
      </c>
      <c r="AQ856" s="16" t="e">
        <f>IF(AP856="",NA(),COUNTIF(AP$176:$AP856,AP856))</f>
        <v>#N/A</v>
      </c>
      <c r="AR856" s="16" t="e">
        <f t="shared" si="124"/>
        <v>#N/A</v>
      </c>
      <c r="BI856" s="621">
        <v>848</v>
      </c>
      <c r="BJ856" s="711"/>
      <c r="BK856" s="712"/>
      <c r="BL856" s="713">
        <v>848</v>
      </c>
      <c r="BM856" s="714"/>
      <c r="BN856" s="239"/>
      <c r="BO856" s="24"/>
      <c r="BQ856" s="621">
        <v>848</v>
      </c>
      <c r="BR856" s="711"/>
      <c r="BS856" s="712"/>
      <c r="BT856" s="713">
        <v>848</v>
      </c>
      <c r="BU856" s="714"/>
      <c r="BV856" s="239"/>
      <c r="BW856" s="24"/>
      <c r="BY856" s="621">
        <v>848</v>
      </c>
      <c r="BZ856" s="711"/>
      <c r="CA856" s="712"/>
      <c r="CB856" s="713">
        <v>848</v>
      </c>
      <c r="CC856" s="714"/>
      <c r="CD856" s="239"/>
      <c r="CE856" s="24"/>
    </row>
    <row r="857" spans="5:83" ht="12" customHeight="1">
      <c r="E857" s="621">
        <v>849</v>
      </c>
      <c r="F857" s="711"/>
      <c r="G857" s="712"/>
      <c r="H857" s="713">
        <v>849</v>
      </c>
      <c r="I857" s="714"/>
      <c r="J857" s="239"/>
      <c r="K857" s="24"/>
      <c r="AI857" s="16" t="e">
        <f t="shared" si="117"/>
        <v>#N/A</v>
      </c>
      <c r="AJ857" s="16" t="str">
        <f t="shared" si="118"/>
        <v/>
      </c>
      <c r="AK857" s="16" t="str">
        <f t="shared" si="119"/>
        <v/>
      </c>
      <c r="AL857" s="16" t="e">
        <f>IF(AK857="",NA(),COUNTIF(AK$176:$AK857,AK857))</f>
        <v>#N/A</v>
      </c>
      <c r="AM857" s="16" t="e">
        <f t="shared" si="120"/>
        <v>#N/A</v>
      </c>
      <c r="AN857" s="16" t="e">
        <f t="shared" si="121"/>
        <v>#N/A</v>
      </c>
      <c r="AO857" s="16" t="str">
        <f t="shared" si="122"/>
        <v/>
      </c>
      <c r="AP857" s="16" t="str">
        <f t="shared" si="123"/>
        <v/>
      </c>
      <c r="AQ857" s="16" t="e">
        <f>IF(AP857="",NA(),COUNTIF(AP$176:$AP857,AP857))</f>
        <v>#N/A</v>
      </c>
      <c r="AR857" s="16" t="e">
        <f t="shared" si="124"/>
        <v>#N/A</v>
      </c>
      <c r="BI857" s="621">
        <v>849</v>
      </c>
      <c r="BJ857" s="711"/>
      <c r="BK857" s="712"/>
      <c r="BL857" s="713">
        <v>849</v>
      </c>
      <c r="BM857" s="714"/>
      <c r="BN857" s="239"/>
      <c r="BO857" s="24"/>
      <c r="BQ857" s="621">
        <v>849</v>
      </c>
      <c r="BR857" s="711"/>
      <c r="BS857" s="712"/>
      <c r="BT857" s="713">
        <v>849</v>
      </c>
      <c r="BU857" s="714"/>
      <c r="BV857" s="239"/>
      <c r="BW857" s="24"/>
      <c r="BY857" s="621">
        <v>849</v>
      </c>
      <c r="BZ857" s="711"/>
      <c r="CA857" s="712"/>
      <c r="CB857" s="713">
        <v>849</v>
      </c>
      <c r="CC857" s="714"/>
      <c r="CD857" s="239"/>
      <c r="CE857" s="24"/>
    </row>
    <row r="858" spans="5:83" ht="12" customHeight="1">
      <c r="E858" s="621">
        <v>850</v>
      </c>
      <c r="F858" s="711"/>
      <c r="G858" s="712"/>
      <c r="H858" s="713">
        <v>850</v>
      </c>
      <c r="I858" s="714"/>
      <c r="J858" s="239"/>
      <c r="K858" s="24"/>
      <c r="AI858" s="16" t="e">
        <f t="shared" si="117"/>
        <v>#N/A</v>
      </c>
      <c r="AJ858" s="16" t="str">
        <f t="shared" si="118"/>
        <v/>
      </c>
      <c r="AK858" s="16" t="str">
        <f t="shared" si="119"/>
        <v/>
      </c>
      <c r="AL858" s="16" t="e">
        <f>IF(AK858="",NA(),COUNTIF(AK$176:$AK858,AK858))</f>
        <v>#N/A</v>
      </c>
      <c r="AM858" s="16" t="e">
        <f t="shared" si="120"/>
        <v>#N/A</v>
      </c>
      <c r="AN858" s="16" t="e">
        <f t="shared" si="121"/>
        <v>#N/A</v>
      </c>
      <c r="AO858" s="16" t="str">
        <f t="shared" si="122"/>
        <v/>
      </c>
      <c r="AP858" s="16" t="str">
        <f t="shared" si="123"/>
        <v/>
      </c>
      <c r="AQ858" s="16" t="e">
        <f>IF(AP858="",NA(),COUNTIF(AP$176:$AP858,AP858))</f>
        <v>#N/A</v>
      </c>
      <c r="AR858" s="16" t="e">
        <f t="shared" si="124"/>
        <v>#N/A</v>
      </c>
      <c r="BI858" s="621">
        <v>850</v>
      </c>
      <c r="BJ858" s="711"/>
      <c r="BK858" s="712"/>
      <c r="BL858" s="713">
        <v>850</v>
      </c>
      <c r="BM858" s="714"/>
      <c r="BN858" s="239"/>
      <c r="BO858" s="24"/>
      <c r="BQ858" s="621">
        <v>850</v>
      </c>
      <c r="BR858" s="711"/>
      <c r="BS858" s="712"/>
      <c r="BT858" s="713">
        <v>850</v>
      </c>
      <c r="BU858" s="714"/>
      <c r="BV858" s="239"/>
      <c r="BW858" s="24"/>
      <c r="BY858" s="621">
        <v>850</v>
      </c>
      <c r="BZ858" s="711"/>
      <c r="CA858" s="712"/>
      <c r="CB858" s="713">
        <v>850</v>
      </c>
      <c r="CC858" s="714"/>
      <c r="CD858" s="239"/>
      <c r="CE858" s="24"/>
    </row>
    <row r="859" spans="5:83" ht="12" customHeight="1">
      <c r="E859" s="621">
        <v>851</v>
      </c>
      <c r="F859" s="711"/>
      <c r="G859" s="712"/>
      <c r="H859" s="713">
        <v>851</v>
      </c>
      <c r="I859" s="714"/>
      <c r="J859" s="239"/>
      <c r="K859" s="24"/>
      <c r="AI859" s="16" t="e">
        <f t="shared" si="117"/>
        <v>#N/A</v>
      </c>
      <c r="AJ859" s="16" t="str">
        <f t="shared" si="118"/>
        <v/>
      </c>
      <c r="AK859" s="16" t="str">
        <f t="shared" si="119"/>
        <v/>
      </c>
      <c r="AL859" s="16" t="e">
        <f>IF(AK859="",NA(),COUNTIF(AK$176:$AK859,AK859))</f>
        <v>#N/A</v>
      </c>
      <c r="AM859" s="16" t="e">
        <f t="shared" si="120"/>
        <v>#N/A</v>
      </c>
      <c r="AN859" s="16" t="e">
        <f t="shared" si="121"/>
        <v>#N/A</v>
      </c>
      <c r="AO859" s="16" t="str">
        <f t="shared" si="122"/>
        <v/>
      </c>
      <c r="AP859" s="16" t="str">
        <f t="shared" si="123"/>
        <v/>
      </c>
      <c r="AQ859" s="16" t="e">
        <f>IF(AP859="",NA(),COUNTIF(AP$176:$AP859,AP859))</f>
        <v>#N/A</v>
      </c>
      <c r="AR859" s="16" t="e">
        <f t="shared" si="124"/>
        <v>#N/A</v>
      </c>
      <c r="BI859" s="621">
        <v>851</v>
      </c>
      <c r="BJ859" s="711"/>
      <c r="BK859" s="712"/>
      <c r="BL859" s="713">
        <v>851</v>
      </c>
      <c r="BM859" s="714"/>
      <c r="BN859" s="239"/>
      <c r="BO859" s="24"/>
      <c r="BQ859" s="621">
        <v>851</v>
      </c>
      <c r="BR859" s="711"/>
      <c r="BS859" s="712"/>
      <c r="BT859" s="713">
        <v>851</v>
      </c>
      <c r="BU859" s="714"/>
      <c r="BV859" s="239"/>
      <c r="BW859" s="24"/>
      <c r="BY859" s="621">
        <v>851</v>
      </c>
      <c r="BZ859" s="711"/>
      <c r="CA859" s="712"/>
      <c r="CB859" s="713">
        <v>851</v>
      </c>
      <c r="CC859" s="714"/>
      <c r="CD859" s="239"/>
      <c r="CE859" s="24"/>
    </row>
    <row r="860" spans="5:83" ht="12" customHeight="1">
      <c r="E860" s="621">
        <v>852</v>
      </c>
      <c r="F860" s="711"/>
      <c r="G860" s="712"/>
      <c r="H860" s="713">
        <v>852</v>
      </c>
      <c r="I860" s="714"/>
      <c r="J860" s="239"/>
      <c r="K860" s="24"/>
      <c r="AI860" s="16" t="e">
        <f t="shared" si="117"/>
        <v>#N/A</v>
      </c>
      <c r="AJ860" s="16" t="str">
        <f t="shared" si="118"/>
        <v/>
      </c>
      <c r="AK860" s="16" t="str">
        <f t="shared" si="119"/>
        <v/>
      </c>
      <c r="AL860" s="16" t="e">
        <f>IF(AK860="",NA(),COUNTIF(AK$176:$AK860,AK860))</f>
        <v>#N/A</v>
      </c>
      <c r="AM860" s="16" t="e">
        <f t="shared" si="120"/>
        <v>#N/A</v>
      </c>
      <c r="AN860" s="16" t="e">
        <f t="shared" si="121"/>
        <v>#N/A</v>
      </c>
      <c r="AO860" s="16" t="str">
        <f t="shared" si="122"/>
        <v/>
      </c>
      <c r="AP860" s="16" t="str">
        <f t="shared" si="123"/>
        <v/>
      </c>
      <c r="AQ860" s="16" t="e">
        <f>IF(AP860="",NA(),COUNTIF(AP$176:$AP860,AP860))</f>
        <v>#N/A</v>
      </c>
      <c r="AR860" s="16" t="e">
        <f t="shared" si="124"/>
        <v>#N/A</v>
      </c>
      <c r="BI860" s="621">
        <v>852</v>
      </c>
      <c r="BJ860" s="711"/>
      <c r="BK860" s="712"/>
      <c r="BL860" s="713">
        <v>852</v>
      </c>
      <c r="BM860" s="714"/>
      <c r="BN860" s="239"/>
      <c r="BO860" s="24"/>
      <c r="BQ860" s="621">
        <v>852</v>
      </c>
      <c r="BR860" s="711"/>
      <c r="BS860" s="712"/>
      <c r="BT860" s="713">
        <v>852</v>
      </c>
      <c r="BU860" s="714"/>
      <c r="BV860" s="239"/>
      <c r="BW860" s="24"/>
      <c r="BY860" s="621">
        <v>852</v>
      </c>
      <c r="BZ860" s="711"/>
      <c r="CA860" s="712"/>
      <c r="CB860" s="713">
        <v>852</v>
      </c>
      <c r="CC860" s="714"/>
      <c r="CD860" s="239"/>
      <c r="CE860" s="24"/>
    </row>
    <row r="861" spans="5:83" ht="12" customHeight="1">
      <c r="E861" s="621">
        <v>853</v>
      </c>
      <c r="F861" s="711"/>
      <c r="G861" s="712"/>
      <c r="H861" s="713">
        <v>853</v>
      </c>
      <c r="I861" s="714"/>
      <c r="J861" s="239"/>
      <c r="K861" s="24"/>
      <c r="AI861" s="16" t="e">
        <f t="shared" si="117"/>
        <v>#N/A</v>
      </c>
      <c r="AJ861" s="16" t="str">
        <f t="shared" si="118"/>
        <v/>
      </c>
      <c r="AK861" s="16" t="str">
        <f t="shared" si="119"/>
        <v/>
      </c>
      <c r="AL861" s="16" t="e">
        <f>IF(AK861="",NA(),COUNTIF(AK$176:$AK861,AK861))</f>
        <v>#N/A</v>
      </c>
      <c r="AM861" s="16" t="e">
        <f t="shared" si="120"/>
        <v>#N/A</v>
      </c>
      <c r="AN861" s="16" t="e">
        <f t="shared" si="121"/>
        <v>#N/A</v>
      </c>
      <c r="AO861" s="16" t="str">
        <f t="shared" si="122"/>
        <v/>
      </c>
      <c r="AP861" s="16" t="str">
        <f t="shared" si="123"/>
        <v/>
      </c>
      <c r="AQ861" s="16" t="e">
        <f>IF(AP861="",NA(),COUNTIF(AP$176:$AP861,AP861))</f>
        <v>#N/A</v>
      </c>
      <c r="AR861" s="16" t="e">
        <f t="shared" si="124"/>
        <v>#N/A</v>
      </c>
      <c r="BI861" s="621">
        <v>853</v>
      </c>
      <c r="BJ861" s="711"/>
      <c r="BK861" s="712"/>
      <c r="BL861" s="713">
        <v>853</v>
      </c>
      <c r="BM861" s="714"/>
      <c r="BN861" s="239"/>
      <c r="BO861" s="24"/>
      <c r="BQ861" s="621">
        <v>853</v>
      </c>
      <c r="BR861" s="711"/>
      <c r="BS861" s="712"/>
      <c r="BT861" s="713">
        <v>853</v>
      </c>
      <c r="BU861" s="714"/>
      <c r="BV861" s="239"/>
      <c r="BW861" s="24"/>
      <c r="BY861" s="621">
        <v>853</v>
      </c>
      <c r="BZ861" s="711"/>
      <c r="CA861" s="712"/>
      <c r="CB861" s="713">
        <v>853</v>
      </c>
      <c r="CC861" s="714"/>
      <c r="CD861" s="239"/>
      <c r="CE861" s="24"/>
    </row>
    <row r="862" spans="5:83" ht="12" customHeight="1">
      <c r="E862" s="621">
        <v>854</v>
      </c>
      <c r="F862" s="711"/>
      <c r="G862" s="712"/>
      <c r="H862" s="713">
        <v>854</v>
      </c>
      <c r="I862" s="714"/>
      <c r="J862" s="239"/>
      <c r="K862" s="24"/>
      <c r="AI862" s="16" t="e">
        <f t="shared" si="117"/>
        <v>#N/A</v>
      </c>
      <c r="AJ862" s="16" t="str">
        <f t="shared" si="118"/>
        <v/>
      </c>
      <c r="AK862" s="16" t="str">
        <f t="shared" si="119"/>
        <v/>
      </c>
      <c r="AL862" s="16" t="e">
        <f>IF(AK862="",NA(),COUNTIF(AK$176:$AK862,AK862))</f>
        <v>#N/A</v>
      </c>
      <c r="AM862" s="16" t="e">
        <f t="shared" si="120"/>
        <v>#N/A</v>
      </c>
      <c r="AN862" s="16" t="e">
        <f t="shared" si="121"/>
        <v>#N/A</v>
      </c>
      <c r="AO862" s="16" t="str">
        <f t="shared" si="122"/>
        <v/>
      </c>
      <c r="AP862" s="16" t="str">
        <f t="shared" si="123"/>
        <v/>
      </c>
      <c r="AQ862" s="16" t="e">
        <f>IF(AP862="",NA(),COUNTIF(AP$176:$AP862,AP862))</f>
        <v>#N/A</v>
      </c>
      <c r="AR862" s="16" t="e">
        <f t="shared" si="124"/>
        <v>#N/A</v>
      </c>
      <c r="BI862" s="621">
        <v>854</v>
      </c>
      <c r="BJ862" s="711"/>
      <c r="BK862" s="712"/>
      <c r="BL862" s="713">
        <v>854</v>
      </c>
      <c r="BM862" s="714"/>
      <c r="BN862" s="239"/>
      <c r="BO862" s="24"/>
      <c r="BQ862" s="621">
        <v>854</v>
      </c>
      <c r="BR862" s="711"/>
      <c r="BS862" s="712"/>
      <c r="BT862" s="713">
        <v>854</v>
      </c>
      <c r="BU862" s="714"/>
      <c r="BV862" s="239"/>
      <c r="BW862" s="24"/>
      <c r="BY862" s="621">
        <v>854</v>
      </c>
      <c r="BZ862" s="711"/>
      <c r="CA862" s="712"/>
      <c r="CB862" s="713">
        <v>854</v>
      </c>
      <c r="CC862" s="714"/>
      <c r="CD862" s="239"/>
      <c r="CE862" s="24"/>
    </row>
    <row r="863" spans="5:83" ht="12" customHeight="1">
      <c r="E863" s="621">
        <v>855</v>
      </c>
      <c r="F863" s="711"/>
      <c r="G863" s="712"/>
      <c r="H863" s="713">
        <v>855</v>
      </c>
      <c r="I863" s="714"/>
      <c r="J863" s="239"/>
      <c r="K863" s="24"/>
      <c r="AI863" s="16" t="e">
        <f t="shared" si="117"/>
        <v>#N/A</v>
      </c>
      <c r="AJ863" s="16" t="str">
        <f t="shared" si="118"/>
        <v/>
      </c>
      <c r="AK863" s="16" t="str">
        <f t="shared" si="119"/>
        <v/>
      </c>
      <c r="AL863" s="16" t="e">
        <f>IF(AK863="",NA(),COUNTIF(AK$176:$AK863,AK863))</f>
        <v>#N/A</v>
      </c>
      <c r="AM863" s="16" t="e">
        <f t="shared" si="120"/>
        <v>#N/A</v>
      </c>
      <c r="AN863" s="16" t="e">
        <f t="shared" si="121"/>
        <v>#N/A</v>
      </c>
      <c r="AO863" s="16" t="str">
        <f t="shared" si="122"/>
        <v/>
      </c>
      <c r="AP863" s="16" t="str">
        <f t="shared" si="123"/>
        <v/>
      </c>
      <c r="AQ863" s="16" t="e">
        <f>IF(AP863="",NA(),COUNTIF(AP$176:$AP863,AP863))</f>
        <v>#N/A</v>
      </c>
      <c r="AR863" s="16" t="e">
        <f t="shared" si="124"/>
        <v>#N/A</v>
      </c>
      <c r="BI863" s="621">
        <v>855</v>
      </c>
      <c r="BJ863" s="711"/>
      <c r="BK863" s="712"/>
      <c r="BL863" s="713">
        <v>855</v>
      </c>
      <c r="BM863" s="714"/>
      <c r="BN863" s="239"/>
      <c r="BO863" s="24"/>
      <c r="BQ863" s="621">
        <v>855</v>
      </c>
      <c r="BR863" s="711"/>
      <c r="BS863" s="712"/>
      <c r="BT863" s="713">
        <v>855</v>
      </c>
      <c r="BU863" s="714"/>
      <c r="BV863" s="239"/>
      <c r="BW863" s="24"/>
      <c r="BY863" s="621">
        <v>855</v>
      </c>
      <c r="BZ863" s="711"/>
      <c r="CA863" s="712"/>
      <c r="CB863" s="713">
        <v>855</v>
      </c>
      <c r="CC863" s="714"/>
      <c r="CD863" s="239"/>
      <c r="CE863" s="24"/>
    </row>
    <row r="864" spans="5:83" ht="12" customHeight="1">
      <c r="E864" s="621">
        <v>856</v>
      </c>
      <c r="F864" s="711"/>
      <c r="G864" s="712"/>
      <c r="H864" s="713">
        <v>856</v>
      </c>
      <c r="I864" s="714"/>
      <c r="J864" s="239"/>
      <c r="K864" s="24"/>
      <c r="AI864" s="16" t="e">
        <f t="shared" si="117"/>
        <v>#N/A</v>
      </c>
      <c r="AJ864" s="16" t="str">
        <f t="shared" si="118"/>
        <v/>
      </c>
      <c r="AK864" s="16" t="str">
        <f t="shared" si="119"/>
        <v/>
      </c>
      <c r="AL864" s="16" t="e">
        <f>IF(AK864="",NA(),COUNTIF(AK$176:$AK864,AK864))</f>
        <v>#N/A</v>
      </c>
      <c r="AM864" s="16" t="e">
        <f t="shared" si="120"/>
        <v>#N/A</v>
      </c>
      <c r="AN864" s="16" t="e">
        <f t="shared" si="121"/>
        <v>#N/A</v>
      </c>
      <c r="AO864" s="16" t="str">
        <f t="shared" si="122"/>
        <v/>
      </c>
      <c r="AP864" s="16" t="str">
        <f t="shared" si="123"/>
        <v/>
      </c>
      <c r="AQ864" s="16" t="e">
        <f>IF(AP864="",NA(),COUNTIF(AP$176:$AP864,AP864))</f>
        <v>#N/A</v>
      </c>
      <c r="AR864" s="16" t="e">
        <f t="shared" si="124"/>
        <v>#N/A</v>
      </c>
      <c r="BI864" s="621">
        <v>856</v>
      </c>
      <c r="BJ864" s="711"/>
      <c r="BK864" s="712"/>
      <c r="BL864" s="713">
        <v>856</v>
      </c>
      <c r="BM864" s="714"/>
      <c r="BN864" s="239"/>
      <c r="BO864" s="24"/>
      <c r="BQ864" s="621">
        <v>856</v>
      </c>
      <c r="BR864" s="711"/>
      <c r="BS864" s="712"/>
      <c r="BT864" s="713">
        <v>856</v>
      </c>
      <c r="BU864" s="714"/>
      <c r="BV864" s="239"/>
      <c r="BW864" s="24"/>
      <c r="BY864" s="621">
        <v>856</v>
      </c>
      <c r="BZ864" s="711"/>
      <c r="CA864" s="712"/>
      <c r="CB864" s="713">
        <v>856</v>
      </c>
      <c r="CC864" s="714"/>
      <c r="CD864" s="239"/>
      <c r="CE864" s="24"/>
    </row>
    <row r="865" spans="5:83" ht="12" customHeight="1">
      <c r="E865" s="621">
        <v>857</v>
      </c>
      <c r="F865" s="711"/>
      <c r="G865" s="712"/>
      <c r="H865" s="713">
        <v>857</v>
      </c>
      <c r="I865" s="714"/>
      <c r="J865" s="239"/>
      <c r="K865" s="24"/>
      <c r="AI865" s="16" t="e">
        <f t="shared" si="117"/>
        <v>#N/A</v>
      </c>
      <c r="AJ865" s="16" t="str">
        <f t="shared" si="118"/>
        <v/>
      </c>
      <c r="AK865" s="16" t="str">
        <f t="shared" si="119"/>
        <v/>
      </c>
      <c r="AL865" s="16" t="e">
        <f>IF(AK865="",NA(),COUNTIF(AK$176:$AK865,AK865))</f>
        <v>#N/A</v>
      </c>
      <c r="AM865" s="16" t="e">
        <f t="shared" si="120"/>
        <v>#N/A</v>
      </c>
      <c r="AN865" s="16" t="e">
        <f t="shared" si="121"/>
        <v>#N/A</v>
      </c>
      <c r="AO865" s="16" t="str">
        <f t="shared" si="122"/>
        <v/>
      </c>
      <c r="AP865" s="16" t="str">
        <f t="shared" si="123"/>
        <v/>
      </c>
      <c r="AQ865" s="16" t="e">
        <f>IF(AP865="",NA(),COUNTIF(AP$176:$AP865,AP865))</f>
        <v>#N/A</v>
      </c>
      <c r="AR865" s="16" t="e">
        <f t="shared" si="124"/>
        <v>#N/A</v>
      </c>
      <c r="BI865" s="621">
        <v>857</v>
      </c>
      <c r="BJ865" s="711"/>
      <c r="BK865" s="712"/>
      <c r="BL865" s="713">
        <v>857</v>
      </c>
      <c r="BM865" s="714"/>
      <c r="BN865" s="239"/>
      <c r="BO865" s="24"/>
      <c r="BQ865" s="621">
        <v>857</v>
      </c>
      <c r="BR865" s="711"/>
      <c r="BS865" s="712"/>
      <c r="BT865" s="713">
        <v>857</v>
      </c>
      <c r="BU865" s="714"/>
      <c r="BV865" s="239"/>
      <c r="BW865" s="24"/>
      <c r="BY865" s="621">
        <v>857</v>
      </c>
      <c r="BZ865" s="711"/>
      <c r="CA865" s="712"/>
      <c r="CB865" s="713">
        <v>857</v>
      </c>
      <c r="CC865" s="714"/>
      <c r="CD865" s="239"/>
      <c r="CE865" s="24"/>
    </row>
    <row r="866" spans="5:83" ht="12" customHeight="1">
      <c r="E866" s="621">
        <v>858</v>
      </c>
      <c r="F866" s="711"/>
      <c r="G866" s="712"/>
      <c r="H866" s="713">
        <v>858</v>
      </c>
      <c r="I866" s="714"/>
      <c r="J866" s="239"/>
      <c r="K866" s="24"/>
      <c r="AI866" s="16" t="e">
        <f t="shared" si="117"/>
        <v>#N/A</v>
      </c>
      <c r="AJ866" s="16" t="str">
        <f t="shared" si="118"/>
        <v/>
      </c>
      <c r="AK866" s="16" t="str">
        <f t="shared" si="119"/>
        <v/>
      </c>
      <c r="AL866" s="16" t="e">
        <f>IF(AK866="",NA(),COUNTIF(AK$176:$AK866,AK866))</f>
        <v>#N/A</v>
      </c>
      <c r="AM866" s="16" t="e">
        <f t="shared" si="120"/>
        <v>#N/A</v>
      </c>
      <c r="AN866" s="16" t="e">
        <f t="shared" si="121"/>
        <v>#N/A</v>
      </c>
      <c r="AO866" s="16" t="str">
        <f t="shared" si="122"/>
        <v/>
      </c>
      <c r="AP866" s="16" t="str">
        <f t="shared" si="123"/>
        <v/>
      </c>
      <c r="AQ866" s="16" t="e">
        <f>IF(AP866="",NA(),COUNTIF(AP$176:$AP866,AP866))</f>
        <v>#N/A</v>
      </c>
      <c r="AR866" s="16" t="e">
        <f t="shared" si="124"/>
        <v>#N/A</v>
      </c>
      <c r="BI866" s="621">
        <v>858</v>
      </c>
      <c r="BJ866" s="711"/>
      <c r="BK866" s="712"/>
      <c r="BL866" s="713">
        <v>858</v>
      </c>
      <c r="BM866" s="714"/>
      <c r="BN866" s="239"/>
      <c r="BO866" s="24"/>
      <c r="BQ866" s="621">
        <v>858</v>
      </c>
      <c r="BR866" s="711"/>
      <c r="BS866" s="712"/>
      <c r="BT866" s="713">
        <v>858</v>
      </c>
      <c r="BU866" s="714"/>
      <c r="BV866" s="239"/>
      <c r="BW866" s="24"/>
      <c r="BY866" s="621">
        <v>858</v>
      </c>
      <c r="BZ866" s="711"/>
      <c r="CA866" s="712"/>
      <c r="CB866" s="713">
        <v>858</v>
      </c>
      <c r="CC866" s="714"/>
      <c r="CD866" s="239"/>
      <c r="CE866" s="24"/>
    </row>
    <row r="867" spans="5:83" ht="12" customHeight="1">
      <c r="E867" s="621">
        <v>859</v>
      </c>
      <c r="F867" s="711"/>
      <c r="G867" s="712"/>
      <c r="H867" s="713">
        <v>859</v>
      </c>
      <c r="I867" s="714"/>
      <c r="J867" s="239"/>
      <c r="K867" s="24"/>
      <c r="AI867" s="16" t="e">
        <f t="shared" si="117"/>
        <v>#N/A</v>
      </c>
      <c r="AJ867" s="16" t="str">
        <f t="shared" si="118"/>
        <v/>
      </c>
      <c r="AK867" s="16" t="str">
        <f t="shared" si="119"/>
        <v/>
      </c>
      <c r="AL867" s="16" t="e">
        <f>IF(AK867="",NA(),COUNTIF(AK$176:$AK867,AK867))</f>
        <v>#N/A</v>
      </c>
      <c r="AM867" s="16" t="e">
        <f t="shared" si="120"/>
        <v>#N/A</v>
      </c>
      <c r="AN867" s="16" t="e">
        <f t="shared" si="121"/>
        <v>#N/A</v>
      </c>
      <c r="AO867" s="16" t="str">
        <f t="shared" si="122"/>
        <v/>
      </c>
      <c r="AP867" s="16" t="str">
        <f t="shared" si="123"/>
        <v/>
      </c>
      <c r="AQ867" s="16" t="e">
        <f>IF(AP867="",NA(),COUNTIF(AP$176:$AP867,AP867))</f>
        <v>#N/A</v>
      </c>
      <c r="AR867" s="16" t="e">
        <f t="shared" si="124"/>
        <v>#N/A</v>
      </c>
      <c r="BI867" s="621">
        <v>859</v>
      </c>
      <c r="BJ867" s="711"/>
      <c r="BK867" s="712"/>
      <c r="BL867" s="713">
        <v>859</v>
      </c>
      <c r="BM867" s="714"/>
      <c r="BN867" s="239"/>
      <c r="BO867" s="24"/>
      <c r="BQ867" s="621">
        <v>859</v>
      </c>
      <c r="BR867" s="711"/>
      <c r="BS867" s="712"/>
      <c r="BT867" s="713">
        <v>859</v>
      </c>
      <c r="BU867" s="714"/>
      <c r="BV867" s="239"/>
      <c r="BW867" s="24"/>
      <c r="BY867" s="621">
        <v>859</v>
      </c>
      <c r="BZ867" s="711"/>
      <c r="CA867" s="712"/>
      <c r="CB867" s="713">
        <v>859</v>
      </c>
      <c r="CC867" s="714"/>
      <c r="CD867" s="239"/>
      <c r="CE867" s="24"/>
    </row>
    <row r="868" spans="5:83" ht="12" customHeight="1">
      <c r="E868" s="621">
        <v>860</v>
      </c>
      <c r="F868" s="711"/>
      <c r="G868" s="712"/>
      <c r="H868" s="713">
        <v>860</v>
      </c>
      <c r="I868" s="714"/>
      <c r="J868" s="239"/>
      <c r="K868" s="24"/>
      <c r="AI868" s="16" t="e">
        <f t="shared" si="117"/>
        <v>#N/A</v>
      </c>
      <c r="AJ868" s="16" t="str">
        <f t="shared" si="118"/>
        <v/>
      </c>
      <c r="AK868" s="16" t="str">
        <f t="shared" si="119"/>
        <v/>
      </c>
      <c r="AL868" s="16" t="e">
        <f>IF(AK868="",NA(),COUNTIF(AK$176:$AK868,AK868))</f>
        <v>#N/A</v>
      </c>
      <c r="AM868" s="16" t="e">
        <f t="shared" si="120"/>
        <v>#N/A</v>
      </c>
      <c r="AN868" s="16" t="e">
        <f t="shared" si="121"/>
        <v>#N/A</v>
      </c>
      <c r="AO868" s="16" t="str">
        <f t="shared" si="122"/>
        <v/>
      </c>
      <c r="AP868" s="16" t="str">
        <f t="shared" si="123"/>
        <v/>
      </c>
      <c r="AQ868" s="16" t="e">
        <f>IF(AP868="",NA(),COUNTIF(AP$176:$AP868,AP868))</f>
        <v>#N/A</v>
      </c>
      <c r="AR868" s="16" t="e">
        <f t="shared" si="124"/>
        <v>#N/A</v>
      </c>
      <c r="BI868" s="621">
        <v>860</v>
      </c>
      <c r="BJ868" s="711"/>
      <c r="BK868" s="712"/>
      <c r="BL868" s="713">
        <v>860</v>
      </c>
      <c r="BM868" s="714"/>
      <c r="BN868" s="239"/>
      <c r="BO868" s="24"/>
      <c r="BQ868" s="621">
        <v>860</v>
      </c>
      <c r="BR868" s="711"/>
      <c r="BS868" s="712"/>
      <c r="BT868" s="713">
        <v>860</v>
      </c>
      <c r="BU868" s="714"/>
      <c r="BV868" s="239"/>
      <c r="BW868" s="24"/>
      <c r="BY868" s="621">
        <v>860</v>
      </c>
      <c r="BZ868" s="711"/>
      <c r="CA868" s="712"/>
      <c r="CB868" s="713">
        <v>860</v>
      </c>
      <c r="CC868" s="714"/>
      <c r="CD868" s="239"/>
      <c r="CE868" s="24"/>
    </row>
    <row r="869" spans="5:83" ht="12" customHeight="1">
      <c r="E869" s="621">
        <v>861</v>
      </c>
      <c r="F869" s="711"/>
      <c r="G869" s="712"/>
      <c r="H869" s="713">
        <v>861</v>
      </c>
      <c r="I869" s="714"/>
      <c r="J869" s="239"/>
      <c r="K869" s="24"/>
      <c r="AI869" s="16" t="e">
        <f t="shared" si="117"/>
        <v>#N/A</v>
      </c>
      <c r="AJ869" s="16" t="str">
        <f t="shared" si="118"/>
        <v/>
      </c>
      <c r="AK869" s="16" t="str">
        <f t="shared" si="119"/>
        <v/>
      </c>
      <c r="AL869" s="16" t="e">
        <f>IF(AK869="",NA(),COUNTIF(AK$176:$AK869,AK869))</f>
        <v>#N/A</v>
      </c>
      <c r="AM869" s="16" t="e">
        <f t="shared" si="120"/>
        <v>#N/A</v>
      </c>
      <c r="AN869" s="16" t="e">
        <f t="shared" si="121"/>
        <v>#N/A</v>
      </c>
      <c r="AO869" s="16" t="str">
        <f t="shared" si="122"/>
        <v/>
      </c>
      <c r="AP869" s="16" t="str">
        <f t="shared" si="123"/>
        <v/>
      </c>
      <c r="AQ869" s="16" t="e">
        <f>IF(AP869="",NA(),COUNTIF(AP$176:$AP869,AP869))</f>
        <v>#N/A</v>
      </c>
      <c r="AR869" s="16" t="e">
        <f t="shared" si="124"/>
        <v>#N/A</v>
      </c>
      <c r="BI869" s="621">
        <v>861</v>
      </c>
      <c r="BJ869" s="711"/>
      <c r="BK869" s="712"/>
      <c r="BL869" s="713">
        <v>861</v>
      </c>
      <c r="BM869" s="714"/>
      <c r="BN869" s="239"/>
      <c r="BO869" s="24"/>
      <c r="BQ869" s="621">
        <v>861</v>
      </c>
      <c r="BR869" s="711"/>
      <c r="BS869" s="712"/>
      <c r="BT869" s="713">
        <v>861</v>
      </c>
      <c r="BU869" s="714"/>
      <c r="BV869" s="239"/>
      <c r="BW869" s="24"/>
      <c r="BY869" s="621">
        <v>861</v>
      </c>
      <c r="BZ869" s="711"/>
      <c r="CA869" s="712"/>
      <c r="CB869" s="713">
        <v>861</v>
      </c>
      <c r="CC869" s="714"/>
      <c r="CD869" s="239"/>
      <c r="CE869" s="24"/>
    </row>
    <row r="870" spans="5:83" ht="12" customHeight="1">
      <c r="E870" s="621">
        <v>862</v>
      </c>
      <c r="F870" s="711"/>
      <c r="G870" s="712"/>
      <c r="H870" s="713">
        <v>862</v>
      </c>
      <c r="I870" s="714"/>
      <c r="J870" s="239"/>
      <c r="K870" s="24"/>
      <c r="AI870" s="16" t="e">
        <f t="shared" si="117"/>
        <v>#N/A</v>
      </c>
      <c r="AJ870" s="16" t="str">
        <f t="shared" si="118"/>
        <v/>
      </c>
      <c r="AK870" s="16" t="str">
        <f t="shared" si="119"/>
        <v/>
      </c>
      <c r="AL870" s="16" t="e">
        <f>IF(AK870="",NA(),COUNTIF(AK$176:$AK870,AK870))</f>
        <v>#N/A</v>
      </c>
      <c r="AM870" s="16" t="e">
        <f t="shared" si="120"/>
        <v>#N/A</v>
      </c>
      <c r="AN870" s="16" t="e">
        <f t="shared" si="121"/>
        <v>#N/A</v>
      </c>
      <c r="AO870" s="16" t="str">
        <f t="shared" si="122"/>
        <v/>
      </c>
      <c r="AP870" s="16" t="str">
        <f t="shared" si="123"/>
        <v/>
      </c>
      <c r="AQ870" s="16" t="e">
        <f>IF(AP870="",NA(),COUNTIF(AP$176:$AP870,AP870))</f>
        <v>#N/A</v>
      </c>
      <c r="AR870" s="16" t="e">
        <f t="shared" si="124"/>
        <v>#N/A</v>
      </c>
      <c r="BI870" s="621">
        <v>862</v>
      </c>
      <c r="BJ870" s="711"/>
      <c r="BK870" s="712"/>
      <c r="BL870" s="713">
        <v>862</v>
      </c>
      <c r="BM870" s="714"/>
      <c r="BN870" s="239"/>
      <c r="BO870" s="24"/>
      <c r="BQ870" s="621">
        <v>862</v>
      </c>
      <c r="BR870" s="711"/>
      <c r="BS870" s="712"/>
      <c r="BT870" s="713">
        <v>862</v>
      </c>
      <c r="BU870" s="714"/>
      <c r="BV870" s="239"/>
      <c r="BW870" s="24"/>
      <c r="BY870" s="621">
        <v>862</v>
      </c>
      <c r="BZ870" s="711"/>
      <c r="CA870" s="712"/>
      <c r="CB870" s="713">
        <v>862</v>
      </c>
      <c r="CC870" s="714"/>
      <c r="CD870" s="239"/>
      <c r="CE870" s="24"/>
    </row>
    <row r="871" spans="5:83" ht="12" customHeight="1">
      <c r="E871" s="621">
        <v>863</v>
      </c>
      <c r="F871" s="711"/>
      <c r="G871" s="712"/>
      <c r="H871" s="713">
        <v>863</v>
      </c>
      <c r="I871" s="714"/>
      <c r="J871" s="239"/>
      <c r="K871" s="24"/>
      <c r="AI871" s="16" t="e">
        <f t="shared" si="117"/>
        <v>#N/A</v>
      </c>
      <c r="AJ871" s="16" t="str">
        <f t="shared" si="118"/>
        <v/>
      </c>
      <c r="AK871" s="16" t="str">
        <f t="shared" si="119"/>
        <v/>
      </c>
      <c r="AL871" s="16" t="e">
        <f>IF(AK871="",NA(),COUNTIF(AK$176:$AK871,AK871))</f>
        <v>#N/A</v>
      </c>
      <c r="AM871" s="16" t="e">
        <f t="shared" si="120"/>
        <v>#N/A</v>
      </c>
      <c r="AN871" s="16" t="e">
        <f t="shared" si="121"/>
        <v>#N/A</v>
      </c>
      <c r="AO871" s="16" t="str">
        <f t="shared" si="122"/>
        <v/>
      </c>
      <c r="AP871" s="16" t="str">
        <f t="shared" si="123"/>
        <v/>
      </c>
      <c r="AQ871" s="16" t="e">
        <f>IF(AP871="",NA(),COUNTIF(AP$176:$AP871,AP871))</f>
        <v>#N/A</v>
      </c>
      <c r="AR871" s="16" t="e">
        <f t="shared" si="124"/>
        <v>#N/A</v>
      </c>
      <c r="BI871" s="621">
        <v>863</v>
      </c>
      <c r="BJ871" s="711"/>
      <c r="BK871" s="712"/>
      <c r="BL871" s="713">
        <v>863</v>
      </c>
      <c r="BM871" s="714"/>
      <c r="BN871" s="239"/>
      <c r="BO871" s="24"/>
      <c r="BQ871" s="621">
        <v>863</v>
      </c>
      <c r="BR871" s="711"/>
      <c r="BS871" s="712"/>
      <c r="BT871" s="713">
        <v>863</v>
      </c>
      <c r="BU871" s="714"/>
      <c r="BV871" s="239"/>
      <c r="BW871" s="24"/>
      <c r="BY871" s="621">
        <v>863</v>
      </c>
      <c r="BZ871" s="711"/>
      <c r="CA871" s="712"/>
      <c r="CB871" s="713">
        <v>863</v>
      </c>
      <c r="CC871" s="714"/>
      <c r="CD871" s="239"/>
      <c r="CE871" s="24"/>
    </row>
    <row r="872" spans="5:83" ht="12" customHeight="1">
      <c r="E872" s="621">
        <v>864</v>
      </c>
      <c r="F872" s="711"/>
      <c r="G872" s="712"/>
      <c r="H872" s="713">
        <v>864</v>
      </c>
      <c r="I872" s="714"/>
      <c r="J872" s="239"/>
      <c r="K872" s="24"/>
      <c r="AI872" s="16" t="e">
        <f t="shared" si="117"/>
        <v>#N/A</v>
      </c>
      <c r="AJ872" s="16" t="str">
        <f t="shared" si="118"/>
        <v/>
      </c>
      <c r="AK872" s="16" t="str">
        <f t="shared" si="119"/>
        <v/>
      </c>
      <c r="AL872" s="16" t="e">
        <f>IF(AK872="",NA(),COUNTIF(AK$176:$AK872,AK872))</f>
        <v>#N/A</v>
      </c>
      <c r="AM872" s="16" t="e">
        <f t="shared" si="120"/>
        <v>#N/A</v>
      </c>
      <c r="AN872" s="16" t="e">
        <f t="shared" si="121"/>
        <v>#N/A</v>
      </c>
      <c r="AO872" s="16" t="str">
        <f t="shared" si="122"/>
        <v/>
      </c>
      <c r="AP872" s="16" t="str">
        <f t="shared" si="123"/>
        <v/>
      </c>
      <c r="AQ872" s="16" t="e">
        <f>IF(AP872="",NA(),COUNTIF(AP$176:$AP872,AP872))</f>
        <v>#N/A</v>
      </c>
      <c r="AR872" s="16" t="e">
        <f t="shared" si="124"/>
        <v>#N/A</v>
      </c>
      <c r="BI872" s="621">
        <v>864</v>
      </c>
      <c r="BJ872" s="711"/>
      <c r="BK872" s="712"/>
      <c r="BL872" s="713">
        <v>864</v>
      </c>
      <c r="BM872" s="714"/>
      <c r="BN872" s="239"/>
      <c r="BO872" s="24"/>
      <c r="BQ872" s="621">
        <v>864</v>
      </c>
      <c r="BR872" s="711"/>
      <c r="BS872" s="712"/>
      <c r="BT872" s="713">
        <v>864</v>
      </c>
      <c r="BU872" s="714"/>
      <c r="BV872" s="239"/>
      <c r="BW872" s="24"/>
      <c r="BY872" s="621">
        <v>864</v>
      </c>
      <c r="BZ872" s="711"/>
      <c r="CA872" s="712"/>
      <c r="CB872" s="713">
        <v>864</v>
      </c>
      <c r="CC872" s="714"/>
      <c r="CD872" s="239"/>
      <c r="CE872" s="24"/>
    </row>
    <row r="873" spans="5:83" ht="12" customHeight="1">
      <c r="E873" s="621">
        <v>865</v>
      </c>
      <c r="F873" s="711"/>
      <c r="G873" s="712"/>
      <c r="H873" s="713">
        <v>865</v>
      </c>
      <c r="I873" s="714"/>
      <c r="J873" s="239"/>
      <c r="K873" s="24"/>
      <c r="AI873" s="16" t="e">
        <f t="shared" si="117"/>
        <v>#N/A</v>
      </c>
      <c r="AJ873" s="16" t="str">
        <f t="shared" si="118"/>
        <v/>
      </c>
      <c r="AK873" s="16" t="str">
        <f t="shared" si="119"/>
        <v/>
      </c>
      <c r="AL873" s="16" t="e">
        <f>IF(AK873="",NA(),COUNTIF(AK$176:$AK873,AK873))</f>
        <v>#N/A</v>
      </c>
      <c r="AM873" s="16" t="e">
        <f t="shared" si="120"/>
        <v>#N/A</v>
      </c>
      <c r="AN873" s="16" t="e">
        <f t="shared" si="121"/>
        <v>#N/A</v>
      </c>
      <c r="AO873" s="16" t="str">
        <f t="shared" si="122"/>
        <v/>
      </c>
      <c r="AP873" s="16" t="str">
        <f t="shared" si="123"/>
        <v/>
      </c>
      <c r="AQ873" s="16" t="e">
        <f>IF(AP873="",NA(),COUNTIF(AP$176:$AP873,AP873))</f>
        <v>#N/A</v>
      </c>
      <c r="AR873" s="16" t="e">
        <f t="shared" si="124"/>
        <v>#N/A</v>
      </c>
      <c r="BI873" s="621">
        <v>865</v>
      </c>
      <c r="BJ873" s="711"/>
      <c r="BK873" s="712"/>
      <c r="BL873" s="713">
        <v>865</v>
      </c>
      <c r="BM873" s="714"/>
      <c r="BN873" s="239"/>
      <c r="BO873" s="24"/>
      <c r="BQ873" s="621">
        <v>865</v>
      </c>
      <c r="BR873" s="711"/>
      <c r="BS873" s="712"/>
      <c r="BT873" s="713">
        <v>865</v>
      </c>
      <c r="BU873" s="714"/>
      <c r="BV873" s="239"/>
      <c r="BW873" s="24"/>
      <c r="BY873" s="621">
        <v>865</v>
      </c>
      <c r="BZ873" s="711"/>
      <c r="CA873" s="712"/>
      <c r="CB873" s="713">
        <v>865</v>
      </c>
      <c r="CC873" s="714"/>
      <c r="CD873" s="239"/>
      <c r="CE873" s="24"/>
    </row>
    <row r="874" spans="5:83" ht="12" customHeight="1">
      <c r="E874" s="621">
        <v>866</v>
      </c>
      <c r="F874" s="711"/>
      <c r="G874" s="712"/>
      <c r="H874" s="713">
        <v>866</v>
      </c>
      <c r="I874" s="714"/>
      <c r="J874" s="239"/>
      <c r="K874" s="24"/>
      <c r="AI874" s="16" t="e">
        <f t="shared" si="117"/>
        <v>#N/A</v>
      </c>
      <c r="AJ874" s="16" t="str">
        <f t="shared" si="118"/>
        <v/>
      </c>
      <c r="AK874" s="16" t="str">
        <f t="shared" si="119"/>
        <v/>
      </c>
      <c r="AL874" s="16" t="e">
        <f>IF(AK874="",NA(),COUNTIF(AK$176:$AK874,AK874))</f>
        <v>#N/A</v>
      </c>
      <c r="AM874" s="16" t="e">
        <f t="shared" si="120"/>
        <v>#N/A</v>
      </c>
      <c r="AN874" s="16" t="e">
        <f t="shared" si="121"/>
        <v>#N/A</v>
      </c>
      <c r="AO874" s="16" t="str">
        <f t="shared" si="122"/>
        <v/>
      </c>
      <c r="AP874" s="16" t="str">
        <f t="shared" si="123"/>
        <v/>
      </c>
      <c r="AQ874" s="16" t="e">
        <f>IF(AP874="",NA(),COUNTIF(AP$176:$AP874,AP874))</f>
        <v>#N/A</v>
      </c>
      <c r="AR874" s="16" t="e">
        <f t="shared" si="124"/>
        <v>#N/A</v>
      </c>
      <c r="BI874" s="621">
        <v>866</v>
      </c>
      <c r="BJ874" s="711"/>
      <c r="BK874" s="712"/>
      <c r="BL874" s="713">
        <v>866</v>
      </c>
      <c r="BM874" s="714"/>
      <c r="BN874" s="239"/>
      <c r="BO874" s="24"/>
      <c r="BQ874" s="621">
        <v>866</v>
      </c>
      <c r="BR874" s="711"/>
      <c r="BS874" s="712"/>
      <c r="BT874" s="713">
        <v>866</v>
      </c>
      <c r="BU874" s="714"/>
      <c r="BV874" s="239"/>
      <c r="BW874" s="24"/>
      <c r="BY874" s="621">
        <v>866</v>
      </c>
      <c r="BZ874" s="711"/>
      <c r="CA874" s="712"/>
      <c r="CB874" s="713">
        <v>866</v>
      </c>
      <c r="CC874" s="714"/>
      <c r="CD874" s="239"/>
      <c r="CE874" s="24"/>
    </row>
    <row r="875" spans="5:83" ht="12" customHeight="1">
      <c r="E875" s="621">
        <v>867</v>
      </c>
      <c r="F875" s="711"/>
      <c r="G875" s="712"/>
      <c r="H875" s="713">
        <v>867</v>
      </c>
      <c r="I875" s="714"/>
      <c r="J875" s="239"/>
      <c r="K875" s="24"/>
      <c r="AI875" s="16" t="e">
        <f t="shared" si="117"/>
        <v>#N/A</v>
      </c>
      <c r="AJ875" s="16" t="str">
        <f t="shared" si="118"/>
        <v/>
      </c>
      <c r="AK875" s="16" t="str">
        <f t="shared" si="119"/>
        <v/>
      </c>
      <c r="AL875" s="16" t="e">
        <f>IF(AK875="",NA(),COUNTIF(AK$176:$AK875,AK875))</f>
        <v>#N/A</v>
      </c>
      <c r="AM875" s="16" t="e">
        <f t="shared" si="120"/>
        <v>#N/A</v>
      </c>
      <c r="AN875" s="16" t="e">
        <f t="shared" si="121"/>
        <v>#N/A</v>
      </c>
      <c r="AO875" s="16" t="str">
        <f t="shared" si="122"/>
        <v/>
      </c>
      <c r="AP875" s="16" t="str">
        <f t="shared" si="123"/>
        <v/>
      </c>
      <c r="AQ875" s="16" t="e">
        <f>IF(AP875="",NA(),COUNTIF(AP$176:$AP875,AP875))</f>
        <v>#N/A</v>
      </c>
      <c r="AR875" s="16" t="e">
        <f t="shared" si="124"/>
        <v>#N/A</v>
      </c>
      <c r="BI875" s="621">
        <v>867</v>
      </c>
      <c r="BJ875" s="711"/>
      <c r="BK875" s="712"/>
      <c r="BL875" s="713">
        <v>867</v>
      </c>
      <c r="BM875" s="714"/>
      <c r="BN875" s="239"/>
      <c r="BO875" s="24"/>
      <c r="BQ875" s="621">
        <v>867</v>
      </c>
      <c r="BR875" s="711"/>
      <c r="BS875" s="712"/>
      <c r="BT875" s="713">
        <v>867</v>
      </c>
      <c r="BU875" s="714"/>
      <c r="BV875" s="239"/>
      <c r="BW875" s="24"/>
      <c r="BY875" s="621">
        <v>867</v>
      </c>
      <c r="BZ875" s="711"/>
      <c r="CA875" s="712"/>
      <c r="CB875" s="713">
        <v>867</v>
      </c>
      <c r="CC875" s="714"/>
      <c r="CD875" s="239"/>
      <c r="CE875" s="24"/>
    </row>
    <row r="876" spans="5:83" ht="12" customHeight="1">
      <c r="E876" s="621">
        <v>868</v>
      </c>
      <c r="F876" s="711"/>
      <c r="G876" s="712"/>
      <c r="H876" s="713">
        <v>868</v>
      </c>
      <c r="I876" s="714"/>
      <c r="J876" s="239"/>
      <c r="K876" s="24"/>
      <c r="AI876" s="16" t="e">
        <f t="shared" si="117"/>
        <v>#N/A</v>
      </c>
      <c r="AJ876" s="16" t="str">
        <f t="shared" si="118"/>
        <v/>
      </c>
      <c r="AK876" s="16" t="str">
        <f t="shared" si="119"/>
        <v/>
      </c>
      <c r="AL876" s="16" t="e">
        <f>IF(AK876="",NA(),COUNTIF(AK$176:$AK876,AK876))</f>
        <v>#N/A</v>
      </c>
      <c r="AM876" s="16" t="e">
        <f t="shared" si="120"/>
        <v>#N/A</v>
      </c>
      <c r="AN876" s="16" t="e">
        <f t="shared" si="121"/>
        <v>#N/A</v>
      </c>
      <c r="AO876" s="16" t="str">
        <f t="shared" si="122"/>
        <v/>
      </c>
      <c r="AP876" s="16" t="str">
        <f t="shared" si="123"/>
        <v/>
      </c>
      <c r="AQ876" s="16" t="e">
        <f>IF(AP876="",NA(),COUNTIF(AP$176:$AP876,AP876))</f>
        <v>#N/A</v>
      </c>
      <c r="AR876" s="16" t="e">
        <f t="shared" si="124"/>
        <v>#N/A</v>
      </c>
      <c r="BI876" s="621">
        <v>868</v>
      </c>
      <c r="BJ876" s="711"/>
      <c r="BK876" s="712"/>
      <c r="BL876" s="713">
        <v>868</v>
      </c>
      <c r="BM876" s="714"/>
      <c r="BN876" s="239"/>
      <c r="BO876" s="24"/>
      <c r="BQ876" s="621">
        <v>868</v>
      </c>
      <c r="BR876" s="711"/>
      <c r="BS876" s="712"/>
      <c r="BT876" s="713">
        <v>868</v>
      </c>
      <c r="BU876" s="714"/>
      <c r="BV876" s="239"/>
      <c r="BW876" s="24"/>
      <c r="BY876" s="621">
        <v>868</v>
      </c>
      <c r="BZ876" s="711"/>
      <c r="CA876" s="712"/>
      <c r="CB876" s="713">
        <v>868</v>
      </c>
      <c r="CC876" s="714"/>
      <c r="CD876" s="239"/>
      <c r="CE876" s="24"/>
    </row>
    <row r="877" spans="5:83" ht="12" customHeight="1">
      <c r="E877" s="621">
        <v>869</v>
      </c>
      <c r="F877" s="711"/>
      <c r="G877" s="712"/>
      <c r="H877" s="713">
        <v>869</v>
      </c>
      <c r="I877" s="714"/>
      <c r="J877" s="239"/>
      <c r="K877" s="24"/>
      <c r="AI877" s="16" t="e">
        <f t="shared" si="117"/>
        <v>#N/A</v>
      </c>
      <c r="AJ877" s="16" t="str">
        <f t="shared" si="118"/>
        <v/>
      </c>
      <c r="AK877" s="16" t="str">
        <f t="shared" si="119"/>
        <v/>
      </c>
      <c r="AL877" s="16" t="e">
        <f>IF(AK877="",NA(),COUNTIF(AK$176:$AK877,AK877))</f>
        <v>#N/A</v>
      </c>
      <c r="AM877" s="16" t="e">
        <f t="shared" si="120"/>
        <v>#N/A</v>
      </c>
      <c r="AN877" s="16" t="e">
        <f t="shared" si="121"/>
        <v>#N/A</v>
      </c>
      <c r="AO877" s="16" t="str">
        <f t="shared" si="122"/>
        <v/>
      </c>
      <c r="AP877" s="16" t="str">
        <f t="shared" si="123"/>
        <v/>
      </c>
      <c r="AQ877" s="16" t="e">
        <f>IF(AP877="",NA(),COUNTIF(AP$176:$AP877,AP877))</f>
        <v>#N/A</v>
      </c>
      <c r="AR877" s="16" t="e">
        <f t="shared" si="124"/>
        <v>#N/A</v>
      </c>
      <c r="BI877" s="621">
        <v>869</v>
      </c>
      <c r="BJ877" s="711"/>
      <c r="BK877" s="712"/>
      <c r="BL877" s="713">
        <v>869</v>
      </c>
      <c r="BM877" s="714"/>
      <c r="BN877" s="239"/>
      <c r="BO877" s="24"/>
      <c r="BQ877" s="621">
        <v>869</v>
      </c>
      <c r="BR877" s="711"/>
      <c r="BS877" s="712"/>
      <c r="BT877" s="713">
        <v>869</v>
      </c>
      <c r="BU877" s="714"/>
      <c r="BV877" s="239"/>
      <c r="BW877" s="24"/>
      <c r="BY877" s="621">
        <v>869</v>
      </c>
      <c r="BZ877" s="711"/>
      <c r="CA877" s="712"/>
      <c r="CB877" s="713">
        <v>869</v>
      </c>
      <c r="CC877" s="714"/>
      <c r="CD877" s="239"/>
      <c r="CE877" s="24"/>
    </row>
    <row r="878" spans="5:83" ht="12" customHeight="1">
      <c r="E878" s="621">
        <v>870</v>
      </c>
      <c r="F878" s="711"/>
      <c r="G878" s="712"/>
      <c r="H878" s="713">
        <v>870</v>
      </c>
      <c r="I878" s="714"/>
      <c r="J878" s="239"/>
      <c r="K878" s="24"/>
      <c r="AI878" s="16" t="e">
        <f t="shared" si="117"/>
        <v>#N/A</v>
      </c>
      <c r="AJ878" s="16" t="str">
        <f t="shared" si="118"/>
        <v/>
      </c>
      <c r="AK878" s="16" t="str">
        <f t="shared" si="119"/>
        <v/>
      </c>
      <c r="AL878" s="16" t="e">
        <f>IF(AK878="",NA(),COUNTIF(AK$176:$AK878,AK878))</f>
        <v>#N/A</v>
      </c>
      <c r="AM878" s="16" t="e">
        <f t="shared" si="120"/>
        <v>#N/A</v>
      </c>
      <c r="AN878" s="16" t="e">
        <f t="shared" si="121"/>
        <v>#N/A</v>
      </c>
      <c r="AO878" s="16" t="str">
        <f t="shared" si="122"/>
        <v/>
      </c>
      <c r="AP878" s="16" t="str">
        <f t="shared" si="123"/>
        <v/>
      </c>
      <c r="AQ878" s="16" t="e">
        <f>IF(AP878="",NA(),COUNTIF(AP$176:$AP878,AP878))</f>
        <v>#N/A</v>
      </c>
      <c r="AR878" s="16" t="e">
        <f t="shared" si="124"/>
        <v>#N/A</v>
      </c>
      <c r="BI878" s="621">
        <v>870</v>
      </c>
      <c r="BJ878" s="711"/>
      <c r="BK878" s="712"/>
      <c r="BL878" s="713">
        <v>870</v>
      </c>
      <c r="BM878" s="714"/>
      <c r="BN878" s="239"/>
      <c r="BO878" s="24"/>
      <c r="BQ878" s="621">
        <v>870</v>
      </c>
      <c r="BR878" s="711"/>
      <c r="BS878" s="712"/>
      <c r="BT878" s="713">
        <v>870</v>
      </c>
      <c r="BU878" s="714"/>
      <c r="BV878" s="239"/>
      <c r="BW878" s="24"/>
      <c r="BY878" s="621">
        <v>870</v>
      </c>
      <c r="BZ878" s="711"/>
      <c r="CA878" s="712"/>
      <c r="CB878" s="713">
        <v>870</v>
      </c>
      <c r="CC878" s="714"/>
      <c r="CD878" s="239"/>
      <c r="CE878" s="24"/>
    </row>
    <row r="879" spans="5:83" ht="12" customHeight="1">
      <c r="E879" s="621">
        <v>871</v>
      </c>
      <c r="F879" s="711"/>
      <c r="G879" s="712"/>
      <c r="H879" s="713">
        <v>871</v>
      </c>
      <c r="I879" s="714"/>
      <c r="J879" s="239"/>
      <c r="K879" s="24"/>
      <c r="AI879" s="16" t="e">
        <f t="shared" si="117"/>
        <v>#N/A</v>
      </c>
      <c r="AJ879" s="16" t="str">
        <f t="shared" si="118"/>
        <v/>
      </c>
      <c r="AK879" s="16" t="str">
        <f t="shared" si="119"/>
        <v/>
      </c>
      <c r="AL879" s="16" t="e">
        <f>IF(AK879="",NA(),COUNTIF(AK$176:$AK879,AK879))</f>
        <v>#N/A</v>
      </c>
      <c r="AM879" s="16" t="e">
        <f t="shared" si="120"/>
        <v>#N/A</v>
      </c>
      <c r="AN879" s="16" t="e">
        <f t="shared" si="121"/>
        <v>#N/A</v>
      </c>
      <c r="AO879" s="16" t="str">
        <f t="shared" si="122"/>
        <v/>
      </c>
      <c r="AP879" s="16" t="str">
        <f t="shared" si="123"/>
        <v/>
      </c>
      <c r="AQ879" s="16" t="e">
        <f>IF(AP879="",NA(),COUNTIF(AP$176:$AP879,AP879))</f>
        <v>#N/A</v>
      </c>
      <c r="AR879" s="16" t="e">
        <f t="shared" si="124"/>
        <v>#N/A</v>
      </c>
      <c r="BI879" s="621">
        <v>871</v>
      </c>
      <c r="BJ879" s="711"/>
      <c r="BK879" s="712"/>
      <c r="BL879" s="713">
        <v>871</v>
      </c>
      <c r="BM879" s="714"/>
      <c r="BN879" s="239"/>
      <c r="BO879" s="24"/>
      <c r="BQ879" s="621">
        <v>871</v>
      </c>
      <c r="BR879" s="711"/>
      <c r="BS879" s="712"/>
      <c r="BT879" s="713">
        <v>871</v>
      </c>
      <c r="BU879" s="714"/>
      <c r="BV879" s="239"/>
      <c r="BW879" s="24"/>
      <c r="BY879" s="621">
        <v>871</v>
      </c>
      <c r="BZ879" s="711"/>
      <c r="CA879" s="712"/>
      <c r="CB879" s="713">
        <v>871</v>
      </c>
      <c r="CC879" s="714"/>
      <c r="CD879" s="239"/>
      <c r="CE879" s="24"/>
    </row>
    <row r="880" spans="5:83" ht="12" customHeight="1">
      <c r="E880" s="621">
        <v>872</v>
      </c>
      <c r="F880" s="711"/>
      <c r="G880" s="712"/>
      <c r="H880" s="713">
        <v>872</v>
      </c>
      <c r="I880" s="714"/>
      <c r="J880" s="239"/>
      <c r="K880" s="24"/>
      <c r="AI880" s="16" t="e">
        <f t="shared" si="117"/>
        <v>#N/A</v>
      </c>
      <c r="AJ880" s="16" t="str">
        <f t="shared" si="118"/>
        <v/>
      </c>
      <c r="AK880" s="16" t="str">
        <f t="shared" si="119"/>
        <v/>
      </c>
      <c r="AL880" s="16" t="e">
        <f>IF(AK880="",NA(),COUNTIF(AK$176:$AK880,AK880))</f>
        <v>#N/A</v>
      </c>
      <c r="AM880" s="16" t="e">
        <f t="shared" si="120"/>
        <v>#N/A</v>
      </c>
      <c r="AN880" s="16" t="e">
        <f t="shared" si="121"/>
        <v>#N/A</v>
      </c>
      <c r="AO880" s="16" t="str">
        <f t="shared" si="122"/>
        <v/>
      </c>
      <c r="AP880" s="16" t="str">
        <f t="shared" si="123"/>
        <v/>
      </c>
      <c r="AQ880" s="16" t="e">
        <f>IF(AP880="",NA(),COUNTIF(AP$176:$AP880,AP880))</f>
        <v>#N/A</v>
      </c>
      <c r="AR880" s="16" t="e">
        <f t="shared" si="124"/>
        <v>#N/A</v>
      </c>
      <c r="BI880" s="621">
        <v>872</v>
      </c>
      <c r="BJ880" s="711"/>
      <c r="BK880" s="712"/>
      <c r="BL880" s="713">
        <v>872</v>
      </c>
      <c r="BM880" s="714"/>
      <c r="BN880" s="239"/>
      <c r="BO880" s="24"/>
      <c r="BQ880" s="621">
        <v>872</v>
      </c>
      <c r="BR880" s="711"/>
      <c r="BS880" s="712"/>
      <c r="BT880" s="713">
        <v>872</v>
      </c>
      <c r="BU880" s="714"/>
      <c r="BV880" s="239"/>
      <c r="BW880" s="24"/>
      <c r="BY880" s="621">
        <v>872</v>
      </c>
      <c r="BZ880" s="711"/>
      <c r="CA880" s="712"/>
      <c r="CB880" s="713">
        <v>872</v>
      </c>
      <c r="CC880" s="714"/>
      <c r="CD880" s="239"/>
      <c r="CE880" s="24"/>
    </row>
    <row r="881" spans="5:83" ht="12" customHeight="1">
      <c r="E881" s="621">
        <v>873</v>
      </c>
      <c r="F881" s="711"/>
      <c r="G881" s="712"/>
      <c r="H881" s="713">
        <v>873</v>
      </c>
      <c r="I881" s="714"/>
      <c r="J881" s="239"/>
      <c r="K881" s="24"/>
      <c r="AI881" s="16" t="e">
        <f t="shared" si="117"/>
        <v>#N/A</v>
      </c>
      <c r="AJ881" s="16" t="str">
        <f t="shared" si="118"/>
        <v/>
      </c>
      <c r="AK881" s="16" t="str">
        <f t="shared" si="119"/>
        <v/>
      </c>
      <c r="AL881" s="16" t="e">
        <f>IF(AK881="",NA(),COUNTIF(AK$176:$AK881,AK881))</f>
        <v>#N/A</v>
      </c>
      <c r="AM881" s="16" t="e">
        <f t="shared" si="120"/>
        <v>#N/A</v>
      </c>
      <c r="AN881" s="16" t="e">
        <f t="shared" si="121"/>
        <v>#N/A</v>
      </c>
      <c r="AO881" s="16" t="str">
        <f t="shared" si="122"/>
        <v/>
      </c>
      <c r="AP881" s="16" t="str">
        <f t="shared" si="123"/>
        <v/>
      </c>
      <c r="AQ881" s="16" t="e">
        <f>IF(AP881="",NA(),COUNTIF(AP$176:$AP881,AP881))</f>
        <v>#N/A</v>
      </c>
      <c r="AR881" s="16" t="e">
        <f t="shared" si="124"/>
        <v>#N/A</v>
      </c>
      <c r="BI881" s="621">
        <v>873</v>
      </c>
      <c r="BJ881" s="711"/>
      <c r="BK881" s="712"/>
      <c r="BL881" s="713">
        <v>873</v>
      </c>
      <c r="BM881" s="714"/>
      <c r="BN881" s="239"/>
      <c r="BO881" s="24"/>
      <c r="BQ881" s="621">
        <v>873</v>
      </c>
      <c r="BR881" s="711"/>
      <c r="BS881" s="712"/>
      <c r="BT881" s="713">
        <v>873</v>
      </c>
      <c r="BU881" s="714"/>
      <c r="BV881" s="239"/>
      <c r="BW881" s="24"/>
      <c r="BY881" s="621">
        <v>873</v>
      </c>
      <c r="BZ881" s="711"/>
      <c r="CA881" s="712"/>
      <c r="CB881" s="713">
        <v>873</v>
      </c>
      <c r="CC881" s="714"/>
      <c r="CD881" s="239"/>
      <c r="CE881" s="24"/>
    </row>
    <row r="882" spans="5:83" ht="12" customHeight="1">
      <c r="E882" s="621">
        <v>874</v>
      </c>
      <c r="F882" s="711"/>
      <c r="G882" s="712"/>
      <c r="H882" s="713">
        <v>874</v>
      </c>
      <c r="I882" s="714"/>
      <c r="J882" s="239"/>
      <c r="K882" s="24"/>
      <c r="AI882" s="16" t="e">
        <f t="shared" si="117"/>
        <v>#N/A</v>
      </c>
      <c r="AJ882" s="16" t="str">
        <f t="shared" si="118"/>
        <v/>
      </c>
      <c r="AK882" s="16" t="str">
        <f t="shared" si="119"/>
        <v/>
      </c>
      <c r="AL882" s="16" t="e">
        <f>IF(AK882="",NA(),COUNTIF(AK$176:$AK882,AK882))</f>
        <v>#N/A</v>
      </c>
      <c r="AM882" s="16" t="e">
        <f t="shared" si="120"/>
        <v>#N/A</v>
      </c>
      <c r="AN882" s="16" t="e">
        <f t="shared" si="121"/>
        <v>#N/A</v>
      </c>
      <c r="AO882" s="16" t="str">
        <f t="shared" si="122"/>
        <v/>
      </c>
      <c r="AP882" s="16" t="str">
        <f t="shared" si="123"/>
        <v/>
      </c>
      <c r="AQ882" s="16" t="e">
        <f>IF(AP882="",NA(),COUNTIF(AP$176:$AP882,AP882))</f>
        <v>#N/A</v>
      </c>
      <c r="AR882" s="16" t="e">
        <f t="shared" si="124"/>
        <v>#N/A</v>
      </c>
      <c r="BI882" s="621">
        <v>874</v>
      </c>
      <c r="BJ882" s="711"/>
      <c r="BK882" s="712"/>
      <c r="BL882" s="713">
        <v>874</v>
      </c>
      <c r="BM882" s="714"/>
      <c r="BN882" s="239"/>
      <c r="BO882" s="24"/>
      <c r="BQ882" s="621">
        <v>874</v>
      </c>
      <c r="BR882" s="711"/>
      <c r="BS882" s="712"/>
      <c r="BT882" s="713">
        <v>874</v>
      </c>
      <c r="BU882" s="714"/>
      <c r="BV882" s="239"/>
      <c r="BW882" s="24"/>
      <c r="BY882" s="621">
        <v>874</v>
      </c>
      <c r="BZ882" s="711"/>
      <c r="CA882" s="712"/>
      <c r="CB882" s="713">
        <v>874</v>
      </c>
      <c r="CC882" s="714"/>
      <c r="CD882" s="239"/>
      <c r="CE882" s="24"/>
    </row>
    <row r="883" spans="5:83" ht="12" customHeight="1">
      <c r="E883" s="621">
        <v>875</v>
      </c>
      <c r="F883" s="711"/>
      <c r="G883" s="712"/>
      <c r="H883" s="713">
        <v>875</v>
      </c>
      <c r="I883" s="714"/>
      <c r="J883" s="239"/>
      <c r="K883" s="24"/>
      <c r="AI883" s="16" t="e">
        <f t="shared" si="117"/>
        <v>#N/A</v>
      </c>
      <c r="AJ883" s="16" t="str">
        <f t="shared" si="118"/>
        <v/>
      </c>
      <c r="AK883" s="16" t="str">
        <f t="shared" si="119"/>
        <v/>
      </c>
      <c r="AL883" s="16" t="e">
        <f>IF(AK883="",NA(),COUNTIF(AK$176:$AK883,AK883))</f>
        <v>#N/A</v>
      </c>
      <c r="AM883" s="16" t="e">
        <f t="shared" si="120"/>
        <v>#N/A</v>
      </c>
      <c r="AN883" s="16" t="e">
        <f t="shared" si="121"/>
        <v>#N/A</v>
      </c>
      <c r="AO883" s="16" t="str">
        <f t="shared" si="122"/>
        <v/>
      </c>
      <c r="AP883" s="16" t="str">
        <f t="shared" si="123"/>
        <v/>
      </c>
      <c r="AQ883" s="16" t="e">
        <f>IF(AP883="",NA(),COUNTIF(AP$176:$AP883,AP883))</f>
        <v>#N/A</v>
      </c>
      <c r="AR883" s="16" t="e">
        <f t="shared" si="124"/>
        <v>#N/A</v>
      </c>
      <c r="BI883" s="621">
        <v>875</v>
      </c>
      <c r="BJ883" s="711"/>
      <c r="BK883" s="712"/>
      <c r="BL883" s="713">
        <v>875</v>
      </c>
      <c r="BM883" s="714"/>
      <c r="BN883" s="239"/>
      <c r="BO883" s="24"/>
      <c r="BQ883" s="621">
        <v>875</v>
      </c>
      <c r="BR883" s="711"/>
      <c r="BS883" s="712"/>
      <c r="BT883" s="713">
        <v>875</v>
      </c>
      <c r="BU883" s="714"/>
      <c r="BV883" s="239"/>
      <c r="BW883" s="24"/>
      <c r="BY883" s="621">
        <v>875</v>
      </c>
      <c r="BZ883" s="711"/>
      <c r="CA883" s="712"/>
      <c r="CB883" s="713">
        <v>875</v>
      </c>
      <c r="CC883" s="714"/>
      <c r="CD883" s="239"/>
      <c r="CE883" s="24"/>
    </row>
    <row r="884" spans="5:83" ht="12" customHeight="1">
      <c r="E884" s="621">
        <v>876</v>
      </c>
      <c r="F884" s="711"/>
      <c r="G884" s="712"/>
      <c r="H884" s="713">
        <v>876</v>
      </c>
      <c r="I884" s="714"/>
      <c r="J884" s="239"/>
      <c r="K884" s="24"/>
      <c r="AI884" s="16" t="e">
        <f t="shared" si="117"/>
        <v>#N/A</v>
      </c>
      <c r="AJ884" s="16" t="str">
        <f t="shared" si="118"/>
        <v/>
      </c>
      <c r="AK884" s="16" t="str">
        <f t="shared" si="119"/>
        <v/>
      </c>
      <c r="AL884" s="16" t="e">
        <f>IF(AK884="",NA(),COUNTIF(AK$176:$AK884,AK884))</f>
        <v>#N/A</v>
      </c>
      <c r="AM884" s="16" t="e">
        <f t="shared" si="120"/>
        <v>#N/A</v>
      </c>
      <c r="AN884" s="16" t="e">
        <f t="shared" si="121"/>
        <v>#N/A</v>
      </c>
      <c r="AO884" s="16" t="str">
        <f t="shared" si="122"/>
        <v/>
      </c>
      <c r="AP884" s="16" t="str">
        <f t="shared" si="123"/>
        <v/>
      </c>
      <c r="AQ884" s="16" t="e">
        <f>IF(AP884="",NA(),COUNTIF(AP$176:$AP884,AP884))</f>
        <v>#N/A</v>
      </c>
      <c r="AR884" s="16" t="e">
        <f t="shared" si="124"/>
        <v>#N/A</v>
      </c>
      <c r="BI884" s="621">
        <v>876</v>
      </c>
      <c r="BJ884" s="711"/>
      <c r="BK884" s="712"/>
      <c r="BL884" s="713">
        <v>876</v>
      </c>
      <c r="BM884" s="714"/>
      <c r="BN884" s="239"/>
      <c r="BO884" s="24"/>
      <c r="BQ884" s="621">
        <v>876</v>
      </c>
      <c r="BR884" s="711"/>
      <c r="BS884" s="712"/>
      <c r="BT884" s="713">
        <v>876</v>
      </c>
      <c r="BU884" s="714"/>
      <c r="BV884" s="239"/>
      <c r="BW884" s="24"/>
      <c r="BY884" s="621">
        <v>876</v>
      </c>
      <c r="BZ884" s="711"/>
      <c r="CA884" s="712"/>
      <c r="CB884" s="713">
        <v>876</v>
      </c>
      <c r="CC884" s="714"/>
      <c r="CD884" s="239"/>
      <c r="CE884" s="24"/>
    </row>
    <row r="885" spans="5:83" ht="12" customHeight="1">
      <c r="E885" s="621">
        <v>877</v>
      </c>
      <c r="F885" s="711"/>
      <c r="G885" s="712"/>
      <c r="H885" s="713">
        <v>877</v>
      </c>
      <c r="I885" s="714"/>
      <c r="J885" s="239"/>
      <c r="K885" s="24"/>
      <c r="AI885" s="16" t="e">
        <f t="shared" si="117"/>
        <v>#N/A</v>
      </c>
      <c r="AJ885" s="16" t="str">
        <f t="shared" si="118"/>
        <v/>
      </c>
      <c r="AK885" s="16" t="str">
        <f t="shared" si="119"/>
        <v/>
      </c>
      <c r="AL885" s="16" t="e">
        <f>IF(AK885="",NA(),COUNTIF(AK$176:$AK885,AK885))</f>
        <v>#N/A</v>
      </c>
      <c r="AM885" s="16" t="e">
        <f t="shared" si="120"/>
        <v>#N/A</v>
      </c>
      <c r="AN885" s="16" t="e">
        <f t="shared" si="121"/>
        <v>#N/A</v>
      </c>
      <c r="AO885" s="16" t="str">
        <f t="shared" si="122"/>
        <v/>
      </c>
      <c r="AP885" s="16" t="str">
        <f t="shared" si="123"/>
        <v/>
      </c>
      <c r="AQ885" s="16" t="e">
        <f>IF(AP885="",NA(),COUNTIF(AP$176:$AP885,AP885))</f>
        <v>#N/A</v>
      </c>
      <c r="AR885" s="16" t="e">
        <f t="shared" si="124"/>
        <v>#N/A</v>
      </c>
      <c r="BI885" s="621">
        <v>877</v>
      </c>
      <c r="BJ885" s="711"/>
      <c r="BK885" s="712"/>
      <c r="BL885" s="713">
        <v>877</v>
      </c>
      <c r="BM885" s="714"/>
      <c r="BN885" s="239"/>
      <c r="BO885" s="24"/>
      <c r="BQ885" s="621">
        <v>877</v>
      </c>
      <c r="BR885" s="711"/>
      <c r="BS885" s="712"/>
      <c r="BT885" s="713">
        <v>877</v>
      </c>
      <c r="BU885" s="714"/>
      <c r="BV885" s="239"/>
      <c r="BW885" s="24"/>
      <c r="BY885" s="621">
        <v>877</v>
      </c>
      <c r="BZ885" s="711"/>
      <c r="CA885" s="712"/>
      <c r="CB885" s="713">
        <v>877</v>
      </c>
      <c r="CC885" s="714"/>
      <c r="CD885" s="239"/>
      <c r="CE885" s="24"/>
    </row>
    <row r="886" spans="5:83" ht="12" customHeight="1">
      <c r="E886" s="621">
        <v>878</v>
      </c>
      <c r="F886" s="711"/>
      <c r="G886" s="712"/>
      <c r="H886" s="713">
        <v>878</v>
      </c>
      <c r="I886" s="714"/>
      <c r="J886" s="239"/>
      <c r="K886" s="24"/>
      <c r="AI886" s="16" t="e">
        <f t="shared" si="117"/>
        <v>#N/A</v>
      </c>
      <c r="AJ886" s="16" t="str">
        <f t="shared" si="118"/>
        <v/>
      </c>
      <c r="AK886" s="16" t="str">
        <f t="shared" si="119"/>
        <v/>
      </c>
      <c r="AL886" s="16" t="e">
        <f>IF(AK886="",NA(),COUNTIF(AK$176:$AK886,AK886))</f>
        <v>#N/A</v>
      </c>
      <c r="AM886" s="16" t="e">
        <f t="shared" si="120"/>
        <v>#N/A</v>
      </c>
      <c r="AN886" s="16" t="e">
        <f t="shared" si="121"/>
        <v>#N/A</v>
      </c>
      <c r="AO886" s="16" t="str">
        <f t="shared" si="122"/>
        <v/>
      </c>
      <c r="AP886" s="16" t="str">
        <f t="shared" si="123"/>
        <v/>
      </c>
      <c r="AQ886" s="16" t="e">
        <f>IF(AP886="",NA(),COUNTIF(AP$176:$AP886,AP886))</f>
        <v>#N/A</v>
      </c>
      <c r="AR886" s="16" t="e">
        <f t="shared" si="124"/>
        <v>#N/A</v>
      </c>
      <c r="BI886" s="621">
        <v>878</v>
      </c>
      <c r="BJ886" s="711"/>
      <c r="BK886" s="712"/>
      <c r="BL886" s="713">
        <v>878</v>
      </c>
      <c r="BM886" s="714"/>
      <c r="BN886" s="239"/>
      <c r="BO886" s="24"/>
      <c r="BQ886" s="621">
        <v>878</v>
      </c>
      <c r="BR886" s="711"/>
      <c r="BS886" s="712"/>
      <c r="BT886" s="713">
        <v>878</v>
      </c>
      <c r="BU886" s="714"/>
      <c r="BV886" s="239"/>
      <c r="BW886" s="24"/>
      <c r="BY886" s="621">
        <v>878</v>
      </c>
      <c r="BZ886" s="711"/>
      <c r="CA886" s="712"/>
      <c r="CB886" s="713">
        <v>878</v>
      </c>
      <c r="CC886" s="714"/>
      <c r="CD886" s="239"/>
      <c r="CE886" s="24"/>
    </row>
    <row r="887" spans="5:83" ht="12" customHeight="1">
      <c r="E887" s="621">
        <v>879</v>
      </c>
      <c r="F887" s="711"/>
      <c r="G887" s="712"/>
      <c r="H887" s="713">
        <v>879</v>
      </c>
      <c r="I887" s="714"/>
      <c r="J887" s="239"/>
      <c r="K887" s="24"/>
      <c r="AI887" s="16" t="e">
        <f t="shared" si="117"/>
        <v>#N/A</v>
      </c>
      <c r="AJ887" s="16" t="str">
        <f t="shared" si="118"/>
        <v/>
      </c>
      <c r="AK887" s="16" t="str">
        <f t="shared" si="119"/>
        <v/>
      </c>
      <c r="AL887" s="16" t="e">
        <f>IF(AK887="",NA(),COUNTIF(AK$176:$AK887,AK887))</f>
        <v>#N/A</v>
      </c>
      <c r="AM887" s="16" t="e">
        <f t="shared" si="120"/>
        <v>#N/A</v>
      </c>
      <c r="AN887" s="16" t="e">
        <f t="shared" si="121"/>
        <v>#N/A</v>
      </c>
      <c r="AO887" s="16" t="str">
        <f t="shared" si="122"/>
        <v/>
      </c>
      <c r="AP887" s="16" t="str">
        <f t="shared" si="123"/>
        <v/>
      </c>
      <c r="AQ887" s="16" t="e">
        <f>IF(AP887="",NA(),COUNTIF(AP$176:$AP887,AP887))</f>
        <v>#N/A</v>
      </c>
      <c r="AR887" s="16" t="e">
        <f t="shared" si="124"/>
        <v>#N/A</v>
      </c>
      <c r="BI887" s="621">
        <v>879</v>
      </c>
      <c r="BJ887" s="711"/>
      <c r="BK887" s="712"/>
      <c r="BL887" s="713">
        <v>879</v>
      </c>
      <c r="BM887" s="714"/>
      <c r="BN887" s="239"/>
      <c r="BO887" s="24"/>
      <c r="BQ887" s="621">
        <v>879</v>
      </c>
      <c r="BR887" s="711"/>
      <c r="BS887" s="712"/>
      <c r="BT887" s="713">
        <v>879</v>
      </c>
      <c r="BU887" s="714"/>
      <c r="BV887" s="239"/>
      <c r="BW887" s="24"/>
      <c r="BY887" s="621">
        <v>879</v>
      </c>
      <c r="BZ887" s="711"/>
      <c r="CA887" s="712"/>
      <c r="CB887" s="713">
        <v>879</v>
      </c>
      <c r="CC887" s="714"/>
      <c r="CD887" s="239"/>
      <c r="CE887" s="24"/>
    </row>
    <row r="888" spans="5:83" ht="12" customHeight="1">
      <c r="E888" s="621">
        <v>880</v>
      </c>
      <c r="F888" s="711"/>
      <c r="G888" s="712"/>
      <c r="H888" s="713">
        <v>880</v>
      </c>
      <c r="I888" s="714"/>
      <c r="J888" s="239"/>
      <c r="K888" s="24"/>
      <c r="AI888" s="16" t="e">
        <f t="shared" si="117"/>
        <v>#N/A</v>
      </c>
      <c r="AJ888" s="16" t="str">
        <f t="shared" si="118"/>
        <v/>
      </c>
      <c r="AK888" s="16" t="str">
        <f t="shared" si="119"/>
        <v/>
      </c>
      <c r="AL888" s="16" t="e">
        <f>IF(AK888="",NA(),COUNTIF(AK$176:$AK888,AK888))</f>
        <v>#N/A</v>
      </c>
      <c r="AM888" s="16" t="e">
        <f t="shared" si="120"/>
        <v>#N/A</v>
      </c>
      <c r="AN888" s="16" t="e">
        <f t="shared" si="121"/>
        <v>#N/A</v>
      </c>
      <c r="AO888" s="16" t="str">
        <f t="shared" si="122"/>
        <v/>
      </c>
      <c r="AP888" s="16" t="str">
        <f t="shared" si="123"/>
        <v/>
      </c>
      <c r="AQ888" s="16" t="e">
        <f>IF(AP888="",NA(),COUNTIF(AP$176:$AP888,AP888))</f>
        <v>#N/A</v>
      </c>
      <c r="AR888" s="16" t="e">
        <f t="shared" si="124"/>
        <v>#N/A</v>
      </c>
      <c r="BI888" s="621">
        <v>880</v>
      </c>
      <c r="BJ888" s="711"/>
      <c r="BK888" s="712"/>
      <c r="BL888" s="713">
        <v>880</v>
      </c>
      <c r="BM888" s="714"/>
      <c r="BN888" s="239"/>
      <c r="BO888" s="24"/>
      <c r="BQ888" s="621">
        <v>880</v>
      </c>
      <c r="BR888" s="711"/>
      <c r="BS888" s="712"/>
      <c r="BT888" s="713">
        <v>880</v>
      </c>
      <c r="BU888" s="714"/>
      <c r="BV888" s="239"/>
      <c r="BW888" s="24"/>
      <c r="BY888" s="621">
        <v>880</v>
      </c>
      <c r="BZ888" s="711"/>
      <c r="CA888" s="712"/>
      <c r="CB888" s="713">
        <v>880</v>
      </c>
      <c r="CC888" s="714"/>
      <c r="CD888" s="239"/>
      <c r="CE888" s="24"/>
    </row>
    <row r="889" spans="5:83" ht="12" customHeight="1">
      <c r="E889" s="621">
        <v>881</v>
      </c>
      <c r="F889" s="711"/>
      <c r="G889" s="712"/>
      <c r="H889" s="713">
        <v>881</v>
      </c>
      <c r="I889" s="714"/>
      <c r="J889" s="239"/>
      <c r="K889" s="24"/>
      <c r="AI889" s="16" t="e">
        <f t="shared" si="117"/>
        <v>#N/A</v>
      </c>
      <c r="AJ889" s="16" t="str">
        <f t="shared" si="118"/>
        <v/>
      </c>
      <c r="AK889" s="16" t="str">
        <f t="shared" si="119"/>
        <v/>
      </c>
      <c r="AL889" s="16" t="e">
        <f>IF(AK889="",NA(),COUNTIF(AK$176:$AK889,AK889))</f>
        <v>#N/A</v>
      </c>
      <c r="AM889" s="16" t="e">
        <f t="shared" si="120"/>
        <v>#N/A</v>
      </c>
      <c r="AN889" s="16" t="e">
        <f t="shared" si="121"/>
        <v>#N/A</v>
      </c>
      <c r="AO889" s="16" t="str">
        <f t="shared" si="122"/>
        <v/>
      </c>
      <c r="AP889" s="16" t="str">
        <f t="shared" si="123"/>
        <v/>
      </c>
      <c r="AQ889" s="16" t="e">
        <f>IF(AP889="",NA(),COUNTIF(AP$176:$AP889,AP889))</f>
        <v>#N/A</v>
      </c>
      <c r="AR889" s="16" t="e">
        <f t="shared" si="124"/>
        <v>#N/A</v>
      </c>
      <c r="BI889" s="621">
        <v>881</v>
      </c>
      <c r="BJ889" s="711"/>
      <c r="BK889" s="712"/>
      <c r="BL889" s="713">
        <v>881</v>
      </c>
      <c r="BM889" s="714"/>
      <c r="BN889" s="239"/>
      <c r="BO889" s="24"/>
      <c r="BQ889" s="621">
        <v>881</v>
      </c>
      <c r="BR889" s="711"/>
      <c r="BS889" s="712"/>
      <c r="BT889" s="713">
        <v>881</v>
      </c>
      <c r="BU889" s="714"/>
      <c r="BV889" s="239"/>
      <c r="BW889" s="24"/>
      <c r="BY889" s="621">
        <v>881</v>
      </c>
      <c r="BZ889" s="711"/>
      <c r="CA889" s="712"/>
      <c r="CB889" s="713">
        <v>881</v>
      </c>
      <c r="CC889" s="714"/>
      <c r="CD889" s="239"/>
      <c r="CE889" s="24"/>
    </row>
    <row r="890" spans="5:83" ht="12" customHeight="1">
      <c r="E890" s="621">
        <v>882</v>
      </c>
      <c r="F890" s="711"/>
      <c r="G890" s="712"/>
      <c r="H890" s="713">
        <v>882</v>
      </c>
      <c r="I890" s="714"/>
      <c r="J890" s="239"/>
      <c r="K890" s="24"/>
      <c r="AI890" s="16" t="e">
        <f t="shared" si="117"/>
        <v>#N/A</v>
      </c>
      <c r="AJ890" s="16" t="str">
        <f t="shared" si="118"/>
        <v/>
      </c>
      <c r="AK890" s="16" t="str">
        <f t="shared" si="119"/>
        <v/>
      </c>
      <c r="AL890" s="16" t="e">
        <f>IF(AK890="",NA(),COUNTIF(AK$176:$AK890,AK890))</f>
        <v>#N/A</v>
      </c>
      <c r="AM890" s="16" t="e">
        <f t="shared" si="120"/>
        <v>#N/A</v>
      </c>
      <c r="AN890" s="16" t="e">
        <f t="shared" si="121"/>
        <v>#N/A</v>
      </c>
      <c r="AO890" s="16" t="str">
        <f t="shared" si="122"/>
        <v/>
      </c>
      <c r="AP890" s="16" t="str">
        <f t="shared" si="123"/>
        <v/>
      </c>
      <c r="AQ890" s="16" t="e">
        <f>IF(AP890="",NA(),COUNTIF(AP$176:$AP890,AP890))</f>
        <v>#N/A</v>
      </c>
      <c r="AR890" s="16" t="e">
        <f t="shared" si="124"/>
        <v>#N/A</v>
      </c>
      <c r="BI890" s="621">
        <v>882</v>
      </c>
      <c r="BJ890" s="711"/>
      <c r="BK890" s="712"/>
      <c r="BL890" s="713">
        <v>882</v>
      </c>
      <c r="BM890" s="714"/>
      <c r="BN890" s="239"/>
      <c r="BO890" s="24"/>
      <c r="BQ890" s="621">
        <v>882</v>
      </c>
      <c r="BR890" s="711"/>
      <c r="BS890" s="712"/>
      <c r="BT890" s="713">
        <v>882</v>
      </c>
      <c r="BU890" s="714"/>
      <c r="BV890" s="239"/>
      <c r="BW890" s="24"/>
      <c r="BY890" s="621">
        <v>882</v>
      </c>
      <c r="BZ890" s="711"/>
      <c r="CA890" s="712"/>
      <c r="CB890" s="713">
        <v>882</v>
      </c>
      <c r="CC890" s="714"/>
      <c r="CD890" s="239"/>
      <c r="CE890" s="24"/>
    </row>
    <row r="891" spans="5:83" ht="12" customHeight="1">
      <c r="E891" s="621">
        <v>883</v>
      </c>
      <c r="F891" s="711"/>
      <c r="G891" s="712"/>
      <c r="H891" s="713">
        <v>883</v>
      </c>
      <c r="I891" s="714"/>
      <c r="J891" s="239"/>
      <c r="K891" s="24"/>
      <c r="AI891" s="16" t="e">
        <f t="shared" si="117"/>
        <v>#N/A</v>
      </c>
      <c r="AJ891" s="16" t="str">
        <f t="shared" si="118"/>
        <v/>
      </c>
      <c r="AK891" s="16" t="str">
        <f t="shared" si="119"/>
        <v/>
      </c>
      <c r="AL891" s="16" t="e">
        <f>IF(AK891="",NA(),COUNTIF(AK$176:$AK891,AK891))</f>
        <v>#N/A</v>
      </c>
      <c r="AM891" s="16" t="e">
        <f t="shared" si="120"/>
        <v>#N/A</v>
      </c>
      <c r="AN891" s="16" t="e">
        <f t="shared" si="121"/>
        <v>#N/A</v>
      </c>
      <c r="AO891" s="16" t="str">
        <f t="shared" si="122"/>
        <v/>
      </c>
      <c r="AP891" s="16" t="str">
        <f t="shared" si="123"/>
        <v/>
      </c>
      <c r="AQ891" s="16" t="e">
        <f>IF(AP891="",NA(),COUNTIF(AP$176:$AP891,AP891))</f>
        <v>#N/A</v>
      </c>
      <c r="AR891" s="16" t="e">
        <f t="shared" si="124"/>
        <v>#N/A</v>
      </c>
      <c r="BI891" s="621">
        <v>883</v>
      </c>
      <c r="BJ891" s="711"/>
      <c r="BK891" s="712"/>
      <c r="BL891" s="713">
        <v>883</v>
      </c>
      <c r="BM891" s="714"/>
      <c r="BN891" s="239"/>
      <c r="BO891" s="24"/>
      <c r="BQ891" s="621">
        <v>883</v>
      </c>
      <c r="BR891" s="711"/>
      <c r="BS891" s="712"/>
      <c r="BT891" s="713">
        <v>883</v>
      </c>
      <c r="BU891" s="714"/>
      <c r="BV891" s="239"/>
      <c r="BW891" s="24"/>
      <c r="BY891" s="621">
        <v>883</v>
      </c>
      <c r="BZ891" s="711"/>
      <c r="CA891" s="712"/>
      <c r="CB891" s="713">
        <v>883</v>
      </c>
      <c r="CC891" s="714"/>
      <c r="CD891" s="239"/>
      <c r="CE891" s="24"/>
    </row>
    <row r="892" spans="5:83" ht="12" customHeight="1">
      <c r="E892" s="621">
        <v>884</v>
      </c>
      <c r="F892" s="711"/>
      <c r="G892" s="712"/>
      <c r="H892" s="713">
        <v>884</v>
      </c>
      <c r="I892" s="714"/>
      <c r="J892" s="239"/>
      <c r="K892" s="24"/>
      <c r="AI892" s="16" t="e">
        <f t="shared" si="117"/>
        <v>#N/A</v>
      </c>
      <c r="AJ892" s="16" t="str">
        <f t="shared" si="118"/>
        <v/>
      </c>
      <c r="AK892" s="16" t="str">
        <f t="shared" si="119"/>
        <v/>
      </c>
      <c r="AL892" s="16" t="e">
        <f>IF(AK892="",NA(),COUNTIF(AK$176:$AK892,AK892))</f>
        <v>#N/A</v>
      </c>
      <c r="AM892" s="16" t="e">
        <f t="shared" si="120"/>
        <v>#N/A</v>
      </c>
      <c r="AN892" s="16" t="e">
        <f t="shared" si="121"/>
        <v>#N/A</v>
      </c>
      <c r="AO892" s="16" t="str">
        <f t="shared" si="122"/>
        <v/>
      </c>
      <c r="AP892" s="16" t="str">
        <f t="shared" si="123"/>
        <v/>
      </c>
      <c r="AQ892" s="16" t="e">
        <f>IF(AP892="",NA(),COUNTIF(AP$176:$AP892,AP892))</f>
        <v>#N/A</v>
      </c>
      <c r="AR892" s="16" t="e">
        <f t="shared" si="124"/>
        <v>#N/A</v>
      </c>
      <c r="BI892" s="621">
        <v>884</v>
      </c>
      <c r="BJ892" s="711"/>
      <c r="BK892" s="712"/>
      <c r="BL892" s="713">
        <v>884</v>
      </c>
      <c r="BM892" s="714"/>
      <c r="BN892" s="239"/>
      <c r="BO892" s="24"/>
      <c r="BQ892" s="621">
        <v>884</v>
      </c>
      <c r="BR892" s="711"/>
      <c r="BS892" s="712"/>
      <c r="BT892" s="713">
        <v>884</v>
      </c>
      <c r="BU892" s="714"/>
      <c r="BV892" s="239"/>
      <c r="BW892" s="24"/>
      <c r="BY892" s="621">
        <v>884</v>
      </c>
      <c r="BZ892" s="711"/>
      <c r="CA892" s="712"/>
      <c r="CB892" s="713">
        <v>884</v>
      </c>
      <c r="CC892" s="714"/>
      <c r="CD892" s="239"/>
      <c r="CE892" s="24"/>
    </row>
    <row r="893" spans="5:83" ht="12" customHeight="1">
      <c r="E893" s="621">
        <v>885</v>
      </c>
      <c r="F893" s="711"/>
      <c r="G893" s="712"/>
      <c r="H893" s="713">
        <v>885</v>
      </c>
      <c r="I893" s="714"/>
      <c r="J893" s="239"/>
      <c r="K893" s="24"/>
      <c r="AI893" s="16" t="e">
        <f t="shared" si="117"/>
        <v>#N/A</v>
      </c>
      <c r="AJ893" s="16" t="str">
        <f t="shared" si="118"/>
        <v/>
      </c>
      <c r="AK893" s="16" t="str">
        <f t="shared" si="119"/>
        <v/>
      </c>
      <c r="AL893" s="16" t="e">
        <f>IF(AK893="",NA(),COUNTIF(AK$176:$AK893,AK893))</f>
        <v>#N/A</v>
      </c>
      <c r="AM893" s="16" t="e">
        <f t="shared" si="120"/>
        <v>#N/A</v>
      </c>
      <c r="AN893" s="16" t="e">
        <f t="shared" si="121"/>
        <v>#N/A</v>
      </c>
      <c r="AO893" s="16" t="str">
        <f t="shared" si="122"/>
        <v/>
      </c>
      <c r="AP893" s="16" t="str">
        <f t="shared" si="123"/>
        <v/>
      </c>
      <c r="AQ893" s="16" t="e">
        <f>IF(AP893="",NA(),COUNTIF(AP$176:$AP893,AP893))</f>
        <v>#N/A</v>
      </c>
      <c r="AR893" s="16" t="e">
        <f t="shared" si="124"/>
        <v>#N/A</v>
      </c>
      <c r="BI893" s="621">
        <v>885</v>
      </c>
      <c r="BJ893" s="711"/>
      <c r="BK893" s="712"/>
      <c r="BL893" s="713">
        <v>885</v>
      </c>
      <c r="BM893" s="714"/>
      <c r="BN893" s="239"/>
      <c r="BO893" s="24"/>
      <c r="BQ893" s="621">
        <v>885</v>
      </c>
      <c r="BR893" s="711"/>
      <c r="BS893" s="712"/>
      <c r="BT893" s="713">
        <v>885</v>
      </c>
      <c r="BU893" s="714"/>
      <c r="BV893" s="239"/>
      <c r="BW893" s="24"/>
      <c r="BY893" s="621">
        <v>885</v>
      </c>
      <c r="BZ893" s="711"/>
      <c r="CA893" s="712"/>
      <c r="CB893" s="713">
        <v>885</v>
      </c>
      <c r="CC893" s="714"/>
      <c r="CD893" s="239"/>
      <c r="CE893" s="24"/>
    </row>
    <row r="894" spans="5:83" ht="12" customHeight="1">
      <c r="E894" s="621">
        <v>886</v>
      </c>
      <c r="F894" s="711"/>
      <c r="G894" s="712"/>
      <c r="H894" s="713">
        <v>886</v>
      </c>
      <c r="I894" s="714"/>
      <c r="J894" s="239"/>
      <c r="K894" s="24"/>
      <c r="AI894" s="16" t="e">
        <f t="shared" si="117"/>
        <v>#N/A</v>
      </c>
      <c r="AJ894" s="16" t="str">
        <f t="shared" si="118"/>
        <v/>
      </c>
      <c r="AK894" s="16" t="str">
        <f t="shared" si="119"/>
        <v/>
      </c>
      <c r="AL894" s="16" t="e">
        <f>IF(AK894="",NA(),COUNTIF(AK$176:$AK894,AK894))</f>
        <v>#N/A</v>
      </c>
      <c r="AM894" s="16" t="e">
        <f t="shared" si="120"/>
        <v>#N/A</v>
      </c>
      <c r="AN894" s="16" t="e">
        <f t="shared" si="121"/>
        <v>#N/A</v>
      </c>
      <c r="AO894" s="16" t="str">
        <f t="shared" si="122"/>
        <v/>
      </c>
      <c r="AP894" s="16" t="str">
        <f t="shared" si="123"/>
        <v/>
      </c>
      <c r="AQ894" s="16" t="e">
        <f>IF(AP894="",NA(),COUNTIF(AP$176:$AP894,AP894))</f>
        <v>#N/A</v>
      </c>
      <c r="AR894" s="16" t="e">
        <f t="shared" si="124"/>
        <v>#N/A</v>
      </c>
      <c r="BI894" s="621">
        <v>886</v>
      </c>
      <c r="BJ894" s="711"/>
      <c r="BK894" s="712"/>
      <c r="BL894" s="713">
        <v>886</v>
      </c>
      <c r="BM894" s="714"/>
      <c r="BN894" s="239"/>
      <c r="BO894" s="24"/>
      <c r="BQ894" s="621">
        <v>886</v>
      </c>
      <c r="BR894" s="711"/>
      <c r="BS894" s="712"/>
      <c r="BT894" s="713">
        <v>886</v>
      </c>
      <c r="BU894" s="714"/>
      <c r="BV894" s="239"/>
      <c r="BW894" s="24"/>
      <c r="BY894" s="621">
        <v>886</v>
      </c>
      <c r="BZ894" s="711"/>
      <c r="CA894" s="712"/>
      <c r="CB894" s="713">
        <v>886</v>
      </c>
      <c r="CC894" s="714"/>
      <c r="CD894" s="239"/>
      <c r="CE894" s="24"/>
    </row>
    <row r="895" spans="5:83" ht="12" customHeight="1">
      <c r="E895" s="621">
        <v>887</v>
      </c>
      <c r="F895" s="711"/>
      <c r="G895" s="712"/>
      <c r="H895" s="713">
        <v>887</v>
      </c>
      <c r="I895" s="714"/>
      <c r="J895" s="239"/>
      <c r="K895" s="24"/>
      <c r="AI895" s="16" t="e">
        <f t="shared" si="117"/>
        <v>#N/A</v>
      </c>
      <c r="AJ895" s="16" t="str">
        <f t="shared" si="118"/>
        <v/>
      </c>
      <c r="AK895" s="16" t="str">
        <f t="shared" si="119"/>
        <v/>
      </c>
      <c r="AL895" s="16" t="e">
        <f>IF(AK895="",NA(),COUNTIF(AK$176:$AK895,AK895))</f>
        <v>#N/A</v>
      </c>
      <c r="AM895" s="16" t="e">
        <f t="shared" si="120"/>
        <v>#N/A</v>
      </c>
      <c r="AN895" s="16" t="e">
        <f t="shared" si="121"/>
        <v>#N/A</v>
      </c>
      <c r="AO895" s="16" t="str">
        <f t="shared" si="122"/>
        <v/>
      </c>
      <c r="AP895" s="16" t="str">
        <f t="shared" si="123"/>
        <v/>
      </c>
      <c r="AQ895" s="16" t="e">
        <f>IF(AP895="",NA(),COUNTIF(AP$176:$AP895,AP895))</f>
        <v>#N/A</v>
      </c>
      <c r="AR895" s="16" t="e">
        <f t="shared" si="124"/>
        <v>#N/A</v>
      </c>
      <c r="BI895" s="621">
        <v>887</v>
      </c>
      <c r="BJ895" s="711"/>
      <c r="BK895" s="712"/>
      <c r="BL895" s="713">
        <v>887</v>
      </c>
      <c r="BM895" s="714"/>
      <c r="BN895" s="239"/>
      <c r="BO895" s="24"/>
      <c r="BQ895" s="621">
        <v>887</v>
      </c>
      <c r="BR895" s="711"/>
      <c r="BS895" s="712"/>
      <c r="BT895" s="713">
        <v>887</v>
      </c>
      <c r="BU895" s="714"/>
      <c r="BV895" s="239"/>
      <c r="BW895" s="24"/>
      <c r="BY895" s="621">
        <v>887</v>
      </c>
      <c r="BZ895" s="711"/>
      <c r="CA895" s="712"/>
      <c r="CB895" s="713">
        <v>887</v>
      </c>
      <c r="CC895" s="714"/>
      <c r="CD895" s="239"/>
      <c r="CE895" s="24"/>
    </row>
    <row r="896" spans="5:83" ht="12" customHeight="1">
      <c r="E896" s="621">
        <v>888</v>
      </c>
      <c r="F896" s="711"/>
      <c r="G896" s="712"/>
      <c r="H896" s="713">
        <v>888</v>
      </c>
      <c r="I896" s="714"/>
      <c r="J896" s="239"/>
      <c r="K896" s="24"/>
      <c r="AI896" s="16" t="e">
        <f t="shared" si="117"/>
        <v>#N/A</v>
      </c>
      <c r="AJ896" s="16" t="str">
        <f t="shared" si="118"/>
        <v/>
      </c>
      <c r="AK896" s="16" t="str">
        <f t="shared" si="119"/>
        <v/>
      </c>
      <c r="AL896" s="16" t="e">
        <f>IF(AK896="",NA(),COUNTIF(AK$176:$AK896,AK896))</f>
        <v>#N/A</v>
      </c>
      <c r="AM896" s="16" t="e">
        <f t="shared" si="120"/>
        <v>#N/A</v>
      </c>
      <c r="AN896" s="16" t="e">
        <f t="shared" si="121"/>
        <v>#N/A</v>
      </c>
      <c r="AO896" s="16" t="str">
        <f t="shared" si="122"/>
        <v/>
      </c>
      <c r="AP896" s="16" t="str">
        <f t="shared" si="123"/>
        <v/>
      </c>
      <c r="AQ896" s="16" t="e">
        <f>IF(AP896="",NA(),COUNTIF(AP$176:$AP896,AP896))</f>
        <v>#N/A</v>
      </c>
      <c r="AR896" s="16" t="e">
        <f t="shared" si="124"/>
        <v>#N/A</v>
      </c>
      <c r="BI896" s="621">
        <v>888</v>
      </c>
      <c r="BJ896" s="711"/>
      <c r="BK896" s="712"/>
      <c r="BL896" s="713">
        <v>888</v>
      </c>
      <c r="BM896" s="714"/>
      <c r="BN896" s="239"/>
      <c r="BO896" s="24"/>
      <c r="BQ896" s="621">
        <v>888</v>
      </c>
      <c r="BR896" s="711"/>
      <c r="BS896" s="712"/>
      <c r="BT896" s="713">
        <v>888</v>
      </c>
      <c r="BU896" s="714"/>
      <c r="BV896" s="239"/>
      <c r="BW896" s="24"/>
      <c r="BY896" s="621">
        <v>888</v>
      </c>
      <c r="BZ896" s="711"/>
      <c r="CA896" s="712"/>
      <c r="CB896" s="713">
        <v>888</v>
      </c>
      <c r="CC896" s="714"/>
      <c r="CD896" s="239"/>
      <c r="CE896" s="24"/>
    </row>
    <row r="897" spans="5:83" ht="12" customHeight="1">
      <c r="E897" s="621">
        <v>889</v>
      </c>
      <c r="F897" s="711"/>
      <c r="G897" s="712"/>
      <c r="H897" s="713">
        <v>889</v>
      </c>
      <c r="I897" s="714"/>
      <c r="J897" s="239"/>
      <c r="K897" s="24"/>
      <c r="AI897" s="16" t="e">
        <f t="shared" si="117"/>
        <v>#N/A</v>
      </c>
      <c r="AJ897" s="16" t="str">
        <f t="shared" si="118"/>
        <v/>
      </c>
      <c r="AK897" s="16" t="str">
        <f t="shared" si="119"/>
        <v/>
      </c>
      <c r="AL897" s="16" t="e">
        <f>IF(AK897="",NA(),COUNTIF(AK$176:$AK897,AK897))</f>
        <v>#N/A</v>
      </c>
      <c r="AM897" s="16" t="e">
        <f t="shared" si="120"/>
        <v>#N/A</v>
      </c>
      <c r="AN897" s="16" t="e">
        <f t="shared" si="121"/>
        <v>#N/A</v>
      </c>
      <c r="AO897" s="16" t="str">
        <f t="shared" si="122"/>
        <v/>
      </c>
      <c r="AP897" s="16" t="str">
        <f t="shared" si="123"/>
        <v/>
      </c>
      <c r="AQ897" s="16" t="e">
        <f>IF(AP897="",NA(),COUNTIF(AP$176:$AP897,AP897))</f>
        <v>#N/A</v>
      </c>
      <c r="AR897" s="16" t="e">
        <f t="shared" si="124"/>
        <v>#N/A</v>
      </c>
      <c r="BI897" s="621">
        <v>889</v>
      </c>
      <c r="BJ897" s="711"/>
      <c r="BK897" s="712"/>
      <c r="BL897" s="713">
        <v>889</v>
      </c>
      <c r="BM897" s="714"/>
      <c r="BN897" s="239"/>
      <c r="BO897" s="24"/>
      <c r="BQ897" s="621">
        <v>889</v>
      </c>
      <c r="BR897" s="711"/>
      <c r="BS897" s="712"/>
      <c r="BT897" s="713">
        <v>889</v>
      </c>
      <c r="BU897" s="714"/>
      <c r="BV897" s="239"/>
      <c r="BW897" s="24"/>
      <c r="BY897" s="621">
        <v>889</v>
      </c>
      <c r="BZ897" s="711"/>
      <c r="CA897" s="712"/>
      <c r="CB897" s="713">
        <v>889</v>
      </c>
      <c r="CC897" s="714"/>
      <c r="CD897" s="239"/>
      <c r="CE897" s="24"/>
    </row>
    <row r="898" spans="5:83" ht="12" customHeight="1">
      <c r="E898" s="621">
        <v>890</v>
      </c>
      <c r="F898" s="711"/>
      <c r="G898" s="712"/>
      <c r="H898" s="713">
        <v>890</v>
      </c>
      <c r="I898" s="714"/>
      <c r="J898" s="239"/>
      <c r="K898" s="24"/>
      <c r="AI898" s="16" t="e">
        <f t="shared" si="117"/>
        <v>#N/A</v>
      </c>
      <c r="AJ898" s="16" t="str">
        <f t="shared" si="118"/>
        <v/>
      </c>
      <c r="AK898" s="16" t="str">
        <f t="shared" si="119"/>
        <v/>
      </c>
      <c r="AL898" s="16" t="e">
        <f>IF(AK898="",NA(),COUNTIF(AK$176:$AK898,AK898))</f>
        <v>#N/A</v>
      </c>
      <c r="AM898" s="16" t="e">
        <f t="shared" si="120"/>
        <v>#N/A</v>
      </c>
      <c r="AN898" s="16" t="e">
        <f t="shared" si="121"/>
        <v>#N/A</v>
      </c>
      <c r="AO898" s="16" t="str">
        <f t="shared" si="122"/>
        <v/>
      </c>
      <c r="AP898" s="16" t="str">
        <f t="shared" si="123"/>
        <v/>
      </c>
      <c r="AQ898" s="16" t="e">
        <f>IF(AP898="",NA(),COUNTIF(AP$176:$AP898,AP898))</f>
        <v>#N/A</v>
      </c>
      <c r="AR898" s="16" t="e">
        <f t="shared" si="124"/>
        <v>#N/A</v>
      </c>
      <c r="BI898" s="621">
        <v>890</v>
      </c>
      <c r="BJ898" s="711"/>
      <c r="BK898" s="712"/>
      <c r="BL898" s="713">
        <v>890</v>
      </c>
      <c r="BM898" s="714"/>
      <c r="BN898" s="239"/>
      <c r="BO898" s="24"/>
      <c r="BQ898" s="621">
        <v>890</v>
      </c>
      <c r="BR898" s="711"/>
      <c r="BS898" s="712"/>
      <c r="BT898" s="713">
        <v>890</v>
      </c>
      <c r="BU898" s="714"/>
      <c r="BV898" s="239"/>
      <c r="BW898" s="24"/>
      <c r="BY898" s="621">
        <v>890</v>
      </c>
      <c r="BZ898" s="711"/>
      <c r="CA898" s="712"/>
      <c r="CB898" s="713">
        <v>890</v>
      </c>
      <c r="CC898" s="714"/>
      <c r="CD898" s="239"/>
      <c r="CE898" s="24"/>
    </row>
    <row r="899" spans="5:83" ht="12" customHeight="1">
      <c r="E899" s="621">
        <v>891</v>
      </c>
      <c r="F899" s="711"/>
      <c r="G899" s="712"/>
      <c r="H899" s="713">
        <v>891</v>
      </c>
      <c r="I899" s="714"/>
      <c r="J899" s="239"/>
      <c r="K899" s="24"/>
      <c r="AI899" s="16" t="e">
        <f t="shared" si="117"/>
        <v>#N/A</v>
      </c>
      <c r="AJ899" s="16" t="str">
        <f t="shared" si="118"/>
        <v/>
      </c>
      <c r="AK899" s="16" t="str">
        <f t="shared" si="119"/>
        <v/>
      </c>
      <c r="AL899" s="16" t="e">
        <f>IF(AK899="",NA(),COUNTIF(AK$176:$AK899,AK899))</f>
        <v>#N/A</v>
      </c>
      <c r="AM899" s="16" t="e">
        <f t="shared" si="120"/>
        <v>#N/A</v>
      </c>
      <c r="AN899" s="16" t="e">
        <f t="shared" si="121"/>
        <v>#N/A</v>
      </c>
      <c r="AO899" s="16" t="str">
        <f t="shared" si="122"/>
        <v/>
      </c>
      <c r="AP899" s="16" t="str">
        <f t="shared" si="123"/>
        <v/>
      </c>
      <c r="AQ899" s="16" t="e">
        <f>IF(AP899="",NA(),COUNTIF(AP$176:$AP899,AP899))</f>
        <v>#N/A</v>
      </c>
      <c r="AR899" s="16" t="e">
        <f t="shared" si="124"/>
        <v>#N/A</v>
      </c>
      <c r="BI899" s="621">
        <v>891</v>
      </c>
      <c r="BJ899" s="711"/>
      <c r="BK899" s="712"/>
      <c r="BL899" s="713">
        <v>891</v>
      </c>
      <c r="BM899" s="714"/>
      <c r="BN899" s="239"/>
      <c r="BO899" s="24"/>
      <c r="BQ899" s="621">
        <v>891</v>
      </c>
      <c r="BR899" s="711"/>
      <c r="BS899" s="712"/>
      <c r="BT899" s="713">
        <v>891</v>
      </c>
      <c r="BU899" s="714"/>
      <c r="BV899" s="239"/>
      <c r="BW899" s="24"/>
      <c r="BY899" s="621">
        <v>891</v>
      </c>
      <c r="BZ899" s="711"/>
      <c r="CA899" s="712"/>
      <c r="CB899" s="713">
        <v>891</v>
      </c>
      <c r="CC899" s="714"/>
      <c r="CD899" s="239"/>
      <c r="CE899" s="24"/>
    </row>
    <row r="900" spans="5:83" ht="12" customHeight="1">
      <c r="E900" s="621">
        <v>892</v>
      </c>
      <c r="F900" s="711"/>
      <c r="G900" s="712"/>
      <c r="H900" s="713">
        <v>892</v>
      </c>
      <c r="I900" s="714"/>
      <c r="J900" s="239"/>
      <c r="K900" s="24"/>
      <c r="AI900" s="16" t="e">
        <f t="shared" si="117"/>
        <v>#N/A</v>
      </c>
      <c r="AJ900" s="16" t="str">
        <f t="shared" si="118"/>
        <v/>
      </c>
      <c r="AK900" s="16" t="str">
        <f t="shared" si="119"/>
        <v/>
      </c>
      <c r="AL900" s="16" t="e">
        <f>IF(AK900="",NA(),COUNTIF(AK$176:$AK900,AK900))</f>
        <v>#N/A</v>
      </c>
      <c r="AM900" s="16" t="e">
        <f t="shared" si="120"/>
        <v>#N/A</v>
      </c>
      <c r="AN900" s="16" t="e">
        <f t="shared" si="121"/>
        <v>#N/A</v>
      </c>
      <c r="AO900" s="16" t="str">
        <f t="shared" si="122"/>
        <v/>
      </c>
      <c r="AP900" s="16" t="str">
        <f t="shared" si="123"/>
        <v/>
      </c>
      <c r="AQ900" s="16" t="e">
        <f>IF(AP900="",NA(),COUNTIF(AP$176:$AP900,AP900))</f>
        <v>#N/A</v>
      </c>
      <c r="AR900" s="16" t="e">
        <f t="shared" si="124"/>
        <v>#N/A</v>
      </c>
      <c r="BI900" s="621">
        <v>892</v>
      </c>
      <c r="BJ900" s="711"/>
      <c r="BK900" s="712"/>
      <c r="BL900" s="713">
        <v>892</v>
      </c>
      <c r="BM900" s="714"/>
      <c r="BN900" s="239"/>
      <c r="BO900" s="24"/>
      <c r="BQ900" s="621">
        <v>892</v>
      </c>
      <c r="BR900" s="711"/>
      <c r="BS900" s="712"/>
      <c r="BT900" s="713">
        <v>892</v>
      </c>
      <c r="BU900" s="714"/>
      <c r="BV900" s="239"/>
      <c r="BW900" s="24"/>
      <c r="BY900" s="621">
        <v>892</v>
      </c>
      <c r="BZ900" s="711"/>
      <c r="CA900" s="712"/>
      <c r="CB900" s="713">
        <v>892</v>
      </c>
      <c r="CC900" s="714"/>
      <c r="CD900" s="239"/>
      <c r="CE900" s="24"/>
    </row>
    <row r="901" spans="5:83" ht="12" customHeight="1">
      <c r="E901" s="621">
        <v>893</v>
      </c>
      <c r="F901" s="711"/>
      <c r="G901" s="712"/>
      <c r="H901" s="713">
        <v>893</v>
      </c>
      <c r="I901" s="714"/>
      <c r="J901" s="239"/>
      <c r="K901" s="24"/>
      <c r="AI901" s="16" t="e">
        <f t="shared" si="117"/>
        <v>#N/A</v>
      </c>
      <c r="AJ901" s="16" t="str">
        <f t="shared" si="118"/>
        <v/>
      </c>
      <c r="AK901" s="16" t="str">
        <f t="shared" si="119"/>
        <v/>
      </c>
      <c r="AL901" s="16" t="e">
        <f>IF(AK901="",NA(),COUNTIF(AK$176:$AK901,AK901))</f>
        <v>#N/A</v>
      </c>
      <c r="AM901" s="16" t="e">
        <f t="shared" si="120"/>
        <v>#N/A</v>
      </c>
      <c r="AN901" s="16" t="e">
        <f t="shared" si="121"/>
        <v>#N/A</v>
      </c>
      <c r="AO901" s="16" t="str">
        <f t="shared" si="122"/>
        <v/>
      </c>
      <c r="AP901" s="16" t="str">
        <f t="shared" si="123"/>
        <v/>
      </c>
      <c r="AQ901" s="16" t="e">
        <f>IF(AP901="",NA(),COUNTIF(AP$176:$AP901,AP901))</f>
        <v>#N/A</v>
      </c>
      <c r="AR901" s="16" t="e">
        <f t="shared" si="124"/>
        <v>#N/A</v>
      </c>
      <c r="BI901" s="621">
        <v>893</v>
      </c>
      <c r="BJ901" s="711"/>
      <c r="BK901" s="712"/>
      <c r="BL901" s="713">
        <v>893</v>
      </c>
      <c r="BM901" s="714"/>
      <c r="BN901" s="239"/>
      <c r="BO901" s="24"/>
      <c r="BQ901" s="621">
        <v>893</v>
      </c>
      <c r="BR901" s="711"/>
      <c r="BS901" s="712"/>
      <c r="BT901" s="713">
        <v>893</v>
      </c>
      <c r="BU901" s="714"/>
      <c r="BV901" s="239"/>
      <c r="BW901" s="24"/>
      <c r="BY901" s="621">
        <v>893</v>
      </c>
      <c r="BZ901" s="711"/>
      <c r="CA901" s="712"/>
      <c r="CB901" s="713">
        <v>893</v>
      </c>
      <c r="CC901" s="714"/>
      <c r="CD901" s="239"/>
      <c r="CE901" s="24"/>
    </row>
    <row r="902" spans="5:83" ht="12" customHeight="1">
      <c r="E902" s="621">
        <v>894</v>
      </c>
      <c r="F902" s="711"/>
      <c r="G902" s="712"/>
      <c r="H902" s="713">
        <v>894</v>
      </c>
      <c r="I902" s="714"/>
      <c r="J902" s="239"/>
      <c r="K902" s="24"/>
      <c r="AI902" s="16" t="e">
        <f t="shared" si="117"/>
        <v>#N/A</v>
      </c>
      <c r="AJ902" s="16" t="str">
        <f t="shared" si="118"/>
        <v/>
      </c>
      <c r="AK902" s="16" t="str">
        <f t="shared" si="119"/>
        <v/>
      </c>
      <c r="AL902" s="16" t="e">
        <f>IF(AK902="",NA(),COUNTIF(AK$176:$AK902,AK902))</f>
        <v>#N/A</v>
      </c>
      <c r="AM902" s="16" t="e">
        <f t="shared" si="120"/>
        <v>#N/A</v>
      </c>
      <c r="AN902" s="16" t="e">
        <f t="shared" si="121"/>
        <v>#N/A</v>
      </c>
      <c r="AO902" s="16" t="str">
        <f t="shared" si="122"/>
        <v/>
      </c>
      <c r="AP902" s="16" t="str">
        <f t="shared" si="123"/>
        <v/>
      </c>
      <c r="AQ902" s="16" t="e">
        <f>IF(AP902="",NA(),COUNTIF(AP$176:$AP902,AP902))</f>
        <v>#N/A</v>
      </c>
      <c r="AR902" s="16" t="e">
        <f t="shared" si="124"/>
        <v>#N/A</v>
      </c>
      <c r="BI902" s="621">
        <v>894</v>
      </c>
      <c r="BJ902" s="711"/>
      <c r="BK902" s="712"/>
      <c r="BL902" s="713">
        <v>894</v>
      </c>
      <c r="BM902" s="714"/>
      <c r="BN902" s="239"/>
      <c r="BO902" s="24"/>
      <c r="BQ902" s="621">
        <v>894</v>
      </c>
      <c r="BR902" s="711"/>
      <c r="BS902" s="712"/>
      <c r="BT902" s="713">
        <v>894</v>
      </c>
      <c r="BU902" s="714"/>
      <c r="BV902" s="239"/>
      <c r="BW902" s="24"/>
      <c r="BY902" s="621">
        <v>894</v>
      </c>
      <c r="BZ902" s="711"/>
      <c r="CA902" s="712"/>
      <c r="CB902" s="713">
        <v>894</v>
      </c>
      <c r="CC902" s="714"/>
      <c r="CD902" s="239"/>
      <c r="CE902" s="24"/>
    </row>
    <row r="903" spans="5:83" ht="12" customHeight="1">
      <c r="E903" s="621">
        <v>895</v>
      </c>
      <c r="F903" s="711"/>
      <c r="G903" s="712"/>
      <c r="H903" s="713">
        <v>895</v>
      </c>
      <c r="I903" s="714"/>
      <c r="J903" s="239"/>
      <c r="K903" s="24"/>
      <c r="AI903" s="16" t="e">
        <f t="shared" si="117"/>
        <v>#N/A</v>
      </c>
      <c r="AJ903" s="16" t="str">
        <f t="shared" si="118"/>
        <v/>
      </c>
      <c r="AK903" s="16" t="str">
        <f t="shared" si="119"/>
        <v/>
      </c>
      <c r="AL903" s="16" t="e">
        <f>IF(AK903="",NA(),COUNTIF(AK$176:$AK903,AK903))</f>
        <v>#N/A</v>
      </c>
      <c r="AM903" s="16" t="e">
        <f t="shared" si="120"/>
        <v>#N/A</v>
      </c>
      <c r="AN903" s="16" t="e">
        <f t="shared" si="121"/>
        <v>#N/A</v>
      </c>
      <c r="AO903" s="16" t="str">
        <f t="shared" si="122"/>
        <v/>
      </c>
      <c r="AP903" s="16" t="str">
        <f t="shared" si="123"/>
        <v/>
      </c>
      <c r="AQ903" s="16" t="e">
        <f>IF(AP903="",NA(),COUNTIF(AP$176:$AP903,AP903))</f>
        <v>#N/A</v>
      </c>
      <c r="AR903" s="16" t="e">
        <f t="shared" si="124"/>
        <v>#N/A</v>
      </c>
      <c r="BI903" s="621">
        <v>895</v>
      </c>
      <c r="BJ903" s="711"/>
      <c r="BK903" s="712"/>
      <c r="BL903" s="713">
        <v>895</v>
      </c>
      <c r="BM903" s="714"/>
      <c r="BN903" s="239"/>
      <c r="BO903" s="24"/>
      <c r="BQ903" s="621">
        <v>895</v>
      </c>
      <c r="BR903" s="711"/>
      <c r="BS903" s="712"/>
      <c r="BT903" s="713">
        <v>895</v>
      </c>
      <c r="BU903" s="714"/>
      <c r="BV903" s="239"/>
      <c r="BW903" s="24"/>
      <c r="BY903" s="621">
        <v>895</v>
      </c>
      <c r="BZ903" s="711"/>
      <c r="CA903" s="712"/>
      <c r="CB903" s="713">
        <v>895</v>
      </c>
      <c r="CC903" s="714"/>
      <c r="CD903" s="239"/>
      <c r="CE903" s="24"/>
    </row>
    <row r="904" spans="5:83" ht="12" customHeight="1">
      <c r="E904" s="621">
        <v>896</v>
      </c>
      <c r="F904" s="711"/>
      <c r="G904" s="712"/>
      <c r="H904" s="713">
        <v>896</v>
      </c>
      <c r="I904" s="714"/>
      <c r="J904" s="239"/>
      <c r="K904" s="24"/>
      <c r="AI904" s="16" t="e">
        <f t="shared" si="117"/>
        <v>#N/A</v>
      </c>
      <c r="AJ904" s="16" t="str">
        <f t="shared" si="118"/>
        <v/>
      </c>
      <c r="AK904" s="16" t="str">
        <f t="shared" si="119"/>
        <v/>
      </c>
      <c r="AL904" s="16" t="e">
        <f>IF(AK904="",NA(),COUNTIF(AK$176:$AK904,AK904))</f>
        <v>#N/A</v>
      </c>
      <c r="AM904" s="16" t="e">
        <f t="shared" si="120"/>
        <v>#N/A</v>
      </c>
      <c r="AN904" s="16" t="e">
        <f t="shared" si="121"/>
        <v>#N/A</v>
      </c>
      <c r="AO904" s="16" t="str">
        <f t="shared" si="122"/>
        <v/>
      </c>
      <c r="AP904" s="16" t="str">
        <f t="shared" si="123"/>
        <v/>
      </c>
      <c r="AQ904" s="16" t="e">
        <f>IF(AP904="",NA(),COUNTIF(AP$176:$AP904,AP904))</f>
        <v>#N/A</v>
      </c>
      <c r="AR904" s="16" t="e">
        <f t="shared" si="124"/>
        <v>#N/A</v>
      </c>
      <c r="BI904" s="621">
        <v>896</v>
      </c>
      <c r="BJ904" s="711"/>
      <c r="BK904" s="712"/>
      <c r="BL904" s="713">
        <v>896</v>
      </c>
      <c r="BM904" s="714"/>
      <c r="BN904" s="239"/>
      <c r="BO904" s="24"/>
      <c r="BQ904" s="621">
        <v>896</v>
      </c>
      <c r="BR904" s="711"/>
      <c r="BS904" s="712"/>
      <c r="BT904" s="713">
        <v>896</v>
      </c>
      <c r="BU904" s="714"/>
      <c r="BV904" s="239"/>
      <c r="BW904" s="24"/>
      <c r="BY904" s="621">
        <v>896</v>
      </c>
      <c r="BZ904" s="711"/>
      <c r="CA904" s="712"/>
      <c r="CB904" s="713">
        <v>896</v>
      </c>
      <c r="CC904" s="714"/>
      <c r="CD904" s="239"/>
      <c r="CE904" s="24"/>
    </row>
    <row r="905" spans="5:83" ht="12" customHeight="1">
      <c r="E905" s="621">
        <v>897</v>
      </c>
      <c r="F905" s="711"/>
      <c r="G905" s="712"/>
      <c r="H905" s="713">
        <v>897</v>
      </c>
      <c r="I905" s="714"/>
      <c r="J905" s="239"/>
      <c r="K905" s="24"/>
      <c r="AI905" s="16" t="e">
        <f t="shared" si="117"/>
        <v>#N/A</v>
      </c>
      <c r="AJ905" s="16" t="str">
        <f t="shared" si="118"/>
        <v/>
      </c>
      <c r="AK905" s="16" t="str">
        <f t="shared" si="119"/>
        <v/>
      </c>
      <c r="AL905" s="16" t="e">
        <f>IF(AK905="",NA(),COUNTIF(AK$176:$AK905,AK905))</f>
        <v>#N/A</v>
      </c>
      <c r="AM905" s="16" t="e">
        <f t="shared" si="120"/>
        <v>#N/A</v>
      </c>
      <c r="AN905" s="16" t="e">
        <f t="shared" si="121"/>
        <v>#N/A</v>
      </c>
      <c r="AO905" s="16" t="str">
        <f t="shared" si="122"/>
        <v/>
      </c>
      <c r="AP905" s="16" t="str">
        <f t="shared" si="123"/>
        <v/>
      </c>
      <c r="AQ905" s="16" t="e">
        <f>IF(AP905="",NA(),COUNTIF(AP$176:$AP905,AP905))</f>
        <v>#N/A</v>
      </c>
      <c r="AR905" s="16" t="e">
        <f t="shared" si="124"/>
        <v>#N/A</v>
      </c>
      <c r="BI905" s="621">
        <v>897</v>
      </c>
      <c r="BJ905" s="711"/>
      <c r="BK905" s="712"/>
      <c r="BL905" s="713">
        <v>897</v>
      </c>
      <c r="BM905" s="714"/>
      <c r="BN905" s="239"/>
      <c r="BO905" s="24"/>
      <c r="BQ905" s="621">
        <v>897</v>
      </c>
      <c r="BR905" s="711"/>
      <c r="BS905" s="712"/>
      <c r="BT905" s="713">
        <v>897</v>
      </c>
      <c r="BU905" s="714"/>
      <c r="BV905" s="239"/>
      <c r="BW905" s="24"/>
      <c r="BY905" s="621">
        <v>897</v>
      </c>
      <c r="BZ905" s="711"/>
      <c r="CA905" s="712"/>
      <c r="CB905" s="713">
        <v>897</v>
      </c>
      <c r="CC905" s="714"/>
      <c r="CD905" s="239"/>
      <c r="CE905" s="24"/>
    </row>
    <row r="906" spans="5:83" ht="12" customHeight="1">
      <c r="E906" s="621">
        <v>898</v>
      </c>
      <c r="F906" s="711"/>
      <c r="G906" s="712"/>
      <c r="H906" s="713">
        <v>898</v>
      </c>
      <c r="I906" s="714"/>
      <c r="J906" s="239"/>
      <c r="K906" s="24"/>
      <c r="AI906" s="16" t="e">
        <f t="shared" si="117"/>
        <v>#N/A</v>
      </c>
      <c r="AJ906" s="16" t="str">
        <f t="shared" si="118"/>
        <v/>
      </c>
      <c r="AK906" s="16" t="str">
        <f t="shared" si="119"/>
        <v/>
      </c>
      <c r="AL906" s="16" t="e">
        <f>IF(AK906="",NA(),COUNTIF(AK$176:$AK906,AK906))</f>
        <v>#N/A</v>
      </c>
      <c r="AM906" s="16" t="e">
        <f t="shared" si="120"/>
        <v>#N/A</v>
      </c>
      <c r="AN906" s="16" t="e">
        <f t="shared" si="121"/>
        <v>#N/A</v>
      </c>
      <c r="AO906" s="16" t="str">
        <f t="shared" si="122"/>
        <v/>
      </c>
      <c r="AP906" s="16" t="str">
        <f t="shared" si="123"/>
        <v/>
      </c>
      <c r="AQ906" s="16" t="e">
        <f>IF(AP906="",NA(),COUNTIF(AP$176:$AP906,AP906))</f>
        <v>#N/A</v>
      </c>
      <c r="AR906" s="16" t="e">
        <f t="shared" si="124"/>
        <v>#N/A</v>
      </c>
      <c r="BI906" s="621">
        <v>898</v>
      </c>
      <c r="BJ906" s="711"/>
      <c r="BK906" s="712"/>
      <c r="BL906" s="713">
        <v>898</v>
      </c>
      <c r="BM906" s="714"/>
      <c r="BN906" s="239"/>
      <c r="BO906" s="24"/>
      <c r="BQ906" s="621">
        <v>898</v>
      </c>
      <c r="BR906" s="711"/>
      <c r="BS906" s="712"/>
      <c r="BT906" s="713">
        <v>898</v>
      </c>
      <c r="BU906" s="714"/>
      <c r="BV906" s="239"/>
      <c r="BW906" s="24"/>
      <c r="BY906" s="621">
        <v>898</v>
      </c>
      <c r="BZ906" s="711"/>
      <c r="CA906" s="712"/>
      <c r="CB906" s="713">
        <v>898</v>
      </c>
      <c r="CC906" s="714"/>
      <c r="CD906" s="239"/>
      <c r="CE906" s="24"/>
    </row>
    <row r="907" spans="5:83" ht="12" customHeight="1">
      <c r="E907" s="621">
        <v>899</v>
      </c>
      <c r="F907" s="711"/>
      <c r="G907" s="712"/>
      <c r="H907" s="713">
        <v>899</v>
      </c>
      <c r="I907" s="714"/>
      <c r="J907" s="239"/>
      <c r="K907" s="24"/>
      <c r="AI907" s="16" t="e">
        <f t="shared" si="117"/>
        <v>#N/A</v>
      </c>
      <c r="AJ907" s="16" t="str">
        <f t="shared" si="118"/>
        <v/>
      </c>
      <c r="AK907" s="16" t="str">
        <f t="shared" si="119"/>
        <v/>
      </c>
      <c r="AL907" s="16" t="e">
        <f>IF(AK907="",NA(),COUNTIF(AK$176:$AK907,AK907))</f>
        <v>#N/A</v>
      </c>
      <c r="AM907" s="16" t="e">
        <f t="shared" si="120"/>
        <v>#N/A</v>
      </c>
      <c r="AN907" s="16" t="e">
        <f t="shared" si="121"/>
        <v>#N/A</v>
      </c>
      <c r="AO907" s="16" t="str">
        <f t="shared" si="122"/>
        <v/>
      </c>
      <c r="AP907" s="16" t="str">
        <f t="shared" si="123"/>
        <v/>
      </c>
      <c r="AQ907" s="16" t="e">
        <f>IF(AP907="",NA(),COUNTIF(AP$176:$AP907,AP907))</f>
        <v>#N/A</v>
      </c>
      <c r="AR907" s="16" t="e">
        <f t="shared" si="124"/>
        <v>#N/A</v>
      </c>
      <c r="BI907" s="621">
        <v>899</v>
      </c>
      <c r="BJ907" s="711"/>
      <c r="BK907" s="712"/>
      <c r="BL907" s="713">
        <v>899</v>
      </c>
      <c r="BM907" s="714"/>
      <c r="BN907" s="239"/>
      <c r="BO907" s="24"/>
      <c r="BQ907" s="621">
        <v>899</v>
      </c>
      <c r="BR907" s="711"/>
      <c r="BS907" s="712"/>
      <c r="BT907" s="713">
        <v>899</v>
      </c>
      <c r="BU907" s="714"/>
      <c r="BV907" s="239"/>
      <c r="BW907" s="24"/>
      <c r="BY907" s="621">
        <v>899</v>
      </c>
      <c r="BZ907" s="711"/>
      <c r="CA907" s="712"/>
      <c r="CB907" s="713">
        <v>899</v>
      </c>
      <c r="CC907" s="714"/>
      <c r="CD907" s="239"/>
      <c r="CE907" s="24"/>
    </row>
    <row r="908" spans="5:83" ht="12" customHeight="1">
      <c r="E908" s="621">
        <v>900</v>
      </c>
      <c r="F908" s="711"/>
      <c r="G908" s="712"/>
      <c r="H908" s="713">
        <v>900</v>
      </c>
      <c r="I908" s="714"/>
      <c r="J908" s="239"/>
      <c r="K908" s="24"/>
      <c r="AI908" s="16" t="e">
        <f t="shared" si="117"/>
        <v>#N/A</v>
      </c>
      <c r="AJ908" s="16" t="str">
        <f t="shared" si="118"/>
        <v/>
      </c>
      <c r="AK908" s="16" t="str">
        <f t="shared" si="119"/>
        <v/>
      </c>
      <c r="AL908" s="16" t="e">
        <f>IF(AK908="",NA(),COUNTIF(AK$176:$AK908,AK908))</f>
        <v>#N/A</v>
      </c>
      <c r="AM908" s="16" t="e">
        <f t="shared" si="120"/>
        <v>#N/A</v>
      </c>
      <c r="AN908" s="16" t="e">
        <f t="shared" si="121"/>
        <v>#N/A</v>
      </c>
      <c r="AO908" s="16" t="str">
        <f t="shared" si="122"/>
        <v/>
      </c>
      <c r="AP908" s="16" t="str">
        <f t="shared" si="123"/>
        <v/>
      </c>
      <c r="AQ908" s="16" t="e">
        <f>IF(AP908="",NA(),COUNTIF(AP$176:$AP908,AP908))</f>
        <v>#N/A</v>
      </c>
      <c r="AR908" s="16" t="e">
        <f t="shared" si="124"/>
        <v>#N/A</v>
      </c>
      <c r="BI908" s="621">
        <v>900</v>
      </c>
      <c r="BJ908" s="711"/>
      <c r="BK908" s="712"/>
      <c r="BL908" s="713">
        <v>900</v>
      </c>
      <c r="BM908" s="714"/>
      <c r="BN908" s="239"/>
      <c r="BO908" s="24"/>
      <c r="BQ908" s="621">
        <v>900</v>
      </c>
      <c r="BR908" s="711"/>
      <c r="BS908" s="712"/>
      <c r="BT908" s="713">
        <v>900</v>
      </c>
      <c r="BU908" s="714"/>
      <c r="BV908" s="239"/>
      <c r="BW908" s="24"/>
      <c r="BY908" s="621">
        <v>900</v>
      </c>
      <c r="BZ908" s="711"/>
      <c r="CA908" s="712"/>
      <c r="CB908" s="713">
        <v>900</v>
      </c>
      <c r="CC908" s="714"/>
      <c r="CD908" s="239"/>
      <c r="CE908" s="24"/>
    </row>
    <row r="909" spans="5:83" ht="12" customHeight="1">
      <c r="E909" s="621">
        <v>901</v>
      </c>
      <c r="F909" s="711"/>
      <c r="G909" s="712"/>
      <c r="H909" s="713">
        <v>901</v>
      </c>
      <c r="I909" s="714"/>
      <c r="J909" s="239"/>
      <c r="K909" s="24"/>
      <c r="AI909" s="16" t="e">
        <f t="shared" ref="AI909:AI972" si="125">IF(AND($X$80,NOT(F841=""),$X$78),F841,NA())</f>
        <v>#N/A</v>
      </c>
      <c r="AJ909" s="16" t="str">
        <f t="shared" ref="AJ909:AJ972" si="126">IF(AK909="","",IF($AU$79=0,AI909,AK909*$AU$79))</f>
        <v/>
      </c>
      <c r="AK909" s="16" t="str">
        <f t="shared" ref="AK909:AK972" si="127">IF(ISNA(AI909),"",IF($AU$79=0,AI909,ROUND(AI909/$AU$79,0)))</f>
        <v/>
      </c>
      <c r="AL909" s="16" t="e">
        <f>IF(AK909="",NA(),COUNTIF(AK$176:$AK909,AK909))</f>
        <v>#N/A</v>
      </c>
      <c r="AM909" s="16" t="e">
        <f t="shared" ref="AM909:AM972" si="128">(AL909-1)*$AU$82</f>
        <v>#N/A</v>
      </c>
      <c r="AN909" s="16" t="e">
        <f t="shared" ref="AN909:AN972" si="129">IF(AND($X$80,NOT(I841=""),$X$79),I841,NA())</f>
        <v>#N/A</v>
      </c>
      <c r="AO909" s="16" t="str">
        <f t="shared" ref="AO909:AO972" si="130">IF(AP909="","",IF($AU$79=0,AN909,AP909*$AU$79))</f>
        <v/>
      </c>
      <c r="AP909" s="16" t="str">
        <f t="shared" ref="AP909:AP972" si="131">IF(ISNA(AN909),"",IF($AU$79=0,AN909,ROUND(AN909/$AU$79,0)))</f>
        <v/>
      </c>
      <c r="AQ909" s="16" t="e">
        <f>IF(AP909="",NA(),COUNTIF(AP$176:$AP909,AP909))</f>
        <v>#N/A</v>
      </c>
      <c r="AR909" s="16" t="e">
        <f t="shared" ref="AR909:AR972" si="132">(AQ909-1)*$AU$82</f>
        <v>#N/A</v>
      </c>
      <c r="BI909" s="621">
        <v>901</v>
      </c>
      <c r="BJ909" s="711"/>
      <c r="BK909" s="712"/>
      <c r="BL909" s="713">
        <v>901</v>
      </c>
      <c r="BM909" s="714"/>
      <c r="BN909" s="239"/>
      <c r="BO909" s="24"/>
      <c r="BQ909" s="621">
        <v>901</v>
      </c>
      <c r="BR909" s="711"/>
      <c r="BS909" s="712"/>
      <c r="BT909" s="713">
        <v>901</v>
      </c>
      <c r="BU909" s="714"/>
      <c r="BV909" s="239"/>
      <c r="BW909" s="24"/>
      <c r="BY909" s="621">
        <v>901</v>
      </c>
      <c r="BZ909" s="711"/>
      <c r="CA909" s="712"/>
      <c r="CB909" s="713">
        <v>901</v>
      </c>
      <c r="CC909" s="714"/>
      <c r="CD909" s="239"/>
      <c r="CE909" s="24"/>
    </row>
    <row r="910" spans="5:83" ht="12" customHeight="1">
      <c r="E910" s="621">
        <v>902</v>
      </c>
      <c r="F910" s="711"/>
      <c r="G910" s="712"/>
      <c r="H910" s="713">
        <v>902</v>
      </c>
      <c r="I910" s="714"/>
      <c r="J910" s="239"/>
      <c r="K910" s="24"/>
      <c r="AI910" s="16" t="e">
        <f t="shared" si="125"/>
        <v>#N/A</v>
      </c>
      <c r="AJ910" s="16" t="str">
        <f t="shared" si="126"/>
        <v/>
      </c>
      <c r="AK910" s="16" t="str">
        <f t="shared" si="127"/>
        <v/>
      </c>
      <c r="AL910" s="16" t="e">
        <f>IF(AK910="",NA(),COUNTIF(AK$176:$AK910,AK910))</f>
        <v>#N/A</v>
      </c>
      <c r="AM910" s="16" t="e">
        <f t="shared" si="128"/>
        <v>#N/A</v>
      </c>
      <c r="AN910" s="16" t="e">
        <f t="shared" si="129"/>
        <v>#N/A</v>
      </c>
      <c r="AO910" s="16" t="str">
        <f t="shared" si="130"/>
        <v/>
      </c>
      <c r="AP910" s="16" t="str">
        <f t="shared" si="131"/>
        <v/>
      </c>
      <c r="AQ910" s="16" t="e">
        <f>IF(AP910="",NA(),COUNTIF(AP$176:$AP910,AP910))</f>
        <v>#N/A</v>
      </c>
      <c r="AR910" s="16" t="e">
        <f t="shared" si="132"/>
        <v>#N/A</v>
      </c>
      <c r="BI910" s="621">
        <v>902</v>
      </c>
      <c r="BJ910" s="711"/>
      <c r="BK910" s="712"/>
      <c r="BL910" s="713">
        <v>902</v>
      </c>
      <c r="BM910" s="714"/>
      <c r="BN910" s="239"/>
      <c r="BO910" s="24"/>
      <c r="BQ910" s="621">
        <v>902</v>
      </c>
      <c r="BR910" s="711"/>
      <c r="BS910" s="712"/>
      <c r="BT910" s="713">
        <v>902</v>
      </c>
      <c r="BU910" s="714"/>
      <c r="BV910" s="239"/>
      <c r="BW910" s="24"/>
      <c r="BY910" s="621">
        <v>902</v>
      </c>
      <c r="BZ910" s="711"/>
      <c r="CA910" s="712"/>
      <c r="CB910" s="713">
        <v>902</v>
      </c>
      <c r="CC910" s="714"/>
      <c r="CD910" s="239"/>
      <c r="CE910" s="24"/>
    </row>
    <row r="911" spans="5:83" ht="12" customHeight="1">
      <c r="E911" s="621">
        <v>903</v>
      </c>
      <c r="F911" s="711"/>
      <c r="G911" s="712"/>
      <c r="H911" s="713">
        <v>903</v>
      </c>
      <c r="I911" s="714"/>
      <c r="J911" s="239"/>
      <c r="K911" s="24"/>
      <c r="AI911" s="16" t="e">
        <f t="shared" si="125"/>
        <v>#N/A</v>
      </c>
      <c r="AJ911" s="16" t="str">
        <f t="shared" si="126"/>
        <v/>
      </c>
      <c r="AK911" s="16" t="str">
        <f t="shared" si="127"/>
        <v/>
      </c>
      <c r="AL911" s="16" t="e">
        <f>IF(AK911="",NA(),COUNTIF(AK$176:$AK911,AK911))</f>
        <v>#N/A</v>
      </c>
      <c r="AM911" s="16" t="e">
        <f t="shared" si="128"/>
        <v>#N/A</v>
      </c>
      <c r="AN911" s="16" t="e">
        <f t="shared" si="129"/>
        <v>#N/A</v>
      </c>
      <c r="AO911" s="16" t="str">
        <f t="shared" si="130"/>
        <v/>
      </c>
      <c r="AP911" s="16" t="str">
        <f t="shared" si="131"/>
        <v/>
      </c>
      <c r="AQ911" s="16" t="e">
        <f>IF(AP911="",NA(),COUNTIF(AP$176:$AP911,AP911))</f>
        <v>#N/A</v>
      </c>
      <c r="AR911" s="16" t="e">
        <f t="shared" si="132"/>
        <v>#N/A</v>
      </c>
      <c r="BI911" s="621">
        <v>903</v>
      </c>
      <c r="BJ911" s="711"/>
      <c r="BK911" s="712"/>
      <c r="BL911" s="713">
        <v>903</v>
      </c>
      <c r="BM911" s="714"/>
      <c r="BN911" s="239"/>
      <c r="BO911" s="24"/>
      <c r="BQ911" s="621">
        <v>903</v>
      </c>
      <c r="BR911" s="711"/>
      <c r="BS911" s="712"/>
      <c r="BT911" s="713">
        <v>903</v>
      </c>
      <c r="BU911" s="714"/>
      <c r="BV911" s="239"/>
      <c r="BW911" s="24"/>
      <c r="BY911" s="621">
        <v>903</v>
      </c>
      <c r="BZ911" s="711"/>
      <c r="CA911" s="712"/>
      <c r="CB911" s="713">
        <v>903</v>
      </c>
      <c r="CC911" s="714"/>
      <c r="CD911" s="239"/>
      <c r="CE911" s="24"/>
    </row>
    <row r="912" spans="5:83" ht="12" customHeight="1">
      <c r="E912" s="621">
        <v>904</v>
      </c>
      <c r="F912" s="711"/>
      <c r="G912" s="712"/>
      <c r="H912" s="713">
        <v>904</v>
      </c>
      <c r="I912" s="714"/>
      <c r="J912" s="239"/>
      <c r="K912" s="24"/>
      <c r="AI912" s="16" t="e">
        <f t="shared" si="125"/>
        <v>#N/A</v>
      </c>
      <c r="AJ912" s="16" t="str">
        <f t="shared" si="126"/>
        <v/>
      </c>
      <c r="AK912" s="16" t="str">
        <f t="shared" si="127"/>
        <v/>
      </c>
      <c r="AL912" s="16" t="e">
        <f>IF(AK912="",NA(),COUNTIF(AK$176:$AK912,AK912))</f>
        <v>#N/A</v>
      </c>
      <c r="AM912" s="16" t="e">
        <f t="shared" si="128"/>
        <v>#N/A</v>
      </c>
      <c r="AN912" s="16" t="e">
        <f t="shared" si="129"/>
        <v>#N/A</v>
      </c>
      <c r="AO912" s="16" t="str">
        <f t="shared" si="130"/>
        <v/>
      </c>
      <c r="AP912" s="16" t="str">
        <f t="shared" si="131"/>
        <v/>
      </c>
      <c r="AQ912" s="16" t="e">
        <f>IF(AP912="",NA(),COUNTIF(AP$176:$AP912,AP912))</f>
        <v>#N/A</v>
      </c>
      <c r="AR912" s="16" t="e">
        <f t="shared" si="132"/>
        <v>#N/A</v>
      </c>
      <c r="BI912" s="621">
        <v>904</v>
      </c>
      <c r="BJ912" s="711"/>
      <c r="BK912" s="712"/>
      <c r="BL912" s="713">
        <v>904</v>
      </c>
      <c r="BM912" s="714"/>
      <c r="BN912" s="239"/>
      <c r="BO912" s="24"/>
      <c r="BQ912" s="621">
        <v>904</v>
      </c>
      <c r="BR912" s="711"/>
      <c r="BS912" s="712"/>
      <c r="BT912" s="713">
        <v>904</v>
      </c>
      <c r="BU912" s="714"/>
      <c r="BV912" s="239"/>
      <c r="BW912" s="24"/>
      <c r="BY912" s="621">
        <v>904</v>
      </c>
      <c r="BZ912" s="711"/>
      <c r="CA912" s="712"/>
      <c r="CB912" s="713">
        <v>904</v>
      </c>
      <c r="CC912" s="714"/>
      <c r="CD912" s="239"/>
      <c r="CE912" s="24"/>
    </row>
    <row r="913" spans="5:83" ht="12" customHeight="1">
      <c r="E913" s="621">
        <v>905</v>
      </c>
      <c r="F913" s="711"/>
      <c r="G913" s="712"/>
      <c r="H913" s="713">
        <v>905</v>
      </c>
      <c r="I913" s="714"/>
      <c r="J913" s="239"/>
      <c r="K913" s="24"/>
      <c r="AI913" s="16" t="e">
        <f t="shared" si="125"/>
        <v>#N/A</v>
      </c>
      <c r="AJ913" s="16" t="str">
        <f t="shared" si="126"/>
        <v/>
      </c>
      <c r="AK913" s="16" t="str">
        <f t="shared" si="127"/>
        <v/>
      </c>
      <c r="AL913" s="16" t="e">
        <f>IF(AK913="",NA(),COUNTIF(AK$176:$AK913,AK913))</f>
        <v>#N/A</v>
      </c>
      <c r="AM913" s="16" t="e">
        <f t="shared" si="128"/>
        <v>#N/A</v>
      </c>
      <c r="AN913" s="16" t="e">
        <f t="shared" si="129"/>
        <v>#N/A</v>
      </c>
      <c r="AO913" s="16" t="str">
        <f t="shared" si="130"/>
        <v/>
      </c>
      <c r="AP913" s="16" t="str">
        <f t="shared" si="131"/>
        <v/>
      </c>
      <c r="AQ913" s="16" t="e">
        <f>IF(AP913="",NA(),COUNTIF(AP$176:$AP913,AP913))</f>
        <v>#N/A</v>
      </c>
      <c r="AR913" s="16" t="e">
        <f t="shared" si="132"/>
        <v>#N/A</v>
      </c>
      <c r="BI913" s="621">
        <v>905</v>
      </c>
      <c r="BJ913" s="711"/>
      <c r="BK913" s="712"/>
      <c r="BL913" s="713">
        <v>905</v>
      </c>
      <c r="BM913" s="714"/>
      <c r="BN913" s="239"/>
      <c r="BO913" s="24"/>
      <c r="BQ913" s="621">
        <v>905</v>
      </c>
      <c r="BR913" s="711"/>
      <c r="BS913" s="712"/>
      <c r="BT913" s="713">
        <v>905</v>
      </c>
      <c r="BU913" s="714"/>
      <c r="BV913" s="239"/>
      <c r="BW913" s="24"/>
      <c r="BY913" s="621">
        <v>905</v>
      </c>
      <c r="BZ913" s="711"/>
      <c r="CA913" s="712"/>
      <c r="CB913" s="713">
        <v>905</v>
      </c>
      <c r="CC913" s="714"/>
      <c r="CD913" s="239"/>
      <c r="CE913" s="24"/>
    </row>
    <row r="914" spans="5:83" ht="12" customHeight="1">
      <c r="E914" s="621">
        <v>906</v>
      </c>
      <c r="F914" s="711"/>
      <c r="G914" s="712"/>
      <c r="H914" s="713">
        <v>906</v>
      </c>
      <c r="I914" s="714"/>
      <c r="J914" s="239"/>
      <c r="K914" s="24"/>
      <c r="AI914" s="16" t="e">
        <f t="shared" si="125"/>
        <v>#N/A</v>
      </c>
      <c r="AJ914" s="16" t="str">
        <f t="shared" si="126"/>
        <v/>
      </c>
      <c r="AK914" s="16" t="str">
        <f t="shared" si="127"/>
        <v/>
      </c>
      <c r="AL914" s="16" t="e">
        <f>IF(AK914="",NA(),COUNTIF(AK$176:$AK914,AK914))</f>
        <v>#N/A</v>
      </c>
      <c r="AM914" s="16" t="e">
        <f t="shared" si="128"/>
        <v>#N/A</v>
      </c>
      <c r="AN914" s="16" t="e">
        <f t="shared" si="129"/>
        <v>#N/A</v>
      </c>
      <c r="AO914" s="16" t="str">
        <f t="shared" si="130"/>
        <v/>
      </c>
      <c r="AP914" s="16" t="str">
        <f t="shared" si="131"/>
        <v/>
      </c>
      <c r="AQ914" s="16" t="e">
        <f>IF(AP914="",NA(),COUNTIF(AP$176:$AP914,AP914))</f>
        <v>#N/A</v>
      </c>
      <c r="AR914" s="16" t="e">
        <f t="shared" si="132"/>
        <v>#N/A</v>
      </c>
      <c r="BI914" s="621">
        <v>906</v>
      </c>
      <c r="BJ914" s="711"/>
      <c r="BK914" s="712"/>
      <c r="BL914" s="713">
        <v>906</v>
      </c>
      <c r="BM914" s="714"/>
      <c r="BN914" s="239"/>
      <c r="BO914" s="24"/>
      <c r="BQ914" s="621">
        <v>906</v>
      </c>
      <c r="BR914" s="711"/>
      <c r="BS914" s="712"/>
      <c r="BT914" s="713">
        <v>906</v>
      </c>
      <c r="BU914" s="714"/>
      <c r="BV914" s="239"/>
      <c r="BW914" s="24"/>
      <c r="BY914" s="621">
        <v>906</v>
      </c>
      <c r="BZ914" s="711"/>
      <c r="CA914" s="712"/>
      <c r="CB914" s="713">
        <v>906</v>
      </c>
      <c r="CC914" s="714"/>
      <c r="CD914" s="239"/>
      <c r="CE914" s="24"/>
    </row>
    <row r="915" spans="5:83" ht="12" customHeight="1">
      <c r="E915" s="621">
        <v>907</v>
      </c>
      <c r="F915" s="711"/>
      <c r="G915" s="712"/>
      <c r="H915" s="713">
        <v>907</v>
      </c>
      <c r="I915" s="714"/>
      <c r="J915" s="239"/>
      <c r="K915" s="24"/>
      <c r="AI915" s="16" t="e">
        <f t="shared" si="125"/>
        <v>#N/A</v>
      </c>
      <c r="AJ915" s="16" t="str">
        <f t="shared" si="126"/>
        <v/>
      </c>
      <c r="AK915" s="16" t="str">
        <f t="shared" si="127"/>
        <v/>
      </c>
      <c r="AL915" s="16" t="e">
        <f>IF(AK915="",NA(),COUNTIF(AK$176:$AK915,AK915))</f>
        <v>#N/A</v>
      </c>
      <c r="AM915" s="16" t="e">
        <f t="shared" si="128"/>
        <v>#N/A</v>
      </c>
      <c r="AN915" s="16" t="e">
        <f t="shared" si="129"/>
        <v>#N/A</v>
      </c>
      <c r="AO915" s="16" t="str">
        <f t="shared" si="130"/>
        <v/>
      </c>
      <c r="AP915" s="16" t="str">
        <f t="shared" si="131"/>
        <v/>
      </c>
      <c r="AQ915" s="16" t="e">
        <f>IF(AP915="",NA(),COUNTIF(AP$176:$AP915,AP915))</f>
        <v>#N/A</v>
      </c>
      <c r="AR915" s="16" t="e">
        <f t="shared" si="132"/>
        <v>#N/A</v>
      </c>
      <c r="BI915" s="621">
        <v>907</v>
      </c>
      <c r="BJ915" s="711"/>
      <c r="BK915" s="712"/>
      <c r="BL915" s="713">
        <v>907</v>
      </c>
      <c r="BM915" s="714"/>
      <c r="BN915" s="239"/>
      <c r="BO915" s="24"/>
      <c r="BQ915" s="621">
        <v>907</v>
      </c>
      <c r="BR915" s="711"/>
      <c r="BS915" s="712"/>
      <c r="BT915" s="713">
        <v>907</v>
      </c>
      <c r="BU915" s="714"/>
      <c r="BV915" s="239"/>
      <c r="BW915" s="24"/>
      <c r="BY915" s="621">
        <v>907</v>
      </c>
      <c r="BZ915" s="711"/>
      <c r="CA915" s="712"/>
      <c r="CB915" s="713">
        <v>907</v>
      </c>
      <c r="CC915" s="714"/>
      <c r="CD915" s="239"/>
      <c r="CE915" s="24"/>
    </row>
    <row r="916" spans="5:83" ht="12" customHeight="1">
      <c r="E916" s="621">
        <v>908</v>
      </c>
      <c r="F916" s="711"/>
      <c r="G916" s="712"/>
      <c r="H916" s="713">
        <v>908</v>
      </c>
      <c r="I916" s="714"/>
      <c r="J916" s="239"/>
      <c r="K916" s="24"/>
      <c r="AI916" s="16" t="e">
        <f t="shared" si="125"/>
        <v>#N/A</v>
      </c>
      <c r="AJ916" s="16" t="str">
        <f t="shared" si="126"/>
        <v/>
      </c>
      <c r="AK916" s="16" t="str">
        <f t="shared" si="127"/>
        <v/>
      </c>
      <c r="AL916" s="16" t="e">
        <f>IF(AK916="",NA(),COUNTIF(AK$176:$AK916,AK916))</f>
        <v>#N/A</v>
      </c>
      <c r="AM916" s="16" t="e">
        <f t="shared" si="128"/>
        <v>#N/A</v>
      </c>
      <c r="AN916" s="16" t="e">
        <f t="shared" si="129"/>
        <v>#N/A</v>
      </c>
      <c r="AO916" s="16" t="str">
        <f t="shared" si="130"/>
        <v/>
      </c>
      <c r="AP916" s="16" t="str">
        <f t="shared" si="131"/>
        <v/>
      </c>
      <c r="AQ916" s="16" t="e">
        <f>IF(AP916="",NA(),COUNTIF(AP$176:$AP916,AP916))</f>
        <v>#N/A</v>
      </c>
      <c r="AR916" s="16" t="e">
        <f t="shared" si="132"/>
        <v>#N/A</v>
      </c>
      <c r="BI916" s="621">
        <v>908</v>
      </c>
      <c r="BJ916" s="711"/>
      <c r="BK916" s="712"/>
      <c r="BL916" s="713">
        <v>908</v>
      </c>
      <c r="BM916" s="714"/>
      <c r="BN916" s="239"/>
      <c r="BO916" s="24"/>
      <c r="BQ916" s="621">
        <v>908</v>
      </c>
      <c r="BR916" s="711"/>
      <c r="BS916" s="712"/>
      <c r="BT916" s="713">
        <v>908</v>
      </c>
      <c r="BU916" s="714"/>
      <c r="BV916" s="239"/>
      <c r="BW916" s="24"/>
      <c r="BY916" s="621">
        <v>908</v>
      </c>
      <c r="BZ916" s="711"/>
      <c r="CA916" s="712"/>
      <c r="CB916" s="713">
        <v>908</v>
      </c>
      <c r="CC916" s="714"/>
      <c r="CD916" s="239"/>
      <c r="CE916" s="24"/>
    </row>
    <row r="917" spans="5:83" ht="12" customHeight="1">
      <c r="E917" s="621">
        <v>909</v>
      </c>
      <c r="F917" s="711"/>
      <c r="G917" s="712"/>
      <c r="H917" s="713">
        <v>909</v>
      </c>
      <c r="I917" s="714"/>
      <c r="J917" s="239"/>
      <c r="K917" s="24"/>
      <c r="AI917" s="16" t="e">
        <f t="shared" si="125"/>
        <v>#N/A</v>
      </c>
      <c r="AJ917" s="16" t="str">
        <f t="shared" si="126"/>
        <v/>
      </c>
      <c r="AK917" s="16" t="str">
        <f t="shared" si="127"/>
        <v/>
      </c>
      <c r="AL917" s="16" t="e">
        <f>IF(AK917="",NA(),COUNTIF(AK$176:$AK917,AK917))</f>
        <v>#N/A</v>
      </c>
      <c r="AM917" s="16" t="e">
        <f t="shared" si="128"/>
        <v>#N/A</v>
      </c>
      <c r="AN917" s="16" t="e">
        <f t="shared" si="129"/>
        <v>#N/A</v>
      </c>
      <c r="AO917" s="16" t="str">
        <f t="shared" si="130"/>
        <v/>
      </c>
      <c r="AP917" s="16" t="str">
        <f t="shared" si="131"/>
        <v/>
      </c>
      <c r="AQ917" s="16" t="e">
        <f>IF(AP917="",NA(),COUNTIF(AP$176:$AP917,AP917))</f>
        <v>#N/A</v>
      </c>
      <c r="AR917" s="16" t="e">
        <f t="shared" si="132"/>
        <v>#N/A</v>
      </c>
      <c r="BI917" s="621">
        <v>909</v>
      </c>
      <c r="BJ917" s="711"/>
      <c r="BK917" s="712"/>
      <c r="BL917" s="713">
        <v>909</v>
      </c>
      <c r="BM917" s="714"/>
      <c r="BN917" s="239"/>
      <c r="BO917" s="24"/>
      <c r="BQ917" s="621">
        <v>909</v>
      </c>
      <c r="BR917" s="711"/>
      <c r="BS917" s="712"/>
      <c r="BT917" s="713">
        <v>909</v>
      </c>
      <c r="BU917" s="714"/>
      <c r="BV917" s="239"/>
      <c r="BW917" s="24"/>
      <c r="BY917" s="621">
        <v>909</v>
      </c>
      <c r="BZ917" s="711"/>
      <c r="CA917" s="712"/>
      <c r="CB917" s="713">
        <v>909</v>
      </c>
      <c r="CC917" s="714"/>
      <c r="CD917" s="239"/>
      <c r="CE917" s="24"/>
    </row>
    <row r="918" spans="5:83" ht="12" customHeight="1">
      <c r="E918" s="621">
        <v>910</v>
      </c>
      <c r="F918" s="711"/>
      <c r="G918" s="712"/>
      <c r="H918" s="713">
        <v>910</v>
      </c>
      <c r="I918" s="714"/>
      <c r="J918" s="239"/>
      <c r="K918" s="24"/>
      <c r="AI918" s="16" t="e">
        <f t="shared" si="125"/>
        <v>#N/A</v>
      </c>
      <c r="AJ918" s="16" t="str">
        <f t="shared" si="126"/>
        <v/>
      </c>
      <c r="AK918" s="16" t="str">
        <f t="shared" si="127"/>
        <v/>
      </c>
      <c r="AL918" s="16" t="e">
        <f>IF(AK918="",NA(),COUNTIF(AK$176:$AK918,AK918))</f>
        <v>#N/A</v>
      </c>
      <c r="AM918" s="16" t="e">
        <f t="shared" si="128"/>
        <v>#N/A</v>
      </c>
      <c r="AN918" s="16" t="e">
        <f t="shared" si="129"/>
        <v>#N/A</v>
      </c>
      <c r="AO918" s="16" t="str">
        <f t="shared" si="130"/>
        <v/>
      </c>
      <c r="AP918" s="16" t="str">
        <f t="shared" si="131"/>
        <v/>
      </c>
      <c r="AQ918" s="16" t="e">
        <f>IF(AP918="",NA(),COUNTIF(AP$176:$AP918,AP918))</f>
        <v>#N/A</v>
      </c>
      <c r="AR918" s="16" t="e">
        <f t="shared" si="132"/>
        <v>#N/A</v>
      </c>
      <c r="BI918" s="621">
        <v>910</v>
      </c>
      <c r="BJ918" s="711"/>
      <c r="BK918" s="712"/>
      <c r="BL918" s="713">
        <v>910</v>
      </c>
      <c r="BM918" s="714"/>
      <c r="BN918" s="239"/>
      <c r="BO918" s="24"/>
      <c r="BQ918" s="621">
        <v>910</v>
      </c>
      <c r="BR918" s="711"/>
      <c r="BS918" s="712"/>
      <c r="BT918" s="713">
        <v>910</v>
      </c>
      <c r="BU918" s="714"/>
      <c r="BV918" s="239"/>
      <c r="BW918" s="24"/>
      <c r="BY918" s="621">
        <v>910</v>
      </c>
      <c r="BZ918" s="711"/>
      <c r="CA918" s="712"/>
      <c r="CB918" s="713">
        <v>910</v>
      </c>
      <c r="CC918" s="714"/>
      <c r="CD918" s="239"/>
      <c r="CE918" s="24"/>
    </row>
    <row r="919" spans="5:83" ht="12" customHeight="1">
      <c r="E919" s="621">
        <v>911</v>
      </c>
      <c r="F919" s="711"/>
      <c r="G919" s="712"/>
      <c r="H919" s="713">
        <v>911</v>
      </c>
      <c r="I919" s="714"/>
      <c r="J919" s="239"/>
      <c r="K919" s="24"/>
      <c r="AI919" s="16" t="e">
        <f t="shared" si="125"/>
        <v>#N/A</v>
      </c>
      <c r="AJ919" s="16" t="str">
        <f t="shared" si="126"/>
        <v/>
      </c>
      <c r="AK919" s="16" t="str">
        <f t="shared" si="127"/>
        <v/>
      </c>
      <c r="AL919" s="16" t="e">
        <f>IF(AK919="",NA(),COUNTIF(AK$176:$AK919,AK919))</f>
        <v>#N/A</v>
      </c>
      <c r="AM919" s="16" t="e">
        <f t="shared" si="128"/>
        <v>#N/A</v>
      </c>
      <c r="AN919" s="16" t="e">
        <f t="shared" si="129"/>
        <v>#N/A</v>
      </c>
      <c r="AO919" s="16" t="str">
        <f t="shared" si="130"/>
        <v/>
      </c>
      <c r="AP919" s="16" t="str">
        <f t="shared" si="131"/>
        <v/>
      </c>
      <c r="AQ919" s="16" t="e">
        <f>IF(AP919="",NA(),COUNTIF(AP$176:$AP919,AP919))</f>
        <v>#N/A</v>
      </c>
      <c r="AR919" s="16" t="e">
        <f t="shared" si="132"/>
        <v>#N/A</v>
      </c>
      <c r="BI919" s="621">
        <v>911</v>
      </c>
      <c r="BJ919" s="711"/>
      <c r="BK919" s="712"/>
      <c r="BL919" s="713">
        <v>911</v>
      </c>
      <c r="BM919" s="714"/>
      <c r="BN919" s="239"/>
      <c r="BO919" s="24"/>
      <c r="BQ919" s="621">
        <v>911</v>
      </c>
      <c r="BR919" s="711"/>
      <c r="BS919" s="712"/>
      <c r="BT919" s="713">
        <v>911</v>
      </c>
      <c r="BU919" s="714"/>
      <c r="BV919" s="239"/>
      <c r="BW919" s="24"/>
      <c r="BY919" s="621">
        <v>911</v>
      </c>
      <c r="BZ919" s="711"/>
      <c r="CA919" s="712"/>
      <c r="CB919" s="713">
        <v>911</v>
      </c>
      <c r="CC919" s="714"/>
      <c r="CD919" s="239"/>
      <c r="CE919" s="24"/>
    </row>
    <row r="920" spans="5:83" ht="12" customHeight="1">
      <c r="E920" s="621">
        <v>912</v>
      </c>
      <c r="F920" s="711"/>
      <c r="G920" s="712"/>
      <c r="H920" s="713">
        <v>912</v>
      </c>
      <c r="I920" s="714"/>
      <c r="J920" s="239"/>
      <c r="K920" s="24"/>
      <c r="AI920" s="16" t="e">
        <f t="shared" si="125"/>
        <v>#N/A</v>
      </c>
      <c r="AJ920" s="16" t="str">
        <f t="shared" si="126"/>
        <v/>
      </c>
      <c r="AK920" s="16" t="str">
        <f t="shared" si="127"/>
        <v/>
      </c>
      <c r="AL920" s="16" t="e">
        <f>IF(AK920="",NA(),COUNTIF(AK$176:$AK920,AK920))</f>
        <v>#N/A</v>
      </c>
      <c r="AM920" s="16" t="e">
        <f t="shared" si="128"/>
        <v>#N/A</v>
      </c>
      <c r="AN920" s="16" t="e">
        <f t="shared" si="129"/>
        <v>#N/A</v>
      </c>
      <c r="AO920" s="16" t="str">
        <f t="shared" si="130"/>
        <v/>
      </c>
      <c r="AP920" s="16" t="str">
        <f t="shared" si="131"/>
        <v/>
      </c>
      <c r="AQ920" s="16" t="e">
        <f>IF(AP920="",NA(),COUNTIF(AP$176:$AP920,AP920))</f>
        <v>#N/A</v>
      </c>
      <c r="AR920" s="16" t="e">
        <f t="shared" si="132"/>
        <v>#N/A</v>
      </c>
      <c r="BI920" s="621">
        <v>912</v>
      </c>
      <c r="BJ920" s="711"/>
      <c r="BK920" s="712"/>
      <c r="BL920" s="713">
        <v>912</v>
      </c>
      <c r="BM920" s="714"/>
      <c r="BN920" s="239"/>
      <c r="BO920" s="24"/>
      <c r="BQ920" s="621">
        <v>912</v>
      </c>
      <c r="BR920" s="711"/>
      <c r="BS920" s="712"/>
      <c r="BT920" s="713">
        <v>912</v>
      </c>
      <c r="BU920" s="714"/>
      <c r="BV920" s="239"/>
      <c r="BW920" s="24"/>
      <c r="BY920" s="621">
        <v>912</v>
      </c>
      <c r="BZ920" s="711"/>
      <c r="CA920" s="712"/>
      <c r="CB920" s="713">
        <v>912</v>
      </c>
      <c r="CC920" s="714"/>
      <c r="CD920" s="239"/>
      <c r="CE920" s="24"/>
    </row>
    <row r="921" spans="5:83" ht="12" customHeight="1">
      <c r="E921" s="621">
        <v>913</v>
      </c>
      <c r="F921" s="711"/>
      <c r="G921" s="712"/>
      <c r="H921" s="713">
        <v>913</v>
      </c>
      <c r="I921" s="714"/>
      <c r="J921" s="239"/>
      <c r="K921" s="24"/>
      <c r="AI921" s="16" t="e">
        <f t="shared" si="125"/>
        <v>#N/A</v>
      </c>
      <c r="AJ921" s="16" t="str">
        <f t="shared" si="126"/>
        <v/>
      </c>
      <c r="AK921" s="16" t="str">
        <f t="shared" si="127"/>
        <v/>
      </c>
      <c r="AL921" s="16" t="e">
        <f>IF(AK921="",NA(),COUNTIF(AK$176:$AK921,AK921))</f>
        <v>#N/A</v>
      </c>
      <c r="AM921" s="16" t="e">
        <f t="shared" si="128"/>
        <v>#N/A</v>
      </c>
      <c r="AN921" s="16" t="e">
        <f t="shared" si="129"/>
        <v>#N/A</v>
      </c>
      <c r="AO921" s="16" t="str">
        <f t="shared" si="130"/>
        <v/>
      </c>
      <c r="AP921" s="16" t="str">
        <f t="shared" si="131"/>
        <v/>
      </c>
      <c r="AQ921" s="16" t="e">
        <f>IF(AP921="",NA(),COUNTIF(AP$176:$AP921,AP921))</f>
        <v>#N/A</v>
      </c>
      <c r="AR921" s="16" t="e">
        <f t="shared" si="132"/>
        <v>#N/A</v>
      </c>
      <c r="BI921" s="621">
        <v>913</v>
      </c>
      <c r="BJ921" s="711"/>
      <c r="BK921" s="712"/>
      <c r="BL921" s="713">
        <v>913</v>
      </c>
      <c r="BM921" s="714"/>
      <c r="BN921" s="239"/>
      <c r="BO921" s="24"/>
      <c r="BQ921" s="621">
        <v>913</v>
      </c>
      <c r="BR921" s="711"/>
      <c r="BS921" s="712"/>
      <c r="BT921" s="713">
        <v>913</v>
      </c>
      <c r="BU921" s="714"/>
      <c r="BV921" s="239"/>
      <c r="BW921" s="24"/>
      <c r="BY921" s="621">
        <v>913</v>
      </c>
      <c r="BZ921" s="711"/>
      <c r="CA921" s="712"/>
      <c r="CB921" s="713">
        <v>913</v>
      </c>
      <c r="CC921" s="714"/>
      <c r="CD921" s="239"/>
      <c r="CE921" s="24"/>
    </row>
    <row r="922" spans="5:83" ht="12" customHeight="1">
      <c r="E922" s="621">
        <v>914</v>
      </c>
      <c r="F922" s="711"/>
      <c r="G922" s="712"/>
      <c r="H922" s="713">
        <v>914</v>
      </c>
      <c r="I922" s="714"/>
      <c r="J922" s="239"/>
      <c r="K922" s="24"/>
      <c r="AI922" s="16" t="e">
        <f t="shared" si="125"/>
        <v>#N/A</v>
      </c>
      <c r="AJ922" s="16" t="str">
        <f t="shared" si="126"/>
        <v/>
      </c>
      <c r="AK922" s="16" t="str">
        <f t="shared" si="127"/>
        <v/>
      </c>
      <c r="AL922" s="16" t="e">
        <f>IF(AK922="",NA(),COUNTIF(AK$176:$AK922,AK922))</f>
        <v>#N/A</v>
      </c>
      <c r="AM922" s="16" t="e">
        <f t="shared" si="128"/>
        <v>#N/A</v>
      </c>
      <c r="AN922" s="16" t="e">
        <f t="shared" si="129"/>
        <v>#N/A</v>
      </c>
      <c r="AO922" s="16" t="str">
        <f t="shared" si="130"/>
        <v/>
      </c>
      <c r="AP922" s="16" t="str">
        <f t="shared" si="131"/>
        <v/>
      </c>
      <c r="AQ922" s="16" t="e">
        <f>IF(AP922="",NA(),COUNTIF(AP$176:$AP922,AP922))</f>
        <v>#N/A</v>
      </c>
      <c r="AR922" s="16" t="e">
        <f t="shared" si="132"/>
        <v>#N/A</v>
      </c>
      <c r="BI922" s="621">
        <v>914</v>
      </c>
      <c r="BJ922" s="711"/>
      <c r="BK922" s="712"/>
      <c r="BL922" s="713">
        <v>914</v>
      </c>
      <c r="BM922" s="714"/>
      <c r="BN922" s="239"/>
      <c r="BO922" s="24"/>
      <c r="BQ922" s="621">
        <v>914</v>
      </c>
      <c r="BR922" s="711"/>
      <c r="BS922" s="712"/>
      <c r="BT922" s="713">
        <v>914</v>
      </c>
      <c r="BU922" s="714"/>
      <c r="BV922" s="239"/>
      <c r="BW922" s="24"/>
      <c r="BY922" s="621">
        <v>914</v>
      </c>
      <c r="BZ922" s="711"/>
      <c r="CA922" s="712"/>
      <c r="CB922" s="713">
        <v>914</v>
      </c>
      <c r="CC922" s="714"/>
      <c r="CD922" s="239"/>
      <c r="CE922" s="24"/>
    </row>
    <row r="923" spans="5:83" ht="12" customHeight="1">
      <c r="E923" s="621">
        <v>915</v>
      </c>
      <c r="F923" s="711"/>
      <c r="G923" s="712"/>
      <c r="H923" s="713">
        <v>915</v>
      </c>
      <c r="I923" s="714"/>
      <c r="J923" s="239"/>
      <c r="K923" s="24"/>
      <c r="AI923" s="16" t="e">
        <f t="shared" si="125"/>
        <v>#N/A</v>
      </c>
      <c r="AJ923" s="16" t="str">
        <f t="shared" si="126"/>
        <v/>
      </c>
      <c r="AK923" s="16" t="str">
        <f t="shared" si="127"/>
        <v/>
      </c>
      <c r="AL923" s="16" t="e">
        <f>IF(AK923="",NA(),COUNTIF(AK$176:$AK923,AK923))</f>
        <v>#N/A</v>
      </c>
      <c r="AM923" s="16" t="e">
        <f t="shared" si="128"/>
        <v>#N/A</v>
      </c>
      <c r="AN923" s="16" t="e">
        <f t="shared" si="129"/>
        <v>#N/A</v>
      </c>
      <c r="AO923" s="16" t="str">
        <f t="shared" si="130"/>
        <v/>
      </c>
      <c r="AP923" s="16" t="str">
        <f t="shared" si="131"/>
        <v/>
      </c>
      <c r="AQ923" s="16" t="e">
        <f>IF(AP923="",NA(),COUNTIF(AP$176:$AP923,AP923))</f>
        <v>#N/A</v>
      </c>
      <c r="AR923" s="16" t="e">
        <f t="shared" si="132"/>
        <v>#N/A</v>
      </c>
      <c r="BI923" s="621">
        <v>915</v>
      </c>
      <c r="BJ923" s="711"/>
      <c r="BK923" s="712"/>
      <c r="BL923" s="713">
        <v>915</v>
      </c>
      <c r="BM923" s="714"/>
      <c r="BN923" s="239"/>
      <c r="BO923" s="24"/>
      <c r="BQ923" s="621">
        <v>915</v>
      </c>
      <c r="BR923" s="711"/>
      <c r="BS923" s="712"/>
      <c r="BT923" s="713">
        <v>915</v>
      </c>
      <c r="BU923" s="714"/>
      <c r="BV923" s="239"/>
      <c r="BW923" s="24"/>
      <c r="BY923" s="621">
        <v>915</v>
      </c>
      <c r="BZ923" s="711"/>
      <c r="CA923" s="712"/>
      <c r="CB923" s="713">
        <v>915</v>
      </c>
      <c r="CC923" s="714"/>
      <c r="CD923" s="239"/>
      <c r="CE923" s="24"/>
    </row>
    <row r="924" spans="5:83" ht="12" customHeight="1">
      <c r="E924" s="621">
        <v>916</v>
      </c>
      <c r="F924" s="711"/>
      <c r="G924" s="712"/>
      <c r="H924" s="713">
        <v>916</v>
      </c>
      <c r="I924" s="714"/>
      <c r="J924" s="239"/>
      <c r="K924" s="24"/>
      <c r="AI924" s="16" t="e">
        <f t="shared" si="125"/>
        <v>#N/A</v>
      </c>
      <c r="AJ924" s="16" t="str">
        <f t="shared" si="126"/>
        <v/>
      </c>
      <c r="AK924" s="16" t="str">
        <f t="shared" si="127"/>
        <v/>
      </c>
      <c r="AL924" s="16" t="e">
        <f>IF(AK924="",NA(),COUNTIF(AK$176:$AK924,AK924))</f>
        <v>#N/A</v>
      </c>
      <c r="AM924" s="16" t="e">
        <f t="shared" si="128"/>
        <v>#N/A</v>
      </c>
      <c r="AN924" s="16" t="e">
        <f t="shared" si="129"/>
        <v>#N/A</v>
      </c>
      <c r="AO924" s="16" t="str">
        <f t="shared" si="130"/>
        <v/>
      </c>
      <c r="AP924" s="16" t="str">
        <f t="shared" si="131"/>
        <v/>
      </c>
      <c r="AQ924" s="16" t="e">
        <f>IF(AP924="",NA(),COUNTIF(AP$176:$AP924,AP924))</f>
        <v>#N/A</v>
      </c>
      <c r="AR924" s="16" t="e">
        <f t="shared" si="132"/>
        <v>#N/A</v>
      </c>
      <c r="BI924" s="621">
        <v>916</v>
      </c>
      <c r="BJ924" s="711"/>
      <c r="BK924" s="712"/>
      <c r="BL924" s="713">
        <v>916</v>
      </c>
      <c r="BM924" s="714"/>
      <c r="BN924" s="239"/>
      <c r="BO924" s="24"/>
      <c r="BQ924" s="621">
        <v>916</v>
      </c>
      <c r="BR924" s="711"/>
      <c r="BS924" s="712"/>
      <c r="BT924" s="713">
        <v>916</v>
      </c>
      <c r="BU924" s="714"/>
      <c r="BV924" s="239"/>
      <c r="BW924" s="24"/>
      <c r="BY924" s="621">
        <v>916</v>
      </c>
      <c r="BZ924" s="711"/>
      <c r="CA924" s="712"/>
      <c r="CB924" s="713">
        <v>916</v>
      </c>
      <c r="CC924" s="714"/>
      <c r="CD924" s="239"/>
      <c r="CE924" s="24"/>
    </row>
    <row r="925" spans="5:83" ht="12" customHeight="1">
      <c r="E925" s="621">
        <v>917</v>
      </c>
      <c r="F925" s="711"/>
      <c r="G925" s="712"/>
      <c r="H925" s="713">
        <v>917</v>
      </c>
      <c r="I925" s="714"/>
      <c r="J925" s="239"/>
      <c r="K925" s="24"/>
      <c r="AI925" s="16" t="e">
        <f t="shared" si="125"/>
        <v>#N/A</v>
      </c>
      <c r="AJ925" s="16" t="str">
        <f t="shared" si="126"/>
        <v/>
      </c>
      <c r="AK925" s="16" t="str">
        <f t="shared" si="127"/>
        <v/>
      </c>
      <c r="AL925" s="16" t="e">
        <f>IF(AK925="",NA(),COUNTIF(AK$176:$AK925,AK925))</f>
        <v>#N/A</v>
      </c>
      <c r="AM925" s="16" t="e">
        <f t="shared" si="128"/>
        <v>#N/A</v>
      </c>
      <c r="AN925" s="16" t="e">
        <f t="shared" si="129"/>
        <v>#N/A</v>
      </c>
      <c r="AO925" s="16" t="str">
        <f t="shared" si="130"/>
        <v/>
      </c>
      <c r="AP925" s="16" t="str">
        <f t="shared" si="131"/>
        <v/>
      </c>
      <c r="AQ925" s="16" t="e">
        <f>IF(AP925="",NA(),COUNTIF(AP$176:$AP925,AP925))</f>
        <v>#N/A</v>
      </c>
      <c r="AR925" s="16" t="e">
        <f t="shared" si="132"/>
        <v>#N/A</v>
      </c>
      <c r="BI925" s="621">
        <v>917</v>
      </c>
      <c r="BJ925" s="711"/>
      <c r="BK925" s="712"/>
      <c r="BL925" s="713">
        <v>917</v>
      </c>
      <c r="BM925" s="714"/>
      <c r="BN925" s="239"/>
      <c r="BO925" s="24"/>
      <c r="BQ925" s="621">
        <v>917</v>
      </c>
      <c r="BR925" s="711"/>
      <c r="BS925" s="712"/>
      <c r="BT925" s="713">
        <v>917</v>
      </c>
      <c r="BU925" s="714"/>
      <c r="BV925" s="239"/>
      <c r="BW925" s="24"/>
      <c r="BY925" s="621">
        <v>917</v>
      </c>
      <c r="BZ925" s="711"/>
      <c r="CA925" s="712"/>
      <c r="CB925" s="713">
        <v>917</v>
      </c>
      <c r="CC925" s="714"/>
      <c r="CD925" s="239"/>
      <c r="CE925" s="24"/>
    </row>
    <row r="926" spans="5:83" ht="12" customHeight="1">
      <c r="E926" s="621">
        <v>918</v>
      </c>
      <c r="F926" s="711"/>
      <c r="G926" s="712"/>
      <c r="H926" s="713">
        <v>918</v>
      </c>
      <c r="I926" s="714"/>
      <c r="J926" s="239"/>
      <c r="K926" s="24"/>
      <c r="AI926" s="16" t="e">
        <f t="shared" si="125"/>
        <v>#N/A</v>
      </c>
      <c r="AJ926" s="16" t="str">
        <f t="shared" si="126"/>
        <v/>
      </c>
      <c r="AK926" s="16" t="str">
        <f t="shared" si="127"/>
        <v/>
      </c>
      <c r="AL926" s="16" t="e">
        <f>IF(AK926="",NA(),COUNTIF(AK$176:$AK926,AK926))</f>
        <v>#N/A</v>
      </c>
      <c r="AM926" s="16" t="e">
        <f t="shared" si="128"/>
        <v>#N/A</v>
      </c>
      <c r="AN926" s="16" t="e">
        <f t="shared" si="129"/>
        <v>#N/A</v>
      </c>
      <c r="AO926" s="16" t="str">
        <f t="shared" si="130"/>
        <v/>
      </c>
      <c r="AP926" s="16" t="str">
        <f t="shared" si="131"/>
        <v/>
      </c>
      <c r="AQ926" s="16" t="e">
        <f>IF(AP926="",NA(),COUNTIF(AP$176:$AP926,AP926))</f>
        <v>#N/A</v>
      </c>
      <c r="AR926" s="16" t="e">
        <f t="shared" si="132"/>
        <v>#N/A</v>
      </c>
      <c r="BI926" s="621">
        <v>918</v>
      </c>
      <c r="BJ926" s="711"/>
      <c r="BK926" s="712"/>
      <c r="BL926" s="713">
        <v>918</v>
      </c>
      <c r="BM926" s="714"/>
      <c r="BN926" s="239"/>
      <c r="BO926" s="24"/>
      <c r="BQ926" s="621">
        <v>918</v>
      </c>
      <c r="BR926" s="711"/>
      <c r="BS926" s="712"/>
      <c r="BT926" s="713">
        <v>918</v>
      </c>
      <c r="BU926" s="714"/>
      <c r="BV926" s="239"/>
      <c r="BW926" s="24"/>
      <c r="BY926" s="621">
        <v>918</v>
      </c>
      <c r="BZ926" s="711"/>
      <c r="CA926" s="712"/>
      <c r="CB926" s="713">
        <v>918</v>
      </c>
      <c r="CC926" s="714"/>
      <c r="CD926" s="239"/>
      <c r="CE926" s="24"/>
    </row>
    <row r="927" spans="5:83" ht="12" customHeight="1">
      <c r="E927" s="621">
        <v>919</v>
      </c>
      <c r="F927" s="711"/>
      <c r="G927" s="712"/>
      <c r="H927" s="713">
        <v>919</v>
      </c>
      <c r="I927" s="714"/>
      <c r="J927" s="239"/>
      <c r="K927" s="24"/>
      <c r="AI927" s="16" t="e">
        <f t="shared" si="125"/>
        <v>#N/A</v>
      </c>
      <c r="AJ927" s="16" t="str">
        <f t="shared" si="126"/>
        <v/>
      </c>
      <c r="AK927" s="16" t="str">
        <f t="shared" si="127"/>
        <v/>
      </c>
      <c r="AL927" s="16" t="e">
        <f>IF(AK927="",NA(),COUNTIF(AK$176:$AK927,AK927))</f>
        <v>#N/A</v>
      </c>
      <c r="AM927" s="16" t="e">
        <f t="shared" si="128"/>
        <v>#N/A</v>
      </c>
      <c r="AN927" s="16" t="e">
        <f t="shared" si="129"/>
        <v>#N/A</v>
      </c>
      <c r="AO927" s="16" t="str">
        <f t="shared" si="130"/>
        <v/>
      </c>
      <c r="AP927" s="16" t="str">
        <f t="shared" si="131"/>
        <v/>
      </c>
      <c r="AQ927" s="16" t="e">
        <f>IF(AP927="",NA(),COUNTIF(AP$176:$AP927,AP927))</f>
        <v>#N/A</v>
      </c>
      <c r="AR927" s="16" t="e">
        <f t="shared" si="132"/>
        <v>#N/A</v>
      </c>
      <c r="BI927" s="621">
        <v>919</v>
      </c>
      <c r="BJ927" s="711"/>
      <c r="BK927" s="712"/>
      <c r="BL927" s="713">
        <v>919</v>
      </c>
      <c r="BM927" s="714"/>
      <c r="BN927" s="239"/>
      <c r="BO927" s="24"/>
      <c r="BQ927" s="621">
        <v>919</v>
      </c>
      <c r="BR927" s="711"/>
      <c r="BS927" s="712"/>
      <c r="BT927" s="713">
        <v>919</v>
      </c>
      <c r="BU927" s="714"/>
      <c r="BV927" s="239"/>
      <c r="BW927" s="24"/>
      <c r="BY927" s="621">
        <v>919</v>
      </c>
      <c r="BZ927" s="711"/>
      <c r="CA927" s="712"/>
      <c r="CB927" s="713">
        <v>919</v>
      </c>
      <c r="CC927" s="714"/>
      <c r="CD927" s="239"/>
      <c r="CE927" s="24"/>
    </row>
    <row r="928" spans="5:83" ht="12" customHeight="1">
      <c r="E928" s="621">
        <v>920</v>
      </c>
      <c r="F928" s="711"/>
      <c r="G928" s="712"/>
      <c r="H928" s="713">
        <v>920</v>
      </c>
      <c r="I928" s="714"/>
      <c r="J928" s="239"/>
      <c r="K928" s="24"/>
      <c r="AI928" s="16" t="e">
        <f t="shared" si="125"/>
        <v>#N/A</v>
      </c>
      <c r="AJ928" s="16" t="str">
        <f t="shared" si="126"/>
        <v/>
      </c>
      <c r="AK928" s="16" t="str">
        <f t="shared" si="127"/>
        <v/>
      </c>
      <c r="AL928" s="16" t="e">
        <f>IF(AK928="",NA(),COUNTIF(AK$176:$AK928,AK928))</f>
        <v>#N/A</v>
      </c>
      <c r="AM928" s="16" t="e">
        <f t="shared" si="128"/>
        <v>#N/A</v>
      </c>
      <c r="AN928" s="16" t="e">
        <f t="shared" si="129"/>
        <v>#N/A</v>
      </c>
      <c r="AO928" s="16" t="str">
        <f t="shared" si="130"/>
        <v/>
      </c>
      <c r="AP928" s="16" t="str">
        <f t="shared" si="131"/>
        <v/>
      </c>
      <c r="AQ928" s="16" t="e">
        <f>IF(AP928="",NA(),COUNTIF(AP$176:$AP928,AP928))</f>
        <v>#N/A</v>
      </c>
      <c r="AR928" s="16" t="e">
        <f t="shared" si="132"/>
        <v>#N/A</v>
      </c>
      <c r="BI928" s="621">
        <v>920</v>
      </c>
      <c r="BJ928" s="711"/>
      <c r="BK928" s="712"/>
      <c r="BL928" s="713">
        <v>920</v>
      </c>
      <c r="BM928" s="714"/>
      <c r="BN928" s="239"/>
      <c r="BO928" s="24"/>
      <c r="BQ928" s="621">
        <v>920</v>
      </c>
      <c r="BR928" s="711"/>
      <c r="BS928" s="712"/>
      <c r="BT928" s="713">
        <v>920</v>
      </c>
      <c r="BU928" s="714"/>
      <c r="BV928" s="239"/>
      <c r="BW928" s="24"/>
      <c r="BY928" s="621">
        <v>920</v>
      </c>
      <c r="BZ928" s="711"/>
      <c r="CA928" s="712"/>
      <c r="CB928" s="713">
        <v>920</v>
      </c>
      <c r="CC928" s="714"/>
      <c r="CD928" s="239"/>
      <c r="CE928" s="24"/>
    </row>
    <row r="929" spans="5:83" ht="12" customHeight="1">
      <c r="E929" s="621">
        <v>921</v>
      </c>
      <c r="F929" s="711"/>
      <c r="G929" s="712"/>
      <c r="H929" s="713">
        <v>921</v>
      </c>
      <c r="I929" s="714"/>
      <c r="J929" s="239"/>
      <c r="K929" s="24"/>
      <c r="AI929" s="16" t="e">
        <f t="shared" si="125"/>
        <v>#N/A</v>
      </c>
      <c r="AJ929" s="16" t="str">
        <f t="shared" si="126"/>
        <v/>
      </c>
      <c r="AK929" s="16" t="str">
        <f t="shared" si="127"/>
        <v/>
      </c>
      <c r="AL929" s="16" t="e">
        <f>IF(AK929="",NA(),COUNTIF(AK$176:$AK929,AK929))</f>
        <v>#N/A</v>
      </c>
      <c r="AM929" s="16" t="e">
        <f t="shared" si="128"/>
        <v>#N/A</v>
      </c>
      <c r="AN929" s="16" t="e">
        <f t="shared" si="129"/>
        <v>#N/A</v>
      </c>
      <c r="AO929" s="16" t="str">
        <f t="shared" si="130"/>
        <v/>
      </c>
      <c r="AP929" s="16" t="str">
        <f t="shared" si="131"/>
        <v/>
      </c>
      <c r="AQ929" s="16" t="e">
        <f>IF(AP929="",NA(),COUNTIF(AP$176:$AP929,AP929))</f>
        <v>#N/A</v>
      </c>
      <c r="AR929" s="16" t="e">
        <f t="shared" si="132"/>
        <v>#N/A</v>
      </c>
      <c r="BI929" s="621">
        <v>921</v>
      </c>
      <c r="BJ929" s="711"/>
      <c r="BK929" s="712"/>
      <c r="BL929" s="713">
        <v>921</v>
      </c>
      <c r="BM929" s="714"/>
      <c r="BN929" s="239"/>
      <c r="BO929" s="24"/>
      <c r="BQ929" s="621">
        <v>921</v>
      </c>
      <c r="BR929" s="711"/>
      <c r="BS929" s="712"/>
      <c r="BT929" s="713">
        <v>921</v>
      </c>
      <c r="BU929" s="714"/>
      <c r="BV929" s="239"/>
      <c r="BW929" s="24"/>
      <c r="BY929" s="621">
        <v>921</v>
      </c>
      <c r="BZ929" s="711"/>
      <c r="CA929" s="712"/>
      <c r="CB929" s="713">
        <v>921</v>
      </c>
      <c r="CC929" s="714"/>
      <c r="CD929" s="239"/>
      <c r="CE929" s="24"/>
    </row>
    <row r="930" spans="5:83" ht="12" customHeight="1">
      <c r="E930" s="621">
        <v>922</v>
      </c>
      <c r="F930" s="711"/>
      <c r="G930" s="712"/>
      <c r="H930" s="713">
        <v>922</v>
      </c>
      <c r="I930" s="714"/>
      <c r="J930" s="239"/>
      <c r="K930" s="24"/>
      <c r="AI930" s="16" t="e">
        <f t="shared" si="125"/>
        <v>#N/A</v>
      </c>
      <c r="AJ930" s="16" t="str">
        <f t="shared" si="126"/>
        <v/>
      </c>
      <c r="AK930" s="16" t="str">
        <f t="shared" si="127"/>
        <v/>
      </c>
      <c r="AL930" s="16" t="e">
        <f>IF(AK930="",NA(),COUNTIF(AK$176:$AK930,AK930))</f>
        <v>#N/A</v>
      </c>
      <c r="AM930" s="16" t="e">
        <f t="shared" si="128"/>
        <v>#N/A</v>
      </c>
      <c r="AN930" s="16" t="e">
        <f t="shared" si="129"/>
        <v>#N/A</v>
      </c>
      <c r="AO930" s="16" t="str">
        <f t="shared" si="130"/>
        <v/>
      </c>
      <c r="AP930" s="16" t="str">
        <f t="shared" si="131"/>
        <v/>
      </c>
      <c r="AQ930" s="16" t="e">
        <f>IF(AP930="",NA(),COUNTIF(AP$176:$AP930,AP930))</f>
        <v>#N/A</v>
      </c>
      <c r="AR930" s="16" t="e">
        <f t="shared" si="132"/>
        <v>#N/A</v>
      </c>
      <c r="BI930" s="621">
        <v>922</v>
      </c>
      <c r="BJ930" s="711"/>
      <c r="BK930" s="712"/>
      <c r="BL930" s="713">
        <v>922</v>
      </c>
      <c r="BM930" s="714"/>
      <c r="BN930" s="239"/>
      <c r="BO930" s="24"/>
      <c r="BQ930" s="621">
        <v>922</v>
      </c>
      <c r="BR930" s="711"/>
      <c r="BS930" s="712"/>
      <c r="BT930" s="713">
        <v>922</v>
      </c>
      <c r="BU930" s="714"/>
      <c r="BV930" s="239"/>
      <c r="BW930" s="24"/>
      <c r="BY930" s="621">
        <v>922</v>
      </c>
      <c r="BZ930" s="711"/>
      <c r="CA930" s="712"/>
      <c r="CB930" s="713">
        <v>922</v>
      </c>
      <c r="CC930" s="714"/>
      <c r="CD930" s="239"/>
      <c r="CE930" s="24"/>
    </row>
    <row r="931" spans="5:83" ht="12" customHeight="1">
      <c r="E931" s="621">
        <v>923</v>
      </c>
      <c r="F931" s="711"/>
      <c r="G931" s="712"/>
      <c r="H931" s="713">
        <v>923</v>
      </c>
      <c r="I931" s="714"/>
      <c r="J931" s="239"/>
      <c r="K931" s="24"/>
      <c r="AI931" s="16" t="e">
        <f t="shared" si="125"/>
        <v>#N/A</v>
      </c>
      <c r="AJ931" s="16" t="str">
        <f t="shared" si="126"/>
        <v/>
      </c>
      <c r="AK931" s="16" t="str">
        <f t="shared" si="127"/>
        <v/>
      </c>
      <c r="AL931" s="16" t="e">
        <f>IF(AK931="",NA(),COUNTIF(AK$176:$AK931,AK931))</f>
        <v>#N/A</v>
      </c>
      <c r="AM931" s="16" t="e">
        <f t="shared" si="128"/>
        <v>#N/A</v>
      </c>
      <c r="AN931" s="16" t="e">
        <f t="shared" si="129"/>
        <v>#N/A</v>
      </c>
      <c r="AO931" s="16" t="str">
        <f t="shared" si="130"/>
        <v/>
      </c>
      <c r="AP931" s="16" t="str">
        <f t="shared" si="131"/>
        <v/>
      </c>
      <c r="AQ931" s="16" t="e">
        <f>IF(AP931="",NA(),COUNTIF(AP$176:$AP931,AP931))</f>
        <v>#N/A</v>
      </c>
      <c r="AR931" s="16" t="e">
        <f t="shared" si="132"/>
        <v>#N/A</v>
      </c>
      <c r="BI931" s="621">
        <v>923</v>
      </c>
      <c r="BJ931" s="711"/>
      <c r="BK931" s="712"/>
      <c r="BL931" s="713">
        <v>923</v>
      </c>
      <c r="BM931" s="714"/>
      <c r="BN931" s="239"/>
      <c r="BO931" s="24"/>
      <c r="BQ931" s="621">
        <v>923</v>
      </c>
      <c r="BR931" s="711"/>
      <c r="BS931" s="712"/>
      <c r="BT931" s="713">
        <v>923</v>
      </c>
      <c r="BU931" s="714"/>
      <c r="BV931" s="239"/>
      <c r="BW931" s="24"/>
      <c r="BY931" s="621">
        <v>923</v>
      </c>
      <c r="BZ931" s="711"/>
      <c r="CA931" s="712"/>
      <c r="CB931" s="713">
        <v>923</v>
      </c>
      <c r="CC931" s="714"/>
      <c r="CD931" s="239"/>
      <c r="CE931" s="24"/>
    </row>
    <row r="932" spans="5:83" ht="12" customHeight="1">
      <c r="E932" s="621">
        <v>924</v>
      </c>
      <c r="F932" s="711"/>
      <c r="G932" s="712"/>
      <c r="H932" s="713">
        <v>924</v>
      </c>
      <c r="I932" s="714"/>
      <c r="J932" s="239"/>
      <c r="K932" s="24"/>
      <c r="AI932" s="16" t="e">
        <f t="shared" si="125"/>
        <v>#N/A</v>
      </c>
      <c r="AJ932" s="16" t="str">
        <f t="shared" si="126"/>
        <v/>
      </c>
      <c r="AK932" s="16" t="str">
        <f t="shared" si="127"/>
        <v/>
      </c>
      <c r="AL932" s="16" t="e">
        <f>IF(AK932="",NA(),COUNTIF(AK$176:$AK932,AK932))</f>
        <v>#N/A</v>
      </c>
      <c r="AM932" s="16" t="e">
        <f t="shared" si="128"/>
        <v>#N/A</v>
      </c>
      <c r="AN932" s="16" t="e">
        <f t="shared" si="129"/>
        <v>#N/A</v>
      </c>
      <c r="AO932" s="16" t="str">
        <f t="shared" si="130"/>
        <v/>
      </c>
      <c r="AP932" s="16" t="str">
        <f t="shared" si="131"/>
        <v/>
      </c>
      <c r="AQ932" s="16" t="e">
        <f>IF(AP932="",NA(),COUNTIF(AP$176:$AP932,AP932))</f>
        <v>#N/A</v>
      </c>
      <c r="AR932" s="16" t="e">
        <f t="shared" si="132"/>
        <v>#N/A</v>
      </c>
      <c r="BI932" s="621">
        <v>924</v>
      </c>
      <c r="BJ932" s="711"/>
      <c r="BK932" s="712"/>
      <c r="BL932" s="713">
        <v>924</v>
      </c>
      <c r="BM932" s="714"/>
      <c r="BN932" s="239"/>
      <c r="BO932" s="24"/>
      <c r="BQ932" s="621">
        <v>924</v>
      </c>
      <c r="BR932" s="711"/>
      <c r="BS932" s="712"/>
      <c r="BT932" s="713">
        <v>924</v>
      </c>
      <c r="BU932" s="714"/>
      <c r="BV932" s="239"/>
      <c r="BW932" s="24"/>
      <c r="BY932" s="621">
        <v>924</v>
      </c>
      <c r="BZ932" s="711"/>
      <c r="CA932" s="712"/>
      <c r="CB932" s="713">
        <v>924</v>
      </c>
      <c r="CC932" s="714"/>
      <c r="CD932" s="239"/>
      <c r="CE932" s="24"/>
    </row>
    <row r="933" spans="5:83" ht="12" customHeight="1">
      <c r="E933" s="621">
        <v>925</v>
      </c>
      <c r="F933" s="711"/>
      <c r="G933" s="712"/>
      <c r="H933" s="713">
        <v>925</v>
      </c>
      <c r="I933" s="714"/>
      <c r="J933" s="239"/>
      <c r="K933" s="24"/>
      <c r="AI933" s="16" t="e">
        <f t="shared" si="125"/>
        <v>#N/A</v>
      </c>
      <c r="AJ933" s="16" t="str">
        <f t="shared" si="126"/>
        <v/>
      </c>
      <c r="AK933" s="16" t="str">
        <f t="shared" si="127"/>
        <v/>
      </c>
      <c r="AL933" s="16" t="e">
        <f>IF(AK933="",NA(),COUNTIF(AK$176:$AK933,AK933))</f>
        <v>#N/A</v>
      </c>
      <c r="AM933" s="16" t="e">
        <f t="shared" si="128"/>
        <v>#N/A</v>
      </c>
      <c r="AN933" s="16" t="e">
        <f t="shared" si="129"/>
        <v>#N/A</v>
      </c>
      <c r="AO933" s="16" t="str">
        <f t="shared" si="130"/>
        <v/>
      </c>
      <c r="AP933" s="16" t="str">
        <f t="shared" si="131"/>
        <v/>
      </c>
      <c r="AQ933" s="16" t="e">
        <f>IF(AP933="",NA(),COUNTIF(AP$176:$AP933,AP933))</f>
        <v>#N/A</v>
      </c>
      <c r="AR933" s="16" t="e">
        <f t="shared" si="132"/>
        <v>#N/A</v>
      </c>
      <c r="BI933" s="621">
        <v>925</v>
      </c>
      <c r="BJ933" s="711"/>
      <c r="BK933" s="712"/>
      <c r="BL933" s="713">
        <v>925</v>
      </c>
      <c r="BM933" s="714"/>
      <c r="BN933" s="239"/>
      <c r="BO933" s="24"/>
      <c r="BQ933" s="621">
        <v>925</v>
      </c>
      <c r="BR933" s="711"/>
      <c r="BS933" s="712"/>
      <c r="BT933" s="713">
        <v>925</v>
      </c>
      <c r="BU933" s="714"/>
      <c r="BV933" s="239"/>
      <c r="BW933" s="24"/>
      <c r="BY933" s="621">
        <v>925</v>
      </c>
      <c r="BZ933" s="711"/>
      <c r="CA933" s="712"/>
      <c r="CB933" s="713">
        <v>925</v>
      </c>
      <c r="CC933" s="714"/>
      <c r="CD933" s="239"/>
      <c r="CE933" s="24"/>
    </row>
    <row r="934" spans="5:83" ht="12" customHeight="1">
      <c r="E934" s="621">
        <v>926</v>
      </c>
      <c r="F934" s="711"/>
      <c r="G934" s="712"/>
      <c r="H934" s="713">
        <v>926</v>
      </c>
      <c r="I934" s="714"/>
      <c r="J934" s="239"/>
      <c r="K934" s="24"/>
      <c r="AI934" s="16" t="e">
        <f t="shared" si="125"/>
        <v>#N/A</v>
      </c>
      <c r="AJ934" s="16" t="str">
        <f t="shared" si="126"/>
        <v/>
      </c>
      <c r="AK934" s="16" t="str">
        <f t="shared" si="127"/>
        <v/>
      </c>
      <c r="AL934" s="16" t="e">
        <f>IF(AK934="",NA(),COUNTIF(AK$176:$AK934,AK934))</f>
        <v>#N/A</v>
      </c>
      <c r="AM934" s="16" t="e">
        <f t="shared" si="128"/>
        <v>#N/A</v>
      </c>
      <c r="AN934" s="16" t="e">
        <f t="shared" si="129"/>
        <v>#N/A</v>
      </c>
      <c r="AO934" s="16" t="str">
        <f t="shared" si="130"/>
        <v/>
      </c>
      <c r="AP934" s="16" t="str">
        <f t="shared" si="131"/>
        <v/>
      </c>
      <c r="AQ934" s="16" t="e">
        <f>IF(AP934="",NA(),COUNTIF(AP$176:$AP934,AP934))</f>
        <v>#N/A</v>
      </c>
      <c r="AR934" s="16" t="e">
        <f t="shared" si="132"/>
        <v>#N/A</v>
      </c>
      <c r="BI934" s="621">
        <v>926</v>
      </c>
      <c r="BJ934" s="711"/>
      <c r="BK934" s="712"/>
      <c r="BL934" s="713">
        <v>926</v>
      </c>
      <c r="BM934" s="714"/>
      <c r="BN934" s="239"/>
      <c r="BO934" s="24"/>
      <c r="BQ934" s="621">
        <v>926</v>
      </c>
      <c r="BR934" s="711"/>
      <c r="BS934" s="712"/>
      <c r="BT934" s="713">
        <v>926</v>
      </c>
      <c r="BU934" s="714"/>
      <c r="BV934" s="239"/>
      <c r="BW934" s="24"/>
      <c r="BY934" s="621">
        <v>926</v>
      </c>
      <c r="BZ934" s="711"/>
      <c r="CA934" s="712"/>
      <c r="CB934" s="713">
        <v>926</v>
      </c>
      <c r="CC934" s="714"/>
      <c r="CD934" s="239"/>
      <c r="CE934" s="24"/>
    </row>
    <row r="935" spans="5:83" ht="12" customHeight="1">
      <c r="E935" s="621">
        <v>927</v>
      </c>
      <c r="F935" s="711"/>
      <c r="G935" s="712"/>
      <c r="H935" s="713">
        <v>927</v>
      </c>
      <c r="I935" s="714"/>
      <c r="J935" s="239"/>
      <c r="K935" s="24"/>
      <c r="AI935" s="16" t="e">
        <f t="shared" si="125"/>
        <v>#N/A</v>
      </c>
      <c r="AJ935" s="16" t="str">
        <f t="shared" si="126"/>
        <v/>
      </c>
      <c r="AK935" s="16" t="str">
        <f t="shared" si="127"/>
        <v/>
      </c>
      <c r="AL935" s="16" t="e">
        <f>IF(AK935="",NA(),COUNTIF(AK$176:$AK935,AK935))</f>
        <v>#N/A</v>
      </c>
      <c r="AM935" s="16" t="e">
        <f t="shared" si="128"/>
        <v>#N/A</v>
      </c>
      <c r="AN935" s="16" t="e">
        <f t="shared" si="129"/>
        <v>#N/A</v>
      </c>
      <c r="AO935" s="16" t="str">
        <f t="shared" si="130"/>
        <v/>
      </c>
      <c r="AP935" s="16" t="str">
        <f t="shared" si="131"/>
        <v/>
      </c>
      <c r="AQ935" s="16" t="e">
        <f>IF(AP935="",NA(),COUNTIF(AP$176:$AP935,AP935))</f>
        <v>#N/A</v>
      </c>
      <c r="AR935" s="16" t="e">
        <f t="shared" si="132"/>
        <v>#N/A</v>
      </c>
      <c r="BI935" s="621">
        <v>927</v>
      </c>
      <c r="BJ935" s="711"/>
      <c r="BK935" s="712"/>
      <c r="BL935" s="713">
        <v>927</v>
      </c>
      <c r="BM935" s="714"/>
      <c r="BN935" s="239"/>
      <c r="BO935" s="24"/>
      <c r="BQ935" s="621">
        <v>927</v>
      </c>
      <c r="BR935" s="711"/>
      <c r="BS935" s="712"/>
      <c r="BT935" s="713">
        <v>927</v>
      </c>
      <c r="BU935" s="714"/>
      <c r="BV935" s="239"/>
      <c r="BW935" s="24"/>
      <c r="BY935" s="621">
        <v>927</v>
      </c>
      <c r="BZ935" s="711"/>
      <c r="CA935" s="712"/>
      <c r="CB935" s="713">
        <v>927</v>
      </c>
      <c r="CC935" s="714"/>
      <c r="CD935" s="239"/>
      <c r="CE935" s="24"/>
    </row>
    <row r="936" spans="5:83" ht="12" customHeight="1">
      <c r="E936" s="621">
        <v>928</v>
      </c>
      <c r="F936" s="711"/>
      <c r="G936" s="712"/>
      <c r="H936" s="713">
        <v>928</v>
      </c>
      <c r="I936" s="714"/>
      <c r="J936" s="239"/>
      <c r="K936" s="24"/>
      <c r="AI936" s="16" t="e">
        <f t="shared" si="125"/>
        <v>#N/A</v>
      </c>
      <c r="AJ936" s="16" t="str">
        <f t="shared" si="126"/>
        <v/>
      </c>
      <c r="AK936" s="16" t="str">
        <f t="shared" si="127"/>
        <v/>
      </c>
      <c r="AL936" s="16" t="e">
        <f>IF(AK936="",NA(),COUNTIF(AK$176:$AK936,AK936))</f>
        <v>#N/A</v>
      </c>
      <c r="AM936" s="16" t="e">
        <f t="shared" si="128"/>
        <v>#N/A</v>
      </c>
      <c r="AN936" s="16" t="e">
        <f t="shared" si="129"/>
        <v>#N/A</v>
      </c>
      <c r="AO936" s="16" t="str">
        <f t="shared" si="130"/>
        <v/>
      </c>
      <c r="AP936" s="16" t="str">
        <f t="shared" si="131"/>
        <v/>
      </c>
      <c r="AQ936" s="16" t="e">
        <f>IF(AP936="",NA(),COUNTIF(AP$176:$AP936,AP936))</f>
        <v>#N/A</v>
      </c>
      <c r="AR936" s="16" t="e">
        <f t="shared" si="132"/>
        <v>#N/A</v>
      </c>
      <c r="BI936" s="621">
        <v>928</v>
      </c>
      <c r="BJ936" s="711"/>
      <c r="BK936" s="712"/>
      <c r="BL936" s="713">
        <v>928</v>
      </c>
      <c r="BM936" s="714"/>
      <c r="BN936" s="239"/>
      <c r="BO936" s="24"/>
      <c r="BQ936" s="621">
        <v>928</v>
      </c>
      <c r="BR936" s="711"/>
      <c r="BS936" s="712"/>
      <c r="BT936" s="713">
        <v>928</v>
      </c>
      <c r="BU936" s="714"/>
      <c r="BV936" s="239"/>
      <c r="BW936" s="24"/>
      <c r="BY936" s="621">
        <v>928</v>
      </c>
      <c r="BZ936" s="711"/>
      <c r="CA936" s="712"/>
      <c r="CB936" s="713">
        <v>928</v>
      </c>
      <c r="CC936" s="714"/>
      <c r="CD936" s="239"/>
      <c r="CE936" s="24"/>
    </row>
    <row r="937" spans="5:83" ht="12" customHeight="1">
      <c r="E937" s="621">
        <v>929</v>
      </c>
      <c r="F937" s="711"/>
      <c r="G937" s="712"/>
      <c r="H937" s="713">
        <v>929</v>
      </c>
      <c r="I937" s="714"/>
      <c r="J937" s="239"/>
      <c r="K937" s="24"/>
      <c r="AI937" s="16" t="e">
        <f t="shared" si="125"/>
        <v>#N/A</v>
      </c>
      <c r="AJ937" s="16" t="str">
        <f t="shared" si="126"/>
        <v/>
      </c>
      <c r="AK937" s="16" t="str">
        <f t="shared" si="127"/>
        <v/>
      </c>
      <c r="AL937" s="16" t="e">
        <f>IF(AK937="",NA(),COUNTIF(AK$176:$AK937,AK937))</f>
        <v>#N/A</v>
      </c>
      <c r="AM937" s="16" t="e">
        <f t="shared" si="128"/>
        <v>#N/A</v>
      </c>
      <c r="AN937" s="16" t="e">
        <f t="shared" si="129"/>
        <v>#N/A</v>
      </c>
      <c r="AO937" s="16" t="str">
        <f t="shared" si="130"/>
        <v/>
      </c>
      <c r="AP937" s="16" t="str">
        <f t="shared" si="131"/>
        <v/>
      </c>
      <c r="AQ937" s="16" t="e">
        <f>IF(AP937="",NA(),COUNTIF(AP$176:$AP937,AP937))</f>
        <v>#N/A</v>
      </c>
      <c r="AR937" s="16" t="e">
        <f t="shared" si="132"/>
        <v>#N/A</v>
      </c>
      <c r="BI937" s="621">
        <v>929</v>
      </c>
      <c r="BJ937" s="711"/>
      <c r="BK937" s="712"/>
      <c r="BL937" s="713">
        <v>929</v>
      </c>
      <c r="BM937" s="714"/>
      <c r="BN937" s="239"/>
      <c r="BO937" s="24"/>
      <c r="BQ937" s="621">
        <v>929</v>
      </c>
      <c r="BR937" s="711"/>
      <c r="BS937" s="712"/>
      <c r="BT937" s="713">
        <v>929</v>
      </c>
      <c r="BU937" s="714"/>
      <c r="BV937" s="239"/>
      <c r="BW937" s="24"/>
      <c r="BY937" s="621">
        <v>929</v>
      </c>
      <c r="BZ937" s="711"/>
      <c r="CA937" s="712"/>
      <c r="CB937" s="713">
        <v>929</v>
      </c>
      <c r="CC937" s="714"/>
      <c r="CD937" s="239"/>
      <c r="CE937" s="24"/>
    </row>
    <row r="938" spans="5:83" ht="12" customHeight="1">
      <c r="E938" s="621">
        <v>930</v>
      </c>
      <c r="F938" s="711"/>
      <c r="G938" s="712"/>
      <c r="H938" s="713">
        <v>930</v>
      </c>
      <c r="I938" s="714"/>
      <c r="J938" s="239"/>
      <c r="K938" s="24"/>
      <c r="AI938" s="16" t="e">
        <f t="shared" si="125"/>
        <v>#N/A</v>
      </c>
      <c r="AJ938" s="16" t="str">
        <f t="shared" si="126"/>
        <v/>
      </c>
      <c r="AK938" s="16" t="str">
        <f t="shared" si="127"/>
        <v/>
      </c>
      <c r="AL938" s="16" t="e">
        <f>IF(AK938="",NA(),COUNTIF(AK$176:$AK938,AK938))</f>
        <v>#N/A</v>
      </c>
      <c r="AM938" s="16" t="e">
        <f t="shared" si="128"/>
        <v>#N/A</v>
      </c>
      <c r="AN938" s="16" t="e">
        <f t="shared" si="129"/>
        <v>#N/A</v>
      </c>
      <c r="AO938" s="16" t="str">
        <f t="shared" si="130"/>
        <v/>
      </c>
      <c r="AP938" s="16" t="str">
        <f t="shared" si="131"/>
        <v/>
      </c>
      <c r="AQ938" s="16" t="e">
        <f>IF(AP938="",NA(),COUNTIF(AP$176:$AP938,AP938))</f>
        <v>#N/A</v>
      </c>
      <c r="AR938" s="16" t="e">
        <f t="shared" si="132"/>
        <v>#N/A</v>
      </c>
      <c r="BI938" s="621">
        <v>930</v>
      </c>
      <c r="BJ938" s="711"/>
      <c r="BK938" s="712"/>
      <c r="BL938" s="713">
        <v>930</v>
      </c>
      <c r="BM938" s="714"/>
      <c r="BN938" s="239"/>
      <c r="BO938" s="24"/>
      <c r="BQ938" s="621">
        <v>930</v>
      </c>
      <c r="BR938" s="711"/>
      <c r="BS938" s="712"/>
      <c r="BT938" s="713">
        <v>930</v>
      </c>
      <c r="BU938" s="714"/>
      <c r="BV938" s="239"/>
      <c r="BW938" s="24"/>
      <c r="BY938" s="621">
        <v>930</v>
      </c>
      <c r="BZ938" s="711"/>
      <c r="CA938" s="712"/>
      <c r="CB938" s="713">
        <v>930</v>
      </c>
      <c r="CC938" s="714"/>
      <c r="CD938" s="239"/>
      <c r="CE938" s="24"/>
    </row>
    <row r="939" spans="5:83" ht="12" customHeight="1">
      <c r="E939" s="621">
        <v>931</v>
      </c>
      <c r="F939" s="711"/>
      <c r="G939" s="712"/>
      <c r="H939" s="713">
        <v>931</v>
      </c>
      <c r="I939" s="714"/>
      <c r="J939" s="239"/>
      <c r="K939" s="24"/>
      <c r="AI939" s="16" t="e">
        <f t="shared" si="125"/>
        <v>#N/A</v>
      </c>
      <c r="AJ939" s="16" t="str">
        <f t="shared" si="126"/>
        <v/>
      </c>
      <c r="AK939" s="16" t="str">
        <f t="shared" si="127"/>
        <v/>
      </c>
      <c r="AL939" s="16" t="e">
        <f>IF(AK939="",NA(),COUNTIF(AK$176:$AK939,AK939))</f>
        <v>#N/A</v>
      </c>
      <c r="AM939" s="16" t="e">
        <f t="shared" si="128"/>
        <v>#N/A</v>
      </c>
      <c r="AN939" s="16" t="e">
        <f t="shared" si="129"/>
        <v>#N/A</v>
      </c>
      <c r="AO939" s="16" t="str">
        <f t="shared" si="130"/>
        <v/>
      </c>
      <c r="AP939" s="16" t="str">
        <f t="shared" si="131"/>
        <v/>
      </c>
      <c r="AQ939" s="16" t="e">
        <f>IF(AP939="",NA(),COUNTIF(AP$176:$AP939,AP939))</f>
        <v>#N/A</v>
      </c>
      <c r="AR939" s="16" t="e">
        <f t="shared" si="132"/>
        <v>#N/A</v>
      </c>
      <c r="BI939" s="621">
        <v>931</v>
      </c>
      <c r="BJ939" s="711"/>
      <c r="BK939" s="712"/>
      <c r="BL939" s="713">
        <v>931</v>
      </c>
      <c r="BM939" s="714"/>
      <c r="BN939" s="239"/>
      <c r="BO939" s="24"/>
      <c r="BQ939" s="621">
        <v>931</v>
      </c>
      <c r="BR939" s="711"/>
      <c r="BS939" s="712"/>
      <c r="BT939" s="713">
        <v>931</v>
      </c>
      <c r="BU939" s="714"/>
      <c r="BV939" s="239"/>
      <c r="BW939" s="24"/>
      <c r="BY939" s="621">
        <v>931</v>
      </c>
      <c r="BZ939" s="711"/>
      <c r="CA939" s="712"/>
      <c r="CB939" s="713">
        <v>931</v>
      </c>
      <c r="CC939" s="714"/>
      <c r="CD939" s="239"/>
      <c r="CE939" s="24"/>
    </row>
    <row r="940" spans="5:83" ht="12" customHeight="1">
      <c r="E940" s="621">
        <v>932</v>
      </c>
      <c r="F940" s="711"/>
      <c r="G940" s="712"/>
      <c r="H940" s="713">
        <v>932</v>
      </c>
      <c r="I940" s="714"/>
      <c r="J940" s="239"/>
      <c r="K940" s="24"/>
      <c r="AI940" s="16" t="e">
        <f t="shared" si="125"/>
        <v>#N/A</v>
      </c>
      <c r="AJ940" s="16" t="str">
        <f t="shared" si="126"/>
        <v/>
      </c>
      <c r="AK940" s="16" t="str">
        <f t="shared" si="127"/>
        <v/>
      </c>
      <c r="AL940" s="16" t="e">
        <f>IF(AK940="",NA(),COUNTIF(AK$176:$AK940,AK940))</f>
        <v>#N/A</v>
      </c>
      <c r="AM940" s="16" t="e">
        <f t="shared" si="128"/>
        <v>#N/A</v>
      </c>
      <c r="AN940" s="16" t="e">
        <f t="shared" si="129"/>
        <v>#N/A</v>
      </c>
      <c r="AO940" s="16" t="str">
        <f t="shared" si="130"/>
        <v/>
      </c>
      <c r="AP940" s="16" t="str">
        <f t="shared" si="131"/>
        <v/>
      </c>
      <c r="AQ940" s="16" t="e">
        <f>IF(AP940="",NA(),COUNTIF(AP$176:$AP940,AP940))</f>
        <v>#N/A</v>
      </c>
      <c r="AR940" s="16" t="e">
        <f t="shared" si="132"/>
        <v>#N/A</v>
      </c>
      <c r="BI940" s="621">
        <v>932</v>
      </c>
      <c r="BJ940" s="711"/>
      <c r="BK940" s="712"/>
      <c r="BL940" s="713">
        <v>932</v>
      </c>
      <c r="BM940" s="714"/>
      <c r="BN940" s="239"/>
      <c r="BO940" s="24"/>
      <c r="BQ940" s="621">
        <v>932</v>
      </c>
      <c r="BR940" s="711"/>
      <c r="BS940" s="712"/>
      <c r="BT940" s="713">
        <v>932</v>
      </c>
      <c r="BU940" s="714"/>
      <c r="BV940" s="239"/>
      <c r="BW940" s="24"/>
      <c r="BY940" s="621">
        <v>932</v>
      </c>
      <c r="BZ940" s="711"/>
      <c r="CA940" s="712"/>
      <c r="CB940" s="713">
        <v>932</v>
      </c>
      <c r="CC940" s="714"/>
      <c r="CD940" s="239"/>
      <c r="CE940" s="24"/>
    </row>
    <row r="941" spans="5:83" ht="12" customHeight="1">
      <c r="E941" s="621">
        <v>933</v>
      </c>
      <c r="F941" s="711"/>
      <c r="G941" s="712"/>
      <c r="H941" s="713">
        <v>933</v>
      </c>
      <c r="I941" s="714"/>
      <c r="J941" s="239"/>
      <c r="K941" s="24"/>
      <c r="AI941" s="16" t="e">
        <f t="shared" si="125"/>
        <v>#N/A</v>
      </c>
      <c r="AJ941" s="16" t="str">
        <f t="shared" si="126"/>
        <v/>
      </c>
      <c r="AK941" s="16" t="str">
        <f t="shared" si="127"/>
        <v/>
      </c>
      <c r="AL941" s="16" t="e">
        <f>IF(AK941="",NA(),COUNTIF(AK$176:$AK941,AK941))</f>
        <v>#N/A</v>
      </c>
      <c r="AM941" s="16" t="e">
        <f t="shared" si="128"/>
        <v>#N/A</v>
      </c>
      <c r="AN941" s="16" t="e">
        <f t="shared" si="129"/>
        <v>#N/A</v>
      </c>
      <c r="AO941" s="16" t="str">
        <f t="shared" si="130"/>
        <v/>
      </c>
      <c r="AP941" s="16" t="str">
        <f t="shared" si="131"/>
        <v/>
      </c>
      <c r="AQ941" s="16" t="e">
        <f>IF(AP941="",NA(),COUNTIF(AP$176:$AP941,AP941))</f>
        <v>#N/A</v>
      </c>
      <c r="AR941" s="16" t="e">
        <f t="shared" si="132"/>
        <v>#N/A</v>
      </c>
      <c r="BI941" s="621">
        <v>933</v>
      </c>
      <c r="BJ941" s="711"/>
      <c r="BK941" s="712"/>
      <c r="BL941" s="713">
        <v>933</v>
      </c>
      <c r="BM941" s="714"/>
      <c r="BN941" s="239"/>
      <c r="BO941" s="24"/>
      <c r="BQ941" s="621">
        <v>933</v>
      </c>
      <c r="BR941" s="711"/>
      <c r="BS941" s="712"/>
      <c r="BT941" s="713">
        <v>933</v>
      </c>
      <c r="BU941" s="714"/>
      <c r="BV941" s="239"/>
      <c r="BW941" s="24"/>
      <c r="BY941" s="621">
        <v>933</v>
      </c>
      <c r="BZ941" s="711"/>
      <c r="CA941" s="712"/>
      <c r="CB941" s="713">
        <v>933</v>
      </c>
      <c r="CC941" s="714"/>
      <c r="CD941" s="239"/>
      <c r="CE941" s="24"/>
    </row>
    <row r="942" spans="5:83" ht="12" customHeight="1">
      <c r="E942" s="621">
        <v>934</v>
      </c>
      <c r="F942" s="711"/>
      <c r="G942" s="712"/>
      <c r="H942" s="713">
        <v>934</v>
      </c>
      <c r="I942" s="714"/>
      <c r="J942" s="239"/>
      <c r="K942" s="24"/>
      <c r="AI942" s="16" t="e">
        <f t="shared" si="125"/>
        <v>#N/A</v>
      </c>
      <c r="AJ942" s="16" t="str">
        <f t="shared" si="126"/>
        <v/>
      </c>
      <c r="AK942" s="16" t="str">
        <f t="shared" si="127"/>
        <v/>
      </c>
      <c r="AL942" s="16" t="e">
        <f>IF(AK942="",NA(),COUNTIF(AK$176:$AK942,AK942))</f>
        <v>#N/A</v>
      </c>
      <c r="AM942" s="16" t="e">
        <f t="shared" si="128"/>
        <v>#N/A</v>
      </c>
      <c r="AN942" s="16" t="e">
        <f t="shared" si="129"/>
        <v>#N/A</v>
      </c>
      <c r="AO942" s="16" t="str">
        <f t="shared" si="130"/>
        <v/>
      </c>
      <c r="AP942" s="16" t="str">
        <f t="shared" si="131"/>
        <v/>
      </c>
      <c r="AQ942" s="16" t="e">
        <f>IF(AP942="",NA(),COUNTIF(AP$176:$AP942,AP942))</f>
        <v>#N/A</v>
      </c>
      <c r="AR942" s="16" t="e">
        <f t="shared" si="132"/>
        <v>#N/A</v>
      </c>
      <c r="BI942" s="621">
        <v>934</v>
      </c>
      <c r="BJ942" s="711"/>
      <c r="BK942" s="712"/>
      <c r="BL942" s="713">
        <v>934</v>
      </c>
      <c r="BM942" s="714"/>
      <c r="BN942" s="239"/>
      <c r="BO942" s="24"/>
      <c r="BQ942" s="621">
        <v>934</v>
      </c>
      <c r="BR942" s="711"/>
      <c r="BS942" s="712"/>
      <c r="BT942" s="713">
        <v>934</v>
      </c>
      <c r="BU942" s="714"/>
      <c r="BV942" s="239"/>
      <c r="BW942" s="24"/>
      <c r="BY942" s="621">
        <v>934</v>
      </c>
      <c r="BZ942" s="711"/>
      <c r="CA942" s="712"/>
      <c r="CB942" s="713">
        <v>934</v>
      </c>
      <c r="CC942" s="714"/>
      <c r="CD942" s="239"/>
      <c r="CE942" s="24"/>
    </row>
    <row r="943" spans="5:83" ht="12" customHeight="1">
      <c r="E943" s="621">
        <v>935</v>
      </c>
      <c r="F943" s="711"/>
      <c r="G943" s="712"/>
      <c r="H943" s="713">
        <v>935</v>
      </c>
      <c r="I943" s="714"/>
      <c r="J943" s="239"/>
      <c r="K943" s="24"/>
      <c r="AI943" s="16" t="e">
        <f t="shared" si="125"/>
        <v>#N/A</v>
      </c>
      <c r="AJ943" s="16" t="str">
        <f t="shared" si="126"/>
        <v/>
      </c>
      <c r="AK943" s="16" t="str">
        <f t="shared" si="127"/>
        <v/>
      </c>
      <c r="AL943" s="16" t="e">
        <f>IF(AK943="",NA(),COUNTIF(AK$176:$AK943,AK943))</f>
        <v>#N/A</v>
      </c>
      <c r="AM943" s="16" t="e">
        <f t="shared" si="128"/>
        <v>#N/A</v>
      </c>
      <c r="AN943" s="16" t="e">
        <f t="shared" si="129"/>
        <v>#N/A</v>
      </c>
      <c r="AO943" s="16" t="str">
        <f t="shared" si="130"/>
        <v/>
      </c>
      <c r="AP943" s="16" t="str">
        <f t="shared" si="131"/>
        <v/>
      </c>
      <c r="AQ943" s="16" t="e">
        <f>IF(AP943="",NA(),COUNTIF(AP$176:$AP943,AP943))</f>
        <v>#N/A</v>
      </c>
      <c r="AR943" s="16" t="e">
        <f t="shared" si="132"/>
        <v>#N/A</v>
      </c>
      <c r="BI943" s="621">
        <v>935</v>
      </c>
      <c r="BJ943" s="711"/>
      <c r="BK943" s="712"/>
      <c r="BL943" s="713">
        <v>935</v>
      </c>
      <c r="BM943" s="714"/>
      <c r="BN943" s="239"/>
      <c r="BO943" s="24"/>
      <c r="BQ943" s="621">
        <v>935</v>
      </c>
      <c r="BR943" s="711"/>
      <c r="BS943" s="712"/>
      <c r="BT943" s="713">
        <v>935</v>
      </c>
      <c r="BU943" s="714"/>
      <c r="BV943" s="239"/>
      <c r="BW943" s="24"/>
      <c r="BY943" s="621">
        <v>935</v>
      </c>
      <c r="BZ943" s="711"/>
      <c r="CA943" s="712"/>
      <c r="CB943" s="713">
        <v>935</v>
      </c>
      <c r="CC943" s="714"/>
      <c r="CD943" s="239"/>
      <c r="CE943" s="24"/>
    </row>
    <row r="944" spans="5:83" ht="12" customHeight="1">
      <c r="E944" s="621">
        <v>936</v>
      </c>
      <c r="F944" s="711"/>
      <c r="G944" s="712"/>
      <c r="H944" s="713">
        <v>936</v>
      </c>
      <c r="I944" s="714"/>
      <c r="J944" s="239"/>
      <c r="K944" s="24"/>
      <c r="AI944" s="16" t="e">
        <f t="shared" si="125"/>
        <v>#N/A</v>
      </c>
      <c r="AJ944" s="16" t="str">
        <f t="shared" si="126"/>
        <v/>
      </c>
      <c r="AK944" s="16" t="str">
        <f t="shared" si="127"/>
        <v/>
      </c>
      <c r="AL944" s="16" t="e">
        <f>IF(AK944="",NA(),COUNTIF(AK$176:$AK944,AK944))</f>
        <v>#N/A</v>
      </c>
      <c r="AM944" s="16" t="e">
        <f t="shared" si="128"/>
        <v>#N/A</v>
      </c>
      <c r="AN944" s="16" t="e">
        <f t="shared" si="129"/>
        <v>#N/A</v>
      </c>
      <c r="AO944" s="16" t="str">
        <f t="shared" si="130"/>
        <v/>
      </c>
      <c r="AP944" s="16" t="str">
        <f t="shared" si="131"/>
        <v/>
      </c>
      <c r="AQ944" s="16" t="e">
        <f>IF(AP944="",NA(),COUNTIF(AP$176:$AP944,AP944))</f>
        <v>#N/A</v>
      </c>
      <c r="AR944" s="16" t="e">
        <f t="shared" si="132"/>
        <v>#N/A</v>
      </c>
      <c r="BI944" s="621">
        <v>936</v>
      </c>
      <c r="BJ944" s="711"/>
      <c r="BK944" s="712"/>
      <c r="BL944" s="713">
        <v>936</v>
      </c>
      <c r="BM944" s="714"/>
      <c r="BN944" s="239"/>
      <c r="BO944" s="24"/>
      <c r="BQ944" s="621">
        <v>936</v>
      </c>
      <c r="BR944" s="711"/>
      <c r="BS944" s="712"/>
      <c r="BT944" s="713">
        <v>936</v>
      </c>
      <c r="BU944" s="714"/>
      <c r="BV944" s="239"/>
      <c r="BW944" s="24"/>
      <c r="BY944" s="621">
        <v>936</v>
      </c>
      <c r="BZ944" s="711"/>
      <c r="CA944" s="712"/>
      <c r="CB944" s="713">
        <v>936</v>
      </c>
      <c r="CC944" s="714"/>
      <c r="CD944" s="239"/>
      <c r="CE944" s="24"/>
    </row>
    <row r="945" spans="5:83" ht="12" customHeight="1">
      <c r="E945" s="621">
        <v>937</v>
      </c>
      <c r="F945" s="711"/>
      <c r="G945" s="712"/>
      <c r="H945" s="713">
        <v>937</v>
      </c>
      <c r="I945" s="714"/>
      <c r="J945" s="239"/>
      <c r="K945" s="24"/>
      <c r="AI945" s="16" t="e">
        <f t="shared" si="125"/>
        <v>#N/A</v>
      </c>
      <c r="AJ945" s="16" t="str">
        <f t="shared" si="126"/>
        <v/>
      </c>
      <c r="AK945" s="16" t="str">
        <f t="shared" si="127"/>
        <v/>
      </c>
      <c r="AL945" s="16" t="e">
        <f>IF(AK945="",NA(),COUNTIF(AK$176:$AK945,AK945))</f>
        <v>#N/A</v>
      </c>
      <c r="AM945" s="16" t="e">
        <f t="shared" si="128"/>
        <v>#N/A</v>
      </c>
      <c r="AN945" s="16" t="e">
        <f t="shared" si="129"/>
        <v>#N/A</v>
      </c>
      <c r="AO945" s="16" t="str">
        <f t="shared" si="130"/>
        <v/>
      </c>
      <c r="AP945" s="16" t="str">
        <f t="shared" si="131"/>
        <v/>
      </c>
      <c r="AQ945" s="16" t="e">
        <f>IF(AP945="",NA(),COUNTIF(AP$176:$AP945,AP945))</f>
        <v>#N/A</v>
      </c>
      <c r="AR945" s="16" t="e">
        <f t="shared" si="132"/>
        <v>#N/A</v>
      </c>
      <c r="BI945" s="621">
        <v>937</v>
      </c>
      <c r="BJ945" s="711"/>
      <c r="BK945" s="712"/>
      <c r="BL945" s="713">
        <v>937</v>
      </c>
      <c r="BM945" s="714"/>
      <c r="BN945" s="239"/>
      <c r="BO945" s="24"/>
      <c r="BQ945" s="621">
        <v>937</v>
      </c>
      <c r="BR945" s="711"/>
      <c r="BS945" s="712"/>
      <c r="BT945" s="713">
        <v>937</v>
      </c>
      <c r="BU945" s="714"/>
      <c r="BV945" s="239"/>
      <c r="BW945" s="24"/>
      <c r="BY945" s="621">
        <v>937</v>
      </c>
      <c r="BZ945" s="711"/>
      <c r="CA945" s="712"/>
      <c r="CB945" s="713">
        <v>937</v>
      </c>
      <c r="CC945" s="714"/>
      <c r="CD945" s="239"/>
      <c r="CE945" s="24"/>
    </row>
    <row r="946" spans="5:83" ht="12" customHeight="1">
      <c r="E946" s="621">
        <v>938</v>
      </c>
      <c r="F946" s="711"/>
      <c r="G946" s="712"/>
      <c r="H946" s="713">
        <v>938</v>
      </c>
      <c r="I946" s="714"/>
      <c r="J946" s="239"/>
      <c r="K946" s="24"/>
      <c r="AI946" s="16" t="e">
        <f t="shared" si="125"/>
        <v>#N/A</v>
      </c>
      <c r="AJ946" s="16" t="str">
        <f t="shared" si="126"/>
        <v/>
      </c>
      <c r="AK946" s="16" t="str">
        <f t="shared" si="127"/>
        <v/>
      </c>
      <c r="AL946" s="16" t="e">
        <f>IF(AK946="",NA(),COUNTIF(AK$176:$AK946,AK946))</f>
        <v>#N/A</v>
      </c>
      <c r="AM946" s="16" t="e">
        <f t="shared" si="128"/>
        <v>#N/A</v>
      </c>
      <c r="AN946" s="16" t="e">
        <f t="shared" si="129"/>
        <v>#N/A</v>
      </c>
      <c r="AO946" s="16" t="str">
        <f t="shared" si="130"/>
        <v/>
      </c>
      <c r="AP946" s="16" t="str">
        <f t="shared" si="131"/>
        <v/>
      </c>
      <c r="AQ946" s="16" t="e">
        <f>IF(AP946="",NA(),COUNTIF(AP$176:$AP946,AP946))</f>
        <v>#N/A</v>
      </c>
      <c r="AR946" s="16" t="e">
        <f t="shared" si="132"/>
        <v>#N/A</v>
      </c>
      <c r="BI946" s="621">
        <v>938</v>
      </c>
      <c r="BJ946" s="711"/>
      <c r="BK946" s="712"/>
      <c r="BL946" s="713">
        <v>938</v>
      </c>
      <c r="BM946" s="714"/>
      <c r="BN946" s="239"/>
      <c r="BO946" s="24"/>
      <c r="BQ946" s="621">
        <v>938</v>
      </c>
      <c r="BR946" s="711"/>
      <c r="BS946" s="712"/>
      <c r="BT946" s="713">
        <v>938</v>
      </c>
      <c r="BU946" s="714"/>
      <c r="BV946" s="239"/>
      <c r="BW946" s="24"/>
      <c r="BY946" s="621">
        <v>938</v>
      </c>
      <c r="BZ946" s="711"/>
      <c r="CA946" s="712"/>
      <c r="CB946" s="713">
        <v>938</v>
      </c>
      <c r="CC946" s="714"/>
      <c r="CD946" s="239"/>
      <c r="CE946" s="24"/>
    </row>
    <row r="947" spans="5:83" ht="12" customHeight="1">
      <c r="E947" s="621">
        <v>939</v>
      </c>
      <c r="F947" s="711"/>
      <c r="G947" s="712"/>
      <c r="H947" s="713">
        <v>939</v>
      </c>
      <c r="I947" s="714"/>
      <c r="J947" s="239"/>
      <c r="K947" s="24"/>
      <c r="AI947" s="16" t="e">
        <f t="shared" si="125"/>
        <v>#N/A</v>
      </c>
      <c r="AJ947" s="16" t="str">
        <f t="shared" si="126"/>
        <v/>
      </c>
      <c r="AK947" s="16" t="str">
        <f t="shared" si="127"/>
        <v/>
      </c>
      <c r="AL947" s="16" t="e">
        <f>IF(AK947="",NA(),COUNTIF(AK$176:$AK947,AK947))</f>
        <v>#N/A</v>
      </c>
      <c r="AM947" s="16" t="e">
        <f t="shared" si="128"/>
        <v>#N/A</v>
      </c>
      <c r="AN947" s="16" t="e">
        <f t="shared" si="129"/>
        <v>#N/A</v>
      </c>
      <c r="AO947" s="16" t="str">
        <f t="shared" si="130"/>
        <v/>
      </c>
      <c r="AP947" s="16" t="str">
        <f t="shared" si="131"/>
        <v/>
      </c>
      <c r="AQ947" s="16" t="e">
        <f>IF(AP947="",NA(),COUNTIF(AP$176:$AP947,AP947))</f>
        <v>#N/A</v>
      </c>
      <c r="AR947" s="16" t="e">
        <f t="shared" si="132"/>
        <v>#N/A</v>
      </c>
      <c r="BI947" s="621">
        <v>939</v>
      </c>
      <c r="BJ947" s="711"/>
      <c r="BK947" s="712"/>
      <c r="BL947" s="713">
        <v>939</v>
      </c>
      <c r="BM947" s="714"/>
      <c r="BN947" s="239"/>
      <c r="BO947" s="24"/>
      <c r="BQ947" s="621">
        <v>939</v>
      </c>
      <c r="BR947" s="711"/>
      <c r="BS947" s="712"/>
      <c r="BT947" s="713">
        <v>939</v>
      </c>
      <c r="BU947" s="714"/>
      <c r="BV947" s="239"/>
      <c r="BW947" s="24"/>
      <c r="BY947" s="621">
        <v>939</v>
      </c>
      <c r="BZ947" s="711"/>
      <c r="CA947" s="712"/>
      <c r="CB947" s="713">
        <v>939</v>
      </c>
      <c r="CC947" s="714"/>
      <c r="CD947" s="239"/>
      <c r="CE947" s="24"/>
    </row>
    <row r="948" spans="5:83" ht="12" customHeight="1">
      <c r="E948" s="621">
        <v>940</v>
      </c>
      <c r="F948" s="711"/>
      <c r="G948" s="712"/>
      <c r="H948" s="713">
        <v>940</v>
      </c>
      <c r="I948" s="714"/>
      <c r="J948" s="239"/>
      <c r="K948" s="24"/>
      <c r="AI948" s="16" t="e">
        <f t="shared" si="125"/>
        <v>#N/A</v>
      </c>
      <c r="AJ948" s="16" t="str">
        <f t="shared" si="126"/>
        <v/>
      </c>
      <c r="AK948" s="16" t="str">
        <f t="shared" si="127"/>
        <v/>
      </c>
      <c r="AL948" s="16" t="e">
        <f>IF(AK948="",NA(),COUNTIF(AK$176:$AK948,AK948))</f>
        <v>#N/A</v>
      </c>
      <c r="AM948" s="16" t="e">
        <f t="shared" si="128"/>
        <v>#N/A</v>
      </c>
      <c r="AN948" s="16" t="e">
        <f t="shared" si="129"/>
        <v>#N/A</v>
      </c>
      <c r="AO948" s="16" t="str">
        <f t="shared" si="130"/>
        <v/>
      </c>
      <c r="AP948" s="16" t="str">
        <f t="shared" si="131"/>
        <v/>
      </c>
      <c r="AQ948" s="16" t="e">
        <f>IF(AP948="",NA(),COUNTIF(AP$176:$AP948,AP948))</f>
        <v>#N/A</v>
      </c>
      <c r="AR948" s="16" t="e">
        <f t="shared" si="132"/>
        <v>#N/A</v>
      </c>
      <c r="BI948" s="621">
        <v>940</v>
      </c>
      <c r="BJ948" s="711"/>
      <c r="BK948" s="712"/>
      <c r="BL948" s="713">
        <v>940</v>
      </c>
      <c r="BM948" s="714"/>
      <c r="BN948" s="239"/>
      <c r="BO948" s="24"/>
      <c r="BQ948" s="621">
        <v>940</v>
      </c>
      <c r="BR948" s="711"/>
      <c r="BS948" s="712"/>
      <c r="BT948" s="713">
        <v>940</v>
      </c>
      <c r="BU948" s="714"/>
      <c r="BV948" s="239"/>
      <c r="BW948" s="24"/>
      <c r="BY948" s="621">
        <v>940</v>
      </c>
      <c r="BZ948" s="711"/>
      <c r="CA948" s="712"/>
      <c r="CB948" s="713">
        <v>940</v>
      </c>
      <c r="CC948" s="714"/>
      <c r="CD948" s="239"/>
      <c r="CE948" s="24"/>
    </row>
    <row r="949" spans="5:83" ht="12" customHeight="1">
      <c r="E949" s="621">
        <v>941</v>
      </c>
      <c r="F949" s="711"/>
      <c r="G949" s="712"/>
      <c r="H949" s="713">
        <v>941</v>
      </c>
      <c r="I949" s="714"/>
      <c r="J949" s="239"/>
      <c r="K949" s="24"/>
      <c r="AI949" s="16" t="e">
        <f t="shared" si="125"/>
        <v>#N/A</v>
      </c>
      <c r="AJ949" s="16" t="str">
        <f t="shared" si="126"/>
        <v/>
      </c>
      <c r="AK949" s="16" t="str">
        <f t="shared" si="127"/>
        <v/>
      </c>
      <c r="AL949" s="16" t="e">
        <f>IF(AK949="",NA(),COUNTIF(AK$176:$AK949,AK949))</f>
        <v>#N/A</v>
      </c>
      <c r="AM949" s="16" t="e">
        <f t="shared" si="128"/>
        <v>#N/A</v>
      </c>
      <c r="AN949" s="16" t="e">
        <f t="shared" si="129"/>
        <v>#N/A</v>
      </c>
      <c r="AO949" s="16" t="str">
        <f t="shared" si="130"/>
        <v/>
      </c>
      <c r="AP949" s="16" t="str">
        <f t="shared" si="131"/>
        <v/>
      </c>
      <c r="AQ949" s="16" t="e">
        <f>IF(AP949="",NA(),COUNTIF(AP$176:$AP949,AP949))</f>
        <v>#N/A</v>
      </c>
      <c r="AR949" s="16" t="e">
        <f t="shared" si="132"/>
        <v>#N/A</v>
      </c>
      <c r="BI949" s="621">
        <v>941</v>
      </c>
      <c r="BJ949" s="711"/>
      <c r="BK949" s="712"/>
      <c r="BL949" s="713">
        <v>941</v>
      </c>
      <c r="BM949" s="714"/>
      <c r="BN949" s="239"/>
      <c r="BO949" s="24"/>
      <c r="BQ949" s="621">
        <v>941</v>
      </c>
      <c r="BR949" s="711"/>
      <c r="BS949" s="712"/>
      <c r="BT949" s="713">
        <v>941</v>
      </c>
      <c r="BU949" s="714"/>
      <c r="BV949" s="239"/>
      <c r="BW949" s="24"/>
      <c r="BY949" s="621">
        <v>941</v>
      </c>
      <c r="BZ949" s="711"/>
      <c r="CA949" s="712"/>
      <c r="CB949" s="713">
        <v>941</v>
      </c>
      <c r="CC949" s="714"/>
      <c r="CD949" s="239"/>
      <c r="CE949" s="24"/>
    </row>
    <row r="950" spans="5:83" ht="12" customHeight="1">
      <c r="E950" s="621">
        <v>942</v>
      </c>
      <c r="F950" s="711"/>
      <c r="G950" s="712"/>
      <c r="H950" s="713">
        <v>942</v>
      </c>
      <c r="I950" s="714"/>
      <c r="J950" s="239"/>
      <c r="K950" s="24"/>
      <c r="AI950" s="16" t="e">
        <f t="shared" si="125"/>
        <v>#N/A</v>
      </c>
      <c r="AJ950" s="16" t="str">
        <f t="shared" si="126"/>
        <v/>
      </c>
      <c r="AK950" s="16" t="str">
        <f t="shared" si="127"/>
        <v/>
      </c>
      <c r="AL950" s="16" t="e">
        <f>IF(AK950="",NA(),COUNTIF(AK$176:$AK950,AK950))</f>
        <v>#N/A</v>
      </c>
      <c r="AM950" s="16" t="e">
        <f t="shared" si="128"/>
        <v>#N/A</v>
      </c>
      <c r="AN950" s="16" t="e">
        <f t="shared" si="129"/>
        <v>#N/A</v>
      </c>
      <c r="AO950" s="16" t="str">
        <f t="shared" si="130"/>
        <v/>
      </c>
      <c r="AP950" s="16" t="str">
        <f t="shared" si="131"/>
        <v/>
      </c>
      <c r="AQ950" s="16" t="e">
        <f>IF(AP950="",NA(),COUNTIF(AP$176:$AP950,AP950))</f>
        <v>#N/A</v>
      </c>
      <c r="AR950" s="16" t="e">
        <f t="shared" si="132"/>
        <v>#N/A</v>
      </c>
      <c r="BI950" s="621">
        <v>942</v>
      </c>
      <c r="BJ950" s="711"/>
      <c r="BK950" s="712"/>
      <c r="BL950" s="713">
        <v>942</v>
      </c>
      <c r="BM950" s="714"/>
      <c r="BN950" s="239"/>
      <c r="BO950" s="24"/>
      <c r="BQ950" s="621">
        <v>942</v>
      </c>
      <c r="BR950" s="711"/>
      <c r="BS950" s="712"/>
      <c r="BT950" s="713">
        <v>942</v>
      </c>
      <c r="BU950" s="714"/>
      <c r="BV950" s="239"/>
      <c r="BW950" s="24"/>
      <c r="BY950" s="621">
        <v>942</v>
      </c>
      <c r="BZ950" s="711"/>
      <c r="CA950" s="712"/>
      <c r="CB950" s="713">
        <v>942</v>
      </c>
      <c r="CC950" s="714"/>
      <c r="CD950" s="239"/>
      <c r="CE950" s="24"/>
    </row>
    <row r="951" spans="5:83" ht="12" customHeight="1">
      <c r="E951" s="621">
        <v>943</v>
      </c>
      <c r="F951" s="711"/>
      <c r="G951" s="712"/>
      <c r="H951" s="713">
        <v>943</v>
      </c>
      <c r="I951" s="714"/>
      <c r="J951" s="239"/>
      <c r="K951" s="24"/>
      <c r="AI951" s="16" t="e">
        <f t="shared" si="125"/>
        <v>#N/A</v>
      </c>
      <c r="AJ951" s="16" t="str">
        <f t="shared" si="126"/>
        <v/>
      </c>
      <c r="AK951" s="16" t="str">
        <f t="shared" si="127"/>
        <v/>
      </c>
      <c r="AL951" s="16" t="e">
        <f>IF(AK951="",NA(),COUNTIF(AK$176:$AK951,AK951))</f>
        <v>#N/A</v>
      </c>
      <c r="AM951" s="16" t="e">
        <f t="shared" si="128"/>
        <v>#N/A</v>
      </c>
      <c r="AN951" s="16" t="e">
        <f t="shared" si="129"/>
        <v>#N/A</v>
      </c>
      <c r="AO951" s="16" t="str">
        <f t="shared" si="130"/>
        <v/>
      </c>
      <c r="AP951" s="16" t="str">
        <f t="shared" si="131"/>
        <v/>
      </c>
      <c r="AQ951" s="16" t="e">
        <f>IF(AP951="",NA(),COUNTIF(AP$176:$AP951,AP951))</f>
        <v>#N/A</v>
      </c>
      <c r="AR951" s="16" t="e">
        <f t="shared" si="132"/>
        <v>#N/A</v>
      </c>
      <c r="BI951" s="621">
        <v>943</v>
      </c>
      <c r="BJ951" s="711"/>
      <c r="BK951" s="712"/>
      <c r="BL951" s="713">
        <v>943</v>
      </c>
      <c r="BM951" s="714"/>
      <c r="BN951" s="239"/>
      <c r="BO951" s="24"/>
      <c r="BQ951" s="621">
        <v>943</v>
      </c>
      <c r="BR951" s="711"/>
      <c r="BS951" s="712"/>
      <c r="BT951" s="713">
        <v>943</v>
      </c>
      <c r="BU951" s="714"/>
      <c r="BV951" s="239"/>
      <c r="BW951" s="24"/>
      <c r="BY951" s="621">
        <v>943</v>
      </c>
      <c r="BZ951" s="711"/>
      <c r="CA951" s="712"/>
      <c r="CB951" s="713">
        <v>943</v>
      </c>
      <c r="CC951" s="714"/>
      <c r="CD951" s="239"/>
      <c r="CE951" s="24"/>
    </row>
    <row r="952" spans="5:83" ht="12" customHeight="1">
      <c r="E952" s="621">
        <v>944</v>
      </c>
      <c r="F952" s="711"/>
      <c r="G952" s="712"/>
      <c r="H952" s="713">
        <v>944</v>
      </c>
      <c r="I952" s="714"/>
      <c r="J952" s="239"/>
      <c r="K952" s="24"/>
      <c r="AI952" s="16" t="e">
        <f t="shared" si="125"/>
        <v>#N/A</v>
      </c>
      <c r="AJ952" s="16" t="str">
        <f t="shared" si="126"/>
        <v/>
      </c>
      <c r="AK952" s="16" t="str">
        <f t="shared" si="127"/>
        <v/>
      </c>
      <c r="AL952" s="16" t="e">
        <f>IF(AK952="",NA(),COUNTIF(AK$176:$AK952,AK952))</f>
        <v>#N/A</v>
      </c>
      <c r="AM952" s="16" t="e">
        <f t="shared" si="128"/>
        <v>#N/A</v>
      </c>
      <c r="AN952" s="16" t="e">
        <f t="shared" si="129"/>
        <v>#N/A</v>
      </c>
      <c r="AO952" s="16" t="str">
        <f t="shared" si="130"/>
        <v/>
      </c>
      <c r="AP952" s="16" t="str">
        <f t="shared" si="131"/>
        <v/>
      </c>
      <c r="AQ952" s="16" t="e">
        <f>IF(AP952="",NA(),COUNTIF(AP$176:$AP952,AP952))</f>
        <v>#N/A</v>
      </c>
      <c r="AR952" s="16" t="e">
        <f t="shared" si="132"/>
        <v>#N/A</v>
      </c>
      <c r="BI952" s="621">
        <v>944</v>
      </c>
      <c r="BJ952" s="711"/>
      <c r="BK952" s="712"/>
      <c r="BL952" s="713">
        <v>944</v>
      </c>
      <c r="BM952" s="714"/>
      <c r="BN952" s="239"/>
      <c r="BO952" s="24"/>
      <c r="BQ952" s="621">
        <v>944</v>
      </c>
      <c r="BR952" s="711"/>
      <c r="BS952" s="712"/>
      <c r="BT952" s="713">
        <v>944</v>
      </c>
      <c r="BU952" s="714"/>
      <c r="BV952" s="239"/>
      <c r="BW952" s="24"/>
      <c r="BY952" s="621">
        <v>944</v>
      </c>
      <c r="BZ952" s="711"/>
      <c r="CA952" s="712"/>
      <c r="CB952" s="713">
        <v>944</v>
      </c>
      <c r="CC952" s="714"/>
      <c r="CD952" s="239"/>
      <c r="CE952" s="24"/>
    </row>
    <row r="953" spans="5:83" ht="12" customHeight="1">
      <c r="E953" s="621">
        <v>945</v>
      </c>
      <c r="F953" s="711"/>
      <c r="G953" s="712"/>
      <c r="H953" s="713">
        <v>945</v>
      </c>
      <c r="I953" s="714"/>
      <c r="J953" s="239"/>
      <c r="K953" s="24"/>
      <c r="AI953" s="16" t="e">
        <f t="shared" si="125"/>
        <v>#N/A</v>
      </c>
      <c r="AJ953" s="16" t="str">
        <f t="shared" si="126"/>
        <v/>
      </c>
      <c r="AK953" s="16" t="str">
        <f t="shared" si="127"/>
        <v/>
      </c>
      <c r="AL953" s="16" t="e">
        <f>IF(AK953="",NA(),COUNTIF(AK$176:$AK953,AK953))</f>
        <v>#N/A</v>
      </c>
      <c r="AM953" s="16" t="e">
        <f t="shared" si="128"/>
        <v>#N/A</v>
      </c>
      <c r="AN953" s="16" t="e">
        <f t="shared" si="129"/>
        <v>#N/A</v>
      </c>
      <c r="AO953" s="16" t="str">
        <f t="shared" si="130"/>
        <v/>
      </c>
      <c r="AP953" s="16" t="str">
        <f t="shared" si="131"/>
        <v/>
      </c>
      <c r="AQ953" s="16" t="e">
        <f>IF(AP953="",NA(),COUNTIF(AP$176:$AP953,AP953))</f>
        <v>#N/A</v>
      </c>
      <c r="AR953" s="16" t="e">
        <f t="shared" si="132"/>
        <v>#N/A</v>
      </c>
      <c r="BI953" s="621">
        <v>945</v>
      </c>
      <c r="BJ953" s="711"/>
      <c r="BK953" s="712"/>
      <c r="BL953" s="713">
        <v>945</v>
      </c>
      <c r="BM953" s="714"/>
      <c r="BN953" s="239"/>
      <c r="BO953" s="24"/>
      <c r="BQ953" s="621">
        <v>945</v>
      </c>
      <c r="BR953" s="711"/>
      <c r="BS953" s="712"/>
      <c r="BT953" s="713">
        <v>945</v>
      </c>
      <c r="BU953" s="714"/>
      <c r="BV953" s="239"/>
      <c r="BW953" s="24"/>
      <c r="BY953" s="621">
        <v>945</v>
      </c>
      <c r="BZ953" s="711"/>
      <c r="CA953" s="712"/>
      <c r="CB953" s="713">
        <v>945</v>
      </c>
      <c r="CC953" s="714"/>
      <c r="CD953" s="239"/>
      <c r="CE953" s="24"/>
    </row>
    <row r="954" spans="5:83" ht="12" customHeight="1">
      <c r="E954" s="621">
        <v>946</v>
      </c>
      <c r="F954" s="711"/>
      <c r="G954" s="712"/>
      <c r="H954" s="713">
        <v>946</v>
      </c>
      <c r="I954" s="714"/>
      <c r="J954" s="239"/>
      <c r="K954" s="24"/>
      <c r="AI954" s="16" t="e">
        <f t="shared" si="125"/>
        <v>#N/A</v>
      </c>
      <c r="AJ954" s="16" t="str">
        <f t="shared" si="126"/>
        <v/>
      </c>
      <c r="AK954" s="16" t="str">
        <f t="shared" si="127"/>
        <v/>
      </c>
      <c r="AL954" s="16" t="e">
        <f>IF(AK954="",NA(),COUNTIF(AK$176:$AK954,AK954))</f>
        <v>#N/A</v>
      </c>
      <c r="AM954" s="16" t="e">
        <f t="shared" si="128"/>
        <v>#N/A</v>
      </c>
      <c r="AN954" s="16" t="e">
        <f t="shared" si="129"/>
        <v>#N/A</v>
      </c>
      <c r="AO954" s="16" t="str">
        <f t="shared" si="130"/>
        <v/>
      </c>
      <c r="AP954" s="16" t="str">
        <f t="shared" si="131"/>
        <v/>
      </c>
      <c r="AQ954" s="16" t="e">
        <f>IF(AP954="",NA(),COUNTIF(AP$176:$AP954,AP954))</f>
        <v>#N/A</v>
      </c>
      <c r="AR954" s="16" t="e">
        <f t="shared" si="132"/>
        <v>#N/A</v>
      </c>
      <c r="BI954" s="621">
        <v>946</v>
      </c>
      <c r="BJ954" s="711"/>
      <c r="BK954" s="712"/>
      <c r="BL954" s="713">
        <v>946</v>
      </c>
      <c r="BM954" s="714"/>
      <c r="BN954" s="239"/>
      <c r="BO954" s="24"/>
      <c r="BQ954" s="621">
        <v>946</v>
      </c>
      <c r="BR954" s="711"/>
      <c r="BS954" s="712"/>
      <c r="BT954" s="713">
        <v>946</v>
      </c>
      <c r="BU954" s="714"/>
      <c r="BV954" s="239"/>
      <c r="BW954" s="24"/>
      <c r="BY954" s="621">
        <v>946</v>
      </c>
      <c r="BZ954" s="711"/>
      <c r="CA954" s="712"/>
      <c r="CB954" s="713">
        <v>946</v>
      </c>
      <c r="CC954" s="714"/>
      <c r="CD954" s="239"/>
      <c r="CE954" s="24"/>
    </row>
    <row r="955" spans="5:83" ht="12" customHeight="1">
      <c r="E955" s="621">
        <v>947</v>
      </c>
      <c r="F955" s="711"/>
      <c r="G955" s="712"/>
      <c r="H955" s="713">
        <v>947</v>
      </c>
      <c r="I955" s="714"/>
      <c r="J955" s="239"/>
      <c r="K955" s="24"/>
      <c r="AI955" s="16" t="e">
        <f t="shared" si="125"/>
        <v>#N/A</v>
      </c>
      <c r="AJ955" s="16" t="str">
        <f t="shared" si="126"/>
        <v/>
      </c>
      <c r="AK955" s="16" t="str">
        <f t="shared" si="127"/>
        <v/>
      </c>
      <c r="AL955" s="16" t="e">
        <f>IF(AK955="",NA(),COUNTIF(AK$176:$AK955,AK955))</f>
        <v>#N/A</v>
      </c>
      <c r="AM955" s="16" t="e">
        <f t="shared" si="128"/>
        <v>#N/A</v>
      </c>
      <c r="AN955" s="16" t="e">
        <f t="shared" si="129"/>
        <v>#N/A</v>
      </c>
      <c r="AO955" s="16" t="str">
        <f t="shared" si="130"/>
        <v/>
      </c>
      <c r="AP955" s="16" t="str">
        <f t="shared" si="131"/>
        <v/>
      </c>
      <c r="AQ955" s="16" t="e">
        <f>IF(AP955="",NA(),COUNTIF(AP$176:$AP955,AP955))</f>
        <v>#N/A</v>
      </c>
      <c r="AR955" s="16" t="e">
        <f t="shared" si="132"/>
        <v>#N/A</v>
      </c>
      <c r="BI955" s="621">
        <v>947</v>
      </c>
      <c r="BJ955" s="711"/>
      <c r="BK955" s="712"/>
      <c r="BL955" s="713">
        <v>947</v>
      </c>
      <c r="BM955" s="714"/>
      <c r="BN955" s="239"/>
      <c r="BO955" s="24"/>
      <c r="BQ955" s="621">
        <v>947</v>
      </c>
      <c r="BR955" s="711"/>
      <c r="BS955" s="712"/>
      <c r="BT955" s="713">
        <v>947</v>
      </c>
      <c r="BU955" s="714"/>
      <c r="BV955" s="239"/>
      <c r="BW955" s="24"/>
      <c r="BY955" s="621">
        <v>947</v>
      </c>
      <c r="BZ955" s="711"/>
      <c r="CA955" s="712"/>
      <c r="CB955" s="713">
        <v>947</v>
      </c>
      <c r="CC955" s="714"/>
      <c r="CD955" s="239"/>
      <c r="CE955" s="24"/>
    </row>
    <row r="956" spans="5:83" ht="12" customHeight="1">
      <c r="E956" s="621">
        <v>948</v>
      </c>
      <c r="F956" s="711"/>
      <c r="G956" s="712"/>
      <c r="H956" s="713">
        <v>948</v>
      </c>
      <c r="I956" s="714"/>
      <c r="J956" s="239"/>
      <c r="K956" s="24"/>
      <c r="AI956" s="16" t="e">
        <f t="shared" si="125"/>
        <v>#N/A</v>
      </c>
      <c r="AJ956" s="16" t="str">
        <f t="shared" si="126"/>
        <v/>
      </c>
      <c r="AK956" s="16" t="str">
        <f t="shared" si="127"/>
        <v/>
      </c>
      <c r="AL956" s="16" t="e">
        <f>IF(AK956="",NA(),COUNTIF(AK$176:$AK956,AK956))</f>
        <v>#N/A</v>
      </c>
      <c r="AM956" s="16" t="e">
        <f t="shared" si="128"/>
        <v>#N/A</v>
      </c>
      <c r="AN956" s="16" t="e">
        <f t="shared" si="129"/>
        <v>#N/A</v>
      </c>
      <c r="AO956" s="16" t="str">
        <f t="shared" si="130"/>
        <v/>
      </c>
      <c r="AP956" s="16" t="str">
        <f t="shared" si="131"/>
        <v/>
      </c>
      <c r="AQ956" s="16" t="e">
        <f>IF(AP956="",NA(),COUNTIF(AP$176:$AP956,AP956))</f>
        <v>#N/A</v>
      </c>
      <c r="AR956" s="16" t="e">
        <f t="shared" si="132"/>
        <v>#N/A</v>
      </c>
      <c r="BI956" s="621">
        <v>948</v>
      </c>
      <c r="BJ956" s="711"/>
      <c r="BK956" s="712"/>
      <c r="BL956" s="713">
        <v>948</v>
      </c>
      <c r="BM956" s="714"/>
      <c r="BN956" s="239"/>
      <c r="BO956" s="24"/>
      <c r="BQ956" s="621">
        <v>948</v>
      </c>
      <c r="BR956" s="711"/>
      <c r="BS956" s="712"/>
      <c r="BT956" s="713">
        <v>948</v>
      </c>
      <c r="BU956" s="714"/>
      <c r="BV956" s="239"/>
      <c r="BW956" s="24"/>
      <c r="BY956" s="621">
        <v>948</v>
      </c>
      <c r="BZ956" s="711"/>
      <c r="CA956" s="712"/>
      <c r="CB956" s="713">
        <v>948</v>
      </c>
      <c r="CC956" s="714"/>
      <c r="CD956" s="239"/>
      <c r="CE956" s="24"/>
    </row>
    <row r="957" spans="5:83" ht="12" customHeight="1">
      <c r="E957" s="621">
        <v>949</v>
      </c>
      <c r="F957" s="711"/>
      <c r="G957" s="712"/>
      <c r="H957" s="713">
        <v>949</v>
      </c>
      <c r="I957" s="714"/>
      <c r="J957" s="239"/>
      <c r="K957" s="24"/>
      <c r="AI957" s="16" t="e">
        <f t="shared" si="125"/>
        <v>#N/A</v>
      </c>
      <c r="AJ957" s="16" t="str">
        <f t="shared" si="126"/>
        <v/>
      </c>
      <c r="AK957" s="16" t="str">
        <f t="shared" si="127"/>
        <v/>
      </c>
      <c r="AL957" s="16" t="e">
        <f>IF(AK957="",NA(),COUNTIF(AK$176:$AK957,AK957))</f>
        <v>#N/A</v>
      </c>
      <c r="AM957" s="16" t="e">
        <f t="shared" si="128"/>
        <v>#N/A</v>
      </c>
      <c r="AN957" s="16" t="e">
        <f t="shared" si="129"/>
        <v>#N/A</v>
      </c>
      <c r="AO957" s="16" t="str">
        <f t="shared" si="130"/>
        <v/>
      </c>
      <c r="AP957" s="16" t="str">
        <f t="shared" si="131"/>
        <v/>
      </c>
      <c r="AQ957" s="16" t="e">
        <f>IF(AP957="",NA(),COUNTIF(AP$176:$AP957,AP957))</f>
        <v>#N/A</v>
      </c>
      <c r="AR957" s="16" t="e">
        <f t="shared" si="132"/>
        <v>#N/A</v>
      </c>
      <c r="BI957" s="621">
        <v>949</v>
      </c>
      <c r="BJ957" s="711"/>
      <c r="BK957" s="712"/>
      <c r="BL957" s="713">
        <v>949</v>
      </c>
      <c r="BM957" s="714"/>
      <c r="BN957" s="239"/>
      <c r="BO957" s="24"/>
      <c r="BQ957" s="621">
        <v>949</v>
      </c>
      <c r="BR957" s="711"/>
      <c r="BS957" s="712"/>
      <c r="BT957" s="713">
        <v>949</v>
      </c>
      <c r="BU957" s="714"/>
      <c r="BV957" s="239"/>
      <c r="BW957" s="24"/>
      <c r="BY957" s="621">
        <v>949</v>
      </c>
      <c r="BZ957" s="711"/>
      <c r="CA957" s="712"/>
      <c r="CB957" s="713">
        <v>949</v>
      </c>
      <c r="CC957" s="714"/>
      <c r="CD957" s="239"/>
      <c r="CE957" s="24"/>
    </row>
    <row r="958" spans="5:83" ht="12" customHeight="1">
      <c r="E958" s="621">
        <v>950</v>
      </c>
      <c r="F958" s="711"/>
      <c r="G958" s="712"/>
      <c r="H958" s="713">
        <v>950</v>
      </c>
      <c r="I958" s="714"/>
      <c r="J958" s="239"/>
      <c r="K958" s="24"/>
      <c r="AI958" s="16" t="e">
        <f t="shared" si="125"/>
        <v>#N/A</v>
      </c>
      <c r="AJ958" s="16" t="str">
        <f t="shared" si="126"/>
        <v/>
      </c>
      <c r="AK958" s="16" t="str">
        <f t="shared" si="127"/>
        <v/>
      </c>
      <c r="AL958" s="16" t="e">
        <f>IF(AK958="",NA(),COUNTIF(AK$176:$AK958,AK958))</f>
        <v>#N/A</v>
      </c>
      <c r="AM958" s="16" t="e">
        <f t="shared" si="128"/>
        <v>#N/A</v>
      </c>
      <c r="AN958" s="16" t="e">
        <f t="shared" si="129"/>
        <v>#N/A</v>
      </c>
      <c r="AO958" s="16" t="str">
        <f t="shared" si="130"/>
        <v/>
      </c>
      <c r="AP958" s="16" t="str">
        <f t="shared" si="131"/>
        <v/>
      </c>
      <c r="AQ958" s="16" t="e">
        <f>IF(AP958="",NA(),COUNTIF(AP$176:$AP958,AP958))</f>
        <v>#N/A</v>
      </c>
      <c r="AR958" s="16" t="e">
        <f t="shared" si="132"/>
        <v>#N/A</v>
      </c>
      <c r="BI958" s="621">
        <v>950</v>
      </c>
      <c r="BJ958" s="711"/>
      <c r="BK958" s="712"/>
      <c r="BL958" s="713">
        <v>950</v>
      </c>
      <c r="BM958" s="714"/>
      <c r="BN958" s="239"/>
      <c r="BO958" s="24"/>
      <c r="BQ958" s="621">
        <v>950</v>
      </c>
      <c r="BR958" s="711"/>
      <c r="BS958" s="712"/>
      <c r="BT958" s="713">
        <v>950</v>
      </c>
      <c r="BU958" s="714"/>
      <c r="BV958" s="239"/>
      <c r="BW958" s="24"/>
      <c r="BY958" s="621">
        <v>950</v>
      </c>
      <c r="BZ958" s="711"/>
      <c r="CA958" s="712"/>
      <c r="CB958" s="713">
        <v>950</v>
      </c>
      <c r="CC958" s="714"/>
      <c r="CD958" s="239"/>
      <c r="CE958" s="24"/>
    </row>
    <row r="959" spans="5:83" ht="12" customHeight="1">
      <c r="E959" s="621">
        <v>951</v>
      </c>
      <c r="F959" s="711"/>
      <c r="G959" s="712"/>
      <c r="H959" s="713">
        <v>951</v>
      </c>
      <c r="I959" s="714"/>
      <c r="J959" s="239"/>
      <c r="K959" s="24"/>
      <c r="AI959" s="16" t="e">
        <f t="shared" si="125"/>
        <v>#N/A</v>
      </c>
      <c r="AJ959" s="16" t="str">
        <f t="shared" si="126"/>
        <v/>
      </c>
      <c r="AK959" s="16" t="str">
        <f t="shared" si="127"/>
        <v/>
      </c>
      <c r="AL959" s="16" t="e">
        <f>IF(AK959="",NA(),COUNTIF(AK$176:$AK959,AK959))</f>
        <v>#N/A</v>
      </c>
      <c r="AM959" s="16" t="e">
        <f t="shared" si="128"/>
        <v>#N/A</v>
      </c>
      <c r="AN959" s="16" t="e">
        <f t="shared" si="129"/>
        <v>#N/A</v>
      </c>
      <c r="AO959" s="16" t="str">
        <f t="shared" si="130"/>
        <v/>
      </c>
      <c r="AP959" s="16" t="str">
        <f t="shared" si="131"/>
        <v/>
      </c>
      <c r="AQ959" s="16" t="e">
        <f>IF(AP959="",NA(),COUNTIF(AP$176:$AP959,AP959))</f>
        <v>#N/A</v>
      </c>
      <c r="AR959" s="16" t="e">
        <f t="shared" si="132"/>
        <v>#N/A</v>
      </c>
      <c r="BI959" s="621">
        <v>951</v>
      </c>
      <c r="BJ959" s="711"/>
      <c r="BK959" s="712"/>
      <c r="BL959" s="713">
        <v>951</v>
      </c>
      <c r="BM959" s="714"/>
      <c r="BN959" s="239"/>
      <c r="BO959" s="24"/>
      <c r="BQ959" s="621">
        <v>951</v>
      </c>
      <c r="BR959" s="711"/>
      <c r="BS959" s="712"/>
      <c r="BT959" s="713">
        <v>951</v>
      </c>
      <c r="BU959" s="714"/>
      <c r="BV959" s="239"/>
      <c r="BW959" s="24"/>
      <c r="BY959" s="621">
        <v>951</v>
      </c>
      <c r="BZ959" s="711"/>
      <c r="CA959" s="712"/>
      <c r="CB959" s="713">
        <v>951</v>
      </c>
      <c r="CC959" s="714"/>
      <c r="CD959" s="239"/>
      <c r="CE959" s="24"/>
    </row>
    <row r="960" spans="5:83" ht="12" customHeight="1">
      <c r="E960" s="621">
        <v>952</v>
      </c>
      <c r="F960" s="711"/>
      <c r="G960" s="712"/>
      <c r="H960" s="713">
        <v>952</v>
      </c>
      <c r="I960" s="714"/>
      <c r="J960" s="239"/>
      <c r="K960" s="24"/>
      <c r="AI960" s="16" t="e">
        <f t="shared" si="125"/>
        <v>#N/A</v>
      </c>
      <c r="AJ960" s="16" t="str">
        <f t="shared" si="126"/>
        <v/>
      </c>
      <c r="AK960" s="16" t="str">
        <f t="shared" si="127"/>
        <v/>
      </c>
      <c r="AL960" s="16" t="e">
        <f>IF(AK960="",NA(),COUNTIF(AK$176:$AK960,AK960))</f>
        <v>#N/A</v>
      </c>
      <c r="AM960" s="16" t="e">
        <f t="shared" si="128"/>
        <v>#N/A</v>
      </c>
      <c r="AN960" s="16" t="e">
        <f t="shared" si="129"/>
        <v>#N/A</v>
      </c>
      <c r="AO960" s="16" t="str">
        <f t="shared" si="130"/>
        <v/>
      </c>
      <c r="AP960" s="16" t="str">
        <f t="shared" si="131"/>
        <v/>
      </c>
      <c r="AQ960" s="16" t="e">
        <f>IF(AP960="",NA(),COUNTIF(AP$176:$AP960,AP960))</f>
        <v>#N/A</v>
      </c>
      <c r="AR960" s="16" t="e">
        <f t="shared" si="132"/>
        <v>#N/A</v>
      </c>
      <c r="BI960" s="621">
        <v>952</v>
      </c>
      <c r="BJ960" s="711"/>
      <c r="BK960" s="712"/>
      <c r="BL960" s="713">
        <v>952</v>
      </c>
      <c r="BM960" s="714"/>
      <c r="BN960" s="239"/>
      <c r="BO960" s="24"/>
      <c r="BQ960" s="621">
        <v>952</v>
      </c>
      <c r="BR960" s="711"/>
      <c r="BS960" s="712"/>
      <c r="BT960" s="713">
        <v>952</v>
      </c>
      <c r="BU960" s="714"/>
      <c r="BV960" s="239"/>
      <c r="BW960" s="24"/>
      <c r="BY960" s="621">
        <v>952</v>
      </c>
      <c r="BZ960" s="711"/>
      <c r="CA960" s="712"/>
      <c r="CB960" s="713">
        <v>952</v>
      </c>
      <c r="CC960" s="714"/>
      <c r="CD960" s="239"/>
      <c r="CE960" s="24"/>
    </row>
    <row r="961" spans="5:83" ht="12" customHeight="1">
      <c r="E961" s="621">
        <v>953</v>
      </c>
      <c r="F961" s="711"/>
      <c r="G961" s="712"/>
      <c r="H961" s="713">
        <v>953</v>
      </c>
      <c r="I961" s="714"/>
      <c r="J961" s="239"/>
      <c r="K961" s="24"/>
      <c r="AI961" s="16" t="e">
        <f t="shared" si="125"/>
        <v>#N/A</v>
      </c>
      <c r="AJ961" s="16" t="str">
        <f t="shared" si="126"/>
        <v/>
      </c>
      <c r="AK961" s="16" t="str">
        <f t="shared" si="127"/>
        <v/>
      </c>
      <c r="AL961" s="16" t="e">
        <f>IF(AK961="",NA(),COUNTIF(AK$176:$AK961,AK961))</f>
        <v>#N/A</v>
      </c>
      <c r="AM961" s="16" t="e">
        <f t="shared" si="128"/>
        <v>#N/A</v>
      </c>
      <c r="AN961" s="16" t="e">
        <f t="shared" si="129"/>
        <v>#N/A</v>
      </c>
      <c r="AO961" s="16" t="str">
        <f t="shared" si="130"/>
        <v/>
      </c>
      <c r="AP961" s="16" t="str">
        <f t="shared" si="131"/>
        <v/>
      </c>
      <c r="AQ961" s="16" t="e">
        <f>IF(AP961="",NA(),COUNTIF(AP$176:$AP961,AP961))</f>
        <v>#N/A</v>
      </c>
      <c r="AR961" s="16" t="e">
        <f t="shared" si="132"/>
        <v>#N/A</v>
      </c>
      <c r="BI961" s="621">
        <v>953</v>
      </c>
      <c r="BJ961" s="711"/>
      <c r="BK961" s="712"/>
      <c r="BL961" s="713">
        <v>953</v>
      </c>
      <c r="BM961" s="714"/>
      <c r="BN961" s="239"/>
      <c r="BO961" s="24"/>
      <c r="BQ961" s="621">
        <v>953</v>
      </c>
      <c r="BR961" s="711"/>
      <c r="BS961" s="712"/>
      <c r="BT961" s="713">
        <v>953</v>
      </c>
      <c r="BU961" s="714"/>
      <c r="BV961" s="239"/>
      <c r="BW961" s="24"/>
      <c r="BY961" s="621">
        <v>953</v>
      </c>
      <c r="BZ961" s="711"/>
      <c r="CA961" s="712"/>
      <c r="CB961" s="713">
        <v>953</v>
      </c>
      <c r="CC961" s="714"/>
      <c r="CD961" s="239"/>
      <c r="CE961" s="24"/>
    </row>
    <row r="962" spans="5:83" ht="12" customHeight="1">
      <c r="E962" s="621">
        <v>954</v>
      </c>
      <c r="F962" s="711"/>
      <c r="G962" s="712"/>
      <c r="H962" s="713">
        <v>954</v>
      </c>
      <c r="I962" s="714"/>
      <c r="J962" s="239"/>
      <c r="K962" s="24"/>
      <c r="AI962" s="16" t="e">
        <f t="shared" si="125"/>
        <v>#N/A</v>
      </c>
      <c r="AJ962" s="16" t="str">
        <f t="shared" si="126"/>
        <v/>
      </c>
      <c r="AK962" s="16" t="str">
        <f t="shared" si="127"/>
        <v/>
      </c>
      <c r="AL962" s="16" t="e">
        <f>IF(AK962="",NA(),COUNTIF(AK$176:$AK962,AK962))</f>
        <v>#N/A</v>
      </c>
      <c r="AM962" s="16" t="e">
        <f t="shared" si="128"/>
        <v>#N/A</v>
      </c>
      <c r="AN962" s="16" t="e">
        <f t="shared" si="129"/>
        <v>#N/A</v>
      </c>
      <c r="AO962" s="16" t="str">
        <f t="shared" si="130"/>
        <v/>
      </c>
      <c r="AP962" s="16" t="str">
        <f t="shared" si="131"/>
        <v/>
      </c>
      <c r="AQ962" s="16" t="e">
        <f>IF(AP962="",NA(),COUNTIF(AP$176:$AP962,AP962))</f>
        <v>#N/A</v>
      </c>
      <c r="AR962" s="16" t="e">
        <f t="shared" si="132"/>
        <v>#N/A</v>
      </c>
      <c r="BI962" s="621">
        <v>954</v>
      </c>
      <c r="BJ962" s="711"/>
      <c r="BK962" s="712"/>
      <c r="BL962" s="713">
        <v>954</v>
      </c>
      <c r="BM962" s="714"/>
      <c r="BN962" s="239"/>
      <c r="BO962" s="24"/>
      <c r="BQ962" s="621">
        <v>954</v>
      </c>
      <c r="BR962" s="711"/>
      <c r="BS962" s="712"/>
      <c r="BT962" s="713">
        <v>954</v>
      </c>
      <c r="BU962" s="714"/>
      <c r="BV962" s="239"/>
      <c r="BW962" s="24"/>
      <c r="BY962" s="621">
        <v>954</v>
      </c>
      <c r="BZ962" s="711"/>
      <c r="CA962" s="712"/>
      <c r="CB962" s="713">
        <v>954</v>
      </c>
      <c r="CC962" s="714"/>
      <c r="CD962" s="239"/>
      <c r="CE962" s="24"/>
    </row>
    <row r="963" spans="5:83" ht="12" customHeight="1">
      <c r="E963" s="621">
        <v>955</v>
      </c>
      <c r="F963" s="711"/>
      <c r="G963" s="712"/>
      <c r="H963" s="713">
        <v>955</v>
      </c>
      <c r="I963" s="714"/>
      <c r="J963" s="239"/>
      <c r="K963" s="24"/>
      <c r="AI963" s="16" t="e">
        <f t="shared" si="125"/>
        <v>#N/A</v>
      </c>
      <c r="AJ963" s="16" t="str">
        <f t="shared" si="126"/>
        <v/>
      </c>
      <c r="AK963" s="16" t="str">
        <f t="shared" si="127"/>
        <v/>
      </c>
      <c r="AL963" s="16" t="e">
        <f>IF(AK963="",NA(),COUNTIF(AK$176:$AK963,AK963))</f>
        <v>#N/A</v>
      </c>
      <c r="AM963" s="16" t="e">
        <f t="shared" si="128"/>
        <v>#N/A</v>
      </c>
      <c r="AN963" s="16" t="e">
        <f t="shared" si="129"/>
        <v>#N/A</v>
      </c>
      <c r="AO963" s="16" t="str">
        <f t="shared" si="130"/>
        <v/>
      </c>
      <c r="AP963" s="16" t="str">
        <f t="shared" si="131"/>
        <v/>
      </c>
      <c r="AQ963" s="16" t="e">
        <f>IF(AP963="",NA(),COUNTIF(AP$176:$AP963,AP963))</f>
        <v>#N/A</v>
      </c>
      <c r="AR963" s="16" t="e">
        <f t="shared" si="132"/>
        <v>#N/A</v>
      </c>
      <c r="BI963" s="621">
        <v>955</v>
      </c>
      <c r="BJ963" s="711"/>
      <c r="BK963" s="712"/>
      <c r="BL963" s="713">
        <v>955</v>
      </c>
      <c r="BM963" s="714"/>
      <c r="BN963" s="239"/>
      <c r="BO963" s="24"/>
      <c r="BQ963" s="621">
        <v>955</v>
      </c>
      <c r="BR963" s="711"/>
      <c r="BS963" s="712"/>
      <c r="BT963" s="713">
        <v>955</v>
      </c>
      <c r="BU963" s="714"/>
      <c r="BV963" s="239"/>
      <c r="BW963" s="24"/>
      <c r="BY963" s="621">
        <v>955</v>
      </c>
      <c r="BZ963" s="711"/>
      <c r="CA963" s="712"/>
      <c r="CB963" s="713">
        <v>955</v>
      </c>
      <c r="CC963" s="714"/>
      <c r="CD963" s="239"/>
      <c r="CE963" s="24"/>
    </row>
    <row r="964" spans="5:83" ht="12" customHeight="1">
      <c r="E964" s="621">
        <v>956</v>
      </c>
      <c r="F964" s="711"/>
      <c r="G964" s="712"/>
      <c r="H964" s="713">
        <v>956</v>
      </c>
      <c r="I964" s="714"/>
      <c r="J964" s="239"/>
      <c r="K964" s="24"/>
      <c r="AI964" s="16" t="e">
        <f t="shared" si="125"/>
        <v>#N/A</v>
      </c>
      <c r="AJ964" s="16" t="str">
        <f t="shared" si="126"/>
        <v/>
      </c>
      <c r="AK964" s="16" t="str">
        <f t="shared" si="127"/>
        <v/>
      </c>
      <c r="AL964" s="16" t="e">
        <f>IF(AK964="",NA(),COUNTIF(AK$176:$AK964,AK964))</f>
        <v>#N/A</v>
      </c>
      <c r="AM964" s="16" t="e">
        <f t="shared" si="128"/>
        <v>#N/A</v>
      </c>
      <c r="AN964" s="16" t="e">
        <f t="shared" si="129"/>
        <v>#N/A</v>
      </c>
      <c r="AO964" s="16" t="str">
        <f t="shared" si="130"/>
        <v/>
      </c>
      <c r="AP964" s="16" t="str">
        <f t="shared" si="131"/>
        <v/>
      </c>
      <c r="AQ964" s="16" t="e">
        <f>IF(AP964="",NA(),COUNTIF(AP$176:$AP964,AP964))</f>
        <v>#N/A</v>
      </c>
      <c r="AR964" s="16" t="e">
        <f t="shared" si="132"/>
        <v>#N/A</v>
      </c>
      <c r="BI964" s="621">
        <v>956</v>
      </c>
      <c r="BJ964" s="711"/>
      <c r="BK964" s="712"/>
      <c r="BL964" s="713">
        <v>956</v>
      </c>
      <c r="BM964" s="714"/>
      <c r="BN964" s="239"/>
      <c r="BO964" s="24"/>
      <c r="BQ964" s="621">
        <v>956</v>
      </c>
      <c r="BR964" s="711"/>
      <c r="BS964" s="712"/>
      <c r="BT964" s="713">
        <v>956</v>
      </c>
      <c r="BU964" s="714"/>
      <c r="BV964" s="239"/>
      <c r="BW964" s="24"/>
      <c r="BY964" s="621">
        <v>956</v>
      </c>
      <c r="BZ964" s="711"/>
      <c r="CA964" s="712"/>
      <c r="CB964" s="713">
        <v>956</v>
      </c>
      <c r="CC964" s="714"/>
      <c r="CD964" s="239"/>
      <c r="CE964" s="24"/>
    </row>
    <row r="965" spans="5:83" ht="12" customHeight="1">
      <c r="E965" s="621">
        <v>957</v>
      </c>
      <c r="F965" s="711"/>
      <c r="G965" s="712"/>
      <c r="H965" s="713">
        <v>957</v>
      </c>
      <c r="I965" s="714"/>
      <c r="J965" s="239"/>
      <c r="K965" s="24"/>
      <c r="AI965" s="16" t="e">
        <f t="shared" si="125"/>
        <v>#N/A</v>
      </c>
      <c r="AJ965" s="16" t="str">
        <f t="shared" si="126"/>
        <v/>
      </c>
      <c r="AK965" s="16" t="str">
        <f t="shared" si="127"/>
        <v/>
      </c>
      <c r="AL965" s="16" t="e">
        <f>IF(AK965="",NA(),COUNTIF(AK$176:$AK965,AK965))</f>
        <v>#N/A</v>
      </c>
      <c r="AM965" s="16" t="e">
        <f t="shared" si="128"/>
        <v>#N/A</v>
      </c>
      <c r="AN965" s="16" t="e">
        <f t="shared" si="129"/>
        <v>#N/A</v>
      </c>
      <c r="AO965" s="16" t="str">
        <f t="shared" si="130"/>
        <v/>
      </c>
      <c r="AP965" s="16" t="str">
        <f t="shared" si="131"/>
        <v/>
      </c>
      <c r="AQ965" s="16" t="e">
        <f>IF(AP965="",NA(),COUNTIF(AP$176:$AP965,AP965))</f>
        <v>#N/A</v>
      </c>
      <c r="AR965" s="16" t="e">
        <f t="shared" si="132"/>
        <v>#N/A</v>
      </c>
      <c r="BI965" s="621">
        <v>957</v>
      </c>
      <c r="BJ965" s="711"/>
      <c r="BK965" s="712"/>
      <c r="BL965" s="713">
        <v>957</v>
      </c>
      <c r="BM965" s="714"/>
      <c r="BN965" s="239"/>
      <c r="BO965" s="24"/>
      <c r="BQ965" s="621">
        <v>957</v>
      </c>
      <c r="BR965" s="711"/>
      <c r="BS965" s="712"/>
      <c r="BT965" s="713">
        <v>957</v>
      </c>
      <c r="BU965" s="714"/>
      <c r="BV965" s="239"/>
      <c r="BW965" s="24"/>
      <c r="BY965" s="621">
        <v>957</v>
      </c>
      <c r="BZ965" s="711"/>
      <c r="CA965" s="712"/>
      <c r="CB965" s="713">
        <v>957</v>
      </c>
      <c r="CC965" s="714"/>
      <c r="CD965" s="239"/>
      <c r="CE965" s="24"/>
    </row>
    <row r="966" spans="5:83" ht="12" customHeight="1">
      <c r="E966" s="621">
        <v>958</v>
      </c>
      <c r="F966" s="711"/>
      <c r="G966" s="712"/>
      <c r="H966" s="713">
        <v>958</v>
      </c>
      <c r="I966" s="714"/>
      <c r="J966" s="239"/>
      <c r="K966" s="24"/>
      <c r="AI966" s="16" t="e">
        <f t="shared" si="125"/>
        <v>#N/A</v>
      </c>
      <c r="AJ966" s="16" t="str">
        <f t="shared" si="126"/>
        <v/>
      </c>
      <c r="AK966" s="16" t="str">
        <f t="shared" si="127"/>
        <v/>
      </c>
      <c r="AL966" s="16" t="e">
        <f>IF(AK966="",NA(),COUNTIF(AK$176:$AK966,AK966))</f>
        <v>#N/A</v>
      </c>
      <c r="AM966" s="16" t="e">
        <f t="shared" si="128"/>
        <v>#N/A</v>
      </c>
      <c r="AN966" s="16" t="e">
        <f t="shared" si="129"/>
        <v>#N/A</v>
      </c>
      <c r="AO966" s="16" t="str">
        <f t="shared" si="130"/>
        <v/>
      </c>
      <c r="AP966" s="16" t="str">
        <f t="shared" si="131"/>
        <v/>
      </c>
      <c r="AQ966" s="16" t="e">
        <f>IF(AP966="",NA(),COUNTIF(AP$176:$AP966,AP966))</f>
        <v>#N/A</v>
      </c>
      <c r="AR966" s="16" t="e">
        <f t="shared" si="132"/>
        <v>#N/A</v>
      </c>
      <c r="BI966" s="621">
        <v>958</v>
      </c>
      <c r="BJ966" s="711"/>
      <c r="BK966" s="712"/>
      <c r="BL966" s="713">
        <v>958</v>
      </c>
      <c r="BM966" s="714"/>
      <c r="BN966" s="239"/>
      <c r="BO966" s="24"/>
      <c r="BQ966" s="621">
        <v>958</v>
      </c>
      <c r="BR966" s="711"/>
      <c r="BS966" s="712"/>
      <c r="BT966" s="713">
        <v>958</v>
      </c>
      <c r="BU966" s="714"/>
      <c r="BV966" s="239"/>
      <c r="BW966" s="24"/>
      <c r="BY966" s="621">
        <v>958</v>
      </c>
      <c r="BZ966" s="711"/>
      <c r="CA966" s="712"/>
      <c r="CB966" s="713">
        <v>958</v>
      </c>
      <c r="CC966" s="714"/>
      <c r="CD966" s="239"/>
      <c r="CE966" s="24"/>
    </row>
    <row r="967" spans="5:83" ht="12" customHeight="1">
      <c r="E967" s="621">
        <v>959</v>
      </c>
      <c r="F967" s="711"/>
      <c r="G967" s="712"/>
      <c r="H967" s="713">
        <v>959</v>
      </c>
      <c r="I967" s="714"/>
      <c r="J967" s="239"/>
      <c r="K967" s="24"/>
      <c r="AI967" s="16" t="e">
        <f t="shared" si="125"/>
        <v>#N/A</v>
      </c>
      <c r="AJ967" s="16" t="str">
        <f t="shared" si="126"/>
        <v/>
      </c>
      <c r="AK967" s="16" t="str">
        <f t="shared" si="127"/>
        <v/>
      </c>
      <c r="AL967" s="16" t="e">
        <f>IF(AK967="",NA(),COUNTIF(AK$176:$AK967,AK967))</f>
        <v>#N/A</v>
      </c>
      <c r="AM967" s="16" t="e">
        <f t="shared" si="128"/>
        <v>#N/A</v>
      </c>
      <c r="AN967" s="16" t="e">
        <f t="shared" si="129"/>
        <v>#N/A</v>
      </c>
      <c r="AO967" s="16" t="str">
        <f t="shared" si="130"/>
        <v/>
      </c>
      <c r="AP967" s="16" t="str">
        <f t="shared" si="131"/>
        <v/>
      </c>
      <c r="AQ967" s="16" t="e">
        <f>IF(AP967="",NA(),COUNTIF(AP$176:$AP967,AP967))</f>
        <v>#N/A</v>
      </c>
      <c r="AR967" s="16" t="e">
        <f t="shared" si="132"/>
        <v>#N/A</v>
      </c>
      <c r="BI967" s="621">
        <v>959</v>
      </c>
      <c r="BJ967" s="711"/>
      <c r="BK967" s="712"/>
      <c r="BL967" s="713">
        <v>959</v>
      </c>
      <c r="BM967" s="714"/>
      <c r="BN967" s="239"/>
      <c r="BO967" s="24"/>
      <c r="BQ967" s="621">
        <v>959</v>
      </c>
      <c r="BR967" s="711"/>
      <c r="BS967" s="712"/>
      <c r="BT967" s="713">
        <v>959</v>
      </c>
      <c r="BU967" s="714"/>
      <c r="BV967" s="239"/>
      <c r="BW967" s="24"/>
      <c r="BY967" s="621">
        <v>959</v>
      </c>
      <c r="BZ967" s="711"/>
      <c r="CA967" s="712"/>
      <c r="CB967" s="713">
        <v>959</v>
      </c>
      <c r="CC967" s="714"/>
      <c r="CD967" s="239"/>
      <c r="CE967" s="24"/>
    </row>
    <row r="968" spans="5:83" ht="12" customHeight="1">
      <c r="E968" s="621">
        <v>960</v>
      </c>
      <c r="F968" s="711"/>
      <c r="G968" s="712"/>
      <c r="H968" s="713">
        <v>960</v>
      </c>
      <c r="I968" s="714"/>
      <c r="J968" s="239"/>
      <c r="K968" s="24"/>
      <c r="AI968" s="16" t="e">
        <f t="shared" si="125"/>
        <v>#N/A</v>
      </c>
      <c r="AJ968" s="16" t="str">
        <f t="shared" si="126"/>
        <v/>
      </c>
      <c r="AK968" s="16" t="str">
        <f t="shared" si="127"/>
        <v/>
      </c>
      <c r="AL968" s="16" t="e">
        <f>IF(AK968="",NA(),COUNTIF(AK$176:$AK968,AK968))</f>
        <v>#N/A</v>
      </c>
      <c r="AM968" s="16" t="e">
        <f t="shared" si="128"/>
        <v>#N/A</v>
      </c>
      <c r="AN968" s="16" t="e">
        <f t="shared" si="129"/>
        <v>#N/A</v>
      </c>
      <c r="AO968" s="16" t="str">
        <f t="shared" si="130"/>
        <v/>
      </c>
      <c r="AP968" s="16" t="str">
        <f t="shared" si="131"/>
        <v/>
      </c>
      <c r="AQ968" s="16" t="e">
        <f>IF(AP968="",NA(),COUNTIF(AP$176:$AP968,AP968))</f>
        <v>#N/A</v>
      </c>
      <c r="AR968" s="16" t="e">
        <f t="shared" si="132"/>
        <v>#N/A</v>
      </c>
      <c r="BI968" s="621">
        <v>960</v>
      </c>
      <c r="BJ968" s="711"/>
      <c r="BK968" s="712"/>
      <c r="BL968" s="713">
        <v>960</v>
      </c>
      <c r="BM968" s="714"/>
      <c r="BN968" s="239"/>
      <c r="BO968" s="24"/>
      <c r="BQ968" s="621">
        <v>960</v>
      </c>
      <c r="BR968" s="711"/>
      <c r="BS968" s="712"/>
      <c r="BT968" s="713">
        <v>960</v>
      </c>
      <c r="BU968" s="714"/>
      <c r="BV968" s="239"/>
      <c r="BW968" s="24"/>
      <c r="BY968" s="621">
        <v>960</v>
      </c>
      <c r="BZ968" s="711"/>
      <c r="CA968" s="712"/>
      <c r="CB968" s="713">
        <v>960</v>
      </c>
      <c r="CC968" s="714"/>
      <c r="CD968" s="239"/>
      <c r="CE968" s="24"/>
    </row>
    <row r="969" spans="5:83" ht="12" customHeight="1">
      <c r="E969" s="621">
        <v>961</v>
      </c>
      <c r="F969" s="711"/>
      <c r="G969" s="712"/>
      <c r="H969" s="713">
        <v>961</v>
      </c>
      <c r="I969" s="714"/>
      <c r="J969" s="239"/>
      <c r="K969" s="24"/>
      <c r="AI969" s="16" t="e">
        <f t="shared" si="125"/>
        <v>#N/A</v>
      </c>
      <c r="AJ969" s="16" t="str">
        <f t="shared" si="126"/>
        <v/>
      </c>
      <c r="AK969" s="16" t="str">
        <f t="shared" si="127"/>
        <v/>
      </c>
      <c r="AL969" s="16" t="e">
        <f>IF(AK969="",NA(),COUNTIF(AK$176:$AK969,AK969))</f>
        <v>#N/A</v>
      </c>
      <c r="AM969" s="16" t="e">
        <f t="shared" si="128"/>
        <v>#N/A</v>
      </c>
      <c r="AN969" s="16" t="e">
        <f t="shared" si="129"/>
        <v>#N/A</v>
      </c>
      <c r="AO969" s="16" t="str">
        <f t="shared" si="130"/>
        <v/>
      </c>
      <c r="AP969" s="16" t="str">
        <f t="shared" si="131"/>
        <v/>
      </c>
      <c r="AQ969" s="16" t="e">
        <f>IF(AP969="",NA(),COUNTIF(AP$176:$AP969,AP969))</f>
        <v>#N/A</v>
      </c>
      <c r="AR969" s="16" t="e">
        <f t="shared" si="132"/>
        <v>#N/A</v>
      </c>
      <c r="BI969" s="621">
        <v>961</v>
      </c>
      <c r="BJ969" s="711"/>
      <c r="BK969" s="712"/>
      <c r="BL969" s="713">
        <v>961</v>
      </c>
      <c r="BM969" s="714"/>
      <c r="BN969" s="239"/>
      <c r="BO969" s="24"/>
      <c r="BQ969" s="621">
        <v>961</v>
      </c>
      <c r="BR969" s="711"/>
      <c r="BS969" s="712"/>
      <c r="BT969" s="713">
        <v>961</v>
      </c>
      <c r="BU969" s="714"/>
      <c r="BV969" s="239"/>
      <c r="BW969" s="24"/>
      <c r="BY969" s="621">
        <v>961</v>
      </c>
      <c r="BZ969" s="711"/>
      <c r="CA969" s="712"/>
      <c r="CB969" s="713">
        <v>961</v>
      </c>
      <c r="CC969" s="714"/>
      <c r="CD969" s="239"/>
      <c r="CE969" s="24"/>
    </row>
    <row r="970" spans="5:83" ht="12" customHeight="1">
      <c r="E970" s="621">
        <v>962</v>
      </c>
      <c r="F970" s="711"/>
      <c r="G970" s="712"/>
      <c r="H970" s="713">
        <v>962</v>
      </c>
      <c r="I970" s="714"/>
      <c r="J970" s="239"/>
      <c r="K970" s="24"/>
      <c r="AI970" s="16" t="e">
        <f t="shared" si="125"/>
        <v>#N/A</v>
      </c>
      <c r="AJ970" s="16" t="str">
        <f t="shared" si="126"/>
        <v/>
      </c>
      <c r="AK970" s="16" t="str">
        <f t="shared" si="127"/>
        <v/>
      </c>
      <c r="AL970" s="16" t="e">
        <f>IF(AK970="",NA(),COUNTIF(AK$176:$AK970,AK970))</f>
        <v>#N/A</v>
      </c>
      <c r="AM970" s="16" t="e">
        <f t="shared" si="128"/>
        <v>#N/A</v>
      </c>
      <c r="AN970" s="16" t="e">
        <f t="shared" si="129"/>
        <v>#N/A</v>
      </c>
      <c r="AO970" s="16" t="str">
        <f t="shared" si="130"/>
        <v/>
      </c>
      <c r="AP970" s="16" t="str">
        <f t="shared" si="131"/>
        <v/>
      </c>
      <c r="AQ970" s="16" t="e">
        <f>IF(AP970="",NA(),COUNTIF(AP$176:$AP970,AP970))</f>
        <v>#N/A</v>
      </c>
      <c r="AR970" s="16" t="e">
        <f t="shared" si="132"/>
        <v>#N/A</v>
      </c>
      <c r="BI970" s="621">
        <v>962</v>
      </c>
      <c r="BJ970" s="711"/>
      <c r="BK970" s="712"/>
      <c r="BL970" s="713">
        <v>962</v>
      </c>
      <c r="BM970" s="714"/>
      <c r="BN970" s="239"/>
      <c r="BO970" s="24"/>
      <c r="BQ970" s="621">
        <v>962</v>
      </c>
      <c r="BR970" s="711"/>
      <c r="BS970" s="712"/>
      <c r="BT970" s="713">
        <v>962</v>
      </c>
      <c r="BU970" s="714"/>
      <c r="BV970" s="239"/>
      <c r="BW970" s="24"/>
      <c r="BY970" s="621">
        <v>962</v>
      </c>
      <c r="BZ970" s="711"/>
      <c r="CA970" s="712"/>
      <c r="CB970" s="713">
        <v>962</v>
      </c>
      <c r="CC970" s="714"/>
      <c r="CD970" s="239"/>
      <c r="CE970" s="24"/>
    </row>
    <row r="971" spans="5:83" ht="12" customHeight="1">
      <c r="E971" s="621">
        <v>963</v>
      </c>
      <c r="F971" s="711"/>
      <c r="G971" s="712"/>
      <c r="H971" s="713">
        <v>963</v>
      </c>
      <c r="I971" s="714"/>
      <c r="J971" s="239"/>
      <c r="K971" s="24"/>
      <c r="AI971" s="16" t="e">
        <f t="shared" si="125"/>
        <v>#N/A</v>
      </c>
      <c r="AJ971" s="16" t="str">
        <f t="shared" si="126"/>
        <v/>
      </c>
      <c r="AK971" s="16" t="str">
        <f t="shared" si="127"/>
        <v/>
      </c>
      <c r="AL971" s="16" t="e">
        <f>IF(AK971="",NA(),COUNTIF(AK$176:$AK971,AK971))</f>
        <v>#N/A</v>
      </c>
      <c r="AM971" s="16" t="e">
        <f t="shared" si="128"/>
        <v>#N/A</v>
      </c>
      <c r="AN971" s="16" t="e">
        <f t="shared" si="129"/>
        <v>#N/A</v>
      </c>
      <c r="AO971" s="16" t="str">
        <f t="shared" si="130"/>
        <v/>
      </c>
      <c r="AP971" s="16" t="str">
        <f t="shared" si="131"/>
        <v/>
      </c>
      <c r="AQ971" s="16" t="e">
        <f>IF(AP971="",NA(),COUNTIF(AP$176:$AP971,AP971))</f>
        <v>#N/A</v>
      </c>
      <c r="AR971" s="16" t="e">
        <f t="shared" si="132"/>
        <v>#N/A</v>
      </c>
      <c r="BI971" s="621">
        <v>963</v>
      </c>
      <c r="BJ971" s="711"/>
      <c r="BK971" s="712"/>
      <c r="BL971" s="713">
        <v>963</v>
      </c>
      <c r="BM971" s="714"/>
      <c r="BN971" s="239"/>
      <c r="BO971" s="24"/>
      <c r="BQ971" s="621">
        <v>963</v>
      </c>
      <c r="BR971" s="711"/>
      <c r="BS971" s="712"/>
      <c r="BT971" s="713">
        <v>963</v>
      </c>
      <c r="BU971" s="714"/>
      <c r="BV971" s="239"/>
      <c r="BW971" s="24"/>
      <c r="BY971" s="621">
        <v>963</v>
      </c>
      <c r="BZ971" s="711"/>
      <c r="CA971" s="712"/>
      <c r="CB971" s="713">
        <v>963</v>
      </c>
      <c r="CC971" s="714"/>
      <c r="CD971" s="239"/>
      <c r="CE971" s="24"/>
    </row>
    <row r="972" spans="5:83" ht="12" customHeight="1">
      <c r="E972" s="621">
        <v>964</v>
      </c>
      <c r="F972" s="711"/>
      <c r="G972" s="712"/>
      <c r="H972" s="713">
        <v>964</v>
      </c>
      <c r="I972" s="714"/>
      <c r="J972" s="239"/>
      <c r="K972" s="24"/>
      <c r="AI972" s="16" t="e">
        <f t="shared" si="125"/>
        <v>#N/A</v>
      </c>
      <c r="AJ972" s="16" t="str">
        <f t="shared" si="126"/>
        <v/>
      </c>
      <c r="AK972" s="16" t="str">
        <f t="shared" si="127"/>
        <v/>
      </c>
      <c r="AL972" s="16" t="e">
        <f>IF(AK972="",NA(),COUNTIF(AK$176:$AK972,AK972))</f>
        <v>#N/A</v>
      </c>
      <c r="AM972" s="16" t="e">
        <f t="shared" si="128"/>
        <v>#N/A</v>
      </c>
      <c r="AN972" s="16" t="e">
        <f t="shared" si="129"/>
        <v>#N/A</v>
      </c>
      <c r="AO972" s="16" t="str">
        <f t="shared" si="130"/>
        <v/>
      </c>
      <c r="AP972" s="16" t="str">
        <f t="shared" si="131"/>
        <v/>
      </c>
      <c r="AQ972" s="16" t="e">
        <f>IF(AP972="",NA(),COUNTIF(AP$176:$AP972,AP972))</f>
        <v>#N/A</v>
      </c>
      <c r="AR972" s="16" t="e">
        <f t="shared" si="132"/>
        <v>#N/A</v>
      </c>
      <c r="BI972" s="621">
        <v>964</v>
      </c>
      <c r="BJ972" s="711"/>
      <c r="BK972" s="712"/>
      <c r="BL972" s="713">
        <v>964</v>
      </c>
      <c r="BM972" s="714"/>
      <c r="BN972" s="239"/>
      <c r="BO972" s="24"/>
      <c r="BQ972" s="621">
        <v>964</v>
      </c>
      <c r="BR972" s="711"/>
      <c r="BS972" s="712"/>
      <c r="BT972" s="713">
        <v>964</v>
      </c>
      <c r="BU972" s="714"/>
      <c r="BV972" s="239"/>
      <c r="BW972" s="24"/>
      <c r="BY972" s="621">
        <v>964</v>
      </c>
      <c r="BZ972" s="711"/>
      <c r="CA972" s="712"/>
      <c r="CB972" s="713">
        <v>964</v>
      </c>
      <c r="CC972" s="714"/>
      <c r="CD972" s="239"/>
      <c r="CE972" s="24"/>
    </row>
    <row r="973" spans="5:83" ht="12" customHeight="1">
      <c r="E973" s="621">
        <v>965</v>
      </c>
      <c r="F973" s="711"/>
      <c r="G973" s="712"/>
      <c r="H973" s="713">
        <v>965</v>
      </c>
      <c r="I973" s="714"/>
      <c r="J973" s="239"/>
      <c r="K973" s="24"/>
      <c r="AI973" s="16" t="e">
        <f t="shared" ref="AI973:AI1007" si="133">IF(AND($X$80,NOT(F905=""),$X$78),F905,NA())</f>
        <v>#N/A</v>
      </c>
      <c r="AJ973" s="16" t="str">
        <f t="shared" ref="AJ973:AJ1007" si="134">IF(AK973="","",IF($AU$79=0,AI973,AK973*$AU$79))</f>
        <v/>
      </c>
      <c r="AK973" s="16" t="str">
        <f t="shared" ref="AK973:AK1007" si="135">IF(ISNA(AI973),"",IF($AU$79=0,AI973,ROUND(AI973/$AU$79,0)))</f>
        <v/>
      </c>
      <c r="AL973" s="16" t="e">
        <f>IF(AK973="",NA(),COUNTIF(AK$176:$AK973,AK973))</f>
        <v>#N/A</v>
      </c>
      <c r="AM973" s="16" t="e">
        <f t="shared" ref="AM973:AM1007" si="136">(AL973-1)*$AU$82</f>
        <v>#N/A</v>
      </c>
      <c r="AN973" s="16" t="e">
        <f t="shared" ref="AN973:AN1007" si="137">IF(AND($X$80,NOT(I905=""),$X$79),I905,NA())</f>
        <v>#N/A</v>
      </c>
      <c r="AO973" s="16" t="str">
        <f t="shared" ref="AO973:AO1007" si="138">IF(AP973="","",IF($AU$79=0,AN973,AP973*$AU$79))</f>
        <v/>
      </c>
      <c r="AP973" s="16" t="str">
        <f t="shared" ref="AP973:AP1007" si="139">IF(ISNA(AN973),"",IF($AU$79=0,AN973,ROUND(AN973/$AU$79,0)))</f>
        <v/>
      </c>
      <c r="AQ973" s="16" t="e">
        <f>IF(AP973="",NA(),COUNTIF(AP$176:$AP973,AP973))</f>
        <v>#N/A</v>
      </c>
      <c r="AR973" s="16" t="e">
        <f t="shared" ref="AR973:AR1007" si="140">(AQ973-1)*$AU$82</f>
        <v>#N/A</v>
      </c>
      <c r="BI973" s="621">
        <v>965</v>
      </c>
      <c r="BJ973" s="711"/>
      <c r="BK973" s="712"/>
      <c r="BL973" s="713">
        <v>965</v>
      </c>
      <c r="BM973" s="714"/>
      <c r="BN973" s="239"/>
      <c r="BO973" s="24"/>
      <c r="BQ973" s="621">
        <v>965</v>
      </c>
      <c r="BR973" s="711"/>
      <c r="BS973" s="712"/>
      <c r="BT973" s="713">
        <v>965</v>
      </c>
      <c r="BU973" s="714"/>
      <c r="BV973" s="239"/>
      <c r="BW973" s="24"/>
      <c r="BY973" s="621">
        <v>965</v>
      </c>
      <c r="BZ973" s="711"/>
      <c r="CA973" s="712"/>
      <c r="CB973" s="713">
        <v>965</v>
      </c>
      <c r="CC973" s="714"/>
      <c r="CD973" s="239"/>
      <c r="CE973" s="24"/>
    </row>
    <row r="974" spans="5:83" ht="12" customHeight="1">
      <c r="E974" s="621">
        <v>966</v>
      </c>
      <c r="F974" s="711"/>
      <c r="G974" s="712"/>
      <c r="H974" s="713">
        <v>966</v>
      </c>
      <c r="I974" s="714"/>
      <c r="J974" s="239"/>
      <c r="K974" s="24"/>
      <c r="AI974" s="16" t="e">
        <f t="shared" si="133"/>
        <v>#N/A</v>
      </c>
      <c r="AJ974" s="16" t="str">
        <f t="shared" si="134"/>
        <v/>
      </c>
      <c r="AK974" s="16" t="str">
        <f t="shared" si="135"/>
        <v/>
      </c>
      <c r="AL974" s="16" t="e">
        <f>IF(AK974="",NA(),COUNTIF(AK$176:$AK974,AK974))</f>
        <v>#N/A</v>
      </c>
      <c r="AM974" s="16" t="e">
        <f t="shared" si="136"/>
        <v>#N/A</v>
      </c>
      <c r="AN974" s="16" t="e">
        <f t="shared" si="137"/>
        <v>#N/A</v>
      </c>
      <c r="AO974" s="16" t="str">
        <f t="shared" si="138"/>
        <v/>
      </c>
      <c r="AP974" s="16" t="str">
        <f t="shared" si="139"/>
        <v/>
      </c>
      <c r="AQ974" s="16" t="e">
        <f>IF(AP974="",NA(),COUNTIF(AP$176:$AP974,AP974))</f>
        <v>#N/A</v>
      </c>
      <c r="AR974" s="16" t="e">
        <f t="shared" si="140"/>
        <v>#N/A</v>
      </c>
      <c r="BI974" s="621">
        <v>966</v>
      </c>
      <c r="BJ974" s="711"/>
      <c r="BK974" s="712"/>
      <c r="BL974" s="713">
        <v>966</v>
      </c>
      <c r="BM974" s="714"/>
      <c r="BN974" s="239"/>
      <c r="BO974" s="24"/>
      <c r="BQ974" s="621">
        <v>966</v>
      </c>
      <c r="BR974" s="711"/>
      <c r="BS974" s="712"/>
      <c r="BT974" s="713">
        <v>966</v>
      </c>
      <c r="BU974" s="714"/>
      <c r="BV974" s="239"/>
      <c r="BW974" s="24"/>
      <c r="BY974" s="621">
        <v>966</v>
      </c>
      <c r="BZ974" s="711"/>
      <c r="CA974" s="712"/>
      <c r="CB974" s="713">
        <v>966</v>
      </c>
      <c r="CC974" s="714"/>
      <c r="CD974" s="239"/>
      <c r="CE974" s="24"/>
    </row>
    <row r="975" spans="5:83" ht="12" customHeight="1">
      <c r="E975" s="621">
        <v>967</v>
      </c>
      <c r="F975" s="711"/>
      <c r="G975" s="712"/>
      <c r="H975" s="713">
        <v>967</v>
      </c>
      <c r="I975" s="714"/>
      <c r="J975" s="239"/>
      <c r="K975" s="24"/>
      <c r="AI975" s="16" t="e">
        <f t="shared" si="133"/>
        <v>#N/A</v>
      </c>
      <c r="AJ975" s="16" t="str">
        <f t="shared" si="134"/>
        <v/>
      </c>
      <c r="AK975" s="16" t="str">
        <f t="shared" si="135"/>
        <v/>
      </c>
      <c r="AL975" s="16" t="e">
        <f>IF(AK975="",NA(),COUNTIF(AK$176:$AK975,AK975))</f>
        <v>#N/A</v>
      </c>
      <c r="AM975" s="16" t="e">
        <f t="shared" si="136"/>
        <v>#N/A</v>
      </c>
      <c r="AN975" s="16" t="e">
        <f t="shared" si="137"/>
        <v>#N/A</v>
      </c>
      <c r="AO975" s="16" t="str">
        <f t="shared" si="138"/>
        <v/>
      </c>
      <c r="AP975" s="16" t="str">
        <f t="shared" si="139"/>
        <v/>
      </c>
      <c r="AQ975" s="16" t="e">
        <f>IF(AP975="",NA(),COUNTIF(AP$176:$AP975,AP975))</f>
        <v>#N/A</v>
      </c>
      <c r="AR975" s="16" t="e">
        <f t="shared" si="140"/>
        <v>#N/A</v>
      </c>
      <c r="BI975" s="621">
        <v>967</v>
      </c>
      <c r="BJ975" s="711"/>
      <c r="BK975" s="712"/>
      <c r="BL975" s="713">
        <v>967</v>
      </c>
      <c r="BM975" s="714"/>
      <c r="BN975" s="239"/>
      <c r="BO975" s="24"/>
      <c r="BQ975" s="621">
        <v>967</v>
      </c>
      <c r="BR975" s="711"/>
      <c r="BS975" s="712"/>
      <c r="BT975" s="713">
        <v>967</v>
      </c>
      <c r="BU975" s="714"/>
      <c r="BV975" s="239"/>
      <c r="BW975" s="24"/>
      <c r="BY975" s="621">
        <v>967</v>
      </c>
      <c r="BZ975" s="711"/>
      <c r="CA975" s="712"/>
      <c r="CB975" s="713">
        <v>967</v>
      </c>
      <c r="CC975" s="714"/>
      <c r="CD975" s="239"/>
      <c r="CE975" s="24"/>
    </row>
    <row r="976" spans="5:83" ht="12" customHeight="1">
      <c r="E976" s="621">
        <v>968</v>
      </c>
      <c r="F976" s="711"/>
      <c r="G976" s="712"/>
      <c r="H976" s="713">
        <v>968</v>
      </c>
      <c r="I976" s="714"/>
      <c r="J976" s="239"/>
      <c r="K976" s="24"/>
      <c r="AI976" s="16" t="e">
        <f t="shared" si="133"/>
        <v>#N/A</v>
      </c>
      <c r="AJ976" s="16" t="str">
        <f t="shared" si="134"/>
        <v/>
      </c>
      <c r="AK976" s="16" t="str">
        <f t="shared" si="135"/>
        <v/>
      </c>
      <c r="AL976" s="16" t="e">
        <f>IF(AK976="",NA(),COUNTIF(AK$176:$AK976,AK976))</f>
        <v>#N/A</v>
      </c>
      <c r="AM976" s="16" t="e">
        <f t="shared" si="136"/>
        <v>#N/A</v>
      </c>
      <c r="AN976" s="16" t="e">
        <f t="shared" si="137"/>
        <v>#N/A</v>
      </c>
      <c r="AO976" s="16" t="str">
        <f t="shared" si="138"/>
        <v/>
      </c>
      <c r="AP976" s="16" t="str">
        <f t="shared" si="139"/>
        <v/>
      </c>
      <c r="AQ976" s="16" t="e">
        <f>IF(AP976="",NA(),COUNTIF(AP$176:$AP976,AP976))</f>
        <v>#N/A</v>
      </c>
      <c r="AR976" s="16" t="e">
        <f t="shared" si="140"/>
        <v>#N/A</v>
      </c>
      <c r="BI976" s="621">
        <v>968</v>
      </c>
      <c r="BJ976" s="711"/>
      <c r="BK976" s="712"/>
      <c r="BL976" s="713">
        <v>968</v>
      </c>
      <c r="BM976" s="714"/>
      <c r="BN976" s="239"/>
      <c r="BO976" s="24"/>
      <c r="BQ976" s="621">
        <v>968</v>
      </c>
      <c r="BR976" s="711"/>
      <c r="BS976" s="712"/>
      <c r="BT976" s="713">
        <v>968</v>
      </c>
      <c r="BU976" s="714"/>
      <c r="BV976" s="239"/>
      <c r="BW976" s="24"/>
      <c r="BY976" s="621">
        <v>968</v>
      </c>
      <c r="BZ976" s="711"/>
      <c r="CA976" s="712"/>
      <c r="CB976" s="713">
        <v>968</v>
      </c>
      <c r="CC976" s="714"/>
      <c r="CD976" s="239"/>
      <c r="CE976" s="24"/>
    </row>
    <row r="977" spans="5:83" ht="12" customHeight="1">
      <c r="E977" s="621">
        <v>969</v>
      </c>
      <c r="F977" s="711"/>
      <c r="G977" s="712"/>
      <c r="H977" s="713">
        <v>969</v>
      </c>
      <c r="I977" s="714"/>
      <c r="J977" s="239"/>
      <c r="K977" s="24"/>
      <c r="AI977" s="16" t="e">
        <f t="shared" si="133"/>
        <v>#N/A</v>
      </c>
      <c r="AJ977" s="16" t="str">
        <f t="shared" si="134"/>
        <v/>
      </c>
      <c r="AK977" s="16" t="str">
        <f t="shared" si="135"/>
        <v/>
      </c>
      <c r="AL977" s="16" t="e">
        <f>IF(AK977="",NA(),COUNTIF(AK$176:$AK977,AK977))</f>
        <v>#N/A</v>
      </c>
      <c r="AM977" s="16" t="e">
        <f t="shared" si="136"/>
        <v>#N/A</v>
      </c>
      <c r="AN977" s="16" t="e">
        <f t="shared" si="137"/>
        <v>#N/A</v>
      </c>
      <c r="AO977" s="16" t="str">
        <f t="shared" si="138"/>
        <v/>
      </c>
      <c r="AP977" s="16" t="str">
        <f t="shared" si="139"/>
        <v/>
      </c>
      <c r="AQ977" s="16" t="e">
        <f>IF(AP977="",NA(),COUNTIF(AP$176:$AP977,AP977))</f>
        <v>#N/A</v>
      </c>
      <c r="AR977" s="16" t="e">
        <f t="shared" si="140"/>
        <v>#N/A</v>
      </c>
      <c r="BI977" s="621">
        <v>969</v>
      </c>
      <c r="BJ977" s="711"/>
      <c r="BK977" s="712"/>
      <c r="BL977" s="713">
        <v>969</v>
      </c>
      <c r="BM977" s="714"/>
      <c r="BN977" s="239"/>
      <c r="BO977" s="24"/>
      <c r="BQ977" s="621">
        <v>969</v>
      </c>
      <c r="BR977" s="711"/>
      <c r="BS977" s="712"/>
      <c r="BT977" s="713">
        <v>969</v>
      </c>
      <c r="BU977" s="714"/>
      <c r="BV977" s="239"/>
      <c r="BW977" s="24"/>
      <c r="BY977" s="621">
        <v>969</v>
      </c>
      <c r="BZ977" s="711"/>
      <c r="CA977" s="712"/>
      <c r="CB977" s="713">
        <v>969</v>
      </c>
      <c r="CC977" s="714"/>
      <c r="CD977" s="239"/>
      <c r="CE977" s="24"/>
    </row>
    <row r="978" spans="5:83" ht="12" customHeight="1">
      <c r="E978" s="621">
        <v>970</v>
      </c>
      <c r="F978" s="711"/>
      <c r="G978" s="712"/>
      <c r="H978" s="713">
        <v>970</v>
      </c>
      <c r="I978" s="714"/>
      <c r="J978" s="239"/>
      <c r="K978" s="24"/>
      <c r="AI978" s="16" t="e">
        <f t="shared" si="133"/>
        <v>#N/A</v>
      </c>
      <c r="AJ978" s="16" t="str">
        <f t="shared" si="134"/>
        <v/>
      </c>
      <c r="AK978" s="16" t="str">
        <f t="shared" si="135"/>
        <v/>
      </c>
      <c r="AL978" s="16" t="e">
        <f>IF(AK978="",NA(),COUNTIF(AK$176:$AK978,AK978))</f>
        <v>#N/A</v>
      </c>
      <c r="AM978" s="16" t="e">
        <f t="shared" si="136"/>
        <v>#N/A</v>
      </c>
      <c r="AN978" s="16" t="e">
        <f t="shared" si="137"/>
        <v>#N/A</v>
      </c>
      <c r="AO978" s="16" t="str">
        <f t="shared" si="138"/>
        <v/>
      </c>
      <c r="AP978" s="16" t="str">
        <f t="shared" si="139"/>
        <v/>
      </c>
      <c r="AQ978" s="16" t="e">
        <f>IF(AP978="",NA(),COUNTIF(AP$176:$AP978,AP978))</f>
        <v>#N/A</v>
      </c>
      <c r="AR978" s="16" t="e">
        <f t="shared" si="140"/>
        <v>#N/A</v>
      </c>
      <c r="BI978" s="621">
        <v>970</v>
      </c>
      <c r="BJ978" s="711"/>
      <c r="BK978" s="712"/>
      <c r="BL978" s="713">
        <v>970</v>
      </c>
      <c r="BM978" s="714"/>
      <c r="BN978" s="239"/>
      <c r="BO978" s="24"/>
      <c r="BQ978" s="621">
        <v>970</v>
      </c>
      <c r="BR978" s="711"/>
      <c r="BS978" s="712"/>
      <c r="BT978" s="713">
        <v>970</v>
      </c>
      <c r="BU978" s="714"/>
      <c r="BV978" s="239"/>
      <c r="BW978" s="24"/>
      <c r="BY978" s="621">
        <v>970</v>
      </c>
      <c r="BZ978" s="711"/>
      <c r="CA978" s="712"/>
      <c r="CB978" s="713">
        <v>970</v>
      </c>
      <c r="CC978" s="714"/>
      <c r="CD978" s="239"/>
      <c r="CE978" s="24"/>
    </row>
    <row r="979" spans="5:83" ht="12" customHeight="1">
      <c r="E979" s="621">
        <v>971</v>
      </c>
      <c r="F979" s="711"/>
      <c r="G979" s="712"/>
      <c r="H979" s="713">
        <v>971</v>
      </c>
      <c r="I979" s="714"/>
      <c r="J979" s="239"/>
      <c r="K979" s="24"/>
      <c r="AI979" s="16" t="e">
        <f t="shared" si="133"/>
        <v>#N/A</v>
      </c>
      <c r="AJ979" s="16" t="str">
        <f t="shared" si="134"/>
        <v/>
      </c>
      <c r="AK979" s="16" t="str">
        <f t="shared" si="135"/>
        <v/>
      </c>
      <c r="AL979" s="16" t="e">
        <f>IF(AK979="",NA(),COUNTIF(AK$176:$AK979,AK979))</f>
        <v>#N/A</v>
      </c>
      <c r="AM979" s="16" t="e">
        <f t="shared" si="136"/>
        <v>#N/A</v>
      </c>
      <c r="AN979" s="16" t="e">
        <f t="shared" si="137"/>
        <v>#N/A</v>
      </c>
      <c r="AO979" s="16" t="str">
        <f t="shared" si="138"/>
        <v/>
      </c>
      <c r="AP979" s="16" t="str">
        <f t="shared" si="139"/>
        <v/>
      </c>
      <c r="AQ979" s="16" t="e">
        <f>IF(AP979="",NA(),COUNTIF(AP$176:$AP979,AP979))</f>
        <v>#N/A</v>
      </c>
      <c r="AR979" s="16" t="e">
        <f t="shared" si="140"/>
        <v>#N/A</v>
      </c>
      <c r="BI979" s="621">
        <v>971</v>
      </c>
      <c r="BJ979" s="711"/>
      <c r="BK979" s="712"/>
      <c r="BL979" s="713">
        <v>971</v>
      </c>
      <c r="BM979" s="714"/>
      <c r="BN979" s="239"/>
      <c r="BO979" s="24"/>
      <c r="BQ979" s="621">
        <v>971</v>
      </c>
      <c r="BR979" s="711"/>
      <c r="BS979" s="712"/>
      <c r="BT979" s="713">
        <v>971</v>
      </c>
      <c r="BU979" s="714"/>
      <c r="BV979" s="239"/>
      <c r="BW979" s="24"/>
      <c r="BY979" s="621">
        <v>971</v>
      </c>
      <c r="BZ979" s="711"/>
      <c r="CA979" s="712"/>
      <c r="CB979" s="713">
        <v>971</v>
      </c>
      <c r="CC979" s="714"/>
      <c r="CD979" s="239"/>
      <c r="CE979" s="24"/>
    </row>
    <row r="980" spans="5:83" ht="12" customHeight="1">
      <c r="E980" s="621">
        <v>972</v>
      </c>
      <c r="F980" s="711"/>
      <c r="G980" s="712"/>
      <c r="H980" s="713">
        <v>972</v>
      </c>
      <c r="I980" s="714"/>
      <c r="J980" s="239"/>
      <c r="K980" s="24"/>
      <c r="AI980" s="16" t="e">
        <f t="shared" si="133"/>
        <v>#N/A</v>
      </c>
      <c r="AJ980" s="16" t="str">
        <f t="shared" si="134"/>
        <v/>
      </c>
      <c r="AK980" s="16" t="str">
        <f t="shared" si="135"/>
        <v/>
      </c>
      <c r="AL980" s="16" t="e">
        <f>IF(AK980="",NA(),COUNTIF(AK$176:$AK980,AK980))</f>
        <v>#N/A</v>
      </c>
      <c r="AM980" s="16" t="e">
        <f t="shared" si="136"/>
        <v>#N/A</v>
      </c>
      <c r="AN980" s="16" t="e">
        <f t="shared" si="137"/>
        <v>#N/A</v>
      </c>
      <c r="AO980" s="16" t="str">
        <f t="shared" si="138"/>
        <v/>
      </c>
      <c r="AP980" s="16" t="str">
        <f t="shared" si="139"/>
        <v/>
      </c>
      <c r="AQ980" s="16" t="e">
        <f>IF(AP980="",NA(),COUNTIF(AP$176:$AP980,AP980))</f>
        <v>#N/A</v>
      </c>
      <c r="AR980" s="16" t="e">
        <f t="shared" si="140"/>
        <v>#N/A</v>
      </c>
      <c r="BI980" s="621">
        <v>972</v>
      </c>
      <c r="BJ980" s="711"/>
      <c r="BK980" s="712"/>
      <c r="BL980" s="713">
        <v>972</v>
      </c>
      <c r="BM980" s="714"/>
      <c r="BN980" s="239"/>
      <c r="BO980" s="24"/>
      <c r="BQ980" s="621">
        <v>972</v>
      </c>
      <c r="BR980" s="711"/>
      <c r="BS980" s="712"/>
      <c r="BT980" s="713">
        <v>972</v>
      </c>
      <c r="BU980" s="714"/>
      <c r="BV980" s="239"/>
      <c r="BW980" s="24"/>
      <c r="BY980" s="621">
        <v>972</v>
      </c>
      <c r="BZ980" s="711"/>
      <c r="CA980" s="712"/>
      <c r="CB980" s="713">
        <v>972</v>
      </c>
      <c r="CC980" s="714"/>
      <c r="CD980" s="239"/>
      <c r="CE980" s="24"/>
    </row>
    <row r="981" spans="5:83" ht="12" customHeight="1">
      <c r="E981" s="621">
        <v>973</v>
      </c>
      <c r="F981" s="711"/>
      <c r="G981" s="712"/>
      <c r="H981" s="713">
        <v>973</v>
      </c>
      <c r="I981" s="714"/>
      <c r="J981" s="239"/>
      <c r="K981" s="24"/>
      <c r="AI981" s="16" t="e">
        <f t="shared" si="133"/>
        <v>#N/A</v>
      </c>
      <c r="AJ981" s="16" t="str">
        <f t="shared" si="134"/>
        <v/>
      </c>
      <c r="AK981" s="16" t="str">
        <f t="shared" si="135"/>
        <v/>
      </c>
      <c r="AL981" s="16" t="e">
        <f>IF(AK981="",NA(),COUNTIF(AK$176:$AK981,AK981))</f>
        <v>#N/A</v>
      </c>
      <c r="AM981" s="16" t="e">
        <f t="shared" si="136"/>
        <v>#N/A</v>
      </c>
      <c r="AN981" s="16" t="e">
        <f t="shared" si="137"/>
        <v>#N/A</v>
      </c>
      <c r="AO981" s="16" t="str">
        <f t="shared" si="138"/>
        <v/>
      </c>
      <c r="AP981" s="16" t="str">
        <f t="shared" si="139"/>
        <v/>
      </c>
      <c r="AQ981" s="16" t="e">
        <f>IF(AP981="",NA(),COUNTIF(AP$176:$AP981,AP981))</f>
        <v>#N/A</v>
      </c>
      <c r="AR981" s="16" t="e">
        <f t="shared" si="140"/>
        <v>#N/A</v>
      </c>
      <c r="BI981" s="621">
        <v>973</v>
      </c>
      <c r="BJ981" s="711"/>
      <c r="BK981" s="712"/>
      <c r="BL981" s="713">
        <v>973</v>
      </c>
      <c r="BM981" s="714"/>
      <c r="BN981" s="239"/>
      <c r="BO981" s="24"/>
      <c r="BQ981" s="621">
        <v>973</v>
      </c>
      <c r="BR981" s="711"/>
      <c r="BS981" s="712"/>
      <c r="BT981" s="713">
        <v>973</v>
      </c>
      <c r="BU981" s="714"/>
      <c r="BV981" s="239"/>
      <c r="BW981" s="24"/>
      <c r="BY981" s="621">
        <v>973</v>
      </c>
      <c r="BZ981" s="711"/>
      <c r="CA981" s="712"/>
      <c r="CB981" s="713">
        <v>973</v>
      </c>
      <c r="CC981" s="714"/>
      <c r="CD981" s="239"/>
      <c r="CE981" s="24"/>
    </row>
    <row r="982" spans="5:83" ht="12" customHeight="1">
      <c r="E982" s="621">
        <v>974</v>
      </c>
      <c r="F982" s="711"/>
      <c r="G982" s="712"/>
      <c r="H982" s="713">
        <v>974</v>
      </c>
      <c r="I982" s="714"/>
      <c r="J982" s="239"/>
      <c r="K982" s="24"/>
      <c r="AI982" s="16" t="e">
        <f t="shared" si="133"/>
        <v>#N/A</v>
      </c>
      <c r="AJ982" s="16" t="str">
        <f t="shared" si="134"/>
        <v/>
      </c>
      <c r="AK982" s="16" t="str">
        <f t="shared" si="135"/>
        <v/>
      </c>
      <c r="AL982" s="16" t="e">
        <f>IF(AK982="",NA(),COUNTIF(AK$176:$AK982,AK982))</f>
        <v>#N/A</v>
      </c>
      <c r="AM982" s="16" t="e">
        <f t="shared" si="136"/>
        <v>#N/A</v>
      </c>
      <c r="AN982" s="16" t="e">
        <f t="shared" si="137"/>
        <v>#N/A</v>
      </c>
      <c r="AO982" s="16" t="str">
        <f t="shared" si="138"/>
        <v/>
      </c>
      <c r="AP982" s="16" t="str">
        <f t="shared" si="139"/>
        <v/>
      </c>
      <c r="AQ982" s="16" t="e">
        <f>IF(AP982="",NA(),COUNTIF(AP$176:$AP982,AP982))</f>
        <v>#N/A</v>
      </c>
      <c r="AR982" s="16" t="e">
        <f t="shared" si="140"/>
        <v>#N/A</v>
      </c>
      <c r="BI982" s="621">
        <v>974</v>
      </c>
      <c r="BJ982" s="711"/>
      <c r="BK982" s="712"/>
      <c r="BL982" s="713">
        <v>974</v>
      </c>
      <c r="BM982" s="714"/>
      <c r="BN982" s="239"/>
      <c r="BO982" s="24"/>
      <c r="BQ982" s="621">
        <v>974</v>
      </c>
      <c r="BR982" s="711"/>
      <c r="BS982" s="712"/>
      <c r="BT982" s="713">
        <v>974</v>
      </c>
      <c r="BU982" s="714"/>
      <c r="BV982" s="239"/>
      <c r="BW982" s="24"/>
      <c r="BY982" s="621">
        <v>974</v>
      </c>
      <c r="BZ982" s="711"/>
      <c r="CA982" s="712"/>
      <c r="CB982" s="713">
        <v>974</v>
      </c>
      <c r="CC982" s="714"/>
      <c r="CD982" s="239"/>
      <c r="CE982" s="24"/>
    </row>
    <row r="983" spans="5:83" ht="12" customHeight="1">
      <c r="E983" s="621">
        <v>975</v>
      </c>
      <c r="F983" s="711"/>
      <c r="G983" s="712"/>
      <c r="H983" s="713">
        <v>975</v>
      </c>
      <c r="I983" s="714"/>
      <c r="J983" s="239"/>
      <c r="K983" s="24"/>
      <c r="AI983" s="16" t="e">
        <f t="shared" si="133"/>
        <v>#N/A</v>
      </c>
      <c r="AJ983" s="16" t="str">
        <f t="shared" si="134"/>
        <v/>
      </c>
      <c r="AK983" s="16" t="str">
        <f t="shared" si="135"/>
        <v/>
      </c>
      <c r="AL983" s="16" t="e">
        <f>IF(AK983="",NA(),COUNTIF(AK$176:$AK983,AK983))</f>
        <v>#N/A</v>
      </c>
      <c r="AM983" s="16" t="e">
        <f t="shared" si="136"/>
        <v>#N/A</v>
      </c>
      <c r="AN983" s="16" t="e">
        <f t="shared" si="137"/>
        <v>#N/A</v>
      </c>
      <c r="AO983" s="16" t="str">
        <f t="shared" si="138"/>
        <v/>
      </c>
      <c r="AP983" s="16" t="str">
        <f t="shared" si="139"/>
        <v/>
      </c>
      <c r="AQ983" s="16" t="e">
        <f>IF(AP983="",NA(),COUNTIF(AP$176:$AP983,AP983))</f>
        <v>#N/A</v>
      </c>
      <c r="AR983" s="16" t="e">
        <f t="shared" si="140"/>
        <v>#N/A</v>
      </c>
      <c r="BI983" s="621">
        <v>975</v>
      </c>
      <c r="BJ983" s="711"/>
      <c r="BK983" s="712"/>
      <c r="BL983" s="713">
        <v>975</v>
      </c>
      <c r="BM983" s="714"/>
      <c r="BN983" s="239"/>
      <c r="BO983" s="24"/>
      <c r="BQ983" s="621">
        <v>975</v>
      </c>
      <c r="BR983" s="711"/>
      <c r="BS983" s="712"/>
      <c r="BT983" s="713">
        <v>975</v>
      </c>
      <c r="BU983" s="714"/>
      <c r="BV983" s="239"/>
      <c r="BW983" s="24"/>
      <c r="BY983" s="621">
        <v>975</v>
      </c>
      <c r="BZ983" s="711"/>
      <c r="CA983" s="712"/>
      <c r="CB983" s="713">
        <v>975</v>
      </c>
      <c r="CC983" s="714"/>
      <c r="CD983" s="239"/>
      <c r="CE983" s="24"/>
    </row>
    <row r="984" spans="5:83" ht="12" customHeight="1">
      <c r="E984" s="621">
        <v>976</v>
      </c>
      <c r="F984" s="711"/>
      <c r="G984" s="712"/>
      <c r="H984" s="713">
        <v>976</v>
      </c>
      <c r="I984" s="714"/>
      <c r="J984" s="239"/>
      <c r="K984" s="24"/>
      <c r="AI984" s="16" t="e">
        <f t="shared" si="133"/>
        <v>#N/A</v>
      </c>
      <c r="AJ984" s="16" t="str">
        <f t="shared" si="134"/>
        <v/>
      </c>
      <c r="AK984" s="16" t="str">
        <f t="shared" si="135"/>
        <v/>
      </c>
      <c r="AL984" s="16" t="e">
        <f>IF(AK984="",NA(),COUNTIF(AK$176:$AK984,AK984))</f>
        <v>#N/A</v>
      </c>
      <c r="AM984" s="16" t="e">
        <f t="shared" si="136"/>
        <v>#N/A</v>
      </c>
      <c r="AN984" s="16" t="e">
        <f t="shared" si="137"/>
        <v>#N/A</v>
      </c>
      <c r="AO984" s="16" t="str">
        <f t="shared" si="138"/>
        <v/>
      </c>
      <c r="AP984" s="16" t="str">
        <f t="shared" si="139"/>
        <v/>
      </c>
      <c r="AQ984" s="16" t="e">
        <f>IF(AP984="",NA(),COUNTIF(AP$176:$AP984,AP984))</f>
        <v>#N/A</v>
      </c>
      <c r="AR984" s="16" t="e">
        <f t="shared" si="140"/>
        <v>#N/A</v>
      </c>
      <c r="BI984" s="621">
        <v>976</v>
      </c>
      <c r="BJ984" s="711"/>
      <c r="BK984" s="712"/>
      <c r="BL984" s="713">
        <v>976</v>
      </c>
      <c r="BM984" s="714"/>
      <c r="BN984" s="239"/>
      <c r="BO984" s="24"/>
      <c r="BQ984" s="621">
        <v>976</v>
      </c>
      <c r="BR984" s="711"/>
      <c r="BS984" s="712"/>
      <c r="BT984" s="713">
        <v>976</v>
      </c>
      <c r="BU984" s="714"/>
      <c r="BV984" s="239"/>
      <c r="BW984" s="24"/>
      <c r="BY984" s="621">
        <v>976</v>
      </c>
      <c r="BZ984" s="711"/>
      <c r="CA984" s="712"/>
      <c r="CB984" s="713">
        <v>976</v>
      </c>
      <c r="CC984" s="714"/>
      <c r="CD984" s="239"/>
      <c r="CE984" s="24"/>
    </row>
    <row r="985" spans="5:83" ht="12" customHeight="1">
      <c r="E985" s="621">
        <v>977</v>
      </c>
      <c r="F985" s="711"/>
      <c r="G985" s="712"/>
      <c r="H985" s="713">
        <v>977</v>
      </c>
      <c r="I985" s="714"/>
      <c r="J985" s="239"/>
      <c r="K985" s="24"/>
      <c r="AI985" s="16" t="e">
        <f t="shared" si="133"/>
        <v>#N/A</v>
      </c>
      <c r="AJ985" s="16" t="str">
        <f t="shared" si="134"/>
        <v/>
      </c>
      <c r="AK985" s="16" t="str">
        <f t="shared" si="135"/>
        <v/>
      </c>
      <c r="AL985" s="16" t="e">
        <f>IF(AK985="",NA(),COUNTIF(AK$176:$AK985,AK985))</f>
        <v>#N/A</v>
      </c>
      <c r="AM985" s="16" t="e">
        <f t="shared" si="136"/>
        <v>#N/A</v>
      </c>
      <c r="AN985" s="16" t="e">
        <f t="shared" si="137"/>
        <v>#N/A</v>
      </c>
      <c r="AO985" s="16" t="str">
        <f t="shared" si="138"/>
        <v/>
      </c>
      <c r="AP985" s="16" t="str">
        <f t="shared" si="139"/>
        <v/>
      </c>
      <c r="AQ985" s="16" t="e">
        <f>IF(AP985="",NA(),COUNTIF(AP$176:$AP985,AP985))</f>
        <v>#N/A</v>
      </c>
      <c r="AR985" s="16" t="e">
        <f t="shared" si="140"/>
        <v>#N/A</v>
      </c>
      <c r="BI985" s="621">
        <v>977</v>
      </c>
      <c r="BJ985" s="711"/>
      <c r="BK985" s="712"/>
      <c r="BL985" s="713">
        <v>977</v>
      </c>
      <c r="BM985" s="714"/>
      <c r="BN985" s="239"/>
      <c r="BO985" s="24"/>
      <c r="BQ985" s="621">
        <v>977</v>
      </c>
      <c r="BR985" s="711"/>
      <c r="BS985" s="712"/>
      <c r="BT985" s="713">
        <v>977</v>
      </c>
      <c r="BU985" s="714"/>
      <c r="BV985" s="239"/>
      <c r="BW985" s="24"/>
      <c r="BY985" s="621">
        <v>977</v>
      </c>
      <c r="BZ985" s="711"/>
      <c r="CA985" s="712"/>
      <c r="CB985" s="713">
        <v>977</v>
      </c>
      <c r="CC985" s="714"/>
      <c r="CD985" s="239"/>
      <c r="CE985" s="24"/>
    </row>
    <row r="986" spans="5:83" ht="12" customHeight="1">
      <c r="E986" s="621">
        <v>978</v>
      </c>
      <c r="F986" s="711"/>
      <c r="G986" s="712"/>
      <c r="H986" s="713">
        <v>978</v>
      </c>
      <c r="I986" s="714"/>
      <c r="J986" s="239"/>
      <c r="K986" s="24"/>
      <c r="AI986" s="16" t="e">
        <f t="shared" si="133"/>
        <v>#N/A</v>
      </c>
      <c r="AJ986" s="16" t="str">
        <f t="shared" si="134"/>
        <v/>
      </c>
      <c r="AK986" s="16" t="str">
        <f t="shared" si="135"/>
        <v/>
      </c>
      <c r="AL986" s="16" t="e">
        <f>IF(AK986="",NA(),COUNTIF(AK$176:$AK986,AK986))</f>
        <v>#N/A</v>
      </c>
      <c r="AM986" s="16" t="e">
        <f t="shared" si="136"/>
        <v>#N/A</v>
      </c>
      <c r="AN986" s="16" t="e">
        <f t="shared" si="137"/>
        <v>#N/A</v>
      </c>
      <c r="AO986" s="16" t="str">
        <f t="shared" si="138"/>
        <v/>
      </c>
      <c r="AP986" s="16" t="str">
        <f t="shared" si="139"/>
        <v/>
      </c>
      <c r="AQ986" s="16" t="e">
        <f>IF(AP986="",NA(),COUNTIF(AP$176:$AP986,AP986))</f>
        <v>#N/A</v>
      </c>
      <c r="AR986" s="16" t="e">
        <f t="shared" si="140"/>
        <v>#N/A</v>
      </c>
      <c r="BI986" s="621">
        <v>978</v>
      </c>
      <c r="BJ986" s="711"/>
      <c r="BK986" s="712"/>
      <c r="BL986" s="713">
        <v>978</v>
      </c>
      <c r="BM986" s="714"/>
      <c r="BN986" s="239"/>
      <c r="BO986" s="24"/>
      <c r="BQ986" s="621">
        <v>978</v>
      </c>
      <c r="BR986" s="711"/>
      <c r="BS986" s="712"/>
      <c r="BT986" s="713">
        <v>978</v>
      </c>
      <c r="BU986" s="714"/>
      <c r="BV986" s="239"/>
      <c r="BW986" s="24"/>
      <c r="BY986" s="621">
        <v>978</v>
      </c>
      <c r="BZ986" s="711"/>
      <c r="CA986" s="712"/>
      <c r="CB986" s="713">
        <v>978</v>
      </c>
      <c r="CC986" s="714"/>
      <c r="CD986" s="239"/>
      <c r="CE986" s="24"/>
    </row>
    <row r="987" spans="5:83" ht="12" customHeight="1">
      <c r="E987" s="621">
        <v>979</v>
      </c>
      <c r="F987" s="711"/>
      <c r="G987" s="712"/>
      <c r="H987" s="713">
        <v>979</v>
      </c>
      <c r="I987" s="714"/>
      <c r="J987" s="239"/>
      <c r="K987" s="24"/>
      <c r="AI987" s="16" t="e">
        <f t="shared" si="133"/>
        <v>#N/A</v>
      </c>
      <c r="AJ987" s="16" t="str">
        <f t="shared" si="134"/>
        <v/>
      </c>
      <c r="AK987" s="16" t="str">
        <f t="shared" si="135"/>
        <v/>
      </c>
      <c r="AL987" s="16" t="e">
        <f>IF(AK987="",NA(),COUNTIF(AK$176:$AK987,AK987))</f>
        <v>#N/A</v>
      </c>
      <c r="AM987" s="16" t="e">
        <f t="shared" si="136"/>
        <v>#N/A</v>
      </c>
      <c r="AN987" s="16" t="e">
        <f t="shared" si="137"/>
        <v>#N/A</v>
      </c>
      <c r="AO987" s="16" t="str">
        <f t="shared" si="138"/>
        <v/>
      </c>
      <c r="AP987" s="16" t="str">
        <f t="shared" si="139"/>
        <v/>
      </c>
      <c r="AQ987" s="16" t="e">
        <f>IF(AP987="",NA(),COUNTIF(AP$176:$AP987,AP987))</f>
        <v>#N/A</v>
      </c>
      <c r="AR987" s="16" t="e">
        <f t="shared" si="140"/>
        <v>#N/A</v>
      </c>
      <c r="BI987" s="621">
        <v>979</v>
      </c>
      <c r="BJ987" s="711"/>
      <c r="BK987" s="712"/>
      <c r="BL987" s="713">
        <v>979</v>
      </c>
      <c r="BM987" s="714"/>
      <c r="BN987" s="239"/>
      <c r="BO987" s="24"/>
      <c r="BQ987" s="621">
        <v>979</v>
      </c>
      <c r="BR987" s="711"/>
      <c r="BS987" s="712"/>
      <c r="BT987" s="713">
        <v>979</v>
      </c>
      <c r="BU987" s="714"/>
      <c r="BV987" s="239"/>
      <c r="BW987" s="24"/>
      <c r="BY987" s="621">
        <v>979</v>
      </c>
      <c r="BZ987" s="711"/>
      <c r="CA987" s="712"/>
      <c r="CB987" s="713">
        <v>979</v>
      </c>
      <c r="CC987" s="714"/>
      <c r="CD987" s="239"/>
      <c r="CE987" s="24"/>
    </row>
    <row r="988" spans="5:83" ht="12" customHeight="1">
      <c r="E988" s="621">
        <v>980</v>
      </c>
      <c r="F988" s="711"/>
      <c r="G988" s="712"/>
      <c r="H988" s="713">
        <v>980</v>
      </c>
      <c r="I988" s="714"/>
      <c r="J988" s="239"/>
      <c r="K988" s="24"/>
      <c r="AI988" s="16" t="e">
        <f t="shared" si="133"/>
        <v>#N/A</v>
      </c>
      <c r="AJ988" s="16" t="str">
        <f t="shared" si="134"/>
        <v/>
      </c>
      <c r="AK988" s="16" t="str">
        <f t="shared" si="135"/>
        <v/>
      </c>
      <c r="AL988" s="16" t="e">
        <f>IF(AK988="",NA(),COUNTIF(AK$176:$AK988,AK988))</f>
        <v>#N/A</v>
      </c>
      <c r="AM988" s="16" t="e">
        <f t="shared" si="136"/>
        <v>#N/A</v>
      </c>
      <c r="AN988" s="16" t="e">
        <f t="shared" si="137"/>
        <v>#N/A</v>
      </c>
      <c r="AO988" s="16" t="str">
        <f t="shared" si="138"/>
        <v/>
      </c>
      <c r="AP988" s="16" t="str">
        <f t="shared" si="139"/>
        <v/>
      </c>
      <c r="AQ988" s="16" t="e">
        <f>IF(AP988="",NA(),COUNTIF(AP$176:$AP988,AP988))</f>
        <v>#N/A</v>
      </c>
      <c r="AR988" s="16" t="e">
        <f t="shared" si="140"/>
        <v>#N/A</v>
      </c>
      <c r="BI988" s="621">
        <v>980</v>
      </c>
      <c r="BJ988" s="711"/>
      <c r="BK988" s="712"/>
      <c r="BL988" s="713">
        <v>980</v>
      </c>
      <c r="BM988" s="714"/>
      <c r="BN988" s="239"/>
      <c r="BO988" s="24"/>
      <c r="BQ988" s="621">
        <v>980</v>
      </c>
      <c r="BR988" s="711"/>
      <c r="BS988" s="712"/>
      <c r="BT988" s="713">
        <v>980</v>
      </c>
      <c r="BU988" s="714"/>
      <c r="BV988" s="239"/>
      <c r="BW988" s="24"/>
      <c r="BY988" s="621">
        <v>980</v>
      </c>
      <c r="BZ988" s="711"/>
      <c r="CA988" s="712"/>
      <c r="CB988" s="713">
        <v>980</v>
      </c>
      <c r="CC988" s="714"/>
      <c r="CD988" s="239"/>
      <c r="CE988" s="24"/>
    </row>
    <row r="989" spans="5:83" ht="12" customHeight="1">
      <c r="E989" s="621">
        <v>981</v>
      </c>
      <c r="F989" s="711"/>
      <c r="G989" s="712"/>
      <c r="H989" s="713">
        <v>981</v>
      </c>
      <c r="I989" s="714"/>
      <c r="J989" s="239"/>
      <c r="K989" s="24"/>
      <c r="AI989" s="16" t="e">
        <f t="shared" si="133"/>
        <v>#N/A</v>
      </c>
      <c r="AJ989" s="16" t="str">
        <f t="shared" si="134"/>
        <v/>
      </c>
      <c r="AK989" s="16" t="str">
        <f t="shared" si="135"/>
        <v/>
      </c>
      <c r="AL989" s="16" t="e">
        <f>IF(AK989="",NA(),COUNTIF(AK$176:$AK989,AK989))</f>
        <v>#N/A</v>
      </c>
      <c r="AM989" s="16" t="e">
        <f t="shared" si="136"/>
        <v>#N/A</v>
      </c>
      <c r="AN989" s="16" t="e">
        <f t="shared" si="137"/>
        <v>#N/A</v>
      </c>
      <c r="AO989" s="16" t="str">
        <f t="shared" si="138"/>
        <v/>
      </c>
      <c r="AP989" s="16" t="str">
        <f t="shared" si="139"/>
        <v/>
      </c>
      <c r="AQ989" s="16" t="e">
        <f>IF(AP989="",NA(),COUNTIF(AP$176:$AP989,AP989))</f>
        <v>#N/A</v>
      </c>
      <c r="AR989" s="16" t="e">
        <f t="shared" si="140"/>
        <v>#N/A</v>
      </c>
      <c r="BI989" s="621">
        <v>981</v>
      </c>
      <c r="BJ989" s="711"/>
      <c r="BK989" s="712"/>
      <c r="BL989" s="713">
        <v>981</v>
      </c>
      <c r="BM989" s="714"/>
      <c r="BN989" s="239"/>
      <c r="BO989" s="24"/>
      <c r="BQ989" s="621">
        <v>981</v>
      </c>
      <c r="BR989" s="711"/>
      <c r="BS989" s="712"/>
      <c r="BT989" s="713">
        <v>981</v>
      </c>
      <c r="BU989" s="714"/>
      <c r="BV989" s="239"/>
      <c r="BW989" s="24"/>
      <c r="BY989" s="621">
        <v>981</v>
      </c>
      <c r="BZ989" s="711"/>
      <c r="CA989" s="712"/>
      <c r="CB989" s="713">
        <v>981</v>
      </c>
      <c r="CC989" s="714"/>
      <c r="CD989" s="239"/>
      <c r="CE989" s="24"/>
    </row>
    <row r="990" spans="5:83" ht="12" customHeight="1">
      <c r="E990" s="621">
        <v>982</v>
      </c>
      <c r="F990" s="711"/>
      <c r="G990" s="712"/>
      <c r="H990" s="713">
        <v>982</v>
      </c>
      <c r="I990" s="714"/>
      <c r="J990" s="239"/>
      <c r="K990" s="24"/>
      <c r="AI990" s="16" t="e">
        <f t="shared" si="133"/>
        <v>#N/A</v>
      </c>
      <c r="AJ990" s="16" t="str">
        <f t="shared" si="134"/>
        <v/>
      </c>
      <c r="AK990" s="16" t="str">
        <f t="shared" si="135"/>
        <v/>
      </c>
      <c r="AL990" s="16" t="e">
        <f>IF(AK990="",NA(),COUNTIF(AK$176:$AK990,AK990))</f>
        <v>#N/A</v>
      </c>
      <c r="AM990" s="16" t="e">
        <f t="shared" si="136"/>
        <v>#N/A</v>
      </c>
      <c r="AN990" s="16" t="e">
        <f t="shared" si="137"/>
        <v>#N/A</v>
      </c>
      <c r="AO990" s="16" t="str">
        <f t="shared" si="138"/>
        <v/>
      </c>
      <c r="AP990" s="16" t="str">
        <f t="shared" si="139"/>
        <v/>
      </c>
      <c r="AQ990" s="16" t="e">
        <f>IF(AP990="",NA(),COUNTIF(AP$176:$AP990,AP990))</f>
        <v>#N/A</v>
      </c>
      <c r="AR990" s="16" t="e">
        <f t="shared" si="140"/>
        <v>#N/A</v>
      </c>
      <c r="BI990" s="621">
        <v>982</v>
      </c>
      <c r="BJ990" s="711"/>
      <c r="BK990" s="712"/>
      <c r="BL990" s="713">
        <v>982</v>
      </c>
      <c r="BM990" s="714"/>
      <c r="BN990" s="239"/>
      <c r="BO990" s="24"/>
      <c r="BQ990" s="621">
        <v>982</v>
      </c>
      <c r="BR990" s="711"/>
      <c r="BS990" s="712"/>
      <c r="BT990" s="713">
        <v>982</v>
      </c>
      <c r="BU990" s="714"/>
      <c r="BV990" s="239"/>
      <c r="BW990" s="24"/>
      <c r="BY990" s="621">
        <v>982</v>
      </c>
      <c r="BZ990" s="711"/>
      <c r="CA990" s="712"/>
      <c r="CB990" s="713">
        <v>982</v>
      </c>
      <c r="CC990" s="714"/>
      <c r="CD990" s="239"/>
      <c r="CE990" s="24"/>
    </row>
    <row r="991" spans="5:83" ht="12" customHeight="1">
      <c r="E991" s="621">
        <v>983</v>
      </c>
      <c r="F991" s="711"/>
      <c r="G991" s="712"/>
      <c r="H991" s="713">
        <v>983</v>
      </c>
      <c r="I991" s="714"/>
      <c r="J991" s="239"/>
      <c r="K991" s="24"/>
      <c r="AI991" s="16" t="e">
        <f t="shared" si="133"/>
        <v>#N/A</v>
      </c>
      <c r="AJ991" s="16" t="str">
        <f t="shared" si="134"/>
        <v/>
      </c>
      <c r="AK991" s="16" t="str">
        <f t="shared" si="135"/>
        <v/>
      </c>
      <c r="AL991" s="16" t="e">
        <f>IF(AK991="",NA(),COUNTIF(AK$176:$AK991,AK991))</f>
        <v>#N/A</v>
      </c>
      <c r="AM991" s="16" t="e">
        <f t="shared" si="136"/>
        <v>#N/A</v>
      </c>
      <c r="AN991" s="16" t="e">
        <f t="shared" si="137"/>
        <v>#N/A</v>
      </c>
      <c r="AO991" s="16" t="str">
        <f t="shared" si="138"/>
        <v/>
      </c>
      <c r="AP991" s="16" t="str">
        <f t="shared" si="139"/>
        <v/>
      </c>
      <c r="AQ991" s="16" t="e">
        <f>IF(AP991="",NA(),COUNTIF(AP$176:$AP991,AP991))</f>
        <v>#N/A</v>
      </c>
      <c r="AR991" s="16" t="e">
        <f t="shared" si="140"/>
        <v>#N/A</v>
      </c>
      <c r="BI991" s="621">
        <v>983</v>
      </c>
      <c r="BJ991" s="711"/>
      <c r="BK991" s="712"/>
      <c r="BL991" s="713">
        <v>983</v>
      </c>
      <c r="BM991" s="714"/>
      <c r="BN991" s="239"/>
      <c r="BO991" s="24"/>
      <c r="BQ991" s="621">
        <v>983</v>
      </c>
      <c r="BR991" s="711"/>
      <c r="BS991" s="712"/>
      <c r="BT991" s="713">
        <v>983</v>
      </c>
      <c r="BU991" s="714"/>
      <c r="BV991" s="239"/>
      <c r="BW991" s="24"/>
      <c r="BY991" s="621">
        <v>983</v>
      </c>
      <c r="BZ991" s="711"/>
      <c r="CA991" s="712"/>
      <c r="CB991" s="713">
        <v>983</v>
      </c>
      <c r="CC991" s="714"/>
      <c r="CD991" s="239"/>
      <c r="CE991" s="24"/>
    </row>
    <row r="992" spans="5:83" ht="12" customHeight="1">
      <c r="E992" s="621">
        <v>984</v>
      </c>
      <c r="F992" s="711"/>
      <c r="G992" s="712"/>
      <c r="H992" s="713">
        <v>984</v>
      </c>
      <c r="I992" s="714"/>
      <c r="J992" s="239"/>
      <c r="K992" s="24"/>
      <c r="AI992" s="16" t="e">
        <f t="shared" si="133"/>
        <v>#N/A</v>
      </c>
      <c r="AJ992" s="16" t="str">
        <f t="shared" si="134"/>
        <v/>
      </c>
      <c r="AK992" s="16" t="str">
        <f t="shared" si="135"/>
        <v/>
      </c>
      <c r="AL992" s="16" t="e">
        <f>IF(AK992="",NA(),COUNTIF(AK$176:$AK992,AK992))</f>
        <v>#N/A</v>
      </c>
      <c r="AM992" s="16" t="e">
        <f t="shared" si="136"/>
        <v>#N/A</v>
      </c>
      <c r="AN992" s="16" t="e">
        <f t="shared" si="137"/>
        <v>#N/A</v>
      </c>
      <c r="AO992" s="16" t="str">
        <f t="shared" si="138"/>
        <v/>
      </c>
      <c r="AP992" s="16" t="str">
        <f t="shared" si="139"/>
        <v/>
      </c>
      <c r="AQ992" s="16" t="e">
        <f>IF(AP992="",NA(),COUNTIF(AP$176:$AP992,AP992))</f>
        <v>#N/A</v>
      </c>
      <c r="AR992" s="16" t="e">
        <f t="shared" si="140"/>
        <v>#N/A</v>
      </c>
      <c r="BI992" s="621">
        <v>984</v>
      </c>
      <c r="BJ992" s="711"/>
      <c r="BK992" s="712"/>
      <c r="BL992" s="713">
        <v>984</v>
      </c>
      <c r="BM992" s="714"/>
      <c r="BN992" s="239"/>
      <c r="BO992" s="24"/>
      <c r="BQ992" s="621">
        <v>984</v>
      </c>
      <c r="BR992" s="711"/>
      <c r="BS992" s="712"/>
      <c r="BT992" s="713">
        <v>984</v>
      </c>
      <c r="BU992" s="714"/>
      <c r="BV992" s="239"/>
      <c r="BW992" s="24"/>
      <c r="BY992" s="621">
        <v>984</v>
      </c>
      <c r="BZ992" s="711"/>
      <c r="CA992" s="712"/>
      <c r="CB992" s="713">
        <v>984</v>
      </c>
      <c r="CC992" s="714"/>
      <c r="CD992" s="239"/>
      <c r="CE992" s="24"/>
    </row>
    <row r="993" spans="5:83" ht="12" customHeight="1">
      <c r="E993" s="621">
        <v>985</v>
      </c>
      <c r="F993" s="711"/>
      <c r="G993" s="712"/>
      <c r="H993" s="713">
        <v>985</v>
      </c>
      <c r="I993" s="714"/>
      <c r="J993" s="239"/>
      <c r="K993" s="24"/>
      <c r="AI993" s="16" t="e">
        <f t="shared" si="133"/>
        <v>#N/A</v>
      </c>
      <c r="AJ993" s="16" t="str">
        <f t="shared" si="134"/>
        <v/>
      </c>
      <c r="AK993" s="16" t="str">
        <f t="shared" si="135"/>
        <v/>
      </c>
      <c r="AL993" s="16" t="e">
        <f>IF(AK993="",NA(),COUNTIF(AK$176:$AK993,AK993))</f>
        <v>#N/A</v>
      </c>
      <c r="AM993" s="16" t="e">
        <f t="shared" si="136"/>
        <v>#N/A</v>
      </c>
      <c r="AN993" s="16" t="e">
        <f t="shared" si="137"/>
        <v>#N/A</v>
      </c>
      <c r="AO993" s="16" t="str">
        <f t="shared" si="138"/>
        <v/>
      </c>
      <c r="AP993" s="16" t="str">
        <f t="shared" si="139"/>
        <v/>
      </c>
      <c r="AQ993" s="16" t="e">
        <f>IF(AP993="",NA(),COUNTIF(AP$176:$AP993,AP993))</f>
        <v>#N/A</v>
      </c>
      <c r="AR993" s="16" t="e">
        <f t="shared" si="140"/>
        <v>#N/A</v>
      </c>
      <c r="BI993" s="621">
        <v>985</v>
      </c>
      <c r="BJ993" s="711"/>
      <c r="BK993" s="712"/>
      <c r="BL993" s="713">
        <v>985</v>
      </c>
      <c r="BM993" s="714"/>
      <c r="BN993" s="239"/>
      <c r="BO993" s="24"/>
      <c r="BQ993" s="621">
        <v>985</v>
      </c>
      <c r="BR993" s="711"/>
      <c r="BS993" s="712"/>
      <c r="BT993" s="713">
        <v>985</v>
      </c>
      <c r="BU993" s="714"/>
      <c r="BV993" s="239"/>
      <c r="BW993" s="24"/>
      <c r="BY993" s="621">
        <v>985</v>
      </c>
      <c r="BZ993" s="711"/>
      <c r="CA993" s="712"/>
      <c r="CB993" s="713">
        <v>985</v>
      </c>
      <c r="CC993" s="714"/>
      <c r="CD993" s="239"/>
      <c r="CE993" s="24"/>
    </row>
    <row r="994" spans="5:83" ht="12" customHeight="1">
      <c r="E994" s="621">
        <v>986</v>
      </c>
      <c r="F994" s="711"/>
      <c r="G994" s="712"/>
      <c r="H994" s="713">
        <v>986</v>
      </c>
      <c r="I994" s="714"/>
      <c r="J994" s="239"/>
      <c r="K994" s="24"/>
      <c r="AI994" s="16" t="e">
        <f t="shared" si="133"/>
        <v>#N/A</v>
      </c>
      <c r="AJ994" s="16" t="str">
        <f t="shared" si="134"/>
        <v/>
      </c>
      <c r="AK994" s="16" t="str">
        <f t="shared" si="135"/>
        <v/>
      </c>
      <c r="AL994" s="16" t="e">
        <f>IF(AK994="",NA(),COUNTIF(AK$176:$AK994,AK994))</f>
        <v>#N/A</v>
      </c>
      <c r="AM994" s="16" t="e">
        <f t="shared" si="136"/>
        <v>#N/A</v>
      </c>
      <c r="AN994" s="16" t="e">
        <f t="shared" si="137"/>
        <v>#N/A</v>
      </c>
      <c r="AO994" s="16" t="str">
        <f t="shared" si="138"/>
        <v/>
      </c>
      <c r="AP994" s="16" t="str">
        <f t="shared" si="139"/>
        <v/>
      </c>
      <c r="AQ994" s="16" t="e">
        <f>IF(AP994="",NA(),COUNTIF(AP$176:$AP994,AP994))</f>
        <v>#N/A</v>
      </c>
      <c r="AR994" s="16" t="e">
        <f t="shared" si="140"/>
        <v>#N/A</v>
      </c>
      <c r="BI994" s="621">
        <v>986</v>
      </c>
      <c r="BJ994" s="711"/>
      <c r="BK994" s="712"/>
      <c r="BL994" s="713">
        <v>986</v>
      </c>
      <c r="BM994" s="714"/>
      <c r="BN994" s="239"/>
      <c r="BO994" s="24"/>
      <c r="BQ994" s="621">
        <v>986</v>
      </c>
      <c r="BR994" s="711"/>
      <c r="BS994" s="712"/>
      <c r="BT994" s="713">
        <v>986</v>
      </c>
      <c r="BU994" s="714"/>
      <c r="BV994" s="239"/>
      <c r="BW994" s="24"/>
      <c r="BY994" s="621">
        <v>986</v>
      </c>
      <c r="BZ994" s="711"/>
      <c r="CA994" s="712"/>
      <c r="CB994" s="713">
        <v>986</v>
      </c>
      <c r="CC994" s="714"/>
      <c r="CD994" s="239"/>
      <c r="CE994" s="24"/>
    </row>
    <row r="995" spans="5:83" ht="12" customHeight="1">
      <c r="E995" s="621">
        <v>987</v>
      </c>
      <c r="F995" s="711"/>
      <c r="G995" s="712"/>
      <c r="H995" s="713">
        <v>987</v>
      </c>
      <c r="I995" s="714"/>
      <c r="J995" s="239"/>
      <c r="K995" s="24"/>
      <c r="AI995" s="16" t="e">
        <f t="shared" si="133"/>
        <v>#N/A</v>
      </c>
      <c r="AJ995" s="16" t="str">
        <f t="shared" si="134"/>
        <v/>
      </c>
      <c r="AK995" s="16" t="str">
        <f t="shared" si="135"/>
        <v/>
      </c>
      <c r="AL995" s="16" t="e">
        <f>IF(AK995="",NA(),COUNTIF(AK$176:$AK995,AK995))</f>
        <v>#N/A</v>
      </c>
      <c r="AM995" s="16" t="e">
        <f t="shared" si="136"/>
        <v>#N/A</v>
      </c>
      <c r="AN995" s="16" t="e">
        <f t="shared" si="137"/>
        <v>#N/A</v>
      </c>
      <c r="AO995" s="16" t="str">
        <f t="shared" si="138"/>
        <v/>
      </c>
      <c r="AP995" s="16" t="str">
        <f t="shared" si="139"/>
        <v/>
      </c>
      <c r="AQ995" s="16" t="e">
        <f>IF(AP995="",NA(),COUNTIF(AP$176:$AP995,AP995))</f>
        <v>#N/A</v>
      </c>
      <c r="AR995" s="16" t="e">
        <f t="shared" si="140"/>
        <v>#N/A</v>
      </c>
      <c r="BI995" s="621">
        <v>987</v>
      </c>
      <c r="BJ995" s="711"/>
      <c r="BK995" s="712"/>
      <c r="BL995" s="713">
        <v>987</v>
      </c>
      <c r="BM995" s="714"/>
      <c r="BN995" s="239"/>
      <c r="BO995" s="24"/>
      <c r="BQ995" s="621">
        <v>987</v>
      </c>
      <c r="BR995" s="711"/>
      <c r="BS995" s="712"/>
      <c r="BT995" s="713">
        <v>987</v>
      </c>
      <c r="BU995" s="714"/>
      <c r="BV995" s="239"/>
      <c r="BW995" s="24"/>
      <c r="BY995" s="621">
        <v>987</v>
      </c>
      <c r="BZ995" s="711"/>
      <c r="CA995" s="712"/>
      <c r="CB995" s="713">
        <v>987</v>
      </c>
      <c r="CC995" s="714"/>
      <c r="CD995" s="239"/>
      <c r="CE995" s="24"/>
    </row>
    <row r="996" spans="5:83" ht="12" customHeight="1">
      <c r="E996" s="621">
        <v>988</v>
      </c>
      <c r="F996" s="711"/>
      <c r="G996" s="712"/>
      <c r="H996" s="713">
        <v>988</v>
      </c>
      <c r="I996" s="714"/>
      <c r="J996" s="239"/>
      <c r="K996" s="24"/>
      <c r="AI996" s="16" t="e">
        <f t="shared" si="133"/>
        <v>#N/A</v>
      </c>
      <c r="AJ996" s="16" t="str">
        <f t="shared" si="134"/>
        <v/>
      </c>
      <c r="AK996" s="16" t="str">
        <f t="shared" si="135"/>
        <v/>
      </c>
      <c r="AL996" s="16" t="e">
        <f>IF(AK996="",NA(),COUNTIF(AK$176:$AK996,AK996))</f>
        <v>#N/A</v>
      </c>
      <c r="AM996" s="16" t="e">
        <f t="shared" si="136"/>
        <v>#N/A</v>
      </c>
      <c r="AN996" s="16" t="e">
        <f t="shared" si="137"/>
        <v>#N/A</v>
      </c>
      <c r="AO996" s="16" t="str">
        <f t="shared" si="138"/>
        <v/>
      </c>
      <c r="AP996" s="16" t="str">
        <f t="shared" si="139"/>
        <v/>
      </c>
      <c r="AQ996" s="16" t="e">
        <f>IF(AP996="",NA(),COUNTIF(AP$176:$AP996,AP996))</f>
        <v>#N/A</v>
      </c>
      <c r="AR996" s="16" t="e">
        <f t="shared" si="140"/>
        <v>#N/A</v>
      </c>
      <c r="BI996" s="621">
        <v>988</v>
      </c>
      <c r="BJ996" s="711"/>
      <c r="BK996" s="712"/>
      <c r="BL996" s="713">
        <v>988</v>
      </c>
      <c r="BM996" s="714"/>
      <c r="BN996" s="239"/>
      <c r="BO996" s="24"/>
      <c r="BQ996" s="621">
        <v>988</v>
      </c>
      <c r="BR996" s="711"/>
      <c r="BS996" s="712"/>
      <c r="BT996" s="713">
        <v>988</v>
      </c>
      <c r="BU996" s="714"/>
      <c r="BV996" s="239"/>
      <c r="BW996" s="24"/>
      <c r="BY996" s="621">
        <v>988</v>
      </c>
      <c r="BZ996" s="711"/>
      <c r="CA996" s="712"/>
      <c r="CB996" s="713">
        <v>988</v>
      </c>
      <c r="CC996" s="714"/>
      <c r="CD996" s="239"/>
      <c r="CE996" s="24"/>
    </row>
    <row r="997" spans="5:83" ht="12" customHeight="1">
      <c r="E997" s="621">
        <v>989</v>
      </c>
      <c r="F997" s="711"/>
      <c r="G997" s="712"/>
      <c r="H997" s="713">
        <v>989</v>
      </c>
      <c r="I997" s="714"/>
      <c r="J997" s="239"/>
      <c r="K997" s="24"/>
      <c r="AI997" s="16" t="e">
        <f t="shared" si="133"/>
        <v>#N/A</v>
      </c>
      <c r="AJ997" s="16" t="str">
        <f t="shared" si="134"/>
        <v/>
      </c>
      <c r="AK997" s="16" t="str">
        <f t="shared" si="135"/>
        <v/>
      </c>
      <c r="AL997" s="16" t="e">
        <f>IF(AK997="",NA(),COUNTIF(AK$176:$AK997,AK997))</f>
        <v>#N/A</v>
      </c>
      <c r="AM997" s="16" t="e">
        <f t="shared" si="136"/>
        <v>#N/A</v>
      </c>
      <c r="AN997" s="16" t="e">
        <f t="shared" si="137"/>
        <v>#N/A</v>
      </c>
      <c r="AO997" s="16" t="str">
        <f t="shared" si="138"/>
        <v/>
      </c>
      <c r="AP997" s="16" t="str">
        <f t="shared" si="139"/>
        <v/>
      </c>
      <c r="AQ997" s="16" t="e">
        <f>IF(AP997="",NA(),COUNTIF(AP$176:$AP997,AP997))</f>
        <v>#N/A</v>
      </c>
      <c r="AR997" s="16" t="e">
        <f t="shared" si="140"/>
        <v>#N/A</v>
      </c>
      <c r="BI997" s="621">
        <v>989</v>
      </c>
      <c r="BJ997" s="711"/>
      <c r="BK997" s="712"/>
      <c r="BL997" s="713">
        <v>989</v>
      </c>
      <c r="BM997" s="714"/>
      <c r="BN997" s="239"/>
      <c r="BO997" s="24"/>
      <c r="BQ997" s="621">
        <v>989</v>
      </c>
      <c r="BR997" s="711"/>
      <c r="BS997" s="712"/>
      <c r="BT997" s="713">
        <v>989</v>
      </c>
      <c r="BU997" s="714"/>
      <c r="BV997" s="239"/>
      <c r="BW997" s="24"/>
      <c r="BY997" s="621">
        <v>989</v>
      </c>
      <c r="BZ997" s="711"/>
      <c r="CA997" s="712"/>
      <c r="CB997" s="713">
        <v>989</v>
      </c>
      <c r="CC997" s="714"/>
      <c r="CD997" s="239"/>
      <c r="CE997" s="24"/>
    </row>
    <row r="998" spans="5:83" ht="12" customHeight="1">
      <c r="E998" s="621">
        <v>990</v>
      </c>
      <c r="F998" s="711"/>
      <c r="G998" s="712"/>
      <c r="H998" s="713">
        <v>990</v>
      </c>
      <c r="I998" s="714"/>
      <c r="J998" s="239"/>
      <c r="K998" s="24"/>
      <c r="AI998" s="16" t="e">
        <f t="shared" si="133"/>
        <v>#N/A</v>
      </c>
      <c r="AJ998" s="16" t="str">
        <f t="shared" si="134"/>
        <v/>
      </c>
      <c r="AK998" s="16" t="str">
        <f t="shared" si="135"/>
        <v/>
      </c>
      <c r="AL998" s="16" t="e">
        <f>IF(AK998="",NA(),COUNTIF(AK$176:$AK998,AK998))</f>
        <v>#N/A</v>
      </c>
      <c r="AM998" s="16" t="e">
        <f t="shared" si="136"/>
        <v>#N/A</v>
      </c>
      <c r="AN998" s="16" t="e">
        <f t="shared" si="137"/>
        <v>#N/A</v>
      </c>
      <c r="AO998" s="16" t="str">
        <f t="shared" si="138"/>
        <v/>
      </c>
      <c r="AP998" s="16" t="str">
        <f t="shared" si="139"/>
        <v/>
      </c>
      <c r="AQ998" s="16" t="e">
        <f>IF(AP998="",NA(),COUNTIF(AP$176:$AP998,AP998))</f>
        <v>#N/A</v>
      </c>
      <c r="AR998" s="16" t="e">
        <f t="shared" si="140"/>
        <v>#N/A</v>
      </c>
      <c r="BI998" s="621">
        <v>990</v>
      </c>
      <c r="BJ998" s="711"/>
      <c r="BK998" s="712"/>
      <c r="BL998" s="713">
        <v>990</v>
      </c>
      <c r="BM998" s="714"/>
      <c r="BN998" s="239"/>
      <c r="BO998" s="24"/>
      <c r="BQ998" s="621">
        <v>990</v>
      </c>
      <c r="BR998" s="711"/>
      <c r="BS998" s="712"/>
      <c r="BT998" s="713">
        <v>990</v>
      </c>
      <c r="BU998" s="714"/>
      <c r="BV998" s="239"/>
      <c r="BW998" s="24"/>
      <c r="BY998" s="621">
        <v>990</v>
      </c>
      <c r="BZ998" s="711"/>
      <c r="CA998" s="712"/>
      <c r="CB998" s="713">
        <v>990</v>
      </c>
      <c r="CC998" s="714"/>
      <c r="CD998" s="239"/>
      <c r="CE998" s="24"/>
    </row>
    <row r="999" spans="5:83" ht="12" customHeight="1">
      <c r="E999" s="621">
        <v>991</v>
      </c>
      <c r="F999" s="711"/>
      <c r="G999" s="712"/>
      <c r="H999" s="713">
        <v>991</v>
      </c>
      <c r="I999" s="714"/>
      <c r="J999" s="239"/>
      <c r="K999" s="24"/>
      <c r="AI999" s="16" t="e">
        <f t="shared" si="133"/>
        <v>#N/A</v>
      </c>
      <c r="AJ999" s="16" t="str">
        <f t="shared" si="134"/>
        <v/>
      </c>
      <c r="AK999" s="16" t="str">
        <f t="shared" si="135"/>
        <v/>
      </c>
      <c r="AL999" s="16" t="e">
        <f>IF(AK999="",NA(),COUNTIF(AK$176:$AK999,AK999))</f>
        <v>#N/A</v>
      </c>
      <c r="AM999" s="16" t="e">
        <f t="shared" si="136"/>
        <v>#N/A</v>
      </c>
      <c r="AN999" s="16" t="e">
        <f t="shared" si="137"/>
        <v>#N/A</v>
      </c>
      <c r="AO999" s="16" t="str">
        <f t="shared" si="138"/>
        <v/>
      </c>
      <c r="AP999" s="16" t="str">
        <f t="shared" si="139"/>
        <v/>
      </c>
      <c r="AQ999" s="16" t="e">
        <f>IF(AP999="",NA(),COUNTIF(AP$176:$AP999,AP999))</f>
        <v>#N/A</v>
      </c>
      <c r="AR999" s="16" t="e">
        <f t="shared" si="140"/>
        <v>#N/A</v>
      </c>
      <c r="BI999" s="621">
        <v>991</v>
      </c>
      <c r="BJ999" s="711"/>
      <c r="BK999" s="712"/>
      <c r="BL999" s="713">
        <v>991</v>
      </c>
      <c r="BM999" s="714"/>
      <c r="BN999" s="239"/>
      <c r="BO999" s="24"/>
      <c r="BQ999" s="621">
        <v>991</v>
      </c>
      <c r="BR999" s="711"/>
      <c r="BS999" s="712"/>
      <c r="BT999" s="713">
        <v>991</v>
      </c>
      <c r="BU999" s="714"/>
      <c r="BV999" s="239"/>
      <c r="BW999" s="24"/>
      <c r="BY999" s="621">
        <v>991</v>
      </c>
      <c r="BZ999" s="711"/>
      <c r="CA999" s="712"/>
      <c r="CB999" s="713">
        <v>991</v>
      </c>
      <c r="CC999" s="714"/>
      <c r="CD999" s="239"/>
      <c r="CE999" s="24"/>
    </row>
    <row r="1000" spans="5:83" ht="12" customHeight="1">
      <c r="E1000" s="621">
        <v>992</v>
      </c>
      <c r="F1000" s="711"/>
      <c r="G1000" s="712"/>
      <c r="H1000" s="713">
        <v>992</v>
      </c>
      <c r="I1000" s="714"/>
      <c r="J1000" s="239"/>
      <c r="K1000" s="24"/>
      <c r="AI1000" s="16" t="e">
        <f t="shared" si="133"/>
        <v>#N/A</v>
      </c>
      <c r="AJ1000" s="16" t="str">
        <f t="shared" si="134"/>
        <v/>
      </c>
      <c r="AK1000" s="16" t="str">
        <f t="shared" si="135"/>
        <v/>
      </c>
      <c r="AL1000" s="16" t="e">
        <f>IF(AK1000="",NA(),COUNTIF(AK$176:$AK1000,AK1000))</f>
        <v>#N/A</v>
      </c>
      <c r="AM1000" s="16" t="e">
        <f t="shared" si="136"/>
        <v>#N/A</v>
      </c>
      <c r="AN1000" s="16" t="e">
        <f t="shared" si="137"/>
        <v>#N/A</v>
      </c>
      <c r="AO1000" s="16" t="str">
        <f t="shared" si="138"/>
        <v/>
      </c>
      <c r="AP1000" s="16" t="str">
        <f t="shared" si="139"/>
        <v/>
      </c>
      <c r="AQ1000" s="16" t="e">
        <f>IF(AP1000="",NA(),COUNTIF(AP$176:$AP1000,AP1000))</f>
        <v>#N/A</v>
      </c>
      <c r="AR1000" s="16" t="e">
        <f t="shared" si="140"/>
        <v>#N/A</v>
      </c>
      <c r="BI1000" s="621">
        <v>992</v>
      </c>
      <c r="BJ1000" s="711"/>
      <c r="BK1000" s="712"/>
      <c r="BL1000" s="713">
        <v>992</v>
      </c>
      <c r="BM1000" s="714"/>
      <c r="BN1000" s="239"/>
      <c r="BO1000" s="24"/>
      <c r="BQ1000" s="621">
        <v>992</v>
      </c>
      <c r="BR1000" s="711"/>
      <c r="BS1000" s="712"/>
      <c r="BT1000" s="713">
        <v>992</v>
      </c>
      <c r="BU1000" s="714"/>
      <c r="BV1000" s="239"/>
      <c r="BW1000" s="24"/>
      <c r="BY1000" s="621">
        <v>992</v>
      </c>
      <c r="BZ1000" s="711"/>
      <c r="CA1000" s="712"/>
      <c r="CB1000" s="713">
        <v>992</v>
      </c>
      <c r="CC1000" s="714"/>
      <c r="CD1000" s="239"/>
      <c r="CE1000" s="24"/>
    </row>
    <row r="1001" spans="5:83" ht="12" customHeight="1">
      <c r="E1001" s="621">
        <v>993</v>
      </c>
      <c r="F1001" s="711"/>
      <c r="G1001" s="712"/>
      <c r="H1001" s="713">
        <v>993</v>
      </c>
      <c r="I1001" s="714"/>
      <c r="J1001" s="239"/>
      <c r="K1001" s="24"/>
      <c r="AI1001" s="16" t="e">
        <f t="shared" si="133"/>
        <v>#N/A</v>
      </c>
      <c r="AJ1001" s="16" t="str">
        <f t="shared" si="134"/>
        <v/>
      </c>
      <c r="AK1001" s="16" t="str">
        <f t="shared" si="135"/>
        <v/>
      </c>
      <c r="AL1001" s="16" t="e">
        <f>IF(AK1001="",NA(),COUNTIF(AK$176:$AK1001,AK1001))</f>
        <v>#N/A</v>
      </c>
      <c r="AM1001" s="16" t="e">
        <f t="shared" si="136"/>
        <v>#N/A</v>
      </c>
      <c r="AN1001" s="16" t="e">
        <f t="shared" si="137"/>
        <v>#N/A</v>
      </c>
      <c r="AO1001" s="16" t="str">
        <f t="shared" si="138"/>
        <v/>
      </c>
      <c r="AP1001" s="16" t="str">
        <f t="shared" si="139"/>
        <v/>
      </c>
      <c r="AQ1001" s="16" t="e">
        <f>IF(AP1001="",NA(),COUNTIF(AP$176:$AP1001,AP1001))</f>
        <v>#N/A</v>
      </c>
      <c r="AR1001" s="16" t="e">
        <f t="shared" si="140"/>
        <v>#N/A</v>
      </c>
      <c r="BI1001" s="621">
        <v>993</v>
      </c>
      <c r="BJ1001" s="711"/>
      <c r="BK1001" s="712"/>
      <c r="BL1001" s="713">
        <v>993</v>
      </c>
      <c r="BM1001" s="714"/>
      <c r="BN1001" s="239"/>
      <c r="BO1001" s="24"/>
      <c r="BQ1001" s="621">
        <v>993</v>
      </c>
      <c r="BR1001" s="711"/>
      <c r="BS1001" s="712"/>
      <c r="BT1001" s="713">
        <v>993</v>
      </c>
      <c r="BU1001" s="714"/>
      <c r="BV1001" s="239"/>
      <c r="BW1001" s="24"/>
      <c r="BY1001" s="621">
        <v>993</v>
      </c>
      <c r="BZ1001" s="711"/>
      <c r="CA1001" s="712"/>
      <c r="CB1001" s="713">
        <v>993</v>
      </c>
      <c r="CC1001" s="714"/>
      <c r="CD1001" s="239"/>
      <c r="CE1001" s="24"/>
    </row>
    <row r="1002" spans="5:83" ht="12" customHeight="1">
      <c r="E1002" s="621">
        <v>994</v>
      </c>
      <c r="F1002" s="711"/>
      <c r="G1002" s="712"/>
      <c r="H1002" s="713">
        <v>994</v>
      </c>
      <c r="I1002" s="714"/>
      <c r="J1002" s="239"/>
      <c r="K1002" s="24"/>
      <c r="AI1002" s="16" t="e">
        <f t="shared" si="133"/>
        <v>#N/A</v>
      </c>
      <c r="AJ1002" s="16" t="str">
        <f t="shared" si="134"/>
        <v/>
      </c>
      <c r="AK1002" s="16" t="str">
        <f t="shared" si="135"/>
        <v/>
      </c>
      <c r="AL1002" s="16" t="e">
        <f>IF(AK1002="",NA(),COUNTIF(AK$176:$AK1002,AK1002))</f>
        <v>#N/A</v>
      </c>
      <c r="AM1002" s="16" t="e">
        <f t="shared" si="136"/>
        <v>#N/A</v>
      </c>
      <c r="AN1002" s="16" t="e">
        <f t="shared" si="137"/>
        <v>#N/A</v>
      </c>
      <c r="AO1002" s="16" t="str">
        <f t="shared" si="138"/>
        <v/>
      </c>
      <c r="AP1002" s="16" t="str">
        <f t="shared" si="139"/>
        <v/>
      </c>
      <c r="AQ1002" s="16" t="e">
        <f>IF(AP1002="",NA(),COUNTIF(AP$176:$AP1002,AP1002))</f>
        <v>#N/A</v>
      </c>
      <c r="AR1002" s="16" t="e">
        <f t="shared" si="140"/>
        <v>#N/A</v>
      </c>
      <c r="BI1002" s="621">
        <v>994</v>
      </c>
      <c r="BJ1002" s="711"/>
      <c r="BK1002" s="712"/>
      <c r="BL1002" s="713">
        <v>994</v>
      </c>
      <c r="BM1002" s="714"/>
      <c r="BN1002" s="239"/>
      <c r="BO1002" s="24"/>
      <c r="BQ1002" s="621">
        <v>994</v>
      </c>
      <c r="BR1002" s="711"/>
      <c r="BS1002" s="712"/>
      <c r="BT1002" s="713">
        <v>994</v>
      </c>
      <c r="BU1002" s="714"/>
      <c r="BV1002" s="239"/>
      <c r="BW1002" s="24"/>
      <c r="BY1002" s="621">
        <v>994</v>
      </c>
      <c r="BZ1002" s="711"/>
      <c r="CA1002" s="712"/>
      <c r="CB1002" s="713">
        <v>994</v>
      </c>
      <c r="CC1002" s="714"/>
      <c r="CD1002" s="239"/>
      <c r="CE1002" s="24"/>
    </row>
    <row r="1003" spans="5:83" ht="12" customHeight="1">
      <c r="E1003" s="621">
        <v>995</v>
      </c>
      <c r="F1003" s="711"/>
      <c r="G1003" s="712"/>
      <c r="H1003" s="713">
        <v>995</v>
      </c>
      <c r="I1003" s="714"/>
      <c r="J1003" s="239"/>
      <c r="K1003" s="24"/>
      <c r="AI1003" s="16" t="e">
        <f t="shared" si="133"/>
        <v>#N/A</v>
      </c>
      <c r="AJ1003" s="16" t="str">
        <f t="shared" si="134"/>
        <v/>
      </c>
      <c r="AK1003" s="16" t="str">
        <f t="shared" si="135"/>
        <v/>
      </c>
      <c r="AL1003" s="16" t="e">
        <f>IF(AK1003="",NA(),COUNTIF(AK$176:$AK1003,AK1003))</f>
        <v>#N/A</v>
      </c>
      <c r="AM1003" s="16" t="e">
        <f t="shared" si="136"/>
        <v>#N/A</v>
      </c>
      <c r="AN1003" s="16" t="e">
        <f t="shared" si="137"/>
        <v>#N/A</v>
      </c>
      <c r="AO1003" s="16" t="str">
        <f t="shared" si="138"/>
        <v/>
      </c>
      <c r="AP1003" s="16" t="str">
        <f t="shared" si="139"/>
        <v/>
      </c>
      <c r="AQ1003" s="16" t="e">
        <f>IF(AP1003="",NA(),COUNTIF(AP$176:$AP1003,AP1003))</f>
        <v>#N/A</v>
      </c>
      <c r="AR1003" s="16" t="e">
        <f t="shared" si="140"/>
        <v>#N/A</v>
      </c>
      <c r="BI1003" s="621">
        <v>995</v>
      </c>
      <c r="BJ1003" s="711"/>
      <c r="BK1003" s="712"/>
      <c r="BL1003" s="713">
        <v>995</v>
      </c>
      <c r="BM1003" s="714"/>
      <c r="BN1003" s="239"/>
      <c r="BO1003" s="24"/>
      <c r="BQ1003" s="621">
        <v>995</v>
      </c>
      <c r="BR1003" s="711"/>
      <c r="BS1003" s="712"/>
      <c r="BT1003" s="713">
        <v>995</v>
      </c>
      <c r="BU1003" s="714"/>
      <c r="BV1003" s="239"/>
      <c r="BW1003" s="24"/>
      <c r="BY1003" s="621">
        <v>995</v>
      </c>
      <c r="BZ1003" s="711"/>
      <c r="CA1003" s="712"/>
      <c r="CB1003" s="713">
        <v>995</v>
      </c>
      <c r="CC1003" s="714"/>
      <c r="CD1003" s="239"/>
      <c r="CE1003" s="24"/>
    </row>
    <row r="1004" spans="5:83" ht="12" customHeight="1">
      <c r="E1004" s="621">
        <v>996</v>
      </c>
      <c r="F1004" s="711"/>
      <c r="G1004" s="712"/>
      <c r="H1004" s="713">
        <v>996</v>
      </c>
      <c r="I1004" s="714"/>
      <c r="J1004" s="239"/>
      <c r="K1004" s="24"/>
      <c r="AI1004" s="16" t="e">
        <f t="shared" si="133"/>
        <v>#N/A</v>
      </c>
      <c r="AJ1004" s="16" t="str">
        <f t="shared" si="134"/>
        <v/>
      </c>
      <c r="AK1004" s="16" t="str">
        <f t="shared" si="135"/>
        <v/>
      </c>
      <c r="AL1004" s="16" t="e">
        <f>IF(AK1004="",NA(),COUNTIF(AK$176:$AK1004,AK1004))</f>
        <v>#N/A</v>
      </c>
      <c r="AM1004" s="16" t="e">
        <f t="shared" si="136"/>
        <v>#N/A</v>
      </c>
      <c r="AN1004" s="16" t="e">
        <f t="shared" si="137"/>
        <v>#N/A</v>
      </c>
      <c r="AO1004" s="16" t="str">
        <f t="shared" si="138"/>
        <v/>
      </c>
      <c r="AP1004" s="16" t="str">
        <f t="shared" si="139"/>
        <v/>
      </c>
      <c r="AQ1004" s="16" t="e">
        <f>IF(AP1004="",NA(),COUNTIF(AP$176:$AP1004,AP1004))</f>
        <v>#N/A</v>
      </c>
      <c r="AR1004" s="16" t="e">
        <f t="shared" si="140"/>
        <v>#N/A</v>
      </c>
      <c r="BI1004" s="621">
        <v>996</v>
      </c>
      <c r="BJ1004" s="711"/>
      <c r="BK1004" s="712"/>
      <c r="BL1004" s="713">
        <v>996</v>
      </c>
      <c r="BM1004" s="714"/>
      <c r="BN1004" s="239"/>
      <c r="BO1004" s="24"/>
      <c r="BQ1004" s="621">
        <v>996</v>
      </c>
      <c r="BR1004" s="711"/>
      <c r="BS1004" s="712"/>
      <c r="BT1004" s="713">
        <v>996</v>
      </c>
      <c r="BU1004" s="714"/>
      <c r="BV1004" s="239"/>
      <c r="BW1004" s="24"/>
      <c r="BY1004" s="621">
        <v>996</v>
      </c>
      <c r="BZ1004" s="711"/>
      <c r="CA1004" s="712"/>
      <c r="CB1004" s="713">
        <v>996</v>
      </c>
      <c r="CC1004" s="714"/>
      <c r="CD1004" s="239"/>
      <c r="CE1004" s="24"/>
    </row>
    <row r="1005" spans="5:83" ht="12" customHeight="1">
      <c r="E1005" s="621">
        <v>997</v>
      </c>
      <c r="F1005" s="711"/>
      <c r="G1005" s="712"/>
      <c r="H1005" s="713">
        <v>997</v>
      </c>
      <c r="I1005" s="714"/>
      <c r="J1005" s="239"/>
      <c r="K1005" s="24"/>
      <c r="AI1005" s="16" t="e">
        <f t="shared" si="133"/>
        <v>#N/A</v>
      </c>
      <c r="AJ1005" s="16" t="str">
        <f t="shared" si="134"/>
        <v/>
      </c>
      <c r="AK1005" s="16" t="str">
        <f t="shared" si="135"/>
        <v/>
      </c>
      <c r="AL1005" s="16" t="e">
        <f>IF(AK1005="",NA(),COUNTIF(AK$176:$AK1005,AK1005))</f>
        <v>#N/A</v>
      </c>
      <c r="AM1005" s="16" t="e">
        <f t="shared" si="136"/>
        <v>#N/A</v>
      </c>
      <c r="AN1005" s="16" t="e">
        <f t="shared" si="137"/>
        <v>#N/A</v>
      </c>
      <c r="AO1005" s="16" t="str">
        <f t="shared" si="138"/>
        <v/>
      </c>
      <c r="AP1005" s="16" t="str">
        <f t="shared" si="139"/>
        <v/>
      </c>
      <c r="AQ1005" s="16" t="e">
        <f>IF(AP1005="",NA(),COUNTIF(AP$176:$AP1005,AP1005))</f>
        <v>#N/A</v>
      </c>
      <c r="AR1005" s="16" t="e">
        <f t="shared" si="140"/>
        <v>#N/A</v>
      </c>
      <c r="BI1005" s="621">
        <v>997</v>
      </c>
      <c r="BJ1005" s="711"/>
      <c r="BK1005" s="712"/>
      <c r="BL1005" s="713">
        <v>997</v>
      </c>
      <c r="BM1005" s="714"/>
      <c r="BN1005" s="239"/>
      <c r="BO1005" s="24"/>
      <c r="BQ1005" s="621">
        <v>997</v>
      </c>
      <c r="BR1005" s="711"/>
      <c r="BS1005" s="712"/>
      <c r="BT1005" s="713">
        <v>997</v>
      </c>
      <c r="BU1005" s="714"/>
      <c r="BV1005" s="239"/>
      <c r="BW1005" s="24"/>
      <c r="BY1005" s="621">
        <v>997</v>
      </c>
      <c r="BZ1005" s="711"/>
      <c r="CA1005" s="712"/>
      <c r="CB1005" s="713">
        <v>997</v>
      </c>
      <c r="CC1005" s="714"/>
      <c r="CD1005" s="239"/>
      <c r="CE1005" s="24"/>
    </row>
    <row r="1006" spans="5:83" ht="12" customHeight="1">
      <c r="E1006" s="621">
        <v>998</v>
      </c>
      <c r="F1006" s="711"/>
      <c r="G1006" s="712"/>
      <c r="H1006" s="713">
        <v>998</v>
      </c>
      <c r="I1006" s="714"/>
      <c r="J1006" s="239"/>
      <c r="K1006" s="24"/>
      <c r="AI1006" s="16" t="e">
        <f t="shared" si="133"/>
        <v>#N/A</v>
      </c>
      <c r="AJ1006" s="16" t="str">
        <f t="shared" si="134"/>
        <v/>
      </c>
      <c r="AK1006" s="16" t="str">
        <f t="shared" si="135"/>
        <v/>
      </c>
      <c r="AL1006" s="16" t="e">
        <f>IF(AK1006="",NA(),COUNTIF(AK$176:$AK1006,AK1006))</f>
        <v>#N/A</v>
      </c>
      <c r="AM1006" s="16" t="e">
        <f t="shared" si="136"/>
        <v>#N/A</v>
      </c>
      <c r="AN1006" s="16" t="e">
        <f t="shared" si="137"/>
        <v>#N/A</v>
      </c>
      <c r="AO1006" s="16" t="str">
        <f t="shared" si="138"/>
        <v/>
      </c>
      <c r="AP1006" s="16" t="str">
        <f t="shared" si="139"/>
        <v/>
      </c>
      <c r="AQ1006" s="16" t="e">
        <f>IF(AP1006="",NA(),COUNTIF(AP$176:$AP1006,AP1006))</f>
        <v>#N/A</v>
      </c>
      <c r="AR1006" s="16" t="e">
        <f t="shared" si="140"/>
        <v>#N/A</v>
      </c>
      <c r="BI1006" s="621">
        <v>998</v>
      </c>
      <c r="BJ1006" s="711"/>
      <c r="BK1006" s="712"/>
      <c r="BL1006" s="713">
        <v>998</v>
      </c>
      <c r="BM1006" s="714"/>
      <c r="BN1006" s="239"/>
      <c r="BO1006" s="24"/>
      <c r="BQ1006" s="621">
        <v>998</v>
      </c>
      <c r="BR1006" s="711"/>
      <c r="BS1006" s="712"/>
      <c r="BT1006" s="713">
        <v>998</v>
      </c>
      <c r="BU1006" s="714"/>
      <c r="BV1006" s="239"/>
      <c r="BW1006" s="24"/>
      <c r="BY1006" s="621">
        <v>998</v>
      </c>
      <c r="BZ1006" s="711"/>
      <c r="CA1006" s="712"/>
      <c r="CB1006" s="713">
        <v>998</v>
      </c>
      <c r="CC1006" s="714"/>
      <c r="CD1006" s="239"/>
      <c r="CE1006" s="24"/>
    </row>
    <row r="1007" spans="5:83" ht="12" customHeight="1">
      <c r="E1007" s="621">
        <v>999</v>
      </c>
      <c r="F1007" s="711"/>
      <c r="G1007" s="712"/>
      <c r="H1007" s="713">
        <v>999</v>
      </c>
      <c r="I1007" s="714"/>
      <c r="J1007" s="239"/>
      <c r="K1007" s="24"/>
      <c r="AI1007" s="16" t="e">
        <f t="shared" si="133"/>
        <v>#N/A</v>
      </c>
      <c r="AJ1007" s="16" t="str">
        <f t="shared" si="134"/>
        <v/>
      </c>
      <c r="AK1007" s="16" t="str">
        <f t="shared" si="135"/>
        <v/>
      </c>
      <c r="AL1007" s="16" t="e">
        <f>IF(AK1007="",NA(),COUNTIF(AK$176:$AK1007,AK1007))</f>
        <v>#N/A</v>
      </c>
      <c r="AM1007" s="16" t="e">
        <f t="shared" si="136"/>
        <v>#N/A</v>
      </c>
      <c r="AN1007" s="16" t="e">
        <f t="shared" si="137"/>
        <v>#N/A</v>
      </c>
      <c r="AO1007" s="16" t="str">
        <f t="shared" si="138"/>
        <v/>
      </c>
      <c r="AP1007" s="16" t="str">
        <f t="shared" si="139"/>
        <v/>
      </c>
      <c r="AQ1007" s="16" t="e">
        <f>IF(AP1007="",NA(),COUNTIF(AP$176:$AP1007,AP1007))</f>
        <v>#N/A</v>
      </c>
      <c r="AR1007" s="16" t="e">
        <f t="shared" si="140"/>
        <v>#N/A</v>
      </c>
      <c r="BI1007" s="621">
        <v>999</v>
      </c>
      <c r="BJ1007" s="711"/>
      <c r="BK1007" s="712"/>
      <c r="BL1007" s="713">
        <v>999</v>
      </c>
      <c r="BM1007" s="714"/>
      <c r="BN1007" s="239"/>
      <c r="BO1007" s="24"/>
      <c r="BQ1007" s="621">
        <v>999</v>
      </c>
      <c r="BR1007" s="711"/>
      <c r="BS1007" s="712"/>
      <c r="BT1007" s="713">
        <v>999</v>
      </c>
      <c r="BU1007" s="714"/>
      <c r="BV1007" s="239"/>
      <c r="BW1007" s="24"/>
      <c r="BY1007" s="621">
        <v>999</v>
      </c>
      <c r="BZ1007" s="711"/>
      <c r="CA1007" s="712"/>
      <c r="CB1007" s="713">
        <v>999</v>
      </c>
      <c r="CC1007" s="714"/>
      <c r="CD1007" s="239"/>
      <c r="CE1007" s="24"/>
    </row>
    <row r="1008" spans="5:83" ht="12" customHeight="1">
      <c r="E1008" s="715">
        <v>1000</v>
      </c>
      <c r="F1008" s="711"/>
      <c r="G1008" s="712"/>
      <c r="H1008" s="716">
        <v>1000</v>
      </c>
      <c r="I1008" s="714"/>
      <c r="J1008" s="239"/>
      <c r="K1008" s="24"/>
      <c r="BI1008" s="715">
        <v>1000</v>
      </c>
      <c r="BJ1008" s="711"/>
      <c r="BK1008" s="712"/>
      <c r="BL1008" s="716">
        <v>1000</v>
      </c>
      <c r="BM1008" s="714"/>
      <c r="BN1008" s="239"/>
      <c r="BO1008" s="24"/>
      <c r="BQ1008" s="715">
        <v>1000</v>
      </c>
      <c r="BR1008" s="711"/>
      <c r="BS1008" s="712"/>
      <c r="BT1008" s="716">
        <v>1000</v>
      </c>
      <c r="BU1008" s="714"/>
      <c r="BV1008" s="239"/>
      <c r="BW1008" s="24"/>
      <c r="BY1008" s="715">
        <v>1000</v>
      </c>
      <c r="BZ1008" s="711"/>
      <c r="CA1008" s="712"/>
      <c r="CB1008" s="716">
        <v>1000</v>
      </c>
      <c r="CC1008" s="714"/>
      <c r="CD1008" s="239"/>
      <c r="CE1008" s="24"/>
    </row>
    <row r="1009" spans="5:83" ht="12" customHeight="1">
      <c r="E1009" s="496"/>
      <c r="F1009" s="27"/>
      <c r="G1009" s="431"/>
      <c r="H1009" s="27"/>
      <c r="I1009" s="27"/>
      <c r="J1009" s="27"/>
      <c r="K1009" s="28"/>
      <c r="BI1009" s="496"/>
      <c r="BJ1009" s="27"/>
      <c r="BK1009" s="431"/>
      <c r="BL1009" s="27"/>
      <c r="BM1009" s="27"/>
      <c r="BN1009" s="27"/>
      <c r="BO1009" s="28"/>
      <c r="BQ1009" s="496"/>
      <c r="BR1009" s="27"/>
      <c r="BS1009" s="431"/>
      <c r="BT1009" s="27"/>
      <c r="BU1009" s="27"/>
      <c r="BV1009" s="27"/>
      <c r="BW1009" s="28"/>
      <c r="BY1009" s="496"/>
      <c r="BZ1009" s="27"/>
      <c r="CA1009" s="431"/>
      <c r="CB1009" s="27"/>
      <c r="CC1009" s="27"/>
      <c r="CD1009" s="27"/>
      <c r="CE1009" s="28"/>
    </row>
  </sheetData>
  <sheetProtection sheet="1" objects="1" scenarios="1" selectLockedCells="1"/>
  <phoneticPr fontId="0" type="noConversion"/>
  <dataValidations count="2">
    <dataValidation type="decimal" allowBlank="1" showErrorMessage="1" errorTitle="Confidence level" error="Number, min 0, max 99.9" sqref="Q9:R9">
      <formula1>0</formula1>
      <formula2>99.9</formula2>
    </dataValidation>
    <dataValidation type="decimal" operator="notEqual" allowBlank="1" showInputMessage="1" showErrorMessage="1" errorTitle="Data value" error="Must be a number" sqref="F9:F1008 I9:I1008 BJ9:BJ1008 BM9:BM1008 BR9:BR1008 BU9:BU1008 BZ9:BZ1008 CC9:CC1008">
      <formula1>-9999999999999990</formula1>
    </dataValidation>
  </dataValidations>
  <pageMargins left="0.75" right="0.75" top="1" bottom="1" header="0.5" footer="0.5"/>
  <pageSetup paperSize="9" orientation="portrait" horizontalDpi="300" verticalDpi="300" r:id="rId1"/>
  <headerFooter alignWithMargins="0"/>
  <drawing r:id="rId2"/>
  <legacyDrawing r:id="rId3"/>
  <oleObjects>
    <oleObject progId="PBrush" shapeId="139314" r:id="rId4"/>
  </oleObjects>
</worksheet>
</file>

<file path=xl/worksheets/sheet8.xml><?xml version="1.0" encoding="utf-8"?>
<worksheet xmlns="http://schemas.openxmlformats.org/spreadsheetml/2006/main" xmlns:r="http://schemas.openxmlformats.org/officeDocument/2006/relationships">
  <sheetPr codeName="Sheet212"/>
  <dimension ref="A1:BG144"/>
  <sheetViews>
    <sheetView showGridLines="0" showRowColHeaders="0" topLeftCell="D1" zoomScale="120" workbookViewId="0">
      <selection activeCell="H8" sqref="H8"/>
    </sheetView>
  </sheetViews>
  <sheetFormatPr defaultRowHeight="12" customHeight="1"/>
  <cols>
    <col min="1" max="3" width="9.140625" style="16" hidden="1" customWidth="1"/>
    <col min="4" max="4" width="0.5703125" style="16" customWidth="1"/>
    <col min="5" max="5" width="3.42578125" style="16" customWidth="1"/>
    <col min="6" max="6" width="5.42578125" style="16" customWidth="1"/>
    <col min="7" max="7" width="4.7109375" style="16" customWidth="1"/>
    <col min="8" max="8" width="7.42578125" style="16" customWidth="1"/>
    <col min="9" max="9" width="4.42578125" style="16" customWidth="1"/>
    <col min="10" max="10" width="7.42578125" style="16" customWidth="1"/>
    <col min="11" max="11" width="4.42578125" style="16" customWidth="1"/>
    <col min="12" max="12" width="7.42578125" style="16" customWidth="1"/>
    <col min="13" max="13" width="0.5703125" style="16" customWidth="1"/>
    <col min="14" max="14" width="6.85546875" style="16" customWidth="1"/>
    <col min="15" max="15" width="4.42578125" style="197" customWidth="1"/>
    <col min="16" max="16" width="1.7109375" style="16" customWidth="1"/>
    <col min="17" max="17" width="3.7109375" style="16" customWidth="1"/>
    <col min="18" max="18" width="8.85546875" style="16" customWidth="1"/>
    <col min="19" max="19" width="11.7109375" style="16" customWidth="1"/>
    <col min="20" max="20" width="8.85546875" style="16" customWidth="1"/>
    <col min="21" max="21" width="8.140625" style="16" customWidth="1"/>
    <col min="22" max="22" width="4.85546875" style="16" customWidth="1"/>
    <col min="23" max="23" width="3.7109375" style="16" customWidth="1"/>
    <col min="24" max="24" width="8.5703125" style="16" customWidth="1"/>
    <col min="25" max="28" width="5.7109375" style="16" customWidth="1"/>
    <col min="29" max="45" width="9.140625" style="16"/>
    <col min="46" max="46" width="4.5703125" style="16" customWidth="1"/>
    <col min="47" max="47" width="10.85546875" style="16" customWidth="1"/>
    <col min="48" max="16384" width="9.140625" style="16"/>
  </cols>
  <sheetData>
    <row r="1" spans="1:59" ht="12" customHeight="1">
      <c r="G1" s="585" t="s">
        <v>422</v>
      </c>
      <c r="Q1" s="179">
        <f>($L$15+None+Ntwo)/1000000</f>
        <v>2.4600000000000002E-4</v>
      </c>
      <c r="R1" s="179">
        <f t="shared" ref="R1:AE1" si="0">$Q$1</f>
        <v>2.4600000000000002E-4</v>
      </c>
      <c r="S1" s="179">
        <f t="shared" si="0"/>
        <v>2.4600000000000002E-4</v>
      </c>
      <c r="T1" s="179">
        <f t="shared" si="0"/>
        <v>2.4600000000000002E-4</v>
      </c>
      <c r="U1" s="179">
        <f t="shared" si="0"/>
        <v>2.4600000000000002E-4</v>
      </c>
      <c r="V1" s="180">
        <f t="shared" si="0"/>
        <v>2.4600000000000002E-4</v>
      </c>
      <c r="W1" s="179">
        <f t="shared" si="0"/>
        <v>2.4600000000000002E-4</v>
      </c>
      <c r="X1" s="179">
        <f t="shared" si="0"/>
        <v>2.4600000000000002E-4</v>
      </c>
      <c r="Y1" s="179">
        <f t="shared" si="0"/>
        <v>2.4600000000000002E-4</v>
      </c>
      <c r="Z1" s="179">
        <f t="shared" si="0"/>
        <v>2.4600000000000002E-4</v>
      </c>
      <c r="AA1" s="179">
        <f t="shared" si="0"/>
        <v>2.4600000000000002E-4</v>
      </c>
      <c r="AB1" s="179">
        <f t="shared" si="0"/>
        <v>2.4600000000000002E-4</v>
      </c>
      <c r="AC1" s="179">
        <f t="shared" si="0"/>
        <v>2.4600000000000002E-4</v>
      </c>
      <c r="AD1" s="179">
        <f t="shared" si="0"/>
        <v>2.4600000000000002E-4</v>
      </c>
      <c r="AE1" s="180">
        <f t="shared" si="0"/>
        <v>2.4600000000000002E-4</v>
      </c>
    </row>
    <row r="2" spans="1:59" ht="12" customHeight="1">
      <c r="G2" s="16" t="s">
        <v>426</v>
      </c>
      <c r="L2" s="588"/>
      <c r="M2" s="588"/>
      <c r="Q2" s="179">
        <f t="shared" ref="Q2:Q9" si="1">$Q$1</f>
        <v>2.4600000000000002E-4</v>
      </c>
      <c r="R2" s="211"/>
      <c r="V2" s="180">
        <f t="shared" ref="V2:W21" si="2">$Q$1</f>
        <v>2.4600000000000002E-4</v>
      </c>
      <c r="W2" s="179">
        <f t="shared" si="2"/>
        <v>2.4600000000000002E-4</v>
      </c>
      <c r="AE2" s="180">
        <f t="shared" ref="AE2:AE36" si="3">$Q$1</f>
        <v>2.4600000000000002E-4</v>
      </c>
    </row>
    <row r="3" spans="1:59" ht="12" customHeight="1">
      <c r="H3" s="16" t="s">
        <v>423</v>
      </c>
      <c r="Q3" s="179">
        <f t="shared" si="1"/>
        <v>2.4600000000000002E-4</v>
      </c>
      <c r="V3" s="180">
        <f t="shared" si="2"/>
        <v>2.4600000000000002E-4</v>
      </c>
      <c r="W3" s="179">
        <f t="shared" si="2"/>
        <v>2.4600000000000002E-4</v>
      </c>
      <c r="AE3" s="180">
        <f t="shared" si="3"/>
        <v>2.4600000000000002E-4</v>
      </c>
    </row>
    <row r="4" spans="1:59" ht="12" customHeight="1">
      <c r="A4" s="185" t="s">
        <v>445</v>
      </c>
      <c r="B4" s="211">
        <v>6.88</v>
      </c>
      <c r="C4" s="16">
        <f>H10</f>
        <v>6.88</v>
      </c>
      <c r="Q4" s="179">
        <f t="shared" si="1"/>
        <v>2.4600000000000002E-4</v>
      </c>
      <c r="V4" s="180">
        <f t="shared" si="2"/>
        <v>2.4600000000000002E-4</v>
      </c>
      <c r="W4" s="179">
        <f t="shared" si="2"/>
        <v>2.4600000000000002E-4</v>
      </c>
      <c r="AE4" s="180">
        <f t="shared" si="3"/>
        <v>2.4600000000000002E-4</v>
      </c>
    </row>
    <row r="5" spans="1:59" ht="12" customHeight="1">
      <c r="A5" s="185" t="s">
        <v>446</v>
      </c>
      <c r="B5" s="211">
        <v>12.09</v>
      </c>
      <c r="C5" s="16">
        <f>L10</f>
        <v>12.09</v>
      </c>
      <c r="E5" s="572">
        <v>1</v>
      </c>
      <c r="F5" s="832" t="s">
        <v>424</v>
      </c>
      <c r="G5" s="487"/>
      <c r="H5" s="20"/>
      <c r="I5" s="20"/>
      <c r="J5" s="487"/>
      <c r="K5" s="487"/>
      <c r="L5" s="20"/>
      <c r="M5" s="20"/>
      <c r="N5" s="20"/>
      <c r="O5" s="21"/>
      <c r="P5" s="30"/>
      <c r="Q5" s="179">
        <f t="shared" si="1"/>
        <v>2.4600000000000002E-4</v>
      </c>
      <c r="V5" s="180">
        <f t="shared" si="2"/>
        <v>2.4600000000000002E-4</v>
      </c>
      <c r="W5" s="179">
        <f t="shared" si="2"/>
        <v>2.4600000000000002E-4</v>
      </c>
      <c r="AE5" s="180">
        <f t="shared" si="3"/>
        <v>2.4600000000000002E-4</v>
      </c>
    </row>
    <row r="6" spans="1:59" ht="12" customHeight="1">
      <c r="A6" s="185" t="s">
        <v>447</v>
      </c>
      <c r="B6" s="211">
        <v>4.22</v>
      </c>
      <c r="C6" s="16">
        <f>H12</f>
        <v>4.22</v>
      </c>
      <c r="E6" s="239"/>
      <c r="F6" s="23"/>
      <c r="G6" s="23"/>
      <c r="H6" s="833" t="s">
        <v>292</v>
      </c>
      <c r="I6" s="1129" t="s">
        <v>288</v>
      </c>
      <c r="J6" s="1130"/>
      <c r="K6" s="1131"/>
      <c r="L6" s="834" t="s">
        <v>293</v>
      </c>
      <c r="M6" s="834"/>
      <c r="N6" s="23"/>
      <c r="O6" s="24"/>
      <c r="P6" s="30"/>
      <c r="Q6" s="179">
        <f t="shared" si="1"/>
        <v>2.4600000000000002E-4</v>
      </c>
      <c r="V6" s="180">
        <f t="shared" si="2"/>
        <v>2.4600000000000002E-4</v>
      </c>
      <c r="W6" s="179">
        <f t="shared" si="2"/>
        <v>2.4600000000000002E-4</v>
      </c>
      <c r="AE6" s="180">
        <f t="shared" si="3"/>
        <v>2.4600000000000002E-4</v>
      </c>
    </row>
    <row r="7" spans="1:59" ht="12" customHeight="1">
      <c r="A7" s="185" t="s">
        <v>448</v>
      </c>
      <c r="B7" s="211">
        <v>5.52</v>
      </c>
      <c r="C7" s="16">
        <f>L12</f>
        <v>5.52</v>
      </c>
      <c r="E7" s="239"/>
      <c r="F7" s="23"/>
      <c r="G7" s="23"/>
      <c r="H7" s="835" t="s">
        <v>294</v>
      </c>
      <c r="I7" s="836"/>
      <c r="J7" s="837"/>
      <c r="K7" s="837"/>
      <c r="L7" s="835" t="s">
        <v>295</v>
      </c>
      <c r="M7" s="838"/>
      <c r="N7" s="23"/>
      <c r="O7" s="24"/>
      <c r="P7" s="603"/>
      <c r="Q7" s="179">
        <f t="shared" si="1"/>
        <v>2.4600000000000002E-4</v>
      </c>
      <c r="V7" s="180">
        <f t="shared" si="2"/>
        <v>2.4600000000000002E-4</v>
      </c>
      <c r="W7" s="179">
        <f t="shared" si="2"/>
        <v>2.4600000000000002E-4</v>
      </c>
      <c r="AE7" s="180">
        <f t="shared" si="3"/>
        <v>2.4600000000000002E-4</v>
      </c>
      <c r="BD7" s="321"/>
      <c r="BE7" s="321"/>
      <c r="BF7" s="321"/>
      <c r="BG7" s="321"/>
    </row>
    <row r="8" spans="1:59" ht="12" customHeight="1">
      <c r="A8" s="605" t="s">
        <v>1044</v>
      </c>
      <c r="B8" s="211">
        <v>95</v>
      </c>
      <c r="C8" s="16">
        <f>L15</f>
        <v>95</v>
      </c>
      <c r="E8" s="239"/>
      <c r="F8" s="23"/>
      <c r="G8" s="515" t="s">
        <v>390</v>
      </c>
      <c r="H8" s="839">
        <v>48</v>
      </c>
      <c r="I8" s="840"/>
      <c r="J8" s="23"/>
      <c r="K8" s="515" t="s">
        <v>391</v>
      </c>
      <c r="L8" s="841">
        <v>103</v>
      </c>
      <c r="M8" s="840"/>
      <c r="N8" s="23"/>
      <c r="O8" s="24"/>
      <c r="P8" s="30"/>
      <c r="Q8" s="179">
        <f t="shared" si="1"/>
        <v>2.4600000000000002E-4</v>
      </c>
      <c r="V8" s="180">
        <f t="shared" si="2"/>
        <v>2.4600000000000002E-4</v>
      </c>
      <c r="W8" s="179">
        <f t="shared" si="2"/>
        <v>2.4600000000000002E-4</v>
      </c>
      <c r="AE8" s="180">
        <f t="shared" si="3"/>
        <v>2.4600000000000002E-4</v>
      </c>
      <c r="BD8" s="321"/>
      <c r="BE8" s="321"/>
      <c r="BF8" s="321"/>
      <c r="BG8" s="321"/>
    </row>
    <row r="9" spans="1:59" ht="12" customHeight="1">
      <c r="A9" s="185" t="s">
        <v>300</v>
      </c>
      <c r="B9" s="211">
        <v>48</v>
      </c>
      <c r="C9" s="16">
        <f>None</f>
        <v>48</v>
      </c>
      <c r="E9" s="239"/>
      <c r="F9" s="23"/>
      <c r="G9" s="23"/>
      <c r="H9" s="23"/>
      <c r="I9" s="23"/>
      <c r="J9" s="23"/>
      <c r="K9" s="23"/>
      <c r="L9" s="23"/>
      <c r="M9" s="23"/>
      <c r="N9" s="23"/>
      <c r="O9" s="24"/>
      <c r="P9" s="30"/>
      <c r="Q9" s="179">
        <f t="shared" si="1"/>
        <v>2.4600000000000002E-4</v>
      </c>
      <c r="V9" s="180">
        <f t="shared" si="2"/>
        <v>2.4600000000000002E-4</v>
      </c>
      <c r="W9" s="179">
        <f t="shared" si="2"/>
        <v>2.4600000000000002E-4</v>
      </c>
      <c r="AE9" s="180">
        <f t="shared" si="3"/>
        <v>2.4600000000000002E-4</v>
      </c>
      <c r="BD9" s="321"/>
      <c r="BE9" s="321"/>
      <c r="BF9" s="321"/>
      <c r="BG9" s="321"/>
    </row>
    <row r="10" spans="1:59" ht="12" customHeight="1">
      <c r="A10" s="185" t="s">
        <v>303</v>
      </c>
      <c r="B10" s="211">
        <v>103</v>
      </c>
      <c r="C10" s="16">
        <f>Ntwo</f>
        <v>103</v>
      </c>
      <c r="E10" s="239"/>
      <c r="F10" s="23"/>
      <c r="G10" s="491" t="s">
        <v>392</v>
      </c>
      <c r="H10" s="624">
        <v>6.88</v>
      </c>
      <c r="I10" s="763"/>
      <c r="J10" s="23"/>
      <c r="K10" s="842" t="s">
        <v>393</v>
      </c>
      <c r="L10" s="624">
        <v>12.09</v>
      </c>
      <c r="M10" s="23" t="str">
        <f>IF($I$6="","",$I$6)</f>
        <v>Transcription %</v>
      </c>
      <c r="N10" s="23"/>
      <c r="O10" s="24"/>
      <c r="Q10" s="179">
        <v>2</v>
      </c>
      <c r="V10" s="180">
        <f t="shared" si="2"/>
        <v>2.4600000000000002E-4</v>
      </c>
      <c r="W10" s="179">
        <f t="shared" si="2"/>
        <v>2.4600000000000002E-4</v>
      </c>
      <c r="AE10" s="180">
        <f t="shared" si="3"/>
        <v>2.4600000000000002E-4</v>
      </c>
      <c r="BD10" s="321"/>
      <c r="BE10" s="321"/>
      <c r="BF10" s="321"/>
      <c r="BG10" s="321"/>
    </row>
    <row r="11" spans="1:59" ht="12" customHeight="1">
      <c r="B11" s="185" t="s">
        <v>389</v>
      </c>
      <c r="C11" s="238" t="b">
        <f>IF(AND(M31&lt;&gt;"",J36&lt;&gt;"",S94&lt;&gt;""),AND(S77,U80=1,M31&lt;=200,ABS(J36)&lt;=10,B4=C4,B5=C5,B6=C6,B7=C7,B8=C8,B9=C9,B10=C10),FALSE)</f>
        <v>0</v>
      </c>
      <c r="E11" s="239"/>
      <c r="F11" s="23"/>
      <c r="G11" s="23"/>
      <c r="H11" s="23"/>
      <c r="I11" s="23"/>
      <c r="J11" s="23"/>
      <c r="K11" s="23"/>
      <c r="L11" s="23"/>
      <c r="M11" s="23"/>
      <c r="N11" s="23"/>
      <c r="O11" s="24"/>
      <c r="Q11" s="179">
        <f t="shared" ref="Q11:Q36" si="4">$Q$1</f>
        <v>2.4600000000000002E-4</v>
      </c>
      <c r="V11" s="180">
        <f t="shared" si="2"/>
        <v>2.4600000000000002E-4</v>
      </c>
      <c r="W11" s="179">
        <f t="shared" si="2"/>
        <v>2.4600000000000002E-4</v>
      </c>
      <c r="AE11" s="180">
        <f t="shared" si="3"/>
        <v>2.4600000000000002E-4</v>
      </c>
      <c r="BD11" s="321"/>
      <c r="BE11" s="321"/>
      <c r="BF11" s="321"/>
      <c r="BG11" s="321"/>
    </row>
    <row r="12" spans="1:59" ht="12" customHeight="1">
      <c r="A12" s="217" t="s">
        <v>305</v>
      </c>
      <c r="B12" s="217"/>
      <c r="C12" s="217"/>
      <c r="E12" s="239"/>
      <c r="F12" s="23"/>
      <c r="G12" s="491" t="s">
        <v>394</v>
      </c>
      <c r="H12" s="624">
        <v>4.22</v>
      </c>
      <c r="I12" s="763"/>
      <c r="J12" s="23"/>
      <c r="K12" s="842" t="s">
        <v>395</v>
      </c>
      <c r="L12" s="624">
        <v>5.52</v>
      </c>
      <c r="M12" s="23" t="str">
        <f>IF($I$6="","",$I$6)</f>
        <v>Transcription %</v>
      </c>
      <c r="N12" s="23"/>
      <c r="O12" s="24"/>
      <c r="Q12" s="179">
        <f t="shared" si="4"/>
        <v>2.4600000000000002E-4</v>
      </c>
      <c r="V12" s="180">
        <f t="shared" si="2"/>
        <v>2.4600000000000002E-4</v>
      </c>
      <c r="W12" s="179">
        <f t="shared" si="2"/>
        <v>2.4600000000000002E-4</v>
      </c>
      <c r="AE12" s="180">
        <f t="shared" si="3"/>
        <v>2.4600000000000002E-4</v>
      </c>
      <c r="BD12" s="321"/>
      <c r="BE12" s="321"/>
      <c r="BF12" s="321"/>
      <c r="BG12" s="321"/>
    </row>
    <row r="13" spans="1:59" ht="12" customHeight="1">
      <c r="A13" s="183" t="s">
        <v>306</v>
      </c>
      <c r="B13" s="264">
        <f>1-C13</f>
        <v>0.97499999999999998</v>
      </c>
      <c r="C13" s="184">
        <f>(100-L15)/200</f>
        <v>2.5000000000000001E-2</v>
      </c>
      <c r="E13" s="496"/>
      <c r="F13" s="27"/>
      <c r="G13" s="27"/>
      <c r="H13" s="27"/>
      <c r="I13" s="27"/>
      <c r="J13" s="27"/>
      <c r="K13" s="27"/>
      <c r="L13" s="461"/>
      <c r="M13" s="27"/>
      <c r="N13" s="27"/>
      <c r="O13" s="28"/>
      <c r="Q13" s="179">
        <f t="shared" si="4"/>
        <v>2.4600000000000002E-4</v>
      </c>
      <c r="V13" s="180">
        <f t="shared" si="2"/>
        <v>2.4600000000000002E-4</v>
      </c>
      <c r="W13" s="179">
        <f t="shared" si="2"/>
        <v>2.4600000000000002E-4</v>
      </c>
      <c r="AE13" s="180">
        <f t="shared" si="3"/>
        <v>2.4600000000000002E-4</v>
      </c>
      <c r="BD13" s="321"/>
      <c r="BE13" s="321"/>
      <c r="BF13" s="321"/>
      <c r="BG13" s="321"/>
    </row>
    <row r="14" spans="1:59" ht="12" customHeight="1">
      <c r="A14" s="183" t="s">
        <v>307</v>
      </c>
      <c r="B14" s="264">
        <f>100000*(B13-B17)</f>
        <v>2.2513213515651387E-6</v>
      </c>
      <c r="C14" s="184">
        <f>100000*(C13-C17)</f>
        <v>-2.7334398633449553E-6</v>
      </c>
      <c r="E14" s="578">
        <v>2</v>
      </c>
      <c r="F14" s="843" t="s">
        <v>425</v>
      </c>
      <c r="G14" s="352"/>
      <c r="H14" s="352"/>
      <c r="I14" s="352"/>
      <c r="J14" s="352"/>
      <c r="K14" s="352"/>
      <c r="L14" s="620"/>
      <c r="M14" s="352"/>
      <c r="N14" s="352"/>
      <c r="O14" s="501"/>
      <c r="Q14" s="179">
        <f t="shared" si="4"/>
        <v>2.4600000000000002E-4</v>
      </c>
      <c r="V14" s="180">
        <f t="shared" si="2"/>
        <v>2.4600000000000002E-4</v>
      </c>
      <c r="W14" s="179">
        <f t="shared" si="2"/>
        <v>2.4600000000000002E-4</v>
      </c>
      <c r="AE14" s="180">
        <f t="shared" si="3"/>
        <v>2.4600000000000002E-4</v>
      </c>
      <c r="BD14" s="321"/>
      <c r="BE14" s="321"/>
      <c r="BF14" s="321"/>
      <c r="BG14" s="321"/>
    </row>
    <row r="15" spans="1:59" ht="12" customHeight="1">
      <c r="A15" s="183" t="s">
        <v>1000</v>
      </c>
      <c r="B15" s="184">
        <f>IF(M31="","",M31)</f>
        <v>149</v>
      </c>
      <c r="E15" s="240" t="s">
        <v>529</v>
      </c>
      <c r="F15" s="352"/>
      <c r="G15" s="352"/>
      <c r="H15" s="352" t="s">
        <v>304</v>
      </c>
      <c r="I15" s="352"/>
      <c r="J15" s="625"/>
      <c r="K15" s="619" t="s">
        <v>1044</v>
      </c>
      <c r="L15" s="242">
        <v>95</v>
      </c>
      <c r="M15" s="620"/>
      <c r="N15" s="352"/>
      <c r="O15" s="501"/>
      <c r="P15" s="30"/>
      <c r="Q15" s="179">
        <f t="shared" si="4"/>
        <v>2.4600000000000002E-4</v>
      </c>
      <c r="V15" s="180">
        <f t="shared" si="2"/>
        <v>2.4600000000000002E-4</v>
      </c>
      <c r="W15" s="179">
        <f t="shared" si="2"/>
        <v>2.4600000000000002E-4</v>
      </c>
      <c r="AE15" s="180">
        <f t="shared" si="3"/>
        <v>2.4600000000000002E-4</v>
      </c>
      <c r="BD15" s="321"/>
      <c r="BE15" s="321"/>
      <c r="BF15" s="321"/>
      <c r="BG15" s="321"/>
    </row>
    <row r="16" spans="1:59" ht="12" customHeight="1">
      <c r="A16" s="183" t="s">
        <v>308</v>
      </c>
      <c r="B16" s="641">
        <v>3.7177370799434595</v>
      </c>
      <c r="C16" s="250">
        <v>7.8521972020092123</v>
      </c>
      <c r="E16" s="246"/>
      <c r="F16" s="247"/>
      <c r="G16" s="247"/>
      <c r="H16" s="247"/>
      <c r="I16" s="247"/>
      <c r="J16" s="247"/>
      <c r="K16" s="247"/>
      <c r="L16" s="844"/>
      <c r="M16" s="247"/>
      <c r="N16" s="247"/>
      <c r="O16" s="558"/>
      <c r="P16" s="30"/>
      <c r="Q16" s="179">
        <f t="shared" si="4"/>
        <v>2.4600000000000002E-4</v>
      </c>
      <c r="V16" s="180">
        <f t="shared" si="2"/>
        <v>2.4600000000000002E-4</v>
      </c>
      <c r="W16" s="179">
        <f t="shared" si="2"/>
        <v>2.4600000000000002E-4</v>
      </c>
      <c r="AE16" s="180">
        <f t="shared" si="3"/>
        <v>2.4600000000000002E-4</v>
      </c>
    </row>
    <row r="17" spans="1:49" ht="12" customHeight="1">
      <c r="A17" s="183" t="s">
        <v>309</v>
      </c>
      <c r="B17" s="644">
        <f>nct(J31,B16,B15)</f>
        <v>0.97499999997748676</v>
      </c>
      <c r="C17" s="645">
        <f>nct(J31,C16,B15)</f>
        <v>2.50000000273344E-2</v>
      </c>
      <c r="E17" s="845" t="s">
        <v>427</v>
      </c>
      <c r="F17" s="286" t="s">
        <v>311</v>
      </c>
      <c r="G17" s="287"/>
      <c r="H17" s="287"/>
      <c r="I17" s="287"/>
      <c r="J17" s="287"/>
      <c r="K17" s="287"/>
      <c r="L17" s="287"/>
      <c r="M17" s="287"/>
      <c r="N17" s="287"/>
      <c r="O17" s="337"/>
      <c r="P17" s="30"/>
      <c r="Q17" s="649">
        <f t="shared" si="4"/>
        <v>2.4600000000000002E-4</v>
      </c>
      <c r="V17" s="180">
        <f t="shared" si="2"/>
        <v>2.4600000000000002E-4</v>
      </c>
      <c r="W17" s="179">
        <f t="shared" si="2"/>
        <v>2.4600000000000002E-4</v>
      </c>
      <c r="AE17" s="180">
        <f t="shared" si="3"/>
        <v>2.4600000000000002E-4</v>
      </c>
    </row>
    <row r="18" spans="1:49" ht="12" customHeight="1">
      <c r="A18" s="203" t="s">
        <v>310</v>
      </c>
      <c r="B18" s="650">
        <f>J23-J28</f>
        <v>3.433079088407502</v>
      </c>
      <c r="C18" s="651">
        <f>J23+J28</f>
        <v>6.986920911592498</v>
      </c>
      <c r="E18" s="290"/>
      <c r="F18" s="228"/>
      <c r="G18" s="653" t="s">
        <v>396</v>
      </c>
      <c r="H18" s="654">
        <f>IF(T76,(H12/SQRT(None))*TINV(1-$L$15/100,(None-1)),"")</f>
        <v>1.2253602476521235</v>
      </c>
      <c r="I18" s="846"/>
      <c r="J18" s="657"/>
      <c r="K18" s="655" t="s">
        <v>397</v>
      </c>
      <c r="L18" s="654">
        <f>IF(U76,(L12/SQRT(Ntwo))*TINV(1-$L$15/100,(Ntwo-1)),"")</f>
        <v>1.0788265358043134</v>
      </c>
      <c r="M18" s="656" t="str">
        <f>IF($I$6="","",$I$6)</f>
        <v>Transcription %</v>
      </c>
      <c r="N18" s="657"/>
      <c r="O18" s="338"/>
      <c r="P18" s="30"/>
      <c r="Q18" s="179">
        <f t="shared" si="4"/>
        <v>2.4600000000000002E-4</v>
      </c>
      <c r="V18" s="180">
        <f t="shared" si="2"/>
        <v>2.4600000000000002E-4</v>
      </c>
      <c r="W18" s="179">
        <f t="shared" si="2"/>
        <v>2.4600000000000002E-4</v>
      </c>
      <c r="AE18" s="180">
        <f t="shared" si="3"/>
        <v>2.4600000000000002E-4</v>
      </c>
    </row>
    <row r="19" spans="1:49" ht="12" customHeight="1">
      <c r="A19" s="225" t="s">
        <v>312</v>
      </c>
      <c r="B19" s="197">
        <f>B18/S94</f>
        <v>0.66719807093239436</v>
      </c>
      <c r="C19" s="192">
        <f>C18/S94</f>
        <v>1.3578656459482032</v>
      </c>
      <c r="E19" s="290"/>
      <c r="F19" s="228"/>
      <c r="G19" s="658" t="s">
        <v>398</v>
      </c>
      <c r="H19" s="659">
        <f>IF(T76,H10-H18,"")</f>
        <v>5.654639752347876</v>
      </c>
      <c r="I19" s="847" t="s">
        <v>314</v>
      </c>
      <c r="J19" s="228"/>
      <c r="K19" s="848" t="s">
        <v>1320</v>
      </c>
      <c r="L19" s="659">
        <f>IF(U76,L10-L18,"")</f>
        <v>11.011173464195686</v>
      </c>
      <c r="M19" s="228" t="s">
        <v>314</v>
      </c>
      <c r="N19" s="657"/>
      <c r="O19" s="338"/>
      <c r="Q19" s="179">
        <f t="shared" si="4"/>
        <v>2.4600000000000002E-4</v>
      </c>
      <c r="V19" s="180">
        <f t="shared" si="2"/>
        <v>2.4600000000000002E-4</v>
      </c>
      <c r="W19" s="179">
        <f t="shared" si="2"/>
        <v>2.4600000000000002E-4</v>
      </c>
      <c r="AE19" s="180">
        <f t="shared" si="3"/>
        <v>2.4600000000000002E-4</v>
      </c>
    </row>
    <row r="20" spans="1:49" ht="12" customHeight="1">
      <c r="A20" s="249" t="s">
        <v>313</v>
      </c>
      <c r="B20" s="232">
        <f>B19/SQRT(1/H8+1/L8)</f>
        <v>3.8177328891882256</v>
      </c>
      <c r="C20" s="262">
        <f>C19/SQRT(1/H8+1/L8)</f>
        <v>7.7697591786960514</v>
      </c>
      <c r="E20" s="290"/>
      <c r="F20" s="228"/>
      <c r="G20" s="658"/>
      <c r="H20" s="661">
        <f>IF(T76,H10+H18,"")</f>
        <v>8.1053602476521238</v>
      </c>
      <c r="I20" s="336" t="s">
        <v>316</v>
      </c>
      <c r="J20" s="340"/>
      <c r="K20" s="849"/>
      <c r="L20" s="661">
        <f>IF(U76,L10+L18,"")</f>
        <v>13.168826535804314</v>
      </c>
      <c r="M20" s="336" t="s">
        <v>316</v>
      </c>
      <c r="N20" s="657"/>
      <c r="O20" s="663"/>
      <c r="Q20" s="179">
        <f t="shared" si="4"/>
        <v>2.4600000000000002E-4</v>
      </c>
      <c r="V20" s="180">
        <f t="shared" si="2"/>
        <v>2.4600000000000002E-4</v>
      </c>
      <c r="W20" s="179">
        <f t="shared" si="2"/>
        <v>2.4600000000000002E-4</v>
      </c>
      <c r="AE20" s="180">
        <f t="shared" si="3"/>
        <v>2.4600000000000002E-4</v>
      </c>
    </row>
    <row r="21" spans="1:49" ht="12" customHeight="1">
      <c r="B21" s="185" t="s">
        <v>315</v>
      </c>
      <c r="C21" s="16" t="b">
        <f>(U80=1)</f>
        <v>1</v>
      </c>
      <c r="E21" s="290"/>
      <c r="F21" s="228"/>
      <c r="G21" s="228"/>
      <c r="H21" s="657"/>
      <c r="I21" s="664" t="s">
        <v>400</v>
      </c>
      <c r="J21" s="850">
        <f>IF(AND(H18&lt;&gt;"",L18&lt;&gt;""),(H18+L18)/2,"")</f>
        <v>1.1520933917282186</v>
      </c>
      <c r="K21" s="656" t="str">
        <f>IF($I$6="","",$I$6)</f>
        <v>Transcription %</v>
      </c>
      <c r="L21" s="657"/>
      <c r="M21" s="656"/>
      <c r="N21" s="228"/>
      <c r="O21" s="338"/>
      <c r="Q21" s="179">
        <f t="shared" si="4"/>
        <v>2.4600000000000002E-4</v>
      </c>
      <c r="V21" s="180">
        <f t="shared" si="2"/>
        <v>2.4600000000000002E-4</v>
      </c>
      <c r="W21" s="179">
        <f t="shared" si="2"/>
        <v>2.4600000000000002E-4</v>
      </c>
      <c r="AE21" s="180">
        <f t="shared" si="3"/>
        <v>2.4600000000000002E-4</v>
      </c>
    </row>
    <row r="22" spans="1:49" ht="12" customHeight="1">
      <c r="B22" s="187"/>
      <c r="C22" s="187"/>
      <c r="E22" s="290"/>
      <c r="F22" s="228"/>
      <c r="G22" s="228"/>
      <c r="H22" s="657"/>
      <c r="I22" s="667" t="str">
        <f>IF(AND(H18&lt;&gt;"",L18&lt;&gt;"",NOT(AND(H18=0,L18=0))),IF((MIN(H10+H18,L10+L18)-MAX(H10-H18,L10-L18))/J21&gt;=0,"Overlap","Gap"),"")</f>
        <v>Gap</v>
      </c>
      <c r="J22" s="668" t="str">
        <f>IF(AND(U78,H18&lt;&gt;"",L18&lt;&gt;"",NOT(AND(H18=0,L18=0))),ABS((MIN(H10+H18,L10+L18)-MAX(H10-H18,L10-L18))/J21),"")</f>
        <v/>
      </c>
      <c r="K22" s="669"/>
      <c r="L22" s="657"/>
      <c r="M22" s="669"/>
      <c r="N22" s="228"/>
      <c r="O22" s="338"/>
      <c r="Q22" s="179">
        <f t="shared" si="4"/>
        <v>2.4600000000000002E-4</v>
      </c>
      <c r="V22" s="180">
        <f t="shared" ref="V22:W36" si="5">$Q$1</f>
        <v>2.4600000000000002E-4</v>
      </c>
      <c r="W22" s="179">
        <f t="shared" si="5"/>
        <v>2.4600000000000002E-4</v>
      </c>
      <c r="AE22" s="180">
        <f t="shared" si="3"/>
        <v>2.4600000000000002E-4</v>
      </c>
    </row>
    <row r="23" spans="1:49" ht="12" customHeight="1">
      <c r="A23" s="185"/>
      <c r="E23" s="290"/>
      <c r="F23" s="228"/>
      <c r="G23" s="228"/>
      <c r="H23" s="657"/>
      <c r="I23" s="670" t="s">
        <v>317</v>
      </c>
      <c r="J23" s="671">
        <f>IF(AND(H10&lt;&gt;"",L10&lt;&gt;""),L10-H10,"")</f>
        <v>5.21</v>
      </c>
      <c r="K23" s="228" t="str">
        <f>IF($I$6="","",$I$6)</f>
        <v>Transcription %</v>
      </c>
      <c r="L23" s="657"/>
      <c r="M23" s="228"/>
      <c r="N23" s="228"/>
      <c r="O23" s="338"/>
      <c r="Q23" s="179">
        <f t="shared" si="4"/>
        <v>2.4600000000000002E-4</v>
      </c>
      <c r="V23" s="180">
        <f t="shared" si="5"/>
        <v>2.4600000000000002E-4</v>
      </c>
      <c r="W23" s="179">
        <f t="shared" si="5"/>
        <v>2.4600000000000002E-4</v>
      </c>
      <c r="AE23" s="180">
        <f t="shared" si="3"/>
        <v>2.4600000000000002E-4</v>
      </c>
    </row>
    <row r="24" spans="1:49" ht="12" customHeight="1">
      <c r="E24" s="575">
        <v>4</v>
      </c>
      <c r="F24" s="342" t="s">
        <v>318</v>
      </c>
      <c r="G24" s="343"/>
      <c r="H24" s="343"/>
      <c r="I24" s="343"/>
      <c r="J24" s="343"/>
      <c r="K24" s="343"/>
      <c r="L24" s="343" t="s">
        <v>530</v>
      </c>
      <c r="M24" s="343"/>
      <c r="N24" s="343"/>
      <c r="O24" s="569"/>
      <c r="Q24" s="179">
        <f t="shared" si="4"/>
        <v>2.4600000000000002E-4</v>
      </c>
      <c r="V24" s="180">
        <f t="shared" si="5"/>
        <v>2.4600000000000002E-4</v>
      </c>
      <c r="W24" s="179">
        <f t="shared" si="5"/>
        <v>2.4600000000000002E-4</v>
      </c>
      <c r="AE24" s="180">
        <f t="shared" si="3"/>
        <v>2.4600000000000002E-4</v>
      </c>
    </row>
    <row r="25" spans="1:49" ht="12" customHeight="1">
      <c r="E25" s="345"/>
      <c r="F25" s="346"/>
      <c r="G25" s="346"/>
      <c r="H25" s="346"/>
      <c r="I25" s="346"/>
      <c r="J25" s="548" t="s">
        <v>320</v>
      </c>
      <c r="K25" s="548"/>
      <c r="L25" s="346"/>
      <c r="M25" s="346"/>
      <c r="N25" s="346"/>
      <c r="O25" s="347"/>
      <c r="Q25" s="179">
        <f t="shared" si="4"/>
        <v>2.4600000000000002E-4</v>
      </c>
      <c r="V25" s="180">
        <f t="shared" si="5"/>
        <v>2.4600000000000002E-4</v>
      </c>
      <c r="W25" s="179">
        <f t="shared" si="5"/>
        <v>2.4600000000000002E-4</v>
      </c>
      <c r="AE25" s="180">
        <f t="shared" si="3"/>
        <v>2.4600000000000002E-4</v>
      </c>
    </row>
    <row r="26" spans="1:49" ht="12" customHeight="1">
      <c r="E26" s="349"/>
      <c r="F26" s="350"/>
      <c r="G26" s="350"/>
      <c r="H26" s="350"/>
      <c r="I26" s="350"/>
      <c r="J26" s="350"/>
      <c r="K26" s="350"/>
      <c r="L26" s="350" t="s">
        <v>531</v>
      </c>
      <c r="M26" s="350"/>
      <c r="N26" s="350"/>
      <c r="O26" s="351"/>
      <c r="Q26" s="179">
        <f t="shared" si="4"/>
        <v>2.4600000000000002E-4</v>
      </c>
      <c r="V26" s="180">
        <f t="shared" si="5"/>
        <v>2.4600000000000002E-4</v>
      </c>
      <c r="W26" s="179">
        <f t="shared" si="5"/>
        <v>2.4600000000000002E-4</v>
      </c>
      <c r="AE26" s="180">
        <f t="shared" si="3"/>
        <v>2.4600000000000002E-4</v>
      </c>
    </row>
    <row r="27" spans="1:49" ht="12" customHeight="1">
      <c r="E27" s="851">
        <v>5</v>
      </c>
      <c r="F27" s="674" t="s">
        <v>322</v>
      </c>
      <c r="G27" s="675"/>
      <c r="H27" s="657"/>
      <c r="I27" s="676" t="s">
        <v>1321</v>
      </c>
      <c r="J27" s="677">
        <f>IF(AND(S94&lt;&gt;"",U80=1,H18&lt;&gt;"",L18&lt;&gt;""),S94,"")</f>
        <v>5.1455171080004032</v>
      </c>
      <c r="K27" s="287" t="str">
        <f>IF(AND(U80=1,$I$6&lt;&gt;""),$I$6,"")</f>
        <v>Transcription %</v>
      </c>
      <c r="L27" s="657"/>
      <c r="M27" s="287"/>
      <c r="N27" s="287"/>
      <c r="O27" s="337"/>
      <c r="Q27" s="179">
        <f t="shared" si="4"/>
        <v>2.4600000000000002E-4</v>
      </c>
      <c r="V27" s="180">
        <f t="shared" si="5"/>
        <v>2.4600000000000002E-4</v>
      </c>
      <c r="W27" s="179">
        <f t="shared" si="5"/>
        <v>2.4600000000000002E-4</v>
      </c>
      <c r="AE27" s="180">
        <f t="shared" si="3"/>
        <v>2.4600000000000002E-4</v>
      </c>
    </row>
    <row r="28" spans="1:49" ht="12" customHeight="1">
      <c r="E28" s="290"/>
      <c r="F28" s="228"/>
      <c r="G28" s="228"/>
      <c r="H28" s="657"/>
      <c r="I28" s="852" t="s">
        <v>1322</v>
      </c>
      <c r="J28" s="679">
        <f>IF(AND(H18&lt;&gt;"",L18&lt;&gt;"",S94&lt;&gt;""),IF(U80=1,S96,S106),"")</f>
        <v>1.776920911592498</v>
      </c>
      <c r="K28" s="656" t="str">
        <f>IF($I$6="","",$I$6)</f>
        <v>Transcription %</v>
      </c>
      <c r="L28" s="657"/>
      <c r="M28" s="228"/>
      <c r="N28" s="228"/>
      <c r="O28" s="338"/>
      <c r="Q28" s="179">
        <f t="shared" si="4"/>
        <v>2.4600000000000002E-4</v>
      </c>
      <c r="V28" s="180">
        <f t="shared" si="5"/>
        <v>2.4600000000000002E-4</v>
      </c>
      <c r="W28" s="179">
        <f t="shared" si="5"/>
        <v>2.4600000000000002E-4</v>
      </c>
      <c r="AE28" s="180">
        <f t="shared" si="3"/>
        <v>2.4600000000000002E-4</v>
      </c>
    </row>
    <row r="29" spans="1:49" ht="12" customHeight="1">
      <c r="E29" s="290"/>
      <c r="F29" s="228"/>
      <c r="G29" s="228"/>
      <c r="H29" s="657"/>
      <c r="I29" s="658" t="s">
        <v>398</v>
      </c>
      <c r="J29" s="659">
        <f>IF(AND(J23&lt;&gt;"",J28&lt;&gt;""),J23-J28,"")</f>
        <v>3.433079088407502</v>
      </c>
      <c r="K29" s="228" t="s">
        <v>314</v>
      </c>
      <c r="L29" s="657"/>
      <c r="M29" s="228"/>
      <c r="N29" s="228"/>
      <c r="O29" s="338"/>
      <c r="Q29" s="179">
        <f t="shared" si="4"/>
        <v>2.4600000000000002E-4</v>
      </c>
      <c r="V29" s="180">
        <f t="shared" si="5"/>
        <v>2.4600000000000002E-4</v>
      </c>
      <c r="W29" s="179">
        <f t="shared" si="5"/>
        <v>2.4600000000000002E-4</v>
      </c>
      <c r="AE29" s="180">
        <f t="shared" si="3"/>
        <v>2.4600000000000002E-4</v>
      </c>
    </row>
    <row r="30" spans="1:49" ht="12" customHeight="1">
      <c r="E30" s="290"/>
      <c r="F30" s="228"/>
      <c r="G30" s="228"/>
      <c r="H30" s="657"/>
      <c r="I30" s="228"/>
      <c r="J30" s="661">
        <f>IF(AND(J23&lt;&gt;"",J28&lt;&gt;""),J23+J28,"")</f>
        <v>6.986920911592498</v>
      </c>
      <c r="K30" s="336" t="s">
        <v>316</v>
      </c>
      <c r="L30" s="657"/>
      <c r="M30" s="228"/>
      <c r="N30" s="228"/>
      <c r="O30" s="338"/>
      <c r="P30" s="657"/>
      <c r="Q30" s="179">
        <f t="shared" si="4"/>
        <v>2.4600000000000002E-4</v>
      </c>
      <c r="V30" s="180">
        <f t="shared" si="5"/>
        <v>2.4600000000000002E-4</v>
      </c>
      <c r="W30" s="179">
        <f t="shared" si="5"/>
        <v>2.4600000000000002E-4</v>
      </c>
      <c r="AE30" s="180">
        <f t="shared" si="3"/>
        <v>2.4600000000000002E-4</v>
      </c>
    </row>
    <row r="31" spans="1:49" ht="12" customHeight="1">
      <c r="E31" s="290"/>
      <c r="F31" s="228"/>
      <c r="G31" s="228"/>
      <c r="H31" s="657"/>
      <c r="I31" s="682" t="s">
        <v>403</v>
      </c>
      <c r="J31" s="683">
        <f>IF(AND(H18&lt;&gt;"",L18&lt;&gt;"",S94&lt;&gt;""),IF(U80=1,(L10-H10)/(S94*SQRT(1/None+1/Ntwo)),S100),"")</f>
        <v>5.7937460339421385</v>
      </c>
      <c r="K31" s="853"/>
      <c r="L31" s="653" t="s">
        <v>323</v>
      </c>
      <c r="M31" s="1128">
        <f>IF(S94&lt;&gt;"",IF(U80=1,None+Ntwo-2,S101),"")</f>
        <v>149</v>
      </c>
      <c r="N31" s="1128"/>
      <c r="O31" s="338"/>
      <c r="P31" s="657"/>
      <c r="Q31" s="179">
        <f t="shared" si="4"/>
        <v>2.4600000000000002E-4</v>
      </c>
      <c r="V31" s="180">
        <f t="shared" si="5"/>
        <v>2.4600000000000002E-4</v>
      </c>
      <c r="W31" s="179">
        <f t="shared" si="5"/>
        <v>2.4600000000000002E-4</v>
      </c>
      <c r="AE31" s="180">
        <f t="shared" si="3"/>
        <v>2.4600000000000002E-4</v>
      </c>
      <c r="AW31" s="181"/>
    </row>
    <row r="32" spans="1:49" ht="12" customHeight="1">
      <c r="A32" s="181"/>
      <c r="E32" s="290"/>
      <c r="F32" s="228"/>
      <c r="G32" s="228"/>
      <c r="H32" s="657"/>
      <c r="I32" s="685" t="s">
        <v>404</v>
      </c>
      <c r="J32" s="686">
        <f>IF(J31&lt;&gt;"",IF(U80=1,TDIST(ABS(J31),None+Ntwo-2,2),S105),"")</f>
        <v>3.9513744722681777E-8</v>
      </c>
      <c r="K32" s="854"/>
      <c r="L32" s="228"/>
      <c r="M32" s="228"/>
      <c r="N32" s="228"/>
      <c r="O32" s="338"/>
      <c r="Q32" s="179">
        <f t="shared" si="4"/>
        <v>2.4600000000000002E-4</v>
      </c>
      <c r="V32" s="180">
        <f t="shared" si="5"/>
        <v>2.4600000000000002E-4</v>
      </c>
      <c r="W32" s="179">
        <f t="shared" si="5"/>
        <v>2.4600000000000002E-4</v>
      </c>
      <c r="AE32" s="180">
        <f t="shared" si="3"/>
        <v>2.4600000000000002E-4</v>
      </c>
    </row>
    <row r="33" spans="5:31" ht="12" customHeight="1">
      <c r="E33" s="339"/>
      <c r="F33" s="340"/>
      <c r="G33" s="340"/>
      <c r="H33" s="340"/>
      <c r="I33" s="340"/>
      <c r="J33" s="340"/>
      <c r="K33" s="340"/>
      <c r="L33" s="340"/>
      <c r="M33" s="340"/>
      <c r="N33" s="340"/>
      <c r="O33" s="341"/>
      <c r="Q33" s="179">
        <f t="shared" si="4"/>
        <v>2.4600000000000002E-4</v>
      </c>
      <c r="V33" s="180">
        <f t="shared" si="5"/>
        <v>2.4600000000000002E-4</v>
      </c>
      <c r="W33" s="179">
        <f t="shared" si="5"/>
        <v>2.4600000000000002E-4</v>
      </c>
      <c r="AE33" s="180">
        <f t="shared" si="3"/>
        <v>2.4600000000000002E-4</v>
      </c>
    </row>
    <row r="34" spans="5:31" ht="12" customHeight="1">
      <c r="E34" s="855">
        <v>6</v>
      </c>
      <c r="F34" s="688" t="s">
        <v>324</v>
      </c>
      <c r="H34" s="181"/>
      <c r="I34" s="181"/>
      <c r="K34" s="181"/>
      <c r="L34" s="181"/>
      <c r="M34" s="181"/>
      <c r="P34" s="613"/>
      <c r="Q34" s="179">
        <f t="shared" si="4"/>
        <v>2.4600000000000002E-4</v>
      </c>
      <c r="V34" s="180">
        <f t="shared" si="5"/>
        <v>2.4600000000000002E-4</v>
      </c>
      <c r="W34" s="179">
        <f t="shared" si="5"/>
        <v>2.4600000000000002E-4</v>
      </c>
      <c r="AE34" s="180">
        <f t="shared" si="3"/>
        <v>2.4600000000000002E-4</v>
      </c>
    </row>
    <row r="35" spans="5:31" ht="12" customHeight="1">
      <c r="I35" s="947" t="s">
        <v>440</v>
      </c>
      <c r="J35" s="949" t="s">
        <v>1340</v>
      </c>
      <c r="P35" s="192"/>
      <c r="Q35" s="179">
        <f t="shared" si="4"/>
        <v>2.4600000000000002E-4</v>
      </c>
      <c r="V35" s="180">
        <f t="shared" si="5"/>
        <v>2.4600000000000002E-4</v>
      </c>
      <c r="W35" s="179">
        <f t="shared" si="5"/>
        <v>2.4600000000000002E-4</v>
      </c>
      <c r="AE35" s="180">
        <f t="shared" si="3"/>
        <v>2.4600000000000002E-4</v>
      </c>
    </row>
    <row r="36" spans="5:31" ht="12" customHeight="1">
      <c r="E36" s="856">
        <v>8</v>
      </c>
      <c r="F36" s="690" t="s">
        <v>1323</v>
      </c>
      <c r="G36" s="236"/>
      <c r="H36" s="236"/>
      <c r="I36" s="809" t="s">
        <v>535</v>
      </c>
      <c r="J36" s="946" t="str">
        <f>IF(AND(dispddt,T76,U76,U80=1),J23/S94,"")</f>
        <v/>
      </c>
      <c r="K36" s="808"/>
      <c r="L36" s="236"/>
      <c r="M36" s="236"/>
      <c r="N36" s="236"/>
      <c r="O36" s="613"/>
      <c r="P36" s="192"/>
      <c r="Q36" s="179">
        <f t="shared" si="4"/>
        <v>2.4600000000000002E-4</v>
      </c>
      <c r="V36" s="180">
        <f t="shared" si="5"/>
        <v>2.4600000000000002E-4</v>
      </c>
      <c r="W36" s="179">
        <f t="shared" si="5"/>
        <v>2.4600000000000002E-4</v>
      </c>
      <c r="AE36" s="180">
        <f t="shared" si="3"/>
        <v>2.4600000000000002E-4</v>
      </c>
    </row>
    <row r="37" spans="5:31" ht="12" customHeight="1">
      <c r="E37" s="240"/>
      <c r="F37" s="857" t="s">
        <v>1324</v>
      </c>
      <c r="G37" s="352"/>
      <c r="H37" s="352"/>
      <c r="I37" s="692" t="s">
        <v>407</v>
      </c>
      <c r="J37" s="693" t="str">
        <f>IF(AND(dispddt,T76,U76,U80=1),J36*S76,"")</f>
        <v/>
      </c>
      <c r="K37" s="858"/>
      <c r="L37" s="352"/>
      <c r="M37" s="352"/>
      <c r="N37" s="352"/>
      <c r="O37" s="501"/>
      <c r="P37" s="197"/>
    </row>
    <row r="38" spans="5:31" ht="12" customHeight="1">
      <c r="E38" s="578"/>
      <c r="F38" s="352"/>
      <c r="G38" s="352"/>
      <c r="H38" s="352"/>
      <c r="I38" s="352"/>
      <c r="J38" s="352"/>
      <c r="K38" s="767"/>
      <c r="L38" s="352"/>
      <c r="M38" s="695" t="s">
        <v>558</v>
      </c>
      <c r="N38" s="352"/>
      <c r="O38" s="501"/>
    </row>
    <row r="39" spans="5:31" ht="12" customHeight="1">
      <c r="E39" s="691"/>
      <c r="F39" s="352"/>
      <c r="G39" s="352"/>
      <c r="H39" s="352"/>
      <c r="I39" s="352"/>
      <c r="J39" s="352"/>
      <c r="K39" s="696" t="s">
        <v>326</v>
      </c>
      <c r="L39" s="697" t="str">
        <f>IF(C11,cidtl*SQRT(1/None+1/Ntwo),"")</f>
        <v/>
      </c>
      <c r="M39" s="698" t="s">
        <v>327</v>
      </c>
      <c r="N39" s="697" t="str">
        <f>IF(C11,cidtu*SQRT(1/None+1/Ntwo),"")</f>
        <v/>
      </c>
      <c r="O39" s="699" t="s">
        <v>316</v>
      </c>
      <c r="S39" s="16">
        <f>SQRT(1/21+1/21)</f>
        <v>0.30860669992418382</v>
      </c>
    </row>
    <row r="40" spans="5:31" ht="12" customHeight="1">
      <c r="E40" s="240"/>
      <c r="F40" s="352"/>
      <c r="G40" s="352"/>
      <c r="H40" s="352"/>
      <c r="I40" s="692" t="s">
        <v>408</v>
      </c>
      <c r="J40" s="693" t="str">
        <f>IF(C11,(N39-L39)/2,"")</f>
        <v/>
      </c>
      <c r="K40" s="352"/>
      <c r="L40" s="352"/>
      <c r="M40" s="352"/>
      <c r="N40" s="352"/>
      <c r="O40" s="501"/>
      <c r="Q40" s="185"/>
    </row>
    <row r="41" spans="5:31" ht="12" customHeight="1">
      <c r="E41" s="246"/>
      <c r="F41" s="247"/>
      <c r="G41" s="247"/>
      <c r="H41" s="247"/>
      <c r="I41" s="247"/>
      <c r="J41" s="700"/>
      <c r="K41" s="700"/>
      <c r="L41" s="701"/>
      <c r="M41" s="702"/>
      <c r="N41" s="701"/>
      <c r="O41" s="703"/>
    </row>
    <row r="46" spans="5:31" ht="12" customHeight="1">
      <c r="R46"/>
      <c r="S46"/>
      <c r="AA46" s="181"/>
      <c r="AC46" s="181"/>
    </row>
    <row r="47" spans="5:31" ht="12" customHeight="1">
      <c r="F47" s="30"/>
      <c r="R47"/>
      <c r="S47"/>
    </row>
    <row r="48" spans="5:31" ht="12" customHeight="1">
      <c r="E48" s="30"/>
      <c r="F48" s="30"/>
      <c r="R48"/>
      <c r="S48"/>
    </row>
    <row r="49" spans="5:19" ht="12" customHeight="1">
      <c r="R49"/>
      <c r="S49"/>
    </row>
    <row r="50" spans="5:19" ht="12" customHeight="1">
      <c r="E50" s="30"/>
    </row>
    <row r="52" spans="5:19" ht="12" customHeight="1">
      <c r="E52" s="30"/>
    </row>
    <row r="54" spans="5:19" ht="12" customHeight="1">
      <c r="E54" s="30"/>
    </row>
    <row r="56" spans="5:19" ht="12" customHeight="1">
      <c r="E56" s="30"/>
    </row>
    <row r="58" spans="5:19" ht="12" customHeight="1">
      <c r="E58" s="30"/>
    </row>
    <row r="60" spans="5:19" ht="12" customHeight="1">
      <c r="E60" s="30"/>
    </row>
    <row r="62" spans="5:19" ht="12" customHeight="1">
      <c r="E62" s="30"/>
    </row>
    <row r="64" spans="5:19" ht="12" customHeight="1">
      <c r="E64" s="30"/>
    </row>
    <row r="66" spans="5:41" ht="12" customHeight="1">
      <c r="E66" s="30"/>
    </row>
    <row r="68" spans="5:41" ht="12" customHeight="1">
      <c r="E68" s="30"/>
    </row>
    <row r="70" spans="5:41" ht="12" customHeight="1">
      <c r="E70" s="30"/>
    </row>
    <row r="72" spans="5:41" ht="12" customHeight="1">
      <c r="E72" s="30"/>
    </row>
    <row r="74" spans="5:41" ht="12" customHeight="1">
      <c r="E74" s="30"/>
      <c r="F74" s="30"/>
      <c r="G74" s="185"/>
    </row>
    <row r="75" spans="5:41" ht="12" customHeight="1">
      <c r="T75" s="16" t="s">
        <v>430</v>
      </c>
      <c r="U75" s="16" t="s">
        <v>431</v>
      </c>
      <c r="AF75" s="185"/>
      <c r="AG75" s="136"/>
      <c r="AH75" s="136"/>
      <c r="AI75" s="136"/>
      <c r="AJ75" s="136"/>
      <c r="AK75" s="136"/>
      <c r="AL75" s="136"/>
      <c r="AM75" s="136"/>
      <c r="AN75" s="136"/>
      <c r="AO75" s="136"/>
    </row>
    <row r="76" spans="5:41" ht="12" customHeight="1">
      <c r="E76" s="30"/>
      <c r="F76" s="30"/>
      <c r="R76" s="185" t="s">
        <v>332</v>
      </c>
      <c r="S76" s="16">
        <f>EXP(GAMMALN(M31/2))/(SQRT(M31/2)*EXP(GAMMALN(M31/2-0.5)))</f>
        <v>0.99495656859737469</v>
      </c>
      <c r="T76" s="16" t="b">
        <f>AND(None&gt;1,H10&lt;&gt;"",H12&gt;0)</f>
        <v>1</v>
      </c>
      <c r="U76" s="16" t="b">
        <f>AND(Ntwo&gt;1,L10&lt;&gt;"",L12&gt;0)</f>
        <v>1</v>
      </c>
    </row>
    <row r="77" spans="5:41" ht="12" customHeight="1">
      <c r="R77" s="185" t="s">
        <v>409</v>
      </c>
      <c r="S77" s="211" t="b">
        <v>0</v>
      </c>
      <c r="T77" s="185" t="s">
        <v>1058</v>
      </c>
      <c r="U77" s="211" t="b">
        <v>1</v>
      </c>
      <c r="X77" s="16" t="s">
        <v>343</v>
      </c>
      <c r="AA77" s="16" t="s">
        <v>344</v>
      </c>
    </row>
    <row r="78" spans="5:41" ht="12" customHeight="1">
      <c r="E78" s="30"/>
      <c r="F78" s="30"/>
      <c r="R78" s="185" t="s">
        <v>346</v>
      </c>
      <c r="S78" s="136" t="b">
        <v>1</v>
      </c>
      <c r="T78" s="185" t="s">
        <v>347</v>
      </c>
      <c r="U78" s="211" t="b">
        <v>0</v>
      </c>
      <c r="X78" s="185">
        <v>1</v>
      </c>
      <c r="Y78" s="16">
        <f>S90</f>
        <v>5.654639752347876</v>
      </c>
      <c r="AA78" s="16">
        <f>IF(AC84,1,NA())</f>
        <v>1</v>
      </c>
      <c r="AB78" s="16">
        <f>H10</f>
        <v>6.88</v>
      </c>
    </row>
    <row r="79" spans="5:41" ht="12" customHeight="1">
      <c r="P79" s="185"/>
      <c r="R79" s="185" t="s">
        <v>349</v>
      </c>
      <c r="S79" s="136" t="b">
        <v>1</v>
      </c>
      <c r="T79" s="185"/>
      <c r="U79" s="136"/>
      <c r="X79" s="185">
        <v>2</v>
      </c>
      <c r="Y79" s="16">
        <f>Y78</f>
        <v>5.654639752347876</v>
      </c>
      <c r="AA79" s="16">
        <f>IF(AC84,AA88,NA())</f>
        <v>3.1</v>
      </c>
      <c r="AB79" s="16">
        <f>AB78</f>
        <v>6.88</v>
      </c>
    </row>
    <row r="80" spans="5:41" ht="12" customHeight="1">
      <c r="E80" s="30"/>
      <c r="F80" s="30"/>
      <c r="R80" s="185"/>
      <c r="S80" s="136"/>
      <c r="T80" s="185" t="s">
        <v>353</v>
      </c>
      <c r="U80" s="211">
        <v>1</v>
      </c>
      <c r="X80" s="16">
        <v>3</v>
      </c>
      <c r="Y80" s="16">
        <f>Y79</f>
        <v>5.654639752347876</v>
      </c>
      <c r="AA80" s="16">
        <f>IF(AC84,2,NA())</f>
        <v>2</v>
      </c>
      <c r="AB80" s="16">
        <f>L10</f>
        <v>12.09</v>
      </c>
    </row>
    <row r="81" spans="5:31" ht="12" customHeight="1">
      <c r="R81" s="605" t="s">
        <v>410</v>
      </c>
      <c r="S81" s="136" t="b">
        <f>AND(L15&gt;=0, L15&lt;=99.9)</f>
        <v>1</v>
      </c>
      <c r="T81" s="185" t="s">
        <v>354</v>
      </c>
      <c r="U81" s="211" t="b">
        <v>0</v>
      </c>
      <c r="X81" s="16" t="s">
        <v>355</v>
      </c>
      <c r="AA81" s="16">
        <f>IF(AC84,AA88,NA())</f>
        <v>3.1</v>
      </c>
      <c r="AB81" s="16">
        <f>AB80</f>
        <v>12.09</v>
      </c>
    </row>
    <row r="82" spans="5:31" ht="12" customHeight="1">
      <c r="E82" s="30"/>
      <c r="F82" s="30"/>
      <c r="R82" s="185" t="s">
        <v>357</v>
      </c>
      <c r="S82" s="16" t="str">
        <f>IF(S78,LEFT("        ",MAX(0,8-0.5*LEN(H7)))&amp;H7&amp;LEFT("        ",MAX(0,8-0.5*LEN(H7))),"  ")</f>
        <v xml:space="preserve">      Pen      </v>
      </c>
      <c r="T82" s="16" t="str">
        <f>IF(S79,IF(L7="","  ",L7),"  ")</f>
        <v>Laptop</v>
      </c>
      <c r="U82" s="16" t="s">
        <v>358</v>
      </c>
      <c r="X82" s="185" t="s">
        <v>359</v>
      </c>
      <c r="Y82" s="16">
        <f>IF(S89-S90=0,1,S89-S90)</f>
        <v>8.2122811592446219</v>
      </c>
      <c r="AA82" s="16" t="s">
        <v>360</v>
      </c>
      <c r="AC82" s="16" t="s">
        <v>245</v>
      </c>
      <c r="AD82" s="16" t="s">
        <v>428</v>
      </c>
      <c r="AE82" s="16" t="s">
        <v>429</v>
      </c>
    </row>
    <row r="83" spans="5:31" ht="12" customHeight="1">
      <c r="R83" s="185" t="s">
        <v>361</v>
      </c>
      <c r="S83" s="16">
        <f>IF(AND($H$10&lt;&gt;"",S78),$H$10,NA())</f>
        <v>6.88</v>
      </c>
      <c r="T83" s="16">
        <f>IF(AND($L$10&lt;&gt;"",S79),$L$10,NA())</f>
        <v>12.09</v>
      </c>
      <c r="X83" s="185" t="s">
        <v>362</v>
      </c>
      <c r="Y83" s="16">
        <f>POWER(10,INT(LOG10(Y82)))</f>
        <v>1</v>
      </c>
      <c r="AA83" s="16">
        <f>IF(AND(U77,AC84),2.7,NA())</f>
        <v>2.7</v>
      </c>
      <c r="AB83" s="16">
        <f>AB80</f>
        <v>12.09</v>
      </c>
      <c r="AC83" s="16">
        <f>IF(AND(T76,U76),IF(U80=1,S96,S106),"")</f>
        <v>1.776920911592498</v>
      </c>
      <c r="AD83" s="16">
        <f>IF(AND(T76,U76),AB83+AC83,"")</f>
        <v>13.866920911592498</v>
      </c>
      <c r="AE83" s="16">
        <f>IF(AND(T76,U76),AB83-AC83,"")</f>
        <v>10.313079088407502</v>
      </c>
    </row>
    <row r="84" spans="5:31" ht="12" customHeight="1">
      <c r="E84" s="30"/>
      <c r="F84" s="30"/>
      <c r="R84" s="185"/>
      <c r="X84" s="185" t="s">
        <v>364</v>
      </c>
      <c r="Y84" s="16">
        <f>ROUNDUP(Y82/Y83,0)</f>
        <v>9</v>
      </c>
      <c r="AB84" s="185" t="s">
        <v>365</v>
      </c>
      <c r="AC84" s="16" t="b">
        <f>AND(H10&lt;&gt;"",L10&lt;&gt;"",S78,S79)</f>
        <v>1</v>
      </c>
    </row>
    <row r="85" spans="5:31" ht="12" customHeight="1">
      <c r="R85" s="185" t="s">
        <v>366</v>
      </c>
      <c r="S85" s="16">
        <f>IF(AND($H$10&lt;&gt;"",$U$77,S78),$H$10,NA())</f>
        <v>6.88</v>
      </c>
      <c r="T85" s="16">
        <f>IF(AND($L$10&lt;&gt;"",$U$77,S79),$L$10,NA())</f>
        <v>12.09</v>
      </c>
      <c r="X85" s="185" t="s">
        <v>367</v>
      </c>
      <c r="Y85" s="16">
        <f>CHOOSE(Y84,10,5,5,2,2,2,2,1,1,1)</f>
        <v>1</v>
      </c>
    </row>
    <row r="86" spans="5:31" ht="12" customHeight="1">
      <c r="E86" s="30"/>
      <c r="F86" s="30"/>
      <c r="R86" s="185" t="s">
        <v>368</v>
      </c>
      <c r="S86" s="704">
        <f>H18</f>
        <v>1.2253602476521235</v>
      </c>
      <c r="T86" s="705">
        <f>L18</f>
        <v>1.0788265358043134</v>
      </c>
      <c r="X86" s="185" t="s">
        <v>622</v>
      </c>
      <c r="Y86" s="16">
        <f>Y83/Y85</f>
        <v>1</v>
      </c>
    </row>
    <row r="87" spans="5:31" ht="12" customHeight="1">
      <c r="R87" s="203" t="s">
        <v>369</v>
      </c>
      <c r="S87" s="706" t="e">
        <f>IF(AND($U$77,$U$78,$H$18&lt;&gt;"",$L$18&lt;&gt;"",S78,S79),MIN($H$10+$H$18,$L$10+$L$18),NA())</f>
        <v>#N/A</v>
      </c>
      <c r="T87" s="706" t="e">
        <f>IF(AND($U$77,$U$78,$H$18&lt;&gt;"",$L$18&lt;&gt;"",S78,S79),MIN($H$10+$H$18,$L$10+$L$18),NA())</f>
        <v>#N/A</v>
      </c>
      <c r="U87" s="199"/>
      <c r="X87" s="185" t="s">
        <v>370</v>
      </c>
      <c r="Y87" s="16" t="s">
        <v>716</v>
      </c>
      <c r="Z87" s="187" t="s">
        <v>640</v>
      </c>
      <c r="AA87" s="187" t="s">
        <v>639</v>
      </c>
      <c r="AB87" s="187" t="s">
        <v>251</v>
      </c>
    </row>
    <row r="88" spans="5:31" ht="12" customHeight="1">
      <c r="E88" s="30"/>
      <c r="F88" s="30"/>
      <c r="R88" s="231"/>
      <c r="S88" s="707" t="e">
        <f>IF(AND($U$77,$U$78,$H$18&lt;&gt;"",$L$18&lt;&gt;"",S78,S79),MAX($H$10-$H$18,$L$10-$L$18),NA())</f>
        <v>#N/A</v>
      </c>
      <c r="T88" s="707" t="e">
        <f>IF(AND($U$77,$U$78,$H$18&lt;&gt;"",$L$18&lt;&gt;"",S78,S79),MAX($H$10-$H$18,$L$10-$L$18),NA())</f>
        <v>#N/A</v>
      </c>
      <c r="U88" s="262"/>
      <c r="X88" s="185">
        <v>10</v>
      </c>
      <c r="Y88" s="16">
        <f t="shared" ref="Y88:Y108" si="6">$Y$86*X88</f>
        <v>10</v>
      </c>
      <c r="Z88" s="16">
        <f t="shared" ref="Z88:Z108" si="7">$H$10+$Y$86*X88</f>
        <v>16.88</v>
      </c>
      <c r="AA88" s="16">
        <f>IF(AC84,3.1,NA())</f>
        <v>3.1</v>
      </c>
      <c r="AB88" s="16" t="e">
        <f t="shared" ref="AB88:AB108" si="8">IF(AND(Z88&lt;=$S$89,Z88&gt;=$S$90),Z88,NA())</f>
        <v>#N/A</v>
      </c>
    </row>
    <row r="89" spans="5:31" ht="12" customHeight="1">
      <c r="R89" s="203" t="s">
        <v>371</v>
      </c>
      <c r="S89" s="650">
        <f>MAX(H20,L20,AD83)</f>
        <v>13.866920911592498</v>
      </c>
      <c r="T89" s="650">
        <f>MAX(H20,L20,AD83)</f>
        <v>13.866920911592498</v>
      </c>
      <c r="U89" s="199"/>
      <c r="X89" s="185">
        <v>9</v>
      </c>
      <c r="Y89" s="16">
        <f t="shared" si="6"/>
        <v>9</v>
      </c>
      <c r="Z89" s="16">
        <f t="shared" si="7"/>
        <v>15.879999999999999</v>
      </c>
      <c r="AA89" s="16">
        <f t="shared" ref="AA89:AA108" si="9">IF($AC$84,AA88,NA())</f>
        <v>3.1</v>
      </c>
      <c r="AB89" s="16" t="e">
        <f t="shared" si="8"/>
        <v>#N/A</v>
      </c>
    </row>
    <row r="90" spans="5:31" ht="12" customHeight="1">
      <c r="E90" s="30"/>
      <c r="F90" s="30"/>
      <c r="R90" s="225" t="s">
        <v>372</v>
      </c>
      <c r="S90" s="197">
        <f>MIN(H19,L19,AE83)</f>
        <v>5.654639752347876</v>
      </c>
      <c r="T90" s="197">
        <f>MIN(H19,L19,AE83)</f>
        <v>5.654639752347876</v>
      </c>
      <c r="U90" s="192"/>
      <c r="X90" s="185">
        <v>8</v>
      </c>
      <c r="Y90" s="16">
        <f t="shared" si="6"/>
        <v>8</v>
      </c>
      <c r="Z90" s="16">
        <f t="shared" si="7"/>
        <v>14.879999999999999</v>
      </c>
      <c r="AA90" s="16">
        <f t="shared" si="9"/>
        <v>3.1</v>
      </c>
      <c r="AB90" s="16" t="e">
        <f t="shared" si="8"/>
        <v>#N/A</v>
      </c>
    </row>
    <row r="91" spans="5:31" ht="12" customHeight="1">
      <c r="R91" s="231"/>
      <c r="S91" s="232"/>
      <c r="T91" s="275" t="s">
        <v>373</v>
      </c>
      <c r="U91" s="262"/>
      <c r="X91" s="185">
        <v>7</v>
      </c>
      <c r="Y91" s="16">
        <f t="shared" si="6"/>
        <v>7</v>
      </c>
      <c r="Z91" s="16">
        <f t="shared" si="7"/>
        <v>13.879999999999999</v>
      </c>
      <c r="AA91" s="16">
        <f t="shared" si="9"/>
        <v>3.1</v>
      </c>
      <c r="AB91" s="16" t="e">
        <f t="shared" si="8"/>
        <v>#N/A</v>
      </c>
    </row>
    <row r="92" spans="5:31" ht="12" customHeight="1">
      <c r="E92" s="30"/>
      <c r="F92" s="30"/>
      <c r="R92" s="198"/>
      <c r="S92" s="200" t="s">
        <v>374</v>
      </c>
      <c r="T92" s="200"/>
      <c r="U92" s="199"/>
      <c r="X92" s="185">
        <v>6</v>
      </c>
      <c r="Y92" s="16">
        <f t="shared" si="6"/>
        <v>6</v>
      </c>
      <c r="Z92" s="16">
        <f t="shared" si="7"/>
        <v>12.879999999999999</v>
      </c>
      <c r="AA92" s="16">
        <f t="shared" si="9"/>
        <v>3.1</v>
      </c>
      <c r="AB92" s="16">
        <f t="shared" si="8"/>
        <v>12.879999999999999</v>
      </c>
    </row>
    <row r="93" spans="5:31" ht="12" customHeight="1">
      <c r="R93" s="231"/>
      <c r="S93" s="232" t="str">
        <f>IF(I6="","Dependent variable ",I6)</f>
        <v>Transcription %</v>
      </c>
      <c r="T93" s="283"/>
      <c r="U93" s="262"/>
      <c r="X93" s="185">
        <v>5</v>
      </c>
      <c r="Y93" s="16">
        <f t="shared" si="6"/>
        <v>5</v>
      </c>
      <c r="Z93" s="16">
        <f t="shared" si="7"/>
        <v>11.879999999999999</v>
      </c>
      <c r="AA93" s="16">
        <f t="shared" si="9"/>
        <v>3.1</v>
      </c>
      <c r="AB93" s="16">
        <f t="shared" si="8"/>
        <v>11.879999999999999</v>
      </c>
    </row>
    <row r="94" spans="5:31" ht="12" customHeight="1">
      <c r="E94" s="30"/>
      <c r="F94" s="30"/>
      <c r="R94" s="185" t="s">
        <v>375</v>
      </c>
      <c r="S94" s="16">
        <f>IF(AND(T76,U76),SQRT((H12*H12*(None-1)+L12*L12*(Ntwo-1))/(None+Ntwo-2)),"")</f>
        <v>5.1455171080004032</v>
      </c>
      <c r="T94" s="16">
        <f>None+Ntwo-2</f>
        <v>149</v>
      </c>
      <c r="U94" s="16" t="s">
        <v>1000</v>
      </c>
      <c r="X94" s="185">
        <v>4</v>
      </c>
      <c r="Y94" s="16">
        <f t="shared" si="6"/>
        <v>4</v>
      </c>
      <c r="Z94" s="16">
        <f t="shared" si="7"/>
        <v>10.879999999999999</v>
      </c>
      <c r="AA94" s="16">
        <f t="shared" si="9"/>
        <v>3.1</v>
      </c>
      <c r="AB94" s="16">
        <f t="shared" si="8"/>
        <v>10.879999999999999</v>
      </c>
    </row>
    <row r="95" spans="5:31" ht="12" customHeight="1">
      <c r="R95" s="185" t="s">
        <v>1081</v>
      </c>
      <c r="S95" s="16">
        <f>IF(AND(T76,U76),S94*SQRT(1/None+1/Ntwo),"")</f>
        <v>0.8992454915140714</v>
      </c>
      <c r="T95" s="16">
        <f>TINV((1-L15/100),T94)</f>
        <v>1.9760131447539124</v>
      </c>
      <c r="U95" s="16" t="s">
        <v>376</v>
      </c>
      <c r="X95" s="185">
        <v>3</v>
      </c>
      <c r="Y95" s="16">
        <f t="shared" si="6"/>
        <v>3</v>
      </c>
      <c r="Z95" s="16">
        <f t="shared" si="7"/>
        <v>9.879999999999999</v>
      </c>
      <c r="AA95" s="16">
        <f t="shared" si="9"/>
        <v>3.1</v>
      </c>
      <c r="AB95" s="16">
        <f t="shared" si="8"/>
        <v>9.879999999999999</v>
      </c>
    </row>
    <row r="96" spans="5:31" ht="12" customHeight="1">
      <c r="E96" s="30"/>
      <c r="F96" s="30"/>
      <c r="R96" s="185" t="s">
        <v>245</v>
      </c>
      <c r="S96" s="16">
        <f>IF(AND(T76,U76),T95*S95,"")</f>
        <v>1.776920911592498</v>
      </c>
      <c r="X96" s="185">
        <v>2</v>
      </c>
      <c r="Y96" s="16">
        <f t="shared" si="6"/>
        <v>2</v>
      </c>
      <c r="Z96" s="16">
        <f t="shared" si="7"/>
        <v>8.879999999999999</v>
      </c>
      <c r="AA96" s="16">
        <f t="shared" si="9"/>
        <v>3.1</v>
      </c>
      <c r="AB96" s="16">
        <f t="shared" si="8"/>
        <v>8.879999999999999</v>
      </c>
    </row>
    <row r="97" spans="5:28" ht="12" customHeight="1">
      <c r="R97" s="708" t="s">
        <v>377</v>
      </c>
      <c r="S97" s="287"/>
      <c r="T97" s="287"/>
      <c r="U97" s="337"/>
      <c r="X97" s="185">
        <v>1</v>
      </c>
      <c r="Y97" s="16">
        <f t="shared" si="6"/>
        <v>1</v>
      </c>
      <c r="Z97" s="16">
        <f t="shared" si="7"/>
        <v>7.88</v>
      </c>
      <c r="AA97" s="16">
        <f t="shared" si="9"/>
        <v>3.1</v>
      </c>
      <c r="AB97" s="16">
        <f t="shared" si="8"/>
        <v>7.88</v>
      </c>
    </row>
    <row r="98" spans="5:28" ht="12" customHeight="1">
      <c r="E98" s="30"/>
      <c r="F98" s="30"/>
      <c r="R98" s="225" t="s">
        <v>378</v>
      </c>
      <c r="S98" s="197">
        <f>H12^2/None+L12^2/Ntwo</f>
        <v>0.66683745954692553</v>
      </c>
      <c r="T98" s="197"/>
      <c r="U98" s="192"/>
      <c r="X98" s="185">
        <v>0</v>
      </c>
      <c r="Y98" s="16">
        <f t="shared" si="6"/>
        <v>0</v>
      </c>
      <c r="Z98" s="16">
        <f t="shared" si="7"/>
        <v>6.88</v>
      </c>
      <c r="AA98" s="16">
        <f t="shared" si="9"/>
        <v>3.1</v>
      </c>
      <c r="AB98" s="16">
        <f t="shared" si="8"/>
        <v>6.88</v>
      </c>
    </row>
    <row r="99" spans="5:28" ht="12" customHeight="1">
      <c r="R99" s="225" t="s">
        <v>379</v>
      </c>
      <c r="S99" s="197">
        <f>SQRT(S98)</f>
        <v>0.81660116308203079</v>
      </c>
      <c r="T99" s="197"/>
      <c r="U99" s="192"/>
      <c r="X99" s="185">
        <v>-1</v>
      </c>
      <c r="Y99" s="16">
        <f t="shared" si="6"/>
        <v>-1</v>
      </c>
      <c r="Z99" s="16">
        <f t="shared" si="7"/>
        <v>5.88</v>
      </c>
      <c r="AA99" s="16">
        <f t="shared" si="9"/>
        <v>3.1</v>
      </c>
      <c r="AB99" s="16">
        <f t="shared" si="8"/>
        <v>5.88</v>
      </c>
    </row>
    <row r="100" spans="5:28" ht="12" customHeight="1">
      <c r="E100" s="30"/>
      <c r="F100" s="30"/>
      <c r="R100" s="225" t="s">
        <v>380</v>
      </c>
      <c r="S100" s="197">
        <f>(L10-H10)/S99</f>
        <v>6.3801035750871629</v>
      </c>
      <c r="T100" s="709"/>
      <c r="U100" s="192"/>
      <c r="X100" s="185">
        <v>-2</v>
      </c>
      <c r="Y100" s="16">
        <f t="shared" si="6"/>
        <v>-2</v>
      </c>
      <c r="Z100" s="16">
        <f t="shared" si="7"/>
        <v>4.88</v>
      </c>
      <c r="AA100" s="16">
        <f t="shared" si="9"/>
        <v>3.1</v>
      </c>
      <c r="AB100" s="16" t="e">
        <f t="shared" si="8"/>
        <v>#N/A</v>
      </c>
    </row>
    <row r="101" spans="5:28" ht="12" customHeight="1">
      <c r="R101" s="225" t="s">
        <v>381</v>
      </c>
      <c r="S101" s="197">
        <f>S98^2/(H12^4/(None^2*(None-1))+L12^4/(Ntwo^2*(Ntwo-1)))</f>
        <v>117.43147996827103</v>
      </c>
      <c r="T101" s="197"/>
      <c r="U101" s="192"/>
      <c r="X101" s="185">
        <v>-3</v>
      </c>
      <c r="Y101" s="16">
        <f t="shared" si="6"/>
        <v>-3</v>
      </c>
      <c r="Z101" s="16">
        <f t="shared" si="7"/>
        <v>3.88</v>
      </c>
      <c r="AA101" s="16">
        <f t="shared" si="9"/>
        <v>3.1</v>
      </c>
      <c r="AB101" s="16" t="e">
        <f t="shared" si="8"/>
        <v>#N/A</v>
      </c>
    </row>
    <row r="102" spans="5:28" ht="12" customHeight="1">
      <c r="E102" s="30"/>
      <c r="F102" s="30"/>
      <c r="R102" s="225" t="s">
        <v>382</v>
      </c>
      <c r="S102" s="197">
        <f>TDIST(ABS(S100),ROUNDDOWN(S101,0),2)</f>
        <v>3.6802870846127757E-9</v>
      </c>
      <c r="T102" s="197">
        <f>TINV((1-L15/100),ROUNDDOWN(S101,0))</f>
        <v>1.9804475321373936</v>
      </c>
      <c r="U102" s="192" t="s">
        <v>383</v>
      </c>
      <c r="X102" s="185">
        <v>-4</v>
      </c>
      <c r="Y102" s="16">
        <f t="shared" si="6"/>
        <v>-4</v>
      </c>
      <c r="Z102" s="16">
        <f t="shared" si="7"/>
        <v>2.88</v>
      </c>
      <c r="AA102" s="16">
        <f t="shared" si="9"/>
        <v>3.1</v>
      </c>
      <c r="AB102" s="16" t="e">
        <f t="shared" si="8"/>
        <v>#N/A</v>
      </c>
    </row>
    <row r="103" spans="5:28" ht="12" customHeight="1">
      <c r="R103" s="225" t="s">
        <v>384</v>
      </c>
      <c r="S103" s="197">
        <f>TDIST(ABS(S100),ROUNDUP(S101,0),2)</f>
        <v>3.6032273923033799E-9</v>
      </c>
      <c r="T103" s="197">
        <f>TINV((1-L15/100),ROUNDUP(S101,0))</f>
        <v>1.9802722258377723</v>
      </c>
      <c r="U103" s="192" t="s">
        <v>385</v>
      </c>
      <c r="X103" s="185">
        <v>-5</v>
      </c>
      <c r="Y103" s="16">
        <f t="shared" si="6"/>
        <v>-5</v>
      </c>
      <c r="Z103" s="16">
        <f t="shared" si="7"/>
        <v>1.88</v>
      </c>
      <c r="AA103" s="16">
        <f t="shared" si="9"/>
        <v>3.1</v>
      </c>
      <c r="AB103" s="16" t="e">
        <f t="shared" si="8"/>
        <v>#N/A</v>
      </c>
    </row>
    <row r="104" spans="5:28" ht="12" customHeight="1">
      <c r="E104" s="30"/>
      <c r="F104" s="30"/>
      <c r="R104" s="225" t="s">
        <v>386</v>
      </c>
      <c r="S104" s="197">
        <f>S101-ROUNDDOWN(S101,0)</f>
        <v>0.43147996827103441</v>
      </c>
      <c r="T104" s="197"/>
      <c r="U104" s="192"/>
      <c r="X104" s="185">
        <v>-6</v>
      </c>
      <c r="Y104" s="16">
        <f t="shared" si="6"/>
        <v>-6</v>
      </c>
      <c r="Z104" s="16">
        <f t="shared" si="7"/>
        <v>0.87999999999999989</v>
      </c>
      <c r="AA104" s="16">
        <f t="shared" si="9"/>
        <v>3.1</v>
      </c>
      <c r="AB104" s="16" t="e">
        <f t="shared" si="8"/>
        <v>#N/A</v>
      </c>
    </row>
    <row r="105" spans="5:28" ht="12" customHeight="1">
      <c r="R105" s="225" t="s">
        <v>387</v>
      </c>
      <c r="S105" s="197">
        <f>S103*$S$104+S102*(1-$S$104)</f>
        <v>3.6470373710201419E-9</v>
      </c>
      <c r="T105" s="197">
        <f>T103*$S$104+T102*(1-$S$104)</f>
        <v>1.9803718909807952</v>
      </c>
      <c r="U105" s="192" t="s">
        <v>376</v>
      </c>
      <c r="X105" s="185">
        <v>-7</v>
      </c>
      <c r="Y105" s="16">
        <f t="shared" si="6"/>
        <v>-7</v>
      </c>
      <c r="Z105" s="16">
        <f t="shared" si="7"/>
        <v>-0.12000000000000011</v>
      </c>
      <c r="AA105" s="16">
        <f t="shared" si="9"/>
        <v>3.1</v>
      </c>
      <c r="AB105" s="16" t="e">
        <f t="shared" si="8"/>
        <v>#N/A</v>
      </c>
    </row>
    <row r="106" spans="5:28" ht="12" customHeight="1">
      <c r="E106" s="30"/>
      <c r="F106" s="30"/>
      <c r="R106" s="249" t="s">
        <v>245</v>
      </c>
      <c r="S106" s="232">
        <f>T105*S99</f>
        <v>1.617173989509878</v>
      </c>
      <c r="T106" s="710"/>
      <c r="U106" s="262"/>
      <c r="X106" s="185">
        <v>-8</v>
      </c>
      <c r="Y106" s="16">
        <f t="shared" si="6"/>
        <v>-8</v>
      </c>
      <c r="Z106" s="16">
        <f t="shared" si="7"/>
        <v>-1.1200000000000001</v>
      </c>
      <c r="AA106" s="16">
        <f t="shared" si="9"/>
        <v>3.1</v>
      </c>
      <c r="AB106" s="16" t="e">
        <f t="shared" si="8"/>
        <v>#N/A</v>
      </c>
    </row>
    <row r="107" spans="5:28" ht="12" customHeight="1">
      <c r="X107" s="185">
        <v>-9</v>
      </c>
      <c r="Y107" s="16">
        <f t="shared" si="6"/>
        <v>-9</v>
      </c>
      <c r="Z107" s="16">
        <f t="shared" si="7"/>
        <v>-2.12</v>
      </c>
      <c r="AA107" s="16">
        <f t="shared" si="9"/>
        <v>3.1</v>
      </c>
      <c r="AB107" s="16" t="e">
        <f t="shared" si="8"/>
        <v>#N/A</v>
      </c>
    </row>
    <row r="108" spans="5:28" ht="12" customHeight="1">
      <c r="E108" s="30"/>
      <c r="F108" s="30"/>
      <c r="X108" s="185">
        <v>-10</v>
      </c>
      <c r="Y108" s="16">
        <f t="shared" si="6"/>
        <v>-10</v>
      </c>
      <c r="Z108" s="16">
        <f t="shared" si="7"/>
        <v>-3.12</v>
      </c>
      <c r="AA108" s="16">
        <f t="shared" si="9"/>
        <v>3.1</v>
      </c>
      <c r="AB108" s="16" t="e">
        <f t="shared" si="8"/>
        <v>#N/A</v>
      </c>
    </row>
    <row r="110" spans="5:28" ht="12" customHeight="1">
      <c r="E110" s="30"/>
      <c r="F110" s="30"/>
    </row>
    <row r="112" spans="5:28" ht="12" customHeight="1">
      <c r="F112" s="30"/>
    </row>
    <row r="114" spans="6:6" ht="12" customHeight="1">
      <c r="F114" s="30"/>
    </row>
    <row r="116" spans="6:6" ht="12" customHeight="1">
      <c r="F116" s="30"/>
    </row>
    <row r="118" spans="6:6" ht="12" customHeight="1">
      <c r="F118" s="30"/>
    </row>
    <row r="120" spans="6:6" ht="12" customHeight="1">
      <c r="F120" s="30"/>
    </row>
    <row r="122" spans="6:6" ht="12" customHeight="1">
      <c r="F122" s="30"/>
    </row>
    <row r="124" spans="6:6" ht="12" customHeight="1">
      <c r="F124" s="30"/>
    </row>
    <row r="126" spans="6:6" ht="12" customHeight="1">
      <c r="F126" s="30"/>
    </row>
    <row r="128" spans="6:6" ht="12" customHeight="1">
      <c r="F128" s="30"/>
    </row>
    <row r="130" spans="6:6" ht="12" customHeight="1">
      <c r="F130" s="30"/>
    </row>
    <row r="132" spans="6:6" ht="12" customHeight="1">
      <c r="F132" s="30"/>
    </row>
    <row r="134" spans="6:6" ht="12" customHeight="1">
      <c r="F134" s="30"/>
    </row>
    <row r="136" spans="6:6" ht="12" customHeight="1">
      <c r="F136" s="30"/>
    </row>
    <row r="138" spans="6:6" ht="12" customHeight="1">
      <c r="F138" s="30"/>
    </row>
    <row r="140" spans="6:6" ht="12" customHeight="1">
      <c r="F140" s="30"/>
    </row>
    <row r="142" spans="6:6" ht="12" customHeight="1">
      <c r="F142" s="30"/>
    </row>
    <row r="144" spans="6:6" ht="12" customHeight="1">
      <c r="F144" s="30"/>
    </row>
  </sheetData>
  <sheetProtection sheet="1" objects="1" scenarios="1" selectLockedCells="1"/>
  <mergeCells count="2">
    <mergeCell ref="M31:N31"/>
    <mergeCell ref="I6:K6"/>
  </mergeCells>
  <phoneticPr fontId="0" type="noConversion"/>
  <dataValidations count="4">
    <dataValidation type="decimal" allowBlank="1" showErrorMessage="1" errorTitle="Confidence level" error="Number, min 0, max 99.9" sqref="L15:M15">
      <formula1>0</formula1>
      <formula2>99.9</formula2>
    </dataValidation>
    <dataValidation type="whole" operator="greaterThan" allowBlank="1" showInputMessage="1" showErrorMessage="1" errorTitle="Sample size" error="Must be an integer. Min 2" sqref="H8 L8">
      <formula1>1</formula1>
    </dataValidation>
    <dataValidation type="decimal" operator="notEqual" allowBlank="1" showInputMessage="1" showErrorMessage="1" errorTitle="Sample mean" error="Must be a number" sqref="H10 L10">
      <formula1>-9999999997</formula1>
    </dataValidation>
    <dataValidation type="decimal" operator="greaterThan" allowBlank="1" showInputMessage="1" showErrorMessage="1" errorTitle="Sample SD" error="Must be a positive number" sqref="H12 L12">
      <formula1>0</formula1>
    </dataValidation>
  </dataValidations>
  <pageMargins left="0.75" right="0.75" top="1" bottom="1" header="0.5" footer="0.5"/>
  <pageSetup paperSize="9" orientation="portrait" horizontalDpi="300" verticalDpi="300" r:id="rId1"/>
  <headerFooter alignWithMargins="0"/>
  <drawing r:id="rId2"/>
  <legacyDrawing r:id="rId3"/>
  <oleObjects>
    <oleObject progId="PBrush" shapeId="144422" r:id="rId4"/>
  </oleObjects>
</worksheet>
</file>

<file path=xl/worksheets/sheet9.xml><?xml version="1.0" encoding="utf-8"?>
<worksheet xmlns="http://schemas.openxmlformats.org/spreadsheetml/2006/main" xmlns:r="http://schemas.openxmlformats.org/officeDocument/2006/relationships">
  <sheetPr codeName="Sheet9"/>
  <dimension ref="A1:AP1010"/>
  <sheetViews>
    <sheetView showGridLines="0" showRowColHeaders="0" zoomScale="120" workbookViewId="0">
      <selection activeCell="I2" sqref="I2"/>
    </sheetView>
  </sheetViews>
  <sheetFormatPr defaultRowHeight="12" customHeight="1"/>
  <cols>
    <col min="1" max="1" width="2.140625" style="905" customWidth="1"/>
    <col min="2" max="2" width="7.28515625" style="321" customWidth="1"/>
    <col min="3" max="3" width="4.28515625" style="321" customWidth="1"/>
    <col min="4" max="4" width="8" style="321" customWidth="1"/>
    <col min="5" max="5" width="4.140625" style="321" customWidth="1"/>
    <col min="6" max="6" width="7.140625" style="321" customWidth="1"/>
    <col min="7" max="7" width="8.42578125" style="321" customWidth="1"/>
    <col min="8" max="8" width="9.5703125" style="321" bestFit="1" customWidth="1"/>
    <col min="9" max="16" width="9.140625" style="321"/>
    <col min="17" max="17" width="8.140625" style="321" customWidth="1"/>
    <col min="18" max="18" width="8.28515625" style="321" customWidth="1"/>
    <col min="19" max="19" width="8" style="321" customWidth="1"/>
    <col min="20" max="37" width="9.140625" style="321"/>
    <col min="38" max="38" width="11.140625" style="321" bestFit="1" customWidth="1"/>
    <col min="39" max="16384" width="9.140625" style="321"/>
  </cols>
  <sheetData>
    <row r="1" spans="1:42" ht="12" customHeight="1">
      <c r="C1" s="906" t="s">
        <v>1333</v>
      </c>
      <c r="D1" s="907"/>
      <c r="H1" s="908">
        <f>(F8)/1000000000</f>
        <v>5.0000000000000003E-10</v>
      </c>
      <c r="I1" s="909">
        <f t="shared" ref="I1:U1" si="0">$H$1</f>
        <v>5.0000000000000003E-10</v>
      </c>
      <c r="J1" s="909">
        <f t="shared" si="0"/>
        <v>5.0000000000000003E-10</v>
      </c>
      <c r="K1" s="909">
        <f t="shared" si="0"/>
        <v>5.0000000000000003E-10</v>
      </c>
      <c r="L1" s="909">
        <f t="shared" si="0"/>
        <v>5.0000000000000003E-10</v>
      </c>
      <c r="M1" s="909">
        <f t="shared" si="0"/>
        <v>5.0000000000000003E-10</v>
      </c>
      <c r="N1" s="909">
        <f t="shared" si="0"/>
        <v>5.0000000000000003E-10</v>
      </c>
      <c r="O1" s="909">
        <f t="shared" si="0"/>
        <v>5.0000000000000003E-10</v>
      </c>
      <c r="P1" s="909">
        <f t="shared" si="0"/>
        <v>5.0000000000000003E-10</v>
      </c>
      <c r="Q1" s="909">
        <f t="shared" si="0"/>
        <v>5.0000000000000003E-10</v>
      </c>
      <c r="R1" s="909">
        <f t="shared" si="0"/>
        <v>5.0000000000000003E-10</v>
      </c>
      <c r="S1" s="909">
        <f t="shared" si="0"/>
        <v>5.0000000000000003E-10</v>
      </c>
      <c r="T1" s="909">
        <f t="shared" si="0"/>
        <v>5.0000000000000003E-10</v>
      </c>
      <c r="U1" s="910">
        <f t="shared" si="0"/>
        <v>5.0000000000000003E-10</v>
      </c>
      <c r="AI1" s="905"/>
    </row>
    <row r="2" spans="1:42" ht="12" customHeight="1">
      <c r="C2" s="321" t="s">
        <v>1334</v>
      </c>
      <c r="H2" s="908">
        <f t="shared" ref="H2:H31" si="1">$H$1</f>
        <v>5.0000000000000003E-10</v>
      </c>
      <c r="I2" s="911"/>
      <c r="U2" s="910">
        <f t="shared" ref="U2:U30" si="2">$H$1</f>
        <v>5.0000000000000003E-10</v>
      </c>
    </row>
    <row r="3" spans="1:42" ht="12" customHeight="1">
      <c r="H3" s="908">
        <f t="shared" si="1"/>
        <v>5.0000000000000003E-10</v>
      </c>
      <c r="U3" s="910">
        <f t="shared" si="2"/>
        <v>5.0000000000000003E-10</v>
      </c>
    </row>
    <row r="4" spans="1:42" ht="12" customHeight="1">
      <c r="H4" s="908">
        <f t="shared" si="1"/>
        <v>5.0000000000000003E-10</v>
      </c>
      <c r="I4" s="905"/>
      <c r="U4" s="910">
        <f t="shared" si="2"/>
        <v>5.0000000000000003E-10</v>
      </c>
      <c r="AI4" s="905"/>
    </row>
    <row r="5" spans="1:42" ht="12" customHeight="1">
      <c r="A5" s="912">
        <v>1</v>
      </c>
      <c r="B5" s="913" t="s">
        <v>1335</v>
      </c>
      <c r="C5" s="914"/>
      <c r="D5" s="914"/>
      <c r="E5" s="914"/>
      <c r="F5" s="914"/>
      <c r="G5" s="915"/>
      <c r="H5" s="908">
        <f t="shared" si="1"/>
        <v>5.0000000000000003E-10</v>
      </c>
      <c r="I5" s="916"/>
      <c r="U5" s="910">
        <f t="shared" si="2"/>
        <v>5.0000000000000003E-10</v>
      </c>
      <c r="AI5" s="905"/>
      <c r="AK5" s="321" t="s">
        <v>468</v>
      </c>
      <c r="AL5" s="321">
        <v>-4</v>
      </c>
      <c r="AM5" s="321">
        <f>AH26</f>
        <v>-0.25</v>
      </c>
      <c r="AN5" s="321">
        <v>0</v>
      </c>
      <c r="AO5" s="321" t="s">
        <v>467</v>
      </c>
    </row>
    <row r="6" spans="1:42" ht="12" customHeight="1">
      <c r="A6" s="917"/>
      <c r="B6" s="918"/>
      <c r="C6" s="918"/>
      <c r="D6" s="918"/>
      <c r="E6" s="919"/>
      <c r="F6" s="919"/>
      <c r="G6" s="920"/>
      <c r="H6" s="908">
        <f t="shared" si="1"/>
        <v>5.0000000000000003E-10</v>
      </c>
      <c r="I6" s="905"/>
      <c r="U6" s="910">
        <f t="shared" si="2"/>
        <v>5.0000000000000003E-10</v>
      </c>
      <c r="AI6" s="905" t="s">
        <v>469</v>
      </c>
      <c r="AJ6" s="911" t="b">
        <v>1</v>
      </c>
      <c r="AK6" s="321" t="s">
        <v>470</v>
      </c>
      <c r="AL6" s="321">
        <v>4</v>
      </c>
      <c r="AM6" s="321">
        <f>AH27</f>
        <v>0.25</v>
      </c>
      <c r="AN6" s="321">
        <v>0</v>
      </c>
      <c r="AO6" s="321">
        <v>2000</v>
      </c>
    </row>
    <row r="7" spans="1:42" ht="12" customHeight="1">
      <c r="A7" s="917"/>
      <c r="B7" s="918" t="s">
        <v>1336</v>
      </c>
      <c r="C7" s="918"/>
      <c r="D7" s="918"/>
      <c r="E7" s="918"/>
      <c r="F7" s="918"/>
      <c r="G7" s="920"/>
      <c r="H7" s="908">
        <f t="shared" si="1"/>
        <v>5.0000000000000003E-10</v>
      </c>
      <c r="U7" s="910">
        <f t="shared" si="2"/>
        <v>5.0000000000000003E-10</v>
      </c>
      <c r="AI7" s="905" t="s">
        <v>471</v>
      </c>
      <c r="AJ7" s="911" t="b">
        <v>0</v>
      </c>
      <c r="AK7" s="321" t="s">
        <v>674</v>
      </c>
      <c r="AL7" s="321">
        <f>(AL6-AL5)/1000</f>
        <v>8.0000000000000002E-3</v>
      </c>
      <c r="AM7" s="321">
        <f>AVERAGE(AM5:AM6)</f>
        <v>0</v>
      </c>
      <c r="AN7" s="321">
        <f>MAX(AK10:AL1010)*1.1</f>
        <v>0.43883563076943677</v>
      </c>
      <c r="AO7" s="321" t="e">
        <f>IF(AJ4,AM7,NA())</f>
        <v>#N/A</v>
      </c>
      <c r="AP7" s="321">
        <f>AN7</f>
        <v>0.43883563076943677</v>
      </c>
    </row>
    <row r="8" spans="1:42" ht="12" customHeight="1">
      <c r="A8" s="917"/>
      <c r="B8" s="918"/>
      <c r="C8" s="921">
        <v>550</v>
      </c>
      <c r="D8" s="918"/>
      <c r="E8" s="922" t="s">
        <v>325</v>
      </c>
      <c r="F8" s="923">
        <f>(C8-500)/100</f>
        <v>0.5</v>
      </c>
      <c r="G8" s="920"/>
      <c r="H8" s="908">
        <f t="shared" si="1"/>
        <v>5.0000000000000003E-10</v>
      </c>
      <c r="U8" s="910">
        <f t="shared" si="2"/>
        <v>5.0000000000000003E-10</v>
      </c>
      <c r="AI8" s="905"/>
      <c r="AK8" s="321" t="s">
        <v>472</v>
      </c>
      <c r="AL8" s="321">
        <f>MAX(AK10:AL1010)*1.05</f>
        <v>0.41888855664355323</v>
      </c>
      <c r="AO8" s="321">
        <f>IF(NOT(AJ4),AM7,NA())</f>
        <v>0</v>
      </c>
      <c r="AP8" s="321">
        <f>AN7</f>
        <v>0.43883563076943677</v>
      </c>
    </row>
    <row r="9" spans="1:42" ht="12" customHeight="1">
      <c r="A9" s="917"/>
      <c r="B9" s="918"/>
      <c r="C9" s="918"/>
      <c r="D9" s="918"/>
      <c r="E9" s="918"/>
      <c r="F9" s="918"/>
      <c r="G9" s="920"/>
      <c r="H9" s="908">
        <f t="shared" si="1"/>
        <v>5.0000000000000003E-10</v>
      </c>
      <c r="I9" s="905"/>
      <c r="U9" s="910">
        <f t="shared" si="2"/>
        <v>5.0000000000000003E-10</v>
      </c>
      <c r="AI9" s="321" t="s">
        <v>473</v>
      </c>
      <c r="AJ9" s="321" t="s">
        <v>639</v>
      </c>
      <c r="AK9" s="321" t="s">
        <v>474</v>
      </c>
      <c r="AL9" s="321" t="s">
        <v>475</v>
      </c>
      <c r="AN9" s="321" t="s">
        <v>476</v>
      </c>
      <c r="AO9" s="321" t="s">
        <v>477</v>
      </c>
    </row>
    <row r="10" spans="1:42" ht="12" customHeight="1">
      <c r="A10" s="924"/>
      <c r="B10" s="924"/>
      <c r="C10" s="924"/>
      <c r="D10" s="924"/>
      <c r="E10" s="924"/>
      <c r="F10" s="924"/>
      <c r="G10" s="924"/>
      <c r="H10" s="908">
        <f t="shared" si="1"/>
        <v>5.0000000000000003E-10</v>
      </c>
      <c r="I10" s="905"/>
      <c r="U10" s="910">
        <f t="shared" si="2"/>
        <v>5.0000000000000003E-10</v>
      </c>
      <c r="AI10" s="321">
        <v>1</v>
      </c>
      <c r="AJ10" s="321">
        <f>AL5</f>
        <v>-4</v>
      </c>
      <c r="AK10" s="321">
        <f t="shared" ref="AK10:AK73" si="3">NORMDIST(AJ10,$AH$26,$AH$28,FALSE)</f>
        <v>3.5259568236744535E-4</v>
      </c>
      <c r="AL10" s="321">
        <f t="shared" ref="AL10:AL73" si="4">NORMDIST(AJ10,$AH$27,$AH$28,FALSE)</f>
        <v>4.7718636541204945E-5</v>
      </c>
      <c r="AN10" s="321" t="e">
        <f t="shared" ref="AN10:AN73" si="5">IF(AND($AJ$7,$AH$27&gt;AJ10),AK10,NA())</f>
        <v>#N/A</v>
      </c>
      <c r="AO10" s="321" t="e">
        <f t="shared" ref="AO10:AO73" si="6">IF(AND($AJ$6,$AH$26&lt;AJ10+(drend-dlend)/$AO$6),AL10,NA())</f>
        <v>#N/A</v>
      </c>
    </row>
    <row r="11" spans="1:42" ht="12" customHeight="1">
      <c r="A11" s="925">
        <v>2</v>
      </c>
      <c r="B11" s="152" t="s">
        <v>104</v>
      </c>
      <c r="C11" s="926"/>
      <c r="D11" s="926"/>
      <c r="E11" s="927"/>
      <c r="F11" s="927"/>
      <c r="G11" s="928"/>
      <c r="H11" s="908">
        <f t="shared" si="1"/>
        <v>5.0000000000000003E-10</v>
      </c>
      <c r="U11" s="910">
        <f t="shared" si="2"/>
        <v>5.0000000000000003E-10</v>
      </c>
      <c r="AI11" s="321">
        <v>2</v>
      </c>
      <c r="AJ11" s="321">
        <f t="shared" ref="AJ11:AJ74" si="7">AJ10+$AL$7</f>
        <v>-3.992</v>
      </c>
      <c r="AK11" s="321">
        <f t="shared" si="3"/>
        <v>3.6332219305176768E-4</v>
      </c>
      <c r="AL11" s="321">
        <f t="shared" si="4"/>
        <v>4.9367387037922914E-5</v>
      </c>
      <c r="AN11" s="321" t="e">
        <f t="shared" si="5"/>
        <v>#N/A</v>
      </c>
      <c r="AO11" s="321" t="e">
        <f t="shared" si="6"/>
        <v>#N/A</v>
      </c>
    </row>
    <row r="12" spans="1:42" ht="12" customHeight="1">
      <c r="A12" s="929"/>
      <c r="B12" s="930"/>
      <c r="C12" s="930"/>
      <c r="D12" s="930"/>
      <c r="E12" s="930"/>
      <c r="F12" s="930"/>
      <c r="G12" s="931" t="s">
        <v>478</v>
      </c>
      <c r="H12" s="908">
        <f t="shared" si="1"/>
        <v>5.0000000000000003E-10</v>
      </c>
      <c r="U12" s="910">
        <f t="shared" si="2"/>
        <v>5.0000000000000003E-10</v>
      </c>
      <c r="AI12" s="321">
        <v>3</v>
      </c>
      <c r="AJ12" s="321">
        <f t="shared" si="7"/>
        <v>-3.984</v>
      </c>
      <c r="AK12" s="321">
        <f t="shared" si="3"/>
        <v>3.7435106168914189E-4</v>
      </c>
      <c r="AL12" s="321">
        <f t="shared" si="4"/>
        <v>5.1069835764253548E-5</v>
      </c>
      <c r="AN12" s="321" t="e">
        <f t="shared" si="5"/>
        <v>#N/A</v>
      </c>
      <c r="AO12" s="321" t="e">
        <f t="shared" si="6"/>
        <v>#N/A</v>
      </c>
    </row>
    <row r="13" spans="1:42" ht="12" customHeight="1">
      <c r="A13" s="929"/>
      <c r="B13" s="930"/>
      <c r="C13" s="930"/>
      <c r="D13" s="930"/>
      <c r="E13" s="932" t="s">
        <v>419</v>
      </c>
      <c r="F13" s="933">
        <f>100*(1-NORMSDIST((AH26-AH27)/AH28))</f>
        <v>69.146246127401312</v>
      </c>
      <c r="G13" s="931" t="s">
        <v>735</v>
      </c>
      <c r="H13" s="908">
        <f t="shared" si="1"/>
        <v>5.0000000000000003E-10</v>
      </c>
      <c r="U13" s="910">
        <f t="shared" si="2"/>
        <v>5.0000000000000003E-10</v>
      </c>
      <c r="AI13" s="321">
        <v>4</v>
      </c>
      <c r="AJ13" s="321">
        <f t="shared" si="7"/>
        <v>-3.976</v>
      </c>
      <c r="AK13" s="321">
        <f t="shared" si="3"/>
        <v>3.8569003346543881E-4</v>
      </c>
      <c r="AL13" s="321">
        <f t="shared" si="4"/>
        <v>5.2827612855543502E-5</v>
      </c>
      <c r="AN13" s="321" t="e">
        <f t="shared" si="5"/>
        <v>#N/A</v>
      </c>
      <c r="AO13" s="321" t="e">
        <f t="shared" si="6"/>
        <v>#N/A</v>
      </c>
    </row>
    <row r="14" spans="1:42" ht="12" customHeight="1">
      <c r="A14" s="929"/>
      <c r="B14" s="930"/>
      <c r="C14" s="930"/>
      <c r="D14" s="930"/>
      <c r="E14" s="932"/>
      <c r="F14" s="930"/>
      <c r="G14" s="931"/>
      <c r="H14" s="908">
        <f t="shared" si="1"/>
        <v>5.0000000000000003E-10</v>
      </c>
      <c r="U14" s="910">
        <f t="shared" si="2"/>
        <v>5.0000000000000003E-10</v>
      </c>
      <c r="AI14" s="321">
        <v>5</v>
      </c>
      <c r="AJ14" s="321">
        <f t="shared" si="7"/>
        <v>-3.968</v>
      </c>
      <c r="AK14" s="321">
        <f t="shared" si="3"/>
        <v>3.9734702798149059E-4</v>
      </c>
      <c r="AL14" s="321">
        <f t="shared" si="4"/>
        <v>5.4642393803355034E-5</v>
      </c>
      <c r="AN14" s="321" t="e">
        <f t="shared" si="5"/>
        <v>#N/A</v>
      </c>
      <c r="AO14" s="321" t="e">
        <f t="shared" si="6"/>
        <v>#N/A</v>
      </c>
    </row>
    <row r="15" spans="1:42" ht="12" customHeight="1">
      <c r="A15" s="929"/>
      <c r="B15" s="930"/>
      <c r="C15" s="930"/>
      <c r="D15" s="930"/>
      <c r="E15" s="932" t="s">
        <v>420</v>
      </c>
      <c r="F15" s="933">
        <f>100*(NORMSDIST((AH27-AH26)/AH28))</f>
        <v>69.146246127401312</v>
      </c>
      <c r="G15" s="931" t="s">
        <v>735</v>
      </c>
      <c r="H15" s="934">
        <f t="shared" si="1"/>
        <v>5.0000000000000003E-10</v>
      </c>
      <c r="U15" s="910">
        <f t="shared" si="2"/>
        <v>5.0000000000000003E-10</v>
      </c>
      <c r="AI15" s="321">
        <v>6</v>
      </c>
      <c r="AJ15" s="321">
        <f t="shared" si="7"/>
        <v>-3.96</v>
      </c>
      <c r="AK15" s="321">
        <f t="shared" si="3"/>
        <v>4.0933014247807877E-4</v>
      </c>
      <c r="AL15" s="321">
        <f t="shared" si="4"/>
        <v>5.6515900580307401E-5</v>
      </c>
      <c r="AN15" s="321" t="e">
        <f t="shared" si="5"/>
        <v>#N/A</v>
      </c>
      <c r="AO15" s="321" t="e">
        <f t="shared" si="6"/>
        <v>#N/A</v>
      </c>
    </row>
    <row r="16" spans="1:42" ht="12" customHeight="1">
      <c r="A16" s="929"/>
      <c r="B16" s="930"/>
      <c r="C16" s="930"/>
      <c r="D16" s="930"/>
      <c r="E16" s="930"/>
      <c r="F16" s="930"/>
      <c r="G16" s="931"/>
      <c r="H16" s="935">
        <f t="shared" si="1"/>
        <v>5.0000000000000003E-10</v>
      </c>
      <c r="U16" s="910">
        <f t="shared" si="2"/>
        <v>5.0000000000000003E-10</v>
      </c>
      <c r="AI16" s="321">
        <v>7</v>
      </c>
      <c r="AJ16" s="321">
        <f t="shared" si="7"/>
        <v>-3.952</v>
      </c>
      <c r="AK16" s="321">
        <f t="shared" si="3"/>
        <v>4.21647655100799E-4</v>
      </c>
      <c r="AL16" s="321">
        <f t="shared" si="4"/>
        <v>5.8449902788467873E-5</v>
      </c>
      <c r="AN16" s="321" t="e">
        <f t="shared" si="5"/>
        <v>#N/A</v>
      </c>
      <c r="AO16" s="321" t="e">
        <f t="shared" si="6"/>
        <v>#N/A</v>
      </c>
    </row>
    <row r="17" spans="1:41" ht="12" customHeight="1">
      <c r="A17" s="936"/>
      <c r="B17" s="937"/>
      <c r="C17" s="937"/>
      <c r="D17" s="937"/>
      <c r="E17" s="937"/>
      <c r="F17" s="937"/>
      <c r="G17" s="937"/>
      <c r="H17" s="935">
        <f t="shared" si="1"/>
        <v>5.0000000000000003E-10</v>
      </c>
      <c r="U17" s="910">
        <f t="shared" si="2"/>
        <v>5.0000000000000003E-10</v>
      </c>
      <c r="AG17" s="905" t="s">
        <v>466</v>
      </c>
      <c r="AH17" s="321">
        <f>AL8/10</f>
        <v>4.1888855664355323E-2</v>
      </c>
      <c r="AI17" s="321">
        <v>8</v>
      </c>
      <c r="AJ17" s="321">
        <f t="shared" si="7"/>
        <v>-3.944</v>
      </c>
      <c r="AK17" s="321">
        <f t="shared" si="3"/>
        <v>4.3430802820473716E-4</v>
      </c>
      <c r="AL17" s="321">
        <f t="shared" si="4"/>
        <v>6.0446218831654095E-5</v>
      </c>
      <c r="AN17" s="321" t="e">
        <f t="shared" si="5"/>
        <v>#N/A</v>
      </c>
      <c r="AO17" s="321" t="e">
        <f t="shared" si="6"/>
        <v>#N/A</v>
      </c>
    </row>
    <row r="18" spans="1:41" ht="12" customHeight="1">
      <c r="H18" s="935">
        <f t="shared" si="1"/>
        <v>5.0000000000000003E-10</v>
      </c>
      <c r="U18" s="910">
        <f t="shared" si="2"/>
        <v>5.0000000000000003E-10</v>
      </c>
      <c r="AG18" s="321" t="s">
        <v>418</v>
      </c>
      <c r="AI18" s="321">
        <v>9</v>
      </c>
      <c r="AJ18" s="321">
        <f t="shared" si="7"/>
        <v>-3.9359999999999999</v>
      </c>
      <c r="AK18" s="321">
        <f t="shared" si="3"/>
        <v>4.4731991169886793E-4</v>
      </c>
      <c r="AL18" s="321">
        <f t="shared" si="4"/>
        <v>6.2506717112008732E-5</v>
      </c>
      <c r="AN18" s="321" t="e">
        <f t="shared" si="5"/>
        <v>#N/A</v>
      </c>
      <c r="AO18" s="321" t="e">
        <f t="shared" si="6"/>
        <v>#N/A</v>
      </c>
    </row>
    <row r="19" spans="1:41" ht="12" customHeight="1">
      <c r="H19" s="935">
        <f t="shared" si="1"/>
        <v>5.0000000000000003E-10</v>
      </c>
      <c r="U19" s="910">
        <f t="shared" si="2"/>
        <v>5.0000000000000003E-10</v>
      </c>
      <c r="AG19" s="321">
        <f>IF(AJ6,IF(AH27&gt;AH26+AH28/2,(AH26+MIN(AH27,U32))/2,AH26+AH28/2),NA())</f>
        <v>0.25</v>
      </c>
      <c r="AH19" s="321">
        <f>IF(AJ6,AH17,NA())</f>
        <v>4.1888855664355323E-2</v>
      </c>
      <c r="AI19" s="321">
        <v>10</v>
      </c>
      <c r="AJ19" s="321">
        <f t="shared" si="7"/>
        <v>-3.9279999999999999</v>
      </c>
      <c r="AK19" s="321">
        <f t="shared" si="3"/>
        <v>4.6069214643006931E-4</v>
      </c>
      <c r="AL19" s="321">
        <f t="shared" si="4"/>
        <v>6.4633317251211537E-5</v>
      </c>
      <c r="AN19" s="321" t="e">
        <f t="shared" si="5"/>
        <v>#N/A</v>
      </c>
      <c r="AO19" s="321" t="e">
        <f t="shared" si="6"/>
        <v>#N/A</v>
      </c>
    </row>
    <row r="20" spans="1:41" ht="12" customHeight="1">
      <c r="A20" s="6"/>
      <c r="B20" s="6"/>
      <c r="C20" s="6"/>
      <c r="D20" s="6"/>
      <c r="E20" s="6"/>
      <c r="F20" s="6"/>
      <c r="G20" s="6"/>
      <c r="H20" s="935">
        <f t="shared" si="1"/>
        <v>5.0000000000000003E-10</v>
      </c>
      <c r="U20" s="910">
        <f t="shared" si="2"/>
        <v>5.0000000000000003E-10</v>
      </c>
      <c r="AH20" s="938">
        <f>F13/100</f>
        <v>0.69146246127401312</v>
      </c>
      <c r="AI20" s="321">
        <v>11</v>
      </c>
      <c r="AJ20" s="321">
        <f t="shared" si="7"/>
        <v>-3.92</v>
      </c>
      <c r="AK20" s="321">
        <f t="shared" si="3"/>
        <v>4.7443376760662054E-4</v>
      </c>
      <c r="AL20" s="321">
        <f t="shared" si="4"/>
        <v>6.6827991336690596E-5</v>
      </c>
      <c r="AN20" s="321" t="e">
        <f t="shared" si="5"/>
        <v>#N/A</v>
      </c>
      <c r="AO20" s="321" t="e">
        <f t="shared" si="6"/>
        <v>#N/A</v>
      </c>
    </row>
    <row r="21" spans="1:41" ht="12" customHeight="1">
      <c r="A21" s="6"/>
      <c r="B21" s="6"/>
      <c r="C21" s="6"/>
      <c r="D21" s="6"/>
      <c r="E21" s="6"/>
      <c r="F21" s="6"/>
      <c r="G21" s="6"/>
      <c r="H21" s="935">
        <f t="shared" si="1"/>
        <v>5.0000000000000003E-10</v>
      </c>
      <c r="U21" s="910">
        <f t="shared" si="2"/>
        <v>5.0000000000000003E-10</v>
      </c>
      <c r="AG21" s="321" t="s">
        <v>421</v>
      </c>
      <c r="AI21" s="321">
        <v>12</v>
      </c>
      <c r="AJ21" s="321">
        <f t="shared" si="7"/>
        <v>-3.9119999999999999</v>
      </c>
      <c r="AK21" s="321">
        <f t="shared" si="3"/>
        <v>4.8855400826103962E-4</v>
      </c>
      <c r="AL21" s="321">
        <f t="shared" si="4"/>
        <v>6.9092765193201589E-5</v>
      </c>
      <c r="AN21" s="321" t="e">
        <f t="shared" si="5"/>
        <v>#N/A</v>
      </c>
      <c r="AO21" s="321" t="e">
        <f t="shared" si="6"/>
        <v>#N/A</v>
      </c>
    </row>
    <row r="22" spans="1:41" ht="12" customHeight="1">
      <c r="A22" s="6"/>
      <c r="B22" s="6"/>
      <c r="C22" s="6"/>
      <c r="D22" s="6"/>
      <c r="E22" s="6"/>
      <c r="F22" s="6"/>
      <c r="G22" s="6"/>
      <c r="H22" s="935">
        <f t="shared" si="1"/>
        <v>5.0000000000000003E-10</v>
      </c>
      <c r="U22" s="910">
        <f t="shared" si="2"/>
        <v>5.0000000000000003E-10</v>
      </c>
      <c r="AG22" s="321" t="e">
        <f>IF(AJ7,IF(AH26&lt;AH27-AH28/2,(AH27+MAX(AH26,H32))/2,AH27-AH28/2),NA())</f>
        <v>#N/A</v>
      </c>
      <c r="AH22" s="321" t="e">
        <f>IF(AJ7,AH17,NA())</f>
        <v>#N/A</v>
      </c>
      <c r="AI22" s="321">
        <v>13</v>
      </c>
      <c r="AJ22" s="321">
        <f t="shared" si="7"/>
        <v>-3.9039999999999999</v>
      </c>
      <c r="AK22" s="321">
        <f t="shared" si="3"/>
        <v>5.0306230275207415E-4</v>
      </c>
      <c r="AL22" s="321">
        <f t="shared" si="4"/>
        <v>7.1429719680138058E-5</v>
      </c>
      <c r="AN22" s="321" t="e">
        <f t="shared" si="5"/>
        <v>#N/A</v>
      </c>
      <c r="AO22" s="321" t="e">
        <f t="shared" si="6"/>
        <v>#N/A</v>
      </c>
    </row>
    <row r="23" spans="1:41" ht="12" customHeight="1">
      <c r="H23" s="939">
        <f t="shared" si="1"/>
        <v>5.0000000000000003E-10</v>
      </c>
      <c r="U23" s="910">
        <f t="shared" si="2"/>
        <v>5.0000000000000003E-10</v>
      </c>
      <c r="AH23" s="938">
        <f>F15/100</f>
        <v>0.69146246127401312</v>
      </c>
      <c r="AI23" s="321">
        <v>14</v>
      </c>
      <c r="AJ23" s="321">
        <f t="shared" si="7"/>
        <v>-3.8959999999999999</v>
      </c>
      <c r="AK23" s="321">
        <f t="shared" si="3"/>
        <v>5.1796829030566552E-4</v>
      </c>
      <c r="AL23" s="321">
        <f t="shared" si="4"/>
        <v>7.3840992014943631E-5</v>
      </c>
      <c r="AN23" s="321" t="e">
        <f t="shared" si="5"/>
        <v>#N/A</v>
      </c>
      <c r="AO23" s="321" t="e">
        <f t="shared" si="6"/>
        <v>#N/A</v>
      </c>
    </row>
    <row r="24" spans="1:41" ht="12" customHeight="1">
      <c r="H24" s="940">
        <f t="shared" si="1"/>
        <v>5.0000000000000003E-10</v>
      </c>
      <c r="U24" s="910">
        <f t="shared" si="2"/>
        <v>5.0000000000000003E-10</v>
      </c>
      <c r="AI24" s="321">
        <v>15</v>
      </c>
      <c r="AJ24" s="321">
        <f t="shared" si="7"/>
        <v>-3.8879999999999999</v>
      </c>
      <c r="AK24" s="321">
        <f t="shared" si="3"/>
        <v>5.3328181859464891E-4</v>
      </c>
      <c r="AL24" s="321">
        <f t="shared" si="4"/>
        <v>7.6328777122990042E-5</v>
      </c>
      <c r="AN24" s="321" t="e">
        <f t="shared" si="5"/>
        <v>#N/A</v>
      </c>
      <c r="AO24" s="321" t="e">
        <f t="shared" si="6"/>
        <v>#N/A</v>
      </c>
    </row>
    <row r="25" spans="1:41" ht="12" customHeight="1">
      <c r="H25" s="908">
        <f t="shared" si="1"/>
        <v>5.0000000000000003E-10</v>
      </c>
      <c r="U25" s="910">
        <f t="shared" si="2"/>
        <v>5.0000000000000003E-10</v>
      </c>
      <c r="AI25" s="321">
        <v>16</v>
      </c>
      <c r="AJ25" s="321">
        <f t="shared" si="7"/>
        <v>-3.88</v>
      </c>
      <c r="AK25" s="321">
        <f t="shared" si="3"/>
        <v>5.4901294735695859E-4</v>
      </c>
      <c r="AL25" s="321">
        <f t="shared" si="4"/>
        <v>7.8895329014293074E-5</v>
      </c>
      <c r="AN25" s="321" t="e">
        <f t="shared" si="5"/>
        <v>#N/A</v>
      </c>
      <c r="AO25" s="321" t="e">
        <f t="shared" si="6"/>
        <v>#N/A</v>
      </c>
    </row>
    <row r="26" spans="1:41" ht="12" customHeight="1">
      <c r="H26" s="908">
        <f t="shared" si="1"/>
        <v>5.0000000000000003E-10</v>
      </c>
      <c r="U26" s="910">
        <f t="shared" si="2"/>
        <v>5.0000000000000003E-10</v>
      </c>
      <c r="AG26" s="941" t="s">
        <v>1337</v>
      </c>
      <c r="AH26" s="942">
        <f>-F8/2</f>
        <v>-0.25</v>
      </c>
      <c r="AI26" s="321">
        <v>17</v>
      </c>
      <c r="AJ26" s="321">
        <f t="shared" si="7"/>
        <v>-3.8719999999999999</v>
      </c>
      <c r="AK26" s="321">
        <f t="shared" si="3"/>
        <v>5.6517195205206452E-4</v>
      </c>
      <c r="AL26" s="321">
        <f t="shared" si="4"/>
        <v>8.1542962187431008E-5</v>
      </c>
      <c r="AN26" s="321" t="e">
        <f t="shared" si="5"/>
        <v>#N/A</v>
      </c>
      <c r="AO26" s="321" t="e">
        <f t="shared" si="6"/>
        <v>#N/A</v>
      </c>
    </row>
    <row r="27" spans="1:41" ht="12" customHeight="1">
      <c r="H27" s="908">
        <f t="shared" si="1"/>
        <v>5.0000000000000003E-10</v>
      </c>
      <c r="U27" s="910">
        <f t="shared" si="2"/>
        <v>5.0000000000000003E-10</v>
      </c>
      <c r="AG27" s="941" t="s">
        <v>1338</v>
      </c>
      <c r="AH27" s="942">
        <f>F8/2</f>
        <v>0.25</v>
      </c>
      <c r="AI27" s="321">
        <v>18</v>
      </c>
      <c r="AJ27" s="321">
        <f t="shared" si="7"/>
        <v>-3.8639999999999999</v>
      </c>
      <c r="AK27" s="321">
        <f t="shared" si="3"/>
        <v>5.8176932755534016E-4</v>
      </c>
      <c r="AL27" s="321">
        <f t="shared" si="4"/>
        <v>8.4274053061036996E-5</v>
      </c>
      <c r="AN27" s="321" t="e">
        <f t="shared" si="5"/>
        <v>#N/A</v>
      </c>
      <c r="AO27" s="321" t="e">
        <f t="shared" si="6"/>
        <v>#N/A</v>
      </c>
    </row>
    <row r="28" spans="1:41" ht="12" customHeight="1">
      <c r="H28" s="908">
        <f t="shared" si="1"/>
        <v>5.0000000000000003E-10</v>
      </c>
      <c r="U28" s="910">
        <f t="shared" si="2"/>
        <v>5.0000000000000003E-10</v>
      </c>
      <c r="AG28" s="943" t="s">
        <v>1024</v>
      </c>
      <c r="AH28" s="942">
        <v>1</v>
      </c>
      <c r="AI28" s="321">
        <v>19</v>
      </c>
      <c r="AJ28" s="321">
        <f t="shared" si="7"/>
        <v>-3.8559999999999999</v>
      </c>
      <c r="AK28" s="321">
        <f t="shared" si="3"/>
        <v>5.9881579189005271E-4</v>
      </c>
      <c r="AL28" s="321">
        <f t="shared" si="4"/>
        <v>8.7091041433232642E-5</v>
      </c>
      <c r="AN28" s="321" t="e">
        <f t="shared" si="5"/>
        <v>#N/A</v>
      </c>
      <c r="AO28" s="321" t="e">
        <f t="shared" si="6"/>
        <v>#N/A</v>
      </c>
    </row>
    <row r="29" spans="1:41" ht="12" customHeight="1">
      <c r="H29" s="908">
        <f t="shared" si="1"/>
        <v>5.0000000000000003E-10</v>
      </c>
      <c r="U29" s="910">
        <f t="shared" si="2"/>
        <v>5.0000000000000003E-10</v>
      </c>
      <c r="AI29" s="321">
        <v>20</v>
      </c>
      <c r="AJ29" s="321">
        <f t="shared" si="7"/>
        <v>-3.8479999999999999</v>
      </c>
      <c r="AK29" s="321">
        <f t="shared" si="3"/>
        <v>6.1632228999661872E-4</v>
      </c>
      <c r="AL29" s="321">
        <f t="shared" si="4"/>
        <v>8.9996431969369112E-5</v>
      </c>
      <c r="AN29" s="321" t="e">
        <f t="shared" si="5"/>
        <v>#N/A</v>
      </c>
      <c r="AO29" s="321" t="e">
        <f t="shared" si="6"/>
        <v>#N/A</v>
      </c>
    </row>
    <row r="30" spans="1:41" ht="12" customHeight="1">
      <c r="H30" s="908">
        <f t="shared" si="1"/>
        <v>5.0000000000000003E-10</v>
      </c>
      <c r="U30" s="910">
        <f t="shared" si="2"/>
        <v>5.0000000000000003E-10</v>
      </c>
      <c r="AI30" s="321">
        <v>21</v>
      </c>
      <c r="AJ30" s="321">
        <f t="shared" si="7"/>
        <v>-3.84</v>
      </c>
      <c r="AK30" s="321">
        <f t="shared" si="3"/>
        <v>6.342999975387575E-4</v>
      </c>
      <c r="AL30" s="321">
        <f t="shared" si="4"/>
        <v>9.2992795718445893E-5</v>
      </c>
      <c r="AN30" s="321" t="e">
        <f t="shared" si="5"/>
        <v>#N/A</v>
      </c>
      <c r="AO30" s="321" t="e">
        <f t="shared" si="6"/>
        <v>#N/A</v>
      </c>
    </row>
    <row r="31" spans="1:41" ht="12" customHeight="1">
      <c r="H31" s="908">
        <f t="shared" si="1"/>
        <v>5.0000000000000003E-10</v>
      </c>
      <c r="AI31" s="321">
        <v>22</v>
      </c>
      <c r="AJ31" s="321">
        <f t="shared" si="7"/>
        <v>-3.8319999999999999</v>
      </c>
      <c r="AK31" s="321">
        <f t="shared" si="3"/>
        <v>6.5276032474613651E-4</v>
      </c>
      <c r="AL31" s="321">
        <f t="shared" si="4"/>
        <v>9.6082771658571804E-5</v>
      </c>
      <c r="AN31" s="321" t="e">
        <f t="shared" si="5"/>
        <v>#N/A</v>
      </c>
      <c r="AO31" s="321" t="e">
        <f t="shared" si="6"/>
        <v>#N/A</v>
      </c>
    </row>
    <row r="32" spans="1:41" ht="12" customHeight="1">
      <c r="G32" s="6"/>
      <c r="H32" s="6"/>
      <c r="T32" s="6"/>
      <c r="U32" s="6"/>
      <c r="AI32" s="321">
        <v>23</v>
      </c>
      <c r="AJ32" s="321">
        <f t="shared" si="7"/>
        <v>-3.8239999999999998</v>
      </c>
      <c r="AK32" s="321">
        <f t="shared" si="3"/>
        <v>6.7171492029307993E-4</v>
      </c>
      <c r="AL32" s="321">
        <f t="shared" si="4"/>
        <v>9.9269068271834273E-5</v>
      </c>
      <c r="AN32" s="321" t="e">
        <f t="shared" si="5"/>
        <v>#N/A</v>
      </c>
      <c r="AO32" s="321" t="e">
        <f t="shared" si="6"/>
        <v>#N/A</v>
      </c>
    </row>
    <row r="33" spans="7:41" ht="12" customHeight="1">
      <c r="AI33" s="321">
        <v>24</v>
      </c>
      <c r="AJ33" s="321">
        <f t="shared" si="7"/>
        <v>-3.8159999999999998</v>
      </c>
      <c r="AK33" s="321">
        <f t="shared" si="3"/>
        <v>6.9117567521288553E-4</v>
      </c>
      <c r="AL33" s="321">
        <f t="shared" si="4"/>
        <v>1.0255446514894239E-4</v>
      </c>
      <c r="AN33" s="321" t="e">
        <f t="shared" si="5"/>
        <v>#N/A</v>
      </c>
      <c r="AO33" s="321" t="e">
        <f t="shared" si="6"/>
        <v>#N/A</v>
      </c>
    </row>
    <row r="34" spans="7:41" ht="12" customHeight="1">
      <c r="AI34" s="321">
        <v>25</v>
      </c>
      <c r="AJ34" s="321">
        <f t="shared" si="7"/>
        <v>-3.8079999999999998</v>
      </c>
      <c r="AK34" s="321">
        <f t="shared" si="3"/>
        <v>7.1115472684725315E-4</v>
      </c>
      <c r="AL34" s="321">
        <f t="shared" si="4"/>
        <v>1.0594181462400379E-4</v>
      </c>
      <c r="AN34" s="321" t="e">
        <f t="shared" si="5"/>
        <v>#N/A</v>
      </c>
      <c r="AO34" s="321" t="e">
        <f t="shared" si="6"/>
        <v>#N/A</v>
      </c>
    </row>
    <row r="35" spans="7:41" ht="12" customHeight="1">
      <c r="AI35" s="321">
        <v>26</v>
      </c>
      <c r="AJ35" s="321">
        <f t="shared" si="7"/>
        <v>-3.8</v>
      </c>
      <c r="AK35" s="321">
        <f t="shared" si="3"/>
        <v>7.3166446283031079E-4</v>
      </c>
      <c r="AL35" s="321">
        <f t="shared" si="4"/>
        <v>1.0943404343980053E-4</v>
      </c>
      <c r="AN35" s="321" t="e">
        <f t="shared" si="5"/>
        <v>#N/A</v>
      </c>
      <c r="AO35" s="321" t="e">
        <f t="shared" si="6"/>
        <v>#N/A</v>
      </c>
    </row>
    <row r="36" spans="7:41" ht="12" customHeight="1">
      <c r="AI36" s="321">
        <v>27</v>
      </c>
      <c r="AJ36" s="321">
        <f t="shared" si="7"/>
        <v>-3.7919999999999998</v>
      </c>
      <c r="AK36" s="321">
        <f t="shared" si="3"/>
        <v>7.5271752510669377E-4</v>
      </c>
      <c r="AL36" s="321">
        <f t="shared" si="4"/>
        <v>1.1303415444392027E-4</v>
      </c>
      <c r="AN36" s="321" t="e">
        <f t="shared" si="5"/>
        <v>#N/A</v>
      </c>
      <c r="AO36" s="321" t="e">
        <f t="shared" si="6"/>
        <v>#N/A</v>
      </c>
    </row>
    <row r="37" spans="7:41" ht="12" customHeight="1">
      <c r="AI37" s="321">
        <v>28</v>
      </c>
      <c r="AJ37" s="321">
        <f t="shared" si="7"/>
        <v>-3.7839999999999998</v>
      </c>
      <c r="AK37" s="321">
        <f t="shared" si="3"/>
        <v>7.7432681398308199E-4</v>
      </c>
      <c r="AL37" s="321">
        <f t="shared" si="4"/>
        <v>1.1674522831610119E-4</v>
      </c>
      <c r="AN37" s="321" t="e">
        <f t="shared" si="5"/>
        <v>#N/A</v>
      </c>
      <c r="AO37" s="321" t="e">
        <f t="shared" si="6"/>
        <v>#N/A</v>
      </c>
    </row>
    <row r="38" spans="7:41" ht="12" customHeight="1">
      <c r="AI38" s="321">
        <v>29</v>
      </c>
      <c r="AJ38" s="321">
        <f t="shared" si="7"/>
        <v>-3.7759999999999998</v>
      </c>
      <c r="AK38" s="321">
        <f t="shared" si="3"/>
        <v>7.9650549221260106E-4</v>
      </c>
      <c r="AL38" s="321">
        <f t="shared" si="4"/>
        <v>1.2057042532714551E-4</v>
      </c>
      <c r="AN38" s="321" t="e">
        <f t="shared" si="5"/>
        <v>#N/A</v>
      </c>
      <c r="AO38" s="321" t="e">
        <f t="shared" si="6"/>
        <v>#N/A</v>
      </c>
    </row>
    <row r="39" spans="7:41" ht="12" customHeight="1">
      <c r="AI39" s="321">
        <v>30</v>
      </c>
      <c r="AJ39" s="321">
        <f t="shared" si="7"/>
        <v>-3.7679999999999998</v>
      </c>
      <c r="AK39" s="321">
        <f t="shared" si="3"/>
        <v>8.1926698911142311E-4</v>
      </c>
      <c r="AL39" s="321">
        <f t="shared" si="4"/>
        <v>1.2451298712975214E-4</v>
      </c>
      <c r="AN39" s="321" t="e">
        <f t="shared" si="5"/>
        <v>#N/A</v>
      </c>
      <c r="AO39" s="321" t="e">
        <f t="shared" si="6"/>
        <v>#N/A</v>
      </c>
    </row>
    <row r="40" spans="7:41" ht="12" customHeight="1">
      <c r="AI40" s="321">
        <v>31</v>
      </c>
      <c r="AJ40" s="321">
        <f t="shared" si="7"/>
        <v>-3.76</v>
      </c>
      <c r="AK40" s="321">
        <f t="shared" si="3"/>
        <v>8.4262500470690257E-4</v>
      </c>
      <c r="AL40" s="321">
        <f t="shared" si="4"/>
        <v>1.2857623858162105E-4</v>
      </c>
      <c r="AN40" s="321" t="e">
        <f t="shared" si="5"/>
        <v>#N/A</v>
      </c>
      <c r="AO40" s="321" t="e">
        <f t="shared" si="6"/>
        <v>#N/A</v>
      </c>
    </row>
    <row r="41" spans="7:41" ht="12" customHeight="1">
      <c r="G41" s="944"/>
      <c r="AI41" s="321">
        <v>32</v>
      </c>
      <c r="AJ41" s="321">
        <f t="shared" si="7"/>
        <v>-3.7519999999999998</v>
      </c>
      <c r="AK41" s="321">
        <f t="shared" si="3"/>
        <v>8.6659351391652991E-4</v>
      </c>
      <c r="AL41" s="321">
        <f t="shared" si="4"/>
        <v>1.3276358960117069E-4</v>
      </c>
      <c r="AN41" s="321" t="e">
        <f t="shared" si="5"/>
        <v>#N/A</v>
      </c>
      <c r="AO41" s="321" t="e">
        <f t="shared" si="6"/>
        <v>#N/A</v>
      </c>
    </row>
    <row r="42" spans="7:41" ht="12" customHeight="1">
      <c r="AI42" s="321">
        <v>33</v>
      </c>
      <c r="AJ42" s="321">
        <f t="shared" si="7"/>
        <v>-3.7439999999999998</v>
      </c>
      <c r="AK42" s="321">
        <f t="shared" si="3"/>
        <v>8.9118677075695292E-4</v>
      </c>
      <c r="AL42" s="321">
        <f t="shared" si="4"/>
        <v>1.3707853705621434E-4</v>
      </c>
      <c r="AN42" s="321" t="e">
        <f t="shared" si="5"/>
        <v>#N/A</v>
      </c>
      <c r="AO42" s="321" t="e">
        <f t="shared" si="6"/>
        <v>#N/A</v>
      </c>
    </row>
    <row r="43" spans="7:41" ht="12" customHeight="1">
      <c r="AI43" s="321">
        <v>34</v>
      </c>
      <c r="AJ43" s="321">
        <f t="shared" si="7"/>
        <v>-3.7359999999999998</v>
      </c>
      <c r="AK43" s="321">
        <f t="shared" si="3"/>
        <v>9.164193125822895E-4</v>
      </c>
      <c r="AL43" s="321">
        <f t="shared" si="4"/>
        <v>1.4152466668593172E-4</v>
      </c>
      <c r="AN43" s="321" t="e">
        <f t="shared" si="5"/>
        <v>#N/A</v>
      </c>
      <c r="AO43" s="321" t="e">
        <f t="shared" si="6"/>
        <v>#N/A</v>
      </c>
    </row>
    <row r="44" spans="7:41" ht="12" customHeight="1">
      <c r="AI44" s="321">
        <v>35</v>
      </c>
      <c r="AJ44" s="321">
        <f t="shared" si="7"/>
        <v>-3.7279999999999998</v>
      </c>
      <c r="AK44" s="321">
        <f t="shared" si="3"/>
        <v>9.4230596435091157E-4</v>
      </c>
      <c r="AL44" s="321">
        <f t="shared" si="4"/>
        <v>1.4610565505647236E-4</v>
      </c>
      <c r="AN44" s="321" t="e">
        <f t="shared" si="5"/>
        <v>#N/A</v>
      </c>
      <c r="AO44" s="321" t="e">
        <f t="shared" si="6"/>
        <v>#N/A</v>
      </c>
    </row>
    <row r="45" spans="7:41" ht="12" customHeight="1">
      <c r="AI45" s="321">
        <v>36</v>
      </c>
      <c r="AJ45" s="321">
        <f t="shared" si="7"/>
        <v>-3.7199999999999998</v>
      </c>
      <c r="AK45" s="321">
        <f t="shared" si="3"/>
        <v>9.6886184291984656E-4</v>
      </c>
      <c r="AL45" s="321">
        <f t="shared" si="4"/>
        <v>1.5082527155051804E-4</v>
      </c>
      <c r="AN45" s="321" t="e">
        <f t="shared" si="5"/>
        <v>#N/A</v>
      </c>
      <c r="AO45" s="321" t="e">
        <f t="shared" si="6"/>
        <v>#N/A</v>
      </c>
    </row>
    <row r="46" spans="7:41" ht="12" customHeight="1">
      <c r="AI46" s="321">
        <v>37</v>
      </c>
      <c r="AJ46" s="321">
        <f t="shared" si="7"/>
        <v>-3.7119999999999997</v>
      </c>
      <c r="AK46" s="321">
        <f t="shared" si="3"/>
        <v>9.9610236136590835E-4</v>
      </c>
      <c r="AL46" s="321">
        <f t="shared" si="4"/>
        <v>1.5568738039113182E-4</v>
      </c>
      <c r="AN46" s="321" t="e">
        <f t="shared" si="5"/>
        <v>#N/A</v>
      </c>
      <c r="AO46" s="321" t="e">
        <f t="shared" si="6"/>
        <v>#N/A</v>
      </c>
    </row>
    <row r="47" spans="7:41" ht="12" customHeight="1">
      <c r="AI47" s="321">
        <v>38</v>
      </c>
      <c r="AJ47" s="321">
        <f t="shared" si="7"/>
        <v>-3.7039999999999997</v>
      </c>
      <c r="AK47" s="321">
        <f t="shared" si="3"/>
        <v>1.0240432333326237E-3</v>
      </c>
      <c r="AL47" s="321">
        <f t="shared" si="4"/>
        <v>1.6069594270021244E-4</v>
      </c>
      <c r="AN47" s="321" t="e">
        <f t="shared" si="5"/>
        <v>#N/A</v>
      </c>
      <c r="AO47" s="321" t="e">
        <f t="shared" si="6"/>
        <v>#N/A</v>
      </c>
    </row>
    <row r="48" spans="7:41" ht="12" customHeight="1">
      <c r="AI48" s="321">
        <v>39</v>
      </c>
      <c r="AJ48" s="321">
        <f t="shared" si="7"/>
        <v>-3.6959999999999997</v>
      </c>
      <c r="AK48" s="321">
        <f t="shared" si="3"/>
        <v>1.0527004774020033E-3</v>
      </c>
      <c r="AL48" s="321">
        <f t="shared" si="4"/>
        <v>1.6585501859187006E-4</v>
      </c>
      <c r="AN48" s="321" t="e">
        <f t="shared" si="5"/>
        <v>#N/A</v>
      </c>
      <c r="AO48" s="321" t="e">
        <f t="shared" si="6"/>
        <v>#N/A</v>
      </c>
    </row>
    <row r="49" spans="35:41" ht="12" customHeight="1">
      <c r="AI49" s="321">
        <v>40</v>
      </c>
      <c r="AJ49" s="321">
        <f t="shared" si="7"/>
        <v>-3.6879999999999997</v>
      </c>
      <c r="AK49" s="321">
        <f t="shared" si="3"/>
        <v>1.0820904214901351E-3</v>
      </c>
      <c r="AL49" s="321">
        <f t="shared" si="4"/>
        <v>1.7116876930103016E-4</v>
      </c>
      <c r="AN49" s="321" t="e">
        <f t="shared" si="5"/>
        <v>#N/A</v>
      </c>
      <c r="AO49" s="321" t="e">
        <f t="shared" si="6"/>
        <v>#N/A</v>
      </c>
    </row>
    <row r="50" spans="35:41" ht="12" customHeight="1">
      <c r="AI50" s="321">
        <v>41</v>
      </c>
      <c r="AJ50" s="321">
        <f t="shared" si="7"/>
        <v>-3.6799999999999997</v>
      </c>
      <c r="AK50" s="321">
        <f t="shared" si="3"/>
        <v>1.1122297072655668E-3</v>
      </c>
      <c r="AL50" s="321">
        <f t="shared" si="4"/>
        <v>1.7664145934757119E-4</v>
      </c>
      <c r="AN50" s="321" t="e">
        <f t="shared" si="5"/>
        <v>#N/A</v>
      </c>
      <c r="AO50" s="321" t="e">
        <f t="shared" si="6"/>
        <v>#N/A</v>
      </c>
    </row>
    <row r="51" spans="35:41" ht="12" customHeight="1">
      <c r="AI51" s="321">
        <v>42</v>
      </c>
      <c r="AJ51" s="321">
        <f t="shared" si="7"/>
        <v>-3.6719999999999997</v>
      </c>
      <c r="AK51" s="321">
        <f t="shared" si="3"/>
        <v>1.1431352945893978E-3</v>
      </c>
      <c r="AL51" s="321">
        <f t="shared" si="4"/>
        <v>1.8227745873629022E-4</v>
      </c>
      <c r="AN51" s="321" t="e">
        <f t="shared" si="5"/>
        <v>#N/A</v>
      </c>
      <c r="AO51" s="321" t="e">
        <f t="shared" si="6"/>
        <v>#N/A</v>
      </c>
    </row>
    <row r="52" spans="35:41" ht="12" customHeight="1">
      <c r="AI52" s="321">
        <v>43</v>
      </c>
      <c r="AJ52" s="321">
        <f t="shared" si="7"/>
        <v>-3.6639999999999997</v>
      </c>
      <c r="AK52" s="321">
        <f t="shared" si="3"/>
        <v>1.1748244659759558E-3</v>
      </c>
      <c r="AL52" s="321">
        <f t="shared" si="4"/>
        <v>1.8808124519298835E-4</v>
      </c>
      <c r="AN52" s="321" t="e">
        <f t="shared" si="5"/>
        <v>#N/A</v>
      </c>
      <c r="AO52" s="321" t="e">
        <f t="shared" si="6"/>
        <v>#N/A</v>
      </c>
    </row>
    <row r="53" spans="35:41" ht="12" customHeight="1">
      <c r="AI53" s="321">
        <v>44</v>
      </c>
      <c r="AJ53" s="321">
        <f t="shared" si="7"/>
        <v>-3.6559999999999997</v>
      </c>
      <c r="AK53" s="321">
        <f t="shared" si="3"/>
        <v>1.2073148310728836E-3</v>
      </c>
      <c r="AL53" s="321">
        <f t="shared" si="4"/>
        <v>1.9405740643695614E-4</v>
      </c>
      <c r="AN53" s="321" t="e">
        <f t="shared" si="5"/>
        <v>#N/A</v>
      </c>
      <c r="AO53" s="321" t="e">
        <f t="shared" si="6"/>
        <v>#N/A</v>
      </c>
    </row>
    <row r="54" spans="35:41" ht="12" customHeight="1">
      <c r="AI54" s="321">
        <v>45</v>
      </c>
      <c r="AJ54" s="321">
        <f t="shared" si="7"/>
        <v>-3.6479999999999997</v>
      </c>
      <c r="AK54" s="321">
        <f t="shared" si="3"/>
        <v>1.2406243311594517E-3</v>
      </c>
      <c r="AL54" s="321">
        <f t="shared" si="4"/>
        <v>2.0021064249013581E-4</v>
      </c>
      <c r="AN54" s="321" t="e">
        <f t="shared" si="5"/>
        <v>#N/A</v>
      </c>
      <c r="AO54" s="321" t="e">
        <f t="shared" si="6"/>
        <v>#N/A</v>
      </c>
    </row>
    <row r="55" spans="35:41" ht="12" customHeight="1">
      <c r="AI55" s="321">
        <v>46</v>
      </c>
      <c r="AJ55" s="321">
        <f t="shared" si="7"/>
        <v>-3.6399999999999997</v>
      </c>
      <c r="AK55" s="321">
        <f t="shared" si="3"/>
        <v>1.2747712436618349E-3</v>
      </c>
      <c r="AL55" s="321">
        <f t="shared" si="4"/>
        <v>2.0654576802322584E-4</v>
      </c>
      <c r="AN55" s="321" t="e">
        <f t="shared" si="5"/>
        <v>#N/A</v>
      </c>
      <c r="AO55" s="321" t="e">
        <f t="shared" si="6"/>
        <v>#N/A</v>
      </c>
    </row>
    <row r="56" spans="35:41" ht="12" customHeight="1">
      <c r="AI56" s="321">
        <v>47</v>
      </c>
      <c r="AJ56" s="321">
        <f t="shared" si="7"/>
        <v>-3.6319999999999997</v>
      </c>
      <c r="AK56" s="321">
        <f t="shared" si="3"/>
        <v>1.3097741866840713E-3</v>
      </c>
      <c r="AL56" s="321">
        <f t="shared" si="4"/>
        <v>2.1306771473898907E-4</v>
      </c>
      <c r="AN56" s="321" t="e">
        <f t="shared" si="5"/>
        <v>#N/A</v>
      </c>
      <c r="AO56" s="321" t="e">
        <f t="shared" si="6"/>
        <v>#N/A</v>
      </c>
    </row>
    <row r="57" spans="35:41" ht="12" customHeight="1">
      <c r="AI57" s="321">
        <v>48</v>
      </c>
      <c r="AJ57" s="321">
        <f t="shared" si="7"/>
        <v>-3.6239999999999997</v>
      </c>
      <c r="AK57" s="321">
        <f t="shared" si="3"/>
        <v>1.3456521235533712E-3</v>
      </c>
      <c r="AL57" s="321">
        <f t="shared" si="4"/>
        <v>2.1978153379301036E-4</v>
      </c>
      <c r="AN57" s="321" t="e">
        <f t="shared" si="5"/>
        <v>#N/A</v>
      </c>
      <c r="AO57" s="321" t="e">
        <f t="shared" si="6"/>
        <v>#N/A</v>
      </c>
    </row>
    <row r="58" spans="35:41" ht="12" customHeight="1">
      <c r="AI58" s="321">
        <v>49</v>
      </c>
      <c r="AJ58" s="321">
        <f t="shared" si="7"/>
        <v>-3.6159999999999997</v>
      </c>
      <c r="AK58" s="321">
        <f t="shared" si="3"/>
        <v>1.3824243673784011E-3</v>
      </c>
      <c r="AL58" s="321">
        <f t="shared" si="4"/>
        <v>2.2669239825214975E-4</v>
      </c>
      <c r="AN58" s="321" t="e">
        <f t="shared" si="5"/>
        <v>#N/A</v>
      </c>
      <c r="AO58" s="321" t="e">
        <f t="shared" si="6"/>
        <v>#N/A</v>
      </c>
    </row>
    <row r="59" spans="35:41" ht="12" customHeight="1">
      <c r="AI59" s="321">
        <v>50</v>
      </c>
      <c r="AJ59" s="321">
        <f t="shared" si="7"/>
        <v>-3.6079999999999997</v>
      </c>
      <c r="AK59" s="321">
        <f t="shared" si="3"/>
        <v>1.4201105856191257E-3</v>
      </c>
      <c r="AL59" s="321">
        <f t="shared" si="4"/>
        <v>2.3380560559091703E-4</v>
      </c>
      <c r="AN59" s="321" t="e">
        <f t="shared" si="5"/>
        <v>#N/A</v>
      </c>
      <c r="AO59" s="321" t="e">
        <f t="shared" si="6"/>
        <v>#N/A</v>
      </c>
    </row>
    <row r="60" spans="35:41" ht="12" customHeight="1">
      <c r="AI60" s="321">
        <v>51</v>
      </c>
      <c r="AJ60" s="321">
        <f t="shared" si="7"/>
        <v>-3.5999999999999996</v>
      </c>
      <c r="AK60" s="321">
        <f t="shared" si="3"/>
        <v>1.458730804666747E-3</v>
      </c>
      <c r="AL60" s="321">
        <f t="shared" si="4"/>
        <v>2.4112658022599364E-4</v>
      </c>
      <c r="AN60" s="321" t="e">
        <f t="shared" si="5"/>
        <v>#N/A</v>
      </c>
      <c r="AO60" s="321" t="e">
        <f t="shared" si="6"/>
        <v>#N/A</v>
      </c>
    </row>
    <row r="61" spans="35:41" ht="12" customHeight="1">
      <c r="AI61" s="321">
        <v>52</v>
      </c>
      <c r="AJ61" s="321">
        <f t="shared" si="7"/>
        <v>-3.5919999999999996</v>
      </c>
      <c r="AK61" s="321">
        <f t="shared" si="3"/>
        <v>1.4983054144322315E-3</v>
      </c>
      <c r="AL61" s="321">
        <f t="shared" si="4"/>
        <v>2.4866087608911141E-4</v>
      </c>
      <c r="AN61" s="321" t="e">
        <f t="shared" si="5"/>
        <v>#N/A</v>
      </c>
      <c r="AO61" s="321" t="e">
        <f t="shared" si="6"/>
        <v>#N/A</v>
      </c>
    </row>
    <row r="62" spans="35:41" ht="12" customHeight="1">
      <c r="AI62" s="321">
        <v>53</v>
      </c>
      <c r="AJ62" s="321">
        <f t="shared" si="7"/>
        <v>-3.5839999999999996</v>
      </c>
      <c r="AK62" s="321">
        <f t="shared" si="3"/>
        <v>1.5388551729418702E-3</v>
      </c>
      <c r="AL62" s="321">
        <f t="shared" si="4"/>
        <v>2.5641417923848593E-4</v>
      </c>
      <c r="AN62" s="321" t="e">
        <f t="shared" si="5"/>
        <v>#N/A</v>
      </c>
      <c r="AO62" s="321" t="e">
        <f t="shared" si="6"/>
        <v>#N/A</v>
      </c>
    </row>
    <row r="63" spans="35:41" ht="12" customHeight="1">
      <c r="AI63" s="321">
        <v>54</v>
      </c>
      <c r="AJ63" s="321">
        <f t="shared" si="7"/>
        <v>-3.5759999999999996</v>
      </c>
      <c r="AK63" s="321">
        <f t="shared" si="3"/>
        <v>1.5804012109382928E-3</v>
      </c>
      <c r="AL63" s="321">
        <f t="shared" si="4"/>
        <v>2.6439231050899776E-4</v>
      </c>
      <c r="AN63" s="321" t="e">
        <f t="shared" si="5"/>
        <v>#N/A</v>
      </c>
      <c r="AO63" s="321" t="e">
        <f t="shared" si="6"/>
        <v>#N/A</v>
      </c>
    </row>
    <row r="64" spans="35:41" ht="12" customHeight="1">
      <c r="AI64" s="321">
        <v>55</v>
      </c>
      <c r="AJ64" s="321">
        <f t="shared" si="7"/>
        <v>-3.5679999999999996</v>
      </c>
      <c r="AK64" s="321">
        <f t="shared" si="3"/>
        <v>1.6229650364852593E-3</v>
      </c>
      <c r="AL64" s="321">
        <f t="shared" si="4"/>
        <v>2.7260122820129545E-4</v>
      </c>
      <c r="AN64" s="321" t="e">
        <f t="shared" si="5"/>
        <v>#N/A</v>
      </c>
      <c r="AO64" s="321" t="e">
        <f t="shared" si="6"/>
        <v>#N/A</v>
      </c>
    </row>
    <row r="65" spans="35:41" ht="12" customHeight="1">
      <c r="AI65" s="321">
        <v>56</v>
      </c>
      <c r="AJ65" s="321">
        <f t="shared" si="7"/>
        <v>-3.5599999999999996</v>
      </c>
      <c r="AK65" s="321">
        <f t="shared" si="3"/>
        <v>1.6665685395745825E-3</v>
      </c>
      <c r="AL65" s="321">
        <f t="shared" si="4"/>
        <v>2.8104703080998681E-4</v>
      </c>
      <c r="AN65" s="321" t="e">
        <f t="shared" si="5"/>
        <v>#N/A</v>
      </c>
      <c r="AO65" s="321" t="e">
        <f t="shared" si="6"/>
        <v>#N/A</v>
      </c>
    </row>
    <row r="66" spans="35:41" ht="12" customHeight="1">
      <c r="AI66" s="321">
        <v>57</v>
      </c>
      <c r="AJ66" s="321">
        <f t="shared" si="7"/>
        <v>-3.5519999999999996</v>
      </c>
      <c r="AK66" s="321">
        <f t="shared" si="3"/>
        <v>1.7112339967334008E-3</v>
      </c>
      <c r="AL66" s="321">
        <f t="shared" si="4"/>
        <v>2.8973595979106938E-4</v>
      </c>
      <c r="AN66" s="321" t="e">
        <f t="shared" si="5"/>
        <v>#N/A</v>
      </c>
      <c r="AO66" s="321" t="e">
        <f t="shared" si="6"/>
        <v>#N/A</v>
      </c>
    </row>
    <row r="67" spans="35:41" ht="12" customHeight="1">
      <c r="AI67" s="321">
        <v>58</v>
      </c>
      <c r="AJ67" s="321">
        <f t="shared" si="7"/>
        <v>-3.5439999999999996</v>
      </c>
      <c r="AK67" s="321">
        <f t="shared" si="3"/>
        <v>1.7569840756300574E-3</v>
      </c>
      <c r="AL67" s="321">
        <f t="shared" si="4"/>
        <v>2.9867440236874289E-4</v>
      </c>
      <c r="AN67" s="321" t="e">
        <f t="shared" si="5"/>
        <v>#N/A</v>
      </c>
      <c r="AO67" s="321" t="e">
        <f t="shared" si="6"/>
        <v>#N/A</v>
      </c>
    </row>
    <row r="68" spans="35:41" ht="12" customHeight="1">
      <c r="AI68" s="321">
        <v>59</v>
      </c>
      <c r="AJ68" s="321">
        <f t="shared" si="7"/>
        <v>-3.5359999999999996</v>
      </c>
      <c r="AK68" s="321">
        <f t="shared" si="3"/>
        <v>1.8038418396767307E-3</v>
      </c>
      <c r="AL68" s="321">
        <f t="shared" si="4"/>
        <v>3.07868894381724E-4</v>
      </c>
      <c r="AN68" s="321" t="e">
        <f t="shared" si="5"/>
        <v>#N/A</v>
      </c>
      <c r="AO68" s="321" t="e">
        <f t="shared" si="6"/>
        <v>#N/A</v>
      </c>
    </row>
    <row r="69" spans="35:41" ht="12" customHeight="1">
      <c r="AI69" s="321">
        <v>60</v>
      </c>
      <c r="AJ69" s="321">
        <f t="shared" si="7"/>
        <v>-3.5279999999999996</v>
      </c>
      <c r="AK69" s="321">
        <f t="shared" si="3"/>
        <v>1.8518307526269545E-3</v>
      </c>
      <c r="AL69" s="321">
        <f t="shared" si="4"/>
        <v>3.1732612316918025E-4</v>
      </c>
      <c r="AN69" s="321" t="e">
        <f t="shared" si="5"/>
        <v>#N/A</v>
      </c>
      <c r="AO69" s="321" t="e">
        <f t="shared" si="6"/>
        <v>#N/A</v>
      </c>
    </row>
    <row r="70" spans="35:41" ht="12" customHeight="1">
      <c r="AI70" s="321">
        <v>61</v>
      </c>
      <c r="AJ70" s="321">
        <f t="shared" si="7"/>
        <v>-3.5199999999999996</v>
      </c>
      <c r="AK70" s="321">
        <f t="shared" si="3"/>
        <v>1.9009746831660818E-3</v>
      </c>
      <c r="AL70" s="321">
        <f t="shared" si="4"/>
        <v>3.2705293049637525E-4</v>
      </c>
      <c r="AN70" s="321" t="e">
        <f t="shared" si="5"/>
        <v>#N/A</v>
      </c>
      <c r="AO70" s="321" t="e">
        <f t="shared" si="6"/>
        <v>#N/A</v>
      </c>
    </row>
    <row r="71" spans="35:41" ht="12" customHeight="1">
      <c r="AI71" s="321">
        <v>62</v>
      </c>
      <c r="AJ71" s="321">
        <f t="shared" si="7"/>
        <v>-3.5119999999999996</v>
      </c>
      <c r="AK71" s="321">
        <f t="shared" si="3"/>
        <v>1.9512979094927438E-3</v>
      </c>
      <c r="AL71" s="321">
        <f t="shared" si="4"/>
        <v>3.3705631552011347E-4</v>
      </c>
      <c r="AN71" s="321" t="e">
        <f t="shared" si="5"/>
        <v>#N/A</v>
      </c>
      <c r="AO71" s="321" t="e">
        <f t="shared" si="6"/>
        <v>#N/A</v>
      </c>
    </row>
    <row r="72" spans="35:41" ht="12" customHeight="1">
      <c r="AI72" s="321">
        <v>63</v>
      </c>
      <c r="AJ72" s="321">
        <f t="shared" si="7"/>
        <v>-3.5039999999999996</v>
      </c>
      <c r="AK72" s="321">
        <f t="shared" si="3"/>
        <v>2.0028251238892575E-3</v>
      </c>
      <c r="AL72" s="321">
        <f t="shared" si="4"/>
        <v>3.4734343779404278E-4</v>
      </c>
      <c r="AN72" s="321" t="e">
        <f t="shared" si="5"/>
        <v>#N/A</v>
      </c>
      <c r="AO72" s="321" t="e">
        <f t="shared" si="6"/>
        <v>#N/A</v>
      </c>
    </row>
    <row r="73" spans="35:41" ht="12" customHeight="1">
      <c r="AI73" s="321">
        <v>64</v>
      </c>
      <c r="AJ73" s="321">
        <f t="shared" si="7"/>
        <v>-3.4959999999999996</v>
      </c>
      <c r="AK73" s="321">
        <f t="shared" si="3"/>
        <v>2.0555814372789395E-3</v>
      </c>
      <c r="AL73" s="321">
        <f t="shared" si="4"/>
        <v>3.5792162031387284E-4</v>
      </c>
      <c r="AN73" s="321" t="e">
        <f t="shared" si="5"/>
        <v>#N/A</v>
      </c>
      <c r="AO73" s="321" t="e">
        <f t="shared" si="6"/>
        <v>#N/A</v>
      </c>
    </row>
    <row r="74" spans="35:41" ht="12" customHeight="1">
      <c r="AI74" s="321">
        <v>65</v>
      </c>
      <c r="AJ74" s="321">
        <f t="shared" si="7"/>
        <v>-3.4879999999999995</v>
      </c>
      <c r="AK74" s="321">
        <f t="shared" ref="AK74:AK137" si="8">NORMDIST(AJ74,$AH$26,$AH$28,FALSE)</f>
        <v>2.1095923837681691E-3</v>
      </c>
      <c r="AL74" s="321">
        <f t="shared" ref="AL74:AL137" si="9">NORMDIST(AJ74,$AH$27,$AH$28,FALSE)</f>
        <v>3.6879835260253743E-4</v>
      </c>
      <c r="AN74" s="321" t="e">
        <f t="shared" ref="AN74:AN137" si="10">IF(AND($AJ$7,$AH$27&gt;AJ74),AK74,NA())</f>
        <v>#N/A</v>
      </c>
      <c r="AO74" s="321" t="e">
        <f t="shared" ref="AO74:AO137" si="11">IF(AND($AJ$6,$AH$26&lt;AJ74+(drend-dlend)/$AO$6),AL74,NA())</f>
        <v>#N/A</v>
      </c>
    </row>
    <row r="75" spans="35:41" ht="12" customHeight="1">
      <c r="AI75" s="321">
        <v>66</v>
      </c>
      <c r="AJ75" s="321">
        <f t="shared" ref="AJ75:AJ138" si="12">AJ74+$AL$7</f>
        <v>-3.4799999999999995</v>
      </c>
      <c r="AK75" s="321">
        <f t="shared" si="8"/>
        <v>2.1648839251710659E-3</v>
      </c>
      <c r="AL75" s="321">
        <f t="shared" si="9"/>
        <v>3.7998129383532206E-4</v>
      </c>
      <c r="AN75" s="321" t="e">
        <f t="shared" si="10"/>
        <v>#N/A</v>
      </c>
      <c r="AO75" s="321" t="e">
        <f t="shared" si="11"/>
        <v>#N/A</v>
      </c>
    </row>
    <row r="76" spans="35:41" ht="12" customHeight="1">
      <c r="AI76" s="321">
        <v>67</v>
      </c>
      <c r="AJ76" s="321">
        <f t="shared" si="12"/>
        <v>-3.4719999999999995</v>
      </c>
      <c r="AK76" s="321">
        <f t="shared" si="8"/>
        <v>2.2214824555145353E-3</v>
      </c>
      <c r="AL76" s="321">
        <f t="shared" si="9"/>
        <v>3.9147827600494883E-4</v>
      </c>
      <c r="AN76" s="321" t="e">
        <f t="shared" si="10"/>
        <v>#N/A</v>
      </c>
      <c r="AO76" s="321" t="e">
        <f t="shared" si="11"/>
        <v>#N/A</v>
      </c>
    </row>
    <row r="77" spans="35:41" ht="12" customHeight="1">
      <c r="AI77" s="321">
        <v>68</v>
      </c>
      <c r="AJ77" s="321">
        <f t="shared" si="12"/>
        <v>-3.4639999999999995</v>
      </c>
      <c r="AK77" s="321">
        <f t="shared" si="8"/>
        <v>2.2794148055214482E-3</v>
      </c>
      <c r="AL77" s="321">
        <f t="shared" si="9"/>
        <v>4.0329730712660746E-4</v>
      </c>
      <c r="AN77" s="321" t="e">
        <f t="shared" si="10"/>
        <v>#N/A</v>
      </c>
      <c r="AO77" s="321" t="e">
        <f t="shared" si="11"/>
        <v>#N/A</v>
      </c>
    </row>
    <row r="78" spans="35:41" ht="12" customHeight="1">
      <c r="AI78" s="321">
        <v>69</v>
      </c>
      <c r="AJ78" s="321">
        <f t="shared" si="12"/>
        <v>-3.4559999999999995</v>
      </c>
      <c r="AK78" s="321">
        <f t="shared" si="8"/>
        <v>2.3387082470695902E-3</v>
      </c>
      <c r="AL78" s="321">
        <f t="shared" si="9"/>
        <v>4.1544657448288832E-4</v>
      </c>
      <c r="AN78" s="321" t="e">
        <f t="shared" si="10"/>
        <v>#N/A</v>
      </c>
      <c r="AO78" s="321" t="e">
        <f t="shared" si="11"/>
        <v>#N/A</v>
      </c>
    </row>
    <row r="79" spans="35:41" ht="12" customHeight="1">
      <c r="AI79" s="321">
        <v>70</v>
      </c>
      <c r="AJ79" s="321">
        <f t="shared" si="12"/>
        <v>-3.4479999999999995</v>
      </c>
      <c r="AK79" s="321">
        <f t="shared" si="8"/>
        <v>2.3993904976240695E-3</v>
      </c>
      <c r="AL79" s="321">
        <f t="shared" si="9"/>
        <v>4.2793444790856298E-4</v>
      </c>
      <c r="AN79" s="321" t="e">
        <f t="shared" si="10"/>
        <v>#N/A</v>
      </c>
      <c r="AO79" s="321" t="e">
        <f t="shared" si="11"/>
        <v>#N/A</v>
      </c>
    </row>
    <row r="80" spans="35:41" ht="12" customHeight="1">
      <c r="AI80" s="321">
        <v>71</v>
      </c>
      <c r="AJ80" s="321">
        <f t="shared" si="12"/>
        <v>-3.4399999999999995</v>
      </c>
      <c r="AK80" s="321">
        <f t="shared" si="8"/>
        <v>2.4614897246407045E-3</v>
      </c>
      <c r="AL80" s="321">
        <f t="shared" si="9"/>
        <v>4.4076948311513322E-4</v>
      </c>
      <c r="AN80" s="321" t="e">
        <f t="shared" si="10"/>
        <v>#N/A</v>
      </c>
      <c r="AO80" s="321" t="e">
        <f t="shared" si="11"/>
        <v>#N/A</v>
      </c>
    </row>
    <row r="81" spans="35:41" ht="12" customHeight="1">
      <c r="AI81" s="321">
        <v>72</v>
      </c>
      <c r="AJ81" s="321">
        <f t="shared" si="12"/>
        <v>-3.4319999999999995</v>
      </c>
      <c r="AK81" s="321">
        <f t="shared" si="8"/>
        <v>2.5250345499379851E-3</v>
      </c>
      <c r="AL81" s="321">
        <f t="shared" si="9"/>
        <v>4.5396042505505175E-4</v>
      </c>
      <c r="AN81" s="321" t="e">
        <f t="shared" si="10"/>
        <v>#N/A</v>
      </c>
      <c r="AO81" s="321" t="e">
        <f t="shared" si="11"/>
        <v>#N/A</v>
      </c>
    </row>
    <row r="82" spans="35:41" ht="12" customHeight="1">
      <c r="AI82" s="321">
        <v>73</v>
      </c>
      <c r="AJ82" s="321">
        <f t="shared" si="12"/>
        <v>-3.4239999999999995</v>
      </c>
      <c r="AK82" s="321">
        <f t="shared" si="8"/>
        <v>2.590054054035043E-3</v>
      </c>
      <c r="AL82" s="321">
        <f t="shared" si="9"/>
        <v>4.6751621132549813E-4</v>
      </c>
      <c r="AN82" s="321" t="e">
        <f t="shared" si="10"/>
        <v>#N/A</v>
      </c>
      <c r="AO82" s="321" t="e">
        <f t="shared" si="11"/>
        <v>#N/A</v>
      </c>
    </row>
    <row r="83" spans="35:41" ht="12" customHeight="1">
      <c r="AI83" s="321">
        <v>74</v>
      </c>
      <c r="AJ83" s="321">
        <f t="shared" si="12"/>
        <v>-3.4159999999999995</v>
      </c>
      <c r="AK83" s="321">
        <f t="shared" si="8"/>
        <v>2.6565777804531043E-3</v>
      </c>
      <c r="AL83" s="321">
        <f t="shared" si="9"/>
        <v>4.81445975611565E-4</v>
      </c>
      <c r="AN83" s="321" t="e">
        <f t="shared" si="10"/>
        <v>#N/A</v>
      </c>
      <c r="AO83" s="321" t="e">
        <f t="shared" si="11"/>
        <v>#N/A</v>
      </c>
    </row>
    <row r="84" spans="35:41" ht="12" customHeight="1">
      <c r="AI84" s="321">
        <v>75</v>
      </c>
      <c r="AJ84" s="321">
        <f t="shared" si="12"/>
        <v>-3.4079999999999995</v>
      </c>
      <c r="AK84" s="321">
        <f t="shared" si="8"/>
        <v>2.7246357399777613E-3</v>
      </c>
      <c r="AL84" s="321">
        <f t="shared" si="9"/>
        <v>4.9575905116869495E-4</v>
      </c>
      <c r="AN84" s="321" t="e">
        <f t="shared" si="10"/>
        <v>#N/A</v>
      </c>
      <c r="AO84" s="321" t="e">
        <f t="shared" si="11"/>
        <v>#N/A</v>
      </c>
    </row>
    <row r="85" spans="35:41" ht="12" customHeight="1">
      <c r="AI85" s="321">
        <v>76</v>
      </c>
      <c r="AJ85" s="321">
        <f t="shared" si="12"/>
        <v>-3.3999999999999995</v>
      </c>
      <c r="AK85" s="321">
        <f t="shared" si="8"/>
        <v>2.794258414879452E-3</v>
      </c>
      <c r="AL85" s="321">
        <f t="shared" si="9"/>
        <v>5.1046497434418647E-4</v>
      </c>
      <c r="AN85" s="321" t="e">
        <f t="shared" si="10"/>
        <v>#N/A</v>
      </c>
      <c r="AO85" s="321" t="e">
        <f t="shared" si="11"/>
        <v>#N/A</v>
      </c>
    </row>
    <row r="86" spans="35:41" ht="12" customHeight="1">
      <c r="AI86" s="321">
        <v>77</v>
      </c>
      <c r="AJ86" s="321">
        <f t="shared" si="12"/>
        <v>-3.3919999999999995</v>
      </c>
      <c r="AK86" s="321">
        <f t="shared" si="8"/>
        <v>2.8654767630893795E-3</v>
      </c>
      <c r="AL86" s="321">
        <f t="shared" si="9"/>
        <v>5.2557348813755164E-4</v>
      </c>
      <c r="AN86" s="321" t="e">
        <f t="shared" si="10"/>
        <v>#N/A</v>
      </c>
      <c r="AO86" s="321" t="e">
        <f t="shared" si="11"/>
        <v>#N/A</v>
      </c>
    </row>
    <row r="87" spans="35:41" ht="12" customHeight="1">
      <c r="AI87" s="321">
        <v>78</v>
      </c>
      <c r="AJ87" s="321">
        <f t="shared" si="12"/>
        <v>-3.3839999999999995</v>
      </c>
      <c r="AK87" s="321">
        <f t="shared" si="8"/>
        <v>2.9383222223281634E-3</v>
      </c>
      <c r="AL87" s="321">
        <f t="shared" si="9"/>
        <v>5.4109454579950454E-4</v>
      </c>
      <c r="AN87" s="321" t="e">
        <f t="shared" si="10"/>
        <v>#N/A</v>
      </c>
      <c r="AO87" s="321" t="e">
        <f t="shared" si="11"/>
        <v>#N/A</v>
      </c>
    </row>
    <row r="88" spans="35:41" ht="12" customHeight="1">
      <c r="AI88" s="321">
        <v>79</v>
      </c>
      <c r="AJ88" s="321">
        <f t="shared" si="12"/>
        <v>-3.3759999999999994</v>
      </c>
      <c r="AK88" s="321">
        <f t="shared" si="8"/>
        <v>3.0128267141843455E-3</v>
      </c>
      <c r="AL88" s="321">
        <f t="shared" si="9"/>
        <v>5.570383144693137E-4</v>
      </c>
      <c r="AN88" s="321" t="e">
        <f t="shared" si="10"/>
        <v>#N/A</v>
      </c>
      <c r="AO88" s="321" t="e">
        <f t="shared" si="11"/>
        <v>#N/A</v>
      </c>
    </row>
    <row r="89" spans="35:41" ht="12" customHeight="1">
      <c r="AI89" s="321">
        <v>80</v>
      </c>
      <c r="AJ89" s="321">
        <f t="shared" si="12"/>
        <v>-3.3679999999999994</v>
      </c>
      <c r="AK89" s="321">
        <f t="shared" si="8"/>
        <v>3.0890226481399418E-3</v>
      </c>
      <c r="AL89" s="321">
        <f t="shared" si="9"/>
        <v>5.7341517885024643E-4</v>
      </c>
      <c r="AN89" s="321" t="e">
        <f t="shared" si="10"/>
        <v>#N/A</v>
      </c>
      <c r="AO89" s="321" t="e">
        <f t="shared" si="11"/>
        <v>#N/A</v>
      </c>
    </row>
    <row r="90" spans="35:41" ht="12" customHeight="1">
      <c r="AI90" s="321">
        <v>81</v>
      </c>
      <c r="AJ90" s="321">
        <f t="shared" si="12"/>
        <v>-3.3599999999999994</v>
      </c>
      <c r="AK90" s="321">
        <f t="shared" si="8"/>
        <v>3.1669429255400837E-3</v>
      </c>
      <c r="AL90" s="321">
        <f t="shared" si="9"/>
        <v>5.9023574492278658E-4</v>
      </c>
      <c r="AN90" s="321" t="e">
        <f t="shared" si="10"/>
        <v>#N/A</v>
      </c>
      <c r="AO90" s="321" t="e">
        <f t="shared" si="11"/>
        <v>#N/A</v>
      </c>
    </row>
    <row r="91" spans="35:41" ht="12" customHeight="1">
      <c r="AI91" s="321">
        <v>82</v>
      </c>
      <c r="AJ91" s="321">
        <f t="shared" si="12"/>
        <v>-3.3519999999999994</v>
      </c>
      <c r="AK91" s="321">
        <f t="shared" si="8"/>
        <v>3.2466209435038414E-3</v>
      </c>
      <c r="AL91" s="321">
        <f t="shared" si="9"/>
        <v>6.0751084369530374E-4</v>
      </c>
      <c r="AN91" s="321" t="e">
        <f t="shared" si="10"/>
        <v>#N/A</v>
      </c>
      <c r="AO91" s="321" t="e">
        <f t="shared" si="11"/>
        <v>#N/A</v>
      </c>
    </row>
    <row r="92" spans="35:41" ht="12" customHeight="1">
      <c r="AI92" s="321">
        <v>83</v>
      </c>
      <c r="AJ92" s="321">
        <f t="shared" si="12"/>
        <v>-3.3439999999999994</v>
      </c>
      <c r="AK92" s="321">
        <f t="shared" si="8"/>
        <v>3.3280905987731514E-3</v>
      </c>
      <c r="AL92" s="321">
        <f t="shared" si="9"/>
        <v>6.2525153499180634E-4</v>
      </c>
      <c r="AN92" s="321" t="e">
        <f t="shared" si="10"/>
        <v>#N/A</v>
      </c>
      <c r="AO92" s="321" t="e">
        <f t="shared" si="11"/>
        <v>#N/A</v>
      </c>
    </row>
    <row r="93" spans="35:41" ht="12" customHeight="1">
      <c r="AI93" s="321">
        <v>84</v>
      </c>
      <c r="AJ93" s="321">
        <f t="shared" si="12"/>
        <v>-3.3359999999999994</v>
      </c>
      <c r="AK93" s="321">
        <f t="shared" si="8"/>
        <v>3.4113862914968694E-3</v>
      </c>
      <c r="AL93" s="321">
        <f t="shared" si="9"/>
        <v>6.4346911127639286E-4</v>
      </c>
      <c r="AN93" s="321" t="e">
        <f t="shared" si="10"/>
        <v>#N/A</v>
      </c>
      <c r="AO93" s="321" t="e">
        <f t="shared" si="11"/>
        <v>#N/A</v>
      </c>
    </row>
    <row r="94" spans="35:41" ht="12" customHeight="1">
      <c r="AI94" s="321">
        <v>85</v>
      </c>
      <c r="AJ94" s="321">
        <f t="shared" si="12"/>
        <v>-3.3279999999999994</v>
      </c>
      <c r="AK94" s="321">
        <f t="shared" si="8"/>
        <v>3.4965429289467637E-3</v>
      </c>
      <c r="AL94" s="321">
        <f t="shared" si="9"/>
        <v>6.6217510151398318E-4</v>
      </c>
      <c r="AN94" s="321" t="e">
        <f t="shared" si="10"/>
        <v>#N/A</v>
      </c>
      <c r="AO94" s="321" t="e">
        <f t="shared" si="11"/>
        <v>#N/A</v>
      </c>
    </row>
    <row r="95" spans="35:41" ht="12" customHeight="1">
      <c r="AI95" s="321">
        <v>86</v>
      </c>
      <c r="AJ95" s="321">
        <f t="shared" si="12"/>
        <v>-3.3199999999999994</v>
      </c>
      <c r="AK95" s="321">
        <f t="shared" si="8"/>
        <v>3.583595929162367E-3</v>
      </c>
      <c r="AL95" s="321">
        <f t="shared" si="9"/>
        <v>6.813812750668932E-4</v>
      </c>
      <c r="AN95" s="321" t="e">
        <f t="shared" si="10"/>
        <v>#N/A</v>
      </c>
      <c r="AO95" s="321" t="e">
        <f t="shared" si="11"/>
        <v>#N/A</v>
      </c>
    </row>
    <row r="96" spans="35:41" ht="12" customHeight="1">
      <c r="AI96" s="321">
        <v>87</v>
      </c>
      <c r="AJ96" s="321">
        <f t="shared" si="12"/>
        <v>-3.3119999999999994</v>
      </c>
      <c r="AK96" s="321">
        <f t="shared" si="8"/>
        <v>3.6725812245214512E-3</v>
      </c>
      <c r="AL96" s="321">
        <f t="shared" si="9"/>
        <v>7.0109964562676825E-4</v>
      </c>
      <c r="AN96" s="321" t="e">
        <f t="shared" si="10"/>
        <v>#N/A</v>
      </c>
      <c r="AO96" s="321" t="e">
        <f t="shared" si="11"/>
        <v>#N/A</v>
      </c>
    </row>
    <row r="97" spans="35:41" ht="12" customHeight="1">
      <c r="AI97" s="321">
        <v>88</v>
      </c>
      <c r="AJ97" s="321">
        <f t="shared" si="12"/>
        <v>-3.3039999999999994</v>
      </c>
      <c r="AK97" s="321">
        <f t="shared" si="8"/>
        <v>3.7635352652328805E-3</v>
      </c>
      <c r="AL97" s="321">
        <f t="shared" si="9"/>
        <v>7.2134247518137659E-4</v>
      </c>
      <c r="AN97" s="321" t="e">
        <f t="shared" si="10"/>
        <v>#N/A</v>
      </c>
      <c r="AO97" s="321" t="e">
        <f t="shared" si="11"/>
        <v>#N/A</v>
      </c>
    </row>
    <row r="98" spans="35:41" ht="12" customHeight="1">
      <c r="AI98" s="321">
        <v>89</v>
      </c>
      <c r="AJ98" s="321">
        <f t="shared" si="12"/>
        <v>-3.2959999999999994</v>
      </c>
      <c r="AK98" s="321">
        <f t="shared" si="8"/>
        <v>3.8564950227485844E-3</v>
      </c>
      <c r="AL98" s="321">
        <f t="shared" si="9"/>
        <v>7.421222780157362E-4</v>
      </c>
      <c r="AN98" s="321" t="e">
        <f t="shared" si="10"/>
        <v>#N/A</v>
      </c>
      <c r="AO98" s="321" t="e">
        <f t="shared" si="11"/>
        <v>#N/A</v>
      </c>
    </row>
    <row r="99" spans="35:41" ht="12" customHeight="1">
      <c r="AI99" s="321">
        <v>90</v>
      </c>
      <c r="AJ99" s="321">
        <f t="shared" si="12"/>
        <v>-3.2879999999999994</v>
      </c>
      <c r="AK99" s="321">
        <f t="shared" si="8"/>
        <v>3.9514979930912464E-3</v>
      </c>
      <c r="AL99" s="321">
        <f t="shared" si="9"/>
        <v>7.6345182474699233E-4</v>
      </c>
      <c r="AN99" s="321" t="e">
        <f t="shared" si="10"/>
        <v>#N/A</v>
      </c>
      <c r="AO99" s="321" t="e">
        <f t="shared" si="11"/>
        <v>#N/A</v>
      </c>
    </row>
    <row r="100" spans="35:41" ht="12" customHeight="1">
      <c r="AI100" s="321">
        <v>91</v>
      </c>
      <c r="AJ100" s="321">
        <f t="shared" si="12"/>
        <v>-3.2799999999999994</v>
      </c>
      <c r="AK100" s="321">
        <f t="shared" si="8"/>
        <v>4.048582200094436E-3</v>
      </c>
      <c r="AL100" s="321">
        <f t="shared" si="9"/>
        <v>7.8534414639247116E-4</v>
      </c>
      <c r="AN100" s="321" t="e">
        <f t="shared" si="10"/>
        <v>#N/A</v>
      </c>
      <c r="AO100" s="321" t="e">
        <f t="shared" si="11"/>
        <v>#N/A</v>
      </c>
    </row>
    <row r="101" spans="35:41" ht="12" customHeight="1">
      <c r="AI101" s="321">
        <v>92</v>
      </c>
      <c r="AJ101" s="321">
        <f t="shared" si="12"/>
        <v>-3.2719999999999994</v>
      </c>
      <c r="AK101" s="321">
        <f t="shared" si="8"/>
        <v>4.1477861985516496E-3</v>
      </c>
      <c r="AL101" s="321">
        <f t="shared" si="9"/>
        <v>8.0781253847025795E-4</v>
      </c>
      <c r="AN101" s="321" t="e">
        <f t="shared" si="10"/>
        <v>#N/A</v>
      </c>
      <c r="AO101" s="321" t="e">
        <f t="shared" si="11"/>
        <v>#N/A</v>
      </c>
    </row>
    <row r="102" spans="35:41" ht="12" customHeight="1">
      <c r="AI102" s="321">
        <v>93</v>
      </c>
      <c r="AJ102" s="321">
        <f t="shared" si="12"/>
        <v>-3.2639999999999993</v>
      </c>
      <c r="AK102" s="321">
        <f t="shared" si="8"/>
        <v>4.249149077270864E-3</v>
      </c>
      <c r="AL102" s="321">
        <f t="shared" si="9"/>
        <v>8.3087056513165549E-4</v>
      </c>
      <c r="AN102" s="321" t="e">
        <f t="shared" si="10"/>
        <v>#N/A</v>
      </c>
      <c r="AO102" s="321" t="e">
        <f t="shared" si="11"/>
        <v>#N/A</v>
      </c>
    </row>
    <row r="103" spans="35:41" ht="12" customHeight="1">
      <c r="AI103" s="321">
        <v>94</v>
      </c>
      <c r="AJ103" s="321">
        <f t="shared" si="12"/>
        <v>-3.2559999999999993</v>
      </c>
      <c r="AK103" s="321">
        <f t="shared" si="8"/>
        <v>4.3527104620310775E-3</v>
      </c>
      <c r="AL103" s="321">
        <f t="shared" si="9"/>
        <v>8.5453206332482138E-4</v>
      </c>
      <c r="AN103" s="321" t="e">
        <f t="shared" si="10"/>
        <v>#N/A</v>
      </c>
      <c r="AO103" s="321" t="e">
        <f t="shared" si="11"/>
        <v>#N/A</v>
      </c>
    </row>
    <row r="104" spans="35:41" ht="12" customHeight="1">
      <c r="AI104" s="321">
        <v>95</v>
      </c>
      <c r="AJ104" s="321">
        <f t="shared" si="12"/>
        <v>-3.2479999999999993</v>
      </c>
      <c r="AK104" s="321">
        <f t="shared" si="8"/>
        <v>4.4585105184372538E-3</v>
      </c>
      <c r="AL104" s="321">
        <f t="shared" si="9"/>
        <v>8.7881114698884683E-4</v>
      </c>
      <c r="AN104" s="321" t="e">
        <f t="shared" si="10"/>
        <v>#N/A</v>
      </c>
      <c r="AO104" s="321" t="e">
        <f t="shared" si="11"/>
        <v>#N/A</v>
      </c>
    </row>
    <row r="105" spans="35:41" ht="12" customHeight="1">
      <c r="AI105" s="321">
        <v>96</v>
      </c>
      <c r="AJ105" s="321">
        <f t="shared" si="12"/>
        <v>-3.2399999999999993</v>
      </c>
      <c r="AK105" s="321">
        <f t="shared" si="8"/>
        <v>4.5665899546701565E-3</v>
      </c>
      <c r="AL105" s="321">
        <f t="shared" si="9"/>
        <v>9.0372221127752676E-4</v>
      </c>
      <c r="AN105" s="321" t="e">
        <f t="shared" si="10"/>
        <v>#N/A</v>
      </c>
      <c r="AO105" s="321" t="e">
        <f t="shared" si="11"/>
        <v>#N/A</v>
      </c>
    </row>
    <row r="106" spans="35:41" ht="12" customHeight="1">
      <c r="AI106" s="321">
        <v>97</v>
      </c>
      <c r="AJ106" s="321">
        <f t="shared" si="12"/>
        <v>-3.2319999999999993</v>
      </c>
      <c r="AK106" s="321">
        <f t="shared" si="8"/>
        <v>4.6769900241273319E-3</v>
      </c>
      <c r="AL106" s="321">
        <f t="shared" si="9"/>
        <v>9.2927993681201151E-4</v>
      </c>
      <c r="AN106" s="321" t="e">
        <f t="shared" si="10"/>
        <v>#N/A</v>
      </c>
      <c r="AO106" s="321" t="e">
        <f t="shared" si="11"/>
        <v>#N/A</v>
      </c>
    </row>
    <row r="107" spans="35:41" ht="12" customHeight="1">
      <c r="AI107" s="321">
        <v>98</v>
      </c>
      <c r="AJ107" s="321">
        <f t="shared" si="12"/>
        <v>-3.2239999999999993</v>
      </c>
      <c r="AK107" s="321">
        <f t="shared" si="8"/>
        <v>4.7897525279516932E-3</v>
      </c>
      <c r="AL107" s="321">
        <f t="shared" si="9"/>
        <v>9.5549929396150928E-4</v>
      </c>
      <c r="AN107" s="321" t="e">
        <f t="shared" si="10"/>
        <v>#N/A</v>
      </c>
      <c r="AO107" s="321" t="e">
        <f t="shared" si="11"/>
        <v>#N/A</v>
      </c>
    </row>
    <row r="108" spans="35:41" ht="12" customHeight="1">
      <c r="AI108" s="321">
        <v>99</v>
      </c>
      <c r="AJ108" s="321">
        <f t="shared" si="12"/>
        <v>-3.2159999999999993</v>
      </c>
      <c r="AK108" s="321">
        <f t="shared" si="8"/>
        <v>4.9049198174438702E-3</v>
      </c>
      <c r="AL108" s="321">
        <f t="shared" si="9"/>
        <v>9.8239554715116298E-4</v>
      </c>
      <c r="AN108" s="321" t="e">
        <f t="shared" si="10"/>
        <v>#N/A</v>
      </c>
      <c r="AO108" s="321" t="e">
        <f t="shared" si="11"/>
        <v>#N/A</v>
      </c>
    </row>
    <row r="109" spans="35:41" ht="12" customHeight="1">
      <c r="AI109" s="321">
        <v>100</v>
      </c>
      <c r="AJ109" s="321">
        <f t="shared" si="12"/>
        <v>-3.2079999999999993</v>
      </c>
      <c r="AK109" s="321">
        <f t="shared" si="8"/>
        <v>5.0225347963546926E-3</v>
      </c>
      <c r="AL109" s="321">
        <f t="shared" si="9"/>
        <v>1.0099842591962025E-3</v>
      </c>
      <c r="AN109" s="321" t="e">
        <f t="shared" si="10"/>
        <v>#N/A</v>
      </c>
      <c r="AO109" s="321" t="e">
        <f t="shared" si="11"/>
        <v>#N/A</v>
      </c>
    </row>
    <row r="110" spans="35:41" ht="12" customHeight="1">
      <c r="AI110" s="321">
        <v>101</v>
      </c>
      <c r="AJ110" s="321">
        <f t="shared" si="12"/>
        <v>-3.1999999999999993</v>
      </c>
      <c r="AK110" s="321">
        <f t="shared" si="8"/>
        <v>5.1426409230539514E-3</v>
      </c>
      <c r="AL110" s="321">
        <f t="shared" si="9"/>
        <v>1.0382812956614138E-3</v>
      </c>
      <c r="AN110" s="321" t="e">
        <f t="shared" si="10"/>
        <v>#N/A</v>
      </c>
      <c r="AO110" s="321" t="e">
        <f t="shared" si="11"/>
        <v>#N/A</v>
      </c>
    </row>
    <row r="111" spans="35:41" ht="12" customHeight="1">
      <c r="AI111" s="321">
        <v>102</v>
      </c>
      <c r="AJ111" s="321">
        <f t="shared" si="12"/>
        <v>-3.1919999999999993</v>
      </c>
      <c r="AK111" s="321">
        <f t="shared" si="8"/>
        <v>5.26528221257165E-3</v>
      </c>
      <c r="AL111" s="321">
        <f t="shared" si="9"/>
        <v>1.0673028292449451E-3</v>
      </c>
      <c r="AN111" s="321" t="e">
        <f t="shared" si="10"/>
        <v>#N/A</v>
      </c>
      <c r="AO111" s="321" t="e">
        <f t="shared" si="11"/>
        <v>#N/A</v>
      </c>
    </row>
    <row r="112" spans="35:41" ht="12" customHeight="1">
      <c r="AI112" s="321">
        <v>103</v>
      </c>
      <c r="AJ112" s="321">
        <f t="shared" si="12"/>
        <v>-3.1839999999999993</v>
      </c>
      <c r="AK112" s="321">
        <f t="shared" si="8"/>
        <v>5.3905032385078867E-3</v>
      </c>
      <c r="AL112" s="321">
        <f t="shared" si="9"/>
        <v>1.0970653441854351E-3</v>
      </c>
      <c r="AN112" s="321" t="e">
        <f t="shared" si="10"/>
        <v>#N/A</v>
      </c>
      <c r="AO112" s="321" t="e">
        <f t="shared" si="11"/>
        <v>#N/A</v>
      </c>
    </row>
    <row r="113" spans="35:41" ht="12" customHeight="1">
      <c r="AI113" s="321">
        <v>104</v>
      </c>
      <c r="AJ113" s="321">
        <f t="shared" si="12"/>
        <v>-3.1759999999999993</v>
      </c>
      <c r="AK113" s="321">
        <f t="shared" si="8"/>
        <v>5.5183491348074895E-3</v>
      </c>
      <c r="AL113" s="321">
        <f t="shared" si="9"/>
        <v>1.1275856406913823E-3</v>
      </c>
      <c r="AN113" s="321" t="e">
        <f t="shared" si="10"/>
        <v>#N/A</v>
      </c>
      <c r="AO113" s="321" t="e">
        <f t="shared" si="11"/>
        <v>#N/A</v>
      </c>
    </row>
    <row r="114" spans="35:41" ht="12" customHeight="1">
      <c r="AI114" s="321">
        <v>105</v>
      </c>
      <c r="AJ114" s="321">
        <f t="shared" si="12"/>
        <v>-3.1679999999999993</v>
      </c>
      <c r="AK114" s="321">
        <f t="shared" si="8"/>
        <v>5.6488655973954919E-3</v>
      </c>
      <c r="AL114" s="321">
        <f t="shared" si="9"/>
        <v>1.1588808393916757E-3</v>
      </c>
      <c r="AN114" s="321" t="e">
        <f t="shared" si="10"/>
        <v>#N/A</v>
      </c>
      <c r="AO114" s="321" t="e">
        <f t="shared" si="11"/>
        <v>#N/A</v>
      </c>
    </row>
    <row r="115" spans="35:41" ht="12" customHeight="1">
      <c r="AI115" s="321">
        <v>106</v>
      </c>
      <c r="AJ115" s="321">
        <f t="shared" si="12"/>
        <v>-3.1599999999999993</v>
      </c>
      <c r="AK115" s="321">
        <f t="shared" si="8"/>
        <v>5.7820988856694868E-3</v>
      </c>
      <c r="AL115" s="321">
        <f t="shared" si="9"/>
        <v>1.1909683858061209E-3</v>
      </c>
      <c r="AN115" s="321" t="e">
        <f t="shared" si="10"/>
        <v>#N/A</v>
      </c>
      <c r="AO115" s="321" t="e">
        <f t="shared" si="11"/>
        <v>#N/A</v>
      </c>
    </row>
    <row r="116" spans="35:41" ht="12" customHeight="1">
      <c r="AI116" s="321">
        <v>107</v>
      </c>
      <c r="AJ116" s="321">
        <f t="shared" si="12"/>
        <v>-3.1519999999999992</v>
      </c>
      <c r="AK116" s="321">
        <f t="shared" si="8"/>
        <v>5.9180958238449159E-3</v>
      </c>
      <c r="AL116" s="321">
        <f t="shared" si="9"/>
        <v>1.2238660548347954E-3</v>
      </c>
      <c r="AN116" s="321" t="e">
        <f t="shared" si="10"/>
        <v>#N/A</v>
      </c>
      <c r="AO116" s="321" t="e">
        <f t="shared" si="11"/>
        <v>#N/A</v>
      </c>
    </row>
    <row r="117" spans="35:41" ht="12" customHeight="1">
      <c r="AI117" s="321">
        <v>108</v>
      </c>
      <c r="AJ117" s="321">
        <f t="shared" si="12"/>
        <v>-3.1439999999999992</v>
      </c>
      <c r="AK117" s="321">
        <f t="shared" si="8"/>
        <v>6.0569038021492409E-3</v>
      </c>
      <c r="AL117" s="321">
        <f t="shared" si="9"/>
        <v>1.2575919552650018E-3</v>
      </c>
      <c r="AN117" s="321" t="e">
        <f t="shared" si="10"/>
        <v>#N/A</v>
      </c>
      <c r="AO117" s="321" t="e">
        <f t="shared" si="11"/>
        <v>#N/A</v>
      </c>
    </row>
    <row r="118" spans="35:41" ht="12" customHeight="1">
      <c r="AI118" s="321">
        <v>109</v>
      </c>
      <c r="AJ118" s="321">
        <f t="shared" si="12"/>
        <v>-3.1359999999999992</v>
      </c>
      <c r="AK118" s="321">
        <f t="shared" si="8"/>
        <v>6.1985707778610599E-3</v>
      </c>
      <c r="AL118" s="321">
        <f t="shared" si="9"/>
        <v>1.2921645342945484E-3</v>
      </c>
      <c r="AN118" s="321" t="e">
        <f t="shared" si="10"/>
        <v>#N/A</v>
      </c>
      <c r="AO118" s="321" t="e">
        <f t="shared" si="11"/>
        <v>#N/A</v>
      </c>
    </row>
    <row r="119" spans="35:41" ht="12" customHeight="1">
      <c r="AI119" s="321">
        <v>110</v>
      </c>
      <c r="AJ119" s="321">
        <f t="shared" si="12"/>
        <v>-3.1279999999999992</v>
      </c>
      <c r="AK119" s="321">
        <f t="shared" si="8"/>
        <v>6.3431452761899881E-3</v>
      </c>
      <c r="AL119" s="321">
        <f t="shared" si="9"/>
        <v>1.3276025820700517E-3</v>
      </c>
      <c r="AN119" s="321" t="e">
        <f t="shared" si="10"/>
        <v>#N/A</v>
      </c>
      <c r="AO119" s="321" t="e">
        <f t="shared" si="11"/>
        <v>#N/A</v>
      </c>
    </row>
    <row r="120" spans="35:41" ht="12" customHeight="1">
      <c r="AI120" s="321">
        <v>111</v>
      </c>
      <c r="AJ120" s="321">
        <f t="shared" si="12"/>
        <v>-3.1199999999999992</v>
      </c>
      <c r="AK120" s="321">
        <f t="shared" si="8"/>
        <v>6.4906763909933799E-3</v>
      </c>
      <c r="AL120" s="321">
        <f t="shared" si="9"/>
        <v>1.3639252362389082E-3</v>
      </c>
      <c r="AN120" s="321" t="e">
        <f t="shared" si="10"/>
        <v>#N/A</v>
      </c>
      <c r="AO120" s="321" t="e">
        <f t="shared" si="11"/>
        <v>#N/A</v>
      </c>
    </row>
    <row r="121" spans="35:41" ht="12" customHeight="1">
      <c r="AI121" s="321">
        <v>112</v>
      </c>
      <c r="AJ121" s="321">
        <f t="shared" si="12"/>
        <v>-3.1119999999999992</v>
      </c>
      <c r="AK121" s="321">
        <f t="shared" si="8"/>
        <v>6.6412137853256326E-3</v>
      </c>
      <c r="AL121" s="321">
        <f t="shared" si="9"/>
        <v>1.401151986513538E-3</v>
      </c>
      <c r="AN121" s="321" t="e">
        <f t="shared" si="10"/>
        <v>#N/A</v>
      </c>
      <c r="AO121" s="321" t="e">
        <f t="shared" si="11"/>
        <v>#N/A</v>
      </c>
    </row>
    <row r="122" spans="35:41" ht="12" customHeight="1">
      <c r="AI122" s="321">
        <v>113</v>
      </c>
      <c r="AJ122" s="321">
        <f t="shared" si="12"/>
        <v>-3.1039999999999992</v>
      </c>
      <c r="AK122" s="321">
        <f t="shared" si="8"/>
        <v>6.7948076918161208E-3</v>
      </c>
      <c r="AL122" s="321">
        <f t="shared" si="9"/>
        <v>1.4393026792464594E-3</v>
      </c>
      <c r="AN122" s="321" t="e">
        <f t="shared" si="10"/>
        <v>#N/A</v>
      </c>
      <c r="AO122" s="321" t="e">
        <f t="shared" si="11"/>
        <v>#N/A</v>
      </c>
    </row>
    <row r="123" spans="35:41" ht="12" customHeight="1">
      <c r="AI123" s="321">
        <v>114</v>
      </c>
      <c r="AJ123" s="321">
        <f t="shared" si="12"/>
        <v>-3.0959999999999992</v>
      </c>
      <c r="AK123" s="321">
        <f t="shared" si="8"/>
        <v>6.9515089128714775E-3</v>
      </c>
      <c r="AL123" s="321">
        <f t="shared" si="9"/>
        <v>1.4783975220147147E-3</v>
      </c>
      <c r="AN123" s="321" t="e">
        <f t="shared" si="10"/>
        <v>#N/A</v>
      </c>
      <c r="AO123" s="321" t="e">
        <f t="shared" si="11"/>
        <v>#N/A</v>
      </c>
    </row>
    <row r="124" spans="35:41" ht="12" customHeight="1">
      <c r="AI124" s="321">
        <v>115</v>
      </c>
      <c r="AJ124" s="321">
        <f t="shared" si="12"/>
        <v>-3.0879999999999992</v>
      </c>
      <c r="AK124" s="321">
        <f t="shared" si="8"/>
        <v>7.1113688206981829E-3</v>
      </c>
      <c r="AL124" s="321">
        <f t="shared" si="9"/>
        <v>1.5184570882121066E-3</v>
      </c>
      <c r="AN124" s="321" t="e">
        <f t="shared" si="10"/>
        <v>#N/A</v>
      </c>
      <c r="AO124" s="321" t="e">
        <f t="shared" si="11"/>
        <v>#N/A</v>
      </c>
    </row>
    <row r="125" spans="35:41" ht="12" customHeight="1">
      <c r="AI125" s="321">
        <v>116</v>
      </c>
      <c r="AJ125" s="321">
        <f t="shared" si="12"/>
        <v>-3.0799999999999992</v>
      </c>
      <c r="AK125" s="321">
        <f t="shared" si="8"/>
        <v>7.2744393571412365E-3</v>
      </c>
      <c r="AL125" s="321">
        <f t="shared" si="9"/>
        <v>1.5595023216476954E-3</v>
      </c>
      <c r="AN125" s="321" t="e">
        <f t="shared" si="10"/>
        <v>#N/A</v>
      </c>
      <c r="AO125" s="321" t="e">
        <f t="shared" si="11"/>
        <v>#N/A</v>
      </c>
    </row>
    <row r="126" spans="35:41" ht="12" customHeight="1">
      <c r="AI126" s="321">
        <v>117</v>
      </c>
      <c r="AJ126" s="321">
        <f t="shared" si="12"/>
        <v>-3.0719999999999992</v>
      </c>
      <c r="AK126" s="321">
        <f t="shared" si="8"/>
        <v>7.4407730333347476E-3</v>
      </c>
      <c r="AL126" s="321">
        <f t="shared" si="9"/>
        <v>1.6015545411489052E-3</v>
      </c>
      <c r="AN126" s="321" t="e">
        <f t="shared" si="10"/>
        <v>#N/A</v>
      </c>
      <c r="AO126" s="321" t="e">
        <f t="shared" si="11"/>
        <v>#N/A</v>
      </c>
    </row>
    <row r="127" spans="35:41" ht="12" customHeight="1">
      <c r="AI127" s="321">
        <v>118</v>
      </c>
      <c r="AJ127" s="321">
        <f t="shared" si="12"/>
        <v>-3.0639999999999992</v>
      </c>
      <c r="AK127" s="321">
        <f t="shared" si="8"/>
        <v>7.6104229291602691E-3</v>
      </c>
      <c r="AL127" s="321">
        <f t="shared" si="9"/>
        <v>1.6446354451675918E-3</v>
      </c>
      <c r="AN127" s="321" t="e">
        <f t="shared" si="10"/>
        <v>#N/A</v>
      </c>
      <c r="AO127" s="321" t="e">
        <f t="shared" si="11"/>
        <v>#N/A</v>
      </c>
    </row>
    <row r="128" spans="35:41" ht="12" customHeight="1">
      <c r="AI128" s="321">
        <v>119</v>
      </c>
      <c r="AJ128" s="321">
        <f t="shared" si="12"/>
        <v>-3.0559999999999992</v>
      </c>
      <c r="AK128" s="321">
        <f t="shared" si="8"/>
        <v>7.7834426925086466E-3</v>
      </c>
      <c r="AL128" s="321">
        <f t="shared" si="9"/>
        <v>1.6887671163873649E-3</v>
      </c>
      <c r="AN128" s="321" t="e">
        <f t="shared" si="10"/>
        <v>#N/A</v>
      </c>
      <c r="AO128" s="321" t="e">
        <f t="shared" si="11"/>
        <v>#N/A</v>
      </c>
    </row>
    <row r="129" spans="35:41" ht="12" customHeight="1">
      <c r="AI129" s="321">
        <v>120</v>
      </c>
      <c r="AJ129" s="321">
        <f t="shared" si="12"/>
        <v>-3.0479999999999992</v>
      </c>
      <c r="AK129" s="321">
        <f t="shared" si="8"/>
        <v>7.9598865383411991E-3</v>
      </c>
      <c r="AL129" s="321">
        <f t="shared" si="9"/>
        <v>1.7339720263303928E-3</v>
      </c>
      <c r="AN129" s="321" t="e">
        <f t="shared" si="10"/>
        <v>#N/A</v>
      </c>
      <c r="AO129" s="321" t="e">
        <f t="shared" si="11"/>
        <v>#N/A</v>
      </c>
    </row>
    <row r="130" spans="35:41" ht="12" customHeight="1">
      <c r="AI130" s="321">
        <v>121</v>
      </c>
      <c r="AJ130" s="321">
        <f t="shared" si="12"/>
        <v>-3.0399999999999991</v>
      </c>
      <c r="AK130" s="321">
        <f t="shared" si="8"/>
        <v>8.1398092475460423E-3</v>
      </c>
      <c r="AL130" s="321">
        <f t="shared" si="9"/>
        <v>1.7802730399618829E-3</v>
      </c>
      <c r="AN130" s="321" t="e">
        <f t="shared" si="10"/>
        <v>#N/A</v>
      </c>
      <c r="AO130" s="321" t="e">
        <f t="shared" si="11"/>
        <v>#N/A</v>
      </c>
    </row>
    <row r="131" spans="35:41" ht="12" customHeight="1">
      <c r="AI131" s="321">
        <v>122</v>
      </c>
      <c r="AJ131" s="321">
        <f t="shared" si="12"/>
        <v>-3.0319999999999991</v>
      </c>
      <c r="AK131" s="321">
        <f t="shared" si="8"/>
        <v>8.3232661655852653E-3</v>
      </c>
      <c r="AL131" s="321">
        <f t="shared" si="9"/>
        <v>1.8276934202903956E-3</v>
      </c>
      <c r="AN131" s="321" t="e">
        <f t="shared" si="10"/>
        <v>#N/A</v>
      </c>
      <c r="AO131" s="321" t="e">
        <f t="shared" si="11"/>
        <v>#N/A</v>
      </c>
    </row>
    <row r="132" spans="35:41" ht="12" customHeight="1">
      <c r="AI132" s="321">
        <v>123</v>
      </c>
      <c r="AJ132" s="321">
        <f t="shared" si="12"/>
        <v>-3.0239999999999991</v>
      </c>
      <c r="AK132" s="321">
        <f t="shared" si="8"/>
        <v>8.5103132009288485E-3</v>
      </c>
      <c r="AL132" s="321">
        <f t="shared" si="9"/>
        <v>1.8762568329620808E-3</v>
      </c>
      <c r="AN132" s="321" t="e">
        <f t="shared" si="10"/>
        <v>#N/A</v>
      </c>
      <c r="AO132" s="321" t="e">
        <f t="shared" si="11"/>
        <v>#N/A</v>
      </c>
    </row>
    <row r="133" spans="35:41" ht="12" customHeight="1">
      <c r="AI133" s="321">
        <v>124</v>
      </c>
      <c r="AJ133" s="321">
        <f t="shared" si="12"/>
        <v>-3.0159999999999991</v>
      </c>
      <c r="AK133" s="321">
        <f t="shared" si="8"/>
        <v>8.7010068232710094E-3</v>
      </c>
      <c r="AL133" s="321">
        <f t="shared" si="9"/>
        <v>1.9259873508468905E-3</v>
      </c>
      <c r="AN133" s="321" t="e">
        <f t="shared" si="10"/>
        <v>#N/A</v>
      </c>
      <c r="AO133" s="321" t="e">
        <f t="shared" si="11"/>
        <v>#N/A</v>
      </c>
    </row>
    <row r="134" spans="35:41" ht="12" customHeight="1">
      <c r="AI134" s="321">
        <v>125</v>
      </c>
      <c r="AJ134" s="321">
        <f t="shared" si="12"/>
        <v>-3.0079999999999991</v>
      </c>
      <c r="AK134" s="321">
        <f t="shared" si="8"/>
        <v>8.8954040615248572E-3</v>
      </c>
      <c r="AL134" s="321">
        <f t="shared" si="9"/>
        <v>1.9769094586147696E-3</v>
      </c>
      <c r="AN134" s="321" t="e">
        <f t="shared" si="10"/>
        <v>#N/A</v>
      </c>
      <c r="AO134" s="321" t="e">
        <f t="shared" si="11"/>
        <v>#N/A</v>
      </c>
    </row>
    <row r="135" spans="35:41" ht="12" customHeight="1">
      <c r="AI135" s="321">
        <v>126</v>
      </c>
      <c r="AJ135" s="321">
        <f t="shared" si="12"/>
        <v>-2.9999999999999991</v>
      </c>
      <c r="AK135" s="321">
        <f t="shared" si="8"/>
        <v>9.0935625015910772E-3</v>
      </c>
      <c r="AL135" s="321">
        <f t="shared" si="9"/>
        <v>2.0290480572997729E-3</v>
      </c>
      <c r="AN135" s="321" t="e">
        <f t="shared" si="10"/>
        <v>#N/A</v>
      </c>
      <c r="AO135" s="321" t="e">
        <f t="shared" si="11"/>
        <v>#N/A</v>
      </c>
    </row>
    <row r="136" spans="35:41" ht="12" customHeight="1">
      <c r="AI136" s="321">
        <v>127</v>
      </c>
      <c r="AJ136" s="321">
        <f t="shared" si="12"/>
        <v>-2.9919999999999991</v>
      </c>
      <c r="AK136" s="321">
        <f t="shared" si="8"/>
        <v>9.2955402838964737E-3</v>
      </c>
      <c r="AL136" s="321">
        <f t="shared" si="9"/>
        <v>2.0824284688500277E-3</v>
      </c>
      <c r="AN136" s="321" t="e">
        <f t="shared" si="10"/>
        <v>#N/A</v>
      </c>
      <c r="AO136" s="321" t="e">
        <f t="shared" si="11"/>
        <v>#N/A</v>
      </c>
    </row>
    <row r="137" spans="35:41" ht="12" customHeight="1">
      <c r="AI137" s="321">
        <v>128</v>
      </c>
      <c r="AJ137" s="321">
        <f t="shared" si="12"/>
        <v>-2.9839999999999991</v>
      </c>
      <c r="AK137" s="321">
        <f t="shared" si="8"/>
        <v>9.5013961006982436E-3</v>
      </c>
      <c r="AL137" s="321">
        <f t="shared" si="9"/>
        <v>2.1370764406613675E-3</v>
      </c>
      <c r="AN137" s="321" t="e">
        <f t="shared" si="10"/>
        <v>#N/A</v>
      </c>
      <c r="AO137" s="321" t="e">
        <f t="shared" si="11"/>
        <v>#N/A</v>
      </c>
    </row>
    <row r="138" spans="35:41" ht="12" customHeight="1">
      <c r="AI138" s="321">
        <v>129</v>
      </c>
      <c r="AJ138" s="321">
        <f t="shared" si="12"/>
        <v>-2.9759999999999991</v>
      </c>
      <c r="AK138" s="321">
        <f t="shared" ref="AK138:AK201" si="13">NORMDIST(AJ138,$AH$26,$AH$28,FALSE)</f>
        <v>9.7111891931496823E-3</v>
      </c>
      <c r="AL138" s="321">
        <f t="shared" ref="AL138:AL201" si="14">NORMDIST(AJ138,$AH$27,$AH$28,FALSE)</f>
        <v>2.1930181500924907E-3</v>
      </c>
      <c r="AN138" s="321" t="e">
        <f t="shared" ref="AN138:AN201" si="15">IF(AND($AJ$7,$AH$27&gt;AJ138),AK138,NA())</f>
        <v>#N/A</v>
      </c>
      <c r="AO138" s="321" t="e">
        <f t="shared" ref="AO138:AO201" si="16">IF(AND($AJ$6,$AH$26&lt;AJ138+(drend-dlend)/$AO$6),AL138,NA())</f>
        <v>#N/A</v>
      </c>
    </row>
    <row r="139" spans="35:41" ht="12" customHeight="1">
      <c r="AI139" s="321">
        <v>130</v>
      </c>
      <c r="AJ139" s="321">
        <f t="shared" ref="AJ139:AJ202" si="17">AJ138+$AL$7</f>
        <v>-2.9679999999999991</v>
      </c>
      <c r="AK139" s="321">
        <f t="shared" si="13"/>
        <v>9.924979348123298E-3</v>
      </c>
      <c r="AL139" s="321">
        <f t="shared" si="14"/>
        <v>2.2502802089593493E-3</v>
      </c>
      <c r="AN139" s="321" t="e">
        <f t="shared" si="15"/>
        <v>#N/A</v>
      </c>
      <c r="AO139" s="321" t="e">
        <f t="shared" si="16"/>
        <v>#N/A</v>
      </c>
    </row>
    <row r="140" spans="35:41" ht="12" customHeight="1">
      <c r="AI140" s="321">
        <v>131</v>
      </c>
      <c r="AJ140" s="321">
        <f t="shared" si="17"/>
        <v>-2.9599999999999991</v>
      </c>
      <c r="AK140" s="321">
        <f t="shared" si="13"/>
        <v>1.0142826894787103E-2</v>
      </c>
      <c r="AL140" s="321">
        <f t="shared" si="14"/>
        <v>2.3088896680065014E-3</v>
      </c>
      <c r="AN140" s="321" t="e">
        <f t="shared" si="15"/>
        <v>#N/A</v>
      </c>
      <c r="AO140" s="321" t="e">
        <f t="shared" si="16"/>
        <v>#N/A</v>
      </c>
    </row>
    <row r="141" spans="35:41" ht="12" customHeight="1">
      <c r="AI141" s="321">
        <v>132</v>
      </c>
      <c r="AJ141" s="321">
        <f t="shared" si="17"/>
        <v>-2.9519999999999991</v>
      </c>
      <c r="AK141" s="321">
        <f t="shared" si="13"/>
        <v>1.0364792700929997E-2</v>
      </c>
      <c r="AL141" s="321">
        <f t="shared" si="14"/>
        <v>2.3688740213531042E-3</v>
      </c>
      <c r="AN141" s="321" t="e">
        <f t="shared" si="15"/>
        <v>#N/A</v>
      </c>
      <c r="AO141" s="321" t="e">
        <f t="shared" si="16"/>
        <v>#N/A</v>
      </c>
    </row>
    <row r="142" spans="35:41" ht="12" customHeight="1">
      <c r="AI142" s="321">
        <v>133</v>
      </c>
      <c r="AJ142" s="321">
        <f t="shared" si="17"/>
        <v>-2.9439999999999991</v>
      </c>
      <c r="AK142" s="321">
        <f t="shared" si="13"/>
        <v>1.0590938169032149E-2</v>
      </c>
      <c r="AL142" s="321">
        <f t="shared" si="14"/>
        <v>2.4302612109110984E-3</v>
      </c>
      <c r="AN142" s="321" t="e">
        <f t="shared" si="15"/>
        <v>#N/A</v>
      </c>
      <c r="AO142" s="321" t="e">
        <f t="shared" si="16"/>
        <v>#N/A</v>
      </c>
    </row>
    <row r="143" spans="35:41" ht="12" customHeight="1">
      <c r="AI143" s="321">
        <v>134</v>
      </c>
      <c r="AJ143" s="321">
        <f t="shared" si="17"/>
        <v>-2.9359999999999991</v>
      </c>
      <c r="AK143" s="321">
        <f t="shared" si="13"/>
        <v>1.0821325232076294E-2</v>
      </c>
      <c r="AL143" s="321">
        <f t="shared" si="14"/>
        <v>2.4930796307732084E-3</v>
      </c>
      <c r="AN143" s="321" t="e">
        <f t="shared" si="15"/>
        <v>#N/A</v>
      </c>
      <c r="AO143" s="321" t="e">
        <f t="shared" si="16"/>
        <v>#N/A</v>
      </c>
    </row>
    <row r="144" spans="35:41" ht="12" customHeight="1">
      <c r="AI144" s="321">
        <v>135</v>
      </c>
      <c r="AJ144" s="321">
        <f t="shared" si="17"/>
        <v>-2.927999999999999</v>
      </c>
      <c r="AK144" s="321">
        <f t="shared" si="13"/>
        <v>1.1056016349095889E-2</v>
      </c>
      <c r="AL144" s="321">
        <f t="shared" si="14"/>
        <v>2.557358131568226E-3</v>
      </c>
      <c r="AN144" s="321" t="e">
        <f t="shared" si="15"/>
        <v>#N/A</v>
      </c>
      <c r="AO144" s="321" t="e">
        <f t="shared" si="16"/>
        <v>#N/A</v>
      </c>
    </row>
    <row r="145" spans="35:41" ht="12" customHeight="1">
      <c r="AI145" s="321">
        <v>136</v>
      </c>
      <c r="AJ145" s="321">
        <f t="shared" si="17"/>
        <v>-2.919999999999999</v>
      </c>
      <c r="AK145" s="321">
        <f t="shared" si="13"/>
        <v>1.1295074500456165E-2</v>
      </c>
      <c r="AL145" s="321">
        <f t="shared" si="14"/>
        <v>2.6231260247810313E-3</v>
      </c>
      <c r="AN145" s="321" t="e">
        <f t="shared" si="15"/>
        <v>#N/A</v>
      </c>
      <c r="AO145" s="321" t="e">
        <f t="shared" si="16"/>
        <v>#N/A</v>
      </c>
    </row>
    <row r="146" spans="35:41" ht="12" customHeight="1">
      <c r="AI146" s="321">
        <v>137</v>
      </c>
      <c r="AJ146" s="321">
        <f t="shared" si="17"/>
        <v>-2.911999999999999</v>
      </c>
      <c r="AK146" s="321">
        <f t="shared" si="13"/>
        <v>1.1538563182864022E-2</v>
      </c>
      <c r="AL146" s="321">
        <f t="shared" si="14"/>
        <v>2.6904130870347973E-3</v>
      </c>
      <c r="AN146" s="321" t="e">
        <f t="shared" si="15"/>
        <v>#N/A</v>
      </c>
      <c r="AO146" s="321" t="e">
        <f t="shared" si="16"/>
        <v>#N/A</v>
      </c>
    </row>
    <row r="147" spans="35:41" ht="12" customHeight="1">
      <c r="AI147" s="321">
        <v>138</v>
      </c>
      <c r="AJ147" s="321">
        <f t="shared" si="17"/>
        <v>-2.903999999999999</v>
      </c>
      <c r="AK147" s="321">
        <f t="shared" si="13"/>
        <v>1.1786546404102906E-2</v>
      </c>
      <c r="AL147" s="321">
        <f t="shared" si="14"/>
        <v>2.7592495643326996E-3</v>
      </c>
      <c r="AN147" s="321" t="e">
        <f t="shared" si="15"/>
        <v>#N/A</v>
      </c>
      <c r="AO147" s="321" t="e">
        <f t="shared" si="16"/>
        <v>#N/A</v>
      </c>
    </row>
    <row r="148" spans="35:41" ht="12" customHeight="1">
      <c r="AI148" s="321">
        <v>139</v>
      </c>
      <c r="AJ148" s="321">
        <f t="shared" si="17"/>
        <v>-2.895999999999999</v>
      </c>
      <c r="AK148" s="321">
        <f t="shared" si="13"/>
        <v>1.203908867748868E-2</v>
      </c>
      <c r="AL148" s="321">
        <f t="shared" si="14"/>
        <v>2.8296661762564597E-3</v>
      </c>
      <c r="AN148" s="321" t="e">
        <f t="shared" si="15"/>
        <v>#N/A</v>
      </c>
      <c r="AO148" s="321" t="e">
        <f t="shared" si="16"/>
        <v>#N/A</v>
      </c>
    </row>
    <row r="149" spans="35:41" ht="12" customHeight="1">
      <c r="AI149" s="321">
        <v>140</v>
      </c>
      <c r="AJ149" s="321">
        <f t="shared" si="17"/>
        <v>-2.887999999999999</v>
      </c>
      <c r="AK149" s="321">
        <f t="shared" si="13"/>
        <v>1.2296255016042699E-2</v>
      </c>
      <c r="AL149" s="321">
        <f t="shared" si="14"/>
        <v>2.9016941201189797E-3</v>
      </c>
      <c r="AN149" s="321" t="e">
        <f t="shared" si="15"/>
        <v>#N/A</v>
      </c>
      <c r="AO149" s="321" t="e">
        <f t="shared" si="16"/>
        <v>#N/A</v>
      </c>
    </row>
    <row r="150" spans="35:41" ht="12" customHeight="1">
      <c r="AI150" s="321">
        <v>141</v>
      </c>
      <c r="AJ150" s="321">
        <f t="shared" si="17"/>
        <v>-2.879999999999999</v>
      </c>
      <c r="AK150" s="321">
        <f t="shared" si="13"/>
        <v>1.2558110926378237E-2</v>
      </c>
      <c r="AL150" s="321">
        <f t="shared" si="14"/>
        <v>2.9753650750682608E-3</v>
      </c>
      <c r="AN150" s="321" t="e">
        <f t="shared" si="15"/>
        <v>#N/A</v>
      </c>
      <c r="AO150" s="321" t="e">
        <f t="shared" si="16"/>
        <v>#N/A</v>
      </c>
    </row>
    <row r="151" spans="35:41" ht="12" customHeight="1">
      <c r="AI151" s="321">
        <v>142</v>
      </c>
      <c r="AJ151" s="321">
        <f t="shared" si="17"/>
        <v>-2.871999999999999</v>
      </c>
      <c r="AK151" s="321">
        <f t="shared" si="13"/>
        <v>1.2824722402296479E-2</v>
      </c>
      <c r="AL151" s="321">
        <f t="shared" si="14"/>
        <v>3.0507112061398159E-3</v>
      </c>
      <c r="AN151" s="321" t="e">
        <f t="shared" si="15"/>
        <v>#N/A</v>
      </c>
      <c r="AO151" s="321" t="e">
        <f t="shared" si="16"/>
        <v>#N/A</v>
      </c>
    </row>
    <row r="152" spans="35:41" ht="12" customHeight="1">
      <c r="AI152" s="321">
        <v>143</v>
      </c>
      <c r="AJ152" s="321">
        <f t="shared" si="17"/>
        <v>-2.863999999999999</v>
      </c>
      <c r="AK152" s="321">
        <f t="shared" si="13"/>
        <v>1.3096155918088418E-2</v>
      </c>
      <c r="AL152" s="321">
        <f t="shared" si="14"/>
        <v>3.1277651682546231E-3</v>
      </c>
      <c r="AN152" s="321" t="e">
        <f t="shared" si="15"/>
        <v>#N/A</v>
      </c>
      <c r="AO152" s="321" t="e">
        <f t="shared" si="16"/>
        <v>#N/A</v>
      </c>
    </row>
    <row r="153" spans="35:41" ht="12" customHeight="1">
      <c r="AI153" s="321">
        <v>144</v>
      </c>
      <c r="AJ153" s="321">
        <f t="shared" si="17"/>
        <v>-2.855999999999999</v>
      </c>
      <c r="AK153" s="321">
        <f t="shared" si="13"/>
        <v>1.3372478421538938E-2</v>
      </c>
      <c r="AL153" s="321">
        <f t="shared" si="14"/>
        <v>3.2065601101597227E-3</v>
      </c>
      <c r="AN153" s="321" t="e">
        <f t="shared" si="15"/>
        <v>#N/A</v>
      </c>
      <c r="AO153" s="321" t="e">
        <f t="shared" si="16"/>
        <v>#N/A</v>
      </c>
    </row>
    <row r="154" spans="35:41" ht="12" customHeight="1">
      <c r="AI154" s="321">
        <v>145</v>
      </c>
      <c r="AJ154" s="321">
        <f t="shared" si="17"/>
        <v>-2.847999999999999</v>
      </c>
      <c r="AK154" s="321">
        <f t="shared" si="13"/>
        <v>1.365375732662949E-2</v>
      </c>
      <c r="AL154" s="321">
        <f t="shared" si="14"/>
        <v>3.2871296783084903E-3</v>
      </c>
      <c r="AN154" s="321" t="e">
        <f t="shared" si="15"/>
        <v>#N/A</v>
      </c>
      <c r="AO154" s="321" t="e">
        <f t="shared" si="16"/>
        <v>#N/A</v>
      </c>
    </row>
    <row r="155" spans="35:41" ht="12" customHeight="1">
      <c r="AI155" s="321">
        <v>146</v>
      </c>
      <c r="AJ155" s="321">
        <f t="shared" si="17"/>
        <v>-2.839999999999999</v>
      </c>
      <c r="AK155" s="321">
        <f t="shared" si="13"/>
        <v>1.3940060505935853E-2</v>
      </c>
      <c r="AL155" s="321">
        <f t="shared" si="14"/>
        <v>3.3695080206774899E-3</v>
      </c>
      <c r="AN155" s="321" t="e">
        <f t="shared" si="15"/>
        <v>#N/A</v>
      </c>
      <c r="AO155" s="321" t="e">
        <f t="shared" si="16"/>
        <v>#N/A</v>
      </c>
    </row>
    <row r="156" spans="35:41" ht="12" customHeight="1">
      <c r="AI156" s="321">
        <v>147</v>
      </c>
      <c r="AJ156" s="321">
        <f t="shared" si="17"/>
        <v>-2.831999999999999</v>
      </c>
      <c r="AK156" s="321">
        <f t="shared" si="13"/>
        <v>1.4231456282717405E-2</v>
      </c>
      <c r="AL156" s="321">
        <f t="shared" si="14"/>
        <v>3.4537297905169093E-3</v>
      </c>
      <c r="AN156" s="321" t="e">
        <f t="shared" si="15"/>
        <v>#N/A</v>
      </c>
      <c r="AO156" s="321" t="e">
        <f t="shared" si="16"/>
        <v>#N/A</v>
      </c>
    </row>
    <row r="157" spans="35:41" ht="12" customHeight="1">
      <c r="AI157" s="321">
        <v>148</v>
      </c>
      <c r="AJ157" s="321">
        <f t="shared" si="17"/>
        <v>-2.823999999999999</v>
      </c>
      <c r="AK157" s="321">
        <f t="shared" si="13"/>
        <v>1.4528013422694597E-2</v>
      </c>
      <c r="AL157" s="321">
        <f t="shared" si="14"/>
        <v>3.5398301500313661E-3</v>
      </c>
      <c r="AN157" s="321" t="e">
        <f t="shared" si="15"/>
        <v>#N/A</v>
      </c>
      <c r="AO157" s="321" t="e">
        <f t="shared" si="16"/>
        <v>#N/A</v>
      </c>
    </row>
    <row r="158" spans="35:41" ht="12" customHeight="1">
      <c r="AI158" s="321">
        <v>149</v>
      </c>
      <c r="AJ158" s="321">
        <f t="shared" si="17"/>
        <v>-2.8159999999999989</v>
      </c>
      <c r="AK158" s="321">
        <f t="shared" si="13"/>
        <v>1.4829801125511192E-2</v>
      </c>
      <c r="AL158" s="321">
        <f t="shared" si="14"/>
        <v>3.6278447739879773E-3</v>
      </c>
      <c r="AN158" s="321" t="e">
        <f t="shared" si="15"/>
        <v>#N/A</v>
      </c>
      <c r="AO158" s="321" t="e">
        <f t="shared" si="16"/>
        <v>#N/A</v>
      </c>
    </row>
    <row r="159" spans="35:41" ht="12" customHeight="1">
      <c r="AI159" s="321">
        <v>150</v>
      </c>
      <c r="AJ159" s="321">
        <f t="shared" si="17"/>
        <v>-2.8079999999999989</v>
      </c>
      <c r="AK159" s="321">
        <f t="shared" si="13"/>
        <v>1.5136889015878048E-2</v>
      </c>
      <c r="AL159" s="321">
        <f t="shared" si="14"/>
        <v>3.7178098532484336E-3</v>
      </c>
      <c r="AN159" s="321" t="e">
        <f t="shared" si="15"/>
        <v>#N/A</v>
      </c>
      <c r="AO159" s="321" t="e">
        <f t="shared" si="16"/>
        <v>#N/A</v>
      </c>
    </row>
    <row r="160" spans="35:41" ht="12" customHeight="1">
      <c r="AI160" s="321">
        <v>151</v>
      </c>
      <c r="AJ160" s="321">
        <f t="shared" si="17"/>
        <v>-2.7999999999999989</v>
      </c>
      <c r="AK160" s="321">
        <f t="shared" si="13"/>
        <v>1.5449347134395212E-2</v>
      </c>
      <c r="AL160" s="321">
        <f t="shared" si="14"/>
        <v>3.8097620982218195E-3</v>
      </c>
      <c r="AN160" s="321" t="e">
        <f t="shared" si="15"/>
        <v>#N/A</v>
      </c>
      <c r="AO160" s="321" t="e">
        <f t="shared" si="16"/>
        <v>#N/A</v>
      </c>
    </row>
    <row r="161" spans="35:41" ht="12" customHeight="1">
      <c r="AI161" s="321">
        <v>152</v>
      </c>
      <c r="AJ161" s="321">
        <f t="shared" si="17"/>
        <v>-2.7919999999999989</v>
      </c>
      <c r="AK161" s="321">
        <f t="shared" si="13"/>
        <v>1.5767245928049234E-2</v>
      </c>
      <c r="AL161" s="321">
        <f t="shared" si="14"/>
        <v>3.903738742234875E-3</v>
      </c>
      <c r="AN161" s="321" t="e">
        <f t="shared" si="15"/>
        <v>#N/A</v>
      </c>
      <c r="AO161" s="321" t="e">
        <f t="shared" si="16"/>
        <v>#N/A</v>
      </c>
    </row>
    <row r="162" spans="35:41" ht="12" customHeight="1">
      <c r="AI162" s="321">
        <v>153</v>
      </c>
      <c r="AJ162" s="321">
        <f t="shared" si="17"/>
        <v>-2.7839999999999989</v>
      </c>
      <c r="AK162" s="321">
        <f t="shared" si="13"/>
        <v>1.6090656240382605E-2</v>
      </c>
      <c r="AL162" s="321">
        <f t="shared" si="14"/>
        <v>3.9997775448163261E-3</v>
      </c>
      <c r="AN162" s="321" t="e">
        <f t="shared" si="15"/>
        <v>#N/A</v>
      </c>
      <c r="AO162" s="321" t="e">
        <f t="shared" si="16"/>
        <v>#N/A</v>
      </c>
    </row>
    <row r="163" spans="35:41" ht="12" customHeight="1">
      <c r="AI163" s="321">
        <v>154</v>
      </c>
      <c r="AJ163" s="321">
        <f t="shared" si="17"/>
        <v>-2.7759999999999989</v>
      </c>
      <c r="AK163" s="321">
        <f t="shared" si="13"/>
        <v>1.6419649301332457E-2</v>
      </c>
      <c r="AL163" s="321">
        <f t="shared" si="14"/>
        <v>4.0979167948918946E-3</v>
      </c>
      <c r="AN163" s="321" t="e">
        <f t="shared" si="15"/>
        <v>#N/A</v>
      </c>
      <c r="AO163" s="321" t="e">
        <f t="shared" si="16"/>
        <v>#N/A</v>
      </c>
    </row>
    <row r="164" spans="35:41" ht="12" customHeight="1">
      <c r="AI164" s="321">
        <v>155</v>
      </c>
      <c r="AJ164" s="321">
        <f t="shared" si="17"/>
        <v>-2.7679999999999989</v>
      </c>
      <c r="AK164" s="321">
        <f t="shared" si="13"/>
        <v>1.6754296716735586E-2</v>
      </c>
      <c r="AL164" s="321">
        <f t="shared" si="14"/>
        <v>4.1981953138865479E-3</v>
      </c>
      <c r="AN164" s="321" t="e">
        <f t="shared" si="15"/>
        <v>#N/A</v>
      </c>
      <c r="AO164" s="321" t="e">
        <f t="shared" si="16"/>
        <v>#N/A</v>
      </c>
    </row>
    <row r="165" spans="35:41" ht="12" customHeight="1">
      <c r="AI165" s="321">
        <v>156</v>
      </c>
      <c r="AJ165" s="321">
        <f t="shared" si="17"/>
        <v>-2.7599999999999989</v>
      </c>
      <c r="AK165" s="321">
        <f t="shared" si="13"/>
        <v>1.7094670457496988E-2</v>
      </c>
      <c r="AL165" s="321">
        <f t="shared" si="14"/>
        <v>4.300652458730461E-3</v>
      </c>
      <c r="AN165" s="321" t="e">
        <f t="shared" si="15"/>
        <v>#N/A</v>
      </c>
      <c r="AO165" s="321" t="e">
        <f t="shared" si="16"/>
        <v>#N/A</v>
      </c>
    </row>
    <row r="166" spans="35:41" ht="12" customHeight="1">
      <c r="AI166" s="321">
        <v>157</v>
      </c>
      <c r="AJ166" s="321">
        <f t="shared" si="17"/>
        <v>-2.7519999999999989</v>
      </c>
      <c r="AK166" s="321">
        <f t="shared" si="13"/>
        <v>1.744084284841942E-2</v>
      </c>
      <c r="AL166" s="321">
        <f t="shared" si="14"/>
        <v>4.4053281247652364E-3</v>
      </c>
      <c r="AN166" s="321" t="e">
        <f t="shared" si="15"/>
        <v>#N/A</v>
      </c>
      <c r="AO166" s="321" t="e">
        <f t="shared" si="16"/>
        <v>#N/A</v>
      </c>
    </row>
    <row r="167" spans="35:41" ht="12" customHeight="1">
      <c r="AI167" s="321">
        <v>158</v>
      </c>
      <c r="AJ167" s="321">
        <f t="shared" si="17"/>
        <v>-2.7439999999999989</v>
      </c>
      <c r="AK167" s="321">
        <f t="shared" si="13"/>
        <v>1.7792886556691142E-2</v>
      </c>
      <c r="AL167" s="321">
        <f t="shared" si="14"/>
        <v>4.5122627485467328E-3</v>
      </c>
      <c r="AN167" s="321" t="e">
        <f t="shared" si="15"/>
        <v>#N/A</v>
      </c>
      <c r="AO167" s="321" t="e">
        <f t="shared" si="16"/>
        <v>#N/A</v>
      </c>
    </row>
    <row r="168" spans="35:41" ht="12" customHeight="1">
      <c r="AI168" s="321">
        <v>159</v>
      </c>
      <c r="AJ168" s="321">
        <f t="shared" si="17"/>
        <v>-2.7359999999999989</v>
      </c>
      <c r="AK168" s="321">
        <f t="shared" si="13"/>
        <v>1.8150874580029602E-2</v>
      </c>
      <c r="AL168" s="321">
        <f t="shared" si="14"/>
        <v>4.6214973105409111E-3</v>
      </c>
      <c r="AN168" s="321" t="e">
        <f t="shared" si="15"/>
        <v>#N/A</v>
      </c>
      <c r="AO168" s="321" t="e">
        <f t="shared" si="16"/>
        <v>#N/A</v>
      </c>
    </row>
    <row r="169" spans="35:41" ht="12" customHeight="1">
      <c r="AI169" s="321">
        <v>160</v>
      </c>
      <c r="AJ169" s="321">
        <f t="shared" si="17"/>
        <v>-2.7279999999999989</v>
      </c>
      <c r="AK169" s="321">
        <f t="shared" si="13"/>
        <v>1.8514880234478517E-2</v>
      </c>
      <c r="AL169" s="321">
        <f t="shared" si="14"/>
        <v>4.7330733377091141E-3</v>
      </c>
      <c r="AN169" s="321" t="e">
        <f t="shared" si="15"/>
        <v>#N/A</v>
      </c>
      <c r="AO169" s="321" t="e">
        <f t="shared" si="16"/>
        <v>#N/A</v>
      </c>
    </row>
    <row r="170" spans="35:41" ht="12" customHeight="1">
      <c r="AI170" s="321">
        <v>161</v>
      </c>
      <c r="AJ170" s="321">
        <f t="shared" si="17"/>
        <v>-2.7199999999999989</v>
      </c>
      <c r="AK170" s="321">
        <f t="shared" si="13"/>
        <v>1.8884977141856225E-2</v>
      </c>
      <c r="AL170" s="321">
        <f t="shared" si="14"/>
        <v>4.8470329059789648E-3</v>
      </c>
      <c r="AN170" s="321" t="e">
        <f t="shared" si="15"/>
        <v>#N/A</v>
      </c>
      <c r="AO170" s="321" t="e">
        <f t="shared" si="16"/>
        <v>#N/A</v>
      </c>
    </row>
    <row r="171" spans="35:41" ht="12" customHeight="1">
      <c r="AI171" s="321">
        <v>162</v>
      </c>
      <c r="AJ171" s="321">
        <f t="shared" si="17"/>
        <v>-2.7119999999999989</v>
      </c>
      <c r="AK171" s="321">
        <f t="shared" si="13"/>
        <v>1.9261239216853021E-2</v>
      </c>
      <c r="AL171" s="321">
        <f t="shared" si="14"/>
        <v>4.9634186425972816E-3</v>
      </c>
      <c r="AN171" s="321" t="e">
        <f t="shared" si="15"/>
        <v>#N/A</v>
      </c>
      <c r="AO171" s="321" t="e">
        <f t="shared" si="16"/>
        <v>#N/A</v>
      </c>
    </row>
    <row r="172" spans="35:41" ht="12" customHeight="1">
      <c r="AI172" s="321">
        <v>163</v>
      </c>
      <c r="AJ172" s="321">
        <f t="shared" si="17"/>
        <v>-2.7039999999999988</v>
      </c>
      <c r="AK172" s="321">
        <f t="shared" si="13"/>
        <v>1.9643740653775613E-2</v>
      </c>
      <c r="AL172" s="321">
        <f t="shared" si="14"/>
        <v>5.0822737283611518E-3</v>
      </c>
      <c r="AN172" s="321" t="e">
        <f t="shared" si="15"/>
        <v>#N/A</v>
      </c>
      <c r="AO172" s="321" t="e">
        <f t="shared" si="16"/>
        <v>#N/A</v>
      </c>
    </row>
    <row r="173" spans="35:41" ht="12" customHeight="1">
      <c r="AI173" s="321">
        <v>164</v>
      </c>
      <c r="AJ173" s="321">
        <f t="shared" si="17"/>
        <v>-2.6959999999999988</v>
      </c>
      <c r="AK173" s="321">
        <f t="shared" si="13"/>
        <v>2.0032555912936591E-2</v>
      </c>
      <c r="AL173" s="321">
        <f t="shared" si="14"/>
        <v>5.2036418997234461E-3</v>
      </c>
      <c r="AN173" s="321" t="e">
        <f t="shared" si="15"/>
        <v>#N/A</v>
      </c>
      <c r="AO173" s="321" t="e">
        <f t="shared" si="16"/>
        <v>#N/A</v>
      </c>
    </row>
    <row r="174" spans="35:41" ht="12" customHeight="1">
      <c r="AI174" s="321">
        <v>165</v>
      </c>
      <c r="AJ174" s="321">
        <f t="shared" si="17"/>
        <v>-2.6879999999999988</v>
      </c>
      <c r="AK174" s="321">
        <f t="shared" si="13"/>
        <v>2.0427759706687289E-2</v>
      </c>
      <c r="AL174" s="321">
        <f t="shared" si="14"/>
        <v>5.3275674507688373E-3</v>
      </c>
      <c r="AN174" s="321" t="e">
        <f t="shared" si="15"/>
        <v>#N/A</v>
      </c>
      <c r="AO174" s="321" t="e">
        <f t="shared" si="16"/>
        <v>#N/A</v>
      </c>
    </row>
    <row r="175" spans="35:41" ht="12" customHeight="1">
      <c r="AI175" s="321">
        <v>166</v>
      </c>
      <c r="AJ175" s="321">
        <f t="shared" si="17"/>
        <v>-2.6799999999999988</v>
      </c>
      <c r="AK175" s="321">
        <f t="shared" si="13"/>
        <v>2.0829426985092249E-2</v>
      </c>
      <c r="AL175" s="321">
        <f t="shared" si="14"/>
        <v>5.4540952350565644E-3</v>
      </c>
      <c r="AN175" s="321" t="e">
        <f t="shared" si="15"/>
        <v>#N/A</v>
      </c>
      <c r="AO175" s="321" t="e">
        <f t="shared" si="16"/>
        <v>#N/A</v>
      </c>
    </row>
    <row r="176" spans="35:41" ht="12" customHeight="1">
      <c r="AI176" s="321">
        <v>167</v>
      </c>
      <c r="AJ176" s="321">
        <f t="shared" si="17"/>
        <v>-2.6719999999999988</v>
      </c>
      <c r="AK176" s="321">
        <f t="shared" si="13"/>
        <v>2.123763292124382E-2</v>
      </c>
      <c r="AL176" s="321">
        <f t="shared" si="14"/>
        <v>5.5832706673259814E-3</v>
      </c>
      <c r="AN176" s="321" t="e">
        <f t="shared" si="15"/>
        <v>#N/A</v>
      </c>
      <c r="AO176" s="321" t="e">
        <f t="shared" si="16"/>
        <v>#N/A</v>
      </c>
    </row>
    <row r="177" spans="35:41" ht="12" customHeight="1">
      <c r="AI177" s="321">
        <v>168</v>
      </c>
      <c r="AJ177" s="321">
        <f t="shared" si="17"/>
        <v>-2.6639999999999988</v>
      </c>
      <c r="AK177" s="321">
        <f t="shared" si="13"/>
        <v>2.1652452896215476E-2</v>
      </c>
      <c r="AL177" s="321">
        <f t="shared" si="14"/>
        <v>5.7151397250609446E-3</v>
      </c>
      <c r="AN177" s="321" t="e">
        <f t="shared" si="15"/>
        <v>#N/A</v>
      </c>
      <c r="AO177" s="321" t="e">
        <f t="shared" si="16"/>
        <v>#N/A</v>
      </c>
    </row>
    <row r="178" spans="35:41" ht="12" customHeight="1">
      <c r="AI178" s="321">
        <v>169</v>
      </c>
      <c r="AJ178" s="321">
        <f t="shared" si="17"/>
        <v>-2.6559999999999988</v>
      </c>
      <c r="AK178" s="321">
        <f t="shared" si="13"/>
        <v>2.2073962483652506E-2</v>
      </c>
      <c r="AL178" s="321">
        <f t="shared" si="14"/>
        <v>5.8497489499091636E-3</v>
      </c>
      <c r="AN178" s="321" t="e">
        <f t="shared" si="15"/>
        <v>#N/A</v>
      </c>
      <c r="AO178" s="321" t="e">
        <f t="shared" si="16"/>
        <v>#N/A</v>
      </c>
    </row>
    <row r="179" spans="35:41" ht="12" customHeight="1">
      <c r="AI179" s="321">
        <v>170</v>
      </c>
      <c r="AJ179" s="321">
        <f t="shared" si="17"/>
        <v>-2.6479999999999988</v>
      </c>
      <c r="AK179" s="321">
        <f t="shared" si="13"/>
        <v>2.2502237433999119E-2</v>
      </c>
      <c r="AL179" s="321">
        <f t="shared" si="14"/>
        <v>5.9871454489524231E-3</v>
      </c>
      <c r="AN179" s="321" t="e">
        <f t="shared" si="15"/>
        <v>#N/A</v>
      </c>
      <c r="AO179" s="321" t="e">
        <f t="shared" si="16"/>
        <v>#N/A</v>
      </c>
    </row>
    <row r="180" spans="35:41" ht="12" customHeight="1">
      <c r="AI180" s="321">
        <v>171</v>
      </c>
      <c r="AJ180" s="321">
        <f t="shared" si="17"/>
        <v>-2.6399999999999988</v>
      </c>
      <c r="AK180" s="321">
        <f t="shared" si="13"/>
        <v>2.2937353658360762E-2</v>
      </c>
      <c r="AL180" s="321">
        <f t="shared" si="14"/>
        <v>6.127376895823709E-3</v>
      </c>
      <c r="AN180" s="321" t="e">
        <f t="shared" si="15"/>
        <v>#N/A</v>
      </c>
      <c r="AO180" s="321" t="e">
        <f t="shared" si="16"/>
        <v>#N/A</v>
      </c>
    </row>
    <row r="181" spans="35:41" ht="12" customHeight="1">
      <c r="AI181" s="321">
        <v>172</v>
      </c>
      <c r="AJ181" s="321">
        <f t="shared" si="17"/>
        <v>-2.6319999999999988</v>
      </c>
      <c r="AK181" s="321">
        <f t="shared" si="13"/>
        <v>2.3379387212000981E-2</v>
      </c>
      <c r="AL181" s="321">
        <f t="shared" si="14"/>
        <v>6.2704915316672506E-3</v>
      </c>
      <c r="AN181" s="321" t="e">
        <f t="shared" si="15"/>
        <v>#N/A</v>
      </c>
      <c r="AO181" s="321" t="e">
        <f t="shared" si="16"/>
        <v>#N/A</v>
      </c>
    </row>
    <row r="182" spans="35:41" ht="12" customHeight="1">
      <c r="AI182" s="321">
        <v>173</v>
      </c>
      <c r="AJ182" s="321">
        <f t="shared" si="17"/>
        <v>-2.6239999999999988</v>
      </c>
      <c r="AK182" s="321">
        <f t="shared" si="13"/>
        <v>2.3828414277472038E-2</v>
      </c>
      <c r="AL182" s="321">
        <f t="shared" si="14"/>
        <v>6.4165381659373162E-3</v>
      </c>
      <c r="AN182" s="321" t="e">
        <f t="shared" si="15"/>
        <v>#N/A</v>
      </c>
      <c r="AO182" s="321" t="e">
        <f t="shared" si="16"/>
        <v>#N/A</v>
      </c>
    </row>
    <row r="183" spans="35:41" ht="12" customHeight="1">
      <c r="AI183" s="321">
        <v>174</v>
      </c>
      <c r="AJ183" s="321">
        <f t="shared" si="17"/>
        <v>-2.6159999999999988</v>
      </c>
      <c r="AK183" s="321">
        <f t="shared" si="13"/>
        <v>2.4284511147378764E-2</v>
      </c>
      <c r="AL183" s="321">
        <f t="shared" si="14"/>
        <v>6.5655661770317236E-3</v>
      </c>
      <c r="AN183" s="321" t="e">
        <f t="shared" si="15"/>
        <v>#N/A</v>
      </c>
      <c r="AO183" s="321" t="e">
        <f t="shared" si="16"/>
        <v>#N/A</v>
      </c>
    </row>
    <row r="184" spans="35:41" ht="12" customHeight="1">
      <c r="AI184" s="321">
        <v>175</v>
      </c>
      <c r="AJ184" s="321">
        <f t="shared" si="17"/>
        <v>-2.6079999999999988</v>
      </c>
      <c r="AK184" s="321">
        <f t="shared" si="13"/>
        <v>2.4747754206775319E-2</v>
      </c>
      <c r="AL184" s="321">
        <f t="shared" si="14"/>
        <v>6.717625512755997E-3</v>
      </c>
      <c r="AN184" s="321" t="e">
        <f t="shared" si="15"/>
        <v>#N/A</v>
      </c>
      <c r="AO184" s="321" t="e">
        <f t="shared" si="16"/>
        <v>#N/A</v>
      </c>
    </row>
    <row r="185" spans="35:41" ht="12" customHeight="1">
      <c r="AI185" s="321">
        <v>176</v>
      </c>
      <c r="AJ185" s="321">
        <f t="shared" si="17"/>
        <v>-2.5999999999999988</v>
      </c>
      <c r="AK185" s="321">
        <f t="shared" si="13"/>
        <v>2.5218219915194469E-2</v>
      </c>
      <c r="AL185" s="321">
        <f t="shared" si="14"/>
        <v>6.8727666906139946E-3</v>
      </c>
      <c r="AN185" s="321" t="e">
        <f t="shared" si="15"/>
        <v>#N/A</v>
      </c>
      <c r="AO185" s="321" t="e">
        <f t="shared" si="16"/>
        <v>#N/A</v>
      </c>
    </row>
    <row r="186" spans="35:41" ht="12" customHeight="1">
      <c r="AI186" s="321">
        <v>177</v>
      </c>
      <c r="AJ186" s="321">
        <f t="shared" si="17"/>
        <v>-2.5919999999999987</v>
      </c>
      <c r="AK186" s="321">
        <f t="shared" si="13"/>
        <v>2.5695984788309527E-2</v>
      </c>
      <c r="AL186" s="321">
        <f t="shared" si="14"/>
        <v>7.0310407979208428E-3</v>
      </c>
      <c r="AN186" s="321" t="e">
        <f t="shared" si="15"/>
        <v>#N/A</v>
      </c>
      <c r="AO186" s="321" t="e">
        <f t="shared" si="16"/>
        <v>#N/A</v>
      </c>
    </row>
    <row r="187" spans="35:41" ht="12" customHeight="1">
      <c r="AI187" s="321">
        <v>178</v>
      </c>
      <c r="AJ187" s="321">
        <f t="shared" si="17"/>
        <v>-2.5839999999999987</v>
      </c>
      <c r="AK187" s="321">
        <f t="shared" si="13"/>
        <v>2.6181125379228981E-2</v>
      </c>
      <c r="AL187" s="321">
        <f t="shared" si="14"/>
        <v>7.1924994917341063E-3</v>
      </c>
      <c r="AN187" s="321" t="e">
        <f t="shared" si="15"/>
        <v>#N/A</v>
      </c>
      <c r="AO187" s="321" t="e">
        <f t="shared" si="16"/>
        <v>#N/A</v>
      </c>
    </row>
    <row r="188" spans="35:41" ht="12" customHeight="1">
      <c r="AI188" s="321">
        <v>179</v>
      </c>
      <c r="AJ188" s="321">
        <f t="shared" si="17"/>
        <v>-2.5759999999999987</v>
      </c>
      <c r="AK188" s="321">
        <f t="shared" si="13"/>
        <v>2.6673718259423884E-2</v>
      </c>
      <c r="AL188" s="321">
        <f t="shared" si="14"/>
        <v>7.3571949985989336E-3</v>
      </c>
      <c r="AN188" s="321" t="e">
        <f t="shared" si="15"/>
        <v>#N/A</v>
      </c>
      <c r="AO188" s="321" t="e">
        <f t="shared" si="16"/>
        <v>#N/A</v>
      </c>
    </row>
    <row r="189" spans="35:41" ht="12" customHeight="1">
      <c r="AI189" s="321">
        <v>180</v>
      </c>
      <c r="AJ189" s="321">
        <f t="shared" si="17"/>
        <v>-2.5679999999999987</v>
      </c>
      <c r="AK189" s="321">
        <f t="shared" si="13"/>
        <v>2.7173839999288799E-2</v>
      </c>
      <c r="AL189" s="321">
        <f t="shared" si="14"/>
        <v>7.5251801141030441E-3</v>
      </c>
      <c r="AN189" s="321" t="e">
        <f t="shared" si="15"/>
        <v>#N/A</v>
      </c>
      <c r="AO189" s="321" t="e">
        <f t="shared" si="16"/>
        <v>#N/A</v>
      </c>
    </row>
    <row r="190" spans="35:41" ht="12" customHeight="1">
      <c r="AI190" s="321">
        <v>181</v>
      </c>
      <c r="AJ190" s="321">
        <f t="shared" si="17"/>
        <v>-2.5599999999999987</v>
      </c>
      <c r="AK190" s="321">
        <f t="shared" si="13"/>
        <v>2.7681567148336653E-2</v>
      </c>
      <c r="AL190" s="321">
        <f t="shared" si="14"/>
        <v>7.6965082022373513E-3</v>
      </c>
      <c r="AN190" s="321" t="e">
        <f t="shared" si="15"/>
        <v>#N/A</v>
      </c>
      <c r="AO190" s="321" t="e">
        <f t="shared" si="16"/>
        <v>#N/A</v>
      </c>
    </row>
    <row r="191" spans="35:41" ht="12" customHeight="1">
      <c r="AI191" s="321">
        <v>182</v>
      </c>
      <c r="AJ191" s="321">
        <f t="shared" si="17"/>
        <v>-2.5519999999999987</v>
      </c>
      <c r="AK191" s="321">
        <f t="shared" si="13"/>
        <v>2.8196976215028265E-2</v>
      </c>
      <c r="AL191" s="321">
        <f t="shared" si="14"/>
        <v>7.8712331945579913E-3</v>
      </c>
      <c r="AN191" s="321" t="e">
        <f t="shared" si="15"/>
        <v>#N/A</v>
      </c>
      <c r="AO191" s="321" t="e">
        <f t="shared" si="16"/>
        <v>#N/A</v>
      </c>
    </row>
    <row r="192" spans="35:41" ht="12" customHeight="1">
      <c r="AI192" s="321">
        <v>183</v>
      </c>
      <c r="AJ192" s="321">
        <f t="shared" si="17"/>
        <v>-2.5439999999999987</v>
      </c>
      <c r="AK192" s="321">
        <f t="shared" si="13"/>
        <v>2.8720143646237817E-2</v>
      </c>
      <c r="AL192" s="321">
        <f t="shared" si="14"/>
        <v>8.0494095891456164E-3</v>
      </c>
      <c r="AN192" s="321" t="e">
        <f t="shared" si="15"/>
        <v>#N/A</v>
      </c>
      <c r="AO192" s="321" t="e">
        <f t="shared" si="16"/>
        <v>#N/A</v>
      </c>
    </row>
    <row r="193" spans="35:41" ht="12" customHeight="1">
      <c r="AI193" s="321">
        <v>184</v>
      </c>
      <c r="AJ193" s="321">
        <f t="shared" si="17"/>
        <v>-2.5359999999999987</v>
      </c>
      <c r="AK193" s="321">
        <f t="shared" si="13"/>
        <v>2.9251145806355031E-2</v>
      </c>
      <c r="AL193" s="321">
        <f t="shared" si="14"/>
        <v>8.2310924493576611E-3</v>
      </c>
      <c r="AN193" s="321" t="e">
        <f t="shared" si="15"/>
        <v>#N/A</v>
      </c>
      <c r="AO193" s="321" t="e">
        <f t="shared" si="16"/>
        <v>#N/A</v>
      </c>
    </row>
    <row r="194" spans="35:41" ht="12" customHeight="1">
      <c r="AI194" s="321">
        <v>185</v>
      </c>
      <c r="AJ194" s="321">
        <f t="shared" si="17"/>
        <v>-2.5279999999999987</v>
      </c>
      <c r="AK194" s="321">
        <f t="shared" si="13"/>
        <v>2.9790058956025642E-2</v>
      </c>
      <c r="AL194" s="321">
        <f t="shared" si="14"/>
        <v>8.4163374023694167E-3</v>
      </c>
      <c r="AN194" s="321" t="e">
        <f t="shared" si="15"/>
        <v>#N/A</v>
      </c>
      <c r="AO194" s="321" t="e">
        <f t="shared" si="16"/>
        <v>#N/A</v>
      </c>
    </row>
    <row r="195" spans="35:41" ht="12" customHeight="1">
      <c r="AI195" s="321">
        <v>186</v>
      </c>
      <c r="AJ195" s="321">
        <f t="shared" si="17"/>
        <v>-2.5199999999999987</v>
      </c>
      <c r="AK195" s="321">
        <f t="shared" si="13"/>
        <v>3.0336959230531726E-2</v>
      </c>
      <c r="AL195" s="321">
        <f t="shared" si="14"/>
        <v>8.6052006374997062E-3</v>
      </c>
      <c r="AN195" s="321" t="e">
        <f t="shared" si="15"/>
        <v>#N/A</v>
      </c>
      <c r="AO195" s="321" t="e">
        <f t="shared" si="16"/>
        <v>#N/A</v>
      </c>
    </row>
    <row r="196" spans="35:41" ht="12" customHeight="1">
      <c r="AI196" s="321">
        <v>187</v>
      </c>
      <c r="AJ196" s="321">
        <f t="shared" si="17"/>
        <v>-2.5119999999999987</v>
      </c>
      <c r="AK196" s="321">
        <f t="shared" si="13"/>
        <v>3.0891922617813254E-2</v>
      </c>
      <c r="AL196" s="321">
        <f t="shared" si="14"/>
        <v>8.7977389043168777E-3</v>
      </c>
      <c r="AN196" s="321" t="e">
        <f t="shared" si="15"/>
        <v>#N/A</v>
      </c>
      <c r="AO196" s="321" t="e">
        <f t="shared" si="16"/>
        <v>#N/A</v>
      </c>
    </row>
    <row r="197" spans="35:41" ht="12" customHeight="1">
      <c r="AI197" s="321">
        <v>188</v>
      </c>
      <c r="AJ197" s="321">
        <f t="shared" si="17"/>
        <v>-2.5039999999999987</v>
      </c>
      <c r="AK197" s="321">
        <f t="shared" si="13"/>
        <v>3.1455024936133329E-2</v>
      </c>
      <c r="AL197" s="321">
        <f t="shared" si="14"/>
        <v>8.9940095105210238E-3</v>
      </c>
      <c r="AN197" s="321" t="e">
        <f t="shared" si="15"/>
        <v>#N/A</v>
      </c>
      <c r="AO197" s="321" t="e">
        <f t="shared" si="16"/>
        <v>#N/A</v>
      </c>
    </row>
    <row r="198" spans="35:41" ht="12" customHeight="1">
      <c r="AI198" s="321">
        <v>189</v>
      </c>
      <c r="AJ198" s="321">
        <f t="shared" si="17"/>
        <v>-2.4959999999999987</v>
      </c>
      <c r="AK198" s="321">
        <f t="shared" si="13"/>
        <v>3.2026341811388699E-2</v>
      </c>
      <c r="AL198" s="321">
        <f t="shared" si="14"/>
        <v>9.1940703195981296E-3</v>
      </c>
      <c r="AN198" s="321" t="e">
        <f t="shared" si="15"/>
        <v>#N/A</v>
      </c>
      <c r="AO198" s="321" t="e">
        <f t="shared" si="16"/>
        <v>#N/A</v>
      </c>
    </row>
    <row r="199" spans="35:41" ht="12" customHeight="1">
      <c r="AI199" s="321">
        <v>190</v>
      </c>
      <c r="AJ199" s="321">
        <f t="shared" si="17"/>
        <v>-2.4879999999999987</v>
      </c>
      <c r="AK199" s="321">
        <f t="shared" si="13"/>
        <v>3.2605948654068136E-2</v>
      </c>
      <c r="AL199" s="321">
        <f t="shared" si="14"/>
        <v>9.3979797482419587E-3</v>
      </c>
      <c r="AN199" s="321" t="e">
        <f t="shared" si="15"/>
        <v>#N/A</v>
      </c>
      <c r="AO199" s="321" t="e">
        <f t="shared" si="16"/>
        <v>#N/A</v>
      </c>
    </row>
    <row r="200" spans="35:41" ht="12" customHeight="1">
      <c r="AI200" s="321">
        <v>191</v>
      </c>
      <c r="AJ200" s="321">
        <f t="shared" si="17"/>
        <v>-2.4799999999999986</v>
      </c>
      <c r="AK200" s="321">
        <f t="shared" si="13"/>
        <v>3.319392063586122E-2</v>
      </c>
      <c r="AL200" s="321">
        <f t="shared" si="14"/>
        <v>9.6057967635396202E-3</v>
      </c>
      <c r="AN200" s="321" t="e">
        <f t="shared" si="15"/>
        <v>#N/A</v>
      </c>
      <c r="AO200" s="321" t="e">
        <f t="shared" si="16"/>
        <v>#N/A</v>
      </c>
    </row>
    <row r="201" spans="35:41" ht="12" customHeight="1">
      <c r="AI201" s="321">
        <v>192</v>
      </c>
      <c r="AJ201" s="321">
        <f t="shared" si="17"/>
        <v>-2.4719999999999986</v>
      </c>
      <c r="AK201" s="321">
        <f t="shared" si="13"/>
        <v>3.3790332665919923E-2</v>
      </c>
      <c r="AL201" s="321">
        <f t="shared" si="14"/>
        <v>9.8175808799164533E-3</v>
      </c>
      <c r="AN201" s="321" t="e">
        <f t="shared" si="15"/>
        <v>#N/A</v>
      </c>
      <c r="AO201" s="321" t="e">
        <f t="shared" si="16"/>
        <v>#N/A</v>
      </c>
    </row>
    <row r="202" spans="35:41" ht="12" customHeight="1">
      <c r="AI202" s="321">
        <v>193</v>
      </c>
      <c r="AJ202" s="321">
        <f t="shared" si="17"/>
        <v>-2.4639999999999986</v>
      </c>
      <c r="AK202" s="321">
        <f t="shared" ref="AK202:AK265" si="18">NORMDIST(AJ202,$AH$26,$AH$28,FALSE)</f>
        <v>3.4395259366776371E-2</v>
      </c>
      <c r="AL202" s="321">
        <f t="shared" ref="AL202:AL265" si="19">NORMDIST(AJ202,$AH$27,$AH$28,FALSE)</f>
        <v>1.0033392155836264E-2</v>
      </c>
      <c r="AN202" s="321" t="e">
        <f t="shared" ref="AN202:AN265" si="20">IF(AND($AJ$7,$AH$27&gt;AJ202),AK202,NA())</f>
        <v>#N/A</v>
      </c>
      <c r="AO202" s="321" t="e">
        <f t="shared" ref="AO202:AO265" si="21">IF(AND($AJ$6,$AH$26&lt;AJ202+(drend-dlend)/$AO$6),AL202,NA())</f>
        <v>#N/A</v>
      </c>
    </row>
    <row r="203" spans="35:41" ht="12" customHeight="1">
      <c r="AI203" s="321">
        <v>194</v>
      </c>
      <c r="AJ203" s="321">
        <f t="shared" ref="AJ203:AJ266" si="22">AJ202+$AL$7</f>
        <v>-2.4559999999999986</v>
      </c>
      <c r="AK203" s="321">
        <f t="shared" si="18"/>
        <v>3.5008775049919491E-2</v>
      </c>
      <c r="AL203" s="321">
        <f t="shared" si="19"/>
        <v>1.0253291190252679E-2</v>
      </c>
      <c r="AN203" s="321" t="e">
        <f t="shared" si="20"/>
        <v>#N/A</v>
      </c>
      <c r="AO203" s="321" t="e">
        <f t="shared" si="21"/>
        <v>#N/A</v>
      </c>
    </row>
    <row r="204" spans="35:41" ht="12" customHeight="1">
      <c r="AI204" s="321">
        <v>195</v>
      </c>
      <c r="AJ204" s="321">
        <f t="shared" si="22"/>
        <v>-2.4479999999999986</v>
      </c>
      <c r="AK204" s="321">
        <f t="shared" si="18"/>
        <v>3.5630953691034174E-2</v>
      </c>
      <c r="AL204" s="321">
        <f t="shared" si="19"/>
        <v>1.0477339118807534E-2</v>
      </c>
      <c r="AN204" s="321" t="e">
        <f t="shared" si="20"/>
        <v>#N/A</v>
      </c>
      <c r="AO204" s="321" t="e">
        <f t="shared" si="21"/>
        <v>#N/A</v>
      </c>
    </row>
    <row r="205" spans="35:41" ht="12" customHeight="1">
      <c r="AI205" s="321">
        <v>196</v>
      </c>
      <c r="AJ205" s="321">
        <f t="shared" si="22"/>
        <v>-2.4399999999999986</v>
      </c>
      <c r="AK205" s="321">
        <f t="shared" si="18"/>
        <v>3.6261868904906326E-2</v>
      </c>
      <c r="AL205" s="321">
        <f t="shared" si="19"/>
        <v>1.0705597609772223E-2</v>
      </c>
      <c r="AN205" s="321" t="e">
        <f t="shared" si="20"/>
        <v>#N/A</v>
      </c>
      <c r="AO205" s="321" t="e">
        <f t="shared" si="21"/>
        <v>#N/A</v>
      </c>
    </row>
    <row r="206" spans="35:41" ht="12" customHeight="1">
      <c r="AI206" s="321">
        <v>197</v>
      </c>
      <c r="AJ206" s="321">
        <f t="shared" si="22"/>
        <v>-2.4319999999999986</v>
      </c>
      <c r="AK206" s="321">
        <f t="shared" si="18"/>
        <v>3.6901593919997595E-2</v>
      </c>
      <c r="AL206" s="321">
        <f t="shared" si="19"/>
        <v>1.0938128859727912E-2</v>
      </c>
      <c r="AN206" s="321" t="e">
        <f t="shared" si="20"/>
        <v>#N/A</v>
      </c>
      <c r="AO206" s="321" t="e">
        <f t="shared" si="21"/>
        <v>#N/A</v>
      </c>
    </row>
    <row r="207" spans="35:41" ht="12" customHeight="1">
      <c r="AI207" s="321">
        <v>198</v>
      </c>
      <c r="AJ207" s="321">
        <f t="shared" si="22"/>
        <v>-2.4239999999999986</v>
      </c>
      <c r="AK207" s="321">
        <f t="shared" si="18"/>
        <v>3.7550201552693917E-2</v>
      </c>
      <c r="AL207" s="321">
        <f t="shared" si="19"/>
        <v>1.117499558898068E-2</v>
      </c>
      <c r="AN207" s="321" t="e">
        <f t="shared" si="20"/>
        <v>#N/A</v>
      </c>
      <c r="AO207" s="321" t="e">
        <f t="shared" si="21"/>
        <v>#N/A</v>
      </c>
    </row>
    <row r="208" spans="35:41" ht="12" customHeight="1">
      <c r="AI208" s="321">
        <v>199</v>
      </c>
      <c r="AJ208" s="321">
        <f t="shared" si="22"/>
        <v>-2.4159999999999986</v>
      </c>
      <c r="AK208" s="321">
        <f t="shared" si="18"/>
        <v>3.8207764181231813E-2</v>
      </c>
      <c r="AL208" s="321">
        <f t="shared" si="19"/>
        <v>1.1416261036707448E-2</v>
      </c>
      <c r="AN208" s="321" t="e">
        <f t="shared" si="20"/>
        <v>#N/A</v>
      </c>
      <c r="AO208" s="321" t="e">
        <f t="shared" si="21"/>
        <v>#N/A</v>
      </c>
    </row>
    <row r="209" spans="35:41" ht="12" customHeight="1">
      <c r="AI209" s="321">
        <v>200</v>
      </c>
      <c r="AJ209" s="321">
        <f t="shared" si="22"/>
        <v>-2.4079999999999986</v>
      </c>
      <c r="AK209" s="321">
        <f t="shared" si="18"/>
        <v>3.8874353719307066E-2</v>
      </c>
      <c r="AL209" s="321">
        <f t="shared" si="19"/>
        <v>1.1661988955828878E-2</v>
      </c>
      <c r="AN209" s="321" t="e">
        <f t="shared" si="20"/>
        <v>#N/A</v>
      </c>
      <c r="AO209" s="321" t="e">
        <f t="shared" si="21"/>
        <v>#N/A</v>
      </c>
    </row>
    <row r="210" spans="35:41" ht="12" customHeight="1">
      <c r="AI210" s="321">
        <v>201</v>
      </c>
      <c r="AJ210" s="321">
        <f t="shared" si="22"/>
        <v>-2.3999999999999986</v>
      </c>
      <c r="AK210" s="321">
        <f t="shared" si="18"/>
        <v>3.9550041589370324E-2</v>
      </c>
      <c r="AL210" s="321">
        <f t="shared" si="19"/>
        <v>1.1912243607605221E-2</v>
      </c>
      <c r="AN210" s="321" t="e">
        <f t="shared" si="20"/>
        <v>#N/A</v>
      </c>
      <c r="AO210" s="321" t="e">
        <f t="shared" si="21"/>
        <v>#N/A</v>
      </c>
    </row>
    <row r="211" spans="35:41" ht="12" customHeight="1">
      <c r="AI211" s="321">
        <v>202</v>
      </c>
      <c r="AJ211" s="321">
        <f t="shared" si="22"/>
        <v>-2.3919999999999986</v>
      </c>
      <c r="AK211" s="321">
        <f t="shared" si="18"/>
        <v>4.0234898695614536E-2</v>
      </c>
      <c r="AL211" s="321">
        <f t="shared" si="19"/>
        <v>1.2167089755951287E-2</v>
      </c>
      <c r="AN211" s="321" t="e">
        <f t="shared" si="20"/>
        <v>#N/A</v>
      </c>
      <c r="AO211" s="321" t="e">
        <f t="shared" si="21"/>
        <v>#N/A</v>
      </c>
    </row>
    <row r="212" spans="35:41" ht="12" customHeight="1">
      <c r="AI212" s="321">
        <v>203</v>
      </c>
      <c r="AJ212" s="321">
        <f t="shared" si="22"/>
        <v>-2.3839999999999986</v>
      </c>
      <c r="AK212" s="321">
        <f t="shared" si="18"/>
        <v>4.0928995396659167E-2</v>
      </c>
      <c r="AL212" s="321">
        <f t="shared" si="19"/>
        <v>1.2426592661466637E-2</v>
      </c>
      <c r="AN212" s="321" t="e">
        <f t="shared" si="20"/>
        <v>#N/A</v>
      </c>
      <c r="AO212" s="321" t="e">
        <f t="shared" si="21"/>
        <v>#N/A</v>
      </c>
    </row>
    <row r="213" spans="35:41" ht="12" customHeight="1">
      <c r="AI213" s="321">
        <v>204</v>
      </c>
      <c r="AJ213" s="321">
        <f t="shared" si="22"/>
        <v>-2.3759999999999986</v>
      </c>
      <c r="AK213" s="321">
        <f t="shared" si="18"/>
        <v>4.1632401477936828E-2</v>
      </c>
      <c r="AL213" s="321">
        <f t="shared" si="19"/>
        <v>1.2690818075177307E-2</v>
      </c>
      <c r="AN213" s="321" t="e">
        <f t="shared" si="20"/>
        <v>#N/A</v>
      </c>
      <c r="AO213" s="321" t="e">
        <f t="shared" si="21"/>
        <v>#N/A</v>
      </c>
    </row>
    <row r="214" spans="35:41" ht="12" customHeight="1">
      <c r="AI214" s="321">
        <v>205</v>
      </c>
      <c r="AJ214" s="321">
        <f t="shared" si="22"/>
        <v>-2.3679999999999986</v>
      </c>
      <c r="AK214" s="321">
        <f t="shared" si="18"/>
        <v>4.2345186123787404E-2</v>
      </c>
      <c r="AL214" s="321">
        <f t="shared" si="19"/>
        <v>1.2959832231985173E-2</v>
      </c>
      <c r="AN214" s="321" t="e">
        <f t="shared" si="20"/>
        <v>#N/A</v>
      </c>
      <c r="AO214" s="321" t="e">
        <f t="shared" si="21"/>
        <v>#N/A</v>
      </c>
    </row>
    <row r="215" spans="35:41" ht="12" customHeight="1">
      <c r="AI215" s="321">
        <v>206</v>
      </c>
      <c r="AJ215" s="321">
        <f t="shared" si="22"/>
        <v>-2.3599999999999985</v>
      </c>
      <c r="AK215" s="321">
        <f t="shared" si="18"/>
        <v>4.3067417889265866E-2</v>
      </c>
      <c r="AL215" s="321">
        <f t="shared" si="19"/>
        <v>1.3233701843821419E-2</v>
      </c>
      <c r="AN215" s="321" t="e">
        <f t="shared" si="20"/>
        <v>#N/A</v>
      </c>
      <c r="AO215" s="321" t="e">
        <f t="shared" si="21"/>
        <v>#N/A</v>
      </c>
    </row>
    <row r="216" spans="35:41" ht="12" customHeight="1">
      <c r="AI216" s="321">
        <v>207</v>
      </c>
      <c r="AJ216" s="321">
        <f t="shared" si="22"/>
        <v>-2.3519999999999985</v>
      </c>
      <c r="AK216" s="321">
        <f t="shared" si="18"/>
        <v>4.3799164671669485E-2</v>
      </c>
      <c r="AL216" s="321">
        <f t="shared" si="19"/>
        <v>1.3512494092500354E-2</v>
      </c>
      <c r="AN216" s="321" t="e">
        <f t="shared" si="20"/>
        <v>#N/A</v>
      </c>
      <c r="AO216" s="321" t="e">
        <f t="shared" si="21"/>
        <v>#N/A</v>
      </c>
    </row>
    <row r="217" spans="35:41" ht="12" customHeight="1">
      <c r="AI217" s="321">
        <v>208</v>
      </c>
      <c r="AJ217" s="321">
        <f t="shared" si="22"/>
        <v>-2.3439999999999985</v>
      </c>
      <c r="AK217" s="321">
        <f t="shared" si="18"/>
        <v>4.454049368179084E-2</v>
      </c>
      <c r="AL217" s="321">
        <f t="shared" si="19"/>
        <v>1.3796276622270072E-2</v>
      </c>
      <c r="AN217" s="321" t="e">
        <f t="shared" si="20"/>
        <v>#N/A</v>
      </c>
      <c r="AO217" s="321" t="e">
        <f t="shared" si="21"/>
        <v>#N/A</v>
      </c>
    </row>
    <row r="218" spans="35:41" ht="12" customHeight="1">
      <c r="AI218" s="321">
        <v>209</v>
      </c>
      <c r="AJ218" s="321">
        <f t="shared" si="22"/>
        <v>-2.3359999999999985</v>
      </c>
      <c r="AK218" s="321">
        <f t="shared" si="18"/>
        <v>4.529147141490291E-2</v>
      </c>
      <c r="AL218" s="321">
        <f t="shared" si="19"/>
        <v>1.4085117532056393E-2</v>
      </c>
      <c r="AN218" s="321" t="e">
        <f t="shared" si="20"/>
        <v>#N/A</v>
      </c>
      <c r="AO218" s="321" t="e">
        <f t="shared" si="21"/>
        <v>#N/A</v>
      </c>
    </row>
    <row r="219" spans="35:41" ht="12" customHeight="1">
      <c r="AI219" s="321">
        <v>210</v>
      </c>
      <c r="AJ219" s="321">
        <f t="shared" si="22"/>
        <v>-2.3279999999999985</v>
      </c>
      <c r="AK219" s="321">
        <f t="shared" si="18"/>
        <v>4.6052163621483178E-2</v>
      </c>
      <c r="AL219" s="321">
        <f t="shared" si="19"/>
        <v>1.4379085367396686E-2</v>
      </c>
      <c r="AN219" s="321" t="e">
        <f t="shared" si="20"/>
        <v>#N/A</v>
      </c>
      <c r="AO219" s="321" t="e">
        <f t="shared" si="21"/>
        <v>#N/A</v>
      </c>
    </row>
    <row r="220" spans="35:41" ht="12" customHeight="1">
      <c r="AI220" s="321">
        <v>211</v>
      </c>
      <c r="AJ220" s="321">
        <f t="shared" si="22"/>
        <v>-2.3199999999999985</v>
      </c>
      <c r="AK220" s="321">
        <f t="shared" si="18"/>
        <v>4.682263527768328E-2</v>
      </c>
      <c r="AL220" s="321">
        <f t="shared" si="19"/>
        <v>1.4678249112060089E-2</v>
      </c>
      <c r="AN220" s="321" t="e">
        <f t="shared" si="20"/>
        <v>#N/A</v>
      </c>
      <c r="AO220" s="321" t="e">
        <f t="shared" si="21"/>
        <v>#N/A</v>
      </c>
    </row>
    <row r="221" spans="35:41" ht="12" customHeight="1">
      <c r="AI221" s="321">
        <v>212</v>
      </c>
      <c r="AJ221" s="321">
        <f t="shared" si="22"/>
        <v>-2.3119999999999985</v>
      </c>
      <c r="AK221" s="321">
        <f t="shared" si="18"/>
        <v>4.7602950555551894E-2</v>
      </c>
      <c r="AL221" s="321">
        <f t="shared" si="19"/>
        <v>1.4982678179350983E-2</v>
      </c>
      <c r="AN221" s="321" t="e">
        <f t="shared" si="20"/>
        <v>#N/A</v>
      </c>
      <c r="AO221" s="321" t="e">
        <f t="shared" si="21"/>
        <v>#N/A</v>
      </c>
    </row>
    <row r="222" spans="35:41" ht="12" customHeight="1">
      <c r="AI222" s="321">
        <v>213</v>
      </c>
      <c r="AJ222" s="321">
        <f t="shared" si="22"/>
        <v>-2.3039999999999985</v>
      </c>
      <c r="AK222" s="321">
        <f t="shared" si="18"/>
        <v>4.8393172793017608E-2</v>
      </c>
      <c r="AL222" s="321">
        <f t="shared" si="19"/>
        <v>1.5292442403092287E-2</v>
      </c>
      <c r="AN222" s="321" t="e">
        <f t="shared" si="20"/>
        <v>#N/A</v>
      </c>
      <c r="AO222" s="321" t="e">
        <f t="shared" si="21"/>
        <v>#N/A</v>
      </c>
    </row>
    <row r="223" spans="35:41" ht="12" customHeight="1">
      <c r="AI223" s="321">
        <v>214</v>
      </c>
      <c r="AJ223" s="321">
        <f t="shared" si="22"/>
        <v>-2.2959999999999985</v>
      </c>
      <c r="AK223" s="321">
        <f t="shared" si="18"/>
        <v>4.9193364463639949E-2</v>
      </c>
      <c r="AL223" s="321">
        <f t="shared" si="19"/>
        <v>1.5607612028285547E-2</v>
      </c>
      <c r="AN223" s="321" t="e">
        <f t="shared" si="20"/>
        <v>#N/A</v>
      </c>
      <c r="AO223" s="321" t="e">
        <f t="shared" si="21"/>
        <v>#N/A</v>
      </c>
    </row>
    <row r="224" spans="35:41" ht="12" customHeight="1">
      <c r="AI224" s="321">
        <v>215</v>
      </c>
      <c r="AJ224" s="321">
        <f t="shared" si="22"/>
        <v>-2.2879999999999985</v>
      </c>
      <c r="AK224" s="321">
        <f t="shared" si="18"/>
        <v>5.0003587146136078E-2</v>
      </c>
      <c r="AL224" s="321">
        <f t="shared" si="19"/>
        <v>1.5928257701444716E-2</v>
      </c>
      <c r="AN224" s="321" t="e">
        <f t="shared" si="20"/>
        <v>#N/A</v>
      </c>
      <c r="AO224" s="321" t="e">
        <f t="shared" si="21"/>
        <v>#N/A</v>
      </c>
    </row>
    <row r="225" spans="35:41" ht="12" customHeight="1">
      <c r="AI225" s="321">
        <v>216</v>
      </c>
      <c r="AJ225" s="321">
        <f t="shared" si="22"/>
        <v>-2.2799999999999985</v>
      </c>
      <c r="AK225" s="321">
        <f t="shared" si="18"/>
        <v>5.0823901493691329E-2</v>
      </c>
      <c r="AL225" s="321">
        <f t="shared" si="19"/>
        <v>1.6254450460600561E-2</v>
      </c>
      <c r="AN225" s="321" t="e">
        <f t="shared" si="20"/>
        <v>#N/A</v>
      </c>
      <c r="AO225" s="321" t="e">
        <f t="shared" si="21"/>
        <v>#N/A</v>
      </c>
    </row>
    <row r="226" spans="35:41" ht="12" customHeight="1">
      <c r="AI226" s="321">
        <v>217</v>
      </c>
      <c r="AJ226" s="321">
        <f t="shared" si="22"/>
        <v>-2.2719999999999985</v>
      </c>
      <c r="AK226" s="321">
        <f t="shared" si="18"/>
        <v>5.1654367203061852E-2</v>
      </c>
      <c r="AL226" s="321">
        <f t="shared" si="19"/>
        <v>1.6586261724972861E-2</v>
      </c>
      <c r="AN226" s="321" t="e">
        <f t="shared" si="20"/>
        <v>#N/A</v>
      </c>
      <c r="AO226" s="321" t="e">
        <f t="shared" si="21"/>
        <v>#N/A</v>
      </c>
    </row>
    <row r="227" spans="35:41" ht="12" customHeight="1">
      <c r="AI227" s="321">
        <v>218</v>
      </c>
      <c r="AJ227" s="321">
        <f t="shared" si="22"/>
        <v>-2.2639999999999985</v>
      </c>
      <c r="AK227" s="321">
        <f t="shared" si="18"/>
        <v>5.2495042983478089E-2</v>
      </c>
      <c r="AL227" s="321">
        <f t="shared" si="19"/>
        <v>1.6923763284307593E-2</v>
      </c>
      <c r="AN227" s="321" t="e">
        <f t="shared" si="20"/>
        <v>#N/A</v>
      </c>
      <c r="AO227" s="321" t="e">
        <f t="shared" si="21"/>
        <v>#N/A</v>
      </c>
    </row>
    <row r="228" spans="35:41" ht="12" customHeight="1">
      <c r="AI228" s="321">
        <v>219</v>
      </c>
      <c r="AJ228" s="321">
        <f t="shared" si="22"/>
        <v>-2.2559999999999985</v>
      </c>
      <c r="AK228" s="321">
        <f t="shared" si="18"/>
        <v>5.3345986525357457E-2</v>
      </c>
      <c r="AL228" s="321">
        <f t="shared" si="19"/>
        <v>1.7267027287876234E-2</v>
      </c>
      <c r="AN228" s="321" t="e">
        <f t="shared" si="20"/>
        <v>#N/A</v>
      </c>
      <c r="AO228" s="321" t="e">
        <f t="shared" si="21"/>
        <v>#N/A</v>
      </c>
    </row>
    <row r="229" spans="35:41" ht="12" customHeight="1">
      <c r="AI229" s="321">
        <v>220</v>
      </c>
      <c r="AJ229" s="321">
        <f t="shared" si="22"/>
        <v>-2.2479999999999984</v>
      </c>
      <c r="AK229" s="321">
        <f t="shared" si="18"/>
        <v>5.4207254468835731E-2</v>
      </c>
      <c r="AL229" s="321">
        <f t="shared" si="19"/>
        <v>1.7616126233134771E-2</v>
      </c>
      <c r="AN229" s="321" t="e">
        <f t="shared" si="20"/>
        <v>#N/A</v>
      </c>
      <c r="AO229" s="321" t="e">
        <f t="shared" si="21"/>
        <v>#N/A</v>
      </c>
    </row>
    <row r="230" spans="35:41" ht="12" customHeight="1">
      <c r="AI230" s="321">
        <v>221</v>
      </c>
      <c r="AJ230" s="321">
        <f t="shared" si="22"/>
        <v>-2.2399999999999984</v>
      </c>
      <c r="AK230" s="321">
        <f t="shared" si="18"/>
        <v>5.5078902372125933E-2</v>
      </c>
      <c r="AL230" s="321">
        <f t="shared" si="19"/>
        <v>1.7971132954039709E-2</v>
      </c>
      <c r="AN230" s="321" t="e">
        <f t="shared" si="20"/>
        <v>#N/A</v>
      </c>
      <c r="AO230" s="321" t="e">
        <f t="shared" si="21"/>
        <v>#N/A</v>
      </c>
    </row>
    <row r="231" spans="35:41" ht="12" customHeight="1">
      <c r="AI231" s="321">
        <v>222</v>
      </c>
      <c r="AJ231" s="321">
        <f t="shared" si="22"/>
        <v>-2.2319999999999984</v>
      </c>
      <c r="AK231" s="321">
        <f t="shared" si="18"/>
        <v>5.5960984679714436E-2</v>
      </c>
      <c r="AL231" s="321">
        <f t="shared" si="19"/>
        <v>1.8332120609018735E-2</v>
      </c>
      <c r="AN231" s="321" t="e">
        <f t="shared" si="20"/>
        <v>#N/A</v>
      </c>
      <c r="AO231" s="321" t="e">
        <f t="shared" si="21"/>
        <v>#N/A</v>
      </c>
    </row>
    <row r="232" spans="35:41" ht="12" customHeight="1">
      <c r="AI232" s="321">
        <v>223</v>
      </c>
      <c r="AJ232" s="321">
        <f t="shared" si="22"/>
        <v>-2.2239999999999984</v>
      </c>
      <c r="AK232" s="321">
        <f t="shared" si="18"/>
        <v>5.6853554690403825E-2</v>
      </c>
      <c r="AL232" s="321">
        <f t="shared" si="19"/>
        <v>1.8699162668593724E-2</v>
      </c>
      <c r="AN232" s="321" t="e">
        <f t="shared" si="20"/>
        <v>#N/A</v>
      </c>
      <c r="AO232" s="321" t="e">
        <f t="shared" si="21"/>
        <v>#N/A</v>
      </c>
    </row>
    <row r="233" spans="35:41" ht="12" customHeight="1">
      <c r="AI233" s="321">
        <v>224</v>
      </c>
      <c r="AJ233" s="321">
        <f t="shared" si="22"/>
        <v>-2.2159999999999984</v>
      </c>
      <c r="AK233" s="321">
        <f t="shared" si="18"/>
        <v>5.7756664525212477E-2</v>
      </c>
      <c r="AL233" s="321">
        <f t="shared" si="19"/>
        <v>1.9072332902653838E-2</v>
      </c>
      <c r="AN233" s="321" t="e">
        <f t="shared" si="20"/>
        <v>#N/A</v>
      </c>
      <c r="AO233" s="321" t="e">
        <f t="shared" si="21"/>
        <v>#N/A</v>
      </c>
    </row>
    <row r="234" spans="35:41" ht="12" customHeight="1">
      <c r="AI234" s="321">
        <v>225</v>
      </c>
      <c r="AJ234" s="321">
        <f t="shared" si="22"/>
        <v>-2.2079999999999984</v>
      </c>
      <c r="AK234" s="321">
        <f t="shared" si="18"/>
        <v>5.8670365095141092E-2</v>
      </c>
      <c r="AL234" s="321">
        <f t="shared" si="19"/>
        <v>1.9451705367376653E-2</v>
      </c>
      <c r="AN234" s="321" t="e">
        <f t="shared" si="20"/>
        <v>#N/A</v>
      </c>
      <c r="AO234" s="321" t="e">
        <f t="shared" si="21"/>
        <v>#N/A</v>
      </c>
    </row>
    <row r="235" spans="35:41" ht="12" customHeight="1">
      <c r="AI235" s="321">
        <v>226</v>
      </c>
      <c r="AJ235" s="321">
        <f t="shared" si="22"/>
        <v>-2.1999999999999984</v>
      </c>
      <c r="AK235" s="321">
        <f t="shared" si="18"/>
        <v>5.9594706068816256E-2</v>
      </c>
      <c r="AL235" s="321">
        <f t="shared" si="19"/>
        <v>1.98373543917954E-2</v>
      </c>
      <c r="AN235" s="321" t="e">
        <f t="shared" si="20"/>
        <v>#N/A</v>
      </c>
      <c r="AO235" s="321" t="e">
        <f t="shared" si="21"/>
        <v>#N/A</v>
      </c>
    </row>
    <row r="236" spans="35:41" ht="12" customHeight="1">
      <c r="AI236" s="321">
        <v>227</v>
      </c>
      <c r="AJ236" s="321">
        <f t="shared" si="22"/>
        <v>-2.1919999999999984</v>
      </c>
      <c r="AK236" s="321">
        <f t="shared" si="18"/>
        <v>6.0529735840021845E-2</v>
      </c>
      <c r="AL236" s="321">
        <f t="shared" si="19"/>
        <v>2.0229354564010281E-2</v>
      </c>
      <c r="AN236" s="321" t="e">
        <f t="shared" si="20"/>
        <v>#N/A</v>
      </c>
      <c r="AO236" s="321" t="e">
        <f t="shared" si="21"/>
        <v>#N/A</v>
      </c>
    </row>
    <row r="237" spans="35:41" ht="12" customHeight="1">
      <c r="AI237" s="321">
        <v>228</v>
      </c>
      <c r="AJ237" s="321">
        <f t="shared" si="22"/>
        <v>-2.1839999999999984</v>
      </c>
      <c r="AK237" s="321">
        <f t="shared" si="18"/>
        <v>6.147550149512912E-2</v>
      </c>
      <c r="AL237" s="321">
        <f t="shared" si="19"/>
        <v>2.0627780717042386E-2</v>
      </c>
      <c r="AN237" s="321" t="e">
        <f t="shared" si="20"/>
        <v>#N/A</v>
      </c>
      <c r="AO237" s="321" t="e">
        <f t="shared" si="21"/>
        <v>#N/A</v>
      </c>
    </row>
    <row r="238" spans="35:41" ht="12" customHeight="1">
      <c r="AI238" s="321">
        <v>229</v>
      </c>
      <c r="AJ238" s="321">
        <f t="shared" si="22"/>
        <v>-2.1759999999999984</v>
      </c>
      <c r="AK238" s="321">
        <f t="shared" si="18"/>
        <v>6.2432048780436074E-2</v>
      </c>
      <c r="AL238" s="321">
        <f t="shared" si="19"/>
        <v>2.1032707914328399E-2</v>
      </c>
      <c r="AN238" s="321" t="e">
        <f t="shared" si="20"/>
        <v>#N/A</v>
      </c>
      <c r="AO238" s="321" t="e">
        <f t="shared" si="21"/>
        <v>#N/A</v>
      </c>
    </row>
    <row r="239" spans="35:41" ht="12" customHeight="1">
      <c r="AI239" s="321">
        <v>230</v>
      </c>
      <c r="AJ239" s="321">
        <f t="shared" si="22"/>
        <v>-2.1679999999999984</v>
      </c>
      <c r="AK239" s="321">
        <f t="shared" si="18"/>
        <v>6.3399422069427919E-2</v>
      </c>
      <c r="AL239" s="321">
        <f t="shared" si="19"/>
        <v>2.1444211434854674E-2</v>
      </c>
      <c r="AN239" s="321" t="e">
        <f t="shared" si="20"/>
        <v>#N/A</v>
      </c>
      <c r="AO239" s="321" t="e">
        <f t="shared" si="21"/>
        <v>#N/A</v>
      </c>
    </row>
    <row r="240" spans="35:41" ht="12" customHeight="1">
      <c r="AI240" s="321">
        <v>231</v>
      </c>
      <c r="AJ240" s="321">
        <f t="shared" si="22"/>
        <v>-2.1599999999999984</v>
      </c>
      <c r="AK240" s="321">
        <f t="shared" si="18"/>
        <v>6.4377664329969539E-2</v>
      </c>
      <c r="AL240" s="321">
        <f t="shared" si="19"/>
        <v>2.186236675792947E-2</v>
      </c>
      <c r="AN240" s="321" t="e">
        <f t="shared" si="20"/>
        <v>#N/A</v>
      </c>
      <c r="AO240" s="321" t="e">
        <f t="shared" si="21"/>
        <v>#N/A</v>
      </c>
    </row>
    <row r="241" spans="35:41" ht="12" customHeight="1">
      <c r="AI241" s="321">
        <v>232</v>
      </c>
      <c r="AJ241" s="321">
        <f t="shared" si="22"/>
        <v>-2.1519999999999984</v>
      </c>
      <c r="AK241" s="321">
        <f t="shared" si="18"/>
        <v>6.5366817091441917E-2</v>
      </c>
      <c r="AL241" s="321">
        <f t="shared" si="19"/>
        <v>2.2287249547591936E-2</v>
      </c>
      <c r="AN241" s="321" t="e">
        <f t="shared" si="20"/>
        <v>#N/A</v>
      </c>
      <c r="AO241" s="321" t="e">
        <f t="shared" si="21"/>
        <v>#N/A</v>
      </c>
    </row>
    <row r="242" spans="35:41" ht="12" customHeight="1">
      <c r="AI242" s="321">
        <v>233</v>
      </c>
      <c r="AJ242" s="321">
        <f t="shared" si="22"/>
        <v>-2.1439999999999984</v>
      </c>
      <c r="AK242" s="321">
        <f t="shared" si="18"/>
        <v>6.6366920411834229E-2</v>
      </c>
      <c r="AL242" s="321">
        <f t="shared" si="19"/>
        <v>2.2718935636656924E-2</v>
      </c>
      <c r="AN242" s="321" t="e">
        <f t="shared" si="20"/>
        <v>#N/A</v>
      </c>
      <c r="AO242" s="321" t="e">
        <f t="shared" si="21"/>
        <v>#N/A</v>
      </c>
    </row>
    <row r="243" spans="35:41" ht="12" customHeight="1">
      <c r="AI243" s="321">
        <v>234</v>
      </c>
      <c r="AJ243" s="321">
        <f t="shared" si="22"/>
        <v>-2.1359999999999983</v>
      </c>
      <c r="AK243" s="321">
        <f t="shared" si="18"/>
        <v>6.7378012844803645E-2</v>
      </c>
      <c r="AL243" s="321">
        <f t="shared" si="19"/>
        <v>2.3157501010394696E-2</v>
      </c>
      <c r="AN243" s="321" t="e">
        <f t="shared" si="20"/>
        <v>#N/A</v>
      </c>
      <c r="AO243" s="321" t="e">
        <f t="shared" si="21"/>
        <v>#N/A</v>
      </c>
    </row>
    <row r="244" spans="35:41" ht="12" customHeight="1">
      <c r="AI244" s="321">
        <v>235</v>
      </c>
      <c r="AJ244" s="321">
        <f t="shared" si="22"/>
        <v>-2.1279999999999983</v>
      </c>
      <c r="AK244" s="321">
        <f t="shared" si="18"/>
        <v>6.8400131406715275E-2</v>
      </c>
      <c r="AL244" s="321">
        <f t="shared" si="19"/>
        <v>2.360302178984474E-2</v>
      </c>
      <c r="AN244" s="321" t="e">
        <f t="shared" si="20"/>
        <v>#N/A</v>
      </c>
      <c r="AO244" s="321" t="e">
        <f t="shared" si="21"/>
        <v>#N/A</v>
      </c>
    </row>
    <row r="245" spans="35:41" ht="12" customHeight="1">
      <c r="AI245" s="321">
        <v>236</v>
      </c>
      <c r="AJ245" s="321">
        <f t="shared" si="22"/>
        <v>-2.1199999999999983</v>
      </c>
      <c r="AK245" s="321">
        <f t="shared" si="18"/>
        <v>6.9433311543674395E-2</v>
      </c>
      <c r="AL245" s="321">
        <f t="shared" si="19"/>
        <v>2.4055574214763065E-2</v>
      </c>
      <c r="AN245" s="321" t="e">
        <f t="shared" si="20"/>
        <v>#N/A</v>
      </c>
      <c r="AO245" s="321" t="e">
        <f t="shared" si="21"/>
        <v>#N/A</v>
      </c>
    </row>
    <row r="246" spans="35:41" ht="12" customHeight="1">
      <c r="AI246" s="321">
        <v>237</v>
      </c>
      <c r="AJ246" s="321">
        <f t="shared" si="22"/>
        <v>-2.1119999999999983</v>
      </c>
      <c r="AK246" s="321">
        <f t="shared" si="18"/>
        <v>7.0477587098563915E-2</v>
      </c>
      <c r="AL246" s="321">
        <f t="shared" si="19"/>
        <v>2.4515234626202538E-2</v>
      </c>
      <c r="AN246" s="321" t="e">
        <f t="shared" si="20"/>
        <v>#N/A</v>
      </c>
      <c r="AO246" s="321" t="e">
        <f t="shared" si="21"/>
        <v>#N/A</v>
      </c>
    </row>
    <row r="247" spans="35:41" ht="12" customHeight="1">
      <c r="AI247" s="321">
        <v>238</v>
      </c>
      <c r="AJ247" s="321">
        <f t="shared" si="22"/>
        <v>-2.1039999999999983</v>
      </c>
      <c r="AK247" s="321">
        <f t="shared" si="18"/>
        <v>7.1532990278099562E-2</v>
      </c>
      <c r="AL247" s="321">
        <f t="shared" si="19"/>
        <v>2.4982079448725894E-2</v>
      </c>
      <c r="AN247" s="321" t="e">
        <f t="shared" si="20"/>
        <v>#N/A</v>
      </c>
      <c r="AO247" s="321" t="e">
        <f t="shared" si="21"/>
        <v>#N/A</v>
      </c>
    </row>
    <row r="248" spans="35:41" ht="12" customHeight="1">
      <c r="AI248" s="321">
        <v>239</v>
      </c>
      <c r="AJ248" s="321">
        <f t="shared" si="22"/>
        <v>-2.0959999999999983</v>
      </c>
      <c r="AK248" s="321">
        <f t="shared" si="18"/>
        <v>7.2599551619916255E-2</v>
      </c>
      <c r="AL248" s="321">
        <f t="shared" si="19"/>
        <v>2.5456185172251431E-2</v>
      </c>
      <c r="AN248" s="321" t="e">
        <f t="shared" si="20"/>
        <v>#N/A</v>
      </c>
      <c r="AO248" s="321" t="e">
        <f t="shared" si="21"/>
        <v>#N/A</v>
      </c>
    </row>
    <row r="249" spans="35:41" ht="12" customHeight="1">
      <c r="AI249" s="321">
        <v>240</v>
      </c>
      <c r="AJ249" s="321">
        <f t="shared" si="22"/>
        <v>-2.0879999999999983</v>
      </c>
      <c r="AK249" s="321">
        <f t="shared" si="18"/>
        <v>7.367729995969842E-2</v>
      </c>
      <c r="AL249" s="321">
        <f t="shared" si="19"/>
        <v>2.5937628333531158E-2</v>
      </c>
      <c r="AN249" s="321" t="e">
        <f t="shared" si="20"/>
        <v>#N/A</v>
      </c>
      <c r="AO249" s="321" t="e">
        <f t="shared" si="21"/>
        <v>#N/A</v>
      </c>
    </row>
    <row r="250" spans="35:41" ht="12" customHeight="1">
      <c r="AI250" s="321">
        <v>241</v>
      </c>
      <c r="AJ250" s="321">
        <f t="shared" si="22"/>
        <v>-2.0799999999999983</v>
      </c>
      <c r="AK250" s="321">
        <f t="shared" si="18"/>
        <v>7.4766262398367839E-2</v>
      </c>
      <c r="AL250" s="321">
        <f t="shared" si="19"/>
        <v>2.6426485497261835E-2</v>
      </c>
      <c r="AN250" s="321" t="e">
        <f t="shared" si="20"/>
        <v>#N/A</v>
      </c>
      <c r="AO250" s="321" t="e">
        <f t="shared" si="21"/>
        <v>#N/A</v>
      </c>
    </row>
    <row r="251" spans="35:41" ht="12" customHeight="1">
      <c r="AI251" s="321">
        <v>242</v>
      </c>
      <c r="AJ251" s="321">
        <f t="shared" si="22"/>
        <v>-2.0719999999999983</v>
      </c>
      <c r="AK251" s="321">
        <f t="shared" si="18"/>
        <v>7.5866464269342682E-2</v>
      </c>
      <c r="AL251" s="321">
        <f t="shared" si="19"/>
        <v>2.6922833236829063E-2</v>
      </c>
      <c r="AN251" s="321" t="e">
        <f t="shared" si="20"/>
        <v>#N/A</v>
      </c>
      <c r="AO251" s="321" t="e">
        <f t="shared" si="21"/>
        <v>#N/A</v>
      </c>
    </row>
    <row r="252" spans="35:41" ht="12" customHeight="1">
      <c r="AI252" s="321">
        <v>243</v>
      </c>
      <c r="AJ252" s="321">
        <f t="shared" si="22"/>
        <v>-2.0639999999999983</v>
      </c>
      <c r="AK252" s="321">
        <f t="shared" si="18"/>
        <v>7.6977929105881152E-2</v>
      </c>
      <c r="AL252" s="321">
        <f t="shared" si="19"/>
        <v>2.7426748114685068E-2</v>
      </c>
      <c r="AN252" s="321" t="e">
        <f t="shared" si="20"/>
        <v>#N/A</v>
      </c>
      <c r="AO252" s="321" t="e">
        <f t="shared" si="21"/>
        <v>#N/A</v>
      </c>
    </row>
    <row r="253" spans="35:41" ht="12" customHeight="1">
      <c r="AI253" s="321">
        <v>244</v>
      </c>
      <c r="AJ253" s="321">
        <f t="shared" si="22"/>
        <v>-2.0559999999999983</v>
      </c>
      <c r="AK253" s="321">
        <f t="shared" si="18"/>
        <v>7.8100678608523863E-2</v>
      </c>
      <c r="AL253" s="321">
        <f t="shared" si="19"/>
        <v>2.7938306662360812E-2</v>
      </c>
      <c r="AN253" s="321" t="e">
        <f t="shared" si="20"/>
        <v>#N/A</v>
      </c>
      <c r="AO253" s="321" t="e">
        <f t="shared" si="21"/>
        <v>#N/A</v>
      </c>
    </row>
    <row r="254" spans="35:41" ht="12" customHeight="1">
      <c r="AI254" s="321">
        <v>245</v>
      </c>
      <c r="AJ254" s="321">
        <f t="shared" si="22"/>
        <v>-2.0479999999999983</v>
      </c>
      <c r="AK254" s="321">
        <f t="shared" si="18"/>
        <v>7.9234732612649073E-2</v>
      </c>
      <c r="AL254" s="321">
        <f t="shared" si="19"/>
        <v>2.845758536011337E-2</v>
      </c>
      <c r="AN254" s="321" t="e">
        <f t="shared" si="20"/>
        <v>#N/A</v>
      </c>
      <c r="AO254" s="321" t="e">
        <f t="shared" si="21"/>
        <v>#N/A</v>
      </c>
    </row>
    <row r="255" spans="35:41" ht="12" customHeight="1">
      <c r="AI255" s="321">
        <v>246</v>
      </c>
      <c r="AJ255" s="321">
        <f t="shared" si="22"/>
        <v>-2.0399999999999983</v>
      </c>
      <c r="AK255" s="321">
        <f t="shared" si="18"/>
        <v>8.0380109056154406E-2</v>
      </c>
      <c r="AL255" s="321">
        <f t="shared" si="19"/>
        <v>2.8984660616209527E-2</v>
      </c>
      <c r="AN255" s="321" t="e">
        <f t="shared" si="20"/>
        <v>#N/A</v>
      </c>
      <c r="AO255" s="321" t="e">
        <f t="shared" si="21"/>
        <v>#N/A</v>
      </c>
    </row>
    <row r="256" spans="35:41" ht="12" customHeight="1">
      <c r="AI256" s="321">
        <v>247</v>
      </c>
      <c r="AJ256" s="321">
        <f t="shared" si="22"/>
        <v>-2.0319999999999983</v>
      </c>
      <c r="AK256" s="321">
        <f t="shared" si="18"/>
        <v>8.1536823947280387E-2</v>
      </c>
      <c r="AL256" s="321">
        <f t="shared" si="19"/>
        <v>2.9519608745847033E-2</v>
      </c>
      <c r="AN256" s="321" t="e">
        <f t="shared" si="20"/>
        <v>#N/A</v>
      </c>
      <c r="AO256" s="321" t="e">
        <f t="shared" si="21"/>
        <v>#N/A</v>
      </c>
    </row>
    <row r="257" spans="35:41" ht="12" customHeight="1">
      <c r="AI257" s="321">
        <v>248</v>
      </c>
      <c r="AJ257" s="321">
        <f t="shared" si="22"/>
        <v>-2.0239999999999982</v>
      </c>
      <c r="AK257" s="321">
        <f t="shared" si="18"/>
        <v>8.2704891332589292E-2</v>
      </c>
      <c r="AL257" s="321">
        <f t="shared" si="19"/>
        <v>3.0062505949714702E-2</v>
      </c>
      <c r="AN257" s="321" t="e">
        <f t="shared" si="20"/>
        <v>#N/A</v>
      </c>
      <c r="AO257" s="321" t="e">
        <f t="shared" si="21"/>
        <v>#N/A</v>
      </c>
    </row>
    <row r="258" spans="35:41" ht="12" customHeight="1">
      <c r="AI258" s="321">
        <v>249</v>
      </c>
      <c r="AJ258" s="321">
        <f t="shared" si="22"/>
        <v>-2.0159999999999982</v>
      </c>
      <c r="AK258" s="321">
        <f t="shared" si="18"/>
        <v>8.3884323265114635E-2</v>
      </c>
      <c r="AL258" s="321">
        <f t="shared" si="19"/>
        <v>3.0613428292193167E-2</v>
      </c>
      <c r="AN258" s="321" t="e">
        <f t="shared" si="20"/>
        <v>#N/A</v>
      </c>
      <c r="AO258" s="321" t="e">
        <f t="shared" si="21"/>
        <v>#N/A</v>
      </c>
    </row>
    <row r="259" spans="35:41" ht="12" customHeight="1">
      <c r="AI259" s="321">
        <v>250</v>
      </c>
      <c r="AJ259" s="321">
        <f t="shared" si="22"/>
        <v>-2.0079999999999982</v>
      </c>
      <c r="AK259" s="321">
        <f t="shared" si="18"/>
        <v>8.5075129772695587E-2</v>
      </c>
      <c r="AL259" s="321">
        <f t="shared" si="19"/>
        <v>3.117245167919807E-2</v>
      </c>
      <c r="AN259" s="321" t="e">
        <f t="shared" si="20"/>
        <v>#N/A</v>
      </c>
      <c r="AO259" s="321" t="e">
        <f t="shared" si="21"/>
        <v>#N/A</v>
      </c>
    </row>
    <row r="260" spans="35:41" ht="12" customHeight="1">
      <c r="AI260" s="321">
        <v>251</v>
      </c>
      <c r="AJ260" s="321">
        <f t="shared" si="22"/>
        <v>-1.9999999999999982</v>
      </c>
      <c r="AK260" s="321">
        <f t="shared" si="18"/>
        <v>8.6277318826511781E-2</v>
      </c>
      <c r="AL260" s="321">
        <f t="shared" si="19"/>
        <v>3.1739651835667543E-2</v>
      </c>
      <c r="AN260" s="321" t="e">
        <f t="shared" si="20"/>
        <v>#N/A</v>
      </c>
      <c r="AO260" s="321" t="e">
        <f t="shared" si="21"/>
        <v>#N/A</v>
      </c>
    </row>
    <row r="261" spans="35:41" ht="12" customHeight="1">
      <c r="AI261" s="321">
        <v>252</v>
      </c>
      <c r="AJ261" s="321">
        <f t="shared" si="22"/>
        <v>-1.9919999999999982</v>
      </c>
      <c r="AK261" s="321">
        <f t="shared" si="18"/>
        <v>8.7490896309832838E-2</v>
      </c>
      <c r="AL261" s="321">
        <f t="shared" si="19"/>
        <v>3.2315104282696495E-2</v>
      </c>
      <c r="AN261" s="321" t="e">
        <f t="shared" si="20"/>
        <v>#N/A</v>
      </c>
      <c r="AO261" s="321" t="e">
        <f t="shared" si="21"/>
        <v>#N/A</v>
      </c>
    </row>
    <row r="262" spans="35:41" ht="12" customHeight="1">
      <c r="AI262" s="321">
        <v>253</v>
      </c>
      <c r="AJ262" s="321">
        <f t="shared" si="22"/>
        <v>-1.9839999999999982</v>
      </c>
      <c r="AK262" s="321">
        <f t="shared" si="18"/>
        <v>8.8715865986998349E-2</v>
      </c>
      <c r="AL262" s="321">
        <f t="shared" si="19"/>
        <v>3.289888431431974E-2</v>
      </c>
      <c r="AN262" s="321" t="e">
        <f t="shared" si="20"/>
        <v>#N/A</v>
      </c>
      <c r="AO262" s="321" t="e">
        <f t="shared" si="21"/>
        <v>#N/A</v>
      </c>
    </row>
    <row r="263" spans="35:41" ht="12" customHeight="1">
      <c r="AI263" s="321">
        <v>254</v>
      </c>
      <c r="AJ263" s="321">
        <f t="shared" si="22"/>
        <v>-1.9759999999999982</v>
      </c>
      <c r="AK263" s="321">
        <f t="shared" si="18"/>
        <v>8.9952229472643266E-2</v>
      </c>
      <c r="AL263" s="321">
        <f t="shared" si="19"/>
        <v>3.3491066973946937E-2</v>
      </c>
      <c r="AN263" s="321" t="e">
        <f t="shared" si="20"/>
        <v>#N/A</v>
      </c>
      <c r="AO263" s="321" t="e">
        <f t="shared" si="21"/>
        <v>#N/A</v>
      </c>
    </row>
    <row r="264" spans="35:41" ht="12" customHeight="1">
      <c r="AI264" s="321">
        <v>255</v>
      </c>
      <c r="AJ264" s="321">
        <f t="shared" si="22"/>
        <v>-1.9679999999999982</v>
      </c>
      <c r="AK264" s="321">
        <f t="shared" si="18"/>
        <v>9.1199986201184011E-2</v>
      </c>
      <c r="AL264" s="321">
        <f t="shared" si="19"/>
        <v>3.4091727030451803E-2</v>
      </c>
      <c r="AN264" s="321" t="e">
        <f t="shared" si="20"/>
        <v>#N/A</v>
      </c>
      <c r="AO264" s="321" t="e">
        <f t="shared" si="21"/>
        <v>#N/A</v>
      </c>
    </row>
    <row r="265" spans="35:41" ht="12" customHeight="1">
      <c r="AI265" s="321">
        <v>256</v>
      </c>
      <c r="AJ265" s="321">
        <f t="shared" si="22"/>
        <v>-1.9599999999999982</v>
      </c>
      <c r="AK265" s="321">
        <f t="shared" si="18"/>
        <v>9.2459133396580934E-2</v>
      </c>
      <c r="AL265" s="321">
        <f t="shared" si="19"/>
        <v>3.4700938953918951E-2</v>
      </c>
      <c r="AN265" s="321" t="e">
        <f t="shared" si="20"/>
        <v>#N/A</v>
      </c>
      <c r="AO265" s="321" t="e">
        <f t="shared" si="21"/>
        <v>#N/A</v>
      </c>
    </row>
    <row r="266" spans="35:41" ht="12" customHeight="1">
      <c r="AI266" s="321">
        <v>257</v>
      </c>
      <c r="AJ266" s="321">
        <f t="shared" si="22"/>
        <v>-1.9519999999999982</v>
      </c>
      <c r="AK266" s="321">
        <f t="shared" ref="AK266:AK329" si="23">NORMDIST(AJ266,$AH$26,$AH$28,FALSE)</f>
        <v>9.3729666042392648E-2</v>
      </c>
      <c r="AL266" s="321">
        <f t="shared" ref="AL266:AL329" si="24">NORMDIST(AJ266,$AH$27,$AH$28,FALSE)</f>
        <v>3.5318776891051382E-2</v>
      </c>
      <c r="AN266" s="321" t="e">
        <f t="shared" ref="AN266:AN329" si="25">IF(AND($AJ$7,$AH$27&gt;AJ266),AK266,NA())</f>
        <v>#N/A</v>
      </c>
      <c r="AO266" s="321" t="e">
        <f t="shared" ref="AO266:AO329" si="26">IF(AND($AJ$6,$AH$26&lt;AJ266+(drend-dlend)/$AO$6),AL266,NA())</f>
        <v>#N/A</v>
      </c>
    </row>
    <row r="267" spans="35:41" ht="12" customHeight="1">
      <c r="AI267" s="321">
        <v>258</v>
      </c>
      <c r="AJ267" s="321">
        <f t="shared" ref="AJ267:AJ330" si="27">AJ266+$AL$7</f>
        <v>-1.9439999999999982</v>
      </c>
      <c r="AK267" s="321">
        <f t="shared" si="23"/>
        <v>9.5011576852137597E-2</v>
      </c>
      <c r="AL267" s="321">
        <f t="shared" si="24"/>
        <v>3.5945314640242094E-2</v>
      </c>
      <c r="AN267" s="321" t="e">
        <f t="shared" si="25"/>
        <v>#N/A</v>
      </c>
      <c r="AO267" s="321" t="e">
        <f t="shared" si="26"/>
        <v>#N/A</v>
      </c>
    </row>
    <row r="268" spans="35:41" ht="12" customHeight="1">
      <c r="AI268" s="321">
        <v>259</v>
      </c>
      <c r="AJ268" s="321">
        <f t="shared" si="27"/>
        <v>-1.9359999999999982</v>
      </c>
      <c r="AK268" s="321">
        <f t="shared" si="23"/>
        <v>9.6304856239978934E-2</v>
      </c>
      <c r="AL268" s="321">
        <f t="shared" si="24"/>
        <v>3.6580625626313465E-2</v>
      </c>
      <c r="AN268" s="321" t="e">
        <f t="shared" si="25"/>
        <v>#N/A</v>
      </c>
      <c r="AO268" s="321" t="e">
        <f t="shared" si="26"/>
        <v>#N/A</v>
      </c>
    </row>
    <row r="269" spans="35:41" ht="12" customHeight="1">
      <c r="AI269" s="321">
        <v>260</v>
      </c>
      <c r="AJ269" s="321">
        <f t="shared" si="27"/>
        <v>-1.9279999999999982</v>
      </c>
      <c r="AK269" s="321">
        <f t="shared" si="23"/>
        <v>9.7609492291748243E-2</v>
      </c>
      <c r="AL269" s="321">
        <f t="shared" si="24"/>
        <v>3.7224782874928523E-2</v>
      </c>
      <c r="AN269" s="321" t="e">
        <f t="shared" si="25"/>
        <v>#N/A</v>
      </c>
      <c r="AO269" s="321" t="e">
        <f t="shared" si="26"/>
        <v>#N/A</v>
      </c>
    </row>
    <row r="270" spans="35:41" ht="12" customHeight="1">
      <c r="AI270" s="321">
        <v>261</v>
      </c>
      <c r="AJ270" s="321">
        <f t="shared" si="27"/>
        <v>-1.9199999999999982</v>
      </c>
      <c r="AK270" s="321">
        <f t="shared" si="23"/>
        <v>9.8925470736324017E-2</v>
      </c>
      <c r="AL270" s="321">
        <f t="shared" si="24"/>
        <v>3.7877858986677629E-2</v>
      </c>
      <c r="AN270" s="321" t="e">
        <f t="shared" si="25"/>
        <v>#N/A</v>
      </c>
      <c r="AO270" s="321" t="e">
        <f t="shared" si="26"/>
        <v>#N/A</v>
      </c>
    </row>
    <row r="271" spans="35:41" ht="12" customHeight="1">
      <c r="AI271" s="321">
        <v>262</v>
      </c>
      <c r="AJ271" s="321">
        <f t="shared" si="27"/>
        <v>-1.9119999999999981</v>
      </c>
      <c r="AK271" s="321">
        <f t="shared" si="23"/>
        <v>0.10025277491738069</v>
      </c>
      <c r="AL271" s="321">
        <f t="shared" si="24"/>
        <v>3.8539926110845529E-2</v>
      </c>
      <c r="AN271" s="321" t="e">
        <f t="shared" si="25"/>
        <v>#N/A</v>
      </c>
      <c r="AO271" s="321" t="e">
        <f t="shared" si="26"/>
        <v>#N/A</v>
      </c>
    </row>
    <row r="272" spans="35:41" ht="12" customHeight="1">
      <c r="AI272" s="321">
        <v>263</v>
      </c>
      <c r="AJ272" s="321">
        <f t="shared" si="27"/>
        <v>-1.9039999999999981</v>
      </c>
      <c r="AK272" s="321">
        <f t="shared" si="23"/>
        <v>0.10159138576552441</v>
      </c>
      <c r="AL272" s="321">
        <f t="shared" si="24"/>
        <v>3.9211055918862876E-2</v>
      </c>
      <c r="AN272" s="321" t="e">
        <f t="shared" si="25"/>
        <v>#N/A</v>
      </c>
      <c r="AO272" s="321" t="e">
        <f t="shared" si="26"/>
        <v>#N/A</v>
      </c>
    </row>
    <row r="273" spans="35:41" ht="12" customHeight="1">
      <c r="AI273" s="321">
        <v>264</v>
      </c>
      <c r="AJ273" s="321">
        <f t="shared" si="27"/>
        <v>-1.8959999999999981</v>
      </c>
      <c r="AK273" s="321">
        <f t="shared" si="23"/>
        <v>0.10294128177083128</v>
      </c>
      <c r="AL273" s="321">
        <f t="shared" si="24"/>
        <v>3.9891319577447099E-2</v>
      </c>
      <c r="AN273" s="321" t="e">
        <f t="shared" si="25"/>
        <v>#N/A</v>
      </c>
      <c r="AO273" s="321" t="e">
        <f t="shared" si="26"/>
        <v>#N/A</v>
      </c>
    </row>
    <row r="274" spans="35:41" ht="12" customHeight="1">
      <c r="AI274" s="321">
        <v>265</v>
      </c>
      <c r="AJ274" s="321">
        <f t="shared" si="27"/>
        <v>-1.8879999999999981</v>
      </c>
      <c r="AK274" s="321">
        <f t="shared" si="23"/>
        <v>0.1043024389558041</v>
      </c>
      <c r="AL274" s="321">
        <f t="shared" si="24"/>
        <v>4.0580787721437625E-2</v>
      </c>
      <c r="AN274" s="321" t="e">
        <f t="shared" si="25"/>
        <v>#N/A</v>
      </c>
      <c r="AO274" s="321" t="e">
        <f t="shared" si="26"/>
        <v>#N/A</v>
      </c>
    </row>
    <row r="275" spans="35:41" ht="12" customHeight="1">
      <c r="AI275" s="321">
        <v>266</v>
      </c>
      <c r="AJ275" s="321">
        <f t="shared" si="27"/>
        <v>-1.8799999999999981</v>
      </c>
      <c r="AK275" s="321">
        <f t="shared" si="23"/>
        <v>0.10567483084876392</v>
      </c>
      <c r="AL275" s="321">
        <f t="shared" si="24"/>
        <v>4.1279530426330556E-2</v>
      </c>
      <c r="AN275" s="321" t="e">
        <f t="shared" si="25"/>
        <v>#N/A</v>
      </c>
      <c r="AO275" s="321" t="e">
        <f t="shared" si="26"/>
        <v>#N/A</v>
      </c>
    </row>
    <row r="276" spans="35:41" ht="12" customHeight="1">
      <c r="AI276" s="321">
        <v>267</v>
      </c>
      <c r="AJ276" s="321">
        <f t="shared" si="27"/>
        <v>-1.8719999999999981</v>
      </c>
      <c r="AK276" s="321">
        <f t="shared" si="23"/>
        <v>0.10705842845769208</v>
      </c>
      <c r="AL276" s="321">
        <f t="shared" si="24"/>
        <v>4.1987617180518425E-2</v>
      </c>
      <c r="AN276" s="321" t="e">
        <f t="shared" si="25"/>
        <v>#N/A</v>
      </c>
      <c r="AO276" s="321" t="e">
        <f t="shared" si="26"/>
        <v>#N/A</v>
      </c>
    </row>
    <row r="277" spans="35:41" ht="12" customHeight="1">
      <c r="AI277" s="321">
        <v>268</v>
      </c>
      <c r="AJ277" s="321">
        <f t="shared" si="27"/>
        <v>-1.8639999999999981</v>
      </c>
      <c r="AK277" s="321">
        <f t="shared" si="23"/>
        <v>0.1084532002445391</v>
      </c>
      <c r="AL277" s="321">
        <f t="shared" si="24"/>
        <v>4.2705116857240356E-2</v>
      </c>
      <c r="AN277" s="321" t="e">
        <f t="shared" si="25"/>
        <v>#N/A</v>
      </c>
      <c r="AO277" s="321" t="e">
        <f t="shared" si="26"/>
        <v>#N/A</v>
      </c>
    </row>
    <row r="278" spans="35:41" ht="12" customHeight="1">
      <c r="AI278" s="321">
        <v>269</v>
      </c>
      <c r="AJ278" s="321">
        <f t="shared" si="27"/>
        <v>-1.8559999999999981</v>
      </c>
      <c r="AK278" s="321">
        <f t="shared" si="23"/>
        <v>0.10985911210001648</v>
      </c>
      <c r="AL278" s="321">
        <f t="shared" si="24"/>
        <v>4.3432097686248852E-2</v>
      </c>
      <c r="AN278" s="321" t="e">
        <f t="shared" si="25"/>
        <v>#N/A</v>
      </c>
      <c r="AO278" s="321" t="e">
        <f t="shared" si="26"/>
        <v>#N/A</v>
      </c>
    </row>
    <row r="279" spans="35:41" ht="12" customHeight="1">
      <c r="AI279" s="321">
        <v>270</v>
      </c>
      <c r="AJ279" s="321">
        <f t="shared" si="27"/>
        <v>-1.8479999999999981</v>
      </c>
      <c r="AK279" s="321">
        <f t="shared" si="23"/>
        <v>0.1112761273188871</v>
      </c>
      <c r="AL279" s="321">
        <f t="shared" si="24"/>
        <v>4.4168627225199111E-2</v>
      </c>
      <c r="AN279" s="321" t="e">
        <f t="shared" si="25"/>
        <v>#N/A</v>
      </c>
      <c r="AO279" s="321" t="e">
        <f t="shared" si="26"/>
        <v>#N/A</v>
      </c>
    </row>
    <row r="280" spans="35:41" ht="12" customHeight="1">
      <c r="AI280" s="321">
        <v>271</v>
      </c>
      <c r="AJ280" s="321">
        <f t="shared" si="27"/>
        <v>-1.8399999999999981</v>
      </c>
      <c r="AK280" s="321">
        <f t="shared" si="23"/>
        <v>0.11270420657577089</v>
      </c>
      <c r="AL280" s="321">
        <f t="shared" si="24"/>
        <v>4.4914772330767253E-2</v>
      </c>
      <c r="AN280" s="321" t="e">
        <f t="shared" si="25"/>
        <v>#N/A</v>
      </c>
      <c r="AO280" s="321" t="e">
        <f t="shared" si="26"/>
        <v>#N/A</v>
      </c>
    </row>
    <row r="281" spans="35:41" ht="12" customHeight="1">
      <c r="AI281" s="321">
        <v>272</v>
      </c>
      <c r="AJ281" s="321">
        <f t="shared" si="27"/>
        <v>-1.8319999999999981</v>
      </c>
      <c r="AK281" s="321">
        <f t="shared" si="23"/>
        <v>0.11414330790148119</v>
      </c>
      <c r="AL281" s="321">
        <f t="shared" si="24"/>
        <v>4.5670599129504073E-2</v>
      </c>
      <c r="AN281" s="321" t="e">
        <f t="shared" si="25"/>
        <v>#N/A</v>
      </c>
      <c r="AO281" s="321" t="e">
        <f t="shared" si="26"/>
        <v>#N/A</v>
      </c>
    </row>
    <row r="282" spans="35:41" ht="12" customHeight="1">
      <c r="AI282" s="321">
        <v>273</v>
      </c>
      <c r="AJ282" s="321">
        <f t="shared" si="27"/>
        <v>-1.8239999999999981</v>
      </c>
      <c r="AK282" s="321">
        <f t="shared" si="23"/>
        <v>0.1155933866599083</v>
      </c>
      <c r="AL282" s="321">
        <f t="shared" si="24"/>
        <v>4.6436172988430974E-2</v>
      </c>
      <c r="AN282" s="321" t="e">
        <f t="shared" si="25"/>
        <v>#N/A</v>
      </c>
      <c r="AO282" s="321" t="e">
        <f t="shared" si="26"/>
        <v>#N/A</v>
      </c>
    </row>
    <row r="283" spans="35:41" ht="12" customHeight="1">
      <c r="AI283" s="321">
        <v>274</v>
      </c>
      <c r="AJ283" s="321">
        <f t="shared" si="27"/>
        <v>-1.8159999999999981</v>
      </c>
      <c r="AK283" s="321">
        <f t="shared" si="23"/>
        <v>0.11705439552546561</v>
      </c>
      <c r="AL283" s="321">
        <f t="shared" si="24"/>
        <v>4.7211558485385482E-2</v>
      </c>
      <c r="AN283" s="321" t="e">
        <f t="shared" si="25"/>
        <v>#N/A</v>
      </c>
      <c r="AO283" s="321" t="e">
        <f t="shared" si="26"/>
        <v>#N/A</v>
      </c>
    </row>
    <row r="284" spans="35:41" ht="12" customHeight="1">
      <c r="AI284" s="321">
        <v>275</v>
      </c>
      <c r="AJ284" s="321">
        <f t="shared" si="27"/>
        <v>-1.8079999999999981</v>
      </c>
      <c r="AK284" s="321">
        <f t="shared" si="23"/>
        <v>0.11852628446111485</v>
      </c>
      <c r="AL284" s="321">
        <f t="shared" si="24"/>
        <v>4.7996819379123007E-2</v>
      </c>
      <c r="AN284" s="321" t="e">
        <f t="shared" si="25"/>
        <v>#N/A</v>
      </c>
      <c r="AO284" s="321" t="e">
        <f t="shared" si="26"/>
        <v>#N/A</v>
      </c>
    </row>
    <row r="285" spans="35:41" ht="12" customHeight="1">
      <c r="AI285" s="321">
        <v>276</v>
      </c>
      <c r="AJ285" s="321">
        <f t="shared" si="27"/>
        <v>-1.799999999999998</v>
      </c>
      <c r="AK285" s="321">
        <f t="shared" si="23"/>
        <v>0.12000900069698595</v>
      </c>
      <c r="AL285" s="321">
        <f t="shared" si="24"/>
        <v>4.8792018579182951E-2</v>
      </c>
      <c r="AN285" s="321" t="e">
        <f t="shared" si="25"/>
        <v>#N/A</v>
      </c>
      <c r="AO285" s="321" t="e">
        <f t="shared" si="26"/>
        <v>#N/A</v>
      </c>
    </row>
    <row r="286" spans="35:41" ht="12" customHeight="1">
      <c r="AI286" s="321">
        <v>277</v>
      </c>
      <c r="AJ286" s="321">
        <f t="shared" si="27"/>
        <v>-1.791999999999998</v>
      </c>
      <c r="AK286" s="321">
        <f t="shared" si="23"/>
        <v>0.12150248870960702</v>
      </c>
      <c r="AL286" s="321">
        <f t="shared" si="24"/>
        <v>4.9597218115526524E-2</v>
      </c>
      <c r="AN286" s="321" t="e">
        <f t="shared" si="25"/>
        <v>#N/A</v>
      </c>
      <c r="AO286" s="321" t="e">
        <f t="shared" si="26"/>
        <v>#N/A</v>
      </c>
    </row>
    <row r="287" spans="35:41" ht="12" customHeight="1">
      <c r="AI287" s="321">
        <v>278</v>
      </c>
      <c r="AJ287" s="321">
        <f t="shared" si="27"/>
        <v>-1.783999999999998</v>
      </c>
      <c r="AK287" s="321">
        <f t="shared" si="23"/>
        <v>0.12300669020176086</v>
      </c>
      <c r="AL287" s="321">
        <f t="shared" si="24"/>
        <v>5.0412479107954329E-2</v>
      </c>
      <c r="AN287" s="321" t="e">
        <f t="shared" si="25"/>
        <v>#N/A</v>
      </c>
      <c r="AO287" s="321" t="e">
        <f t="shared" si="26"/>
        <v>#N/A</v>
      </c>
    </row>
    <row r="288" spans="35:41" ht="12" customHeight="1">
      <c r="AI288" s="321">
        <v>279</v>
      </c>
      <c r="AJ288" s="321">
        <f t="shared" si="27"/>
        <v>-1.775999999999998</v>
      </c>
      <c r="AK288" s="321">
        <f t="shared" si="23"/>
        <v>0.12452154408298298</v>
      </c>
      <c r="AL288" s="321">
        <f t="shared" si="24"/>
        <v>5.1237861735311967E-2</v>
      </c>
      <c r="AN288" s="321" t="e">
        <f t="shared" si="25"/>
        <v>#N/A</v>
      </c>
      <c r="AO288" s="321" t="e">
        <f t="shared" si="26"/>
        <v>#N/A</v>
      </c>
    </row>
    <row r="289" spans="35:41" ht="12" customHeight="1">
      <c r="AI289" s="321">
        <v>280</v>
      </c>
      <c r="AJ289" s="321">
        <f t="shared" si="27"/>
        <v>-1.767999999999998</v>
      </c>
      <c r="AK289" s="321">
        <f t="shared" si="23"/>
        <v>0.12604698645071691</v>
      </c>
      <c r="AL289" s="321">
        <f t="shared" si="24"/>
        <v>5.2073425204491881E-2</v>
      </c>
      <c r="AN289" s="321" t="e">
        <f t="shared" si="25"/>
        <v>#N/A</v>
      </c>
      <c r="AO289" s="321" t="e">
        <f t="shared" si="26"/>
        <v>#N/A</v>
      </c>
    </row>
    <row r="290" spans="35:41" ht="12" customHeight="1">
      <c r="AI290" s="321">
        <v>281</v>
      </c>
      <c r="AJ290" s="321">
        <f t="shared" si="27"/>
        <v>-1.759999999999998</v>
      </c>
      <c r="AK290" s="321">
        <f t="shared" si="23"/>
        <v>0.12758295057214225</v>
      </c>
      <c r="AL290" s="321">
        <f t="shared" si="24"/>
        <v>5.2919227719240493E-2</v>
      </c>
      <c r="AN290" s="321" t="e">
        <f t="shared" si="25"/>
        <v>#N/A</v>
      </c>
      <c r="AO290" s="321" t="e">
        <f t="shared" si="26"/>
        <v>#N/A</v>
      </c>
    </row>
    <row r="291" spans="35:41" ht="12" customHeight="1">
      <c r="AI291" s="321">
        <v>282</v>
      </c>
      <c r="AJ291" s="321">
        <f t="shared" si="27"/>
        <v>-1.751999999999998</v>
      </c>
      <c r="AK291" s="321">
        <f t="shared" si="23"/>
        <v>0.1291293668666906</v>
      </c>
      <c r="AL291" s="321">
        <f t="shared" si="24"/>
        <v>5.3775326448778978E-2</v>
      </c>
      <c r="AN291" s="321" t="e">
        <f t="shared" si="25"/>
        <v>#N/A</v>
      </c>
      <c r="AO291" s="321" t="e">
        <f t="shared" si="26"/>
        <v>#N/A</v>
      </c>
    </row>
    <row r="292" spans="35:41" ht="12" customHeight="1">
      <c r="AI292" s="321">
        <v>283</v>
      </c>
      <c r="AJ292" s="321">
        <f t="shared" si="27"/>
        <v>-1.743999999999998</v>
      </c>
      <c r="AK292" s="321">
        <f t="shared" si="23"/>
        <v>0.13068616288926488</v>
      </c>
      <c r="AL292" s="321">
        <f t="shared" si="24"/>
        <v>5.4641777496247247E-2</v>
      </c>
      <c r="AN292" s="321" t="e">
        <f t="shared" si="25"/>
        <v>#N/A</v>
      </c>
      <c r="AO292" s="321" t="e">
        <f t="shared" si="26"/>
        <v>#N/A</v>
      </c>
    </row>
    <row r="293" spans="35:41" ht="12" customHeight="1">
      <c r="AI293" s="321">
        <v>284</v>
      </c>
      <c r="AJ293" s="321">
        <f t="shared" si="27"/>
        <v>-1.735999999999998</v>
      </c>
      <c r="AK293" s="321">
        <f t="shared" si="23"/>
        <v>0.13225326331417653</v>
      </c>
      <c r="AL293" s="321">
        <f t="shared" si="24"/>
        <v>5.5518635866980331E-2</v>
      </c>
      <c r="AN293" s="321" t="e">
        <f t="shared" si="25"/>
        <v>#N/A</v>
      </c>
      <c r="AO293" s="321" t="e">
        <f t="shared" si="26"/>
        <v>#N/A</v>
      </c>
    </row>
    <row r="294" spans="35:41" ht="12" customHeight="1">
      <c r="AI294" s="321">
        <v>285</v>
      </c>
      <c r="AJ294" s="321">
        <f t="shared" si="27"/>
        <v>-1.727999999999998</v>
      </c>
      <c r="AK294" s="321">
        <f t="shared" si="23"/>
        <v>0.13383058991981608</v>
      </c>
      <c r="AL294" s="321">
        <f t="shared" si="24"/>
        <v>5.6405955436626486E-2</v>
      </c>
      <c r="AN294" s="321" t="e">
        <f t="shared" si="25"/>
        <v>#N/A</v>
      </c>
      <c r="AO294" s="321" t="e">
        <f t="shared" si="26"/>
        <v>#N/A</v>
      </c>
    </row>
    <row r="295" spans="35:41" ht="12" customHeight="1">
      <c r="AI295" s="321">
        <v>286</v>
      </c>
      <c r="AJ295" s="321">
        <f t="shared" si="27"/>
        <v>-1.719999999999998</v>
      </c>
      <c r="AK295" s="321">
        <f t="shared" si="23"/>
        <v>0.13541806157407166</v>
      </c>
      <c r="AL295" s="321">
        <f t="shared" si="24"/>
        <v>5.7303788919117353E-2</v>
      </c>
      <c r="AN295" s="321" t="e">
        <f t="shared" si="25"/>
        <v>#N/A</v>
      </c>
      <c r="AO295" s="321" t="e">
        <f t="shared" si="26"/>
        <v>#N/A</v>
      </c>
    </row>
    <row r="296" spans="35:41" ht="12" customHeight="1">
      <c r="AI296" s="321">
        <v>287</v>
      </c>
      <c r="AJ296" s="321">
        <f t="shared" si="27"/>
        <v>-1.711999999999998</v>
      </c>
      <c r="AK296" s="321">
        <f t="shared" si="23"/>
        <v>0.13701559422050974</v>
      </c>
      <c r="AL296" s="321">
        <f t="shared" si="24"/>
        <v>5.8212187834499572E-2</v>
      </c>
      <c r="AN296" s="321" t="e">
        <f t="shared" si="25"/>
        <v>#N/A</v>
      </c>
      <c r="AO296" s="321" t="e">
        <f t="shared" si="26"/>
        <v>#N/A</v>
      </c>
    </row>
    <row r="297" spans="35:41" ht="12" customHeight="1">
      <c r="AI297" s="321">
        <v>288</v>
      </c>
      <c r="AJ297" s="321">
        <f t="shared" si="27"/>
        <v>-1.703999999999998</v>
      </c>
      <c r="AK297" s="321">
        <f t="shared" si="23"/>
        <v>0.13862310086533303</v>
      </c>
      <c r="AL297" s="321">
        <f t="shared" si="24"/>
        <v>5.9131202476638577E-2</v>
      </c>
      <c r="AN297" s="321" t="e">
        <f t="shared" si="25"/>
        <v>#N/A</v>
      </c>
      <c r="AO297" s="321" t="e">
        <f t="shared" si="26"/>
        <v>#N/A</v>
      </c>
    </row>
    <row r="298" spans="35:41" ht="12" customHeight="1">
      <c r="AI298" s="321">
        <v>289</v>
      </c>
      <c r="AJ298" s="321">
        <f t="shared" si="27"/>
        <v>-1.695999999999998</v>
      </c>
      <c r="AK298" s="321">
        <f t="shared" si="23"/>
        <v>0.1402404915651293</v>
      </c>
      <c r="AL298" s="321">
        <f t="shared" si="24"/>
        <v>6.0060881880804787E-2</v>
      </c>
      <c r="AN298" s="321" t="e">
        <f t="shared" si="25"/>
        <v>#N/A</v>
      </c>
      <c r="AO298" s="321" t="e">
        <f t="shared" si="26"/>
        <v>#N/A</v>
      </c>
    </row>
    <row r="299" spans="35:41" ht="12" customHeight="1">
      <c r="AI299" s="321">
        <v>290</v>
      </c>
      <c r="AJ299" s="321">
        <f t="shared" si="27"/>
        <v>-1.6879999999999979</v>
      </c>
      <c r="AK299" s="321">
        <f t="shared" si="23"/>
        <v>0.14186767341542592</v>
      </c>
      <c r="AL299" s="321">
        <f t="shared" si="24"/>
        <v>6.1001273791152923E-2</v>
      </c>
      <c r="AN299" s="321" t="e">
        <f t="shared" si="25"/>
        <v>#N/A</v>
      </c>
      <c r="AO299" s="321" t="e">
        <f t="shared" si="26"/>
        <v>#N/A</v>
      </c>
    </row>
    <row r="300" spans="35:41" ht="12" customHeight="1">
      <c r="AI300" s="321">
        <v>291</v>
      </c>
      <c r="AJ300" s="321">
        <f t="shared" si="27"/>
        <v>-1.6799999999999979</v>
      </c>
      <c r="AK300" s="321">
        <f t="shared" si="23"/>
        <v>0.14350455054006281</v>
      </c>
      <c r="AL300" s="321">
        <f t="shared" si="24"/>
        <v>6.1952424628105407E-2</v>
      </c>
      <c r="AN300" s="321" t="e">
        <f t="shared" si="25"/>
        <v>#N/A</v>
      </c>
      <c r="AO300" s="321" t="e">
        <f t="shared" si="26"/>
        <v>#N/A</v>
      </c>
    </row>
    <row r="301" spans="35:41" ht="12" customHeight="1">
      <c r="AI301" s="321">
        <v>292</v>
      </c>
      <c r="AJ301" s="321">
        <f t="shared" si="27"/>
        <v>-1.6719999999999979</v>
      </c>
      <c r="AK301" s="321">
        <f t="shared" si="23"/>
        <v>0.14515102408139871</v>
      </c>
      <c r="AL301" s="321">
        <f t="shared" si="24"/>
        <v>6.2914379455650773E-2</v>
      </c>
      <c r="AN301" s="321" t="e">
        <f t="shared" si="25"/>
        <v>#N/A</v>
      </c>
      <c r="AO301" s="321" t="e">
        <f t="shared" si="26"/>
        <v>#N/A</v>
      </c>
    </row>
    <row r="302" spans="35:41" ht="12" customHeight="1">
      <c r="AI302" s="321">
        <v>293</v>
      </c>
      <c r="AJ302" s="321">
        <f t="shared" si="27"/>
        <v>-1.6639999999999979</v>
      </c>
      <c r="AK302" s="321">
        <f t="shared" si="23"/>
        <v>0.14680699219136353</v>
      </c>
      <c r="AL302" s="321">
        <f t="shared" si="24"/>
        <v>6.3887181948568836E-2</v>
      </c>
      <c r="AN302" s="321" t="e">
        <f t="shared" si="25"/>
        <v>#N/A</v>
      </c>
      <c r="AO302" s="321" t="e">
        <f t="shared" si="26"/>
        <v>#N/A</v>
      </c>
    </row>
    <row r="303" spans="35:41" ht="12" customHeight="1">
      <c r="AI303" s="321">
        <v>294</v>
      </c>
      <c r="AJ303" s="321">
        <f t="shared" si="27"/>
        <v>-1.6559999999999979</v>
      </c>
      <c r="AK303" s="321">
        <f t="shared" si="23"/>
        <v>0.14847235002336992</v>
      </c>
      <c r="AL303" s="321">
        <f t="shared" si="24"/>
        <v>6.4870874359593489E-2</v>
      </c>
      <c r="AN303" s="321" t="e">
        <f t="shared" si="25"/>
        <v>#N/A</v>
      </c>
      <c r="AO303" s="321" t="e">
        <f t="shared" si="26"/>
        <v>#N/A</v>
      </c>
    </row>
    <row r="304" spans="35:41" ht="12" customHeight="1">
      <c r="AI304" s="321">
        <v>295</v>
      </c>
      <c r="AJ304" s="321">
        <f t="shared" si="27"/>
        <v>-1.6479999999999979</v>
      </c>
      <c r="AK304" s="321">
        <f t="shared" si="23"/>
        <v>0.15014698972509749</v>
      </c>
      <c r="AL304" s="321">
        <f t="shared" si="24"/>
        <v>6.5865497486525593E-2</v>
      </c>
      <c r="AN304" s="321" t="e">
        <f t="shared" si="25"/>
        <v>#N/A</v>
      </c>
      <c r="AO304" s="321" t="e">
        <f t="shared" si="26"/>
        <v>#N/A</v>
      </c>
    </row>
    <row r="305" spans="35:41" ht="12" customHeight="1">
      <c r="AI305" s="321">
        <v>296</v>
      </c>
      <c r="AJ305" s="321">
        <f t="shared" si="27"/>
        <v>-1.6399999999999979</v>
      </c>
      <c r="AK305" s="321">
        <f t="shared" si="23"/>
        <v>0.1518308004321621</v>
      </c>
      <c r="AL305" s="321">
        <f t="shared" si="24"/>
        <v>6.6871090639307407E-2</v>
      </c>
      <c r="AN305" s="321" t="e">
        <f t="shared" si="25"/>
        <v>#N/A</v>
      </c>
      <c r="AO305" s="321" t="e">
        <f t="shared" si="26"/>
        <v>#N/A</v>
      </c>
    </row>
    <row r="306" spans="35:41" ht="12" customHeight="1">
      <c r="AI306" s="321">
        <v>297</v>
      </c>
      <c r="AJ306" s="321">
        <f t="shared" si="27"/>
        <v>-1.6319999999999979</v>
      </c>
      <c r="AK306" s="321">
        <f t="shared" si="23"/>
        <v>0.15352366826268274</v>
      </c>
      <c r="AL306" s="321">
        <f t="shared" si="24"/>
        <v>6.7887691607070838E-2</v>
      </c>
      <c r="AN306" s="321" t="e">
        <f t="shared" si="25"/>
        <v>#N/A</v>
      </c>
      <c r="AO306" s="321" t="e">
        <f t="shared" si="26"/>
        <v>#N/A</v>
      </c>
    </row>
    <row r="307" spans="35:41" ht="12" customHeight="1">
      <c r="AI307" s="321">
        <v>298</v>
      </c>
      <c r="AJ307" s="321">
        <f t="shared" si="27"/>
        <v>-1.6239999999999979</v>
      </c>
      <c r="AK307" s="321">
        <f t="shared" si="23"/>
        <v>0.1552254763127584</v>
      </c>
      <c r="AL307" s="321">
        <f t="shared" si="24"/>
        <v>6.8915336625172061E-2</v>
      </c>
      <c r="AN307" s="321" t="e">
        <f t="shared" si="25"/>
        <v>#N/A</v>
      </c>
      <c r="AO307" s="321" t="e">
        <f t="shared" si="26"/>
        <v>#N/A</v>
      </c>
    </row>
    <row r="308" spans="35:41" ht="12" customHeight="1">
      <c r="AI308" s="321">
        <v>299</v>
      </c>
      <c r="AJ308" s="321">
        <f t="shared" si="27"/>
        <v>-1.6159999999999979</v>
      </c>
      <c r="AK308" s="321">
        <f t="shared" si="23"/>
        <v>0.15693610465286656</v>
      </c>
      <c r="AL308" s="321">
        <f t="shared" si="24"/>
        <v>6.9954060342224608E-2</v>
      </c>
      <c r="AN308" s="321" t="e">
        <f t="shared" si="25"/>
        <v>#N/A</v>
      </c>
      <c r="AO308" s="321" t="e">
        <f t="shared" si="26"/>
        <v>#N/A</v>
      </c>
    </row>
    <row r="309" spans="35:41" ht="12" customHeight="1">
      <c r="AI309" s="321">
        <v>300</v>
      </c>
      <c r="AJ309" s="321">
        <f t="shared" si="27"/>
        <v>-1.6079999999999979</v>
      </c>
      <c r="AK309" s="321">
        <f t="shared" si="23"/>
        <v>0.15865543032519525</v>
      </c>
      <c r="AL309" s="321">
        <f t="shared" si="24"/>
        <v>7.1003895787144319E-2</v>
      </c>
      <c r="AN309" s="321" t="e">
        <f t="shared" si="25"/>
        <v>#N/A</v>
      </c>
      <c r="AO309" s="321" t="e">
        <f t="shared" si="26"/>
        <v>#N/A</v>
      </c>
    </row>
    <row r="310" spans="35:41" ht="12" customHeight="1">
      <c r="AI310" s="321">
        <v>301</v>
      </c>
      <c r="AJ310" s="321">
        <f t="shared" si="27"/>
        <v>-1.5999999999999979</v>
      </c>
      <c r="AK310" s="321">
        <f t="shared" si="23"/>
        <v>0.16038332734192004</v>
      </c>
      <c r="AL310" s="321">
        <f t="shared" si="24"/>
        <v>7.2064874336218263E-2</v>
      </c>
      <c r="AN310" s="321" t="e">
        <f t="shared" si="25"/>
        <v>#N/A</v>
      </c>
      <c r="AO310" s="321" t="e">
        <f t="shared" si="26"/>
        <v>#N/A</v>
      </c>
    </row>
    <row r="311" spans="35:41" ht="12" customHeight="1">
      <c r="AI311" s="321">
        <v>302</v>
      </c>
      <c r="AJ311" s="321">
        <f t="shared" si="27"/>
        <v>-1.5919999999999979</v>
      </c>
      <c r="AK311" s="321">
        <f t="shared" si="23"/>
        <v>0.16211966668443695</v>
      </c>
      <c r="AL311" s="321">
        <f t="shared" si="24"/>
        <v>7.3137025680211548E-2</v>
      </c>
      <c r="AN311" s="321" t="e">
        <f t="shared" si="25"/>
        <v>#N/A</v>
      </c>
      <c r="AO311" s="321" t="e">
        <f t="shared" si="26"/>
        <v>#N/A</v>
      </c>
    </row>
    <row r="312" spans="35:41" ht="12" customHeight="1">
      <c r="AI312" s="321">
        <v>303</v>
      </c>
      <c r="AJ312" s="321">
        <f t="shared" si="27"/>
        <v>-1.5839999999999979</v>
      </c>
      <c r="AK312" s="321">
        <f t="shared" si="23"/>
        <v>0.16386431630356177</v>
      </c>
      <c r="AL312" s="321">
        <f t="shared" si="24"/>
        <v>7.4220377791524642E-2</v>
      </c>
      <c r="AN312" s="321" t="e">
        <f t="shared" si="25"/>
        <v>#N/A</v>
      </c>
      <c r="AO312" s="321" t="e">
        <f t="shared" si="26"/>
        <v>#N/A</v>
      </c>
    </row>
    <row r="313" spans="35:41" ht="12" customHeight="1">
      <c r="AI313" s="321">
        <v>304</v>
      </c>
      <c r="AJ313" s="321">
        <f t="shared" si="27"/>
        <v>-1.5759999999999978</v>
      </c>
      <c r="AK313" s="321">
        <f t="shared" si="23"/>
        <v>0.16561714112070705</v>
      </c>
      <c r="AL313" s="321">
        <f t="shared" si="24"/>
        <v>7.5314956891415208E-2</v>
      </c>
      <c r="AN313" s="321" t="e">
        <f t="shared" si="25"/>
        <v>#N/A</v>
      </c>
      <c r="AO313" s="321" t="e">
        <f t="shared" si="26"/>
        <v>#N/A</v>
      </c>
    </row>
    <row r="314" spans="35:41" ht="12" customHeight="1">
      <c r="AI314" s="321">
        <v>305</v>
      </c>
      <c r="AJ314" s="321">
        <f t="shared" si="27"/>
        <v>-1.5679999999999978</v>
      </c>
      <c r="AK314" s="321">
        <f t="shared" si="23"/>
        <v>0.16737800303004585</v>
      </c>
      <c r="AL314" s="321">
        <f t="shared" si="24"/>
        <v>7.6420787417297617E-2</v>
      </c>
      <c r="AN314" s="321" t="e">
        <f t="shared" si="25"/>
        <v>#N/A</v>
      </c>
      <c r="AO314" s="321" t="e">
        <f t="shared" si="26"/>
        <v>#N/A</v>
      </c>
    </row>
    <row r="315" spans="35:41" ht="12" customHeight="1">
      <c r="AI315" s="321">
        <v>306</v>
      </c>
      <c r="AJ315" s="321">
        <f t="shared" si="27"/>
        <v>-1.5599999999999978</v>
      </c>
      <c r="AK315" s="321">
        <f t="shared" si="23"/>
        <v>0.16914676090167285</v>
      </c>
      <c r="AL315" s="321">
        <f t="shared" si="24"/>
        <v>7.7537891990134292E-2</v>
      </c>
      <c r="AN315" s="321" t="e">
        <f t="shared" si="25"/>
        <v>#N/A</v>
      </c>
      <c r="AO315" s="321" t="e">
        <f t="shared" si="26"/>
        <v>#N/A</v>
      </c>
    </row>
    <row r="316" spans="35:41" ht="12" customHeight="1">
      <c r="AI316" s="321">
        <v>307</v>
      </c>
      <c r="AJ316" s="321">
        <f t="shared" si="27"/>
        <v>-1.5519999999999978</v>
      </c>
      <c r="AK316" s="321">
        <f t="shared" si="23"/>
        <v>0.17092327058577203</v>
      </c>
      <c r="AL316" s="321">
        <f t="shared" si="24"/>
        <v>7.8666291381932638E-2</v>
      </c>
      <c r="AN316" s="321" t="e">
        <f t="shared" si="25"/>
        <v>#N/A</v>
      </c>
      <c r="AO316" s="321" t="e">
        <f t="shared" si="26"/>
        <v>#N/A</v>
      </c>
    </row>
    <row r="317" spans="35:41" ht="12" customHeight="1">
      <c r="AI317" s="321">
        <v>308</v>
      </c>
      <c r="AJ317" s="321">
        <f t="shared" si="27"/>
        <v>-1.5439999999999978</v>
      </c>
      <c r="AK317" s="321">
        <f t="shared" si="23"/>
        <v>0.17270738491779958</v>
      </c>
      <c r="AL317" s="321">
        <f t="shared" si="24"/>
        <v>7.9806004483361864E-2</v>
      </c>
      <c r="AN317" s="321" t="e">
        <f t="shared" si="25"/>
        <v>#N/A</v>
      </c>
      <c r="AO317" s="321" t="e">
        <f t="shared" si="26"/>
        <v>#N/A</v>
      </c>
    </row>
    <row r="318" spans="35:41" ht="12" customHeight="1">
      <c r="AI318" s="321">
        <v>309</v>
      </c>
      <c r="AJ318" s="321">
        <f t="shared" si="27"/>
        <v>-1.5359999999999978</v>
      </c>
      <c r="AK318" s="321">
        <f t="shared" si="23"/>
        <v>0.1744989537246916</v>
      </c>
      <c r="AL318" s="321">
        <f t="shared" si="24"/>
        <v>8.0957048271503781E-2</v>
      </c>
      <c r="AN318" s="321" t="e">
        <f t="shared" si="25"/>
        <v>#N/A</v>
      </c>
      <c r="AO318" s="321" t="e">
        <f t="shared" si="26"/>
        <v>#N/A</v>
      </c>
    </row>
    <row r="319" spans="35:41" ht="12" customHeight="1">
      <c r="AI319" s="321">
        <v>310</v>
      </c>
      <c r="AJ319" s="321">
        <f t="shared" si="27"/>
        <v>-1.5279999999999978</v>
      </c>
      <c r="AK319" s="321">
        <f t="shared" si="23"/>
        <v>0.1762978238321041</v>
      </c>
      <c r="AL319" s="321">
        <f t="shared" si="24"/>
        <v>8.2119437777752088E-2</v>
      </c>
      <c r="AN319" s="321" t="e">
        <f t="shared" si="25"/>
        <v>#N/A</v>
      </c>
      <c r="AO319" s="321" t="e">
        <f t="shared" si="26"/>
        <v>#N/A</v>
      </c>
    </row>
    <row r="320" spans="35:41" ht="12" customHeight="1">
      <c r="AI320" s="321">
        <v>311</v>
      </c>
      <c r="AJ320" s="321">
        <f t="shared" si="27"/>
        <v>-1.5199999999999978</v>
      </c>
      <c r="AK320" s="321">
        <f t="shared" si="23"/>
        <v>0.17810383907269406</v>
      </c>
      <c r="AL320" s="321">
        <f t="shared" si="24"/>
        <v>8.3293186055874782E-2</v>
      </c>
      <c r="AN320" s="321" t="e">
        <f t="shared" si="25"/>
        <v>#N/A</v>
      </c>
      <c r="AO320" s="321" t="e">
        <f t="shared" si="26"/>
        <v>#N/A</v>
      </c>
    </row>
    <row r="321" spans="35:41" ht="12" customHeight="1">
      <c r="AI321" s="321">
        <v>312</v>
      </c>
      <c r="AJ321" s="321">
        <f t="shared" si="27"/>
        <v>-1.5119999999999978</v>
      </c>
      <c r="AK321" s="321">
        <f t="shared" si="23"/>
        <v>0.17991684029544835</v>
      </c>
      <c r="AL321" s="321">
        <f t="shared" si="24"/>
        <v>8.447830415025423E-2</v>
      </c>
      <c r="AN321" s="321" t="e">
        <f t="shared" si="25"/>
        <v>#N/A</v>
      </c>
      <c r="AO321" s="321" t="e">
        <f t="shared" si="26"/>
        <v>#N/A</v>
      </c>
    </row>
    <row r="322" spans="35:41" ht="12" customHeight="1">
      <c r="AI322" s="321">
        <v>313</v>
      </c>
      <c r="AJ322" s="321">
        <f t="shared" si="27"/>
        <v>-1.5039999999999978</v>
      </c>
      <c r="AK322" s="321">
        <f t="shared" si="23"/>
        <v>0.1817366653760685</v>
      </c>
      <c r="AL322" s="321">
        <f t="shared" si="24"/>
        <v>8.5674801064319919E-2</v>
      </c>
      <c r="AN322" s="321" t="e">
        <f t="shared" si="25"/>
        <v>#N/A</v>
      </c>
      <c r="AO322" s="321" t="e">
        <f t="shared" si="26"/>
        <v>#N/A</v>
      </c>
    </row>
    <row r="323" spans="35:41" ht="12" customHeight="1">
      <c r="AI323" s="321">
        <v>314</v>
      </c>
      <c r="AJ323" s="321">
        <f t="shared" si="27"/>
        <v>-1.4959999999999978</v>
      </c>
      <c r="AK323" s="321">
        <f t="shared" si="23"/>
        <v>0.18356314922841754</v>
      </c>
      <c r="AL323" s="321">
        <f t="shared" si="24"/>
        <v>8.6882683729188739E-2</v>
      </c>
      <c r="AN323" s="321" t="e">
        <f t="shared" si="25"/>
        <v>#N/A</v>
      </c>
      <c r="AO323" s="321" t="e">
        <f t="shared" si="26"/>
        <v>#N/A</v>
      </c>
    </row>
    <row r="324" spans="35:41" ht="12" customHeight="1">
      <c r="AI324" s="321">
        <v>315</v>
      </c>
      <c r="AJ324" s="321">
        <f t="shared" si="27"/>
        <v>-1.4879999999999978</v>
      </c>
      <c r="AK324" s="321">
        <f t="shared" si="23"/>
        <v>0.18539612381703555</v>
      </c>
      <c r="AL324" s="321">
        <f t="shared" si="24"/>
        <v>8.8101956972527817E-2</v>
      </c>
      <c r="AN324" s="321" t="e">
        <f t="shared" si="25"/>
        <v>#N/A</v>
      </c>
      <c r="AO324" s="321" t="e">
        <f t="shared" si="26"/>
        <v>#N/A</v>
      </c>
    </row>
    <row r="325" spans="35:41" ht="12" customHeight="1">
      <c r="AI325" s="321">
        <v>316</v>
      </c>
      <c r="AJ325" s="321">
        <f t="shared" si="27"/>
        <v>-1.4799999999999978</v>
      </c>
      <c r="AK325" s="321">
        <f t="shared" si="23"/>
        <v>0.18723541817073</v>
      </c>
      <c r="AL325" s="321">
        <f t="shared" si="24"/>
        <v>8.9332623487655333E-2</v>
      </c>
      <c r="AN325" s="321" t="e">
        <f t="shared" si="25"/>
        <v>#N/A</v>
      </c>
      <c r="AO325" s="321" t="e">
        <f t="shared" si="26"/>
        <v>#N/A</v>
      </c>
    </row>
    <row r="326" spans="35:41" ht="12" customHeight="1">
      <c r="AI326" s="321">
        <v>317</v>
      </c>
      <c r="AJ326" s="321">
        <f t="shared" si="27"/>
        <v>-1.4719999999999978</v>
      </c>
      <c r="AK326" s="321">
        <f t="shared" si="23"/>
        <v>0.18908085839724623</v>
      </c>
      <c r="AL326" s="321">
        <f t="shared" si="24"/>
        <v>9.057468380289424E-2</v>
      </c>
      <c r="AN326" s="321" t="e">
        <f t="shared" si="25"/>
        <v>#N/A</v>
      </c>
      <c r="AO326" s="321" t="e">
        <f t="shared" si="26"/>
        <v>#N/A</v>
      </c>
    </row>
    <row r="327" spans="35:41" ht="12" customHeight="1">
      <c r="AI327" s="321">
        <v>318</v>
      </c>
      <c r="AJ327" s="321">
        <f t="shared" si="27"/>
        <v>-1.4639999999999977</v>
      </c>
      <c r="AK327" s="321">
        <f t="shared" si="23"/>
        <v>0.19093226769902305</v>
      </c>
      <c r="AL327" s="321">
        <f t="shared" si="24"/>
        <v>9.1828136251194833E-2</v>
      </c>
      <c r="AN327" s="321" t="e">
        <f t="shared" si="25"/>
        <v>#N/A</v>
      </c>
      <c r="AO327" s="321" t="e">
        <f t="shared" si="26"/>
        <v>#N/A</v>
      </c>
    </row>
    <row r="328" spans="35:41" ht="12" customHeight="1">
      <c r="AI328" s="321">
        <v>319</v>
      </c>
      <c r="AJ328" s="321">
        <f t="shared" si="27"/>
        <v>-1.4559999999999977</v>
      </c>
      <c r="AK328" s="321">
        <f t="shared" si="23"/>
        <v>0.19278946639003888</v>
      </c>
      <c r="AL328" s="321">
        <f t="shared" si="24"/>
        <v>9.30929769400409E-2</v>
      </c>
      <c r="AN328" s="321" t="e">
        <f t="shared" si="25"/>
        <v>#N/A</v>
      </c>
      <c r="AO328" s="321" t="e">
        <f t="shared" si="26"/>
        <v>#N/A</v>
      </c>
    </row>
    <row r="329" spans="35:41" ht="12" customHeight="1">
      <c r="AI329" s="321">
        <v>320</v>
      </c>
      <c r="AJ329" s="321">
        <f t="shared" si="27"/>
        <v>-1.4479999999999977</v>
      </c>
      <c r="AK329" s="321">
        <f t="shared" si="23"/>
        <v>0.19465227191375162</v>
      </c>
      <c r="AL329" s="321">
        <f t="shared" si="24"/>
        <v>9.4369199721655944E-2</v>
      </c>
      <c r="AN329" s="321" t="e">
        <f t="shared" si="25"/>
        <v>#N/A</v>
      </c>
      <c r="AO329" s="321" t="e">
        <f t="shared" si="26"/>
        <v>#N/A</v>
      </c>
    </row>
    <row r="330" spans="35:41" ht="12" customHeight="1">
      <c r="AI330" s="321">
        <v>321</v>
      </c>
      <c r="AJ330" s="321">
        <f t="shared" si="27"/>
        <v>-1.4399999999999977</v>
      </c>
      <c r="AK330" s="321">
        <f t="shared" ref="AK330:AK393" si="28">NORMDIST(AJ330,$AH$26,$AH$28,FALSE)</f>
        <v>0.19652049886213704</v>
      </c>
      <c r="AL330" s="321">
        <f t="shared" ref="AL330:AL393" si="29">NORMDIST(AJ330,$AH$27,$AH$28,FALSE)</f>
        <v>9.5656796163524349E-2</v>
      </c>
      <c r="AN330" s="321" t="e">
        <f t="shared" ref="AN330:AN393" si="30">IF(AND($AJ$7,$AH$27&gt;AJ330),AK330,NA())</f>
        <v>#N/A</v>
      </c>
      <c r="AO330" s="321" t="e">
        <f t="shared" ref="AO330:AO393" si="31">IF(AND($AJ$6,$AH$26&lt;AJ330+(drend-dlend)/$AO$6),AL330,NA())</f>
        <v>#N/A</v>
      </c>
    </row>
    <row r="331" spans="35:41" ht="12" customHeight="1">
      <c r="AI331" s="321">
        <v>322</v>
      </c>
      <c r="AJ331" s="321">
        <f t="shared" ref="AJ331:AJ394" si="32">AJ330+$AL$7</f>
        <v>-1.4319999999999977</v>
      </c>
      <c r="AK331" s="321">
        <f t="shared" si="28"/>
        <v>0.19839395899582812</v>
      </c>
      <c r="AL331" s="321">
        <f t="shared" si="29"/>
        <v>9.6955755519243764E-2</v>
      </c>
      <c r="AN331" s="321" t="e">
        <f t="shared" si="30"/>
        <v>#N/A</v>
      </c>
      <c r="AO331" s="321" t="e">
        <f t="shared" si="31"/>
        <v>#N/A</v>
      </c>
    </row>
    <row r="332" spans="35:41" ht="12" customHeight="1">
      <c r="AI332" s="321">
        <v>323</v>
      </c>
      <c r="AJ332" s="321">
        <f t="shared" si="32"/>
        <v>-1.4239999999999977</v>
      </c>
      <c r="AK332" s="321">
        <f t="shared" si="28"/>
        <v>0.20027246126535919</v>
      </c>
      <c r="AL332" s="321">
        <f t="shared" si="29"/>
        <v>9.8266064699724043E-2</v>
      </c>
      <c r="AN332" s="321" t="e">
        <f t="shared" si="30"/>
        <v>#N/A</v>
      </c>
      <c r="AO332" s="321" t="e">
        <f t="shared" si="31"/>
        <v>#N/A</v>
      </c>
    </row>
    <row r="333" spans="35:41" ht="12" customHeight="1">
      <c r="AI333" s="321">
        <v>324</v>
      </c>
      <c r="AJ333" s="321">
        <f t="shared" si="32"/>
        <v>-1.4159999999999977</v>
      </c>
      <c r="AK333" s="321">
        <f t="shared" si="28"/>
        <v>0.20215581183351619</v>
      </c>
      <c r="AL333" s="321">
        <f t="shared" si="29"/>
        <v>9.9587708244749315E-2</v>
      </c>
      <c r="AN333" s="321" t="e">
        <f t="shared" si="30"/>
        <v>#N/A</v>
      </c>
      <c r="AO333" s="321" t="e">
        <f t="shared" si="31"/>
        <v>#N/A</v>
      </c>
    </row>
    <row r="334" spans="35:41" ht="12" customHeight="1">
      <c r="AI334" s="321">
        <v>325</v>
      </c>
      <c r="AJ334" s="321">
        <f t="shared" si="32"/>
        <v>-1.4079999999999977</v>
      </c>
      <c r="AK334" s="321">
        <f t="shared" si="28"/>
        <v>0.20404381409879591</v>
      </c>
      <c r="AL334" s="321">
        <f t="shared" si="29"/>
        <v>0.10092066829491807</v>
      </c>
      <c r="AN334" s="321" t="e">
        <f t="shared" si="30"/>
        <v>#N/A</v>
      </c>
      <c r="AO334" s="321" t="e">
        <f t="shared" si="31"/>
        <v>#N/A</v>
      </c>
    </row>
    <row r="335" spans="35:41" ht="12" customHeight="1">
      <c r="AI335" s="321">
        <v>326</v>
      </c>
      <c r="AJ335" s="321">
        <f t="shared" si="32"/>
        <v>-1.3999999999999977</v>
      </c>
      <c r="AK335" s="321">
        <f t="shared" si="28"/>
        <v>0.20593626871997528</v>
      </c>
      <c r="AL335" s="321">
        <f t="shared" si="29"/>
        <v>0.10226492456397837</v>
      </c>
      <c r="AN335" s="321" t="e">
        <f t="shared" si="30"/>
        <v>#N/A</v>
      </c>
      <c r="AO335" s="321" t="e">
        <f t="shared" si="31"/>
        <v>#N/A</v>
      </c>
    </row>
    <row r="336" spans="35:41" ht="12" customHeight="1">
      <c r="AI336" s="321">
        <v>327</v>
      </c>
      <c r="AJ336" s="321">
        <f t="shared" si="32"/>
        <v>-1.3919999999999977</v>
      </c>
      <c r="AK336" s="321">
        <f t="shared" si="28"/>
        <v>0.20783297364179132</v>
      </c>
      <c r="AL336" s="321">
        <f t="shared" si="29"/>
        <v>0.10362045431157331</v>
      </c>
      <c r="AN336" s="321" t="e">
        <f t="shared" si="30"/>
        <v>#N/A</v>
      </c>
      <c r="AO336" s="321" t="e">
        <f t="shared" si="31"/>
        <v>#N/A</v>
      </c>
    </row>
    <row r="337" spans="35:41" ht="12" customHeight="1">
      <c r="AI337" s="321">
        <v>328</v>
      </c>
      <c r="AJ337" s="321">
        <f t="shared" si="32"/>
        <v>-1.3839999999999977</v>
      </c>
      <c r="AK337" s="321">
        <f t="shared" si="28"/>
        <v>0.20973372412173297</v>
      </c>
      <c r="AL337" s="321">
        <f t="shared" si="29"/>
        <v>0.10498723231641303</v>
      </c>
      <c r="AN337" s="321" t="e">
        <f t="shared" si="30"/>
        <v>#N/A</v>
      </c>
      <c r="AO337" s="321" t="e">
        <f t="shared" si="31"/>
        <v>#N/A</v>
      </c>
    </row>
    <row r="338" spans="35:41" ht="12" customHeight="1">
      <c r="AI338" s="321">
        <v>329</v>
      </c>
      <c r="AJ338" s="321">
        <f t="shared" si="32"/>
        <v>-1.3759999999999977</v>
      </c>
      <c r="AK338" s="321">
        <f t="shared" si="28"/>
        <v>0.21163831275794423</v>
      </c>
      <c r="AL338" s="321">
        <f t="shared" si="29"/>
        <v>0.10636523084988972</v>
      </c>
      <c r="AN338" s="321" t="e">
        <f t="shared" si="30"/>
        <v>#N/A</v>
      </c>
      <c r="AO338" s="321" t="e">
        <f t="shared" si="31"/>
        <v>#N/A</v>
      </c>
    </row>
    <row r="339" spans="35:41" ht="12" customHeight="1">
      <c r="AI339" s="321">
        <v>330</v>
      </c>
      <c r="AJ339" s="321">
        <f t="shared" si="32"/>
        <v>-1.3679999999999977</v>
      </c>
      <c r="AK339" s="321">
        <f t="shared" si="28"/>
        <v>0.21354652951823799</v>
      </c>
      <c r="AL339" s="321">
        <f t="shared" si="29"/>
        <v>0.10775441965015088</v>
      </c>
      <c r="AN339" s="321" t="e">
        <f t="shared" si="30"/>
        <v>#N/A</v>
      </c>
      <c r="AO339" s="321" t="e">
        <f t="shared" si="31"/>
        <v>#N/A</v>
      </c>
    </row>
    <row r="340" spans="35:41" ht="12" customHeight="1">
      <c r="AI340" s="321">
        <v>331</v>
      </c>
      <c r="AJ340" s="321">
        <f t="shared" si="32"/>
        <v>-1.3599999999999977</v>
      </c>
      <c r="AK340" s="321">
        <f t="shared" si="28"/>
        <v>0.21545816177022023</v>
      </c>
      <c r="AL340" s="321">
        <f t="shared" si="29"/>
        <v>0.10915476589664778</v>
      </c>
      <c r="AN340" s="321" t="e">
        <f t="shared" si="30"/>
        <v>#N/A</v>
      </c>
      <c r="AO340" s="321" t="e">
        <f t="shared" si="31"/>
        <v>#N/A</v>
      </c>
    </row>
    <row r="341" spans="35:41" ht="12" customHeight="1">
      <c r="AI341" s="321">
        <v>332</v>
      </c>
      <c r="AJ341" s="321">
        <f t="shared" si="32"/>
        <v>-1.3519999999999976</v>
      </c>
      <c r="AK341" s="321">
        <f t="shared" si="28"/>
        <v>0.21737299431252205</v>
      </c>
      <c r="AL341" s="321">
        <f t="shared" si="29"/>
        <v>0.11056623418517444</v>
      </c>
      <c r="AN341" s="321" t="e">
        <f t="shared" si="30"/>
        <v>#N/A</v>
      </c>
      <c r="AO341" s="321" t="e">
        <f t="shared" si="31"/>
        <v>#N/A</v>
      </c>
    </row>
    <row r="342" spans="35:41" ht="12" customHeight="1">
      <c r="AI342" s="321">
        <v>333</v>
      </c>
      <c r="AJ342" s="321">
        <f t="shared" si="32"/>
        <v>-1.3439999999999976</v>
      </c>
      <c r="AK342" s="321">
        <f t="shared" si="28"/>
        <v>0.21929080940713841</v>
      </c>
      <c r="AL342" s="321">
        <f t="shared" si="29"/>
        <v>0.11198878650341376</v>
      </c>
      <c r="AN342" s="321" t="e">
        <f t="shared" si="30"/>
        <v>#N/A</v>
      </c>
      <c r="AO342" s="321" t="e">
        <f t="shared" si="31"/>
        <v>#N/A</v>
      </c>
    </row>
    <row r="343" spans="35:41" ht="12" customHeight="1">
      <c r="AI343" s="321">
        <v>334</v>
      </c>
      <c r="AJ343" s="321">
        <f t="shared" si="32"/>
        <v>-1.3359999999999976</v>
      </c>
      <c r="AK343" s="321">
        <f t="shared" si="28"/>
        <v>0.22121138681287031</v>
      </c>
      <c r="AL343" s="321">
        <f t="shared" si="29"/>
        <v>0.11342238220700659</v>
      </c>
      <c r="AN343" s="321" t="e">
        <f t="shared" si="30"/>
        <v>#N/A</v>
      </c>
      <c r="AO343" s="321" t="e">
        <f t="shared" si="31"/>
        <v>#N/A</v>
      </c>
    </row>
    <row r="344" spans="35:41" ht="12" customHeight="1">
      <c r="AI344" s="321">
        <v>335</v>
      </c>
      <c r="AJ344" s="321">
        <f t="shared" si="32"/>
        <v>-1.3279999999999976</v>
      </c>
      <c r="AK344" s="321">
        <f t="shared" si="28"/>
        <v>0.22313450381986788</v>
      </c>
      <c r="AL344" s="321">
        <f t="shared" si="29"/>
        <v>0.1148669779961594</v>
      </c>
      <c r="AN344" s="321" t="e">
        <f t="shared" si="30"/>
        <v>#N/A</v>
      </c>
      <c r="AO344" s="321" t="e">
        <f t="shared" si="31"/>
        <v>#N/A</v>
      </c>
    </row>
    <row r="345" spans="35:41" ht="12" customHeight="1">
      <c r="AI345" s="321">
        <v>336</v>
      </c>
      <c r="AJ345" s="321">
        <f t="shared" si="32"/>
        <v>-1.3199999999999976</v>
      </c>
      <c r="AK345" s="321">
        <f t="shared" si="28"/>
        <v>0.22505993528527021</v>
      </c>
      <c r="AL345" s="321">
        <f t="shared" si="29"/>
        <v>0.11632252789280752</v>
      </c>
      <c r="AN345" s="321" t="e">
        <f t="shared" si="30"/>
        <v>#N/A</v>
      </c>
      <c r="AO345" s="321" t="e">
        <f t="shared" si="31"/>
        <v>#N/A</v>
      </c>
    </row>
    <row r="346" spans="35:41" ht="12" customHeight="1">
      <c r="AI346" s="321">
        <v>337</v>
      </c>
      <c r="AJ346" s="321">
        <f t="shared" si="32"/>
        <v>-1.3119999999999976</v>
      </c>
      <c r="AK346" s="321">
        <f t="shared" si="28"/>
        <v>0.22698745366993825</v>
      </c>
      <c r="AL346" s="321">
        <f t="shared" si="29"/>
        <v>0.11778898321834855</v>
      </c>
      <c r="AN346" s="321" t="e">
        <f t="shared" si="30"/>
        <v>#N/A</v>
      </c>
      <c r="AO346" s="321" t="e">
        <f t="shared" si="31"/>
        <v>#N/A</v>
      </c>
    </row>
    <row r="347" spans="35:41" ht="12" customHeight="1">
      <c r="AI347" s="321">
        <v>338</v>
      </c>
      <c r="AJ347" s="321">
        <f t="shared" si="32"/>
        <v>-1.3039999999999976</v>
      </c>
      <c r="AK347" s="321">
        <f t="shared" si="28"/>
        <v>0.228916829076276</v>
      </c>
      <c r="AL347" s="321">
        <f t="shared" si="29"/>
        <v>0.11926629257196304</v>
      </c>
      <c r="AN347" s="321" t="e">
        <f t="shared" si="30"/>
        <v>#N/A</v>
      </c>
      <c r="AO347" s="321" t="e">
        <f t="shared" si="31"/>
        <v>#N/A</v>
      </c>
    </row>
    <row r="348" spans="35:41" ht="12" customHeight="1">
      <c r="AI348" s="321">
        <v>339</v>
      </c>
      <c r="AJ348" s="321">
        <f t="shared" si="32"/>
        <v>-1.2959999999999976</v>
      </c>
      <c r="AK348" s="321">
        <f t="shared" si="28"/>
        <v>0.23084782928713446</v>
      </c>
      <c r="AL348" s="321">
        <f t="shared" si="29"/>
        <v>0.12075440180953755</v>
      </c>
      <c r="AN348" s="321" t="e">
        <f t="shared" si="30"/>
        <v>#N/A</v>
      </c>
      <c r="AO348" s="321" t="e">
        <f t="shared" si="31"/>
        <v>#N/A</v>
      </c>
    </row>
    <row r="349" spans="35:41" ht="12" customHeight="1">
      <c r="AI349" s="321">
        <v>340</v>
      </c>
      <c r="AJ349" s="321">
        <f t="shared" si="32"/>
        <v>-1.2879999999999976</v>
      </c>
      <c r="AK349" s="321">
        <f t="shared" si="28"/>
        <v>0.23278021980579305</v>
      </c>
      <c r="AL349" s="321">
        <f t="shared" si="29"/>
        <v>0.12225325402320565</v>
      </c>
      <c r="AN349" s="321" t="e">
        <f t="shared" si="30"/>
        <v>#N/A</v>
      </c>
      <c r="AO349" s="321" t="e">
        <f t="shared" si="31"/>
        <v>#N/A</v>
      </c>
    </row>
    <row r="350" spans="35:41" ht="12" customHeight="1">
      <c r="AI350" s="321">
        <v>341</v>
      </c>
      <c r="AJ350" s="321">
        <f t="shared" si="32"/>
        <v>-1.2799999999999976</v>
      </c>
      <c r="AK350" s="321">
        <f t="shared" si="28"/>
        <v>0.23471376389701232</v>
      </c>
      <c r="AL350" s="321">
        <f t="shared" si="29"/>
        <v>0.12376278952152359</v>
      </c>
      <c r="AN350" s="321" t="e">
        <f t="shared" si="30"/>
        <v>#N/A</v>
      </c>
      <c r="AO350" s="321" t="e">
        <f t="shared" si="31"/>
        <v>#N/A</v>
      </c>
    </row>
    <row r="351" spans="35:41" ht="12" customHeight="1">
      <c r="AI351" s="321">
        <v>342</v>
      </c>
      <c r="AJ351" s="321">
        <f t="shared" si="32"/>
        <v>-1.2719999999999976</v>
      </c>
      <c r="AK351" s="321">
        <f t="shared" si="28"/>
        <v>0.23664822262915042</v>
      </c>
      <c r="AL351" s="321">
        <f t="shared" si="29"/>
        <v>0.12528294581029475</v>
      </c>
      <c r="AN351" s="321" t="e">
        <f t="shared" si="30"/>
        <v>#N/A</v>
      </c>
      <c r="AO351" s="321" t="e">
        <f t="shared" si="31"/>
        <v>#N/A</v>
      </c>
    </row>
    <row r="352" spans="35:41" ht="12" customHeight="1">
      <c r="AI352" s="321">
        <v>343</v>
      </c>
      <c r="AJ352" s="321">
        <f t="shared" si="32"/>
        <v>-1.2639999999999976</v>
      </c>
      <c r="AK352" s="321">
        <f t="shared" si="28"/>
        <v>0.2385833549173367</v>
      </c>
      <c r="AL352" s="321">
        <f t="shared" si="29"/>
        <v>0.12681365757405955</v>
      </c>
      <c r="AN352" s="321" t="e">
        <f t="shared" si="30"/>
        <v>#N/A</v>
      </c>
      <c r="AO352" s="321" t="e">
        <f t="shared" si="31"/>
        <v>#N/A</v>
      </c>
    </row>
    <row r="353" spans="35:41" ht="12" customHeight="1">
      <c r="AI353" s="321">
        <v>344</v>
      </c>
      <c r="AJ353" s="321">
        <f t="shared" si="32"/>
        <v>-1.2559999999999976</v>
      </c>
      <c r="AK353" s="321">
        <f t="shared" si="28"/>
        <v>0.24051891756769458</v>
      </c>
      <c r="AL353" s="321">
        <f t="shared" si="29"/>
        <v>0.12835485665826554</v>
      </c>
      <c r="AN353" s="321" t="e">
        <f t="shared" si="30"/>
        <v>#N/A</v>
      </c>
      <c r="AO353" s="321" t="e">
        <f t="shared" si="31"/>
        <v>#N/A</v>
      </c>
    </row>
    <row r="354" spans="35:41" ht="12" customHeight="1">
      <c r="AI354" s="321">
        <v>345</v>
      </c>
      <c r="AJ354" s="321">
        <f t="shared" si="32"/>
        <v>-1.2479999999999976</v>
      </c>
      <c r="AK354" s="321">
        <f t="shared" si="28"/>
        <v>0.24245466532260468</v>
      </c>
      <c r="AL354" s="321">
        <f t="shared" si="29"/>
        <v>0.12990647205213299</v>
      </c>
      <c r="AN354" s="321" t="e">
        <f t="shared" si="30"/>
        <v>#N/A</v>
      </c>
      <c r="AO354" s="321" t="e">
        <f t="shared" si="31"/>
        <v>#N/A</v>
      </c>
    </row>
    <row r="355" spans="35:41" ht="12" customHeight="1">
      <c r="AI355" s="321">
        <v>346</v>
      </c>
      <c r="AJ355" s="321">
        <f t="shared" si="32"/>
        <v>-1.2399999999999975</v>
      </c>
      <c r="AK355" s="321">
        <f t="shared" si="28"/>
        <v>0.24439035090700012</v>
      </c>
      <c r="AL355" s="321">
        <f t="shared" si="29"/>
        <v>0.13146842987223148</v>
      </c>
      <c r="AN355" s="321" t="e">
        <f t="shared" si="30"/>
        <v>#N/A</v>
      </c>
      <c r="AO355" s="321" t="e">
        <f t="shared" si="31"/>
        <v>#N/A</v>
      </c>
    </row>
    <row r="356" spans="35:41" ht="12" customHeight="1">
      <c r="AI356" s="321">
        <v>347</v>
      </c>
      <c r="AJ356" s="321">
        <f t="shared" si="32"/>
        <v>-1.2319999999999975</v>
      </c>
      <c r="AK356" s="321">
        <f t="shared" si="28"/>
        <v>0.24632572507568345</v>
      </c>
      <c r="AL356" s="321">
        <f t="shared" si="29"/>
        <v>0.13304065334678181</v>
      </c>
      <c r="AN356" s="321" t="e">
        <f t="shared" si="30"/>
        <v>#N/A</v>
      </c>
      <c r="AO356" s="321" t="e">
        <f t="shared" si="31"/>
        <v>#N/A</v>
      </c>
    </row>
    <row r="357" spans="35:41" ht="12" customHeight="1">
      <c r="AI357" s="321">
        <v>348</v>
      </c>
      <c r="AJ357" s="321">
        <f t="shared" si="32"/>
        <v>-1.2239999999999975</v>
      </c>
      <c r="AK357" s="321">
        <f t="shared" si="28"/>
        <v>0.24826053666165626</v>
      </c>
      <c r="AL357" s="321">
        <f t="shared" si="29"/>
        <v>0.13462306280069861</v>
      </c>
      <c r="AN357" s="321" t="e">
        <f t="shared" si="30"/>
        <v>#N/A</v>
      </c>
      <c r="AO357" s="321" t="e">
        <f t="shared" si="31"/>
        <v>#N/A</v>
      </c>
    </row>
    <row r="358" spans="35:41" ht="12" customHeight="1">
      <c r="AI358" s="321">
        <v>349</v>
      </c>
      <c r="AJ358" s="321">
        <f t="shared" si="32"/>
        <v>-1.2159999999999975</v>
      </c>
      <c r="AK358" s="321">
        <f t="shared" si="28"/>
        <v>0.25019453262545033</v>
      </c>
      <c r="AL358" s="321">
        <f t="shared" si="29"/>
        <v>0.13621557564138836</v>
      </c>
      <c r="AN358" s="321" t="e">
        <f t="shared" si="30"/>
        <v>#N/A</v>
      </c>
      <c r="AO358" s="321" t="e">
        <f t="shared" si="31"/>
        <v>#N/A</v>
      </c>
    </row>
    <row r="359" spans="35:41" ht="12" customHeight="1">
      <c r="AI359" s="321">
        <v>350</v>
      </c>
      <c r="AJ359" s="321">
        <f t="shared" si="32"/>
        <v>-1.2079999999999975</v>
      </c>
      <c r="AK359" s="321">
        <f t="shared" si="28"/>
        <v>0.2521274581054494</v>
      </c>
      <c r="AL359" s="321">
        <f t="shared" si="29"/>
        <v>0.13781810634531691</v>
      </c>
      <c r="AN359" s="321" t="e">
        <f t="shared" si="30"/>
        <v>#N/A</v>
      </c>
      <c r="AO359" s="321" t="e">
        <f t="shared" si="31"/>
        <v>#N/A</v>
      </c>
    </row>
    <row r="360" spans="35:41" ht="12" customHeight="1">
      <c r="AI360" s="321">
        <v>351</v>
      </c>
      <c r="AJ360" s="321">
        <f t="shared" si="32"/>
        <v>-1.1999999999999975</v>
      </c>
      <c r="AK360" s="321">
        <f t="shared" si="28"/>
        <v>0.25405905646918958</v>
      </c>
      <c r="AL360" s="321">
        <f t="shared" si="29"/>
        <v>0.13943056644536075</v>
      </c>
      <c r="AN360" s="321" t="e">
        <f t="shared" si="30"/>
        <v>#N/A</v>
      </c>
      <c r="AO360" s="321" t="e">
        <f t="shared" si="31"/>
        <v>#N/A</v>
      </c>
    </row>
    <row r="361" spans="35:41" ht="12" customHeight="1">
      <c r="AI361" s="321">
        <v>352</v>
      </c>
      <c r="AJ361" s="321">
        <f t="shared" si="32"/>
        <v>-1.1919999999999975</v>
      </c>
      <c r="AK361" s="321">
        <f t="shared" si="28"/>
        <v>0.25598906936562704</v>
      </c>
      <c r="AL361" s="321">
        <f t="shared" si="29"/>
        <v>0.14105286451895738</v>
      </c>
      <c r="AN361" s="321" t="e">
        <f t="shared" si="30"/>
        <v>#N/A</v>
      </c>
      <c r="AO361" s="321" t="e">
        <f t="shared" si="31"/>
        <v>#N/A</v>
      </c>
    </row>
    <row r="362" spans="35:41" ht="12" customHeight="1">
      <c r="AI362" s="321">
        <v>353</v>
      </c>
      <c r="AJ362" s="321">
        <f t="shared" si="32"/>
        <v>-1.1839999999999975</v>
      </c>
      <c r="AK362" s="321">
        <f t="shared" si="28"/>
        <v>0.25791723677835965</v>
      </c>
      <c r="AL362" s="321">
        <f t="shared" si="29"/>
        <v>0.142684906177067</v>
      </c>
      <c r="AN362" s="321" t="e">
        <f t="shared" si="30"/>
        <v>#N/A</v>
      </c>
      <c r="AO362" s="321" t="e">
        <f t="shared" si="31"/>
        <v>#N/A</v>
      </c>
    </row>
    <row r="363" spans="35:41" ht="12" customHeight="1">
      <c r="AI363" s="321">
        <v>354</v>
      </c>
      <c r="AJ363" s="321">
        <f t="shared" si="32"/>
        <v>-1.1759999999999975</v>
      </c>
      <c r="AK363" s="321">
        <f t="shared" si="28"/>
        <v>0.25984329707978915</v>
      </c>
      <c r="AL363" s="321">
        <f t="shared" si="29"/>
        <v>0.14432659405396067</v>
      </c>
      <c r="AN363" s="321" t="e">
        <f t="shared" si="30"/>
        <v>#N/A</v>
      </c>
      <c r="AO363" s="321" t="e">
        <f t="shared" si="31"/>
        <v>#N/A</v>
      </c>
    </row>
    <row r="364" spans="35:41" ht="12" customHeight="1">
      <c r="AI364" s="321">
        <v>355</v>
      </c>
      <c r="AJ364" s="321">
        <f t="shared" si="32"/>
        <v>-1.1679999999999975</v>
      </c>
      <c r="AK364" s="321">
        <f t="shared" si="28"/>
        <v>0.26176698708621143</v>
      </c>
      <c r="AL364" s="321">
        <f t="shared" si="29"/>
        <v>0.14597782779784771</v>
      </c>
      <c r="AN364" s="321" t="e">
        <f t="shared" si="30"/>
        <v>#N/A</v>
      </c>
      <c r="AO364" s="321" t="e">
        <f t="shared" si="31"/>
        <v>#N/A</v>
      </c>
    </row>
    <row r="365" spans="35:41" ht="12" customHeight="1">
      <c r="AI365" s="321">
        <v>356</v>
      </c>
      <c r="AJ365" s="321">
        <f t="shared" si="32"/>
        <v>-1.1599999999999975</v>
      </c>
      <c r="AK365" s="321">
        <f t="shared" si="28"/>
        <v>0.26368804211381874</v>
      </c>
      <c r="AL365" s="321">
        <f t="shared" si="29"/>
        <v>0.14763850406235624</v>
      </c>
      <c r="AN365" s="321" t="e">
        <f t="shared" si="30"/>
        <v>#N/A</v>
      </c>
      <c r="AO365" s="321" t="e">
        <f t="shared" si="31"/>
        <v>#N/A</v>
      </c>
    </row>
    <row r="366" spans="35:41" ht="12" customHeight="1">
      <c r="AI366" s="321">
        <v>357</v>
      </c>
      <c r="AJ366" s="321">
        <f t="shared" si="32"/>
        <v>-1.1519999999999975</v>
      </c>
      <c r="AK366" s="321">
        <f t="shared" si="28"/>
        <v>0.26560619603560071</v>
      </c>
      <c r="AL366" s="321">
        <f t="shared" si="29"/>
        <v>0.14930851649887933</v>
      </c>
      <c r="AN366" s="321" t="e">
        <f t="shared" si="30"/>
        <v>#N/A</v>
      </c>
      <c r="AO366" s="321" t="e">
        <f t="shared" si="31"/>
        <v>#N/A</v>
      </c>
    </row>
    <row r="367" spans="35:41" ht="12" customHeight="1">
      <c r="AI367" s="321">
        <v>358</v>
      </c>
      <c r="AJ367" s="321">
        <f t="shared" si="32"/>
        <v>-1.1439999999999975</v>
      </c>
      <c r="AK367" s="321">
        <f t="shared" si="28"/>
        <v>0.26752118133912817</v>
      </c>
      <c r="AL367" s="321">
        <f t="shared" si="29"/>
        <v>0.15098775574980025</v>
      </c>
      <c r="AN367" s="321" t="e">
        <f t="shared" si="30"/>
        <v>#N/A</v>
      </c>
      <c r="AO367" s="321" t="e">
        <f t="shared" si="31"/>
        <v>#N/A</v>
      </c>
    </row>
    <row r="368" spans="35:41" ht="12" customHeight="1">
      <c r="AI368" s="321">
        <v>359</v>
      </c>
      <c r="AJ368" s="321">
        <f t="shared" si="32"/>
        <v>-1.1359999999999975</v>
      </c>
      <c r="AK368" s="321">
        <f t="shared" si="28"/>
        <v>0.269432729185204</v>
      </c>
      <c r="AL368" s="321">
        <f t="shared" si="29"/>
        <v>0.15267610944260898</v>
      </c>
      <c r="AN368" s="321" t="e">
        <f t="shared" si="30"/>
        <v>#N/A</v>
      </c>
      <c r="AO368" s="321" t="e">
        <f t="shared" si="31"/>
        <v>#N/A</v>
      </c>
    </row>
    <row r="369" spans="35:41" ht="12" customHeight="1">
      <c r="AI369" s="321">
        <v>360</v>
      </c>
      <c r="AJ369" s="321">
        <f t="shared" si="32"/>
        <v>-1.1279999999999974</v>
      </c>
      <c r="AK369" s="321">
        <f t="shared" si="28"/>
        <v>0.27134056946736484</v>
      </c>
      <c r="AL369" s="321">
        <f t="shared" si="29"/>
        <v>0.15437346218492259</v>
      </c>
      <c r="AN369" s="321" t="e">
        <f t="shared" si="30"/>
        <v>#N/A</v>
      </c>
      <c r="AO369" s="321" t="e">
        <f t="shared" si="31"/>
        <v>#N/A</v>
      </c>
    </row>
    <row r="370" spans="35:41" ht="12" customHeight="1">
      <c r="AI370" s="321">
        <v>361</v>
      </c>
      <c r="AJ370" s="321">
        <f t="shared" si="32"/>
        <v>-1.1199999999999974</v>
      </c>
      <c r="AK370" s="321">
        <f t="shared" si="28"/>
        <v>0.27324443087221684</v>
      </c>
      <c r="AL370" s="321">
        <f t="shared" si="29"/>
        <v>0.15607969556042139</v>
      </c>
      <c r="AN370" s="321" t="e">
        <f t="shared" si="30"/>
        <v>#N/A</v>
      </c>
      <c r="AO370" s="321" t="e">
        <f t="shared" si="31"/>
        <v>#N/A</v>
      </c>
    </row>
    <row r="371" spans="35:41" ht="12" customHeight="1">
      <c r="AI371" s="321">
        <v>362</v>
      </c>
      <c r="AJ371" s="321">
        <f t="shared" si="32"/>
        <v>-1.1119999999999974</v>
      </c>
      <c r="AK371" s="321">
        <f t="shared" si="28"/>
        <v>0.27514404094058798</v>
      </c>
      <c r="AL371" s="321">
        <f t="shared" si="29"/>
        <v>0.15779468812571285</v>
      </c>
      <c r="AN371" s="321" t="e">
        <f t="shared" si="30"/>
        <v>#N/A</v>
      </c>
      <c r="AO371" s="321" t="e">
        <f t="shared" si="31"/>
        <v>#N/A</v>
      </c>
    </row>
    <row r="372" spans="35:41" ht="12" customHeight="1">
      <c r="AI372" s="321">
        <v>363</v>
      </c>
      <c r="AJ372" s="321">
        <f t="shared" si="32"/>
        <v>-1.1039999999999974</v>
      </c>
      <c r="AK372" s="321">
        <f t="shared" si="28"/>
        <v>0.27703912612947967</v>
      </c>
      <c r="AL372" s="321">
        <f t="shared" si="29"/>
        <v>0.15951831540813466</v>
      </c>
      <c r="AN372" s="321" t="e">
        <f t="shared" si="30"/>
        <v>#N/A</v>
      </c>
      <c r="AO372" s="321" t="e">
        <f t="shared" si="31"/>
        <v>#N/A</v>
      </c>
    </row>
    <row r="373" spans="35:41" ht="12" customHeight="1">
      <c r="AI373" s="321">
        <v>364</v>
      </c>
      <c r="AJ373" s="321">
        <f t="shared" si="32"/>
        <v>-1.0959999999999974</v>
      </c>
      <c r="AK373" s="321">
        <f t="shared" si="28"/>
        <v>0.27892941187479869</v>
      </c>
      <c r="AL373" s="321">
        <f t="shared" si="29"/>
        <v>0.16125044990450835</v>
      </c>
      <c r="AN373" s="321" t="e">
        <f t="shared" si="30"/>
        <v>#N/A</v>
      </c>
      <c r="AO373" s="321" t="e">
        <f t="shared" si="31"/>
        <v>#N/A</v>
      </c>
    </row>
    <row r="374" spans="35:41" ht="12" customHeight="1">
      <c r="AI374" s="321">
        <v>365</v>
      </c>
      <c r="AJ374" s="321">
        <f t="shared" si="32"/>
        <v>-1.0879999999999974</v>
      </c>
      <c r="AK374" s="321">
        <f t="shared" si="28"/>
        <v>0.28081462265485158</v>
      </c>
      <c r="AL374" s="321">
        <f t="shared" si="29"/>
        <v>0.16299096108085404</v>
      </c>
      <c r="AN374" s="321" t="e">
        <f t="shared" si="30"/>
        <v>#N/A</v>
      </c>
      <c r="AO374" s="321" t="e">
        <f t="shared" si="31"/>
        <v>#N/A</v>
      </c>
    </row>
    <row r="375" spans="35:41" ht="12" customHeight="1">
      <c r="AI375" s="321">
        <v>366</v>
      </c>
      <c r="AJ375" s="321">
        <f t="shared" si="32"/>
        <v>-1.0799999999999974</v>
      </c>
      <c r="AK375" s="321">
        <f t="shared" si="28"/>
        <v>0.28269448205458081</v>
      </c>
      <c r="AL375" s="321">
        <f t="shared" si="29"/>
        <v>0.16473971537307738</v>
      </c>
      <c r="AN375" s="321" t="e">
        <f t="shared" si="30"/>
        <v>#N/A</v>
      </c>
      <c r="AO375" s="321" t="e">
        <f t="shared" si="31"/>
        <v>#N/A</v>
      </c>
    </row>
    <row r="376" spans="35:41" ht="12" customHeight="1">
      <c r="AI376" s="321">
        <v>367</v>
      </c>
      <c r="AJ376" s="321">
        <f t="shared" si="32"/>
        <v>-1.0719999999999974</v>
      </c>
      <c r="AK376" s="321">
        <f t="shared" si="28"/>
        <v>0.28456871283052521</v>
      </c>
      <c r="AL376" s="321">
        <f t="shared" si="29"/>
        <v>0.1664965761886385</v>
      </c>
      <c r="AN376" s="321" t="e">
        <f t="shared" si="30"/>
        <v>#N/A</v>
      </c>
      <c r="AO376" s="321" t="e">
        <f t="shared" si="31"/>
        <v>#N/A</v>
      </c>
    </row>
    <row r="377" spans="35:41" ht="12" customHeight="1">
      <c r="AI377" s="321">
        <v>368</v>
      </c>
      <c r="AJ377" s="321">
        <f t="shared" si="32"/>
        <v>-1.0639999999999974</v>
      </c>
      <c r="AK377" s="321">
        <f t="shared" si="28"/>
        <v>0.28643703697648237</v>
      </c>
      <c r="AL377" s="321">
        <f t="shared" si="29"/>
        <v>0.16826140390921351</v>
      </c>
      <c r="AN377" s="321" t="e">
        <f t="shared" si="30"/>
        <v>#N/A</v>
      </c>
      <c r="AO377" s="321" t="e">
        <f t="shared" si="31"/>
        <v>#N/A</v>
      </c>
    </row>
    <row r="378" spans="35:41" ht="12" customHeight="1">
      <c r="AI378" s="321">
        <v>369</v>
      </c>
      <c r="AJ378" s="321">
        <f t="shared" si="32"/>
        <v>-1.0559999999999974</v>
      </c>
      <c r="AK378" s="321">
        <f t="shared" si="28"/>
        <v>0.2882991757898537</v>
      </c>
      <c r="AL378" s="321">
        <f t="shared" si="29"/>
        <v>0.17003405589435755</v>
      </c>
      <c r="AN378" s="321" t="e">
        <f t="shared" si="30"/>
        <v>#N/A</v>
      </c>
      <c r="AO378" s="321" t="e">
        <f t="shared" si="31"/>
        <v>#N/A</v>
      </c>
    </row>
    <row r="379" spans="35:41" ht="12" customHeight="1">
      <c r="AI379" s="321">
        <v>370</v>
      </c>
      <c r="AJ379" s="321">
        <f t="shared" si="32"/>
        <v>-1.0479999999999974</v>
      </c>
      <c r="AK379" s="321">
        <f t="shared" si="28"/>
        <v>0.29015484993865093</v>
      </c>
      <c r="AL379" s="321">
        <f t="shared" si="29"/>
        <v>0.17181438648617897</v>
      </c>
      <c r="AN379" s="321" t="e">
        <f t="shared" si="30"/>
        <v>#N/A</v>
      </c>
      <c r="AO379" s="321" t="e">
        <f t="shared" si="31"/>
        <v>#N/A</v>
      </c>
    </row>
    <row r="380" spans="35:41" ht="12" customHeight="1">
      <c r="AI380" s="321">
        <v>371</v>
      </c>
      <c r="AJ380" s="321">
        <f t="shared" si="32"/>
        <v>-1.0399999999999974</v>
      </c>
      <c r="AK380" s="321">
        <f t="shared" si="28"/>
        <v>0.29200377952914203</v>
      </c>
      <c r="AL380" s="321">
        <f t="shared" si="29"/>
        <v>0.17360224701503355</v>
      </c>
      <c r="AN380" s="321" t="e">
        <f t="shared" si="30"/>
        <v>#N/A</v>
      </c>
      <c r="AO380" s="321" t="e">
        <f t="shared" si="31"/>
        <v>#N/A</v>
      </c>
    </row>
    <row r="381" spans="35:41" ht="12" customHeight="1">
      <c r="AI381" s="321">
        <v>372</v>
      </c>
      <c r="AJ381" s="321">
        <f t="shared" si="32"/>
        <v>-1.0319999999999974</v>
      </c>
      <c r="AK381" s="321">
        <f t="shared" si="28"/>
        <v>0.29384568417411533</v>
      </c>
      <c r="AL381" s="321">
        <f t="shared" si="29"/>
        <v>0.17539748580624759</v>
      </c>
      <c r="AN381" s="321" t="e">
        <f t="shared" si="30"/>
        <v>#N/A</v>
      </c>
      <c r="AO381" s="321" t="e">
        <f t="shared" si="31"/>
        <v>#N/A</v>
      </c>
    </row>
    <row r="382" spans="35:41" ht="12" customHeight="1">
      <c r="AI382" s="321">
        <v>373</v>
      </c>
      <c r="AJ382" s="321">
        <f t="shared" si="32"/>
        <v>-1.0239999999999974</v>
      </c>
      <c r="AK382" s="321">
        <f t="shared" si="28"/>
        <v>0.29568028306173927</v>
      </c>
      <c r="AL382" s="321">
        <f t="shared" si="29"/>
        <v>0.17719994818787707</v>
      </c>
      <c r="AN382" s="321" t="e">
        <f t="shared" si="30"/>
        <v>#N/A</v>
      </c>
      <c r="AO382" s="321" t="e">
        <f t="shared" si="31"/>
        <v>#N/A</v>
      </c>
    </row>
    <row r="383" spans="35:41" ht="12" customHeight="1">
      <c r="AI383" s="321">
        <v>374</v>
      </c>
      <c r="AJ383" s="321">
        <f t="shared" si="32"/>
        <v>-1.0159999999999973</v>
      </c>
      <c r="AK383" s="321">
        <f t="shared" si="28"/>
        <v>0.29750729502499462</v>
      </c>
      <c r="AL383" s="321">
        <f t="shared" si="29"/>
        <v>0.17900947649951199</v>
      </c>
      <c r="AN383" s="321" t="e">
        <f t="shared" si="30"/>
        <v>#N/A</v>
      </c>
      <c r="AO383" s="321" t="e">
        <f t="shared" si="31"/>
        <v>#N/A</v>
      </c>
    </row>
    <row r="384" spans="35:41" ht="12" customHeight="1">
      <c r="AI384" s="321">
        <v>375</v>
      </c>
      <c r="AJ384" s="321">
        <f t="shared" si="32"/>
        <v>-1.0079999999999973</v>
      </c>
      <c r="AK384" s="321">
        <f t="shared" si="28"/>
        <v>0.29932643861165698</v>
      </c>
      <c r="AL384" s="321">
        <f t="shared" si="29"/>
        <v>0.1808259101021322</v>
      </c>
      <c r="AN384" s="321" t="e">
        <f t="shared" si="30"/>
        <v>#N/A</v>
      </c>
      <c r="AO384" s="321" t="e">
        <f t="shared" si="31"/>
        <v>#N/A</v>
      </c>
    </row>
    <row r="385" spans="35:41" ht="12" customHeight="1">
      <c r="AI385" s="321">
        <v>376</v>
      </c>
      <c r="AJ385" s="321">
        <f t="shared" si="32"/>
        <v>-0.99999999999999734</v>
      </c>
      <c r="AK385" s="321">
        <f t="shared" si="28"/>
        <v>0.30113743215480498</v>
      </c>
      <c r="AL385" s="321">
        <f t="shared" si="29"/>
        <v>0.1826490853890225</v>
      </c>
      <c r="AN385" s="321" t="e">
        <f t="shared" si="30"/>
        <v>#N/A</v>
      </c>
      <c r="AO385" s="321" t="e">
        <f t="shared" si="31"/>
        <v>#N/A</v>
      </c>
    </row>
    <row r="386" spans="35:41" ht="12" customHeight="1">
      <c r="AI386" s="321">
        <v>377</v>
      </c>
      <c r="AJ386" s="321">
        <f t="shared" si="32"/>
        <v>-0.99199999999999733</v>
      </c>
      <c r="AK386" s="321">
        <f t="shared" si="28"/>
        <v>0.30293999384383113</v>
      </c>
      <c r="AL386" s="321">
        <f t="shared" si="29"/>
        <v>0.18447883579775295</v>
      </c>
      <c r="AN386" s="321" t="e">
        <f t="shared" si="30"/>
        <v>#N/A</v>
      </c>
      <c r="AO386" s="321" t="e">
        <f t="shared" si="31"/>
        <v>#N/A</v>
      </c>
    </row>
    <row r="387" spans="35:41" ht="12" customHeight="1">
      <c r="AI387" s="321">
        <v>378</v>
      </c>
      <c r="AJ387" s="321">
        <f t="shared" si="32"/>
        <v>-0.98399999999999732</v>
      </c>
      <c r="AK387" s="321">
        <f t="shared" si="28"/>
        <v>0.30473384179593066</v>
      </c>
      <c r="AL387" s="321">
        <f t="shared" si="29"/>
        <v>0.18631499182323119</v>
      </c>
      <c r="AN387" s="321" t="e">
        <f t="shared" si="30"/>
        <v>#N/A</v>
      </c>
      <c r="AO387" s="321" t="e">
        <f t="shared" si="31"/>
        <v>#N/A</v>
      </c>
    </row>
    <row r="388" spans="35:41" ht="12" customHeight="1">
      <c r="AI388" s="321">
        <v>379</v>
      </c>
      <c r="AJ388" s="321">
        <f t="shared" si="32"/>
        <v>-0.97599999999999731</v>
      </c>
      <c r="AK388" s="321">
        <f t="shared" si="28"/>
        <v>0.30651869412804322</v>
      </c>
      <c r="AL388" s="321">
        <f t="shared" si="29"/>
        <v>0.18815738103183205</v>
      </c>
      <c r="AN388" s="321" t="e">
        <f t="shared" si="30"/>
        <v>#N/A</v>
      </c>
      <c r="AO388" s="321" t="e">
        <f t="shared" si="31"/>
        <v>#N/A</v>
      </c>
    </row>
    <row r="389" spans="35:41" ht="12" customHeight="1">
      <c r="AI389" s="321">
        <v>380</v>
      </c>
      <c r="AJ389" s="321">
        <f t="shared" si="32"/>
        <v>-0.96799999999999731</v>
      </c>
      <c r="AK389" s="321">
        <f t="shared" si="28"/>
        <v>0.30829426902922397</v>
      </c>
      <c r="AL389" s="321">
        <f t="shared" si="29"/>
        <v>0.19000582807661012</v>
      </c>
      <c r="AN389" s="321" t="e">
        <f t="shared" si="30"/>
        <v>#N/A</v>
      </c>
      <c r="AO389" s="321" t="e">
        <f t="shared" si="31"/>
        <v>#N/A</v>
      </c>
    </row>
    <row r="390" spans="35:41" ht="12" customHeight="1">
      <c r="AI390" s="321">
        <v>381</v>
      </c>
      <c r="AJ390" s="321">
        <f t="shared" si="32"/>
        <v>-0.9599999999999973</v>
      </c>
      <c r="AK390" s="321">
        <f t="shared" si="28"/>
        <v>0.31006028483341669</v>
      </c>
      <c r="AL390" s="321">
        <f t="shared" si="29"/>
        <v>0.19186015471359996</v>
      </c>
      <c r="AN390" s="321" t="e">
        <f t="shared" si="30"/>
        <v>#N/A</v>
      </c>
      <c r="AO390" s="321" t="e">
        <f t="shared" si="31"/>
        <v>#N/A</v>
      </c>
    </row>
    <row r="391" spans="35:41" ht="12" customHeight="1">
      <c r="AI391" s="321">
        <v>382</v>
      </c>
      <c r="AJ391" s="321">
        <f t="shared" si="32"/>
        <v>-0.95199999999999729</v>
      </c>
      <c r="AK391" s="321">
        <f t="shared" si="28"/>
        <v>0.31181646009260505</v>
      </c>
      <c r="AL391" s="321">
        <f t="shared" si="29"/>
        <v>0.19372017981920878</v>
      </c>
      <c r="AN391" s="321" t="e">
        <f t="shared" si="30"/>
        <v>#N/A</v>
      </c>
      <c r="AO391" s="321" t="e">
        <f t="shared" si="31"/>
        <v>#N/A</v>
      </c>
    </row>
    <row r="392" spans="35:41" ht="12" customHeight="1">
      <c r="AI392" s="321">
        <v>383</v>
      </c>
      <c r="AJ392" s="321">
        <f t="shared" si="32"/>
        <v>-0.94399999999999729</v>
      </c>
      <c r="AK392" s="321">
        <f t="shared" si="28"/>
        <v>0.31356251365031484</v>
      </c>
      <c r="AL392" s="321">
        <f t="shared" si="29"/>
        <v>0.19558571940870476</v>
      </c>
      <c r="AN392" s="321" t="e">
        <f t="shared" si="30"/>
        <v>#N/A</v>
      </c>
      <c r="AO392" s="321" t="e">
        <f t="shared" si="31"/>
        <v>#N/A</v>
      </c>
    </row>
    <row r="393" spans="35:41" ht="12" customHeight="1">
      <c r="AI393" s="321">
        <v>384</v>
      </c>
      <c r="AJ393" s="321">
        <f t="shared" si="32"/>
        <v>-0.93599999999999728</v>
      </c>
      <c r="AK393" s="321">
        <f t="shared" si="28"/>
        <v>0.31529816471544136</v>
      </c>
      <c r="AL393" s="321">
        <f t="shared" si="29"/>
        <v>0.1974565866558059</v>
      </c>
      <c r="AN393" s="321" t="e">
        <f t="shared" si="30"/>
        <v>#N/A</v>
      </c>
      <c r="AO393" s="321" t="e">
        <f t="shared" si="31"/>
        <v>#N/A</v>
      </c>
    </row>
    <row r="394" spans="35:41" ht="12" customHeight="1">
      <c r="AI394" s="321">
        <v>385</v>
      </c>
      <c r="AJ394" s="321">
        <f t="shared" si="32"/>
        <v>-0.92799999999999727</v>
      </c>
      <c r="AK394" s="321">
        <f t="shared" ref="AK394:AK457" si="33">NORMDIST(AJ394,$AH$26,$AH$28,FALSE)</f>
        <v>0.31702313293637568</v>
      </c>
      <c r="AL394" s="321">
        <f t="shared" ref="AL394:AL457" si="34">NORMDIST(AJ394,$AH$27,$AH$28,FALSE)</f>
        <v>0.19933259191337133</v>
      </c>
      <c r="AN394" s="321" t="e">
        <f t="shared" ref="AN394:AN457" si="35">IF(AND($AJ$7,$AH$27&gt;AJ394),AK394,NA())</f>
        <v>#N/A</v>
      </c>
      <c r="AO394" s="321" t="e">
        <f t="shared" ref="AO394:AO457" si="36">IF(AND($AJ$6,$AH$26&lt;AJ394+(drend-dlend)/$AO$6),AL394,NA())</f>
        <v>#N/A</v>
      </c>
    </row>
    <row r="395" spans="35:41" ht="12" customHeight="1">
      <c r="AI395" s="321">
        <v>386</v>
      </c>
      <c r="AJ395" s="321">
        <f t="shared" ref="AJ395:AJ458" si="37">AJ394+$AL$7</f>
        <v>-0.91999999999999726</v>
      </c>
      <c r="AK395" s="321">
        <f t="shared" si="33"/>
        <v>0.31873713847540208</v>
      </c>
      <c r="AL395" s="321">
        <f t="shared" si="34"/>
        <v>0.20121354273519801</v>
      </c>
      <c r="AN395" s="321" t="e">
        <f t="shared" si="35"/>
        <v>#N/A</v>
      </c>
      <c r="AO395" s="321" t="e">
        <f t="shared" si="36"/>
        <v>#N/A</v>
      </c>
    </row>
    <row r="396" spans="35:41" ht="12" customHeight="1">
      <c r="AI396" s="321">
        <v>387</v>
      </c>
      <c r="AJ396" s="321">
        <f t="shared" si="37"/>
        <v>-0.91199999999999726</v>
      </c>
      <c r="AK396" s="321">
        <f t="shared" si="33"/>
        <v>0.32043990208334039</v>
      </c>
      <c r="AL396" s="321">
        <f t="shared" si="34"/>
        <v>0.20309924389892561</v>
      </c>
      <c r="AN396" s="321" t="e">
        <f t="shared" si="35"/>
        <v>#N/A</v>
      </c>
      <c r="AO396" s="321" t="e">
        <f t="shared" si="36"/>
        <v>#N/A</v>
      </c>
    </row>
    <row r="397" spans="35:41" ht="12" customHeight="1">
      <c r="AI397" s="321">
        <v>388</v>
      </c>
      <c r="AJ397" s="321">
        <f t="shared" si="37"/>
        <v>-0.90399999999999725</v>
      </c>
      <c r="AK397" s="321">
        <f t="shared" si="33"/>
        <v>0.32213114517440528</v>
      </c>
      <c r="AL397" s="321">
        <f t="shared" si="34"/>
        <v>0.2049894974300504</v>
      </c>
      <c r="AN397" s="321" t="e">
        <f t="shared" si="35"/>
        <v>#N/A</v>
      </c>
      <c r="AO397" s="321" t="e">
        <f t="shared" si="36"/>
        <v>#N/A</v>
      </c>
    </row>
    <row r="398" spans="35:41" ht="12" customHeight="1">
      <c r="AI398" s="321">
        <v>389</v>
      </c>
      <c r="AJ398" s="321">
        <f t="shared" si="37"/>
        <v>-0.89599999999999724</v>
      </c>
      <c r="AK398" s="321">
        <f t="shared" si="33"/>
        <v>0.32381058990125489</v>
      </c>
      <c r="AL398" s="321">
        <f t="shared" si="34"/>
        <v>0.20688410262704993</v>
      </c>
      <c r="AN398" s="321" t="e">
        <f t="shared" si="35"/>
        <v>#N/A</v>
      </c>
      <c r="AO398" s="321" t="e">
        <f t="shared" si="36"/>
        <v>#N/A</v>
      </c>
    </row>
    <row r="399" spans="35:41" ht="12" customHeight="1">
      <c r="AI399" s="321">
        <v>390</v>
      </c>
      <c r="AJ399" s="321">
        <f t="shared" si="37"/>
        <v>-0.88799999999999724</v>
      </c>
      <c r="AK399" s="321">
        <f t="shared" si="33"/>
        <v>0.32547795923020145</v>
      </c>
      <c r="AL399" s="321">
        <f t="shared" si="34"/>
        <v>0.20878285608761873</v>
      </c>
      <c r="AN399" s="321" t="e">
        <f t="shared" si="35"/>
        <v>#N/A</v>
      </c>
      <c r="AO399" s="321" t="e">
        <f t="shared" si="36"/>
        <v>#N/A</v>
      </c>
    </row>
    <row r="400" spans="35:41" ht="12" customHeight="1">
      <c r="AI400" s="321">
        <v>391</v>
      </c>
      <c r="AJ400" s="321">
        <f t="shared" si="37"/>
        <v>-0.87999999999999723</v>
      </c>
      <c r="AK400" s="321">
        <f t="shared" si="33"/>
        <v>0.32713297701655503</v>
      </c>
      <c r="AL400" s="321">
        <f t="shared" si="34"/>
        <v>0.21068555173601591</v>
      </c>
      <c r="AN400" s="321" t="e">
        <f t="shared" si="35"/>
        <v>#N/A</v>
      </c>
      <c r="AO400" s="321" t="e">
        <f t="shared" si="36"/>
        <v>#N/A</v>
      </c>
    </row>
    <row r="401" spans="35:41" ht="12" customHeight="1">
      <c r="AI401" s="321">
        <v>392</v>
      </c>
      <c r="AJ401" s="321">
        <f t="shared" si="37"/>
        <v>-0.87199999999999722</v>
      </c>
      <c r="AK401" s="321">
        <f t="shared" si="33"/>
        <v>0.32877536808007229</v>
      </c>
      <c r="AL401" s="321">
        <f t="shared" si="34"/>
        <v>0.21259198085152381</v>
      </c>
      <c r="AN401" s="321" t="e">
        <f t="shared" si="35"/>
        <v>#N/A</v>
      </c>
      <c r="AO401" s="321" t="e">
        <f t="shared" si="36"/>
        <v>#N/A</v>
      </c>
    </row>
    <row r="402" spans="35:41" ht="12" customHeight="1">
      <c r="AI402" s="321">
        <v>393</v>
      </c>
      <c r="AJ402" s="321">
        <f t="shared" si="37"/>
        <v>-0.86399999999999721</v>
      </c>
      <c r="AK402" s="321">
        <f t="shared" si="33"/>
        <v>0.33040485828048272</v>
      </c>
      <c r="AL402" s="321">
        <f t="shared" si="34"/>
        <v>0.21450193209801693</v>
      </c>
      <c r="AN402" s="321" t="e">
        <f t="shared" si="35"/>
        <v>#N/A</v>
      </c>
      <c r="AO402" s="321" t="e">
        <f t="shared" si="36"/>
        <v>#N/A</v>
      </c>
    </row>
    <row r="403" spans="35:41" ht="12" customHeight="1">
      <c r="AI403" s="321">
        <v>394</v>
      </c>
      <c r="AJ403" s="321">
        <f t="shared" si="37"/>
        <v>-0.85599999999999721</v>
      </c>
      <c r="AK403" s="321">
        <f t="shared" si="33"/>
        <v>0.33202117459306185</v>
      </c>
      <c r="AL403" s="321">
        <f t="shared" si="34"/>
        <v>0.21641519155464073</v>
      </c>
      <c r="AN403" s="321" t="e">
        <f t="shared" si="35"/>
        <v>#N/A</v>
      </c>
      <c r="AO403" s="321" t="e">
        <f t="shared" si="36"/>
        <v>#N/A</v>
      </c>
    </row>
    <row r="404" spans="35:41" ht="12" customHeight="1">
      <c r="AI404" s="321">
        <v>395</v>
      </c>
      <c r="AJ404" s="321">
        <f t="shared" si="37"/>
        <v>-0.8479999999999972</v>
      </c>
      <c r="AK404" s="321">
        <f t="shared" si="33"/>
        <v>0.33362404518422428</v>
      </c>
      <c r="AL404" s="321">
        <f t="shared" si="34"/>
        <v>0.21833154274759678</v>
      </c>
      <c r="AN404" s="321" t="e">
        <f t="shared" si="35"/>
        <v>#N/A</v>
      </c>
      <c r="AO404" s="321" t="e">
        <f t="shared" si="36"/>
        <v>#N/A</v>
      </c>
    </row>
    <row r="405" spans="35:41" ht="12" customHeight="1">
      <c r="AI405" s="321">
        <v>396</v>
      </c>
      <c r="AJ405" s="321">
        <f t="shared" si="37"/>
        <v>-0.83999999999999719</v>
      </c>
      <c r="AK405" s="321">
        <f t="shared" si="33"/>
        <v>0.33521319948710665</v>
      </c>
      <c r="AL405" s="321">
        <f t="shared" si="34"/>
        <v>0.22025076668303395</v>
      </c>
      <c r="AN405" s="321" t="e">
        <f t="shared" si="35"/>
        <v>#N/A</v>
      </c>
      <c r="AO405" s="321" t="e">
        <f t="shared" si="36"/>
        <v>#N/A</v>
      </c>
    </row>
    <row r="406" spans="35:41" ht="12" customHeight="1">
      <c r="AI406" s="321">
        <v>397</v>
      </c>
      <c r="AJ406" s="321">
        <f t="shared" si="37"/>
        <v>-0.83199999999999719</v>
      </c>
      <c r="AK406" s="321">
        <f t="shared" si="33"/>
        <v>0.33678836827711145</v>
      </c>
      <c r="AL406" s="321">
        <f t="shared" si="34"/>
        <v>0.22217264188104127</v>
      </c>
      <c r="AN406" s="321" t="e">
        <f t="shared" si="35"/>
        <v>#N/A</v>
      </c>
      <c r="AO406" s="321" t="e">
        <f t="shared" si="36"/>
        <v>#N/A</v>
      </c>
    </row>
    <row r="407" spans="35:41" ht="12" customHeight="1">
      <c r="AI407" s="321">
        <v>398</v>
      </c>
      <c r="AJ407" s="321">
        <f t="shared" si="37"/>
        <v>-0.82399999999999718</v>
      </c>
      <c r="AK407" s="321">
        <f t="shared" si="33"/>
        <v>0.33834928374738305</v>
      </c>
      <c r="AL407" s="321">
        <f t="shared" si="34"/>
        <v>0.22409694441073988</v>
      </c>
      <c r="AN407" s="321" t="e">
        <f t="shared" si="35"/>
        <v>#N/A</v>
      </c>
      <c r="AO407" s="321" t="e">
        <f t="shared" si="36"/>
        <v>#N/A</v>
      </c>
    </row>
    <row r="408" spans="35:41" ht="12" customHeight="1">
      <c r="AI408" s="321">
        <v>399</v>
      </c>
      <c r="AJ408" s="321">
        <f t="shared" si="37"/>
        <v>-0.81599999999999717</v>
      </c>
      <c r="AK408" s="321">
        <f t="shared" si="33"/>
        <v>0.33989567958418526</v>
      </c>
      <c r="AL408" s="321">
        <f t="shared" si="34"/>
        <v>0.22602344792647017</v>
      </c>
      <c r="AN408" s="321" t="e">
        <f t="shared" si="35"/>
        <v>#N/A</v>
      </c>
      <c r="AO408" s="321" t="e">
        <f t="shared" si="36"/>
        <v>#N/A</v>
      </c>
    </row>
    <row r="409" spans="35:41" ht="12" customHeight="1">
      <c r="AI409" s="321">
        <v>400</v>
      </c>
      <c r="AJ409" s="321">
        <f t="shared" si="37"/>
        <v>-0.80799999999999716</v>
      </c>
      <c r="AK409" s="321">
        <f t="shared" si="33"/>
        <v>0.34142729104215258</v>
      </c>
      <c r="AL409" s="321">
        <f t="shared" si="34"/>
        <v>0.22795192370506911</v>
      </c>
      <c r="AN409" s="321" t="e">
        <f t="shared" si="35"/>
        <v>#N/A</v>
      </c>
      <c r="AO409" s="321" t="e">
        <f t="shared" si="36"/>
        <v>#N/A</v>
      </c>
    </row>
    <row r="410" spans="35:41" ht="12" customHeight="1">
      <c r="AI410" s="321">
        <v>401</v>
      </c>
      <c r="AJ410" s="321">
        <f t="shared" si="37"/>
        <v>-0.79999999999999716</v>
      </c>
      <c r="AK410" s="321">
        <f t="shared" si="33"/>
        <v>0.3429438550193844</v>
      </c>
      <c r="AL410" s="321">
        <f t="shared" si="34"/>
        <v>0.22988214068423368</v>
      </c>
      <c r="AN410" s="321" t="e">
        <f t="shared" si="35"/>
        <v>#N/A</v>
      </c>
      <c r="AO410" s="321" t="e">
        <f t="shared" si="36"/>
        <v>#N/A</v>
      </c>
    </row>
    <row r="411" spans="35:41" ht="12" customHeight="1">
      <c r="AI411" s="321">
        <v>402</v>
      </c>
      <c r="AJ411" s="321">
        <f t="shared" si="37"/>
        <v>-0.79199999999999715</v>
      </c>
      <c r="AK411" s="321">
        <f t="shared" si="33"/>
        <v>0.34444511013235302</v>
      </c>
      <c r="AL411" s="321">
        <f t="shared" si="34"/>
        <v>0.23181386550196442</v>
      </c>
      <c r="AN411" s="321" t="e">
        <f t="shared" si="35"/>
        <v>#N/A</v>
      </c>
      <c r="AO411" s="321" t="e">
        <f t="shared" si="36"/>
        <v>#N/A</v>
      </c>
    </row>
    <row r="412" spans="35:41" ht="12" customHeight="1">
      <c r="AI412" s="321">
        <v>403</v>
      </c>
      <c r="AJ412" s="321">
        <f t="shared" si="37"/>
        <v>-0.78399999999999714</v>
      </c>
      <c r="AK412" s="321">
        <f t="shared" si="33"/>
        <v>0.34593079679059541</v>
      </c>
      <c r="AL412" s="321">
        <f t="shared" si="34"/>
        <v>0.23374686253708299</v>
      </c>
      <c r="AN412" s="321" t="e">
        <f t="shared" si="35"/>
        <v>#N/A</v>
      </c>
      <c r="AO412" s="321" t="e">
        <f t="shared" si="36"/>
        <v>#N/A</v>
      </c>
    </row>
    <row r="413" spans="35:41" ht="12" customHeight="1">
      <c r="AI413" s="321">
        <v>404</v>
      </c>
      <c r="AJ413" s="321">
        <f t="shared" si="37"/>
        <v>-0.77599999999999714</v>
      </c>
      <c r="AK413" s="321">
        <f t="shared" si="33"/>
        <v>0.34740065727115998</v>
      </c>
      <c r="AL413" s="321">
        <f t="shared" si="34"/>
        <v>0.2356808939508179</v>
      </c>
      <c r="AN413" s="321" t="e">
        <f t="shared" si="35"/>
        <v>#N/A</v>
      </c>
      <c r="AO413" s="321" t="e">
        <f t="shared" si="36"/>
        <v>#N/A</v>
      </c>
    </row>
    <row r="414" spans="35:41" ht="12" customHeight="1">
      <c r="AI414" s="321">
        <v>405</v>
      </c>
      <c r="AJ414" s="321">
        <f t="shared" si="37"/>
        <v>-0.76799999999999713</v>
      </c>
      <c r="AK414" s="321">
        <f t="shared" si="33"/>
        <v>0.34885443579277736</v>
      </c>
      <c r="AL414" s="321">
        <f t="shared" si="34"/>
        <v>0.23761571972945048</v>
      </c>
      <c r="AN414" s="321" t="e">
        <f t="shared" si="35"/>
        <v>#N/A</v>
      </c>
      <c r="AO414" s="321" t="e">
        <f t="shared" si="36"/>
        <v>#N/A</v>
      </c>
    </row>
    <row r="415" spans="35:41" ht="12" customHeight="1">
      <c r="AI415" s="321">
        <v>406</v>
      </c>
      <c r="AJ415" s="321">
        <f t="shared" si="37"/>
        <v>-0.75999999999999712</v>
      </c>
      <c r="AK415" s="321">
        <f t="shared" si="33"/>
        <v>0.35029187858972632</v>
      </c>
      <c r="AL415" s="321">
        <f t="shared" si="34"/>
        <v>0.23955109772801403</v>
      </c>
      <c r="AN415" s="321" t="e">
        <f t="shared" si="35"/>
        <v>#N/A</v>
      </c>
      <c r="AO415" s="321" t="e">
        <f t="shared" si="36"/>
        <v>#N/A</v>
      </c>
    </row>
    <row r="416" spans="35:41" ht="12" customHeight="1">
      <c r="AI416" s="321">
        <v>407</v>
      </c>
      <c r="AJ416" s="321">
        <f t="shared" si="37"/>
        <v>-0.75199999999999712</v>
      </c>
      <c r="AK416" s="321">
        <f t="shared" si="33"/>
        <v>0.35171273398536473</v>
      </c>
      <c r="AL416" s="321">
        <f t="shared" si="34"/>
        <v>0.24148678371503801</v>
      </c>
      <c r="AN416" s="321" t="e">
        <f t="shared" si="35"/>
        <v>#N/A</v>
      </c>
      <c r="AO416" s="321" t="e">
        <f t="shared" si="36"/>
        <v>#N/A</v>
      </c>
    </row>
    <row r="417" spans="35:41" ht="12" customHeight="1">
      <c r="AI417" s="321">
        <v>408</v>
      </c>
      <c r="AJ417" s="321">
        <f t="shared" si="37"/>
        <v>-0.74399999999999711</v>
      </c>
      <c r="AK417" s="321">
        <f t="shared" si="33"/>
        <v>0.35311675246529656</v>
      </c>
      <c r="AL417" s="321">
        <f t="shared" si="34"/>
        <v>0.24342253141832823</v>
      </c>
      <c r="AN417" s="321" t="e">
        <f t="shared" si="35"/>
        <v>#N/A</v>
      </c>
      <c r="AO417" s="321" t="e">
        <f t="shared" si="36"/>
        <v>#N/A</v>
      </c>
    </row>
    <row r="418" spans="35:41" ht="12" customHeight="1">
      <c r="AI418" s="321">
        <v>409</v>
      </c>
      <c r="AJ418" s="321">
        <f t="shared" si="37"/>
        <v>-0.7359999999999971</v>
      </c>
      <c r="AK418" s="321">
        <f t="shared" si="33"/>
        <v>0.35450368675014371</v>
      </c>
      <c r="AL418" s="321">
        <f t="shared" si="34"/>
        <v>0.24535809257177435</v>
      </c>
      <c r="AN418" s="321" t="e">
        <f t="shared" si="35"/>
        <v>#N/A</v>
      </c>
      <c r="AO418" s="321" t="e">
        <f t="shared" si="36"/>
        <v>#N/A</v>
      </c>
    </row>
    <row r="419" spans="35:41" ht="12" customHeight="1">
      <c r="AI419" s="321">
        <v>410</v>
      </c>
      <c r="AJ419" s="321">
        <f t="shared" si="37"/>
        <v>-0.72799999999999709</v>
      </c>
      <c r="AK419" s="321">
        <f t="shared" si="33"/>
        <v>0.35587329186789496</v>
      </c>
      <c r="AL419" s="321">
        <f t="shared" si="34"/>
        <v>0.24729321696317441</v>
      </c>
      <c r="AN419" s="321" t="e">
        <f t="shared" si="35"/>
        <v>#N/A</v>
      </c>
      <c r="AO419" s="321" t="e">
        <f t="shared" si="36"/>
        <v>#N/A</v>
      </c>
    </row>
    <row r="420" spans="35:41" ht="12" customHeight="1">
      <c r="AI420" s="321">
        <v>411</v>
      </c>
      <c r="AJ420" s="321">
        <f t="shared" si="37"/>
        <v>-0.71999999999999709</v>
      </c>
      <c r="AK420" s="321">
        <f t="shared" si="33"/>
        <v>0.35722532522580125</v>
      </c>
      <c r="AL420" s="321">
        <f t="shared" si="34"/>
        <v>0.24922765248306661</v>
      </c>
      <c r="AN420" s="321" t="e">
        <f t="shared" si="35"/>
        <v>#N/A</v>
      </c>
      <c r="AO420" s="321" t="e">
        <f t="shared" si="36"/>
        <v>#N/A</v>
      </c>
    </row>
    <row r="421" spans="35:41" ht="12" customHeight="1">
      <c r="AI421" s="321">
        <v>412</v>
      </c>
      <c r="AJ421" s="321">
        <f t="shared" si="37"/>
        <v>-0.71199999999999708</v>
      </c>
      <c r="AK421" s="321">
        <f t="shared" si="33"/>
        <v>0.35855954668178835</v>
      </c>
      <c r="AL421" s="321">
        <f t="shared" si="34"/>
        <v>0.25116114517455695</v>
      </c>
      <c r="AN421" s="321" t="e">
        <f t="shared" si="35"/>
        <v>#N/A</v>
      </c>
      <c r="AO421" s="321" t="e">
        <f t="shared" si="36"/>
        <v>#N/A</v>
      </c>
    </row>
    <row r="422" spans="35:41" ht="12" customHeight="1">
      <c r="AI422" s="321">
        <v>413</v>
      </c>
      <c r="AJ422" s="321">
        <f t="shared" si="37"/>
        <v>-0.70399999999999707</v>
      </c>
      <c r="AK422" s="321">
        <f t="shared" si="33"/>
        <v>0.35987571861535711</v>
      </c>
      <c r="AL422" s="321">
        <f t="shared" si="34"/>
        <v>0.25309343928413208</v>
      </c>
      <c r="AN422" s="321" t="e">
        <f t="shared" si="35"/>
        <v>#N/A</v>
      </c>
      <c r="AO422" s="321" t="e">
        <f t="shared" si="36"/>
        <v>#N/A</v>
      </c>
    </row>
    <row r="423" spans="35:41" ht="12" customHeight="1">
      <c r="AI423" s="321">
        <v>414</v>
      </c>
      <c r="AJ423" s="321">
        <f t="shared" si="37"/>
        <v>-0.69599999999999707</v>
      </c>
      <c r="AK423" s="321">
        <f t="shared" si="33"/>
        <v>0.36117360599794296</v>
      </c>
      <c r="AL423" s="321">
        <f t="shared" si="34"/>
        <v>0.25502427731344474</v>
      </c>
      <c r="AN423" s="321" t="e">
        <f t="shared" si="35"/>
        <v>#N/A</v>
      </c>
      <c r="AO423" s="321" t="e">
        <f t="shared" si="36"/>
        <v>#N/A</v>
      </c>
    </row>
    <row r="424" spans="35:41" ht="12" customHeight="1">
      <c r="AI424" s="321">
        <v>415</v>
      </c>
      <c r="AJ424" s="321">
        <f t="shared" si="37"/>
        <v>-0.68799999999999706</v>
      </c>
      <c r="AK424" s="321">
        <f t="shared" si="33"/>
        <v>0.36245297646270463</v>
      </c>
      <c r="AL424" s="321">
        <f t="shared" si="34"/>
        <v>0.25695340007206013</v>
      </c>
      <c r="AN424" s="321" t="e">
        <f t="shared" si="35"/>
        <v>#N/A</v>
      </c>
      <c r="AO424" s="321" t="e">
        <f t="shared" si="36"/>
        <v>#N/A</v>
      </c>
    </row>
    <row r="425" spans="35:41" ht="12" customHeight="1">
      <c r="AI425" s="321">
        <v>416</v>
      </c>
      <c r="AJ425" s="321">
        <f t="shared" si="37"/>
        <v>-0.67999999999999705</v>
      </c>
      <c r="AK425" s="321">
        <f t="shared" si="33"/>
        <v>0.36371360037371381</v>
      </c>
      <c r="AL425" s="321">
        <f t="shared" si="34"/>
        <v>0.25888054673114952</v>
      </c>
      <c r="AN425" s="321" t="e">
        <f t="shared" si="35"/>
        <v>#N/A</v>
      </c>
      <c r="AO425" s="321" t="e">
        <f t="shared" si="36"/>
        <v>#N/A</v>
      </c>
    </row>
    <row r="426" spans="35:41" ht="12" customHeight="1">
      <c r="AI426" s="321">
        <v>417</v>
      </c>
      <c r="AJ426" s="321">
        <f t="shared" si="37"/>
        <v>-0.67199999999999704</v>
      </c>
      <c r="AK426" s="321">
        <f t="shared" si="33"/>
        <v>0.36495525089451636</v>
      </c>
      <c r="AL426" s="321">
        <f t="shared" si="34"/>
        <v>0.26080545487811813</v>
      </c>
      <c r="AN426" s="321" t="e">
        <f t="shared" si="35"/>
        <v>#N/A</v>
      </c>
      <c r="AO426" s="321" t="e">
        <f t="shared" si="36"/>
        <v>#N/A</v>
      </c>
    </row>
    <row r="427" spans="35:41" ht="12" customHeight="1">
      <c r="AI427" s="321">
        <v>418</v>
      </c>
      <c r="AJ427" s="321">
        <f t="shared" si="37"/>
        <v>-0.66399999999999704</v>
      </c>
      <c r="AK427" s="321">
        <f t="shared" si="33"/>
        <v>0.36617770405603706</v>
      </c>
      <c r="AL427" s="321">
        <f t="shared" si="34"/>
        <v>0.26272786057215303</v>
      </c>
      <c r="AN427" s="321" t="e">
        <f t="shared" si="35"/>
        <v>#N/A</v>
      </c>
      <c r="AO427" s="321" t="e">
        <f t="shared" si="36"/>
        <v>#N/A</v>
      </c>
    </row>
    <row r="428" spans="35:41" ht="12" customHeight="1">
      <c r="AI428" s="321">
        <v>419</v>
      </c>
      <c r="AJ428" s="321">
        <f t="shared" si="37"/>
        <v>-0.65599999999999703</v>
      </c>
      <c r="AK428" s="321">
        <f t="shared" si="33"/>
        <v>0.3673807388237994</v>
      </c>
      <c r="AL428" s="321">
        <f t="shared" si="34"/>
        <v>0.26464749840067719</v>
      </c>
      <c r="AN428" s="321" t="e">
        <f t="shared" si="35"/>
        <v>#N/A</v>
      </c>
      <c r="AO428" s="321" t="e">
        <f t="shared" si="36"/>
        <v>#N/A</v>
      </c>
    </row>
    <row r="429" spans="35:41" ht="12" customHeight="1">
      <c r="AI429" s="321">
        <v>420</v>
      </c>
      <c r="AJ429" s="321">
        <f t="shared" si="37"/>
        <v>-0.64799999999999702</v>
      </c>
      <c r="AK429" s="321">
        <f t="shared" si="33"/>
        <v>0.36856413716443182</v>
      </c>
      <c r="AL429" s="321">
        <f t="shared" si="34"/>
        <v>0.26656410153669319</v>
      </c>
      <c r="AN429" s="321" t="e">
        <f t="shared" si="35"/>
        <v>#N/A</v>
      </c>
      <c r="AO429" s="321" t="e">
        <f t="shared" si="36"/>
        <v>#N/A</v>
      </c>
    </row>
    <row r="430" spans="35:41" ht="12" customHeight="1">
      <c r="AI430" s="321">
        <v>421</v>
      </c>
      <c r="AJ430" s="321">
        <f t="shared" si="37"/>
        <v>-0.63999999999999702</v>
      </c>
      <c r="AK430" s="321">
        <f t="shared" si="33"/>
        <v>0.3697276841114327</v>
      </c>
      <c r="AL430" s="321">
        <f t="shared" si="34"/>
        <v>0.26847740179700308</v>
      </c>
      <c r="AN430" s="321" t="e">
        <f t="shared" si="35"/>
        <v>#N/A</v>
      </c>
      <c r="AO430" s="321" t="e">
        <f t="shared" si="36"/>
        <v>#N/A</v>
      </c>
    </row>
    <row r="431" spans="35:41" ht="12" customHeight="1">
      <c r="AI431" s="321">
        <v>422</v>
      </c>
      <c r="AJ431" s="321">
        <f t="shared" si="37"/>
        <v>-0.63199999999999701</v>
      </c>
      <c r="AK431" s="321">
        <f t="shared" si="33"/>
        <v>0.37087116783016671</v>
      </c>
      <c r="AL431" s="321">
        <f t="shared" si="34"/>
        <v>0.27038712970128626</v>
      </c>
      <c r="AN431" s="321" t="e">
        <f t="shared" si="35"/>
        <v>#N/A</v>
      </c>
      <c r="AO431" s="321" t="e">
        <f t="shared" si="36"/>
        <v>#N/A</v>
      </c>
    </row>
    <row r="432" spans="35:41" ht="12" customHeight="1">
      <c r="AI432" s="321">
        <v>423</v>
      </c>
      <c r="AJ432" s="321">
        <f t="shared" si="37"/>
        <v>-0.623999999999997</v>
      </c>
      <c r="AK432" s="321">
        <f t="shared" si="33"/>
        <v>0.371994379682064</v>
      </c>
      <c r="AL432" s="321">
        <f t="shared" si="34"/>
        <v>0.27229301453202076</v>
      </c>
      <c r="AN432" s="321" t="e">
        <f t="shared" si="35"/>
        <v>#N/A</v>
      </c>
      <c r="AO432" s="321" t="e">
        <f t="shared" si="36"/>
        <v>#N/A</v>
      </c>
    </row>
    <row r="433" spans="35:41" ht="12" customHeight="1">
      <c r="AI433" s="321">
        <v>424</v>
      </c>
      <c r="AJ433" s="321">
        <f t="shared" si="37"/>
        <v>-0.61599999999999699</v>
      </c>
      <c r="AK433" s="321">
        <f t="shared" si="33"/>
        <v>0.37309711428799647</v>
      </c>
      <c r="AL433" s="321">
        <f t="shared" si="34"/>
        <v>0.27419478439522921</v>
      </c>
      <c r="AN433" s="321" t="e">
        <f t="shared" si="35"/>
        <v>#N/A</v>
      </c>
      <c r="AO433" s="321" t="e">
        <f t="shared" si="36"/>
        <v>#N/A</v>
      </c>
    </row>
    <row r="434" spans="35:41" ht="12" customHeight="1">
      <c r="AI434" s="321">
        <v>425</v>
      </c>
      <c r="AJ434" s="321">
        <f t="shared" si="37"/>
        <v>-0.60799999999999699</v>
      </c>
      <c r="AK434" s="321">
        <f t="shared" si="33"/>
        <v>0.37417916959080322</v>
      </c>
      <c r="AL434" s="321">
        <f t="shared" si="34"/>
        <v>0.27609216628203315</v>
      </c>
      <c r="AN434" s="321" t="e">
        <f t="shared" si="35"/>
        <v>#N/A</v>
      </c>
      <c r="AO434" s="321" t="e">
        <f t="shared" si="36"/>
        <v>#N/A</v>
      </c>
    </row>
    <row r="435" spans="35:41" ht="12" customHeight="1">
      <c r="AI435" s="321">
        <v>426</v>
      </c>
      <c r="AJ435" s="321">
        <f t="shared" si="37"/>
        <v>-0.59999999999999698</v>
      </c>
      <c r="AK435" s="321">
        <f t="shared" si="33"/>
        <v>0.37524034691693825</v>
      </c>
      <c r="AL435" s="321">
        <f t="shared" si="34"/>
        <v>0.27798488613099714</v>
      </c>
      <c r="AN435" s="321" t="e">
        <f t="shared" si="35"/>
        <v>#N/A</v>
      </c>
      <c r="AO435" s="321" t="e">
        <f t="shared" si="36"/>
        <v>#N/A</v>
      </c>
    </row>
    <row r="436" spans="35:41" ht="12" customHeight="1">
      <c r="AI436" s="321">
        <v>427</v>
      </c>
      <c r="AJ436" s="321">
        <f t="shared" si="37"/>
        <v>-0.59199999999999697</v>
      </c>
      <c r="AK436" s="321">
        <f t="shared" si="33"/>
        <v>0.37628045103721564</v>
      </c>
      <c r="AL436" s="321">
        <f t="shared" si="34"/>
        <v>0.27987266889124418</v>
      </c>
      <c r="AN436" s="321" t="e">
        <f t="shared" si="35"/>
        <v>#N/A</v>
      </c>
      <c r="AO436" s="321" t="e">
        <f t="shared" si="36"/>
        <v>#N/A</v>
      </c>
    </row>
    <row r="437" spans="35:41" ht="12" customHeight="1">
      <c r="AI437" s="321">
        <v>428</v>
      </c>
      <c r="AJ437" s="321">
        <f t="shared" si="37"/>
        <v>-0.58399999999999697</v>
      </c>
      <c r="AK437" s="321">
        <f t="shared" si="33"/>
        <v>0.37729929022662434</v>
      </c>
      <c r="AL437" s="321">
        <f t="shared" si="34"/>
        <v>0.28175523858632345</v>
      </c>
      <c r="AN437" s="321" t="e">
        <f t="shared" si="35"/>
        <v>#N/A</v>
      </c>
      <c r="AO437" s="321" t="e">
        <f t="shared" si="36"/>
        <v>#N/A</v>
      </c>
    </row>
    <row r="438" spans="35:41" ht="12" customHeight="1">
      <c r="AI438" s="321">
        <v>429</v>
      </c>
      <c r="AJ438" s="321">
        <f t="shared" si="37"/>
        <v>-0.57599999999999696</v>
      </c>
      <c r="AK438" s="321">
        <f t="shared" si="33"/>
        <v>0.37829667632318831</v>
      </c>
      <c r="AL438" s="321">
        <f t="shared" si="34"/>
        <v>0.28363231837881131</v>
      </c>
      <c r="AN438" s="321" t="e">
        <f t="shared" si="35"/>
        <v>#N/A</v>
      </c>
      <c r="AO438" s="321" t="e">
        <f t="shared" si="36"/>
        <v>#N/A</v>
      </c>
    </row>
    <row r="439" spans="35:41" ht="12" customHeight="1">
      <c r="AI439" s="321">
        <v>430</v>
      </c>
      <c r="AJ439" s="321">
        <f t="shared" si="37"/>
        <v>-0.56799999999999695</v>
      </c>
      <c r="AK439" s="321">
        <f t="shared" si="33"/>
        <v>0.37927242478584611</v>
      </c>
      <c r="AL439" s="321">
        <f t="shared" si="34"/>
        <v>0.28550363063562495</v>
      </c>
      <c r="AN439" s="321" t="e">
        <f t="shared" si="35"/>
        <v>#N/A</v>
      </c>
      <c r="AO439" s="321" t="e">
        <f t="shared" si="36"/>
        <v>#N/A</v>
      </c>
    </row>
    <row r="440" spans="35:41" ht="12" customHeight="1">
      <c r="AI440" s="321">
        <v>431</v>
      </c>
      <c r="AJ440" s="321">
        <f t="shared" si="37"/>
        <v>-0.55999999999999694</v>
      </c>
      <c r="AK440" s="321">
        <f t="shared" si="33"/>
        <v>0.38022635475132521</v>
      </c>
      <c r="AL440" s="321">
        <f t="shared" si="34"/>
        <v>0.28736889699402901</v>
      </c>
      <c r="AN440" s="321" t="e">
        <f t="shared" si="35"/>
        <v>#N/A</v>
      </c>
      <c r="AO440" s="321" t="e">
        <f t="shared" si="36"/>
        <v>#N/A</v>
      </c>
    </row>
    <row r="441" spans="35:41" ht="12" customHeight="1">
      <c r="AI441" s="321">
        <v>432</v>
      </c>
      <c r="AJ441" s="321">
        <f t="shared" si="37"/>
        <v>-0.55199999999999694</v>
      </c>
      <c r="AK441" s="321">
        <f t="shared" si="33"/>
        <v>0.38115828908998645</v>
      </c>
      <c r="AL441" s="321">
        <f t="shared" si="34"/>
        <v>0.28922783842831357</v>
      </c>
      <c r="AN441" s="321" t="e">
        <f t="shared" si="35"/>
        <v>#N/A</v>
      </c>
      <c r="AO441" s="321" t="e">
        <f t="shared" si="36"/>
        <v>#N/A</v>
      </c>
    </row>
    <row r="442" spans="35:41" ht="12" customHeight="1">
      <c r="AI442" s="321">
        <v>433</v>
      </c>
      <c r="AJ442" s="321">
        <f t="shared" si="37"/>
        <v>-0.54399999999999693</v>
      </c>
      <c r="AK442" s="321">
        <f t="shared" si="33"/>
        <v>0.38206805446061454</v>
      </c>
      <c r="AL442" s="321">
        <f t="shared" si="34"/>
        <v>0.29108017531712377</v>
      </c>
      <c r="AN442" s="321" t="e">
        <f t="shared" si="35"/>
        <v>#N/A</v>
      </c>
      <c r="AO442" s="321" t="e">
        <f t="shared" si="36"/>
        <v>#N/A</v>
      </c>
    </row>
    <row r="443" spans="35:41" ht="12" customHeight="1">
      <c r="AI443" s="321">
        <v>434</v>
      </c>
      <c r="AJ443" s="321">
        <f t="shared" si="37"/>
        <v>-0.53599999999999692</v>
      </c>
      <c r="AK443" s="321">
        <f t="shared" si="33"/>
        <v>0.38295548136413077</v>
      </c>
      <c r="AL443" s="321">
        <f t="shared" si="34"/>
        <v>0.29292562751141688</v>
      </c>
      <c r="AN443" s="321" t="e">
        <f t="shared" si="35"/>
        <v>#N/A</v>
      </c>
      <c r="AO443" s="321" t="e">
        <f t="shared" si="36"/>
        <v>#N/A</v>
      </c>
    </row>
    <row r="444" spans="35:41" ht="12" customHeight="1">
      <c r="AI444" s="321">
        <v>435</v>
      </c>
      <c r="AJ444" s="321">
        <f t="shared" si="37"/>
        <v>-0.52799999999999692</v>
      </c>
      <c r="AK444" s="321">
        <f t="shared" si="33"/>
        <v>0.38382040419620483</v>
      </c>
      <c r="AL444" s="321">
        <f t="shared" si="34"/>
        <v>0.29476391440302752</v>
      </c>
      <c r="AN444" s="321" t="e">
        <f t="shared" si="35"/>
        <v>#N/A</v>
      </c>
      <c r="AO444" s="321" t="e">
        <f t="shared" si="36"/>
        <v>#N/A</v>
      </c>
    </row>
    <row r="445" spans="35:41" ht="12" customHeight="1">
      <c r="AI445" s="321">
        <v>436</v>
      </c>
      <c r="AJ445" s="321">
        <f t="shared" si="37"/>
        <v>-0.51999999999999691</v>
      </c>
      <c r="AK445" s="321">
        <f t="shared" si="33"/>
        <v>0.38466266129874305</v>
      </c>
      <c r="AL445" s="321">
        <f t="shared" si="34"/>
        <v>0.29659475499381638</v>
      </c>
      <c r="AN445" s="321" t="e">
        <f t="shared" si="35"/>
        <v>#N/A</v>
      </c>
      <c r="AO445" s="321" t="e">
        <f t="shared" si="36"/>
        <v>#N/A</v>
      </c>
    </row>
    <row r="446" spans="35:41" ht="12" customHeight="1">
      <c r="AI446" s="321">
        <v>437</v>
      </c>
      <c r="AJ446" s="321">
        <f t="shared" si="37"/>
        <v>-0.5119999999999969</v>
      </c>
      <c r="AK446" s="321">
        <f t="shared" si="33"/>
        <v>0.38548209501022995</v>
      </c>
      <c r="AL446" s="321">
        <f t="shared" si="34"/>
        <v>0.29841786796538039</v>
      </c>
      <c r="AN446" s="321" t="e">
        <f t="shared" si="35"/>
        <v>#N/A</v>
      </c>
      <c r="AO446" s="321" t="e">
        <f t="shared" si="36"/>
        <v>#N/A</v>
      </c>
    </row>
    <row r="447" spans="35:41" ht="12" customHeight="1">
      <c r="AI447" s="321">
        <v>438</v>
      </c>
      <c r="AJ447" s="321">
        <f t="shared" si="37"/>
        <v>-0.50399999999999689</v>
      </c>
      <c r="AK447" s="321">
        <f t="shared" si="33"/>
        <v>0.38627855171490177</v>
      </c>
      <c r="AL447" s="321">
        <f t="shared" si="34"/>
        <v>0.30023297174930119</v>
      </c>
      <c r="AN447" s="321" t="e">
        <f t="shared" si="35"/>
        <v>#N/A</v>
      </c>
      <c r="AO447" s="321" t="e">
        <f t="shared" si="36"/>
        <v>#N/A</v>
      </c>
    </row>
    <row r="448" spans="35:41" ht="12" customHeight="1">
      <c r="AI448" s="321">
        <v>439</v>
      </c>
      <c r="AJ448" s="321">
        <f t="shared" si="37"/>
        <v>-0.49599999999999689</v>
      </c>
      <c r="AK448" s="321">
        <f t="shared" si="33"/>
        <v>0.3870518818907307</v>
      </c>
      <c r="AL448" s="321">
        <f t="shared" si="34"/>
        <v>0.30203978459790748</v>
      </c>
      <c r="AN448" s="321" t="e">
        <f t="shared" si="35"/>
        <v>#N/A</v>
      </c>
      <c r="AO448" s="321" t="e">
        <f t="shared" si="36"/>
        <v>#N/A</v>
      </c>
    </row>
    <row r="449" spans="35:41" ht="12" customHeight="1">
      <c r="AI449" s="321">
        <v>440</v>
      </c>
      <c r="AJ449" s="321">
        <f t="shared" si="37"/>
        <v>-0.48799999999999688</v>
      </c>
      <c r="AK449" s="321">
        <f t="shared" si="33"/>
        <v>0.38780194015619796</v>
      </c>
      <c r="AL449" s="321">
        <f t="shared" si="34"/>
        <v>0.30383802465552817</v>
      </c>
      <c r="AN449" s="321" t="e">
        <f t="shared" si="35"/>
        <v>#N/A</v>
      </c>
      <c r="AO449" s="321" t="e">
        <f t="shared" si="36"/>
        <v>#N/A</v>
      </c>
    </row>
    <row r="450" spans="35:41" ht="12" customHeight="1">
      <c r="AI450" s="321">
        <v>441</v>
      </c>
      <c r="AJ450" s="321">
        <f t="shared" si="37"/>
        <v>-0.47999999999999687</v>
      </c>
      <c r="AK450" s="321">
        <f t="shared" si="33"/>
        <v>0.38852858531583612</v>
      </c>
      <c r="AL450" s="321">
        <f t="shared" si="34"/>
        <v>0.30562741003021054</v>
      </c>
      <c r="AN450" s="321" t="e">
        <f t="shared" si="35"/>
        <v>#N/A</v>
      </c>
      <c r="AO450" s="321" t="e">
        <f t="shared" si="36"/>
        <v>#N/A</v>
      </c>
    </row>
    <row r="451" spans="35:41" ht="12" customHeight="1">
      <c r="AI451" s="321">
        <v>442</v>
      </c>
      <c r="AJ451" s="321">
        <f t="shared" si="37"/>
        <v>-0.47199999999999687</v>
      </c>
      <c r="AK451" s="321">
        <f t="shared" si="33"/>
        <v>0.38923168040452044</v>
      </c>
      <c r="AL451" s="321">
        <f t="shared" si="34"/>
        <v>0.30740765886587995</v>
      </c>
      <c r="AN451" s="321" t="e">
        <f t="shared" si="35"/>
        <v>#N/A</v>
      </c>
      <c r="AO451" s="321" t="e">
        <f t="shared" si="36"/>
        <v>#N/A</v>
      </c>
    </row>
    <row r="452" spans="35:41" ht="12" customHeight="1">
      <c r="AI452" s="321">
        <v>443</v>
      </c>
      <c r="AJ452" s="321">
        <f t="shared" si="37"/>
        <v>-0.46399999999999686</v>
      </c>
      <c r="AK452" s="321">
        <f t="shared" si="33"/>
        <v>0.38991109273048946</v>
      </c>
      <c r="AL452" s="321">
        <f t="shared" si="34"/>
        <v>0.30917848941491499</v>
      </c>
      <c r="AN452" s="321" t="e">
        <f t="shared" si="35"/>
        <v>#N/A</v>
      </c>
      <c r="AO452" s="321" t="e">
        <f t="shared" si="36"/>
        <v>#N/A</v>
      </c>
    </row>
    <row r="453" spans="35:41" ht="12" customHeight="1">
      <c r="AI453" s="321">
        <v>444</v>
      </c>
      <c r="AJ453" s="321">
        <f t="shared" si="37"/>
        <v>-0.45599999999999685</v>
      </c>
      <c r="AK453" s="321">
        <f t="shared" si="33"/>
        <v>0.39056669391707599</v>
      </c>
      <c r="AL453" s="321">
        <f t="shared" si="34"/>
        <v>0.31093962011111287</v>
      </c>
      <c r="AN453" s="321" t="e">
        <f t="shared" si="35"/>
        <v>#N/A</v>
      </c>
      <c r="AO453" s="321" t="e">
        <f t="shared" si="36"/>
        <v>#N/A</v>
      </c>
    </row>
    <row r="454" spans="35:41" ht="12" customHeight="1">
      <c r="AI454" s="321">
        <v>445</v>
      </c>
      <c r="AJ454" s="321">
        <f t="shared" si="37"/>
        <v>-0.44799999999999685</v>
      </c>
      <c r="AK454" s="321">
        <f t="shared" si="33"/>
        <v>0.39119835994313107</v>
      </c>
      <c r="AL454" s="321">
        <f t="shared" si="34"/>
        <v>0.31269076964301956</v>
      </c>
      <c r="AN454" s="321" t="e">
        <f t="shared" si="35"/>
        <v>#N/A</v>
      </c>
      <c r="AO454" s="321" t="e">
        <f t="shared" si="36"/>
        <v>#N/A</v>
      </c>
    </row>
    <row r="455" spans="35:41" ht="12" customHeight="1">
      <c r="AI455" s="321">
        <v>446</v>
      </c>
      <c r="AJ455" s="321">
        <f t="shared" si="37"/>
        <v>-0.43999999999999684</v>
      </c>
      <c r="AK455" s="321">
        <f t="shared" si="33"/>
        <v>0.39180597118212129</v>
      </c>
      <c r="AL455" s="321">
        <f t="shared" si="34"/>
        <v>0.31443165702759795</v>
      </c>
      <c r="AN455" s="321" t="e">
        <f t="shared" si="35"/>
        <v>#N/A</v>
      </c>
      <c r="AO455" s="321" t="e">
        <f t="shared" si="36"/>
        <v>#N/A</v>
      </c>
    </row>
    <row r="456" spans="35:41" ht="12" customHeight="1">
      <c r="AI456" s="321">
        <v>447</v>
      </c>
      <c r="AJ456" s="321">
        <f t="shared" si="37"/>
        <v>-0.43199999999999683</v>
      </c>
      <c r="AK456" s="321">
        <f t="shared" si="33"/>
        <v>0.39238941243988412</v>
      </c>
      <c r="AL456" s="321">
        <f t="shared" si="34"/>
        <v>0.31616200168420788</v>
      </c>
      <c r="AN456" s="321" t="e">
        <f t="shared" si="35"/>
        <v>#N/A</v>
      </c>
      <c r="AO456" s="321" t="e">
        <f t="shared" si="36"/>
        <v>#N/A</v>
      </c>
    </row>
    <row r="457" spans="35:41" ht="12" customHeight="1">
      <c r="AI457" s="321">
        <v>448</v>
      </c>
      <c r="AJ457" s="321">
        <f t="shared" si="37"/>
        <v>-0.42399999999999682</v>
      </c>
      <c r="AK457" s="321">
        <f t="shared" si="33"/>
        <v>0.39294857299102326</v>
      </c>
      <c r="AL457" s="321">
        <f t="shared" si="34"/>
        <v>0.31788152350887128</v>
      </c>
      <c r="AN457" s="321" t="e">
        <f t="shared" si="35"/>
        <v>#N/A</v>
      </c>
      <c r="AO457" s="321" t="e">
        <f t="shared" si="36"/>
        <v>#N/A</v>
      </c>
    </row>
    <row r="458" spans="35:41" ht="12" customHeight="1">
      <c r="AI458" s="321">
        <v>449</v>
      </c>
      <c r="AJ458" s="321">
        <f t="shared" si="37"/>
        <v>-0.41599999999999682</v>
      </c>
      <c r="AK458" s="321">
        <f t="shared" ref="AK458:AK521" si="38">NORMDIST(AJ458,$AH$26,$AH$28,FALSE)</f>
        <v>0.39348334661392814</v>
      </c>
      <c r="AL458" s="321">
        <f t="shared" ref="AL458:AL521" si="39">NORMDIST(AJ458,$AH$27,$AH$28,FALSE)</f>
        <v>0.31958994294879589</v>
      </c>
      <c r="AN458" s="321" t="e">
        <f t="shared" ref="AN458:AN521" si="40">IF(AND($AJ$7,$AH$27&gt;AJ458),AK458,NA())</f>
        <v>#N/A</v>
      </c>
      <c r="AO458" s="321" t="e">
        <f t="shared" ref="AO458:AO521" si="41">IF(AND($AJ$6,$AH$26&lt;AJ458+(drend-dlend)/$AO$6),AL458,NA())</f>
        <v>#N/A</v>
      </c>
    </row>
    <row r="459" spans="35:41" ht="12" customHeight="1">
      <c r="AI459" s="321">
        <v>450</v>
      </c>
      <c r="AJ459" s="321">
        <f t="shared" ref="AJ459:AJ522" si="42">AJ458+$AL$7</f>
        <v>-0.40799999999999681</v>
      </c>
      <c r="AK459" s="321">
        <f t="shared" si="38"/>
        <v>0.39399363162440298</v>
      </c>
      <c r="AL459" s="321">
        <f t="shared" si="39"/>
        <v>0.32128698107712889</v>
      </c>
      <c r="AN459" s="321" t="e">
        <f t="shared" si="40"/>
        <v>#N/A</v>
      </c>
      <c r="AO459" s="321" t="e">
        <f t="shared" si="41"/>
        <v>#N/A</v>
      </c>
    </row>
    <row r="460" spans="35:41" ht="12" customHeight="1">
      <c r="AI460" s="321">
        <v>451</v>
      </c>
      <c r="AJ460" s="321">
        <f t="shared" si="42"/>
        <v>-0.3999999999999968</v>
      </c>
      <c r="AK460" s="321">
        <f t="shared" si="38"/>
        <v>0.39447933090788906</v>
      </c>
      <c r="AL460" s="321">
        <f t="shared" si="39"/>
        <v>0.32297235966791493</v>
      </c>
      <c r="AN460" s="321" t="e">
        <f t="shared" si="40"/>
        <v>#N/A</v>
      </c>
      <c r="AO460" s="321" t="e">
        <f t="shared" si="41"/>
        <v>#N/A</v>
      </c>
    </row>
    <row r="461" spans="35:41" ht="12" customHeight="1">
      <c r="AI461" s="321">
        <v>452</v>
      </c>
      <c r="AJ461" s="321">
        <f t="shared" si="42"/>
        <v>-0.3919999999999968</v>
      </c>
      <c r="AK461" s="321">
        <f t="shared" si="38"/>
        <v>0.39494035195026683</v>
      </c>
      <c r="AL461" s="321">
        <f t="shared" si="39"/>
        <v>0.32464580127122888</v>
      </c>
      <c r="AN461" s="321" t="e">
        <f t="shared" si="40"/>
        <v>#N/A</v>
      </c>
      <c r="AO461" s="321" t="e">
        <f t="shared" si="41"/>
        <v>#N/A</v>
      </c>
    </row>
    <row r="462" spans="35:41" ht="12" customHeight="1">
      <c r="AI462" s="321">
        <v>453</v>
      </c>
      <c r="AJ462" s="321">
        <f t="shared" si="42"/>
        <v>-0.38399999999999679</v>
      </c>
      <c r="AK462" s="321">
        <f t="shared" si="38"/>
        <v>0.39537660686722459</v>
      </c>
      <c r="AL462" s="321">
        <f t="shared" si="39"/>
        <v>0.32630702928845667</v>
      </c>
      <c r="AN462" s="321" t="e">
        <f t="shared" si="40"/>
        <v>#N/A</v>
      </c>
      <c r="AO462" s="321" t="e">
        <f t="shared" si="41"/>
        <v>#N/A</v>
      </c>
    </row>
    <row r="463" spans="35:41" ht="12" customHeight="1">
      <c r="AI463" s="321">
        <v>454</v>
      </c>
      <c r="AJ463" s="321">
        <f t="shared" si="42"/>
        <v>-0.37599999999999678</v>
      </c>
      <c r="AK463" s="321">
        <f t="shared" si="38"/>
        <v>0.39578801243217893</v>
      </c>
      <c r="AL463" s="321">
        <f t="shared" si="39"/>
        <v>0.327955768047695</v>
      </c>
      <c r="AN463" s="321" t="e">
        <f t="shared" si="40"/>
        <v>#N/A</v>
      </c>
      <c r="AO463" s="321" t="e">
        <f t="shared" si="41"/>
        <v>#N/A</v>
      </c>
    </row>
    <row r="464" spans="35:41" ht="12" customHeight="1">
      <c r="AI464" s="321">
        <v>455</v>
      </c>
      <c r="AJ464" s="321">
        <f t="shared" si="42"/>
        <v>-0.36799999999999677</v>
      </c>
      <c r="AK464" s="321">
        <f t="shared" si="38"/>
        <v>0.39617449010273681</v>
      </c>
      <c r="AL464" s="321">
        <f t="shared" si="39"/>
        <v>0.3295917428792427</v>
      </c>
      <c r="AN464" s="321" t="e">
        <f t="shared" si="40"/>
        <v>#N/A</v>
      </c>
      <c r="AO464" s="321" t="e">
        <f t="shared" si="41"/>
        <v>#N/A</v>
      </c>
    </row>
    <row r="465" spans="35:41" ht="12" customHeight="1">
      <c r="AI465" s="321">
        <v>456</v>
      </c>
      <c r="AJ465" s="321">
        <f t="shared" si="42"/>
        <v>-0.35999999999999677</v>
      </c>
      <c r="AK465" s="321">
        <f t="shared" si="38"/>
        <v>0.39653596604568592</v>
      </c>
      <c r="AL465" s="321">
        <f t="shared" si="39"/>
        <v>0.33121468019115352</v>
      </c>
      <c r="AN465" s="321" t="e">
        <f t="shared" si="40"/>
        <v>#N/A</v>
      </c>
      <c r="AO465" s="321" t="e">
        <f t="shared" si="41"/>
        <v>#N/A</v>
      </c>
    </row>
    <row r="466" spans="35:41" ht="12" customHeight="1">
      <c r="AI466" s="321">
        <v>457</v>
      </c>
      <c r="AJ466" s="321">
        <f t="shared" si="42"/>
        <v>-0.35199999999999676</v>
      </c>
      <c r="AK466" s="321">
        <f t="shared" si="38"/>
        <v>0.39687237116050211</v>
      </c>
      <c r="AL466" s="321">
        <f t="shared" si="39"/>
        <v>0.33282430754482351</v>
      </c>
      <c r="AN466" s="321" t="e">
        <f t="shared" si="40"/>
        <v>#N/A</v>
      </c>
      <c r="AO466" s="321" t="e">
        <f t="shared" si="41"/>
        <v>#N/A</v>
      </c>
    </row>
    <row r="467" spans="35:41" ht="12" customHeight="1">
      <c r="AI467" s="321">
        <v>458</v>
      </c>
      <c r="AJ467" s="321">
        <f t="shared" si="42"/>
        <v>-0.34399999999999675</v>
      </c>
      <c r="AK467" s="321">
        <f t="shared" si="38"/>
        <v>0.39718364110136506</v>
      </c>
      <c r="AL467" s="321">
        <f t="shared" si="39"/>
        <v>0.33442035373058215</v>
      </c>
      <c r="AN467" s="321" t="e">
        <f t="shared" si="40"/>
        <v>#N/A</v>
      </c>
      <c r="AO467" s="321" t="e">
        <f t="shared" si="41"/>
        <v>#N/A</v>
      </c>
    </row>
    <row r="468" spans="35:41" ht="12" customHeight="1">
      <c r="AI468" s="321">
        <v>459</v>
      </c>
      <c r="AJ468" s="321">
        <f t="shared" si="42"/>
        <v>-0.33599999999999675</v>
      </c>
      <c r="AK468" s="321">
        <f t="shared" si="38"/>
        <v>0.39746971629767031</v>
      </c>
      <c r="AL468" s="321">
        <f t="shared" si="39"/>
        <v>0.33600254884325947</v>
      </c>
      <c r="AN468" s="321" t="e">
        <f t="shared" si="40"/>
        <v>#N/A</v>
      </c>
      <c r="AO468" s="321" t="e">
        <f t="shared" si="41"/>
        <v>#N/A</v>
      </c>
    </row>
    <row r="469" spans="35:41" ht="12" customHeight="1">
      <c r="AI469" s="321">
        <v>460</v>
      </c>
      <c r="AJ469" s="321">
        <f t="shared" si="42"/>
        <v>-0.32799999999999674</v>
      </c>
      <c r="AK469" s="321">
        <f t="shared" si="38"/>
        <v>0.39773054197302948</v>
      </c>
      <c r="AL469" s="321">
        <f t="shared" si="39"/>
        <v>0.33757062435770002</v>
      </c>
      <c r="AN469" s="321" t="e">
        <f t="shared" si="40"/>
        <v>#N/A</v>
      </c>
      <c r="AO469" s="321" t="e">
        <f t="shared" si="41"/>
        <v>#N/A</v>
      </c>
    </row>
    <row r="470" spans="35:41" ht="12" customHeight="1">
      <c r="AI470" s="321">
        <v>461</v>
      </c>
      <c r="AJ470" s="321">
        <f t="shared" si="42"/>
        <v>-0.31999999999999673</v>
      </c>
      <c r="AK470" s="321">
        <f t="shared" si="38"/>
        <v>0.39796606816275104</v>
      </c>
      <c r="AL470" s="321">
        <f t="shared" si="39"/>
        <v>0.33912431320419278</v>
      </c>
      <c r="AN470" s="321" t="e">
        <f t="shared" si="40"/>
        <v>#N/A</v>
      </c>
      <c r="AO470" s="321" t="e">
        <f t="shared" si="41"/>
        <v>#N/A</v>
      </c>
    </row>
    <row r="471" spans="35:41" ht="12" customHeight="1">
      <c r="AI471" s="321">
        <v>462</v>
      </c>
      <c r="AJ471" s="321">
        <f t="shared" si="42"/>
        <v>-0.31199999999999672</v>
      </c>
      <c r="AK471" s="321">
        <f t="shared" si="38"/>
        <v>0.39817624972979176</v>
      </c>
      <c r="AL471" s="321">
        <f t="shared" si="39"/>
        <v>0.34066334984378965</v>
      </c>
      <c r="AN471" s="321" t="e">
        <f t="shared" si="40"/>
        <v>#N/A</v>
      </c>
      <c r="AO471" s="321" t="e">
        <f t="shared" si="41"/>
        <v>#N/A</v>
      </c>
    </row>
    <row r="472" spans="35:41" ht="12" customHeight="1">
      <c r="AI472" s="321">
        <v>463</v>
      </c>
      <c r="AJ472" s="321">
        <f t="shared" si="42"/>
        <v>-0.30399999999999672</v>
      </c>
      <c r="AK472" s="321">
        <f t="shared" si="38"/>
        <v>0.39836104637917352</v>
      </c>
      <c r="AL472" s="321">
        <f t="shared" si="39"/>
        <v>0.34218747034348174</v>
      </c>
      <c r="AN472" s="321" t="e">
        <f t="shared" si="40"/>
        <v>#N/A</v>
      </c>
      <c r="AO472" s="321" t="e">
        <f t="shared" si="41"/>
        <v>#N/A</v>
      </c>
    </row>
    <row r="473" spans="35:41" ht="12" customHeight="1">
      <c r="AI473" s="321">
        <v>464</v>
      </c>
      <c r="AJ473" s="321">
        <f t="shared" si="42"/>
        <v>-0.29599999999999671</v>
      </c>
      <c r="AK473" s="321">
        <f t="shared" si="38"/>
        <v>0.39852042267085847</v>
      </c>
      <c r="AL473" s="321">
        <f t="shared" si="39"/>
        <v>0.3436964124512043</v>
      </c>
      <c r="AN473" s="321" t="e">
        <f t="shared" si="40"/>
        <v>#N/A</v>
      </c>
      <c r="AO473" s="321" t="e">
        <f t="shared" si="41"/>
        <v>#N/A</v>
      </c>
    </row>
    <row r="474" spans="35:41" ht="12" customHeight="1">
      <c r="AI474" s="321">
        <v>465</v>
      </c>
      <c r="AJ474" s="321">
        <f t="shared" si="42"/>
        <v>-0.2879999999999967</v>
      </c>
      <c r="AK474" s="321">
        <f t="shared" si="38"/>
        <v>0.39865434803107641</v>
      </c>
      <c r="AL474" s="321">
        <f t="shared" si="39"/>
        <v>0.34518991567063995</v>
      </c>
      <c r="AN474" s="321" t="e">
        <f t="shared" si="40"/>
        <v>#N/A</v>
      </c>
      <c r="AO474" s="321" t="e">
        <f t="shared" si="41"/>
        <v>#N/A</v>
      </c>
    </row>
    <row r="475" spans="35:41" ht="12" customHeight="1">
      <c r="AI475" s="321">
        <v>466</v>
      </c>
      <c r="AJ475" s="321">
        <f t="shared" si="42"/>
        <v>-0.2799999999999967</v>
      </c>
      <c r="AK475" s="321">
        <f t="shared" si="38"/>
        <v>0.39876279676209969</v>
      </c>
      <c r="AL475" s="321">
        <f t="shared" si="39"/>
        <v>0.34666772133579221</v>
      </c>
      <c r="AN475" s="321" t="e">
        <f t="shared" si="40"/>
        <v>#N/A</v>
      </c>
      <c r="AO475" s="321" t="e">
        <f t="shared" si="41"/>
        <v>#N/A</v>
      </c>
    </row>
    <row r="476" spans="35:41" ht="12" customHeight="1">
      <c r="AI476" s="321">
        <v>467</v>
      </c>
      <c r="AJ476" s="321">
        <f t="shared" si="42"/>
        <v>-0.27199999999999669</v>
      </c>
      <c r="AK476" s="321">
        <f t="shared" si="38"/>
        <v>0.39884574805046108</v>
      </c>
      <c r="AL476" s="321">
        <f t="shared" si="39"/>
        <v>0.34812957268529754</v>
      </c>
      <c r="AN476" s="321" t="e">
        <f t="shared" si="40"/>
        <v>#N/A</v>
      </c>
      <c r="AO476" s="321" t="e">
        <f t="shared" si="41"/>
        <v>#N/A</v>
      </c>
    </row>
    <row r="477" spans="35:41" ht="12" customHeight="1">
      <c r="AI477" s="321">
        <v>468</v>
      </c>
      <c r="AJ477" s="321">
        <f t="shared" si="42"/>
        <v>-0.26399999999999668</v>
      </c>
      <c r="AK477" s="321">
        <f t="shared" si="38"/>
        <v>0.39890318597361157</v>
      </c>
      <c r="AL477" s="321">
        <f t="shared" si="39"/>
        <v>0.34957521493644761</v>
      </c>
      <c r="AN477" s="321" t="e">
        <f t="shared" si="40"/>
        <v>#N/A</v>
      </c>
      <c r="AO477" s="321" t="e">
        <f t="shared" si="41"/>
        <v>#N/A</v>
      </c>
    </row>
    <row r="478" spans="35:41" ht="12" customHeight="1">
      <c r="AI478" s="321">
        <v>469</v>
      </c>
      <c r="AJ478" s="321">
        <f t="shared" si="42"/>
        <v>-0.25599999999999667</v>
      </c>
      <c r="AK478" s="321">
        <f t="shared" si="38"/>
        <v>0.39893509950501366</v>
      </c>
      <c r="AL478" s="321">
        <f t="shared" si="39"/>
        <v>0.35100439535889161</v>
      </c>
      <c r="AN478" s="321" t="e">
        <f t="shared" si="40"/>
        <v>#N/A</v>
      </c>
      <c r="AO478" s="321" t="e">
        <f t="shared" si="41"/>
        <v>#N/A</v>
      </c>
    </row>
    <row r="479" spans="35:41" ht="12" customHeight="1">
      <c r="AI479" s="321">
        <v>470</v>
      </c>
      <c r="AJ479" s="321">
        <f t="shared" si="42"/>
        <v>-0.24799999999999667</v>
      </c>
      <c r="AK479" s="321">
        <f t="shared" si="38"/>
        <v>0.39894148251766975</v>
      </c>
      <c r="AL479" s="321">
        <f t="shared" si="39"/>
        <v>0.35241686334798844</v>
      </c>
      <c r="AN479" s="321" t="e">
        <f t="shared" si="40"/>
        <v>#N/A</v>
      </c>
      <c r="AO479" s="321">
        <f t="shared" si="41"/>
        <v>0.35241686334798844</v>
      </c>
    </row>
    <row r="480" spans="35:41" ht="12" customHeight="1">
      <c r="AI480" s="321">
        <v>471</v>
      </c>
      <c r="AJ480" s="321">
        <f t="shared" si="42"/>
        <v>-0.23999999999999666</v>
      </c>
      <c r="AK480" s="321">
        <f t="shared" si="38"/>
        <v>0.39892233378608211</v>
      </c>
      <c r="AL480" s="321">
        <f t="shared" si="39"/>
        <v>0.35381237049778025</v>
      </c>
      <c r="AN480" s="321" t="e">
        <f t="shared" si="40"/>
        <v>#N/A</v>
      </c>
      <c r="AO480" s="321">
        <f t="shared" si="41"/>
        <v>0.35381237049778025</v>
      </c>
    </row>
    <row r="481" spans="35:41" ht="12" customHeight="1">
      <c r="AI481" s="321">
        <v>472</v>
      </c>
      <c r="AJ481" s="321">
        <f t="shared" si="42"/>
        <v>-0.23199999999999665</v>
      </c>
      <c r="AK481" s="321">
        <f t="shared" si="38"/>
        <v>0.39887765698664551</v>
      </c>
      <c r="AL481" s="321">
        <f t="shared" si="39"/>
        <v>0.35519067067355647</v>
      </c>
      <c r="AN481" s="321" t="e">
        <f t="shared" si="40"/>
        <v>#N/A</v>
      </c>
      <c r="AO481" s="321">
        <f t="shared" si="41"/>
        <v>0.35519067067355647</v>
      </c>
    </row>
    <row r="482" spans="35:41" ht="12" customHeight="1">
      <c r="AI482" s="321">
        <v>473</v>
      </c>
      <c r="AJ482" s="321">
        <f t="shared" si="42"/>
        <v>-0.22399999999999665</v>
      </c>
      <c r="AK482" s="321">
        <f t="shared" si="38"/>
        <v>0.39880746069647055</v>
      </c>
      <c r="AL482" s="321">
        <f t="shared" si="39"/>
        <v>0.35655152008397956</v>
      </c>
      <c r="AN482" s="321" t="e">
        <f t="shared" si="40"/>
        <v>#N/A</v>
      </c>
      <c r="AO482" s="321">
        <f t="shared" si="41"/>
        <v>0.35655152008397956</v>
      </c>
    </row>
    <row r="483" spans="35:41" ht="12" customHeight="1">
      <c r="AI483" s="321">
        <v>474</v>
      </c>
      <c r="AJ483" s="321">
        <f t="shared" si="42"/>
        <v>-0.21599999999999664</v>
      </c>
      <c r="AK483" s="321">
        <f t="shared" si="38"/>
        <v>0.39871175839063949</v>
      </c>
      <c r="AL483" s="321">
        <f t="shared" si="39"/>
        <v>0.35789467735274261</v>
      </c>
      <c r="AN483" s="321" t="e">
        <f t="shared" si="40"/>
        <v>#N/A</v>
      </c>
      <c r="AO483" s="321">
        <f t="shared" si="41"/>
        <v>0.35789467735274261</v>
      </c>
    </row>
    <row r="484" spans="35:41" ht="12" customHeight="1">
      <c r="AI484" s="321">
        <v>475</v>
      </c>
      <c r="AJ484" s="321">
        <f t="shared" si="42"/>
        <v>-0.20799999999999663</v>
      </c>
      <c r="AK484" s="321">
        <f t="shared" si="38"/>
        <v>0.39859056843789487</v>
      </c>
      <c r="AL484" s="321">
        <f t="shared" si="39"/>
        <v>0.35921990358972949</v>
      </c>
      <c r="AN484" s="321" t="e">
        <f t="shared" si="40"/>
        <v>#N/A</v>
      </c>
      <c r="AO484" s="321">
        <f t="shared" si="41"/>
        <v>0.35921990358972949</v>
      </c>
    </row>
    <row r="485" spans="35:41" ht="12" customHeight="1">
      <c r="AI485" s="321">
        <v>476</v>
      </c>
      <c r="AJ485" s="321">
        <f t="shared" si="42"/>
        <v>-0.19999999999999662</v>
      </c>
      <c r="AK485" s="321">
        <f t="shared" si="38"/>
        <v>0.39844391409476393</v>
      </c>
      <c r="AL485" s="321">
        <f t="shared" si="39"/>
        <v>0.3605269624616485</v>
      </c>
      <c r="AN485" s="321" t="e">
        <f t="shared" si="40"/>
        <v>#N/A</v>
      </c>
      <c r="AO485" s="321">
        <f t="shared" si="41"/>
        <v>0.3605269624616485</v>
      </c>
    </row>
    <row r="486" spans="35:41" ht="12" customHeight="1">
      <c r="AI486" s="321">
        <v>477</v>
      </c>
      <c r="AJ486" s="321">
        <f t="shared" si="42"/>
        <v>-0.19199999999999662</v>
      </c>
      <c r="AK486" s="321">
        <f t="shared" si="38"/>
        <v>0.39827182349812018</v>
      </c>
      <c r="AL486" s="321">
        <f t="shared" si="39"/>
        <v>0.36181562026210978</v>
      </c>
      <c r="AN486" s="321" t="e">
        <f t="shared" si="40"/>
        <v>#N/A</v>
      </c>
      <c r="AO486" s="321">
        <f t="shared" si="41"/>
        <v>0.36181562026210978</v>
      </c>
    </row>
    <row r="487" spans="35:41" ht="12" customHeight="1">
      <c r="AI487" s="321">
        <v>478</v>
      </c>
      <c r="AJ487" s="321">
        <f t="shared" si="42"/>
        <v>-0.18399999999999661</v>
      </c>
      <c r="AK487" s="321">
        <f t="shared" si="38"/>
        <v>0.39807432965618678</v>
      </c>
      <c r="AL487" s="321">
        <f t="shared" si="39"/>
        <v>0.36308564598111848</v>
      </c>
      <c r="AN487" s="321" t="e">
        <f t="shared" si="40"/>
        <v>#N/A</v>
      </c>
      <c r="AO487" s="321">
        <f t="shared" si="41"/>
        <v>0.36308564598111848</v>
      </c>
    </row>
    <row r="488" spans="35:41" ht="12" customHeight="1">
      <c r="AI488" s="321">
        <v>479</v>
      </c>
      <c r="AJ488" s="321">
        <f t="shared" si="42"/>
        <v>-0.1759999999999966</v>
      </c>
      <c r="AK488" s="321">
        <f t="shared" si="38"/>
        <v>0.39785147043798447</v>
      </c>
      <c r="AL488" s="321">
        <f t="shared" si="39"/>
        <v>0.36433681137395357</v>
      </c>
      <c r="AN488" s="321" t="e">
        <f t="shared" si="40"/>
        <v>#N/A</v>
      </c>
      <c r="AO488" s="321">
        <f t="shared" si="41"/>
        <v>0.36433681137395357</v>
      </c>
    </row>
    <row r="489" spans="35:41" ht="12" customHeight="1">
      <c r="AI489" s="321">
        <v>480</v>
      </c>
      <c r="AJ489" s="321">
        <f t="shared" si="42"/>
        <v>-0.1679999999999966</v>
      </c>
      <c r="AK489" s="321">
        <f t="shared" si="38"/>
        <v>0.39760328856122967</v>
      </c>
      <c r="AL489" s="321">
        <f t="shared" si="39"/>
        <v>0.36556889102940437</v>
      </c>
      <c r="AN489" s="321" t="e">
        <f t="shared" si="40"/>
        <v>#N/A</v>
      </c>
      <c r="AO489" s="321">
        <f t="shared" si="41"/>
        <v>0.36556889102940437</v>
      </c>
    </row>
    <row r="490" spans="35:41" ht="12" customHeight="1">
      <c r="AI490" s="321">
        <v>481</v>
      </c>
      <c r="AJ490" s="321">
        <f t="shared" si="42"/>
        <v>-0.15999999999999659</v>
      </c>
      <c r="AK490" s="321">
        <f t="shared" si="38"/>
        <v>0.39732983157868818</v>
      </c>
      <c r="AL490" s="321">
        <f t="shared" si="39"/>
        <v>0.36678166243733662</v>
      </c>
      <c r="AN490" s="321" t="e">
        <f t="shared" si="40"/>
        <v>#N/A</v>
      </c>
      <c r="AO490" s="321">
        <f t="shared" si="41"/>
        <v>0.36678166243733662</v>
      </c>
    </row>
    <row r="491" spans="35:41" ht="12" customHeight="1">
      <c r="AI491" s="321">
        <v>482</v>
      </c>
      <c r="AJ491" s="321">
        <f t="shared" si="42"/>
        <v>-0.15199999999999658</v>
      </c>
      <c r="AK491" s="321">
        <f t="shared" si="38"/>
        <v>0.39703115186298943</v>
      </c>
      <c r="AL491" s="321">
        <f t="shared" si="39"/>
        <v>0.36797490605555855</v>
      </c>
      <c r="AN491" s="321" t="e">
        <f t="shared" si="40"/>
        <v>#N/A</v>
      </c>
      <c r="AO491" s="321">
        <f t="shared" si="41"/>
        <v>0.36797490605555855</v>
      </c>
    </row>
    <row r="492" spans="35:41" ht="12" customHeight="1">
      <c r="AI492" s="321">
        <v>483</v>
      </c>
      <c r="AJ492" s="321">
        <f t="shared" si="42"/>
        <v>-0.14399999999999658</v>
      </c>
      <c r="AK492" s="321">
        <f t="shared" si="38"/>
        <v>0.39670730658991016</v>
      </c>
      <c r="AL492" s="321">
        <f t="shared" si="39"/>
        <v>0.36914840537596044</v>
      </c>
      <c r="AN492" s="321" t="e">
        <f t="shared" si="40"/>
        <v>#N/A</v>
      </c>
      <c r="AO492" s="321">
        <f t="shared" si="41"/>
        <v>0.36914840537596044</v>
      </c>
    </row>
    <row r="493" spans="35:41" ht="12" customHeight="1">
      <c r="AI493" s="321">
        <v>484</v>
      </c>
      <c r="AJ493" s="321">
        <f t="shared" si="42"/>
        <v>-0.13599999999999657</v>
      </c>
      <c r="AK493" s="321">
        <f t="shared" si="38"/>
        <v>0.39635835772013256</v>
      </c>
      <c r="AL493" s="321">
        <f t="shared" si="39"/>
        <v>0.37030194698989832</v>
      </c>
      <c r="AN493" s="321" t="e">
        <f t="shared" si="40"/>
        <v>#N/A</v>
      </c>
      <c r="AO493" s="321">
        <f t="shared" si="41"/>
        <v>0.37030194698989832</v>
      </c>
    </row>
    <row r="494" spans="35:41" ht="12" customHeight="1">
      <c r="AI494" s="321">
        <v>485</v>
      </c>
      <c r="AJ494" s="321">
        <f t="shared" si="42"/>
        <v>-0.12799999999999656</v>
      </c>
      <c r="AK494" s="321">
        <f t="shared" si="38"/>
        <v>0.39598437197948705</v>
      </c>
      <c r="AL494" s="321">
        <f t="shared" si="39"/>
        <v>0.37143532065279555</v>
      </c>
      <c r="AN494" s="321" t="e">
        <f t="shared" si="40"/>
        <v>#N/A</v>
      </c>
      <c r="AO494" s="321">
        <f t="shared" si="41"/>
        <v>0.37143532065279555</v>
      </c>
    </row>
    <row r="495" spans="35:41" ht="12" customHeight="1">
      <c r="AI495" s="321">
        <v>486</v>
      </c>
      <c r="AJ495" s="321">
        <f t="shared" si="42"/>
        <v>-0.11999999999999655</v>
      </c>
      <c r="AK495" s="321">
        <f t="shared" si="38"/>
        <v>0.39558542083768716</v>
      </c>
      <c r="AL495" s="321">
        <f t="shared" si="39"/>
        <v>0.37254831934793387</v>
      </c>
      <c r="AN495" s="321" t="e">
        <f t="shared" si="40"/>
        <v>#N/A</v>
      </c>
      <c r="AO495" s="321">
        <f t="shared" si="41"/>
        <v>0.37254831934793387</v>
      </c>
    </row>
    <row r="496" spans="35:41" ht="12" customHeight="1">
      <c r="AI496" s="321">
        <v>487</v>
      </c>
      <c r="AJ496" s="321">
        <f t="shared" si="42"/>
        <v>-0.11199999999999655</v>
      </c>
      <c r="AK496" s="321">
        <f t="shared" si="38"/>
        <v>0.3951615804855671</v>
      </c>
      <c r="AL496" s="321">
        <f t="shared" si="39"/>
        <v>0.373640739349407</v>
      </c>
      <c r="AN496" s="321" t="e">
        <f t="shared" si="40"/>
        <v>#N/A</v>
      </c>
      <c r="AO496" s="321">
        <f t="shared" si="41"/>
        <v>0.373640739349407</v>
      </c>
    </row>
    <row r="497" spans="35:41" ht="12" customHeight="1">
      <c r="AI497" s="321">
        <v>488</v>
      </c>
      <c r="AJ497" s="321">
        <f t="shared" si="42"/>
        <v>-0.10399999999999654</v>
      </c>
      <c r="AK497" s="321">
        <f t="shared" si="38"/>
        <v>0.39471293181083106</v>
      </c>
      <c r="AL497" s="321">
        <f t="shared" si="39"/>
        <v>0.37471238028421161</v>
      </c>
      <c r="AN497" s="321" t="e">
        <f t="shared" si="40"/>
        <v>#N/A</v>
      </c>
      <c r="AO497" s="321">
        <f t="shared" si="41"/>
        <v>0.37471238028421161</v>
      </c>
    </row>
    <row r="498" spans="35:41" ht="12" customHeight="1">
      <c r="AI498" s="321">
        <v>489</v>
      </c>
      <c r="AJ498" s="321">
        <f t="shared" si="42"/>
        <v>-9.5999999999996533E-2</v>
      </c>
      <c r="AK498" s="321">
        <f t="shared" si="38"/>
        <v>0.39423956037232566</v>
      </c>
      <c r="AL498" s="321">
        <f t="shared" si="39"/>
        <v>0.375763045193446</v>
      </c>
      <c r="AN498" s="321" t="e">
        <f t="shared" si="40"/>
        <v>#N/A</v>
      </c>
      <c r="AO498" s="321">
        <f t="shared" si="41"/>
        <v>0.375763045193446</v>
      </c>
    </row>
    <row r="499" spans="35:41" ht="12" customHeight="1">
      <c r="AI499" s="321">
        <v>490</v>
      </c>
      <c r="AJ499" s="321">
        <f t="shared" si="42"/>
        <v>-8.7999999999996525E-2</v>
      </c>
      <c r="AK499" s="321">
        <f t="shared" si="38"/>
        <v>0.39374155637284763</v>
      </c>
      <c r="AL499" s="321">
        <f t="shared" si="39"/>
        <v>0.37679254059259387</v>
      </c>
      <c r="AN499" s="321" t="e">
        <f t="shared" si="40"/>
        <v>#N/A</v>
      </c>
      <c r="AO499" s="321">
        <f t="shared" si="41"/>
        <v>0.37679254059259387</v>
      </c>
    </row>
    <row r="500" spans="35:41" ht="12" customHeight="1">
      <c r="AI500" s="321">
        <v>491</v>
      </c>
      <c r="AJ500" s="321">
        <f t="shared" si="42"/>
        <v>-7.9999999999996518E-2</v>
      </c>
      <c r="AK500" s="321">
        <f t="shared" si="38"/>
        <v>0.39321901463049691</v>
      </c>
      <c r="AL500" s="321">
        <f t="shared" si="39"/>
        <v>0.37780067653086497</v>
      </c>
      <c r="AN500" s="321" t="e">
        <f t="shared" si="40"/>
        <v>#N/A</v>
      </c>
      <c r="AO500" s="321">
        <f t="shared" si="41"/>
        <v>0.37780067653086497</v>
      </c>
    </row>
    <row r="501" spans="35:41" ht="12" customHeight="1">
      <c r="AI501" s="321">
        <v>492</v>
      </c>
      <c r="AJ501" s="321">
        <f t="shared" si="42"/>
        <v>-7.1999999999996511E-2</v>
      </c>
      <c r="AK501" s="321">
        <f t="shared" si="38"/>
        <v>0.39267203454859023</v>
      </c>
      <c r="AL501" s="321">
        <f t="shared" si="39"/>
        <v>0.3787872666495678</v>
      </c>
      <c r="AN501" s="321" t="e">
        <f t="shared" si="40"/>
        <v>#N/A</v>
      </c>
      <c r="AO501" s="321">
        <f t="shared" si="41"/>
        <v>0.3787872666495678</v>
      </c>
    </row>
    <row r="502" spans="35:41" ht="12" customHeight="1">
      <c r="AI502" s="321">
        <v>493</v>
      </c>
      <c r="AJ502" s="321">
        <f t="shared" si="42"/>
        <v>-6.3999999999996504E-2</v>
      </c>
      <c r="AK502" s="321">
        <f t="shared" si="38"/>
        <v>0.39210072008414676</v>
      </c>
      <c r="AL502" s="321">
        <f t="shared" si="39"/>
        <v>0.37975212823948984</v>
      </c>
      <c r="AN502" s="321" t="e">
        <f t="shared" si="40"/>
        <v>#N/A</v>
      </c>
      <c r="AO502" s="321">
        <f t="shared" si="41"/>
        <v>0.37975212823948984</v>
      </c>
    </row>
    <row r="503" spans="35:41" ht="12" customHeight="1">
      <c r="AI503" s="321">
        <v>494</v>
      </c>
      <c r="AJ503" s="321">
        <f t="shared" si="42"/>
        <v>-5.5999999999996504E-2</v>
      </c>
      <c r="AK503" s="321">
        <f t="shared" si="38"/>
        <v>0.39150517971496079</v>
      </c>
      <c r="AL503" s="321">
        <f t="shared" si="39"/>
        <v>0.38069508229726007</v>
      </c>
      <c r="AN503" s="321" t="e">
        <f t="shared" si="40"/>
        <v>#N/A</v>
      </c>
      <c r="AO503" s="321">
        <f t="shared" si="41"/>
        <v>0.38069508229726007</v>
      </c>
    </row>
    <row r="504" spans="35:41" ht="12" customHeight="1">
      <c r="AI504" s="321">
        <v>495</v>
      </c>
      <c r="AJ504" s="321">
        <f t="shared" si="42"/>
        <v>-4.7999999999996504E-2</v>
      </c>
      <c r="AK504" s="321">
        <f t="shared" si="38"/>
        <v>0.39088552640527563</v>
      </c>
      <c r="AL504" s="321">
        <f t="shared" si="39"/>
        <v>0.38161595358066919</v>
      </c>
      <c r="AN504" s="321" t="e">
        <f t="shared" si="40"/>
        <v>#N/A</v>
      </c>
      <c r="AO504" s="321">
        <f t="shared" si="41"/>
        <v>0.38161595358066919</v>
      </c>
    </row>
    <row r="505" spans="35:41" ht="12" customHeight="1">
      <c r="AI505" s="321">
        <v>496</v>
      </c>
      <c r="AJ505" s="321">
        <f t="shared" si="42"/>
        <v>-3.9999999999996504E-2</v>
      </c>
      <c r="AK505" s="321">
        <f t="shared" si="38"/>
        <v>0.39024187757007395</v>
      </c>
      <c r="AL505" s="321">
        <f t="shared" si="39"/>
        <v>0.38251457066292438</v>
      </c>
      <c r="AN505" s="321" t="e">
        <f t="shared" si="40"/>
        <v>#N/A</v>
      </c>
      <c r="AO505" s="321">
        <f t="shared" si="41"/>
        <v>0.38251457066292438</v>
      </c>
    </row>
    <row r="506" spans="35:41" ht="12" customHeight="1">
      <c r="AI506" s="321">
        <v>497</v>
      </c>
      <c r="AJ506" s="321">
        <f t="shared" si="42"/>
        <v>-3.1999999999996503E-2</v>
      </c>
      <c r="AK506" s="321">
        <f t="shared" si="38"/>
        <v>0.3895743550380007</v>
      </c>
      <c r="AL506" s="321">
        <f t="shared" si="39"/>
        <v>0.38339076598581445</v>
      </c>
      <c r="AN506" s="321" t="e">
        <f t="shared" si="40"/>
        <v>#N/A</v>
      </c>
      <c r="AO506" s="321">
        <f t="shared" si="41"/>
        <v>0.38339076598581445</v>
      </c>
    </row>
    <row r="507" spans="35:41" ht="12" customHeight="1">
      <c r="AI507" s="321">
        <v>498</v>
      </c>
      <c r="AJ507" s="321">
        <f t="shared" si="42"/>
        <v>-2.3999999999996503E-2</v>
      </c>
      <c r="AK507" s="321">
        <f t="shared" si="38"/>
        <v>0.38888308501293439</v>
      </c>
      <c r="AL507" s="321">
        <f t="shared" si="39"/>
        <v>0.38424437591176253</v>
      </c>
      <c r="AN507" s="321" t="e">
        <f t="shared" si="40"/>
        <v>#N/A</v>
      </c>
      <c r="AO507" s="321">
        <f t="shared" si="41"/>
        <v>0.38424437591176253</v>
      </c>
    </row>
    <row r="508" spans="35:41" ht="12" customHeight="1">
      <c r="AI508" s="321">
        <v>499</v>
      </c>
      <c r="AJ508" s="321">
        <f t="shared" si="42"/>
        <v>-1.5999999999996503E-2</v>
      </c>
      <c r="AK508" s="321">
        <f t="shared" si="38"/>
        <v>0.38816819803422442</v>
      </c>
      <c r="AL508" s="321">
        <f t="shared" si="39"/>
        <v>0.38507524077474364</v>
      </c>
      <c r="AN508" s="321" t="e">
        <f t="shared" si="40"/>
        <v>#N/A</v>
      </c>
      <c r="AO508" s="321">
        <f t="shared" si="41"/>
        <v>0.38507524077474364</v>
      </c>
    </row>
    <row r="509" spans="35:41" ht="12" customHeight="1">
      <c r="AI509" s="321">
        <v>500</v>
      </c>
      <c r="AJ509" s="321">
        <f t="shared" si="42"/>
        <v>-7.999999999996503E-3</v>
      </c>
      <c r="AK509" s="321">
        <f t="shared" si="38"/>
        <v>0.3874298289356114</v>
      </c>
      <c r="AL509" s="321">
        <f t="shared" si="39"/>
        <v>0.38588320493004552</v>
      </c>
      <c r="AN509" s="321" t="e">
        <f t="shared" si="40"/>
        <v>#N/A</v>
      </c>
      <c r="AO509" s="321">
        <f t="shared" si="41"/>
        <v>0.38588320493004552</v>
      </c>
    </row>
    <row r="510" spans="35:41" ht="12" customHeight="1">
      <c r="AI510" s="321">
        <v>501</v>
      </c>
      <c r="AJ510" s="321">
        <f t="shared" si="42"/>
        <v>3.4972025275692431E-15</v>
      </c>
      <c r="AK510" s="321">
        <f t="shared" si="38"/>
        <v>0.38666811680284885</v>
      </c>
      <c r="AL510" s="321">
        <f t="shared" si="39"/>
        <v>0.38666811680284952</v>
      </c>
      <c r="AN510" s="321" t="e">
        <f t="shared" si="40"/>
        <v>#N/A</v>
      </c>
      <c r="AO510" s="321">
        <f t="shared" si="41"/>
        <v>0.38666811680284952</v>
      </c>
    </row>
    <row r="511" spans="35:41" ht="12" customHeight="1">
      <c r="AI511" s="321">
        <v>502</v>
      </c>
      <c r="AJ511" s="321">
        <f t="shared" si="42"/>
        <v>8.0000000000034974E-3</v>
      </c>
      <c r="AK511" s="321">
        <f t="shared" si="38"/>
        <v>0.38588320493004485</v>
      </c>
      <c r="AL511" s="321">
        <f t="shared" si="39"/>
        <v>0.38742982893561206</v>
      </c>
      <c r="AN511" s="321" t="e">
        <f t="shared" si="40"/>
        <v>#N/A</v>
      </c>
      <c r="AO511" s="321">
        <f t="shared" si="41"/>
        <v>0.38742982893561206</v>
      </c>
    </row>
    <row r="512" spans="35:41" ht="12" customHeight="1">
      <c r="AI512" s="321">
        <v>503</v>
      </c>
      <c r="AJ512" s="321">
        <f t="shared" si="42"/>
        <v>1.6000000000003498E-2</v>
      </c>
      <c r="AK512" s="321">
        <f t="shared" si="38"/>
        <v>0.38507524077474298</v>
      </c>
      <c r="AL512" s="321">
        <f t="shared" si="39"/>
        <v>0.38816819803422509</v>
      </c>
      <c r="AN512" s="321" t="e">
        <f t="shared" si="40"/>
        <v>#N/A</v>
      </c>
      <c r="AO512" s="321">
        <f t="shared" si="41"/>
        <v>0.38816819803422509</v>
      </c>
    </row>
    <row r="513" spans="35:41" ht="12" customHeight="1">
      <c r="AI513" s="321">
        <v>504</v>
      </c>
      <c r="AJ513" s="321">
        <f t="shared" si="42"/>
        <v>2.4000000000003498E-2</v>
      </c>
      <c r="AK513" s="321">
        <f t="shared" si="38"/>
        <v>0.38424437591176175</v>
      </c>
      <c r="AL513" s="321">
        <f t="shared" si="39"/>
        <v>0.388883085012935</v>
      </c>
      <c r="AN513" s="321" t="e">
        <f t="shared" si="40"/>
        <v>#N/A</v>
      </c>
      <c r="AO513" s="321">
        <f t="shared" si="41"/>
        <v>0.388883085012935</v>
      </c>
    </row>
    <row r="514" spans="35:41" ht="12" customHeight="1">
      <c r="AI514" s="321">
        <v>505</v>
      </c>
      <c r="AJ514" s="321">
        <f t="shared" si="42"/>
        <v>3.2000000000003498E-2</v>
      </c>
      <c r="AK514" s="321">
        <f t="shared" si="38"/>
        <v>0.38339076598581373</v>
      </c>
      <c r="AL514" s="321">
        <f t="shared" si="39"/>
        <v>0.38957435503800125</v>
      </c>
      <c r="AN514" s="321" t="e">
        <f t="shared" si="40"/>
        <v>#N/A</v>
      </c>
      <c r="AO514" s="321">
        <f t="shared" si="41"/>
        <v>0.38957435503800125</v>
      </c>
    </row>
    <row r="515" spans="35:41" ht="12" customHeight="1">
      <c r="AI515" s="321">
        <v>506</v>
      </c>
      <c r="AJ515" s="321">
        <f t="shared" si="42"/>
        <v>4.0000000000003498E-2</v>
      </c>
      <c r="AK515" s="321">
        <f t="shared" si="38"/>
        <v>0.3825145706629236</v>
      </c>
      <c r="AL515" s="321">
        <f t="shared" si="39"/>
        <v>0.3902418775700745</v>
      </c>
      <c r="AN515" s="321" t="e">
        <f t="shared" si="40"/>
        <v>#N/A</v>
      </c>
      <c r="AO515" s="321">
        <f t="shared" si="41"/>
        <v>0.3902418775700745</v>
      </c>
    </row>
    <row r="516" spans="35:41" ht="12" customHeight="1">
      <c r="AI516" s="321">
        <v>507</v>
      </c>
      <c r="AJ516" s="321">
        <f t="shared" si="42"/>
        <v>4.8000000000003498E-2</v>
      </c>
      <c r="AK516" s="321">
        <f t="shared" si="38"/>
        <v>0.38161595358066841</v>
      </c>
      <c r="AL516" s="321">
        <f t="shared" si="39"/>
        <v>0.39088552640527613</v>
      </c>
      <c r="AN516" s="321" t="e">
        <f t="shared" si="40"/>
        <v>#N/A</v>
      </c>
      <c r="AO516" s="321">
        <f t="shared" si="41"/>
        <v>0.39088552640527613</v>
      </c>
    </row>
    <row r="517" spans="35:41" ht="12" customHeight="1">
      <c r="AI517" s="321">
        <v>508</v>
      </c>
      <c r="AJ517" s="321">
        <f t="shared" si="42"/>
        <v>5.6000000000003498E-2</v>
      </c>
      <c r="AK517" s="321">
        <f t="shared" si="38"/>
        <v>0.38069508229725924</v>
      </c>
      <c r="AL517" s="321">
        <f t="shared" si="39"/>
        <v>0.39150517971496129</v>
      </c>
      <c r="AN517" s="321" t="e">
        <f t="shared" si="40"/>
        <v>#N/A</v>
      </c>
      <c r="AO517" s="321">
        <f t="shared" si="41"/>
        <v>0.39150517971496129</v>
      </c>
    </row>
    <row r="518" spans="35:41" ht="12" customHeight="1">
      <c r="AI518" s="321">
        <v>509</v>
      </c>
      <c r="AJ518" s="321">
        <f t="shared" si="42"/>
        <v>6.4000000000003499E-2</v>
      </c>
      <c r="AK518" s="321">
        <f t="shared" si="38"/>
        <v>0.37975212823948901</v>
      </c>
      <c r="AL518" s="321">
        <f t="shared" si="39"/>
        <v>0.39210072008414726</v>
      </c>
      <c r="AN518" s="321" t="e">
        <f t="shared" si="40"/>
        <v>#N/A</v>
      </c>
      <c r="AO518" s="321">
        <f t="shared" si="41"/>
        <v>0.39210072008414726</v>
      </c>
    </row>
    <row r="519" spans="35:41" ht="12" customHeight="1">
      <c r="AI519" s="321">
        <v>510</v>
      </c>
      <c r="AJ519" s="321">
        <f t="shared" si="42"/>
        <v>7.2000000000003506E-2</v>
      </c>
      <c r="AK519" s="321">
        <f t="shared" si="38"/>
        <v>0.37878726664956691</v>
      </c>
      <c r="AL519" s="321">
        <f t="shared" si="39"/>
        <v>0.39267203454859068</v>
      </c>
      <c r="AN519" s="321" t="e">
        <f t="shared" si="40"/>
        <v>#N/A</v>
      </c>
      <c r="AO519" s="321">
        <f t="shared" si="41"/>
        <v>0.39267203454859068</v>
      </c>
    </row>
    <row r="520" spans="35:41" ht="12" customHeight="1">
      <c r="AI520" s="321">
        <v>511</v>
      </c>
      <c r="AJ520" s="321">
        <f t="shared" si="42"/>
        <v>8.0000000000003513E-2</v>
      </c>
      <c r="AK520" s="321">
        <f t="shared" si="38"/>
        <v>0.37780067653086408</v>
      </c>
      <c r="AL520" s="321">
        <f t="shared" si="39"/>
        <v>0.39321901463049741</v>
      </c>
      <c r="AN520" s="321" t="e">
        <f t="shared" si="40"/>
        <v>#N/A</v>
      </c>
      <c r="AO520" s="321">
        <f t="shared" si="41"/>
        <v>0.39321901463049741</v>
      </c>
    </row>
    <row r="521" spans="35:41" ht="12" customHeight="1">
      <c r="AI521" s="321">
        <v>512</v>
      </c>
      <c r="AJ521" s="321">
        <f t="shared" si="42"/>
        <v>8.800000000000352E-2</v>
      </c>
      <c r="AK521" s="321">
        <f t="shared" si="38"/>
        <v>0.37679254059259298</v>
      </c>
      <c r="AL521" s="321">
        <f t="shared" si="39"/>
        <v>0.39374155637284808</v>
      </c>
      <c r="AN521" s="321" t="e">
        <f t="shared" si="40"/>
        <v>#N/A</v>
      </c>
      <c r="AO521" s="321">
        <f t="shared" si="41"/>
        <v>0.39374155637284808</v>
      </c>
    </row>
    <row r="522" spans="35:41" ht="12" customHeight="1">
      <c r="AI522" s="321">
        <v>513</v>
      </c>
      <c r="AJ522" s="321">
        <f t="shared" si="42"/>
        <v>9.6000000000003527E-2</v>
      </c>
      <c r="AK522" s="321">
        <f t="shared" ref="AK522:AK585" si="43">NORMDIST(AJ522,$AH$26,$AH$28,FALSE)</f>
        <v>0.37576304519344511</v>
      </c>
      <c r="AL522" s="321">
        <f t="shared" ref="AL522:AL585" si="44">NORMDIST(AJ522,$AH$27,$AH$28,FALSE)</f>
        <v>0.3942395603723261</v>
      </c>
      <c r="AN522" s="321" t="e">
        <f t="shared" ref="AN522:AN585" si="45">IF(AND($AJ$7,$AH$27&gt;AJ522),AK522,NA())</f>
        <v>#N/A</v>
      </c>
      <c r="AO522" s="321">
        <f t="shared" ref="AO522:AO585" si="46">IF(AND($AJ$6,$AH$26&lt;AJ522+(drend-dlend)/$AO$6),AL522,NA())</f>
        <v>0.3942395603723261</v>
      </c>
    </row>
    <row r="523" spans="35:41" ht="12" customHeight="1">
      <c r="AI523" s="321">
        <v>514</v>
      </c>
      <c r="AJ523" s="321">
        <f t="shared" ref="AJ523:AJ586" si="47">AJ522+$AL$7</f>
        <v>0.10400000000000353</v>
      </c>
      <c r="AK523" s="321">
        <f t="shared" si="43"/>
        <v>0.37471238028421067</v>
      </c>
      <c r="AL523" s="321">
        <f t="shared" si="44"/>
        <v>0.39471293181083145</v>
      </c>
      <c r="AN523" s="321" t="e">
        <f t="shared" si="45"/>
        <v>#N/A</v>
      </c>
      <c r="AO523" s="321">
        <f t="shared" si="46"/>
        <v>0.39471293181083145</v>
      </c>
    </row>
    <row r="524" spans="35:41" ht="12" customHeight="1">
      <c r="AI524" s="321">
        <v>515</v>
      </c>
      <c r="AJ524" s="321">
        <f t="shared" si="47"/>
        <v>0.11200000000000354</v>
      </c>
      <c r="AK524" s="321">
        <f t="shared" si="43"/>
        <v>0.37364073934940611</v>
      </c>
      <c r="AL524" s="321">
        <f t="shared" si="44"/>
        <v>0.39516158048556749</v>
      </c>
      <c r="AN524" s="321" t="e">
        <f t="shared" si="45"/>
        <v>#N/A</v>
      </c>
      <c r="AO524" s="321">
        <f t="shared" si="46"/>
        <v>0.39516158048556749</v>
      </c>
    </row>
    <row r="525" spans="35:41" ht="12" customHeight="1">
      <c r="AI525" s="321">
        <v>516</v>
      </c>
      <c r="AJ525" s="321">
        <f t="shared" si="47"/>
        <v>0.12000000000000355</v>
      </c>
      <c r="AK525" s="321">
        <f t="shared" si="43"/>
        <v>0.37254831934793287</v>
      </c>
      <c r="AL525" s="321">
        <f t="shared" si="44"/>
        <v>0.3955854208376875</v>
      </c>
      <c r="AN525" s="321" t="e">
        <f t="shared" si="45"/>
        <v>#N/A</v>
      </c>
      <c r="AO525" s="321">
        <f t="shared" si="46"/>
        <v>0.3955854208376875</v>
      </c>
    </row>
    <row r="526" spans="35:41" ht="12" customHeight="1">
      <c r="AI526" s="321">
        <v>517</v>
      </c>
      <c r="AJ526" s="321">
        <f t="shared" si="47"/>
        <v>0.12800000000000356</v>
      </c>
      <c r="AK526" s="321">
        <f t="shared" si="43"/>
        <v>0.37143532065279461</v>
      </c>
      <c r="AL526" s="321">
        <f t="shared" si="44"/>
        <v>0.39598437197948738</v>
      </c>
      <c r="AN526" s="321" t="e">
        <f t="shared" si="45"/>
        <v>#N/A</v>
      </c>
      <c r="AO526" s="321">
        <f t="shared" si="46"/>
        <v>0.39598437197948738</v>
      </c>
    </row>
    <row r="527" spans="35:41" ht="12" customHeight="1">
      <c r="AI527" s="321">
        <v>518</v>
      </c>
      <c r="AJ527" s="321">
        <f t="shared" si="47"/>
        <v>0.13600000000000356</v>
      </c>
      <c r="AK527" s="321">
        <f t="shared" si="43"/>
        <v>0.37030194698989732</v>
      </c>
      <c r="AL527" s="321">
        <f t="shared" si="44"/>
        <v>0.39635835772013289</v>
      </c>
      <c r="AN527" s="321" t="e">
        <f t="shared" si="45"/>
        <v>#N/A</v>
      </c>
      <c r="AO527" s="321">
        <f t="shared" si="46"/>
        <v>0.39635835772013289</v>
      </c>
    </row>
    <row r="528" spans="35:41" ht="12" customHeight="1">
      <c r="AI528" s="321">
        <v>519</v>
      </c>
      <c r="AJ528" s="321">
        <f t="shared" si="47"/>
        <v>0.14400000000000357</v>
      </c>
      <c r="AK528" s="321">
        <f t="shared" si="43"/>
        <v>0.36914840537595939</v>
      </c>
      <c r="AL528" s="321">
        <f t="shared" si="44"/>
        <v>0.39670730658991049</v>
      </c>
      <c r="AN528" s="321" t="e">
        <f t="shared" si="45"/>
        <v>#N/A</v>
      </c>
      <c r="AO528" s="321">
        <f t="shared" si="46"/>
        <v>0.39670730658991049</v>
      </c>
    </row>
    <row r="529" spans="35:41" ht="12" customHeight="1">
      <c r="AI529" s="321">
        <v>520</v>
      </c>
      <c r="AJ529" s="321">
        <f t="shared" si="47"/>
        <v>0.15200000000000358</v>
      </c>
      <c r="AK529" s="321">
        <f t="shared" si="43"/>
        <v>0.36797490605555749</v>
      </c>
      <c r="AL529" s="321">
        <f t="shared" si="44"/>
        <v>0.39703115186298971</v>
      </c>
      <c r="AN529" s="321" t="e">
        <f t="shared" si="45"/>
        <v>#N/A</v>
      </c>
      <c r="AO529" s="321">
        <f t="shared" si="46"/>
        <v>0.39703115186298971</v>
      </c>
    </row>
    <row r="530" spans="35:41" ht="12" customHeight="1">
      <c r="AI530" s="321">
        <v>521</v>
      </c>
      <c r="AJ530" s="321">
        <f t="shared" si="47"/>
        <v>0.16000000000000358</v>
      </c>
      <c r="AK530" s="321">
        <f t="shared" si="43"/>
        <v>0.36678166243733556</v>
      </c>
      <c r="AL530" s="321">
        <f t="shared" si="44"/>
        <v>0.3973298315786884</v>
      </c>
      <c r="AN530" s="321" t="e">
        <f t="shared" si="45"/>
        <v>#N/A</v>
      </c>
      <c r="AO530" s="321">
        <f t="shared" si="46"/>
        <v>0.3973298315786884</v>
      </c>
    </row>
    <row r="531" spans="35:41" ht="12" customHeight="1">
      <c r="AI531" s="321">
        <v>522</v>
      </c>
      <c r="AJ531" s="321">
        <f t="shared" si="47"/>
        <v>0.16800000000000359</v>
      </c>
      <c r="AK531" s="321">
        <f t="shared" si="43"/>
        <v>0.36556889102940332</v>
      </c>
      <c r="AL531" s="321">
        <f t="shared" si="44"/>
        <v>0.3976032885612299</v>
      </c>
      <c r="AN531" s="321" t="e">
        <f t="shared" si="45"/>
        <v>#N/A</v>
      </c>
      <c r="AO531" s="321">
        <f t="shared" si="46"/>
        <v>0.3976032885612299</v>
      </c>
    </row>
    <row r="532" spans="35:41" ht="12" customHeight="1">
      <c r="AI532" s="321">
        <v>523</v>
      </c>
      <c r="AJ532" s="321">
        <f t="shared" si="47"/>
        <v>0.1760000000000036</v>
      </c>
      <c r="AK532" s="321">
        <f t="shared" si="43"/>
        <v>0.36433681137395246</v>
      </c>
      <c r="AL532" s="321">
        <f t="shared" si="44"/>
        <v>0.39785147043798463</v>
      </c>
      <c r="AN532" s="321" t="e">
        <f t="shared" si="45"/>
        <v>#N/A</v>
      </c>
      <c r="AO532" s="321">
        <f t="shared" si="46"/>
        <v>0.39785147043798463</v>
      </c>
    </row>
    <row r="533" spans="35:41" ht="12" customHeight="1">
      <c r="AI533" s="321">
        <v>524</v>
      </c>
      <c r="AJ533" s="321">
        <f t="shared" si="47"/>
        <v>0.18400000000000361</v>
      </c>
      <c r="AK533" s="321">
        <f t="shared" si="43"/>
        <v>0.36308564598111737</v>
      </c>
      <c r="AL533" s="321">
        <f t="shared" si="44"/>
        <v>0.39807432965618694</v>
      </c>
      <c r="AN533" s="321" t="e">
        <f t="shared" si="45"/>
        <v>#N/A</v>
      </c>
      <c r="AO533" s="321">
        <f t="shared" si="46"/>
        <v>0.39807432965618694</v>
      </c>
    </row>
    <row r="534" spans="35:41" ht="12" customHeight="1">
      <c r="AI534" s="321">
        <v>525</v>
      </c>
      <c r="AJ534" s="321">
        <f t="shared" si="47"/>
        <v>0.19200000000000361</v>
      </c>
      <c r="AK534" s="321">
        <f t="shared" si="43"/>
        <v>0.36181562026210862</v>
      </c>
      <c r="AL534" s="321">
        <f t="shared" si="44"/>
        <v>0.39827182349812035</v>
      </c>
      <c r="AN534" s="321" t="e">
        <f t="shared" si="45"/>
        <v>#N/A</v>
      </c>
      <c r="AO534" s="321">
        <f t="shared" si="46"/>
        <v>0.39827182349812035</v>
      </c>
    </row>
    <row r="535" spans="35:41" ht="12" customHeight="1">
      <c r="AI535" s="321">
        <v>526</v>
      </c>
      <c r="AJ535" s="321">
        <f t="shared" si="47"/>
        <v>0.20000000000000362</v>
      </c>
      <c r="AK535" s="321">
        <f t="shared" si="43"/>
        <v>0.36052696246164734</v>
      </c>
      <c r="AL535" s="321">
        <f t="shared" si="44"/>
        <v>0.39844391409476404</v>
      </c>
      <c r="AN535" s="321" t="e">
        <f t="shared" si="45"/>
        <v>#N/A</v>
      </c>
      <c r="AO535" s="321">
        <f t="shared" si="46"/>
        <v>0.39844391409476404</v>
      </c>
    </row>
    <row r="536" spans="35:41" ht="12" customHeight="1">
      <c r="AI536" s="321">
        <v>527</v>
      </c>
      <c r="AJ536" s="321">
        <f t="shared" si="47"/>
        <v>0.20800000000000363</v>
      </c>
      <c r="AK536" s="321">
        <f t="shared" si="43"/>
        <v>0.35921990358972838</v>
      </c>
      <c r="AL536" s="321">
        <f t="shared" si="44"/>
        <v>0.39859056843789503</v>
      </c>
      <c r="AN536" s="321" t="e">
        <f t="shared" si="45"/>
        <v>#N/A</v>
      </c>
      <c r="AO536" s="321">
        <f t="shared" si="46"/>
        <v>0.39859056843789503</v>
      </c>
    </row>
    <row r="537" spans="35:41" ht="12" customHeight="1">
      <c r="AI537" s="321">
        <v>528</v>
      </c>
      <c r="AJ537" s="321">
        <f t="shared" si="47"/>
        <v>0.21600000000000363</v>
      </c>
      <c r="AK537" s="321">
        <f t="shared" si="43"/>
        <v>0.3578946773527415</v>
      </c>
      <c r="AL537" s="321">
        <f t="shared" si="44"/>
        <v>0.3987117583906396</v>
      </c>
      <c r="AN537" s="321" t="e">
        <f t="shared" si="45"/>
        <v>#N/A</v>
      </c>
      <c r="AO537" s="321">
        <f t="shared" si="46"/>
        <v>0.3987117583906396</v>
      </c>
    </row>
    <row r="538" spans="35:41" ht="12" customHeight="1">
      <c r="AI538" s="321">
        <v>529</v>
      </c>
      <c r="AJ538" s="321">
        <f t="shared" si="47"/>
        <v>0.22400000000000364</v>
      </c>
      <c r="AK538" s="321">
        <f t="shared" si="43"/>
        <v>0.35655152008397839</v>
      </c>
      <c r="AL538" s="321">
        <f t="shared" si="44"/>
        <v>0.39880746069647066</v>
      </c>
      <c r="AN538" s="321" t="e">
        <f t="shared" si="45"/>
        <v>#N/A</v>
      </c>
      <c r="AO538" s="321">
        <f t="shared" si="46"/>
        <v>0.39880746069647066</v>
      </c>
    </row>
    <row r="539" spans="35:41" ht="12" customHeight="1">
      <c r="AI539" s="321">
        <v>530</v>
      </c>
      <c r="AJ539" s="321">
        <f t="shared" si="47"/>
        <v>0.23200000000000365</v>
      </c>
      <c r="AK539" s="321">
        <f t="shared" si="43"/>
        <v>0.35519067067355525</v>
      </c>
      <c r="AL539" s="321">
        <f t="shared" si="44"/>
        <v>0.39887765698664557</v>
      </c>
      <c r="AN539" s="321" t="e">
        <f t="shared" si="45"/>
        <v>#N/A</v>
      </c>
      <c r="AO539" s="321">
        <f t="shared" si="46"/>
        <v>0.39887765698664557</v>
      </c>
    </row>
    <row r="540" spans="35:41" ht="12" customHeight="1">
      <c r="AI540" s="321">
        <v>531</v>
      </c>
      <c r="AJ540" s="321">
        <f t="shared" si="47"/>
        <v>0.24000000000000365</v>
      </c>
      <c r="AK540" s="321">
        <f t="shared" si="43"/>
        <v>0.35381237049777897</v>
      </c>
      <c r="AL540" s="321">
        <f t="shared" si="44"/>
        <v>0.39892233378608216</v>
      </c>
      <c r="AN540" s="321" t="e">
        <f t="shared" si="45"/>
        <v>#N/A</v>
      </c>
      <c r="AO540" s="321">
        <f t="shared" si="46"/>
        <v>0.39892233378608216</v>
      </c>
    </row>
    <row r="541" spans="35:41" ht="12" customHeight="1">
      <c r="AI541" s="321">
        <v>532</v>
      </c>
      <c r="AJ541" s="321">
        <f t="shared" si="47"/>
        <v>0.24800000000000366</v>
      </c>
      <c r="AK541" s="321">
        <f t="shared" si="43"/>
        <v>0.35241686334798716</v>
      </c>
      <c r="AL541" s="321">
        <f t="shared" si="44"/>
        <v>0.39894148251766975</v>
      </c>
      <c r="AN541" s="321" t="e">
        <f t="shared" si="45"/>
        <v>#N/A</v>
      </c>
      <c r="AO541" s="321">
        <f t="shared" si="46"/>
        <v>0.39894148251766975</v>
      </c>
    </row>
    <row r="542" spans="35:41" ht="12" customHeight="1">
      <c r="AI542" s="321">
        <v>533</v>
      </c>
      <c r="AJ542" s="321">
        <f t="shared" si="47"/>
        <v>0.25600000000000367</v>
      </c>
      <c r="AK542" s="321">
        <f t="shared" si="43"/>
        <v>0.35100439535889039</v>
      </c>
      <c r="AL542" s="321">
        <f t="shared" si="44"/>
        <v>0.39893509950501366</v>
      </c>
      <c r="AN542" s="321" t="e">
        <f t="shared" si="45"/>
        <v>#N/A</v>
      </c>
      <c r="AO542" s="321">
        <f t="shared" si="46"/>
        <v>0.39893509950501366</v>
      </c>
    </row>
    <row r="543" spans="35:41" ht="12" customHeight="1">
      <c r="AI543" s="321">
        <v>534</v>
      </c>
      <c r="AJ543" s="321">
        <f t="shared" si="47"/>
        <v>0.26400000000000368</v>
      </c>
      <c r="AK543" s="321">
        <f t="shared" si="43"/>
        <v>0.34957521493644639</v>
      </c>
      <c r="AL543" s="321">
        <f t="shared" si="44"/>
        <v>0.39890318597361152</v>
      </c>
      <c r="AN543" s="321" t="e">
        <f t="shared" si="45"/>
        <v>#N/A</v>
      </c>
      <c r="AO543" s="321">
        <f t="shared" si="46"/>
        <v>0.39890318597361152</v>
      </c>
    </row>
    <row r="544" spans="35:41" ht="12" customHeight="1">
      <c r="AI544" s="321">
        <v>535</v>
      </c>
      <c r="AJ544" s="321">
        <f t="shared" si="47"/>
        <v>0.27200000000000368</v>
      </c>
      <c r="AK544" s="321">
        <f t="shared" si="43"/>
        <v>0.34812957268529632</v>
      </c>
      <c r="AL544" s="321">
        <f t="shared" si="44"/>
        <v>0.39884574805046102</v>
      </c>
      <c r="AN544" s="321" t="e">
        <f t="shared" si="45"/>
        <v>#N/A</v>
      </c>
      <c r="AO544" s="321">
        <f t="shared" si="46"/>
        <v>0.39884574805046102</v>
      </c>
    </row>
    <row r="545" spans="35:41" ht="12" customHeight="1">
      <c r="AI545" s="321">
        <v>536</v>
      </c>
      <c r="AJ545" s="321">
        <f t="shared" si="47"/>
        <v>0.28000000000000369</v>
      </c>
      <c r="AK545" s="321">
        <f t="shared" si="43"/>
        <v>0.34666772133579093</v>
      </c>
      <c r="AL545" s="321">
        <f t="shared" si="44"/>
        <v>0.39876279676209964</v>
      </c>
      <c r="AN545" s="321" t="e">
        <f t="shared" si="45"/>
        <v>#N/A</v>
      </c>
      <c r="AO545" s="321">
        <f t="shared" si="46"/>
        <v>0.39876279676209964</v>
      </c>
    </row>
    <row r="546" spans="35:41" ht="12" customHeight="1">
      <c r="AI546" s="321">
        <v>537</v>
      </c>
      <c r="AJ546" s="321">
        <f t="shared" si="47"/>
        <v>0.2880000000000037</v>
      </c>
      <c r="AK546" s="321">
        <f t="shared" si="43"/>
        <v>0.34518991567063861</v>
      </c>
      <c r="AL546" s="321">
        <f t="shared" si="44"/>
        <v>0.39865434803107636</v>
      </c>
      <c r="AN546" s="321" t="e">
        <f t="shared" si="45"/>
        <v>#N/A</v>
      </c>
      <c r="AO546" s="321">
        <f t="shared" si="46"/>
        <v>0.39865434803107636</v>
      </c>
    </row>
    <row r="547" spans="35:41" ht="12" customHeight="1">
      <c r="AI547" s="321">
        <v>538</v>
      </c>
      <c r="AJ547" s="321">
        <f t="shared" si="47"/>
        <v>0.2960000000000037</v>
      </c>
      <c r="AK547" s="321">
        <f t="shared" si="43"/>
        <v>0.34369641245120297</v>
      </c>
      <c r="AL547" s="321">
        <f t="shared" si="44"/>
        <v>0.39852042267085835</v>
      </c>
      <c r="AN547" s="321" t="e">
        <f t="shared" si="45"/>
        <v>#N/A</v>
      </c>
      <c r="AO547" s="321">
        <f t="shared" si="46"/>
        <v>0.39852042267085835</v>
      </c>
    </row>
    <row r="548" spans="35:41" ht="12" customHeight="1">
      <c r="AI548" s="321">
        <v>539</v>
      </c>
      <c r="AJ548" s="321">
        <f t="shared" si="47"/>
        <v>0.30400000000000371</v>
      </c>
      <c r="AK548" s="321">
        <f t="shared" si="43"/>
        <v>0.3421874703434804</v>
      </c>
      <c r="AL548" s="321">
        <f t="shared" si="44"/>
        <v>0.39836104637917336</v>
      </c>
      <c r="AN548" s="321" t="e">
        <f t="shared" si="45"/>
        <v>#N/A</v>
      </c>
      <c r="AO548" s="321">
        <f t="shared" si="46"/>
        <v>0.39836104637917336</v>
      </c>
    </row>
    <row r="549" spans="35:41" ht="12" customHeight="1">
      <c r="AI549" s="321">
        <v>540</v>
      </c>
      <c r="AJ549" s="321">
        <f t="shared" si="47"/>
        <v>0.31200000000000372</v>
      </c>
      <c r="AK549" s="321">
        <f t="shared" si="43"/>
        <v>0.34066334984378832</v>
      </c>
      <c r="AL549" s="321">
        <f t="shared" si="44"/>
        <v>0.3981762497297916</v>
      </c>
      <c r="AN549" s="321" t="e">
        <f t="shared" si="45"/>
        <v>#N/A</v>
      </c>
      <c r="AO549" s="321">
        <f t="shared" si="46"/>
        <v>0.3981762497297916</v>
      </c>
    </row>
    <row r="550" spans="35:41" ht="12" customHeight="1">
      <c r="AI550" s="321">
        <v>541</v>
      </c>
      <c r="AJ550" s="321">
        <f t="shared" si="47"/>
        <v>0.32000000000000373</v>
      </c>
      <c r="AK550" s="321">
        <f t="shared" si="43"/>
        <v>0.3391243132041914</v>
      </c>
      <c r="AL550" s="321">
        <f t="shared" si="44"/>
        <v>0.39796606816275087</v>
      </c>
      <c r="AN550" s="321" t="e">
        <f t="shared" si="45"/>
        <v>#N/A</v>
      </c>
      <c r="AO550" s="321">
        <f t="shared" si="46"/>
        <v>0.39796606816275087</v>
      </c>
    </row>
    <row r="551" spans="35:41" ht="12" customHeight="1">
      <c r="AI551" s="321">
        <v>542</v>
      </c>
      <c r="AJ551" s="321">
        <f t="shared" si="47"/>
        <v>0.32800000000000373</v>
      </c>
      <c r="AK551" s="321">
        <f t="shared" si="43"/>
        <v>0.33757062435769869</v>
      </c>
      <c r="AL551" s="321">
        <f t="shared" si="44"/>
        <v>0.39773054197302926</v>
      </c>
      <c r="AN551" s="321" t="e">
        <f t="shared" si="45"/>
        <v>#N/A</v>
      </c>
      <c r="AO551" s="321">
        <f t="shared" si="46"/>
        <v>0.39773054197302926</v>
      </c>
    </row>
    <row r="552" spans="35:41" ht="12" customHeight="1">
      <c r="AI552" s="321">
        <v>543</v>
      </c>
      <c r="AJ552" s="321">
        <f t="shared" si="47"/>
        <v>0.33600000000000374</v>
      </c>
      <c r="AK552" s="321">
        <f t="shared" si="43"/>
        <v>0.33600254884325814</v>
      </c>
      <c r="AL552" s="321">
        <f t="shared" si="44"/>
        <v>0.39746971629767008</v>
      </c>
      <c r="AN552" s="321" t="e">
        <f t="shared" si="45"/>
        <v>#N/A</v>
      </c>
      <c r="AO552" s="321">
        <f t="shared" si="46"/>
        <v>0.39746971629767008</v>
      </c>
    </row>
    <row r="553" spans="35:41" ht="12" customHeight="1">
      <c r="AI553" s="321">
        <v>544</v>
      </c>
      <c r="AJ553" s="321">
        <f t="shared" si="47"/>
        <v>0.34400000000000375</v>
      </c>
      <c r="AK553" s="321">
        <f t="shared" si="43"/>
        <v>0.33442035373058071</v>
      </c>
      <c r="AL553" s="321">
        <f t="shared" si="44"/>
        <v>0.39718364110136484</v>
      </c>
      <c r="AN553" s="321" t="e">
        <f t="shared" si="45"/>
        <v>#N/A</v>
      </c>
      <c r="AO553" s="321">
        <f t="shared" si="46"/>
        <v>0.39718364110136484</v>
      </c>
    </row>
    <row r="554" spans="35:41" ht="12" customHeight="1">
      <c r="AI554" s="321">
        <v>545</v>
      </c>
      <c r="AJ554" s="321">
        <f t="shared" si="47"/>
        <v>0.35200000000000375</v>
      </c>
      <c r="AK554" s="321">
        <f t="shared" si="43"/>
        <v>0.33282430754482217</v>
      </c>
      <c r="AL554" s="321">
        <f t="shared" si="44"/>
        <v>0.39687237116050184</v>
      </c>
      <c r="AN554" s="321" t="e">
        <f t="shared" si="45"/>
        <v>#N/A</v>
      </c>
      <c r="AO554" s="321">
        <f t="shared" si="46"/>
        <v>0.39687237116050184</v>
      </c>
    </row>
    <row r="555" spans="35:41" ht="12" customHeight="1">
      <c r="AI555" s="321">
        <v>546</v>
      </c>
      <c r="AJ555" s="321">
        <f t="shared" si="47"/>
        <v>0.36000000000000376</v>
      </c>
      <c r="AK555" s="321">
        <f t="shared" si="43"/>
        <v>0.33121468019115219</v>
      </c>
      <c r="AL555" s="321">
        <f t="shared" si="44"/>
        <v>0.39653596604568558</v>
      </c>
      <c r="AN555" s="321" t="e">
        <f t="shared" si="45"/>
        <v>#N/A</v>
      </c>
      <c r="AO555" s="321">
        <f t="shared" si="46"/>
        <v>0.39653596604568558</v>
      </c>
    </row>
    <row r="556" spans="35:41" ht="12" customHeight="1">
      <c r="AI556" s="321">
        <v>547</v>
      </c>
      <c r="AJ556" s="321">
        <f t="shared" si="47"/>
        <v>0.36800000000000377</v>
      </c>
      <c r="AK556" s="321">
        <f t="shared" si="43"/>
        <v>0.32959174287924126</v>
      </c>
      <c r="AL556" s="321">
        <f t="shared" si="44"/>
        <v>0.39617449010273653</v>
      </c>
      <c r="AN556" s="321" t="e">
        <f t="shared" si="45"/>
        <v>#N/A</v>
      </c>
      <c r="AO556" s="321">
        <f t="shared" si="46"/>
        <v>0.39617449010273653</v>
      </c>
    </row>
    <row r="557" spans="35:41" ht="12" customHeight="1">
      <c r="AI557" s="321">
        <v>548</v>
      </c>
      <c r="AJ557" s="321">
        <f t="shared" si="47"/>
        <v>0.37600000000000378</v>
      </c>
      <c r="AK557" s="321">
        <f t="shared" si="43"/>
        <v>0.32795576804769361</v>
      </c>
      <c r="AL557" s="321">
        <f t="shared" si="44"/>
        <v>0.39578801243217854</v>
      </c>
      <c r="AN557" s="321" t="e">
        <f t="shared" si="45"/>
        <v>#N/A</v>
      </c>
      <c r="AO557" s="321">
        <f t="shared" si="46"/>
        <v>0.39578801243217854</v>
      </c>
    </row>
    <row r="558" spans="35:41" ht="12" customHeight="1">
      <c r="AI558" s="321">
        <v>549</v>
      </c>
      <c r="AJ558" s="321">
        <f t="shared" si="47"/>
        <v>0.38400000000000378</v>
      </c>
      <c r="AK558" s="321">
        <f t="shared" si="43"/>
        <v>0.32630702928845517</v>
      </c>
      <c r="AL558" s="321">
        <f t="shared" si="44"/>
        <v>0.3953766068672242</v>
      </c>
      <c r="AN558" s="321" t="e">
        <f t="shared" si="45"/>
        <v>#N/A</v>
      </c>
      <c r="AO558" s="321">
        <f t="shared" si="46"/>
        <v>0.3953766068672242</v>
      </c>
    </row>
    <row r="559" spans="35:41" ht="12" customHeight="1">
      <c r="AI559" s="321">
        <v>550</v>
      </c>
      <c r="AJ559" s="321">
        <f t="shared" si="47"/>
        <v>0.39200000000000379</v>
      </c>
      <c r="AK559" s="321">
        <f t="shared" si="43"/>
        <v>0.32464580127122744</v>
      </c>
      <c r="AL559" s="321">
        <f t="shared" si="44"/>
        <v>0.3949403519502665</v>
      </c>
      <c r="AN559" s="321" t="e">
        <f t="shared" si="45"/>
        <v>#N/A</v>
      </c>
      <c r="AO559" s="321">
        <f t="shared" si="46"/>
        <v>0.3949403519502665</v>
      </c>
    </row>
    <row r="560" spans="35:41" ht="12" customHeight="1">
      <c r="AI560" s="321">
        <v>551</v>
      </c>
      <c r="AJ560" s="321">
        <f t="shared" si="47"/>
        <v>0.4000000000000038</v>
      </c>
      <c r="AK560" s="321">
        <f t="shared" si="43"/>
        <v>0.32297235966791343</v>
      </c>
      <c r="AL560" s="321">
        <f t="shared" si="44"/>
        <v>0.39447933090788867</v>
      </c>
      <c r="AN560" s="321" t="e">
        <f t="shared" si="45"/>
        <v>#N/A</v>
      </c>
      <c r="AO560" s="321">
        <f t="shared" si="46"/>
        <v>0.39447933090788867</v>
      </c>
    </row>
    <row r="561" spans="35:41" ht="12" customHeight="1">
      <c r="AI561" s="321">
        <v>552</v>
      </c>
      <c r="AJ561" s="321">
        <f t="shared" si="47"/>
        <v>0.4080000000000038</v>
      </c>
      <c r="AK561" s="321">
        <f t="shared" si="43"/>
        <v>0.32128698107712739</v>
      </c>
      <c r="AL561" s="321">
        <f t="shared" si="44"/>
        <v>0.39399363162440254</v>
      </c>
      <c r="AN561" s="321" t="e">
        <f t="shared" si="45"/>
        <v>#N/A</v>
      </c>
      <c r="AO561" s="321">
        <f t="shared" si="46"/>
        <v>0.39399363162440254</v>
      </c>
    </row>
    <row r="562" spans="35:41" ht="12" customHeight="1">
      <c r="AI562" s="321">
        <v>553</v>
      </c>
      <c r="AJ562" s="321">
        <f t="shared" si="47"/>
        <v>0.41600000000000381</v>
      </c>
      <c r="AK562" s="321">
        <f t="shared" si="43"/>
        <v>0.31958994294879439</v>
      </c>
      <c r="AL562" s="321">
        <f t="shared" si="44"/>
        <v>0.3934833466139277</v>
      </c>
      <c r="AN562" s="321" t="e">
        <f t="shared" si="45"/>
        <v>#N/A</v>
      </c>
      <c r="AO562" s="321">
        <f t="shared" si="46"/>
        <v>0.3934833466139277</v>
      </c>
    </row>
    <row r="563" spans="35:41" ht="12" customHeight="1">
      <c r="AI563" s="321">
        <v>554</v>
      </c>
      <c r="AJ563" s="321">
        <f t="shared" si="47"/>
        <v>0.42400000000000382</v>
      </c>
      <c r="AK563" s="321">
        <f t="shared" si="43"/>
        <v>0.31788152350886978</v>
      </c>
      <c r="AL563" s="321">
        <f t="shared" si="44"/>
        <v>0.39294857299102276</v>
      </c>
      <c r="AN563" s="321" t="e">
        <f t="shared" si="45"/>
        <v>#N/A</v>
      </c>
      <c r="AO563" s="321">
        <f t="shared" si="46"/>
        <v>0.39294857299102276</v>
      </c>
    </row>
    <row r="564" spans="35:41" ht="12" customHeight="1">
      <c r="AI564" s="321">
        <v>555</v>
      </c>
      <c r="AJ564" s="321">
        <f t="shared" si="47"/>
        <v>0.43200000000000383</v>
      </c>
      <c r="AK564" s="321">
        <f t="shared" si="43"/>
        <v>0.31616200168420638</v>
      </c>
      <c r="AL564" s="321">
        <f t="shared" si="44"/>
        <v>0.39238941243988362</v>
      </c>
      <c r="AN564" s="321" t="e">
        <f t="shared" si="45"/>
        <v>#N/A</v>
      </c>
      <c r="AO564" s="321">
        <f t="shared" si="46"/>
        <v>0.39238941243988362</v>
      </c>
    </row>
    <row r="565" spans="35:41" ht="12" customHeight="1">
      <c r="AI565" s="321">
        <v>556</v>
      </c>
      <c r="AJ565" s="321">
        <f t="shared" si="47"/>
        <v>0.44000000000000383</v>
      </c>
      <c r="AK565" s="321">
        <f t="shared" si="43"/>
        <v>0.31443165702759646</v>
      </c>
      <c r="AL565" s="321">
        <f t="shared" si="44"/>
        <v>0.39180597118212074</v>
      </c>
      <c r="AN565" s="321" t="e">
        <f t="shared" si="45"/>
        <v>#N/A</v>
      </c>
      <c r="AO565" s="321">
        <f t="shared" si="46"/>
        <v>0.39180597118212074</v>
      </c>
    </row>
    <row r="566" spans="35:41" ht="12" customHeight="1">
      <c r="AI566" s="321">
        <v>557</v>
      </c>
      <c r="AJ566" s="321">
        <f t="shared" si="47"/>
        <v>0.44800000000000384</v>
      </c>
      <c r="AK566" s="321">
        <f t="shared" si="43"/>
        <v>0.31269076964301801</v>
      </c>
      <c r="AL566" s="321">
        <f t="shared" si="44"/>
        <v>0.39119835994313051</v>
      </c>
      <c r="AN566" s="321" t="e">
        <f t="shared" si="45"/>
        <v>#N/A</v>
      </c>
      <c r="AO566" s="321">
        <f t="shared" si="46"/>
        <v>0.39119835994313051</v>
      </c>
    </row>
    <row r="567" spans="35:41" ht="12" customHeight="1">
      <c r="AI567" s="321">
        <v>558</v>
      </c>
      <c r="AJ567" s="321">
        <f t="shared" si="47"/>
        <v>0.45600000000000385</v>
      </c>
      <c r="AK567" s="321">
        <f t="shared" si="43"/>
        <v>0.31093962011111131</v>
      </c>
      <c r="AL567" s="321">
        <f t="shared" si="44"/>
        <v>0.39056669391707544</v>
      </c>
      <c r="AN567" s="321" t="e">
        <f t="shared" si="45"/>
        <v>#N/A</v>
      </c>
      <c r="AO567" s="321">
        <f t="shared" si="46"/>
        <v>0.39056669391707544</v>
      </c>
    </row>
    <row r="568" spans="35:41" ht="12" customHeight="1">
      <c r="AI568" s="321">
        <v>559</v>
      </c>
      <c r="AJ568" s="321">
        <f t="shared" si="47"/>
        <v>0.46400000000000385</v>
      </c>
      <c r="AK568" s="321">
        <f t="shared" si="43"/>
        <v>0.30917848941491344</v>
      </c>
      <c r="AL568" s="321">
        <f t="shared" si="44"/>
        <v>0.38991109273048891</v>
      </c>
      <c r="AN568" s="321" t="e">
        <f t="shared" si="45"/>
        <v>#N/A</v>
      </c>
      <c r="AO568" s="321">
        <f t="shared" si="46"/>
        <v>0.38991109273048891</v>
      </c>
    </row>
    <row r="569" spans="35:41" ht="12" customHeight="1">
      <c r="AI569" s="321">
        <v>560</v>
      </c>
      <c r="AJ569" s="321">
        <f t="shared" si="47"/>
        <v>0.47200000000000386</v>
      </c>
      <c r="AK569" s="321">
        <f t="shared" si="43"/>
        <v>0.3074076588658784</v>
      </c>
      <c r="AL569" s="321">
        <f t="shared" si="44"/>
        <v>0.38923168040451989</v>
      </c>
      <c r="AN569" s="321" t="e">
        <f t="shared" si="45"/>
        <v>#N/A</v>
      </c>
      <c r="AO569" s="321">
        <f t="shared" si="46"/>
        <v>0.38923168040451989</v>
      </c>
    </row>
    <row r="570" spans="35:41" ht="12" customHeight="1">
      <c r="AI570" s="321">
        <v>561</v>
      </c>
      <c r="AJ570" s="321">
        <f t="shared" si="47"/>
        <v>0.48000000000000387</v>
      </c>
      <c r="AK570" s="321">
        <f t="shared" si="43"/>
        <v>0.30562741003020899</v>
      </c>
      <c r="AL570" s="321">
        <f t="shared" si="44"/>
        <v>0.38852858531583551</v>
      </c>
      <c r="AN570" s="321" t="e">
        <f t="shared" si="45"/>
        <v>#N/A</v>
      </c>
      <c r="AO570" s="321">
        <f t="shared" si="46"/>
        <v>0.38852858531583551</v>
      </c>
    </row>
    <row r="571" spans="35:41" ht="12" customHeight="1">
      <c r="AI571" s="321">
        <v>562</v>
      </c>
      <c r="AJ571" s="321">
        <f t="shared" si="47"/>
        <v>0.48800000000000388</v>
      </c>
      <c r="AK571" s="321">
        <f t="shared" si="43"/>
        <v>0.30383802465552662</v>
      </c>
      <c r="AL571" s="321">
        <f t="shared" si="44"/>
        <v>0.38780194015619729</v>
      </c>
      <c r="AN571" s="321" t="e">
        <f t="shared" si="45"/>
        <v>#N/A</v>
      </c>
      <c r="AO571" s="321">
        <f t="shared" si="46"/>
        <v>0.38780194015619729</v>
      </c>
    </row>
    <row r="572" spans="35:41" ht="12" customHeight="1">
      <c r="AI572" s="321">
        <v>563</v>
      </c>
      <c r="AJ572" s="321">
        <f t="shared" si="47"/>
        <v>0.49600000000000388</v>
      </c>
      <c r="AK572" s="321">
        <f t="shared" si="43"/>
        <v>0.30203978459790592</v>
      </c>
      <c r="AL572" s="321">
        <f t="shared" si="44"/>
        <v>0.38705188189073003</v>
      </c>
      <c r="AN572" s="321" t="e">
        <f t="shared" si="45"/>
        <v>#N/A</v>
      </c>
      <c r="AO572" s="321">
        <f t="shared" si="46"/>
        <v>0.38705188189073003</v>
      </c>
    </row>
    <row r="573" spans="35:41" ht="12" customHeight="1">
      <c r="AI573" s="321">
        <v>564</v>
      </c>
      <c r="AJ573" s="321">
        <f t="shared" si="47"/>
        <v>0.50400000000000389</v>
      </c>
      <c r="AK573" s="321">
        <f t="shared" si="43"/>
        <v>0.30023297174929958</v>
      </c>
      <c r="AL573" s="321">
        <f t="shared" si="44"/>
        <v>0.38627855171490111</v>
      </c>
      <c r="AN573" s="321" t="e">
        <f t="shared" si="45"/>
        <v>#N/A</v>
      </c>
      <c r="AO573" s="321">
        <f t="shared" si="46"/>
        <v>0.38627855171490111</v>
      </c>
    </row>
    <row r="574" spans="35:41" ht="12" customHeight="1">
      <c r="AI574" s="321">
        <v>565</v>
      </c>
      <c r="AJ574" s="321">
        <f t="shared" si="47"/>
        <v>0.5120000000000039</v>
      </c>
      <c r="AK574" s="321">
        <f t="shared" si="43"/>
        <v>0.29841786796537884</v>
      </c>
      <c r="AL574" s="321">
        <f t="shared" si="44"/>
        <v>0.38548209501022923</v>
      </c>
      <c r="AN574" s="321" t="e">
        <f t="shared" si="45"/>
        <v>#N/A</v>
      </c>
      <c r="AO574" s="321">
        <f t="shared" si="46"/>
        <v>0.38548209501022923</v>
      </c>
    </row>
    <row r="575" spans="35:41" ht="12" customHeight="1">
      <c r="AI575" s="321">
        <v>566</v>
      </c>
      <c r="AJ575" s="321">
        <f t="shared" si="47"/>
        <v>0.5200000000000039</v>
      </c>
      <c r="AK575" s="321">
        <f t="shared" si="43"/>
        <v>0.29659475499381482</v>
      </c>
      <c r="AL575" s="321">
        <f t="shared" si="44"/>
        <v>0.38466266129874238</v>
      </c>
      <c r="AN575" s="321" t="e">
        <f t="shared" si="45"/>
        <v>#N/A</v>
      </c>
      <c r="AO575" s="321">
        <f t="shared" si="46"/>
        <v>0.38466266129874238</v>
      </c>
    </row>
    <row r="576" spans="35:41" ht="12" customHeight="1">
      <c r="AI576" s="321">
        <v>567</v>
      </c>
      <c r="AJ576" s="321">
        <f t="shared" si="47"/>
        <v>0.52800000000000391</v>
      </c>
      <c r="AK576" s="321">
        <f t="shared" si="43"/>
        <v>0.29476391440302596</v>
      </c>
      <c r="AL576" s="321">
        <f t="shared" si="44"/>
        <v>0.38382040419620406</v>
      </c>
      <c r="AN576" s="321" t="e">
        <f t="shared" si="45"/>
        <v>#N/A</v>
      </c>
      <c r="AO576" s="321">
        <f t="shared" si="46"/>
        <v>0.38382040419620406</v>
      </c>
    </row>
    <row r="577" spans="35:41" ht="12" customHeight="1">
      <c r="AI577" s="321">
        <v>568</v>
      </c>
      <c r="AJ577" s="321">
        <f t="shared" si="47"/>
        <v>0.53600000000000392</v>
      </c>
      <c r="AK577" s="321">
        <f t="shared" si="43"/>
        <v>0.29292562751141527</v>
      </c>
      <c r="AL577" s="321">
        <f t="shared" si="44"/>
        <v>0.38295548136412993</v>
      </c>
      <c r="AN577" s="321" t="e">
        <f t="shared" si="45"/>
        <v>#N/A</v>
      </c>
      <c r="AO577" s="321">
        <f t="shared" si="46"/>
        <v>0.38295548136412993</v>
      </c>
    </row>
    <row r="578" spans="35:41" ht="12" customHeight="1">
      <c r="AI578" s="321">
        <v>569</v>
      </c>
      <c r="AJ578" s="321">
        <f t="shared" si="47"/>
        <v>0.54400000000000392</v>
      </c>
      <c r="AK578" s="321">
        <f t="shared" si="43"/>
        <v>0.2910801753171221</v>
      </c>
      <c r="AL578" s="321">
        <f t="shared" si="44"/>
        <v>0.38206805446061376</v>
      </c>
      <c r="AN578" s="321" t="e">
        <f t="shared" si="45"/>
        <v>#N/A</v>
      </c>
      <c r="AO578" s="321">
        <f t="shared" si="46"/>
        <v>0.38206805446061376</v>
      </c>
    </row>
    <row r="579" spans="35:41" ht="12" customHeight="1">
      <c r="AI579" s="321">
        <v>570</v>
      </c>
      <c r="AJ579" s="321">
        <f t="shared" si="47"/>
        <v>0.55200000000000393</v>
      </c>
      <c r="AK579" s="321">
        <f t="shared" si="43"/>
        <v>0.28922783842831196</v>
      </c>
      <c r="AL579" s="321">
        <f t="shared" si="44"/>
        <v>0.38115828908998567</v>
      </c>
      <c r="AN579" s="321" t="e">
        <f t="shared" si="45"/>
        <v>#N/A</v>
      </c>
      <c r="AO579" s="321">
        <f t="shared" si="46"/>
        <v>0.38115828908998567</v>
      </c>
    </row>
    <row r="580" spans="35:41" ht="12" customHeight="1">
      <c r="AI580" s="321">
        <v>571</v>
      </c>
      <c r="AJ580" s="321">
        <f t="shared" si="47"/>
        <v>0.56000000000000394</v>
      </c>
      <c r="AK580" s="321">
        <f t="shared" si="43"/>
        <v>0.28736889699402735</v>
      </c>
      <c r="AL580" s="321">
        <f t="shared" si="44"/>
        <v>0.38022635475132444</v>
      </c>
      <c r="AN580" s="321" t="e">
        <f t="shared" si="45"/>
        <v>#N/A</v>
      </c>
      <c r="AO580" s="321">
        <f t="shared" si="46"/>
        <v>0.38022635475132444</v>
      </c>
    </row>
    <row r="581" spans="35:41" ht="12" customHeight="1">
      <c r="AI581" s="321">
        <v>572</v>
      </c>
      <c r="AJ581" s="321">
        <f t="shared" si="47"/>
        <v>0.56800000000000395</v>
      </c>
      <c r="AK581" s="321">
        <f t="shared" si="43"/>
        <v>0.28550363063562334</v>
      </c>
      <c r="AL581" s="321">
        <f t="shared" si="44"/>
        <v>0.37927242478584527</v>
      </c>
      <c r="AN581" s="321" t="e">
        <f t="shared" si="45"/>
        <v>#N/A</v>
      </c>
      <c r="AO581" s="321">
        <f t="shared" si="46"/>
        <v>0.37927242478584527</v>
      </c>
    </row>
    <row r="582" spans="35:41" ht="12" customHeight="1">
      <c r="AI582" s="321">
        <v>573</v>
      </c>
      <c r="AJ582" s="321">
        <f t="shared" si="47"/>
        <v>0.57600000000000395</v>
      </c>
      <c r="AK582" s="321">
        <f t="shared" si="43"/>
        <v>0.2836323183788097</v>
      </c>
      <c r="AL582" s="321">
        <f t="shared" si="44"/>
        <v>0.37829667632318748</v>
      </c>
      <c r="AN582" s="321" t="e">
        <f t="shared" si="45"/>
        <v>#N/A</v>
      </c>
      <c r="AO582" s="321">
        <f t="shared" si="46"/>
        <v>0.37829667632318748</v>
      </c>
    </row>
    <row r="583" spans="35:41" ht="12" customHeight="1">
      <c r="AI583" s="321">
        <v>574</v>
      </c>
      <c r="AJ583" s="321">
        <f t="shared" si="47"/>
        <v>0.58400000000000396</v>
      </c>
      <c r="AK583" s="321">
        <f t="shared" si="43"/>
        <v>0.28175523858632179</v>
      </c>
      <c r="AL583" s="321">
        <f t="shared" si="44"/>
        <v>0.37729929022662345</v>
      </c>
      <c r="AN583" s="321" t="e">
        <f t="shared" si="45"/>
        <v>#N/A</v>
      </c>
      <c r="AO583" s="321">
        <f t="shared" si="46"/>
        <v>0.37729929022662345</v>
      </c>
    </row>
    <row r="584" spans="35:41" ht="12" customHeight="1">
      <c r="AI584" s="321">
        <v>575</v>
      </c>
      <c r="AJ584" s="321">
        <f t="shared" si="47"/>
        <v>0.59200000000000397</v>
      </c>
      <c r="AK584" s="321">
        <f t="shared" si="43"/>
        <v>0.27987266889124252</v>
      </c>
      <c r="AL584" s="321">
        <f t="shared" si="44"/>
        <v>0.37628045103721475</v>
      </c>
      <c r="AN584" s="321" t="e">
        <f t="shared" si="45"/>
        <v>#N/A</v>
      </c>
      <c r="AO584" s="321">
        <f t="shared" si="46"/>
        <v>0.37628045103721475</v>
      </c>
    </row>
    <row r="585" spans="35:41" ht="12" customHeight="1">
      <c r="AI585" s="321">
        <v>576</v>
      </c>
      <c r="AJ585" s="321">
        <f t="shared" si="47"/>
        <v>0.60000000000000397</v>
      </c>
      <c r="AK585" s="321">
        <f t="shared" si="43"/>
        <v>0.27798488613099548</v>
      </c>
      <c r="AL585" s="321">
        <f t="shared" si="44"/>
        <v>0.37524034691693731</v>
      </c>
      <c r="AN585" s="321" t="e">
        <f t="shared" si="45"/>
        <v>#N/A</v>
      </c>
      <c r="AO585" s="321">
        <f t="shared" si="46"/>
        <v>0.37524034691693731</v>
      </c>
    </row>
    <row r="586" spans="35:41" ht="12" customHeight="1">
      <c r="AI586" s="321">
        <v>577</v>
      </c>
      <c r="AJ586" s="321">
        <f t="shared" si="47"/>
        <v>0.60800000000000398</v>
      </c>
      <c r="AK586" s="321">
        <f t="shared" ref="AK586:AK649" si="48">NORMDIST(AJ586,$AH$26,$AH$28,FALSE)</f>
        <v>0.27609216628203148</v>
      </c>
      <c r="AL586" s="321">
        <f t="shared" ref="AL586:AL649" si="49">NORMDIST(AJ586,$AH$27,$AH$28,FALSE)</f>
        <v>0.37417916959080227</v>
      </c>
      <c r="AN586" s="321" t="e">
        <f t="shared" ref="AN586:AN649" si="50">IF(AND($AJ$7,$AH$27&gt;AJ586),AK586,NA())</f>
        <v>#N/A</v>
      </c>
      <c r="AO586" s="321">
        <f t="shared" ref="AO586:AO649" si="51">IF(AND($AJ$6,$AH$26&lt;AJ586+(drend-dlend)/$AO$6),AL586,NA())</f>
        <v>0.37417916959080227</v>
      </c>
    </row>
    <row r="587" spans="35:41" ht="12" customHeight="1">
      <c r="AI587" s="321">
        <v>578</v>
      </c>
      <c r="AJ587" s="321">
        <f t="shared" ref="AJ587:AJ650" si="52">AJ586+$AL$7</f>
        <v>0.61600000000000399</v>
      </c>
      <c r="AK587" s="321">
        <f t="shared" si="48"/>
        <v>0.27419478439522754</v>
      </c>
      <c r="AL587" s="321">
        <f t="shared" si="49"/>
        <v>0.37309711428799552</v>
      </c>
      <c r="AN587" s="321" t="e">
        <f t="shared" si="50"/>
        <v>#N/A</v>
      </c>
      <c r="AO587" s="321">
        <f t="shared" si="51"/>
        <v>0.37309711428799552</v>
      </c>
    </row>
    <row r="588" spans="35:41" ht="12" customHeight="1">
      <c r="AI588" s="321">
        <v>579</v>
      </c>
      <c r="AJ588" s="321">
        <f t="shared" si="52"/>
        <v>0.624000000000004</v>
      </c>
      <c r="AK588" s="321">
        <f t="shared" si="48"/>
        <v>0.2722930145320191</v>
      </c>
      <c r="AL588" s="321">
        <f t="shared" si="49"/>
        <v>0.371994379682063</v>
      </c>
      <c r="AN588" s="321" t="e">
        <f t="shared" si="50"/>
        <v>#N/A</v>
      </c>
      <c r="AO588" s="321">
        <f t="shared" si="51"/>
        <v>0.371994379682063</v>
      </c>
    </row>
    <row r="589" spans="35:41" ht="12" customHeight="1">
      <c r="AI589" s="321">
        <v>580</v>
      </c>
      <c r="AJ589" s="321">
        <f t="shared" si="52"/>
        <v>0.632000000000004</v>
      </c>
      <c r="AK589" s="321">
        <f t="shared" si="48"/>
        <v>0.27038712970128459</v>
      </c>
      <c r="AL589" s="321">
        <f t="shared" si="49"/>
        <v>0.37087116783016572</v>
      </c>
      <c r="AN589" s="321" t="e">
        <f t="shared" si="50"/>
        <v>#N/A</v>
      </c>
      <c r="AO589" s="321">
        <f t="shared" si="51"/>
        <v>0.37087116783016572</v>
      </c>
    </row>
    <row r="590" spans="35:41" ht="12" customHeight="1">
      <c r="AI590" s="321">
        <v>581</v>
      </c>
      <c r="AJ590" s="321">
        <f t="shared" si="52"/>
        <v>0.64000000000000401</v>
      </c>
      <c r="AK590" s="321">
        <f t="shared" si="48"/>
        <v>0.26847740179700136</v>
      </c>
      <c r="AL590" s="321">
        <f t="shared" si="49"/>
        <v>0.36972768411143175</v>
      </c>
      <c r="AN590" s="321" t="e">
        <f t="shared" si="50"/>
        <v>#N/A</v>
      </c>
      <c r="AO590" s="321">
        <f t="shared" si="51"/>
        <v>0.36972768411143175</v>
      </c>
    </row>
    <row r="591" spans="35:41" ht="12" customHeight="1">
      <c r="AI591" s="321">
        <v>582</v>
      </c>
      <c r="AJ591" s="321">
        <f t="shared" si="52"/>
        <v>0.64800000000000402</v>
      </c>
      <c r="AK591" s="321">
        <f t="shared" si="48"/>
        <v>0.26656410153669152</v>
      </c>
      <c r="AL591" s="321">
        <f t="shared" si="49"/>
        <v>0.36856413716443082</v>
      </c>
      <c r="AN591" s="321" t="e">
        <f t="shared" si="50"/>
        <v>#N/A</v>
      </c>
      <c r="AO591" s="321">
        <f t="shared" si="51"/>
        <v>0.36856413716443082</v>
      </c>
    </row>
    <row r="592" spans="35:41" ht="12" customHeight="1">
      <c r="AI592" s="321">
        <v>583</v>
      </c>
      <c r="AJ592" s="321">
        <f t="shared" si="52"/>
        <v>0.65600000000000402</v>
      </c>
      <c r="AK592" s="321">
        <f t="shared" si="48"/>
        <v>0.26464749840067547</v>
      </c>
      <c r="AL592" s="321">
        <f t="shared" si="49"/>
        <v>0.36738073882379835</v>
      </c>
      <c r="AN592" s="321" t="e">
        <f t="shared" si="50"/>
        <v>#N/A</v>
      </c>
      <c r="AO592" s="321">
        <f t="shared" si="51"/>
        <v>0.36738073882379835</v>
      </c>
    </row>
    <row r="593" spans="35:41" ht="12" customHeight="1">
      <c r="AI593" s="321">
        <v>584</v>
      </c>
      <c r="AJ593" s="321">
        <f t="shared" si="52"/>
        <v>0.66400000000000403</v>
      </c>
      <c r="AK593" s="321">
        <f t="shared" si="48"/>
        <v>0.26272786057215136</v>
      </c>
      <c r="AL593" s="321">
        <f t="shared" si="49"/>
        <v>0.366177704056036</v>
      </c>
      <c r="AN593" s="321" t="e">
        <f t="shared" si="50"/>
        <v>#N/A</v>
      </c>
      <c r="AO593" s="321">
        <f t="shared" si="51"/>
        <v>0.366177704056036</v>
      </c>
    </row>
    <row r="594" spans="35:41" ht="12" customHeight="1">
      <c r="AI594" s="321">
        <v>585</v>
      </c>
      <c r="AJ594" s="321">
        <f t="shared" si="52"/>
        <v>0.67200000000000404</v>
      </c>
      <c r="AK594" s="321">
        <f t="shared" si="48"/>
        <v>0.26080545487811641</v>
      </c>
      <c r="AL594" s="321">
        <f t="shared" si="49"/>
        <v>0.3649552508945153</v>
      </c>
      <c r="AN594" s="321" t="e">
        <f t="shared" si="50"/>
        <v>#N/A</v>
      </c>
      <c r="AO594" s="321">
        <f t="shared" si="51"/>
        <v>0.3649552508945153</v>
      </c>
    </row>
    <row r="595" spans="35:41" ht="12" customHeight="1">
      <c r="AI595" s="321">
        <v>586</v>
      </c>
      <c r="AJ595" s="321">
        <f t="shared" si="52"/>
        <v>0.68000000000000405</v>
      </c>
      <c r="AK595" s="321">
        <f t="shared" si="48"/>
        <v>0.25888054673114785</v>
      </c>
      <c r="AL595" s="321">
        <f t="shared" si="49"/>
        <v>0.36371360037371275</v>
      </c>
      <c r="AN595" s="321" t="e">
        <f t="shared" si="50"/>
        <v>#N/A</v>
      </c>
      <c r="AO595" s="321">
        <f t="shared" si="51"/>
        <v>0.36371360037371275</v>
      </c>
    </row>
    <row r="596" spans="35:41" ht="12" customHeight="1">
      <c r="AI596" s="321">
        <v>587</v>
      </c>
      <c r="AJ596" s="321">
        <f t="shared" si="52"/>
        <v>0.68800000000000405</v>
      </c>
      <c r="AK596" s="321">
        <f t="shared" si="48"/>
        <v>0.25695340007205841</v>
      </c>
      <c r="AL596" s="321">
        <f t="shared" si="49"/>
        <v>0.36245297646270352</v>
      </c>
      <c r="AN596" s="321" t="e">
        <f t="shared" si="50"/>
        <v>#N/A</v>
      </c>
      <c r="AO596" s="321">
        <f t="shared" si="51"/>
        <v>0.36245297646270352</v>
      </c>
    </row>
    <row r="597" spans="35:41" ht="12" customHeight="1">
      <c r="AI597" s="321">
        <v>588</v>
      </c>
      <c r="AJ597" s="321">
        <f t="shared" si="52"/>
        <v>0.69600000000000406</v>
      </c>
      <c r="AK597" s="321">
        <f t="shared" si="48"/>
        <v>0.25502427731344302</v>
      </c>
      <c r="AL597" s="321">
        <f t="shared" si="49"/>
        <v>0.36117360599794179</v>
      </c>
      <c r="AN597" s="321" t="e">
        <f t="shared" si="50"/>
        <v>#N/A</v>
      </c>
      <c r="AO597" s="321">
        <f t="shared" si="51"/>
        <v>0.36117360599794179</v>
      </c>
    </row>
    <row r="598" spans="35:41" ht="12" customHeight="1">
      <c r="AI598" s="321">
        <v>589</v>
      </c>
      <c r="AJ598" s="321">
        <f t="shared" si="52"/>
        <v>0.70400000000000407</v>
      </c>
      <c r="AK598" s="321">
        <f t="shared" si="48"/>
        <v>0.25309343928413031</v>
      </c>
      <c r="AL598" s="321">
        <f t="shared" si="49"/>
        <v>0.35987571861535594</v>
      </c>
      <c r="AN598" s="321" t="e">
        <f t="shared" si="50"/>
        <v>#N/A</v>
      </c>
      <c r="AO598" s="321">
        <f t="shared" si="51"/>
        <v>0.35987571861535594</v>
      </c>
    </row>
    <row r="599" spans="35:41" ht="12" customHeight="1">
      <c r="AI599" s="321">
        <v>590</v>
      </c>
      <c r="AJ599" s="321">
        <f t="shared" si="52"/>
        <v>0.71200000000000407</v>
      </c>
      <c r="AK599" s="321">
        <f t="shared" si="48"/>
        <v>0.25116114517455523</v>
      </c>
      <c r="AL599" s="321">
        <f t="shared" si="49"/>
        <v>0.35855954668178713</v>
      </c>
      <c r="AN599" s="321" t="e">
        <f t="shared" si="50"/>
        <v>#N/A</v>
      </c>
      <c r="AO599" s="321">
        <f t="shared" si="51"/>
        <v>0.35855954668178713</v>
      </c>
    </row>
    <row r="600" spans="35:41" ht="12" customHeight="1">
      <c r="AI600" s="321">
        <v>591</v>
      </c>
      <c r="AJ600" s="321">
        <f t="shared" si="52"/>
        <v>0.72000000000000408</v>
      </c>
      <c r="AK600" s="321">
        <f t="shared" si="48"/>
        <v>0.24922765248306489</v>
      </c>
      <c r="AL600" s="321">
        <f t="shared" si="49"/>
        <v>0.35722532522580008</v>
      </c>
      <c r="AN600" s="321" t="e">
        <f t="shared" si="50"/>
        <v>#N/A</v>
      </c>
      <c r="AO600" s="321">
        <f t="shared" si="51"/>
        <v>0.35722532522580008</v>
      </c>
    </row>
    <row r="601" spans="35:41" ht="12" customHeight="1">
      <c r="AI601" s="321">
        <v>592</v>
      </c>
      <c r="AJ601" s="321">
        <f t="shared" si="52"/>
        <v>0.72800000000000409</v>
      </c>
      <c r="AK601" s="321">
        <f t="shared" si="48"/>
        <v>0.24729321696317272</v>
      </c>
      <c r="AL601" s="321">
        <f t="shared" si="49"/>
        <v>0.35587329186789374</v>
      </c>
      <c r="AN601" s="321" t="e">
        <f t="shared" si="50"/>
        <v>#N/A</v>
      </c>
      <c r="AO601" s="321">
        <f t="shared" si="51"/>
        <v>0.35587329186789374</v>
      </c>
    </row>
    <row r="602" spans="35:41" ht="12" customHeight="1">
      <c r="AI602" s="321">
        <v>593</v>
      </c>
      <c r="AJ602" s="321">
        <f t="shared" si="52"/>
        <v>0.7360000000000041</v>
      </c>
      <c r="AK602" s="321">
        <f t="shared" si="48"/>
        <v>0.24535809257177266</v>
      </c>
      <c r="AL602" s="321">
        <f t="shared" si="49"/>
        <v>0.35450368675014249</v>
      </c>
      <c r="AN602" s="321" t="e">
        <f t="shared" si="50"/>
        <v>#N/A</v>
      </c>
      <c r="AO602" s="321">
        <f t="shared" si="51"/>
        <v>0.35450368675014249</v>
      </c>
    </row>
    <row r="603" spans="35:41" ht="12" customHeight="1">
      <c r="AI603" s="321">
        <v>594</v>
      </c>
      <c r="AJ603" s="321">
        <f t="shared" si="52"/>
        <v>0.7440000000000041</v>
      </c>
      <c r="AK603" s="321">
        <f t="shared" si="48"/>
        <v>0.24342253141832654</v>
      </c>
      <c r="AL603" s="321">
        <f t="shared" si="49"/>
        <v>0.35311675246529534</v>
      </c>
      <c r="AN603" s="321" t="e">
        <f t="shared" si="50"/>
        <v>#N/A</v>
      </c>
      <c r="AO603" s="321">
        <f t="shared" si="51"/>
        <v>0.35311675246529534</v>
      </c>
    </row>
    <row r="604" spans="35:41" ht="12" customHeight="1">
      <c r="AI604" s="321">
        <v>595</v>
      </c>
      <c r="AJ604" s="321">
        <f t="shared" si="52"/>
        <v>0.75200000000000411</v>
      </c>
      <c r="AK604" s="321">
        <f t="shared" si="48"/>
        <v>0.24148678371503624</v>
      </c>
      <c r="AL604" s="321">
        <f t="shared" si="49"/>
        <v>0.35171273398536351</v>
      </c>
      <c r="AN604" s="321" t="e">
        <f t="shared" si="50"/>
        <v>#N/A</v>
      </c>
      <c r="AO604" s="321">
        <f t="shared" si="51"/>
        <v>0.35171273398536351</v>
      </c>
    </row>
    <row r="605" spans="35:41" ht="12" customHeight="1">
      <c r="AI605" s="321">
        <v>596</v>
      </c>
      <c r="AJ605" s="321">
        <f t="shared" si="52"/>
        <v>0.76000000000000412</v>
      </c>
      <c r="AK605" s="321">
        <f t="shared" si="48"/>
        <v>0.23955109772801231</v>
      </c>
      <c r="AL605" s="321">
        <f t="shared" si="49"/>
        <v>0.35029187858972499</v>
      </c>
      <c r="AN605" s="321" t="e">
        <f t="shared" si="50"/>
        <v>#N/A</v>
      </c>
      <c r="AO605" s="321">
        <f t="shared" si="51"/>
        <v>0.35029187858972499</v>
      </c>
    </row>
    <row r="606" spans="35:41" ht="12" customHeight="1">
      <c r="AI606" s="321">
        <v>597</v>
      </c>
      <c r="AJ606" s="321">
        <f t="shared" si="52"/>
        <v>0.76800000000000412</v>
      </c>
      <c r="AK606" s="321">
        <f t="shared" si="48"/>
        <v>0.23761571972944875</v>
      </c>
      <c r="AL606" s="321">
        <f t="shared" si="49"/>
        <v>0.34885443579277614</v>
      </c>
      <c r="AN606" s="321" t="e">
        <f t="shared" si="50"/>
        <v>#N/A</v>
      </c>
      <c r="AO606" s="321">
        <f t="shared" si="51"/>
        <v>0.34885443579277614</v>
      </c>
    </row>
    <row r="607" spans="35:41" ht="12" customHeight="1">
      <c r="AI607" s="321">
        <v>598</v>
      </c>
      <c r="AJ607" s="321">
        <f t="shared" si="52"/>
        <v>0.77600000000000413</v>
      </c>
      <c r="AK607" s="321">
        <f t="shared" si="48"/>
        <v>0.23568089395081618</v>
      </c>
      <c r="AL607" s="321">
        <f t="shared" si="49"/>
        <v>0.34740065727115871</v>
      </c>
      <c r="AN607" s="321" t="e">
        <f t="shared" si="50"/>
        <v>#N/A</v>
      </c>
      <c r="AO607" s="321">
        <f t="shared" si="51"/>
        <v>0.34740065727115871</v>
      </c>
    </row>
    <row r="608" spans="35:41" ht="12" customHeight="1">
      <c r="AI608" s="321">
        <v>599</v>
      </c>
      <c r="AJ608" s="321">
        <f t="shared" si="52"/>
        <v>0.78400000000000414</v>
      </c>
      <c r="AK608" s="321">
        <f t="shared" si="48"/>
        <v>0.23374686253708127</v>
      </c>
      <c r="AL608" s="321">
        <f t="shared" si="49"/>
        <v>0.34593079679059413</v>
      </c>
      <c r="AN608" s="321" t="e">
        <f t="shared" si="50"/>
        <v>#N/A</v>
      </c>
      <c r="AO608" s="321">
        <f t="shared" si="51"/>
        <v>0.34593079679059413</v>
      </c>
    </row>
    <row r="609" spans="35:41" ht="12" customHeight="1">
      <c r="AI609" s="321">
        <v>600</v>
      </c>
      <c r="AJ609" s="321">
        <f t="shared" si="52"/>
        <v>0.79200000000000415</v>
      </c>
      <c r="AK609" s="321">
        <f t="shared" si="48"/>
        <v>0.2318138655019627</v>
      </c>
      <c r="AL609" s="321">
        <f t="shared" si="49"/>
        <v>0.34444511013235168</v>
      </c>
      <c r="AN609" s="321" t="e">
        <f t="shared" si="50"/>
        <v>#N/A</v>
      </c>
      <c r="AO609" s="321">
        <f t="shared" si="51"/>
        <v>0.34444511013235168</v>
      </c>
    </row>
    <row r="610" spans="35:41" ht="12" customHeight="1">
      <c r="AI610" s="321">
        <v>601</v>
      </c>
      <c r="AJ610" s="321">
        <f t="shared" si="52"/>
        <v>0.80000000000000415</v>
      </c>
      <c r="AK610" s="321">
        <f t="shared" si="48"/>
        <v>0.22988214068423196</v>
      </c>
      <c r="AL610" s="321">
        <f t="shared" si="49"/>
        <v>0.34294385501938307</v>
      </c>
      <c r="AN610" s="321" t="e">
        <f t="shared" si="50"/>
        <v>#N/A</v>
      </c>
      <c r="AO610" s="321">
        <f t="shared" si="51"/>
        <v>0.34294385501938307</v>
      </c>
    </row>
    <row r="611" spans="35:41" ht="12" customHeight="1">
      <c r="AI611" s="321">
        <v>602</v>
      </c>
      <c r="AJ611" s="321">
        <f t="shared" si="52"/>
        <v>0.80800000000000416</v>
      </c>
      <c r="AK611" s="321">
        <f t="shared" si="48"/>
        <v>0.22795192370506739</v>
      </c>
      <c r="AL611" s="321">
        <f t="shared" si="49"/>
        <v>0.34142729104215125</v>
      </c>
      <c r="AN611" s="321" t="e">
        <f t="shared" si="50"/>
        <v>#N/A</v>
      </c>
      <c r="AO611" s="321">
        <f t="shared" si="51"/>
        <v>0.34142729104215125</v>
      </c>
    </row>
    <row r="612" spans="35:41" ht="12" customHeight="1">
      <c r="AI612" s="321">
        <v>603</v>
      </c>
      <c r="AJ612" s="321">
        <f t="shared" si="52"/>
        <v>0.81600000000000417</v>
      </c>
      <c r="AK612" s="321">
        <f t="shared" si="48"/>
        <v>0.22602344792646845</v>
      </c>
      <c r="AL612" s="321">
        <f t="shared" si="49"/>
        <v>0.33989567958418393</v>
      </c>
      <c r="AN612" s="321" t="e">
        <f t="shared" si="50"/>
        <v>#N/A</v>
      </c>
      <c r="AO612" s="321">
        <f t="shared" si="51"/>
        <v>0.33989567958418393</v>
      </c>
    </row>
    <row r="613" spans="35:41" ht="12" customHeight="1">
      <c r="AI613" s="321">
        <v>604</v>
      </c>
      <c r="AJ613" s="321">
        <f t="shared" si="52"/>
        <v>0.82400000000000417</v>
      </c>
      <c r="AK613" s="321">
        <f t="shared" si="48"/>
        <v>0.22409694441073816</v>
      </c>
      <c r="AL613" s="321">
        <f t="shared" si="49"/>
        <v>0.33834928374738171</v>
      </c>
      <c r="AN613" s="321" t="e">
        <f t="shared" si="50"/>
        <v>#N/A</v>
      </c>
      <c r="AO613" s="321">
        <f t="shared" si="51"/>
        <v>0.33834928374738171</v>
      </c>
    </row>
    <row r="614" spans="35:41" ht="12" customHeight="1">
      <c r="AI614" s="321">
        <v>605</v>
      </c>
      <c r="AJ614" s="321">
        <f t="shared" si="52"/>
        <v>0.83200000000000418</v>
      </c>
      <c r="AK614" s="321">
        <f t="shared" si="48"/>
        <v>0.22217264188103952</v>
      </c>
      <c r="AL614" s="321">
        <f t="shared" si="49"/>
        <v>0.33678836827711012</v>
      </c>
      <c r="AN614" s="321" t="e">
        <f t="shared" si="50"/>
        <v>#N/A</v>
      </c>
      <c r="AO614" s="321">
        <f t="shared" si="51"/>
        <v>0.33678836827711012</v>
      </c>
    </row>
    <row r="615" spans="35:41" ht="12" customHeight="1">
      <c r="AI615" s="321">
        <v>606</v>
      </c>
      <c r="AJ615" s="321">
        <f t="shared" si="52"/>
        <v>0.84000000000000419</v>
      </c>
      <c r="AK615" s="321">
        <f t="shared" si="48"/>
        <v>0.2202507666830322</v>
      </c>
      <c r="AL615" s="321">
        <f t="shared" si="49"/>
        <v>0.33521319948710521</v>
      </c>
      <c r="AN615" s="321" t="e">
        <f t="shared" si="50"/>
        <v>#N/A</v>
      </c>
      <c r="AO615" s="321">
        <f t="shared" si="51"/>
        <v>0.33521319948710521</v>
      </c>
    </row>
    <row r="616" spans="35:41" ht="12" customHeight="1">
      <c r="AI616" s="321">
        <v>607</v>
      </c>
      <c r="AJ616" s="321">
        <f t="shared" si="52"/>
        <v>0.84800000000000419</v>
      </c>
      <c r="AK616" s="321">
        <f t="shared" si="48"/>
        <v>0.21833154274759511</v>
      </c>
      <c r="AL616" s="321">
        <f t="shared" si="49"/>
        <v>0.33362404518422289</v>
      </c>
      <c r="AN616" s="321" t="e">
        <f t="shared" si="50"/>
        <v>#N/A</v>
      </c>
      <c r="AO616" s="321">
        <f t="shared" si="51"/>
        <v>0.33362404518422289</v>
      </c>
    </row>
    <row r="617" spans="35:41" ht="12" customHeight="1">
      <c r="AI617" s="321">
        <v>608</v>
      </c>
      <c r="AJ617" s="321">
        <f t="shared" si="52"/>
        <v>0.8560000000000042</v>
      </c>
      <c r="AK617" s="321">
        <f t="shared" si="48"/>
        <v>0.21641519155463904</v>
      </c>
      <c r="AL617" s="321">
        <f t="shared" si="49"/>
        <v>0.33202117459306041</v>
      </c>
      <c r="AN617" s="321" t="e">
        <f t="shared" si="50"/>
        <v>#N/A</v>
      </c>
      <c r="AO617" s="321">
        <f t="shared" si="51"/>
        <v>0.33202117459306041</v>
      </c>
    </row>
    <row r="618" spans="35:41" ht="12" customHeight="1">
      <c r="AI618" s="321">
        <v>609</v>
      </c>
      <c r="AJ618" s="321">
        <f t="shared" si="52"/>
        <v>0.86400000000000421</v>
      </c>
      <c r="AK618" s="321">
        <f t="shared" si="48"/>
        <v>0.21450193209801527</v>
      </c>
      <c r="AL618" s="321">
        <f t="shared" si="49"/>
        <v>0.33040485828048133</v>
      </c>
      <c r="AN618" s="321" t="e">
        <f t="shared" si="50"/>
        <v>#N/A</v>
      </c>
      <c r="AO618" s="321">
        <f t="shared" si="51"/>
        <v>0.33040485828048133</v>
      </c>
    </row>
    <row r="619" spans="35:41" ht="12" customHeight="1">
      <c r="AI619" s="321">
        <v>610</v>
      </c>
      <c r="AJ619" s="321">
        <f t="shared" si="52"/>
        <v>0.87200000000000422</v>
      </c>
      <c r="AK619" s="321">
        <f t="shared" si="48"/>
        <v>0.21259198085152209</v>
      </c>
      <c r="AL619" s="321">
        <f t="shared" si="49"/>
        <v>0.32877536808007091</v>
      </c>
      <c r="AN619" s="321" t="e">
        <f t="shared" si="50"/>
        <v>#N/A</v>
      </c>
      <c r="AO619" s="321">
        <f t="shared" si="51"/>
        <v>0.32877536808007091</v>
      </c>
    </row>
    <row r="620" spans="35:41" ht="12" customHeight="1">
      <c r="AI620" s="321">
        <v>611</v>
      </c>
      <c r="AJ620" s="321">
        <f t="shared" si="52"/>
        <v>0.88000000000000422</v>
      </c>
      <c r="AK620" s="321">
        <f t="shared" si="48"/>
        <v>0.21068555173601425</v>
      </c>
      <c r="AL620" s="321">
        <f t="shared" si="49"/>
        <v>0.32713297701655358</v>
      </c>
      <c r="AN620" s="321" t="e">
        <f t="shared" si="50"/>
        <v>#N/A</v>
      </c>
      <c r="AO620" s="321">
        <f t="shared" si="51"/>
        <v>0.32713297701655358</v>
      </c>
    </row>
    <row r="621" spans="35:41" ht="12" customHeight="1">
      <c r="AI621" s="321">
        <v>612</v>
      </c>
      <c r="AJ621" s="321">
        <f t="shared" si="52"/>
        <v>0.88800000000000423</v>
      </c>
      <c r="AK621" s="321">
        <f t="shared" si="48"/>
        <v>0.20878285608761707</v>
      </c>
      <c r="AL621" s="321">
        <f t="shared" si="49"/>
        <v>0.32547795923020001</v>
      </c>
      <c r="AN621" s="321" t="e">
        <f t="shared" si="50"/>
        <v>#N/A</v>
      </c>
      <c r="AO621" s="321">
        <f t="shared" si="51"/>
        <v>0.32547795923020001</v>
      </c>
    </row>
    <row r="622" spans="35:41" ht="12" customHeight="1">
      <c r="AI622" s="321">
        <v>613</v>
      </c>
      <c r="AJ622" s="321">
        <f t="shared" si="52"/>
        <v>0.89600000000000424</v>
      </c>
      <c r="AK622" s="321">
        <f t="shared" si="48"/>
        <v>0.20688410262704823</v>
      </c>
      <c r="AL622" s="321">
        <f t="shared" si="49"/>
        <v>0.32381058990125344</v>
      </c>
      <c r="AN622" s="321" t="e">
        <f t="shared" si="50"/>
        <v>#N/A</v>
      </c>
      <c r="AO622" s="321">
        <f t="shared" si="51"/>
        <v>0.32381058990125344</v>
      </c>
    </row>
    <row r="623" spans="35:41" ht="12" customHeight="1">
      <c r="AI623" s="321">
        <v>614</v>
      </c>
      <c r="AJ623" s="321">
        <f t="shared" si="52"/>
        <v>0.90400000000000424</v>
      </c>
      <c r="AK623" s="321">
        <f t="shared" si="48"/>
        <v>0.20498949743004874</v>
      </c>
      <c r="AL623" s="321">
        <f t="shared" si="49"/>
        <v>0.32213114517440383</v>
      </c>
      <c r="AN623" s="321" t="e">
        <f t="shared" si="50"/>
        <v>#N/A</v>
      </c>
      <c r="AO623" s="321">
        <f t="shared" si="51"/>
        <v>0.32213114517440383</v>
      </c>
    </row>
    <row r="624" spans="35:41" ht="12" customHeight="1">
      <c r="AI624" s="321">
        <v>615</v>
      </c>
      <c r="AJ624" s="321">
        <f t="shared" si="52"/>
        <v>0.91200000000000425</v>
      </c>
      <c r="AK624" s="321">
        <f t="shared" si="48"/>
        <v>0.20309924389892392</v>
      </c>
      <c r="AL624" s="321">
        <f t="shared" si="49"/>
        <v>0.32043990208333895</v>
      </c>
      <c r="AN624" s="321" t="e">
        <f t="shared" si="50"/>
        <v>#N/A</v>
      </c>
      <c r="AO624" s="321">
        <f t="shared" si="51"/>
        <v>0.32043990208333895</v>
      </c>
    </row>
    <row r="625" spans="35:41" ht="12" customHeight="1">
      <c r="AI625" s="321">
        <v>616</v>
      </c>
      <c r="AJ625" s="321">
        <f t="shared" si="52"/>
        <v>0.92000000000000426</v>
      </c>
      <c r="AK625" s="321">
        <f t="shared" si="48"/>
        <v>0.20121354273519632</v>
      </c>
      <c r="AL625" s="321">
        <f t="shared" si="49"/>
        <v>0.31873713847540058</v>
      </c>
      <c r="AN625" s="321" t="e">
        <f t="shared" si="50"/>
        <v>#N/A</v>
      </c>
      <c r="AO625" s="321">
        <f t="shared" si="51"/>
        <v>0.31873713847540058</v>
      </c>
    </row>
    <row r="626" spans="35:41" ht="12" customHeight="1">
      <c r="AI626" s="321">
        <v>617</v>
      </c>
      <c r="AJ626" s="321">
        <f t="shared" si="52"/>
        <v>0.92800000000000427</v>
      </c>
      <c r="AK626" s="321">
        <f t="shared" si="48"/>
        <v>0.19933259191336963</v>
      </c>
      <c r="AL626" s="321">
        <f t="shared" si="49"/>
        <v>0.31702313293637419</v>
      </c>
      <c r="AN626" s="321" t="e">
        <f t="shared" si="50"/>
        <v>#N/A</v>
      </c>
      <c r="AO626" s="321">
        <f t="shared" si="51"/>
        <v>0.31702313293637419</v>
      </c>
    </row>
    <row r="627" spans="35:41" ht="12" customHeight="1">
      <c r="AI627" s="321">
        <v>618</v>
      </c>
      <c r="AJ627" s="321">
        <f t="shared" si="52"/>
        <v>0.93600000000000427</v>
      </c>
      <c r="AK627" s="321">
        <f t="shared" si="48"/>
        <v>0.19745658665580423</v>
      </c>
      <c r="AL627" s="321">
        <f t="shared" si="49"/>
        <v>0.31529816471543987</v>
      </c>
      <c r="AN627" s="321" t="e">
        <f t="shared" si="50"/>
        <v>#N/A</v>
      </c>
      <c r="AO627" s="321">
        <f t="shared" si="51"/>
        <v>0.31529816471543987</v>
      </c>
    </row>
    <row r="628" spans="35:41" ht="12" customHeight="1">
      <c r="AI628" s="321">
        <v>619</v>
      </c>
      <c r="AJ628" s="321">
        <f t="shared" si="52"/>
        <v>0.94400000000000428</v>
      </c>
      <c r="AK628" s="321">
        <f t="shared" si="48"/>
        <v>0.19558571940870306</v>
      </c>
      <c r="AL628" s="321">
        <f t="shared" si="49"/>
        <v>0.31356251365031329</v>
      </c>
      <c r="AN628" s="321" t="e">
        <f t="shared" si="50"/>
        <v>#N/A</v>
      </c>
      <c r="AO628" s="321">
        <f t="shared" si="51"/>
        <v>0.31356251365031329</v>
      </c>
    </row>
    <row r="629" spans="35:41" ht="12" customHeight="1">
      <c r="AI629" s="321">
        <v>620</v>
      </c>
      <c r="AJ629" s="321">
        <f t="shared" si="52"/>
        <v>0.95200000000000429</v>
      </c>
      <c r="AK629" s="321">
        <f t="shared" si="48"/>
        <v>0.19372017981920711</v>
      </c>
      <c r="AL629" s="321">
        <f t="shared" si="49"/>
        <v>0.31181646009260355</v>
      </c>
      <c r="AN629" s="321" t="e">
        <f t="shared" si="50"/>
        <v>#N/A</v>
      </c>
      <c r="AO629" s="321">
        <f t="shared" si="51"/>
        <v>0.31181646009260355</v>
      </c>
    </row>
    <row r="630" spans="35:41" ht="12" customHeight="1">
      <c r="AI630" s="321">
        <v>621</v>
      </c>
      <c r="AJ630" s="321">
        <f t="shared" si="52"/>
        <v>0.96000000000000429</v>
      </c>
      <c r="AK630" s="321">
        <f t="shared" si="48"/>
        <v>0.19186015471359832</v>
      </c>
      <c r="AL630" s="321">
        <f t="shared" si="49"/>
        <v>0.31006028483341519</v>
      </c>
      <c r="AN630" s="321" t="e">
        <f t="shared" si="50"/>
        <v>#N/A</v>
      </c>
      <c r="AO630" s="321">
        <f t="shared" si="51"/>
        <v>0.31006028483341519</v>
      </c>
    </row>
    <row r="631" spans="35:41" ht="12" customHeight="1">
      <c r="AI631" s="321">
        <v>622</v>
      </c>
      <c r="AJ631" s="321">
        <f t="shared" si="52"/>
        <v>0.9680000000000043</v>
      </c>
      <c r="AK631" s="321">
        <f t="shared" si="48"/>
        <v>0.19000582807660846</v>
      </c>
      <c r="AL631" s="321">
        <f t="shared" si="49"/>
        <v>0.30829426902922241</v>
      </c>
      <c r="AN631" s="321" t="e">
        <f t="shared" si="50"/>
        <v>#N/A</v>
      </c>
      <c r="AO631" s="321">
        <f t="shared" si="51"/>
        <v>0.30829426902922241</v>
      </c>
    </row>
    <row r="632" spans="35:41" ht="12" customHeight="1">
      <c r="AI632" s="321">
        <v>623</v>
      </c>
      <c r="AJ632" s="321">
        <f t="shared" si="52"/>
        <v>0.97600000000000431</v>
      </c>
      <c r="AK632" s="321">
        <f t="shared" si="48"/>
        <v>0.18815738103183041</v>
      </c>
      <c r="AL632" s="321">
        <f t="shared" si="49"/>
        <v>0.30651869412804167</v>
      </c>
      <c r="AN632" s="321" t="e">
        <f t="shared" si="50"/>
        <v>#N/A</v>
      </c>
      <c r="AO632" s="321">
        <f t="shared" si="51"/>
        <v>0.30651869412804167</v>
      </c>
    </row>
    <row r="633" spans="35:41" ht="12" customHeight="1">
      <c r="AI633" s="321">
        <v>624</v>
      </c>
      <c r="AJ633" s="321">
        <f t="shared" si="52"/>
        <v>0.98400000000000432</v>
      </c>
      <c r="AK633" s="321">
        <f t="shared" si="48"/>
        <v>0.18631499182322955</v>
      </c>
      <c r="AL633" s="321">
        <f t="shared" si="49"/>
        <v>0.30473384179592911</v>
      </c>
      <c r="AN633" s="321" t="e">
        <f t="shared" si="50"/>
        <v>#N/A</v>
      </c>
      <c r="AO633" s="321">
        <f t="shared" si="51"/>
        <v>0.30473384179592911</v>
      </c>
    </row>
    <row r="634" spans="35:41" ht="12" customHeight="1">
      <c r="AI634" s="321">
        <v>625</v>
      </c>
      <c r="AJ634" s="321">
        <f t="shared" si="52"/>
        <v>0.99200000000000432</v>
      </c>
      <c r="AK634" s="321">
        <f t="shared" si="48"/>
        <v>0.18447883579775134</v>
      </c>
      <c r="AL634" s="321">
        <f t="shared" si="49"/>
        <v>0.30293999384382958</v>
      </c>
      <c r="AN634" s="321" t="e">
        <f t="shared" si="50"/>
        <v>#N/A</v>
      </c>
      <c r="AO634" s="321">
        <f t="shared" si="51"/>
        <v>0.30293999384382958</v>
      </c>
    </row>
    <row r="635" spans="35:41" ht="12" customHeight="1">
      <c r="AI635" s="321">
        <v>626</v>
      </c>
      <c r="AJ635" s="321">
        <f t="shared" si="52"/>
        <v>1.0000000000000042</v>
      </c>
      <c r="AK635" s="321">
        <f t="shared" si="48"/>
        <v>0.18264908538902092</v>
      </c>
      <c r="AL635" s="321">
        <f t="shared" si="49"/>
        <v>0.30113743215480343</v>
      </c>
      <c r="AN635" s="321" t="e">
        <f t="shared" si="50"/>
        <v>#N/A</v>
      </c>
      <c r="AO635" s="321">
        <f t="shared" si="51"/>
        <v>0.30113743215480343</v>
      </c>
    </row>
    <row r="636" spans="35:41" ht="12" customHeight="1">
      <c r="AI636" s="321">
        <v>627</v>
      </c>
      <c r="AJ636" s="321">
        <f t="shared" si="52"/>
        <v>1.0080000000000042</v>
      </c>
      <c r="AK636" s="321">
        <f t="shared" si="48"/>
        <v>0.18082591010213062</v>
      </c>
      <c r="AL636" s="321">
        <f t="shared" si="49"/>
        <v>0.29932643861165542</v>
      </c>
      <c r="AN636" s="321" t="e">
        <f t="shared" si="50"/>
        <v>#N/A</v>
      </c>
      <c r="AO636" s="321">
        <f t="shared" si="51"/>
        <v>0.29932643861165542</v>
      </c>
    </row>
    <row r="637" spans="35:41" ht="12" customHeight="1">
      <c r="AI637" s="321">
        <v>628</v>
      </c>
      <c r="AJ637" s="321">
        <f t="shared" si="52"/>
        <v>1.0160000000000042</v>
      </c>
      <c r="AK637" s="321">
        <f t="shared" si="48"/>
        <v>0.17900947649951043</v>
      </c>
      <c r="AL637" s="321">
        <f t="shared" si="49"/>
        <v>0.29750729502499307</v>
      </c>
      <c r="AN637" s="321" t="e">
        <f t="shared" si="50"/>
        <v>#N/A</v>
      </c>
      <c r="AO637" s="321">
        <f t="shared" si="51"/>
        <v>0.29750729502499307</v>
      </c>
    </row>
    <row r="638" spans="35:41" ht="12" customHeight="1">
      <c r="AI638" s="321">
        <v>629</v>
      </c>
      <c r="AJ638" s="321">
        <f t="shared" si="52"/>
        <v>1.0240000000000042</v>
      </c>
      <c r="AK638" s="321">
        <f t="shared" si="48"/>
        <v>0.17719994818787552</v>
      </c>
      <c r="AL638" s="321">
        <f t="shared" si="49"/>
        <v>0.29568028306173771</v>
      </c>
      <c r="AN638" s="321" t="e">
        <f t="shared" si="50"/>
        <v>#N/A</v>
      </c>
      <c r="AO638" s="321">
        <f t="shared" si="51"/>
        <v>0.29568028306173771</v>
      </c>
    </row>
    <row r="639" spans="35:41" ht="12" customHeight="1">
      <c r="AI639" s="321">
        <v>630</v>
      </c>
      <c r="AJ639" s="321">
        <f t="shared" si="52"/>
        <v>1.0320000000000042</v>
      </c>
      <c r="AK639" s="321">
        <f t="shared" si="48"/>
        <v>0.17539748580624606</v>
      </c>
      <c r="AL639" s="321">
        <f t="shared" si="49"/>
        <v>0.29384568417411377</v>
      </c>
      <c r="AN639" s="321" t="e">
        <f t="shared" si="50"/>
        <v>#N/A</v>
      </c>
      <c r="AO639" s="321">
        <f t="shared" si="51"/>
        <v>0.29384568417411377</v>
      </c>
    </row>
    <row r="640" spans="35:41" ht="12" customHeight="1">
      <c r="AI640" s="321">
        <v>631</v>
      </c>
      <c r="AJ640" s="321">
        <f t="shared" si="52"/>
        <v>1.0400000000000043</v>
      </c>
      <c r="AK640" s="321">
        <f t="shared" si="48"/>
        <v>0.17360224701503202</v>
      </c>
      <c r="AL640" s="321">
        <f t="shared" si="49"/>
        <v>0.29200377952914042</v>
      </c>
      <c r="AN640" s="321" t="e">
        <f t="shared" si="50"/>
        <v>#N/A</v>
      </c>
      <c r="AO640" s="321">
        <f t="shared" si="51"/>
        <v>0.29200377952914042</v>
      </c>
    </row>
    <row r="641" spans="35:41" ht="12" customHeight="1">
      <c r="AI641" s="321">
        <v>632</v>
      </c>
      <c r="AJ641" s="321">
        <f t="shared" si="52"/>
        <v>1.0480000000000043</v>
      </c>
      <c r="AK641" s="321">
        <f t="shared" si="48"/>
        <v>0.17181438648617742</v>
      </c>
      <c r="AL641" s="321">
        <f t="shared" si="49"/>
        <v>0.29015484993864932</v>
      </c>
      <c r="AN641" s="321" t="e">
        <f t="shared" si="50"/>
        <v>#N/A</v>
      </c>
      <c r="AO641" s="321">
        <f t="shared" si="51"/>
        <v>0.29015484993864932</v>
      </c>
    </row>
    <row r="642" spans="35:41" ht="12" customHeight="1">
      <c r="AI642" s="321">
        <v>633</v>
      </c>
      <c r="AJ642" s="321">
        <f t="shared" si="52"/>
        <v>1.0560000000000043</v>
      </c>
      <c r="AK642" s="321">
        <f t="shared" si="48"/>
        <v>0.17003405589435602</v>
      </c>
      <c r="AL642" s="321">
        <f t="shared" si="49"/>
        <v>0.28829917578985209</v>
      </c>
      <c r="AN642" s="321" t="e">
        <f t="shared" si="50"/>
        <v>#N/A</v>
      </c>
      <c r="AO642" s="321">
        <f t="shared" si="51"/>
        <v>0.28829917578985209</v>
      </c>
    </row>
    <row r="643" spans="35:41" ht="12" customHeight="1">
      <c r="AI643" s="321">
        <v>634</v>
      </c>
      <c r="AJ643" s="321">
        <f t="shared" si="52"/>
        <v>1.0640000000000043</v>
      </c>
      <c r="AK643" s="321">
        <f t="shared" si="48"/>
        <v>0.16826140390921199</v>
      </c>
      <c r="AL643" s="321">
        <f t="shared" si="49"/>
        <v>0.28643703697648076</v>
      </c>
      <c r="AN643" s="321" t="e">
        <f t="shared" si="50"/>
        <v>#N/A</v>
      </c>
      <c r="AO643" s="321">
        <f t="shared" si="51"/>
        <v>0.28643703697648076</v>
      </c>
    </row>
    <row r="644" spans="35:41" ht="12" customHeight="1">
      <c r="AI644" s="321">
        <v>635</v>
      </c>
      <c r="AJ644" s="321">
        <f t="shared" si="52"/>
        <v>1.0720000000000043</v>
      </c>
      <c r="AK644" s="321">
        <f t="shared" si="48"/>
        <v>0.16649657618863697</v>
      </c>
      <c r="AL644" s="321">
        <f t="shared" si="49"/>
        <v>0.2845687128305236</v>
      </c>
      <c r="AN644" s="321" t="e">
        <f t="shared" si="50"/>
        <v>#N/A</v>
      </c>
      <c r="AO644" s="321">
        <f t="shared" si="51"/>
        <v>0.2845687128305236</v>
      </c>
    </row>
    <row r="645" spans="35:41" ht="12" customHeight="1">
      <c r="AI645" s="321">
        <v>636</v>
      </c>
      <c r="AJ645" s="321">
        <f t="shared" si="52"/>
        <v>1.0800000000000043</v>
      </c>
      <c r="AK645" s="321">
        <f t="shared" si="48"/>
        <v>0.16473971537307586</v>
      </c>
      <c r="AL645" s="321">
        <f t="shared" si="49"/>
        <v>0.2826944820545792</v>
      </c>
      <c r="AN645" s="321" t="e">
        <f t="shared" si="50"/>
        <v>#N/A</v>
      </c>
      <c r="AO645" s="321">
        <f t="shared" si="51"/>
        <v>0.2826944820545792</v>
      </c>
    </row>
    <row r="646" spans="35:41" ht="12" customHeight="1">
      <c r="AI646" s="321">
        <v>637</v>
      </c>
      <c r="AJ646" s="321">
        <f t="shared" si="52"/>
        <v>1.0880000000000043</v>
      </c>
      <c r="AK646" s="321">
        <f t="shared" si="48"/>
        <v>0.16299096108085256</v>
      </c>
      <c r="AL646" s="321">
        <f t="shared" si="49"/>
        <v>0.28081462265484997</v>
      </c>
      <c r="AN646" s="321" t="e">
        <f t="shared" si="50"/>
        <v>#N/A</v>
      </c>
      <c r="AO646" s="321">
        <f t="shared" si="51"/>
        <v>0.28081462265484997</v>
      </c>
    </row>
    <row r="647" spans="35:41" ht="12" customHeight="1">
      <c r="AI647" s="321">
        <v>638</v>
      </c>
      <c r="AJ647" s="321">
        <f t="shared" si="52"/>
        <v>1.0960000000000043</v>
      </c>
      <c r="AK647" s="321">
        <f t="shared" si="48"/>
        <v>0.16125044990450685</v>
      </c>
      <c r="AL647" s="321">
        <f t="shared" si="49"/>
        <v>0.27892941187479714</v>
      </c>
      <c r="AN647" s="321" t="e">
        <f t="shared" si="50"/>
        <v>#N/A</v>
      </c>
      <c r="AO647" s="321">
        <f t="shared" si="51"/>
        <v>0.27892941187479714</v>
      </c>
    </row>
    <row r="648" spans="35:41" ht="12" customHeight="1">
      <c r="AI648" s="321">
        <v>639</v>
      </c>
      <c r="AJ648" s="321">
        <f t="shared" si="52"/>
        <v>1.1040000000000043</v>
      </c>
      <c r="AK648" s="321">
        <f t="shared" si="48"/>
        <v>0.15951831540813316</v>
      </c>
      <c r="AL648" s="321">
        <f t="shared" si="49"/>
        <v>0.27703912612947801</v>
      </c>
      <c r="AN648" s="321" t="e">
        <f t="shared" si="50"/>
        <v>#N/A</v>
      </c>
      <c r="AO648" s="321">
        <f t="shared" si="51"/>
        <v>0.27703912612947801</v>
      </c>
    </row>
    <row r="649" spans="35:41" ht="12" customHeight="1">
      <c r="AI649" s="321">
        <v>640</v>
      </c>
      <c r="AJ649" s="321">
        <f t="shared" si="52"/>
        <v>1.1120000000000043</v>
      </c>
      <c r="AK649" s="321">
        <f t="shared" si="48"/>
        <v>0.15779468812571137</v>
      </c>
      <c r="AL649" s="321">
        <f t="shared" si="49"/>
        <v>0.27514404094058631</v>
      </c>
      <c r="AN649" s="321" t="e">
        <f t="shared" si="50"/>
        <v>#N/A</v>
      </c>
      <c r="AO649" s="321">
        <f t="shared" si="51"/>
        <v>0.27514404094058631</v>
      </c>
    </row>
    <row r="650" spans="35:41" ht="12" customHeight="1">
      <c r="AI650" s="321">
        <v>641</v>
      </c>
      <c r="AJ650" s="321">
        <f t="shared" si="52"/>
        <v>1.1200000000000043</v>
      </c>
      <c r="AK650" s="321">
        <f t="shared" ref="AK650:AK713" si="53">NORMDIST(AJ650,$AH$26,$AH$28,FALSE)</f>
        <v>0.15607969556041992</v>
      </c>
      <c r="AL650" s="321">
        <f t="shared" ref="AL650:AL713" si="54">NORMDIST(AJ650,$AH$27,$AH$28,FALSE)</f>
        <v>0.27324443087221517</v>
      </c>
      <c r="AN650" s="321" t="e">
        <f t="shared" ref="AN650:AN713" si="55">IF(AND($AJ$7,$AH$27&gt;AJ650),AK650,NA())</f>
        <v>#N/A</v>
      </c>
      <c r="AO650" s="321">
        <f t="shared" ref="AO650:AO713" si="56">IF(AND($AJ$6,$AH$26&lt;AJ650+(drend-dlend)/$AO$6),AL650,NA())</f>
        <v>0.27324443087221517</v>
      </c>
    </row>
    <row r="651" spans="35:41" ht="12" customHeight="1">
      <c r="AI651" s="321">
        <v>642</v>
      </c>
      <c r="AJ651" s="321">
        <f t="shared" ref="AJ651:AJ714" si="57">AJ650+$AL$7</f>
        <v>1.1280000000000043</v>
      </c>
      <c r="AK651" s="321">
        <f t="shared" si="53"/>
        <v>0.15437346218492112</v>
      </c>
      <c r="AL651" s="321">
        <f t="shared" si="54"/>
        <v>0.27134056946736318</v>
      </c>
      <c r="AN651" s="321" t="e">
        <f t="shared" si="55"/>
        <v>#N/A</v>
      </c>
      <c r="AO651" s="321">
        <f t="shared" si="56"/>
        <v>0.27134056946736318</v>
      </c>
    </row>
    <row r="652" spans="35:41" ht="12" customHeight="1">
      <c r="AI652" s="321">
        <v>643</v>
      </c>
      <c r="AJ652" s="321">
        <f t="shared" si="57"/>
        <v>1.1360000000000043</v>
      </c>
      <c r="AK652" s="321">
        <f t="shared" si="53"/>
        <v>0.15267610944260754</v>
      </c>
      <c r="AL652" s="321">
        <f t="shared" si="54"/>
        <v>0.26943272918520239</v>
      </c>
      <c r="AN652" s="321" t="e">
        <f t="shared" si="55"/>
        <v>#N/A</v>
      </c>
      <c r="AO652" s="321">
        <f t="shared" si="56"/>
        <v>0.26943272918520239</v>
      </c>
    </row>
    <row r="653" spans="35:41" ht="12" customHeight="1">
      <c r="AI653" s="321">
        <v>644</v>
      </c>
      <c r="AJ653" s="321">
        <f t="shared" si="57"/>
        <v>1.1440000000000043</v>
      </c>
      <c r="AK653" s="321">
        <f t="shared" si="53"/>
        <v>0.15098775574979878</v>
      </c>
      <c r="AL653" s="321">
        <f t="shared" si="54"/>
        <v>0.2675211813391265</v>
      </c>
      <c r="AN653" s="321" t="e">
        <f t="shared" si="55"/>
        <v>#N/A</v>
      </c>
      <c r="AO653" s="321">
        <f t="shared" si="56"/>
        <v>0.2675211813391265</v>
      </c>
    </row>
    <row r="654" spans="35:41" ht="12" customHeight="1">
      <c r="AI654" s="321">
        <v>645</v>
      </c>
      <c r="AJ654" s="321">
        <f t="shared" si="57"/>
        <v>1.1520000000000044</v>
      </c>
      <c r="AK654" s="321">
        <f t="shared" si="53"/>
        <v>0.14930851649887789</v>
      </c>
      <c r="AL654" s="321">
        <f t="shared" si="54"/>
        <v>0.26560619603559904</v>
      </c>
      <c r="AN654" s="321" t="e">
        <f t="shared" si="55"/>
        <v>#N/A</v>
      </c>
      <c r="AO654" s="321">
        <f t="shared" si="56"/>
        <v>0.26560619603559904</v>
      </c>
    </row>
    <row r="655" spans="35:41" ht="12" customHeight="1">
      <c r="AI655" s="321">
        <v>646</v>
      </c>
      <c r="AJ655" s="321">
        <f t="shared" si="57"/>
        <v>1.1600000000000044</v>
      </c>
      <c r="AK655" s="321">
        <f t="shared" si="53"/>
        <v>0.14763850406235482</v>
      </c>
      <c r="AL655" s="321">
        <f t="shared" si="54"/>
        <v>0.26368804211381708</v>
      </c>
      <c r="AN655" s="321" t="e">
        <f t="shared" si="55"/>
        <v>#N/A</v>
      </c>
      <c r="AO655" s="321">
        <f t="shared" si="56"/>
        <v>0.26368804211381708</v>
      </c>
    </row>
    <row r="656" spans="35:41" ht="12" customHeight="1">
      <c r="AI656" s="321">
        <v>647</v>
      </c>
      <c r="AJ656" s="321">
        <f t="shared" si="57"/>
        <v>1.1680000000000044</v>
      </c>
      <c r="AK656" s="321">
        <f t="shared" si="53"/>
        <v>0.14597782779784629</v>
      </c>
      <c r="AL656" s="321">
        <f t="shared" si="54"/>
        <v>0.26176698708620982</v>
      </c>
      <c r="AN656" s="321" t="e">
        <f t="shared" si="55"/>
        <v>#N/A</v>
      </c>
      <c r="AO656" s="321">
        <f t="shared" si="56"/>
        <v>0.26176698708620982</v>
      </c>
    </row>
    <row r="657" spans="35:41" ht="12" customHeight="1">
      <c r="AI657" s="321">
        <v>648</v>
      </c>
      <c r="AJ657" s="321">
        <f t="shared" si="57"/>
        <v>1.1760000000000044</v>
      </c>
      <c r="AK657" s="321">
        <f t="shared" si="53"/>
        <v>0.14432659405395926</v>
      </c>
      <c r="AL657" s="321">
        <f t="shared" si="54"/>
        <v>0.25984329707978754</v>
      </c>
      <c r="AN657" s="321" t="e">
        <f t="shared" si="55"/>
        <v>#N/A</v>
      </c>
      <c r="AO657" s="321">
        <f t="shared" si="56"/>
        <v>0.25984329707978754</v>
      </c>
    </row>
    <row r="658" spans="35:41" ht="12" customHeight="1">
      <c r="AI658" s="321">
        <v>649</v>
      </c>
      <c r="AJ658" s="321">
        <f t="shared" si="57"/>
        <v>1.1840000000000044</v>
      </c>
      <c r="AK658" s="321">
        <f t="shared" si="53"/>
        <v>0.14268490617706561</v>
      </c>
      <c r="AL658" s="321">
        <f t="shared" si="54"/>
        <v>0.25791723677835798</v>
      </c>
      <c r="AN658" s="321" t="e">
        <f t="shared" si="55"/>
        <v>#N/A</v>
      </c>
      <c r="AO658" s="321">
        <f t="shared" si="56"/>
        <v>0.25791723677835798</v>
      </c>
    </row>
    <row r="659" spans="35:41" ht="12" customHeight="1">
      <c r="AI659" s="321">
        <v>650</v>
      </c>
      <c r="AJ659" s="321">
        <f t="shared" si="57"/>
        <v>1.1920000000000044</v>
      </c>
      <c r="AK659" s="321">
        <f t="shared" si="53"/>
        <v>0.14105286451895596</v>
      </c>
      <c r="AL659" s="321">
        <f t="shared" si="54"/>
        <v>0.25598906936562543</v>
      </c>
      <c r="AN659" s="321" t="e">
        <f t="shared" si="55"/>
        <v>#N/A</v>
      </c>
      <c r="AO659" s="321">
        <f t="shared" si="56"/>
        <v>0.25598906936562543</v>
      </c>
    </row>
    <row r="660" spans="35:41" ht="12" customHeight="1">
      <c r="AI660" s="321">
        <v>651</v>
      </c>
      <c r="AJ660" s="321">
        <f t="shared" si="57"/>
        <v>1.2000000000000044</v>
      </c>
      <c r="AK660" s="321">
        <f t="shared" si="53"/>
        <v>0.13943056644535934</v>
      </c>
      <c r="AL660" s="321">
        <f t="shared" si="54"/>
        <v>0.25405905646918786</v>
      </c>
      <c r="AN660" s="321" t="e">
        <f t="shared" si="55"/>
        <v>#N/A</v>
      </c>
      <c r="AO660" s="321">
        <f t="shared" si="56"/>
        <v>0.25405905646918786</v>
      </c>
    </row>
    <row r="661" spans="35:41" ht="12" customHeight="1">
      <c r="AI661" s="321">
        <v>652</v>
      </c>
      <c r="AJ661" s="321">
        <f t="shared" si="57"/>
        <v>1.2080000000000044</v>
      </c>
      <c r="AK661" s="321">
        <f t="shared" si="53"/>
        <v>0.13781810634531552</v>
      </c>
      <c r="AL661" s="321">
        <f t="shared" si="54"/>
        <v>0.25212745810544773</v>
      </c>
      <c r="AN661" s="321" t="e">
        <f t="shared" si="55"/>
        <v>#N/A</v>
      </c>
      <c r="AO661" s="321">
        <f t="shared" si="56"/>
        <v>0.25212745810544773</v>
      </c>
    </row>
    <row r="662" spans="35:41" ht="12" customHeight="1">
      <c r="AI662" s="321">
        <v>653</v>
      </c>
      <c r="AJ662" s="321">
        <f t="shared" si="57"/>
        <v>1.2160000000000044</v>
      </c>
      <c r="AK662" s="321">
        <f t="shared" si="53"/>
        <v>0.13621557564138703</v>
      </c>
      <c r="AL662" s="321">
        <f t="shared" si="54"/>
        <v>0.25019453262544872</v>
      </c>
      <c r="AN662" s="321" t="e">
        <f t="shared" si="55"/>
        <v>#N/A</v>
      </c>
      <c r="AO662" s="321">
        <f t="shared" si="56"/>
        <v>0.25019453262544872</v>
      </c>
    </row>
    <row r="663" spans="35:41" ht="12" customHeight="1">
      <c r="AI663" s="321">
        <v>654</v>
      </c>
      <c r="AJ663" s="321">
        <f t="shared" si="57"/>
        <v>1.2240000000000044</v>
      </c>
      <c r="AK663" s="321">
        <f t="shared" si="53"/>
        <v>0.13462306280069725</v>
      </c>
      <c r="AL663" s="321">
        <f t="shared" si="54"/>
        <v>0.24826053666165457</v>
      </c>
      <c r="AN663" s="321" t="e">
        <f t="shared" si="55"/>
        <v>#N/A</v>
      </c>
      <c r="AO663" s="321">
        <f t="shared" si="56"/>
        <v>0.24826053666165457</v>
      </c>
    </row>
    <row r="664" spans="35:41" ht="12" customHeight="1">
      <c r="AI664" s="321">
        <v>655</v>
      </c>
      <c r="AJ664" s="321">
        <f t="shared" si="57"/>
        <v>1.2320000000000044</v>
      </c>
      <c r="AK664" s="321">
        <f t="shared" si="53"/>
        <v>0.13304065334678045</v>
      </c>
      <c r="AL664" s="321">
        <f t="shared" si="54"/>
        <v>0.24632572507568176</v>
      </c>
      <c r="AN664" s="321" t="e">
        <f t="shared" si="55"/>
        <v>#N/A</v>
      </c>
      <c r="AO664" s="321">
        <f t="shared" si="56"/>
        <v>0.24632572507568176</v>
      </c>
    </row>
    <row r="665" spans="35:41" ht="12" customHeight="1">
      <c r="AI665" s="321">
        <v>656</v>
      </c>
      <c r="AJ665" s="321">
        <f t="shared" si="57"/>
        <v>1.2400000000000044</v>
      </c>
      <c r="AK665" s="321">
        <f t="shared" si="53"/>
        <v>0.13146842987223015</v>
      </c>
      <c r="AL665" s="321">
        <f t="shared" si="54"/>
        <v>0.24439035090699848</v>
      </c>
      <c r="AN665" s="321" t="e">
        <f t="shared" si="55"/>
        <v>#N/A</v>
      </c>
      <c r="AO665" s="321">
        <f t="shared" si="56"/>
        <v>0.24439035090699848</v>
      </c>
    </row>
    <row r="666" spans="35:41" ht="12" customHeight="1">
      <c r="AI666" s="321">
        <v>657</v>
      </c>
      <c r="AJ666" s="321">
        <f t="shared" si="57"/>
        <v>1.2480000000000044</v>
      </c>
      <c r="AK666" s="321">
        <f t="shared" si="53"/>
        <v>0.12990647205213168</v>
      </c>
      <c r="AL666" s="321">
        <f t="shared" si="54"/>
        <v>0.24245466532260304</v>
      </c>
      <c r="AN666" s="321" t="e">
        <f t="shared" si="55"/>
        <v>#N/A</v>
      </c>
      <c r="AO666" s="321">
        <f t="shared" si="56"/>
        <v>0.24245466532260304</v>
      </c>
    </row>
    <row r="667" spans="35:41" ht="12" customHeight="1">
      <c r="AI667" s="321">
        <v>658</v>
      </c>
      <c r="AJ667" s="321">
        <f t="shared" si="57"/>
        <v>1.2560000000000044</v>
      </c>
      <c r="AK667" s="321">
        <f t="shared" si="53"/>
        <v>0.12835485665826421</v>
      </c>
      <c r="AL667" s="321">
        <f t="shared" si="54"/>
        <v>0.24051891756769289</v>
      </c>
      <c r="AN667" s="321" t="e">
        <f t="shared" si="55"/>
        <v>#N/A</v>
      </c>
      <c r="AO667" s="321">
        <f t="shared" si="56"/>
        <v>0.24051891756769289</v>
      </c>
    </row>
    <row r="668" spans="35:41" ht="12" customHeight="1">
      <c r="AI668" s="321">
        <v>659</v>
      </c>
      <c r="AJ668" s="321">
        <f t="shared" si="57"/>
        <v>1.2640000000000045</v>
      </c>
      <c r="AK668" s="321">
        <f t="shared" si="53"/>
        <v>0.12681365757405821</v>
      </c>
      <c r="AL668" s="321">
        <f t="shared" si="54"/>
        <v>0.23858335491733501</v>
      </c>
      <c r="AN668" s="321" t="e">
        <f t="shared" si="55"/>
        <v>#N/A</v>
      </c>
      <c r="AO668" s="321">
        <f t="shared" si="56"/>
        <v>0.23858335491733501</v>
      </c>
    </row>
    <row r="669" spans="35:41" ht="12" customHeight="1">
      <c r="AI669" s="321">
        <v>660</v>
      </c>
      <c r="AJ669" s="321">
        <f t="shared" si="57"/>
        <v>1.2720000000000045</v>
      </c>
      <c r="AK669" s="321">
        <f t="shared" si="53"/>
        <v>0.12528294581029339</v>
      </c>
      <c r="AL669" s="321">
        <f t="shared" si="54"/>
        <v>0.23664822262914878</v>
      </c>
      <c r="AN669" s="321" t="e">
        <f t="shared" si="55"/>
        <v>#N/A</v>
      </c>
      <c r="AO669" s="321">
        <f t="shared" si="56"/>
        <v>0.23664822262914878</v>
      </c>
    </row>
    <row r="670" spans="35:41" ht="12" customHeight="1">
      <c r="AI670" s="321">
        <v>661</v>
      </c>
      <c r="AJ670" s="321">
        <f t="shared" si="57"/>
        <v>1.2800000000000045</v>
      </c>
      <c r="AK670" s="321">
        <f t="shared" si="53"/>
        <v>0.12376278952152225</v>
      </c>
      <c r="AL670" s="321">
        <f t="shared" si="54"/>
        <v>0.23471376389701068</v>
      </c>
      <c r="AN670" s="321" t="e">
        <f t="shared" si="55"/>
        <v>#N/A</v>
      </c>
      <c r="AO670" s="321">
        <f t="shared" si="56"/>
        <v>0.23471376389701068</v>
      </c>
    </row>
    <row r="671" spans="35:41" ht="12" customHeight="1">
      <c r="AI671" s="321">
        <v>662</v>
      </c>
      <c r="AJ671" s="321">
        <f t="shared" si="57"/>
        <v>1.2880000000000045</v>
      </c>
      <c r="AK671" s="321">
        <f t="shared" si="53"/>
        <v>0.12225325402320435</v>
      </c>
      <c r="AL671" s="321">
        <f t="shared" si="54"/>
        <v>0.23278021980579139</v>
      </c>
      <c r="AN671" s="321" t="e">
        <f t="shared" si="55"/>
        <v>#N/A</v>
      </c>
      <c r="AO671" s="321">
        <f t="shared" si="56"/>
        <v>0.23278021980579139</v>
      </c>
    </row>
    <row r="672" spans="35:41" ht="12" customHeight="1">
      <c r="AI672" s="321">
        <v>663</v>
      </c>
      <c r="AJ672" s="321">
        <f t="shared" si="57"/>
        <v>1.2960000000000045</v>
      </c>
      <c r="AK672" s="321">
        <f t="shared" si="53"/>
        <v>0.12075440180953625</v>
      </c>
      <c r="AL672" s="321">
        <f t="shared" si="54"/>
        <v>0.23084782928713277</v>
      </c>
      <c r="AN672" s="321" t="e">
        <f t="shared" si="55"/>
        <v>#N/A</v>
      </c>
      <c r="AO672" s="321">
        <f t="shared" si="56"/>
        <v>0.23084782928713277</v>
      </c>
    </row>
    <row r="673" spans="35:41" ht="12" customHeight="1">
      <c r="AI673" s="321">
        <v>664</v>
      </c>
      <c r="AJ673" s="321">
        <f t="shared" si="57"/>
        <v>1.3040000000000045</v>
      </c>
      <c r="AK673" s="321">
        <f t="shared" si="53"/>
        <v>0.11926629257196178</v>
      </c>
      <c r="AL673" s="321">
        <f t="shared" si="54"/>
        <v>0.22891682907627434</v>
      </c>
      <c r="AN673" s="321" t="e">
        <f t="shared" si="55"/>
        <v>#N/A</v>
      </c>
      <c r="AO673" s="321">
        <f t="shared" si="56"/>
        <v>0.22891682907627434</v>
      </c>
    </row>
    <row r="674" spans="35:41" ht="12" customHeight="1">
      <c r="AI674" s="321">
        <v>665</v>
      </c>
      <c r="AJ674" s="321">
        <f t="shared" si="57"/>
        <v>1.3120000000000045</v>
      </c>
      <c r="AK674" s="321">
        <f t="shared" si="53"/>
        <v>0.11778898321834726</v>
      </c>
      <c r="AL674" s="321">
        <f t="shared" si="54"/>
        <v>0.22698745366993661</v>
      </c>
      <c r="AN674" s="321" t="e">
        <f t="shared" si="55"/>
        <v>#N/A</v>
      </c>
      <c r="AO674" s="321">
        <f t="shared" si="56"/>
        <v>0.22698745366993661</v>
      </c>
    </row>
    <row r="675" spans="35:41" ht="12" customHeight="1">
      <c r="AI675" s="321">
        <v>666</v>
      </c>
      <c r="AJ675" s="321">
        <f t="shared" si="57"/>
        <v>1.3200000000000045</v>
      </c>
      <c r="AK675" s="321">
        <f t="shared" si="53"/>
        <v>0.11632252789280623</v>
      </c>
      <c r="AL675" s="321">
        <f t="shared" si="54"/>
        <v>0.22505993528526852</v>
      </c>
      <c r="AN675" s="321" t="e">
        <f t="shared" si="55"/>
        <v>#N/A</v>
      </c>
      <c r="AO675" s="321">
        <f t="shared" si="56"/>
        <v>0.22505993528526852</v>
      </c>
    </row>
    <row r="676" spans="35:41" ht="12" customHeight="1">
      <c r="AI676" s="321">
        <v>667</v>
      </c>
      <c r="AJ676" s="321">
        <f t="shared" si="57"/>
        <v>1.3280000000000045</v>
      </c>
      <c r="AK676" s="321">
        <f t="shared" si="53"/>
        <v>0.11486697799615816</v>
      </c>
      <c r="AL676" s="321">
        <f t="shared" si="54"/>
        <v>0.22313450381986624</v>
      </c>
      <c r="AN676" s="321" t="e">
        <f t="shared" si="55"/>
        <v>#N/A</v>
      </c>
      <c r="AO676" s="321">
        <f t="shared" si="56"/>
        <v>0.22313450381986624</v>
      </c>
    </row>
    <row r="677" spans="35:41" ht="12" customHeight="1">
      <c r="AI677" s="321">
        <v>668</v>
      </c>
      <c r="AJ677" s="321">
        <f t="shared" si="57"/>
        <v>1.3360000000000045</v>
      </c>
      <c r="AK677" s="321">
        <f t="shared" si="53"/>
        <v>0.11342238220700535</v>
      </c>
      <c r="AL677" s="321">
        <f t="shared" si="54"/>
        <v>0.22121138681286864</v>
      </c>
      <c r="AN677" s="321" t="e">
        <f t="shared" si="55"/>
        <v>#N/A</v>
      </c>
      <c r="AO677" s="321">
        <f t="shared" si="56"/>
        <v>0.22121138681286864</v>
      </c>
    </row>
    <row r="678" spans="35:41" ht="12" customHeight="1">
      <c r="AI678" s="321">
        <v>669</v>
      </c>
      <c r="AJ678" s="321">
        <f t="shared" si="57"/>
        <v>1.3440000000000045</v>
      </c>
      <c r="AK678" s="321">
        <f t="shared" si="53"/>
        <v>0.11198878650341254</v>
      </c>
      <c r="AL678" s="321">
        <f t="shared" si="54"/>
        <v>0.21929080940713677</v>
      </c>
      <c r="AN678" s="321" t="e">
        <f t="shared" si="55"/>
        <v>#N/A</v>
      </c>
      <c r="AO678" s="321">
        <f t="shared" si="56"/>
        <v>0.21929080940713677</v>
      </c>
    </row>
    <row r="679" spans="35:41" ht="12" customHeight="1">
      <c r="AI679" s="321">
        <v>670</v>
      </c>
      <c r="AJ679" s="321">
        <f t="shared" si="57"/>
        <v>1.3520000000000045</v>
      </c>
      <c r="AK679" s="321">
        <f t="shared" si="53"/>
        <v>0.1105662341851732</v>
      </c>
      <c r="AL679" s="321">
        <f t="shared" si="54"/>
        <v>0.21737299431252041</v>
      </c>
      <c r="AN679" s="321" t="e">
        <f t="shared" si="55"/>
        <v>#N/A</v>
      </c>
      <c r="AO679" s="321">
        <f t="shared" si="56"/>
        <v>0.21737299431252041</v>
      </c>
    </row>
    <row r="680" spans="35:41" ht="12" customHeight="1">
      <c r="AI680" s="321">
        <v>671</v>
      </c>
      <c r="AJ680" s="321">
        <f t="shared" si="57"/>
        <v>1.3600000000000045</v>
      </c>
      <c r="AK680" s="321">
        <f t="shared" si="53"/>
        <v>0.10915476589664656</v>
      </c>
      <c r="AL680" s="321">
        <f t="shared" si="54"/>
        <v>0.21545816177021859</v>
      </c>
      <c r="AN680" s="321" t="e">
        <f t="shared" si="55"/>
        <v>#N/A</v>
      </c>
      <c r="AO680" s="321">
        <f t="shared" si="56"/>
        <v>0.21545816177021859</v>
      </c>
    </row>
    <row r="681" spans="35:41" ht="12" customHeight="1">
      <c r="AI681" s="321">
        <v>672</v>
      </c>
      <c r="AJ681" s="321">
        <f t="shared" si="57"/>
        <v>1.3680000000000045</v>
      </c>
      <c r="AK681" s="321">
        <f t="shared" si="53"/>
        <v>0.10775441965014969</v>
      </c>
      <c r="AL681" s="321">
        <f t="shared" si="54"/>
        <v>0.21354652951823636</v>
      </c>
      <c r="AN681" s="321" t="e">
        <f t="shared" si="55"/>
        <v>#N/A</v>
      </c>
      <c r="AO681" s="321">
        <f t="shared" si="56"/>
        <v>0.21354652951823636</v>
      </c>
    </row>
    <row r="682" spans="35:41" ht="12" customHeight="1">
      <c r="AI682" s="321">
        <v>673</v>
      </c>
      <c r="AJ682" s="321">
        <f t="shared" si="57"/>
        <v>1.3760000000000046</v>
      </c>
      <c r="AK682" s="321">
        <f t="shared" si="53"/>
        <v>0.10636523084988853</v>
      </c>
      <c r="AL682" s="321">
        <f t="shared" si="54"/>
        <v>0.21163831275794259</v>
      </c>
      <c r="AN682" s="321" t="e">
        <f t="shared" si="55"/>
        <v>#N/A</v>
      </c>
      <c r="AO682" s="321">
        <f t="shared" si="56"/>
        <v>0.21163831275794259</v>
      </c>
    </row>
    <row r="683" spans="35:41" ht="12" customHeight="1">
      <c r="AI683" s="321">
        <v>674</v>
      </c>
      <c r="AJ683" s="321">
        <f t="shared" si="57"/>
        <v>1.3840000000000046</v>
      </c>
      <c r="AK683" s="321">
        <f t="shared" si="53"/>
        <v>0.10498723231641187</v>
      </c>
      <c r="AL683" s="321">
        <f t="shared" si="54"/>
        <v>0.20973372412173136</v>
      </c>
      <c r="AN683" s="321" t="e">
        <f t="shared" si="55"/>
        <v>#N/A</v>
      </c>
      <c r="AO683" s="321">
        <f t="shared" si="56"/>
        <v>0.20973372412173136</v>
      </c>
    </row>
    <row r="684" spans="35:41" ht="12" customHeight="1">
      <c r="AI684" s="321">
        <v>675</v>
      </c>
      <c r="AJ684" s="321">
        <f t="shared" si="57"/>
        <v>1.3920000000000046</v>
      </c>
      <c r="AK684" s="321">
        <f t="shared" si="53"/>
        <v>0.10362045431157213</v>
      </c>
      <c r="AL684" s="321">
        <f t="shared" si="54"/>
        <v>0.20783297364178968</v>
      </c>
      <c r="AN684" s="321" t="e">
        <f t="shared" si="55"/>
        <v>#N/A</v>
      </c>
      <c r="AO684" s="321">
        <f t="shared" si="56"/>
        <v>0.20783297364178968</v>
      </c>
    </row>
    <row r="685" spans="35:41" ht="12" customHeight="1">
      <c r="AI685" s="321">
        <v>676</v>
      </c>
      <c r="AJ685" s="321">
        <f t="shared" si="57"/>
        <v>1.4000000000000046</v>
      </c>
      <c r="AK685" s="321">
        <f t="shared" si="53"/>
        <v>0.10226492456397722</v>
      </c>
      <c r="AL685" s="321">
        <f t="shared" si="54"/>
        <v>0.20593626871997364</v>
      </c>
      <c r="AN685" s="321" t="e">
        <f t="shared" si="55"/>
        <v>#N/A</v>
      </c>
      <c r="AO685" s="321">
        <f t="shared" si="56"/>
        <v>0.20593626871997364</v>
      </c>
    </row>
    <row r="686" spans="35:41" ht="12" customHeight="1">
      <c r="AI686" s="321">
        <v>677</v>
      </c>
      <c r="AJ686" s="321">
        <f t="shared" si="57"/>
        <v>1.4080000000000046</v>
      </c>
      <c r="AK686" s="321">
        <f t="shared" si="53"/>
        <v>0.10092066829491693</v>
      </c>
      <c r="AL686" s="321">
        <f t="shared" si="54"/>
        <v>0.20404381409879427</v>
      </c>
      <c r="AN686" s="321" t="e">
        <f t="shared" si="55"/>
        <v>#N/A</v>
      </c>
      <c r="AO686" s="321">
        <f t="shared" si="56"/>
        <v>0.20404381409879427</v>
      </c>
    </row>
    <row r="687" spans="35:41" ht="12" customHeight="1">
      <c r="AI687" s="321">
        <v>678</v>
      </c>
      <c r="AJ687" s="321">
        <f t="shared" si="57"/>
        <v>1.4160000000000046</v>
      </c>
      <c r="AK687" s="321">
        <f t="shared" si="53"/>
        <v>9.9587708244748163E-2</v>
      </c>
      <c r="AL687" s="321">
        <f t="shared" si="54"/>
        <v>0.20215581183351461</v>
      </c>
      <c r="AN687" s="321" t="e">
        <f t="shared" si="55"/>
        <v>#N/A</v>
      </c>
      <c r="AO687" s="321">
        <f t="shared" si="56"/>
        <v>0.20215581183351461</v>
      </c>
    </row>
    <row r="688" spans="35:41" ht="12" customHeight="1">
      <c r="AI688" s="321">
        <v>679</v>
      </c>
      <c r="AJ688" s="321">
        <f t="shared" si="57"/>
        <v>1.4240000000000046</v>
      </c>
      <c r="AK688" s="321">
        <f t="shared" si="53"/>
        <v>9.8266064699722919E-2</v>
      </c>
      <c r="AL688" s="321">
        <f t="shared" si="54"/>
        <v>0.20027246126535761</v>
      </c>
      <c r="AN688" s="321" t="e">
        <f t="shared" si="55"/>
        <v>#N/A</v>
      </c>
      <c r="AO688" s="321">
        <f t="shared" si="56"/>
        <v>0.20027246126535761</v>
      </c>
    </row>
    <row r="689" spans="35:41" ht="12" customHeight="1">
      <c r="AI689" s="321">
        <v>680</v>
      </c>
      <c r="AJ689" s="321">
        <f t="shared" si="57"/>
        <v>1.4320000000000046</v>
      </c>
      <c r="AK689" s="321">
        <f t="shared" si="53"/>
        <v>9.695575551924264E-2</v>
      </c>
      <c r="AL689" s="321">
        <f t="shared" si="54"/>
        <v>0.19839395899582654</v>
      </c>
      <c r="AN689" s="321" t="e">
        <f t="shared" si="55"/>
        <v>#N/A</v>
      </c>
      <c r="AO689" s="321">
        <f t="shared" si="56"/>
        <v>0.19839395899582654</v>
      </c>
    </row>
    <row r="690" spans="35:41" ht="12" customHeight="1">
      <c r="AI690" s="321">
        <v>681</v>
      </c>
      <c r="AJ690" s="321">
        <f t="shared" si="57"/>
        <v>1.4400000000000046</v>
      </c>
      <c r="AK690" s="321">
        <f t="shared" si="53"/>
        <v>9.5656796163523239E-2</v>
      </c>
      <c r="AL690" s="321">
        <f t="shared" si="54"/>
        <v>0.19652049886213543</v>
      </c>
      <c r="AN690" s="321" t="e">
        <f t="shared" si="55"/>
        <v>#N/A</v>
      </c>
      <c r="AO690" s="321">
        <f t="shared" si="56"/>
        <v>0.19652049886213543</v>
      </c>
    </row>
    <row r="691" spans="35:41" ht="12" customHeight="1">
      <c r="AI691" s="321">
        <v>682</v>
      </c>
      <c r="AJ691" s="321">
        <f t="shared" si="57"/>
        <v>1.4480000000000046</v>
      </c>
      <c r="AK691" s="321">
        <f t="shared" si="53"/>
        <v>9.4369199721654834E-2</v>
      </c>
      <c r="AL691" s="321">
        <f t="shared" si="54"/>
        <v>0.19465227191375004</v>
      </c>
      <c r="AN691" s="321" t="e">
        <f t="shared" si="55"/>
        <v>#N/A</v>
      </c>
      <c r="AO691" s="321">
        <f t="shared" si="56"/>
        <v>0.19465227191375004</v>
      </c>
    </row>
    <row r="692" spans="35:41" ht="12" customHeight="1">
      <c r="AI692" s="321">
        <v>683</v>
      </c>
      <c r="AJ692" s="321">
        <f t="shared" si="57"/>
        <v>1.4560000000000046</v>
      </c>
      <c r="AK692" s="321">
        <f t="shared" si="53"/>
        <v>9.3092976940039804E-2</v>
      </c>
      <c r="AL692" s="321">
        <f t="shared" si="54"/>
        <v>0.19278946639003727</v>
      </c>
      <c r="AN692" s="321" t="e">
        <f t="shared" si="55"/>
        <v>#N/A</v>
      </c>
      <c r="AO692" s="321">
        <f t="shared" si="56"/>
        <v>0.19278946639003727</v>
      </c>
    </row>
    <row r="693" spans="35:41" ht="12" customHeight="1">
      <c r="AI693" s="321">
        <v>684</v>
      </c>
      <c r="AJ693" s="321">
        <f t="shared" si="57"/>
        <v>1.4640000000000046</v>
      </c>
      <c r="AK693" s="321">
        <f t="shared" si="53"/>
        <v>9.1828136251193737E-2</v>
      </c>
      <c r="AL693" s="321">
        <f t="shared" si="54"/>
        <v>0.19093226769902147</v>
      </c>
      <c r="AN693" s="321" t="e">
        <f t="shared" si="55"/>
        <v>#N/A</v>
      </c>
      <c r="AO693" s="321">
        <f t="shared" si="56"/>
        <v>0.19093226769902147</v>
      </c>
    </row>
    <row r="694" spans="35:41" ht="12" customHeight="1">
      <c r="AI694" s="321">
        <v>685</v>
      </c>
      <c r="AJ694" s="321">
        <f t="shared" si="57"/>
        <v>1.4720000000000046</v>
      </c>
      <c r="AK694" s="321">
        <f t="shared" si="53"/>
        <v>9.0574683802893186E-2</v>
      </c>
      <c r="AL694" s="321">
        <f t="shared" si="54"/>
        <v>0.18908085839724462</v>
      </c>
      <c r="AN694" s="321" t="e">
        <f t="shared" si="55"/>
        <v>#N/A</v>
      </c>
      <c r="AO694" s="321">
        <f t="shared" si="56"/>
        <v>0.18908085839724462</v>
      </c>
    </row>
    <row r="695" spans="35:41" ht="12" customHeight="1">
      <c r="AI695" s="321">
        <v>686</v>
      </c>
      <c r="AJ695" s="321">
        <f t="shared" si="57"/>
        <v>1.4800000000000046</v>
      </c>
      <c r="AK695" s="321">
        <f t="shared" si="53"/>
        <v>8.9332623487654264E-2</v>
      </c>
      <c r="AL695" s="321">
        <f t="shared" si="54"/>
        <v>0.18723541817072845</v>
      </c>
      <c r="AN695" s="321" t="e">
        <f t="shared" si="55"/>
        <v>#N/A</v>
      </c>
      <c r="AO695" s="321">
        <f t="shared" si="56"/>
        <v>0.18723541817072845</v>
      </c>
    </row>
    <row r="696" spans="35:41" ht="12" customHeight="1">
      <c r="AI696" s="321">
        <v>687</v>
      </c>
      <c r="AJ696" s="321">
        <f t="shared" si="57"/>
        <v>1.4880000000000047</v>
      </c>
      <c r="AK696" s="321">
        <f t="shared" si="53"/>
        <v>8.8101956972526763E-2</v>
      </c>
      <c r="AL696" s="321">
        <f t="shared" si="54"/>
        <v>0.18539612381703399</v>
      </c>
      <c r="AN696" s="321" t="e">
        <f t="shared" si="55"/>
        <v>#N/A</v>
      </c>
      <c r="AO696" s="321">
        <f t="shared" si="56"/>
        <v>0.18539612381703399</v>
      </c>
    </row>
    <row r="697" spans="35:41" ht="12" customHeight="1">
      <c r="AI697" s="321">
        <v>688</v>
      </c>
      <c r="AJ697" s="321">
        <f t="shared" si="57"/>
        <v>1.4960000000000047</v>
      </c>
      <c r="AK697" s="321">
        <f t="shared" si="53"/>
        <v>8.6882683729187699E-2</v>
      </c>
      <c r="AL697" s="321">
        <f t="shared" si="54"/>
        <v>0.18356314922841596</v>
      </c>
      <c r="AN697" s="321" t="e">
        <f t="shared" si="55"/>
        <v>#N/A</v>
      </c>
      <c r="AO697" s="321">
        <f t="shared" si="56"/>
        <v>0.18356314922841596</v>
      </c>
    </row>
    <row r="698" spans="35:41" ht="12" customHeight="1">
      <c r="AI698" s="321">
        <v>689</v>
      </c>
      <c r="AJ698" s="321">
        <f t="shared" si="57"/>
        <v>1.5040000000000047</v>
      </c>
      <c r="AK698" s="321">
        <f t="shared" si="53"/>
        <v>8.5674801064318892E-2</v>
      </c>
      <c r="AL698" s="321">
        <f t="shared" si="54"/>
        <v>0.18173666537606692</v>
      </c>
      <c r="AN698" s="321" t="e">
        <f t="shared" si="55"/>
        <v>#N/A</v>
      </c>
      <c r="AO698" s="321">
        <f t="shared" si="56"/>
        <v>0.18173666537606692</v>
      </c>
    </row>
    <row r="699" spans="35:41" ht="12" customHeight="1">
      <c r="AI699" s="321">
        <v>690</v>
      </c>
      <c r="AJ699" s="321">
        <f t="shared" si="57"/>
        <v>1.5120000000000047</v>
      </c>
      <c r="AK699" s="321">
        <f t="shared" si="53"/>
        <v>8.4478304150253217E-2</v>
      </c>
      <c r="AL699" s="321">
        <f t="shared" si="54"/>
        <v>0.1799168402954468</v>
      </c>
      <c r="AN699" s="321" t="e">
        <f t="shared" si="55"/>
        <v>#N/A</v>
      </c>
      <c r="AO699" s="321">
        <f t="shared" si="56"/>
        <v>0.1799168402954468</v>
      </c>
    </row>
    <row r="700" spans="35:41" ht="12" customHeight="1">
      <c r="AI700" s="321">
        <v>691</v>
      </c>
      <c r="AJ700" s="321">
        <f t="shared" si="57"/>
        <v>1.5200000000000047</v>
      </c>
      <c r="AK700" s="321">
        <f t="shared" si="53"/>
        <v>8.3293186055873769E-2</v>
      </c>
      <c r="AL700" s="321">
        <f t="shared" si="54"/>
        <v>0.17810383907269248</v>
      </c>
      <c r="AN700" s="321" t="e">
        <f t="shared" si="55"/>
        <v>#N/A</v>
      </c>
      <c r="AO700" s="321">
        <f t="shared" si="56"/>
        <v>0.17810383907269248</v>
      </c>
    </row>
    <row r="701" spans="35:41" ht="12" customHeight="1">
      <c r="AI701" s="321">
        <v>692</v>
      </c>
      <c r="AJ701" s="321">
        <f t="shared" si="57"/>
        <v>1.5280000000000047</v>
      </c>
      <c r="AK701" s="321">
        <f t="shared" si="53"/>
        <v>8.2119437777751103E-2</v>
      </c>
      <c r="AL701" s="321">
        <f t="shared" si="54"/>
        <v>0.17629782383210255</v>
      </c>
      <c r="AN701" s="321" t="e">
        <f t="shared" si="55"/>
        <v>#N/A</v>
      </c>
      <c r="AO701" s="321">
        <f t="shared" si="56"/>
        <v>0.17629782383210255</v>
      </c>
    </row>
    <row r="702" spans="35:41" ht="12" customHeight="1">
      <c r="AI702" s="321">
        <v>693</v>
      </c>
      <c r="AJ702" s="321">
        <f t="shared" si="57"/>
        <v>1.5360000000000047</v>
      </c>
      <c r="AK702" s="321">
        <f t="shared" si="53"/>
        <v>8.0957048271502796E-2</v>
      </c>
      <c r="AL702" s="321">
        <f t="shared" si="54"/>
        <v>0.17449895372469004</v>
      </c>
      <c r="AN702" s="321" t="e">
        <f t="shared" si="55"/>
        <v>#N/A</v>
      </c>
      <c r="AO702" s="321">
        <f t="shared" si="56"/>
        <v>0.17449895372469004</v>
      </c>
    </row>
    <row r="703" spans="35:41" ht="12" customHeight="1">
      <c r="AI703" s="321">
        <v>694</v>
      </c>
      <c r="AJ703" s="321">
        <f t="shared" si="57"/>
        <v>1.5440000000000047</v>
      </c>
      <c r="AK703" s="321">
        <f t="shared" si="53"/>
        <v>7.9806004483360865E-2</v>
      </c>
      <c r="AL703" s="321">
        <f t="shared" si="54"/>
        <v>0.17270738491779805</v>
      </c>
      <c r="AN703" s="321" t="e">
        <f t="shared" si="55"/>
        <v>#N/A</v>
      </c>
      <c r="AO703" s="321">
        <f t="shared" si="56"/>
        <v>0.17270738491779805</v>
      </c>
    </row>
    <row r="704" spans="35:41" ht="12" customHeight="1">
      <c r="AI704" s="321">
        <v>695</v>
      </c>
      <c r="AJ704" s="321">
        <f t="shared" si="57"/>
        <v>1.5520000000000047</v>
      </c>
      <c r="AK704" s="321">
        <f t="shared" si="53"/>
        <v>7.8666291381931652E-2</v>
      </c>
      <c r="AL704" s="321">
        <f t="shared" si="54"/>
        <v>0.17092327058577048</v>
      </c>
      <c r="AN704" s="321" t="e">
        <f t="shared" si="55"/>
        <v>#N/A</v>
      </c>
      <c r="AO704" s="321">
        <f t="shared" si="56"/>
        <v>0.17092327058577048</v>
      </c>
    </row>
    <row r="705" spans="35:41" ht="12" customHeight="1">
      <c r="AI705" s="321">
        <v>696</v>
      </c>
      <c r="AJ705" s="321">
        <f t="shared" si="57"/>
        <v>1.5600000000000047</v>
      </c>
      <c r="AK705" s="321">
        <f t="shared" si="53"/>
        <v>7.753789199013332E-2</v>
      </c>
      <c r="AL705" s="321">
        <f t="shared" si="54"/>
        <v>0.16914676090167133</v>
      </c>
      <c r="AN705" s="321" t="e">
        <f t="shared" si="55"/>
        <v>#N/A</v>
      </c>
      <c r="AO705" s="321">
        <f t="shared" si="56"/>
        <v>0.16914676090167133</v>
      </c>
    </row>
    <row r="706" spans="35:41" ht="12" customHeight="1">
      <c r="AI706" s="321">
        <v>697</v>
      </c>
      <c r="AJ706" s="321">
        <f t="shared" si="57"/>
        <v>1.5680000000000047</v>
      </c>
      <c r="AK706" s="321">
        <f t="shared" si="53"/>
        <v>7.6420787417296673E-2</v>
      </c>
      <c r="AL706" s="321">
        <f t="shared" si="54"/>
        <v>0.16737800303004433</v>
      </c>
      <c r="AN706" s="321" t="e">
        <f t="shared" si="55"/>
        <v>#N/A</v>
      </c>
      <c r="AO706" s="321">
        <f t="shared" si="56"/>
        <v>0.16737800303004433</v>
      </c>
    </row>
    <row r="707" spans="35:41" ht="12" customHeight="1">
      <c r="AI707" s="321">
        <v>698</v>
      </c>
      <c r="AJ707" s="321">
        <f t="shared" si="57"/>
        <v>1.5760000000000047</v>
      </c>
      <c r="AK707" s="321">
        <f t="shared" si="53"/>
        <v>7.5314956891414264E-2</v>
      </c>
      <c r="AL707" s="321">
        <f t="shared" si="54"/>
        <v>0.16561714112070555</v>
      </c>
      <c r="AN707" s="321" t="e">
        <f t="shared" si="55"/>
        <v>#N/A</v>
      </c>
      <c r="AO707" s="321">
        <f t="shared" si="56"/>
        <v>0.16561714112070555</v>
      </c>
    </row>
    <row r="708" spans="35:41" ht="12" customHeight="1">
      <c r="AI708" s="321">
        <v>699</v>
      </c>
      <c r="AJ708" s="321">
        <f t="shared" si="57"/>
        <v>1.5840000000000047</v>
      </c>
      <c r="AK708" s="321">
        <f t="shared" si="53"/>
        <v>7.4220377791523712E-2</v>
      </c>
      <c r="AL708" s="321">
        <f t="shared" si="54"/>
        <v>0.1638643163035603</v>
      </c>
      <c r="AN708" s="321" t="e">
        <f t="shared" si="55"/>
        <v>#N/A</v>
      </c>
      <c r="AO708" s="321">
        <f t="shared" si="56"/>
        <v>0.1638643163035603</v>
      </c>
    </row>
    <row r="709" spans="35:41" ht="12" customHeight="1">
      <c r="AI709" s="321">
        <v>700</v>
      </c>
      <c r="AJ709" s="321">
        <f t="shared" si="57"/>
        <v>1.5920000000000047</v>
      </c>
      <c r="AK709" s="321">
        <f t="shared" si="53"/>
        <v>7.3137025680210618E-2</v>
      </c>
      <c r="AL709" s="321">
        <f t="shared" si="54"/>
        <v>0.16211966668443545</v>
      </c>
      <c r="AN709" s="321" t="e">
        <f t="shared" si="55"/>
        <v>#N/A</v>
      </c>
      <c r="AO709" s="321">
        <f t="shared" si="56"/>
        <v>0.16211966668443545</v>
      </c>
    </row>
    <row r="710" spans="35:41" ht="12" customHeight="1">
      <c r="AI710" s="321">
        <v>701</v>
      </c>
      <c r="AJ710" s="321">
        <f t="shared" si="57"/>
        <v>1.6000000000000048</v>
      </c>
      <c r="AK710" s="321">
        <f t="shared" si="53"/>
        <v>7.2064874336217347E-2</v>
      </c>
      <c r="AL710" s="321">
        <f t="shared" si="54"/>
        <v>0.16038332734191854</v>
      </c>
      <c r="AN710" s="321" t="e">
        <f t="shared" si="55"/>
        <v>#N/A</v>
      </c>
      <c r="AO710" s="321">
        <f t="shared" si="56"/>
        <v>0.16038332734191854</v>
      </c>
    </row>
    <row r="711" spans="35:41" ht="12" customHeight="1">
      <c r="AI711" s="321">
        <v>702</v>
      </c>
      <c r="AJ711" s="321">
        <f t="shared" si="57"/>
        <v>1.6080000000000048</v>
      </c>
      <c r="AK711" s="321">
        <f t="shared" si="53"/>
        <v>7.1003895787143417E-2</v>
      </c>
      <c r="AL711" s="321">
        <f t="shared" si="54"/>
        <v>0.15865543032519372</v>
      </c>
      <c r="AN711" s="321" t="e">
        <f t="shared" si="55"/>
        <v>#N/A</v>
      </c>
      <c r="AO711" s="321">
        <f t="shared" si="56"/>
        <v>0.15865543032519372</v>
      </c>
    </row>
    <row r="712" spans="35:41" ht="12" customHeight="1">
      <c r="AI712" s="321">
        <v>703</v>
      </c>
      <c r="AJ712" s="321">
        <f t="shared" si="57"/>
        <v>1.6160000000000048</v>
      </c>
      <c r="AK712" s="321">
        <f t="shared" si="53"/>
        <v>6.9954060342223734E-2</v>
      </c>
      <c r="AL712" s="321">
        <f t="shared" si="54"/>
        <v>0.15693610465286506</v>
      </c>
      <c r="AN712" s="321" t="e">
        <f t="shared" si="55"/>
        <v>#N/A</v>
      </c>
      <c r="AO712" s="321">
        <f t="shared" si="56"/>
        <v>0.15693610465286506</v>
      </c>
    </row>
    <row r="713" spans="35:41" ht="12" customHeight="1">
      <c r="AI713" s="321">
        <v>704</v>
      </c>
      <c r="AJ713" s="321">
        <f t="shared" si="57"/>
        <v>1.6240000000000048</v>
      </c>
      <c r="AK713" s="321">
        <f t="shared" si="53"/>
        <v>6.8915336625171172E-2</v>
      </c>
      <c r="AL713" s="321">
        <f t="shared" si="54"/>
        <v>0.15522547631275693</v>
      </c>
      <c r="AN713" s="321" t="e">
        <f t="shared" si="55"/>
        <v>#N/A</v>
      </c>
      <c r="AO713" s="321">
        <f t="shared" si="56"/>
        <v>0.15522547631275693</v>
      </c>
    </row>
    <row r="714" spans="35:41" ht="12" customHeight="1">
      <c r="AI714" s="321">
        <v>705</v>
      </c>
      <c r="AJ714" s="321">
        <f t="shared" si="57"/>
        <v>1.6320000000000048</v>
      </c>
      <c r="AK714" s="321">
        <f t="shared" ref="AK714:AK777" si="58">NORMDIST(AJ714,$AH$26,$AH$28,FALSE)</f>
        <v>6.7887691607069964E-2</v>
      </c>
      <c r="AL714" s="321">
        <f t="shared" ref="AL714:AL777" si="59">NORMDIST(AJ714,$AH$27,$AH$28,FALSE)</f>
        <v>0.15352366826268127</v>
      </c>
      <c r="AN714" s="321" t="e">
        <f t="shared" ref="AN714:AN777" si="60">IF(AND($AJ$7,$AH$27&gt;AJ714),AK714,NA())</f>
        <v>#N/A</v>
      </c>
      <c r="AO714" s="321">
        <f t="shared" ref="AO714:AO777" si="61">IF(AND($AJ$6,$AH$26&lt;AJ714+(drend-dlend)/$AO$6),AL714,NA())</f>
        <v>0.15352366826268127</v>
      </c>
    </row>
    <row r="715" spans="35:41" ht="12" customHeight="1">
      <c r="AI715" s="321">
        <v>706</v>
      </c>
      <c r="AJ715" s="321">
        <f t="shared" ref="AJ715:AJ778" si="62">AJ714+$AL$7</f>
        <v>1.6400000000000048</v>
      </c>
      <c r="AK715" s="321">
        <f t="shared" si="58"/>
        <v>6.6871090639306532E-2</v>
      </c>
      <c r="AL715" s="321">
        <f t="shared" si="59"/>
        <v>0.15183080043216063</v>
      </c>
      <c r="AN715" s="321" t="e">
        <f t="shared" si="60"/>
        <v>#N/A</v>
      </c>
      <c r="AO715" s="321">
        <f t="shared" si="61"/>
        <v>0.15183080043216063</v>
      </c>
    </row>
    <row r="716" spans="35:41" ht="12" customHeight="1">
      <c r="AI716" s="321">
        <v>707</v>
      </c>
      <c r="AJ716" s="321">
        <f t="shared" si="62"/>
        <v>1.6480000000000048</v>
      </c>
      <c r="AK716" s="321">
        <f t="shared" si="58"/>
        <v>6.5865497486524732E-2</v>
      </c>
      <c r="AL716" s="321">
        <f t="shared" si="59"/>
        <v>0.15014698972509605</v>
      </c>
      <c r="AN716" s="321" t="e">
        <f t="shared" si="60"/>
        <v>#N/A</v>
      </c>
      <c r="AO716" s="321">
        <f t="shared" si="61"/>
        <v>0.15014698972509605</v>
      </c>
    </row>
    <row r="717" spans="35:41" ht="12" customHeight="1">
      <c r="AI717" s="321">
        <v>708</v>
      </c>
      <c r="AJ717" s="321">
        <f t="shared" si="62"/>
        <v>1.6560000000000048</v>
      </c>
      <c r="AK717" s="321">
        <f t="shared" si="58"/>
        <v>6.4870874359592628E-2</v>
      </c>
      <c r="AL717" s="321">
        <f t="shared" si="59"/>
        <v>0.14847235002336845</v>
      </c>
      <c r="AN717" s="321" t="e">
        <f t="shared" si="60"/>
        <v>#N/A</v>
      </c>
      <c r="AO717" s="321">
        <f t="shared" si="61"/>
        <v>0.14847235002336845</v>
      </c>
    </row>
    <row r="718" spans="35:41" ht="12" customHeight="1">
      <c r="AI718" s="321">
        <v>709</v>
      </c>
      <c r="AJ718" s="321">
        <f t="shared" si="62"/>
        <v>1.6640000000000048</v>
      </c>
      <c r="AK718" s="321">
        <f t="shared" si="58"/>
        <v>6.3887181948567989E-2</v>
      </c>
      <c r="AL718" s="321">
        <f t="shared" si="59"/>
        <v>0.14680699219136212</v>
      </c>
      <c r="AN718" s="321" t="e">
        <f t="shared" si="60"/>
        <v>#N/A</v>
      </c>
      <c r="AO718" s="321">
        <f t="shared" si="61"/>
        <v>0.14680699219136212</v>
      </c>
    </row>
    <row r="719" spans="35:41" ht="12" customHeight="1">
      <c r="AI719" s="321">
        <v>710</v>
      </c>
      <c r="AJ719" s="321">
        <f t="shared" si="62"/>
        <v>1.6720000000000048</v>
      </c>
      <c r="AK719" s="321">
        <f t="shared" si="58"/>
        <v>6.2914379455649955E-2</v>
      </c>
      <c r="AL719" s="321">
        <f t="shared" si="59"/>
        <v>0.1451510240813973</v>
      </c>
      <c r="AN719" s="321" t="e">
        <f t="shared" si="60"/>
        <v>#N/A</v>
      </c>
      <c r="AO719" s="321">
        <f t="shared" si="61"/>
        <v>0.1451510240813973</v>
      </c>
    </row>
    <row r="720" spans="35:41" ht="12" customHeight="1">
      <c r="AI720" s="321">
        <v>711</v>
      </c>
      <c r="AJ720" s="321">
        <f t="shared" si="62"/>
        <v>1.6800000000000048</v>
      </c>
      <c r="AK720" s="321">
        <f t="shared" si="58"/>
        <v>6.1952424628104574E-2</v>
      </c>
      <c r="AL720" s="321">
        <f t="shared" si="59"/>
        <v>0.14350455054006139</v>
      </c>
      <c r="AN720" s="321" t="e">
        <f t="shared" si="60"/>
        <v>#N/A</v>
      </c>
      <c r="AO720" s="321">
        <f t="shared" si="61"/>
        <v>0.14350455054006139</v>
      </c>
    </row>
    <row r="721" spans="35:41" ht="12" customHeight="1">
      <c r="AI721" s="321">
        <v>712</v>
      </c>
      <c r="AJ721" s="321">
        <f t="shared" si="62"/>
        <v>1.6880000000000048</v>
      </c>
      <c r="AK721" s="321">
        <f t="shared" si="58"/>
        <v>6.1001273791152111E-2</v>
      </c>
      <c r="AL721" s="321">
        <f t="shared" si="59"/>
        <v>0.14186767341542453</v>
      </c>
      <c r="AN721" s="321" t="e">
        <f t="shared" si="60"/>
        <v>#N/A</v>
      </c>
      <c r="AO721" s="321">
        <f t="shared" si="61"/>
        <v>0.14186767341542453</v>
      </c>
    </row>
    <row r="722" spans="35:41" ht="12" customHeight="1">
      <c r="AI722" s="321">
        <v>713</v>
      </c>
      <c r="AJ722" s="321">
        <f t="shared" si="62"/>
        <v>1.6960000000000048</v>
      </c>
      <c r="AK722" s="321">
        <f t="shared" si="58"/>
        <v>6.0060881880803989E-2</v>
      </c>
      <c r="AL722" s="321">
        <f t="shared" si="59"/>
        <v>0.14024049156512791</v>
      </c>
      <c r="AN722" s="321" t="e">
        <f t="shared" si="60"/>
        <v>#N/A</v>
      </c>
      <c r="AO722" s="321">
        <f t="shared" si="61"/>
        <v>0.14024049156512791</v>
      </c>
    </row>
    <row r="723" spans="35:41" ht="12" customHeight="1">
      <c r="AI723" s="321">
        <v>714</v>
      </c>
      <c r="AJ723" s="321">
        <f t="shared" si="62"/>
        <v>1.7040000000000048</v>
      </c>
      <c r="AK723" s="321">
        <f t="shared" si="58"/>
        <v>5.9131202476637779E-2</v>
      </c>
      <c r="AL723" s="321">
        <f t="shared" si="59"/>
        <v>0.13862310086533164</v>
      </c>
      <c r="AN723" s="321" t="e">
        <f t="shared" si="60"/>
        <v>#N/A</v>
      </c>
      <c r="AO723" s="321">
        <f t="shared" si="61"/>
        <v>0.13862310086533164</v>
      </c>
    </row>
    <row r="724" spans="35:41" ht="12" customHeight="1">
      <c r="AI724" s="321">
        <v>715</v>
      </c>
      <c r="AJ724" s="321">
        <f t="shared" si="62"/>
        <v>1.7120000000000049</v>
      </c>
      <c r="AK724" s="321">
        <f t="shared" si="58"/>
        <v>5.8212187834498781E-2</v>
      </c>
      <c r="AL724" s="321">
        <f t="shared" si="59"/>
        <v>0.13701559422050838</v>
      </c>
      <c r="AN724" s="321" t="e">
        <f t="shared" si="60"/>
        <v>#N/A</v>
      </c>
      <c r="AO724" s="321">
        <f t="shared" si="61"/>
        <v>0.13701559422050838</v>
      </c>
    </row>
    <row r="725" spans="35:41" ht="12" customHeight="1">
      <c r="AI725" s="321">
        <v>716</v>
      </c>
      <c r="AJ725" s="321">
        <f t="shared" si="62"/>
        <v>1.7200000000000049</v>
      </c>
      <c r="AK725" s="321">
        <f t="shared" si="58"/>
        <v>5.7303788919116583E-2</v>
      </c>
      <c r="AL725" s="321">
        <f t="shared" si="59"/>
        <v>0.1354180615740703</v>
      </c>
      <c r="AN725" s="321" t="e">
        <f t="shared" si="60"/>
        <v>#N/A</v>
      </c>
      <c r="AO725" s="321">
        <f t="shared" si="61"/>
        <v>0.1354180615740703</v>
      </c>
    </row>
    <row r="726" spans="35:41" ht="12" customHeight="1">
      <c r="AI726" s="321">
        <v>717</v>
      </c>
      <c r="AJ726" s="321">
        <f t="shared" si="62"/>
        <v>1.7280000000000049</v>
      </c>
      <c r="AK726" s="321">
        <f t="shared" si="58"/>
        <v>5.6405955436625722E-2</v>
      </c>
      <c r="AL726" s="321">
        <f t="shared" si="59"/>
        <v>0.13383058991981472</v>
      </c>
      <c r="AN726" s="321" t="e">
        <f t="shared" si="60"/>
        <v>#N/A</v>
      </c>
      <c r="AO726" s="321">
        <f t="shared" si="61"/>
        <v>0.13383058991981472</v>
      </c>
    </row>
    <row r="727" spans="35:41" ht="12" customHeight="1">
      <c r="AI727" s="321">
        <v>718</v>
      </c>
      <c r="AJ727" s="321">
        <f t="shared" si="62"/>
        <v>1.7360000000000049</v>
      </c>
      <c r="AK727" s="321">
        <f t="shared" si="58"/>
        <v>5.5518635866979561E-2</v>
      </c>
      <c r="AL727" s="321">
        <f t="shared" si="59"/>
        <v>0.13225326331417514</v>
      </c>
      <c r="AN727" s="321" t="e">
        <f t="shared" si="60"/>
        <v>#N/A</v>
      </c>
      <c r="AO727" s="321">
        <f t="shared" si="61"/>
        <v>0.13225326331417514</v>
      </c>
    </row>
    <row r="728" spans="35:41" ht="12" customHeight="1">
      <c r="AI728" s="321">
        <v>719</v>
      </c>
      <c r="AJ728" s="321">
        <f t="shared" si="62"/>
        <v>1.7440000000000049</v>
      </c>
      <c r="AK728" s="321">
        <f t="shared" si="58"/>
        <v>5.4641777496246491E-2</v>
      </c>
      <c r="AL728" s="321">
        <f t="shared" si="59"/>
        <v>0.13068616288926355</v>
      </c>
      <c r="AN728" s="321" t="e">
        <f t="shared" si="60"/>
        <v>#N/A</v>
      </c>
      <c r="AO728" s="321">
        <f t="shared" si="61"/>
        <v>0.13068616288926355</v>
      </c>
    </row>
    <row r="729" spans="35:41" ht="12" customHeight="1">
      <c r="AI729" s="321">
        <v>720</v>
      </c>
      <c r="AJ729" s="321">
        <f t="shared" si="62"/>
        <v>1.7520000000000049</v>
      </c>
      <c r="AK729" s="321">
        <f t="shared" si="58"/>
        <v>5.3775326448778214E-2</v>
      </c>
      <c r="AL729" s="321">
        <f t="shared" si="59"/>
        <v>0.12912936686668927</v>
      </c>
      <c r="AN729" s="321" t="e">
        <f t="shared" si="60"/>
        <v>#N/A</v>
      </c>
      <c r="AO729" s="321">
        <f t="shared" si="61"/>
        <v>0.12912936686668927</v>
      </c>
    </row>
    <row r="730" spans="35:41" ht="12" customHeight="1">
      <c r="AI730" s="321">
        <v>721</v>
      </c>
      <c r="AJ730" s="321">
        <f t="shared" si="62"/>
        <v>1.7600000000000049</v>
      </c>
      <c r="AK730" s="321">
        <f t="shared" si="58"/>
        <v>5.2919227719239743E-2</v>
      </c>
      <c r="AL730" s="321">
        <f t="shared" si="59"/>
        <v>0.12758295057214092</v>
      </c>
      <c r="AN730" s="321" t="e">
        <f t="shared" si="60"/>
        <v>#N/A</v>
      </c>
      <c r="AO730" s="321">
        <f t="shared" si="61"/>
        <v>0.12758295057214092</v>
      </c>
    </row>
    <row r="731" spans="35:41" ht="12" customHeight="1">
      <c r="AI731" s="321">
        <v>722</v>
      </c>
      <c r="AJ731" s="321">
        <f t="shared" si="62"/>
        <v>1.7680000000000049</v>
      </c>
      <c r="AK731" s="321">
        <f t="shared" si="58"/>
        <v>5.2073425204491139E-2</v>
      </c>
      <c r="AL731" s="321">
        <f t="shared" si="59"/>
        <v>0.1260469864507156</v>
      </c>
      <c r="AN731" s="321" t="e">
        <f t="shared" si="60"/>
        <v>#N/A</v>
      </c>
      <c r="AO731" s="321">
        <f t="shared" si="61"/>
        <v>0.1260469864507156</v>
      </c>
    </row>
    <row r="732" spans="35:41" ht="12" customHeight="1">
      <c r="AI732" s="321">
        <v>723</v>
      </c>
      <c r="AJ732" s="321">
        <f t="shared" si="62"/>
        <v>1.7760000000000049</v>
      </c>
      <c r="AK732" s="321">
        <f t="shared" si="58"/>
        <v>5.1237861735311217E-2</v>
      </c>
      <c r="AL732" s="321">
        <f t="shared" si="59"/>
        <v>0.12452154408298167</v>
      </c>
      <c r="AN732" s="321" t="e">
        <f t="shared" si="60"/>
        <v>#N/A</v>
      </c>
      <c r="AO732" s="321">
        <f t="shared" si="61"/>
        <v>0.12452154408298167</v>
      </c>
    </row>
    <row r="733" spans="35:41" ht="12" customHeight="1">
      <c r="AI733" s="321">
        <v>724</v>
      </c>
      <c r="AJ733" s="321">
        <f t="shared" si="62"/>
        <v>1.7840000000000049</v>
      </c>
      <c r="AK733" s="321">
        <f t="shared" si="58"/>
        <v>5.0412479107953607E-2</v>
      </c>
      <c r="AL733" s="321">
        <f t="shared" si="59"/>
        <v>0.12300669020175958</v>
      </c>
      <c r="AN733" s="321" t="e">
        <f t="shared" si="60"/>
        <v>#N/A</v>
      </c>
      <c r="AO733" s="321">
        <f t="shared" si="61"/>
        <v>0.12300669020175958</v>
      </c>
    </row>
    <row r="734" spans="35:41" ht="12" customHeight="1">
      <c r="AI734" s="321">
        <v>725</v>
      </c>
      <c r="AJ734" s="321">
        <f t="shared" si="62"/>
        <v>1.7920000000000049</v>
      </c>
      <c r="AK734" s="321">
        <f t="shared" si="58"/>
        <v>4.9597218115525803E-2</v>
      </c>
      <c r="AL734" s="321">
        <f t="shared" si="59"/>
        <v>0.12150248870960574</v>
      </c>
      <c r="AN734" s="321" t="e">
        <f t="shared" si="60"/>
        <v>#N/A</v>
      </c>
      <c r="AO734" s="321">
        <f t="shared" si="61"/>
        <v>0.12150248870960574</v>
      </c>
    </row>
    <row r="735" spans="35:41" ht="12" customHeight="1">
      <c r="AI735" s="321">
        <v>726</v>
      </c>
      <c r="AJ735" s="321">
        <f t="shared" si="62"/>
        <v>1.8000000000000049</v>
      </c>
      <c r="AK735" s="321">
        <f t="shared" si="58"/>
        <v>4.8792018579182236E-2</v>
      </c>
      <c r="AL735" s="321">
        <f t="shared" si="59"/>
        <v>0.12000900069698466</v>
      </c>
      <c r="AN735" s="321" t="e">
        <f t="shared" si="60"/>
        <v>#N/A</v>
      </c>
      <c r="AO735" s="321">
        <f t="shared" si="61"/>
        <v>0.12000900069698466</v>
      </c>
    </row>
    <row r="736" spans="35:41" ht="12" customHeight="1">
      <c r="AI736" s="321">
        <v>727</v>
      </c>
      <c r="AJ736" s="321">
        <f t="shared" si="62"/>
        <v>1.8080000000000049</v>
      </c>
      <c r="AK736" s="321">
        <f t="shared" si="58"/>
        <v>4.7996819379122306E-2</v>
      </c>
      <c r="AL736" s="321">
        <f t="shared" si="59"/>
        <v>0.11852628446111359</v>
      </c>
      <c r="AN736" s="321" t="e">
        <f t="shared" si="60"/>
        <v>#N/A</v>
      </c>
      <c r="AO736" s="321">
        <f t="shared" si="61"/>
        <v>0.11852628446111359</v>
      </c>
    </row>
    <row r="737" spans="35:41" ht="12" customHeight="1">
      <c r="AI737" s="321">
        <v>728</v>
      </c>
      <c r="AJ737" s="321">
        <f t="shared" si="62"/>
        <v>1.8160000000000049</v>
      </c>
      <c r="AK737" s="321">
        <f t="shared" si="58"/>
        <v>4.7211558485384796E-2</v>
      </c>
      <c r="AL737" s="321">
        <f t="shared" si="59"/>
        <v>0.11705439552546434</v>
      </c>
      <c r="AN737" s="321" t="e">
        <f t="shared" si="60"/>
        <v>#N/A</v>
      </c>
      <c r="AO737" s="321">
        <f t="shared" si="61"/>
        <v>0.11705439552546434</v>
      </c>
    </row>
    <row r="738" spans="35:41" ht="12" customHeight="1">
      <c r="AI738" s="321">
        <v>729</v>
      </c>
      <c r="AJ738" s="321">
        <f t="shared" si="62"/>
        <v>1.824000000000005</v>
      </c>
      <c r="AK738" s="321">
        <f t="shared" si="58"/>
        <v>4.6436172988430294E-2</v>
      </c>
      <c r="AL738" s="321">
        <f t="shared" si="59"/>
        <v>0.11559338665990704</v>
      </c>
      <c r="AN738" s="321" t="e">
        <f t="shared" si="60"/>
        <v>#N/A</v>
      </c>
      <c r="AO738" s="321">
        <f t="shared" si="61"/>
        <v>0.11559338665990704</v>
      </c>
    </row>
    <row r="739" spans="35:41" ht="12" customHeight="1">
      <c r="AI739" s="321">
        <v>730</v>
      </c>
      <c r="AJ739" s="321">
        <f t="shared" si="62"/>
        <v>1.832000000000005</v>
      </c>
      <c r="AK739" s="321">
        <f t="shared" si="58"/>
        <v>4.5670599129503379E-2</v>
      </c>
      <c r="AL739" s="321">
        <f t="shared" si="59"/>
        <v>0.11414330790147996</v>
      </c>
      <c r="AN739" s="321" t="e">
        <f t="shared" si="60"/>
        <v>#N/A</v>
      </c>
      <c r="AO739" s="321">
        <f t="shared" si="61"/>
        <v>0.11414330790147996</v>
      </c>
    </row>
    <row r="740" spans="35:41" ht="12" customHeight="1">
      <c r="AI740" s="321">
        <v>731</v>
      </c>
      <c r="AJ740" s="321">
        <f t="shared" si="62"/>
        <v>1.840000000000005</v>
      </c>
      <c r="AK740" s="321">
        <f t="shared" si="58"/>
        <v>4.4914772330766593E-2</v>
      </c>
      <c r="AL740" s="321">
        <f t="shared" si="59"/>
        <v>0.11270420657576966</v>
      </c>
      <c r="AN740" s="321" t="e">
        <f t="shared" si="60"/>
        <v>#N/A</v>
      </c>
      <c r="AO740" s="321">
        <f t="shared" si="61"/>
        <v>0.11270420657576966</v>
      </c>
    </row>
    <row r="741" spans="35:41" ht="12" customHeight="1">
      <c r="AI741" s="321">
        <v>732</v>
      </c>
      <c r="AJ741" s="321">
        <f t="shared" si="62"/>
        <v>1.848000000000005</v>
      </c>
      <c r="AK741" s="321">
        <f t="shared" si="58"/>
        <v>4.4168627225198445E-2</v>
      </c>
      <c r="AL741" s="321">
        <f t="shared" si="59"/>
        <v>0.11127612731888586</v>
      </c>
      <c r="AN741" s="321" t="e">
        <f t="shared" si="60"/>
        <v>#N/A</v>
      </c>
      <c r="AO741" s="321">
        <f t="shared" si="61"/>
        <v>0.11127612731888586</v>
      </c>
    </row>
    <row r="742" spans="35:41" ht="12" customHeight="1">
      <c r="AI742" s="321">
        <v>733</v>
      </c>
      <c r="AJ742" s="321">
        <f t="shared" si="62"/>
        <v>1.856000000000005</v>
      </c>
      <c r="AK742" s="321">
        <f t="shared" si="58"/>
        <v>4.34320976862482E-2</v>
      </c>
      <c r="AL742" s="321">
        <f t="shared" si="59"/>
        <v>0.10985911210001527</v>
      </c>
      <c r="AN742" s="321" t="e">
        <f t="shared" si="60"/>
        <v>#N/A</v>
      </c>
      <c r="AO742" s="321">
        <f t="shared" si="61"/>
        <v>0.10985911210001527</v>
      </c>
    </row>
    <row r="743" spans="35:41" ht="12" customHeight="1">
      <c r="AI743" s="321">
        <v>734</v>
      </c>
      <c r="AJ743" s="321">
        <f t="shared" si="62"/>
        <v>1.864000000000005</v>
      </c>
      <c r="AK743" s="321">
        <f t="shared" si="58"/>
        <v>4.2705116857239711E-2</v>
      </c>
      <c r="AL743" s="321">
        <f t="shared" si="59"/>
        <v>0.10845320024453789</v>
      </c>
      <c r="AN743" s="321" t="e">
        <f t="shared" si="60"/>
        <v>#N/A</v>
      </c>
      <c r="AO743" s="321">
        <f t="shared" si="61"/>
        <v>0.10845320024453789</v>
      </c>
    </row>
    <row r="744" spans="35:41" ht="12" customHeight="1">
      <c r="AI744" s="321">
        <v>735</v>
      </c>
      <c r="AJ744" s="321">
        <f t="shared" si="62"/>
        <v>1.872000000000005</v>
      </c>
      <c r="AK744" s="321">
        <f t="shared" si="58"/>
        <v>4.1987617180517793E-2</v>
      </c>
      <c r="AL744" s="321">
        <f t="shared" si="59"/>
        <v>0.1070584284576909</v>
      </c>
      <c r="AN744" s="321" t="e">
        <f t="shared" si="60"/>
        <v>#N/A</v>
      </c>
      <c r="AO744" s="321">
        <f t="shared" si="61"/>
        <v>0.1070584284576909</v>
      </c>
    </row>
    <row r="745" spans="35:41" ht="12" customHeight="1">
      <c r="AI745" s="321">
        <v>736</v>
      </c>
      <c r="AJ745" s="321">
        <f t="shared" si="62"/>
        <v>1.880000000000005</v>
      </c>
      <c r="AK745" s="321">
        <f t="shared" si="58"/>
        <v>4.1279530426329931E-2</v>
      </c>
      <c r="AL745" s="321">
        <f t="shared" si="59"/>
        <v>0.10567483084876275</v>
      </c>
      <c r="AN745" s="321" t="e">
        <f t="shared" si="60"/>
        <v>#N/A</v>
      </c>
      <c r="AO745" s="321">
        <f t="shared" si="61"/>
        <v>0.10567483084876275</v>
      </c>
    </row>
    <row r="746" spans="35:41" ht="12" customHeight="1">
      <c r="AI746" s="321">
        <v>737</v>
      </c>
      <c r="AJ746" s="321">
        <f t="shared" si="62"/>
        <v>1.888000000000005</v>
      </c>
      <c r="AK746" s="321">
        <f t="shared" si="58"/>
        <v>4.0580787721436994E-2</v>
      </c>
      <c r="AL746" s="321">
        <f t="shared" si="59"/>
        <v>0.10430243895580295</v>
      </c>
      <c r="AN746" s="321" t="e">
        <f t="shared" si="60"/>
        <v>#N/A</v>
      </c>
      <c r="AO746" s="321">
        <f t="shared" si="61"/>
        <v>0.10430243895580295</v>
      </c>
    </row>
    <row r="747" spans="35:41" ht="12" customHeight="1">
      <c r="AI747" s="321">
        <v>738</v>
      </c>
      <c r="AJ747" s="321">
        <f t="shared" si="62"/>
        <v>1.896000000000005</v>
      </c>
      <c r="AK747" s="321">
        <f t="shared" si="58"/>
        <v>3.9891319577446495E-2</v>
      </c>
      <c r="AL747" s="321">
        <f t="shared" si="59"/>
        <v>0.1029412817708301</v>
      </c>
      <c r="AN747" s="321" t="e">
        <f t="shared" si="60"/>
        <v>#N/A</v>
      </c>
      <c r="AO747" s="321">
        <f t="shared" si="61"/>
        <v>0.1029412817708301</v>
      </c>
    </row>
    <row r="748" spans="35:41" ht="12" customHeight="1">
      <c r="AI748" s="321">
        <v>739</v>
      </c>
      <c r="AJ748" s="321">
        <f t="shared" si="62"/>
        <v>1.904000000000005</v>
      </c>
      <c r="AK748" s="321">
        <f t="shared" si="58"/>
        <v>3.921105591886228E-2</v>
      </c>
      <c r="AL748" s="321">
        <f t="shared" si="59"/>
        <v>0.10159138576552329</v>
      </c>
      <c r="AN748" s="321" t="e">
        <f t="shared" si="60"/>
        <v>#N/A</v>
      </c>
      <c r="AO748" s="321">
        <f t="shared" si="61"/>
        <v>0.10159138576552329</v>
      </c>
    </row>
    <row r="749" spans="35:41" ht="12" customHeight="1">
      <c r="AI749" s="321">
        <v>740</v>
      </c>
      <c r="AJ749" s="321">
        <f t="shared" si="62"/>
        <v>1.912000000000005</v>
      </c>
      <c r="AK749" s="321">
        <f t="shared" si="58"/>
        <v>3.8539926110844933E-2</v>
      </c>
      <c r="AL749" s="321">
        <f t="shared" si="59"/>
        <v>0.10025277491737954</v>
      </c>
      <c r="AN749" s="321" t="e">
        <f t="shared" si="60"/>
        <v>#N/A</v>
      </c>
      <c r="AO749" s="321">
        <f t="shared" si="61"/>
        <v>0.10025277491737954</v>
      </c>
    </row>
    <row r="750" spans="35:41" ht="12" customHeight="1">
      <c r="AI750" s="321">
        <v>741</v>
      </c>
      <c r="AJ750" s="321">
        <f t="shared" si="62"/>
        <v>1.920000000000005</v>
      </c>
      <c r="AK750" s="321">
        <f t="shared" si="58"/>
        <v>3.7877858986677039E-2</v>
      </c>
      <c r="AL750" s="321">
        <f t="shared" si="59"/>
        <v>9.8925470736322879E-2</v>
      </c>
      <c r="AN750" s="321" t="e">
        <f t="shared" si="60"/>
        <v>#N/A</v>
      </c>
      <c r="AO750" s="321">
        <f t="shared" si="61"/>
        <v>9.8925470736322879E-2</v>
      </c>
    </row>
    <row r="751" spans="35:41" ht="12" customHeight="1">
      <c r="AI751" s="321">
        <v>742</v>
      </c>
      <c r="AJ751" s="321">
        <f t="shared" si="62"/>
        <v>1.928000000000005</v>
      </c>
      <c r="AK751" s="321">
        <f t="shared" si="58"/>
        <v>3.7224782874927941E-2</v>
      </c>
      <c r="AL751" s="321">
        <f t="shared" si="59"/>
        <v>9.7609492291747119E-2</v>
      </c>
      <c r="AN751" s="321" t="e">
        <f t="shared" si="60"/>
        <v>#N/A</v>
      </c>
      <c r="AO751" s="321">
        <f t="shared" si="61"/>
        <v>9.7609492291747119E-2</v>
      </c>
    </row>
    <row r="752" spans="35:41" ht="12" customHeight="1">
      <c r="AI752" s="321">
        <v>743</v>
      </c>
      <c r="AJ752" s="321">
        <f t="shared" si="62"/>
        <v>1.9360000000000051</v>
      </c>
      <c r="AK752" s="321">
        <f t="shared" si="58"/>
        <v>3.6580625626312903E-2</v>
      </c>
      <c r="AL752" s="321">
        <f t="shared" si="59"/>
        <v>9.6304856239977796E-2</v>
      </c>
      <c r="AN752" s="321" t="e">
        <f t="shared" si="60"/>
        <v>#N/A</v>
      </c>
      <c r="AO752" s="321">
        <f t="shared" si="61"/>
        <v>9.6304856239977796E-2</v>
      </c>
    </row>
    <row r="753" spans="35:41" ht="12" customHeight="1">
      <c r="AI753" s="321">
        <v>744</v>
      </c>
      <c r="AJ753" s="321">
        <f t="shared" si="62"/>
        <v>1.9440000000000051</v>
      </c>
      <c r="AK753" s="321">
        <f t="shared" si="58"/>
        <v>3.5945314640241532E-2</v>
      </c>
      <c r="AL753" s="321">
        <f t="shared" si="59"/>
        <v>9.5011576852136487E-2</v>
      </c>
      <c r="AN753" s="321" t="e">
        <f t="shared" si="60"/>
        <v>#N/A</v>
      </c>
      <c r="AO753" s="321">
        <f t="shared" si="61"/>
        <v>9.5011576852136487E-2</v>
      </c>
    </row>
    <row r="754" spans="35:41" ht="12" customHeight="1">
      <c r="AI754" s="321">
        <v>745</v>
      </c>
      <c r="AJ754" s="321">
        <f t="shared" si="62"/>
        <v>1.9520000000000051</v>
      </c>
      <c r="AK754" s="321">
        <f t="shared" si="58"/>
        <v>3.5318776891050833E-2</v>
      </c>
      <c r="AL754" s="321">
        <f t="shared" si="59"/>
        <v>9.3729666042391552E-2</v>
      </c>
      <c r="AN754" s="321" t="e">
        <f t="shared" si="60"/>
        <v>#N/A</v>
      </c>
      <c r="AO754" s="321">
        <f t="shared" si="61"/>
        <v>9.3729666042391552E-2</v>
      </c>
    </row>
    <row r="755" spans="35:41" ht="12" customHeight="1">
      <c r="AI755" s="321">
        <v>746</v>
      </c>
      <c r="AJ755" s="321">
        <f t="shared" si="62"/>
        <v>1.9600000000000051</v>
      </c>
      <c r="AK755" s="321">
        <f t="shared" si="58"/>
        <v>3.4700938953918417E-2</v>
      </c>
      <c r="AL755" s="321">
        <f t="shared" si="59"/>
        <v>9.2459133396579851E-2</v>
      </c>
      <c r="AN755" s="321" t="e">
        <f t="shared" si="60"/>
        <v>#N/A</v>
      </c>
      <c r="AO755" s="321">
        <f t="shared" si="61"/>
        <v>9.2459133396579851E-2</v>
      </c>
    </row>
    <row r="756" spans="35:41" ht="12" customHeight="1">
      <c r="AI756" s="321">
        <v>747</v>
      </c>
      <c r="AJ756" s="321">
        <f t="shared" si="62"/>
        <v>1.9680000000000051</v>
      </c>
      <c r="AK756" s="321">
        <f t="shared" si="58"/>
        <v>3.4091727030451269E-2</v>
      </c>
      <c r="AL756" s="321">
        <f t="shared" si="59"/>
        <v>9.1199986201182928E-2</v>
      </c>
      <c r="AN756" s="321" t="e">
        <f t="shared" si="60"/>
        <v>#N/A</v>
      </c>
      <c r="AO756" s="321">
        <f t="shared" si="61"/>
        <v>9.1199986201182928E-2</v>
      </c>
    </row>
    <row r="757" spans="35:41" ht="12" customHeight="1">
      <c r="AI757" s="321">
        <v>748</v>
      </c>
      <c r="AJ757" s="321">
        <f t="shared" si="62"/>
        <v>1.9760000000000051</v>
      </c>
      <c r="AK757" s="321">
        <f t="shared" si="58"/>
        <v>3.3491066973946403E-2</v>
      </c>
      <c r="AL757" s="321">
        <f t="shared" si="59"/>
        <v>8.9952229472642212E-2</v>
      </c>
      <c r="AN757" s="321" t="e">
        <f t="shared" si="60"/>
        <v>#N/A</v>
      </c>
      <c r="AO757" s="321">
        <f t="shared" si="61"/>
        <v>8.9952229472642212E-2</v>
      </c>
    </row>
    <row r="758" spans="35:41" ht="12" customHeight="1">
      <c r="AI758" s="321">
        <v>749</v>
      </c>
      <c r="AJ758" s="321">
        <f t="shared" si="62"/>
        <v>1.9840000000000051</v>
      </c>
      <c r="AK758" s="321">
        <f t="shared" si="58"/>
        <v>3.2898884314319213E-2</v>
      </c>
      <c r="AL758" s="321">
        <f t="shared" si="59"/>
        <v>8.8715865986997308E-2</v>
      </c>
      <c r="AN758" s="321" t="e">
        <f t="shared" si="60"/>
        <v>#N/A</v>
      </c>
      <c r="AO758" s="321">
        <f t="shared" si="61"/>
        <v>8.8715865986997308E-2</v>
      </c>
    </row>
    <row r="759" spans="35:41" ht="12" customHeight="1">
      <c r="AI759" s="321">
        <v>750</v>
      </c>
      <c r="AJ759" s="321">
        <f t="shared" si="62"/>
        <v>1.9920000000000051</v>
      </c>
      <c r="AK759" s="321">
        <f t="shared" si="58"/>
        <v>3.2315104282695975E-2</v>
      </c>
      <c r="AL759" s="321">
        <f t="shared" si="59"/>
        <v>8.7490896309831784E-2</v>
      </c>
      <c r="AN759" s="321" t="e">
        <f t="shared" si="60"/>
        <v>#N/A</v>
      </c>
      <c r="AO759" s="321">
        <f t="shared" si="61"/>
        <v>8.7490896309831784E-2</v>
      </c>
    </row>
    <row r="760" spans="35:41" ht="12" customHeight="1">
      <c r="AI760" s="321">
        <v>751</v>
      </c>
      <c r="AJ760" s="321">
        <f t="shared" si="62"/>
        <v>2.0000000000000049</v>
      </c>
      <c r="AK760" s="321">
        <f t="shared" si="58"/>
        <v>3.1739651835667064E-2</v>
      </c>
      <c r="AL760" s="321">
        <f t="shared" si="59"/>
        <v>8.6277318826510782E-2</v>
      </c>
      <c r="AN760" s="321" t="e">
        <f t="shared" si="60"/>
        <v>#N/A</v>
      </c>
      <c r="AO760" s="321">
        <f t="shared" si="61"/>
        <v>8.6277318826510782E-2</v>
      </c>
    </row>
    <row r="761" spans="35:41" ht="12" customHeight="1">
      <c r="AI761" s="321">
        <v>752</v>
      </c>
      <c r="AJ761" s="321">
        <f t="shared" si="62"/>
        <v>2.0080000000000049</v>
      </c>
      <c r="AK761" s="321">
        <f t="shared" si="58"/>
        <v>3.1172451679197601E-2</v>
      </c>
      <c r="AL761" s="321">
        <f t="shared" si="59"/>
        <v>8.5075129772694588E-2</v>
      </c>
      <c r="AN761" s="321" t="e">
        <f t="shared" si="60"/>
        <v>#N/A</v>
      </c>
      <c r="AO761" s="321">
        <f t="shared" si="61"/>
        <v>8.5075129772694588E-2</v>
      </c>
    </row>
    <row r="762" spans="35:41" ht="12" customHeight="1">
      <c r="AI762" s="321">
        <v>753</v>
      </c>
      <c r="AJ762" s="321">
        <f t="shared" si="62"/>
        <v>2.0160000000000049</v>
      </c>
      <c r="AK762" s="321">
        <f t="shared" si="58"/>
        <v>3.0613428292192709E-2</v>
      </c>
      <c r="AL762" s="321">
        <f t="shared" si="59"/>
        <v>8.388432326511365E-2</v>
      </c>
      <c r="AN762" s="321" t="e">
        <f t="shared" si="60"/>
        <v>#N/A</v>
      </c>
      <c r="AO762" s="321">
        <f t="shared" si="61"/>
        <v>8.388432326511365E-2</v>
      </c>
    </row>
    <row r="763" spans="35:41" ht="12" customHeight="1">
      <c r="AI763" s="321">
        <v>754</v>
      </c>
      <c r="AJ763" s="321">
        <f t="shared" si="62"/>
        <v>2.0240000000000049</v>
      </c>
      <c r="AK763" s="321">
        <f t="shared" si="58"/>
        <v>3.0062505949714251E-2</v>
      </c>
      <c r="AL763" s="321">
        <f t="shared" si="59"/>
        <v>8.2704891332588321E-2</v>
      </c>
      <c r="AN763" s="321" t="e">
        <f t="shared" si="60"/>
        <v>#N/A</v>
      </c>
      <c r="AO763" s="321">
        <f t="shared" si="61"/>
        <v>8.2704891332588321E-2</v>
      </c>
    </row>
    <row r="764" spans="35:41" ht="12" customHeight="1">
      <c r="AI764" s="321">
        <v>755</v>
      </c>
      <c r="AJ764" s="321">
        <f t="shared" si="62"/>
        <v>2.0320000000000049</v>
      </c>
      <c r="AK764" s="321">
        <f t="shared" si="58"/>
        <v>2.9519608745846592E-2</v>
      </c>
      <c r="AL764" s="321">
        <f t="shared" si="59"/>
        <v>8.1536823947279416E-2</v>
      </c>
      <c r="AN764" s="321" t="e">
        <f t="shared" si="60"/>
        <v>#N/A</v>
      </c>
      <c r="AO764" s="321">
        <f t="shared" si="61"/>
        <v>8.1536823947279416E-2</v>
      </c>
    </row>
    <row r="765" spans="35:41" ht="12" customHeight="1">
      <c r="AI765" s="321">
        <v>756</v>
      </c>
      <c r="AJ765" s="321">
        <f t="shared" si="62"/>
        <v>2.0400000000000049</v>
      </c>
      <c r="AK765" s="321">
        <f t="shared" si="58"/>
        <v>2.898466061620909E-2</v>
      </c>
      <c r="AL765" s="321">
        <f t="shared" si="59"/>
        <v>8.0380109056153434E-2</v>
      </c>
      <c r="AN765" s="321" t="e">
        <f t="shared" si="60"/>
        <v>#N/A</v>
      </c>
      <c r="AO765" s="321">
        <f t="shared" si="61"/>
        <v>8.0380109056153434E-2</v>
      </c>
    </row>
    <row r="766" spans="35:41" ht="12" customHeight="1">
      <c r="AI766" s="321">
        <v>757</v>
      </c>
      <c r="AJ766" s="321">
        <f t="shared" si="62"/>
        <v>2.0480000000000049</v>
      </c>
      <c r="AK766" s="321">
        <f t="shared" si="58"/>
        <v>2.8457585360112926E-2</v>
      </c>
      <c r="AL766" s="321">
        <f t="shared" si="59"/>
        <v>7.9234732612648115E-2</v>
      </c>
      <c r="AN766" s="321" t="e">
        <f t="shared" si="60"/>
        <v>#N/A</v>
      </c>
      <c r="AO766" s="321">
        <f t="shared" si="61"/>
        <v>7.9234732612648115E-2</v>
      </c>
    </row>
    <row r="767" spans="35:41" ht="12" customHeight="1">
      <c r="AI767" s="321">
        <v>758</v>
      </c>
      <c r="AJ767" s="321">
        <f t="shared" si="62"/>
        <v>2.0560000000000049</v>
      </c>
      <c r="AK767" s="321">
        <f t="shared" si="58"/>
        <v>2.7938306662360392E-2</v>
      </c>
      <c r="AL767" s="321">
        <f t="shared" si="59"/>
        <v>7.8100678608522933E-2</v>
      </c>
      <c r="AN767" s="321" t="e">
        <f t="shared" si="60"/>
        <v>#N/A</v>
      </c>
      <c r="AO767" s="321">
        <f t="shared" si="61"/>
        <v>7.8100678608522933E-2</v>
      </c>
    </row>
    <row r="768" spans="35:41" ht="12" customHeight="1">
      <c r="AI768" s="321">
        <v>759</v>
      </c>
      <c r="AJ768" s="321">
        <f t="shared" si="62"/>
        <v>2.0640000000000049</v>
      </c>
      <c r="AK768" s="321">
        <f t="shared" si="58"/>
        <v>2.7426748114684641E-2</v>
      </c>
      <c r="AL768" s="321">
        <f t="shared" si="59"/>
        <v>7.6977929105880208E-2</v>
      </c>
      <c r="AN768" s="321" t="e">
        <f t="shared" si="60"/>
        <v>#N/A</v>
      </c>
      <c r="AO768" s="321">
        <f t="shared" si="61"/>
        <v>7.6977929105880208E-2</v>
      </c>
    </row>
    <row r="769" spans="35:41" ht="12" customHeight="1">
      <c r="AI769" s="321">
        <v>760</v>
      </c>
      <c r="AJ769" s="321">
        <f t="shared" si="62"/>
        <v>2.0720000000000049</v>
      </c>
      <c r="AK769" s="321">
        <f t="shared" si="58"/>
        <v>2.6922833236828647E-2</v>
      </c>
      <c r="AL769" s="321">
        <f t="shared" si="59"/>
        <v>7.5866464269341766E-2</v>
      </c>
      <c r="AN769" s="321" t="e">
        <f t="shared" si="60"/>
        <v>#N/A</v>
      </c>
      <c r="AO769" s="321">
        <f t="shared" si="61"/>
        <v>7.5866464269341766E-2</v>
      </c>
    </row>
    <row r="770" spans="35:41" ht="12" customHeight="1">
      <c r="AI770" s="321">
        <v>761</v>
      </c>
      <c r="AJ770" s="321">
        <f t="shared" si="62"/>
        <v>2.080000000000005</v>
      </c>
      <c r="AK770" s="321">
        <f t="shared" si="58"/>
        <v>2.6426485497261426E-2</v>
      </c>
      <c r="AL770" s="321">
        <f t="shared" si="59"/>
        <v>7.4766262398366923E-2</v>
      </c>
      <c r="AN770" s="321" t="e">
        <f t="shared" si="60"/>
        <v>#N/A</v>
      </c>
      <c r="AO770" s="321">
        <f t="shared" si="61"/>
        <v>7.4766262398366923E-2</v>
      </c>
    </row>
    <row r="771" spans="35:41" ht="12" customHeight="1">
      <c r="AI771" s="321">
        <v>762</v>
      </c>
      <c r="AJ771" s="321">
        <f t="shared" si="62"/>
        <v>2.088000000000005</v>
      </c>
      <c r="AK771" s="321">
        <f t="shared" si="58"/>
        <v>2.5937628333530745E-2</v>
      </c>
      <c r="AL771" s="321">
        <f t="shared" si="59"/>
        <v>7.3677299959697518E-2</v>
      </c>
      <c r="AN771" s="321" t="e">
        <f t="shared" si="60"/>
        <v>#N/A</v>
      </c>
      <c r="AO771" s="321">
        <f t="shared" si="61"/>
        <v>7.3677299959697518E-2</v>
      </c>
    </row>
    <row r="772" spans="35:41" ht="12" customHeight="1">
      <c r="AI772" s="321">
        <v>763</v>
      </c>
      <c r="AJ772" s="321">
        <f t="shared" si="62"/>
        <v>2.096000000000005</v>
      </c>
      <c r="AK772" s="321">
        <f t="shared" si="58"/>
        <v>2.5456185172251032E-2</v>
      </c>
      <c r="AL772" s="321">
        <f t="shared" si="59"/>
        <v>7.2599551619915367E-2</v>
      </c>
      <c r="AN772" s="321" t="e">
        <f t="shared" si="60"/>
        <v>#N/A</v>
      </c>
      <c r="AO772" s="321">
        <f t="shared" si="61"/>
        <v>7.2599551619915367E-2</v>
      </c>
    </row>
    <row r="773" spans="35:41" ht="12" customHeight="1">
      <c r="AI773" s="321">
        <v>764</v>
      </c>
      <c r="AJ773" s="321">
        <f t="shared" si="62"/>
        <v>2.104000000000005</v>
      </c>
      <c r="AK773" s="321">
        <f t="shared" si="58"/>
        <v>2.4982079448725505E-2</v>
      </c>
      <c r="AL773" s="321">
        <f t="shared" si="59"/>
        <v>7.1532990278098688E-2</v>
      </c>
      <c r="AN773" s="321" t="e">
        <f t="shared" si="60"/>
        <v>#N/A</v>
      </c>
      <c r="AO773" s="321">
        <f t="shared" si="61"/>
        <v>7.1532990278098688E-2</v>
      </c>
    </row>
    <row r="774" spans="35:41" ht="12" customHeight="1">
      <c r="AI774" s="321">
        <v>765</v>
      </c>
      <c r="AJ774" s="321">
        <f t="shared" si="62"/>
        <v>2.112000000000005</v>
      </c>
      <c r="AK774" s="321">
        <f t="shared" si="58"/>
        <v>2.4515234626202143E-2</v>
      </c>
      <c r="AL774" s="321">
        <f t="shared" si="59"/>
        <v>7.0477587098563041E-2</v>
      </c>
      <c r="AN774" s="321" t="e">
        <f t="shared" si="60"/>
        <v>#N/A</v>
      </c>
      <c r="AO774" s="321">
        <f t="shared" si="61"/>
        <v>7.0477587098563041E-2</v>
      </c>
    </row>
    <row r="775" spans="35:41" ht="12" customHeight="1">
      <c r="AI775" s="321">
        <v>766</v>
      </c>
      <c r="AJ775" s="321">
        <f t="shared" si="62"/>
        <v>2.120000000000005</v>
      </c>
      <c r="AK775" s="321">
        <f t="shared" si="58"/>
        <v>2.405557421476269E-2</v>
      </c>
      <c r="AL775" s="321">
        <f t="shared" si="59"/>
        <v>6.9433311543673534E-2</v>
      </c>
      <c r="AN775" s="321" t="e">
        <f t="shared" si="60"/>
        <v>#N/A</v>
      </c>
      <c r="AO775" s="321">
        <f t="shared" si="61"/>
        <v>6.9433311543673534E-2</v>
      </c>
    </row>
    <row r="776" spans="35:41" ht="12" customHeight="1">
      <c r="AI776" s="321">
        <v>767</v>
      </c>
      <c r="AJ776" s="321">
        <f t="shared" si="62"/>
        <v>2.128000000000005</v>
      </c>
      <c r="AK776" s="321">
        <f t="shared" si="58"/>
        <v>2.3603021789844362E-2</v>
      </c>
      <c r="AL776" s="321">
        <f t="shared" si="59"/>
        <v>6.8400131406714415E-2</v>
      </c>
      <c r="AN776" s="321" t="e">
        <f t="shared" si="60"/>
        <v>#N/A</v>
      </c>
      <c r="AO776" s="321">
        <f t="shared" si="61"/>
        <v>6.8400131406714415E-2</v>
      </c>
    </row>
    <row r="777" spans="35:41" ht="12" customHeight="1">
      <c r="AI777" s="321">
        <v>768</v>
      </c>
      <c r="AJ777" s="321">
        <f t="shared" si="62"/>
        <v>2.136000000000005</v>
      </c>
      <c r="AK777" s="321">
        <f t="shared" si="58"/>
        <v>2.3157501010394325E-2</v>
      </c>
      <c r="AL777" s="321">
        <f t="shared" si="59"/>
        <v>6.7378012844802784E-2</v>
      </c>
      <c r="AN777" s="321" t="e">
        <f t="shared" si="60"/>
        <v>#N/A</v>
      </c>
      <c r="AO777" s="321">
        <f t="shared" si="61"/>
        <v>6.7378012844802784E-2</v>
      </c>
    </row>
    <row r="778" spans="35:41" ht="12" customHeight="1">
      <c r="AI778" s="321">
        <v>769</v>
      </c>
      <c r="AJ778" s="321">
        <f t="shared" si="62"/>
        <v>2.144000000000005</v>
      </c>
      <c r="AK778" s="321">
        <f t="shared" ref="AK778:AK841" si="63">NORMDIST(AJ778,$AH$26,$AH$28,FALSE)</f>
        <v>2.2718935636656556E-2</v>
      </c>
      <c r="AL778" s="321">
        <f t="shared" ref="AL778:AL841" si="64">NORMDIST(AJ778,$AH$27,$AH$28,FALSE)</f>
        <v>6.6366920411833383E-2</v>
      </c>
      <c r="AN778" s="321" t="e">
        <f t="shared" ref="AN778:AN841" si="65">IF(AND($AJ$7,$AH$27&gt;AJ778),AK778,NA())</f>
        <v>#N/A</v>
      </c>
      <c r="AO778" s="321">
        <f t="shared" ref="AO778:AO841" si="66">IF(AND($AJ$6,$AH$26&lt;AJ778+(drend-dlend)/$AO$6),AL778,NA())</f>
        <v>6.6366920411833383E-2</v>
      </c>
    </row>
    <row r="779" spans="35:41" ht="12" customHeight="1">
      <c r="AI779" s="321">
        <v>770</v>
      </c>
      <c r="AJ779" s="321">
        <f t="shared" ref="AJ779:AJ842" si="67">AJ778+$AL$7</f>
        <v>2.152000000000005</v>
      </c>
      <c r="AK779" s="321">
        <f t="shared" si="63"/>
        <v>2.2287249547591578E-2</v>
      </c>
      <c r="AL779" s="321">
        <f t="shared" si="64"/>
        <v>6.5366817091441085E-2</v>
      </c>
      <c r="AN779" s="321" t="e">
        <f t="shared" si="65"/>
        <v>#N/A</v>
      </c>
      <c r="AO779" s="321">
        <f t="shared" si="66"/>
        <v>6.5366817091441085E-2</v>
      </c>
    </row>
    <row r="780" spans="35:41" ht="12" customHeight="1">
      <c r="AI780" s="321">
        <v>771</v>
      </c>
      <c r="AJ780" s="321">
        <f t="shared" si="67"/>
        <v>2.160000000000005</v>
      </c>
      <c r="AK780" s="321">
        <f t="shared" si="63"/>
        <v>2.186236675792912E-2</v>
      </c>
      <c r="AL780" s="321">
        <f t="shared" si="64"/>
        <v>6.4377664329968734E-2</v>
      </c>
      <c r="AN780" s="321" t="e">
        <f t="shared" si="65"/>
        <v>#N/A</v>
      </c>
      <c r="AO780" s="321">
        <f t="shared" si="66"/>
        <v>6.4377664329968734E-2</v>
      </c>
    </row>
    <row r="781" spans="35:41" ht="12" customHeight="1">
      <c r="AI781" s="321">
        <v>772</v>
      </c>
      <c r="AJ781" s="321">
        <f t="shared" si="67"/>
        <v>2.168000000000005</v>
      </c>
      <c r="AK781" s="321">
        <f t="shared" si="63"/>
        <v>2.1444211434854331E-2</v>
      </c>
      <c r="AL781" s="321">
        <f t="shared" si="64"/>
        <v>6.3399422069427114E-2</v>
      </c>
      <c r="AN781" s="321" t="e">
        <f t="shared" si="65"/>
        <v>#N/A</v>
      </c>
      <c r="AO781" s="321">
        <f t="shared" si="66"/>
        <v>6.3399422069427114E-2</v>
      </c>
    </row>
    <row r="782" spans="35:41" ht="12" customHeight="1">
      <c r="AI782" s="321">
        <v>773</v>
      </c>
      <c r="AJ782" s="321">
        <f t="shared" si="67"/>
        <v>2.176000000000005</v>
      </c>
      <c r="AK782" s="321">
        <f t="shared" si="63"/>
        <v>2.1032707914328052E-2</v>
      </c>
      <c r="AL782" s="321">
        <f t="shared" si="64"/>
        <v>6.2432048780435262E-2</v>
      </c>
      <c r="AN782" s="321" t="e">
        <f t="shared" si="65"/>
        <v>#N/A</v>
      </c>
      <c r="AO782" s="321">
        <f t="shared" si="66"/>
        <v>6.2432048780435262E-2</v>
      </c>
    </row>
    <row r="783" spans="35:41" ht="12" customHeight="1">
      <c r="AI783" s="321">
        <v>774</v>
      </c>
      <c r="AJ783" s="321">
        <f t="shared" si="67"/>
        <v>2.184000000000005</v>
      </c>
      <c r="AK783" s="321">
        <f t="shared" si="63"/>
        <v>2.0627780717042056E-2</v>
      </c>
      <c r="AL783" s="321">
        <f t="shared" si="64"/>
        <v>6.1475501495128329E-2</v>
      </c>
      <c r="AN783" s="321" t="e">
        <f t="shared" si="65"/>
        <v>#N/A</v>
      </c>
      <c r="AO783" s="321">
        <f t="shared" si="66"/>
        <v>6.1475501495128329E-2</v>
      </c>
    </row>
    <row r="784" spans="35:41" ht="12" customHeight="1">
      <c r="AI784" s="321">
        <v>775</v>
      </c>
      <c r="AJ784" s="321">
        <f t="shared" si="67"/>
        <v>2.1920000000000051</v>
      </c>
      <c r="AK784" s="321">
        <f t="shared" si="63"/>
        <v>2.0229354564009955E-2</v>
      </c>
      <c r="AL784" s="321">
        <f t="shared" si="64"/>
        <v>6.0529735840021068E-2</v>
      </c>
      <c r="AN784" s="321" t="e">
        <f t="shared" si="65"/>
        <v>#N/A</v>
      </c>
      <c r="AO784" s="321">
        <f t="shared" si="66"/>
        <v>6.0529735840021068E-2</v>
      </c>
    </row>
    <row r="785" spans="35:41" ht="12" customHeight="1">
      <c r="AI785" s="321">
        <v>776</v>
      </c>
      <c r="AJ785" s="321">
        <f t="shared" si="67"/>
        <v>2.2000000000000051</v>
      </c>
      <c r="AK785" s="321">
        <f t="shared" si="63"/>
        <v>1.9837354391795081E-2</v>
      </c>
      <c r="AL785" s="321">
        <f t="shared" si="64"/>
        <v>5.9594706068815478E-2</v>
      </c>
      <c r="AN785" s="321" t="e">
        <f t="shared" si="65"/>
        <v>#N/A</v>
      </c>
      <c r="AO785" s="321">
        <f t="shared" si="66"/>
        <v>5.9594706068815478E-2</v>
      </c>
    </row>
    <row r="786" spans="35:41" ht="12" customHeight="1">
      <c r="AI786" s="321">
        <v>777</v>
      </c>
      <c r="AJ786" s="321">
        <f t="shared" si="67"/>
        <v>2.2080000000000051</v>
      </c>
      <c r="AK786" s="321">
        <f t="shared" si="63"/>
        <v>1.9451705367376344E-2</v>
      </c>
      <c r="AL786" s="321">
        <f t="shared" si="64"/>
        <v>5.8670365095140328E-2</v>
      </c>
      <c r="AN786" s="321" t="e">
        <f t="shared" si="65"/>
        <v>#N/A</v>
      </c>
      <c r="AO786" s="321">
        <f t="shared" si="66"/>
        <v>5.8670365095140328E-2</v>
      </c>
    </row>
    <row r="787" spans="35:41" ht="12" customHeight="1">
      <c r="AI787" s="321">
        <v>778</v>
      </c>
      <c r="AJ787" s="321">
        <f t="shared" si="67"/>
        <v>2.2160000000000051</v>
      </c>
      <c r="AK787" s="321">
        <f t="shared" si="63"/>
        <v>1.9072332902653526E-2</v>
      </c>
      <c r="AL787" s="321">
        <f t="shared" si="64"/>
        <v>5.7756664525211728E-2</v>
      </c>
      <c r="AN787" s="321" t="e">
        <f t="shared" si="65"/>
        <v>#N/A</v>
      </c>
      <c r="AO787" s="321">
        <f t="shared" si="66"/>
        <v>5.7756664525211728E-2</v>
      </c>
    </row>
    <row r="788" spans="35:41" ht="12" customHeight="1">
      <c r="AI788" s="321">
        <v>779</v>
      </c>
      <c r="AJ788" s="321">
        <f t="shared" si="67"/>
        <v>2.2240000000000051</v>
      </c>
      <c r="AK788" s="321">
        <f t="shared" si="63"/>
        <v>1.8699162668593415E-2</v>
      </c>
      <c r="AL788" s="321">
        <f t="shared" si="64"/>
        <v>5.6853554690403062E-2</v>
      </c>
      <c r="AN788" s="321" t="e">
        <f t="shared" si="65"/>
        <v>#N/A</v>
      </c>
      <c r="AO788" s="321">
        <f t="shared" si="66"/>
        <v>5.6853554690403062E-2</v>
      </c>
    </row>
    <row r="789" spans="35:41" ht="12" customHeight="1">
      <c r="AI789" s="321">
        <v>780</v>
      </c>
      <c r="AJ789" s="321">
        <f t="shared" si="67"/>
        <v>2.2320000000000051</v>
      </c>
      <c r="AK789" s="321">
        <f t="shared" si="63"/>
        <v>1.8332120609018437E-2</v>
      </c>
      <c r="AL789" s="321">
        <f t="shared" si="64"/>
        <v>5.5960984679713693E-2</v>
      </c>
      <c r="AN789" s="321" t="e">
        <f t="shared" si="65"/>
        <v>#N/A</v>
      </c>
      <c r="AO789" s="321">
        <f t="shared" si="66"/>
        <v>5.5960984679713693E-2</v>
      </c>
    </row>
    <row r="790" spans="35:41" ht="12" customHeight="1">
      <c r="AI790" s="321">
        <v>781</v>
      </c>
      <c r="AJ790" s="321">
        <f t="shared" si="67"/>
        <v>2.2400000000000051</v>
      </c>
      <c r="AK790" s="321">
        <f t="shared" si="63"/>
        <v>1.7971132954039404E-2</v>
      </c>
      <c r="AL790" s="321">
        <f t="shared" si="64"/>
        <v>5.5078902372125212E-2</v>
      </c>
      <c r="AN790" s="321" t="e">
        <f t="shared" si="65"/>
        <v>#N/A</v>
      </c>
      <c r="AO790" s="321">
        <f t="shared" si="66"/>
        <v>5.5078902372125212E-2</v>
      </c>
    </row>
    <row r="791" spans="35:41" ht="12" customHeight="1">
      <c r="AI791" s="321">
        <v>782</v>
      </c>
      <c r="AJ791" s="321">
        <f t="shared" si="67"/>
        <v>2.2480000000000051</v>
      </c>
      <c r="AK791" s="321">
        <f t="shared" si="63"/>
        <v>1.7616126233134473E-2</v>
      </c>
      <c r="AL791" s="321">
        <f t="shared" si="64"/>
        <v>5.4207254468835009E-2</v>
      </c>
      <c r="AN791" s="321" t="e">
        <f t="shared" si="65"/>
        <v>#N/A</v>
      </c>
      <c r="AO791" s="321">
        <f t="shared" si="66"/>
        <v>5.4207254468835009E-2</v>
      </c>
    </row>
    <row r="792" spans="35:41" ht="12" customHeight="1">
      <c r="AI792" s="321">
        <v>783</v>
      </c>
      <c r="AJ792" s="321">
        <f t="shared" si="67"/>
        <v>2.2560000000000051</v>
      </c>
      <c r="AK792" s="321">
        <f t="shared" si="63"/>
        <v>1.7267027287875943E-2</v>
      </c>
      <c r="AL792" s="321">
        <f t="shared" si="64"/>
        <v>5.3345986525356749E-2</v>
      </c>
      <c r="AN792" s="321" t="e">
        <f t="shared" si="65"/>
        <v>#N/A</v>
      </c>
      <c r="AO792" s="321">
        <f t="shared" si="66"/>
        <v>5.3345986525356749E-2</v>
      </c>
    </row>
    <row r="793" spans="35:41" ht="12" customHeight="1">
      <c r="AI793" s="321">
        <v>784</v>
      </c>
      <c r="AJ793" s="321">
        <f t="shared" si="67"/>
        <v>2.2640000000000051</v>
      </c>
      <c r="AK793" s="321">
        <f t="shared" si="63"/>
        <v>1.6923763284307308E-2</v>
      </c>
      <c r="AL793" s="321">
        <f t="shared" si="64"/>
        <v>5.2495042983477389E-2</v>
      </c>
      <c r="AN793" s="321" t="e">
        <f t="shared" si="65"/>
        <v>#N/A</v>
      </c>
      <c r="AO793" s="321">
        <f t="shared" si="66"/>
        <v>5.2495042983477389E-2</v>
      </c>
    </row>
    <row r="794" spans="35:41" ht="12" customHeight="1">
      <c r="AI794" s="321">
        <v>785</v>
      </c>
      <c r="AJ794" s="321">
        <f t="shared" si="67"/>
        <v>2.2720000000000051</v>
      </c>
      <c r="AK794" s="321">
        <f t="shared" si="63"/>
        <v>1.6586261724972583E-2</v>
      </c>
      <c r="AL794" s="321">
        <f t="shared" si="64"/>
        <v>5.1654367203061165E-2</v>
      </c>
      <c r="AN794" s="321" t="e">
        <f t="shared" si="65"/>
        <v>#N/A</v>
      </c>
      <c r="AO794" s="321">
        <f t="shared" si="66"/>
        <v>5.1654367203061165E-2</v>
      </c>
    </row>
    <row r="795" spans="35:41" ht="12" customHeight="1">
      <c r="AI795" s="321">
        <v>786</v>
      </c>
      <c r="AJ795" s="321">
        <f t="shared" si="67"/>
        <v>2.2800000000000051</v>
      </c>
      <c r="AK795" s="321">
        <f t="shared" si="63"/>
        <v>1.6254450460600287E-2</v>
      </c>
      <c r="AL795" s="321">
        <f t="shared" si="64"/>
        <v>5.0823901493690635E-2</v>
      </c>
      <c r="AN795" s="321" t="e">
        <f t="shared" si="65"/>
        <v>#N/A</v>
      </c>
      <c r="AO795" s="321">
        <f t="shared" si="66"/>
        <v>5.0823901493690635E-2</v>
      </c>
    </row>
    <row r="796" spans="35:41" ht="12" customHeight="1">
      <c r="AI796" s="321">
        <v>787</v>
      </c>
      <c r="AJ796" s="321">
        <f t="shared" si="67"/>
        <v>2.2880000000000051</v>
      </c>
      <c r="AK796" s="321">
        <f t="shared" si="63"/>
        <v>1.5928257701444445E-2</v>
      </c>
      <c r="AL796" s="321">
        <f t="shared" si="64"/>
        <v>5.0003587146135411E-2</v>
      </c>
      <c r="AN796" s="321" t="e">
        <f t="shared" si="65"/>
        <v>#N/A</v>
      </c>
      <c r="AO796" s="321">
        <f t="shared" si="66"/>
        <v>5.0003587146135411E-2</v>
      </c>
    </row>
    <row r="797" spans="35:41" ht="12" customHeight="1">
      <c r="AI797" s="321">
        <v>788</v>
      </c>
      <c r="AJ797" s="321">
        <f t="shared" si="67"/>
        <v>2.2960000000000051</v>
      </c>
      <c r="AK797" s="321">
        <f t="shared" si="63"/>
        <v>1.5607612028285285E-2</v>
      </c>
      <c r="AL797" s="321">
        <f t="shared" si="64"/>
        <v>4.9193364463639269E-2</v>
      </c>
      <c r="AN797" s="321" t="e">
        <f t="shared" si="65"/>
        <v>#N/A</v>
      </c>
      <c r="AO797" s="321">
        <f t="shared" si="66"/>
        <v>4.9193364463639269E-2</v>
      </c>
    </row>
    <row r="798" spans="35:41" ht="12" customHeight="1">
      <c r="AI798" s="321">
        <v>789</v>
      </c>
      <c r="AJ798" s="321">
        <f t="shared" si="67"/>
        <v>2.3040000000000052</v>
      </c>
      <c r="AK798" s="321">
        <f t="shared" si="63"/>
        <v>1.5292442403092027E-2</v>
      </c>
      <c r="AL798" s="321">
        <f t="shared" si="64"/>
        <v>4.8393172793016942E-2</v>
      </c>
      <c r="AN798" s="321" t="e">
        <f t="shared" si="65"/>
        <v>#N/A</v>
      </c>
      <c r="AO798" s="321">
        <f t="shared" si="66"/>
        <v>4.8393172793016942E-2</v>
      </c>
    </row>
    <row r="799" spans="35:41" ht="12" customHeight="1">
      <c r="AI799" s="321">
        <v>790</v>
      </c>
      <c r="AJ799" s="321">
        <f t="shared" si="67"/>
        <v>2.3120000000000052</v>
      </c>
      <c r="AK799" s="321">
        <f t="shared" si="63"/>
        <v>1.4982678179350731E-2</v>
      </c>
      <c r="AL799" s="321">
        <f t="shared" si="64"/>
        <v>4.7602950555551242E-2</v>
      </c>
      <c r="AN799" s="321" t="e">
        <f t="shared" si="65"/>
        <v>#N/A</v>
      </c>
      <c r="AO799" s="321">
        <f t="shared" si="66"/>
        <v>4.7602950555551242E-2</v>
      </c>
    </row>
    <row r="800" spans="35:41" ht="12" customHeight="1">
      <c r="AI800" s="321">
        <v>791</v>
      </c>
      <c r="AJ800" s="321">
        <f t="shared" si="67"/>
        <v>2.3200000000000052</v>
      </c>
      <c r="AK800" s="321">
        <f t="shared" si="63"/>
        <v>1.467824911205984E-2</v>
      </c>
      <c r="AL800" s="321">
        <f t="shared" si="64"/>
        <v>4.6822635277682635E-2</v>
      </c>
      <c r="AN800" s="321" t="e">
        <f t="shared" si="65"/>
        <v>#N/A</v>
      </c>
      <c r="AO800" s="321">
        <f t="shared" si="66"/>
        <v>4.6822635277682635E-2</v>
      </c>
    </row>
    <row r="801" spans="35:41" ht="12" customHeight="1">
      <c r="AI801" s="321">
        <v>792</v>
      </c>
      <c r="AJ801" s="321">
        <f t="shared" si="67"/>
        <v>2.3280000000000052</v>
      </c>
      <c r="AK801" s="321">
        <f t="shared" si="63"/>
        <v>1.4379085367396436E-2</v>
      </c>
      <c r="AL801" s="321">
        <f t="shared" si="64"/>
        <v>4.6052163621482546E-2</v>
      </c>
      <c r="AN801" s="321" t="e">
        <f t="shared" si="65"/>
        <v>#N/A</v>
      </c>
      <c r="AO801" s="321">
        <f t="shared" si="66"/>
        <v>4.6052163621482546E-2</v>
      </c>
    </row>
    <row r="802" spans="35:41" ht="12" customHeight="1">
      <c r="AI802" s="321">
        <v>793</v>
      </c>
      <c r="AJ802" s="321">
        <f t="shared" si="67"/>
        <v>2.3360000000000052</v>
      </c>
      <c r="AK802" s="321">
        <f t="shared" si="63"/>
        <v>1.408511753205615E-2</v>
      </c>
      <c r="AL802" s="321">
        <f t="shared" si="64"/>
        <v>4.5291471414902286E-2</v>
      </c>
      <c r="AN802" s="321" t="e">
        <f t="shared" si="65"/>
        <v>#N/A</v>
      </c>
      <c r="AO802" s="321">
        <f t="shared" si="66"/>
        <v>4.5291471414902286E-2</v>
      </c>
    </row>
    <row r="803" spans="35:41" ht="12" customHeight="1">
      <c r="AI803" s="321">
        <v>794</v>
      </c>
      <c r="AJ803" s="321">
        <f t="shared" si="67"/>
        <v>2.3440000000000052</v>
      </c>
      <c r="AK803" s="321">
        <f t="shared" si="63"/>
        <v>1.3796276622269831E-2</v>
      </c>
      <c r="AL803" s="321">
        <f t="shared" si="64"/>
        <v>4.4540493681790201E-2</v>
      </c>
      <c r="AN803" s="321" t="e">
        <f t="shared" si="65"/>
        <v>#N/A</v>
      </c>
      <c r="AO803" s="321">
        <f t="shared" si="66"/>
        <v>4.4540493681790201E-2</v>
      </c>
    </row>
    <row r="804" spans="35:41" ht="12" customHeight="1">
      <c r="AI804" s="321">
        <v>795</v>
      </c>
      <c r="AJ804" s="321">
        <f t="shared" si="67"/>
        <v>2.3520000000000052</v>
      </c>
      <c r="AK804" s="321">
        <f t="shared" si="63"/>
        <v>1.3512494092500119E-2</v>
      </c>
      <c r="AL804" s="321">
        <f t="shared" si="64"/>
        <v>4.3799164671668861E-2</v>
      </c>
      <c r="AN804" s="321" t="e">
        <f t="shared" si="65"/>
        <v>#N/A</v>
      </c>
      <c r="AO804" s="321">
        <f t="shared" si="66"/>
        <v>4.3799164671668861E-2</v>
      </c>
    </row>
    <row r="805" spans="35:41" ht="12" customHeight="1">
      <c r="AI805" s="321">
        <v>796</v>
      </c>
      <c r="AJ805" s="321">
        <f t="shared" si="67"/>
        <v>2.3600000000000052</v>
      </c>
      <c r="AK805" s="321">
        <f t="shared" si="63"/>
        <v>1.3233701843821184E-2</v>
      </c>
      <c r="AL805" s="321">
        <f t="shared" si="64"/>
        <v>4.3067417889265255E-2</v>
      </c>
      <c r="AN805" s="321" t="e">
        <f t="shared" si="65"/>
        <v>#N/A</v>
      </c>
      <c r="AO805" s="321">
        <f t="shared" si="66"/>
        <v>4.3067417889265255E-2</v>
      </c>
    </row>
    <row r="806" spans="35:41" ht="12" customHeight="1">
      <c r="AI806" s="321">
        <v>797</v>
      </c>
      <c r="AJ806" s="321">
        <f t="shared" si="67"/>
        <v>2.3680000000000052</v>
      </c>
      <c r="AK806" s="321">
        <f t="shared" si="63"/>
        <v>1.2959832231984944E-2</v>
      </c>
      <c r="AL806" s="321">
        <f t="shared" si="64"/>
        <v>4.23451861237868E-2</v>
      </c>
      <c r="AN806" s="321" t="e">
        <f t="shared" si="65"/>
        <v>#N/A</v>
      </c>
      <c r="AO806" s="321">
        <f t="shared" si="66"/>
        <v>4.23451861237868E-2</v>
      </c>
    </row>
    <row r="807" spans="35:41" ht="12" customHeight="1">
      <c r="AI807" s="321">
        <v>798</v>
      </c>
      <c r="AJ807" s="321">
        <f t="shared" si="67"/>
        <v>2.3760000000000052</v>
      </c>
      <c r="AK807" s="321">
        <f t="shared" si="63"/>
        <v>1.2690818075177086E-2</v>
      </c>
      <c r="AL807" s="321">
        <f t="shared" si="64"/>
        <v>4.1632401477936239E-2</v>
      </c>
      <c r="AN807" s="321" t="e">
        <f t="shared" si="65"/>
        <v>#N/A</v>
      </c>
      <c r="AO807" s="321">
        <f t="shared" si="66"/>
        <v>4.1632401477936239E-2</v>
      </c>
    </row>
    <row r="808" spans="35:41" ht="12" customHeight="1">
      <c r="AI808" s="321">
        <v>799</v>
      </c>
      <c r="AJ808" s="321">
        <f t="shared" si="67"/>
        <v>2.3840000000000052</v>
      </c>
      <c r="AK808" s="321">
        <f t="shared" si="63"/>
        <v>1.2426592661466422E-2</v>
      </c>
      <c r="AL808" s="321">
        <f t="shared" si="64"/>
        <v>4.0928995396658577E-2</v>
      </c>
      <c r="AN808" s="321" t="e">
        <f t="shared" si="65"/>
        <v>#N/A</v>
      </c>
      <c r="AO808" s="321">
        <f t="shared" si="66"/>
        <v>4.0928995396658577E-2</v>
      </c>
    </row>
    <row r="809" spans="35:41" ht="12" customHeight="1">
      <c r="AI809" s="321">
        <v>800</v>
      </c>
      <c r="AJ809" s="321">
        <f t="shared" si="67"/>
        <v>2.3920000000000052</v>
      </c>
      <c r="AK809" s="321">
        <f t="shared" si="63"/>
        <v>1.216708975595107E-2</v>
      </c>
      <c r="AL809" s="321">
        <f t="shared" si="64"/>
        <v>4.023489869561396E-2</v>
      </c>
      <c r="AN809" s="321" t="e">
        <f t="shared" si="65"/>
        <v>#N/A</v>
      </c>
      <c r="AO809" s="321">
        <f t="shared" si="66"/>
        <v>4.023489869561396E-2</v>
      </c>
    </row>
    <row r="810" spans="35:41" ht="12" customHeight="1">
      <c r="AI810" s="321">
        <v>801</v>
      </c>
      <c r="AJ810" s="321">
        <f t="shared" si="67"/>
        <v>2.4000000000000052</v>
      </c>
      <c r="AK810" s="321">
        <f t="shared" si="63"/>
        <v>1.1912243607605014E-2</v>
      </c>
      <c r="AL810" s="321">
        <f t="shared" si="64"/>
        <v>3.9550041589369762E-2</v>
      </c>
      <c r="AN810" s="321" t="e">
        <f t="shared" si="65"/>
        <v>#N/A</v>
      </c>
      <c r="AO810" s="321">
        <f t="shared" si="66"/>
        <v>3.9550041589369762E-2</v>
      </c>
    </row>
    <row r="811" spans="35:41" ht="12" customHeight="1">
      <c r="AI811" s="321">
        <v>802</v>
      </c>
      <c r="AJ811" s="321">
        <f t="shared" si="67"/>
        <v>2.4080000000000052</v>
      </c>
      <c r="AK811" s="321">
        <f t="shared" si="63"/>
        <v>1.166198895582867E-2</v>
      </c>
      <c r="AL811" s="321">
        <f t="shared" si="64"/>
        <v>3.8874353719306518E-2</v>
      </c>
      <c r="AN811" s="321" t="e">
        <f t="shared" si="65"/>
        <v>#N/A</v>
      </c>
      <c r="AO811" s="321">
        <f t="shared" si="66"/>
        <v>3.8874353719306518E-2</v>
      </c>
    </row>
    <row r="812" spans="35:41" ht="12" customHeight="1">
      <c r="AI812" s="321">
        <v>803</v>
      </c>
      <c r="AJ812" s="321">
        <f t="shared" si="67"/>
        <v>2.4160000000000053</v>
      </c>
      <c r="AK812" s="321">
        <f t="shared" si="63"/>
        <v>1.1416261036707245E-2</v>
      </c>
      <c r="AL812" s="321">
        <f t="shared" si="64"/>
        <v>3.8207764181231271E-2</v>
      </c>
      <c r="AN812" s="321" t="e">
        <f t="shared" si="65"/>
        <v>#N/A</v>
      </c>
      <c r="AO812" s="321">
        <f t="shared" si="66"/>
        <v>3.8207764181231271E-2</v>
      </c>
    </row>
    <row r="813" spans="35:41" ht="12" customHeight="1">
      <c r="AI813" s="321">
        <v>804</v>
      </c>
      <c r="AJ813" s="321">
        <f t="shared" si="67"/>
        <v>2.4240000000000053</v>
      </c>
      <c r="AK813" s="321">
        <f t="shared" si="63"/>
        <v>1.1174995588980481E-2</v>
      </c>
      <c r="AL813" s="321">
        <f t="shared" si="64"/>
        <v>3.7550201552693382E-2</v>
      </c>
      <c r="AN813" s="321" t="e">
        <f t="shared" si="65"/>
        <v>#N/A</v>
      </c>
      <c r="AO813" s="321">
        <f t="shared" si="66"/>
        <v>3.7550201552693382E-2</v>
      </c>
    </row>
    <row r="814" spans="35:41" ht="12" customHeight="1">
      <c r="AI814" s="321">
        <v>805</v>
      </c>
      <c r="AJ814" s="321">
        <f t="shared" si="67"/>
        <v>2.4320000000000053</v>
      </c>
      <c r="AK814" s="321">
        <f t="shared" si="63"/>
        <v>1.0938128859727718E-2</v>
      </c>
      <c r="AL814" s="321">
        <f t="shared" si="64"/>
        <v>3.6901593919997068E-2</v>
      </c>
      <c r="AN814" s="321" t="e">
        <f t="shared" si="65"/>
        <v>#N/A</v>
      </c>
      <c r="AO814" s="321">
        <f t="shared" si="66"/>
        <v>3.6901593919997068E-2</v>
      </c>
    </row>
    <row r="815" spans="35:41" ht="12" customHeight="1">
      <c r="AI815" s="321">
        <v>806</v>
      </c>
      <c r="AJ815" s="321">
        <f t="shared" si="67"/>
        <v>2.4400000000000053</v>
      </c>
      <c r="AK815" s="321">
        <f t="shared" si="63"/>
        <v>1.0705597609772034E-2</v>
      </c>
      <c r="AL815" s="321">
        <f t="shared" si="64"/>
        <v>3.6261868904905799E-2</v>
      </c>
      <c r="AN815" s="321" t="e">
        <f t="shared" si="65"/>
        <v>#N/A</v>
      </c>
      <c r="AO815" s="321">
        <f t="shared" si="66"/>
        <v>3.6261868904905799E-2</v>
      </c>
    </row>
    <row r="816" spans="35:41" ht="12" customHeight="1">
      <c r="AI816" s="321">
        <v>807</v>
      </c>
      <c r="AJ816" s="321">
        <f t="shared" si="67"/>
        <v>2.4480000000000053</v>
      </c>
      <c r="AK816" s="321">
        <f t="shared" si="63"/>
        <v>1.047733911880735E-2</v>
      </c>
      <c r="AL816" s="321">
        <f t="shared" si="64"/>
        <v>3.5630953691033654E-2</v>
      </c>
      <c r="AN816" s="321" t="e">
        <f t="shared" si="65"/>
        <v>#N/A</v>
      </c>
      <c r="AO816" s="321">
        <f t="shared" si="66"/>
        <v>3.5630953691033654E-2</v>
      </c>
    </row>
    <row r="817" spans="35:41" ht="12" customHeight="1">
      <c r="AI817" s="321">
        <v>808</v>
      </c>
      <c r="AJ817" s="321">
        <f t="shared" si="67"/>
        <v>2.4560000000000053</v>
      </c>
      <c r="AK817" s="321">
        <f t="shared" si="63"/>
        <v>1.0253291190252492E-2</v>
      </c>
      <c r="AL817" s="321">
        <f t="shared" si="64"/>
        <v>3.5008775049918978E-2</v>
      </c>
      <c r="AN817" s="321" t="e">
        <f t="shared" si="65"/>
        <v>#N/A</v>
      </c>
      <c r="AO817" s="321">
        <f t="shared" si="66"/>
        <v>3.5008775049918978E-2</v>
      </c>
    </row>
    <row r="818" spans="35:41" ht="12" customHeight="1">
      <c r="AI818" s="321">
        <v>809</v>
      </c>
      <c r="AJ818" s="321">
        <f t="shared" si="67"/>
        <v>2.4640000000000053</v>
      </c>
      <c r="AK818" s="321">
        <f t="shared" si="63"/>
        <v>1.0033392155836082E-2</v>
      </c>
      <c r="AL818" s="321">
        <f t="shared" si="64"/>
        <v>3.4395259366775864E-2</v>
      </c>
      <c r="AN818" s="321" t="e">
        <f t="shared" si="65"/>
        <v>#N/A</v>
      </c>
      <c r="AO818" s="321">
        <f t="shared" si="66"/>
        <v>3.4395259366775864E-2</v>
      </c>
    </row>
    <row r="819" spans="35:41" ht="12" customHeight="1">
      <c r="AI819" s="321">
        <v>810</v>
      </c>
      <c r="AJ819" s="321">
        <f t="shared" si="67"/>
        <v>2.4720000000000053</v>
      </c>
      <c r="AK819" s="321">
        <f t="shared" si="63"/>
        <v>9.8175808799162746E-3</v>
      </c>
      <c r="AL819" s="321">
        <f t="shared" si="64"/>
        <v>3.3790332665919416E-2</v>
      </c>
      <c r="AN819" s="321" t="e">
        <f t="shared" si="65"/>
        <v>#N/A</v>
      </c>
      <c r="AO819" s="321">
        <f t="shared" si="66"/>
        <v>3.3790332665919416E-2</v>
      </c>
    </row>
    <row r="820" spans="35:41" ht="12" customHeight="1">
      <c r="AI820" s="321">
        <v>811</v>
      </c>
      <c r="AJ820" s="321">
        <f t="shared" si="67"/>
        <v>2.4800000000000053</v>
      </c>
      <c r="AK820" s="321">
        <f t="shared" si="63"/>
        <v>9.605796763539445E-3</v>
      </c>
      <c r="AL820" s="321">
        <f t="shared" si="64"/>
        <v>3.319392063586072E-2</v>
      </c>
      <c r="AN820" s="321" t="e">
        <f t="shared" si="65"/>
        <v>#N/A</v>
      </c>
      <c r="AO820" s="321">
        <f t="shared" si="66"/>
        <v>3.319392063586072E-2</v>
      </c>
    </row>
    <row r="821" spans="35:41" ht="12" customHeight="1">
      <c r="AI821" s="321">
        <v>812</v>
      </c>
      <c r="AJ821" s="321">
        <f t="shared" si="67"/>
        <v>2.4880000000000053</v>
      </c>
      <c r="AK821" s="321">
        <f t="shared" si="63"/>
        <v>9.3979797482417887E-3</v>
      </c>
      <c r="AL821" s="321">
        <f t="shared" si="64"/>
        <v>3.2605948654067664E-2</v>
      </c>
      <c r="AN821" s="321" t="e">
        <f t="shared" si="65"/>
        <v>#N/A</v>
      </c>
      <c r="AO821" s="321">
        <f t="shared" si="66"/>
        <v>3.2605948654067664E-2</v>
      </c>
    </row>
    <row r="822" spans="35:41" ht="12" customHeight="1">
      <c r="AI822" s="321">
        <v>813</v>
      </c>
      <c r="AJ822" s="321">
        <f t="shared" si="67"/>
        <v>2.4960000000000053</v>
      </c>
      <c r="AK822" s="321">
        <f t="shared" si="63"/>
        <v>9.1940703195979578E-3</v>
      </c>
      <c r="AL822" s="321">
        <f t="shared" si="64"/>
        <v>3.2026341811388213E-2</v>
      </c>
      <c r="AN822" s="321" t="e">
        <f t="shared" si="65"/>
        <v>#N/A</v>
      </c>
      <c r="AO822" s="321">
        <f t="shared" si="66"/>
        <v>3.2026341811388213E-2</v>
      </c>
    </row>
    <row r="823" spans="35:41" ht="12" customHeight="1">
      <c r="AI823" s="321">
        <v>814</v>
      </c>
      <c r="AJ823" s="321">
        <f t="shared" si="67"/>
        <v>2.5040000000000053</v>
      </c>
      <c r="AK823" s="321">
        <f t="shared" si="63"/>
        <v>8.9940095105208607E-3</v>
      </c>
      <c r="AL823" s="321">
        <f t="shared" si="64"/>
        <v>3.145502493613285E-2</v>
      </c>
      <c r="AN823" s="321" t="e">
        <f t="shared" si="65"/>
        <v>#N/A</v>
      </c>
      <c r="AO823" s="321">
        <f t="shared" si="66"/>
        <v>3.145502493613285E-2</v>
      </c>
    </row>
    <row r="824" spans="35:41" ht="12" customHeight="1">
      <c r="AI824" s="321">
        <v>815</v>
      </c>
      <c r="AJ824" s="321">
        <f t="shared" si="67"/>
        <v>2.5120000000000053</v>
      </c>
      <c r="AK824" s="321">
        <f t="shared" si="63"/>
        <v>8.7977389043167129E-3</v>
      </c>
      <c r="AL824" s="321">
        <f t="shared" si="64"/>
        <v>3.0891922617812789E-2</v>
      </c>
      <c r="AN824" s="321" t="e">
        <f t="shared" si="65"/>
        <v>#N/A</v>
      </c>
      <c r="AO824" s="321">
        <f t="shared" si="66"/>
        <v>3.0891922617812789E-2</v>
      </c>
    </row>
    <row r="825" spans="35:41" ht="12" customHeight="1">
      <c r="AI825" s="321">
        <v>816</v>
      </c>
      <c r="AJ825" s="321">
        <f t="shared" si="67"/>
        <v>2.5200000000000053</v>
      </c>
      <c r="AK825" s="321">
        <f t="shared" si="63"/>
        <v>8.6052006374995448E-3</v>
      </c>
      <c r="AL825" s="321">
        <f t="shared" si="64"/>
        <v>3.0336959230531257E-2</v>
      </c>
      <c r="AN825" s="321" t="e">
        <f t="shared" si="65"/>
        <v>#N/A</v>
      </c>
      <c r="AO825" s="321">
        <f t="shared" si="66"/>
        <v>3.0336959230531257E-2</v>
      </c>
    </row>
    <row r="826" spans="35:41" ht="12" customHeight="1">
      <c r="AI826" s="321">
        <v>817</v>
      </c>
      <c r="AJ826" s="321">
        <f t="shared" si="67"/>
        <v>2.5280000000000054</v>
      </c>
      <c r="AK826" s="321">
        <f t="shared" si="63"/>
        <v>8.4163374023692641E-3</v>
      </c>
      <c r="AL826" s="321">
        <f t="shared" si="64"/>
        <v>2.9790058956025194E-2</v>
      </c>
      <c r="AN826" s="321" t="e">
        <f t="shared" si="65"/>
        <v>#N/A</v>
      </c>
      <c r="AO826" s="321">
        <f t="shared" si="66"/>
        <v>2.9790058956025194E-2</v>
      </c>
    </row>
    <row r="827" spans="35:41" ht="12" customHeight="1">
      <c r="AI827" s="321">
        <v>818</v>
      </c>
      <c r="AJ827" s="321">
        <f t="shared" si="67"/>
        <v>2.5360000000000054</v>
      </c>
      <c r="AK827" s="321">
        <f t="shared" si="63"/>
        <v>8.2310924493575084E-3</v>
      </c>
      <c r="AL827" s="321">
        <f t="shared" si="64"/>
        <v>2.9251145806354576E-2</v>
      </c>
      <c r="AN827" s="321" t="e">
        <f t="shared" si="65"/>
        <v>#N/A</v>
      </c>
      <c r="AO827" s="321">
        <f t="shared" si="66"/>
        <v>2.9251145806354576E-2</v>
      </c>
    </row>
    <row r="828" spans="35:41" ht="12" customHeight="1">
      <c r="AI828" s="321">
        <v>819</v>
      </c>
      <c r="AJ828" s="321">
        <f t="shared" si="67"/>
        <v>2.5440000000000054</v>
      </c>
      <c r="AK828" s="321">
        <f t="shared" si="63"/>
        <v>8.0494095891454672E-3</v>
      </c>
      <c r="AL828" s="321">
        <f t="shared" si="64"/>
        <v>2.8720143646237369E-2</v>
      </c>
      <c r="AN828" s="321" t="e">
        <f t="shared" si="65"/>
        <v>#N/A</v>
      </c>
      <c r="AO828" s="321">
        <f t="shared" si="66"/>
        <v>2.8720143646237369E-2</v>
      </c>
    </row>
    <row r="829" spans="35:41" ht="12" customHeight="1">
      <c r="AI829" s="321">
        <v>820</v>
      </c>
      <c r="AJ829" s="321">
        <f t="shared" si="67"/>
        <v>2.5520000000000054</v>
      </c>
      <c r="AK829" s="321">
        <f t="shared" si="63"/>
        <v>7.8712331945578438E-3</v>
      </c>
      <c r="AL829" s="321">
        <f t="shared" si="64"/>
        <v>2.8196976215027838E-2</v>
      </c>
      <c r="AN829" s="321" t="e">
        <f t="shared" si="65"/>
        <v>#N/A</v>
      </c>
      <c r="AO829" s="321">
        <f t="shared" si="66"/>
        <v>2.8196976215027838E-2</v>
      </c>
    </row>
    <row r="830" spans="35:41" ht="12" customHeight="1">
      <c r="AI830" s="321">
        <v>821</v>
      </c>
      <c r="AJ830" s="321">
        <f t="shared" si="67"/>
        <v>2.5600000000000054</v>
      </c>
      <c r="AK830" s="321">
        <f t="shared" si="63"/>
        <v>7.6965082022372082E-3</v>
      </c>
      <c r="AL830" s="321">
        <f t="shared" si="64"/>
        <v>2.7681567148336226E-2</v>
      </c>
      <c r="AN830" s="321" t="e">
        <f t="shared" si="65"/>
        <v>#N/A</v>
      </c>
      <c r="AO830" s="321">
        <f t="shared" si="66"/>
        <v>2.7681567148336226E-2</v>
      </c>
    </row>
    <row r="831" spans="35:41" ht="12" customHeight="1">
      <c r="AI831" s="321">
        <v>822</v>
      </c>
      <c r="AJ831" s="321">
        <f t="shared" si="67"/>
        <v>2.5680000000000054</v>
      </c>
      <c r="AK831" s="321">
        <f t="shared" si="63"/>
        <v>7.5251801141029044E-3</v>
      </c>
      <c r="AL831" s="321">
        <f t="shared" si="64"/>
        <v>2.717383999928839E-2</v>
      </c>
      <c r="AN831" s="321" t="e">
        <f t="shared" si="65"/>
        <v>#N/A</v>
      </c>
      <c r="AO831" s="321">
        <f t="shared" si="66"/>
        <v>2.717383999928839E-2</v>
      </c>
    </row>
    <row r="832" spans="35:41" ht="12" customHeight="1">
      <c r="AI832" s="321">
        <v>823</v>
      </c>
      <c r="AJ832" s="321">
        <f t="shared" si="67"/>
        <v>2.5760000000000054</v>
      </c>
      <c r="AK832" s="321">
        <f t="shared" si="63"/>
        <v>7.3571949985987966E-3</v>
      </c>
      <c r="AL832" s="321">
        <f t="shared" si="64"/>
        <v>2.6673718259423468E-2</v>
      </c>
      <c r="AN832" s="321" t="e">
        <f t="shared" si="65"/>
        <v>#N/A</v>
      </c>
      <c r="AO832" s="321">
        <f t="shared" si="66"/>
        <v>2.6673718259423468E-2</v>
      </c>
    </row>
    <row r="833" spans="35:41" ht="12" customHeight="1">
      <c r="AI833" s="321">
        <v>824</v>
      </c>
      <c r="AJ833" s="321">
        <f t="shared" si="67"/>
        <v>2.5840000000000054</v>
      </c>
      <c r="AK833" s="321">
        <f t="shared" si="63"/>
        <v>7.1924994917339719E-3</v>
      </c>
      <c r="AL833" s="321">
        <f t="shared" si="64"/>
        <v>2.6181125379228572E-2</v>
      </c>
      <c r="AN833" s="321" t="e">
        <f t="shared" si="65"/>
        <v>#N/A</v>
      </c>
      <c r="AO833" s="321">
        <f t="shared" si="66"/>
        <v>2.6181125379228572E-2</v>
      </c>
    </row>
    <row r="834" spans="35:41" ht="12" customHeight="1">
      <c r="AI834" s="321">
        <v>825</v>
      </c>
      <c r="AJ834" s="321">
        <f t="shared" si="67"/>
        <v>2.5920000000000054</v>
      </c>
      <c r="AK834" s="321">
        <f t="shared" si="63"/>
        <v>7.0310407979207127E-3</v>
      </c>
      <c r="AL834" s="321">
        <f t="shared" si="64"/>
        <v>2.5695984788309128E-2</v>
      </c>
      <c r="AN834" s="321" t="e">
        <f t="shared" si="65"/>
        <v>#N/A</v>
      </c>
      <c r="AO834" s="321">
        <f t="shared" si="66"/>
        <v>2.5695984788309128E-2</v>
      </c>
    </row>
    <row r="835" spans="35:41" ht="12" customHeight="1">
      <c r="AI835" s="321">
        <v>826</v>
      </c>
      <c r="AJ835" s="321">
        <f t="shared" si="67"/>
        <v>2.6000000000000054</v>
      </c>
      <c r="AK835" s="321">
        <f t="shared" si="63"/>
        <v>6.8727666906138662E-3</v>
      </c>
      <c r="AL835" s="321">
        <f t="shared" si="64"/>
        <v>2.5218219915194063E-2</v>
      </c>
      <c r="AN835" s="321" t="e">
        <f t="shared" si="65"/>
        <v>#N/A</v>
      </c>
      <c r="AO835" s="321">
        <f t="shared" si="66"/>
        <v>2.5218219915194063E-2</v>
      </c>
    </row>
    <row r="836" spans="35:41" ht="12" customHeight="1">
      <c r="AI836" s="321">
        <v>827</v>
      </c>
      <c r="AJ836" s="321">
        <f t="shared" si="67"/>
        <v>2.6080000000000054</v>
      </c>
      <c r="AK836" s="321">
        <f t="shared" si="63"/>
        <v>6.7176255127558721E-3</v>
      </c>
      <c r="AL836" s="321">
        <f t="shared" si="64"/>
        <v>2.4747754206774934E-2</v>
      </c>
      <c r="AN836" s="321" t="e">
        <f t="shared" si="65"/>
        <v>#N/A</v>
      </c>
      <c r="AO836" s="321">
        <f t="shared" si="66"/>
        <v>2.4747754206774934E-2</v>
      </c>
    </row>
    <row r="837" spans="35:41" ht="12" customHeight="1">
      <c r="AI837" s="321">
        <v>828</v>
      </c>
      <c r="AJ837" s="321">
        <f t="shared" si="67"/>
        <v>2.6160000000000054</v>
      </c>
      <c r="AK837" s="321">
        <f t="shared" si="63"/>
        <v>6.5655661770315961E-3</v>
      </c>
      <c r="AL837" s="321">
        <f t="shared" si="64"/>
        <v>2.4284511147378389E-2</v>
      </c>
      <c r="AN837" s="321" t="e">
        <f t="shared" si="65"/>
        <v>#N/A</v>
      </c>
      <c r="AO837" s="321">
        <f t="shared" si="66"/>
        <v>2.4284511147378389E-2</v>
      </c>
    </row>
    <row r="838" spans="35:41" ht="12" customHeight="1">
      <c r="AI838" s="321">
        <v>829</v>
      </c>
      <c r="AJ838" s="321">
        <f t="shared" si="67"/>
        <v>2.6240000000000054</v>
      </c>
      <c r="AK838" s="321">
        <f t="shared" si="63"/>
        <v>6.4165381659371957E-3</v>
      </c>
      <c r="AL838" s="321">
        <f t="shared" si="64"/>
        <v>2.3828414277471666E-2</v>
      </c>
      <c r="AN838" s="321" t="e">
        <f t="shared" si="65"/>
        <v>#N/A</v>
      </c>
      <c r="AO838" s="321">
        <f t="shared" si="66"/>
        <v>2.3828414277471666E-2</v>
      </c>
    </row>
    <row r="839" spans="35:41" ht="12" customHeight="1">
      <c r="AI839" s="321">
        <v>830</v>
      </c>
      <c r="AJ839" s="321">
        <f t="shared" si="67"/>
        <v>2.6320000000000054</v>
      </c>
      <c r="AK839" s="321">
        <f t="shared" si="63"/>
        <v>6.2704915316671335E-3</v>
      </c>
      <c r="AL839" s="321">
        <f t="shared" si="64"/>
        <v>2.3379387212000606E-2</v>
      </c>
      <c r="AN839" s="321" t="e">
        <f t="shared" si="65"/>
        <v>#N/A</v>
      </c>
      <c r="AO839" s="321">
        <f t="shared" si="66"/>
        <v>2.3379387212000606E-2</v>
      </c>
    </row>
    <row r="840" spans="35:41" ht="12" customHeight="1">
      <c r="AI840" s="321">
        <v>831</v>
      </c>
      <c r="AJ840" s="321">
        <f t="shared" si="67"/>
        <v>2.6400000000000055</v>
      </c>
      <c r="AK840" s="321">
        <f t="shared" si="63"/>
        <v>6.1273768958235893E-3</v>
      </c>
      <c r="AL840" s="321">
        <f t="shared" si="64"/>
        <v>2.2937353658360398E-2</v>
      </c>
      <c r="AN840" s="321" t="e">
        <f t="shared" si="65"/>
        <v>#N/A</v>
      </c>
      <c r="AO840" s="321">
        <f t="shared" si="66"/>
        <v>2.2937353658360398E-2</v>
      </c>
    </row>
    <row r="841" spans="35:41" ht="12" customHeight="1">
      <c r="AI841" s="321">
        <v>832</v>
      </c>
      <c r="AJ841" s="321">
        <f t="shared" si="67"/>
        <v>2.6480000000000055</v>
      </c>
      <c r="AK841" s="321">
        <f t="shared" si="63"/>
        <v>5.987145448952306E-3</v>
      </c>
      <c r="AL841" s="321">
        <f t="shared" si="64"/>
        <v>2.2502237433998758E-2</v>
      </c>
      <c r="AN841" s="321" t="e">
        <f t="shared" si="65"/>
        <v>#N/A</v>
      </c>
      <c r="AO841" s="321">
        <f t="shared" si="66"/>
        <v>2.2502237433998758E-2</v>
      </c>
    </row>
    <row r="842" spans="35:41" ht="12" customHeight="1">
      <c r="AI842" s="321">
        <v>833</v>
      </c>
      <c r="AJ842" s="321">
        <f t="shared" si="67"/>
        <v>2.6560000000000055</v>
      </c>
      <c r="AK842" s="321">
        <f t="shared" ref="AK842:AK905" si="68">NORMDIST(AJ842,$AH$26,$AH$28,FALSE)</f>
        <v>5.84974894990905E-3</v>
      </c>
      <c r="AL842" s="321">
        <f t="shared" ref="AL842:AL905" si="69">NORMDIST(AJ842,$AH$27,$AH$28,FALSE)</f>
        <v>2.2073962483652152E-2</v>
      </c>
      <c r="AN842" s="321" t="e">
        <f t="shared" ref="AN842:AN905" si="70">IF(AND($AJ$7,$AH$27&gt;AJ842),AK842,NA())</f>
        <v>#N/A</v>
      </c>
      <c r="AO842" s="321">
        <f t="shared" ref="AO842:AO905" si="71">IF(AND($AJ$6,$AH$26&lt;AJ842+(drend-dlend)/$AO$6),AL842,NA())</f>
        <v>2.2073962483652152E-2</v>
      </c>
    </row>
    <row r="843" spans="35:41" ht="12" customHeight="1">
      <c r="AI843" s="321">
        <v>834</v>
      </c>
      <c r="AJ843" s="321">
        <f t="shared" ref="AJ843:AJ906" si="72">AJ842+$AL$7</f>
        <v>2.6640000000000055</v>
      </c>
      <c r="AK843" s="321">
        <f t="shared" si="68"/>
        <v>5.7151397250608336E-3</v>
      </c>
      <c r="AL843" s="321">
        <f t="shared" si="69"/>
        <v>2.1652452896215129E-2</v>
      </c>
      <c r="AN843" s="321" t="e">
        <f t="shared" si="70"/>
        <v>#N/A</v>
      </c>
      <c r="AO843" s="321">
        <f t="shared" si="71"/>
        <v>2.1652452896215129E-2</v>
      </c>
    </row>
    <row r="844" spans="35:41" ht="12" customHeight="1">
      <c r="AI844" s="321">
        <v>835</v>
      </c>
      <c r="AJ844" s="321">
        <f t="shared" si="72"/>
        <v>2.6720000000000055</v>
      </c>
      <c r="AK844" s="321">
        <f t="shared" si="68"/>
        <v>5.5832706673258721E-3</v>
      </c>
      <c r="AL844" s="321">
        <f t="shared" si="69"/>
        <v>2.1237632921243484E-2</v>
      </c>
      <c r="AN844" s="321" t="e">
        <f t="shared" si="70"/>
        <v>#N/A</v>
      </c>
      <c r="AO844" s="321">
        <f t="shared" si="71"/>
        <v>2.1237632921243484E-2</v>
      </c>
    </row>
    <row r="845" spans="35:41" ht="12" customHeight="1">
      <c r="AI845" s="321">
        <v>836</v>
      </c>
      <c r="AJ845" s="321">
        <f t="shared" si="72"/>
        <v>2.6800000000000055</v>
      </c>
      <c r="AK845" s="321">
        <f t="shared" si="68"/>
        <v>5.4540952350564621E-3</v>
      </c>
      <c r="AL845" s="321">
        <f t="shared" si="69"/>
        <v>2.0829426985091912E-2</v>
      </c>
      <c r="AN845" s="321" t="e">
        <f t="shared" si="70"/>
        <v>#N/A</v>
      </c>
      <c r="AO845" s="321">
        <f t="shared" si="71"/>
        <v>2.0829426985091912E-2</v>
      </c>
    </row>
    <row r="846" spans="35:41" ht="12" customHeight="1">
      <c r="AI846" s="321">
        <v>837</v>
      </c>
      <c r="AJ846" s="321">
        <f t="shared" si="72"/>
        <v>2.6880000000000055</v>
      </c>
      <c r="AK846" s="321">
        <f t="shared" si="68"/>
        <v>5.3275674507687332E-3</v>
      </c>
      <c r="AL846" s="321">
        <f t="shared" si="69"/>
        <v>2.0427759706686952E-2</v>
      </c>
      <c r="AN846" s="321" t="e">
        <f t="shared" si="70"/>
        <v>#N/A</v>
      </c>
      <c r="AO846" s="321">
        <f t="shared" si="71"/>
        <v>2.0427759706686952E-2</v>
      </c>
    </row>
    <row r="847" spans="35:41" ht="12" customHeight="1">
      <c r="AI847" s="321">
        <v>838</v>
      </c>
      <c r="AJ847" s="321">
        <f t="shared" si="72"/>
        <v>2.6960000000000055</v>
      </c>
      <c r="AK847" s="321">
        <f t="shared" si="68"/>
        <v>5.2036418997233446E-3</v>
      </c>
      <c r="AL847" s="321">
        <f t="shared" si="69"/>
        <v>2.0032555912936262E-2</v>
      </c>
      <c r="AN847" s="321" t="e">
        <f t="shared" si="70"/>
        <v>#N/A</v>
      </c>
      <c r="AO847" s="321">
        <f t="shared" si="71"/>
        <v>2.0032555912936262E-2</v>
      </c>
    </row>
    <row r="848" spans="35:41" ht="12" customHeight="1">
      <c r="AI848" s="321">
        <v>839</v>
      </c>
      <c r="AJ848" s="321">
        <f t="shared" si="72"/>
        <v>2.7040000000000055</v>
      </c>
      <c r="AK848" s="321">
        <f t="shared" si="68"/>
        <v>5.0822737283610529E-3</v>
      </c>
      <c r="AL848" s="321">
        <f t="shared" si="69"/>
        <v>1.9643740653775287E-2</v>
      </c>
      <c r="AN848" s="321" t="e">
        <f t="shared" si="70"/>
        <v>#N/A</v>
      </c>
      <c r="AO848" s="321">
        <f t="shared" si="71"/>
        <v>1.9643740653775287E-2</v>
      </c>
    </row>
    <row r="849" spans="35:41" ht="12" customHeight="1">
      <c r="AI849" s="321">
        <v>840</v>
      </c>
      <c r="AJ849" s="321">
        <f t="shared" si="72"/>
        <v>2.7120000000000055</v>
      </c>
      <c r="AK849" s="321">
        <f t="shared" si="68"/>
        <v>4.9634186425971802E-3</v>
      </c>
      <c r="AL849" s="321">
        <f t="shared" si="69"/>
        <v>1.9261239216852705E-2</v>
      </c>
      <c r="AN849" s="321" t="e">
        <f t="shared" si="70"/>
        <v>#N/A</v>
      </c>
      <c r="AO849" s="321">
        <f t="shared" si="71"/>
        <v>1.9261239216852705E-2</v>
      </c>
    </row>
    <row r="850" spans="35:41" ht="12" customHeight="1">
      <c r="AI850" s="321">
        <v>841</v>
      </c>
      <c r="AJ850" s="321">
        <f t="shared" si="72"/>
        <v>2.7200000000000055</v>
      </c>
      <c r="AK850" s="321">
        <f t="shared" si="68"/>
        <v>4.8470329059788703E-3</v>
      </c>
      <c r="AL850" s="321">
        <f t="shared" si="69"/>
        <v>1.8884977141855917E-2</v>
      </c>
      <c r="AN850" s="321" t="e">
        <f t="shared" si="70"/>
        <v>#N/A</v>
      </c>
      <c r="AO850" s="321">
        <f t="shared" si="71"/>
        <v>1.8884977141855917E-2</v>
      </c>
    </row>
    <row r="851" spans="35:41" ht="12" customHeight="1">
      <c r="AI851" s="321">
        <v>842</v>
      </c>
      <c r="AJ851" s="321">
        <f t="shared" si="72"/>
        <v>2.7280000000000055</v>
      </c>
      <c r="AK851" s="321">
        <f t="shared" si="68"/>
        <v>4.7330733377090213E-3</v>
      </c>
      <c r="AL851" s="321">
        <f t="shared" si="69"/>
        <v>1.8514880234478212E-2</v>
      </c>
      <c r="AN851" s="321" t="e">
        <f t="shared" si="70"/>
        <v>#N/A</v>
      </c>
      <c r="AO851" s="321">
        <f t="shared" si="71"/>
        <v>1.8514880234478212E-2</v>
      </c>
    </row>
    <row r="852" spans="35:41" ht="12" customHeight="1">
      <c r="AI852" s="321">
        <v>843</v>
      </c>
      <c r="AJ852" s="321">
        <f t="shared" si="72"/>
        <v>2.7360000000000055</v>
      </c>
      <c r="AK852" s="321">
        <f t="shared" si="68"/>
        <v>4.6214973105408209E-3</v>
      </c>
      <c r="AL852" s="321">
        <f t="shared" si="69"/>
        <v>1.8150874580029307E-2</v>
      </c>
      <c r="AN852" s="321" t="e">
        <f t="shared" si="70"/>
        <v>#N/A</v>
      </c>
      <c r="AO852" s="321">
        <f t="shared" si="71"/>
        <v>1.8150874580029307E-2</v>
      </c>
    </row>
    <row r="853" spans="35:41" ht="12" customHeight="1">
      <c r="AI853" s="321">
        <v>844</v>
      </c>
      <c r="AJ853" s="321">
        <f t="shared" si="72"/>
        <v>2.7440000000000055</v>
      </c>
      <c r="AK853" s="321">
        <f t="shared" si="68"/>
        <v>4.5122627485466409E-3</v>
      </c>
      <c r="AL853" s="321">
        <f t="shared" si="69"/>
        <v>1.7792886556690844E-2</v>
      </c>
      <c r="AN853" s="321" t="e">
        <f t="shared" si="70"/>
        <v>#N/A</v>
      </c>
      <c r="AO853" s="321">
        <f t="shared" si="71"/>
        <v>1.7792886556690844E-2</v>
      </c>
    </row>
    <row r="854" spans="35:41" ht="12" customHeight="1">
      <c r="AI854" s="321">
        <v>845</v>
      </c>
      <c r="AJ854" s="321">
        <f t="shared" si="72"/>
        <v>2.7520000000000056</v>
      </c>
      <c r="AK854" s="321">
        <f t="shared" si="68"/>
        <v>4.4053281247651505E-3</v>
      </c>
      <c r="AL854" s="321">
        <f t="shared" si="69"/>
        <v>1.7440842848419125E-2</v>
      </c>
      <c r="AN854" s="321" t="e">
        <f t="shared" si="70"/>
        <v>#N/A</v>
      </c>
      <c r="AO854" s="321">
        <f t="shared" si="71"/>
        <v>1.7440842848419125E-2</v>
      </c>
    </row>
    <row r="855" spans="35:41" ht="12" customHeight="1">
      <c r="AI855" s="321">
        <v>846</v>
      </c>
      <c r="AJ855" s="321">
        <f t="shared" si="72"/>
        <v>2.7600000000000056</v>
      </c>
      <c r="AK855" s="321">
        <f t="shared" si="68"/>
        <v>4.3006524587303726E-3</v>
      </c>
      <c r="AL855" s="321">
        <f t="shared" si="69"/>
        <v>1.70946704574967E-2</v>
      </c>
      <c r="AN855" s="321" t="e">
        <f t="shared" si="70"/>
        <v>#N/A</v>
      </c>
      <c r="AO855" s="321">
        <f t="shared" si="71"/>
        <v>1.70946704574967E-2</v>
      </c>
    </row>
    <row r="856" spans="35:41" ht="12" customHeight="1">
      <c r="AI856" s="321">
        <v>847</v>
      </c>
      <c r="AJ856" s="321">
        <f t="shared" si="72"/>
        <v>2.7680000000000056</v>
      </c>
      <c r="AK856" s="321">
        <f t="shared" si="68"/>
        <v>4.198195313886462E-3</v>
      </c>
      <c r="AL856" s="321">
        <f t="shared" si="69"/>
        <v>1.6754296716735301E-2</v>
      </c>
      <c r="AN856" s="321" t="e">
        <f t="shared" si="70"/>
        <v>#N/A</v>
      </c>
      <c r="AO856" s="321">
        <f t="shared" si="71"/>
        <v>1.6754296716735301E-2</v>
      </c>
    </row>
    <row r="857" spans="35:41" ht="12" customHeight="1">
      <c r="AI857" s="321">
        <v>848</v>
      </c>
      <c r="AJ857" s="321">
        <f t="shared" si="72"/>
        <v>2.7760000000000056</v>
      </c>
      <c r="AK857" s="321">
        <f t="shared" si="68"/>
        <v>4.0979167948918148E-3</v>
      </c>
      <c r="AL857" s="321">
        <f t="shared" si="69"/>
        <v>1.641964930133219E-2</v>
      </c>
      <c r="AN857" s="321" t="e">
        <f t="shared" si="70"/>
        <v>#N/A</v>
      </c>
      <c r="AO857" s="321">
        <f t="shared" si="71"/>
        <v>1.641964930133219E-2</v>
      </c>
    </row>
    <row r="858" spans="35:41" ht="12" customHeight="1">
      <c r="AI858" s="321">
        <v>849</v>
      </c>
      <c r="AJ858" s="321">
        <f t="shared" si="72"/>
        <v>2.7840000000000056</v>
      </c>
      <c r="AK858" s="321">
        <f t="shared" si="68"/>
        <v>3.9997775448162437E-3</v>
      </c>
      <c r="AL858" s="321">
        <f t="shared" si="69"/>
        <v>1.6090656240382334E-2</v>
      </c>
      <c r="AN858" s="321" t="e">
        <f t="shared" si="70"/>
        <v>#N/A</v>
      </c>
      <c r="AO858" s="321">
        <f t="shared" si="71"/>
        <v>1.6090656240382334E-2</v>
      </c>
    </row>
    <row r="859" spans="35:41" ht="12" customHeight="1">
      <c r="AI859" s="321">
        <v>850</v>
      </c>
      <c r="AJ859" s="321">
        <f t="shared" si="72"/>
        <v>2.7920000000000056</v>
      </c>
      <c r="AK859" s="321">
        <f t="shared" si="68"/>
        <v>3.9037387422347957E-3</v>
      </c>
      <c r="AL859" s="321">
        <f t="shared" si="69"/>
        <v>1.5767245928048967E-2</v>
      </c>
      <c r="AN859" s="321" t="e">
        <f t="shared" si="70"/>
        <v>#N/A</v>
      </c>
      <c r="AO859" s="321">
        <f t="shared" si="71"/>
        <v>1.5767245928048967E-2</v>
      </c>
    </row>
    <row r="860" spans="35:41" ht="12" customHeight="1">
      <c r="AI860" s="321">
        <v>851</v>
      </c>
      <c r="AJ860" s="321">
        <f t="shared" si="72"/>
        <v>2.8000000000000056</v>
      </c>
      <c r="AK860" s="321">
        <f t="shared" si="68"/>
        <v>3.8097620982217419E-3</v>
      </c>
      <c r="AL860" s="321">
        <f t="shared" si="69"/>
        <v>1.5449347134394947E-2</v>
      </c>
      <c r="AN860" s="321" t="e">
        <f t="shared" si="70"/>
        <v>#N/A</v>
      </c>
      <c r="AO860" s="321">
        <f t="shared" si="71"/>
        <v>1.5449347134394947E-2</v>
      </c>
    </row>
    <row r="861" spans="35:41" ht="12" customHeight="1">
      <c r="AI861" s="321">
        <v>852</v>
      </c>
      <c r="AJ861" s="321">
        <f t="shared" si="72"/>
        <v>2.8080000000000056</v>
      </c>
      <c r="AK861" s="321">
        <f t="shared" si="68"/>
        <v>3.7178098532483573E-3</v>
      </c>
      <c r="AL861" s="321">
        <f t="shared" si="69"/>
        <v>1.5136889015877786E-2</v>
      </c>
      <c r="AN861" s="321" t="e">
        <f t="shared" si="70"/>
        <v>#N/A</v>
      </c>
      <c r="AO861" s="321">
        <f t="shared" si="71"/>
        <v>1.5136889015877786E-2</v>
      </c>
    </row>
    <row r="862" spans="35:41" ht="12" customHeight="1">
      <c r="AI862" s="321">
        <v>853</v>
      </c>
      <c r="AJ862" s="321">
        <f t="shared" si="72"/>
        <v>2.8160000000000056</v>
      </c>
      <c r="AK862" s="321">
        <f t="shared" si="68"/>
        <v>3.6278447739879031E-3</v>
      </c>
      <c r="AL862" s="321">
        <f t="shared" si="69"/>
        <v>1.4829801125510937E-2</v>
      </c>
      <c r="AN862" s="321" t="e">
        <f t="shared" si="70"/>
        <v>#N/A</v>
      </c>
      <c r="AO862" s="321">
        <f t="shared" si="71"/>
        <v>1.4829801125510937E-2</v>
      </c>
    </row>
    <row r="863" spans="35:41" ht="12" customHeight="1">
      <c r="AI863" s="321">
        <v>854</v>
      </c>
      <c r="AJ863" s="321">
        <f t="shared" si="72"/>
        <v>2.8240000000000056</v>
      </c>
      <c r="AK863" s="321">
        <f t="shared" si="68"/>
        <v>3.5398301500312941E-3</v>
      </c>
      <c r="AL863" s="321">
        <f t="shared" si="69"/>
        <v>1.4528013422694346E-2</v>
      </c>
      <c r="AN863" s="321" t="e">
        <f t="shared" si="70"/>
        <v>#N/A</v>
      </c>
      <c r="AO863" s="321">
        <f t="shared" si="71"/>
        <v>1.4528013422694346E-2</v>
      </c>
    </row>
    <row r="864" spans="35:41" ht="12" customHeight="1">
      <c r="AI864" s="321">
        <v>855</v>
      </c>
      <c r="AJ864" s="321">
        <f t="shared" si="72"/>
        <v>2.8320000000000056</v>
      </c>
      <c r="AK864" s="321">
        <f t="shared" si="68"/>
        <v>3.4537297905168386E-3</v>
      </c>
      <c r="AL864" s="321">
        <f t="shared" si="69"/>
        <v>1.4231456282717164E-2</v>
      </c>
      <c r="AN864" s="321" t="e">
        <f t="shared" si="70"/>
        <v>#N/A</v>
      </c>
      <c r="AO864" s="321">
        <f t="shared" si="71"/>
        <v>1.4231456282717164E-2</v>
      </c>
    </row>
    <row r="865" spans="35:41" ht="12" customHeight="1">
      <c r="AI865" s="321">
        <v>856</v>
      </c>
      <c r="AJ865" s="321">
        <f t="shared" si="72"/>
        <v>2.8400000000000056</v>
      </c>
      <c r="AK865" s="321">
        <f t="shared" si="68"/>
        <v>3.3695080206774205E-3</v>
      </c>
      <c r="AL865" s="321">
        <f t="shared" si="69"/>
        <v>1.3940060505935613E-2</v>
      </c>
      <c r="AN865" s="321" t="e">
        <f t="shared" si="70"/>
        <v>#N/A</v>
      </c>
      <c r="AO865" s="321">
        <f t="shared" si="71"/>
        <v>1.3940060505935613E-2</v>
      </c>
    </row>
    <row r="866" spans="35:41" ht="12" customHeight="1">
      <c r="AI866" s="321">
        <v>857</v>
      </c>
      <c r="AJ866" s="321">
        <f t="shared" si="72"/>
        <v>2.8480000000000056</v>
      </c>
      <c r="AK866" s="321">
        <f t="shared" si="68"/>
        <v>3.2871296783084231E-3</v>
      </c>
      <c r="AL866" s="321">
        <f t="shared" si="69"/>
        <v>1.3653757326629256E-2</v>
      </c>
      <c r="AN866" s="321" t="e">
        <f t="shared" si="70"/>
        <v>#N/A</v>
      </c>
      <c r="AO866" s="321">
        <f t="shared" si="71"/>
        <v>1.3653757326629256E-2</v>
      </c>
    </row>
    <row r="867" spans="35:41" ht="12" customHeight="1">
      <c r="AI867" s="321">
        <v>858</v>
      </c>
      <c r="AJ867" s="321">
        <f t="shared" si="72"/>
        <v>2.8560000000000056</v>
      </c>
      <c r="AK867" s="321">
        <f t="shared" si="68"/>
        <v>3.2065601101596568E-3</v>
      </c>
      <c r="AL867" s="321">
        <f t="shared" si="69"/>
        <v>1.3372478421538698E-2</v>
      </c>
      <c r="AN867" s="321" t="e">
        <f t="shared" si="70"/>
        <v>#N/A</v>
      </c>
      <c r="AO867" s="321">
        <f t="shared" si="71"/>
        <v>1.3372478421538698E-2</v>
      </c>
    </row>
    <row r="868" spans="35:41" ht="12" customHeight="1">
      <c r="AI868" s="321">
        <v>859</v>
      </c>
      <c r="AJ868" s="321">
        <f t="shared" si="72"/>
        <v>2.8640000000000057</v>
      </c>
      <c r="AK868" s="321">
        <f t="shared" si="68"/>
        <v>3.1277651682545559E-3</v>
      </c>
      <c r="AL868" s="321">
        <f t="shared" si="69"/>
        <v>1.3096155918088185E-2</v>
      </c>
      <c r="AN868" s="321" t="e">
        <f t="shared" si="70"/>
        <v>#N/A</v>
      </c>
      <c r="AO868" s="321">
        <f t="shared" si="71"/>
        <v>1.3096155918088185E-2</v>
      </c>
    </row>
    <row r="869" spans="35:41" ht="12" customHeight="1">
      <c r="AI869" s="321">
        <v>860</v>
      </c>
      <c r="AJ869" s="321">
        <f t="shared" si="72"/>
        <v>2.8720000000000057</v>
      </c>
      <c r="AK869" s="321">
        <f t="shared" si="68"/>
        <v>3.0507112061397535E-3</v>
      </c>
      <c r="AL869" s="321">
        <f t="shared" si="69"/>
        <v>1.2824722402296252E-2</v>
      </c>
      <c r="AN869" s="321" t="e">
        <f t="shared" si="70"/>
        <v>#N/A</v>
      </c>
      <c r="AO869" s="321">
        <f t="shared" si="71"/>
        <v>1.2824722402296252E-2</v>
      </c>
    </row>
    <row r="870" spans="35:41" ht="12" customHeight="1">
      <c r="AI870" s="321">
        <v>861</v>
      </c>
      <c r="AJ870" s="321">
        <f t="shared" si="72"/>
        <v>2.8800000000000057</v>
      </c>
      <c r="AK870" s="321">
        <f t="shared" si="68"/>
        <v>2.9753650750681975E-3</v>
      </c>
      <c r="AL870" s="321">
        <f t="shared" si="69"/>
        <v>1.2558110926378013E-2</v>
      </c>
      <c r="AN870" s="321" t="e">
        <f t="shared" si="70"/>
        <v>#N/A</v>
      </c>
      <c r="AO870" s="321">
        <f t="shared" si="71"/>
        <v>1.2558110926378013E-2</v>
      </c>
    </row>
    <row r="871" spans="35:41" ht="12" customHeight="1">
      <c r="AI871" s="321">
        <v>862</v>
      </c>
      <c r="AJ871" s="321">
        <f t="shared" si="72"/>
        <v>2.8880000000000057</v>
      </c>
      <c r="AK871" s="321">
        <f t="shared" si="68"/>
        <v>2.9016941201189177E-3</v>
      </c>
      <c r="AL871" s="321">
        <f t="shared" si="69"/>
        <v>1.2296255016042486E-2</v>
      </c>
      <c r="AN871" s="321" t="e">
        <f t="shared" si="70"/>
        <v>#N/A</v>
      </c>
      <c r="AO871" s="321">
        <f t="shared" si="71"/>
        <v>1.2296255016042486E-2</v>
      </c>
    </row>
    <row r="872" spans="35:41" ht="12" customHeight="1">
      <c r="AI872" s="321">
        <v>863</v>
      </c>
      <c r="AJ872" s="321">
        <f t="shared" si="72"/>
        <v>2.8960000000000057</v>
      </c>
      <c r="AK872" s="321">
        <f t="shared" si="68"/>
        <v>2.829666176256402E-3</v>
      </c>
      <c r="AL872" s="321">
        <f t="shared" si="69"/>
        <v>1.2039088677488465E-2</v>
      </c>
      <c r="AN872" s="321" t="e">
        <f t="shared" si="70"/>
        <v>#N/A</v>
      </c>
      <c r="AO872" s="321">
        <f t="shared" si="71"/>
        <v>1.2039088677488465E-2</v>
      </c>
    </row>
    <row r="873" spans="35:41" ht="12" customHeight="1">
      <c r="AI873" s="321">
        <v>864</v>
      </c>
      <c r="AJ873" s="321">
        <f t="shared" si="72"/>
        <v>2.9040000000000057</v>
      </c>
      <c r="AK873" s="321">
        <f t="shared" si="68"/>
        <v>2.7592495643326436E-3</v>
      </c>
      <c r="AL873" s="321">
        <f t="shared" si="69"/>
        <v>1.1786546404102698E-2</v>
      </c>
      <c r="AN873" s="321" t="e">
        <f t="shared" si="70"/>
        <v>#N/A</v>
      </c>
      <c r="AO873" s="321">
        <f t="shared" si="71"/>
        <v>1.1786546404102698E-2</v>
      </c>
    </row>
    <row r="874" spans="35:41" ht="12" customHeight="1">
      <c r="AI874" s="321">
        <v>865</v>
      </c>
      <c r="AJ874" s="321">
        <f t="shared" si="72"/>
        <v>2.9120000000000057</v>
      </c>
      <c r="AK874" s="321">
        <f t="shared" si="68"/>
        <v>2.6904130870347423E-3</v>
      </c>
      <c r="AL874" s="321">
        <f t="shared" si="69"/>
        <v>1.1538563182863818E-2</v>
      </c>
      <c r="AN874" s="321" t="e">
        <f t="shared" si="70"/>
        <v>#N/A</v>
      </c>
      <c r="AO874" s="321">
        <f t="shared" si="71"/>
        <v>1.1538563182863818E-2</v>
      </c>
    </row>
    <row r="875" spans="35:41" ht="12" customHeight="1">
      <c r="AI875" s="321">
        <v>866</v>
      </c>
      <c r="AJ875" s="321">
        <f t="shared" si="72"/>
        <v>2.9200000000000057</v>
      </c>
      <c r="AK875" s="321">
        <f t="shared" si="68"/>
        <v>2.6231260247809754E-3</v>
      </c>
      <c r="AL875" s="321">
        <f t="shared" si="69"/>
        <v>1.1295074500455958E-2</v>
      </c>
      <c r="AN875" s="321" t="e">
        <f t="shared" si="70"/>
        <v>#N/A</v>
      </c>
      <c r="AO875" s="321">
        <f t="shared" si="71"/>
        <v>1.1295074500455958E-2</v>
      </c>
    </row>
    <row r="876" spans="35:41" ht="12" customHeight="1">
      <c r="AI876" s="321">
        <v>867</v>
      </c>
      <c r="AJ876" s="321">
        <f t="shared" si="72"/>
        <v>2.9280000000000057</v>
      </c>
      <c r="AK876" s="321">
        <f t="shared" si="68"/>
        <v>2.5573581315681735E-3</v>
      </c>
      <c r="AL876" s="321">
        <f t="shared" si="69"/>
        <v>1.1056016349095693E-2</v>
      </c>
      <c r="AN876" s="321" t="e">
        <f t="shared" si="70"/>
        <v>#N/A</v>
      </c>
      <c r="AO876" s="321">
        <f t="shared" si="71"/>
        <v>1.1056016349095693E-2</v>
      </c>
    </row>
    <row r="877" spans="35:41" ht="12" customHeight="1">
      <c r="AI877" s="321">
        <v>868</v>
      </c>
      <c r="AJ877" s="321">
        <f t="shared" si="72"/>
        <v>2.9360000000000057</v>
      </c>
      <c r="AK877" s="321">
        <f t="shared" si="68"/>
        <v>2.4930796307731577E-3</v>
      </c>
      <c r="AL877" s="321">
        <f t="shared" si="69"/>
        <v>1.0821325232076101E-2</v>
      </c>
      <c r="AN877" s="321" t="e">
        <f t="shared" si="70"/>
        <v>#N/A</v>
      </c>
      <c r="AO877" s="321">
        <f t="shared" si="71"/>
        <v>1.0821325232076101E-2</v>
      </c>
    </row>
    <row r="878" spans="35:41" ht="12" customHeight="1">
      <c r="AI878" s="321">
        <v>869</v>
      </c>
      <c r="AJ878" s="321">
        <f t="shared" si="72"/>
        <v>2.9440000000000057</v>
      </c>
      <c r="AK878" s="321">
        <f t="shared" si="68"/>
        <v>2.4302612109110468E-3</v>
      </c>
      <c r="AL878" s="321">
        <f t="shared" si="69"/>
        <v>1.0590938169031961E-2</v>
      </c>
      <c r="AN878" s="321" t="e">
        <f t="shared" si="70"/>
        <v>#N/A</v>
      </c>
      <c r="AO878" s="321">
        <f t="shared" si="71"/>
        <v>1.0590938169031961E-2</v>
      </c>
    </row>
    <row r="879" spans="35:41" ht="12" customHeight="1">
      <c r="AI879" s="321">
        <v>870</v>
      </c>
      <c r="AJ879" s="321">
        <f t="shared" si="72"/>
        <v>2.9520000000000057</v>
      </c>
      <c r="AK879" s="321">
        <f t="shared" si="68"/>
        <v>2.3688740213530534E-3</v>
      </c>
      <c r="AL879" s="321">
        <f t="shared" si="69"/>
        <v>1.0364792700929808E-2</v>
      </c>
      <c r="AN879" s="321" t="e">
        <f t="shared" si="70"/>
        <v>#N/A</v>
      </c>
      <c r="AO879" s="321">
        <f t="shared" si="71"/>
        <v>1.0364792700929808E-2</v>
      </c>
    </row>
    <row r="880" spans="35:41" ht="12" customHeight="1">
      <c r="AI880" s="321">
        <v>871</v>
      </c>
      <c r="AJ880" s="321">
        <f t="shared" si="72"/>
        <v>2.9600000000000057</v>
      </c>
      <c r="AK880" s="321">
        <f t="shared" si="68"/>
        <v>2.3088896680064524E-3</v>
      </c>
      <c r="AL880" s="321">
        <f t="shared" si="69"/>
        <v>1.0142826894786919E-2</v>
      </c>
      <c r="AN880" s="321" t="e">
        <f t="shared" si="70"/>
        <v>#N/A</v>
      </c>
      <c r="AO880" s="321">
        <f t="shared" si="71"/>
        <v>1.0142826894786919E-2</v>
      </c>
    </row>
    <row r="881" spans="35:41" ht="12" customHeight="1">
      <c r="AI881" s="321">
        <v>872</v>
      </c>
      <c r="AJ881" s="321">
        <f t="shared" si="72"/>
        <v>2.9680000000000057</v>
      </c>
      <c r="AK881" s="321">
        <f t="shared" si="68"/>
        <v>2.2502802089593012E-3</v>
      </c>
      <c r="AL881" s="321">
        <f t="shared" si="69"/>
        <v>9.9249793481231176E-3</v>
      </c>
      <c r="AN881" s="321" t="e">
        <f t="shared" si="70"/>
        <v>#N/A</v>
      </c>
      <c r="AO881" s="321">
        <f t="shared" si="71"/>
        <v>9.9249793481231176E-3</v>
      </c>
    </row>
    <row r="882" spans="35:41" ht="12" customHeight="1">
      <c r="AI882" s="321">
        <v>873</v>
      </c>
      <c r="AJ882" s="321">
        <f t="shared" si="72"/>
        <v>2.9760000000000058</v>
      </c>
      <c r="AK882" s="321">
        <f t="shared" si="68"/>
        <v>2.1930181500924443E-3</v>
      </c>
      <c r="AL882" s="321">
        <f t="shared" si="69"/>
        <v>9.7111891931495053E-3</v>
      </c>
      <c r="AN882" s="321" t="e">
        <f t="shared" si="70"/>
        <v>#N/A</v>
      </c>
      <c r="AO882" s="321">
        <f t="shared" si="71"/>
        <v>9.7111891931495053E-3</v>
      </c>
    </row>
    <row r="883" spans="35:41" ht="12" customHeight="1">
      <c r="AI883" s="321">
        <v>874</v>
      </c>
      <c r="AJ883" s="321">
        <f t="shared" si="72"/>
        <v>2.9840000000000058</v>
      </c>
      <c r="AK883" s="321">
        <f t="shared" si="68"/>
        <v>2.137076440661322E-3</v>
      </c>
      <c r="AL883" s="321">
        <f t="shared" si="69"/>
        <v>9.5013961006980702E-3</v>
      </c>
      <c r="AN883" s="321" t="e">
        <f t="shared" si="70"/>
        <v>#N/A</v>
      </c>
      <c r="AO883" s="321">
        <f t="shared" si="71"/>
        <v>9.5013961006980702E-3</v>
      </c>
    </row>
    <row r="884" spans="35:41" ht="12" customHeight="1">
      <c r="AI884" s="321">
        <v>875</v>
      </c>
      <c r="AJ884" s="321">
        <f t="shared" si="72"/>
        <v>2.9920000000000058</v>
      </c>
      <c r="AK884" s="321">
        <f t="shared" si="68"/>
        <v>2.0824284688499817E-3</v>
      </c>
      <c r="AL884" s="321">
        <f t="shared" si="69"/>
        <v>9.2955402838963037E-3</v>
      </c>
      <c r="AN884" s="321" t="e">
        <f t="shared" si="70"/>
        <v>#N/A</v>
      </c>
      <c r="AO884" s="321">
        <f t="shared" si="71"/>
        <v>9.2955402838963037E-3</v>
      </c>
    </row>
    <row r="885" spans="35:41" ht="12" customHeight="1">
      <c r="AI885" s="321">
        <v>876</v>
      </c>
      <c r="AJ885" s="321">
        <f t="shared" si="72"/>
        <v>3.0000000000000058</v>
      </c>
      <c r="AK885" s="321">
        <f t="shared" si="68"/>
        <v>2.0290480572997295E-3</v>
      </c>
      <c r="AL885" s="321">
        <f t="shared" si="69"/>
        <v>9.0935625015909054E-3</v>
      </c>
      <c r="AN885" s="321" t="e">
        <f t="shared" si="70"/>
        <v>#N/A</v>
      </c>
      <c r="AO885" s="321">
        <f t="shared" si="71"/>
        <v>9.0935625015909054E-3</v>
      </c>
    </row>
    <row r="886" spans="35:41" ht="12" customHeight="1">
      <c r="AI886" s="321">
        <v>877</v>
      </c>
      <c r="AJ886" s="321">
        <f t="shared" si="72"/>
        <v>3.0080000000000058</v>
      </c>
      <c r="AK886" s="321">
        <f t="shared" si="68"/>
        <v>1.9769094586147271E-3</v>
      </c>
      <c r="AL886" s="321">
        <f t="shared" si="69"/>
        <v>8.8954040615246959E-3</v>
      </c>
      <c r="AN886" s="321" t="e">
        <f t="shared" si="70"/>
        <v>#N/A</v>
      </c>
      <c r="AO886" s="321">
        <f t="shared" si="71"/>
        <v>8.8954040615246959E-3</v>
      </c>
    </row>
    <row r="887" spans="35:41" ht="12" customHeight="1">
      <c r="AI887" s="321">
        <v>878</v>
      </c>
      <c r="AJ887" s="321">
        <f t="shared" si="72"/>
        <v>3.0160000000000058</v>
      </c>
      <c r="AK887" s="321">
        <f t="shared" si="68"/>
        <v>1.9259873508468475E-3</v>
      </c>
      <c r="AL887" s="321">
        <f t="shared" si="69"/>
        <v>8.7010068232708463E-3</v>
      </c>
      <c r="AN887" s="321" t="e">
        <f t="shared" si="70"/>
        <v>#N/A</v>
      </c>
      <c r="AO887" s="321">
        <f t="shared" si="71"/>
        <v>8.7010068232708463E-3</v>
      </c>
    </row>
    <row r="888" spans="35:41" ht="12" customHeight="1">
      <c r="AI888" s="321">
        <v>879</v>
      </c>
      <c r="AJ888" s="321">
        <f t="shared" si="72"/>
        <v>3.0240000000000058</v>
      </c>
      <c r="AK888" s="321">
        <f t="shared" si="68"/>
        <v>1.8762568329620389E-3</v>
      </c>
      <c r="AL888" s="321">
        <f t="shared" si="69"/>
        <v>8.5103132009286889E-3</v>
      </c>
      <c r="AN888" s="321" t="e">
        <f t="shared" si="70"/>
        <v>#N/A</v>
      </c>
      <c r="AO888" s="321">
        <f t="shared" si="71"/>
        <v>8.5103132009286889E-3</v>
      </c>
    </row>
    <row r="889" spans="35:41" ht="12" customHeight="1">
      <c r="AI889" s="321">
        <v>880</v>
      </c>
      <c r="AJ889" s="321">
        <f t="shared" si="72"/>
        <v>3.0320000000000058</v>
      </c>
      <c r="AK889" s="321">
        <f t="shared" si="68"/>
        <v>1.8276934202903551E-3</v>
      </c>
      <c r="AL889" s="321">
        <f t="shared" si="69"/>
        <v>8.3232661655851109E-3</v>
      </c>
      <c r="AN889" s="321" t="e">
        <f t="shared" si="70"/>
        <v>#N/A</v>
      </c>
      <c r="AO889" s="321">
        <f t="shared" si="71"/>
        <v>8.3232661655851109E-3</v>
      </c>
    </row>
    <row r="890" spans="35:41" ht="12" customHeight="1">
      <c r="AI890" s="321">
        <v>881</v>
      </c>
      <c r="AJ890" s="321">
        <f t="shared" si="72"/>
        <v>3.0400000000000058</v>
      </c>
      <c r="AK890" s="321">
        <f t="shared" si="68"/>
        <v>1.7802730399618435E-3</v>
      </c>
      <c r="AL890" s="321">
        <f t="shared" si="69"/>
        <v>8.1398092475458914E-3</v>
      </c>
      <c r="AN890" s="321" t="e">
        <f t="shared" si="70"/>
        <v>#N/A</v>
      </c>
      <c r="AO890" s="321">
        <f t="shared" si="71"/>
        <v>8.1398092475458914E-3</v>
      </c>
    </row>
    <row r="891" spans="35:41" ht="12" customHeight="1">
      <c r="AI891" s="321">
        <v>882</v>
      </c>
      <c r="AJ891" s="321">
        <f t="shared" si="72"/>
        <v>3.0480000000000058</v>
      </c>
      <c r="AK891" s="321">
        <f t="shared" si="68"/>
        <v>1.7339720263303544E-3</v>
      </c>
      <c r="AL891" s="321">
        <f t="shared" si="69"/>
        <v>7.9598865383410516E-3</v>
      </c>
      <c r="AN891" s="321" t="e">
        <f t="shared" si="70"/>
        <v>#N/A</v>
      </c>
      <c r="AO891" s="321">
        <f t="shared" si="71"/>
        <v>7.9598865383410516E-3</v>
      </c>
    </row>
    <row r="892" spans="35:41" ht="12" customHeight="1">
      <c r="AI892" s="321">
        <v>883</v>
      </c>
      <c r="AJ892" s="321">
        <f t="shared" si="72"/>
        <v>3.0560000000000058</v>
      </c>
      <c r="AK892" s="321">
        <f t="shared" si="68"/>
        <v>1.6887671163873285E-3</v>
      </c>
      <c r="AL892" s="321">
        <f t="shared" si="69"/>
        <v>7.7834426925085026E-3</v>
      </c>
      <c r="AN892" s="321" t="e">
        <f t="shared" si="70"/>
        <v>#N/A</v>
      </c>
      <c r="AO892" s="321">
        <f t="shared" si="71"/>
        <v>7.7834426925085026E-3</v>
      </c>
    </row>
    <row r="893" spans="35:41" ht="12" customHeight="1">
      <c r="AI893" s="321">
        <v>884</v>
      </c>
      <c r="AJ893" s="321">
        <f t="shared" si="72"/>
        <v>3.0640000000000058</v>
      </c>
      <c r="AK893" s="321">
        <f t="shared" si="68"/>
        <v>1.6446354451675554E-3</v>
      </c>
      <c r="AL893" s="321">
        <f t="shared" si="69"/>
        <v>7.6104229291601277E-3</v>
      </c>
      <c r="AN893" s="321" t="e">
        <f t="shared" si="70"/>
        <v>#N/A</v>
      </c>
      <c r="AO893" s="321">
        <f t="shared" si="71"/>
        <v>7.6104229291601277E-3</v>
      </c>
    </row>
    <row r="894" spans="35:41" ht="12" customHeight="1">
      <c r="AI894" s="321">
        <v>885</v>
      </c>
      <c r="AJ894" s="321">
        <f t="shared" si="72"/>
        <v>3.0720000000000058</v>
      </c>
      <c r="AK894" s="321">
        <f t="shared" si="68"/>
        <v>1.6015545411488695E-3</v>
      </c>
      <c r="AL894" s="321">
        <f t="shared" si="69"/>
        <v>7.4407730333346089E-3</v>
      </c>
      <c r="AN894" s="321" t="e">
        <f t="shared" si="70"/>
        <v>#N/A</v>
      </c>
      <c r="AO894" s="321">
        <f t="shared" si="71"/>
        <v>7.4407730333346089E-3</v>
      </c>
    </row>
    <row r="895" spans="35:41" ht="12" customHeight="1">
      <c r="AI895" s="321">
        <v>886</v>
      </c>
      <c r="AJ895" s="321">
        <f t="shared" si="72"/>
        <v>3.0800000000000058</v>
      </c>
      <c r="AK895" s="321">
        <f t="shared" si="68"/>
        <v>1.5595023216476607E-3</v>
      </c>
      <c r="AL895" s="321">
        <f t="shared" si="69"/>
        <v>7.2744393571410994E-3</v>
      </c>
      <c r="AN895" s="321" t="e">
        <f t="shared" si="70"/>
        <v>#N/A</v>
      </c>
      <c r="AO895" s="321">
        <f t="shared" si="71"/>
        <v>7.2744393571410994E-3</v>
      </c>
    </row>
    <row r="896" spans="35:41" ht="12" customHeight="1">
      <c r="AI896" s="321">
        <v>887</v>
      </c>
      <c r="AJ896" s="321">
        <f t="shared" si="72"/>
        <v>3.0880000000000059</v>
      </c>
      <c r="AK896" s="321">
        <f t="shared" si="68"/>
        <v>1.518457088212073E-3</v>
      </c>
      <c r="AL896" s="321">
        <f t="shared" si="69"/>
        <v>7.1113688206980502E-3</v>
      </c>
      <c r="AN896" s="321" t="e">
        <f t="shared" si="70"/>
        <v>#N/A</v>
      </c>
      <c r="AO896" s="321">
        <f t="shared" si="71"/>
        <v>7.1113688206980502E-3</v>
      </c>
    </row>
    <row r="897" spans="35:41" ht="12" customHeight="1">
      <c r="AI897" s="321">
        <v>888</v>
      </c>
      <c r="AJ897" s="321">
        <f t="shared" si="72"/>
        <v>3.0960000000000059</v>
      </c>
      <c r="AK897" s="321">
        <f t="shared" si="68"/>
        <v>1.4783975220146804E-3</v>
      </c>
      <c r="AL897" s="321">
        <f t="shared" si="69"/>
        <v>6.9515089128713474E-3</v>
      </c>
      <c r="AN897" s="321" t="e">
        <f t="shared" si="70"/>
        <v>#N/A</v>
      </c>
      <c r="AO897" s="321">
        <f t="shared" si="71"/>
        <v>6.9515089128713474E-3</v>
      </c>
    </row>
    <row r="898" spans="35:41" ht="12" customHeight="1">
      <c r="AI898" s="321">
        <v>889</v>
      </c>
      <c r="AJ898" s="321">
        <f t="shared" si="72"/>
        <v>3.1040000000000059</v>
      </c>
      <c r="AK898" s="321">
        <f t="shared" si="68"/>
        <v>1.4393026792464275E-3</v>
      </c>
      <c r="AL898" s="321">
        <f t="shared" si="69"/>
        <v>6.7948076918159933E-3</v>
      </c>
      <c r="AN898" s="321" t="e">
        <f t="shared" si="70"/>
        <v>#N/A</v>
      </c>
      <c r="AO898" s="321">
        <f t="shared" si="71"/>
        <v>6.7948076918159933E-3</v>
      </c>
    </row>
    <row r="899" spans="35:41" ht="12" customHeight="1">
      <c r="AI899" s="321">
        <v>890</v>
      </c>
      <c r="AJ899" s="321">
        <f t="shared" si="72"/>
        <v>3.1120000000000059</v>
      </c>
      <c r="AK899" s="321">
        <f t="shared" si="68"/>
        <v>1.401151986513507E-3</v>
      </c>
      <c r="AL899" s="321">
        <f t="shared" si="69"/>
        <v>6.6412137853255077E-3</v>
      </c>
      <c r="AN899" s="321" t="e">
        <f t="shared" si="70"/>
        <v>#N/A</v>
      </c>
      <c r="AO899" s="321">
        <f t="shared" si="71"/>
        <v>6.6412137853255077E-3</v>
      </c>
    </row>
    <row r="900" spans="35:41" ht="12" customHeight="1">
      <c r="AI900" s="321">
        <v>891</v>
      </c>
      <c r="AJ900" s="321">
        <f t="shared" si="72"/>
        <v>3.1200000000000059</v>
      </c>
      <c r="AK900" s="321">
        <f t="shared" si="68"/>
        <v>1.3639252362388768E-3</v>
      </c>
      <c r="AL900" s="321">
        <f t="shared" si="69"/>
        <v>6.4906763909932533E-3</v>
      </c>
      <c r="AN900" s="321" t="e">
        <f t="shared" si="70"/>
        <v>#N/A</v>
      </c>
      <c r="AO900" s="321">
        <f t="shared" si="71"/>
        <v>6.4906763909932533E-3</v>
      </c>
    </row>
    <row r="901" spans="35:41" ht="12" customHeight="1">
      <c r="AI901" s="321">
        <v>892</v>
      </c>
      <c r="AJ901" s="321">
        <f t="shared" si="72"/>
        <v>3.1280000000000059</v>
      </c>
      <c r="AK901" s="321">
        <f t="shared" si="68"/>
        <v>1.3276025820700209E-3</v>
      </c>
      <c r="AL901" s="321">
        <f t="shared" si="69"/>
        <v>6.3431452761898693E-3</v>
      </c>
      <c r="AN901" s="321" t="e">
        <f t="shared" si="70"/>
        <v>#N/A</v>
      </c>
      <c r="AO901" s="321">
        <f t="shared" si="71"/>
        <v>6.3431452761898693E-3</v>
      </c>
    </row>
    <row r="902" spans="35:41" ht="12" customHeight="1">
      <c r="AI902" s="321">
        <v>893</v>
      </c>
      <c r="AJ902" s="321">
        <f t="shared" si="72"/>
        <v>3.1360000000000059</v>
      </c>
      <c r="AK902" s="321">
        <f t="shared" si="68"/>
        <v>1.2921645342945185E-3</v>
      </c>
      <c r="AL902" s="321">
        <f t="shared" si="69"/>
        <v>6.1985707778609393E-3</v>
      </c>
      <c r="AN902" s="321" t="e">
        <f t="shared" si="70"/>
        <v>#N/A</v>
      </c>
      <c r="AO902" s="321">
        <f t="shared" si="71"/>
        <v>6.1985707778609393E-3</v>
      </c>
    </row>
    <row r="903" spans="35:41" ht="12" customHeight="1">
      <c r="AI903" s="321">
        <v>894</v>
      </c>
      <c r="AJ903" s="321">
        <f t="shared" si="72"/>
        <v>3.1440000000000059</v>
      </c>
      <c r="AK903" s="321">
        <f t="shared" si="68"/>
        <v>1.2575919552649728E-3</v>
      </c>
      <c r="AL903" s="321">
        <f t="shared" si="69"/>
        <v>6.0569038021491221E-3</v>
      </c>
      <c r="AN903" s="321" t="e">
        <f t="shared" si="70"/>
        <v>#N/A</v>
      </c>
      <c r="AO903" s="321">
        <f t="shared" si="71"/>
        <v>6.0569038021491221E-3</v>
      </c>
    </row>
    <row r="904" spans="35:41" ht="12" customHeight="1">
      <c r="AI904" s="321">
        <v>895</v>
      </c>
      <c r="AJ904" s="321">
        <f t="shared" si="72"/>
        <v>3.1520000000000059</v>
      </c>
      <c r="AK904" s="321">
        <f t="shared" si="68"/>
        <v>1.2238660548347673E-3</v>
      </c>
      <c r="AL904" s="321">
        <f t="shared" si="69"/>
        <v>5.9180958238448005E-3</v>
      </c>
      <c r="AN904" s="321" t="e">
        <f t="shared" si="70"/>
        <v>#N/A</v>
      </c>
      <c r="AO904" s="321">
        <f t="shared" si="71"/>
        <v>5.9180958238448005E-3</v>
      </c>
    </row>
    <row r="905" spans="35:41" ht="12" customHeight="1">
      <c r="AI905" s="321">
        <v>896</v>
      </c>
      <c r="AJ905" s="321">
        <f t="shared" si="72"/>
        <v>3.1600000000000059</v>
      </c>
      <c r="AK905" s="321">
        <f t="shared" si="68"/>
        <v>1.1909683858060934E-3</v>
      </c>
      <c r="AL905" s="321">
        <f t="shared" si="69"/>
        <v>5.782098885669374E-3</v>
      </c>
      <c r="AN905" s="321" t="e">
        <f t="shared" si="70"/>
        <v>#N/A</v>
      </c>
      <c r="AO905" s="321">
        <f t="shared" si="71"/>
        <v>5.782098885669374E-3</v>
      </c>
    </row>
    <row r="906" spans="35:41" ht="12" customHeight="1">
      <c r="AI906" s="321">
        <v>897</v>
      </c>
      <c r="AJ906" s="321">
        <f t="shared" si="72"/>
        <v>3.1680000000000059</v>
      </c>
      <c r="AK906" s="321">
        <f t="shared" ref="AK906:AK969" si="73">NORMDIST(AJ906,$AH$26,$AH$28,FALSE)</f>
        <v>1.1588808393916492E-3</v>
      </c>
      <c r="AL906" s="321">
        <f t="shared" ref="AL906:AL969" si="74">NORMDIST(AJ906,$AH$27,$AH$28,FALSE)</f>
        <v>5.6488655973953817E-3</v>
      </c>
      <c r="AN906" s="321" t="e">
        <f t="shared" ref="AN906:AN969" si="75">IF(AND($AJ$7,$AH$27&gt;AJ906),AK906,NA())</f>
        <v>#N/A</v>
      </c>
      <c r="AO906" s="321">
        <f t="shared" ref="AO906:AO969" si="76">IF(AND($AJ$6,$AH$26&lt;AJ906+(drend-dlend)/$AO$6),AL906,NA())</f>
        <v>5.6488655973953817E-3</v>
      </c>
    </row>
    <row r="907" spans="35:41" ht="12" customHeight="1">
      <c r="AI907" s="321">
        <v>898</v>
      </c>
      <c r="AJ907" s="321">
        <f t="shared" ref="AJ907:AJ970" si="77">AJ906+$AL$7</f>
        <v>3.1760000000000059</v>
      </c>
      <c r="AK907" s="321">
        <f t="shared" si="73"/>
        <v>1.1275856406913571E-3</v>
      </c>
      <c r="AL907" s="321">
        <f t="shared" si="74"/>
        <v>5.5183491348073819E-3</v>
      </c>
      <c r="AN907" s="321" t="e">
        <f t="shared" si="75"/>
        <v>#N/A</v>
      </c>
      <c r="AO907" s="321">
        <f t="shared" si="76"/>
        <v>5.5183491348073819E-3</v>
      </c>
    </row>
    <row r="908" spans="35:41" ht="12" customHeight="1">
      <c r="AI908" s="321">
        <v>899</v>
      </c>
      <c r="AJ908" s="321">
        <f t="shared" si="77"/>
        <v>3.1840000000000059</v>
      </c>
      <c r="AK908" s="321">
        <f t="shared" si="73"/>
        <v>1.0970653441854097E-3</v>
      </c>
      <c r="AL908" s="321">
        <f t="shared" si="74"/>
        <v>5.3905032385077808E-3</v>
      </c>
      <c r="AN908" s="321" t="e">
        <f t="shared" si="75"/>
        <v>#N/A</v>
      </c>
      <c r="AO908" s="321">
        <f t="shared" si="76"/>
        <v>5.3905032385077808E-3</v>
      </c>
    </row>
    <row r="909" spans="35:41" ht="12" customHeight="1">
      <c r="AI909" s="321">
        <v>900</v>
      </c>
      <c r="AJ909" s="321">
        <f t="shared" si="77"/>
        <v>3.1920000000000059</v>
      </c>
      <c r="AK909" s="321">
        <f t="shared" si="73"/>
        <v>1.0673028292449204E-3</v>
      </c>
      <c r="AL909" s="321">
        <f t="shared" si="74"/>
        <v>5.2652822125715476E-3</v>
      </c>
      <c r="AN909" s="321" t="e">
        <f t="shared" si="75"/>
        <v>#N/A</v>
      </c>
      <c r="AO909" s="321">
        <f t="shared" si="76"/>
        <v>5.2652822125715476E-3</v>
      </c>
    </row>
    <row r="910" spans="35:41" ht="12" customHeight="1">
      <c r="AI910" s="321">
        <v>901</v>
      </c>
      <c r="AJ910" s="321">
        <f t="shared" si="77"/>
        <v>3.200000000000006</v>
      </c>
      <c r="AK910" s="321">
        <f t="shared" si="73"/>
        <v>1.03828129566139E-3</v>
      </c>
      <c r="AL910" s="321">
        <f t="shared" si="74"/>
        <v>5.1426409230538516E-3</v>
      </c>
      <c r="AN910" s="321" t="e">
        <f t="shared" si="75"/>
        <v>#N/A</v>
      </c>
      <c r="AO910" s="321">
        <f t="shared" si="76"/>
        <v>5.1426409230538516E-3</v>
      </c>
    </row>
    <row r="911" spans="35:41" ht="12" customHeight="1">
      <c r="AI911" s="321">
        <v>902</v>
      </c>
      <c r="AJ911" s="321">
        <f t="shared" si="77"/>
        <v>3.208000000000006</v>
      </c>
      <c r="AK911" s="321">
        <f t="shared" si="73"/>
        <v>1.0099842591961793E-3</v>
      </c>
      <c r="AL911" s="321">
        <f t="shared" si="74"/>
        <v>5.0225347963545946E-3</v>
      </c>
      <c r="AN911" s="321" t="e">
        <f t="shared" si="75"/>
        <v>#N/A</v>
      </c>
      <c r="AO911" s="321">
        <f t="shared" si="76"/>
        <v>5.0225347963545946E-3</v>
      </c>
    </row>
    <row r="912" spans="35:41" ht="12" customHeight="1">
      <c r="AI912" s="321">
        <v>903</v>
      </c>
      <c r="AJ912" s="321">
        <f t="shared" si="77"/>
        <v>3.216000000000006</v>
      </c>
      <c r="AK912" s="321">
        <f t="shared" si="73"/>
        <v>9.8239554715114021E-4</v>
      </c>
      <c r="AL912" s="321">
        <f t="shared" si="74"/>
        <v>4.9049198174437739E-3</v>
      </c>
      <c r="AN912" s="321" t="e">
        <f t="shared" si="75"/>
        <v>#N/A</v>
      </c>
      <c r="AO912" s="321">
        <f t="shared" si="76"/>
        <v>4.9049198174437739E-3</v>
      </c>
    </row>
    <row r="913" spans="35:41" ht="12" customHeight="1">
      <c r="AI913" s="321">
        <v>904</v>
      </c>
      <c r="AJ913" s="321">
        <f t="shared" si="77"/>
        <v>3.224000000000006</v>
      </c>
      <c r="AK913" s="321">
        <f t="shared" si="73"/>
        <v>9.5549929396148727E-4</v>
      </c>
      <c r="AL913" s="321">
        <f t="shared" si="74"/>
        <v>4.7897525279515995E-3</v>
      </c>
      <c r="AN913" s="321" t="e">
        <f t="shared" si="75"/>
        <v>#N/A</v>
      </c>
      <c r="AO913" s="321">
        <f t="shared" si="76"/>
        <v>4.7897525279515995E-3</v>
      </c>
    </row>
    <row r="914" spans="35:41" ht="12" customHeight="1">
      <c r="AI914" s="321">
        <v>905</v>
      </c>
      <c r="AJ914" s="321">
        <f t="shared" si="77"/>
        <v>3.232000000000006</v>
      </c>
      <c r="AK914" s="321">
        <f t="shared" si="73"/>
        <v>9.2927993681199005E-4</v>
      </c>
      <c r="AL914" s="321">
        <f t="shared" si="74"/>
        <v>4.6769900241272408E-3</v>
      </c>
      <c r="AN914" s="321" t="e">
        <f t="shared" si="75"/>
        <v>#N/A</v>
      </c>
      <c r="AO914" s="321">
        <f t="shared" si="76"/>
        <v>4.6769900241272408E-3</v>
      </c>
    </row>
    <row r="915" spans="35:41" ht="12" customHeight="1">
      <c r="AI915" s="321">
        <v>906</v>
      </c>
      <c r="AJ915" s="321">
        <f t="shared" si="77"/>
        <v>3.240000000000006</v>
      </c>
      <c r="AK915" s="321">
        <f t="shared" si="73"/>
        <v>9.0372221127750594E-4</v>
      </c>
      <c r="AL915" s="321">
        <f t="shared" si="74"/>
        <v>4.5665899546700629E-3</v>
      </c>
      <c r="AN915" s="321" t="e">
        <f t="shared" si="75"/>
        <v>#N/A</v>
      </c>
      <c r="AO915" s="321">
        <f t="shared" si="76"/>
        <v>4.5665899546700629E-3</v>
      </c>
    </row>
    <row r="916" spans="35:41" ht="12" customHeight="1">
      <c r="AI916" s="321">
        <v>907</v>
      </c>
      <c r="AJ916" s="321">
        <f t="shared" si="77"/>
        <v>3.248000000000006</v>
      </c>
      <c r="AK916" s="321">
        <f t="shared" si="73"/>
        <v>8.7881114698882667E-4</v>
      </c>
      <c r="AL916" s="321">
        <f t="shared" si="74"/>
        <v>4.4585105184371662E-3</v>
      </c>
      <c r="AN916" s="321" t="e">
        <f t="shared" si="75"/>
        <v>#N/A</v>
      </c>
      <c r="AO916" s="321">
        <f t="shared" si="76"/>
        <v>4.4585105184371662E-3</v>
      </c>
    </row>
    <row r="917" spans="35:41" ht="12" customHeight="1">
      <c r="AI917" s="321">
        <v>908</v>
      </c>
      <c r="AJ917" s="321">
        <f t="shared" si="77"/>
        <v>3.256000000000006</v>
      </c>
      <c r="AK917" s="321">
        <f t="shared" si="73"/>
        <v>8.5453206332480164E-4</v>
      </c>
      <c r="AL917" s="321">
        <f t="shared" si="74"/>
        <v>4.3527104620309891E-3</v>
      </c>
      <c r="AN917" s="321" t="e">
        <f t="shared" si="75"/>
        <v>#N/A</v>
      </c>
      <c r="AO917" s="321">
        <f t="shared" si="76"/>
        <v>4.3527104620309891E-3</v>
      </c>
    </row>
    <row r="918" spans="35:41" ht="12" customHeight="1">
      <c r="AI918" s="321">
        <v>909</v>
      </c>
      <c r="AJ918" s="321">
        <f t="shared" si="77"/>
        <v>3.264000000000006</v>
      </c>
      <c r="AK918" s="321">
        <f t="shared" si="73"/>
        <v>8.308705651316363E-4</v>
      </c>
      <c r="AL918" s="321">
        <f t="shared" si="74"/>
        <v>4.2491490772707816E-3</v>
      </c>
      <c r="AN918" s="321" t="e">
        <f t="shared" si="75"/>
        <v>#N/A</v>
      </c>
      <c r="AO918" s="321">
        <f t="shared" si="76"/>
        <v>4.2491490772707816E-3</v>
      </c>
    </row>
    <row r="919" spans="35:41" ht="12" customHeight="1">
      <c r="AI919" s="321">
        <v>910</v>
      </c>
      <c r="AJ919" s="321">
        <f t="shared" si="77"/>
        <v>3.272000000000006</v>
      </c>
      <c r="AK919" s="321">
        <f t="shared" si="73"/>
        <v>8.0781253847023865E-4</v>
      </c>
      <c r="AL919" s="321">
        <f t="shared" si="74"/>
        <v>4.1477861985515646E-3</v>
      </c>
      <c r="AN919" s="321" t="e">
        <f t="shared" si="75"/>
        <v>#N/A</v>
      </c>
      <c r="AO919" s="321">
        <f t="shared" si="76"/>
        <v>4.1477861985515646E-3</v>
      </c>
    </row>
    <row r="920" spans="35:41" ht="12" customHeight="1">
      <c r="AI920" s="321">
        <v>911</v>
      </c>
      <c r="AJ920" s="321">
        <f t="shared" si="77"/>
        <v>3.280000000000006</v>
      </c>
      <c r="AK920" s="321">
        <f t="shared" si="73"/>
        <v>7.853441463924523E-4</v>
      </c>
      <c r="AL920" s="321">
        <f t="shared" si="74"/>
        <v>4.0485822000943536E-3</v>
      </c>
      <c r="AN920" s="321" t="e">
        <f t="shared" si="75"/>
        <v>#N/A</v>
      </c>
      <c r="AO920" s="321">
        <f t="shared" si="76"/>
        <v>4.0485822000943536E-3</v>
      </c>
    </row>
    <row r="921" spans="35:41" ht="12" customHeight="1">
      <c r="AI921" s="321">
        <v>912</v>
      </c>
      <c r="AJ921" s="321">
        <f t="shared" si="77"/>
        <v>3.288000000000006</v>
      </c>
      <c r="AK921" s="321">
        <f t="shared" si="73"/>
        <v>7.6345182474697477E-4</v>
      </c>
      <c r="AL921" s="321">
        <f t="shared" si="74"/>
        <v>3.9514979930911666E-3</v>
      </c>
      <c r="AN921" s="321" t="e">
        <f t="shared" si="75"/>
        <v>#N/A</v>
      </c>
      <c r="AO921" s="321">
        <f t="shared" si="76"/>
        <v>3.9514979930911666E-3</v>
      </c>
    </row>
    <row r="922" spans="35:41" ht="12" customHeight="1">
      <c r="AI922" s="321">
        <v>913</v>
      </c>
      <c r="AJ922" s="321">
        <f t="shared" si="77"/>
        <v>3.296000000000006</v>
      </c>
      <c r="AK922" s="321">
        <f t="shared" si="73"/>
        <v>7.4212227801571842E-4</v>
      </c>
      <c r="AL922" s="321">
        <f t="shared" si="74"/>
        <v>3.8564950227485055E-3</v>
      </c>
      <c r="AN922" s="321" t="e">
        <f t="shared" si="75"/>
        <v>#N/A</v>
      </c>
      <c r="AO922" s="321">
        <f t="shared" si="76"/>
        <v>3.8564950227485055E-3</v>
      </c>
    </row>
    <row r="923" spans="35:41" ht="12" customHeight="1">
      <c r="AI923" s="321">
        <v>914</v>
      </c>
      <c r="AJ923" s="321">
        <f t="shared" si="77"/>
        <v>3.304000000000006</v>
      </c>
      <c r="AK923" s="321">
        <f t="shared" si="73"/>
        <v>7.2134247518135935E-4</v>
      </c>
      <c r="AL923" s="321">
        <f t="shared" si="74"/>
        <v>3.7635352652328072E-3</v>
      </c>
      <c r="AN923" s="321" t="e">
        <f t="shared" si="75"/>
        <v>#N/A</v>
      </c>
      <c r="AO923" s="321">
        <f t="shared" si="76"/>
        <v>3.7635352652328072E-3</v>
      </c>
    </row>
    <row r="924" spans="35:41" ht="12" customHeight="1">
      <c r="AI924" s="321">
        <v>915</v>
      </c>
      <c r="AJ924" s="321">
        <f t="shared" si="77"/>
        <v>3.3120000000000061</v>
      </c>
      <c r="AK924" s="321">
        <f t="shared" si="73"/>
        <v>7.0109964562675145E-4</v>
      </c>
      <c r="AL924" s="321">
        <f t="shared" si="74"/>
        <v>3.6725812245213766E-3</v>
      </c>
      <c r="AN924" s="321" t="e">
        <f t="shared" si="75"/>
        <v>#N/A</v>
      </c>
      <c r="AO924" s="321">
        <f t="shared" si="76"/>
        <v>3.6725812245213766E-3</v>
      </c>
    </row>
    <row r="925" spans="35:41" ht="12" customHeight="1">
      <c r="AI925" s="321">
        <v>916</v>
      </c>
      <c r="AJ925" s="321">
        <f t="shared" si="77"/>
        <v>3.3200000000000061</v>
      </c>
      <c r="AK925" s="321">
        <f t="shared" si="73"/>
        <v>6.8138127506687683E-4</v>
      </c>
      <c r="AL925" s="321">
        <f t="shared" si="74"/>
        <v>3.5835959291622946E-3</v>
      </c>
      <c r="AN925" s="321" t="e">
        <f t="shared" si="75"/>
        <v>#N/A</v>
      </c>
      <c r="AO925" s="321">
        <f t="shared" si="76"/>
        <v>3.5835959291622946E-3</v>
      </c>
    </row>
    <row r="926" spans="35:41" ht="12" customHeight="1">
      <c r="AI926" s="321">
        <v>917</v>
      </c>
      <c r="AJ926" s="321">
        <f t="shared" si="77"/>
        <v>3.3280000000000061</v>
      </c>
      <c r="AK926" s="321">
        <f t="shared" si="73"/>
        <v>6.6217510151396735E-4</v>
      </c>
      <c r="AL926" s="321">
        <f t="shared" si="74"/>
        <v>3.4965429289466918E-3</v>
      </c>
      <c r="AN926" s="321" t="e">
        <f t="shared" si="75"/>
        <v>#N/A</v>
      </c>
      <c r="AO926" s="321">
        <f t="shared" si="76"/>
        <v>3.4965429289466918E-3</v>
      </c>
    </row>
    <row r="927" spans="35:41" ht="12" customHeight="1">
      <c r="AI927" s="321">
        <v>918</v>
      </c>
      <c r="AJ927" s="321">
        <f t="shared" si="77"/>
        <v>3.3360000000000061</v>
      </c>
      <c r="AK927" s="321">
        <f t="shared" si="73"/>
        <v>6.4346911127637736E-4</v>
      </c>
      <c r="AL927" s="321">
        <f t="shared" si="74"/>
        <v>3.4113862914967995E-3</v>
      </c>
      <c r="AN927" s="321" t="e">
        <f t="shared" si="75"/>
        <v>#N/A</v>
      </c>
      <c r="AO927" s="321">
        <f t="shared" si="76"/>
        <v>3.4113862914967995E-3</v>
      </c>
    </row>
    <row r="928" spans="35:41" ht="12" customHeight="1">
      <c r="AI928" s="321">
        <v>919</v>
      </c>
      <c r="AJ928" s="321">
        <f t="shared" si="77"/>
        <v>3.3440000000000061</v>
      </c>
      <c r="AK928" s="321">
        <f t="shared" si="73"/>
        <v>6.2525153499179138E-4</v>
      </c>
      <c r="AL928" s="321">
        <f t="shared" si="74"/>
        <v>3.3280905987730838E-3</v>
      </c>
      <c r="AN928" s="321" t="e">
        <f t="shared" si="75"/>
        <v>#N/A</v>
      </c>
      <c r="AO928" s="321">
        <f t="shared" si="76"/>
        <v>3.3280905987730838E-3</v>
      </c>
    </row>
    <row r="929" spans="35:41" ht="12" customHeight="1">
      <c r="AI929" s="321">
        <v>920</v>
      </c>
      <c r="AJ929" s="321">
        <f t="shared" si="77"/>
        <v>3.3520000000000061</v>
      </c>
      <c r="AK929" s="321">
        <f t="shared" si="73"/>
        <v>6.0751084369528921E-4</v>
      </c>
      <c r="AL929" s="321">
        <f t="shared" si="74"/>
        <v>3.246620943503772E-3</v>
      </c>
      <c r="AN929" s="321" t="e">
        <f t="shared" si="75"/>
        <v>#N/A</v>
      </c>
      <c r="AO929" s="321">
        <f t="shared" si="76"/>
        <v>3.246620943503772E-3</v>
      </c>
    </row>
    <row r="930" spans="35:41" ht="12" customHeight="1">
      <c r="AI930" s="321">
        <v>921</v>
      </c>
      <c r="AJ930" s="321">
        <f t="shared" si="77"/>
        <v>3.3600000000000061</v>
      </c>
      <c r="AK930" s="321">
        <f t="shared" si="73"/>
        <v>5.9023574492277249E-4</v>
      </c>
      <c r="AL930" s="321">
        <f t="shared" si="74"/>
        <v>3.1669429255400186E-3</v>
      </c>
      <c r="AN930" s="321" t="e">
        <f t="shared" si="75"/>
        <v>#N/A</v>
      </c>
      <c r="AO930" s="321">
        <f t="shared" si="76"/>
        <v>3.1669429255400186E-3</v>
      </c>
    </row>
    <row r="931" spans="35:41" ht="12" customHeight="1">
      <c r="AI931" s="321">
        <v>922</v>
      </c>
      <c r="AJ931" s="321">
        <f t="shared" si="77"/>
        <v>3.3680000000000061</v>
      </c>
      <c r="AK931" s="321">
        <f t="shared" si="73"/>
        <v>5.7341517885023277E-4</v>
      </c>
      <c r="AL931" s="321">
        <f t="shared" si="74"/>
        <v>3.0890226481398758E-3</v>
      </c>
      <c r="AN931" s="321" t="e">
        <f t="shared" si="75"/>
        <v>#N/A</v>
      </c>
      <c r="AO931" s="321">
        <f t="shared" si="76"/>
        <v>3.0890226481398758E-3</v>
      </c>
    </row>
    <row r="932" spans="35:41" ht="12" customHeight="1">
      <c r="AI932" s="321">
        <v>923</v>
      </c>
      <c r="AJ932" s="321">
        <f t="shared" si="77"/>
        <v>3.3760000000000061</v>
      </c>
      <c r="AK932" s="321">
        <f t="shared" si="73"/>
        <v>5.5703831446930036E-4</v>
      </c>
      <c r="AL932" s="321">
        <f t="shared" si="74"/>
        <v>3.0128267141842839E-3</v>
      </c>
      <c r="AN932" s="321" t="e">
        <f t="shared" si="75"/>
        <v>#N/A</v>
      </c>
      <c r="AO932" s="321">
        <f t="shared" si="76"/>
        <v>3.0128267141842839E-3</v>
      </c>
    </row>
    <row r="933" spans="35:41" ht="12" customHeight="1">
      <c r="AI933" s="321">
        <v>924</v>
      </c>
      <c r="AJ933" s="321">
        <f t="shared" si="77"/>
        <v>3.3840000000000061</v>
      </c>
      <c r="AK933" s="321">
        <f t="shared" si="73"/>
        <v>5.410945457994911E-4</v>
      </c>
      <c r="AL933" s="321">
        <f t="shared" si="74"/>
        <v>2.9383222223281005E-3</v>
      </c>
      <c r="AN933" s="321" t="e">
        <f t="shared" si="75"/>
        <v>#N/A</v>
      </c>
      <c r="AO933" s="321">
        <f t="shared" si="76"/>
        <v>2.9383222223281005E-3</v>
      </c>
    </row>
    <row r="934" spans="35:41" ht="12" customHeight="1">
      <c r="AI934" s="321">
        <v>925</v>
      </c>
      <c r="AJ934" s="321">
        <f t="shared" si="77"/>
        <v>3.3920000000000061</v>
      </c>
      <c r="AK934" s="321">
        <f t="shared" si="73"/>
        <v>5.2557348813753863E-4</v>
      </c>
      <c r="AL934" s="321">
        <f t="shared" si="74"/>
        <v>2.8654767630893183E-3</v>
      </c>
      <c r="AN934" s="321" t="e">
        <f t="shared" si="75"/>
        <v>#N/A</v>
      </c>
      <c r="AO934" s="321">
        <f t="shared" si="76"/>
        <v>2.8654767630893183E-3</v>
      </c>
    </row>
    <row r="935" spans="35:41" ht="12" customHeight="1">
      <c r="AI935" s="321">
        <v>926</v>
      </c>
      <c r="AJ935" s="321">
        <f t="shared" si="77"/>
        <v>3.4000000000000061</v>
      </c>
      <c r="AK935" s="321">
        <f t="shared" si="73"/>
        <v>5.1046497434417421E-4</v>
      </c>
      <c r="AL935" s="321">
        <f t="shared" si="74"/>
        <v>2.7942584148793921E-3</v>
      </c>
      <c r="AN935" s="321" t="e">
        <f t="shared" si="75"/>
        <v>#N/A</v>
      </c>
      <c r="AO935" s="321">
        <f t="shared" si="76"/>
        <v>2.7942584148793921E-3</v>
      </c>
    </row>
    <row r="936" spans="35:41" ht="12" customHeight="1">
      <c r="AI936" s="321">
        <v>927</v>
      </c>
      <c r="AJ936" s="321">
        <f t="shared" si="77"/>
        <v>3.4080000000000061</v>
      </c>
      <c r="AK936" s="321">
        <f t="shared" si="73"/>
        <v>4.9575905116868314E-4</v>
      </c>
      <c r="AL936" s="321">
        <f t="shared" si="74"/>
        <v>2.7246357399777054E-3</v>
      </c>
      <c r="AN936" s="321" t="e">
        <f t="shared" si="75"/>
        <v>#N/A</v>
      </c>
      <c r="AO936" s="321">
        <f t="shared" si="76"/>
        <v>2.7246357399777054E-3</v>
      </c>
    </row>
    <row r="937" spans="35:41" ht="12" customHeight="1">
      <c r="AI937" s="321">
        <v>928</v>
      </c>
      <c r="AJ937" s="321">
        <f t="shared" si="77"/>
        <v>3.4160000000000061</v>
      </c>
      <c r="AK937" s="321">
        <f t="shared" si="73"/>
        <v>4.8144597561155307E-4</v>
      </c>
      <c r="AL937" s="321">
        <f t="shared" si="74"/>
        <v>2.6565777804530501E-3</v>
      </c>
      <c r="AN937" s="321" t="e">
        <f t="shared" si="75"/>
        <v>#N/A</v>
      </c>
      <c r="AO937" s="321">
        <f t="shared" si="76"/>
        <v>2.6565777804530501E-3</v>
      </c>
    </row>
    <row r="938" spans="35:41" ht="12" customHeight="1">
      <c r="AI938" s="321">
        <v>929</v>
      </c>
      <c r="AJ938" s="321">
        <f t="shared" si="77"/>
        <v>3.4240000000000061</v>
      </c>
      <c r="AK938" s="321">
        <f t="shared" si="73"/>
        <v>4.6751621132548691E-4</v>
      </c>
      <c r="AL938" s="321">
        <f t="shared" si="74"/>
        <v>2.5900540540349905E-3</v>
      </c>
      <c r="AN938" s="321" t="e">
        <f t="shared" si="75"/>
        <v>#N/A</v>
      </c>
      <c r="AO938" s="321">
        <f t="shared" si="76"/>
        <v>2.5900540540349905E-3</v>
      </c>
    </row>
    <row r="939" spans="35:41" ht="12" customHeight="1">
      <c r="AI939" s="321">
        <v>930</v>
      </c>
      <c r="AJ939" s="321">
        <f t="shared" si="77"/>
        <v>3.4320000000000062</v>
      </c>
      <c r="AK939" s="321">
        <f t="shared" si="73"/>
        <v>4.5396042505504053E-4</v>
      </c>
      <c r="AL939" s="321">
        <f t="shared" si="74"/>
        <v>2.5250345499379314E-3</v>
      </c>
      <c r="AN939" s="321" t="e">
        <f t="shared" si="75"/>
        <v>#N/A</v>
      </c>
      <c r="AO939" s="321">
        <f t="shared" si="76"/>
        <v>2.5250345499379314E-3</v>
      </c>
    </row>
    <row r="940" spans="35:41" ht="12" customHeight="1">
      <c r="AI940" s="321">
        <v>931</v>
      </c>
      <c r="AJ940" s="321">
        <f t="shared" si="77"/>
        <v>3.4400000000000062</v>
      </c>
      <c r="AK940" s="321">
        <f t="shared" si="73"/>
        <v>4.4076948311512232E-4</v>
      </c>
      <c r="AL940" s="321">
        <f t="shared" si="74"/>
        <v>2.461489724640652E-3</v>
      </c>
      <c r="AN940" s="321" t="e">
        <f t="shared" si="75"/>
        <v>#N/A</v>
      </c>
      <c r="AO940" s="321">
        <f t="shared" si="76"/>
        <v>2.461489724640652E-3</v>
      </c>
    </row>
    <row r="941" spans="35:41" ht="12" customHeight="1">
      <c r="AI941" s="321">
        <v>932</v>
      </c>
      <c r="AJ941" s="321">
        <f t="shared" si="77"/>
        <v>3.4480000000000062</v>
      </c>
      <c r="AK941" s="321">
        <f t="shared" si="73"/>
        <v>4.2793444790855268E-4</v>
      </c>
      <c r="AL941" s="321">
        <f t="shared" si="74"/>
        <v>2.3993904976240183E-3</v>
      </c>
      <c r="AN941" s="321" t="e">
        <f t="shared" si="75"/>
        <v>#N/A</v>
      </c>
      <c r="AO941" s="321">
        <f t="shared" si="76"/>
        <v>2.3993904976240183E-3</v>
      </c>
    </row>
    <row r="942" spans="35:41" ht="12" customHeight="1">
      <c r="AI942" s="321">
        <v>933</v>
      </c>
      <c r="AJ942" s="321">
        <f t="shared" si="77"/>
        <v>3.4560000000000062</v>
      </c>
      <c r="AK942" s="321">
        <f t="shared" si="73"/>
        <v>4.154465744828784E-4</v>
      </c>
      <c r="AL942" s="321">
        <f t="shared" si="74"/>
        <v>2.3387082470695403E-3</v>
      </c>
      <c r="AN942" s="321" t="e">
        <f t="shared" si="75"/>
        <v>#N/A</v>
      </c>
      <c r="AO942" s="321">
        <f t="shared" si="76"/>
        <v>2.3387082470695403E-3</v>
      </c>
    </row>
    <row r="943" spans="35:41" ht="12" customHeight="1">
      <c r="AI943" s="321">
        <v>934</v>
      </c>
      <c r="AJ943" s="321">
        <f t="shared" si="77"/>
        <v>3.4640000000000062</v>
      </c>
      <c r="AK943" s="321">
        <f t="shared" si="73"/>
        <v>4.0329730712659743E-4</v>
      </c>
      <c r="AL943" s="321">
        <f t="shared" si="74"/>
        <v>2.2794148055213996E-3</v>
      </c>
      <c r="AN943" s="321" t="e">
        <f t="shared" si="75"/>
        <v>#N/A</v>
      </c>
      <c r="AO943" s="321">
        <f t="shared" si="76"/>
        <v>2.2794148055213996E-3</v>
      </c>
    </row>
    <row r="944" spans="35:41" ht="12" customHeight="1">
      <c r="AI944" s="321">
        <v>935</v>
      </c>
      <c r="AJ944" s="321">
        <f t="shared" si="77"/>
        <v>3.4720000000000062</v>
      </c>
      <c r="AK944" s="321">
        <f t="shared" si="73"/>
        <v>3.9147827600493902E-4</v>
      </c>
      <c r="AL944" s="321">
        <f t="shared" si="74"/>
        <v>2.2214824555144876E-3</v>
      </c>
      <c r="AN944" s="321" t="e">
        <f t="shared" si="75"/>
        <v>#N/A</v>
      </c>
      <c r="AO944" s="321">
        <f t="shared" si="76"/>
        <v>2.2214824555144876E-3</v>
      </c>
    </row>
    <row r="945" spans="35:41" ht="12" customHeight="1">
      <c r="AI945" s="321">
        <v>936</v>
      </c>
      <c r="AJ945" s="321">
        <f t="shared" si="77"/>
        <v>3.4800000000000062</v>
      </c>
      <c r="AK945" s="321">
        <f t="shared" si="73"/>
        <v>3.7998129383531263E-4</v>
      </c>
      <c r="AL945" s="321">
        <f t="shared" si="74"/>
        <v>2.1648839251710177E-3</v>
      </c>
      <c r="AN945" s="321" t="e">
        <f t="shared" si="75"/>
        <v>#N/A</v>
      </c>
      <c r="AO945" s="321">
        <f t="shared" si="76"/>
        <v>2.1648839251710177E-3</v>
      </c>
    </row>
    <row r="946" spans="35:41" ht="12" customHeight="1">
      <c r="AI946" s="321">
        <v>937</v>
      </c>
      <c r="AJ946" s="321">
        <f t="shared" si="77"/>
        <v>3.4880000000000062</v>
      </c>
      <c r="AK946" s="321">
        <f t="shared" si="73"/>
        <v>3.6879835260252827E-4</v>
      </c>
      <c r="AL946" s="321">
        <f t="shared" si="74"/>
        <v>2.109592383768124E-3</v>
      </c>
      <c r="AN946" s="321" t="e">
        <f t="shared" si="75"/>
        <v>#N/A</v>
      </c>
      <c r="AO946" s="321">
        <f t="shared" si="76"/>
        <v>2.109592383768124E-3</v>
      </c>
    </row>
    <row r="947" spans="35:41" ht="12" customHeight="1">
      <c r="AI947" s="321">
        <v>938</v>
      </c>
      <c r="AJ947" s="321">
        <f t="shared" si="77"/>
        <v>3.4960000000000062</v>
      </c>
      <c r="AK947" s="321">
        <f t="shared" si="73"/>
        <v>3.5792162031386362E-4</v>
      </c>
      <c r="AL947" s="321">
        <f t="shared" si="74"/>
        <v>2.0555814372788957E-3</v>
      </c>
      <c r="AN947" s="321" t="e">
        <f t="shared" si="75"/>
        <v>#N/A</v>
      </c>
      <c r="AO947" s="321">
        <f t="shared" si="76"/>
        <v>2.0555814372788957E-3</v>
      </c>
    </row>
    <row r="948" spans="35:41" ht="12" customHeight="1">
      <c r="AI948" s="321">
        <v>939</v>
      </c>
      <c r="AJ948" s="321">
        <f t="shared" si="77"/>
        <v>3.5040000000000062</v>
      </c>
      <c r="AK948" s="321">
        <f t="shared" si="73"/>
        <v>3.4734343779403416E-4</v>
      </c>
      <c r="AL948" s="321">
        <f t="shared" si="74"/>
        <v>2.0028251238892129E-3</v>
      </c>
      <c r="AN948" s="321" t="e">
        <f t="shared" si="75"/>
        <v>#N/A</v>
      </c>
      <c r="AO948" s="321">
        <f t="shared" si="76"/>
        <v>2.0028251238892129E-3</v>
      </c>
    </row>
    <row r="949" spans="35:41" ht="12" customHeight="1">
      <c r="AI949" s="321">
        <v>940</v>
      </c>
      <c r="AJ949" s="321">
        <f t="shared" si="77"/>
        <v>3.5120000000000062</v>
      </c>
      <c r="AK949" s="321">
        <f t="shared" si="73"/>
        <v>3.3705631552010507E-4</v>
      </c>
      <c r="AL949" s="321">
        <f t="shared" si="74"/>
        <v>1.9512979094927002E-3</v>
      </c>
      <c r="AN949" s="321" t="e">
        <f t="shared" si="75"/>
        <v>#N/A</v>
      </c>
      <c r="AO949" s="321">
        <f t="shared" si="76"/>
        <v>1.9512979094927002E-3</v>
      </c>
    </row>
    <row r="950" spans="35:41" ht="12" customHeight="1">
      <c r="AI950" s="321">
        <v>941</v>
      </c>
      <c r="AJ950" s="321">
        <f t="shared" si="77"/>
        <v>3.5200000000000062</v>
      </c>
      <c r="AK950" s="321">
        <f t="shared" si="73"/>
        <v>3.2705293049636712E-4</v>
      </c>
      <c r="AL950" s="321">
        <f t="shared" si="74"/>
        <v>1.9009746831660413E-3</v>
      </c>
      <c r="AN950" s="321" t="e">
        <f t="shared" si="75"/>
        <v>#N/A</v>
      </c>
      <c r="AO950" s="321">
        <f t="shared" si="76"/>
        <v>1.9009746831660413E-3</v>
      </c>
    </row>
    <row r="951" spans="35:41" ht="12" customHeight="1">
      <c r="AI951" s="321">
        <v>942</v>
      </c>
      <c r="AJ951" s="321">
        <f t="shared" si="77"/>
        <v>3.5280000000000062</v>
      </c>
      <c r="AK951" s="321">
        <f t="shared" si="73"/>
        <v>3.1732612316917233E-4</v>
      </c>
      <c r="AL951" s="321">
        <f t="shared" si="74"/>
        <v>1.8518307526269151E-3</v>
      </c>
      <c r="AN951" s="321" t="e">
        <f t="shared" si="75"/>
        <v>#N/A</v>
      </c>
      <c r="AO951" s="321">
        <f t="shared" si="76"/>
        <v>1.8518307526269151E-3</v>
      </c>
    </row>
    <row r="952" spans="35:41" ht="12" customHeight="1">
      <c r="AI952" s="321">
        <v>943</v>
      </c>
      <c r="AJ952" s="321">
        <f t="shared" si="77"/>
        <v>3.5360000000000062</v>
      </c>
      <c r="AK952" s="321">
        <f t="shared" si="73"/>
        <v>3.0786889438171635E-4</v>
      </c>
      <c r="AL952" s="321">
        <f t="shared" si="74"/>
        <v>1.8038418396766921E-3</v>
      </c>
      <c r="AN952" s="321" t="e">
        <f t="shared" si="75"/>
        <v>#N/A</v>
      </c>
      <c r="AO952" s="321">
        <f t="shared" si="76"/>
        <v>1.8038418396766921E-3</v>
      </c>
    </row>
    <row r="953" spans="35:41" ht="12" customHeight="1">
      <c r="AI953" s="321">
        <v>944</v>
      </c>
      <c r="AJ953" s="321">
        <f t="shared" si="77"/>
        <v>3.5440000000000063</v>
      </c>
      <c r="AK953" s="321">
        <f t="shared" si="73"/>
        <v>2.9867440236873546E-4</v>
      </c>
      <c r="AL953" s="321">
        <f t="shared" si="74"/>
        <v>1.7569840756300184E-3</v>
      </c>
      <c r="AN953" s="321" t="e">
        <f t="shared" si="75"/>
        <v>#N/A</v>
      </c>
      <c r="AO953" s="321">
        <f t="shared" si="76"/>
        <v>1.7569840756300184E-3</v>
      </c>
    </row>
    <row r="954" spans="35:41" ht="12" customHeight="1">
      <c r="AI954" s="321">
        <v>945</v>
      </c>
      <c r="AJ954" s="321">
        <f t="shared" si="77"/>
        <v>3.5520000000000063</v>
      </c>
      <c r="AK954" s="321">
        <f t="shared" si="73"/>
        <v>2.897359597910619E-4</v>
      </c>
      <c r="AL954" s="321">
        <f t="shared" si="74"/>
        <v>1.7112339967333627E-3</v>
      </c>
      <c r="AN954" s="321" t="e">
        <f t="shared" si="75"/>
        <v>#N/A</v>
      </c>
      <c r="AO954" s="321">
        <f t="shared" si="76"/>
        <v>1.7112339967333627E-3</v>
      </c>
    </row>
    <row r="955" spans="35:41" ht="12" customHeight="1">
      <c r="AI955" s="321">
        <v>946</v>
      </c>
      <c r="AJ955" s="321">
        <f t="shared" si="77"/>
        <v>3.5600000000000063</v>
      </c>
      <c r="AK955" s="321">
        <f t="shared" si="73"/>
        <v>2.8104703080997955E-4</v>
      </c>
      <c r="AL955" s="321">
        <f t="shared" si="74"/>
        <v>1.6665685395745456E-3</v>
      </c>
      <c r="AN955" s="321" t="e">
        <f t="shared" si="75"/>
        <v>#N/A</v>
      </c>
      <c r="AO955" s="321">
        <f t="shared" si="76"/>
        <v>1.6665685395745456E-3</v>
      </c>
    </row>
    <row r="956" spans="35:41" ht="12" customHeight="1">
      <c r="AI956" s="321">
        <v>947</v>
      </c>
      <c r="AJ956" s="321">
        <f t="shared" si="77"/>
        <v>3.5680000000000063</v>
      </c>
      <c r="AK956" s="321">
        <f t="shared" si="73"/>
        <v>2.7260122820128862E-4</v>
      </c>
      <c r="AL956" s="321">
        <f t="shared" si="74"/>
        <v>1.6229650364852233E-3</v>
      </c>
      <c r="AN956" s="321" t="e">
        <f t="shared" si="75"/>
        <v>#N/A</v>
      </c>
      <c r="AO956" s="321">
        <f t="shared" si="76"/>
        <v>1.6229650364852233E-3</v>
      </c>
    </row>
    <row r="957" spans="35:41" ht="12" customHeight="1">
      <c r="AI957" s="321">
        <v>948</v>
      </c>
      <c r="AJ957" s="321">
        <f t="shared" si="77"/>
        <v>3.5760000000000063</v>
      </c>
      <c r="AK957" s="321">
        <f t="shared" si="73"/>
        <v>2.643923105089912E-4</v>
      </c>
      <c r="AL957" s="321">
        <f t="shared" si="74"/>
        <v>1.5804012109382577E-3</v>
      </c>
      <c r="AN957" s="321" t="e">
        <f t="shared" si="75"/>
        <v>#N/A</v>
      </c>
      <c r="AO957" s="321">
        <f t="shared" si="76"/>
        <v>1.5804012109382577E-3</v>
      </c>
    </row>
    <row r="958" spans="35:41" ht="12" customHeight="1">
      <c r="AI958" s="321">
        <v>949</v>
      </c>
      <c r="AJ958" s="321">
        <f t="shared" si="77"/>
        <v>3.5840000000000063</v>
      </c>
      <c r="AK958" s="321">
        <f t="shared" si="73"/>
        <v>2.5641417923847953E-4</v>
      </c>
      <c r="AL958" s="321">
        <f t="shared" si="74"/>
        <v>1.5388551729418362E-3</v>
      </c>
      <c r="AN958" s="321" t="e">
        <f t="shared" si="75"/>
        <v>#N/A</v>
      </c>
      <c r="AO958" s="321">
        <f t="shared" si="76"/>
        <v>1.5388551729418362E-3</v>
      </c>
    </row>
    <row r="959" spans="35:41" ht="12" customHeight="1">
      <c r="AI959" s="321">
        <v>950</v>
      </c>
      <c r="AJ959" s="321">
        <f t="shared" si="77"/>
        <v>3.5920000000000063</v>
      </c>
      <c r="AK959" s="321">
        <f t="shared" si="73"/>
        <v>2.4866087608910501E-4</v>
      </c>
      <c r="AL959" s="321">
        <f t="shared" si="74"/>
        <v>1.4983054144321983E-3</v>
      </c>
      <c r="AN959" s="321" t="e">
        <f t="shared" si="75"/>
        <v>#N/A</v>
      </c>
      <c r="AO959" s="321">
        <f t="shared" si="76"/>
        <v>1.4983054144321983E-3</v>
      </c>
    </row>
    <row r="960" spans="35:41" ht="12" customHeight="1">
      <c r="AI960" s="321">
        <v>951</v>
      </c>
      <c r="AJ960" s="321">
        <f t="shared" si="77"/>
        <v>3.6000000000000063</v>
      </c>
      <c r="AK960" s="321">
        <f t="shared" si="73"/>
        <v>2.4112658022598763E-4</v>
      </c>
      <c r="AL960" s="321">
        <f t="shared" si="74"/>
        <v>1.4587308046667146E-3</v>
      </c>
      <c r="AN960" s="321" t="e">
        <f t="shared" si="75"/>
        <v>#N/A</v>
      </c>
      <c r="AO960" s="321">
        <f t="shared" si="76"/>
        <v>1.4587308046667146E-3</v>
      </c>
    </row>
    <row r="961" spans="35:41" ht="12" customHeight="1">
      <c r="AI961" s="321">
        <v>952</v>
      </c>
      <c r="AJ961" s="321">
        <f t="shared" si="77"/>
        <v>3.6080000000000063</v>
      </c>
      <c r="AK961" s="321">
        <f t="shared" si="73"/>
        <v>2.3380560559091101E-4</v>
      </c>
      <c r="AL961" s="321">
        <f t="shared" si="74"/>
        <v>1.4201105856190941E-3</v>
      </c>
      <c r="AN961" s="321" t="e">
        <f t="shared" si="75"/>
        <v>#N/A</v>
      </c>
      <c r="AO961" s="321">
        <f t="shared" si="76"/>
        <v>1.4201105856190941E-3</v>
      </c>
    </row>
    <row r="962" spans="35:41" ht="12" customHeight="1">
      <c r="AI962" s="321">
        <v>953</v>
      </c>
      <c r="AJ962" s="321">
        <f t="shared" si="77"/>
        <v>3.6160000000000063</v>
      </c>
      <c r="AK962" s="321">
        <f t="shared" si="73"/>
        <v>2.2669239825214393E-4</v>
      </c>
      <c r="AL962" s="321">
        <f t="shared" si="74"/>
        <v>1.3824243673783703E-3</v>
      </c>
      <c r="AN962" s="321" t="e">
        <f t="shared" si="75"/>
        <v>#N/A</v>
      </c>
      <c r="AO962" s="321">
        <f t="shared" si="76"/>
        <v>1.3824243673783703E-3</v>
      </c>
    </row>
    <row r="963" spans="35:41" ht="12" customHeight="1">
      <c r="AI963" s="321">
        <v>954</v>
      </c>
      <c r="AJ963" s="321">
        <f t="shared" si="77"/>
        <v>3.6240000000000063</v>
      </c>
      <c r="AK963" s="321">
        <f t="shared" si="73"/>
        <v>2.197815337930047E-4</v>
      </c>
      <c r="AL963" s="321">
        <f t="shared" si="74"/>
        <v>1.3456521235533402E-3</v>
      </c>
      <c r="AN963" s="321" t="e">
        <f t="shared" si="75"/>
        <v>#N/A</v>
      </c>
      <c r="AO963" s="321">
        <f t="shared" si="76"/>
        <v>1.3456521235533402E-3</v>
      </c>
    </row>
    <row r="964" spans="35:41" ht="12" customHeight="1">
      <c r="AI964" s="321">
        <v>955</v>
      </c>
      <c r="AJ964" s="321">
        <f t="shared" si="77"/>
        <v>3.6320000000000063</v>
      </c>
      <c r="AK964" s="321">
        <f t="shared" si="73"/>
        <v>2.1306771473898336E-4</v>
      </c>
      <c r="AL964" s="321">
        <f t="shared" si="74"/>
        <v>1.3097741866840412E-3</v>
      </c>
      <c r="AN964" s="321" t="e">
        <f t="shared" si="75"/>
        <v>#N/A</v>
      </c>
      <c r="AO964" s="321">
        <f t="shared" si="76"/>
        <v>1.3097741866840412E-3</v>
      </c>
    </row>
    <row r="965" spans="35:41" ht="12" customHeight="1">
      <c r="AI965" s="321">
        <v>956</v>
      </c>
      <c r="AJ965" s="321">
        <f t="shared" si="77"/>
        <v>3.6400000000000063</v>
      </c>
      <c r="AK965" s="321">
        <f t="shared" si="73"/>
        <v>2.0654576802322052E-4</v>
      </c>
      <c r="AL965" s="321">
        <f t="shared" si="74"/>
        <v>1.2747712436618054E-3</v>
      </c>
      <c r="AN965" s="321" t="e">
        <f t="shared" si="75"/>
        <v>#N/A</v>
      </c>
      <c r="AO965" s="321">
        <f t="shared" si="76"/>
        <v>1.2747712436618054E-3</v>
      </c>
    </row>
    <row r="966" spans="35:41" ht="12" customHeight="1">
      <c r="AI966" s="321">
        <v>957</v>
      </c>
      <c r="AJ966" s="321">
        <f t="shared" si="77"/>
        <v>3.6480000000000063</v>
      </c>
      <c r="AK966" s="321">
        <f t="shared" si="73"/>
        <v>2.002106424901305E-4</v>
      </c>
      <c r="AL966" s="321">
        <f t="shared" si="74"/>
        <v>1.2406243311594229E-3</v>
      </c>
      <c r="AN966" s="321" t="e">
        <f t="shared" si="75"/>
        <v>#N/A</v>
      </c>
      <c r="AO966" s="321">
        <f t="shared" si="76"/>
        <v>1.2406243311594229E-3</v>
      </c>
    </row>
    <row r="967" spans="35:41" ht="12" customHeight="1">
      <c r="AI967" s="321">
        <v>958</v>
      </c>
      <c r="AJ967" s="321">
        <f t="shared" si="77"/>
        <v>3.6560000000000064</v>
      </c>
      <c r="AK967" s="321">
        <f t="shared" si="73"/>
        <v>1.9405740643695113E-4</v>
      </c>
      <c r="AL967" s="321">
        <f t="shared" si="74"/>
        <v>1.2073148310728558E-3</v>
      </c>
      <c r="AN967" s="321" t="e">
        <f t="shared" si="75"/>
        <v>#N/A</v>
      </c>
      <c r="AO967" s="321">
        <f t="shared" si="76"/>
        <v>1.2073148310728558E-3</v>
      </c>
    </row>
    <row r="968" spans="35:41" ht="12" customHeight="1">
      <c r="AI968" s="321">
        <v>959</v>
      </c>
      <c r="AJ968" s="321">
        <f t="shared" si="77"/>
        <v>3.6640000000000064</v>
      </c>
      <c r="AK968" s="321">
        <f t="shared" si="73"/>
        <v>1.880812451929835E-4</v>
      </c>
      <c r="AL968" s="321">
        <f t="shared" si="74"/>
        <v>1.1748244659759287E-3</v>
      </c>
      <c r="AN968" s="321" t="e">
        <f t="shared" si="75"/>
        <v>#N/A</v>
      </c>
      <c r="AO968" s="321">
        <f t="shared" si="76"/>
        <v>1.1748244659759287E-3</v>
      </c>
    </row>
    <row r="969" spans="35:41" ht="12" customHeight="1">
      <c r="AI969" s="321">
        <v>960</v>
      </c>
      <c r="AJ969" s="321">
        <f t="shared" si="77"/>
        <v>3.6720000000000064</v>
      </c>
      <c r="AK969" s="321">
        <f t="shared" si="73"/>
        <v>1.8227745873628537E-4</v>
      </c>
      <c r="AL969" s="321">
        <f t="shared" si="74"/>
        <v>1.1431352945893722E-3</v>
      </c>
      <c r="AN969" s="321" t="e">
        <f t="shared" si="75"/>
        <v>#N/A</v>
      </c>
      <c r="AO969" s="321">
        <f t="shared" si="76"/>
        <v>1.1431352945893722E-3</v>
      </c>
    </row>
    <row r="970" spans="35:41" ht="12" customHeight="1">
      <c r="AI970" s="321">
        <v>961</v>
      </c>
      <c r="AJ970" s="321">
        <f t="shared" si="77"/>
        <v>3.6800000000000064</v>
      </c>
      <c r="AK970" s="321">
        <f t="shared" ref="AK970:AK1010" si="78">NORMDIST(AJ970,$AH$26,$AH$28,FALSE)</f>
        <v>1.7664145934756647E-4</v>
      </c>
      <c r="AL970" s="321">
        <f t="shared" ref="AL970:AL1010" si="79">NORMDIST(AJ970,$AH$27,$AH$28,FALSE)</f>
        <v>1.112229707265541E-3</v>
      </c>
      <c r="AN970" s="321" t="e">
        <f t="shared" ref="AN970:AN1010" si="80">IF(AND($AJ$7,$AH$27&gt;AJ970),AK970,NA())</f>
        <v>#N/A</v>
      </c>
      <c r="AO970" s="321">
        <f t="shared" ref="AO970:AO1010" si="81">IF(AND($AJ$6,$AH$26&lt;AJ970+(drend-dlend)/$AO$6),AL970,NA())</f>
        <v>1.112229707265541E-3</v>
      </c>
    </row>
    <row r="971" spans="35:41" ht="12" customHeight="1">
      <c r="AI971" s="321">
        <v>962</v>
      </c>
      <c r="AJ971" s="321">
        <f t="shared" ref="AJ971:AJ1010" si="82">AJ970+$AL$7</f>
        <v>3.6880000000000064</v>
      </c>
      <c r="AK971" s="321">
        <f t="shared" si="78"/>
        <v>1.7116876930102574E-4</v>
      </c>
      <c r="AL971" s="321">
        <f t="shared" si="79"/>
        <v>1.0820904214901101E-3</v>
      </c>
      <c r="AN971" s="321" t="e">
        <f t="shared" si="80"/>
        <v>#N/A</v>
      </c>
      <c r="AO971" s="321">
        <f t="shared" si="81"/>
        <v>1.0820904214901101E-3</v>
      </c>
    </row>
    <row r="972" spans="35:41" ht="12" customHeight="1">
      <c r="AI972" s="321">
        <v>963</v>
      </c>
      <c r="AJ972" s="321">
        <f t="shared" si="82"/>
        <v>3.6960000000000064</v>
      </c>
      <c r="AK972" s="321">
        <f t="shared" si="78"/>
        <v>1.658550185918658E-4</v>
      </c>
      <c r="AL972" s="321">
        <f t="shared" si="79"/>
        <v>1.0527004774019799E-3</v>
      </c>
      <c r="AN972" s="321" t="e">
        <f t="shared" si="80"/>
        <v>#N/A</v>
      </c>
      <c r="AO972" s="321">
        <f t="shared" si="81"/>
        <v>1.0527004774019799E-3</v>
      </c>
    </row>
    <row r="973" spans="35:41" ht="12" customHeight="1">
      <c r="AI973" s="321">
        <v>964</v>
      </c>
      <c r="AJ973" s="321">
        <f t="shared" si="82"/>
        <v>3.7040000000000064</v>
      </c>
      <c r="AK973" s="321">
        <f t="shared" si="78"/>
        <v>1.6069594270020829E-4</v>
      </c>
      <c r="AL973" s="321">
        <f t="shared" si="79"/>
        <v>1.0240432333326001E-3</v>
      </c>
      <c r="AN973" s="321" t="e">
        <f t="shared" si="80"/>
        <v>#N/A</v>
      </c>
      <c r="AO973" s="321">
        <f t="shared" si="81"/>
        <v>1.0240432333326001E-3</v>
      </c>
    </row>
    <row r="974" spans="35:41" ht="12" customHeight="1">
      <c r="AI974" s="321">
        <v>965</v>
      </c>
      <c r="AJ974" s="321">
        <f t="shared" si="82"/>
        <v>3.7120000000000064</v>
      </c>
      <c r="AK974" s="321">
        <f t="shared" si="78"/>
        <v>1.5568738039112767E-4</v>
      </c>
      <c r="AL974" s="321">
        <f t="shared" si="79"/>
        <v>9.9610236136588536E-4</v>
      </c>
      <c r="AN974" s="321" t="e">
        <f t="shared" si="80"/>
        <v>#N/A</v>
      </c>
      <c r="AO974" s="321">
        <f t="shared" si="81"/>
        <v>9.9610236136588536E-4</v>
      </c>
    </row>
    <row r="975" spans="35:41" ht="12" customHeight="1">
      <c r="AI975" s="321">
        <v>966</v>
      </c>
      <c r="AJ975" s="321">
        <f t="shared" si="82"/>
        <v>3.7200000000000064</v>
      </c>
      <c r="AK975" s="321">
        <f t="shared" si="78"/>
        <v>1.5082527155051403E-4</v>
      </c>
      <c r="AL975" s="321">
        <f t="shared" si="79"/>
        <v>9.6886184291982433E-4</v>
      </c>
      <c r="AN975" s="321" t="e">
        <f t="shared" si="80"/>
        <v>#N/A</v>
      </c>
      <c r="AO975" s="321">
        <f t="shared" si="81"/>
        <v>9.6886184291982433E-4</v>
      </c>
    </row>
    <row r="976" spans="35:41" ht="12" customHeight="1">
      <c r="AI976" s="321">
        <v>967</v>
      </c>
      <c r="AJ976" s="321">
        <f t="shared" si="82"/>
        <v>3.7280000000000064</v>
      </c>
      <c r="AK976" s="321">
        <f t="shared" si="78"/>
        <v>1.4610565505646848E-4</v>
      </c>
      <c r="AL976" s="321">
        <f t="shared" si="79"/>
        <v>9.4230596435088999E-4</v>
      </c>
      <c r="AN976" s="321" t="e">
        <f t="shared" si="80"/>
        <v>#N/A</v>
      </c>
      <c r="AO976" s="321">
        <f t="shared" si="81"/>
        <v>9.4230596435088999E-4</v>
      </c>
    </row>
    <row r="977" spans="35:41" ht="12" customHeight="1">
      <c r="AI977" s="321">
        <v>968</v>
      </c>
      <c r="AJ977" s="321">
        <f t="shared" si="82"/>
        <v>3.7360000000000064</v>
      </c>
      <c r="AK977" s="321">
        <f t="shared" si="78"/>
        <v>1.4152466668592806E-4</v>
      </c>
      <c r="AL977" s="321">
        <f t="shared" si="79"/>
        <v>9.1641931258226836E-4</v>
      </c>
      <c r="AN977" s="321" t="e">
        <f t="shared" si="80"/>
        <v>#N/A</v>
      </c>
      <c r="AO977" s="321">
        <f t="shared" si="81"/>
        <v>9.1641931258226836E-4</v>
      </c>
    </row>
    <row r="978" spans="35:41" ht="12" customHeight="1">
      <c r="AI978" s="321">
        <v>969</v>
      </c>
      <c r="AJ978" s="321">
        <f t="shared" si="82"/>
        <v>3.7440000000000064</v>
      </c>
      <c r="AK978" s="321">
        <f t="shared" si="78"/>
        <v>1.3707853705621068E-4</v>
      </c>
      <c r="AL978" s="321">
        <f t="shared" si="79"/>
        <v>8.9118677075693243E-4</v>
      </c>
      <c r="AN978" s="321" t="e">
        <f t="shared" si="80"/>
        <v>#N/A</v>
      </c>
      <c r="AO978" s="321">
        <f t="shared" si="81"/>
        <v>8.9118677075693243E-4</v>
      </c>
    </row>
    <row r="979" spans="35:41" ht="12" customHeight="1">
      <c r="AI979" s="321">
        <v>970</v>
      </c>
      <c r="AJ979" s="321">
        <f t="shared" si="82"/>
        <v>3.7520000000000064</v>
      </c>
      <c r="AK979" s="321">
        <f t="shared" si="78"/>
        <v>1.3276358960116738E-4</v>
      </c>
      <c r="AL979" s="321">
        <f t="shared" si="79"/>
        <v>8.6659351391650985E-4</v>
      </c>
      <c r="AN979" s="321" t="e">
        <f t="shared" si="80"/>
        <v>#N/A</v>
      </c>
      <c r="AO979" s="321">
        <f t="shared" si="81"/>
        <v>8.6659351391650985E-4</v>
      </c>
    </row>
    <row r="980" spans="35:41" ht="12" customHeight="1">
      <c r="AI980" s="321">
        <v>971</v>
      </c>
      <c r="AJ980" s="321">
        <f t="shared" si="82"/>
        <v>3.7600000000000064</v>
      </c>
      <c r="AK980" s="321">
        <f t="shared" si="78"/>
        <v>1.2857623858161739E-4</v>
      </c>
      <c r="AL980" s="321">
        <f t="shared" si="79"/>
        <v>8.4262500470688327E-4</v>
      </c>
      <c r="AN980" s="321" t="e">
        <f t="shared" si="80"/>
        <v>#N/A</v>
      </c>
      <c r="AO980" s="321">
        <f t="shared" si="81"/>
        <v>8.4262500470688327E-4</v>
      </c>
    </row>
    <row r="981" spans="35:41" ht="12" customHeight="1">
      <c r="AI981" s="321">
        <v>972</v>
      </c>
      <c r="AJ981" s="321">
        <f t="shared" si="82"/>
        <v>3.7680000000000065</v>
      </c>
      <c r="AK981" s="321">
        <f t="shared" si="78"/>
        <v>1.2451298712974905E-4</v>
      </c>
      <c r="AL981" s="321">
        <f t="shared" si="79"/>
        <v>8.1926698911140403E-4</v>
      </c>
      <c r="AN981" s="321" t="e">
        <f t="shared" si="80"/>
        <v>#N/A</v>
      </c>
      <c r="AO981" s="321">
        <f t="shared" si="81"/>
        <v>8.1926698911140403E-4</v>
      </c>
    </row>
    <row r="982" spans="35:41" ht="12" customHeight="1">
      <c r="AI982" s="321">
        <v>973</v>
      </c>
      <c r="AJ982" s="321">
        <f t="shared" si="82"/>
        <v>3.7760000000000065</v>
      </c>
      <c r="AK982" s="321">
        <f t="shared" si="78"/>
        <v>1.2057042532714188E-4</v>
      </c>
      <c r="AL982" s="321">
        <f t="shared" si="79"/>
        <v>7.9650549221258274E-4</v>
      </c>
      <c r="AN982" s="321" t="e">
        <f t="shared" si="80"/>
        <v>#N/A</v>
      </c>
      <c r="AO982" s="321">
        <f t="shared" si="81"/>
        <v>7.9650549221258274E-4</v>
      </c>
    </row>
    <row r="983" spans="35:41" ht="12" customHeight="1">
      <c r="AI983" s="321">
        <v>974</v>
      </c>
      <c r="AJ983" s="321">
        <f t="shared" si="82"/>
        <v>3.7840000000000065</v>
      </c>
      <c r="AK983" s="321">
        <f t="shared" si="78"/>
        <v>1.1674522831609831E-4</v>
      </c>
      <c r="AL983" s="321">
        <f t="shared" si="79"/>
        <v>7.7432681398306399E-4</v>
      </c>
      <c r="AN983" s="321" t="e">
        <f t="shared" si="80"/>
        <v>#N/A</v>
      </c>
      <c r="AO983" s="321">
        <f t="shared" si="81"/>
        <v>7.7432681398306399E-4</v>
      </c>
    </row>
    <row r="984" spans="35:41" ht="12" customHeight="1">
      <c r="AI984" s="321">
        <v>975</v>
      </c>
      <c r="AJ984" s="321">
        <f t="shared" si="82"/>
        <v>3.7920000000000065</v>
      </c>
      <c r="AK984" s="321">
        <f t="shared" si="78"/>
        <v>1.1303415444391705E-4</v>
      </c>
      <c r="AL984" s="321">
        <f t="shared" si="79"/>
        <v>7.5271752510667567E-4</v>
      </c>
      <c r="AN984" s="321" t="e">
        <f t="shared" si="80"/>
        <v>#N/A</v>
      </c>
      <c r="AO984" s="321">
        <f t="shared" si="81"/>
        <v>7.5271752510667567E-4</v>
      </c>
    </row>
    <row r="985" spans="35:41" ht="12" customHeight="1">
      <c r="AI985" s="321">
        <v>976</v>
      </c>
      <c r="AJ985" s="321">
        <f t="shared" si="82"/>
        <v>3.8000000000000065</v>
      </c>
      <c r="AK985" s="321">
        <f t="shared" si="78"/>
        <v>1.094340434397978E-4</v>
      </c>
      <c r="AL985" s="321">
        <f t="shared" si="79"/>
        <v>7.3166446283029387E-4</v>
      </c>
      <c r="AN985" s="321" t="e">
        <f t="shared" si="80"/>
        <v>#N/A</v>
      </c>
      <c r="AO985" s="321">
        <f t="shared" si="81"/>
        <v>7.3166446283029387E-4</v>
      </c>
    </row>
    <row r="986" spans="35:41" ht="12" customHeight="1">
      <c r="AI986" s="321">
        <v>977</v>
      </c>
      <c r="AJ986" s="321">
        <f t="shared" si="82"/>
        <v>3.8080000000000065</v>
      </c>
      <c r="AK986" s="321">
        <f t="shared" si="78"/>
        <v>1.0594181462400078E-4</v>
      </c>
      <c r="AL986" s="321">
        <f t="shared" si="79"/>
        <v>7.1115472684723613E-4</v>
      </c>
      <c r="AN986" s="321" t="e">
        <f t="shared" si="80"/>
        <v>#N/A</v>
      </c>
      <c r="AO986" s="321">
        <f t="shared" si="81"/>
        <v>7.1115472684723613E-4</v>
      </c>
    </row>
    <row r="987" spans="35:41" ht="12" customHeight="1">
      <c r="AI987" s="321">
        <v>978</v>
      </c>
      <c r="AJ987" s="321">
        <f t="shared" si="82"/>
        <v>3.8160000000000065</v>
      </c>
      <c r="AK987" s="321">
        <f t="shared" si="78"/>
        <v>1.0255446514893984E-4</v>
      </c>
      <c r="AL987" s="321">
        <f t="shared" si="79"/>
        <v>6.9117567521286959E-4</v>
      </c>
      <c r="AN987" s="321" t="e">
        <f t="shared" si="80"/>
        <v>#N/A</v>
      </c>
      <c r="AO987" s="321">
        <f t="shared" si="81"/>
        <v>6.9117567521286959E-4</v>
      </c>
    </row>
    <row r="988" spans="35:41" ht="12" customHeight="1">
      <c r="AI988" s="321">
        <v>979</v>
      </c>
      <c r="AJ988" s="321">
        <f t="shared" si="82"/>
        <v>3.8240000000000065</v>
      </c>
      <c r="AK988" s="321">
        <f t="shared" si="78"/>
        <v>9.9269068271831467E-5</v>
      </c>
      <c r="AL988" s="321">
        <f t="shared" si="79"/>
        <v>6.7171492029306388E-4</v>
      </c>
      <c r="AN988" s="321" t="e">
        <f t="shared" si="80"/>
        <v>#N/A</v>
      </c>
      <c r="AO988" s="321">
        <f t="shared" si="81"/>
        <v>6.7171492029306388E-4</v>
      </c>
    </row>
    <row r="989" spans="35:41" ht="12" customHeight="1">
      <c r="AI989" s="321">
        <v>980</v>
      </c>
      <c r="AJ989" s="321">
        <f t="shared" si="82"/>
        <v>3.8320000000000065</v>
      </c>
      <c r="AK989" s="321">
        <f t="shared" si="78"/>
        <v>9.608277165856923E-5</v>
      </c>
      <c r="AL989" s="321">
        <f t="shared" si="79"/>
        <v>6.527603247461209E-4</v>
      </c>
      <c r="AN989" s="321" t="e">
        <f t="shared" si="80"/>
        <v>#N/A</v>
      </c>
      <c r="AO989" s="321">
        <f t="shared" si="81"/>
        <v>6.527603247461209E-4</v>
      </c>
    </row>
    <row r="990" spans="35:41" ht="12" customHeight="1">
      <c r="AI990" s="321">
        <v>981</v>
      </c>
      <c r="AJ990" s="321">
        <f t="shared" si="82"/>
        <v>3.8400000000000065</v>
      </c>
      <c r="AK990" s="321">
        <f t="shared" si="78"/>
        <v>9.2992795718443075E-5</v>
      </c>
      <c r="AL990" s="321">
        <f t="shared" si="79"/>
        <v>6.3429999753874221E-4</v>
      </c>
      <c r="AN990" s="321" t="e">
        <f t="shared" si="80"/>
        <v>#N/A</v>
      </c>
      <c r="AO990" s="321">
        <f t="shared" si="81"/>
        <v>6.3429999753874221E-4</v>
      </c>
    </row>
    <row r="991" spans="35:41" ht="12" customHeight="1">
      <c r="AI991" s="321">
        <v>982</v>
      </c>
      <c r="AJ991" s="321">
        <f t="shared" si="82"/>
        <v>3.8480000000000065</v>
      </c>
      <c r="AK991" s="321">
        <f t="shared" si="78"/>
        <v>8.9996431969366862E-5</v>
      </c>
      <c r="AL991" s="321">
        <f t="shared" si="79"/>
        <v>6.1632228999660397E-4</v>
      </c>
      <c r="AN991" s="321" t="e">
        <f t="shared" si="80"/>
        <v>#N/A</v>
      </c>
      <c r="AO991" s="321">
        <f t="shared" si="81"/>
        <v>6.1632228999660397E-4</v>
      </c>
    </row>
    <row r="992" spans="35:41" ht="12" customHeight="1">
      <c r="AI992" s="321">
        <v>983</v>
      </c>
      <c r="AJ992" s="321">
        <f t="shared" si="82"/>
        <v>3.8560000000000065</v>
      </c>
      <c r="AK992" s="321">
        <f t="shared" si="78"/>
        <v>8.7091041433230175E-5</v>
      </c>
      <c r="AL992" s="321">
        <f t="shared" si="79"/>
        <v>5.9881579189003829E-4</v>
      </c>
      <c r="AN992" s="321" t="e">
        <f t="shared" si="80"/>
        <v>#N/A</v>
      </c>
      <c r="AO992" s="321">
        <f t="shared" si="81"/>
        <v>5.9881579189003829E-4</v>
      </c>
    </row>
    <row r="993" spans="35:41" ht="12" customHeight="1">
      <c r="AI993" s="321">
        <v>984</v>
      </c>
      <c r="AJ993" s="321">
        <f t="shared" si="82"/>
        <v>3.8640000000000065</v>
      </c>
      <c r="AK993" s="321">
        <f t="shared" si="78"/>
        <v>8.4274053061034895E-5</v>
      </c>
      <c r="AL993" s="321">
        <f t="shared" si="79"/>
        <v>5.8176932755532628E-4</v>
      </c>
      <c r="AN993" s="321" t="e">
        <f t="shared" si="80"/>
        <v>#N/A</v>
      </c>
      <c r="AO993" s="321">
        <f t="shared" si="81"/>
        <v>5.8176932755532628E-4</v>
      </c>
    </row>
    <row r="994" spans="35:41" ht="12" customHeight="1">
      <c r="AI994" s="321">
        <v>985</v>
      </c>
      <c r="AJ994" s="321">
        <f t="shared" si="82"/>
        <v>3.8720000000000065</v>
      </c>
      <c r="AK994" s="321">
        <f t="shared" si="78"/>
        <v>8.1542962187428541E-5</v>
      </c>
      <c r="AL994" s="321">
        <f t="shared" si="79"/>
        <v>5.6517195205205097E-4</v>
      </c>
      <c r="AN994" s="321" t="e">
        <f t="shared" si="80"/>
        <v>#N/A</v>
      </c>
      <c r="AO994" s="321">
        <f t="shared" si="81"/>
        <v>5.6517195205205097E-4</v>
      </c>
    </row>
    <row r="995" spans="35:41" ht="12" customHeight="1">
      <c r="AI995" s="321">
        <v>986</v>
      </c>
      <c r="AJ995" s="321">
        <f t="shared" si="82"/>
        <v>3.8800000000000066</v>
      </c>
      <c r="AK995" s="321">
        <f t="shared" si="78"/>
        <v>7.8895329014290973E-5</v>
      </c>
      <c r="AL995" s="321">
        <f t="shared" si="79"/>
        <v>5.4901294735694548E-4</v>
      </c>
      <c r="AN995" s="321" t="e">
        <f t="shared" si="80"/>
        <v>#N/A</v>
      </c>
      <c r="AO995" s="321">
        <f t="shared" si="81"/>
        <v>5.4901294735694548E-4</v>
      </c>
    </row>
    <row r="996" spans="35:41" ht="12" customHeight="1">
      <c r="AI996" s="321">
        <v>987</v>
      </c>
      <c r="AJ996" s="321">
        <f t="shared" si="82"/>
        <v>3.8880000000000066</v>
      </c>
      <c r="AK996" s="321">
        <f t="shared" si="78"/>
        <v>7.6328777122987873E-5</v>
      </c>
      <c r="AL996" s="321">
        <f t="shared" si="79"/>
        <v>5.3328181859463569E-4</v>
      </c>
      <c r="AN996" s="321" t="e">
        <f t="shared" si="80"/>
        <v>#N/A</v>
      </c>
      <c r="AO996" s="321">
        <f t="shared" si="81"/>
        <v>5.3328181859463569E-4</v>
      </c>
    </row>
    <row r="997" spans="35:41" ht="12" customHeight="1">
      <c r="AI997" s="321">
        <v>988</v>
      </c>
      <c r="AJ997" s="321">
        <f t="shared" si="82"/>
        <v>3.8960000000000066</v>
      </c>
      <c r="AK997" s="321">
        <f t="shared" si="78"/>
        <v>7.3840992014941666E-5</v>
      </c>
      <c r="AL997" s="321">
        <f t="shared" si="79"/>
        <v>5.1796829030565262E-4</v>
      </c>
      <c r="AN997" s="321" t="e">
        <f t="shared" si="80"/>
        <v>#N/A</v>
      </c>
      <c r="AO997" s="321">
        <f t="shared" si="81"/>
        <v>5.1796829030565262E-4</v>
      </c>
    </row>
    <row r="998" spans="35:41" ht="12" customHeight="1">
      <c r="AI998" s="321">
        <v>989</v>
      </c>
      <c r="AJ998" s="321">
        <f t="shared" si="82"/>
        <v>3.9040000000000066</v>
      </c>
      <c r="AK998" s="321">
        <f t="shared" si="78"/>
        <v>7.1429719680135903E-5</v>
      </c>
      <c r="AL998" s="321">
        <f t="shared" si="79"/>
        <v>5.0306230275206211E-4</v>
      </c>
      <c r="AN998" s="321" t="e">
        <f t="shared" si="80"/>
        <v>#N/A</v>
      </c>
      <c r="AO998" s="321">
        <f t="shared" si="81"/>
        <v>5.0306230275206211E-4</v>
      </c>
    </row>
    <row r="999" spans="35:41" ht="12" customHeight="1">
      <c r="AI999" s="321">
        <v>990</v>
      </c>
      <c r="AJ999" s="321">
        <f t="shared" si="82"/>
        <v>3.9120000000000066</v>
      </c>
      <c r="AK999" s="321">
        <f t="shared" si="78"/>
        <v>6.9092765193199746E-5</v>
      </c>
      <c r="AL999" s="321">
        <f t="shared" si="79"/>
        <v>4.8855400826102737E-4</v>
      </c>
      <c r="AN999" s="321" t="e">
        <f t="shared" si="80"/>
        <v>#N/A</v>
      </c>
      <c r="AO999" s="321">
        <f t="shared" si="81"/>
        <v>4.8855400826102737E-4</v>
      </c>
    </row>
    <row r="1000" spans="35:41" ht="12" customHeight="1">
      <c r="AI1000" s="321">
        <v>991</v>
      </c>
      <c r="AJ1000" s="321">
        <f t="shared" si="82"/>
        <v>3.9200000000000066</v>
      </c>
      <c r="AK1000" s="321">
        <f t="shared" si="78"/>
        <v>6.682799133668859E-5</v>
      </c>
      <c r="AL1000" s="321">
        <f t="shared" si="79"/>
        <v>4.7443376760660921E-4</v>
      </c>
      <c r="AN1000" s="321" t="e">
        <f t="shared" si="80"/>
        <v>#N/A</v>
      </c>
      <c r="AO1000" s="321">
        <f t="shared" si="81"/>
        <v>4.7443376760660921E-4</v>
      </c>
    </row>
    <row r="1001" spans="35:41" ht="12" customHeight="1">
      <c r="AI1001" s="321">
        <v>992</v>
      </c>
      <c r="AJ1001" s="321">
        <f t="shared" si="82"/>
        <v>3.9280000000000066</v>
      </c>
      <c r="AK1001" s="321">
        <f t="shared" si="78"/>
        <v>6.4633317251209816E-5</v>
      </c>
      <c r="AL1001" s="321">
        <f t="shared" si="79"/>
        <v>4.6069214643005782E-4</v>
      </c>
      <c r="AN1001" s="321" t="e">
        <f t="shared" si="80"/>
        <v>#N/A</v>
      </c>
      <c r="AO1001" s="321">
        <f t="shared" si="81"/>
        <v>4.6069214643005782E-4</v>
      </c>
    </row>
    <row r="1002" spans="35:41" ht="12" customHeight="1">
      <c r="AI1002" s="321">
        <v>993</v>
      </c>
      <c r="AJ1002" s="321">
        <f t="shared" si="82"/>
        <v>3.9360000000000066</v>
      </c>
      <c r="AK1002" s="321">
        <f t="shared" si="78"/>
        <v>6.2506717112006848E-5</v>
      </c>
      <c r="AL1002" s="321">
        <f t="shared" si="79"/>
        <v>4.473199116988572E-4</v>
      </c>
      <c r="AN1002" s="321" t="e">
        <f t="shared" si="80"/>
        <v>#N/A</v>
      </c>
      <c r="AO1002" s="321">
        <f t="shared" si="81"/>
        <v>4.473199116988572E-4</v>
      </c>
    </row>
    <row r="1003" spans="35:41" ht="12" customHeight="1">
      <c r="AI1003" s="321">
        <v>994</v>
      </c>
      <c r="AJ1003" s="321">
        <f t="shared" si="82"/>
        <v>3.9440000000000066</v>
      </c>
      <c r="AK1003" s="321">
        <f t="shared" si="78"/>
        <v>6.0446218831652489E-5</v>
      </c>
      <c r="AL1003" s="321">
        <f t="shared" si="79"/>
        <v>4.3430802820472637E-4</v>
      </c>
      <c r="AN1003" s="321" t="e">
        <f t="shared" si="80"/>
        <v>#N/A</v>
      </c>
      <c r="AO1003" s="321">
        <f t="shared" si="81"/>
        <v>4.3430802820472637E-4</v>
      </c>
    </row>
    <row r="1004" spans="35:41" ht="12" customHeight="1">
      <c r="AI1004" s="321">
        <v>995</v>
      </c>
      <c r="AJ1004" s="321">
        <f t="shared" si="82"/>
        <v>3.9520000000000066</v>
      </c>
      <c r="AK1004" s="321">
        <f t="shared" si="78"/>
        <v>5.8449902788466219E-5</v>
      </c>
      <c r="AL1004" s="321">
        <f t="shared" si="79"/>
        <v>4.2164765510078854E-4</v>
      </c>
      <c r="AN1004" s="321" t="e">
        <f t="shared" si="80"/>
        <v>#N/A</v>
      </c>
      <c r="AO1004" s="321">
        <f t="shared" si="81"/>
        <v>4.2164765510078854E-4</v>
      </c>
    </row>
    <row r="1005" spans="35:41" ht="12" customHeight="1">
      <c r="AI1005" s="321">
        <v>996</v>
      </c>
      <c r="AJ1005" s="321">
        <f t="shared" si="82"/>
        <v>3.9600000000000066</v>
      </c>
      <c r="AK1005" s="321">
        <f t="shared" si="78"/>
        <v>5.6515900580305896E-5</v>
      </c>
      <c r="AL1005" s="321">
        <f t="shared" si="79"/>
        <v>4.0933014247806858E-4</v>
      </c>
      <c r="AN1005" s="321" t="e">
        <f t="shared" si="80"/>
        <v>#N/A</v>
      </c>
      <c r="AO1005" s="321">
        <f t="shared" si="81"/>
        <v>4.0933014247806858E-4</v>
      </c>
    </row>
    <row r="1006" spans="35:41" ht="12" customHeight="1">
      <c r="AI1006" s="321">
        <v>997</v>
      </c>
      <c r="AJ1006" s="321">
        <f t="shared" si="82"/>
        <v>3.9680000000000066</v>
      </c>
      <c r="AK1006" s="321">
        <f t="shared" si="78"/>
        <v>5.4642393803353374E-5</v>
      </c>
      <c r="AL1006" s="321">
        <f t="shared" si="79"/>
        <v>3.9734702798148078E-4</v>
      </c>
      <c r="AN1006" s="321" t="e">
        <f t="shared" si="80"/>
        <v>#N/A</v>
      </c>
      <c r="AO1006" s="321">
        <f t="shared" si="81"/>
        <v>3.9734702798148078E-4</v>
      </c>
    </row>
    <row r="1007" spans="35:41" ht="12" customHeight="1">
      <c r="AI1007" s="321">
        <v>998</v>
      </c>
      <c r="AJ1007" s="321">
        <f t="shared" si="82"/>
        <v>3.9760000000000066</v>
      </c>
      <c r="AK1007" s="321">
        <f t="shared" si="78"/>
        <v>5.2827612855542093E-5</v>
      </c>
      <c r="AL1007" s="321">
        <f t="shared" si="79"/>
        <v>3.8569003346542921E-4</v>
      </c>
      <c r="AN1007" s="321" t="e">
        <f t="shared" si="80"/>
        <v>#N/A</v>
      </c>
      <c r="AO1007" s="321">
        <f t="shared" si="81"/>
        <v>3.8569003346542921E-4</v>
      </c>
    </row>
    <row r="1008" spans="35:41" ht="12" customHeight="1">
      <c r="AI1008" s="321">
        <v>999</v>
      </c>
      <c r="AJ1008" s="321">
        <f t="shared" si="82"/>
        <v>3.9840000000000066</v>
      </c>
      <c r="AK1008" s="321">
        <f t="shared" si="78"/>
        <v>5.1069835764252003E-5</v>
      </c>
      <c r="AL1008" s="321">
        <f t="shared" si="79"/>
        <v>3.7435106168913262E-4</v>
      </c>
      <c r="AN1008" s="321" t="e">
        <f t="shared" si="80"/>
        <v>#N/A</v>
      </c>
      <c r="AO1008" s="321">
        <f t="shared" si="81"/>
        <v>3.7435106168913262E-4</v>
      </c>
    </row>
    <row r="1009" spans="35:41" ht="12" customHeight="1">
      <c r="AI1009" s="321">
        <v>1000</v>
      </c>
      <c r="AJ1009" s="321">
        <f t="shared" si="82"/>
        <v>3.9920000000000067</v>
      </c>
      <c r="AK1009" s="321">
        <f t="shared" si="78"/>
        <v>4.9367387037921599E-5</v>
      </c>
      <c r="AL1009" s="321">
        <f t="shared" si="79"/>
        <v>3.6332219305175862E-4</v>
      </c>
      <c r="AN1009" s="321" t="e">
        <f t="shared" si="80"/>
        <v>#N/A</v>
      </c>
      <c r="AO1009" s="321">
        <f t="shared" si="81"/>
        <v>3.6332219305175862E-4</v>
      </c>
    </row>
    <row r="1010" spans="35:41" ht="12" customHeight="1">
      <c r="AI1010" s="321">
        <v>1001</v>
      </c>
      <c r="AJ1010" s="321">
        <f t="shared" si="82"/>
        <v>4.0000000000000062</v>
      </c>
      <c r="AK1010" s="321">
        <f t="shared" si="78"/>
        <v>4.7718636541203671E-5</v>
      </c>
      <c r="AL1010" s="321">
        <f t="shared" si="79"/>
        <v>3.5259568236743722E-4</v>
      </c>
      <c r="AN1010" s="321" t="e">
        <f t="shared" si="80"/>
        <v>#N/A</v>
      </c>
      <c r="AO1010" s="321">
        <f t="shared" si="81"/>
        <v>3.5259568236743722E-4</v>
      </c>
    </row>
  </sheetData>
  <sheetProtection selectLockedCells="1" selectUnlockedCells="1"/>
  <phoneticPr fontId="2" type="noConversion"/>
  <pageMargins left="0.75" right="0.75" top="1" bottom="1" header="0.5" footer="0.5"/>
  <pageSetup paperSize="9"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sheetPr codeName="Sheet2212"/>
  <dimension ref="A1:BT1088"/>
  <sheetViews>
    <sheetView showGridLines="0" showRowColHeaders="0" topLeftCell="D1" zoomScale="120" workbookViewId="0">
      <selection activeCell="F9" sqref="F9"/>
    </sheetView>
  </sheetViews>
  <sheetFormatPr defaultRowHeight="12" customHeight="1"/>
  <cols>
    <col min="1" max="3" width="5.7109375" style="16" hidden="1" customWidth="1"/>
    <col min="4" max="4" width="0.5703125" style="16" customWidth="1"/>
    <col min="5" max="5" width="8.5703125" style="257" customWidth="1"/>
    <col min="6" max="7" width="8.5703125" style="197" customWidth="1"/>
    <col min="8" max="8" width="2.140625" style="197" customWidth="1"/>
    <col min="9" max="9" width="8.140625" style="197" customWidth="1"/>
    <col min="10" max="10" width="1.140625" style="16" customWidth="1"/>
    <col min="11" max="11" width="3" style="16" customWidth="1"/>
    <col min="12" max="12" width="9.28515625" style="16" customWidth="1"/>
    <col min="13" max="16" width="7.42578125" style="16" customWidth="1"/>
    <col min="17" max="17" width="1.140625" style="16" customWidth="1"/>
    <col min="18" max="18" width="7.42578125" style="16" customWidth="1"/>
    <col min="19" max="19" width="2.7109375" style="16" customWidth="1"/>
    <col min="20" max="27" width="7.85546875" style="16" customWidth="1"/>
    <col min="28" max="36" width="9.140625" style="16"/>
    <col min="37" max="37" width="9.85546875" style="16" customWidth="1"/>
    <col min="38" max="40" width="9.140625" style="16"/>
    <col min="41" max="42" width="3.7109375" style="16" customWidth="1"/>
    <col min="43" max="43" width="6.5703125" style="16" customWidth="1"/>
    <col min="44" max="44" width="5.5703125" style="16" customWidth="1"/>
    <col min="45" max="52" width="9.140625" style="16"/>
    <col min="53" max="53" width="3.7109375" style="16" customWidth="1"/>
    <col min="54" max="54" width="12.42578125" style="16" customWidth="1"/>
    <col min="55" max="58" width="9.140625" style="16"/>
    <col min="59" max="59" width="5.140625" style="136" customWidth="1"/>
    <col min="60" max="61" width="8.5703125" style="136" customWidth="1"/>
    <col min="62" max="62" width="4.28515625" style="136" customWidth="1"/>
    <col min="63" max="63" width="6.85546875" style="136" customWidth="1"/>
    <col min="64" max="64" width="4.28515625" style="136" customWidth="1"/>
    <col min="65" max="66" width="8.5703125" style="136" customWidth="1"/>
    <col min="67" max="67" width="4.28515625" style="136" customWidth="1"/>
    <col min="68" max="68" width="6.85546875" style="136" customWidth="1"/>
    <col min="69" max="69" width="4.28515625" style="136" customWidth="1"/>
    <col min="70" max="71" width="8.5703125" style="136" customWidth="1"/>
    <col min="72" max="72" width="4.28515625" style="136" customWidth="1"/>
    <col min="73" max="16384" width="9.140625" style="16"/>
  </cols>
  <sheetData>
    <row r="1" spans="1:72" ht="12" customHeight="1">
      <c r="B1" s="185"/>
      <c r="F1" s="585" t="s">
        <v>500</v>
      </c>
      <c r="G1" s="16"/>
      <c r="K1" s="585"/>
      <c r="L1" s="585"/>
      <c r="O1" s="585"/>
      <c r="P1" s="585"/>
      <c r="Q1" s="585"/>
      <c r="R1" s="585"/>
      <c r="T1" s="179">
        <f>(AQ11+AQ14+$P$9)/10000</f>
        <v>3.5499999999999997E-2</v>
      </c>
      <c r="U1" s="180">
        <f t="shared" ref="U1:AA1" si="0">$T$1</f>
        <v>3.5499999999999997E-2</v>
      </c>
      <c r="V1" s="180">
        <f t="shared" si="0"/>
        <v>3.5499999999999997E-2</v>
      </c>
      <c r="W1" s="180">
        <f t="shared" si="0"/>
        <v>3.5499999999999997E-2</v>
      </c>
      <c r="X1" s="180">
        <f t="shared" si="0"/>
        <v>3.5499999999999997E-2</v>
      </c>
      <c r="Y1" s="180">
        <f t="shared" si="0"/>
        <v>3.5499999999999997E-2</v>
      </c>
      <c r="Z1" s="180">
        <f t="shared" si="0"/>
        <v>3.5499999999999997E-2</v>
      </c>
      <c r="AA1" s="180">
        <f t="shared" si="0"/>
        <v>3.5499999999999997E-2</v>
      </c>
      <c r="BG1" s="717"/>
      <c r="BH1" s="718"/>
      <c r="BI1" s="140"/>
      <c r="BJ1" s="719"/>
      <c r="BK1" s="138"/>
      <c r="BL1" s="720"/>
      <c r="BM1" s="140"/>
      <c r="BN1" s="140"/>
      <c r="BO1" s="719"/>
      <c r="BQ1" s="720"/>
      <c r="BR1" s="140"/>
      <c r="BS1" s="140"/>
      <c r="BT1" s="719"/>
    </row>
    <row r="2" spans="1:72" ht="12" customHeight="1">
      <c r="F2" s="16" t="s">
        <v>437</v>
      </c>
      <c r="G2" s="16"/>
      <c r="O2" s="588" t="s">
        <v>456</v>
      </c>
      <c r="T2" s="179">
        <f t="shared" ref="T2:T36" si="1">$T$1</f>
        <v>3.5499999999999997E-2</v>
      </c>
      <c r="U2" s="211"/>
      <c r="W2" s="185" t="s">
        <v>501</v>
      </c>
      <c r="X2" s="211" t="b">
        <f>AND(M16&lt;&gt;"",O16&lt;&gt;"")</f>
        <v>1</v>
      </c>
      <c r="Y2" s="201" t="s">
        <v>485</v>
      </c>
      <c r="AA2" s="180">
        <f t="shared" ref="AA2:AA36" si="2">$T$1</f>
        <v>3.5499999999999997E-2</v>
      </c>
      <c r="BG2" s="589" t="s">
        <v>299</v>
      </c>
      <c r="BH2" s="144"/>
      <c r="BI2" s="144"/>
      <c r="BJ2" s="145"/>
      <c r="BK2" s="138"/>
      <c r="BL2" s="589" t="s">
        <v>276</v>
      </c>
      <c r="BM2" s="144"/>
      <c r="BN2" s="144"/>
      <c r="BO2" s="145"/>
      <c r="BQ2" s="589" t="s">
        <v>277</v>
      </c>
      <c r="BR2" s="144"/>
      <c r="BS2" s="144"/>
      <c r="BT2" s="145"/>
    </row>
    <row r="3" spans="1:72" ht="12" customHeight="1">
      <c r="B3" s="185" t="s">
        <v>409</v>
      </c>
      <c r="C3" s="211" t="b">
        <v>0</v>
      </c>
      <c r="F3" s="197" t="s">
        <v>487</v>
      </c>
      <c r="G3" s="16"/>
      <c r="H3" s="721"/>
      <c r="K3" s="197"/>
      <c r="L3" s="197"/>
      <c r="M3" s="197"/>
      <c r="T3" s="179">
        <f t="shared" si="1"/>
        <v>3.5499999999999997E-2</v>
      </c>
      <c r="U3" s="705" t="s">
        <v>512</v>
      </c>
      <c r="V3" s="211" t="b">
        <v>0</v>
      </c>
      <c r="W3" s="16" t="s">
        <v>502</v>
      </c>
      <c r="X3" s="211" t="b">
        <f>AND(M17&lt;&gt;"",O17&lt;&gt;"")</f>
        <v>1</v>
      </c>
      <c r="Y3" s="16">
        <v>4.0999999999999996</v>
      </c>
      <c r="Z3" s="16">
        <f>IF(AND(N24&lt;&gt;"",$X$2),M16+N24,NA())</f>
        <v>13.25</v>
      </c>
      <c r="AA3" s="180">
        <f t="shared" si="2"/>
        <v>3.5499999999999997E-2</v>
      </c>
      <c r="BG3" s="143"/>
      <c r="BH3" s="144"/>
      <c r="BI3" s="144"/>
      <c r="BJ3" s="145"/>
      <c r="BK3" s="138"/>
      <c r="BL3" s="143"/>
      <c r="BM3" s="144"/>
      <c r="BN3" s="144"/>
      <c r="BO3" s="145"/>
      <c r="BQ3" s="143"/>
      <c r="BR3" s="144"/>
      <c r="BS3" s="144"/>
      <c r="BT3" s="145"/>
    </row>
    <row r="4" spans="1:72" ht="12" customHeight="1">
      <c r="E4" s="275"/>
      <c r="F4" s="232"/>
      <c r="G4" s="232"/>
      <c r="H4" s="722"/>
      <c r="I4" s="232"/>
      <c r="T4" s="179">
        <f t="shared" si="1"/>
        <v>3.5499999999999997E-2</v>
      </c>
      <c r="U4" s="705" t="s">
        <v>513</v>
      </c>
      <c r="V4" s="723" t="b">
        <v>0</v>
      </c>
      <c r="W4" s="35" t="s">
        <v>410</v>
      </c>
      <c r="X4" s="211" t="b">
        <f>AND(P9&gt;=0,P9&lt;=99.9)</f>
        <v>1</v>
      </c>
      <c r="Y4" s="16">
        <v>4.5999999999999996</v>
      </c>
      <c r="Z4" s="16">
        <f>IF(AND(N24&lt;&gt;"",$X$2),M16+N24,NA())</f>
        <v>13.25</v>
      </c>
      <c r="AA4" s="180">
        <f t="shared" si="2"/>
        <v>3.5499999999999997E-2</v>
      </c>
      <c r="BG4" s="143"/>
      <c r="BH4" s="724" t="s">
        <v>434</v>
      </c>
      <c r="BI4" s="591" t="s">
        <v>479</v>
      </c>
      <c r="BJ4" s="725"/>
      <c r="BK4" s="138"/>
      <c r="BL4" s="143"/>
      <c r="BM4" s="724" t="s">
        <v>434</v>
      </c>
      <c r="BN4" s="591" t="s">
        <v>480</v>
      </c>
      <c r="BO4" s="725"/>
      <c r="BQ4" s="143"/>
      <c r="BR4" s="724" t="s">
        <v>434</v>
      </c>
      <c r="BS4" s="591" t="s">
        <v>481</v>
      </c>
      <c r="BT4" s="725"/>
    </row>
    <row r="5" spans="1:72" ht="12" customHeight="1">
      <c r="A5" s="185" t="s">
        <v>280</v>
      </c>
      <c r="B5" s="211">
        <v>139</v>
      </c>
      <c r="C5" s="16">
        <f>SUM(F9:F1008)</f>
        <v>139</v>
      </c>
      <c r="E5" s="491"/>
      <c r="F5" s="726" t="s">
        <v>536</v>
      </c>
      <c r="G5" s="727" t="s">
        <v>479</v>
      </c>
      <c r="H5" s="722"/>
      <c r="I5" s="232"/>
      <c r="J5" s="593"/>
      <c r="K5" s="594">
        <v>5</v>
      </c>
      <c r="L5" s="555" t="s">
        <v>509</v>
      </c>
      <c r="M5" s="237"/>
      <c r="N5" s="503" t="s">
        <v>528</v>
      </c>
      <c r="O5" s="503"/>
      <c r="P5" s="503"/>
      <c r="Q5" s="503"/>
      <c r="R5" s="503"/>
      <c r="S5" s="546"/>
      <c r="T5" s="179">
        <f t="shared" si="1"/>
        <v>3.5499999999999997E-2</v>
      </c>
      <c r="U5" s="705" t="s">
        <v>514</v>
      </c>
      <c r="V5" s="723" t="b">
        <v>0</v>
      </c>
      <c r="W5" s="16" t="s">
        <v>483</v>
      </c>
      <c r="X5" s="211" t="b">
        <v>1</v>
      </c>
      <c r="Y5" s="688">
        <v>3</v>
      </c>
      <c r="Z5" s="688">
        <f>IF(AND(N24&lt;&gt;"",$X$2),M16+N24,NA())</f>
        <v>13.25</v>
      </c>
      <c r="AA5" s="180">
        <f t="shared" si="2"/>
        <v>3.5499999999999997E-2</v>
      </c>
      <c r="BG5" s="143"/>
      <c r="BH5" s="728" t="s">
        <v>287</v>
      </c>
      <c r="BI5" s="729" t="s">
        <v>411</v>
      </c>
      <c r="BJ5" s="730"/>
      <c r="BK5" s="138"/>
      <c r="BL5" s="143"/>
      <c r="BM5" s="728" t="s">
        <v>287</v>
      </c>
      <c r="BN5" s="729" t="s">
        <v>411</v>
      </c>
      <c r="BO5" s="730"/>
      <c r="BQ5" s="143"/>
      <c r="BR5" s="728" t="s">
        <v>287</v>
      </c>
      <c r="BS5" s="729" t="s">
        <v>524</v>
      </c>
      <c r="BT5" s="730"/>
    </row>
    <row r="6" spans="1:72" ht="12" customHeight="1">
      <c r="A6" s="185" t="s">
        <v>281</v>
      </c>
      <c r="B6" s="211">
        <v>159</v>
      </c>
      <c r="C6" s="16">
        <f>SUM(G9:G1008)</f>
        <v>159</v>
      </c>
      <c r="E6" s="491"/>
      <c r="F6" s="728" t="s">
        <v>287</v>
      </c>
      <c r="G6" s="731" t="s">
        <v>411</v>
      </c>
      <c r="H6" s="732"/>
      <c r="I6" s="733"/>
      <c r="J6" s="595"/>
      <c r="K6" s="331"/>
      <c r="L6" s="331" t="s">
        <v>527</v>
      </c>
      <c r="M6" s="331"/>
      <c r="N6" s="331"/>
      <c r="O6" s="598"/>
      <c r="P6" s="331" t="s">
        <v>526</v>
      </c>
      <c r="Q6" s="331"/>
      <c r="R6" s="331"/>
      <c r="S6" s="245"/>
      <c r="T6" s="179">
        <f t="shared" si="1"/>
        <v>3.5499999999999997E-2</v>
      </c>
      <c r="U6" s="705" t="s">
        <v>515</v>
      </c>
      <c r="V6" s="723" t="b">
        <v>0</v>
      </c>
      <c r="W6" s="185" t="s">
        <v>493</v>
      </c>
      <c r="X6" s="734" t="b">
        <v>1</v>
      </c>
      <c r="Y6" s="16">
        <v>4.0999999999999996</v>
      </c>
      <c r="Z6" s="16">
        <f>IF(AND(N24&lt;&gt;"",$X$2),M16+N24,NA())</f>
        <v>13.25</v>
      </c>
      <c r="AA6" s="180">
        <f t="shared" si="2"/>
        <v>3.5499999999999997E-2</v>
      </c>
      <c r="BG6" s="735"/>
      <c r="BH6" s="736" t="s">
        <v>412</v>
      </c>
      <c r="BI6" s="736" t="s">
        <v>413</v>
      </c>
      <c r="BJ6" s="737"/>
      <c r="BL6" s="589"/>
      <c r="BM6" s="738" t="s">
        <v>412</v>
      </c>
      <c r="BN6" s="736" t="s">
        <v>413</v>
      </c>
      <c r="BO6" s="737"/>
      <c r="BQ6" s="589"/>
      <c r="BR6" s="738" t="s">
        <v>412</v>
      </c>
      <c r="BS6" s="736" t="s">
        <v>413</v>
      </c>
      <c r="BT6" s="737"/>
    </row>
    <row r="7" spans="1:72" ht="12" customHeight="1">
      <c r="A7" s="185" t="s">
        <v>286</v>
      </c>
      <c r="B7" s="211">
        <v>1731</v>
      </c>
      <c r="C7" s="16">
        <f>SUMSQ(F9:F1008)</f>
        <v>1731</v>
      </c>
      <c r="E7" s="491"/>
      <c r="F7" s="739" t="s">
        <v>491</v>
      </c>
      <c r="G7" s="739" t="s">
        <v>492</v>
      </c>
      <c r="H7" s="740"/>
      <c r="I7" s="741" t="s">
        <v>503</v>
      </c>
      <c r="J7" s="595"/>
      <c r="K7" s="742"/>
      <c r="L7" s="742"/>
      <c r="M7" s="742"/>
      <c r="N7" s="742"/>
      <c r="O7" s="742"/>
      <c r="P7" s="742"/>
      <c r="Q7" s="742"/>
      <c r="R7" s="742"/>
      <c r="S7" s="743"/>
      <c r="T7" s="179">
        <f t="shared" si="1"/>
        <v>3.5499999999999997E-2</v>
      </c>
      <c r="W7" s="16" t="s">
        <v>488</v>
      </c>
      <c r="X7" s="211" t="b">
        <v>1</v>
      </c>
      <c r="Y7" s="688">
        <v>1</v>
      </c>
      <c r="Z7" s="688">
        <f>IF(AND(N24&lt;&gt;"",$X$2),M16,NA())</f>
        <v>11.583333333333334</v>
      </c>
      <c r="AA7" s="180">
        <f t="shared" si="2"/>
        <v>3.5499999999999997E-2</v>
      </c>
      <c r="BG7" s="407"/>
      <c r="BH7" s="744" t="s">
        <v>414</v>
      </c>
      <c r="BI7" s="745" t="s">
        <v>415</v>
      </c>
      <c r="BJ7" s="746"/>
      <c r="BL7" s="389"/>
      <c r="BM7" s="747" t="s">
        <v>414</v>
      </c>
      <c r="BN7" s="748" t="s">
        <v>415</v>
      </c>
      <c r="BO7" s="749"/>
      <c r="BQ7" s="407"/>
      <c r="BR7" s="747" t="s">
        <v>414</v>
      </c>
      <c r="BS7" s="748" t="s">
        <v>415</v>
      </c>
      <c r="BT7" s="749"/>
    </row>
    <row r="8" spans="1:72" ht="12" customHeight="1">
      <c r="A8" s="185" t="s">
        <v>291</v>
      </c>
      <c r="B8" s="211">
        <v>2199</v>
      </c>
      <c r="C8" s="16">
        <f>SUMSQ(G9:G1008)</f>
        <v>2199</v>
      </c>
      <c r="E8" s="567" t="s">
        <v>525</v>
      </c>
      <c r="F8" s="750" t="s">
        <v>414</v>
      </c>
      <c r="G8" s="751" t="s">
        <v>415</v>
      </c>
      <c r="H8" s="752"/>
      <c r="I8" s="753" t="s">
        <v>508</v>
      </c>
      <c r="J8" s="595"/>
      <c r="K8" s="608">
        <v>6</v>
      </c>
      <c r="L8" s="754" t="s">
        <v>296</v>
      </c>
      <c r="M8" s="609"/>
      <c r="N8" s="610"/>
      <c r="O8" s="755"/>
      <c r="P8" s="236"/>
      <c r="Q8" s="236"/>
      <c r="R8" s="610"/>
      <c r="S8" s="613"/>
      <c r="T8" s="179">
        <f t="shared" si="1"/>
        <v>3.5499999999999997E-2</v>
      </c>
      <c r="U8" s="185" t="s">
        <v>482</v>
      </c>
      <c r="V8" s="211">
        <v>1</v>
      </c>
      <c r="W8" s="16" t="s">
        <v>489</v>
      </c>
      <c r="X8" s="211" t="b">
        <v>1</v>
      </c>
      <c r="Y8" s="16">
        <v>4.5999999999999996</v>
      </c>
      <c r="Z8" s="16">
        <f>IF(AND(N24&lt;&gt;"",$X$2),M16,NA())</f>
        <v>11.583333333333334</v>
      </c>
      <c r="AA8" s="180">
        <f t="shared" si="2"/>
        <v>3.5499999999999997E-2</v>
      </c>
      <c r="AG8"/>
      <c r="AH8"/>
      <c r="AO8" s="612" t="s">
        <v>297</v>
      </c>
      <c r="AP8" s="342" t="s">
        <v>298</v>
      </c>
      <c r="AQ8" s="342"/>
      <c r="AR8" s="569"/>
      <c r="BG8" s="756">
        <v>1</v>
      </c>
      <c r="BH8" s="757">
        <v>13</v>
      </c>
      <c r="BI8" s="758">
        <v>14</v>
      </c>
      <c r="BJ8" s="759"/>
      <c r="BL8" s="756">
        <v>1</v>
      </c>
      <c r="BM8" s="757">
        <v>10</v>
      </c>
      <c r="BN8" s="758">
        <v>12</v>
      </c>
      <c r="BO8" s="759"/>
      <c r="BQ8" s="756">
        <v>1</v>
      </c>
      <c r="BR8" s="757">
        <v>41</v>
      </c>
      <c r="BS8" s="758">
        <v>52</v>
      </c>
      <c r="BT8" s="759"/>
    </row>
    <row r="9" spans="1:72" ht="12" customHeight="1">
      <c r="A9" s="605" t="s">
        <v>1044</v>
      </c>
      <c r="B9" s="211">
        <v>95</v>
      </c>
      <c r="C9" s="16">
        <f>P9</f>
        <v>95</v>
      </c>
      <c r="E9" s="760" t="s">
        <v>439</v>
      </c>
      <c r="F9" s="761">
        <v>13</v>
      </c>
      <c r="G9" s="762">
        <v>14</v>
      </c>
      <c r="H9" s="763"/>
      <c r="I9" s="764">
        <f t="shared" ref="I9:I72" si="3">IF(AND(F9&lt;&gt;"",G9&lt;&gt;""),G9-F9,"")</f>
        <v>1</v>
      </c>
      <c r="J9" s="765"/>
      <c r="K9" s="352" t="s">
        <v>459</v>
      </c>
      <c r="L9" s="352"/>
      <c r="M9" s="352"/>
      <c r="N9" s="352"/>
      <c r="O9" s="619" t="s">
        <v>1044</v>
      </c>
      <c r="P9" s="242">
        <v>95</v>
      </c>
      <c r="Q9" s="620"/>
      <c r="R9" s="352"/>
      <c r="S9" s="501"/>
      <c r="T9" s="179">
        <f t="shared" si="1"/>
        <v>3.5499999999999997E-2</v>
      </c>
      <c r="U9" s="16" t="s">
        <v>491</v>
      </c>
      <c r="V9" s="16" t="s">
        <v>492</v>
      </c>
      <c r="W9" s="16" t="s">
        <v>516</v>
      </c>
      <c r="Y9" s="198" t="s">
        <v>517</v>
      </c>
      <c r="Z9" s="199"/>
      <c r="AA9" s="180">
        <f t="shared" si="2"/>
        <v>3.5499999999999997E-2</v>
      </c>
      <c r="AG9"/>
      <c r="AH9"/>
      <c r="AO9" s="345"/>
      <c r="AP9" s="346"/>
      <c r="AQ9" s="346"/>
      <c r="AR9" s="347"/>
      <c r="BG9" s="756">
        <v>2</v>
      </c>
      <c r="BH9" s="761">
        <v>12</v>
      </c>
      <c r="BI9" s="762">
        <v>13</v>
      </c>
      <c r="BJ9" s="759"/>
      <c r="BK9" s="164"/>
      <c r="BL9" s="756">
        <v>2</v>
      </c>
      <c r="BM9" s="761">
        <v>14</v>
      </c>
      <c r="BN9" s="762">
        <v>19</v>
      </c>
      <c r="BO9" s="759"/>
      <c r="BQ9" s="756">
        <v>2</v>
      </c>
      <c r="BR9" s="761">
        <v>50</v>
      </c>
      <c r="BS9" s="762">
        <v>63</v>
      </c>
      <c r="BT9" s="759"/>
    </row>
    <row r="10" spans="1:72" ht="12" customHeight="1">
      <c r="A10" s="605" t="s">
        <v>1045</v>
      </c>
      <c r="B10" s="211">
        <v>12</v>
      </c>
      <c r="C10" s="16">
        <f>N15</f>
        <v>12</v>
      </c>
      <c r="E10" s="766" t="s">
        <v>438</v>
      </c>
      <c r="F10" s="761">
        <v>12</v>
      </c>
      <c r="G10" s="762">
        <v>13</v>
      </c>
      <c r="H10" s="763"/>
      <c r="I10" s="764">
        <f t="shared" si="3"/>
        <v>1</v>
      </c>
      <c r="J10" s="765"/>
      <c r="K10" s="352"/>
      <c r="L10" s="352"/>
      <c r="M10" s="352" t="s">
        <v>458</v>
      </c>
      <c r="N10" s="767"/>
      <c r="O10" s="352"/>
      <c r="P10" s="767"/>
      <c r="Q10" s="767"/>
      <c r="R10" s="352"/>
      <c r="S10" s="501"/>
      <c r="T10" s="179">
        <f t="shared" si="1"/>
        <v>3.5499999999999997E-2</v>
      </c>
      <c r="U10" s="16" t="s">
        <v>361</v>
      </c>
      <c r="W10" s="16">
        <v>1</v>
      </c>
      <c r="X10" s="16">
        <f>IF(AND($X$2,$V$8=1),$M$16,NA())</f>
        <v>11.583333333333334</v>
      </c>
      <c r="Y10" s="222">
        <f>IF(OR(Z18,AND(X17&lt;Z11*Z17,X18&gt;(-Z11)*Z17)),0,NA())</f>
        <v>0</v>
      </c>
      <c r="Z10" s="192">
        <f>IF(OR(Z18,AND(X17&lt;Z11*Z17,X18&gt;(-Z11)*Z17)),0,NA())</f>
        <v>0</v>
      </c>
      <c r="AA10" s="180">
        <f t="shared" si="2"/>
        <v>3.5499999999999997E-2</v>
      </c>
      <c r="AG10"/>
      <c r="AH10"/>
      <c r="AO10" s="345"/>
      <c r="AP10" s="549"/>
      <c r="AQ10" s="548" t="s">
        <v>640</v>
      </c>
      <c r="AR10" s="626"/>
      <c r="BG10" s="756">
        <v>3</v>
      </c>
      <c r="BH10" s="761">
        <v>12</v>
      </c>
      <c r="BI10" s="762">
        <v>16</v>
      </c>
      <c r="BJ10" s="759"/>
      <c r="BK10" s="164"/>
      <c r="BL10" s="756">
        <v>3</v>
      </c>
      <c r="BM10" s="761">
        <v>7</v>
      </c>
      <c r="BN10" s="762">
        <v>6</v>
      </c>
      <c r="BO10" s="759"/>
      <c r="BQ10" s="756">
        <v>3</v>
      </c>
      <c r="BR10" s="761">
        <v>71</v>
      </c>
      <c r="BS10" s="762">
        <v>69</v>
      </c>
      <c r="BT10" s="759"/>
    </row>
    <row r="11" spans="1:72" ht="12" customHeight="1">
      <c r="B11" s="185" t="s">
        <v>389</v>
      </c>
      <c r="C11" s="238" t="b">
        <f>IF(AND(P30&lt;&gt;"",N35&lt;&gt;"",ABS(N36&lt;=2),P9=95),AND(P30&lt;=200,ABS(N35)&lt;=5,P30&gt;=5,B5=C5,B6=C6,B7=C7,B8=C8,B9=C9,B10=C10),FALSE)</f>
        <v>1</v>
      </c>
      <c r="E11" s="621">
        <v>3</v>
      </c>
      <c r="F11" s="761">
        <v>12</v>
      </c>
      <c r="G11" s="762">
        <v>16</v>
      </c>
      <c r="H11" s="763"/>
      <c r="I11" s="764">
        <f t="shared" si="3"/>
        <v>4</v>
      </c>
      <c r="J11" s="768"/>
      <c r="K11" s="247"/>
      <c r="L11" s="247"/>
      <c r="M11" s="247"/>
      <c r="N11" s="247"/>
      <c r="O11" s="247"/>
      <c r="P11" s="247"/>
      <c r="Q11" s="247"/>
      <c r="R11" s="247"/>
      <c r="S11" s="558"/>
      <c r="T11" s="179">
        <f t="shared" si="1"/>
        <v>3.5499999999999997E-2</v>
      </c>
      <c r="W11" s="16">
        <v>3</v>
      </c>
      <c r="X11" s="16">
        <f>IF(AND($X$2,$V$8=1),$O$16,NA())</f>
        <v>13.25</v>
      </c>
      <c r="Y11" s="222" t="s">
        <v>519</v>
      </c>
      <c r="Z11" s="192">
        <v>5</v>
      </c>
      <c r="AA11" s="180">
        <f t="shared" si="2"/>
        <v>3.5499999999999997E-2</v>
      </c>
      <c r="AG11"/>
      <c r="AH11"/>
      <c r="AO11" s="345"/>
      <c r="AP11" s="549"/>
      <c r="AQ11" s="769">
        <v>200</v>
      </c>
      <c r="AR11" s="626"/>
      <c r="BG11" s="756">
        <v>4</v>
      </c>
      <c r="BH11" s="761">
        <v>9</v>
      </c>
      <c r="BI11" s="762">
        <v>12</v>
      </c>
      <c r="BJ11" s="759"/>
      <c r="BK11" s="164"/>
      <c r="BL11" s="756">
        <v>4</v>
      </c>
      <c r="BM11" s="761">
        <v>12</v>
      </c>
      <c r="BN11" s="762">
        <v>9</v>
      </c>
      <c r="BO11" s="759"/>
      <c r="BP11" s="164"/>
      <c r="BQ11" s="756">
        <v>4</v>
      </c>
      <c r="BR11" s="761">
        <v>70</v>
      </c>
      <c r="BS11" s="762">
        <v>71</v>
      </c>
      <c r="BT11" s="759"/>
    </row>
    <row r="12" spans="1:72" ht="12" customHeight="1">
      <c r="B12" s="770" t="s">
        <v>534</v>
      </c>
      <c r="C12" s="771">
        <f>IF(X3,SQRT((M17^2+O17^2)/2),"")</f>
        <v>3.1127791343739672</v>
      </c>
      <c r="E12" s="621">
        <v>4</v>
      </c>
      <c r="F12" s="761">
        <v>9</v>
      </c>
      <c r="G12" s="762">
        <v>12</v>
      </c>
      <c r="H12" s="763"/>
      <c r="I12" s="764">
        <f t="shared" si="3"/>
        <v>3</v>
      </c>
      <c r="J12" s="765"/>
      <c r="K12" s="628">
        <v>7</v>
      </c>
      <c r="L12" s="772" t="s">
        <v>417</v>
      </c>
      <c r="M12" s="773"/>
      <c r="N12" s="773"/>
      <c r="O12" s="773"/>
      <c r="P12" s="260"/>
      <c r="Q12" s="260"/>
      <c r="R12" s="260"/>
      <c r="S12" s="633"/>
      <c r="T12" s="179">
        <f t="shared" si="1"/>
        <v>3.5499999999999997E-2</v>
      </c>
      <c r="U12" s="16" t="s">
        <v>494</v>
      </c>
      <c r="W12" s="16">
        <v>1</v>
      </c>
      <c r="X12" s="16">
        <f>IF(AND($X$8,$X$3),$M$16,NA())</f>
        <v>11.583333333333334</v>
      </c>
      <c r="Y12" s="231" t="s">
        <v>518</v>
      </c>
      <c r="Z12" s="262">
        <v>5.0999999999999996</v>
      </c>
      <c r="AA12" s="180">
        <f t="shared" si="2"/>
        <v>3.5499999999999997E-2</v>
      </c>
      <c r="AG12"/>
      <c r="AH12"/>
      <c r="AO12" s="345"/>
      <c r="AP12" s="549"/>
      <c r="AQ12" s="346"/>
      <c r="AR12" s="347"/>
      <c r="BG12" s="756">
        <v>5</v>
      </c>
      <c r="BH12" s="761">
        <v>14</v>
      </c>
      <c r="BI12" s="762">
        <v>15</v>
      </c>
      <c r="BJ12" s="759"/>
      <c r="BK12" s="388"/>
      <c r="BL12" s="756">
        <v>5</v>
      </c>
      <c r="BM12" s="761">
        <v>11</v>
      </c>
      <c r="BN12" s="762">
        <v>15</v>
      </c>
      <c r="BO12" s="759"/>
      <c r="BP12" s="164"/>
      <c r="BQ12" s="756">
        <v>5</v>
      </c>
      <c r="BR12" s="761">
        <v>74</v>
      </c>
      <c r="BS12" s="762">
        <v>80</v>
      </c>
      <c r="BT12" s="759"/>
    </row>
    <row r="13" spans="1:72" ht="12" customHeight="1">
      <c r="A13" s="217" t="s">
        <v>305</v>
      </c>
      <c r="B13" s="217"/>
      <c r="C13" s="217"/>
      <c r="E13" s="621">
        <v>5</v>
      </c>
      <c r="F13" s="761">
        <v>14</v>
      </c>
      <c r="G13" s="762">
        <v>15</v>
      </c>
      <c r="H13" s="763"/>
      <c r="I13" s="764">
        <f t="shared" si="3"/>
        <v>1</v>
      </c>
      <c r="J13" s="765"/>
      <c r="K13" s="260"/>
      <c r="L13" s="260"/>
      <c r="M13" s="774" t="s">
        <v>491</v>
      </c>
      <c r="N13" s="260"/>
      <c r="O13" s="774" t="s">
        <v>492</v>
      </c>
      <c r="P13" s="260"/>
      <c r="Q13" s="260"/>
      <c r="R13" s="260"/>
      <c r="S13" s="633"/>
      <c r="T13" s="179">
        <f t="shared" si="1"/>
        <v>3.5499999999999997E-2</v>
      </c>
      <c r="W13" s="16">
        <v>3</v>
      </c>
      <c r="X13" s="16">
        <f>IF(AND($X$8,$X$3),$O$16,NA())</f>
        <v>13.25</v>
      </c>
      <c r="AA13" s="180">
        <f t="shared" si="2"/>
        <v>3.5499999999999997E-2</v>
      </c>
      <c r="AG13"/>
      <c r="AH13"/>
      <c r="AO13" s="345"/>
      <c r="AP13" s="549"/>
      <c r="AQ13" s="548" t="s">
        <v>639</v>
      </c>
      <c r="AR13" s="626"/>
      <c r="BG13" s="756">
        <v>6</v>
      </c>
      <c r="BH13" s="761">
        <v>17</v>
      </c>
      <c r="BI13" s="762">
        <v>18</v>
      </c>
      <c r="BJ13" s="759"/>
      <c r="BL13" s="756">
        <v>6</v>
      </c>
      <c r="BM13" s="761">
        <v>11</v>
      </c>
      <c r="BN13" s="762">
        <v>13</v>
      </c>
      <c r="BO13" s="759"/>
      <c r="BP13" s="164"/>
      <c r="BQ13" s="756">
        <v>6</v>
      </c>
      <c r="BR13" s="761">
        <v>75</v>
      </c>
      <c r="BS13" s="762">
        <v>80</v>
      </c>
      <c r="BT13" s="759"/>
    </row>
    <row r="14" spans="1:72" ht="12" customHeight="1">
      <c r="A14" s="183" t="s">
        <v>306</v>
      </c>
      <c r="B14" s="264">
        <f>1-C14</f>
        <v>0.97499999999999998</v>
      </c>
      <c r="C14" s="184">
        <f>(100-P9)/200</f>
        <v>2.5000000000000001E-2</v>
      </c>
      <c r="E14" s="621">
        <v>6</v>
      </c>
      <c r="F14" s="761">
        <v>17</v>
      </c>
      <c r="G14" s="762">
        <v>18</v>
      </c>
      <c r="H14" s="763"/>
      <c r="I14" s="764">
        <f t="shared" si="3"/>
        <v>1</v>
      </c>
      <c r="J14" s="765"/>
      <c r="K14" s="260"/>
      <c r="L14" s="260"/>
      <c r="M14" s="775" t="str">
        <f>IF(F8="","",F8)</f>
        <v>Pretest</v>
      </c>
      <c r="N14" s="279"/>
      <c r="O14" s="775" t="str">
        <f>IF(G8="","",G8)</f>
        <v>Posttest</v>
      </c>
      <c r="P14" s="776"/>
      <c r="Q14" s="776"/>
      <c r="R14" s="776"/>
      <c r="S14" s="633"/>
      <c r="T14" s="179">
        <f t="shared" si="1"/>
        <v>3.5499999999999997E-2</v>
      </c>
      <c r="U14" s="16" t="s">
        <v>368</v>
      </c>
      <c r="W14" s="704">
        <f>$M$18</f>
        <v>2.1065570813812258</v>
      </c>
      <c r="X14" s="704">
        <f>$O$18</f>
        <v>1.8399809893972203</v>
      </c>
      <c r="AA14" s="180">
        <f t="shared" si="2"/>
        <v>3.5499999999999997E-2</v>
      </c>
      <c r="AO14" s="345"/>
      <c r="AP14" s="549"/>
      <c r="AQ14" s="777">
        <v>60</v>
      </c>
      <c r="AR14" s="347"/>
      <c r="BG14" s="756">
        <v>7</v>
      </c>
      <c r="BH14" s="761">
        <v>14</v>
      </c>
      <c r="BI14" s="762">
        <v>13</v>
      </c>
      <c r="BJ14" s="759"/>
      <c r="BL14" s="756">
        <v>7</v>
      </c>
      <c r="BM14" s="761">
        <v>15</v>
      </c>
      <c r="BN14" s="762">
        <v>17</v>
      </c>
      <c r="BO14" s="759"/>
      <c r="BP14" s="367"/>
      <c r="BQ14" s="756">
        <v>7</v>
      </c>
      <c r="BR14" s="761">
        <v>64</v>
      </c>
      <c r="BS14" s="762">
        <v>69</v>
      </c>
      <c r="BT14" s="759"/>
    </row>
    <row r="15" spans="1:72" ht="12" customHeight="1">
      <c r="A15" s="183" t="s">
        <v>307</v>
      </c>
      <c r="B15" s="264">
        <f>100000*(B14-B18)</f>
        <v>7.1636030440913601E-7</v>
      </c>
      <c r="C15" s="184">
        <f>100000*(C14-C18)</f>
        <v>-2.1712007192142835E-7</v>
      </c>
      <c r="E15" s="621">
        <v>7</v>
      </c>
      <c r="F15" s="761">
        <v>14</v>
      </c>
      <c r="G15" s="762">
        <v>13</v>
      </c>
      <c r="H15" s="763"/>
      <c r="I15" s="764">
        <f t="shared" si="3"/>
        <v>-1</v>
      </c>
      <c r="J15" s="765"/>
      <c r="K15" s="260"/>
      <c r="L15" s="260"/>
      <c r="M15" s="42" t="s">
        <v>905</v>
      </c>
      <c r="N15" s="778">
        <f>COUNT(I9:I1008)</f>
        <v>12</v>
      </c>
      <c r="O15" s="260"/>
      <c r="P15" s="260"/>
      <c r="Q15" s="260"/>
      <c r="R15" s="260"/>
      <c r="S15" s="633"/>
      <c r="T15" s="179">
        <f t="shared" si="1"/>
        <v>3.5499999999999997E-2</v>
      </c>
      <c r="U15" s="16" t="str">
        <f>IF(G6="","Dependent variable ",G6)</f>
        <v>LSAT score</v>
      </c>
      <c r="AA15" s="180">
        <f t="shared" si="2"/>
        <v>3.5499999999999997E-2</v>
      </c>
      <c r="AO15" s="349"/>
      <c r="AP15" s="350"/>
      <c r="AQ15" s="350"/>
      <c r="AR15" s="351"/>
      <c r="BG15" s="756">
        <v>8</v>
      </c>
      <c r="BH15" s="761">
        <v>9</v>
      </c>
      <c r="BI15" s="762">
        <v>10</v>
      </c>
      <c r="BJ15" s="759"/>
      <c r="BL15" s="756">
        <v>8</v>
      </c>
      <c r="BM15" s="761">
        <v>14</v>
      </c>
      <c r="BN15" s="762">
        <v>14</v>
      </c>
      <c r="BO15" s="759"/>
      <c r="BP15" s="367"/>
      <c r="BQ15" s="756">
        <v>8</v>
      </c>
      <c r="BR15" s="761">
        <v>72</v>
      </c>
      <c r="BS15" s="762">
        <v>76</v>
      </c>
      <c r="BT15" s="759"/>
    </row>
    <row r="16" spans="1:72" ht="12" customHeight="1">
      <c r="A16" s="183" t="s">
        <v>1000</v>
      </c>
      <c r="B16" s="184">
        <f>IF(X3,P30,"")</f>
        <v>11</v>
      </c>
      <c r="E16" s="621">
        <v>8</v>
      </c>
      <c r="F16" s="761">
        <v>9</v>
      </c>
      <c r="G16" s="762">
        <v>10</v>
      </c>
      <c r="H16" s="763"/>
      <c r="I16" s="764">
        <f t="shared" si="3"/>
        <v>1</v>
      </c>
      <c r="J16" s="765"/>
      <c r="K16" s="260"/>
      <c r="L16" s="779" t="s">
        <v>540</v>
      </c>
      <c r="M16" s="642">
        <f>IF(AND(N15&gt;0,COUNT(F9:F1008)=N15),AVERAGE(F9:F1008),"")</f>
        <v>11.583333333333334</v>
      </c>
      <c r="N16" s="42" t="s">
        <v>541</v>
      </c>
      <c r="O16" s="642">
        <f>IF(AND(N15&gt;0,COUNT(G9:G1008)=N15),AVERAGE(G9:G1008),"")</f>
        <v>13.25</v>
      </c>
      <c r="P16" s="780" t="str">
        <f>IF($G$6&lt;&gt;"",$G$6,"")</f>
        <v>LSAT score</v>
      </c>
      <c r="Q16" s="780"/>
      <c r="R16" s="781"/>
      <c r="S16" s="633"/>
      <c r="T16" s="179">
        <f t="shared" si="1"/>
        <v>3.5499999999999997E-2</v>
      </c>
      <c r="U16" s="16" t="s">
        <v>495</v>
      </c>
      <c r="V16" s="16">
        <v>4.0999999999999996</v>
      </c>
      <c r="W16" s="540">
        <f>IF(AND(N24&lt;&gt;"",$X$2),O16,NA())</f>
        <v>13.25</v>
      </c>
      <c r="X16" s="185" t="s">
        <v>496</v>
      </c>
      <c r="Y16" s="704">
        <f>IF(AND($X$7,N26&lt;&gt;"",$X$3),N26,NA())</f>
        <v>0.95144870865489395</v>
      </c>
      <c r="AA16" s="180">
        <f t="shared" si="2"/>
        <v>3.5499999999999997E-2</v>
      </c>
      <c r="BG16" s="756">
        <v>9</v>
      </c>
      <c r="BH16" s="761">
        <v>6</v>
      </c>
      <c r="BI16" s="762">
        <v>10</v>
      </c>
      <c r="BJ16" s="759"/>
      <c r="BL16" s="756">
        <v>9</v>
      </c>
      <c r="BM16" s="761">
        <v>9</v>
      </c>
      <c r="BN16" s="762">
        <v>10</v>
      </c>
      <c r="BO16" s="759"/>
      <c r="BP16" s="367"/>
      <c r="BQ16" s="756">
        <v>9</v>
      </c>
      <c r="BR16" s="761">
        <v>77</v>
      </c>
      <c r="BS16" s="762">
        <v>78</v>
      </c>
      <c r="BT16" s="759"/>
    </row>
    <row r="17" spans="1:72" ht="12" customHeight="1">
      <c r="A17" s="183" t="s">
        <v>308</v>
      </c>
      <c r="B17" s="641">
        <v>1.2791307377456056</v>
      </c>
      <c r="C17" s="250">
        <v>6.3280500229269308</v>
      </c>
      <c r="E17" s="621">
        <v>9</v>
      </c>
      <c r="F17" s="761">
        <v>6</v>
      </c>
      <c r="G17" s="762">
        <v>10</v>
      </c>
      <c r="H17" s="763"/>
      <c r="I17" s="764">
        <f t="shared" si="3"/>
        <v>4</v>
      </c>
      <c r="J17" s="765"/>
      <c r="K17" s="260"/>
      <c r="L17" s="779" t="s">
        <v>542</v>
      </c>
      <c r="M17" s="665">
        <f>IF(AND(N15&gt;1,COUNT(F9:F1008)=N15),STDEV(F9:F1008),"")</f>
        <v>3.315482505220658</v>
      </c>
      <c r="N17" s="42" t="s">
        <v>543</v>
      </c>
      <c r="O17" s="642">
        <f>IF(AND(N15&gt;1,COUNT(G9:G1008)=N15),STDEV(G9:G1008),"")</f>
        <v>2.8959218974902683</v>
      </c>
      <c r="P17" s="780" t="str">
        <f>IF($G$6&lt;&gt;"",$G$6,"")</f>
        <v>LSAT score</v>
      </c>
      <c r="Q17" s="780"/>
      <c r="R17" s="781"/>
      <c r="S17" s="633"/>
      <c r="T17" s="179">
        <f t="shared" si="1"/>
        <v>3.5499999999999997E-2</v>
      </c>
      <c r="U17" s="16" t="s">
        <v>504</v>
      </c>
      <c r="V17" s="16" t="s">
        <v>756</v>
      </c>
      <c r="W17" s="16">
        <v>0.8</v>
      </c>
      <c r="X17" s="704">
        <f>IF(AND(M18&lt;&gt;"",O18&lt;&gt;"",N26&lt;&gt;""),MAX(F9:F108,G9:G108,M16+M18,O16+O18,O16+N26),MAX(F9:F108,G9:G108))</f>
        <v>18</v>
      </c>
      <c r="Y17" s="16" t="s">
        <v>359</v>
      </c>
      <c r="Z17" s="704">
        <f>X17-X18</f>
        <v>12</v>
      </c>
      <c r="AA17" s="180">
        <f t="shared" si="2"/>
        <v>3.5499999999999997E-2</v>
      </c>
      <c r="AD17"/>
      <c r="BG17" s="756">
        <v>10</v>
      </c>
      <c r="BH17" s="761">
        <v>7</v>
      </c>
      <c r="BI17" s="762">
        <v>8</v>
      </c>
      <c r="BJ17" s="759"/>
      <c r="BL17" s="756">
        <v>10</v>
      </c>
      <c r="BM17" s="761">
        <v>16</v>
      </c>
      <c r="BN17" s="762">
        <v>17</v>
      </c>
      <c r="BO17" s="759"/>
      <c r="BP17" s="367"/>
      <c r="BQ17" s="756">
        <v>10</v>
      </c>
      <c r="BR17" s="761">
        <v>53</v>
      </c>
      <c r="BS17" s="762">
        <v>77</v>
      </c>
      <c r="BT17" s="759"/>
    </row>
    <row r="18" spans="1:72" ht="12" customHeight="1">
      <c r="A18" s="183" t="s">
        <v>309</v>
      </c>
      <c r="B18" s="644">
        <f>nct(N30,B17,B16)</f>
        <v>0.97499999999283637</v>
      </c>
      <c r="C18" s="645">
        <f>nct(N30,C17,B16)</f>
        <v>2.5000000002171202E-2</v>
      </c>
      <c r="E18" s="621">
        <v>10</v>
      </c>
      <c r="F18" s="761">
        <v>7</v>
      </c>
      <c r="G18" s="762">
        <v>8</v>
      </c>
      <c r="H18" s="763"/>
      <c r="I18" s="764">
        <f t="shared" si="3"/>
        <v>1</v>
      </c>
      <c r="J18" s="765"/>
      <c r="K18" s="260"/>
      <c r="L18" s="782" t="s">
        <v>544</v>
      </c>
      <c r="M18" s="642">
        <f>IF(AND(N15&gt;1,COUNT(F9:F1008)=N15),(M17/SQRT(N15))*TINV(1-P9/100,(N15-1)),"")</f>
        <v>2.1065570813812258</v>
      </c>
      <c r="N18" s="42" t="s">
        <v>545</v>
      </c>
      <c r="O18" s="642">
        <f>IF(AND(N15&gt;1,COUNT(G9:G1008)=N15),(O17/SQRT(N15))*TINV(1-$P$9/100,(N15-1)),"")</f>
        <v>1.8399809893972203</v>
      </c>
      <c r="P18" s="780" t="str">
        <f>IF($G$6&lt;&gt;"",$G$6,"")</f>
        <v>LSAT score</v>
      </c>
      <c r="Q18" s="780"/>
      <c r="R18" s="781"/>
      <c r="S18" s="633"/>
      <c r="T18" s="179">
        <f t="shared" si="1"/>
        <v>3.5499999999999997E-2</v>
      </c>
      <c r="U18" s="16" t="s">
        <v>505</v>
      </c>
      <c r="V18" s="16" t="s">
        <v>757</v>
      </c>
      <c r="W18" s="16">
        <v>0.8</v>
      </c>
      <c r="X18" s="704">
        <f>IF(AND(M18&lt;&gt;"",O18&lt;&gt;"",N26&lt;&gt;""),MIN(F9:F108,G9:G108,M16-M18,O16-O18,O16-N26),MIN(F9:F108,G9:G108))</f>
        <v>6</v>
      </c>
      <c r="Y18" s="16" t="s">
        <v>523</v>
      </c>
      <c r="Z18" s="16" t="b">
        <f>AND(X17=0,X18=0)</f>
        <v>0</v>
      </c>
      <c r="AA18" s="180">
        <f t="shared" si="2"/>
        <v>3.5499999999999997E-2</v>
      </c>
      <c r="AD18"/>
      <c r="BG18" s="756">
        <v>11</v>
      </c>
      <c r="BH18" s="761">
        <v>11</v>
      </c>
      <c r="BI18" s="762">
        <v>14</v>
      </c>
      <c r="BJ18" s="759"/>
      <c r="BL18" s="756">
        <v>11</v>
      </c>
      <c r="BM18" s="761">
        <v>10</v>
      </c>
      <c r="BN18" s="762">
        <v>9</v>
      </c>
      <c r="BO18" s="759"/>
      <c r="BP18" s="367"/>
      <c r="BQ18" s="756">
        <v>11</v>
      </c>
      <c r="BR18" s="761">
        <v>60</v>
      </c>
      <c r="BS18" s="762">
        <v>67</v>
      </c>
      <c r="BT18" s="759"/>
    </row>
    <row r="19" spans="1:72" ht="12" customHeight="1">
      <c r="A19" s="203" t="s">
        <v>310</v>
      </c>
      <c r="B19" s="650">
        <f>N24-N26</f>
        <v>0.71521795801177279</v>
      </c>
      <c r="C19" s="651">
        <f>N24+N26</f>
        <v>2.6181153753215609</v>
      </c>
      <c r="E19" s="621">
        <v>11</v>
      </c>
      <c r="F19" s="761">
        <v>11</v>
      </c>
      <c r="G19" s="762">
        <v>14</v>
      </c>
      <c r="H19" s="763"/>
      <c r="I19" s="764">
        <f t="shared" si="3"/>
        <v>3</v>
      </c>
      <c r="J19" s="765"/>
      <c r="K19" s="260"/>
      <c r="L19" s="270" t="s">
        <v>546</v>
      </c>
      <c r="M19" s="659">
        <f>IF(M18&lt;&gt;"",M16-M18,"")</f>
        <v>9.4767762519521082</v>
      </c>
      <c r="N19" s="783" t="s">
        <v>547</v>
      </c>
      <c r="O19" s="659">
        <f>IF(O18&lt;&gt;"",O16-O18,"")</f>
        <v>11.410019010602779</v>
      </c>
      <c r="P19" s="279" t="s">
        <v>314</v>
      </c>
      <c r="Q19" s="279"/>
      <c r="R19" s="279"/>
      <c r="S19" s="633"/>
      <c r="T19" s="179">
        <f t="shared" si="1"/>
        <v>3.5499999999999997E-2</v>
      </c>
      <c r="U19" s="183" t="e">
        <f>IF(AND($X$2,$V$8=2),$M$16,NA())</f>
        <v>#N/A</v>
      </c>
      <c r="V19" s="264" t="e">
        <f>NA()</f>
        <v>#N/A</v>
      </c>
      <c r="W19" s="264" t="e">
        <f>IF(AND($X$2,$V$8=2),$O$16,NA())</f>
        <v>#N/A</v>
      </c>
      <c r="X19" s="264" t="e">
        <f>NA()</f>
        <v>#N/A</v>
      </c>
      <c r="Y19" s="264" t="e">
        <f>NA()</f>
        <v>#N/A</v>
      </c>
      <c r="Z19" s="184"/>
      <c r="AA19" s="180">
        <f t="shared" si="2"/>
        <v>3.5499999999999997E-2</v>
      </c>
      <c r="BG19" s="756">
        <v>12</v>
      </c>
      <c r="BH19" s="761">
        <v>15</v>
      </c>
      <c r="BI19" s="762">
        <v>16</v>
      </c>
      <c r="BJ19" s="759"/>
      <c r="BL19" s="756">
        <v>12</v>
      </c>
      <c r="BM19" s="761">
        <v>11</v>
      </c>
      <c r="BN19" s="762">
        <v>14</v>
      </c>
      <c r="BO19" s="759"/>
      <c r="BQ19" s="756">
        <v>12</v>
      </c>
      <c r="BR19" s="761">
        <v>73</v>
      </c>
      <c r="BS19" s="762">
        <v>76</v>
      </c>
      <c r="BT19" s="759"/>
    </row>
    <row r="20" spans="1:72" ht="12" customHeight="1">
      <c r="A20" s="225" t="s">
        <v>312</v>
      </c>
      <c r="B20" s="197">
        <f>B19/C12</f>
        <v>0.22976829615494557</v>
      </c>
      <c r="C20" s="192">
        <f>C19/C12</f>
        <v>0.84108613631146956</v>
      </c>
      <c r="E20" s="621">
        <v>12</v>
      </c>
      <c r="F20" s="761">
        <v>15</v>
      </c>
      <c r="G20" s="762">
        <v>16</v>
      </c>
      <c r="H20" s="763"/>
      <c r="I20" s="764">
        <f t="shared" si="3"/>
        <v>1</v>
      </c>
      <c r="J20" s="765"/>
      <c r="K20" s="260"/>
      <c r="L20" s="270"/>
      <c r="M20" s="661">
        <f>IF(M18&lt;&gt;"",M16+M18,"")</f>
        <v>13.68989041471456</v>
      </c>
      <c r="N20" s="784" t="s">
        <v>316</v>
      </c>
      <c r="O20" s="661">
        <f>IF(O18&lt;&gt;"",O16+O18,"")</f>
        <v>15.089980989397221</v>
      </c>
      <c r="P20" s="785" t="s">
        <v>316</v>
      </c>
      <c r="Q20" s="785"/>
      <c r="R20" s="279"/>
      <c r="S20" s="633"/>
      <c r="T20" s="179">
        <f t="shared" si="1"/>
        <v>3.5499999999999997E-2</v>
      </c>
      <c r="U20" s="16" t="s">
        <v>362</v>
      </c>
      <c r="V20" s="16">
        <f>POWER(10,INT(LOG10(Z17)))</f>
        <v>10</v>
      </c>
      <c r="W20" s="16" t="s">
        <v>520</v>
      </c>
      <c r="X20" s="16">
        <f>CHOOSE(V21,10,5,5,2,2,2,2,1,1,1)</f>
        <v>5</v>
      </c>
      <c r="AA20" s="180">
        <f t="shared" si="2"/>
        <v>3.5499999999999997E-2</v>
      </c>
      <c r="BG20" s="756">
        <v>13</v>
      </c>
      <c r="BH20" s="761"/>
      <c r="BI20" s="762"/>
      <c r="BJ20" s="759"/>
      <c r="BL20" s="756">
        <v>13</v>
      </c>
      <c r="BM20" s="761">
        <v>13</v>
      </c>
      <c r="BN20" s="762">
        <v>15</v>
      </c>
      <c r="BO20" s="759"/>
      <c r="BQ20" s="756">
        <v>13</v>
      </c>
      <c r="BR20" s="761">
        <v>72</v>
      </c>
      <c r="BS20" s="762">
        <v>69</v>
      </c>
      <c r="BT20" s="759"/>
    </row>
    <row r="21" spans="1:72" ht="12" customHeight="1">
      <c r="A21" s="249" t="s">
        <v>313</v>
      </c>
      <c r="B21" s="232">
        <f>B20*$C$12*SQRT($N$15)/$N$25</f>
        <v>1.6545128460584575</v>
      </c>
      <c r="C21" s="262">
        <f>C20*$C$12*SQRT($N$15)/$N$25</f>
        <v>6.0564831635021399</v>
      </c>
      <c r="E21" s="621">
        <v>13</v>
      </c>
      <c r="F21" s="761"/>
      <c r="G21" s="762"/>
      <c r="H21" s="763"/>
      <c r="I21" s="764" t="str">
        <f t="shared" si="3"/>
        <v/>
      </c>
      <c r="J21" s="765"/>
      <c r="K21" s="260"/>
      <c r="L21" s="260"/>
      <c r="M21" s="786" t="s">
        <v>490</v>
      </c>
      <c r="N21" s="787">
        <f>IF(AND(N15&gt;1,M17&gt;0,O17&gt;0,X3),CORREL(F9:F1008,G9:G1008),"")</f>
        <v>0.89239080809841009</v>
      </c>
      <c r="O21" s="260"/>
      <c r="P21" s="260"/>
      <c r="Q21" s="260"/>
      <c r="R21" s="260"/>
      <c r="S21" s="633"/>
      <c r="T21" s="179">
        <f t="shared" si="1"/>
        <v>3.5499999999999997E-2</v>
      </c>
      <c r="U21" s="16" t="s">
        <v>364</v>
      </c>
      <c r="V21" s="16">
        <f>ROUNDUP(Z17/V20,0)</f>
        <v>2</v>
      </c>
      <c r="W21" s="16" t="s">
        <v>521</v>
      </c>
      <c r="X21" s="16">
        <f>V20/X20</f>
        <v>2</v>
      </c>
      <c r="AA21" s="180">
        <f t="shared" si="2"/>
        <v>3.5499999999999997E-2</v>
      </c>
      <c r="BG21" s="756">
        <v>14</v>
      </c>
      <c r="BH21" s="761"/>
      <c r="BI21" s="762"/>
      <c r="BJ21" s="759"/>
      <c r="BL21" s="756">
        <v>14</v>
      </c>
      <c r="BM21" s="761">
        <v>19</v>
      </c>
      <c r="BN21" s="762">
        <v>22</v>
      </c>
      <c r="BO21" s="759"/>
      <c r="BQ21" s="756">
        <v>14</v>
      </c>
      <c r="BR21" s="761">
        <v>62</v>
      </c>
      <c r="BS21" s="762">
        <v>73</v>
      </c>
      <c r="BT21" s="759"/>
    </row>
    <row r="22" spans="1:72" ht="12" customHeight="1">
      <c r="E22" s="621">
        <v>14</v>
      </c>
      <c r="F22" s="761"/>
      <c r="G22" s="762"/>
      <c r="H22" s="763"/>
      <c r="I22" s="764" t="str">
        <f t="shared" si="3"/>
        <v/>
      </c>
      <c r="J22" s="765"/>
      <c r="K22" s="260"/>
      <c r="L22" s="260"/>
      <c r="M22" s="260"/>
      <c r="N22" s="260"/>
      <c r="O22" s="260"/>
      <c r="P22" s="260"/>
      <c r="Q22" s="260"/>
      <c r="R22" s="260"/>
      <c r="S22" s="633"/>
      <c r="T22" s="179">
        <f t="shared" si="1"/>
        <v>3.5499999999999997E-2</v>
      </c>
      <c r="V22" s="185" t="s">
        <v>522</v>
      </c>
      <c r="W22" s="16">
        <v>4.5999999999999996</v>
      </c>
      <c r="AA22" s="180">
        <f t="shared" si="2"/>
        <v>3.5499999999999997E-2</v>
      </c>
      <c r="BG22" s="756">
        <v>15</v>
      </c>
      <c r="BH22" s="761"/>
      <c r="BI22" s="762"/>
      <c r="BJ22" s="759"/>
      <c r="BL22" s="756">
        <v>15</v>
      </c>
      <c r="BM22" s="761">
        <v>19</v>
      </c>
      <c r="BN22" s="762">
        <v>18</v>
      </c>
      <c r="BO22" s="759"/>
      <c r="BQ22" s="756">
        <v>15</v>
      </c>
      <c r="BR22" s="761">
        <v>68</v>
      </c>
      <c r="BS22" s="762">
        <v>73</v>
      </c>
      <c r="BT22" s="759"/>
    </row>
    <row r="23" spans="1:72" ht="12" customHeight="1">
      <c r="E23" s="621">
        <v>15</v>
      </c>
      <c r="F23" s="761"/>
      <c r="G23" s="762"/>
      <c r="H23" s="763"/>
      <c r="I23" s="764" t="str">
        <f t="shared" si="3"/>
        <v/>
      </c>
      <c r="J23" s="765"/>
      <c r="K23" s="952">
        <v>8</v>
      </c>
      <c r="L23" s="788" t="s">
        <v>416</v>
      </c>
      <c r="M23" s="287"/>
      <c r="N23" s="287"/>
      <c r="O23" s="287"/>
      <c r="P23" s="287"/>
      <c r="Q23" s="287"/>
      <c r="R23" s="287"/>
      <c r="S23" s="337"/>
      <c r="T23" s="179">
        <f t="shared" si="1"/>
        <v>3.5499999999999997E-2</v>
      </c>
      <c r="U23" s="198"/>
      <c r="V23" s="276" t="s">
        <v>532</v>
      </c>
      <c r="W23" s="199">
        <f>1+U24</f>
        <v>1.4</v>
      </c>
      <c r="AA23" s="180">
        <f t="shared" si="2"/>
        <v>3.5499999999999997E-2</v>
      </c>
      <c r="BG23" s="756">
        <v>16</v>
      </c>
      <c r="BH23" s="761"/>
      <c r="BI23" s="762"/>
      <c r="BJ23" s="759"/>
      <c r="BL23" s="756">
        <v>16</v>
      </c>
      <c r="BM23" s="761">
        <v>15</v>
      </c>
      <c r="BN23" s="762">
        <v>18</v>
      </c>
      <c r="BO23" s="759"/>
      <c r="BQ23" s="756">
        <v>16</v>
      </c>
      <c r="BR23" s="761">
        <v>63</v>
      </c>
      <c r="BS23" s="762">
        <v>68</v>
      </c>
      <c r="BT23" s="759"/>
    </row>
    <row r="24" spans="1:72" ht="12" customHeight="1">
      <c r="E24" s="621">
        <v>16</v>
      </c>
      <c r="F24" s="761"/>
      <c r="G24" s="762"/>
      <c r="H24" s="763"/>
      <c r="I24" s="764" t="str">
        <f t="shared" si="3"/>
        <v/>
      </c>
      <c r="J24" s="768"/>
      <c r="K24" s="228"/>
      <c r="L24" s="228"/>
      <c r="M24" s="653" t="s">
        <v>548</v>
      </c>
      <c r="N24" s="789">
        <f>IF(N15&gt;0,AVERAGE(I9:I1008),"")</f>
        <v>1.6666666666666667</v>
      </c>
      <c r="O24" s="790" t="str">
        <f>IF($G$6&lt;&gt;"",$G$6,"")</f>
        <v>LSAT score</v>
      </c>
      <c r="P24" s="791"/>
      <c r="Q24" s="791"/>
      <c r="R24" s="791"/>
      <c r="S24" s="338"/>
      <c r="T24" s="179">
        <f t="shared" si="1"/>
        <v>3.5499999999999997E-2</v>
      </c>
      <c r="U24" s="231">
        <v>0.4</v>
      </c>
      <c r="V24" s="232"/>
      <c r="W24" s="262">
        <f>3-U24</f>
        <v>2.6</v>
      </c>
      <c r="AA24" s="180">
        <f t="shared" si="2"/>
        <v>3.5499999999999997E-2</v>
      </c>
      <c r="BG24" s="792">
        <v>17</v>
      </c>
      <c r="BH24" s="761"/>
      <c r="BI24" s="762"/>
      <c r="BJ24" s="759"/>
      <c r="BL24" s="792">
        <v>17</v>
      </c>
      <c r="BM24" s="761"/>
      <c r="BN24" s="762"/>
      <c r="BO24" s="759"/>
      <c r="BQ24" s="792">
        <v>17</v>
      </c>
      <c r="BR24" s="761">
        <v>69</v>
      </c>
      <c r="BS24" s="762">
        <v>70</v>
      </c>
      <c r="BT24" s="759"/>
    </row>
    <row r="25" spans="1:72" ht="12" customHeight="1">
      <c r="E25" s="666">
        <v>17</v>
      </c>
      <c r="F25" s="761"/>
      <c r="G25" s="762"/>
      <c r="H25" s="763"/>
      <c r="I25" s="764" t="str">
        <f t="shared" si="3"/>
        <v/>
      </c>
      <c r="J25" s="768"/>
      <c r="K25" s="793"/>
      <c r="L25" s="793"/>
      <c r="M25" s="653" t="s">
        <v>549</v>
      </c>
      <c r="N25" s="789">
        <f>IF(N15&gt;1,STDEV(I9:I1008),"")</f>
        <v>1.4974726182552529</v>
      </c>
      <c r="O25" s="790" t="str">
        <f>IF($G$6&lt;&gt;"",$G$6,"")</f>
        <v>LSAT score</v>
      </c>
      <c r="P25" s="791"/>
      <c r="Q25" s="791"/>
      <c r="R25" s="791"/>
      <c r="S25" s="338"/>
      <c r="T25" s="179">
        <f t="shared" si="1"/>
        <v>3.5499999999999997E-2</v>
      </c>
      <c r="AA25" s="180">
        <f t="shared" si="2"/>
        <v>3.5499999999999997E-2</v>
      </c>
      <c r="BG25" s="792">
        <v>18</v>
      </c>
      <c r="BH25" s="761"/>
      <c r="BI25" s="762"/>
      <c r="BJ25" s="759"/>
      <c r="BL25" s="792">
        <v>18</v>
      </c>
      <c r="BM25" s="761"/>
      <c r="BN25" s="762"/>
      <c r="BO25" s="759"/>
      <c r="BQ25" s="792">
        <v>18</v>
      </c>
      <c r="BR25" s="761">
        <v>71</v>
      </c>
      <c r="BS25" s="762">
        <v>81</v>
      </c>
      <c r="BT25" s="759"/>
    </row>
    <row r="26" spans="1:72" ht="12" customHeight="1">
      <c r="E26" s="666">
        <v>18</v>
      </c>
      <c r="F26" s="761"/>
      <c r="G26" s="762"/>
      <c r="H26" s="763"/>
      <c r="I26" s="764" t="str">
        <f t="shared" si="3"/>
        <v/>
      </c>
      <c r="J26" s="768"/>
      <c r="K26" s="228"/>
      <c r="L26" s="228"/>
      <c r="M26" s="653" t="s">
        <v>550</v>
      </c>
      <c r="N26" s="789">
        <f>IF(N15&gt;1,(N25/SQRT(N15))*TINV(1-$P$9/100,(N15-1)),"")</f>
        <v>0.95144870865489395</v>
      </c>
      <c r="O26" s="790" t="str">
        <f>IF($G$6&lt;&gt;"",$G$6,"")</f>
        <v>LSAT score</v>
      </c>
      <c r="P26" s="791"/>
      <c r="Q26" s="791"/>
      <c r="R26" s="791"/>
      <c r="S26" s="338"/>
      <c r="T26" s="179">
        <f t="shared" si="1"/>
        <v>3.5499999999999997E-2</v>
      </c>
      <c r="AA26" s="180">
        <f t="shared" si="2"/>
        <v>3.5499999999999997E-2</v>
      </c>
      <c r="BG26" s="792">
        <v>19</v>
      </c>
      <c r="BH26" s="761"/>
      <c r="BI26" s="762"/>
      <c r="BJ26" s="759"/>
      <c r="BK26" s="794"/>
      <c r="BL26" s="792">
        <v>19</v>
      </c>
      <c r="BM26" s="761"/>
      <c r="BN26" s="762"/>
      <c r="BO26" s="759"/>
      <c r="BQ26" s="792">
        <v>19</v>
      </c>
      <c r="BR26" s="761">
        <v>70</v>
      </c>
      <c r="BS26" s="762">
        <v>70</v>
      </c>
      <c r="BT26" s="759"/>
    </row>
    <row r="27" spans="1:72" ht="12" customHeight="1">
      <c r="E27" s="666">
        <v>19</v>
      </c>
      <c r="F27" s="761"/>
      <c r="G27" s="762"/>
      <c r="H27" s="763"/>
      <c r="I27" s="764" t="str">
        <f t="shared" si="3"/>
        <v/>
      </c>
      <c r="J27" s="765"/>
      <c r="K27" s="656"/>
      <c r="L27" s="656"/>
      <c r="M27" s="795" t="s">
        <v>551</v>
      </c>
      <c r="N27" s="789">
        <f>IF(N26&lt;&gt;"",N24-N26,"")</f>
        <v>0.71521795801177279</v>
      </c>
      <c r="O27" s="657" t="s">
        <v>314</v>
      </c>
      <c r="P27" s="657"/>
      <c r="Q27" s="796"/>
      <c r="R27" s="791" t="str">
        <f>IF($H$7&lt;&gt;"",$H$7,"")</f>
        <v/>
      </c>
      <c r="S27" s="338"/>
      <c r="T27" s="179">
        <f t="shared" si="1"/>
        <v>3.5499999999999997E-2</v>
      </c>
      <c r="AA27" s="797">
        <f t="shared" si="2"/>
        <v>3.5499999999999997E-2</v>
      </c>
      <c r="BG27" s="756">
        <v>20</v>
      </c>
      <c r="BH27" s="761"/>
      <c r="BI27" s="762"/>
      <c r="BJ27" s="759"/>
      <c r="BL27" s="756">
        <v>20</v>
      </c>
      <c r="BM27" s="761"/>
      <c r="BN27" s="762"/>
      <c r="BO27" s="759"/>
      <c r="BP27" s="794"/>
      <c r="BQ27" s="756">
        <v>20</v>
      </c>
      <c r="BR27" s="761">
        <v>70</v>
      </c>
      <c r="BS27" s="762">
        <v>76</v>
      </c>
      <c r="BT27" s="759"/>
    </row>
    <row r="28" spans="1:72" ht="12" customHeight="1">
      <c r="E28" s="621">
        <v>20</v>
      </c>
      <c r="F28" s="761"/>
      <c r="G28" s="762"/>
      <c r="H28" s="763"/>
      <c r="I28" s="764" t="str">
        <f t="shared" si="3"/>
        <v/>
      </c>
      <c r="J28" s="765"/>
      <c r="K28" s="657"/>
      <c r="L28" s="657"/>
      <c r="M28" s="657"/>
      <c r="N28" s="798">
        <f>IF(N26&lt;&gt;"",N24+N26,"")</f>
        <v>2.6181153753215609</v>
      </c>
      <c r="O28" s="796" t="s">
        <v>316</v>
      </c>
      <c r="P28" s="657"/>
      <c r="Q28" s="657"/>
      <c r="R28" s="657"/>
      <c r="S28" s="657"/>
      <c r="T28" s="179">
        <f t="shared" si="1"/>
        <v>3.5499999999999997E-2</v>
      </c>
      <c r="AA28" s="180">
        <f t="shared" si="2"/>
        <v>3.5499999999999997E-2</v>
      </c>
      <c r="BG28" s="756">
        <v>21</v>
      </c>
      <c r="BH28" s="761"/>
      <c r="BI28" s="762"/>
      <c r="BJ28" s="759"/>
      <c r="BL28" s="756">
        <v>21</v>
      </c>
      <c r="BM28" s="761"/>
      <c r="BN28" s="762"/>
      <c r="BO28" s="759"/>
      <c r="BQ28" s="756">
        <v>21</v>
      </c>
      <c r="BR28" s="761">
        <v>75</v>
      </c>
      <c r="BS28" s="762">
        <v>77</v>
      </c>
      <c r="BT28" s="759"/>
    </row>
    <row r="29" spans="1:72" ht="12" customHeight="1">
      <c r="E29" s="621">
        <v>21</v>
      </c>
      <c r="F29" s="761"/>
      <c r="G29" s="762"/>
      <c r="H29" s="763"/>
      <c r="I29" s="764" t="str">
        <f t="shared" si="3"/>
        <v/>
      </c>
      <c r="J29" s="768"/>
      <c r="K29" s="228"/>
      <c r="L29" s="228"/>
      <c r="M29" s="799" t="s">
        <v>552</v>
      </c>
      <c r="N29" s="800">
        <f>N24</f>
        <v>1.6666666666666667</v>
      </c>
      <c r="O29" s="791" t="str">
        <f>IF($G$6&lt;&gt;"",$G$6,"")</f>
        <v>LSAT score</v>
      </c>
      <c r="P29" s="791"/>
      <c r="Q29" s="791"/>
      <c r="R29" s="791"/>
      <c r="S29" s="338"/>
      <c r="T29" s="179">
        <f t="shared" si="1"/>
        <v>3.5499999999999997E-2</v>
      </c>
      <c r="W29" s="688"/>
      <c r="X29" s="688"/>
      <c r="AA29" s="180">
        <f t="shared" si="2"/>
        <v>3.5499999999999997E-2</v>
      </c>
      <c r="BG29" s="792">
        <v>22</v>
      </c>
      <c r="BH29" s="761"/>
      <c r="BI29" s="762"/>
      <c r="BJ29" s="759"/>
      <c r="BL29" s="792">
        <v>22</v>
      </c>
      <c r="BM29" s="761"/>
      <c r="BN29" s="762"/>
      <c r="BO29" s="759"/>
      <c r="BQ29" s="792">
        <v>22</v>
      </c>
      <c r="BR29" s="761">
        <v>71</v>
      </c>
      <c r="BS29" s="762">
        <v>75</v>
      </c>
      <c r="BT29" s="759"/>
    </row>
    <row r="30" spans="1:72" ht="12" customHeight="1">
      <c r="E30" s="666">
        <v>22</v>
      </c>
      <c r="F30" s="761"/>
      <c r="G30" s="762"/>
      <c r="H30" s="763"/>
      <c r="I30" s="764" t="str">
        <f t="shared" si="3"/>
        <v/>
      </c>
      <c r="J30" s="765"/>
      <c r="K30" s="228"/>
      <c r="L30" s="228"/>
      <c r="M30" s="801" t="s">
        <v>553</v>
      </c>
      <c r="N30" s="802">
        <f>IF(AND(X3,N25&gt;0),N24/(N25/SQRT(N15)),"")</f>
        <v>3.8554980047802991</v>
      </c>
      <c r="O30" s="803" t="s">
        <v>323</v>
      </c>
      <c r="P30" s="804">
        <f>IF(X3,N15-1,"")</f>
        <v>11</v>
      </c>
      <c r="Q30" s="805"/>
      <c r="R30" s="228"/>
      <c r="S30" s="338"/>
      <c r="T30" s="179">
        <f t="shared" si="1"/>
        <v>3.5499999999999997E-2</v>
      </c>
      <c r="AA30" s="180">
        <f t="shared" si="2"/>
        <v>3.5499999999999997E-2</v>
      </c>
      <c r="BG30" s="756">
        <v>23</v>
      </c>
      <c r="BH30" s="761"/>
      <c r="BI30" s="762"/>
      <c r="BJ30" s="759"/>
      <c r="BL30" s="756">
        <v>23</v>
      </c>
      <c r="BM30" s="761"/>
      <c r="BN30" s="762"/>
      <c r="BO30" s="759"/>
      <c r="BQ30" s="756">
        <v>23</v>
      </c>
      <c r="BR30" s="761">
        <v>76</v>
      </c>
      <c r="BS30" s="762">
        <v>69</v>
      </c>
      <c r="BT30" s="759"/>
    </row>
    <row r="31" spans="1:72" ht="12" customHeight="1">
      <c r="E31" s="621">
        <v>23</v>
      </c>
      <c r="F31" s="761"/>
      <c r="G31" s="762"/>
      <c r="H31" s="763"/>
      <c r="I31" s="764" t="str">
        <f t="shared" si="3"/>
        <v/>
      </c>
      <c r="J31" s="765"/>
      <c r="K31" s="228"/>
      <c r="L31" s="228"/>
      <c r="M31" s="806" t="s">
        <v>554</v>
      </c>
      <c r="N31" s="807">
        <f>IF(AND(X3,N25&gt;0),TDIST(ABS(N30),P30,2),"")</f>
        <v>2.6740009075915945E-3</v>
      </c>
      <c r="O31" s="228"/>
      <c r="P31" s="228"/>
      <c r="Q31" s="228"/>
      <c r="R31" s="228"/>
      <c r="S31" s="338"/>
      <c r="T31" s="179">
        <f t="shared" si="1"/>
        <v>3.5499999999999997E-2</v>
      </c>
      <c r="X31" s="688"/>
      <c r="AA31" s="180">
        <f t="shared" si="2"/>
        <v>3.5499999999999997E-2</v>
      </c>
      <c r="BG31" s="756">
        <v>24</v>
      </c>
      <c r="BH31" s="761"/>
      <c r="BI31" s="762"/>
      <c r="BJ31" s="759"/>
      <c r="BL31" s="756">
        <v>24</v>
      </c>
      <c r="BM31" s="761"/>
      <c r="BN31" s="762"/>
      <c r="BO31" s="759"/>
      <c r="BQ31" s="756">
        <v>24</v>
      </c>
      <c r="BR31" s="761">
        <v>64</v>
      </c>
      <c r="BS31" s="762">
        <v>77</v>
      </c>
      <c r="BT31" s="759"/>
    </row>
    <row r="32" spans="1:72" ht="12" customHeight="1">
      <c r="E32" s="621">
        <v>24</v>
      </c>
      <c r="F32" s="761"/>
      <c r="G32" s="762"/>
      <c r="H32" s="763"/>
      <c r="I32" s="764" t="str">
        <f t="shared" si="3"/>
        <v/>
      </c>
      <c r="J32" s="765"/>
      <c r="K32" s="340"/>
      <c r="L32" s="340"/>
      <c r="M32" s="340"/>
      <c r="N32" s="340"/>
      <c r="O32" s="340"/>
      <c r="P32" s="340"/>
      <c r="Q32" s="340"/>
      <c r="R32" s="340"/>
      <c r="S32" s="341"/>
      <c r="T32" s="179">
        <f t="shared" si="1"/>
        <v>3.5499999999999997E-2</v>
      </c>
      <c r="AA32" s="180">
        <f t="shared" si="2"/>
        <v>3.5499999999999997E-2</v>
      </c>
      <c r="BG32" s="756">
        <v>25</v>
      </c>
      <c r="BH32" s="761"/>
      <c r="BI32" s="762"/>
      <c r="BJ32" s="759"/>
      <c r="BL32" s="756">
        <v>25</v>
      </c>
      <c r="BM32" s="761"/>
      <c r="BN32" s="762"/>
      <c r="BO32" s="759"/>
      <c r="BQ32" s="756">
        <v>25</v>
      </c>
      <c r="BR32" s="761">
        <v>70</v>
      </c>
      <c r="BS32" s="762">
        <v>70</v>
      </c>
      <c r="BT32" s="759"/>
    </row>
    <row r="33" spans="5:72" ht="12" customHeight="1">
      <c r="E33" s="621">
        <v>25</v>
      </c>
      <c r="F33" s="761"/>
      <c r="G33" s="762"/>
      <c r="H33" s="763"/>
      <c r="I33" s="764" t="str">
        <f t="shared" si="3"/>
        <v/>
      </c>
      <c r="J33" s="765"/>
      <c r="M33" s="947" t="s">
        <v>484</v>
      </c>
      <c r="N33" s="951" t="s">
        <v>1341</v>
      </c>
      <c r="T33" s="179">
        <f t="shared" si="1"/>
        <v>3.5499999999999997E-2</v>
      </c>
      <c r="AA33" s="180">
        <f t="shared" si="2"/>
        <v>3.5499999999999997E-2</v>
      </c>
      <c r="BG33" s="792">
        <v>26</v>
      </c>
      <c r="BH33" s="761"/>
      <c r="BI33" s="762"/>
      <c r="BJ33" s="759"/>
      <c r="BL33" s="792">
        <v>26</v>
      </c>
      <c r="BM33" s="761"/>
      <c r="BN33" s="762"/>
      <c r="BO33" s="759"/>
      <c r="BQ33" s="792">
        <v>26</v>
      </c>
      <c r="BR33" s="761">
        <v>65</v>
      </c>
      <c r="BS33" s="762">
        <v>76</v>
      </c>
      <c r="BT33" s="759"/>
    </row>
    <row r="34" spans="5:72" ht="12" customHeight="1">
      <c r="E34" s="666">
        <v>26</v>
      </c>
      <c r="F34" s="761"/>
      <c r="G34" s="762"/>
      <c r="H34" s="763"/>
      <c r="I34" s="764" t="str">
        <f t="shared" si="3"/>
        <v/>
      </c>
      <c r="J34" s="595"/>
      <c r="K34" s="689">
        <v>10</v>
      </c>
      <c r="L34" s="236"/>
      <c r="M34" s="950" t="s">
        <v>555</v>
      </c>
      <c r="N34" s="679">
        <f>IF(AND(X3,N15&gt;1),C12,"")</f>
        <v>3.1127791343739672</v>
      </c>
      <c r="O34" s="808" t="str">
        <f>IF($G$6&lt;&gt;"",$G$6,"")</f>
        <v>LSAT score</v>
      </c>
      <c r="P34" s="236"/>
      <c r="Q34" s="236"/>
      <c r="R34" s="236"/>
      <c r="S34" s="613"/>
      <c r="T34" s="179">
        <f t="shared" si="1"/>
        <v>3.5499999999999997E-2</v>
      </c>
      <c r="AA34" s="180">
        <f t="shared" si="2"/>
        <v>3.5499999999999997E-2</v>
      </c>
      <c r="BG34" s="756">
        <v>27</v>
      </c>
      <c r="BH34" s="761"/>
      <c r="BI34" s="762"/>
      <c r="BJ34" s="759"/>
      <c r="BL34" s="756">
        <v>27</v>
      </c>
      <c r="BM34" s="761"/>
      <c r="BN34" s="762"/>
      <c r="BO34" s="759"/>
      <c r="BQ34" s="756">
        <v>27</v>
      </c>
      <c r="BR34" s="761">
        <v>75</v>
      </c>
      <c r="BS34" s="762">
        <v>65</v>
      </c>
      <c r="BT34" s="759"/>
    </row>
    <row r="35" spans="5:72" ht="12" customHeight="1">
      <c r="E35" s="621">
        <v>27</v>
      </c>
      <c r="F35" s="761"/>
      <c r="G35" s="762"/>
      <c r="H35" s="763"/>
      <c r="I35" s="764" t="str">
        <f t="shared" si="3"/>
        <v/>
      </c>
      <c r="J35" s="595"/>
      <c r="K35" s="691" t="s">
        <v>556</v>
      </c>
      <c r="L35" s="352"/>
      <c r="M35" s="809" t="s">
        <v>325</v>
      </c>
      <c r="N35" s="810">
        <f>IF(AND(X3,N15&gt;1,N25&gt;0),N24/C12,"")</f>
        <v>0.53542721623320755</v>
      </c>
      <c r="O35" s="352"/>
      <c r="P35" s="352"/>
      <c r="Q35" s="352"/>
      <c r="R35" s="352"/>
      <c r="S35" s="501"/>
      <c r="T35" s="179">
        <f t="shared" si="1"/>
        <v>3.5499999999999997E-2</v>
      </c>
      <c r="AA35" s="180">
        <f t="shared" si="2"/>
        <v>3.5499999999999997E-2</v>
      </c>
      <c r="BG35" s="756">
        <v>28</v>
      </c>
      <c r="BH35" s="761"/>
      <c r="BI35" s="762"/>
      <c r="BJ35" s="759"/>
      <c r="BL35" s="756">
        <v>28</v>
      </c>
      <c r="BM35" s="761"/>
      <c r="BN35" s="762"/>
      <c r="BO35" s="759"/>
      <c r="BQ35" s="756">
        <v>28</v>
      </c>
      <c r="BR35" s="761">
        <v>66</v>
      </c>
      <c r="BS35" s="762">
        <v>64</v>
      </c>
      <c r="BT35" s="759"/>
    </row>
    <row r="36" spans="5:72" ht="12" customHeight="1">
      <c r="E36" s="621">
        <v>28</v>
      </c>
      <c r="F36" s="761"/>
      <c r="G36" s="762"/>
      <c r="H36" s="763"/>
      <c r="I36" s="764" t="str">
        <f t="shared" si="3"/>
        <v/>
      </c>
      <c r="J36" s="595"/>
      <c r="K36" s="691" t="s">
        <v>557</v>
      </c>
      <c r="L36" s="811"/>
      <c r="M36" s="692" t="s">
        <v>407</v>
      </c>
      <c r="N36" s="812">
        <f>IF(AND(P30&gt;1,N35&lt;&gt;""),N35*$AA$86,"")</f>
        <v>0.49792579226025618</v>
      </c>
      <c r="O36" s="352"/>
      <c r="P36" s="352"/>
      <c r="Q36" s="352"/>
      <c r="R36" s="352"/>
      <c r="S36" s="501"/>
      <c r="T36" s="179">
        <f t="shared" si="1"/>
        <v>3.5499999999999997E-2</v>
      </c>
      <c r="Y36" s="813"/>
      <c r="AA36" s="180">
        <f t="shared" si="2"/>
        <v>3.5499999999999997E-2</v>
      </c>
      <c r="BG36" s="756">
        <v>29</v>
      </c>
      <c r="BH36" s="761"/>
      <c r="BI36" s="762"/>
      <c r="BJ36" s="759"/>
      <c r="BL36" s="756">
        <v>29</v>
      </c>
      <c r="BM36" s="761"/>
      <c r="BN36" s="762"/>
      <c r="BO36" s="759"/>
      <c r="BQ36" s="756">
        <v>29</v>
      </c>
      <c r="BR36" s="761">
        <v>70</v>
      </c>
      <c r="BS36" s="762">
        <v>72</v>
      </c>
      <c r="BT36" s="759"/>
    </row>
    <row r="37" spans="5:72" ht="12" customHeight="1">
      <c r="E37" s="621">
        <v>29</v>
      </c>
      <c r="F37" s="761"/>
      <c r="G37" s="762"/>
      <c r="H37" s="763"/>
      <c r="I37" s="764" t="str">
        <f t="shared" si="3"/>
        <v/>
      </c>
      <c r="J37" s="765"/>
      <c r="K37" s="240"/>
      <c r="L37" s="352"/>
      <c r="M37" s="352"/>
      <c r="N37" s="352"/>
      <c r="O37" s="352"/>
      <c r="P37" s="352"/>
      <c r="Q37" s="695" t="s">
        <v>558</v>
      </c>
      <c r="R37" s="352"/>
      <c r="S37" s="501"/>
      <c r="T37" s="179"/>
      <c r="X37" s="185"/>
      <c r="AA37" s="495"/>
      <c r="BG37" s="792">
        <v>30</v>
      </c>
      <c r="BH37" s="761"/>
      <c r="BI37" s="762"/>
      <c r="BJ37" s="759"/>
      <c r="BL37" s="792">
        <v>30</v>
      </c>
      <c r="BM37" s="761"/>
      <c r="BN37" s="762"/>
      <c r="BO37" s="759"/>
      <c r="BQ37" s="792">
        <v>30</v>
      </c>
      <c r="BR37" s="761">
        <v>70</v>
      </c>
      <c r="BS37" s="762">
        <v>71</v>
      </c>
      <c r="BT37" s="759"/>
    </row>
    <row r="38" spans="5:72" ht="12" customHeight="1">
      <c r="E38" s="666">
        <v>30</v>
      </c>
      <c r="F38" s="761"/>
      <c r="G38" s="762"/>
      <c r="H38" s="763"/>
      <c r="I38" s="764" t="str">
        <f t="shared" si="3"/>
        <v/>
      </c>
      <c r="J38" s="765"/>
      <c r="K38" s="240"/>
      <c r="L38" s="352"/>
      <c r="M38" s="352"/>
      <c r="N38" s="352"/>
      <c r="O38" s="814" t="s">
        <v>326</v>
      </c>
      <c r="P38" s="693">
        <f>IF(C11,cidpl*N25/(C12*SQRT(N15)),"")</f>
        <v>0.17763759941265639</v>
      </c>
      <c r="Q38" s="698" t="s">
        <v>327</v>
      </c>
      <c r="R38" s="693">
        <f>IF(C11,cidpu*N25/(C12*SQRT(N15)),"")</f>
        <v>0.87879962685996127</v>
      </c>
      <c r="S38" s="815" t="s">
        <v>316</v>
      </c>
      <c r="T38" s="179"/>
      <c r="AA38" s="495"/>
      <c r="BG38" s="756">
        <v>31</v>
      </c>
      <c r="BH38" s="761"/>
      <c r="BI38" s="762"/>
      <c r="BJ38" s="759"/>
      <c r="BL38" s="756">
        <v>31</v>
      </c>
      <c r="BM38" s="761"/>
      <c r="BN38" s="762"/>
      <c r="BO38" s="759"/>
      <c r="BQ38" s="756">
        <v>31</v>
      </c>
      <c r="BR38" s="761">
        <v>64</v>
      </c>
      <c r="BS38" s="762">
        <v>63</v>
      </c>
      <c r="BT38" s="759"/>
    </row>
    <row r="39" spans="5:72" ht="12" customHeight="1">
      <c r="E39" s="621">
        <v>31</v>
      </c>
      <c r="F39" s="761"/>
      <c r="G39" s="762"/>
      <c r="H39" s="763"/>
      <c r="I39" s="764" t="str">
        <f t="shared" si="3"/>
        <v/>
      </c>
      <c r="J39" s="765"/>
      <c r="K39" s="240"/>
      <c r="L39" s="352"/>
      <c r="M39" s="352"/>
      <c r="N39" s="692" t="s">
        <v>559</v>
      </c>
      <c r="O39" s="693">
        <f>IF(C11,(R38-P38)/2,"")</f>
        <v>0.35058101372365247</v>
      </c>
      <c r="P39" s="352"/>
      <c r="Q39" s="352"/>
      <c r="R39" s="352"/>
      <c r="S39" s="501"/>
      <c r="T39" s="179"/>
      <c r="AA39" s="495"/>
      <c r="BG39" s="756">
        <v>32</v>
      </c>
      <c r="BH39" s="761"/>
      <c r="BI39" s="762"/>
      <c r="BJ39" s="759"/>
      <c r="BL39" s="756">
        <v>32</v>
      </c>
      <c r="BM39" s="761"/>
      <c r="BN39" s="762"/>
      <c r="BO39" s="759"/>
      <c r="BQ39" s="756">
        <v>32</v>
      </c>
      <c r="BR39" s="761">
        <v>72</v>
      </c>
      <c r="BS39" s="762">
        <v>78</v>
      </c>
      <c r="BT39" s="759"/>
    </row>
    <row r="40" spans="5:72" ht="12" customHeight="1">
      <c r="E40" s="621">
        <v>32</v>
      </c>
      <c r="F40" s="761"/>
      <c r="G40" s="762"/>
      <c r="H40" s="763"/>
      <c r="I40" s="764" t="str">
        <f t="shared" si="3"/>
        <v/>
      </c>
      <c r="J40" s="765"/>
      <c r="K40" s="816"/>
      <c r="L40" s="817"/>
      <c r="M40" s="817"/>
      <c r="N40" s="817"/>
      <c r="O40" s="817"/>
      <c r="P40" s="817"/>
      <c r="Q40" s="817"/>
      <c r="R40" s="817"/>
      <c r="S40" s="818"/>
      <c r="T40" s="179"/>
      <c r="AA40" s="495"/>
      <c r="BG40" s="756">
        <v>33</v>
      </c>
      <c r="BH40" s="761"/>
      <c r="BI40" s="762"/>
      <c r="BJ40" s="759"/>
      <c r="BL40" s="756">
        <v>33</v>
      </c>
      <c r="BM40" s="761"/>
      <c r="BN40" s="762"/>
      <c r="BO40" s="759"/>
      <c r="BQ40" s="756">
        <v>33</v>
      </c>
      <c r="BR40" s="761">
        <v>63</v>
      </c>
      <c r="BS40" s="762">
        <v>71</v>
      </c>
      <c r="BT40" s="759"/>
    </row>
    <row r="41" spans="5:72" ht="12" customHeight="1">
      <c r="E41" s="621">
        <v>33</v>
      </c>
      <c r="F41" s="761"/>
      <c r="G41" s="762"/>
      <c r="H41" s="763"/>
      <c r="I41" s="764" t="str">
        <f t="shared" si="3"/>
        <v/>
      </c>
      <c r="J41" s="765"/>
      <c r="T41" s="179"/>
      <c r="AA41" s="495"/>
      <c r="BG41" s="792">
        <v>34</v>
      </c>
      <c r="BH41" s="761"/>
      <c r="BI41" s="762"/>
      <c r="BJ41" s="759"/>
      <c r="BL41" s="792">
        <v>34</v>
      </c>
      <c r="BM41" s="761"/>
      <c r="BN41" s="762"/>
      <c r="BO41" s="759"/>
      <c r="BQ41" s="792">
        <v>34</v>
      </c>
      <c r="BR41" s="761">
        <v>68</v>
      </c>
      <c r="BS41" s="762">
        <v>77</v>
      </c>
      <c r="BT41" s="759"/>
    </row>
    <row r="42" spans="5:72" ht="12" customHeight="1">
      <c r="E42" s="666">
        <v>34</v>
      </c>
      <c r="F42" s="761"/>
      <c r="G42" s="762"/>
      <c r="H42" s="763"/>
      <c r="I42" s="764" t="str">
        <f t="shared" si="3"/>
        <v/>
      </c>
      <c r="J42" s="765"/>
      <c r="K42" s="181"/>
      <c r="L42" s="181"/>
      <c r="M42" s="181"/>
      <c r="N42" s="181"/>
      <c r="O42" s="181"/>
      <c r="P42" s="181"/>
      <c r="Q42" s="181"/>
      <c r="R42" s="181"/>
      <c r="S42" s="181"/>
      <c r="T42" s="179"/>
      <c r="AA42" s="495"/>
      <c r="BG42" s="756">
        <v>35</v>
      </c>
      <c r="BH42" s="761"/>
      <c r="BI42" s="762"/>
      <c r="BJ42" s="759"/>
      <c r="BL42" s="756">
        <v>35</v>
      </c>
      <c r="BM42" s="761"/>
      <c r="BN42" s="762"/>
      <c r="BO42" s="759"/>
      <c r="BQ42" s="756">
        <v>35</v>
      </c>
      <c r="BR42" s="761">
        <v>64</v>
      </c>
      <c r="BS42" s="762">
        <v>67</v>
      </c>
      <c r="BT42" s="759"/>
    </row>
    <row r="43" spans="5:72" ht="12" customHeight="1">
      <c r="E43" s="621">
        <v>35</v>
      </c>
      <c r="F43" s="761"/>
      <c r="G43" s="762"/>
      <c r="H43" s="763"/>
      <c r="I43" s="764" t="str">
        <f t="shared" si="3"/>
        <v/>
      </c>
      <c r="J43" s="765"/>
      <c r="K43" s="181"/>
      <c r="L43" s="181"/>
      <c r="M43" s="181"/>
      <c r="N43" s="181"/>
      <c r="O43" s="181"/>
      <c r="P43" s="181"/>
      <c r="Q43" s="181"/>
      <c r="R43" s="181"/>
      <c r="S43" s="181"/>
      <c r="T43"/>
      <c r="U43"/>
      <c r="AA43" s="495"/>
      <c r="BG43" s="756">
        <v>36</v>
      </c>
      <c r="BH43" s="761"/>
      <c r="BI43" s="762"/>
      <c r="BJ43" s="759"/>
      <c r="BL43" s="756">
        <v>36</v>
      </c>
      <c r="BM43" s="761"/>
      <c r="BN43" s="762"/>
      <c r="BO43" s="759"/>
      <c r="BQ43" s="756">
        <v>36</v>
      </c>
      <c r="BR43" s="761">
        <v>61</v>
      </c>
      <c r="BS43" s="762">
        <v>66</v>
      </c>
      <c r="BT43" s="759"/>
    </row>
    <row r="44" spans="5:72" ht="12" customHeight="1">
      <c r="E44" s="621">
        <v>36</v>
      </c>
      <c r="F44" s="761"/>
      <c r="G44" s="762"/>
      <c r="H44" s="763"/>
      <c r="I44" s="764" t="str">
        <f t="shared" si="3"/>
        <v/>
      </c>
      <c r="J44" s="765"/>
      <c r="T44"/>
      <c r="U44"/>
      <c r="AA44" s="495"/>
      <c r="BG44" s="756">
        <v>37</v>
      </c>
      <c r="BH44" s="761"/>
      <c r="BI44" s="762"/>
      <c r="BJ44" s="759"/>
      <c r="BL44" s="756">
        <v>37</v>
      </c>
      <c r="BM44" s="761"/>
      <c r="BN44" s="762"/>
      <c r="BO44" s="759"/>
      <c r="BQ44" s="756">
        <v>37</v>
      </c>
      <c r="BR44" s="761">
        <v>63</v>
      </c>
      <c r="BS44" s="762">
        <v>73</v>
      </c>
      <c r="BT44" s="759"/>
    </row>
    <row r="45" spans="5:72" ht="12" customHeight="1">
      <c r="E45" s="621">
        <v>37</v>
      </c>
      <c r="F45" s="761"/>
      <c r="G45" s="762"/>
      <c r="H45" s="763"/>
      <c r="I45" s="764" t="str">
        <f t="shared" si="3"/>
        <v/>
      </c>
      <c r="J45" s="765"/>
      <c r="T45"/>
      <c r="U45"/>
      <c r="AA45" s="495"/>
      <c r="BG45" s="792">
        <v>38</v>
      </c>
      <c r="BH45" s="761"/>
      <c r="BI45" s="762"/>
      <c r="BJ45" s="759"/>
      <c r="BL45" s="792">
        <v>38</v>
      </c>
      <c r="BM45" s="761"/>
      <c r="BN45" s="762"/>
      <c r="BO45" s="759"/>
      <c r="BQ45" s="792">
        <v>38</v>
      </c>
      <c r="BR45" s="761">
        <v>76</v>
      </c>
      <c r="BS45" s="762">
        <v>75</v>
      </c>
      <c r="BT45" s="759"/>
    </row>
    <row r="46" spans="5:72" ht="12" customHeight="1">
      <c r="E46" s="666">
        <v>38</v>
      </c>
      <c r="F46" s="761"/>
      <c r="G46" s="762"/>
      <c r="H46" s="763"/>
      <c r="I46" s="764" t="str">
        <f t="shared" si="3"/>
        <v/>
      </c>
      <c r="J46" s="765"/>
      <c r="T46"/>
      <c r="U46"/>
      <c r="AA46" s="495"/>
      <c r="BG46" s="756">
        <v>39</v>
      </c>
      <c r="BH46" s="761"/>
      <c r="BI46" s="762"/>
      <c r="BJ46" s="759"/>
      <c r="BL46" s="756">
        <v>39</v>
      </c>
      <c r="BM46" s="761"/>
      <c r="BN46" s="762"/>
      <c r="BO46" s="759"/>
      <c r="BQ46" s="756">
        <v>39</v>
      </c>
      <c r="BR46" s="761">
        <v>71</v>
      </c>
      <c r="BS46" s="762">
        <v>75</v>
      </c>
      <c r="BT46" s="759"/>
    </row>
    <row r="47" spans="5:72" ht="12" customHeight="1">
      <c r="E47" s="621">
        <v>39</v>
      </c>
      <c r="F47" s="761"/>
      <c r="G47" s="762"/>
      <c r="H47" s="763"/>
      <c r="I47" s="764" t="str">
        <f t="shared" si="3"/>
        <v/>
      </c>
      <c r="J47" s="765"/>
      <c r="T47" s="179"/>
      <c r="AA47" s="495"/>
      <c r="BG47" s="756">
        <v>40</v>
      </c>
      <c r="BH47" s="761"/>
      <c r="BI47" s="762"/>
      <c r="BJ47" s="759"/>
      <c r="BL47" s="756">
        <v>40</v>
      </c>
      <c r="BM47" s="761"/>
      <c r="BN47" s="762"/>
      <c r="BO47" s="759"/>
      <c r="BQ47" s="756">
        <v>40</v>
      </c>
      <c r="BR47" s="761"/>
      <c r="BS47" s="762"/>
      <c r="BT47" s="759"/>
    </row>
    <row r="48" spans="5:72" ht="12" customHeight="1">
      <c r="E48" s="621">
        <v>40</v>
      </c>
      <c r="F48" s="761"/>
      <c r="G48" s="762"/>
      <c r="H48" s="763"/>
      <c r="I48" s="764" t="str">
        <f t="shared" si="3"/>
        <v/>
      </c>
      <c r="J48" s="765"/>
      <c r="T48" s="179"/>
      <c r="AA48" s="495"/>
      <c r="BG48" s="792">
        <v>41</v>
      </c>
      <c r="BH48" s="761"/>
      <c r="BI48" s="762"/>
      <c r="BJ48" s="759"/>
      <c r="BL48" s="792">
        <v>41</v>
      </c>
      <c r="BM48" s="761"/>
      <c r="BN48" s="762"/>
      <c r="BO48" s="759"/>
      <c r="BQ48" s="792">
        <v>41</v>
      </c>
      <c r="BR48" s="761"/>
      <c r="BS48" s="762"/>
      <c r="BT48" s="759"/>
    </row>
    <row r="49" spans="5:72" ht="12" customHeight="1">
      <c r="E49" s="666">
        <v>41</v>
      </c>
      <c r="F49" s="761"/>
      <c r="G49" s="762"/>
      <c r="H49" s="763"/>
      <c r="I49" s="764" t="str">
        <f t="shared" si="3"/>
        <v/>
      </c>
      <c r="J49" s="765"/>
      <c r="T49" s="179"/>
      <c r="AA49" s="495"/>
      <c r="BG49" s="756">
        <v>42</v>
      </c>
      <c r="BH49" s="761"/>
      <c r="BI49" s="762"/>
      <c r="BJ49" s="759"/>
      <c r="BL49" s="756">
        <v>42</v>
      </c>
      <c r="BM49" s="761"/>
      <c r="BN49" s="762"/>
      <c r="BO49" s="759"/>
      <c r="BQ49" s="756">
        <v>42</v>
      </c>
      <c r="BR49" s="761"/>
      <c r="BS49" s="762"/>
      <c r="BT49" s="759"/>
    </row>
    <row r="50" spans="5:72" ht="12" customHeight="1">
      <c r="E50" s="621">
        <v>42</v>
      </c>
      <c r="F50" s="761"/>
      <c r="G50" s="762"/>
      <c r="H50" s="763"/>
      <c r="I50" s="764" t="str">
        <f t="shared" si="3"/>
        <v/>
      </c>
      <c r="J50" s="765"/>
      <c r="T50" s="179"/>
      <c r="AA50" s="495"/>
      <c r="BG50" s="756">
        <v>43</v>
      </c>
      <c r="BH50" s="761"/>
      <c r="BI50" s="762"/>
      <c r="BJ50" s="759"/>
      <c r="BL50" s="756">
        <v>43</v>
      </c>
      <c r="BM50" s="761"/>
      <c r="BN50" s="762"/>
      <c r="BO50" s="759"/>
      <c r="BQ50" s="756">
        <v>43</v>
      </c>
      <c r="BR50" s="761"/>
      <c r="BS50" s="762"/>
      <c r="BT50" s="759"/>
    </row>
    <row r="51" spans="5:72" ht="12" customHeight="1">
      <c r="E51" s="621">
        <v>43</v>
      </c>
      <c r="F51" s="761"/>
      <c r="G51" s="762"/>
      <c r="H51" s="763"/>
      <c r="I51" s="764" t="str">
        <f t="shared" si="3"/>
        <v/>
      </c>
      <c r="J51" s="765"/>
      <c r="T51" s="179"/>
      <c r="AA51" s="495"/>
      <c r="BG51" s="792">
        <v>44</v>
      </c>
      <c r="BH51" s="761"/>
      <c r="BI51" s="762"/>
      <c r="BJ51" s="759"/>
      <c r="BL51" s="792">
        <v>44</v>
      </c>
      <c r="BM51" s="761"/>
      <c r="BN51" s="762"/>
      <c r="BO51" s="759"/>
      <c r="BQ51" s="792">
        <v>44</v>
      </c>
      <c r="BR51" s="761"/>
      <c r="BS51" s="762"/>
      <c r="BT51" s="759"/>
    </row>
    <row r="52" spans="5:72" ht="12" customHeight="1">
      <c r="E52" s="666">
        <v>44</v>
      </c>
      <c r="F52" s="761"/>
      <c r="G52" s="762"/>
      <c r="H52" s="763"/>
      <c r="I52" s="764" t="str">
        <f t="shared" si="3"/>
        <v/>
      </c>
      <c r="J52" s="765"/>
      <c r="T52" s="179"/>
      <c r="AA52" s="495"/>
      <c r="BG52" s="756">
        <v>45</v>
      </c>
      <c r="BH52" s="761"/>
      <c r="BI52" s="762"/>
      <c r="BJ52" s="759"/>
      <c r="BL52" s="756">
        <v>45</v>
      </c>
      <c r="BM52" s="761"/>
      <c r="BN52" s="762"/>
      <c r="BO52" s="759"/>
      <c r="BQ52" s="756">
        <v>45</v>
      </c>
      <c r="BR52" s="761"/>
      <c r="BS52" s="762"/>
      <c r="BT52" s="759"/>
    </row>
    <row r="53" spans="5:72" ht="12" customHeight="1">
      <c r="E53" s="621">
        <v>45</v>
      </c>
      <c r="F53" s="761"/>
      <c r="G53" s="762"/>
      <c r="H53" s="763"/>
      <c r="I53" s="764" t="str">
        <f t="shared" si="3"/>
        <v/>
      </c>
      <c r="J53" s="765"/>
      <c r="T53" s="179"/>
      <c r="AA53" s="495"/>
      <c r="BG53" s="756">
        <v>46</v>
      </c>
      <c r="BH53" s="761"/>
      <c r="BI53" s="762"/>
      <c r="BJ53" s="759"/>
      <c r="BL53" s="756">
        <v>46</v>
      </c>
      <c r="BM53" s="761"/>
      <c r="BN53" s="762"/>
      <c r="BO53" s="759"/>
      <c r="BQ53" s="756">
        <v>46</v>
      </c>
      <c r="BR53" s="761"/>
      <c r="BS53" s="762"/>
      <c r="BT53" s="759"/>
    </row>
    <row r="54" spans="5:72" ht="12" customHeight="1">
      <c r="E54" s="621">
        <v>46</v>
      </c>
      <c r="F54" s="761"/>
      <c r="G54" s="762"/>
      <c r="H54" s="763"/>
      <c r="I54" s="764" t="str">
        <f t="shared" si="3"/>
        <v/>
      </c>
      <c r="J54" s="765"/>
      <c r="T54" s="179"/>
      <c r="AA54" s="495"/>
      <c r="BG54" s="792">
        <v>47</v>
      </c>
      <c r="BH54" s="761"/>
      <c r="BI54" s="762"/>
      <c r="BJ54" s="759"/>
      <c r="BL54" s="792">
        <v>47</v>
      </c>
      <c r="BM54" s="761"/>
      <c r="BN54" s="762"/>
      <c r="BO54" s="759"/>
      <c r="BQ54" s="792">
        <v>47</v>
      </c>
      <c r="BR54" s="761"/>
      <c r="BS54" s="762"/>
      <c r="BT54" s="759"/>
    </row>
    <row r="55" spans="5:72" ht="12" customHeight="1">
      <c r="E55" s="666">
        <v>47</v>
      </c>
      <c r="F55" s="761"/>
      <c r="G55" s="762"/>
      <c r="H55" s="763"/>
      <c r="I55" s="764" t="str">
        <f t="shared" si="3"/>
        <v/>
      </c>
      <c r="J55" s="765"/>
      <c r="K55" s="181"/>
      <c r="L55" s="181"/>
      <c r="M55" s="181"/>
      <c r="N55" s="181"/>
      <c r="O55" s="181"/>
      <c r="P55" s="181"/>
      <c r="Q55" s="181"/>
      <c r="R55" s="181"/>
      <c r="S55" s="181"/>
      <c r="T55" s="179"/>
      <c r="AA55" s="495"/>
      <c r="BG55" s="756">
        <v>48</v>
      </c>
      <c r="BH55" s="761"/>
      <c r="BI55" s="762"/>
      <c r="BJ55" s="759"/>
      <c r="BL55" s="756">
        <v>48</v>
      </c>
      <c r="BM55" s="761"/>
      <c r="BN55" s="762"/>
      <c r="BO55" s="759"/>
      <c r="BQ55" s="756">
        <v>48</v>
      </c>
      <c r="BR55" s="761"/>
      <c r="BS55" s="762"/>
      <c r="BT55" s="759"/>
    </row>
    <row r="56" spans="5:72" ht="12" customHeight="1">
      <c r="E56" s="621">
        <v>48</v>
      </c>
      <c r="F56" s="761"/>
      <c r="G56" s="762"/>
      <c r="H56" s="763"/>
      <c r="I56" s="764" t="str">
        <f t="shared" si="3"/>
        <v/>
      </c>
      <c r="J56" s="765"/>
      <c r="K56" s="181"/>
      <c r="L56" s="181"/>
      <c r="M56" s="181"/>
      <c r="N56" s="181"/>
      <c r="O56" s="181"/>
      <c r="P56" s="181"/>
      <c r="Q56" s="181"/>
      <c r="R56" s="181"/>
      <c r="S56" s="181"/>
      <c r="T56" s="179"/>
      <c r="AA56" s="495"/>
      <c r="BG56" s="756">
        <v>49</v>
      </c>
      <c r="BH56" s="761"/>
      <c r="BI56" s="762"/>
      <c r="BJ56" s="759"/>
      <c r="BL56" s="756">
        <v>49</v>
      </c>
      <c r="BM56" s="761"/>
      <c r="BN56" s="762"/>
      <c r="BO56" s="759"/>
      <c r="BQ56" s="756">
        <v>49</v>
      </c>
      <c r="BR56" s="761"/>
      <c r="BS56" s="762"/>
      <c r="BT56" s="759"/>
    </row>
    <row r="57" spans="5:72" ht="12" customHeight="1">
      <c r="E57" s="621">
        <v>49</v>
      </c>
      <c r="F57" s="761"/>
      <c r="G57" s="762"/>
      <c r="H57" s="763"/>
      <c r="I57" s="764" t="str">
        <f t="shared" si="3"/>
        <v/>
      </c>
      <c r="J57" s="765"/>
      <c r="K57" s="181"/>
      <c r="L57" s="181"/>
      <c r="M57" s="181"/>
      <c r="N57" s="181"/>
      <c r="O57" s="181"/>
      <c r="P57" s="181"/>
      <c r="Q57" s="181"/>
      <c r="R57" s="181"/>
      <c r="S57" s="181"/>
      <c r="T57" s="179"/>
      <c r="BG57" s="792">
        <v>50</v>
      </c>
      <c r="BH57" s="761"/>
      <c r="BI57" s="762"/>
      <c r="BJ57" s="759"/>
      <c r="BL57" s="792">
        <v>50</v>
      </c>
      <c r="BM57" s="761"/>
      <c r="BN57" s="762"/>
      <c r="BO57" s="759"/>
      <c r="BQ57" s="792">
        <v>50</v>
      </c>
      <c r="BR57" s="761"/>
      <c r="BS57" s="762"/>
      <c r="BT57" s="759"/>
    </row>
    <row r="58" spans="5:72" ht="12" customHeight="1">
      <c r="E58" s="666">
        <v>50</v>
      </c>
      <c r="F58" s="761"/>
      <c r="G58" s="762"/>
      <c r="H58" s="763"/>
      <c r="I58" s="764" t="str">
        <f t="shared" si="3"/>
        <v/>
      </c>
      <c r="J58" s="765"/>
      <c r="K58" s="181"/>
      <c r="L58" s="181"/>
      <c r="M58" s="181"/>
      <c r="N58" s="181"/>
      <c r="O58" s="181"/>
      <c r="P58" s="181"/>
      <c r="Q58" s="181"/>
      <c r="R58" s="181"/>
      <c r="S58" s="181"/>
      <c r="T58" s="179"/>
      <c r="BG58" s="756">
        <v>51</v>
      </c>
      <c r="BH58" s="761"/>
      <c r="BI58" s="762"/>
      <c r="BJ58" s="759"/>
      <c r="BL58" s="756">
        <v>51</v>
      </c>
      <c r="BM58" s="761"/>
      <c r="BN58" s="762"/>
      <c r="BO58" s="759"/>
      <c r="BQ58" s="756">
        <v>51</v>
      </c>
      <c r="BR58" s="761"/>
      <c r="BS58" s="762"/>
      <c r="BT58" s="759"/>
    </row>
    <row r="59" spans="5:72" ht="12" customHeight="1">
      <c r="E59" s="621">
        <v>51</v>
      </c>
      <c r="F59" s="761"/>
      <c r="G59" s="762"/>
      <c r="H59" s="763"/>
      <c r="I59" s="764" t="str">
        <f t="shared" si="3"/>
        <v/>
      </c>
      <c r="J59" s="765"/>
      <c r="BG59" s="756">
        <v>52</v>
      </c>
      <c r="BH59" s="761"/>
      <c r="BI59" s="762"/>
      <c r="BJ59" s="759"/>
      <c r="BL59" s="756">
        <v>52</v>
      </c>
      <c r="BM59" s="761"/>
      <c r="BN59" s="762"/>
      <c r="BO59" s="759"/>
      <c r="BQ59" s="756">
        <v>52</v>
      </c>
      <c r="BR59" s="761"/>
      <c r="BS59" s="762"/>
      <c r="BT59" s="759"/>
    </row>
    <row r="60" spans="5:72" ht="12" customHeight="1">
      <c r="E60" s="621">
        <v>52</v>
      </c>
      <c r="F60" s="761"/>
      <c r="G60" s="762"/>
      <c r="H60" s="763"/>
      <c r="I60" s="764" t="str">
        <f t="shared" si="3"/>
        <v/>
      </c>
      <c r="J60" s="765"/>
      <c r="BG60" s="792">
        <v>53</v>
      </c>
      <c r="BH60" s="761"/>
      <c r="BI60" s="762"/>
      <c r="BJ60" s="759"/>
      <c r="BL60" s="792">
        <v>53</v>
      </c>
      <c r="BM60" s="761"/>
      <c r="BN60" s="762"/>
      <c r="BO60" s="759"/>
      <c r="BQ60" s="792">
        <v>53</v>
      </c>
      <c r="BR60" s="761"/>
      <c r="BS60" s="762"/>
      <c r="BT60" s="759"/>
    </row>
    <row r="61" spans="5:72" ht="12" customHeight="1">
      <c r="E61" s="666">
        <v>53</v>
      </c>
      <c r="F61" s="761"/>
      <c r="G61" s="762"/>
      <c r="H61" s="763"/>
      <c r="I61" s="764" t="str">
        <f t="shared" si="3"/>
        <v/>
      </c>
      <c r="J61" s="765"/>
      <c r="BG61" s="756">
        <v>54</v>
      </c>
      <c r="BH61" s="761"/>
      <c r="BI61" s="762"/>
      <c r="BJ61" s="759"/>
      <c r="BL61" s="756">
        <v>54</v>
      </c>
      <c r="BM61" s="761"/>
      <c r="BN61" s="762"/>
      <c r="BO61" s="759"/>
      <c r="BQ61" s="756">
        <v>54</v>
      </c>
      <c r="BR61" s="761"/>
      <c r="BS61" s="762"/>
      <c r="BT61" s="759"/>
    </row>
    <row r="62" spans="5:72" ht="12" customHeight="1">
      <c r="E62" s="621">
        <v>54</v>
      </c>
      <c r="F62" s="761"/>
      <c r="G62" s="762"/>
      <c r="H62" s="763"/>
      <c r="I62" s="764" t="str">
        <f t="shared" si="3"/>
        <v/>
      </c>
      <c r="J62" s="765"/>
      <c r="BG62" s="756">
        <v>55</v>
      </c>
      <c r="BH62" s="761"/>
      <c r="BI62" s="762"/>
      <c r="BJ62" s="759"/>
      <c r="BL62" s="756">
        <v>55</v>
      </c>
      <c r="BM62" s="761"/>
      <c r="BN62" s="762"/>
      <c r="BO62" s="759"/>
      <c r="BQ62" s="756">
        <v>55</v>
      </c>
      <c r="BR62" s="761"/>
      <c r="BS62" s="762"/>
      <c r="BT62" s="759"/>
    </row>
    <row r="63" spans="5:72" ht="12" customHeight="1">
      <c r="E63" s="621">
        <v>55</v>
      </c>
      <c r="F63" s="761"/>
      <c r="G63" s="762"/>
      <c r="H63" s="763"/>
      <c r="I63" s="764" t="str">
        <f t="shared" si="3"/>
        <v/>
      </c>
      <c r="J63" s="765"/>
      <c r="BG63" s="792">
        <v>56</v>
      </c>
      <c r="BH63" s="761"/>
      <c r="BI63" s="762"/>
      <c r="BJ63" s="759"/>
      <c r="BL63" s="792">
        <v>56</v>
      </c>
      <c r="BM63" s="761"/>
      <c r="BN63" s="762"/>
      <c r="BO63" s="759"/>
      <c r="BQ63" s="792">
        <v>56</v>
      </c>
      <c r="BR63" s="761"/>
      <c r="BS63" s="762"/>
      <c r="BT63" s="759"/>
    </row>
    <row r="64" spans="5:72" ht="12" customHeight="1">
      <c r="E64" s="666">
        <v>56</v>
      </c>
      <c r="F64" s="761"/>
      <c r="G64" s="762"/>
      <c r="H64" s="763"/>
      <c r="I64" s="764" t="str">
        <f t="shared" si="3"/>
        <v/>
      </c>
      <c r="J64" s="765"/>
      <c r="BG64" s="756">
        <v>57</v>
      </c>
      <c r="BH64" s="761"/>
      <c r="BI64" s="762"/>
      <c r="BJ64" s="759"/>
      <c r="BL64" s="756">
        <v>57</v>
      </c>
      <c r="BM64" s="761"/>
      <c r="BN64" s="762"/>
      <c r="BO64" s="759"/>
      <c r="BQ64" s="756">
        <v>57</v>
      </c>
      <c r="BR64" s="761"/>
      <c r="BS64" s="762"/>
      <c r="BT64" s="759"/>
    </row>
    <row r="65" spans="5:72" ht="12" customHeight="1">
      <c r="E65" s="621">
        <v>57</v>
      </c>
      <c r="F65" s="761"/>
      <c r="G65" s="762"/>
      <c r="H65" s="763"/>
      <c r="I65" s="764" t="str">
        <f t="shared" si="3"/>
        <v/>
      </c>
      <c r="J65" s="765"/>
      <c r="BG65" s="756">
        <v>58</v>
      </c>
      <c r="BH65" s="761"/>
      <c r="BI65" s="762"/>
      <c r="BJ65" s="759"/>
      <c r="BL65" s="756">
        <v>58</v>
      </c>
      <c r="BM65" s="761"/>
      <c r="BN65" s="762"/>
      <c r="BO65" s="759"/>
      <c r="BQ65" s="756">
        <v>58</v>
      </c>
      <c r="BR65" s="761"/>
      <c r="BS65" s="762"/>
      <c r="BT65" s="759"/>
    </row>
    <row r="66" spans="5:72" ht="12" customHeight="1">
      <c r="E66" s="621">
        <v>58</v>
      </c>
      <c r="F66" s="761"/>
      <c r="G66" s="762"/>
      <c r="H66" s="763"/>
      <c r="I66" s="764" t="str">
        <f t="shared" si="3"/>
        <v/>
      </c>
      <c r="J66" s="765"/>
      <c r="BG66" s="792">
        <v>59</v>
      </c>
      <c r="BH66" s="761"/>
      <c r="BI66" s="762"/>
      <c r="BJ66" s="759"/>
      <c r="BL66" s="792">
        <v>59</v>
      </c>
      <c r="BM66" s="761"/>
      <c r="BN66" s="762"/>
      <c r="BO66" s="759"/>
      <c r="BQ66" s="792">
        <v>59</v>
      </c>
      <c r="BR66" s="761"/>
      <c r="BS66" s="762"/>
      <c r="BT66" s="759"/>
    </row>
    <row r="67" spans="5:72" ht="12" customHeight="1">
      <c r="E67" s="666">
        <v>59</v>
      </c>
      <c r="F67" s="761"/>
      <c r="G67" s="762"/>
      <c r="H67" s="763"/>
      <c r="I67" s="764" t="str">
        <f t="shared" si="3"/>
        <v/>
      </c>
      <c r="J67" s="765"/>
      <c r="BG67" s="756">
        <v>60</v>
      </c>
      <c r="BH67" s="761"/>
      <c r="BI67" s="762"/>
      <c r="BJ67" s="759"/>
      <c r="BL67" s="756">
        <v>60</v>
      </c>
      <c r="BM67" s="761"/>
      <c r="BN67" s="762"/>
      <c r="BO67" s="759"/>
      <c r="BQ67" s="756">
        <v>60</v>
      </c>
      <c r="BR67" s="761"/>
      <c r="BS67" s="762"/>
      <c r="BT67" s="759"/>
    </row>
    <row r="68" spans="5:72" ht="12" customHeight="1">
      <c r="E68" s="621">
        <v>60</v>
      </c>
      <c r="F68" s="761"/>
      <c r="G68" s="762"/>
      <c r="H68" s="763"/>
      <c r="I68" s="764" t="str">
        <f t="shared" si="3"/>
        <v/>
      </c>
      <c r="J68" s="765"/>
      <c r="BG68" s="756">
        <v>61</v>
      </c>
      <c r="BH68" s="761"/>
      <c r="BI68" s="762"/>
      <c r="BJ68" s="759"/>
      <c r="BL68" s="756">
        <v>61</v>
      </c>
      <c r="BM68" s="761"/>
      <c r="BN68" s="762"/>
      <c r="BO68" s="759"/>
      <c r="BQ68" s="756">
        <v>61</v>
      </c>
      <c r="BR68" s="761"/>
      <c r="BS68" s="762"/>
      <c r="BT68" s="759"/>
    </row>
    <row r="69" spans="5:72" ht="12" customHeight="1">
      <c r="E69" s="621">
        <v>61</v>
      </c>
      <c r="F69" s="761"/>
      <c r="G69" s="762"/>
      <c r="H69" s="763"/>
      <c r="I69" s="764" t="str">
        <f t="shared" si="3"/>
        <v/>
      </c>
      <c r="J69" s="765"/>
      <c r="BG69" s="792">
        <v>62</v>
      </c>
      <c r="BH69" s="761"/>
      <c r="BI69" s="762"/>
      <c r="BJ69" s="759"/>
      <c r="BL69" s="792">
        <v>62</v>
      </c>
      <c r="BM69" s="761"/>
      <c r="BN69" s="762"/>
      <c r="BO69" s="759"/>
      <c r="BQ69" s="792">
        <v>62</v>
      </c>
      <c r="BR69" s="761"/>
      <c r="BS69" s="762"/>
      <c r="BT69" s="759"/>
    </row>
    <row r="70" spans="5:72" ht="12" customHeight="1">
      <c r="E70" s="666">
        <v>62</v>
      </c>
      <c r="F70" s="761"/>
      <c r="G70" s="762"/>
      <c r="H70" s="763"/>
      <c r="I70" s="764" t="str">
        <f t="shared" si="3"/>
        <v/>
      </c>
      <c r="J70" s="765"/>
      <c r="BG70" s="756">
        <v>63</v>
      </c>
      <c r="BH70" s="761"/>
      <c r="BI70" s="762"/>
      <c r="BJ70" s="759"/>
      <c r="BL70" s="756">
        <v>63</v>
      </c>
      <c r="BM70" s="761"/>
      <c r="BN70" s="762"/>
      <c r="BO70" s="759"/>
      <c r="BQ70" s="756">
        <v>63</v>
      </c>
      <c r="BR70" s="761"/>
      <c r="BS70" s="762"/>
      <c r="BT70" s="759"/>
    </row>
    <row r="71" spans="5:72" ht="12" customHeight="1">
      <c r="E71" s="621">
        <v>63</v>
      </c>
      <c r="F71" s="761"/>
      <c r="G71" s="762"/>
      <c r="H71" s="763"/>
      <c r="I71" s="764" t="str">
        <f t="shared" si="3"/>
        <v/>
      </c>
      <c r="J71" s="765"/>
      <c r="BG71" s="756">
        <v>64</v>
      </c>
      <c r="BH71" s="761"/>
      <c r="BI71" s="762"/>
      <c r="BJ71" s="759"/>
      <c r="BL71" s="756">
        <v>64</v>
      </c>
      <c r="BM71" s="761"/>
      <c r="BN71" s="762"/>
      <c r="BO71" s="759"/>
      <c r="BQ71" s="756">
        <v>64</v>
      </c>
      <c r="BR71" s="761"/>
      <c r="BS71" s="762"/>
      <c r="BT71" s="759"/>
    </row>
    <row r="72" spans="5:72" ht="12" customHeight="1">
      <c r="E72" s="621">
        <v>64</v>
      </c>
      <c r="F72" s="761"/>
      <c r="G72" s="762"/>
      <c r="H72" s="763"/>
      <c r="I72" s="764" t="str">
        <f t="shared" si="3"/>
        <v/>
      </c>
      <c r="J72" s="765"/>
      <c r="BG72" s="792">
        <v>65</v>
      </c>
      <c r="BH72" s="761"/>
      <c r="BI72" s="762"/>
      <c r="BJ72" s="759"/>
      <c r="BL72" s="792">
        <v>65</v>
      </c>
      <c r="BM72" s="761"/>
      <c r="BN72" s="762"/>
      <c r="BO72" s="759"/>
      <c r="BQ72" s="792">
        <v>65</v>
      </c>
      <c r="BR72" s="761"/>
      <c r="BS72" s="762"/>
      <c r="BT72" s="759"/>
    </row>
    <row r="73" spans="5:72" ht="12" customHeight="1">
      <c r="E73" s="666">
        <v>65</v>
      </c>
      <c r="F73" s="761"/>
      <c r="G73" s="762"/>
      <c r="H73" s="763"/>
      <c r="I73" s="764" t="str">
        <f t="shared" ref="I73:I136" si="4">IF(AND(F73&lt;&gt;"",G73&lt;&gt;""),G73-F73,"")</f>
        <v/>
      </c>
      <c r="J73" s="765"/>
      <c r="BG73" s="756">
        <v>66</v>
      </c>
      <c r="BH73" s="761"/>
      <c r="BI73" s="762"/>
      <c r="BJ73" s="759"/>
      <c r="BL73" s="756">
        <v>66</v>
      </c>
      <c r="BM73" s="761"/>
      <c r="BN73" s="762"/>
      <c r="BO73" s="759"/>
      <c r="BQ73" s="756">
        <v>66</v>
      </c>
      <c r="BR73" s="761"/>
      <c r="BS73" s="762"/>
      <c r="BT73" s="759"/>
    </row>
    <row r="74" spans="5:72" ht="12" customHeight="1">
      <c r="E74" s="621">
        <v>66</v>
      </c>
      <c r="F74" s="761"/>
      <c r="G74" s="762"/>
      <c r="H74" s="763"/>
      <c r="I74" s="764" t="str">
        <f t="shared" si="4"/>
        <v/>
      </c>
      <c r="J74" s="765"/>
      <c r="BG74" s="756">
        <v>67</v>
      </c>
      <c r="BH74" s="761"/>
      <c r="BI74" s="762"/>
      <c r="BJ74" s="759"/>
      <c r="BL74" s="756">
        <v>67</v>
      </c>
      <c r="BM74" s="761"/>
      <c r="BN74" s="762"/>
      <c r="BO74" s="759"/>
      <c r="BQ74" s="756">
        <v>67</v>
      </c>
      <c r="BR74" s="761"/>
      <c r="BS74" s="762"/>
      <c r="BT74" s="759"/>
    </row>
    <row r="75" spans="5:72" ht="12" customHeight="1">
      <c r="E75" s="621">
        <v>67</v>
      </c>
      <c r="F75" s="761"/>
      <c r="G75" s="762"/>
      <c r="H75" s="763"/>
      <c r="I75" s="764" t="str">
        <f t="shared" si="4"/>
        <v/>
      </c>
      <c r="J75" s="765"/>
      <c r="BG75" s="792">
        <v>68</v>
      </c>
      <c r="BH75" s="761"/>
      <c r="BI75" s="762"/>
      <c r="BJ75" s="759"/>
      <c r="BL75" s="792">
        <v>68</v>
      </c>
      <c r="BM75" s="761"/>
      <c r="BN75" s="762"/>
      <c r="BO75" s="759"/>
      <c r="BQ75" s="792">
        <v>68</v>
      </c>
      <c r="BR75" s="761"/>
      <c r="BS75" s="762"/>
      <c r="BT75" s="759"/>
    </row>
    <row r="76" spans="5:72" ht="12" customHeight="1">
      <c r="E76" s="666">
        <v>68</v>
      </c>
      <c r="F76" s="761"/>
      <c r="G76" s="762"/>
      <c r="H76" s="763"/>
      <c r="I76" s="764" t="str">
        <f t="shared" si="4"/>
        <v/>
      </c>
      <c r="J76" s="765"/>
      <c r="BG76" s="756">
        <v>69</v>
      </c>
      <c r="BH76" s="761"/>
      <c r="BI76" s="762"/>
      <c r="BJ76" s="759"/>
      <c r="BL76" s="756">
        <v>69</v>
      </c>
      <c r="BM76" s="761"/>
      <c r="BN76" s="762"/>
      <c r="BO76" s="759"/>
      <c r="BQ76" s="756">
        <v>69</v>
      </c>
      <c r="BR76" s="761"/>
      <c r="BS76" s="762"/>
      <c r="BT76" s="759"/>
    </row>
    <row r="77" spans="5:72" ht="12" customHeight="1">
      <c r="E77" s="621">
        <v>69</v>
      </c>
      <c r="F77" s="761"/>
      <c r="G77" s="762"/>
      <c r="H77" s="763"/>
      <c r="I77" s="764" t="str">
        <f t="shared" si="4"/>
        <v/>
      </c>
      <c r="J77" s="765"/>
      <c r="BG77" s="756">
        <v>70</v>
      </c>
      <c r="BH77" s="761"/>
      <c r="BI77" s="762"/>
      <c r="BJ77" s="759"/>
      <c r="BL77" s="756">
        <v>70</v>
      </c>
      <c r="BM77" s="761"/>
      <c r="BN77" s="762"/>
      <c r="BO77" s="759"/>
      <c r="BQ77" s="756">
        <v>70</v>
      </c>
      <c r="BR77" s="761"/>
      <c r="BS77" s="762"/>
      <c r="BT77" s="759"/>
    </row>
    <row r="78" spans="5:72" ht="12" customHeight="1">
      <c r="E78" s="621">
        <v>70</v>
      </c>
      <c r="F78" s="761"/>
      <c r="G78" s="762"/>
      <c r="H78" s="763"/>
      <c r="I78" s="764" t="str">
        <f t="shared" si="4"/>
        <v/>
      </c>
      <c r="J78" s="765"/>
      <c r="BG78" s="792">
        <v>71</v>
      </c>
      <c r="BH78" s="761"/>
      <c r="BI78" s="762"/>
      <c r="BJ78" s="759"/>
      <c r="BL78" s="792">
        <v>71</v>
      </c>
      <c r="BM78" s="761"/>
      <c r="BN78" s="762"/>
      <c r="BO78" s="759"/>
      <c r="BQ78" s="792">
        <v>71</v>
      </c>
      <c r="BR78" s="761"/>
      <c r="BS78" s="762"/>
      <c r="BT78" s="759"/>
    </row>
    <row r="79" spans="5:72" ht="12" customHeight="1">
      <c r="E79" s="666">
        <v>71</v>
      </c>
      <c r="F79" s="761"/>
      <c r="G79" s="762"/>
      <c r="H79" s="763"/>
      <c r="I79" s="764" t="str">
        <f t="shared" si="4"/>
        <v/>
      </c>
      <c r="J79" s="765"/>
      <c r="BG79" s="756">
        <v>72</v>
      </c>
      <c r="BH79" s="761"/>
      <c r="BI79" s="762"/>
      <c r="BJ79" s="759"/>
      <c r="BL79" s="756">
        <v>72</v>
      </c>
      <c r="BM79" s="761"/>
      <c r="BN79" s="762"/>
      <c r="BO79" s="759"/>
      <c r="BQ79" s="756">
        <v>72</v>
      </c>
      <c r="BR79" s="761"/>
      <c r="BS79" s="762"/>
      <c r="BT79" s="759"/>
    </row>
    <row r="80" spans="5:72" ht="12" customHeight="1">
      <c r="E80" s="621">
        <v>72</v>
      </c>
      <c r="F80" s="761"/>
      <c r="G80" s="762"/>
      <c r="H80" s="763"/>
      <c r="I80" s="764" t="str">
        <f t="shared" si="4"/>
        <v/>
      </c>
      <c r="J80" s="765"/>
      <c r="BG80" s="756">
        <v>73</v>
      </c>
      <c r="BH80" s="761"/>
      <c r="BI80" s="762"/>
      <c r="BJ80" s="759"/>
      <c r="BL80" s="756">
        <v>73</v>
      </c>
      <c r="BM80" s="761"/>
      <c r="BN80" s="762"/>
      <c r="BO80" s="759"/>
      <c r="BQ80" s="756">
        <v>73</v>
      </c>
      <c r="BR80" s="761"/>
      <c r="BS80" s="762"/>
      <c r="BT80" s="759"/>
    </row>
    <row r="81" spans="5:72" ht="12" customHeight="1">
      <c r="E81" s="621">
        <v>73</v>
      </c>
      <c r="F81" s="761"/>
      <c r="G81" s="762"/>
      <c r="H81" s="763"/>
      <c r="I81" s="764" t="str">
        <f t="shared" si="4"/>
        <v/>
      </c>
      <c r="J81" s="765"/>
      <c r="BG81" s="792">
        <v>74</v>
      </c>
      <c r="BH81" s="761"/>
      <c r="BI81" s="762"/>
      <c r="BJ81" s="759"/>
      <c r="BL81" s="792">
        <v>74</v>
      </c>
      <c r="BM81" s="761"/>
      <c r="BN81" s="762"/>
      <c r="BO81" s="759"/>
      <c r="BQ81" s="792">
        <v>74</v>
      </c>
      <c r="BR81" s="761"/>
      <c r="BS81" s="762"/>
      <c r="BT81" s="759"/>
    </row>
    <row r="82" spans="5:72" ht="12" customHeight="1">
      <c r="E82" s="666">
        <v>74</v>
      </c>
      <c r="F82" s="761"/>
      <c r="G82" s="762"/>
      <c r="H82" s="763"/>
      <c r="I82" s="764" t="str">
        <f t="shared" si="4"/>
        <v/>
      </c>
      <c r="J82" s="765"/>
      <c r="BG82" s="756">
        <v>75</v>
      </c>
      <c r="BH82" s="761"/>
      <c r="BI82" s="762"/>
      <c r="BJ82" s="759"/>
      <c r="BL82" s="756">
        <v>75</v>
      </c>
      <c r="BM82" s="761"/>
      <c r="BN82" s="762"/>
      <c r="BO82" s="759"/>
      <c r="BQ82" s="756">
        <v>75</v>
      </c>
      <c r="BR82" s="761"/>
      <c r="BS82" s="762"/>
      <c r="BT82" s="759"/>
    </row>
    <row r="83" spans="5:72" ht="12" customHeight="1">
      <c r="E83" s="621">
        <v>75</v>
      </c>
      <c r="F83" s="761"/>
      <c r="G83" s="762"/>
      <c r="H83" s="763"/>
      <c r="I83" s="764" t="str">
        <f t="shared" si="4"/>
        <v/>
      </c>
      <c r="J83" s="765"/>
      <c r="BG83" s="756">
        <v>76</v>
      </c>
      <c r="BH83" s="761"/>
      <c r="BI83" s="762"/>
      <c r="BJ83" s="759"/>
      <c r="BL83" s="756">
        <v>76</v>
      </c>
      <c r="BM83" s="761"/>
      <c r="BN83" s="762"/>
      <c r="BO83" s="759"/>
      <c r="BQ83" s="756">
        <v>76</v>
      </c>
      <c r="BR83" s="761"/>
      <c r="BS83" s="762"/>
      <c r="BT83" s="759"/>
    </row>
    <row r="84" spans="5:72" ht="12" customHeight="1">
      <c r="E84" s="621">
        <v>76</v>
      </c>
      <c r="F84" s="761"/>
      <c r="G84" s="762"/>
      <c r="H84" s="763"/>
      <c r="I84" s="764" t="str">
        <f t="shared" si="4"/>
        <v/>
      </c>
      <c r="J84" s="765"/>
      <c r="BG84" s="792">
        <v>77</v>
      </c>
      <c r="BH84" s="761"/>
      <c r="BI84" s="762"/>
      <c r="BJ84" s="759"/>
      <c r="BL84" s="792">
        <v>77</v>
      </c>
      <c r="BM84" s="761"/>
      <c r="BN84" s="762"/>
      <c r="BO84" s="759"/>
      <c r="BQ84" s="792">
        <v>77</v>
      </c>
      <c r="BR84" s="761"/>
      <c r="BS84" s="762"/>
      <c r="BT84" s="759"/>
    </row>
    <row r="85" spans="5:72" ht="12" customHeight="1">
      <c r="E85" s="666">
        <v>77</v>
      </c>
      <c r="F85" s="761"/>
      <c r="G85" s="762"/>
      <c r="H85" s="763"/>
      <c r="I85" s="764" t="str">
        <f t="shared" si="4"/>
        <v/>
      </c>
      <c r="J85" s="765"/>
      <c r="K85" s="181"/>
      <c r="L85" s="181"/>
      <c r="M85" s="181"/>
      <c r="N85" s="181"/>
      <c r="O85" s="181"/>
      <c r="P85" s="181"/>
      <c r="Q85" s="181"/>
      <c r="R85" s="181"/>
      <c r="S85" s="181"/>
      <c r="T85" s="179"/>
      <c r="Z85" s="181"/>
      <c r="AM85" s="185" t="s">
        <v>328</v>
      </c>
      <c r="AN85" s="211" t="b">
        <v>1</v>
      </c>
      <c r="BG85" s="756">
        <v>78</v>
      </c>
      <c r="BH85" s="761"/>
      <c r="BI85" s="762"/>
      <c r="BJ85" s="759"/>
      <c r="BL85" s="756">
        <v>78</v>
      </c>
      <c r="BM85" s="761"/>
      <c r="BN85" s="762"/>
      <c r="BO85" s="759"/>
      <c r="BQ85" s="756">
        <v>78</v>
      </c>
      <c r="BR85" s="761"/>
      <c r="BS85" s="762"/>
      <c r="BT85" s="759"/>
    </row>
    <row r="86" spans="5:72" ht="12" customHeight="1">
      <c r="E86" s="621">
        <v>78</v>
      </c>
      <c r="F86" s="761"/>
      <c r="G86" s="762"/>
      <c r="H86" s="763"/>
      <c r="I86" s="764" t="str">
        <f t="shared" si="4"/>
        <v/>
      </c>
      <c r="J86" s="765"/>
      <c r="K86" s="181"/>
      <c r="L86" s="181"/>
      <c r="M86" s="181"/>
      <c r="N86" s="181"/>
      <c r="P86" s="181"/>
      <c r="Q86" s="181"/>
      <c r="R86" s="181"/>
      <c r="S86" s="181"/>
      <c r="T86" s="179"/>
      <c r="Z86" s="185" t="s">
        <v>332</v>
      </c>
      <c r="AA86" s="16">
        <f>EXP(GAMMALN(P30/2))/(SQRT(P30/2)*EXP(GAMMALN(P30/2-0.5)))</f>
        <v>0.92995980996861116</v>
      </c>
      <c r="AC86" s="16" t="s">
        <v>497</v>
      </c>
      <c r="AF86" s="187" t="s">
        <v>498</v>
      </c>
      <c r="AH86" s="185" t="s">
        <v>370</v>
      </c>
      <c r="AI86" s="16" t="s">
        <v>716</v>
      </c>
      <c r="AJ86" s="187" t="s">
        <v>640</v>
      </c>
      <c r="AK86" s="187" t="s">
        <v>639</v>
      </c>
      <c r="AL86" s="187" t="s">
        <v>251</v>
      </c>
      <c r="AM86" s="217" t="s">
        <v>335</v>
      </c>
      <c r="AN86" s="16" t="s">
        <v>336</v>
      </c>
      <c r="AO86" s="16" t="s">
        <v>337</v>
      </c>
      <c r="AP86" s="217" t="s">
        <v>340</v>
      </c>
      <c r="AQ86" s="16" t="s">
        <v>341</v>
      </c>
      <c r="AR86" s="16" t="s">
        <v>342</v>
      </c>
      <c r="BG86" s="756">
        <v>79</v>
      </c>
      <c r="BH86" s="761"/>
      <c r="BI86" s="762"/>
      <c r="BJ86" s="759"/>
      <c r="BL86" s="756">
        <v>79</v>
      </c>
      <c r="BM86" s="761"/>
      <c r="BN86" s="762"/>
      <c r="BO86" s="759"/>
      <c r="BQ86" s="756">
        <v>79</v>
      </c>
      <c r="BR86" s="761"/>
      <c r="BS86" s="762"/>
      <c r="BT86" s="759"/>
    </row>
    <row r="87" spans="5:72" ht="12" customHeight="1">
      <c r="E87" s="621">
        <v>79</v>
      </c>
      <c r="F87" s="761"/>
      <c r="G87" s="762"/>
      <c r="H87" s="763"/>
      <c r="I87" s="764" t="str">
        <f t="shared" si="4"/>
        <v/>
      </c>
      <c r="J87" s="765"/>
      <c r="K87" s="196"/>
      <c r="L87" s="196"/>
      <c r="M87" s="181"/>
      <c r="N87" s="181"/>
      <c r="P87" s="181"/>
      <c r="Q87" s="181"/>
      <c r="R87" s="181"/>
      <c r="V87" s="16" t="s">
        <v>432</v>
      </c>
      <c r="W87" s="16" t="s">
        <v>433</v>
      </c>
      <c r="X87" s="16" t="s">
        <v>432</v>
      </c>
      <c r="Y87" s="16" t="s">
        <v>433</v>
      </c>
      <c r="AA87" s="819"/>
      <c r="AC87" s="16" t="str">
        <f>$U$9</f>
        <v>Measure 1</v>
      </c>
      <c r="AD87" s="16" t="str">
        <f>$V$9</f>
        <v>Measure 2</v>
      </c>
      <c r="AF87" s="16" t="str">
        <f>$U$9</f>
        <v>Measure 1</v>
      </c>
      <c r="AG87" s="16" t="str">
        <f>$V$9</f>
        <v>Measure 2</v>
      </c>
      <c r="AH87" s="185">
        <v>10</v>
      </c>
      <c r="AI87" s="16">
        <f t="shared" ref="AI87:AI107" si="5">IF($Z$17=0,"",$X$21*AH87)</f>
        <v>20</v>
      </c>
      <c r="AJ87" s="16">
        <f t="shared" ref="AJ87:AJ107" si="6">$M$16+$X$21*AH87</f>
        <v>31.583333333333336</v>
      </c>
      <c r="AK87" s="16">
        <f t="shared" ref="AK87:AK107" si="7">IF($X$2,$W$22,NA())</f>
        <v>4.5999999999999996</v>
      </c>
      <c r="AL87" s="16" t="e">
        <f t="shared" ref="AL87:AL107" si="8">IF($Z$17=0,NA(),IF(AND($X$2,AJ87&lt;=$X$17+$X$21,AJ87&gt;=$X$18-$X$21),AJ87,NA()))</f>
        <v>#N/A</v>
      </c>
      <c r="AM87" s="16">
        <f>IF(ISNA(P89),"",IF($AE$102=0,P89,ROUND(P89/$AE$102,0)))</f>
        <v>27</v>
      </c>
      <c r="AN87" s="16">
        <f>IF(AM87="",NA(),COUNTIF(AM87:$AM$286,AM87))</f>
        <v>1</v>
      </c>
      <c r="AO87" s="16">
        <f>(AN87-1)*$AE$105</f>
        <v>0</v>
      </c>
      <c r="AW87" s="16">
        <v>1.4</v>
      </c>
      <c r="BG87" s="792">
        <v>80</v>
      </c>
      <c r="BH87" s="761"/>
      <c r="BI87" s="762"/>
      <c r="BJ87" s="759"/>
      <c r="BL87" s="792">
        <v>80</v>
      </c>
      <c r="BM87" s="761"/>
      <c r="BN87" s="762"/>
      <c r="BO87" s="759"/>
      <c r="BQ87" s="792">
        <v>80</v>
      </c>
      <c r="BR87" s="761"/>
      <c r="BS87" s="762"/>
      <c r="BT87" s="759"/>
    </row>
    <row r="88" spans="5:72" ht="12" customHeight="1">
      <c r="E88" s="666">
        <v>80</v>
      </c>
      <c r="F88" s="761"/>
      <c r="G88" s="762"/>
      <c r="H88" s="763"/>
      <c r="I88" s="764" t="str">
        <f t="shared" si="4"/>
        <v/>
      </c>
      <c r="J88" s="765"/>
      <c r="K88"/>
      <c r="L88" s="197"/>
      <c r="M88" s="181"/>
      <c r="N88" s="181"/>
      <c r="O88" s="16" t="s">
        <v>533</v>
      </c>
      <c r="R88" s="181"/>
      <c r="T88" s="16" t="s">
        <v>460</v>
      </c>
      <c r="U88" s="16" t="s">
        <v>461</v>
      </c>
      <c r="V88" s="217" t="s">
        <v>462</v>
      </c>
      <c r="W88" s="217" t="s">
        <v>463</v>
      </c>
      <c r="X88" s="217" t="s">
        <v>464</v>
      </c>
      <c r="Y88" s="217" t="s">
        <v>465</v>
      </c>
      <c r="AB88" s="187" t="s">
        <v>499</v>
      </c>
      <c r="AC88" s="185" t="s">
        <v>486</v>
      </c>
      <c r="AD88" s="185" t="s">
        <v>507</v>
      </c>
      <c r="AE88" s="187" t="s">
        <v>499</v>
      </c>
      <c r="AF88" s="185" t="s">
        <v>486</v>
      </c>
      <c r="AG88" s="185" t="s">
        <v>507</v>
      </c>
      <c r="AH88" s="185">
        <v>9</v>
      </c>
      <c r="AI88" s="16">
        <f t="shared" si="5"/>
        <v>18</v>
      </c>
      <c r="AJ88" s="16">
        <f t="shared" si="6"/>
        <v>29.583333333333336</v>
      </c>
      <c r="AK88" s="16">
        <f t="shared" si="7"/>
        <v>4.5999999999999996</v>
      </c>
      <c r="AL88" s="16" t="e">
        <f t="shared" si="8"/>
        <v>#N/A</v>
      </c>
      <c r="AP88" s="16">
        <f>IF(ISNA(P90),"",IF($AE$102=0,P90,ROUND(P90/$AE$102,0)))</f>
        <v>29</v>
      </c>
      <c r="AQ88" s="16">
        <f>IF(AP88="",NA(),COUNTIF(AP88:$AP$286,AP88))</f>
        <v>2</v>
      </c>
      <c r="AR88" s="16">
        <f>(AQ88-1)*$AE$105</f>
        <v>0.06</v>
      </c>
      <c r="AS88" s="16" t="s">
        <v>333</v>
      </c>
      <c r="AT88" s="16" t="s">
        <v>334</v>
      </c>
      <c r="AU88" s="16" t="s">
        <v>537</v>
      </c>
      <c r="AV88" s="16" t="s">
        <v>538</v>
      </c>
      <c r="AW88" s="16" t="s">
        <v>539</v>
      </c>
      <c r="BG88" s="756">
        <v>81</v>
      </c>
      <c r="BH88" s="761"/>
      <c r="BI88" s="762"/>
      <c r="BJ88" s="759"/>
      <c r="BL88" s="756">
        <v>81</v>
      </c>
      <c r="BM88" s="761"/>
      <c r="BN88" s="762"/>
      <c r="BO88" s="759"/>
      <c r="BQ88" s="756">
        <v>81</v>
      </c>
      <c r="BR88" s="761"/>
      <c r="BS88" s="762"/>
      <c r="BT88" s="759"/>
    </row>
    <row r="89" spans="5:72" ht="12" customHeight="1">
      <c r="E89" s="621">
        <v>81</v>
      </c>
      <c r="F89" s="761"/>
      <c r="G89" s="762"/>
      <c r="H89" s="763"/>
      <c r="I89" s="764" t="str">
        <f t="shared" si="4"/>
        <v/>
      </c>
      <c r="J89" s="765"/>
      <c r="K89"/>
      <c r="L89" s="197"/>
      <c r="M89" s="819"/>
      <c r="N89" s="819"/>
      <c r="O89" s="820">
        <f>$W$23+IF($AN$85,AO87,0)</f>
        <v>1.4</v>
      </c>
      <c r="P89" s="821">
        <f>IF(X89="",NA(),IF($AN$85,X89,T89))</f>
        <v>12.959999999999999</v>
      </c>
      <c r="Q89" s="822"/>
      <c r="R89" s="819"/>
      <c r="T89" s="16">
        <f>IF(AND(F9&lt;&gt;"",$X$5,$X$2),F9,NA())</f>
        <v>13</v>
      </c>
      <c r="V89" s="16">
        <f>IF(ISNA(T89),"",IF($AE$102=0,T89,ROUND(T89/$AE$102,0)))</f>
        <v>27</v>
      </c>
      <c r="X89" s="16">
        <f t="shared" ref="X89:X120" si="9">IF(V89="","",IF($AE$102=0,T89,V89*$AE$102))</f>
        <v>12.959999999999999</v>
      </c>
      <c r="Y89" s="16" t="str">
        <f t="shared" ref="Y89:Y120" si="10">IF(W89="","",IF($AE$102=0,U89,W89*$AE$102))</f>
        <v/>
      </c>
      <c r="Z89" s="16">
        <v>1</v>
      </c>
      <c r="AA89" s="16">
        <f t="shared" ref="AA89:AA120" si="11">3.9-IF($AN$85,AW89,0)</f>
        <v>3.3959999999999999</v>
      </c>
      <c r="AB89" s="16">
        <f t="shared" ref="AB89:AB120" si="12">IF(AT89="",NA(),IF($AN$85,AT89,AS89))</f>
        <v>12.48</v>
      </c>
      <c r="AE89" s="16" t="e">
        <f>IF(AND(I9&lt;&gt;"",$V$3,$X$2,$X$5,$X$6),$M$16+I9,NA())</f>
        <v>#N/A</v>
      </c>
      <c r="AF89" s="16">
        <f>$W$23</f>
        <v>1.4</v>
      </c>
      <c r="AG89" s="16" t="e">
        <f>IF(AND(F9&lt;&gt;"",$V$3,$X$2,$X$5,$X$6),F9,NA())</f>
        <v>#N/A</v>
      </c>
      <c r="AH89" s="185">
        <v>8</v>
      </c>
      <c r="AI89" s="16">
        <f t="shared" si="5"/>
        <v>16</v>
      </c>
      <c r="AJ89" s="16">
        <f t="shared" si="6"/>
        <v>27.583333333333336</v>
      </c>
      <c r="AK89" s="16">
        <f t="shared" si="7"/>
        <v>4.5999999999999996</v>
      </c>
      <c r="AL89" s="16" t="e">
        <f t="shared" si="8"/>
        <v>#N/A</v>
      </c>
      <c r="AM89" s="16">
        <f>IF(ISNA(P91),"",IF($AE$102=0,P91,ROUND(P91/$AE$102,0)))</f>
        <v>25</v>
      </c>
      <c r="AN89" s="16">
        <f>IF(AM89="",NA(),COUNTIF(AM89:$AM$286,AM89))</f>
        <v>2</v>
      </c>
      <c r="AO89" s="16">
        <f>(AN89-1)*$AE$105</f>
        <v>0.06</v>
      </c>
      <c r="AS89" s="16">
        <f t="shared" ref="AS89:AS120" si="13">IF(AND(I9&lt;&gt;"",$X$6,$X$2),$M$16+I9,NA())</f>
        <v>12.583333333333334</v>
      </c>
      <c r="AT89" s="16">
        <f t="shared" ref="AT89:AT120" si="14">IF(AU89="","",IF($AE$102=0,AS89,AU89*$AE$102))</f>
        <v>12.48</v>
      </c>
      <c r="AU89" s="16">
        <f t="shared" ref="AU89:AU120" si="15">IF(ISNA(AS89),"",IF($AE$102=0,AS89,ROUND(AS89/$AE$102,0)))</f>
        <v>26</v>
      </c>
      <c r="AV89" s="16">
        <f>IF(AU89="",NA(),COUNTIF(AU89:$AU$188,AU89))</f>
        <v>7</v>
      </c>
      <c r="AW89" s="16">
        <f t="shared" ref="AW89:AW120" si="16">(AV89-1)*$AE$105*$AW$87</f>
        <v>0.504</v>
      </c>
      <c r="BG89" s="756">
        <v>82</v>
      </c>
      <c r="BH89" s="761"/>
      <c r="BI89" s="762"/>
      <c r="BJ89" s="759"/>
      <c r="BL89" s="756">
        <v>82</v>
      </c>
      <c r="BM89" s="761"/>
      <c r="BN89" s="762"/>
      <c r="BO89" s="759"/>
      <c r="BQ89" s="756">
        <v>82</v>
      </c>
      <c r="BR89" s="761"/>
      <c r="BS89" s="762"/>
      <c r="BT89" s="759"/>
    </row>
    <row r="90" spans="5:72" ht="12" customHeight="1">
      <c r="E90" s="621">
        <v>82</v>
      </c>
      <c r="F90" s="761"/>
      <c r="G90" s="762"/>
      <c r="H90" s="763"/>
      <c r="I90" s="764" t="str">
        <f t="shared" si="4"/>
        <v/>
      </c>
      <c r="J90" s="765"/>
      <c r="K90"/>
      <c r="L90" s="197"/>
      <c r="M90" s="185" t="s">
        <v>506</v>
      </c>
      <c r="N90" s="185" t="s">
        <v>507</v>
      </c>
      <c r="O90" s="246">
        <f>$W$24-IF($AN$85,AR88,0)</f>
        <v>2.54</v>
      </c>
      <c r="P90" s="823">
        <f>IF(Y90="",NA(),IF($AN$85,Y90,U90))</f>
        <v>13.92</v>
      </c>
      <c r="Q90" s="822"/>
      <c r="U90" s="16">
        <f>IF(AND(G9&lt;&gt;"",$X$5,$X$2),G9,NA())</f>
        <v>14</v>
      </c>
      <c r="W90" s="16">
        <f>IF(ISNA(U90),"",IF($AE$102=0,U90,ROUND(U90/$AE$102,0)))</f>
        <v>29</v>
      </c>
      <c r="X90" s="16" t="str">
        <f t="shared" si="9"/>
        <v/>
      </c>
      <c r="Y90" s="16">
        <f t="shared" si="10"/>
        <v>13.92</v>
      </c>
      <c r="Z90" s="16">
        <v>2</v>
      </c>
      <c r="AA90" s="16">
        <f t="shared" si="11"/>
        <v>3.48</v>
      </c>
      <c r="AB90" s="16">
        <f t="shared" si="12"/>
        <v>12.48</v>
      </c>
      <c r="AF90" s="16">
        <f>$W$24</f>
        <v>2.6</v>
      </c>
      <c r="AG90" s="16" t="e">
        <f>IF(AND(F9&lt;&gt;"",$V$3,$X$2,$X$5,$X$6),G9,NA())</f>
        <v>#N/A</v>
      </c>
      <c r="AH90" s="185">
        <v>7</v>
      </c>
      <c r="AI90" s="16">
        <f t="shared" si="5"/>
        <v>14</v>
      </c>
      <c r="AJ90" s="16">
        <f t="shared" si="6"/>
        <v>25.583333333333336</v>
      </c>
      <c r="AK90" s="16">
        <f t="shared" si="7"/>
        <v>4.5999999999999996</v>
      </c>
      <c r="AL90" s="16" t="e">
        <f t="shared" si="8"/>
        <v>#N/A</v>
      </c>
      <c r="AP90" s="16">
        <f>IF(ISNA(P92),"",IF($AE$102=0,P92,ROUND(P92/$AE$102,0)))</f>
        <v>27</v>
      </c>
      <c r="AQ90" s="16">
        <f>IF(AP90="",NA(),COUNTIF(AP90:$AP$286,AP90))</f>
        <v>2</v>
      </c>
      <c r="AR90" s="16">
        <f>(AQ90-1)*$AE$105</f>
        <v>0.06</v>
      </c>
      <c r="AS90" s="16">
        <f t="shared" si="13"/>
        <v>12.583333333333334</v>
      </c>
      <c r="AT90" s="16">
        <f t="shared" si="14"/>
        <v>12.48</v>
      </c>
      <c r="AU90" s="16">
        <f t="shared" si="15"/>
        <v>26</v>
      </c>
      <c r="AV90" s="16">
        <f>IF(AU90="",NA(),COUNTIF(AU90:$AU$188,AU90))</f>
        <v>6</v>
      </c>
      <c r="AW90" s="16">
        <f t="shared" si="16"/>
        <v>0.42</v>
      </c>
      <c r="BG90" s="792">
        <v>83</v>
      </c>
      <c r="BH90" s="761"/>
      <c r="BI90" s="762"/>
      <c r="BJ90" s="759"/>
      <c r="BL90" s="792">
        <v>83</v>
      </c>
      <c r="BM90" s="761"/>
      <c r="BN90" s="762"/>
      <c r="BO90" s="759"/>
      <c r="BQ90" s="792">
        <v>83</v>
      </c>
      <c r="BR90" s="761"/>
      <c r="BS90" s="762"/>
      <c r="BT90" s="759"/>
    </row>
    <row r="91" spans="5:72" ht="12" customHeight="1">
      <c r="E91" s="666">
        <v>83</v>
      </c>
      <c r="F91" s="761"/>
      <c r="G91" s="762"/>
      <c r="H91" s="763"/>
      <c r="I91" s="764" t="str">
        <f t="shared" si="4"/>
        <v/>
      </c>
      <c r="J91" s="765"/>
      <c r="K91"/>
      <c r="L91" s="197"/>
      <c r="O91" s="820">
        <f>$W$23+IF($AN$85,AO89,0)</f>
        <v>1.46</v>
      </c>
      <c r="P91" s="821">
        <f>IF(X91="",NA(),IF($AN$85,X91,T91))</f>
        <v>12</v>
      </c>
      <c r="Q91" s="822"/>
      <c r="T91" s="16">
        <f>IF(AND(F10&lt;&gt;"",$X$5,$X$2),F10,NA())</f>
        <v>12</v>
      </c>
      <c r="V91" s="16">
        <f>IF(ISNA(T91),"",IF($AE$102=0,T91,ROUND(T91/$AE$102,0)))</f>
        <v>25</v>
      </c>
      <c r="X91" s="16">
        <f t="shared" si="9"/>
        <v>12</v>
      </c>
      <c r="Y91" s="16" t="str">
        <f t="shared" si="10"/>
        <v/>
      </c>
      <c r="Z91" s="16">
        <v>3</v>
      </c>
      <c r="AA91" s="16">
        <f t="shared" si="11"/>
        <v>3.8159999999999998</v>
      </c>
      <c r="AB91" s="16">
        <f t="shared" si="12"/>
        <v>15.36</v>
      </c>
      <c r="AE91" s="16" t="e">
        <f>IF(AND(I11&lt;&gt;"",$V$4,$X$2,$X$5,$X$6),$M$16+I11,NA())</f>
        <v>#N/A</v>
      </c>
      <c r="AF91" s="16">
        <f>$W$23</f>
        <v>1.4</v>
      </c>
      <c r="AG91" s="16" t="e">
        <f>IF(AND(F11&lt;&gt;"",$V$4,$X$2,$X$5,$X$6),F11,NA())</f>
        <v>#N/A</v>
      </c>
      <c r="AH91" s="185">
        <v>6</v>
      </c>
      <c r="AI91" s="16">
        <f t="shared" si="5"/>
        <v>12</v>
      </c>
      <c r="AJ91" s="16">
        <f t="shared" si="6"/>
        <v>23.583333333333336</v>
      </c>
      <c r="AK91" s="16">
        <f t="shared" si="7"/>
        <v>4.5999999999999996</v>
      </c>
      <c r="AL91" s="16" t="e">
        <f t="shared" si="8"/>
        <v>#N/A</v>
      </c>
      <c r="AM91" s="16">
        <f>IF(ISNA(P93),"",IF($AE$102=0,P93,ROUND(P93/$AE$102,0)))</f>
        <v>25</v>
      </c>
      <c r="AN91" s="16">
        <f>IF(AM91="",NA(),COUNTIF(AM91:$AM$286,AM91))</f>
        <v>1</v>
      </c>
      <c r="AO91" s="16">
        <f>(AN91-1)*$AE$105</f>
        <v>0</v>
      </c>
      <c r="AS91" s="16">
        <f t="shared" si="13"/>
        <v>15.583333333333334</v>
      </c>
      <c r="AT91" s="16">
        <f t="shared" si="14"/>
        <v>15.36</v>
      </c>
      <c r="AU91" s="16">
        <f t="shared" si="15"/>
        <v>32</v>
      </c>
      <c r="AV91" s="16">
        <f>IF(AU91="",NA(),COUNTIF(AU91:$AU$188,AU91))</f>
        <v>2</v>
      </c>
      <c r="AW91" s="16">
        <f t="shared" si="16"/>
        <v>8.3999999999999991E-2</v>
      </c>
      <c r="BG91" s="756">
        <v>84</v>
      </c>
      <c r="BH91" s="761"/>
      <c r="BI91" s="762"/>
      <c r="BJ91" s="759"/>
      <c r="BL91" s="756">
        <v>84</v>
      </c>
      <c r="BM91" s="761"/>
      <c r="BN91" s="762"/>
      <c r="BO91" s="759"/>
      <c r="BQ91" s="756">
        <v>84</v>
      </c>
      <c r="BR91" s="761"/>
      <c r="BS91" s="762"/>
      <c r="BT91" s="759"/>
    </row>
    <row r="92" spans="5:72" ht="12" customHeight="1">
      <c r="E92" s="621">
        <v>84</v>
      </c>
      <c r="F92" s="761"/>
      <c r="G92" s="762"/>
      <c r="H92" s="763"/>
      <c r="I92" s="764" t="str">
        <f t="shared" si="4"/>
        <v/>
      </c>
      <c r="J92" s="765"/>
      <c r="K92"/>
      <c r="L92" s="197"/>
      <c r="O92" s="246">
        <f>$W$24-IF($AN$85,AR90,0)</f>
        <v>2.54</v>
      </c>
      <c r="P92" s="823">
        <f>IF(Y92="",NA(),IF($AN$85,Y92,U92))</f>
        <v>12.959999999999999</v>
      </c>
      <c r="Q92" s="822"/>
      <c r="U92" s="16">
        <f>IF(AND(G10&lt;&gt;"",$X$5,$X$2),G10,NA())</f>
        <v>13</v>
      </c>
      <c r="W92" s="16">
        <f>IF(ISNA(U92),"",IF($AE$102=0,U92,ROUND(U92/$AE$102,0)))</f>
        <v>27</v>
      </c>
      <c r="X92" s="16" t="str">
        <f t="shared" si="9"/>
        <v/>
      </c>
      <c r="Y92" s="16">
        <f t="shared" si="10"/>
        <v>12.959999999999999</v>
      </c>
      <c r="Z92" s="16">
        <v>4</v>
      </c>
      <c r="AA92" s="16">
        <f t="shared" si="11"/>
        <v>3.8159999999999998</v>
      </c>
      <c r="AB92" s="16">
        <f t="shared" si="12"/>
        <v>14.399999999999999</v>
      </c>
      <c r="AF92" s="16">
        <f>$W$24</f>
        <v>2.6</v>
      </c>
      <c r="AG92" s="16" t="e">
        <f>IF(AND(F11&lt;&gt;"",$V$4,$X$2,$X$5,$X$6),G11,NA())</f>
        <v>#N/A</v>
      </c>
      <c r="AH92" s="185">
        <v>5</v>
      </c>
      <c r="AI92" s="16">
        <f t="shared" si="5"/>
        <v>10</v>
      </c>
      <c r="AJ92" s="16">
        <f t="shared" si="6"/>
        <v>21.583333333333336</v>
      </c>
      <c r="AK92" s="16">
        <f t="shared" si="7"/>
        <v>4.5999999999999996</v>
      </c>
      <c r="AL92" s="16" t="e">
        <f t="shared" si="8"/>
        <v>#N/A</v>
      </c>
      <c r="AP92" s="16">
        <f>IF(ISNA(P94),"",IF($AE$102=0,P94,ROUND(P94/$AE$102,0)))</f>
        <v>33</v>
      </c>
      <c r="AQ92" s="16">
        <f>IF(AP92="",NA(),COUNTIF(AP92:$AP$286,AP92))</f>
        <v>2</v>
      </c>
      <c r="AR92" s="16">
        <f>(AQ92-1)*$AE$105</f>
        <v>0.06</v>
      </c>
      <c r="AS92" s="16">
        <f t="shared" si="13"/>
        <v>14.583333333333334</v>
      </c>
      <c r="AT92" s="16">
        <f t="shared" si="14"/>
        <v>14.399999999999999</v>
      </c>
      <c r="AU92" s="16">
        <f t="shared" si="15"/>
        <v>30</v>
      </c>
      <c r="AV92" s="16">
        <f>IF(AU92="",NA(),COUNTIF(AU92:$AU$188,AU92))</f>
        <v>2</v>
      </c>
      <c r="AW92" s="16">
        <f t="shared" si="16"/>
        <v>8.3999999999999991E-2</v>
      </c>
      <c r="BG92" s="756">
        <v>85</v>
      </c>
      <c r="BH92" s="761"/>
      <c r="BI92" s="762"/>
      <c r="BJ92" s="759"/>
      <c r="BL92" s="756">
        <v>85</v>
      </c>
      <c r="BM92" s="761"/>
      <c r="BN92" s="762"/>
      <c r="BO92" s="759"/>
      <c r="BQ92" s="756">
        <v>85</v>
      </c>
      <c r="BR92" s="761"/>
      <c r="BS92" s="762"/>
      <c r="BT92" s="759"/>
    </row>
    <row r="93" spans="5:72" ht="12" customHeight="1">
      <c r="E93" s="621">
        <v>85</v>
      </c>
      <c r="F93" s="761"/>
      <c r="G93" s="762"/>
      <c r="H93" s="763"/>
      <c r="I93" s="764" t="str">
        <f t="shared" si="4"/>
        <v/>
      </c>
      <c r="J93" s="765"/>
      <c r="K93"/>
      <c r="L93" s="197"/>
      <c r="O93" s="820">
        <f>$W$23+IF($AN$85,AO91,0)</f>
        <v>1.4</v>
      </c>
      <c r="P93" s="821">
        <f>IF(X93="",NA(),IF($AN$85,X93,T93))</f>
        <v>12</v>
      </c>
      <c r="Q93" s="822"/>
      <c r="T93" s="16">
        <f>IF(AND(F11&lt;&gt;"",$X$5,$X$2),F11,NA())</f>
        <v>12</v>
      </c>
      <c r="V93" s="16">
        <f>IF(ISNA(T93),"",IF($AE$102=0,T93,ROUND(T93/$AE$102,0)))</f>
        <v>25</v>
      </c>
      <c r="X93" s="16">
        <f t="shared" si="9"/>
        <v>12</v>
      </c>
      <c r="Y93" s="16" t="str">
        <f t="shared" si="10"/>
        <v/>
      </c>
      <c r="Z93" s="16">
        <v>5</v>
      </c>
      <c r="AA93" s="16">
        <f t="shared" si="11"/>
        <v>3.5640000000000001</v>
      </c>
      <c r="AB93" s="16">
        <f t="shared" si="12"/>
        <v>12.48</v>
      </c>
      <c r="AE93" s="16" t="e">
        <f>IF(AND(I13&lt;&gt;"",$V$5,$X$2,$X$5,$X$6),$M$16+I13,NA())</f>
        <v>#N/A</v>
      </c>
      <c r="AF93" s="16">
        <f>$W$23</f>
        <v>1.4</v>
      </c>
      <c r="AG93" s="16" t="e">
        <f>IF(AND(F13&lt;&gt;"",$V$5,$X$2,$X$5,$X$6),F13,NA())</f>
        <v>#N/A</v>
      </c>
      <c r="AH93" s="185">
        <v>4</v>
      </c>
      <c r="AI93" s="16">
        <f t="shared" si="5"/>
        <v>8</v>
      </c>
      <c r="AJ93" s="16">
        <f t="shared" si="6"/>
        <v>19.583333333333336</v>
      </c>
      <c r="AK93" s="16">
        <f t="shared" si="7"/>
        <v>4.5999999999999996</v>
      </c>
      <c r="AL93" s="16">
        <f t="shared" si="8"/>
        <v>19.583333333333336</v>
      </c>
      <c r="AM93" s="16">
        <f>IF(ISNA(P95),"",IF($AE$102=0,P95,ROUND(P95/$AE$102,0)))</f>
        <v>19</v>
      </c>
      <c r="AN93" s="16">
        <f>IF(AM93="",NA(),COUNTIF(AM93:$AM$286,AM93))</f>
        <v>2</v>
      </c>
      <c r="AO93" s="16">
        <f>(AN93-1)*$AE$105</f>
        <v>0.06</v>
      </c>
      <c r="AS93" s="16">
        <f t="shared" si="13"/>
        <v>12.583333333333334</v>
      </c>
      <c r="AT93" s="16">
        <f t="shared" si="14"/>
        <v>12.48</v>
      </c>
      <c r="AU93" s="16">
        <f t="shared" si="15"/>
        <v>26</v>
      </c>
      <c r="AV93" s="16">
        <f>IF(AU93="",NA(),COUNTIF(AU93:$AU$188,AU93))</f>
        <v>5</v>
      </c>
      <c r="AW93" s="16">
        <f t="shared" si="16"/>
        <v>0.33599999999999997</v>
      </c>
      <c r="BG93" s="792">
        <v>86</v>
      </c>
      <c r="BH93" s="761"/>
      <c r="BI93" s="762"/>
      <c r="BJ93" s="759"/>
      <c r="BL93" s="792">
        <v>86</v>
      </c>
      <c r="BM93" s="761"/>
      <c r="BN93" s="762"/>
      <c r="BO93" s="759"/>
      <c r="BQ93" s="792">
        <v>86</v>
      </c>
      <c r="BR93" s="761"/>
      <c r="BS93" s="762"/>
      <c r="BT93" s="759"/>
    </row>
    <row r="94" spans="5:72" ht="12" customHeight="1">
      <c r="E94" s="666">
        <v>86</v>
      </c>
      <c r="F94" s="761"/>
      <c r="G94" s="762"/>
      <c r="H94" s="763"/>
      <c r="I94" s="764" t="str">
        <f t="shared" si="4"/>
        <v/>
      </c>
      <c r="J94" s="765"/>
      <c r="K94"/>
      <c r="L94" s="197"/>
      <c r="O94" s="246">
        <f>$W$24-IF($AN$85,AR92,0)</f>
        <v>2.54</v>
      </c>
      <c r="P94" s="823">
        <f>IF(Y94="",NA(),IF($AN$85,Y94,U94))</f>
        <v>15.84</v>
      </c>
      <c r="Q94" s="822"/>
      <c r="U94" s="16">
        <f>IF(AND(G11&lt;&gt;"",$X$5,$X$2),G11,NA())</f>
        <v>16</v>
      </c>
      <c r="W94" s="16">
        <f>IF(ISNA(U94),"",IF($AE$102=0,U94,ROUND(U94/$AE$102,0)))</f>
        <v>33</v>
      </c>
      <c r="X94" s="16" t="str">
        <f t="shared" si="9"/>
        <v/>
      </c>
      <c r="Y94" s="16">
        <f t="shared" si="10"/>
        <v>15.84</v>
      </c>
      <c r="Z94" s="16">
        <v>6</v>
      </c>
      <c r="AA94" s="16">
        <f t="shared" si="11"/>
        <v>3.6479999999999997</v>
      </c>
      <c r="AB94" s="16">
        <f t="shared" si="12"/>
        <v>12.48</v>
      </c>
      <c r="AF94" s="16">
        <f>$W$24</f>
        <v>2.6</v>
      </c>
      <c r="AG94" s="16" t="e">
        <f>IF(AND(F13&lt;&gt;"",$V$5,$X$2,$X$5,$X$6),G13,NA())</f>
        <v>#N/A</v>
      </c>
      <c r="AH94" s="185">
        <v>3</v>
      </c>
      <c r="AI94" s="16">
        <f t="shared" si="5"/>
        <v>6</v>
      </c>
      <c r="AJ94" s="16">
        <f t="shared" si="6"/>
        <v>17.583333333333336</v>
      </c>
      <c r="AK94" s="16">
        <f t="shared" si="7"/>
        <v>4.5999999999999996</v>
      </c>
      <c r="AL94" s="16">
        <f t="shared" si="8"/>
        <v>17.583333333333336</v>
      </c>
      <c r="AP94" s="16">
        <f>IF(ISNA(P96),"",IF($AE$102=0,P96,ROUND(P96/$AE$102,0)))</f>
        <v>25</v>
      </c>
      <c r="AQ94" s="16">
        <f>IF(AP94="",NA(),COUNTIF(AP94:$AP$286,AP94))</f>
        <v>1</v>
      </c>
      <c r="AR94" s="16">
        <f>(AQ94-1)*$AE$105</f>
        <v>0</v>
      </c>
      <c r="AS94" s="16">
        <f t="shared" si="13"/>
        <v>12.583333333333334</v>
      </c>
      <c r="AT94" s="16">
        <f t="shared" si="14"/>
        <v>12.48</v>
      </c>
      <c r="AU94" s="16">
        <f t="shared" si="15"/>
        <v>26</v>
      </c>
      <c r="AV94" s="16">
        <f>IF(AU94="",NA(),COUNTIF(AU94:$AU$188,AU94))</f>
        <v>4</v>
      </c>
      <c r="AW94" s="16">
        <f t="shared" si="16"/>
        <v>0.252</v>
      </c>
      <c r="BG94" s="756">
        <v>87</v>
      </c>
      <c r="BH94" s="761"/>
      <c r="BI94" s="762"/>
      <c r="BJ94" s="759"/>
      <c r="BL94" s="756">
        <v>87</v>
      </c>
      <c r="BM94" s="761"/>
      <c r="BN94" s="762"/>
      <c r="BO94" s="759"/>
      <c r="BQ94" s="756">
        <v>87</v>
      </c>
      <c r="BR94" s="761"/>
      <c r="BS94" s="762"/>
      <c r="BT94" s="759"/>
    </row>
    <row r="95" spans="5:72" ht="12" customHeight="1">
      <c r="E95" s="621">
        <v>87</v>
      </c>
      <c r="F95" s="761"/>
      <c r="G95" s="762"/>
      <c r="H95" s="763"/>
      <c r="I95" s="764" t="str">
        <f t="shared" si="4"/>
        <v/>
      </c>
      <c r="J95" s="765"/>
      <c r="K95"/>
      <c r="L95" s="197"/>
      <c r="O95" s="820">
        <f>$W$23+IF($AN$85,AO93,0)</f>
        <v>1.46</v>
      </c>
      <c r="P95" s="821">
        <f>IF(X95="",NA(),IF($AN$85,X95,T95))</f>
        <v>9.1199999999999992</v>
      </c>
      <c r="Q95" s="822"/>
      <c r="T95" s="16">
        <f>IF(AND(F12&lt;&gt;"",$X$5,$X$2),F12,NA())</f>
        <v>9</v>
      </c>
      <c r="V95" s="16">
        <f>IF(ISNA(T95),"",IF($AE$102=0,T95,ROUND(T95/$AE$102,0)))</f>
        <v>19</v>
      </c>
      <c r="X95" s="16">
        <f t="shared" si="9"/>
        <v>9.1199999999999992</v>
      </c>
      <c r="Y95" s="16" t="str">
        <f t="shared" si="10"/>
        <v/>
      </c>
      <c r="Z95" s="16">
        <v>7</v>
      </c>
      <c r="AA95" s="16">
        <f t="shared" si="11"/>
        <v>3.9</v>
      </c>
      <c r="AB95" s="16">
        <f t="shared" si="12"/>
        <v>10.559999999999999</v>
      </c>
      <c r="AE95" s="16" t="e">
        <f>IF(AND(I15&lt;&gt;"",$V$6,$X$2,$X$5,$X$6),$M$16+I15,NA())</f>
        <v>#N/A</v>
      </c>
      <c r="AF95" s="16">
        <f>$W$23</f>
        <v>1.4</v>
      </c>
      <c r="AG95" s="16" t="e">
        <f>IF(AND(F15&lt;&gt;"",$V$6,$X$2,$X$5,$X$6),F15,NA())</f>
        <v>#N/A</v>
      </c>
      <c r="AH95" s="185">
        <v>2</v>
      </c>
      <c r="AI95" s="16">
        <f t="shared" si="5"/>
        <v>4</v>
      </c>
      <c r="AJ95" s="16">
        <f t="shared" si="6"/>
        <v>15.583333333333334</v>
      </c>
      <c r="AK95" s="16">
        <f t="shared" si="7"/>
        <v>4.5999999999999996</v>
      </c>
      <c r="AL95" s="16">
        <f t="shared" si="8"/>
        <v>15.583333333333334</v>
      </c>
      <c r="AM95" s="16">
        <f>IF(ISNA(P97),"",IF($AE$102=0,P97,ROUND(P97/$AE$102,0)))</f>
        <v>29</v>
      </c>
      <c r="AN95" s="16">
        <f>IF(AM95="",NA(),COUNTIF(AM95:$AM$286,AM95))</f>
        <v>2</v>
      </c>
      <c r="AO95" s="16">
        <f>(AN95-1)*$AE$105</f>
        <v>0.06</v>
      </c>
      <c r="AS95" s="16">
        <f t="shared" si="13"/>
        <v>10.583333333333334</v>
      </c>
      <c r="AT95" s="16">
        <f t="shared" si="14"/>
        <v>10.559999999999999</v>
      </c>
      <c r="AU95" s="16">
        <f t="shared" si="15"/>
        <v>22</v>
      </c>
      <c r="AV95" s="16">
        <f>IF(AU95="",NA(),COUNTIF(AU95:$AU$188,AU95))</f>
        <v>1</v>
      </c>
      <c r="AW95" s="16">
        <f t="shared" si="16"/>
        <v>0</v>
      </c>
      <c r="BG95" s="756">
        <v>88</v>
      </c>
      <c r="BH95" s="761"/>
      <c r="BI95" s="762"/>
      <c r="BJ95" s="759"/>
      <c r="BL95" s="756">
        <v>88</v>
      </c>
      <c r="BM95" s="761"/>
      <c r="BN95" s="762"/>
      <c r="BO95" s="759"/>
      <c r="BQ95" s="756">
        <v>88</v>
      </c>
      <c r="BR95" s="761"/>
      <c r="BS95" s="762"/>
      <c r="BT95" s="759"/>
    </row>
    <row r="96" spans="5:72" ht="12" customHeight="1">
      <c r="E96" s="621">
        <v>88</v>
      </c>
      <c r="F96" s="761"/>
      <c r="G96" s="762"/>
      <c r="H96" s="763"/>
      <c r="I96" s="764" t="str">
        <f t="shared" si="4"/>
        <v/>
      </c>
      <c r="J96" s="765"/>
      <c r="K96"/>
      <c r="L96" s="197"/>
      <c r="O96" s="246">
        <f>$W$24-IF($AN$85,AR94,0)</f>
        <v>2.6</v>
      </c>
      <c r="P96" s="823">
        <f>IF(Y96="",NA(),IF($AN$85,Y96,U96))</f>
        <v>12</v>
      </c>
      <c r="Q96" s="822"/>
      <c r="U96" s="16">
        <f>IF(AND(G12&lt;&gt;"",$X$5,$X$2),G12,NA())</f>
        <v>12</v>
      </c>
      <c r="W96" s="16">
        <f>IF(ISNA(U96),"",IF($AE$102=0,U96,ROUND(U96/$AE$102,0)))</f>
        <v>25</v>
      </c>
      <c r="X96" s="16" t="str">
        <f t="shared" si="9"/>
        <v/>
      </c>
      <c r="Y96" s="16">
        <f t="shared" si="10"/>
        <v>12</v>
      </c>
      <c r="Z96" s="16">
        <v>8</v>
      </c>
      <c r="AA96" s="16">
        <f t="shared" si="11"/>
        <v>3.7319999999999998</v>
      </c>
      <c r="AB96" s="16">
        <f t="shared" si="12"/>
        <v>12.48</v>
      </c>
      <c r="AF96" s="16">
        <f>$W$24</f>
        <v>2.6</v>
      </c>
      <c r="AG96" s="16" t="e">
        <f>IF(AND(F15&lt;&gt;"",$V$6,$X$2,$X$5,$X$6),G15,NA())</f>
        <v>#N/A</v>
      </c>
      <c r="AH96" s="185">
        <v>1</v>
      </c>
      <c r="AI96" s="16">
        <f t="shared" si="5"/>
        <v>2</v>
      </c>
      <c r="AJ96" s="16">
        <f t="shared" si="6"/>
        <v>13.583333333333334</v>
      </c>
      <c r="AK96" s="16">
        <f t="shared" si="7"/>
        <v>4.5999999999999996</v>
      </c>
      <c r="AL96" s="16">
        <f t="shared" si="8"/>
        <v>13.583333333333334</v>
      </c>
      <c r="AP96" s="16">
        <f>IF(ISNA(P98),"",IF($AE$102=0,P98,ROUND(P98/$AE$102,0)))</f>
        <v>31</v>
      </c>
      <c r="AQ96" s="16">
        <f>IF(AP96="",NA(),COUNTIF(AP96:$AP$286,AP96))</f>
        <v>1</v>
      </c>
      <c r="AR96" s="16">
        <f>(AQ96-1)*$AE$105</f>
        <v>0</v>
      </c>
      <c r="AS96" s="16">
        <f t="shared" si="13"/>
        <v>12.583333333333334</v>
      </c>
      <c r="AT96" s="16">
        <f t="shared" si="14"/>
        <v>12.48</v>
      </c>
      <c r="AU96" s="16">
        <f t="shared" si="15"/>
        <v>26</v>
      </c>
      <c r="AV96" s="16">
        <f>IF(AU96="",NA(),COUNTIF(AU96:$AU$188,AU96))</f>
        <v>3</v>
      </c>
      <c r="AW96" s="16">
        <f t="shared" si="16"/>
        <v>0.16799999999999998</v>
      </c>
      <c r="BG96" s="792">
        <v>89</v>
      </c>
      <c r="BH96" s="761"/>
      <c r="BI96" s="762"/>
      <c r="BJ96" s="759"/>
      <c r="BL96" s="792">
        <v>89</v>
      </c>
      <c r="BM96" s="761"/>
      <c r="BN96" s="762"/>
      <c r="BO96" s="759"/>
      <c r="BQ96" s="792">
        <v>89</v>
      </c>
      <c r="BR96" s="761"/>
      <c r="BS96" s="762"/>
      <c r="BT96" s="759"/>
    </row>
    <row r="97" spans="5:72" ht="12" customHeight="1">
      <c r="E97" s="666">
        <v>89</v>
      </c>
      <c r="F97" s="761"/>
      <c r="G97" s="762"/>
      <c r="H97" s="763"/>
      <c r="I97" s="764" t="str">
        <f t="shared" si="4"/>
        <v/>
      </c>
      <c r="J97" s="765"/>
      <c r="K97"/>
      <c r="L97" s="197"/>
      <c r="O97" s="820">
        <f>$W$23+IF($AN$85,AO95,0)</f>
        <v>1.46</v>
      </c>
      <c r="P97" s="821">
        <f>IF(X97="",NA(),IF($AN$85,X97,T97))</f>
        <v>13.92</v>
      </c>
      <c r="Q97" s="822"/>
      <c r="T97" s="16">
        <f>IF(AND(F13&lt;&gt;"",$X$5,$X$2),F13,NA())</f>
        <v>14</v>
      </c>
      <c r="V97" s="16">
        <f>IF(ISNA(T97),"",IF($AE$102=0,T97,ROUND(T97/$AE$102,0)))</f>
        <v>29</v>
      </c>
      <c r="X97" s="16">
        <f t="shared" si="9"/>
        <v>13.92</v>
      </c>
      <c r="Y97" s="16" t="str">
        <f t="shared" si="10"/>
        <v/>
      </c>
      <c r="Z97" s="16">
        <v>9</v>
      </c>
      <c r="AA97" s="16">
        <f t="shared" si="11"/>
        <v>3.9</v>
      </c>
      <c r="AB97" s="16">
        <f t="shared" si="12"/>
        <v>15.36</v>
      </c>
      <c r="AH97" s="185">
        <v>0</v>
      </c>
      <c r="AI97" s="16">
        <f t="shared" si="5"/>
        <v>0</v>
      </c>
      <c r="AJ97" s="16">
        <f t="shared" si="6"/>
        <v>11.583333333333334</v>
      </c>
      <c r="AK97" s="16">
        <f t="shared" si="7"/>
        <v>4.5999999999999996</v>
      </c>
      <c r="AL97" s="16">
        <f t="shared" si="8"/>
        <v>11.583333333333334</v>
      </c>
      <c r="AM97" s="16">
        <f>IF(ISNA(P99),"",IF($AE$102=0,P99,ROUND(P99/$AE$102,0)))</f>
        <v>35</v>
      </c>
      <c r="AN97" s="16">
        <f>IF(AM97="",NA(),COUNTIF(AM97:$AM$286,AM97))</f>
        <v>1</v>
      </c>
      <c r="AO97" s="16">
        <f>(AN97-1)*$AE$105</f>
        <v>0</v>
      </c>
      <c r="AS97" s="16">
        <f t="shared" si="13"/>
        <v>15.583333333333334</v>
      </c>
      <c r="AT97" s="16">
        <f t="shared" si="14"/>
        <v>15.36</v>
      </c>
      <c r="AU97" s="16">
        <f t="shared" si="15"/>
        <v>32</v>
      </c>
      <c r="AV97" s="16">
        <f>IF(AU97="",NA(),COUNTIF(AU97:$AU$188,AU97))</f>
        <v>1</v>
      </c>
      <c r="AW97" s="16">
        <f t="shared" si="16"/>
        <v>0</v>
      </c>
      <c r="BG97" s="756">
        <v>90</v>
      </c>
      <c r="BH97" s="761"/>
      <c r="BI97" s="762"/>
      <c r="BJ97" s="759"/>
      <c r="BL97" s="756">
        <v>90</v>
      </c>
      <c r="BM97" s="761"/>
      <c r="BN97" s="762"/>
      <c r="BO97" s="759"/>
      <c r="BQ97" s="756">
        <v>90</v>
      </c>
      <c r="BR97" s="761"/>
      <c r="BS97" s="762"/>
      <c r="BT97" s="759"/>
    </row>
    <row r="98" spans="5:72" ht="12" customHeight="1">
      <c r="E98" s="621">
        <v>90</v>
      </c>
      <c r="F98" s="761"/>
      <c r="G98" s="762"/>
      <c r="H98" s="763"/>
      <c r="I98" s="764" t="str">
        <f t="shared" si="4"/>
        <v/>
      </c>
      <c r="J98" s="765"/>
      <c r="K98"/>
      <c r="L98" s="197"/>
      <c r="O98" s="246">
        <f>$W$24-IF($AN$85,AR96,0)</f>
        <v>2.6</v>
      </c>
      <c r="P98" s="823">
        <f>IF(Y98="",NA(),IF($AN$85,Y98,U98))</f>
        <v>14.879999999999999</v>
      </c>
      <c r="Q98" s="822"/>
      <c r="U98" s="16">
        <f>IF(AND(G13&lt;&gt;"",$X$5,$X$2),G13,NA())</f>
        <v>15</v>
      </c>
      <c r="W98" s="16">
        <f>IF(ISNA(U98),"",IF($AE$102=0,U98,ROUND(U98/$AE$102,0)))</f>
        <v>31</v>
      </c>
      <c r="X98" s="16" t="str">
        <f t="shared" si="9"/>
        <v/>
      </c>
      <c r="Y98" s="16">
        <f t="shared" si="10"/>
        <v>14.879999999999999</v>
      </c>
      <c r="Z98" s="16">
        <v>10</v>
      </c>
      <c r="AA98" s="16">
        <f t="shared" si="11"/>
        <v>3.8159999999999998</v>
      </c>
      <c r="AB98" s="16">
        <f t="shared" si="12"/>
        <v>12.48</v>
      </c>
      <c r="AH98" s="185">
        <v>-1</v>
      </c>
      <c r="AI98" s="16">
        <f t="shared" si="5"/>
        <v>-2</v>
      </c>
      <c r="AJ98" s="16">
        <f t="shared" si="6"/>
        <v>9.5833333333333339</v>
      </c>
      <c r="AK98" s="16">
        <f t="shared" si="7"/>
        <v>4.5999999999999996</v>
      </c>
      <c r="AL98" s="16">
        <f t="shared" si="8"/>
        <v>9.5833333333333339</v>
      </c>
      <c r="AP98" s="16">
        <f>IF(ISNA(P100),"",IF($AE$102=0,P100,ROUND(P100/$AE$102,0)))</f>
        <v>38</v>
      </c>
      <c r="AQ98" s="16">
        <f>IF(AP98="",NA(),COUNTIF(AP98:$AP$286,AP98))</f>
        <v>1</v>
      </c>
      <c r="AR98" s="16">
        <f>(AQ98-1)*$AE$105</f>
        <v>0</v>
      </c>
      <c r="AS98" s="16">
        <f t="shared" si="13"/>
        <v>12.583333333333334</v>
      </c>
      <c r="AT98" s="16">
        <f t="shared" si="14"/>
        <v>12.48</v>
      </c>
      <c r="AU98" s="16">
        <f t="shared" si="15"/>
        <v>26</v>
      </c>
      <c r="AV98" s="16">
        <f>IF(AU98="",NA(),COUNTIF(AU98:$AU$188,AU98))</f>
        <v>2</v>
      </c>
      <c r="AW98" s="16">
        <f t="shared" si="16"/>
        <v>8.3999999999999991E-2</v>
      </c>
      <c r="BG98" s="756">
        <v>91</v>
      </c>
      <c r="BH98" s="761"/>
      <c r="BI98" s="762"/>
      <c r="BJ98" s="759"/>
      <c r="BL98" s="756">
        <v>91</v>
      </c>
      <c r="BM98" s="761"/>
      <c r="BN98" s="762"/>
      <c r="BO98" s="759"/>
      <c r="BQ98" s="756">
        <v>91</v>
      </c>
      <c r="BR98" s="761"/>
      <c r="BS98" s="762"/>
      <c r="BT98" s="759"/>
    </row>
    <row r="99" spans="5:72" ht="12" customHeight="1">
      <c r="E99" s="621">
        <v>91</v>
      </c>
      <c r="F99" s="761"/>
      <c r="G99" s="762"/>
      <c r="H99" s="763"/>
      <c r="I99" s="764" t="str">
        <f t="shared" si="4"/>
        <v/>
      </c>
      <c r="J99" s="765"/>
      <c r="K99"/>
      <c r="L99" s="197"/>
      <c r="O99" s="820">
        <f>$W$23+IF($AN$85,AO97,0)</f>
        <v>1.4</v>
      </c>
      <c r="P99" s="821">
        <f>IF(X99="",NA(),IF($AN$85,X99,T99))</f>
        <v>16.8</v>
      </c>
      <c r="Q99" s="822"/>
      <c r="T99" s="16">
        <f>IF(AND(F14&lt;&gt;"",$X$5,$X$2),F14,NA())</f>
        <v>17</v>
      </c>
      <c r="V99" s="16">
        <f>IF(ISNA(T99),"",IF($AE$102=0,T99,ROUND(T99/$AE$102,0)))</f>
        <v>35</v>
      </c>
      <c r="X99" s="16">
        <f t="shared" si="9"/>
        <v>16.8</v>
      </c>
      <c r="Y99" s="16" t="str">
        <f t="shared" si="10"/>
        <v/>
      </c>
      <c r="AA99" s="16">
        <f t="shared" si="11"/>
        <v>3.9</v>
      </c>
      <c r="AB99" s="16">
        <f t="shared" si="12"/>
        <v>14.399999999999999</v>
      </c>
      <c r="AH99" s="185">
        <v>-2</v>
      </c>
      <c r="AI99" s="16">
        <f t="shared" si="5"/>
        <v>-4</v>
      </c>
      <c r="AJ99" s="16">
        <f t="shared" si="6"/>
        <v>7.5833333333333339</v>
      </c>
      <c r="AK99" s="16">
        <f t="shared" si="7"/>
        <v>4.5999999999999996</v>
      </c>
      <c r="AL99" s="16">
        <f t="shared" si="8"/>
        <v>7.5833333333333339</v>
      </c>
      <c r="AM99" s="16">
        <f>IF(ISNA(P101),"",IF($AE$102=0,P101,ROUND(P101/$AE$102,0)))</f>
        <v>29</v>
      </c>
      <c r="AN99" s="16">
        <f>IF(AM99="",NA(),COUNTIF(AM99:$AM$286,AM99))</f>
        <v>1</v>
      </c>
      <c r="AO99" s="16">
        <f>(AN99-1)*$AE$105</f>
        <v>0</v>
      </c>
      <c r="AS99" s="16">
        <f t="shared" si="13"/>
        <v>14.583333333333334</v>
      </c>
      <c r="AT99" s="16">
        <f t="shared" si="14"/>
        <v>14.399999999999999</v>
      </c>
      <c r="AU99" s="16">
        <f t="shared" si="15"/>
        <v>30</v>
      </c>
      <c r="AV99" s="16">
        <f>IF(AU99="",NA(),COUNTIF(AU99:$AU$188,AU99))</f>
        <v>1</v>
      </c>
      <c r="AW99" s="16">
        <f t="shared" si="16"/>
        <v>0</v>
      </c>
      <c r="BG99" s="792">
        <v>92</v>
      </c>
      <c r="BH99" s="761"/>
      <c r="BI99" s="762"/>
      <c r="BJ99" s="759"/>
      <c r="BL99" s="792">
        <v>92</v>
      </c>
      <c r="BM99" s="761"/>
      <c r="BN99" s="762"/>
      <c r="BO99" s="759"/>
      <c r="BQ99" s="792">
        <v>92</v>
      </c>
      <c r="BR99" s="761"/>
      <c r="BS99" s="762"/>
      <c r="BT99" s="759"/>
    </row>
    <row r="100" spans="5:72" ht="12" customHeight="1">
      <c r="E100" s="666">
        <v>92</v>
      </c>
      <c r="F100" s="761"/>
      <c r="G100" s="762"/>
      <c r="H100" s="763"/>
      <c r="I100" s="764" t="str">
        <f t="shared" si="4"/>
        <v/>
      </c>
      <c r="J100" s="765"/>
      <c r="K100"/>
      <c r="L100" s="197"/>
      <c r="O100" s="246">
        <f>$W$24-IF($AN$85,AR98,0)</f>
        <v>2.6</v>
      </c>
      <c r="P100" s="823">
        <f>IF(Y100="",NA(),IF($AN$85,Y100,U100))</f>
        <v>18.239999999999998</v>
      </c>
      <c r="Q100" s="822"/>
      <c r="U100" s="16">
        <f>IF(AND(G14&lt;&gt;"",$X$5,$X$2),G14,NA())</f>
        <v>18</v>
      </c>
      <c r="W100" s="16">
        <f>IF(ISNA(U100),"",IF($AE$102=0,U100,ROUND(U100/$AE$102,0)))</f>
        <v>38</v>
      </c>
      <c r="X100" s="16" t="str">
        <f t="shared" si="9"/>
        <v/>
      </c>
      <c r="Y100" s="16">
        <f t="shared" si="10"/>
        <v>18.239999999999998</v>
      </c>
      <c r="AA100" s="16">
        <f t="shared" si="11"/>
        <v>3.9</v>
      </c>
      <c r="AB100" s="16">
        <f t="shared" si="12"/>
        <v>12.48</v>
      </c>
      <c r="AF100" s="16" t="s">
        <v>345</v>
      </c>
      <c r="AH100" s="185">
        <v>-3</v>
      </c>
      <c r="AI100" s="16">
        <f t="shared" si="5"/>
        <v>-6</v>
      </c>
      <c r="AJ100" s="16">
        <f t="shared" si="6"/>
        <v>5.5833333333333339</v>
      </c>
      <c r="AK100" s="16">
        <f t="shared" si="7"/>
        <v>4.5999999999999996</v>
      </c>
      <c r="AL100" s="16">
        <f t="shared" si="8"/>
        <v>5.5833333333333339</v>
      </c>
      <c r="AP100" s="16">
        <f>IF(ISNA(P102),"",IF($AE$102=0,P102,ROUND(P102/$AE$102,0)))</f>
        <v>27</v>
      </c>
      <c r="AQ100" s="16">
        <f>IF(AP100="",NA(),COUNTIF(AP100:$AP$286,AP100))</f>
        <v>1</v>
      </c>
      <c r="AR100" s="16">
        <f>(AQ100-1)*$AE$105</f>
        <v>0</v>
      </c>
      <c r="AS100" s="16">
        <f t="shared" si="13"/>
        <v>12.583333333333334</v>
      </c>
      <c r="AT100" s="16">
        <f t="shared" si="14"/>
        <v>12.48</v>
      </c>
      <c r="AU100" s="16">
        <f t="shared" si="15"/>
        <v>26</v>
      </c>
      <c r="AV100" s="16">
        <f>IF(AU100="",NA(),COUNTIF(AU100:$AU$188,AU100))</f>
        <v>1</v>
      </c>
      <c r="AW100" s="16">
        <f t="shared" si="16"/>
        <v>0</v>
      </c>
      <c r="BG100" s="756">
        <v>93</v>
      </c>
      <c r="BH100" s="761"/>
      <c r="BI100" s="762"/>
      <c r="BJ100" s="759"/>
      <c r="BL100" s="756">
        <v>93</v>
      </c>
      <c r="BM100" s="761"/>
      <c r="BN100" s="762"/>
      <c r="BO100" s="759"/>
      <c r="BQ100" s="756">
        <v>93</v>
      </c>
      <c r="BR100" s="761"/>
      <c r="BS100" s="762"/>
      <c r="BT100" s="759"/>
    </row>
    <row r="101" spans="5:72" ht="12" customHeight="1">
      <c r="E101" s="621">
        <v>93</v>
      </c>
      <c r="F101" s="761"/>
      <c r="G101" s="762"/>
      <c r="H101" s="763"/>
      <c r="I101" s="764" t="str">
        <f t="shared" si="4"/>
        <v/>
      </c>
      <c r="J101" s="765"/>
      <c r="K101"/>
      <c r="L101" s="197"/>
      <c r="O101" s="820">
        <f>$W$23+IF($AN$85,AO99,0)</f>
        <v>1.4</v>
      </c>
      <c r="P101" s="821">
        <f>IF(X101="",NA(),IF($AN$85,X101,T101))</f>
        <v>13.92</v>
      </c>
      <c r="Q101" s="822"/>
      <c r="T101" s="16">
        <f>IF(AND(F15&lt;&gt;"",$X$5,$X$2),F15,NA())</f>
        <v>14</v>
      </c>
      <c r="V101" s="16">
        <f>IF(ISNA(T101),"",IF($AE$102=0,T101,ROUND(T101/$AE$102,0)))</f>
        <v>29</v>
      </c>
      <c r="X101" s="16">
        <f t="shared" si="9"/>
        <v>13.92</v>
      </c>
      <c r="Y101" s="16" t="str">
        <f t="shared" si="10"/>
        <v/>
      </c>
      <c r="AA101" s="16" t="e">
        <f t="shared" si="11"/>
        <v>#N/A</v>
      </c>
      <c r="AB101" s="16" t="e">
        <f t="shared" si="12"/>
        <v>#N/A</v>
      </c>
      <c r="AE101" s="16" t="s">
        <v>348</v>
      </c>
      <c r="AF101" s="16">
        <f>MAX(F9:G1008)</f>
        <v>18</v>
      </c>
      <c r="AH101" s="185">
        <v>-4</v>
      </c>
      <c r="AI101" s="16">
        <f t="shared" si="5"/>
        <v>-8</v>
      </c>
      <c r="AJ101" s="16">
        <f t="shared" si="6"/>
        <v>3.5833333333333339</v>
      </c>
      <c r="AK101" s="16">
        <f t="shared" si="7"/>
        <v>4.5999999999999996</v>
      </c>
      <c r="AL101" s="16" t="e">
        <f t="shared" si="8"/>
        <v>#N/A</v>
      </c>
      <c r="AM101" s="16">
        <f>IF(ISNA(P103),"",IF($AE$102=0,P103,ROUND(P103/$AE$102,0)))</f>
        <v>19</v>
      </c>
      <c r="AN101" s="16">
        <f>IF(AM101="",NA(),COUNTIF(AM101:$AM$286,AM101))</f>
        <v>1</v>
      </c>
      <c r="AO101" s="16">
        <f>(AN101-1)*$AE$105</f>
        <v>0</v>
      </c>
      <c r="AS101" s="16" t="e">
        <f t="shared" si="13"/>
        <v>#N/A</v>
      </c>
      <c r="AT101" s="16" t="str">
        <f t="shared" si="14"/>
        <v/>
      </c>
      <c r="AU101" s="16" t="str">
        <f t="shared" si="15"/>
        <v/>
      </c>
      <c r="AV101" s="16" t="e">
        <f>IF(AU101="",NA(),COUNTIF(AU101:$AU$188,AU101))</f>
        <v>#N/A</v>
      </c>
      <c r="AW101" s="16" t="e">
        <f t="shared" si="16"/>
        <v>#N/A</v>
      </c>
      <c r="BG101" s="756">
        <v>94</v>
      </c>
      <c r="BH101" s="761"/>
      <c r="BI101" s="762"/>
      <c r="BJ101" s="759"/>
      <c r="BL101" s="756">
        <v>94</v>
      </c>
      <c r="BM101" s="761"/>
      <c r="BN101" s="762"/>
      <c r="BO101" s="759"/>
      <c r="BQ101" s="756">
        <v>94</v>
      </c>
      <c r="BR101" s="761"/>
      <c r="BS101" s="762"/>
      <c r="BT101" s="759"/>
    </row>
    <row r="102" spans="5:72" ht="12" customHeight="1">
      <c r="E102" s="621">
        <v>94</v>
      </c>
      <c r="F102" s="761"/>
      <c r="G102" s="762"/>
      <c r="H102" s="763"/>
      <c r="I102" s="764" t="str">
        <f t="shared" si="4"/>
        <v/>
      </c>
      <c r="J102" s="765"/>
      <c r="K102"/>
      <c r="L102" s="197"/>
      <c r="O102" s="246">
        <f>$W$24-IF($AN$85,AR100,0)</f>
        <v>2.6</v>
      </c>
      <c r="P102" s="823">
        <f>IF(Y102="",NA(),IF($AN$85,Y102,U102))</f>
        <v>12.959999999999999</v>
      </c>
      <c r="Q102" s="822"/>
      <c r="U102" s="16">
        <f>IF(AND(G15&lt;&gt;"",$X$5,$X$2),G15,NA())</f>
        <v>13</v>
      </c>
      <c r="W102" s="16">
        <f>IF(ISNA(U102),"",IF($AE$102=0,U102,ROUND(U102/$AE$102,0)))</f>
        <v>27</v>
      </c>
      <c r="X102" s="16" t="str">
        <f t="shared" si="9"/>
        <v/>
      </c>
      <c r="Y102" s="16">
        <f t="shared" si="10"/>
        <v>12.959999999999999</v>
      </c>
      <c r="AA102" s="16" t="e">
        <f t="shared" si="11"/>
        <v>#N/A</v>
      </c>
      <c r="AB102" s="16" t="e">
        <f t="shared" si="12"/>
        <v>#N/A</v>
      </c>
      <c r="AE102" s="16">
        <f>(AQ11/5000)*ABS(AF101-AF103)</f>
        <v>0.48</v>
      </c>
      <c r="AF102" s="16" t="s">
        <v>351</v>
      </c>
      <c r="AH102" s="185">
        <v>-5</v>
      </c>
      <c r="AI102" s="16">
        <f t="shared" si="5"/>
        <v>-10</v>
      </c>
      <c r="AJ102" s="16">
        <f t="shared" si="6"/>
        <v>1.5833333333333339</v>
      </c>
      <c r="AK102" s="16">
        <f t="shared" si="7"/>
        <v>4.5999999999999996</v>
      </c>
      <c r="AL102" s="16" t="e">
        <f t="shared" si="8"/>
        <v>#N/A</v>
      </c>
      <c r="AP102" s="16">
        <f>IF(ISNA(P104),"",IF($AE$102=0,P104,ROUND(P104/$AE$102,0)))</f>
        <v>21</v>
      </c>
      <c r="AQ102" s="16">
        <f>IF(AP102="",NA(),COUNTIF(AP102:$AP$286,AP102))</f>
        <v>2</v>
      </c>
      <c r="AR102" s="16">
        <f>(AQ102-1)*$AE$105</f>
        <v>0.06</v>
      </c>
      <c r="AS102" s="16" t="e">
        <f t="shared" si="13"/>
        <v>#N/A</v>
      </c>
      <c r="AT102" s="16" t="str">
        <f t="shared" si="14"/>
        <v/>
      </c>
      <c r="AU102" s="16" t="str">
        <f t="shared" si="15"/>
        <v/>
      </c>
      <c r="AV102" s="16" t="e">
        <f>IF(AU102="",NA(),COUNTIF(AU102:$AU$188,AU102))</f>
        <v>#N/A</v>
      </c>
      <c r="AW102" s="16" t="e">
        <f t="shared" si="16"/>
        <v>#N/A</v>
      </c>
      <c r="BG102" s="792">
        <v>95</v>
      </c>
      <c r="BH102" s="761"/>
      <c r="BI102" s="762"/>
      <c r="BJ102" s="759"/>
      <c r="BL102" s="792">
        <v>95</v>
      </c>
      <c r="BM102" s="761"/>
      <c r="BN102" s="762"/>
      <c r="BO102" s="759"/>
      <c r="BQ102" s="792">
        <v>95</v>
      </c>
      <c r="BR102" s="761"/>
      <c r="BS102" s="762"/>
      <c r="BT102" s="759"/>
    </row>
    <row r="103" spans="5:72" ht="12" customHeight="1">
      <c r="E103" s="666">
        <v>95</v>
      </c>
      <c r="F103" s="761"/>
      <c r="G103" s="762"/>
      <c r="H103" s="763"/>
      <c r="I103" s="764" t="str">
        <f t="shared" si="4"/>
        <v/>
      </c>
      <c r="J103" s="765"/>
      <c r="K103"/>
      <c r="L103" s="197"/>
      <c r="O103" s="820">
        <f>$W$23+IF($AN$85,AO101,0)</f>
        <v>1.4</v>
      </c>
      <c r="P103" s="821">
        <f>IF(X103="",NA(),IF($AN$85,X103,T103))</f>
        <v>9.1199999999999992</v>
      </c>
      <c r="Q103" s="822"/>
      <c r="T103" s="16">
        <f>IF(AND(F16&lt;&gt;"",$X$5,$X$2),F16,NA())</f>
        <v>9</v>
      </c>
      <c r="V103" s="16">
        <f>IF(ISNA(T103),"",IF($AE$102=0,T103,ROUND(T103/$AE$102,0)))</f>
        <v>19</v>
      </c>
      <c r="X103" s="16">
        <f t="shared" si="9"/>
        <v>9.1199999999999992</v>
      </c>
      <c r="Y103" s="16" t="str">
        <f t="shared" si="10"/>
        <v/>
      </c>
      <c r="AA103" s="16" t="e">
        <f t="shared" si="11"/>
        <v>#N/A</v>
      </c>
      <c r="AB103" s="16" t="e">
        <f t="shared" si="12"/>
        <v>#N/A</v>
      </c>
      <c r="AF103" s="16">
        <f>MIN(F9:G1008)</f>
        <v>6</v>
      </c>
      <c r="AH103" s="185">
        <v>-6</v>
      </c>
      <c r="AI103" s="16">
        <f t="shared" si="5"/>
        <v>-12</v>
      </c>
      <c r="AJ103" s="16">
        <f t="shared" si="6"/>
        <v>-0.41666666666666607</v>
      </c>
      <c r="AK103" s="16">
        <f t="shared" si="7"/>
        <v>4.5999999999999996</v>
      </c>
      <c r="AL103" s="16" t="e">
        <f t="shared" si="8"/>
        <v>#N/A</v>
      </c>
      <c r="AM103" s="16">
        <f>IF(ISNA(P105),"",IF($AE$102=0,P105,ROUND(P105/$AE$102,0)))</f>
        <v>13</v>
      </c>
      <c r="AN103" s="16">
        <f>IF(AM103="",NA(),COUNTIF(AM103:$AM$286,AM103))</f>
        <v>1</v>
      </c>
      <c r="AO103" s="16">
        <f>(AN103-1)*$AE$105</f>
        <v>0</v>
      </c>
      <c r="AS103" s="16" t="e">
        <f t="shared" si="13"/>
        <v>#N/A</v>
      </c>
      <c r="AT103" s="16" t="str">
        <f t="shared" si="14"/>
        <v/>
      </c>
      <c r="AU103" s="16" t="str">
        <f t="shared" si="15"/>
        <v/>
      </c>
      <c r="AV103" s="16" t="e">
        <f>IF(AU103="",NA(),COUNTIF(AU103:$AU$188,AU103))</f>
        <v>#N/A</v>
      </c>
      <c r="AW103" s="16" t="e">
        <f t="shared" si="16"/>
        <v>#N/A</v>
      </c>
      <c r="BG103" s="756">
        <v>96</v>
      </c>
      <c r="BH103" s="761"/>
      <c r="BI103" s="762"/>
      <c r="BJ103" s="759"/>
      <c r="BL103" s="756">
        <v>96</v>
      </c>
      <c r="BM103" s="761"/>
      <c r="BN103" s="762"/>
      <c r="BO103" s="759"/>
      <c r="BQ103" s="756">
        <v>96</v>
      </c>
      <c r="BR103" s="761"/>
      <c r="BS103" s="762"/>
      <c r="BT103" s="759"/>
    </row>
    <row r="104" spans="5:72" ht="12" customHeight="1">
      <c r="E104" s="621">
        <v>96</v>
      </c>
      <c r="F104" s="761"/>
      <c r="G104" s="762"/>
      <c r="H104" s="763"/>
      <c r="I104" s="764" t="str">
        <f t="shared" si="4"/>
        <v/>
      </c>
      <c r="J104" s="765"/>
      <c r="K104"/>
      <c r="L104" s="197"/>
      <c r="O104" s="246">
        <f>$W$24-IF($AN$85,AR102,0)</f>
        <v>2.54</v>
      </c>
      <c r="P104" s="823">
        <f>IF(Y104="",NA(),IF($AN$85,Y104,U104))</f>
        <v>10.08</v>
      </c>
      <c r="Q104" s="822"/>
      <c r="U104" s="16">
        <f>IF(AND(G16&lt;&gt;"",$X$5,$X$2),G16,NA())</f>
        <v>10</v>
      </c>
      <c r="W104" s="16">
        <f>IF(ISNA(U104),"",IF($AE$102=0,U104,ROUND(U104/$AE$102,0)))</f>
        <v>21</v>
      </c>
      <c r="X104" s="16" t="str">
        <f t="shared" si="9"/>
        <v/>
      </c>
      <c r="Y104" s="16">
        <f t="shared" si="10"/>
        <v>10.08</v>
      </c>
      <c r="AA104" s="16" t="e">
        <f t="shared" si="11"/>
        <v>#N/A</v>
      </c>
      <c r="AB104" s="16" t="e">
        <f t="shared" si="12"/>
        <v>#N/A</v>
      </c>
      <c r="AE104" s="16" t="s">
        <v>356</v>
      </c>
      <c r="AH104" s="185">
        <v>-7</v>
      </c>
      <c r="AI104" s="16">
        <f t="shared" si="5"/>
        <v>-14</v>
      </c>
      <c r="AJ104" s="16">
        <f t="shared" si="6"/>
        <v>-2.4166666666666661</v>
      </c>
      <c r="AK104" s="16">
        <f t="shared" si="7"/>
        <v>4.5999999999999996</v>
      </c>
      <c r="AL104" s="16" t="e">
        <f t="shared" si="8"/>
        <v>#N/A</v>
      </c>
      <c r="AP104" s="16">
        <f>IF(ISNA(P106),"",IF($AE$102=0,P106,ROUND(P106/$AE$102,0)))</f>
        <v>21</v>
      </c>
      <c r="AQ104" s="16">
        <f>IF(AP104="",NA(),COUNTIF(AP104:$AP$286,AP104))</f>
        <v>1</v>
      </c>
      <c r="AR104" s="16">
        <f>(AQ104-1)*$AE$105</f>
        <v>0</v>
      </c>
      <c r="AS104" s="16" t="e">
        <f t="shared" si="13"/>
        <v>#N/A</v>
      </c>
      <c r="AT104" s="16" t="str">
        <f t="shared" si="14"/>
        <v/>
      </c>
      <c r="AU104" s="16" t="str">
        <f t="shared" si="15"/>
        <v/>
      </c>
      <c r="AV104" s="16" t="e">
        <f>IF(AU104="",NA(),COUNTIF(AU104:$AU$188,AU104))</f>
        <v>#N/A</v>
      </c>
      <c r="AW104" s="16" t="e">
        <f t="shared" si="16"/>
        <v>#N/A</v>
      </c>
      <c r="BG104" s="756">
        <v>97</v>
      </c>
      <c r="BH104" s="761"/>
      <c r="BI104" s="762"/>
      <c r="BJ104" s="759"/>
      <c r="BL104" s="756">
        <v>97</v>
      </c>
      <c r="BM104" s="761"/>
      <c r="BN104" s="762"/>
      <c r="BO104" s="759"/>
      <c r="BQ104" s="756">
        <v>97</v>
      </c>
      <c r="BR104" s="761"/>
      <c r="BS104" s="762"/>
      <c r="BT104" s="759"/>
    </row>
    <row r="105" spans="5:72" ht="12" customHeight="1">
      <c r="E105" s="621">
        <v>97</v>
      </c>
      <c r="F105" s="761"/>
      <c r="G105" s="762"/>
      <c r="H105" s="763"/>
      <c r="I105" s="764" t="str">
        <f t="shared" si="4"/>
        <v/>
      </c>
      <c r="J105" s="765"/>
      <c r="K105"/>
      <c r="L105" s="197"/>
      <c r="O105" s="820">
        <f>$W$23+IF($AN$85,AO103,0)</f>
        <v>1.4</v>
      </c>
      <c r="P105" s="821">
        <f>IF(X105="",NA(),IF($AN$85,X105,T105))</f>
        <v>6.24</v>
      </c>
      <c r="Q105" s="822"/>
      <c r="T105" s="16">
        <f>IF(AND(F17&lt;&gt;"",$X$5,$X$2),F17,NA())</f>
        <v>6</v>
      </c>
      <c r="V105" s="16">
        <f>IF(ISNA(T105),"",IF($AE$102=0,T105,ROUND(T105/$AE$102,0)))</f>
        <v>13</v>
      </c>
      <c r="X105" s="16">
        <f t="shared" si="9"/>
        <v>6.24</v>
      </c>
      <c r="Y105" s="16" t="str">
        <f t="shared" si="10"/>
        <v/>
      </c>
      <c r="AA105" s="16" t="e">
        <f t="shared" si="11"/>
        <v>#N/A</v>
      </c>
      <c r="AB105" s="16" t="e">
        <f t="shared" si="12"/>
        <v>#N/A</v>
      </c>
      <c r="AE105" s="16">
        <f>AQ14/1000</f>
        <v>0.06</v>
      </c>
      <c r="AH105" s="185">
        <v>-8</v>
      </c>
      <c r="AI105" s="16">
        <f t="shared" si="5"/>
        <v>-16</v>
      </c>
      <c r="AJ105" s="16">
        <f t="shared" si="6"/>
        <v>-4.4166666666666661</v>
      </c>
      <c r="AK105" s="16">
        <f t="shared" si="7"/>
        <v>4.5999999999999996</v>
      </c>
      <c r="AL105" s="16" t="e">
        <f t="shared" si="8"/>
        <v>#N/A</v>
      </c>
      <c r="AM105" s="16">
        <f>IF(ISNA(P107),"",IF($AE$102=0,P107,ROUND(P107/$AE$102,0)))</f>
        <v>15</v>
      </c>
      <c r="AN105" s="16">
        <f>IF(AM105="",NA(),COUNTIF(AM105:$AM$286,AM105))</f>
        <v>1</v>
      </c>
      <c r="AO105" s="16">
        <f>(AN105-1)*$AE$105</f>
        <v>0</v>
      </c>
      <c r="AS105" s="16" t="e">
        <f t="shared" si="13"/>
        <v>#N/A</v>
      </c>
      <c r="AT105" s="16" t="str">
        <f t="shared" si="14"/>
        <v/>
      </c>
      <c r="AU105" s="16" t="str">
        <f t="shared" si="15"/>
        <v/>
      </c>
      <c r="AV105" s="16" t="e">
        <f>IF(AU105="",NA(),COUNTIF(AU105:$AU$188,AU105))</f>
        <v>#N/A</v>
      </c>
      <c r="AW105" s="16" t="e">
        <f t="shared" si="16"/>
        <v>#N/A</v>
      </c>
      <c r="BG105" s="792">
        <v>98</v>
      </c>
      <c r="BH105" s="761"/>
      <c r="BI105" s="762"/>
      <c r="BJ105" s="759"/>
      <c r="BL105" s="792">
        <v>98</v>
      </c>
      <c r="BM105" s="761"/>
      <c r="BN105" s="762"/>
      <c r="BO105" s="759"/>
      <c r="BQ105" s="792">
        <v>98</v>
      </c>
      <c r="BR105" s="761"/>
      <c r="BS105" s="762"/>
      <c r="BT105" s="759"/>
    </row>
    <row r="106" spans="5:72" ht="12" customHeight="1">
      <c r="E106" s="666">
        <v>98</v>
      </c>
      <c r="F106" s="761"/>
      <c r="G106" s="762"/>
      <c r="H106" s="763"/>
      <c r="I106" s="764" t="str">
        <f t="shared" si="4"/>
        <v/>
      </c>
      <c r="J106" s="765"/>
      <c r="K106"/>
      <c r="L106" s="197"/>
      <c r="O106" s="246">
        <f>$W$24-IF($AN$85,AR104,0)</f>
        <v>2.6</v>
      </c>
      <c r="P106" s="823">
        <f>IF(Y106="",NA(),IF($AN$85,Y106,U106))</f>
        <v>10.08</v>
      </c>
      <c r="Q106" s="822"/>
      <c r="U106" s="16">
        <f>IF(AND(G17&lt;&gt;"",$X$5,$X$2),G17,NA())</f>
        <v>10</v>
      </c>
      <c r="W106" s="16">
        <f>IF(ISNA(U106),"",IF($AE$102=0,U106,ROUND(U106/$AE$102,0)))</f>
        <v>21</v>
      </c>
      <c r="X106" s="16" t="str">
        <f t="shared" si="9"/>
        <v/>
      </c>
      <c r="Y106" s="16">
        <f t="shared" si="10"/>
        <v>10.08</v>
      </c>
      <c r="AA106" s="16" t="e">
        <f t="shared" si="11"/>
        <v>#N/A</v>
      </c>
      <c r="AB106" s="16" t="e">
        <f t="shared" si="12"/>
        <v>#N/A</v>
      </c>
      <c r="AH106" s="185">
        <v>-9</v>
      </c>
      <c r="AI106" s="16">
        <f t="shared" si="5"/>
        <v>-18</v>
      </c>
      <c r="AJ106" s="16">
        <f t="shared" si="6"/>
        <v>-6.4166666666666661</v>
      </c>
      <c r="AK106" s="16">
        <f t="shared" si="7"/>
        <v>4.5999999999999996</v>
      </c>
      <c r="AL106" s="16" t="e">
        <f t="shared" si="8"/>
        <v>#N/A</v>
      </c>
      <c r="AP106" s="16">
        <f>IF(ISNA(P108),"",IF($AE$102=0,P108,ROUND(P108/$AE$102,0)))</f>
        <v>17</v>
      </c>
      <c r="AQ106" s="16">
        <f>IF(AP106="",NA(),COUNTIF(AP106:$AP$286,AP106))</f>
        <v>1</v>
      </c>
      <c r="AR106" s="16">
        <f>(AQ106-1)*$AE$105</f>
        <v>0</v>
      </c>
      <c r="AS106" s="16" t="e">
        <f t="shared" si="13"/>
        <v>#N/A</v>
      </c>
      <c r="AT106" s="16" t="str">
        <f t="shared" si="14"/>
        <v/>
      </c>
      <c r="AU106" s="16" t="str">
        <f t="shared" si="15"/>
        <v/>
      </c>
      <c r="AV106" s="16" t="e">
        <f>IF(AU106="",NA(),COUNTIF(AU106:$AU$188,AU106))</f>
        <v>#N/A</v>
      </c>
      <c r="AW106" s="16" t="e">
        <f t="shared" si="16"/>
        <v>#N/A</v>
      </c>
      <c r="BG106" s="756">
        <v>99</v>
      </c>
      <c r="BH106" s="761"/>
      <c r="BI106" s="762"/>
      <c r="BJ106" s="759"/>
      <c r="BL106" s="756">
        <v>99</v>
      </c>
      <c r="BM106" s="761"/>
      <c r="BN106" s="762"/>
      <c r="BO106" s="759"/>
      <c r="BQ106" s="756">
        <v>99</v>
      </c>
      <c r="BR106" s="761"/>
      <c r="BS106" s="762"/>
      <c r="BT106" s="759"/>
    </row>
    <row r="107" spans="5:72" ht="12" customHeight="1">
      <c r="E107" s="621">
        <v>99</v>
      </c>
      <c r="F107" s="761"/>
      <c r="G107" s="762"/>
      <c r="H107" s="763"/>
      <c r="I107" s="764" t="str">
        <f t="shared" si="4"/>
        <v/>
      </c>
      <c r="J107" s="765"/>
      <c r="K107"/>
      <c r="L107" s="197"/>
      <c r="O107" s="820">
        <f>$W$23+IF($AN$85,AO105,0)</f>
        <v>1.4</v>
      </c>
      <c r="P107" s="821">
        <f>IF(X107="",NA(),IF($AN$85,X107,T107))</f>
        <v>7.1999999999999993</v>
      </c>
      <c r="Q107" s="822"/>
      <c r="T107" s="16">
        <f>IF(AND(F18&lt;&gt;"",$X$5,$X$2),F18,NA())</f>
        <v>7</v>
      </c>
      <c r="V107" s="16">
        <f>IF(ISNA(T107),"",IF($AE$102=0,T107,ROUND(T107/$AE$102,0)))</f>
        <v>15</v>
      </c>
      <c r="X107" s="16">
        <f t="shared" si="9"/>
        <v>7.1999999999999993</v>
      </c>
      <c r="Y107" s="16" t="str">
        <f t="shared" si="10"/>
        <v/>
      </c>
      <c r="AA107" s="16" t="e">
        <f t="shared" si="11"/>
        <v>#N/A</v>
      </c>
      <c r="AB107" s="16" t="e">
        <f t="shared" si="12"/>
        <v>#N/A</v>
      </c>
      <c r="AH107" s="185">
        <v>-10</v>
      </c>
      <c r="AI107" s="16">
        <f t="shared" si="5"/>
        <v>-20</v>
      </c>
      <c r="AJ107" s="16">
        <f t="shared" si="6"/>
        <v>-8.4166666666666661</v>
      </c>
      <c r="AK107" s="16">
        <f t="shared" si="7"/>
        <v>4.5999999999999996</v>
      </c>
      <c r="AL107" s="16" t="e">
        <f t="shared" si="8"/>
        <v>#N/A</v>
      </c>
      <c r="AM107" s="16">
        <f>IF(ISNA(P109),"",IF($AE$102=0,P109,ROUND(P109/$AE$102,0)))</f>
        <v>23</v>
      </c>
      <c r="AN107" s="16">
        <f>IF(AM107="",NA(),COUNTIF(AM107:$AM$286,AM107))</f>
        <v>1</v>
      </c>
      <c r="AO107" s="16">
        <f>(AN107-1)*$AE$105</f>
        <v>0</v>
      </c>
      <c r="AS107" s="16" t="e">
        <f t="shared" si="13"/>
        <v>#N/A</v>
      </c>
      <c r="AT107" s="16" t="str">
        <f t="shared" si="14"/>
        <v/>
      </c>
      <c r="AU107" s="16" t="str">
        <f t="shared" si="15"/>
        <v/>
      </c>
      <c r="AV107" s="16" t="e">
        <f>IF(AU107="",NA(),COUNTIF(AU107:$AU$188,AU107))</f>
        <v>#N/A</v>
      </c>
      <c r="AW107" s="16" t="e">
        <f t="shared" si="16"/>
        <v>#N/A</v>
      </c>
      <c r="BG107" s="756">
        <v>100</v>
      </c>
      <c r="BH107" s="761"/>
      <c r="BI107" s="762"/>
      <c r="BJ107" s="759"/>
      <c r="BL107" s="756">
        <v>100</v>
      </c>
      <c r="BM107" s="761"/>
      <c r="BN107" s="762"/>
      <c r="BO107" s="759"/>
      <c r="BQ107" s="756">
        <v>100</v>
      </c>
      <c r="BR107" s="761"/>
      <c r="BS107" s="762"/>
      <c r="BT107" s="759"/>
    </row>
    <row r="108" spans="5:72" ht="12" customHeight="1">
      <c r="E108" s="621">
        <v>100</v>
      </c>
      <c r="F108" s="761"/>
      <c r="G108" s="762"/>
      <c r="H108" s="763"/>
      <c r="I108" s="764" t="str">
        <f t="shared" si="4"/>
        <v/>
      </c>
      <c r="J108" s="595"/>
      <c r="K108"/>
      <c r="L108" s="197"/>
      <c r="O108" s="246">
        <f>$W$24-IF($AN$85,AR106,0)</f>
        <v>2.6</v>
      </c>
      <c r="P108" s="823">
        <f>IF(Y108="",NA(),IF($AN$85,Y108,U108))</f>
        <v>8.16</v>
      </c>
      <c r="Q108" s="822"/>
      <c r="U108" s="16">
        <f>IF(AND(G18&lt;&gt;"",$X$5,$X$2),G18,NA())</f>
        <v>8</v>
      </c>
      <c r="W108" s="16">
        <f>IF(ISNA(U108),"",IF($AE$102=0,U108,ROUND(U108/$AE$102,0)))</f>
        <v>17</v>
      </c>
      <c r="X108" s="16" t="str">
        <f t="shared" si="9"/>
        <v/>
      </c>
      <c r="Y108" s="16">
        <f t="shared" si="10"/>
        <v>8.16</v>
      </c>
      <c r="AA108" s="16" t="e">
        <f t="shared" si="11"/>
        <v>#N/A</v>
      </c>
      <c r="AB108" s="16" t="e">
        <f t="shared" si="12"/>
        <v>#N/A</v>
      </c>
      <c r="AP108" s="16">
        <f>IF(ISNA(P110),"",IF($AE$102=0,P110,ROUND(P110/$AE$102,0)))</f>
        <v>29</v>
      </c>
      <c r="AQ108" s="16">
        <f>IF(AP108="",NA(),COUNTIF(AP108:$AP$286,AP108))</f>
        <v>1</v>
      </c>
      <c r="AR108" s="16">
        <f>(AQ108-1)*$AE$105</f>
        <v>0</v>
      </c>
      <c r="AS108" s="16" t="e">
        <f t="shared" si="13"/>
        <v>#N/A</v>
      </c>
      <c r="AT108" s="16" t="str">
        <f t="shared" si="14"/>
        <v/>
      </c>
      <c r="AU108" s="16" t="str">
        <f t="shared" si="15"/>
        <v/>
      </c>
      <c r="AV108" s="16" t="e">
        <f>IF(AU108="",NA(),COUNTIF(AU108:$AU$188,AU108))</f>
        <v>#N/A</v>
      </c>
      <c r="AW108" s="16" t="e">
        <f t="shared" si="16"/>
        <v>#N/A</v>
      </c>
      <c r="BG108" s="756">
        <v>101</v>
      </c>
      <c r="BH108" s="761"/>
      <c r="BI108" s="762"/>
      <c r="BJ108" s="824"/>
      <c r="BL108" s="756">
        <v>101</v>
      </c>
      <c r="BM108" s="761"/>
      <c r="BN108" s="762"/>
      <c r="BO108" s="824"/>
      <c r="BQ108" s="756">
        <v>101</v>
      </c>
      <c r="BR108" s="761"/>
      <c r="BS108" s="762"/>
      <c r="BT108" s="824"/>
    </row>
    <row r="109" spans="5:72" ht="12" customHeight="1">
      <c r="E109" s="621">
        <v>101</v>
      </c>
      <c r="F109" s="761"/>
      <c r="G109" s="762"/>
      <c r="H109" s="680"/>
      <c r="I109" s="764" t="str">
        <f t="shared" si="4"/>
        <v/>
      </c>
      <c r="J109" s="595"/>
      <c r="K109"/>
      <c r="L109" s="197"/>
      <c r="O109" s="820">
        <f>$W$23+IF($AN$85,AO107,0)</f>
        <v>1.4</v>
      </c>
      <c r="P109" s="821">
        <f>IF(X109="",NA(),IF($AN$85,X109,T109))</f>
        <v>11.04</v>
      </c>
      <c r="Q109" s="822"/>
      <c r="T109" s="16">
        <f>IF(AND(F19&lt;&gt;"",$X$5,$X$2),F19,NA())</f>
        <v>11</v>
      </c>
      <c r="V109" s="16">
        <f>IF(ISNA(T109),"",IF($AE$102=0,T109,ROUND(T109/$AE$102,0)))</f>
        <v>23</v>
      </c>
      <c r="X109" s="16">
        <f t="shared" si="9"/>
        <v>11.04</v>
      </c>
      <c r="Y109" s="16" t="str">
        <f t="shared" si="10"/>
        <v/>
      </c>
      <c r="AA109" s="16" t="e">
        <f t="shared" si="11"/>
        <v>#N/A</v>
      </c>
      <c r="AB109" s="16" t="e">
        <f t="shared" si="12"/>
        <v>#N/A</v>
      </c>
      <c r="AM109" s="16">
        <f>IF(ISNA(P111),"",IF($AE$102=0,P111,ROUND(P111/$AE$102,0)))</f>
        <v>31</v>
      </c>
      <c r="AN109" s="16">
        <f>IF(AM109="",NA(),COUNTIF(AM109:$AM$286,AM109))</f>
        <v>1</v>
      </c>
      <c r="AO109" s="16">
        <f>(AN109-1)*$AE$105</f>
        <v>0</v>
      </c>
      <c r="AS109" s="16" t="e">
        <f t="shared" si="13"/>
        <v>#N/A</v>
      </c>
      <c r="AT109" s="16" t="str">
        <f t="shared" si="14"/>
        <v/>
      </c>
      <c r="AU109" s="16" t="str">
        <f t="shared" si="15"/>
        <v/>
      </c>
      <c r="AV109" s="16" t="e">
        <f>IF(AU109="",NA(),COUNTIF(AU109:$AU$188,AU109))</f>
        <v>#N/A</v>
      </c>
      <c r="AW109" s="16" t="e">
        <f t="shared" si="16"/>
        <v>#N/A</v>
      </c>
      <c r="BG109" s="756">
        <v>102</v>
      </c>
      <c r="BH109" s="761"/>
      <c r="BI109" s="762"/>
      <c r="BJ109" s="824"/>
      <c r="BL109" s="756">
        <v>102</v>
      </c>
      <c r="BM109" s="761"/>
      <c r="BN109" s="762"/>
      <c r="BO109" s="824"/>
      <c r="BQ109" s="756">
        <v>102</v>
      </c>
      <c r="BR109" s="761"/>
      <c r="BS109" s="762"/>
      <c r="BT109" s="824"/>
    </row>
    <row r="110" spans="5:72" ht="12" customHeight="1">
      <c r="E110" s="621">
        <v>102</v>
      </c>
      <c r="F110" s="761"/>
      <c r="G110" s="762"/>
      <c r="H110" s="680"/>
      <c r="I110" s="764" t="str">
        <f t="shared" si="4"/>
        <v/>
      </c>
      <c r="J110" s="595"/>
      <c r="K110"/>
      <c r="L110" s="197"/>
      <c r="O110" s="246">
        <f>$W$24-IF($AN$85,AR108,0)</f>
        <v>2.6</v>
      </c>
      <c r="P110" s="823">
        <f>IF(Y110="",NA(),IF($AN$85,Y110,U110))</f>
        <v>13.92</v>
      </c>
      <c r="Q110" s="822"/>
      <c r="U110" s="16">
        <f>IF(AND(G19&lt;&gt;"",$X$5,$X$2),G19,NA())</f>
        <v>14</v>
      </c>
      <c r="W110" s="16">
        <f>IF(ISNA(U110),"",IF($AE$102=0,U110,ROUND(U110/$AE$102,0)))</f>
        <v>29</v>
      </c>
      <c r="X110" s="16" t="str">
        <f t="shared" si="9"/>
        <v/>
      </c>
      <c r="Y110" s="16">
        <f t="shared" si="10"/>
        <v>13.92</v>
      </c>
      <c r="AA110" s="16" t="e">
        <f t="shared" si="11"/>
        <v>#N/A</v>
      </c>
      <c r="AB110" s="16" t="e">
        <f t="shared" si="12"/>
        <v>#N/A</v>
      </c>
      <c r="AP110" s="16">
        <f>IF(ISNA(P112),"",IF($AE$102=0,P112,ROUND(P112/$AE$102,0)))</f>
        <v>33</v>
      </c>
      <c r="AQ110" s="16">
        <f>IF(AP110="",NA(),COUNTIF(AP110:$AP$286,AP110))</f>
        <v>1</v>
      </c>
      <c r="AR110" s="16">
        <f>(AQ110-1)*$AE$105</f>
        <v>0</v>
      </c>
      <c r="AS110" s="16" t="e">
        <f t="shared" si="13"/>
        <v>#N/A</v>
      </c>
      <c r="AT110" s="16" t="str">
        <f t="shared" si="14"/>
        <v/>
      </c>
      <c r="AU110" s="16" t="str">
        <f t="shared" si="15"/>
        <v/>
      </c>
      <c r="AV110" s="16" t="e">
        <f>IF(AU110="",NA(),COUNTIF(AU110:$AU$188,AU110))</f>
        <v>#N/A</v>
      </c>
      <c r="AW110" s="16" t="e">
        <f t="shared" si="16"/>
        <v>#N/A</v>
      </c>
      <c r="BG110" s="756">
        <v>103</v>
      </c>
      <c r="BH110" s="761"/>
      <c r="BI110" s="762"/>
      <c r="BJ110" s="824"/>
      <c r="BL110" s="756">
        <v>103</v>
      </c>
      <c r="BM110" s="761"/>
      <c r="BN110" s="762"/>
      <c r="BO110" s="824"/>
      <c r="BQ110" s="756">
        <v>103</v>
      </c>
      <c r="BR110" s="761"/>
      <c r="BS110" s="762"/>
      <c r="BT110" s="824"/>
    </row>
    <row r="111" spans="5:72" ht="12" customHeight="1">
      <c r="E111" s="621">
        <v>103</v>
      </c>
      <c r="F111" s="761"/>
      <c r="G111" s="762"/>
      <c r="H111" s="680"/>
      <c r="I111" s="764" t="str">
        <f t="shared" si="4"/>
        <v/>
      </c>
      <c r="J111" s="595"/>
      <c r="K111"/>
      <c r="L111" s="197"/>
      <c r="O111" s="820">
        <f>$W$23+IF($AN$85,AO109,0)</f>
        <v>1.4</v>
      </c>
      <c r="P111" s="821">
        <f>IF(X111="",NA(),IF($AN$85,X111,T111))</f>
        <v>14.879999999999999</v>
      </c>
      <c r="Q111" s="822"/>
      <c r="T111" s="16">
        <f>IF(AND(F20&lt;&gt;"",$X$5,$X$2),F20,NA())</f>
        <v>15</v>
      </c>
      <c r="V111" s="16">
        <f>IF(ISNA(T111),"",IF($AE$102=0,T111,ROUND(T111/$AE$102,0)))</f>
        <v>31</v>
      </c>
      <c r="X111" s="16">
        <f t="shared" si="9"/>
        <v>14.879999999999999</v>
      </c>
      <c r="Y111" s="16" t="str">
        <f t="shared" si="10"/>
        <v/>
      </c>
      <c r="AA111" s="16" t="e">
        <f t="shared" si="11"/>
        <v>#N/A</v>
      </c>
      <c r="AB111" s="16" t="e">
        <f t="shared" si="12"/>
        <v>#N/A</v>
      </c>
      <c r="AM111" s="16" t="str">
        <f>IF(ISNA(P113),"",IF($AE$102=0,P113,ROUND(P113/$AE$102,0)))</f>
        <v/>
      </c>
      <c r="AN111" s="16" t="e">
        <f>IF(AM111="",NA(),COUNTIF(AM111:$AM$286,AM111))</f>
        <v>#N/A</v>
      </c>
      <c r="AO111" s="16" t="e">
        <f>(AN111-1)*$AE$105</f>
        <v>#N/A</v>
      </c>
      <c r="AS111" s="16" t="e">
        <f t="shared" si="13"/>
        <v>#N/A</v>
      </c>
      <c r="AT111" s="16" t="str">
        <f t="shared" si="14"/>
        <v/>
      </c>
      <c r="AU111" s="16" t="str">
        <f t="shared" si="15"/>
        <v/>
      </c>
      <c r="AV111" s="16" t="e">
        <f>IF(AU111="",NA(),COUNTIF(AU111:$AU$188,AU111))</f>
        <v>#N/A</v>
      </c>
      <c r="AW111" s="16" t="e">
        <f t="shared" si="16"/>
        <v>#N/A</v>
      </c>
      <c r="BG111" s="756">
        <v>104</v>
      </c>
      <c r="BH111" s="761"/>
      <c r="BI111" s="762"/>
      <c r="BJ111" s="824"/>
      <c r="BL111" s="756">
        <v>104</v>
      </c>
      <c r="BM111" s="761"/>
      <c r="BN111" s="762"/>
      <c r="BO111" s="824"/>
      <c r="BQ111" s="756">
        <v>104</v>
      </c>
      <c r="BR111" s="761"/>
      <c r="BS111" s="762"/>
      <c r="BT111" s="824"/>
    </row>
    <row r="112" spans="5:72" ht="12" customHeight="1">
      <c r="E112" s="621">
        <v>104</v>
      </c>
      <c r="F112" s="761"/>
      <c r="G112" s="762"/>
      <c r="H112" s="680"/>
      <c r="I112" s="764" t="str">
        <f t="shared" si="4"/>
        <v/>
      </c>
      <c r="J112" s="595"/>
      <c r="K112"/>
      <c r="L112" s="197"/>
      <c r="O112" s="246">
        <f>$W$24-IF($AN$85,AR110,0)</f>
        <v>2.6</v>
      </c>
      <c r="P112" s="823">
        <f>IF(Y112="",NA(),IF($AN$85,Y112,U112))</f>
        <v>15.84</v>
      </c>
      <c r="Q112" s="822"/>
      <c r="U112" s="16">
        <f>IF(AND(G20&lt;&gt;"",$X$5,$X$2),G20,NA())</f>
        <v>16</v>
      </c>
      <c r="W112" s="16">
        <f>IF(ISNA(U112),"",IF($AE$102=0,U112,ROUND(U112/$AE$102,0)))</f>
        <v>33</v>
      </c>
      <c r="X112" s="16" t="str">
        <f t="shared" si="9"/>
        <v/>
      </c>
      <c r="Y112" s="16">
        <f t="shared" si="10"/>
        <v>15.84</v>
      </c>
      <c r="AA112" s="16" t="e">
        <f t="shared" si="11"/>
        <v>#N/A</v>
      </c>
      <c r="AB112" s="16" t="e">
        <f t="shared" si="12"/>
        <v>#N/A</v>
      </c>
      <c r="AP112" s="16" t="str">
        <f>IF(ISNA(P114),"",IF($AE$102=0,P114,ROUND(P114/$AE$102,0)))</f>
        <v/>
      </c>
      <c r="AQ112" s="16" t="e">
        <f>IF(AP112="",NA(),COUNTIF(AP112:$AP$286,AP112))</f>
        <v>#N/A</v>
      </c>
      <c r="AR112" s="16" t="e">
        <f>(AQ112-1)*$AE$105</f>
        <v>#N/A</v>
      </c>
      <c r="AS112" s="16" t="e">
        <f t="shared" si="13"/>
        <v>#N/A</v>
      </c>
      <c r="AT112" s="16" t="str">
        <f t="shared" si="14"/>
        <v/>
      </c>
      <c r="AU112" s="16" t="str">
        <f t="shared" si="15"/>
        <v/>
      </c>
      <c r="AV112" s="16" t="e">
        <f>IF(AU112="",NA(),COUNTIF(AU112:$AU$188,AU112))</f>
        <v>#N/A</v>
      </c>
      <c r="AW112" s="16" t="e">
        <f t="shared" si="16"/>
        <v>#N/A</v>
      </c>
      <c r="BG112" s="756">
        <v>105</v>
      </c>
      <c r="BH112" s="761"/>
      <c r="BI112" s="762"/>
      <c r="BJ112" s="824"/>
      <c r="BL112" s="756">
        <v>105</v>
      </c>
      <c r="BM112" s="761"/>
      <c r="BN112" s="762"/>
      <c r="BO112" s="824"/>
      <c r="BQ112" s="756">
        <v>105</v>
      </c>
      <c r="BR112" s="761"/>
      <c r="BS112" s="762"/>
      <c r="BT112" s="824"/>
    </row>
    <row r="113" spans="5:72" ht="12" customHeight="1">
      <c r="E113" s="621">
        <v>105</v>
      </c>
      <c r="F113" s="761"/>
      <c r="G113" s="762"/>
      <c r="H113" s="680"/>
      <c r="I113" s="764" t="str">
        <f t="shared" si="4"/>
        <v/>
      </c>
      <c r="J113" s="595"/>
      <c r="K113"/>
      <c r="L113" s="197"/>
      <c r="O113" s="820" t="e">
        <f>$W$23+IF($AN$85,AO111,0)</f>
        <v>#N/A</v>
      </c>
      <c r="P113" s="821" t="e">
        <f>IF(X113="",NA(),IF($AN$85,X113,T113))</f>
        <v>#N/A</v>
      </c>
      <c r="Q113" s="822"/>
      <c r="T113" s="16" t="e">
        <f>IF(AND(F21&lt;&gt;"",$X$5,$X$2),F21,NA())</f>
        <v>#N/A</v>
      </c>
      <c r="V113" s="16" t="str">
        <f>IF(ISNA(T113),"",IF($AE$102=0,T113,ROUND(T113/$AE$102,0)))</f>
        <v/>
      </c>
      <c r="X113" s="16" t="str">
        <f t="shared" si="9"/>
        <v/>
      </c>
      <c r="Y113" s="16" t="str">
        <f t="shared" si="10"/>
        <v/>
      </c>
      <c r="AA113" s="16" t="e">
        <f t="shared" si="11"/>
        <v>#N/A</v>
      </c>
      <c r="AB113" s="16" t="e">
        <f t="shared" si="12"/>
        <v>#N/A</v>
      </c>
      <c r="AM113" s="16" t="str">
        <f>IF(ISNA(P115),"",IF($AE$102=0,P115,ROUND(P115/$AE$102,0)))</f>
        <v/>
      </c>
      <c r="AN113" s="16" t="e">
        <f>IF(AM113="",NA(),COUNTIF(AM113:$AM$286,AM113))</f>
        <v>#N/A</v>
      </c>
      <c r="AO113" s="16" t="e">
        <f>(AN113-1)*$AE$105</f>
        <v>#N/A</v>
      </c>
      <c r="AS113" s="16" t="e">
        <f t="shared" si="13"/>
        <v>#N/A</v>
      </c>
      <c r="AT113" s="16" t="str">
        <f t="shared" si="14"/>
        <v/>
      </c>
      <c r="AU113" s="16" t="str">
        <f t="shared" si="15"/>
        <v/>
      </c>
      <c r="AV113" s="16" t="e">
        <f>IF(AU113="",NA(),COUNTIF(AU113:$AU$188,AU113))</f>
        <v>#N/A</v>
      </c>
      <c r="AW113" s="16" t="e">
        <f t="shared" si="16"/>
        <v>#N/A</v>
      </c>
      <c r="BG113" s="756">
        <v>106</v>
      </c>
      <c r="BH113" s="761"/>
      <c r="BI113" s="762"/>
      <c r="BJ113" s="824"/>
      <c r="BL113" s="756">
        <v>106</v>
      </c>
      <c r="BM113" s="761"/>
      <c r="BN113" s="762"/>
      <c r="BO113" s="824"/>
      <c r="BQ113" s="756">
        <v>106</v>
      </c>
      <c r="BR113" s="761"/>
      <c r="BS113" s="762"/>
      <c r="BT113" s="824"/>
    </row>
    <row r="114" spans="5:72" ht="12" customHeight="1">
      <c r="E114" s="621">
        <v>106</v>
      </c>
      <c r="F114" s="761"/>
      <c r="G114" s="762"/>
      <c r="H114" s="680"/>
      <c r="I114" s="764" t="str">
        <f t="shared" si="4"/>
        <v/>
      </c>
      <c r="J114" s="595"/>
      <c r="K114"/>
      <c r="L114" s="197"/>
      <c r="O114" s="246" t="e">
        <f>$W$24-IF($AN$85,AR112,0)</f>
        <v>#N/A</v>
      </c>
      <c r="P114" s="823" t="e">
        <f>IF(Y114="",NA(),IF($AN$85,Y114,U114))</f>
        <v>#N/A</v>
      </c>
      <c r="Q114" s="822"/>
      <c r="U114" s="16" t="e">
        <f>IF(AND(G21&lt;&gt;"",$X$5,$X$2),G21,NA())</f>
        <v>#N/A</v>
      </c>
      <c r="W114" s="16" t="str">
        <f>IF(ISNA(U114),"",IF($AE$102=0,U114,ROUND(U114/$AE$102,0)))</f>
        <v/>
      </c>
      <c r="X114" s="16" t="str">
        <f t="shared" si="9"/>
        <v/>
      </c>
      <c r="Y114" s="16" t="str">
        <f t="shared" si="10"/>
        <v/>
      </c>
      <c r="AA114" s="16" t="e">
        <f t="shared" si="11"/>
        <v>#N/A</v>
      </c>
      <c r="AB114" s="16" t="e">
        <f t="shared" si="12"/>
        <v>#N/A</v>
      </c>
      <c r="AP114" s="16" t="str">
        <f>IF(ISNA(P116),"",IF($AE$102=0,P116,ROUND(P116/$AE$102,0)))</f>
        <v/>
      </c>
      <c r="AQ114" s="16" t="e">
        <f>IF(AP114="",NA(),COUNTIF(AP114:$AP$286,AP114))</f>
        <v>#N/A</v>
      </c>
      <c r="AR114" s="16" t="e">
        <f>(AQ114-1)*$AE$105</f>
        <v>#N/A</v>
      </c>
      <c r="AS114" s="16" t="e">
        <f t="shared" si="13"/>
        <v>#N/A</v>
      </c>
      <c r="AT114" s="16" t="str">
        <f t="shared" si="14"/>
        <v/>
      </c>
      <c r="AU114" s="16" t="str">
        <f t="shared" si="15"/>
        <v/>
      </c>
      <c r="AV114" s="16" t="e">
        <f>IF(AU114="",NA(),COUNTIF(AU114:$AU$188,AU114))</f>
        <v>#N/A</v>
      </c>
      <c r="AW114" s="16" t="e">
        <f t="shared" si="16"/>
        <v>#N/A</v>
      </c>
      <c r="BG114" s="756">
        <v>107</v>
      </c>
      <c r="BH114" s="761"/>
      <c r="BI114" s="762"/>
      <c r="BJ114" s="824"/>
      <c r="BL114" s="756">
        <v>107</v>
      </c>
      <c r="BM114" s="761"/>
      <c r="BN114" s="762"/>
      <c r="BO114" s="824"/>
      <c r="BQ114" s="756">
        <v>107</v>
      </c>
      <c r="BR114" s="761"/>
      <c r="BS114" s="762"/>
      <c r="BT114" s="824"/>
    </row>
    <row r="115" spans="5:72" ht="12" customHeight="1">
      <c r="E115" s="621">
        <v>107</v>
      </c>
      <c r="F115" s="761"/>
      <c r="G115" s="762"/>
      <c r="H115" s="680"/>
      <c r="I115" s="764" t="str">
        <f t="shared" si="4"/>
        <v/>
      </c>
      <c r="J115" s="595"/>
      <c r="K115"/>
      <c r="L115" s="197"/>
      <c r="O115" s="820" t="e">
        <f>$W$23+IF($AN$85,AO113,0)</f>
        <v>#N/A</v>
      </c>
      <c r="P115" s="821" t="e">
        <f>IF(X115="",NA(),IF($AN$85,X115,T115))</f>
        <v>#N/A</v>
      </c>
      <c r="Q115" s="822"/>
      <c r="T115" s="16" t="e">
        <f>IF(AND(F22&lt;&gt;"",$X$5,$X$2),F22,NA())</f>
        <v>#N/A</v>
      </c>
      <c r="V115" s="16" t="str">
        <f>IF(ISNA(T115),"",IF($AE$102=0,T115,ROUND(T115/$AE$102,0)))</f>
        <v/>
      </c>
      <c r="X115" s="16" t="str">
        <f t="shared" si="9"/>
        <v/>
      </c>
      <c r="Y115" s="16" t="str">
        <f t="shared" si="10"/>
        <v/>
      </c>
      <c r="AA115" s="16" t="e">
        <f t="shared" si="11"/>
        <v>#N/A</v>
      </c>
      <c r="AB115" s="16" t="e">
        <f t="shared" si="12"/>
        <v>#N/A</v>
      </c>
      <c r="AM115" s="16" t="str">
        <f>IF(ISNA(P117),"",IF($AE$102=0,P117,ROUND(P117/$AE$102,0)))</f>
        <v/>
      </c>
      <c r="AN115" s="16" t="e">
        <f>IF(AM115="",NA(),COUNTIF(AM115:$AM$286,AM115))</f>
        <v>#N/A</v>
      </c>
      <c r="AO115" s="16" t="e">
        <f>(AN115-1)*$AE$105</f>
        <v>#N/A</v>
      </c>
      <c r="AS115" s="16" t="e">
        <f t="shared" si="13"/>
        <v>#N/A</v>
      </c>
      <c r="AT115" s="16" t="str">
        <f t="shared" si="14"/>
        <v/>
      </c>
      <c r="AU115" s="16" t="str">
        <f t="shared" si="15"/>
        <v/>
      </c>
      <c r="AV115" s="16" t="e">
        <f>IF(AU115="",NA(),COUNTIF(AU115:$AU$188,AU115))</f>
        <v>#N/A</v>
      </c>
      <c r="AW115" s="16" t="e">
        <f t="shared" si="16"/>
        <v>#N/A</v>
      </c>
      <c r="BG115" s="756">
        <v>108</v>
      </c>
      <c r="BH115" s="761"/>
      <c r="BI115" s="762"/>
      <c r="BJ115" s="824"/>
      <c r="BL115" s="756">
        <v>108</v>
      </c>
      <c r="BM115" s="761"/>
      <c r="BN115" s="762"/>
      <c r="BO115" s="824"/>
      <c r="BQ115" s="756">
        <v>108</v>
      </c>
      <c r="BR115" s="761"/>
      <c r="BS115" s="762"/>
      <c r="BT115" s="824"/>
    </row>
    <row r="116" spans="5:72" ht="12" customHeight="1">
      <c r="E116" s="621">
        <v>108</v>
      </c>
      <c r="F116" s="761"/>
      <c r="G116" s="762"/>
      <c r="H116" s="680"/>
      <c r="I116" s="764" t="str">
        <f t="shared" si="4"/>
        <v/>
      </c>
      <c r="J116" s="595"/>
      <c r="K116"/>
      <c r="L116" s="197"/>
      <c r="O116" s="246" t="e">
        <f>$W$24-IF($AN$85,AR114,0)</f>
        <v>#N/A</v>
      </c>
      <c r="P116" s="823" t="e">
        <f>IF(Y116="",NA(),IF($AN$85,Y116,U116))</f>
        <v>#N/A</v>
      </c>
      <c r="Q116" s="822"/>
      <c r="U116" s="16" t="e">
        <f>IF(AND(G22&lt;&gt;"",$X$5,$X$2),G22,NA())</f>
        <v>#N/A</v>
      </c>
      <c r="W116" s="16" t="str">
        <f>IF(ISNA(U116),"",IF($AE$102=0,U116,ROUND(U116/$AE$102,0)))</f>
        <v/>
      </c>
      <c r="X116" s="16" t="str">
        <f t="shared" si="9"/>
        <v/>
      </c>
      <c r="Y116" s="16" t="str">
        <f t="shared" si="10"/>
        <v/>
      </c>
      <c r="AA116" s="16" t="e">
        <f t="shared" si="11"/>
        <v>#N/A</v>
      </c>
      <c r="AB116" s="16" t="e">
        <f t="shared" si="12"/>
        <v>#N/A</v>
      </c>
      <c r="AP116" s="16" t="str">
        <f>IF(ISNA(P118),"",IF($AE$102=0,P118,ROUND(P118/$AE$102,0)))</f>
        <v/>
      </c>
      <c r="AQ116" s="16" t="e">
        <f>IF(AP116="",NA(),COUNTIF(AP116:$AP$286,AP116))</f>
        <v>#N/A</v>
      </c>
      <c r="AR116" s="16" t="e">
        <f>(AQ116-1)*$AE$105</f>
        <v>#N/A</v>
      </c>
      <c r="AS116" s="16" t="e">
        <f t="shared" si="13"/>
        <v>#N/A</v>
      </c>
      <c r="AT116" s="16" t="str">
        <f t="shared" si="14"/>
        <v/>
      </c>
      <c r="AU116" s="16" t="str">
        <f t="shared" si="15"/>
        <v/>
      </c>
      <c r="AV116" s="16" t="e">
        <f>IF(AU116="",NA(),COUNTIF(AU116:$AU$188,AU116))</f>
        <v>#N/A</v>
      </c>
      <c r="AW116" s="16" t="e">
        <f t="shared" si="16"/>
        <v>#N/A</v>
      </c>
      <c r="BG116" s="756">
        <v>109</v>
      </c>
      <c r="BH116" s="761"/>
      <c r="BI116" s="762"/>
      <c r="BJ116" s="824"/>
      <c r="BL116" s="756">
        <v>109</v>
      </c>
      <c r="BM116" s="761"/>
      <c r="BN116" s="762"/>
      <c r="BO116" s="824"/>
      <c r="BQ116" s="756">
        <v>109</v>
      </c>
      <c r="BR116" s="761"/>
      <c r="BS116" s="762"/>
      <c r="BT116" s="824"/>
    </row>
    <row r="117" spans="5:72" ht="12" customHeight="1">
      <c r="E117" s="621">
        <v>109</v>
      </c>
      <c r="F117" s="761"/>
      <c r="G117" s="762"/>
      <c r="H117" s="680"/>
      <c r="I117" s="764" t="str">
        <f t="shared" si="4"/>
        <v/>
      </c>
      <c r="J117" s="595"/>
      <c r="K117"/>
      <c r="L117" s="197"/>
      <c r="O117" s="820" t="e">
        <f>$W$23+IF($AN$85,AO115,0)</f>
        <v>#N/A</v>
      </c>
      <c r="P117" s="821" t="e">
        <f>IF(X117="",NA(),IF($AN$85,X117,T117))</f>
        <v>#N/A</v>
      </c>
      <c r="Q117" s="822"/>
      <c r="T117" s="16" t="e">
        <f>IF(AND(F23&lt;&gt;"",$X$5,$X$2),F23,NA())</f>
        <v>#N/A</v>
      </c>
      <c r="V117" s="16" t="str">
        <f>IF(ISNA(T117),"",IF($AE$102=0,T117,ROUND(T117/$AE$102,0)))</f>
        <v/>
      </c>
      <c r="X117" s="16" t="str">
        <f t="shared" si="9"/>
        <v/>
      </c>
      <c r="Y117" s="16" t="str">
        <f t="shared" si="10"/>
        <v/>
      </c>
      <c r="AA117" s="16" t="e">
        <f t="shared" si="11"/>
        <v>#N/A</v>
      </c>
      <c r="AB117" s="16" t="e">
        <f t="shared" si="12"/>
        <v>#N/A</v>
      </c>
      <c r="AM117" s="16" t="str">
        <f>IF(ISNA(P119),"",IF($AE$102=0,P119,ROUND(P119/$AE$102,0)))</f>
        <v/>
      </c>
      <c r="AN117" s="16" t="e">
        <f>IF(AM117="",NA(),COUNTIF(AM117:$AM$286,AM117))</f>
        <v>#N/A</v>
      </c>
      <c r="AO117" s="16" t="e">
        <f>(AN117-1)*$AE$105</f>
        <v>#N/A</v>
      </c>
      <c r="AS117" s="16" t="e">
        <f t="shared" si="13"/>
        <v>#N/A</v>
      </c>
      <c r="AT117" s="16" t="str">
        <f t="shared" si="14"/>
        <v/>
      </c>
      <c r="AU117" s="16" t="str">
        <f t="shared" si="15"/>
        <v/>
      </c>
      <c r="AV117" s="16" t="e">
        <f>IF(AU117="",NA(),COUNTIF(AU117:$AU$188,AU117))</f>
        <v>#N/A</v>
      </c>
      <c r="AW117" s="16" t="e">
        <f t="shared" si="16"/>
        <v>#N/A</v>
      </c>
      <c r="BG117" s="756">
        <v>110</v>
      </c>
      <c r="BH117" s="761"/>
      <c r="BI117" s="762"/>
      <c r="BJ117" s="824"/>
      <c r="BL117" s="756">
        <v>110</v>
      </c>
      <c r="BM117" s="761"/>
      <c r="BN117" s="762"/>
      <c r="BO117" s="824"/>
      <c r="BQ117" s="756">
        <v>110</v>
      </c>
      <c r="BR117" s="761"/>
      <c r="BS117" s="762"/>
      <c r="BT117" s="824"/>
    </row>
    <row r="118" spans="5:72" ht="12" customHeight="1">
      <c r="E118" s="621">
        <v>110</v>
      </c>
      <c r="F118" s="761"/>
      <c r="G118" s="762"/>
      <c r="H118" s="680"/>
      <c r="I118" s="764" t="str">
        <f t="shared" si="4"/>
        <v/>
      </c>
      <c r="J118" s="595"/>
      <c r="K118"/>
      <c r="L118" s="197"/>
      <c r="O118" s="246" t="e">
        <f>$W$24-IF($AN$85,AR116,0)</f>
        <v>#N/A</v>
      </c>
      <c r="P118" s="823" t="e">
        <f>IF(Y118="",NA(),IF($AN$85,Y118,U118))</f>
        <v>#N/A</v>
      </c>
      <c r="Q118" s="822"/>
      <c r="U118" s="16" t="e">
        <f>IF(AND(G23&lt;&gt;"",$X$5,$X$2),G23,NA())</f>
        <v>#N/A</v>
      </c>
      <c r="W118" s="16" t="str">
        <f>IF(ISNA(U118),"",IF($AE$102=0,U118,ROUND(U118/$AE$102,0)))</f>
        <v/>
      </c>
      <c r="X118" s="16" t="str">
        <f t="shared" si="9"/>
        <v/>
      </c>
      <c r="Y118" s="16" t="str">
        <f t="shared" si="10"/>
        <v/>
      </c>
      <c r="AA118" s="16" t="e">
        <f t="shared" si="11"/>
        <v>#N/A</v>
      </c>
      <c r="AB118" s="16" t="e">
        <f t="shared" si="12"/>
        <v>#N/A</v>
      </c>
      <c r="AP118" s="16" t="str">
        <f>IF(ISNA(P120),"",IF($AE$102=0,P120,ROUND(P120/$AE$102,0)))</f>
        <v/>
      </c>
      <c r="AQ118" s="16" t="e">
        <f>IF(AP118="",NA(),COUNTIF(AP118:$AP$286,AP118))</f>
        <v>#N/A</v>
      </c>
      <c r="AR118" s="16" t="e">
        <f>(AQ118-1)*$AE$105</f>
        <v>#N/A</v>
      </c>
      <c r="AS118" s="16" t="e">
        <f t="shared" si="13"/>
        <v>#N/A</v>
      </c>
      <c r="AT118" s="16" t="str">
        <f t="shared" si="14"/>
        <v/>
      </c>
      <c r="AU118" s="16" t="str">
        <f t="shared" si="15"/>
        <v/>
      </c>
      <c r="AV118" s="16" t="e">
        <f>IF(AU118="",NA(),COUNTIF(AU118:$AU$188,AU118))</f>
        <v>#N/A</v>
      </c>
      <c r="AW118" s="16" t="e">
        <f t="shared" si="16"/>
        <v>#N/A</v>
      </c>
      <c r="BG118" s="756">
        <v>111</v>
      </c>
      <c r="BH118" s="761"/>
      <c r="BI118" s="762"/>
      <c r="BJ118" s="824"/>
      <c r="BL118" s="756">
        <v>111</v>
      </c>
      <c r="BM118" s="761"/>
      <c r="BN118" s="762"/>
      <c r="BO118" s="824"/>
      <c r="BQ118" s="756">
        <v>111</v>
      </c>
      <c r="BR118" s="761"/>
      <c r="BS118" s="762"/>
      <c r="BT118" s="824"/>
    </row>
    <row r="119" spans="5:72" ht="12" customHeight="1">
      <c r="E119" s="621">
        <v>111</v>
      </c>
      <c r="F119" s="761"/>
      <c r="G119" s="762"/>
      <c r="H119" s="680"/>
      <c r="I119" s="764" t="str">
        <f t="shared" si="4"/>
        <v/>
      </c>
      <c r="J119" s="595"/>
      <c r="K119"/>
      <c r="L119" s="197"/>
      <c r="O119" s="820" t="e">
        <f>$W$23+IF($AN$85,AO117,0)</f>
        <v>#N/A</v>
      </c>
      <c r="P119" s="821" t="e">
        <f>IF(X119="",NA(),IF($AN$85,X119,T119))</f>
        <v>#N/A</v>
      </c>
      <c r="Q119" s="822"/>
      <c r="T119" s="16" t="e">
        <f>IF(AND(F24&lt;&gt;"",$X$5,$X$2),F24,NA())</f>
        <v>#N/A</v>
      </c>
      <c r="V119" s="16" t="str">
        <f>IF(ISNA(T119),"",IF($AE$102=0,T119,ROUND(T119/$AE$102,0)))</f>
        <v/>
      </c>
      <c r="X119" s="16" t="str">
        <f t="shared" si="9"/>
        <v/>
      </c>
      <c r="Y119" s="16" t="str">
        <f t="shared" si="10"/>
        <v/>
      </c>
      <c r="AA119" s="16" t="e">
        <f t="shared" si="11"/>
        <v>#N/A</v>
      </c>
      <c r="AB119" s="16" t="e">
        <f t="shared" si="12"/>
        <v>#N/A</v>
      </c>
      <c r="AM119" s="16" t="str">
        <f>IF(ISNA(P121),"",IF($AE$102=0,P121,ROUND(P121/$AE$102,0)))</f>
        <v/>
      </c>
      <c r="AN119" s="16" t="e">
        <f>IF(AM119="",NA(),COUNTIF(AM119:$AM$286,AM119))</f>
        <v>#N/A</v>
      </c>
      <c r="AO119" s="16" t="e">
        <f>(AN119-1)*$AE$105</f>
        <v>#N/A</v>
      </c>
      <c r="AS119" s="16" t="e">
        <f t="shared" si="13"/>
        <v>#N/A</v>
      </c>
      <c r="AT119" s="16" t="str">
        <f t="shared" si="14"/>
        <v/>
      </c>
      <c r="AU119" s="16" t="str">
        <f t="shared" si="15"/>
        <v/>
      </c>
      <c r="AV119" s="16" t="e">
        <f>IF(AU119="",NA(),COUNTIF(AU119:$AU$188,AU119))</f>
        <v>#N/A</v>
      </c>
      <c r="AW119" s="16" t="e">
        <f t="shared" si="16"/>
        <v>#N/A</v>
      </c>
      <c r="BG119" s="756">
        <v>112</v>
      </c>
      <c r="BH119" s="761"/>
      <c r="BI119" s="762"/>
      <c r="BJ119" s="824"/>
      <c r="BL119" s="756">
        <v>112</v>
      </c>
      <c r="BM119" s="761"/>
      <c r="BN119" s="762"/>
      <c r="BO119" s="824"/>
      <c r="BQ119" s="756">
        <v>112</v>
      </c>
      <c r="BR119" s="761"/>
      <c r="BS119" s="762"/>
      <c r="BT119" s="824"/>
    </row>
    <row r="120" spans="5:72" ht="12" customHeight="1">
      <c r="E120" s="621">
        <v>112</v>
      </c>
      <c r="F120" s="761"/>
      <c r="G120" s="762"/>
      <c r="H120" s="680"/>
      <c r="I120" s="764" t="str">
        <f t="shared" si="4"/>
        <v/>
      </c>
      <c r="J120" s="595"/>
      <c r="K120"/>
      <c r="L120" s="197"/>
      <c r="O120" s="246" t="e">
        <f>$W$24-IF($AN$85,AR118,0)</f>
        <v>#N/A</v>
      </c>
      <c r="P120" s="823" t="e">
        <f>IF(Y120="",NA(),IF($AN$85,Y120,U120))</f>
        <v>#N/A</v>
      </c>
      <c r="Q120" s="822"/>
      <c r="U120" s="16" t="e">
        <f>IF(AND(G24&lt;&gt;"",$X$5,$X$2),G24,NA())</f>
        <v>#N/A</v>
      </c>
      <c r="W120" s="16" t="str">
        <f>IF(ISNA(U120),"",IF($AE$102=0,U120,ROUND(U120/$AE$102,0)))</f>
        <v/>
      </c>
      <c r="X120" s="16" t="str">
        <f t="shared" si="9"/>
        <v/>
      </c>
      <c r="Y120" s="16" t="str">
        <f t="shared" si="10"/>
        <v/>
      </c>
      <c r="AA120" s="16" t="e">
        <f t="shared" si="11"/>
        <v>#N/A</v>
      </c>
      <c r="AB120" s="16" t="e">
        <f t="shared" si="12"/>
        <v>#N/A</v>
      </c>
      <c r="AP120" s="16" t="str">
        <f>IF(ISNA(P122),"",IF($AE$102=0,P122,ROUND(P122/$AE$102,0)))</f>
        <v/>
      </c>
      <c r="AQ120" s="16" t="e">
        <f>IF(AP120="",NA(),COUNTIF(AP120:$AP$286,AP120))</f>
        <v>#N/A</v>
      </c>
      <c r="AR120" s="16" t="e">
        <f>(AQ120-1)*$AE$105</f>
        <v>#N/A</v>
      </c>
      <c r="AS120" s="16" t="e">
        <f t="shared" si="13"/>
        <v>#N/A</v>
      </c>
      <c r="AT120" s="16" t="str">
        <f t="shared" si="14"/>
        <v/>
      </c>
      <c r="AU120" s="16" t="str">
        <f t="shared" si="15"/>
        <v/>
      </c>
      <c r="AV120" s="16" t="e">
        <f>IF(AU120="",NA(),COUNTIF(AU120:$AU$188,AU120))</f>
        <v>#N/A</v>
      </c>
      <c r="AW120" s="16" t="e">
        <f t="shared" si="16"/>
        <v>#N/A</v>
      </c>
      <c r="BG120" s="756">
        <v>113</v>
      </c>
      <c r="BH120" s="761"/>
      <c r="BI120" s="762"/>
      <c r="BJ120" s="824"/>
      <c r="BL120" s="756">
        <v>113</v>
      </c>
      <c r="BM120" s="761"/>
      <c r="BN120" s="762"/>
      <c r="BO120" s="824"/>
      <c r="BQ120" s="756">
        <v>113</v>
      </c>
      <c r="BR120" s="761"/>
      <c r="BS120" s="762"/>
      <c r="BT120" s="824"/>
    </row>
    <row r="121" spans="5:72" ht="12" customHeight="1">
      <c r="E121" s="621">
        <v>113</v>
      </c>
      <c r="F121" s="761"/>
      <c r="G121" s="762"/>
      <c r="H121" s="680"/>
      <c r="I121" s="764" t="str">
        <f t="shared" si="4"/>
        <v/>
      </c>
      <c r="J121" s="595"/>
      <c r="K121"/>
      <c r="L121" s="197"/>
      <c r="O121" s="820" t="e">
        <f>$W$23+IF($AN$85,AO119,0)</f>
        <v>#N/A</v>
      </c>
      <c r="P121" s="821" t="e">
        <f>IF(X121="",NA(),IF($AN$85,X121,T121))</f>
        <v>#N/A</v>
      </c>
      <c r="Q121" s="822"/>
      <c r="T121" s="16" t="e">
        <f>IF(AND(F25&lt;&gt;"",$X$5,$X$2),F25,NA())</f>
        <v>#N/A</v>
      </c>
      <c r="V121" s="16" t="str">
        <f>IF(ISNA(T121),"",IF($AE$102=0,T121,ROUND(T121/$AE$102,0)))</f>
        <v/>
      </c>
      <c r="X121" s="16" t="str">
        <f t="shared" ref="X121:X152" si="17">IF(V121="","",IF($AE$102=0,T121,V121*$AE$102))</f>
        <v/>
      </c>
      <c r="Y121" s="16" t="str">
        <f t="shared" ref="Y121:Y152" si="18">IF(W121="","",IF($AE$102=0,U121,W121*$AE$102))</f>
        <v/>
      </c>
      <c r="AA121" s="16" t="e">
        <f t="shared" ref="AA121:AA152" si="19">3.9-IF($AN$85,AW121,0)</f>
        <v>#N/A</v>
      </c>
      <c r="AB121" s="16" t="e">
        <f t="shared" ref="AB121:AB152" si="20">IF(AT121="",NA(),IF($AN$85,AT121,AS121))</f>
        <v>#N/A</v>
      </c>
      <c r="AM121" s="16" t="str">
        <f>IF(ISNA(P123),"",IF($AE$102=0,P123,ROUND(P123/$AE$102,0)))</f>
        <v/>
      </c>
      <c r="AN121" s="16" t="e">
        <f>IF(AM121="",NA(),COUNTIF(AM121:$AM$286,AM121))</f>
        <v>#N/A</v>
      </c>
      <c r="AO121" s="16" t="e">
        <f>(AN121-1)*$AE$105</f>
        <v>#N/A</v>
      </c>
      <c r="AS121" s="16" t="e">
        <f t="shared" ref="AS121:AS152" si="21">IF(AND(I41&lt;&gt;"",$X$6,$X$2),$M$16+I41,NA())</f>
        <v>#N/A</v>
      </c>
      <c r="AT121" s="16" t="str">
        <f t="shared" ref="AT121:AT152" si="22">IF(AU121="","",IF($AE$102=0,AS121,AU121*$AE$102))</f>
        <v/>
      </c>
      <c r="AU121" s="16" t="str">
        <f t="shared" ref="AU121:AU152" si="23">IF(ISNA(AS121),"",IF($AE$102=0,AS121,ROUND(AS121/$AE$102,0)))</f>
        <v/>
      </c>
      <c r="AV121" s="16" t="e">
        <f>IF(AU121="",NA(),COUNTIF(AU121:$AU$188,AU121))</f>
        <v>#N/A</v>
      </c>
      <c r="AW121" s="16" t="e">
        <f t="shared" ref="AW121:AW152" si="24">(AV121-1)*$AE$105*$AW$87</f>
        <v>#N/A</v>
      </c>
      <c r="BG121" s="756">
        <v>114</v>
      </c>
      <c r="BH121" s="761"/>
      <c r="BI121" s="762"/>
      <c r="BJ121" s="824"/>
      <c r="BL121" s="756">
        <v>114</v>
      </c>
      <c r="BM121" s="761"/>
      <c r="BN121" s="762"/>
      <c r="BO121" s="824"/>
      <c r="BQ121" s="756">
        <v>114</v>
      </c>
      <c r="BR121" s="761"/>
      <c r="BS121" s="762"/>
      <c r="BT121" s="824"/>
    </row>
    <row r="122" spans="5:72" ht="12" customHeight="1">
      <c r="E122" s="621">
        <v>114</v>
      </c>
      <c r="F122" s="761"/>
      <c r="G122" s="762"/>
      <c r="H122" s="680"/>
      <c r="I122" s="764" t="str">
        <f t="shared" si="4"/>
        <v/>
      </c>
      <c r="J122" s="595"/>
      <c r="K122"/>
      <c r="L122" s="197"/>
      <c r="O122" s="246" t="e">
        <f>$W$24-IF($AN$85,AR120,0)</f>
        <v>#N/A</v>
      </c>
      <c r="P122" s="823" t="e">
        <f>IF(Y122="",NA(),IF($AN$85,Y122,U122))</f>
        <v>#N/A</v>
      </c>
      <c r="Q122" s="822"/>
      <c r="U122" s="16" t="e">
        <f>IF(AND(G25&lt;&gt;"",$X$5,$X$2),G25,NA())</f>
        <v>#N/A</v>
      </c>
      <c r="W122" s="16" t="str">
        <f>IF(ISNA(U122),"",IF($AE$102=0,U122,ROUND(U122/$AE$102,0)))</f>
        <v/>
      </c>
      <c r="X122" s="16" t="str">
        <f t="shared" si="17"/>
        <v/>
      </c>
      <c r="Y122" s="16" t="str">
        <f t="shared" si="18"/>
        <v/>
      </c>
      <c r="AA122" s="16" t="e">
        <f t="shared" si="19"/>
        <v>#N/A</v>
      </c>
      <c r="AB122" s="16" t="e">
        <f t="shared" si="20"/>
        <v>#N/A</v>
      </c>
      <c r="AP122" s="16" t="str">
        <f>IF(ISNA(P124),"",IF($AE$102=0,P124,ROUND(P124/$AE$102,0)))</f>
        <v/>
      </c>
      <c r="AQ122" s="16" t="e">
        <f>IF(AP122="",NA(),COUNTIF(AP122:$AP$286,AP122))</f>
        <v>#N/A</v>
      </c>
      <c r="AR122" s="16" t="e">
        <f>(AQ122-1)*$AE$105</f>
        <v>#N/A</v>
      </c>
      <c r="AS122" s="16" t="e">
        <f t="shared" si="21"/>
        <v>#N/A</v>
      </c>
      <c r="AT122" s="16" t="str">
        <f t="shared" si="22"/>
        <v/>
      </c>
      <c r="AU122" s="16" t="str">
        <f t="shared" si="23"/>
        <v/>
      </c>
      <c r="AV122" s="16" t="e">
        <f>IF(AU122="",NA(),COUNTIF(AU122:$AU$188,AU122))</f>
        <v>#N/A</v>
      </c>
      <c r="AW122" s="16" t="e">
        <f t="shared" si="24"/>
        <v>#N/A</v>
      </c>
      <c r="BG122" s="756">
        <v>115</v>
      </c>
      <c r="BH122" s="761"/>
      <c r="BI122" s="762"/>
      <c r="BJ122" s="824"/>
      <c r="BL122" s="756">
        <v>115</v>
      </c>
      <c r="BM122" s="761"/>
      <c r="BN122" s="762"/>
      <c r="BO122" s="824"/>
      <c r="BQ122" s="756">
        <v>115</v>
      </c>
      <c r="BR122" s="761"/>
      <c r="BS122" s="762"/>
      <c r="BT122" s="824"/>
    </row>
    <row r="123" spans="5:72" ht="12" customHeight="1">
      <c r="E123" s="621">
        <v>115</v>
      </c>
      <c r="F123" s="761"/>
      <c r="G123" s="762"/>
      <c r="H123" s="680"/>
      <c r="I123" s="764" t="str">
        <f t="shared" si="4"/>
        <v/>
      </c>
      <c r="J123" s="595"/>
      <c r="K123"/>
      <c r="L123" s="197"/>
      <c r="O123" s="820" t="e">
        <f>$W$23+IF($AN$85,AO121,0)</f>
        <v>#N/A</v>
      </c>
      <c r="P123" s="821" t="e">
        <f>IF(X123="",NA(),IF($AN$85,X123,T123))</f>
        <v>#N/A</v>
      </c>
      <c r="Q123" s="822"/>
      <c r="T123" s="16" t="e">
        <f>IF(AND(F26&lt;&gt;"",$X$5,$X$2),F26,NA())</f>
        <v>#N/A</v>
      </c>
      <c r="V123" s="16" t="str">
        <f>IF(ISNA(T123),"",IF($AE$102=0,T123,ROUND(T123/$AE$102,0)))</f>
        <v/>
      </c>
      <c r="X123" s="16" t="str">
        <f t="shared" si="17"/>
        <v/>
      </c>
      <c r="Y123" s="16" t="str">
        <f t="shared" si="18"/>
        <v/>
      </c>
      <c r="AA123" s="16" t="e">
        <f t="shared" si="19"/>
        <v>#N/A</v>
      </c>
      <c r="AB123" s="16" t="e">
        <f t="shared" si="20"/>
        <v>#N/A</v>
      </c>
      <c r="AM123" s="16" t="str">
        <f>IF(ISNA(P125),"",IF($AE$102=0,P125,ROUND(P125/$AE$102,0)))</f>
        <v/>
      </c>
      <c r="AN123" s="16" t="e">
        <f>IF(AM123="",NA(),COUNTIF(AM123:$AM$286,AM123))</f>
        <v>#N/A</v>
      </c>
      <c r="AO123" s="16" t="e">
        <f>(AN123-1)*$AE$105</f>
        <v>#N/A</v>
      </c>
      <c r="AS123" s="16" t="e">
        <f t="shared" si="21"/>
        <v>#N/A</v>
      </c>
      <c r="AT123" s="16" t="str">
        <f t="shared" si="22"/>
        <v/>
      </c>
      <c r="AU123" s="16" t="str">
        <f t="shared" si="23"/>
        <v/>
      </c>
      <c r="AV123" s="16" t="e">
        <f>IF(AU123="",NA(),COUNTIF(AU123:$AU$188,AU123))</f>
        <v>#N/A</v>
      </c>
      <c r="AW123" s="16" t="e">
        <f t="shared" si="24"/>
        <v>#N/A</v>
      </c>
      <c r="BG123" s="756">
        <v>116</v>
      </c>
      <c r="BH123" s="761"/>
      <c r="BI123" s="762"/>
      <c r="BJ123" s="824"/>
      <c r="BL123" s="756">
        <v>116</v>
      </c>
      <c r="BM123" s="761"/>
      <c r="BN123" s="762"/>
      <c r="BO123" s="824"/>
      <c r="BQ123" s="756">
        <v>116</v>
      </c>
      <c r="BR123" s="761"/>
      <c r="BS123" s="762"/>
      <c r="BT123" s="824"/>
    </row>
    <row r="124" spans="5:72" ht="12" customHeight="1">
      <c r="E124" s="621">
        <v>116</v>
      </c>
      <c r="F124" s="761"/>
      <c r="G124" s="762"/>
      <c r="H124" s="680"/>
      <c r="I124" s="764" t="str">
        <f t="shared" si="4"/>
        <v/>
      </c>
      <c r="J124" s="595"/>
      <c r="K124"/>
      <c r="L124" s="197"/>
      <c r="O124" s="246" t="e">
        <f>$W$24-IF($AN$85,AR122,0)</f>
        <v>#N/A</v>
      </c>
      <c r="P124" s="823" t="e">
        <f>IF(Y124="",NA(),IF($AN$85,Y124,U124))</f>
        <v>#N/A</v>
      </c>
      <c r="Q124" s="822"/>
      <c r="U124" s="16" t="e">
        <f>IF(AND(G26&lt;&gt;"",$X$5,$X$2),G26,NA())</f>
        <v>#N/A</v>
      </c>
      <c r="W124" s="16" t="str">
        <f>IF(ISNA(U124),"",IF($AE$102=0,U124,ROUND(U124/$AE$102,0)))</f>
        <v/>
      </c>
      <c r="X124" s="16" t="str">
        <f t="shared" si="17"/>
        <v/>
      </c>
      <c r="Y124" s="16" t="str">
        <f t="shared" si="18"/>
        <v/>
      </c>
      <c r="AA124" s="16" t="e">
        <f t="shared" si="19"/>
        <v>#N/A</v>
      </c>
      <c r="AB124" s="16" t="e">
        <f t="shared" si="20"/>
        <v>#N/A</v>
      </c>
      <c r="AP124" s="16" t="str">
        <f>IF(ISNA(P126),"",IF($AE$102=0,P126,ROUND(P126/$AE$102,0)))</f>
        <v/>
      </c>
      <c r="AQ124" s="16" t="e">
        <f>IF(AP124="",NA(),COUNTIF(AP124:$AP$286,AP124))</f>
        <v>#N/A</v>
      </c>
      <c r="AR124" s="16" t="e">
        <f>(AQ124-1)*$AE$105</f>
        <v>#N/A</v>
      </c>
      <c r="AS124" s="16" t="e">
        <f t="shared" si="21"/>
        <v>#N/A</v>
      </c>
      <c r="AT124" s="16" t="str">
        <f t="shared" si="22"/>
        <v/>
      </c>
      <c r="AU124" s="16" t="str">
        <f t="shared" si="23"/>
        <v/>
      </c>
      <c r="AV124" s="16" t="e">
        <f>IF(AU124="",NA(),COUNTIF(AU124:$AU$188,AU124))</f>
        <v>#N/A</v>
      </c>
      <c r="AW124" s="16" t="e">
        <f t="shared" si="24"/>
        <v>#N/A</v>
      </c>
      <c r="BG124" s="756">
        <v>117</v>
      </c>
      <c r="BH124" s="761"/>
      <c r="BI124" s="762"/>
      <c r="BJ124" s="824"/>
      <c r="BL124" s="756">
        <v>117</v>
      </c>
      <c r="BM124" s="761"/>
      <c r="BN124" s="762"/>
      <c r="BO124" s="824"/>
      <c r="BQ124" s="756">
        <v>117</v>
      </c>
      <c r="BR124" s="761"/>
      <c r="BS124" s="762"/>
      <c r="BT124" s="824"/>
    </row>
    <row r="125" spans="5:72" ht="12" customHeight="1">
      <c r="E125" s="621">
        <v>117</v>
      </c>
      <c r="F125" s="761"/>
      <c r="G125" s="762"/>
      <c r="H125" s="680"/>
      <c r="I125" s="764" t="str">
        <f t="shared" si="4"/>
        <v/>
      </c>
      <c r="J125" s="595"/>
      <c r="K125"/>
      <c r="L125" s="197"/>
      <c r="O125" s="820" t="e">
        <f>$W$23+IF($AN$85,AO123,0)</f>
        <v>#N/A</v>
      </c>
      <c r="P125" s="821" t="e">
        <f>IF(X125="",NA(),IF($AN$85,X125,T125))</f>
        <v>#N/A</v>
      </c>
      <c r="Q125" s="822"/>
      <c r="T125" s="16" t="e">
        <f>IF(AND(F27&lt;&gt;"",$X$5,$X$2),F27,NA())</f>
        <v>#N/A</v>
      </c>
      <c r="V125" s="16" t="str">
        <f>IF(ISNA(T125),"",IF($AE$102=0,T125,ROUND(T125/$AE$102,0)))</f>
        <v/>
      </c>
      <c r="X125" s="16" t="str">
        <f t="shared" si="17"/>
        <v/>
      </c>
      <c r="Y125" s="16" t="str">
        <f t="shared" si="18"/>
        <v/>
      </c>
      <c r="AA125" s="16" t="e">
        <f t="shared" si="19"/>
        <v>#N/A</v>
      </c>
      <c r="AB125" s="16" t="e">
        <f t="shared" si="20"/>
        <v>#N/A</v>
      </c>
      <c r="AM125" s="16" t="str">
        <f>IF(ISNA(P127),"",IF($AE$102=0,P127,ROUND(P127/$AE$102,0)))</f>
        <v/>
      </c>
      <c r="AN125" s="16" t="e">
        <f>IF(AM125="",NA(),COUNTIF(AM125:$AM$286,AM125))</f>
        <v>#N/A</v>
      </c>
      <c r="AO125" s="16" t="e">
        <f>(AN125-1)*$AE$105</f>
        <v>#N/A</v>
      </c>
      <c r="AS125" s="16" t="e">
        <f t="shared" si="21"/>
        <v>#N/A</v>
      </c>
      <c r="AT125" s="16" t="str">
        <f t="shared" si="22"/>
        <v/>
      </c>
      <c r="AU125" s="16" t="str">
        <f t="shared" si="23"/>
        <v/>
      </c>
      <c r="AV125" s="16" t="e">
        <f>IF(AU125="",NA(),COUNTIF(AU125:$AU$188,AU125))</f>
        <v>#N/A</v>
      </c>
      <c r="AW125" s="16" t="e">
        <f t="shared" si="24"/>
        <v>#N/A</v>
      </c>
      <c r="BG125" s="756">
        <v>118</v>
      </c>
      <c r="BH125" s="761"/>
      <c r="BI125" s="762"/>
      <c r="BJ125" s="824"/>
      <c r="BL125" s="756">
        <v>118</v>
      </c>
      <c r="BM125" s="761"/>
      <c r="BN125" s="762"/>
      <c r="BO125" s="824"/>
      <c r="BQ125" s="756">
        <v>118</v>
      </c>
      <c r="BR125" s="761"/>
      <c r="BS125" s="762"/>
      <c r="BT125" s="824"/>
    </row>
    <row r="126" spans="5:72" ht="12" customHeight="1">
      <c r="E126" s="621">
        <v>118</v>
      </c>
      <c r="F126" s="761"/>
      <c r="G126" s="762"/>
      <c r="H126" s="680"/>
      <c r="I126" s="764" t="str">
        <f t="shared" si="4"/>
        <v/>
      </c>
      <c r="J126" s="595"/>
      <c r="K126"/>
      <c r="L126" s="197"/>
      <c r="O126" s="246" t="e">
        <f>$W$24-IF($AN$85,AR124,0)</f>
        <v>#N/A</v>
      </c>
      <c r="P126" s="823" t="e">
        <f>IF(Y126="",NA(),IF($AN$85,Y126,U126))</f>
        <v>#N/A</v>
      </c>
      <c r="Q126" s="822"/>
      <c r="U126" s="16" t="e">
        <f>IF(AND(G27&lt;&gt;"",$X$5,$X$2),G27,NA())</f>
        <v>#N/A</v>
      </c>
      <c r="W126" s="16" t="str">
        <f>IF(ISNA(U126),"",IF($AE$102=0,U126,ROUND(U126/$AE$102,0)))</f>
        <v/>
      </c>
      <c r="X126" s="16" t="str">
        <f t="shared" si="17"/>
        <v/>
      </c>
      <c r="Y126" s="16" t="str">
        <f t="shared" si="18"/>
        <v/>
      </c>
      <c r="AA126" s="16" t="e">
        <f t="shared" si="19"/>
        <v>#N/A</v>
      </c>
      <c r="AB126" s="16" t="e">
        <f t="shared" si="20"/>
        <v>#N/A</v>
      </c>
      <c r="AP126" s="16" t="str">
        <f>IF(ISNA(P128),"",IF($AE$102=0,P128,ROUND(P128/$AE$102,0)))</f>
        <v/>
      </c>
      <c r="AQ126" s="16" t="e">
        <f>IF(AP126="",NA(),COUNTIF(AP126:$AP$286,AP126))</f>
        <v>#N/A</v>
      </c>
      <c r="AR126" s="16" t="e">
        <f>(AQ126-1)*$AE$105</f>
        <v>#N/A</v>
      </c>
      <c r="AS126" s="16" t="e">
        <f t="shared" si="21"/>
        <v>#N/A</v>
      </c>
      <c r="AT126" s="16" t="str">
        <f t="shared" si="22"/>
        <v/>
      </c>
      <c r="AU126" s="16" t="str">
        <f t="shared" si="23"/>
        <v/>
      </c>
      <c r="AV126" s="16" t="e">
        <f>IF(AU126="",NA(),COUNTIF(AU126:$AU$188,AU126))</f>
        <v>#N/A</v>
      </c>
      <c r="AW126" s="16" t="e">
        <f t="shared" si="24"/>
        <v>#N/A</v>
      </c>
      <c r="BG126" s="756">
        <v>119</v>
      </c>
      <c r="BH126" s="761"/>
      <c r="BI126" s="762"/>
      <c r="BJ126" s="824"/>
      <c r="BL126" s="756">
        <v>119</v>
      </c>
      <c r="BM126" s="761"/>
      <c r="BN126" s="762"/>
      <c r="BO126" s="824"/>
      <c r="BQ126" s="756">
        <v>119</v>
      </c>
      <c r="BR126" s="761"/>
      <c r="BS126" s="762"/>
      <c r="BT126" s="824"/>
    </row>
    <row r="127" spans="5:72" ht="12" customHeight="1">
      <c r="E127" s="621">
        <v>119</v>
      </c>
      <c r="F127" s="761"/>
      <c r="G127" s="762"/>
      <c r="H127" s="680"/>
      <c r="I127" s="764" t="str">
        <f t="shared" si="4"/>
        <v/>
      </c>
      <c r="J127" s="595"/>
      <c r="K127"/>
      <c r="L127" s="197"/>
      <c r="O127" s="820" t="e">
        <f>$W$23+IF($AN$85,AO125,0)</f>
        <v>#N/A</v>
      </c>
      <c r="P127" s="821" t="e">
        <f>IF(X127="",NA(),IF($AN$85,X127,T127))</f>
        <v>#N/A</v>
      </c>
      <c r="Q127" s="822"/>
      <c r="T127" s="16" t="e">
        <f>IF(AND(F28&lt;&gt;"",$X$5,$X$2),F28,NA())</f>
        <v>#N/A</v>
      </c>
      <c r="V127" s="16" t="str">
        <f>IF(ISNA(T127),"",IF($AE$102=0,T127,ROUND(T127/$AE$102,0)))</f>
        <v/>
      </c>
      <c r="X127" s="16" t="str">
        <f t="shared" si="17"/>
        <v/>
      </c>
      <c r="Y127" s="16" t="str">
        <f t="shared" si="18"/>
        <v/>
      </c>
      <c r="AA127" s="16" t="e">
        <f t="shared" si="19"/>
        <v>#N/A</v>
      </c>
      <c r="AB127" s="16" t="e">
        <f t="shared" si="20"/>
        <v>#N/A</v>
      </c>
      <c r="AM127" s="16" t="str">
        <f>IF(ISNA(P129),"",IF($AE$102=0,P129,ROUND(P129/$AE$102,0)))</f>
        <v/>
      </c>
      <c r="AN127" s="16" t="e">
        <f>IF(AM127="",NA(),COUNTIF(AM127:$AM$286,AM127))</f>
        <v>#N/A</v>
      </c>
      <c r="AO127" s="16" t="e">
        <f>(AN127-1)*$AE$105</f>
        <v>#N/A</v>
      </c>
      <c r="AS127" s="16" t="e">
        <f t="shared" si="21"/>
        <v>#N/A</v>
      </c>
      <c r="AT127" s="16" t="str">
        <f t="shared" si="22"/>
        <v/>
      </c>
      <c r="AU127" s="16" t="str">
        <f t="shared" si="23"/>
        <v/>
      </c>
      <c r="AV127" s="16" t="e">
        <f>IF(AU127="",NA(),COUNTIF(AU127:$AU$188,AU127))</f>
        <v>#N/A</v>
      </c>
      <c r="AW127" s="16" t="e">
        <f t="shared" si="24"/>
        <v>#N/A</v>
      </c>
      <c r="BG127" s="756">
        <v>120</v>
      </c>
      <c r="BH127" s="761"/>
      <c r="BI127" s="762"/>
      <c r="BJ127" s="824"/>
      <c r="BL127" s="756">
        <v>120</v>
      </c>
      <c r="BM127" s="761"/>
      <c r="BN127" s="762"/>
      <c r="BO127" s="824"/>
      <c r="BQ127" s="756">
        <v>120</v>
      </c>
      <c r="BR127" s="761"/>
      <c r="BS127" s="762"/>
      <c r="BT127" s="824"/>
    </row>
    <row r="128" spans="5:72" ht="12" customHeight="1">
      <c r="E128" s="621">
        <v>120</v>
      </c>
      <c r="F128" s="761"/>
      <c r="G128" s="762"/>
      <c r="H128" s="680"/>
      <c r="I128" s="764" t="str">
        <f t="shared" si="4"/>
        <v/>
      </c>
      <c r="J128" s="595"/>
      <c r="K128"/>
      <c r="L128" s="197"/>
      <c r="O128" s="246" t="e">
        <f>$W$24-IF($AN$85,AR126,0)</f>
        <v>#N/A</v>
      </c>
      <c r="P128" s="823" t="e">
        <f>IF(Y128="",NA(),IF($AN$85,Y128,U128))</f>
        <v>#N/A</v>
      </c>
      <c r="Q128" s="822"/>
      <c r="U128" s="16" t="e">
        <f>IF(AND(G28&lt;&gt;"",$X$5,$X$2),G28,NA())</f>
        <v>#N/A</v>
      </c>
      <c r="W128" s="16" t="str">
        <f>IF(ISNA(U128),"",IF($AE$102=0,U128,ROUND(U128/$AE$102,0)))</f>
        <v/>
      </c>
      <c r="X128" s="16" t="str">
        <f t="shared" si="17"/>
        <v/>
      </c>
      <c r="Y128" s="16" t="str">
        <f t="shared" si="18"/>
        <v/>
      </c>
      <c r="AA128" s="16" t="e">
        <f t="shared" si="19"/>
        <v>#N/A</v>
      </c>
      <c r="AB128" s="16" t="e">
        <f t="shared" si="20"/>
        <v>#N/A</v>
      </c>
      <c r="AP128" s="16" t="str">
        <f>IF(ISNA(P130),"",IF($AE$102=0,P130,ROUND(P130/$AE$102,0)))</f>
        <v/>
      </c>
      <c r="AQ128" s="16" t="e">
        <f>IF(AP128="",NA(),COUNTIF(AP128:$AP$286,AP128))</f>
        <v>#N/A</v>
      </c>
      <c r="AR128" s="16" t="e">
        <f>(AQ128-1)*$AE$105</f>
        <v>#N/A</v>
      </c>
      <c r="AS128" s="16" t="e">
        <f t="shared" si="21"/>
        <v>#N/A</v>
      </c>
      <c r="AT128" s="16" t="str">
        <f t="shared" si="22"/>
        <v/>
      </c>
      <c r="AU128" s="16" t="str">
        <f t="shared" si="23"/>
        <v/>
      </c>
      <c r="AV128" s="16" t="e">
        <f>IF(AU128="",NA(),COUNTIF(AU128:$AU$188,AU128))</f>
        <v>#N/A</v>
      </c>
      <c r="AW128" s="16" t="e">
        <f t="shared" si="24"/>
        <v>#N/A</v>
      </c>
      <c r="BG128" s="756">
        <v>121</v>
      </c>
      <c r="BH128" s="761"/>
      <c r="BI128" s="762"/>
      <c r="BJ128" s="824"/>
      <c r="BL128" s="756">
        <v>121</v>
      </c>
      <c r="BM128" s="761"/>
      <c r="BN128" s="762"/>
      <c r="BO128" s="824"/>
      <c r="BQ128" s="756">
        <v>121</v>
      </c>
      <c r="BR128" s="761"/>
      <c r="BS128" s="762"/>
      <c r="BT128" s="824"/>
    </row>
    <row r="129" spans="5:72" ht="12" customHeight="1">
      <c r="E129" s="621">
        <v>121</v>
      </c>
      <c r="F129" s="761"/>
      <c r="G129" s="762"/>
      <c r="H129" s="680"/>
      <c r="I129" s="764" t="str">
        <f t="shared" si="4"/>
        <v/>
      </c>
      <c r="J129" s="595"/>
      <c r="K129"/>
      <c r="L129" s="197"/>
      <c r="O129" s="820" t="e">
        <f>$W$23+IF($AN$85,AO127,0)</f>
        <v>#N/A</v>
      </c>
      <c r="P129" s="821" t="e">
        <f>IF(X129="",NA(),IF($AN$85,X129,T129))</f>
        <v>#N/A</v>
      </c>
      <c r="Q129" s="822"/>
      <c r="T129" s="16" t="e">
        <f>IF(AND(F29&lt;&gt;"",$X$5,$X$2),F29,NA())</f>
        <v>#N/A</v>
      </c>
      <c r="V129" s="16" t="str">
        <f>IF(ISNA(T129),"",IF($AE$102=0,T129,ROUND(T129/$AE$102,0)))</f>
        <v/>
      </c>
      <c r="X129" s="16" t="str">
        <f t="shared" si="17"/>
        <v/>
      </c>
      <c r="Y129" s="16" t="str">
        <f t="shared" si="18"/>
        <v/>
      </c>
      <c r="AA129" s="16" t="e">
        <f t="shared" si="19"/>
        <v>#N/A</v>
      </c>
      <c r="AB129" s="16" t="e">
        <f t="shared" si="20"/>
        <v>#N/A</v>
      </c>
      <c r="AM129" s="16" t="str">
        <f>IF(ISNA(P131),"",IF($AE$102=0,P131,ROUND(P131/$AE$102,0)))</f>
        <v/>
      </c>
      <c r="AN129" s="16" t="e">
        <f>IF(AM129="",NA(),COUNTIF(AM129:$AM$286,AM129))</f>
        <v>#N/A</v>
      </c>
      <c r="AO129" s="16" t="e">
        <f>(AN129-1)*$AE$105</f>
        <v>#N/A</v>
      </c>
      <c r="AS129" s="16" t="e">
        <f t="shared" si="21"/>
        <v>#N/A</v>
      </c>
      <c r="AT129" s="16" t="str">
        <f t="shared" si="22"/>
        <v/>
      </c>
      <c r="AU129" s="16" t="str">
        <f t="shared" si="23"/>
        <v/>
      </c>
      <c r="AV129" s="16" t="e">
        <f>IF(AU129="",NA(),COUNTIF(AU129:$AU$188,AU129))</f>
        <v>#N/A</v>
      </c>
      <c r="AW129" s="16" t="e">
        <f t="shared" si="24"/>
        <v>#N/A</v>
      </c>
      <c r="BG129" s="756">
        <v>122</v>
      </c>
      <c r="BH129" s="761"/>
      <c r="BI129" s="762"/>
      <c r="BJ129" s="824"/>
      <c r="BL129" s="756">
        <v>122</v>
      </c>
      <c r="BM129" s="761"/>
      <c r="BN129" s="762"/>
      <c r="BO129" s="824"/>
      <c r="BQ129" s="756">
        <v>122</v>
      </c>
      <c r="BR129" s="761"/>
      <c r="BS129" s="762"/>
      <c r="BT129" s="824"/>
    </row>
    <row r="130" spans="5:72" ht="12" customHeight="1">
      <c r="E130" s="621">
        <v>122</v>
      </c>
      <c r="F130" s="761"/>
      <c r="G130" s="762"/>
      <c r="H130" s="680"/>
      <c r="I130" s="764" t="str">
        <f t="shared" si="4"/>
        <v/>
      </c>
      <c r="J130" s="595"/>
      <c r="K130"/>
      <c r="L130" s="197"/>
      <c r="O130" s="246" t="e">
        <f>$W$24-IF($AN$85,AR128,0)</f>
        <v>#N/A</v>
      </c>
      <c r="P130" s="823" t="e">
        <f>IF(Y130="",NA(),IF($AN$85,Y130,U130))</f>
        <v>#N/A</v>
      </c>
      <c r="Q130" s="822"/>
      <c r="U130" s="16" t="e">
        <f>IF(AND(G29&lt;&gt;"",$X$5,$X$2),G29,NA())</f>
        <v>#N/A</v>
      </c>
      <c r="W130" s="16" t="str">
        <f>IF(ISNA(U130),"",IF($AE$102=0,U130,ROUND(U130/$AE$102,0)))</f>
        <v/>
      </c>
      <c r="X130" s="16" t="str">
        <f t="shared" si="17"/>
        <v/>
      </c>
      <c r="Y130" s="16" t="str">
        <f t="shared" si="18"/>
        <v/>
      </c>
      <c r="AA130" s="16" t="e">
        <f t="shared" si="19"/>
        <v>#N/A</v>
      </c>
      <c r="AB130" s="16" t="e">
        <f t="shared" si="20"/>
        <v>#N/A</v>
      </c>
      <c r="AP130" s="16" t="str">
        <f>IF(ISNA(P132),"",IF($AE$102=0,P132,ROUND(P132/$AE$102,0)))</f>
        <v/>
      </c>
      <c r="AQ130" s="16" t="e">
        <f>IF(AP130="",NA(),COUNTIF(AP130:$AP$286,AP130))</f>
        <v>#N/A</v>
      </c>
      <c r="AR130" s="16" t="e">
        <f>(AQ130-1)*$AE$105</f>
        <v>#N/A</v>
      </c>
      <c r="AS130" s="16" t="e">
        <f t="shared" si="21"/>
        <v>#N/A</v>
      </c>
      <c r="AT130" s="16" t="str">
        <f t="shared" si="22"/>
        <v/>
      </c>
      <c r="AU130" s="16" t="str">
        <f t="shared" si="23"/>
        <v/>
      </c>
      <c r="AV130" s="16" t="e">
        <f>IF(AU130="",NA(),COUNTIF(AU130:$AU$188,AU130))</f>
        <v>#N/A</v>
      </c>
      <c r="AW130" s="16" t="e">
        <f t="shared" si="24"/>
        <v>#N/A</v>
      </c>
      <c r="BG130" s="756">
        <v>123</v>
      </c>
      <c r="BH130" s="761"/>
      <c r="BI130" s="762"/>
      <c r="BJ130" s="824"/>
      <c r="BL130" s="756">
        <v>123</v>
      </c>
      <c r="BM130" s="761"/>
      <c r="BN130" s="762"/>
      <c r="BO130" s="824"/>
      <c r="BQ130" s="756">
        <v>123</v>
      </c>
      <c r="BR130" s="761"/>
      <c r="BS130" s="762"/>
      <c r="BT130" s="824"/>
    </row>
    <row r="131" spans="5:72" ht="12" customHeight="1">
      <c r="E131" s="621">
        <v>123</v>
      </c>
      <c r="F131" s="761"/>
      <c r="G131" s="762"/>
      <c r="H131" s="680"/>
      <c r="I131" s="764" t="str">
        <f t="shared" si="4"/>
        <v/>
      </c>
      <c r="J131" s="595"/>
      <c r="K131"/>
      <c r="L131" s="197"/>
      <c r="O131" s="820" t="e">
        <f>$W$23+IF($AN$85,AO129,0)</f>
        <v>#N/A</v>
      </c>
      <c r="P131" s="821" t="e">
        <f>IF(X131="",NA(),IF($AN$85,X131,T131))</f>
        <v>#N/A</v>
      </c>
      <c r="Q131" s="822"/>
      <c r="T131" s="16" t="e">
        <f>IF(AND(F30&lt;&gt;"",$X$5,$X$2),F30,NA())</f>
        <v>#N/A</v>
      </c>
      <c r="V131" s="16" t="str">
        <f>IF(ISNA(T131),"",IF($AE$102=0,T131,ROUND(T131/$AE$102,0)))</f>
        <v/>
      </c>
      <c r="X131" s="16" t="str">
        <f t="shared" si="17"/>
        <v/>
      </c>
      <c r="Y131" s="16" t="str">
        <f t="shared" si="18"/>
        <v/>
      </c>
      <c r="AA131" s="16" t="e">
        <f t="shared" si="19"/>
        <v>#N/A</v>
      </c>
      <c r="AB131" s="16" t="e">
        <f t="shared" si="20"/>
        <v>#N/A</v>
      </c>
      <c r="AM131" s="16" t="str">
        <f>IF(ISNA(P133),"",IF($AE$102=0,P133,ROUND(P133/$AE$102,0)))</f>
        <v/>
      </c>
      <c r="AN131" s="16" t="e">
        <f>IF(AM131="",NA(),COUNTIF(AM131:$AM$286,AM131))</f>
        <v>#N/A</v>
      </c>
      <c r="AO131" s="16" t="e">
        <f>(AN131-1)*$AE$105</f>
        <v>#N/A</v>
      </c>
      <c r="AS131" s="16" t="e">
        <f t="shared" si="21"/>
        <v>#N/A</v>
      </c>
      <c r="AT131" s="16" t="str">
        <f t="shared" si="22"/>
        <v/>
      </c>
      <c r="AU131" s="16" t="str">
        <f t="shared" si="23"/>
        <v/>
      </c>
      <c r="AV131" s="16" t="e">
        <f>IF(AU131="",NA(),COUNTIF(AU131:$AU$188,AU131))</f>
        <v>#N/A</v>
      </c>
      <c r="AW131" s="16" t="e">
        <f t="shared" si="24"/>
        <v>#N/A</v>
      </c>
      <c r="BG131" s="756">
        <v>124</v>
      </c>
      <c r="BH131" s="761"/>
      <c r="BI131" s="762"/>
      <c r="BJ131" s="824"/>
      <c r="BL131" s="756">
        <v>124</v>
      </c>
      <c r="BM131" s="761"/>
      <c r="BN131" s="762"/>
      <c r="BO131" s="824"/>
      <c r="BQ131" s="756">
        <v>124</v>
      </c>
      <c r="BR131" s="761"/>
      <c r="BS131" s="762"/>
      <c r="BT131" s="824"/>
    </row>
    <row r="132" spans="5:72" ht="12" customHeight="1">
      <c r="E132" s="621">
        <v>124</v>
      </c>
      <c r="F132" s="761"/>
      <c r="G132" s="762"/>
      <c r="H132" s="680"/>
      <c r="I132" s="764" t="str">
        <f t="shared" si="4"/>
        <v/>
      </c>
      <c r="J132" s="595"/>
      <c r="K132"/>
      <c r="L132" s="197"/>
      <c r="O132" s="246" t="e">
        <f>$W$24-IF($AN$85,AR130,0)</f>
        <v>#N/A</v>
      </c>
      <c r="P132" s="823" t="e">
        <f>IF(Y132="",NA(),IF($AN$85,Y132,U132))</f>
        <v>#N/A</v>
      </c>
      <c r="Q132" s="822"/>
      <c r="U132" s="16" t="e">
        <f>IF(AND(G30&lt;&gt;"",$X$5,$X$2),G30,NA())</f>
        <v>#N/A</v>
      </c>
      <c r="W132" s="16" t="str">
        <f>IF(ISNA(U132),"",IF($AE$102=0,U132,ROUND(U132/$AE$102,0)))</f>
        <v/>
      </c>
      <c r="X132" s="16" t="str">
        <f t="shared" si="17"/>
        <v/>
      </c>
      <c r="Y132" s="16" t="str">
        <f t="shared" si="18"/>
        <v/>
      </c>
      <c r="AA132" s="16" t="e">
        <f t="shared" si="19"/>
        <v>#N/A</v>
      </c>
      <c r="AB132" s="16" t="e">
        <f t="shared" si="20"/>
        <v>#N/A</v>
      </c>
      <c r="AP132" s="16" t="str">
        <f>IF(ISNA(P134),"",IF($AE$102=0,P134,ROUND(P134/$AE$102,0)))</f>
        <v/>
      </c>
      <c r="AQ132" s="16" t="e">
        <f>IF(AP132="",NA(),COUNTIF(AP132:$AP$286,AP132))</f>
        <v>#N/A</v>
      </c>
      <c r="AR132" s="16" t="e">
        <f>(AQ132-1)*$AE$105</f>
        <v>#N/A</v>
      </c>
      <c r="AS132" s="16" t="e">
        <f t="shared" si="21"/>
        <v>#N/A</v>
      </c>
      <c r="AT132" s="16" t="str">
        <f t="shared" si="22"/>
        <v/>
      </c>
      <c r="AU132" s="16" t="str">
        <f t="shared" si="23"/>
        <v/>
      </c>
      <c r="AV132" s="16" t="e">
        <f>IF(AU132="",NA(),COUNTIF(AU132:$AU$188,AU132))</f>
        <v>#N/A</v>
      </c>
      <c r="AW132" s="16" t="e">
        <f t="shared" si="24"/>
        <v>#N/A</v>
      </c>
      <c r="BG132" s="756">
        <v>125</v>
      </c>
      <c r="BH132" s="761"/>
      <c r="BI132" s="762"/>
      <c r="BJ132" s="824"/>
      <c r="BL132" s="756">
        <v>125</v>
      </c>
      <c r="BM132" s="761"/>
      <c r="BN132" s="762"/>
      <c r="BO132" s="824"/>
      <c r="BQ132" s="756">
        <v>125</v>
      </c>
      <c r="BR132" s="761"/>
      <c r="BS132" s="762"/>
      <c r="BT132" s="824"/>
    </row>
    <row r="133" spans="5:72" ht="12" customHeight="1">
      <c r="E133" s="621">
        <v>125</v>
      </c>
      <c r="F133" s="761"/>
      <c r="G133" s="762"/>
      <c r="H133" s="680"/>
      <c r="I133" s="764" t="str">
        <f t="shared" si="4"/>
        <v/>
      </c>
      <c r="J133" s="595"/>
      <c r="K133"/>
      <c r="L133" s="197"/>
      <c r="O133" s="820" t="e">
        <f>$W$23+IF($AN$85,AO131,0)</f>
        <v>#N/A</v>
      </c>
      <c r="P133" s="821" t="e">
        <f>IF(X133="",NA(),IF($AN$85,X133,T133))</f>
        <v>#N/A</v>
      </c>
      <c r="Q133" s="822"/>
      <c r="T133" s="16" t="e">
        <f>IF(AND(F31&lt;&gt;"",$X$5,$X$2),F31,NA())</f>
        <v>#N/A</v>
      </c>
      <c r="V133" s="16" t="str">
        <f>IF(ISNA(T133),"",IF($AE$102=0,T133,ROUND(T133/$AE$102,0)))</f>
        <v/>
      </c>
      <c r="X133" s="16" t="str">
        <f t="shared" si="17"/>
        <v/>
      </c>
      <c r="Y133" s="16" t="str">
        <f t="shared" si="18"/>
        <v/>
      </c>
      <c r="AA133" s="16" t="e">
        <f t="shared" si="19"/>
        <v>#N/A</v>
      </c>
      <c r="AB133" s="16" t="e">
        <f t="shared" si="20"/>
        <v>#N/A</v>
      </c>
      <c r="AM133" s="16" t="str">
        <f>IF(ISNA(P135),"",IF($AE$102=0,P135,ROUND(P135/$AE$102,0)))</f>
        <v/>
      </c>
      <c r="AN133" s="16" t="e">
        <f>IF(AM133="",NA(),COUNTIF(AM133:$AM$286,AM133))</f>
        <v>#N/A</v>
      </c>
      <c r="AO133" s="16" t="e">
        <f>(AN133-1)*$AE$105</f>
        <v>#N/A</v>
      </c>
      <c r="AS133" s="16" t="e">
        <f t="shared" si="21"/>
        <v>#N/A</v>
      </c>
      <c r="AT133" s="16" t="str">
        <f t="shared" si="22"/>
        <v/>
      </c>
      <c r="AU133" s="16" t="str">
        <f t="shared" si="23"/>
        <v/>
      </c>
      <c r="AV133" s="16" t="e">
        <f>IF(AU133="",NA(),COUNTIF(AU133:$AU$188,AU133))</f>
        <v>#N/A</v>
      </c>
      <c r="AW133" s="16" t="e">
        <f t="shared" si="24"/>
        <v>#N/A</v>
      </c>
      <c r="BG133" s="756">
        <v>126</v>
      </c>
      <c r="BH133" s="761"/>
      <c r="BI133" s="762"/>
      <c r="BJ133" s="824"/>
      <c r="BL133" s="756">
        <v>126</v>
      </c>
      <c r="BM133" s="761"/>
      <c r="BN133" s="762"/>
      <c r="BO133" s="824"/>
      <c r="BQ133" s="756">
        <v>126</v>
      </c>
      <c r="BR133" s="761"/>
      <c r="BS133" s="762"/>
      <c r="BT133" s="824"/>
    </row>
    <row r="134" spans="5:72" ht="12" customHeight="1">
      <c r="E134" s="621">
        <v>126</v>
      </c>
      <c r="F134" s="761"/>
      <c r="G134" s="762"/>
      <c r="H134" s="680"/>
      <c r="I134" s="764" t="str">
        <f t="shared" si="4"/>
        <v/>
      </c>
      <c r="J134" s="595"/>
      <c r="K134"/>
      <c r="L134" s="197"/>
      <c r="O134" s="246" t="e">
        <f>$W$24-IF($AN$85,AR132,0)</f>
        <v>#N/A</v>
      </c>
      <c r="P134" s="823" t="e">
        <f>IF(Y134="",NA(),IF($AN$85,Y134,U134))</f>
        <v>#N/A</v>
      </c>
      <c r="Q134" s="822"/>
      <c r="U134" s="16" t="e">
        <f>IF(AND(G31&lt;&gt;"",$X$5,$X$2),G31,NA())</f>
        <v>#N/A</v>
      </c>
      <c r="W134" s="16" t="str">
        <f>IF(ISNA(U134),"",IF($AE$102=0,U134,ROUND(U134/$AE$102,0)))</f>
        <v/>
      </c>
      <c r="X134" s="16" t="str">
        <f t="shared" si="17"/>
        <v/>
      </c>
      <c r="Y134" s="16" t="str">
        <f t="shared" si="18"/>
        <v/>
      </c>
      <c r="AA134" s="16" t="e">
        <f t="shared" si="19"/>
        <v>#N/A</v>
      </c>
      <c r="AB134" s="16" t="e">
        <f t="shared" si="20"/>
        <v>#N/A</v>
      </c>
      <c r="AP134" s="16" t="str">
        <f>IF(ISNA(P136),"",IF($AE$102=0,P136,ROUND(P136/$AE$102,0)))</f>
        <v/>
      </c>
      <c r="AQ134" s="16" t="e">
        <f>IF(AP134="",NA(),COUNTIF(AP134:$AP$286,AP134))</f>
        <v>#N/A</v>
      </c>
      <c r="AR134" s="16" t="e">
        <f>(AQ134-1)*$AE$105</f>
        <v>#N/A</v>
      </c>
      <c r="AS134" s="16" t="e">
        <f t="shared" si="21"/>
        <v>#N/A</v>
      </c>
      <c r="AT134" s="16" t="str">
        <f t="shared" si="22"/>
        <v/>
      </c>
      <c r="AU134" s="16" t="str">
        <f t="shared" si="23"/>
        <v/>
      </c>
      <c r="AV134" s="16" t="e">
        <f>IF(AU134="",NA(),COUNTIF(AU134:$AU$188,AU134))</f>
        <v>#N/A</v>
      </c>
      <c r="AW134" s="16" t="e">
        <f t="shared" si="24"/>
        <v>#N/A</v>
      </c>
      <c r="BG134" s="756">
        <v>127</v>
      </c>
      <c r="BH134" s="761"/>
      <c r="BI134" s="762"/>
      <c r="BJ134" s="824"/>
      <c r="BL134" s="756">
        <v>127</v>
      </c>
      <c r="BM134" s="761"/>
      <c r="BN134" s="762"/>
      <c r="BO134" s="824"/>
      <c r="BQ134" s="756">
        <v>127</v>
      </c>
      <c r="BR134" s="761"/>
      <c r="BS134" s="762"/>
      <c r="BT134" s="824"/>
    </row>
    <row r="135" spans="5:72" ht="12" customHeight="1">
      <c r="E135" s="621">
        <v>127</v>
      </c>
      <c r="F135" s="761"/>
      <c r="G135" s="762"/>
      <c r="H135" s="680"/>
      <c r="I135" s="764" t="str">
        <f t="shared" si="4"/>
        <v/>
      </c>
      <c r="J135" s="595"/>
      <c r="K135"/>
      <c r="L135" s="197"/>
      <c r="O135" s="820" t="e">
        <f>$W$23+IF($AN$85,AO133,0)</f>
        <v>#N/A</v>
      </c>
      <c r="P135" s="821" t="e">
        <f>IF(X135="",NA(),IF($AN$85,X135,T135))</f>
        <v>#N/A</v>
      </c>
      <c r="Q135" s="822"/>
      <c r="T135" s="16" t="e">
        <f>IF(AND(F32&lt;&gt;"",$X$5,$X$2),F32,NA())</f>
        <v>#N/A</v>
      </c>
      <c r="V135" s="16" t="str">
        <f>IF(ISNA(T135),"",IF($AE$102=0,T135,ROUND(T135/$AE$102,0)))</f>
        <v/>
      </c>
      <c r="X135" s="16" t="str">
        <f t="shared" si="17"/>
        <v/>
      </c>
      <c r="Y135" s="16" t="str">
        <f t="shared" si="18"/>
        <v/>
      </c>
      <c r="AA135" s="16" t="e">
        <f t="shared" si="19"/>
        <v>#N/A</v>
      </c>
      <c r="AB135" s="16" t="e">
        <f t="shared" si="20"/>
        <v>#N/A</v>
      </c>
      <c r="AM135" s="16" t="str">
        <f>IF(ISNA(P137),"",IF($AE$102=0,P137,ROUND(P137/$AE$102,0)))</f>
        <v/>
      </c>
      <c r="AN135" s="16" t="e">
        <f>IF(AM135="",NA(),COUNTIF(AM135:$AM$286,AM135))</f>
        <v>#N/A</v>
      </c>
      <c r="AO135" s="16" t="e">
        <f>(AN135-1)*$AE$105</f>
        <v>#N/A</v>
      </c>
      <c r="AS135" s="16" t="e">
        <f t="shared" si="21"/>
        <v>#N/A</v>
      </c>
      <c r="AT135" s="16" t="str">
        <f t="shared" si="22"/>
        <v/>
      </c>
      <c r="AU135" s="16" t="str">
        <f t="shared" si="23"/>
        <v/>
      </c>
      <c r="AV135" s="16" t="e">
        <f>IF(AU135="",NA(),COUNTIF(AU135:$AU$188,AU135))</f>
        <v>#N/A</v>
      </c>
      <c r="AW135" s="16" t="e">
        <f t="shared" si="24"/>
        <v>#N/A</v>
      </c>
      <c r="BG135" s="756">
        <v>128</v>
      </c>
      <c r="BH135" s="761"/>
      <c r="BI135" s="762"/>
      <c r="BJ135" s="824"/>
      <c r="BL135" s="756">
        <v>128</v>
      </c>
      <c r="BM135" s="761"/>
      <c r="BN135" s="762"/>
      <c r="BO135" s="824"/>
      <c r="BQ135" s="756">
        <v>128</v>
      </c>
      <c r="BR135" s="761"/>
      <c r="BS135" s="762"/>
      <c r="BT135" s="824"/>
    </row>
    <row r="136" spans="5:72" ht="12" customHeight="1">
      <c r="E136" s="621">
        <v>128</v>
      </c>
      <c r="F136" s="761"/>
      <c r="G136" s="762"/>
      <c r="H136" s="680"/>
      <c r="I136" s="764" t="str">
        <f t="shared" si="4"/>
        <v/>
      </c>
      <c r="J136" s="595"/>
      <c r="K136"/>
      <c r="L136" s="197"/>
      <c r="O136" s="246" t="e">
        <f>$W$24-IF($AN$85,AR134,0)</f>
        <v>#N/A</v>
      </c>
      <c r="P136" s="823" t="e">
        <f>IF(Y136="",NA(),IF($AN$85,Y136,U136))</f>
        <v>#N/A</v>
      </c>
      <c r="Q136" s="822"/>
      <c r="U136" s="16" t="e">
        <f>IF(AND(G32&lt;&gt;"",$X$5,$X$2),G32,NA())</f>
        <v>#N/A</v>
      </c>
      <c r="W136" s="16" t="str">
        <f>IF(ISNA(U136),"",IF($AE$102=0,U136,ROUND(U136/$AE$102,0)))</f>
        <v/>
      </c>
      <c r="X136" s="16" t="str">
        <f t="shared" si="17"/>
        <v/>
      </c>
      <c r="Y136" s="16" t="str">
        <f t="shared" si="18"/>
        <v/>
      </c>
      <c r="AA136" s="16" t="e">
        <f t="shared" si="19"/>
        <v>#N/A</v>
      </c>
      <c r="AB136" s="16" t="e">
        <f t="shared" si="20"/>
        <v>#N/A</v>
      </c>
      <c r="AP136" s="16" t="str">
        <f>IF(ISNA(P138),"",IF($AE$102=0,P138,ROUND(P138/$AE$102,0)))</f>
        <v/>
      </c>
      <c r="AQ136" s="16" t="e">
        <f>IF(AP136="",NA(),COUNTIF(AP136:$AP$286,AP136))</f>
        <v>#N/A</v>
      </c>
      <c r="AR136" s="16" t="e">
        <f>(AQ136-1)*$AE$105</f>
        <v>#N/A</v>
      </c>
      <c r="AS136" s="16" t="e">
        <f t="shared" si="21"/>
        <v>#N/A</v>
      </c>
      <c r="AT136" s="16" t="str">
        <f t="shared" si="22"/>
        <v/>
      </c>
      <c r="AU136" s="16" t="str">
        <f t="shared" si="23"/>
        <v/>
      </c>
      <c r="AV136" s="16" t="e">
        <f>IF(AU136="",NA(),COUNTIF(AU136:$AU$188,AU136))</f>
        <v>#N/A</v>
      </c>
      <c r="AW136" s="16" t="e">
        <f t="shared" si="24"/>
        <v>#N/A</v>
      </c>
      <c r="BG136" s="756">
        <v>129</v>
      </c>
      <c r="BH136" s="761"/>
      <c r="BI136" s="762"/>
      <c r="BJ136" s="824"/>
      <c r="BL136" s="756">
        <v>129</v>
      </c>
      <c r="BM136" s="761"/>
      <c r="BN136" s="762"/>
      <c r="BO136" s="824"/>
      <c r="BQ136" s="756">
        <v>129</v>
      </c>
      <c r="BR136" s="761"/>
      <c r="BS136" s="762"/>
      <c r="BT136" s="824"/>
    </row>
    <row r="137" spans="5:72" ht="12" customHeight="1">
      <c r="E137" s="621">
        <v>129</v>
      </c>
      <c r="F137" s="761"/>
      <c r="G137" s="762"/>
      <c r="H137" s="680"/>
      <c r="I137" s="764" t="str">
        <f t="shared" ref="I137:I200" si="25">IF(AND(F137&lt;&gt;"",G137&lt;&gt;""),G137-F137,"")</f>
        <v/>
      </c>
      <c r="J137" s="595"/>
      <c r="K137"/>
      <c r="L137" s="197"/>
      <c r="O137" s="820" t="e">
        <f>$W$23+IF($AN$85,AO135,0)</f>
        <v>#N/A</v>
      </c>
      <c r="P137" s="821" t="e">
        <f>IF(X137="",NA(),IF($AN$85,X137,T137))</f>
        <v>#N/A</v>
      </c>
      <c r="Q137" s="822"/>
      <c r="T137" s="16" t="e">
        <f>IF(AND(F33&lt;&gt;"",$X$5,$X$2),F33,NA())</f>
        <v>#N/A</v>
      </c>
      <c r="V137" s="16" t="str">
        <f>IF(ISNA(T137),"",IF($AE$102=0,T137,ROUND(T137/$AE$102,0)))</f>
        <v/>
      </c>
      <c r="X137" s="16" t="str">
        <f t="shared" si="17"/>
        <v/>
      </c>
      <c r="Y137" s="16" t="str">
        <f t="shared" si="18"/>
        <v/>
      </c>
      <c r="AA137" s="16" t="e">
        <f t="shared" si="19"/>
        <v>#N/A</v>
      </c>
      <c r="AB137" s="16" t="e">
        <f t="shared" si="20"/>
        <v>#N/A</v>
      </c>
      <c r="AM137" s="16" t="str">
        <f>IF(ISNA(P139),"",IF($AE$102=0,P139,ROUND(P139/$AE$102,0)))</f>
        <v/>
      </c>
      <c r="AN137" s="16" t="e">
        <f>IF(AM137="",NA(),COUNTIF(AM137:$AM$286,AM137))</f>
        <v>#N/A</v>
      </c>
      <c r="AO137" s="16" t="e">
        <f>(AN137-1)*$AE$105</f>
        <v>#N/A</v>
      </c>
      <c r="AS137" s="16" t="e">
        <f t="shared" si="21"/>
        <v>#N/A</v>
      </c>
      <c r="AT137" s="16" t="str">
        <f t="shared" si="22"/>
        <v/>
      </c>
      <c r="AU137" s="16" t="str">
        <f t="shared" si="23"/>
        <v/>
      </c>
      <c r="AV137" s="16" t="e">
        <f>IF(AU137="",NA(),COUNTIF(AU137:$AU$188,AU137))</f>
        <v>#N/A</v>
      </c>
      <c r="AW137" s="16" t="e">
        <f t="shared" si="24"/>
        <v>#N/A</v>
      </c>
      <c r="BG137" s="756">
        <v>130</v>
      </c>
      <c r="BH137" s="761"/>
      <c r="BI137" s="762"/>
      <c r="BJ137" s="824"/>
      <c r="BL137" s="756">
        <v>130</v>
      </c>
      <c r="BM137" s="761"/>
      <c r="BN137" s="762"/>
      <c r="BO137" s="824"/>
      <c r="BQ137" s="756">
        <v>130</v>
      </c>
      <c r="BR137" s="761"/>
      <c r="BS137" s="762"/>
      <c r="BT137" s="824"/>
    </row>
    <row r="138" spans="5:72" ht="12" customHeight="1">
      <c r="E138" s="621">
        <v>130</v>
      </c>
      <c r="F138" s="761"/>
      <c r="G138" s="762"/>
      <c r="H138" s="680"/>
      <c r="I138" s="764" t="str">
        <f t="shared" si="25"/>
        <v/>
      </c>
      <c r="J138" s="595"/>
      <c r="K138"/>
      <c r="L138" s="197"/>
      <c r="O138" s="246" t="e">
        <f>$W$24-IF($AN$85,AR136,0)</f>
        <v>#N/A</v>
      </c>
      <c r="P138" s="823" t="e">
        <f>IF(Y138="",NA(),IF($AN$85,Y138,U138))</f>
        <v>#N/A</v>
      </c>
      <c r="Q138" s="822"/>
      <c r="U138" s="16" t="e">
        <f>IF(AND(G33&lt;&gt;"",$X$5,$X$2),G33,NA())</f>
        <v>#N/A</v>
      </c>
      <c r="W138" s="16" t="str">
        <f>IF(ISNA(U138),"",IF($AE$102=0,U138,ROUND(U138/$AE$102,0)))</f>
        <v/>
      </c>
      <c r="X138" s="16" t="str">
        <f t="shared" si="17"/>
        <v/>
      </c>
      <c r="Y138" s="16" t="str">
        <f t="shared" si="18"/>
        <v/>
      </c>
      <c r="AA138" s="16" t="e">
        <f t="shared" si="19"/>
        <v>#N/A</v>
      </c>
      <c r="AB138" s="16" t="e">
        <f t="shared" si="20"/>
        <v>#N/A</v>
      </c>
      <c r="AP138" s="16" t="str">
        <f>IF(ISNA(P140),"",IF($AE$102=0,P140,ROUND(P140/$AE$102,0)))</f>
        <v/>
      </c>
      <c r="AQ138" s="16" t="e">
        <f>IF(AP138="",NA(),COUNTIF(AP138:$AP$286,AP138))</f>
        <v>#N/A</v>
      </c>
      <c r="AR138" s="16" t="e">
        <f>(AQ138-1)*$AE$105</f>
        <v>#N/A</v>
      </c>
      <c r="AS138" s="16" t="e">
        <f t="shared" si="21"/>
        <v>#N/A</v>
      </c>
      <c r="AT138" s="16" t="str">
        <f t="shared" si="22"/>
        <v/>
      </c>
      <c r="AU138" s="16" t="str">
        <f t="shared" si="23"/>
        <v/>
      </c>
      <c r="AV138" s="16" t="e">
        <f>IF(AU138="",NA(),COUNTIF(AU138:$AU$188,AU138))</f>
        <v>#N/A</v>
      </c>
      <c r="AW138" s="16" t="e">
        <f t="shared" si="24"/>
        <v>#N/A</v>
      </c>
      <c r="BG138" s="756">
        <v>131</v>
      </c>
      <c r="BH138" s="761"/>
      <c r="BI138" s="762"/>
      <c r="BJ138" s="824"/>
      <c r="BL138" s="756">
        <v>131</v>
      </c>
      <c r="BM138" s="761"/>
      <c r="BN138" s="762"/>
      <c r="BO138" s="824"/>
      <c r="BQ138" s="756">
        <v>131</v>
      </c>
      <c r="BR138" s="761"/>
      <c r="BS138" s="762"/>
      <c r="BT138" s="824"/>
    </row>
    <row r="139" spans="5:72" ht="12" customHeight="1">
      <c r="E139" s="621">
        <v>131</v>
      </c>
      <c r="F139" s="761"/>
      <c r="G139" s="762"/>
      <c r="H139" s="680"/>
      <c r="I139" s="764" t="str">
        <f t="shared" si="25"/>
        <v/>
      </c>
      <c r="J139" s="595"/>
      <c r="K139"/>
      <c r="L139" s="197"/>
      <c r="O139" s="820" t="e">
        <f>$W$23+IF($AN$85,AO137,0)</f>
        <v>#N/A</v>
      </c>
      <c r="P139" s="821" t="e">
        <f>IF(X139="",NA(),IF($AN$85,X139,T139))</f>
        <v>#N/A</v>
      </c>
      <c r="Q139" s="822"/>
      <c r="T139" s="16" t="e">
        <f>IF(AND(F34&lt;&gt;"",$X$5,$X$2),F34,NA())</f>
        <v>#N/A</v>
      </c>
      <c r="V139" s="16" t="str">
        <f>IF(ISNA(T139),"",IF($AE$102=0,T139,ROUND(T139/$AE$102,0)))</f>
        <v/>
      </c>
      <c r="X139" s="16" t="str">
        <f t="shared" si="17"/>
        <v/>
      </c>
      <c r="Y139" s="16" t="str">
        <f t="shared" si="18"/>
        <v/>
      </c>
      <c r="AA139" s="16" t="e">
        <f t="shared" si="19"/>
        <v>#N/A</v>
      </c>
      <c r="AB139" s="16" t="e">
        <f t="shared" si="20"/>
        <v>#N/A</v>
      </c>
      <c r="AM139" s="16" t="str">
        <f>IF(ISNA(P141),"",IF($AE$102=0,P141,ROUND(P141/$AE$102,0)))</f>
        <v/>
      </c>
      <c r="AN139" s="16" t="e">
        <f>IF(AM139="",NA(),COUNTIF(AM139:$AM$286,AM139))</f>
        <v>#N/A</v>
      </c>
      <c r="AO139" s="16" t="e">
        <f>(AN139-1)*$AE$105</f>
        <v>#N/A</v>
      </c>
      <c r="AS139" s="16" t="e">
        <f t="shared" si="21"/>
        <v>#N/A</v>
      </c>
      <c r="AT139" s="16" t="str">
        <f t="shared" si="22"/>
        <v/>
      </c>
      <c r="AU139" s="16" t="str">
        <f t="shared" si="23"/>
        <v/>
      </c>
      <c r="AV139" s="16" t="e">
        <f>IF(AU139="",NA(),COUNTIF(AU139:$AU$188,AU139))</f>
        <v>#N/A</v>
      </c>
      <c r="AW139" s="16" t="e">
        <f t="shared" si="24"/>
        <v>#N/A</v>
      </c>
      <c r="BG139" s="756">
        <v>132</v>
      </c>
      <c r="BH139" s="761"/>
      <c r="BI139" s="762"/>
      <c r="BJ139" s="824"/>
      <c r="BL139" s="756">
        <v>132</v>
      </c>
      <c r="BM139" s="761"/>
      <c r="BN139" s="762"/>
      <c r="BO139" s="824"/>
      <c r="BQ139" s="756">
        <v>132</v>
      </c>
      <c r="BR139" s="761"/>
      <c r="BS139" s="762"/>
      <c r="BT139" s="824"/>
    </row>
    <row r="140" spans="5:72" ht="12" customHeight="1">
      <c r="E140" s="621">
        <v>132</v>
      </c>
      <c r="F140" s="761"/>
      <c r="G140" s="762"/>
      <c r="H140" s="680"/>
      <c r="I140" s="764" t="str">
        <f t="shared" si="25"/>
        <v/>
      </c>
      <c r="J140" s="595"/>
      <c r="K140"/>
      <c r="L140" s="197"/>
      <c r="O140" s="246" t="e">
        <f>$W$24-IF($AN$85,AR138,0)</f>
        <v>#N/A</v>
      </c>
      <c r="P140" s="823" t="e">
        <f>IF(Y140="",NA(),IF($AN$85,Y140,U140))</f>
        <v>#N/A</v>
      </c>
      <c r="Q140" s="822"/>
      <c r="U140" s="16" t="e">
        <f>IF(AND(G34&lt;&gt;"",$X$5,$X$2),G34,NA())</f>
        <v>#N/A</v>
      </c>
      <c r="W140" s="16" t="str">
        <f>IF(ISNA(U140),"",IF($AE$102=0,U140,ROUND(U140/$AE$102,0)))</f>
        <v/>
      </c>
      <c r="X140" s="16" t="str">
        <f t="shared" si="17"/>
        <v/>
      </c>
      <c r="Y140" s="16" t="str">
        <f t="shared" si="18"/>
        <v/>
      </c>
      <c r="AA140" s="16" t="e">
        <f t="shared" si="19"/>
        <v>#N/A</v>
      </c>
      <c r="AB140" s="16" t="e">
        <f t="shared" si="20"/>
        <v>#N/A</v>
      </c>
      <c r="AP140" s="16" t="str">
        <f>IF(ISNA(P142),"",IF($AE$102=0,P142,ROUND(P142/$AE$102,0)))</f>
        <v/>
      </c>
      <c r="AQ140" s="16" t="e">
        <f>IF(AP140="",NA(),COUNTIF(AP140:$AP$286,AP140))</f>
        <v>#N/A</v>
      </c>
      <c r="AR140" s="16" t="e">
        <f>(AQ140-1)*$AE$105</f>
        <v>#N/A</v>
      </c>
      <c r="AS140" s="16" t="e">
        <f t="shared" si="21"/>
        <v>#N/A</v>
      </c>
      <c r="AT140" s="16" t="str">
        <f t="shared" si="22"/>
        <v/>
      </c>
      <c r="AU140" s="16" t="str">
        <f t="shared" si="23"/>
        <v/>
      </c>
      <c r="AV140" s="16" t="e">
        <f>IF(AU140="",NA(),COUNTIF(AU140:$AU$188,AU140))</f>
        <v>#N/A</v>
      </c>
      <c r="AW140" s="16" t="e">
        <f t="shared" si="24"/>
        <v>#N/A</v>
      </c>
      <c r="BG140" s="756">
        <v>133</v>
      </c>
      <c r="BH140" s="761"/>
      <c r="BI140" s="762"/>
      <c r="BJ140" s="824"/>
      <c r="BL140" s="756">
        <v>133</v>
      </c>
      <c r="BM140" s="761"/>
      <c r="BN140" s="762"/>
      <c r="BO140" s="824"/>
      <c r="BQ140" s="756">
        <v>133</v>
      </c>
      <c r="BR140" s="761"/>
      <c r="BS140" s="762"/>
      <c r="BT140" s="824"/>
    </row>
    <row r="141" spans="5:72" ht="12" customHeight="1">
      <c r="E141" s="621">
        <v>133</v>
      </c>
      <c r="F141" s="761"/>
      <c r="G141" s="762"/>
      <c r="H141" s="680"/>
      <c r="I141" s="764" t="str">
        <f t="shared" si="25"/>
        <v/>
      </c>
      <c r="J141" s="595"/>
      <c r="K141"/>
      <c r="L141" s="197"/>
      <c r="O141" s="820" t="e">
        <f>$W$23+IF($AN$85,AO139,0)</f>
        <v>#N/A</v>
      </c>
      <c r="P141" s="821" t="e">
        <f>IF(X141="",NA(),IF($AN$85,X141,T141))</f>
        <v>#N/A</v>
      </c>
      <c r="Q141" s="822"/>
      <c r="T141" s="16" t="e">
        <f>IF(AND(F35&lt;&gt;"",$X$5,$X$2),F35,NA())</f>
        <v>#N/A</v>
      </c>
      <c r="V141" s="16" t="str">
        <f>IF(ISNA(T141),"",IF($AE$102=0,T141,ROUND(T141/$AE$102,0)))</f>
        <v/>
      </c>
      <c r="X141" s="16" t="str">
        <f t="shared" si="17"/>
        <v/>
      </c>
      <c r="Y141" s="16" t="str">
        <f t="shared" si="18"/>
        <v/>
      </c>
      <c r="AA141" s="16" t="e">
        <f t="shared" si="19"/>
        <v>#N/A</v>
      </c>
      <c r="AB141" s="16" t="e">
        <f t="shared" si="20"/>
        <v>#N/A</v>
      </c>
      <c r="AM141" s="16" t="str">
        <f>IF(ISNA(P143),"",IF($AE$102=0,P143,ROUND(P143/$AE$102,0)))</f>
        <v/>
      </c>
      <c r="AN141" s="16" t="e">
        <f>IF(AM141="",NA(),COUNTIF(AM141:$AM$286,AM141))</f>
        <v>#N/A</v>
      </c>
      <c r="AO141" s="16" t="e">
        <f>(AN141-1)*$AE$105</f>
        <v>#N/A</v>
      </c>
      <c r="AS141" s="16" t="e">
        <f t="shared" si="21"/>
        <v>#N/A</v>
      </c>
      <c r="AT141" s="16" t="str">
        <f t="shared" si="22"/>
        <v/>
      </c>
      <c r="AU141" s="16" t="str">
        <f t="shared" si="23"/>
        <v/>
      </c>
      <c r="AV141" s="16" t="e">
        <f>IF(AU141="",NA(),COUNTIF(AU141:$AU$188,AU141))</f>
        <v>#N/A</v>
      </c>
      <c r="AW141" s="16" t="e">
        <f t="shared" si="24"/>
        <v>#N/A</v>
      </c>
      <c r="BG141" s="756">
        <v>134</v>
      </c>
      <c r="BH141" s="761"/>
      <c r="BI141" s="762"/>
      <c r="BJ141" s="824"/>
      <c r="BL141" s="756">
        <v>134</v>
      </c>
      <c r="BM141" s="761"/>
      <c r="BN141" s="762"/>
      <c r="BO141" s="824"/>
      <c r="BQ141" s="756">
        <v>134</v>
      </c>
      <c r="BR141" s="761"/>
      <c r="BS141" s="762"/>
      <c r="BT141" s="824"/>
    </row>
    <row r="142" spans="5:72" ht="12" customHeight="1">
      <c r="E142" s="621">
        <v>134</v>
      </c>
      <c r="F142" s="761"/>
      <c r="G142" s="762"/>
      <c r="H142" s="680"/>
      <c r="I142" s="764" t="str">
        <f t="shared" si="25"/>
        <v/>
      </c>
      <c r="J142" s="595"/>
      <c r="K142"/>
      <c r="L142" s="197"/>
      <c r="O142" s="246" t="e">
        <f>$W$24-IF($AN$85,AR140,0)</f>
        <v>#N/A</v>
      </c>
      <c r="P142" s="823" t="e">
        <f>IF(Y142="",NA(),IF($AN$85,Y142,U142))</f>
        <v>#N/A</v>
      </c>
      <c r="Q142" s="822"/>
      <c r="U142" s="16" t="e">
        <f>IF(AND(G35&lt;&gt;"",$X$5,$X$2),G35,NA())</f>
        <v>#N/A</v>
      </c>
      <c r="W142" s="16" t="str">
        <f>IF(ISNA(U142),"",IF($AE$102=0,U142,ROUND(U142/$AE$102,0)))</f>
        <v/>
      </c>
      <c r="X142" s="16" t="str">
        <f t="shared" si="17"/>
        <v/>
      </c>
      <c r="Y142" s="16" t="str">
        <f t="shared" si="18"/>
        <v/>
      </c>
      <c r="AA142" s="16" t="e">
        <f t="shared" si="19"/>
        <v>#N/A</v>
      </c>
      <c r="AB142" s="16" t="e">
        <f t="shared" si="20"/>
        <v>#N/A</v>
      </c>
      <c r="AP142" s="16" t="str">
        <f>IF(ISNA(P144),"",IF($AE$102=0,P144,ROUND(P144/$AE$102,0)))</f>
        <v/>
      </c>
      <c r="AQ142" s="16" t="e">
        <f>IF(AP142="",NA(),COUNTIF(AP142:$AP$286,AP142))</f>
        <v>#N/A</v>
      </c>
      <c r="AR142" s="16" t="e">
        <f>(AQ142-1)*$AE$105</f>
        <v>#N/A</v>
      </c>
      <c r="AS142" s="16" t="e">
        <f t="shared" si="21"/>
        <v>#N/A</v>
      </c>
      <c r="AT142" s="16" t="str">
        <f t="shared" si="22"/>
        <v/>
      </c>
      <c r="AU142" s="16" t="str">
        <f t="shared" si="23"/>
        <v/>
      </c>
      <c r="AV142" s="16" t="e">
        <f>IF(AU142="",NA(),COUNTIF(AU142:$AU$188,AU142))</f>
        <v>#N/A</v>
      </c>
      <c r="AW142" s="16" t="e">
        <f t="shared" si="24"/>
        <v>#N/A</v>
      </c>
      <c r="BG142" s="756">
        <v>135</v>
      </c>
      <c r="BH142" s="761"/>
      <c r="BI142" s="762"/>
      <c r="BJ142" s="824"/>
      <c r="BL142" s="756">
        <v>135</v>
      </c>
      <c r="BM142" s="761"/>
      <c r="BN142" s="762"/>
      <c r="BO142" s="824"/>
      <c r="BQ142" s="756">
        <v>135</v>
      </c>
      <c r="BR142" s="761"/>
      <c r="BS142" s="762"/>
      <c r="BT142" s="824"/>
    </row>
    <row r="143" spans="5:72" ht="12" customHeight="1">
      <c r="E143" s="621">
        <v>135</v>
      </c>
      <c r="F143" s="761"/>
      <c r="G143" s="762"/>
      <c r="H143" s="680"/>
      <c r="I143" s="764" t="str">
        <f t="shared" si="25"/>
        <v/>
      </c>
      <c r="J143" s="595"/>
      <c r="K143"/>
      <c r="L143" s="197"/>
      <c r="O143" s="820" t="e">
        <f>$W$23+IF($AN$85,AO141,0)</f>
        <v>#N/A</v>
      </c>
      <c r="P143" s="821" t="e">
        <f>IF(X143="",NA(),IF($AN$85,X143,T143))</f>
        <v>#N/A</v>
      </c>
      <c r="Q143" s="822"/>
      <c r="T143" s="16" t="e">
        <f>IF(AND(F36&lt;&gt;"",$X$5,$X$2),F36,NA())</f>
        <v>#N/A</v>
      </c>
      <c r="V143" s="16" t="str">
        <f>IF(ISNA(T143),"",IF($AE$102=0,T143,ROUND(T143/$AE$102,0)))</f>
        <v/>
      </c>
      <c r="X143" s="16" t="str">
        <f t="shared" si="17"/>
        <v/>
      </c>
      <c r="Y143" s="16" t="str">
        <f t="shared" si="18"/>
        <v/>
      </c>
      <c r="AA143" s="16" t="e">
        <f t="shared" si="19"/>
        <v>#N/A</v>
      </c>
      <c r="AB143" s="16" t="e">
        <f t="shared" si="20"/>
        <v>#N/A</v>
      </c>
      <c r="AM143" s="16" t="str">
        <f>IF(ISNA(P145),"",IF($AE$102=0,P145,ROUND(P145/$AE$102,0)))</f>
        <v/>
      </c>
      <c r="AN143" s="16" t="e">
        <f>IF(AM143="",NA(),COUNTIF(AM143:$AM$286,AM143))</f>
        <v>#N/A</v>
      </c>
      <c r="AO143" s="16" t="e">
        <f>(AN143-1)*$AE$105</f>
        <v>#N/A</v>
      </c>
      <c r="AS143" s="16" t="e">
        <f t="shared" si="21"/>
        <v>#N/A</v>
      </c>
      <c r="AT143" s="16" t="str">
        <f t="shared" si="22"/>
        <v/>
      </c>
      <c r="AU143" s="16" t="str">
        <f t="shared" si="23"/>
        <v/>
      </c>
      <c r="AV143" s="16" t="e">
        <f>IF(AU143="",NA(),COUNTIF(AU143:$AU$188,AU143))</f>
        <v>#N/A</v>
      </c>
      <c r="AW143" s="16" t="e">
        <f t="shared" si="24"/>
        <v>#N/A</v>
      </c>
      <c r="BG143" s="756">
        <v>136</v>
      </c>
      <c r="BH143" s="761"/>
      <c r="BI143" s="762"/>
      <c r="BJ143" s="824"/>
      <c r="BL143" s="756">
        <v>136</v>
      </c>
      <c r="BM143" s="761"/>
      <c r="BN143" s="762"/>
      <c r="BO143" s="824"/>
      <c r="BQ143" s="756">
        <v>136</v>
      </c>
      <c r="BR143" s="761"/>
      <c r="BS143" s="762"/>
      <c r="BT143" s="824"/>
    </row>
    <row r="144" spans="5:72" ht="12" customHeight="1">
      <c r="E144" s="621">
        <v>136</v>
      </c>
      <c r="F144" s="761"/>
      <c r="G144" s="762"/>
      <c r="H144" s="680"/>
      <c r="I144" s="764" t="str">
        <f t="shared" si="25"/>
        <v/>
      </c>
      <c r="J144" s="595"/>
      <c r="K144"/>
      <c r="L144" s="197"/>
      <c r="O144" s="246" t="e">
        <f>$W$24-IF($AN$85,AR142,0)</f>
        <v>#N/A</v>
      </c>
      <c r="P144" s="823" t="e">
        <f>IF(Y144="",NA(),IF($AN$85,Y144,U144))</f>
        <v>#N/A</v>
      </c>
      <c r="Q144" s="822"/>
      <c r="U144" s="16" t="e">
        <f>IF(AND(G36&lt;&gt;"",$X$5,$X$2),G36,NA())</f>
        <v>#N/A</v>
      </c>
      <c r="W144" s="16" t="str">
        <f>IF(ISNA(U144),"",IF($AE$102=0,U144,ROUND(U144/$AE$102,0)))</f>
        <v/>
      </c>
      <c r="X144" s="16" t="str">
        <f t="shared" si="17"/>
        <v/>
      </c>
      <c r="Y144" s="16" t="str">
        <f t="shared" si="18"/>
        <v/>
      </c>
      <c r="AA144" s="16" t="e">
        <f t="shared" si="19"/>
        <v>#N/A</v>
      </c>
      <c r="AB144" s="16" t="e">
        <f t="shared" si="20"/>
        <v>#N/A</v>
      </c>
      <c r="AP144" s="16" t="str">
        <f>IF(ISNA(P146),"",IF($AE$102=0,P146,ROUND(P146/$AE$102,0)))</f>
        <v/>
      </c>
      <c r="AQ144" s="16" t="e">
        <f>IF(AP144="",NA(),COUNTIF(AP144:$AP$286,AP144))</f>
        <v>#N/A</v>
      </c>
      <c r="AR144" s="16" t="e">
        <f>(AQ144-1)*$AE$105</f>
        <v>#N/A</v>
      </c>
      <c r="AS144" s="16" t="e">
        <f t="shared" si="21"/>
        <v>#N/A</v>
      </c>
      <c r="AT144" s="16" t="str">
        <f t="shared" si="22"/>
        <v/>
      </c>
      <c r="AU144" s="16" t="str">
        <f t="shared" si="23"/>
        <v/>
      </c>
      <c r="AV144" s="16" t="e">
        <f>IF(AU144="",NA(),COUNTIF(AU144:$AU$188,AU144))</f>
        <v>#N/A</v>
      </c>
      <c r="AW144" s="16" t="e">
        <f t="shared" si="24"/>
        <v>#N/A</v>
      </c>
      <c r="BG144" s="756">
        <v>137</v>
      </c>
      <c r="BH144" s="761"/>
      <c r="BI144" s="762"/>
      <c r="BJ144" s="824"/>
      <c r="BL144" s="756">
        <v>137</v>
      </c>
      <c r="BM144" s="761"/>
      <c r="BN144" s="762"/>
      <c r="BO144" s="824"/>
      <c r="BQ144" s="756">
        <v>137</v>
      </c>
      <c r="BR144" s="761"/>
      <c r="BS144" s="762"/>
      <c r="BT144" s="824"/>
    </row>
    <row r="145" spans="5:72" ht="12" customHeight="1">
      <c r="E145" s="621">
        <v>137</v>
      </c>
      <c r="F145" s="761"/>
      <c r="G145" s="762"/>
      <c r="H145" s="680"/>
      <c r="I145" s="764" t="str">
        <f t="shared" si="25"/>
        <v/>
      </c>
      <c r="J145" s="595"/>
      <c r="K145"/>
      <c r="L145" s="197"/>
      <c r="O145" s="820" t="e">
        <f>$W$23+IF($AN$85,AO143,0)</f>
        <v>#N/A</v>
      </c>
      <c r="P145" s="821" t="e">
        <f>IF(X145="",NA(),IF($AN$85,X145,T145))</f>
        <v>#N/A</v>
      </c>
      <c r="Q145" s="822"/>
      <c r="T145" s="16" t="e">
        <f>IF(AND(F37&lt;&gt;"",$X$5,$X$2),F37,NA())</f>
        <v>#N/A</v>
      </c>
      <c r="V145" s="16" t="str">
        <f>IF(ISNA(T145),"",IF($AE$102=0,T145,ROUND(T145/$AE$102,0)))</f>
        <v/>
      </c>
      <c r="X145" s="16" t="str">
        <f t="shared" si="17"/>
        <v/>
      </c>
      <c r="Y145" s="16" t="str">
        <f t="shared" si="18"/>
        <v/>
      </c>
      <c r="AA145" s="16" t="e">
        <f t="shared" si="19"/>
        <v>#N/A</v>
      </c>
      <c r="AB145" s="16" t="e">
        <f t="shared" si="20"/>
        <v>#N/A</v>
      </c>
      <c r="AM145" s="16" t="str">
        <f>IF(ISNA(P147),"",IF($AE$102=0,P147,ROUND(P147/$AE$102,0)))</f>
        <v/>
      </c>
      <c r="AN145" s="16" t="e">
        <f>IF(AM145="",NA(),COUNTIF(AM145:$AM$286,AM145))</f>
        <v>#N/A</v>
      </c>
      <c r="AO145" s="16" t="e">
        <f>(AN145-1)*$AE$105</f>
        <v>#N/A</v>
      </c>
      <c r="AS145" s="16" t="e">
        <f t="shared" si="21"/>
        <v>#N/A</v>
      </c>
      <c r="AT145" s="16" t="str">
        <f t="shared" si="22"/>
        <v/>
      </c>
      <c r="AU145" s="16" t="str">
        <f t="shared" si="23"/>
        <v/>
      </c>
      <c r="AV145" s="16" t="e">
        <f>IF(AU145="",NA(),COUNTIF(AU145:$AU$188,AU145))</f>
        <v>#N/A</v>
      </c>
      <c r="AW145" s="16" t="e">
        <f t="shared" si="24"/>
        <v>#N/A</v>
      </c>
      <c r="BG145" s="756">
        <v>138</v>
      </c>
      <c r="BH145" s="761"/>
      <c r="BI145" s="762"/>
      <c r="BJ145" s="824"/>
      <c r="BL145" s="756">
        <v>138</v>
      </c>
      <c r="BM145" s="761"/>
      <c r="BN145" s="762"/>
      <c r="BO145" s="824"/>
      <c r="BQ145" s="756">
        <v>138</v>
      </c>
      <c r="BR145" s="761"/>
      <c r="BS145" s="762"/>
      <c r="BT145" s="824"/>
    </row>
    <row r="146" spans="5:72" ht="12" customHeight="1">
      <c r="E146" s="621">
        <v>138</v>
      </c>
      <c r="F146" s="761"/>
      <c r="G146" s="762"/>
      <c r="H146" s="680"/>
      <c r="I146" s="764" t="str">
        <f t="shared" si="25"/>
        <v/>
      </c>
      <c r="J146" s="595"/>
      <c r="K146"/>
      <c r="L146" s="197"/>
      <c r="O146" s="246" t="e">
        <f>$W$24-IF($AN$85,AR144,0)</f>
        <v>#N/A</v>
      </c>
      <c r="P146" s="823" t="e">
        <f>IF(Y146="",NA(),IF($AN$85,Y146,U146))</f>
        <v>#N/A</v>
      </c>
      <c r="Q146" s="822"/>
      <c r="U146" s="16" t="e">
        <f>IF(AND(G37&lt;&gt;"",$X$5,$X$2),G37,NA())</f>
        <v>#N/A</v>
      </c>
      <c r="W146" s="16" t="str">
        <f>IF(ISNA(U146),"",IF($AE$102=0,U146,ROUND(U146/$AE$102,0)))</f>
        <v/>
      </c>
      <c r="X146" s="16" t="str">
        <f t="shared" si="17"/>
        <v/>
      </c>
      <c r="Y146" s="16" t="str">
        <f t="shared" si="18"/>
        <v/>
      </c>
      <c r="AA146" s="16" t="e">
        <f t="shared" si="19"/>
        <v>#N/A</v>
      </c>
      <c r="AB146" s="16" t="e">
        <f t="shared" si="20"/>
        <v>#N/A</v>
      </c>
      <c r="AP146" s="16" t="str">
        <f>IF(ISNA(P148),"",IF($AE$102=0,P148,ROUND(P148/$AE$102,0)))</f>
        <v/>
      </c>
      <c r="AQ146" s="16" t="e">
        <f>IF(AP146="",NA(),COUNTIF(AP146:$AP$286,AP146))</f>
        <v>#N/A</v>
      </c>
      <c r="AR146" s="16" t="e">
        <f>(AQ146-1)*$AE$105</f>
        <v>#N/A</v>
      </c>
      <c r="AS146" s="16" t="e">
        <f t="shared" si="21"/>
        <v>#N/A</v>
      </c>
      <c r="AT146" s="16" t="str">
        <f t="shared" si="22"/>
        <v/>
      </c>
      <c r="AU146" s="16" t="str">
        <f t="shared" si="23"/>
        <v/>
      </c>
      <c r="AV146" s="16" t="e">
        <f>IF(AU146="",NA(),COUNTIF(AU146:$AU$188,AU146))</f>
        <v>#N/A</v>
      </c>
      <c r="AW146" s="16" t="e">
        <f t="shared" si="24"/>
        <v>#N/A</v>
      </c>
      <c r="BG146" s="756">
        <v>139</v>
      </c>
      <c r="BH146" s="761"/>
      <c r="BI146" s="762"/>
      <c r="BJ146" s="824"/>
      <c r="BL146" s="756">
        <v>139</v>
      </c>
      <c r="BM146" s="761"/>
      <c r="BN146" s="762"/>
      <c r="BO146" s="824"/>
      <c r="BQ146" s="756">
        <v>139</v>
      </c>
      <c r="BR146" s="761"/>
      <c r="BS146" s="762"/>
      <c r="BT146" s="824"/>
    </row>
    <row r="147" spans="5:72" ht="12" customHeight="1">
      <c r="E147" s="621">
        <v>139</v>
      </c>
      <c r="F147" s="761"/>
      <c r="G147" s="762"/>
      <c r="H147" s="680"/>
      <c r="I147" s="764" t="str">
        <f t="shared" si="25"/>
        <v/>
      </c>
      <c r="J147" s="595"/>
      <c r="K147"/>
      <c r="L147" s="197"/>
      <c r="O147" s="820" t="e">
        <f>$W$23+IF($AN$85,AO145,0)</f>
        <v>#N/A</v>
      </c>
      <c r="P147" s="821" t="e">
        <f>IF(X147="",NA(),IF($AN$85,X147,T147))</f>
        <v>#N/A</v>
      </c>
      <c r="Q147" s="822"/>
      <c r="T147" s="16" t="e">
        <f>IF(AND(F38&lt;&gt;"",$X$5,$X$2),F38,NA())</f>
        <v>#N/A</v>
      </c>
      <c r="V147" s="16" t="str">
        <f>IF(ISNA(T147),"",IF($AE$102=0,T147,ROUND(T147/$AE$102,0)))</f>
        <v/>
      </c>
      <c r="X147" s="16" t="str">
        <f t="shared" si="17"/>
        <v/>
      </c>
      <c r="Y147" s="16" t="str">
        <f t="shared" si="18"/>
        <v/>
      </c>
      <c r="AA147" s="16" t="e">
        <f t="shared" si="19"/>
        <v>#N/A</v>
      </c>
      <c r="AB147" s="16" t="e">
        <f t="shared" si="20"/>
        <v>#N/A</v>
      </c>
      <c r="AM147" s="16" t="str">
        <f>IF(ISNA(P149),"",IF($AE$102=0,P149,ROUND(P149/$AE$102,0)))</f>
        <v/>
      </c>
      <c r="AN147" s="16" t="e">
        <f>IF(AM147="",NA(),COUNTIF(AM147:$AM$286,AM147))</f>
        <v>#N/A</v>
      </c>
      <c r="AO147" s="16" t="e">
        <f>(AN147-1)*$AE$105</f>
        <v>#N/A</v>
      </c>
      <c r="AS147" s="16" t="e">
        <f t="shared" si="21"/>
        <v>#N/A</v>
      </c>
      <c r="AT147" s="16" t="str">
        <f t="shared" si="22"/>
        <v/>
      </c>
      <c r="AU147" s="16" t="str">
        <f t="shared" si="23"/>
        <v/>
      </c>
      <c r="AV147" s="16" t="e">
        <f>IF(AU147="",NA(),COUNTIF(AU147:$AU$188,AU147))</f>
        <v>#N/A</v>
      </c>
      <c r="AW147" s="16" t="e">
        <f t="shared" si="24"/>
        <v>#N/A</v>
      </c>
      <c r="BG147" s="756">
        <v>140</v>
      </c>
      <c r="BH147" s="761"/>
      <c r="BI147" s="762"/>
      <c r="BJ147" s="824"/>
      <c r="BL147" s="756">
        <v>140</v>
      </c>
      <c r="BM147" s="761"/>
      <c r="BN147" s="762"/>
      <c r="BO147" s="824"/>
      <c r="BQ147" s="756">
        <v>140</v>
      </c>
      <c r="BR147" s="761"/>
      <c r="BS147" s="762"/>
      <c r="BT147" s="824"/>
    </row>
    <row r="148" spans="5:72" ht="12" customHeight="1">
      <c r="E148" s="621">
        <v>140</v>
      </c>
      <c r="F148" s="761"/>
      <c r="G148" s="762"/>
      <c r="H148" s="680"/>
      <c r="I148" s="764" t="str">
        <f t="shared" si="25"/>
        <v/>
      </c>
      <c r="J148" s="595"/>
      <c r="K148"/>
      <c r="L148" s="197"/>
      <c r="O148" s="246" t="e">
        <f>$W$24-IF($AN$85,AR146,0)</f>
        <v>#N/A</v>
      </c>
      <c r="P148" s="823" t="e">
        <f>IF(Y148="",NA(),IF($AN$85,Y148,U148))</f>
        <v>#N/A</v>
      </c>
      <c r="Q148" s="822"/>
      <c r="U148" s="16" t="e">
        <f>IF(AND(G38&lt;&gt;"",$X$5,$X$2),G38,NA())</f>
        <v>#N/A</v>
      </c>
      <c r="W148" s="16" t="str">
        <f>IF(ISNA(U148),"",IF($AE$102=0,U148,ROUND(U148/$AE$102,0)))</f>
        <v/>
      </c>
      <c r="X148" s="16" t="str">
        <f t="shared" si="17"/>
        <v/>
      </c>
      <c r="Y148" s="16" t="str">
        <f t="shared" si="18"/>
        <v/>
      </c>
      <c r="AA148" s="16" t="e">
        <f t="shared" si="19"/>
        <v>#N/A</v>
      </c>
      <c r="AB148" s="16" t="e">
        <f t="shared" si="20"/>
        <v>#N/A</v>
      </c>
      <c r="AP148" s="16" t="str">
        <f>IF(ISNA(P150),"",IF($AE$102=0,P150,ROUND(P150/$AE$102,0)))</f>
        <v/>
      </c>
      <c r="AQ148" s="16" t="e">
        <f>IF(AP148="",NA(),COUNTIF(AP148:$AP$286,AP148))</f>
        <v>#N/A</v>
      </c>
      <c r="AR148" s="16" t="e">
        <f>(AQ148-1)*$AE$105</f>
        <v>#N/A</v>
      </c>
      <c r="AS148" s="16" t="e">
        <f t="shared" si="21"/>
        <v>#N/A</v>
      </c>
      <c r="AT148" s="16" t="str">
        <f t="shared" si="22"/>
        <v/>
      </c>
      <c r="AU148" s="16" t="str">
        <f t="shared" si="23"/>
        <v/>
      </c>
      <c r="AV148" s="16" t="e">
        <f>IF(AU148="",NA(),COUNTIF(AU148:$AU$188,AU148))</f>
        <v>#N/A</v>
      </c>
      <c r="AW148" s="16" t="e">
        <f t="shared" si="24"/>
        <v>#N/A</v>
      </c>
      <c r="BG148" s="756">
        <v>141</v>
      </c>
      <c r="BH148" s="761"/>
      <c r="BI148" s="762"/>
      <c r="BJ148" s="824"/>
      <c r="BL148" s="756">
        <v>141</v>
      </c>
      <c r="BM148" s="761"/>
      <c r="BN148" s="762"/>
      <c r="BO148" s="824"/>
      <c r="BQ148" s="756">
        <v>141</v>
      </c>
      <c r="BR148" s="761"/>
      <c r="BS148" s="762"/>
      <c r="BT148" s="824"/>
    </row>
    <row r="149" spans="5:72" ht="12" customHeight="1">
      <c r="E149" s="621">
        <v>141</v>
      </c>
      <c r="F149" s="761"/>
      <c r="G149" s="762"/>
      <c r="H149" s="680"/>
      <c r="I149" s="764" t="str">
        <f t="shared" si="25"/>
        <v/>
      </c>
      <c r="J149" s="595"/>
      <c r="K149"/>
      <c r="L149" s="197"/>
      <c r="O149" s="820" t="e">
        <f>$W$23+IF($AN$85,AO147,0)</f>
        <v>#N/A</v>
      </c>
      <c r="P149" s="821" t="e">
        <f>IF(X149="",NA(),IF($AN$85,X149,T149))</f>
        <v>#N/A</v>
      </c>
      <c r="Q149" s="822"/>
      <c r="T149" s="16" t="e">
        <f>IF(AND(F39&lt;&gt;"",$X$5,$X$2),F39,NA())</f>
        <v>#N/A</v>
      </c>
      <c r="V149" s="16" t="str">
        <f>IF(ISNA(T149),"",IF($AE$102=0,T149,ROUND(T149/$AE$102,0)))</f>
        <v/>
      </c>
      <c r="X149" s="16" t="str">
        <f t="shared" si="17"/>
        <v/>
      </c>
      <c r="Y149" s="16" t="str">
        <f t="shared" si="18"/>
        <v/>
      </c>
      <c r="AA149" s="16" t="e">
        <f t="shared" si="19"/>
        <v>#N/A</v>
      </c>
      <c r="AB149" s="16" t="e">
        <f t="shared" si="20"/>
        <v>#N/A</v>
      </c>
      <c r="AM149" s="16" t="str">
        <f>IF(ISNA(P151),"",IF($AE$102=0,P151,ROUND(P151/$AE$102,0)))</f>
        <v/>
      </c>
      <c r="AN149" s="16" t="e">
        <f>IF(AM149="",NA(),COUNTIF(AM149:$AM$286,AM149))</f>
        <v>#N/A</v>
      </c>
      <c r="AO149" s="16" t="e">
        <f>(AN149-1)*$AE$105</f>
        <v>#N/A</v>
      </c>
      <c r="AS149" s="16" t="e">
        <f t="shared" si="21"/>
        <v>#N/A</v>
      </c>
      <c r="AT149" s="16" t="str">
        <f t="shared" si="22"/>
        <v/>
      </c>
      <c r="AU149" s="16" t="str">
        <f t="shared" si="23"/>
        <v/>
      </c>
      <c r="AV149" s="16" t="e">
        <f>IF(AU149="",NA(),COUNTIF(AU149:$AU$188,AU149))</f>
        <v>#N/A</v>
      </c>
      <c r="AW149" s="16" t="e">
        <f t="shared" si="24"/>
        <v>#N/A</v>
      </c>
      <c r="BG149" s="756">
        <v>142</v>
      </c>
      <c r="BH149" s="761"/>
      <c r="BI149" s="762"/>
      <c r="BJ149" s="824"/>
      <c r="BL149" s="756">
        <v>142</v>
      </c>
      <c r="BM149" s="761"/>
      <c r="BN149" s="762"/>
      <c r="BO149" s="824"/>
      <c r="BQ149" s="756">
        <v>142</v>
      </c>
      <c r="BR149" s="761"/>
      <c r="BS149" s="762"/>
      <c r="BT149" s="824"/>
    </row>
    <row r="150" spans="5:72" ht="12" customHeight="1">
      <c r="E150" s="621">
        <v>142</v>
      </c>
      <c r="F150" s="761"/>
      <c r="G150" s="762"/>
      <c r="H150" s="680"/>
      <c r="I150" s="764" t="str">
        <f t="shared" si="25"/>
        <v/>
      </c>
      <c r="J150" s="595"/>
      <c r="K150"/>
      <c r="L150" s="197"/>
      <c r="O150" s="246" t="e">
        <f>$W$24-IF($AN$85,AR148,0)</f>
        <v>#N/A</v>
      </c>
      <c r="P150" s="823" t="e">
        <f>IF(Y150="",NA(),IF($AN$85,Y150,U150))</f>
        <v>#N/A</v>
      </c>
      <c r="Q150" s="822"/>
      <c r="U150" s="16" t="e">
        <f>IF(AND(G39&lt;&gt;"",$X$5,$X$2),G39,NA())</f>
        <v>#N/A</v>
      </c>
      <c r="W150" s="16" t="str">
        <f>IF(ISNA(U150),"",IF($AE$102=0,U150,ROUND(U150/$AE$102,0)))</f>
        <v/>
      </c>
      <c r="X150" s="16" t="str">
        <f t="shared" si="17"/>
        <v/>
      </c>
      <c r="Y150" s="16" t="str">
        <f t="shared" si="18"/>
        <v/>
      </c>
      <c r="AA150" s="16" t="e">
        <f t="shared" si="19"/>
        <v>#N/A</v>
      </c>
      <c r="AB150" s="16" t="e">
        <f t="shared" si="20"/>
        <v>#N/A</v>
      </c>
      <c r="AP150" s="16" t="str">
        <f>IF(ISNA(P152),"",IF($AE$102=0,P152,ROUND(P152/$AE$102,0)))</f>
        <v/>
      </c>
      <c r="AQ150" s="16" t="e">
        <f>IF(AP150="",NA(),COUNTIF(AP150:$AP$286,AP150))</f>
        <v>#N/A</v>
      </c>
      <c r="AR150" s="16" t="e">
        <f>(AQ150-1)*$AE$105</f>
        <v>#N/A</v>
      </c>
      <c r="AS150" s="16" t="e">
        <f t="shared" si="21"/>
        <v>#N/A</v>
      </c>
      <c r="AT150" s="16" t="str">
        <f t="shared" si="22"/>
        <v/>
      </c>
      <c r="AU150" s="16" t="str">
        <f t="shared" si="23"/>
        <v/>
      </c>
      <c r="AV150" s="16" t="e">
        <f>IF(AU150="",NA(),COUNTIF(AU150:$AU$188,AU150))</f>
        <v>#N/A</v>
      </c>
      <c r="AW150" s="16" t="e">
        <f t="shared" si="24"/>
        <v>#N/A</v>
      </c>
      <c r="BG150" s="756">
        <v>143</v>
      </c>
      <c r="BH150" s="761"/>
      <c r="BI150" s="762"/>
      <c r="BJ150" s="824"/>
      <c r="BL150" s="756">
        <v>143</v>
      </c>
      <c r="BM150" s="761"/>
      <c r="BN150" s="762"/>
      <c r="BO150" s="824"/>
      <c r="BQ150" s="756">
        <v>143</v>
      </c>
      <c r="BR150" s="761"/>
      <c r="BS150" s="762"/>
      <c r="BT150" s="824"/>
    </row>
    <row r="151" spans="5:72" ht="12" customHeight="1">
      <c r="E151" s="621">
        <v>143</v>
      </c>
      <c r="F151" s="761"/>
      <c r="G151" s="762"/>
      <c r="H151" s="680"/>
      <c r="I151" s="764" t="str">
        <f t="shared" si="25"/>
        <v/>
      </c>
      <c r="J151" s="595"/>
      <c r="K151"/>
      <c r="L151" s="197"/>
      <c r="O151" s="820" t="e">
        <f>$W$23+IF($AN$85,AO149,0)</f>
        <v>#N/A</v>
      </c>
      <c r="P151" s="821" t="e">
        <f>IF(X151="",NA(),IF($AN$85,X151,T151))</f>
        <v>#N/A</v>
      </c>
      <c r="Q151" s="822"/>
      <c r="T151" s="16" t="e">
        <f>IF(AND(F40&lt;&gt;"",$X$5,$X$2),F40,NA())</f>
        <v>#N/A</v>
      </c>
      <c r="V151" s="16" t="str">
        <f>IF(ISNA(T151),"",IF($AE$102=0,T151,ROUND(T151/$AE$102,0)))</f>
        <v/>
      </c>
      <c r="X151" s="16" t="str">
        <f t="shared" si="17"/>
        <v/>
      </c>
      <c r="Y151" s="16" t="str">
        <f t="shared" si="18"/>
        <v/>
      </c>
      <c r="AA151" s="16" t="e">
        <f t="shared" si="19"/>
        <v>#N/A</v>
      </c>
      <c r="AB151" s="16" t="e">
        <f t="shared" si="20"/>
        <v>#N/A</v>
      </c>
      <c r="AM151" s="16" t="str">
        <f>IF(ISNA(P153),"",IF($AE$102=0,P153,ROUND(P153/$AE$102,0)))</f>
        <v/>
      </c>
      <c r="AN151" s="16" t="e">
        <f>IF(AM151="",NA(),COUNTIF(AM151:$AM$286,AM151))</f>
        <v>#N/A</v>
      </c>
      <c r="AO151" s="16" t="e">
        <f>(AN151-1)*$AE$105</f>
        <v>#N/A</v>
      </c>
      <c r="AS151" s="16" t="e">
        <f t="shared" si="21"/>
        <v>#N/A</v>
      </c>
      <c r="AT151" s="16" t="str">
        <f t="shared" si="22"/>
        <v/>
      </c>
      <c r="AU151" s="16" t="str">
        <f t="shared" si="23"/>
        <v/>
      </c>
      <c r="AV151" s="16" t="e">
        <f>IF(AU151="",NA(),COUNTIF(AU151:$AU$188,AU151))</f>
        <v>#N/A</v>
      </c>
      <c r="AW151" s="16" t="e">
        <f t="shared" si="24"/>
        <v>#N/A</v>
      </c>
      <c r="BG151" s="756">
        <v>144</v>
      </c>
      <c r="BH151" s="761"/>
      <c r="BI151" s="762"/>
      <c r="BJ151" s="824"/>
      <c r="BL151" s="756">
        <v>144</v>
      </c>
      <c r="BM151" s="761"/>
      <c r="BN151" s="762"/>
      <c r="BO151" s="824"/>
      <c r="BQ151" s="756">
        <v>144</v>
      </c>
      <c r="BR151" s="761"/>
      <c r="BS151" s="762"/>
      <c r="BT151" s="824"/>
    </row>
    <row r="152" spans="5:72" ht="12" customHeight="1">
      <c r="E152" s="621">
        <v>144</v>
      </c>
      <c r="F152" s="761"/>
      <c r="G152" s="762"/>
      <c r="H152" s="680"/>
      <c r="I152" s="764" t="str">
        <f t="shared" si="25"/>
        <v/>
      </c>
      <c r="J152" s="595"/>
      <c r="K152"/>
      <c r="L152" s="197"/>
      <c r="O152" s="246" t="e">
        <f>$W$24-IF($AN$85,AR150,0)</f>
        <v>#N/A</v>
      </c>
      <c r="P152" s="823" t="e">
        <f>IF(Y152="",NA(),IF($AN$85,Y152,U152))</f>
        <v>#N/A</v>
      </c>
      <c r="Q152" s="822"/>
      <c r="U152" s="16" t="e">
        <f>IF(AND(G40&lt;&gt;"",$X$5,$X$2),G40,NA())</f>
        <v>#N/A</v>
      </c>
      <c r="W152" s="16" t="str">
        <f>IF(ISNA(U152),"",IF($AE$102=0,U152,ROUND(U152/$AE$102,0)))</f>
        <v/>
      </c>
      <c r="X152" s="16" t="str">
        <f t="shared" si="17"/>
        <v/>
      </c>
      <c r="Y152" s="16" t="str">
        <f t="shared" si="18"/>
        <v/>
      </c>
      <c r="AA152" s="16" t="e">
        <f t="shared" si="19"/>
        <v>#N/A</v>
      </c>
      <c r="AB152" s="16" t="e">
        <f t="shared" si="20"/>
        <v>#N/A</v>
      </c>
      <c r="AP152" s="16" t="str">
        <f>IF(ISNA(P154),"",IF($AE$102=0,P154,ROUND(P154/$AE$102,0)))</f>
        <v/>
      </c>
      <c r="AQ152" s="16" t="e">
        <f>IF(AP152="",NA(),COUNTIF(AP152:$AP$286,AP152))</f>
        <v>#N/A</v>
      </c>
      <c r="AR152" s="16" t="e">
        <f>(AQ152-1)*$AE$105</f>
        <v>#N/A</v>
      </c>
      <c r="AS152" s="16" t="e">
        <f t="shared" si="21"/>
        <v>#N/A</v>
      </c>
      <c r="AT152" s="16" t="str">
        <f t="shared" si="22"/>
        <v/>
      </c>
      <c r="AU152" s="16" t="str">
        <f t="shared" si="23"/>
        <v/>
      </c>
      <c r="AV152" s="16" t="e">
        <f>IF(AU152="",NA(),COUNTIF(AU152:$AU$188,AU152))</f>
        <v>#N/A</v>
      </c>
      <c r="AW152" s="16" t="e">
        <f t="shared" si="24"/>
        <v>#N/A</v>
      </c>
      <c r="BG152" s="756">
        <v>145</v>
      </c>
      <c r="BH152" s="761"/>
      <c r="BI152" s="762"/>
      <c r="BJ152" s="824"/>
      <c r="BL152" s="756">
        <v>145</v>
      </c>
      <c r="BM152" s="761"/>
      <c r="BN152" s="762"/>
      <c r="BO152" s="824"/>
      <c r="BQ152" s="756">
        <v>145</v>
      </c>
      <c r="BR152" s="761"/>
      <c r="BS152" s="762"/>
      <c r="BT152" s="824"/>
    </row>
    <row r="153" spans="5:72" ht="12" customHeight="1">
      <c r="E153" s="621">
        <v>145</v>
      </c>
      <c r="F153" s="761"/>
      <c r="G153" s="762"/>
      <c r="H153" s="680"/>
      <c r="I153" s="764" t="str">
        <f t="shared" si="25"/>
        <v/>
      </c>
      <c r="J153" s="595"/>
      <c r="K153"/>
      <c r="L153" s="197"/>
      <c r="O153" s="820" t="e">
        <f>$W$23+IF($AN$85,AO151,0)</f>
        <v>#N/A</v>
      </c>
      <c r="P153" s="821" t="e">
        <f>IF(X153="",NA(),IF($AN$85,X153,T153))</f>
        <v>#N/A</v>
      </c>
      <c r="Q153" s="822"/>
      <c r="T153" s="16" t="e">
        <f>IF(AND(F41&lt;&gt;"",$X$5,$X$2),F41,NA())</f>
        <v>#N/A</v>
      </c>
      <c r="V153" s="16" t="str">
        <f>IF(ISNA(T153),"",IF($AE$102=0,T153,ROUND(T153/$AE$102,0)))</f>
        <v/>
      </c>
      <c r="X153" s="16" t="str">
        <f t="shared" ref="X153:X184" si="26">IF(V153="","",IF($AE$102=0,T153,V153*$AE$102))</f>
        <v/>
      </c>
      <c r="Y153" s="16" t="str">
        <f t="shared" ref="Y153:Y184" si="27">IF(W153="","",IF($AE$102=0,U153,W153*$AE$102))</f>
        <v/>
      </c>
      <c r="AA153" s="16" t="e">
        <f t="shared" ref="AA153:AA188" si="28">3.9-IF($AN$85,AW153,0)</f>
        <v>#N/A</v>
      </c>
      <c r="AB153" s="16" t="e">
        <f t="shared" ref="AB153:AB188" si="29">IF(AT153="",NA(),IF($AN$85,AT153,AS153))</f>
        <v>#N/A</v>
      </c>
      <c r="AM153" s="16" t="str">
        <f>IF(ISNA(P155),"",IF($AE$102=0,P155,ROUND(P155/$AE$102,0)))</f>
        <v/>
      </c>
      <c r="AN153" s="16" t="e">
        <f>IF(AM153="",NA(),COUNTIF(AM153:$AM$286,AM153))</f>
        <v>#N/A</v>
      </c>
      <c r="AO153" s="16" t="e">
        <f>(AN153-1)*$AE$105</f>
        <v>#N/A</v>
      </c>
      <c r="AS153" s="16" t="e">
        <f t="shared" ref="AS153:AS184" si="30">IF(AND(I73&lt;&gt;"",$X$6,$X$2),$M$16+I73,NA())</f>
        <v>#N/A</v>
      </c>
      <c r="AT153" s="16" t="str">
        <f t="shared" ref="AT153:AT184" si="31">IF(AU153="","",IF($AE$102=0,AS153,AU153*$AE$102))</f>
        <v/>
      </c>
      <c r="AU153" s="16" t="str">
        <f t="shared" ref="AU153:AU188" si="32">IF(ISNA(AS153),"",IF($AE$102=0,AS153,ROUND(AS153/$AE$102,0)))</f>
        <v/>
      </c>
      <c r="AV153" s="16" t="e">
        <f>IF(AU153="",NA(),COUNTIF(AU153:$AU$188,AU153))</f>
        <v>#N/A</v>
      </c>
      <c r="AW153" s="16" t="e">
        <f t="shared" ref="AW153:AW184" si="33">(AV153-1)*$AE$105*$AW$87</f>
        <v>#N/A</v>
      </c>
      <c r="BG153" s="756">
        <v>146</v>
      </c>
      <c r="BH153" s="761"/>
      <c r="BI153" s="762"/>
      <c r="BJ153" s="824"/>
      <c r="BL153" s="756">
        <v>146</v>
      </c>
      <c r="BM153" s="761"/>
      <c r="BN153" s="762"/>
      <c r="BO153" s="824"/>
      <c r="BQ153" s="756">
        <v>146</v>
      </c>
      <c r="BR153" s="761"/>
      <c r="BS153" s="762"/>
      <c r="BT153" s="824"/>
    </row>
    <row r="154" spans="5:72" ht="12" customHeight="1">
      <c r="E154" s="621">
        <v>146</v>
      </c>
      <c r="F154" s="761"/>
      <c r="G154" s="762"/>
      <c r="H154" s="680"/>
      <c r="I154" s="764" t="str">
        <f t="shared" si="25"/>
        <v/>
      </c>
      <c r="J154" s="595"/>
      <c r="K154"/>
      <c r="L154" s="197"/>
      <c r="O154" s="246" t="e">
        <f>$W$24-IF($AN$85,AR152,0)</f>
        <v>#N/A</v>
      </c>
      <c r="P154" s="823" t="e">
        <f>IF(Y154="",NA(),IF($AN$85,Y154,U154))</f>
        <v>#N/A</v>
      </c>
      <c r="Q154" s="822"/>
      <c r="U154" s="16" t="e">
        <f>IF(AND(G41&lt;&gt;"",$X$5,$X$2),G41,NA())</f>
        <v>#N/A</v>
      </c>
      <c r="W154" s="16" t="str">
        <f>IF(ISNA(U154),"",IF($AE$102=0,U154,ROUND(U154/$AE$102,0)))</f>
        <v/>
      </c>
      <c r="X154" s="16" t="str">
        <f t="shared" si="26"/>
        <v/>
      </c>
      <c r="Y154" s="16" t="str">
        <f t="shared" si="27"/>
        <v/>
      </c>
      <c r="AA154" s="16" t="e">
        <f t="shared" si="28"/>
        <v>#N/A</v>
      </c>
      <c r="AB154" s="16" t="e">
        <f t="shared" si="29"/>
        <v>#N/A</v>
      </c>
      <c r="AP154" s="16" t="str">
        <f>IF(ISNA(P156),"",IF($AE$102=0,P156,ROUND(P156/$AE$102,0)))</f>
        <v/>
      </c>
      <c r="AQ154" s="16" t="e">
        <f>IF(AP154="",NA(),COUNTIF(AP154:$AP$286,AP154))</f>
        <v>#N/A</v>
      </c>
      <c r="AR154" s="16" t="e">
        <f>(AQ154-1)*$AE$105</f>
        <v>#N/A</v>
      </c>
      <c r="AS154" s="16" t="e">
        <f t="shared" si="30"/>
        <v>#N/A</v>
      </c>
      <c r="AT154" s="16" t="str">
        <f t="shared" si="31"/>
        <v/>
      </c>
      <c r="AU154" s="16" t="str">
        <f t="shared" si="32"/>
        <v/>
      </c>
      <c r="AV154" s="16" t="e">
        <f>IF(AU154="",NA(),COUNTIF(AU154:$AU$188,AU154))</f>
        <v>#N/A</v>
      </c>
      <c r="AW154" s="16" t="e">
        <f t="shared" si="33"/>
        <v>#N/A</v>
      </c>
      <c r="BG154" s="756">
        <v>147</v>
      </c>
      <c r="BH154" s="761"/>
      <c r="BI154" s="762"/>
      <c r="BJ154" s="824"/>
      <c r="BL154" s="756">
        <v>147</v>
      </c>
      <c r="BM154" s="761"/>
      <c r="BN154" s="762"/>
      <c r="BO154" s="824"/>
      <c r="BQ154" s="756">
        <v>147</v>
      </c>
      <c r="BR154" s="761"/>
      <c r="BS154" s="762"/>
      <c r="BT154" s="824"/>
    </row>
    <row r="155" spans="5:72" ht="12" customHeight="1">
      <c r="E155" s="621">
        <v>147</v>
      </c>
      <c r="F155" s="761"/>
      <c r="G155" s="762"/>
      <c r="H155" s="680"/>
      <c r="I155" s="764" t="str">
        <f t="shared" si="25"/>
        <v/>
      </c>
      <c r="J155" s="595"/>
      <c r="K155"/>
      <c r="L155" s="197"/>
      <c r="O155" s="820" t="e">
        <f>$W$23+IF($AN$85,AO153,0)</f>
        <v>#N/A</v>
      </c>
      <c r="P155" s="821" t="e">
        <f>IF(X155="",NA(),IF($AN$85,X155,T155))</f>
        <v>#N/A</v>
      </c>
      <c r="Q155" s="822"/>
      <c r="T155" s="16" t="e">
        <f>IF(AND(F42&lt;&gt;"",$X$5,$X$2),F42,NA())</f>
        <v>#N/A</v>
      </c>
      <c r="V155" s="16" t="str">
        <f>IF(ISNA(T155),"",IF($AE$102=0,T155,ROUND(T155/$AE$102,0)))</f>
        <v/>
      </c>
      <c r="X155" s="16" t="str">
        <f t="shared" si="26"/>
        <v/>
      </c>
      <c r="Y155" s="16" t="str">
        <f t="shared" si="27"/>
        <v/>
      </c>
      <c r="AA155" s="16" t="e">
        <f t="shared" si="28"/>
        <v>#N/A</v>
      </c>
      <c r="AB155" s="16" t="e">
        <f t="shared" si="29"/>
        <v>#N/A</v>
      </c>
      <c r="AM155" s="16" t="str">
        <f>IF(ISNA(P157),"",IF($AE$102=0,P157,ROUND(P157/$AE$102,0)))</f>
        <v/>
      </c>
      <c r="AN155" s="16" t="e">
        <f>IF(AM155="",NA(),COUNTIF(AM155:$AM$286,AM155))</f>
        <v>#N/A</v>
      </c>
      <c r="AO155" s="16" t="e">
        <f>(AN155-1)*$AE$105</f>
        <v>#N/A</v>
      </c>
      <c r="AS155" s="16" t="e">
        <f t="shared" si="30"/>
        <v>#N/A</v>
      </c>
      <c r="AT155" s="16" t="str">
        <f t="shared" si="31"/>
        <v/>
      </c>
      <c r="AU155" s="16" t="str">
        <f t="shared" si="32"/>
        <v/>
      </c>
      <c r="AV155" s="16" t="e">
        <f>IF(AU155="",NA(),COUNTIF(AU155:$AU$188,AU155))</f>
        <v>#N/A</v>
      </c>
      <c r="AW155" s="16" t="e">
        <f t="shared" si="33"/>
        <v>#N/A</v>
      </c>
      <c r="BG155" s="756">
        <v>148</v>
      </c>
      <c r="BH155" s="761"/>
      <c r="BI155" s="762"/>
      <c r="BJ155" s="824"/>
      <c r="BL155" s="756">
        <v>148</v>
      </c>
      <c r="BM155" s="761"/>
      <c r="BN155" s="762"/>
      <c r="BO155" s="824"/>
      <c r="BQ155" s="756">
        <v>148</v>
      </c>
      <c r="BR155" s="761"/>
      <c r="BS155" s="762"/>
      <c r="BT155" s="824"/>
    </row>
    <row r="156" spans="5:72" ht="12" customHeight="1">
      <c r="E156" s="621">
        <v>148</v>
      </c>
      <c r="F156" s="761"/>
      <c r="G156" s="762"/>
      <c r="H156" s="680"/>
      <c r="I156" s="764" t="str">
        <f t="shared" si="25"/>
        <v/>
      </c>
      <c r="J156" s="595"/>
      <c r="K156"/>
      <c r="L156" s="197"/>
      <c r="O156" s="246" t="e">
        <f>$W$24-IF($AN$85,AR154,0)</f>
        <v>#N/A</v>
      </c>
      <c r="P156" s="823" t="e">
        <f>IF(Y156="",NA(),IF($AN$85,Y156,U156))</f>
        <v>#N/A</v>
      </c>
      <c r="Q156" s="822"/>
      <c r="U156" s="16" t="e">
        <f>IF(AND(G42&lt;&gt;"",$X$5,$X$2),G42,NA())</f>
        <v>#N/A</v>
      </c>
      <c r="W156" s="16" t="str">
        <f>IF(ISNA(U156),"",IF($AE$102=0,U156,ROUND(U156/$AE$102,0)))</f>
        <v/>
      </c>
      <c r="X156" s="16" t="str">
        <f t="shared" si="26"/>
        <v/>
      </c>
      <c r="Y156" s="16" t="str">
        <f t="shared" si="27"/>
        <v/>
      </c>
      <c r="AA156" s="16" t="e">
        <f t="shared" si="28"/>
        <v>#N/A</v>
      </c>
      <c r="AB156" s="16" t="e">
        <f t="shared" si="29"/>
        <v>#N/A</v>
      </c>
      <c r="AP156" s="16" t="str">
        <f>IF(ISNA(P158),"",IF($AE$102=0,P158,ROUND(P158/$AE$102,0)))</f>
        <v/>
      </c>
      <c r="AQ156" s="16" t="e">
        <f>IF(AP156="",NA(),COUNTIF(AP156:$AP$286,AP156))</f>
        <v>#N/A</v>
      </c>
      <c r="AR156" s="16" t="e">
        <f>(AQ156-1)*$AE$105</f>
        <v>#N/A</v>
      </c>
      <c r="AS156" s="16" t="e">
        <f t="shared" si="30"/>
        <v>#N/A</v>
      </c>
      <c r="AT156" s="16" t="str">
        <f t="shared" si="31"/>
        <v/>
      </c>
      <c r="AU156" s="16" t="str">
        <f t="shared" si="32"/>
        <v/>
      </c>
      <c r="AV156" s="16" t="e">
        <f>IF(AU156="",NA(),COUNTIF(AU156:$AU$188,AU156))</f>
        <v>#N/A</v>
      </c>
      <c r="AW156" s="16" t="e">
        <f t="shared" si="33"/>
        <v>#N/A</v>
      </c>
      <c r="BG156" s="756">
        <v>149</v>
      </c>
      <c r="BH156" s="761"/>
      <c r="BI156" s="762"/>
      <c r="BJ156" s="824"/>
      <c r="BL156" s="756">
        <v>149</v>
      </c>
      <c r="BM156" s="761"/>
      <c r="BN156" s="762"/>
      <c r="BO156" s="824"/>
      <c r="BQ156" s="756">
        <v>149</v>
      </c>
      <c r="BR156" s="761"/>
      <c r="BS156" s="762"/>
      <c r="BT156" s="824"/>
    </row>
    <row r="157" spans="5:72" ht="12" customHeight="1">
      <c r="E157" s="621">
        <v>149</v>
      </c>
      <c r="F157" s="761"/>
      <c r="G157" s="762"/>
      <c r="H157" s="680"/>
      <c r="I157" s="764" t="str">
        <f t="shared" si="25"/>
        <v/>
      </c>
      <c r="J157" s="595"/>
      <c r="K157"/>
      <c r="L157" s="197"/>
      <c r="O157" s="820" t="e">
        <f>$W$23+IF($AN$85,AO155,0)</f>
        <v>#N/A</v>
      </c>
      <c r="P157" s="821" t="e">
        <f>IF(X157="",NA(),IF($AN$85,X157,T157))</f>
        <v>#N/A</v>
      </c>
      <c r="Q157" s="822"/>
      <c r="T157" s="16" t="e">
        <f>IF(AND(F43&lt;&gt;"",$X$5,$X$2),F43,NA())</f>
        <v>#N/A</v>
      </c>
      <c r="V157" s="16" t="str">
        <f>IF(ISNA(T157),"",IF($AE$102=0,T157,ROUND(T157/$AE$102,0)))</f>
        <v/>
      </c>
      <c r="X157" s="16" t="str">
        <f t="shared" si="26"/>
        <v/>
      </c>
      <c r="Y157" s="16" t="str">
        <f t="shared" si="27"/>
        <v/>
      </c>
      <c r="AA157" s="16" t="e">
        <f t="shared" si="28"/>
        <v>#N/A</v>
      </c>
      <c r="AB157" s="16" t="e">
        <f t="shared" si="29"/>
        <v>#N/A</v>
      </c>
      <c r="AM157" s="16" t="str">
        <f>IF(ISNA(P159),"",IF($AE$102=0,P159,ROUND(P159/$AE$102,0)))</f>
        <v/>
      </c>
      <c r="AN157" s="16" t="e">
        <f>IF(AM157="",NA(),COUNTIF(AM157:$AM$286,AM157))</f>
        <v>#N/A</v>
      </c>
      <c r="AO157" s="16" t="e">
        <f>(AN157-1)*$AE$105</f>
        <v>#N/A</v>
      </c>
      <c r="AS157" s="16" t="e">
        <f t="shared" si="30"/>
        <v>#N/A</v>
      </c>
      <c r="AT157" s="16" t="str">
        <f t="shared" si="31"/>
        <v/>
      </c>
      <c r="AU157" s="16" t="str">
        <f t="shared" si="32"/>
        <v/>
      </c>
      <c r="AV157" s="16" t="e">
        <f>IF(AU157="",NA(),COUNTIF(AU157:$AU$188,AU157))</f>
        <v>#N/A</v>
      </c>
      <c r="AW157" s="16" t="e">
        <f t="shared" si="33"/>
        <v>#N/A</v>
      </c>
      <c r="BG157" s="756">
        <v>150</v>
      </c>
      <c r="BH157" s="761"/>
      <c r="BI157" s="762"/>
      <c r="BJ157" s="824"/>
      <c r="BL157" s="756">
        <v>150</v>
      </c>
      <c r="BM157" s="761"/>
      <c r="BN157" s="762"/>
      <c r="BO157" s="824"/>
      <c r="BQ157" s="756">
        <v>150</v>
      </c>
      <c r="BR157" s="761"/>
      <c r="BS157" s="762"/>
      <c r="BT157" s="824"/>
    </row>
    <row r="158" spans="5:72" ht="12" customHeight="1">
      <c r="E158" s="621">
        <v>150</v>
      </c>
      <c r="F158" s="761"/>
      <c r="G158" s="762"/>
      <c r="H158" s="680"/>
      <c r="I158" s="764" t="str">
        <f t="shared" si="25"/>
        <v/>
      </c>
      <c r="J158" s="595"/>
      <c r="K158"/>
      <c r="L158" s="197"/>
      <c r="O158" s="246" t="e">
        <f>$W$24-IF($AN$85,AR156,0)</f>
        <v>#N/A</v>
      </c>
      <c r="P158" s="823" t="e">
        <f>IF(Y158="",NA(),IF($AN$85,Y158,U158))</f>
        <v>#N/A</v>
      </c>
      <c r="Q158" s="822"/>
      <c r="U158" s="16" t="e">
        <f>IF(AND(G43&lt;&gt;"",$X$5,$X$2),G43,NA())</f>
        <v>#N/A</v>
      </c>
      <c r="W158" s="16" t="str">
        <f>IF(ISNA(U158),"",IF($AE$102=0,U158,ROUND(U158/$AE$102,0)))</f>
        <v/>
      </c>
      <c r="X158" s="16" t="str">
        <f t="shared" si="26"/>
        <v/>
      </c>
      <c r="Y158" s="16" t="str">
        <f t="shared" si="27"/>
        <v/>
      </c>
      <c r="AA158" s="16" t="e">
        <f t="shared" si="28"/>
        <v>#N/A</v>
      </c>
      <c r="AB158" s="16" t="e">
        <f t="shared" si="29"/>
        <v>#N/A</v>
      </c>
      <c r="AP158" s="16" t="str">
        <f>IF(ISNA(P160),"",IF($AE$102=0,P160,ROUND(P160/$AE$102,0)))</f>
        <v/>
      </c>
      <c r="AQ158" s="16" t="e">
        <f>IF(AP158="",NA(),COUNTIF(AP158:$AP$286,AP158))</f>
        <v>#N/A</v>
      </c>
      <c r="AR158" s="16" t="e">
        <f>(AQ158-1)*$AE$105</f>
        <v>#N/A</v>
      </c>
      <c r="AS158" s="16" t="e">
        <f t="shared" si="30"/>
        <v>#N/A</v>
      </c>
      <c r="AT158" s="16" t="str">
        <f t="shared" si="31"/>
        <v/>
      </c>
      <c r="AU158" s="16" t="str">
        <f t="shared" si="32"/>
        <v/>
      </c>
      <c r="AV158" s="16" t="e">
        <f>IF(AU158="",NA(),COUNTIF(AU158:$AU$188,AU158))</f>
        <v>#N/A</v>
      </c>
      <c r="AW158" s="16" t="e">
        <f t="shared" si="33"/>
        <v>#N/A</v>
      </c>
      <c r="BG158" s="756">
        <v>151</v>
      </c>
      <c r="BH158" s="761"/>
      <c r="BI158" s="762"/>
      <c r="BJ158" s="824"/>
      <c r="BL158" s="756">
        <v>151</v>
      </c>
      <c r="BM158" s="761"/>
      <c r="BN158" s="762"/>
      <c r="BO158" s="824"/>
      <c r="BQ158" s="756">
        <v>151</v>
      </c>
      <c r="BR158" s="761"/>
      <c r="BS158" s="762"/>
      <c r="BT158" s="824"/>
    </row>
    <row r="159" spans="5:72" ht="12" customHeight="1">
      <c r="E159" s="621">
        <v>151</v>
      </c>
      <c r="F159" s="761"/>
      <c r="G159" s="762"/>
      <c r="H159" s="680"/>
      <c r="I159" s="764" t="str">
        <f t="shared" si="25"/>
        <v/>
      </c>
      <c r="J159" s="595"/>
      <c r="K159"/>
      <c r="L159" s="197"/>
      <c r="O159" s="820" t="e">
        <f>$W$23+IF($AN$85,AO157,0)</f>
        <v>#N/A</v>
      </c>
      <c r="P159" s="821" t="e">
        <f>IF(X159="",NA(),IF($AN$85,X159,T159))</f>
        <v>#N/A</v>
      </c>
      <c r="Q159" s="822"/>
      <c r="T159" s="16" t="e">
        <f>IF(AND(F44&lt;&gt;"",$X$5,$X$2),F44,NA())</f>
        <v>#N/A</v>
      </c>
      <c r="V159" s="16" t="str">
        <f>IF(ISNA(T159),"",IF($AE$102=0,T159,ROUND(T159/$AE$102,0)))</f>
        <v/>
      </c>
      <c r="X159" s="16" t="str">
        <f t="shared" si="26"/>
        <v/>
      </c>
      <c r="Y159" s="16" t="str">
        <f t="shared" si="27"/>
        <v/>
      </c>
      <c r="AA159" s="16" t="e">
        <f t="shared" si="28"/>
        <v>#N/A</v>
      </c>
      <c r="AB159" s="16" t="e">
        <f t="shared" si="29"/>
        <v>#N/A</v>
      </c>
      <c r="AM159" s="16" t="str">
        <f>IF(ISNA(P161),"",IF($AE$102=0,P161,ROUND(P161/$AE$102,0)))</f>
        <v/>
      </c>
      <c r="AN159" s="16" t="e">
        <f>IF(AM159="",NA(),COUNTIF(AM159:$AM$286,AM159))</f>
        <v>#N/A</v>
      </c>
      <c r="AO159" s="16" t="e">
        <f>(AN159-1)*$AE$105</f>
        <v>#N/A</v>
      </c>
      <c r="AS159" s="16" t="e">
        <f t="shared" si="30"/>
        <v>#N/A</v>
      </c>
      <c r="AT159" s="16" t="str">
        <f t="shared" si="31"/>
        <v/>
      </c>
      <c r="AU159" s="16" t="str">
        <f t="shared" si="32"/>
        <v/>
      </c>
      <c r="AV159" s="16" t="e">
        <f>IF(AU159="",NA(),COUNTIF(AU159:$AU$188,AU159))</f>
        <v>#N/A</v>
      </c>
      <c r="AW159" s="16" t="e">
        <f t="shared" si="33"/>
        <v>#N/A</v>
      </c>
      <c r="BG159" s="756">
        <v>152</v>
      </c>
      <c r="BH159" s="761"/>
      <c r="BI159" s="762"/>
      <c r="BJ159" s="824"/>
      <c r="BL159" s="756">
        <v>152</v>
      </c>
      <c r="BM159" s="761"/>
      <c r="BN159" s="762"/>
      <c r="BO159" s="824"/>
      <c r="BQ159" s="756">
        <v>152</v>
      </c>
      <c r="BR159" s="761"/>
      <c r="BS159" s="762"/>
      <c r="BT159" s="824"/>
    </row>
    <row r="160" spans="5:72" ht="12" customHeight="1">
      <c r="E160" s="621">
        <v>152</v>
      </c>
      <c r="F160" s="761"/>
      <c r="G160" s="762"/>
      <c r="H160" s="680"/>
      <c r="I160" s="764" t="str">
        <f t="shared" si="25"/>
        <v/>
      </c>
      <c r="J160" s="595"/>
      <c r="K160"/>
      <c r="L160" s="197"/>
      <c r="O160" s="246" t="e">
        <f>$W$24-IF($AN$85,AR158,0)</f>
        <v>#N/A</v>
      </c>
      <c r="P160" s="823" t="e">
        <f>IF(Y160="",NA(),IF($AN$85,Y160,U160))</f>
        <v>#N/A</v>
      </c>
      <c r="Q160" s="822"/>
      <c r="U160" s="16" t="e">
        <f>IF(AND(G44&lt;&gt;"",$X$5,$X$2),G44,NA())</f>
        <v>#N/A</v>
      </c>
      <c r="W160" s="16" t="str">
        <f>IF(ISNA(U160),"",IF($AE$102=0,U160,ROUND(U160/$AE$102,0)))</f>
        <v/>
      </c>
      <c r="X160" s="16" t="str">
        <f t="shared" si="26"/>
        <v/>
      </c>
      <c r="Y160" s="16" t="str">
        <f t="shared" si="27"/>
        <v/>
      </c>
      <c r="AA160" s="16" t="e">
        <f t="shared" si="28"/>
        <v>#N/A</v>
      </c>
      <c r="AB160" s="16" t="e">
        <f t="shared" si="29"/>
        <v>#N/A</v>
      </c>
      <c r="AP160" s="16" t="str">
        <f>IF(ISNA(P162),"",IF($AE$102=0,P162,ROUND(P162/$AE$102,0)))</f>
        <v/>
      </c>
      <c r="AQ160" s="16" t="e">
        <f>IF(AP160="",NA(),COUNTIF(AP160:$AP$286,AP160))</f>
        <v>#N/A</v>
      </c>
      <c r="AR160" s="16" t="e">
        <f>(AQ160-1)*$AE$105</f>
        <v>#N/A</v>
      </c>
      <c r="AS160" s="16" t="e">
        <f t="shared" si="30"/>
        <v>#N/A</v>
      </c>
      <c r="AT160" s="16" t="str">
        <f t="shared" si="31"/>
        <v/>
      </c>
      <c r="AU160" s="16" t="str">
        <f t="shared" si="32"/>
        <v/>
      </c>
      <c r="AV160" s="16" t="e">
        <f>IF(AU160="",NA(),COUNTIF(AU160:$AU$188,AU160))</f>
        <v>#N/A</v>
      </c>
      <c r="AW160" s="16" t="e">
        <f t="shared" si="33"/>
        <v>#N/A</v>
      </c>
      <c r="BG160" s="756">
        <v>153</v>
      </c>
      <c r="BH160" s="761"/>
      <c r="BI160" s="762"/>
      <c r="BJ160" s="824"/>
      <c r="BL160" s="756">
        <v>153</v>
      </c>
      <c r="BM160" s="761"/>
      <c r="BN160" s="762"/>
      <c r="BO160" s="824"/>
      <c r="BQ160" s="756">
        <v>153</v>
      </c>
      <c r="BR160" s="761"/>
      <c r="BS160" s="762"/>
      <c r="BT160" s="824"/>
    </row>
    <row r="161" spans="5:72" ht="12" customHeight="1">
      <c r="E161" s="621">
        <v>153</v>
      </c>
      <c r="F161" s="761"/>
      <c r="G161" s="762"/>
      <c r="H161" s="680"/>
      <c r="I161" s="764" t="str">
        <f t="shared" si="25"/>
        <v/>
      </c>
      <c r="J161" s="595"/>
      <c r="K161"/>
      <c r="L161" s="197"/>
      <c r="O161" s="820" t="e">
        <f>$W$23+IF($AN$85,AO159,0)</f>
        <v>#N/A</v>
      </c>
      <c r="P161" s="821" t="e">
        <f>IF(X161="",NA(),IF($AN$85,X161,T161))</f>
        <v>#N/A</v>
      </c>
      <c r="Q161" s="822"/>
      <c r="T161" s="16" t="e">
        <f>IF(AND(F45&lt;&gt;"",$X$5,$X$2),F45,NA())</f>
        <v>#N/A</v>
      </c>
      <c r="V161" s="16" t="str">
        <f>IF(ISNA(T161),"",IF($AE$102=0,T161,ROUND(T161/$AE$102,0)))</f>
        <v/>
      </c>
      <c r="X161" s="16" t="str">
        <f t="shared" si="26"/>
        <v/>
      </c>
      <c r="Y161" s="16" t="str">
        <f t="shared" si="27"/>
        <v/>
      </c>
      <c r="AA161" s="16" t="e">
        <f t="shared" si="28"/>
        <v>#N/A</v>
      </c>
      <c r="AB161" s="16" t="e">
        <f t="shared" si="29"/>
        <v>#N/A</v>
      </c>
      <c r="AM161" s="16" t="str">
        <f>IF(ISNA(P163),"",IF($AE$102=0,P163,ROUND(P163/$AE$102,0)))</f>
        <v/>
      </c>
      <c r="AN161" s="16" t="e">
        <f>IF(AM161="",NA(),COUNTIF(AM161:$AM$286,AM161))</f>
        <v>#N/A</v>
      </c>
      <c r="AO161" s="16" t="e">
        <f>(AN161-1)*$AE$105</f>
        <v>#N/A</v>
      </c>
      <c r="AS161" s="16" t="e">
        <f t="shared" si="30"/>
        <v>#N/A</v>
      </c>
      <c r="AT161" s="16" t="str">
        <f t="shared" si="31"/>
        <v/>
      </c>
      <c r="AU161" s="16" t="str">
        <f t="shared" si="32"/>
        <v/>
      </c>
      <c r="AV161" s="16" t="e">
        <f>IF(AU161="",NA(),COUNTIF(AU161:$AU$188,AU161))</f>
        <v>#N/A</v>
      </c>
      <c r="AW161" s="16" t="e">
        <f t="shared" si="33"/>
        <v>#N/A</v>
      </c>
      <c r="BG161" s="756">
        <v>154</v>
      </c>
      <c r="BH161" s="761"/>
      <c r="BI161" s="762"/>
      <c r="BJ161" s="824"/>
      <c r="BL161" s="756">
        <v>154</v>
      </c>
      <c r="BM161" s="761"/>
      <c r="BN161" s="762"/>
      <c r="BO161" s="824"/>
      <c r="BQ161" s="756">
        <v>154</v>
      </c>
      <c r="BR161" s="761"/>
      <c r="BS161" s="762"/>
      <c r="BT161" s="824"/>
    </row>
    <row r="162" spans="5:72" ht="12" customHeight="1">
      <c r="E162" s="621">
        <v>154</v>
      </c>
      <c r="F162" s="761"/>
      <c r="G162" s="762"/>
      <c r="H162" s="680"/>
      <c r="I162" s="764" t="str">
        <f t="shared" si="25"/>
        <v/>
      </c>
      <c r="J162" s="595"/>
      <c r="K162"/>
      <c r="L162" s="197"/>
      <c r="O162" s="246" t="e">
        <f>$W$24-IF($AN$85,AR160,0)</f>
        <v>#N/A</v>
      </c>
      <c r="P162" s="823" t="e">
        <f>IF(Y162="",NA(),IF($AN$85,Y162,U162))</f>
        <v>#N/A</v>
      </c>
      <c r="Q162" s="822"/>
      <c r="U162" s="16" t="e">
        <f>IF(AND(G45&lt;&gt;"",$X$5,$X$2),G45,NA())</f>
        <v>#N/A</v>
      </c>
      <c r="W162" s="16" t="str">
        <f>IF(ISNA(U162),"",IF($AE$102=0,U162,ROUND(U162/$AE$102,0)))</f>
        <v/>
      </c>
      <c r="X162" s="16" t="str">
        <f t="shared" si="26"/>
        <v/>
      </c>
      <c r="Y162" s="16" t="str">
        <f t="shared" si="27"/>
        <v/>
      </c>
      <c r="AA162" s="16" t="e">
        <f t="shared" si="28"/>
        <v>#N/A</v>
      </c>
      <c r="AB162" s="16" t="e">
        <f t="shared" si="29"/>
        <v>#N/A</v>
      </c>
      <c r="AP162" s="16" t="str">
        <f>IF(ISNA(P164),"",IF($AE$102=0,P164,ROUND(P164/$AE$102,0)))</f>
        <v/>
      </c>
      <c r="AQ162" s="16" t="e">
        <f>IF(AP162="",NA(),COUNTIF(AP162:$AP$286,AP162))</f>
        <v>#N/A</v>
      </c>
      <c r="AR162" s="16" t="e">
        <f>(AQ162-1)*$AE$105</f>
        <v>#N/A</v>
      </c>
      <c r="AS162" s="16" t="e">
        <f t="shared" si="30"/>
        <v>#N/A</v>
      </c>
      <c r="AT162" s="16" t="str">
        <f t="shared" si="31"/>
        <v/>
      </c>
      <c r="AU162" s="16" t="str">
        <f t="shared" si="32"/>
        <v/>
      </c>
      <c r="AV162" s="16" t="e">
        <f>IF(AU162="",NA(),COUNTIF(AU162:$AU$188,AU162))</f>
        <v>#N/A</v>
      </c>
      <c r="AW162" s="16" t="e">
        <f t="shared" si="33"/>
        <v>#N/A</v>
      </c>
      <c r="BG162" s="756">
        <v>155</v>
      </c>
      <c r="BH162" s="761"/>
      <c r="BI162" s="762"/>
      <c r="BJ162" s="824"/>
      <c r="BL162" s="756">
        <v>155</v>
      </c>
      <c r="BM162" s="761"/>
      <c r="BN162" s="762"/>
      <c r="BO162" s="824"/>
      <c r="BQ162" s="756">
        <v>155</v>
      </c>
      <c r="BR162" s="761"/>
      <c r="BS162" s="762"/>
      <c r="BT162" s="824"/>
    </row>
    <row r="163" spans="5:72" ht="12" customHeight="1">
      <c r="E163" s="621">
        <v>155</v>
      </c>
      <c r="F163" s="761"/>
      <c r="G163" s="762"/>
      <c r="H163" s="680"/>
      <c r="I163" s="764" t="str">
        <f t="shared" si="25"/>
        <v/>
      </c>
      <c r="J163" s="595"/>
      <c r="K163"/>
      <c r="L163" s="197"/>
      <c r="O163" s="820" t="e">
        <f>$W$23+IF($AN$85,AO161,0)</f>
        <v>#N/A</v>
      </c>
      <c r="P163" s="821" t="e">
        <f>IF(X163="",NA(),IF($AN$85,X163,T163))</f>
        <v>#N/A</v>
      </c>
      <c r="Q163" s="822"/>
      <c r="T163" s="16" t="e">
        <f>IF(AND(F46&lt;&gt;"",$X$5,$X$2),F46,NA())</f>
        <v>#N/A</v>
      </c>
      <c r="V163" s="16" t="str">
        <f>IF(ISNA(T163),"",IF($AE$102=0,T163,ROUND(T163/$AE$102,0)))</f>
        <v/>
      </c>
      <c r="X163" s="16" t="str">
        <f t="shared" si="26"/>
        <v/>
      </c>
      <c r="Y163" s="16" t="str">
        <f t="shared" si="27"/>
        <v/>
      </c>
      <c r="AA163" s="16" t="e">
        <f t="shared" si="28"/>
        <v>#N/A</v>
      </c>
      <c r="AB163" s="16" t="e">
        <f t="shared" si="29"/>
        <v>#N/A</v>
      </c>
      <c r="AM163" s="16" t="str">
        <f>IF(ISNA(P165),"",IF($AE$102=0,P165,ROUND(P165/$AE$102,0)))</f>
        <v/>
      </c>
      <c r="AN163" s="16" t="e">
        <f>IF(AM163="",NA(),COUNTIF(AM163:$AM$286,AM163))</f>
        <v>#N/A</v>
      </c>
      <c r="AO163" s="16" t="e">
        <f>(AN163-1)*$AE$105</f>
        <v>#N/A</v>
      </c>
      <c r="AS163" s="16" t="e">
        <f t="shared" si="30"/>
        <v>#N/A</v>
      </c>
      <c r="AT163" s="16" t="str">
        <f t="shared" si="31"/>
        <v/>
      </c>
      <c r="AU163" s="16" t="str">
        <f t="shared" si="32"/>
        <v/>
      </c>
      <c r="AV163" s="16" t="e">
        <f>IF(AU163="",NA(),COUNTIF(AU163:$AU$188,AU163))</f>
        <v>#N/A</v>
      </c>
      <c r="AW163" s="16" t="e">
        <f t="shared" si="33"/>
        <v>#N/A</v>
      </c>
      <c r="BG163" s="756">
        <v>156</v>
      </c>
      <c r="BH163" s="761"/>
      <c r="BI163" s="762"/>
      <c r="BJ163" s="824"/>
      <c r="BL163" s="756">
        <v>156</v>
      </c>
      <c r="BM163" s="761"/>
      <c r="BN163" s="762"/>
      <c r="BO163" s="824"/>
      <c r="BQ163" s="756">
        <v>156</v>
      </c>
      <c r="BR163" s="761"/>
      <c r="BS163" s="762"/>
      <c r="BT163" s="824"/>
    </row>
    <row r="164" spans="5:72" ht="12" customHeight="1">
      <c r="E164" s="621">
        <v>156</v>
      </c>
      <c r="F164" s="761"/>
      <c r="G164" s="762"/>
      <c r="H164" s="680"/>
      <c r="I164" s="764" t="str">
        <f t="shared" si="25"/>
        <v/>
      </c>
      <c r="J164" s="595"/>
      <c r="K164"/>
      <c r="L164" s="197"/>
      <c r="O164" s="246" t="e">
        <f>$W$24-IF($AN$85,AR162,0)</f>
        <v>#N/A</v>
      </c>
      <c r="P164" s="823" t="e">
        <f>IF(Y164="",NA(),IF($AN$85,Y164,U164))</f>
        <v>#N/A</v>
      </c>
      <c r="Q164" s="822"/>
      <c r="U164" s="16" t="e">
        <f>IF(AND(G46&lt;&gt;"",$X$5,$X$2),G46,NA())</f>
        <v>#N/A</v>
      </c>
      <c r="W164" s="16" t="str">
        <f>IF(ISNA(U164),"",IF($AE$102=0,U164,ROUND(U164/$AE$102,0)))</f>
        <v/>
      </c>
      <c r="X164" s="16" t="str">
        <f t="shared" si="26"/>
        <v/>
      </c>
      <c r="Y164" s="16" t="str">
        <f t="shared" si="27"/>
        <v/>
      </c>
      <c r="AA164" s="16" t="e">
        <f t="shared" si="28"/>
        <v>#N/A</v>
      </c>
      <c r="AB164" s="16" t="e">
        <f t="shared" si="29"/>
        <v>#N/A</v>
      </c>
      <c r="AP164" s="16" t="str">
        <f>IF(ISNA(P166),"",IF($AE$102=0,P166,ROUND(P166/$AE$102,0)))</f>
        <v/>
      </c>
      <c r="AQ164" s="16" t="e">
        <f>IF(AP164="",NA(),COUNTIF(AP164:$AP$286,AP164))</f>
        <v>#N/A</v>
      </c>
      <c r="AR164" s="16" t="e">
        <f>(AQ164-1)*$AE$105</f>
        <v>#N/A</v>
      </c>
      <c r="AS164" s="16" t="e">
        <f t="shared" si="30"/>
        <v>#N/A</v>
      </c>
      <c r="AT164" s="16" t="str">
        <f t="shared" si="31"/>
        <v/>
      </c>
      <c r="AU164" s="16" t="str">
        <f t="shared" si="32"/>
        <v/>
      </c>
      <c r="AV164" s="16" t="e">
        <f>IF(AU164="",NA(),COUNTIF(AU164:$AU$188,AU164))</f>
        <v>#N/A</v>
      </c>
      <c r="AW164" s="16" t="e">
        <f t="shared" si="33"/>
        <v>#N/A</v>
      </c>
      <c r="BG164" s="756">
        <v>157</v>
      </c>
      <c r="BH164" s="761"/>
      <c r="BI164" s="762"/>
      <c r="BJ164" s="824"/>
      <c r="BL164" s="756">
        <v>157</v>
      </c>
      <c r="BM164" s="761"/>
      <c r="BN164" s="762"/>
      <c r="BO164" s="824"/>
      <c r="BQ164" s="756">
        <v>157</v>
      </c>
      <c r="BR164" s="761"/>
      <c r="BS164" s="762"/>
      <c r="BT164" s="824"/>
    </row>
    <row r="165" spans="5:72" ht="12" customHeight="1">
      <c r="E165" s="621">
        <v>157</v>
      </c>
      <c r="F165" s="761"/>
      <c r="G165" s="762"/>
      <c r="H165" s="680"/>
      <c r="I165" s="764" t="str">
        <f t="shared" si="25"/>
        <v/>
      </c>
      <c r="J165" s="595"/>
      <c r="K165"/>
      <c r="L165" s="197"/>
      <c r="O165" s="820" t="e">
        <f>$W$23+IF($AN$85,AO163,0)</f>
        <v>#N/A</v>
      </c>
      <c r="P165" s="821" t="e">
        <f>IF(X165="",NA(),IF($AN$85,X165,T165))</f>
        <v>#N/A</v>
      </c>
      <c r="Q165" s="822"/>
      <c r="T165" s="16" t="e">
        <f>IF(AND(F47&lt;&gt;"",$X$5,$X$2),F47,NA())</f>
        <v>#N/A</v>
      </c>
      <c r="V165" s="16" t="str">
        <f>IF(ISNA(T165),"",IF($AE$102=0,T165,ROUND(T165/$AE$102,0)))</f>
        <v/>
      </c>
      <c r="X165" s="16" t="str">
        <f t="shared" si="26"/>
        <v/>
      </c>
      <c r="Y165" s="16" t="str">
        <f t="shared" si="27"/>
        <v/>
      </c>
      <c r="AA165" s="16" t="e">
        <f t="shared" si="28"/>
        <v>#N/A</v>
      </c>
      <c r="AB165" s="16" t="e">
        <f t="shared" si="29"/>
        <v>#N/A</v>
      </c>
      <c r="AM165" s="16" t="str">
        <f>IF(ISNA(P167),"",IF($AE$102=0,P167,ROUND(P167/$AE$102,0)))</f>
        <v/>
      </c>
      <c r="AN165" s="16" t="e">
        <f>IF(AM165="",NA(),COUNTIF(AM165:$AM$286,AM165))</f>
        <v>#N/A</v>
      </c>
      <c r="AO165" s="16" t="e">
        <f>(AN165-1)*$AE$105</f>
        <v>#N/A</v>
      </c>
      <c r="AS165" s="16" t="e">
        <f t="shared" si="30"/>
        <v>#N/A</v>
      </c>
      <c r="AT165" s="16" t="str">
        <f t="shared" si="31"/>
        <v/>
      </c>
      <c r="AU165" s="16" t="str">
        <f t="shared" si="32"/>
        <v/>
      </c>
      <c r="AV165" s="16" t="e">
        <f>IF(AU165="",NA(),COUNTIF(AU165:$AU$188,AU165))</f>
        <v>#N/A</v>
      </c>
      <c r="AW165" s="16" t="e">
        <f t="shared" si="33"/>
        <v>#N/A</v>
      </c>
      <c r="BG165" s="756">
        <v>158</v>
      </c>
      <c r="BH165" s="761"/>
      <c r="BI165" s="762"/>
      <c r="BJ165" s="824"/>
      <c r="BL165" s="756">
        <v>158</v>
      </c>
      <c r="BM165" s="761"/>
      <c r="BN165" s="762"/>
      <c r="BO165" s="824"/>
      <c r="BQ165" s="756">
        <v>158</v>
      </c>
      <c r="BR165" s="761"/>
      <c r="BS165" s="762"/>
      <c r="BT165" s="824"/>
    </row>
    <row r="166" spans="5:72" ht="12" customHeight="1">
      <c r="E166" s="621">
        <v>158</v>
      </c>
      <c r="F166" s="761"/>
      <c r="G166" s="762"/>
      <c r="H166" s="680"/>
      <c r="I166" s="764" t="str">
        <f t="shared" si="25"/>
        <v/>
      </c>
      <c r="J166" s="595"/>
      <c r="K166"/>
      <c r="L166" s="197"/>
      <c r="O166" s="246" t="e">
        <f>$W$24-IF($AN$85,AR164,0)</f>
        <v>#N/A</v>
      </c>
      <c r="P166" s="823" t="e">
        <f>IF(Y166="",NA(),IF($AN$85,Y166,U166))</f>
        <v>#N/A</v>
      </c>
      <c r="Q166" s="822"/>
      <c r="U166" s="16" t="e">
        <f>IF(AND(G47&lt;&gt;"",$X$5,$X$2),G47,NA())</f>
        <v>#N/A</v>
      </c>
      <c r="W166" s="16" t="str">
        <f>IF(ISNA(U166),"",IF($AE$102=0,U166,ROUND(U166/$AE$102,0)))</f>
        <v/>
      </c>
      <c r="X166" s="16" t="str">
        <f t="shared" si="26"/>
        <v/>
      </c>
      <c r="Y166" s="16" t="str">
        <f t="shared" si="27"/>
        <v/>
      </c>
      <c r="AA166" s="16" t="e">
        <f t="shared" si="28"/>
        <v>#N/A</v>
      </c>
      <c r="AB166" s="16" t="e">
        <f t="shared" si="29"/>
        <v>#N/A</v>
      </c>
      <c r="AP166" s="16" t="str">
        <f>IF(ISNA(P168),"",IF($AE$102=0,P168,ROUND(P168/$AE$102,0)))</f>
        <v/>
      </c>
      <c r="AQ166" s="16" t="e">
        <f>IF(AP166="",NA(),COUNTIF(AP166:$AP$286,AP166))</f>
        <v>#N/A</v>
      </c>
      <c r="AR166" s="16" t="e">
        <f>(AQ166-1)*$AE$105</f>
        <v>#N/A</v>
      </c>
      <c r="AS166" s="16" t="e">
        <f t="shared" si="30"/>
        <v>#N/A</v>
      </c>
      <c r="AT166" s="16" t="str">
        <f t="shared" si="31"/>
        <v/>
      </c>
      <c r="AU166" s="16" t="str">
        <f t="shared" si="32"/>
        <v/>
      </c>
      <c r="AV166" s="16" t="e">
        <f>IF(AU166="",NA(),COUNTIF(AU166:$AU$188,AU166))</f>
        <v>#N/A</v>
      </c>
      <c r="AW166" s="16" t="e">
        <f t="shared" si="33"/>
        <v>#N/A</v>
      </c>
      <c r="BG166" s="756">
        <v>159</v>
      </c>
      <c r="BH166" s="761"/>
      <c r="BI166" s="762"/>
      <c r="BJ166" s="824"/>
      <c r="BL166" s="756">
        <v>159</v>
      </c>
      <c r="BM166" s="761"/>
      <c r="BN166" s="762"/>
      <c r="BO166" s="824"/>
      <c r="BQ166" s="756">
        <v>159</v>
      </c>
      <c r="BR166" s="761"/>
      <c r="BS166" s="762"/>
      <c r="BT166" s="824"/>
    </row>
    <row r="167" spans="5:72" ht="12" customHeight="1">
      <c r="E167" s="621">
        <v>159</v>
      </c>
      <c r="F167" s="761"/>
      <c r="G167" s="762"/>
      <c r="H167" s="680"/>
      <c r="I167" s="764" t="str">
        <f t="shared" si="25"/>
        <v/>
      </c>
      <c r="J167" s="595"/>
      <c r="K167"/>
      <c r="L167" s="197"/>
      <c r="O167" s="820" t="e">
        <f>$W$23+IF($AN$85,AO165,0)</f>
        <v>#N/A</v>
      </c>
      <c r="P167" s="821" t="e">
        <f>IF(X167="",NA(),IF($AN$85,X167,T167))</f>
        <v>#N/A</v>
      </c>
      <c r="Q167" s="822"/>
      <c r="T167" s="16" t="e">
        <f>IF(AND(F48&lt;&gt;"",$X$5,$X$2),F48,NA())</f>
        <v>#N/A</v>
      </c>
      <c r="V167" s="16" t="str">
        <f>IF(ISNA(T167),"",IF($AE$102=0,T167,ROUND(T167/$AE$102,0)))</f>
        <v/>
      </c>
      <c r="X167" s="16" t="str">
        <f t="shared" si="26"/>
        <v/>
      </c>
      <c r="Y167" s="16" t="str">
        <f t="shared" si="27"/>
        <v/>
      </c>
      <c r="AA167" s="16" t="e">
        <f t="shared" si="28"/>
        <v>#N/A</v>
      </c>
      <c r="AB167" s="16" t="e">
        <f t="shared" si="29"/>
        <v>#N/A</v>
      </c>
      <c r="AM167" s="16" t="str">
        <f>IF(ISNA(P169),"",IF($AE$102=0,P169,ROUND(P169/$AE$102,0)))</f>
        <v/>
      </c>
      <c r="AN167" s="16" t="e">
        <f>IF(AM167="",NA(),COUNTIF(AM167:$AM$286,AM167))</f>
        <v>#N/A</v>
      </c>
      <c r="AO167" s="16" t="e">
        <f>(AN167-1)*$AE$105</f>
        <v>#N/A</v>
      </c>
      <c r="AS167" s="16" t="e">
        <f t="shared" si="30"/>
        <v>#N/A</v>
      </c>
      <c r="AT167" s="16" t="str">
        <f t="shared" si="31"/>
        <v/>
      </c>
      <c r="AU167" s="16" t="str">
        <f t="shared" si="32"/>
        <v/>
      </c>
      <c r="AV167" s="16" t="e">
        <f>IF(AU167="",NA(),COUNTIF(AU167:$AU$188,AU167))</f>
        <v>#N/A</v>
      </c>
      <c r="AW167" s="16" t="e">
        <f t="shared" si="33"/>
        <v>#N/A</v>
      </c>
      <c r="BG167" s="756">
        <v>160</v>
      </c>
      <c r="BH167" s="761"/>
      <c r="BI167" s="762"/>
      <c r="BJ167" s="824"/>
      <c r="BL167" s="756">
        <v>160</v>
      </c>
      <c r="BM167" s="761"/>
      <c r="BN167" s="762"/>
      <c r="BO167" s="824"/>
      <c r="BQ167" s="756">
        <v>160</v>
      </c>
      <c r="BR167" s="761"/>
      <c r="BS167" s="762"/>
      <c r="BT167" s="824"/>
    </row>
    <row r="168" spans="5:72" ht="12" customHeight="1">
      <c r="E168" s="621">
        <v>160</v>
      </c>
      <c r="F168" s="761"/>
      <c r="G168" s="762"/>
      <c r="H168" s="680"/>
      <c r="I168" s="764" t="str">
        <f t="shared" si="25"/>
        <v/>
      </c>
      <c r="J168" s="595"/>
      <c r="K168"/>
      <c r="L168" s="197"/>
      <c r="O168" s="246" t="e">
        <f>$W$24-IF($AN$85,AR166,0)</f>
        <v>#N/A</v>
      </c>
      <c r="P168" s="823" t="e">
        <f>IF(Y168="",NA(),IF($AN$85,Y168,U168))</f>
        <v>#N/A</v>
      </c>
      <c r="Q168" s="822"/>
      <c r="U168" s="16" t="e">
        <f>IF(AND(G48&lt;&gt;"",$X$5,$X$2),G48,NA())</f>
        <v>#N/A</v>
      </c>
      <c r="W168" s="16" t="str">
        <f>IF(ISNA(U168),"",IF($AE$102=0,U168,ROUND(U168/$AE$102,0)))</f>
        <v/>
      </c>
      <c r="X168" s="16" t="str">
        <f t="shared" si="26"/>
        <v/>
      </c>
      <c r="Y168" s="16" t="str">
        <f t="shared" si="27"/>
        <v/>
      </c>
      <c r="AA168" s="16" t="e">
        <f t="shared" si="28"/>
        <v>#N/A</v>
      </c>
      <c r="AB168" s="16" t="e">
        <f t="shared" si="29"/>
        <v>#N/A</v>
      </c>
      <c r="AP168" s="16" t="str">
        <f>IF(ISNA(P170),"",IF($AE$102=0,P170,ROUND(P170/$AE$102,0)))</f>
        <v/>
      </c>
      <c r="AQ168" s="16" t="e">
        <f>IF(AP168="",NA(),COUNTIF(AP168:$AP$286,AP168))</f>
        <v>#N/A</v>
      </c>
      <c r="AR168" s="16" t="e">
        <f>(AQ168-1)*$AE$105</f>
        <v>#N/A</v>
      </c>
      <c r="AS168" s="16" t="e">
        <f t="shared" si="30"/>
        <v>#N/A</v>
      </c>
      <c r="AT168" s="16" t="str">
        <f t="shared" si="31"/>
        <v/>
      </c>
      <c r="AU168" s="16" t="str">
        <f t="shared" si="32"/>
        <v/>
      </c>
      <c r="AV168" s="16" t="e">
        <f>IF(AU168="",NA(),COUNTIF(AU168:$AU$188,AU168))</f>
        <v>#N/A</v>
      </c>
      <c r="AW168" s="16" t="e">
        <f t="shared" si="33"/>
        <v>#N/A</v>
      </c>
      <c r="BG168" s="756">
        <v>161</v>
      </c>
      <c r="BH168" s="761"/>
      <c r="BI168" s="762"/>
      <c r="BJ168" s="824"/>
      <c r="BL168" s="756">
        <v>161</v>
      </c>
      <c r="BM168" s="761"/>
      <c r="BN168" s="762"/>
      <c r="BO168" s="824"/>
      <c r="BQ168" s="756">
        <v>161</v>
      </c>
      <c r="BR168" s="761"/>
      <c r="BS168" s="762"/>
      <c r="BT168" s="824"/>
    </row>
    <row r="169" spans="5:72" ht="12" customHeight="1">
      <c r="E169" s="621">
        <v>161</v>
      </c>
      <c r="F169" s="761"/>
      <c r="G169" s="762"/>
      <c r="H169" s="680"/>
      <c r="I169" s="764" t="str">
        <f t="shared" si="25"/>
        <v/>
      </c>
      <c r="J169" s="595"/>
      <c r="K169"/>
      <c r="L169" s="197"/>
      <c r="O169" s="820" t="e">
        <f>$W$23+IF($AN$85,AO167,0)</f>
        <v>#N/A</v>
      </c>
      <c r="P169" s="821" t="e">
        <f>IF(X169="",NA(),IF($AN$85,X169,T169))</f>
        <v>#N/A</v>
      </c>
      <c r="Q169" s="822"/>
      <c r="T169" s="16" t="e">
        <f>IF(AND(F49&lt;&gt;"",$X$5,$X$2),F49,NA())</f>
        <v>#N/A</v>
      </c>
      <c r="V169" s="16" t="str">
        <f>IF(ISNA(T169),"",IF($AE$102=0,T169,ROUND(T169/$AE$102,0)))</f>
        <v/>
      </c>
      <c r="X169" s="16" t="str">
        <f t="shared" si="26"/>
        <v/>
      </c>
      <c r="Y169" s="16" t="str">
        <f t="shared" si="27"/>
        <v/>
      </c>
      <c r="AA169" s="16" t="e">
        <f t="shared" si="28"/>
        <v>#N/A</v>
      </c>
      <c r="AB169" s="16" t="e">
        <f t="shared" si="29"/>
        <v>#N/A</v>
      </c>
      <c r="AM169" s="16" t="str">
        <f>IF(ISNA(P171),"",IF($AE$102=0,P171,ROUND(P171/$AE$102,0)))</f>
        <v/>
      </c>
      <c r="AN169" s="16" t="e">
        <f>IF(AM169="",NA(),COUNTIF(AM169:$AM$286,AM169))</f>
        <v>#N/A</v>
      </c>
      <c r="AO169" s="16" t="e">
        <f>(AN169-1)*$AE$105</f>
        <v>#N/A</v>
      </c>
      <c r="AS169" s="16" t="e">
        <f t="shared" si="30"/>
        <v>#N/A</v>
      </c>
      <c r="AT169" s="16" t="str">
        <f t="shared" si="31"/>
        <v/>
      </c>
      <c r="AU169" s="16" t="str">
        <f t="shared" si="32"/>
        <v/>
      </c>
      <c r="AV169" s="16" t="e">
        <f>IF(AU169="",NA(),COUNTIF(AU169:$AU$188,AU169))</f>
        <v>#N/A</v>
      </c>
      <c r="AW169" s="16" t="e">
        <f t="shared" si="33"/>
        <v>#N/A</v>
      </c>
      <c r="BG169" s="756">
        <v>162</v>
      </c>
      <c r="BH169" s="761"/>
      <c r="BI169" s="762"/>
      <c r="BJ169" s="824"/>
      <c r="BL169" s="756">
        <v>162</v>
      </c>
      <c r="BM169" s="761"/>
      <c r="BN169" s="762"/>
      <c r="BO169" s="824"/>
      <c r="BQ169" s="756">
        <v>162</v>
      </c>
      <c r="BR169" s="761"/>
      <c r="BS169" s="762"/>
      <c r="BT169" s="824"/>
    </row>
    <row r="170" spans="5:72" ht="12" customHeight="1">
      <c r="E170" s="621">
        <v>162</v>
      </c>
      <c r="F170" s="761"/>
      <c r="G170" s="762"/>
      <c r="H170" s="680"/>
      <c r="I170" s="764" t="str">
        <f t="shared" si="25"/>
        <v/>
      </c>
      <c r="J170" s="595"/>
      <c r="K170"/>
      <c r="L170" s="197"/>
      <c r="O170" s="246" t="e">
        <f>$W$24-IF($AN$85,AR168,0)</f>
        <v>#N/A</v>
      </c>
      <c r="P170" s="823" t="e">
        <f>IF(Y170="",NA(),IF($AN$85,Y170,U170))</f>
        <v>#N/A</v>
      </c>
      <c r="Q170" s="822"/>
      <c r="U170" s="16" t="e">
        <f>IF(AND(G49&lt;&gt;"",$X$5,$X$2),G49,NA())</f>
        <v>#N/A</v>
      </c>
      <c r="W170" s="16" t="str">
        <f>IF(ISNA(U170),"",IF($AE$102=0,U170,ROUND(U170/$AE$102,0)))</f>
        <v/>
      </c>
      <c r="X170" s="16" t="str">
        <f t="shared" si="26"/>
        <v/>
      </c>
      <c r="Y170" s="16" t="str">
        <f t="shared" si="27"/>
        <v/>
      </c>
      <c r="AA170" s="16" t="e">
        <f t="shared" si="28"/>
        <v>#N/A</v>
      </c>
      <c r="AB170" s="16" t="e">
        <f t="shared" si="29"/>
        <v>#N/A</v>
      </c>
      <c r="AP170" s="16" t="str">
        <f>IF(ISNA(P172),"",IF($AE$102=0,P172,ROUND(P172/$AE$102,0)))</f>
        <v/>
      </c>
      <c r="AQ170" s="16" t="e">
        <f>IF(AP170="",NA(),COUNTIF(AP170:$AP$286,AP170))</f>
        <v>#N/A</v>
      </c>
      <c r="AR170" s="16" t="e">
        <f>(AQ170-1)*$AE$105</f>
        <v>#N/A</v>
      </c>
      <c r="AS170" s="16" t="e">
        <f t="shared" si="30"/>
        <v>#N/A</v>
      </c>
      <c r="AT170" s="16" t="str">
        <f t="shared" si="31"/>
        <v/>
      </c>
      <c r="AU170" s="16" t="str">
        <f t="shared" si="32"/>
        <v/>
      </c>
      <c r="AV170" s="16" t="e">
        <f>IF(AU170="",NA(),COUNTIF(AU170:$AU$188,AU170))</f>
        <v>#N/A</v>
      </c>
      <c r="AW170" s="16" t="e">
        <f t="shared" si="33"/>
        <v>#N/A</v>
      </c>
      <c r="BG170" s="756">
        <v>163</v>
      </c>
      <c r="BH170" s="761"/>
      <c r="BI170" s="762"/>
      <c r="BJ170" s="824"/>
      <c r="BL170" s="756">
        <v>163</v>
      </c>
      <c r="BM170" s="761"/>
      <c r="BN170" s="762"/>
      <c r="BO170" s="824"/>
      <c r="BQ170" s="756">
        <v>163</v>
      </c>
      <c r="BR170" s="761"/>
      <c r="BS170" s="762"/>
      <c r="BT170" s="824"/>
    </row>
    <row r="171" spans="5:72" ht="12" customHeight="1">
      <c r="E171" s="621">
        <v>163</v>
      </c>
      <c r="F171" s="761"/>
      <c r="G171" s="762"/>
      <c r="H171" s="680"/>
      <c r="I171" s="764" t="str">
        <f t="shared" si="25"/>
        <v/>
      </c>
      <c r="J171" s="595"/>
      <c r="K171"/>
      <c r="L171" s="197"/>
      <c r="O171" s="820" t="e">
        <f>$W$23+IF($AN$85,AO169,0)</f>
        <v>#N/A</v>
      </c>
      <c r="P171" s="821" t="e">
        <f>IF(X171="",NA(),IF($AN$85,X171,T171))</f>
        <v>#N/A</v>
      </c>
      <c r="Q171" s="822"/>
      <c r="T171" s="16" t="e">
        <f>IF(AND(F50&lt;&gt;"",$X$5,$X$2),F50,NA())</f>
        <v>#N/A</v>
      </c>
      <c r="V171" s="16" t="str">
        <f>IF(ISNA(T171),"",IF($AE$102=0,T171,ROUND(T171/$AE$102,0)))</f>
        <v/>
      </c>
      <c r="X171" s="16" t="str">
        <f t="shared" si="26"/>
        <v/>
      </c>
      <c r="Y171" s="16" t="str">
        <f t="shared" si="27"/>
        <v/>
      </c>
      <c r="AA171" s="16" t="e">
        <f t="shared" si="28"/>
        <v>#N/A</v>
      </c>
      <c r="AB171" s="16" t="e">
        <f t="shared" si="29"/>
        <v>#N/A</v>
      </c>
      <c r="AM171" s="16" t="str">
        <f>IF(ISNA(P173),"",IF($AE$102=0,P173,ROUND(P173/$AE$102,0)))</f>
        <v/>
      </c>
      <c r="AN171" s="16" t="e">
        <f>IF(AM171="",NA(),COUNTIF(AM171:$AM$286,AM171))</f>
        <v>#N/A</v>
      </c>
      <c r="AO171" s="16" t="e">
        <f>(AN171-1)*$AE$105</f>
        <v>#N/A</v>
      </c>
      <c r="AS171" s="16" t="e">
        <f t="shared" si="30"/>
        <v>#N/A</v>
      </c>
      <c r="AT171" s="16" t="str">
        <f t="shared" si="31"/>
        <v/>
      </c>
      <c r="AU171" s="16" t="str">
        <f t="shared" si="32"/>
        <v/>
      </c>
      <c r="AV171" s="16" t="e">
        <f>IF(AU171="",NA(),COUNTIF(AU171:$AU$188,AU171))</f>
        <v>#N/A</v>
      </c>
      <c r="AW171" s="16" t="e">
        <f t="shared" si="33"/>
        <v>#N/A</v>
      </c>
      <c r="BG171" s="756">
        <v>164</v>
      </c>
      <c r="BH171" s="761"/>
      <c r="BI171" s="762"/>
      <c r="BJ171" s="824"/>
      <c r="BL171" s="756">
        <v>164</v>
      </c>
      <c r="BM171" s="761"/>
      <c r="BN171" s="762"/>
      <c r="BO171" s="824"/>
      <c r="BQ171" s="756">
        <v>164</v>
      </c>
      <c r="BR171" s="761"/>
      <c r="BS171" s="762"/>
      <c r="BT171" s="824"/>
    </row>
    <row r="172" spans="5:72" ht="12" customHeight="1">
      <c r="E172" s="621">
        <v>164</v>
      </c>
      <c r="F172" s="761"/>
      <c r="G172" s="762"/>
      <c r="H172" s="680"/>
      <c r="I172" s="764" t="str">
        <f t="shared" si="25"/>
        <v/>
      </c>
      <c r="J172" s="595"/>
      <c r="K172"/>
      <c r="L172" s="197"/>
      <c r="O172" s="246" t="e">
        <f>$W$24-IF($AN$85,AR170,0)</f>
        <v>#N/A</v>
      </c>
      <c r="P172" s="823" t="e">
        <f>IF(Y172="",NA(),IF($AN$85,Y172,U172))</f>
        <v>#N/A</v>
      </c>
      <c r="Q172" s="822"/>
      <c r="U172" s="16" t="e">
        <f>IF(AND(G50&lt;&gt;"",$X$5,$X$2),G50,NA())</f>
        <v>#N/A</v>
      </c>
      <c r="W172" s="16" t="str">
        <f>IF(ISNA(U172),"",IF($AE$102=0,U172,ROUND(U172/$AE$102,0)))</f>
        <v/>
      </c>
      <c r="X172" s="16" t="str">
        <f t="shared" si="26"/>
        <v/>
      </c>
      <c r="Y172" s="16" t="str">
        <f t="shared" si="27"/>
        <v/>
      </c>
      <c r="AA172" s="16" t="e">
        <f t="shared" si="28"/>
        <v>#N/A</v>
      </c>
      <c r="AB172" s="16" t="e">
        <f t="shared" si="29"/>
        <v>#N/A</v>
      </c>
      <c r="AP172" s="16" t="str">
        <f>IF(ISNA(P174),"",IF($AE$102=0,P174,ROUND(P174/$AE$102,0)))</f>
        <v/>
      </c>
      <c r="AQ172" s="16" t="e">
        <f>IF(AP172="",NA(),COUNTIF(AP172:$AP$286,AP172))</f>
        <v>#N/A</v>
      </c>
      <c r="AR172" s="16" t="e">
        <f>(AQ172-1)*$AE$105</f>
        <v>#N/A</v>
      </c>
      <c r="AS172" s="16" t="e">
        <f t="shared" si="30"/>
        <v>#N/A</v>
      </c>
      <c r="AT172" s="16" t="str">
        <f t="shared" si="31"/>
        <v/>
      </c>
      <c r="AU172" s="16" t="str">
        <f t="shared" si="32"/>
        <v/>
      </c>
      <c r="AV172" s="16" t="e">
        <f>IF(AU172="",NA(),COUNTIF(AU172:$AU$188,AU172))</f>
        <v>#N/A</v>
      </c>
      <c r="AW172" s="16" t="e">
        <f t="shared" si="33"/>
        <v>#N/A</v>
      </c>
      <c r="BG172" s="756">
        <v>165</v>
      </c>
      <c r="BH172" s="761"/>
      <c r="BI172" s="762"/>
      <c r="BJ172" s="824"/>
      <c r="BL172" s="756">
        <v>165</v>
      </c>
      <c r="BM172" s="761"/>
      <c r="BN172" s="762"/>
      <c r="BO172" s="824"/>
      <c r="BQ172" s="756">
        <v>165</v>
      </c>
      <c r="BR172" s="761"/>
      <c r="BS172" s="762"/>
      <c r="BT172" s="824"/>
    </row>
    <row r="173" spans="5:72" ht="12" customHeight="1">
      <c r="E173" s="621">
        <v>165</v>
      </c>
      <c r="F173" s="761"/>
      <c r="G173" s="762"/>
      <c r="H173" s="680"/>
      <c r="I173" s="764" t="str">
        <f t="shared" si="25"/>
        <v/>
      </c>
      <c r="J173" s="595"/>
      <c r="K173"/>
      <c r="L173" s="197"/>
      <c r="O173" s="820" t="e">
        <f>$W$23+IF($AN$85,AO171,0)</f>
        <v>#N/A</v>
      </c>
      <c r="P173" s="821" t="e">
        <f>IF(X173="",NA(),IF($AN$85,X173,T173))</f>
        <v>#N/A</v>
      </c>
      <c r="Q173" s="822"/>
      <c r="T173" s="16" t="e">
        <f>IF(AND(F51&lt;&gt;"",$X$5,$X$2),F51,NA())</f>
        <v>#N/A</v>
      </c>
      <c r="V173" s="16" t="str">
        <f>IF(ISNA(T173),"",IF($AE$102=0,T173,ROUND(T173/$AE$102,0)))</f>
        <v/>
      </c>
      <c r="X173" s="16" t="str">
        <f t="shared" si="26"/>
        <v/>
      </c>
      <c r="Y173" s="16" t="str">
        <f t="shared" si="27"/>
        <v/>
      </c>
      <c r="AA173" s="16" t="e">
        <f t="shared" si="28"/>
        <v>#N/A</v>
      </c>
      <c r="AB173" s="16" t="e">
        <f t="shared" si="29"/>
        <v>#N/A</v>
      </c>
      <c r="AM173" s="16" t="str">
        <f>IF(ISNA(P175),"",IF($AE$102=0,P175,ROUND(P175/$AE$102,0)))</f>
        <v/>
      </c>
      <c r="AN173" s="16" t="e">
        <f>IF(AM173="",NA(),COUNTIF(AM173:$AM$286,AM173))</f>
        <v>#N/A</v>
      </c>
      <c r="AO173" s="16" t="e">
        <f>(AN173-1)*$AE$105</f>
        <v>#N/A</v>
      </c>
      <c r="AS173" s="16" t="e">
        <f t="shared" si="30"/>
        <v>#N/A</v>
      </c>
      <c r="AT173" s="16" t="str">
        <f t="shared" si="31"/>
        <v/>
      </c>
      <c r="AU173" s="16" t="str">
        <f t="shared" si="32"/>
        <v/>
      </c>
      <c r="AV173" s="16" t="e">
        <f>IF(AU173="",NA(),COUNTIF(AU173:$AU$188,AU173))</f>
        <v>#N/A</v>
      </c>
      <c r="AW173" s="16" t="e">
        <f t="shared" si="33"/>
        <v>#N/A</v>
      </c>
      <c r="BG173" s="756">
        <v>166</v>
      </c>
      <c r="BH173" s="761"/>
      <c r="BI173" s="762"/>
      <c r="BJ173" s="824"/>
      <c r="BL173" s="756">
        <v>166</v>
      </c>
      <c r="BM173" s="761"/>
      <c r="BN173" s="762"/>
      <c r="BO173" s="824"/>
      <c r="BQ173" s="756">
        <v>166</v>
      </c>
      <c r="BR173" s="761"/>
      <c r="BS173" s="762"/>
      <c r="BT173" s="824"/>
    </row>
    <row r="174" spans="5:72" ht="12" customHeight="1">
      <c r="E174" s="621">
        <v>166</v>
      </c>
      <c r="F174" s="761"/>
      <c r="G174" s="762"/>
      <c r="H174" s="680"/>
      <c r="I174" s="764" t="str">
        <f t="shared" si="25"/>
        <v/>
      </c>
      <c r="J174" s="595"/>
      <c r="K174"/>
      <c r="L174" s="197"/>
      <c r="O174" s="246" t="e">
        <f>$W$24-IF($AN$85,AR172,0)</f>
        <v>#N/A</v>
      </c>
      <c r="P174" s="823" t="e">
        <f>IF(Y174="",NA(),IF($AN$85,Y174,U174))</f>
        <v>#N/A</v>
      </c>
      <c r="Q174" s="822"/>
      <c r="U174" s="16" t="e">
        <f>IF(AND(G51&lt;&gt;"",$X$5,$X$2),G51,NA())</f>
        <v>#N/A</v>
      </c>
      <c r="W174" s="16" t="str">
        <f>IF(ISNA(U174),"",IF($AE$102=0,U174,ROUND(U174/$AE$102,0)))</f>
        <v/>
      </c>
      <c r="X174" s="16" t="str">
        <f t="shared" si="26"/>
        <v/>
      </c>
      <c r="Y174" s="16" t="str">
        <f t="shared" si="27"/>
        <v/>
      </c>
      <c r="AA174" s="16" t="e">
        <f t="shared" si="28"/>
        <v>#N/A</v>
      </c>
      <c r="AB174" s="16" t="e">
        <f t="shared" si="29"/>
        <v>#N/A</v>
      </c>
      <c r="AP174" s="16" t="str">
        <f>IF(ISNA(P176),"",IF($AE$102=0,P176,ROUND(P176/$AE$102,0)))</f>
        <v/>
      </c>
      <c r="AQ174" s="16" t="e">
        <f>IF(AP174="",NA(),COUNTIF(AP174:$AP$286,AP174))</f>
        <v>#N/A</v>
      </c>
      <c r="AR174" s="16" t="e">
        <f>(AQ174-1)*$AE$105</f>
        <v>#N/A</v>
      </c>
      <c r="AS174" s="16" t="e">
        <f t="shared" si="30"/>
        <v>#N/A</v>
      </c>
      <c r="AT174" s="16" t="str">
        <f t="shared" si="31"/>
        <v/>
      </c>
      <c r="AU174" s="16" t="str">
        <f t="shared" si="32"/>
        <v/>
      </c>
      <c r="AV174" s="16" t="e">
        <f>IF(AU174="",NA(),COUNTIF(AU174:$AU$188,AU174))</f>
        <v>#N/A</v>
      </c>
      <c r="AW174" s="16" t="e">
        <f t="shared" si="33"/>
        <v>#N/A</v>
      </c>
      <c r="BG174" s="756">
        <v>167</v>
      </c>
      <c r="BH174" s="761"/>
      <c r="BI174" s="762"/>
      <c r="BJ174" s="824"/>
      <c r="BL174" s="756">
        <v>167</v>
      </c>
      <c r="BM174" s="761"/>
      <c r="BN174" s="762"/>
      <c r="BO174" s="824"/>
      <c r="BQ174" s="756">
        <v>167</v>
      </c>
      <c r="BR174" s="761"/>
      <c r="BS174" s="762"/>
      <c r="BT174" s="824"/>
    </row>
    <row r="175" spans="5:72" ht="12" customHeight="1">
      <c r="E175" s="621">
        <v>167</v>
      </c>
      <c r="F175" s="761"/>
      <c r="G175" s="762"/>
      <c r="H175" s="680"/>
      <c r="I175" s="764" t="str">
        <f t="shared" si="25"/>
        <v/>
      </c>
      <c r="J175" s="595"/>
      <c r="K175"/>
      <c r="L175" s="197"/>
      <c r="O175" s="820" t="e">
        <f>$W$23+IF($AN$85,AO173,0)</f>
        <v>#N/A</v>
      </c>
      <c r="P175" s="821" t="e">
        <f>IF(X175="",NA(),IF($AN$85,X175,T175))</f>
        <v>#N/A</v>
      </c>
      <c r="Q175" s="822"/>
      <c r="T175" s="16" t="e">
        <f>IF(AND(F52&lt;&gt;"",$X$5,$X$2),F52,NA())</f>
        <v>#N/A</v>
      </c>
      <c r="V175" s="16" t="str">
        <f>IF(ISNA(T175),"",IF($AE$102=0,T175,ROUND(T175/$AE$102,0)))</f>
        <v/>
      </c>
      <c r="X175" s="16" t="str">
        <f t="shared" si="26"/>
        <v/>
      </c>
      <c r="Y175" s="16" t="str">
        <f t="shared" si="27"/>
        <v/>
      </c>
      <c r="AA175" s="16" t="e">
        <f t="shared" si="28"/>
        <v>#N/A</v>
      </c>
      <c r="AB175" s="16" t="e">
        <f t="shared" si="29"/>
        <v>#N/A</v>
      </c>
      <c r="AM175" s="16" t="str">
        <f>IF(ISNA(P177),"",IF($AE$102=0,P177,ROUND(P177/$AE$102,0)))</f>
        <v/>
      </c>
      <c r="AN175" s="16" t="e">
        <f>IF(AM175="",NA(),COUNTIF(AM175:$AM$286,AM175))</f>
        <v>#N/A</v>
      </c>
      <c r="AO175" s="16" t="e">
        <f>(AN175-1)*$AE$105</f>
        <v>#N/A</v>
      </c>
      <c r="AS175" s="16" t="e">
        <f t="shared" si="30"/>
        <v>#N/A</v>
      </c>
      <c r="AT175" s="16" t="str">
        <f t="shared" si="31"/>
        <v/>
      </c>
      <c r="AU175" s="16" t="str">
        <f t="shared" si="32"/>
        <v/>
      </c>
      <c r="AV175" s="16" t="e">
        <f>IF(AU175="",NA(),COUNTIF(AU175:$AU$188,AU175))</f>
        <v>#N/A</v>
      </c>
      <c r="AW175" s="16" t="e">
        <f t="shared" si="33"/>
        <v>#N/A</v>
      </c>
      <c r="BG175" s="756">
        <v>168</v>
      </c>
      <c r="BH175" s="761"/>
      <c r="BI175" s="762"/>
      <c r="BJ175" s="824"/>
      <c r="BL175" s="756">
        <v>168</v>
      </c>
      <c r="BM175" s="761"/>
      <c r="BN175" s="762"/>
      <c r="BO175" s="824"/>
      <c r="BQ175" s="756">
        <v>168</v>
      </c>
      <c r="BR175" s="761"/>
      <c r="BS175" s="762"/>
      <c r="BT175" s="824"/>
    </row>
    <row r="176" spans="5:72" ht="12" customHeight="1">
      <c r="E176" s="621">
        <v>168</v>
      </c>
      <c r="F176" s="761"/>
      <c r="G176" s="762"/>
      <c r="H176" s="680"/>
      <c r="I176" s="764" t="str">
        <f t="shared" si="25"/>
        <v/>
      </c>
      <c r="J176" s="595"/>
      <c r="K176"/>
      <c r="L176" s="197"/>
      <c r="O176" s="246" t="e">
        <f>$W$24-IF($AN$85,AR174,0)</f>
        <v>#N/A</v>
      </c>
      <c r="P176" s="823" t="e">
        <f>IF(Y176="",NA(),IF($AN$85,Y176,U176))</f>
        <v>#N/A</v>
      </c>
      <c r="Q176" s="822"/>
      <c r="U176" s="16" t="e">
        <f>IF(AND(G52&lt;&gt;"",$X$5,$X$2),G52,NA())</f>
        <v>#N/A</v>
      </c>
      <c r="W176" s="16" t="str">
        <f>IF(ISNA(U176),"",IF($AE$102=0,U176,ROUND(U176/$AE$102,0)))</f>
        <v/>
      </c>
      <c r="X176" s="16" t="str">
        <f t="shared" si="26"/>
        <v/>
      </c>
      <c r="Y176" s="16" t="str">
        <f t="shared" si="27"/>
        <v/>
      </c>
      <c r="AA176" s="16" t="e">
        <f t="shared" si="28"/>
        <v>#N/A</v>
      </c>
      <c r="AB176" s="16" t="e">
        <f t="shared" si="29"/>
        <v>#N/A</v>
      </c>
      <c r="AP176" s="16" t="str">
        <f>IF(ISNA(P178),"",IF($AE$102=0,P178,ROUND(P178/$AE$102,0)))</f>
        <v/>
      </c>
      <c r="AQ176" s="16" t="e">
        <f>IF(AP176="",NA(),COUNTIF(AP176:$AP$286,AP176))</f>
        <v>#N/A</v>
      </c>
      <c r="AR176" s="16" t="e">
        <f>(AQ176-1)*$AE$105</f>
        <v>#N/A</v>
      </c>
      <c r="AS176" s="16" t="e">
        <f t="shared" si="30"/>
        <v>#N/A</v>
      </c>
      <c r="AT176" s="16" t="str">
        <f t="shared" si="31"/>
        <v/>
      </c>
      <c r="AU176" s="16" t="str">
        <f t="shared" si="32"/>
        <v/>
      </c>
      <c r="AV176" s="16" t="e">
        <f>IF(AU176="",NA(),COUNTIF(AU176:$AU$188,AU176))</f>
        <v>#N/A</v>
      </c>
      <c r="AW176" s="16" t="e">
        <f t="shared" si="33"/>
        <v>#N/A</v>
      </c>
      <c r="BG176" s="756">
        <v>169</v>
      </c>
      <c r="BH176" s="761"/>
      <c r="BI176" s="762"/>
      <c r="BJ176" s="824"/>
      <c r="BL176" s="756">
        <v>169</v>
      </c>
      <c r="BM176" s="761"/>
      <c r="BN176" s="762"/>
      <c r="BO176" s="824"/>
      <c r="BQ176" s="756">
        <v>169</v>
      </c>
      <c r="BR176" s="761"/>
      <c r="BS176" s="762"/>
      <c r="BT176" s="824"/>
    </row>
    <row r="177" spans="5:72" ht="12" customHeight="1">
      <c r="E177" s="621">
        <v>169</v>
      </c>
      <c r="F177" s="761"/>
      <c r="G177" s="762"/>
      <c r="H177" s="680"/>
      <c r="I177" s="764" t="str">
        <f t="shared" si="25"/>
        <v/>
      </c>
      <c r="J177" s="595"/>
      <c r="K177"/>
      <c r="L177" s="197"/>
      <c r="O177" s="820" t="e">
        <f>$W$23+IF($AN$85,AO175,0)</f>
        <v>#N/A</v>
      </c>
      <c r="P177" s="821" t="e">
        <f>IF(X177="",NA(),IF($AN$85,X177,T177))</f>
        <v>#N/A</v>
      </c>
      <c r="Q177" s="822"/>
      <c r="T177" s="16" t="e">
        <f>IF(AND(F53&lt;&gt;"",$X$5,$X$2),F53,NA())</f>
        <v>#N/A</v>
      </c>
      <c r="V177" s="16" t="str">
        <f>IF(ISNA(T177),"",IF($AE$102=0,T177,ROUND(T177/$AE$102,0)))</f>
        <v/>
      </c>
      <c r="X177" s="16" t="str">
        <f t="shared" si="26"/>
        <v/>
      </c>
      <c r="Y177" s="16" t="str">
        <f t="shared" si="27"/>
        <v/>
      </c>
      <c r="AA177" s="16" t="e">
        <f t="shared" si="28"/>
        <v>#N/A</v>
      </c>
      <c r="AB177" s="16" t="e">
        <f t="shared" si="29"/>
        <v>#N/A</v>
      </c>
      <c r="AM177" s="16" t="str">
        <f>IF(ISNA(P179),"",IF($AE$102=0,P179,ROUND(P179/$AE$102,0)))</f>
        <v/>
      </c>
      <c r="AN177" s="16" t="e">
        <f>IF(AM177="",NA(),COUNTIF(AM177:$AM$286,AM177))</f>
        <v>#N/A</v>
      </c>
      <c r="AO177" s="16" t="e">
        <f>(AN177-1)*$AE$105</f>
        <v>#N/A</v>
      </c>
      <c r="AS177" s="16" t="e">
        <f t="shared" si="30"/>
        <v>#N/A</v>
      </c>
      <c r="AT177" s="16" t="str">
        <f t="shared" si="31"/>
        <v/>
      </c>
      <c r="AU177" s="16" t="str">
        <f t="shared" si="32"/>
        <v/>
      </c>
      <c r="AV177" s="16" t="e">
        <f>IF(AU177="",NA(),COUNTIF(AU177:$AU$188,AU177))</f>
        <v>#N/A</v>
      </c>
      <c r="AW177" s="16" t="e">
        <f t="shared" si="33"/>
        <v>#N/A</v>
      </c>
      <c r="BG177" s="756">
        <v>170</v>
      </c>
      <c r="BH177" s="761"/>
      <c r="BI177" s="762"/>
      <c r="BJ177" s="824"/>
      <c r="BL177" s="756">
        <v>170</v>
      </c>
      <c r="BM177" s="761"/>
      <c r="BN177" s="762"/>
      <c r="BO177" s="824"/>
      <c r="BQ177" s="756">
        <v>170</v>
      </c>
      <c r="BR177" s="761"/>
      <c r="BS177" s="762"/>
      <c r="BT177" s="824"/>
    </row>
    <row r="178" spans="5:72" ht="12" customHeight="1">
      <c r="E178" s="621">
        <v>170</v>
      </c>
      <c r="F178" s="761"/>
      <c r="G178" s="762"/>
      <c r="H178" s="680"/>
      <c r="I178" s="764" t="str">
        <f t="shared" si="25"/>
        <v/>
      </c>
      <c r="J178" s="595"/>
      <c r="K178"/>
      <c r="L178" s="197"/>
      <c r="O178" s="246" t="e">
        <f>$W$24-IF($AN$85,AR176,0)</f>
        <v>#N/A</v>
      </c>
      <c r="P178" s="823" t="e">
        <f>IF(Y178="",NA(),IF($AN$85,Y178,U178))</f>
        <v>#N/A</v>
      </c>
      <c r="Q178" s="822"/>
      <c r="U178" s="16" t="e">
        <f>IF(AND(G53&lt;&gt;"",$X$5,$X$2),G53,NA())</f>
        <v>#N/A</v>
      </c>
      <c r="W178" s="16" t="str">
        <f>IF(ISNA(U178),"",IF($AE$102=0,U178,ROUND(U178/$AE$102,0)))</f>
        <v/>
      </c>
      <c r="X178" s="16" t="str">
        <f t="shared" si="26"/>
        <v/>
      </c>
      <c r="Y178" s="16" t="str">
        <f t="shared" si="27"/>
        <v/>
      </c>
      <c r="AA178" s="16" t="e">
        <f t="shared" si="28"/>
        <v>#N/A</v>
      </c>
      <c r="AB178" s="16" t="e">
        <f t="shared" si="29"/>
        <v>#N/A</v>
      </c>
      <c r="AP178" s="16" t="str">
        <f>IF(ISNA(P180),"",IF($AE$102=0,P180,ROUND(P180/$AE$102,0)))</f>
        <v/>
      </c>
      <c r="AQ178" s="16" t="e">
        <f>IF(AP178="",NA(),COUNTIF(AP178:$AP$286,AP178))</f>
        <v>#N/A</v>
      </c>
      <c r="AR178" s="16" t="e">
        <f>(AQ178-1)*$AE$105</f>
        <v>#N/A</v>
      </c>
      <c r="AS178" s="16" t="e">
        <f t="shared" si="30"/>
        <v>#N/A</v>
      </c>
      <c r="AT178" s="16" t="str">
        <f t="shared" si="31"/>
        <v/>
      </c>
      <c r="AU178" s="16" t="str">
        <f t="shared" si="32"/>
        <v/>
      </c>
      <c r="AV178" s="16" t="e">
        <f>IF(AU178="",NA(),COUNTIF(AU178:$AU$188,AU178))</f>
        <v>#N/A</v>
      </c>
      <c r="AW178" s="16" t="e">
        <f t="shared" si="33"/>
        <v>#N/A</v>
      </c>
      <c r="BG178" s="756">
        <v>171</v>
      </c>
      <c r="BH178" s="761"/>
      <c r="BI178" s="762"/>
      <c r="BJ178" s="824"/>
      <c r="BL178" s="756">
        <v>171</v>
      </c>
      <c r="BM178" s="761"/>
      <c r="BN178" s="762"/>
      <c r="BO178" s="824"/>
      <c r="BQ178" s="756">
        <v>171</v>
      </c>
      <c r="BR178" s="761"/>
      <c r="BS178" s="762"/>
      <c r="BT178" s="824"/>
    </row>
    <row r="179" spans="5:72" ht="12" customHeight="1">
      <c r="E179" s="621">
        <v>171</v>
      </c>
      <c r="F179" s="761"/>
      <c r="G179" s="762"/>
      <c r="H179" s="680"/>
      <c r="I179" s="764" t="str">
        <f t="shared" si="25"/>
        <v/>
      </c>
      <c r="J179" s="595"/>
      <c r="K179"/>
      <c r="L179" s="197"/>
      <c r="O179" s="820" t="e">
        <f>$W$23+IF($AN$85,AO177,0)</f>
        <v>#N/A</v>
      </c>
      <c r="P179" s="821" t="e">
        <f>IF(X179="",NA(),IF($AN$85,X179,T179))</f>
        <v>#N/A</v>
      </c>
      <c r="Q179" s="822"/>
      <c r="T179" s="16" t="e">
        <f>IF(AND(F54&lt;&gt;"",$X$5,$X$2),F54,NA())</f>
        <v>#N/A</v>
      </c>
      <c r="V179" s="16" t="str">
        <f>IF(ISNA(T179),"",IF($AE$102=0,T179,ROUND(T179/$AE$102,0)))</f>
        <v/>
      </c>
      <c r="X179" s="16" t="str">
        <f t="shared" si="26"/>
        <v/>
      </c>
      <c r="Y179" s="16" t="str">
        <f t="shared" si="27"/>
        <v/>
      </c>
      <c r="AA179" s="16" t="e">
        <f t="shared" si="28"/>
        <v>#N/A</v>
      </c>
      <c r="AB179" s="16" t="e">
        <f t="shared" si="29"/>
        <v>#N/A</v>
      </c>
      <c r="AM179" s="16" t="str">
        <f>IF(ISNA(P181),"",IF($AE$102=0,P181,ROUND(P181/$AE$102,0)))</f>
        <v/>
      </c>
      <c r="AN179" s="16" t="e">
        <f>IF(AM179="",NA(),COUNTIF(AM179:$AM$286,AM179))</f>
        <v>#N/A</v>
      </c>
      <c r="AO179" s="16" t="e">
        <f>(AN179-1)*$AE$105</f>
        <v>#N/A</v>
      </c>
      <c r="AS179" s="16" t="e">
        <f t="shared" si="30"/>
        <v>#N/A</v>
      </c>
      <c r="AT179" s="16" t="str">
        <f t="shared" si="31"/>
        <v/>
      </c>
      <c r="AU179" s="16" t="str">
        <f t="shared" si="32"/>
        <v/>
      </c>
      <c r="AV179" s="16" t="e">
        <f>IF(AU179="",NA(),COUNTIF(AU179:$AU$188,AU179))</f>
        <v>#N/A</v>
      </c>
      <c r="AW179" s="16" t="e">
        <f t="shared" si="33"/>
        <v>#N/A</v>
      </c>
      <c r="BG179" s="756">
        <v>172</v>
      </c>
      <c r="BH179" s="761"/>
      <c r="BI179" s="762"/>
      <c r="BJ179" s="824"/>
      <c r="BL179" s="756">
        <v>172</v>
      </c>
      <c r="BM179" s="761"/>
      <c r="BN179" s="762"/>
      <c r="BO179" s="824"/>
      <c r="BQ179" s="756">
        <v>172</v>
      </c>
      <c r="BR179" s="761"/>
      <c r="BS179" s="762"/>
      <c r="BT179" s="824"/>
    </row>
    <row r="180" spans="5:72" ht="12" customHeight="1">
      <c r="E180" s="621">
        <v>172</v>
      </c>
      <c r="F180" s="761"/>
      <c r="G180" s="762"/>
      <c r="H180" s="680"/>
      <c r="I180" s="764" t="str">
        <f t="shared" si="25"/>
        <v/>
      </c>
      <c r="J180" s="595"/>
      <c r="K180"/>
      <c r="L180" s="197"/>
      <c r="O180" s="246" t="e">
        <f>$W$24-IF($AN$85,AR178,0)</f>
        <v>#N/A</v>
      </c>
      <c r="P180" s="823" t="e">
        <f>IF(Y180="",NA(),IF($AN$85,Y180,U180))</f>
        <v>#N/A</v>
      </c>
      <c r="Q180" s="822"/>
      <c r="U180" s="16" t="e">
        <f>IF(AND(G54&lt;&gt;"",$X$5,$X$2),G54,NA())</f>
        <v>#N/A</v>
      </c>
      <c r="W180" s="16" t="str">
        <f>IF(ISNA(U180),"",IF($AE$102=0,U180,ROUND(U180/$AE$102,0)))</f>
        <v/>
      </c>
      <c r="X180" s="16" t="str">
        <f t="shared" si="26"/>
        <v/>
      </c>
      <c r="Y180" s="16" t="str">
        <f t="shared" si="27"/>
        <v/>
      </c>
      <c r="AA180" s="16" t="e">
        <f t="shared" si="28"/>
        <v>#N/A</v>
      </c>
      <c r="AB180" s="16" t="e">
        <f t="shared" si="29"/>
        <v>#N/A</v>
      </c>
      <c r="AP180" s="16" t="str">
        <f>IF(ISNA(P182),"",IF($AE$102=0,P182,ROUND(P182/$AE$102,0)))</f>
        <v/>
      </c>
      <c r="AQ180" s="16" t="e">
        <f>IF(AP180="",NA(),COUNTIF(AP180:$AP$286,AP180))</f>
        <v>#N/A</v>
      </c>
      <c r="AR180" s="16" t="e">
        <f>(AQ180-1)*$AE$105</f>
        <v>#N/A</v>
      </c>
      <c r="AS180" s="16" t="e">
        <f t="shared" si="30"/>
        <v>#N/A</v>
      </c>
      <c r="AT180" s="16" t="str">
        <f t="shared" si="31"/>
        <v/>
      </c>
      <c r="AU180" s="16" t="str">
        <f t="shared" si="32"/>
        <v/>
      </c>
      <c r="AV180" s="16" t="e">
        <f>IF(AU180="",NA(),COUNTIF(AU180:$AU$188,AU180))</f>
        <v>#N/A</v>
      </c>
      <c r="AW180" s="16" t="e">
        <f t="shared" si="33"/>
        <v>#N/A</v>
      </c>
      <c r="BG180" s="756">
        <v>173</v>
      </c>
      <c r="BH180" s="761"/>
      <c r="BI180" s="762"/>
      <c r="BJ180" s="824"/>
      <c r="BL180" s="756">
        <v>173</v>
      </c>
      <c r="BM180" s="761"/>
      <c r="BN180" s="762"/>
      <c r="BO180" s="824"/>
      <c r="BQ180" s="756">
        <v>173</v>
      </c>
      <c r="BR180" s="761"/>
      <c r="BS180" s="762"/>
      <c r="BT180" s="824"/>
    </row>
    <row r="181" spans="5:72" ht="12" customHeight="1">
      <c r="E181" s="621">
        <v>173</v>
      </c>
      <c r="F181" s="761"/>
      <c r="G181" s="762"/>
      <c r="H181" s="680"/>
      <c r="I181" s="764" t="str">
        <f t="shared" si="25"/>
        <v/>
      </c>
      <c r="J181" s="595"/>
      <c r="K181"/>
      <c r="L181" s="197"/>
      <c r="O181" s="820" t="e">
        <f>$W$23+IF($AN$85,AO179,0)</f>
        <v>#N/A</v>
      </c>
      <c r="P181" s="821" t="e">
        <f>IF(X181="",NA(),IF($AN$85,X181,T181))</f>
        <v>#N/A</v>
      </c>
      <c r="Q181" s="822"/>
      <c r="T181" s="16" t="e">
        <f>IF(AND(F55&lt;&gt;"",$X$5,$X$2),F55,NA())</f>
        <v>#N/A</v>
      </c>
      <c r="V181" s="16" t="str">
        <f>IF(ISNA(T181),"",IF($AE$102=0,T181,ROUND(T181/$AE$102,0)))</f>
        <v/>
      </c>
      <c r="X181" s="16" t="str">
        <f t="shared" si="26"/>
        <v/>
      </c>
      <c r="Y181" s="16" t="str">
        <f t="shared" si="27"/>
        <v/>
      </c>
      <c r="AA181" s="16" t="e">
        <f t="shared" si="28"/>
        <v>#N/A</v>
      </c>
      <c r="AB181" s="16" t="e">
        <f t="shared" si="29"/>
        <v>#N/A</v>
      </c>
      <c r="AM181" s="16" t="str">
        <f>IF(ISNA(P183),"",IF($AE$102=0,P183,ROUND(P183/$AE$102,0)))</f>
        <v/>
      </c>
      <c r="AN181" s="16" t="e">
        <f>IF(AM181="",NA(),COUNTIF(AM181:$AM$286,AM181))</f>
        <v>#N/A</v>
      </c>
      <c r="AO181" s="16" t="e">
        <f>(AN181-1)*$AE$105</f>
        <v>#N/A</v>
      </c>
      <c r="AS181" s="16" t="e">
        <f t="shared" si="30"/>
        <v>#N/A</v>
      </c>
      <c r="AT181" s="16" t="str">
        <f t="shared" si="31"/>
        <v/>
      </c>
      <c r="AU181" s="16" t="str">
        <f t="shared" si="32"/>
        <v/>
      </c>
      <c r="AV181" s="16" t="e">
        <f>IF(AU181="",NA(),COUNTIF(AU181:$AU$188,AU181))</f>
        <v>#N/A</v>
      </c>
      <c r="AW181" s="16" t="e">
        <f t="shared" si="33"/>
        <v>#N/A</v>
      </c>
      <c r="BG181" s="756">
        <v>174</v>
      </c>
      <c r="BH181" s="761"/>
      <c r="BI181" s="762"/>
      <c r="BJ181" s="824"/>
      <c r="BL181" s="756">
        <v>174</v>
      </c>
      <c r="BM181" s="761"/>
      <c r="BN181" s="762"/>
      <c r="BO181" s="824"/>
      <c r="BQ181" s="756">
        <v>174</v>
      </c>
      <c r="BR181" s="761"/>
      <c r="BS181" s="762"/>
      <c r="BT181" s="824"/>
    </row>
    <row r="182" spans="5:72" ht="12" customHeight="1">
      <c r="E182" s="621">
        <v>174</v>
      </c>
      <c r="F182" s="761"/>
      <c r="G182" s="762"/>
      <c r="H182" s="680"/>
      <c r="I182" s="764" t="str">
        <f t="shared" si="25"/>
        <v/>
      </c>
      <c r="J182" s="595"/>
      <c r="K182"/>
      <c r="L182" s="197"/>
      <c r="O182" s="246" t="e">
        <f>$W$24-IF($AN$85,AR180,0)</f>
        <v>#N/A</v>
      </c>
      <c r="P182" s="823" t="e">
        <f>IF(Y182="",NA(),IF($AN$85,Y182,U182))</f>
        <v>#N/A</v>
      </c>
      <c r="Q182" s="822"/>
      <c r="U182" s="16" t="e">
        <f>IF(AND(G55&lt;&gt;"",$X$5,$X$2),G55,NA())</f>
        <v>#N/A</v>
      </c>
      <c r="W182" s="16" t="str">
        <f>IF(ISNA(U182),"",IF($AE$102=0,U182,ROUND(U182/$AE$102,0)))</f>
        <v/>
      </c>
      <c r="X182" s="16" t="str">
        <f t="shared" si="26"/>
        <v/>
      </c>
      <c r="Y182" s="16" t="str">
        <f t="shared" si="27"/>
        <v/>
      </c>
      <c r="AA182" s="16" t="e">
        <f t="shared" si="28"/>
        <v>#N/A</v>
      </c>
      <c r="AB182" s="16" t="e">
        <f t="shared" si="29"/>
        <v>#N/A</v>
      </c>
      <c r="AP182" s="16" t="str">
        <f>IF(ISNA(P184),"",IF($AE$102=0,P184,ROUND(P184/$AE$102,0)))</f>
        <v/>
      </c>
      <c r="AQ182" s="16" t="e">
        <f>IF(AP182="",NA(),COUNTIF(AP182:$AP$286,AP182))</f>
        <v>#N/A</v>
      </c>
      <c r="AR182" s="16" t="e">
        <f>(AQ182-1)*$AE$105</f>
        <v>#N/A</v>
      </c>
      <c r="AS182" s="16" t="e">
        <f t="shared" si="30"/>
        <v>#N/A</v>
      </c>
      <c r="AT182" s="16" t="str">
        <f t="shared" si="31"/>
        <v/>
      </c>
      <c r="AU182" s="16" t="str">
        <f t="shared" si="32"/>
        <v/>
      </c>
      <c r="AV182" s="16" t="e">
        <f>IF(AU182="",NA(),COUNTIF(AU182:$AU$188,AU182))</f>
        <v>#N/A</v>
      </c>
      <c r="AW182" s="16" t="e">
        <f t="shared" si="33"/>
        <v>#N/A</v>
      </c>
      <c r="BG182" s="756">
        <v>175</v>
      </c>
      <c r="BH182" s="761"/>
      <c r="BI182" s="762"/>
      <c r="BJ182" s="824"/>
      <c r="BL182" s="756">
        <v>175</v>
      </c>
      <c r="BM182" s="761"/>
      <c r="BN182" s="762"/>
      <c r="BO182" s="824"/>
      <c r="BQ182" s="756">
        <v>175</v>
      </c>
      <c r="BR182" s="761"/>
      <c r="BS182" s="762"/>
      <c r="BT182" s="824"/>
    </row>
    <row r="183" spans="5:72" ht="12" customHeight="1">
      <c r="E183" s="621">
        <v>175</v>
      </c>
      <c r="F183" s="761"/>
      <c r="G183" s="762"/>
      <c r="H183" s="680"/>
      <c r="I183" s="764" t="str">
        <f t="shared" si="25"/>
        <v/>
      </c>
      <c r="J183" s="595"/>
      <c r="K183"/>
      <c r="L183" s="197"/>
      <c r="O183" s="820" t="e">
        <f>$W$23+IF($AN$85,AO181,0)</f>
        <v>#N/A</v>
      </c>
      <c r="P183" s="821" t="e">
        <f>IF(X183="",NA(),IF($AN$85,X183,T183))</f>
        <v>#N/A</v>
      </c>
      <c r="Q183" s="822"/>
      <c r="T183" s="16" t="e">
        <f>IF(AND(F56&lt;&gt;"",$X$5,$X$2),F56,NA())</f>
        <v>#N/A</v>
      </c>
      <c r="V183" s="16" t="str">
        <f>IF(ISNA(T183),"",IF($AE$102=0,T183,ROUND(T183/$AE$102,0)))</f>
        <v/>
      </c>
      <c r="X183" s="16" t="str">
        <f t="shared" si="26"/>
        <v/>
      </c>
      <c r="Y183" s="16" t="str">
        <f t="shared" si="27"/>
        <v/>
      </c>
      <c r="AA183" s="16" t="e">
        <f t="shared" si="28"/>
        <v>#N/A</v>
      </c>
      <c r="AB183" s="16" t="e">
        <f t="shared" si="29"/>
        <v>#N/A</v>
      </c>
      <c r="AM183" s="16" t="str">
        <f>IF(ISNA(P185),"",IF($AE$102=0,P185,ROUND(P185/$AE$102,0)))</f>
        <v/>
      </c>
      <c r="AN183" s="16" t="e">
        <f>IF(AM183="",NA(),COUNTIF(AM183:$AM$286,AM183))</f>
        <v>#N/A</v>
      </c>
      <c r="AO183" s="16" t="e">
        <f>(AN183-1)*$AE$105</f>
        <v>#N/A</v>
      </c>
      <c r="AS183" s="16" t="e">
        <f t="shared" si="30"/>
        <v>#N/A</v>
      </c>
      <c r="AT183" s="16" t="str">
        <f t="shared" si="31"/>
        <v/>
      </c>
      <c r="AU183" s="16" t="str">
        <f t="shared" si="32"/>
        <v/>
      </c>
      <c r="AV183" s="16" t="e">
        <f>IF(AU183="",NA(),COUNTIF(AU183:$AU$188,AU183))</f>
        <v>#N/A</v>
      </c>
      <c r="AW183" s="16" t="e">
        <f t="shared" si="33"/>
        <v>#N/A</v>
      </c>
      <c r="BG183" s="756">
        <v>176</v>
      </c>
      <c r="BH183" s="761"/>
      <c r="BI183" s="762"/>
      <c r="BJ183" s="824"/>
      <c r="BL183" s="756">
        <v>176</v>
      </c>
      <c r="BM183" s="761"/>
      <c r="BN183" s="762"/>
      <c r="BO183" s="824"/>
      <c r="BQ183" s="756">
        <v>176</v>
      </c>
      <c r="BR183" s="761"/>
      <c r="BS183" s="762"/>
      <c r="BT183" s="824"/>
    </row>
    <row r="184" spans="5:72" ht="12" customHeight="1">
      <c r="E184" s="621">
        <v>176</v>
      </c>
      <c r="F184" s="761"/>
      <c r="G184" s="762"/>
      <c r="H184" s="680"/>
      <c r="I184" s="764" t="str">
        <f t="shared" si="25"/>
        <v/>
      </c>
      <c r="J184" s="595"/>
      <c r="K184"/>
      <c r="L184" s="197"/>
      <c r="O184" s="246" t="e">
        <f>$W$24-IF($AN$85,AR182,0)</f>
        <v>#N/A</v>
      </c>
      <c r="P184" s="823" t="e">
        <f>IF(Y184="",NA(),IF($AN$85,Y184,U184))</f>
        <v>#N/A</v>
      </c>
      <c r="Q184" s="822"/>
      <c r="U184" s="16" t="e">
        <f>IF(AND(G56&lt;&gt;"",$X$5,$X$2),G56,NA())</f>
        <v>#N/A</v>
      </c>
      <c r="W184" s="16" t="str">
        <f>IF(ISNA(U184),"",IF($AE$102=0,U184,ROUND(U184/$AE$102,0)))</f>
        <v/>
      </c>
      <c r="X184" s="16" t="str">
        <f t="shared" si="26"/>
        <v/>
      </c>
      <c r="Y184" s="16" t="str">
        <f t="shared" si="27"/>
        <v/>
      </c>
      <c r="AA184" s="16" t="e">
        <f t="shared" si="28"/>
        <v>#N/A</v>
      </c>
      <c r="AB184" s="16" t="e">
        <f t="shared" si="29"/>
        <v>#N/A</v>
      </c>
      <c r="AP184" s="16" t="str">
        <f>IF(ISNA(P186),"",IF($AE$102=0,P186,ROUND(P186/$AE$102,0)))</f>
        <v/>
      </c>
      <c r="AQ184" s="16" t="e">
        <f>IF(AP184="",NA(),COUNTIF(AP184:$AP$286,AP184))</f>
        <v>#N/A</v>
      </c>
      <c r="AR184" s="16" t="e">
        <f>(AQ184-1)*$AE$105</f>
        <v>#N/A</v>
      </c>
      <c r="AS184" s="16" t="e">
        <f t="shared" si="30"/>
        <v>#N/A</v>
      </c>
      <c r="AT184" s="16" t="str">
        <f t="shared" si="31"/>
        <v/>
      </c>
      <c r="AU184" s="16" t="str">
        <f t="shared" si="32"/>
        <v/>
      </c>
      <c r="AV184" s="16" t="e">
        <f>IF(AU184="",NA(),COUNTIF(AU184:$AU$188,AU184))</f>
        <v>#N/A</v>
      </c>
      <c r="AW184" s="16" t="e">
        <f t="shared" si="33"/>
        <v>#N/A</v>
      </c>
      <c r="BG184" s="756">
        <v>177</v>
      </c>
      <c r="BH184" s="761"/>
      <c r="BI184" s="762"/>
      <c r="BJ184" s="824"/>
      <c r="BL184" s="756">
        <v>177</v>
      </c>
      <c r="BM184" s="761"/>
      <c r="BN184" s="762"/>
      <c r="BO184" s="824"/>
      <c r="BQ184" s="756">
        <v>177</v>
      </c>
      <c r="BR184" s="761"/>
      <c r="BS184" s="762"/>
      <c r="BT184" s="824"/>
    </row>
    <row r="185" spans="5:72" ht="12" customHeight="1">
      <c r="E185" s="621">
        <v>177</v>
      </c>
      <c r="F185" s="761"/>
      <c r="G185" s="762"/>
      <c r="H185" s="680"/>
      <c r="I185" s="764" t="str">
        <f t="shared" si="25"/>
        <v/>
      </c>
      <c r="J185" s="595"/>
      <c r="K185"/>
      <c r="L185" s="197"/>
      <c r="O185" s="820" t="e">
        <f>$W$23+IF($AN$85,AO183,0)</f>
        <v>#N/A</v>
      </c>
      <c r="P185" s="821" t="e">
        <f>IF(X185="",NA(),IF($AN$85,X185,T185))</f>
        <v>#N/A</v>
      </c>
      <c r="Q185" s="822"/>
      <c r="T185" s="16" t="e">
        <f>IF(AND(F57&lt;&gt;"",$X$5,$X$2),F57,NA())</f>
        <v>#N/A</v>
      </c>
      <c r="V185" s="16" t="str">
        <f>IF(ISNA(T185),"",IF($AE$102=0,T185,ROUND(T185/$AE$102,0)))</f>
        <v/>
      </c>
      <c r="X185" s="16" t="str">
        <f t="shared" ref="X185:X216" si="34">IF(V185="","",IF($AE$102=0,T185,V185*$AE$102))</f>
        <v/>
      </c>
      <c r="Y185" s="16" t="str">
        <f t="shared" ref="Y185:Y216" si="35">IF(W185="","",IF($AE$102=0,U185,W185*$AE$102))</f>
        <v/>
      </c>
      <c r="AA185" s="16" t="e">
        <f t="shared" si="28"/>
        <v>#N/A</v>
      </c>
      <c r="AB185" s="16" t="e">
        <f t="shared" si="29"/>
        <v>#N/A</v>
      </c>
      <c r="AM185" s="16" t="str">
        <f>IF(ISNA(P187),"",IF($AE$102=0,P187,ROUND(P187/$AE$102,0)))</f>
        <v/>
      </c>
      <c r="AN185" s="16" t="e">
        <f>IF(AM185="",NA(),COUNTIF(AM185:$AM$286,AM185))</f>
        <v>#N/A</v>
      </c>
      <c r="AO185" s="16" t="e">
        <f>(AN185-1)*$AE$105</f>
        <v>#N/A</v>
      </c>
      <c r="AS185" s="16" t="e">
        <f>IF(AND(I105&lt;&gt;"",$X$6,$X$2),$M$16+I105,NA())</f>
        <v>#N/A</v>
      </c>
      <c r="AT185" s="16" t="str">
        <f>IF(AU185="","",IF($AE$102=0,AS185,AU185*$AE$102))</f>
        <v/>
      </c>
      <c r="AU185" s="16" t="str">
        <f t="shared" si="32"/>
        <v/>
      </c>
      <c r="AV185" s="16" t="e">
        <f>IF(AU185="",NA(),COUNTIF(AU185:$AU$188,AU185))</f>
        <v>#N/A</v>
      </c>
      <c r="AW185" s="16" t="e">
        <f>(AV185-1)*$AE$105*$AW$87</f>
        <v>#N/A</v>
      </c>
      <c r="BG185" s="756">
        <v>178</v>
      </c>
      <c r="BH185" s="761"/>
      <c r="BI185" s="762"/>
      <c r="BJ185" s="824"/>
      <c r="BL185" s="756">
        <v>178</v>
      </c>
      <c r="BM185" s="761"/>
      <c r="BN185" s="762"/>
      <c r="BO185" s="824"/>
      <c r="BQ185" s="756">
        <v>178</v>
      </c>
      <c r="BR185" s="761"/>
      <c r="BS185" s="762"/>
      <c r="BT185" s="824"/>
    </row>
    <row r="186" spans="5:72" ht="12" customHeight="1">
      <c r="E186" s="621">
        <v>178</v>
      </c>
      <c r="F186" s="761"/>
      <c r="G186" s="762"/>
      <c r="H186" s="680"/>
      <c r="I186" s="764" t="str">
        <f t="shared" si="25"/>
        <v/>
      </c>
      <c r="J186" s="595"/>
      <c r="K186"/>
      <c r="L186" s="197"/>
      <c r="O186" s="246" t="e">
        <f>$W$24-IF($AN$85,AR184,0)</f>
        <v>#N/A</v>
      </c>
      <c r="P186" s="823" t="e">
        <f>IF(Y186="",NA(),IF($AN$85,Y186,U186))</f>
        <v>#N/A</v>
      </c>
      <c r="Q186" s="822"/>
      <c r="U186" s="16" t="e">
        <f>IF(AND(G57&lt;&gt;"",$X$5,$X$2),G57,NA())</f>
        <v>#N/A</v>
      </c>
      <c r="W186" s="16" t="str">
        <f>IF(ISNA(U186),"",IF($AE$102=0,U186,ROUND(U186/$AE$102,0)))</f>
        <v/>
      </c>
      <c r="X186" s="16" t="str">
        <f t="shared" si="34"/>
        <v/>
      </c>
      <c r="Y186" s="16" t="str">
        <f t="shared" si="35"/>
        <v/>
      </c>
      <c r="AA186" s="16" t="e">
        <f t="shared" si="28"/>
        <v>#N/A</v>
      </c>
      <c r="AB186" s="16" t="e">
        <f t="shared" si="29"/>
        <v>#N/A</v>
      </c>
      <c r="AP186" s="16" t="str">
        <f>IF(ISNA(P188),"",IF($AE$102=0,P188,ROUND(P188/$AE$102,0)))</f>
        <v/>
      </c>
      <c r="AQ186" s="16" t="e">
        <f>IF(AP186="",NA(),COUNTIF(AP186:$AP$286,AP186))</f>
        <v>#N/A</v>
      </c>
      <c r="AR186" s="16" t="e">
        <f>(AQ186-1)*$AE$105</f>
        <v>#N/A</v>
      </c>
      <c r="AS186" s="16" t="e">
        <f>IF(AND(I106&lt;&gt;"",$X$6,$X$2),$M$16+I106,NA())</f>
        <v>#N/A</v>
      </c>
      <c r="AT186" s="16" t="str">
        <f>IF(AU186="","",IF($AE$102=0,AS186,AU186*$AE$102))</f>
        <v/>
      </c>
      <c r="AU186" s="16" t="str">
        <f t="shared" si="32"/>
        <v/>
      </c>
      <c r="AV186" s="16" t="e">
        <f>IF(AU186="",NA(),COUNTIF(AU186:$AU$188,AU186))</f>
        <v>#N/A</v>
      </c>
      <c r="AW186" s="16" t="e">
        <f>(AV186-1)*$AE$105*$AW$87</f>
        <v>#N/A</v>
      </c>
      <c r="BG186" s="756">
        <v>179</v>
      </c>
      <c r="BH186" s="761"/>
      <c r="BI186" s="762"/>
      <c r="BJ186" s="824"/>
      <c r="BL186" s="756">
        <v>179</v>
      </c>
      <c r="BM186" s="761"/>
      <c r="BN186" s="762"/>
      <c r="BO186" s="824"/>
      <c r="BQ186" s="756">
        <v>179</v>
      </c>
      <c r="BR186" s="761"/>
      <c r="BS186" s="762"/>
      <c r="BT186" s="824"/>
    </row>
    <row r="187" spans="5:72" ht="12" customHeight="1">
      <c r="E187" s="621">
        <v>179</v>
      </c>
      <c r="F187" s="761"/>
      <c r="G187" s="762"/>
      <c r="H187" s="680"/>
      <c r="I187" s="764" t="str">
        <f t="shared" si="25"/>
        <v/>
      </c>
      <c r="J187" s="595"/>
      <c r="K187"/>
      <c r="L187" s="197"/>
      <c r="O187" s="820" t="e">
        <f>$W$23+IF($AN$85,AO185,0)</f>
        <v>#N/A</v>
      </c>
      <c r="P187" s="821" t="e">
        <f>IF(X187="",NA(),IF($AN$85,X187,T187))</f>
        <v>#N/A</v>
      </c>
      <c r="Q187" s="822"/>
      <c r="T187" s="16" t="e">
        <f>IF(AND(F58&lt;&gt;"",$X$5,$X$2),F58,NA())</f>
        <v>#N/A</v>
      </c>
      <c r="V187" s="16" t="str">
        <f>IF(ISNA(T187),"",IF($AE$102=0,T187,ROUND(T187/$AE$102,0)))</f>
        <v/>
      </c>
      <c r="X187" s="16" t="str">
        <f t="shared" si="34"/>
        <v/>
      </c>
      <c r="Y187" s="16" t="str">
        <f t="shared" si="35"/>
        <v/>
      </c>
      <c r="AA187" s="16" t="e">
        <f t="shared" si="28"/>
        <v>#N/A</v>
      </c>
      <c r="AB187" s="16" t="e">
        <f t="shared" si="29"/>
        <v>#N/A</v>
      </c>
      <c r="AM187" s="16" t="str">
        <f>IF(ISNA(P189),"",IF($AE$102=0,P189,ROUND(P189/$AE$102,0)))</f>
        <v/>
      </c>
      <c r="AN187" s="16" t="e">
        <f>IF(AM187="",NA(),COUNTIF(AM187:$AM$286,AM187))</f>
        <v>#N/A</v>
      </c>
      <c r="AO187" s="16" t="e">
        <f>(AN187-1)*$AE$105</f>
        <v>#N/A</v>
      </c>
      <c r="AS187" s="16" t="e">
        <f>IF(AND(I107&lt;&gt;"",$X$6,$X$2),$M$16+I107,NA())</f>
        <v>#N/A</v>
      </c>
      <c r="AT187" s="16" t="str">
        <f>IF(AU187="","",IF($AE$102=0,AS187,AU187*$AE$102))</f>
        <v/>
      </c>
      <c r="AU187" s="16" t="str">
        <f t="shared" si="32"/>
        <v/>
      </c>
      <c r="AV187" s="16" t="e">
        <f>IF(AU187="",NA(),COUNTIF(AU187:$AU$188,AU187))</f>
        <v>#N/A</v>
      </c>
      <c r="AW187" s="16" t="e">
        <f>(AV187-1)*$AE$105*$AW$87</f>
        <v>#N/A</v>
      </c>
      <c r="BG187" s="756">
        <v>180</v>
      </c>
      <c r="BH187" s="761"/>
      <c r="BI187" s="762"/>
      <c r="BJ187" s="824"/>
      <c r="BL187" s="756">
        <v>180</v>
      </c>
      <c r="BM187" s="761"/>
      <c r="BN187" s="762"/>
      <c r="BO187" s="824"/>
      <c r="BQ187" s="756">
        <v>180</v>
      </c>
      <c r="BR187" s="761"/>
      <c r="BS187" s="762"/>
      <c r="BT187" s="824"/>
    </row>
    <row r="188" spans="5:72" ht="12" customHeight="1">
      <c r="E188" s="621">
        <v>180</v>
      </c>
      <c r="F188" s="761"/>
      <c r="G188" s="762"/>
      <c r="H188" s="680"/>
      <c r="I188" s="764" t="str">
        <f t="shared" si="25"/>
        <v/>
      </c>
      <c r="J188" s="595"/>
      <c r="K188"/>
      <c r="L188" s="197"/>
      <c r="O188" s="246" t="e">
        <f>$W$24-IF($AN$85,AR186,0)</f>
        <v>#N/A</v>
      </c>
      <c r="P188" s="823" t="e">
        <f>IF(Y188="",NA(),IF($AN$85,Y188,U188))</f>
        <v>#N/A</v>
      </c>
      <c r="Q188" s="822"/>
      <c r="U188" s="16" t="e">
        <f>IF(AND(G58&lt;&gt;"",$X$5,$X$2),G58,NA())</f>
        <v>#N/A</v>
      </c>
      <c r="W188" s="16" t="str">
        <f>IF(ISNA(U188),"",IF($AE$102=0,U188,ROUND(U188/$AE$102,0)))</f>
        <v/>
      </c>
      <c r="X188" s="16" t="str">
        <f t="shared" si="34"/>
        <v/>
      </c>
      <c r="Y188" s="16" t="str">
        <f t="shared" si="35"/>
        <v/>
      </c>
      <c r="AA188" s="16" t="e">
        <f t="shared" si="28"/>
        <v>#N/A</v>
      </c>
      <c r="AB188" s="16" t="e">
        <f t="shared" si="29"/>
        <v>#N/A</v>
      </c>
      <c r="AP188" s="16" t="str">
        <f>IF(ISNA(P190),"",IF($AE$102=0,P190,ROUND(P190/$AE$102,0)))</f>
        <v/>
      </c>
      <c r="AQ188" s="16" t="e">
        <f>IF(AP188="",NA(),COUNTIF(AP188:$AP$286,AP188))</f>
        <v>#N/A</v>
      </c>
      <c r="AR188" s="16" t="e">
        <f>(AQ188-1)*$AE$105</f>
        <v>#N/A</v>
      </c>
      <c r="AS188" s="16" t="e">
        <f>IF(AND(I108&lt;&gt;"",$X$6,$X$2),$M$16+I108,NA())</f>
        <v>#N/A</v>
      </c>
      <c r="AT188" s="16" t="str">
        <f>IF(AU188="","",IF($AE$102=0,AS188,AU188*$AE$102))</f>
        <v/>
      </c>
      <c r="AU188" s="16" t="str">
        <f t="shared" si="32"/>
        <v/>
      </c>
      <c r="AV188" s="16" t="e">
        <f>IF(AU188="",NA(),COUNTIF(AU188:$AU$188,AU188))</f>
        <v>#N/A</v>
      </c>
      <c r="AW188" s="16" t="e">
        <f>(AV188-1)*$AE$105*$AW$87</f>
        <v>#N/A</v>
      </c>
      <c r="BG188" s="756">
        <v>181</v>
      </c>
      <c r="BH188" s="761"/>
      <c r="BI188" s="762"/>
      <c r="BJ188" s="824"/>
      <c r="BL188" s="756">
        <v>181</v>
      </c>
      <c r="BM188" s="761"/>
      <c r="BN188" s="762"/>
      <c r="BO188" s="824"/>
      <c r="BQ188" s="756">
        <v>181</v>
      </c>
      <c r="BR188" s="761"/>
      <c r="BS188" s="762"/>
      <c r="BT188" s="824"/>
    </row>
    <row r="189" spans="5:72" ht="12" customHeight="1">
      <c r="E189" s="621">
        <v>181</v>
      </c>
      <c r="F189" s="761"/>
      <c r="G189" s="762"/>
      <c r="H189" s="680"/>
      <c r="I189" s="764" t="str">
        <f t="shared" si="25"/>
        <v/>
      </c>
      <c r="J189" s="595"/>
      <c r="K189"/>
      <c r="L189" s="197"/>
      <c r="O189" s="820" t="e">
        <f>$W$23+IF($AN$85,AO187,0)</f>
        <v>#N/A</v>
      </c>
      <c r="P189" s="821" t="e">
        <f>IF(X189="",NA(),IF($AN$85,X189,T189))</f>
        <v>#N/A</v>
      </c>
      <c r="Q189" s="822"/>
      <c r="T189" s="16" t="e">
        <f>IF(AND(F59&lt;&gt;"",$X$5,$X$2),F59,NA())</f>
        <v>#N/A</v>
      </c>
      <c r="V189" s="16" t="str">
        <f>IF(ISNA(T189),"",IF($AE$102=0,T189,ROUND(T189/$AE$102,0)))</f>
        <v/>
      </c>
      <c r="X189" s="16" t="str">
        <f t="shared" si="34"/>
        <v/>
      </c>
      <c r="Y189" s="16" t="str">
        <f t="shared" si="35"/>
        <v/>
      </c>
      <c r="AM189" s="16" t="str">
        <f>IF(ISNA(P191),"",IF($AE$102=0,P191,ROUND(P191/$AE$102,0)))</f>
        <v/>
      </c>
      <c r="AN189" s="16" t="e">
        <f>IF(AM189="",NA(),COUNTIF(AM189:$AM$286,AM189))</f>
        <v>#N/A</v>
      </c>
      <c r="AO189" s="16" t="e">
        <f>(AN189-1)*$AE$105</f>
        <v>#N/A</v>
      </c>
      <c r="BG189" s="756">
        <v>182</v>
      </c>
      <c r="BH189" s="761"/>
      <c r="BI189" s="762"/>
      <c r="BJ189" s="824"/>
      <c r="BL189" s="756">
        <v>182</v>
      </c>
      <c r="BM189" s="761"/>
      <c r="BN189" s="762"/>
      <c r="BO189" s="824"/>
      <c r="BQ189" s="756">
        <v>182</v>
      </c>
      <c r="BR189" s="761"/>
      <c r="BS189" s="762"/>
      <c r="BT189" s="824"/>
    </row>
    <row r="190" spans="5:72" ht="12" customHeight="1">
      <c r="E190" s="621">
        <v>182</v>
      </c>
      <c r="F190" s="761"/>
      <c r="G190" s="762"/>
      <c r="H190" s="680"/>
      <c r="I190" s="764" t="str">
        <f t="shared" si="25"/>
        <v/>
      </c>
      <c r="J190" s="595"/>
      <c r="K190"/>
      <c r="L190" s="197"/>
      <c r="O190" s="246" t="e">
        <f>$W$24-IF($AN$85,AR188,0)</f>
        <v>#N/A</v>
      </c>
      <c r="P190" s="823" t="e">
        <f>IF(Y190="",NA(),IF($AN$85,Y190,U190))</f>
        <v>#N/A</v>
      </c>
      <c r="Q190" s="822"/>
      <c r="U190" s="16" t="e">
        <f>IF(AND(G59&lt;&gt;"",$X$5,$X$2),G59,NA())</f>
        <v>#N/A</v>
      </c>
      <c r="W190" s="16" t="str">
        <f>IF(ISNA(U190),"",IF($AE$102=0,U190,ROUND(U190/$AE$102,0)))</f>
        <v/>
      </c>
      <c r="X190" s="16" t="str">
        <f t="shared" si="34"/>
        <v/>
      </c>
      <c r="Y190" s="16" t="str">
        <f t="shared" si="35"/>
        <v/>
      </c>
      <c r="AP190" s="16" t="str">
        <f>IF(ISNA(P192),"",IF($AE$102=0,P192,ROUND(P192/$AE$102,0)))</f>
        <v/>
      </c>
      <c r="AQ190" s="16" t="e">
        <f>IF(AP190="",NA(),COUNTIF(AP190:$AP$286,AP190))</f>
        <v>#N/A</v>
      </c>
      <c r="AR190" s="16" t="e">
        <f>(AQ190-1)*$AE$105</f>
        <v>#N/A</v>
      </c>
      <c r="BG190" s="756">
        <v>183</v>
      </c>
      <c r="BH190" s="761"/>
      <c r="BI190" s="762"/>
      <c r="BJ190" s="824"/>
      <c r="BL190" s="756">
        <v>183</v>
      </c>
      <c r="BM190" s="761"/>
      <c r="BN190" s="762"/>
      <c r="BO190" s="824"/>
      <c r="BQ190" s="756">
        <v>183</v>
      </c>
      <c r="BR190" s="761"/>
      <c r="BS190" s="762"/>
      <c r="BT190" s="824"/>
    </row>
    <row r="191" spans="5:72" ht="12" customHeight="1">
      <c r="E191" s="621">
        <v>183</v>
      </c>
      <c r="F191" s="761"/>
      <c r="G191" s="762"/>
      <c r="H191" s="680"/>
      <c r="I191" s="764" t="str">
        <f t="shared" si="25"/>
        <v/>
      </c>
      <c r="J191" s="595"/>
      <c r="K191"/>
      <c r="L191" s="197"/>
      <c r="O191" s="820" t="e">
        <f>$W$23+IF($AN$85,AO189,0)</f>
        <v>#N/A</v>
      </c>
      <c r="P191" s="821" t="e">
        <f>IF(X191="",NA(),IF($AN$85,X191,T191))</f>
        <v>#N/A</v>
      </c>
      <c r="Q191" s="822"/>
      <c r="T191" s="16" t="e">
        <f>IF(AND(F60&lt;&gt;"",$X$5,$X$2),F60,NA())</f>
        <v>#N/A</v>
      </c>
      <c r="V191" s="16" t="str">
        <f>IF(ISNA(T191),"",IF($AE$102=0,T191,ROUND(T191/$AE$102,0)))</f>
        <v/>
      </c>
      <c r="X191" s="16" t="str">
        <f t="shared" si="34"/>
        <v/>
      </c>
      <c r="Y191" s="16" t="str">
        <f t="shared" si="35"/>
        <v/>
      </c>
      <c r="AM191" s="16" t="str">
        <f>IF(ISNA(P193),"",IF($AE$102=0,P193,ROUND(P193/$AE$102,0)))</f>
        <v/>
      </c>
      <c r="AN191" s="16" t="e">
        <f>IF(AM191="",NA(),COUNTIF(AM191:$AM$286,AM191))</f>
        <v>#N/A</v>
      </c>
      <c r="AO191" s="16" t="e">
        <f>(AN191-1)*$AE$105</f>
        <v>#N/A</v>
      </c>
      <c r="BG191" s="756">
        <v>184</v>
      </c>
      <c r="BH191" s="761"/>
      <c r="BI191" s="762"/>
      <c r="BJ191" s="824"/>
      <c r="BL191" s="756">
        <v>184</v>
      </c>
      <c r="BM191" s="761"/>
      <c r="BN191" s="762"/>
      <c r="BO191" s="824"/>
      <c r="BQ191" s="756">
        <v>184</v>
      </c>
      <c r="BR191" s="761"/>
      <c r="BS191" s="762"/>
      <c r="BT191" s="824"/>
    </row>
    <row r="192" spans="5:72" ht="12" customHeight="1">
      <c r="E192" s="621">
        <v>184</v>
      </c>
      <c r="F192" s="761"/>
      <c r="G192" s="762"/>
      <c r="H192" s="680"/>
      <c r="I192" s="764" t="str">
        <f t="shared" si="25"/>
        <v/>
      </c>
      <c r="J192" s="595"/>
      <c r="K192"/>
      <c r="L192" s="197"/>
      <c r="O192" s="246" t="e">
        <f>$W$24-IF($AN$85,AR190,0)</f>
        <v>#N/A</v>
      </c>
      <c r="P192" s="823" t="e">
        <f>IF(Y192="",NA(),IF($AN$85,Y192,U192))</f>
        <v>#N/A</v>
      </c>
      <c r="Q192" s="822"/>
      <c r="U192" s="16" t="e">
        <f>IF(AND(G60&lt;&gt;"",$X$5,$X$2),G60,NA())</f>
        <v>#N/A</v>
      </c>
      <c r="W192" s="16" t="str">
        <f>IF(ISNA(U192),"",IF($AE$102=0,U192,ROUND(U192/$AE$102,0)))</f>
        <v/>
      </c>
      <c r="X192" s="16" t="str">
        <f t="shared" si="34"/>
        <v/>
      </c>
      <c r="Y192" s="16" t="str">
        <f t="shared" si="35"/>
        <v/>
      </c>
      <c r="AP192" s="16" t="str">
        <f>IF(ISNA(P194),"",IF($AE$102=0,P194,ROUND(P194/$AE$102,0)))</f>
        <v/>
      </c>
      <c r="AQ192" s="16" t="e">
        <f>IF(AP192="",NA(),COUNTIF(AP192:$AP$286,AP192))</f>
        <v>#N/A</v>
      </c>
      <c r="AR192" s="16" t="e">
        <f>(AQ192-1)*$AE$105</f>
        <v>#N/A</v>
      </c>
      <c r="BG192" s="756">
        <v>185</v>
      </c>
      <c r="BH192" s="761"/>
      <c r="BI192" s="762"/>
      <c r="BJ192" s="824"/>
      <c r="BL192" s="756">
        <v>185</v>
      </c>
      <c r="BM192" s="761"/>
      <c r="BN192" s="762"/>
      <c r="BO192" s="824"/>
      <c r="BQ192" s="756">
        <v>185</v>
      </c>
      <c r="BR192" s="761"/>
      <c r="BS192" s="762"/>
      <c r="BT192" s="824"/>
    </row>
    <row r="193" spans="5:72" ht="12" customHeight="1">
      <c r="E193" s="621">
        <v>185</v>
      </c>
      <c r="F193" s="761"/>
      <c r="G193" s="762"/>
      <c r="H193" s="680"/>
      <c r="I193" s="764" t="str">
        <f t="shared" si="25"/>
        <v/>
      </c>
      <c r="J193" s="595"/>
      <c r="K193"/>
      <c r="L193" s="197"/>
      <c r="O193" s="820" t="e">
        <f>$W$23+IF($AN$85,AO191,0)</f>
        <v>#N/A</v>
      </c>
      <c r="P193" s="821" t="e">
        <f>IF(X193="",NA(),IF($AN$85,X193,T193))</f>
        <v>#N/A</v>
      </c>
      <c r="Q193" s="822"/>
      <c r="T193" s="16" t="e">
        <f>IF(AND(F61&lt;&gt;"",$X$5,$X$2),F61,NA())</f>
        <v>#N/A</v>
      </c>
      <c r="V193" s="16" t="str">
        <f>IF(ISNA(T193),"",IF($AE$102=0,T193,ROUND(T193/$AE$102,0)))</f>
        <v/>
      </c>
      <c r="X193" s="16" t="str">
        <f t="shared" si="34"/>
        <v/>
      </c>
      <c r="Y193" s="16" t="str">
        <f t="shared" si="35"/>
        <v/>
      </c>
      <c r="AM193" s="16" t="str">
        <f>IF(ISNA(P195),"",IF($AE$102=0,P195,ROUND(P195/$AE$102,0)))</f>
        <v/>
      </c>
      <c r="AN193" s="16" t="e">
        <f>IF(AM193="",NA(),COUNTIF(AM193:$AM$286,AM193))</f>
        <v>#N/A</v>
      </c>
      <c r="AO193" s="16" t="e">
        <f>(AN193-1)*$AE$105</f>
        <v>#N/A</v>
      </c>
      <c r="BG193" s="756">
        <v>186</v>
      </c>
      <c r="BH193" s="761"/>
      <c r="BI193" s="762"/>
      <c r="BJ193" s="824"/>
      <c r="BL193" s="756">
        <v>186</v>
      </c>
      <c r="BM193" s="761"/>
      <c r="BN193" s="762"/>
      <c r="BO193" s="824"/>
      <c r="BQ193" s="756">
        <v>186</v>
      </c>
      <c r="BR193" s="761"/>
      <c r="BS193" s="762"/>
      <c r="BT193" s="824"/>
    </row>
    <row r="194" spans="5:72" ht="12" customHeight="1">
      <c r="E194" s="621">
        <v>186</v>
      </c>
      <c r="F194" s="761"/>
      <c r="G194" s="762"/>
      <c r="H194" s="680"/>
      <c r="I194" s="764" t="str">
        <f t="shared" si="25"/>
        <v/>
      </c>
      <c r="J194" s="595"/>
      <c r="K194"/>
      <c r="L194" s="197"/>
      <c r="O194" s="246" t="e">
        <f>$W$24-IF($AN$85,AR192,0)</f>
        <v>#N/A</v>
      </c>
      <c r="P194" s="823" t="e">
        <f>IF(Y194="",NA(),IF($AN$85,Y194,U194))</f>
        <v>#N/A</v>
      </c>
      <c r="Q194" s="822"/>
      <c r="U194" s="16" t="e">
        <f>IF(AND(G61&lt;&gt;"",$X$5,$X$2),G61,NA())</f>
        <v>#N/A</v>
      </c>
      <c r="W194" s="16" t="str">
        <f>IF(ISNA(U194),"",IF($AE$102=0,U194,ROUND(U194/$AE$102,0)))</f>
        <v/>
      </c>
      <c r="X194" s="16" t="str">
        <f t="shared" si="34"/>
        <v/>
      </c>
      <c r="Y194" s="16" t="str">
        <f t="shared" si="35"/>
        <v/>
      </c>
      <c r="AP194" s="16" t="str">
        <f>IF(ISNA(P196),"",IF($AE$102=0,P196,ROUND(P196/$AE$102,0)))</f>
        <v/>
      </c>
      <c r="AQ194" s="16" t="e">
        <f>IF(AP194="",NA(),COUNTIF(AP194:$AP$286,AP194))</f>
        <v>#N/A</v>
      </c>
      <c r="AR194" s="16" t="e">
        <f>(AQ194-1)*$AE$105</f>
        <v>#N/A</v>
      </c>
      <c r="BG194" s="756">
        <v>187</v>
      </c>
      <c r="BH194" s="761"/>
      <c r="BI194" s="762"/>
      <c r="BJ194" s="824"/>
      <c r="BL194" s="756">
        <v>187</v>
      </c>
      <c r="BM194" s="761"/>
      <c r="BN194" s="762"/>
      <c r="BO194" s="824"/>
      <c r="BQ194" s="756">
        <v>187</v>
      </c>
      <c r="BR194" s="761"/>
      <c r="BS194" s="762"/>
      <c r="BT194" s="824"/>
    </row>
    <row r="195" spans="5:72" ht="12" customHeight="1">
      <c r="E195" s="621">
        <v>187</v>
      </c>
      <c r="F195" s="761"/>
      <c r="G195" s="762"/>
      <c r="H195" s="680"/>
      <c r="I195" s="764" t="str">
        <f t="shared" si="25"/>
        <v/>
      </c>
      <c r="J195" s="595"/>
      <c r="K195"/>
      <c r="L195" s="197"/>
      <c r="O195" s="820" t="e">
        <f>$W$23+IF($AN$85,AO193,0)</f>
        <v>#N/A</v>
      </c>
      <c r="P195" s="821" t="e">
        <f>IF(X195="",NA(),IF($AN$85,X195,T195))</f>
        <v>#N/A</v>
      </c>
      <c r="Q195" s="822"/>
      <c r="T195" s="16" t="e">
        <f>IF(AND(F62&lt;&gt;"",$X$5,$X$2),F62,NA())</f>
        <v>#N/A</v>
      </c>
      <c r="V195" s="16" t="str">
        <f>IF(ISNA(T195),"",IF($AE$102=0,T195,ROUND(T195/$AE$102,0)))</f>
        <v/>
      </c>
      <c r="X195" s="16" t="str">
        <f t="shared" si="34"/>
        <v/>
      </c>
      <c r="Y195" s="16" t="str">
        <f t="shared" si="35"/>
        <v/>
      </c>
      <c r="AM195" s="16" t="str">
        <f>IF(ISNA(P197),"",IF($AE$102=0,P197,ROUND(P197/$AE$102,0)))</f>
        <v/>
      </c>
      <c r="AN195" s="16" t="e">
        <f>IF(AM195="",NA(),COUNTIF(AM195:$AM$286,AM195))</f>
        <v>#N/A</v>
      </c>
      <c r="AO195" s="16" t="e">
        <f>(AN195-1)*$AE$105</f>
        <v>#N/A</v>
      </c>
      <c r="BG195" s="756">
        <v>188</v>
      </c>
      <c r="BH195" s="761"/>
      <c r="BI195" s="762"/>
      <c r="BJ195" s="824"/>
      <c r="BL195" s="756">
        <v>188</v>
      </c>
      <c r="BM195" s="761"/>
      <c r="BN195" s="762"/>
      <c r="BO195" s="824"/>
      <c r="BQ195" s="756">
        <v>188</v>
      </c>
      <c r="BR195" s="761"/>
      <c r="BS195" s="762"/>
      <c r="BT195" s="824"/>
    </row>
    <row r="196" spans="5:72" ht="12" customHeight="1">
      <c r="E196" s="621">
        <v>188</v>
      </c>
      <c r="F196" s="761"/>
      <c r="G196" s="762"/>
      <c r="H196" s="680"/>
      <c r="I196" s="764" t="str">
        <f t="shared" si="25"/>
        <v/>
      </c>
      <c r="J196" s="595"/>
      <c r="K196"/>
      <c r="L196" s="197"/>
      <c r="O196" s="246" t="e">
        <f>$W$24-IF($AN$85,AR194,0)</f>
        <v>#N/A</v>
      </c>
      <c r="P196" s="823" t="e">
        <f>IF(Y196="",NA(),IF($AN$85,Y196,U196))</f>
        <v>#N/A</v>
      </c>
      <c r="Q196" s="822"/>
      <c r="U196" s="16" t="e">
        <f>IF(AND(G62&lt;&gt;"",$X$5,$X$2),G62,NA())</f>
        <v>#N/A</v>
      </c>
      <c r="W196" s="16" t="str">
        <f>IF(ISNA(U196),"",IF($AE$102=0,U196,ROUND(U196/$AE$102,0)))</f>
        <v/>
      </c>
      <c r="X196" s="16" t="str">
        <f t="shared" si="34"/>
        <v/>
      </c>
      <c r="Y196" s="16" t="str">
        <f t="shared" si="35"/>
        <v/>
      </c>
      <c r="AP196" s="16" t="str">
        <f>IF(ISNA(P198),"",IF($AE$102=0,P198,ROUND(P198/$AE$102,0)))</f>
        <v/>
      </c>
      <c r="AQ196" s="16" t="e">
        <f>IF(AP196="",NA(),COUNTIF(AP196:$AP$286,AP196))</f>
        <v>#N/A</v>
      </c>
      <c r="AR196" s="16" t="e">
        <f>(AQ196-1)*$AE$105</f>
        <v>#N/A</v>
      </c>
      <c r="BG196" s="756">
        <v>189</v>
      </c>
      <c r="BH196" s="761"/>
      <c r="BI196" s="762"/>
      <c r="BJ196" s="824"/>
      <c r="BL196" s="756">
        <v>189</v>
      </c>
      <c r="BM196" s="761"/>
      <c r="BN196" s="762"/>
      <c r="BO196" s="824"/>
      <c r="BQ196" s="756">
        <v>189</v>
      </c>
      <c r="BR196" s="761"/>
      <c r="BS196" s="762"/>
      <c r="BT196" s="824"/>
    </row>
    <row r="197" spans="5:72" ht="12" customHeight="1">
      <c r="E197" s="621">
        <v>189</v>
      </c>
      <c r="F197" s="761"/>
      <c r="G197" s="762"/>
      <c r="H197" s="680"/>
      <c r="I197" s="764" t="str">
        <f t="shared" si="25"/>
        <v/>
      </c>
      <c r="J197" s="595"/>
      <c r="K197"/>
      <c r="L197" s="197"/>
      <c r="O197" s="820" t="e">
        <f>$W$23+IF($AN$85,AO195,0)</f>
        <v>#N/A</v>
      </c>
      <c r="P197" s="821" t="e">
        <f>IF(X197="",NA(),IF($AN$85,X197,T197))</f>
        <v>#N/A</v>
      </c>
      <c r="Q197" s="822"/>
      <c r="T197" s="16" t="e">
        <f>IF(AND(F63&lt;&gt;"",$X$5,$X$2),F63,NA())</f>
        <v>#N/A</v>
      </c>
      <c r="V197" s="16" t="str">
        <f>IF(ISNA(T197),"",IF($AE$102=0,T197,ROUND(T197/$AE$102,0)))</f>
        <v/>
      </c>
      <c r="X197" s="16" t="str">
        <f t="shared" si="34"/>
        <v/>
      </c>
      <c r="Y197" s="16" t="str">
        <f t="shared" si="35"/>
        <v/>
      </c>
      <c r="AM197" s="16" t="str">
        <f>IF(ISNA(P199),"",IF($AE$102=0,P199,ROUND(P199/$AE$102,0)))</f>
        <v/>
      </c>
      <c r="AN197" s="16" t="e">
        <f>IF(AM197="",NA(),COUNTIF(AM197:$AM$286,AM197))</f>
        <v>#N/A</v>
      </c>
      <c r="AO197" s="16" t="e">
        <f>(AN197-1)*$AE$105</f>
        <v>#N/A</v>
      </c>
      <c r="BG197" s="756">
        <v>190</v>
      </c>
      <c r="BH197" s="761"/>
      <c r="BI197" s="762"/>
      <c r="BJ197" s="824"/>
      <c r="BL197" s="756">
        <v>190</v>
      </c>
      <c r="BM197" s="761"/>
      <c r="BN197" s="762"/>
      <c r="BO197" s="824"/>
      <c r="BQ197" s="756">
        <v>190</v>
      </c>
      <c r="BR197" s="761"/>
      <c r="BS197" s="762"/>
      <c r="BT197" s="824"/>
    </row>
    <row r="198" spans="5:72" ht="12" customHeight="1">
      <c r="E198" s="621">
        <v>190</v>
      </c>
      <c r="F198" s="761"/>
      <c r="G198" s="762"/>
      <c r="H198" s="680"/>
      <c r="I198" s="764" t="str">
        <f t="shared" si="25"/>
        <v/>
      </c>
      <c r="J198" s="595"/>
      <c r="K198"/>
      <c r="L198" s="197"/>
      <c r="O198" s="246" t="e">
        <f>$W$24-IF($AN$85,AR196,0)</f>
        <v>#N/A</v>
      </c>
      <c r="P198" s="823" t="e">
        <f>IF(Y198="",NA(),IF($AN$85,Y198,U198))</f>
        <v>#N/A</v>
      </c>
      <c r="Q198" s="822"/>
      <c r="U198" s="16" t="e">
        <f>IF(AND(G63&lt;&gt;"",$X$5,$X$2),G63,NA())</f>
        <v>#N/A</v>
      </c>
      <c r="W198" s="16" t="str">
        <f>IF(ISNA(U198),"",IF($AE$102=0,U198,ROUND(U198/$AE$102,0)))</f>
        <v/>
      </c>
      <c r="X198" s="16" t="str">
        <f t="shared" si="34"/>
        <v/>
      </c>
      <c r="Y198" s="16" t="str">
        <f t="shared" si="35"/>
        <v/>
      </c>
      <c r="AP198" s="16" t="str">
        <f>IF(ISNA(P200),"",IF($AE$102=0,P200,ROUND(P200/$AE$102,0)))</f>
        <v/>
      </c>
      <c r="AQ198" s="16" t="e">
        <f>IF(AP198="",NA(),COUNTIF(AP198:$AP$286,AP198))</f>
        <v>#N/A</v>
      </c>
      <c r="AR198" s="16" t="e">
        <f>(AQ198-1)*$AE$105</f>
        <v>#N/A</v>
      </c>
      <c r="BG198" s="756">
        <v>191</v>
      </c>
      <c r="BH198" s="761"/>
      <c r="BI198" s="762"/>
      <c r="BJ198" s="824"/>
      <c r="BL198" s="756">
        <v>191</v>
      </c>
      <c r="BM198" s="761"/>
      <c r="BN198" s="762"/>
      <c r="BO198" s="824"/>
      <c r="BQ198" s="756">
        <v>191</v>
      </c>
      <c r="BR198" s="761"/>
      <c r="BS198" s="762"/>
      <c r="BT198" s="824"/>
    </row>
    <row r="199" spans="5:72" ht="12" customHeight="1">
      <c r="E199" s="621">
        <v>191</v>
      </c>
      <c r="F199" s="761"/>
      <c r="G199" s="762"/>
      <c r="H199" s="680"/>
      <c r="I199" s="764" t="str">
        <f t="shared" si="25"/>
        <v/>
      </c>
      <c r="J199" s="595"/>
      <c r="K199"/>
      <c r="L199" s="197"/>
      <c r="O199" s="820" t="e">
        <f>$W$23+IF($AN$85,AO197,0)</f>
        <v>#N/A</v>
      </c>
      <c r="P199" s="821" t="e">
        <f>IF(X199="",NA(),IF($AN$85,X199,T199))</f>
        <v>#N/A</v>
      </c>
      <c r="Q199" s="822"/>
      <c r="T199" s="16" t="e">
        <f>IF(AND(F64&lt;&gt;"",$X$5,$X$2),F64,NA())</f>
        <v>#N/A</v>
      </c>
      <c r="V199" s="16" t="str">
        <f>IF(ISNA(T199),"",IF($AE$102=0,T199,ROUND(T199/$AE$102,0)))</f>
        <v/>
      </c>
      <c r="X199" s="16" t="str">
        <f t="shared" si="34"/>
        <v/>
      </c>
      <c r="Y199" s="16" t="str">
        <f t="shared" si="35"/>
        <v/>
      </c>
      <c r="AM199" s="16" t="str">
        <f>IF(ISNA(P201),"",IF($AE$102=0,P201,ROUND(P201/$AE$102,0)))</f>
        <v/>
      </c>
      <c r="AN199" s="16" t="e">
        <f>IF(AM199="",NA(),COUNTIF(AM199:$AM$286,AM199))</f>
        <v>#N/A</v>
      </c>
      <c r="AO199" s="16" t="e">
        <f>(AN199-1)*$AE$105</f>
        <v>#N/A</v>
      </c>
      <c r="BG199" s="756">
        <v>192</v>
      </c>
      <c r="BH199" s="761"/>
      <c r="BI199" s="762"/>
      <c r="BJ199" s="824"/>
      <c r="BL199" s="756">
        <v>192</v>
      </c>
      <c r="BM199" s="761"/>
      <c r="BN199" s="762"/>
      <c r="BO199" s="824"/>
      <c r="BQ199" s="756">
        <v>192</v>
      </c>
      <c r="BR199" s="761"/>
      <c r="BS199" s="762"/>
      <c r="BT199" s="824"/>
    </row>
    <row r="200" spans="5:72" ht="12" customHeight="1">
      <c r="E200" s="621">
        <v>192</v>
      </c>
      <c r="F200" s="761"/>
      <c r="G200" s="762"/>
      <c r="H200" s="680"/>
      <c r="I200" s="764" t="str">
        <f t="shared" si="25"/>
        <v/>
      </c>
      <c r="J200" s="595"/>
      <c r="K200"/>
      <c r="L200" s="197"/>
      <c r="O200" s="246" t="e">
        <f>$W$24-IF($AN$85,AR198,0)</f>
        <v>#N/A</v>
      </c>
      <c r="P200" s="823" t="e">
        <f>IF(Y200="",NA(),IF($AN$85,Y200,U200))</f>
        <v>#N/A</v>
      </c>
      <c r="Q200" s="822"/>
      <c r="U200" s="16" t="e">
        <f>IF(AND(G64&lt;&gt;"",$X$5,$X$2),G64,NA())</f>
        <v>#N/A</v>
      </c>
      <c r="W200" s="16" t="str">
        <f>IF(ISNA(U200),"",IF($AE$102=0,U200,ROUND(U200/$AE$102,0)))</f>
        <v/>
      </c>
      <c r="X200" s="16" t="str">
        <f t="shared" si="34"/>
        <v/>
      </c>
      <c r="Y200" s="16" t="str">
        <f t="shared" si="35"/>
        <v/>
      </c>
      <c r="AP200" s="16" t="str">
        <f>IF(ISNA(P202),"",IF($AE$102=0,P202,ROUND(P202/$AE$102,0)))</f>
        <v/>
      </c>
      <c r="AQ200" s="16" t="e">
        <f>IF(AP200="",NA(),COUNTIF(AP200:$AP$286,AP200))</f>
        <v>#N/A</v>
      </c>
      <c r="AR200" s="16" t="e">
        <f>(AQ200-1)*$AE$105</f>
        <v>#N/A</v>
      </c>
      <c r="BG200" s="756">
        <v>193</v>
      </c>
      <c r="BH200" s="761"/>
      <c r="BI200" s="762"/>
      <c r="BJ200" s="824"/>
      <c r="BL200" s="756">
        <v>193</v>
      </c>
      <c r="BM200" s="761"/>
      <c r="BN200" s="762"/>
      <c r="BO200" s="824"/>
      <c r="BQ200" s="756">
        <v>193</v>
      </c>
      <c r="BR200" s="761"/>
      <c r="BS200" s="762"/>
      <c r="BT200" s="824"/>
    </row>
    <row r="201" spans="5:72" ht="12" customHeight="1">
      <c r="E201" s="621">
        <v>193</v>
      </c>
      <c r="F201" s="761"/>
      <c r="G201" s="762"/>
      <c r="H201" s="680"/>
      <c r="I201" s="764" t="str">
        <f t="shared" ref="I201:I264" si="36">IF(AND(F201&lt;&gt;"",G201&lt;&gt;""),G201-F201,"")</f>
        <v/>
      </c>
      <c r="J201" s="595"/>
      <c r="K201"/>
      <c r="L201" s="197"/>
      <c r="O201" s="820" t="e">
        <f>$W$23+IF($AN$85,AO199,0)</f>
        <v>#N/A</v>
      </c>
      <c r="P201" s="821" t="e">
        <f>IF(X201="",NA(),IF($AN$85,X201,T201))</f>
        <v>#N/A</v>
      </c>
      <c r="Q201" s="822"/>
      <c r="T201" s="16" t="e">
        <f>IF(AND(F65&lt;&gt;"",$X$5,$X$2),F65,NA())</f>
        <v>#N/A</v>
      </c>
      <c r="V201" s="16" t="str">
        <f>IF(ISNA(T201),"",IF($AE$102=0,T201,ROUND(T201/$AE$102,0)))</f>
        <v/>
      </c>
      <c r="X201" s="16" t="str">
        <f t="shared" si="34"/>
        <v/>
      </c>
      <c r="Y201" s="16" t="str">
        <f t="shared" si="35"/>
        <v/>
      </c>
      <c r="AM201" s="16" t="str">
        <f>IF(ISNA(P203),"",IF($AE$102=0,P203,ROUND(P203/$AE$102,0)))</f>
        <v/>
      </c>
      <c r="AN201" s="16" t="e">
        <f>IF(AM201="",NA(),COUNTIF(AM201:$AM$286,AM201))</f>
        <v>#N/A</v>
      </c>
      <c r="AO201" s="16" t="e">
        <f>(AN201-1)*$AE$105</f>
        <v>#N/A</v>
      </c>
      <c r="BG201" s="756">
        <v>194</v>
      </c>
      <c r="BH201" s="761"/>
      <c r="BI201" s="762"/>
      <c r="BJ201" s="824"/>
      <c r="BL201" s="756">
        <v>194</v>
      </c>
      <c r="BM201" s="761"/>
      <c r="BN201" s="762"/>
      <c r="BO201" s="824"/>
      <c r="BQ201" s="756">
        <v>194</v>
      </c>
      <c r="BR201" s="761"/>
      <c r="BS201" s="762"/>
      <c r="BT201" s="824"/>
    </row>
    <row r="202" spans="5:72" ht="12" customHeight="1">
      <c r="E202" s="621">
        <v>194</v>
      </c>
      <c r="F202" s="761"/>
      <c r="G202" s="762"/>
      <c r="H202" s="680"/>
      <c r="I202" s="764" t="str">
        <f t="shared" si="36"/>
        <v/>
      </c>
      <c r="J202" s="595"/>
      <c r="K202"/>
      <c r="L202" s="197"/>
      <c r="O202" s="246" t="e">
        <f>$W$24-IF($AN$85,AR200,0)</f>
        <v>#N/A</v>
      </c>
      <c r="P202" s="823" t="e">
        <f>IF(Y202="",NA(),IF($AN$85,Y202,U202))</f>
        <v>#N/A</v>
      </c>
      <c r="Q202" s="822"/>
      <c r="U202" s="16" t="e">
        <f>IF(AND(G65&lt;&gt;"",$X$5,$X$2),G65,NA())</f>
        <v>#N/A</v>
      </c>
      <c r="W202" s="16" t="str">
        <f>IF(ISNA(U202),"",IF($AE$102=0,U202,ROUND(U202/$AE$102,0)))</f>
        <v/>
      </c>
      <c r="X202" s="16" t="str">
        <f t="shared" si="34"/>
        <v/>
      </c>
      <c r="Y202" s="16" t="str">
        <f t="shared" si="35"/>
        <v/>
      </c>
      <c r="AP202" s="16" t="str">
        <f>IF(ISNA(P204),"",IF($AE$102=0,P204,ROUND(P204/$AE$102,0)))</f>
        <v/>
      </c>
      <c r="AQ202" s="16" t="e">
        <f>IF(AP202="",NA(),COUNTIF(AP202:$AP$286,AP202))</f>
        <v>#N/A</v>
      </c>
      <c r="AR202" s="16" t="e">
        <f>(AQ202-1)*$AE$105</f>
        <v>#N/A</v>
      </c>
      <c r="BG202" s="756">
        <v>195</v>
      </c>
      <c r="BH202" s="761"/>
      <c r="BI202" s="762"/>
      <c r="BJ202" s="824"/>
      <c r="BL202" s="756">
        <v>195</v>
      </c>
      <c r="BM202" s="761"/>
      <c r="BN202" s="762"/>
      <c r="BO202" s="824"/>
      <c r="BQ202" s="756">
        <v>195</v>
      </c>
      <c r="BR202" s="761"/>
      <c r="BS202" s="762"/>
      <c r="BT202" s="824"/>
    </row>
    <row r="203" spans="5:72" ht="12" customHeight="1">
      <c r="E203" s="621">
        <v>195</v>
      </c>
      <c r="F203" s="761"/>
      <c r="G203" s="762"/>
      <c r="H203" s="680"/>
      <c r="I203" s="764" t="str">
        <f t="shared" si="36"/>
        <v/>
      </c>
      <c r="J203" s="595"/>
      <c r="K203"/>
      <c r="L203" s="197"/>
      <c r="O203" s="820" t="e">
        <f>$W$23+IF($AN$85,AO201,0)</f>
        <v>#N/A</v>
      </c>
      <c r="P203" s="821" t="e">
        <f>IF(X203="",NA(),IF($AN$85,X203,T203))</f>
        <v>#N/A</v>
      </c>
      <c r="Q203" s="822"/>
      <c r="T203" s="16" t="e">
        <f>IF(AND(F66&lt;&gt;"",$X$5,$X$2),F66,NA())</f>
        <v>#N/A</v>
      </c>
      <c r="V203" s="16" t="str">
        <f>IF(ISNA(T203),"",IF($AE$102=0,T203,ROUND(T203/$AE$102,0)))</f>
        <v/>
      </c>
      <c r="X203" s="16" t="str">
        <f t="shared" si="34"/>
        <v/>
      </c>
      <c r="Y203" s="16" t="str">
        <f t="shared" si="35"/>
        <v/>
      </c>
      <c r="AM203" s="16" t="str">
        <f>IF(ISNA(P205),"",IF($AE$102=0,P205,ROUND(P205/$AE$102,0)))</f>
        <v/>
      </c>
      <c r="AN203" s="16" t="e">
        <f>IF(AM203="",NA(),COUNTIF(AM203:$AM$286,AM203))</f>
        <v>#N/A</v>
      </c>
      <c r="AO203" s="16" t="e">
        <f>(AN203-1)*$AE$105</f>
        <v>#N/A</v>
      </c>
      <c r="BG203" s="756">
        <v>196</v>
      </c>
      <c r="BH203" s="761"/>
      <c r="BI203" s="762"/>
      <c r="BJ203" s="824"/>
      <c r="BL203" s="756">
        <v>196</v>
      </c>
      <c r="BM203" s="761"/>
      <c r="BN203" s="762"/>
      <c r="BO203" s="824"/>
      <c r="BQ203" s="756">
        <v>196</v>
      </c>
      <c r="BR203" s="761"/>
      <c r="BS203" s="762"/>
      <c r="BT203" s="824"/>
    </row>
    <row r="204" spans="5:72" ht="12" customHeight="1">
      <c r="E204" s="621">
        <v>196</v>
      </c>
      <c r="F204" s="761"/>
      <c r="G204" s="762"/>
      <c r="H204" s="680"/>
      <c r="I204" s="764" t="str">
        <f t="shared" si="36"/>
        <v/>
      </c>
      <c r="J204" s="595"/>
      <c r="K204"/>
      <c r="L204" s="197"/>
      <c r="O204" s="246" t="e">
        <f>$W$24-IF($AN$85,AR202,0)</f>
        <v>#N/A</v>
      </c>
      <c r="P204" s="823" t="e">
        <f>IF(Y204="",NA(),IF($AN$85,Y204,U204))</f>
        <v>#N/A</v>
      </c>
      <c r="Q204" s="822"/>
      <c r="U204" s="16" t="e">
        <f>IF(AND(G66&lt;&gt;"",$X$5,$X$2),G66,NA())</f>
        <v>#N/A</v>
      </c>
      <c r="W204" s="16" t="str">
        <f>IF(ISNA(U204),"",IF($AE$102=0,U204,ROUND(U204/$AE$102,0)))</f>
        <v/>
      </c>
      <c r="X204" s="16" t="str">
        <f t="shared" si="34"/>
        <v/>
      </c>
      <c r="Y204" s="16" t="str">
        <f t="shared" si="35"/>
        <v/>
      </c>
      <c r="AP204" s="16" t="str">
        <f>IF(ISNA(P206),"",IF($AE$102=0,P206,ROUND(P206/$AE$102,0)))</f>
        <v/>
      </c>
      <c r="AQ204" s="16" t="e">
        <f>IF(AP204="",NA(),COUNTIF(AP204:$AP$286,AP204))</f>
        <v>#N/A</v>
      </c>
      <c r="AR204" s="16" t="e">
        <f>(AQ204-1)*$AE$105</f>
        <v>#N/A</v>
      </c>
      <c r="BG204" s="756">
        <v>197</v>
      </c>
      <c r="BH204" s="761"/>
      <c r="BI204" s="762"/>
      <c r="BJ204" s="824"/>
      <c r="BL204" s="756">
        <v>197</v>
      </c>
      <c r="BM204" s="761"/>
      <c r="BN204" s="762"/>
      <c r="BO204" s="824"/>
      <c r="BQ204" s="756">
        <v>197</v>
      </c>
      <c r="BR204" s="761"/>
      <c r="BS204" s="762"/>
      <c r="BT204" s="824"/>
    </row>
    <row r="205" spans="5:72" ht="12" customHeight="1">
      <c r="E205" s="621">
        <v>197</v>
      </c>
      <c r="F205" s="761"/>
      <c r="G205" s="762"/>
      <c r="H205" s="680"/>
      <c r="I205" s="764" t="str">
        <f t="shared" si="36"/>
        <v/>
      </c>
      <c r="J205" s="595"/>
      <c r="K205"/>
      <c r="L205" s="197"/>
      <c r="O205" s="820" t="e">
        <f>$W$23+IF($AN$85,AO203,0)</f>
        <v>#N/A</v>
      </c>
      <c r="P205" s="821" t="e">
        <f>IF(X205="",NA(),IF($AN$85,X205,T205))</f>
        <v>#N/A</v>
      </c>
      <c r="Q205" s="822"/>
      <c r="T205" s="16" t="e">
        <f>IF(AND(F67&lt;&gt;"",$X$5,$X$2),F67,NA())</f>
        <v>#N/A</v>
      </c>
      <c r="V205" s="16" t="str">
        <f>IF(ISNA(T205),"",IF($AE$102=0,T205,ROUND(T205/$AE$102,0)))</f>
        <v/>
      </c>
      <c r="X205" s="16" t="str">
        <f t="shared" si="34"/>
        <v/>
      </c>
      <c r="Y205" s="16" t="str">
        <f t="shared" si="35"/>
        <v/>
      </c>
      <c r="AM205" s="16" t="str">
        <f>IF(ISNA(P207),"",IF($AE$102=0,P207,ROUND(P207/$AE$102,0)))</f>
        <v/>
      </c>
      <c r="AN205" s="16" t="e">
        <f>IF(AM205="",NA(),COUNTIF(AM205:$AM$286,AM205))</f>
        <v>#N/A</v>
      </c>
      <c r="AO205" s="16" t="e">
        <f>(AN205-1)*$AE$105</f>
        <v>#N/A</v>
      </c>
      <c r="BG205" s="756">
        <v>198</v>
      </c>
      <c r="BH205" s="761"/>
      <c r="BI205" s="762"/>
      <c r="BJ205" s="824"/>
      <c r="BL205" s="756">
        <v>198</v>
      </c>
      <c r="BM205" s="761"/>
      <c r="BN205" s="762"/>
      <c r="BO205" s="824"/>
      <c r="BQ205" s="756">
        <v>198</v>
      </c>
      <c r="BR205" s="761"/>
      <c r="BS205" s="762"/>
      <c r="BT205" s="824"/>
    </row>
    <row r="206" spans="5:72" ht="12" customHeight="1">
      <c r="E206" s="621">
        <v>198</v>
      </c>
      <c r="F206" s="761"/>
      <c r="G206" s="762"/>
      <c r="H206" s="680"/>
      <c r="I206" s="764" t="str">
        <f t="shared" si="36"/>
        <v/>
      </c>
      <c r="J206" s="595"/>
      <c r="K206"/>
      <c r="L206" s="197"/>
      <c r="O206" s="246" t="e">
        <f>$W$24-IF($AN$85,AR204,0)</f>
        <v>#N/A</v>
      </c>
      <c r="P206" s="823" t="e">
        <f>IF(Y206="",NA(),IF($AN$85,Y206,U206))</f>
        <v>#N/A</v>
      </c>
      <c r="Q206" s="822"/>
      <c r="U206" s="16" t="e">
        <f>IF(AND(G67&lt;&gt;"",$X$5,$X$2),G67,NA())</f>
        <v>#N/A</v>
      </c>
      <c r="W206" s="16" t="str">
        <f>IF(ISNA(U206),"",IF($AE$102=0,U206,ROUND(U206/$AE$102,0)))</f>
        <v/>
      </c>
      <c r="X206" s="16" t="str">
        <f t="shared" si="34"/>
        <v/>
      </c>
      <c r="Y206" s="16" t="str">
        <f t="shared" si="35"/>
        <v/>
      </c>
      <c r="AP206" s="16" t="str">
        <f>IF(ISNA(P208),"",IF($AE$102=0,P208,ROUND(P208/$AE$102,0)))</f>
        <v/>
      </c>
      <c r="AQ206" s="16" t="e">
        <f>IF(AP206="",NA(),COUNTIF(AP206:$AP$286,AP206))</f>
        <v>#N/A</v>
      </c>
      <c r="AR206" s="16" t="e">
        <f>(AQ206-1)*$AE$105</f>
        <v>#N/A</v>
      </c>
      <c r="BG206" s="756">
        <v>199</v>
      </c>
      <c r="BH206" s="761"/>
      <c r="BI206" s="762"/>
      <c r="BJ206" s="824"/>
      <c r="BL206" s="756">
        <v>199</v>
      </c>
      <c r="BM206" s="761"/>
      <c r="BN206" s="762"/>
      <c r="BO206" s="824"/>
      <c r="BQ206" s="756">
        <v>199</v>
      </c>
      <c r="BR206" s="761"/>
      <c r="BS206" s="762"/>
      <c r="BT206" s="824"/>
    </row>
    <row r="207" spans="5:72" ht="12" customHeight="1">
      <c r="E207" s="621">
        <v>199</v>
      </c>
      <c r="F207" s="761"/>
      <c r="G207" s="762"/>
      <c r="H207" s="680"/>
      <c r="I207" s="764" t="str">
        <f t="shared" si="36"/>
        <v/>
      </c>
      <c r="J207" s="595"/>
      <c r="K207"/>
      <c r="L207" s="197"/>
      <c r="O207" s="820" t="e">
        <f>$W$23+IF($AN$85,AO205,0)</f>
        <v>#N/A</v>
      </c>
      <c r="P207" s="821" t="e">
        <f>IF(X207="",NA(),IF($AN$85,X207,T207))</f>
        <v>#N/A</v>
      </c>
      <c r="Q207" s="822"/>
      <c r="T207" s="16" t="e">
        <f>IF(AND(F68&lt;&gt;"",$X$5,$X$2),F68,NA())</f>
        <v>#N/A</v>
      </c>
      <c r="V207" s="16" t="str">
        <f>IF(ISNA(T207),"",IF($AE$102=0,T207,ROUND(T207/$AE$102,0)))</f>
        <v/>
      </c>
      <c r="X207" s="16" t="str">
        <f t="shared" si="34"/>
        <v/>
      </c>
      <c r="Y207" s="16" t="str">
        <f t="shared" si="35"/>
        <v/>
      </c>
      <c r="AM207" s="16" t="str">
        <f>IF(ISNA(P209),"",IF($AE$102=0,P209,ROUND(P209/$AE$102,0)))</f>
        <v/>
      </c>
      <c r="AN207" s="16" t="e">
        <f>IF(AM207="",NA(),COUNTIF(AM207:$AM$286,AM207))</f>
        <v>#N/A</v>
      </c>
      <c r="AO207" s="16" t="e">
        <f>(AN207-1)*$AE$105</f>
        <v>#N/A</v>
      </c>
      <c r="BG207" s="756">
        <v>200</v>
      </c>
      <c r="BH207" s="761"/>
      <c r="BI207" s="762"/>
      <c r="BJ207" s="824"/>
      <c r="BL207" s="756">
        <v>200</v>
      </c>
      <c r="BM207" s="761"/>
      <c r="BN207" s="762"/>
      <c r="BO207" s="824"/>
      <c r="BQ207" s="756">
        <v>200</v>
      </c>
      <c r="BR207" s="761"/>
      <c r="BS207" s="762"/>
      <c r="BT207" s="824"/>
    </row>
    <row r="208" spans="5:72" ht="12" customHeight="1">
      <c r="E208" s="621">
        <v>200</v>
      </c>
      <c r="F208" s="761"/>
      <c r="G208" s="762"/>
      <c r="H208" s="680"/>
      <c r="I208" s="764" t="str">
        <f t="shared" si="36"/>
        <v/>
      </c>
      <c r="J208" s="595"/>
      <c r="K208"/>
      <c r="L208" s="197"/>
      <c r="O208" s="246" t="e">
        <f>$W$24-IF($AN$85,AR206,0)</f>
        <v>#N/A</v>
      </c>
      <c r="P208" s="823" t="e">
        <f>IF(Y208="",NA(),IF($AN$85,Y208,U208))</f>
        <v>#N/A</v>
      </c>
      <c r="Q208" s="822"/>
      <c r="U208" s="16" t="e">
        <f>IF(AND(G68&lt;&gt;"",$X$5,$X$2),G68,NA())</f>
        <v>#N/A</v>
      </c>
      <c r="W208" s="16" t="str">
        <f>IF(ISNA(U208),"",IF($AE$102=0,U208,ROUND(U208/$AE$102,0)))</f>
        <v/>
      </c>
      <c r="X208" s="16" t="str">
        <f t="shared" si="34"/>
        <v/>
      </c>
      <c r="Y208" s="16" t="str">
        <f t="shared" si="35"/>
        <v/>
      </c>
      <c r="AP208" s="16" t="str">
        <f>IF(ISNA(P210),"",IF($AE$102=0,P210,ROUND(P210/$AE$102,0)))</f>
        <v/>
      </c>
      <c r="AQ208" s="16" t="e">
        <f>IF(AP208="",NA(),COUNTIF(AP208:$AP$286,AP208))</f>
        <v>#N/A</v>
      </c>
      <c r="AR208" s="16" t="e">
        <f>(AQ208-1)*$AE$105</f>
        <v>#N/A</v>
      </c>
      <c r="BG208" s="756">
        <v>201</v>
      </c>
      <c r="BH208" s="761"/>
      <c r="BI208" s="762"/>
      <c r="BJ208" s="824"/>
      <c r="BL208" s="756">
        <v>201</v>
      </c>
      <c r="BM208" s="761"/>
      <c r="BN208" s="762"/>
      <c r="BO208" s="824"/>
      <c r="BQ208" s="756">
        <v>201</v>
      </c>
      <c r="BR208" s="761"/>
      <c r="BS208" s="762"/>
      <c r="BT208" s="824"/>
    </row>
    <row r="209" spans="5:72" ht="12" customHeight="1">
      <c r="E209" s="621">
        <v>201</v>
      </c>
      <c r="F209" s="761"/>
      <c r="G209" s="762"/>
      <c r="H209" s="680"/>
      <c r="I209" s="764" t="str">
        <f t="shared" si="36"/>
        <v/>
      </c>
      <c r="J209" s="595"/>
      <c r="K209"/>
      <c r="L209" s="197"/>
      <c r="O209" s="820" t="e">
        <f>$W$23+IF($AN$85,AO207,0)</f>
        <v>#N/A</v>
      </c>
      <c r="P209" s="821" t="e">
        <f>IF(X209="",NA(),IF($AN$85,X209,T209))</f>
        <v>#N/A</v>
      </c>
      <c r="Q209" s="822"/>
      <c r="T209" s="16" t="e">
        <f>IF(AND(F69&lt;&gt;"",$X$5,$X$2),F69,NA())</f>
        <v>#N/A</v>
      </c>
      <c r="V209" s="16" t="str">
        <f>IF(ISNA(T209),"",IF($AE$102=0,T209,ROUND(T209/$AE$102,0)))</f>
        <v/>
      </c>
      <c r="X209" s="16" t="str">
        <f t="shared" si="34"/>
        <v/>
      </c>
      <c r="Y209" s="16" t="str">
        <f t="shared" si="35"/>
        <v/>
      </c>
      <c r="AM209" s="16" t="str">
        <f>IF(ISNA(P211),"",IF($AE$102=0,P211,ROUND(P211/$AE$102,0)))</f>
        <v/>
      </c>
      <c r="AN209" s="16" t="e">
        <f>IF(AM209="",NA(),COUNTIF(AM209:$AM$286,AM209))</f>
        <v>#N/A</v>
      </c>
      <c r="AO209" s="16" t="e">
        <f>(AN209-1)*$AE$105</f>
        <v>#N/A</v>
      </c>
      <c r="BG209" s="756">
        <v>202</v>
      </c>
      <c r="BH209" s="761"/>
      <c r="BI209" s="762"/>
      <c r="BJ209" s="824"/>
      <c r="BL209" s="756">
        <v>202</v>
      </c>
      <c r="BM209" s="761"/>
      <c r="BN209" s="762"/>
      <c r="BO209" s="824"/>
      <c r="BQ209" s="756">
        <v>202</v>
      </c>
      <c r="BR209" s="761"/>
      <c r="BS209" s="762"/>
      <c r="BT209" s="824"/>
    </row>
    <row r="210" spans="5:72" ht="12" customHeight="1">
      <c r="E210" s="621">
        <v>202</v>
      </c>
      <c r="F210" s="761"/>
      <c r="G210" s="762"/>
      <c r="H210" s="680"/>
      <c r="I210" s="764" t="str">
        <f t="shared" si="36"/>
        <v/>
      </c>
      <c r="J210" s="595"/>
      <c r="K210"/>
      <c r="L210" s="197"/>
      <c r="O210" s="246" t="e">
        <f>$W$24-IF($AN$85,AR208,0)</f>
        <v>#N/A</v>
      </c>
      <c r="P210" s="823" t="e">
        <f>IF(Y210="",NA(),IF($AN$85,Y210,U210))</f>
        <v>#N/A</v>
      </c>
      <c r="Q210" s="822"/>
      <c r="U210" s="16" t="e">
        <f>IF(AND(G69&lt;&gt;"",$X$5,$X$2),G69,NA())</f>
        <v>#N/A</v>
      </c>
      <c r="W210" s="16" t="str">
        <f>IF(ISNA(U210),"",IF($AE$102=0,U210,ROUND(U210/$AE$102,0)))</f>
        <v/>
      </c>
      <c r="X210" s="16" t="str">
        <f t="shared" si="34"/>
        <v/>
      </c>
      <c r="Y210" s="16" t="str">
        <f t="shared" si="35"/>
        <v/>
      </c>
      <c r="AP210" s="16" t="str">
        <f>IF(ISNA(P212),"",IF($AE$102=0,P212,ROUND(P212/$AE$102,0)))</f>
        <v/>
      </c>
      <c r="AQ210" s="16" t="e">
        <f>IF(AP210="",NA(),COUNTIF(AP210:$AP$286,AP210))</f>
        <v>#N/A</v>
      </c>
      <c r="AR210" s="16" t="e">
        <f>(AQ210-1)*$AE$105</f>
        <v>#N/A</v>
      </c>
      <c r="BG210" s="756">
        <v>203</v>
      </c>
      <c r="BH210" s="761"/>
      <c r="BI210" s="762"/>
      <c r="BJ210" s="824"/>
      <c r="BL210" s="756">
        <v>203</v>
      </c>
      <c r="BM210" s="761"/>
      <c r="BN210" s="762"/>
      <c r="BO210" s="824"/>
      <c r="BQ210" s="756">
        <v>203</v>
      </c>
      <c r="BR210" s="761"/>
      <c r="BS210" s="762"/>
      <c r="BT210" s="824"/>
    </row>
    <row r="211" spans="5:72" ht="12" customHeight="1">
      <c r="E211" s="621">
        <v>203</v>
      </c>
      <c r="F211" s="761"/>
      <c r="G211" s="762"/>
      <c r="H211" s="680"/>
      <c r="I211" s="764" t="str">
        <f t="shared" si="36"/>
        <v/>
      </c>
      <c r="J211" s="595"/>
      <c r="K211"/>
      <c r="L211" s="197"/>
      <c r="O211" s="820" t="e">
        <f>$W$23+IF($AN$85,AO209,0)</f>
        <v>#N/A</v>
      </c>
      <c r="P211" s="821" t="e">
        <f>IF(X211="",NA(),IF($AN$85,X211,T211))</f>
        <v>#N/A</v>
      </c>
      <c r="Q211" s="822"/>
      <c r="T211" s="16" t="e">
        <f>IF(AND(F70&lt;&gt;"",$X$5,$X$2),F70,NA())</f>
        <v>#N/A</v>
      </c>
      <c r="V211" s="16" t="str">
        <f>IF(ISNA(T211),"",IF($AE$102=0,T211,ROUND(T211/$AE$102,0)))</f>
        <v/>
      </c>
      <c r="X211" s="16" t="str">
        <f t="shared" si="34"/>
        <v/>
      </c>
      <c r="Y211" s="16" t="str">
        <f t="shared" si="35"/>
        <v/>
      </c>
      <c r="AM211" s="16" t="str">
        <f>IF(ISNA(P213),"",IF($AE$102=0,P213,ROUND(P213/$AE$102,0)))</f>
        <v/>
      </c>
      <c r="AN211" s="16" t="e">
        <f>IF(AM211="",NA(),COUNTIF(AM211:$AM$286,AM211))</f>
        <v>#N/A</v>
      </c>
      <c r="AO211" s="16" t="e">
        <f>(AN211-1)*$AE$105</f>
        <v>#N/A</v>
      </c>
      <c r="BG211" s="756">
        <v>204</v>
      </c>
      <c r="BH211" s="761"/>
      <c r="BI211" s="762"/>
      <c r="BJ211" s="824"/>
      <c r="BL211" s="756">
        <v>204</v>
      </c>
      <c r="BM211" s="761"/>
      <c r="BN211" s="762"/>
      <c r="BO211" s="824"/>
      <c r="BQ211" s="756">
        <v>204</v>
      </c>
      <c r="BR211" s="761"/>
      <c r="BS211" s="762"/>
      <c r="BT211" s="824"/>
    </row>
    <row r="212" spans="5:72" ht="12" customHeight="1">
      <c r="E212" s="621">
        <v>204</v>
      </c>
      <c r="F212" s="761"/>
      <c r="G212" s="762"/>
      <c r="H212" s="680"/>
      <c r="I212" s="764" t="str">
        <f t="shared" si="36"/>
        <v/>
      </c>
      <c r="J212" s="595"/>
      <c r="K212"/>
      <c r="L212" s="197"/>
      <c r="O212" s="246" t="e">
        <f>$W$24-IF($AN$85,AR210,0)</f>
        <v>#N/A</v>
      </c>
      <c r="P212" s="823" t="e">
        <f>IF(Y212="",NA(),IF($AN$85,Y212,U212))</f>
        <v>#N/A</v>
      </c>
      <c r="Q212" s="822"/>
      <c r="U212" s="16" t="e">
        <f>IF(AND(G70&lt;&gt;"",$X$5,$X$2),G70,NA())</f>
        <v>#N/A</v>
      </c>
      <c r="W212" s="16" t="str">
        <f>IF(ISNA(U212),"",IF($AE$102=0,U212,ROUND(U212/$AE$102,0)))</f>
        <v/>
      </c>
      <c r="X212" s="16" t="str">
        <f t="shared" si="34"/>
        <v/>
      </c>
      <c r="Y212" s="16" t="str">
        <f t="shared" si="35"/>
        <v/>
      </c>
      <c r="AP212" s="16" t="str">
        <f>IF(ISNA(P214),"",IF($AE$102=0,P214,ROUND(P214/$AE$102,0)))</f>
        <v/>
      </c>
      <c r="AQ212" s="16" t="e">
        <f>IF(AP212="",NA(),COUNTIF(AP212:$AP$286,AP212))</f>
        <v>#N/A</v>
      </c>
      <c r="AR212" s="16" t="e">
        <f>(AQ212-1)*$AE$105</f>
        <v>#N/A</v>
      </c>
      <c r="BG212" s="756">
        <v>205</v>
      </c>
      <c r="BH212" s="761"/>
      <c r="BI212" s="762"/>
      <c r="BJ212" s="824"/>
      <c r="BL212" s="756">
        <v>205</v>
      </c>
      <c r="BM212" s="761"/>
      <c r="BN212" s="762"/>
      <c r="BO212" s="824"/>
      <c r="BQ212" s="756">
        <v>205</v>
      </c>
      <c r="BR212" s="761"/>
      <c r="BS212" s="762"/>
      <c r="BT212" s="824"/>
    </row>
    <row r="213" spans="5:72" ht="12" customHeight="1">
      <c r="E213" s="621">
        <v>205</v>
      </c>
      <c r="F213" s="761"/>
      <c r="G213" s="762"/>
      <c r="H213" s="680"/>
      <c r="I213" s="764" t="str">
        <f t="shared" si="36"/>
        <v/>
      </c>
      <c r="J213" s="595"/>
      <c r="K213"/>
      <c r="L213" s="197"/>
      <c r="O213" s="820" t="e">
        <f>$W$23+IF($AN$85,AO211,0)</f>
        <v>#N/A</v>
      </c>
      <c r="P213" s="821" t="e">
        <f>IF(X213="",NA(),IF($AN$85,X213,T213))</f>
        <v>#N/A</v>
      </c>
      <c r="Q213" s="822"/>
      <c r="T213" s="16" t="e">
        <f>IF(AND(F71&lt;&gt;"",$X$5,$X$2),F71,NA())</f>
        <v>#N/A</v>
      </c>
      <c r="V213" s="16" t="str">
        <f>IF(ISNA(T213),"",IF($AE$102=0,T213,ROUND(T213/$AE$102,0)))</f>
        <v/>
      </c>
      <c r="X213" s="16" t="str">
        <f t="shared" si="34"/>
        <v/>
      </c>
      <c r="Y213" s="16" t="str">
        <f t="shared" si="35"/>
        <v/>
      </c>
      <c r="AM213" s="16" t="str">
        <f>IF(ISNA(P215),"",IF($AE$102=0,P215,ROUND(P215/$AE$102,0)))</f>
        <v/>
      </c>
      <c r="AN213" s="16" t="e">
        <f>IF(AM213="",NA(),COUNTIF(AM213:$AM$286,AM213))</f>
        <v>#N/A</v>
      </c>
      <c r="AO213" s="16" t="e">
        <f>(AN213-1)*$AE$105</f>
        <v>#N/A</v>
      </c>
      <c r="BG213" s="756">
        <v>206</v>
      </c>
      <c r="BH213" s="761"/>
      <c r="BI213" s="762"/>
      <c r="BJ213" s="824"/>
      <c r="BL213" s="756">
        <v>206</v>
      </c>
      <c r="BM213" s="761"/>
      <c r="BN213" s="762"/>
      <c r="BO213" s="824"/>
      <c r="BQ213" s="756">
        <v>206</v>
      </c>
      <c r="BR213" s="761"/>
      <c r="BS213" s="762"/>
      <c r="BT213" s="824"/>
    </row>
    <row r="214" spans="5:72" ht="12" customHeight="1">
      <c r="E214" s="621">
        <v>206</v>
      </c>
      <c r="F214" s="761"/>
      <c r="G214" s="762"/>
      <c r="H214" s="680"/>
      <c r="I214" s="764" t="str">
        <f t="shared" si="36"/>
        <v/>
      </c>
      <c r="J214" s="595"/>
      <c r="K214"/>
      <c r="L214" s="197"/>
      <c r="O214" s="246" t="e">
        <f>$W$24-IF($AN$85,AR212,0)</f>
        <v>#N/A</v>
      </c>
      <c r="P214" s="823" t="e">
        <f>IF(Y214="",NA(),IF($AN$85,Y214,U214))</f>
        <v>#N/A</v>
      </c>
      <c r="Q214" s="822"/>
      <c r="U214" s="16" t="e">
        <f>IF(AND(G71&lt;&gt;"",$X$5,$X$2),G71,NA())</f>
        <v>#N/A</v>
      </c>
      <c r="W214" s="16" t="str">
        <f>IF(ISNA(U214),"",IF($AE$102=0,U214,ROUND(U214/$AE$102,0)))</f>
        <v/>
      </c>
      <c r="X214" s="16" t="str">
        <f t="shared" si="34"/>
        <v/>
      </c>
      <c r="Y214" s="16" t="str">
        <f t="shared" si="35"/>
        <v/>
      </c>
      <c r="AP214" s="16" t="str">
        <f>IF(ISNA(P216),"",IF($AE$102=0,P216,ROUND(P216/$AE$102,0)))</f>
        <v/>
      </c>
      <c r="AQ214" s="16" t="e">
        <f>IF(AP214="",NA(),COUNTIF(AP214:$AP$286,AP214))</f>
        <v>#N/A</v>
      </c>
      <c r="AR214" s="16" t="e">
        <f>(AQ214-1)*$AE$105</f>
        <v>#N/A</v>
      </c>
      <c r="BG214" s="756">
        <v>207</v>
      </c>
      <c r="BH214" s="761"/>
      <c r="BI214" s="762"/>
      <c r="BJ214" s="824"/>
      <c r="BL214" s="756">
        <v>207</v>
      </c>
      <c r="BM214" s="761"/>
      <c r="BN214" s="762"/>
      <c r="BO214" s="824"/>
      <c r="BQ214" s="756">
        <v>207</v>
      </c>
      <c r="BR214" s="761"/>
      <c r="BS214" s="762"/>
      <c r="BT214" s="824"/>
    </row>
    <row r="215" spans="5:72" ht="12" customHeight="1">
      <c r="E215" s="621">
        <v>207</v>
      </c>
      <c r="F215" s="761"/>
      <c r="G215" s="762"/>
      <c r="H215" s="680"/>
      <c r="I215" s="764" t="str">
        <f t="shared" si="36"/>
        <v/>
      </c>
      <c r="J215" s="595"/>
      <c r="K215"/>
      <c r="L215" s="197"/>
      <c r="O215" s="820" t="e">
        <f>$W$23+IF($AN$85,AO213,0)</f>
        <v>#N/A</v>
      </c>
      <c r="P215" s="821" t="e">
        <f>IF(X215="",NA(),IF($AN$85,X215,T215))</f>
        <v>#N/A</v>
      </c>
      <c r="Q215" s="822"/>
      <c r="T215" s="16" t="e">
        <f>IF(AND(F72&lt;&gt;"",$X$5,$X$2),F72,NA())</f>
        <v>#N/A</v>
      </c>
      <c r="V215" s="16" t="str">
        <f>IF(ISNA(T215),"",IF($AE$102=0,T215,ROUND(T215/$AE$102,0)))</f>
        <v/>
      </c>
      <c r="X215" s="16" t="str">
        <f t="shared" si="34"/>
        <v/>
      </c>
      <c r="Y215" s="16" t="str">
        <f t="shared" si="35"/>
        <v/>
      </c>
      <c r="AM215" s="16" t="str">
        <f>IF(ISNA(P217),"",IF($AE$102=0,P217,ROUND(P217/$AE$102,0)))</f>
        <v/>
      </c>
      <c r="AN215" s="16" t="e">
        <f>IF(AM215="",NA(),COUNTIF(AM215:$AM$286,AM215))</f>
        <v>#N/A</v>
      </c>
      <c r="AO215" s="16" t="e">
        <f>(AN215-1)*$AE$105</f>
        <v>#N/A</v>
      </c>
      <c r="BG215" s="756">
        <v>208</v>
      </c>
      <c r="BH215" s="761"/>
      <c r="BI215" s="762"/>
      <c r="BJ215" s="824"/>
      <c r="BL215" s="756">
        <v>208</v>
      </c>
      <c r="BM215" s="761"/>
      <c r="BN215" s="762"/>
      <c r="BO215" s="824"/>
      <c r="BQ215" s="756">
        <v>208</v>
      </c>
      <c r="BR215" s="761"/>
      <c r="BS215" s="762"/>
      <c r="BT215" s="824"/>
    </row>
    <row r="216" spans="5:72" ht="12" customHeight="1">
      <c r="E216" s="621">
        <v>208</v>
      </c>
      <c r="F216" s="761"/>
      <c r="G216" s="762"/>
      <c r="H216" s="680"/>
      <c r="I216" s="764" t="str">
        <f t="shared" si="36"/>
        <v/>
      </c>
      <c r="J216" s="595"/>
      <c r="K216"/>
      <c r="L216" s="197"/>
      <c r="O216" s="246" t="e">
        <f>$W$24-IF($AN$85,AR214,0)</f>
        <v>#N/A</v>
      </c>
      <c r="P216" s="823" t="e">
        <f>IF(Y216="",NA(),IF($AN$85,Y216,U216))</f>
        <v>#N/A</v>
      </c>
      <c r="Q216" s="822"/>
      <c r="U216" s="16" t="e">
        <f>IF(AND(G72&lt;&gt;"",$X$5,$X$2),G72,NA())</f>
        <v>#N/A</v>
      </c>
      <c r="W216" s="16" t="str">
        <f>IF(ISNA(U216),"",IF($AE$102=0,U216,ROUND(U216/$AE$102,0)))</f>
        <v/>
      </c>
      <c r="X216" s="16" t="str">
        <f t="shared" si="34"/>
        <v/>
      </c>
      <c r="Y216" s="16" t="str">
        <f t="shared" si="35"/>
        <v/>
      </c>
      <c r="AP216" s="16" t="str">
        <f>IF(ISNA(P218),"",IF($AE$102=0,P218,ROUND(P218/$AE$102,0)))</f>
        <v/>
      </c>
      <c r="AQ216" s="16" t="e">
        <f>IF(AP216="",NA(),COUNTIF(AP216:$AP$286,AP216))</f>
        <v>#N/A</v>
      </c>
      <c r="AR216" s="16" t="e">
        <f>(AQ216-1)*$AE$105</f>
        <v>#N/A</v>
      </c>
      <c r="BG216" s="756">
        <v>209</v>
      </c>
      <c r="BH216" s="761"/>
      <c r="BI216" s="762"/>
      <c r="BJ216" s="824"/>
      <c r="BL216" s="756">
        <v>209</v>
      </c>
      <c r="BM216" s="761"/>
      <c r="BN216" s="762"/>
      <c r="BO216" s="824"/>
      <c r="BQ216" s="756">
        <v>209</v>
      </c>
      <c r="BR216" s="761"/>
      <c r="BS216" s="762"/>
      <c r="BT216" s="824"/>
    </row>
    <row r="217" spans="5:72" ht="12" customHeight="1">
      <c r="E217" s="621">
        <v>209</v>
      </c>
      <c r="F217" s="761"/>
      <c r="G217" s="762"/>
      <c r="H217" s="680"/>
      <c r="I217" s="764" t="str">
        <f t="shared" si="36"/>
        <v/>
      </c>
      <c r="J217" s="595"/>
      <c r="K217"/>
      <c r="L217" s="197"/>
      <c r="O217" s="820" t="e">
        <f>$W$23+IF($AN$85,AO215,0)</f>
        <v>#N/A</v>
      </c>
      <c r="P217" s="821" t="e">
        <f>IF(X217="",NA(),IF($AN$85,X217,T217))</f>
        <v>#N/A</v>
      </c>
      <c r="Q217" s="822"/>
      <c r="T217" s="16" t="e">
        <f>IF(AND(F73&lt;&gt;"",$X$5,$X$2),F73,NA())</f>
        <v>#N/A</v>
      </c>
      <c r="V217" s="16" t="str">
        <f>IF(ISNA(T217),"",IF($AE$102=0,T217,ROUND(T217/$AE$102,0)))</f>
        <v/>
      </c>
      <c r="X217" s="16" t="str">
        <f t="shared" ref="X217:X248" si="37">IF(V217="","",IF($AE$102=0,T217,V217*$AE$102))</f>
        <v/>
      </c>
      <c r="Y217" s="16" t="str">
        <f t="shared" ref="Y217:Y248" si="38">IF(W217="","",IF($AE$102=0,U217,W217*$AE$102))</f>
        <v/>
      </c>
      <c r="AM217" s="16" t="str">
        <f>IF(ISNA(P219),"",IF($AE$102=0,P219,ROUND(P219/$AE$102,0)))</f>
        <v/>
      </c>
      <c r="AN217" s="16" t="e">
        <f>IF(AM217="",NA(),COUNTIF(AM217:$AM$286,AM217))</f>
        <v>#N/A</v>
      </c>
      <c r="AO217" s="16" t="e">
        <f>(AN217-1)*$AE$105</f>
        <v>#N/A</v>
      </c>
      <c r="BG217" s="756">
        <v>210</v>
      </c>
      <c r="BH217" s="761"/>
      <c r="BI217" s="762"/>
      <c r="BJ217" s="824"/>
      <c r="BL217" s="756">
        <v>210</v>
      </c>
      <c r="BM217" s="761"/>
      <c r="BN217" s="762"/>
      <c r="BO217" s="824"/>
      <c r="BQ217" s="756">
        <v>210</v>
      </c>
      <c r="BR217" s="761"/>
      <c r="BS217" s="762"/>
      <c r="BT217" s="824"/>
    </row>
    <row r="218" spans="5:72" ht="12" customHeight="1">
      <c r="E218" s="621">
        <v>210</v>
      </c>
      <c r="F218" s="761"/>
      <c r="G218" s="762"/>
      <c r="H218" s="680"/>
      <c r="I218" s="764" t="str">
        <f t="shared" si="36"/>
        <v/>
      </c>
      <c r="J218" s="595"/>
      <c r="K218"/>
      <c r="L218" s="197"/>
      <c r="O218" s="246" t="e">
        <f>$W$24-IF($AN$85,AR216,0)</f>
        <v>#N/A</v>
      </c>
      <c r="P218" s="823" t="e">
        <f>IF(Y218="",NA(),IF($AN$85,Y218,U218))</f>
        <v>#N/A</v>
      </c>
      <c r="Q218" s="822"/>
      <c r="U218" s="16" t="e">
        <f>IF(AND(G73&lt;&gt;"",$X$5,$X$2),G73,NA())</f>
        <v>#N/A</v>
      </c>
      <c r="W218" s="16" t="str">
        <f>IF(ISNA(U218),"",IF($AE$102=0,U218,ROUND(U218/$AE$102,0)))</f>
        <v/>
      </c>
      <c r="X218" s="16" t="str">
        <f t="shared" si="37"/>
        <v/>
      </c>
      <c r="Y218" s="16" t="str">
        <f t="shared" si="38"/>
        <v/>
      </c>
      <c r="AP218" s="16" t="str">
        <f>IF(ISNA(P220),"",IF($AE$102=0,P220,ROUND(P220/$AE$102,0)))</f>
        <v/>
      </c>
      <c r="AQ218" s="16" t="e">
        <f>IF(AP218="",NA(),COUNTIF(AP218:$AP$286,AP218))</f>
        <v>#N/A</v>
      </c>
      <c r="AR218" s="16" t="e">
        <f>(AQ218-1)*$AE$105</f>
        <v>#N/A</v>
      </c>
      <c r="BG218" s="756">
        <v>211</v>
      </c>
      <c r="BH218" s="761"/>
      <c r="BI218" s="762"/>
      <c r="BJ218" s="824"/>
      <c r="BL218" s="756">
        <v>211</v>
      </c>
      <c r="BM218" s="761"/>
      <c r="BN218" s="762"/>
      <c r="BO218" s="824"/>
      <c r="BQ218" s="756">
        <v>211</v>
      </c>
      <c r="BR218" s="761"/>
      <c r="BS218" s="762"/>
      <c r="BT218" s="824"/>
    </row>
    <row r="219" spans="5:72" ht="12" customHeight="1">
      <c r="E219" s="621">
        <v>211</v>
      </c>
      <c r="F219" s="761"/>
      <c r="G219" s="762"/>
      <c r="H219" s="680"/>
      <c r="I219" s="764" t="str">
        <f t="shared" si="36"/>
        <v/>
      </c>
      <c r="J219" s="595"/>
      <c r="K219"/>
      <c r="L219" s="197"/>
      <c r="O219" s="820" t="e">
        <f>$W$23+IF($AN$85,AO217,0)</f>
        <v>#N/A</v>
      </c>
      <c r="P219" s="821" t="e">
        <f>IF(X219="",NA(),IF($AN$85,X219,T219))</f>
        <v>#N/A</v>
      </c>
      <c r="Q219" s="822"/>
      <c r="T219" s="16" t="e">
        <f>IF(AND(F74&lt;&gt;"",$X$5,$X$2),F74,NA())</f>
        <v>#N/A</v>
      </c>
      <c r="V219" s="16" t="str">
        <f>IF(ISNA(T219),"",IF($AE$102=0,T219,ROUND(T219/$AE$102,0)))</f>
        <v/>
      </c>
      <c r="X219" s="16" t="str">
        <f t="shared" si="37"/>
        <v/>
      </c>
      <c r="Y219" s="16" t="str">
        <f t="shared" si="38"/>
        <v/>
      </c>
      <c r="AM219" s="16" t="str">
        <f>IF(ISNA(P221),"",IF($AE$102=0,P221,ROUND(P221/$AE$102,0)))</f>
        <v/>
      </c>
      <c r="AN219" s="16" t="e">
        <f>IF(AM219="",NA(),COUNTIF(AM219:$AM$286,AM219))</f>
        <v>#N/A</v>
      </c>
      <c r="AO219" s="16" t="e">
        <f>(AN219-1)*$AE$105</f>
        <v>#N/A</v>
      </c>
      <c r="BG219" s="756">
        <v>212</v>
      </c>
      <c r="BH219" s="761"/>
      <c r="BI219" s="762"/>
      <c r="BJ219" s="824"/>
      <c r="BL219" s="756">
        <v>212</v>
      </c>
      <c r="BM219" s="761"/>
      <c r="BN219" s="762"/>
      <c r="BO219" s="824"/>
      <c r="BQ219" s="756">
        <v>212</v>
      </c>
      <c r="BR219" s="761"/>
      <c r="BS219" s="762"/>
      <c r="BT219" s="824"/>
    </row>
    <row r="220" spans="5:72" ht="12" customHeight="1">
      <c r="E220" s="621">
        <v>212</v>
      </c>
      <c r="F220" s="761"/>
      <c r="G220" s="762"/>
      <c r="H220" s="680"/>
      <c r="I220" s="764" t="str">
        <f t="shared" si="36"/>
        <v/>
      </c>
      <c r="J220" s="595"/>
      <c r="K220"/>
      <c r="L220" s="197"/>
      <c r="O220" s="246" t="e">
        <f>$W$24-IF($AN$85,AR218,0)</f>
        <v>#N/A</v>
      </c>
      <c r="P220" s="823" t="e">
        <f>IF(Y220="",NA(),IF($AN$85,Y220,U220))</f>
        <v>#N/A</v>
      </c>
      <c r="Q220" s="822"/>
      <c r="U220" s="16" t="e">
        <f>IF(AND(G74&lt;&gt;"",$X$5,$X$2),G74,NA())</f>
        <v>#N/A</v>
      </c>
      <c r="W220" s="16" t="str">
        <f>IF(ISNA(U220),"",IF($AE$102=0,U220,ROUND(U220/$AE$102,0)))</f>
        <v/>
      </c>
      <c r="X220" s="16" t="str">
        <f t="shared" si="37"/>
        <v/>
      </c>
      <c r="Y220" s="16" t="str">
        <f t="shared" si="38"/>
        <v/>
      </c>
      <c r="AP220" s="16" t="str">
        <f>IF(ISNA(P222),"",IF($AE$102=0,P222,ROUND(P222/$AE$102,0)))</f>
        <v/>
      </c>
      <c r="AQ220" s="16" t="e">
        <f>IF(AP220="",NA(),COUNTIF(AP220:$AP$286,AP220))</f>
        <v>#N/A</v>
      </c>
      <c r="AR220" s="16" t="e">
        <f>(AQ220-1)*$AE$105</f>
        <v>#N/A</v>
      </c>
      <c r="BG220" s="756">
        <v>213</v>
      </c>
      <c r="BH220" s="761"/>
      <c r="BI220" s="762"/>
      <c r="BJ220" s="824"/>
      <c r="BL220" s="756">
        <v>213</v>
      </c>
      <c r="BM220" s="761"/>
      <c r="BN220" s="762"/>
      <c r="BO220" s="824"/>
      <c r="BQ220" s="756">
        <v>213</v>
      </c>
      <c r="BR220" s="761"/>
      <c r="BS220" s="762"/>
      <c r="BT220" s="824"/>
    </row>
    <row r="221" spans="5:72" ht="12" customHeight="1">
      <c r="E221" s="621">
        <v>213</v>
      </c>
      <c r="F221" s="761"/>
      <c r="G221" s="762"/>
      <c r="H221" s="680"/>
      <c r="I221" s="764" t="str">
        <f t="shared" si="36"/>
        <v/>
      </c>
      <c r="J221" s="595"/>
      <c r="K221"/>
      <c r="L221" s="197"/>
      <c r="O221" s="820" t="e">
        <f>$W$23+IF($AN$85,AO219,0)</f>
        <v>#N/A</v>
      </c>
      <c r="P221" s="821" t="e">
        <f>IF(X221="",NA(),IF($AN$85,X221,T221))</f>
        <v>#N/A</v>
      </c>
      <c r="Q221" s="822"/>
      <c r="T221" s="16" t="e">
        <f>IF(AND(F75&lt;&gt;"",$X$5,$X$2),F75,NA())</f>
        <v>#N/A</v>
      </c>
      <c r="V221" s="16" t="str">
        <f>IF(ISNA(T221),"",IF($AE$102=0,T221,ROUND(T221/$AE$102,0)))</f>
        <v/>
      </c>
      <c r="X221" s="16" t="str">
        <f t="shared" si="37"/>
        <v/>
      </c>
      <c r="Y221" s="16" t="str">
        <f t="shared" si="38"/>
        <v/>
      </c>
      <c r="AM221" s="16" t="str">
        <f>IF(ISNA(P223),"",IF($AE$102=0,P223,ROUND(P223/$AE$102,0)))</f>
        <v/>
      </c>
      <c r="AN221" s="16" t="e">
        <f>IF(AM221="",NA(),COUNTIF(AM221:$AM$286,AM221))</f>
        <v>#N/A</v>
      </c>
      <c r="AO221" s="16" t="e">
        <f>(AN221-1)*$AE$105</f>
        <v>#N/A</v>
      </c>
      <c r="BG221" s="756">
        <v>214</v>
      </c>
      <c r="BH221" s="761"/>
      <c r="BI221" s="762"/>
      <c r="BJ221" s="824"/>
      <c r="BL221" s="756">
        <v>214</v>
      </c>
      <c r="BM221" s="761"/>
      <c r="BN221" s="762"/>
      <c r="BO221" s="824"/>
      <c r="BQ221" s="756">
        <v>214</v>
      </c>
      <c r="BR221" s="761"/>
      <c r="BS221" s="762"/>
      <c r="BT221" s="824"/>
    </row>
    <row r="222" spans="5:72" ht="12" customHeight="1">
      <c r="E222" s="621">
        <v>214</v>
      </c>
      <c r="F222" s="761"/>
      <c r="G222" s="762"/>
      <c r="H222" s="680"/>
      <c r="I222" s="764" t="str">
        <f t="shared" si="36"/>
        <v/>
      </c>
      <c r="J222" s="595"/>
      <c r="K222"/>
      <c r="L222" s="197"/>
      <c r="O222" s="246" t="e">
        <f>$W$24-IF($AN$85,AR220,0)</f>
        <v>#N/A</v>
      </c>
      <c r="P222" s="823" t="e">
        <f>IF(Y222="",NA(),IF($AN$85,Y222,U222))</f>
        <v>#N/A</v>
      </c>
      <c r="Q222" s="822"/>
      <c r="U222" s="16" t="e">
        <f>IF(AND(G75&lt;&gt;"",$X$5,$X$2),G75,NA())</f>
        <v>#N/A</v>
      </c>
      <c r="W222" s="16" t="str">
        <f>IF(ISNA(U222),"",IF($AE$102=0,U222,ROUND(U222/$AE$102,0)))</f>
        <v/>
      </c>
      <c r="X222" s="16" t="str">
        <f t="shared" si="37"/>
        <v/>
      </c>
      <c r="Y222" s="16" t="str">
        <f t="shared" si="38"/>
        <v/>
      </c>
      <c r="AP222" s="16" t="str">
        <f>IF(ISNA(P224),"",IF($AE$102=0,P224,ROUND(P224/$AE$102,0)))</f>
        <v/>
      </c>
      <c r="AQ222" s="16" t="e">
        <f>IF(AP222="",NA(),COUNTIF(AP222:$AP$286,AP222))</f>
        <v>#N/A</v>
      </c>
      <c r="AR222" s="16" t="e">
        <f>(AQ222-1)*$AE$105</f>
        <v>#N/A</v>
      </c>
      <c r="BG222" s="756">
        <v>215</v>
      </c>
      <c r="BH222" s="761"/>
      <c r="BI222" s="762"/>
      <c r="BJ222" s="824"/>
      <c r="BL222" s="756">
        <v>215</v>
      </c>
      <c r="BM222" s="761"/>
      <c r="BN222" s="762"/>
      <c r="BO222" s="824"/>
      <c r="BQ222" s="756">
        <v>215</v>
      </c>
      <c r="BR222" s="761"/>
      <c r="BS222" s="762"/>
      <c r="BT222" s="824"/>
    </row>
    <row r="223" spans="5:72" ht="12" customHeight="1">
      <c r="E223" s="621">
        <v>215</v>
      </c>
      <c r="F223" s="761"/>
      <c r="G223" s="762"/>
      <c r="H223" s="680"/>
      <c r="I223" s="764" t="str">
        <f t="shared" si="36"/>
        <v/>
      </c>
      <c r="J223" s="595"/>
      <c r="K223"/>
      <c r="L223" s="197"/>
      <c r="O223" s="820" t="e">
        <f>$W$23+IF($AN$85,AO221,0)</f>
        <v>#N/A</v>
      </c>
      <c r="P223" s="821" t="e">
        <f>IF(X223="",NA(),IF($AN$85,X223,T223))</f>
        <v>#N/A</v>
      </c>
      <c r="Q223" s="822"/>
      <c r="T223" s="16" t="e">
        <f>IF(AND(F76&lt;&gt;"",$X$5,$X$2),F76,NA())</f>
        <v>#N/A</v>
      </c>
      <c r="V223" s="16" t="str">
        <f>IF(ISNA(T223),"",IF($AE$102=0,T223,ROUND(T223/$AE$102,0)))</f>
        <v/>
      </c>
      <c r="X223" s="16" t="str">
        <f t="shared" si="37"/>
        <v/>
      </c>
      <c r="Y223" s="16" t="str">
        <f t="shared" si="38"/>
        <v/>
      </c>
      <c r="AM223" s="16" t="str">
        <f>IF(ISNA(P225),"",IF($AE$102=0,P225,ROUND(P225/$AE$102,0)))</f>
        <v/>
      </c>
      <c r="AN223" s="16" t="e">
        <f>IF(AM223="",NA(),COUNTIF(AM223:$AM$286,AM223))</f>
        <v>#N/A</v>
      </c>
      <c r="AO223" s="16" t="e">
        <f>(AN223-1)*$AE$105</f>
        <v>#N/A</v>
      </c>
      <c r="BG223" s="756">
        <v>216</v>
      </c>
      <c r="BH223" s="761"/>
      <c r="BI223" s="762"/>
      <c r="BJ223" s="824"/>
      <c r="BL223" s="756">
        <v>216</v>
      </c>
      <c r="BM223" s="761"/>
      <c r="BN223" s="762"/>
      <c r="BO223" s="824"/>
      <c r="BQ223" s="756">
        <v>216</v>
      </c>
      <c r="BR223" s="761"/>
      <c r="BS223" s="762"/>
      <c r="BT223" s="824"/>
    </row>
    <row r="224" spans="5:72" ht="12" customHeight="1">
      <c r="E224" s="621">
        <v>216</v>
      </c>
      <c r="F224" s="761"/>
      <c r="G224" s="762"/>
      <c r="H224" s="680"/>
      <c r="I224" s="764" t="str">
        <f t="shared" si="36"/>
        <v/>
      </c>
      <c r="J224" s="595"/>
      <c r="K224"/>
      <c r="L224" s="197"/>
      <c r="O224" s="246" t="e">
        <f>$W$24-IF($AN$85,AR222,0)</f>
        <v>#N/A</v>
      </c>
      <c r="P224" s="823" t="e">
        <f>IF(Y224="",NA(),IF($AN$85,Y224,U224))</f>
        <v>#N/A</v>
      </c>
      <c r="Q224" s="822"/>
      <c r="U224" s="16" t="e">
        <f>IF(AND(G76&lt;&gt;"",$X$5,$X$2),G76,NA())</f>
        <v>#N/A</v>
      </c>
      <c r="W224" s="16" t="str">
        <f>IF(ISNA(U224),"",IF($AE$102=0,U224,ROUND(U224/$AE$102,0)))</f>
        <v/>
      </c>
      <c r="X224" s="16" t="str">
        <f t="shared" si="37"/>
        <v/>
      </c>
      <c r="Y224" s="16" t="str">
        <f t="shared" si="38"/>
        <v/>
      </c>
      <c r="AP224" s="16" t="str">
        <f>IF(ISNA(P226),"",IF($AE$102=0,P226,ROUND(P226/$AE$102,0)))</f>
        <v/>
      </c>
      <c r="AQ224" s="16" t="e">
        <f>IF(AP224="",NA(),COUNTIF(AP224:$AP$286,AP224))</f>
        <v>#N/A</v>
      </c>
      <c r="AR224" s="16" t="e">
        <f>(AQ224-1)*$AE$105</f>
        <v>#N/A</v>
      </c>
      <c r="BG224" s="756">
        <v>217</v>
      </c>
      <c r="BH224" s="761"/>
      <c r="BI224" s="762"/>
      <c r="BJ224" s="824"/>
      <c r="BL224" s="756">
        <v>217</v>
      </c>
      <c r="BM224" s="761"/>
      <c r="BN224" s="762"/>
      <c r="BO224" s="824"/>
      <c r="BQ224" s="756">
        <v>217</v>
      </c>
      <c r="BR224" s="761"/>
      <c r="BS224" s="762"/>
      <c r="BT224" s="824"/>
    </row>
    <row r="225" spans="5:72" ht="12" customHeight="1">
      <c r="E225" s="621">
        <v>217</v>
      </c>
      <c r="F225" s="761"/>
      <c r="G225" s="762"/>
      <c r="H225" s="680"/>
      <c r="I225" s="764" t="str">
        <f t="shared" si="36"/>
        <v/>
      </c>
      <c r="J225" s="595"/>
      <c r="K225"/>
      <c r="L225" s="197"/>
      <c r="O225" s="820" t="e">
        <f>$W$23+IF($AN$85,AO223,0)</f>
        <v>#N/A</v>
      </c>
      <c r="P225" s="821" t="e">
        <f>IF(X225="",NA(),IF($AN$85,X225,T225))</f>
        <v>#N/A</v>
      </c>
      <c r="Q225" s="822"/>
      <c r="T225" s="16" t="e">
        <f>IF(AND(F77&lt;&gt;"",$X$5,$X$2),F77,NA())</f>
        <v>#N/A</v>
      </c>
      <c r="V225" s="16" t="str">
        <f>IF(ISNA(T225),"",IF($AE$102=0,T225,ROUND(T225/$AE$102,0)))</f>
        <v/>
      </c>
      <c r="X225" s="16" t="str">
        <f t="shared" si="37"/>
        <v/>
      </c>
      <c r="Y225" s="16" t="str">
        <f t="shared" si="38"/>
        <v/>
      </c>
      <c r="AM225" s="16" t="str">
        <f>IF(ISNA(P227),"",IF($AE$102=0,P227,ROUND(P227/$AE$102,0)))</f>
        <v/>
      </c>
      <c r="AN225" s="16" t="e">
        <f>IF(AM225="",NA(),COUNTIF(AM225:$AM$286,AM225))</f>
        <v>#N/A</v>
      </c>
      <c r="AO225" s="16" t="e">
        <f>(AN225-1)*$AE$105</f>
        <v>#N/A</v>
      </c>
      <c r="BG225" s="756">
        <v>218</v>
      </c>
      <c r="BH225" s="761"/>
      <c r="BI225" s="762"/>
      <c r="BJ225" s="824"/>
      <c r="BL225" s="756">
        <v>218</v>
      </c>
      <c r="BM225" s="761"/>
      <c r="BN225" s="762"/>
      <c r="BO225" s="824"/>
      <c r="BQ225" s="756">
        <v>218</v>
      </c>
      <c r="BR225" s="761"/>
      <c r="BS225" s="762"/>
      <c r="BT225" s="824"/>
    </row>
    <row r="226" spans="5:72" ht="12" customHeight="1">
      <c r="E226" s="621">
        <v>218</v>
      </c>
      <c r="F226" s="761"/>
      <c r="G226" s="762"/>
      <c r="H226" s="680"/>
      <c r="I226" s="764" t="str">
        <f t="shared" si="36"/>
        <v/>
      </c>
      <c r="J226" s="595"/>
      <c r="K226"/>
      <c r="L226" s="197"/>
      <c r="O226" s="246" t="e">
        <f>$W$24-IF($AN$85,AR224,0)</f>
        <v>#N/A</v>
      </c>
      <c r="P226" s="823" t="e">
        <f>IF(Y226="",NA(),IF($AN$85,Y226,U226))</f>
        <v>#N/A</v>
      </c>
      <c r="Q226" s="822"/>
      <c r="U226" s="16" t="e">
        <f>IF(AND(G77&lt;&gt;"",$X$5,$X$2),G77,NA())</f>
        <v>#N/A</v>
      </c>
      <c r="W226" s="16" t="str">
        <f>IF(ISNA(U226),"",IF($AE$102=0,U226,ROUND(U226/$AE$102,0)))</f>
        <v/>
      </c>
      <c r="X226" s="16" t="str">
        <f t="shared" si="37"/>
        <v/>
      </c>
      <c r="Y226" s="16" t="str">
        <f t="shared" si="38"/>
        <v/>
      </c>
      <c r="AP226" s="16" t="str">
        <f>IF(ISNA(P228),"",IF($AE$102=0,P228,ROUND(P228/$AE$102,0)))</f>
        <v/>
      </c>
      <c r="AQ226" s="16" t="e">
        <f>IF(AP226="",NA(),COUNTIF(AP226:$AP$286,AP226))</f>
        <v>#N/A</v>
      </c>
      <c r="AR226" s="16" t="e">
        <f>(AQ226-1)*$AE$105</f>
        <v>#N/A</v>
      </c>
      <c r="BG226" s="756">
        <v>219</v>
      </c>
      <c r="BH226" s="761"/>
      <c r="BI226" s="762"/>
      <c r="BJ226" s="824"/>
      <c r="BL226" s="756">
        <v>219</v>
      </c>
      <c r="BM226" s="761"/>
      <c r="BN226" s="762"/>
      <c r="BO226" s="824"/>
      <c r="BQ226" s="756">
        <v>219</v>
      </c>
      <c r="BR226" s="761"/>
      <c r="BS226" s="762"/>
      <c r="BT226" s="824"/>
    </row>
    <row r="227" spans="5:72" ht="12" customHeight="1">
      <c r="E227" s="621">
        <v>219</v>
      </c>
      <c r="F227" s="761"/>
      <c r="G227" s="762"/>
      <c r="H227" s="680"/>
      <c r="I227" s="764" t="str">
        <f t="shared" si="36"/>
        <v/>
      </c>
      <c r="J227" s="595"/>
      <c r="K227"/>
      <c r="L227" s="197"/>
      <c r="O227" s="820" t="e">
        <f>$W$23+IF($AN$85,AO225,0)</f>
        <v>#N/A</v>
      </c>
      <c r="P227" s="821" t="e">
        <f>IF(X227="",NA(),IF($AN$85,X227,T227))</f>
        <v>#N/A</v>
      </c>
      <c r="Q227" s="822"/>
      <c r="T227" s="16" t="e">
        <f>IF(AND(F78&lt;&gt;"",$X$5,$X$2),F78,NA())</f>
        <v>#N/A</v>
      </c>
      <c r="V227" s="16" t="str">
        <f>IF(ISNA(T227),"",IF($AE$102=0,T227,ROUND(T227/$AE$102,0)))</f>
        <v/>
      </c>
      <c r="X227" s="16" t="str">
        <f t="shared" si="37"/>
        <v/>
      </c>
      <c r="Y227" s="16" t="str">
        <f t="shared" si="38"/>
        <v/>
      </c>
      <c r="AM227" s="16" t="str">
        <f>IF(ISNA(P229),"",IF($AE$102=0,P229,ROUND(P229/$AE$102,0)))</f>
        <v/>
      </c>
      <c r="AN227" s="16" t="e">
        <f>IF(AM227="",NA(),COUNTIF(AM227:$AM$286,AM227))</f>
        <v>#N/A</v>
      </c>
      <c r="AO227" s="16" t="e">
        <f>(AN227-1)*$AE$105</f>
        <v>#N/A</v>
      </c>
      <c r="BG227" s="756">
        <v>220</v>
      </c>
      <c r="BH227" s="761"/>
      <c r="BI227" s="762"/>
      <c r="BJ227" s="824"/>
      <c r="BL227" s="756">
        <v>220</v>
      </c>
      <c r="BM227" s="761"/>
      <c r="BN227" s="762"/>
      <c r="BO227" s="824"/>
      <c r="BQ227" s="756">
        <v>220</v>
      </c>
      <c r="BR227" s="761"/>
      <c r="BS227" s="762"/>
      <c r="BT227" s="824"/>
    </row>
    <row r="228" spans="5:72" ht="12" customHeight="1">
      <c r="E228" s="621">
        <v>220</v>
      </c>
      <c r="F228" s="761"/>
      <c r="G228" s="762"/>
      <c r="H228" s="680"/>
      <c r="I228" s="764" t="str">
        <f t="shared" si="36"/>
        <v/>
      </c>
      <c r="J228" s="595"/>
      <c r="K228"/>
      <c r="L228" s="197"/>
      <c r="O228" s="246" t="e">
        <f>$W$24-IF($AN$85,AR226,0)</f>
        <v>#N/A</v>
      </c>
      <c r="P228" s="823" t="e">
        <f>IF(Y228="",NA(),IF($AN$85,Y228,U228))</f>
        <v>#N/A</v>
      </c>
      <c r="Q228" s="822"/>
      <c r="U228" s="16" t="e">
        <f>IF(AND(G78&lt;&gt;"",$X$5,$X$2),G78,NA())</f>
        <v>#N/A</v>
      </c>
      <c r="W228" s="16" t="str">
        <f>IF(ISNA(U228),"",IF($AE$102=0,U228,ROUND(U228/$AE$102,0)))</f>
        <v/>
      </c>
      <c r="X228" s="16" t="str">
        <f t="shared" si="37"/>
        <v/>
      </c>
      <c r="Y228" s="16" t="str">
        <f t="shared" si="38"/>
        <v/>
      </c>
      <c r="AP228" s="16" t="str">
        <f>IF(ISNA(P230),"",IF($AE$102=0,P230,ROUND(P230/$AE$102,0)))</f>
        <v/>
      </c>
      <c r="AQ228" s="16" t="e">
        <f>IF(AP228="",NA(),COUNTIF(AP228:$AP$286,AP228))</f>
        <v>#N/A</v>
      </c>
      <c r="AR228" s="16" t="e">
        <f>(AQ228-1)*$AE$105</f>
        <v>#N/A</v>
      </c>
      <c r="BG228" s="756">
        <v>221</v>
      </c>
      <c r="BH228" s="761"/>
      <c r="BI228" s="762"/>
      <c r="BJ228" s="824"/>
      <c r="BL228" s="756">
        <v>221</v>
      </c>
      <c r="BM228" s="761"/>
      <c r="BN228" s="762"/>
      <c r="BO228" s="824"/>
      <c r="BQ228" s="756">
        <v>221</v>
      </c>
      <c r="BR228" s="761"/>
      <c r="BS228" s="762"/>
      <c r="BT228" s="824"/>
    </row>
    <row r="229" spans="5:72" ht="12" customHeight="1">
      <c r="E229" s="621">
        <v>221</v>
      </c>
      <c r="F229" s="761"/>
      <c r="G229" s="762"/>
      <c r="H229" s="680"/>
      <c r="I229" s="764" t="str">
        <f t="shared" si="36"/>
        <v/>
      </c>
      <c r="J229" s="595"/>
      <c r="K229"/>
      <c r="L229" s="197"/>
      <c r="O229" s="820" t="e">
        <f>$W$23+IF($AN$85,AO227,0)</f>
        <v>#N/A</v>
      </c>
      <c r="P229" s="821" t="e">
        <f>IF(X229="",NA(),IF($AN$85,X229,T229))</f>
        <v>#N/A</v>
      </c>
      <c r="Q229" s="822"/>
      <c r="T229" s="16" t="e">
        <f>IF(AND(F79&lt;&gt;"",$X$5,$X$2),F79,NA())</f>
        <v>#N/A</v>
      </c>
      <c r="V229" s="16" t="str">
        <f>IF(ISNA(T229),"",IF($AE$102=0,T229,ROUND(T229/$AE$102,0)))</f>
        <v/>
      </c>
      <c r="X229" s="16" t="str">
        <f t="shared" si="37"/>
        <v/>
      </c>
      <c r="Y229" s="16" t="str">
        <f t="shared" si="38"/>
        <v/>
      </c>
      <c r="AM229" s="16" t="str">
        <f>IF(ISNA(P231),"",IF($AE$102=0,P231,ROUND(P231/$AE$102,0)))</f>
        <v/>
      </c>
      <c r="AN229" s="16" t="e">
        <f>IF(AM229="",NA(),COUNTIF(AM229:$AM$286,AM229))</f>
        <v>#N/A</v>
      </c>
      <c r="AO229" s="16" t="e">
        <f>(AN229-1)*$AE$105</f>
        <v>#N/A</v>
      </c>
      <c r="BG229" s="756">
        <v>222</v>
      </c>
      <c r="BH229" s="761"/>
      <c r="BI229" s="762"/>
      <c r="BJ229" s="824"/>
      <c r="BL229" s="756">
        <v>222</v>
      </c>
      <c r="BM229" s="761"/>
      <c r="BN229" s="762"/>
      <c r="BO229" s="824"/>
      <c r="BQ229" s="756">
        <v>222</v>
      </c>
      <c r="BR229" s="761"/>
      <c r="BS229" s="762"/>
      <c r="BT229" s="824"/>
    </row>
    <row r="230" spans="5:72" ht="12" customHeight="1">
      <c r="E230" s="621">
        <v>222</v>
      </c>
      <c r="F230" s="761"/>
      <c r="G230" s="762"/>
      <c r="H230" s="680"/>
      <c r="I230" s="764" t="str">
        <f t="shared" si="36"/>
        <v/>
      </c>
      <c r="J230" s="595"/>
      <c r="K230"/>
      <c r="L230" s="197"/>
      <c r="O230" s="246" t="e">
        <f>$W$24-IF($AN$85,AR228,0)</f>
        <v>#N/A</v>
      </c>
      <c r="P230" s="823" t="e">
        <f>IF(Y230="",NA(),IF($AN$85,Y230,U230))</f>
        <v>#N/A</v>
      </c>
      <c r="Q230" s="822"/>
      <c r="U230" s="16" t="e">
        <f>IF(AND(G79&lt;&gt;"",$X$5,$X$2),G79,NA())</f>
        <v>#N/A</v>
      </c>
      <c r="W230" s="16" t="str">
        <f>IF(ISNA(U230),"",IF($AE$102=0,U230,ROUND(U230/$AE$102,0)))</f>
        <v/>
      </c>
      <c r="X230" s="16" t="str">
        <f t="shared" si="37"/>
        <v/>
      </c>
      <c r="Y230" s="16" t="str">
        <f t="shared" si="38"/>
        <v/>
      </c>
      <c r="AP230" s="16" t="str">
        <f>IF(ISNA(P232),"",IF($AE$102=0,P232,ROUND(P232/$AE$102,0)))</f>
        <v/>
      </c>
      <c r="AQ230" s="16" t="e">
        <f>IF(AP230="",NA(),COUNTIF(AP230:$AP$286,AP230))</f>
        <v>#N/A</v>
      </c>
      <c r="AR230" s="16" t="e">
        <f>(AQ230-1)*$AE$105</f>
        <v>#N/A</v>
      </c>
      <c r="BG230" s="756">
        <v>223</v>
      </c>
      <c r="BH230" s="761"/>
      <c r="BI230" s="762"/>
      <c r="BJ230" s="824"/>
      <c r="BL230" s="756">
        <v>223</v>
      </c>
      <c r="BM230" s="761"/>
      <c r="BN230" s="762"/>
      <c r="BO230" s="824"/>
      <c r="BQ230" s="756">
        <v>223</v>
      </c>
      <c r="BR230" s="761"/>
      <c r="BS230" s="762"/>
      <c r="BT230" s="824"/>
    </row>
    <row r="231" spans="5:72" ht="12" customHeight="1">
      <c r="E231" s="621">
        <v>223</v>
      </c>
      <c r="F231" s="761"/>
      <c r="G231" s="762"/>
      <c r="H231" s="680"/>
      <c r="I231" s="764" t="str">
        <f t="shared" si="36"/>
        <v/>
      </c>
      <c r="J231" s="595"/>
      <c r="K231"/>
      <c r="L231" s="197"/>
      <c r="O231" s="820" t="e">
        <f>$W$23+IF($AN$85,AO229,0)</f>
        <v>#N/A</v>
      </c>
      <c r="P231" s="821" t="e">
        <f>IF(X231="",NA(),IF($AN$85,X231,T231))</f>
        <v>#N/A</v>
      </c>
      <c r="Q231" s="822"/>
      <c r="T231" s="16" t="e">
        <f>IF(AND(F80&lt;&gt;"",$X$5,$X$2),F80,NA())</f>
        <v>#N/A</v>
      </c>
      <c r="V231" s="16" t="str">
        <f>IF(ISNA(T231),"",IF($AE$102=0,T231,ROUND(T231/$AE$102,0)))</f>
        <v/>
      </c>
      <c r="X231" s="16" t="str">
        <f t="shared" si="37"/>
        <v/>
      </c>
      <c r="Y231" s="16" t="str">
        <f t="shared" si="38"/>
        <v/>
      </c>
      <c r="AM231" s="16" t="str">
        <f>IF(ISNA(P233),"",IF($AE$102=0,P233,ROUND(P233/$AE$102,0)))</f>
        <v/>
      </c>
      <c r="AN231" s="16" t="e">
        <f>IF(AM231="",NA(),COUNTIF(AM231:$AM$286,AM231))</f>
        <v>#N/A</v>
      </c>
      <c r="AO231" s="16" t="e">
        <f>(AN231-1)*$AE$105</f>
        <v>#N/A</v>
      </c>
      <c r="BG231" s="756">
        <v>224</v>
      </c>
      <c r="BH231" s="761"/>
      <c r="BI231" s="762"/>
      <c r="BJ231" s="824"/>
      <c r="BL231" s="756">
        <v>224</v>
      </c>
      <c r="BM231" s="761"/>
      <c r="BN231" s="762"/>
      <c r="BO231" s="824"/>
      <c r="BQ231" s="756">
        <v>224</v>
      </c>
      <c r="BR231" s="761"/>
      <c r="BS231" s="762"/>
      <c r="BT231" s="824"/>
    </row>
    <row r="232" spans="5:72" ht="12" customHeight="1">
      <c r="E232" s="621">
        <v>224</v>
      </c>
      <c r="F232" s="761"/>
      <c r="G232" s="762"/>
      <c r="H232" s="680"/>
      <c r="I232" s="764" t="str">
        <f t="shared" si="36"/>
        <v/>
      </c>
      <c r="J232" s="595"/>
      <c r="K232"/>
      <c r="L232" s="197"/>
      <c r="O232" s="246" t="e">
        <f>$W$24-IF($AN$85,AR230,0)</f>
        <v>#N/A</v>
      </c>
      <c r="P232" s="823" t="e">
        <f>IF(Y232="",NA(),IF($AN$85,Y232,U232))</f>
        <v>#N/A</v>
      </c>
      <c r="Q232" s="822"/>
      <c r="U232" s="16" t="e">
        <f>IF(AND(G80&lt;&gt;"",$X$5,$X$2),G80,NA())</f>
        <v>#N/A</v>
      </c>
      <c r="W232" s="16" t="str">
        <f>IF(ISNA(U232),"",IF($AE$102=0,U232,ROUND(U232/$AE$102,0)))</f>
        <v/>
      </c>
      <c r="X232" s="16" t="str">
        <f t="shared" si="37"/>
        <v/>
      </c>
      <c r="Y232" s="16" t="str">
        <f t="shared" si="38"/>
        <v/>
      </c>
      <c r="AP232" s="16" t="str">
        <f>IF(ISNA(P234),"",IF($AE$102=0,P234,ROUND(P234/$AE$102,0)))</f>
        <v/>
      </c>
      <c r="AQ232" s="16" t="e">
        <f>IF(AP232="",NA(),COUNTIF(AP232:$AP$286,AP232))</f>
        <v>#N/A</v>
      </c>
      <c r="AR232" s="16" t="e">
        <f>(AQ232-1)*$AE$105</f>
        <v>#N/A</v>
      </c>
      <c r="BG232" s="756">
        <v>225</v>
      </c>
      <c r="BH232" s="761"/>
      <c r="BI232" s="762"/>
      <c r="BJ232" s="824"/>
      <c r="BL232" s="756">
        <v>225</v>
      </c>
      <c r="BM232" s="761"/>
      <c r="BN232" s="762"/>
      <c r="BO232" s="824"/>
      <c r="BQ232" s="756">
        <v>225</v>
      </c>
      <c r="BR232" s="761"/>
      <c r="BS232" s="762"/>
      <c r="BT232" s="824"/>
    </row>
    <row r="233" spans="5:72" ht="12" customHeight="1">
      <c r="E233" s="621">
        <v>225</v>
      </c>
      <c r="F233" s="761"/>
      <c r="G233" s="762"/>
      <c r="H233" s="680"/>
      <c r="I233" s="764" t="str">
        <f t="shared" si="36"/>
        <v/>
      </c>
      <c r="J233" s="595"/>
      <c r="K233"/>
      <c r="L233" s="197"/>
      <c r="O233" s="820" t="e">
        <f>$W$23+IF($AN$85,AO231,0)</f>
        <v>#N/A</v>
      </c>
      <c r="P233" s="821" t="e">
        <f>IF(X233="",NA(),IF($AN$85,X233,T233))</f>
        <v>#N/A</v>
      </c>
      <c r="Q233" s="822"/>
      <c r="T233" s="16" t="e">
        <f>IF(AND(F81&lt;&gt;"",$X$5,$X$2),F81,NA())</f>
        <v>#N/A</v>
      </c>
      <c r="V233" s="16" t="str">
        <f>IF(ISNA(T233),"",IF($AE$102=0,T233,ROUND(T233/$AE$102,0)))</f>
        <v/>
      </c>
      <c r="X233" s="16" t="str">
        <f t="shared" si="37"/>
        <v/>
      </c>
      <c r="Y233" s="16" t="str">
        <f t="shared" si="38"/>
        <v/>
      </c>
      <c r="AM233" s="16" t="str">
        <f>IF(ISNA(P235),"",IF($AE$102=0,P235,ROUND(P235/$AE$102,0)))</f>
        <v/>
      </c>
      <c r="AN233" s="16" t="e">
        <f>IF(AM233="",NA(),COUNTIF(AM233:$AM$286,AM233))</f>
        <v>#N/A</v>
      </c>
      <c r="AO233" s="16" t="e">
        <f>(AN233-1)*$AE$105</f>
        <v>#N/A</v>
      </c>
      <c r="BG233" s="756">
        <v>226</v>
      </c>
      <c r="BH233" s="761"/>
      <c r="BI233" s="762"/>
      <c r="BJ233" s="824"/>
      <c r="BL233" s="756">
        <v>226</v>
      </c>
      <c r="BM233" s="761"/>
      <c r="BN233" s="762"/>
      <c r="BO233" s="824"/>
      <c r="BQ233" s="756">
        <v>226</v>
      </c>
      <c r="BR233" s="761"/>
      <c r="BS233" s="762"/>
      <c r="BT233" s="824"/>
    </row>
    <row r="234" spans="5:72" ht="12" customHeight="1">
      <c r="E234" s="621">
        <v>226</v>
      </c>
      <c r="F234" s="761"/>
      <c r="G234" s="762"/>
      <c r="H234" s="680"/>
      <c r="I234" s="764" t="str">
        <f t="shared" si="36"/>
        <v/>
      </c>
      <c r="J234" s="595"/>
      <c r="K234"/>
      <c r="L234" s="197"/>
      <c r="O234" s="246" t="e">
        <f>$W$24-IF($AN$85,AR232,0)</f>
        <v>#N/A</v>
      </c>
      <c r="P234" s="823" t="e">
        <f>IF(Y234="",NA(),IF($AN$85,Y234,U234))</f>
        <v>#N/A</v>
      </c>
      <c r="Q234" s="822"/>
      <c r="U234" s="16" t="e">
        <f>IF(AND(G81&lt;&gt;"",$X$5,$X$2),G81,NA())</f>
        <v>#N/A</v>
      </c>
      <c r="W234" s="16" t="str">
        <f>IF(ISNA(U234),"",IF($AE$102=0,U234,ROUND(U234/$AE$102,0)))</f>
        <v/>
      </c>
      <c r="X234" s="16" t="str">
        <f t="shared" si="37"/>
        <v/>
      </c>
      <c r="Y234" s="16" t="str">
        <f t="shared" si="38"/>
        <v/>
      </c>
      <c r="AP234" s="16" t="str">
        <f>IF(ISNA(P236),"",IF($AE$102=0,P236,ROUND(P236/$AE$102,0)))</f>
        <v/>
      </c>
      <c r="AQ234" s="16" t="e">
        <f>IF(AP234="",NA(),COUNTIF(AP234:$AP$286,AP234))</f>
        <v>#N/A</v>
      </c>
      <c r="AR234" s="16" t="e">
        <f>(AQ234-1)*$AE$105</f>
        <v>#N/A</v>
      </c>
      <c r="BG234" s="756">
        <v>227</v>
      </c>
      <c r="BH234" s="761"/>
      <c r="BI234" s="762"/>
      <c r="BJ234" s="824"/>
      <c r="BL234" s="756">
        <v>227</v>
      </c>
      <c r="BM234" s="761"/>
      <c r="BN234" s="762"/>
      <c r="BO234" s="824"/>
      <c r="BQ234" s="756">
        <v>227</v>
      </c>
      <c r="BR234" s="761"/>
      <c r="BS234" s="762"/>
      <c r="BT234" s="824"/>
    </row>
    <row r="235" spans="5:72" ht="12" customHeight="1">
      <c r="E235" s="621">
        <v>227</v>
      </c>
      <c r="F235" s="761"/>
      <c r="G235" s="762"/>
      <c r="H235" s="680"/>
      <c r="I235" s="764" t="str">
        <f t="shared" si="36"/>
        <v/>
      </c>
      <c r="J235" s="595"/>
      <c r="K235"/>
      <c r="L235" s="197"/>
      <c r="O235" s="820" t="e">
        <f>$W$23+IF($AN$85,AO233,0)</f>
        <v>#N/A</v>
      </c>
      <c r="P235" s="821" t="e">
        <f>IF(X235="",NA(),IF($AN$85,X235,T235))</f>
        <v>#N/A</v>
      </c>
      <c r="Q235" s="822"/>
      <c r="T235" s="16" t="e">
        <f>IF(AND(F82&lt;&gt;"",$X$5,$X$2),F82,NA())</f>
        <v>#N/A</v>
      </c>
      <c r="V235" s="16" t="str">
        <f>IF(ISNA(T235),"",IF($AE$102=0,T235,ROUND(T235/$AE$102,0)))</f>
        <v/>
      </c>
      <c r="X235" s="16" t="str">
        <f t="shared" si="37"/>
        <v/>
      </c>
      <c r="Y235" s="16" t="str">
        <f t="shared" si="38"/>
        <v/>
      </c>
      <c r="AM235" s="16" t="str">
        <f>IF(ISNA(P237),"",IF($AE$102=0,P237,ROUND(P237/$AE$102,0)))</f>
        <v/>
      </c>
      <c r="AN235" s="16" t="e">
        <f>IF(AM235="",NA(),COUNTIF(AM235:$AM$286,AM235))</f>
        <v>#N/A</v>
      </c>
      <c r="AO235" s="16" t="e">
        <f>(AN235-1)*$AE$105</f>
        <v>#N/A</v>
      </c>
      <c r="BG235" s="756">
        <v>228</v>
      </c>
      <c r="BH235" s="761"/>
      <c r="BI235" s="762"/>
      <c r="BJ235" s="824"/>
      <c r="BL235" s="756">
        <v>228</v>
      </c>
      <c r="BM235" s="761"/>
      <c r="BN235" s="762"/>
      <c r="BO235" s="824"/>
      <c r="BQ235" s="756">
        <v>228</v>
      </c>
      <c r="BR235" s="761"/>
      <c r="BS235" s="762"/>
      <c r="BT235" s="824"/>
    </row>
    <row r="236" spans="5:72" ht="12" customHeight="1">
      <c r="E236" s="621">
        <v>228</v>
      </c>
      <c r="F236" s="761"/>
      <c r="G236" s="762"/>
      <c r="H236" s="680"/>
      <c r="I236" s="764" t="str">
        <f t="shared" si="36"/>
        <v/>
      </c>
      <c r="J236" s="595"/>
      <c r="K236"/>
      <c r="L236" s="197"/>
      <c r="O236" s="246" t="e">
        <f>$W$24-IF($AN$85,AR234,0)</f>
        <v>#N/A</v>
      </c>
      <c r="P236" s="823" t="e">
        <f>IF(Y236="",NA(),IF($AN$85,Y236,U236))</f>
        <v>#N/A</v>
      </c>
      <c r="Q236" s="822"/>
      <c r="U236" s="16" t="e">
        <f>IF(AND(G82&lt;&gt;"",$X$5,$X$2),G82,NA())</f>
        <v>#N/A</v>
      </c>
      <c r="W236" s="16" t="str">
        <f>IF(ISNA(U236),"",IF($AE$102=0,U236,ROUND(U236/$AE$102,0)))</f>
        <v/>
      </c>
      <c r="X236" s="16" t="str">
        <f t="shared" si="37"/>
        <v/>
      </c>
      <c r="Y236" s="16" t="str">
        <f t="shared" si="38"/>
        <v/>
      </c>
      <c r="AP236" s="16" t="str">
        <f>IF(ISNA(P238),"",IF($AE$102=0,P238,ROUND(P238/$AE$102,0)))</f>
        <v/>
      </c>
      <c r="AQ236" s="16" t="e">
        <f>IF(AP236="",NA(),COUNTIF(AP236:$AP$286,AP236))</f>
        <v>#N/A</v>
      </c>
      <c r="AR236" s="16" t="e">
        <f>(AQ236-1)*$AE$105</f>
        <v>#N/A</v>
      </c>
      <c r="BG236" s="756">
        <v>229</v>
      </c>
      <c r="BH236" s="761"/>
      <c r="BI236" s="762"/>
      <c r="BJ236" s="824"/>
      <c r="BL236" s="756">
        <v>229</v>
      </c>
      <c r="BM236" s="761"/>
      <c r="BN236" s="762"/>
      <c r="BO236" s="824"/>
      <c r="BQ236" s="756">
        <v>229</v>
      </c>
      <c r="BR236" s="761"/>
      <c r="BS236" s="762"/>
      <c r="BT236" s="824"/>
    </row>
    <row r="237" spans="5:72" ht="12" customHeight="1">
      <c r="E237" s="621">
        <v>229</v>
      </c>
      <c r="F237" s="761"/>
      <c r="G237" s="762"/>
      <c r="H237" s="680"/>
      <c r="I237" s="764" t="str">
        <f t="shared" si="36"/>
        <v/>
      </c>
      <c r="J237" s="595"/>
      <c r="K237"/>
      <c r="L237" s="197"/>
      <c r="O237" s="820" t="e">
        <f>$W$23+IF($AN$85,AO235,0)</f>
        <v>#N/A</v>
      </c>
      <c r="P237" s="821" t="e">
        <f>IF(X237="",NA(),IF($AN$85,X237,T237))</f>
        <v>#N/A</v>
      </c>
      <c r="Q237" s="822"/>
      <c r="T237" s="16" t="e">
        <f>IF(AND(F83&lt;&gt;"",$X$5,$X$2),F83,NA())</f>
        <v>#N/A</v>
      </c>
      <c r="V237" s="16" t="str">
        <f>IF(ISNA(T237),"",IF($AE$102=0,T237,ROUND(T237/$AE$102,0)))</f>
        <v/>
      </c>
      <c r="X237" s="16" t="str">
        <f t="shared" si="37"/>
        <v/>
      </c>
      <c r="Y237" s="16" t="str">
        <f t="shared" si="38"/>
        <v/>
      </c>
      <c r="AM237" s="16" t="str">
        <f>IF(ISNA(P239),"",IF($AE$102=0,P239,ROUND(P239/$AE$102,0)))</f>
        <v/>
      </c>
      <c r="AN237" s="16" t="e">
        <f>IF(AM237="",NA(),COUNTIF(AM237:$AM$286,AM237))</f>
        <v>#N/A</v>
      </c>
      <c r="AO237" s="16" t="e">
        <f>(AN237-1)*$AE$105</f>
        <v>#N/A</v>
      </c>
      <c r="BG237" s="756">
        <v>230</v>
      </c>
      <c r="BH237" s="761"/>
      <c r="BI237" s="762"/>
      <c r="BJ237" s="824"/>
      <c r="BL237" s="756">
        <v>230</v>
      </c>
      <c r="BM237" s="761"/>
      <c r="BN237" s="762"/>
      <c r="BO237" s="824"/>
      <c r="BQ237" s="756">
        <v>230</v>
      </c>
      <c r="BR237" s="761"/>
      <c r="BS237" s="762"/>
      <c r="BT237" s="824"/>
    </row>
    <row r="238" spans="5:72" ht="12" customHeight="1">
      <c r="E238" s="621">
        <v>230</v>
      </c>
      <c r="F238" s="761"/>
      <c r="G238" s="762"/>
      <c r="H238" s="680"/>
      <c r="I238" s="764" t="str">
        <f t="shared" si="36"/>
        <v/>
      </c>
      <c r="J238" s="595"/>
      <c r="K238"/>
      <c r="L238" s="197"/>
      <c r="O238" s="246" t="e">
        <f>$W$24-IF($AN$85,AR236,0)</f>
        <v>#N/A</v>
      </c>
      <c r="P238" s="823" t="e">
        <f>IF(Y238="",NA(),IF($AN$85,Y238,U238))</f>
        <v>#N/A</v>
      </c>
      <c r="Q238" s="822"/>
      <c r="U238" s="16" t="e">
        <f>IF(AND(G83&lt;&gt;"",$X$5,$X$2),G83,NA())</f>
        <v>#N/A</v>
      </c>
      <c r="W238" s="16" t="str">
        <f>IF(ISNA(U238),"",IF($AE$102=0,U238,ROUND(U238/$AE$102,0)))</f>
        <v/>
      </c>
      <c r="X238" s="16" t="str">
        <f t="shared" si="37"/>
        <v/>
      </c>
      <c r="Y238" s="16" t="str">
        <f t="shared" si="38"/>
        <v/>
      </c>
      <c r="AP238" s="16" t="str">
        <f>IF(ISNA(P240),"",IF($AE$102=0,P240,ROUND(P240/$AE$102,0)))</f>
        <v/>
      </c>
      <c r="AQ238" s="16" t="e">
        <f>IF(AP238="",NA(),COUNTIF(AP238:$AP$286,AP238))</f>
        <v>#N/A</v>
      </c>
      <c r="AR238" s="16" t="e">
        <f>(AQ238-1)*$AE$105</f>
        <v>#N/A</v>
      </c>
      <c r="BG238" s="756">
        <v>231</v>
      </c>
      <c r="BH238" s="761"/>
      <c r="BI238" s="762"/>
      <c r="BJ238" s="824"/>
      <c r="BL238" s="756">
        <v>231</v>
      </c>
      <c r="BM238" s="761"/>
      <c r="BN238" s="762"/>
      <c r="BO238" s="824"/>
      <c r="BQ238" s="756">
        <v>231</v>
      </c>
      <c r="BR238" s="761"/>
      <c r="BS238" s="762"/>
      <c r="BT238" s="824"/>
    </row>
    <row r="239" spans="5:72" ht="12" customHeight="1">
      <c r="E239" s="621">
        <v>231</v>
      </c>
      <c r="F239" s="761"/>
      <c r="G239" s="762"/>
      <c r="H239" s="680"/>
      <c r="I239" s="764" t="str">
        <f t="shared" si="36"/>
        <v/>
      </c>
      <c r="J239" s="595"/>
      <c r="K239"/>
      <c r="L239" s="197"/>
      <c r="O239" s="820" t="e">
        <f>$W$23+IF($AN$85,AO237,0)</f>
        <v>#N/A</v>
      </c>
      <c r="P239" s="821" t="e">
        <f>IF(X239="",NA(),IF($AN$85,X239,T239))</f>
        <v>#N/A</v>
      </c>
      <c r="Q239" s="822"/>
      <c r="T239" s="16" t="e">
        <f>IF(AND(F84&lt;&gt;"",$X$5,$X$2),F84,NA())</f>
        <v>#N/A</v>
      </c>
      <c r="V239" s="16" t="str">
        <f>IF(ISNA(T239),"",IF($AE$102=0,T239,ROUND(T239/$AE$102,0)))</f>
        <v/>
      </c>
      <c r="X239" s="16" t="str">
        <f t="shared" si="37"/>
        <v/>
      </c>
      <c r="Y239" s="16" t="str">
        <f t="shared" si="38"/>
        <v/>
      </c>
      <c r="AM239" s="16" t="str">
        <f>IF(ISNA(P241),"",IF($AE$102=0,P241,ROUND(P241/$AE$102,0)))</f>
        <v/>
      </c>
      <c r="AN239" s="16" t="e">
        <f>IF(AM239="",NA(),COUNTIF(AM239:$AM$286,AM239))</f>
        <v>#N/A</v>
      </c>
      <c r="AO239" s="16" t="e">
        <f>(AN239-1)*$AE$105</f>
        <v>#N/A</v>
      </c>
      <c r="BG239" s="756">
        <v>232</v>
      </c>
      <c r="BH239" s="761"/>
      <c r="BI239" s="762"/>
      <c r="BJ239" s="824"/>
      <c r="BL239" s="756">
        <v>232</v>
      </c>
      <c r="BM239" s="761"/>
      <c r="BN239" s="762"/>
      <c r="BO239" s="824"/>
      <c r="BQ239" s="756">
        <v>232</v>
      </c>
      <c r="BR239" s="761"/>
      <c r="BS239" s="762"/>
      <c r="BT239" s="824"/>
    </row>
    <row r="240" spans="5:72" ht="12" customHeight="1">
      <c r="E240" s="621">
        <v>232</v>
      </c>
      <c r="F240" s="761"/>
      <c r="G240" s="762"/>
      <c r="H240" s="680"/>
      <c r="I240" s="764" t="str">
        <f t="shared" si="36"/>
        <v/>
      </c>
      <c r="J240" s="595"/>
      <c r="K240"/>
      <c r="L240" s="197"/>
      <c r="O240" s="246" t="e">
        <f>$W$24-IF($AN$85,AR238,0)</f>
        <v>#N/A</v>
      </c>
      <c r="P240" s="823" t="e">
        <f>IF(Y240="",NA(),IF($AN$85,Y240,U240))</f>
        <v>#N/A</v>
      </c>
      <c r="Q240" s="822"/>
      <c r="U240" s="16" t="e">
        <f>IF(AND(G84&lt;&gt;"",$X$5,$X$2),G84,NA())</f>
        <v>#N/A</v>
      </c>
      <c r="W240" s="16" t="str">
        <f>IF(ISNA(U240),"",IF($AE$102=0,U240,ROUND(U240/$AE$102,0)))</f>
        <v/>
      </c>
      <c r="X240" s="16" t="str">
        <f t="shared" si="37"/>
        <v/>
      </c>
      <c r="Y240" s="16" t="str">
        <f t="shared" si="38"/>
        <v/>
      </c>
      <c r="AP240" s="16" t="str">
        <f>IF(ISNA(P242),"",IF($AE$102=0,P242,ROUND(P242/$AE$102,0)))</f>
        <v/>
      </c>
      <c r="AQ240" s="16" t="e">
        <f>IF(AP240="",NA(),COUNTIF(AP240:$AP$286,AP240))</f>
        <v>#N/A</v>
      </c>
      <c r="AR240" s="16" t="e">
        <f>(AQ240-1)*$AE$105</f>
        <v>#N/A</v>
      </c>
      <c r="BG240" s="756">
        <v>233</v>
      </c>
      <c r="BH240" s="761"/>
      <c r="BI240" s="762"/>
      <c r="BJ240" s="824"/>
      <c r="BL240" s="756">
        <v>233</v>
      </c>
      <c r="BM240" s="761"/>
      <c r="BN240" s="762"/>
      <c r="BO240" s="824"/>
      <c r="BQ240" s="756">
        <v>233</v>
      </c>
      <c r="BR240" s="761"/>
      <c r="BS240" s="762"/>
      <c r="BT240" s="824"/>
    </row>
    <row r="241" spans="5:72" ht="12" customHeight="1">
      <c r="E241" s="621">
        <v>233</v>
      </c>
      <c r="F241" s="761"/>
      <c r="G241" s="762"/>
      <c r="H241" s="680"/>
      <c r="I241" s="764" t="str">
        <f t="shared" si="36"/>
        <v/>
      </c>
      <c r="J241" s="595"/>
      <c r="K241"/>
      <c r="L241" s="197"/>
      <c r="O241" s="820" t="e">
        <f>$W$23+IF($AN$85,AO239,0)</f>
        <v>#N/A</v>
      </c>
      <c r="P241" s="821" t="e">
        <f>IF(X241="",NA(),IF($AN$85,X241,T241))</f>
        <v>#N/A</v>
      </c>
      <c r="Q241" s="822"/>
      <c r="T241" s="16" t="e">
        <f>IF(AND(F85&lt;&gt;"",$X$5,$X$2),F85,NA())</f>
        <v>#N/A</v>
      </c>
      <c r="V241" s="16" t="str">
        <f>IF(ISNA(T241),"",IF($AE$102=0,T241,ROUND(T241/$AE$102,0)))</f>
        <v/>
      </c>
      <c r="X241" s="16" t="str">
        <f t="shared" si="37"/>
        <v/>
      </c>
      <c r="Y241" s="16" t="str">
        <f t="shared" si="38"/>
        <v/>
      </c>
      <c r="AM241" s="16" t="str">
        <f>IF(ISNA(P243),"",IF($AE$102=0,P243,ROUND(P243/$AE$102,0)))</f>
        <v/>
      </c>
      <c r="AN241" s="16" t="e">
        <f>IF(AM241="",NA(),COUNTIF(AM241:$AM$286,AM241))</f>
        <v>#N/A</v>
      </c>
      <c r="AO241" s="16" t="e">
        <f>(AN241-1)*$AE$105</f>
        <v>#N/A</v>
      </c>
      <c r="BG241" s="756">
        <v>234</v>
      </c>
      <c r="BH241" s="761"/>
      <c r="BI241" s="762"/>
      <c r="BJ241" s="824"/>
      <c r="BL241" s="756">
        <v>234</v>
      </c>
      <c r="BM241" s="761"/>
      <c r="BN241" s="762"/>
      <c r="BO241" s="824"/>
      <c r="BQ241" s="756">
        <v>234</v>
      </c>
      <c r="BR241" s="761"/>
      <c r="BS241" s="762"/>
      <c r="BT241" s="824"/>
    </row>
    <row r="242" spans="5:72" ht="12" customHeight="1">
      <c r="E242" s="621">
        <v>234</v>
      </c>
      <c r="F242" s="761"/>
      <c r="G242" s="762"/>
      <c r="H242" s="680"/>
      <c r="I242" s="764" t="str">
        <f t="shared" si="36"/>
        <v/>
      </c>
      <c r="J242" s="595"/>
      <c r="K242"/>
      <c r="L242" s="197"/>
      <c r="O242" s="246" t="e">
        <f>$W$24-IF($AN$85,AR240,0)</f>
        <v>#N/A</v>
      </c>
      <c r="P242" s="823" t="e">
        <f>IF(Y242="",NA(),IF($AN$85,Y242,U242))</f>
        <v>#N/A</v>
      </c>
      <c r="Q242" s="822"/>
      <c r="U242" s="16" t="e">
        <f>IF(AND(G85&lt;&gt;"",$X$5,$X$2),G85,NA())</f>
        <v>#N/A</v>
      </c>
      <c r="W242" s="16" t="str">
        <f>IF(ISNA(U242),"",IF($AE$102=0,U242,ROUND(U242/$AE$102,0)))</f>
        <v/>
      </c>
      <c r="X242" s="16" t="str">
        <f t="shared" si="37"/>
        <v/>
      </c>
      <c r="Y242" s="16" t="str">
        <f t="shared" si="38"/>
        <v/>
      </c>
      <c r="AP242" s="16" t="str">
        <f>IF(ISNA(P244),"",IF($AE$102=0,P244,ROUND(P244/$AE$102,0)))</f>
        <v/>
      </c>
      <c r="AQ242" s="16" t="e">
        <f>IF(AP242="",NA(),COUNTIF(AP242:$AP$286,AP242))</f>
        <v>#N/A</v>
      </c>
      <c r="AR242" s="16" t="e">
        <f>(AQ242-1)*$AE$105</f>
        <v>#N/A</v>
      </c>
      <c r="BG242" s="756">
        <v>235</v>
      </c>
      <c r="BH242" s="761"/>
      <c r="BI242" s="762"/>
      <c r="BJ242" s="824"/>
      <c r="BL242" s="756">
        <v>235</v>
      </c>
      <c r="BM242" s="761"/>
      <c r="BN242" s="762"/>
      <c r="BO242" s="824"/>
      <c r="BQ242" s="756">
        <v>235</v>
      </c>
      <c r="BR242" s="761"/>
      <c r="BS242" s="762"/>
      <c r="BT242" s="824"/>
    </row>
    <row r="243" spans="5:72" ht="12" customHeight="1">
      <c r="E243" s="621">
        <v>235</v>
      </c>
      <c r="F243" s="761"/>
      <c r="G243" s="762"/>
      <c r="H243" s="680"/>
      <c r="I243" s="764" t="str">
        <f t="shared" si="36"/>
        <v/>
      </c>
      <c r="J243" s="595"/>
      <c r="K243"/>
      <c r="L243" s="197"/>
      <c r="O243" s="820" t="e">
        <f>$W$23+IF($AN$85,AO241,0)</f>
        <v>#N/A</v>
      </c>
      <c r="P243" s="821" t="e">
        <f>IF(X243="",NA(),IF($AN$85,X243,T243))</f>
        <v>#N/A</v>
      </c>
      <c r="Q243" s="822"/>
      <c r="T243" s="16" t="e">
        <f>IF(AND(F86&lt;&gt;"",$X$5,$X$2),F86,NA())</f>
        <v>#N/A</v>
      </c>
      <c r="V243" s="16" t="str">
        <f>IF(ISNA(T243),"",IF($AE$102=0,T243,ROUND(T243/$AE$102,0)))</f>
        <v/>
      </c>
      <c r="X243" s="16" t="str">
        <f t="shared" si="37"/>
        <v/>
      </c>
      <c r="Y243" s="16" t="str">
        <f t="shared" si="38"/>
        <v/>
      </c>
      <c r="AM243" s="16" t="str">
        <f>IF(ISNA(P245),"",IF($AE$102=0,P245,ROUND(P245/$AE$102,0)))</f>
        <v/>
      </c>
      <c r="AN243" s="16" t="e">
        <f>IF(AM243="",NA(),COUNTIF(AM243:$AM$286,AM243))</f>
        <v>#N/A</v>
      </c>
      <c r="AO243" s="16" t="e">
        <f>(AN243-1)*$AE$105</f>
        <v>#N/A</v>
      </c>
      <c r="BG243" s="756">
        <v>236</v>
      </c>
      <c r="BH243" s="761"/>
      <c r="BI243" s="762"/>
      <c r="BJ243" s="824"/>
      <c r="BL243" s="756">
        <v>236</v>
      </c>
      <c r="BM243" s="761"/>
      <c r="BN243" s="762"/>
      <c r="BO243" s="824"/>
      <c r="BQ243" s="756">
        <v>236</v>
      </c>
      <c r="BR243" s="761"/>
      <c r="BS243" s="762"/>
      <c r="BT243" s="824"/>
    </row>
    <row r="244" spans="5:72" ht="12" customHeight="1">
      <c r="E244" s="621">
        <v>236</v>
      </c>
      <c r="F244" s="761"/>
      <c r="G244" s="762"/>
      <c r="H244" s="680"/>
      <c r="I244" s="764" t="str">
        <f t="shared" si="36"/>
        <v/>
      </c>
      <c r="J244" s="595"/>
      <c r="K244"/>
      <c r="L244" s="197"/>
      <c r="O244" s="246" t="e">
        <f>$W$24-IF($AN$85,AR242,0)</f>
        <v>#N/A</v>
      </c>
      <c r="P244" s="823" t="e">
        <f>IF(Y244="",NA(),IF($AN$85,Y244,U244))</f>
        <v>#N/A</v>
      </c>
      <c r="Q244" s="822"/>
      <c r="U244" s="16" t="e">
        <f>IF(AND(G86&lt;&gt;"",$X$5,$X$2),G86,NA())</f>
        <v>#N/A</v>
      </c>
      <c r="W244" s="16" t="str">
        <f>IF(ISNA(U244),"",IF($AE$102=0,U244,ROUND(U244/$AE$102,0)))</f>
        <v/>
      </c>
      <c r="X244" s="16" t="str">
        <f t="shared" si="37"/>
        <v/>
      </c>
      <c r="Y244" s="16" t="str">
        <f t="shared" si="38"/>
        <v/>
      </c>
      <c r="AP244" s="16" t="str">
        <f>IF(ISNA(P246),"",IF($AE$102=0,P246,ROUND(P246/$AE$102,0)))</f>
        <v/>
      </c>
      <c r="AQ244" s="16" t="e">
        <f>IF(AP244="",NA(),COUNTIF(AP244:$AP$286,AP244))</f>
        <v>#N/A</v>
      </c>
      <c r="AR244" s="16" t="e">
        <f>(AQ244-1)*$AE$105</f>
        <v>#N/A</v>
      </c>
      <c r="BG244" s="756">
        <v>237</v>
      </c>
      <c r="BH244" s="761"/>
      <c r="BI244" s="762"/>
      <c r="BJ244" s="824"/>
      <c r="BL244" s="756">
        <v>237</v>
      </c>
      <c r="BM244" s="761"/>
      <c r="BN244" s="762"/>
      <c r="BO244" s="824"/>
      <c r="BQ244" s="756">
        <v>237</v>
      </c>
      <c r="BR244" s="761"/>
      <c r="BS244" s="762"/>
      <c r="BT244" s="824"/>
    </row>
    <row r="245" spans="5:72" ht="12" customHeight="1">
      <c r="E245" s="621">
        <v>237</v>
      </c>
      <c r="F245" s="761"/>
      <c r="G245" s="762"/>
      <c r="H245" s="680"/>
      <c r="I245" s="764" t="str">
        <f t="shared" si="36"/>
        <v/>
      </c>
      <c r="J245" s="595"/>
      <c r="K245"/>
      <c r="L245" s="197"/>
      <c r="O245" s="820" t="e">
        <f>$W$23+IF($AN$85,AO243,0)</f>
        <v>#N/A</v>
      </c>
      <c r="P245" s="821" t="e">
        <f>IF(X245="",NA(),IF($AN$85,X245,T245))</f>
        <v>#N/A</v>
      </c>
      <c r="Q245" s="822"/>
      <c r="T245" s="16" t="e">
        <f>IF(AND(F87&lt;&gt;"",$X$5,$X$2),F87,NA())</f>
        <v>#N/A</v>
      </c>
      <c r="V245" s="16" t="str">
        <f>IF(ISNA(T245),"",IF($AE$102=0,T245,ROUND(T245/$AE$102,0)))</f>
        <v/>
      </c>
      <c r="X245" s="16" t="str">
        <f t="shared" si="37"/>
        <v/>
      </c>
      <c r="Y245" s="16" t="str">
        <f t="shared" si="38"/>
        <v/>
      </c>
      <c r="AM245" s="16" t="str">
        <f>IF(ISNA(P247),"",IF($AE$102=0,P247,ROUND(P247/$AE$102,0)))</f>
        <v/>
      </c>
      <c r="AN245" s="16" t="e">
        <f>IF(AM245="",NA(),COUNTIF(AM245:$AM$286,AM245))</f>
        <v>#N/A</v>
      </c>
      <c r="AO245" s="16" t="e">
        <f>(AN245-1)*$AE$105</f>
        <v>#N/A</v>
      </c>
      <c r="BG245" s="756">
        <v>238</v>
      </c>
      <c r="BH245" s="761"/>
      <c r="BI245" s="762"/>
      <c r="BJ245" s="824"/>
      <c r="BL245" s="756">
        <v>238</v>
      </c>
      <c r="BM245" s="761"/>
      <c r="BN245" s="762"/>
      <c r="BO245" s="824"/>
      <c r="BQ245" s="756">
        <v>238</v>
      </c>
      <c r="BR245" s="761"/>
      <c r="BS245" s="762"/>
      <c r="BT245" s="824"/>
    </row>
    <row r="246" spans="5:72" ht="12" customHeight="1">
      <c r="E246" s="621">
        <v>238</v>
      </c>
      <c r="F246" s="761"/>
      <c r="G246" s="762"/>
      <c r="H246" s="680"/>
      <c r="I246" s="764" t="str">
        <f t="shared" si="36"/>
        <v/>
      </c>
      <c r="J246" s="595"/>
      <c r="K246"/>
      <c r="L246" s="197"/>
      <c r="O246" s="246" t="e">
        <f>$W$24-IF($AN$85,AR244,0)</f>
        <v>#N/A</v>
      </c>
      <c r="P246" s="823" t="e">
        <f>IF(Y246="",NA(),IF($AN$85,Y246,U246))</f>
        <v>#N/A</v>
      </c>
      <c r="Q246" s="822"/>
      <c r="U246" s="16" t="e">
        <f>IF(AND(G87&lt;&gt;"",$X$5,$X$2),G87,NA())</f>
        <v>#N/A</v>
      </c>
      <c r="W246" s="16" t="str">
        <f>IF(ISNA(U246),"",IF($AE$102=0,U246,ROUND(U246/$AE$102,0)))</f>
        <v/>
      </c>
      <c r="X246" s="16" t="str">
        <f t="shared" si="37"/>
        <v/>
      </c>
      <c r="Y246" s="16" t="str">
        <f t="shared" si="38"/>
        <v/>
      </c>
      <c r="AP246" s="16" t="str">
        <f>IF(ISNA(P248),"",IF($AE$102=0,P248,ROUND(P248/$AE$102,0)))</f>
        <v/>
      </c>
      <c r="AQ246" s="16" t="e">
        <f>IF(AP246="",NA(),COUNTIF(AP246:$AP$286,AP246))</f>
        <v>#N/A</v>
      </c>
      <c r="AR246" s="16" t="e">
        <f>(AQ246-1)*$AE$105</f>
        <v>#N/A</v>
      </c>
      <c r="BG246" s="756">
        <v>239</v>
      </c>
      <c r="BH246" s="761"/>
      <c r="BI246" s="762"/>
      <c r="BJ246" s="824"/>
      <c r="BL246" s="756">
        <v>239</v>
      </c>
      <c r="BM246" s="761"/>
      <c r="BN246" s="762"/>
      <c r="BO246" s="824"/>
      <c r="BQ246" s="756">
        <v>239</v>
      </c>
      <c r="BR246" s="761"/>
      <c r="BS246" s="762"/>
      <c r="BT246" s="824"/>
    </row>
    <row r="247" spans="5:72" ht="12" customHeight="1">
      <c r="E247" s="621">
        <v>239</v>
      </c>
      <c r="F247" s="761"/>
      <c r="G247" s="762"/>
      <c r="H247" s="680"/>
      <c r="I247" s="764" t="str">
        <f t="shared" si="36"/>
        <v/>
      </c>
      <c r="J247" s="595"/>
      <c r="K247"/>
      <c r="L247" s="197"/>
      <c r="O247" s="820" t="e">
        <f>$W$23+IF($AN$85,AO245,0)</f>
        <v>#N/A</v>
      </c>
      <c r="P247" s="821" t="e">
        <f>IF(X247="",NA(),IF($AN$85,X247,T247))</f>
        <v>#N/A</v>
      </c>
      <c r="Q247" s="822"/>
      <c r="T247" s="16" t="e">
        <f>IF(AND(F88&lt;&gt;"",$X$5,$X$2),F88,NA())</f>
        <v>#N/A</v>
      </c>
      <c r="V247" s="16" t="str">
        <f>IF(ISNA(T247),"",IF($AE$102=0,T247,ROUND(T247/$AE$102,0)))</f>
        <v/>
      </c>
      <c r="X247" s="16" t="str">
        <f t="shared" si="37"/>
        <v/>
      </c>
      <c r="Y247" s="16" t="str">
        <f t="shared" si="38"/>
        <v/>
      </c>
      <c r="AM247" s="16" t="str">
        <f>IF(ISNA(P249),"",IF($AE$102=0,P249,ROUND(P249/$AE$102,0)))</f>
        <v/>
      </c>
      <c r="AN247" s="16" t="e">
        <f>IF(AM247="",NA(),COUNTIF(AM247:$AM$286,AM247))</f>
        <v>#N/A</v>
      </c>
      <c r="AO247" s="16" t="e">
        <f>(AN247-1)*$AE$105</f>
        <v>#N/A</v>
      </c>
      <c r="BG247" s="756">
        <v>240</v>
      </c>
      <c r="BH247" s="761"/>
      <c r="BI247" s="762"/>
      <c r="BJ247" s="824"/>
      <c r="BL247" s="756">
        <v>240</v>
      </c>
      <c r="BM247" s="761"/>
      <c r="BN247" s="762"/>
      <c r="BO247" s="824"/>
      <c r="BQ247" s="756">
        <v>240</v>
      </c>
      <c r="BR247" s="761"/>
      <c r="BS247" s="762"/>
      <c r="BT247" s="824"/>
    </row>
    <row r="248" spans="5:72" ht="12" customHeight="1">
      <c r="E248" s="621">
        <v>240</v>
      </c>
      <c r="F248" s="761"/>
      <c r="G248" s="762"/>
      <c r="H248" s="680"/>
      <c r="I248" s="764" t="str">
        <f t="shared" si="36"/>
        <v/>
      </c>
      <c r="J248" s="595"/>
      <c r="K248"/>
      <c r="L248" s="197"/>
      <c r="O248" s="246" t="e">
        <f>$W$24-IF($AN$85,AR246,0)</f>
        <v>#N/A</v>
      </c>
      <c r="P248" s="823" t="e">
        <f>IF(Y248="",NA(),IF($AN$85,Y248,U248))</f>
        <v>#N/A</v>
      </c>
      <c r="Q248" s="822"/>
      <c r="U248" s="16" t="e">
        <f>IF(AND(G88&lt;&gt;"",$X$5,$X$2),G88,NA())</f>
        <v>#N/A</v>
      </c>
      <c r="W248" s="16" t="str">
        <f>IF(ISNA(U248),"",IF($AE$102=0,U248,ROUND(U248/$AE$102,0)))</f>
        <v/>
      </c>
      <c r="X248" s="16" t="str">
        <f t="shared" si="37"/>
        <v/>
      </c>
      <c r="Y248" s="16" t="str">
        <f t="shared" si="38"/>
        <v/>
      </c>
      <c r="AP248" s="16" t="str">
        <f>IF(ISNA(P250),"",IF($AE$102=0,P250,ROUND(P250/$AE$102,0)))</f>
        <v/>
      </c>
      <c r="AQ248" s="16" t="e">
        <f>IF(AP248="",NA(),COUNTIF(AP248:$AP$286,AP248))</f>
        <v>#N/A</v>
      </c>
      <c r="AR248" s="16" t="e">
        <f>(AQ248-1)*$AE$105</f>
        <v>#N/A</v>
      </c>
      <c r="BG248" s="756">
        <v>241</v>
      </c>
      <c r="BH248" s="761"/>
      <c r="BI248" s="762"/>
      <c r="BJ248" s="824"/>
      <c r="BL248" s="756">
        <v>241</v>
      </c>
      <c r="BM248" s="761"/>
      <c r="BN248" s="762"/>
      <c r="BO248" s="824"/>
      <c r="BQ248" s="756">
        <v>241</v>
      </c>
      <c r="BR248" s="761"/>
      <c r="BS248" s="762"/>
      <c r="BT248" s="824"/>
    </row>
    <row r="249" spans="5:72" ht="12" customHeight="1">
      <c r="E249" s="621">
        <v>241</v>
      </c>
      <c r="F249" s="761"/>
      <c r="G249" s="762"/>
      <c r="H249" s="680"/>
      <c r="I249" s="764" t="str">
        <f t="shared" si="36"/>
        <v/>
      </c>
      <c r="J249" s="595"/>
      <c r="K249"/>
      <c r="L249" s="197"/>
      <c r="O249" s="820" t="e">
        <f>$W$23+IF($AN$85,AO247,0)</f>
        <v>#N/A</v>
      </c>
      <c r="P249" s="821" t="e">
        <f>IF(X249="",NA(),IF($AN$85,X249,T249))</f>
        <v>#N/A</v>
      </c>
      <c r="Q249" s="822"/>
      <c r="T249" s="16" t="e">
        <f>IF(AND(F89&lt;&gt;"",$X$5,$X$2),F89,NA())</f>
        <v>#N/A</v>
      </c>
      <c r="V249" s="16" t="str">
        <f>IF(ISNA(T249),"",IF($AE$102=0,T249,ROUND(T249/$AE$102,0)))</f>
        <v/>
      </c>
      <c r="X249" s="16" t="str">
        <f t="shared" ref="X249:X280" si="39">IF(V249="","",IF($AE$102=0,T249,V249*$AE$102))</f>
        <v/>
      </c>
      <c r="Y249" s="16" t="str">
        <f t="shared" ref="Y249:Y280" si="40">IF(W249="","",IF($AE$102=0,U249,W249*$AE$102))</f>
        <v/>
      </c>
      <c r="AM249" s="16" t="str">
        <f>IF(ISNA(P251),"",IF($AE$102=0,P251,ROUND(P251/$AE$102,0)))</f>
        <v/>
      </c>
      <c r="AN249" s="16" t="e">
        <f>IF(AM249="",NA(),COUNTIF(AM249:$AM$286,AM249))</f>
        <v>#N/A</v>
      </c>
      <c r="AO249" s="16" t="e">
        <f>(AN249-1)*$AE$105</f>
        <v>#N/A</v>
      </c>
      <c r="BG249" s="756">
        <v>242</v>
      </c>
      <c r="BH249" s="761"/>
      <c r="BI249" s="762"/>
      <c r="BJ249" s="824"/>
      <c r="BL249" s="756">
        <v>242</v>
      </c>
      <c r="BM249" s="761"/>
      <c r="BN249" s="762"/>
      <c r="BO249" s="824"/>
      <c r="BQ249" s="756">
        <v>242</v>
      </c>
      <c r="BR249" s="761"/>
      <c r="BS249" s="762"/>
      <c r="BT249" s="824"/>
    </row>
    <row r="250" spans="5:72" ht="12" customHeight="1">
      <c r="E250" s="621">
        <v>242</v>
      </c>
      <c r="F250" s="761"/>
      <c r="G250" s="762"/>
      <c r="H250" s="680"/>
      <c r="I250" s="764" t="str">
        <f t="shared" si="36"/>
        <v/>
      </c>
      <c r="J250" s="595"/>
      <c r="K250"/>
      <c r="L250" s="197"/>
      <c r="O250" s="246" t="e">
        <f>$W$24-IF($AN$85,AR248,0)</f>
        <v>#N/A</v>
      </c>
      <c r="P250" s="823" t="e">
        <f>IF(Y250="",NA(),IF($AN$85,Y250,U250))</f>
        <v>#N/A</v>
      </c>
      <c r="Q250" s="822"/>
      <c r="U250" s="16" t="e">
        <f>IF(AND(G89&lt;&gt;"",$X$5,$X$2),G89,NA())</f>
        <v>#N/A</v>
      </c>
      <c r="W250" s="16" t="str">
        <f>IF(ISNA(U250),"",IF($AE$102=0,U250,ROUND(U250/$AE$102,0)))</f>
        <v/>
      </c>
      <c r="X250" s="16" t="str">
        <f t="shared" si="39"/>
        <v/>
      </c>
      <c r="Y250" s="16" t="str">
        <f t="shared" si="40"/>
        <v/>
      </c>
      <c r="AP250" s="16" t="str">
        <f>IF(ISNA(P252),"",IF($AE$102=0,P252,ROUND(P252/$AE$102,0)))</f>
        <v/>
      </c>
      <c r="AQ250" s="16" t="e">
        <f>IF(AP250="",NA(),COUNTIF(AP250:$AP$286,AP250))</f>
        <v>#N/A</v>
      </c>
      <c r="AR250" s="16" t="e">
        <f>(AQ250-1)*$AE$105</f>
        <v>#N/A</v>
      </c>
      <c r="BG250" s="756">
        <v>243</v>
      </c>
      <c r="BH250" s="761"/>
      <c r="BI250" s="762"/>
      <c r="BJ250" s="824"/>
      <c r="BL250" s="756">
        <v>243</v>
      </c>
      <c r="BM250" s="761"/>
      <c r="BN250" s="762"/>
      <c r="BO250" s="824"/>
      <c r="BQ250" s="756">
        <v>243</v>
      </c>
      <c r="BR250" s="761"/>
      <c r="BS250" s="762"/>
      <c r="BT250" s="824"/>
    </row>
    <row r="251" spans="5:72" ht="12" customHeight="1">
      <c r="E251" s="621">
        <v>243</v>
      </c>
      <c r="F251" s="761"/>
      <c r="G251" s="762"/>
      <c r="H251" s="680"/>
      <c r="I251" s="764" t="str">
        <f t="shared" si="36"/>
        <v/>
      </c>
      <c r="J251" s="595"/>
      <c r="K251"/>
      <c r="L251" s="197"/>
      <c r="O251" s="820" t="e">
        <f>$W$23+IF($AN$85,AO249,0)</f>
        <v>#N/A</v>
      </c>
      <c r="P251" s="821" t="e">
        <f>IF(X251="",NA(),IF($AN$85,X251,T251))</f>
        <v>#N/A</v>
      </c>
      <c r="Q251" s="822"/>
      <c r="T251" s="16" t="e">
        <f>IF(AND(F90&lt;&gt;"",$X$5,$X$2),F90,NA())</f>
        <v>#N/A</v>
      </c>
      <c r="V251" s="16" t="str">
        <f>IF(ISNA(T251),"",IF($AE$102=0,T251,ROUND(T251/$AE$102,0)))</f>
        <v/>
      </c>
      <c r="X251" s="16" t="str">
        <f t="shared" si="39"/>
        <v/>
      </c>
      <c r="Y251" s="16" t="str">
        <f t="shared" si="40"/>
        <v/>
      </c>
      <c r="AM251" s="16" t="str">
        <f>IF(ISNA(P253),"",IF($AE$102=0,P253,ROUND(P253/$AE$102,0)))</f>
        <v/>
      </c>
      <c r="AN251" s="16" t="e">
        <f>IF(AM251="",NA(),COUNTIF(AM251:$AM$286,AM251))</f>
        <v>#N/A</v>
      </c>
      <c r="AO251" s="16" t="e">
        <f>(AN251-1)*$AE$105</f>
        <v>#N/A</v>
      </c>
      <c r="BG251" s="756">
        <v>244</v>
      </c>
      <c r="BH251" s="761"/>
      <c r="BI251" s="762"/>
      <c r="BJ251" s="824"/>
      <c r="BL251" s="756">
        <v>244</v>
      </c>
      <c r="BM251" s="761"/>
      <c r="BN251" s="762"/>
      <c r="BO251" s="824"/>
      <c r="BQ251" s="756">
        <v>244</v>
      </c>
      <c r="BR251" s="761"/>
      <c r="BS251" s="762"/>
      <c r="BT251" s="824"/>
    </row>
    <row r="252" spans="5:72" ht="12" customHeight="1">
      <c r="E252" s="621">
        <v>244</v>
      </c>
      <c r="F252" s="761"/>
      <c r="G252" s="762"/>
      <c r="H252" s="680"/>
      <c r="I252" s="764" t="str">
        <f t="shared" si="36"/>
        <v/>
      </c>
      <c r="J252" s="595"/>
      <c r="K252"/>
      <c r="L252" s="197"/>
      <c r="O252" s="246" t="e">
        <f>$W$24-IF($AN$85,AR250,0)</f>
        <v>#N/A</v>
      </c>
      <c r="P252" s="823" t="e">
        <f>IF(Y252="",NA(),IF($AN$85,Y252,U252))</f>
        <v>#N/A</v>
      </c>
      <c r="Q252" s="822"/>
      <c r="U252" s="16" t="e">
        <f>IF(AND(G90&lt;&gt;"",$X$5,$X$2),G90,NA())</f>
        <v>#N/A</v>
      </c>
      <c r="W252" s="16" t="str">
        <f>IF(ISNA(U252),"",IF($AE$102=0,U252,ROUND(U252/$AE$102,0)))</f>
        <v/>
      </c>
      <c r="X252" s="16" t="str">
        <f t="shared" si="39"/>
        <v/>
      </c>
      <c r="Y252" s="16" t="str">
        <f t="shared" si="40"/>
        <v/>
      </c>
      <c r="AP252" s="16" t="str">
        <f>IF(ISNA(P254),"",IF($AE$102=0,P254,ROUND(P254/$AE$102,0)))</f>
        <v/>
      </c>
      <c r="AQ252" s="16" t="e">
        <f>IF(AP252="",NA(),COUNTIF(AP252:$AP$286,AP252))</f>
        <v>#N/A</v>
      </c>
      <c r="AR252" s="16" t="e">
        <f>(AQ252-1)*$AE$105</f>
        <v>#N/A</v>
      </c>
      <c r="BG252" s="756">
        <v>245</v>
      </c>
      <c r="BH252" s="761"/>
      <c r="BI252" s="762"/>
      <c r="BJ252" s="824"/>
      <c r="BL252" s="756">
        <v>245</v>
      </c>
      <c r="BM252" s="761"/>
      <c r="BN252" s="762"/>
      <c r="BO252" s="824"/>
      <c r="BQ252" s="756">
        <v>245</v>
      </c>
      <c r="BR252" s="761"/>
      <c r="BS252" s="762"/>
      <c r="BT252" s="824"/>
    </row>
    <row r="253" spans="5:72" ht="12" customHeight="1">
      <c r="E253" s="621">
        <v>245</v>
      </c>
      <c r="F253" s="761"/>
      <c r="G253" s="762"/>
      <c r="H253" s="680"/>
      <c r="I253" s="764" t="str">
        <f t="shared" si="36"/>
        <v/>
      </c>
      <c r="J253" s="595"/>
      <c r="K253"/>
      <c r="L253" s="197"/>
      <c r="O253" s="820" t="e">
        <f>$W$23+IF($AN$85,AO251,0)</f>
        <v>#N/A</v>
      </c>
      <c r="P253" s="821" t="e">
        <f>IF(X253="",NA(),IF($AN$85,X253,T253))</f>
        <v>#N/A</v>
      </c>
      <c r="Q253" s="822"/>
      <c r="T253" s="16" t="e">
        <f>IF(AND(F91&lt;&gt;"",$X$5,$X$2),F91,NA())</f>
        <v>#N/A</v>
      </c>
      <c r="V253" s="16" t="str">
        <f>IF(ISNA(T253),"",IF($AE$102=0,T253,ROUND(T253/$AE$102,0)))</f>
        <v/>
      </c>
      <c r="X253" s="16" t="str">
        <f t="shared" si="39"/>
        <v/>
      </c>
      <c r="Y253" s="16" t="str">
        <f t="shared" si="40"/>
        <v/>
      </c>
      <c r="AM253" s="16" t="str">
        <f>IF(ISNA(P255),"",IF($AE$102=0,P255,ROUND(P255/$AE$102,0)))</f>
        <v/>
      </c>
      <c r="AN253" s="16" t="e">
        <f>IF(AM253="",NA(),COUNTIF(AM253:$AM$286,AM253))</f>
        <v>#N/A</v>
      </c>
      <c r="AO253" s="16" t="e">
        <f>(AN253-1)*$AE$105</f>
        <v>#N/A</v>
      </c>
      <c r="BG253" s="756">
        <v>246</v>
      </c>
      <c r="BH253" s="761"/>
      <c r="BI253" s="762"/>
      <c r="BJ253" s="824"/>
      <c r="BL253" s="756">
        <v>246</v>
      </c>
      <c r="BM253" s="761"/>
      <c r="BN253" s="762"/>
      <c r="BO253" s="824"/>
      <c r="BQ253" s="756">
        <v>246</v>
      </c>
      <c r="BR253" s="761"/>
      <c r="BS253" s="762"/>
      <c r="BT253" s="824"/>
    </row>
    <row r="254" spans="5:72" ht="12" customHeight="1">
      <c r="E254" s="621">
        <v>246</v>
      </c>
      <c r="F254" s="761"/>
      <c r="G254" s="762"/>
      <c r="H254" s="680"/>
      <c r="I254" s="764" t="str">
        <f t="shared" si="36"/>
        <v/>
      </c>
      <c r="J254" s="595"/>
      <c r="K254"/>
      <c r="L254" s="197"/>
      <c r="O254" s="246" t="e">
        <f>$W$24-IF($AN$85,AR252,0)</f>
        <v>#N/A</v>
      </c>
      <c r="P254" s="823" t="e">
        <f>IF(Y254="",NA(),IF($AN$85,Y254,U254))</f>
        <v>#N/A</v>
      </c>
      <c r="Q254" s="822"/>
      <c r="U254" s="16" t="e">
        <f>IF(AND(G91&lt;&gt;"",$X$5,$X$2),G91,NA())</f>
        <v>#N/A</v>
      </c>
      <c r="W254" s="16" t="str">
        <f>IF(ISNA(U254),"",IF($AE$102=0,U254,ROUND(U254/$AE$102,0)))</f>
        <v/>
      </c>
      <c r="X254" s="16" t="str">
        <f t="shared" si="39"/>
        <v/>
      </c>
      <c r="Y254" s="16" t="str">
        <f t="shared" si="40"/>
        <v/>
      </c>
      <c r="AP254" s="16" t="str">
        <f>IF(ISNA(P256),"",IF($AE$102=0,P256,ROUND(P256/$AE$102,0)))</f>
        <v/>
      </c>
      <c r="AQ254" s="16" t="e">
        <f>IF(AP254="",NA(),COUNTIF(AP254:$AP$286,AP254))</f>
        <v>#N/A</v>
      </c>
      <c r="AR254" s="16" t="e">
        <f>(AQ254-1)*$AE$105</f>
        <v>#N/A</v>
      </c>
      <c r="BG254" s="756">
        <v>247</v>
      </c>
      <c r="BH254" s="761"/>
      <c r="BI254" s="762"/>
      <c r="BJ254" s="824"/>
      <c r="BL254" s="756">
        <v>247</v>
      </c>
      <c r="BM254" s="761"/>
      <c r="BN254" s="762"/>
      <c r="BO254" s="824"/>
      <c r="BQ254" s="756">
        <v>247</v>
      </c>
      <c r="BR254" s="761"/>
      <c r="BS254" s="762"/>
      <c r="BT254" s="824"/>
    </row>
    <row r="255" spans="5:72" ht="12" customHeight="1">
      <c r="E255" s="621">
        <v>247</v>
      </c>
      <c r="F255" s="761"/>
      <c r="G255" s="762"/>
      <c r="H255" s="680"/>
      <c r="I255" s="764" t="str">
        <f t="shared" si="36"/>
        <v/>
      </c>
      <c r="J255" s="595"/>
      <c r="K255"/>
      <c r="L255" s="197"/>
      <c r="O255" s="820" t="e">
        <f>$W$23+IF($AN$85,AO253,0)</f>
        <v>#N/A</v>
      </c>
      <c r="P255" s="821" t="e">
        <f>IF(X255="",NA(),IF($AN$85,X255,T255))</f>
        <v>#N/A</v>
      </c>
      <c r="Q255" s="822"/>
      <c r="T255" s="16" t="e">
        <f>IF(AND(F92&lt;&gt;"",$X$5,$X$2),F92,NA())</f>
        <v>#N/A</v>
      </c>
      <c r="V255" s="16" t="str">
        <f>IF(ISNA(T255),"",IF($AE$102=0,T255,ROUND(T255/$AE$102,0)))</f>
        <v/>
      </c>
      <c r="X255" s="16" t="str">
        <f t="shared" si="39"/>
        <v/>
      </c>
      <c r="Y255" s="16" t="str">
        <f t="shared" si="40"/>
        <v/>
      </c>
      <c r="AM255" s="16" t="str">
        <f>IF(ISNA(P257),"",IF($AE$102=0,P257,ROUND(P257/$AE$102,0)))</f>
        <v/>
      </c>
      <c r="AN255" s="16" t="e">
        <f>IF(AM255="",NA(),COUNTIF(AM255:$AM$286,AM255))</f>
        <v>#N/A</v>
      </c>
      <c r="AO255" s="16" t="e">
        <f>(AN255-1)*$AE$105</f>
        <v>#N/A</v>
      </c>
      <c r="BG255" s="756">
        <v>248</v>
      </c>
      <c r="BH255" s="761"/>
      <c r="BI255" s="762"/>
      <c r="BJ255" s="824"/>
      <c r="BL255" s="756">
        <v>248</v>
      </c>
      <c r="BM255" s="761"/>
      <c r="BN255" s="762"/>
      <c r="BO255" s="824"/>
      <c r="BQ255" s="756">
        <v>248</v>
      </c>
      <c r="BR255" s="761"/>
      <c r="BS255" s="762"/>
      <c r="BT255" s="824"/>
    </row>
    <row r="256" spans="5:72" ht="12" customHeight="1">
      <c r="E256" s="621">
        <v>248</v>
      </c>
      <c r="F256" s="761"/>
      <c r="G256" s="762"/>
      <c r="H256" s="680"/>
      <c r="I256" s="764" t="str">
        <f t="shared" si="36"/>
        <v/>
      </c>
      <c r="J256" s="595"/>
      <c r="K256"/>
      <c r="L256" s="197"/>
      <c r="O256" s="246" t="e">
        <f>$W$24-IF($AN$85,AR254,0)</f>
        <v>#N/A</v>
      </c>
      <c r="P256" s="823" t="e">
        <f>IF(Y256="",NA(),IF($AN$85,Y256,U256))</f>
        <v>#N/A</v>
      </c>
      <c r="Q256" s="822"/>
      <c r="U256" s="16" t="e">
        <f>IF(AND(G92&lt;&gt;"",$X$5,$X$2),G92,NA())</f>
        <v>#N/A</v>
      </c>
      <c r="W256" s="16" t="str">
        <f>IF(ISNA(U256),"",IF($AE$102=0,U256,ROUND(U256/$AE$102,0)))</f>
        <v/>
      </c>
      <c r="X256" s="16" t="str">
        <f t="shared" si="39"/>
        <v/>
      </c>
      <c r="Y256" s="16" t="str">
        <f t="shared" si="40"/>
        <v/>
      </c>
      <c r="AP256" s="16" t="str">
        <f>IF(ISNA(P258),"",IF($AE$102=0,P258,ROUND(P258/$AE$102,0)))</f>
        <v/>
      </c>
      <c r="AQ256" s="16" t="e">
        <f>IF(AP256="",NA(),COUNTIF(AP256:$AP$286,AP256))</f>
        <v>#N/A</v>
      </c>
      <c r="AR256" s="16" t="e">
        <f>(AQ256-1)*$AE$105</f>
        <v>#N/A</v>
      </c>
      <c r="BG256" s="756">
        <v>249</v>
      </c>
      <c r="BH256" s="761"/>
      <c r="BI256" s="762"/>
      <c r="BJ256" s="824"/>
      <c r="BL256" s="756">
        <v>249</v>
      </c>
      <c r="BM256" s="761"/>
      <c r="BN256" s="762"/>
      <c r="BO256" s="824"/>
      <c r="BQ256" s="756">
        <v>249</v>
      </c>
      <c r="BR256" s="761"/>
      <c r="BS256" s="762"/>
      <c r="BT256" s="824"/>
    </row>
    <row r="257" spans="5:72" ht="12" customHeight="1">
      <c r="E257" s="621">
        <v>249</v>
      </c>
      <c r="F257" s="761"/>
      <c r="G257" s="762"/>
      <c r="H257" s="680"/>
      <c r="I257" s="764" t="str">
        <f t="shared" si="36"/>
        <v/>
      </c>
      <c r="J257" s="595"/>
      <c r="K257"/>
      <c r="L257" s="197"/>
      <c r="O257" s="820" t="e">
        <f>$W$23+IF($AN$85,AO255,0)</f>
        <v>#N/A</v>
      </c>
      <c r="P257" s="821" t="e">
        <f>IF(X257="",NA(),IF($AN$85,X257,T257))</f>
        <v>#N/A</v>
      </c>
      <c r="Q257" s="822"/>
      <c r="T257" s="16" t="e">
        <f>IF(AND(F93&lt;&gt;"",$X$5,$X$2),F93,NA())</f>
        <v>#N/A</v>
      </c>
      <c r="V257" s="16" t="str">
        <f>IF(ISNA(T257),"",IF($AE$102=0,T257,ROUND(T257/$AE$102,0)))</f>
        <v/>
      </c>
      <c r="X257" s="16" t="str">
        <f t="shared" si="39"/>
        <v/>
      </c>
      <c r="Y257" s="16" t="str">
        <f t="shared" si="40"/>
        <v/>
      </c>
      <c r="AM257" s="16" t="str">
        <f>IF(ISNA(P259),"",IF($AE$102=0,P259,ROUND(P259/$AE$102,0)))</f>
        <v/>
      </c>
      <c r="AN257" s="16" t="e">
        <f>IF(AM257="",NA(),COUNTIF(AM257:$AM$286,AM257))</f>
        <v>#N/A</v>
      </c>
      <c r="AO257" s="16" t="e">
        <f>(AN257-1)*$AE$105</f>
        <v>#N/A</v>
      </c>
      <c r="BG257" s="756">
        <v>250</v>
      </c>
      <c r="BH257" s="761"/>
      <c r="BI257" s="762"/>
      <c r="BJ257" s="824"/>
      <c r="BL257" s="756">
        <v>250</v>
      </c>
      <c r="BM257" s="761"/>
      <c r="BN257" s="762"/>
      <c r="BO257" s="824"/>
      <c r="BQ257" s="756">
        <v>250</v>
      </c>
      <c r="BR257" s="761"/>
      <c r="BS257" s="762"/>
      <c r="BT257" s="824"/>
    </row>
    <row r="258" spans="5:72" ht="12" customHeight="1">
      <c r="E258" s="621">
        <v>250</v>
      </c>
      <c r="F258" s="761"/>
      <c r="G258" s="762"/>
      <c r="H258" s="680"/>
      <c r="I258" s="764" t="str">
        <f t="shared" si="36"/>
        <v/>
      </c>
      <c r="J258" s="595"/>
      <c r="K258"/>
      <c r="L258" s="197"/>
      <c r="O258" s="246" t="e">
        <f>$W$24-IF($AN$85,AR256,0)</f>
        <v>#N/A</v>
      </c>
      <c r="P258" s="823" t="e">
        <f>IF(Y258="",NA(),IF($AN$85,Y258,U258))</f>
        <v>#N/A</v>
      </c>
      <c r="Q258" s="822"/>
      <c r="U258" s="16" t="e">
        <f>IF(AND(G93&lt;&gt;"",$X$5,$X$2),G93,NA())</f>
        <v>#N/A</v>
      </c>
      <c r="W258" s="16" t="str">
        <f>IF(ISNA(U258),"",IF($AE$102=0,U258,ROUND(U258/$AE$102,0)))</f>
        <v/>
      </c>
      <c r="X258" s="16" t="str">
        <f t="shared" si="39"/>
        <v/>
      </c>
      <c r="Y258" s="16" t="str">
        <f t="shared" si="40"/>
        <v/>
      </c>
      <c r="AP258" s="16" t="str">
        <f>IF(ISNA(P260),"",IF($AE$102=0,P260,ROUND(P260/$AE$102,0)))</f>
        <v/>
      </c>
      <c r="AQ258" s="16" t="e">
        <f>IF(AP258="",NA(),COUNTIF(AP258:$AP$286,AP258))</f>
        <v>#N/A</v>
      </c>
      <c r="AR258" s="16" t="e">
        <f>(AQ258-1)*$AE$105</f>
        <v>#N/A</v>
      </c>
      <c r="BG258" s="756">
        <v>251</v>
      </c>
      <c r="BH258" s="761"/>
      <c r="BI258" s="762"/>
      <c r="BJ258" s="824"/>
      <c r="BL258" s="756">
        <v>251</v>
      </c>
      <c r="BM258" s="761"/>
      <c r="BN258" s="762"/>
      <c r="BO258" s="824"/>
      <c r="BQ258" s="756">
        <v>251</v>
      </c>
      <c r="BR258" s="761"/>
      <c r="BS258" s="762"/>
      <c r="BT258" s="824"/>
    </row>
    <row r="259" spans="5:72" ht="12" customHeight="1">
      <c r="E259" s="621">
        <v>251</v>
      </c>
      <c r="F259" s="761"/>
      <c r="G259" s="762"/>
      <c r="H259" s="680"/>
      <c r="I259" s="764" t="str">
        <f t="shared" si="36"/>
        <v/>
      </c>
      <c r="J259" s="595"/>
      <c r="K259"/>
      <c r="L259" s="197"/>
      <c r="O259" s="820" t="e">
        <f>$W$23+IF($AN$85,AO257,0)</f>
        <v>#N/A</v>
      </c>
      <c r="P259" s="821" t="e">
        <f>IF(X259="",NA(),IF($AN$85,X259,T259))</f>
        <v>#N/A</v>
      </c>
      <c r="Q259" s="822"/>
      <c r="T259" s="16" t="e">
        <f>IF(AND(F94&lt;&gt;"",$X$5,$X$2),F94,NA())</f>
        <v>#N/A</v>
      </c>
      <c r="V259" s="16" t="str">
        <f>IF(ISNA(T259),"",IF($AE$102=0,T259,ROUND(T259/$AE$102,0)))</f>
        <v/>
      </c>
      <c r="X259" s="16" t="str">
        <f t="shared" si="39"/>
        <v/>
      </c>
      <c r="Y259" s="16" t="str">
        <f t="shared" si="40"/>
        <v/>
      </c>
      <c r="AM259" s="16" t="str">
        <f>IF(ISNA(P261),"",IF($AE$102=0,P261,ROUND(P261/$AE$102,0)))</f>
        <v/>
      </c>
      <c r="AN259" s="16" t="e">
        <f>IF(AM259="",NA(),COUNTIF(AM259:$AM$286,AM259))</f>
        <v>#N/A</v>
      </c>
      <c r="AO259" s="16" t="e">
        <f>(AN259-1)*$AE$105</f>
        <v>#N/A</v>
      </c>
      <c r="BG259" s="756">
        <v>252</v>
      </c>
      <c r="BH259" s="761"/>
      <c r="BI259" s="762"/>
      <c r="BJ259" s="824"/>
      <c r="BL259" s="756">
        <v>252</v>
      </c>
      <c r="BM259" s="761"/>
      <c r="BN259" s="762"/>
      <c r="BO259" s="824"/>
      <c r="BQ259" s="756">
        <v>252</v>
      </c>
      <c r="BR259" s="761"/>
      <c r="BS259" s="762"/>
      <c r="BT259" s="824"/>
    </row>
    <row r="260" spans="5:72" ht="12" customHeight="1">
      <c r="E260" s="621">
        <v>252</v>
      </c>
      <c r="F260" s="761"/>
      <c r="G260" s="762"/>
      <c r="H260" s="680"/>
      <c r="I260" s="764" t="str">
        <f t="shared" si="36"/>
        <v/>
      </c>
      <c r="J260" s="595"/>
      <c r="K260"/>
      <c r="L260" s="197"/>
      <c r="O260" s="246" t="e">
        <f>$W$24-IF($AN$85,AR258,0)</f>
        <v>#N/A</v>
      </c>
      <c r="P260" s="823" t="e">
        <f>IF(Y260="",NA(),IF($AN$85,Y260,U260))</f>
        <v>#N/A</v>
      </c>
      <c r="Q260" s="822"/>
      <c r="U260" s="16" t="e">
        <f>IF(AND(G94&lt;&gt;"",$X$5,$X$2),G94,NA())</f>
        <v>#N/A</v>
      </c>
      <c r="W260" s="16" t="str">
        <f>IF(ISNA(U260),"",IF($AE$102=0,U260,ROUND(U260/$AE$102,0)))</f>
        <v/>
      </c>
      <c r="X260" s="16" t="str">
        <f t="shared" si="39"/>
        <v/>
      </c>
      <c r="Y260" s="16" t="str">
        <f t="shared" si="40"/>
        <v/>
      </c>
      <c r="AP260" s="16" t="str">
        <f>IF(ISNA(P262),"",IF($AE$102=0,P262,ROUND(P262/$AE$102,0)))</f>
        <v/>
      </c>
      <c r="AQ260" s="16" t="e">
        <f>IF(AP260="",NA(),COUNTIF(AP260:$AP$286,AP260))</f>
        <v>#N/A</v>
      </c>
      <c r="AR260" s="16" t="e">
        <f>(AQ260-1)*$AE$105</f>
        <v>#N/A</v>
      </c>
      <c r="BG260" s="756">
        <v>253</v>
      </c>
      <c r="BH260" s="761"/>
      <c r="BI260" s="762"/>
      <c r="BJ260" s="824"/>
      <c r="BL260" s="756">
        <v>253</v>
      </c>
      <c r="BM260" s="761"/>
      <c r="BN260" s="762"/>
      <c r="BO260" s="824"/>
      <c r="BQ260" s="756">
        <v>253</v>
      </c>
      <c r="BR260" s="761"/>
      <c r="BS260" s="762"/>
      <c r="BT260" s="824"/>
    </row>
    <row r="261" spans="5:72" ht="12" customHeight="1">
      <c r="E261" s="621">
        <v>253</v>
      </c>
      <c r="F261" s="761"/>
      <c r="G261" s="762"/>
      <c r="H261" s="680"/>
      <c r="I261" s="764" t="str">
        <f t="shared" si="36"/>
        <v/>
      </c>
      <c r="J261" s="595"/>
      <c r="K261"/>
      <c r="L261" s="197"/>
      <c r="O261" s="820" t="e">
        <f>$W$23+IF($AN$85,AO259,0)</f>
        <v>#N/A</v>
      </c>
      <c r="P261" s="821" t="e">
        <f>IF(X261="",NA(),IF($AN$85,X261,T261))</f>
        <v>#N/A</v>
      </c>
      <c r="Q261" s="822"/>
      <c r="T261" s="16" t="e">
        <f>IF(AND(F95&lt;&gt;"",$X$5,$X$2),F95,NA())</f>
        <v>#N/A</v>
      </c>
      <c r="V261" s="16" t="str">
        <f>IF(ISNA(T261),"",IF($AE$102=0,T261,ROUND(T261/$AE$102,0)))</f>
        <v/>
      </c>
      <c r="X261" s="16" t="str">
        <f t="shared" si="39"/>
        <v/>
      </c>
      <c r="Y261" s="16" t="str">
        <f t="shared" si="40"/>
        <v/>
      </c>
      <c r="AM261" s="16" t="str">
        <f>IF(ISNA(P263),"",IF($AE$102=0,P263,ROUND(P263/$AE$102,0)))</f>
        <v/>
      </c>
      <c r="AN261" s="16" t="e">
        <f>IF(AM261="",NA(),COUNTIF(AM261:$AM$286,AM261))</f>
        <v>#N/A</v>
      </c>
      <c r="AO261" s="16" t="e">
        <f>(AN261-1)*$AE$105</f>
        <v>#N/A</v>
      </c>
      <c r="BG261" s="756">
        <v>254</v>
      </c>
      <c r="BH261" s="761"/>
      <c r="BI261" s="762"/>
      <c r="BJ261" s="824"/>
      <c r="BL261" s="756">
        <v>254</v>
      </c>
      <c r="BM261" s="761"/>
      <c r="BN261" s="762"/>
      <c r="BO261" s="824"/>
      <c r="BQ261" s="756">
        <v>254</v>
      </c>
      <c r="BR261" s="761"/>
      <c r="BS261" s="762"/>
      <c r="BT261" s="824"/>
    </row>
    <row r="262" spans="5:72" ht="12" customHeight="1">
      <c r="E262" s="621">
        <v>254</v>
      </c>
      <c r="F262" s="761"/>
      <c r="G262" s="762"/>
      <c r="H262" s="680"/>
      <c r="I262" s="764" t="str">
        <f t="shared" si="36"/>
        <v/>
      </c>
      <c r="J262" s="595"/>
      <c r="K262"/>
      <c r="L262" s="197"/>
      <c r="O262" s="246" t="e">
        <f>$W$24-IF($AN$85,AR260,0)</f>
        <v>#N/A</v>
      </c>
      <c r="P262" s="823" t="e">
        <f>IF(Y262="",NA(),IF($AN$85,Y262,U262))</f>
        <v>#N/A</v>
      </c>
      <c r="Q262" s="822"/>
      <c r="U262" s="16" t="e">
        <f>IF(AND(G95&lt;&gt;"",$X$5,$X$2),G95,NA())</f>
        <v>#N/A</v>
      </c>
      <c r="W262" s="16" t="str">
        <f>IF(ISNA(U262),"",IF($AE$102=0,U262,ROUND(U262/$AE$102,0)))</f>
        <v/>
      </c>
      <c r="X262" s="16" t="str">
        <f t="shared" si="39"/>
        <v/>
      </c>
      <c r="Y262" s="16" t="str">
        <f t="shared" si="40"/>
        <v/>
      </c>
      <c r="AP262" s="16" t="str">
        <f>IF(ISNA(P264),"",IF($AE$102=0,P264,ROUND(P264/$AE$102,0)))</f>
        <v/>
      </c>
      <c r="AQ262" s="16" t="e">
        <f>IF(AP262="",NA(),COUNTIF(AP262:$AP$286,AP262))</f>
        <v>#N/A</v>
      </c>
      <c r="AR262" s="16" t="e">
        <f>(AQ262-1)*$AE$105</f>
        <v>#N/A</v>
      </c>
      <c r="BG262" s="756">
        <v>255</v>
      </c>
      <c r="BH262" s="761"/>
      <c r="BI262" s="762"/>
      <c r="BJ262" s="824"/>
      <c r="BL262" s="756">
        <v>255</v>
      </c>
      <c r="BM262" s="761"/>
      <c r="BN262" s="762"/>
      <c r="BO262" s="824"/>
      <c r="BQ262" s="756">
        <v>255</v>
      </c>
      <c r="BR262" s="761"/>
      <c r="BS262" s="762"/>
      <c r="BT262" s="824"/>
    </row>
    <row r="263" spans="5:72" ht="12" customHeight="1">
      <c r="E263" s="621">
        <v>255</v>
      </c>
      <c r="F263" s="761"/>
      <c r="G263" s="762"/>
      <c r="H263" s="680"/>
      <c r="I263" s="764" t="str">
        <f t="shared" si="36"/>
        <v/>
      </c>
      <c r="J263" s="595"/>
      <c r="K263"/>
      <c r="L263" s="197"/>
      <c r="O263" s="820" t="e">
        <f>$W$23+IF($AN$85,AO261,0)</f>
        <v>#N/A</v>
      </c>
      <c r="P263" s="821" t="e">
        <f>IF(X263="",NA(),IF($AN$85,X263,T263))</f>
        <v>#N/A</v>
      </c>
      <c r="Q263" s="822"/>
      <c r="T263" s="16" t="e">
        <f>IF(AND(F96&lt;&gt;"",$X$5,$X$2),F96,NA())</f>
        <v>#N/A</v>
      </c>
      <c r="V263" s="16" t="str">
        <f>IF(ISNA(T263),"",IF($AE$102=0,T263,ROUND(T263/$AE$102,0)))</f>
        <v/>
      </c>
      <c r="X263" s="16" t="str">
        <f t="shared" si="39"/>
        <v/>
      </c>
      <c r="Y263" s="16" t="str">
        <f t="shared" si="40"/>
        <v/>
      </c>
      <c r="AM263" s="16" t="str">
        <f>IF(ISNA(P265),"",IF($AE$102=0,P265,ROUND(P265/$AE$102,0)))</f>
        <v/>
      </c>
      <c r="AN263" s="16" t="e">
        <f>IF(AM263="",NA(),COUNTIF(AM263:$AM$286,AM263))</f>
        <v>#N/A</v>
      </c>
      <c r="AO263" s="16" t="e">
        <f>(AN263-1)*$AE$105</f>
        <v>#N/A</v>
      </c>
      <c r="BG263" s="756">
        <v>256</v>
      </c>
      <c r="BH263" s="761"/>
      <c r="BI263" s="762"/>
      <c r="BJ263" s="824"/>
      <c r="BL263" s="756">
        <v>256</v>
      </c>
      <c r="BM263" s="761"/>
      <c r="BN263" s="762"/>
      <c r="BO263" s="824"/>
      <c r="BQ263" s="756">
        <v>256</v>
      </c>
      <c r="BR263" s="761"/>
      <c r="BS263" s="762"/>
      <c r="BT263" s="824"/>
    </row>
    <row r="264" spans="5:72" ht="12" customHeight="1">
      <c r="E264" s="621">
        <v>256</v>
      </c>
      <c r="F264" s="761"/>
      <c r="G264" s="762"/>
      <c r="H264" s="680"/>
      <c r="I264" s="764" t="str">
        <f t="shared" si="36"/>
        <v/>
      </c>
      <c r="J264" s="595"/>
      <c r="K264"/>
      <c r="L264" s="197"/>
      <c r="O264" s="246" t="e">
        <f>$W$24-IF($AN$85,AR262,0)</f>
        <v>#N/A</v>
      </c>
      <c r="P264" s="823" t="e">
        <f>IF(Y264="",NA(),IF($AN$85,Y264,U264))</f>
        <v>#N/A</v>
      </c>
      <c r="Q264" s="822"/>
      <c r="U264" s="16" t="e">
        <f>IF(AND(G96&lt;&gt;"",$X$5,$X$2),G96,NA())</f>
        <v>#N/A</v>
      </c>
      <c r="W264" s="16" t="str">
        <f>IF(ISNA(U264),"",IF($AE$102=0,U264,ROUND(U264/$AE$102,0)))</f>
        <v/>
      </c>
      <c r="X264" s="16" t="str">
        <f t="shared" si="39"/>
        <v/>
      </c>
      <c r="Y264" s="16" t="str">
        <f t="shared" si="40"/>
        <v/>
      </c>
      <c r="AP264" s="16" t="str">
        <f>IF(ISNA(P266),"",IF($AE$102=0,P266,ROUND(P266/$AE$102,0)))</f>
        <v/>
      </c>
      <c r="AQ264" s="16" t="e">
        <f>IF(AP264="",NA(),COUNTIF(AP264:$AP$286,AP264))</f>
        <v>#N/A</v>
      </c>
      <c r="AR264" s="16" t="e">
        <f>(AQ264-1)*$AE$105</f>
        <v>#N/A</v>
      </c>
      <c r="BG264" s="756">
        <v>257</v>
      </c>
      <c r="BH264" s="761"/>
      <c r="BI264" s="762"/>
      <c r="BJ264" s="824"/>
      <c r="BL264" s="756">
        <v>257</v>
      </c>
      <c r="BM264" s="761"/>
      <c r="BN264" s="762"/>
      <c r="BO264" s="824"/>
      <c r="BQ264" s="756">
        <v>257</v>
      </c>
      <c r="BR264" s="761"/>
      <c r="BS264" s="762"/>
      <c r="BT264" s="824"/>
    </row>
    <row r="265" spans="5:72" ht="12" customHeight="1">
      <c r="E265" s="621">
        <v>257</v>
      </c>
      <c r="F265" s="761"/>
      <c r="G265" s="762"/>
      <c r="H265" s="680"/>
      <c r="I265" s="764" t="str">
        <f t="shared" ref="I265:I328" si="41">IF(AND(F265&lt;&gt;"",G265&lt;&gt;""),G265-F265,"")</f>
        <v/>
      </c>
      <c r="J265" s="595"/>
      <c r="K265"/>
      <c r="L265" s="197"/>
      <c r="O265" s="820" t="e">
        <f>$W$23+IF($AN$85,AO263,0)</f>
        <v>#N/A</v>
      </c>
      <c r="P265" s="821" t="e">
        <f>IF(X265="",NA(),IF($AN$85,X265,T265))</f>
        <v>#N/A</v>
      </c>
      <c r="Q265" s="822"/>
      <c r="T265" s="16" t="e">
        <f>IF(AND(F97&lt;&gt;"",$X$5,$X$2),F97,NA())</f>
        <v>#N/A</v>
      </c>
      <c r="V265" s="16" t="str">
        <f>IF(ISNA(T265),"",IF($AE$102=0,T265,ROUND(T265/$AE$102,0)))</f>
        <v/>
      </c>
      <c r="X265" s="16" t="str">
        <f t="shared" si="39"/>
        <v/>
      </c>
      <c r="Y265" s="16" t="str">
        <f t="shared" si="40"/>
        <v/>
      </c>
      <c r="AM265" s="16" t="str">
        <f>IF(ISNA(P267),"",IF($AE$102=0,P267,ROUND(P267/$AE$102,0)))</f>
        <v/>
      </c>
      <c r="AN265" s="16" t="e">
        <f>IF(AM265="",NA(),COUNTIF(AM265:$AM$286,AM265))</f>
        <v>#N/A</v>
      </c>
      <c r="AO265" s="16" t="e">
        <f>(AN265-1)*$AE$105</f>
        <v>#N/A</v>
      </c>
      <c r="BG265" s="756">
        <v>258</v>
      </c>
      <c r="BH265" s="761"/>
      <c r="BI265" s="762"/>
      <c r="BJ265" s="824"/>
      <c r="BL265" s="756">
        <v>258</v>
      </c>
      <c r="BM265" s="761"/>
      <c r="BN265" s="762"/>
      <c r="BO265" s="824"/>
      <c r="BQ265" s="756">
        <v>258</v>
      </c>
      <c r="BR265" s="761"/>
      <c r="BS265" s="762"/>
      <c r="BT265" s="824"/>
    </row>
    <row r="266" spans="5:72" ht="12" customHeight="1">
      <c r="E266" s="621">
        <v>258</v>
      </c>
      <c r="F266" s="761"/>
      <c r="G266" s="762"/>
      <c r="H266" s="680"/>
      <c r="I266" s="764" t="str">
        <f t="shared" si="41"/>
        <v/>
      </c>
      <c r="J266" s="595"/>
      <c r="K266"/>
      <c r="L266" s="197"/>
      <c r="O266" s="246" t="e">
        <f>$W$24-IF($AN$85,AR264,0)</f>
        <v>#N/A</v>
      </c>
      <c r="P266" s="823" t="e">
        <f>IF(Y266="",NA(),IF($AN$85,Y266,U266))</f>
        <v>#N/A</v>
      </c>
      <c r="Q266" s="822"/>
      <c r="U266" s="16" t="e">
        <f>IF(AND(G97&lt;&gt;"",$X$5,$X$2),G97,NA())</f>
        <v>#N/A</v>
      </c>
      <c r="W266" s="16" t="str">
        <f>IF(ISNA(U266),"",IF($AE$102=0,U266,ROUND(U266/$AE$102,0)))</f>
        <v/>
      </c>
      <c r="X266" s="16" t="str">
        <f t="shared" si="39"/>
        <v/>
      </c>
      <c r="Y266" s="16" t="str">
        <f t="shared" si="40"/>
        <v/>
      </c>
      <c r="AP266" s="16" t="str">
        <f>IF(ISNA(P268),"",IF($AE$102=0,P268,ROUND(P268/$AE$102,0)))</f>
        <v/>
      </c>
      <c r="AQ266" s="16" t="e">
        <f>IF(AP266="",NA(),COUNTIF(AP266:$AP$286,AP266))</f>
        <v>#N/A</v>
      </c>
      <c r="AR266" s="16" t="e">
        <f>(AQ266-1)*$AE$105</f>
        <v>#N/A</v>
      </c>
      <c r="BG266" s="756">
        <v>259</v>
      </c>
      <c r="BH266" s="761"/>
      <c r="BI266" s="762"/>
      <c r="BJ266" s="824"/>
      <c r="BL266" s="756">
        <v>259</v>
      </c>
      <c r="BM266" s="761"/>
      <c r="BN266" s="762"/>
      <c r="BO266" s="824"/>
      <c r="BQ266" s="756">
        <v>259</v>
      </c>
      <c r="BR266" s="761"/>
      <c r="BS266" s="762"/>
      <c r="BT266" s="824"/>
    </row>
    <row r="267" spans="5:72" ht="12" customHeight="1">
      <c r="E267" s="621">
        <v>259</v>
      </c>
      <c r="F267" s="761"/>
      <c r="G267" s="762"/>
      <c r="H267" s="680"/>
      <c r="I267" s="764" t="str">
        <f t="shared" si="41"/>
        <v/>
      </c>
      <c r="J267" s="595"/>
      <c r="K267"/>
      <c r="L267" s="197"/>
      <c r="O267" s="820" t="e">
        <f>$W$23+IF($AN$85,AO265,0)</f>
        <v>#N/A</v>
      </c>
      <c r="P267" s="821" t="e">
        <f>IF(X267="",NA(),IF($AN$85,X267,T267))</f>
        <v>#N/A</v>
      </c>
      <c r="Q267" s="822"/>
      <c r="T267" s="16" t="e">
        <f>IF(AND(F98&lt;&gt;"",$X$5,$X$2),F98,NA())</f>
        <v>#N/A</v>
      </c>
      <c r="V267" s="16" t="str">
        <f>IF(ISNA(T267),"",IF($AE$102=0,T267,ROUND(T267/$AE$102,0)))</f>
        <v/>
      </c>
      <c r="X267" s="16" t="str">
        <f t="shared" si="39"/>
        <v/>
      </c>
      <c r="Y267" s="16" t="str">
        <f t="shared" si="40"/>
        <v/>
      </c>
      <c r="AM267" s="16" t="str">
        <f>IF(ISNA(P269),"",IF($AE$102=0,P269,ROUND(P269/$AE$102,0)))</f>
        <v/>
      </c>
      <c r="AN267" s="16" t="e">
        <f>IF(AM267="",NA(),COUNTIF(AM267:$AM$286,AM267))</f>
        <v>#N/A</v>
      </c>
      <c r="AO267" s="16" t="e">
        <f>(AN267-1)*$AE$105</f>
        <v>#N/A</v>
      </c>
      <c r="BG267" s="756">
        <v>260</v>
      </c>
      <c r="BH267" s="761"/>
      <c r="BI267" s="762"/>
      <c r="BJ267" s="824"/>
      <c r="BL267" s="756">
        <v>260</v>
      </c>
      <c r="BM267" s="761"/>
      <c r="BN267" s="762"/>
      <c r="BO267" s="824"/>
      <c r="BQ267" s="756">
        <v>260</v>
      </c>
      <c r="BR267" s="761"/>
      <c r="BS267" s="762"/>
      <c r="BT267" s="824"/>
    </row>
    <row r="268" spans="5:72" ht="12" customHeight="1">
      <c r="E268" s="621">
        <v>260</v>
      </c>
      <c r="F268" s="761"/>
      <c r="G268" s="762"/>
      <c r="H268" s="680"/>
      <c r="I268" s="764" t="str">
        <f t="shared" si="41"/>
        <v/>
      </c>
      <c r="J268" s="595"/>
      <c r="K268"/>
      <c r="L268" s="197"/>
      <c r="O268" s="246" t="e">
        <f>$W$24-IF($AN$85,AR266,0)</f>
        <v>#N/A</v>
      </c>
      <c r="P268" s="823" t="e">
        <f>IF(Y268="",NA(),IF($AN$85,Y268,U268))</f>
        <v>#N/A</v>
      </c>
      <c r="Q268" s="822"/>
      <c r="U268" s="16" t="e">
        <f>IF(AND(G98&lt;&gt;"",$X$5,$X$2),G98,NA())</f>
        <v>#N/A</v>
      </c>
      <c r="W268" s="16" t="str">
        <f>IF(ISNA(U268),"",IF($AE$102=0,U268,ROUND(U268/$AE$102,0)))</f>
        <v/>
      </c>
      <c r="X268" s="16" t="str">
        <f t="shared" si="39"/>
        <v/>
      </c>
      <c r="Y268" s="16" t="str">
        <f t="shared" si="40"/>
        <v/>
      </c>
      <c r="AP268" s="16" t="str">
        <f>IF(ISNA(P270),"",IF($AE$102=0,P270,ROUND(P270/$AE$102,0)))</f>
        <v/>
      </c>
      <c r="AQ268" s="16" t="e">
        <f>IF(AP268="",NA(),COUNTIF(AP268:$AP$286,AP268))</f>
        <v>#N/A</v>
      </c>
      <c r="AR268" s="16" t="e">
        <f>(AQ268-1)*$AE$105</f>
        <v>#N/A</v>
      </c>
      <c r="BG268" s="756">
        <v>261</v>
      </c>
      <c r="BH268" s="761"/>
      <c r="BI268" s="762"/>
      <c r="BJ268" s="824"/>
      <c r="BL268" s="756">
        <v>261</v>
      </c>
      <c r="BM268" s="761"/>
      <c r="BN268" s="762"/>
      <c r="BO268" s="824"/>
      <c r="BQ268" s="756">
        <v>261</v>
      </c>
      <c r="BR268" s="761"/>
      <c r="BS268" s="762"/>
      <c r="BT268" s="824"/>
    </row>
    <row r="269" spans="5:72" ht="12" customHeight="1">
      <c r="E269" s="621">
        <v>261</v>
      </c>
      <c r="F269" s="761"/>
      <c r="G269" s="762"/>
      <c r="H269" s="680"/>
      <c r="I269" s="764" t="str">
        <f t="shared" si="41"/>
        <v/>
      </c>
      <c r="J269" s="595"/>
      <c r="K269"/>
      <c r="L269" s="197"/>
      <c r="O269" s="820" t="e">
        <f>$W$23+IF($AN$85,AO267,0)</f>
        <v>#N/A</v>
      </c>
      <c r="P269" s="821" t="e">
        <f>IF(X269="",NA(),IF($AN$85,X269,T269))</f>
        <v>#N/A</v>
      </c>
      <c r="Q269" s="822"/>
      <c r="T269" s="16" t="e">
        <f>IF(AND(F99&lt;&gt;"",$X$5,$X$2),F99,NA())</f>
        <v>#N/A</v>
      </c>
      <c r="V269" s="16" t="str">
        <f>IF(ISNA(T269),"",IF($AE$102=0,T269,ROUND(T269/$AE$102,0)))</f>
        <v/>
      </c>
      <c r="X269" s="16" t="str">
        <f t="shared" si="39"/>
        <v/>
      </c>
      <c r="Y269" s="16" t="str">
        <f t="shared" si="40"/>
        <v/>
      </c>
      <c r="AM269" s="16" t="str">
        <f>IF(ISNA(P271),"",IF($AE$102=0,P271,ROUND(P271/$AE$102,0)))</f>
        <v/>
      </c>
      <c r="AN269" s="16" t="e">
        <f>IF(AM269="",NA(),COUNTIF(AM269:$AM$286,AM269))</f>
        <v>#N/A</v>
      </c>
      <c r="AO269" s="16" t="e">
        <f>(AN269-1)*$AE$105</f>
        <v>#N/A</v>
      </c>
      <c r="BG269" s="756">
        <v>262</v>
      </c>
      <c r="BH269" s="761"/>
      <c r="BI269" s="762"/>
      <c r="BJ269" s="824"/>
      <c r="BL269" s="756">
        <v>262</v>
      </c>
      <c r="BM269" s="761"/>
      <c r="BN269" s="762"/>
      <c r="BO269" s="824"/>
      <c r="BQ269" s="756">
        <v>262</v>
      </c>
      <c r="BR269" s="761"/>
      <c r="BS269" s="762"/>
      <c r="BT269" s="824"/>
    </row>
    <row r="270" spans="5:72" ht="12" customHeight="1">
      <c r="E270" s="621">
        <v>262</v>
      </c>
      <c r="F270" s="761"/>
      <c r="G270" s="762"/>
      <c r="H270" s="680"/>
      <c r="I270" s="764" t="str">
        <f t="shared" si="41"/>
        <v/>
      </c>
      <c r="J270" s="595"/>
      <c r="K270"/>
      <c r="L270" s="197"/>
      <c r="O270" s="246" t="e">
        <f>$W$24-IF($AN$85,AR268,0)</f>
        <v>#N/A</v>
      </c>
      <c r="P270" s="823" t="e">
        <f>IF(Y270="",NA(),IF($AN$85,Y270,U270))</f>
        <v>#N/A</v>
      </c>
      <c r="Q270" s="822"/>
      <c r="U270" s="16" t="e">
        <f>IF(AND(G99&lt;&gt;"",$X$5,$X$2),G99,NA())</f>
        <v>#N/A</v>
      </c>
      <c r="W270" s="16" t="str">
        <f>IF(ISNA(U270),"",IF($AE$102=0,U270,ROUND(U270/$AE$102,0)))</f>
        <v/>
      </c>
      <c r="X270" s="16" t="str">
        <f t="shared" si="39"/>
        <v/>
      </c>
      <c r="Y270" s="16" t="str">
        <f t="shared" si="40"/>
        <v/>
      </c>
      <c r="AP270" s="16" t="str">
        <f>IF(ISNA(P272),"",IF($AE$102=0,P272,ROUND(P272/$AE$102,0)))</f>
        <v/>
      </c>
      <c r="AQ270" s="16" t="e">
        <f>IF(AP270="",NA(),COUNTIF(AP270:$AP$286,AP270))</f>
        <v>#N/A</v>
      </c>
      <c r="AR270" s="16" t="e">
        <f>(AQ270-1)*$AE$105</f>
        <v>#N/A</v>
      </c>
      <c r="BG270" s="756">
        <v>263</v>
      </c>
      <c r="BH270" s="761"/>
      <c r="BI270" s="762"/>
      <c r="BJ270" s="824"/>
      <c r="BL270" s="756">
        <v>263</v>
      </c>
      <c r="BM270" s="761"/>
      <c r="BN270" s="762"/>
      <c r="BO270" s="824"/>
      <c r="BQ270" s="756">
        <v>263</v>
      </c>
      <c r="BR270" s="761"/>
      <c r="BS270" s="762"/>
      <c r="BT270" s="824"/>
    </row>
    <row r="271" spans="5:72" ht="12" customHeight="1">
      <c r="E271" s="621">
        <v>263</v>
      </c>
      <c r="F271" s="761"/>
      <c r="G271" s="762"/>
      <c r="H271" s="680"/>
      <c r="I271" s="764" t="str">
        <f t="shared" si="41"/>
        <v/>
      </c>
      <c r="J271" s="595"/>
      <c r="K271"/>
      <c r="L271" s="197"/>
      <c r="O271" s="820" t="e">
        <f>$W$23+IF($AN$85,AO269,0)</f>
        <v>#N/A</v>
      </c>
      <c r="P271" s="821" t="e">
        <f>IF(X271="",NA(),IF($AN$85,X271,T271))</f>
        <v>#N/A</v>
      </c>
      <c r="Q271" s="822"/>
      <c r="T271" s="16" t="e">
        <f>IF(AND(F100&lt;&gt;"",$X$5,$X$2),F100,NA())</f>
        <v>#N/A</v>
      </c>
      <c r="V271" s="16" t="str">
        <f>IF(ISNA(T271),"",IF($AE$102=0,T271,ROUND(T271/$AE$102,0)))</f>
        <v/>
      </c>
      <c r="X271" s="16" t="str">
        <f t="shared" si="39"/>
        <v/>
      </c>
      <c r="Y271" s="16" t="str">
        <f t="shared" si="40"/>
        <v/>
      </c>
      <c r="AM271" s="16" t="str">
        <f>IF(ISNA(P273),"",IF($AE$102=0,P273,ROUND(P273/$AE$102,0)))</f>
        <v/>
      </c>
      <c r="AN271" s="16" t="e">
        <f>IF(AM271="",NA(),COUNTIF(AM271:$AM$286,AM271))</f>
        <v>#N/A</v>
      </c>
      <c r="AO271" s="16" t="e">
        <f>(AN271-1)*$AE$105</f>
        <v>#N/A</v>
      </c>
      <c r="BG271" s="756">
        <v>264</v>
      </c>
      <c r="BH271" s="761"/>
      <c r="BI271" s="762"/>
      <c r="BJ271" s="824"/>
      <c r="BL271" s="756">
        <v>264</v>
      </c>
      <c r="BM271" s="761"/>
      <c r="BN271" s="762"/>
      <c r="BO271" s="824"/>
      <c r="BQ271" s="756">
        <v>264</v>
      </c>
      <c r="BR271" s="761"/>
      <c r="BS271" s="762"/>
      <c r="BT271" s="824"/>
    </row>
    <row r="272" spans="5:72" ht="12" customHeight="1">
      <c r="E272" s="621">
        <v>264</v>
      </c>
      <c r="F272" s="761"/>
      <c r="G272" s="762"/>
      <c r="H272" s="680"/>
      <c r="I272" s="764" t="str">
        <f t="shared" si="41"/>
        <v/>
      </c>
      <c r="J272" s="595"/>
      <c r="K272"/>
      <c r="L272" s="197"/>
      <c r="O272" s="246" t="e">
        <f>$W$24-IF($AN$85,AR270,0)</f>
        <v>#N/A</v>
      </c>
      <c r="P272" s="823" t="e">
        <f>IF(Y272="",NA(),IF($AN$85,Y272,U272))</f>
        <v>#N/A</v>
      </c>
      <c r="Q272" s="822"/>
      <c r="U272" s="16" t="e">
        <f>IF(AND(G100&lt;&gt;"",$X$5,$X$2),G100,NA())</f>
        <v>#N/A</v>
      </c>
      <c r="W272" s="16" t="str">
        <f>IF(ISNA(U272),"",IF($AE$102=0,U272,ROUND(U272/$AE$102,0)))</f>
        <v/>
      </c>
      <c r="X272" s="16" t="str">
        <f t="shared" si="39"/>
        <v/>
      </c>
      <c r="Y272" s="16" t="str">
        <f t="shared" si="40"/>
        <v/>
      </c>
      <c r="AP272" s="16" t="str">
        <f>IF(ISNA(P274),"",IF($AE$102=0,P274,ROUND(P274/$AE$102,0)))</f>
        <v/>
      </c>
      <c r="AQ272" s="16" t="e">
        <f>IF(AP272="",NA(),COUNTIF(AP272:$AP$286,AP272))</f>
        <v>#N/A</v>
      </c>
      <c r="AR272" s="16" t="e">
        <f>(AQ272-1)*$AE$105</f>
        <v>#N/A</v>
      </c>
      <c r="BG272" s="756">
        <v>265</v>
      </c>
      <c r="BH272" s="761"/>
      <c r="BI272" s="762"/>
      <c r="BJ272" s="824"/>
      <c r="BL272" s="756">
        <v>265</v>
      </c>
      <c r="BM272" s="761"/>
      <c r="BN272" s="762"/>
      <c r="BO272" s="824"/>
      <c r="BQ272" s="756">
        <v>265</v>
      </c>
      <c r="BR272" s="761"/>
      <c r="BS272" s="762"/>
      <c r="BT272" s="824"/>
    </row>
    <row r="273" spans="5:72" ht="12" customHeight="1">
      <c r="E273" s="621">
        <v>265</v>
      </c>
      <c r="F273" s="761"/>
      <c r="G273" s="762"/>
      <c r="H273" s="680"/>
      <c r="I273" s="764" t="str">
        <f t="shared" si="41"/>
        <v/>
      </c>
      <c r="J273" s="595"/>
      <c r="K273"/>
      <c r="L273" s="197"/>
      <c r="O273" s="820" t="e">
        <f>$W$23+IF($AN$85,AO271,0)</f>
        <v>#N/A</v>
      </c>
      <c r="P273" s="821" t="e">
        <f>IF(X273="",NA(),IF($AN$85,X273,T273))</f>
        <v>#N/A</v>
      </c>
      <c r="Q273" s="822"/>
      <c r="T273" s="16" t="e">
        <f>IF(AND(F101&lt;&gt;"",$X$5,$X$2),F101,NA())</f>
        <v>#N/A</v>
      </c>
      <c r="V273" s="16" t="str">
        <f>IF(ISNA(T273),"",IF($AE$102=0,T273,ROUND(T273/$AE$102,0)))</f>
        <v/>
      </c>
      <c r="X273" s="16" t="str">
        <f t="shared" si="39"/>
        <v/>
      </c>
      <c r="Y273" s="16" t="str">
        <f t="shared" si="40"/>
        <v/>
      </c>
      <c r="AM273" s="16" t="str">
        <f>IF(ISNA(P275),"",IF($AE$102=0,P275,ROUND(P275/$AE$102,0)))</f>
        <v/>
      </c>
      <c r="AN273" s="16" t="e">
        <f>IF(AM273="",NA(),COUNTIF(AM273:$AM$286,AM273))</f>
        <v>#N/A</v>
      </c>
      <c r="AO273" s="16" t="e">
        <f>(AN273-1)*$AE$105</f>
        <v>#N/A</v>
      </c>
      <c r="BG273" s="756">
        <v>266</v>
      </c>
      <c r="BH273" s="761"/>
      <c r="BI273" s="762"/>
      <c r="BJ273" s="824"/>
      <c r="BL273" s="756">
        <v>266</v>
      </c>
      <c r="BM273" s="761"/>
      <c r="BN273" s="762"/>
      <c r="BO273" s="824"/>
      <c r="BQ273" s="756">
        <v>266</v>
      </c>
      <c r="BR273" s="761"/>
      <c r="BS273" s="762"/>
      <c r="BT273" s="824"/>
    </row>
    <row r="274" spans="5:72" ht="12" customHeight="1">
      <c r="E274" s="621">
        <v>266</v>
      </c>
      <c r="F274" s="761"/>
      <c r="G274" s="762"/>
      <c r="H274" s="680"/>
      <c r="I274" s="764" t="str">
        <f t="shared" si="41"/>
        <v/>
      </c>
      <c r="J274" s="595"/>
      <c r="K274"/>
      <c r="L274" s="197"/>
      <c r="O274" s="246" t="e">
        <f>$W$24-IF($AN$85,AR272,0)</f>
        <v>#N/A</v>
      </c>
      <c r="P274" s="823" t="e">
        <f>IF(Y274="",NA(),IF($AN$85,Y274,U274))</f>
        <v>#N/A</v>
      </c>
      <c r="Q274" s="822"/>
      <c r="U274" s="16" t="e">
        <f>IF(AND(G101&lt;&gt;"",$X$5,$X$2),G101,NA())</f>
        <v>#N/A</v>
      </c>
      <c r="W274" s="16" t="str">
        <f>IF(ISNA(U274),"",IF($AE$102=0,U274,ROUND(U274/$AE$102,0)))</f>
        <v/>
      </c>
      <c r="X274" s="16" t="str">
        <f t="shared" si="39"/>
        <v/>
      </c>
      <c r="Y274" s="16" t="str">
        <f t="shared" si="40"/>
        <v/>
      </c>
      <c r="AP274" s="16" t="str">
        <f>IF(ISNA(P276),"",IF($AE$102=0,P276,ROUND(P276/$AE$102,0)))</f>
        <v/>
      </c>
      <c r="AQ274" s="16" t="e">
        <f>IF(AP274="",NA(),COUNTIF(AP274:$AP$286,AP274))</f>
        <v>#N/A</v>
      </c>
      <c r="AR274" s="16" t="e">
        <f>(AQ274-1)*$AE$105</f>
        <v>#N/A</v>
      </c>
      <c r="BG274" s="756">
        <v>267</v>
      </c>
      <c r="BH274" s="761"/>
      <c r="BI274" s="762"/>
      <c r="BJ274" s="824"/>
      <c r="BL274" s="756">
        <v>267</v>
      </c>
      <c r="BM274" s="761"/>
      <c r="BN274" s="762"/>
      <c r="BO274" s="824"/>
      <c r="BQ274" s="756">
        <v>267</v>
      </c>
      <c r="BR274" s="761"/>
      <c r="BS274" s="762"/>
      <c r="BT274" s="824"/>
    </row>
    <row r="275" spans="5:72" ht="12" customHeight="1">
      <c r="E275" s="621">
        <v>267</v>
      </c>
      <c r="F275" s="761"/>
      <c r="G275" s="762"/>
      <c r="H275" s="680"/>
      <c r="I275" s="764" t="str">
        <f t="shared" si="41"/>
        <v/>
      </c>
      <c r="J275" s="595"/>
      <c r="K275"/>
      <c r="L275" s="197"/>
      <c r="O275" s="820" t="e">
        <f>$W$23+IF($AN$85,AO273,0)</f>
        <v>#N/A</v>
      </c>
      <c r="P275" s="821" t="e">
        <f>IF(X275="",NA(),IF($AN$85,X275,T275))</f>
        <v>#N/A</v>
      </c>
      <c r="Q275" s="822"/>
      <c r="T275" s="16" t="e">
        <f>IF(AND(F102&lt;&gt;"",$X$5,$X$2),F102,NA())</f>
        <v>#N/A</v>
      </c>
      <c r="V275" s="16" t="str">
        <f>IF(ISNA(T275),"",IF($AE$102=0,T275,ROUND(T275/$AE$102,0)))</f>
        <v/>
      </c>
      <c r="X275" s="16" t="str">
        <f t="shared" si="39"/>
        <v/>
      </c>
      <c r="Y275" s="16" t="str">
        <f t="shared" si="40"/>
        <v/>
      </c>
      <c r="AM275" s="16" t="str">
        <f>IF(ISNA(P277),"",IF($AE$102=0,P277,ROUND(P277/$AE$102,0)))</f>
        <v/>
      </c>
      <c r="AN275" s="16" t="e">
        <f>IF(AM275="",NA(),COUNTIF(AM275:$AM$286,AM275))</f>
        <v>#N/A</v>
      </c>
      <c r="AO275" s="16" t="e">
        <f>(AN275-1)*$AE$105</f>
        <v>#N/A</v>
      </c>
      <c r="BG275" s="756">
        <v>268</v>
      </c>
      <c r="BH275" s="761"/>
      <c r="BI275" s="762"/>
      <c r="BJ275" s="824"/>
      <c r="BL275" s="756">
        <v>268</v>
      </c>
      <c r="BM275" s="761"/>
      <c r="BN275" s="762"/>
      <c r="BO275" s="824"/>
      <c r="BQ275" s="756">
        <v>268</v>
      </c>
      <c r="BR275" s="761"/>
      <c r="BS275" s="762"/>
      <c r="BT275" s="824"/>
    </row>
    <row r="276" spans="5:72" ht="12" customHeight="1">
      <c r="E276" s="621">
        <v>268</v>
      </c>
      <c r="F276" s="761"/>
      <c r="G276" s="762"/>
      <c r="H276" s="680"/>
      <c r="I276" s="764" t="str">
        <f t="shared" si="41"/>
        <v/>
      </c>
      <c r="J276" s="595"/>
      <c r="K276"/>
      <c r="L276" s="197"/>
      <c r="O276" s="246" t="e">
        <f>$W$24-IF($AN$85,AR274,0)</f>
        <v>#N/A</v>
      </c>
      <c r="P276" s="823" t="e">
        <f>IF(Y276="",NA(),IF($AN$85,Y276,U276))</f>
        <v>#N/A</v>
      </c>
      <c r="Q276" s="822"/>
      <c r="U276" s="16" t="e">
        <f>IF(AND(G102&lt;&gt;"",$X$5,$X$2),G102,NA())</f>
        <v>#N/A</v>
      </c>
      <c r="W276" s="16" t="str">
        <f>IF(ISNA(U276),"",IF($AE$102=0,U276,ROUND(U276/$AE$102,0)))</f>
        <v/>
      </c>
      <c r="X276" s="16" t="str">
        <f t="shared" si="39"/>
        <v/>
      </c>
      <c r="Y276" s="16" t="str">
        <f t="shared" si="40"/>
        <v/>
      </c>
      <c r="AP276" s="16" t="str">
        <f>IF(ISNA(P278),"",IF($AE$102=0,P278,ROUND(P278/$AE$102,0)))</f>
        <v/>
      </c>
      <c r="AQ276" s="16" t="e">
        <f>IF(AP276="",NA(),COUNTIF(AP276:$AP$286,AP276))</f>
        <v>#N/A</v>
      </c>
      <c r="AR276" s="16" t="e">
        <f>(AQ276-1)*$AE$105</f>
        <v>#N/A</v>
      </c>
      <c r="BG276" s="756">
        <v>269</v>
      </c>
      <c r="BH276" s="761"/>
      <c r="BI276" s="762"/>
      <c r="BJ276" s="824"/>
      <c r="BL276" s="756">
        <v>269</v>
      </c>
      <c r="BM276" s="761"/>
      <c r="BN276" s="762"/>
      <c r="BO276" s="824"/>
      <c r="BQ276" s="756">
        <v>269</v>
      </c>
      <c r="BR276" s="761"/>
      <c r="BS276" s="762"/>
      <c r="BT276" s="824"/>
    </row>
    <row r="277" spans="5:72" ht="12" customHeight="1">
      <c r="E277" s="621">
        <v>269</v>
      </c>
      <c r="F277" s="761"/>
      <c r="G277" s="762"/>
      <c r="H277" s="680"/>
      <c r="I277" s="764" t="str">
        <f t="shared" si="41"/>
        <v/>
      </c>
      <c r="J277" s="595"/>
      <c r="K277"/>
      <c r="L277" s="197"/>
      <c r="O277" s="820" t="e">
        <f>$W$23+IF($AN$85,AO275,0)</f>
        <v>#N/A</v>
      </c>
      <c r="P277" s="821" t="e">
        <f>IF(X277="",NA(),IF($AN$85,X277,T277))</f>
        <v>#N/A</v>
      </c>
      <c r="Q277" s="822"/>
      <c r="T277" s="16" t="e">
        <f>IF(AND(F103&lt;&gt;"",$X$5,$X$2),F103,NA())</f>
        <v>#N/A</v>
      </c>
      <c r="V277" s="16" t="str">
        <f>IF(ISNA(T277),"",IF($AE$102=0,T277,ROUND(T277/$AE$102,0)))</f>
        <v/>
      </c>
      <c r="X277" s="16" t="str">
        <f t="shared" si="39"/>
        <v/>
      </c>
      <c r="Y277" s="16" t="str">
        <f t="shared" si="40"/>
        <v/>
      </c>
      <c r="AM277" s="16" t="str">
        <f>IF(ISNA(P279),"",IF($AE$102=0,P279,ROUND(P279/$AE$102,0)))</f>
        <v/>
      </c>
      <c r="AN277" s="16" t="e">
        <f>IF(AM277="",NA(),COUNTIF(AM277:$AM$286,AM277))</f>
        <v>#N/A</v>
      </c>
      <c r="AO277" s="16" t="e">
        <f>(AN277-1)*$AE$105</f>
        <v>#N/A</v>
      </c>
      <c r="BG277" s="756">
        <v>270</v>
      </c>
      <c r="BH277" s="761"/>
      <c r="BI277" s="762"/>
      <c r="BJ277" s="824"/>
      <c r="BL277" s="756">
        <v>270</v>
      </c>
      <c r="BM277" s="761"/>
      <c r="BN277" s="762"/>
      <c r="BO277" s="824"/>
      <c r="BQ277" s="756">
        <v>270</v>
      </c>
      <c r="BR277" s="761"/>
      <c r="BS277" s="762"/>
      <c r="BT277" s="824"/>
    </row>
    <row r="278" spans="5:72" ht="12" customHeight="1">
      <c r="E278" s="621">
        <v>270</v>
      </c>
      <c r="F278" s="761"/>
      <c r="G278" s="762"/>
      <c r="H278" s="680"/>
      <c r="I278" s="764" t="str">
        <f t="shared" si="41"/>
        <v/>
      </c>
      <c r="J278" s="595"/>
      <c r="K278"/>
      <c r="L278" s="197"/>
      <c r="O278" s="246" t="e">
        <f>$W$24-IF($AN$85,AR276,0)</f>
        <v>#N/A</v>
      </c>
      <c r="P278" s="823" t="e">
        <f>IF(Y278="",NA(),IF($AN$85,Y278,U278))</f>
        <v>#N/A</v>
      </c>
      <c r="Q278" s="822"/>
      <c r="U278" s="16" t="e">
        <f>IF(AND(G103&lt;&gt;"",$X$5,$X$2),G103,NA())</f>
        <v>#N/A</v>
      </c>
      <c r="W278" s="16" t="str">
        <f>IF(ISNA(U278),"",IF($AE$102=0,U278,ROUND(U278/$AE$102,0)))</f>
        <v/>
      </c>
      <c r="X278" s="16" t="str">
        <f t="shared" si="39"/>
        <v/>
      </c>
      <c r="Y278" s="16" t="str">
        <f t="shared" si="40"/>
        <v/>
      </c>
      <c r="AP278" s="16" t="str">
        <f>IF(ISNA(P280),"",IF($AE$102=0,P280,ROUND(P280/$AE$102,0)))</f>
        <v/>
      </c>
      <c r="AQ278" s="16" t="e">
        <f>IF(AP278="",NA(),COUNTIF(AP278:$AP$286,AP278))</f>
        <v>#N/A</v>
      </c>
      <c r="AR278" s="16" t="e">
        <f>(AQ278-1)*$AE$105</f>
        <v>#N/A</v>
      </c>
      <c r="BG278" s="756">
        <v>271</v>
      </c>
      <c r="BH278" s="761"/>
      <c r="BI278" s="762"/>
      <c r="BJ278" s="824"/>
      <c r="BL278" s="756">
        <v>271</v>
      </c>
      <c r="BM278" s="761"/>
      <c r="BN278" s="762"/>
      <c r="BO278" s="824"/>
      <c r="BQ278" s="756">
        <v>271</v>
      </c>
      <c r="BR278" s="761"/>
      <c r="BS278" s="762"/>
      <c r="BT278" s="824"/>
    </row>
    <row r="279" spans="5:72" ht="12" customHeight="1">
      <c r="E279" s="621">
        <v>271</v>
      </c>
      <c r="F279" s="761"/>
      <c r="G279" s="762"/>
      <c r="H279" s="680"/>
      <c r="I279" s="764" t="str">
        <f t="shared" si="41"/>
        <v/>
      </c>
      <c r="J279" s="595"/>
      <c r="K279"/>
      <c r="L279" s="197"/>
      <c r="O279" s="820" t="e">
        <f>$W$23+IF($AN$85,AO277,0)</f>
        <v>#N/A</v>
      </c>
      <c r="P279" s="821" t="e">
        <f>IF(X279="",NA(),IF($AN$85,X279,T279))</f>
        <v>#N/A</v>
      </c>
      <c r="Q279" s="822"/>
      <c r="T279" s="16" t="e">
        <f>IF(AND(F104&lt;&gt;"",$X$5,$X$2),F104,NA())</f>
        <v>#N/A</v>
      </c>
      <c r="V279" s="16" t="str">
        <f>IF(ISNA(T279),"",IF($AE$102=0,T279,ROUND(T279/$AE$102,0)))</f>
        <v/>
      </c>
      <c r="X279" s="16" t="str">
        <f t="shared" si="39"/>
        <v/>
      </c>
      <c r="Y279" s="16" t="str">
        <f t="shared" si="40"/>
        <v/>
      </c>
      <c r="AM279" s="16" t="str">
        <f>IF(ISNA(P281),"",IF($AE$102=0,P281,ROUND(P281/$AE$102,0)))</f>
        <v/>
      </c>
      <c r="AN279" s="16" t="e">
        <f>IF(AM279="",NA(),COUNTIF(AM279:$AM$286,AM279))</f>
        <v>#N/A</v>
      </c>
      <c r="AO279" s="16" t="e">
        <f>(AN279-1)*$AE$105</f>
        <v>#N/A</v>
      </c>
      <c r="BG279" s="756">
        <v>272</v>
      </c>
      <c r="BH279" s="761"/>
      <c r="BI279" s="762"/>
      <c r="BJ279" s="824"/>
      <c r="BL279" s="756">
        <v>272</v>
      </c>
      <c r="BM279" s="761"/>
      <c r="BN279" s="762"/>
      <c r="BO279" s="824"/>
      <c r="BQ279" s="756">
        <v>272</v>
      </c>
      <c r="BR279" s="761"/>
      <c r="BS279" s="762"/>
      <c r="BT279" s="824"/>
    </row>
    <row r="280" spans="5:72" ht="12" customHeight="1">
      <c r="E280" s="621">
        <v>272</v>
      </c>
      <c r="F280" s="761"/>
      <c r="G280" s="762"/>
      <c r="H280" s="680"/>
      <c r="I280" s="764" t="str">
        <f t="shared" si="41"/>
        <v/>
      </c>
      <c r="J280" s="595"/>
      <c r="K280"/>
      <c r="L280" s="197"/>
      <c r="O280" s="246" t="e">
        <f>$W$24-IF($AN$85,AR278,0)</f>
        <v>#N/A</v>
      </c>
      <c r="P280" s="823" t="e">
        <f>IF(Y280="",NA(),IF($AN$85,Y280,U280))</f>
        <v>#N/A</v>
      </c>
      <c r="Q280" s="822"/>
      <c r="U280" s="16" t="e">
        <f>IF(AND(G104&lt;&gt;"",$X$5,$X$2),G104,NA())</f>
        <v>#N/A</v>
      </c>
      <c r="W280" s="16" t="str">
        <f>IF(ISNA(U280),"",IF($AE$102=0,U280,ROUND(U280/$AE$102,0)))</f>
        <v/>
      </c>
      <c r="X280" s="16" t="str">
        <f t="shared" si="39"/>
        <v/>
      </c>
      <c r="Y280" s="16" t="str">
        <f t="shared" si="40"/>
        <v/>
      </c>
      <c r="AP280" s="16" t="str">
        <f>IF(ISNA(P282),"",IF($AE$102=0,P282,ROUND(P282/$AE$102,0)))</f>
        <v/>
      </c>
      <c r="AQ280" s="16" t="e">
        <f>IF(AP280="",NA(),COUNTIF(AP280:$AP$286,AP280))</f>
        <v>#N/A</v>
      </c>
      <c r="AR280" s="16" t="e">
        <f>(AQ280-1)*$AE$105</f>
        <v>#N/A</v>
      </c>
      <c r="BG280" s="756">
        <v>273</v>
      </c>
      <c r="BH280" s="761"/>
      <c r="BI280" s="762"/>
      <c r="BJ280" s="824"/>
      <c r="BL280" s="756">
        <v>273</v>
      </c>
      <c r="BM280" s="761"/>
      <c r="BN280" s="762"/>
      <c r="BO280" s="824"/>
      <c r="BQ280" s="756">
        <v>273</v>
      </c>
      <c r="BR280" s="761"/>
      <c r="BS280" s="762"/>
      <c r="BT280" s="824"/>
    </row>
    <row r="281" spans="5:72" ht="12" customHeight="1">
      <c r="E281" s="621">
        <v>273</v>
      </c>
      <c r="F281" s="761"/>
      <c r="G281" s="762"/>
      <c r="H281" s="680"/>
      <c r="I281" s="764" t="str">
        <f t="shared" si="41"/>
        <v/>
      </c>
      <c r="J281" s="595"/>
      <c r="K281"/>
      <c r="L281" s="197"/>
      <c r="O281" s="820" t="e">
        <f>$W$23+IF($AN$85,AO279,0)</f>
        <v>#N/A</v>
      </c>
      <c r="P281" s="821" t="e">
        <f>IF(X281="",NA(),IF($AN$85,X281,T281))</f>
        <v>#N/A</v>
      </c>
      <c r="Q281" s="822"/>
      <c r="T281" s="16" t="e">
        <f>IF(AND(F105&lt;&gt;"",$X$5,$X$2),F105,NA())</f>
        <v>#N/A</v>
      </c>
      <c r="V281" s="16" t="str">
        <f>IF(ISNA(T281),"",IF($AE$102=0,T281,ROUND(T281/$AE$102,0)))</f>
        <v/>
      </c>
      <c r="X281" s="16" t="str">
        <f t="shared" ref="X281:X288" si="42">IF(V281="","",IF($AE$102=0,T281,V281*$AE$102))</f>
        <v/>
      </c>
      <c r="Y281" s="16" t="str">
        <f t="shared" ref="Y281:Y288" si="43">IF(W281="","",IF($AE$102=0,U281,W281*$AE$102))</f>
        <v/>
      </c>
      <c r="AM281" s="16" t="str">
        <f>IF(ISNA(P283),"",IF($AE$102=0,P283,ROUND(P283/$AE$102,0)))</f>
        <v/>
      </c>
      <c r="AN281" s="16" t="e">
        <f>IF(AM281="",NA(),COUNTIF(AM281:$AM$286,AM281))</f>
        <v>#N/A</v>
      </c>
      <c r="AO281" s="16" t="e">
        <f>(AN281-1)*$AE$105</f>
        <v>#N/A</v>
      </c>
      <c r="BG281" s="756">
        <v>274</v>
      </c>
      <c r="BH281" s="761"/>
      <c r="BI281" s="762"/>
      <c r="BJ281" s="824"/>
      <c r="BL281" s="756">
        <v>274</v>
      </c>
      <c r="BM281" s="761"/>
      <c r="BN281" s="762"/>
      <c r="BO281" s="824"/>
      <c r="BQ281" s="756">
        <v>274</v>
      </c>
      <c r="BR281" s="761"/>
      <c r="BS281" s="762"/>
      <c r="BT281" s="824"/>
    </row>
    <row r="282" spans="5:72" ht="12" customHeight="1">
      <c r="E282" s="621">
        <v>274</v>
      </c>
      <c r="F282" s="761"/>
      <c r="G282" s="762"/>
      <c r="H282" s="680"/>
      <c r="I282" s="764" t="str">
        <f t="shared" si="41"/>
        <v/>
      </c>
      <c r="J282" s="595"/>
      <c r="K282"/>
      <c r="L282" s="197"/>
      <c r="O282" s="246" t="e">
        <f>$W$24-IF($AN$85,AR280,0)</f>
        <v>#N/A</v>
      </c>
      <c r="P282" s="823" t="e">
        <f>IF(Y282="",NA(),IF($AN$85,Y282,U282))</f>
        <v>#N/A</v>
      </c>
      <c r="Q282" s="822"/>
      <c r="U282" s="16" t="e">
        <f>IF(AND(G105&lt;&gt;"",$X$5,$X$2),G105,NA())</f>
        <v>#N/A</v>
      </c>
      <c r="W282" s="16" t="str">
        <f>IF(ISNA(U282),"",IF($AE$102=0,U282,ROUND(U282/$AE$102,0)))</f>
        <v/>
      </c>
      <c r="X282" s="16" t="str">
        <f t="shared" si="42"/>
        <v/>
      </c>
      <c r="Y282" s="16" t="str">
        <f t="shared" si="43"/>
        <v/>
      </c>
      <c r="AP282" s="16" t="str">
        <f>IF(ISNA(P284),"",IF($AE$102=0,P284,ROUND(P284/$AE$102,0)))</f>
        <v/>
      </c>
      <c r="AQ282" s="16" t="e">
        <f>IF(AP282="",NA(),COUNTIF(AP282:$AP$286,AP282))</f>
        <v>#N/A</v>
      </c>
      <c r="AR282" s="16" t="e">
        <f>(AQ282-1)*$AE$105</f>
        <v>#N/A</v>
      </c>
      <c r="BG282" s="756">
        <v>275</v>
      </c>
      <c r="BH282" s="761"/>
      <c r="BI282" s="762"/>
      <c r="BJ282" s="824"/>
      <c r="BL282" s="756">
        <v>275</v>
      </c>
      <c r="BM282" s="761"/>
      <c r="BN282" s="762"/>
      <c r="BO282" s="824"/>
      <c r="BQ282" s="756">
        <v>275</v>
      </c>
      <c r="BR282" s="761"/>
      <c r="BS282" s="762"/>
      <c r="BT282" s="824"/>
    </row>
    <row r="283" spans="5:72" ht="12" customHeight="1">
      <c r="E283" s="621">
        <v>275</v>
      </c>
      <c r="F283" s="761"/>
      <c r="G283" s="762"/>
      <c r="H283" s="680"/>
      <c r="I283" s="764" t="str">
        <f t="shared" si="41"/>
        <v/>
      </c>
      <c r="J283" s="595"/>
      <c r="K283"/>
      <c r="L283" s="197"/>
      <c r="O283" s="820" t="e">
        <f>$W$23+IF($AN$85,AO281,0)</f>
        <v>#N/A</v>
      </c>
      <c r="P283" s="821" t="e">
        <f>IF(X283="",NA(),IF($AN$85,X283,T283))</f>
        <v>#N/A</v>
      </c>
      <c r="Q283" s="822"/>
      <c r="T283" s="16" t="e">
        <f>IF(AND(F106&lt;&gt;"",$X$5,$X$2),F106,NA())</f>
        <v>#N/A</v>
      </c>
      <c r="V283" s="16" t="str">
        <f>IF(ISNA(T283),"",IF($AE$102=0,T283,ROUND(T283/$AE$102,0)))</f>
        <v/>
      </c>
      <c r="X283" s="16" t="str">
        <f t="shared" si="42"/>
        <v/>
      </c>
      <c r="Y283" s="16" t="str">
        <f t="shared" si="43"/>
        <v/>
      </c>
      <c r="AM283" s="16" t="str">
        <f>IF(ISNA(P285),"",IF($AE$102=0,P285,ROUND(P285/$AE$102,0)))</f>
        <v/>
      </c>
      <c r="AN283" s="16" t="e">
        <f>IF(AM283="",NA(),COUNTIF(AM283:$AM$286,AM283))</f>
        <v>#N/A</v>
      </c>
      <c r="AO283" s="16" t="e">
        <f>(AN283-1)*$AE$105</f>
        <v>#N/A</v>
      </c>
      <c r="BG283" s="756">
        <v>276</v>
      </c>
      <c r="BH283" s="761"/>
      <c r="BI283" s="762"/>
      <c r="BJ283" s="824"/>
      <c r="BL283" s="756">
        <v>276</v>
      </c>
      <c r="BM283" s="761"/>
      <c r="BN283" s="762"/>
      <c r="BO283" s="824"/>
      <c r="BQ283" s="756">
        <v>276</v>
      </c>
      <c r="BR283" s="761"/>
      <c r="BS283" s="762"/>
      <c r="BT283" s="824"/>
    </row>
    <row r="284" spans="5:72" ht="12" customHeight="1">
      <c r="E284" s="621">
        <v>276</v>
      </c>
      <c r="F284" s="761"/>
      <c r="G284" s="762"/>
      <c r="H284" s="680"/>
      <c r="I284" s="764" t="str">
        <f t="shared" si="41"/>
        <v/>
      </c>
      <c r="J284" s="595"/>
      <c r="K284"/>
      <c r="L284" s="197"/>
      <c r="O284" s="246" t="e">
        <f>$W$24-IF($AN$85,AR282,0)</f>
        <v>#N/A</v>
      </c>
      <c r="P284" s="823" t="e">
        <f>IF(Y284="",NA(),IF($AN$85,Y284,U284))</f>
        <v>#N/A</v>
      </c>
      <c r="Q284" s="822"/>
      <c r="U284" s="16" t="e">
        <f>IF(AND(G106&lt;&gt;"",$X$5,$X$2),G106,NA())</f>
        <v>#N/A</v>
      </c>
      <c r="W284" s="16" t="str">
        <f>IF(ISNA(U284),"",IF($AE$102=0,U284,ROUND(U284/$AE$102,0)))</f>
        <v/>
      </c>
      <c r="X284" s="16" t="str">
        <f t="shared" si="42"/>
        <v/>
      </c>
      <c r="Y284" s="16" t="str">
        <f t="shared" si="43"/>
        <v/>
      </c>
      <c r="AP284" s="16" t="str">
        <f>IF(ISNA(P286),"",IF($AE$102=0,P286,ROUND(P286/$AE$102,0)))</f>
        <v/>
      </c>
      <c r="AQ284" s="16" t="e">
        <f>IF(AP284="",NA(),COUNTIF(AP284:$AP$286,AP284))</f>
        <v>#N/A</v>
      </c>
      <c r="AR284" s="16" t="e">
        <f>(AQ284-1)*$AE$105</f>
        <v>#N/A</v>
      </c>
      <c r="BG284" s="756">
        <v>277</v>
      </c>
      <c r="BH284" s="761"/>
      <c r="BI284" s="762"/>
      <c r="BJ284" s="824"/>
      <c r="BL284" s="756">
        <v>277</v>
      </c>
      <c r="BM284" s="761"/>
      <c r="BN284" s="762"/>
      <c r="BO284" s="824"/>
      <c r="BQ284" s="756">
        <v>277</v>
      </c>
      <c r="BR284" s="761"/>
      <c r="BS284" s="762"/>
      <c r="BT284" s="824"/>
    </row>
    <row r="285" spans="5:72" ht="12" customHeight="1">
      <c r="E285" s="621">
        <v>277</v>
      </c>
      <c r="F285" s="761"/>
      <c r="G285" s="762"/>
      <c r="H285" s="680"/>
      <c r="I285" s="764" t="str">
        <f t="shared" si="41"/>
        <v/>
      </c>
      <c r="J285" s="595"/>
      <c r="K285"/>
      <c r="L285" s="197"/>
      <c r="O285" s="820" t="e">
        <f>$W$23+IF($AN$85,AO283,0)</f>
        <v>#N/A</v>
      </c>
      <c r="P285" s="821" t="e">
        <f>IF(X285="",NA(),IF($AN$85,X285,T285))</f>
        <v>#N/A</v>
      </c>
      <c r="Q285" s="822"/>
      <c r="T285" s="16" t="e">
        <f>IF(AND(F107&lt;&gt;"",$X$5,$X$2),F107,NA())</f>
        <v>#N/A</v>
      </c>
      <c r="V285" s="16" t="str">
        <f>IF(ISNA(T285),"",IF($AE$102=0,T285,ROUND(T285/$AE$102,0)))</f>
        <v/>
      </c>
      <c r="X285" s="16" t="str">
        <f t="shared" si="42"/>
        <v/>
      </c>
      <c r="Y285" s="16" t="str">
        <f t="shared" si="43"/>
        <v/>
      </c>
      <c r="AM285" s="16" t="str">
        <f>IF(ISNA(P287),"",IF($AE$102=0,P287,ROUND(P287/$AE$102,0)))</f>
        <v/>
      </c>
      <c r="AN285" s="16" t="e">
        <f>IF(AM285="",NA(),COUNTIF(AM285:$AM$286,AM285))</f>
        <v>#N/A</v>
      </c>
      <c r="AO285" s="16" t="e">
        <f>(AN285-1)*$AE$105</f>
        <v>#N/A</v>
      </c>
      <c r="BG285" s="756">
        <v>278</v>
      </c>
      <c r="BH285" s="761"/>
      <c r="BI285" s="762"/>
      <c r="BJ285" s="824"/>
      <c r="BL285" s="756">
        <v>278</v>
      </c>
      <c r="BM285" s="761"/>
      <c r="BN285" s="762"/>
      <c r="BO285" s="824"/>
      <c r="BQ285" s="756">
        <v>278</v>
      </c>
      <c r="BR285" s="761"/>
      <c r="BS285" s="762"/>
      <c r="BT285" s="824"/>
    </row>
    <row r="286" spans="5:72" ht="12" customHeight="1">
      <c r="E286" s="621">
        <v>278</v>
      </c>
      <c r="F286" s="761"/>
      <c r="G286" s="762"/>
      <c r="H286" s="680"/>
      <c r="I286" s="764" t="str">
        <f t="shared" si="41"/>
        <v/>
      </c>
      <c r="J286" s="595"/>
      <c r="K286"/>
      <c r="L286" s="197"/>
      <c r="O286" s="246" t="e">
        <f>$W$24-IF($AN$85,AR284,0)</f>
        <v>#N/A</v>
      </c>
      <c r="P286" s="823" t="e">
        <f>IF(Y286="",NA(),IF($AN$85,Y286,U286))</f>
        <v>#N/A</v>
      </c>
      <c r="Q286" s="822"/>
      <c r="U286" s="16" t="e">
        <f>IF(AND(G107&lt;&gt;"",$X$5,$X$2),G107,NA())</f>
        <v>#N/A</v>
      </c>
      <c r="W286" s="16" t="str">
        <f>IF(ISNA(U286),"",IF($AE$102=0,U286,ROUND(U286/$AE$102,0)))</f>
        <v/>
      </c>
      <c r="X286" s="16" t="str">
        <f t="shared" si="42"/>
        <v/>
      </c>
      <c r="Y286" s="16" t="str">
        <f t="shared" si="43"/>
        <v/>
      </c>
      <c r="AP286" s="16" t="str">
        <f>IF(ISNA(P288),"",IF($AE$102=0,P288,ROUND(P288/$AE$102,0)))</f>
        <v/>
      </c>
      <c r="AQ286" s="16" t="e">
        <f>IF(AP286="",NA(),COUNTIF(AP286:$AP$286,AP286))</f>
        <v>#N/A</v>
      </c>
      <c r="AR286" s="16" t="e">
        <f>(AQ286-1)*$AE$105</f>
        <v>#N/A</v>
      </c>
      <c r="BG286" s="756">
        <v>279</v>
      </c>
      <c r="BH286" s="761"/>
      <c r="BI286" s="762"/>
      <c r="BJ286" s="824"/>
      <c r="BL286" s="756">
        <v>279</v>
      </c>
      <c r="BM286" s="761"/>
      <c r="BN286" s="762"/>
      <c r="BO286" s="824"/>
      <c r="BQ286" s="756">
        <v>279</v>
      </c>
      <c r="BR286" s="761"/>
      <c r="BS286" s="762"/>
      <c r="BT286" s="824"/>
    </row>
    <row r="287" spans="5:72" ht="12" customHeight="1">
      <c r="E287" s="621">
        <v>279</v>
      </c>
      <c r="F287" s="761"/>
      <c r="G287" s="762"/>
      <c r="H287" s="680"/>
      <c r="I287" s="764" t="str">
        <f t="shared" si="41"/>
        <v/>
      </c>
      <c r="J287" s="595"/>
      <c r="K287"/>
      <c r="L287" s="197"/>
      <c r="O287" s="820" t="e">
        <f>$W$23+IF($AN$85,AO285,0)</f>
        <v>#N/A</v>
      </c>
      <c r="P287" s="821" t="e">
        <f>IF(X287="",NA(),IF($AN$85,X287,T287))</f>
        <v>#N/A</v>
      </c>
      <c r="Q287" s="822"/>
      <c r="T287" s="16" t="e">
        <f>IF(AND(F108&lt;&gt;"",$X$5,$X$2),F108,NA())</f>
        <v>#N/A</v>
      </c>
      <c r="V287" s="16" t="str">
        <f>IF(ISNA(T287),"",IF($AE$102=0,T287,ROUND(T287/$AE$102,0)))</f>
        <v/>
      </c>
      <c r="X287" s="16" t="str">
        <f t="shared" si="42"/>
        <v/>
      </c>
      <c r="Y287" s="16" t="str">
        <f t="shared" si="43"/>
        <v/>
      </c>
      <c r="BG287" s="756">
        <v>280</v>
      </c>
      <c r="BH287" s="761"/>
      <c r="BI287" s="762"/>
      <c r="BJ287" s="824"/>
      <c r="BL287" s="756">
        <v>280</v>
      </c>
      <c r="BM287" s="761"/>
      <c r="BN287" s="762"/>
      <c r="BO287" s="824"/>
      <c r="BQ287" s="756">
        <v>280</v>
      </c>
      <c r="BR287" s="761"/>
      <c r="BS287" s="762"/>
      <c r="BT287" s="824"/>
    </row>
    <row r="288" spans="5:72" ht="12" customHeight="1">
      <c r="E288" s="621">
        <v>280</v>
      </c>
      <c r="F288" s="761"/>
      <c r="G288" s="762"/>
      <c r="H288" s="680"/>
      <c r="I288" s="764" t="str">
        <f t="shared" si="41"/>
        <v/>
      </c>
      <c r="J288" s="595"/>
      <c r="K288"/>
      <c r="L288" s="197"/>
      <c r="O288" s="246" t="e">
        <f>$W$24-IF($AN$85,AR286,0)</f>
        <v>#N/A</v>
      </c>
      <c r="P288" s="823" t="e">
        <f>IF(Y288="",NA(),IF($AN$85,Y288,U288))</f>
        <v>#N/A</v>
      </c>
      <c r="Q288" s="822"/>
      <c r="U288" s="16" t="e">
        <f>IF(AND(G108&lt;&gt;"",$X$5,$X$2),G108,NA())</f>
        <v>#N/A</v>
      </c>
      <c r="W288" s="16" t="str">
        <f>IF(ISNA(U288),"",IF($AE$102=0,U288,ROUND(U288/$AE$102,0)))</f>
        <v/>
      </c>
      <c r="X288" s="16" t="str">
        <f t="shared" si="42"/>
        <v/>
      </c>
      <c r="Y288" s="16" t="str">
        <f t="shared" si="43"/>
        <v/>
      </c>
      <c r="BG288" s="756">
        <v>281</v>
      </c>
      <c r="BH288" s="761"/>
      <c r="BI288" s="762"/>
      <c r="BJ288" s="824"/>
      <c r="BL288" s="756">
        <v>281</v>
      </c>
      <c r="BM288" s="761"/>
      <c r="BN288" s="762"/>
      <c r="BO288" s="824"/>
      <c r="BQ288" s="756">
        <v>281</v>
      </c>
      <c r="BR288" s="761"/>
      <c r="BS288" s="762"/>
      <c r="BT288" s="824"/>
    </row>
    <row r="289" spans="5:72" ht="12" customHeight="1">
      <c r="E289" s="621">
        <v>281</v>
      </c>
      <c r="F289" s="761"/>
      <c r="G289" s="762"/>
      <c r="H289" s="680"/>
      <c r="I289" s="764" t="str">
        <f t="shared" si="41"/>
        <v/>
      </c>
      <c r="J289" s="595"/>
      <c r="K289"/>
      <c r="L289" s="197"/>
      <c r="BG289" s="756">
        <v>282</v>
      </c>
      <c r="BH289" s="761"/>
      <c r="BI289" s="762"/>
      <c r="BJ289" s="824"/>
      <c r="BL289" s="756">
        <v>282</v>
      </c>
      <c r="BM289" s="761"/>
      <c r="BN289" s="762"/>
      <c r="BO289" s="824"/>
      <c r="BQ289" s="756">
        <v>282</v>
      </c>
      <c r="BR289" s="761"/>
      <c r="BS289" s="762"/>
      <c r="BT289" s="824"/>
    </row>
    <row r="290" spans="5:72" ht="12" customHeight="1">
      <c r="E290" s="621">
        <v>282</v>
      </c>
      <c r="F290" s="761"/>
      <c r="G290" s="762"/>
      <c r="H290" s="680"/>
      <c r="I290" s="764" t="str">
        <f t="shared" si="41"/>
        <v/>
      </c>
      <c r="J290" s="595"/>
      <c r="K290"/>
      <c r="L290" s="197"/>
      <c r="BG290" s="756">
        <v>283</v>
      </c>
      <c r="BH290" s="761"/>
      <c r="BI290" s="762"/>
      <c r="BJ290" s="824"/>
      <c r="BL290" s="756">
        <v>283</v>
      </c>
      <c r="BM290" s="761"/>
      <c r="BN290" s="762"/>
      <c r="BO290" s="824"/>
      <c r="BQ290" s="756">
        <v>283</v>
      </c>
      <c r="BR290" s="761"/>
      <c r="BS290" s="762"/>
      <c r="BT290" s="824"/>
    </row>
    <row r="291" spans="5:72" ht="12" customHeight="1">
      <c r="E291" s="621">
        <v>283</v>
      </c>
      <c r="F291" s="761"/>
      <c r="G291" s="762"/>
      <c r="H291" s="680"/>
      <c r="I291" s="764" t="str">
        <f t="shared" si="41"/>
        <v/>
      </c>
      <c r="J291" s="595"/>
      <c r="K291"/>
      <c r="L291" s="197"/>
      <c r="BG291" s="756">
        <v>284</v>
      </c>
      <c r="BH291" s="761"/>
      <c r="BI291" s="762"/>
      <c r="BJ291" s="824"/>
      <c r="BL291" s="756">
        <v>284</v>
      </c>
      <c r="BM291" s="761"/>
      <c r="BN291" s="762"/>
      <c r="BO291" s="824"/>
      <c r="BQ291" s="756">
        <v>284</v>
      </c>
      <c r="BR291" s="761"/>
      <c r="BS291" s="762"/>
      <c r="BT291" s="824"/>
    </row>
    <row r="292" spans="5:72" ht="12" customHeight="1">
      <c r="E292" s="621">
        <v>284</v>
      </c>
      <c r="F292" s="761"/>
      <c r="G292" s="762"/>
      <c r="H292" s="680"/>
      <c r="I292" s="764" t="str">
        <f t="shared" si="41"/>
        <v/>
      </c>
      <c r="J292" s="595"/>
      <c r="K292"/>
      <c r="L292" s="197"/>
      <c r="BG292" s="756">
        <v>285</v>
      </c>
      <c r="BH292" s="761"/>
      <c r="BI292" s="762"/>
      <c r="BJ292" s="824"/>
      <c r="BL292" s="756">
        <v>285</v>
      </c>
      <c r="BM292" s="761"/>
      <c r="BN292" s="762"/>
      <c r="BO292" s="824"/>
      <c r="BQ292" s="756">
        <v>285</v>
      </c>
      <c r="BR292" s="761"/>
      <c r="BS292" s="762"/>
      <c r="BT292" s="824"/>
    </row>
    <row r="293" spans="5:72" ht="12" customHeight="1">
      <c r="E293" s="621">
        <v>285</v>
      </c>
      <c r="F293" s="761"/>
      <c r="G293" s="762"/>
      <c r="H293" s="680"/>
      <c r="I293" s="764" t="str">
        <f t="shared" si="41"/>
        <v/>
      </c>
      <c r="J293" s="595"/>
      <c r="K293"/>
      <c r="L293" s="197"/>
      <c r="BG293" s="756">
        <v>286</v>
      </c>
      <c r="BH293" s="761"/>
      <c r="BI293" s="762"/>
      <c r="BJ293" s="824"/>
      <c r="BL293" s="756">
        <v>286</v>
      </c>
      <c r="BM293" s="761"/>
      <c r="BN293" s="762"/>
      <c r="BO293" s="824"/>
      <c r="BQ293" s="756">
        <v>286</v>
      </c>
      <c r="BR293" s="761"/>
      <c r="BS293" s="762"/>
      <c r="BT293" s="824"/>
    </row>
    <row r="294" spans="5:72" ht="12" customHeight="1">
      <c r="E294" s="621">
        <v>286</v>
      </c>
      <c r="F294" s="761"/>
      <c r="G294" s="762"/>
      <c r="H294" s="680"/>
      <c r="I294" s="764" t="str">
        <f t="shared" si="41"/>
        <v/>
      </c>
      <c r="J294" s="595"/>
      <c r="K294"/>
      <c r="L294" s="197"/>
      <c r="BG294" s="756">
        <v>287</v>
      </c>
      <c r="BH294" s="761"/>
      <c r="BI294" s="762"/>
      <c r="BJ294" s="824"/>
      <c r="BL294" s="756">
        <v>287</v>
      </c>
      <c r="BM294" s="761"/>
      <c r="BN294" s="762"/>
      <c r="BO294" s="824"/>
      <c r="BQ294" s="756">
        <v>287</v>
      </c>
      <c r="BR294" s="761"/>
      <c r="BS294" s="762"/>
      <c r="BT294" s="824"/>
    </row>
    <row r="295" spans="5:72" ht="12" customHeight="1">
      <c r="E295" s="621">
        <v>287</v>
      </c>
      <c r="F295" s="761"/>
      <c r="G295" s="762"/>
      <c r="H295" s="680"/>
      <c r="I295" s="764" t="str">
        <f t="shared" si="41"/>
        <v/>
      </c>
      <c r="J295" s="595"/>
      <c r="K295"/>
      <c r="L295" s="197"/>
      <c r="BG295" s="756">
        <v>288</v>
      </c>
      <c r="BH295" s="761"/>
      <c r="BI295" s="762"/>
      <c r="BJ295" s="824"/>
      <c r="BL295" s="756">
        <v>288</v>
      </c>
      <c r="BM295" s="761"/>
      <c r="BN295" s="762"/>
      <c r="BO295" s="824"/>
      <c r="BQ295" s="756">
        <v>288</v>
      </c>
      <c r="BR295" s="761"/>
      <c r="BS295" s="762"/>
      <c r="BT295" s="824"/>
    </row>
    <row r="296" spans="5:72" ht="12" customHeight="1">
      <c r="E296" s="621">
        <v>288</v>
      </c>
      <c r="F296" s="761"/>
      <c r="G296" s="762"/>
      <c r="H296" s="680"/>
      <c r="I296" s="764" t="str">
        <f t="shared" si="41"/>
        <v/>
      </c>
      <c r="J296" s="595"/>
      <c r="K296"/>
      <c r="L296" s="197"/>
      <c r="BG296" s="756">
        <v>289</v>
      </c>
      <c r="BH296" s="761"/>
      <c r="BI296" s="762"/>
      <c r="BJ296" s="824"/>
      <c r="BL296" s="756">
        <v>289</v>
      </c>
      <c r="BM296" s="761"/>
      <c r="BN296" s="762"/>
      <c r="BO296" s="824"/>
      <c r="BQ296" s="756">
        <v>289</v>
      </c>
      <c r="BR296" s="761"/>
      <c r="BS296" s="762"/>
      <c r="BT296" s="824"/>
    </row>
    <row r="297" spans="5:72" ht="12" customHeight="1">
      <c r="E297" s="621">
        <v>289</v>
      </c>
      <c r="F297" s="761"/>
      <c r="G297" s="762"/>
      <c r="H297" s="680"/>
      <c r="I297" s="764" t="str">
        <f t="shared" si="41"/>
        <v/>
      </c>
      <c r="J297" s="595"/>
      <c r="K297"/>
      <c r="L297" s="197"/>
      <c r="BG297" s="756">
        <v>290</v>
      </c>
      <c r="BH297" s="761"/>
      <c r="BI297" s="762"/>
      <c r="BJ297" s="824"/>
      <c r="BL297" s="756">
        <v>290</v>
      </c>
      <c r="BM297" s="761"/>
      <c r="BN297" s="762"/>
      <c r="BO297" s="824"/>
      <c r="BQ297" s="756">
        <v>290</v>
      </c>
      <c r="BR297" s="761"/>
      <c r="BS297" s="762"/>
      <c r="BT297" s="824"/>
    </row>
    <row r="298" spans="5:72" ht="12" customHeight="1">
      <c r="E298" s="621">
        <v>290</v>
      </c>
      <c r="F298" s="761"/>
      <c r="G298" s="762"/>
      <c r="H298" s="680"/>
      <c r="I298" s="764" t="str">
        <f t="shared" si="41"/>
        <v/>
      </c>
      <c r="J298" s="595"/>
      <c r="K298"/>
      <c r="L298" s="197"/>
      <c r="BG298" s="756">
        <v>291</v>
      </c>
      <c r="BH298" s="761"/>
      <c r="BI298" s="762"/>
      <c r="BJ298" s="824"/>
      <c r="BL298" s="756">
        <v>291</v>
      </c>
      <c r="BM298" s="761"/>
      <c r="BN298" s="762"/>
      <c r="BO298" s="824"/>
      <c r="BQ298" s="756">
        <v>291</v>
      </c>
      <c r="BR298" s="761"/>
      <c r="BS298" s="762"/>
      <c r="BT298" s="824"/>
    </row>
    <row r="299" spans="5:72" ht="12" customHeight="1">
      <c r="E299" s="621">
        <v>291</v>
      </c>
      <c r="F299" s="761"/>
      <c r="G299" s="762"/>
      <c r="H299" s="680"/>
      <c r="I299" s="764" t="str">
        <f t="shared" si="41"/>
        <v/>
      </c>
      <c r="J299" s="595"/>
      <c r="K299"/>
      <c r="L299" s="197"/>
      <c r="BG299" s="756">
        <v>292</v>
      </c>
      <c r="BH299" s="761"/>
      <c r="BI299" s="762"/>
      <c r="BJ299" s="824"/>
      <c r="BL299" s="756">
        <v>292</v>
      </c>
      <c r="BM299" s="761"/>
      <c r="BN299" s="762"/>
      <c r="BO299" s="824"/>
      <c r="BQ299" s="756">
        <v>292</v>
      </c>
      <c r="BR299" s="761"/>
      <c r="BS299" s="762"/>
      <c r="BT299" s="824"/>
    </row>
    <row r="300" spans="5:72" ht="12" customHeight="1">
      <c r="E300" s="621">
        <v>292</v>
      </c>
      <c r="F300" s="761"/>
      <c r="G300" s="762"/>
      <c r="H300" s="680"/>
      <c r="I300" s="764" t="str">
        <f t="shared" si="41"/>
        <v/>
      </c>
      <c r="J300" s="595"/>
      <c r="K300"/>
      <c r="L300" s="197"/>
      <c r="BG300" s="756">
        <v>293</v>
      </c>
      <c r="BH300" s="761"/>
      <c r="BI300" s="762"/>
      <c r="BJ300" s="824"/>
      <c r="BL300" s="756">
        <v>293</v>
      </c>
      <c r="BM300" s="761"/>
      <c r="BN300" s="762"/>
      <c r="BO300" s="824"/>
      <c r="BQ300" s="756">
        <v>293</v>
      </c>
      <c r="BR300" s="761"/>
      <c r="BS300" s="762"/>
      <c r="BT300" s="824"/>
    </row>
    <row r="301" spans="5:72" ht="12" customHeight="1">
      <c r="E301" s="621">
        <v>293</v>
      </c>
      <c r="F301" s="761"/>
      <c r="G301" s="762"/>
      <c r="H301" s="680"/>
      <c r="I301" s="764" t="str">
        <f t="shared" si="41"/>
        <v/>
      </c>
      <c r="J301" s="595"/>
      <c r="K301"/>
      <c r="L301" s="197"/>
      <c r="BG301" s="756">
        <v>294</v>
      </c>
      <c r="BH301" s="761"/>
      <c r="BI301" s="762"/>
      <c r="BJ301" s="824"/>
      <c r="BL301" s="756">
        <v>294</v>
      </c>
      <c r="BM301" s="761"/>
      <c r="BN301" s="762"/>
      <c r="BO301" s="824"/>
      <c r="BQ301" s="756">
        <v>294</v>
      </c>
      <c r="BR301" s="761"/>
      <c r="BS301" s="762"/>
      <c r="BT301" s="824"/>
    </row>
    <row r="302" spans="5:72" ht="12" customHeight="1">
      <c r="E302" s="621">
        <v>294</v>
      </c>
      <c r="F302" s="761"/>
      <c r="G302" s="762"/>
      <c r="H302" s="680"/>
      <c r="I302" s="764" t="str">
        <f t="shared" si="41"/>
        <v/>
      </c>
      <c r="J302" s="595"/>
      <c r="K302"/>
      <c r="L302" s="197"/>
      <c r="BG302" s="756">
        <v>295</v>
      </c>
      <c r="BH302" s="761"/>
      <c r="BI302" s="762"/>
      <c r="BJ302" s="824"/>
      <c r="BL302" s="756">
        <v>295</v>
      </c>
      <c r="BM302" s="761"/>
      <c r="BN302" s="762"/>
      <c r="BO302" s="824"/>
      <c r="BQ302" s="756">
        <v>295</v>
      </c>
      <c r="BR302" s="761"/>
      <c r="BS302" s="762"/>
      <c r="BT302" s="824"/>
    </row>
    <row r="303" spans="5:72" ht="12" customHeight="1">
      <c r="E303" s="621">
        <v>295</v>
      </c>
      <c r="F303" s="761"/>
      <c r="G303" s="762"/>
      <c r="H303" s="680"/>
      <c r="I303" s="764" t="str">
        <f t="shared" si="41"/>
        <v/>
      </c>
      <c r="J303" s="595"/>
      <c r="K303"/>
      <c r="L303" s="197"/>
      <c r="BG303" s="756">
        <v>296</v>
      </c>
      <c r="BH303" s="761"/>
      <c r="BI303" s="762"/>
      <c r="BJ303" s="824"/>
      <c r="BL303" s="756">
        <v>296</v>
      </c>
      <c r="BM303" s="761"/>
      <c r="BN303" s="762"/>
      <c r="BO303" s="824"/>
      <c r="BQ303" s="756">
        <v>296</v>
      </c>
      <c r="BR303" s="761"/>
      <c r="BS303" s="762"/>
      <c r="BT303" s="824"/>
    </row>
    <row r="304" spans="5:72" ht="12" customHeight="1">
      <c r="E304" s="621">
        <v>296</v>
      </c>
      <c r="F304" s="761"/>
      <c r="G304" s="762"/>
      <c r="H304" s="680"/>
      <c r="I304" s="764" t="str">
        <f t="shared" si="41"/>
        <v/>
      </c>
      <c r="J304" s="595"/>
      <c r="K304"/>
      <c r="L304" s="197"/>
      <c r="BG304" s="756">
        <v>297</v>
      </c>
      <c r="BH304" s="761"/>
      <c r="BI304" s="762"/>
      <c r="BJ304" s="824"/>
      <c r="BL304" s="756">
        <v>297</v>
      </c>
      <c r="BM304" s="761"/>
      <c r="BN304" s="762"/>
      <c r="BO304" s="824"/>
      <c r="BQ304" s="756">
        <v>297</v>
      </c>
      <c r="BR304" s="761"/>
      <c r="BS304" s="762"/>
      <c r="BT304" s="824"/>
    </row>
    <row r="305" spans="5:72" ht="12" customHeight="1">
      <c r="E305" s="621">
        <v>297</v>
      </c>
      <c r="F305" s="761"/>
      <c r="G305" s="762"/>
      <c r="H305" s="680"/>
      <c r="I305" s="764" t="str">
        <f t="shared" si="41"/>
        <v/>
      </c>
      <c r="J305" s="595"/>
      <c r="K305"/>
      <c r="L305" s="197"/>
      <c r="BG305" s="756">
        <v>298</v>
      </c>
      <c r="BH305" s="761"/>
      <c r="BI305" s="762"/>
      <c r="BJ305" s="824"/>
      <c r="BL305" s="756">
        <v>298</v>
      </c>
      <c r="BM305" s="761"/>
      <c r="BN305" s="762"/>
      <c r="BO305" s="824"/>
      <c r="BQ305" s="756">
        <v>298</v>
      </c>
      <c r="BR305" s="761"/>
      <c r="BS305" s="762"/>
      <c r="BT305" s="824"/>
    </row>
    <row r="306" spans="5:72" ht="12" customHeight="1">
      <c r="E306" s="621">
        <v>298</v>
      </c>
      <c r="F306" s="761"/>
      <c r="G306" s="762"/>
      <c r="H306" s="680"/>
      <c r="I306" s="764" t="str">
        <f t="shared" si="41"/>
        <v/>
      </c>
      <c r="J306" s="595"/>
      <c r="K306"/>
      <c r="L306" s="197"/>
      <c r="BG306" s="756">
        <v>299</v>
      </c>
      <c r="BH306" s="761"/>
      <c r="BI306" s="762"/>
      <c r="BJ306" s="824"/>
      <c r="BL306" s="756">
        <v>299</v>
      </c>
      <c r="BM306" s="761"/>
      <c r="BN306" s="762"/>
      <c r="BO306" s="824"/>
      <c r="BQ306" s="756">
        <v>299</v>
      </c>
      <c r="BR306" s="761"/>
      <c r="BS306" s="762"/>
      <c r="BT306" s="824"/>
    </row>
    <row r="307" spans="5:72" ht="12" customHeight="1">
      <c r="E307" s="621">
        <v>299</v>
      </c>
      <c r="F307" s="761"/>
      <c r="G307" s="762"/>
      <c r="H307" s="680"/>
      <c r="I307" s="764" t="str">
        <f t="shared" si="41"/>
        <v/>
      </c>
      <c r="J307" s="595"/>
      <c r="K307"/>
      <c r="L307" s="197"/>
      <c r="BG307" s="756">
        <v>300</v>
      </c>
      <c r="BH307" s="761"/>
      <c r="BI307" s="762"/>
      <c r="BJ307" s="824"/>
      <c r="BL307" s="756">
        <v>300</v>
      </c>
      <c r="BM307" s="761"/>
      <c r="BN307" s="762"/>
      <c r="BO307" s="824"/>
      <c r="BQ307" s="756">
        <v>300</v>
      </c>
      <c r="BR307" s="761"/>
      <c r="BS307" s="762"/>
      <c r="BT307" s="824"/>
    </row>
    <row r="308" spans="5:72" ht="12" customHeight="1">
      <c r="E308" s="621">
        <v>300</v>
      </c>
      <c r="F308" s="761"/>
      <c r="G308" s="762"/>
      <c r="H308" s="680"/>
      <c r="I308" s="764" t="str">
        <f t="shared" si="41"/>
        <v/>
      </c>
      <c r="J308" s="595"/>
      <c r="K308"/>
      <c r="L308" s="197"/>
      <c r="BG308" s="825"/>
      <c r="BH308" s="826"/>
      <c r="BI308" s="826"/>
      <c r="BJ308" s="827"/>
      <c r="BL308" s="825"/>
      <c r="BM308" s="826"/>
      <c r="BN308" s="826"/>
      <c r="BO308" s="827"/>
      <c r="BQ308" s="825"/>
      <c r="BR308" s="826"/>
      <c r="BS308" s="826"/>
      <c r="BT308" s="827"/>
    </row>
    <row r="309" spans="5:72" ht="12" customHeight="1">
      <c r="E309" s="621">
        <v>301</v>
      </c>
      <c r="F309" s="761"/>
      <c r="G309" s="762"/>
      <c r="H309" s="680"/>
      <c r="I309" s="764" t="str">
        <f t="shared" si="41"/>
        <v/>
      </c>
      <c r="J309" s="595"/>
      <c r="K309"/>
      <c r="L309" s="197"/>
    </row>
    <row r="310" spans="5:72" ht="12" customHeight="1">
      <c r="E310" s="621">
        <v>302</v>
      </c>
      <c r="F310" s="761"/>
      <c r="G310" s="762"/>
      <c r="H310" s="680"/>
      <c r="I310" s="764" t="str">
        <f t="shared" si="41"/>
        <v/>
      </c>
      <c r="J310" s="595"/>
      <c r="K310"/>
      <c r="L310" s="197"/>
    </row>
    <row r="311" spans="5:72" ht="12" customHeight="1">
      <c r="E311" s="621">
        <v>303</v>
      </c>
      <c r="F311" s="761"/>
      <c r="G311" s="762"/>
      <c r="H311" s="680"/>
      <c r="I311" s="764" t="str">
        <f t="shared" si="41"/>
        <v/>
      </c>
      <c r="J311" s="595"/>
      <c r="K311"/>
      <c r="L311" s="197"/>
    </row>
    <row r="312" spans="5:72" ht="12" customHeight="1">
      <c r="E312" s="621">
        <v>304</v>
      </c>
      <c r="F312" s="761"/>
      <c r="G312" s="762"/>
      <c r="H312" s="680"/>
      <c r="I312" s="764" t="str">
        <f t="shared" si="41"/>
        <v/>
      </c>
      <c r="J312" s="595"/>
      <c r="K312"/>
      <c r="L312" s="197"/>
    </row>
    <row r="313" spans="5:72" ht="12" customHeight="1">
      <c r="E313" s="621">
        <v>305</v>
      </c>
      <c r="F313" s="761"/>
      <c r="G313" s="762"/>
      <c r="H313" s="680"/>
      <c r="I313" s="764" t="str">
        <f t="shared" si="41"/>
        <v/>
      </c>
      <c r="J313" s="595"/>
      <c r="K313"/>
      <c r="L313" s="197"/>
    </row>
    <row r="314" spans="5:72" ht="12" customHeight="1">
      <c r="E314" s="621">
        <v>306</v>
      </c>
      <c r="F314" s="761"/>
      <c r="G314" s="762"/>
      <c r="H314" s="680"/>
      <c r="I314" s="764" t="str">
        <f t="shared" si="41"/>
        <v/>
      </c>
      <c r="J314" s="595"/>
      <c r="K314"/>
      <c r="L314" s="197"/>
    </row>
    <row r="315" spans="5:72" ht="12" customHeight="1">
      <c r="E315" s="621">
        <v>307</v>
      </c>
      <c r="F315" s="761"/>
      <c r="G315" s="762"/>
      <c r="H315" s="680"/>
      <c r="I315" s="764" t="str">
        <f t="shared" si="41"/>
        <v/>
      </c>
      <c r="J315" s="595"/>
      <c r="K315"/>
      <c r="L315" s="197"/>
    </row>
    <row r="316" spans="5:72" ht="12" customHeight="1">
      <c r="E316" s="621">
        <v>308</v>
      </c>
      <c r="F316" s="761"/>
      <c r="G316" s="762"/>
      <c r="H316" s="680"/>
      <c r="I316" s="764" t="str">
        <f t="shared" si="41"/>
        <v/>
      </c>
      <c r="J316" s="595"/>
      <c r="K316"/>
      <c r="L316" s="197"/>
    </row>
    <row r="317" spans="5:72" ht="12" customHeight="1">
      <c r="E317" s="621">
        <v>309</v>
      </c>
      <c r="F317" s="761"/>
      <c r="G317" s="762"/>
      <c r="H317" s="680"/>
      <c r="I317" s="764" t="str">
        <f t="shared" si="41"/>
        <v/>
      </c>
      <c r="J317" s="595"/>
      <c r="K317"/>
      <c r="L317" s="197"/>
    </row>
    <row r="318" spans="5:72" ht="12" customHeight="1">
      <c r="E318" s="621">
        <v>310</v>
      </c>
      <c r="F318" s="761"/>
      <c r="G318" s="762"/>
      <c r="H318" s="680"/>
      <c r="I318" s="764" t="str">
        <f t="shared" si="41"/>
        <v/>
      </c>
      <c r="J318" s="595"/>
      <c r="K318"/>
      <c r="L318" s="197"/>
    </row>
    <row r="319" spans="5:72" ht="12" customHeight="1">
      <c r="E319" s="621">
        <v>311</v>
      </c>
      <c r="F319" s="761"/>
      <c r="G319" s="762"/>
      <c r="H319" s="680"/>
      <c r="I319" s="764" t="str">
        <f t="shared" si="41"/>
        <v/>
      </c>
      <c r="J319" s="595"/>
      <c r="K319"/>
      <c r="L319" s="197"/>
    </row>
    <row r="320" spans="5:72" ht="12" customHeight="1">
      <c r="E320" s="621">
        <v>312</v>
      </c>
      <c r="F320" s="761"/>
      <c r="G320" s="762"/>
      <c r="H320" s="680"/>
      <c r="I320" s="764" t="str">
        <f t="shared" si="41"/>
        <v/>
      </c>
      <c r="J320" s="595"/>
      <c r="K320"/>
      <c r="L320" s="197"/>
    </row>
    <row r="321" spans="5:12" ht="12" customHeight="1">
      <c r="E321" s="621">
        <v>313</v>
      </c>
      <c r="F321" s="761"/>
      <c r="G321" s="762"/>
      <c r="H321" s="680"/>
      <c r="I321" s="764" t="str">
        <f t="shared" si="41"/>
        <v/>
      </c>
      <c r="J321" s="595"/>
      <c r="K321"/>
      <c r="L321" s="197"/>
    </row>
    <row r="322" spans="5:12" ht="12" customHeight="1">
      <c r="E322" s="621">
        <v>314</v>
      </c>
      <c r="F322" s="761"/>
      <c r="G322" s="762"/>
      <c r="H322" s="680"/>
      <c r="I322" s="764" t="str">
        <f t="shared" si="41"/>
        <v/>
      </c>
      <c r="J322" s="595"/>
      <c r="K322"/>
      <c r="L322" s="197"/>
    </row>
    <row r="323" spans="5:12" ht="12" customHeight="1">
      <c r="E323" s="621">
        <v>315</v>
      </c>
      <c r="F323" s="761"/>
      <c r="G323" s="762"/>
      <c r="H323" s="680"/>
      <c r="I323" s="764" t="str">
        <f t="shared" si="41"/>
        <v/>
      </c>
      <c r="J323" s="595"/>
      <c r="K323"/>
      <c r="L323" s="197"/>
    </row>
    <row r="324" spans="5:12" ht="12" customHeight="1">
      <c r="E324" s="621">
        <v>316</v>
      </c>
      <c r="F324" s="761"/>
      <c r="G324" s="762"/>
      <c r="H324" s="680"/>
      <c r="I324" s="764" t="str">
        <f t="shared" si="41"/>
        <v/>
      </c>
      <c r="J324" s="595"/>
      <c r="K324"/>
      <c r="L324" s="197"/>
    </row>
    <row r="325" spans="5:12" ht="12" customHeight="1">
      <c r="E325" s="621">
        <v>317</v>
      </c>
      <c r="F325" s="761"/>
      <c r="G325" s="762"/>
      <c r="H325" s="680"/>
      <c r="I325" s="764" t="str">
        <f t="shared" si="41"/>
        <v/>
      </c>
      <c r="J325" s="595"/>
      <c r="K325"/>
      <c r="L325" s="197"/>
    </row>
    <row r="326" spans="5:12" ht="12" customHeight="1">
      <c r="E326" s="621">
        <v>318</v>
      </c>
      <c r="F326" s="761"/>
      <c r="G326" s="762"/>
      <c r="H326" s="680"/>
      <c r="I326" s="764" t="str">
        <f t="shared" si="41"/>
        <v/>
      </c>
      <c r="J326" s="595"/>
      <c r="K326"/>
      <c r="L326" s="197"/>
    </row>
    <row r="327" spans="5:12" ht="12" customHeight="1">
      <c r="E327" s="621">
        <v>319</v>
      </c>
      <c r="F327" s="761"/>
      <c r="G327" s="762"/>
      <c r="H327" s="680"/>
      <c r="I327" s="764" t="str">
        <f t="shared" si="41"/>
        <v/>
      </c>
      <c r="J327" s="595"/>
      <c r="K327"/>
      <c r="L327" s="197"/>
    </row>
    <row r="328" spans="5:12" ht="12" customHeight="1">
      <c r="E328" s="621">
        <v>320</v>
      </c>
      <c r="F328" s="761"/>
      <c r="G328" s="762"/>
      <c r="H328" s="680"/>
      <c r="I328" s="764" t="str">
        <f t="shared" si="41"/>
        <v/>
      </c>
      <c r="J328" s="595"/>
      <c r="K328"/>
      <c r="L328" s="197"/>
    </row>
    <row r="329" spans="5:12" ht="12" customHeight="1">
      <c r="E329" s="621">
        <v>321</v>
      </c>
      <c r="F329" s="761"/>
      <c r="G329" s="762"/>
      <c r="H329" s="680"/>
      <c r="I329" s="764" t="str">
        <f t="shared" ref="I329:I392" si="44">IF(AND(F329&lt;&gt;"",G329&lt;&gt;""),G329-F329,"")</f>
        <v/>
      </c>
      <c r="J329" s="595"/>
      <c r="K329"/>
      <c r="L329" s="197"/>
    </row>
    <row r="330" spans="5:12" ht="12" customHeight="1">
      <c r="E330" s="621">
        <v>322</v>
      </c>
      <c r="F330" s="761"/>
      <c r="G330" s="762"/>
      <c r="H330" s="680"/>
      <c r="I330" s="764" t="str">
        <f t="shared" si="44"/>
        <v/>
      </c>
      <c r="J330" s="595"/>
      <c r="K330"/>
      <c r="L330" s="197"/>
    </row>
    <row r="331" spans="5:12" ht="12" customHeight="1">
      <c r="E331" s="621">
        <v>323</v>
      </c>
      <c r="F331" s="761"/>
      <c r="G331" s="762"/>
      <c r="H331" s="680"/>
      <c r="I331" s="764" t="str">
        <f t="shared" si="44"/>
        <v/>
      </c>
      <c r="J331" s="595"/>
      <c r="K331"/>
      <c r="L331" s="197"/>
    </row>
    <row r="332" spans="5:12" ht="12" customHeight="1">
      <c r="E332" s="621">
        <v>324</v>
      </c>
      <c r="F332" s="761"/>
      <c r="G332" s="762"/>
      <c r="H332" s="680"/>
      <c r="I332" s="764" t="str">
        <f t="shared" si="44"/>
        <v/>
      </c>
      <c r="J332" s="595"/>
      <c r="K332"/>
      <c r="L332" s="197"/>
    </row>
    <row r="333" spans="5:12" ht="12" customHeight="1">
      <c r="E333" s="621">
        <v>325</v>
      </c>
      <c r="F333" s="761"/>
      <c r="G333" s="762"/>
      <c r="H333" s="680"/>
      <c r="I333" s="764" t="str">
        <f t="shared" si="44"/>
        <v/>
      </c>
      <c r="J333" s="595"/>
      <c r="K333"/>
      <c r="L333" s="197"/>
    </row>
    <row r="334" spans="5:12" ht="12" customHeight="1">
      <c r="E334" s="621">
        <v>326</v>
      </c>
      <c r="F334" s="761"/>
      <c r="G334" s="762"/>
      <c r="H334" s="680"/>
      <c r="I334" s="764" t="str">
        <f t="shared" si="44"/>
        <v/>
      </c>
      <c r="J334" s="595"/>
      <c r="K334"/>
      <c r="L334" s="197"/>
    </row>
    <row r="335" spans="5:12" ht="12" customHeight="1">
      <c r="E335" s="621">
        <v>327</v>
      </c>
      <c r="F335" s="761"/>
      <c r="G335" s="762"/>
      <c r="H335" s="680"/>
      <c r="I335" s="764" t="str">
        <f t="shared" si="44"/>
        <v/>
      </c>
      <c r="J335" s="595"/>
      <c r="K335"/>
      <c r="L335" s="197"/>
    </row>
    <row r="336" spans="5:12" ht="12" customHeight="1">
      <c r="E336" s="621">
        <v>328</v>
      </c>
      <c r="F336" s="761"/>
      <c r="G336" s="762"/>
      <c r="H336" s="680"/>
      <c r="I336" s="764" t="str">
        <f t="shared" si="44"/>
        <v/>
      </c>
      <c r="J336" s="595"/>
      <c r="K336"/>
      <c r="L336" s="197"/>
    </row>
    <row r="337" spans="5:12" ht="12" customHeight="1">
      <c r="E337" s="621">
        <v>329</v>
      </c>
      <c r="F337" s="761"/>
      <c r="G337" s="762"/>
      <c r="H337" s="680"/>
      <c r="I337" s="764" t="str">
        <f t="shared" si="44"/>
        <v/>
      </c>
      <c r="J337" s="595"/>
      <c r="K337"/>
      <c r="L337" s="197"/>
    </row>
    <row r="338" spans="5:12" ht="12" customHeight="1">
      <c r="E338" s="621">
        <v>330</v>
      </c>
      <c r="F338" s="761"/>
      <c r="G338" s="762"/>
      <c r="H338" s="680"/>
      <c r="I338" s="764" t="str">
        <f t="shared" si="44"/>
        <v/>
      </c>
      <c r="J338" s="595"/>
      <c r="K338"/>
      <c r="L338" s="197"/>
    </row>
    <row r="339" spans="5:12" ht="12" customHeight="1">
      <c r="E339" s="621">
        <v>331</v>
      </c>
      <c r="F339" s="761"/>
      <c r="G339" s="762"/>
      <c r="H339" s="680"/>
      <c r="I339" s="764" t="str">
        <f t="shared" si="44"/>
        <v/>
      </c>
      <c r="J339" s="595"/>
      <c r="K339"/>
      <c r="L339" s="197"/>
    </row>
    <row r="340" spans="5:12" ht="12" customHeight="1">
      <c r="E340" s="621">
        <v>332</v>
      </c>
      <c r="F340" s="761"/>
      <c r="G340" s="762"/>
      <c r="H340" s="680"/>
      <c r="I340" s="764" t="str">
        <f t="shared" si="44"/>
        <v/>
      </c>
      <c r="J340" s="595"/>
      <c r="K340"/>
      <c r="L340" s="197"/>
    </row>
    <row r="341" spans="5:12" ht="12" customHeight="1">
      <c r="E341" s="621">
        <v>333</v>
      </c>
      <c r="F341" s="761"/>
      <c r="G341" s="762"/>
      <c r="H341" s="680"/>
      <c r="I341" s="764" t="str">
        <f t="shared" si="44"/>
        <v/>
      </c>
      <c r="J341" s="595"/>
      <c r="K341"/>
      <c r="L341" s="197"/>
    </row>
    <row r="342" spans="5:12" ht="12" customHeight="1">
      <c r="E342" s="621">
        <v>334</v>
      </c>
      <c r="F342" s="761"/>
      <c r="G342" s="762"/>
      <c r="H342" s="680"/>
      <c r="I342" s="764" t="str">
        <f t="shared" si="44"/>
        <v/>
      </c>
      <c r="J342" s="595"/>
      <c r="K342"/>
      <c r="L342" s="197"/>
    </row>
    <row r="343" spans="5:12" ht="12" customHeight="1">
      <c r="E343" s="621">
        <v>335</v>
      </c>
      <c r="F343" s="761"/>
      <c r="G343" s="762"/>
      <c r="H343" s="680"/>
      <c r="I343" s="764" t="str">
        <f t="shared" si="44"/>
        <v/>
      </c>
      <c r="J343" s="595"/>
      <c r="K343"/>
      <c r="L343" s="197"/>
    </row>
    <row r="344" spans="5:12" ht="12" customHeight="1">
      <c r="E344" s="621">
        <v>336</v>
      </c>
      <c r="F344" s="761"/>
      <c r="G344" s="762"/>
      <c r="H344" s="680"/>
      <c r="I344" s="764" t="str">
        <f t="shared" si="44"/>
        <v/>
      </c>
      <c r="J344" s="595"/>
      <c r="K344"/>
      <c r="L344" s="197"/>
    </row>
    <row r="345" spans="5:12" ht="12" customHeight="1">
      <c r="E345" s="621">
        <v>337</v>
      </c>
      <c r="F345" s="761"/>
      <c r="G345" s="762"/>
      <c r="H345" s="680"/>
      <c r="I345" s="764" t="str">
        <f t="shared" si="44"/>
        <v/>
      </c>
      <c r="J345" s="595"/>
      <c r="K345"/>
      <c r="L345" s="197"/>
    </row>
    <row r="346" spans="5:12" ht="12" customHeight="1">
      <c r="E346" s="621">
        <v>338</v>
      </c>
      <c r="F346" s="761"/>
      <c r="G346" s="762"/>
      <c r="H346" s="680"/>
      <c r="I346" s="764" t="str">
        <f t="shared" si="44"/>
        <v/>
      </c>
      <c r="J346" s="595"/>
      <c r="K346"/>
      <c r="L346" s="197"/>
    </row>
    <row r="347" spans="5:12" ht="12" customHeight="1">
      <c r="E347" s="621">
        <v>339</v>
      </c>
      <c r="F347" s="761"/>
      <c r="G347" s="762"/>
      <c r="H347" s="680"/>
      <c r="I347" s="764" t="str">
        <f t="shared" si="44"/>
        <v/>
      </c>
      <c r="J347" s="595"/>
      <c r="K347"/>
      <c r="L347" s="197"/>
    </row>
    <row r="348" spans="5:12" ht="12" customHeight="1">
      <c r="E348" s="621">
        <v>340</v>
      </c>
      <c r="F348" s="761"/>
      <c r="G348" s="762"/>
      <c r="H348" s="680"/>
      <c r="I348" s="764" t="str">
        <f t="shared" si="44"/>
        <v/>
      </c>
      <c r="J348" s="595"/>
      <c r="K348"/>
      <c r="L348" s="197"/>
    </row>
    <row r="349" spans="5:12" ht="12" customHeight="1">
      <c r="E349" s="621">
        <v>341</v>
      </c>
      <c r="F349" s="761"/>
      <c r="G349" s="762"/>
      <c r="H349" s="680"/>
      <c r="I349" s="764" t="str">
        <f t="shared" si="44"/>
        <v/>
      </c>
      <c r="J349" s="595"/>
      <c r="K349"/>
      <c r="L349" s="197"/>
    </row>
    <row r="350" spans="5:12" ht="12" customHeight="1">
      <c r="E350" s="621">
        <v>342</v>
      </c>
      <c r="F350" s="761"/>
      <c r="G350" s="762"/>
      <c r="H350" s="680"/>
      <c r="I350" s="764" t="str">
        <f t="shared" si="44"/>
        <v/>
      </c>
      <c r="J350" s="595"/>
      <c r="K350"/>
      <c r="L350" s="197"/>
    </row>
    <row r="351" spans="5:12" ht="12" customHeight="1">
      <c r="E351" s="621">
        <v>343</v>
      </c>
      <c r="F351" s="761"/>
      <c r="G351" s="762"/>
      <c r="H351" s="680"/>
      <c r="I351" s="764" t="str">
        <f t="shared" si="44"/>
        <v/>
      </c>
      <c r="J351" s="595"/>
      <c r="K351"/>
      <c r="L351" s="197"/>
    </row>
    <row r="352" spans="5:12" ht="12" customHeight="1">
      <c r="E352" s="621">
        <v>344</v>
      </c>
      <c r="F352" s="761"/>
      <c r="G352" s="762"/>
      <c r="H352" s="680"/>
      <c r="I352" s="764" t="str">
        <f t="shared" si="44"/>
        <v/>
      </c>
      <c r="J352" s="595"/>
      <c r="K352"/>
      <c r="L352" s="197"/>
    </row>
    <row r="353" spans="5:12" ht="12" customHeight="1">
      <c r="E353" s="621">
        <v>345</v>
      </c>
      <c r="F353" s="761"/>
      <c r="G353" s="762"/>
      <c r="H353" s="680"/>
      <c r="I353" s="764" t="str">
        <f t="shared" si="44"/>
        <v/>
      </c>
      <c r="J353" s="595"/>
      <c r="K353"/>
      <c r="L353" s="197"/>
    </row>
    <row r="354" spans="5:12" ht="12" customHeight="1">
      <c r="E354" s="621">
        <v>346</v>
      </c>
      <c r="F354" s="761"/>
      <c r="G354" s="762"/>
      <c r="H354" s="680"/>
      <c r="I354" s="764" t="str">
        <f t="shared" si="44"/>
        <v/>
      </c>
      <c r="J354" s="595"/>
      <c r="K354"/>
      <c r="L354" s="197"/>
    </row>
    <row r="355" spans="5:12" ht="12" customHeight="1">
      <c r="E355" s="621">
        <v>347</v>
      </c>
      <c r="F355" s="761"/>
      <c r="G355" s="762"/>
      <c r="H355" s="680"/>
      <c r="I355" s="764" t="str">
        <f t="shared" si="44"/>
        <v/>
      </c>
      <c r="J355" s="595"/>
      <c r="K355"/>
      <c r="L355" s="197"/>
    </row>
    <row r="356" spans="5:12" ht="12" customHeight="1">
      <c r="E356" s="621">
        <v>348</v>
      </c>
      <c r="F356" s="761"/>
      <c r="G356" s="762"/>
      <c r="H356" s="680"/>
      <c r="I356" s="764" t="str">
        <f t="shared" si="44"/>
        <v/>
      </c>
      <c r="J356" s="595"/>
      <c r="K356"/>
      <c r="L356" s="197"/>
    </row>
    <row r="357" spans="5:12" ht="12" customHeight="1">
      <c r="E357" s="621">
        <v>349</v>
      </c>
      <c r="F357" s="761"/>
      <c r="G357" s="762"/>
      <c r="H357" s="680"/>
      <c r="I357" s="764" t="str">
        <f t="shared" si="44"/>
        <v/>
      </c>
      <c r="J357" s="595"/>
      <c r="K357"/>
      <c r="L357" s="197"/>
    </row>
    <row r="358" spans="5:12" ht="12" customHeight="1">
      <c r="E358" s="621">
        <v>350</v>
      </c>
      <c r="F358" s="761"/>
      <c r="G358" s="762"/>
      <c r="H358" s="680"/>
      <c r="I358" s="764" t="str">
        <f t="shared" si="44"/>
        <v/>
      </c>
      <c r="J358" s="595"/>
      <c r="K358"/>
      <c r="L358" s="197"/>
    </row>
    <row r="359" spans="5:12" ht="12" customHeight="1">
      <c r="E359" s="621">
        <v>351</v>
      </c>
      <c r="F359" s="761"/>
      <c r="G359" s="762"/>
      <c r="H359" s="680"/>
      <c r="I359" s="764" t="str">
        <f t="shared" si="44"/>
        <v/>
      </c>
      <c r="J359" s="595"/>
      <c r="K359"/>
      <c r="L359" s="197"/>
    </row>
    <row r="360" spans="5:12" ht="12" customHeight="1">
      <c r="E360" s="621">
        <v>352</v>
      </c>
      <c r="F360" s="761"/>
      <c r="G360" s="762"/>
      <c r="H360" s="680"/>
      <c r="I360" s="764" t="str">
        <f t="shared" si="44"/>
        <v/>
      </c>
      <c r="J360" s="595"/>
      <c r="K360"/>
      <c r="L360" s="197"/>
    </row>
    <row r="361" spans="5:12" ht="12" customHeight="1">
      <c r="E361" s="621">
        <v>353</v>
      </c>
      <c r="F361" s="761"/>
      <c r="G361" s="762"/>
      <c r="H361" s="680"/>
      <c r="I361" s="764" t="str">
        <f t="shared" si="44"/>
        <v/>
      </c>
      <c r="J361" s="595"/>
      <c r="K361"/>
      <c r="L361" s="197"/>
    </row>
    <row r="362" spans="5:12" ht="12" customHeight="1">
      <c r="E362" s="621">
        <v>354</v>
      </c>
      <c r="F362" s="761"/>
      <c r="G362" s="762"/>
      <c r="H362" s="680"/>
      <c r="I362" s="764" t="str">
        <f t="shared" si="44"/>
        <v/>
      </c>
      <c r="J362" s="595"/>
      <c r="K362"/>
      <c r="L362" s="197"/>
    </row>
    <row r="363" spans="5:12" ht="12" customHeight="1">
      <c r="E363" s="621">
        <v>355</v>
      </c>
      <c r="F363" s="761"/>
      <c r="G363" s="762"/>
      <c r="H363" s="680"/>
      <c r="I363" s="764" t="str">
        <f t="shared" si="44"/>
        <v/>
      </c>
      <c r="J363" s="595"/>
      <c r="K363"/>
      <c r="L363" s="197"/>
    </row>
    <row r="364" spans="5:12" ht="12" customHeight="1">
      <c r="E364" s="621">
        <v>356</v>
      </c>
      <c r="F364" s="761"/>
      <c r="G364" s="762"/>
      <c r="H364" s="680"/>
      <c r="I364" s="764" t="str">
        <f t="shared" si="44"/>
        <v/>
      </c>
      <c r="J364" s="595"/>
      <c r="K364"/>
      <c r="L364" s="197"/>
    </row>
    <row r="365" spans="5:12" ht="12" customHeight="1">
      <c r="E365" s="621">
        <v>357</v>
      </c>
      <c r="F365" s="761"/>
      <c r="G365" s="762"/>
      <c r="H365" s="680"/>
      <c r="I365" s="764" t="str">
        <f t="shared" si="44"/>
        <v/>
      </c>
      <c r="J365" s="595"/>
      <c r="K365"/>
      <c r="L365" s="197"/>
    </row>
    <row r="366" spans="5:12" ht="12" customHeight="1">
      <c r="E366" s="621">
        <v>358</v>
      </c>
      <c r="F366" s="761"/>
      <c r="G366" s="762"/>
      <c r="H366" s="680"/>
      <c r="I366" s="764" t="str">
        <f t="shared" si="44"/>
        <v/>
      </c>
      <c r="J366" s="595"/>
      <c r="K366"/>
      <c r="L366" s="197"/>
    </row>
    <row r="367" spans="5:12" ht="12" customHeight="1">
      <c r="E367" s="621">
        <v>359</v>
      </c>
      <c r="F367" s="761"/>
      <c r="G367" s="762"/>
      <c r="H367" s="680"/>
      <c r="I367" s="764" t="str">
        <f t="shared" si="44"/>
        <v/>
      </c>
      <c r="J367" s="595"/>
      <c r="K367"/>
      <c r="L367" s="197"/>
    </row>
    <row r="368" spans="5:12" ht="12" customHeight="1">
      <c r="E368" s="621">
        <v>360</v>
      </c>
      <c r="F368" s="761"/>
      <c r="G368" s="762"/>
      <c r="H368" s="680"/>
      <c r="I368" s="764" t="str">
        <f t="shared" si="44"/>
        <v/>
      </c>
      <c r="J368" s="595"/>
      <c r="K368"/>
      <c r="L368" s="197"/>
    </row>
    <row r="369" spans="5:12" ht="12" customHeight="1">
      <c r="E369" s="621">
        <v>361</v>
      </c>
      <c r="F369" s="761"/>
      <c r="G369" s="762"/>
      <c r="H369" s="680"/>
      <c r="I369" s="764" t="str">
        <f t="shared" si="44"/>
        <v/>
      </c>
      <c r="J369" s="595"/>
      <c r="K369"/>
      <c r="L369" s="197"/>
    </row>
    <row r="370" spans="5:12" ht="12" customHeight="1">
      <c r="E370" s="621">
        <v>362</v>
      </c>
      <c r="F370" s="761"/>
      <c r="G370" s="762"/>
      <c r="H370" s="680"/>
      <c r="I370" s="764" t="str">
        <f t="shared" si="44"/>
        <v/>
      </c>
      <c r="J370" s="595"/>
      <c r="K370"/>
      <c r="L370" s="197"/>
    </row>
    <row r="371" spans="5:12" ht="12" customHeight="1">
      <c r="E371" s="621">
        <v>363</v>
      </c>
      <c r="F371" s="761"/>
      <c r="G371" s="762"/>
      <c r="H371" s="680"/>
      <c r="I371" s="764" t="str">
        <f t="shared" si="44"/>
        <v/>
      </c>
      <c r="J371" s="595"/>
      <c r="K371"/>
      <c r="L371" s="197"/>
    </row>
    <row r="372" spans="5:12" ht="12" customHeight="1">
      <c r="E372" s="621">
        <v>364</v>
      </c>
      <c r="F372" s="761"/>
      <c r="G372" s="762"/>
      <c r="H372" s="680"/>
      <c r="I372" s="764" t="str">
        <f t="shared" si="44"/>
        <v/>
      </c>
      <c r="J372" s="595"/>
      <c r="K372"/>
      <c r="L372" s="197"/>
    </row>
    <row r="373" spans="5:12" ht="12" customHeight="1">
      <c r="E373" s="621">
        <v>365</v>
      </c>
      <c r="F373" s="761"/>
      <c r="G373" s="762"/>
      <c r="H373" s="680"/>
      <c r="I373" s="764" t="str">
        <f t="shared" si="44"/>
        <v/>
      </c>
      <c r="J373" s="595"/>
      <c r="K373"/>
      <c r="L373" s="197"/>
    </row>
    <row r="374" spans="5:12" ht="12" customHeight="1">
      <c r="E374" s="621">
        <v>366</v>
      </c>
      <c r="F374" s="761"/>
      <c r="G374" s="762"/>
      <c r="H374" s="680"/>
      <c r="I374" s="764" t="str">
        <f t="shared" si="44"/>
        <v/>
      </c>
      <c r="J374" s="595"/>
      <c r="K374"/>
      <c r="L374" s="197"/>
    </row>
    <row r="375" spans="5:12" ht="12" customHeight="1">
      <c r="E375" s="621">
        <v>367</v>
      </c>
      <c r="F375" s="761"/>
      <c r="G375" s="762"/>
      <c r="H375" s="680"/>
      <c r="I375" s="764" t="str">
        <f t="shared" si="44"/>
        <v/>
      </c>
      <c r="J375" s="595"/>
      <c r="K375"/>
      <c r="L375" s="197"/>
    </row>
    <row r="376" spans="5:12" ht="12" customHeight="1">
      <c r="E376" s="621">
        <v>368</v>
      </c>
      <c r="F376" s="761"/>
      <c r="G376" s="762"/>
      <c r="H376" s="680"/>
      <c r="I376" s="764" t="str">
        <f t="shared" si="44"/>
        <v/>
      </c>
      <c r="J376" s="595"/>
      <c r="K376"/>
      <c r="L376" s="197"/>
    </row>
    <row r="377" spans="5:12" ht="12" customHeight="1">
      <c r="E377" s="621">
        <v>369</v>
      </c>
      <c r="F377" s="761"/>
      <c r="G377" s="762"/>
      <c r="H377" s="680"/>
      <c r="I377" s="764" t="str">
        <f t="shared" si="44"/>
        <v/>
      </c>
      <c r="J377" s="595"/>
      <c r="K377"/>
      <c r="L377" s="197"/>
    </row>
    <row r="378" spans="5:12" ht="12" customHeight="1">
      <c r="E378" s="621">
        <v>370</v>
      </c>
      <c r="F378" s="761"/>
      <c r="G378" s="762"/>
      <c r="H378" s="680"/>
      <c r="I378" s="764" t="str">
        <f t="shared" si="44"/>
        <v/>
      </c>
      <c r="J378" s="595"/>
      <c r="K378"/>
      <c r="L378" s="197"/>
    </row>
    <row r="379" spans="5:12" ht="12" customHeight="1">
      <c r="E379" s="621">
        <v>371</v>
      </c>
      <c r="F379" s="761"/>
      <c r="G379" s="762"/>
      <c r="H379" s="680"/>
      <c r="I379" s="764" t="str">
        <f t="shared" si="44"/>
        <v/>
      </c>
      <c r="J379" s="595"/>
      <c r="K379"/>
      <c r="L379" s="197"/>
    </row>
    <row r="380" spans="5:12" ht="12" customHeight="1">
      <c r="E380" s="621">
        <v>372</v>
      </c>
      <c r="F380" s="761"/>
      <c r="G380" s="762"/>
      <c r="H380" s="680"/>
      <c r="I380" s="764" t="str">
        <f t="shared" si="44"/>
        <v/>
      </c>
      <c r="J380" s="595"/>
      <c r="K380"/>
      <c r="L380" s="197"/>
    </row>
    <row r="381" spans="5:12" ht="12" customHeight="1">
      <c r="E381" s="621">
        <v>373</v>
      </c>
      <c r="F381" s="761"/>
      <c r="G381" s="762"/>
      <c r="H381" s="680"/>
      <c r="I381" s="764" t="str">
        <f t="shared" si="44"/>
        <v/>
      </c>
      <c r="J381" s="595"/>
      <c r="K381"/>
      <c r="L381" s="197"/>
    </row>
    <row r="382" spans="5:12" ht="12" customHeight="1">
      <c r="E382" s="621">
        <v>374</v>
      </c>
      <c r="F382" s="761"/>
      <c r="G382" s="762"/>
      <c r="H382" s="680"/>
      <c r="I382" s="764" t="str">
        <f t="shared" si="44"/>
        <v/>
      </c>
      <c r="J382" s="595"/>
      <c r="K382"/>
      <c r="L382" s="197"/>
    </row>
    <row r="383" spans="5:12" ht="12" customHeight="1">
      <c r="E383" s="621">
        <v>375</v>
      </c>
      <c r="F383" s="761"/>
      <c r="G383" s="762"/>
      <c r="H383" s="680"/>
      <c r="I383" s="764" t="str">
        <f t="shared" si="44"/>
        <v/>
      </c>
      <c r="J383" s="595"/>
      <c r="K383"/>
      <c r="L383" s="197"/>
    </row>
    <row r="384" spans="5:12" ht="12" customHeight="1">
      <c r="E384" s="621">
        <v>376</v>
      </c>
      <c r="F384" s="761"/>
      <c r="G384" s="762"/>
      <c r="H384" s="680"/>
      <c r="I384" s="764" t="str">
        <f t="shared" si="44"/>
        <v/>
      </c>
      <c r="J384" s="595"/>
      <c r="K384"/>
      <c r="L384" s="197"/>
    </row>
    <row r="385" spans="5:12" ht="12" customHeight="1">
      <c r="E385" s="621">
        <v>377</v>
      </c>
      <c r="F385" s="761"/>
      <c r="G385" s="762"/>
      <c r="H385" s="680"/>
      <c r="I385" s="764" t="str">
        <f t="shared" si="44"/>
        <v/>
      </c>
      <c r="J385" s="595"/>
      <c r="K385"/>
      <c r="L385" s="197"/>
    </row>
    <row r="386" spans="5:12" ht="12" customHeight="1">
      <c r="E386" s="621">
        <v>378</v>
      </c>
      <c r="F386" s="761"/>
      <c r="G386" s="762"/>
      <c r="H386" s="680"/>
      <c r="I386" s="764" t="str">
        <f t="shared" si="44"/>
        <v/>
      </c>
      <c r="J386" s="595"/>
      <c r="K386"/>
      <c r="L386" s="197"/>
    </row>
    <row r="387" spans="5:12" ht="12" customHeight="1">
      <c r="E387" s="621">
        <v>379</v>
      </c>
      <c r="F387" s="761"/>
      <c r="G387" s="762"/>
      <c r="H387" s="680"/>
      <c r="I387" s="764" t="str">
        <f t="shared" si="44"/>
        <v/>
      </c>
      <c r="J387" s="595"/>
      <c r="K387"/>
      <c r="L387" s="197"/>
    </row>
    <row r="388" spans="5:12" ht="12" customHeight="1">
      <c r="E388" s="621">
        <v>380</v>
      </c>
      <c r="F388" s="761"/>
      <c r="G388" s="762"/>
      <c r="H388" s="680"/>
      <c r="I388" s="764" t="str">
        <f t="shared" si="44"/>
        <v/>
      </c>
      <c r="J388" s="595"/>
      <c r="K388"/>
      <c r="L388" s="197"/>
    </row>
    <row r="389" spans="5:12" ht="12" customHeight="1">
      <c r="E389" s="621">
        <v>381</v>
      </c>
      <c r="F389" s="761"/>
      <c r="G389" s="762"/>
      <c r="H389" s="680"/>
      <c r="I389" s="764" t="str">
        <f t="shared" si="44"/>
        <v/>
      </c>
      <c r="J389" s="595"/>
      <c r="K389"/>
      <c r="L389" s="197"/>
    </row>
    <row r="390" spans="5:12" ht="12" customHeight="1">
      <c r="E390" s="621">
        <v>382</v>
      </c>
      <c r="F390" s="761"/>
      <c r="G390" s="762"/>
      <c r="H390" s="680"/>
      <c r="I390" s="764" t="str">
        <f t="shared" si="44"/>
        <v/>
      </c>
      <c r="J390" s="595"/>
      <c r="K390"/>
      <c r="L390" s="197"/>
    </row>
    <row r="391" spans="5:12" ht="12" customHeight="1">
      <c r="E391" s="621">
        <v>383</v>
      </c>
      <c r="F391" s="761"/>
      <c r="G391" s="762"/>
      <c r="H391" s="680"/>
      <c r="I391" s="764" t="str">
        <f t="shared" si="44"/>
        <v/>
      </c>
      <c r="J391" s="595"/>
      <c r="K391"/>
      <c r="L391" s="197"/>
    </row>
    <row r="392" spans="5:12" ht="12" customHeight="1">
      <c r="E392" s="621">
        <v>384</v>
      </c>
      <c r="F392" s="761"/>
      <c r="G392" s="762"/>
      <c r="H392" s="680"/>
      <c r="I392" s="764" t="str">
        <f t="shared" si="44"/>
        <v/>
      </c>
      <c r="J392" s="595"/>
      <c r="K392"/>
      <c r="L392" s="197"/>
    </row>
    <row r="393" spans="5:12" ht="12" customHeight="1">
      <c r="E393" s="621">
        <v>385</v>
      </c>
      <c r="F393" s="761"/>
      <c r="G393" s="762"/>
      <c r="H393" s="680"/>
      <c r="I393" s="764" t="str">
        <f t="shared" ref="I393:I456" si="45">IF(AND(F393&lt;&gt;"",G393&lt;&gt;""),G393-F393,"")</f>
        <v/>
      </c>
      <c r="J393" s="595"/>
      <c r="K393"/>
      <c r="L393" s="197"/>
    </row>
    <row r="394" spans="5:12" ht="12" customHeight="1">
      <c r="E394" s="621">
        <v>386</v>
      </c>
      <c r="F394" s="761"/>
      <c r="G394" s="762"/>
      <c r="H394" s="680"/>
      <c r="I394" s="764" t="str">
        <f t="shared" si="45"/>
        <v/>
      </c>
      <c r="J394" s="595"/>
      <c r="K394"/>
      <c r="L394" s="197"/>
    </row>
    <row r="395" spans="5:12" ht="12" customHeight="1">
      <c r="E395" s="621">
        <v>387</v>
      </c>
      <c r="F395" s="761"/>
      <c r="G395" s="762"/>
      <c r="H395" s="680"/>
      <c r="I395" s="764" t="str">
        <f t="shared" si="45"/>
        <v/>
      </c>
      <c r="J395" s="595"/>
      <c r="K395"/>
      <c r="L395" s="197"/>
    </row>
    <row r="396" spans="5:12" ht="12" customHeight="1">
      <c r="E396" s="621">
        <v>388</v>
      </c>
      <c r="F396" s="761"/>
      <c r="G396" s="762"/>
      <c r="H396" s="680"/>
      <c r="I396" s="764" t="str">
        <f t="shared" si="45"/>
        <v/>
      </c>
      <c r="J396" s="595"/>
      <c r="K396"/>
      <c r="L396" s="197"/>
    </row>
    <row r="397" spans="5:12" ht="12" customHeight="1">
      <c r="E397" s="621">
        <v>389</v>
      </c>
      <c r="F397" s="761"/>
      <c r="G397" s="762"/>
      <c r="H397" s="680"/>
      <c r="I397" s="764" t="str">
        <f t="shared" si="45"/>
        <v/>
      </c>
      <c r="J397" s="595"/>
      <c r="K397"/>
      <c r="L397" s="197"/>
    </row>
    <row r="398" spans="5:12" ht="12" customHeight="1">
      <c r="E398" s="621">
        <v>390</v>
      </c>
      <c r="F398" s="761"/>
      <c r="G398" s="762"/>
      <c r="H398" s="680"/>
      <c r="I398" s="764" t="str">
        <f t="shared" si="45"/>
        <v/>
      </c>
      <c r="J398" s="595"/>
      <c r="K398"/>
      <c r="L398" s="197"/>
    </row>
    <row r="399" spans="5:12" ht="12" customHeight="1">
      <c r="E399" s="621">
        <v>391</v>
      </c>
      <c r="F399" s="761"/>
      <c r="G399" s="762"/>
      <c r="H399" s="680"/>
      <c r="I399" s="764" t="str">
        <f t="shared" si="45"/>
        <v/>
      </c>
      <c r="J399" s="595"/>
      <c r="K399"/>
      <c r="L399" s="197"/>
    </row>
    <row r="400" spans="5:12" ht="12" customHeight="1">
      <c r="E400" s="621">
        <v>392</v>
      </c>
      <c r="F400" s="761"/>
      <c r="G400" s="762"/>
      <c r="H400" s="680"/>
      <c r="I400" s="764" t="str">
        <f t="shared" si="45"/>
        <v/>
      </c>
      <c r="J400" s="595"/>
      <c r="K400"/>
      <c r="L400" s="197"/>
    </row>
    <row r="401" spans="5:12" ht="12" customHeight="1">
      <c r="E401" s="621">
        <v>393</v>
      </c>
      <c r="F401" s="761"/>
      <c r="G401" s="762"/>
      <c r="H401" s="680"/>
      <c r="I401" s="764" t="str">
        <f t="shared" si="45"/>
        <v/>
      </c>
      <c r="J401" s="595"/>
      <c r="K401"/>
      <c r="L401" s="197"/>
    </row>
    <row r="402" spans="5:12" ht="12" customHeight="1">
      <c r="E402" s="621">
        <v>394</v>
      </c>
      <c r="F402" s="761"/>
      <c r="G402" s="762"/>
      <c r="H402" s="680"/>
      <c r="I402" s="764" t="str">
        <f t="shared" si="45"/>
        <v/>
      </c>
      <c r="J402" s="595"/>
      <c r="K402"/>
      <c r="L402" s="197"/>
    </row>
    <row r="403" spans="5:12" ht="12" customHeight="1">
      <c r="E403" s="621">
        <v>395</v>
      </c>
      <c r="F403" s="761"/>
      <c r="G403" s="762"/>
      <c r="H403" s="680"/>
      <c r="I403" s="764" t="str">
        <f t="shared" si="45"/>
        <v/>
      </c>
      <c r="J403" s="595"/>
      <c r="K403"/>
      <c r="L403" s="197"/>
    </row>
    <row r="404" spans="5:12" ht="12" customHeight="1">
      <c r="E404" s="621">
        <v>396</v>
      </c>
      <c r="F404" s="761"/>
      <c r="G404" s="762"/>
      <c r="H404" s="680"/>
      <c r="I404" s="764" t="str">
        <f t="shared" si="45"/>
        <v/>
      </c>
      <c r="J404" s="595"/>
      <c r="K404"/>
      <c r="L404" s="197"/>
    </row>
    <row r="405" spans="5:12" ht="12" customHeight="1">
      <c r="E405" s="621">
        <v>397</v>
      </c>
      <c r="F405" s="761"/>
      <c r="G405" s="762"/>
      <c r="H405" s="680"/>
      <c r="I405" s="764" t="str">
        <f t="shared" si="45"/>
        <v/>
      </c>
      <c r="J405" s="595"/>
      <c r="K405"/>
      <c r="L405" s="197"/>
    </row>
    <row r="406" spans="5:12" ht="12" customHeight="1">
      <c r="E406" s="621">
        <v>398</v>
      </c>
      <c r="F406" s="761"/>
      <c r="G406" s="762"/>
      <c r="H406" s="680"/>
      <c r="I406" s="764" t="str">
        <f t="shared" si="45"/>
        <v/>
      </c>
      <c r="J406" s="595"/>
      <c r="K406"/>
      <c r="L406" s="197"/>
    </row>
    <row r="407" spans="5:12" ht="12" customHeight="1">
      <c r="E407" s="621">
        <v>399</v>
      </c>
      <c r="F407" s="761"/>
      <c r="G407" s="762"/>
      <c r="H407" s="680"/>
      <c r="I407" s="764" t="str">
        <f t="shared" si="45"/>
        <v/>
      </c>
      <c r="J407" s="595"/>
      <c r="K407"/>
      <c r="L407" s="197"/>
    </row>
    <row r="408" spans="5:12" ht="12" customHeight="1">
      <c r="E408" s="621">
        <v>400</v>
      </c>
      <c r="F408" s="761"/>
      <c r="G408" s="762"/>
      <c r="H408" s="680"/>
      <c r="I408" s="764" t="str">
        <f t="shared" si="45"/>
        <v/>
      </c>
      <c r="J408" s="595"/>
      <c r="K408"/>
      <c r="L408" s="197"/>
    </row>
    <row r="409" spans="5:12" ht="12" customHeight="1">
      <c r="E409" s="621">
        <v>401</v>
      </c>
      <c r="F409" s="761"/>
      <c r="G409" s="762"/>
      <c r="H409" s="680"/>
      <c r="I409" s="764" t="str">
        <f t="shared" si="45"/>
        <v/>
      </c>
      <c r="J409" s="595"/>
      <c r="K409"/>
      <c r="L409" s="197"/>
    </row>
    <row r="410" spans="5:12" ht="12" customHeight="1">
      <c r="E410" s="621">
        <v>402</v>
      </c>
      <c r="F410" s="761"/>
      <c r="G410" s="762"/>
      <c r="H410" s="680"/>
      <c r="I410" s="764" t="str">
        <f t="shared" si="45"/>
        <v/>
      </c>
      <c r="J410" s="595"/>
      <c r="K410"/>
      <c r="L410" s="197"/>
    </row>
    <row r="411" spans="5:12" ht="12" customHeight="1">
      <c r="E411" s="621">
        <v>403</v>
      </c>
      <c r="F411" s="761"/>
      <c r="G411" s="762"/>
      <c r="H411" s="680"/>
      <c r="I411" s="764" t="str">
        <f t="shared" si="45"/>
        <v/>
      </c>
      <c r="J411" s="595"/>
      <c r="K411"/>
      <c r="L411" s="197"/>
    </row>
    <row r="412" spans="5:12" ht="12" customHeight="1">
      <c r="E412" s="621">
        <v>404</v>
      </c>
      <c r="F412" s="761"/>
      <c r="G412" s="762"/>
      <c r="H412" s="680"/>
      <c r="I412" s="764" t="str">
        <f t="shared" si="45"/>
        <v/>
      </c>
      <c r="J412" s="595"/>
      <c r="K412"/>
      <c r="L412" s="197"/>
    </row>
    <row r="413" spans="5:12" ht="12" customHeight="1">
      <c r="E413" s="621">
        <v>405</v>
      </c>
      <c r="F413" s="761"/>
      <c r="G413" s="762"/>
      <c r="H413" s="680"/>
      <c r="I413" s="764" t="str">
        <f t="shared" si="45"/>
        <v/>
      </c>
      <c r="J413" s="595"/>
      <c r="K413"/>
      <c r="L413" s="197"/>
    </row>
    <row r="414" spans="5:12" ht="12" customHeight="1">
      <c r="E414" s="621">
        <v>406</v>
      </c>
      <c r="F414" s="761"/>
      <c r="G414" s="762"/>
      <c r="H414" s="680"/>
      <c r="I414" s="764" t="str">
        <f t="shared" si="45"/>
        <v/>
      </c>
      <c r="J414" s="595"/>
      <c r="K414"/>
      <c r="L414" s="197"/>
    </row>
    <row r="415" spans="5:12" ht="12" customHeight="1">
      <c r="E415" s="621">
        <v>407</v>
      </c>
      <c r="F415" s="761"/>
      <c r="G415" s="762"/>
      <c r="H415" s="680"/>
      <c r="I415" s="764" t="str">
        <f t="shared" si="45"/>
        <v/>
      </c>
      <c r="J415" s="595"/>
      <c r="K415"/>
      <c r="L415" s="197"/>
    </row>
    <row r="416" spans="5:12" ht="12" customHeight="1">
      <c r="E416" s="621">
        <v>408</v>
      </c>
      <c r="F416" s="761"/>
      <c r="G416" s="762"/>
      <c r="H416" s="680"/>
      <c r="I416" s="764" t="str">
        <f t="shared" si="45"/>
        <v/>
      </c>
      <c r="J416" s="595"/>
      <c r="K416"/>
      <c r="L416" s="197"/>
    </row>
    <row r="417" spans="5:12" ht="12" customHeight="1">
      <c r="E417" s="621">
        <v>409</v>
      </c>
      <c r="F417" s="761"/>
      <c r="G417" s="762"/>
      <c r="H417" s="680"/>
      <c r="I417" s="764" t="str">
        <f t="shared" si="45"/>
        <v/>
      </c>
      <c r="J417" s="595"/>
      <c r="K417"/>
      <c r="L417" s="197"/>
    </row>
    <row r="418" spans="5:12" ht="12" customHeight="1">
      <c r="E418" s="621">
        <v>410</v>
      </c>
      <c r="F418" s="761"/>
      <c r="G418" s="762"/>
      <c r="H418" s="680"/>
      <c r="I418" s="764" t="str">
        <f t="shared" si="45"/>
        <v/>
      </c>
      <c r="J418" s="595"/>
      <c r="K418"/>
      <c r="L418" s="197"/>
    </row>
    <row r="419" spans="5:12" ht="12" customHeight="1">
      <c r="E419" s="621">
        <v>411</v>
      </c>
      <c r="F419" s="761"/>
      <c r="G419" s="762"/>
      <c r="H419" s="680"/>
      <c r="I419" s="764" t="str">
        <f t="shared" si="45"/>
        <v/>
      </c>
      <c r="J419" s="595"/>
      <c r="K419"/>
      <c r="L419" s="197"/>
    </row>
    <row r="420" spans="5:12" ht="12" customHeight="1">
      <c r="E420" s="621">
        <v>412</v>
      </c>
      <c r="F420" s="761"/>
      <c r="G420" s="762"/>
      <c r="H420" s="680"/>
      <c r="I420" s="764" t="str">
        <f t="shared" si="45"/>
        <v/>
      </c>
      <c r="J420" s="595"/>
      <c r="K420"/>
      <c r="L420" s="197"/>
    </row>
    <row r="421" spans="5:12" ht="12" customHeight="1">
      <c r="E421" s="621">
        <v>413</v>
      </c>
      <c r="F421" s="761"/>
      <c r="G421" s="762"/>
      <c r="H421" s="680"/>
      <c r="I421" s="764" t="str">
        <f t="shared" si="45"/>
        <v/>
      </c>
      <c r="J421" s="595"/>
      <c r="K421"/>
      <c r="L421" s="197"/>
    </row>
    <row r="422" spans="5:12" ht="12" customHeight="1">
      <c r="E422" s="621">
        <v>414</v>
      </c>
      <c r="F422" s="761"/>
      <c r="G422" s="762"/>
      <c r="H422" s="680"/>
      <c r="I422" s="764" t="str">
        <f t="shared" si="45"/>
        <v/>
      </c>
      <c r="J422" s="595"/>
      <c r="K422"/>
      <c r="L422" s="197"/>
    </row>
    <row r="423" spans="5:12" ht="12" customHeight="1">
      <c r="E423" s="621">
        <v>415</v>
      </c>
      <c r="F423" s="761"/>
      <c r="G423" s="762"/>
      <c r="H423" s="680"/>
      <c r="I423" s="764" t="str">
        <f t="shared" si="45"/>
        <v/>
      </c>
      <c r="J423" s="595"/>
      <c r="K423"/>
      <c r="L423" s="197"/>
    </row>
    <row r="424" spans="5:12" ht="12" customHeight="1">
      <c r="E424" s="621">
        <v>416</v>
      </c>
      <c r="F424" s="761"/>
      <c r="G424" s="762"/>
      <c r="H424" s="680"/>
      <c r="I424" s="764" t="str">
        <f t="shared" si="45"/>
        <v/>
      </c>
      <c r="J424" s="595"/>
      <c r="K424"/>
      <c r="L424" s="197"/>
    </row>
    <row r="425" spans="5:12" ht="12" customHeight="1">
      <c r="E425" s="621">
        <v>417</v>
      </c>
      <c r="F425" s="761"/>
      <c r="G425" s="762"/>
      <c r="H425" s="680"/>
      <c r="I425" s="764" t="str">
        <f t="shared" si="45"/>
        <v/>
      </c>
      <c r="J425" s="595"/>
      <c r="K425"/>
      <c r="L425" s="197"/>
    </row>
    <row r="426" spans="5:12" ht="12" customHeight="1">
      <c r="E426" s="621">
        <v>418</v>
      </c>
      <c r="F426" s="761"/>
      <c r="G426" s="762"/>
      <c r="H426" s="680"/>
      <c r="I426" s="764" t="str">
        <f t="shared" si="45"/>
        <v/>
      </c>
      <c r="J426" s="595"/>
      <c r="K426"/>
      <c r="L426" s="197"/>
    </row>
    <row r="427" spans="5:12" ht="12" customHeight="1">
      <c r="E427" s="621">
        <v>419</v>
      </c>
      <c r="F427" s="761"/>
      <c r="G427" s="762"/>
      <c r="H427" s="680"/>
      <c r="I427" s="764" t="str">
        <f t="shared" si="45"/>
        <v/>
      </c>
      <c r="J427" s="595"/>
      <c r="K427"/>
      <c r="L427" s="197"/>
    </row>
    <row r="428" spans="5:12" ht="12" customHeight="1">
      <c r="E428" s="621">
        <v>420</v>
      </c>
      <c r="F428" s="761"/>
      <c r="G428" s="762"/>
      <c r="H428" s="680"/>
      <c r="I428" s="764" t="str">
        <f t="shared" si="45"/>
        <v/>
      </c>
      <c r="J428" s="595"/>
      <c r="K428"/>
      <c r="L428" s="197"/>
    </row>
    <row r="429" spans="5:12" ht="12" customHeight="1">
      <c r="E429" s="621">
        <v>421</v>
      </c>
      <c r="F429" s="761"/>
      <c r="G429" s="762"/>
      <c r="H429" s="680"/>
      <c r="I429" s="764" t="str">
        <f t="shared" si="45"/>
        <v/>
      </c>
      <c r="J429" s="595"/>
      <c r="K429"/>
      <c r="L429" s="197"/>
    </row>
    <row r="430" spans="5:12" ht="12" customHeight="1">
      <c r="E430" s="621">
        <v>422</v>
      </c>
      <c r="F430" s="761"/>
      <c r="G430" s="762"/>
      <c r="H430" s="680"/>
      <c r="I430" s="764" t="str">
        <f t="shared" si="45"/>
        <v/>
      </c>
      <c r="J430" s="595"/>
      <c r="K430"/>
      <c r="L430" s="197"/>
    </row>
    <row r="431" spans="5:12" ht="12" customHeight="1">
      <c r="E431" s="621">
        <v>423</v>
      </c>
      <c r="F431" s="761"/>
      <c r="G431" s="762"/>
      <c r="H431" s="680"/>
      <c r="I431" s="764" t="str">
        <f t="shared" si="45"/>
        <v/>
      </c>
      <c r="J431" s="595"/>
      <c r="K431"/>
      <c r="L431" s="197"/>
    </row>
    <row r="432" spans="5:12" ht="12" customHeight="1">
      <c r="E432" s="621">
        <v>424</v>
      </c>
      <c r="F432" s="761"/>
      <c r="G432" s="762"/>
      <c r="H432" s="680"/>
      <c r="I432" s="764" t="str">
        <f t="shared" si="45"/>
        <v/>
      </c>
      <c r="J432" s="595"/>
      <c r="K432"/>
      <c r="L432" s="197"/>
    </row>
    <row r="433" spans="5:12" ht="12" customHeight="1">
      <c r="E433" s="621">
        <v>425</v>
      </c>
      <c r="F433" s="761"/>
      <c r="G433" s="762"/>
      <c r="H433" s="680"/>
      <c r="I433" s="764" t="str">
        <f t="shared" si="45"/>
        <v/>
      </c>
      <c r="J433" s="595"/>
      <c r="K433"/>
      <c r="L433" s="197"/>
    </row>
    <row r="434" spans="5:12" ht="12" customHeight="1">
      <c r="E434" s="621">
        <v>426</v>
      </c>
      <c r="F434" s="761"/>
      <c r="G434" s="762"/>
      <c r="H434" s="680"/>
      <c r="I434" s="764" t="str">
        <f t="shared" si="45"/>
        <v/>
      </c>
      <c r="J434" s="595"/>
      <c r="K434"/>
      <c r="L434" s="197"/>
    </row>
    <row r="435" spans="5:12" ht="12" customHeight="1">
      <c r="E435" s="621">
        <v>427</v>
      </c>
      <c r="F435" s="761"/>
      <c r="G435" s="762"/>
      <c r="H435" s="680"/>
      <c r="I435" s="764" t="str">
        <f t="shared" si="45"/>
        <v/>
      </c>
      <c r="J435" s="595"/>
      <c r="K435"/>
      <c r="L435" s="197"/>
    </row>
    <row r="436" spans="5:12" ht="12" customHeight="1">
      <c r="E436" s="621">
        <v>428</v>
      </c>
      <c r="F436" s="761"/>
      <c r="G436" s="762"/>
      <c r="H436" s="680"/>
      <c r="I436" s="764" t="str">
        <f t="shared" si="45"/>
        <v/>
      </c>
      <c r="J436" s="595"/>
      <c r="K436"/>
      <c r="L436" s="197"/>
    </row>
    <row r="437" spans="5:12" ht="12" customHeight="1">
      <c r="E437" s="621">
        <v>429</v>
      </c>
      <c r="F437" s="761"/>
      <c r="G437" s="762"/>
      <c r="H437" s="680"/>
      <c r="I437" s="764" t="str">
        <f t="shared" si="45"/>
        <v/>
      </c>
      <c r="J437" s="595"/>
      <c r="K437"/>
      <c r="L437" s="197"/>
    </row>
    <row r="438" spans="5:12" ht="12" customHeight="1">
      <c r="E438" s="621">
        <v>430</v>
      </c>
      <c r="F438" s="761"/>
      <c r="G438" s="762"/>
      <c r="H438" s="680"/>
      <c r="I438" s="764" t="str">
        <f t="shared" si="45"/>
        <v/>
      </c>
      <c r="J438" s="595"/>
      <c r="K438"/>
      <c r="L438" s="197"/>
    </row>
    <row r="439" spans="5:12" ht="12" customHeight="1">
      <c r="E439" s="621">
        <v>431</v>
      </c>
      <c r="F439" s="761"/>
      <c r="G439" s="762"/>
      <c r="H439" s="680"/>
      <c r="I439" s="764" t="str">
        <f t="shared" si="45"/>
        <v/>
      </c>
      <c r="J439" s="595"/>
      <c r="K439"/>
      <c r="L439" s="197"/>
    </row>
    <row r="440" spans="5:12" ht="12" customHeight="1">
      <c r="E440" s="621">
        <v>432</v>
      </c>
      <c r="F440" s="761"/>
      <c r="G440" s="762"/>
      <c r="H440" s="680"/>
      <c r="I440" s="764" t="str">
        <f t="shared" si="45"/>
        <v/>
      </c>
      <c r="J440" s="595"/>
      <c r="K440"/>
      <c r="L440" s="197"/>
    </row>
    <row r="441" spans="5:12" ht="12" customHeight="1">
      <c r="E441" s="621">
        <v>433</v>
      </c>
      <c r="F441" s="761"/>
      <c r="G441" s="762"/>
      <c r="H441" s="680"/>
      <c r="I441" s="764" t="str">
        <f t="shared" si="45"/>
        <v/>
      </c>
      <c r="J441" s="595"/>
      <c r="K441"/>
      <c r="L441" s="197"/>
    </row>
    <row r="442" spans="5:12" ht="12" customHeight="1">
      <c r="E442" s="621">
        <v>434</v>
      </c>
      <c r="F442" s="761"/>
      <c r="G442" s="762"/>
      <c r="H442" s="680"/>
      <c r="I442" s="764" t="str">
        <f t="shared" si="45"/>
        <v/>
      </c>
      <c r="J442" s="595"/>
      <c r="K442"/>
      <c r="L442" s="197"/>
    </row>
    <row r="443" spans="5:12" ht="12" customHeight="1">
      <c r="E443" s="621">
        <v>435</v>
      </c>
      <c r="F443" s="761"/>
      <c r="G443" s="762"/>
      <c r="H443" s="680"/>
      <c r="I443" s="764" t="str">
        <f t="shared" si="45"/>
        <v/>
      </c>
      <c r="J443" s="595"/>
      <c r="K443"/>
      <c r="L443" s="197"/>
    </row>
    <row r="444" spans="5:12" ht="12" customHeight="1">
      <c r="E444" s="621">
        <v>436</v>
      </c>
      <c r="F444" s="761"/>
      <c r="G444" s="762"/>
      <c r="H444" s="680"/>
      <c r="I444" s="764" t="str">
        <f t="shared" si="45"/>
        <v/>
      </c>
      <c r="J444" s="595"/>
      <c r="K444"/>
      <c r="L444" s="197"/>
    </row>
    <row r="445" spans="5:12" ht="12" customHeight="1">
      <c r="E445" s="621">
        <v>437</v>
      </c>
      <c r="F445" s="761"/>
      <c r="G445" s="762"/>
      <c r="H445" s="680"/>
      <c r="I445" s="764" t="str">
        <f t="shared" si="45"/>
        <v/>
      </c>
      <c r="J445" s="595"/>
      <c r="K445"/>
      <c r="L445" s="197"/>
    </row>
    <row r="446" spans="5:12" ht="12" customHeight="1">
      <c r="E446" s="621">
        <v>438</v>
      </c>
      <c r="F446" s="761"/>
      <c r="G446" s="762"/>
      <c r="H446" s="680"/>
      <c r="I446" s="764" t="str">
        <f t="shared" si="45"/>
        <v/>
      </c>
      <c r="J446" s="595"/>
      <c r="K446"/>
      <c r="L446" s="197"/>
    </row>
    <row r="447" spans="5:12" ht="12" customHeight="1">
      <c r="E447" s="621">
        <v>439</v>
      </c>
      <c r="F447" s="761"/>
      <c r="G447" s="762"/>
      <c r="H447" s="680"/>
      <c r="I447" s="764" t="str">
        <f t="shared" si="45"/>
        <v/>
      </c>
      <c r="J447" s="595"/>
      <c r="K447"/>
      <c r="L447" s="197"/>
    </row>
    <row r="448" spans="5:12" ht="12" customHeight="1">
      <c r="E448" s="621">
        <v>440</v>
      </c>
      <c r="F448" s="761"/>
      <c r="G448" s="762"/>
      <c r="H448" s="680"/>
      <c r="I448" s="764" t="str">
        <f t="shared" si="45"/>
        <v/>
      </c>
      <c r="J448" s="595"/>
      <c r="K448"/>
      <c r="L448" s="197"/>
    </row>
    <row r="449" spans="5:12" ht="12" customHeight="1">
      <c r="E449" s="621">
        <v>441</v>
      </c>
      <c r="F449" s="761"/>
      <c r="G449" s="762"/>
      <c r="H449" s="680"/>
      <c r="I449" s="764" t="str">
        <f t="shared" si="45"/>
        <v/>
      </c>
      <c r="J449" s="595"/>
      <c r="K449"/>
      <c r="L449" s="197"/>
    </row>
    <row r="450" spans="5:12" ht="12" customHeight="1">
      <c r="E450" s="621">
        <v>442</v>
      </c>
      <c r="F450" s="761"/>
      <c r="G450" s="762"/>
      <c r="H450" s="680"/>
      <c r="I450" s="764" t="str">
        <f t="shared" si="45"/>
        <v/>
      </c>
      <c r="J450" s="595"/>
      <c r="K450"/>
      <c r="L450" s="197"/>
    </row>
    <row r="451" spans="5:12" ht="12" customHeight="1">
      <c r="E451" s="621">
        <v>443</v>
      </c>
      <c r="F451" s="761"/>
      <c r="G451" s="762"/>
      <c r="H451" s="680"/>
      <c r="I451" s="764" t="str">
        <f t="shared" si="45"/>
        <v/>
      </c>
      <c r="J451" s="595"/>
      <c r="K451"/>
      <c r="L451" s="197"/>
    </row>
    <row r="452" spans="5:12" ht="12" customHeight="1">
      <c r="E452" s="621">
        <v>444</v>
      </c>
      <c r="F452" s="761"/>
      <c r="G452" s="762"/>
      <c r="H452" s="680"/>
      <c r="I452" s="764" t="str">
        <f t="shared" si="45"/>
        <v/>
      </c>
      <c r="J452" s="595"/>
      <c r="K452"/>
      <c r="L452" s="197"/>
    </row>
    <row r="453" spans="5:12" ht="12" customHeight="1">
      <c r="E453" s="621">
        <v>445</v>
      </c>
      <c r="F453" s="761"/>
      <c r="G453" s="762"/>
      <c r="H453" s="680"/>
      <c r="I453" s="764" t="str">
        <f t="shared" si="45"/>
        <v/>
      </c>
      <c r="J453" s="595"/>
      <c r="K453"/>
      <c r="L453" s="197"/>
    </row>
    <row r="454" spans="5:12" ht="12" customHeight="1">
      <c r="E454" s="621">
        <v>446</v>
      </c>
      <c r="F454" s="761"/>
      <c r="G454" s="762"/>
      <c r="H454" s="680"/>
      <c r="I454" s="764" t="str">
        <f t="shared" si="45"/>
        <v/>
      </c>
      <c r="J454" s="595"/>
      <c r="K454"/>
      <c r="L454" s="197"/>
    </row>
    <row r="455" spans="5:12" ht="12" customHeight="1">
      <c r="E455" s="621">
        <v>447</v>
      </c>
      <c r="F455" s="761"/>
      <c r="G455" s="762"/>
      <c r="H455" s="680"/>
      <c r="I455" s="764" t="str">
        <f t="shared" si="45"/>
        <v/>
      </c>
      <c r="J455" s="595"/>
      <c r="K455"/>
      <c r="L455" s="197"/>
    </row>
    <row r="456" spans="5:12" ht="12" customHeight="1">
      <c r="E456" s="621">
        <v>448</v>
      </c>
      <c r="F456" s="761"/>
      <c r="G456" s="762"/>
      <c r="H456" s="680"/>
      <c r="I456" s="764" t="str">
        <f t="shared" si="45"/>
        <v/>
      </c>
      <c r="J456" s="595"/>
      <c r="K456"/>
      <c r="L456" s="197"/>
    </row>
    <row r="457" spans="5:12" ht="12" customHeight="1">
      <c r="E457" s="621">
        <v>449</v>
      </c>
      <c r="F457" s="761"/>
      <c r="G457" s="762"/>
      <c r="H457" s="680"/>
      <c r="I457" s="764" t="str">
        <f t="shared" ref="I457:I520" si="46">IF(AND(F457&lt;&gt;"",G457&lt;&gt;""),G457-F457,"")</f>
        <v/>
      </c>
      <c r="J457" s="595"/>
      <c r="K457"/>
      <c r="L457" s="197"/>
    </row>
    <row r="458" spans="5:12" ht="12" customHeight="1">
      <c r="E458" s="621">
        <v>450</v>
      </c>
      <c r="F458" s="761"/>
      <c r="G458" s="762"/>
      <c r="H458" s="680"/>
      <c r="I458" s="764" t="str">
        <f t="shared" si="46"/>
        <v/>
      </c>
      <c r="J458" s="595"/>
      <c r="K458"/>
      <c r="L458" s="197"/>
    </row>
    <row r="459" spans="5:12" ht="12" customHeight="1">
      <c r="E459" s="621">
        <v>451</v>
      </c>
      <c r="F459" s="761"/>
      <c r="G459" s="762"/>
      <c r="H459" s="680"/>
      <c r="I459" s="764" t="str">
        <f t="shared" si="46"/>
        <v/>
      </c>
      <c r="J459" s="595"/>
      <c r="K459"/>
      <c r="L459" s="197"/>
    </row>
    <row r="460" spans="5:12" ht="12" customHeight="1">
      <c r="E460" s="621">
        <v>452</v>
      </c>
      <c r="F460" s="761"/>
      <c r="G460" s="762"/>
      <c r="H460" s="680"/>
      <c r="I460" s="764" t="str">
        <f t="shared" si="46"/>
        <v/>
      </c>
      <c r="J460" s="595"/>
      <c r="K460"/>
      <c r="L460" s="197"/>
    </row>
    <row r="461" spans="5:12" ht="12" customHeight="1">
      <c r="E461" s="621">
        <v>453</v>
      </c>
      <c r="F461" s="761"/>
      <c r="G461" s="762"/>
      <c r="H461" s="680"/>
      <c r="I461" s="764" t="str">
        <f t="shared" si="46"/>
        <v/>
      </c>
      <c r="J461" s="595"/>
      <c r="K461"/>
      <c r="L461" s="197"/>
    </row>
    <row r="462" spans="5:12" ht="12" customHeight="1">
      <c r="E462" s="621">
        <v>454</v>
      </c>
      <c r="F462" s="761"/>
      <c r="G462" s="762"/>
      <c r="H462" s="680"/>
      <c r="I462" s="764" t="str">
        <f t="shared" si="46"/>
        <v/>
      </c>
      <c r="J462" s="595"/>
      <c r="K462"/>
      <c r="L462" s="197"/>
    </row>
    <row r="463" spans="5:12" ht="12" customHeight="1">
      <c r="E463" s="621">
        <v>455</v>
      </c>
      <c r="F463" s="761"/>
      <c r="G463" s="762"/>
      <c r="H463" s="680"/>
      <c r="I463" s="764" t="str">
        <f t="shared" si="46"/>
        <v/>
      </c>
      <c r="J463" s="595"/>
      <c r="K463"/>
      <c r="L463" s="197"/>
    </row>
    <row r="464" spans="5:12" ht="12" customHeight="1">
      <c r="E464" s="621">
        <v>456</v>
      </c>
      <c r="F464" s="761"/>
      <c r="G464" s="762"/>
      <c r="H464" s="680"/>
      <c r="I464" s="764" t="str">
        <f t="shared" si="46"/>
        <v/>
      </c>
      <c r="J464" s="595"/>
      <c r="K464"/>
      <c r="L464" s="197"/>
    </row>
    <row r="465" spans="5:12" ht="12" customHeight="1">
      <c r="E465" s="621">
        <v>457</v>
      </c>
      <c r="F465" s="761"/>
      <c r="G465" s="762"/>
      <c r="H465" s="680"/>
      <c r="I465" s="764" t="str">
        <f t="shared" si="46"/>
        <v/>
      </c>
      <c r="J465" s="595"/>
      <c r="K465"/>
      <c r="L465" s="197"/>
    </row>
    <row r="466" spans="5:12" ht="12" customHeight="1">
      <c r="E466" s="621">
        <v>458</v>
      </c>
      <c r="F466" s="761"/>
      <c r="G466" s="762"/>
      <c r="H466" s="680"/>
      <c r="I466" s="764" t="str">
        <f t="shared" si="46"/>
        <v/>
      </c>
      <c r="J466" s="595"/>
      <c r="K466"/>
      <c r="L466" s="197"/>
    </row>
    <row r="467" spans="5:12" ht="12" customHeight="1">
      <c r="E467" s="621">
        <v>459</v>
      </c>
      <c r="F467" s="761"/>
      <c r="G467" s="762"/>
      <c r="H467" s="680"/>
      <c r="I467" s="764" t="str">
        <f t="shared" si="46"/>
        <v/>
      </c>
      <c r="J467" s="595"/>
      <c r="K467"/>
      <c r="L467" s="197"/>
    </row>
    <row r="468" spans="5:12" ht="12" customHeight="1">
      <c r="E468" s="621">
        <v>460</v>
      </c>
      <c r="F468" s="761"/>
      <c r="G468" s="762"/>
      <c r="H468" s="680"/>
      <c r="I468" s="764" t="str">
        <f t="shared" si="46"/>
        <v/>
      </c>
      <c r="J468" s="595"/>
      <c r="K468"/>
      <c r="L468" s="197"/>
    </row>
    <row r="469" spans="5:12" ht="12" customHeight="1">
      <c r="E469" s="621">
        <v>461</v>
      </c>
      <c r="F469" s="761"/>
      <c r="G469" s="762"/>
      <c r="H469" s="680"/>
      <c r="I469" s="764" t="str">
        <f t="shared" si="46"/>
        <v/>
      </c>
      <c r="J469" s="595"/>
      <c r="K469"/>
      <c r="L469" s="197"/>
    </row>
    <row r="470" spans="5:12" ht="12" customHeight="1">
      <c r="E470" s="621">
        <v>462</v>
      </c>
      <c r="F470" s="761"/>
      <c r="G470" s="762"/>
      <c r="H470" s="680"/>
      <c r="I470" s="764" t="str">
        <f t="shared" si="46"/>
        <v/>
      </c>
      <c r="J470" s="595"/>
      <c r="K470"/>
      <c r="L470" s="197"/>
    </row>
    <row r="471" spans="5:12" ht="12" customHeight="1">
      <c r="E471" s="621">
        <v>463</v>
      </c>
      <c r="F471" s="761"/>
      <c r="G471" s="762"/>
      <c r="H471" s="680"/>
      <c r="I471" s="764" t="str">
        <f t="shared" si="46"/>
        <v/>
      </c>
      <c r="J471" s="595"/>
      <c r="K471"/>
      <c r="L471" s="197"/>
    </row>
    <row r="472" spans="5:12" ht="12" customHeight="1">
      <c r="E472" s="621">
        <v>464</v>
      </c>
      <c r="F472" s="761"/>
      <c r="G472" s="762"/>
      <c r="H472" s="680"/>
      <c r="I472" s="764" t="str">
        <f t="shared" si="46"/>
        <v/>
      </c>
      <c r="J472" s="595"/>
      <c r="K472"/>
      <c r="L472" s="197"/>
    </row>
    <row r="473" spans="5:12" ht="12" customHeight="1">
      <c r="E473" s="621">
        <v>465</v>
      </c>
      <c r="F473" s="761"/>
      <c r="G473" s="762"/>
      <c r="H473" s="680"/>
      <c r="I473" s="764" t="str">
        <f t="shared" si="46"/>
        <v/>
      </c>
      <c r="J473" s="595"/>
      <c r="K473"/>
      <c r="L473" s="197"/>
    </row>
    <row r="474" spans="5:12" ht="12" customHeight="1">
      <c r="E474" s="621">
        <v>466</v>
      </c>
      <c r="F474" s="761"/>
      <c r="G474" s="762"/>
      <c r="H474" s="680"/>
      <c r="I474" s="764" t="str">
        <f t="shared" si="46"/>
        <v/>
      </c>
      <c r="J474" s="595"/>
      <c r="K474"/>
      <c r="L474" s="197"/>
    </row>
    <row r="475" spans="5:12" ht="12" customHeight="1">
      <c r="E475" s="621">
        <v>467</v>
      </c>
      <c r="F475" s="761"/>
      <c r="G475" s="762"/>
      <c r="H475" s="680"/>
      <c r="I475" s="764" t="str">
        <f t="shared" si="46"/>
        <v/>
      </c>
      <c r="J475" s="595"/>
      <c r="K475"/>
      <c r="L475" s="197"/>
    </row>
    <row r="476" spans="5:12" ht="12" customHeight="1">
      <c r="E476" s="621">
        <v>468</v>
      </c>
      <c r="F476" s="761"/>
      <c r="G476" s="762"/>
      <c r="H476" s="680"/>
      <c r="I476" s="764" t="str">
        <f t="shared" si="46"/>
        <v/>
      </c>
      <c r="J476" s="595"/>
      <c r="K476"/>
      <c r="L476" s="197"/>
    </row>
    <row r="477" spans="5:12" ht="12" customHeight="1">
      <c r="E477" s="621">
        <v>469</v>
      </c>
      <c r="F477" s="761"/>
      <c r="G477" s="762"/>
      <c r="H477" s="680"/>
      <c r="I477" s="764" t="str">
        <f t="shared" si="46"/>
        <v/>
      </c>
      <c r="J477" s="595"/>
      <c r="K477"/>
      <c r="L477" s="197"/>
    </row>
    <row r="478" spans="5:12" ht="12" customHeight="1">
      <c r="E478" s="621">
        <v>470</v>
      </c>
      <c r="F478" s="761"/>
      <c r="G478" s="762"/>
      <c r="H478" s="680"/>
      <c r="I478" s="764" t="str">
        <f t="shared" si="46"/>
        <v/>
      </c>
      <c r="J478" s="595"/>
      <c r="K478"/>
      <c r="L478" s="197"/>
    </row>
    <row r="479" spans="5:12" ht="12" customHeight="1">
      <c r="E479" s="621">
        <v>471</v>
      </c>
      <c r="F479" s="761"/>
      <c r="G479" s="762"/>
      <c r="H479" s="680"/>
      <c r="I479" s="764" t="str">
        <f t="shared" si="46"/>
        <v/>
      </c>
      <c r="J479" s="595"/>
      <c r="K479"/>
      <c r="L479" s="197"/>
    </row>
    <row r="480" spans="5:12" ht="12" customHeight="1">
      <c r="E480" s="621">
        <v>472</v>
      </c>
      <c r="F480" s="761"/>
      <c r="G480" s="762"/>
      <c r="H480" s="680"/>
      <c r="I480" s="764" t="str">
        <f t="shared" si="46"/>
        <v/>
      </c>
      <c r="J480" s="595"/>
      <c r="K480"/>
      <c r="L480" s="197"/>
    </row>
    <row r="481" spans="5:12" ht="12" customHeight="1">
      <c r="E481" s="621">
        <v>473</v>
      </c>
      <c r="F481" s="761"/>
      <c r="G481" s="762"/>
      <c r="H481" s="680"/>
      <c r="I481" s="764" t="str">
        <f t="shared" si="46"/>
        <v/>
      </c>
      <c r="J481" s="595"/>
      <c r="K481"/>
      <c r="L481" s="197"/>
    </row>
    <row r="482" spans="5:12" ht="12" customHeight="1">
      <c r="E482" s="621">
        <v>474</v>
      </c>
      <c r="F482" s="761"/>
      <c r="G482" s="762"/>
      <c r="H482" s="680"/>
      <c r="I482" s="764" t="str">
        <f t="shared" si="46"/>
        <v/>
      </c>
      <c r="J482" s="595"/>
      <c r="K482"/>
      <c r="L482" s="197"/>
    </row>
    <row r="483" spans="5:12" ht="12" customHeight="1">
      <c r="E483" s="621">
        <v>475</v>
      </c>
      <c r="F483" s="761"/>
      <c r="G483" s="762"/>
      <c r="H483" s="680"/>
      <c r="I483" s="764" t="str">
        <f t="shared" si="46"/>
        <v/>
      </c>
      <c r="J483" s="595"/>
      <c r="K483"/>
      <c r="L483" s="197"/>
    </row>
    <row r="484" spans="5:12" ht="12" customHeight="1">
      <c r="E484" s="621">
        <v>476</v>
      </c>
      <c r="F484" s="761"/>
      <c r="G484" s="762"/>
      <c r="H484" s="680"/>
      <c r="I484" s="764" t="str">
        <f t="shared" si="46"/>
        <v/>
      </c>
      <c r="J484" s="595"/>
      <c r="K484"/>
      <c r="L484" s="197"/>
    </row>
    <row r="485" spans="5:12" ht="12" customHeight="1">
      <c r="E485" s="621">
        <v>477</v>
      </c>
      <c r="F485" s="761"/>
      <c r="G485" s="762"/>
      <c r="H485" s="680"/>
      <c r="I485" s="764" t="str">
        <f t="shared" si="46"/>
        <v/>
      </c>
      <c r="J485" s="595"/>
      <c r="K485"/>
      <c r="L485" s="197"/>
    </row>
    <row r="486" spans="5:12" ht="12" customHeight="1">
      <c r="E486" s="621">
        <v>478</v>
      </c>
      <c r="F486" s="761"/>
      <c r="G486" s="762"/>
      <c r="H486" s="680"/>
      <c r="I486" s="764" t="str">
        <f t="shared" si="46"/>
        <v/>
      </c>
      <c r="J486" s="595"/>
      <c r="K486"/>
      <c r="L486" s="197"/>
    </row>
    <row r="487" spans="5:12" ht="12" customHeight="1">
      <c r="E487" s="621">
        <v>479</v>
      </c>
      <c r="F487" s="761"/>
      <c r="G487" s="762"/>
      <c r="H487" s="680"/>
      <c r="I487" s="764" t="str">
        <f t="shared" si="46"/>
        <v/>
      </c>
      <c r="J487" s="595"/>
      <c r="K487"/>
      <c r="L487" s="197"/>
    </row>
    <row r="488" spans="5:12" ht="12" customHeight="1">
      <c r="E488" s="621">
        <v>480</v>
      </c>
      <c r="F488" s="761"/>
      <c r="G488" s="762"/>
      <c r="H488" s="680"/>
      <c r="I488" s="764" t="str">
        <f t="shared" si="46"/>
        <v/>
      </c>
      <c r="J488" s="595"/>
      <c r="K488"/>
      <c r="L488" s="197"/>
    </row>
    <row r="489" spans="5:12" ht="12" customHeight="1">
      <c r="E489" s="621">
        <v>481</v>
      </c>
      <c r="F489" s="761"/>
      <c r="G489" s="762"/>
      <c r="H489" s="680"/>
      <c r="I489" s="764" t="str">
        <f t="shared" si="46"/>
        <v/>
      </c>
      <c r="J489" s="595"/>
      <c r="K489"/>
      <c r="L489" s="197"/>
    </row>
    <row r="490" spans="5:12" ht="12" customHeight="1">
      <c r="E490" s="621">
        <v>482</v>
      </c>
      <c r="F490" s="761"/>
      <c r="G490" s="762"/>
      <c r="H490" s="680"/>
      <c r="I490" s="764" t="str">
        <f t="shared" si="46"/>
        <v/>
      </c>
      <c r="J490" s="595"/>
      <c r="K490"/>
      <c r="L490" s="197"/>
    </row>
    <row r="491" spans="5:12" ht="12" customHeight="1">
      <c r="E491" s="621">
        <v>483</v>
      </c>
      <c r="F491" s="761"/>
      <c r="G491" s="762"/>
      <c r="H491" s="680"/>
      <c r="I491" s="764" t="str">
        <f t="shared" si="46"/>
        <v/>
      </c>
      <c r="J491" s="595"/>
      <c r="K491"/>
      <c r="L491" s="197"/>
    </row>
    <row r="492" spans="5:12" ht="12" customHeight="1">
      <c r="E492" s="621">
        <v>484</v>
      </c>
      <c r="F492" s="761"/>
      <c r="G492" s="762"/>
      <c r="H492" s="680"/>
      <c r="I492" s="764" t="str">
        <f t="shared" si="46"/>
        <v/>
      </c>
      <c r="J492" s="595"/>
      <c r="K492"/>
      <c r="L492" s="197"/>
    </row>
    <row r="493" spans="5:12" ht="12" customHeight="1">
      <c r="E493" s="621">
        <v>485</v>
      </c>
      <c r="F493" s="761"/>
      <c r="G493" s="762"/>
      <c r="H493" s="680"/>
      <c r="I493" s="764" t="str">
        <f t="shared" si="46"/>
        <v/>
      </c>
      <c r="J493" s="595"/>
      <c r="K493"/>
      <c r="L493" s="197"/>
    </row>
    <row r="494" spans="5:12" ht="12" customHeight="1">
      <c r="E494" s="621">
        <v>486</v>
      </c>
      <c r="F494" s="761"/>
      <c r="G494" s="762"/>
      <c r="H494" s="680"/>
      <c r="I494" s="764" t="str">
        <f t="shared" si="46"/>
        <v/>
      </c>
      <c r="J494" s="595"/>
      <c r="K494"/>
      <c r="L494" s="197"/>
    </row>
    <row r="495" spans="5:12" ht="12" customHeight="1">
      <c r="E495" s="621">
        <v>487</v>
      </c>
      <c r="F495" s="761"/>
      <c r="G495" s="762"/>
      <c r="H495" s="680"/>
      <c r="I495" s="764" t="str">
        <f t="shared" si="46"/>
        <v/>
      </c>
      <c r="J495" s="595"/>
      <c r="K495"/>
      <c r="L495" s="197"/>
    </row>
    <row r="496" spans="5:12" ht="12" customHeight="1">
      <c r="E496" s="621">
        <v>488</v>
      </c>
      <c r="F496" s="761"/>
      <c r="G496" s="762"/>
      <c r="H496" s="680"/>
      <c r="I496" s="764" t="str">
        <f t="shared" si="46"/>
        <v/>
      </c>
      <c r="J496" s="595"/>
      <c r="K496"/>
      <c r="L496" s="197"/>
    </row>
    <row r="497" spans="5:12" ht="12" customHeight="1">
      <c r="E497" s="621">
        <v>489</v>
      </c>
      <c r="F497" s="761"/>
      <c r="G497" s="762"/>
      <c r="H497" s="680"/>
      <c r="I497" s="764" t="str">
        <f t="shared" si="46"/>
        <v/>
      </c>
      <c r="J497" s="595"/>
      <c r="K497"/>
      <c r="L497" s="197"/>
    </row>
    <row r="498" spans="5:12" ht="12" customHeight="1">
      <c r="E498" s="621">
        <v>490</v>
      </c>
      <c r="F498" s="761"/>
      <c r="G498" s="762"/>
      <c r="H498" s="680"/>
      <c r="I498" s="764" t="str">
        <f t="shared" si="46"/>
        <v/>
      </c>
      <c r="J498" s="595"/>
      <c r="K498"/>
      <c r="L498" s="197"/>
    </row>
    <row r="499" spans="5:12" ht="12" customHeight="1">
      <c r="E499" s="621">
        <v>491</v>
      </c>
      <c r="F499" s="761"/>
      <c r="G499" s="762"/>
      <c r="H499" s="680"/>
      <c r="I499" s="764" t="str">
        <f t="shared" si="46"/>
        <v/>
      </c>
      <c r="J499" s="595"/>
      <c r="K499"/>
      <c r="L499" s="197"/>
    </row>
    <row r="500" spans="5:12" ht="12" customHeight="1">
      <c r="E500" s="621">
        <v>492</v>
      </c>
      <c r="F500" s="761"/>
      <c r="G500" s="762"/>
      <c r="H500" s="680"/>
      <c r="I500" s="764" t="str">
        <f t="shared" si="46"/>
        <v/>
      </c>
      <c r="J500" s="595"/>
      <c r="K500"/>
      <c r="L500" s="197"/>
    </row>
    <row r="501" spans="5:12" ht="12" customHeight="1">
      <c r="E501" s="621">
        <v>493</v>
      </c>
      <c r="F501" s="761"/>
      <c r="G501" s="762"/>
      <c r="H501" s="680"/>
      <c r="I501" s="764" t="str">
        <f t="shared" si="46"/>
        <v/>
      </c>
      <c r="J501" s="595"/>
      <c r="K501"/>
      <c r="L501" s="197"/>
    </row>
    <row r="502" spans="5:12" ht="12" customHeight="1">
      <c r="E502" s="621">
        <v>494</v>
      </c>
      <c r="F502" s="761"/>
      <c r="G502" s="762"/>
      <c r="H502" s="680"/>
      <c r="I502" s="764" t="str">
        <f t="shared" si="46"/>
        <v/>
      </c>
      <c r="J502" s="595"/>
      <c r="K502"/>
      <c r="L502" s="197"/>
    </row>
    <row r="503" spans="5:12" ht="12" customHeight="1">
      <c r="E503" s="621">
        <v>495</v>
      </c>
      <c r="F503" s="761"/>
      <c r="G503" s="762"/>
      <c r="H503" s="680"/>
      <c r="I503" s="764" t="str">
        <f t="shared" si="46"/>
        <v/>
      </c>
      <c r="J503" s="595"/>
      <c r="K503"/>
      <c r="L503" s="197"/>
    </row>
    <row r="504" spans="5:12" ht="12" customHeight="1">
      <c r="E504" s="621">
        <v>496</v>
      </c>
      <c r="F504" s="761"/>
      <c r="G504" s="762"/>
      <c r="H504" s="680"/>
      <c r="I504" s="764" t="str">
        <f t="shared" si="46"/>
        <v/>
      </c>
      <c r="J504" s="595"/>
      <c r="K504"/>
      <c r="L504" s="197"/>
    </row>
    <row r="505" spans="5:12" ht="12" customHeight="1">
      <c r="E505" s="621">
        <v>497</v>
      </c>
      <c r="F505" s="761"/>
      <c r="G505" s="762"/>
      <c r="H505" s="680"/>
      <c r="I505" s="764" t="str">
        <f t="shared" si="46"/>
        <v/>
      </c>
      <c r="J505" s="595"/>
      <c r="K505"/>
      <c r="L505" s="197"/>
    </row>
    <row r="506" spans="5:12" ht="12" customHeight="1">
      <c r="E506" s="621">
        <v>498</v>
      </c>
      <c r="F506" s="761"/>
      <c r="G506" s="762"/>
      <c r="H506" s="680"/>
      <c r="I506" s="764" t="str">
        <f t="shared" si="46"/>
        <v/>
      </c>
      <c r="J506" s="595"/>
      <c r="K506"/>
      <c r="L506" s="197"/>
    </row>
    <row r="507" spans="5:12" ht="12" customHeight="1">
      <c r="E507" s="621">
        <v>499</v>
      </c>
      <c r="F507" s="761"/>
      <c r="G507" s="762"/>
      <c r="H507" s="680"/>
      <c r="I507" s="764" t="str">
        <f t="shared" si="46"/>
        <v/>
      </c>
      <c r="J507" s="595"/>
      <c r="K507"/>
      <c r="L507" s="197"/>
    </row>
    <row r="508" spans="5:12" ht="12" customHeight="1">
      <c r="E508" s="621">
        <v>500</v>
      </c>
      <c r="F508" s="761"/>
      <c r="G508" s="762"/>
      <c r="H508" s="680"/>
      <c r="I508" s="764" t="str">
        <f t="shared" si="46"/>
        <v/>
      </c>
      <c r="J508" s="595"/>
      <c r="K508"/>
      <c r="L508" s="197"/>
    </row>
    <row r="509" spans="5:12" ht="12" customHeight="1">
      <c r="E509" s="621">
        <v>501</v>
      </c>
      <c r="F509" s="761"/>
      <c r="G509" s="762"/>
      <c r="H509" s="680"/>
      <c r="I509" s="764" t="str">
        <f t="shared" si="46"/>
        <v/>
      </c>
      <c r="J509" s="595"/>
      <c r="K509"/>
      <c r="L509" s="197"/>
    </row>
    <row r="510" spans="5:12" ht="12" customHeight="1">
      <c r="E510" s="621">
        <v>502</v>
      </c>
      <c r="F510" s="761"/>
      <c r="G510" s="762"/>
      <c r="H510" s="680"/>
      <c r="I510" s="764" t="str">
        <f t="shared" si="46"/>
        <v/>
      </c>
      <c r="J510" s="595"/>
      <c r="K510"/>
      <c r="L510" s="197"/>
    </row>
    <row r="511" spans="5:12" ht="12" customHeight="1">
      <c r="E511" s="621">
        <v>503</v>
      </c>
      <c r="F511" s="761"/>
      <c r="G511" s="762"/>
      <c r="H511" s="680"/>
      <c r="I511" s="764" t="str">
        <f t="shared" si="46"/>
        <v/>
      </c>
      <c r="J511" s="595"/>
      <c r="K511"/>
      <c r="L511" s="197"/>
    </row>
    <row r="512" spans="5:12" ht="12" customHeight="1">
      <c r="E512" s="621">
        <v>504</v>
      </c>
      <c r="F512" s="761"/>
      <c r="G512" s="762"/>
      <c r="H512" s="680"/>
      <c r="I512" s="764" t="str">
        <f t="shared" si="46"/>
        <v/>
      </c>
      <c r="J512" s="595"/>
      <c r="K512"/>
      <c r="L512" s="197"/>
    </row>
    <row r="513" spans="5:12" ht="12" customHeight="1">
      <c r="E513" s="621">
        <v>505</v>
      </c>
      <c r="F513" s="761"/>
      <c r="G513" s="762"/>
      <c r="H513" s="680"/>
      <c r="I513" s="764" t="str">
        <f t="shared" si="46"/>
        <v/>
      </c>
      <c r="J513" s="595"/>
      <c r="K513"/>
      <c r="L513" s="197"/>
    </row>
    <row r="514" spans="5:12" ht="12" customHeight="1">
      <c r="E514" s="621">
        <v>506</v>
      </c>
      <c r="F514" s="761"/>
      <c r="G514" s="762"/>
      <c r="H514" s="680"/>
      <c r="I514" s="764" t="str">
        <f t="shared" si="46"/>
        <v/>
      </c>
      <c r="J514" s="595"/>
      <c r="K514"/>
      <c r="L514" s="197"/>
    </row>
    <row r="515" spans="5:12" ht="12" customHeight="1">
      <c r="E515" s="621">
        <v>507</v>
      </c>
      <c r="F515" s="761"/>
      <c r="G515" s="762"/>
      <c r="H515" s="680"/>
      <c r="I515" s="764" t="str">
        <f t="shared" si="46"/>
        <v/>
      </c>
      <c r="J515" s="595"/>
      <c r="K515"/>
      <c r="L515" s="197"/>
    </row>
    <row r="516" spans="5:12" ht="12" customHeight="1">
      <c r="E516" s="621">
        <v>508</v>
      </c>
      <c r="F516" s="761"/>
      <c r="G516" s="762"/>
      <c r="H516" s="680"/>
      <c r="I516" s="764" t="str">
        <f t="shared" si="46"/>
        <v/>
      </c>
      <c r="J516" s="595"/>
      <c r="K516"/>
      <c r="L516" s="197"/>
    </row>
    <row r="517" spans="5:12" ht="12" customHeight="1">
      <c r="E517" s="621">
        <v>509</v>
      </c>
      <c r="F517" s="761"/>
      <c r="G517" s="762"/>
      <c r="H517" s="680"/>
      <c r="I517" s="764" t="str">
        <f t="shared" si="46"/>
        <v/>
      </c>
      <c r="J517" s="595"/>
      <c r="K517"/>
      <c r="L517" s="197"/>
    </row>
    <row r="518" spans="5:12" ht="12" customHeight="1">
      <c r="E518" s="621">
        <v>510</v>
      </c>
      <c r="F518" s="761"/>
      <c r="G518" s="762"/>
      <c r="H518" s="680"/>
      <c r="I518" s="764" t="str">
        <f t="shared" si="46"/>
        <v/>
      </c>
      <c r="J518" s="595"/>
      <c r="K518"/>
      <c r="L518" s="197"/>
    </row>
    <row r="519" spans="5:12" ht="12" customHeight="1">
      <c r="E519" s="621">
        <v>511</v>
      </c>
      <c r="F519" s="761"/>
      <c r="G519" s="762"/>
      <c r="H519" s="680"/>
      <c r="I519" s="764" t="str">
        <f t="shared" si="46"/>
        <v/>
      </c>
      <c r="J519" s="595"/>
      <c r="K519"/>
      <c r="L519" s="197"/>
    </row>
    <row r="520" spans="5:12" ht="12" customHeight="1">
      <c r="E520" s="621">
        <v>512</v>
      </c>
      <c r="F520" s="761"/>
      <c r="G520" s="762"/>
      <c r="H520" s="680"/>
      <c r="I520" s="764" t="str">
        <f t="shared" si="46"/>
        <v/>
      </c>
      <c r="J520" s="595"/>
      <c r="K520"/>
      <c r="L520" s="197"/>
    </row>
    <row r="521" spans="5:12" ht="12" customHeight="1">
      <c r="E521" s="621">
        <v>513</v>
      </c>
      <c r="F521" s="761"/>
      <c r="G521" s="762"/>
      <c r="H521" s="680"/>
      <c r="I521" s="764" t="str">
        <f t="shared" ref="I521:I584" si="47">IF(AND(F521&lt;&gt;"",G521&lt;&gt;""),G521-F521,"")</f>
        <v/>
      </c>
      <c r="J521" s="595"/>
      <c r="K521"/>
      <c r="L521" s="197"/>
    </row>
    <row r="522" spans="5:12" ht="12" customHeight="1">
      <c r="E522" s="621">
        <v>514</v>
      </c>
      <c r="F522" s="761"/>
      <c r="G522" s="762"/>
      <c r="H522" s="680"/>
      <c r="I522" s="764" t="str">
        <f t="shared" si="47"/>
        <v/>
      </c>
      <c r="J522" s="595"/>
      <c r="K522"/>
      <c r="L522" s="197"/>
    </row>
    <row r="523" spans="5:12" ht="12" customHeight="1">
      <c r="E523" s="621">
        <v>515</v>
      </c>
      <c r="F523" s="761"/>
      <c r="G523" s="762"/>
      <c r="H523" s="680"/>
      <c r="I523" s="764" t="str">
        <f t="shared" si="47"/>
        <v/>
      </c>
      <c r="J523" s="595"/>
      <c r="K523"/>
      <c r="L523" s="197"/>
    </row>
    <row r="524" spans="5:12" ht="12" customHeight="1">
      <c r="E524" s="621">
        <v>516</v>
      </c>
      <c r="F524" s="761"/>
      <c r="G524" s="762"/>
      <c r="H524" s="680"/>
      <c r="I524" s="764" t="str">
        <f t="shared" si="47"/>
        <v/>
      </c>
      <c r="J524" s="595"/>
      <c r="K524"/>
      <c r="L524" s="197"/>
    </row>
    <row r="525" spans="5:12" ht="12" customHeight="1">
      <c r="E525" s="621">
        <v>517</v>
      </c>
      <c r="F525" s="761"/>
      <c r="G525" s="762"/>
      <c r="H525" s="680"/>
      <c r="I525" s="764" t="str">
        <f t="shared" si="47"/>
        <v/>
      </c>
      <c r="J525" s="595"/>
      <c r="K525"/>
      <c r="L525" s="197"/>
    </row>
    <row r="526" spans="5:12" ht="12" customHeight="1">
      <c r="E526" s="621">
        <v>518</v>
      </c>
      <c r="F526" s="761"/>
      <c r="G526" s="762"/>
      <c r="H526" s="680"/>
      <c r="I526" s="764" t="str">
        <f t="shared" si="47"/>
        <v/>
      </c>
      <c r="J526" s="595"/>
      <c r="K526"/>
      <c r="L526" s="197"/>
    </row>
    <row r="527" spans="5:12" ht="12" customHeight="1">
      <c r="E527" s="621">
        <v>519</v>
      </c>
      <c r="F527" s="761"/>
      <c r="G527" s="762"/>
      <c r="H527" s="680"/>
      <c r="I527" s="764" t="str">
        <f t="shared" si="47"/>
        <v/>
      </c>
      <c r="J527" s="595"/>
      <c r="K527"/>
      <c r="L527" s="197"/>
    </row>
    <row r="528" spans="5:12" ht="12" customHeight="1">
      <c r="E528" s="621">
        <v>520</v>
      </c>
      <c r="F528" s="761"/>
      <c r="G528" s="762"/>
      <c r="H528" s="680"/>
      <c r="I528" s="764" t="str">
        <f t="shared" si="47"/>
        <v/>
      </c>
      <c r="J528" s="595"/>
      <c r="K528"/>
      <c r="L528" s="197"/>
    </row>
    <row r="529" spans="5:12" ht="12" customHeight="1">
      <c r="E529" s="621">
        <v>521</v>
      </c>
      <c r="F529" s="761"/>
      <c r="G529" s="762"/>
      <c r="H529" s="680"/>
      <c r="I529" s="764" t="str">
        <f t="shared" si="47"/>
        <v/>
      </c>
      <c r="J529" s="595"/>
      <c r="K529"/>
      <c r="L529" s="197"/>
    </row>
    <row r="530" spans="5:12" ht="12" customHeight="1">
      <c r="E530" s="621">
        <v>522</v>
      </c>
      <c r="F530" s="761"/>
      <c r="G530" s="762"/>
      <c r="H530" s="680"/>
      <c r="I530" s="764" t="str">
        <f t="shared" si="47"/>
        <v/>
      </c>
      <c r="J530" s="595"/>
      <c r="K530"/>
      <c r="L530" s="197"/>
    </row>
    <row r="531" spans="5:12" ht="12" customHeight="1">
      <c r="E531" s="621">
        <v>523</v>
      </c>
      <c r="F531" s="761"/>
      <c r="G531" s="762"/>
      <c r="H531" s="680"/>
      <c r="I531" s="764" t="str">
        <f t="shared" si="47"/>
        <v/>
      </c>
      <c r="J531" s="595"/>
      <c r="K531"/>
      <c r="L531" s="197"/>
    </row>
    <row r="532" spans="5:12" ht="12" customHeight="1">
      <c r="E532" s="621">
        <v>524</v>
      </c>
      <c r="F532" s="761"/>
      <c r="G532" s="762"/>
      <c r="H532" s="680"/>
      <c r="I532" s="764" t="str">
        <f t="shared" si="47"/>
        <v/>
      </c>
      <c r="J532" s="595"/>
      <c r="K532"/>
      <c r="L532" s="197"/>
    </row>
    <row r="533" spans="5:12" ht="12" customHeight="1">
      <c r="E533" s="621">
        <v>525</v>
      </c>
      <c r="F533" s="761"/>
      <c r="G533" s="762"/>
      <c r="H533" s="680"/>
      <c r="I533" s="764" t="str">
        <f t="shared" si="47"/>
        <v/>
      </c>
      <c r="J533" s="595"/>
      <c r="K533"/>
      <c r="L533" s="197"/>
    </row>
    <row r="534" spans="5:12" ht="12" customHeight="1">
      <c r="E534" s="621">
        <v>526</v>
      </c>
      <c r="F534" s="761"/>
      <c r="G534" s="762"/>
      <c r="H534" s="680"/>
      <c r="I534" s="764" t="str">
        <f t="shared" si="47"/>
        <v/>
      </c>
      <c r="J534" s="595"/>
      <c r="K534"/>
      <c r="L534" s="197"/>
    </row>
    <row r="535" spans="5:12" ht="12" customHeight="1">
      <c r="E535" s="621">
        <v>527</v>
      </c>
      <c r="F535" s="761"/>
      <c r="G535" s="762"/>
      <c r="H535" s="680"/>
      <c r="I535" s="764" t="str">
        <f t="shared" si="47"/>
        <v/>
      </c>
      <c r="J535" s="595"/>
      <c r="K535"/>
      <c r="L535" s="197"/>
    </row>
    <row r="536" spans="5:12" ht="12" customHeight="1">
      <c r="E536" s="621">
        <v>528</v>
      </c>
      <c r="F536" s="761"/>
      <c r="G536" s="762"/>
      <c r="H536" s="680"/>
      <c r="I536" s="764" t="str">
        <f t="shared" si="47"/>
        <v/>
      </c>
      <c r="J536" s="595"/>
      <c r="K536"/>
      <c r="L536" s="197"/>
    </row>
    <row r="537" spans="5:12" ht="12" customHeight="1">
      <c r="E537" s="621">
        <v>529</v>
      </c>
      <c r="F537" s="761"/>
      <c r="G537" s="762"/>
      <c r="H537" s="680"/>
      <c r="I537" s="764" t="str">
        <f t="shared" si="47"/>
        <v/>
      </c>
      <c r="J537" s="595"/>
      <c r="K537"/>
      <c r="L537" s="197"/>
    </row>
    <row r="538" spans="5:12" ht="12" customHeight="1">
      <c r="E538" s="621">
        <v>530</v>
      </c>
      <c r="F538" s="761"/>
      <c r="G538" s="762"/>
      <c r="H538" s="680"/>
      <c r="I538" s="764" t="str">
        <f t="shared" si="47"/>
        <v/>
      </c>
      <c r="J538" s="595"/>
      <c r="K538"/>
      <c r="L538" s="197"/>
    </row>
    <row r="539" spans="5:12" ht="12" customHeight="1">
      <c r="E539" s="621">
        <v>531</v>
      </c>
      <c r="F539" s="761"/>
      <c r="G539" s="762"/>
      <c r="H539" s="680"/>
      <c r="I539" s="764" t="str">
        <f t="shared" si="47"/>
        <v/>
      </c>
      <c r="J539" s="595"/>
      <c r="K539"/>
      <c r="L539" s="197"/>
    </row>
    <row r="540" spans="5:12" ht="12" customHeight="1">
      <c r="E540" s="621">
        <v>532</v>
      </c>
      <c r="F540" s="761"/>
      <c r="G540" s="762"/>
      <c r="H540" s="680"/>
      <c r="I540" s="764" t="str">
        <f t="shared" si="47"/>
        <v/>
      </c>
      <c r="J540" s="595"/>
      <c r="K540"/>
      <c r="L540" s="197"/>
    </row>
    <row r="541" spans="5:12" ht="12" customHeight="1">
      <c r="E541" s="621">
        <v>533</v>
      </c>
      <c r="F541" s="761"/>
      <c r="G541" s="762"/>
      <c r="H541" s="680"/>
      <c r="I541" s="764" t="str">
        <f t="shared" si="47"/>
        <v/>
      </c>
      <c r="J541" s="595"/>
      <c r="K541"/>
      <c r="L541" s="197"/>
    </row>
    <row r="542" spans="5:12" ht="12" customHeight="1">
      <c r="E542" s="621">
        <v>534</v>
      </c>
      <c r="F542" s="761"/>
      <c r="G542" s="762"/>
      <c r="H542" s="680"/>
      <c r="I542" s="764" t="str">
        <f t="shared" si="47"/>
        <v/>
      </c>
      <c r="J542" s="595"/>
      <c r="K542"/>
      <c r="L542" s="197"/>
    </row>
    <row r="543" spans="5:12" ht="12" customHeight="1">
      <c r="E543" s="621">
        <v>535</v>
      </c>
      <c r="F543" s="761"/>
      <c r="G543" s="762"/>
      <c r="H543" s="680"/>
      <c r="I543" s="764" t="str">
        <f t="shared" si="47"/>
        <v/>
      </c>
      <c r="J543" s="595"/>
      <c r="K543"/>
      <c r="L543" s="197"/>
    </row>
    <row r="544" spans="5:12" ht="12" customHeight="1">
      <c r="E544" s="621">
        <v>536</v>
      </c>
      <c r="F544" s="761"/>
      <c r="G544" s="762"/>
      <c r="H544" s="680"/>
      <c r="I544" s="764" t="str">
        <f t="shared" si="47"/>
        <v/>
      </c>
      <c r="J544" s="595"/>
      <c r="K544"/>
      <c r="L544" s="197"/>
    </row>
    <row r="545" spans="5:12" ht="12" customHeight="1">
      <c r="E545" s="621">
        <v>537</v>
      </c>
      <c r="F545" s="761"/>
      <c r="G545" s="762"/>
      <c r="H545" s="680"/>
      <c r="I545" s="764" t="str">
        <f t="shared" si="47"/>
        <v/>
      </c>
      <c r="J545" s="595"/>
      <c r="K545"/>
      <c r="L545" s="197"/>
    </row>
    <row r="546" spans="5:12" ht="12" customHeight="1">
      <c r="E546" s="621">
        <v>538</v>
      </c>
      <c r="F546" s="761"/>
      <c r="G546" s="762"/>
      <c r="H546" s="680"/>
      <c r="I546" s="764" t="str">
        <f t="shared" si="47"/>
        <v/>
      </c>
      <c r="J546" s="595"/>
      <c r="K546"/>
      <c r="L546" s="197"/>
    </row>
    <row r="547" spans="5:12" ht="12" customHeight="1">
      <c r="E547" s="621">
        <v>539</v>
      </c>
      <c r="F547" s="761"/>
      <c r="G547" s="762"/>
      <c r="H547" s="680"/>
      <c r="I547" s="764" t="str">
        <f t="shared" si="47"/>
        <v/>
      </c>
      <c r="J547" s="595"/>
      <c r="K547"/>
      <c r="L547" s="197"/>
    </row>
    <row r="548" spans="5:12" ht="12" customHeight="1">
      <c r="E548" s="621">
        <v>540</v>
      </c>
      <c r="F548" s="761"/>
      <c r="G548" s="762"/>
      <c r="H548" s="680"/>
      <c r="I548" s="764" t="str">
        <f t="shared" si="47"/>
        <v/>
      </c>
      <c r="J548" s="595"/>
      <c r="K548"/>
      <c r="L548" s="197"/>
    </row>
    <row r="549" spans="5:12" ht="12" customHeight="1">
      <c r="E549" s="621">
        <v>541</v>
      </c>
      <c r="F549" s="761"/>
      <c r="G549" s="762"/>
      <c r="H549" s="680"/>
      <c r="I549" s="764" t="str">
        <f t="shared" si="47"/>
        <v/>
      </c>
      <c r="J549" s="595"/>
      <c r="K549"/>
      <c r="L549" s="197"/>
    </row>
    <row r="550" spans="5:12" ht="12" customHeight="1">
      <c r="E550" s="621">
        <v>542</v>
      </c>
      <c r="F550" s="761"/>
      <c r="G550" s="762"/>
      <c r="H550" s="680"/>
      <c r="I550" s="764" t="str">
        <f t="shared" si="47"/>
        <v/>
      </c>
      <c r="J550" s="595"/>
      <c r="K550"/>
      <c r="L550" s="197"/>
    </row>
    <row r="551" spans="5:12" ht="12" customHeight="1">
      <c r="E551" s="621">
        <v>543</v>
      </c>
      <c r="F551" s="761"/>
      <c r="G551" s="762"/>
      <c r="H551" s="680"/>
      <c r="I551" s="764" t="str">
        <f t="shared" si="47"/>
        <v/>
      </c>
      <c r="J551" s="595"/>
      <c r="K551"/>
      <c r="L551" s="197"/>
    </row>
    <row r="552" spans="5:12" ht="12" customHeight="1">
      <c r="E552" s="621">
        <v>544</v>
      </c>
      <c r="F552" s="761"/>
      <c r="G552" s="762"/>
      <c r="H552" s="680"/>
      <c r="I552" s="764" t="str">
        <f t="shared" si="47"/>
        <v/>
      </c>
      <c r="J552" s="595"/>
      <c r="K552"/>
      <c r="L552" s="197"/>
    </row>
    <row r="553" spans="5:12" ht="12" customHeight="1">
      <c r="E553" s="621">
        <v>545</v>
      </c>
      <c r="F553" s="761"/>
      <c r="G553" s="762"/>
      <c r="H553" s="680"/>
      <c r="I553" s="764" t="str">
        <f t="shared" si="47"/>
        <v/>
      </c>
      <c r="J553" s="595"/>
      <c r="K553"/>
      <c r="L553" s="197"/>
    </row>
    <row r="554" spans="5:12" ht="12" customHeight="1">
      <c r="E554" s="621">
        <v>546</v>
      </c>
      <c r="F554" s="761"/>
      <c r="G554" s="762"/>
      <c r="H554" s="680"/>
      <c r="I554" s="764" t="str">
        <f t="shared" si="47"/>
        <v/>
      </c>
      <c r="J554" s="595"/>
      <c r="K554"/>
      <c r="L554" s="197"/>
    </row>
    <row r="555" spans="5:12" ht="12" customHeight="1">
      <c r="E555" s="621">
        <v>547</v>
      </c>
      <c r="F555" s="761"/>
      <c r="G555" s="762"/>
      <c r="H555" s="680"/>
      <c r="I555" s="764" t="str">
        <f t="shared" si="47"/>
        <v/>
      </c>
      <c r="J555" s="595"/>
      <c r="K555"/>
      <c r="L555" s="197"/>
    </row>
    <row r="556" spans="5:12" ht="12" customHeight="1">
      <c r="E556" s="621">
        <v>548</v>
      </c>
      <c r="F556" s="761"/>
      <c r="G556" s="762"/>
      <c r="H556" s="680"/>
      <c r="I556" s="764" t="str">
        <f t="shared" si="47"/>
        <v/>
      </c>
      <c r="J556" s="595"/>
      <c r="K556"/>
      <c r="L556" s="197"/>
    </row>
    <row r="557" spans="5:12" ht="12" customHeight="1">
      <c r="E557" s="621">
        <v>549</v>
      </c>
      <c r="F557" s="761"/>
      <c r="G557" s="762"/>
      <c r="H557" s="680"/>
      <c r="I557" s="764" t="str">
        <f t="shared" si="47"/>
        <v/>
      </c>
      <c r="J557" s="595"/>
      <c r="K557"/>
      <c r="L557" s="197"/>
    </row>
    <row r="558" spans="5:12" ht="12" customHeight="1">
      <c r="E558" s="621">
        <v>550</v>
      </c>
      <c r="F558" s="761"/>
      <c r="G558" s="762"/>
      <c r="H558" s="680"/>
      <c r="I558" s="764" t="str">
        <f t="shared" si="47"/>
        <v/>
      </c>
      <c r="J558" s="595"/>
      <c r="K558"/>
      <c r="L558" s="197"/>
    </row>
    <row r="559" spans="5:12" ht="12" customHeight="1">
      <c r="E559" s="621">
        <v>551</v>
      </c>
      <c r="F559" s="761"/>
      <c r="G559" s="762"/>
      <c r="H559" s="680"/>
      <c r="I559" s="764" t="str">
        <f t="shared" si="47"/>
        <v/>
      </c>
      <c r="J559" s="595"/>
      <c r="K559"/>
      <c r="L559" s="197"/>
    </row>
    <row r="560" spans="5:12" ht="12" customHeight="1">
      <c r="E560" s="621">
        <v>552</v>
      </c>
      <c r="F560" s="761"/>
      <c r="G560" s="762"/>
      <c r="H560" s="680"/>
      <c r="I560" s="764" t="str">
        <f t="shared" si="47"/>
        <v/>
      </c>
      <c r="J560" s="595"/>
      <c r="K560"/>
      <c r="L560" s="197"/>
    </row>
    <row r="561" spans="5:12" ht="12" customHeight="1">
      <c r="E561" s="621">
        <v>553</v>
      </c>
      <c r="F561" s="761"/>
      <c r="G561" s="762"/>
      <c r="H561" s="680"/>
      <c r="I561" s="764" t="str">
        <f t="shared" si="47"/>
        <v/>
      </c>
      <c r="J561" s="595"/>
      <c r="K561"/>
      <c r="L561" s="197"/>
    </row>
    <row r="562" spans="5:12" ht="12" customHeight="1">
      <c r="E562" s="621">
        <v>554</v>
      </c>
      <c r="F562" s="761"/>
      <c r="G562" s="762"/>
      <c r="H562" s="680"/>
      <c r="I562" s="764" t="str">
        <f t="shared" si="47"/>
        <v/>
      </c>
      <c r="J562" s="595"/>
      <c r="K562"/>
      <c r="L562" s="197"/>
    </row>
    <row r="563" spans="5:12" ht="12" customHeight="1">
      <c r="E563" s="621">
        <v>555</v>
      </c>
      <c r="F563" s="761"/>
      <c r="G563" s="762"/>
      <c r="H563" s="680"/>
      <c r="I563" s="764" t="str">
        <f t="shared" si="47"/>
        <v/>
      </c>
      <c r="J563" s="595"/>
      <c r="K563"/>
      <c r="L563" s="197"/>
    </row>
    <row r="564" spans="5:12" ht="12" customHeight="1">
      <c r="E564" s="621">
        <v>556</v>
      </c>
      <c r="F564" s="761"/>
      <c r="G564" s="762"/>
      <c r="H564" s="680"/>
      <c r="I564" s="764" t="str">
        <f t="shared" si="47"/>
        <v/>
      </c>
      <c r="J564" s="595"/>
      <c r="K564"/>
      <c r="L564" s="197"/>
    </row>
    <row r="565" spans="5:12" ht="12" customHeight="1">
      <c r="E565" s="621">
        <v>557</v>
      </c>
      <c r="F565" s="761"/>
      <c r="G565" s="762"/>
      <c r="H565" s="680"/>
      <c r="I565" s="764" t="str">
        <f t="shared" si="47"/>
        <v/>
      </c>
      <c r="J565" s="595"/>
      <c r="K565"/>
      <c r="L565" s="197"/>
    </row>
    <row r="566" spans="5:12" ht="12" customHeight="1">
      <c r="E566" s="621">
        <v>558</v>
      </c>
      <c r="F566" s="761"/>
      <c r="G566" s="762"/>
      <c r="H566" s="680"/>
      <c r="I566" s="764" t="str">
        <f t="shared" si="47"/>
        <v/>
      </c>
      <c r="J566" s="595"/>
      <c r="K566"/>
      <c r="L566" s="197"/>
    </row>
    <row r="567" spans="5:12" ht="12" customHeight="1">
      <c r="E567" s="621">
        <v>559</v>
      </c>
      <c r="F567" s="761"/>
      <c r="G567" s="762"/>
      <c r="H567" s="680"/>
      <c r="I567" s="764" t="str">
        <f t="shared" si="47"/>
        <v/>
      </c>
      <c r="J567" s="595"/>
      <c r="K567"/>
      <c r="L567" s="197"/>
    </row>
    <row r="568" spans="5:12" ht="12" customHeight="1">
      <c r="E568" s="621">
        <v>560</v>
      </c>
      <c r="F568" s="761"/>
      <c r="G568" s="762"/>
      <c r="H568" s="680"/>
      <c r="I568" s="764" t="str">
        <f t="shared" si="47"/>
        <v/>
      </c>
      <c r="J568" s="595"/>
      <c r="K568"/>
      <c r="L568" s="197"/>
    </row>
    <row r="569" spans="5:12" ht="12" customHeight="1">
      <c r="E569" s="621">
        <v>561</v>
      </c>
      <c r="F569" s="761"/>
      <c r="G569" s="762"/>
      <c r="H569" s="680"/>
      <c r="I569" s="764" t="str">
        <f t="shared" si="47"/>
        <v/>
      </c>
      <c r="J569" s="595"/>
      <c r="K569"/>
      <c r="L569" s="197"/>
    </row>
    <row r="570" spans="5:12" ht="12" customHeight="1">
      <c r="E570" s="621">
        <v>562</v>
      </c>
      <c r="F570" s="761"/>
      <c r="G570" s="762"/>
      <c r="H570" s="680"/>
      <c r="I570" s="764" t="str">
        <f t="shared" si="47"/>
        <v/>
      </c>
      <c r="J570" s="595"/>
      <c r="K570"/>
      <c r="L570" s="197"/>
    </row>
    <row r="571" spans="5:12" ht="12" customHeight="1">
      <c r="E571" s="621">
        <v>563</v>
      </c>
      <c r="F571" s="761"/>
      <c r="G571" s="762"/>
      <c r="H571" s="680"/>
      <c r="I571" s="764" t="str">
        <f t="shared" si="47"/>
        <v/>
      </c>
      <c r="J571" s="595"/>
      <c r="K571"/>
      <c r="L571" s="197"/>
    </row>
    <row r="572" spans="5:12" ht="12" customHeight="1">
      <c r="E572" s="621">
        <v>564</v>
      </c>
      <c r="F572" s="761"/>
      <c r="G572" s="762"/>
      <c r="H572" s="680"/>
      <c r="I572" s="764" t="str">
        <f t="shared" si="47"/>
        <v/>
      </c>
      <c r="J572" s="595"/>
      <c r="K572"/>
      <c r="L572" s="197"/>
    </row>
    <row r="573" spans="5:12" ht="12" customHeight="1">
      <c r="E573" s="621">
        <v>565</v>
      </c>
      <c r="F573" s="761"/>
      <c r="G573" s="762"/>
      <c r="H573" s="680"/>
      <c r="I573" s="764" t="str">
        <f t="shared" si="47"/>
        <v/>
      </c>
      <c r="J573" s="595"/>
      <c r="K573"/>
      <c r="L573" s="197"/>
    </row>
    <row r="574" spans="5:12" ht="12" customHeight="1">
      <c r="E574" s="621">
        <v>566</v>
      </c>
      <c r="F574" s="761"/>
      <c r="G574" s="762"/>
      <c r="H574" s="680"/>
      <c r="I574" s="764" t="str">
        <f t="shared" si="47"/>
        <v/>
      </c>
      <c r="J574" s="595"/>
      <c r="K574"/>
      <c r="L574" s="197"/>
    </row>
    <row r="575" spans="5:12" ht="12" customHeight="1">
      <c r="E575" s="621">
        <v>567</v>
      </c>
      <c r="F575" s="761"/>
      <c r="G575" s="762"/>
      <c r="H575" s="680"/>
      <c r="I575" s="764" t="str">
        <f t="shared" si="47"/>
        <v/>
      </c>
      <c r="J575" s="595"/>
      <c r="K575"/>
      <c r="L575" s="197"/>
    </row>
    <row r="576" spans="5:12" ht="12" customHeight="1">
      <c r="E576" s="621">
        <v>568</v>
      </c>
      <c r="F576" s="761"/>
      <c r="G576" s="762"/>
      <c r="H576" s="680"/>
      <c r="I576" s="764" t="str">
        <f t="shared" si="47"/>
        <v/>
      </c>
      <c r="J576" s="595"/>
      <c r="K576"/>
      <c r="L576" s="197"/>
    </row>
    <row r="577" spans="5:12" ht="12" customHeight="1">
      <c r="E577" s="621">
        <v>569</v>
      </c>
      <c r="F577" s="761"/>
      <c r="G577" s="762"/>
      <c r="H577" s="680"/>
      <c r="I577" s="764" t="str">
        <f t="shared" si="47"/>
        <v/>
      </c>
      <c r="J577" s="595"/>
      <c r="K577"/>
      <c r="L577" s="197"/>
    </row>
    <row r="578" spans="5:12" ht="12" customHeight="1">
      <c r="E578" s="621">
        <v>570</v>
      </c>
      <c r="F578" s="761"/>
      <c r="G578" s="762"/>
      <c r="H578" s="680"/>
      <c r="I578" s="764" t="str">
        <f t="shared" si="47"/>
        <v/>
      </c>
      <c r="J578" s="595"/>
      <c r="K578"/>
      <c r="L578" s="197"/>
    </row>
    <row r="579" spans="5:12" ht="12" customHeight="1">
      <c r="E579" s="621">
        <v>571</v>
      </c>
      <c r="F579" s="761"/>
      <c r="G579" s="762"/>
      <c r="H579" s="680"/>
      <c r="I579" s="764" t="str">
        <f t="shared" si="47"/>
        <v/>
      </c>
      <c r="J579" s="595"/>
      <c r="K579"/>
      <c r="L579" s="197"/>
    </row>
    <row r="580" spans="5:12" ht="12" customHeight="1">
      <c r="E580" s="621">
        <v>572</v>
      </c>
      <c r="F580" s="761"/>
      <c r="G580" s="762"/>
      <c r="H580" s="680"/>
      <c r="I580" s="764" t="str">
        <f t="shared" si="47"/>
        <v/>
      </c>
      <c r="J580" s="595"/>
      <c r="K580"/>
      <c r="L580" s="197"/>
    </row>
    <row r="581" spans="5:12" ht="12" customHeight="1">
      <c r="E581" s="621">
        <v>573</v>
      </c>
      <c r="F581" s="761"/>
      <c r="G581" s="762"/>
      <c r="H581" s="680"/>
      <c r="I581" s="764" t="str">
        <f t="shared" si="47"/>
        <v/>
      </c>
      <c r="J581" s="595"/>
      <c r="K581"/>
      <c r="L581" s="197"/>
    </row>
    <row r="582" spans="5:12" ht="12" customHeight="1">
      <c r="E582" s="621">
        <v>574</v>
      </c>
      <c r="F582" s="761"/>
      <c r="G582" s="762"/>
      <c r="H582" s="680"/>
      <c r="I582" s="764" t="str">
        <f t="shared" si="47"/>
        <v/>
      </c>
      <c r="J582" s="595"/>
      <c r="K582"/>
      <c r="L582" s="197"/>
    </row>
    <row r="583" spans="5:12" ht="12" customHeight="1">
      <c r="E583" s="621">
        <v>575</v>
      </c>
      <c r="F583" s="761"/>
      <c r="G583" s="762"/>
      <c r="H583" s="680"/>
      <c r="I583" s="764" t="str">
        <f t="shared" si="47"/>
        <v/>
      </c>
      <c r="J583" s="595"/>
      <c r="K583"/>
      <c r="L583" s="197"/>
    </row>
    <row r="584" spans="5:12" ht="12" customHeight="1">
      <c r="E584" s="621">
        <v>576</v>
      </c>
      <c r="F584" s="761"/>
      <c r="G584" s="762"/>
      <c r="H584" s="680"/>
      <c r="I584" s="764" t="str">
        <f t="shared" si="47"/>
        <v/>
      </c>
      <c r="J584" s="595"/>
      <c r="K584"/>
      <c r="L584" s="197"/>
    </row>
    <row r="585" spans="5:12" ht="12" customHeight="1">
      <c r="E585" s="621">
        <v>577</v>
      </c>
      <c r="F585" s="761"/>
      <c r="G585" s="762"/>
      <c r="H585" s="680"/>
      <c r="I585" s="764" t="str">
        <f t="shared" ref="I585:I648" si="48">IF(AND(F585&lt;&gt;"",G585&lt;&gt;""),G585-F585,"")</f>
        <v/>
      </c>
      <c r="J585" s="595"/>
      <c r="K585"/>
      <c r="L585" s="197"/>
    </row>
    <row r="586" spans="5:12" ht="12" customHeight="1">
      <c r="E586" s="621">
        <v>578</v>
      </c>
      <c r="F586" s="761"/>
      <c r="G586" s="762"/>
      <c r="H586" s="680"/>
      <c r="I586" s="764" t="str">
        <f t="shared" si="48"/>
        <v/>
      </c>
      <c r="J586" s="595"/>
      <c r="K586"/>
      <c r="L586" s="197"/>
    </row>
    <row r="587" spans="5:12" ht="12" customHeight="1">
      <c r="E587" s="621">
        <v>579</v>
      </c>
      <c r="F587" s="761"/>
      <c r="G587" s="762"/>
      <c r="H587" s="680"/>
      <c r="I587" s="764" t="str">
        <f t="shared" si="48"/>
        <v/>
      </c>
      <c r="J587" s="595"/>
      <c r="K587"/>
      <c r="L587" s="197"/>
    </row>
    <row r="588" spans="5:12" ht="12" customHeight="1">
      <c r="E588" s="621">
        <v>580</v>
      </c>
      <c r="F588" s="761"/>
      <c r="G588" s="762"/>
      <c r="H588" s="680"/>
      <c r="I588" s="764" t="str">
        <f t="shared" si="48"/>
        <v/>
      </c>
      <c r="J588" s="595"/>
      <c r="K588"/>
      <c r="L588" s="197"/>
    </row>
    <row r="589" spans="5:12" ht="12" customHeight="1">
      <c r="E589" s="621">
        <v>581</v>
      </c>
      <c r="F589" s="761"/>
      <c r="G589" s="762"/>
      <c r="H589" s="680"/>
      <c r="I589" s="764" t="str">
        <f t="shared" si="48"/>
        <v/>
      </c>
      <c r="J589" s="595"/>
      <c r="K589"/>
      <c r="L589" s="197"/>
    </row>
    <row r="590" spans="5:12" ht="12" customHeight="1">
      <c r="E590" s="621">
        <v>582</v>
      </c>
      <c r="F590" s="761"/>
      <c r="G590" s="762"/>
      <c r="H590" s="680"/>
      <c r="I590" s="764" t="str">
        <f t="shared" si="48"/>
        <v/>
      </c>
      <c r="J590" s="595"/>
      <c r="K590"/>
      <c r="L590" s="197"/>
    </row>
    <row r="591" spans="5:12" ht="12" customHeight="1">
      <c r="E591" s="621">
        <v>583</v>
      </c>
      <c r="F591" s="761"/>
      <c r="G591" s="762"/>
      <c r="H591" s="680"/>
      <c r="I591" s="764" t="str">
        <f t="shared" si="48"/>
        <v/>
      </c>
      <c r="J591" s="595"/>
      <c r="K591"/>
      <c r="L591" s="197"/>
    </row>
    <row r="592" spans="5:12" ht="12" customHeight="1">
      <c r="E592" s="621">
        <v>584</v>
      </c>
      <c r="F592" s="761"/>
      <c r="G592" s="762"/>
      <c r="H592" s="680"/>
      <c r="I592" s="764" t="str">
        <f t="shared" si="48"/>
        <v/>
      </c>
      <c r="J592" s="595"/>
      <c r="K592"/>
      <c r="L592" s="197"/>
    </row>
    <row r="593" spans="5:12" ht="12" customHeight="1">
      <c r="E593" s="621">
        <v>585</v>
      </c>
      <c r="F593" s="761"/>
      <c r="G593" s="762"/>
      <c r="H593" s="680"/>
      <c r="I593" s="764" t="str">
        <f t="shared" si="48"/>
        <v/>
      </c>
      <c r="J593" s="595"/>
      <c r="K593"/>
      <c r="L593" s="197"/>
    </row>
    <row r="594" spans="5:12" ht="12" customHeight="1">
      <c r="E594" s="621">
        <v>586</v>
      </c>
      <c r="F594" s="761"/>
      <c r="G594" s="762"/>
      <c r="H594" s="680"/>
      <c r="I594" s="764" t="str">
        <f t="shared" si="48"/>
        <v/>
      </c>
      <c r="J594" s="595"/>
      <c r="K594"/>
      <c r="L594" s="197"/>
    </row>
    <row r="595" spans="5:12" ht="12" customHeight="1">
      <c r="E595" s="621">
        <v>587</v>
      </c>
      <c r="F595" s="761"/>
      <c r="G595" s="762"/>
      <c r="H595" s="680"/>
      <c r="I595" s="764" t="str">
        <f t="shared" si="48"/>
        <v/>
      </c>
      <c r="J595" s="595"/>
      <c r="K595"/>
      <c r="L595" s="197"/>
    </row>
    <row r="596" spans="5:12" ht="12" customHeight="1">
      <c r="E596" s="621">
        <v>588</v>
      </c>
      <c r="F596" s="761"/>
      <c r="G596" s="762"/>
      <c r="H596" s="680"/>
      <c r="I596" s="764" t="str">
        <f t="shared" si="48"/>
        <v/>
      </c>
      <c r="J596" s="595"/>
      <c r="K596"/>
      <c r="L596" s="197"/>
    </row>
    <row r="597" spans="5:12" ht="12" customHeight="1">
      <c r="E597" s="621">
        <v>589</v>
      </c>
      <c r="F597" s="761"/>
      <c r="G597" s="762"/>
      <c r="H597" s="680"/>
      <c r="I597" s="764" t="str">
        <f t="shared" si="48"/>
        <v/>
      </c>
      <c r="J597" s="595"/>
      <c r="K597"/>
      <c r="L597" s="197"/>
    </row>
    <row r="598" spans="5:12" ht="12" customHeight="1">
      <c r="E598" s="621">
        <v>590</v>
      </c>
      <c r="F598" s="761"/>
      <c r="G598" s="762"/>
      <c r="H598" s="680"/>
      <c r="I598" s="764" t="str">
        <f t="shared" si="48"/>
        <v/>
      </c>
      <c r="J598" s="595"/>
      <c r="K598"/>
      <c r="L598" s="197"/>
    </row>
    <row r="599" spans="5:12" ht="12" customHeight="1">
      <c r="E599" s="621">
        <v>591</v>
      </c>
      <c r="F599" s="761"/>
      <c r="G599" s="762"/>
      <c r="H599" s="680"/>
      <c r="I599" s="764" t="str">
        <f t="shared" si="48"/>
        <v/>
      </c>
      <c r="J599" s="595"/>
      <c r="K599"/>
      <c r="L599" s="197"/>
    </row>
    <row r="600" spans="5:12" ht="12" customHeight="1">
      <c r="E600" s="621">
        <v>592</v>
      </c>
      <c r="F600" s="761"/>
      <c r="G600" s="762"/>
      <c r="H600" s="680"/>
      <c r="I600" s="764" t="str">
        <f t="shared" si="48"/>
        <v/>
      </c>
      <c r="J600" s="595"/>
      <c r="K600"/>
      <c r="L600" s="197"/>
    </row>
    <row r="601" spans="5:12" ht="12" customHeight="1">
      <c r="E601" s="621">
        <v>593</v>
      </c>
      <c r="F601" s="761"/>
      <c r="G601" s="762"/>
      <c r="H601" s="680"/>
      <c r="I601" s="764" t="str">
        <f t="shared" si="48"/>
        <v/>
      </c>
      <c r="J601" s="595"/>
      <c r="K601"/>
      <c r="L601" s="197"/>
    </row>
    <row r="602" spans="5:12" ht="12" customHeight="1">
      <c r="E602" s="621">
        <v>594</v>
      </c>
      <c r="F602" s="761"/>
      <c r="G602" s="762"/>
      <c r="H602" s="680"/>
      <c r="I602" s="764" t="str">
        <f t="shared" si="48"/>
        <v/>
      </c>
      <c r="J602" s="595"/>
      <c r="K602"/>
      <c r="L602" s="197"/>
    </row>
    <row r="603" spans="5:12" ht="12" customHeight="1">
      <c r="E603" s="621">
        <v>595</v>
      </c>
      <c r="F603" s="761"/>
      <c r="G603" s="762"/>
      <c r="H603" s="680"/>
      <c r="I603" s="764" t="str">
        <f t="shared" si="48"/>
        <v/>
      </c>
      <c r="J603" s="595"/>
      <c r="K603"/>
      <c r="L603" s="197"/>
    </row>
    <row r="604" spans="5:12" ht="12" customHeight="1">
      <c r="E604" s="621">
        <v>596</v>
      </c>
      <c r="F604" s="761"/>
      <c r="G604" s="762"/>
      <c r="H604" s="680"/>
      <c r="I604" s="764" t="str">
        <f t="shared" si="48"/>
        <v/>
      </c>
      <c r="J604" s="595"/>
      <c r="K604"/>
      <c r="L604" s="197"/>
    </row>
    <row r="605" spans="5:12" ht="12" customHeight="1">
      <c r="E605" s="621">
        <v>597</v>
      </c>
      <c r="F605" s="761"/>
      <c r="G605" s="762"/>
      <c r="H605" s="680"/>
      <c r="I605" s="764" t="str">
        <f t="shared" si="48"/>
        <v/>
      </c>
      <c r="J605" s="595"/>
      <c r="K605"/>
      <c r="L605" s="197"/>
    </row>
    <row r="606" spans="5:12" ht="12" customHeight="1">
      <c r="E606" s="621">
        <v>598</v>
      </c>
      <c r="F606" s="761"/>
      <c r="G606" s="762"/>
      <c r="H606" s="680"/>
      <c r="I606" s="764" t="str">
        <f t="shared" si="48"/>
        <v/>
      </c>
      <c r="J606" s="595"/>
      <c r="K606"/>
      <c r="L606" s="197"/>
    </row>
    <row r="607" spans="5:12" ht="12" customHeight="1">
      <c r="E607" s="621">
        <v>599</v>
      </c>
      <c r="F607" s="761"/>
      <c r="G607" s="762"/>
      <c r="H607" s="680"/>
      <c r="I607" s="764" t="str">
        <f t="shared" si="48"/>
        <v/>
      </c>
      <c r="J607" s="595"/>
      <c r="K607"/>
      <c r="L607" s="197"/>
    </row>
    <row r="608" spans="5:12" ht="12" customHeight="1">
      <c r="E608" s="621">
        <v>600</v>
      </c>
      <c r="F608" s="761"/>
      <c r="G608" s="762"/>
      <c r="H608" s="680"/>
      <c r="I608" s="764" t="str">
        <f t="shared" si="48"/>
        <v/>
      </c>
      <c r="J608" s="595"/>
      <c r="K608"/>
      <c r="L608" s="197"/>
    </row>
    <row r="609" spans="5:12" ht="12" customHeight="1">
      <c r="E609" s="621">
        <v>601</v>
      </c>
      <c r="F609" s="761"/>
      <c r="G609" s="762"/>
      <c r="H609" s="680"/>
      <c r="I609" s="764" t="str">
        <f t="shared" si="48"/>
        <v/>
      </c>
      <c r="J609" s="595"/>
      <c r="K609"/>
      <c r="L609" s="197"/>
    </row>
    <row r="610" spans="5:12" ht="12" customHeight="1">
      <c r="E610" s="621">
        <v>602</v>
      </c>
      <c r="F610" s="761"/>
      <c r="G610" s="762"/>
      <c r="H610" s="680"/>
      <c r="I610" s="764" t="str">
        <f t="shared" si="48"/>
        <v/>
      </c>
      <c r="J610" s="595"/>
      <c r="K610"/>
      <c r="L610" s="197"/>
    </row>
    <row r="611" spans="5:12" ht="12" customHeight="1">
      <c r="E611" s="621">
        <v>603</v>
      </c>
      <c r="F611" s="761"/>
      <c r="G611" s="762"/>
      <c r="H611" s="680"/>
      <c r="I611" s="764" t="str">
        <f t="shared" si="48"/>
        <v/>
      </c>
      <c r="J611" s="595"/>
      <c r="K611"/>
      <c r="L611" s="197"/>
    </row>
    <row r="612" spans="5:12" ht="12" customHeight="1">
      <c r="E612" s="621">
        <v>604</v>
      </c>
      <c r="F612" s="761"/>
      <c r="G612" s="762"/>
      <c r="H612" s="680"/>
      <c r="I612" s="764" t="str">
        <f t="shared" si="48"/>
        <v/>
      </c>
      <c r="J612" s="595"/>
      <c r="K612"/>
      <c r="L612" s="197"/>
    </row>
    <row r="613" spans="5:12" ht="12" customHeight="1">
      <c r="E613" s="621">
        <v>605</v>
      </c>
      <c r="F613" s="761"/>
      <c r="G613" s="762"/>
      <c r="H613" s="680"/>
      <c r="I613" s="764" t="str">
        <f t="shared" si="48"/>
        <v/>
      </c>
      <c r="J613" s="595"/>
      <c r="K613"/>
      <c r="L613" s="197"/>
    </row>
    <row r="614" spans="5:12" ht="12" customHeight="1">
      <c r="E614" s="621">
        <v>606</v>
      </c>
      <c r="F614" s="761"/>
      <c r="G614" s="762"/>
      <c r="H614" s="680"/>
      <c r="I614" s="764" t="str">
        <f t="shared" si="48"/>
        <v/>
      </c>
      <c r="J614" s="595"/>
      <c r="K614"/>
      <c r="L614" s="197"/>
    </row>
    <row r="615" spans="5:12" ht="12" customHeight="1">
      <c r="E615" s="621">
        <v>607</v>
      </c>
      <c r="F615" s="761"/>
      <c r="G615" s="762"/>
      <c r="H615" s="680"/>
      <c r="I615" s="764" t="str">
        <f t="shared" si="48"/>
        <v/>
      </c>
      <c r="J615" s="595"/>
      <c r="K615"/>
      <c r="L615" s="197"/>
    </row>
    <row r="616" spans="5:12" ht="12" customHeight="1">
      <c r="E616" s="621">
        <v>608</v>
      </c>
      <c r="F616" s="761"/>
      <c r="G616" s="762"/>
      <c r="H616" s="680"/>
      <c r="I616" s="764" t="str">
        <f t="shared" si="48"/>
        <v/>
      </c>
      <c r="J616" s="595"/>
      <c r="K616"/>
      <c r="L616" s="197"/>
    </row>
    <row r="617" spans="5:12" ht="12" customHeight="1">
      <c r="E617" s="621">
        <v>609</v>
      </c>
      <c r="F617" s="761"/>
      <c r="G617" s="762"/>
      <c r="H617" s="680"/>
      <c r="I617" s="764" t="str">
        <f t="shared" si="48"/>
        <v/>
      </c>
      <c r="J617" s="595"/>
      <c r="K617"/>
      <c r="L617" s="197"/>
    </row>
    <row r="618" spans="5:12" ht="12" customHeight="1">
      <c r="E618" s="621">
        <v>610</v>
      </c>
      <c r="F618" s="761"/>
      <c r="G618" s="762"/>
      <c r="H618" s="680"/>
      <c r="I618" s="764" t="str">
        <f t="shared" si="48"/>
        <v/>
      </c>
      <c r="J618" s="595"/>
      <c r="K618"/>
      <c r="L618" s="197"/>
    </row>
    <row r="619" spans="5:12" ht="12" customHeight="1">
      <c r="E619" s="621">
        <v>611</v>
      </c>
      <c r="F619" s="761"/>
      <c r="G619" s="762"/>
      <c r="H619" s="680"/>
      <c r="I619" s="764" t="str">
        <f t="shared" si="48"/>
        <v/>
      </c>
      <c r="J619" s="595"/>
      <c r="K619"/>
      <c r="L619" s="197"/>
    </row>
    <row r="620" spans="5:12" ht="12" customHeight="1">
      <c r="E620" s="621">
        <v>612</v>
      </c>
      <c r="F620" s="761"/>
      <c r="G620" s="762"/>
      <c r="H620" s="680"/>
      <c r="I620" s="764" t="str">
        <f t="shared" si="48"/>
        <v/>
      </c>
      <c r="J620" s="595"/>
      <c r="K620"/>
      <c r="L620" s="197"/>
    </row>
    <row r="621" spans="5:12" ht="12" customHeight="1">
      <c r="E621" s="621">
        <v>613</v>
      </c>
      <c r="F621" s="761"/>
      <c r="G621" s="762"/>
      <c r="H621" s="680"/>
      <c r="I621" s="764" t="str">
        <f t="shared" si="48"/>
        <v/>
      </c>
      <c r="J621" s="595"/>
      <c r="K621"/>
      <c r="L621" s="197"/>
    </row>
    <row r="622" spans="5:12" ht="12" customHeight="1">
      <c r="E622" s="621">
        <v>614</v>
      </c>
      <c r="F622" s="761"/>
      <c r="G622" s="762"/>
      <c r="H622" s="680"/>
      <c r="I622" s="764" t="str">
        <f t="shared" si="48"/>
        <v/>
      </c>
      <c r="J622" s="595"/>
      <c r="K622"/>
      <c r="L622" s="197"/>
    </row>
    <row r="623" spans="5:12" ht="12" customHeight="1">
      <c r="E623" s="621">
        <v>615</v>
      </c>
      <c r="F623" s="761"/>
      <c r="G623" s="762"/>
      <c r="H623" s="680"/>
      <c r="I623" s="764" t="str">
        <f t="shared" si="48"/>
        <v/>
      </c>
      <c r="J623" s="595"/>
      <c r="K623"/>
      <c r="L623" s="197"/>
    </row>
    <row r="624" spans="5:12" ht="12" customHeight="1">
      <c r="E624" s="621">
        <v>616</v>
      </c>
      <c r="F624" s="761"/>
      <c r="G624" s="762"/>
      <c r="H624" s="680"/>
      <c r="I624" s="764" t="str">
        <f t="shared" si="48"/>
        <v/>
      </c>
      <c r="J624" s="595"/>
      <c r="K624"/>
      <c r="L624" s="197"/>
    </row>
    <row r="625" spans="5:12" ht="12" customHeight="1">
      <c r="E625" s="621">
        <v>617</v>
      </c>
      <c r="F625" s="761"/>
      <c r="G625" s="762"/>
      <c r="H625" s="680"/>
      <c r="I625" s="764" t="str">
        <f t="shared" si="48"/>
        <v/>
      </c>
      <c r="J625" s="595"/>
      <c r="K625"/>
      <c r="L625" s="197"/>
    </row>
    <row r="626" spans="5:12" ht="12" customHeight="1">
      <c r="E626" s="621">
        <v>618</v>
      </c>
      <c r="F626" s="761"/>
      <c r="G626" s="762"/>
      <c r="H626" s="680"/>
      <c r="I626" s="764" t="str">
        <f t="shared" si="48"/>
        <v/>
      </c>
      <c r="J626" s="595"/>
      <c r="K626"/>
      <c r="L626" s="197"/>
    </row>
    <row r="627" spans="5:12" ht="12" customHeight="1">
      <c r="E627" s="621">
        <v>619</v>
      </c>
      <c r="F627" s="761"/>
      <c r="G627" s="762"/>
      <c r="H627" s="680"/>
      <c r="I627" s="764" t="str">
        <f t="shared" si="48"/>
        <v/>
      </c>
      <c r="J627" s="595"/>
      <c r="K627"/>
      <c r="L627" s="197"/>
    </row>
    <row r="628" spans="5:12" ht="12" customHeight="1">
      <c r="E628" s="621">
        <v>620</v>
      </c>
      <c r="F628" s="761"/>
      <c r="G628" s="762"/>
      <c r="H628" s="680"/>
      <c r="I628" s="764" t="str">
        <f t="shared" si="48"/>
        <v/>
      </c>
      <c r="J628" s="595"/>
      <c r="K628"/>
      <c r="L628" s="197"/>
    </row>
    <row r="629" spans="5:12" ht="12" customHeight="1">
      <c r="E629" s="621">
        <v>621</v>
      </c>
      <c r="F629" s="761"/>
      <c r="G629" s="762"/>
      <c r="H629" s="680"/>
      <c r="I629" s="764" t="str">
        <f t="shared" si="48"/>
        <v/>
      </c>
      <c r="J629" s="595"/>
      <c r="K629"/>
      <c r="L629" s="197"/>
    </row>
    <row r="630" spans="5:12" ht="12" customHeight="1">
      <c r="E630" s="621">
        <v>622</v>
      </c>
      <c r="F630" s="761"/>
      <c r="G630" s="762"/>
      <c r="H630" s="680"/>
      <c r="I630" s="764" t="str">
        <f t="shared" si="48"/>
        <v/>
      </c>
      <c r="J630" s="595"/>
      <c r="K630"/>
      <c r="L630" s="197"/>
    </row>
    <row r="631" spans="5:12" ht="12" customHeight="1">
      <c r="E631" s="621">
        <v>623</v>
      </c>
      <c r="F631" s="761"/>
      <c r="G631" s="762"/>
      <c r="H631" s="680"/>
      <c r="I631" s="764" t="str">
        <f t="shared" si="48"/>
        <v/>
      </c>
      <c r="J631" s="595"/>
      <c r="K631"/>
      <c r="L631" s="197"/>
    </row>
    <row r="632" spans="5:12" ht="12" customHeight="1">
      <c r="E632" s="621">
        <v>624</v>
      </c>
      <c r="F632" s="761"/>
      <c r="G632" s="762"/>
      <c r="H632" s="680"/>
      <c r="I632" s="764" t="str">
        <f t="shared" si="48"/>
        <v/>
      </c>
      <c r="J632" s="595"/>
      <c r="K632"/>
      <c r="L632" s="197"/>
    </row>
    <row r="633" spans="5:12" ht="12" customHeight="1">
      <c r="E633" s="621">
        <v>625</v>
      </c>
      <c r="F633" s="761"/>
      <c r="G633" s="762"/>
      <c r="H633" s="680"/>
      <c r="I633" s="764" t="str">
        <f t="shared" si="48"/>
        <v/>
      </c>
      <c r="J633" s="595"/>
      <c r="K633"/>
      <c r="L633" s="197"/>
    </row>
    <row r="634" spans="5:12" ht="12" customHeight="1">
      <c r="E634" s="621">
        <v>626</v>
      </c>
      <c r="F634" s="761"/>
      <c r="G634" s="762"/>
      <c r="H634" s="680"/>
      <c r="I634" s="764" t="str">
        <f t="shared" si="48"/>
        <v/>
      </c>
      <c r="J634" s="595"/>
      <c r="K634"/>
      <c r="L634" s="197"/>
    </row>
    <row r="635" spans="5:12" ht="12" customHeight="1">
      <c r="E635" s="621">
        <v>627</v>
      </c>
      <c r="F635" s="761"/>
      <c r="G635" s="762"/>
      <c r="H635" s="680"/>
      <c r="I635" s="764" t="str">
        <f t="shared" si="48"/>
        <v/>
      </c>
      <c r="J635" s="595"/>
      <c r="K635"/>
      <c r="L635" s="197"/>
    </row>
    <row r="636" spans="5:12" ht="12" customHeight="1">
      <c r="E636" s="621">
        <v>628</v>
      </c>
      <c r="F636" s="761"/>
      <c r="G636" s="762"/>
      <c r="H636" s="680"/>
      <c r="I636" s="764" t="str">
        <f t="shared" si="48"/>
        <v/>
      </c>
      <c r="J636" s="595"/>
      <c r="K636"/>
      <c r="L636" s="197"/>
    </row>
    <row r="637" spans="5:12" ht="12" customHeight="1">
      <c r="E637" s="621">
        <v>629</v>
      </c>
      <c r="F637" s="761"/>
      <c r="G637" s="762"/>
      <c r="H637" s="680"/>
      <c r="I637" s="764" t="str">
        <f t="shared" si="48"/>
        <v/>
      </c>
      <c r="J637" s="595"/>
      <c r="K637"/>
      <c r="L637" s="197"/>
    </row>
    <row r="638" spans="5:12" ht="12" customHeight="1">
      <c r="E638" s="621">
        <v>630</v>
      </c>
      <c r="F638" s="761"/>
      <c r="G638" s="762"/>
      <c r="H638" s="680"/>
      <c r="I638" s="764" t="str">
        <f t="shared" si="48"/>
        <v/>
      </c>
      <c r="J638" s="595"/>
      <c r="K638"/>
      <c r="L638" s="197"/>
    </row>
    <row r="639" spans="5:12" ht="12" customHeight="1">
      <c r="E639" s="621">
        <v>631</v>
      </c>
      <c r="F639" s="761"/>
      <c r="G639" s="762"/>
      <c r="H639" s="680"/>
      <c r="I639" s="764" t="str">
        <f t="shared" si="48"/>
        <v/>
      </c>
      <c r="J639" s="595"/>
      <c r="K639"/>
      <c r="L639" s="197"/>
    </row>
    <row r="640" spans="5:12" ht="12" customHeight="1">
      <c r="E640" s="621">
        <v>632</v>
      </c>
      <c r="F640" s="761"/>
      <c r="G640" s="762"/>
      <c r="H640" s="680"/>
      <c r="I640" s="764" t="str">
        <f t="shared" si="48"/>
        <v/>
      </c>
      <c r="J640" s="595"/>
      <c r="K640"/>
      <c r="L640" s="197"/>
    </row>
    <row r="641" spans="5:12" ht="12" customHeight="1">
      <c r="E641" s="621">
        <v>633</v>
      </c>
      <c r="F641" s="761"/>
      <c r="G641" s="762"/>
      <c r="H641" s="680"/>
      <c r="I641" s="764" t="str">
        <f t="shared" si="48"/>
        <v/>
      </c>
      <c r="J641" s="595"/>
      <c r="K641"/>
      <c r="L641" s="197"/>
    </row>
    <row r="642" spans="5:12" ht="12" customHeight="1">
      <c r="E642" s="621">
        <v>634</v>
      </c>
      <c r="F642" s="761"/>
      <c r="G642" s="762"/>
      <c r="H642" s="680"/>
      <c r="I642" s="764" t="str">
        <f t="shared" si="48"/>
        <v/>
      </c>
      <c r="J642" s="595"/>
      <c r="K642"/>
      <c r="L642" s="197"/>
    </row>
    <row r="643" spans="5:12" ht="12" customHeight="1">
      <c r="E643" s="621">
        <v>635</v>
      </c>
      <c r="F643" s="761"/>
      <c r="G643" s="762"/>
      <c r="H643" s="680"/>
      <c r="I643" s="764" t="str">
        <f t="shared" si="48"/>
        <v/>
      </c>
      <c r="J643" s="595"/>
      <c r="K643"/>
      <c r="L643" s="197"/>
    </row>
    <row r="644" spans="5:12" ht="12" customHeight="1">
      <c r="E644" s="621">
        <v>636</v>
      </c>
      <c r="F644" s="761"/>
      <c r="G644" s="762"/>
      <c r="H644" s="680"/>
      <c r="I644" s="764" t="str">
        <f t="shared" si="48"/>
        <v/>
      </c>
      <c r="J644" s="595"/>
      <c r="K644"/>
      <c r="L644" s="197"/>
    </row>
    <row r="645" spans="5:12" ht="12" customHeight="1">
      <c r="E645" s="621">
        <v>637</v>
      </c>
      <c r="F645" s="761"/>
      <c r="G645" s="762"/>
      <c r="H645" s="680"/>
      <c r="I645" s="764" t="str">
        <f t="shared" si="48"/>
        <v/>
      </c>
      <c r="J645" s="595"/>
      <c r="K645"/>
      <c r="L645" s="197"/>
    </row>
    <row r="646" spans="5:12" ht="12" customHeight="1">
      <c r="E646" s="621">
        <v>638</v>
      </c>
      <c r="F646" s="761"/>
      <c r="G646" s="762"/>
      <c r="H646" s="680"/>
      <c r="I646" s="764" t="str">
        <f t="shared" si="48"/>
        <v/>
      </c>
      <c r="J646" s="595"/>
      <c r="K646"/>
      <c r="L646" s="197"/>
    </row>
    <row r="647" spans="5:12" ht="12" customHeight="1">
      <c r="E647" s="621">
        <v>639</v>
      </c>
      <c r="F647" s="761"/>
      <c r="G647" s="762"/>
      <c r="H647" s="680"/>
      <c r="I647" s="764" t="str">
        <f t="shared" si="48"/>
        <v/>
      </c>
      <c r="J647" s="595"/>
      <c r="K647"/>
      <c r="L647" s="197"/>
    </row>
    <row r="648" spans="5:12" ht="12" customHeight="1">
      <c r="E648" s="621">
        <v>640</v>
      </c>
      <c r="F648" s="761"/>
      <c r="G648" s="762"/>
      <c r="H648" s="680"/>
      <c r="I648" s="764" t="str">
        <f t="shared" si="48"/>
        <v/>
      </c>
      <c r="J648" s="595"/>
      <c r="K648"/>
      <c r="L648" s="197"/>
    </row>
    <row r="649" spans="5:12" ht="12" customHeight="1">
      <c r="E649" s="621">
        <v>641</v>
      </c>
      <c r="F649" s="761"/>
      <c r="G649" s="762"/>
      <c r="H649" s="680"/>
      <c r="I649" s="764" t="str">
        <f t="shared" ref="I649:I712" si="49">IF(AND(F649&lt;&gt;"",G649&lt;&gt;""),G649-F649,"")</f>
        <v/>
      </c>
      <c r="J649" s="595"/>
      <c r="K649"/>
      <c r="L649" s="197"/>
    </row>
    <row r="650" spans="5:12" ht="12" customHeight="1">
      <c r="E650" s="621">
        <v>642</v>
      </c>
      <c r="F650" s="761"/>
      <c r="G650" s="762"/>
      <c r="H650" s="680"/>
      <c r="I650" s="764" t="str">
        <f t="shared" si="49"/>
        <v/>
      </c>
      <c r="J650" s="595"/>
      <c r="K650"/>
      <c r="L650" s="197"/>
    </row>
    <row r="651" spans="5:12" ht="12" customHeight="1">
      <c r="E651" s="621">
        <v>643</v>
      </c>
      <c r="F651" s="761"/>
      <c r="G651" s="762"/>
      <c r="H651" s="680"/>
      <c r="I651" s="764" t="str">
        <f t="shared" si="49"/>
        <v/>
      </c>
      <c r="J651" s="595"/>
      <c r="K651"/>
      <c r="L651" s="197"/>
    </row>
    <row r="652" spans="5:12" ht="12" customHeight="1">
      <c r="E652" s="621">
        <v>644</v>
      </c>
      <c r="F652" s="761"/>
      <c r="G652" s="762"/>
      <c r="H652" s="680"/>
      <c r="I652" s="764" t="str">
        <f t="shared" si="49"/>
        <v/>
      </c>
      <c r="J652" s="595"/>
      <c r="K652"/>
      <c r="L652" s="197"/>
    </row>
    <row r="653" spans="5:12" ht="12" customHeight="1">
      <c r="E653" s="621">
        <v>645</v>
      </c>
      <c r="F653" s="761"/>
      <c r="G653" s="762"/>
      <c r="H653" s="680"/>
      <c r="I653" s="764" t="str">
        <f t="shared" si="49"/>
        <v/>
      </c>
      <c r="J653" s="595"/>
      <c r="K653"/>
      <c r="L653" s="197"/>
    </row>
    <row r="654" spans="5:12" ht="12" customHeight="1">
      <c r="E654" s="621">
        <v>646</v>
      </c>
      <c r="F654" s="761"/>
      <c r="G654" s="762"/>
      <c r="H654" s="680"/>
      <c r="I654" s="764" t="str">
        <f t="shared" si="49"/>
        <v/>
      </c>
      <c r="J654" s="595"/>
      <c r="K654"/>
      <c r="L654" s="197"/>
    </row>
    <row r="655" spans="5:12" ht="12" customHeight="1">
      <c r="E655" s="621">
        <v>647</v>
      </c>
      <c r="F655" s="761"/>
      <c r="G655" s="762"/>
      <c r="H655" s="680"/>
      <c r="I655" s="764" t="str">
        <f t="shared" si="49"/>
        <v/>
      </c>
      <c r="J655" s="595"/>
      <c r="K655"/>
      <c r="L655" s="197"/>
    </row>
    <row r="656" spans="5:12" ht="12" customHeight="1">
      <c r="E656" s="621">
        <v>648</v>
      </c>
      <c r="F656" s="761"/>
      <c r="G656" s="762"/>
      <c r="H656" s="680"/>
      <c r="I656" s="764" t="str">
        <f t="shared" si="49"/>
        <v/>
      </c>
      <c r="J656" s="595"/>
      <c r="K656"/>
      <c r="L656" s="197"/>
    </row>
    <row r="657" spans="5:12" ht="12" customHeight="1">
      <c r="E657" s="621">
        <v>649</v>
      </c>
      <c r="F657" s="761"/>
      <c r="G657" s="762"/>
      <c r="H657" s="680"/>
      <c r="I657" s="764" t="str">
        <f t="shared" si="49"/>
        <v/>
      </c>
      <c r="J657" s="595"/>
      <c r="K657"/>
      <c r="L657" s="197"/>
    </row>
    <row r="658" spans="5:12" ht="12" customHeight="1">
      <c r="E658" s="621">
        <v>650</v>
      </c>
      <c r="F658" s="761"/>
      <c r="G658" s="762"/>
      <c r="H658" s="680"/>
      <c r="I658" s="764" t="str">
        <f t="shared" si="49"/>
        <v/>
      </c>
      <c r="J658" s="595"/>
      <c r="K658"/>
      <c r="L658" s="197"/>
    </row>
    <row r="659" spans="5:12" ht="12" customHeight="1">
      <c r="E659" s="621">
        <v>651</v>
      </c>
      <c r="F659" s="761"/>
      <c r="G659" s="762"/>
      <c r="H659" s="680"/>
      <c r="I659" s="764" t="str">
        <f t="shared" si="49"/>
        <v/>
      </c>
      <c r="J659" s="595"/>
      <c r="K659"/>
      <c r="L659" s="197"/>
    </row>
    <row r="660" spans="5:12" ht="12" customHeight="1">
      <c r="E660" s="621">
        <v>652</v>
      </c>
      <c r="F660" s="761"/>
      <c r="G660" s="762"/>
      <c r="H660" s="680"/>
      <c r="I660" s="764" t="str">
        <f t="shared" si="49"/>
        <v/>
      </c>
      <c r="J660" s="595"/>
      <c r="K660"/>
      <c r="L660" s="197"/>
    </row>
    <row r="661" spans="5:12" ht="12" customHeight="1">
      <c r="E661" s="621">
        <v>653</v>
      </c>
      <c r="F661" s="761"/>
      <c r="G661" s="762"/>
      <c r="H661" s="680"/>
      <c r="I661" s="764" t="str">
        <f t="shared" si="49"/>
        <v/>
      </c>
      <c r="J661" s="595"/>
      <c r="K661"/>
      <c r="L661" s="197"/>
    </row>
    <row r="662" spans="5:12" ht="12" customHeight="1">
      <c r="E662" s="621">
        <v>654</v>
      </c>
      <c r="F662" s="761"/>
      <c r="G662" s="762"/>
      <c r="H662" s="680"/>
      <c r="I662" s="764" t="str">
        <f t="shared" si="49"/>
        <v/>
      </c>
      <c r="J662" s="595"/>
      <c r="K662"/>
      <c r="L662" s="197"/>
    </row>
    <row r="663" spans="5:12" ht="12" customHeight="1">
      <c r="E663" s="621">
        <v>655</v>
      </c>
      <c r="F663" s="761"/>
      <c r="G663" s="762"/>
      <c r="H663" s="680"/>
      <c r="I663" s="764" t="str">
        <f t="shared" si="49"/>
        <v/>
      </c>
      <c r="J663" s="595"/>
      <c r="K663"/>
      <c r="L663" s="197"/>
    </row>
    <row r="664" spans="5:12" ht="12" customHeight="1">
      <c r="E664" s="621">
        <v>656</v>
      </c>
      <c r="F664" s="761"/>
      <c r="G664" s="762"/>
      <c r="H664" s="680"/>
      <c r="I664" s="764" t="str">
        <f t="shared" si="49"/>
        <v/>
      </c>
      <c r="J664" s="595"/>
      <c r="K664"/>
      <c r="L664" s="197"/>
    </row>
    <row r="665" spans="5:12" ht="12" customHeight="1">
      <c r="E665" s="621">
        <v>657</v>
      </c>
      <c r="F665" s="761"/>
      <c r="G665" s="762"/>
      <c r="H665" s="680"/>
      <c r="I665" s="764" t="str">
        <f t="shared" si="49"/>
        <v/>
      </c>
      <c r="J665" s="595"/>
      <c r="K665"/>
      <c r="L665" s="197"/>
    </row>
    <row r="666" spans="5:12" ht="12" customHeight="1">
      <c r="E666" s="621">
        <v>658</v>
      </c>
      <c r="F666" s="761"/>
      <c r="G666" s="762"/>
      <c r="H666" s="680"/>
      <c r="I666" s="764" t="str">
        <f t="shared" si="49"/>
        <v/>
      </c>
      <c r="J666" s="595"/>
      <c r="K666"/>
      <c r="L666" s="197"/>
    </row>
    <row r="667" spans="5:12" ht="12" customHeight="1">
      <c r="E667" s="621">
        <v>659</v>
      </c>
      <c r="F667" s="761"/>
      <c r="G667" s="762"/>
      <c r="H667" s="680"/>
      <c r="I667" s="764" t="str">
        <f t="shared" si="49"/>
        <v/>
      </c>
      <c r="J667" s="595"/>
      <c r="K667"/>
      <c r="L667" s="197"/>
    </row>
    <row r="668" spans="5:12" ht="12" customHeight="1">
      <c r="E668" s="621">
        <v>660</v>
      </c>
      <c r="F668" s="761"/>
      <c r="G668" s="762"/>
      <c r="H668" s="680"/>
      <c r="I668" s="764" t="str">
        <f t="shared" si="49"/>
        <v/>
      </c>
      <c r="J668" s="595"/>
      <c r="K668"/>
      <c r="L668" s="197"/>
    </row>
    <row r="669" spans="5:12" ht="12" customHeight="1">
      <c r="E669" s="621">
        <v>661</v>
      </c>
      <c r="F669" s="761"/>
      <c r="G669" s="762"/>
      <c r="H669" s="680"/>
      <c r="I669" s="764" t="str">
        <f t="shared" si="49"/>
        <v/>
      </c>
      <c r="J669" s="595"/>
      <c r="K669"/>
      <c r="L669" s="197"/>
    </row>
    <row r="670" spans="5:12" ht="12" customHeight="1">
      <c r="E670" s="621">
        <v>662</v>
      </c>
      <c r="F670" s="761"/>
      <c r="G670" s="762"/>
      <c r="H670" s="680"/>
      <c r="I670" s="764" t="str">
        <f t="shared" si="49"/>
        <v/>
      </c>
      <c r="J670" s="595"/>
      <c r="K670"/>
      <c r="L670" s="197"/>
    </row>
    <row r="671" spans="5:12" ht="12" customHeight="1">
      <c r="E671" s="621">
        <v>663</v>
      </c>
      <c r="F671" s="761"/>
      <c r="G671" s="762"/>
      <c r="H671" s="680"/>
      <c r="I671" s="764" t="str">
        <f t="shared" si="49"/>
        <v/>
      </c>
      <c r="J671" s="595"/>
      <c r="K671"/>
      <c r="L671" s="197"/>
    </row>
    <row r="672" spans="5:12" ht="12" customHeight="1">
      <c r="E672" s="621">
        <v>664</v>
      </c>
      <c r="F672" s="761"/>
      <c r="G672" s="762"/>
      <c r="H672" s="680"/>
      <c r="I672" s="764" t="str">
        <f t="shared" si="49"/>
        <v/>
      </c>
      <c r="J672" s="595"/>
      <c r="K672"/>
      <c r="L672" s="197"/>
    </row>
    <row r="673" spans="5:12" ht="12" customHeight="1">
      <c r="E673" s="621">
        <v>665</v>
      </c>
      <c r="F673" s="761"/>
      <c r="G673" s="762"/>
      <c r="H673" s="680"/>
      <c r="I673" s="764" t="str">
        <f t="shared" si="49"/>
        <v/>
      </c>
      <c r="J673" s="595"/>
      <c r="K673"/>
      <c r="L673" s="197"/>
    </row>
    <row r="674" spans="5:12" ht="12" customHeight="1">
      <c r="E674" s="621">
        <v>666</v>
      </c>
      <c r="F674" s="761"/>
      <c r="G674" s="762"/>
      <c r="H674" s="680"/>
      <c r="I674" s="764" t="str">
        <f t="shared" si="49"/>
        <v/>
      </c>
      <c r="J674" s="595"/>
      <c r="K674"/>
      <c r="L674" s="197"/>
    </row>
    <row r="675" spans="5:12" ht="12" customHeight="1">
      <c r="E675" s="621">
        <v>667</v>
      </c>
      <c r="F675" s="761"/>
      <c r="G675" s="762"/>
      <c r="H675" s="680"/>
      <c r="I675" s="764" t="str">
        <f t="shared" si="49"/>
        <v/>
      </c>
      <c r="J675" s="595"/>
      <c r="K675"/>
      <c r="L675" s="197"/>
    </row>
    <row r="676" spans="5:12" ht="12" customHeight="1">
      <c r="E676" s="621">
        <v>668</v>
      </c>
      <c r="F676" s="761"/>
      <c r="G676" s="762"/>
      <c r="H676" s="680"/>
      <c r="I676" s="764" t="str">
        <f t="shared" si="49"/>
        <v/>
      </c>
      <c r="J676" s="595"/>
      <c r="K676"/>
      <c r="L676" s="197"/>
    </row>
    <row r="677" spans="5:12" ht="12" customHeight="1">
      <c r="E677" s="621">
        <v>669</v>
      </c>
      <c r="F677" s="761"/>
      <c r="G677" s="762"/>
      <c r="H677" s="680"/>
      <c r="I677" s="764" t="str">
        <f t="shared" si="49"/>
        <v/>
      </c>
      <c r="J677" s="595"/>
      <c r="K677"/>
      <c r="L677" s="197"/>
    </row>
    <row r="678" spans="5:12" ht="12" customHeight="1">
      <c r="E678" s="621">
        <v>670</v>
      </c>
      <c r="F678" s="761"/>
      <c r="G678" s="762"/>
      <c r="H678" s="680"/>
      <c r="I678" s="764" t="str">
        <f t="shared" si="49"/>
        <v/>
      </c>
      <c r="J678" s="595"/>
      <c r="K678"/>
      <c r="L678" s="197"/>
    </row>
    <row r="679" spans="5:12" ht="12" customHeight="1">
      <c r="E679" s="621">
        <v>671</v>
      </c>
      <c r="F679" s="761"/>
      <c r="G679" s="762"/>
      <c r="H679" s="680"/>
      <c r="I679" s="764" t="str">
        <f t="shared" si="49"/>
        <v/>
      </c>
      <c r="J679" s="595"/>
      <c r="K679"/>
      <c r="L679" s="197"/>
    </row>
    <row r="680" spans="5:12" ht="12" customHeight="1">
      <c r="E680" s="621">
        <v>672</v>
      </c>
      <c r="F680" s="761"/>
      <c r="G680" s="762"/>
      <c r="H680" s="680"/>
      <c r="I680" s="764" t="str">
        <f t="shared" si="49"/>
        <v/>
      </c>
      <c r="J680" s="595"/>
      <c r="K680"/>
      <c r="L680" s="197"/>
    </row>
    <row r="681" spans="5:12" ht="12" customHeight="1">
      <c r="E681" s="621">
        <v>673</v>
      </c>
      <c r="F681" s="761"/>
      <c r="G681" s="762"/>
      <c r="H681" s="680"/>
      <c r="I681" s="764" t="str">
        <f t="shared" si="49"/>
        <v/>
      </c>
      <c r="J681" s="595"/>
      <c r="K681"/>
      <c r="L681" s="197"/>
    </row>
    <row r="682" spans="5:12" ht="12" customHeight="1">
      <c r="E682" s="621">
        <v>674</v>
      </c>
      <c r="F682" s="761"/>
      <c r="G682" s="762"/>
      <c r="H682" s="680"/>
      <c r="I682" s="764" t="str">
        <f t="shared" si="49"/>
        <v/>
      </c>
      <c r="J682" s="595"/>
      <c r="K682"/>
      <c r="L682" s="197"/>
    </row>
    <row r="683" spans="5:12" ht="12" customHeight="1">
      <c r="E683" s="621">
        <v>675</v>
      </c>
      <c r="F683" s="761"/>
      <c r="G683" s="762"/>
      <c r="H683" s="680"/>
      <c r="I683" s="764" t="str">
        <f t="shared" si="49"/>
        <v/>
      </c>
      <c r="J683" s="595"/>
      <c r="K683"/>
      <c r="L683" s="197"/>
    </row>
    <row r="684" spans="5:12" ht="12" customHeight="1">
      <c r="E684" s="621">
        <v>676</v>
      </c>
      <c r="F684" s="761"/>
      <c r="G684" s="762"/>
      <c r="H684" s="680"/>
      <c r="I684" s="764" t="str">
        <f t="shared" si="49"/>
        <v/>
      </c>
      <c r="J684" s="595"/>
      <c r="K684"/>
      <c r="L684" s="197"/>
    </row>
    <row r="685" spans="5:12" ht="12" customHeight="1">
      <c r="E685" s="621">
        <v>677</v>
      </c>
      <c r="F685" s="761"/>
      <c r="G685" s="762"/>
      <c r="H685" s="680"/>
      <c r="I685" s="764" t="str">
        <f t="shared" si="49"/>
        <v/>
      </c>
      <c r="J685" s="595"/>
      <c r="K685"/>
      <c r="L685" s="197"/>
    </row>
    <row r="686" spans="5:12" ht="12" customHeight="1">
      <c r="E686" s="621">
        <v>678</v>
      </c>
      <c r="F686" s="761"/>
      <c r="G686" s="762"/>
      <c r="H686" s="680"/>
      <c r="I686" s="764" t="str">
        <f t="shared" si="49"/>
        <v/>
      </c>
      <c r="J686" s="595"/>
      <c r="K686"/>
      <c r="L686" s="197"/>
    </row>
    <row r="687" spans="5:12" ht="12" customHeight="1">
      <c r="E687" s="621">
        <v>679</v>
      </c>
      <c r="F687" s="761"/>
      <c r="G687" s="762"/>
      <c r="H687" s="680"/>
      <c r="I687" s="764" t="str">
        <f t="shared" si="49"/>
        <v/>
      </c>
      <c r="J687" s="595"/>
      <c r="K687"/>
      <c r="L687" s="197"/>
    </row>
    <row r="688" spans="5:12" ht="12" customHeight="1">
      <c r="E688" s="621">
        <v>680</v>
      </c>
      <c r="F688" s="761"/>
      <c r="G688" s="762"/>
      <c r="H688" s="680"/>
      <c r="I688" s="764" t="str">
        <f t="shared" si="49"/>
        <v/>
      </c>
      <c r="J688" s="595"/>
      <c r="K688"/>
      <c r="L688" s="197"/>
    </row>
    <row r="689" spans="5:12" ht="12" customHeight="1">
      <c r="E689" s="621">
        <v>681</v>
      </c>
      <c r="F689" s="761"/>
      <c r="G689" s="762"/>
      <c r="H689" s="680"/>
      <c r="I689" s="764" t="str">
        <f t="shared" si="49"/>
        <v/>
      </c>
      <c r="J689" s="595"/>
      <c r="K689"/>
      <c r="L689" s="197"/>
    </row>
    <row r="690" spans="5:12" ht="12" customHeight="1">
      <c r="E690" s="621">
        <v>682</v>
      </c>
      <c r="F690" s="761"/>
      <c r="G690" s="762"/>
      <c r="H690" s="680"/>
      <c r="I690" s="764" t="str">
        <f t="shared" si="49"/>
        <v/>
      </c>
      <c r="J690" s="595"/>
      <c r="K690"/>
      <c r="L690" s="197"/>
    </row>
    <row r="691" spans="5:12" ht="12" customHeight="1">
      <c r="E691" s="621">
        <v>683</v>
      </c>
      <c r="F691" s="761"/>
      <c r="G691" s="762"/>
      <c r="H691" s="680"/>
      <c r="I691" s="764" t="str">
        <f t="shared" si="49"/>
        <v/>
      </c>
      <c r="J691" s="595"/>
      <c r="K691"/>
      <c r="L691" s="197"/>
    </row>
    <row r="692" spans="5:12" ht="12" customHeight="1">
      <c r="E692" s="621">
        <v>684</v>
      </c>
      <c r="F692" s="761"/>
      <c r="G692" s="762"/>
      <c r="H692" s="680"/>
      <c r="I692" s="764" t="str">
        <f t="shared" si="49"/>
        <v/>
      </c>
      <c r="J692" s="595"/>
      <c r="K692"/>
      <c r="L692" s="197"/>
    </row>
    <row r="693" spans="5:12" ht="12" customHeight="1">
      <c r="E693" s="621">
        <v>685</v>
      </c>
      <c r="F693" s="761"/>
      <c r="G693" s="762"/>
      <c r="H693" s="680"/>
      <c r="I693" s="764" t="str">
        <f t="shared" si="49"/>
        <v/>
      </c>
      <c r="J693" s="595"/>
      <c r="K693"/>
      <c r="L693" s="197"/>
    </row>
    <row r="694" spans="5:12" ht="12" customHeight="1">
      <c r="E694" s="621">
        <v>686</v>
      </c>
      <c r="F694" s="761"/>
      <c r="G694" s="762"/>
      <c r="H694" s="680"/>
      <c r="I694" s="764" t="str">
        <f t="shared" si="49"/>
        <v/>
      </c>
      <c r="J694" s="595"/>
      <c r="K694"/>
      <c r="L694" s="197"/>
    </row>
    <row r="695" spans="5:12" ht="12" customHeight="1">
      <c r="E695" s="621">
        <v>687</v>
      </c>
      <c r="F695" s="761"/>
      <c r="G695" s="762"/>
      <c r="H695" s="680"/>
      <c r="I695" s="764" t="str">
        <f t="shared" si="49"/>
        <v/>
      </c>
      <c r="J695" s="595"/>
      <c r="K695"/>
      <c r="L695" s="197"/>
    </row>
    <row r="696" spans="5:12" ht="12" customHeight="1">
      <c r="E696" s="621">
        <v>688</v>
      </c>
      <c r="F696" s="761"/>
      <c r="G696" s="762"/>
      <c r="H696" s="680"/>
      <c r="I696" s="764" t="str">
        <f t="shared" si="49"/>
        <v/>
      </c>
      <c r="J696" s="595"/>
      <c r="K696"/>
      <c r="L696" s="197"/>
    </row>
    <row r="697" spans="5:12" ht="12" customHeight="1">
      <c r="E697" s="621">
        <v>689</v>
      </c>
      <c r="F697" s="761"/>
      <c r="G697" s="762"/>
      <c r="H697" s="680"/>
      <c r="I697" s="764" t="str">
        <f t="shared" si="49"/>
        <v/>
      </c>
      <c r="J697" s="595"/>
      <c r="K697"/>
      <c r="L697" s="197"/>
    </row>
    <row r="698" spans="5:12" ht="12" customHeight="1">
      <c r="E698" s="621">
        <v>690</v>
      </c>
      <c r="F698" s="761"/>
      <c r="G698" s="762"/>
      <c r="H698" s="680"/>
      <c r="I698" s="764" t="str">
        <f t="shared" si="49"/>
        <v/>
      </c>
      <c r="J698" s="595"/>
      <c r="K698"/>
      <c r="L698" s="197"/>
    </row>
    <row r="699" spans="5:12" ht="12" customHeight="1">
      <c r="E699" s="621">
        <v>691</v>
      </c>
      <c r="F699" s="761"/>
      <c r="G699" s="762"/>
      <c r="H699" s="680"/>
      <c r="I699" s="764" t="str">
        <f t="shared" si="49"/>
        <v/>
      </c>
      <c r="J699" s="595"/>
      <c r="K699"/>
      <c r="L699" s="197"/>
    </row>
    <row r="700" spans="5:12" ht="12" customHeight="1">
      <c r="E700" s="621">
        <v>692</v>
      </c>
      <c r="F700" s="761"/>
      <c r="G700" s="762"/>
      <c r="H700" s="680"/>
      <c r="I700" s="764" t="str">
        <f t="shared" si="49"/>
        <v/>
      </c>
      <c r="J700" s="595"/>
      <c r="K700"/>
      <c r="L700" s="197"/>
    </row>
    <row r="701" spans="5:12" ht="12" customHeight="1">
      <c r="E701" s="621">
        <v>693</v>
      </c>
      <c r="F701" s="761"/>
      <c r="G701" s="762"/>
      <c r="H701" s="680"/>
      <c r="I701" s="764" t="str">
        <f t="shared" si="49"/>
        <v/>
      </c>
      <c r="J701" s="595"/>
      <c r="K701"/>
      <c r="L701" s="197"/>
    </row>
    <row r="702" spans="5:12" ht="12" customHeight="1">
      <c r="E702" s="621">
        <v>694</v>
      </c>
      <c r="F702" s="761"/>
      <c r="G702" s="762"/>
      <c r="H702" s="680"/>
      <c r="I702" s="764" t="str">
        <f t="shared" si="49"/>
        <v/>
      </c>
      <c r="J702" s="595"/>
      <c r="K702"/>
      <c r="L702" s="197"/>
    </row>
    <row r="703" spans="5:12" ht="12" customHeight="1">
      <c r="E703" s="621">
        <v>695</v>
      </c>
      <c r="F703" s="761"/>
      <c r="G703" s="762"/>
      <c r="H703" s="680"/>
      <c r="I703" s="764" t="str">
        <f t="shared" si="49"/>
        <v/>
      </c>
      <c r="J703" s="595"/>
      <c r="K703"/>
      <c r="L703" s="197"/>
    </row>
    <row r="704" spans="5:12" ht="12" customHeight="1">
      <c r="E704" s="621">
        <v>696</v>
      </c>
      <c r="F704" s="761"/>
      <c r="G704" s="762"/>
      <c r="H704" s="680"/>
      <c r="I704" s="764" t="str">
        <f t="shared" si="49"/>
        <v/>
      </c>
      <c r="J704" s="595"/>
      <c r="K704"/>
      <c r="L704" s="197"/>
    </row>
    <row r="705" spans="5:12" ht="12" customHeight="1">
      <c r="E705" s="621">
        <v>697</v>
      </c>
      <c r="F705" s="761"/>
      <c r="G705" s="762"/>
      <c r="H705" s="680"/>
      <c r="I705" s="764" t="str">
        <f t="shared" si="49"/>
        <v/>
      </c>
      <c r="J705" s="595"/>
      <c r="K705"/>
      <c r="L705" s="197"/>
    </row>
    <row r="706" spans="5:12" ht="12" customHeight="1">
      <c r="E706" s="621">
        <v>698</v>
      </c>
      <c r="F706" s="761"/>
      <c r="G706" s="762"/>
      <c r="H706" s="680"/>
      <c r="I706" s="764" t="str">
        <f t="shared" si="49"/>
        <v/>
      </c>
      <c r="J706" s="595"/>
      <c r="K706"/>
      <c r="L706" s="197"/>
    </row>
    <row r="707" spans="5:12" ht="12" customHeight="1">
      <c r="E707" s="621">
        <v>699</v>
      </c>
      <c r="F707" s="761"/>
      <c r="G707" s="762"/>
      <c r="H707" s="680"/>
      <c r="I707" s="764" t="str">
        <f t="shared" si="49"/>
        <v/>
      </c>
      <c r="J707" s="595"/>
      <c r="K707"/>
      <c r="L707" s="197"/>
    </row>
    <row r="708" spans="5:12" ht="12" customHeight="1">
      <c r="E708" s="621">
        <v>700</v>
      </c>
      <c r="F708" s="761"/>
      <c r="G708" s="762"/>
      <c r="H708" s="680"/>
      <c r="I708" s="764" t="str">
        <f t="shared" si="49"/>
        <v/>
      </c>
      <c r="J708" s="595"/>
      <c r="K708"/>
      <c r="L708" s="197"/>
    </row>
    <row r="709" spans="5:12" ht="12" customHeight="1">
      <c r="E709" s="621">
        <v>701</v>
      </c>
      <c r="F709" s="761"/>
      <c r="G709" s="762"/>
      <c r="H709" s="680"/>
      <c r="I709" s="764" t="str">
        <f t="shared" si="49"/>
        <v/>
      </c>
      <c r="J709" s="595"/>
      <c r="K709"/>
      <c r="L709" s="197"/>
    </row>
    <row r="710" spans="5:12" ht="12" customHeight="1">
      <c r="E710" s="621">
        <v>702</v>
      </c>
      <c r="F710" s="761"/>
      <c r="G710" s="762"/>
      <c r="H710" s="680"/>
      <c r="I710" s="764" t="str">
        <f t="shared" si="49"/>
        <v/>
      </c>
      <c r="J710" s="595"/>
      <c r="K710"/>
      <c r="L710" s="197"/>
    </row>
    <row r="711" spans="5:12" ht="12" customHeight="1">
      <c r="E711" s="621">
        <v>703</v>
      </c>
      <c r="F711" s="761"/>
      <c r="G711" s="762"/>
      <c r="H711" s="680"/>
      <c r="I711" s="764" t="str">
        <f t="shared" si="49"/>
        <v/>
      </c>
      <c r="J711" s="595"/>
      <c r="K711"/>
      <c r="L711" s="197"/>
    </row>
    <row r="712" spans="5:12" ht="12" customHeight="1">
      <c r="E712" s="621">
        <v>704</v>
      </c>
      <c r="F712" s="761"/>
      <c r="G712" s="762"/>
      <c r="H712" s="680"/>
      <c r="I712" s="764" t="str">
        <f t="shared" si="49"/>
        <v/>
      </c>
      <c r="J712" s="595"/>
      <c r="K712"/>
      <c r="L712" s="197"/>
    </row>
    <row r="713" spans="5:12" ht="12" customHeight="1">
      <c r="E713" s="621">
        <v>705</v>
      </c>
      <c r="F713" s="761"/>
      <c r="G713" s="762"/>
      <c r="H713" s="680"/>
      <c r="I713" s="764" t="str">
        <f t="shared" ref="I713:I776" si="50">IF(AND(F713&lt;&gt;"",G713&lt;&gt;""),G713-F713,"")</f>
        <v/>
      </c>
      <c r="J713" s="595"/>
      <c r="K713"/>
      <c r="L713" s="197"/>
    </row>
    <row r="714" spans="5:12" ht="12" customHeight="1">
      <c r="E714" s="621">
        <v>706</v>
      </c>
      <c r="F714" s="761"/>
      <c r="G714" s="762"/>
      <c r="H714" s="680"/>
      <c r="I714" s="764" t="str">
        <f t="shared" si="50"/>
        <v/>
      </c>
      <c r="J714" s="595"/>
      <c r="K714"/>
      <c r="L714" s="197"/>
    </row>
    <row r="715" spans="5:12" ht="12" customHeight="1">
      <c r="E715" s="621">
        <v>707</v>
      </c>
      <c r="F715" s="761"/>
      <c r="G715" s="762"/>
      <c r="H715" s="680"/>
      <c r="I715" s="764" t="str">
        <f t="shared" si="50"/>
        <v/>
      </c>
      <c r="J715" s="595"/>
      <c r="K715"/>
      <c r="L715" s="197"/>
    </row>
    <row r="716" spans="5:12" ht="12" customHeight="1">
      <c r="E716" s="621">
        <v>708</v>
      </c>
      <c r="F716" s="761"/>
      <c r="G716" s="762"/>
      <c r="H716" s="680"/>
      <c r="I716" s="764" t="str">
        <f t="shared" si="50"/>
        <v/>
      </c>
      <c r="J716" s="595"/>
      <c r="K716"/>
      <c r="L716" s="197"/>
    </row>
    <row r="717" spans="5:12" ht="12" customHeight="1">
      <c r="E717" s="621">
        <v>709</v>
      </c>
      <c r="F717" s="761"/>
      <c r="G717" s="762"/>
      <c r="H717" s="680"/>
      <c r="I717" s="764" t="str">
        <f t="shared" si="50"/>
        <v/>
      </c>
      <c r="J717" s="595"/>
      <c r="K717"/>
      <c r="L717" s="197"/>
    </row>
    <row r="718" spans="5:12" ht="12" customHeight="1">
      <c r="E718" s="621">
        <v>710</v>
      </c>
      <c r="F718" s="761"/>
      <c r="G718" s="762"/>
      <c r="H718" s="680"/>
      <c r="I718" s="764" t="str">
        <f t="shared" si="50"/>
        <v/>
      </c>
      <c r="J718" s="595"/>
      <c r="K718"/>
      <c r="L718" s="197"/>
    </row>
    <row r="719" spans="5:12" ht="12" customHeight="1">
      <c r="E719" s="621">
        <v>711</v>
      </c>
      <c r="F719" s="761"/>
      <c r="G719" s="762"/>
      <c r="H719" s="680"/>
      <c r="I719" s="764" t="str">
        <f t="shared" si="50"/>
        <v/>
      </c>
      <c r="J719" s="595"/>
      <c r="K719"/>
      <c r="L719" s="197"/>
    </row>
    <row r="720" spans="5:12" ht="12" customHeight="1">
      <c r="E720" s="621">
        <v>712</v>
      </c>
      <c r="F720" s="761"/>
      <c r="G720" s="762"/>
      <c r="H720" s="680"/>
      <c r="I720" s="764" t="str">
        <f t="shared" si="50"/>
        <v/>
      </c>
      <c r="J720" s="595"/>
      <c r="K720"/>
      <c r="L720" s="197"/>
    </row>
    <row r="721" spans="5:12" ht="12" customHeight="1">
      <c r="E721" s="621">
        <v>713</v>
      </c>
      <c r="F721" s="761"/>
      <c r="G721" s="762"/>
      <c r="H721" s="680"/>
      <c r="I721" s="764" t="str">
        <f t="shared" si="50"/>
        <v/>
      </c>
      <c r="J721" s="595"/>
      <c r="K721"/>
      <c r="L721" s="197"/>
    </row>
    <row r="722" spans="5:12" ht="12" customHeight="1">
      <c r="E722" s="621">
        <v>714</v>
      </c>
      <c r="F722" s="761"/>
      <c r="G722" s="762"/>
      <c r="H722" s="680"/>
      <c r="I722" s="764" t="str">
        <f t="shared" si="50"/>
        <v/>
      </c>
      <c r="J722" s="595"/>
      <c r="K722"/>
      <c r="L722" s="197"/>
    </row>
    <row r="723" spans="5:12" ht="12" customHeight="1">
      <c r="E723" s="621">
        <v>715</v>
      </c>
      <c r="F723" s="761"/>
      <c r="G723" s="762"/>
      <c r="H723" s="680"/>
      <c r="I723" s="764" t="str">
        <f t="shared" si="50"/>
        <v/>
      </c>
      <c r="J723" s="595"/>
      <c r="K723"/>
      <c r="L723" s="197"/>
    </row>
    <row r="724" spans="5:12" ht="12" customHeight="1">
      <c r="E724" s="621">
        <v>716</v>
      </c>
      <c r="F724" s="761"/>
      <c r="G724" s="762"/>
      <c r="H724" s="680"/>
      <c r="I724" s="764" t="str">
        <f t="shared" si="50"/>
        <v/>
      </c>
      <c r="J724" s="595"/>
      <c r="K724"/>
      <c r="L724" s="197"/>
    </row>
    <row r="725" spans="5:12" ht="12" customHeight="1">
      <c r="E725" s="621">
        <v>717</v>
      </c>
      <c r="F725" s="761"/>
      <c r="G725" s="762"/>
      <c r="H725" s="680"/>
      <c r="I725" s="764" t="str">
        <f t="shared" si="50"/>
        <v/>
      </c>
      <c r="J725" s="595"/>
      <c r="K725"/>
      <c r="L725" s="197"/>
    </row>
    <row r="726" spans="5:12" ht="12" customHeight="1">
      <c r="E726" s="621">
        <v>718</v>
      </c>
      <c r="F726" s="761"/>
      <c r="G726" s="762"/>
      <c r="H726" s="680"/>
      <c r="I726" s="764" t="str">
        <f t="shared" si="50"/>
        <v/>
      </c>
      <c r="J726" s="595"/>
      <c r="K726"/>
      <c r="L726" s="197"/>
    </row>
    <row r="727" spans="5:12" ht="12" customHeight="1">
      <c r="E727" s="621">
        <v>719</v>
      </c>
      <c r="F727" s="761"/>
      <c r="G727" s="762"/>
      <c r="H727" s="680"/>
      <c r="I727" s="764" t="str">
        <f t="shared" si="50"/>
        <v/>
      </c>
      <c r="J727" s="595"/>
      <c r="K727"/>
      <c r="L727" s="197"/>
    </row>
    <row r="728" spans="5:12" ht="12" customHeight="1">
      <c r="E728" s="621">
        <v>720</v>
      </c>
      <c r="F728" s="761"/>
      <c r="G728" s="762"/>
      <c r="H728" s="680"/>
      <c r="I728" s="764" t="str">
        <f t="shared" si="50"/>
        <v/>
      </c>
      <c r="J728" s="595"/>
      <c r="K728"/>
      <c r="L728" s="197"/>
    </row>
    <row r="729" spans="5:12" ht="12" customHeight="1">
      <c r="E729" s="621">
        <v>721</v>
      </c>
      <c r="F729" s="761"/>
      <c r="G729" s="762"/>
      <c r="H729" s="680"/>
      <c r="I729" s="764" t="str">
        <f t="shared" si="50"/>
        <v/>
      </c>
      <c r="J729" s="595"/>
      <c r="K729"/>
      <c r="L729" s="197"/>
    </row>
    <row r="730" spans="5:12" ht="12" customHeight="1">
      <c r="E730" s="621">
        <v>722</v>
      </c>
      <c r="F730" s="761"/>
      <c r="G730" s="762"/>
      <c r="H730" s="680"/>
      <c r="I730" s="764" t="str">
        <f t="shared" si="50"/>
        <v/>
      </c>
      <c r="J730" s="595"/>
      <c r="K730"/>
      <c r="L730" s="197"/>
    </row>
    <row r="731" spans="5:12" ht="12" customHeight="1">
      <c r="E731" s="621">
        <v>723</v>
      </c>
      <c r="F731" s="761"/>
      <c r="G731" s="762"/>
      <c r="H731" s="680"/>
      <c r="I731" s="764" t="str">
        <f t="shared" si="50"/>
        <v/>
      </c>
      <c r="J731" s="595"/>
      <c r="K731"/>
      <c r="L731" s="197"/>
    </row>
    <row r="732" spans="5:12" ht="12" customHeight="1">
      <c r="E732" s="621">
        <v>724</v>
      </c>
      <c r="F732" s="761"/>
      <c r="G732" s="762"/>
      <c r="H732" s="680"/>
      <c r="I732" s="764" t="str">
        <f t="shared" si="50"/>
        <v/>
      </c>
      <c r="J732" s="595"/>
      <c r="K732"/>
      <c r="L732" s="197"/>
    </row>
    <row r="733" spans="5:12" ht="12" customHeight="1">
      <c r="E733" s="621">
        <v>725</v>
      </c>
      <c r="F733" s="761"/>
      <c r="G733" s="762"/>
      <c r="H733" s="680"/>
      <c r="I733" s="764" t="str">
        <f t="shared" si="50"/>
        <v/>
      </c>
      <c r="J733" s="595"/>
      <c r="K733"/>
      <c r="L733" s="197"/>
    </row>
    <row r="734" spans="5:12" ht="12" customHeight="1">
      <c r="E734" s="621">
        <v>726</v>
      </c>
      <c r="F734" s="761"/>
      <c r="G734" s="762"/>
      <c r="H734" s="680"/>
      <c r="I734" s="764" t="str">
        <f t="shared" si="50"/>
        <v/>
      </c>
      <c r="J734" s="595"/>
      <c r="K734"/>
      <c r="L734" s="197"/>
    </row>
    <row r="735" spans="5:12" ht="12" customHeight="1">
      <c r="E735" s="621">
        <v>727</v>
      </c>
      <c r="F735" s="761"/>
      <c r="G735" s="762"/>
      <c r="H735" s="680"/>
      <c r="I735" s="764" t="str">
        <f t="shared" si="50"/>
        <v/>
      </c>
      <c r="J735" s="595"/>
      <c r="K735"/>
      <c r="L735" s="197"/>
    </row>
    <row r="736" spans="5:12" ht="12" customHeight="1">
      <c r="E736" s="621">
        <v>728</v>
      </c>
      <c r="F736" s="761"/>
      <c r="G736" s="762"/>
      <c r="H736" s="680"/>
      <c r="I736" s="764" t="str">
        <f t="shared" si="50"/>
        <v/>
      </c>
      <c r="J736" s="595"/>
      <c r="K736"/>
      <c r="L736" s="197"/>
    </row>
    <row r="737" spans="5:12" ht="12" customHeight="1">
      <c r="E737" s="621">
        <v>729</v>
      </c>
      <c r="F737" s="761"/>
      <c r="G737" s="762"/>
      <c r="H737" s="680"/>
      <c r="I737" s="764" t="str">
        <f t="shared" si="50"/>
        <v/>
      </c>
      <c r="J737" s="595"/>
      <c r="K737"/>
      <c r="L737" s="197"/>
    </row>
    <row r="738" spans="5:12" ht="12" customHeight="1">
      <c r="E738" s="621">
        <v>730</v>
      </c>
      <c r="F738" s="761"/>
      <c r="G738" s="762"/>
      <c r="H738" s="680"/>
      <c r="I738" s="764" t="str">
        <f t="shared" si="50"/>
        <v/>
      </c>
      <c r="J738" s="595"/>
      <c r="K738"/>
      <c r="L738" s="197"/>
    </row>
    <row r="739" spans="5:12" ht="12" customHeight="1">
      <c r="E739" s="621">
        <v>731</v>
      </c>
      <c r="F739" s="761"/>
      <c r="G739" s="762"/>
      <c r="H739" s="680"/>
      <c r="I739" s="764" t="str">
        <f t="shared" si="50"/>
        <v/>
      </c>
      <c r="J739" s="595"/>
      <c r="K739"/>
      <c r="L739" s="197"/>
    </row>
    <row r="740" spans="5:12" ht="12" customHeight="1">
      <c r="E740" s="621">
        <v>732</v>
      </c>
      <c r="F740" s="761"/>
      <c r="G740" s="762"/>
      <c r="H740" s="680"/>
      <c r="I740" s="764" t="str">
        <f t="shared" si="50"/>
        <v/>
      </c>
      <c r="J740" s="595"/>
      <c r="K740"/>
      <c r="L740" s="197"/>
    </row>
    <row r="741" spans="5:12" ht="12" customHeight="1">
      <c r="E741" s="621">
        <v>733</v>
      </c>
      <c r="F741" s="761"/>
      <c r="G741" s="762"/>
      <c r="H741" s="680"/>
      <c r="I741" s="764" t="str">
        <f t="shared" si="50"/>
        <v/>
      </c>
      <c r="J741" s="595"/>
      <c r="K741"/>
      <c r="L741" s="197"/>
    </row>
    <row r="742" spans="5:12" ht="12" customHeight="1">
      <c r="E742" s="621">
        <v>734</v>
      </c>
      <c r="F742" s="761"/>
      <c r="G742" s="762"/>
      <c r="H742" s="680"/>
      <c r="I742" s="764" t="str">
        <f t="shared" si="50"/>
        <v/>
      </c>
      <c r="J742" s="595"/>
      <c r="K742"/>
      <c r="L742" s="197"/>
    </row>
    <row r="743" spans="5:12" ht="12" customHeight="1">
      <c r="E743" s="621">
        <v>735</v>
      </c>
      <c r="F743" s="761"/>
      <c r="G743" s="762"/>
      <c r="H743" s="680"/>
      <c r="I743" s="764" t="str">
        <f t="shared" si="50"/>
        <v/>
      </c>
      <c r="J743" s="595"/>
      <c r="K743"/>
      <c r="L743" s="197"/>
    </row>
    <row r="744" spans="5:12" ht="12" customHeight="1">
      <c r="E744" s="621">
        <v>736</v>
      </c>
      <c r="F744" s="761"/>
      <c r="G744" s="762"/>
      <c r="H744" s="680"/>
      <c r="I744" s="764" t="str">
        <f t="shared" si="50"/>
        <v/>
      </c>
      <c r="J744" s="595"/>
      <c r="K744"/>
      <c r="L744" s="197"/>
    </row>
    <row r="745" spans="5:12" ht="12" customHeight="1">
      <c r="E745" s="621">
        <v>737</v>
      </c>
      <c r="F745" s="761"/>
      <c r="G745" s="762"/>
      <c r="H745" s="680"/>
      <c r="I745" s="764" t="str">
        <f t="shared" si="50"/>
        <v/>
      </c>
      <c r="J745" s="595"/>
      <c r="K745"/>
      <c r="L745" s="197"/>
    </row>
    <row r="746" spans="5:12" ht="12" customHeight="1">
      <c r="E746" s="621">
        <v>738</v>
      </c>
      <c r="F746" s="761"/>
      <c r="G746" s="762"/>
      <c r="H746" s="680"/>
      <c r="I746" s="764" t="str">
        <f t="shared" si="50"/>
        <v/>
      </c>
      <c r="J746" s="595"/>
      <c r="K746"/>
      <c r="L746" s="197"/>
    </row>
    <row r="747" spans="5:12" ht="12" customHeight="1">
      <c r="E747" s="621">
        <v>739</v>
      </c>
      <c r="F747" s="761"/>
      <c r="G747" s="762"/>
      <c r="H747" s="680"/>
      <c r="I747" s="764" t="str">
        <f t="shared" si="50"/>
        <v/>
      </c>
      <c r="J747" s="595"/>
      <c r="K747"/>
      <c r="L747" s="197"/>
    </row>
    <row r="748" spans="5:12" ht="12" customHeight="1">
      <c r="E748" s="621">
        <v>740</v>
      </c>
      <c r="F748" s="761"/>
      <c r="G748" s="762"/>
      <c r="H748" s="680"/>
      <c r="I748" s="764" t="str">
        <f t="shared" si="50"/>
        <v/>
      </c>
      <c r="J748" s="595"/>
      <c r="K748"/>
      <c r="L748" s="197"/>
    </row>
    <row r="749" spans="5:12" ht="12" customHeight="1">
      <c r="E749" s="621">
        <v>741</v>
      </c>
      <c r="F749" s="761"/>
      <c r="G749" s="762"/>
      <c r="H749" s="680"/>
      <c r="I749" s="764" t="str">
        <f t="shared" si="50"/>
        <v/>
      </c>
      <c r="J749" s="595"/>
      <c r="K749"/>
      <c r="L749" s="197"/>
    </row>
    <row r="750" spans="5:12" ht="12" customHeight="1">
      <c r="E750" s="621">
        <v>742</v>
      </c>
      <c r="F750" s="761"/>
      <c r="G750" s="762"/>
      <c r="H750" s="680"/>
      <c r="I750" s="764" t="str">
        <f t="shared" si="50"/>
        <v/>
      </c>
      <c r="J750" s="595"/>
      <c r="K750"/>
      <c r="L750" s="197"/>
    </row>
    <row r="751" spans="5:12" ht="12" customHeight="1">
      <c r="E751" s="621">
        <v>743</v>
      </c>
      <c r="F751" s="761"/>
      <c r="G751" s="762"/>
      <c r="H751" s="680"/>
      <c r="I751" s="764" t="str">
        <f t="shared" si="50"/>
        <v/>
      </c>
      <c r="J751" s="595"/>
      <c r="K751"/>
      <c r="L751" s="197"/>
    </row>
    <row r="752" spans="5:12" ht="12" customHeight="1">
      <c r="E752" s="621">
        <v>744</v>
      </c>
      <c r="F752" s="761"/>
      <c r="G752" s="762"/>
      <c r="H752" s="680"/>
      <c r="I752" s="764" t="str">
        <f t="shared" si="50"/>
        <v/>
      </c>
      <c r="J752" s="595"/>
      <c r="K752"/>
      <c r="L752" s="197"/>
    </row>
    <row r="753" spans="5:12" ht="12" customHeight="1">
      <c r="E753" s="621">
        <v>745</v>
      </c>
      <c r="F753" s="761"/>
      <c r="G753" s="762"/>
      <c r="H753" s="680"/>
      <c r="I753" s="764" t="str">
        <f t="shared" si="50"/>
        <v/>
      </c>
      <c r="J753" s="595"/>
      <c r="K753"/>
      <c r="L753" s="197"/>
    </row>
    <row r="754" spans="5:12" ht="12" customHeight="1">
      <c r="E754" s="621">
        <v>746</v>
      </c>
      <c r="F754" s="761"/>
      <c r="G754" s="762"/>
      <c r="H754" s="680"/>
      <c r="I754" s="764" t="str">
        <f t="shared" si="50"/>
        <v/>
      </c>
      <c r="J754" s="595"/>
      <c r="K754"/>
      <c r="L754" s="197"/>
    </row>
    <row r="755" spans="5:12" ht="12" customHeight="1">
      <c r="E755" s="621">
        <v>747</v>
      </c>
      <c r="F755" s="761"/>
      <c r="G755" s="762"/>
      <c r="H755" s="680"/>
      <c r="I755" s="764" t="str">
        <f t="shared" si="50"/>
        <v/>
      </c>
      <c r="J755" s="595"/>
      <c r="K755"/>
      <c r="L755" s="197"/>
    </row>
    <row r="756" spans="5:12" ht="12" customHeight="1">
      <c r="E756" s="621">
        <v>748</v>
      </c>
      <c r="F756" s="761"/>
      <c r="G756" s="762"/>
      <c r="H756" s="680"/>
      <c r="I756" s="764" t="str">
        <f t="shared" si="50"/>
        <v/>
      </c>
      <c r="J756" s="595"/>
      <c r="K756"/>
      <c r="L756" s="197"/>
    </row>
    <row r="757" spans="5:12" ht="12" customHeight="1">
      <c r="E757" s="621">
        <v>749</v>
      </c>
      <c r="F757" s="761"/>
      <c r="G757" s="762"/>
      <c r="H757" s="680"/>
      <c r="I757" s="764" t="str">
        <f t="shared" si="50"/>
        <v/>
      </c>
      <c r="J757" s="595"/>
      <c r="K757"/>
      <c r="L757" s="197"/>
    </row>
    <row r="758" spans="5:12" ht="12" customHeight="1">
      <c r="E758" s="621">
        <v>750</v>
      </c>
      <c r="F758" s="761"/>
      <c r="G758" s="762"/>
      <c r="H758" s="680"/>
      <c r="I758" s="764" t="str">
        <f t="shared" si="50"/>
        <v/>
      </c>
      <c r="J758" s="595"/>
      <c r="K758"/>
      <c r="L758" s="197"/>
    </row>
    <row r="759" spans="5:12" ht="12" customHeight="1">
      <c r="E759" s="621">
        <v>751</v>
      </c>
      <c r="F759" s="761"/>
      <c r="G759" s="762"/>
      <c r="H759" s="680"/>
      <c r="I759" s="764" t="str">
        <f t="shared" si="50"/>
        <v/>
      </c>
      <c r="J759" s="595"/>
      <c r="K759"/>
      <c r="L759" s="197"/>
    </row>
    <row r="760" spans="5:12" ht="12" customHeight="1">
      <c r="E760" s="621">
        <v>752</v>
      </c>
      <c r="F760" s="761"/>
      <c r="G760" s="762"/>
      <c r="H760" s="680"/>
      <c r="I760" s="764" t="str">
        <f t="shared" si="50"/>
        <v/>
      </c>
      <c r="J760" s="595"/>
      <c r="K760"/>
      <c r="L760" s="197"/>
    </row>
    <row r="761" spans="5:12" ht="12" customHeight="1">
      <c r="E761" s="621">
        <v>753</v>
      </c>
      <c r="F761" s="761"/>
      <c r="G761" s="762"/>
      <c r="H761" s="680"/>
      <c r="I761" s="764" t="str">
        <f t="shared" si="50"/>
        <v/>
      </c>
      <c r="J761" s="595"/>
      <c r="K761"/>
      <c r="L761" s="197"/>
    </row>
    <row r="762" spans="5:12" ht="12" customHeight="1">
      <c r="E762" s="621">
        <v>754</v>
      </c>
      <c r="F762" s="761"/>
      <c r="G762" s="762"/>
      <c r="H762" s="680"/>
      <c r="I762" s="764" t="str">
        <f t="shared" si="50"/>
        <v/>
      </c>
      <c r="J762" s="595"/>
      <c r="K762"/>
      <c r="L762" s="197"/>
    </row>
    <row r="763" spans="5:12" ht="12" customHeight="1">
      <c r="E763" s="621">
        <v>755</v>
      </c>
      <c r="F763" s="761"/>
      <c r="G763" s="762"/>
      <c r="H763" s="680"/>
      <c r="I763" s="764" t="str">
        <f t="shared" si="50"/>
        <v/>
      </c>
      <c r="J763" s="595"/>
      <c r="K763"/>
      <c r="L763" s="197"/>
    </row>
    <row r="764" spans="5:12" ht="12" customHeight="1">
      <c r="E764" s="621">
        <v>756</v>
      </c>
      <c r="F764" s="761"/>
      <c r="G764" s="762"/>
      <c r="H764" s="680"/>
      <c r="I764" s="764" t="str">
        <f t="shared" si="50"/>
        <v/>
      </c>
      <c r="J764" s="595"/>
      <c r="K764"/>
      <c r="L764" s="197"/>
    </row>
    <row r="765" spans="5:12" ht="12" customHeight="1">
      <c r="E765" s="621">
        <v>757</v>
      </c>
      <c r="F765" s="761"/>
      <c r="G765" s="762"/>
      <c r="H765" s="680"/>
      <c r="I765" s="764" t="str">
        <f t="shared" si="50"/>
        <v/>
      </c>
      <c r="J765" s="595"/>
      <c r="K765"/>
      <c r="L765" s="197"/>
    </row>
    <row r="766" spans="5:12" ht="12" customHeight="1">
      <c r="E766" s="621">
        <v>758</v>
      </c>
      <c r="F766" s="761"/>
      <c r="G766" s="762"/>
      <c r="H766" s="680"/>
      <c r="I766" s="764" t="str">
        <f t="shared" si="50"/>
        <v/>
      </c>
      <c r="J766" s="595"/>
      <c r="K766"/>
      <c r="L766" s="197"/>
    </row>
    <row r="767" spans="5:12" ht="12" customHeight="1">
      <c r="E767" s="621">
        <v>759</v>
      </c>
      <c r="F767" s="761"/>
      <c r="G767" s="762"/>
      <c r="H767" s="680"/>
      <c r="I767" s="764" t="str">
        <f t="shared" si="50"/>
        <v/>
      </c>
      <c r="J767" s="595"/>
      <c r="K767"/>
      <c r="L767" s="197"/>
    </row>
    <row r="768" spans="5:12" ht="12" customHeight="1">
      <c r="E768" s="621">
        <v>760</v>
      </c>
      <c r="F768" s="761"/>
      <c r="G768" s="762"/>
      <c r="H768" s="680"/>
      <c r="I768" s="764" t="str">
        <f t="shared" si="50"/>
        <v/>
      </c>
      <c r="J768" s="595"/>
      <c r="K768"/>
      <c r="L768" s="197"/>
    </row>
    <row r="769" spans="5:12" ht="12" customHeight="1">
      <c r="E769" s="621">
        <v>761</v>
      </c>
      <c r="F769" s="761"/>
      <c r="G769" s="762"/>
      <c r="H769" s="680"/>
      <c r="I769" s="764" t="str">
        <f t="shared" si="50"/>
        <v/>
      </c>
      <c r="J769" s="595"/>
      <c r="K769"/>
      <c r="L769" s="197"/>
    </row>
    <row r="770" spans="5:12" ht="12" customHeight="1">
      <c r="E770" s="621">
        <v>762</v>
      </c>
      <c r="F770" s="761"/>
      <c r="G770" s="762"/>
      <c r="H770" s="680"/>
      <c r="I770" s="764" t="str">
        <f t="shared" si="50"/>
        <v/>
      </c>
      <c r="J770" s="595"/>
      <c r="K770"/>
      <c r="L770" s="197"/>
    </row>
    <row r="771" spans="5:12" ht="12" customHeight="1">
      <c r="E771" s="621">
        <v>763</v>
      </c>
      <c r="F771" s="761"/>
      <c r="G771" s="762"/>
      <c r="H771" s="680"/>
      <c r="I771" s="764" t="str">
        <f t="shared" si="50"/>
        <v/>
      </c>
      <c r="J771" s="595"/>
      <c r="K771"/>
      <c r="L771" s="197"/>
    </row>
    <row r="772" spans="5:12" ht="12" customHeight="1">
      <c r="E772" s="621">
        <v>764</v>
      </c>
      <c r="F772" s="761"/>
      <c r="G772" s="762"/>
      <c r="H772" s="680"/>
      <c r="I772" s="764" t="str">
        <f t="shared" si="50"/>
        <v/>
      </c>
      <c r="J772" s="595"/>
      <c r="K772"/>
      <c r="L772" s="197"/>
    </row>
    <row r="773" spans="5:12" ht="12" customHeight="1">
      <c r="E773" s="621">
        <v>765</v>
      </c>
      <c r="F773" s="761"/>
      <c r="G773" s="762"/>
      <c r="H773" s="680"/>
      <c r="I773" s="764" t="str">
        <f t="shared" si="50"/>
        <v/>
      </c>
      <c r="J773" s="595"/>
      <c r="K773"/>
      <c r="L773" s="197"/>
    </row>
    <row r="774" spans="5:12" ht="12" customHeight="1">
      <c r="E774" s="621">
        <v>766</v>
      </c>
      <c r="F774" s="761"/>
      <c r="G774" s="762"/>
      <c r="H774" s="680"/>
      <c r="I774" s="764" t="str">
        <f t="shared" si="50"/>
        <v/>
      </c>
      <c r="J774" s="595"/>
      <c r="K774"/>
      <c r="L774" s="197"/>
    </row>
    <row r="775" spans="5:12" ht="12" customHeight="1">
      <c r="E775" s="621">
        <v>767</v>
      </c>
      <c r="F775" s="761"/>
      <c r="G775" s="762"/>
      <c r="H775" s="680"/>
      <c r="I775" s="764" t="str">
        <f t="shared" si="50"/>
        <v/>
      </c>
      <c r="J775" s="595"/>
      <c r="K775"/>
      <c r="L775" s="197"/>
    </row>
    <row r="776" spans="5:12" ht="12" customHeight="1">
      <c r="E776" s="621">
        <v>768</v>
      </c>
      <c r="F776" s="761"/>
      <c r="G776" s="762"/>
      <c r="H776" s="680"/>
      <c r="I776" s="764" t="str">
        <f t="shared" si="50"/>
        <v/>
      </c>
      <c r="J776" s="595"/>
      <c r="K776"/>
      <c r="L776" s="197"/>
    </row>
    <row r="777" spans="5:12" ht="12" customHeight="1">
      <c r="E777" s="621">
        <v>769</v>
      </c>
      <c r="F777" s="761"/>
      <c r="G777" s="762"/>
      <c r="H777" s="680"/>
      <c r="I777" s="764" t="str">
        <f t="shared" ref="I777:I840" si="51">IF(AND(F777&lt;&gt;"",G777&lt;&gt;""),G777-F777,"")</f>
        <v/>
      </c>
      <c r="J777" s="595"/>
      <c r="K777"/>
      <c r="L777" s="197"/>
    </row>
    <row r="778" spans="5:12" ht="12" customHeight="1">
      <c r="E778" s="621">
        <v>770</v>
      </c>
      <c r="F778" s="761"/>
      <c r="G778" s="762"/>
      <c r="H778" s="680"/>
      <c r="I778" s="764" t="str">
        <f t="shared" si="51"/>
        <v/>
      </c>
      <c r="J778" s="595"/>
      <c r="K778"/>
      <c r="L778" s="197"/>
    </row>
    <row r="779" spans="5:12" ht="12" customHeight="1">
      <c r="E779" s="621">
        <v>771</v>
      </c>
      <c r="F779" s="761"/>
      <c r="G779" s="762"/>
      <c r="H779" s="680"/>
      <c r="I779" s="764" t="str">
        <f t="shared" si="51"/>
        <v/>
      </c>
      <c r="J779" s="595"/>
      <c r="K779"/>
      <c r="L779" s="197"/>
    </row>
    <row r="780" spans="5:12" ht="12" customHeight="1">
      <c r="E780" s="621">
        <v>772</v>
      </c>
      <c r="F780" s="761"/>
      <c r="G780" s="762"/>
      <c r="H780" s="680"/>
      <c r="I780" s="764" t="str">
        <f t="shared" si="51"/>
        <v/>
      </c>
      <c r="J780" s="595"/>
      <c r="K780"/>
      <c r="L780" s="197"/>
    </row>
    <row r="781" spans="5:12" ht="12" customHeight="1">
      <c r="E781" s="621">
        <v>773</v>
      </c>
      <c r="F781" s="761"/>
      <c r="G781" s="762"/>
      <c r="H781" s="680"/>
      <c r="I781" s="764" t="str">
        <f t="shared" si="51"/>
        <v/>
      </c>
      <c r="J781" s="595"/>
      <c r="K781"/>
      <c r="L781" s="197"/>
    </row>
    <row r="782" spans="5:12" ht="12" customHeight="1">
      <c r="E782" s="621">
        <v>774</v>
      </c>
      <c r="F782" s="761"/>
      <c r="G782" s="762"/>
      <c r="H782" s="680"/>
      <c r="I782" s="764" t="str">
        <f t="shared" si="51"/>
        <v/>
      </c>
      <c r="J782" s="595"/>
      <c r="K782"/>
      <c r="L782" s="197"/>
    </row>
    <row r="783" spans="5:12" ht="12" customHeight="1">
      <c r="E783" s="621">
        <v>775</v>
      </c>
      <c r="F783" s="761"/>
      <c r="G783" s="762"/>
      <c r="H783" s="680"/>
      <c r="I783" s="764" t="str">
        <f t="shared" si="51"/>
        <v/>
      </c>
      <c r="J783" s="595"/>
      <c r="K783"/>
      <c r="L783" s="197"/>
    </row>
    <row r="784" spans="5:12" ht="12" customHeight="1">
      <c r="E784" s="621">
        <v>776</v>
      </c>
      <c r="F784" s="761"/>
      <c r="G784" s="762"/>
      <c r="H784" s="680"/>
      <c r="I784" s="764" t="str">
        <f t="shared" si="51"/>
        <v/>
      </c>
      <c r="J784" s="595"/>
      <c r="K784"/>
      <c r="L784" s="197"/>
    </row>
    <row r="785" spans="5:12" ht="12" customHeight="1">
      <c r="E785" s="621">
        <v>777</v>
      </c>
      <c r="F785" s="761"/>
      <c r="G785" s="762"/>
      <c r="H785" s="680"/>
      <c r="I785" s="764" t="str">
        <f t="shared" si="51"/>
        <v/>
      </c>
      <c r="J785" s="595"/>
      <c r="K785"/>
      <c r="L785" s="197"/>
    </row>
    <row r="786" spans="5:12" ht="12" customHeight="1">
      <c r="E786" s="621">
        <v>778</v>
      </c>
      <c r="F786" s="761"/>
      <c r="G786" s="762"/>
      <c r="H786" s="680"/>
      <c r="I786" s="764" t="str">
        <f t="shared" si="51"/>
        <v/>
      </c>
      <c r="J786" s="595"/>
      <c r="K786"/>
      <c r="L786" s="197"/>
    </row>
    <row r="787" spans="5:12" ht="12" customHeight="1">
      <c r="E787" s="621">
        <v>779</v>
      </c>
      <c r="F787" s="761"/>
      <c r="G787" s="762"/>
      <c r="H787" s="680"/>
      <c r="I787" s="764" t="str">
        <f t="shared" si="51"/>
        <v/>
      </c>
      <c r="J787" s="595"/>
      <c r="K787"/>
      <c r="L787" s="197"/>
    </row>
    <row r="788" spans="5:12" ht="12" customHeight="1">
      <c r="E788" s="621">
        <v>780</v>
      </c>
      <c r="F788" s="761"/>
      <c r="G788" s="762"/>
      <c r="H788" s="680"/>
      <c r="I788" s="764" t="str">
        <f t="shared" si="51"/>
        <v/>
      </c>
      <c r="J788" s="595"/>
      <c r="K788"/>
      <c r="L788" s="197"/>
    </row>
    <row r="789" spans="5:12" ht="12" customHeight="1">
      <c r="E789" s="621">
        <v>781</v>
      </c>
      <c r="F789" s="761"/>
      <c r="G789" s="762"/>
      <c r="H789" s="680"/>
      <c r="I789" s="764" t="str">
        <f t="shared" si="51"/>
        <v/>
      </c>
      <c r="J789" s="595"/>
      <c r="K789"/>
      <c r="L789" s="197"/>
    </row>
    <row r="790" spans="5:12" ht="12" customHeight="1">
      <c r="E790" s="621">
        <v>782</v>
      </c>
      <c r="F790" s="761"/>
      <c r="G790" s="762"/>
      <c r="H790" s="680"/>
      <c r="I790" s="764" t="str">
        <f t="shared" si="51"/>
        <v/>
      </c>
      <c r="J790" s="595"/>
      <c r="K790"/>
      <c r="L790" s="197"/>
    </row>
    <row r="791" spans="5:12" ht="12" customHeight="1">
      <c r="E791" s="621">
        <v>783</v>
      </c>
      <c r="F791" s="761"/>
      <c r="G791" s="762"/>
      <c r="H791" s="680"/>
      <c r="I791" s="764" t="str">
        <f t="shared" si="51"/>
        <v/>
      </c>
      <c r="J791" s="595"/>
      <c r="K791"/>
      <c r="L791" s="197"/>
    </row>
    <row r="792" spans="5:12" ht="12" customHeight="1">
      <c r="E792" s="621">
        <v>784</v>
      </c>
      <c r="F792" s="761"/>
      <c r="G792" s="762"/>
      <c r="H792" s="680"/>
      <c r="I792" s="764" t="str">
        <f t="shared" si="51"/>
        <v/>
      </c>
      <c r="J792" s="595"/>
      <c r="K792"/>
      <c r="L792" s="197"/>
    </row>
    <row r="793" spans="5:12" ht="12" customHeight="1">
      <c r="E793" s="621">
        <v>785</v>
      </c>
      <c r="F793" s="761"/>
      <c r="G793" s="762"/>
      <c r="H793" s="680"/>
      <c r="I793" s="764" t="str">
        <f t="shared" si="51"/>
        <v/>
      </c>
      <c r="J793" s="595"/>
      <c r="K793"/>
      <c r="L793" s="197"/>
    </row>
    <row r="794" spans="5:12" ht="12" customHeight="1">
      <c r="E794" s="621">
        <v>786</v>
      </c>
      <c r="F794" s="761"/>
      <c r="G794" s="762"/>
      <c r="H794" s="680"/>
      <c r="I794" s="764" t="str">
        <f t="shared" si="51"/>
        <v/>
      </c>
      <c r="J794" s="595"/>
      <c r="K794"/>
      <c r="L794" s="197"/>
    </row>
    <row r="795" spans="5:12" ht="12" customHeight="1">
      <c r="E795" s="621">
        <v>787</v>
      </c>
      <c r="F795" s="761"/>
      <c r="G795" s="762"/>
      <c r="H795" s="680"/>
      <c r="I795" s="764" t="str">
        <f t="shared" si="51"/>
        <v/>
      </c>
      <c r="J795" s="595"/>
      <c r="K795"/>
      <c r="L795" s="197"/>
    </row>
    <row r="796" spans="5:12" ht="12" customHeight="1">
      <c r="E796" s="621">
        <v>788</v>
      </c>
      <c r="F796" s="761"/>
      <c r="G796" s="762"/>
      <c r="H796" s="680"/>
      <c r="I796" s="764" t="str">
        <f t="shared" si="51"/>
        <v/>
      </c>
      <c r="J796" s="595"/>
      <c r="K796"/>
      <c r="L796" s="197"/>
    </row>
    <row r="797" spans="5:12" ht="12" customHeight="1">
      <c r="E797" s="621">
        <v>789</v>
      </c>
      <c r="F797" s="761"/>
      <c r="G797" s="762"/>
      <c r="H797" s="680"/>
      <c r="I797" s="764" t="str">
        <f t="shared" si="51"/>
        <v/>
      </c>
      <c r="J797" s="595"/>
      <c r="K797"/>
      <c r="L797" s="197"/>
    </row>
    <row r="798" spans="5:12" ht="12" customHeight="1">
      <c r="E798" s="621">
        <v>790</v>
      </c>
      <c r="F798" s="761"/>
      <c r="G798" s="762"/>
      <c r="H798" s="680"/>
      <c r="I798" s="764" t="str">
        <f t="shared" si="51"/>
        <v/>
      </c>
      <c r="J798" s="595"/>
      <c r="K798"/>
      <c r="L798" s="197"/>
    </row>
    <row r="799" spans="5:12" ht="12" customHeight="1">
      <c r="E799" s="621">
        <v>791</v>
      </c>
      <c r="F799" s="761"/>
      <c r="G799" s="762"/>
      <c r="H799" s="680"/>
      <c r="I799" s="764" t="str">
        <f t="shared" si="51"/>
        <v/>
      </c>
      <c r="J799" s="595"/>
      <c r="K799"/>
      <c r="L799" s="197"/>
    </row>
    <row r="800" spans="5:12" ht="12" customHeight="1">
      <c r="E800" s="621">
        <v>792</v>
      </c>
      <c r="F800" s="761"/>
      <c r="G800" s="762"/>
      <c r="H800" s="680"/>
      <c r="I800" s="764" t="str">
        <f t="shared" si="51"/>
        <v/>
      </c>
      <c r="J800" s="595"/>
      <c r="K800"/>
      <c r="L800" s="197"/>
    </row>
    <row r="801" spans="5:12" ht="12" customHeight="1">
      <c r="E801" s="621">
        <v>793</v>
      </c>
      <c r="F801" s="761"/>
      <c r="G801" s="762"/>
      <c r="H801" s="680"/>
      <c r="I801" s="764" t="str">
        <f t="shared" si="51"/>
        <v/>
      </c>
      <c r="J801" s="595"/>
      <c r="K801"/>
      <c r="L801" s="197"/>
    </row>
    <row r="802" spans="5:12" ht="12" customHeight="1">
      <c r="E802" s="621">
        <v>794</v>
      </c>
      <c r="F802" s="761"/>
      <c r="G802" s="762"/>
      <c r="H802" s="680"/>
      <c r="I802" s="764" t="str">
        <f t="shared" si="51"/>
        <v/>
      </c>
      <c r="J802" s="595"/>
      <c r="K802"/>
      <c r="L802" s="197"/>
    </row>
    <row r="803" spans="5:12" ht="12" customHeight="1">
      <c r="E803" s="621">
        <v>795</v>
      </c>
      <c r="F803" s="761"/>
      <c r="G803" s="762"/>
      <c r="H803" s="680"/>
      <c r="I803" s="764" t="str">
        <f t="shared" si="51"/>
        <v/>
      </c>
      <c r="J803" s="595"/>
      <c r="K803"/>
      <c r="L803" s="197"/>
    </row>
    <row r="804" spans="5:12" ht="12" customHeight="1">
      <c r="E804" s="621">
        <v>796</v>
      </c>
      <c r="F804" s="761"/>
      <c r="G804" s="762"/>
      <c r="H804" s="680"/>
      <c r="I804" s="764" t="str">
        <f t="shared" si="51"/>
        <v/>
      </c>
      <c r="J804" s="595"/>
      <c r="K804"/>
      <c r="L804" s="197"/>
    </row>
    <row r="805" spans="5:12" ht="12" customHeight="1">
      <c r="E805" s="621">
        <v>797</v>
      </c>
      <c r="F805" s="761"/>
      <c r="G805" s="762"/>
      <c r="H805" s="680"/>
      <c r="I805" s="764" t="str">
        <f t="shared" si="51"/>
        <v/>
      </c>
      <c r="J805" s="595"/>
      <c r="K805"/>
      <c r="L805" s="197"/>
    </row>
    <row r="806" spans="5:12" ht="12" customHeight="1">
      <c r="E806" s="621">
        <v>798</v>
      </c>
      <c r="F806" s="761"/>
      <c r="G806" s="762"/>
      <c r="H806" s="680"/>
      <c r="I806" s="764" t="str">
        <f t="shared" si="51"/>
        <v/>
      </c>
      <c r="J806" s="595"/>
      <c r="K806"/>
      <c r="L806" s="197"/>
    </row>
    <row r="807" spans="5:12" ht="12" customHeight="1">
      <c r="E807" s="621">
        <v>799</v>
      </c>
      <c r="F807" s="761"/>
      <c r="G807" s="762"/>
      <c r="H807" s="680"/>
      <c r="I807" s="764" t="str">
        <f t="shared" si="51"/>
        <v/>
      </c>
      <c r="J807" s="595"/>
      <c r="K807"/>
      <c r="L807" s="197"/>
    </row>
    <row r="808" spans="5:12" ht="12" customHeight="1">
      <c r="E808" s="621">
        <v>800</v>
      </c>
      <c r="F808" s="761"/>
      <c r="G808" s="762"/>
      <c r="H808" s="680"/>
      <c r="I808" s="764" t="str">
        <f t="shared" si="51"/>
        <v/>
      </c>
      <c r="J808" s="595"/>
      <c r="K808"/>
      <c r="L808" s="197"/>
    </row>
    <row r="809" spans="5:12" ht="12" customHeight="1">
      <c r="E809" s="621">
        <v>801</v>
      </c>
      <c r="F809" s="761"/>
      <c r="G809" s="762"/>
      <c r="H809" s="680"/>
      <c r="I809" s="764" t="str">
        <f t="shared" si="51"/>
        <v/>
      </c>
      <c r="J809" s="595"/>
      <c r="K809"/>
      <c r="L809" s="197"/>
    </row>
    <row r="810" spans="5:12" ht="12" customHeight="1">
      <c r="E810" s="621">
        <v>802</v>
      </c>
      <c r="F810" s="761"/>
      <c r="G810" s="762"/>
      <c r="H810" s="680"/>
      <c r="I810" s="764" t="str">
        <f t="shared" si="51"/>
        <v/>
      </c>
      <c r="J810" s="595"/>
      <c r="K810"/>
      <c r="L810" s="197"/>
    </row>
    <row r="811" spans="5:12" ht="12" customHeight="1">
      <c r="E811" s="621">
        <v>803</v>
      </c>
      <c r="F811" s="761"/>
      <c r="G811" s="762"/>
      <c r="H811" s="680"/>
      <c r="I811" s="764" t="str">
        <f t="shared" si="51"/>
        <v/>
      </c>
      <c r="J811" s="595"/>
      <c r="K811"/>
      <c r="L811" s="197"/>
    </row>
    <row r="812" spans="5:12" ht="12" customHeight="1">
      <c r="E812" s="621">
        <v>804</v>
      </c>
      <c r="F812" s="761"/>
      <c r="G812" s="762"/>
      <c r="H812" s="680"/>
      <c r="I812" s="764" t="str">
        <f t="shared" si="51"/>
        <v/>
      </c>
      <c r="J812" s="595"/>
      <c r="K812"/>
      <c r="L812" s="197"/>
    </row>
    <row r="813" spans="5:12" ht="12" customHeight="1">
      <c r="E813" s="621">
        <v>805</v>
      </c>
      <c r="F813" s="761"/>
      <c r="G813" s="762"/>
      <c r="H813" s="680"/>
      <c r="I813" s="764" t="str">
        <f t="shared" si="51"/>
        <v/>
      </c>
      <c r="J813" s="595"/>
      <c r="K813"/>
      <c r="L813" s="197"/>
    </row>
    <row r="814" spans="5:12" ht="12" customHeight="1">
      <c r="E814" s="621">
        <v>806</v>
      </c>
      <c r="F814" s="761"/>
      <c r="G814" s="762"/>
      <c r="H814" s="680"/>
      <c r="I814" s="764" t="str">
        <f t="shared" si="51"/>
        <v/>
      </c>
      <c r="J814" s="595"/>
      <c r="K814"/>
      <c r="L814" s="197"/>
    </row>
    <row r="815" spans="5:12" ht="12" customHeight="1">
      <c r="E815" s="621">
        <v>807</v>
      </c>
      <c r="F815" s="761"/>
      <c r="G815" s="762"/>
      <c r="H815" s="680"/>
      <c r="I815" s="764" t="str">
        <f t="shared" si="51"/>
        <v/>
      </c>
      <c r="J815" s="595"/>
      <c r="K815"/>
      <c r="L815" s="197"/>
    </row>
    <row r="816" spans="5:12" ht="12" customHeight="1">
      <c r="E816" s="621">
        <v>808</v>
      </c>
      <c r="F816" s="761"/>
      <c r="G816" s="762"/>
      <c r="H816" s="680"/>
      <c r="I816" s="764" t="str">
        <f t="shared" si="51"/>
        <v/>
      </c>
      <c r="J816" s="595"/>
      <c r="K816"/>
      <c r="L816" s="197"/>
    </row>
    <row r="817" spans="5:12" ht="12" customHeight="1">
      <c r="E817" s="621">
        <v>809</v>
      </c>
      <c r="F817" s="761"/>
      <c r="G817" s="762"/>
      <c r="H817" s="680"/>
      <c r="I817" s="764" t="str">
        <f t="shared" si="51"/>
        <v/>
      </c>
      <c r="J817" s="595"/>
      <c r="K817"/>
      <c r="L817" s="197"/>
    </row>
    <row r="818" spans="5:12" ht="12" customHeight="1">
      <c r="E818" s="621">
        <v>810</v>
      </c>
      <c r="F818" s="761"/>
      <c r="G818" s="762"/>
      <c r="H818" s="680"/>
      <c r="I818" s="764" t="str">
        <f t="shared" si="51"/>
        <v/>
      </c>
      <c r="J818" s="595"/>
      <c r="K818"/>
      <c r="L818" s="197"/>
    </row>
    <row r="819" spans="5:12" ht="12" customHeight="1">
      <c r="E819" s="621">
        <v>811</v>
      </c>
      <c r="F819" s="761"/>
      <c r="G819" s="762"/>
      <c r="H819" s="680"/>
      <c r="I819" s="764" t="str">
        <f t="shared" si="51"/>
        <v/>
      </c>
      <c r="J819" s="595"/>
      <c r="K819"/>
      <c r="L819" s="197"/>
    </row>
    <row r="820" spans="5:12" ht="12" customHeight="1">
      <c r="E820" s="621">
        <v>812</v>
      </c>
      <c r="F820" s="761"/>
      <c r="G820" s="762"/>
      <c r="H820" s="680"/>
      <c r="I820" s="764" t="str">
        <f t="shared" si="51"/>
        <v/>
      </c>
      <c r="J820" s="595"/>
      <c r="K820"/>
      <c r="L820" s="197"/>
    </row>
    <row r="821" spans="5:12" ht="12" customHeight="1">
      <c r="E821" s="621">
        <v>813</v>
      </c>
      <c r="F821" s="761"/>
      <c r="G821" s="762"/>
      <c r="H821" s="680"/>
      <c r="I821" s="764" t="str">
        <f t="shared" si="51"/>
        <v/>
      </c>
      <c r="J821" s="595"/>
      <c r="K821"/>
      <c r="L821" s="197"/>
    </row>
    <row r="822" spans="5:12" ht="12" customHeight="1">
      <c r="E822" s="621">
        <v>814</v>
      </c>
      <c r="F822" s="761"/>
      <c r="G822" s="762"/>
      <c r="H822" s="680"/>
      <c r="I822" s="764" t="str">
        <f t="shared" si="51"/>
        <v/>
      </c>
      <c r="J822" s="595"/>
      <c r="K822"/>
      <c r="L822" s="197"/>
    </row>
    <row r="823" spans="5:12" ht="12" customHeight="1">
      <c r="E823" s="621">
        <v>815</v>
      </c>
      <c r="F823" s="761"/>
      <c r="G823" s="762"/>
      <c r="H823" s="680"/>
      <c r="I823" s="764" t="str">
        <f t="shared" si="51"/>
        <v/>
      </c>
      <c r="J823" s="595"/>
      <c r="K823"/>
      <c r="L823" s="197"/>
    </row>
    <row r="824" spans="5:12" ht="12" customHeight="1">
      <c r="E824" s="621">
        <v>816</v>
      </c>
      <c r="F824" s="761"/>
      <c r="G824" s="762"/>
      <c r="H824" s="680"/>
      <c r="I824" s="764" t="str">
        <f t="shared" si="51"/>
        <v/>
      </c>
      <c r="J824" s="595"/>
      <c r="K824"/>
      <c r="L824" s="197"/>
    </row>
    <row r="825" spans="5:12" ht="12" customHeight="1">
      <c r="E825" s="621">
        <v>817</v>
      </c>
      <c r="F825" s="761"/>
      <c r="G825" s="762"/>
      <c r="H825" s="680"/>
      <c r="I825" s="764" t="str">
        <f t="shared" si="51"/>
        <v/>
      </c>
      <c r="J825" s="595"/>
      <c r="K825"/>
      <c r="L825" s="197"/>
    </row>
    <row r="826" spans="5:12" ht="12" customHeight="1">
      <c r="E826" s="621">
        <v>818</v>
      </c>
      <c r="F826" s="761"/>
      <c r="G826" s="762"/>
      <c r="H826" s="680"/>
      <c r="I826" s="764" t="str">
        <f t="shared" si="51"/>
        <v/>
      </c>
      <c r="J826" s="595"/>
      <c r="K826"/>
      <c r="L826" s="197"/>
    </row>
    <row r="827" spans="5:12" ht="12" customHeight="1">
      <c r="E827" s="621">
        <v>819</v>
      </c>
      <c r="F827" s="761"/>
      <c r="G827" s="762"/>
      <c r="H827" s="680"/>
      <c r="I827" s="764" t="str">
        <f t="shared" si="51"/>
        <v/>
      </c>
      <c r="J827" s="595"/>
      <c r="K827"/>
      <c r="L827" s="197"/>
    </row>
    <row r="828" spans="5:12" ht="12" customHeight="1">
      <c r="E828" s="621">
        <v>820</v>
      </c>
      <c r="F828" s="761"/>
      <c r="G828" s="762"/>
      <c r="H828" s="680"/>
      <c r="I828" s="764" t="str">
        <f t="shared" si="51"/>
        <v/>
      </c>
      <c r="J828" s="595"/>
      <c r="K828"/>
      <c r="L828" s="197"/>
    </row>
    <row r="829" spans="5:12" ht="12" customHeight="1">
      <c r="E829" s="621">
        <v>821</v>
      </c>
      <c r="F829" s="761"/>
      <c r="G829" s="762"/>
      <c r="H829" s="680"/>
      <c r="I829" s="764" t="str">
        <f t="shared" si="51"/>
        <v/>
      </c>
      <c r="J829" s="595"/>
      <c r="K829"/>
      <c r="L829" s="197"/>
    </row>
    <row r="830" spans="5:12" ht="12" customHeight="1">
      <c r="E830" s="621">
        <v>822</v>
      </c>
      <c r="F830" s="761"/>
      <c r="G830" s="762"/>
      <c r="H830" s="680"/>
      <c r="I830" s="764" t="str">
        <f t="shared" si="51"/>
        <v/>
      </c>
      <c r="J830" s="595"/>
      <c r="K830"/>
      <c r="L830" s="197"/>
    </row>
    <row r="831" spans="5:12" ht="12" customHeight="1">
      <c r="E831" s="621">
        <v>823</v>
      </c>
      <c r="F831" s="761"/>
      <c r="G831" s="762"/>
      <c r="H831" s="680"/>
      <c r="I831" s="764" t="str">
        <f t="shared" si="51"/>
        <v/>
      </c>
      <c r="J831" s="595"/>
      <c r="K831"/>
      <c r="L831" s="197"/>
    </row>
    <row r="832" spans="5:12" ht="12" customHeight="1">
      <c r="E832" s="621">
        <v>824</v>
      </c>
      <c r="F832" s="761"/>
      <c r="G832" s="762"/>
      <c r="H832" s="680"/>
      <c r="I832" s="764" t="str">
        <f t="shared" si="51"/>
        <v/>
      </c>
      <c r="J832" s="595"/>
      <c r="K832"/>
      <c r="L832" s="197"/>
    </row>
    <row r="833" spans="5:12" ht="12" customHeight="1">
      <c r="E833" s="621">
        <v>825</v>
      </c>
      <c r="F833" s="761"/>
      <c r="G833" s="762"/>
      <c r="H833" s="680"/>
      <c r="I833" s="764" t="str">
        <f t="shared" si="51"/>
        <v/>
      </c>
      <c r="J833" s="595"/>
      <c r="K833"/>
      <c r="L833" s="197"/>
    </row>
    <row r="834" spans="5:12" ht="12" customHeight="1">
      <c r="E834" s="621">
        <v>826</v>
      </c>
      <c r="F834" s="761"/>
      <c r="G834" s="762"/>
      <c r="H834" s="680"/>
      <c r="I834" s="764" t="str">
        <f t="shared" si="51"/>
        <v/>
      </c>
      <c r="J834" s="595"/>
      <c r="K834"/>
      <c r="L834" s="197"/>
    </row>
    <row r="835" spans="5:12" ht="12" customHeight="1">
      <c r="E835" s="621">
        <v>827</v>
      </c>
      <c r="F835" s="761"/>
      <c r="G835" s="762"/>
      <c r="H835" s="680"/>
      <c r="I835" s="764" t="str">
        <f t="shared" si="51"/>
        <v/>
      </c>
      <c r="J835" s="595"/>
      <c r="K835"/>
      <c r="L835" s="197"/>
    </row>
    <row r="836" spans="5:12" ht="12" customHeight="1">
      <c r="E836" s="621">
        <v>828</v>
      </c>
      <c r="F836" s="761"/>
      <c r="G836" s="762"/>
      <c r="H836" s="680"/>
      <c r="I836" s="764" t="str">
        <f t="shared" si="51"/>
        <v/>
      </c>
      <c r="J836" s="595"/>
      <c r="K836"/>
      <c r="L836" s="197"/>
    </row>
    <row r="837" spans="5:12" ht="12" customHeight="1">
      <c r="E837" s="621">
        <v>829</v>
      </c>
      <c r="F837" s="761"/>
      <c r="G837" s="762"/>
      <c r="H837" s="680"/>
      <c r="I837" s="764" t="str">
        <f t="shared" si="51"/>
        <v/>
      </c>
      <c r="J837" s="595"/>
      <c r="K837"/>
      <c r="L837" s="197"/>
    </row>
    <row r="838" spans="5:12" ht="12" customHeight="1">
      <c r="E838" s="621">
        <v>830</v>
      </c>
      <c r="F838" s="761"/>
      <c r="G838" s="762"/>
      <c r="H838" s="680"/>
      <c r="I838" s="764" t="str">
        <f t="shared" si="51"/>
        <v/>
      </c>
      <c r="J838" s="595"/>
      <c r="K838"/>
      <c r="L838" s="197"/>
    </row>
    <row r="839" spans="5:12" ht="12" customHeight="1">
      <c r="E839" s="621">
        <v>831</v>
      </c>
      <c r="F839" s="761"/>
      <c r="G839" s="762"/>
      <c r="H839" s="680"/>
      <c r="I839" s="764" t="str">
        <f t="shared" si="51"/>
        <v/>
      </c>
      <c r="J839" s="595"/>
      <c r="K839"/>
      <c r="L839" s="197"/>
    </row>
    <row r="840" spans="5:12" ht="12" customHeight="1">
      <c r="E840" s="621">
        <v>832</v>
      </c>
      <c r="F840" s="761"/>
      <c r="G840" s="762"/>
      <c r="H840" s="680"/>
      <c r="I840" s="764" t="str">
        <f t="shared" si="51"/>
        <v/>
      </c>
      <c r="J840" s="595"/>
      <c r="K840"/>
      <c r="L840" s="197"/>
    </row>
    <row r="841" spans="5:12" ht="12" customHeight="1">
      <c r="E841" s="621">
        <v>833</v>
      </c>
      <c r="F841" s="761"/>
      <c r="G841" s="762"/>
      <c r="H841" s="680"/>
      <c r="I841" s="764" t="str">
        <f t="shared" ref="I841:I904" si="52">IF(AND(F841&lt;&gt;"",G841&lt;&gt;""),G841-F841,"")</f>
        <v/>
      </c>
      <c r="J841" s="595"/>
      <c r="K841"/>
      <c r="L841" s="197"/>
    </row>
    <row r="842" spans="5:12" ht="12" customHeight="1">
      <c r="E842" s="621">
        <v>834</v>
      </c>
      <c r="F842" s="761"/>
      <c r="G842" s="762"/>
      <c r="H842" s="680"/>
      <c r="I842" s="764" t="str">
        <f t="shared" si="52"/>
        <v/>
      </c>
      <c r="J842" s="595"/>
      <c r="K842"/>
      <c r="L842" s="197"/>
    </row>
    <row r="843" spans="5:12" ht="12" customHeight="1">
      <c r="E843" s="621">
        <v>835</v>
      </c>
      <c r="F843" s="761"/>
      <c r="G843" s="762"/>
      <c r="H843" s="680"/>
      <c r="I843" s="764" t="str">
        <f t="shared" si="52"/>
        <v/>
      </c>
      <c r="J843" s="595"/>
      <c r="K843"/>
      <c r="L843" s="197"/>
    </row>
    <row r="844" spans="5:12" ht="12" customHeight="1">
      <c r="E844" s="621">
        <v>836</v>
      </c>
      <c r="F844" s="761"/>
      <c r="G844" s="762"/>
      <c r="H844" s="680"/>
      <c r="I844" s="764" t="str">
        <f t="shared" si="52"/>
        <v/>
      </c>
      <c r="J844" s="595"/>
      <c r="K844"/>
      <c r="L844" s="197"/>
    </row>
    <row r="845" spans="5:12" ht="12" customHeight="1">
      <c r="E845" s="621">
        <v>837</v>
      </c>
      <c r="F845" s="761"/>
      <c r="G845" s="762"/>
      <c r="H845" s="680"/>
      <c r="I845" s="764" t="str">
        <f t="shared" si="52"/>
        <v/>
      </c>
      <c r="J845" s="595"/>
      <c r="K845"/>
      <c r="L845" s="197"/>
    </row>
    <row r="846" spans="5:12" ht="12" customHeight="1">
      <c r="E846" s="621">
        <v>838</v>
      </c>
      <c r="F846" s="761"/>
      <c r="G846" s="762"/>
      <c r="H846" s="680"/>
      <c r="I846" s="764" t="str">
        <f t="shared" si="52"/>
        <v/>
      </c>
      <c r="J846" s="595"/>
      <c r="K846"/>
      <c r="L846" s="197"/>
    </row>
    <row r="847" spans="5:12" ht="12" customHeight="1">
      <c r="E847" s="621">
        <v>839</v>
      </c>
      <c r="F847" s="761"/>
      <c r="G847" s="762"/>
      <c r="H847" s="680"/>
      <c r="I847" s="764" t="str">
        <f t="shared" si="52"/>
        <v/>
      </c>
      <c r="J847" s="595"/>
      <c r="K847"/>
      <c r="L847" s="197"/>
    </row>
    <row r="848" spans="5:12" ht="12" customHeight="1">
      <c r="E848" s="621">
        <v>840</v>
      </c>
      <c r="F848" s="761"/>
      <c r="G848" s="762"/>
      <c r="H848" s="680"/>
      <c r="I848" s="764" t="str">
        <f t="shared" si="52"/>
        <v/>
      </c>
      <c r="J848" s="595"/>
      <c r="K848"/>
      <c r="L848" s="197"/>
    </row>
    <row r="849" spans="5:12" ht="12" customHeight="1">
      <c r="E849" s="621">
        <v>841</v>
      </c>
      <c r="F849" s="761"/>
      <c r="G849" s="762"/>
      <c r="H849" s="680"/>
      <c r="I849" s="764" t="str">
        <f t="shared" si="52"/>
        <v/>
      </c>
      <c r="J849" s="595"/>
      <c r="K849"/>
      <c r="L849" s="197"/>
    </row>
    <row r="850" spans="5:12" ht="12" customHeight="1">
      <c r="E850" s="621">
        <v>842</v>
      </c>
      <c r="F850" s="761"/>
      <c r="G850" s="762"/>
      <c r="H850" s="680"/>
      <c r="I850" s="764" t="str">
        <f t="shared" si="52"/>
        <v/>
      </c>
      <c r="J850" s="595"/>
      <c r="K850"/>
      <c r="L850" s="197"/>
    </row>
    <row r="851" spans="5:12" ht="12" customHeight="1">
      <c r="E851" s="621">
        <v>843</v>
      </c>
      <c r="F851" s="761"/>
      <c r="G851" s="762"/>
      <c r="H851" s="680"/>
      <c r="I851" s="764" t="str">
        <f t="shared" si="52"/>
        <v/>
      </c>
      <c r="J851" s="595"/>
      <c r="K851"/>
      <c r="L851" s="197"/>
    </row>
    <row r="852" spans="5:12" ht="12" customHeight="1">
      <c r="E852" s="621">
        <v>844</v>
      </c>
      <c r="F852" s="761"/>
      <c r="G852" s="762"/>
      <c r="H852" s="680"/>
      <c r="I852" s="764" t="str">
        <f t="shared" si="52"/>
        <v/>
      </c>
      <c r="J852" s="595"/>
      <c r="K852"/>
      <c r="L852" s="197"/>
    </row>
    <row r="853" spans="5:12" ht="12" customHeight="1">
      <c r="E853" s="621">
        <v>845</v>
      </c>
      <c r="F853" s="761"/>
      <c r="G853" s="762"/>
      <c r="H853" s="680"/>
      <c r="I853" s="764" t="str">
        <f t="shared" si="52"/>
        <v/>
      </c>
      <c r="J853" s="595"/>
      <c r="K853"/>
      <c r="L853" s="197"/>
    </row>
    <row r="854" spans="5:12" ht="12" customHeight="1">
      <c r="E854" s="621">
        <v>846</v>
      </c>
      <c r="F854" s="761"/>
      <c r="G854" s="762"/>
      <c r="H854" s="680"/>
      <c r="I854" s="764" t="str">
        <f t="shared" si="52"/>
        <v/>
      </c>
      <c r="J854" s="595"/>
      <c r="K854"/>
      <c r="L854" s="197"/>
    </row>
    <row r="855" spans="5:12" ht="12" customHeight="1">
      <c r="E855" s="621">
        <v>847</v>
      </c>
      <c r="F855" s="761"/>
      <c r="G855" s="762"/>
      <c r="H855" s="680"/>
      <c r="I855" s="764" t="str">
        <f t="shared" si="52"/>
        <v/>
      </c>
      <c r="J855" s="595"/>
      <c r="K855"/>
      <c r="L855" s="197"/>
    </row>
    <row r="856" spans="5:12" ht="12" customHeight="1">
      <c r="E856" s="621">
        <v>848</v>
      </c>
      <c r="F856" s="761"/>
      <c r="G856" s="762"/>
      <c r="H856" s="680"/>
      <c r="I856" s="764" t="str">
        <f t="shared" si="52"/>
        <v/>
      </c>
      <c r="J856" s="595"/>
      <c r="K856"/>
      <c r="L856" s="197"/>
    </row>
    <row r="857" spans="5:12" ht="12" customHeight="1">
      <c r="E857" s="621">
        <v>849</v>
      </c>
      <c r="F857" s="761"/>
      <c r="G857" s="762"/>
      <c r="H857" s="680"/>
      <c r="I857" s="764" t="str">
        <f t="shared" si="52"/>
        <v/>
      </c>
      <c r="J857" s="595"/>
      <c r="K857"/>
      <c r="L857" s="197"/>
    </row>
    <row r="858" spans="5:12" ht="12" customHeight="1">
      <c r="E858" s="621">
        <v>850</v>
      </c>
      <c r="F858" s="761"/>
      <c r="G858" s="762"/>
      <c r="H858" s="680"/>
      <c r="I858" s="764" t="str">
        <f t="shared" si="52"/>
        <v/>
      </c>
      <c r="J858" s="595"/>
      <c r="K858"/>
      <c r="L858" s="197"/>
    </row>
    <row r="859" spans="5:12" ht="12" customHeight="1">
      <c r="E859" s="621">
        <v>851</v>
      </c>
      <c r="F859" s="761"/>
      <c r="G859" s="762"/>
      <c r="H859" s="680"/>
      <c r="I859" s="764" t="str">
        <f t="shared" si="52"/>
        <v/>
      </c>
      <c r="J859" s="595"/>
      <c r="K859"/>
      <c r="L859" s="197"/>
    </row>
    <row r="860" spans="5:12" ht="12" customHeight="1">
      <c r="E860" s="621">
        <v>852</v>
      </c>
      <c r="F860" s="761"/>
      <c r="G860" s="762"/>
      <c r="H860" s="680"/>
      <c r="I860" s="764" t="str">
        <f t="shared" si="52"/>
        <v/>
      </c>
      <c r="J860" s="595"/>
      <c r="K860"/>
      <c r="L860" s="197"/>
    </row>
    <row r="861" spans="5:12" ht="12" customHeight="1">
      <c r="E861" s="621">
        <v>853</v>
      </c>
      <c r="F861" s="761"/>
      <c r="G861" s="762"/>
      <c r="H861" s="680"/>
      <c r="I861" s="764" t="str">
        <f t="shared" si="52"/>
        <v/>
      </c>
      <c r="J861" s="595"/>
      <c r="K861"/>
      <c r="L861" s="197"/>
    </row>
    <row r="862" spans="5:12" ht="12" customHeight="1">
      <c r="E862" s="621">
        <v>854</v>
      </c>
      <c r="F862" s="761"/>
      <c r="G862" s="762"/>
      <c r="H862" s="680"/>
      <c r="I862" s="764" t="str">
        <f t="shared" si="52"/>
        <v/>
      </c>
      <c r="J862" s="595"/>
      <c r="K862"/>
      <c r="L862" s="197"/>
    </row>
    <row r="863" spans="5:12" ht="12" customHeight="1">
      <c r="E863" s="621">
        <v>855</v>
      </c>
      <c r="F863" s="761"/>
      <c r="G863" s="762"/>
      <c r="H863" s="680"/>
      <c r="I863" s="764" t="str">
        <f t="shared" si="52"/>
        <v/>
      </c>
      <c r="J863" s="595"/>
      <c r="K863"/>
      <c r="L863" s="197"/>
    </row>
    <row r="864" spans="5:12" ht="12" customHeight="1">
      <c r="E864" s="621">
        <v>856</v>
      </c>
      <c r="F864" s="761"/>
      <c r="G864" s="762"/>
      <c r="H864" s="680"/>
      <c r="I864" s="764" t="str">
        <f t="shared" si="52"/>
        <v/>
      </c>
      <c r="J864" s="595"/>
      <c r="K864"/>
      <c r="L864" s="197"/>
    </row>
    <row r="865" spans="5:12" ht="12" customHeight="1">
      <c r="E865" s="621">
        <v>857</v>
      </c>
      <c r="F865" s="761"/>
      <c r="G865" s="762"/>
      <c r="H865" s="680"/>
      <c r="I865" s="764" t="str">
        <f t="shared" si="52"/>
        <v/>
      </c>
      <c r="J865" s="595"/>
      <c r="K865"/>
      <c r="L865" s="197"/>
    </row>
    <row r="866" spans="5:12" ht="12" customHeight="1">
      <c r="E866" s="621">
        <v>858</v>
      </c>
      <c r="F866" s="761"/>
      <c r="G866" s="762"/>
      <c r="H866" s="680"/>
      <c r="I866" s="764" t="str">
        <f t="shared" si="52"/>
        <v/>
      </c>
      <c r="J866" s="595"/>
      <c r="K866"/>
      <c r="L866" s="197"/>
    </row>
    <row r="867" spans="5:12" ht="12" customHeight="1">
      <c r="E867" s="621">
        <v>859</v>
      </c>
      <c r="F867" s="761"/>
      <c r="G867" s="762"/>
      <c r="H867" s="680"/>
      <c r="I867" s="764" t="str">
        <f t="shared" si="52"/>
        <v/>
      </c>
      <c r="J867" s="595"/>
      <c r="K867"/>
      <c r="L867" s="197"/>
    </row>
    <row r="868" spans="5:12" ht="12" customHeight="1">
      <c r="E868" s="621">
        <v>860</v>
      </c>
      <c r="F868" s="761"/>
      <c r="G868" s="762"/>
      <c r="H868" s="680"/>
      <c r="I868" s="764" t="str">
        <f t="shared" si="52"/>
        <v/>
      </c>
      <c r="J868" s="595"/>
      <c r="K868"/>
      <c r="L868" s="197"/>
    </row>
    <row r="869" spans="5:12" ht="12" customHeight="1">
      <c r="E869" s="621">
        <v>861</v>
      </c>
      <c r="F869" s="761"/>
      <c r="G869" s="762"/>
      <c r="H869" s="680"/>
      <c r="I869" s="764" t="str">
        <f t="shared" si="52"/>
        <v/>
      </c>
      <c r="J869" s="595"/>
      <c r="K869"/>
      <c r="L869" s="197"/>
    </row>
    <row r="870" spans="5:12" ht="12" customHeight="1">
      <c r="E870" s="621">
        <v>862</v>
      </c>
      <c r="F870" s="761"/>
      <c r="G870" s="762"/>
      <c r="H870" s="680"/>
      <c r="I870" s="764" t="str">
        <f t="shared" si="52"/>
        <v/>
      </c>
      <c r="J870" s="595"/>
      <c r="K870"/>
      <c r="L870" s="197"/>
    </row>
    <row r="871" spans="5:12" ht="12" customHeight="1">
      <c r="E871" s="621">
        <v>863</v>
      </c>
      <c r="F871" s="761"/>
      <c r="G871" s="762"/>
      <c r="H871" s="680"/>
      <c r="I871" s="764" t="str">
        <f t="shared" si="52"/>
        <v/>
      </c>
      <c r="J871" s="595"/>
      <c r="K871"/>
      <c r="L871" s="197"/>
    </row>
    <row r="872" spans="5:12" ht="12" customHeight="1">
      <c r="E872" s="621">
        <v>864</v>
      </c>
      <c r="F872" s="761"/>
      <c r="G872" s="762"/>
      <c r="H872" s="680"/>
      <c r="I872" s="764" t="str">
        <f t="shared" si="52"/>
        <v/>
      </c>
      <c r="J872" s="595"/>
      <c r="K872"/>
      <c r="L872" s="197"/>
    </row>
    <row r="873" spans="5:12" ht="12" customHeight="1">
      <c r="E873" s="621">
        <v>865</v>
      </c>
      <c r="F873" s="761"/>
      <c r="G873" s="762"/>
      <c r="H873" s="680"/>
      <c r="I873" s="764" t="str">
        <f t="shared" si="52"/>
        <v/>
      </c>
      <c r="J873" s="595"/>
      <c r="K873"/>
      <c r="L873" s="197"/>
    </row>
    <row r="874" spans="5:12" ht="12" customHeight="1">
      <c r="E874" s="621">
        <v>866</v>
      </c>
      <c r="F874" s="761"/>
      <c r="G874" s="762"/>
      <c r="H874" s="680"/>
      <c r="I874" s="764" t="str">
        <f t="shared" si="52"/>
        <v/>
      </c>
      <c r="J874" s="595"/>
      <c r="K874"/>
      <c r="L874" s="197"/>
    </row>
    <row r="875" spans="5:12" ht="12" customHeight="1">
      <c r="E875" s="621">
        <v>867</v>
      </c>
      <c r="F875" s="761"/>
      <c r="G875" s="762"/>
      <c r="H875" s="680"/>
      <c r="I875" s="764" t="str">
        <f t="shared" si="52"/>
        <v/>
      </c>
      <c r="J875" s="595"/>
      <c r="K875"/>
      <c r="L875" s="197"/>
    </row>
    <row r="876" spans="5:12" ht="12" customHeight="1">
      <c r="E876" s="621">
        <v>868</v>
      </c>
      <c r="F876" s="761"/>
      <c r="G876" s="762"/>
      <c r="H876" s="680"/>
      <c r="I876" s="764" t="str">
        <f t="shared" si="52"/>
        <v/>
      </c>
      <c r="J876" s="595"/>
      <c r="K876"/>
      <c r="L876" s="197"/>
    </row>
    <row r="877" spans="5:12" ht="12" customHeight="1">
      <c r="E877" s="621">
        <v>869</v>
      </c>
      <c r="F877" s="761"/>
      <c r="G877" s="762"/>
      <c r="H877" s="680"/>
      <c r="I877" s="764" t="str">
        <f t="shared" si="52"/>
        <v/>
      </c>
      <c r="J877" s="595"/>
      <c r="K877"/>
      <c r="L877" s="197"/>
    </row>
    <row r="878" spans="5:12" ht="12" customHeight="1">
      <c r="E878" s="621">
        <v>870</v>
      </c>
      <c r="F878" s="761"/>
      <c r="G878" s="762"/>
      <c r="H878" s="680"/>
      <c r="I878" s="764" t="str">
        <f t="shared" si="52"/>
        <v/>
      </c>
      <c r="J878" s="595"/>
      <c r="K878"/>
      <c r="L878" s="197"/>
    </row>
    <row r="879" spans="5:12" ht="12" customHeight="1">
      <c r="E879" s="621">
        <v>871</v>
      </c>
      <c r="F879" s="761"/>
      <c r="G879" s="762"/>
      <c r="H879" s="680"/>
      <c r="I879" s="764" t="str">
        <f t="shared" si="52"/>
        <v/>
      </c>
      <c r="J879" s="595"/>
      <c r="K879"/>
      <c r="L879" s="197"/>
    </row>
    <row r="880" spans="5:12" ht="12" customHeight="1">
      <c r="E880" s="621">
        <v>872</v>
      </c>
      <c r="F880" s="761"/>
      <c r="G880" s="762"/>
      <c r="H880" s="680"/>
      <c r="I880" s="764" t="str">
        <f t="shared" si="52"/>
        <v/>
      </c>
      <c r="J880" s="595"/>
      <c r="K880"/>
      <c r="L880" s="197"/>
    </row>
    <row r="881" spans="5:12" ht="12" customHeight="1">
      <c r="E881" s="621">
        <v>873</v>
      </c>
      <c r="F881" s="761"/>
      <c r="G881" s="762"/>
      <c r="H881" s="680"/>
      <c r="I881" s="764" t="str">
        <f t="shared" si="52"/>
        <v/>
      </c>
      <c r="J881" s="595"/>
      <c r="K881"/>
      <c r="L881" s="197"/>
    </row>
    <row r="882" spans="5:12" ht="12" customHeight="1">
      <c r="E882" s="621">
        <v>874</v>
      </c>
      <c r="F882" s="761"/>
      <c r="G882" s="762"/>
      <c r="H882" s="680"/>
      <c r="I882" s="764" t="str">
        <f t="shared" si="52"/>
        <v/>
      </c>
      <c r="J882" s="595"/>
      <c r="K882"/>
      <c r="L882" s="197"/>
    </row>
    <row r="883" spans="5:12" ht="12" customHeight="1">
      <c r="E883" s="621">
        <v>875</v>
      </c>
      <c r="F883" s="761"/>
      <c r="G883" s="762"/>
      <c r="H883" s="680"/>
      <c r="I883" s="764" t="str">
        <f t="shared" si="52"/>
        <v/>
      </c>
      <c r="J883" s="595"/>
      <c r="K883"/>
      <c r="L883" s="197"/>
    </row>
    <row r="884" spans="5:12" ht="12" customHeight="1">
      <c r="E884" s="621">
        <v>876</v>
      </c>
      <c r="F884" s="761"/>
      <c r="G884" s="762"/>
      <c r="H884" s="680"/>
      <c r="I884" s="764" t="str">
        <f t="shared" si="52"/>
        <v/>
      </c>
      <c r="J884" s="595"/>
      <c r="K884"/>
      <c r="L884" s="197"/>
    </row>
    <row r="885" spans="5:12" ht="12" customHeight="1">
      <c r="E885" s="621">
        <v>877</v>
      </c>
      <c r="F885" s="761"/>
      <c r="G885" s="762"/>
      <c r="H885" s="680"/>
      <c r="I885" s="764" t="str">
        <f t="shared" si="52"/>
        <v/>
      </c>
      <c r="J885" s="595"/>
      <c r="K885"/>
      <c r="L885" s="197"/>
    </row>
    <row r="886" spans="5:12" ht="12" customHeight="1">
      <c r="E886" s="621">
        <v>878</v>
      </c>
      <c r="F886" s="761"/>
      <c r="G886" s="762"/>
      <c r="H886" s="680"/>
      <c r="I886" s="764" t="str">
        <f t="shared" si="52"/>
        <v/>
      </c>
      <c r="J886" s="595"/>
      <c r="K886"/>
      <c r="L886" s="197"/>
    </row>
    <row r="887" spans="5:12" ht="12" customHeight="1">
      <c r="E887" s="621">
        <v>879</v>
      </c>
      <c r="F887" s="761"/>
      <c r="G887" s="762"/>
      <c r="H887" s="680"/>
      <c r="I887" s="764" t="str">
        <f t="shared" si="52"/>
        <v/>
      </c>
      <c r="J887" s="595"/>
      <c r="K887"/>
      <c r="L887" s="197"/>
    </row>
    <row r="888" spans="5:12" ht="12" customHeight="1">
      <c r="E888" s="621">
        <v>880</v>
      </c>
      <c r="F888" s="761"/>
      <c r="G888" s="762"/>
      <c r="H888" s="680"/>
      <c r="I888" s="764" t="str">
        <f t="shared" si="52"/>
        <v/>
      </c>
      <c r="J888" s="595"/>
      <c r="K888"/>
      <c r="L888" s="197"/>
    </row>
    <row r="889" spans="5:12" ht="12" customHeight="1">
      <c r="E889" s="621">
        <v>881</v>
      </c>
      <c r="F889" s="761"/>
      <c r="G889" s="762"/>
      <c r="H889" s="680"/>
      <c r="I889" s="764" t="str">
        <f t="shared" si="52"/>
        <v/>
      </c>
      <c r="J889" s="595"/>
      <c r="K889"/>
      <c r="L889" s="197"/>
    </row>
    <row r="890" spans="5:12" ht="12" customHeight="1">
      <c r="E890" s="621">
        <v>882</v>
      </c>
      <c r="F890" s="761"/>
      <c r="G890" s="762"/>
      <c r="H890" s="680"/>
      <c r="I890" s="764" t="str">
        <f t="shared" si="52"/>
        <v/>
      </c>
      <c r="J890" s="595"/>
      <c r="K890"/>
      <c r="L890" s="197"/>
    </row>
    <row r="891" spans="5:12" ht="12" customHeight="1">
      <c r="E891" s="621">
        <v>883</v>
      </c>
      <c r="F891" s="761"/>
      <c r="G891" s="762"/>
      <c r="H891" s="680"/>
      <c r="I891" s="764" t="str">
        <f t="shared" si="52"/>
        <v/>
      </c>
      <c r="J891" s="595"/>
      <c r="K891"/>
      <c r="L891" s="197"/>
    </row>
    <row r="892" spans="5:12" ht="12" customHeight="1">
      <c r="E892" s="621">
        <v>884</v>
      </c>
      <c r="F892" s="761"/>
      <c r="G892" s="762"/>
      <c r="H892" s="680"/>
      <c r="I892" s="764" t="str">
        <f t="shared" si="52"/>
        <v/>
      </c>
      <c r="J892" s="595"/>
      <c r="K892"/>
      <c r="L892" s="197"/>
    </row>
    <row r="893" spans="5:12" ht="12" customHeight="1">
      <c r="E893" s="621">
        <v>885</v>
      </c>
      <c r="F893" s="761"/>
      <c r="G893" s="762"/>
      <c r="H893" s="680"/>
      <c r="I893" s="764" t="str">
        <f t="shared" si="52"/>
        <v/>
      </c>
      <c r="J893" s="595"/>
      <c r="K893"/>
      <c r="L893" s="197"/>
    </row>
    <row r="894" spans="5:12" ht="12" customHeight="1">
      <c r="E894" s="621">
        <v>886</v>
      </c>
      <c r="F894" s="761"/>
      <c r="G894" s="762"/>
      <c r="H894" s="680"/>
      <c r="I894" s="764" t="str">
        <f t="shared" si="52"/>
        <v/>
      </c>
      <c r="J894" s="595"/>
      <c r="K894"/>
      <c r="L894" s="197"/>
    </row>
    <row r="895" spans="5:12" ht="12" customHeight="1">
      <c r="E895" s="621">
        <v>887</v>
      </c>
      <c r="F895" s="761"/>
      <c r="G895" s="762"/>
      <c r="H895" s="680"/>
      <c r="I895" s="764" t="str">
        <f t="shared" si="52"/>
        <v/>
      </c>
      <c r="J895" s="595"/>
      <c r="K895"/>
      <c r="L895" s="197"/>
    </row>
    <row r="896" spans="5:12" ht="12" customHeight="1">
      <c r="E896" s="621">
        <v>888</v>
      </c>
      <c r="F896" s="761"/>
      <c r="G896" s="762"/>
      <c r="H896" s="680"/>
      <c r="I896" s="764" t="str">
        <f t="shared" si="52"/>
        <v/>
      </c>
      <c r="J896" s="595"/>
      <c r="K896"/>
      <c r="L896" s="197"/>
    </row>
    <row r="897" spans="5:12" ht="12" customHeight="1">
      <c r="E897" s="621">
        <v>889</v>
      </c>
      <c r="F897" s="761"/>
      <c r="G897" s="762"/>
      <c r="H897" s="680"/>
      <c r="I897" s="764" t="str">
        <f t="shared" si="52"/>
        <v/>
      </c>
      <c r="J897" s="595"/>
      <c r="K897"/>
      <c r="L897" s="197"/>
    </row>
    <row r="898" spans="5:12" ht="12" customHeight="1">
      <c r="E898" s="621">
        <v>890</v>
      </c>
      <c r="F898" s="761"/>
      <c r="G898" s="762"/>
      <c r="H898" s="680"/>
      <c r="I898" s="764" t="str">
        <f t="shared" si="52"/>
        <v/>
      </c>
      <c r="J898" s="595"/>
      <c r="K898"/>
      <c r="L898" s="197"/>
    </row>
    <row r="899" spans="5:12" ht="12" customHeight="1">
      <c r="E899" s="621">
        <v>891</v>
      </c>
      <c r="F899" s="761"/>
      <c r="G899" s="762"/>
      <c r="H899" s="680"/>
      <c r="I899" s="764" t="str">
        <f t="shared" si="52"/>
        <v/>
      </c>
      <c r="J899" s="595"/>
      <c r="K899"/>
      <c r="L899" s="197"/>
    </row>
    <row r="900" spans="5:12" ht="12" customHeight="1">
      <c r="E900" s="621">
        <v>892</v>
      </c>
      <c r="F900" s="761"/>
      <c r="G900" s="762"/>
      <c r="H900" s="680"/>
      <c r="I900" s="764" t="str">
        <f t="shared" si="52"/>
        <v/>
      </c>
      <c r="J900" s="595"/>
      <c r="K900"/>
      <c r="L900" s="197"/>
    </row>
    <row r="901" spans="5:12" ht="12" customHeight="1">
      <c r="E901" s="621">
        <v>893</v>
      </c>
      <c r="F901" s="761"/>
      <c r="G901" s="762"/>
      <c r="H901" s="680"/>
      <c r="I901" s="764" t="str">
        <f t="shared" si="52"/>
        <v/>
      </c>
      <c r="J901" s="595"/>
      <c r="K901"/>
      <c r="L901" s="197"/>
    </row>
    <row r="902" spans="5:12" ht="12" customHeight="1">
      <c r="E902" s="621">
        <v>894</v>
      </c>
      <c r="F902" s="761"/>
      <c r="G902" s="762"/>
      <c r="H902" s="680"/>
      <c r="I902" s="764" t="str">
        <f t="shared" si="52"/>
        <v/>
      </c>
      <c r="J902" s="595"/>
      <c r="K902"/>
      <c r="L902" s="197"/>
    </row>
    <row r="903" spans="5:12" ht="12" customHeight="1">
      <c r="E903" s="621">
        <v>895</v>
      </c>
      <c r="F903" s="761"/>
      <c r="G903" s="762"/>
      <c r="H903" s="680"/>
      <c r="I903" s="764" t="str">
        <f t="shared" si="52"/>
        <v/>
      </c>
      <c r="J903" s="595"/>
      <c r="K903"/>
      <c r="L903" s="197"/>
    </row>
    <row r="904" spans="5:12" ht="12" customHeight="1">
      <c r="E904" s="621">
        <v>896</v>
      </c>
      <c r="F904" s="761"/>
      <c r="G904" s="762"/>
      <c r="H904" s="680"/>
      <c r="I904" s="764" t="str">
        <f t="shared" si="52"/>
        <v/>
      </c>
      <c r="J904" s="595"/>
      <c r="K904"/>
      <c r="L904" s="197"/>
    </row>
    <row r="905" spans="5:12" ht="12" customHeight="1">
      <c r="E905" s="621">
        <v>897</v>
      </c>
      <c r="F905" s="761"/>
      <c r="G905" s="762"/>
      <c r="H905" s="680"/>
      <c r="I905" s="764" t="str">
        <f t="shared" ref="I905:I968" si="53">IF(AND(F905&lt;&gt;"",G905&lt;&gt;""),G905-F905,"")</f>
        <v/>
      </c>
      <c r="J905" s="595"/>
      <c r="K905"/>
      <c r="L905" s="197"/>
    </row>
    <row r="906" spans="5:12" ht="12" customHeight="1">
      <c r="E906" s="621">
        <v>898</v>
      </c>
      <c r="F906" s="761"/>
      <c r="G906" s="762"/>
      <c r="H906" s="680"/>
      <c r="I906" s="764" t="str">
        <f t="shared" si="53"/>
        <v/>
      </c>
      <c r="J906" s="595"/>
      <c r="K906"/>
      <c r="L906" s="197"/>
    </row>
    <row r="907" spans="5:12" ht="12" customHeight="1">
      <c r="E907" s="621">
        <v>899</v>
      </c>
      <c r="F907" s="761"/>
      <c r="G907" s="762"/>
      <c r="H907" s="680"/>
      <c r="I907" s="764" t="str">
        <f t="shared" si="53"/>
        <v/>
      </c>
      <c r="J907" s="595"/>
      <c r="K907"/>
      <c r="L907" s="197"/>
    </row>
    <row r="908" spans="5:12" ht="12" customHeight="1">
      <c r="E908" s="621">
        <v>900</v>
      </c>
      <c r="F908" s="761"/>
      <c r="G908" s="762"/>
      <c r="H908" s="680"/>
      <c r="I908" s="764" t="str">
        <f t="shared" si="53"/>
        <v/>
      </c>
      <c r="J908" s="595"/>
      <c r="K908"/>
      <c r="L908" s="197"/>
    </row>
    <row r="909" spans="5:12" ht="12" customHeight="1">
      <c r="E909" s="621">
        <v>901</v>
      </c>
      <c r="F909" s="761"/>
      <c r="G909" s="762"/>
      <c r="H909" s="680"/>
      <c r="I909" s="764" t="str">
        <f t="shared" si="53"/>
        <v/>
      </c>
      <c r="J909" s="595"/>
      <c r="K909"/>
      <c r="L909" s="197"/>
    </row>
    <row r="910" spans="5:12" ht="12" customHeight="1">
      <c r="E910" s="621">
        <v>902</v>
      </c>
      <c r="F910" s="761"/>
      <c r="G910" s="762"/>
      <c r="H910" s="680"/>
      <c r="I910" s="764" t="str">
        <f t="shared" si="53"/>
        <v/>
      </c>
      <c r="J910" s="595"/>
      <c r="K910"/>
      <c r="L910" s="197"/>
    </row>
    <row r="911" spans="5:12" ht="12" customHeight="1">
      <c r="E911" s="621">
        <v>903</v>
      </c>
      <c r="F911" s="761"/>
      <c r="G911" s="762"/>
      <c r="H911" s="680"/>
      <c r="I911" s="764" t="str">
        <f t="shared" si="53"/>
        <v/>
      </c>
      <c r="J911" s="595"/>
      <c r="K911"/>
      <c r="L911" s="197"/>
    </row>
    <row r="912" spans="5:12" ht="12" customHeight="1">
      <c r="E912" s="621">
        <v>904</v>
      </c>
      <c r="F912" s="761"/>
      <c r="G912" s="762"/>
      <c r="H912" s="680"/>
      <c r="I912" s="764" t="str">
        <f t="shared" si="53"/>
        <v/>
      </c>
      <c r="J912" s="595"/>
      <c r="K912"/>
      <c r="L912" s="197"/>
    </row>
    <row r="913" spans="5:12" ht="12" customHeight="1">
      <c r="E913" s="621">
        <v>905</v>
      </c>
      <c r="F913" s="761"/>
      <c r="G913" s="762"/>
      <c r="H913" s="680"/>
      <c r="I913" s="764" t="str">
        <f t="shared" si="53"/>
        <v/>
      </c>
      <c r="J913" s="595"/>
      <c r="K913"/>
      <c r="L913" s="197"/>
    </row>
    <row r="914" spans="5:12" ht="12" customHeight="1">
      <c r="E914" s="621">
        <v>906</v>
      </c>
      <c r="F914" s="761"/>
      <c r="G914" s="762"/>
      <c r="H914" s="680"/>
      <c r="I914" s="764" t="str">
        <f t="shared" si="53"/>
        <v/>
      </c>
      <c r="J914" s="595"/>
      <c r="K914"/>
      <c r="L914" s="197"/>
    </row>
    <row r="915" spans="5:12" ht="12" customHeight="1">
      <c r="E915" s="621">
        <v>907</v>
      </c>
      <c r="F915" s="761"/>
      <c r="G915" s="762"/>
      <c r="H915" s="680"/>
      <c r="I915" s="764" t="str">
        <f t="shared" si="53"/>
        <v/>
      </c>
      <c r="J915" s="595"/>
      <c r="K915"/>
      <c r="L915" s="197"/>
    </row>
    <row r="916" spans="5:12" ht="12" customHeight="1">
      <c r="E916" s="621">
        <v>908</v>
      </c>
      <c r="F916" s="761"/>
      <c r="G916" s="762"/>
      <c r="H916" s="680"/>
      <c r="I916" s="764" t="str">
        <f t="shared" si="53"/>
        <v/>
      </c>
      <c r="J916" s="595"/>
      <c r="K916"/>
      <c r="L916" s="197"/>
    </row>
    <row r="917" spans="5:12" ht="12" customHeight="1">
      <c r="E917" s="621">
        <v>909</v>
      </c>
      <c r="F917" s="761"/>
      <c r="G917" s="762"/>
      <c r="H917" s="680"/>
      <c r="I917" s="764" t="str">
        <f t="shared" si="53"/>
        <v/>
      </c>
      <c r="J917" s="595"/>
      <c r="K917"/>
      <c r="L917" s="197"/>
    </row>
    <row r="918" spans="5:12" ht="12" customHeight="1">
      <c r="E918" s="621">
        <v>910</v>
      </c>
      <c r="F918" s="761"/>
      <c r="G918" s="762"/>
      <c r="H918" s="680"/>
      <c r="I918" s="764" t="str">
        <f t="shared" si="53"/>
        <v/>
      </c>
      <c r="J918" s="595"/>
      <c r="K918"/>
      <c r="L918" s="197"/>
    </row>
    <row r="919" spans="5:12" ht="12" customHeight="1">
      <c r="E919" s="621">
        <v>911</v>
      </c>
      <c r="F919" s="761"/>
      <c r="G919" s="762"/>
      <c r="H919" s="680"/>
      <c r="I919" s="764" t="str">
        <f t="shared" si="53"/>
        <v/>
      </c>
      <c r="J919" s="595"/>
      <c r="K919"/>
      <c r="L919" s="197"/>
    </row>
    <row r="920" spans="5:12" ht="12" customHeight="1">
      <c r="E920" s="621">
        <v>912</v>
      </c>
      <c r="F920" s="761"/>
      <c r="G920" s="762"/>
      <c r="H920" s="680"/>
      <c r="I920" s="764" t="str">
        <f t="shared" si="53"/>
        <v/>
      </c>
      <c r="J920" s="595"/>
      <c r="K920"/>
      <c r="L920" s="197"/>
    </row>
    <row r="921" spans="5:12" ht="12" customHeight="1">
      <c r="E921" s="621">
        <v>913</v>
      </c>
      <c r="F921" s="761"/>
      <c r="G921" s="762"/>
      <c r="H921" s="680"/>
      <c r="I921" s="764" t="str">
        <f t="shared" si="53"/>
        <v/>
      </c>
      <c r="J921" s="595"/>
      <c r="K921"/>
      <c r="L921" s="197"/>
    </row>
    <row r="922" spans="5:12" ht="12" customHeight="1">
      <c r="E922" s="621">
        <v>914</v>
      </c>
      <c r="F922" s="761"/>
      <c r="G922" s="762"/>
      <c r="H922" s="680"/>
      <c r="I922" s="764" t="str">
        <f t="shared" si="53"/>
        <v/>
      </c>
      <c r="J922" s="595"/>
      <c r="K922"/>
      <c r="L922" s="197"/>
    </row>
    <row r="923" spans="5:12" ht="12" customHeight="1">
      <c r="E923" s="621">
        <v>915</v>
      </c>
      <c r="F923" s="761"/>
      <c r="G923" s="762"/>
      <c r="H923" s="680"/>
      <c r="I923" s="764" t="str">
        <f t="shared" si="53"/>
        <v/>
      </c>
      <c r="J923" s="595"/>
      <c r="K923"/>
      <c r="L923" s="197"/>
    </row>
    <row r="924" spans="5:12" ht="12" customHeight="1">
      <c r="E924" s="621">
        <v>916</v>
      </c>
      <c r="F924" s="761"/>
      <c r="G924" s="762"/>
      <c r="H924" s="680"/>
      <c r="I924" s="764" t="str">
        <f t="shared" si="53"/>
        <v/>
      </c>
      <c r="J924" s="595"/>
      <c r="K924"/>
      <c r="L924" s="197"/>
    </row>
    <row r="925" spans="5:12" ht="12" customHeight="1">
      <c r="E925" s="621">
        <v>917</v>
      </c>
      <c r="F925" s="761"/>
      <c r="G925" s="762"/>
      <c r="H925" s="680"/>
      <c r="I925" s="764" t="str">
        <f t="shared" si="53"/>
        <v/>
      </c>
      <c r="J925" s="595"/>
      <c r="K925"/>
      <c r="L925" s="197"/>
    </row>
    <row r="926" spans="5:12" ht="12" customHeight="1">
      <c r="E926" s="621">
        <v>918</v>
      </c>
      <c r="F926" s="761"/>
      <c r="G926" s="762"/>
      <c r="H926" s="680"/>
      <c r="I926" s="764" t="str">
        <f t="shared" si="53"/>
        <v/>
      </c>
      <c r="J926" s="595"/>
      <c r="K926"/>
      <c r="L926" s="197"/>
    </row>
    <row r="927" spans="5:12" ht="12" customHeight="1">
      <c r="E927" s="621">
        <v>919</v>
      </c>
      <c r="F927" s="761"/>
      <c r="G927" s="762"/>
      <c r="H927" s="680"/>
      <c r="I927" s="764" t="str">
        <f t="shared" si="53"/>
        <v/>
      </c>
      <c r="J927" s="595"/>
      <c r="K927"/>
      <c r="L927" s="197"/>
    </row>
    <row r="928" spans="5:12" ht="12" customHeight="1">
      <c r="E928" s="621">
        <v>920</v>
      </c>
      <c r="F928" s="761"/>
      <c r="G928" s="762"/>
      <c r="H928" s="680"/>
      <c r="I928" s="764" t="str">
        <f t="shared" si="53"/>
        <v/>
      </c>
      <c r="J928" s="595"/>
      <c r="K928"/>
      <c r="L928" s="197"/>
    </row>
    <row r="929" spans="5:12" ht="12" customHeight="1">
      <c r="E929" s="621">
        <v>921</v>
      </c>
      <c r="F929" s="761"/>
      <c r="G929" s="762"/>
      <c r="H929" s="680"/>
      <c r="I929" s="764" t="str">
        <f t="shared" si="53"/>
        <v/>
      </c>
      <c r="J929" s="595"/>
      <c r="K929"/>
      <c r="L929" s="197"/>
    </row>
    <row r="930" spans="5:12" ht="12" customHeight="1">
      <c r="E930" s="621">
        <v>922</v>
      </c>
      <c r="F930" s="761"/>
      <c r="G930" s="762"/>
      <c r="H930" s="680"/>
      <c r="I930" s="764" t="str">
        <f t="shared" si="53"/>
        <v/>
      </c>
      <c r="J930" s="595"/>
      <c r="K930"/>
      <c r="L930" s="197"/>
    </row>
    <row r="931" spans="5:12" ht="12" customHeight="1">
      <c r="E931" s="621">
        <v>923</v>
      </c>
      <c r="F931" s="761"/>
      <c r="G931" s="762"/>
      <c r="H931" s="680"/>
      <c r="I931" s="764" t="str">
        <f t="shared" si="53"/>
        <v/>
      </c>
      <c r="J931" s="595"/>
      <c r="K931"/>
      <c r="L931" s="197"/>
    </row>
    <row r="932" spans="5:12" ht="12" customHeight="1">
      <c r="E932" s="621">
        <v>924</v>
      </c>
      <c r="F932" s="761"/>
      <c r="G932" s="762"/>
      <c r="H932" s="680"/>
      <c r="I932" s="764" t="str">
        <f t="shared" si="53"/>
        <v/>
      </c>
      <c r="J932" s="595"/>
      <c r="K932"/>
      <c r="L932" s="197"/>
    </row>
    <row r="933" spans="5:12" ht="12" customHeight="1">
      <c r="E933" s="621">
        <v>925</v>
      </c>
      <c r="F933" s="761"/>
      <c r="G933" s="762"/>
      <c r="H933" s="680"/>
      <c r="I933" s="764" t="str">
        <f t="shared" si="53"/>
        <v/>
      </c>
      <c r="J933" s="595"/>
      <c r="K933"/>
      <c r="L933" s="197"/>
    </row>
    <row r="934" spans="5:12" ht="12" customHeight="1">
      <c r="E934" s="621">
        <v>926</v>
      </c>
      <c r="F934" s="761"/>
      <c r="G934" s="762"/>
      <c r="H934" s="680"/>
      <c r="I934" s="764" t="str">
        <f t="shared" si="53"/>
        <v/>
      </c>
      <c r="J934" s="595"/>
      <c r="K934"/>
      <c r="L934" s="197"/>
    </row>
    <row r="935" spans="5:12" ht="12" customHeight="1">
      <c r="E935" s="621">
        <v>927</v>
      </c>
      <c r="F935" s="761"/>
      <c r="G935" s="762"/>
      <c r="H935" s="680"/>
      <c r="I935" s="764" t="str">
        <f t="shared" si="53"/>
        <v/>
      </c>
      <c r="J935" s="595"/>
      <c r="K935"/>
      <c r="L935" s="197"/>
    </row>
    <row r="936" spans="5:12" ht="12" customHeight="1">
      <c r="E936" s="621">
        <v>928</v>
      </c>
      <c r="F936" s="761"/>
      <c r="G936" s="762"/>
      <c r="H936" s="680"/>
      <c r="I936" s="764" t="str">
        <f t="shared" si="53"/>
        <v/>
      </c>
      <c r="J936" s="595"/>
      <c r="K936"/>
      <c r="L936" s="197"/>
    </row>
    <row r="937" spans="5:12" ht="12" customHeight="1">
      <c r="E937" s="621">
        <v>929</v>
      </c>
      <c r="F937" s="761"/>
      <c r="G937" s="762"/>
      <c r="H937" s="680"/>
      <c r="I937" s="764" t="str">
        <f t="shared" si="53"/>
        <v/>
      </c>
      <c r="J937" s="595"/>
      <c r="K937"/>
      <c r="L937" s="197"/>
    </row>
    <row r="938" spans="5:12" ht="12" customHeight="1">
      <c r="E938" s="621">
        <v>930</v>
      </c>
      <c r="F938" s="761"/>
      <c r="G938" s="762"/>
      <c r="H938" s="680"/>
      <c r="I938" s="764" t="str">
        <f t="shared" si="53"/>
        <v/>
      </c>
      <c r="J938" s="595"/>
      <c r="K938"/>
      <c r="L938" s="197"/>
    </row>
    <row r="939" spans="5:12" ht="12" customHeight="1">
      <c r="E939" s="621">
        <v>931</v>
      </c>
      <c r="F939" s="761"/>
      <c r="G939" s="762"/>
      <c r="H939" s="680"/>
      <c r="I939" s="764" t="str">
        <f t="shared" si="53"/>
        <v/>
      </c>
      <c r="J939" s="595"/>
      <c r="K939"/>
      <c r="L939" s="197"/>
    </row>
    <row r="940" spans="5:12" ht="12" customHeight="1">
      <c r="E940" s="621">
        <v>932</v>
      </c>
      <c r="F940" s="761"/>
      <c r="G940" s="762"/>
      <c r="H940" s="680"/>
      <c r="I940" s="764" t="str">
        <f t="shared" si="53"/>
        <v/>
      </c>
      <c r="J940" s="595"/>
      <c r="K940"/>
      <c r="L940" s="197"/>
    </row>
    <row r="941" spans="5:12" ht="12" customHeight="1">
      <c r="E941" s="621">
        <v>933</v>
      </c>
      <c r="F941" s="761"/>
      <c r="G941" s="762"/>
      <c r="H941" s="680"/>
      <c r="I941" s="764" t="str">
        <f t="shared" si="53"/>
        <v/>
      </c>
      <c r="J941" s="595"/>
      <c r="K941"/>
      <c r="L941" s="197"/>
    </row>
    <row r="942" spans="5:12" ht="12" customHeight="1">
      <c r="E942" s="621">
        <v>934</v>
      </c>
      <c r="F942" s="761"/>
      <c r="G942" s="762"/>
      <c r="H942" s="680"/>
      <c r="I942" s="764" t="str">
        <f t="shared" si="53"/>
        <v/>
      </c>
      <c r="J942" s="595"/>
      <c r="K942"/>
      <c r="L942" s="197"/>
    </row>
    <row r="943" spans="5:12" ht="12" customHeight="1">
      <c r="E943" s="621">
        <v>935</v>
      </c>
      <c r="F943" s="761"/>
      <c r="G943" s="762"/>
      <c r="H943" s="680"/>
      <c r="I943" s="764" t="str">
        <f t="shared" si="53"/>
        <v/>
      </c>
      <c r="J943" s="595"/>
      <c r="K943"/>
      <c r="L943" s="197"/>
    </row>
    <row r="944" spans="5:12" ht="12" customHeight="1">
      <c r="E944" s="621">
        <v>936</v>
      </c>
      <c r="F944" s="761"/>
      <c r="G944" s="762"/>
      <c r="H944" s="680"/>
      <c r="I944" s="764" t="str">
        <f t="shared" si="53"/>
        <v/>
      </c>
      <c r="J944" s="595"/>
      <c r="K944"/>
      <c r="L944" s="197"/>
    </row>
    <row r="945" spans="5:12" ht="12" customHeight="1">
      <c r="E945" s="621">
        <v>937</v>
      </c>
      <c r="F945" s="761"/>
      <c r="G945" s="762"/>
      <c r="H945" s="680"/>
      <c r="I945" s="764" t="str">
        <f t="shared" si="53"/>
        <v/>
      </c>
      <c r="J945" s="595"/>
      <c r="K945"/>
      <c r="L945" s="197"/>
    </row>
    <row r="946" spans="5:12" ht="12" customHeight="1">
      <c r="E946" s="621">
        <v>938</v>
      </c>
      <c r="F946" s="761"/>
      <c r="G946" s="762"/>
      <c r="H946" s="680"/>
      <c r="I946" s="764" t="str">
        <f t="shared" si="53"/>
        <v/>
      </c>
      <c r="J946" s="595"/>
      <c r="K946"/>
      <c r="L946" s="197"/>
    </row>
    <row r="947" spans="5:12" ht="12" customHeight="1">
      <c r="E947" s="621">
        <v>939</v>
      </c>
      <c r="F947" s="761"/>
      <c r="G947" s="762"/>
      <c r="H947" s="680"/>
      <c r="I947" s="764" t="str">
        <f t="shared" si="53"/>
        <v/>
      </c>
      <c r="J947" s="595"/>
      <c r="K947"/>
      <c r="L947" s="197"/>
    </row>
    <row r="948" spans="5:12" ht="12" customHeight="1">
      <c r="E948" s="621">
        <v>940</v>
      </c>
      <c r="F948" s="761"/>
      <c r="G948" s="762"/>
      <c r="H948" s="680"/>
      <c r="I948" s="764" t="str">
        <f t="shared" si="53"/>
        <v/>
      </c>
      <c r="J948" s="595"/>
      <c r="K948"/>
      <c r="L948" s="197"/>
    </row>
    <row r="949" spans="5:12" ht="12" customHeight="1">
      <c r="E949" s="621">
        <v>941</v>
      </c>
      <c r="F949" s="761"/>
      <c r="G949" s="762"/>
      <c r="H949" s="680"/>
      <c r="I949" s="764" t="str">
        <f t="shared" si="53"/>
        <v/>
      </c>
      <c r="J949" s="595"/>
      <c r="K949"/>
      <c r="L949" s="197"/>
    </row>
    <row r="950" spans="5:12" ht="12" customHeight="1">
      <c r="E950" s="621">
        <v>942</v>
      </c>
      <c r="F950" s="761"/>
      <c r="G950" s="762"/>
      <c r="H950" s="680"/>
      <c r="I950" s="764" t="str">
        <f t="shared" si="53"/>
        <v/>
      </c>
      <c r="J950" s="595"/>
      <c r="K950"/>
      <c r="L950" s="197"/>
    </row>
    <row r="951" spans="5:12" ht="12" customHeight="1">
      <c r="E951" s="621">
        <v>943</v>
      </c>
      <c r="F951" s="761"/>
      <c r="G951" s="762"/>
      <c r="H951" s="680"/>
      <c r="I951" s="764" t="str">
        <f t="shared" si="53"/>
        <v/>
      </c>
      <c r="J951" s="595"/>
      <c r="K951"/>
      <c r="L951" s="197"/>
    </row>
    <row r="952" spans="5:12" ht="12" customHeight="1">
      <c r="E952" s="621">
        <v>944</v>
      </c>
      <c r="F952" s="761"/>
      <c r="G952" s="762"/>
      <c r="H952" s="680"/>
      <c r="I952" s="764" t="str">
        <f t="shared" si="53"/>
        <v/>
      </c>
      <c r="J952" s="595"/>
      <c r="K952"/>
      <c r="L952" s="197"/>
    </row>
    <row r="953" spans="5:12" ht="12" customHeight="1">
      <c r="E953" s="621">
        <v>945</v>
      </c>
      <c r="F953" s="761"/>
      <c r="G953" s="762"/>
      <c r="H953" s="680"/>
      <c r="I953" s="764" t="str">
        <f t="shared" si="53"/>
        <v/>
      </c>
      <c r="J953" s="595"/>
      <c r="K953"/>
      <c r="L953" s="197"/>
    </row>
    <row r="954" spans="5:12" ht="12" customHeight="1">
      <c r="E954" s="621">
        <v>946</v>
      </c>
      <c r="F954" s="761"/>
      <c r="G954" s="762"/>
      <c r="H954" s="680"/>
      <c r="I954" s="764" t="str">
        <f t="shared" si="53"/>
        <v/>
      </c>
      <c r="J954" s="595"/>
      <c r="K954"/>
      <c r="L954" s="197"/>
    </row>
    <row r="955" spans="5:12" ht="12" customHeight="1">
      <c r="E955" s="621">
        <v>947</v>
      </c>
      <c r="F955" s="761"/>
      <c r="G955" s="762"/>
      <c r="H955" s="680"/>
      <c r="I955" s="764" t="str">
        <f t="shared" si="53"/>
        <v/>
      </c>
      <c r="J955" s="595"/>
      <c r="K955"/>
      <c r="L955" s="197"/>
    </row>
    <row r="956" spans="5:12" ht="12" customHeight="1">
      <c r="E956" s="621">
        <v>948</v>
      </c>
      <c r="F956" s="761"/>
      <c r="G956" s="762"/>
      <c r="H956" s="680"/>
      <c r="I956" s="764" t="str">
        <f t="shared" si="53"/>
        <v/>
      </c>
      <c r="J956" s="595"/>
      <c r="K956"/>
      <c r="L956" s="197"/>
    </row>
    <row r="957" spans="5:12" ht="12" customHeight="1">
      <c r="E957" s="621">
        <v>949</v>
      </c>
      <c r="F957" s="761"/>
      <c r="G957" s="762"/>
      <c r="H957" s="680"/>
      <c r="I957" s="764" t="str">
        <f t="shared" si="53"/>
        <v/>
      </c>
      <c r="J957" s="595"/>
      <c r="K957"/>
      <c r="L957" s="197"/>
    </row>
    <row r="958" spans="5:12" ht="12" customHeight="1">
      <c r="E958" s="621">
        <v>950</v>
      </c>
      <c r="F958" s="761"/>
      <c r="G958" s="762"/>
      <c r="H958" s="680"/>
      <c r="I958" s="764" t="str">
        <f t="shared" si="53"/>
        <v/>
      </c>
      <c r="J958" s="595"/>
      <c r="K958"/>
      <c r="L958" s="197"/>
    </row>
    <row r="959" spans="5:12" ht="12" customHeight="1">
      <c r="E959" s="621">
        <v>951</v>
      </c>
      <c r="F959" s="761"/>
      <c r="G959" s="762"/>
      <c r="H959" s="680"/>
      <c r="I959" s="764" t="str">
        <f t="shared" si="53"/>
        <v/>
      </c>
      <c r="J959" s="595"/>
      <c r="K959"/>
      <c r="L959" s="197"/>
    </row>
    <row r="960" spans="5:12" ht="12" customHeight="1">
      <c r="E960" s="621">
        <v>952</v>
      </c>
      <c r="F960" s="761"/>
      <c r="G960" s="762"/>
      <c r="H960" s="680"/>
      <c r="I960" s="764" t="str">
        <f t="shared" si="53"/>
        <v/>
      </c>
      <c r="J960" s="595"/>
      <c r="K960"/>
      <c r="L960" s="197"/>
    </row>
    <row r="961" spans="5:12" ht="12" customHeight="1">
      <c r="E961" s="621">
        <v>953</v>
      </c>
      <c r="F961" s="761"/>
      <c r="G961" s="762"/>
      <c r="H961" s="680"/>
      <c r="I961" s="764" t="str">
        <f t="shared" si="53"/>
        <v/>
      </c>
      <c r="J961" s="595"/>
      <c r="K961"/>
      <c r="L961" s="197"/>
    </row>
    <row r="962" spans="5:12" ht="12" customHeight="1">
      <c r="E962" s="621">
        <v>954</v>
      </c>
      <c r="F962" s="761"/>
      <c r="G962" s="762"/>
      <c r="H962" s="680"/>
      <c r="I962" s="764" t="str">
        <f t="shared" si="53"/>
        <v/>
      </c>
      <c r="J962" s="595"/>
      <c r="K962"/>
      <c r="L962" s="197"/>
    </row>
    <row r="963" spans="5:12" ht="12" customHeight="1">
      <c r="E963" s="621">
        <v>955</v>
      </c>
      <c r="F963" s="761"/>
      <c r="G963" s="762"/>
      <c r="H963" s="680"/>
      <c r="I963" s="764" t="str">
        <f t="shared" si="53"/>
        <v/>
      </c>
      <c r="J963" s="595"/>
      <c r="K963"/>
      <c r="L963" s="197"/>
    </row>
    <row r="964" spans="5:12" ht="12" customHeight="1">
      <c r="E964" s="621">
        <v>956</v>
      </c>
      <c r="F964" s="761"/>
      <c r="G964" s="762"/>
      <c r="H964" s="680"/>
      <c r="I964" s="764" t="str">
        <f t="shared" si="53"/>
        <v/>
      </c>
      <c r="J964" s="595"/>
      <c r="K964"/>
      <c r="L964" s="197"/>
    </row>
    <row r="965" spans="5:12" ht="12" customHeight="1">
      <c r="E965" s="621">
        <v>957</v>
      </c>
      <c r="F965" s="761"/>
      <c r="G965" s="762"/>
      <c r="H965" s="680"/>
      <c r="I965" s="764" t="str">
        <f t="shared" si="53"/>
        <v/>
      </c>
      <c r="J965" s="595"/>
      <c r="K965"/>
      <c r="L965" s="197"/>
    </row>
    <row r="966" spans="5:12" ht="12" customHeight="1">
      <c r="E966" s="621">
        <v>958</v>
      </c>
      <c r="F966" s="761"/>
      <c r="G966" s="762"/>
      <c r="H966" s="680"/>
      <c r="I966" s="764" t="str">
        <f t="shared" si="53"/>
        <v/>
      </c>
      <c r="J966" s="595"/>
      <c r="K966"/>
      <c r="L966" s="197"/>
    </row>
    <row r="967" spans="5:12" ht="12" customHeight="1">
      <c r="E967" s="621">
        <v>959</v>
      </c>
      <c r="F967" s="761"/>
      <c r="G967" s="762"/>
      <c r="H967" s="680"/>
      <c r="I967" s="764" t="str">
        <f t="shared" si="53"/>
        <v/>
      </c>
      <c r="J967" s="595"/>
      <c r="K967"/>
      <c r="L967" s="197"/>
    </row>
    <row r="968" spans="5:12" ht="12" customHeight="1">
      <c r="E968" s="621">
        <v>960</v>
      </c>
      <c r="F968" s="761"/>
      <c r="G968" s="762"/>
      <c r="H968" s="680"/>
      <c r="I968" s="764" t="str">
        <f t="shared" si="53"/>
        <v/>
      </c>
      <c r="J968" s="595"/>
      <c r="K968"/>
      <c r="L968" s="197"/>
    </row>
    <row r="969" spans="5:12" ht="12" customHeight="1">
      <c r="E969" s="621">
        <v>961</v>
      </c>
      <c r="F969" s="761"/>
      <c r="G969" s="762"/>
      <c r="H969" s="680"/>
      <c r="I969" s="764" t="str">
        <f t="shared" ref="I969:I1008" si="54">IF(AND(F969&lt;&gt;"",G969&lt;&gt;""),G969-F969,"")</f>
        <v/>
      </c>
      <c r="J969" s="595"/>
      <c r="K969"/>
      <c r="L969" s="197"/>
    </row>
    <row r="970" spans="5:12" ht="12" customHeight="1">
      <c r="E970" s="621">
        <v>962</v>
      </c>
      <c r="F970" s="761"/>
      <c r="G970" s="762"/>
      <c r="H970" s="680"/>
      <c r="I970" s="764" t="str">
        <f t="shared" si="54"/>
        <v/>
      </c>
      <c r="J970" s="595"/>
      <c r="K970"/>
      <c r="L970" s="197"/>
    </row>
    <row r="971" spans="5:12" ht="12" customHeight="1">
      <c r="E971" s="621">
        <v>963</v>
      </c>
      <c r="F971" s="761"/>
      <c r="G971" s="762"/>
      <c r="H971" s="680"/>
      <c r="I971" s="764" t="str">
        <f t="shared" si="54"/>
        <v/>
      </c>
      <c r="J971" s="595"/>
      <c r="K971"/>
      <c r="L971" s="197"/>
    </row>
    <row r="972" spans="5:12" ht="12" customHeight="1">
      <c r="E972" s="621">
        <v>964</v>
      </c>
      <c r="F972" s="761"/>
      <c r="G972" s="762"/>
      <c r="H972" s="680"/>
      <c r="I972" s="764" t="str">
        <f t="shared" si="54"/>
        <v/>
      </c>
      <c r="J972" s="595"/>
      <c r="K972"/>
      <c r="L972" s="197"/>
    </row>
    <row r="973" spans="5:12" ht="12" customHeight="1">
      <c r="E973" s="621">
        <v>965</v>
      </c>
      <c r="F973" s="761"/>
      <c r="G973" s="762"/>
      <c r="H973" s="680"/>
      <c r="I973" s="764" t="str">
        <f t="shared" si="54"/>
        <v/>
      </c>
      <c r="J973" s="595"/>
      <c r="K973"/>
      <c r="L973" s="197"/>
    </row>
    <row r="974" spans="5:12" ht="12" customHeight="1">
      <c r="E974" s="621">
        <v>966</v>
      </c>
      <c r="F974" s="761"/>
      <c r="G974" s="762"/>
      <c r="H974" s="680"/>
      <c r="I974" s="764" t="str">
        <f t="shared" si="54"/>
        <v/>
      </c>
      <c r="J974" s="595"/>
      <c r="K974"/>
      <c r="L974" s="197"/>
    </row>
    <row r="975" spans="5:12" ht="12" customHeight="1">
      <c r="E975" s="621">
        <v>967</v>
      </c>
      <c r="F975" s="761"/>
      <c r="G975" s="762"/>
      <c r="H975" s="680"/>
      <c r="I975" s="764" t="str">
        <f t="shared" si="54"/>
        <v/>
      </c>
      <c r="J975" s="595"/>
      <c r="K975"/>
      <c r="L975" s="197"/>
    </row>
    <row r="976" spans="5:12" ht="12" customHeight="1">
      <c r="E976" s="621">
        <v>968</v>
      </c>
      <c r="F976" s="761"/>
      <c r="G976" s="762"/>
      <c r="H976" s="680"/>
      <c r="I976" s="764" t="str">
        <f t="shared" si="54"/>
        <v/>
      </c>
      <c r="J976" s="595"/>
      <c r="K976"/>
      <c r="L976" s="197"/>
    </row>
    <row r="977" spans="5:12" ht="12" customHeight="1">
      <c r="E977" s="621">
        <v>969</v>
      </c>
      <c r="F977" s="761"/>
      <c r="G977" s="762"/>
      <c r="H977" s="680"/>
      <c r="I977" s="764" t="str">
        <f t="shared" si="54"/>
        <v/>
      </c>
      <c r="J977" s="595"/>
      <c r="K977"/>
      <c r="L977" s="197"/>
    </row>
    <row r="978" spans="5:12" ht="12" customHeight="1">
      <c r="E978" s="621">
        <v>970</v>
      </c>
      <c r="F978" s="761"/>
      <c r="G978" s="762"/>
      <c r="H978" s="680"/>
      <c r="I978" s="764" t="str">
        <f t="shared" si="54"/>
        <v/>
      </c>
      <c r="J978" s="595"/>
      <c r="K978"/>
      <c r="L978" s="197"/>
    </row>
    <row r="979" spans="5:12" ht="12" customHeight="1">
      <c r="E979" s="621">
        <v>971</v>
      </c>
      <c r="F979" s="761"/>
      <c r="G979" s="762"/>
      <c r="H979" s="680"/>
      <c r="I979" s="764" t="str">
        <f t="shared" si="54"/>
        <v/>
      </c>
      <c r="J979" s="595"/>
      <c r="K979"/>
      <c r="L979" s="197"/>
    </row>
    <row r="980" spans="5:12" ht="12" customHeight="1">
      <c r="E980" s="621">
        <v>972</v>
      </c>
      <c r="F980" s="761"/>
      <c r="G980" s="762"/>
      <c r="H980" s="680"/>
      <c r="I980" s="764" t="str">
        <f t="shared" si="54"/>
        <v/>
      </c>
      <c r="J980" s="595"/>
      <c r="K980"/>
      <c r="L980" s="197"/>
    </row>
    <row r="981" spans="5:12" ht="12" customHeight="1">
      <c r="E981" s="621">
        <v>973</v>
      </c>
      <c r="F981" s="761"/>
      <c r="G981" s="762"/>
      <c r="H981" s="680"/>
      <c r="I981" s="764" t="str">
        <f t="shared" si="54"/>
        <v/>
      </c>
      <c r="J981" s="595"/>
      <c r="K981"/>
      <c r="L981" s="197"/>
    </row>
    <row r="982" spans="5:12" ht="12" customHeight="1">
      <c r="E982" s="621">
        <v>974</v>
      </c>
      <c r="F982" s="761"/>
      <c r="G982" s="762"/>
      <c r="H982" s="680"/>
      <c r="I982" s="764" t="str">
        <f t="shared" si="54"/>
        <v/>
      </c>
      <c r="J982" s="595"/>
      <c r="K982"/>
      <c r="L982" s="197"/>
    </row>
    <row r="983" spans="5:12" ht="12" customHeight="1">
      <c r="E983" s="621">
        <v>975</v>
      </c>
      <c r="F983" s="761"/>
      <c r="G983" s="762"/>
      <c r="H983" s="680"/>
      <c r="I983" s="764" t="str">
        <f t="shared" si="54"/>
        <v/>
      </c>
      <c r="J983" s="595"/>
      <c r="K983"/>
      <c r="L983" s="197"/>
    </row>
    <row r="984" spans="5:12" ht="12" customHeight="1">
      <c r="E984" s="621">
        <v>976</v>
      </c>
      <c r="F984" s="761"/>
      <c r="G984" s="762"/>
      <c r="H984" s="680"/>
      <c r="I984" s="764" t="str">
        <f t="shared" si="54"/>
        <v/>
      </c>
      <c r="J984" s="595"/>
      <c r="K984"/>
      <c r="L984" s="197"/>
    </row>
    <row r="985" spans="5:12" ht="12" customHeight="1">
      <c r="E985" s="621">
        <v>977</v>
      </c>
      <c r="F985" s="761"/>
      <c r="G985" s="762"/>
      <c r="H985" s="680"/>
      <c r="I985" s="764" t="str">
        <f t="shared" si="54"/>
        <v/>
      </c>
      <c r="J985" s="595"/>
      <c r="K985"/>
      <c r="L985" s="197"/>
    </row>
    <row r="986" spans="5:12" ht="12" customHeight="1">
      <c r="E986" s="621">
        <v>978</v>
      </c>
      <c r="F986" s="761"/>
      <c r="G986" s="762"/>
      <c r="H986" s="680"/>
      <c r="I986" s="764" t="str">
        <f t="shared" si="54"/>
        <v/>
      </c>
      <c r="J986" s="595"/>
      <c r="K986"/>
      <c r="L986" s="197"/>
    </row>
    <row r="987" spans="5:12" ht="12" customHeight="1">
      <c r="E987" s="621">
        <v>979</v>
      </c>
      <c r="F987" s="761"/>
      <c r="G987" s="762"/>
      <c r="H987" s="680"/>
      <c r="I987" s="764" t="str">
        <f t="shared" si="54"/>
        <v/>
      </c>
      <c r="J987" s="595"/>
      <c r="K987"/>
      <c r="L987" s="197"/>
    </row>
    <row r="988" spans="5:12" ht="12" customHeight="1">
      <c r="E988" s="621">
        <v>980</v>
      </c>
      <c r="F988" s="761"/>
      <c r="G988" s="762"/>
      <c r="H988" s="680"/>
      <c r="I988" s="764" t="str">
        <f t="shared" si="54"/>
        <v/>
      </c>
      <c r="J988" s="595"/>
      <c r="K988"/>
      <c r="L988" s="197"/>
    </row>
    <row r="989" spans="5:12" ht="12" customHeight="1">
      <c r="E989" s="621">
        <v>981</v>
      </c>
      <c r="F989" s="761"/>
      <c r="G989" s="762"/>
      <c r="H989" s="680"/>
      <c r="I989" s="764" t="str">
        <f t="shared" si="54"/>
        <v/>
      </c>
      <c r="J989" s="595"/>
      <c r="K989"/>
      <c r="L989" s="197"/>
    </row>
    <row r="990" spans="5:12" ht="12" customHeight="1">
      <c r="E990" s="621">
        <v>982</v>
      </c>
      <c r="F990" s="761"/>
      <c r="G990" s="762"/>
      <c r="H990" s="680"/>
      <c r="I990" s="764" t="str">
        <f t="shared" si="54"/>
        <v/>
      </c>
      <c r="J990" s="595"/>
      <c r="K990"/>
      <c r="L990" s="197"/>
    </row>
    <row r="991" spans="5:12" ht="12" customHeight="1">
      <c r="E991" s="621">
        <v>983</v>
      </c>
      <c r="F991" s="761"/>
      <c r="G991" s="762"/>
      <c r="H991" s="680"/>
      <c r="I991" s="764" t="str">
        <f t="shared" si="54"/>
        <v/>
      </c>
      <c r="J991" s="595"/>
      <c r="K991"/>
      <c r="L991" s="197"/>
    </row>
    <row r="992" spans="5:12" ht="12" customHeight="1">
      <c r="E992" s="621">
        <v>984</v>
      </c>
      <c r="F992" s="761"/>
      <c r="G992" s="762"/>
      <c r="H992" s="680"/>
      <c r="I992" s="764" t="str">
        <f t="shared" si="54"/>
        <v/>
      </c>
      <c r="J992" s="595"/>
      <c r="K992"/>
      <c r="L992" s="197"/>
    </row>
    <row r="993" spans="5:12" ht="12" customHeight="1">
      <c r="E993" s="621">
        <v>985</v>
      </c>
      <c r="F993" s="761"/>
      <c r="G993" s="762"/>
      <c r="H993" s="680"/>
      <c r="I993" s="764" t="str">
        <f t="shared" si="54"/>
        <v/>
      </c>
      <c r="J993" s="595"/>
      <c r="K993"/>
      <c r="L993" s="197"/>
    </row>
    <row r="994" spans="5:12" ht="12" customHeight="1">
      <c r="E994" s="621">
        <v>986</v>
      </c>
      <c r="F994" s="761"/>
      <c r="G994" s="762"/>
      <c r="H994" s="680"/>
      <c r="I994" s="764" t="str">
        <f t="shared" si="54"/>
        <v/>
      </c>
      <c r="J994" s="595"/>
      <c r="K994"/>
      <c r="L994" s="197"/>
    </row>
    <row r="995" spans="5:12" ht="12" customHeight="1">
      <c r="E995" s="621">
        <v>987</v>
      </c>
      <c r="F995" s="761"/>
      <c r="G995" s="762"/>
      <c r="H995" s="680"/>
      <c r="I995" s="764" t="str">
        <f t="shared" si="54"/>
        <v/>
      </c>
      <c r="J995" s="595"/>
      <c r="K995"/>
      <c r="L995" s="197"/>
    </row>
    <row r="996" spans="5:12" ht="12" customHeight="1">
      <c r="E996" s="621">
        <v>988</v>
      </c>
      <c r="F996" s="761"/>
      <c r="G996" s="762"/>
      <c r="H996" s="680"/>
      <c r="I996" s="764" t="str">
        <f t="shared" si="54"/>
        <v/>
      </c>
      <c r="J996" s="595"/>
      <c r="K996"/>
      <c r="L996" s="197"/>
    </row>
    <row r="997" spans="5:12" ht="12" customHeight="1">
      <c r="E997" s="621">
        <v>989</v>
      </c>
      <c r="F997" s="761"/>
      <c r="G997" s="762"/>
      <c r="H997" s="680"/>
      <c r="I997" s="764" t="str">
        <f t="shared" si="54"/>
        <v/>
      </c>
      <c r="J997" s="595"/>
      <c r="K997"/>
      <c r="L997" s="197"/>
    </row>
    <row r="998" spans="5:12" ht="12" customHeight="1">
      <c r="E998" s="621">
        <v>990</v>
      </c>
      <c r="F998" s="761"/>
      <c r="G998" s="762"/>
      <c r="H998" s="680"/>
      <c r="I998" s="764" t="str">
        <f t="shared" si="54"/>
        <v/>
      </c>
      <c r="J998" s="595"/>
      <c r="K998"/>
      <c r="L998" s="197"/>
    </row>
    <row r="999" spans="5:12" ht="12" customHeight="1">
      <c r="E999" s="621">
        <v>991</v>
      </c>
      <c r="F999" s="761"/>
      <c r="G999" s="762"/>
      <c r="H999" s="680"/>
      <c r="I999" s="764" t="str">
        <f t="shared" si="54"/>
        <v/>
      </c>
      <c r="J999" s="595"/>
      <c r="K999"/>
      <c r="L999" s="197"/>
    </row>
    <row r="1000" spans="5:12" ht="12" customHeight="1">
      <c r="E1000" s="621">
        <v>992</v>
      </c>
      <c r="F1000" s="761"/>
      <c r="G1000" s="762"/>
      <c r="H1000" s="680"/>
      <c r="I1000" s="764" t="str">
        <f t="shared" si="54"/>
        <v/>
      </c>
      <c r="J1000" s="595"/>
      <c r="K1000"/>
      <c r="L1000" s="197"/>
    </row>
    <row r="1001" spans="5:12" ht="12" customHeight="1">
      <c r="E1001" s="621">
        <v>993</v>
      </c>
      <c r="F1001" s="761"/>
      <c r="G1001" s="762"/>
      <c r="H1001" s="680"/>
      <c r="I1001" s="764" t="str">
        <f t="shared" si="54"/>
        <v/>
      </c>
      <c r="J1001" s="595"/>
      <c r="K1001"/>
      <c r="L1001" s="197"/>
    </row>
    <row r="1002" spans="5:12" ht="12" customHeight="1">
      <c r="E1002" s="621">
        <v>994</v>
      </c>
      <c r="F1002" s="761"/>
      <c r="G1002" s="762"/>
      <c r="H1002" s="680"/>
      <c r="I1002" s="764" t="str">
        <f t="shared" si="54"/>
        <v/>
      </c>
      <c r="J1002" s="595"/>
      <c r="K1002"/>
      <c r="L1002" s="197"/>
    </row>
    <row r="1003" spans="5:12" ht="12" customHeight="1">
      <c r="E1003" s="621">
        <v>995</v>
      </c>
      <c r="F1003" s="761"/>
      <c r="G1003" s="762"/>
      <c r="H1003" s="680"/>
      <c r="I1003" s="764" t="str">
        <f t="shared" si="54"/>
        <v/>
      </c>
      <c r="J1003" s="595"/>
      <c r="K1003"/>
      <c r="L1003" s="197"/>
    </row>
    <row r="1004" spans="5:12" ht="12" customHeight="1">
      <c r="E1004" s="621">
        <v>996</v>
      </c>
      <c r="F1004" s="761"/>
      <c r="G1004" s="762"/>
      <c r="H1004" s="680"/>
      <c r="I1004" s="764" t="str">
        <f t="shared" si="54"/>
        <v/>
      </c>
      <c r="J1004" s="595"/>
      <c r="K1004"/>
      <c r="L1004" s="197"/>
    </row>
    <row r="1005" spans="5:12" ht="12" customHeight="1">
      <c r="E1005" s="621">
        <v>997</v>
      </c>
      <c r="F1005" s="761"/>
      <c r="G1005" s="762"/>
      <c r="H1005" s="680"/>
      <c r="I1005" s="764" t="str">
        <f t="shared" si="54"/>
        <v/>
      </c>
      <c r="J1005" s="595"/>
      <c r="K1005"/>
      <c r="L1005" s="197"/>
    </row>
    <row r="1006" spans="5:12" ht="12" customHeight="1">
      <c r="E1006" s="621">
        <v>998</v>
      </c>
      <c r="F1006" s="761"/>
      <c r="G1006" s="762"/>
      <c r="H1006" s="680"/>
      <c r="I1006" s="764" t="str">
        <f t="shared" si="54"/>
        <v/>
      </c>
      <c r="J1006" s="595"/>
      <c r="K1006"/>
      <c r="L1006" s="197"/>
    </row>
    <row r="1007" spans="5:12" ht="12" customHeight="1">
      <c r="E1007" s="621">
        <v>999</v>
      </c>
      <c r="F1007" s="761"/>
      <c r="G1007" s="762"/>
      <c r="H1007" s="680"/>
      <c r="I1007" s="764" t="str">
        <f t="shared" si="54"/>
        <v/>
      </c>
      <c r="J1007" s="595"/>
      <c r="K1007"/>
      <c r="L1007" s="197"/>
    </row>
    <row r="1008" spans="5:12" ht="12" customHeight="1">
      <c r="E1008" s="621">
        <v>1000</v>
      </c>
      <c r="F1008" s="761"/>
      <c r="G1008" s="762"/>
      <c r="H1008" s="680"/>
      <c r="I1008" s="828" t="str">
        <f t="shared" si="54"/>
        <v/>
      </c>
      <c r="J1008" s="595"/>
      <c r="K1008"/>
      <c r="L1008" s="197"/>
    </row>
    <row r="1009" spans="5:12" ht="12" customHeight="1">
      <c r="E1009" s="829"/>
      <c r="F1009" s="830"/>
      <c r="G1009" s="830"/>
      <c r="H1009" s="830"/>
      <c r="I1009" s="831"/>
      <c r="J1009" s="28"/>
      <c r="K1009"/>
      <c r="L1009" s="197"/>
    </row>
    <row r="1010" spans="5:12" ht="12" customHeight="1">
      <c r="K1010"/>
      <c r="L1010" s="197"/>
    </row>
    <row r="1011" spans="5:12" ht="12" customHeight="1">
      <c r="K1011"/>
      <c r="L1011" s="197"/>
    </row>
    <row r="1012" spans="5:12" ht="12" customHeight="1">
      <c r="K1012"/>
      <c r="L1012" s="197"/>
    </row>
    <row r="1013" spans="5:12" ht="12" customHeight="1">
      <c r="K1013"/>
      <c r="L1013" s="197"/>
    </row>
    <row r="1014" spans="5:12" ht="12" customHeight="1">
      <c r="K1014"/>
      <c r="L1014" s="197"/>
    </row>
    <row r="1015" spans="5:12" ht="12" customHeight="1">
      <c r="K1015"/>
      <c r="L1015" s="197"/>
    </row>
    <row r="1016" spans="5:12" ht="12" customHeight="1">
      <c r="K1016"/>
      <c r="L1016" s="197"/>
    </row>
    <row r="1017" spans="5:12" ht="12" customHeight="1">
      <c r="K1017"/>
      <c r="L1017" s="197"/>
    </row>
    <row r="1018" spans="5:12" ht="12" customHeight="1">
      <c r="K1018"/>
      <c r="L1018" s="197"/>
    </row>
    <row r="1019" spans="5:12" ht="12" customHeight="1">
      <c r="K1019"/>
      <c r="L1019" s="197"/>
    </row>
    <row r="1020" spans="5:12" ht="12" customHeight="1">
      <c r="K1020"/>
      <c r="L1020" s="197"/>
    </row>
    <row r="1021" spans="5:12" ht="12" customHeight="1">
      <c r="K1021"/>
      <c r="L1021" s="197"/>
    </row>
    <row r="1022" spans="5:12" ht="12" customHeight="1">
      <c r="K1022"/>
      <c r="L1022" s="197"/>
    </row>
    <row r="1023" spans="5:12" ht="12" customHeight="1">
      <c r="K1023"/>
      <c r="L1023" s="197"/>
    </row>
    <row r="1024" spans="5:12" ht="12" customHeight="1">
      <c r="K1024"/>
      <c r="L1024" s="197"/>
    </row>
    <row r="1025" spans="11:12" ht="12" customHeight="1">
      <c r="K1025"/>
      <c r="L1025" s="197"/>
    </row>
    <row r="1026" spans="11:12" ht="12" customHeight="1">
      <c r="K1026"/>
      <c r="L1026" s="197"/>
    </row>
    <row r="1027" spans="11:12" ht="12" customHeight="1">
      <c r="K1027"/>
      <c r="L1027" s="197"/>
    </row>
    <row r="1028" spans="11:12" ht="12" customHeight="1">
      <c r="K1028"/>
      <c r="L1028" s="197"/>
    </row>
    <row r="1029" spans="11:12" ht="12" customHeight="1">
      <c r="K1029"/>
      <c r="L1029" s="197"/>
    </row>
    <row r="1030" spans="11:12" ht="12" customHeight="1">
      <c r="K1030"/>
      <c r="L1030" s="197"/>
    </row>
    <row r="1031" spans="11:12" ht="12" customHeight="1">
      <c r="K1031"/>
      <c r="L1031" s="197"/>
    </row>
    <row r="1032" spans="11:12" ht="12" customHeight="1">
      <c r="K1032"/>
      <c r="L1032" s="197"/>
    </row>
    <row r="1033" spans="11:12" ht="12" customHeight="1">
      <c r="K1033"/>
      <c r="L1033" s="197"/>
    </row>
    <row r="1034" spans="11:12" ht="12" customHeight="1">
      <c r="K1034"/>
      <c r="L1034" s="197"/>
    </row>
    <row r="1035" spans="11:12" ht="12" customHeight="1">
      <c r="K1035"/>
      <c r="L1035" s="197"/>
    </row>
    <row r="1036" spans="11:12" ht="12" customHeight="1">
      <c r="K1036"/>
      <c r="L1036" s="197"/>
    </row>
    <row r="1037" spans="11:12" ht="12" customHeight="1">
      <c r="K1037"/>
      <c r="L1037" s="197"/>
    </row>
    <row r="1038" spans="11:12" ht="12" customHeight="1">
      <c r="K1038"/>
      <c r="L1038" s="197"/>
    </row>
    <row r="1039" spans="11:12" ht="12" customHeight="1">
      <c r="K1039"/>
      <c r="L1039" s="197"/>
    </row>
    <row r="1040" spans="11:12" ht="12" customHeight="1">
      <c r="K1040"/>
      <c r="L1040" s="197"/>
    </row>
    <row r="1041" spans="11:12" ht="12" customHeight="1">
      <c r="K1041"/>
      <c r="L1041" s="197"/>
    </row>
    <row r="1042" spans="11:12" ht="12" customHeight="1">
      <c r="K1042"/>
      <c r="L1042" s="197"/>
    </row>
    <row r="1043" spans="11:12" ht="12" customHeight="1">
      <c r="K1043"/>
      <c r="L1043" s="197"/>
    </row>
    <row r="1044" spans="11:12" ht="12" customHeight="1">
      <c r="K1044"/>
      <c r="L1044" s="197"/>
    </row>
    <row r="1045" spans="11:12" ht="12" customHeight="1">
      <c r="K1045"/>
      <c r="L1045" s="197"/>
    </row>
    <row r="1046" spans="11:12" ht="12" customHeight="1">
      <c r="K1046"/>
      <c r="L1046" s="197"/>
    </row>
    <row r="1047" spans="11:12" ht="12" customHeight="1">
      <c r="K1047"/>
      <c r="L1047" s="197"/>
    </row>
    <row r="1048" spans="11:12" ht="12" customHeight="1">
      <c r="K1048"/>
      <c r="L1048" s="197"/>
    </row>
    <row r="1049" spans="11:12" ht="12" customHeight="1">
      <c r="K1049"/>
      <c r="L1049" s="197"/>
    </row>
    <row r="1050" spans="11:12" ht="12" customHeight="1">
      <c r="K1050"/>
      <c r="L1050" s="197"/>
    </row>
    <row r="1051" spans="11:12" ht="12" customHeight="1">
      <c r="K1051"/>
      <c r="L1051" s="197"/>
    </row>
    <row r="1052" spans="11:12" ht="12" customHeight="1">
      <c r="K1052"/>
      <c r="L1052" s="197"/>
    </row>
    <row r="1053" spans="11:12" ht="12" customHeight="1">
      <c r="K1053"/>
      <c r="L1053" s="197"/>
    </row>
    <row r="1054" spans="11:12" ht="12" customHeight="1">
      <c r="K1054"/>
      <c r="L1054" s="197"/>
    </row>
    <row r="1055" spans="11:12" ht="12" customHeight="1">
      <c r="K1055"/>
      <c r="L1055" s="197"/>
    </row>
    <row r="1056" spans="11:12" ht="12" customHeight="1">
      <c r="K1056"/>
      <c r="L1056" s="197"/>
    </row>
    <row r="1057" spans="11:12" ht="12" customHeight="1">
      <c r="K1057"/>
      <c r="L1057" s="197"/>
    </row>
    <row r="1058" spans="11:12" ht="12" customHeight="1">
      <c r="K1058"/>
      <c r="L1058" s="197"/>
    </row>
    <row r="1059" spans="11:12" ht="12" customHeight="1">
      <c r="K1059"/>
      <c r="L1059" s="197"/>
    </row>
    <row r="1060" spans="11:12" ht="12" customHeight="1">
      <c r="K1060"/>
      <c r="L1060" s="197"/>
    </row>
    <row r="1061" spans="11:12" ht="12" customHeight="1">
      <c r="K1061"/>
      <c r="L1061" s="197"/>
    </row>
    <row r="1062" spans="11:12" ht="12" customHeight="1">
      <c r="K1062"/>
      <c r="L1062" s="197"/>
    </row>
    <row r="1063" spans="11:12" ht="12" customHeight="1">
      <c r="K1063"/>
      <c r="L1063" s="197"/>
    </row>
    <row r="1064" spans="11:12" ht="12" customHeight="1">
      <c r="K1064"/>
      <c r="L1064" s="197"/>
    </row>
    <row r="1065" spans="11:12" ht="12" customHeight="1">
      <c r="K1065"/>
      <c r="L1065" s="197"/>
    </row>
    <row r="1066" spans="11:12" ht="12" customHeight="1">
      <c r="K1066"/>
      <c r="L1066" s="197"/>
    </row>
    <row r="1067" spans="11:12" ht="12" customHeight="1">
      <c r="K1067"/>
      <c r="L1067" s="197"/>
    </row>
    <row r="1068" spans="11:12" ht="12" customHeight="1">
      <c r="K1068"/>
      <c r="L1068" s="197"/>
    </row>
    <row r="1069" spans="11:12" ht="12" customHeight="1">
      <c r="K1069"/>
      <c r="L1069" s="197"/>
    </row>
    <row r="1070" spans="11:12" ht="12" customHeight="1">
      <c r="K1070"/>
      <c r="L1070" s="197"/>
    </row>
    <row r="1071" spans="11:12" ht="12" customHeight="1">
      <c r="K1071"/>
      <c r="L1071" s="197"/>
    </row>
    <row r="1072" spans="11:12" ht="12" customHeight="1">
      <c r="K1072"/>
      <c r="L1072" s="197"/>
    </row>
    <row r="1073" spans="11:12" ht="12" customHeight="1">
      <c r="K1073"/>
      <c r="L1073" s="197"/>
    </row>
    <row r="1074" spans="11:12" ht="12" customHeight="1">
      <c r="K1074"/>
      <c r="L1074" s="197"/>
    </row>
    <row r="1075" spans="11:12" ht="12" customHeight="1">
      <c r="K1075"/>
      <c r="L1075" s="197"/>
    </row>
    <row r="1076" spans="11:12" ht="12" customHeight="1">
      <c r="K1076"/>
      <c r="L1076" s="197"/>
    </row>
    <row r="1077" spans="11:12" ht="12" customHeight="1">
      <c r="K1077"/>
      <c r="L1077" s="197"/>
    </row>
    <row r="1078" spans="11:12" ht="12" customHeight="1">
      <c r="K1078"/>
      <c r="L1078" s="197"/>
    </row>
    <row r="1079" spans="11:12" ht="12" customHeight="1">
      <c r="K1079"/>
      <c r="L1079" s="197"/>
    </row>
    <row r="1080" spans="11:12" ht="12" customHeight="1">
      <c r="K1080"/>
      <c r="L1080" s="197"/>
    </row>
    <row r="1081" spans="11:12" ht="12" customHeight="1">
      <c r="K1081"/>
      <c r="L1081" s="197"/>
    </row>
    <row r="1082" spans="11:12" ht="12" customHeight="1">
      <c r="K1082"/>
      <c r="L1082" s="197"/>
    </row>
    <row r="1083" spans="11:12" ht="12" customHeight="1">
      <c r="K1083"/>
      <c r="L1083" s="197"/>
    </row>
    <row r="1084" spans="11:12" ht="12" customHeight="1">
      <c r="K1084"/>
      <c r="L1084" s="197"/>
    </row>
    <row r="1085" spans="11:12" ht="12" customHeight="1">
      <c r="K1085"/>
      <c r="L1085" s="197"/>
    </row>
    <row r="1086" spans="11:12" ht="12" customHeight="1">
      <c r="K1086"/>
      <c r="L1086" s="197"/>
    </row>
    <row r="1087" spans="11:12" ht="12" customHeight="1">
      <c r="K1087"/>
      <c r="L1087" s="197"/>
    </row>
    <row r="1088" spans="11:12" ht="12" customHeight="1">
      <c r="K1088"/>
      <c r="L1088" s="197"/>
    </row>
  </sheetData>
  <sheetProtection sheet="1" objects="1" scenarios="1" selectLockedCells="1"/>
  <phoneticPr fontId="0" type="noConversion"/>
  <dataValidations count="2">
    <dataValidation type="decimal" allowBlank="1" showErrorMessage="1" errorTitle="Confidence level" error="Number, min 0, max 99.9" sqref="P9:Q9">
      <formula1>0</formula1>
      <formula2>99.9</formula2>
    </dataValidation>
    <dataValidation type="decimal" operator="notEqual" allowBlank="1" showInputMessage="1" showErrorMessage="1" errorTitle="Data value" error="Must be a number" sqref="F9:G1008 BM8:BN307 BR8:BS307 BH8:BI307">
      <formula1>-9999999999999990</formula1>
    </dataValidation>
  </dataValidations>
  <pageMargins left="0.75" right="0.75" top="1" bottom="1" header="0.5" footer="0.5"/>
  <pageSetup paperSize="9" orientation="portrait" horizontalDpi="300" verticalDpi="300" r:id="rId1"/>
  <headerFooter alignWithMargins="0"/>
  <drawing r:id="rId2"/>
  <legacyDrawing r:id="rId3"/>
  <oleObjects>
    <oleObject progId="PBrush" shapeId="142381" r:id="rId4"/>
  </oleObjects>
</worksheet>
</file>

<file path=xl/worksheets/sheet11.xml><?xml version="1.0" encoding="utf-8"?>
<worksheet xmlns="http://schemas.openxmlformats.org/spreadsheetml/2006/main" xmlns:r="http://schemas.openxmlformats.org/officeDocument/2006/relationships">
  <sheetPr codeName="Sheet2213"/>
  <dimension ref="A1:AL1088"/>
  <sheetViews>
    <sheetView showGridLines="0" showRowColHeaders="0" topLeftCell="D1" zoomScale="120" workbookViewId="0">
      <selection activeCell="G8" sqref="G8"/>
    </sheetView>
  </sheetViews>
  <sheetFormatPr defaultRowHeight="12" customHeight="1"/>
  <cols>
    <col min="1" max="1" width="9.5703125" style="16" hidden="1" customWidth="1"/>
    <col min="2" max="3" width="7.7109375" style="16" hidden="1" customWidth="1"/>
    <col min="4" max="4" width="0.5703125" style="16" customWidth="1"/>
    <col min="5" max="5" width="3.28515625" style="16" customWidth="1"/>
    <col min="6" max="6" width="9.28515625" style="16" customWidth="1"/>
    <col min="7" max="7" width="7.42578125" style="16" customWidth="1"/>
    <col min="8" max="8" width="4.42578125" style="16" customWidth="1"/>
    <col min="9" max="9" width="7.42578125" style="16" customWidth="1"/>
    <col min="10" max="10" width="4.42578125" style="16" customWidth="1"/>
    <col min="11" max="11" width="7.42578125" style="16" customWidth="1"/>
    <col min="12" max="12" width="6.28515625" style="16" customWidth="1"/>
    <col min="13" max="13" width="0.85546875" style="16" customWidth="1"/>
    <col min="14" max="14" width="6.28515625" style="16" customWidth="1"/>
    <col min="15" max="15" width="2.7109375" style="16" customWidth="1"/>
    <col min="16" max="23" width="7.85546875" style="16" customWidth="1"/>
    <col min="24" max="32" width="9.140625" style="16"/>
    <col min="33" max="33" width="9.85546875" style="16" customWidth="1"/>
    <col min="34" max="36" width="9.140625" style="16"/>
    <col min="37" max="37" width="5.5703125" style="16" customWidth="1"/>
    <col min="38" max="45" width="9.140625" style="16"/>
    <col min="46" max="46" width="3.7109375" style="16" customWidth="1"/>
    <col min="47" max="47" width="12.42578125" style="16" customWidth="1"/>
    <col min="48" max="16384" width="9.140625" style="16"/>
  </cols>
  <sheetData>
    <row r="1" spans="1:38" ht="12" customHeight="1">
      <c r="B1" s="185"/>
      <c r="E1" s="585"/>
      <c r="F1" s="585" t="s">
        <v>436</v>
      </c>
      <c r="K1" s="585"/>
      <c r="L1" s="585"/>
      <c r="M1" s="585"/>
      <c r="N1" s="585"/>
      <c r="P1" s="179">
        <f>(I9+$L$17)/10000</f>
        <v>1.11E-2</v>
      </c>
      <c r="Q1" s="180">
        <f t="shared" ref="Q1:W1" si="0">$P$1</f>
        <v>1.11E-2</v>
      </c>
      <c r="R1" s="180">
        <f t="shared" si="0"/>
        <v>1.11E-2</v>
      </c>
      <c r="S1" s="180">
        <f t="shared" si="0"/>
        <v>1.11E-2</v>
      </c>
      <c r="T1" s="180">
        <f t="shared" si="0"/>
        <v>1.11E-2</v>
      </c>
      <c r="U1" s="180">
        <f t="shared" si="0"/>
        <v>1.11E-2</v>
      </c>
      <c r="V1" s="180">
        <f t="shared" si="0"/>
        <v>1.11E-2</v>
      </c>
      <c r="W1" s="180">
        <f t="shared" si="0"/>
        <v>1.11E-2</v>
      </c>
    </row>
    <row r="2" spans="1:38" ht="12" customHeight="1">
      <c r="F2" s="16" t="s">
        <v>442</v>
      </c>
      <c r="K2" s="588"/>
      <c r="P2" s="179">
        <f t="shared" ref="P2:P36" si="1">$P$1</f>
        <v>1.11E-2</v>
      </c>
      <c r="W2" s="180">
        <f t="shared" ref="W2:W36" si="2">$P$1</f>
        <v>1.11E-2</v>
      </c>
    </row>
    <row r="3" spans="1:38" ht="12" customHeight="1">
      <c r="B3" s="185" t="s">
        <v>409</v>
      </c>
      <c r="C3" s="211" t="b">
        <v>0</v>
      </c>
      <c r="E3" s="197"/>
      <c r="F3" s="197" t="s">
        <v>441</v>
      </c>
      <c r="G3" s="197"/>
      <c r="H3" s="197"/>
      <c r="P3" s="179">
        <f t="shared" si="1"/>
        <v>1.11E-2</v>
      </c>
      <c r="W3" s="180">
        <f t="shared" si="2"/>
        <v>1.11E-2</v>
      </c>
    </row>
    <row r="4" spans="1:38" ht="12" customHeight="1">
      <c r="P4" s="179">
        <f t="shared" si="1"/>
        <v>1.11E-2</v>
      </c>
      <c r="W4" s="180">
        <f t="shared" si="2"/>
        <v>1.11E-2</v>
      </c>
    </row>
    <row r="5" spans="1:38" ht="12" customHeight="1">
      <c r="A5" s="185" t="s">
        <v>445</v>
      </c>
      <c r="B5" s="211">
        <v>12.88</v>
      </c>
      <c r="C5" s="16">
        <f>G11</f>
        <v>12.88</v>
      </c>
      <c r="E5" s="572">
        <v>1</v>
      </c>
      <c r="F5" s="832" t="s">
        <v>424</v>
      </c>
      <c r="G5" s="859"/>
      <c r="H5" s="859"/>
      <c r="I5" s="859"/>
      <c r="J5" s="859"/>
      <c r="K5" s="859"/>
      <c r="L5" s="20"/>
      <c r="M5" s="20"/>
      <c r="N5" s="20"/>
      <c r="O5" s="21"/>
      <c r="P5" s="179">
        <f t="shared" si="1"/>
        <v>1.11E-2</v>
      </c>
      <c r="W5" s="180">
        <f t="shared" si="2"/>
        <v>1.11E-2</v>
      </c>
    </row>
    <row r="6" spans="1:38" ht="12" customHeight="1">
      <c r="A6" s="185" t="s">
        <v>446</v>
      </c>
      <c r="B6" s="211">
        <v>14.25</v>
      </c>
      <c r="C6" s="16">
        <f>K11</f>
        <v>14.25</v>
      </c>
      <c r="E6" s="239"/>
      <c r="F6" s="23"/>
      <c r="G6" s="596" t="s">
        <v>455</v>
      </c>
      <c r="H6" s="1126" t="s">
        <v>411</v>
      </c>
      <c r="I6" s="1138"/>
      <c r="J6" s="1127"/>
      <c r="K6" s="23"/>
      <c r="L6" s="23"/>
      <c r="M6" s="23"/>
      <c r="N6" s="23"/>
      <c r="O6" s="24"/>
      <c r="P6" s="179">
        <f t="shared" si="1"/>
        <v>1.11E-2</v>
      </c>
      <c r="W6" s="180">
        <f t="shared" si="2"/>
        <v>1.11E-2</v>
      </c>
    </row>
    <row r="7" spans="1:38" ht="12" customHeight="1">
      <c r="A7" s="185" t="s">
        <v>447</v>
      </c>
      <c r="B7" s="211">
        <v>3.4</v>
      </c>
      <c r="C7" s="16">
        <f>G13</f>
        <v>3.4</v>
      </c>
      <c r="E7" s="239"/>
      <c r="F7" s="23"/>
      <c r="G7" s="860" t="s">
        <v>491</v>
      </c>
      <c r="H7" s="23"/>
      <c r="I7" s="23"/>
      <c r="J7" s="23"/>
      <c r="K7" s="860" t="s">
        <v>492</v>
      </c>
      <c r="L7" s="23"/>
      <c r="M7" s="23"/>
      <c r="N7" s="23"/>
      <c r="O7" s="24"/>
      <c r="P7" s="179">
        <f t="shared" si="1"/>
        <v>1.11E-2</v>
      </c>
      <c r="W7" s="180">
        <f t="shared" si="2"/>
        <v>1.11E-2</v>
      </c>
      <c r="AJ7"/>
      <c r="AK7"/>
      <c r="AL7"/>
    </row>
    <row r="8" spans="1:38" ht="12" customHeight="1">
      <c r="A8" s="185" t="s">
        <v>448</v>
      </c>
      <c r="B8" s="211">
        <v>4.28</v>
      </c>
      <c r="C8" s="16">
        <f>K13</f>
        <v>4.28</v>
      </c>
      <c r="E8" s="239"/>
      <c r="F8" s="23"/>
      <c r="G8" s="861" t="s">
        <v>414</v>
      </c>
      <c r="H8" s="838"/>
      <c r="I8" s="23"/>
      <c r="J8" s="23"/>
      <c r="K8" s="861" t="s">
        <v>415</v>
      </c>
      <c r="L8" s="862"/>
      <c r="M8" s="862"/>
      <c r="N8" s="862"/>
      <c r="O8" s="24"/>
      <c r="P8" s="179">
        <f t="shared" si="1"/>
        <v>1.11E-2</v>
      </c>
      <c r="W8" s="180">
        <f t="shared" si="2"/>
        <v>1.11E-2</v>
      </c>
      <c r="AC8"/>
      <c r="AD8"/>
      <c r="AJ8"/>
      <c r="AK8"/>
      <c r="AL8"/>
    </row>
    <row r="9" spans="1:38" ht="12" customHeight="1">
      <c r="A9" s="185" t="s">
        <v>435</v>
      </c>
      <c r="B9" s="211">
        <v>2.13</v>
      </c>
      <c r="C9" s="16">
        <f>I14</f>
        <v>2.13</v>
      </c>
      <c r="E9" s="239"/>
      <c r="F9" s="23"/>
      <c r="G9" s="515"/>
      <c r="H9" s="515" t="s">
        <v>905</v>
      </c>
      <c r="I9" s="841">
        <v>16</v>
      </c>
      <c r="J9" s="840"/>
      <c r="K9" s="23"/>
      <c r="L9" s="23"/>
      <c r="M9" s="23"/>
      <c r="N9" s="23"/>
      <c r="O9" s="24"/>
      <c r="P9" s="179">
        <f t="shared" si="1"/>
        <v>1.11E-2</v>
      </c>
      <c r="W9" s="180">
        <f t="shared" si="2"/>
        <v>1.11E-2</v>
      </c>
      <c r="AC9"/>
      <c r="AD9"/>
      <c r="AJ9"/>
      <c r="AK9"/>
      <c r="AL9"/>
    </row>
    <row r="10" spans="1:38" ht="12" customHeight="1">
      <c r="A10" s="605" t="s">
        <v>1044</v>
      </c>
      <c r="B10" s="211">
        <v>95</v>
      </c>
      <c r="C10" s="16">
        <f>L17</f>
        <v>95</v>
      </c>
      <c r="E10" s="239"/>
      <c r="F10" s="23"/>
      <c r="G10" s="23"/>
      <c r="H10" s="23"/>
      <c r="I10" s="23"/>
      <c r="J10" s="23"/>
      <c r="K10" s="23"/>
      <c r="L10" s="23"/>
      <c r="M10" s="23"/>
      <c r="N10" s="23"/>
      <c r="O10" s="24"/>
      <c r="P10" s="179">
        <f t="shared" si="1"/>
        <v>1.11E-2</v>
      </c>
      <c r="W10" s="180">
        <f t="shared" si="2"/>
        <v>1.11E-2</v>
      </c>
      <c r="AC10"/>
      <c r="AD10"/>
      <c r="AJ10"/>
      <c r="AK10"/>
      <c r="AL10"/>
    </row>
    <row r="11" spans="1:38" ht="12" customHeight="1">
      <c r="A11" s="605" t="s">
        <v>1045</v>
      </c>
      <c r="B11" s="211">
        <v>16</v>
      </c>
      <c r="C11" s="16">
        <f>I9</f>
        <v>16</v>
      </c>
      <c r="E11" s="239"/>
      <c r="F11" s="724" t="s">
        <v>1325</v>
      </c>
      <c r="G11" s="624">
        <v>12.88</v>
      </c>
      <c r="H11" s="763"/>
      <c r="I11" s="23"/>
      <c r="J11" s="515" t="s">
        <v>541</v>
      </c>
      <c r="K11" s="624">
        <v>14.25</v>
      </c>
      <c r="L11" s="863" t="str">
        <f>IF($H$6&lt;&gt;"",$H$6,"")</f>
        <v>LSAT score</v>
      </c>
      <c r="M11" s="863"/>
      <c r="N11" s="864"/>
      <c r="O11" s="24"/>
      <c r="P11" s="179">
        <f t="shared" si="1"/>
        <v>1.11E-2</v>
      </c>
      <c r="W11" s="180">
        <f t="shared" si="2"/>
        <v>1.11E-2</v>
      </c>
      <c r="AC11"/>
      <c r="AD11"/>
      <c r="AJ11"/>
      <c r="AK11"/>
      <c r="AL11"/>
    </row>
    <row r="12" spans="1:38" ht="12" customHeight="1">
      <c r="A12" s="688"/>
      <c r="B12" s="770" t="s">
        <v>389</v>
      </c>
      <c r="C12" s="771" t="b">
        <f>IF(AND(I14&lt;&gt;"",L32&lt;&gt;"",I37&lt;&gt;"",ABS(I38&lt;=2),L17=95),AND(L32&lt;=200,ABS(I37)&lt;=5,L32&gt;=5,B5=C5,B6=C6,B7=C7,B8=C8,B9=C9,B10=C10,B11=C11),FALSE)</f>
        <v>1</v>
      </c>
      <c r="E12" s="239"/>
      <c r="F12" s="23"/>
      <c r="G12" s="23"/>
      <c r="H12" s="23"/>
      <c r="I12" s="23"/>
      <c r="J12" s="23"/>
      <c r="K12" s="23"/>
      <c r="L12" s="23"/>
      <c r="M12" s="23"/>
      <c r="N12" s="23"/>
      <c r="O12" s="24"/>
      <c r="P12" s="179">
        <f t="shared" si="1"/>
        <v>1.11E-2</v>
      </c>
      <c r="W12" s="180">
        <f t="shared" si="2"/>
        <v>1.11E-2</v>
      </c>
      <c r="AC12"/>
      <c r="AD12"/>
      <c r="AJ12"/>
      <c r="AK12"/>
      <c r="AL12"/>
    </row>
    <row r="13" spans="1:38" ht="12" customHeight="1">
      <c r="B13" s="770" t="s">
        <v>534</v>
      </c>
      <c r="C13" s="771">
        <f>IF(Z100,SQRT((G13^2+K13^2)/2),"")</f>
        <v>3.865126129895375</v>
      </c>
      <c r="E13" s="239"/>
      <c r="F13" s="724" t="s">
        <v>1326</v>
      </c>
      <c r="G13" s="865">
        <v>3.4</v>
      </c>
      <c r="H13" s="763"/>
      <c r="I13" s="23"/>
      <c r="J13" s="515" t="s">
        <v>543</v>
      </c>
      <c r="K13" s="624">
        <v>4.28</v>
      </c>
      <c r="L13" s="863" t="str">
        <f>IF($H$6&lt;&gt;"",$H$6,"")</f>
        <v>LSAT score</v>
      </c>
      <c r="M13" s="863"/>
      <c r="N13" s="864"/>
      <c r="O13" s="24"/>
      <c r="P13" s="179">
        <f t="shared" si="1"/>
        <v>1.11E-2</v>
      </c>
      <c r="W13" s="180">
        <f t="shared" si="2"/>
        <v>1.11E-2</v>
      </c>
      <c r="AC13"/>
      <c r="AD13"/>
      <c r="AJ13"/>
      <c r="AK13"/>
      <c r="AL13"/>
    </row>
    <row r="14" spans="1:38" ht="12" customHeight="1">
      <c r="A14" s="217" t="s">
        <v>305</v>
      </c>
      <c r="B14" s="217"/>
      <c r="C14" s="217"/>
      <c r="E14" s="239"/>
      <c r="F14" s="23"/>
      <c r="G14" s="23"/>
      <c r="H14" s="515" t="s">
        <v>549</v>
      </c>
      <c r="I14" s="624">
        <v>2.13</v>
      </c>
      <c r="J14" s="23"/>
      <c r="K14" s="429"/>
      <c r="L14" s="23"/>
      <c r="M14" s="23"/>
      <c r="N14" s="23"/>
      <c r="O14" s="24"/>
      <c r="P14" s="179">
        <f t="shared" si="1"/>
        <v>1.11E-2</v>
      </c>
      <c r="W14" s="180">
        <f t="shared" si="2"/>
        <v>1.11E-2</v>
      </c>
      <c r="AJ14"/>
      <c r="AK14"/>
      <c r="AL14"/>
    </row>
    <row r="15" spans="1:38" ht="12" customHeight="1">
      <c r="A15" s="183" t="s">
        <v>306</v>
      </c>
      <c r="B15" s="264">
        <f>1-C15</f>
        <v>0.97499999999999998</v>
      </c>
      <c r="C15" s="184">
        <f>(100-L17)/200</f>
        <v>2.5000000000000001E-2</v>
      </c>
      <c r="E15" s="496"/>
      <c r="F15" s="27"/>
      <c r="G15" s="27"/>
      <c r="H15" s="27"/>
      <c r="I15" s="27"/>
      <c r="J15" s="27"/>
      <c r="K15" s="27"/>
      <c r="L15" s="27"/>
      <c r="M15" s="27"/>
      <c r="N15" s="27"/>
      <c r="O15" s="28"/>
      <c r="P15" s="179">
        <f t="shared" si="1"/>
        <v>1.11E-2</v>
      </c>
      <c r="W15" s="180">
        <f t="shared" si="2"/>
        <v>1.11E-2</v>
      </c>
      <c r="AJ15"/>
      <c r="AK15"/>
      <c r="AL15"/>
    </row>
    <row r="16" spans="1:38" ht="12" customHeight="1">
      <c r="A16" s="183" t="s">
        <v>307</v>
      </c>
      <c r="B16" s="264">
        <f>100000*(B15-B19)</f>
        <v>5.8547677816989108E-5</v>
      </c>
      <c r="C16" s="184">
        <f>100000*(C15-C19)</f>
        <v>-4.5851895197346337E-6</v>
      </c>
      <c r="E16" s="866">
        <v>2</v>
      </c>
      <c r="F16" s="559" t="s">
        <v>296</v>
      </c>
      <c r="G16" s="867"/>
      <c r="H16" s="867"/>
      <c r="I16" s="868"/>
      <c r="J16" s="868"/>
      <c r="K16" s="869"/>
      <c r="L16" s="352"/>
      <c r="M16" s="352"/>
      <c r="N16" s="868"/>
      <c r="O16" s="501"/>
      <c r="P16" s="179">
        <f t="shared" si="1"/>
        <v>1.11E-2</v>
      </c>
      <c r="W16" s="180">
        <f t="shared" si="2"/>
        <v>1.11E-2</v>
      </c>
      <c r="AJ16"/>
      <c r="AK16"/>
      <c r="AL16"/>
    </row>
    <row r="17" spans="1:26" ht="12" customHeight="1">
      <c r="A17" s="183" t="s">
        <v>1000</v>
      </c>
      <c r="B17" s="184">
        <f>IF(Z100,L32,"")</f>
        <v>15</v>
      </c>
      <c r="E17" s="352" t="s">
        <v>443</v>
      </c>
      <c r="F17" s="352"/>
      <c r="G17" s="352"/>
      <c r="H17" s="352"/>
      <c r="I17" s="767"/>
      <c r="J17" s="352"/>
      <c r="K17" s="619" t="s">
        <v>1044</v>
      </c>
      <c r="L17" s="242">
        <v>95</v>
      </c>
      <c r="M17" s="620"/>
      <c r="N17" s="352"/>
      <c r="O17" s="501"/>
      <c r="P17" s="179">
        <f t="shared" si="1"/>
        <v>1.11E-2</v>
      </c>
      <c r="W17" s="180">
        <f t="shared" si="2"/>
        <v>1.11E-2</v>
      </c>
      <c r="Z17"/>
    </row>
    <row r="18" spans="1:26" ht="12" customHeight="1">
      <c r="A18" s="183" t="s">
        <v>308</v>
      </c>
      <c r="B18" s="641">
        <v>0.37573738448951627</v>
      </c>
      <c r="C18" s="250">
        <v>4.6997867689627313</v>
      </c>
      <c r="E18" s="352"/>
      <c r="F18" s="352"/>
      <c r="G18" s="352" t="s">
        <v>444</v>
      </c>
      <c r="H18" s="767"/>
      <c r="I18" s="352"/>
      <c r="J18" s="352"/>
      <c r="K18" s="767"/>
      <c r="L18" s="352"/>
      <c r="M18" s="352"/>
      <c r="N18" s="352"/>
      <c r="O18" s="501"/>
      <c r="P18" s="179">
        <f t="shared" si="1"/>
        <v>1.11E-2</v>
      </c>
      <c r="W18" s="180">
        <f t="shared" si="2"/>
        <v>1.11E-2</v>
      </c>
      <c r="Z18"/>
    </row>
    <row r="19" spans="1:26" ht="12" customHeight="1">
      <c r="A19" s="183" t="s">
        <v>309</v>
      </c>
      <c r="B19" s="644">
        <f>nct(I32,B18,B17)</f>
        <v>0.9749999994145232</v>
      </c>
      <c r="C19" s="645">
        <f>nct(I32,C18,B17)</f>
        <v>2.5000000045851897E-2</v>
      </c>
      <c r="E19" s="352"/>
      <c r="F19" s="352"/>
      <c r="G19" s="352"/>
      <c r="H19" s="352"/>
      <c r="I19" s="352"/>
      <c r="J19" s="352"/>
      <c r="K19" s="352"/>
      <c r="L19" s="352"/>
      <c r="M19" s="352"/>
      <c r="N19" s="352"/>
      <c r="O19" s="501"/>
      <c r="P19" s="179">
        <f t="shared" si="1"/>
        <v>1.11E-2</v>
      </c>
      <c r="Q19" s="257"/>
      <c r="R19" s="197"/>
      <c r="S19" s="197"/>
      <c r="T19" s="197"/>
      <c r="U19" s="197"/>
      <c r="V19" s="197"/>
      <c r="W19" s="180">
        <f t="shared" si="2"/>
        <v>1.11E-2</v>
      </c>
    </row>
    <row r="20" spans="1:26" ht="12" customHeight="1">
      <c r="A20" s="203" t="s">
        <v>310</v>
      </c>
      <c r="B20" s="650">
        <f>I27-I28</f>
        <v>0.2350031222525546</v>
      </c>
      <c r="C20" s="651">
        <f>I27+I28</f>
        <v>2.5049968777474438</v>
      </c>
      <c r="E20" s="845" t="s">
        <v>457</v>
      </c>
      <c r="F20" s="286" t="s">
        <v>311</v>
      </c>
      <c r="G20" s="287"/>
      <c r="H20" s="287"/>
      <c r="I20" s="287"/>
      <c r="J20" s="287"/>
      <c r="K20" s="287"/>
      <c r="L20" s="287"/>
      <c r="M20" s="287"/>
      <c r="N20" s="287"/>
      <c r="O20" s="337"/>
      <c r="P20" s="179">
        <f t="shared" si="1"/>
        <v>1.11E-2</v>
      </c>
      <c r="W20" s="180">
        <f t="shared" si="2"/>
        <v>1.11E-2</v>
      </c>
    </row>
    <row r="21" spans="1:26" ht="12" customHeight="1">
      <c r="A21" s="225" t="s">
        <v>312</v>
      </c>
      <c r="B21" s="197">
        <f>B20/C13</f>
        <v>6.0800893516744274E-2</v>
      </c>
      <c r="C21" s="192">
        <f>C20/C13</f>
        <v>0.64810223355253138</v>
      </c>
      <c r="E21" s="290"/>
      <c r="F21" s="228"/>
      <c r="G21" s="228"/>
      <c r="H21" s="228"/>
      <c r="I21" s="228"/>
      <c r="J21" s="228"/>
      <c r="K21" s="228"/>
      <c r="L21" s="228"/>
      <c r="M21" s="228"/>
      <c r="N21" s="228"/>
      <c r="O21" s="338"/>
      <c r="P21" s="179">
        <f t="shared" si="1"/>
        <v>1.11E-2</v>
      </c>
      <c r="W21" s="180">
        <f t="shared" si="2"/>
        <v>1.11E-2</v>
      </c>
    </row>
    <row r="22" spans="1:26" ht="12" customHeight="1">
      <c r="A22" s="249" t="s">
        <v>313</v>
      </c>
      <c r="B22" s="232">
        <f>B21*$C$13*SQRT($I$9)/$I$14</f>
        <v>0.44132041737568939</v>
      </c>
      <c r="C22" s="262">
        <f>C21*$C$13*SQRT($I$9)/$I$14</f>
        <v>4.7042194887275945</v>
      </c>
      <c r="E22" s="290"/>
      <c r="F22" s="653" t="s">
        <v>544</v>
      </c>
      <c r="G22" s="642">
        <f>IF(Z100,(G13/SQRT(I9))*TINV(1-L17/100,(I9-1)),"")</f>
        <v>1.8117321053245594</v>
      </c>
      <c r="H22" s="846"/>
      <c r="I22" s="228"/>
      <c r="J22" s="653" t="s">
        <v>545</v>
      </c>
      <c r="K22" s="642">
        <f>IF(Z100,(K13/SQRT(I9))*TINV(1-$L$17/100,(I9-1)),"")</f>
        <v>2.2806510031732694</v>
      </c>
      <c r="L22" s="790" t="str">
        <f>IF($H$6&lt;&gt;"",$H$6,"")</f>
        <v>LSAT score</v>
      </c>
      <c r="M22" s="790"/>
      <c r="N22" s="791"/>
      <c r="O22" s="338"/>
      <c r="P22" s="179">
        <f t="shared" si="1"/>
        <v>1.11E-2</v>
      </c>
      <c r="W22" s="180">
        <f t="shared" si="2"/>
        <v>1.11E-2</v>
      </c>
    </row>
    <row r="23" spans="1:26" ht="12" customHeight="1">
      <c r="E23" s="290"/>
      <c r="F23" s="658" t="s">
        <v>1327</v>
      </c>
      <c r="G23" s="870">
        <f>IF(G22&lt;&gt;"",G11-G22,"")</f>
        <v>11.068267894675442</v>
      </c>
      <c r="H23" s="1132" t="s">
        <v>1328</v>
      </c>
      <c r="I23" s="1133"/>
      <c r="J23" s="1134"/>
      <c r="K23" s="870">
        <f>IF(K22&lt;&gt;"",K11-K22,"")</f>
        <v>11.969348996826731</v>
      </c>
      <c r="L23" s="228" t="s">
        <v>314</v>
      </c>
      <c r="M23" s="228"/>
      <c r="N23" s="228"/>
      <c r="O23" s="338"/>
      <c r="P23" s="179">
        <f t="shared" si="1"/>
        <v>1.11E-2</v>
      </c>
      <c r="Q23"/>
      <c r="R23"/>
      <c r="S23"/>
      <c r="W23" s="180">
        <f t="shared" si="2"/>
        <v>1.11E-2</v>
      </c>
    </row>
    <row r="24" spans="1:26" ht="12" customHeight="1">
      <c r="E24" s="290"/>
      <c r="F24" s="658"/>
      <c r="G24" s="870">
        <f>IF(G22&lt;&gt;"",G11+G22,"")</f>
        <v>14.69173210532456</v>
      </c>
      <c r="H24" s="1135" t="s">
        <v>316</v>
      </c>
      <c r="I24" s="1136"/>
      <c r="J24" s="1137"/>
      <c r="K24" s="870">
        <f>IF(K22&lt;&gt;"",K11+K22,"")</f>
        <v>16.530651003173269</v>
      </c>
      <c r="L24" s="871" t="s">
        <v>316</v>
      </c>
      <c r="M24" s="228"/>
      <c r="N24" s="228"/>
      <c r="O24" s="338"/>
      <c r="P24" s="179">
        <f t="shared" si="1"/>
        <v>1.11E-2</v>
      </c>
      <c r="Q24"/>
      <c r="R24"/>
      <c r="S24"/>
      <c r="W24" s="180">
        <f t="shared" si="2"/>
        <v>1.11E-2</v>
      </c>
    </row>
    <row r="25" spans="1:26" ht="12" customHeight="1">
      <c r="E25" s="290"/>
      <c r="F25" s="228"/>
      <c r="G25" s="228"/>
      <c r="H25" s="228"/>
      <c r="I25" s="228"/>
      <c r="J25" s="228"/>
      <c r="K25" s="228"/>
      <c r="L25" s="228"/>
      <c r="M25" s="228"/>
      <c r="N25" s="228"/>
      <c r="O25" s="338"/>
      <c r="P25" s="179">
        <f t="shared" si="1"/>
        <v>1.11E-2</v>
      </c>
      <c r="W25" s="180">
        <f t="shared" si="2"/>
        <v>1.11E-2</v>
      </c>
    </row>
    <row r="26" spans="1:26" ht="12" customHeight="1">
      <c r="E26" s="290"/>
      <c r="F26" s="228"/>
      <c r="G26" s="228"/>
      <c r="H26" s="228"/>
      <c r="I26" s="658" t="s">
        <v>503</v>
      </c>
      <c r="J26" s="657"/>
      <c r="K26" s="228"/>
      <c r="L26" s="228"/>
      <c r="M26" s="228"/>
      <c r="N26" s="228"/>
      <c r="O26" s="338"/>
      <c r="P26" s="179">
        <f t="shared" si="1"/>
        <v>1.11E-2</v>
      </c>
      <c r="W26" s="180">
        <f t="shared" si="2"/>
        <v>1.11E-2</v>
      </c>
    </row>
    <row r="27" spans="1:26" ht="12" customHeight="1">
      <c r="E27" s="872"/>
      <c r="F27" s="873"/>
      <c r="G27" s="657"/>
      <c r="H27" s="653" t="s">
        <v>548</v>
      </c>
      <c r="I27" s="789">
        <f>IF(Z99,K11-G11,"")</f>
        <v>1.3699999999999992</v>
      </c>
      <c r="J27" s="790" t="str">
        <f>IF($H$6&lt;&gt;"",$H$6,"")</f>
        <v>LSAT score</v>
      </c>
      <c r="K27" s="228"/>
      <c r="L27" s="791"/>
      <c r="M27" s="228"/>
      <c r="N27" s="228"/>
      <c r="O27" s="338"/>
      <c r="P27" s="179">
        <f t="shared" si="1"/>
        <v>1.11E-2</v>
      </c>
      <c r="W27" s="797">
        <f t="shared" si="2"/>
        <v>1.11E-2</v>
      </c>
    </row>
    <row r="28" spans="1:26" ht="12" customHeight="1">
      <c r="E28" s="874"/>
      <c r="F28" s="793"/>
      <c r="G28" s="657"/>
      <c r="H28" s="653" t="s">
        <v>550</v>
      </c>
      <c r="I28" s="789">
        <f>IF(Z101,(I14/SQRT(I9))*TINV(1-$L$17/100,(I9-1)),"")</f>
        <v>1.1349968777474446</v>
      </c>
      <c r="J28" s="790" t="str">
        <f>IF($H$6&lt;&gt;"",$H$6,"")</f>
        <v>LSAT score</v>
      </c>
      <c r="K28" s="228"/>
      <c r="L28" s="791"/>
      <c r="M28" s="791"/>
      <c r="N28" s="791"/>
      <c r="O28" s="338"/>
      <c r="P28" s="179">
        <f t="shared" si="1"/>
        <v>1.11E-2</v>
      </c>
      <c r="W28" s="180">
        <f t="shared" si="2"/>
        <v>1.11E-2</v>
      </c>
    </row>
    <row r="29" spans="1:26" ht="12" customHeight="1">
      <c r="E29" s="290"/>
      <c r="F29" s="228"/>
      <c r="G29" s="657"/>
      <c r="H29" s="795" t="s">
        <v>551</v>
      </c>
      <c r="I29" s="789">
        <f>IF(I28&lt;&gt;"",I27-I28,"")</f>
        <v>0.2350031222525546</v>
      </c>
      <c r="J29" s="875"/>
      <c r="K29" s="657"/>
      <c r="L29" s="657"/>
      <c r="M29" s="791"/>
      <c r="N29" s="791"/>
      <c r="O29" s="338"/>
      <c r="P29" s="179">
        <f t="shared" si="1"/>
        <v>1.11E-2</v>
      </c>
      <c r="S29" s="688"/>
      <c r="T29" s="688"/>
      <c r="W29" s="180">
        <f t="shared" si="2"/>
        <v>1.11E-2</v>
      </c>
    </row>
    <row r="30" spans="1:26" ht="12" customHeight="1">
      <c r="E30" s="876"/>
      <c r="F30" s="656"/>
      <c r="G30" s="657"/>
      <c r="H30" s="657"/>
      <c r="I30" s="798">
        <f>IF(I28&lt;&gt;"",I27+I28,"")</f>
        <v>2.5049968777474438</v>
      </c>
      <c r="J30" s="796" t="s">
        <v>316</v>
      </c>
      <c r="K30" s="657"/>
      <c r="L30" s="657"/>
      <c r="M30" s="796"/>
      <c r="N30" s="791"/>
      <c r="O30" s="338"/>
      <c r="P30" s="179">
        <f t="shared" si="1"/>
        <v>1.11E-2</v>
      </c>
      <c r="W30" s="180">
        <f t="shared" si="2"/>
        <v>1.11E-2</v>
      </c>
    </row>
    <row r="31" spans="1:26" ht="12" customHeight="1">
      <c r="E31" s="290"/>
      <c r="F31" s="228"/>
      <c r="G31" s="657"/>
      <c r="H31" s="799" t="s">
        <v>552</v>
      </c>
      <c r="I31" s="800">
        <f>I27</f>
        <v>1.3699999999999992</v>
      </c>
      <c r="J31" s="791" t="str">
        <f>IF($H$6&lt;&gt;"",$H$6,"")</f>
        <v>LSAT score</v>
      </c>
      <c r="K31" s="228"/>
      <c r="L31" s="791"/>
      <c r="M31" s="791"/>
      <c r="N31" s="791"/>
      <c r="O31" s="338"/>
      <c r="P31" s="179">
        <f t="shared" si="1"/>
        <v>1.11E-2</v>
      </c>
      <c r="T31" s="688"/>
      <c r="W31" s="180">
        <f t="shared" si="2"/>
        <v>1.11E-2</v>
      </c>
    </row>
    <row r="32" spans="1:26" ht="12" customHeight="1">
      <c r="E32" s="290"/>
      <c r="F32" s="228"/>
      <c r="G32" s="657"/>
      <c r="H32" s="801" t="s">
        <v>553</v>
      </c>
      <c r="I32" s="877">
        <f>IF(AND(Z100,I14&gt;0),I27/(I14/SQRT(I9)),"")</f>
        <v>2.5727699530516417</v>
      </c>
      <c r="J32" s="228"/>
      <c r="K32" s="803" t="s">
        <v>323</v>
      </c>
      <c r="L32" s="804">
        <f>IF(Z100,I9-1,"")</f>
        <v>15</v>
      </c>
      <c r="M32" s="805"/>
      <c r="N32" s="228"/>
      <c r="O32" s="338"/>
      <c r="P32" s="179">
        <f t="shared" si="1"/>
        <v>1.11E-2</v>
      </c>
      <c r="W32" s="180">
        <f t="shared" si="2"/>
        <v>1.11E-2</v>
      </c>
    </row>
    <row r="33" spans="5:23" ht="12" customHeight="1">
      <c r="E33" s="290"/>
      <c r="F33" s="228"/>
      <c r="G33" s="657"/>
      <c r="H33" s="806" t="s">
        <v>554</v>
      </c>
      <c r="I33" s="878">
        <f>IF(AND(Z100,I14&gt;0),TDIST(ABS(I32),L32,2),"")</f>
        <v>2.1217285626736072E-2</v>
      </c>
      <c r="J33" s="228"/>
      <c r="K33" s="228"/>
      <c r="L33" s="228"/>
      <c r="M33" s="228"/>
      <c r="N33" s="228"/>
      <c r="O33" s="338"/>
      <c r="P33" s="179">
        <f t="shared" si="1"/>
        <v>1.11E-2</v>
      </c>
      <c r="W33" s="180">
        <f t="shared" si="2"/>
        <v>1.11E-2</v>
      </c>
    </row>
    <row r="34" spans="5:23" ht="12" customHeight="1">
      <c r="E34" s="339"/>
      <c r="F34" s="340"/>
      <c r="G34" s="340"/>
      <c r="H34" s="340"/>
      <c r="I34" s="340"/>
      <c r="J34" s="340"/>
      <c r="K34" s="340"/>
      <c r="L34" s="340"/>
      <c r="M34" s="340"/>
      <c r="N34" s="340"/>
      <c r="O34" s="341"/>
      <c r="P34" s="179">
        <f t="shared" si="1"/>
        <v>1.11E-2</v>
      </c>
      <c r="W34" s="180">
        <f t="shared" si="2"/>
        <v>1.11E-2</v>
      </c>
    </row>
    <row r="35" spans="5:23" ht="12" customHeight="1">
      <c r="G35" s="264"/>
      <c r="H35" s="954" t="s">
        <v>456</v>
      </c>
      <c r="I35" s="955" t="s">
        <v>1339</v>
      </c>
      <c r="J35" s="264"/>
      <c r="K35" s="264"/>
      <c r="P35" s="179">
        <f t="shared" si="1"/>
        <v>1.11E-2</v>
      </c>
      <c r="W35" s="180">
        <f t="shared" si="2"/>
        <v>1.11E-2</v>
      </c>
    </row>
    <row r="36" spans="5:23" ht="12" customHeight="1">
      <c r="E36" s="856">
        <v>5</v>
      </c>
      <c r="F36" s="236"/>
      <c r="G36" s="352"/>
      <c r="H36" s="950" t="s">
        <v>555</v>
      </c>
      <c r="I36" s="953">
        <f>IF(Z100,C13,"")</f>
        <v>3.865126129895375</v>
      </c>
      <c r="J36" s="882" t="str">
        <f>IF($H$6&lt;&gt;"",$H$6,"")</f>
        <v>LSAT score</v>
      </c>
      <c r="K36" s="352"/>
      <c r="L36" s="236"/>
      <c r="M36" s="236"/>
      <c r="N36" s="236"/>
      <c r="O36" s="613"/>
      <c r="P36" s="179">
        <f t="shared" si="1"/>
        <v>1.11E-2</v>
      </c>
      <c r="W36" s="180">
        <f t="shared" si="2"/>
        <v>1.11E-2</v>
      </c>
    </row>
    <row r="37" spans="5:23" ht="12" customHeight="1">
      <c r="E37" s="240"/>
      <c r="F37" s="857" t="s">
        <v>1329</v>
      </c>
      <c r="G37" s="352"/>
      <c r="H37" s="809" t="s">
        <v>325</v>
      </c>
      <c r="I37" s="810">
        <f>IF(Z100,I27/C13,"")</f>
        <v>0.3544515635346378</v>
      </c>
      <c r="J37" s="352"/>
      <c r="K37" s="352"/>
      <c r="L37" s="352"/>
      <c r="M37" s="352"/>
      <c r="N37" s="352"/>
      <c r="O37" s="501"/>
      <c r="P37" s="179"/>
      <c r="W37" s="495"/>
    </row>
    <row r="38" spans="5:23" s="688" customFormat="1" ht="12" customHeight="1">
      <c r="E38" s="240"/>
      <c r="F38" s="879" t="s">
        <v>1330</v>
      </c>
      <c r="G38" s="352"/>
      <c r="H38" s="692" t="s">
        <v>1331</v>
      </c>
      <c r="I38" s="812">
        <f>IF(AND(L32&gt;1,I37&lt;&gt;""),I37*$R$100,"")</f>
        <v>0.33637722306750834</v>
      </c>
      <c r="J38" s="880"/>
      <c r="K38" s="352"/>
      <c r="L38" s="352"/>
      <c r="M38" s="352"/>
      <c r="N38" s="352"/>
      <c r="O38" s="501"/>
      <c r="P38" s="649"/>
      <c r="Q38" s="883"/>
    </row>
    <row r="39" spans="5:23" ht="12" customHeight="1">
      <c r="E39" s="881"/>
      <c r="F39" s="882"/>
      <c r="G39" s="882"/>
      <c r="H39" s="882"/>
      <c r="I39" s="882"/>
      <c r="J39" s="882"/>
      <c r="K39" s="352"/>
      <c r="L39" s="352"/>
      <c r="M39" s="695" t="s">
        <v>558</v>
      </c>
      <c r="N39" s="352"/>
      <c r="O39" s="501"/>
      <c r="P39" s="179"/>
    </row>
    <row r="40" spans="5:23" ht="12" customHeight="1">
      <c r="E40" s="240"/>
      <c r="F40" s="352"/>
      <c r="G40" s="352"/>
      <c r="H40" s="692"/>
      <c r="I40" s="352"/>
      <c r="J40" s="352"/>
      <c r="K40" s="696" t="s">
        <v>326</v>
      </c>
      <c r="L40" s="697">
        <f>IF(C12,cidpl*I14/(C13*SQRT(I9)),"")</f>
        <v>5.1765492384095467E-2</v>
      </c>
      <c r="M40" s="698" t="s">
        <v>327</v>
      </c>
      <c r="N40" s="697">
        <f>IF(C12,cidpu*I14/(C13*SQRT(I9)),"")</f>
        <v>0.64749153594643449</v>
      </c>
      <c r="O40" s="699" t="s">
        <v>316</v>
      </c>
      <c r="P40" s="179"/>
      <c r="Q40" s="181"/>
    </row>
    <row r="41" spans="5:23" ht="12" customHeight="1">
      <c r="E41" s="240"/>
      <c r="F41" s="352"/>
      <c r="G41" s="352"/>
      <c r="H41" s="352"/>
      <c r="I41" s="352"/>
      <c r="J41" s="692" t="s">
        <v>1332</v>
      </c>
      <c r="K41" s="693">
        <f>IF(C12,(N40-L40)/2,"")</f>
        <v>0.29786302178116952</v>
      </c>
      <c r="L41" s="352"/>
      <c r="M41" s="352"/>
      <c r="N41" s="352"/>
      <c r="O41" s="501"/>
      <c r="P41" s="179"/>
      <c r="Q41" s="181"/>
    </row>
    <row r="42" spans="5:23" ht="12" customHeight="1">
      <c r="E42" s="816"/>
      <c r="F42" s="817"/>
      <c r="G42" s="817"/>
      <c r="H42" s="817"/>
      <c r="I42" s="817"/>
      <c r="J42" s="817"/>
      <c r="K42" s="817"/>
      <c r="L42" s="817"/>
      <c r="M42" s="817"/>
      <c r="N42" s="817"/>
      <c r="O42" s="818"/>
      <c r="Q42"/>
    </row>
    <row r="43" spans="5:23" ht="12" customHeight="1">
      <c r="Q43"/>
    </row>
    <row r="44" spans="5:23" ht="12" customHeight="1">
      <c r="Q44"/>
    </row>
    <row r="45" spans="5:23" ht="12" customHeight="1">
      <c r="P45"/>
      <c r="Q45"/>
    </row>
    <row r="46" spans="5:23" ht="12" customHeight="1">
      <c r="P46"/>
      <c r="Q46"/>
    </row>
    <row r="47" spans="5:23" ht="12" customHeight="1">
      <c r="P47"/>
      <c r="Q47"/>
    </row>
    <row r="48" spans="5:23" ht="12" customHeight="1">
      <c r="P48"/>
      <c r="Q48"/>
    </row>
    <row r="49" spans="5:17" ht="12" customHeight="1">
      <c r="Q49"/>
    </row>
    <row r="50" spans="5:17" ht="12" customHeight="1">
      <c r="Q50"/>
    </row>
    <row r="51" spans="5:17" ht="12" customHeight="1">
      <c r="Q51"/>
    </row>
    <row r="52" spans="5:17" ht="12" customHeight="1">
      <c r="Q52"/>
    </row>
    <row r="53" spans="5:17" ht="12" customHeight="1">
      <c r="Q53"/>
    </row>
    <row r="54" spans="5:17" ht="12" customHeight="1">
      <c r="Q54"/>
    </row>
    <row r="55" spans="5:17" ht="12" customHeight="1">
      <c r="E55" s="181"/>
      <c r="F55" s="181"/>
      <c r="G55" s="181"/>
      <c r="H55" s="181"/>
      <c r="I55" s="181"/>
      <c r="J55" s="181"/>
      <c r="K55" s="181"/>
      <c r="L55" s="181"/>
      <c r="M55" s="181"/>
      <c r="Q55"/>
    </row>
    <row r="56" spans="5:17" ht="12" customHeight="1">
      <c r="E56" s="181"/>
      <c r="F56" s="181"/>
      <c r="G56" s="181"/>
      <c r="H56" s="181"/>
      <c r="I56" s="181"/>
      <c r="J56" s="181"/>
      <c r="K56" s="181"/>
      <c r="L56" s="181"/>
      <c r="M56" s="181"/>
      <c r="Q56"/>
    </row>
    <row r="57" spans="5:17" ht="12" customHeight="1">
      <c r="E57" s="181"/>
      <c r="F57" s="181"/>
      <c r="G57" s="181"/>
      <c r="H57" s="181"/>
      <c r="I57" s="181"/>
      <c r="J57" s="181"/>
      <c r="K57" s="181"/>
      <c r="L57" s="181"/>
      <c r="M57" s="181"/>
      <c r="Q57"/>
    </row>
    <row r="58" spans="5:17" ht="12" customHeight="1">
      <c r="E58" s="181"/>
      <c r="F58" s="181"/>
      <c r="G58" s="181"/>
      <c r="H58" s="181"/>
      <c r="I58" s="181"/>
      <c r="J58" s="181"/>
      <c r="K58" s="181"/>
      <c r="L58" s="181"/>
      <c r="M58" s="181"/>
      <c r="Q58"/>
    </row>
    <row r="59" spans="5:17" ht="12" customHeight="1">
      <c r="Q59"/>
    </row>
    <row r="60" spans="5:17" ht="12" customHeight="1">
      <c r="Q60"/>
    </row>
    <row r="61" spans="5:17" ht="12" customHeight="1">
      <c r="Q61"/>
    </row>
    <row r="62" spans="5:17" ht="12" customHeight="1">
      <c r="Q62"/>
    </row>
    <row r="85" spans="5:36" ht="12" customHeight="1">
      <c r="E85" s="181"/>
      <c r="F85" s="181"/>
      <c r="G85" s="181"/>
      <c r="H85" s="181"/>
      <c r="I85" s="181"/>
      <c r="J85" s="181"/>
      <c r="K85" s="181"/>
      <c r="L85" s="181"/>
      <c r="M85" s="181"/>
      <c r="AI85" s="185"/>
      <c r="AJ85" s="211"/>
    </row>
    <row r="86" spans="5:36" ht="12" customHeight="1">
      <c r="E86" s="181"/>
      <c r="I86" s="181"/>
      <c r="J86" s="181"/>
      <c r="L86" s="181"/>
      <c r="M86" s="181"/>
    </row>
    <row r="87" spans="5:36" ht="12" customHeight="1">
      <c r="E87" s="196"/>
      <c r="F87" s="196"/>
      <c r="G87" s="181"/>
      <c r="H87" s="181"/>
      <c r="I87" s="181"/>
      <c r="J87" s="181"/>
      <c r="K87"/>
      <c r="L87"/>
      <c r="M87"/>
    </row>
    <row r="88" spans="5:36" ht="12" customHeight="1">
      <c r="E88"/>
      <c r="F88" s="197"/>
      <c r="G88" s="181"/>
      <c r="H88" s="181"/>
      <c r="I88" s="181"/>
      <c r="J88" s="181"/>
      <c r="K88"/>
      <c r="L88"/>
      <c r="M88"/>
    </row>
    <row r="89" spans="5:36" ht="12" customHeight="1">
      <c r="E89"/>
      <c r="F89" s="197"/>
      <c r="G89" s="819"/>
      <c r="H89" s="819"/>
      <c r="I89" s="819"/>
      <c r="J89" s="819"/>
      <c r="K89"/>
      <c r="L89"/>
      <c r="M89"/>
    </row>
    <row r="90" spans="5:36" ht="12" customHeight="1">
      <c r="E90"/>
      <c r="F90" s="197"/>
      <c r="G90" s="185"/>
      <c r="H90" s="185"/>
      <c r="I90" s="185"/>
      <c r="J90" s="185"/>
      <c r="K90"/>
      <c r="L90"/>
      <c r="M90"/>
    </row>
    <row r="91" spans="5:36" ht="12" customHeight="1">
      <c r="E91"/>
      <c r="F91" s="197"/>
      <c r="K91"/>
      <c r="L91"/>
      <c r="M91"/>
    </row>
    <row r="92" spans="5:36" ht="12" customHeight="1">
      <c r="E92"/>
      <c r="F92" s="197"/>
      <c r="K92"/>
      <c r="L92"/>
      <c r="M92"/>
    </row>
    <row r="93" spans="5:36" ht="12" customHeight="1">
      <c r="E93"/>
      <c r="F93" s="197"/>
      <c r="K93"/>
      <c r="L93"/>
      <c r="M93"/>
    </row>
    <row r="94" spans="5:36" ht="12" customHeight="1">
      <c r="E94"/>
      <c r="F94" s="197"/>
      <c r="K94"/>
      <c r="L94"/>
      <c r="M94"/>
    </row>
    <row r="95" spans="5:36" ht="12" customHeight="1">
      <c r="E95"/>
      <c r="F95" s="197"/>
      <c r="K95"/>
      <c r="L95"/>
      <c r="M95"/>
    </row>
    <row r="96" spans="5:36" ht="12" customHeight="1">
      <c r="E96"/>
      <c r="F96" s="197"/>
      <c r="K96"/>
      <c r="L96"/>
      <c r="M96"/>
    </row>
    <row r="97" spans="5:28" ht="12" customHeight="1">
      <c r="E97"/>
      <c r="F97" s="197"/>
      <c r="K97"/>
      <c r="L97"/>
      <c r="M97"/>
    </row>
    <row r="98" spans="5:28" ht="12" customHeight="1">
      <c r="E98"/>
      <c r="F98" s="197"/>
      <c r="K98"/>
      <c r="L98"/>
      <c r="M98"/>
    </row>
    <row r="99" spans="5:28" ht="12" customHeight="1">
      <c r="E99"/>
      <c r="F99" s="197"/>
      <c r="K99"/>
      <c r="L99"/>
      <c r="M99"/>
      <c r="Q99" s="884"/>
      <c r="R99" s="885" t="s">
        <v>332</v>
      </c>
      <c r="S99" s="886" t="s">
        <v>362</v>
      </c>
      <c r="T99" s="886">
        <f>POWER(10,INT(LOG10(AB114)))</f>
        <v>1</v>
      </c>
      <c r="U99" s="886" t="s">
        <v>520</v>
      </c>
      <c r="V99" s="886">
        <f>CHOOSE(T100,10,5,5,2,2,2,2,1,1,1)</f>
        <v>2</v>
      </c>
      <c r="W99" s="887"/>
      <c r="X99" s="886"/>
      <c r="Y99" s="888" t="s">
        <v>449</v>
      </c>
      <c r="Z99" s="889" t="b">
        <f>AND(G11&lt;&gt;"",K11&lt;&gt;"",I9&lt;&gt;"")</f>
        <v>1</v>
      </c>
      <c r="AA99" s="890" t="s">
        <v>485</v>
      </c>
      <c r="AB99" s="891"/>
    </row>
    <row r="100" spans="5:28" ht="12" customHeight="1">
      <c r="E100"/>
      <c r="F100" s="197"/>
      <c r="K100"/>
      <c r="L100"/>
      <c r="M100"/>
      <c r="Q100" s="231"/>
      <c r="R100" s="262">
        <f>EXP(GAMMALN(L32/2))/(SQRT(L32/2)*EXP(GAMMALN(L32/2-0.5)))</f>
        <v>0.94900758713859301</v>
      </c>
      <c r="S100" s="197" t="s">
        <v>364</v>
      </c>
      <c r="T100" s="197">
        <f>ROUNDUP(AB114/T99,0)</f>
        <v>6</v>
      </c>
      <c r="U100" s="197" t="s">
        <v>521</v>
      </c>
      <c r="V100" s="197">
        <f>T99/V99</f>
        <v>0.5</v>
      </c>
      <c r="W100" s="892"/>
      <c r="X100" s="138"/>
      <c r="Y100" s="257" t="s">
        <v>452</v>
      </c>
      <c r="Z100" s="363" t="b">
        <f>AND(Z99,G13&lt;&gt;"",K13&lt;&gt;"")</f>
        <v>1</v>
      </c>
      <c r="AA100" s="222">
        <v>4.0999999999999996</v>
      </c>
      <c r="AB100" s="192">
        <f>IF(AND(I27&lt;&gt;"",$Z$99),G11+I27,NA())</f>
        <v>14.25</v>
      </c>
    </row>
    <row r="101" spans="5:28" ht="12" customHeight="1">
      <c r="E101"/>
      <c r="F101" s="197"/>
      <c r="K101"/>
      <c r="L101"/>
      <c r="M101"/>
      <c r="Q101" s="181"/>
      <c r="R101" s="179"/>
      <c r="S101" s="267"/>
      <c r="T101" s="268" t="s">
        <v>522</v>
      </c>
      <c r="U101" s="264">
        <v>4.5999999999999996</v>
      </c>
      <c r="V101" s="264"/>
      <c r="W101" s="892"/>
      <c r="X101" s="164"/>
      <c r="Y101" s="257" t="s">
        <v>453</v>
      </c>
      <c r="Z101" s="192" t="b">
        <f>AND(Z99,I14&lt;&gt;"")</f>
        <v>1</v>
      </c>
      <c r="AA101" s="222">
        <v>4.5999999999999996</v>
      </c>
      <c r="AB101" s="192">
        <f>IF(AND(I27&lt;&gt;"",$Z$99),G11+I27,NA())</f>
        <v>14.25</v>
      </c>
    </row>
    <row r="102" spans="5:28" ht="12" customHeight="1">
      <c r="E102"/>
      <c r="F102" s="197"/>
      <c r="K102"/>
      <c r="L102"/>
      <c r="M102"/>
      <c r="Q102" s="893"/>
      <c r="R102" s="268" t="s">
        <v>370</v>
      </c>
      <c r="S102" s="264" t="s">
        <v>716</v>
      </c>
      <c r="T102" s="894" t="s">
        <v>640</v>
      </c>
      <c r="U102" s="894" t="s">
        <v>639</v>
      </c>
      <c r="V102" s="894" t="s">
        <v>251</v>
      </c>
      <c r="W102" s="222"/>
      <c r="X102" s="197"/>
      <c r="Y102" s="257" t="s">
        <v>454</v>
      </c>
      <c r="Z102" s="192" t="b">
        <f>AND(Z100,Z101)</f>
        <v>1</v>
      </c>
      <c r="AA102" s="895">
        <v>3</v>
      </c>
      <c r="AB102" s="896">
        <f>IF(AND(I27&lt;&gt;"",$Z$99),G11+I27,NA())</f>
        <v>14.25</v>
      </c>
    </row>
    <row r="103" spans="5:28" ht="12" customHeight="1">
      <c r="E103"/>
      <c r="F103" s="197"/>
      <c r="K103"/>
      <c r="L103"/>
      <c r="M103"/>
      <c r="Q103" s="897"/>
      <c r="R103" s="257">
        <v>10</v>
      </c>
      <c r="S103" s="197">
        <f t="shared" ref="S103:S123" si="3">$V$100*R103</f>
        <v>5</v>
      </c>
      <c r="T103" s="197">
        <f t="shared" ref="T103:T123" si="4">$G$11+$V$100*R103</f>
        <v>17.880000000000003</v>
      </c>
      <c r="U103" s="197">
        <f t="shared" ref="U103:U123" si="5">IF($Z$99,$U$101,NA())</f>
        <v>4.5999999999999996</v>
      </c>
      <c r="V103" s="197" t="e">
        <f t="shared" ref="V103:V123" si="6">IF(AND($Z$99,T103&lt;=$Z$114+$V$100,T103&gt;=$Z$115-$V$100),T103,NA())</f>
        <v>#N/A</v>
      </c>
      <c r="W103" s="222"/>
      <c r="X103" s="197"/>
      <c r="Y103" s="898" t="s">
        <v>410</v>
      </c>
      <c r="Z103" s="363" t="b">
        <f>AND(L17&gt;=0,L17&lt;=99.9)</f>
        <v>1</v>
      </c>
      <c r="AA103" s="222">
        <v>4.0999999999999996</v>
      </c>
      <c r="AB103" s="192">
        <f>IF(AND(I27&lt;&gt;"",$Z$99),G11+I27,NA())</f>
        <v>14.25</v>
      </c>
    </row>
    <row r="104" spans="5:28" ht="12" customHeight="1">
      <c r="E104"/>
      <c r="F104" s="197"/>
      <c r="K104"/>
      <c r="L104"/>
      <c r="M104"/>
      <c r="Q104" s="897"/>
      <c r="R104" s="257">
        <v>9</v>
      </c>
      <c r="S104" s="197">
        <f t="shared" si="3"/>
        <v>4.5</v>
      </c>
      <c r="T104" s="197">
        <f t="shared" si="4"/>
        <v>17.380000000000003</v>
      </c>
      <c r="U104" s="197">
        <f t="shared" si="5"/>
        <v>4.5999999999999996</v>
      </c>
      <c r="V104" s="197" t="e">
        <f t="shared" si="6"/>
        <v>#N/A</v>
      </c>
      <c r="W104" s="892"/>
      <c r="X104" s="164"/>
      <c r="Y104" s="257" t="s">
        <v>450</v>
      </c>
      <c r="Z104" s="299" t="b">
        <v>1</v>
      </c>
      <c r="AA104" s="895">
        <v>1</v>
      </c>
      <c r="AB104" s="896">
        <f>IF(AND(I27&lt;&gt;"",$Z$99),G11,NA())</f>
        <v>12.88</v>
      </c>
    </row>
    <row r="105" spans="5:28" ht="12" customHeight="1">
      <c r="E105"/>
      <c r="F105" s="197"/>
      <c r="K105"/>
      <c r="L105"/>
      <c r="M105"/>
      <c r="Q105" s="897"/>
      <c r="R105" s="257">
        <v>8</v>
      </c>
      <c r="S105" s="197">
        <f t="shared" si="3"/>
        <v>4</v>
      </c>
      <c r="T105" s="197">
        <f t="shared" si="4"/>
        <v>16.880000000000003</v>
      </c>
      <c r="U105" s="197">
        <f t="shared" si="5"/>
        <v>4.5999999999999996</v>
      </c>
      <c r="V105" s="197">
        <f t="shared" si="6"/>
        <v>16.880000000000003</v>
      </c>
      <c r="W105" s="899"/>
      <c r="X105" s="380"/>
      <c r="Y105" s="275" t="s">
        <v>451</v>
      </c>
      <c r="Z105" s="269" t="b">
        <v>1</v>
      </c>
      <c r="AA105" s="231">
        <v>4.5999999999999996</v>
      </c>
      <c r="AB105" s="262">
        <f>IF(AND(I27&lt;&gt;"",$Z$99),G11,NA())</f>
        <v>12.88</v>
      </c>
    </row>
    <row r="106" spans="5:28" ht="12" customHeight="1">
      <c r="E106"/>
      <c r="F106" s="197"/>
      <c r="K106"/>
      <c r="L106"/>
      <c r="M106"/>
      <c r="Q106" s="897"/>
      <c r="R106" s="257">
        <v>7</v>
      </c>
      <c r="S106" s="197">
        <f t="shared" si="3"/>
        <v>3.5</v>
      </c>
      <c r="T106" s="197">
        <f t="shared" si="4"/>
        <v>16.380000000000003</v>
      </c>
      <c r="U106" s="197">
        <f t="shared" si="5"/>
        <v>4.5999999999999996</v>
      </c>
      <c r="V106" s="192">
        <f t="shared" si="6"/>
        <v>16.380000000000003</v>
      </c>
      <c r="W106" s="197"/>
      <c r="X106" s="197"/>
      <c r="Y106" s="197"/>
      <c r="Z106" s="197"/>
      <c r="AA106" s="198" t="s">
        <v>517</v>
      </c>
      <c r="AB106" s="199"/>
    </row>
    <row r="107" spans="5:28" ht="12" customHeight="1">
      <c r="E107"/>
      <c r="F107" s="197"/>
      <c r="K107"/>
      <c r="L107"/>
      <c r="M107"/>
      <c r="Q107" s="897"/>
      <c r="R107" s="257">
        <v>6</v>
      </c>
      <c r="S107" s="197">
        <f t="shared" si="3"/>
        <v>3</v>
      </c>
      <c r="T107" s="197">
        <f t="shared" si="4"/>
        <v>15.88</v>
      </c>
      <c r="U107" s="197">
        <f t="shared" si="5"/>
        <v>4.5999999999999996</v>
      </c>
      <c r="V107" s="192">
        <f t="shared" si="6"/>
        <v>15.88</v>
      </c>
      <c r="W107" s="200" t="s">
        <v>361</v>
      </c>
      <c r="X107" s="200"/>
      <c r="Y107" s="200">
        <v>1</v>
      </c>
      <c r="Z107" s="199">
        <f>IF($Z$99,$G$11,NA())</f>
        <v>12.88</v>
      </c>
      <c r="AA107" s="222">
        <f>IF(OR(AB115,AND(Z114&lt;AB108*AB114,Z115&gt;(-AB108)*AB114)),0,NA())</f>
        <v>0</v>
      </c>
      <c r="AB107" s="192">
        <f>IF(OR(AB115,AND(Z114&lt;AB108*AB114,Z115&gt;(-AB108)*AB114)),0,NA())</f>
        <v>0</v>
      </c>
    </row>
    <row r="108" spans="5:28" ht="12" customHeight="1">
      <c r="E108"/>
      <c r="F108" s="197"/>
      <c r="K108"/>
      <c r="L108"/>
      <c r="M108"/>
      <c r="N108"/>
      <c r="O108"/>
      <c r="P108"/>
      <c r="Q108" s="897"/>
      <c r="R108" s="257">
        <v>5</v>
      </c>
      <c r="S108" s="197">
        <f t="shared" si="3"/>
        <v>2.5</v>
      </c>
      <c r="T108" s="197">
        <f t="shared" si="4"/>
        <v>15.38</v>
      </c>
      <c r="U108" s="197">
        <f t="shared" si="5"/>
        <v>4.5999999999999996</v>
      </c>
      <c r="V108" s="192">
        <f t="shared" si="6"/>
        <v>15.38</v>
      </c>
      <c r="W108" s="232"/>
      <c r="X108" s="232"/>
      <c r="Y108" s="232">
        <v>3</v>
      </c>
      <c r="Z108" s="262">
        <f>IF($Z$99,$K$11,NA())</f>
        <v>14.25</v>
      </c>
      <c r="AA108" s="222" t="s">
        <v>519</v>
      </c>
      <c r="AB108" s="192">
        <v>5</v>
      </c>
    </row>
    <row r="109" spans="5:28" ht="12" customHeight="1">
      <c r="E109"/>
      <c r="F109" s="197"/>
      <c r="K109"/>
      <c r="L109"/>
      <c r="M109"/>
      <c r="N109"/>
      <c r="O109"/>
      <c r="P109"/>
      <c r="Q109" s="897"/>
      <c r="R109" s="257">
        <v>4</v>
      </c>
      <c r="S109" s="197">
        <f t="shared" si="3"/>
        <v>2</v>
      </c>
      <c r="T109" s="197">
        <f t="shared" si="4"/>
        <v>14.88</v>
      </c>
      <c r="U109" s="197">
        <f t="shared" si="5"/>
        <v>4.5999999999999996</v>
      </c>
      <c r="V109" s="192">
        <f t="shared" si="6"/>
        <v>14.88</v>
      </c>
      <c r="W109" s="200" t="s">
        <v>494</v>
      </c>
      <c r="X109" s="200"/>
      <c r="Y109" s="200">
        <v>1</v>
      </c>
      <c r="Z109" s="199">
        <f>IF(AND($Z$105,$Z$100),$G$11,NA())</f>
        <v>12.88</v>
      </c>
      <c r="AA109" s="232" t="s">
        <v>518</v>
      </c>
      <c r="AB109" s="262">
        <v>5.0999999999999996</v>
      </c>
    </row>
    <row r="110" spans="5:28" ht="12" customHeight="1">
      <c r="E110"/>
      <c r="F110" s="197"/>
      <c r="K110"/>
      <c r="L110"/>
      <c r="M110"/>
      <c r="N110"/>
      <c r="O110"/>
      <c r="P110"/>
      <c r="Q110" s="897"/>
      <c r="R110" s="257">
        <v>3</v>
      </c>
      <c r="S110" s="197">
        <f t="shared" si="3"/>
        <v>1.5</v>
      </c>
      <c r="T110" s="197">
        <f t="shared" si="4"/>
        <v>14.38</v>
      </c>
      <c r="U110" s="197">
        <f t="shared" si="5"/>
        <v>4.5999999999999996</v>
      </c>
      <c r="V110" s="192">
        <f t="shared" si="6"/>
        <v>14.38</v>
      </c>
      <c r="W110" s="197"/>
      <c r="X110" s="197"/>
      <c r="Y110" s="197">
        <v>3</v>
      </c>
      <c r="Z110" s="192">
        <f>IF(AND($Z$105,$Z$100),$K$11,NA())</f>
        <v>14.25</v>
      </c>
      <c r="AA110" s="198" t="s">
        <v>511</v>
      </c>
      <c r="AB110" s="199"/>
    </row>
    <row r="111" spans="5:28" ht="12" customHeight="1">
      <c r="E111"/>
      <c r="F111" s="197"/>
      <c r="K111"/>
      <c r="L111"/>
      <c r="M111"/>
      <c r="N111"/>
      <c r="O111"/>
      <c r="P111"/>
      <c r="Q111" s="897"/>
      <c r="R111" s="257">
        <v>2</v>
      </c>
      <c r="S111" s="197">
        <f t="shared" si="3"/>
        <v>1</v>
      </c>
      <c r="T111" s="197">
        <f t="shared" si="4"/>
        <v>13.88</v>
      </c>
      <c r="U111" s="197">
        <f t="shared" si="5"/>
        <v>4.5999999999999996</v>
      </c>
      <c r="V111" s="192">
        <f t="shared" si="6"/>
        <v>13.88</v>
      </c>
      <c r="W111" s="232" t="s">
        <v>368</v>
      </c>
      <c r="X111" s="232"/>
      <c r="Y111" s="283">
        <f>$G$22</f>
        <v>1.8117321053245594</v>
      </c>
      <c r="Z111" s="900">
        <f>$K$22</f>
        <v>2.2806510031732694</v>
      </c>
      <c r="AA111" s="231"/>
      <c r="AB111" s="262">
        <f>IF(AND(G13&lt;&gt;"",K13&lt;&gt;""),2*SQRT((G13^2+K13^2)/2),999999999999999)</f>
        <v>7.7302522597907499</v>
      </c>
    </row>
    <row r="112" spans="5:28" ht="12" customHeight="1">
      <c r="E112"/>
      <c r="F112" s="197"/>
      <c r="K112"/>
      <c r="L112"/>
      <c r="M112"/>
      <c r="N112"/>
      <c r="O112"/>
      <c r="P112"/>
      <c r="Q112" s="897"/>
      <c r="R112" s="257">
        <v>1</v>
      </c>
      <c r="S112" s="197">
        <f t="shared" si="3"/>
        <v>0.5</v>
      </c>
      <c r="T112" s="197">
        <f t="shared" si="4"/>
        <v>13.38</v>
      </c>
      <c r="U112" s="197">
        <f t="shared" si="5"/>
        <v>4.5999999999999996</v>
      </c>
      <c r="V112" s="192">
        <f t="shared" si="6"/>
        <v>13.38</v>
      </c>
      <c r="W112" s="197" t="str">
        <f>IF(H6="","Dependent variable ",H6)</f>
        <v>LSAT score</v>
      </c>
      <c r="X112" s="197"/>
      <c r="Y112" s="197"/>
      <c r="Z112" s="197"/>
      <c r="AA112" s="197"/>
      <c r="AB112" s="192"/>
    </row>
    <row r="113" spans="5:28" ht="12" customHeight="1">
      <c r="E113"/>
      <c r="F113" s="197"/>
      <c r="K113"/>
      <c r="L113"/>
      <c r="M113"/>
      <c r="N113"/>
      <c r="O113"/>
      <c r="P113"/>
      <c r="Q113" s="897"/>
      <c r="R113" s="257">
        <v>0</v>
      </c>
      <c r="S113" s="197">
        <f t="shared" si="3"/>
        <v>0</v>
      </c>
      <c r="T113" s="197">
        <f t="shared" si="4"/>
        <v>12.88</v>
      </c>
      <c r="U113" s="197">
        <f t="shared" si="5"/>
        <v>4.5999999999999996</v>
      </c>
      <c r="V113" s="192">
        <f t="shared" si="6"/>
        <v>12.88</v>
      </c>
      <c r="W113" s="264" t="s">
        <v>495</v>
      </c>
      <c r="X113" s="264">
        <v>4.0999999999999996</v>
      </c>
      <c r="Y113" s="901">
        <f>IF(Z99,K11,NA())</f>
        <v>14.25</v>
      </c>
      <c r="Z113" s="268" t="s">
        <v>496</v>
      </c>
      <c r="AA113" s="902">
        <f>IF(AND(Z104,Z101),I28,NA())</f>
        <v>1.1349968777474446</v>
      </c>
      <c r="AB113" s="192"/>
    </row>
    <row r="114" spans="5:28" ht="12" customHeight="1">
      <c r="E114"/>
      <c r="F114" s="197"/>
      <c r="K114"/>
      <c r="L114"/>
      <c r="M114"/>
      <c r="N114"/>
      <c r="O114"/>
      <c r="P114"/>
      <c r="Q114" s="897"/>
      <c r="R114" s="257">
        <v>-1</v>
      </c>
      <c r="S114" s="197">
        <f t="shared" si="3"/>
        <v>-0.5</v>
      </c>
      <c r="T114" s="197">
        <f t="shared" si="4"/>
        <v>12.38</v>
      </c>
      <c r="U114" s="197">
        <f t="shared" si="5"/>
        <v>4.5999999999999996</v>
      </c>
      <c r="V114" s="192">
        <f t="shared" si="6"/>
        <v>12.38</v>
      </c>
      <c r="W114" s="197" t="s">
        <v>504</v>
      </c>
      <c r="X114" s="197" t="s">
        <v>756</v>
      </c>
      <c r="Y114" s="197">
        <v>0.8</v>
      </c>
      <c r="Z114" s="709">
        <f>IF(Z102,MAX(G11+G22,K11+K22,K11+I28),IF(Z101,MAX(G11,K11,K11+I28),IF(Z100,MAX(G11+G22,K11+K22),MAX(G11,K11))))</f>
        <v>16.530651003173269</v>
      </c>
      <c r="AA114" s="197" t="s">
        <v>359</v>
      </c>
      <c r="AB114" s="903">
        <f>Z114-Z115</f>
        <v>5.4623831084978267</v>
      </c>
    </row>
    <row r="115" spans="5:28" ht="12" customHeight="1">
      <c r="E115"/>
      <c r="F115" s="197"/>
      <c r="K115"/>
      <c r="L115"/>
      <c r="M115"/>
      <c r="N115"/>
      <c r="O115"/>
      <c r="P115"/>
      <c r="Q115" s="897"/>
      <c r="R115" s="257">
        <v>-2</v>
      </c>
      <c r="S115" s="197">
        <f t="shared" si="3"/>
        <v>-1</v>
      </c>
      <c r="T115" s="197">
        <f t="shared" si="4"/>
        <v>11.88</v>
      </c>
      <c r="U115" s="197">
        <f t="shared" si="5"/>
        <v>4.5999999999999996</v>
      </c>
      <c r="V115" s="192">
        <f t="shared" si="6"/>
        <v>11.88</v>
      </c>
      <c r="W115" s="232" t="s">
        <v>505</v>
      </c>
      <c r="X115" s="232" t="s">
        <v>757</v>
      </c>
      <c r="Y115" s="232">
        <v>0.8</v>
      </c>
      <c r="Z115" s="283">
        <f>IF(Z102,MIN(G11-G22,K11-K22,K11-I28),IF(Z101,MIN(G11,K11,K11-I28),IF(Z100,MIN(G11-G22,K11-K22),MIN(G11,K11))))</f>
        <v>11.068267894675442</v>
      </c>
      <c r="AA115" s="232" t="s">
        <v>523</v>
      </c>
      <c r="AB115" s="262" t="b">
        <f>AND(Z114=0,Z115=0)</f>
        <v>0</v>
      </c>
    </row>
    <row r="116" spans="5:28" ht="12" customHeight="1">
      <c r="E116"/>
      <c r="F116" s="197"/>
      <c r="K116"/>
      <c r="L116"/>
      <c r="M116"/>
      <c r="N116"/>
      <c r="O116"/>
      <c r="P116"/>
      <c r="Q116" s="897"/>
      <c r="R116" s="257">
        <v>-3</v>
      </c>
      <c r="S116" s="197">
        <f t="shared" si="3"/>
        <v>-1.5</v>
      </c>
      <c r="T116" s="197">
        <f t="shared" si="4"/>
        <v>11.38</v>
      </c>
      <c r="U116" s="197">
        <f t="shared" si="5"/>
        <v>4.5999999999999996</v>
      </c>
      <c r="V116" s="192">
        <f t="shared" si="6"/>
        <v>11.38</v>
      </c>
      <c r="W116"/>
    </row>
    <row r="117" spans="5:28" ht="12" customHeight="1">
      <c r="E117"/>
      <c r="F117" s="197"/>
      <c r="K117"/>
      <c r="L117"/>
      <c r="M117"/>
      <c r="N117"/>
      <c r="O117"/>
      <c r="P117"/>
      <c r="Q117" s="897"/>
      <c r="R117" s="257">
        <v>-4</v>
      </c>
      <c r="S117" s="197">
        <f t="shared" si="3"/>
        <v>-2</v>
      </c>
      <c r="T117" s="197">
        <f t="shared" si="4"/>
        <v>10.88</v>
      </c>
      <c r="U117" s="197">
        <f t="shared" si="5"/>
        <v>4.5999999999999996</v>
      </c>
      <c r="V117" s="192">
        <f t="shared" si="6"/>
        <v>10.88</v>
      </c>
      <c r="W117"/>
    </row>
    <row r="118" spans="5:28" ht="12" customHeight="1">
      <c r="E118"/>
      <c r="F118" s="197"/>
      <c r="K118"/>
      <c r="L118"/>
      <c r="M118"/>
      <c r="N118"/>
      <c r="O118"/>
      <c r="P118"/>
      <c r="Q118" s="897"/>
      <c r="R118" s="257">
        <v>-5</v>
      </c>
      <c r="S118" s="197">
        <f t="shared" si="3"/>
        <v>-2.5</v>
      </c>
      <c r="T118" s="197">
        <f t="shared" si="4"/>
        <v>10.38</v>
      </c>
      <c r="U118" s="197">
        <f t="shared" si="5"/>
        <v>4.5999999999999996</v>
      </c>
      <c r="V118" s="192" t="e">
        <f t="shared" si="6"/>
        <v>#N/A</v>
      </c>
      <c r="W118"/>
    </row>
    <row r="119" spans="5:28" ht="12" customHeight="1">
      <c r="E119"/>
      <c r="F119" s="197"/>
      <c r="K119"/>
      <c r="L119"/>
      <c r="M119"/>
      <c r="N119"/>
      <c r="O119"/>
      <c r="P119"/>
      <c r="Q119" s="897"/>
      <c r="R119" s="257">
        <v>-6</v>
      </c>
      <c r="S119" s="197">
        <f t="shared" si="3"/>
        <v>-3</v>
      </c>
      <c r="T119" s="197">
        <f t="shared" si="4"/>
        <v>9.8800000000000008</v>
      </c>
      <c r="U119" s="197">
        <f t="shared" si="5"/>
        <v>4.5999999999999996</v>
      </c>
      <c r="V119" s="192" t="e">
        <f t="shared" si="6"/>
        <v>#N/A</v>
      </c>
      <c r="W119"/>
    </row>
    <row r="120" spans="5:28" ht="12" customHeight="1">
      <c r="E120"/>
      <c r="F120" s="197"/>
      <c r="K120"/>
      <c r="L120"/>
      <c r="M120"/>
      <c r="N120"/>
      <c r="O120"/>
      <c r="P120"/>
      <c r="Q120" s="897"/>
      <c r="R120" s="257">
        <v>-7</v>
      </c>
      <c r="S120" s="197">
        <f t="shared" si="3"/>
        <v>-3.5</v>
      </c>
      <c r="T120" s="197">
        <f t="shared" si="4"/>
        <v>9.3800000000000008</v>
      </c>
      <c r="U120" s="197">
        <f t="shared" si="5"/>
        <v>4.5999999999999996</v>
      </c>
      <c r="V120" s="192" t="e">
        <f t="shared" si="6"/>
        <v>#N/A</v>
      </c>
      <c r="W120"/>
    </row>
    <row r="121" spans="5:28" ht="12" customHeight="1">
      <c r="E121"/>
      <c r="F121" s="197"/>
      <c r="K121"/>
      <c r="L121"/>
      <c r="M121"/>
      <c r="N121"/>
      <c r="O121"/>
      <c r="P121"/>
      <c r="Q121" s="897"/>
      <c r="R121" s="257">
        <v>-8</v>
      </c>
      <c r="S121" s="197">
        <f t="shared" si="3"/>
        <v>-4</v>
      </c>
      <c r="T121" s="197">
        <f t="shared" si="4"/>
        <v>8.8800000000000008</v>
      </c>
      <c r="U121" s="197">
        <f t="shared" si="5"/>
        <v>4.5999999999999996</v>
      </c>
      <c r="V121" s="192" t="e">
        <f t="shared" si="6"/>
        <v>#N/A</v>
      </c>
      <c r="W121"/>
    </row>
    <row r="122" spans="5:28" ht="12" customHeight="1">
      <c r="E122"/>
      <c r="F122" s="197"/>
      <c r="K122"/>
      <c r="L122"/>
      <c r="M122"/>
      <c r="N122"/>
      <c r="O122"/>
      <c r="P122"/>
      <c r="Q122" s="897"/>
      <c r="R122" s="257">
        <v>-9</v>
      </c>
      <c r="S122" s="197">
        <f t="shared" si="3"/>
        <v>-4.5</v>
      </c>
      <c r="T122" s="197">
        <f t="shared" si="4"/>
        <v>8.3800000000000008</v>
      </c>
      <c r="U122" s="197">
        <f t="shared" si="5"/>
        <v>4.5999999999999996</v>
      </c>
      <c r="V122" s="192" t="e">
        <f t="shared" si="6"/>
        <v>#N/A</v>
      </c>
      <c r="W122"/>
    </row>
    <row r="123" spans="5:28" ht="12" customHeight="1">
      <c r="E123"/>
      <c r="F123" s="197"/>
      <c r="K123"/>
      <c r="L123"/>
      <c r="M123"/>
      <c r="N123"/>
      <c r="O123"/>
      <c r="P123"/>
      <c r="Q123" s="904"/>
      <c r="R123" s="275">
        <v>-10</v>
      </c>
      <c r="S123" s="232">
        <f t="shared" si="3"/>
        <v>-5</v>
      </c>
      <c r="T123" s="232">
        <f t="shared" si="4"/>
        <v>7.8800000000000008</v>
      </c>
      <c r="U123" s="232">
        <f t="shared" si="5"/>
        <v>4.5999999999999996</v>
      </c>
      <c r="V123" s="262" t="e">
        <f t="shared" si="6"/>
        <v>#N/A</v>
      </c>
      <c r="W123"/>
    </row>
    <row r="124" spans="5:28" ht="12" customHeight="1">
      <c r="E124"/>
      <c r="F124" s="197"/>
      <c r="K124"/>
      <c r="L124"/>
      <c r="M124"/>
      <c r="N124"/>
      <c r="O124"/>
      <c r="P124"/>
    </row>
    <row r="125" spans="5:28" ht="12" customHeight="1">
      <c r="E125"/>
      <c r="F125" s="197"/>
      <c r="K125"/>
      <c r="L125"/>
      <c r="M125"/>
      <c r="N125"/>
      <c r="O125"/>
      <c r="P125"/>
    </row>
    <row r="126" spans="5:28" ht="12" customHeight="1">
      <c r="E126"/>
      <c r="F126" s="197"/>
      <c r="K126"/>
      <c r="L126"/>
      <c r="M126"/>
      <c r="N126"/>
      <c r="O126"/>
      <c r="P126"/>
    </row>
    <row r="127" spans="5:28" ht="12" customHeight="1">
      <c r="E127"/>
      <c r="F127" s="197"/>
      <c r="K127"/>
      <c r="L127"/>
      <c r="M127"/>
      <c r="N127"/>
      <c r="O127"/>
      <c r="P127"/>
      <c r="Q127"/>
      <c r="R127"/>
      <c r="S127"/>
      <c r="T127"/>
      <c r="U127"/>
    </row>
    <row r="128" spans="5:28" ht="12" customHeight="1">
      <c r="E128"/>
      <c r="F128" s="197"/>
      <c r="K128"/>
      <c r="L128"/>
      <c r="M128"/>
      <c r="N128"/>
      <c r="O128"/>
      <c r="P128"/>
      <c r="Q128"/>
      <c r="R128"/>
      <c r="S128"/>
      <c r="T128"/>
      <c r="U128"/>
    </row>
    <row r="129" spans="5:21" ht="12" customHeight="1">
      <c r="E129"/>
      <c r="F129" s="197"/>
      <c r="K129"/>
      <c r="L129"/>
      <c r="M129"/>
      <c r="N129"/>
      <c r="O129"/>
      <c r="P129"/>
      <c r="Q129"/>
      <c r="R129"/>
      <c r="S129"/>
      <c r="T129"/>
      <c r="U129"/>
    </row>
    <row r="130" spans="5:21" ht="12" customHeight="1">
      <c r="E130"/>
      <c r="F130" s="197"/>
      <c r="K130"/>
      <c r="L130"/>
      <c r="M130"/>
      <c r="N130"/>
      <c r="O130"/>
      <c r="P130"/>
      <c r="Q130"/>
      <c r="R130"/>
      <c r="S130"/>
      <c r="T130"/>
      <c r="U130"/>
    </row>
    <row r="131" spans="5:21" ht="12" customHeight="1">
      <c r="E131"/>
      <c r="F131" s="197"/>
      <c r="K131"/>
      <c r="L131"/>
      <c r="M131"/>
      <c r="N131"/>
      <c r="O131"/>
      <c r="P131"/>
      <c r="Q131"/>
      <c r="R131"/>
      <c r="S131"/>
      <c r="T131"/>
      <c r="U131"/>
    </row>
    <row r="132" spans="5:21" ht="12" customHeight="1">
      <c r="E132"/>
      <c r="F132" s="197"/>
      <c r="K132"/>
      <c r="L132"/>
      <c r="M132"/>
      <c r="N132"/>
      <c r="O132"/>
      <c r="P132"/>
      <c r="Q132"/>
      <c r="R132"/>
      <c r="S132"/>
      <c r="T132"/>
      <c r="U132"/>
    </row>
    <row r="133" spans="5:21" ht="12" customHeight="1">
      <c r="E133"/>
      <c r="F133" s="197"/>
      <c r="K133"/>
      <c r="L133"/>
      <c r="M133"/>
      <c r="N133"/>
      <c r="O133"/>
      <c r="P133"/>
      <c r="Q133"/>
      <c r="R133"/>
      <c r="S133"/>
      <c r="T133"/>
      <c r="U133"/>
    </row>
    <row r="134" spans="5:21" ht="12" customHeight="1">
      <c r="E134"/>
      <c r="F134" s="197"/>
      <c r="K134"/>
      <c r="L134"/>
      <c r="M134"/>
      <c r="N134"/>
      <c r="O134"/>
      <c r="P134"/>
      <c r="Q134"/>
      <c r="R134"/>
      <c r="S134"/>
      <c r="T134"/>
      <c r="U134"/>
    </row>
    <row r="135" spans="5:21" ht="12" customHeight="1">
      <c r="E135"/>
      <c r="F135" s="197"/>
      <c r="K135"/>
      <c r="L135"/>
      <c r="M135"/>
      <c r="N135"/>
      <c r="O135"/>
      <c r="P135"/>
      <c r="Q135"/>
      <c r="R135"/>
      <c r="S135"/>
      <c r="T135"/>
      <c r="U135"/>
    </row>
    <row r="136" spans="5:21" ht="12" customHeight="1">
      <c r="E136"/>
      <c r="F136" s="197"/>
      <c r="K136"/>
      <c r="L136"/>
      <c r="M136"/>
      <c r="N136"/>
      <c r="O136"/>
      <c r="P136"/>
      <c r="Q136"/>
      <c r="R136"/>
      <c r="S136"/>
      <c r="T136"/>
      <c r="U136"/>
    </row>
    <row r="137" spans="5:21" ht="12" customHeight="1">
      <c r="E137"/>
      <c r="F137" s="197"/>
      <c r="K137"/>
      <c r="L137"/>
      <c r="M137"/>
      <c r="N137"/>
      <c r="O137"/>
      <c r="P137"/>
      <c r="Q137"/>
      <c r="R137"/>
      <c r="S137"/>
      <c r="T137"/>
      <c r="U137"/>
    </row>
    <row r="138" spans="5:21" ht="12" customHeight="1">
      <c r="E138"/>
      <c r="F138" s="197"/>
      <c r="K138"/>
      <c r="L138"/>
      <c r="M138"/>
      <c r="N138"/>
      <c r="O138"/>
      <c r="P138"/>
      <c r="Q138"/>
      <c r="R138"/>
      <c r="S138"/>
      <c r="T138"/>
      <c r="U138"/>
    </row>
    <row r="139" spans="5:21" ht="12" customHeight="1">
      <c r="E139"/>
      <c r="F139" s="197"/>
      <c r="K139"/>
      <c r="L139"/>
      <c r="M139"/>
      <c r="N139"/>
      <c r="O139"/>
      <c r="P139"/>
      <c r="Q139"/>
      <c r="R139"/>
      <c r="S139"/>
      <c r="T139"/>
      <c r="U139"/>
    </row>
    <row r="140" spans="5:21" ht="12" customHeight="1">
      <c r="E140"/>
      <c r="F140" s="197"/>
      <c r="K140"/>
      <c r="L140"/>
      <c r="M140"/>
      <c r="N140"/>
      <c r="O140"/>
      <c r="P140"/>
      <c r="Q140"/>
      <c r="R140"/>
      <c r="S140"/>
      <c r="T140"/>
      <c r="U140"/>
    </row>
    <row r="141" spans="5:21" ht="12" customHeight="1">
      <c r="E141"/>
      <c r="F141" s="197"/>
      <c r="K141"/>
      <c r="L141"/>
      <c r="M141"/>
      <c r="N141"/>
      <c r="O141"/>
      <c r="P141"/>
      <c r="Q141"/>
      <c r="R141"/>
      <c r="S141"/>
      <c r="T141"/>
      <c r="U141"/>
    </row>
    <row r="142" spans="5:21" ht="12" customHeight="1">
      <c r="E142"/>
      <c r="F142" s="197"/>
      <c r="K142"/>
      <c r="L142"/>
      <c r="M142"/>
      <c r="N142"/>
      <c r="O142"/>
      <c r="P142"/>
      <c r="Q142"/>
      <c r="R142"/>
      <c r="S142"/>
      <c r="T142"/>
      <c r="U142"/>
    </row>
    <row r="143" spans="5:21" ht="12" customHeight="1">
      <c r="E143"/>
      <c r="F143" s="197"/>
      <c r="K143"/>
      <c r="L143"/>
      <c r="M143"/>
      <c r="N143"/>
      <c r="O143"/>
      <c r="P143"/>
      <c r="Q143"/>
      <c r="R143"/>
      <c r="S143"/>
      <c r="T143"/>
      <c r="U143"/>
    </row>
    <row r="144" spans="5:21" ht="12" customHeight="1">
      <c r="E144"/>
      <c r="F144" s="197"/>
      <c r="K144"/>
      <c r="L144"/>
      <c r="M144"/>
      <c r="N144"/>
      <c r="O144"/>
      <c r="P144"/>
      <c r="Q144"/>
      <c r="R144"/>
      <c r="S144"/>
      <c r="T144"/>
      <c r="U144"/>
    </row>
    <row r="145" spans="5:21" ht="12" customHeight="1">
      <c r="E145"/>
      <c r="F145" s="197"/>
      <c r="K145"/>
      <c r="L145"/>
      <c r="M145"/>
      <c r="N145"/>
      <c r="O145"/>
      <c r="P145"/>
      <c r="Q145"/>
      <c r="R145"/>
      <c r="S145"/>
      <c r="T145"/>
      <c r="U145"/>
    </row>
    <row r="146" spans="5:21" ht="12" customHeight="1">
      <c r="E146"/>
      <c r="F146" s="197"/>
      <c r="K146"/>
      <c r="L146"/>
      <c r="M146"/>
      <c r="N146"/>
      <c r="O146"/>
      <c r="P146"/>
      <c r="Q146"/>
      <c r="R146"/>
      <c r="S146"/>
      <c r="T146"/>
      <c r="U146"/>
    </row>
    <row r="147" spans="5:21" ht="12" customHeight="1">
      <c r="E147"/>
      <c r="F147" s="197"/>
      <c r="K147"/>
      <c r="L147"/>
      <c r="M147"/>
      <c r="N147"/>
      <c r="O147"/>
      <c r="P147"/>
      <c r="Q147"/>
      <c r="R147"/>
      <c r="S147"/>
      <c r="T147"/>
      <c r="U147"/>
    </row>
    <row r="148" spans="5:21" ht="12" customHeight="1">
      <c r="E148"/>
      <c r="F148" s="197"/>
      <c r="K148"/>
      <c r="L148"/>
      <c r="M148"/>
      <c r="N148"/>
      <c r="O148"/>
      <c r="P148"/>
      <c r="Q148"/>
      <c r="R148"/>
      <c r="S148"/>
      <c r="T148"/>
      <c r="U148"/>
    </row>
    <row r="149" spans="5:21" ht="12" customHeight="1">
      <c r="E149"/>
      <c r="F149" s="197"/>
      <c r="K149"/>
      <c r="L149"/>
      <c r="M149"/>
      <c r="N149"/>
      <c r="O149"/>
      <c r="P149"/>
      <c r="Q149"/>
      <c r="R149"/>
      <c r="S149"/>
      <c r="T149"/>
      <c r="U149"/>
    </row>
    <row r="150" spans="5:21" ht="12" customHeight="1">
      <c r="E150"/>
      <c r="F150" s="197"/>
      <c r="K150"/>
      <c r="L150"/>
      <c r="M150"/>
      <c r="N150"/>
      <c r="O150"/>
      <c r="P150"/>
      <c r="Q150"/>
      <c r="R150"/>
      <c r="S150"/>
      <c r="T150"/>
      <c r="U150"/>
    </row>
    <row r="151" spans="5:21" ht="12" customHeight="1">
      <c r="E151"/>
      <c r="F151" s="197"/>
      <c r="K151"/>
      <c r="L151"/>
      <c r="M151"/>
      <c r="N151"/>
      <c r="O151"/>
      <c r="P151"/>
      <c r="Q151"/>
      <c r="R151"/>
      <c r="S151"/>
      <c r="T151"/>
      <c r="U151"/>
    </row>
    <row r="152" spans="5:21" ht="12" customHeight="1">
      <c r="E152"/>
      <c r="F152" s="197"/>
      <c r="K152"/>
      <c r="L152"/>
      <c r="M152"/>
      <c r="N152"/>
      <c r="O152"/>
      <c r="P152"/>
      <c r="Q152"/>
      <c r="R152"/>
      <c r="S152"/>
      <c r="T152"/>
      <c r="U152"/>
    </row>
    <row r="153" spans="5:21" ht="12" customHeight="1">
      <c r="E153"/>
      <c r="F153" s="197"/>
      <c r="K153"/>
      <c r="L153"/>
      <c r="M153"/>
      <c r="N153"/>
      <c r="O153"/>
      <c r="P153"/>
      <c r="Q153"/>
      <c r="R153"/>
      <c r="S153"/>
      <c r="T153"/>
      <c r="U153"/>
    </row>
    <row r="154" spans="5:21" ht="12" customHeight="1">
      <c r="E154"/>
      <c r="F154" s="197"/>
      <c r="K154"/>
      <c r="L154"/>
      <c r="M154"/>
      <c r="N154"/>
      <c r="O154"/>
      <c r="P154"/>
      <c r="Q154"/>
      <c r="R154"/>
      <c r="S154"/>
      <c r="T154"/>
      <c r="U154"/>
    </row>
    <row r="155" spans="5:21" ht="12" customHeight="1">
      <c r="E155"/>
      <c r="F155" s="197"/>
      <c r="K155"/>
      <c r="L155"/>
      <c r="M155"/>
      <c r="N155"/>
      <c r="O155"/>
      <c r="P155"/>
      <c r="Q155"/>
      <c r="R155"/>
      <c r="S155"/>
      <c r="T155"/>
      <c r="U155"/>
    </row>
    <row r="156" spans="5:21" ht="12" customHeight="1">
      <c r="E156"/>
      <c r="F156" s="197"/>
      <c r="K156"/>
      <c r="L156"/>
      <c r="M156"/>
      <c r="N156"/>
      <c r="O156"/>
      <c r="P156"/>
      <c r="Q156"/>
      <c r="R156"/>
      <c r="S156"/>
      <c r="T156"/>
      <c r="U156"/>
    </row>
    <row r="157" spans="5:21" ht="12" customHeight="1">
      <c r="E157"/>
      <c r="F157" s="197"/>
      <c r="K157"/>
      <c r="L157"/>
      <c r="M157"/>
      <c r="N157"/>
      <c r="O157"/>
      <c r="P157"/>
      <c r="Q157"/>
      <c r="R157"/>
      <c r="S157"/>
      <c r="T157"/>
      <c r="U157"/>
    </row>
    <row r="158" spans="5:21" ht="12" customHeight="1">
      <c r="E158"/>
      <c r="F158" s="197"/>
      <c r="K158"/>
      <c r="L158"/>
      <c r="M158"/>
      <c r="N158"/>
      <c r="O158"/>
      <c r="P158"/>
      <c r="Q158"/>
      <c r="R158"/>
      <c r="S158"/>
      <c r="T158"/>
      <c r="U158"/>
    </row>
    <row r="159" spans="5:21" ht="12" customHeight="1">
      <c r="E159"/>
      <c r="F159" s="197"/>
      <c r="K159"/>
      <c r="L159"/>
      <c r="M159"/>
      <c r="N159"/>
      <c r="O159"/>
      <c r="P159"/>
      <c r="Q159"/>
      <c r="R159"/>
      <c r="S159"/>
      <c r="T159"/>
      <c r="U159"/>
    </row>
    <row r="160" spans="5:21" ht="12" customHeight="1">
      <c r="E160"/>
      <c r="F160" s="197"/>
      <c r="K160"/>
      <c r="L160"/>
      <c r="M160"/>
      <c r="N160"/>
      <c r="O160"/>
      <c r="P160"/>
      <c r="Q160"/>
      <c r="R160"/>
      <c r="S160"/>
      <c r="T160"/>
      <c r="U160"/>
    </row>
    <row r="161" spans="5:21" ht="12" customHeight="1">
      <c r="E161"/>
      <c r="F161" s="197"/>
      <c r="K161"/>
      <c r="L161"/>
      <c r="M161"/>
      <c r="N161"/>
      <c r="O161"/>
      <c r="P161"/>
      <c r="Q161"/>
      <c r="R161"/>
      <c r="S161"/>
      <c r="T161"/>
      <c r="U161"/>
    </row>
    <row r="162" spans="5:21" ht="12" customHeight="1">
      <c r="E162"/>
      <c r="F162" s="197"/>
      <c r="K162"/>
      <c r="L162"/>
      <c r="M162"/>
      <c r="N162"/>
      <c r="O162"/>
      <c r="P162"/>
      <c r="Q162"/>
      <c r="R162"/>
      <c r="S162"/>
      <c r="T162"/>
      <c r="U162"/>
    </row>
    <row r="163" spans="5:21" ht="12" customHeight="1">
      <c r="E163"/>
      <c r="F163" s="197"/>
      <c r="K163"/>
      <c r="L163"/>
      <c r="M163"/>
      <c r="N163"/>
      <c r="O163"/>
      <c r="P163"/>
      <c r="Q163"/>
      <c r="R163"/>
      <c r="S163"/>
      <c r="T163"/>
      <c r="U163"/>
    </row>
    <row r="164" spans="5:21" ht="12" customHeight="1">
      <c r="E164"/>
      <c r="F164" s="197"/>
      <c r="K164"/>
      <c r="L164"/>
      <c r="M164"/>
      <c r="N164"/>
      <c r="O164"/>
      <c r="P164"/>
      <c r="Q164"/>
      <c r="R164"/>
      <c r="S164"/>
      <c r="T164"/>
      <c r="U164"/>
    </row>
    <row r="165" spans="5:21" ht="12" customHeight="1">
      <c r="E165"/>
      <c r="F165" s="197"/>
      <c r="K165"/>
      <c r="L165"/>
      <c r="M165"/>
      <c r="N165"/>
      <c r="O165"/>
      <c r="P165"/>
      <c r="Q165"/>
      <c r="R165"/>
      <c r="S165"/>
      <c r="T165"/>
      <c r="U165"/>
    </row>
    <row r="166" spans="5:21" ht="12" customHeight="1">
      <c r="E166"/>
      <c r="F166" s="197"/>
      <c r="K166"/>
      <c r="L166"/>
      <c r="M166"/>
      <c r="N166"/>
      <c r="O166"/>
      <c r="P166"/>
      <c r="Q166"/>
      <c r="R166"/>
      <c r="S166"/>
      <c r="T166"/>
      <c r="U166"/>
    </row>
    <row r="167" spans="5:21" ht="12" customHeight="1">
      <c r="E167"/>
      <c r="F167" s="197"/>
      <c r="K167"/>
      <c r="L167"/>
      <c r="M167"/>
      <c r="N167"/>
      <c r="O167"/>
      <c r="P167"/>
      <c r="Q167"/>
      <c r="R167"/>
      <c r="S167"/>
      <c r="T167"/>
      <c r="U167"/>
    </row>
    <row r="168" spans="5:21" ht="12" customHeight="1">
      <c r="E168"/>
      <c r="F168" s="197"/>
      <c r="K168"/>
      <c r="L168"/>
      <c r="M168"/>
      <c r="N168"/>
      <c r="O168"/>
      <c r="P168"/>
      <c r="Q168"/>
      <c r="R168"/>
      <c r="S168"/>
      <c r="T168"/>
      <c r="U168"/>
    </row>
    <row r="169" spans="5:21" ht="12" customHeight="1">
      <c r="E169"/>
      <c r="F169" s="197"/>
      <c r="K169"/>
      <c r="L169"/>
      <c r="M169"/>
      <c r="N169"/>
      <c r="O169"/>
      <c r="P169"/>
      <c r="Q169"/>
      <c r="R169"/>
      <c r="S169"/>
      <c r="T169"/>
      <c r="U169"/>
    </row>
    <row r="170" spans="5:21" ht="12" customHeight="1">
      <c r="E170"/>
      <c r="F170" s="197"/>
      <c r="K170"/>
      <c r="L170"/>
      <c r="M170"/>
      <c r="N170"/>
      <c r="O170"/>
      <c r="P170"/>
      <c r="Q170"/>
      <c r="R170"/>
      <c r="S170"/>
      <c r="T170"/>
      <c r="U170"/>
    </row>
    <row r="171" spans="5:21" ht="12" customHeight="1">
      <c r="E171"/>
      <c r="F171" s="197"/>
      <c r="K171"/>
      <c r="L171"/>
      <c r="M171"/>
      <c r="N171"/>
      <c r="O171"/>
      <c r="P171"/>
      <c r="Q171"/>
      <c r="R171"/>
      <c r="S171"/>
      <c r="T171"/>
      <c r="U171"/>
    </row>
    <row r="172" spans="5:21" ht="12" customHeight="1">
      <c r="E172"/>
      <c r="F172" s="197"/>
      <c r="K172"/>
      <c r="L172"/>
      <c r="M172"/>
      <c r="N172"/>
      <c r="O172"/>
      <c r="P172"/>
      <c r="Q172"/>
      <c r="R172"/>
      <c r="S172"/>
      <c r="T172"/>
      <c r="U172"/>
    </row>
    <row r="173" spans="5:21" ht="12" customHeight="1">
      <c r="E173"/>
      <c r="F173" s="197"/>
      <c r="K173"/>
      <c r="L173"/>
      <c r="M173"/>
      <c r="N173"/>
      <c r="O173"/>
      <c r="P173"/>
      <c r="Q173"/>
      <c r="R173"/>
      <c r="S173"/>
      <c r="T173"/>
      <c r="U173"/>
    </row>
    <row r="174" spans="5:21" ht="12" customHeight="1">
      <c r="E174"/>
      <c r="F174" s="197"/>
      <c r="K174"/>
      <c r="L174"/>
      <c r="M174"/>
      <c r="N174"/>
      <c r="O174"/>
      <c r="P174"/>
      <c r="Q174"/>
      <c r="R174"/>
      <c r="S174"/>
      <c r="T174"/>
      <c r="U174"/>
    </row>
    <row r="175" spans="5:21" ht="12" customHeight="1">
      <c r="E175"/>
      <c r="F175" s="197"/>
      <c r="K175"/>
      <c r="L175"/>
      <c r="M175"/>
      <c r="N175"/>
      <c r="O175"/>
      <c r="P175"/>
      <c r="Q175"/>
      <c r="R175"/>
      <c r="S175"/>
      <c r="T175"/>
      <c r="U175"/>
    </row>
    <row r="176" spans="5:21" ht="12" customHeight="1">
      <c r="E176"/>
      <c r="F176" s="197"/>
      <c r="K176"/>
      <c r="L176"/>
      <c r="M176"/>
      <c r="N176"/>
      <c r="O176"/>
      <c r="P176"/>
      <c r="Q176"/>
      <c r="R176"/>
      <c r="S176"/>
      <c r="T176"/>
      <c r="U176"/>
    </row>
    <row r="177" spans="5:21" ht="12" customHeight="1">
      <c r="E177"/>
      <c r="F177" s="197"/>
      <c r="K177"/>
      <c r="L177"/>
      <c r="M177"/>
      <c r="N177"/>
      <c r="O177"/>
      <c r="P177"/>
      <c r="Q177"/>
      <c r="R177"/>
      <c r="S177"/>
      <c r="T177"/>
      <c r="U177"/>
    </row>
    <row r="178" spans="5:21" ht="12" customHeight="1">
      <c r="E178"/>
      <c r="F178" s="197"/>
      <c r="K178"/>
      <c r="L178"/>
      <c r="M178"/>
      <c r="N178"/>
      <c r="O178"/>
      <c r="P178"/>
      <c r="Q178"/>
      <c r="R178"/>
      <c r="S178"/>
      <c r="T178"/>
      <c r="U178"/>
    </row>
    <row r="179" spans="5:21" ht="12" customHeight="1">
      <c r="E179"/>
      <c r="F179" s="197"/>
      <c r="K179"/>
      <c r="L179"/>
      <c r="M179"/>
      <c r="N179"/>
      <c r="O179"/>
      <c r="P179"/>
      <c r="Q179"/>
      <c r="R179"/>
      <c r="S179"/>
      <c r="T179"/>
      <c r="U179"/>
    </row>
    <row r="180" spans="5:21" ht="12" customHeight="1">
      <c r="E180"/>
      <c r="F180" s="197"/>
      <c r="K180"/>
      <c r="L180"/>
      <c r="M180"/>
      <c r="N180"/>
      <c r="O180"/>
      <c r="P180"/>
      <c r="Q180"/>
      <c r="R180"/>
      <c r="S180"/>
      <c r="T180"/>
      <c r="U180"/>
    </row>
    <row r="181" spans="5:21" ht="12" customHeight="1">
      <c r="E181"/>
      <c r="F181" s="197"/>
      <c r="K181"/>
      <c r="L181"/>
      <c r="M181"/>
      <c r="N181"/>
      <c r="O181"/>
      <c r="P181"/>
      <c r="Q181"/>
      <c r="R181"/>
      <c r="S181"/>
      <c r="T181"/>
      <c r="U181"/>
    </row>
    <row r="182" spans="5:21" ht="12" customHeight="1">
      <c r="E182"/>
      <c r="F182" s="197"/>
      <c r="K182"/>
      <c r="L182"/>
      <c r="M182"/>
      <c r="N182"/>
      <c r="O182"/>
      <c r="P182"/>
      <c r="Q182"/>
      <c r="R182"/>
      <c r="S182"/>
      <c r="T182"/>
      <c r="U182"/>
    </row>
    <row r="183" spans="5:21" ht="12" customHeight="1">
      <c r="E183"/>
      <c r="F183" s="197"/>
      <c r="K183"/>
      <c r="L183"/>
      <c r="M183"/>
      <c r="N183"/>
      <c r="O183"/>
      <c r="P183"/>
      <c r="Q183"/>
      <c r="R183"/>
      <c r="S183"/>
      <c r="T183"/>
      <c r="U183"/>
    </row>
    <row r="184" spans="5:21" ht="12" customHeight="1">
      <c r="E184"/>
      <c r="F184" s="197"/>
      <c r="K184"/>
      <c r="L184"/>
      <c r="M184"/>
      <c r="N184"/>
      <c r="O184"/>
      <c r="P184"/>
      <c r="Q184"/>
      <c r="R184"/>
      <c r="S184"/>
      <c r="T184"/>
      <c r="U184"/>
    </row>
    <row r="185" spans="5:21" ht="12" customHeight="1">
      <c r="E185"/>
      <c r="F185" s="197"/>
      <c r="K185"/>
      <c r="L185"/>
      <c r="M185"/>
      <c r="N185"/>
      <c r="O185"/>
      <c r="P185"/>
      <c r="Q185"/>
      <c r="R185"/>
      <c r="S185"/>
      <c r="T185"/>
      <c r="U185"/>
    </row>
    <row r="186" spans="5:21" ht="12" customHeight="1">
      <c r="E186"/>
      <c r="F186" s="197"/>
      <c r="K186"/>
      <c r="L186"/>
      <c r="M186"/>
      <c r="N186"/>
      <c r="O186"/>
      <c r="P186"/>
      <c r="Q186"/>
      <c r="R186"/>
      <c r="S186"/>
      <c r="T186"/>
      <c r="U186"/>
    </row>
    <row r="187" spans="5:21" ht="12" customHeight="1">
      <c r="E187"/>
      <c r="F187" s="197"/>
      <c r="K187"/>
      <c r="L187"/>
      <c r="M187"/>
      <c r="N187"/>
      <c r="O187"/>
      <c r="P187"/>
      <c r="Q187"/>
      <c r="R187"/>
      <c r="S187"/>
      <c r="T187"/>
      <c r="U187"/>
    </row>
    <row r="188" spans="5:21" ht="12" customHeight="1">
      <c r="E188"/>
      <c r="F188" s="197"/>
      <c r="K188"/>
      <c r="L188"/>
      <c r="M188"/>
      <c r="N188"/>
      <c r="O188"/>
      <c r="P188"/>
      <c r="Q188"/>
      <c r="R188"/>
      <c r="S188"/>
      <c r="T188"/>
      <c r="U188"/>
    </row>
    <row r="189" spans="5:21" ht="12" customHeight="1">
      <c r="E189"/>
      <c r="F189" s="197"/>
      <c r="K189"/>
      <c r="L189"/>
      <c r="M189"/>
      <c r="N189"/>
      <c r="O189"/>
      <c r="P189"/>
      <c r="Q189"/>
      <c r="R189"/>
      <c r="S189"/>
      <c r="T189"/>
      <c r="U189"/>
    </row>
    <row r="190" spans="5:21" ht="12" customHeight="1">
      <c r="E190"/>
      <c r="F190" s="197"/>
      <c r="K190"/>
      <c r="L190"/>
      <c r="M190"/>
      <c r="N190"/>
      <c r="O190"/>
      <c r="P190"/>
      <c r="Q190"/>
      <c r="R190"/>
      <c r="S190"/>
      <c r="T190"/>
      <c r="U190"/>
    </row>
    <row r="191" spans="5:21" ht="12" customHeight="1">
      <c r="E191"/>
      <c r="F191" s="197"/>
      <c r="K191"/>
      <c r="L191"/>
      <c r="M191"/>
      <c r="N191"/>
      <c r="O191"/>
      <c r="P191"/>
      <c r="Q191"/>
      <c r="R191"/>
      <c r="S191"/>
      <c r="T191"/>
      <c r="U191"/>
    </row>
    <row r="192" spans="5:21" ht="12" customHeight="1">
      <c r="E192"/>
      <c r="F192" s="197"/>
      <c r="K192"/>
      <c r="L192"/>
      <c r="M192"/>
      <c r="N192"/>
      <c r="O192"/>
      <c r="P192"/>
      <c r="Q192"/>
      <c r="R192"/>
      <c r="S192"/>
      <c r="T192"/>
      <c r="U192"/>
    </row>
    <row r="193" spans="5:21" ht="12" customHeight="1">
      <c r="E193"/>
      <c r="F193" s="197"/>
      <c r="K193"/>
      <c r="L193"/>
      <c r="M193"/>
      <c r="N193"/>
      <c r="O193"/>
      <c r="P193"/>
      <c r="Q193"/>
      <c r="R193"/>
      <c r="S193"/>
      <c r="T193"/>
      <c r="U193"/>
    </row>
    <row r="194" spans="5:21" ht="12" customHeight="1">
      <c r="E194"/>
      <c r="F194" s="197"/>
      <c r="K194"/>
      <c r="L194"/>
      <c r="M194"/>
      <c r="N194"/>
      <c r="O194"/>
      <c r="P194"/>
      <c r="Q194"/>
      <c r="R194"/>
      <c r="S194"/>
      <c r="T194"/>
      <c r="U194"/>
    </row>
    <row r="195" spans="5:21" ht="12" customHeight="1">
      <c r="E195"/>
      <c r="F195" s="197"/>
      <c r="K195"/>
      <c r="L195"/>
      <c r="M195"/>
      <c r="N195"/>
      <c r="O195"/>
      <c r="P195"/>
      <c r="Q195"/>
      <c r="R195"/>
      <c r="S195"/>
      <c r="T195"/>
      <c r="U195"/>
    </row>
    <row r="196" spans="5:21" ht="12" customHeight="1">
      <c r="E196"/>
      <c r="F196" s="197"/>
      <c r="K196"/>
      <c r="L196"/>
      <c r="M196"/>
      <c r="N196"/>
      <c r="O196"/>
      <c r="P196"/>
      <c r="Q196"/>
      <c r="R196"/>
      <c r="S196"/>
      <c r="T196"/>
      <c r="U196"/>
    </row>
    <row r="197" spans="5:21" ht="12" customHeight="1">
      <c r="E197"/>
      <c r="F197" s="197"/>
      <c r="K197"/>
      <c r="L197"/>
      <c r="M197"/>
      <c r="N197"/>
      <c r="O197"/>
      <c r="P197"/>
      <c r="Q197"/>
      <c r="R197"/>
      <c r="S197"/>
      <c r="T197"/>
      <c r="U197"/>
    </row>
    <row r="198" spans="5:21" ht="12" customHeight="1">
      <c r="E198"/>
      <c r="F198" s="197"/>
      <c r="K198"/>
      <c r="L198"/>
      <c r="M198"/>
      <c r="N198"/>
      <c r="O198"/>
      <c r="P198"/>
      <c r="Q198"/>
      <c r="R198"/>
      <c r="S198"/>
      <c r="T198"/>
      <c r="U198"/>
    </row>
    <row r="199" spans="5:21" ht="12" customHeight="1">
      <c r="E199"/>
      <c r="F199" s="197"/>
      <c r="K199"/>
      <c r="L199"/>
      <c r="M199"/>
      <c r="N199"/>
      <c r="O199"/>
      <c r="P199"/>
      <c r="Q199"/>
      <c r="R199"/>
      <c r="S199"/>
      <c r="T199"/>
      <c r="U199"/>
    </row>
    <row r="200" spans="5:21" ht="12" customHeight="1">
      <c r="E200"/>
      <c r="F200" s="197"/>
      <c r="K200"/>
      <c r="L200"/>
      <c r="M200"/>
      <c r="N200"/>
      <c r="O200"/>
      <c r="P200"/>
      <c r="Q200"/>
      <c r="R200"/>
      <c r="S200"/>
      <c r="T200"/>
      <c r="U200"/>
    </row>
    <row r="201" spans="5:21" ht="12" customHeight="1">
      <c r="E201"/>
      <c r="F201" s="197"/>
      <c r="K201"/>
      <c r="L201"/>
      <c r="M201"/>
      <c r="N201"/>
      <c r="O201"/>
      <c r="P201"/>
      <c r="Q201"/>
      <c r="R201"/>
      <c r="S201"/>
      <c r="T201"/>
      <c r="U201"/>
    </row>
    <row r="202" spans="5:21" ht="12" customHeight="1">
      <c r="E202"/>
      <c r="F202" s="197"/>
      <c r="K202"/>
      <c r="L202"/>
      <c r="M202"/>
      <c r="N202"/>
      <c r="O202"/>
      <c r="P202"/>
      <c r="Q202"/>
      <c r="R202"/>
      <c r="S202"/>
      <c r="T202"/>
      <c r="U202"/>
    </row>
    <row r="203" spans="5:21" ht="12" customHeight="1">
      <c r="E203"/>
      <c r="F203" s="197"/>
      <c r="K203"/>
      <c r="L203"/>
      <c r="M203"/>
      <c r="N203"/>
      <c r="O203"/>
      <c r="P203"/>
      <c r="Q203"/>
      <c r="R203"/>
      <c r="S203"/>
      <c r="T203"/>
      <c r="U203"/>
    </row>
    <row r="204" spans="5:21" ht="12" customHeight="1">
      <c r="E204"/>
      <c r="F204" s="197"/>
      <c r="K204"/>
      <c r="L204"/>
      <c r="M204"/>
      <c r="N204"/>
      <c r="O204"/>
      <c r="P204"/>
      <c r="Q204"/>
      <c r="R204"/>
      <c r="S204"/>
      <c r="T204"/>
      <c r="U204"/>
    </row>
    <row r="205" spans="5:21" ht="12" customHeight="1">
      <c r="E205"/>
      <c r="F205" s="197"/>
      <c r="K205"/>
      <c r="L205"/>
      <c r="M205"/>
      <c r="N205"/>
      <c r="O205"/>
      <c r="P205"/>
      <c r="Q205"/>
      <c r="R205"/>
      <c r="S205"/>
      <c r="T205"/>
      <c r="U205"/>
    </row>
    <row r="206" spans="5:21" ht="12" customHeight="1">
      <c r="E206"/>
      <c r="F206" s="197"/>
      <c r="K206"/>
      <c r="L206"/>
      <c r="M206"/>
      <c r="N206"/>
      <c r="O206"/>
      <c r="P206"/>
      <c r="Q206"/>
      <c r="R206"/>
      <c r="S206"/>
      <c r="T206"/>
      <c r="U206"/>
    </row>
    <row r="207" spans="5:21" ht="12" customHeight="1">
      <c r="E207"/>
      <c r="F207" s="197"/>
      <c r="K207"/>
      <c r="L207"/>
      <c r="M207"/>
      <c r="N207"/>
      <c r="O207"/>
      <c r="P207"/>
      <c r="Q207"/>
      <c r="R207"/>
      <c r="S207"/>
      <c r="T207"/>
      <c r="U207"/>
    </row>
    <row r="208" spans="5:21" ht="12" customHeight="1">
      <c r="E208"/>
      <c r="F208" s="197"/>
      <c r="K208"/>
      <c r="L208"/>
      <c r="M208"/>
      <c r="N208"/>
      <c r="O208"/>
      <c r="P208"/>
      <c r="Q208"/>
      <c r="R208"/>
      <c r="S208"/>
      <c r="T208"/>
      <c r="U208"/>
    </row>
    <row r="209" spans="5:21" ht="12" customHeight="1">
      <c r="E209"/>
      <c r="F209" s="197"/>
      <c r="K209"/>
      <c r="L209"/>
      <c r="M209"/>
      <c r="N209"/>
      <c r="O209"/>
      <c r="P209"/>
      <c r="Q209"/>
      <c r="R209"/>
      <c r="S209"/>
      <c r="T209"/>
      <c r="U209"/>
    </row>
    <row r="210" spans="5:21" ht="12" customHeight="1">
      <c r="E210"/>
      <c r="F210" s="197"/>
      <c r="K210"/>
      <c r="L210"/>
      <c r="M210"/>
      <c r="N210"/>
      <c r="O210"/>
      <c r="P210"/>
      <c r="Q210"/>
      <c r="R210"/>
      <c r="S210"/>
      <c r="T210"/>
      <c r="U210"/>
    </row>
    <row r="211" spans="5:21" ht="12" customHeight="1">
      <c r="E211"/>
      <c r="F211" s="197"/>
      <c r="K211"/>
      <c r="L211"/>
      <c r="M211"/>
      <c r="N211"/>
      <c r="O211"/>
      <c r="P211"/>
      <c r="Q211"/>
      <c r="R211"/>
      <c r="S211"/>
      <c r="T211"/>
      <c r="U211"/>
    </row>
    <row r="212" spans="5:21" ht="12" customHeight="1">
      <c r="E212"/>
      <c r="F212" s="197"/>
      <c r="K212"/>
      <c r="L212"/>
      <c r="M212"/>
      <c r="N212"/>
      <c r="O212"/>
      <c r="P212"/>
      <c r="Q212"/>
      <c r="R212"/>
      <c r="S212"/>
      <c r="T212"/>
      <c r="U212"/>
    </row>
    <row r="213" spans="5:21" ht="12" customHeight="1">
      <c r="E213"/>
      <c r="F213" s="197"/>
      <c r="K213"/>
      <c r="L213"/>
      <c r="M213"/>
      <c r="N213"/>
      <c r="O213"/>
      <c r="P213"/>
      <c r="Q213"/>
      <c r="R213"/>
      <c r="S213"/>
      <c r="T213"/>
      <c r="U213"/>
    </row>
    <row r="214" spans="5:21" ht="12" customHeight="1">
      <c r="E214"/>
      <c r="F214" s="197"/>
      <c r="K214"/>
      <c r="L214"/>
      <c r="M214"/>
      <c r="N214"/>
      <c r="O214"/>
      <c r="P214"/>
      <c r="Q214"/>
      <c r="R214"/>
      <c r="S214"/>
      <c r="T214"/>
      <c r="U214"/>
    </row>
    <row r="215" spans="5:21" ht="12" customHeight="1">
      <c r="E215"/>
      <c r="F215" s="197"/>
      <c r="K215"/>
      <c r="L215"/>
      <c r="M215"/>
      <c r="N215"/>
      <c r="O215"/>
      <c r="P215"/>
      <c r="Q215"/>
      <c r="R215"/>
      <c r="S215"/>
      <c r="T215"/>
      <c r="U215"/>
    </row>
    <row r="216" spans="5:21" ht="12" customHeight="1">
      <c r="E216"/>
      <c r="F216" s="197"/>
      <c r="K216"/>
      <c r="L216"/>
      <c r="M216"/>
      <c r="N216"/>
      <c r="O216"/>
      <c r="P216"/>
      <c r="Q216"/>
      <c r="R216"/>
      <c r="S216"/>
      <c r="T216"/>
      <c r="U216"/>
    </row>
    <row r="217" spans="5:21" ht="12" customHeight="1">
      <c r="E217"/>
      <c r="F217" s="197"/>
      <c r="K217"/>
      <c r="L217"/>
      <c r="M217"/>
      <c r="N217"/>
      <c r="O217"/>
      <c r="P217"/>
      <c r="Q217"/>
      <c r="R217"/>
      <c r="S217"/>
      <c r="T217"/>
      <c r="U217"/>
    </row>
    <row r="218" spans="5:21" ht="12" customHeight="1">
      <c r="E218"/>
      <c r="F218" s="197"/>
      <c r="K218"/>
      <c r="L218"/>
      <c r="M218"/>
      <c r="N218"/>
      <c r="O218"/>
      <c r="P218"/>
      <c r="Q218"/>
      <c r="R218"/>
      <c r="S218"/>
      <c r="T218"/>
      <c r="U218"/>
    </row>
    <row r="219" spans="5:21" ht="12" customHeight="1">
      <c r="E219"/>
      <c r="F219" s="197"/>
      <c r="K219"/>
      <c r="L219"/>
      <c r="M219"/>
      <c r="N219"/>
      <c r="O219"/>
      <c r="P219"/>
      <c r="Q219"/>
      <c r="R219"/>
      <c r="S219"/>
      <c r="T219"/>
      <c r="U219"/>
    </row>
    <row r="220" spans="5:21" ht="12" customHeight="1">
      <c r="E220"/>
      <c r="F220" s="197"/>
      <c r="K220"/>
      <c r="L220"/>
      <c r="M220"/>
      <c r="N220"/>
      <c r="O220"/>
      <c r="P220"/>
      <c r="Q220"/>
      <c r="R220"/>
      <c r="S220"/>
      <c r="T220"/>
      <c r="U220"/>
    </row>
    <row r="221" spans="5:21" ht="12" customHeight="1">
      <c r="E221"/>
      <c r="F221" s="197"/>
      <c r="K221"/>
      <c r="L221"/>
      <c r="M221"/>
      <c r="N221"/>
      <c r="O221"/>
      <c r="P221"/>
      <c r="Q221"/>
      <c r="R221"/>
      <c r="S221"/>
      <c r="T221"/>
      <c r="U221"/>
    </row>
    <row r="222" spans="5:21" ht="12" customHeight="1">
      <c r="E222"/>
      <c r="F222" s="197"/>
      <c r="K222"/>
      <c r="L222"/>
      <c r="M222"/>
      <c r="N222"/>
      <c r="O222"/>
      <c r="P222"/>
      <c r="Q222"/>
      <c r="R222"/>
      <c r="S222"/>
      <c r="T222"/>
      <c r="U222"/>
    </row>
    <row r="223" spans="5:21" ht="12" customHeight="1">
      <c r="E223"/>
      <c r="F223" s="197"/>
      <c r="K223"/>
      <c r="L223"/>
      <c r="M223"/>
      <c r="N223"/>
      <c r="O223"/>
      <c r="P223"/>
      <c r="Q223"/>
      <c r="R223"/>
      <c r="S223"/>
      <c r="T223"/>
      <c r="U223"/>
    </row>
    <row r="224" spans="5:21" ht="12" customHeight="1">
      <c r="E224"/>
      <c r="F224" s="197"/>
      <c r="K224"/>
      <c r="L224"/>
      <c r="M224"/>
      <c r="N224"/>
      <c r="O224"/>
      <c r="P224"/>
      <c r="Q224"/>
      <c r="R224"/>
      <c r="S224"/>
      <c r="T224"/>
      <c r="U224"/>
    </row>
    <row r="225" spans="5:21" ht="12" customHeight="1">
      <c r="E225"/>
      <c r="F225" s="197"/>
      <c r="K225"/>
      <c r="L225"/>
      <c r="M225"/>
      <c r="N225"/>
      <c r="O225"/>
      <c r="P225"/>
      <c r="Q225"/>
      <c r="R225"/>
      <c r="S225"/>
      <c r="T225"/>
      <c r="U225"/>
    </row>
    <row r="226" spans="5:21" ht="12" customHeight="1">
      <c r="E226"/>
      <c r="F226" s="197"/>
      <c r="K226"/>
      <c r="L226"/>
      <c r="M226"/>
      <c r="N226"/>
      <c r="O226"/>
      <c r="P226"/>
      <c r="Q226"/>
      <c r="R226"/>
      <c r="S226"/>
      <c r="T226"/>
      <c r="U226"/>
    </row>
    <row r="227" spans="5:21" ht="12" customHeight="1">
      <c r="E227"/>
      <c r="F227" s="197"/>
      <c r="K227"/>
      <c r="L227"/>
      <c r="M227"/>
      <c r="N227"/>
      <c r="O227"/>
      <c r="P227"/>
      <c r="Q227"/>
      <c r="R227"/>
      <c r="S227"/>
      <c r="T227"/>
      <c r="U227"/>
    </row>
    <row r="228" spans="5:21" ht="12" customHeight="1">
      <c r="E228"/>
      <c r="F228" s="197"/>
      <c r="K228"/>
      <c r="L228"/>
      <c r="M228"/>
      <c r="N228"/>
      <c r="O228"/>
      <c r="P228"/>
      <c r="Q228"/>
      <c r="R228"/>
      <c r="S228"/>
      <c r="T228"/>
      <c r="U228"/>
    </row>
    <row r="229" spans="5:21" ht="12" customHeight="1">
      <c r="E229"/>
      <c r="F229" s="197"/>
      <c r="K229"/>
      <c r="L229"/>
      <c r="M229"/>
      <c r="N229"/>
      <c r="O229"/>
      <c r="P229"/>
      <c r="Q229"/>
      <c r="R229"/>
      <c r="S229"/>
      <c r="T229"/>
      <c r="U229"/>
    </row>
    <row r="230" spans="5:21" ht="12" customHeight="1">
      <c r="E230"/>
      <c r="F230" s="197"/>
      <c r="K230"/>
      <c r="L230"/>
      <c r="M230"/>
      <c r="N230"/>
      <c r="O230"/>
      <c r="P230"/>
      <c r="Q230"/>
      <c r="R230"/>
      <c r="S230"/>
      <c r="T230"/>
      <c r="U230"/>
    </row>
    <row r="231" spans="5:21" ht="12" customHeight="1">
      <c r="E231"/>
      <c r="F231" s="197"/>
      <c r="K231"/>
      <c r="L231"/>
      <c r="M231"/>
      <c r="N231"/>
      <c r="O231"/>
      <c r="P231"/>
      <c r="Q231"/>
      <c r="R231"/>
      <c r="S231"/>
      <c r="T231"/>
      <c r="U231"/>
    </row>
    <row r="232" spans="5:21" ht="12" customHeight="1">
      <c r="E232"/>
      <c r="F232" s="197"/>
      <c r="K232"/>
      <c r="L232"/>
      <c r="M232"/>
      <c r="N232"/>
      <c r="O232"/>
      <c r="P232"/>
      <c r="Q232"/>
      <c r="R232"/>
      <c r="S232"/>
      <c r="T232"/>
      <c r="U232"/>
    </row>
    <row r="233" spans="5:21" ht="12" customHeight="1">
      <c r="E233"/>
      <c r="F233" s="197"/>
      <c r="K233"/>
      <c r="L233"/>
      <c r="M233"/>
      <c r="N233"/>
      <c r="O233"/>
      <c r="P233"/>
      <c r="Q233"/>
      <c r="R233"/>
      <c r="S233"/>
      <c r="T233"/>
      <c r="U233"/>
    </row>
    <row r="234" spans="5:21" ht="12" customHeight="1">
      <c r="E234"/>
      <c r="F234" s="197"/>
      <c r="K234"/>
      <c r="L234"/>
      <c r="M234"/>
      <c r="N234"/>
      <c r="O234"/>
      <c r="P234"/>
      <c r="Q234"/>
      <c r="R234"/>
      <c r="S234"/>
      <c r="T234"/>
      <c r="U234"/>
    </row>
    <row r="235" spans="5:21" ht="12" customHeight="1">
      <c r="E235"/>
      <c r="F235" s="197"/>
      <c r="K235"/>
      <c r="L235"/>
      <c r="M235"/>
      <c r="N235"/>
      <c r="O235"/>
      <c r="P235"/>
      <c r="Q235"/>
      <c r="R235"/>
      <c r="S235"/>
      <c r="T235"/>
      <c r="U235"/>
    </row>
    <row r="236" spans="5:21" ht="12" customHeight="1">
      <c r="E236"/>
      <c r="F236" s="197"/>
      <c r="K236"/>
      <c r="L236"/>
      <c r="M236"/>
      <c r="N236"/>
      <c r="O236"/>
      <c r="P236"/>
      <c r="Q236"/>
      <c r="R236"/>
      <c r="S236"/>
      <c r="T236"/>
      <c r="U236"/>
    </row>
    <row r="237" spans="5:21" ht="12" customHeight="1">
      <c r="E237"/>
      <c r="F237" s="197"/>
      <c r="K237"/>
      <c r="L237"/>
      <c r="M237"/>
      <c r="N237"/>
      <c r="O237"/>
      <c r="P237"/>
      <c r="Q237"/>
      <c r="R237"/>
      <c r="S237"/>
      <c r="T237"/>
      <c r="U237"/>
    </row>
    <row r="238" spans="5:21" ht="12" customHeight="1">
      <c r="E238"/>
      <c r="F238" s="197"/>
      <c r="K238"/>
      <c r="L238"/>
      <c r="M238"/>
      <c r="N238"/>
      <c r="O238"/>
      <c r="P238"/>
      <c r="Q238"/>
      <c r="R238"/>
      <c r="S238"/>
      <c r="T238"/>
      <c r="U238"/>
    </row>
    <row r="239" spans="5:21" ht="12" customHeight="1">
      <c r="E239"/>
      <c r="F239" s="197"/>
      <c r="K239"/>
      <c r="L239"/>
      <c r="M239"/>
      <c r="N239"/>
      <c r="O239"/>
      <c r="P239"/>
      <c r="Q239"/>
      <c r="R239"/>
      <c r="S239"/>
      <c r="T239"/>
      <c r="U239"/>
    </row>
    <row r="240" spans="5:21" ht="12" customHeight="1">
      <c r="E240"/>
      <c r="F240" s="197"/>
      <c r="K240"/>
      <c r="L240"/>
      <c r="M240"/>
      <c r="N240"/>
      <c r="O240"/>
      <c r="P240"/>
      <c r="Q240"/>
      <c r="R240"/>
      <c r="S240"/>
      <c r="T240"/>
      <c r="U240"/>
    </row>
    <row r="241" spans="5:21" ht="12" customHeight="1">
      <c r="E241"/>
      <c r="F241" s="197"/>
      <c r="K241"/>
      <c r="L241"/>
      <c r="M241"/>
      <c r="N241"/>
      <c r="O241"/>
      <c r="P241"/>
      <c r="Q241"/>
      <c r="R241"/>
      <c r="S241"/>
      <c r="T241"/>
      <c r="U241"/>
    </row>
    <row r="242" spans="5:21" ht="12" customHeight="1">
      <c r="E242"/>
      <c r="F242" s="197"/>
      <c r="K242"/>
      <c r="L242"/>
      <c r="M242"/>
      <c r="N242"/>
      <c r="O242"/>
      <c r="P242"/>
      <c r="Q242"/>
      <c r="R242"/>
      <c r="S242"/>
      <c r="T242"/>
      <c r="U242"/>
    </row>
    <row r="243" spans="5:21" ht="12" customHeight="1">
      <c r="E243"/>
      <c r="F243" s="197"/>
      <c r="K243"/>
      <c r="L243"/>
      <c r="M243"/>
      <c r="N243"/>
      <c r="O243"/>
      <c r="P243"/>
      <c r="Q243"/>
      <c r="R243"/>
      <c r="S243"/>
      <c r="T243"/>
      <c r="U243"/>
    </row>
    <row r="244" spans="5:21" ht="12" customHeight="1">
      <c r="E244"/>
      <c r="F244" s="197"/>
      <c r="K244"/>
      <c r="L244"/>
      <c r="M244"/>
      <c r="N244"/>
      <c r="O244"/>
      <c r="P244"/>
      <c r="Q244"/>
      <c r="R244"/>
      <c r="S244"/>
      <c r="T244"/>
      <c r="U244"/>
    </row>
    <row r="245" spans="5:21" ht="12" customHeight="1">
      <c r="E245"/>
      <c r="F245" s="197"/>
      <c r="K245"/>
      <c r="L245"/>
      <c r="M245"/>
      <c r="N245"/>
      <c r="O245"/>
      <c r="P245"/>
      <c r="Q245"/>
      <c r="R245"/>
      <c r="S245"/>
      <c r="T245"/>
      <c r="U245"/>
    </row>
    <row r="246" spans="5:21" ht="12" customHeight="1">
      <c r="E246"/>
      <c r="F246" s="197"/>
      <c r="K246"/>
      <c r="L246"/>
      <c r="M246"/>
      <c r="N246"/>
      <c r="O246"/>
      <c r="P246"/>
      <c r="Q246"/>
      <c r="R246"/>
      <c r="S246"/>
      <c r="T246"/>
      <c r="U246"/>
    </row>
    <row r="247" spans="5:21" ht="12" customHeight="1">
      <c r="E247"/>
      <c r="F247" s="197"/>
      <c r="K247"/>
      <c r="L247"/>
      <c r="M247"/>
      <c r="N247"/>
      <c r="O247"/>
      <c r="P247"/>
      <c r="Q247"/>
      <c r="R247"/>
      <c r="S247"/>
      <c r="T247"/>
      <c r="U247"/>
    </row>
    <row r="248" spans="5:21" ht="12" customHeight="1">
      <c r="E248"/>
      <c r="F248" s="197"/>
      <c r="K248"/>
      <c r="L248"/>
      <c r="M248"/>
      <c r="N248"/>
      <c r="O248"/>
      <c r="P248"/>
      <c r="Q248"/>
      <c r="R248"/>
      <c r="S248"/>
      <c r="T248"/>
      <c r="U248"/>
    </row>
    <row r="249" spans="5:21" ht="12" customHeight="1">
      <c r="E249"/>
      <c r="F249" s="197"/>
      <c r="K249"/>
      <c r="L249"/>
      <c r="M249"/>
      <c r="N249"/>
      <c r="O249"/>
      <c r="P249"/>
      <c r="Q249"/>
      <c r="R249"/>
      <c r="S249"/>
      <c r="T249"/>
      <c r="U249"/>
    </row>
    <row r="250" spans="5:21" ht="12" customHeight="1">
      <c r="E250"/>
      <c r="F250" s="197"/>
      <c r="K250"/>
      <c r="L250"/>
      <c r="M250"/>
      <c r="N250"/>
      <c r="O250"/>
      <c r="P250"/>
      <c r="Q250"/>
      <c r="R250"/>
      <c r="S250"/>
      <c r="T250"/>
      <c r="U250"/>
    </row>
    <row r="251" spans="5:21" ht="12" customHeight="1">
      <c r="E251"/>
      <c r="F251" s="197"/>
      <c r="K251"/>
      <c r="L251"/>
      <c r="M251"/>
      <c r="N251"/>
      <c r="O251"/>
      <c r="P251"/>
      <c r="Q251"/>
      <c r="R251"/>
      <c r="S251"/>
      <c r="T251"/>
      <c r="U251"/>
    </row>
    <row r="252" spans="5:21" ht="12" customHeight="1">
      <c r="E252"/>
      <c r="F252" s="197"/>
      <c r="K252"/>
      <c r="L252"/>
      <c r="M252"/>
      <c r="N252"/>
      <c r="O252"/>
      <c r="P252"/>
      <c r="Q252"/>
      <c r="R252"/>
      <c r="S252"/>
      <c r="T252"/>
      <c r="U252"/>
    </row>
    <row r="253" spans="5:21" ht="12" customHeight="1">
      <c r="E253"/>
      <c r="F253" s="197"/>
      <c r="K253"/>
      <c r="L253"/>
      <c r="M253"/>
      <c r="N253"/>
      <c r="O253"/>
      <c r="P253"/>
      <c r="Q253"/>
      <c r="R253"/>
      <c r="S253"/>
      <c r="T253"/>
      <c r="U253"/>
    </row>
    <row r="254" spans="5:21" ht="12" customHeight="1">
      <c r="E254"/>
      <c r="F254" s="197"/>
      <c r="K254"/>
      <c r="L254"/>
      <c r="M254"/>
      <c r="N254"/>
      <c r="O254"/>
      <c r="P254"/>
      <c r="Q254"/>
      <c r="R254"/>
      <c r="S254"/>
      <c r="T254"/>
      <c r="U254"/>
    </row>
    <row r="255" spans="5:21" ht="12" customHeight="1">
      <c r="E255"/>
      <c r="F255" s="197"/>
      <c r="K255"/>
      <c r="L255"/>
      <c r="M255"/>
      <c r="N255"/>
      <c r="O255"/>
      <c r="P255"/>
      <c r="Q255"/>
      <c r="R255"/>
      <c r="S255"/>
      <c r="T255"/>
      <c r="U255"/>
    </row>
    <row r="256" spans="5:21" ht="12" customHeight="1">
      <c r="E256"/>
      <c r="F256" s="197"/>
      <c r="K256"/>
      <c r="L256"/>
      <c r="M256"/>
      <c r="N256"/>
      <c r="O256"/>
      <c r="P256"/>
      <c r="Q256"/>
      <c r="R256"/>
      <c r="S256"/>
      <c r="T256"/>
      <c r="U256"/>
    </row>
    <row r="257" spans="5:21" ht="12" customHeight="1">
      <c r="E257"/>
      <c r="F257" s="197"/>
      <c r="K257"/>
      <c r="L257"/>
      <c r="M257"/>
      <c r="N257"/>
      <c r="O257"/>
      <c r="P257"/>
      <c r="Q257"/>
      <c r="R257"/>
      <c r="S257"/>
      <c r="T257"/>
      <c r="U257"/>
    </row>
    <row r="258" spans="5:21" ht="12" customHeight="1">
      <c r="E258"/>
      <c r="F258" s="197"/>
      <c r="K258"/>
      <c r="L258"/>
      <c r="M258"/>
      <c r="N258"/>
      <c r="O258"/>
      <c r="P258"/>
      <c r="Q258"/>
      <c r="R258"/>
      <c r="S258"/>
      <c r="T258"/>
      <c r="U258"/>
    </row>
    <row r="259" spans="5:21" ht="12" customHeight="1">
      <c r="E259"/>
      <c r="F259" s="197"/>
      <c r="K259"/>
      <c r="L259"/>
      <c r="M259"/>
      <c r="N259"/>
      <c r="O259"/>
      <c r="P259"/>
      <c r="Q259"/>
      <c r="R259"/>
      <c r="S259"/>
      <c r="T259"/>
      <c r="U259"/>
    </row>
    <row r="260" spans="5:21" ht="12" customHeight="1">
      <c r="E260"/>
      <c r="F260" s="197"/>
      <c r="K260"/>
      <c r="L260"/>
      <c r="M260"/>
      <c r="N260"/>
      <c r="O260"/>
      <c r="P260"/>
      <c r="Q260"/>
      <c r="R260"/>
      <c r="S260"/>
      <c r="T260"/>
      <c r="U260"/>
    </row>
    <row r="261" spans="5:21" ht="12" customHeight="1">
      <c r="E261"/>
      <c r="F261" s="197"/>
      <c r="K261"/>
      <c r="L261"/>
      <c r="M261"/>
      <c r="N261"/>
      <c r="O261"/>
      <c r="P261"/>
      <c r="Q261"/>
      <c r="R261"/>
      <c r="S261"/>
      <c r="T261"/>
      <c r="U261"/>
    </row>
    <row r="262" spans="5:21" ht="12" customHeight="1">
      <c r="E262"/>
      <c r="F262" s="197"/>
      <c r="K262"/>
      <c r="L262"/>
      <c r="M262"/>
      <c r="N262"/>
      <c r="O262"/>
      <c r="P262"/>
      <c r="Q262"/>
      <c r="R262"/>
      <c r="S262"/>
      <c r="T262"/>
      <c r="U262"/>
    </row>
    <row r="263" spans="5:21" ht="12" customHeight="1">
      <c r="E263"/>
      <c r="F263" s="197"/>
      <c r="K263"/>
      <c r="L263"/>
      <c r="M263"/>
      <c r="N263"/>
      <c r="O263"/>
      <c r="P263"/>
      <c r="Q263"/>
      <c r="R263"/>
      <c r="S263"/>
      <c r="T263"/>
      <c r="U263"/>
    </row>
    <row r="264" spans="5:21" ht="12" customHeight="1">
      <c r="E264"/>
      <c r="F264" s="197"/>
      <c r="K264"/>
      <c r="L264"/>
      <c r="M264"/>
      <c r="N264"/>
      <c r="O264"/>
      <c r="P264"/>
      <c r="Q264"/>
      <c r="R264"/>
      <c r="S264"/>
      <c r="T264"/>
      <c r="U264"/>
    </row>
    <row r="265" spans="5:21" ht="12" customHeight="1">
      <c r="E265"/>
      <c r="F265" s="197"/>
      <c r="K265"/>
      <c r="L265"/>
      <c r="M265"/>
      <c r="N265"/>
      <c r="O265"/>
      <c r="P265"/>
      <c r="Q265"/>
      <c r="R265"/>
      <c r="S265"/>
      <c r="T265"/>
      <c r="U265"/>
    </row>
    <row r="266" spans="5:21" ht="12" customHeight="1">
      <c r="E266"/>
      <c r="F266" s="197"/>
      <c r="K266"/>
      <c r="L266"/>
      <c r="M266"/>
      <c r="N266"/>
      <c r="O266"/>
      <c r="P266"/>
      <c r="Q266"/>
      <c r="R266"/>
      <c r="S266"/>
      <c r="T266"/>
      <c r="U266"/>
    </row>
    <row r="267" spans="5:21" ht="12" customHeight="1">
      <c r="E267"/>
      <c r="F267" s="197"/>
      <c r="K267"/>
      <c r="L267"/>
      <c r="M267"/>
      <c r="N267"/>
      <c r="O267"/>
      <c r="P267"/>
      <c r="Q267"/>
      <c r="R267"/>
      <c r="S267"/>
      <c r="T267"/>
      <c r="U267"/>
    </row>
    <row r="268" spans="5:21" ht="12" customHeight="1">
      <c r="E268"/>
      <c r="F268" s="197"/>
      <c r="K268"/>
      <c r="L268"/>
      <c r="M268"/>
      <c r="N268"/>
      <c r="O268"/>
      <c r="P268"/>
      <c r="Q268"/>
      <c r="R268"/>
      <c r="S268"/>
      <c r="T268"/>
      <c r="U268"/>
    </row>
    <row r="269" spans="5:21" ht="12" customHeight="1">
      <c r="E269"/>
      <c r="F269" s="197"/>
      <c r="K269"/>
      <c r="L269"/>
      <c r="M269"/>
      <c r="N269"/>
      <c r="O269"/>
      <c r="P269"/>
      <c r="Q269"/>
      <c r="R269"/>
      <c r="S269"/>
      <c r="T269"/>
      <c r="U269"/>
    </row>
    <row r="270" spans="5:21" ht="12" customHeight="1">
      <c r="E270"/>
      <c r="F270" s="197"/>
      <c r="K270"/>
      <c r="L270"/>
      <c r="M270"/>
      <c r="N270"/>
      <c r="O270"/>
      <c r="P270"/>
      <c r="Q270"/>
      <c r="R270"/>
      <c r="S270"/>
      <c r="T270"/>
      <c r="U270"/>
    </row>
    <row r="271" spans="5:21" ht="12" customHeight="1">
      <c r="E271"/>
      <c r="F271" s="197"/>
      <c r="K271"/>
      <c r="L271"/>
      <c r="M271"/>
      <c r="N271"/>
      <c r="O271"/>
      <c r="P271"/>
      <c r="Q271"/>
      <c r="R271"/>
      <c r="S271"/>
      <c r="T271"/>
      <c r="U271"/>
    </row>
    <row r="272" spans="5:21" ht="12" customHeight="1">
      <c r="E272"/>
      <c r="F272" s="197"/>
      <c r="K272"/>
      <c r="L272"/>
      <c r="M272"/>
      <c r="N272"/>
      <c r="O272"/>
      <c r="P272"/>
      <c r="Q272"/>
      <c r="R272"/>
      <c r="S272"/>
      <c r="T272"/>
      <c r="U272"/>
    </row>
    <row r="273" spans="5:21" ht="12" customHeight="1">
      <c r="E273"/>
      <c r="F273" s="197"/>
      <c r="K273"/>
      <c r="L273"/>
      <c r="M273"/>
      <c r="N273"/>
      <c r="O273"/>
      <c r="P273"/>
      <c r="Q273"/>
      <c r="R273"/>
      <c r="S273"/>
      <c r="T273"/>
      <c r="U273"/>
    </row>
    <row r="274" spans="5:21" ht="12" customHeight="1">
      <c r="E274"/>
      <c r="F274" s="197"/>
      <c r="K274"/>
      <c r="L274"/>
      <c r="M274"/>
      <c r="N274"/>
      <c r="O274"/>
      <c r="P274"/>
      <c r="Q274"/>
      <c r="R274"/>
      <c r="S274"/>
      <c r="T274"/>
      <c r="U274"/>
    </row>
    <row r="275" spans="5:21" ht="12" customHeight="1">
      <c r="E275"/>
      <c r="F275" s="197"/>
      <c r="K275"/>
      <c r="L275"/>
      <c r="M275"/>
      <c r="N275"/>
      <c r="O275"/>
      <c r="P275"/>
      <c r="Q275"/>
      <c r="R275"/>
      <c r="S275"/>
      <c r="T275"/>
      <c r="U275"/>
    </row>
    <row r="276" spans="5:21" ht="12" customHeight="1">
      <c r="E276"/>
      <c r="F276" s="197"/>
      <c r="K276"/>
      <c r="L276"/>
      <c r="M276"/>
      <c r="N276"/>
      <c r="O276"/>
      <c r="P276"/>
      <c r="Q276"/>
      <c r="R276"/>
      <c r="S276"/>
      <c r="T276"/>
      <c r="U276"/>
    </row>
    <row r="277" spans="5:21" ht="12" customHeight="1">
      <c r="E277"/>
      <c r="F277" s="197"/>
      <c r="K277"/>
      <c r="L277"/>
      <c r="M277"/>
      <c r="N277"/>
      <c r="O277"/>
      <c r="P277"/>
      <c r="Q277"/>
      <c r="R277"/>
      <c r="S277"/>
      <c r="T277"/>
      <c r="U277"/>
    </row>
    <row r="278" spans="5:21" ht="12" customHeight="1">
      <c r="E278"/>
      <c r="F278" s="197"/>
      <c r="K278"/>
      <c r="L278"/>
      <c r="M278"/>
      <c r="N278"/>
      <c r="O278"/>
      <c r="P278"/>
      <c r="Q278"/>
      <c r="R278"/>
      <c r="S278"/>
      <c r="T278"/>
      <c r="U278"/>
    </row>
    <row r="279" spans="5:21" ht="12" customHeight="1">
      <c r="E279"/>
      <c r="F279" s="197"/>
      <c r="K279"/>
      <c r="L279"/>
      <c r="M279"/>
      <c r="N279"/>
      <c r="O279"/>
      <c r="P279"/>
      <c r="Q279"/>
      <c r="R279"/>
      <c r="S279"/>
      <c r="T279"/>
      <c r="U279"/>
    </row>
    <row r="280" spans="5:21" ht="12" customHeight="1">
      <c r="E280"/>
      <c r="F280" s="197"/>
      <c r="K280"/>
      <c r="L280"/>
      <c r="M280"/>
      <c r="N280"/>
      <c r="O280"/>
      <c r="P280"/>
      <c r="Q280"/>
      <c r="R280"/>
      <c r="S280"/>
      <c r="T280"/>
      <c r="U280"/>
    </row>
    <row r="281" spans="5:21" ht="12" customHeight="1">
      <c r="E281"/>
      <c r="F281" s="197"/>
      <c r="K281"/>
      <c r="L281"/>
      <c r="M281"/>
      <c r="N281"/>
      <c r="O281"/>
      <c r="P281"/>
      <c r="Q281"/>
      <c r="R281"/>
      <c r="S281"/>
      <c r="T281"/>
      <c r="U281"/>
    </row>
    <row r="282" spans="5:21" ht="12" customHeight="1">
      <c r="E282"/>
      <c r="F282" s="197"/>
      <c r="K282"/>
      <c r="L282"/>
      <c r="M282"/>
      <c r="N282"/>
      <c r="O282"/>
      <c r="P282"/>
      <c r="Q282"/>
      <c r="R282"/>
      <c r="S282"/>
      <c r="T282"/>
      <c r="U282"/>
    </row>
    <row r="283" spans="5:21" ht="12" customHeight="1">
      <c r="E283"/>
      <c r="F283" s="197"/>
      <c r="K283"/>
      <c r="L283"/>
      <c r="M283"/>
      <c r="N283"/>
      <c r="O283"/>
      <c r="P283"/>
      <c r="Q283"/>
      <c r="R283"/>
      <c r="S283"/>
      <c r="T283"/>
      <c r="U283"/>
    </row>
    <row r="284" spans="5:21" ht="12" customHeight="1">
      <c r="E284"/>
      <c r="F284" s="197"/>
      <c r="K284"/>
      <c r="L284"/>
      <c r="M284"/>
      <c r="N284"/>
      <c r="O284"/>
      <c r="P284"/>
      <c r="Q284"/>
      <c r="R284"/>
      <c r="S284"/>
      <c r="T284"/>
      <c r="U284"/>
    </row>
    <row r="285" spans="5:21" ht="12" customHeight="1">
      <c r="E285"/>
      <c r="F285" s="197"/>
      <c r="K285"/>
      <c r="L285"/>
      <c r="M285"/>
      <c r="N285"/>
      <c r="O285"/>
      <c r="P285"/>
      <c r="Q285"/>
      <c r="R285"/>
      <c r="S285"/>
      <c r="T285"/>
      <c r="U285"/>
    </row>
    <row r="286" spans="5:21" ht="12" customHeight="1">
      <c r="E286"/>
      <c r="F286" s="197"/>
      <c r="K286"/>
      <c r="L286"/>
      <c r="M286"/>
      <c r="N286"/>
      <c r="O286"/>
      <c r="P286"/>
      <c r="Q286"/>
      <c r="R286"/>
      <c r="S286"/>
      <c r="T286"/>
      <c r="U286"/>
    </row>
    <row r="287" spans="5:21" ht="12" customHeight="1">
      <c r="E287"/>
      <c r="F287" s="197"/>
      <c r="K287"/>
      <c r="L287"/>
      <c r="M287"/>
      <c r="N287"/>
      <c r="O287"/>
      <c r="P287"/>
      <c r="Q287"/>
      <c r="R287"/>
      <c r="S287"/>
      <c r="T287"/>
      <c r="U287"/>
    </row>
    <row r="288" spans="5:21" ht="12" customHeight="1">
      <c r="E288"/>
      <c r="F288" s="197"/>
      <c r="K288"/>
      <c r="L288"/>
      <c r="M288"/>
      <c r="N288"/>
      <c r="O288"/>
      <c r="P288"/>
      <c r="Q288"/>
      <c r="R288"/>
      <c r="S288"/>
      <c r="T288"/>
      <c r="U288"/>
    </row>
    <row r="289" spans="5:21" ht="12" customHeight="1">
      <c r="E289"/>
      <c r="F289" s="197"/>
      <c r="K289"/>
      <c r="L289"/>
      <c r="M289"/>
      <c r="N289"/>
      <c r="O289"/>
      <c r="P289"/>
      <c r="Q289"/>
      <c r="R289"/>
      <c r="S289"/>
      <c r="T289"/>
      <c r="U289"/>
    </row>
    <row r="290" spans="5:21" ht="12" customHeight="1">
      <c r="E290"/>
      <c r="F290" s="197"/>
      <c r="K290"/>
      <c r="L290"/>
      <c r="M290"/>
      <c r="N290"/>
      <c r="O290"/>
      <c r="P290"/>
      <c r="Q290"/>
      <c r="R290"/>
      <c r="S290"/>
      <c r="T290"/>
      <c r="U290"/>
    </row>
    <row r="291" spans="5:21" ht="12" customHeight="1">
      <c r="E291"/>
      <c r="F291" s="197"/>
    </row>
    <row r="292" spans="5:21" ht="12" customHeight="1">
      <c r="E292"/>
      <c r="F292" s="197"/>
    </row>
    <row r="293" spans="5:21" ht="12" customHeight="1">
      <c r="E293"/>
      <c r="F293" s="197"/>
    </row>
    <row r="294" spans="5:21" ht="12" customHeight="1">
      <c r="E294"/>
      <c r="F294" s="197"/>
    </row>
    <row r="295" spans="5:21" ht="12" customHeight="1">
      <c r="E295"/>
      <c r="F295" s="197"/>
    </row>
    <row r="296" spans="5:21" ht="12" customHeight="1">
      <c r="E296"/>
      <c r="F296" s="197"/>
    </row>
    <row r="297" spans="5:21" ht="12" customHeight="1">
      <c r="E297"/>
      <c r="F297" s="197"/>
    </row>
    <row r="298" spans="5:21" ht="12" customHeight="1">
      <c r="E298"/>
      <c r="F298" s="197"/>
    </row>
    <row r="299" spans="5:21" ht="12" customHeight="1">
      <c r="E299"/>
      <c r="F299" s="197"/>
    </row>
    <row r="300" spans="5:21" ht="12" customHeight="1">
      <c r="E300"/>
      <c r="F300" s="197"/>
    </row>
    <row r="301" spans="5:21" ht="12" customHeight="1">
      <c r="E301"/>
      <c r="F301" s="197"/>
    </row>
    <row r="302" spans="5:21" ht="12" customHeight="1">
      <c r="E302"/>
      <c r="F302" s="197"/>
    </row>
    <row r="303" spans="5:21" ht="12" customHeight="1">
      <c r="E303"/>
      <c r="F303" s="197"/>
    </row>
    <row r="304" spans="5:21" ht="12" customHeight="1">
      <c r="E304"/>
      <c r="F304" s="197"/>
    </row>
    <row r="305" spans="5:6" ht="12" customHeight="1">
      <c r="E305"/>
      <c r="F305" s="197"/>
    </row>
    <row r="306" spans="5:6" ht="12" customHeight="1">
      <c r="E306"/>
      <c r="F306" s="197"/>
    </row>
    <row r="307" spans="5:6" ht="12" customHeight="1">
      <c r="E307"/>
      <c r="F307" s="197"/>
    </row>
    <row r="308" spans="5:6" ht="12" customHeight="1">
      <c r="E308"/>
      <c r="F308" s="197"/>
    </row>
    <row r="309" spans="5:6" ht="12" customHeight="1">
      <c r="E309"/>
      <c r="F309" s="197"/>
    </row>
    <row r="310" spans="5:6" ht="12" customHeight="1">
      <c r="E310"/>
      <c r="F310" s="197"/>
    </row>
    <row r="311" spans="5:6" ht="12" customHeight="1">
      <c r="E311"/>
      <c r="F311" s="197"/>
    </row>
    <row r="312" spans="5:6" ht="12" customHeight="1">
      <c r="E312"/>
      <c r="F312" s="197"/>
    </row>
    <row r="313" spans="5:6" ht="12" customHeight="1">
      <c r="E313"/>
      <c r="F313" s="197"/>
    </row>
    <row r="314" spans="5:6" ht="12" customHeight="1">
      <c r="E314"/>
      <c r="F314" s="197"/>
    </row>
    <row r="315" spans="5:6" ht="12" customHeight="1">
      <c r="E315"/>
      <c r="F315" s="197"/>
    </row>
    <row r="316" spans="5:6" ht="12" customHeight="1">
      <c r="E316"/>
      <c r="F316" s="197"/>
    </row>
    <row r="317" spans="5:6" ht="12" customHeight="1">
      <c r="E317"/>
      <c r="F317" s="197"/>
    </row>
    <row r="318" spans="5:6" ht="12" customHeight="1">
      <c r="E318"/>
      <c r="F318" s="197"/>
    </row>
    <row r="319" spans="5:6" ht="12" customHeight="1">
      <c r="E319"/>
      <c r="F319" s="197"/>
    </row>
    <row r="320" spans="5:6" ht="12" customHeight="1">
      <c r="E320"/>
      <c r="F320" s="197"/>
    </row>
    <row r="321" spans="5:6" ht="12" customHeight="1">
      <c r="E321"/>
      <c r="F321" s="197"/>
    </row>
    <row r="322" spans="5:6" ht="12" customHeight="1">
      <c r="E322"/>
      <c r="F322" s="197"/>
    </row>
    <row r="323" spans="5:6" ht="12" customHeight="1">
      <c r="E323"/>
      <c r="F323" s="197"/>
    </row>
    <row r="324" spans="5:6" ht="12" customHeight="1">
      <c r="E324"/>
      <c r="F324" s="197"/>
    </row>
    <row r="325" spans="5:6" ht="12" customHeight="1">
      <c r="E325"/>
      <c r="F325" s="197"/>
    </row>
    <row r="326" spans="5:6" ht="12" customHeight="1">
      <c r="E326"/>
      <c r="F326" s="197"/>
    </row>
    <row r="327" spans="5:6" ht="12" customHeight="1">
      <c r="E327"/>
      <c r="F327" s="197"/>
    </row>
    <row r="328" spans="5:6" ht="12" customHeight="1">
      <c r="E328"/>
      <c r="F328" s="197"/>
    </row>
    <row r="329" spans="5:6" ht="12" customHeight="1">
      <c r="E329"/>
      <c r="F329" s="197"/>
    </row>
    <row r="330" spans="5:6" ht="12" customHeight="1">
      <c r="E330"/>
      <c r="F330" s="197"/>
    </row>
    <row r="331" spans="5:6" ht="12" customHeight="1">
      <c r="E331"/>
      <c r="F331" s="197"/>
    </row>
    <row r="332" spans="5:6" ht="12" customHeight="1">
      <c r="E332"/>
      <c r="F332" s="197"/>
    </row>
    <row r="333" spans="5:6" ht="12" customHeight="1">
      <c r="E333"/>
      <c r="F333" s="197"/>
    </row>
    <row r="334" spans="5:6" ht="12" customHeight="1">
      <c r="E334"/>
      <c r="F334" s="197"/>
    </row>
    <row r="335" spans="5:6" ht="12" customHeight="1">
      <c r="E335"/>
      <c r="F335" s="197"/>
    </row>
    <row r="336" spans="5:6" ht="12" customHeight="1">
      <c r="E336"/>
      <c r="F336" s="197"/>
    </row>
    <row r="337" spans="5:6" ht="12" customHeight="1">
      <c r="E337"/>
      <c r="F337" s="197"/>
    </row>
    <row r="338" spans="5:6" ht="12" customHeight="1">
      <c r="E338"/>
      <c r="F338" s="197"/>
    </row>
    <row r="339" spans="5:6" ht="12" customHeight="1">
      <c r="E339"/>
      <c r="F339" s="197"/>
    </row>
    <row r="340" spans="5:6" ht="12" customHeight="1">
      <c r="E340"/>
      <c r="F340" s="197"/>
    </row>
    <row r="341" spans="5:6" ht="12" customHeight="1">
      <c r="E341"/>
      <c r="F341" s="197"/>
    </row>
    <row r="342" spans="5:6" ht="12" customHeight="1">
      <c r="E342"/>
      <c r="F342" s="197"/>
    </row>
    <row r="343" spans="5:6" ht="12" customHeight="1">
      <c r="E343"/>
      <c r="F343" s="197"/>
    </row>
    <row r="344" spans="5:6" ht="12" customHeight="1">
      <c r="E344"/>
      <c r="F344" s="197"/>
    </row>
    <row r="345" spans="5:6" ht="12" customHeight="1">
      <c r="E345"/>
      <c r="F345" s="197"/>
    </row>
    <row r="346" spans="5:6" ht="12" customHeight="1">
      <c r="E346"/>
      <c r="F346" s="197"/>
    </row>
    <row r="347" spans="5:6" ht="12" customHeight="1">
      <c r="E347"/>
      <c r="F347" s="197"/>
    </row>
    <row r="348" spans="5:6" ht="12" customHeight="1">
      <c r="E348"/>
      <c r="F348" s="197"/>
    </row>
    <row r="349" spans="5:6" ht="12" customHeight="1">
      <c r="E349"/>
      <c r="F349" s="197"/>
    </row>
    <row r="350" spans="5:6" ht="12" customHeight="1">
      <c r="E350"/>
      <c r="F350" s="197"/>
    </row>
    <row r="351" spans="5:6" ht="12" customHeight="1">
      <c r="E351"/>
      <c r="F351" s="197"/>
    </row>
    <row r="352" spans="5:6" ht="12" customHeight="1">
      <c r="E352"/>
      <c r="F352" s="197"/>
    </row>
    <row r="353" spans="5:6" ht="12" customHeight="1">
      <c r="E353"/>
      <c r="F353" s="197"/>
    </row>
    <row r="354" spans="5:6" ht="12" customHeight="1">
      <c r="E354"/>
      <c r="F354" s="197"/>
    </row>
    <row r="355" spans="5:6" ht="12" customHeight="1">
      <c r="E355"/>
      <c r="F355" s="197"/>
    </row>
    <row r="356" spans="5:6" ht="12" customHeight="1">
      <c r="E356"/>
      <c r="F356" s="197"/>
    </row>
    <row r="357" spans="5:6" ht="12" customHeight="1">
      <c r="E357"/>
      <c r="F357" s="197"/>
    </row>
    <row r="358" spans="5:6" ht="12" customHeight="1">
      <c r="E358"/>
      <c r="F358" s="197"/>
    </row>
    <row r="359" spans="5:6" ht="12" customHeight="1">
      <c r="E359"/>
      <c r="F359" s="197"/>
    </row>
    <row r="360" spans="5:6" ht="12" customHeight="1">
      <c r="E360"/>
      <c r="F360" s="197"/>
    </row>
    <row r="361" spans="5:6" ht="12" customHeight="1">
      <c r="E361"/>
      <c r="F361" s="197"/>
    </row>
    <row r="362" spans="5:6" ht="12" customHeight="1">
      <c r="E362"/>
      <c r="F362" s="197"/>
    </row>
    <row r="363" spans="5:6" ht="12" customHeight="1">
      <c r="E363"/>
      <c r="F363" s="197"/>
    </row>
    <row r="364" spans="5:6" ht="12" customHeight="1">
      <c r="E364"/>
      <c r="F364" s="197"/>
    </row>
    <row r="365" spans="5:6" ht="12" customHeight="1">
      <c r="E365"/>
      <c r="F365" s="197"/>
    </row>
    <row r="366" spans="5:6" ht="12" customHeight="1">
      <c r="E366"/>
      <c r="F366" s="197"/>
    </row>
    <row r="367" spans="5:6" ht="12" customHeight="1">
      <c r="E367"/>
      <c r="F367" s="197"/>
    </row>
    <row r="368" spans="5:6" ht="12" customHeight="1">
      <c r="E368"/>
      <c r="F368" s="197"/>
    </row>
    <row r="369" spans="5:6" ht="12" customHeight="1">
      <c r="E369"/>
      <c r="F369" s="197"/>
    </row>
    <row r="370" spans="5:6" ht="12" customHeight="1">
      <c r="E370"/>
      <c r="F370" s="197"/>
    </row>
    <row r="371" spans="5:6" ht="12" customHeight="1">
      <c r="E371"/>
      <c r="F371" s="197"/>
    </row>
    <row r="372" spans="5:6" ht="12" customHeight="1">
      <c r="E372"/>
      <c r="F372" s="197"/>
    </row>
    <row r="373" spans="5:6" ht="12" customHeight="1">
      <c r="E373"/>
      <c r="F373" s="197"/>
    </row>
    <row r="374" spans="5:6" ht="12" customHeight="1">
      <c r="E374"/>
      <c r="F374" s="197"/>
    </row>
    <row r="375" spans="5:6" ht="12" customHeight="1">
      <c r="E375"/>
      <c r="F375" s="197"/>
    </row>
    <row r="376" spans="5:6" ht="12" customHeight="1">
      <c r="E376"/>
      <c r="F376" s="197"/>
    </row>
    <row r="377" spans="5:6" ht="12" customHeight="1">
      <c r="E377"/>
      <c r="F377" s="197"/>
    </row>
    <row r="378" spans="5:6" ht="12" customHeight="1">
      <c r="E378"/>
      <c r="F378" s="197"/>
    </row>
    <row r="379" spans="5:6" ht="12" customHeight="1">
      <c r="E379"/>
      <c r="F379" s="197"/>
    </row>
    <row r="380" spans="5:6" ht="12" customHeight="1">
      <c r="E380"/>
      <c r="F380" s="197"/>
    </row>
    <row r="381" spans="5:6" ht="12" customHeight="1">
      <c r="E381"/>
      <c r="F381" s="197"/>
    </row>
    <row r="382" spans="5:6" ht="12" customHeight="1">
      <c r="E382"/>
      <c r="F382" s="197"/>
    </row>
    <row r="383" spans="5:6" ht="12" customHeight="1">
      <c r="E383"/>
      <c r="F383" s="197"/>
    </row>
    <row r="384" spans="5:6" ht="12" customHeight="1">
      <c r="E384"/>
      <c r="F384" s="197"/>
    </row>
    <row r="385" spans="5:6" ht="12" customHeight="1">
      <c r="E385"/>
      <c r="F385" s="197"/>
    </row>
    <row r="386" spans="5:6" ht="12" customHeight="1">
      <c r="E386"/>
      <c r="F386" s="197"/>
    </row>
    <row r="387" spans="5:6" ht="12" customHeight="1">
      <c r="E387"/>
      <c r="F387" s="197"/>
    </row>
    <row r="388" spans="5:6" ht="12" customHeight="1">
      <c r="E388"/>
      <c r="F388" s="197"/>
    </row>
    <row r="389" spans="5:6" ht="12" customHeight="1">
      <c r="E389"/>
      <c r="F389" s="197"/>
    </row>
    <row r="390" spans="5:6" ht="12" customHeight="1">
      <c r="E390"/>
      <c r="F390" s="197"/>
    </row>
    <row r="391" spans="5:6" ht="12" customHeight="1">
      <c r="E391"/>
      <c r="F391" s="197"/>
    </row>
    <row r="392" spans="5:6" ht="12" customHeight="1">
      <c r="E392"/>
      <c r="F392" s="197"/>
    </row>
    <row r="393" spans="5:6" ht="12" customHeight="1">
      <c r="E393"/>
      <c r="F393" s="197"/>
    </row>
    <row r="394" spans="5:6" ht="12" customHeight="1">
      <c r="E394"/>
      <c r="F394" s="197"/>
    </row>
    <row r="395" spans="5:6" ht="12" customHeight="1">
      <c r="E395"/>
      <c r="F395" s="197"/>
    </row>
    <row r="396" spans="5:6" ht="12" customHeight="1">
      <c r="E396"/>
      <c r="F396" s="197"/>
    </row>
    <row r="397" spans="5:6" ht="12" customHeight="1">
      <c r="E397"/>
      <c r="F397" s="197"/>
    </row>
    <row r="398" spans="5:6" ht="12" customHeight="1">
      <c r="E398"/>
      <c r="F398" s="197"/>
    </row>
    <row r="399" spans="5:6" ht="12" customHeight="1">
      <c r="E399"/>
      <c r="F399" s="197"/>
    </row>
    <row r="400" spans="5:6" ht="12" customHeight="1">
      <c r="E400"/>
      <c r="F400" s="197"/>
    </row>
    <row r="401" spans="5:6" ht="12" customHeight="1">
      <c r="E401"/>
      <c r="F401" s="197"/>
    </row>
    <row r="402" spans="5:6" ht="12" customHeight="1">
      <c r="E402"/>
      <c r="F402" s="197"/>
    </row>
    <row r="403" spans="5:6" ht="12" customHeight="1">
      <c r="E403"/>
      <c r="F403" s="197"/>
    </row>
    <row r="404" spans="5:6" ht="12" customHeight="1">
      <c r="E404"/>
      <c r="F404" s="197"/>
    </row>
    <row r="405" spans="5:6" ht="12" customHeight="1">
      <c r="E405"/>
      <c r="F405" s="197"/>
    </row>
    <row r="406" spans="5:6" ht="12" customHeight="1">
      <c r="E406"/>
      <c r="F406" s="197"/>
    </row>
    <row r="407" spans="5:6" ht="12" customHeight="1">
      <c r="E407"/>
      <c r="F407" s="197"/>
    </row>
    <row r="408" spans="5:6" ht="12" customHeight="1">
      <c r="E408"/>
      <c r="F408" s="197"/>
    </row>
    <row r="409" spans="5:6" ht="12" customHeight="1">
      <c r="E409"/>
      <c r="F409" s="197"/>
    </row>
    <row r="410" spans="5:6" ht="12" customHeight="1">
      <c r="E410"/>
      <c r="F410" s="197"/>
    </row>
    <row r="411" spans="5:6" ht="12" customHeight="1">
      <c r="E411"/>
      <c r="F411" s="197"/>
    </row>
    <row r="412" spans="5:6" ht="12" customHeight="1">
      <c r="E412"/>
      <c r="F412" s="197"/>
    </row>
    <row r="413" spans="5:6" ht="12" customHeight="1">
      <c r="E413"/>
      <c r="F413" s="197"/>
    </row>
    <row r="414" spans="5:6" ht="12" customHeight="1">
      <c r="E414"/>
      <c r="F414" s="197"/>
    </row>
    <row r="415" spans="5:6" ht="12" customHeight="1">
      <c r="E415"/>
      <c r="F415" s="197"/>
    </row>
    <row r="416" spans="5:6" ht="12" customHeight="1">
      <c r="E416"/>
      <c r="F416" s="197"/>
    </row>
    <row r="417" spans="5:6" ht="12" customHeight="1">
      <c r="E417"/>
      <c r="F417" s="197"/>
    </row>
    <row r="418" spans="5:6" ht="12" customHeight="1">
      <c r="E418"/>
      <c r="F418" s="197"/>
    </row>
    <row r="419" spans="5:6" ht="12" customHeight="1">
      <c r="E419"/>
      <c r="F419" s="197"/>
    </row>
    <row r="420" spans="5:6" ht="12" customHeight="1">
      <c r="E420"/>
      <c r="F420" s="197"/>
    </row>
    <row r="421" spans="5:6" ht="12" customHeight="1">
      <c r="E421"/>
      <c r="F421" s="197"/>
    </row>
    <row r="422" spans="5:6" ht="12" customHeight="1">
      <c r="E422"/>
      <c r="F422" s="197"/>
    </row>
    <row r="423" spans="5:6" ht="12" customHeight="1">
      <c r="E423"/>
      <c r="F423" s="197"/>
    </row>
    <row r="424" spans="5:6" ht="12" customHeight="1">
      <c r="E424"/>
      <c r="F424" s="197"/>
    </row>
    <row r="425" spans="5:6" ht="12" customHeight="1">
      <c r="E425"/>
      <c r="F425" s="197"/>
    </row>
    <row r="426" spans="5:6" ht="12" customHeight="1">
      <c r="E426"/>
      <c r="F426" s="197"/>
    </row>
    <row r="427" spans="5:6" ht="12" customHeight="1">
      <c r="E427"/>
      <c r="F427" s="197"/>
    </row>
    <row r="428" spans="5:6" ht="12" customHeight="1">
      <c r="E428"/>
      <c r="F428" s="197"/>
    </row>
    <row r="429" spans="5:6" ht="12" customHeight="1">
      <c r="E429"/>
      <c r="F429" s="197"/>
    </row>
    <row r="430" spans="5:6" ht="12" customHeight="1">
      <c r="E430"/>
      <c r="F430" s="197"/>
    </row>
    <row r="431" spans="5:6" ht="12" customHeight="1">
      <c r="E431"/>
      <c r="F431" s="197"/>
    </row>
    <row r="432" spans="5:6" ht="12" customHeight="1">
      <c r="E432"/>
      <c r="F432" s="197"/>
    </row>
    <row r="433" spans="5:6" ht="12" customHeight="1">
      <c r="E433"/>
      <c r="F433" s="197"/>
    </row>
    <row r="434" spans="5:6" ht="12" customHeight="1">
      <c r="E434"/>
      <c r="F434" s="197"/>
    </row>
    <row r="435" spans="5:6" ht="12" customHeight="1">
      <c r="E435"/>
      <c r="F435" s="197"/>
    </row>
    <row r="436" spans="5:6" ht="12" customHeight="1">
      <c r="E436"/>
      <c r="F436" s="197"/>
    </row>
    <row r="437" spans="5:6" ht="12" customHeight="1">
      <c r="E437"/>
      <c r="F437" s="197"/>
    </row>
    <row r="438" spans="5:6" ht="12" customHeight="1">
      <c r="E438"/>
      <c r="F438" s="197"/>
    </row>
    <row r="439" spans="5:6" ht="12" customHeight="1">
      <c r="E439"/>
      <c r="F439" s="197"/>
    </row>
    <row r="440" spans="5:6" ht="12" customHeight="1">
      <c r="E440"/>
      <c r="F440" s="197"/>
    </row>
    <row r="441" spans="5:6" ht="12" customHeight="1">
      <c r="E441"/>
      <c r="F441" s="197"/>
    </row>
    <row r="442" spans="5:6" ht="12" customHeight="1">
      <c r="E442"/>
      <c r="F442" s="197"/>
    </row>
    <row r="443" spans="5:6" ht="12" customHeight="1">
      <c r="E443"/>
      <c r="F443" s="197"/>
    </row>
    <row r="444" spans="5:6" ht="12" customHeight="1">
      <c r="E444"/>
      <c r="F444" s="197"/>
    </row>
    <row r="445" spans="5:6" ht="12" customHeight="1">
      <c r="E445"/>
      <c r="F445" s="197"/>
    </row>
    <row r="446" spans="5:6" ht="12" customHeight="1">
      <c r="E446"/>
      <c r="F446" s="197"/>
    </row>
    <row r="447" spans="5:6" ht="12" customHeight="1">
      <c r="E447"/>
      <c r="F447" s="197"/>
    </row>
    <row r="448" spans="5:6" ht="12" customHeight="1">
      <c r="E448"/>
      <c r="F448" s="197"/>
    </row>
    <row r="449" spans="5:6" ht="12" customHeight="1">
      <c r="E449"/>
      <c r="F449" s="197"/>
    </row>
    <row r="450" spans="5:6" ht="12" customHeight="1">
      <c r="E450"/>
      <c r="F450" s="197"/>
    </row>
    <row r="451" spans="5:6" ht="12" customHeight="1">
      <c r="E451"/>
      <c r="F451" s="197"/>
    </row>
    <row r="452" spans="5:6" ht="12" customHeight="1">
      <c r="E452"/>
      <c r="F452" s="197"/>
    </row>
    <row r="453" spans="5:6" ht="12" customHeight="1">
      <c r="E453"/>
      <c r="F453" s="197"/>
    </row>
    <row r="454" spans="5:6" ht="12" customHeight="1">
      <c r="E454"/>
      <c r="F454" s="197"/>
    </row>
    <row r="455" spans="5:6" ht="12" customHeight="1">
      <c r="E455"/>
      <c r="F455" s="197"/>
    </row>
    <row r="456" spans="5:6" ht="12" customHeight="1">
      <c r="E456"/>
      <c r="F456" s="197"/>
    </row>
    <row r="457" spans="5:6" ht="12" customHeight="1">
      <c r="E457"/>
      <c r="F457" s="197"/>
    </row>
    <row r="458" spans="5:6" ht="12" customHeight="1">
      <c r="E458"/>
      <c r="F458" s="197"/>
    </row>
    <row r="459" spans="5:6" ht="12" customHeight="1">
      <c r="E459"/>
      <c r="F459" s="197"/>
    </row>
    <row r="460" spans="5:6" ht="12" customHeight="1">
      <c r="E460"/>
      <c r="F460" s="197"/>
    </row>
    <row r="461" spans="5:6" ht="12" customHeight="1">
      <c r="E461"/>
      <c r="F461" s="197"/>
    </row>
    <row r="462" spans="5:6" ht="12" customHeight="1">
      <c r="E462"/>
      <c r="F462" s="197"/>
    </row>
    <row r="463" spans="5:6" ht="12" customHeight="1">
      <c r="E463"/>
      <c r="F463" s="197"/>
    </row>
    <row r="464" spans="5:6" ht="12" customHeight="1">
      <c r="E464"/>
      <c r="F464" s="197"/>
    </row>
    <row r="465" spans="5:6" ht="12" customHeight="1">
      <c r="E465"/>
      <c r="F465" s="197"/>
    </row>
    <row r="466" spans="5:6" ht="12" customHeight="1">
      <c r="E466"/>
      <c r="F466" s="197"/>
    </row>
    <row r="467" spans="5:6" ht="12" customHeight="1">
      <c r="E467"/>
      <c r="F467" s="197"/>
    </row>
    <row r="468" spans="5:6" ht="12" customHeight="1">
      <c r="E468"/>
      <c r="F468" s="197"/>
    </row>
    <row r="469" spans="5:6" ht="12" customHeight="1">
      <c r="E469"/>
      <c r="F469" s="197"/>
    </row>
    <row r="470" spans="5:6" ht="12" customHeight="1">
      <c r="E470"/>
      <c r="F470" s="197"/>
    </row>
    <row r="471" spans="5:6" ht="12" customHeight="1">
      <c r="E471"/>
      <c r="F471" s="197"/>
    </row>
    <row r="472" spans="5:6" ht="12" customHeight="1">
      <c r="E472"/>
      <c r="F472" s="197"/>
    </row>
    <row r="473" spans="5:6" ht="12" customHeight="1">
      <c r="E473"/>
      <c r="F473" s="197"/>
    </row>
    <row r="474" spans="5:6" ht="12" customHeight="1">
      <c r="E474"/>
      <c r="F474" s="197"/>
    </row>
    <row r="475" spans="5:6" ht="12" customHeight="1">
      <c r="E475"/>
      <c r="F475" s="197"/>
    </row>
    <row r="476" spans="5:6" ht="12" customHeight="1">
      <c r="E476"/>
      <c r="F476" s="197"/>
    </row>
    <row r="477" spans="5:6" ht="12" customHeight="1">
      <c r="E477"/>
      <c r="F477" s="197"/>
    </row>
    <row r="478" spans="5:6" ht="12" customHeight="1">
      <c r="E478"/>
      <c r="F478" s="197"/>
    </row>
    <row r="479" spans="5:6" ht="12" customHeight="1">
      <c r="E479"/>
      <c r="F479" s="197"/>
    </row>
    <row r="480" spans="5:6" ht="12" customHeight="1">
      <c r="E480"/>
      <c r="F480" s="197"/>
    </row>
    <row r="481" spans="5:6" ht="12" customHeight="1">
      <c r="E481"/>
      <c r="F481" s="197"/>
    </row>
    <row r="482" spans="5:6" ht="12" customHeight="1">
      <c r="E482"/>
      <c r="F482" s="197"/>
    </row>
    <row r="483" spans="5:6" ht="12" customHeight="1">
      <c r="E483"/>
      <c r="F483" s="197"/>
    </row>
    <row r="484" spans="5:6" ht="12" customHeight="1">
      <c r="E484"/>
      <c r="F484" s="197"/>
    </row>
    <row r="485" spans="5:6" ht="12" customHeight="1">
      <c r="E485"/>
      <c r="F485" s="197"/>
    </row>
    <row r="486" spans="5:6" ht="12" customHeight="1">
      <c r="E486"/>
      <c r="F486" s="197"/>
    </row>
    <row r="487" spans="5:6" ht="12" customHeight="1">
      <c r="E487"/>
      <c r="F487" s="197"/>
    </row>
    <row r="488" spans="5:6" ht="12" customHeight="1">
      <c r="E488"/>
      <c r="F488" s="197"/>
    </row>
    <row r="489" spans="5:6" ht="12" customHeight="1">
      <c r="E489"/>
      <c r="F489" s="197"/>
    </row>
    <row r="490" spans="5:6" ht="12" customHeight="1">
      <c r="E490"/>
      <c r="F490" s="197"/>
    </row>
    <row r="491" spans="5:6" ht="12" customHeight="1">
      <c r="E491"/>
      <c r="F491" s="197"/>
    </row>
    <row r="492" spans="5:6" ht="12" customHeight="1">
      <c r="E492"/>
      <c r="F492" s="197"/>
    </row>
    <row r="493" spans="5:6" ht="12" customHeight="1">
      <c r="E493"/>
      <c r="F493" s="197"/>
    </row>
    <row r="494" spans="5:6" ht="12" customHeight="1">
      <c r="E494"/>
      <c r="F494" s="197"/>
    </row>
    <row r="495" spans="5:6" ht="12" customHeight="1">
      <c r="E495"/>
      <c r="F495" s="197"/>
    </row>
    <row r="496" spans="5:6" ht="12" customHeight="1">
      <c r="E496"/>
      <c r="F496" s="197"/>
    </row>
    <row r="497" spans="5:6" ht="12" customHeight="1">
      <c r="E497"/>
      <c r="F497" s="197"/>
    </row>
    <row r="498" spans="5:6" ht="12" customHeight="1">
      <c r="E498"/>
      <c r="F498" s="197"/>
    </row>
    <row r="499" spans="5:6" ht="12" customHeight="1">
      <c r="E499"/>
      <c r="F499" s="197"/>
    </row>
    <row r="500" spans="5:6" ht="12" customHeight="1">
      <c r="E500"/>
      <c r="F500" s="197"/>
    </row>
    <row r="501" spans="5:6" ht="12" customHeight="1">
      <c r="E501"/>
      <c r="F501" s="197"/>
    </row>
    <row r="502" spans="5:6" ht="12" customHeight="1">
      <c r="E502"/>
      <c r="F502" s="197"/>
    </row>
    <row r="503" spans="5:6" ht="12" customHeight="1">
      <c r="E503"/>
      <c r="F503" s="197"/>
    </row>
    <row r="504" spans="5:6" ht="12" customHeight="1">
      <c r="E504"/>
      <c r="F504" s="197"/>
    </row>
    <row r="505" spans="5:6" ht="12" customHeight="1">
      <c r="E505"/>
      <c r="F505" s="197"/>
    </row>
    <row r="506" spans="5:6" ht="12" customHeight="1">
      <c r="E506"/>
      <c r="F506" s="197"/>
    </row>
    <row r="507" spans="5:6" ht="12" customHeight="1">
      <c r="E507"/>
      <c r="F507" s="197"/>
    </row>
    <row r="508" spans="5:6" ht="12" customHeight="1">
      <c r="E508"/>
      <c r="F508" s="197"/>
    </row>
    <row r="509" spans="5:6" ht="12" customHeight="1">
      <c r="E509"/>
      <c r="F509" s="197"/>
    </row>
    <row r="510" spans="5:6" ht="12" customHeight="1">
      <c r="E510"/>
      <c r="F510" s="197"/>
    </row>
    <row r="511" spans="5:6" ht="12" customHeight="1">
      <c r="E511"/>
      <c r="F511" s="197"/>
    </row>
    <row r="512" spans="5:6" ht="12" customHeight="1">
      <c r="E512"/>
      <c r="F512" s="197"/>
    </row>
    <row r="513" spans="5:6" ht="12" customHeight="1">
      <c r="E513"/>
      <c r="F513" s="197"/>
    </row>
    <row r="514" spans="5:6" ht="12" customHeight="1">
      <c r="E514"/>
      <c r="F514" s="197"/>
    </row>
    <row r="515" spans="5:6" ht="12" customHeight="1">
      <c r="E515"/>
      <c r="F515" s="197"/>
    </row>
    <row r="516" spans="5:6" ht="12" customHeight="1">
      <c r="E516"/>
      <c r="F516" s="197"/>
    </row>
    <row r="517" spans="5:6" ht="12" customHeight="1">
      <c r="E517"/>
      <c r="F517" s="197"/>
    </row>
    <row r="518" spans="5:6" ht="12" customHeight="1">
      <c r="E518"/>
      <c r="F518" s="197"/>
    </row>
    <row r="519" spans="5:6" ht="12" customHeight="1">
      <c r="E519"/>
      <c r="F519" s="197"/>
    </row>
    <row r="520" spans="5:6" ht="12" customHeight="1">
      <c r="E520"/>
      <c r="F520" s="197"/>
    </row>
    <row r="521" spans="5:6" ht="12" customHeight="1">
      <c r="E521"/>
      <c r="F521" s="197"/>
    </row>
    <row r="522" spans="5:6" ht="12" customHeight="1">
      <c r="E522"/>
      <c r="F522" s="197"/>
    </row>
    <row r="523" spans="5:6" ht="12" customHeight="1">
      <c r="E523"/>
      <c r="F523" s="197"/>
    </row>
    <row r="524" spans="5:6" ht="12" customHeight="1">
      <c r="E524"/>
      <c r="F524" s="197"/>
    </row>
    <row r="525" spans="5:6" ht="12" customHeight="1">
      <c r="E525"/>
      <c r="F525" s="197"/>
    </row>
    <row r="526" spans="5:6" ht="12" customHeight="1">
      <c r="E526"/>
      <c r="F526" s="197"/>
    </row>
    <row r="527" spans="5:6" ht="12" customHeight="1">
      <c r="E527"/>
      <c r="F527" s="197"/>
    </row>
    <row r="528" spans="5:6" ht="12" customHeight="1">
      <c r="E528"/>
      <c r="F528" s="197"/>
    </row>
    <row r="529" spans="5:6" ht="12" customHeight="1">
      <c r="E529"/>
      <c r="F529" s="197"/>
    </row>
    <row r="530" spans="5:6" ht="12" customHeight="1">
      <c r="E530"/>
      <c r="F530" s="197"/>
    </row>
    <row r="531" spans="5:6" ht="12" customHeight="1">
      <c r="E531"/>
      <c r="F531" s="197"/>
    </row>
    <row r="532" spans="5:6" ht="12" customHeight="1">
      <c r="E532"/>
      <c r="F532" s="197"/>
    </row>
    <row r="533" spans="5:6" ht="12" customHeight="1">
      <c r="E533"/>
      <c r="F533" s="197"/>
    </row>
    <row r="534" spans="5:6" ht="12" customHeight="1">
      <c r="E534"/>
      <c r="F534" s="197"/>
    </row>
    <row r="535" spans="5:6" ht="12" customHeight="1">
      <c r="E535"/>
      <c r="F535" s="197"/>
    </row>
    <row r="536" spans="5:6" ht="12" customHeight="1">
      <c r="E536"/>
      <c r="F536" s="197"/>
    </row>
    <row r="537" spans="5:6" ht="12" customHeight="1">
      <c r="E537"/>
      <c r="F537" s="197"/>
    </row>
    <row r="538" spans="5:6" ht="12" customHeight="1">
      <c r="E538"/>
      <c r="F538" s="197"/>
    </row>
    <row r="539" spans="5:6" ht="12" customHeight="1">
      <c r="E539"/>
      <c r="F539" s="197"/>
    </row>
    <row r="540" spans="5:6" ht="12" customHeight="1">
      <c r="E540"/>
      <c r="F540" s="197"/>
    </row>
    <row r="541" spans="5:6" ht="12" customHeight="1">
      <c r="E541"/>
      <c r="F541" s="197"/>
    </row>
    <row r="542" spans="5:6" ht="12" customHeight="1">
      <c r="E542"/>
      <c r="F542" s="197"/>
    </row>
    <row r="543" spans="5:6" ht="12" customHeight="1">
      <c r="E543"/>
      <c r="F543" s="197"/>
    </row>
    <row r="544" spans="5:6" ht="12" customHeight="1">
      <c r="E544"/>
      <c r="F544" s="197"/>
    </row>
    <row r="545" spans="5:6" ht="12" customHeight="1">
      <c r="E545"/>
      <c r="F545" s="197"/>
    </row>
    <row r="546" spans="5:6" ht="12" customHeight="1">
      <c r="E546"/>
      <c r="F546" s="197"/>
    </row>
    <row r="547" spans="5:6" ht="12" customHeight="1">
      <c r="E547"/>
      <c r="F547" s="197"/>
    </row>
    <row r="548" spans="5:6" ht="12" customHeight="1">
      <c r="E548"/>
      <c r="F548" s="197"/>
    </row>
    <row r="549" spans="5:6" ht="12" customHeight="1">
      <c r="E549"/>
      <c r="F549" s="197"/>
    </row>
    <row r="550" spans="5:6" ht="12" customHeight="1">
      <c r="E550"/>
      <c r="F550" s="197"/>
    </row>
    <row r="551" spans="5:6" ht="12" customHeight="1">
      <c r="E551"/>
      <c r="F551" s="197"/>
    </row>
    <row r="552" spans="5:6" ht="12" customHeight="1">
      <c r="E552"/>
      <c r="F552" s="197"/>
    </row>
    <row r="553" spans="5:6" ht="12" customHeight="1">
      <c r="E553"/>
      <c r="F553" s="197"/>
    </row>
    <row r="554" spans="5:6" ht="12" customHeight="1">
      <c r="E554"/>
      <c r="F554" s="197"/>
    </row>
    <row r="555" spans="5:6" ht="12" customHeight="1">
      <c r="E555"/>
      <c r="F555" s="197"/>
    </row>
    <row r="556" spans="5:6" ht="12" customHeight="1">
      <c r="E556"/>
      <c r="F556" s="197"/>
    </row>
    <row r="557" spans="5:6" ht="12" customHeight="1">
      <c r="E557"/>
      <c r="F557" s="197"/>
    </row>
    <row r="558" spans="5:6" ht="12" customHeight="1">
      <c r="E558"/>
      <c r="F558" s="197"/>
    </row>
    <row r="559" spans="5:6" ht="12" customHeight="1">
      <c r="E559"/>
      <c r="F559" s="197"/>
    </row>
    <row r="560" spans="5:6" ht="12" customHeight="1">
      <c r="E560"/>
      <c r="F560" s="197"/>
    </row>
    <row r="561" spans="5:6" ht="12" customHeight="1">
      <c r="E561"/>
      <c r="F561" s="197"/>
    </row>
    <row r="562" spans="5:6" ht="12" customHeight="1">
      <c r="E562"/>
      <c r="F562" s="197"/>
    </row>
    <row r="563" spans="5:6" ht="12" customHeight="1">
      <c r="E563"/>
      <c r="F563" s="197"/>
    </row>
    <row r="564" spans="5:6" ht="12" customHeight="1">
      <c r="E564"/>
      <c r="F564" s="197"/>
    </row>
    <row r="565" spans="5:6" ht="12" customHeight="1">
      <c r="E565"/>
      <c r="F565" s="197"/>
    </row>
    <row r="566" spans="5:6" ht="12" customHeight="1">
      <c r="E566"/>
      <c r="F566" s="197"/>
    </row>
    <row r="567" spans="5:6" ht="12" customHeight="1">
      <c r="E567"/>
      <c r="F567" s="197"/>
    </row>
    <row r="568" spans="5:6" ht="12" customHeight="1">
      <c r="E568"/>
      <c r="F568" s="197"/>
    </row>
    <row r="569" spans="5:6" ht="12" customHeight="1">
      <c r="E569"/>
      <c r="F569" s="197"/>
    </row>
    <row r="570" spans="5:6" ht="12" customHeight="1">
      <c r="E570"/>
      <c r="F570" s="197"/>
    </row>
    <row r="571" spans="5:6" ht="12" customHeight="1">
      <c r="E571"/>
      <c r="F571" s="197"/>
    </row>
    <row r="572" spans="5:6" ht="12" customHeight="1">
      <c r="E572"/>
      <c r="F572" s="197"/>
    </row>
    <row r="573" spans="5:6" ht="12" customHeight="1">
      <c r="E573"/>
      <c r="F573" s="197"/>
    </row>
    <row r="574" spans="5:6" ht="12" customHeight="1">
      <c r="E574"/>
      <c r="F574" s="197"/>
    </row>
    <row r="575" spans="5:6" ht="12" customHeight="1">
      <c r="E575"/>
      <c r="F575" s="197"/>
    </row>
    <row r="576" spans="5:6" ht="12" customHeight="1">
      <c r="E576"/>
      <c r="F576" s="197"/>
    </row>
    <row r="577" spans="5:6" ht="12" customHeight="1">
      <c r="E577"/>
      <c r="F577" s="197"/>
    </row>
    <row r="578" spans="5:6" ht="12" customHeight="1">
      <c r="E578"/>
      <c r="F578" s="197"/>
    </row>
    <row r="579" spans="5:6" ht="12" customHeight="1">
      <c r="E579"/>
      <c r="F579" s="197"/>
    </row>
    <row r="580" spans="5:6" ht="12" customHeight="1">
      <c r="E580"/>
      <c r="F580" s="197"/>
    </row>
    <row r="581" spans="5:6" ht="12" customHeight="1">
      <c r="E581"/>
      <c r="F581" s="197"/>
    </row>
    <row r="582" spans="5:6" ht="12" customHeight="1">
      <c r="E582"/>
      <c r="F582" s="197"/>
    </row>
    <row r="583" spans="5:6" ht="12" customHeight="1">
      <c r="E583"/>
      <c r="F583" s="197"/>
    </row>
    <row r="584" spans="5:6" ht="12" customHeight="1">
      <c r="E584"/>
      <c r="F584" s="197"/>
    </row>
    <row r="585" spans="5:6" ht="12" customHeight="1">
      <c r="E585"/>
      <c r="F585" s="197"/>
    </row>
    <row r="586" spans="5:6" ht="12" customHeight="1">
      <c r="E586"/>
      <c r="F586" s="197"/>
    </row>
    <row r="587" spans="5:6" ht="12" customHeight="1">
      <c r="E587"/>
      <c r="F587" s="197"/>
    </row>
    <row r="588" spans="5:6" ht="12" customHeight="1">
      <c r="E588"/>
      <c r="F588" s="197"/>
    </row>
    <row r="589" spans="5:6" ht="12" customHeight="1">
      <c r="E589"/>
      <c r="F589" s="197"/>
    </row>
    <row r="590" spans="5:6" ht="12" customHeight="1">
      <c r="E590"/>
      <c r="F590" s="197"/>
    </row>
    <row r="591" spans="5:6" ht="12" customHeight="1">
      <c r="E591"/>
      <c r="F591" s="197"/>
    </row>
    <row r="592" spans="5:6" ht="12" customHeight="1">
      <c r="E592"/>
      <c r="F592" s="197"/>
    </row>
    <row r="593" spans="5:6" ht="12" customHeight="1">
      <c r="E593"/>
      <c r="F593" s="197"/>
    </row>
    <row r="594" spans="5:6" ht="12" customHeight="1">
      <c r="E594"/>
      <c r="F594" s="197"/>
    </row>
    <row r="595" spans="5:6" ht="12" customHeight="1">
      <c r="E595"/>
      <c r="F595" s="197"/>
    </row>
    <row r="596" spans="5:6" ht="12" customHeight="1">
      <c r="E596"/>
      <c r="F596" s="197"/>
    </row>
    <row r="597" spans="5:6" ht="12" customHeight="1">
      <c r="E597"/>
      <c r="F597" s="197"/>
    </row>
    <row r="598" spans="5:6" ht="12" customHeight="1">
      <c r="E598"/>
      <c r="F598" s="197"/>
    </row>
    <row r="599" spans="5:6" ht="12" customHeight="1">
      <c r="E599"/>
      <c r="F599" s="197"/>
    </row>
    <row r="600" spans="5:6" ht="12" customHeight="1">
      <c r="E600"/>
      <c r="F600" s="197"/>
    </row>
    <row r="601" spans="5:6" ht="12" customHeight="1">
      <c r="E601"/>
      <c r="F601" s="197"/>
    </row>
    <row r="602" spans="5:6" ht="12" customHeight="1">
      <c r="E602"/>
      <c r="F602" s="197"/>
    </row>
    <row r="603" spans="5:6" ht="12" customHeight="1">
      <c r="E603"/>
      <c r="F603" s="197"/>
    </row>
    <row r="604" spans="5:6" ht="12" customHeight="1">
      <c r="E604"/>
      <c r="F604" s="197"/>
    </row>
    <row r="605" spans="5:6" ht="12" customHeight="1">
      <c r="E605"/>
      <c r="F605" s="197"/>
    </row>
    <row r="606" spans="5:6" ht="12" customHeight="1">
      <c r="E606"/>
      <c r="F606" s="197"/>
    </row>
    <row r="607" spans="5:6" ht="12" customHeight="1">
      <c r="E607"/>
      <c r="F607" s="197"/>
    </row>
    <row r="608" spans="5:6" ht="12" customHeight="1">
      <c r="E608"/>
      <c r="F608" s="197"/>
    </row>
    <row r="609" spans="5:6" ht="12" customHeight="1">
      <c r="E609"/>
      <c r="F609" s="197"/>
    </row>
    <row r="610" spans="5:6" ht="12" customHeight="1">
      <c r="E610"/>
      <c r="F610" s="197"/>
    </row>
    <row r="611" spans="5:6" ht="12" customHeight="1">
      <c r="E611"/>
      <c r="F611" s="197"/>
    </row>
    <row r="612" spans="5:6" ht="12" customHeight="1">
      <c r="E612"/>
      <c r="F612" s="197"/>
    </row>
    <row r="613" spans="5:6" ht="12" customHeight="1">
      <c r="E613"/>
      <c r="F613" s="197"/>
    </row>
    <row r="614" spans="5:6" ht="12" customHeight="1">
      <c r="E614"/>
      <c r="F614" s="197"/>
    </row>
    <row r="615" spans="5:6" ht="12" customHeight="1">
      <c r="E615"/>
      <c r="F615" s="197"/>
    </row>
    <row r="616" spans="5:6" ht="12" customHeight="1">
      <c r="E616"/>
      <c r="F616" s="197"/>
    </row>
    <row r="617" spans="5:6" ht="12" customHeight="1">
      <c r="E617"/>
      <c r="F617" s="197"/>
    </row>
    <row r="618" spans="5:6" ht="12" customHeight="1">
      <c r="E618"/>
      <c r="F618" s="197"/>
    </row>
    <row r="619" spans="5:6" ht="12" customHeight="1">
      <c r="E619"/>
      <c r="F619" s="197"/>
    </row>
    <row r="620" spans="5:6" ht="12" customHeight="1">
      <c r="E620"/>
      <c r="F620" s="197"/>
    </row>
    <row r="621" spans="5:6" ht="12" customHeight="1">
      <c r="E621"/>
      <c r="F621" s="197"/>
    </row>
    <row r="622" spans="5:6" ht="12" customHeight="1">
      <c r="E622"/>
      <c r="F622" s="197"/>
    </row>
    <row r="623" spans="5:6" ht="12" customHeight="1">
      <c r="E623"/>
      <c r="F623" s="197"/>
    </row>
    <row r="624" spans="5:6" ht="12" customHeight="1">
      <c r="E624"/>
      <c r="F624" s="197"/>
    </row>
    <row r="625" spans="5:6" ht="12" customHeight="1">
      <c r="E625"/>
      <c r="F625" s="197"/>
    </row>
    <row r="626" spans="5:6" ht="12" customHeight="1">
      <c r="E626"/>
      <c r="F626" s="197"/>
    </row>
    <row r="627" spans="5:6" ht="12" customHeight="1">
      <c r="E627"/>
      <c r="F627" s="197"/>
    </row>
    <row r="628" spans="5:6" ht="12" customHeight="1">
      <c r="E628"/>
      <c r="F628" s="197"/>
    </row>
    <row r="629" spans="5:6" ht="12" customHeight="1">
      <c r="E629"/>
      <c r="F629" s="197"/>
    </row>
    <row r="630" spans="5:6" ht="12" customHeight="1">
      <c r="E630"/>
      <c r="F630" s="197"/>
    </row>
    <row r="631" spans="5:6" ht="12" customHeight="1">
      <c r="E631"/>
      <c r="F631" s="197"/>
    </row>
    <row r="632" spans="5:6" ht="12" customHeight="1">
      <c r="E632"/>
      <c r="F632" s="197"/>
    </row>
    <row r="633" spans="5:6" ht="12" customHeight="1">
      <c r="E633"/>
      <c r="F633" s="197"/>
    </row>
    <row r="634" spans="5:6" ht="12" customHeight="1">
      <c r="E634"/>
      <c r="F634" s="197"/>
    </row>
    <row r="635" spans="5:6" ht="12" customHeight="1">
      <c r="E635"/>
      <c r="F635" s="197"/>
    </row>
    <row r="636" spans="5:6" ht="12" customHeight="1">
      <c r="E636"/>
      <c r="F636" s="197"/>
    </row>
    <row r="637" spans="5:6" ht="12" customHeight="1">
      <c r="E637"/>
      <c r="F637" s="197"/>
    </row>
    <row r="638" spans="5:6" ht="12" customHeight="1">
      <c r="E638"/>
      <c r="F638" s="197"/>
    </row>
    <row r="639" spans="5:6" ht="12" customHeight="1">
      <c r="E639"/>
      <c r="F639" s="197"/>
    </row>
    <row r="640" spans="5:6" ht="12" customHeight="1">
      <c r="E640"/>
      <c r="F640" s="197"/>
    </row>
    <row r="641" spans="5:6" ht="12" customHeight="1">
      <c r="E641"/>
      <c r="F641" s="197"/>
    </row>
    <row r="642" spans="5:6" ht="12" customHeight="1">
      <c r="E642"/>
      <c r="F642" s="197"/>
    </row>
    <row r="643" spans="5:6" ht="12" customHeight="1">
      <c r="E643"/>
      <c r="F643" s="197"/>
    </row>
    <row r="644" spans="5:6" ht="12" customHeight="1">
      <c r="E644"/>
      <c r="F644" s="197"/>
    </row>
    <row r="645" spans="5:6" ht="12" customHeight="1">
      <c r="E645"/>
      <c r="F645" s="197"/>
    </row>
    <row r="646" spans="5:6" ht="12" customHeight="1">
      <c r="E646"/>
      <c r="F646" s="197"/>
    </row>
    <row r="647" spans="5:6" ht="12" customHeight="1">
      <c r="E647"/>
      <c r="F647" s="197"/>
    </row>
    <row r="648" spans="5:6" ht="12" customHeight="1">
      <c r="E648"/>
      <c r="F648" s="197"/>
    </row>
    <row r="649" spans="5:6" ht="12" customHeight="1">
      <c r="E649"/>
      <c r="F649" s="197"/>
    </row>
    <row r="650" spans="5:6" ht="12" customHeight="1">
      <c r="E650"/>
      <c r="F650" s="197"/>
    </row>
    <row r="651" spans="5:6" ht="12" customHeight="1">
      <c r="E651"/>
      <c r="F651" s="197"/>
    </row>
    <row r="652" spans="5:6" ht="12" customHeight="1">
      <c r="E652"/>
      <c r="F652" s="197"/>
    </row>
    <row r="653" spans="5:6" ht="12" customHeight="1">
      <c r="E653"/>
      <c r="F653" s="197"/>
    </row>
    <row r="654" spans="5:6" ht="12" customHeight="1">
      <c r="E654"/>
      <c r="F654" s="197"/>
    </row>
    <row r="655" spans="5:6" ht="12" customHeight="1">
      <c r="E655"/>
      <c r="F655" s="197"/>
    </row>
    <row r="656" spans="5:6" ht="12" customHeight="1">
      <c r="E656"/>
      <c r="F656" s="197"/>
    </row>
    <row r="657" spans="5:6" ht="12" customHeight="1">
      <c r="E657"/>
      <c r="F657" s="197"/>
    </row>
    <row r="658" spans="5:6" ht="12" customHeight="1">
      <c r="E658"/>
      <c r="F658" s="197"/>
    </row>
    <row r="659" spans="5:6" ht="12" customHeight="1">
      <c r="E659"/>
      <c r="F659" s="197"/>
    </row>
    <row r="660" spans="5:6" ht="12" customHeight="1">
      <c r="E660"/>
      <c r="F660" s="197"/>
    </row>
    <row r="661" spans="5:6" ht="12" customHeight="1">
      <c r="E661"/>
      <c r="F661" s="197"/>
    </row>
    <row r="662" spans="5:6" ht="12" customHeight="1">
      <c r="E662"/>
      <c r="F662" s="197"/>
    </row>
    <row r="663" spans="5:6" ht="12" customHeight="1">
      <c r="E663"/>
      <c r="F663" s="197"/>
    </row>
    <row r="664" spans="5:6" ht="12" customHeight="1">
      <c r="E664"/>
      <c r="F664" s="197"/>
    </row>
    <row r="665" spans="5:6" ht="12" customHeight="1">
      <c r="E665"/>
      <c r="F665" s="197"/>
    </row>
    <row r="666" spans="5:6" ht="12" customHeight="1">
      <c r="E666"/>
      <c r="F666" s="197"/>
    </row>
    <row r="667" spans="5:6" ht="12" customHeight="1">
      <c r="E667"/>
      <c r="F667" s="197"/>
    </row>
    <row r="668" spans="5:6" ht="12" customHeight="1">
      <c r="E668"/>
      <c r="F668" s="197"/>
    </row>
    <row r="669" spans="5:6" ht="12" customHeight="1">
      <c r="E669"/>
      <c r="F669" s="197"/>
    </row>
    <row r="670" spans="5:6" ht="12" customHeight="1">
      <c r="E670"/>
      <c r="F670" s="197"/>
    </row>
    <row r="671" spans="5:6" ht="12" customHeight="1">
      <c r="E671"/>
      <c r="F671" s="197"/>
    </row>
    <row r="672" spans="5:6" ht="12" customHeight="1">
      <c r="E672"/>
      <c r="F672" s="197"/>
    </row>
    <row r="673" spans="5:6" ht="12" customHeight="1">
      <c r="E673"/>
      <c r="F673" s="197"/>
    </row>
    <row r="674" spans="5:6" ht="12" customHeight="1">
      <c r="E674"/>
      <c r="F674" s="197"/>
    </row>
    <row r="675" spans="5:6" ht="12" customHeight="1">
      <c r="E675"/>
      <c r="F675" s="197"/>
    </row>
    <row r="676" spans="5:6" ht="12" customHeight="1">
      <c r="E676"/>
      <c r="F676" s="197"/>
    </row>
    <row r="677" spans="5:6" ht="12" customHeight="1">
      <c r="E677"/>
      <c r="F677" s="197"/>
    </row>
    <row r="678" spans="5:6" ht="12" customHeight="1">
      <c r="E678"/>
      <c r="F678" s="197"/>
    </row>
    <row r="679" spans="5:6" ht="12" customHeight="1">
      <c r="E679"/>
      <c r="F679" s="197"/>
    </row>
    <row r="680" spans="5:6" ht="12" customHeight="1">
      <c r="E680"/>
      <c r="F680" s="197"/>
    </row>
    <row r="681" spans="5:6" ht="12" customHeight="1">
      <c r="E681"/>
      <c r="F681" s="197"/>
    </row>
    <row r="682" spans="5:6" ht="12" customHeight="1">
      <c r="E682"/>
      <c r="F682" s="197"/>
    </row>
    <row r="683" spans="5:6" ht="12" customHeight="1">
      <c r="E683"/>
      <c r="F683" s="197"/>
    </row>
    <row r="684" spans="5:6" ht="12" customHeight="1">
      <c r="E684"/>
      <c r="F684" s="197"/>
    </row>
    <row r="685" spans="5:6" ht="12" customHeight="1">
      <c r="E685"/>
      <c r="F685" s="197"/>
    </row>
    <row r="686" spans="5:6" ht="12" customHeight="1">
      <c r="E686"/>
      <c r="F686" s="197"/>
    </row>
    <row r="687" spans="5:6" ht="12" customHeight="1">
      <c r="E687"/>
      <c r="F687" s="197"/>
    </row>
    <row r="688" spans="5:6" ht="12" customHeight="1">
      <c r="E688"/>
      <c r="F688" s="197"/>
    </row>
    <row r="689" spans="5:6" ht="12" customHeight="1">
      <c r="E689"/>
      <c r="F689" s="197"/>
    </row>
    <row r="690" spans="5:6" ht="12" customHeight="1">
      <c r="E690"/>
      <c r="F690" s="197"/>
    </row>
    <row r="691" spans="5:6" ht="12" customHeight="1">
      <c r="E691"/>
      <c r="F691" s="197"/>
    </row>
    <row r="692" spans="5:6" ht="12" customHeight="1">
      <c r="E692"/>
      <c r="F692" s="197"/>
    </row>
    <row r="693" spans="5:6" ht="12" customHeight="1">
      <c r="E693"/>
      <c r="F693" s="197"/>
    </row>
    <row r="694" spans="5:6" ht="12" customHeight="1">
      <c r="E694"/>
      <c r="F694" s="197"/>
    </row>
    <row r="695" spans="5:6" ht="12" customHeight="1">
      <c r="E695"/>
      <c r="F695" s="197"/>
    </row>
    <row r="696" spans="5:6" ht="12" customHeight="1">
      <c r="E696"/>
      <c r="F696" s="197"/>
    </row>
    <row r="697" spans="5:6" ht="12" customHeight="1">
      <c r="E697"/>
      <c r="F697" s="197"/>
    </row>
    <row r="698" spans="5:6" ht="12" customHeight="1">
      <c r="E698"/>
      <c r="F698" s="197"/>
    </row>
    <row r="699" spans="5:6" ht="12" customHeight="1">
      <c r="E699"/>
      <c r="F699" s="197"/>
    </row>
    <row r="700" spans="5:6" ht="12" customHeight="1">
      <c r="E700"/>
      <c r="F700" s="197"/>
    </row>
    <row r="701" spans="5:6" ht="12" customHeight="1">
      <c r="E701"/>
      <c r="F701" s="197"/>
    </row>
    <row r="702" spans="5:6" ht="12" customHeight="1">
      <c r="E702"/>
      <c r="F702" s="197"/>
    </row>
    <row r="703" spans="5:6" ht="12" customHeight="1">
      <c r="E703"/>
      <c r="F703" s="197"/>
    </row>
    <row r="704" spans="5:6" ht="12" customHeight="1">
      <c r="E704"/>
      <c r="F704" s="197"/>
    </row>
    <row r="705" spans="5:6" ht="12" customHeight="1">
      <c r="E705"/>
      <c r="F705" s="197"/>
    </row>
    <row r="706" spans="5:6" ht="12" customHeight="1">
      <c r="E706"/>
      <c r="F706" s="197"/>
    </row>
    <row r="707" spans="5:6" ht="12" customHeight="1">
      <c r="E707"/>
      <c r="F707" s="197"/>
    </row>
    <row r="708" spans="5:6" ht="12" customHeight="1">
      <c r="E708"/>
      <c r="F708" s="197"/>
    </row>
    <row r="709" spans="5:6" ht="12" customHeight="1">
      <c r="E709"/>
      <c r="F709" s="197"/>
    </row>
    <row r="710" spans="5:6" ht="12" customHeight="1">
      <c r="E710"/>
      <c r="F710" s="197"/>
    </row>
    <row r="711" spans="5:6" ht="12" customHeight="1">
      <c r="E711"/>
      <c r="F711" s="197"/>
    </row>
    <row r="712" spans="5:6" ht="12" customHeight="1">
      <c r="E712"/>
      <c r="F712" s="197"/>
    </row>
    <row r="713" spans="5:6" ht="12" customHeight="1">
      <c r="E713"/>
      <c r="F713" s="197"/>
    </row>
    <row r="714" spans="5:6" ht="12" customHeight="1">
      <c r="E714"/>
      <c r="F714" s="197"/>
    </row>
    <row r="715" spans="5:6" ht="12" customHeight="1">
      <c r="E715"/>
      <c r="F715" s="197"/>
    </row>
    <row r="716" spans="5:6" ht="12" customHeight="1">
      <c r="E716"/>
      <c r="F716" s="197"/>
    </row>
    <row r="717" spans="5:6" ht="12" customHeight="1">
      <c r="E717"/>
      <c r="F717" s="197"/>
    </row>
    <row r="718" spans="5:6" ht="12" customHeight="1">
      <c r="E718"/>
      <c r="F718" s="197"/>
    </row>
    <row r="719" spans="5:6" ht="12" customHeight="1">
      <c r="E719"/>
      <c r="F719" s="197"/>
    </row>
    <row r="720" spans="5:6" ht="12" customHeight="1">
      <c r="E720"/>
      <c r="F720" s="197"/>
    </row>
    <row r="721" spans="5:6" ht="12" customHeight="1">
      <c r="E721"/>
      <c r="F721" s="197"/>
    </row>
    <row r="722" spans="5:6" ht="12" customHeight="1">
      <c r="E722"/>
      <c r="F722" s="197"/>
    </row>
    <row r="723" spans="5:6" ht="12" customHeight="1">
      <c r="E723"/>
      <c r="F723" s="197"/>
    </row>
    <row r="724" spans="5:6" ht="12" customHeight="1">
      <c r="E724"/>
      <c r="F724" s="197"/>
    </row>
    <row r="725" spans="5:6" ht="12" customHeight="1">
      <c r="E725"/>
      <c r="F725" s="197"/>
    </row>
    <row r="726" spans="5:6" ht="12" customHeight="1">
      <c r="E726"/>
      <c r="F726" s="197"/>
    </row>
    <row r="727" spans="5:6" ht="12" customHeight="1">
      <c r="E727"/>
      <c r="F727" s="197"/>
    </row>
    <row r="728" spans="5:6" ht="12" customHeight="1">
      <c r="E728"/>
      <c r="F728" s="197"/>
    </row>
    <row r="729" spans="5:6" ht="12" customHeight="1">
      <c r="E729"/>
      <c r="F729" s="197"/>
    </row>
    <row r="730" spans="5:6" ht="12" customHeight="1">
      <c r="E730"/>
      <c r="F730" s="197"/>
    </row>
    <row r="731" spans="5:6" ht="12" customHeight="1">
      <c r="E731"/>
      <c r="F731" s="197"/>
    </row>
    <row r="732" spans="5:6" ht="12" customHeight="1">
      <c r="E732"/>
      <c r="F732" s="197"/>
    </row>
    <row r="733" spans="5:6" ht="12" customHeight="1">
      <c r="E733"/>
      <c r="F733" s="197"/>
    </row>
    <row r="734" spans="5:6" ht="12" customHeight="1">
      <c r="E734"/>
      <c r="F734" s="197"/>
    </row>
    <row r="735" spans="5:6" ht="12" customHeight="1">
      <c r="E735"/>
      <c r="F735" s="197"/>
    </row>
    <row r="736" spans="5:6" ht="12" customHeight="1">
      <c r="E736"/>
      <c r="F736" s="197"/>
    </row>
    <row r="737" spans="5:6" ht="12" customHeight="1">
      <c r="E737"/>
      <c r="F737" s="197"/>
    </row>
    <row r="738" spans="5:6" ht="12" customHeight="1">
      <c r="E738"/>
      <c r="F738" s="197"/>
    </row>
    <row r="739" spans="5:6" ht="12" customHeight="1">
      <c r="E739"/>
      <c r="F739" s="197"/>
    </row>
    <row r="740" spans="5:6" ht="12" customHeight="1">
      <c r="E740"/>
      <c r="F740" s="197"/>
    </row>
    <row r="741" spans="5:6" ht="12" customHeight="1">
      <c r="E741"/>
      <c r="F741" s="197"/>
    </row>
    <row r="742" spans="5:6" ht="12" customHeight="1">
      <c r="E742"/>
      <c r="F742" s="197"/>
    </row>
    <row r="743" spans="5:6" ht="12" customHeight="1">
      <c r="E743"/>
      <c r="F743" s="197"/>
    </row>
    <row r="744" spans="5:6" ht="12" customHeight="1">
      <c r="E744"/>
      <c r="F744" s="197"/>
    </row>
    <row r="745" spans="5:6" ht="12" customHeight="1">
      <c r="E745"/>
      <c r="F745" s="197"/>
    </row>
    <row r="746" spans="5:6" ht="12" customHeight="1">
      <c r="E746"/>
      <c r="F746" s="197"/>
    </row>
    <row r="747" spans="5:6" ht="12" customHeight="1">
      <c r="E747"/>
      <c r="F747" s="197"/>
    </row>
    <row r="748" spans="5:6" ht="12" customHeight="1">
      <c r="E748"/>
      <c r="F748" s="197"/>
    </row>
    <row r="749" spans="5:6" ht="12" customHeight="1">
      <c r="E749"/>
      <c r="F749" s="197"/>
    </row>
    <row r="750" spans="5:6" ht="12" customHeight="1">
      <c r="E750"/>
      <c r="F750" s="197"/>
    </row>
    <row r="751" spans="5:6" ht="12" customHeight="1">
      <c r="E751"/>
      <c r="F751" s="197"/>
    </row>
    <row r="752" spans="5:6" ht="12" customHeight="1">
      <c r="E752"/>
      <c r="F752" s="197"/>
    </row>
    <row r="753" spans="5:6" ht="12" customHeight="1">
      <c r="E753"/>
      <c r="F753" s="197"/>
    </row>
    <row r="754" spans="5:6" ht="12" customHeight="1">
      <c r="E754"/>
      <c r="F754" s="197"/>
    </row>
    <row r="755" spans="5:6" ht="12" customHeight="1">
      <c r="E755"/>
      <c r="F755" s="197"/>
    </row>
    <row r="756" spans="5:6" ht="12" customHeight="1">
      <c r="E756"/>
      <c r="F756" s="197"/>
    </row>
    <row r="757" spans="5:6" ht="12" customHeight="1">
      <c r="E757"/>
      <c r="F757" s="197"/>
    </row>
    <row r="758" spans="5:6" ht="12" customHeight="1">
      <c r="E758"/>
      <c r="F758" s="197"/>
    </row>
    <row r="759" spans="5:6" ht="12" customHeight="1">
      <c r="E759"/>
      <c r="F759" s="197"/>
    </row>
    <row r="760" spans="5:6" ht="12" customHeight="1">
      <c r="E760"/>
      <c r="F760" s="197"/>
    </row>
    <row r="761" spans="5:6" ht="12" customHeight="1">
      <c r="E761"/>
      <c r="F761" s="197"/>
    </row>
    <row r="762" spans="5:6" ht="12" customHeight="1">
      <c r="E762"/>
      <c r="F762" s="197"/>
    </row>
    <row r="763" spans="5:6" ht="12" customHeight="1">
      <c r="E763"/>
      <c r="F763" s="197"/>
    </row>
    <row r="764" spans="5:6" ht="12" customHeight="1">
      <c r="E764"/>
      <c r="F764" s="197"/>
    </row>
    <row r="765" spans="5:6" ht="12" customHeight="1">
      <c r="E765"/>
      <c r="F765" s="197"/>
    </row>
    <row r="766" spans="5:6" ht="12" customHeight="1">
      <c r="E766"/>
      <c r="F766" s="197"/>
    </row>
    <row r="767" spans="5:6" ht="12" customHeight="1">
      <c r="E767"/>
      <c r="F767" s="197"/>
    </row>
    <row r="768" spans="5:6" ht="12" customHeight="1">
      <c r="E768"/>
      <c r="F768" s="197"/>
    </row>
    <row r="769" spans="5:6" ht="12" customHeight="1">
      <c r="E769"/>
      <c r="F769" s="197"/>
    </row>
    <row r="770" spans="5:6" ht="12" customHeight="1">
      <c r="E770"/>
      <c r="F770" s="197"/>
    </row>
    <row r="771" spans="5:6" ht="12" customHeight="1">
      <c r="E771"/>
      <c r="F771" s="197"/>
    </row>
    <row r="772" spans="5:6" ht="12" customHeight="1">
      <c r="E772"/>
      <c r="F772" s="197"/>
    </row>
    <row r="773" spans="5:6" ht="12" customHeight="1">
      <c r="E773"/>
      <c r="F773" s="197"/>
    </row>
    <row r="774" spans="5:6" ht="12" customHeight="1">
      <c r="E774"/>
      <c r="F774" s="197"/>
    </row>
    <row r="775" spans="5:6" ht="12" customHeight="1">
      <c r="E775"/>
      <c r="F775" s="197"/>
    </row>
    <row r="776" spans="5:6" ht="12" customHeight="1">
      <c r="E776"/>
      <c r="F776" s="197"/>
    </row>
    <row r="777" spans="5:6" ht="12" customHeight="1">
      <c r="E777"/>
      <c r="F777" s="197"/>
    </row>
    <row r="778" spans="5:6" ht="12" customHeight="1">
      <c r="E778"/>
      <c r="F778" s="197"/>
    </row>
    <row r="779" spans="5:6" ht="12" customHeight="1">
      <c r="E779"/>
      <c r="F779" s="197"/>
    </row>
    <row r="780" spans="5:6" ht="12" customHeight="1">
      <c r="E780"/>
      <c r="F780" s="197"/>
    </row>
    <row r="781" spans="5:6" ht="12" customHeight="1">
      <c r="E781"/>
      <c r="F781" s="197"/>
    </row>
    <row r="782" spans="5:6" ht="12" customHeight="1">
      <c r="E782"/>
      <c r="F782" s="197"/>
    </row>
    <row r="783" spans="5:6" ht="12" customHeight="1">
      <c r="E783"/>
      <c r="F783" s="197"/>
    </row>
    <row r="784" spans="5:6" ht="12" customHeight="1">
      <c r="E784"/>
      <c r="F784" s="197"/>
    </row>
    <row r="785" spans="5:6" ht="12" customHeight="1">
      <c r="E785"/>
      <c r="F785" s="197"/>
    </row>
    <row r="786" spans="5:6" ht="12" customHeight="1">
      <c r="E786"/>
      <c r="F786" s="197"/>
    </row>
    <row r="787" spans="5:6" ht="12" customHeight="1">
      <c r="E787"/>
      <c r="F787" s="197"/>
    </row>
    <row r="788" spans="5:6" ht="12" customHeight="1">
      <c r="E788"/>
      <c r="F788" s="197"/>
    </row>
    <row r="789" spans="5:6" ht="12" customHeight="1">
      <c r="E789"/>
      <c r="F789" s="197"/>
    </row>
    <row r="790" spans="5:6" ht="12" customHeight="1">
      <c r="E790"/>
      <c r="F790" s="197"/>
    </row>
    <row r="791" spans="5:6" ht="12" customHeight="1">
      <c r="E791"/>
      <c r="F791" s="197"/>
    </row>
    <row r="792" spans="5:6" ht="12" customHeight="1">
      <c r="E792"/>
      <c r="F792" s="197"/>
    </row>
    <row r="793" spans="5:6" ht="12" customHeight="1">
      <c r="E793"/>
      <c r="F793" s="197"/>
    </row>
    <row r="794" spans="5:6" ht="12" customHeight="1">
      <c r="E794"/>
      <c r="F794" s="197"/>
    </row>
    <row r="795" spans="5:6" ht="12" customHeight="1">
      <c r="E795"/>
      <c r="F795" s="197"/>
    </row>
    <row r="796" spans="5:6" ht="12" customHeight="1">
      <c r="E796"/>
      <c r="F796" s="197"/>
    </row>
    <row r="797" spans="5:6" ht="12" customHeight="1">
      <c r="E797"/>
      <c r="F797" s="197"/>
    </row>
    <row r="798" spans="5:6" ht="12" customHeight="1">
      <c r="E798"/>
      <c r="F798" s="197"/>
    </row>
    <row r="799" spans="5:6" ht="12" customHeight="1">
      <c r="E799"/>
      <c r="F799" s="197"/>
    </row>
    <row r="800" spans="5:6" ht="12" customHeight="1">
      <c r="E800"/>
      <c r="F800" s="197"/>
    </row>
    <row r="801" spans="5:6" ht="12" customHeight="1">
      <c r="E801"/>
      <c r="F801" s="197"/>
    </row>
    <row r="802" spans="5:6" ht="12" customHeight="1">
      <c r="E802"/>
      <c r="F802" s="197"/>
    </row>
    <row r="803" spans="5:6" ht="12" customHeight="1">
      <c r="E803"/>
      <c r="F803" s="197"/>
    </row>
    <row r="804" spans="5:6" ht="12" customHeight="1">
      <c r="E804"/>
      <c r="F804" s="197"/>
    </row>
    <row r="805" spans="5:6" ht="12" customHeight="1">
      <c r="E805"/>
      <c r="F805" s="197"/>
    </row>
    <row r="806" spans="5:6" ht="12" customHeight="1">
      <c r="E806"/>
      <c r="F806" s="197"/>
    </row>
    <row r="807" spans="5:6" ht="12" customHeight="1">
      <c r="E807"/>
      <c r="F807" s="197"/>
    </row>
    <row r="808" spans="5:6" ht="12" customHeight="1">
      <c r="E808"/>
      <c r="F808" s="197"/>
    </row>
    <row r="809" spans="5:6" ht="12" customHeight="1">
      <c r="E809"/>
      <c r="F809" s="197"/>
    </row>
    <row r="810" spans="5:6" ht="12" customHeight="1">
      <c r="E810"/>
      <c r="F810" s="197"/>
    </row>
    <row r="811" spans="5:6" ht="12" customHeight="1">
      <c r="E811"/>
      <c r="F811" s="197"/>
    </row>
    <row r="812" spans="5:6" ht="12" customHeight="1">
      <c r="E812"/>
      <c r="F812" s="197"/>
    </row>
    <row r="813" spans="5:6" ht="12" customHeight="1">
      <c r="E813"/>
      <c r="F813" s="197"/>
    </row>
    <row r="814" spans="5:6" ht="12" customHeight="1">
      <c r="E814"/>
      <c r="F814" s="197"/>
    </row>
    <row r="815" spans="5:6" ht="12" customHeight="1">
      <c r="E815"/>
      <c r="F815" s="197"/>
    </row>
    <row r="816" spans="5:6" ht="12" customHeight="1">
      <c r="E816"/>
      <c r="F816" s="197"/>
    </row>
    <row r="817" spans="5:6" ht="12" customHeight="1">
      <c r="E817"/>
      <c r="F817" s="197"/>
    </row>
    <row r="818" spans="5:6" ht="12" customHeight="1">
      <c r="E818"/>
      <c r="F818" s="197"/>
    </row>
    <row r="819" spans="5:6" ht="12" customHeight="1">
      <c r="E819"/>
      <c r="F819" s="197"/>
    </row>
    <row r="820" spans="5:6" ht="12" customHeight="1">
      <c r="E820"/>
      <c r="F820" s="197"/>
    </row>
    <row r="821" spans="5:6" ht="12" customHeight="1">
      <c r="E821"/>
      <c r="F821" s="197"/>
    </row>
    <row r="822" spans="5:6" ht="12" customHeight="1">
      <c r="E822"/>
      <c r="F822" s="197"/>
    </row>
    <row r="823" spans="5:6" ht="12" customHeight="1">
      <c r="E823"/>
      <c r="F823" s="197"/>
    </row>
    <row r="824" spans="5:6" ht="12" customHeight="1">
      <c r="E824"/>
      <c r="F824" s="197"/>
    </row>
    <row r="825" spans="5:6" ht="12" customHeight="1">
      <c r="E825"/>
      <c r="F825" s="197"/>
    </row>
    <row r="826" spans="5:6" ht="12" customHeight="1">
      <c r="E826"/>
      <c r="F826" s="197"/>
    </row>
    <row r="827" spans="5:6" ht="12" customHeight="1">
      <c r="E827"/>
      <c r="F827" s="197"/>
    </row>
    <row r="828" spans="5:6" ht="12" customHeight="1">
      <c r="E828"/>
      <c r="F828" s="197"/>
    </row>
    <row r="829" spans="5:6" ht="12" customHeight="1">
      <c r="E829"/>
      <c r="F829" s="197"/>
    </row>
    <row r="830" spans="5:6" ht="12" customHeight="1">
      <c r="E830"/>
      <c r="F830" s="197"/>
    </row>
    <row r="831" spans="5:6" ht="12" customHeight="1">
      <c r="E831"/>
      <c r="F831" s="197"/>
    </row>
    <row r="832" spans="5:6" ht="12" customHeight="1">
      <c r="E832"/>
      <c r="F832" s="197"/>
    </row>
    <row r="833" spans="5:6" ht="12" customHeight="1">
      <c r="E833"/>
      <c r="F833" s="197"/>
    </row>
    <row r="834" spans="5:6" ht="12" customHeight="1">
      <c r="E834"/>
      <c r="F834" s="197"/>
    </row>
    <row r="835" spans="5:6" ht="12" customHeight="1">
      <c r="E835"/>
      <c r="F835" s="197"/>
    </row>
    <row r="836" spans="5:6" ht="12" customHeight="1">
      <c r="E836"/>
      <c r="F836" s="197"/>
    </row>
    <row r="837" spans="5:6" ht="12" customHeight="1">
      <c r="E837"/>
      <c r="F837" s="197"/>
    </row>
    <row r="838" spans="5:6" ht="12" customHeight="1">
      <c r="E838"/>
      <c r="F838" s="197"/>
    </row>
    <row r="839" spans="5:6" ht="12" customHeight="1">
      <c r="E839"/>
      <c r="F839" s="197"/>
    </row>
    <row r="840" spans="5:6" ht="12" customHeight="1">
      <c r="E840"/>
      <c r="F840" s="197"/>
    </row>
    <row r="841" spans="5:6" ht="12" customHeight="1">
      <c r="E841"/>
      <c r="F841" s="197"/>
    </row>
    <row r="842" spans="5:6" ht="12" customHeight="1">
      <c r="E842"/>
      <c r="F842" s="197"/>
    </row>
    <row r="843" spans="5:6" ht="12" customHeight="1">
      <c r="E843"/>
      <c r="F843" s="197"/>
    </row>
    <row r="844" spans="5:6" ht="12" customHeight="1">
      <c r="E844"/>
      <c r="F844" s="197"/>
    </row>
    <row r="845" spans="5:6" ht="12" customHeight="1">
      <c r="E845"/>
      <c r="F845" s="197"/>
    </row>
    <row r="846" spans="5:6" ht="12" customHeight="1">
      <c r="E846"/>
      <c r="F846" s="197"/>
    </row>
    <row r="847" spans="5:6" ht="12" customHeight="1">
      <c r="E847"/>
      <c r="F847" s="197"/>
    </row>
    <row r="848" spans="5:6" ht="12" customHeight="1">
      <c r="E848"/>
      <c r="F848" s="197"/>
    </row>
    <row r="849" spans="5:6" ht="12" customHeight="1">
      <c r="E849"/>
      <c r="F849" s="197"/>
    </row>
    <row r="850" spans="5:6" ht="12" customHeight="1">
      <c r="E850"/>
      <c r="F850" s="197"/>
    </row>
    <row r="851" spans="5:6" ht="12" customHeight="1">
      <c r="E851"/>
      <c r="F851" s="197"/>
    </row>
    <row r="852" spans="5:6" ht="12" customHeight="1">
      <c r="E852"/>
      <c r="F852" s="197"/>
    </row>
    <row r="853" spans="5:6" ht="12" customHeight="1">
      <c r="E853"/>
      <c r="F853" s="197"/>
    </row>
    <row r="854" spans="5:6" ht="12" customHeight="1">
      <c r="E854"/>
      <c r="F854" s="197"/>
    </row>
    <row r="855" spans="5:6" ht="12" customHeight="1">
      <c r="E855"/>
      <c r="F855" s="197"/>
    </row>
    <row r="856" spans="5:6" ht="12" customHeight="1">
      <c r="E856"/>
      <c r="F856" s="197"/>
    </row>
    <row r="857" spans="5:6" ht="12" customHeight="1">
      <c r="E857"/>
      <c r="F857" s="197"/>
    </row>
    <row r="858" spans="5:6" ht="12" customHeight="1">
      <c r="E858"/>
      <c r="F858" s="197"/>
    </row>
    <row r="859" spans="5:6" ht="12" customHeight="1">
      <c r="E859"/>
      <c r="F859" s="197"/>
    </row>
    <row r="860" spans="5:6" ht="12" customHeight="1">
      <c r="E860"/>
      <c r="F860" s="197"/>
    </row>
    <row r="861" spans="5:6" ht="12" customHeight="1">
      <c r="E861"/>
      <c r="F861" s="197"/>
    </row>
    <row r="862" spans="5:6" ht="12" customHeight="1">
      <c r="E862"/>
      <c r="F862" s="197"/>
    </row>
    <row r="863" spans="5:6" ht="12" customHeight="1">
      <c r="E863"/>
      <c r="F863" s="197"/>
    </row>
    <row r="864" spans="5:6" ht="12" customHeight="1">
      <c r="E864"/>
      <c r="F864" s="197"/>
    </row>
    <row r="865" spans="5:6" ht="12" customHeight="1">
      <c r="E865"/>
      <c r="F865" s="197"/>
    </row>
    <row r="866" spans="5:6" ht="12" customHeight="1">
      <c r="E866"/>
      <c r="F866" s="197"/>
    </row>
    <row r="867" spans="5:6" ht="12" customHeight="1">
      <c r="E867"/>
      <c r="F867" s="197"/>
    </row>
    <row r="868" spans="5:6" ht="12" customHeight="1">
      <c r="E868"/>
      <c r="F868" s="197"/>
    </row>
    <row r="869" spans="5:6" ht="12" customHeight="1">
      <c r="E869"/>
      <c r="F869" s="197"/>
    </row>
    <row r="870" spans="5:6" ht="12" customHeight="1">
      <c r="E870"/>
      <c r="F870" s="197"/>
    </row>
    <row r="871" spans="5:6" ht="12" customHeight="1">
      <c r="E871"/>
      <c r="F871" s="197"/>
    </row>
    <row r="872" spans="5:6" ht="12" customHeight="1">
      <c r="E872"/>
      <c r="F872" s="197"/>
    </row>
    <row r="873" spans="5:6" ht="12" customHeight="1">
      <c r="E873"/>
      <c r="F873" s="197"/>
    </row>
    <row r="874" spans="5:6" ht="12" customHeight="1">
      <c r="E874"/>
      <c r="F874" s="197"/>
    </row>
    <row r="875" spans="5:6" ht="12" customHeight="1">
      <c r="E875"/>
      <c r="F875" s="197"/>
    </row>
    <row r="876" spans="5:6" ht="12" customHeight="1">
      <c r="E876"/>
      <c r="F876" s="197"/>
    </row>
    <row r="877" spans="5:6" ht="12" customHeight="1">
      <c r="E877"/>
      <c r="F877" s="197"/>
    </row>
    <row r="878" spans="5:6" ht="12" customHeight="1">
      <c r="E878"/>
      <c r="F878" s="197"/>
    </row>
    <row r="879" spans="5:6" ht="12" customHeight="1">
      <c r="E879"/>
      <c r="F879" s="197"/>
    </row>
    <row r="880" spans="5:6" ht="12" customHeight="1">
      <c r="E880"/>
      <c r="F880" s="197"/>
    </row>
    <row r="881" spans="5:6" ht="12" customHeight="1">
      <c r="E881"/>
      <c r="F881" s="197"/>
    </row>
    <row r="882" spans="5:6" ht="12" customHeight="1">
      <c r="E882"/>
      <c r="F882" s="197"/>
    </row>
    <row r="883" spans="5:6" ht="12" customHeight="1">
      <c r="E883"/>
      <c r="F883" s="197"/>
    </row>
    <row r="884" spans="5:6" ht="12" customHeight="1">
      <c r="E884"/>
      <c r="F884" s="197"/>
    </row>
    <row r="885" spans="5:6" ht="12" customHeight="1">
      <c r="E885"/>
      <c r="F885" s="197"/>
    </row>
    <row r="886" spans="5:6" ht="12" customHeight="1">
      <c r="E886"/>
      <c r="F886" s="197"/>
    </row>
    <row r="887" spans="5:6" ht="12" customHeight="1">
      <c r="E887"/>
      <c r="F887" s="197"/>
    </row>
    <row r="888" spans="5:6" ht="12" customHeight="1">
      <c r="E888"/>
      <c r="F888" s="197"/>
    </row>
    <row r="889" spans="5:6" ht="12" customHeight="1">
      <c r="E889"/>
      <c r="F889" s="197"/>
    </row>
    <row r="890" spans="5:6" ht="12" customHeight="1">
      <c r="E890"/>
      <c r="F890" s="197"/>
    </row>
    <row r="891" spans="5:6" ht="12" customHeight="1">
      <c r="E891"/>
      <c r="F891" s="197"/>
    </row>
    <row r="892" spans="5:6" ht="12" customHeight="1">
      <c r="E892"/>
      <c r="F892" s="197"/>
    </row>
    <row r="893" spans="5:6" ht="12" customHeight="1">
      <c r="E893"/>
      <c r="F893" s="197"/>
    </row>
    <row r="894" spans="5:6" ht="12" customHeight="1">
      <c r="E894"/>
      <c r="F894" s="197"/>
    </row>
    <row r="895" spans="5:6" ht="12" customHeight="1">
      <c r="E895"/>
      <c r="F895" s="197"/>
    </row>
    <row r="896" spans="5:6" ht="12" customHeight="1">
      <c r="E896"/>
      <c r="F896" s="197"/>
    </row>
    <row r="897" spans="5:6" ht="12" customHeight="1">
      <c r="E897"/>
      <c r="F897" s="197"/>
    </row>
    <row r="898" spans="5:6" ht="12" customHeight="1">
      <c r="E898"/>
      <c r="F898" s="197"/>
    </row>
    <row r="899" spans="5:6" ht="12" customHeight="1">
      <c r="E899"/>
      <c r="F899" s="197"/>
    </row>
    <row r="900" spans="5:6" ht="12" customHeight="1">
      <c r="E900"/>
      <c r="F900" s="197"/>
    </row>
    <row r="901" spans="5:6" ht="12" customHeight="1">
      <c r="E901"/>
      <c r="F901" s="197"/>
    </row>
    <row r="902" spans="5:6" ht="12" customHeight="1">
      <c r="E902"/>
      <c r="F902" s="197"/>
    </row>
    <row r="903" spans="5:6" ht="12" customHeight="1">
      <c r="E903"/>
      <c r="F903" s="197"/>
    </row>
    <row r="904" spans="5:6" ht="12" customHeight="1">
      <c r="E904"/>
      <c r="F904" s="197"/>
    </row>
    <row r="905" spans="5:6" ht="12" customHeight="1">
      <c r="E905"/>
      <c r="F905" s="197"/>
    </row>
    <row r="906" spans="5:6" ht="12" customHeight="1">
      <c r="E906"/>
      <c r="F906" s="197"/>
    </row>
    <row r="907" spans="5:6" ht="12" customHeight="1">
      <c r="E907"/>
      <c r="F907" s="197"/>
    </row>
    <row r="908" spans="5:6" ht="12" customHeight="1">
      <c r="E908"/>
      <c r="F908" s="197"/>
    </row>
    <row r="909" spans="5:6" ht="12" customHeight="1">
      <c r="E909"/>
      <c r="F909" s="197"/>
    </row>
    <row r="910" spans="5:6" ht="12" customHeight="1">
      <c r="E910"/>
      <c r="F910" s="197"/>
    </row>
    <row r="911" spans="5:6" ht="12" customHeight="1">
      <c r="E911"/>
      <c r="F911" s="197"/>
    </row>
    <row r="912" spans="5:6" ht="12" customHeight="1">
      <c r="E912"/>
      <c r="F912" s="197"/>
    </row>
    <row r="913" spans="5:6" ht="12" customHeight="1">
      <c r="E913"/>
      <c r="F913" s="197"/>
    </row>
    <row r="914" spans="5:6" ht="12" customHeight="1">
      <c r="E914"/>
      <c r="F914" s="197"/>
    </row>
    <row r="915" spans="5:6" ht="12" customHeight="1">
      <c r="E915"/>
      <c r="F915" s="197"/>
    </row>
    <row r="916" spans="5:6" ht="12" customHeight="1">
      <c r="E916"/>
      <c r="F916" s="197"/>
    </row>
    <row r="917" spans="5:6" ht="12" customHeight="1">
      <c r="E917"/>
      <c r="F917" s="197"/>
    </row>
    <row r="918" spans="5:6" ht="12" customHeight="1">
      <c r="E918"/>
      <c r="F918" s="197"/>
    </row>
    <row r="919" spans="5:6" ht="12" customHeight="1">
      <c r="E919"/>
      <c r="F919" s="197"/>
    </row>
    <row r="920" spans="5:6" ht="12" customHeight="1">
      <c r="E920"/>
      <c r="F920" s="197"/>
    </row>
    <row r="921" spans="5:6" ht="12" customHeight="1">
      <c r="E921"/>
      <c r="F921" s="197"/>
    </row>
    <row r="922" spans="5:6" ht="12" customHeight="1">
      <c r="E922"/>
      <c r="F922" s="197"/>
    </row>
    <row r="923" spans="5:6" ht="12" customHeight="1">
      <c r="E923"/>
      <c r="F923" s="197"/>
    </row>
    <row r="924" spans="5:6" ht="12" customHeight="1">
      <c r="E924"/>
      <c r="F924" s="197"/>
    </row>
    <row r="925" spans="5:6" ht="12" customHeight="1">
      <c r="E925"/>
      <c r="F925" s="197"/>
    </row>
    <row r="926" spans="5:6" ht="12" customHeight="1">
      <c r="E926"/>
      <c r="F926" s="197"/>
    </row>
    <row r="927" spans="5:6" ht="12" customHeight="1">
      <c r="E927"/>
      <c r="F927" s="197"/>
    </row>
    <row r="928" spans="5:6" ht="12" customHeight="1">
      <c r="E928"/>
      <c r="F928" s="197"/>
    </row>
    <row r="929" spans="5:6" ht="12" customHeight="1">
      <c r="E929"/>
      <c r="F929" s="197"/>
    </row>
    <row r="930" spans="5:6" ht="12" customHeight="1">
      <c r="E930"/>
      <c r="F930" s="197"/>
    </row>
    <row r="931" spans="5:6" ht="12" customHeight="1">
      <c r="E931"/>
      <c r="F931" s="197"/>
    </row>
    <row r="932" spans="5:6" ht="12" customHeight="1">
      <c r="E932"/>
      <c r="F932" s="197"/>
    </row>
    <row r="933" spans="5:6" ht="12" customHeight="1">
      <c r="E933"/>
      <c r="F933" s="197"/>
    </row>
    <row r="934" spans="5:6" ht="12" customHeight="1">
      <c r="E934"/>
      <c r="F934" s="197"/>
    </row>
    <row r="935" spans="5:6" ht="12" customHeight="1">
      <c r="E935"/>
      <c r="F935" s="197"/>
    </row>
    <row r="936" spans="5:6" ht="12" customHeight="1">
      <c r="E936"/>
      <c r="F936" s="197"/>
    </row>
    <row r="937" spans="5:6" ht="12" customHeight="1">
      <c r="E937"/>
      <c r="F937" s="197"/>
    </row>
    <row r="938" spans="5:6" ht="12" customHeight="1">
      <c r="E938"/>
      <c r="F938" s="197"/>
    </row>
    <row r="939" spans="5:6" ht="12" customHeight="1">
      <c r="E939"/>
      <c r="F939" s="197"/>
    </row>
    <row r="940" spans="5:6" ht="12" customHeight="1">
      <c r="E940"/>
      <c r="F940" s="197"/>
    </row>
    <row r="941" spans="5:6" ht="12" customHeight="1">
      <c r="E941"/>
      <c r="F941" s="197"/>
    </row>
    <row r="942" spans="5:6" ht="12" customHeight="1">
      <c r="E942"/>
      <c r="F942" s="197"/>
    </row>
    <row r="943" spans="5:6" ht="12" customHeight="1">
      <c r="E943"/>
      <c r="F943" s="197"/>
    </row>
    <row r="944" spans="5:6" ht="12" customHeight="1">
      <c r="E944"/>
      <c r="F944" s="197"/>
    </row>
    <row r="945" spans="5:6" ht="12" customHeight="1">
      <c r="E945"/>
      <c r="F945" s="197"/>
    </row>
    <row r="946" spans="5:6" ht="12" customHeight="1">
      <c r="E946"/>
      <c r="F946" s="197"/>
    </row>
    <row r="947" spans="5:6" ht="12" customHeight="1">
      <c r="E947"/>
      <c r="F947" s="197"/>
    </row>
    <row r="948" spans="5:6" ht="12" customHeight="1">
      <c r="E948"/>
      <c r="F948" s="197"/>
    </row>
    <row r="949" spans="5:6" ht="12" customHeight="1">
      <c r="E949"/>
      <c r="F949" s="197"/>
    </row>
    <row r="950" spans="5:6" ht="12" customHeight="1">
      <c r="E950"/>
      <c r="F950" s="197"/>
    </row>
    <row r="951" spans="5:6" ht="12" customHeight="1">
      <c r="E951"/>
      <c r="F951" s="197"/>
    </row>
    <row r="952" spans="5:6" ht="12" customHeight="1">
      <c r="E952"/>
      <c r="F952" s="197"/>
    </row>
    <row r="953" spans="5:6" ht="12" customHeight="1">
      <c r="E953"/>
      <c r="F953" s="197"/>
    </row>
    <row r="954" spans="5:6" ht="12" customHeight="1">
      <c r="E954"/>
      <c r="F954" s="197"/>
    </row>
    <row r="955" spans="5:6" ht="12" customHeight="1">
      <c r="E955"/>
      <c r="F955" s="197"/>
    </row>
    <row r="956" spans="5:6" ht="12" customHeight="1">
      <c r="E956"/>
      <c r="F956" s="197"/>
    </row>
    <row r="957" spans="5:6" ht="12" customHeight="1">
      <c r="E957"/>
      <c r="F957" s="197"/>
    </row>
    <row r="958" spans="5:6" ht="12" customHeight="1">
      <c r="E958"/>
      <c r="F958" s="197"/>
    </row>
    <row r="959" spans="5:6" ht="12" customHeight="1">
      <c r="E959"/>
      <c r="F959" s="197"/>
    </row>
    <row r="960" spans="5:6" ht="12" customHeight="1">
      <c r="E960"/>
      <c r="F960" s="197"/>
    </row>
    <row r="961" spans="5:6" ht="12" customHeight="1">
      <c r="E961"/>
      <c r="F961" s="197"/>
    </row>
    <row r="962" spans="5:6" ht="12" customHeight="1">
      <c r="E962"/>
      <c r="F962" s="197"/>
    </row>
    <row r="963" spans="5:6" ht="12" customHeight="1">
      <c r="E963"/>
      <c r="F963" s="197"/>
    </row>
    <row r="964" spans="5:6" ht="12" customHeight="1">
      <c r="E964"/>
      <c r="F964" s="197"/>
    </row>
    <row r="965" spans="5:6" ht="12" customHeight="1">
      <c r="E965"/>
      <c r="F965" s="197"/>
    </row>
    <row r="966" spans="5:6" ht="12" customHeight="1">
      <c r="E966"/>
      <c r="F966" s="197"/>
    </row>
    <row r="967" spans="5:6" ht="12" customHeight="1">
      <c r="E967"/>
      <c r="F967" s="197"/>
    </row>
    <row r="968" spans="5:6" ht="12" customHeight="1">
      <c r="E968"/>
      <c r="F968" s="197"/>
    </row>
    <row r="969" spans="5:6" ht="12" customHeight="1">
      <c r="E969"/>
      <c r="F969" s="197"/>
    </row>
    <row r="970" spans="5:6" ht="12" customHeight="1">
      <c r="E970"/>
      <c r="F970" s="197"/>
    </row>
    <row r="971" spans="5:6" ht="12" customHeight="1">
      <c r="E971"/>
      <c r="F971" s="197"/>
    </row>
    <row r="972" spans="5:6" ht="12" customHeight="1">
      <c r="E972"/>
      <c r="F972" s="197"/>
    </row>
    <row r="973" spans="5:6" ht="12" customHeight="1">
      <c r="E973"/>
      <c r="F973" s="197"/>
    </row>
    <row r="974" spans="5:6" ht="12" customHeight="1">
      <c r="E974"/>
      <c r="F974" s="197"/>
    </row>
    <row r="975" spans="5:6" ht="12" customHeight="1">
      <c r="E975"/>
      <c r="F975" s="197"/>
    </row>
    <row r="976" spans="5:6" ht="12" customHeight="1">
      <c r="E976"/>
      <c r="F976" s="197"/>
    </row>
    <row r="977" spans="5:6" ht="12" customHeight="1">
      <c r="E977"/>
      <c r="F977" s="197"/>
    </row>
    <row r="978" spans="5:6" ht="12" customHeight="1">
      <c r="E978"/>
      <c r="F978" s="197"/>
    </row>
    <row r="979" spans="5:6" ht="12" customHeight="1">
      <c r="E979"/>
      <c r="F979" s="197"/>
    </row>
    <row r="980" spans="5:6" ht="12" customHeight="1">
      <c r="E980"/>
      <c r="F980" s="197"/>
    </row>
    <row r="981" spans="5:6" ht="12" customHeight="1">
      <c r="E981"/>
      <c r="F981" s="197"/>
    </row>
    <row r="982" spans="5:6" ht="12" customHeight="1">
      <c r="E982"/>
      <c r="F982" s="197"/>
    </row>
    <row r="983" spans="5:6" ht="12" customHeight="1">
      <c r="E983"/>
      <c r="F983" s="197"/>
    </row>
    <row r="984" spans="5:6" ht="12" customHeight="1">
      <c r="E984"/>
      <c r="F984" s="197"/>
    </row>
    <row r="985" spans="5:6" ht="12" customHeight="1">
      <c r="E985"/>
      <c r="F985" s="197"/>
    </row>
    <row r="986" spans="5:6" ht="12" customHeight="1">
      <c r="E986"/>
      <c r="F986" s="197"/>
    </row>
    <row r="987" spans="5:6" ht="12" customHeight="1">
      <c r="E987"/>
      <c r="F987" s="197"/>
    </row>
    <row r="988" spans="5:6" ht="12" customHeight="1">
      <c r="E988"/>
      <c r="F988" s="197"/>
    </row>
    <row r="989" spans="5:6" ht="12" customHeight="1">
      <c r="E989"/>
      <c r="F989" s="197"/>
    </row>
    <row r="990" spans="5:6" ht="12" customHeight="1">
      <c r="E990"/>
      <c r="F990" s="197"/>
    </row>
    <row r="991" spans="5:6" ht="12" customHeight="1">
      <c r="E991"/>
      <c r="F991" s="197"/>
    </row>
    <row r="992" spans="5:6" ht="12" customHeight="1">
      <c r="E992"/>
      <c r="F992" s="197"/>
    </row>
    <row r="993" spans="5:6" ht="12" customHeight="1">
      <c r="E993"/>
      <c r="F993" s="197"/>
    </row>
    <row r="994" spans="5:6" ht="12" customHeight="1">
      <c r="E994"/>
      <c r="F994" s="197"/>
    </row>
    <row r="995" spans="5:6" ht="12" customHeight="1">
      <c r="E995"/>
      <c r="F995" s="197"/>
    </row>
    <row r="996" spans="5:6" ht="12" customHeight="1">
      <c r="E996"/>
      <c r="F996" s="197"/>
    </row>
    <row r="997" spans="5:6" ht="12" customHeight="1">
      <c r="E997"/>
      <c r="F997" s="197"/>
    </row>
    <row r="998" spans="5:6" ht="12" customHeight="1">
      <c r="E998"/>
      <c r="F998" s="197"/>
    </row>
    <row r="999" spans="5:6" ht="12" customHeight="1">
      <c r="E999"/>
      <c r="F999" s="197"/>
    </row>
    <row r="1000" spans="5:6" ht="12" customHeight="1">
      <c r="E1000"/>
      <c r="F1000" s="197"/>
    </row>
    <row r="1001" spans="5:6" ht="12" customHeight="1">
      <c r="E1001"/>
      <c r="F1001" s="197"/>
    </row>
    <row r="1002" spans="5:6" ht="12" customHeight="1">
      <c r="E1002"/>
      <c r="F1002" s="197"/>
    </row>
    <row r="1003" spans="5:6" ht="12" customHeight="1">
      <c r="E1003"/>
      <c r="F1003" s="197"/>
    </row>
    <row r="1004" spans="5:6" ht="12" customHeight="1">
      <c r="E1004"/>
      <c r="F1004" s="197"/>
    </row>
    <row r="1005" spans="5:6" ht="12" customHeight="1">
      <c r="E1005"/>
      <c r="F1005" s="197"/>
    </row>
    <row r="1006" spans="5:6" ht="12" customHeight="1">
      <c r="E1006"/>
      <c r="F1006" s="197"/>
    </row>
    <row r="1007" spans="5:6" ht="12" customHeight="1">
      <c r="E1007"/>
      <c r="F1007" s="197"/>
    </row>
    <row r="1008" spans="5:6" ht="12" customHeight="1">
      <c r="E1008"/>
      <c r="F1008" s="197"/>
    </row>
    <row r="1009" spans="5:6" ht="12" customHeight="1">
      <c r="E1009"/>
      <c r="F1009" s="197"/>
    </row>
    <row r="1010" spans="5:6" ht="12" customHeight="1">
      <c r="E1010"/>
      <c r="F1010" s="197"/>
    </row>
    <row r="1011" spans="5:6" ht="12" customHeight="1">
      <c r="E1011"/>
      <c r="F1011" s="197"/>
    </row>
    <row r="1012" spans="5:6" ht="12" customHeight="1">
      <c r="E1012"/>
      <c r="F1012" s="197"/>
    </row>
    <row r="1013" spans="5:6" ht="12" customHeight="1">
      <c r="E1013"/>
      <c r="F1013" s="197"/>
    </row>
    <row r="1014" spans="5:6" ht="12" customHeight="1">
      <c r="E1014"/>
      <c r="F1014" s="197"/>
    </row>
    <row r="1015" spans="5:6" ht="12" customHeight="1">
      <c r="E1015"/>
      <c r="F1015" s="197"/>
    </row>
    <row r="1016" spans="5:6" ht="12" customHeight="1">
      <c r="E1016"/>
      <c r="F1016" s="197"/>
    </row>
    <row r="1017" spans="5:6" ht="12" customHeight="1">
      <c r="E1017"/>
      <c r="F1017" s="197"/>
    </row>
    <row r="1018" spans="5:6" ht="12" customHeight="1">
      <c r="E1018"/>
      <c r="F1018" s="197"/>
    </row>
    <row r="1019" spans="5:6" ht="12" customHeight="1">
      <c r="E1019"/>
      <c r="F1019" s="197"/>
    </row>
    <row r="1020" spans="5:6" ht="12" customHeight="1">
      <c r="E1020"/>
      <c r="F1020" s="197"/>
    </row>
    <row r="1021" spans="5:6" ht="12" customHeight="1">
      <c r="E1021"/>
      <c r="F1021" s="197"/>
    </row>
    <row r="1022" spans="5:6" ht="12" customHeight="1">
      <c r="E1022"/>
      <c r="F1022" s="197"/>
    </row>
    <row r="1023" spans="5:6" ht="12" customHeight="1">
      <c r="E1023"/>
      <c r="F1023" s="197"/>
    </row>
    <row r="1024" spans="5:6" ht="12" customHeight="1">
      <c r="E1024"/>
      <c r="F1024" s="197"/>
    </row>
    <row r="1025" spans="5:6" ht="12" customHeight="1">
      <c r="E1025"/>
      <c r="F1025" s="197"/>
    </row>
    <row r="1026" spans="5:6" ht="12" customHeight="1">
      <c r="E1026"/>
      <c r="F1026" s="197"/>
    </row>
    <row r="1027" spans="5:6" ht="12" customHeight="1">
      <c r="E1027"/>
      <c r="F1027" s="197"/>
    </row>
    <row r="1028" spans="5:6" ht="12" customHeight="1">
      <c r="E1028"/>
      <c r="F1028" s="197"/>
    </row>
    <row r="1029" spans="5:6" ht="12" customHeight="1">
      <c r="E1029"/>
      <c r="F1029" s="197"/>
    </row>
    <row r="1030" spans="5:6" ht="12" customHeight="1">
      <c r="E1030"/>
      <c r="F1030" s="197"/>
    </row>
    <row r="1031" spans="5:6" ht="12" customHeight="1">
      <c r="E1031"/>
      <c r="F1031" s="197"/>
    </row>
    <row r="1032" spans="5:6" ht="12" customHeight="1">
      <c r="E1032"/>
      <c r="F1032" s="197"/>
    </row>
    <row r="1033" spans="5:6" ht="12" customHeight="1">
      <c r="E1033"/>
      <c r="F1033" s="197"/>
    </row>
    <row r="1034" spans="5:6" ht="12" customHeight="1">
      <c r="E1034"/>
      <c r="F1034" s="197"/>
    </row>
    <row r="1035" spans="5:6" ht="12" customHeight="1">
      <c r="E1035"/>
      <c r="F1035" s="197"/>
    </row>
    <row r="1036" spans="5:6" ht="12" customHeight="1">
      <c r="E1036"/>
      <c r="F1036" s="197"/>
    </row>
    <row r="1037" spans="5:6" ht="12" customHeight="1">
      <c r="E1037"/>
      <c r="F1037" s="197"/>
    </row>
    <row r="1038" spans="5:6" ht="12" customHeight="1">
      <c r="E1038"/>
      <c r="F1038" s="197"/>
    </row>
    <row r="1039" spans="5:6" ht="12" customHeight="1">
      <c r="E1039"/>
      <c r="F1039" s="197"/>
    </row>
    <row r="1040" spans="5:6" ht="12" customHeight="1">
      <c r="E1040"/>
      <c r="F1040" s="197"/>
    </row>
    <row r="1041" spans="5:6" ht="12" customHeight="1">
      <c r="E1041"/>
      <c r="F1041" s="197"/>
    </row>
    <row r="1042" spans="5:6" ht="12" customHeight="1">
      <c r="E1042"/>
      <c r="F1042" s="197"/>
    </row>
    <row r="1043" spans="5:6" ht="12" customHeight="1">
      <c r="E1043"/>
      <c r="F1043" s="197"/>
    </row>
    <row r="1044" spans="5:6" ht="12" customHeight="1">
      <c r="E1044"/>
      <c r="F1044" s="197"/>
    </row>
    <row r="1045" spans="5:6" ht="12" customHeight="1">
      <c r="E1045"/>
      <c r="F1045" s="197"/>
    </row>
    <row r="1046" spans="5:6" ht="12" customHeight="1">
      <c r="E1046"/>
      <c r="F1046" s="197"/>
    </row>
    <row r="1047" spans="5:6" ht="12" customHeight="1">
      <c r="E1047"/>
      <c r="F1047" s="197"/>
    </row>
    <row r="1048" spans="5:6" ht="12" customHeight="1">
      <c r="E1048"/>
      <c r="F1048" s="197"/>
    </row>
    <row r="1049" spans="5:6" ht="12" customHeight="1">
      <c r="E1049"/>
      <c r="F1049" s="197"/>
    </row>
    <row r="1050" spans="5:6" ht="12" customHeight="1">
      <c r="E1050"/>
      <c r="F1050" s="197"/>
    </row>
    <row r="1051" spans="5:6" ht="12" customHeight="1">
      <c r="E1051"/>
      <c r="F1051" s="197"/>
    </row>
    <row r="1052" spans="5:6" ht="12" customHeight="1">
      <c r="E1052"/>
      <c r="F1052" s="197"/>
    </row>
    <row r="1053" spans="5:6" ht="12" customHeight="1">
      <c r="E1053"/>
      <c r="F1053" s="197"/>
    </row>
    <row r="1054" spans="5:6" ht="12" customHeight="1">
      <c r="E1054"/>
      <c r="F1054" s="197"/>
    </row>
    <row r="1055" spans="5:6" ht="12" customHeight="1">
      <c r="E1055"/>
      <c r="F1055" s="197"/>
    </row>
    <row r="1056" spans="5:6" ht="12" customHeight="1">
      <c r="E1056"/>
      <c r="F1056" s="197"/>
    </row>
    <row r="1057" spans="5:6" ht="12" customHeight="1">
      <c r="E1057"/>
      <c r="F1057" s="197"/>
    </row>
    <row r="1058" spans="5:6" ht="12" customHeight="1">
      <c r="E1058"/>
      <c r="F1058" s="197"/>
    </row>
    <row r="1059" spans="5:6" ht="12" customHeight="1">
      <c r="E1059"/>
      <c r="F1059" s="197"/>
    </row>
    <row r="1060" spans="5:6" ht="12" customHeight="1">
      <c r="E1060"/>
      <c r="F1060" s="197"/>
    </row>
    <row r="1061" spans="5:6" ht="12" customHeight="1">
      <c r="E1061"/>
      <c r="F1061" s="197"/>
    </row>
    <row r="1062" spans="5:6" ht="12" customHeight="1">
      <c r="E1062"/>
      <c r="F1062" s="197"/>
    </row>
    <row r="1063" spans="5:6" ht="12" customHeight="1">
      <c r="E1063"/>
      <c r="F1063" s="197"/>
    </row>
    <row r="1064" spans="5:6" ht="12" customHeight="1">
      <c r="E1064"/>
      <c r="F1064" s="197"/>
    </row>
    <row r="1065" spans="5:6" ht="12" customHeight="1">
      <c r="E1065"/>
      <c r="F1065" s="197"/>
    </row>
    <row r="1066" spans="5:6" ht="12" customHeight="1">
      <c r="E1066"/>
      <c r="F1066" s="197"/>
    </row>
    <row r="1067" spans="5:6" ht="12" customHeight="1">
      <c r="E1067"/>
      <c r="F1067" s="197"/>
    </row>
    <row r="1068" spans="5:6" ht="12" customHeight="1">
      <c r="E1068"/>
      <c r="F1068" s="197"/>
    </row>
    <row r="1069" spans="5:6" ht="12" customHeight="1">
      <c r="E1069"/>
      <c r="F1069" s="197"/>
    </row>
    <row r="1070" spans="5:6" ht="12" customHeight="1">
      <c r="E1070"/>
      <c r="F1070" s="197"/>
    </row>
    <row r="1071" spans="5:6" ht="12" customHeight="1">
      <c r="E1071"/>
      <c r="F1071" s="197"/>
    </row>
    <row r="1072" spans="5:6" ht="12" customHeight="1">
      <c r="E1072"/>
      <c r="F1072" s="197"/>
    </row>
    <row r="1073" spans="5:6" ht="12" customHeight="1">
      <c r="E1073"/>
      <c r="F1073" s="197"/>
    </row>
    <row r="1074" spans="5:6" ht="12" customHeight="1">
      <c r="E1074"/>
      <c r="F1074" s="197"/>
    </row>
    <row r="1075" spans="5:6" ht="12" customHeight="1">
      <c r="E1075"/>
      <c r="F1075" s="197"/>
    </row>
    <row r="1076" spans="5:6" ht="12" customHeight="1">
      <c r="E1076"/>
      <c r="F1076" s="197"/>
    </row>
    <row r="1077" spans="5:6" ht="12" customHeight="1">
      <c r="E1077"/>
      <c r="F1077" s="197"/>
    </row>
    <row r="1078" spans="5:6" ht="12" customHeight="1">
      <c r="E1078"/>
      <c r="F1078" s="197"/>
    </row>
    <row r="1079" spans="5:6" ht="12" customHeight="1">
      <c r="E1079"/>
      <c r="F1079" s="197"/>
    </row>
    <row r="1080" spans="5:6" ht="12" customHeight="1">
      <c r="E1080"/>
      <c r="F1080" s="197"/>
    </row>
    <row r="1081" spans="5:6" ht="12" customHeight="1">
      <c r="E1081"/>
      <c r="F1081" s="197"/>
    </row>
    <row r="1082" spans="5:6" ht="12" customHeight="1">
      <c r="E1082"/>
      <c r="F1082" s="197"/>
    </row>
    <row r="1083" spans="5:6" ht="12" customHeight="1">
      <c r="E1083"/>
      <c r="F1083" s="197"/>
    </row>
    <row r="1084" spans="5:6" ht="12" customHeight="1">
      <c r="E1084"/>
      <c r="F1084" s="197"/>
    </row>
    <row r="1085" spans="5:6" ht="12" customHeight="1">
      <c r="E1085"/>
      <c r="F1085" s="197"/>
    </row>
    <row r="1086" spans="5:6" ht="12" customHeight="1">
      <c r="E1086"/>
      <c r="F1086" s="197"/>
    </row>
    <row r="1087" spans="5:6" ht="12" customHeight="1">
      <c r="E1087"/>
      <c r="F1087" s="197"/>
    </row>
    <row r="1088" spans="5:6" ht="12" customHeight="1">
      <c r="E1088"/>
      <c r="F1088" s="197"/>
    </row>
  </sheetData>
  <sheetProtection sheet="1" objects="1" scenarios="1" selectLockedCells="1"/>
  <mergeCells count="3">
    <mergeCell ref="H23:J23"/>
    <mergeCell ref="H24:J24"/>
    <mergeCell ref="H6:J6"/>
  </mergeCells>
  <phoneticPr fontId="0" type="noConversion"/>
  <conditionalFormatting sqref="I14">
    <cfRule type="cellIs" dxfId="0" priority="1" stopIfTrue="1" operator="greaterThan">
      <formula>$AB$111</formula>
    </cfRule>
  </conditionalFormatting>
  <dataValidations count="5">
    <dataValidation type="decimal" allowBlank="1" showInputMessage="1" showErrorMessage="1" errorTitle="SD of differences" error="Must be a positive number._x000a_Cannot be more than twice the pooled combination of s1 and s2." sqref="I14">
      <formula1>0.000000000000001</formula1>
      <formula2>AB111</formula2>
    </dataValidation>
    <dataValidation type="whole" operator="greaterThan" allowBlank="1" showInputMessage="1" showErrorMessage="1" errorTitle="Sample size" error="Must be an integer. Min 2" sqref="I9">
      <formula1>1</formula1>
    </dataValidation>
    <dataValidation type="decimal" allowBlank="1" showErrorMessage="1" errorTitle="Confidence level" error="Number, min 0, max 99.9" sqref="L17:M17">
      <formula1>0</formula1>
      <formula2>99.9</formula2>
    </dataValidation>
    <dataValidation type="decimal" operator="notEqual" allowBlank="1" showInputMessage="1" showErrorMessage="1" errorTitle="Sample mean" error="Must be a number" sqref="G11 K11">
      <formula1>-9999999997</formula1>
    </dataValidation>
    <dataValidation type="decimal" operator="greaterThan" allowBlank="1" showInputMessage="1" showErrorMessage="1" errorTitle="Sample SD" error="Must be a positive number" sqref="G13 K13">
      <formula1>0</formula1>
    </dataValidation>
  </dataValidations>
  <pageMargins left="0.75" right="0.75" top="1" bottom="1" header="0.5" footer="0.5"/>
  <pageSetup paperSize="9" orientation="portrait" horizontalDpi="300" verticalDpi="300" r:id="rId1"/>
  <headerFooter alignWithMargins="0"/>
  <drawing r:id="rId2"/>
  <legacyDrawing r:id="rId3"/>
  <oleObjects>
    <oleObject progId="PBrush" shapeId="147479" r:id="rId4"/>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188</vt:i4>
      </vt:variant>
    </vt:vector>
  </HeadingPairs>
  <TitlesOfParts>
    <vt:vector size="199" baseType="lpstr">
      <vt:lpstr>Intro</vt:lpstr>
      <vt:lpstr>Describe</vt:lpstr>
      <vt:lpstr>Normal</vt:lpstr>
      <vt:lpstr>Normal and t</vt:lpstr>
      <vt:lpstr>CIjumping</vt:lpstr>
      <vt:lpstr>CI and p</vt:lpstr>
      <vt:lpstr>Data two</vt:lpstr>
      <vt:lpstr>Summary two</vt:lpstr>
      <vt:lpstr>d picture</vt:lpstr>
      <vt:lpstr>Data paired</vt:lpstr>
      <vt:lpstr>Summary paired</vt:lpstr>
      <vt:lpstr>ally</vt:lpstr>
      <vt:lpstr>CIjumping!barsind</vt:lpstr>
      <vt:lpstr>botty</vt:lpstr>
      <vt:lpstr>'Data paired'!calcddp</vt:lpstr>
      <vt:lpstr>'Summary paired'!calcddp</vt:lpstr>
      <vt:lpstr>'Summary two'!calcddt</vt:lpstr>
      <vt:lpstr>calcddt</vt:lpstr>
      <vt:lpstr>CIjumping!calcswitch</vt:lpstr>
      <vt:lpstr>'Data paired'!calcswitchpair</vt:lpstr>
      <vt:lpstr>'Summary paired'!calcswitchpair</vt:lpstr>
      <vt:lpstr>calib1</vt:lpstr>
      <vt:lpstr>calib2</vt:lpstr>
      <vt:lpstr>calibpark</vt:lpstr>
      <vt:lpstr>'Data paired'!cidpl</vt:lpstr>
      <vt:lpstr>'Summary paired'!cidpl</vt:lpstr>
      <vt:lpstr>'Data paired'!cidptbzl</vt:lpstr>
      <vt:lpstr>'Summary paired'!cidptbzl</vt:lpstr>
      <vt:lpstr>'Data paired'!cidptbzu</vt:lpstr>
      <vt:lpstr>'Summary paired'!cidptbzu</vt:lpstr>
      <vt:lpstr>'Data paired'!cidpu</vt:lpstr>
      <vt:lpstr>'Summary paired'!cidpu</vt:lpstr>
      <vt:lpstr>'Summary two'!cidtl</vt:lpstr>
      <vt:lpstr>cidtl</vt:lpstr>
      <vt:lpstr>'Summary two'!cidttbzl</vt:lpstr>
      <vt:lpstr>cidttbzl</vt:lpstr>
      <vt:lpstr>'Summary two'!cidttbzu</vt:lpstr>
      <vt:lpstr>cidttbzu</vt:lpstr>
      <vt:lpstr>'Summary two'!cidtu</vt:lpstr>
      <vt:lpstr>cidtu</vt:lpstr>
      <vt:lpstr>CIjumping!cijgrab</vt:lpstr>
      <vt:lpstr>CIjumping!cijput</vt:lpstr>
      <vt:lpstr>'CI and p'!CIoL</vt:lpstr>
      <vt:lpstr>'CI and p'!CIoR</vt:lpstr>
      <vt:lpstr>CIjumping!cleardisp</vt:lpstr>
      <vt:lpstr>CIjumping!countcapt</vt:lpstr>
      <vt:lpstr>Normal!countcapt</vt:lpstr>
      <vt:lpstr>'Normal and t'!countcapt</vt:lpstr>
      <vt:lpstr>countnextcapt</vt:lpstr>
      <vt:lpstr>dat11two</vt:lpstr>
      <vt:lpstr>dat12two</vt:lpstr>
      <vt:lpstr>dat1two</vt:lpstr>
      <vt:lpstr>dat21two</vt:lpstr>
      <vt:lpstr>dat22two</vt:lpstr>
      <vt:lpstr>dat31two</vt:lpstr>
      <vt:lpstr>dat32two</vt:lpstr>
      <vt:lpstr>data1two</vt:lpstr>
      <vt:lpstr>data2two</vt:lpstr>
      <vt:lpstr>data300a</vt:lpstr>
      <vt:lpstr>data300b</vt:lpstr>
      <vt:lpstr>data300c</vt:lpstr>
      <vt:lpstr>data300x</vt:lpstr>
      <vt:lpstr>'Data paired'!DataPairedGrab</vt:lpstr>
      <vt:lpstr>'Summary paired'!DataPairedGrab</vt:lpstr>
      <vt:lpstr>'Data paired'!DataPairedPut</vt:lpstr>
      <vt:lpstr>'Summary paired'!DataPairedPut</vt:lpstr>
      <vt:lpstr>dataput</vt:lpstr>
      <vt:lpstr>'Summary two'!DataTwoGrab</vt:lpstr>
      <vt:lpstr>DataTwoGrab</vt:lpstr>
      <vt:lpstr>'Summary two'!DataTwoPut</vt:lpstr>
      <vt:lpstr>DataTwoPut</vt:lpstr>
      <vt:lpstr>descaone</vt:lpstr>
      <vt:lpstr>descathree</vt:lpstr>
      <vt:lpstr>descatwo</vt:lpstr>
      <vt:lpstr>descbone</vt:lpstr>
      <vt:lpstr>descbthree</vt:lpstr>
      <vt:lpstr>descbtwo</vt:lpstr>
      <vt:lpstr>desclaba</vt:lpstr>
      <vt:lpstr>desclabb</vt:lpstr>
      <vt:lpstr>'Data paired'!dispddp</vt:lpstr>
      <vt:lpstr>'Summary paired'!dispddp</vt:lpstr>
      <vt:lpstr>'Summary two'!dispddt</vt:lpstr>
      <vt:lpstr>dispddt</vt:lpstr>
      <vt:lpstr>dispmean</vt:lpstr>
      <vt:lpstr>'d picture'!dlend</vt:lpstr>
      <vt:lpstr>dotstf</vt:lpstr>
      <vt:lpstr>'d picture'!dpark</vt:lpstr>
      <vt:lpstr>'Data paired'!dpd1dat</vt:lpstr>
      <vt:lpstr>'Data paired'!dpd1name</vt:lpstr>
      <vt:lpstr>'Data paired'!dpd2dat</vt:lpstr>
      <vt:lpstr>'Data paired'!dpd2name</vt:lpstr>
      <vt:lpstr>'Data paired'!dpd3dat</vt:lpstr>
      <vt:lpstr>'Data paired'!dpd3name</vt:lpstr>
      <vt:lpstr>'Data paired'!dpddat</vt:lpstr>
      <vt:lpstr>'Data paired'!dpdname</vt:lpstr>
      <vt:lpstr>'Data paired'!dptspair</vt:lpstr>
      <vt:lpstr>'Data two'!dptstwo</vt:lpstr>
      <vt:lpstr>drawdata300</vt:lpstr>
      <vt:lpstr>'d picture'!drend</vt:lpstr>
      <vt:lpstr>dropmean</vt:lpstr>
      <vt:lpstr>Dunits</vt:lpstr>
      <vt:lpstr>'Data paired'!equivncpdp</vt:lpstr>
      <vt:lpstr>'Summary paired'!equivncpdp</vt:lpstr>
      <vt:lpstr>'Summary two'!equivncpdt</vt:lpstr>
      <vt:lpstr>equivncpdt</vt:lpstr>
      <vt:lpstr>'Data paired'!firstptdp</vt:lpstr>
      <vt:lpstr>firstptdt</vt:lpstr>
      <vt:lpstr>forMean</vt:lpstr>
      <vt:lpstr>formulaport</vt:lpstr>
      <vt:lpstr>forn</vt:lpstr>
      <vt:lpstr>forRound</vt:lpstr>
      <vt:lpstr>forSD</vt:lpstr>
      <vt:lpstr>forseed</vt:lpstr>
      <vt:lpstr>freezetf</vt:lpstr>
      <vt:lpstr>getrand</vt:lpstr>
      <vt:lpstr>holdfive</vt:lpstr>
      <vt:lpstr>holdthree</vt:lpstr>
      <vt:lpstr>CIjumping!iscaptg</vt:lpstr>
      <vt:lpstr>kbins</vt:lpstr>
      <vt:lpstr>labs1two</vt:lpstr>
      <vt:lpstr>labstwo</vt:lpstr>
      <vt:lpstr>leftx</vt:lpstr>
      <vt:lpstr>CIjumping!MeanHeapSwitch</vt:lpstr>
      <vt:lpstr>Normal!MeanHeapSwitch</vt:lpstr>
      <vt:lpstr>'Normal and t'!MeanHeapSwitch</vt:lpstr>
      <vt:lpstr>nam1two</vt:lpstr>
      <vt:lpstr>nam2two</vt:lpstr>
      <vt:lpstr>nam3two</vt:lpstr>
      <vt:lpstr>namtwo</vt:lpstr>
      <vt:lpstr>CIjumping!ncaptg</vt:lpstr>
      <vt:lpstr>'Data paired'!ncpstartdp</vt:lpstr>
      <vt:lpstr>'Summary paired'!ncpstartdp</vt:lpstr>
      <vt:lpstr>'Summary two'!ncpstartdt</vt:lpstr>
      <vt:lpstr>ncpstartdt</vt:lpstr>
      <vt:lpstr>CIjumping!newsamps</vt:lpstr>
      <vt:lpstr>nextcapnext</vt:lpstr>
      <vt:lpstr>CIjumping!nextcaptg</vt:lpstr>
      <vt:lpstr>'Data two'!None</vt:lpstr>
      <vt:lpstr>'Summary two'!None</vt:lpstr>
      <vt:lpstr>normdata</vt:lpstr>
      <vt:lpstr>notcapnext</vt:lpstr>
      <vt:lpstr>CIjumping!nsamples</vt:lpstr>
      <vt:lpstr>'Data two'!Ntwo</vt:lpstr>
      <vt:lpstr>'Summary two'!Ntwo</vt:lpstr>
      <vt:lpstr>CIjumping!oldsamps</vt:lpstr>
      <vt:lpstr>orddata300</vt:lpstr>
      <vt:lpstr>orddataput</vt:lpstr>
      <vt:lpstr>Oscrollcount</vt:lpstr>
      <vt:lpstr>CIjumping!paraminto</vt:lpstr>
      <vt:lpstr>CIjumping!params</vt:lpstr>
      <vt:lpstr>paramsx</vt:lpstr>
      <vt:lpstr>pccursortf</vt:lpstr>
      <vt:lpstr>putrand</vt:lpstr>
      <vt:lpstr>rectdata</vt:lpstr>
      <vt:lpstr>'Summary two'!revdatatwo</vt:lpstr>
      <vt:lpstr>revdatatwo</vt:lpstr>
      <vt:lpstr>rightx</vt:lpstr>
      <vt:lpstr>CIjumping!samps</vt:lpstr>
      <vt:lpstr>savexinc</vt:lpstr>
      <vt:lpstr>seed</vt:lpstr>
      <vt:lpstr>setfive</vt:lpstr>
      <vt:lpstr>CIjumping!showcapt</vt:lpstr>
      <vt:lpstr>CIjumping!showmu</vt:lpstr>
      <vt:lpstr>showthree</vt:lpstr>
      <vt:lpstr>'Data paired'!SimPairGrab</vt:lpstr>
      <vt:lpstr>'Summary paired'!SimPairGrab</vt:lpstr>
      <vt:lpstr>'Data paired'!SimPairPut</vt:lpstr>
      <vt:lpstr>'Summary paired'!SimPairPut</vt:lpstr>
      <vt:lpstr>skewLdata</vt:lpstr>
      <vt:lpstr>skewRdata</vt:lpstr>
      <vt:lpstr>stack</vt:lpstr>
      <vt:lpstr>topleft</vt:lpstr>
      <vt:lpstr>topy</vt:lpstr>
      <vt:lpstr>un1two</vt:lpstr>
      <vt:lpstr>un2two</vt:lpstr>
      <vt:lpstr>un3two</vt:lpstr>
      <vt:lpstr>untwo</vt:lpstr>
      <vt:lpstr>'Summary two'!vareq</vt:lpstr>
      <vt:lpstr>vareq</vt:lpstr>
      <vt:lpstr>XaxisInt</vt:lpstr>
      <vt:lpstr>XaxisL</vt:lpstr>
      <vt:lpstr>XaxisU</vt:lpstr>
      <vt:lpstr>Xcounter</vt:lpstr>
      <vt:lpstr>xinc</vt:lpstr>
      <vt:lpstr>Xl</vt:lpstr>
      <vt:lpstr>xpeek</vt:lpstr>
      <vt:lpstr>Xscrollcount</vt:lpstr>
      <vt:lpstr>Xscrollstart</vt:lpstr>
      <vt:lpstr>Xu</vt:lpstr>
      <vt:lpstr>Xwide</vt:lpstr>
      <vt:lpstr>xytr</vt:lpstr>
      <vt:lpstr>yaxismax</vt:lpstr>
      <vt:lpstr>yinc</vt:lpstr>
      <vt:lpstr>Yl</vt:lpstr>
      <vt:lpstr>ymajunit</vt:lpstr>
      <vt:lpstr>yminunit</vt:lpstr>
      <vt:lpstr>ypeek</vt:lpstr>
      <vt:lpstr>Yu</vt:lpstr>
      <vt:lpstr>zcursortf</vt:lpstr>
    </vt:vector>
  </TitlesOfParts>
  <Company>La Trobe University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 Cumming</dc:creator>
  <cp:lastModifiedBy>Geoff Cumming</cp:lastModifiedBy>
  <dcterms:created xsi:type="dcterms:W3CDTF">2004-02-28T02:40:21Z</dcterms:created>
  <dcterms:modified xsi:type="dcterms:W3CDTF">2015-09-25T22:57:06Z</dcterms:modified>
</cp:coreProperties>
</file>